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ngkasan" sheetId="1" r:id="rId5"/>
    <sheet state="visible" name="NonBank" sheetId="2" r:id="rId6"/>
    <sheet state="visible" name="Banking" sheetId="3" r:id="rId7"/>
    <sheet state="visible" name="ETF" sheetId="4" r:id="rId8"/>
    <sheet state="visible" name="Metrik" sheetId="5" r:id="rId9"/>
    <sheet state="visible" name="Draft" sheetId="6" r:id="rId10"/>
  </sheets>
  <definedNames>
    <definedName hidden="1" localSheetId="0" name="_xlnm._FilterDatabase">Ringkasan!$A$1:$AB$1877</definedName>
    <definedName hidden="1" localSheetId="1" name="_xlnm._FilterDatabase">NonBank!$A$1:$AB$1806</definedName>
    <definedName hidden="1" localSheetId="2" name="_xlnm._FilterDatabase">Banking!$A$1:$AB$1806</definedName>
    <definedName hidden="1" localSheetId="3" name="_xlnm._FilterDatabase">ETF!$F$1:$H$1</definedName>
    <definedName hidden="1" localSheetId="5" name="_xlnm._FilterDatabase">Draft!$A$1:$AB$1875</definedName>
  </definedNames>
  <calcPr/>
</workbook>
</file>

<file path=xl/sharedStrings.xml><?xml version="1.0" encoding="utf-8"?>
<sst xmlns="http://schemas.openxmlformats.org/spreadsheetml/2006/main" count="15376" uniqueCount="2660">
  <si>
    <t>Kode</t>
  </si>
  <si>
    <t>Nama Perusahaan</t>
  </si>
  <si>
    <t>Penutupan</t>
  </si>
  <si>
    <t>Index</t>
  </si>
  <si>
    <t xml:space="preserve">Index Expired </t>
  </si>
  <si>
    <t>∑i ≥ 7</t>
  </si>
  <si>
    <t xml:space="preserve">PER </t>
  </si>
  <si>
    <t xml:space="preserve">PBV </t>
  </si>
  <si>
    <t xml:space="preserve">ROE </t>
  </si>
  <si>
    <t xml:space="preserve">ROA </t>
  </si>
  <si>
    <t xml:space="preserve">DER </t>
  </si>
  <si>
    <t xml:space="preserve">NPM </t>
  </si>
  <si>
    <t xml:space="preserve">NIM </t>
  </si>
  <si>
    <t xml:space="preserve">CAR </t>
  </si>
  <si>
    <t xml:space="preserve">LDR </t>
  </si>
  <si>
    <t xml:space="preserve">NPL </t>
  </si>
  <si>
    <t xml:space="preserve">BOPO </t>
  </si>
  <si>
    <t xml:space="preserve">CIR </t>
  </si>
  <si>
    <t xml:space="preserve">LAR </t>
  </si>
  <si>
    <t>Sebelumnya</t>
  </si>
  <si>
    <t>%Change</t>
  </si>
  <si>
    <t>Open</t>
  </si>
  <si>
    <t>High</t>
  </si>
  <si>
    <t>Low</t>
  </si>
  <si>
    <t>Volume</t>
  </si>
  <si>
    <t>Industry</t>
  </si>
  <si>
    <t>Sektor</t>
  </si>
  <si>
    <t>AADI</t>
  </si>
  <si>
    <t>IDX80</t>
  </si>
  <si>
    <t>31 Juli 2026</t>
  </si>
  <si>
    <t>IDX30</t>
  </si>
  <si>
    <t>LQ45</t>
  </si>
  <si>
    <t>Kompas100</t>
  </si>
  <si>
    <t>IDXV30</t>
  </si>
  <si>
    <t>4 Agustus 2026</t>
  </si>
  <si>
    <t>MSCI Small Cap</t>
  </si>
  <si>
    <t>12 Agustus 2026</t>
  </si>
  <si>
    <t>FTSE Small Cap</t>
  </si>
  <si>
    <t>JII30</t>
  </si>
  <si>
    <t>JII70</t>
  </si>
  <si>
    <t>AALI</t>
  </si>
  <si>
    <t>IDXSMC-LIQ</t>
  </si>
  <si>
    <t>Investor33</t>
  </si>
  <si>
    <t>ABBA</t>
  </si>
  <si>
    <t>ABDA</t>
  </si>
  <si>
    <t>ABMM</t>
  </si>
  <si>
    <t>ACES</t>
  </si>
  <si>
    <t>ESGQKEHATI</t>
  </si>
  <si>
    <t>IDXHIDIV20</t>
  </si>
  <si>
    <t>2 Februari 2027</t>
  </si>
  <si>
    <t>IDXESGL</t>
  </si>
  <si>
    <t>30 Oktober 2026</t>
  </si>
  <si>
    <t>ECONOMIC30</t>
  </si>
  <si>
    <t>31 Agustus 2026</t>
  </si>
  <si>
    <t>IDXQ30</t>
  </si>
  <si>
    <t>ESGSKEHATI</t>
  </si>
  <si>
    <t>ACRO</t>
  </si>
  <si>
    <t>ACST</t>
  </si>
  <si>
    <t>ADCP</t>
  </si>
  <si>
    <t>ADES</t>
  </si>
  <si>
    <t>ADHI</t>
  </si>
  <si>
    <t>IDXBUMN20</t>
  </si>
  <si>
    <t>ADMF</t>
  </si>
  <si>
    <t>ADMG</t>
  </si>
  <si>
    <t>ADMR</t>
  </si>
  <si>
    <t>IDXSHAGROW</t>
  </si>
  <si>
    <t>ADRO</t>
  </si>
  <si>
    <t>BISNIS-27</t>
  </si>
  <si>
    <t>IDXG30</t>
  </si>
  <si>
    <t>FTSE Large Cap</t>
  </si>
  <si>
    <t>Juni 2026</t>
  </si>
  <si>
    <t>AEGS</t>
  </si>
  <si>
    <t>AGAR</t>
  </si>
  <si>
    <t>AGII</t>
  </si>
  <si>
    <t>AGRO</t>
  </si>
  <si>
    <t>Infobank15</t>
  </si>
  <si>
    <t>30 Juni 2026</t>
  </si>
  <si>
    <t>AGRS</t>
  </si>
  <si>
    <t>AHAP</t>
  </si>
  <si>
    <t>AIMS</t>
  </si>
  <si>
    <t>AISA</t>
  </si>
  <si>
    <t>AKKU</t>
  </si>
  <si>
    <t>AKPI</t>
  </si>
  <si>
    <t>AKRA</t>
  </si>
  <si>
    <t>MNC36</t>
  </si>
  <si>
    <t>SMINFRA18</t>
  </si>
  <si>
    <t>SRI-KEHATI</t>
  </si>
  <si>
    <t>AKSI</t>
  </si>
  <si>
    <t>ALDO</t>
  </si>
  <si>
    <t>ALII</t>
  </si>
  <si>
    <t>ALKA</t>
  </si>
  <si>
    <t>ALMI</t>
  </si>
  <si>
    <t>ALTO</t>
  </si>
  <si>
    <t>AMAG</t>
  </si>
  <si>
    <t>AMAN</t>
  </si>
  <si>
    <t>AMAR</t>
  </si>
  <si>
    <t>AMFG</t>
  </si>
  <si>
    <t>AMIN</t>
  </si>
  <si>
    <t>AMMN</t>
  </si>
  <si>
    <t>AMMS</t>
  </si>
  <si>
    <t>AMOR</t>
  </si>
  <si>
    <t>AMRT</t>
  </si>
  <si>
    <t>IDXVESTA28</t>
  </si>
  <si>
    <t>ANDI</t>
  </si>
  <si>
    <t>ANJT</t>
  </si>
  <si>
    <t>ANTM</t>
  </si>
  <si>
    <t>IDXMESBUMN</t>
  </si>
  <si>
    <t>APEX</t>
  </si>
  <si>
    <t>APIC</t>
  </si>
  <si>
    <t>APII</t>
  </si>
  <si>
    <t>APLI</t>
  </si>
  <si>
    <t>APLN</t>
  </si>
  <si>
    <t>ARCI</t>
  </si>
  <si>
    <t>AREA</t>
  </si>
  <si>
    <t>ARGO</t>
  </si>
  <si>
    <t>ARII</t>
  </si>
  <si>
    <t>ARKA</t>
  </si>
  <si>
    <t>ARKO</t>
  </si>
  <si>
    <t>ARMY</t>
  </si>
  <si>
    <t>ARNA</t>
  </si>
  <si>
    <t>ARTA</t>
  </si>
  <si>
    <t>ARTI</t>
  </si>
  <si>
    <t>ARTO</t>
  </si>
  <si>
    <t>ASBI</t>
  </si>
  <si>
    <t>ASDM</t>
  </si>
  <si>
    <t>ASGR</t>
  </si>
  <si>
    <t>ASHA</t>
  </si>
  <si>
    <t>ASII</t>
  </si>
  <si>
    <t>MSCI Global Standard</t>
  </si>
  <si>
    <t>ASJT</t>
  </si>
  <si>
    <t>ASLC</t>
  </si>
  <si>
    <t>ASLI</t>
  </si>
  <si>
    <t>ASMI</t>
  </si>
  <si>
    <t>ASPI</t>
  </si>
  <si>
    <t>ASPR</t>
  </si>
  <si>
    <t>ASRI</t>
  </si>
  <si>
    <t>ASRM</t>
  </si>
  <si>
    <t>ASSA</t>
  </si>
  <si>
    <t>ATAP</t>
  </si>
  <si>
    <t>ATIC</t>
  </si>
  <si>
    <t>ATLA</t>
  </si>
  <si>
    <t>AUTO</t>
  </si>
  <si>
    <t>AVIA</t>
  </si>
  <si>
    <t>AWAN</t>
  </si>
  <si>
    <t>AXIO</t>
  </si>
  <si>
    <t>AYAM</t>
  </si>
  <si>
    <t>AYLS</t>
  </si>
  <si>
    <t>BABP</t>
  </si>
  <si>
    <t>BABY</t>
  </si>
  <si>
    <t>BACA</t>
  </si>
  <si>
    <t>BAIK</t>
  </si>
  <si>
    <t>BAJA</t>
  </si>
  <si>
    <t>BALI</t>
  </si>
  <si>
    <t>BANK</t>
  </si>
  <si>
    <t>BAPA</t>
  </si>
  <si>
    <t>BAPI</t>
  </si>
  <si>
    <t>BATA</t>
  </si>
  <si>
    <t>BATR</t>
  </si>
  <si>
    <t>BAUT</t>
  </si>
  <si>
    <t>BAYU</t>
  </si>
  <si>
    <t>BBCA</t>
  </si>
  <si>
    <t>Pefindo - iGrade</t>
  </si>
  <si>
    <t>PRIMBANK-10</t>
  </si>
  <si>
    <t>BBHI</t>
  </si>
  <si>
    <t>BBKP</t>
  </si>
  <si>
    <t>BBLD</t>
  </si>
  <si>
    <t>BBMD</t>
  </si>
  <si>
    <t>BBNI</t>
  </si>
  <si>
    <t>BBRI</t>
  </si>
  <si>
    <t>BBRM</t>
  </si>
  <si>
    <t>BBSI</t>
  </si>
  <si>
    <t>BBSS</t>
  </si>
  <si>
    <t>BBTN</t>
  </si>
  <si>
    <t>BBYB</t>
  </si>
  <si>
    <t>BCAP</t>
  </si>
  <si>
    <t>FTSE Micro Cap</t>
  </si>
  <si>
    <t>BCIC</t>
  </si>
  <si>
    <t>BCIP</t>
  </si>
  <si>
    <t>BDKR</t>
  </si>
  <si>
    <t>BDMN</t>
  </si>
  <si>
    <t>BEBS</t>
  </si>
  <si>
    <t>BEEF</t>
  </si>
  <si>
    <t>BEER</t>
  </si>
  <si>
    <t>BEKS</t>
  </si>
  <si>
    <t>BELI</t>
  </si>
  <si>
    <t>BELL</t>
  </si>
  <si>
    <t>BESS</t>
  </si>
  <si>
    <t>BEST</t>
  </si>
  <si>
    <t>BFIN</t>
  </si>
  <si>
    <t>BGTG</t>
  </si>
  <si>
    <t>BHAT</t>
  </si>
  <si>
    <t>BHIT</t>
  </si>
  <si>
    <t>BIKA</t>
  </si>
  <si>
    <t>BIKE</t>
  </si>
  <si>
    <t>BIMA</t>
  </si>
  <si>
    <t>BINA</t>
  </si>
  <si>
    <t>BINO</t>
  </si>
  <si>
    <t>BIPI</t>
  </si>
  <si>
    <t>BIPP</t>
  </si>
  <si>
    <t>BIRD</t>
  </si>
  <si>
    <t>BISI</t>
  </si>
  <si>
    <t>BJBR</t>
  </si>
  <si>
    <t>BJTM</t>
  </si>
  <si>
    <t>BKDP</t>
  </si>
  <si>
    <t>BKSL</t>
  </si>
  <si>
    <t>BKSW</t>
  </si>
  <si>
    <t>0..85</t>
  </si>
  <si>
    <t>BLES</t>
  </si>
  <si>
    <t>BLOG</t>
  </si>
  <si>
    <t>BLTA</t>
  </si>
  <si>
    <t>BLTZ</t>
  </si>
  <si>
    <t>BLUE</t>
  </si>
  <si>
    <t>BMAS</t>
  </si>
  <si>
    <t>BMBL</t>
  </si>
  <si>
    <t>BMHS</t>
  </si>
  <si>
    <t>BMRI</t>
  </si>
  <si>
    <t>BMSR</t>
  </si>
  <si>
    <t>BMTR</t>
  </si>
  <si>
    <t>BNBA</t>
  </si>
  <si>
    <t>BNBR</t>
  </si>
  <si>
    <t>BNGA</t>
  </si>
  <si>
    <t>BNII</t>
  </si>
  <si>
    <t>BNLI</t>
  </si>
  <si>
    <t>BOAT</t>
  </si>
  <si>
    <t>BOBA</t>
  </si>
  <si>
    <t>BOGA</t>
  </si>
  <si>
    <t>BOLA</t>
  </si>
  <si>
    <t>BOLT</t>
  </si>
  <si>
    <t>BOSS</t>
  </si>
  <si>
    <t>BPFI</t>
  </si>
  <si>
    <t>BPII</t>
  </si>
  <si>
    <t>BPTR</t>
  </si>
  <si>
    <t>BRAM</t>
  </si>
  <si>
    <t>BREN</t>
  </si>
  <si>
    <t>BRIS</t>
  </si>
  <si>
    <t>BRMS</t>
  </si>
  <si>
    <t>BRNA</t>
  </si>
  <si>
    <t>BRPT</t>
  </si>
  <si>
    <t>BRRC</t>
  </si>
  <si>
    <t>BSBK</t>
  </si>
  <si>
    <t>BSDE</t>
  </si>
  <si>
    <t>BSIM</t>
  </si>
  <si>
    <t>BSML</t>
  </si>
  <si>
    <t>BSSR</t>
  </si>
  <si>
    <t>BSWD</t>
  </si>
  <si>
    <t>BTEK</t>
  </si>
  <si>
    <t>BTEL</t>
  </si>
  <si>
    <t>BTON</t>
  </si>
  <si>
    <t>BTPN</t>
  </si>
  <si>
    <t>BTPS</t>
  </si>
  <si>
    <t>BUAH</t>
  </si>
  <si>
    <t>BUDI</t>
  </si>
  <si>
    <t>BUKA</t>
  </si>
  <si>
    <t>BUKK</t>
  </si>
  <si>
    <t>BULL</t>
  </si>
  <si>
    <t>BUMI</t>
  </si>
  <si>
    <t>BUVA</t>
  </si>
  <si>
    <t>BVIC</t>
  </si>
  <si>
    <t>BWPT</t>
  </si>
  <si>
    <t>BYAN</t>
  </si>
  <si>
    <t>CAKK</t>
  </si>
  <si>
    <t>CAMP</t>
  </si>
  <si>
    <t>CANI</t>
  </si>
  <si>
    <t>CARE</t>
  </si>
  <si>
    <t>CARS</t>
  </si>
  <si>
    <t>CASA</t>
  </si>
  <si>
    <t>CASH</t>
  </si>
  <si>
    <t>CASS</t>
  </si>
  <si>
    <t>CBDK</t>
  </si>
  <si>
    <t>CBMF</t>
  </si>
  <si>
    <t>CBPE</t>
  </si>
  <si>
    <t>CBRE</t>
  </si>
  <si>
    <t>CBUT</t>
  </si>
  <si>
    <t>CCSI</t>
  </si>
  <si>
    <t>CDIA</t>
  </si>
  <si>
    <t>CEKA</t>
  </si>
  <si>
    <t>CENT</t>
  </si>
  <si>
    <t>CFIN</t>
  </si>
  <si>
    <t>CGAS</t>
  </si>
  <si>
    <t>CHEK</t>
  </si>
  <si>
    <t>CHEM</t>
  </si>
  <si>
    <t>CHIP</t>
  </si>
  <si>
    <t>CINT</t>
  </si>
  <si>
    <t>CITA</t>
  </si>
  <si>
    <t>CITY</t>
  </si>
  <si>
    <t>CLAY</t>
  </si>
  <si>
    <t>CLEO</t>
  </si>
  <si>
    <t>CLPI</t>
  </si>
  <si>
    <t>CMNP</t>
  </si>
  <si>
    <t>CMNT</t>
  </si>
  <si>
    <t>CMPP</t>
  </si>
  <si>
    <t>CMRY</t>
  </si>
  <si>
    <t>CNKO</t>
  </si>
  <si>
    <t>CNMA</t>
  </si>
  <si>
    <t>CNTB</t>
  </si>
  <si>
    <t>CNTX</t>
  </si>
  <si>
    <t>COAL</t>
  </si>
  <si>
    <t>COCO</t>
  </si>
  <si>
    <t>COIN</t>
  </si>
  <si>
    <t>COWL</t>
  </si>
  <si>
    <t>CPIN</t>
  </si>
  <si>
    <t>CPRI</t>
  </si>
  <si>
    <t>CPRO</t>
  </si>
  <si>
    <t>CRAB</t>
  </si>
  <si>
    <t>CRSN</t>
  </si>
  <si>
    <t>CSAP</t>
  </si>
  <si>
    <t>CSIS</t>
  </si>
  <si>
    <t>CSMI</t>
  </si>
  <si>
    <t>CSRA</t>
  </si>
  <si>
    <t>CTBN</t>
  </si>
  <si>
    <t>CTRA</t>
  </si>
  <si>
    <t>CTTH</t>
  </si>
  <si>
    <t>CUAN</t>
  </si>
  <si>
    <t>CYBR</t>
  </si>
  <si>
    <t>DAAZ</t>
  </si>
  <si>
    <t>DADA</t>
  </si>
  <si>
    <t>DART</t>
  </si>
  <si>
    <t>DATA</t>
  </si>
  <si>
    <t>DAYA</t>
  </si>
  <si>
    <t>DCII</t>
  </si>
  <si>
    <t>DEAL</t>
  </si>
  <si>
    <t>DEFI</t>
  </si>
  <si>
    <t>DEPO</t>
  </si>
  <si>
    <t>DEWA</t>
  </si>
  <si>
    <t>DEWI</t>
  </si>
  <si>
    <t>DFAM</t>
  </si>
  <si>
    <t>DGIK</t>
  </si>
  <si>
    <t>DGNS</t>
  </si>
  <si>
    <t>DGWG</t>
  </si>
  <si>
    <t>DIGI</t>
  </si>
  <si>
    <t>DILD</t>
  </si>
  <si>
    <t>DIVA</t>
  </si>
  <si>
    <t>DKFT</t>
  </si>
  <si>
    <t>DKHH</t>
  </si>
  <si>
    <t>DLTA</t>
  </si>
  <si>
    <t>DMAS</t>
  </si>
  <si>
    <t>DMMX</t>
  </si>
  <si>
    <t>DMND</t>
  </si>
  <si>
    <t>DNAR</t>
  </si>
  <si>
    <t>DNET</t>
  </si>
  <si>
    <t>DOID</t>
  </si>
  <si>
    <t>DOOH</t>
  </si>
  <si>
    <t>DOSS</t>
  </si>
  <si>
    <t>DPNS</t>
  </si>
  <si>
    <t>DPUM</t>
  </si>
  <si>
    <t>DRMA</t>
  </si>
  <si>
    <t>DSFI</t>
  </si>
  <si>
    <t>DSNG</t>
  </si>
  <si>
    <t>DSSA</t>
  </si>
  <si>
    <t>DUCK</t>
  </si>
  <si>
    <t>DUTI</t>
  </si>
  <si>
    <t>DVLA</t>
  </si>
  <si>
    <t>DWGL</t>
  </si>
  <si>
    <t>DYAN</t>
  </si>
  <si>
    <t>EAST</t>
  </si>
  <si>
    <t>ECII</t>
  </si>
  <si>
    <t>EDGE</t>
  </si>
  <si>
    <t>EKAD</t>
  </si>
  <si>
    <t>ELIT</t>
  </si>
  <si>
    <t>ELPI</t>
  </si>
  <si>
    <t>ELSA</t>
  </si>
  <si>
    <t>ELTY</t>
  </si>
  <si>
    <t>EMAS</t>
  </si>
  <si>
    <t>EMDE</t>
  </si>
  <si>
    <t>EMTK</t>
  </si>
  <si>
    <t>ENAK</t>
  </si>
  <si>
    <t>ENRG</t>
  </si>
  <si>
    <t>ENVY</t>
  </si>
  <si>
    <t>ENZO</t>
  </si>
  <si>
    <t>EPAC</t>
  </si>
  <si>
    <t>EPMT</t>
  </si>
  <si>
    <t>ERAA</t>
  </si>
  <si>
    <t>ERAL</t>
  </si>
  <si>
    <t>ERTX</t>
  </si>
  <si>
    <t>ESIP</t>
  </si>
  <si>
    <t>ESSA</t>
  </si>
  <si>
    <t>ESTA</t>
  </si>
  <si>
    <t>ESTI</t>
  </si>
  <si>
    <t>ETWA</t>
  </si>
  <si>
    <t>EURO</t>
  </si>
  <si>
    <t>EXCL</t>
  </si>
  <si>
    <t>FAPA</t>
  </si>
  <si>
    <t>FAST</t>
  </si>
  <si>
    <t>FASW</t>
  </si>
  <si>
    <t>FILM</t>
  </si>
  <si>
    <t>FIMP</t>
  </si>
  <si>
    <t>FIRE</t>
  </si>
  <si>
    <t>FISH</t>
  </si>
  <si>
    <t>FITT</t>
  </si>
  <si>
    <t>FLMC</t>
  </si>
  <si>
    <t>FMII</t>
  </si>
  <si>
    <t>FOLK</t>
  </si>
  <si>
    <t>FOOD</t>
  </si>
  <si>
    <t>FORE</t>
  </si>
  <si>
    <t>FORU</t>
  </si>
  <si>
    <t>FPNI</t>
  </si>
  <si>
    <t>FREN</t>
  </si>
  <si>
    <t>FUJI</t>
  </si>
  <si>
    <t>FUTR</t>
  </si>
  <si>
    <t>FWCT</t>
  </si>
  <si>
    <t>GAMA</t>
  </si>
  <si>
    <t>GDST</t>
  </si>
  <si>
    <t>GDYR</t>
  </si>
  <si>
    <t>GEMA</t>
  </si>
  <si>
    <t>GEMS</t>
  </si>
  <si>
    <t>GGRM</t>
  </si>
  <si>
    <t>GGRP</t>
  </si>
  <si>
    <t>GHON</t>
  </si>
  <si>
    <t>GIAA</t>
  </si>
  <si>
    <t>GJTL</t>
  </si>
  <si>
    <t>GLOB</t>
  </si>
  <si>
    <t>GLVA</t>
  </si>
  <si>
    <t>GMFI</t>
  </si>
  <si>
    <t>GMTD</t>
  </si>
  <si>
    <t>GOLD</t>
  </si>
  <si>
    <t>GOLF</t>
  </si>
  <si>
    <t>GOLL</t>
  </si>
  <si>
    <t>GOOD</t>
  </si>
  <si>
    <t>GOTO</t>
  </si>
  <si>
    <t>GOTOM</t>
  </si>
  <si>
    <t>GPRA</t>
  </si>
  <si>
    <t>GPSO</t>
  </si>
  <si>
    <t>GRIA</t>
  </si>
  <si>
    <t>GRPH</t>
  </si>
  <si>
    <t>GRPM</t>
  </si>
  <si>
    <t>GSMF</t>
  </si>
  <si>
    <t>GTBO</t>
  </si>
  <si>
    <t>GTRA</t>
  </si>
  <si>
    <t>GTSI</t>
  </si>
  <si>
    <t>GULA</t>
  </si>
  <si>
    <t>GUNA</t>
  </si>
  <si>
    <t>GWSA</t>
  </si>
  <si>
    <t>GZCO</t>
  </si>
  <si>
    <t>HADE</t>
  </si>
  <si>
    <t>HAIS</t>
  </si>
  <si>
    <t>HAJJ</t>
  </si>
  <si>
    <t>HALO</t>
  </si>
  <si>
    <t>HATM</t>
  </si>
  <si>
    <t>HBAT</t>
  </si>
  <si>
    <t>HDFA</t>
  </si>
  <si>
    <t>HDIT</t>
  </si>
  <si>
    <t>HEAL</t>
  </si>
  <si>
    <t>HELI</t>
  </si>
  <si>
    <t>HERO</t>
  </si>
  <si>
    <t>HEXA</t>
  </si>
  <si>
    <t>HGII</t>
  </si>
  <si>
    <t>HILL</t>
  </si>
  <si>
    <t>HITS</t>
  </si>
  <si>
    <t>HKMU</t>
  </si>
  <si>
    <t>HMSP</t>
  </si>
  <si>
    <t>HOKI</t>
  </si>
  <si>
    <t>HOME</t>
  </si>
  <si>
    <t>HOMI</t>
  </si>
  <si>
    <t>HOPE</t>
  </si>
  <si>
    <t>HOTL</t>
  </si>
  <si>
    <t>HRME</t>
  </si>
  <si>
    <t>HRTA</t>
  </si>
  <si>
    <t>HRUM</t>
  </si>
  <si>
    <t>HUMI</t>
  </si>
  <si>
    <t>HYGN</t>
  </si>
  <si>
    <t>IATA</t>
  </si>
  <si>
    <t>IBFN</t>
  </si>
  <si>
    <t>IBOS</t>
  </si>
  <si>
    <t>IBST</t>
  </si>
  <si>
    <t>ICBP</t>
  </si>
  <si>
    <t>ICON</t>
  </si>
  <si>
    <t>IDEA</t>
  </si>
  <si>
    <t>IDPR</t>
  </si>
  <si>
    <t>IFII</t>
  </si>
  <si>
    <t>IFSH</t>
  </si>
  <si>
    <t>IGAR</t>
  </si>
  <si>
    <t>IIKP</t>
  </si>
  <si>
    <t>IKAI</t>
  </si>
  <si>
    <t>IKAN</t>
  </si>
  <si>
    <t>IKBI</t>
  </si>
  <si>
    <t>IKPM</t>
  </si>
  <si>
    <t>IMAS</t>
  </si>
  <si>
    <t>IMJS</t>
  </si>
  <si>
    <t>IMPC</t>
  </si>
  <si>
    <t>INAF</t>
  </si>
  <si>
    <t>INAI</t>
  </si>
  <si>
    <t>INCF</t>
  </si>
  <si>
    <t>INCI</t>
  </si>
  <si>
    <t>INCO</t>
  </si>
  <si>
    <t>INDF</t>
  </si>
  <si>
    <t>INDO</t>
  </si>
  <si>
    <t>INDR</t>
  </si>
  <si>
    <t>INDS</t>
  </si>
  <si>
    <t>INDX</t>
  </si>
  <si>
    <t>INDY</t>
  </si>
  <si>
    <t>INET</t>
  </si>
  <si>
    <t>INKP</t>
  </si>
  <si>
    <t>INOV</t>
  </si>
  <si>
    <t>INPC</t>
  </si>
  <si>
    <t>INPP</t>
  </si>
  <si>
    <t>INPS</t>
  </si>
  <si>
    <t>INTA</t>
  </si>
  <si>
    <t>INTD</t>
  </si>
  <si>
    <t>INTP</t>
  </si>
  <si>
    <t>IOTF</t>
  </si>
  <si>
    <t>IPAC</t>
  </si>
  <si>
    <t>IPCC</t>
  </si>
  <si>
    <t>IPCM</t>
  </si>
  <si>
    <t>IPOL</t>
  </si>
  <si>
    <t>IPPE</t>
  </si>
  <si>
    <t>IPTV</t>
  </si>
  <si>
    <t>IRRA</t>
  </si>
  <si>
    <t>IRSX</t>
  </si>
  <si>
    <t>ISAP</t>
  </si>
  <si>
    <t>ISAT</t>
  </si>
  <si>
    <t>ISEA</t>
  </si>
  <si>
    <t>ISSP</t>
  </si>
  <si>
    <t>ITIC</t>
  </si>
  <si>
    <t>ITMA</t>
  </si>
  <si>
    <t>ITMG</t>
  </si>
  <si>
    <t>JARR</t>
  </si>
  <si>
    <t>JAST</t>
  </si>
  <si>
    <t>JATI</t>
  </si>
  <si>
    <t>JAWA</t>
  </si>
  <si>
    <t>JAYA</t>
  </si>
  <si>
    <t>JECC</t>
  </si>
  <si>
    <t>JGLE</t>
  </si>
  <si>
    <t>JIHD</t>
  </si>
  <si>
    <t>JKON</t>
  </si>
  <si>
    <t>JMAS</t>
  </si>
  <si>
    <t>JPFA</t>
  </si>
  <si>
    <t>JRPT</t>
  </si>
  <si>
    <t>JSKY</t>
  </si>
  <si>
    <t>JSMR</t>
  </si>
  <si>
    <t>JSPT</t>
  </si>
  <si>
    <t>JTPE</t>
  </si>
  <si>
    <t>KAEF</t>
  </si>
  <si>
    <t>KAQI</t>
  </si>
  <si>
    <t>KARW</t>
  </si>
  <si>
    <t>KAYU</t>
  </si>
  <si>
    <t>KBAG</t>
  </si>
  <si>
    <t>KBLI</t>
  </si>
  <si>
    <t>KBLM</t>
  </si>
  <si>
    <t>KBLV</t>
  </si>
  <si>
    <t>KBRI</t>
  </si>
  <si>
    <t>KDSI</t>
  </si>
  <si>
    <t>KDTN</t>
  </si>
  <si>
    <t>KEEN</t>
  </si>
  <si>
    <t>KEJU</t>
  </si>
  <si>
    <t>KICI</t>
  </si>
  <si>
    <t>KIJA</t>
  </si>
  <si>
    <t>KING</t>
  </si>
  <si>
    <t>KINO</t>
  </si>
  <si>
    <t>KIOS</t>
  </si>
  <si>
    <t>KJEN</t>
  </si>
  <si>
    <t>KKES</t>
  </si>
  <si>
    <t>KKGI</t>
  </si>
  <si>
    <t>KLAS</t>
  </si>
  <si>
    <t>KLBF</t>
  </si>
  <si>
    <t>KLIN</t>
  </si>
  <si>
    <t>KMDS</t>
  </si>
  <si>
    <t>KMTR</t>
  </si>
  <si>
    <t>KOBX</t>
  </si>
  <si>
    <t>KOCI</t>
  </si>
  <si>
    <t>KOIN</t>
  </si>
  <si>
    <t>KOKA</t>
  </si>
  <si>
    <t>KONI</t>
  </si>
  <si>
    <t>KOPI</t>
  </si>
  <si>
    <t>KOTA</t>
  </si>
  <si>
    <t>KPIG</t>
  </si>
  <si>
    <t>KRAS</t>
  </si>
  <si>
    <t>KREN</t>
  </si>
  <si>
    <t>KRYA</t>
  </si>
  <si>
    <t>KSIX</t>
  </si>
  <si>
    <t>KUAS</t>
  </si>
  <si>
    <t>LABA</t>
  </si>
  <si>
    <t>LABS</t>
  </si>
  <si>
    <t>LAJU</t>
  </si>
  <si>
    <t>LAND</t>
  </si>
  <si>
    <t>LAPD</t>
  </si>
  <si>
    <t>LCGP</t>
  </si>
  <si>
    <t>LCKM</t>
  </si>
  <si>
    <t>LEAD</t>
  </si>
  <si>
    <t>LFLO</t>
  </si>
  <si>
    <t>LIFE</t>
  </si>
  <si>
    <t>LINK</t>
  </si>
  <si>
    <t>LION</t>
  </si>
  <si>
    <t>LIVE</t>
  </si>
  <si>
    <t>LMAS</t>
  </si>
  <si>
    <t>LMAX</t>
  </si>
  <si>
    <t>LMPI</t>
  </si>
  <si>
    <t>LMSH</t>
  </si>
  <si>
    <t>LOPI</t>
  </si>
  <si>
    <t>LPCK</t>
  </si>
  <si>
    <t>LPGI</t>
  </si>
  <si>
    <t>LPIN</t>
  </si>
  <si>
    <t>LPKR</t>
  </si>
  <si>
    <t>LPLI</t>
  </si>
  <si>
    <t>LPPF</t>
  </si>
  <si>
    <t>LPPS</t>
  </si>
  <si>
    <t>LRNA</t>
  </si>
  <si>
    <t>LSIP</t>
  </si>
  <si>
    <t>LTLS</t>
  </si>
  <si>
    <t>LUCK</t>
  </si>
  <si>
    <t>LUCY</t>
  </si>
  <si>
    <t>MABA</t>
  </si>
  <si>
    <t>MAGP</t>
  </si>
  <si>
    <t>MAHA</t>
  </si>
  <si>
    <t>MAIN</t>
  </si>
  <si>
    <t>MANG</t>
  </si>
  <si>
    <t>MAPA</t>
  </si>
  <si>
    <t>MAPB</t>
  </si>
  <si>
    <t>MAPI</t>
  </si>
  <si>
    <t>MARI</t>
  </si>
  <si>
    <t>MARK</t>
  </si>
  <si>
    <t>MASB</t>
  </si>
  <si>
    <t>MAXI</t>
  </si>
  <si>
    <t>MAYA</t>
  </si>
  <si>
    <t>MBAP</t>
  </si>
  <si>
    <t>MBMA</t>
  </si>
  <si>
    <t>MBSS</t>
  </si>
  <si>
    <t>MBTO</t>
  </si>
  <si>
    <t>MCAS</t>
  </si>
  <si>
    <t>MCOL</t>
  </si>
  <si>
    <t>MCOR</t>
  </si>
  <si>
    <t>MDIA</t>
  </si>
  <si>
    <t>MDIY</t>
  </si>
  <si>
    <t>MDKA</t>
  </si>
  <si>
    <t>MDKI</t>
  </si>
  <si>
    <t>MDLA</t>
  </si>
  <si>
    <t>MDLN</t>
  </si>
  <si>
    <t>MDRN</t>
  </si>
  <si>
    <t>MEDC</t>
  </si>
  <si>
    <t>MEDS</t>
  </si>
  <si>
    <t>MEGA</t>
  </si>
  <si>
    <t>MEJA</t>
  </si>
  <si>
    <t>MENN</t>
  </si>
  <si>
    <t>MERI</t>
  </si>
  <si>
    <t>MERK</t>
  </si>
  <si>
    <t>META</t>
  </si>
  <si>
    <t>MFMI</t>
  </si>
  <si>
    <t>MGLV</t>
  </si>
  <si>
    <t>MGNA</t>
  </si>
  <si>
    <t>MGRO</t>
  </si>
  <si>
    <t>MHKI</t>
  </si>
  <si>
    <t>MICE</t>
  </si>
  <si>
    <t>MIDI</t>
  </si>
  <si>
    <t>MIKA</t>
  </si>
  <si>
    <t>MINA</t>
  </si>
  <si>
    <t>MINE</t>
  </si>
  <si>
    <t>MIRA</t>
  </si>
  <si>
    <t>MITI</t>
  </si>
  <si>
    <t>MKAP</t>
  </si>
  <si>
    <t>MKNT</t>
  </si>
  <si>
    <t>MKPI</t>
  </si>
  <si>
    <t>MKTR</t>
  </si>
  <si>
    <t>MLBI</t>
  </si>
  <si>
    <t>MLIA</t>
  </si>
  <si>
    <t>MLPL</t>
  </si>
  <si>
    <t>MLPT</t>
  </si>
  <si>
    <t>MMIX</t>
  </si>
  <si>
    <t>MMLP</t>
  </si>
  <si>
    <t>MNCN</t>
  </si>
  <si>
    <t>MOLI</t>
  </si>
  <si>
    <t>MORA</t>
  </si>
  <si>
    <t>MPIX</t>
  </si>
  <si>
    <t>MPMX</t>
  </si>
  <si>
    <t>MPOW</t>
  </si>
  <si>
    <t>MPPA</t>
  </si>
  <si>
    <t>MPRO</t>
  </si>
  <si>
    <t>MPXL</t>
  </si>
  <si>
    <t>MRAT</t>
  </si>
  <si>
    <t>MREI</t>
  </si>
  <si>
    <t>MSIE</t>
  </si>
  <si>
    <t>MSIN</t>
  </si>
  <si>
    <t>MSJA</t>
  </si>
  <si>
    <t>MSKY</t>
  </si>
  <si>
    <t>MSTI</t>
  </si>
  <si>
    <t>MTDL</t>
  </si>
  <si>
    <t>MTEL</t>
  </si>
  <si>
    <t>MTFN</t>
  </si>
  <si>
    <t>MTLA</t>
  </si>
  <si>
    <t>MTMH</t>
  </si>
  <si>
    <t>MTPS</t>
  </si>
  <si>
    <t>MTRA</t>
  </si>
  <si>
    <t>MTSM</t>
  </si>
  <si>
    <t>MTWI</t>
  </si>
  <si>
    <t>MUTU</t>
  </si>
  <si>
    <t>MYOH</t>
  </si>
  <si>
    <t>MYOR</t>
  </si>
  <si>
    <t>MYTX</t>
  </si>
  <si>
    <t>NAIK</t>
  </si>
  <si>
    <t>NANO</t>
  </si>
  <si>
    <t>NASA</t>
  </si>
  <si>
    <t>NASI</t>
  </si>
  <si>
    <t>NATO</t>
  </si>
  <si>
    <t>NAYZ</t>
  </si>
  <si>
    <t>NCKL</t>
  </si>
  <si>
    <t>NELY</t>
  </si>
  <si>
    <t>NEST</t>
  </si>
  <si>
    <t>NETV</t>
  </si>
  <si>
    <t>NFCX</t>
  </si>
  <si>
    <t>NICE</t>
  </si>
  <si>
    <t>NICK</t>
  </si>
  <si>
    <t>NICL</t>
  </si>
  <si>
    <t>NIKL</t>
  </si>
  <si>
    <t>NINE</t>
  </si>
  <si>
    <t>NIRO</t>
  </si>
  <si>
    <t>NISP</t>
  </si>
  <si>
    <t>NOBU</t>
  </si>
  <si>
    <t>NPGF</t>
  </si>
  <si>
    <t>NRCA</t>
  </si>
  <si>
    <t>NSSS</t>
  </si>
  <si>
    <t>NTBK</t>
  </si>
  <si>
    <t>NUSA</t>
  </si>
  <si>
    <t>NZIA</t>
  </si>
  <si>
    <t>OASA</t>
  </si>
  <si>
    <t>OBAT</t>
  </si>
  <si>
    <t>OBMD</t>
  </si>
  <si>
    <t>OCAP</t>
  </si>
  <si>
    <t>OILS</t>
  </si>
  <si>
    <t>OKAS</t>
  </si>
  <si>
    <t>OLIV</t>
  </si>
  <si>
    <t>OMED</t>
  </si>
  <si>
    <t>OMRE</t>
  </si>
  <si>
    <t>OPMS</t>
  </si>
  <si>
    <t>PACK</t>
  </si>
  <si>
    <t>PADA</t>
  </si>
  <si>
    <t>PADI</t>
  </si>
  <si>
    <t>PALM</t>
  </si>
  <si>
    <t>PAMG</t>
  </si>
  <si>
    <t>PANI</t>
  </si>
  <si>
    <t>PANR</t>
  </si>
  <si>
    <t>PANS</t>
  </si>
  <si>
    <t>PART</t>
  </si>
  <si>
    <t>PBID</t>
  </si>
  <si>
    <t>PBRX</t>
  </si>
  <si>
    <t>PBSA</t>
  </si>
  <si>
    <t>PCAR</t>
  </si>
  <si>
    <t>PDES</t>
  </si>
  <si>
    <t>PDPP</t>
  </si>
  <si>
    <t>PEGE</t>
  </si>
  <si>
    <t>PEHA</t>
  </si>
  <si>
    <t>PEVE</t>
  </si>
  <si>
    <t>PGAS</t>
  </si>
  <si>
    <t>PGEO</t>
  </si>
  <si>
    <t>PGJO</t>
  </si>
  <si>
    <t>PGLI</t>
  </si>
  <si>
    <t>PGUN</t>
  </si>
  <si>
    <t>PICO</t>
  </si>
  <si>
    <t>PIPA</t>
  </si>
  <si>
    <t>PJAA</t>
  </si>
  <si>
    <t>PJHB</t>
  </si>
  <si>
    <t>PKPK</t>
  </si>
  <si>
    <t>PLAN</t>
  </si>
  <si>
    <t>PLAS</t>
  </si>
  <si>
    <t>PLIN</t>
  </si>
  <si>
    <t>PMJS</t>
  </si>
  <si>
    <t>PMMP</t>
  </si>
  <si>
    <t>PMUI</t>
  </si>
  <si>
    <t>PNBN</t>
  </si>
  <si>
    <t>PNBS</t>
  </si>
  <si>
    <t>PNGO</t>
  </si>
  <si>
    <t>PNIN</t>
  </si>
  <si>
    <t>PNLF</t>
  </si>
  <si>
    <t>PNSE</t>
  </si>
  <si>
    <t>POLA</t>
  </si>
  <si>
    <t>POLI</t>
  </si>
  <si>
    <t>POLL</t>
  </si>
  <si>
    <t>POLU</t>
  </si>
  <si>
    <t>POLY</t>
  </si>
  <si>
    <t>POOL</t>
  </si>
  <si>
    <t>PORT</t>
  </si>
  <si>
    <t>POSA</t>
  </si>
  <si>
    <t>POWR</t>
  </si>
  <si>
    <t>PPGL</t>
  </si>
  <si>
    <t>PPRE</t>
  </si>
  <si>
    <t>PPRI</t>
  </si>
  <si>
    <t>PPRO</t>
  </si>
  <si>
    <t>PRAY</t>
  </si>
  <si>
    <t>PRDA</t>
  </si>
  <si>
    <t>PRIM</t>
  </si>
  <si>
    <t>PSAB</t>
  </si>
  <si>
    <t>PSAT</t>
  </si>
  <si>
    <t>PSDN</t>
  </si>
  <si>
    <t>PSGO</t>
  </si>
  <si>
    <t>PSKT</t>
  </si>
  <si>
    <t>PSSI</t>
  </si>
  <si>
    <t>PTBA</t>
  </si>
  <si>
    <t>PTDU</t>
  </si>
  <si>
    <t>PTIS</t>
  </si>
  <si>
    <t>PTMP</t>
  </si>
  <si>
    <t>PTMR</t>
  </si>
  <si>
    <t>PTPP</t>
  </si>
  <si>
    <t>PTPS</t>
  </si>
  <si>
    <t>PTPW</t>
  </si>
  <si>
    <t>PTRO</t>
  </si>
  <si>
    <t>PTSN</t>
  </si>
  <si>
    <t>PTSP</t>
  </si>
  <si>
    <t>PUDP</t>
  </si>
  <si>
    <t>PURA</t>
  </si>
  <si>
    <t>PURE</t>
  </si>
  <si>
    <t>PURI</t>
  </si>
  <si>
    <t>PWON</t>
  </si>
  <si>
    <t>PYFA</t>
  </si>
  <si>
    <t>PZZA</t>
  </si>
  <si>
    <t>RAAM</t>
  </si>
  <si>
    <t>RAFI</t>
  </si>
  <si>
    <t>RAJA</t>
  </si>
  <si>
    <t>RALS</t>
  </si>
  <si>
    <t>RANC</t>
  </si>
  <si>
    <t>RATU</t>
  </si>
  <si>
    <t>RBMS</t>
  </si>
  <si>
    <t>RCCC</t>
  </si>
  <si>
    <t>RDTX</t>
  </si>
  <si>
    <t>REAL</t>
  </si>
  <si>
    <t>RELF</t>
  </si>
  <si>
    <t>RELI</t>
  </si>
  <si>
    <t>RGAS</t>
  </si>
  <si>
    <t>RICY</t>
  </si>
  <si>
    <t>RIGS</t>
  </si>
  <si>
    <t>RIMO</t>
  </si>
  <si>
    <t>RISE</t>
  </si>
  <si>
    <t>RLCO</t>
  </si>
  <si>
    <t>RMKE</t>
  </si>
  <si>
    <t>RMKO</t>
  </si>
  <si>
    <t>ROCK</t>
  </si>
  <si>
    <t>RODA</t>
  </si>
  <si>
    <t>RONY</t>
  </si>
  <si>
    <t>ROTI</t>
  </si>
  <si>
    <t>RSCH</t>
  </si>
  <si>
    <t>RSGK</t>
  </si>
  <si>
    <t>RUIS</t>
  </si>
  <si>
    <t>RUNS</t>
  </si>
  <si>
    <t>SAFE</t>
  </si>
  <si>
    <t>SAGE</t>
  </si>
  <si>
    <t>SAME</t>
  </si>
  <si>
    <t>SAMF</t>
  </si>
  <si>
    <t>SAPX</t>
  </si>
  <si>
    <t>SATU</t>
  </si>
  <si>
    <t>SBAT</t>
  </si>
  <si>
    <t>SBMA</t>
  </si>
  <si>
    <t>SCCO</t>
  </si>
  <si>
    <t>SCMA</t>
  </si>
  <si>
    <t>SCNP</t>
  </si>
  <si>
    <t>SCPI</t>
  </si>
  <si>
    <t>SDMU</t>
  </si>
  <si>
    <t>SDPC</t>
  </si>
  <si>
    <t>SDRA</t>
  </si>
  <si>
    <t>SEMA</t>
  </si>
  <si>
    <t>SFAN</t>
  </si>
  <si>
    <t>SGER</t>
  </si>
  <si>
    <t>SGRO</t>
  </si>
  <si>
    <t>SHID</t>
  </si>
  <si>
    <t>SHIP</t>
  </si>
  <si>
    <t>SICO</t>
  </si>
  <si>
    <t>SIDO</t>
  </si>
  <si>
    <t>SILO</t>
  </si>
  <si>
    <t>SIMA</t>
  </si>
  <si>
    <t>SIMP</t>
  </si>
  <si>
    <t>SINI</t>
  </si>
  <si>
    <t>SIPD</t>
  </si>
  <si>
    <t>SKBM</t>
  </si>
  <si>
    <t>SKLT</t>
  </si>
  <si>
    <t>SKRN</t>
  </si>
  <si>
    <t>SKYB</t>
  </si>
  <si>
    <t>SLIS</t>
  </si>
  <si>
    <t>SMAR</t>
  </si>
  <si>
    <t>SMBR</t>
  </si>
  <si>
    <t>SMCB</t>
  </si>
  <si>
    <t>SMDM</t>
  </si>
  <si>
    <t>SMDR</t>
  </si>
  <si>
    <t>SMGA</t>
  </si>
  <si>
    <t>SMGR</t>
  </si>
  <si>
    <t>SMIL</t>
  </si>
  <si>
    <t>SMKL</t>
  </si>
  <si>
    <t>SMKM</t>
  </si>
  <si>
    <t>SMLE</t>
  </si>
  <si>
    <t>SMMA</t>
  </si>
  <si>
    <t>SMMT</t>
  </si>
  <si>
    <t>SMRA</t>
  </si>
  <si>
    <t>SMRU</t>
  </si>
  <si>
    <t>SMSM</t>
  </si>
  <si>
    <t>SNLK</t>
  </si>
  <si>
    <t>SOCI</t>
  </si>
  <si>
    <t>SOFA</t>
  </si>
  <si>
    <t>SOHO</t>
  </si>
  <si>
    <t>SOLA</t>
  </si>
  <si>
    <t>SONA</t>
  </si>
  <si>
    <t>SOSS</t>
  </si>
  <si>
    <t>SOTS</t>
  </si>
  <si>
    <t>SOUL</t>
  </si>
  <si>
    <t>SPMA</t>
  </si>
  <si>
    <t>SPRE</t>
  </si>
  <si>
    <t>SPTO</t>
  </si>
  <si>
    <t>SQMI</t>
  </si>
  <si>
    <t>SRAJ</t>
  </si>
  <si>
    <t>SRIL</t>
  </si>
  <si>
    <t>SRSN</t>
  </si>
  <si>
    <t>SRTG</t>
  </si>
  <si>
    <t>SSIA</t>
  </si>
  <si>
    <t>SSMS</t>
  </si>
  <si>
    <t>SSTM</t>
  </si>
  <si>
    <t>STAA</t>
  </si>
  <si>
    <t>STAR</t>
  </si>
  <si>
    <t>STRK</t>
  </si>
  <si>
    <t>STTP</t>
  </si>
  <si>
    <t>SUGI</t>
  </si>
  <si>
    <t>SULI</t>
  </si>
  <si>
    <t>SUNI</t>
  </si>
  <si>
    <t>SUPA</t>
  </si>
  <si>
    <t>SUPR</t>
  </si>
  <si>
    <t>SURE</t>
  </si>
  <si>
    <t>SURI</t>
  </si>
  <si>
    <t>SWAT</t>
  </si>
  <si>
    <t>SWID</t>
  </si>
  <si>
    <t>TALF</t>
  </si>
  <si>
    <t>TAMA</t>
  </si>
  <si>
    <t>TAMU</t>
  </si>
  <si>
    <t>TAPG</t>
  </si>
  <si>
    <t>TARA</t>
  </si>
  <si>
    <t>TAXI</t>
  </si>
  <si>
    <t>TAYS</t>
  </si>
  <si>
    <t>TBIG</t>
  </si>
  <si>
    <t>TBLA</t>
  </si>
  <si>
    <t>TBMS</t>
  </si>
  <si>
    <t>TCID</t>
  </si>
  <si>
    <t>TCPI</t>
  </si>
  <si>
    <t>TDPM</t>
  </si>
  <si>
    <t>TEBE</t>
  </si>
  <si>
    <t>TECH</t>
  </si>
  <si>
    <t>TELE</t>
  </si>
  <si>
    <t>TFAS</t>
  </si>
  <si>
    <t>TFCO</t>
  </si>
  <si>
    <t>TGKA</t>
  </si>
  <si>
    <t>TGRA</t>
  </si>
  <si>
    <t>TGUK</t>
  </si>
  <si>
    <t>TIFA</t>
  </si>
  <si>
    <t>TINS</t>
  </si>
  <si>
    <t>TIRA</t>
  </si>
  <si>
    <t>TIRT</t>
  </si>
  <si>
    <t>TKIM</t>
  </si>
  <si>
    <t>TLDN</t>
  </si>
  <si>
    <t>TLKM</t>
  </si>
  <si>
    <t>TMAS</t>
  </si>
  <si>
    <t>TMPO</t>
  </si>
  <si>
    <t>TNCA</t>
  </si>
  <si>
    <t>TOBA</t>
  </si>
  <si>
    <t>TOOL</t>
  </si>
  <si>
    <t>TOPS</t>
  </si>
  <si>
    <t>TOSK</t>
  </si>
  <si>
    <t>TOTL</t>
  </si>
  <si>
    <t>TOTO</t>
  </si>
  <si>
    <t>TOWR</t>
  </si>
  <si>
    <t>TOYS</t>
  </si>
  <si>
    <t>TPIA</t>
  </si>
  <si>
    <t>TPMA</t>
  </si>
  <si>
    <t>TRAM</t>
  </si>
  <si>
    <t>TRGU</t>
  </si>
  <si>
    <t>TRIL</t>
  </si>
  <si>
    <t>TRIM</t>
  </si>
  <si>
    <t>TRIN</t>
  </si>
  <si>
    <t>TRIO</t>
  </si>
  <si>
    <t>TRIS</t>
  </si>
  <si>
    <t>TRJA</t>
  </si>
  <si>
    <t>TRON</t>
  </si>
  <si>
    <t>TRST</t>
  </si>
  <si>
    <t>TRUE</t>
  </si>
  <si>
    <t>TRUK</t>
  </si>
  <si>
    <t>TRUS</t>
  </si>
  <si>
    <t>TSPC</t>
  </si>
  <si>
    <t>TUGU</t>
  </si>
  <si>
    <t>TYRE</t>
  </si>
  <si>
    <t>UANG</t>
  </si>
  <si>
    <t>UCID</t>
  </si>
  <si>
    <t>UDNG</t>
  </si>
  <si>
    <t>UFOE</t>
  </si>
  <si>
    <t>ULTJ</t>
  </si>
  <si>
    <t>UNIC</t>
  </si>
  <si>
    <t>UNIQ</t>
  </si>
  <si>
    <t>UNIT</t>
  </si>
  <si>
    <t>UNSP</t>
  </si>
  <si>
    <t>UNTD</t>
  </si>
  <si>
    <t>UNTR</t>
  </si>
  <si>
    <t>UNVR</t>
  </si>
  <si>
    <t>URBN</t>
  </si>
  <si>
    <t>UVCR</t>
  </si>
  <si>
    <t>VAST</t>
  </si>
  <si>
    <t>VERN</t>
  </si>
  <si>
    <t>VICI</t>
  </si>
  <si>
    <t>VICO</t>
  </si>
  <si>
    <t>VINS</t>
  </si>
  <si>
    <t>VISI</t>
  </si>
  <si>
    <t>VIVA</t>
  </si>
  <si>
    <t>VKTR</t>
  </si>
  <si>
    <t>VOKS</t>
  </si>
  <si>
    <t>VRNA</t>
  </si>
  <si>
    <t>VTNY</t>
  </si>
  <si>
    <t>WAPO</t>
  </si>
  <si>
    <t>WBSA</t>
  </si>
  <si>
    <t>WEGE</t>
  </si>
  <si>
    <t>WEHA</t>
  </si>
  <si>
    <t>WGSH</t>
  </si>
  <si>
    <t>WICO</t>
  </si>
  <si>
    <t>WIDI</t>
  </si>
  <si>
    <t>WIFI</t>
  </si>
  <si>
    <t>WIIM</t>
  </si>
  <si>
    <t>WIKA</t>
  </si>
  <si>
    <t>WINE</t>
  </si>
  <si>
    <t>WINR</t>
  </si>
  <si>
    <t>WINS</t>
  </si>
  <si>
    <t>WIRG</t>
  </si>
  <si>
    <t>WMPP</t>
  </si>
  <si>
    <t>WMUU</t>
  </si>
  <si>
    <t>WOMF</t>
  </si>
  <si>
    <t>WOOD</t>
  </si>
  <si>
    <t>WOWS</t>
  </si>
  <si>
    <t>WSBP</t>
  </si>
  <si>
    <t>WSKT</t>
  </si>
  <si>
    <t>WTON</t>
  </si>
  <si>
    <t>YELO</t>
  </si>
  <si>
    <t>YOII</t>
  </si>
  <si>
    <t>YPAS</t>
  </si>
  <si>
    <t>YULE</t>
  </si>
  <si>
    <t>YUPI</t>
  </si>
  <si>
    <t>ZATA</t>
  </si>
  <si>
    <t>ZBRA</t>
  </si>
  <si>
    <t>ZINC</t>
  </si>
  <si>
    <t>ZONE</t>
  </si>
  <si>
    <t>ZYRX</t>
  </si>
  <si>
    <t>PER ≤ 15</t>
  </si>
  <si>
    <t>PBV ≤ 3</t>
  </si>
  <si>
    <t>ROE ≥ 12%</t>
  </si>
  <si>
    <t>ROA ≥ 7%</t>
  </si>
  <si>
    <t>DER ≤ 1.5</t>
  </si>
  <si>
    <t>NPM ≥ 7%</t>
  </si>
  <si>
    <t>NIM ≥ 5%</t>
  </si>
  <si>
    <t>CAR ≥ 16%</t>
  </si>
  <si>
    <t>LDR 85-92%</t>
  </si>
  <si>
    <t>NPL ≤ 2%</t>
  </si>
  <si>
    <t>BOPO ≤ 75%</t>
  </si>
  <si>
    <t>CIR ≤ 50%</t>
  </si>
  <si>
    <t>LAR ≤ 8%</t>
  </si>
  <si>
    <t>ROA ≥ 1%</t>
  </si>
  <si>
    <t>NIM ≥ 3.5%</t>
  </si>
  <si>
    <t>CAR ≥ 15%</t>
  </si>
  <si>
    <t>LDR ≥ 75%</t>
  </si>
  <si>
    <t>NPL ≤ 3.5%</t>
  </si>
  <si>
    <t>BOPO ≤ 80%</t>
  </si>
  <si>
    <t>CIR ≤ 65%</t>
  </si>
  <si>
    <t>LAR ≤ 11%</t>
  </si>
  <si>
    <t>Nama ETF</t>
  </si>
  <si>
    <t>Manajer Investasi</t>
  </si>
  <si>
    <t>Dealer Partisipan</t>
  </si>
  <si>
    <t>Tanggal Pencatatan</t>
  </si>
  <si>
    <t>Harga Awal</t>
  </si>
  <si>
    <t>Harga Penutupan</t>
  </si>
  <si>
    <t>Dividen Terakhir</t>
  </si>
  <si>
    <t>XRDN</t>
  </si>
  <si>
    <t>Reksa Dana Indo ETF RDN Kas Bertumbuh</t>
  </si>
  <si>
    <t>PT Indo Premier Investment Management</t>
  </si>
  <si>
    <t>PT Indo Premier Sekuritas</t>
  </si>
  <si>
    <t>XPIN</t>
  </si>
  <si>
    <t>Reksa Dana Indeks Bahana ETF Pefindo I-Grade</t>
  </si>
  <si>
    <t>PT Bahana TCW Investment Management</t>
  </si>
  <si>
    <t>PT Mirae Asset Sekuritas Indonesia</t>
  </si>
  <si>
    <t>XIPB</t>
  </si>
  <si>
    <t>Reksa Dana Index Premier ETF IDX-Pefindo Primebank</t>
  </si>
  <si>
    <t>XMSK</t>
  </si>
  <si>
    <t>Reksa Dana Indeks Mandiri ETF SRI-Kehati</t>
  </si>
  <si>
    <t>PT Mandiri Manajemen Investasi</t>
  </si>
  <si>
    <t>XKID</t>
  </si>
  <si>
    <t>Reksa Dana Indeks KISI IDX30 ETF</t>
  </si>
  <si>
    <t>PT Korea Investment Management Indonesia</t>
  </si>
  <si>
    <t>PT Korea Investment and Sekuritas Indonesia</t>
  </si>
  <si>
    <t>XMGB</t>
  </si>
  <si>
    <t>Reksa Dana Majoris Government Bonds ETF Indonesia</t>
  </si>
  <si>
    <t>PT Majoris Asset Management</t>
  </si>
  <si>
    <t>PT BCA Sekuritas</t>
  </si>
  <si>
    <t>XMLF</t>
  </si>
  <si>
    <t>Reksa Dana Indeks Mandiri ETF LQ45</t>
  </si>
  <si>
    <t>PT Mandiri Sekuritas</t>
  </si>
  <si>
    <t>XCEG</t>
  </si>
  <si>
    <t>Reksa Dana Indeks Capital ETF IDX ESG Leaders</t>
  </si>
  <si>
    <t>PT Capital Asset Management</t>
  </si>
  <si>
    <t>XBIG</t>
  </si>
  <si>
    <t>Reksa Dana Indeks BNP Paribas IDX Growth30 ETF</t>
  </si>
  <si>
    <t>PT BNP Paribas Asset Management</t>
  </si>
  <si>
    <t>XIFE</t>
  </si>
  <si>
    <t>Reksa Dana Indeks Premier ETF FTSE Indonesia ESG</t>
  </si>
  <si>
    <t>XKMS</t>
  </si>
  <si>
    <t>Reksa Dana Indeks KISI MSCI Indonesia ETF</t>
  </si>
  <si>
    <t>XIID</t>
  </si>
  <si>
    <t>Reksa Dana Indeks Premier ETF Index IDX30</t>
  </si>
  <si>
    <t>XILV</t>
  </si>
  <si>
    <t>Insight ETF FTSE Indonesia Low Volatility Factor</t>
  </si>
  <si>
    <t>PT Insight Investments Management</t>
  </si>
  <si>
    <t>XSSK</t>
  </si>
  <si>
    <t>Reksa Dana Indeks SAM ETF SRI-KEHATI</t>
  </si>
  <si>
    <t>PT Samuel Aset Manajemen</t>
  </si>
  <si>
    <t>XIML</t>
  </si>
  <si>
    <t>RD Indeks Premier ETF MSCI Indonesia Large Cap</t>
  </si>
  <si>
    <t>XNVE</t>
  </si>
  <si>
    <t>Reksa Dana Indeks Nusadana ETF IDX Value30</t>
  </si>
  <si>
    <t>PT Nusadana Investama Indonesia</t>
  </si>
  <si>
    <t>PT Sinarmas &amp; Mirae Asset</t>
  </si>
  <si>
    <t>XCLQ</t>
  </si>
  <si>
    <t>Reksa Dana Indeks Cipta ETF Index LQ45</t>
  </si>
  <si>
    <t>PT Ciptadana Asset Management</t>
  </si>
  <si>
    <t>XKIV</t>
  </si>
  <si>
    <t>Reksa Dana Indeks KISI IDX Value30 ETF</t>
  </si>
  <si>
    <t>XBIN</t>
  </si>
  <si>
    <t>Reksa Dana Indeks Bahana ETF Bisnis - 27</t>
  </si>
  <si>
    <t>XSSI</t>
  </si>
  <si>
    <t>Reksa Dana Syariah Indeks Simas ETF JII</t>
  </si>
  <si>
    <t>PT Sinarmas Asset Management</t>
  </si>
  <si>
    <t>PT Sinarmas Sekuritas</t>
  </si>
  <si>
    <t>XMIG</t>
  </si>
  <si>
    <t>Reksa Dana Indeks Majoris Pefindo I-Grade ETF</t>
  </si>
  <si>
    <t>XPTD</t>
  </si>
  <si>
    <t>Reksa Dana Indeks Panin ETF IDX30 Dinamis</t>
  </si>
  <si>
    <t>PT Panin Asset Management</t>
  </si>
  <si>
    <t>Sinarmas, Panin, Phillip</t>
  </si>
  <si>
    <t>XBSK</t>
  </si>
  <si>
    <t>Reksa Dana Indeks Batavia SRI-KEHATI ETF</t>
  </si>
  <si>
    <t>PT Batavia Prosperindo Aset Manajemen</t>
  </si>
  <si>
    <t>XBID</t>
  </si>
  <si>
    <t>Reksa Dana Indeks Batavia IDX30 ETF</t>
  </si>
  <si>
    <t>XIPI</t>
  </si>
  <si>
    <t>Reksa Dana Indeks Premier ETF PEFINDO i-Grade</t>
  </si>
  <si>
    <t>XIHD</t>
  </si>
  <si>
    <t>Reksadana Indeks Premier ETF IDX HIGH DIV 20</t>
  </si>
  <si>
    <t>XSBC</t>
  </si>
  <si>
    <t>Reksa Dana Indeks Simas ETF IDX30</t>
  </si>
  <si>
    <t>XPFT</t>
  </si>
  <si>
    <t>Reksa Dana Pinnacle FTSE Indonesia</t>
  </si>
  <si>
    <t>PT Pinnacle Persada Investama</t>
  </si>
  <si>
    <t>XDIF</t>
  </si>
  <si>
    <t>Reksa Dana Danareks ETF Indonesia Top 40</t>
  </si>
  <si>
    <t>PT BRI Manajemen Investasi</t>
  </si>
  <si>
    <t>XBLQ</t>
  </si>
  <si>
    <t>Reksa Dana Batavia Smart Liquid ETF</t>
  </si>
  <si>
    <t>XPSG</t>
  </si>
  <si>
    <t>Reksa Dana Pinnacle Indonesia ESG ETF</t>
  </si>
  <si>
    <t>XPDV</t>
  </si>
  <si>
    <t>Reksa Dana Pinncale Core High Dividend ETF</t>
  </si>
  <si>
    <t>XISB</t>
  </si>
  <si>
    <t>Premier ETF Indonesia Sovereign Bonds</t>
  </si>
  <si>
    <t>XPLQ</t>
  </si>
  <si>
    <t>Reksa Dana Pinacle Enhanced Liquid ETF</t>
  </si>
  <si>
    <t>15 Agt 2016</t>
  </si>
  <si>
    <t>XISC</t>
  </si>
  <si>
    <t>Premier ETF Indonesia State-Owned Companies</t>
  </si>
  <si>
    <t>XIIF</t>
  </si>
  <si>
    <t>Reksa Dana Premier ETF Indonesia Financial</t>
  </si>
  <si>
    <t>XISR</t>
  </si>
  <si>
    <t>Reksa Dana KIK Premier ETF SRI-KEHATI</t>
  </si>
  <si>
    <t>XISI</t>
  </si>
  <si>
    <t>Reksa Dana KIK Premier ETF SMinfra18</t>
  </si>
  <si>
    <t>XIIC</t>
  </si>
  <si>
    <t>Reksa Dana KIK Premier ETF Indo Consumer</t>
  </si>
  <si>
    <t>XIJI</t>
  </si>
  <si>
    <t>Reksa Dana KIK Syariah Premier ETF JII</t>
  </si>
  <si>
    <t>XIIT</t>
  </si>
  <si>
    <t>Reksa Dana KIK Premier IDX30</t>
  </si>
  <si>
    <t>R-ABFII</t>
  </si>
  <si>
    <t>Reksa Dana KIK ABF IBI Funds</t>
  </si>
  <si>
    <t>PT Bahana Sekuritas</t>
  </si>
  <si>
    <t>R-LQ45X</t>
  </si>
  <si>
    <t>Reksa Dana KIK Premier LQ45</t>
  </si>
  <si>
    <t>No</t>
  </si>
  <si>
    <t>Kode Saham</t>
  </si>
  <si>
    <t>Kode Subindustri</t>
  </si>
  <si>
    <t>Subsektor</t>
  </si>
  <si>
    <t>Industri</t>
  </si>
  <si>
    <t>Subindustri</t>
  </si>
  <si>
    <t>PER</t>
  </si>
  <si>
    <t>PBV</t>
  </si>
  <si>
    <t>ROE %</t>
  </si>
  <si>
    <t>ROA %</t>
  </si>
  <si>
    <t>DER</t>
  </si>
  <si>
    <t>Mkt Cap</t>
  </si>
  <si>
    <t>Total Rev</t>
  </si>
  <si>
    <t>4-wk %Pr. Chg.</t>
  </si>
  <si>
    <t>13-wk %Pr. Chg.</t>
  </si>
  <si>
    <t>26-wk %Pr. Chg.</t>
  </si>
  <si>
    <t>52-wk %Pr. Chg.</t>
  </si>
  <si>
    <t>NPM %</t>
  </si>
  <si>
    <t>MTD</t>
  </si>
  <si>
    <t>YTD</t>
  </si>
  <si>
    <t>Adaro Andalan Indonesia Tbk.</t>
  </si>
  <si>
    <t>A121</t>
  </si>
  <si>
    <t>Energy</t>
  </si>
  <si>
    <t>Oil, Gas &amp; Coal</t>
  </si>
  <si>
    <t>Coal</t>
  </si>
  <si>
    <t>Coal Production</t>
  </si>
  <si>
    <t>COMPOSITE, IDX30, IDX80, IDXENERGY, IDXV30, ISSI, JII, JII70, KOMPAS100, LQ45, MBX</t>
  </si>
  <si>
    <t>Astra Agro Lestari Tbk</t>
  </si>
  <si>
    <t>D232</t>
  </si>
  <si>
    <t>Consumer Non-Cyclicals</t>
  </si>
  <si>
    <t>Food &amp; Beverage</t>
  </si>
  <si>
    <t>Agricultural Products</t>
  </si>
  <si>
    <t>Plantations &amp; Crops</t>
  </si>
  <si>
    <t>COMPOSITE, IDXNONCYC, IDXSMC-COM, IDXSMC-LIQ, Investor33, ISSI, MBX</t>
  </si>
  <si>
    <t>Mahaka Media Tbk.</t>
  </si>
  <si>
    <t>E614</t>
  </si>
  <si>
    <t>Consumer Cyclicals</t>
  </si>
  <si>
    <t>Media &amp; Entertainment</t>
  </si>
  <si>
    <t>Media</t>
  </si>
  <si>
    <t>Consumer Publishing</t>
  </si>
  <si>
    <t>COMPOSITE, IDXCYCLIC</t>
  </si>
  <si>
    <t>Asuransi Bina Dana Arta Tbk.</t>
  </si>
  <si>
    <t>G412</t>
  </si>
  <si>
    <t>Financials</t>
  </si>
  <si>
    <t>Insurance</t>
  </si>
  <si>
    <t>General Insurance</t>
  </si>
  <si>
    <t>COMPOSITE, DBX, IDXFINANCE, IDXSMC-COM</t>
  </si>
  <si>
    <t>ABM Investama Tbk</t>
  </si>
  <si>
    <t>C311</t>
  </si>
  <si>
    <t>Industrials</t>
  </si>
  <si>
    <t>Multi-sector Holdings</t>
  </si>
  <si>
    <t>COMPOSITE, IDXENERGY, IDXSMC-COM, ISSI, MBX</t>
  </si>
  <si>
    <t>Aspirasi Hidup Indonesia Tbk.</t>
  </si>
  <si>
    <t>E743</t>
  </si>
  <si>
    <t>Retailing</t>
  </si>
  <si>
    <t>Specialty Retail</t>
  </si>
  <si>
    <t>Home Improvement Retail</t>
  </si>
  <si>
    <t>COMPOSITE, IDX80, IDXCYCLIC, IDXESGL, IDXHIDIV20, IDXQ30, IDXSMC-COM, IDXSMC-LIQ, IDXV30, ISSI, JII70, KOMPAS100, MBX</t>
  </si>
  <si>
    <t>Samcro Hyosung Adilestari Tbk.</t>
  </si>
  <si>
    <t>E413</t>
  </si>
  <si>
    <t>Apparel &amp; Luxury Goods</t>
  </si>
  <si>
    <t>Textiles</t>
  </si>
  <si>
    <t>COMPOSITE, DBX, IDXCYCLIC</t>
  </si>
  <si>
    <t>PT Acset Indonusa Tbk.</t>
  </si>
  <si>
    <t>J211</t>
  </si>
  <si>
    <t>Infrastructures</t>
  </si>
  <si>
    <t>Heavy Constructions &amp; Civil Engineering</t>
  </si>
  <si>
    <t>COMPOSITE, IDXINFRA, IDXSMC-COM, ISSI</t>
  </si>
  <si>
    <t>Adhi Commuter Properti Tbk.</t>
  </si>
  <si>
    <t>H111</t>
  </si>
  <si>
    <t>Properties &amp; Real Estate</t>
  </si>
  <si>
    <t>Real Estate Management &amp; Development</t>
  </si>
  <si>
    <t>Real Estate Development &amp; Management</t>
  </si>
  <si>
    <t>COMPOSITE, DBX, IDXPROPERT, IDXSMC-COM, ISSI</t>
  </si>
  <si>
    <t>Akasha Wira International Tbk.</t>
  </si>
  <si>
    <t>D212</t>
  </si>
  <si>
    <t>Beverages</t>
  </si>
  <si>
    <t>Soft Drinks</t>
  </si>
  <si>
    <t>COMPOSITE, IDXNONCYC, IDXSMC-COM, ISSI, MBX</t>
  </si>
  <si>
    <t>PT Adhi Karya (Persero) Tbk.</t>
  </si>
  <si>
    <t>COMPOSITE, IDXBUMN20, IDXINFRA, IDXMESBUMN, IDXSMC-COM, ISSI, MBX</t>
  </si>
  <si>
    <t>Adira Dinamika Multi Finance Tbk.</t>
  </si>
  <si>
    <t>G211</t>
  </si>
  <si>
    <t>Financing Service</t>
  </si>
  <si>
    <t>Consumer Financing</t>
  </si>
  <si>
    <t>Polychem Indonesia Tbk</t>
  </si>
  <si>
    <t>B111</t>
  </si>
  <si>
    <t>Basic Materials</t>
  </si>
  <si>
    <t>Chemicals</t>
  </si>
  <si>
    <t>Basic Chemicals</t>
  </si>
  <si>
    <t>COMPOSITE, DBX, IDXBASIC, ISSI</t>
  </si>
  <si>
    <t>Alamtri Minerals Indonesia Tbk.</t>
  </si>
  <si>
    <t>COMPOSITE, IDX30, IDX80, IDXENERGY, IDXQ30, Investor33, ISSI, JII70, KOMPAS100, LQ45, MBX</t>
  </si>
  <si>
    <t>Alamtri Resources Indonesia Tbk.</t>
  </si>
  <si>
    <t>BISNIS-27, COMPOSITE, IDX30, IDX80, IDXENERGY, IDXG30, IDXHIDIV20, IDXSHAGROW, IDXV30, IDXVESTA28, Investor33, ISSI, JII, JII70, KOMPAS100, LQ45, MBX</t>
  </si>
  <si>
    <t>PT Anugerah Spareparts Sejahtera Tbk.</t>
  </si>
  <si>
    <t>E111</t>
  </si>
  <si>
    <t>Automobiles &amp; Components</t>
  </si>
  <si>
    <t>Auto Components</t>
  </si>
  <si>
    <t>Auto Parts &amp; Equipment</t>
  </si>
  <si>
    <t>ABX</t>
  </si>
  <si>
    <t>Asia Sejahtera Mina Tbk.</t>
  </si>
  <si>
    <t>D231</t>
  </si>
  <si>
    <t>Fish, Meat, &amp; Poultry</t>
  </si>
  <si>
    <t>COMPOSITE, DBX, IDXNONCYC, ISSI</t>
  </si>
  <si>
    <t>Samator Indo Gas Tbk.</t>
  </si>
  <si>
    <t>COMPOSITE, DBX, IDXBASIC, IDXSMC-COM, ISSI</t>
  </si>
  <si>
    <t>PT Bank Rakyat Indonesia Agroniaga Tbk</t>
  </si>
  <si>
    <t>G111</t>
  </si>
  <si>
    <t>Banks</t>
  </si>
  <si>
    <t>COMPOSITE, IDXBUMN20, IDXFINANCE, IDXSMC-COM, INFOBANK15, MBX</t>
  </si>
  <si>
    <t>PT Bank IBK Indonesia Tbk.</t>
  </si>
  <si>
    <t>Asuransi Harta Aman Pratama Tbk.</t>
  </si>
  <si>
    <t>COMPOSITE, DBX, IDXFINANCE</t>
  </si>
  <si>
    <t>Artha Mahiya Investama Tbk.</t>
  </si>
  <si>
    <t>COMPOSITE, DBX, IDXENERGY, ISSI</t>
  </si>
  <si>
    <t>FKS Food Sejahtera Tbk.</t>
  </si>
  <si>
    <t>D222</t>
  </si>
  <si>
    <t>Processed Foods</t>
  </si>
  <si>
    <t>Anugerah Kagum Karya Utama Tbk.</t>
  </si>
  <si>
    <t>E512</t>
  </si>
  <si>
    <t>Consumer Services</t>
  </si>
  <si>
    <t>Tourism &amp; Recreation</t>
  </si>
  <si>
    <t>Hotels, Resorts &amp; Cruise Lines</t>
  </si>
  <si>
    <t>COMPOSITE, IDXCYCLIC, ISSI</t>
  </si>
  <si>
    <t>Argha Karya Prima Industry Tbk.</t>
  </si>
  <si>
    <t>B113</t>
  </si>
  <si>
    <t>Specialty Chemicals</t>
  </si>
  <si>
    <t>AKR Corporindo Tbk.</t>
  </si>
  <si>
    <t>A112</t>
  </si>
  <si>
    <t>Oil &amp; Gas</t>
  </si>
  <si>
    <t>Oil &amp; Gas Storage &amp; Distribution</t>
  </si>
  <si>
    <t>BISNIS-27, COMPOSITE, ESGQKEHATI, ESGSKEHATI, IDX80, IDXENERGY, IDXG30, IDXHIDIV20, IDXLQ45LCL, IDXQ30, IDXSHAGROW, IDXSMC-COM, IDXSMC-LIQ, IDXVESTA28, Investor33, ISSI, JII70, KOMPAS100, LQ45, MBX, MNC36, SMinfra18</t>
  </si>
  <si>
    <t>PT Maming Enam Sembilan Mineral Tbk.</t>
  </si>
  <si>
    <t>K211</t>
  </si>
  <si>
    <t>Transportation &amp; Logistic</t>
  </si>
  <si>
    <t>Logistics &amp; Deliveries</t>
  </si>
  <si>
    <t>COMPOSITE, DBX, IDXTRANS, ISSI</t>
  </si>
  <si>
    <t>Alkindo Naratama Tbk.</t>
  </si>
  <si>
    <t>B131</t>
  </si>
  <si>
    <t>Containers &amp; Packaging</t>
  </si>
  <si>
    <t>COMPOSITE, IDXBASIC, IDXSMC-COM, ISSI, MBX</t>
  </si>
  <si>
    <t>Ancara Logistics Indonesia Tbk.</t>
  </si>
  <si>
    <t>A122</t>
  </si>
  <si>
    <t>Coal Distribution</t>
  </si>
  <si>
    <t>COMPOSITE, IDXENERGY, IDXSMC-COM, MBX</t>
  </si>
  <si>
    <t>Alakasa Industrindo Tbk</t>
  </si>
  <si>
    <t>B141</t>
  </si>
  <si>
    <t>Metals &amp; Minerals</t>
  </si>
  <si>
    <t>Aluminum</t>
  </si>
  <si>
    <t>Alumindo Light Metal Industry Tbk.</t>
  </si>
  <si>
    <t>COMPOSITE, IDXBASIC</t>
  </si>
  <si>
    <t>Tri Banyan Tirta Tbk.</t>
  </si>
  <si>
    <t>COMPOSITE, IDXNONCYC</t>
  </si>
  <si>
    <t>Asuransi Multi Artha Guna Tbk.</t>
  </si>
  <si>
    <t>COMPOSITE, IDXFINANCE, IDXSMC-COM, MBX</t>
  </si>
  <si>
    <t>Makmur Berkah Amanda Tbk.</t>
  </si>
  <si>
    <t>COMPOSITE, DBX, IDXPROPERT, ISSI</t>
  </si>
  <si>
    <t>Bank Amar Indonesia Tbk.</t>
  </si>
  <si>
    <t>Asahimas Flat Glass Tbk.</t>
  </si>
  <si>
    <t>C121</t>
  </si>
  <si>
    <t>Industrial Goods</t>
  </si>
  <si>
    <t>Building Products &amp; Fixtures</t>
  </si>
  <si>
    <t>COMPOSITE, DBX, IDXINDUST, IDXSMC-COM, ISSI</t>
  </si>
  <si>
    <t>PT Ateliers Mecaniques D Indonesie Tbk.</t>
  </si>
  <si>
    <t>C143</t>
  </si>
  <si>
    <t>Machinery</t>
  </si>
  <si>
    <t>Industrial Machinery &amp; Components</t>
  </si>
  <si>
    <t>COMPOSITE, DBX, IDXINDUST, ISSI</t>
  </si>
  <si>
    <t>PT Amman Mineral Internasional Tbk.</t>
  </si>
  <si>
    <t>B142</t>
  </si>
  <si>
    <t>Cooper</t>
  </si>
  <si>
    <t>COMPOSITE, ECONOMIC30, IDX80, IDXBASIC, IDXLQ45LCL, KOMPAS100, LQ45, MBX</t>
  </si>
  <si>
    <t>Agung Menjangan Mas Tbk.</t>
  </si>
  <si>
    <t>Ashmore Asset Management Indonesia Tbk.</t>
  </si>
  <si>
    <t>G311</t>
  </si>
  <si>
    <t>Investment Service</t>
  </si>
  <si>
    <t>Investment Services</t>
  </si>
  <si>
    <t>Investment Management</t>
  </si>
  <si>
    <t>Sumber Alfaria Trijaya Tbk.</t>
  </si>
  <si>
    <t>D113</t>
  </si>
  <si>
    <t>Food &amp; Staples Retailing</t>
  </si>
  <si>
    <t>Supermarkets &amp; Convenience Store</t>
  </si>
  <si>
    <t>BISNIS-27, COMPOSITE, IDX30, IDX80, IDXLQ45LCL, IDXNONCYC, IDXQ30, Investor33, KOMPAS100, LQ45, MBX</t>
  </si>
  <si>
    <t>Andira Agro Tbk.</t>
  </si>
  <si>
    <t>COMPOSITE, IDXNONCYC, ISSI</t>
  </si>
  <si>
    <t>PT Austindo Nusantara Jaya Tbk.</t>
  </si>
  <si>
    <t>COMPOSITE, DBX, IDXNONCYC, IDXSMC-COM, ISSI</t>
  </si>
  <si>
    <t>Aneka Tambang Tbk.</t>
  </si>
  <si>
    <t>B146</t>
  </si>
  <si>
    <t>Diversified Metals &amp; Minerals</t>
  </si>
  <si>
    <t>BISNIS-27, COMPOSITE, ECONOMIC30, ESGQKEHATI, ESGSKEHATI, IDX30, IDX80, IDXBASIC, IDXBUMN20, IDXHIDIV20, IDXLQ45LCL, IDXMESBUMN, IDXQ30, IDXVESTA28, Investor33, ISSI, JII, JII70, KOMPAS100, LQ45, MBX, MNC36, SRI-KEHATI</t>
  </si>
  <si>
    <t>Apexindo Pratama Duta Tbk.</t>
  </si>
  <si>
    <t>A131</t>
  </si>
  <si>
    <t>Oil, Gas &amp; Coal Supports</t>
  </si>
  <si>
    <t>Oil &amp; Gas Drilling Service</t>
  </si>
  <si>
    <t>COMPOSITE, DBX, IDXENERGY</t>
  </si>
  <si>
    <t>Pacific Strategic Financial Tbk.</t>
  </si>
  <si>
    <t>G511</t>
  </si>
  <si>
    <t>Holding &amp; Investment Companies</t>
  </si>
  <si>
    <t>Financial Holdings</t>
  </si>
  <si>
    <t>PT Arita Prima Indonesia Tbk.</t>
  </si>
  <si>
    <t>Asiaplast Industries Tbk.</t>
  </si>
  <si>
    <t>Agung Podomoro Land Tbk.</t>
  </si>
  <si>
    <t>COMPOSITE, IDXPROPERT, IDXSMC-COM, ISSI, MBX</t>
  </si>
  <si>
    <t>Archi Indonesia Tbk.</t>
  </si>
  <si>
    <t>B143</t>
  </si>
  <si>
    <t>Gold</t>
  </si>
  <si>
    <t>COMPOSITE, DBX, IDXBASIC, IDXSMC-COM, IDXSMC-LIQ, ISSI, KOMPAS100</t>
  </si>
  <si>
    <t>Dunia Virtual Online Tbk.</t>
  </si>
  <si>
    <t>I121</t>
  </si>
  <si>
    <t>Technology</t>
  </si>
  <si>
    <t>Software &amp; IT Services</t>
  </si>
  <si>
    <t>IT Services &amp; Consulting</t>
  </si>
  <si>
    <t>COMPOSITE, DBX, IDXSMC-COM, IDXTECHNO, ISSI</t>
  </si>
  <si>
    <t>Argo Pantes Tbk</t>
  </si>
  <si>
    <t>COMPOSITE, DBX, IDXCYCLIC, IDXSMC-COM, ISSI</t>
  </si>
  <si>
    <t>Atlas Resources Tbk.</t>
  </si>
  <si>
    <t>COMPOSITE, DBX, IDXENERGY, IDXSMC-COM, ISSI</t>
  </si>
  <si>
    <t>Arkha Jayanti Persada Tbk.</t>
  </si>
  <si>
    <t>COMPOSITE, IDXINDUST</t>
  </si>
  <si>
    <t>Arkora Hydro Tbk.</t>
  </si>
  <si>
    <t>J411</t>
  </si>
  <si>
    <t>Utilities</t>
  </si>
  <si>
    <t>Electric Utilities</t>
  </si>
  <si>
    <t>COMPOSITE, DBX, IDXINFRA, IDXSMC-COM</t>
  </si>
  <si>
    <t>Armidian Karyatama Tbk.</t>
  </si>
  <si>
    <t>COMPOSITE, IDXPROPERT</t>
  </si>
  <si>
    <t>Arwana Citramulia Tbk.</t>
  </si>
  <si>
    <t>COMPOSITE, IDXINDUST, IDXSMC-COM, ISSI, MBX</t>
  </si>
  <si>
    <t>Arthavest Tbk</t>
  </si>
  <si>
    <t>Ratu Prabu Energi Tbk</t>
  </si>
  <si>
    <t>A132</t>
  </si>
  <si>
    <t>Oil, Gas &amp; Coal Equipment &amp; Services</t>
  </si>
  <si>
    <t>COMPOSITE, IDXENERGY</t>
  </si>
  <si>
    <t>Bank Jago Tbk.</t>
  </si>
  <si>
    <t>COMPOSITE, IDX80, IDXFINANCE, IDXSMC-COM, IDXSMC-LIQ, INFOBANK15, KOMPAS100, MBX</t>
  </si>
  <si>
    <t>Asuransi Bintang Tbk.</t>
  </si>
  <si>
    <t>Asuransi Dayin Mitra Tbk.</t>
  </si>
  <si>
    <t>Astra Graphia Tbk.</t>
  </si>
  <si>
    <t>C224</t>
  </si>
  <si>
    <t>Industrial Services</t>
  </si>
  <si>
    <t>Commercial Services</t>
  </si>
  <si>
    <t>Business Support Services</t>
  </si>
  <si>
    <t>Cilacap Samudera Fishing Industry Tbk.</t>
  </si>
  <si>
    <t>Astra International Tbk</t>
  </si>
  <si>
    <t>BISNIS-27, COMPOSITE, ESGQKEHATI, ESGSKEHATI, IDX30, IDX80, IDXHIDIV20, IDXINDUST, IDXLQ45LCL, IDXQ30, IDXSHAGROW, IDXV30, IDXVESTA28, Investor33, ISSI, JII, JII70, KOMPAS100, LQ45, MBX, MNC36, SRI-KEHATI</t>
  </si>
  <si>
    <t>Asuransi Jasa Tania Tbk.</t>
  </si>
  <si>
    <t>Autopedia Sukses Lestari Tbk.</t>
  </si>
  <si>
    <t>E745</t>
  </si>
  <si>
    <t>Automotive Retail</t>
  </si>
  <si>
    <t>Asri Karya Lestari Tbk.</t>
  </si>
  <si>
    <t>COMPOSITE, DBX, IDXINFRA, IDXSMC-COM, ISSI</t>
  </si>
  <si>
    <t>Asuransi Maximus Graha Persada Tbk.</t>
  </si>
  <si>
    <t>COMPOSITE, IDXFINANCE</t>
  </si>
  <si>
    <t>Andalan Sakti Primaindo Tbk.</t>
  </si>
  <si>
    <t>Asia Pramulia Tbk.</t>
  </si>
  <si>
    <t>COMPOSITE, DBX, IDXBASIC</t>
  </si>
  <si>
    <t>Alam Sutera Realty Tbk.</t>
  </si>
  <si>
    <t>Asuransi Ramayana Tbk.</t>
  </si>
  <si>
    <t>Adi Sarana Armada Tbk</t>
  </si>
  <si>
    <t>K132</t>
  </si>
  <si>
    <t>Transportation</t>
  </si>
  <si>
    <t>Passenger Land Transportation</t>
  </si>
  <si>
    <t>Road Transportation</t>
  </si>
  <si>
    <t>COMPOSITE, ESGQKEHATI, ESGSKEHATI, IDXSMC-COM, IDXSMC-LIQ, IDXTRANS, ISSI, MBX</t>
  </si>
  <si>
    <t>Trimitra Prawara Goldland Tbk.</t>
  </si>
  <si>
    <t>Anabatic Technologies Tbk.</t>
  </si>
  <si>
    <t>Atlantis Subsea Indonesia Tbk.</t>
  </si>
  <si>
    <t>Astra Otoparts Tbk.</t>
  </si>
  <si>
    <t>COMPOSITE, ESGSKEHATI, IDXCYCLIC, IDXSMC-COM, IDXSMC-LIQ, ISSI, MBX</t>
  </si>
  <si>
    <t>Avia Avian Tbk.</t>
  </si>
  <si>
    <t>COMPOSITE, ESGQKEHATI, ESGSKEHATI, IDXBASIC, IDXSMC-COM, IDXSMC-LIQ, ISSI, JII70, MBX, MNC36, SRI-KEHATI</t>
  </si>
  <si>
    <t>PT Era Digital Media Tbk</t>
  </si>
  <si>
    <t>I111</t>
  </si>
  <si>
    <t>Online Applications &amp; Services</t>
  </si>
  <si>
    <t>COMPOSITE, DBX, IDXTECHNO, ISSI</t>
  </si>
  <si>
    <t>Tera Data Indonusa Tbk.</t>
  </si>
  <si>
    <t>I221</t>
  </si>
  <si>
    <t>Technology Hardware &amp; Equipment</t>
  </si>
  <si>
    <t>Computer Hardware</t>
  </si>
  <si>
    <t>Janu Putra Sejahtera Tbk.</t>
  </si>
  <si>
    <t>Arkayana Lestari Grup Tbk.</t>
  </si>
  <si>
    <t>B121</t>
  </si>
  <si>
    <t>Construction Materials</t>
  </si>
  <si>
    <t>PT Bank MNC Internasional Tbk.</t>
  </si>
  <si>
    <t>PT Multitrend Indo Tbk.</t>
  </si>
  <si>
    <t>E741</t>
  </si>
  <si>
    <t>Apparel &amp; Textile Retail</t>
  </si>
  <si>
    <t>PT Bank Capital Indonesia Tbk</t>
  </si>
  <si>
    <t>Bersama Mencapai Puncak Tbk.</t>
  </si>
  <si>
    <t>E515</t>
  </si>
  <si>
    <t>Restaurants</t>
  </si>
  <si>
    <t>COMPOSITE, DBX, IDXCYCLIC, ISSI</t>
  </si>
  <si>
    <t>Saranacentral Bajatama Tbk.</t>
  </si>
  <si>
    <t>B144</t>
  </si>
  <si>
    <t>Iron &amp; Steel</t>
  </si>
  <si>
    <t>PT Bali Towerindo Sentra Tbk.</t>
  </si>
  <si>
    <t>J321</t>
  </si>
  <si>
    <t>Telecommunication</t>
  </si>
  <si>
    <t>Wireless Telecommunication Services</t>
  </si>
  <si>
    <t>COMPOSITE, IDXINFRA, IDXSMC-COM, MBX</t>
  </si>
  <si>
    <t>Bank Aladin Syariah Tbk.</t>
  </si>
  <si>
    <t>B153</t>
  </si>
  <si>
    <t>Forestry &amp; Paper</t>
  </si>
  <si>
    <t>Diversified Forest</t>
  </si>
  <si>
    <t>COMPOSITE, DBX, IDXFINANCE, IDXSMC-COM, INFOBANK15, ISSI</t>
  </si>
  <si>
    <t>Bekasi Asri Pemula Tbk.</t>
  </si>
  <si>
    <t>COMPOSITE, DBX, IDXPROPERT</t>
  </si>
  <si>
    <t>Bhakti Agung Propertindo Tbk.</t>
  </si>
  <si>
    <t>COMPOSITE, IDXPROPERT, ISSI</t>
  </si>
  <si>
    <t>Sepatu Bata Tbk.</t>
  </si>
  <si>
    <t>E412</t>
  </si>
  <si>
    <t>Footwear</t>
  </si>
  <si>
    <t>Benteng Api Technic Tbk.</t>
  </si>
  <si>
    <t>Mitra Angkasa Sejahtera Tbk.</t>
  </si>
  <si>
    <t>Bayu Buana Tbk</t>
  </si>
  <si>
    <t>E513</t>
  </si>
  <si>
    <t>Travel Agencies</t>
  </si>
  <si>
    <t>COMPOSITE, IDXCYCLIC, ISSI, MBX</t>
  </si>
  <si>
    <t>Bank Central Asia Tbk.</t>
  </si>
  <si>
    <t>BISNIS-27, COMPOSITE, ECONOMIC30, ESGQKEHATI, ESGSKEHATI, I-GRADE, IDX30, IDX80, IDXESGL, IDXFINANCE, IDXG30, IDXHIDIV20, IDXLQ45LCL, IDXQ30, IDXVESTA28, INFOBANK15, Investor33, KOMPAS100, LQ45, MBX, MNC36, PRIMBANK10, SRI-KEHATI</t>
  </si>
  <si>
    <t>PT Bank Harda Internasional Tbk.</t>
  </si>
  <si>
    <t>Bank KB Indonesia Tbk.</t>
  </si>
  <si>
    <t>Buana Finance Tbk.</t>
  </si>
  <si>
    <t>PT Bank Mestika Dharma Tbk.</t>
  </si>
  <si>
    <t>PT Bank Negara Indonesia (Persero) Tbk</t>
  </si>
  <si>
    <t>BISNIS-27, COMPOSITE, ECONOMIC30, ESGQKEHATI, ESGSKEHATI, I-GRADE, IDX30, IDX80, IDXBUMN20, IDXESGL, IDXFINANCE, IDXG30, IDXHIDIV20, IDXLQ45LCL, IDXV30, IDXVESTA28, INFOBANK15, Investor33, KOMPAS100, LQ45, MBX, MNC36, PRIMBANK10, SMinfra18, SRI-KEHATI</t>
  </si>
  <si>
    <t>PT Bank Rakyat Indonesia (Persero) Tbk</t>
  </si>
  <si>
    <t>BISNIS-27, COMPOSITE, ECONOMIC30, ESGQKEHATI, ESGSKEHATI, I-GRADE, IDX30, IDX80, IDXBUMN20, IDXESGL, IDXFINANCE, IDXG30, IDXHIDIV20, IDXLQ45LCL, IDXQ30, INFOBANK15, Investor33, KOMPAS100, LQ45, MBX, MNC36, PRIMBANK10, SMinfra18, SRI-KEHATI</t>
  </si>
  <si>
    <t>Pelayaran Nasional Bina Buana Raya Tbk.</t>
  </si>
  <si>
    <t>Krom Bank Indonesia Tbk.</t>
  </si>
  <si>
    <t>Bumi Benowo Sukses Sejahtera Tbk.</t>
  </si>
  <si>
    <t>PT Bank Tabungan Negara (Persero) Tbk</t>
  </si>
  <si>
    <t>COMPOSITE, ECONOMIC30, ESGQKEHATI, ESGSKEHATI, IDX80, IDXBUMN20, IDXFINANCE, IDXLQ45LCL, IDXSMC-COM, IDXSMC-LIQ, IDXV30, INFOBANK15, Investor33, KOMPAS100, LQ45, MBX, PRIMBANK10, SRI-KEHATI</t>
  </si>
  <si>
    <t>PT Bank Neo Commerce Tbk.</t>
  </si>
  <si>
    <t>COMPOSITE, ECONOMIC30, IDXFINANCE, IDXSMC-COM, IDXSMC-LIQ, KOMPAS100, MBX</t>
  </si>
  <si>
    <t>MNC Kapital Indonesia Tbk.</t>
  </si>
  <si>
    <t>PT Bank JTrust Indonesia Tbk.</t>
  </si>
  <si>
    <t>Bumi Citra Permai Tbk.</t>
  </si>
  <si>
    <t>PT Berdikari Pondasi Perkasa Tbk.</t>
  </si>
  <si>
    <t>COMPOSITE, IDXINFRA, ISSI, MBX</t>
  </si>
  <si>
    <t>PT Bank Danamon Indonesia Tbk</t>
  </si>
  <si>
    <t>COMPOSITE, IDXFINANCE, IDXSMC-COM, INFOBANK15, MBX, PRIMBANK10</t>
  </si>
  <si>
    <t>Berkah Beton Sadaya Tbk.</t>
  </si>
  <si>
    <t>Estika Tata Tiara Tbk.</t>
  </si>
  <si>
    <t>PT Jobubu Jarum Minahasa Tbk</t>
  </si>
  <si>
    <t>D211</t>
  </si>
  <si>
    <t>Liquors</t>
  </si>
  <si>
    <t>COMPOSITE, DBX, IDXNONCYC</t>
  </si>
  <si>
    <t>PT Bank Pembangunan Daerah Banten Tbk.</t>
  </si>
  <si>
    <t>COMPOSITE, IDXFINANCE, IDXSMC-COM</t>
  </si>
  <si>
    <t>Global Digital Niaga Tbk.</t>
  </si>
  <si>
    <t>PT Trisula Textile Industries Tbk</t>
  </si>
  <si>
    <t>Batulicin Nusantara Maritim Tbk.</t>
  </si>
  <si>
    <t>Bekasi Fajar Industrial Estate Tbk.</t>
  </si>
  <si>
    <t>BFI Finance Indonesia Tbk.</t>
  </si>
  <si>
    <t>COMPOSITE, IDXFINANCE, IDXSMC-COM, IDXSMC-LIQ, MBX</t>
  </si>
  <si>
    <t>PT Bank Ganesha Tbk.</t>
  </si>
  <si>
    <t>Bhakti Multi Artha Tbk.</t>
  </si>
  <si>
    <t>G413</t>
  </si>
  <si>
    <t>Life Insurance</t>
  </si>
  <si>
    <t>PT MNC Investama Tbk.</t>
  </si>
  <si>
    <t>COMPOSITE, IDXINDUST, IDXSMC-COM</t>
  </si>
  <si>
    <t>Binakarya Jaya Abadi Tbk.</t>
  </si>
  <si>
    <t>Sepeda Bersama Indonesia Tbk.</t>
  </si>
  <si>
    <t>E321</t>
  </si>
  <si>
    <t>Leisure Goods</t>
  </si>
  <si>
    <t>Sport Equipment &amp; Hobbies Goods</t>
  </si>
  <si>
    <t>Primarindo Asia Infrastructure Tbk.</t>
  </si>
  <si>
    <t>PT Bank Ina Perdana Tbk.</t>
  </si>
  <si>
    <t>Perma Plasindo Tbk.</t>
  </si>
  <si>
    <t>C223</t>
  </si>
  <si>
    <t>Office Supplies</t>
  </si>
  <si>
    <t>Astrindo Nusantara Infrastruktur Tbk.</t>
  </si>
  <si>
    <t>COMPOSITE, DBX, IDXENERGY, IDXSMC-COM</t>
  </si>
  <si>
    <t>Bhuwanatala Indah Permai Tbk.</t>
  </si>
  <si>
    <t>PT Blue Bird Tbk</t>
  </si>
  <si>
    <t>COMPOSITE, ESGQKEHATI, ESGSKEHATI, IDXSMC-COM, IDXTRANS, ISSI, MBX</t>
  </si>
  <si>
    <t>BISI INTERNATIONAL Tbk</t>
  </si>
  <si>
    <t>Bank Pembangunan Daerah Jawa Barat dan Banten Tbk</t>
  </si>
  <si>
    <t>COMPOSITE, ESGSKEHATI, I-GRADE, IDXBUMN20, IDXFINANCE, IDXSMC-COM, INFOBANK15, MBX</t>
  </si>
  <si>
    <t>Bank Pembangunan Daerah Jawa Timur Tbk</t>
  </si>
  <si>
    <t>COMPOSITE, ESGQKEHATI, ESGSKEHATI, IDXBUMN20, IDXFINANCE, IDXSMC-COM, MBX</t>
  </si>
  <si>
    <t>Bukit Darmo Property Tbk</t>
  </si>
  <si>
    <t>Sentul City Tbk.</t>
  </si>
  <si>
    <t>COMPOSITE, ECONOMIC30, IDX80, IDXPROPERT, IDXSMC-COM, ISSI, JII70, KOMPAS100, MBX</t>
  </si>
  <si>
    <t>PT Bank QNB Indonesia Tbk</t>
  </si>
  <si>
    <t>Superior Prima Sukses Tbk.</t>
  </si>
  <si>
    <t>Trimitra Trans Persada Tbk.</t>
  </si>
  <si>
    <t>COMPOSITE, IDXTRANS, ISSI, MBX</t>
  </si>
  <si>
    <t>Berlian Laju Tanker Tbk</t>
  </si>
  <si>
    <t>COMPOSITE, IDXSMC-COM, IDXTRANS, ISSI</t>
  </si>
  <si>
    <t>Graha Layar Prima Tbk.</t>
  </si>
  <si>
    <t>E514</t>
  </si>
  <si>
    <t>Recreational &amp; Sports Facilities</t>
  </si>
  <si>
    <t>COMPOSITE, IDXCYCLIC, IDXSMC-COM, ISSI</t>
  </si>
  <si>
    <t>Berkah Prima Perkasa Tbk.</t>
  </si>
  <si>
    <t>PT Bank Maspion Indonesia Tbk.</t>
  </si>
  <si>
    <t>PT Lavender Bina Cendikia Tbk</t>
  </si>
  <si>
    <t>E521</t>
  </si>
  <si>
    <t>Education &amp; Support Services</t>
  </si>
  <si>
    <t>Education Services</t>
  </si>
  <si>
    <t>Bundamedik Tbk.</t>
  </si>
  <si>
    <t>F121</t>
  </si>
  <si>
    <t>Healthcare</t>
  </si>
  <si>
    <t>Healthcare Equipment &amp; Providers</t>
  </si>
  <si>
    <t>Healthcare Providers</t>
  </si>
  <si>
    <t>COMPOSITE, IDXHEALTH, IDXSMC-COM, ISSI, MBX</t>
  </si>
  <si>
    <t>Bank Mandiri (Persero) Tbk.</t>
  </si>
  <si>
    <t>BISNIS-27, COMPOSITE, ECONOMIC30, ESGQKEHATI, ESGSKEHATI, I-GRADE, IDX30, IDX80, IDXBUMN20, IDXESGL, IDXFINANCE, IDXG30, IDXHIDIV20, IDXLQ45LCL, IDXQ30, IDXVESTA28, INFOBANK15, Investor33, KOMPAS100, LQ45, MBX, MNC36, PRIMBANK10, SMinfra18, SRI-KEHATI</t>
  </si>
  <si>
    <t>Bintang Mitra Semestaraya Tbk</t>
  </si>
  <si>
    <t>PT Global Mediacom Tbk</t>
  </si>
  <si>
    <t>COMPOSITE, IDXCYCLIC, IDXSMC-COM, ISSI, MBX</t>
  </si>
  <si>
    <t>Bank Bumi Arta Tbk</t>
  </si>
  <si>
    <t>Bakrie &amp; Brothers Tbk</t>
  </si>
  <si>
    <t>PT Bank CIMB Niaga Tbk</t>
  </si>
  <si>
    <t>COMPOSITE, IDXFINANCE, IDXSMC-COM, IDXSMC-LIQ, INFOBANK15, Investor33, MBX, MNC36, PRIMBANK10</t>
  </si>
  <si>
    <t>PT Bank Maybank Indonesia Tbk</t>
  </si>
  <si>
    <t>Bank Permata Tbk</t>
  </si>
  <si>
    <t>COMPOSITE, IDXFINANCE, MBX</t>
  </si>
  <si>
    <t>Newport Marine Services Tbk.</t>
  </si>
  <si>
    <t>Formosa Ingredient Factory Tbk.</t>
  </si>
  <si>
    <t>Apollo Global Interactive Tbk.</t>
  </si>
  <si>
    <t>Bali Bintang Sejahtera Tbk.</t>
  </si>
  <si>
    <t>Garuda Metalindo Tbk.</t>
  </si>
  <si>
    <t>Borneo Olah Sarana Sukses Tbk.</t>
  </si>
  <si>
    <t>Woori Finance Indonesia Tbk.</t>
  </si>
  <si>
    <t>Batavia Prosperindo Internasional Tbk.</t>
  </si>
  <si>
    <t>Batavia Prosperindo Trans Tbk.</t>
  </si>
  <si>
    <t>COMPOSITE, DBX, IDXTRANS</t>
  </si>
  <si>
    <t>Indo Kordsa Tbk.</t>
  </si>
  <si>
    <t>E112</t>
  </si>
  <si>
    <t>Tires</t>
  </si>
  <si>
    <t>PT Barito Renewables Energy Tbk.</t>
  </si>
  <si>
    <t>COMPOSITE, IDXINFRA, IDXLQ45LCL, KOMPAS100, MBX</t>
  </si>
  <si>
    <t>Bank Syariah Indonesia (Persero) Tbk.</t>
  </si>
  <si>
    <t>COMPOSITE, ECONOMIC30, I-GRADE, IDXBUMN20, IDXFINANCE, IDXMESBUMN, IDXSHAGROW, INFOBANK15, Investor33, ISSI, JII, JII70, KOMPAS100, MBX, MNC36, PRIMBANK10</t>
  </si>
  <si>
    <t>Bumi Resources Minerals Tbk.</t>
  </si>
  <si>
    <t>BISNIS-27, COMPOSITE, ECONOMIC30, IDX80, IDXBASIC, ISSI, JII, JII70, KOMPAS100, MBX, MNC36</t>
  </si>
  <si>
    <t>Berlina Tbk.</t>
  </si>
  <si>
    <t>Barito Pacific Tbk.</t>
  </si>
  <si>
    <t>COMPOSITE, ECONOMIC30, I-GRADE, IDX30, IDX80, IDXBASIC, IDXESGL, IDXLQ45LCL, IDXSHAGROW, ISSI, JII, JII70, KOMPAS100, LQ45, MBX</t>
  </si>
  <si>
    <t>Raja Roti Cemerlang Tbk.</t>
  </si>
  <si>
    <t>Wulandari Bangun Laksana Tbk.</t>
  </si>
  <si>
    <t>Bumi Serpong Damai Tbk.</t>
  </si>
  <si>
    <t>COMPOSITE, ESGSKEHATI, I-GRADE, IDX80, IDXESGL, IDXPROPERT, IDXSMC-COM, IDXSMC-LIQ, IDXV30, ISSI, JII70, KOMPAS100, MBX</t>
  </si>
  <si>
    <t>Bank Sinarmas Tbk</t>
  </si>
  <si>
    <t>Bintang Samudera Mandiri Lines Tbk.</t>
  </si>
  <si>
    <t>Baramulti Suksessarana Tbk.</t>
  </si>
  <si>
    <t>Bank of India Indonesia Tbk</t>
  </si>
  <si>
    <t>Bumi Teknokultura Unggul Tbk</t>
  </si>
  <si>
    <t>COMPOSITE, IDXNONCYC, IDXSMC-COM</t>
  </si>
  <si>
    <t>Bakrie Telecom Tbk</t>
  </si>
  <si>
    <t>COMPOSITE, IDXINFRA, IDXSMC-COM</t>
  </si>
  <si>
    <t>Betonjaya Manunggal Tbk.</t>
  </si>
  <si>
    <t>Bank SMBC Indonesia Tbk.</t>
  </si>
  <si>
    <t>COMPOSITE, IDXFINANCE, IDXSMC-COM, MBX, PRIMBANK10</t>
  </si>
  <si>
    <t>Bank BTPN Syariah Tbk.</t>
  </si>
  <si>
    <t>COMPOSITE, ESGQKEHATI, ESGSKEHATI, IDXFINANCE, IDXQ30, IDXSMC-COM, IDXSMC-LIQ, IDXV30, INFOBANK15, ISSI, JII70, KOMPAS100, MBX</t>
  </si>
  <si>
    <t>Segar Kumala Indonesia Tbk.</t>
  </si>
  <si>
    <t>D112</t>
  </si>
  <si>
    <t>Food Retail &amp; Distributors</t>
  </si>
  <si>
    <t>Budi Starch &amp; Sweetener Tbk.</t>
  </si>
  <si>
    <t>COMPOSITE, IDXNONCYC, MBX</t>
  </si>
  <si>
    <t>Bukalapak.com Tbk.</t>
  </si>
  <si>
    <t>COMPOSITE, IDX80, IDXESGL, IDXSMC-COM, IDXSMC-LIQ, IDXTECHNO, IDXV30, KOMPAS100, MBX</t>
  </si>
  <si>
    <t>Bukaka Teknik Utama Tbk.</t>
  </si>
  <si>
    <t>Buana Lintas Lautan Tbk.</t>
  </si>
  <si>
    <t>COMPOSITE, DBX, IDXENERGY, IDXSMC-COM, ISSI, KOMPAS100</t>
  </si>
  <si>
    <t>Bumi Resources Tbk.</t>
  </si>
  <si>
    <t>BISNIS-27, COMPOSITE, I-GRADE, IDX30, IDX80, IDXENERGY, ISSI, JII, JII70, KOMPAS100, LQ45, MBX, MNC36</t>
  </si>
  <si>
    <t>Bukit Uluwatu Villa Tbk.</t>
  </si>
  <si>
    <t>COMPOSITE, DBX, IDXCYCLIC, IDXSMC-COM, ISSI, KOMPAS100</t>
  </si>
  <si>
    <t>Bank Victoria International Tbk.</t>
  </si>
  <si>
    <t>Eagle High Plantations Tbk</t>
  </si>
  <si>
    <t>COMPOSITE, IDXNONCYC, IDXSMC-COM, MBX</t>
  </si>
  <si>
    <t>Bayan Resources Tbk.</t>
  </si>
  <si>
    <t>COMPOSITE, IDXENERGY, ISSI, MBX</t>
  </si>
  <si>
    <t>Cahayaputra Asa Keramik Tbk.</t>
  </si>
  <si>
    <t>Campina Ice Cream Industry Tbk.</t>
  </si>
  <si>
    <t>D221</t>
  </si>
  <si>
    <t>Dairy Products</t>
  </si>
  <si>
    <t>Capitol Nusantara Indonesia Tbk.</t>
  </si>
  <si>
    <t>COMPOSITE, IDXENERGY, ISSI</t>
  </si>
  <si>
    <t>Metro Healthcare Indonesia Tbk.</t>
  </si>
  <si>
    <t>COMPOSITE, DBX, IDXHEALTH, IDXSMC-COM, ISSI</t>
  </si>
  <si>
    <t>PT Industri dan Perdagangan Bintraco Dharma Tbk</t>
  </si>
  <si>
    <t>COMPOSITE, IDXCYCLIC, IDXSMC-COM, MBX</t>
  </si>
  <si>
    <t>Capital Financial Indonesia Tbk.</t>
  </si>
  <si>
    <t>Cashlez Worldwide Indonesia Tbk.</t>
  </si>
  <si>
    <t>Cahaya Aero Services Tbk.</t>
  </si>
  <si>
    <t>J111</t>
  </si>
  <si>
    <t>Transportation Infrastructure</t>
  </si>
  <si>
    <t>Transport Infrastructure Operator</t>
  </si>
  <si>
    <t>Airport Operators</t>
  </si>
  <si>
    <t>COMPOSITE, IDXINFRA, IDXSMC-COM, ISSI, MBX</t>
  </si>
  <si>
    <t>Bangun Kosambi Sukses Tbk.</t>
  </si>
  <si>
    <t>COMPOSITE, IDX80, IDXPROPERT, IDXSMC-COM, ISSI, KOMPAS100, MBX</t>
  </si>
  <si>
    <t>Cahaya Bintang Medan Tbk.</t>
  </si>
  <si>
    <t>E211</t>
  </si>
  <si>
    <t>Household Goods</t>
  </si>
  <si>
    <t>Home Furnishings</t>
  </si>
  <si>
    <t>PT Citra Buana Prasida Tbk</t>
  </si>
  <si>
    <t>PT Cakra Buana Resources Energi Tbk</t>
  </si>
  <si>
    <t>Citra Borneo Utama Tbk.</t>
  </si>
  <si>
    <t>Communication Cable Systems Indonesia Tbk.</t>
  </si>
  <si>
    <t>C131</t>
  </si>
  <si>
    <t>Electrical</t>
  </si>
  <si>
    <t>Electrical Components &amp; Equipment</t>
  </si>
  <si>
    <t>Chandra Daya Investasi Tbk.</t>
  </si>
  <si>
    <t>COMPOSITE, DBX, IDXINFRA</t>
  </si>
  <si>
    <t>Wilmar Cahaya Indonesia Tbk.</t>
  </si>
  <si>
    <t>PT Centratama Telekomunikasi Indonesia Tbk.</t>
  </si>
  <si>
    <t>Clipan Finance Indonesia Tbk.</t>
  </si>
  <si>
    <t>Citra Nusantara Gemilang Tbk.</t>
  </si>
  <si>
    <t>Diastika Biotekindo Tbk.</t>
  </si>
  <si>
    <t>F112</t>
  </si>
  <si>
    <t>Healthcare Equipment &amp; Supplies</t>
  </si>
  <si>
    <t>Healthcare Supplies &amp; Distributions</t>
  </si>
  <si>
    <t>COMPOSITE, DBX, IDXHEALTH, ISSI</t>
  </si>
  <si>
    <t>Chemstar Indonesia Tbk.</t>
  </si>
  <si>
    <t>PT Pelita Teknologi Global Tbk</t>
  </si>
  <si>
    <t>I231</t>
  </si>
  <si>
    <t>Electronic Equipment, Instruments &amp; Components</t>
  </si>
  <si>
    <t>Electronic Equipment &amp; Instruments</t>
  </si>
  <si>
    <t>Chitose Internasional Tbk.</t>
  </si>
  <si>
    <t>Cita Mineral Investindo Tbk.</t>
  </si>
  <si>
    <t>Natura City Developments Tbk.</t>
  </si>
  <si>
    <t>Citra Putra Realty Tbk.</t>
  </si>
  <si>
    <t>COMPOSITE, DBX, IDXCYCLIC, IDXSMC-COM</t>
  </si>
  <si>
    <t>Sariguna Primatirta Tbk.</t>
  </si>
  <si>
    <t>Colorpak Indonesia Tbk.</t>
  </si>
  <si>
    <t>Citra Marga Nusaphala Persada Tbk.</t>
  </si>
  <si>
    <t>J112</t>
  </si>
  <si>
    <t>Highways &amp; Railtracks</t>
  </si>
  <si>
    <t>Cemindo Gemilang Tbk.</t>
  </si>
  <si>
    <t>COMPOSITE, DBX, IDXBASIC, IDXSMC-COM</t>
  </si>
  <si>
    <t>AirAsia Indonesia Tbk.</t>
  </si>
  <si>
    <t>K111</t>
  </si>
  <si>
    <t>Airlines</t>
  </si>
  <si>
    <t>COMPOSITE, IDXTRANS, ISSI</t>
  </si>
  <si>
    <t>Cisarua Mountain Dairy Tbk.</t>
  </si>
  <si>
    <t>COMPOSITE, ESGQKEHATI, ESGSKEHATI, IDX80, IDXESGL, IDXNONCYC, IDXQ30, IDXSMC-COM, IDXSMC-LIQ, ISSI, JII70, KOMPAS100, MBX, MNC36</t>
  </si>
  <si>
    <t>Exploitasi Energi Indonesia Tbk.</t>
  </si>
  <si>
    <t>PT Nusantara Sejahtera Raya Tbk</t>
  </si>
  <si>
    <t>COMPOSITE, DBX, IDXCYCLIC, IDXSMC-COM, IDXSMC-LIQ, ISSI</t>
  </si>
  <si>
    <t>Century Textile Industry (Seri B) Tbk.</t>
  </si>
  <si>
    <t>No Sector</t>
  </si>
  <si>
    <t>No Subsector</t>
  </si>
  <si>
    <t>Centex Tbk</t>
  </si>
  <si>
    <t>Black Diamond Resources Tbk.</t>
  </si>
  <si>
    <t>Wahana Interfood Nusantara Tbk.</t>
  </si>
  <si>
    <t>COMPOSITE, DBX, IDXNONCYC, IDXSMC-COM</t>
  </si>
  <si>
    <t>Indokripto Koin Semesta Tbk.</t>
  </si>
  <si>
    <t>Cowell Development Tbk.</t>
  </si>
  <si>
    <t>Charoen Pokphand Indonesia Tbk</t>
  </si>
  <si>
    <t>BISNIS-27, COMPOSITE, IDX30, IDX80, IDXLQ45LCL, IDXNONCYC, IDXQ30, IDXVESTA28, Investor33, ISSI, JII, JII70, KOMPAS100, LQ45, MBX, MNC36</t>
  </si>
  <si>
    <t>Capri Nusa Satu Properti Tbk.</t>
  </si>
  <si>
    <t>Central Proteina Prima Tbk.</t>
  </si>
  <si>
    <t>Toba Surimi Industries Tbk.</t>
  </si>
  <si>
    <t>PT Carsurin Tbk</t>
  </si>
  <si>
    <t>C232</t>
  </si>
  <si>
    <t>Professional Services</t>
  </si>
  <si>
    <t>Research &amp; Consulting Services</t>
  </si>
  <si>
    <t>Catur Sentosa Adiprana Tbk.</t>
  </si>
  <si>
    <t>Cahayasakti Investindo Sukses Tbk.</t>
  </si>
  <si>
    <t>Cipta Selera Murni Tbk.</t>
  </si>
  <si>
    <t>Cisadane Sawit Raya Tbk.</t>
  </si>
  <si>
    <t>Citra Tubindo Tbk.</t>
  </si>
  <si>
    <t>Ciputra Development Tbk.</t>
  </si>
  <si>
    <t>COMPOSITE, ECONOMIC30, ESGQKEHATI, ESGSKEHATI, IDX80, IDXESGL, IDXG30, IDXLQ45LCL, IDXPROPERT, IDXQ30, IDXSMC-COM, IDXSMC-LIQ, IDXV30, ISSI, JII70, KOMPAS100, MBX</t>
  </si>
  <si>
    <t>Citatah Tbk.</t>
  </si>
  <si>
    <t>PT Petrindo Jaya Kreasi Tbk</t>
  </si>
  <si>
    <t>COMPOSITE, I-GRADE, IDX80, IDXENERGY, KOMPAS100, LQ45, MBX</t>
  </si>
  <si>
    <t>ITSEC Asia Tbk.</t>
  </si>
  <si>
    <t>Daaz Bara Lestari Tbk.</t>
  </si>
  <si>
    <t>Diamond Citra Propertindo Tbk.</t>
  </si>
  <si>
    <t>Duta Anggada Realty Tbk.</t>
  </si>
  <si>
    <t>Remala Abadi Tbk.</t>
  </si>
  <si>
    <t>J311</t>
  </si>
  <si>
    <t>Telecommunication Service</t>
  </si>
  <si>
    <t>Wired Telecommunication Service</t>
  </si>
  <si>
    <t>Duta Intidaya Tbk.</t>
  </si>
  <si>
    <t>D111</t>
  </si>
  <si>
    <t>Drug Retail &amp; Distributors</t>
  </si>
  <si>
    <t>DCI Indonesia Tbk.</t>
  </si>
  <si>
    <t>Dewata Freightinternational Tbk.</t>
  </si>
  <si>
    <t>COMPOSITE, IDXTRANS</t>
  </si>
  <si>
    <t>Danasupra Erapacific Tbk.</t>
  </si>
  <si>
    <t>G512</t>
  </si>
  <si>
    <t>Investment Companies</t>
  </si>
  <si>
    <t>COMPOSITE, DBX, IDXFINANCE, ISSI</t>
  </si>
  <si>
    <t>Caturkarda Depo Bangunan Tbk.</t>
  </si>
  <si>
    <t>Darma Henwa Tbk</t>
  </si>
  <si>
    <t>BISNIS-27, COMPOSITE, IDX80, IDXENERGY, IDXSMC-COM, IDXSMC-LIQ, ISSI, KOMPAS100, LQ45, MBX</t>
  </si>
  <si>
    <t>Dewi Shri Farmindo Tbk.</t>
  </si>
  <si>
    <t>Dafam Property Indonesia Tbk.</t>
  </si>
  <si>
    <t>Nusa Konstruksi Enjiniring Tbk</t>
  </si>
  <si>
    <t>COMPOSITE, DBX, IDXINFRA, ISSI</t>
  </si>
  <si>
    <t>Diagnos Laboratorium Utama Tbk.</t>
  </si>
  <si>
    <t>Delta Giri Wacana Tbk.</t>
  </si>
  <si>
    <t>B112</t>
  </si>
  <si>
    <t>Agricultural Chemicals</t>
  </si>
  <si>
    <t>Arkadia Digital Media Tbk.</t>
  </si>
  <si>
    <t>Intiland Development Tbk.</t>
  </si>
  <si>
    <t>Distribusi Voucher Nusantara Tbk.</t>
  </si>
  <si>
    <t>Central Omega Resources Tbk.</t>
  </si>
  <si>
    <t>PT Cipta Sarana Medika Tbk</t>
  </si>
  <si>
    <t>Delta Djakarta Tbk.</t>
  </si>
  <si>
    <t>Puradelta Lestari Tbk.</t>
  </si>
  <si>
    <t>Digital Mediatama Maxima Tbk.</t>
  </si>
  <si>
    <t>Diamond Food Indonesia Tbk.</t>
  </si>
  <si>
    <t>PT Bank Oke Indonesia Tbk.</t>
  </si>
  <si>
    <t>PT Indoritel Makmur Internasional Tbk.</t>
  </si>
  <si>
    <t>BUMA Internasional Grup Tbk.</t>
  </si>
  <si>
    <t>PT Era Media Sejahtera Tbk</t>
  </si>
  <si>
    <t>E611</t>
  </si>
  <si>
    <t>Advertising</t>
  </si>
  <si>
    <t>Global Sukses Digital Tbk.</t>
  </si>
  <si>
    <t>E311</t>
  </si>
  <si>
    <t>Consumer Electronics</t>
  </si>
  <si>
    <t>Duta Pertiwi Nusantara Tbk.</t>
  </si>
  <si>
    <t>Dua Putra Utama Makmur Tbk.</t>
  </si>
  <si>
    <t>Dharma Polimetal Tbk.</t>
  </si>
  <si>
    <t>Dharma Samudera Fishing Industries Tbk.</t>
  </si>
  <si>
    <t>PT Dharma Satya Nusantara Tbk.</t>
  </si>
  <si>
    <t>COMPOSITE, ESGQKEHATI, ESGSKEHATI, IDX80, IDXG30, IDXNONCYC, IDXQ30, IDXSHAGROW, IDXSMC-COM, IDXSMC-LIQ, IDXV30, IDXVESTA28, ISSI, JII70, KOMPAS100, MBX, SRI-KEHATI</t>
  </si>
  <si>
    <t>Dian Swastatika Sentosa Tbk</t>
  </si>
  <si>
    <t>COMPOSITE, I-GRADE, IDXENERGY, ISSI, JII, JII70, KOMPAS100, MBX</t>
  </si>
  <si>
    <t>Jaya Bersama Indo Tbk.</t>
  </si>
  <si>
    <t>Duta Pertiwi Tbk</t>
  </si>
  <si>
    <t>COMPOSITE, IDXPROPERT, IDXSMC-COM, ISSI</t>
  </si>
  <si>
    <t>Darya-Varia Laboratoria Tbk.</t>
  </si>
  <si>
    <t>F211</t>
  </si>
  <si>
    <t>Pharmaceuticals &amp; Health Care Research</t>
  </si>
  <si>
    <t>Pharmaceuticals</t>
  </si>
  <si>
    <t>Dwi Guna Laksana Tbk.</t>
  </si>
  <si>
    <t>Dyandra Media International Tbk.</t>
  </si>
  <si>
    <t>Eastparc Hotel Tbk.</t>
  </si>
  <si>
    <t>Electronic City Indonesia Tbk.</t>
  </si>
  <si>
    <t>E742</t>
  </si>
  <si>
    <t>Electronics Retail</t>
  </si>
  <si>
    <t>Indointernet Tbk.</t>
  </si>
  <si>
    <t>Ekadharma International Tbk.</t>
  </si>
  <si>
    <t>PT Data Sinergitama Jaya Tbk</t>
  </si>
  <si>
    <t>Pelayaran Nasional Ekalya Purnamasari Tbk.</t>
  </si>
  <si>
    <t>COMPOSITE, IDXSMC-COM, IDXTRANS, ISSI, MBX</t>
  </si>
  <si>
    <t>Elnusa Tbk.</t>
  </si>
  <si>
    <t>COMPOSITE, ESGSKEHATI, IDX80, IDXBUMN20, IDXENERGY, IDXMESBUMN, IDXSHAGROW, IDXSMC-COM, IDXSMC-LIQ, IDXV30, ISSI, JII70, KOMPAS100, MBX, SMinfra18</t>
  </si>
  <si>
    <t>Bakrieland Development Tbk.</t>
  </si>
  <si>
    <t>Merdeka Gold Resources Tbk.</t>
  </si>
  <si>
    <t>Megapolitan Developments Tbk.</t>
  </si>
  <si>
    <t>Elang Mahkota Teknologi Tbk.</t>
  </si>
  <si>
    <t>COMPOSITE, ESGQKEHATI, ESGSKEHATI, IDX30, IDX80, IDXESGL, IDXG30, IDXLQ45LCL, IDXTECHNO, IDXV30, IDXVESTA28, KOMPAS100, LQ45, MBX, SRI-KEHATI</t>
  </si>
  <si>
    <t>Champ Resto Indonesia Tbk.</t>
  </si>
  <si>
    <t>Energi Mega Persada Tbk.</t>
  </si>
  <si>
    <t>A111</t>
  </si>
  <si>
    <t>Oil &amp; Gas Production &amp; Refinery</t>
  </si>
  <si>
    <t>COMPOSITE, ESGSKEHATI, IDX80, IDXENERGY, IDXG30, IDXSHAGROW, IDXSMC-COM, IDXSMC-LIQ, ISSI, JII70, KOMPAS100, MBX, MNC36</t>
  </si>
  <si>
    <t>Envy Technologies Indonesia Tbk.</t>
  </si>
  <si>
    <t>COMPOSITE, IDXTECHNO</t>
  </si>
  <si>
    <t>Morenzo Abadi Perkasa Tbk.</t>
  </si>
  <si>
    <t>Megalestari Epack Sentosaraya Tbk.</t>
  </si>
  <si>
    <t>Enseval Putera Megatrading Tbk.</t>
  </si>
  <si>
    <t>Erajaya Swasembada Tbk.</t>
  </si>
  <si>
    <t>COMPOSITE, ECONOMIC30, IDX80, IDXCYCLIC, IDXESGL, IDXG30, IDXHIDIV20, IDXSHAGROW, IDXSMC-COM, IDXSMC-LIQ, IDXV30, ISSI, JII70, KOMPAS100, MBX</t>
  </si>
  <si>
    <t>PT Sinar Eka Selaras Tbk</t>
  </si>
  <si>
    <t>Eratex Djaja Tbk.</t>
  </si>
  <si>
    <t>E411</t>
  </si>
  <si>
    <t>Clothing, Accessories &amp; Bags</t>
  </si>
  <si>
    <t>Sinergi Inti Plastindo Tbk.</t>
  </si>
  <si>
    <t>ESSA Industries Indonesia Tbk.</t>
  </si>
  <si>
    <t>COMPOSITE, ECONOMIC30, ESGQKEHATI, IDX80, IDXBASIC, IDXG30, IDXSHAGROW, IDXSMC-COM, IDXSMC-LIQ, IDXVESTA28, ISSI, JII70, KOMPAS100, LQ45, MBX</t>
  </si>
  <si>
    <t>Esta Multi Usaha Tbk.</t>
  </si>
  <si>
    <t>Ever Shine Textile Industry Tbk</t>
  </si>
  <si>
    <t>Eterindo Wahanatama Tbk</t>
  </si>
  <si>
    <t>A221</t>
  </si>
  <si>
    <t>Alternative Energy</t>
  </si>
  <si>
    <t>Alternative Fuels</t>
  </si>
  <si>
    <t>Estee Gold Feet Tbk.</t>
  </si>
  <si>
    <t>D421</t>
  </si>
  <si>
    <t>Nondurable Household Products</t>
  </si>
  <si>
    <t>Personal Care Products</t>
  </si>
  <si>
    <t>XLSMART Telecom Sejahtera Tbk.</t>
  </si>
  <si>
    <t>COMPOSITE, IDX80, IDXESGL, IDXINFRA, IDXLQ45LCL, Investor33, ISSI, JII, JII70, KOMPAS100, LQ45, MBX</t>
  </si>
  <si>
    <t>FAP Agri Tbk.</t>
  </si>
  <si>
    <t>Fast Food Indonesia Tbk.</t>
  </si>
  <si>
    <t>Fajar Surya Wisesa Tbk.</t>
  </si>
  <si>
    <t>COMPOSITE, IDXBASIC, IDXSMC-COM, ISSI</t>
  </si>
  <si>
    <t>MD Entertainment Tbk.</t>
  </si>
  <si>
    <t>E621</t>
  </si>
  <si>
    <t>Entertainment &amp; Movie Production</t>
  </si>
  <si>
    <t>COMPOSITE, IDXCYCLIC, ISSI, KOMPAS100, MBX</t>
  </si>
  <si>
    <t>Fimperkasa Utama Tbk.</t>
  </si>
  <si>
    <t>Alfa Energi Investama Tbk.</t>
  </si>
  <si>
    <t>FKS Multi Agro Tbk</t>
  </si>
  <si>
    <t>Hotel Fitra International Tbk.</t>
  </si>
  <si>
    <t>Falmaco Nonwoven Industri Tbk.</t>
  </si>
  <si>
    <t>Fortune Mate Indonesia Tbk</t>
  </si>
  <si>
    <t>PT Multi Garam Utama Tbk.</t>
  </si>
  <si>
    <t>Sentra Food Indonesia Tbk.</t>
  </si>
  <si>
    <t>Fore Kopi Indonesia Tbk.</t>
  </si>
  <si>
    <t>Fortune Indonesia Tbk</t>
  </si>
  <si>
    <t>Lotte Chemical Titan Tbk.</t>
  </si>
  <si>
    <t>Smartfren Telecom Tbk</t>
  </si>
  <si>
    <t>Fuji Finance Indonesia Tbk.</t>
  </si>
  <si>
    <t>Futura Energi Global Tbk.</t>
  </si>
  <si>
    <t>PT Wijaya Cahaya Timber Tbk</t>
  </si>
  <si>
    <t>Aksara Global Development Tbk.</t>
  </si>
  <si>
    <t>Gunawan Dianjaya Steel Tbk.</t>
  </si>
  <si>
    <t>Goodyear Indonesia Tbk.</t>
  </si>
  <si>
    <t>Gema Grahasarana Tbk.</t>
  </si>
  <si>
    <t>Golden Energy Mines Tbk.</t>
  </si>
  <si>
    <t>Gudang Garam Tbk</t>
  </si>
  <si>
    <t>D311</t>
  </si>
  <si>
    <t>Tobacco</t>
  </si>
  <si>
    <t>COMPOSITE, IDX80, IDXNONCYC, IDXSMC-COM, IDXSMC-LIQ, MBX</t>
  </si>
  <si>
    <t>Gunung Raja Paksi Tbk.</t>
  </si>
  <si>
    <t>Gihon Telekomunikasi Indonesia Tbk.</t>
  </si>
  <si>
    <t>Garuda Indonesia (Persero) Tbk.</t>
  </si>
  <si>
    <t>COMPOSITE, DBX, IDXSMC-COM, IDXTRANS, ISSI</t>
  </si>
  <si>
    <t>Gajah Tunggal Tbk.</t>
  </si>
  <si>
    <t>COMPOSITE, ESGSKEHATI, IDXCYCLIC, IDXSMC-COM, ISSI, MBX</t>
  </si>
  <si>
    <t>Globe Kita Terang Tbk.</t>
  </si>
  <si>
    <t>Galva Technologies Tbk.</t>
  </si>
  <si>
    <t>COMPOSITE, IDXTECHNO, ISSI, MBX</t>
  </si>
  <si>
    <t>Garuda Maintenance Facility Aero Asia Tbk.</t>
  </si>
  <si>
    <t>Gowa Makassar Tourism Development Tbk.</t>
  </si>
  <si>
    <t>PT Visi Telekomunikasi Infrastruktur Tbk.</t>
  </si>
  <si>
    <t>Intra Golflink Resorts Tbk.</t>
  </si>
  <si>
    <t>PT Golden Plantation Tbk</t>
  </si>
  <si>
    <t>Garudafood Putra Putri Jaya Tbk.</t>
  </si>
  <si>
    <t>GoTo Gojek Tokopedia Tbk.</t>
  </si>
  <si>
    <t>I131</t>
  </si>
  <si>
    <t>Software</t>
  </si>
  <si>
    <t>COMPOSITE, DBX, IDX30, IDX80, IDXESGL, IDXLQ45LCL, IDXTECHNO, KOMPAS100, LQ45</t>
  </si>
  <si>
    <t>MVS GoTo Gojek Tokopedia Tbk.</t>
  </si>
  <si>
    <t>Perdana Gapuraprima Tbk.</t>
  </si>
  <si>
    <t>Geoprima Solusi Tbk.</t>
  </si>
  <si>
    <t>PT Ingria Pratama Capitalindo Tbk</t>
  </si>
  <si>
    <t>Griptha Putra Persada Tbk.</t>
  </si>
  <si>
    <t>PT Graha Prima Mentari Tbk.</t>
  </si>
  <si>
    <t>Equity Development Investment Tbk.</t>
  </si>
  <si>
    <t>Garda Tujuh Buana Tbk</t>
  </si>
  <si>
    <t>PT Grahaprima Suksesmandiri Tbk</t>
  </si>
  <si>
    <t>GTS Internasional Tbk.</t>
  </si>
  <si>
    <t>Aman Agrindo Tbk.</t>
  </si>
  <si>
    <t>Gunanusa Eramandiri Tbk.</t>
  </si>
  <si>
    <t>Greenwood Sejahtera Tbk.</t>
  </si>
  <si>
    <t>Gozco Plantations Tbk</t>
  </si>
  <si>
    <t>Himalaya Energi Perkasa Tbk.</t>
  </si>
  <si>
    <t>J421</t>
  </si>
  <si>
    <t>Gas Utilities</t>
  </si>
  <si>
    <t>COMPOSITE, IDXINFRA, ISSI</t>
  </si>
  <si>
    <t>Hasnur Internasional Shipping Tbk.</t>
  </si>
  <si>
    <t>PT Arsy Buana Travelindo Tbk</t>
  </si>
  <si>
    <t>PT Haloni Jane Tbk</t>
  </si>
  <si>
    <t>Habco Trans Maritima Tbk.</t>
  </si>
  <si>
    <t>PT Minahasa Membangun Hebat Tbk</t>
  </si>
  <si>
    <t>Radana Bhaskara Finance Tbk.</t>
  </si>
  <si>
    <t>Hensel Davest Indonesia Tbk.</t>
  </si>
  <si>
    <t>Medikaloka Hermina Tbk.</t>
  </si>
  <si>
    <t>COMPOSITE, I-GRADE, IDX80, IDXHEALTH, IDXSMC-COM, IDXSMC-LIQ, ISSI, JII70, KOMPAS100, MBX</t>
  </si>
  <si>
    <t>Jaya Trishindo Tbk.</t>
  </si>
  <si>
    <t>DFI Retail Nusantara Tbk.</t>
  </si>
  <si>
    <t>Hexindo Adiperkasa Tbk.</t>
  </si>
  <si>
    <t>C141</t>
  </si>
  <si>
    <t>Construction Machinery &amp; Heavy Vehicles</t>
  </si>
  <si>
    <t>Hero Global Investment Tbk.</t>
  </si>
  <si>
    <t>PT Hillcon Tbk</t>
  </si>
  <si>
    <t>COMPOSITE, IDXENERGY, IDXSMC-COM</t>
  </si>
  <si>
    <t>Humpuss Intermoda Transportasi Tbk.</t>
  </si>
  <si>
    <t>HK Metals Utama Tbk.</t>
  </si>
  <si>
    <t>HM Sampoerna Tbk</t>
  </si>
  <si>
    <t>COMPOSITE, IDXHIDIV20, IDXNONCYC, KOMPAS100, MBX</t>
  </si>
  <si>
    <t>Buyung Poetra Sembada Tbk.</t>
  </si>
  <si>
    <t>Hotel Mandarine Regency Tbk.</t>
  </si>
  <si>
    <t>COMPOSITE, IDXCYCLIC, IDXSMC-COM</t>
  </si>
  <si>
    <t>Grand House Mulia Tbk.</t>
  </si>
  <si>
    <t>Harapan Duta Pertiwi Tbk.</t>
  </si>
  <si>
    <t>Saraswati Griya Lestari Tbk.</t>
  </si>
  <si>
    <t>Menteng Heritage Realty Tbk.</t>
  </si>
  <si>
    <t>Hartadinata Abadi Tbk.</t>
  </si>
  <si>
    <t>COMPOSITE, ECONOMIC30, I-GRADE, IDX80, IDXCYCLIC, IDXG30, IDXQ30, IDXSMC-COM, IDXSMC-LIQ, IDXVESTA28, KOMPAS100, LQ45, MBX</t>
  </si>
  <si>
    <t>Harum Energy Tbk.</t>
  </si>
  <si>
    <t>COMPOSITE, IDX80, IDXENERGY, IDXSHAGROW, IDXSMC-COM, IDXSMC-LIQ, ISSI, JII70, KOMPAS100, MBX</t>
  </si>
  <si>
    <t>PT Humpuss Maritim Internasional Tbk</t>
  </si>
  <si>
    <t>Ecocare Indo Pasifik Tbk.</t>
  </si>
  <si>
    <t>C222</t>
  </si>
  <si>
    <t>Environmental &amp; Facilities Services</t>
  </si>
  <si>
    <t>MNC Energy Investments Tbk.</t>
  </si>
  <si>
    <t>Intan Baru Prana Tbk.</t>
  </si>
  <si>
    <t>Indo Boga Sukses Tbk.</t>
  </si>
  <si>
    <t>Inti Bangun Sejahtera Tbk</t>
  </si>
  <si>
    <t>Indofood CBP Sukses Makmur Tbk.</t>
  </si>
  <si>
    <t>BISNIS-27, COMPOSITE, ESGQKEHATI, ESGSKEHATI, IDX30, IDX80, IDXG30, IDXLQ45LCL, IDXNONCYC, IDXSHAGROW, IDXVESTA28, Investor33, ISSI, JII, JII70, KOMPAS100, LQ45, MBX, MNC36, SRI-KEHATI</t>
  </si>
  <si>
    <t>Island Concepts Indonesia Tbk.</t>
  </si>
  <si>
    <t>Idea Indonesia Akademi Tbk.</t>
  </si>
  <si>
    <t>PT Indonesia Pondasi Raya Tbk.</t>
  </si>
  <si>
    <t>Indonesia Fibreboard Industry Tbk.</t>
  </si>
  <si>
    <t>B151</t>
  </si>
  <si>
    <t>Timber</t>
  </si>
  <si>
    <t>Ifishdeco Tbk.</t>
  </si>
  <si>
    <t>Champion Pacific Indonesia Tbk.</t>
  </si>
  <si>
    <t>Inti Agri Resources Tbk</t>
  </si>
  <si>
    <t>Intikeramik Alamasri Industri Tbk.</t>
  </si>
  <si>
    <t>COMPOSITE, IDXINDUST, ISSI</t>
  </si>
  <si>
    <t>Era Mandiri Cemerlang Tbk.</t>
  </si>
  <si>
    <t>Sumi Indo Kabel Tbk.</t>
  </si>
  <si>
    <t>Ikapharmindo Putramas Tbk.</t>
  </si>
  <si>
    <t>Indomobil Sukses Internasional Tbk</t>
  </si>
  <si>
    <t>Indomobil Multi Jasa Tbk.</t>
  </si>
  <si>
    <t>COMPOSITE, DBX, IDXSMC-COM, IDXTRANS</t>
  </si>
  <si>
    <t>Impack Pratama Industri Tbk.</t>
  </si>
  <si>
    <t>COMPOSITE, IDXINDUST, ISSI, KOMPAS100, MBX</t>
  </si>
  <si>
    <t>Indofarma Tbk.</t>
  </si>
  <si>
    <t>COMPOSITE, IDXHEALTH</t>
  </si>
  <si>
    <t>Indal Aluminium Industry Tbk.</t>
  </si>
  <si>
    <t>PT Indo Komoditi Korpora Tbk</t>
  </si>
  <si>
    <t>BASIC INDUSTRY AND CHEMICALS</t>
  </si>
  <si>
    <t>Other not elsewhere classified</t>
  </si>
  <si>
    <t>Intanwijaya Internasional Tbk</t>
  </si>
  <si>
    <t>Vale Indonesia Tbk.</t>
  </si>
  <si>
    <t>BISNIS-27, COMPOSITE, ECONOMIC30, ESGQKEHATI, ESGSKEHATI, IDX30, IDX80, IDXBASIC, IDXESGL, IDXG30, IDXLQ45LCL, IDXSHAGROW, Investor33, ISSI, JII, JII70, KOMPAS100, LQ45, MBX, MNC36</t>
  </si>
  <si>
    <t>Indofood Sukses Makmur Tbk.</t>
  </si>
  <si>
    <t>COMPOSITE, ESGQKEHATI, ESGSKEHATI, IDX30, IDX80, IDXG30, IDXHIDIV20, IDXLQ45LCL, IDXNONCYC, IDXSHAGROW, IDXV30, Investor33, ISSI, JII, JII70, KOMPAS100, LQ45, MBX, MNC36, SRI-KEHATI</t>
  </si>
  <si>
    <t>Royalindo Investa Wijaya Tbk.</t>
  </si>
  <si>
    <t>H112</t>
  </si>
  <si>
    <t>Real Estate Services</t>
  </si>
  <si>
    <t>COMPOSITE, DBX, IDXPROPERT, IDXSMC-COM</t>
  </si>
  <si>
    <t>Indorama Synthetics Tbk</t>
  </si>
  <si>
    <t>Indospring Tbk.</t>
  </si>
  <si>
    <t>Tanah Laut Tbk</t>
  </si>
  <si>
    <t>Indika Energy Tbk.</t>
  </si>
  <si>
    <t>COMPOSITE, IDX80, IDXENERGY, IDXSMC-COM, IDXSMC-LIQ, ISSI, JII70, KOMPAS100, MBX</t>
  </si>
  <si>
    <t>PT Sinergi Inti Andalan Prima Tbk.</t>
  </si>
  <si>
    <t>COMPOSITE, DBX, IDXINFRA, IDXSMC-COM, IDXSMC-LIQ, ISSI, KOMPAS100</t>
  </si>
  <si>
    <t>Indah Kiat Pulp &amp; Paper Tbk.</t>
  </si>
  <si>
    <t>B152</t>
  </si>
  <si>
    <t>Paper</t>
  </si>
  <si>
    <t>BISNIS-27, COMPOSITE, ECONOMIC30, I-GRADE, IDX30, IDX80, IDXBASIC, IDXG30, IDXLQ45LCL, IDXSHAGROW, IDXV30, IDXVESTA28, ISSI, JII, JII70, KOMPAS100, LQ45, MBX, MNC36</t>
  </si>
  <si>
    <t>Inocycle Technology Group Tbk.</t>
  </si>
  <si>
    <t>Bank Artha Graha Internasional Tbk</t>
  </si>
  <si>
    <t>Indonesian Paradise Property Tbk.</t>
  </si>
  <si>
    <t>Indah Prakasa Sentosa Tbk.</t>
  </si>
  <si>
    <t>Intraco Penta Tbk.</t>
  </si>
  <si>
    <t>Inter Delta Tbk</t>
  </si>
  <si>
    <t>Indocement Tunggal Prakarsa Tbk.</t>
  </si>
  <si>
    <t>COMPOSITE, ESGQKEHATI, ESGSKEHATI, IDX80, IDXBASIC, IDXQ30, IDXSMC-COM, IDXSMC-LIQ, IDXV30, Investor33, ISSI, JII70, KOMPAS100, MBX, SMinfra18, SRI-KEHATI</t>
  </si>
  <si>
    <t>PT Sumber Sinergi Makmur Tbk</t>
  </si>
  <si>
    <t>Era Graharealty Tbk.</t>
  </si>
  <si>
    <t>Indonesia Kendaraan Terminal Tbk.</t>
  </si>
  <si>
    <t>J113</t>
  </si>
  <si>
    <t>Marine Ports &amp; Services</t>
  </si>
  <si>
    <t>COMPOSITE, IDXINFRA, IDXMESBUMN, IDXSMC-COM, ISSI, MBX</t>
  </si>
  <si>
    <t>PT Jasa Armada Indonesia Tbk.</t>
  </si>
  <si>
    <t>Indopoly Swakarsa Industry Tbk.</t>
  </si>
  <si>
    <t>Indo Pureco Pratama Tbk.</t>
  </si>
  <si>
    <t>MNC Vision Networks Tbk.</t>
  </si>
  <si>
    <t>E613</t>
  </si>
  <si>
    <t>Cable &amp; Satellite</t>
  </si>
  <si>
    <t>Itama Ranoraya Tbk.</t>
  </si>
  <si>
    <t>F111</t>
  </si>
  <si>
    <t>Healthcare Equipment</t>
  </si>
  <si>
    <t>Folago Global Nusantara Tbk.</t>
  </si>
  <si>
    <t>Isra Presisi Indonesia Tbk.</t>
  </si>
  <si>
    <t>PT Indosat Tbk</t>
  </si>
  <si>
    <t>COMPOSITE, I-GRADE, IDX80, IDXG30, IDXINFRA, IDXLQ45LCL, IDXSHAGROW, IDXVESTA28, ISSI, JII, JII70, KOMPAS100, LQ45, MBX, SMinfra18</t>
  </si>
  <si>
    <t>Indo American Seafoods Tbk.</t>
  </si>
  <si>
    <t>Steel Pipe Industry of Indonesia Tbk.</t>
  </si>
  <si>
    <t>Indonesian Tobacco Tbk.</t>
  </si>
  <si>
    <t>SUMBER ENERGI ANDALAN Tbk</t>
  </si>
  <si>
    <t>Indo Tambangraya Megah Tbk.</t>
  </si>
  <si>
    <t>COMPOSITE, IDX80, IDXENERGY, IDXG30, IDXHIDIV20, IDXSHAGROW, IDXSMC-COM, IDXSMC-LIQ, IDXV30, IDXVESTA28, Investor33, ISSI, JII70, KOMPAS100, LQ45, MBX</t>
  </si>
  <si>
    <t>Jhonlin Agro Raya Tbk.</t>
  </si>
  <si>
    <t>Jasnita Telekomindo Tbk.</t>
  </si>
  <si>
    <t>PT Informasi Teknologi Indonesia Tbk.</t>
  </si>
  <si>
    <t>Jaya Agra Wattie Tbk</t>
  </si>
  <si>
    <t>Armada Berjaya Trans Tbk.</t>
  </si>
  <si>
    <t>Jembo Cable Company Tbk.</t>
  </si>
  <si>
    <t>Graha Andrasentra Propertindo Tbk.</t>
  </si>
  <si>
    <t>Jakarta International Hotels &amp; Development Tbk.</t>
  </si>
  <si>
    <t>Jaya Konstruksi Manggala Pratama Tbk</t>
  </si>
  <si>
    <t>Asuransi Jiwa Syariah Jasa Mitra Abadi Tbk.</t>
  </si>
  <si>
    <t>Japfa Comfeed Indonesia Tbk.</t>
  </si>
  <si>
    <t>BISNIS-27, COMPOSITE, ESGQKEHATI, ESGSKEHATI, IDX30, IDX80, IDXG30, IDXLQ45LCL, IDXNONCYC, IDXQ30, IDXSHAGROW, IDXSMC-COM, IDXSMC-LIQ, IDXVESTA28, ISSI, JII, JII70, KOMPAS100, LQ45, MBX, MNC36</t>
  </si>
  <si>
    <t>Jaya Real Property Tbk.</t>
  </si>
  <si>
    <t>COMPOSITE, IDXMESBUMN, IDXPROPERT, IDXSMC-COM, ISSI, MBX</t>
  </si>
  <si>
    <t>Sky Energy Indonesia Tbk.</t>
  </si>
  <si>
    <t>A211</t>
  </si>
  <si>
    <t>Alternative Energy Equipment</t>
  </si>
  <si>
    <t>Jasa Marga (Persero) Tbk.</t>
  </si>
  <si>
    <t>COMPOSITE, ESGQKEHATI, ESGSKEHATI, I-GRADE, IDX80, IDXBUMN20, IDXESGL, IDXINFRA, IDXMESBUMN, IDXSMC-COM, IDXSMC-LIQ, IDXV30, IDXVESTA28, Investor33, ISSI, JII70, KOMPAS100, MBX, SMinfra18, SRI-KEHATI</t>
  </si>
  <si>
    <t>Jakarta Setiabudi Internasional Tbk.</t>
  </si>
  <si>
    <t>Jasuindo Tiga Perkasa Tbk.</t>
  </si>
  <si>
    <t>C221</t>
  </si>
  <si>
    <t>Commercial Printing</t>
  </si>
  <si>
    <t>Kimia Farma Tbk.</t>
  </si>
  <si>
    <t>COMPOSITE, DBX, IDXHEALTH, IDXSMC-COM</t>
  </si>
  <si>
    <t>Jantra Grupo Indonesia Tbk.</t>
  </si>
  <si>
    <t>Meratus Jasa Prima Tbk.</t>
  </si>
  <si>
    <t>Darmi Bersaudara Tbk.</t>
  </si>
  <si>
    <t>Karya Bersama Anugerah Tbk.</t>
  </si>
  <si>
    <t>KMI Wire &amp; Cable Tbk.</t>
  </si>
  <si>
    <t>Kabelindo Murni Tbk.</t>
  </si>
  <si>
    <t>First Media Tbk.</t>
  </si>
  <si>
    <t>Kertas Basuki Rachmat Indonesia Tbk.</t>
  </si>
  <si>
    <t>Kedawung Setia Industrial Tbk.</t>
  </si>
  <si>
    <t>Puri Sentul Permai Tbk.</t>
  </si>
  <si>
    <t>Kencana Energi Lestari Tbk.</t>
  </si>
  <si>
    <t>Mulia Boga Raya Tbk.</t>
  </si>
  <si>
    <t>Kedaung Indah Can Tbk</t>
  </si>
  <si>
    <t>E213</t>
  </si>
  <si>
    <t>Housewares &amp; Specialties</t>
  </si>
  <si>
    <t>Kawasan Industri Jababeka Tbk.</t>
  </si>
  <si>
    <t>COMPOSITE, ECONOMIC30, IDX80, IDXESGL, IDXG30, IDXPROPERT, IDXSHAGROW, IDXSMC-COM, ISSI, JII70, KOMPAS100, MBX</t>
  </si>
  <si>
    <t>PT Hoffmen Cleanindo Tbk</t>
  </si>
  <si>
    <t>C231</t>
  </si>
  <si>
    <t>Human Resource &amp; Employment Services</t>
  </si>
  <si>
    <t>PT Kino Indonesia Tbk</t>
  </si>
  <si>
    <t>Kioson Komersial Indonesia Tbk.</t>
  </si>
  <si>
    <t>Krida Jaringan Nusantara Tbk.</t>
  </si>
  <si>
    <t>Kusuma Kemindo Sentosa Tbk.</t>
  </si>
  <si>
    <t>COMPOSITE, IDXBASIC, ISSI</t>
  </si>
  <si>
    <t>Resource Alam Indonesia Tbk.</t>
  </si>
  <si>
    <t>PT Pelayaran Kurnia Lautan Semesta Tbk</t>
  </si>
  <si>
    <t>Kalbe Farma Tbk.</t>
  </si>
  <si>
    <t>BISNIS-27, COMPOSITE, ESGQKEHATI, ESGSKEHATI, IDX30, IDX80, IDXHEALTH, IDXLQ45LCL, IDXQ30, IDXVESTA28, Investor33, ISSI, JII, JII70, KOMPAS100, LQ45, MBX, MNC36, SRI-KEHATI</t>
  </si>
  <si>
    <t>Klinko Karya Imaji Tbk.</t>
  </si>
  <si>
    <t>Kurniamitra Duta Sentosa Tbk.</t>
  </si>
  <si>
    <t>PT Kirana Megatara Tbk.</t>
  </si>
  <si>
    <t>Kobexindo Tractors Tbk.</t>
  </si>
  <si>
    <t>PT Kokoh Exa Nusantara</t>
  </si>
  <si>
    <t>Kokoh Inti Arebama Tbk</t>
  </si>
  <si>
    <t>PT Koka Indonesia Tbk.</t>
  </si>
  <si>
    <t>Perdana Bangun Pusaka Tbk</t>
  </si>
  <si>
    <t>Mitra Energi Persada Tbk.</t>
  </si>
  <si>
    <t>DMS Propertindo Tbk.</t>
  </si>
  <si>
    <t>MNC Tourism Indonesia Tbk.</t>
  </si>
  <si>
    <t>COMPOSITE, IDX80, IDXCYCLIC, IDXESGL, IDXSHAGROW, IDXSMC-COM, IDXV30, ISSI, JII70, KOMPAS100, MBX</t>
  </si>
  <si>
    <t>Krakatau Steel (Persero) Tbk.</t>
  </si>
  <si>
    <t>Quantum Clovera Investama Tbk.</t>
  </si>
  <si>
    <t>COMPOSITE, IDXTECHNO, ISSI</t>
  </si>
  <si>
    <t>Bangun Karya Perkasa Jaya Tbk.</t>
  </si>
  <si>
    <t>Kentanix Supra International Tbk.</t>
  </si>
  <si>
    <t>Ace Oldfields Tbk.</t>
  </si>
  <si>
    <t>Green Power Group Tbk.</t>
  </si>
  <si>
    <t>UBC Medical Indonesia Tbk.</t>
  </si>
  <si>
    <t>PT Jasa Berdikari Logistics Tbk</t>
  </si>
  <si>
    <t>Trimitra Propertindo Tbk.</t>
  </si>
  <si>
    <t>Leyand International Tbk.</t>
  </si>
  <si>
    <t>Eureka Prima Jakarta Tbk.</t>
  </si>
  <si>
    <t>LCK Global Kedaton Tbk.</t>
  </si>
  <si>
    <t>Logindo Samudramakmur Tbk.</t>
  </si>
  <si>
    <t>Imago Mulia Persada Tbk.</t>
  </si>
  <si>
    <t>MSIG Life Insurance Indonesia Tbk.</t>
  </si>
  <si>
    <t>Link Net Tbk.</t>
  </si>
  <si>
    <t>Lion Metal Works Tbk.</t>
  </si>
  <si>
    <t>Homeco Victoria Makmur Tbk.</t>
  </si>
  <si>
    <t>Limas Indonesia Makmur Tbk</t>
  </si>
  <si>
    <t>PT Lupromax Pelumas Indonesia Tbk.</t>
  </si>
  <si>
    <t>Langgeng Makmur Industri Tbk</t>
  </si>
  <si>
    <t>Lionmesh Prima Tbk.</t>
  </si>
  <si>
    <t>PT Logisticsplus International Tbk</t>
  </si>
  <si>
    <t>Lippo Cikarang Tbk</t>
  </si>
  <si>
    <t>Lippo General Insurance Tbk.</t>
  </si>
  <si>
    <t>Multi Prima Sejahtera Tbk</t>
  </si>
  <si>
    <t>Lippo Karawaci Tbk.</t>
  </si>
  <si>
    <t>Star Pacific Tbk</t>
  </si>
  <si>
    <t>MDS Retailing Tbk.</t>
  </si>
  <si>
    <t>E731</t>
  </si>
  <si>
    <t>Department Stores</t>
  </si>
  <si>
    <t>PT Lenox Pasifik Investama Tbk</t>
  </si>
  <si>
    <t>PT Eka Sari Lorena Transport Tbk.</t>
  </si>
  <si>
    <t>PP London Sumatra Indonesia Tbk</t>
  </si>
  <si>
    <t>COMPOSITE, ESGSKEHATI, IDXNONCYC, IDXSHAGROW, IDXSMC-COM, IDXSMC-LIQ, IDXVESTA28, ISSI, JII70, MBX</t>
  </si>
  <si>
    <t>Lautan Luas Tbk.</t>
  </si>
  <si>
    <t>Sentral Mitra Informatika Tbk.</t>
  </si>
  <si>
    <t>Lima Dua Lima Tiga Tbk.</t>
  </si>
  <si>
    <t>Marga Abhinaya Abadi Tbk.</t>
  </si>
  <si>
    <t>Multi Agro Gemilang Plantation Tbk</t>
  </si>
  <si>
    <t>PT Mandiri Herindo Adiperkasa Tbk</t>
  </si>
  <si>
    <t>Malindo Feedmill Tbk.</t>
  </si>
  <si>
    <t>Manggung Polahraya Tbk.</t>
  </si>
  <si>
    <t>Map Aktif Adiperkasa Tbk.</t>
  </si>
  <si>
    <t>COMPOSITE, ECONOMIC30, ESGSKEHATI, IDX80, IDXCYCLIC, IDXESGL, IDXG30, IDXSHAGROW, IDXSMC-COM, IDXSMC-LIQ, IDXVESTA28, ISSI, JII70, KOMPAS100, MBX</t>
  </si>
  <si>
    <t>MAP Boga Adiperkasa Tbk.</t>
  </si>
  <si>
    <t>Mitra Adiperkasa Tbk.</t>
  </si>
  <si>
    <t>BISNIS-27, COMPOSITE, ECONOMIC30, ESGQKEHATI, ESGSKEHATI, IDX80, IDXCYCLIC, IDXESGL, IDXLQ45LCL, IDXSMC-COM, IDXSMC-LIQ, IDXV30, IDXVESTA28, ISSI, JII70, KOMPAS100, LQ45, MBX, MNC36</t>
  </si>
  <si>
    <t>Mahaka Radio Integra Tbk.</t>
  </si>
  <si>
    <t>E612</t>
  </si>
  <si>
    <t>Broadcasting</t>
  </si>
  <si>
    <t>PT Mark Dynamics Indonesia Tbk.</t>
  </si>
  <si>
    <t>COMPOSITE, IDXINDUST, IDXSHAGROW, IDXSMC-COM, ISSI, JII70, MBX</t>
  </si>
  <si>
    <t>Bank Multiarta Sentosa Tbk.</t>
  </si>
  <si>
    <t>PT Maxindo Karya Anugerah Tbk</t>
  </si>
  <si>
    <t>PT Bank Mayapada Internasional Tbk</t>
  </si>
  <si>
    <t>Mitrabara Adiperdana Tbk.</t>
  </si>
  <si>
    <t>PT Merdeka Battery Materials Tbk</t>
  </si>
  <si>
    <t>BISNIS-27, COMPOSITE, ECONOMIC30, I-GRADE, IDX30, IDX80, IDXBASIC, IDXLQ45LCL, ISSI, JII, JII70, KOMPAS100, LQ45, MBX</t>
  </si>
  <si>
    <t>Mitrabahtera Segara Sejati Tbk.</t>
  </si>
  <si>
    <t>Martina Berto Tbk</t>
  </si>
  <si>
    <t>M Cash Integrasi Tbk.</t>
  </si>
  <si>
    <t>Prima Andalan Mandiri Tbk.</t>
  </si>
  <si>
    <t>PT Bank China Construction Bank Indonesia Tbk</t>
  </si>
  <si>
    <t>Intermedia Capital Tbk.</t>
  </si>
  <si>
    <t>Daya Intiguna Yasa Tbk.</t>
  </si>
  <si>
    <t>Merdeka Copper Gold Tbk.</t>
  </si>
  <si>
    <t>COMPOSITE, ECONOMIC30, I-GRADE, IDX30, IDX80, IDXBASIC, IDXLQ45LCL, ISSI, JII, JII70, KOMPAS100, LQ45, MBX, MNC36</t>
  </si>
  <si>
    <t>Emdeki Utama Tbk.</t>
  </si>
  <si>
    <t>Medela Potentia Tbk.</t>
  </si>
  <si>
    <t>Modernland Realty Tbk.</t>
  </si>
  <si>
    <t>Modern Internasional Tbk.</t>
  </si>
  <si>
    <t>Medco Energi Internasional Tbk.</t>
  </si>
  <si>
    <t>BISNIS-27, COMPOSITE, ESGQKEHATI, ESGSKEHATI, I-GRADE, IDX30, IDX80, IDXENERGY, IDXG30, IDXLQ45LCL, IDXSHAGROW, IDXSMC-COM, IDXSMC-LIQ, IDXV30, IDXVESTA28, ISSI, JII, JII70, KOMPAS100, LQ45, MBX, SMinfra18</t>
  </si>
  <si>
    <t>Hetzer Medical Indonesia Tbk.</t>
  </si>
  <si>
    <t>Bank Mega Tbk</t>
  </si>
  <si>
    <t>Harta Djaya Karya Tbk.</t>
  </si>
  <si>
    <t>PT Menn Teknologi Indonesia Tbk.</t>
  </si>
  <si>
    <t>Merry Riana Edukasi Tbk.</t>
  </si>
  <si>
    <t>Merck Tbk.</t>
  </si>
  <si>
    <t>Nusantara Infrastructure Tbk.</t>
  </si>
  <si>
    <t>Multifiling Mitra Indonesia Tbk.</t>
  </si>
  <si>
    <t>Panca Anugrah Wisesa Tbk.</t>
  </si>
  <si>
    <t>PT Magna Investama Mandiri Tbk</t>
  </si>
  <si>
    <t>Mahkota Group Tbk.</t>
  </si>
  <si>
    <t>Multi Hanna Kreasindo Tbk.</t>
  </si>
  <si>
    <t>Multi Indocitra Tbk</t>
  </si>
  <si>
    <t>Midi Utama Indonesia Tbk</t>
  </si>
  <si>
    <t>COMPOSITE, IDXNONCYC, IDXSMC-COM, IDXSMC-LIQ, ISSI, MBX</t>
  </si>
  <si>
    <t>PT Mitra Keluarga Karyasehat Tbk.</t>
  </si>
  <si>
    <t>BISNIS-27, COMPOSITE, IDX80, IDXESGL, IDXHEALTH, IDXQ30, IDXSMC-COM, IDXSMC-LIQ, ISSI, JII70, KOMPAS100, MBX, MNC36, SMinfra18</t>
  </si>
  <si>
    <t>Sanurhasta Mitra Tbk.</t>
  </si>
  <si>
    <t>Sinar Terang Mandiri Tbk.</t>
  </si>
  <si>
    <t>Mitra International Resources Tbk</t>
  </si>
  <si>
    <t>Mitra Investindo Tbk.</t>
  </si>
  <si>
    <t>Multikarya Asia Pasifik Raya Tbk.</t>
  </si>
  <si>
    <t>Mitra Komunikasi Nusantara Tbk.</t>
  </si>
  <si>
    <t>E711</t>
  </si>
  <si>
    <t>Consumer Distributors</t>
  </si>
  <si>
    <t>Metropolitan Kentjana Tbk.</t>
  </si>
  <si>
    <t>Menthobi Karyatama Raya Tbk.</t>
  </si>
  <si>
    <t>Multi Bintang Indonesia Tbk.</t>
  </si>
  <si>
    <t>Mulia Industrindo Tbk</t>
  </si>
  <si>
    <t>COMPOSITE, IDXINDUST, IDXSMC-COM, ISSI</t>
  </si>
  <si>
    <t>Multipolar Tbk</t>
  </si>
  <si>
    <t>Multipolar Technology Tbk.</t>
  </si>
  <si>
    <t>PT Multi Medika Internasional Tbk</t>
  </si>
  <si>
    <t>Mega Manunggal Property Tbk.</t>
  </si>
  <si>
    <t>COMPOSITE, DBX, ESGSKEHATI, IDXPROPERT, IDXSMC-COM, ISSI</t>
  </si>
  <si>
    <t>Media Nusantara Citra Tbk.</t>
  </si>
  <si>
    <t>COMPOSITE, IDXCYCLIC, IDXSMC-COM, IDXSMC-LIQ, ISSI, MBX, MNC36</t>
  </si>
  <si>
    <t>Madusari Murni Indah Tbk.</t>
  </si>
  <si>
    <t>Ekamas Mora Republik Tbk.</t>
  </si>
  <si>
    <t>Mitra Pedagang Indonesia Tbk.</t>
  </si>
  <si>
    <t>PT Mitra Pinasthika Mustika Tbk.</t>
  </si>
  <si>
    <t>COMPOSITE, ESGQKEHATI, ESGSKEHATI, IDXCYCLIC, IDXSMC-COM, ISSI, MBX</t>
  </si>
  <si>
    <t>Megapower Makmur Tbk.</t>
  </si>
  <si>
    <t>Matahari Putra Prima Tbk</t>
  </si>
  <si>
    <t>Maha Properti Indonesia Tbk.</t>
  </si>
  <si>
    <t>PT MPX Logistics International Tbk</t>
  </si>
  <si>
    <t>Mustika Ratu Tbk</t>
  </si>
  <si>
    <t>Maskapai Reasuransi Indonesia Tbk</t>
  </si>
  <si>
    <t>G414</t>
  </si>
  <si>
    <t>Reasurance</t>
  </si>
  <si>
    <t>PT Multisarana Intan Eduka Tbk</t>
  </si>
  <si>
    <t>MNC Digital Entertainment Tbk.</t>
  </si>
  <si>
    <t>COMPOSITE, IDXCYCLIC, IDXSMC-COM, ISSI, MBX, MNC36</t>
  </si>
  <si>
    <t>Multi Spunindo Jaya Tbk.</t>
  </si>
  <si>
    <t>MNC Sky Vision Tbk.</t>
  </si>
  <si>
    <t>Mastersystem Infotama Tbk.</t>
  </si>
  <si>
    <t>I211</t>
  </si>
  <si>
    <t>Networking Equipment</t>
  </si>
  <si>
    <t>COMPOSITE, IDXSMC-COM, IDXTECHNO, ISSI, MBX</t>
  </si>
  <si>
    <t>Metrodata Electronics Tbk.</t>
  </si>
  <si>
    <t>Dayamitra Telekomunikasi Tbk.</t>
  </si>
  <si>
    <t>COMPOSITE, ESGQKEHATI, ESGSKEHATI, IDXBUMN20, IDXINFRA, IDXMESBUMN, ISSI, JII70, KOMPAS100, MBX, MNC36, SRI-KEHATI</t>
  </si>
  <si>
    <t>Capitalinc Investment Tbk.</t>
  </si>
  <si>
    <t>COMPOSITE, IDXENERGY, IDXSMC-COM, ISSI</t>
  </si>
  <si>
    <t>Metropolitan Land Tbk.</t>
  </si>
  <si>
    <t>Murni Sadar Tbk.</t>
  </si>
  <si>
    <t>Meta Epsi Tbk.</t>
  </si>
  <si>
    <t>PT Mitra Pemuda Tbk.</t>
  </si>
  <si>
    <t>COMPOSITE, IDXINFRA</t>
  </si>
  <si>
    <t>Metro Realty Tbk.</t>
  </si>
  <si>
    <t>Malacca Trust Wuwungan Insurance Tbk.</t>
  </si>
  <si>
    <t>PT Mutuagung Lestari Tbk</t>
  </si>
  <si>
    <t>Samindo Resources Tbk</t>
  </si>
  <si>
    <t>Mayora Indah Tbk.</t>
  </si>
  <si>
    <t>COMPOSITE, I-GRADE, IDX80, IDXNONCYC, IDXQ30, IDXSMC-COM, IDXSMC-LIQ, Investor33, ISSI, JII70, KOMPAS100, MBX, MNC36</t>
  </si>
  <si>
    <t>PT Asia Pacific Investama Tbk.</t>
  </si>
  <si>
    <t>Adiwarna Anugerah Abadi Tbk.</t>
  </si>
  <si>
    <t>C211</t>
  </si>
  <si>
    <t>Diversified Industrial Trading</t>
  </si>
  <si>
    <t>Nanotech Indonesia Global Tbk.</t>
  </si>
  <si>
    <t>Andalan Perkasa Abadi Tbk.</t>
  </si>
  <si>
    <t>Wahana Inti Makmur Tbk.</t>
  </si>
  <si>
    <t>Olympus Strategic Indonesia Tbk.</t>
  </si>
  <si>
    <t>PT Hassana Boga Sejahtera Tbk</t>
  </si>
  <si>
    <t>PT Trimegah Bangun Persada Tbk.</t>
  </si>
  <si>
    <t>COMPOSITE, DBX, ECONOMIC30, IDXBASIC, IDXLQ45LCL, IDXQ30, IDXV30, ISSI, JII70, KOMPAS100</t>
  </si>
  <si>
    <t>Pelayaran Nelly Dwi Putri Tbk</t>
  </si>
  <si>
    <t>Esta Indonesia Tbk.</t>
  </si>
  <si>
    <t>MDTV Media Technologies Tbk.</t>
  </si>
  <si>
    <t>NFC Indonesia Tbk.</t>
  </si>
  <si>
    <t>Adhi Kartiko Pratama Tbk.</t>
  </si>
  <si>
    <t>Charnic Capital Tbk.</t>
  </si>
  <si>
    <t>PAM Mineral Tbk.</t>
  </si>
  <si>
    <t>Pelat Timah Nusantara Tbk.</t>
  </si>
  <si>
    <t>PT Techno9 Indonesia Tbk</t>
  </si>
  <si>
    <t>City Retail Developments Tbk.</t>
  </si>
  <si>
    <t>PT Bank OCBC NISP Tbk</t>
  </si>
  <si>
    <t>COMPOSITE, ESGQKEHATI, ESGSKEHATI, IDXFINANCE, IDXSMC-COM, IDXVESTA28, INFOBANK15, MBX</t>
  </si>
  <si>
    <t>PT Bank Nationalnobu Tbk.</t>
  </si>
  <si>
    <t>Nusa Palapa Gemilang Tbk.</t>
  </si>
  <si>
    <t>PT Nusa Raya Cipta Tbk.</t>
  </si>
  <si>
    <t>PT Nusantara Sawit Sejahtera Tbk</t>
  </si>
  <si>
    <t>Nusatama Berkah Tbk.</t>
  </si>
  <si>
    <t>Sinergi Megah Internusa Tbk.</t>
  </si>
  <si>
    <t>Nusantara Almazia Tbk.</t>
  </si>
  <si>
    <t>PT Protech Mitra Perkasa Tbk</t>
  </si>
  <si>
    <t>Brigit Biofarmaka Teknologi Tbk.</t>
  </si>
  <si>
    <t>OBM Drilchem Tbk.</t>
  </si>
  <si>
    <t>Onix Capital Tbk.</t>
  </si>
  <si>
    <t>Indo Oil Perkasa Tbk.</t>
  </si>
  <si>
    <t>Ancora Indonesia Resources Tbk.</t>
  </si>
  <si>
    <t>Oscar Mitra Sukses Sejahtera Tbk.</t>
  </si>
  <si>
    <t>Jayamas Medica Industri Tbk.</t>
  </si>
  <si>
    <t>Indonesia Prima Property Tbk</t>
  </si>
  <si>
    <t>Optima Prima Metal Sinergi Tbk.</t>
  </si>
  <si>
    <t>Abadi Nusantara Hijau Investama Tbk.</t>
  </si>
  <si>
    <t>PT Personel Alih Daya Tbk</t>
  </si>
  <si>
    <t>Minna Padi Investama Sekuritas Tbk.</t>
  </si>
  <si>
    <t>G312</t>
  </si>
  <si>
    <t>Investment Banking &amp; Brokerage Services</t>
  </si>
  <si>
    <t>PT Provident Investasi Bersama Tbk</t>
  </si>
  <si>
    <t>COMPOSITE, IDXFINANCE, IDXSMC-COM, ISSI, MBX</t>
  </si>
  <si>
    <t>Bima Sakti Pertiwi Tbk.</t>
  </si>
  <si>
    <t>Pantai Indah Kapuk Dua Tbk.</t>
  </si>
  <si>
    <t>COMPOSITE, ECONOMIC30, IDX80, IDXPROPERT, ISSI, JII, JII70, KOMPAS100, MBX</t>
  </si>
  <si>
    <t>Panorama Sentrawisata Tbk.</t>
  </si>
  <si>
    <t>Panin Sekuritas Tbk.</t>
  </si>
  <si>
    <t>Cipta Perdana Lancar Tbk.</t>
  </si>
  <si>
    <t>Panca Budi Idaman Tbk.</t>
  </si>
  <si>
    <t>Pan Brothers Tbk.</t>
  </si>
  <si>
    <t>PT Paramita Bangun Sarana Tbk</t>
  </si>
  <si>
    <t>Prima Cakrawala Abadi Tbk.</t>
  </si>
  <si>
    <t>Destinasi Tirta Nusantara Tbk</t>
  </si>
  <si>
    <t>Primadaya Plastisindo Tbk.</t>
  </si>
  <si>
    <t>Panca Global Kapital Tbk.</t>
  </si>
  <si>
    <t>Phapros Tbk.</t>
  </si>
  <si>
    <t>PT Penta Valent Tbk</t>
  </si>
  <si>
    <t>Perusahaan Gas Negara (Persero) Tbk.</t>
  </si>
  <si>
    <t>BISNIS-27, COMPOSITE, ESGQKEHATI, ESGSKEHATI, IDX30, IDX80, IDXBUMN20, IDXENERGY, IDXG30, IDXHIDIV20, IDXLQ45LCL, IDXMESBUMN, IDXSHAGROW, IDXSMC-COM, IDXSMC-LIQ, IDXV30, IDXVESTA28, Investor33, ISSI, JII, JII70, KOMPAS100, LQ45, MBX, SMinfra18, SRI-KEHATI</t>
  </si>
  <si>
    <t>PT Pertamina Geothermal Energy Tbk</t>
  </si>
  <si>
    <t>COMPOSITE, ESGQKEHATI, ESGSKEHATI, IDX30, IDX80, IDXBUMN20, IDXESGL, IDXINFRA, IDXLQ45LCL, IDXMESBUMN, IDXQ30, IDXSMC-COM, IDXSMC-LIQ, ISSI, JII, JII70, KOMPAS100, LQ45, MBX, MNC36, SMinfra18, SRI-KEHATI</t>
  </si>
  <si>
    <t>Bahtera Bumi Raya Tbk.</t>
  </si>
  <si>
    <t>Pembangunan Graha Lestari Indah Tbk.</t>
  </si>
  <si>
    <t>Pradiksi Gunatama Tbk.</t>
  </si>
  <si>
    <t>Pelangi Indah Canindo Tbk</t>
  </si>
  <si>
    <t>PT Multi Makmur Lemindo Tbk.</t>
  </si>
  <si>
    <t>Pembangunan Jaya Ancol Tbk.</t>
  </si>
  <si>
    <t>Pelayaran Jaya Hidup Baru Tbk.</t>
  </si>
  <si>
    <t>Paragon Karya Perkasa Tbk.</t>
  </si>
  <si>
    <t>Planet Properindo Jaya Tbk.</t>
  </si>
  <si>
    <t>Polaris Investama Tbk</t>
  </si>
  <si>
    <t>Plaza Indonesia Realty Tbk.</t>
  </si>
  <si>
    <t>Putra Mandiri Jembar Tbk.</t>
  </si>
  <si>
    <t>Panca Mitra Multiperdana Tbk.</t>
  </si>
  <si>
    <t>Prima Multi Usaha Indonesia Tbk.</t>
  </si>
  <si>
    <t>Bank Pan Indonesia Tbk</t>
  </si>
  <si>
    <t>COMPOSITE, I-GRADE, IDXFINANCE, IDXSMC-COM, INFOBANK15, MBX, PRIMBANK10</t>
  </si>
  <si>
    <t>PT Bank Panin Dubai Syariah Tbk.</t>
  </si>
  <si>
    <t>COMPOSITE, DBX, IDXFINANCE, IDXSMC-COM, ISSI</t>
  </si>
  <si>
    <t>Pinago Utama Tbk.</t>
  </si>
  <si>
    <t>Paninvest Tbk.</t>
  </si>
  <si>
    <t>Panin Financial Tbk.</t>
  </si>
  <si>
    <t>COMPOSITE, ECONOMIC30, IDX80, IDXFINANCE, IDXSMC-COM, IDXV30, KOMPAS100, MBX</t>
  </si>
  <si>
    <t>Pudjiadi &amp; Sons Tbk.</t>
  </si>
  <si>
    <t>Pool Advista Finance Tbk.</t>
  </si>
  <si>
    <t>Pollux Hotels Group Tbk.</t>
  </si>
  <si>
    <t>Pollux Properties Indonesia Tbk.</t>
  </si>
  <si>
    <t>Golden Flower Tbk.</t>
  </si>
  <si>
    <t>Asia Pacific Fibers Tbk</t>
  </si>
  <si>
    <t>Pool Advista Indonesia Tbk.</t>
  </si>
  <si>
    <t>PT Nusantara Pelabuhan Handal Tbk.</t>
  </si>
  <si>
    <t>Bliss Properti Indonesia Tbk.</t>
  </si>
  <si>
    <t>Cikarang Listrindo Tbk.</t>
  </si>
  <si>
    <t>COMPOSITE, ESGQKEHATI, ESGSKEHATI, IDXINFRA, IDXSMC-COM, ISSI, MBX, SRI-KEHATI</t>
  </si>
  <si>
    <t>Prima Globalindo Logistik Tbk.</t>
  </si>
  <si>
    <t>PT PP Presisi Tbk.</t>
  </si>
  <si>
    <t>PT Paperocks Indonesia Tbk.</t>
  </si>
  <si>
    <t>PP Properti Tbk.</t>
  </si>
  <si>
    <t>Famon Awal Bros Sedaya Tbk.</t>
  </si>
  <si>
    <t>PT Prodia Widyahusada Tbk.</t>
  </si>
  <si>
    <t>Royal Prima Tbk.</t>
  </si>
  <si>
    <t>J Resources Asia Pasifik Tbk.</t>
  </si>
  <si>
    <t>COMPOSITE, DBX, IDXBASIC, IDXSMC-COM, ISSI, KOMPAS100</t>
  </si>
  <si>
    <t>Pancaran Samudera Transport Tbk.</t>
  </si>
  <si>
    <t>Prasidha Aneka Niaga Tbk</t>
  </si>
  <si>
    <t>Palma Serasih Tbk.</t>
  </si>
  <si>
    <t>Red Planet Indonesia Tbk.</t>
  </si>
  <si>
    <t>IMC Pelita Logistik Tbk.</t>
  </si>
  <si>
    <t>Bukit Asam (Persero) Tbk.</t>
  </si>
  <si>
    <t>BISNIS-27, COMPOSITE, IDX30, IDX80, IDXBUMN20, IDXENERGY, IDXHIDIV20, IDXMESBUMN, IDXQ30, IDXSHAGROW, IDXSMC-COM, IDXSMC-LIQ, IDXV30, Investor33, ISSI, JII, JII70, KOMPAS100, LQ45, MBX, MNC36</t>
  </si>
  <si>
    <t>Djasa Ubersakti Tbk.</t>
  </si>
  <si>
    <t>Indo Straits Tbk.</t>
  </si>
  <si>
    <t>PT Mitra Pack Tbk.</t>
  </si>
  <si>
    <t>Master Print Tbk.</t>
  </si>
  <si>
    <t>PP (Persero) Tbk</t>
  </si>
  <si>
    <t>COMPOSITE, ESGSKEHATI, IDXBUMN20, IDXINFRA, IDXMESBUMN, IDXSMC-COM, IDXSMC-LIQ, ISSI, JII70, MBX</t>
  </si>
  <si>
    <t>PT Pulau Subur Tbk.</t>
  </si>
  <si>
    <t>Pratama Widya Tbk.</t>
  </si>
  <si>
    <t>Petrosea Tbk</t>
  </si>
  <si>
    <t>COMPOSITE, I-GRADE, IDX80, IDXENERGY, KOMPAS100, MBX</t>
  </si>
  <si>
    <t>Sat Nusapersada Tbk</t>
  </si>
  <si>
    <t>Pioneerindo Gourmet International Tbk.</t>
  </si>
  <si>
    <t>Pudjiadi Prestige Tbk.</t>
  </si>
  <si>
    <t>Putra Rajawali Kencana Tbk.</t>
  </si>
  <si>
    <t>Trinitan Metals and Minerals Tbk.</t>
  </si>
  <si>
    <t>Puri Global Sukses Tbk.</t>
  </si>
  <si>
    <t>Pakuwon Jati Tbk.</t>
  </si>
  <si>
    <t>COMPOSITE, ECONOMIC30, ESGQKEHATI, ESGSKEHATI, IDX80, IDXESGL, IDXPROPERT, IDXQ30, IDXSMC-COM, IDXSMC-LIQ, IDXV30, ISSI, JII70, KOMPAS100, MBX, MNC36, SRI-KEHATI</t>
  </si>
  <si>
    <t>Pyridam Farma Tbk</t>
  </si>
  <si>
    <t>Sarimelati Kencana Tbk.</t>
  </si>
  <si>
    <t>PT Tripar Multivision Plus Tbk.</t>
  </si>
  <si>
    <t>Sari Kreasi Boga Tbk.</t>
  </si>
  <si>
    <t>Rukun Raharja Tbk.</t>
  </si>
  <si>
    <t>COMPOSITE, IDX80, IDXENERGY, IDXG30, IDXSMC-COM, ISSI, KOMPAS100, MBX</t>
  </si>
  <si>
    <t>Ramayana Lestari Sentosa Tbk.</t>
  </si>
  <si>
    <t>Supra Boga Lestari Tbk</t>
  </si>
  <si>
    <t>Raharja Energi Cepu Tbk.</t>
  </si>
  <si>
    <t>COMPOSITE, DBX, IDX80, IDXENERGY, IDXSMC-COM, ISSI, JII, JII70, KOMPAS100</t>
  </si>
  <si>
    <t>Ristia Bintang Mahkotasejati Tbk.</t>
  </si>
  <si>
    <t>Utama Radar Cahaya Tbk.</t>
  </si>
  <si>
    <t>Roda Vivatex Tbk</t>
  </si>
  <si>
    <t>Repower Asia Indonesia Tbk.</t>
  </si>
  <si>
    <t>PT Graha Mitra Asia Tbk.</t>
  </si>
  <si>
    <t>Reliance Sekuritas Indonesia Tbk.</t>
  </si>
  <si>
    <t>Kian Santang Muliatama Tbk.</t>
  </si>
  <si>
    <t>Ricky Putra Globalindo Tbk</t>
  </si>
  <si>
    <t>Rig Tenders Indonesia Tbk.</t>
  </si>
  <si>
    <t>Rimo International Lestari Tbk</t>
  </si>
  <si>
    <t>COMPOSITE, IDXPROPERT, IDXSMC-COM</t>
  </si>
  <si>
    <t>Jaya Sukses Makmur Sentosa Tbk.</t>
  </si>
  <si>
    <t>Abadi Lestari Indonesia Tbk.</t>
  </si>
  <si>
    <t>RMK Energy Tbk.</t>
  </si>
  <si>
    <t>COMPOSITE, IDXENERGY, IDXSMC-COM, IDXSMC-LIQ, ISSI, MBX</t>
  </si>
  <si>
    <t>PT Royaltama Mulia Kontraktorindo Tbk.</t>
  </si>
  <si>
    <t>Rockfields Properti Indonesia Tbk.</t>
  </si>
  <si>
    <t>Pikko Land Development Tbk.</t>
  </si>
  <si>
    <t>Aracord Nusantara Group Tbk.</t>
  </si>
  <si>
    <t>Nippon Indosari Corpindo Tbk.</t>
  </si>
  <si>
    <t>PT Charlie Hospital Semarang Tbk.</t>
  </si>
  <si>
    <t>Kedoya Adyaraya Tbk.</t>
  </si>
  <si>
    <t>Radiant Utama Interinsco Tbk</t>
  </si>
  <si>
    <t>Global Sukses Solusi Tbk.</t>
  </si>
  <si>
    <t>Steady Safe Tbk</t>
  </si>
  <si>
    <t>PT Saptausaha Gemilangindah Tbk</t>
  </si>
  <si>
    <t>Sarana Meditama Metropolitan Tbk</t>
  </si>
  <si>
    <t>Saraswanti Anugerah Makmur Tbk.</t>
  </si>
  <si>
    <t>Satria Antaran Prima Tbk.</t>
  </si>
  <si>
    <t>Kota Satu Properti Tbk.</t>
  </si>
  <si>
    <t>Sejahtera Bintang Abadi Textile Tbk.</t>
  </si>
  <si>
    <t>Surya Biru Murni Acetylene Tbk.</t>
  </si>
  <si>
    <t>Supreme Cable Manufacturing &amp; Commerce Tbk.</t>
  </si>
  <si>
    <t>Surya Citra Media Tbk.</t>
  </si>
  <si>
    <t>COMPOSITE, ECONOMIC30, ESGQKEHATI, ESGSKEHATI, IDX80, IDXCYCLIC, IDXESGL, IDXG30, IDXHIDIV20, IDXLQ45LCL, IDXQ30, IDXSMC-COM, IDXSMC-LIQ, KOMPAS100, LQ45, MBX</t>
  </si>
  <si>
    <t>Selaras Citra Nusantara Perkasa Tbk.</t>
  </si>
  <si>
    <t>E212</t>
  </si>
  <si>
    <t>Household Appliances</t>
  </si>
  <si>
    <t>Organon Pharma Indonesia Tbk.</t>
  </si>
  <si>
    <t>COMPOSITE, IDXHEALTH, ISSI</t>
  </si>
  <si>
    <t>Sidomulyo Selaras Tbk</t>
  </si>
  <si>
    <t>Millennium Pharmacon International Tbk.</t>
  </si>
  <si>
    <t>PT Bank Woori Saudara Indonesia 1906 Tbk</t>
  </si>
  <si>
    <t>Semacom Integrated Tbk.</t>
  </si>
  <si>
    <t>Surya Fajar Capital Tbk.</t>
  </si>
  <si>
    <t>Sumber Global Energy Tbk.</t>
  </si>
  <si>
    <t>COMPOSITE, I-GRADE, IDXENERGY, IDXSMC-COM, ISSI, KOMPAS100, MBX</t>
  </si>
  <si>
    <t>Prime Agri Resources Tbk.</t>
  </si>
  <si>
    <t>COMPOSITE, ESGQKEHATI, ESGSKEHATI, I-GRADE, IDXNONCYC, IDXSMC-COM, ISSI, MBX</t>
  </si>
  <si>
    <t>Hotel Sahid Jaya International Tbk.</t>
  </si>
  <si>
    <t>Sillo Maritime Perdana Tbk.</t>
  </si>
  <si>
    <t>Sigma Energy Compressindo Tbk.</t>
  </si>
  <si>
    <t>Industri Jamu dan Farmasi Sido Muncul Tbk.</t>
  </si>
  <si>
    <t>COMPOSITE, ESGQKEHATI, ESGSKEHATI, IDX80, IDXESGL, IDXHEALTH, IDXQ30, IDXSMC-COM, IDXSMC-LIQ, Investor33, ISSI, JII70, KOMPAS100, MBX, SRI-KEHATI</t>
  </si>
  <si>
    <t>PT Siloam International Hospitals Tbk.</t>
  </si>
  <si>
    <t>COMPOSITE, IDXHEALTH, IDXSMC-COM, ISSI, MBX, MNC36</t>
  </si>
  <si>
    <t>Siwani Makmur Tbk</t>
  </si>
  <si>
    <t>Salim Ivomas Pratama Tbk</t>
  </si>
  <si>
    <t>COMPOSITE, ESGSKEHATI, IDXNONCYC, IDXSMC-COM, ISSI, MBX</t>
  </si>
  <si>
    <t>Singaraja Putra Tbk.</t>
  </si>
  <si>
    <t>Sreeya Sewu Indonesia Tbk.</t>
  </si>
  <si>
    <t>Sekar Bumi Tbk.</t>
  </si>
  <si>
    <t>Sekar Laut Tbk.</t>
  </si>
  <si>
    <t>Superkrane Mitra Utama Tbk.</t>
  </si>
  <si>
    <t>PT Northcliff Citranusa Indonesia Tbk.</t>
  </si>
  <si>
    <t>Gaya Abadi Sempurna Tbk.</t>
  </si>
  <si>
    <t>Sinar Mas Agro Resources and Technology Tbk.</t>
  </si>
  <si>
    <t>Semen Baturaja (Persero) Tbk.</t>
  </si>
  <si>
    <t>COMPOSITE, IDXBASIC, IDXBUMN20, IDXMESBUMN, IDXSMC-COM, ISSI, MBX</t>
  </si>
  <si>
    <t>Solusi Bangun Indonesia Tbk.</t>
  </si>
  <si>
    <t>Suryamas Dutamakmur Tbk.</t>
  </si>
  <si>
    <t>Samudera Indonesia Tbk.</t>
  </si>
  <si>
    <t>COMPOSITE, I-GRADE, IDXSMC-COM, IDXTRANS, IDXVESTA28, ISSI, MBX</t>
  </si>
  <si>
    <t>Sumber Mineral Global Abadi Tbk.</t>
  </si>
  <si>
    <t>Semen Indonesia (Persero) Tbk.</t>
  </si>
  <si>
    <t>COMPOSITE, ECONOMIC30, ESGQKEHATI, ESGSKEHATI, I-GRADE, IDX80, IDXBASIC, IDXBUMN20, IDXESGL, IDXLQ45LCL, IDXMESBUMN, IDXSMC-COM, IDXSMC-LIQ, Investor33, ISSI, JII70, KOMPAS100, LQ45, MBX, SMinfra18, SRI-KEHATI</t>
  </si>
  <si>
    <t>PT Sarana Mitra Luas Tbk</t>
  </si>
  <si>
    <t>COMPOSITE, IDXINDUST, IDXSMC-COM, ISSI, KOMPAS100, MBX</t>
  </si>
  <si>
    <t>Satyamitra Kemas Lestari Tbk.</t>
  </si>
  <si>
    <t>Sumber Mas Konstruksi Tbk.</t>
  </si>
  <si>
    <t>Sinergi Multi Lestarindo Tbk.</t>
  </si>
  <si>
    <t>Sinarmas Multiartha Tbk.</t>
  </si>
  <si>
    <t>Golden Eagle Energy Tbk.</t>
  </si>
  <si>
    <t>Summarecon Agung Tbk.</t>
  </si>
  <si>
    <t>COMPOSITE, I-GRADE, IDX80, IDXPROPERT, IDXSMC-COM, IDXSMC-LIQ, IDXV30, ISSI, JII70, KOMPAS100, MBX</t>
  </si>
  <si>
    <t>SMR Utama Tbk</t>
  </si>
  <si>
    <t>Selamat Sempurna Tbk.</t>
  </si>
  <si>
    <t>Sunter Lakeside Hotel Tbk.</t>
  </si>
  <si>
    <t>Soechi Lines Tbk.</t>
  </si>
  <si>
    <t>Solusi Environment Asia Tbk.</t>
  </si>
  <si>
    <t>Soho Global Health Tbk.</t>
  </si>
  <si>
    <t>Xolare RCR Energy Tbk.</t>
  </si>
  <si>
    <t>Sona Topas Tourism Industry Tbk.</t>
  </si>
  <si>
    <t>Shield On Service Tbk.</t>
  </si>
  <si>
    <t>Satria Mega Kencana Tbk.</t>
  </si>
  <si>
    <t>PT Mitra Tirta Buwana Tbk</t>
  </si>
  <si>
    <t>Suparma Tbk.</t>
  </si>
  <si>
    <t>Soraya Berjaya Indonesia Tbk.</t>
  </si>
  <si>
    <t>Surya Pertiwi Tbk.</t>
  </si>
  <si>
    <t>Wilton Makmur Indonesia Tbk.</t>
  </si>
  <si>
    <t>Sejahteraraya Anugrahjaya Tbk</t>
  </si>
  <si>
    <t>COMPOSITE, DBX, IDXHEALTH</t>
  </si>
  <si>
    <t>PT Sri Rejeki Isman Tbk</t>
  </si>
  <si>
    <t>Indo Acidatama Tbk</t>
  </si>
  <si>
    <t>PT Saratoga Investama Sedaya Tbk.</t>
  </si>
  <si>
    <t>COMPOSITE, IDXFINANCE, IDXSMC-COM, IDXSMC-LIQ, ISSI, JII70, MBX</t>
  </si>
  <si>
    <t>PT Surya Semesta Internusa Tbk</t>
  </si>
  <si>
    <t>COMPOSITE, IDX80, IDXINFRA, IDXSMC-COM, IDXSMC-LIQ, ISSI, JII70, KOMPAS100, MBX, SMinfra18</t>
  </si>
  <si>
    <t>PT Sawit Sumbermas Sarana Tbk.</t>
  </si>
  <si>
    <t>COMPOSITE, ESGQKEHATI, ESGSKEHATI, IDXNONCYC, IDXSMC-COM, IDXSMC-LIQ, MBX, SRI-KEHATI</t>
  </si>
  <si>
    <t>Sunson Textile Manufacturer Tbk</t>
  </si>
  <si>
    <t>Sumber Tani Agung Resources Tbk.</t>
  </si>
  <si>
    <t>Calculus Global Ventures Tbk.</t>
  </si>
  <si>
    <t>PT Lovina Beach Brewery Tbk.</t>
  </si>
  <si>
    <t>Siantar Top Tbk.</t>
  </si>
  <si>
    <t>Sugih Energy Tbk.</t>
  </si>
  <si>
    <t>SLJ Global Tbk.</t>
  </si>
  <si>
    <t>PT Sunindo Pratama Tbk</t>
  </si>
  <si>
    <t>Super Bank Indonesia Tbk.</t>
  </si>
  <si>
    <t>Solusi Tunas Pratama Tbk</t>
  </si>
  <si>
    <t>Super Energy Tbk.</t>
  </si>
  <si>
    <t>PT Maja Agung Latexindo Tbk.</t>
  </si>
  <si>
    <t>Sriwahana Adityakarta Tbk.</t>
  </si>
  <si>
    <t>Saraswanti Indoland Development Tbk.</t>
  </si>
  <si>
    <t>Tunas Alfin Tbk.</t>
  </si>
  <si>
    <t>Lancartama Sejati Tbk.</t>
  </si>
  <si>
    <t>PT Pelayaran Tamarin Samudra Tbk.</t>
  </si>
  <si>
    <t>Triputra Agro Persada Tbk.</t>
  </si>
  <si>
    <t>BISNIS-27, COMPOSITE, ESGQKEHATI, ESGSKEHATI, IDX80, IDXG30, IDXHIDIV20, IDXNONCYC, IDXQ30, IDXSHAGROW, IDXSMC-COM, IDXSMC-LIQ, ISSI, JII70, KOMPAS100, MBX, MNC36</t>
  </si>
  <si>
    <t>Agung Semesta Sejahtera Tbk.</t>
  </si>
  <si>
    <t>Express Transindo Utama Tbk</t>
  </si>
  <si>
    <t>Jaya Swarasa Agung Tbk.</t>
  </si>
  <si>
    <t>PT Tower Bersama Infrastructure Tbk</t>
  </si>
  <si>
    <t>COMPOSITE, IDXINFRA, Investor33, MBX</t>
  </si>
  <si>
    <t>Tunas Baru Lampung Tbk.</t>
  </si>
  <si>
    <t>Tembaga Mulia Semanan Tbk.</t>
  </si>
  <si>
    <t>Mandom Indonesia Tbk</t>
  </si>
  <si>
    <t>Transcoal Pacific Tbk.</t>
  </si>
  <si>
    <t>COMPOSITE, DBX, IDXENERGY, IDXSMC-COM, ISSI, JII70, KOMPAS100</t>
  </si>
  <si>
    <t>Tianrong Chemicals Industry Tbk.</t>
  </si>
  <si>
    <t>COMPOSITE, IDXBASIC, IDXSMC-COM</t>
  </si>
  <si>
    <t>Dana Brata Luhur Tbk.</t>
  </si>
  <si>
    <t>Indosterling Technomedia Tbk.</t>
  </si>
  <si>
    <t>Omni Inovasi Indonesia Tbk.</t>
  </si>
  <si>
    <t>Telefast Indonesia Tbk.</t>
  </si>
  <si>
    <t>Tifico Fiber Indonesia Tbk</t>
  </si>
  <si>
    <t>Tigaraksa Satria Tbk.</t>
  </si>
  <si>
    <t>Terregra Asia Energy Tbk.</t>
  </si>
  <si>
    <t>PT Platinum Wahab Nusantara Tbk.</t>
  </si>
  <si>
    <t>KDB Tifa Finance Tbk.</t>
  </si>
  <si>
    <t>Timah Tbk.</t>
  </si>
  <si>
    <t>COMPOSITE, IDXBASIC, IDXSMC-COM, IDXSMC-LIQ, ISSI, KOMPAS100, MBX</t>
  </si>
  <si>
    <t>Tira Austenite Tbk</t>
  </si>
  <si>
    <t>Tirta Mahakam Resources Tbk</t>
  </si>
  <si>
    <t>Pabrik Kertas Tjiwi Kimia Tbk.</t>
  </si>
  <si>
    <t>COMPOSITE, IDXBASIC, IDXSHAGROW, IDXSMC-COM, ISSI, JII70, MBX</t>
  </si>
  <si>
    <t>Teladan Prima Agro Tbk.</t>
  </si>
  <si>
    <t>Telkom Indonesia (Persero) Tbk.</t>
  </si>
  <si>
    <t>J312</t>
  </si>
  <si>
    <t>Integrated Telecommunication Service</t>
  </si>
  <si>
    <t>BISNIS-27, COMPOSITE, I-GRADE, IDX30, IDX80, IDXBUMN20, IDXESGL, IDXG30, IDXHIDIV20, IDXINFRA, IDXLQ45LCL, IDXMESBUMN, IDXQ30, IDXVESTA28, Investor33, ISSI, JII, JII70, KOMPAS100, LQ45, MBX, MNC36, SMinfra18</t>
  </si>
  <si>
    <t>PT Temas Tbk.</t>
  </si>
  <si>
    <t>Tempo Intimedia Tbk.</t>
  </si>
  <si>
    <t>Trimuda Nuansa Citra Tbk.</t>
  </si>
  <si>
    <t>TBS Energi Utama Tbk.</t>
  </si>
  <si>
    <t>Rohartindo Nusantara Luas Tbk.</t>
  </si>
  <si>
    <t>PT Totalindo Eka Persada Tbk.</t>
  </si>
  <si>
    <t>Topindo Solusi Komunika Tbk.</t>
  </si>
  <si>
    <t>Total Bangun Persada Tbk</t>
  </si>
  <si>
    <t>COMPOSITE, ESGSKEHATI, IDXINFRA, IDXSMC-COM, ISSI, MBX</t>
  </si>
  <si>
    <t>Surya Toto Indonesia Tbk.</t>
  </si>
  <si>
    <t>Sarana Menara Nusantara Tbk</t>
  </si>
  <si>
    <t>COMPOSITE, ESGQKEHATI, ESGSKEHATI, IDX80, IDXESGL, IDXINFRA, IDXLQ45LCL, IDXSMC-COM, IDXSMC-LIQ, IDXV30, Investor33, KOMPAS100, LQ45, MBX, SMinfra18</t>
  </si>
  <si>
    <t>Sunindo Adipersada Tbk.</t>
  </si>
  <si>
    <t>Chandra Asri Pacific Tbk.</t>
  </si>
  <si>
    <t>COMPOSITE, ECONOMIC30, I-GRADE, IDX80, IDXBASIC, IDXESGL, IDXSHAGROW, ISSI, JII, JII70, KOMPAS100, MBX</t>
  </si>
  <si>
    <t>Trans Power Marine Tbk.</t>
  </si>
  <si>
    <t>Trada Alam Minera Tbk.</t>
  </si>
  <si>
    <t>Cerestar Indonesia Tbk.</t>
  </si>
  <si>
    <t>Triwira Insanlestari Tbk.</t>
  </si>
  <si>
    <t>Trimegah Sekuritas Indonesia Tbk.</t>
  </si>
  <si>
    <t>Perintis Triniti Properti Tbk.</t>
  </si>
  <si>
    <t>Trikomsel Oke Tbk.</t>
  </si>
  <si>
    <t>Trisula International Tbk.</t>
  </si>
  <si>
    <t>Transkon Jaya Tbk.</t>
  </si>
  <si>
    <t>PT Teknologi Karya Digital Nusa Tbk.</t>
  </si>
  <si>
    <t>Trias Sentosa Tbk.</t>
  </si>
  <si>
    <t>Triniti Dinamik Tbk</t>
  </si>
  <si>
    <t>Guna Timur Raya Tbk.</t>
  </si>
  <si>
    <t>Trust Finance Indonesia Tbk</t>
  </si>
  <si>
    <t>Tempo Scan Pacific Tbk.</t>
  </si>
  <si>
    <t>Asuransi Tugu Pratama Indonesia Tbk.</t>
  </si>
  <si>
    <t>PT King Tire Indonesia Tbk.</t>
  </si>
  <si>
    <t>Pakuan Tbk.</t>
  </si>
  <si>
    <t>Uni-Charm Indonesia Tbk.</t>
  </si>
  <si>
    <t>Agro Bahari Nusantara Tbk.</t>
  </si>
  <si>
    <t>Damai Sejahtera Abadi Tbk.</t>
  </si>
  <si>
    <t>Ultrajaya Milk Industry &amp; Trading Company Tbk.</t>
  </si>
  <si>
    <t>COMPOSITE, ESGQKEHATI, IDXNONCYC, IDXSMC-COM, ISSI, MBX, MNC36</t>
  </si>
  <si>
    <t>Unggul Indah Cahaya Tbk.</t>
  </si>
  <si>
    <t>Ulima Nitra Tbk.</t>
  </si>
  <si>
    <t>Nusantara Inti Corpora Tbk</t>
  </si>
  <si>
    <t>Bakrie Sumatera Plantations Tbk</t>
  </si>
  <si>
    <t>Terang Dunia Internusa Tbk.</t>
  </si>
  <si>
    <t>United Tractors Tbk.</t>
  </si>
  <si>
    <t>BISNIS-27, COMPOSITE, ESGQKEHATI, ESGSKEHATI, IDX30, IDX80, IDXG30, IDXHIDIV20, IDXINDUST, IDXLQ45LCL, IDXQ30, IDXSHAGROW, IDXV30, IDXVESTA28, Investor33, ISSI, JII, JII70, KOMPAS100, LQ45, MBX, MNC36, SMinfra18, SRI-KEHATI</t>
  </si>
  <si>
    <t>Unilever Indonesia Tbk.</t>
  </si>
  <si>
    <t>COMPOSITE, ESGQKEHATI, ESGSKEHATI, IDX30, IDX80, IDXESGL, IDXHIDIV20, IDXLQ45LCL, IDXNONCYC, IDXQ30, Investor33, ISSI, JII, JII70, KOMPAS100, LQ45, MBX, SRI-KEHATI</t>
  </si>
  <si>
    <t>Urban Jakarta Propertindo Tbk.</t>
  </si>
  <si>
    <t>Trimegah Karya Pratama Tbk.</t>
  </si>
  <si>
    <t>PT Vastland Indonesia Tbk</t>
  </si>
  <si>
    <t>Verona Indah Pictures Tbk.</t>
  </si>
  <si>
    <t>Victoria Care Indonesia Tbk.</t>
  </si>
  <si>
    <t>CONSUMER GOODS INDUSTRY</t>
  </si>
  <si>
    <t>Cosmetics and Household</t>
  </si>
  <si>
    <t>Body Care Products</t>
  </si>
  <si>
    <t>Victoria Investama Tbk.</t>
  </si>
  <si>
    <t>Victoria Insurance Tbk.</t>
  </si>
  <si>
    <t>Satu Visi Putra Tbk.</t>
  </si>
  <si>
    <t>Visi Media Asia Tbk.</t>
  </si>
  <si>
    <t>PT VKTR Teknologi Mobilitas Tbk</t>
  </si>
  <si>
    <t>Voksel Electric Tbk.</t>
  </si>
  <si>
    <t>Mizuho Leasing Indonesia Tbk.</t>
  </si>
  <si>
    <t>PT Venteny Fortuna International Tbk</t>
  </si>
  <si>
    <t>Wahana Pronatural Tbk</t>
  </si>
  <si>
    <t>BSA Logistics Indonesia Tbk.</t>
  </si>
  <si>
    <t>PT Wijaya Karya Bangunan Gedung Tbk.</t>
  </si>
  <si>
    <t>PT WEHA Transportasi Indonesia Tbk</t>
  </si>
  <si>
    <t>Wira Global Solusi Tbk.</t>
  </si>
  <si>
    <t>Wicaksana Overseas International Tbk.</t>
  </si>
  <si>
    <t>PT Widiant Jaya Krenindo Tbk.</t>
  </si>
  <si>
    <t>Solusi Sinergi Digital Tbk.</t>
  </si>
  <si>
    <t>COMPOSITE, DBX, IDX80, IDXG30, IDXSMC-COM, IDXSMC-LIQ, IDXTECHNO, KOMPAS100, LQ45, SMinfra18</t>
  </si>
  <si>
    <t>Wismilak Inti Makmur Tbk</t>
  </si>
  <si>
    <t>PT Wijaya Karya (Persero) Tbk</t>
  </si>
  <si>
    <t>PT Hatten Bali Tbk</t>
  </si>
  <si>
    <t>Winner Nusantara Jaya Tbk.</t>
  </si>
  <si>
    <t>Wintermar Offshore Marine Tbk</t>
  </si>
  <si>
    <t>WIR ASIA Tbk.</t>
  </si>
  <si>
    <t>COMPOSITE, DBX, IDXSMC-COM, IDXTECHNO, ISSI, KOMPAS100</t>
  </si>
  <si>
    <t>Widodo Makmur Perkasa Tbk.</t>
  </si>
  <si>
    <t>Widodo Makmur Unggas Tbk.</t>
  </si>
  <si>
    <t>Wahana Ottomitra Multiartha Tbk.</t>
  </si>
  <si>
    <t>Integra Indocabinet Tbk.</t>
  </si>
  <si>
    <t>Ginting Jaya Energi Tbk.</t>
  </si>
  <si>
    <t>Waskita Beton Precast Tbk.</t>
  </si>
  <si>
    <t>PT Waskita Karya (Persero) Tbk</t>
  </si>
  <si>
    <t>Wijaya Karya Beton Tbk.</t>
  </si>
  <si>
    <t>COMPOSITE, IDXBASIC, IDXMESBUMN, ISSI, MBX</t>
  </si>
  <si>
    <t>Yelooo Integra Datanet Tbk.</t>
  </si>
  <si>
    <t>E522</t>
  </si>
  <si>
    <t>Consumer Support Services</t>
  </si>
  <si>
    <t>Asuransi Digital Bersama Tbk.</t>
  </si>
  <si>
    <t>Yanaprima Hastapersada Tbk</t>
  </si>
  <si>
    <t>Yulie Sekuritas Indonesia Tbk.</t>
  </si>
  <si>
    <t>Yupi Indo Jelly Gum Tbk.</t>
  </si>
  <si>
    <t>Bersama Zatta Jaya Tbk.</t>
  </si>
  <si>
    <t>Dosni Roha Indonesia Tbk.</t>
  </si>
  <si>
    <t>Kapuas Prima Coal Tbk.</t>
  </si>
  <si>
    <t>Mega Perintis Tbk.</t>
  </si>
  <si>
    <t>Zyrexindo Mandiri Buana Tbk.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</si>
</sst>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m yyyy"/>
    <numFmt numFmtId="165" formatCode="d mmm yyyy"/>
    <numFmt numFmtId="166" formatCode="dd mmm yyyy"/>
  </numFmts>
  <fonts count="19">
    <font>
      <sz val="11.0"/>
      <color theme="1"/>
      <name val="Calibri"/>
      <scheme val="minor"/>
    </font>
    <font>
      <b/>
      <sz val="11.0"/>
      <color theme="1"/>
      <name val="Arial"/>
    </font>
    <font>
      <b/>
      <sz val="11.0"/>
      <color theme="1"/>
      <name val="Aptos Narrow"/>
    </font>
    <font>
      <b/>
      <sz val="11.0"/>
      <color theme="1"/>
      <name val="Calibri"/>
      <scheme val="minor"/>
    </font>
    <font>
      <b/>
      <sz val="11.0"/>
      <color rgb="FF000000"/>
      <name val="Calibri"/>
      <scheme val="minor"/>
    </font>
    <font>
      <b/>
      <color theme="1"/>
      <name val="Calibri"/>
      <scheme val="minor"/>
    </font>
    <font>
      <b/>
      <sz val="11.0"/>
      <color rgb="FF000000"/>
      <name val="Calibri"/>
    </font>
    <font>
      <sz val="11.0"/>
      <color theme="1"/>
      <name val="Aptos Narrow"/>
    </font>
    <font>
      <sz val="11.0"/>
      <color theme="1"/>
      <name val="Calibri"/>
    </font>
    <font>
      <sz val="11.0"/>
      <color theme="1"/>
      <name val="Arial"/>
    </font>
    <font>
      <color theme="1"/>
      <name val="Calibri"/>
      <scheme val="minor"/>
    </font>
    <font>
      <sz val="12.0"/>
      <color theme="1"/>
      <name val="Calibri"/>
      <scheme val="minor"/>
    </font>
    <font>
      <sz val="12.0"/>
      <color rgb="FF000000"/>
      <name val="Calibri"/>
      <scheme val="minor"/>
    </font>
    <font>
      <sz val="12.0"/>
      <color rgb="FF000000"/>
      <name val="Calibri"/>
    </font>
    <font>
      <sz val="12.0"/>
      <color theme="1"/>
      <name val="Calibri"/>
    </font>
    <font>
      <sz val="11.0"/>
      <color rgb="FF000000"/>
      <name val="Arial"/>
    </font>
    <font>
      <b/>
      <sz val="11.0"/>
      <color rgb="FF000000"/>
      <name val="Arial"/>
    </font>
    <font>
      <b/>
      <sz val="11.0"/>
      <color rgb="FF434343"/>
      <name val="Calibri"/>
      <scheme val="minor"/>
    </font>
    <font>
      <b/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2" fontId="1" numFmtId="1" xfId="0" applyAlignment="1" applyBorder="1" applyFill="1" applyFont="1" applyNumberFormat="1">
      <alignment vertical="bottom"/>
    </xf>
    <xf borderId="1" fillId="2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1" fillId="0" fontId="1" numFmtId="1" xfId="0" applyAlignment="1" applyBorder="1" applyFont="1" applyNumberFormat="1">
      <alignment horizontal="left" readingOrder="0"/>
    </xf>
    <xf borderId="1" fillId="0" fontId="1" numFmtId="4" xfId="0" applyAlignment="1" applyBorder="1" applyFont="1" applyNumberFormat="1">
      <alignment horizontal="left" readingOrder="0"/>
    </xf>
    <xf borderId="1" fillId="0" fontId="3" numFmtId="0" xfId="0" applyAlignment="1" applyBorder="1" applyFont="1">
      <alignment readingOrder="0" vertical="bottom"/>
    </xf>
    <xf borderId="1" fillId="0" fontId="4" numFmtId="0" xfId="0" applyAlignment="1" applyBorder="1" applyFont="1">
      <alignment horizontal="left" readingOrder="0" shrinkToFit="0" vertical="bottom" wrapText="0"/>
    </xf>
    <xf borderId="1" fillId="0" fontId="4" numFmtId="4" xfId="0" applyAlignment="1" applyBorder="1" applyFont="1" applyNumberFormat="1">
      <alignment horizontal="left" readingOrder="0" shrinkToFit="0" vertical="bottom" wrapText="0"/>
    </xf>
    <xf borderId="0" fillId="2" fontId="5" numFmtId="0" xfId="0" applyAlignment="1" applyFont="1">
      <alignment readingOrder="0"/>
    </xf>
    <xf borderId="0" fillId="2" fontId="6" numFmtId="4" xfId="0" applyAlignment="1" applyFont="1" applyNumberFormat="1">
      <alignment readingOrder="0" shrinkToFit="0" vertical="bottom" wrapText="0"/>
    </xf>
    <xf borderId="1" fillId="0" fontId="2" numFmtId="0" xfId="0" applyAlignment="1" applyBorder="1" applyFont="1">
      <alignment horizontal="left"/>
    </xf>
    <xf borderId="0" fillId="0" fontId="7" numFmtId="0" xfId="0" applyAlignment="1" applyFont="1">
      <alignment vertical="bottom"/>
    </xf>
    <xf borderId="0" fillId="2" fontId="7" numFmtId="1" xfId="0" applyAlignment="1" applyFont="1" applyNumberFormat="1">
      <alignment horizontal="right" vertical="bottom"/>
    </xf>
    <xf borderId="0" fillId="2" fontId="8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0" fontId="7" numFmtId="1" xfId="0" applyFont="1" applyNumberFormat="1"/>
    <xf borderId="0" fillId="0" fontId="10" numFmtId="4" xfId="0" applyFont="1" applyNumberFormat="1"/>
    <xf borderId="0" fillId="0" fontId="8" numFmtId="4" xfId="0" applyAlignment="1" applyFont="1" applyNumberFormat="1">
      <alignment horizontal="right"/>
    </xf>
    <xf borderId="0" fillId="0" fontId="9" numFmtId="0" xfId="0" applyAlignment="1" applyFont="1">
      <alignment horizontal="right" vertical="bottom"/>
    </xf>
    <xf borderId="0" fillId="2" fontId="10" numFmtId="0" xfId="0" applyFont="1"/>
    <xf borderId="0" fillId="2" fontId="10" numFmtId="0" xfId="0" applyAlignment="1" applyFont="1">
      <alignment readingOrder="0"/>
    </xf>
    <xf borderId="0" fillId="0" fontId="7" numFmtId="0" xfId="0" applyFont="1"/>
    <xf borderId="0" fillId="0" fontId="9" numFmtId="164" xfId="0" applyAlignment="1" applyFont="1" applyNumberFormat="1">
      <alignment readingOrder="0"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7" numFmtId="0" xfId="0" applyFont="1"/>
    <xf borderId="0" fillId="0" fontId="11" numFmtId="0" xfId="0" applyAlignment="1" applyFont="1">
      <alignment horizontal="right" vertical="bottom"/>
    </xf>
    <xf borderId="0" fillId="0" fontId="0" numFmtId="0" xfId="0" applyAlignment="1" applyFont="1">
      <alignment horizontal="right" vertical="bottom"/>
    </xf>
    <xf borderId="0" fillId="0" fontId="0" numFmtId="0" xfId="0" applyAlignment="1" applyFont="1">
      <alignment vertical="bottom"/>
    </xf>
    <xf borderId="0" fillId="0" fontId="0" numFmtId="0" xfId="0" applyAlignment="1" applyFont="1">
      <alignment horizontal="right" readingOrder="0" vertical="bottom"/>
    </xf>
    <xf borderId="0" fillId="0" fontId="7" numFmtId="1" xfId="0" applyAlignment="1" applyFont="1" applyNumberFormat="1">
      <alignment horizontal="right" vertical="bottom"/>
    </xf>
    <xf borderId="0" fillId="0" fontId="8" numFmtId="4" xfId="0" applyAlignment="1" applyFont="1" applyNumberFormat="1">
      <alignment horizontal="right" vertical="bottom"/>
    </xf>
    <xf borderId="0" fillId="2" fontId="8" numFmtId="0" xfId="0" applyAlignment="1" applyFont="1">
      <alignment horizontal="right" vertical="bottom"/>
    </xf>
    <xf borderId="0" fillId="2" fontId="8" numFmtId="0" xfId="0" applyAlignment="1" applyFont="1">
      <alignment horizontal="right" vertical="bottom"/>
    </xf>
    <xf borderId="0" fillId="0" fontId="9" numFmtId="164" xfId="0" applyAlignment="1" applyFont="1" applyNumberFormat="1">
      <alignment horizontal="right" vertical="bottom"/>
    </xf>
    <xf borderId="0" fillId="0" fontId="7" numFmtId="0" xfId="0" applyAlignment="1" applyFont="1">
      <alignment horizontal="right" vertical="bottom"/>
    </xf>
    <xf borderId="0" fillId="0" fontId="12" numFmtId="4" xfId="0" applyAlignment="1" applyFont="1" applyNumberFormat="1">
      <alignment horizontal="right" readingOrder="0" shrinkToFit="0" vertical="bottom" wrapText="0"/>
    </xf>
    <xf borderId="0" fillId="0" fontId="9" numFmtId="0" xfId="0" applyAlignment="1" applyFont="1">
      <alignment vertical="bottom"/>
    </xf>
    <xf borderId="0" fillId="0" fontId="0" numFmtId="0" xfId="0" applyAlignment="1" applyFont="1">
      <alignment horizontal="right" vertical="bottom"/>
    </xf>
    <xf borderId="0" fillId="0" fontId="13" numFmtId="4" xfId="0" applyAlignment="1" applyFont="1" applyNumberFormat="1">
      <alignment horizontal="right" readingOrder="0" shrinkToFit="0" vertical="bottom" wrapText="0"/>
    </xf>
    <xf borderId="0" fillId="3" fontId="11" numFmtId="0" xfId="0" applyAlignment="1" applyFill="1" applyFont="1">
      <alignment horizontal="right" vertical="bottom"/>
    </xf>
    <xf borderId="0" fillId="0" fontId="11" numFmtId="0" xfId="0" applyAlignment="1" applyFont="1">
      <alignment horizontal="right" readingOrder="0" vertical="bottom"/>
    </xf>
    <xf borderId="0" fillId="0" fontId="14" numFmtId="0" xfId="0" applyAlignment="1" applyFont="1">
      <alignment horizontal="right" vertical="bottom"/>
    </xf>
    <xf borderId="0" fillId="0" fontId="8" numFmtId="4" xfId="0" applyAlignment="1" applyFont="1" applyNumberFormat="1">
      <alignment vertical="bottom"/>
    </xf>
    <xf borderId="0" fillId="0" fontId="11" numFmtId="0" xfId="0" applyAlignment="1" applyFont="1">
      <alignment vertical="bottom"/>
    </xf>
    <xf borderId="0" fillId="0" fontId="15" numFmtId="0" xfId="0" applyAlignment="1" applyFont="1">
      <alignment readingOrder="0" shrinkToFit="0" vertical="bottom" wrapText="0"/>
    </xf>
    <xf borderId="0" fillId="2" fontId="8" numFmtId="0" xfId="0" applyAlignment="1" applyFont="1">
      <alignment vertical="bottom"/>
    </xf>
    <xf borderId="0" fillId="0" fontId="8" numFmtId="0" xfId="0" applyAlignment="1" applyFont="1">
      <alignment vertical="bottom"/>
    </xf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center" readingOrder="0"/>
    </xf>
    <xf borderId="1" fillId="4" fontId="1" numFmtId="4" xfId="0" applyAlignment="1" applyBorder="1" applyFill="1" applyFont="1" applyNumberFormat="1">
      <alignment horizontal="left" readingOrder="0"/>
    </xf>
    <xf borderId="1" fillId="4" fontId="2" numFmtId="4" xfId="0" applyAlignment="1" applyBorder="1" applyFont="1" applyNumberFormat="1">
      <alignment horizontal="left"/>
    </xf>
    <xf borderId="1" fillId="5" fontId="1" numFmtId="0" xfId="0" applyAlignment="1" applyBorder="1" applyFill="1" applyFont="1">
      <alignment readingOrder="0" vertical="bottom"/>
    </xf>
    <xf borderId="1" fillId="5" fontId="16" numFmtId="0" xfId="0" applyAlignment="1" applyBorder="1" applyFont="1">
      <alignment horizontal="left" readingOrder="0" shrinkToFit="0" vertical="bottom" wrapText="0"/>
    </xf>
    <xf borderId="1" fillId="5" fontId="16" numFmtId="4" xfId="0" applyAlignment="1" applyBorder="1" applyFont="1" applyNumberFormat="1">
      <alignment horizontal="left" readingOrder="0" shrinkToFit="0" vertical="bottom" wrapText="0"/>
    </xf>
    <xf borderId="0" fillId="0" fontId="5" numFmtId="0" xfId="0" applyAlignment="1" applyFont="1">
      <alignment readingOrder="0"/>
    </xf>
    <xf borderId="0" fillId="0" fontId="17" numFmtId="4" xfId="0" applyAlignment="1" applyFont="1" applyNumberFormat="1">
      <alignment readingOrder="0" shrinkToFit="0" vertical="bottom" wrapText="0"/>
    </xf>
    <xf borderId="0" fillId="3" fontId="10" numFmtId="0" xfId="0" applyFont="1"/>
    <xf borderId="0" fillId="3" fontId="10" numFmtId="1" xfId="0" applyFont="1" applyNumberFormat="1"/>
    <xf borderId="0" fillId="3" fontId="10" numFmtId="4" xfId="0" applyFont="1" applyNumberFormat="1"/>
    <xf borderId="0" fillId="3" fontId="10" numFmtId="164" xfId="0" applyFont="1" applyNumberFormat="1"/>
    <xf borderId="0" fillId="0" fontId="10" numFmtId="0" xfId="0" applyFont="1"/>
    <xf borderId="0" fillId="0" fontId="10" numFmtId="1" xfId="0" applyFont="1" applyNumberFormat="1"/>
    <xf borderId="0" fillId="0" fontId="10" numFmtId="164" xfId="0" applyFont="1" applyNumberFormat="1"/>
    <xf borderId="0" fillId="2" fontId="10" numFmtId="1" xfId="0" applyFont="1" applyNumberFormat="1"/>
    <xf borderId="1" fillId="5" fontId="1" numFmtId="4" xfId="0" applyAlignment="1" applyBorder="1" applyFont="1" applyNumberFormat="1">
      <alignment horizontal="left" readingOrder="0"/>
    </xf>
    <xf borderId="1" fillId="4" fontId="1" numFmtId="0" xfId="0" applyAlignment="1" applyBorder="1" applyFont="1">
      <alignment readingOrder="0" vertical="bottom"/>
    </xf>
    <xf borderId="1" fillId="4" fontId="16" numFmtId="0" xfId="0" applyAlignment="1" applyBorder="1" applyFont="1">
      <alignment horizontal="left" readingOrder="0" shrinkToFit="0" vertical="bottom" wrapText="0"/>
    </xf>
    <xf borderId="1" fillId="4" fontId="16" numFmtId="4" xfId="0" applyAlignment="1" applyBorder="1" applyFont="1" applyNumberFormat="1">
      <alignment horizontal="left" readingOrder="0" shrinkToFit="0" vertical="bottom" wrapText="0"/>
    </xf>
    <xf borderId="0" fillId="0" fontId="18" numFmtId="0" xfId="0" applyAlignment="1" applyFont="1">
      <alignment vertical="bottom"/>
    </xf>
    <xf borderId="0" fillId="0" fontId="18" numFmtId="4" xfId="0" applyAlignment="1" applyFont="1" applyNumberFormat="1">
      <alignment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8" numFmtId="0" xfId="0" applyFont="1"/>
    <xf borderId="0" fillId="0" fontId="10" numFmtId="0" xfId="0" applyAlignment="1" applyFont="1">
      <alignment vertical="bottom"/>
    </xf>
    <xf borderId="0" fillId="0" fontId="10" numFmtId="165" xfId="0" applyAlignment="1" applyFont="1" applyNumberFormat="1">
      <alignment horizontal="right" vertical="bottom"/>
    </xf>
    <xf borderId="0" fillId="0" fontId="10" numFmtId="0" xfId="0" applyAlignment="1" applyFont="1">
      <alignment horizontal="right" vertical="bottom"/>
    </xf>
    <xf borderId="0" fillId="0" fontId="10" numFmtId="166" xfId="0" applyAlignment="1" applyFont="1" applyNumberFormat="1">
      <alignment horizontal="right" vertical="bottom"/>
    </xf>
    <xf borderId="0" fillId="0" fontId="10" numFmtId="3" xfId="0" applyAlignment="1" applyFont="1" applyNumberFormat="1">
      <alignment horizontal="right" vertical="bottom"/>
    </xf>
    <xf borderId="0" fillId="0" fontId="10" numFmtId="164" xfId="0" applyAlignment="1" applyFont="1" applyNumberFormat="1">
      <alignment horizontal="right" vertical="bottom"/>
    </xf>
    <xf borderId="0" fillId="0" fontId="10" numFmtId="0" xfId="0" applyAlignment="1" applyFont="1">
      <alignment horizontal="right" vertical="bottom"/>
    </xf>
    <xf borderId="0" fillId="0" fontId="10" numFmtId="4" xfId="0" applyAlignment="1" applyFont="1" applyNumberForma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4" xfId="0" applyAlignment="1" applyFont="1" applyNumberForma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4" xfId="0" applyAlignment="1" applyFont="1" applyNumberForma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9.29"/>
    <col customWidth="1" min="2" max="2" width="32.0"/>
    <col customWidth="1" min="3" max="3" width="14.86"/>
    <col customWidth="1" min="4" max="4" width="41.43"/>
    <col customWidth="1" min="5" max="5" width="22.14"/>
    <col customWidth="1" min="6" max="6" width="18.29"/>
    <col customWidth="1" min="7" max="7" width="9.57"/>
    <col customWidth="1" min="8" max="8" width="12.29"/>
    <col customWidth="1" min="9" max="9" width="10.71"/>
    <col customWidth="1" min="10" max="10" width="9.14"/>
    <col customWidth="1" min="11" max="11" width="9.29"/>
    <col customWidth="1" min="12" max="12" width="9.14"/>
    <col customWidth="1" min="13" max="13" width="10.29"/>
    <col customWidth="1" min="14" max="14" width="8.43"/>
    <col customWidth="1" min="15" max="15" width="9.14"/>
    <col customWidth="1" min="16" max="16" width="8.86"/>
    <col customWidth="1" min="17" max="17" width="8.71"/>
    <col customWidth="1" min="18" max="18" width="10.71"/>
    <col customWidth="1" min="19" max="19" width="8.14"/>
    <col customWidth="1" min="20" max="20" width="8.86"/>
    <col customWidth="1" min="21" max="21" width="12.86"/>
    <col customWidth="1" min="22" max="22" width="12.0"/>
    <col customWidth="1" min="23" max="23" width="10.14"/>
    <col customWidth="1" min="24" max="25" width="8.0"/>
    <col customWidth="1" min="26" max="26" width="12.29"/>
    <col customWidth="1" min="27" max="27" width="42.29"/>
    <col customWidth="1" min="28" max="28" width="29.29"/>
  </cols>
  <sheetData>
    <row r="1">
      <c r="A1" s="1" t="s">
        <v>0</v>
      </c>
      <c r="B1" s="2" t="s">
        <v>1</v>
      </c>
      <c r="C1" s="3" t="s">
        <v>2</v>
      </c>
      <c r="D1" s="4" t="str">
        <f>IFERROR(__xludf.DUMMYFUNCTION("""Last Update: "" &amp; TEXT(NOW() - GOOGLEFINANCE(""IDX:BBCA"",""datadelay"")/1440, ""dddd, yyyymmdd HH:mm"")"),"Last Update: Minggu, 20260614 14:19")</f>
        <v>Last Update: Minggu, 20260614 14:19</v>
      </c>
      <c r="E1" s="1" t="s">
        <v>3</v>
      </c>
      <c r="F1" s="5" t="s">
        <v>4</v>
      </c>
      <c r="G1" s="6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9" t="s">
        <v>16</v>
      </c>
      <c r="S1" s="9" t="s">
        <v>17</v>
      </c>
      <c r="T1" s="10" t="s">
        <v>18</v>
      </c>
      <c r="U1" s="11" t="s">
        <v>19</v>
      </c>
      <c r="V1" s="12" t="s">
        <v>20</v>
      </c>
      <c r="W1" s="11" t="s">
        <v>21</v>
      </c>
      <c r="X1" s="11" t="s">
        <v>22</v>
      </c>
      <c r="Y1" s="11" t="s">
        <v>23</v>
      </c>
      <c r="Z1" s="11" t="s">
        <v>24</v>
      </c>
      <c r="AA1" s="13" t="s">
        <v>25</v>
      </c>
      <c r="AB1" s="13" t="s">
        <v>26</v>
      </c>
    </row>
    <row r="2">
      <c r="A2" s="14" t="s">
        <v>27</v>
      </c>
      <c r="B2" s="14" t="str">
        <f t="array" ref="B2">VLOOKUP(A2,{Metrik!$C$2:$C$998,Metrik!$B$2:$B$998},2,0)</f>
        <v>Adaro Andalan Indonesia Tbk.</v>
      </c>
      <c r="C2" s="15">
        <f>IFERROR(__xludf.DUMMYFUNCTION("GOOGLEFINANCE(""IDX:""&amp;A2,""price"")"),8650.0)</f>
        <v>8650</v>
      </c>
      <c r="D2" s="16" t="str">
        <f>IFERROR(__xludf.DUMMYFUNCTION("IF(A2="""","""",
SPARKLINE(
INDEX(
GOOGLEFINANCE(""IDX:""&amp;A2,""close"",TODAY()-365,TODAY()),
,2
),
{""linewidth"",1}
))
"),"#N/A")</f>
        <v>#N/A</v>
      </c>
      <c r="E2" s="14" t="s">
        <v>28</v>
      </c>
      <c r="F2" s="17" t="s">
        <v>29</v>
      </c>
      <c r="G2" s="18">
        <f t="shared" ref="G2:G420" si="1">COUNTIFS($B$2:$B$1937,B2,$E$2:$E$1937,"&lt;&gt;")</f>
        <v>9</v>
      </c>
      <c r="H2" s="19">
        <f>VLOOKUP(A2,Metrik!$C$2:$Y$959,8,0)</f>
        <v>5.5</v>
      </c>
      <c r="I2" s="20">
        <f>VLOOKUP(A2,Metrik!$C$2:$Y$959,9,0)</f>
        <v>1</v>
      </c>
      <c r="J2" s="20">
        <f>VLOOKUP(A2,Metrik!$C$2:$Y$959,10,0)</f>
        <v>18.6</v>
      </c>
      <c r="K2" s="20">
        <f>VLOOKUP(A2,Metrik!$C$2:$Y$959,11,0)</f>
        <v>12.2</v>
      </c>
      <c r="L2" s="20">
        <f>VLOOKUP(A2,Metrik!$C$2:$Y$959,12,0)</f>
        <v>0.53</v>
      </c>
      <c r="M2" s="20">
        <f>VLOOKUP(A2,Metrik!$C$2:$Y$959,19,0)</f>
        <v>67.3</v>
      </c>
      <c r="N2" s="21"/>
      <c r="O2" s="21"/>
      <c r="P2" s="21"/>
      <c r="Q2" s="21"/>
      <c r="R2" s="21"/>
      <c r="S2" s="21"/>
      <c r="T2" s="21"/>
      <c r="U2" s="22">
        <f>IFERROR(__xludf.DUMMYFUNCTION("IFERROR(GOOGLEFINANCE(A2,""closeyest""),"""")"),8050.0)</f>
        <v>8050</v>
      </c>
      <c r="V2" s="23">
        <f>IFERROR(__xludf.DUMMYFUNCTION("IFERROR(GOOGLEFINANCE(A2,""changepct""),"""")"),7.45)</f>
        <v>7.45</v>
      </c>
      <c r="W2" s="22">
        <f>IFERROR(__xludf.DUMMYFUNCTION("IFERROR(GOOGLEFINANCE(A2,""priceopen""),"""")"),8100.0)</f>
        <v>8100</v>
      </c>
      <c r="X2" s="22">
        <f>IFERROR(__xludf.DUMMYFUNCTION("IFERROR(GOOGLEFINANCE(A2,""high""),"""")"),8850.0)</f>
        <v>8850</v>
      </c>
      <c r="Y2" s="22">
        <f>IFERROR(__xludf.DUMMYFUNCTION("IFERROR(GOOGLEFINANCE(A2,""low""),"""")"),8050.0)</f>
        <v>8050</v>
      </c>
      <c r="Z2" s="22">
        <f>IFERROR(__xludf.DUMMYFUNCTION("IFERROR(GOOGLEFINANCE(A2,""volume""),"""")"),2.12622E7)</f>
        <v>21262200</v>
      </c>
      <c r="AA2" s="24" t="str">
        <f>VLOOKUP(A2,Metrik!$C$2:$Y$959,5,0)</f>
        <v>Coal</v>
      </c>
      <c r="AB2" s="24" t="str">
        <f>VLOOKUP(A2,Metrik!$C$2:$Y$959,3,0)</f>
        <v>Energy</v>
      </c>
    </row>
    <row r="3">
      <c r="A3" s="14" t="s">
        <v>27</v>
      </c>
      <c r="B3" s="14" t="str">
        <f t="array" ref="B3">VLOOKUP(A3,{Metrik!$C$2:$C$998,Metrik!$B$2:$B$998},2,0)</f>
        <v>Adaro Andalan Indonesia Tbk.</v>
      </c>
      <c r="C3" s="15">
        <f>IFERROR(__xludf.DUMMYFUNCTION("GOOGLEFINANCE(""IDX:""&amp;A3,""price"")"),8650.0)</f>
        <v>8650</v>
      </c>
      <c r="D3" s="16" t="str">
        <f>IFERROR(__xludf.DUMMYFUNCTION("IF(A3="""","""",
SPARKLINE(
INDEX(
GOOGLEFINANCE(""IDX:""&amp;A3,""close"",TODAY()-365,TODAY()),
,2
),
{""linewidth"",1}
))
"),"#N/A")</f>
        <v>#N/A</v>
      </c>
      <c r="E3" s="14" t="s">
        <v>30</v>
      </c>
      <c r="F3" s="17" t="s">
        <v>29</v>
      </c>
      <c r="G3" s="18">
        <f t="shared" si="1"/>
        <v>9</v>
      </c>
      <c r="H3" s="19">
        <f>VLOOKUP(A3,Metrik!$C$2:$Y$959,8,0)</f>
        <v>5.5</v>
      </c>
      <c r="I3" s="20">
        <f>VLOOKUP(A3,Metrik!$C$2:$Y$959,9,0)</f>
        <v>1</v>
      </c>
      <c r="J3" s="20">
        <f>VLOOKUP(A3,Metrik!$C$2:$Y$959,10,0)</f>
        <v>18.6</v>
      </c>
      <c r="K3" s="20">
        <f>VLOOKUP(A3,Metrik!$C$2:$Y$959,11,0)</f>
        <v>12.2</v>
      </c>
      <c r="L3" s="20">
        <f>VLOOKUP(A3,Metrik!$C$2:$Y$959,12,0)</f>
        <v>0.53</v>
      </c>
      <c r="M3" s="20">
        <f>VLOOKUP(A3,Metrik!$C$2:$Y$959,19,0)</f>
        <v>67.3</v>
      </c>
      <c r="N3" s="21"/>
      <c r="O3" s="21"/>
      <c r="P3" s="21"/>
      <c r="Q3" s="21"/>
      <c r="R3" s="21"/>
      <c r="S3" s="21"/>
      <c r="T3" s="21"/>
      <c r="U3" s="22">
        <f>IFERROR(__xludf.DUMMYFUNCTION("IFERROR(GOOGLEFINANCE(A3,""closeyest""),"""")"),8050.0)</f>
        <v>8050</v>
      </c>
      <c r="V3" s="23">
        <f>IFERROR(__xludf.DUMMYFUNCTION("IFERROR(GOOGLEFINANCE(A3,""changepct""),"""")"),7.45)</f>
        <v>7.45</v>
      </c>
      <c r="W3" s="22">
        <f>IFERROR(__xludf.DUMMYFUNCTION("IFERROR(GOOGLEFINANCE(A3,""priceopen""),"""")"),8100.0)</f>
        <v>8100</v>
      </c>
      <c r="X3" s="22">
        <f>IFERROR(__xludf.DUMMYFUNCTION("IFERROR(GOOGLEFINANCE(A3,""high""),"""")"),8850.0)</f>
        <v>8850</v>
      </c>
      <c r="Y3" s="22">
        <f>IFERROR(__xludf.DUMMYFUNCTION("IFERROR(GOOGLEFINANCE(A3,""low""),"""")"),8050.0)</f>
        <v>8050</v>
      </c>
      <c r="Z3" s="22">
        <f>IFERROR(__xludf.DUMMYFUNCTION("IFERROR(GOOGLEFINANCE(A3,""volume""),"""")"),2.12622E7)</f>
        <v>21262200</v>
      </c>
      <c r="AA3" s="24" t="str">
        <f>VLOOKUP(A3,Metrik!$C$2:$Y$959,5,0)</f>
        <v>Coal</v>
      </c>
      <c r="AB3" s="24" t="str">
        <f>VLOOKUP(A3,Metrik!$C$2:$Y$959,3,0)</f>
        <v>Energy</v>
      </c>
    </row>
    <row r="4">
      <c r="A4" s="14" t="s">
        <v>27</v>
      </c>
      <c r="B4" s="14" t="str">
        <f t="array" ref="B4">VLOOKUP(A4,{Metrik!$C$2:$C$998,Metrik!$B$2:$B$998},2,0)</f>
        <v>Adaro Andalan Indonesia Tbk.</v>
      </c>
      <c r="C4" s="15">
        <f>IFERROR(__xludf.DUMMYFUNCTION("GOOGLEFINANCE(""IDX:""&amp;A4,""price"")"),8650.0)</f>
        <v>8650</v>
      </c>
      <c r="D4" s="16" t="str">
        <f>IFERROR(__xludf.DUMMYFUNCTION("IF(A4="""","""",
SPARKLINE(
INDEX(
GOOGLEFINANCE(""IDX:""&amp;A4,""close"",TODAY()-365,TODAY()),
,2
),
{""linewidth"",1}
))
"),"#N/A")</f>
        <v>#N/A</v>
      </c>
      <c r="E4" s="14" t="s">
        <v>31</v>
      </c>
      <c r="F4" s="17" t="s">
        <v>29</v>
      </c>
      <c r="G4" s="18">
        <f t="shared" si="1"/>
        <v>9</v>
      </c>
      <c r="H4" s="19">
        <f>VLOOKUP(A4,Metrik!$C$2:$Y$959,8,0)</f>
        <v>5.5</v>
      </c>
      <c r="I4" s="20">
        <f>VLOOKUP(A4,Metrik!$C$2:$Y$959,9,0)</f>
        <v>1</v>
      </c>
      <c r="J4" s="20">
        <f>VLOOKUP(A4,Metrik!$C$2:$Y$959,10,0)</f>
        <v>18.6</v>
      </c>
      <c r="K4" s="20">
        <f>VLOOKUP(A4,Metrik!$C$2:$Y$959,11,0)</f>
        <v>12.2</v>
      </c>
      <c r="L4" s="20">
        <f>VLOOKUP(A4,Metrik!$C$2:$Y$959,12,0)</f>
        <v>0.53</v>
      </c>
      <c r="M4" s="20">
        <f>VLOOKUP(A4,Metrik!$C$2:$Y$959,19,0)</f>
        <v>67.3</v>
      </c>
      <c r="N4" s="21"/>
      <c r="O4" s="21"/>
      <c r="P4" s="21"/>
      <c r="Q4" s="21"/>
      <c r="R4" s="21"/>
      <c r="S4" s="21"/>
      <c r="T4" s="21"/>
      <c r="U4" s="22">
        <f>IFERROR(__xludf.DUMMYFUNCTION("IFERROR(GOOGLEFINANCE(A4,""closeyest""),"""")"),8050.0)</f>
        <v>8050</v>
      </c>
      <c r="V4" s="23">
        <f>IFERROR(__xludf.DUMMYFUNCTION("IFERROR(GOOGLEFINANCE(A4,""changepct""),"""")"),7.45)</f>
        <v>7.45</v>
      </c>
      <c r="W4" s="22">
        <f>IFERROR(__xludf.DUMMYFUNCTION("IFERROR(GOOGLEFINANCE(A4,""priceopen""),"""")"),8100.0)</f>
        <v>8100</v>
      </c>
      <c r="X4" s="22">
        <f>IFERROR(__xludf.DUMMYFUNCTION("IFERROR(GOOGLEFINANCE(A4,""high""),"""")"),8850.0)</f>
        <v>8850</v>
      </c>
      <c r="Y4" s="22">
        <f>IFERROR(__xludf.DUMMYFUNCTION("IFERROR(GOOGLEFINANCE(A4,""low""),"""")"),8050.0)</f>
        <v>8050</v>
      </c>
      <c r="Z4" s="22">
        <f>IFERROR(__xludf.DUMMYFUNCTION("IFERROR(GOOGLEFINANCE(A4,""volume""),"""")"),2.12622E7)</f>
        <v>21262200</v>
      </c>
      <c r="AA4" s="24" t="str">
        <f>VLOOKUP(A4,Metrik!$C$2:$Y$959,5,0)</f>
        <v>Coal</v>
      </c>
      <c r="AB4" s="24" t="str">
        <f>VLOOKUP(A4,Metrik!$C$2:$Y$959,3,0)</f>
        <v>Energy</v>
      </c>
    </row>
    <row r="5">
      <c r="A5" s="14" t="s">
        <v>27</v>
      </c>
      <c r="B5" s="14" t="str">
        <f t="array" ref="B5">VLOOKUP(A5,{Metrik!$C$2:$C$998,Metrik!$B$2:$B$998},2,0)</f>
        <v>Adaro Andalan Indonesia Tbk.</v>
      </c>
      <c r="C5" s="15">
        <f>IFERROR(__xludf.DUMMYFUNCTION("GOOGLEFINANCE(""IDX:""&amp;A5,""price"")"),8650.0)</f>
        <v>8650</v>
      </c>
      <c r="D5" s="16" t="str">
        <f>IFERROR(__xludf.DUMMYFUNCTION("IF(A5="""","""",
SPARKLINE(
INDEX(
GOOGLEFINANCE(""IDX:""&amp;A5,""close"",TODAY()-365,TODAY()),
,2
),
{""linewidth"",1}
))
"),"#N/A")</f>
        <v>#N/A</v>
      </c>
      <c r="E5" s="14" t="s">
        <v>32</v>
      </c>
      <c r="F5" s="14" t="s">
        <v>29</v>
      </c>
      <c r="G5" s="18">
        <f t="shared" si="1"/>
        <v>9</v>
      </c>
      <c r="H5" s="19">
        <f>VLOOKUP(A5,Metrik!$C$2:$Y$959,8,0)</f>
        <v>5.5</v>
      </c>
      <c r="I5" s="20">
        <f>VLOOKUP(A5,Metrik!$C$2:$Y$959,9,0)</f>
        <v>1</v>
      </c>
      <c r="J5" s="20">
        <f>VLOOKUP(A5,Metrik!$C$2:$Y$959,10,0)</f>
        <v>18.6</v>
      </c>
      <c r="K5" s="20">
        <f>VLOOKUP(A5,Metrik!$C$2:$Y$959,11,0)</f>
        <v>12.2</v>
      </c>
      <c r="L5" s="20">
        <f>VLOOKUP(A5,Metrik!$C$2:$Y$959,12,0)</f>
        <v>0.53</v>
      </c>
      <c r="M5" s="20">
        <f>VLOOKUP(A5,Metrik!$C$2:$Y$959,19,0)</f>
        <v>67.3</v>
      </c>
      <c r="N5" s="21"/>
      <c r="O5" s="21"/>
      <c r="P5" s="21"/>
      <c r="Q5" s="21"/>
      <c r="R5" s="21"/>
      <c r="S5" s="21"/>
      <c r="T5" s="21"/>
      <c r="U5" s="22">
        <f>IFERROR(__xludf.DUMMYFUNCTION("IFERROR(GOOGLEFINANCE(A5,""closeyest""),"""")"),8050.0)</f>
        <v>8050</v>
      </c>
      <c r="V5" s="23">
        <f>IFERROR(__xludf.DUMMYFUNCTION("IFERROR(GOOGLEFINANCE(A5,""changepct""),"""")"),7.45)</f>
        <v>7.45</v>
      </c>
      <c r="W5" s="22">
        <f>IFERROR(__xludf.DUMMYFUNCTION("IFERROR(GOOGLEFINANCE(A5,""priceopen""),"""")"),8100.0)</f>
        <v>8100</v>
      </c>
      <c r="X5" s="22">
        <f>IFERROR(__xludf.DUMMYFUNCTION("IFERROR(GOOGLEFINANCE(A5,""high""),"""")"),8850.0)</f>
        <v>8850</v>
      </c>
      <c r="Y5" s="22">
        <f>IFERROR(__xludf.DUMMYFUNCTION("IFERROR(GOOGLEFINANCE(A5,""low""),"""")"),8050.0)</f>
        <v>8050</v>
      </c>
      <c r="Z5" s="22">
        <f>IFERROR(__xludf.DUMMYFUNCTION("IFERROR(GOOGLEFINANCE(A5,""volume""),"""")"),2.12622E7)</f>
        <v>21262200</v>
      </c>
      <c r="AA5" s="24" t="str">
        <f>VLOOKUP(A5,Metrik!$C$2:$Y$959,5,0)</f>
        <v>Coal</v>
      </c>
      <c r="AB5" s="24" t="str">
        <f>VLOOKUP(A5,Metrik!$C$2:$Y$959,3,0)</f>
        <v>Energy</v>
      </c>
    </row>
    <row r="6">
      <c r="A6" s="14" t="s">
        <v>27</v>
      </c>
      <c r="B6" s="14" t="str">
        <f t="array" ref="B6">VLOOKUP(A6,{Metrik!$C$2:$C$998,Metrik!$B$2:$B$998},2,0)</f>
        <v>Adaro Andalan Indonesia Tbk.</v>
      </c>
      <c r="C6" s="15">
        <f>IFERROR(__xludf.DUMMYFUNCTION("GOOGLEFINANCE(""IDX:""&amp;A6,""price"")"),8650.0)</f>
        <v>8650</v>
      </c>
      <c r="D6" s="16" t="str">
        <f>IFERROR(__xludf.DUMMYFUNCTION("IF(A6="""","""",
SPARKLINE(
INDEX(
GOOGLEFINANCE(""IDX:""&amp;A6,""close"",TODAY()-365,TODAY()),
,2
),
{""linewidth"",1}
))
"),"#N/A")</f>
        <v>#N/A</v>
      </c>
      <c r="E6" s="14" t="s">
        <v>33</v>
      </c>
      <c r="F6" s="14" t="s">
        <v>34</v>
      </c>
      <c r="G6" s="18">
        <f t="shared" si="1"/>
        <v>9</v>
      </c>
      <c r="H6" s="19">
        <f>VLOOKUP(A6,Metrik!$C$2:$Y$959,8,0)</f>
        <v>5.5</v>
      </c>
      <c r="I6" s="20">
        <f>VLOOKUP(A6,Metrik!$C$2:$Y$959,9,0)</f>
        <v>1</v>
      </c>
      <c r="J6" s="20">
        <f>VLOOKUP(A6,Metrik!$C$2:$Y$959,10,0)</f>
        <v>18.6</v>
      </c>
      <c r="K6" s="20">
        <f>VLOOKUP(A6,Metrik!$C$2:$Y$959,11,0)</f>
        <v>12.2</v>
      </c>
      <c r="L6" s="20">
        <f>VLOOKUP(A6,Metrik!$C$2:$Y$959,12,0)</f>
        <v>0.53</v>
      </c>
      <c r="M6" s="20">
        <f>VLOOKUP(A6,Metrik!$C$2:$Y$959,19,0)</f>
        <v>67.3</v>
      </c>
      <c r="N6" s="21"/>
      <c r="O6" s="21"/>
      <c r="P6" s="21"/>
      <c r="Q6" s="21"/>
      <c r="R6" s="21"/>
      <c r="S6" s="21"/>
      <c r="T6" s="21"/>
      <c r="U6" s="22">
        <f>IFERROR(__xludf.DUMMYFUNCTION("IFERROR(GOOGLEFINANCE(A6,""closeyest""),"""")"),8050.0)</f>
        <v>8050</v>
      </c>
      <c r="V6" s="23">
        <f>IFERROR(__xludf.DUMMYFUNCTION("IFERROR(GOOGLEFINANCE(A6,""changepct""),"""")"),7.45)</f>
        <v>7.45</v>
      </c>
      <c r="W6" s="22">
        <f>IFERROR(__xludf.DUMMYFUNCTION("IFERROR(GOOGLEFINANCE(A6,""priceopen""),"""")"),8100.0)</f>
        <v>8100</v>
      </c>
      <c r="X6" s="22">
        <f>IFERROR(__xludf.DUMMYFUNCTION("IFERROR(GOOGLEFINANCE(A6,""high""),"""")"),8850.0)</f>
        <v>8850</v>
      </c>
      <c r="Y6" s="22">
        <f>IFERROR(__xludf.DUMMYFUNCTION("IFERROR(GOOGLEFINANCE(A6,""low""),"""")"),8050.0)</f>
        <v>8050</v>
      </c>
      <c r="Z6" s="22">
        <f>IFERROR(__xludf.DUMMYFUNCTION("IFERROR(GOOGLEFINANCE(A6,""volume""),"""")"),2.12622E7)</f>
        <v>21262200</v>
      </c>
      <c r="AA6" s="24" t="str">
        <f>VLOOKUP(A6,Metrik!$C$2:$Y$959,5,0)</f>
        <v>Coal</v>
      </c>
      <c r="AB6" s="24" t="str">
        <f>VLOOKUP(A6,Metrik!$C$2:$Y$959,3,0)</f>
        <v>Energy</v>
      </c>
    </row>
    <row r="7">
      <c r="A7" s="17" t="s">
        <v>27</v>
      </c>
      <c r="B7" s="14" t="str">
        <f t="array" ref="B7">VLOOKUP(A7,{Metrik!$C$2:$C$998,Metrik!$B$2:$B$998},2,0)</f>
        <v>Adaro Andalan Indonesia Tbk.</v>
      </c>
      <c r="C7" s="15">
        <f>IFERROR(__xludf.DUMMYFUNCTION("GOOGLEFINANCE(""IDX:""&amp;A7,""price"")"),8650.0)</f>
        <v>8650</v>
      </c>
      <c r="D7" s="16" t="str">
        <f>IFERROR(__xludf.DUMMYFUNCTION("IF(A7="""","""",
SPARKLINE(
INDEX(
GOOGLEFINANCE(""IDX:""&amp;A7,""close"",TODAY()-365,TODAY()),
,2
),
{""linewidth"",1}
))
"),"#N/A")</f>
        <v>#N/A</v>
      </c>
      <c r="E7" s="14" t="s">
        <v>35</v>
      </c>
      <c r="F7" s="17" t="s">
        <v>36</v>
      </c>
      <c r="G7" s="24">
        <f t="shared" si="1"/>
        <v>9</v>
      </c>
      <c r="H7" s="19">
        <f>VLOOKUP(A7,Metrik!$C$2:$Y$959,8,0)</f>
        <v>5.5</v>
      </c>
      <c r="I7" s="20">
        <f>VLOOKUP(A7,Metrik!$C$2:$Y$959,9,0)</f>
        <v>1</v>
      </c>
      <c r="J7" s="20">
        <f>VLOOKUP(A7,Metrik!$C$2:$Y$959,10,0)</f>
        <v>18.6</v>
      </c>
      <c r="K7" s="20">
        <f>VLOOKUP(A7,Metrik!$C$2:$Y$959,11,0)</f>
        <v>12.2</v>
      </c>
      <c r="L7" s="20">
        <f>VLOOKUP(A7,Metrik!$C$2:$Y$959,12,0)</f>
        <v>0.53</v>
      </c>
      <c r="M7" s="20">
        <f>VLOOKUP(A7,Metrik!$C$2:$Y$959,19,0)</f>
        <v>67.3</v>
      </c>
      <c r="N7" s="21"/>
      <c r="O7" s="21"/>
      <c r="P7" s="21"/>
      <c r="Q7" s="21"/>
      <c r="R7" s="21"/>
      <c r="S7" s="21"/>
      <c r="T7" s="21"/>
      <c r="U7" s="22">
        <f>IFERROR(__xludf.DUMMYFUNCTION("IFERROR(GOOGLEFINANCE(A7,""closeyest""),"""")"),8050.0)</f>
        <v>8050</v>
      </c>
      <c r="V7" s="23">
        <f>IFERROR(__xludf.DUMMYFUNCTION("IFERROR(GOOGLEFINANCE(A7,""changepct""),"""")"),7.45)</f>
        <v>7.45</v>
      </c>
      <c r="W7" s="22">
        <f>IFERROR(__xludf.DUMMYFUNCTION("IFERROR(GOOGLEFINANCE(A7,""priceopen""),"""")"),8100.0)</f>
        <v>8100</v>
      </c>
      <c r="X7" s="22">
        <f>IFERROR(__xludf.DUMMYFUNCTION("IFERROR(GOOGLEFINANCE(A7,""high""),"""")"),8850.0)</f>
        <v>8850</v>
      </c>
      <c r="Y7" s="22">
        <f>IFERROR(__xludf.DUMMYFUNCTION("IFERROR(GOOGLEFINANCE(A7,""low""),"""")"),8050.0)</f>
        <v>8050</v>
      </c>
      <c r="Z7" s="22">
        <f>IFERROR(__xludf.DUMMYFUNCTION("IFERROR(GOOGLEFINANCE(A7,""volume""),"""")"),2.12622E7)</f>
        <v>21262200</v>
      </c>
      <c r="AA7" s="24" t="str">
        <f>VLOOKUP(A7,Metrik!$C$2:$Y$959,5,0)</f>
        <v>Coal</v>
      </c>
      <c r="AB7" s="24" t="str">
        <f>VLOOKUP(A7,Metrik!$C$2:$Y$959,3,0)</f>
        <v>Energy</v>
      </c>
    </row>
    <row r="8">
      <c r="A8" s="17" t="s">
        <v>27</v>
      </c>
      <c r="B8" s="14" t="str">
        <f t="array" ref="B8">VLOOKUP(A8,{Metrik!$C$2:$C$998,Metrik!$B$2:$B$998},2,0)</f>
        <v>Adaro Andalan Indonesia Tbk.</v>
      </c>
      <c r="C8" s="15">
        <f>IFERROR(__xludf.DUMMYFUNCTION("GOOGLEFINANCE(""IDX:""&amp;A8,""price"")"),8650.0)</f>
        <v>8650</v>
      </c>
      <c r="D8" s="16" t="str">
        <f>IFERROR(__xludf.DUMMYFUNCTION("IF(A8="""","""",
SPARKLINE(
INDEX(
GOOGLEFINANCE(""IDX:""&amp;A8,""close"",TODAY()-365,TODAY()),
,2
),
{""linewidth"",1}
))
"),"#N/A")</f>
        <v>#N/A</v>
      </c>
      <c r="E8" s="17" t="s">
        <v>37</v>
      </c>
      <c r="F8" s="17" t="s">
        <v>36</v>
      </c>
      <c r="G8" s="24">
        <f t="shared" si="1"/>
        <v>9</v>
      </c>
      <c r="H8" s="19">
        <f>VLOOKUP(A8,Metrik!$C$2:$Y$959,8,0)</f>
        <v>5.5</v>
      </c>
      <c r="I8" s="20">
        <f>VLOOKUP(A8,Metrik!$C$2:$Y$959,9,0)</f>
        <v>1</v>
      </c>
      <c r="J8" s="20">
        <f>VLOOKUP(A8,Metrik!$C$2:$Y$959,10,0)</f>
        <v>18.6</v>
      </c>
      <c r="K8" s="20">
        <f>VLOOKUP(A8,Metrik!$C$2:$Y$959,11,0)</f>
        <v>12.2</v>
      </c>
      <c r="L8" s="20">
        <f>VLOOKUP(A8,Metrik!$C$2:$Y$959,12,0)</f>
        <v>0.53</v>
      </c>
      <c r="M8" s="20">
        <f>VLOOKUP(A8,Metrik!$C$2:$Y$959,19,0)</f>
        <v>67.3</v>
      </c>
      <c r="N8" s="21"/>
      <c r="O8" s="21"/>
      <c r="P8" s="21"/>
      <c r="Q8" s="21"/>
      <c r="R8" s="21"/>
      <c r="S8" s="21"/>
      <c r="T8" s="21"/>
      <c r="U8" s="22">
        <f>IFERROR(__xludf.DUMMYFUNCTION("IFERROR(GOOGLEFINANCE(A8,""closeyest""),"""")"),8050.0)</f>
        <v>8050</v>
      </c>
      <c r="V8" s="23">
        <f>IFERROR(__xludf.DUMMYFUNCTION("IFERROR(GOOGLEFINANCE(A8,""changepct""),"""")"),7.45)</f>
        <v>7.45</v>
      </c>
      <c r="W8" s="22">
        <f>IFERROR(__xludf.DUMMYFUNCTION("IFERROR(GOOGLEFINANCE(A8,""priceopen""),"""")"),8100.0)</f>
        <v>8100</v>
      </c>
      <c r="X8" s="22">
        <f>IFERROR(__xludf.DUMMYFUNCTION("IFERROR(GOOGLEFINANCE(A8,""high""),"""")"),8850.0)</f>
        <v>8850</v>
      </c>
      <c r="Y8" s="22">
        <f>IFERROR(__xludf.DUMMYFUNCTION("IFERROR(GOOGLEFINANCE(A8,""low""),"""")"),8050.0)</f>
        <v>8050</v>
      </c>
      <c r="Z8" s="22">
        <f>IFERROR(__xludf.DUMMYFUNCTION("IFERROR(GOOGLEFINANCE(A8,""volume""),"""")"),2.12622E7)</f>
        <v>21262200</v>
      </c>
      <c r="AA8" s="24" t="str">
        <f>VLOOKUP(A8,Metrik!$C$2:$Y$959,5,0)</f>
        <v>Coal</v>
      </c>
      <c r="AB8" s="24" t="str">
        <f>VLOOKUP(A8,Metrik!$C$2:$Y$959,3,0)</f>
        <v>Energy</v>
      </c>
    </row>
    <row r="9">
      <c r="A9" s="14" t="s">
        <v>27</v>
      </c>
      <c r="B9" s="14" t="str">
        <f t="array" ref="B9">VLOOKUP(A9,{Metrik!$C$2:$C$998,Metrik!$B$2:$B$998},2,0)</f>
        <v>Adaro Andalan Indonesia Tbk.</v>
      </c>
      <c r="C9" s="15">
        <f>IFERROR(__xludf.DUMMYFUNCTION("GOOGLEFINANCE(""IDX:""&amp;A9,""price"")"),8650.0)</f>
        <v>8650</v>
      </c>
      <c r="D9" s="16" t="str">
        <f>IFERROR(__xludf.DUMMYFUNCTION("IF(A9="""","""",
SPARKLINE(
INDEX(
GOOGLEFINANCE(""IDX:""&amp;A9,""close"",TODAY()-365,TODAY()),
,2
),
{""linewidth"",1}
))
"),"#N/A")</f>
        <v>#N/A</v>
      </c>
      <c r="E9" s="14" t="s">
        <v>38</v>
      </c>
      <c r="F9" s="25">
        <v>46356.0</v>
      </c>
      <c r="G9" s="18">
        <f t="shared" si="1"/>
        <v>9</v>
      </c>
      <c r="H9" s="19">
        <f>VLOOKUP(A9,Metrik!$C$2:$Y$959,8,0)</f>
        <v>5.5</v>
      </c>
      <c r="I9" s="20">
        <f>VLOOKUP(A9,Metrik!$C$2:$Y$959,9,0)</f>
        <v>1</v>
      </c>
      <c r="J9" s="20">
        <f>VLOOKUP(A9,Metrik!$C$2:$Y$959,10,0)</f>
        <v>18.6</v>
      </c>
      <c r="K9" s="20">
        <f>VLOOKUP(A9,Metrik!$C$2:$Y$959,11,0)</f>
        <v>12.2</v>
      </c>
      <c r="L9" s="20">
        <f>VLOOKUP(A9,Metrik!$C$2:$Y$959,12,0)</f>
        <v>0.53</v>
      </c>
      <c r="M9" s="20">
        <f>VLOOKUP(A9,Metrik!$C$2:$Y$959,19,0)</f>
        <v>67.3</v>
      </c>
      <c r="N9" s="21"/>
      <c r="O9" s="21"/>
      <c r="P9" s="21"/>
      <c r="Q9" s="21"/>
      <c r="R9" s="21"/>
      <c r="S9" s="21"/>
      <c r="T9" s="21"/>
      <c r="U9" s="22">
        <f>IFERROR(__xludf.DUMMYFUNCTION("IFERROR(GOOGLEFINANCE(A9,""closeyest""),"""")"),8050.0)</f>
        <v>8050</v>
      </c>
      <c r="V9" s="23">
        <f>IFERROR(__xludf.DUMMYFUNCTION("IFERROR(GOOGLEFINANCE(A9,""changepct""),"""")"),7.45)</f>
        <v>7.45</v>
      </c>
      <c r="W9" s="22">
        <f>IFERROR(__xludf.DUMMYFUNCTION("IFERROR(GOOGLEFINANCE(A9,""priceopen""),"""")"),8100.0)</f>
        <v>8100</v>
      </c>
      <c r="X9" s="22">
        <f>IFERROR(__xludf.DUMMYFUNCTION("IFERROR(GOOGLEFINANCE(A9,""high""),"""")"),8850.0)</f>
        <v>8850</v>
      </c>
      <c r="Y9" s="22">
        <f>IFERROR(__xludf.DUMMYFUNCTION("IFERROR(GOOGLEFINANCE(A9,""low""),"""")"),8050.0)</f>
        <v>8050</v>
      </c>
      <c r="Z9" s="22">
        <f>IFERROR(__xludf.DUMMYFUNCTION("IFERROR(GOOGLEFINANCE(A9,""volume""),"""")"),2.12622E7)</f>
        <v>21262200</v>
      </c>
      <c r="AA9" s="24" t="str">
        <f>VLOOKUP(A9,Metrik!$C$2:$Y$959,5,0)</f>
        <v>Coal</v>
      </c>
      <c r="AB9" s="24" t="str">
        <f>VLOOKUP(A9,Metrik!$C$2:$Y$959,3,0)</f>
        <v>Energy</v>
      </c>
    </row>
    <row r="10">
      <c r="A10" s="14" t="s">
        <v>27</v>
      </c>
      <c r="B10" s="14" t="str">
        <f t="array" ref="B10">VLOOKUP(A10,{Metrik!$C$2:$C$998,Metrik!$B$2:$B$998},2,0)</f>
        <v>Adaro Andalan Indonesia Tbk.</v>
      </c>
      <c r="C10" s="15">
        <f>IFERROR(__xludf.DUMMYFUNCTION("GOOGLEFINANCE(""IDX:""&amp;A10,""price"")"),8650.0)</f>
        <v>8650</v>
      </c>
      <c r="D10" s="16" t="str">
        <f>IFERROR(__xludf.DUMMYFUNCTION("IF(A10="""","""",
SPARKLINE(
INDEX(
GOOGLEFINANCE(""IDX:""&amp;A10,""close"",TODAY()-365,TODAY()),
,2
),
{""linewidth"",1}
))
"),"#N/A")</f>
        <v>#N/A</v>
      </c>
      <c r="E10" s="14" t="s">
        <v>39</v>
      </c>
      <c r="F10" s="25">
        <v>46356.0</v>
      </c>
      <c r="G10" s="18">
        <f t="shared" si="1"/>
        <v>9</v>
      </c>
      <c r="H10" s="19">
        <f>VLOOKUP(A10,Metrik!$C$2:$Y$959,8,0)</f>
        <v>5.5</v>
      </c>
      <c r="I10" s="20">
        <f>VLOOKUP(A10,Metrik!$C$2:$Y$959,9,0)</f>
        <v>1</v>
      </c>
      <c r="J10" s="20">
        <f>VLOOKUP(A10,Metrik!$C$2:$Y$959,10,0)</f>
        <v>18.6</v>
      </c>
      <c r="K10" s="20">
        <f>VLOOKUP(A10,Metrik!$C$2:$Y$959,11,0)</f>
        <v>12.2</v>
      </c>
      <c r="L10" s="20">
        <f>VLOOKUP(A10,Metrik!$C$2:$Y$959,12,0)</f>
        <v>0.53</v>
      </c>
      <c r="M10" s="20">
        <f>VLOOKUP(A10,Metrik!$C$2:$Y$959,19,0)</f>
        <v>67.3</v>
      </c>
      <c r="N10" s="21"/>
      <c r="O10" s="21"/>
      <c r="P10" s="21"/>
      <c r="Q10" s="21"/>
      <c r="R10" s="21"/>
      <c r="S10" s="21"/>
      <c r="T10" s="21"/>
      <c r="U10" s="22">
        <f>IFERROR(__xludf.DUMMYFUNCTION("IFERROR(GOOGLEFINANCE(A10,""closeyest""),"""")"),8050.0)</f>
        <v>8050</v>
      </c>
      <c r="V10" s="23">
        <f>IFERROR(__xludf.DUMMYFUNCTION("IFERROR(GOOGLEFINANCE(A10,""changepct""),"""")"),7.45)</f>
        <v>7.45</v>
      </c>
      <c r="W10" s="22">
        <f>IFERROR(__xludf.DUMMYFUNCTION("IFERROR(GOOGLEFINANCE(A10,""priceopen""),"""")"),8100.0)</f>
        <v>8100</v>
      </c>
      <c r="X10" s="22">
        <f>IFERROR(__xludf.DUMMYFUNCTION("IFERROR(GOOGLEFINANCE(A10,""high""),"""")"),8850.0)</f>
        <v>8850</v>
      </c>
      <c r="Y10" s="22">
        <f>IFERROR(__xludf.DUMMYFUNCTION("IFERROR(GOOGLEFINANCE(A10,""low""),"""")"),8050.0)</f>
        <v>8050</v>
      </c>
      <c r="Z10" s="22">
        <f>IFERROR(__xludf.DUMMYFUNCTION("IFERROR(GOOGLEFINANCE(A10,""volume""),"""")"),2.12622E7)</f>
        <v>21262200</v>
      </c>
      <c r="AA10" s="24" t="str">
        <f>VLOOKUP(A10,Metrik!$C$2:$Y$959,5,0)</f>
        <v>Coal</v>
      </c>
      <c r="AB10" s="24" t="str">
        <f>VLOOKUP(A10,Metrik!$C$2:$Y$959,3,0)</f>
        <v>Energy</v>
      </c>
    </row>
    <row r="11">
      <c r="A11" s="14" t="s">
        <v>40</v>
      </c>
      <c r="B11" s="14" t="str">
        <f t="array" ref="B11">VLOOKUP(A11,{Metrik!$C$2:$C$998,Metrik!$B$2:$B$998},2,0)</f>
        <v>Astra Agro Lestari Tbk</v>
      </c>
      <c r="C11" s="15">
        <f>IFERROR(__xludf.DUMMYFUNCTION("GOOGLEFINANCE(""IDX:""&amp;A11,""price"")"),6175.0)</f>
        <v>6175</v>
      </c>
      <c r="D11" s="16" t="str">
        <f>IFERROR(__xludf.DUMMYFUNCTION("IF(A11="""","""",
SPARKLINE(
INDEX(
GOOGLEFINANCE(""IDX:""&amp;A11,""close"",TODAY()-365,TODAY()),
,2
),
{""linewidth"",1}
))
"),"#N/A")</f>
        <v>#N/A</v>
      </c>
      <c r="E11" s="14" t="s">
        <v>41</v>
      </c>
      <c r="F11" s="14" t="s">
        <v>34</v>
      </c>
      <c r="G11" s="24">
        <f t="shared" si="1"/>
        <v>2</v>
      </c>
      <c r="H11" s="19">
        <f>VLOOKUP(A11,Metrik!$C$2:$Y$959,8,0)</f>
        <v>8</v>
      </c>
      <c r="I11" s="20">
        <f>VLOOKUP(A11,Metrik!$C$2:$Y$959,9,0)</f>
        <v>0.51</v>
      </c>
      <c r="J11" s="20">
        <f>VLOOKUP(A11,Metrik!$C$2:$Y$959,10,0)</f>
        <v>6.4</v>
      </c>
      <c r="K11" s="20">
        <f>VLOOKUP(A11,Metrik!$C$2:$Y$959,11,0)</f>
        <v>5.6</v>
      </c>
      <c r="L11" s="20">
        <f>VLOOKUP(A11,Metrik!$C$2:$Y$959,12,0)</f>
        <v>0.14</v>
      </c>
      <c r="M11" s="20">
        <f>VLOOKUP(A11,Metrik!$C$2:$Y$959,19,0)</f>
        <v>20.9</v>
      </c>
      <c r="N11" s="21"/>
      <c r="O11" s="21"/>
      <c r="P11" s="21"/>
      <c r="Q11" s="21"/>
      <c r="R11" s="21"/>
      <c r="S11" s="21"/>
      <c r="T11" s="21"/>
      <c r="U11" s="22">
        <f>IFERROR(__xludf.DUMMYFUNCTION("IFERROR(GOOGLEFINANCE(A11,""closeyest""),"""")"),6050.0)</f>
        <v>6050</v>
      </c>
      <c r="V11" s="23">
        <f>IFERROR(__xludf.DUMMYFUNCTION("IFERROR(GOOGLEFINANCE(A11,""changepct""),"""")"),2.07)</f>
        <v>2.07</v>
      </c>
      <c r="W11" s="22">
        <f>IFERROR(__xludf.DUMMYFUNCTION("IFERROR(GOOGLEFINANCE(A11,""priceopen""),"""")"),6075.0)</f>
        <v>6075</v>
      </c>
      <c r="X11" s="22">
        <f>IFERROR(__xludf.DUMMYFUNCTION("IFERROR(GOOGLEFINANCE(A11,""high""),"""")"),6325.0)</f>
        <v>6325</v>
      </c>
      <c r="Y11" s="22">
        <f>IFERROR(__xludf.DUMMYFUNCTION("IFERROR(GOOGLEFINANCE(A11,""low""),"""")"),6025.0)</f>
        <v>6025</v>
      </c>
      <c r="Z11" s="22">
        <f>IFERROR(__xludf.DUMMYFUNCTION("IFERROR(GOOGLEFINANCE(A11,""volume""),"""")"),3068700.0)</f>
        <v>3068700</v>
      </c>
      <c r="AA11" s="24" t="str">
        <f>VLOOKUP(A11,Metrik!$C$2:$Y$959,5,0)</f>
        <v>Agricultural Products</v>
      </c>
      <c r="AB11" s="24" t="str">
        <f>VLOOKUP(A11,Metrik!$C$2:$Y$959,3,0)</f>
        <v>Consumer Non-Cyclicals</v>
      </c>
    </row>
    <row r="12">
      <c r="A12" s="14" t="s">
        <v>40</v>
      </c>
      <c r="B12" s="14" t="str">
        <f t="array" ref="B12">VLOOKUP(A12,{Metrik!$C$2:$C$998,Metrik!$B$2:$B$998},2,0)</f>
        <v>Astra Agro Lestari Tbk</v>
      </c>
      <c r="C12" s="15">
        <f>IFERROR(__xludf.DUMMYFUNCTION("GOOGLEFINANCE(""IDX:""&amp;A12,""price"")"),6175.0)</f>
        <v>6175</v>
      </c>
      <c r="D12" s="16" t="str">
        <f>IFERROR(__xludf.DUMMYFUNCTION("IF(A12="""","""",
SPARKLINE(
INDEX(
GOOGLEFINANCE(""IDX:""&amp;A12,""close"",TODAY()-365,TODAY()),
,2
),
{""linewidth"",1}
))
"),"#N/A")</f>
        <v>#N/A</v>
      </c>
      <c r="E12" s="14" t="s">
        <v>42</v>
      </c>
      <c r="F12" s="25">
        <v>46356.0</v>
      </c>
      <c r="G12" s="24">
        <f t="shared" si="1"/>
        <v>2</v>
      </c>
      <c r="H12" s="19">
        <f>VLOOKUP(A12,Metrik!$C$2:$Y$959,8,0)</f>
        <v>8</v>
      </c>
      <c r="I12" s="20">
        <f>VLOOKUP(A12,Metrik!$C$2:$Y$959,9,0)</f>
        <v>0.51</v>
      </c>
      <c r="J12" s="20">
        <f>VLOOKUP(A12,Metrik!$C$2:$Y$959,10,0)</f>
        <v>6.4</v>
      </c>
      <c r="K12" s="20">
        <f>VLOOKUP(A12,Metrik!$C$2:$Y$959,11,0)</f>
        <v>5.6</v>
      </c>
      <c r="L12" s="20">
        <f>VLOOKUP(A12,Metrik!$C$2:$Y$959,12,0)</f>
        <v>0.14</v>
      </c>
      <c r="M12" s="20">
        <f>VLOOKUP(A12,Metrik!$C$2:$Y$959,19,0)</f>
        <v>20.9</v>
      </c>
      <c r="N12" s="21"/>
      <c r="O12" s="21"/>
      <c r="P12" s="21"/>
      <c r="Q12" s="21"/>
      <c r="R12" s="21"/>
      <c r="S12" s="21"/>
      <c r="T12" s="21"/>
      <c r="U12" s="22">
        <f>IFERROR(__xludf.DUMMYFUNCTION("IFERROR(GOOGLEFINANCE(A12,""closeyest""),"""")"),6050.0)</f>
        <v>6050</v>
      </c>
      <c r="V12" s="23">
        <f>IFERROR(__xludf.DUMMYFUNCTION("IFERROR(GOOGLEFINANCE(A12,""changepct""),"""")"),2.07)</f>
        <v>2.07</v>
      </c>
      <c r="W12" s="22">
        <f>IFERROR(__xludf.DUMMYFUNCTION("IFERROR(GOOGLEFINANCE(A12,""priceopen""),"""")"),6075.0)</f>
        <v>6075</v>
      </c>
      <c r="X12" s="22">
        <f>IFERROR(__xludf.DUMMYFUNCTION("IFERROR(GOOGLEFINANCE(A12,""high""),"""")"),6325.0)</f>
        <v>6325</v>
      </c>
      <c r="Y12" s="22">
        <f>IFERROR(__xludf.DUMMYFUNCTION("IFERROR(GOOGLEFINANCE(A12,""low""),"""")"),6025.0)</f>
        <v>6025</v>
      </c>
      <c r="Z12" s="22">
        <f>IFERROR(__xludf.DUMMYFUNCTION("IFERROR(GOOGLEFINANCE(A12,""volume""),"""")"),3068700.0)</f>
        <v>3068700</v>
      </c>
      <c r="AA12" s="24" t="str">
        <f>VLOOKUP(A12,Metrik!$C$2:$Y$959,5,0)</f>
        <v>Agricultural Products</v>
      </c>
      <c r="AB12" s="24" t="str">
        <f>VLOOKUP(A12,Metrik!$C$2:$Y$959,3,0)</f>
        <v>Consumer Non-Cyclicals</v>
      </c>
    </row>
    <row r="13">
      <c r="A13" s="14" t="s">
        <v>43</v>
      </c>
      <c r="B13" s="14" t="str">
        <f t="array" ref="B13">VLOOKUP(A13,{Metrik!$C$2:$C$998,Metrik!$B$2:$B$998},2,0)</f>
        <v>Mahaka Media Tbk.</v>
      </c>
      <c r="C13" s="15">
        <f>IFERROR(__xludf.DUMMYFUNCTION("GOOGLEFINANCE(""IDX:""&amp;A13,""price"")"),35.0)</f>
        <v>35</v>
      </c>
      <c r="D13" s="16" t="str">
        <f>IFERROR(__xludf.DUMMYFUNCTION("IF(A13="""","""",
SPARKLINE(
INDEX(
GOOGLEFINANCE(""IDX:""&amp;A13,""close"",TODAY()-365,TODAY()),
,2
),
{""linewidth"",1}
))
"),"#N/A")</f>
        <v>#N/A</v>
      </c>
      <c r="E13" s="26"/>
      <c r="F13" s="26"/>
      <c r="G13" s="24">
        <f t="shared" si="1"/>
        <v>0</v>
      </c>
      <c r="H13" s="19">
        <f>VLOOKUP(A13,Metrik!$C$2:$Y$959,8,0)</f>
        <v>-5.5</v>
      </c>
      <c r="I13" s="20">
        <f>VLOOKUP(A13,Metrik!$C$2:$Y$959,9,0)</f>
        <v>-1.3</v>
      </c>
      <c r="J13" s="20">
        <f>VLOOKUP(A13,Metrik!$C$2:$Y$959,10,0)</f>
        <v>0</v>
      </c>
      <c r="K13" s="20">
        <f>VLOOKUP(A13,Metrik!$C$2:$Y$959,11,0)</f>
        <v>-11.1</v>
      </c>
      <c r="L13" s="20">
        <f>VLOOKUP(A13,Metrik!$C$2:$Y$959,12,0)</f>
        <v>-3.1</v>
      </c>
      <c r="M13" s="20">
        <f>VLOOKUP(A13,Metrik!$C$2:$Y$959,19,0)</f>
        <v>-91.1</v>
      </c>
      <c r="N13" s="21"/>
      <c r="O13" s="21"/>
      <c r="P13" s="21"/>
      <c r="Q13" s="21"/>
      <c r="R13" s="21"/>
      <c r="S13" s="21"/>
      <c r="T13" s="21"/>
      <c r="U13" s="22">
        <f>IFERROR(__xludf.DUMMYFUNCTION("IFERROR(GOOGLEFINANCE(A13,""closeyest""),"""")"),35.0)</f>
        <v>35</v>
      </c>
      <c r="V13" s="23">
        <f>IFERROR(__xludf.DUMMYFUNCTION("IFERROR(GOOGLEFINANCE(A13,""changepct""),"""")"),0.0)</f>
        <v>0</v>
      </c>
      <c r="W13" s="22">
        <f>IFERROR(__xludf.DUMMYFUNCTION("IFERROR(GOOGLEFINANCE(A13,""priceopen""),"""")"),35.0)</f>
        <v>35</v>
      </c>
      <c r="X13" s="22">
        <f>IFERROR(__xludf.DUMMYFUNCTION("IFERROR(GOOGLEFINANCE(A13,""high""),"""")"),35.0)</f>
        <v>35</v>
      </c>
      <c r="Y13" s="22">
        <f>IFERROR(__xludf.DUMMYFUNCTION("IFERROR(GOOGLEFINANCE(A13,""low""),"""")"),35.0)</f>
        <v>35</v>
      </c>
      <c r="Z13" s="22">
        <f>IFERROR(__xludf.DUMMYFUNCTION("IFERROR(GOOGLEFINANCE(A13,""volume""),"""")"),292000.0)</f>
        <v>292000</v>
      </c>
      <c r="AA13" s="24" t="str">
        <f>VLOOKUP(A13,Metrik!$C$2:$Y$959,5,0)</f>
        <v>Media</v>
      </c>
      <c r="AB13" s="24" t="str">
        <f>VLOOKUP(A13,Metrik!$C$2:$Y$959,3,0)</f>
        <v>Consumer Cyclicals</v>
      </c>
    </row>
    <row r="14">
      <c r="A14" s="14" t="s">
        <v>44</v>
      </c>
      <c r="B14" s="14" t="str">
        <f t="array" ref="B14">VLOOKUP(A14,{Metrik!$C$2:$C$998,Metrik!$B$2:$B$998},2,0)</f>
        <v>Asuransi Bina Dana Arta Tbk.</v>
      </c>
      <c r="C14" s="15">
        <f>IFERROR(__xludf.DUMMYFUNCTION("GOOGLEFINANCE(""IDX:""&amp;A14,""price"")"),3390.0)</f>
        <v>3390</v>
      </c>
      <c r="D14" s="16" t="str">
        <f>IFERROR(__xludf.DUMMYFUNCTION("IF(A14="""","""",
SPARKLINE(
INDEX(
GOOGLEFINANCE(""IDX:""&amp;A14,""close"",TODAY()-365,TODAY()),
,2
),
{""linewidth"",1}
))
"),"#N/A")</f>
        <v>#N/A</v>
      </c>
      <c r="E14" s="26"/>
      <c r="F14" s="26"/>
      <c r="G14" s="24">
        <f t="shared" si="1"/>
        <v>0</v>
      </c>
      <c r="H14" s="19">
        <f>VLOOKUP(A14,Metrik!$C$2:$Y$959,8,0)</f>
        <v>19.6</v>
      </c>
      <c r="I14" s="20">
        <f>VLOOKUP(A14,Metrik!$C$2:$Y$959,9,0)</f>
        <v>1.2</v>
      </c>
      <c r="J14" s="20">
        <f>VLOOKUP(A14,Metrik!$C$2:$Y$959,10,0)</f>
        <v>6.3</v>
      </c>
      <c r="K14" s="20">
        <f>VLOOKUP(A14,Metrik!$C$2:$Y$959,11,0)</f>
        <v>3.9</v>
      </c>
      <c r="L14" s="20">
        <f>VLOOKUP(A14,Metrik!$C$2:$Y$959,12,0)</f>
        <v>0.59</v>
      </c>
      <c r="M14" s="20">
        <f>VLOOKUP(A14,Metrik!$C$2:$Y$959,19,0)</f>
        <v>31.1</v>
      </c>
      <c r="N14" s="21"/>
      <c r="O14" s="21"/>
      <c r="P14" s="21"/>
      <c r="Q14" s="21"/>
      <c r="R14" s="21"/>
      <c r="S14" s="21"/>
      <c r="T14" s="21"/>
      <c r="U14" s="22">
        <f>IFERROR(__xludf.DUMMYFUNCTION("IFERROR(GOOGLEFINANCE(A14,""closeyest""),"""")"),3330.0)</f>
        <v>3330</v>
      </c>
      <c r="V14" s="23">
        <f>IFERROR(__xludf.DUMMYFUNCTION("IFERROR(GOOGLEFINANCE(A14,""changepct""),"""")"),1.8)</f>
        <v>1.8</v>
      </c>
      <c r="W14" s="22">
        <f>IFERROR(__xludf.DUMMYFUNCTION("IFERROR(GOOGLEFINANCE(A14,""priceopen""),"""")"),3430.0)</f>
        <v>3430</v>
      </c>
      <c r="X14" s="22">
        <f>IFERROR(__xludf.DUMMYFUNCTION("IFERROR(GOOGLEFINANCE(A14,""high""),"""")"),3430.0)</f>
        <v>3430</v>
      </c>
      <c r="Y14" s="22">
        <f>IFERROR(__xludf.DUMMYFUNCTION("IFERROR(GOOGLEFINANCE(A14,""low""),"""")"),3100.0)</f>
        <v>3100</v>
      </c>
      <c r="Z14" s="22">
        <f>IFERROR(__xludf.DUMMYFUNCTION("IFERROR(GOOGLEFINANCE(A14,""volume""),"""")"),10200.0)</f>
        <v>10200</v>
      </c>
      <c r="AA14" s="24" t="str">
        <f>VLOOKUP(A14,Metrik!$C$2:$Y$959,5,0)</f>
        <v>Insurance</v>
      </c>
      <c r="AB14" s="24" t="str">
        <f>VLOOKUP(A14,Metrik!$C$2:$Y$959,3,0)</f>
        <v>Financials</v>
      </c>
    </row>
    <row r="15">
      <c r="A15" s="14" t="s">
        <v>45</v>
      </c>
      <c r="B15" s="14" t="str">
        <f t="array" ref="B15">VLOOKUP(A15,{Metrik!$C$2:$C$998,Metrik!$B$2:$B$998},2,0)</f>
        <v>ABM Investama Tbk</v>
      </c>
      <c r="C15" s="15">
        <f>IFERROR(__xludf.DUMMYFUNCTION("GOOGLEFINANCE(""IDX:""&amp;A15,""price"")"),2420.0)</f>
        <v>2420</v>
      </c>
      <c r="D15" s="16" t="str">
        <f>IFERROR(__xludf.DUMMYFUNCTION("IF(A15="""","""",
SPARKLINE(
INDEX(
GOOGLEFINANCE(""IDX:""&amp;A15,""close"",TODAY()-365,TODAY()),
,2
),
{""linewidth"",1}
))
"),"#N/A")</f>
        <v>#N/A</v>
      </c>
      <c r="E15" s="26"/>
      <c r="F15" s="26"/>
      <c r="G15" s="24">
        <f t="shared" si="1"/>
        <v>0</v>
      </c>
      <c r="H15" s="19">
        <f>VLOOKUP(A15,Metrik!$C$2:$Y$959,8,0)</f>
        <v>6.2</v>
      </c>
      <c r="I15" s="20">
        <f>VLOOKUP(A15,Metrik!$C$2:$Y$959,9,0)</f>
        <v>0.43</v>
      </c>
      <c r="J15" s="20">
        <f>VLOOKUP(A15,Metrik!$C$2:$Y$959,10,0)</f>
        <v>7.1</v>
      </c>
      <c r="K15" s="20">
        <f>VLOOKUP(A15,Metrik!$C$2:$Y$959,11,0)</f>
        <v>3.1</v>
      </c>
      <c r="L15" s="20">
        <f>VLOOKUP(A15,Metrik!$C$2:$Y$959,12,0)</f>
        <v>1.3</v>
      </c>
      <c r="M15" s="20">
        <f>VLOOKUP(A15,Metrik!$C$2:$Y$959,19,0)</f>
        <v>28.4</v>
      </c>
      <c r="N15" s="21"/>
      <c r="O15" s="21"/>
      <c r="P15" s="21"/>
      <c r="Q15" s="21"/>
      <c r="R15" s="21"/>
      <c r="S15" s="21"/>
      <c r="T15" s="21"/>
      <c r="U15" s="22">
        <f>IFERROR(__xludf.DUMMYFUNCTION("IFERROR(GOOGLEFINANCE(A15,""closeyest""),"""")"),2300.0)</f>
        <v>2300</v>
      </c>
      <c r="V15" s="23">
        <f>IFERROR(__xludf.DUMMYFUNCTION("IFERROR(GOOGLEFINANCE(A15,""changepct""),"""")"),5.22)</f>
        <v>5.22</v>
      </c>
      <c r="W15" s="22">
        <f>IFERROR(__xludf.DUMMYFUNCTION("IFERROR(GOOGLEFINANCE(A15,""priceopen""),"""")"),2300.0)</f>
        <v>2300</v>
      </c>
      <c r="X15" s="22" t="str">
        <f>IFERROR(__xludf.DUMMYFUNCTION("IFERROR(GOOGLEFINANCE(A15,""high""),"""")"),"")</f>
        <v/>
      </c>
      <c r="Y15" s="22">
        <f>IFERROR(__xludf.DUMMYFUNCTION("IFERROR(GOOGLEFINANCE(A15,""low""),"""")"),2300.0)</f>
        <v>2300</v>
      </c>
      <c r="Z15" s="22">
        <f>IFERROR(__xludf.DUMMYFUNCTION("IFERROR(GOOGLEFINANCE(A15,""volume""),"""")"),739300.0)</f>
        <v>739300</v>
      </c>
      <c r="AA15" s="24" t="str">
        <f>VLOOKUP(A15,Metrik!$C$2:$Y$959,5,0)</f>
        <v>Multi-sector Holdings</v>
      </c>
      <c r="AB15" s="24" t="str">
        <f>VLOOKUP(A15,Metrik!$C$2:$Y$959,3,0)</f>
        <v>Industrials</v>
      </c>
    </row>
    <row r="16">
      <c r="A16" s="17" t="s">
        <v>46</v>
      </c>
      <c r="B16" s="14" t="str">
        <f t="array" ref="B16">VLOOKUP(A16,{Metrik!$C$2:$C$998,Metrik!$B$2:$B$998},2,0)</f>
        <v>Aspirasi Hidup Indonesia Tbk.</v>
      </c>
      <c r="C16" s="15">
        <f>IFERROR(__xludf.DUMMYFUNCTION("GOOGLEFINANCE(""IDX:""&amp;A16,""price"")"),356.0)</f>
        <v>356</v>
      </c>
      <c r="D16" s="16" t="str">
        <f>IFERROR(__xludf.DUMMYFUNCTION("IF(A16="""","""",
SPARKLINE(
INDEX(
GOOGLEFINANCE(""IDX:""&amp;A16,""close"",TODAY()-365,TODAY()),
,2
),
{""linewidth"",1}
))
"),"#N/A")</f>
        <v>#N/A</v>
      </c>
      <c r="E16" s="14" t="s">
        <v>47</v>
      </c>
      <c r="F16" s="25">
        <v>46356.0</v>
      </c>
      <c r="G16" s="18">
        <f t="shared" si="1"/>
        <v>11</v>
      </c>
      <c r="H16" s="19">
        <f>VLOOKUP(A16,Metrik!$C$2:$Y$959,8,0)</f>
        <v>8.6</v>
      </c>
      <c r="I16" s="20">
        <f>VLOOKUP(A16,Metrik!$C$2:$Y$959,9,0)</f>
        <v>0.88</v>
      </c>
      <c r="J16" s="20">
        <f>VLOOKUP(A16,Metrik!$C$2:$Y$959,10,0)</f>
        <v>10.2</v>
      </c>
      <c r="K16" s="20">
        <f>VLOOKUP(A16,Metrik!$C$2:$Y$959,11,0)</f>
        <v>8</v>
      </c>
      <c r="L16" s="20">
        <f>VLOOKUP(A16,Metrik!$C$2:$Y$959,12,0)</f>
        <v>0.28</v>
      </c>
      <c r="M16" s="20">
        <f>VLOOKUP(A16,Metrik!$C$2:$Y$959,19,0)</f>
        <v>29.4</v>
      </c>
      <c r="N16" s="21"/>
      <c r="O16" s="21"/>
      <c r="P16" s="21"/>
      <c r="Q16" s="21"/>
      <c r="R16" s="21"/>
      <c r="S16" s="21"/>
      <c r="T16" s="21"/>
      <c r="U16" s="22">
        <f>IFERROR(__xludf.DUMMYFUNCTION("IFERROR(GOOGLEFINANCE(A16,""closeyest""),"""")"),36.5)</f>
        <v>36.5</v>
      </c>
      <c r="V16" s="23">
        <f>IFERROR(__xludf.DUMMYFUNCTION("IFERROR(GOOGLEFINANCE(A16,""changepct""),"""")"),1.12)</f>
        <v>1.12</v>
      </c>
      <c r="W16" s="22">
        <f>IFERROR(__xludf.DUMMYFUNCTION("IFERROR(GOOGLEFINANCE(A16,""priceopen""),"""")"),36.6)</f>
        <v>36.6</v>
      </c>
      <c r="X16" s="22">
        <f>IFERROR(__xludf.DUMMYFUNCTION("IFERROR(GOOGLEFINANCE(A16,""high""),"""")"),36.98)</f>
        <v>36.98</v>
      </c>
      <c r="Y16" s="22">
        <f>IFERROR(__xludf.DUMMYFUNCTION("IFERROR(GOOGLEFINANCE(A16,""low""),"""")"),36.6)</f>
        <v>36.6</v>
      </c>
      <c r="Z16" s="22">
        <f>IFERROR(__xludf.DUMMYFUNCTION("IFERROR(GOOGLEFINANCE(A16,""volume""),"""")"),846.0)</f>
        <v>846</v>
      </c>
      <c r="AA16" s="24" t="str">
        <f>VLOOKUP(A16,Metrik!$C$2:$Y$959,5,0)</f>
        <v>Specialty Retail</v>
      </c>
      <c r="AB16" s="24" t="str">
        <f>VLOOKUP(A16,Metrik!$C$2:$Y$959,3,0)</f>
        <v>Consumer Cyclicals</v>
      </c>
    </row>
    <row r="17">
      <c r="A17" s="14" t="s">
        <v>46</v>
      </c>
      <c r="B17" s="14" t="str">
        <f t="array" ref="B17">VLOOKUP(A17,{Metrik!$C$2:$C$998,Metrik!$B$2:$B$998},2,0)</f>
        <v>Aspirasi Hidup Indonesia Tbk.</v>
      </c>
      <c r="C17" s="15">
        <f>IFERROR(__xludf.DUMMYFUNCTION("GOOGLEFINANCE(""IDX:""&amp;A17,""price"")"),356.0)</f>
        <v>356</v>
      </c>
      <c r="D17" s="16" t="str">
        <f>IFERROR(__xludf.DUMMYFUNCTION("IF(A17="""","""",
SPARKLINE(
INDEX(
GOOGLEFINANCE(""IDX:""&amp;A17,""close"",TODAY()-365,TODAY()),
,2
),
{""linewidth"",1}
))
"),"#N/A")</f>
        <v>#N/A</v>
      </c>
      <c r="E17" s="14" t="s">
        <v>48</v>
      </c>
      <c r="F17" s="14" t="s">
        <v>49</v>
      </c>
      <c r="G17" s="18">
        <f t="shared" si="1"/>
        <v>11</v>
      </c>
      <c r="H17" s="19">
        <f>VLOOKUP(A17,Metrik!$C$2:$Y$959,8,0)</f>
        <v>8.6</v>
      </c>
      <c r="I17" s="20">
        <f>VLOOKUP(A17,Metrik!$C$2:$Y$959,9,0)</f>
        <v>0.88</v>
      </c>
      <c r="J17" s="20">
        <f>VLOOKUP(A17,Metrik!$C$2:$Y$959,10,0)</f>
        <v>10.2</v>
      </c>
      <c r="K17" s="20">
        <f>VLOOKUP(A17,Metrik!$C$2:$Y$959,11,0)</f>
        <v>8</v>
      </c>
      <c r="L17" s="20">
        <f>VLOOKUP(A17,Metrik!$C$2:$Y$959,12,0)</f>
        <v>0.28</v>
      </c>
      <c r="M17" s="20">
        <f>VLOOKUP(A17,Metrik!$C$2:$Y$959,19,0)</f>
        <v>29.4</v>
      </c>
      <c r="N17" s="21"/>
      <c r="O17" s="21"/>
      <c r="P17" s="21"/>
      <c r="Q17" s="21"/>
      <c r="R17" s="21"/>
      <c r="S17" s="21"/>
      <c r="T17" s="21"/>
      <c r="U17" s="22">
        <f>IFERROR(__xludf.DUMMYFUNCTION("IFERROR(GOOGLEFINANCE(A17,""closeyest""),"""")"),36.5)</f>
        <v>36.5</v>
      </c>
      <c r="V17" s="23">
        <f>IFERROR(__xludf.DUMMYFUNCTION("IFERROR(GOOGLEFINANCE(A17,""changepct""),"""")"),1.12)</f>
        <v>1.12</v>
      </c>
      <c r="W17" s="22">
        <f>IFERROR(__xludf.DUMMYFUNCTION("IFERROR(GOOGLEFINANCE(A17,""priceopen""),"""")"),36.6)</f>
        <v>36.6</v>
      </c>
      <c r="X17" s="22">
        <f>IFERROR(__xludf.DUMMYFUNCTION("IFERROR(GOOGLEFINANCE(A17,""high""),"""")"),36.98)</f>
        <v>36.98</v>
      </c>
      <c r="Y17" s="22">
        <f>IFERROR(__xludf.DUMMYFUNCTION("IFERROR(GOOGLEFINANCE(A17,""low""),"""")"),36.6)</f>
        <v>36.6</v>
      </c>
      <c r="Z17" s="22">
        <f>IFERROR(__xludf.DUMMYFUNCTION("IFERROR(GOOGLEFINANCE(A17,""volume""),"""")"),846.0)</f>
        <v>846</v>
      </c>
      <c r="AA17" s="24" t="str">
        <f>VLOOKUP(A17,Metrik!$C$2:$Y$959,5,0)</f>
        <v>Specialty Retail</v>
      </c>
      <c r="AB17" s="24" t="str">
        <f>VLOOKUP(A17,Metrik!$C$2:$Y$959,3,0)</f>
        <v>Consumer Cyclicals</v>
      </c>
    </row>
    <row r="18">
      <c r="A18" s="14" t="s">
        <v>46</v>
      </c>
      <c r="B18" s="14" t="str">
        <f t="array" ref="B18">VLOOKUP(A18,{Metrik!$C$2:$C$998,Metrik!$B$2:$B$998},2,0)</f>
        <v>Aspirasi Hidup Indonesia Tbk.</v>
      </c>
      <c r="C18" s="15">
        <f>IFERROR(__xludf.DUMMYFUNCTION("GOOGLEFINANCE(""IDX:""&amp;A18,""price"")"),356.0)</f>
        <v>356</v>
      </c>
      <c r="D18" s="16" t="str">
        <f>IFERROR(__xludf.DUMMYFUNCTION("IF(A18="""","""",
SPARKLINE(
INDEX(
GOOGLEFINANCE(""IDX:""&amp;A18,""close"",TODAY()-365,TODAY()),
,2
),
{""linewidth"",1}
))
"),"#N/A")</f>
        <v>#N/A</v>
      </c>
      <c r="E18" s="14" t="s">
        <v>28</v>
      </c>
      <c r="F18" s="17" t="s">
        <v>29</v>
      </c>
      <c r="G18" s="18">
        <f t="shared" si="1"/>
        <v>11</v>
      </c>
      <c r="H18" s="19">
        <f>VLOOKUP(A18,Metrik!$C$2:$Y$959,8,0)</f>
        <v>8.6</v>
      </c>
      <c r="I18" s="20">
        <f>VLOOKUP(A18,Metrik!$C$2:$Y$959,9,0)</f>
        <v>0.88</v>
      </c>
      <c r="J18" s="20">
        <f>VLOOKUP(A18,Metrik!$C$2:$Y$959,10,0)</f>
        <v>10.2</v>
      </c>
      <c r="K18" s="20">
        <f>VLOOKUP(A18,Metrik!$C$2:$Y$959,11,0)</f>
        <v>8</v>
      </c>
      <c r="L18" s="20">
        <f>VLOOKUP(A18,Metrik!$C$2:$Y$959,12,0)</f>
        <v>0.28</v>
      </c>
      <c r="M18" s="20">
        <f>VLOOKUP(A18,Metrik!$C$2:$Y$959,19,0)</f>
        <v>29.4</v>
      </c>
      <c r="N18" s="21"/>
      <c r="O18" s="21"/>
      <c r="P18" s="21"/>
      <c r="Q18" s="21"/>
      <c r="R18" s="21"/>
      <c r="S18" s="21"/>
      <c r="T18" s="21"/>
      <c r="U18" s="22">
        <f>IFERROR(__xludf.DUMMYFUNCTION("IFERROR(GOOGLEFINANCE(A18,""closeyest""),"""")"),36.5)</f>
        <v>36.5</v>
      </c>
      <c r="V18" s="23">
        <f>IFERROR(__xludf.DUMMYFUNCTION("IFERROR(GOOGLEFINANCE(A18,""changepct""),"""")"),1.12)</f>
        <v>1.12</v>
      </c>
      <c r="W18" s="22">
        <f>IFERROR(__xludf.DUMMYFUNCTION("IFERROR(GOOGLEFINANCE(A18,""priceopen""),"""")"),36.6)</f>
        <v>36.6</v>
      </c>
      <c r="X18" s="22">
        <f>IFERROR(__xludf.DUMMYFUNCTION("IFERROR(GOOGLEFINANCE(A18,""high""),"""")"),36.98)</f>
        <v>36.98</v>
      </c>
      <c r="Y18" s="22">
        <f>IFERROR(__xludf.DUMMYFUNCTION("IFERROR(GOOGLEFINANCE(A18,""low""),"""")"),36.6)</f>
        <v>36.6</v>
      </c>
      <c r="Z18" s="22">
        <f>IFERROR(__xludf.DUMMYFUNCTION("IFERROR(GOOGLEFINANCE(A18,""volume""),"""")"),846.0)</f>
        <v>846</v>
      </c>
      <c r="AA18" s="24" t="str">
        <f>VLOOKUP(A18,Metrik!$C$2:$Y$959,5,0)</f>
        <v>Specialty Retail</v>
      </c>
      <c r="AB18" s="24" t="str">
        <f>VLOOKUP(A18,Metrik!$C$2:$Y$959,3,0)</f>
        <v>Consumer Cyclicals</v>
      </c>
    </row>
    <row r="19">
      <c r="A19" s="14" t="s">
        <v>46</v>
      </c>
      <c r="B19" s="14" t="str">
        <f t="array" ref="B19">VLOOKUP(A19,{Metrik!$C$2:$C$998,Metrik!$B$2:$B$998},2,0)</f>
        <v>Aspirasi Hidup Indonesia Tbk.</v>
      </c>
      <c r="C19" s="15">
        <f>IFERROR(__xludf.DUMMYFUNCTION("GOOGLEFINANCE(""IDX:""&amp;A19,""price"")"),356.0)</f>
        <v>356</v>
      </c>
      <c r="D19" s="16" t="str">
        <f>IFERROR(__xludf.DUMMYFUNCTION("IF(A19="""","""",
SPARKLINE(
INDEX(
GOOGLEFINANCE(""IDX:""&amp;A19,""close"",TODAY()-365,TODAY()),
,2
),
{""linewidth"",1}
))
"),"#N/A")</f>
        <v>#N/A</v>
      </c>
      <c r="E19" s="14" t="s">
        <v>50</v>
      </c>
      <c r="F19" s="17" t="s">
        <v>51</v>
      </c>
      <c r="G19" s="18">
        <f t="shared" si="1"/>
        <v>11</v>
      </c>
      <c r="H19" s="19">
        <f>VLOOKUP(A19,Metrik!$C$2:$Y$959,8,0)</f>
        <v>8.6</v>
      </c>
      <c r="I19" s="20">
        <f>VLOOKUP(A19,Metrik!$C$2:$Y$959,9,0)</f>
        <v>0.88</v>
      </c>
      <c r="J19" s="20">
        <f>VLOOKUP(A19,Metrik!$C$2:$Y$959,10,0)</f>
        <v>10.2</v>
      </c>
      <c r="K19" s="20">
        <f>VLOOKUP(A19,Metrik!$C$2:$Y$959,11,0)</f>
        <v>8</v>
      </c>
      <c r="L19" s="20">
        <f>VLOOKUP(A19,Metrik!$C$2:$Y$959,12,0)</f>
        <v>0.28</v>
      </c>
      <c r="M19" s="20">
        <f>VLOOKUP(A19,Metrik!$C$2:$Y$959,19,0)</f>
        <v>29.4</v>
      </c>
      <c r="N19" s="21"/>
      <c r="O19" s="21"/>
      <c r="P19" s="21"/>
      <c r="Q19" s="21"/>
      <c r="R19" s="21"/>
      <c r="S19" s="21"/>
      <c r="T19" s="21"/>
      <c r="U19" s="22">
        <f>IFERROR(__xludf.DUMMYFUNCTION("IFERROR(GOOGLEFINANCE(A19,""closeyest""),"""")"),36.5)</f>
        <v>36.5</v>
      </c>
      <c r="V19" s="23">
        <f>IFERROR(__xludf.DUMMYFUNCTION("IFERROR(GOOGLEFINANCE(A19,""changepct""),"""")"),1.12)</f>
        <v>1.12</v>
      </c>
      <c r="W19" s="22">
        <f>IFERROR(__xludf.DUMMYFUNCTION("IFERROR(GOOGLEFINANCE(A19,""priceopen""),"""")"),36.6)</f>
        <v>36.6</v>
      </c>
      <c r="X19" s="22">
        <f>IFERROR(__xludf.DUMMYFUNCTION("IFERROR(GOOGLEFINANCE(A19,""high""),"""")"),36.98)</f>
        <v>36.98</v>
      </c>
      <c r="Y19" s="22">
        <f>IFERROR(__xludf.DUMMYFUNCTION("IFERROR(GOOGLEFINANCE(A19,""low""),"""")"),36.6)</f>
        <v>36.6</v>
      </c>
      <c r="Z19" s="22">
        <f>IFERROR(__xludf.DUMMYFUNCTION("IFERROR(GOOGLEFINANCE(A19,""volume""),"""")"),846.0)</f>
        <v>846</v>
      </c>
      <c r="AA19" s="24" t="str">
        <f>VLOOKUP(A19,Metrik!$C$2:$Y$959,5,0)</f>
        <v>Specialty Retail</v>
      </c>
      <c r="AB19" s="24" t="str">
        <f>VLOOKUP(A19,Metrik!$C$2:$Y$959,3,0)</f>
        <v>Consumer Cyclicals</v>
      </c>
    </row>
    <row r="20">
      <c r="A20" s="14" t="s">
        <v>46</v>
      </c>
      <c r="B20" s="14" t="str">
        <f t="array" ref="B20">VLOOKUP(A20,{Metrik!$C$2:$C$998,Metrik!$B$2:$B$998},2,0)</f>
        <v>Aspirasi Hidup Indonesia Tbk.</v>
      </c>
      <c r="C20" s="15">
        <f>IFERROR(__xludf.DUMMYFUNCTION("GOOGLEFINANCE(""IDX:""&amp;A20,""price"")"),356.0)</f>
        <v>356</v>
      </c>
      <c r="D20" s="16" t="str">
        <f>IFERROR(__xludf.DUMMYFUNCTION("IF(A20="""","""",
SPARKLINE(
INDEX(
GOOGLEFINANCE(""IDX:""&amp;A20,""close"",TODAY()-365,TODAY()),
,2
),
{""linewidth"",1}
))
"),"#N/A")</f>
        <v>#N/A</v>
      </c>
      <c r="E20" s="14" t="s">
        <v>52</v>
      </c>
      <c r="F20" s="27" t="s">
        <v>53</v>
      </c>
      <c r="G20" s="18">
        <f t="shared" si="1"/>
        <v>11</v>
      </c>
      <c r="H20" s="19">
        <f>VLOOKUP(A20,Metrik!$C$2:$Y$959,8,0)</f>
        <v>8.6</v>
      </c>
      <c r="I20" s="20">
        <f>VLOOKUP(A20,Metrik!$C$2:$Y$959,9,0)</f>
        <v>0.88</v>
      </c>
      <c r="J20" s="20">
        <f>VLOOKUP(A20,Metrik!$C$2:$Y$959,10,0)</f>
        <v>10.2</v>
      </c>
      <c r="K20" s="20">
        <f>VLOOKUP(A20,Metrik!$C$2:$Y$959,11,0)</f>
        <v>8</v>
      </c>
      <c r="L20" s="20">
        <f>VLOOKUP(A20,Metrik!$C$2:$Y$959,12,0)</f>
        <v>0.28</v>
      </c>
      <c r="M20" s="20">
        <f>VLOOKUP(A20,Metrik!$C$2:$Y$959,19,0)</f>
        <v>29.4</v>
      </c>
      <c r="N20" s="21"/>
      <c r="O20" s="21"/>
      <c r="P20" s="21"/>
      <c r="Q20" s="21"/>
      <c r="R20" s="21"/>
      <c r="S20" s="21"/>
      <c r="T20" s="21"/>
      <c r="U20" s="22">
        <f>IFERROR(__xludf.DUMMYFUNCTION("IFERROR(GOOGLEFINANCE(A20,""closeyest""),"""")"),36.5)</f>
        <v>36.5</v>
      </c>
      <c r="V20" s="23">
        <f>IFERROR(__xludf.DUMMYFUNCTION("IFERROR(GOOGLEFINANCE(A20,""changepct""),"""")"),1.12)</f>
        <v>1.12</v>
      </c>
      <c r="W20" s="22">
        <f>IFERROR(__xludf.DUMMYFUNCTION("IFERROR(GOOGLEFINANCE(A20,""priceopen""),"""")"),36.6)</f>
        <v>36.6</v>
      </c>
      <c r="X20" s="22">
        <f>IFERROR(__xludf.DUMMYFUNCTION("IFERROR(GOOGLEFINANCE(A20,""high""),"""")"),36.98)</f>
        <v>36.98</v>
      </c>
      <c r="Y20" s="22">
        <f>IFERROR(__xludf.DUMMYFUNCTION("IFERROR(GOOGLEFINANCE(A20,""low""),"""")"),36.6)</f>
        <v>36.6</v>
      </c>
      <c r="Z20" s="22">
        <f>IFERROR(__xludf.DUMMYFUNCTION("IFERROR(GOOGLEFINANCE(A20,""volume""),"""")"),846.0)</f>
        <v>846</v>
      </c>
      <c r="AA20" s="24" t="str">
        <f>VLOOKUP(A20,Metrik!$C$2:$Y$959,5,0)</f>
        <v>Specialty Retail</v>
      </c>
      <c r="AB20" s="24" t="str">
        <f>VLOOKUP(A20,Metrik!$C$2:$Y$959,3,0)</f>
        <v>Consumer Cyclicals</v>
      </c>
    </row>
    <row r="21">
      <c r="A21" s="14" t="s">
        <v>46</v>
      </c>
      <c r="B21" s="14" t="str">
        <f t="array" ref="B21">VLOOKUP(A21,{Metrik!$C$2:$C$998,Metrik!$B$2:$B$998},2,0)</f>
        <v>Aspirasi Hidup Indonesia Tbk.</v>
      </c>
      <c r="C21" s="15">
        <f>IFERROR(__xludf.DUMMYFUNCTION("GOOGLEFINANCE(""IDX:""&amp;A21,""price"")"),356.0)</f>
        <v>356</v>
      </c>
      <c r="D21" s="16" t="str">
        <f>IFERROR(__xludf.DUMMYFUNCTION("IF(A21="""","""",
SPARKLINE(
INDEX(
GOOGLEFINANCE(""IDX:""&amp;A21,""close"",TODAY()-365,TODAY()),
,2
),
{""linewidth"",1}
))
"),"#N/A")</f>
        <v>#N/A</v>
      </c>
      <c r="E21" s="14" t="s">
        <v>32</v>
      </c>
      <c r="F21" s="14" t="s">
        <v>29</v>
      </c>
      <c r="G21" s="18">
        <f t="shared" si="1"/>
        <v>11</v>
      </c>
      <c r="H21" s="19">
        <f>VLOOKUP(A21,Metrik!$C$2:$Y$959,8,0)</f>
        <v>8.6</v>
      </c>
      <c r="I21" s="20">
        <f>VLOOKUP(A21,Metrik!$C$2:$Y$959,9,0)</f>
        <v>0.88</v>
      </c>
      <c r="J21" s="20">
        <f>VLOOKUP(A21,Metrik!$C$2:$Y$959,10,0)</f>
        <v>10.2</v>
      </c>
      <c r="K21" s="20">
        <f>VLOOKUP(A21,Metrik!$C$2:$Y$959,11,0)</f>
        <v>8</v>
      </c>
      <c r="L21" s="20">
        <f>VLOOKUP(A21,Metrik!$C$2:$Y$959,12,0)</f>
        <v>0.28</v>
      </c>
      <c r="M21" s="20">
        <f>VLOOKUP(A21,Metrik!$C$2:$Y$959,19,0)</f>
        <v>29.4</v>
      </c>
      <c r="N21" s="21"/>
      <c r="O21" s="21"/>
      <c r="P21" s="21"/>
      <c r="Q21" s="21"/>
      <c r="R21" s="21"/>
      <c r="S21" s="21"/>
      <c r="T21" s="21"/>
      <c r="U21" s="22">
        <f>IFERROR(__xludf.DUMMYFUNCTION("IFERROR(GOOGLEFINANCE(A21,""closeyest""),"""")"),36.5)</f>
        <v>36.5</v>
      </c>
      <c r="V21" s="23">
        <f>IFERROR(__xludf.DUMMYFUNCTION("IFERROR(GOOGLEFINANCE(A21,""changepct""),"""")"),1.12)</f>
        <v>1.12</v>
      </c>
      <c r="W21" s="22">
        <f>IFERROR(__xludf.DUMMYFUNCTION("IFERROR(GOOGLEFINANCE(A21,""priceopen""),"""")"),36.6)</f>
        <v>36.6</v>
      </c>
      <c r="X21" s="22">
        <f>IFERROR(__xludf.DUMMYFUNCTION("IFERROR(GOOGLEFINANCE(A21,""high""),"""")"),36.98)</f>
        <v>36.98</v>
      </c>
      <c r="Y21" s="22">
        <f>IFERROR(__xludf.DUMMYFUNCTION("IFERROR(GOOGLEFINANCE(A21,""low""),"""")"),36.6)</f>
        <v>36.6</v>
      </c>
      <c r="Z21" s="22">
        <f>IFERROR(__xludf.DUMMYFUNCTION("IFERROR(GOOGLEFINANCE(A21,""volume""),"""")"),846.0)</f>
        <v>846</v>
      </c>
      <c r="AA21" s="24" t="str">
        <f>VLOOKUP(A21,Metrik!$C$2:$Y$959,5,0)</f>
        <v>Specialty Retail</v>
      </c>
      <c r="AB21" s="24" t="str">
        <f>VLOOKUP(A21,Metrik!$C$2:$Y$959,3,0)</f>
        <v>Consumer Cyclicals</v>
      </c>
    </row>
    <row r="22">
      <c r="A22" s="14" t="s">
        <v>46</v>
      </c>
      <c r="B22" s="14" t="str">
        <f t="array" ref="B22">VLOOKUP(A22,{Metrik!$C$2:$C$998,Metrik!$B$2:$B$998},2,0)</f>
        <v>Aspirasi Hidup Indonesia Tbk.</v>
      </c>
      <c r="C22" s="15">
        <f>IFERROR(__xludf.DUMMYFUNCTION("GOOGLEFINANCE(""IDX:""&amp;A22,""price"")"),356.0)</f>
        <v>356</v>
      </c>
      <c r="D22" s="16" t="str">
        <f>IFERROR(__xludf.DUMMYFUNCTION("IF(A22="""","""",
SPARKLINE(
INDEX(
GOOGLEFINANCE(""IDX:""&amp;A22,""close"",TODAY()-365,TODAY()),
,2
),
{""linewidth"",1}
))
"),"#N/A")</f>
        <v>#N/A</v>
      </c>
      <c r="E22" s="14" t="s">
        <v>54</v>
      </c>
      <c r="F22" s="14" t="s">
        <v>34</v>
      </c>
      <c r="G22" s="18">
        <f t="shared" si="1"/>
        <v>11</v>
      </c>
      <c r="H22" s="19">
        <f>VLOOKUP(A22,Metrik!$C$2:$Y$959,8,0)</f>
        <v>8.6</v>
      </c>
      <c r="I22" s="20">
        <f>VLOOKUP(A22,Metrik!$C$2:$Y$959,9,0)</f>
        <v>0.88</v>
      </c>
      <c r="J22" s="20">
        <f>VLOOKUP(A22,Metrik!$C$2:$Y$959,10,0)</f>
        <v>10.2</v>
      </c>
      <c r="K22" s="20">
        <f>VLOOKUP(A22,Metrik!$C$2:$Y$959,11,0)</f>
        <v>8</v>
      </c>
      <c r="L22" s="20">
        <f>VLOOKUP(A22,Metrik!$C$2:$Y$959,12,0)</f>
        <v>0.28</v>
      </c>
      <c r="M22" s="20">
        <f>VLOOKUP(A22,Metrik!$C$2:$Y$959,19,0)</f>
        <v>29.4</v>
      </c>
      <c r="N22" s="21"/>
      <c r="O22" s="21"/>
      <c r="P22" s="21"/>
      <c r="Q22" s="21"/>
      <c r="R22" s="21"/>
      <c r="S22" s="21"/>
      <c r="T22" s="21"/>
      <c r="U22" s="22">
        <f>IFERROR(__xludf.DUMMYFUNCTION("IFERROR(GOOGLEFINANCE(A22,""closeyest""),"""")"),36.5)</f>
        <v>36.5</v>
      </c>
      <c r="V22" s="23">
        <f>IFERROR(__xludf.DUMMYFUNCTION("IFERROR(GOOGLEFINANCE(A22,""changepct""),"""")"),1.12)</f>
        <v>1.12</v>
      </c>
      <c r="W22" s="22">
        <f>IFERROR(__xludf.DUMMYFUNCTION("IFERROR(GOOGLEFINANCE(A22,""priceopen""),"""")"),36.6)</f>
        <v>36.6</v>
      </c>
      <c r="X22" s="22">
        <f>IFERROR(__xludf.DUMMYFUNCTION("IFERROR(GOOGLEFINANCE(A22,""high""),"""")"),36.98)</f>
        <v>36.98</v>
      </c>
      <c r="Y22" s="22">
        <f>IFERROR(__xludf.DUMMYFUNCTION("IFERROR(GOOGLEFINANCE(A22,""low""),"""")"),36.6)</f>
        <v>36.6</v>
      </c>
      <c r="Z22" s="22">
        <f>IFERROR(__xludf.DUMMYFUNCTION("IFERROR(GOOGLEFINANCE(A22,""volume""),"""")"),846.0)</f>
        <v>846</v>
      </c>
      <c r="AA22" s="24" t="str">
        <f>VLOOKUP(A22,Metrik!$C$2:$Y$959,5,0)</f>
        <v>Specialty Retail</v>
      </c>
      <c r="AB22" s="24" t="str">
        <f>VLOOKUP(A22,Metrik!$C$2:$Y$959,3,0)</f>
        <v>Consumer Cyclicals</v>
      </c>
    </row>
    <row r="23">
      <c r="A23" s="14" t="s">
        <v>46</v>
      </c>
      <c r="B23" s="14" t="str">
        <f t="array" ref="B23">VLOOKUP(A23,{Metrik!$C$2:$C$998,Metrik!$B$2:$B$998},2,0)</f>
        <v>Aspirasi Hidup Indonesia Tbk.</v>
      </c>
      <c r="C23" s="15">
        <f>IFERROR(__xludf.DUMMYFUNCTION("GOOGLEFINANCE(""IDX:""&amp;A23,""price"")"),356.0)</f>
        <v>356</v>
      </c>
      <c r="D23" s="16" t="str">
        <f>IFERROR(__xludf.DUMMYFUNCTION("IF(A23="""","""",
SPARKLINE(
INDEX(
GOOGLEFINANCE(""IDX:""&amp;A23,""close"",TODAY()-365,TODAY()),
,2
),
{""linewidth"",1}
))
"),"#N/A")</f>
        <v>#N/A</v>
      </c>
      <c r="E23" s="14" t="s">
        <v>41</v>
      </c>
      <c r="F23" s="14" t="s">
        <v>34</v>
      </c>
      <c r="G23" s="18">
        <f t="shared" si="1"/>
        <v>11</v>
      </c>
      <c r="H23" s="19">
        <f>VLOOKUP(A23,Metrik!$C$2:$Y$959,8,0)</f>
        <v>8.6</v>
      </c>
      <c r="I23" s="20">
        <f>VLOOKUP(A23,Metrik!$C$2:$Y$959,9,0)</f>
        <v>0.88</v>
      </c>
      <c r="J23" s="20">
        <f>VLOOKUP(A23,Metrik!$C$2:$Y$959,10,0)</f>
        <v>10.2</v>
      </c>
      <c r="K23" s="20">
        <f>VLOOKUP(A23,Metrik!$C$2:$Y$959,11,0)</f>
        <v>8</v>
      </c>
      <c r="L23" s="20">
        <f>VLOOKUP(A23,Metrik!$C$2:$Y$959,12,0)</f>
        <v>0.28</v>
      </c>
      <c r="M23" s="20">
        <f>VLOOKUP(A23,Metrik!$C$2:$Y$959,19,0)</f>
        <v>29.4</v>
      </c>
      <c r="N23" s="21"/>
      <c r="O23" s="21"/>
      <c r="P23" s="21"/>
      <c r="Q23" s="21"/>
      <c r="R23" s="21"/>
      <c r="S23" s="21"/>
      <c r="T23" s="21"/>
      <c r="U23" s="22">
        <f>IFERROR(__xludf.DUMMYFUNCTION("IFERROR(GOOGLEFINANCE(A23,""closeyest""),"""")"),36.5)</f>
        <v>36.5</v>
      </c>
      <c r="V23" s="23">
        <f>IFERROR(__xludf.DUMMYFUNCTION("IFERROR(GOOGLEFINANCE(A23,""changepct""),"""")"),1.12)</f>
        <v>1.12</v>
      </c>
      <c r="W23" s="22">
        <f>IFERROR(__xludf.DUMMYFUNCTION("IFERROR(GOOGLEFINANCE(A23,""priceopen""),"""")"),36.6)</f>
        <v>36.6</v>
      </c>
      <c r="X23" s="22">
        <f>IFERROR(__xludf.DUMMYFUNCTION("IFERROR(GOOGLEFINANCE(A23,""high""),"""")"),36.98)</f>
        <v>36.98</v>
      </c>
      <c r="Y23" s="22">
        <f>IFERROR(__xludf.DUMMYFUNCTION("IFERROR(GOOGLEFINANCE(A23,""low""),"""")"),36.6)</f>
        <v>36.6</v>
      </c>
      <c r="Z23" s="22">
        <f>IFERROR(__xludf.DUMMYFUNCTION("IFERROR(GOOGLEFINANCE(A23,""volume""),"""")"),846.0)</f>
        <v>846</v>
      </c>
      <c r="AA23" s="24" t="str">
        <f>VLOOKUP(A23,Metrik!$C$2:$Y$959,5,0)</f>
        <v>Specialty Retail</v>
      </c>
      <c r="AB23" s="24" t="str">
        <f>VLOOKUP(A23,Metrik!$C$2:$Y$959,3,0)</f>
        <v>Consumer Cyclicals</v>
      </c>
    </row>
    <row r="24">
      <c r="A24" s="14" t="s">
        <v>46</v>
      </c>
      <c r="B24" s="14" t="str">
        <f t="array" ref="B24">VLOOKUP(A24,{Metrik!$C$2:$C$998,Metrik!$B$2:$B$998},2,0)</f>
        <v>Aspirasi Hidup Indonesia Tbk.</v>
      </c>
      <c r="C24" s="15">
        <f>IFERROR(__xludf.DUMMYFUNCTION("GOOGLEFINANCE(""IDX:""&amp;A24,""price"")"),356.0)</f>
        <v>356</v>
      </c>
      <c r="D24" s="16" t="str">
        <f>IFERROR(__xludf.DUMMYFUNCTION("IF(A24="""","""",
SPARKLINE(
INDEX(
GOOGLEFINANCE(""IDX:""&amp;A24,""close"",TODAY()-365,TODAY()),
,2
),
{""linewidth"",1}
))
"),"#N/A")</f>
        <v>#N/A</v>
      </c>
      <c r="E24" s="14" t="s">
        <v>33</v>
      </c>
      <c r="F24" s="14" t="s">
        <v>34</v>
      </c>
      <c r="G24" s="18">
        <f t="shared" si="1"/>
        <v>11</v>
      </c>
      <c r="H24" s="19">
        <f>VLOOKUP(A24,Metrik!$C$2:$Y$959,8,0)</f>
        <v>8.6</v>
      </c>
      <c r="I24" s="20">
        <f>VLOOKUP(A24,Metrik!$C$2:$Y$959,9,0)</f>
        <v>0.88</v>
      </c>
      <c r="J24" s="20">
        <f>VLOOKUP(A24,Metrik!$C$2:$Y$959,10,0)</f>
        <v>10.2</v>
      </c>
      <c r="K24" s="20">
        <f>VLOOKUP(A24,Metrik!$C$2:$Y$959,11,0)</f>
        <v>8</v>
      </c>
      <c r="L24" s="20">
        <f>VLOOKUP(A24,Metrik!$C$2:$Y$959,12,0)</f>
        <v>0.28</v>
      </c>
      <c r="M24" s="20">
        <f>VLOOKUP(A24,Metrik!$C$2:$Y$959,19,0)</f>
        <v>29.4</v>
      </c>
      <c r="N24" s="21"/>
      <c r="O24" s="21"/>
      <c r="P24" s="21"/>
      <c r="Q24" s="21"/>
      <c r="R24" s="21"/>
      <c r="S24" s="21"/>
      <c r="T24" s="21"/>
      <c r="U24" s="22">
        <f>IFERROR(__xludf.DUMMYFUNCTION("IFERROR(GOOGLEFINANCE(A24,""closeyest""),"""")"),36.5)</f>
        <v>36.5</v>
      </c>
      <c r="V24" s="23">
        <f>IFERROR(__xludf.DUMMYFUNCTION("IFERROR(GOOGLEFINANCE(A24,""changepct""),"""")"),1.12)</f>
        <v>1.12</v>
      </c>
      <c r="W24" s="22">
        <f>IFERROR(__xludf.DUMMYFUNCTION("IFERROR(GOOGLEFINANCE(A24,""priceopen""),"""")"),36.6)</f>
        <v>36.6</v>
      </c>
      <c r="X24" s="22">
        <f>IFERROR(__xludf.DUMMYFUNCTION("IFERROR(GOOGLEFINANCE(A24,""high""),"""")"),36.98)</f>
        <v>36.98</v>
      </c>
      <c r="Y24" s="22">
        <f>IFERROR(__xludf.DUMMYFUNCTION("IFERROR(GOOGLEFINANCE(A24,""low""),"""")"),36.6)</f>
        <v>36.6</v>
      </c>
      <c r="Z24" s="22">
        <f>IFERROR(__xludf.DUMMYFUNCTION("IFERROR(GOOGLEFINANCE(A24,""volume""),"""")"),846.0)</f>
        <v>846</v>
      </c>
      <c r="AA24" s="24" t="str">
        <f>VLOOKUP(A24,Metrik!$C$2:$Y$959,5,0)</f>
        <v>Specialty Retail</v>
      </c>
      <c r="AB24" s="24" t="str">
        <f>VLOOKUP(A24,Metrik!$C$2:$Y$959,3,0)</f>
        <v>Consumer Cyclicals</v>
      </c>
    </row>
    <row r="25">
      <c r="A25" s="17" t="s">
        <v>46</v>
      </c>
      <c r="B25" s="14" t="str">
        <f t="array" ref="B25">VLOOKUP(A25,{Metrik!$C$2:$C$998,Metrik!$B$2:$B$998},2,0)</f>
        <v>Aspirasi Hidup Indonesia Tbk.</v>
      </c>
      <c r="C25" s="15">
        <f>IFERROR(__xludf.DUMMYFUNCTION("GOOGLEFINANCE(""IDX:""&amp;A25,""price"")"),356.0)</f>
        <v>356</v>
      </c>
      <c r="D25" s="16" t="str">
        <f>IFERROR(__xludf.DUMMYFUNCTION("IF(A25="""","""",
SPARKLINE(
INDEX(
GOOGLEFINANCE(""IDX:""&amp;A25,""close"",TODAY()-365,TODAY()),
,2
),
{""linewidth"",1}
))
"),"#N/A")</f>
        <v>#N/A</v>
      </c>
      <c r="E25" s="14" t="s">
        <v>55</v>
      </c>
      <c r="F25" s="25">
        <v>46356.0</v>
      </c>
      <c r="G25" s="18">
        <f t="shared" si="1"/>
        <v>11</v>
      </c>
      <c r="H25" s="19">
        <f>VLOOKUP(A25,Metrik!$C$2:$Y$959,8,0)</f>
        <v>8.6</v>
      </c>
      <c r="I25" s="20">
        <f>VLOOKUP(A25,Metrik!$C$2:$Y$959,9,0)</f>
        <v>0.88</v>
      </c>
      <c r="J25" s="20">
        <f>VLOOKUP(A25,Metrik!$C$2:$Y$959,10,0)</f>
        <v>10.2</v>
      </c>
      <c r="K25" s="20">
        <f>VLOOKUP(A25,Metrik!$C$2:$Y$959,11,0)</f>
        <v>8</v>
      </c>
      <c r="L25" s="20">
        <f>VLOOKUP(A25,Metrik!$C$2:$Y$959,12,0)</f>
        <v>0.28</v>
      </c>
      <c r="M25" s="20">
        <f>VLOOKUP(A25,Metrik!$C$2:$Y$959,19,0)</f>
        <v>29.4</v>
      </c>
      <c r="N25" s="21"/>
      <c r="O25" s="21"/>
      <c r="P25" s="21"/>
      <c r="Q25" s="21"/>
      <c r="R25" s="21"/>
      <c r="S25" s="21"/>
      <c r="T25" s="21"/>
      <c r="U25" s="22">
        <f>IFERROR(__xludf.DUMMYFUNCTION("IFERROR(GOOGLEFINANCE(A25,""closeyest""),"""")"),36.5)</f>
        <v>36.5</v>
      </c>
      <c r="V25" s="23">
        <f>IFERROR(__xludf.DUMMYFUNCTION("IFERROR(GOOGLEFINANCE(A25,""changepct""),"""")"),1.12)</f>
        <v>1.12</v>
      </c>
      <c r="W25" s="22">
        <f>IFERROR(__xludf.DUMMYFUNCTION("IFERROR(GOOGLEFINANCE(A25,""priceopen""),"""")"),36.6)</f>
        <v>36.6</v>
      </c>
      <c r="X25" s="22">
        <f>IFERROR(__xludf.DUMMYFUNCTION("IFERROR(GOOGLEFINANCE(A25,""high""),"""")"),36.98)</f>
        <v>36.98</v>
      </c>
      <c r="Y25" s="22">
        <f>IFERROR(__xludf.DUMMYFUNCTION("IFERROR(GOOGLEFINANCE(A25,""low""),"""")"),36.6)</f>
        <v>36.6</v>
      </c>
      <c r="Z25" s="22">
        <f>IFERROR(__xludf.DUMMYFUNCTION("IFERROR(GOOGLEFINANCE(A25,""volume""),"""")"),846.0)</f>
        <v>846</v>
      </c>
      <c r="AA25" s="24" t="str">
        <f>VLOOKUP(A25,Metrik!$C$2:$Y$959,5,0)</f>
        <v>Specialty Retail</v>
      </c>
      <c r="AB25" s="24" t="str">
        <f>VLOOKUP(A25,Metrik!$C$2:$Y$959,3,0)</f>
        <v>Consumer Cyclicals</v>
      </c>
    </row>
    <row r="26">
      <c r="A26" s="14" t="s">
        <v>46</v>
      </c>
      <c r="B26" s="14" t="str">
        <f t="array" ref="B26">VLOOKUP(A26,{Metrik!$C$2:$C$998,Metrik!$B$2:$B$998},2,0)</f>
        <v>Aspirasi Hidup Indonesia Tbk.</v>
      </c>
      <c r="C26" s="15">
        <f>IFERROR(__xludf.DUMMYFUNCTION("GOOGLEFINANCE(""IDX:""&amp;A26,""price"")"),356.0)</f>
        <v>356</v>
      </c>
      <c r="D26" s="16" t="str">
        <f>IFERROR(__xludf.DUMMYFUNCTION("IF(A26="""","""",
SPARKLINE(
INDEX(
GOOGLEFINANCE(""IDX:""&amp;A26,""close"",TODAY()-365,TODAY()),
,2
),
{""linewidth"",1}
))
"),"#N/A")</f>
        <v>#N/A</v>
      </c>
      <c r="E26" s="14" t="s">
        <v>39</v>
      </c>
      <c r="F26" s="25">
        <v>46356.0</v>
      </c>
      <c r="G26" s="18">
        <f t="shared" si="1"/>
        <v>11</v>
      </c>
      <c r="H26" s="19">
        <f>VLOOKUP(A26,Metrik!$C$2:$Y$959,8,0)</f>
        <v>8.6</v>
      </c>
      <c r="I26" s="20">
        <f>VLOOKUP(A26,Metrik!$C$2:$Y$959,9,0)</f>
        <v>0.88</v>
      </c>
      <c r="J26" s="20">
        <f>VLOOKUP(A26,Metrik!$C$2:$Y$959,10,0)</f>
        <v>10.2</v>
      </c>
      <c r="K26" s="20">
        <f>VLOOKUP(A26,Metrik!$C$2:$Y$959,11,0)</f>
        <v>8</v>
      </c>
      <c r="L26" s="20">
        <f>VLOOKUP(A26,Metrik!$C$2:$Y$959,12,0)</f>
        <v>0.28</v>
      </c>
      <c r="M26" s="20">
        <f>VLOOKUP(A26,Metrik!$C$2:$Y$959,19,0)</f>
        <v>29.4</v>
      </c>
      <c r="N26" s="21"/>
      <c r="O26" s="21"/>
      <c r="P26" s="21"/>
      <c r="Q26" s="21"/>
      <c r="R26" s="21"/>
      <c r="S26" s="21"/>
      <c r="T26" s="21"/>
      <c r="U26" s="22">
        <f>IFERROR(__xludf.DUMMYFUNCTION("IFERROR(GOOGLEFINANCE(A26,""closeyest""),"""")"),36.5)</f>
        <v>36.5</v>
      </c>
      <c r="V26" s="23">
        <f>IFERROR(__xludf.DUMMYFUNCTION("IFERROR(GOOGLEFINANCE(A26,""changepct""),"""")"),1.12)</f>
        <v>1.12</v>
      </c>
      <c r="W26" s="22">
        <f>IFERROR(__xludf.DUMMYFUNCTION("IFERROR(GOOGLEFINANCE(A26,""priceopen""),"""")"),36.6)</f>
        <v>36.6</v>
      </c>
      <c r="X26" s="22">
        <f>IFERROR(__xludf.DUMMYFUNCTION("IFERROR(GOOGLEFINANCE(A26,""high""),"""")"),36.98)</f>
        <v>36.98</v>
      </c>
      <c r="Y26" s="22">
        <f>IFERROR(__xludf.DUMMYFUNCTION("IFERROR(GOOGLEFINANCE(A26,""low""),"""")"),36.6)</f>
        <v>36.6</v>
      </c>
      <c r="Z26" s="22">
        <f>IFERROR(__xludf.DUMMYFUNCTION("IFERROR(GOOGLEFINANCE(A26,""volume""),"""")"),846.0)</f>
        <v>846</v>
      </c>
      <c r="AA26" s="24" t="str">
        <f>VLOOKUP(A26,Metrik!$C$2:$Y$959,5,0)</f>
        <v>Specialty Retail</v>
      </c>
      <c r="AB26" s="24" t="str">
        <f>VLOOKUP(A26,Metrik!$C$2:$Y$959,3,0)</f>
        <v>Consumer Cyclicals</v>
      </c>
    </row>
    <row r="27">
      <c r="A27" s="14" t="s">
        <v>56</v>
      </c>
      <c r="B27" s="14" t="str">
        <f t="array" ref="B27">VLOOKUP(A27,{Metrik!$C$2:$C$998,Metrik!$B$2:$B$998},2,0)</f>
        <v>Samcro Hyosung Adilestari Tbk.</v>
      </c>
      <c r="C27" s="15">
        <f>IFERROR(__xludf.DUMMYFUNCTION("GOOGLEFINANCE(""IDX:""&amp;A27,""price"")"),61.0)</f>
        <v>61</v>
      </c>
      <c r="D27" s="16" t="str">
        <f>IFERROR(__xludf.DUMMYFUNCTION("IF(A27="""","""",
SPARKLINE(
INDEX(
GOOGLEFINANCE(""IDX:""&amp;A27,""close"",TODAY()-365,TODAY()),
,2
),
{""linewidth"",1}
))
"),"#N/A")</f>
        <v>#N/A</v>
      </c>
      <c r="F27" s="26"/>
      <c r="G27" s="24">
        <f t="shared" si="1"/>
        <v>0</v>
      </c>
      <c r="H27" s="19">
        <f>VLOOKUP(A27,Metrik!$C$2:$Y$959,8,0)</f>
        <v>26.8</v>
      </c>
      <c r="I27" s="20">
        <f>VLOOKUP(A27,Metrik!$C$2:$Y$959,9,0)</f>
        <v>1.2</v>
      </c>
      <c r="J27" s="20">
        <f>VLOOKUP(A27,Metrik!$C$2:$Y$959,10,0)</f>
        <v>4.6</v>
      </c>
      <c r="K27" s="20">
        <f>VLOOKUP(A27,Metrik!$C$2:$Y$959,11,0)</f>
        <v>3.5</v>
      </c>
      <c r="L27" s="20">
        <f>VLOOKUP(A27,Metrik!$C$2:$Y$959,12,0)</f>
        <v>0.29</v>
      </c>
      <c r="M27" s="20">
        <f>VLOOKUP(A27,Metrik!$C$2:$Y$959,19,0)</f>
        <v>70.6</v>
      </c>
      <c r="N27" s="21"/>
      <c r="O27" s="21"/>
      <c r="P27" s="21"/>
      <c r="Q27" s="21"/>
      <c r="R27" s="21"/>
      <c r="S27" s="21"/>
      <c r="T27" s="21"/>
      <c r="U27" s="22">
        <f>IFERROR(__xludf.DUMMYFUNCTION("IFERROR(GOOGLEFINANCE(A27,""closeyest""),"""")"),60.0)</f>
        <v>60</v>
      </c>
      <c r="V27" s="23">
        <f>IFERROR(__xludf.DUMMYFUNCTION("IFERROR(GOOGLEFINANCE(A27,""changepct""),"""")"),1.67)</f>
        <v>1.67</v>
      </c>
      <c r="W27" s="22">
        <f>IFERROR(__xludf.DUMMYFUNCTION("IFERROR(GOOGLEFINANCE(A27,""priceopen""),"""")"),60.0)</f>
        <v>60</v>
      </c>
      <c r="X27" s="22">
        <f>IFERROR(__xludf.DUMMYFUNCTION("IFERROR(GOOGLEFINANCE(A27,""high""),"""")"),65.0)</f>
        <v>65</v>
      </c>
      <c r="Y27" s="22">
        <f>IFERROR(__xludf.DUMMYFUNCTION("IFERROR(GOOGLEFINANCE(A27,""low""),"""")"),60.0)</f>
        <v>60</v>
      </c>
      <c r="Z27" s="22">
        <f>IFERROR(__xludf.DUMMYFUNCTION("IFERROR(GOOGLEFINANCE(A27,""volume""),"""")"),3937300.0)</f>
        <v>3937300</v>
      </c>
      <c r="AA27" s="24" t="str">
        <f>VLOOKUP(A27,Metrik!$C$2:$Y$959,5,0)</f>
        <v>Apparel &amp; Luxury Goods</v>
      </c>
      <c r="AB27" s="24" t="str">
        <f>VLOOKUP(A27,Metrik!$C$2:$Y$959,3,0)</f>
        <v>Consumer Cyclicals</v>
      </c>
    </row>
    <row r="28">
      <c r="A28" s="14" t="s">
        <v>57</v>
      </c>
      <c r="B28" s="14" t="str">
        <f t="array" ref="B28">VLOOKUP(A28,{Metrik!$C$2:$C$998,Metrik!$B$2:$B$998},2,0)</f>
        <v>PT Acset Indonusa Tbk.</v>
      </c>
      <c r="C28" s="15">
        <f>IFERROR(__xludf.DUMMYFUNCTION("GOOGLEFINANCE(""IDX:""&amp;A28,""price"")"),71.0)</f>
        <v>71</v>
      </c>
      <c r="D28" s="16" t="str">
        <f>IFERROR(__xludf.DUMMYFUNCTION("IF(A28="""","""",
SPARKLINE(
INDEX(
GOOGLEFINANCE(""IDX:""&amp;A28,""close"",TODAY()-365,TODAY()),
,2
),
{""linewidth"",1}
))
"),"#N/A")</f>
        <v>#N/A</v>
      </c>
      <c r="E28" s="26"/>
      <c r="F28" s="26"/>
      <c r="G28" s="24">
        <f t="shared" si="1"/>
        <v>0</v>
      </c>
      <c r="H28" s="19">
        <f>VLOOKUP(A28,Metrik!$C$2:$Y$959,8,0)</f>
        <v>-2.1</v>
      </c>
      <c r="I28" s="20">
        <f>VLOOKUP(A28,Metrik!$C$2:$Y$959,9,0)</f>
        <v>-4.4</v>
      </c>
      <c r="J28" s="20">
        <f>VLOOKUP(A28,Metrik!$C$2:$Y$959,10,0)</f>
        <v>0</v>
      </c>
      <c r="K28" s="20">
        <f>VLOOKUP(A28,Metrik!$C$2:$Y$959,11,0)</f>
        <v>-23.3</v>
      </c>
      <c r="L28" s="20">
        <f>VLOOKUP(A28,Metrik!$C$2:$Y$959,12,0)</f>
        <v>-9.9</v>
      </c>
      <c r="M28" s="20">
        <f>VLOOKUP(A28,Metrik!$C$2:$Y$959,19,0)</f>
        <v>-150</v>
      </c>
      <c r="N28" s="21"/>
      <c r="O28" s="21"/>
      <c r="P28" s="21"/>
      <c r="Q28" s="21"/>
      <c r="R28" s="21"/>
      <c r="S28" s="21"/>
      <c r="T28" s="21"/>
      <c r="U28" s="22">
        <f>IFERROR(__xludf.DUMMYFUNCTION("IFERROR(GOOGLEFINANCE(A28,""closeyest""),"""")"),70.0)</f>
        <v>70</v>
      </c>
      <c r="V28" s="23">
        <f>IFERROR(__xludf.DUMMYFUNCTION("IFERROR(GOOGLEFINANCE(A28,""changepct""),"""")"),1.43)</f>
        <v>1.43</v>
      </c>
      <c r="W28" s="22">
        <f>IFERROR(__xludf.DUMMYFUNCTION("IFERROR(GOOGLEFINANCE(A28,""priceopen""),"""")"),70.0)</f>
        <v>70</v>
      </c>
      <c r="X28" s="22">
        <f>IFERROR(__xludf.DUMMYFUNCTION("IFERROR(GOOGLEFINANCE(A28,""high""),"""")"),71.0)</f>
        <v>71</v>
      </c>
      <c r="Y28" s="22">
        <f>IFERROR(__xludf.DUMMYFUNCTION("IFERROR(GOOGLEFINANCE(A28,""low""),"""")"),70.0)</f>
        <v>70</v>
      </c>
      <c r="Z28" s="22">
        <f>IFERROR(__xludf.DUMMYFUNCTION("IFERROR(GOOGLEFINANCE(A28,""volume""),"""")"),173800.0)</f>
        <v>173800</v>
      </c>
      <c r="AA28" s="24" t="str">
        <f>VLOOKUP(A28,Metrik!$C$2:$Y$959,5,0)</f>
        <v>Heavy Constructions &amp; Civil Engineering</v>
      </c>
      <c r="AB28" s="24" t="str">
        <f>VLOOKUP(A28,Metrik!$C$2:$Y$959,3,0)</f>
        <v>Infrastructures</v>
      </c>
    </row>
    <row r="29">
      <c r="A29" s="14" t="s">
        <v>58</v>
      </c>
      <c r="B29" s="14" t="str">
        <f t="array" ref="B29">VLOOKUP(A29,{Metrik!$C$2:$C$998,Metrik!$B$2:$B$998},2,0)</f>
        <v>Adhi Commuter Properti Tbk.</v>
      </c>
      <c r="C29" s="15">
        <f>IFERROR(__xludf.DUMMYFUNCTION("GOOGLEFINANCE(""IDX:""&amp;A29,""price"")"),50.0)</f>
        <v>50</v>
      </c>
      <c r="D29" s="16" t="str">
        <f>IFERROR(__xludf.DUMMYFUNCTION("IF(A29="""","""",
SPARKLINE(
INDEX(
GOOGLEFINANCE(""IDX:""&amp;A29,""close"",TODAY()-365,TODAY()),
,2
),
{""linewidth"",1}
))
"),"#N/A")</f>
        <v>#N/A</v>
      </c>
      <c r="E29" s="26"/>
      <c r="F29" s="26"/>
      <c r="G29" s="24">
        <f t="shared" si="1"/>
        <v>0</v>
      </c>
      <c r="H29" s="19">
        <f>VLOOKUP(A29,Metrik!$C$2:$Y$959,8,0)</f>
        <v>-0.52</v>
      </c>
      <c r="I29" s="20">
        <f>VLOOKUP(A29,Metrik!$C$2:$Y$959,9,0)</f>
        <v>2.8</v>
      </c>
      <c r="J29" s="20">
        <f>VLOOKUP(A29,Metrik!$C$2:$Y$959,10,0)</f>
        <v>-540</v>
      </c>
      <c r="K29" s="20">
        <f>VLOOKUP(A29,Metrik!$C$2:$Y$959,11,0)</f>
        <v>-42.2</v>
      </c>
      <c r="L29" s="20">
        <f>VLOOKUP(A29,Metrik!$C$2:$Y$959,12,0)</f>
        <v>11.9</v>
      </c>
      <c r="M29" s="20">
        <f>VLOOKUP(A29,Metrik!$C$2:$Y$959,19,0)</f>
        <v>-5640</v>
      </c>
      <c r="N29" s="21"/>
      <c r="O29" s="21"/>
      <c r="P29" s="21"/>
      <c r="Q29" s="21"/>
      <c r="R29" s="21"/>
      <c r="S29" s="21"/>
      <c r="T29" s="21"/>
      <c r="U29" s="22">
        <f>IFERROR(__xludf.DUMMYFUNCTION("IFERROR(GOOGLEFINANCE(A29,""closeyest""),"""")"),50.0)</f>
        <v>50</v>
      </c>
      <c r="V29" s="23">
        <f>IFERROR(__xludf.DUMMYFUNCTION("IFERROR(GOOGLEFINANCE(A29,""changepct""),"""")"),0.0)</f>
        <v>0</v>
      </c>
      <c r="W29" s="22" t="str">
        <f>IFERROR(__xludf.DUMMYFUNCTION("IFERROR(GOOGLEFINANCE(A29,""priceopen""),"""")"),"")</f>
        <v/>
      </c>
      <c r="X29" s="22" t="str">
        <f>IFERROR(__xludf.DUMMYFUNCTION("IFERROR(GOOGLEFINANCE(A29,""high""),"""")"),"")</f>
        <v/>
      </c>
      <c r="Y29" s="22" t="str">
        <f>IFERROR(__xludf.DUMMYFUNCTION("IFERROR(GOOGLEFINANCE(A29,""low""),"""")"),"")</f>
        <v/>
      </c>
      <c r="Z29" s="22">
        <f>IFERROR(__xludf.DUMMYFUNCTION("IFERROR(GOOGLEFINANCE(A29,""volume""),"""")"),0.0)</f>
        <v>0</v>
      </c>
      <c r="AA29" s="24" t="str">
        <f>VLOOKUP(A29,Metrik!$C$2:$Y$959,5,0)</f>
        <v>Real Estate Management &amp; Development</v>
      </c>
      <c r="AB29" s="24" t="str">
        <f>VLOOKUP(A29,Metrik!$C$2:$Y$959,3,0)</f>
        <v>Properties &amp; Real Estate</v>
      </c>
    </row>
    <row r="30">
      <c r="A30" s="14" t="s">
        <v>59</v>
      </c>
      <c r="B30" s="14" t="str">
        <f t="array" ref="B30">VLOOKUP(A30,{Metrik!$C$2:$C$998,Metrik!$B$2:$B$998},2,0)</f>
        <v>Akasha Wira International Tbk.</v>
      </c>
      <c r="C30" s="15">
        <f>IFERROR(__xludf.DUMMYFUNCTION("GOOGLEFINANCE(""IDX:""&amp;A30,""price"")"),22000.0)</f>
        <v>22000</v>
      </c>
      <c r="D30" s="16" t="str">
        <f>IFERROR(__xludf.DUMMYFUNCTION("IF(A30="""","""",
SPARKLINE(
INDEX(
GOOGLEFINANCE(""IDX:""&amp;A30,""close"",TODAY()-365,TODAY()),
,2
),
{""linewidth"",1}
))
"),"#N/A")</f>
        <v>#N/A</v>
      </c>
      <c r="E30" s="26"/>
      <c r="F30" s="26"/>
      <c r="G30" s="24">
        <f t="shared" si="1"/>
        <v>0</v>
      </c>
      <c r="H30" s="19">
        <f>VLOOKUP(A30,Metrik!$C$2:$Y$959,8,0)</f>
        <v>14.6</v>
      </c>
      <c r="I30" s="20">
        <f>VLOOKUP(A30,Metrik!$C$2:$Y$959,9,0)</f>
        <v>3.8</v>
      </c>
      <c r="J30" s="20">
        <f>VLOOKUP(A30,Metrik!$C$2:$Y$959,10,0)</f>
        <v>26.1</v>
      </c>
      <c r="K30" s="20">
        <f>VLOOKUP(A30,Metrik!$C$2:$Y$959,11,0)</f>
        <v>21.6</v>
      </c>
      <c r="L30" s="20">
        <f>VLOOKUP(A30,Metrik!$C$2:$Y$959,12,0)</f>
        <v>0.21</v>
      </c>
      <c r="M30" s="20">
        <f>VLOOKUP(A30,Metrik!$C$2:$Y$959,19,0)</f>
        <v>90.3</v>
      </c>
      <c r="N30" s="21"/>
      <c r="O30" s="21"/>
      <c r="P30" s="21"/>
      <c r="Q30" s="21"/>
      <c r="R30" s="21"/>
      <c r="S30" s="21"/>
      <c r="T30" s="21"/>
      <c r="U30" s="22">
        <f>IFERROR(__xludf.DUMMYFUNCTION("IFERROR(GOOGLEFINANCE(A30,""closeyest""),"""")"),21900.0)</f>
        <v>21900</v>
      </c>
      <c r="V30" s="23">
        <f>IFERROR(__xludf.DUMMYFUNCTION("IFERROR(GOOGLEFINANCE(A30,""changepct""),"""")"),0.46)</f>
        <v>0.46</v>
      </c>
      <c r="W30" s="22">
        <f>IFERROR(__xludf.DUMMYFUNCTION("IFERROR(GOOGLEFINANCE(A30,""priceopen""),"""")"),21900.0)</f>
        <v>21900</v>
      </c>
      <c r="X30" s="22">
        <f>IFERROR(__xludf.DUMMYFUNCTION("IFERROR(GOOGLEFINANCE(A30,""high""),"""")"),22050.0)</f>
        <v>22050</v>
      </c>
      <c r="Y30" s="22">
        <f>IFERROR(__xludf.DUMMYFUNCTION("IFERROR(GOOGLEFINANCE(A30,""low""),"""")"),21650.0)</f>
        <v>21650</v>
      </c>
      <c r="Z30" s="22">
        <f>IFERROR(__xludf.DUMMYFUNCTION("IFERROR(GOOGLEFINANCE(A30,""volume""),"""")"),34900.0)</f>
        <v>34900</v>
      </c>
      <c r="AA30" s="24" t="str">
        <f>VLOOKUP(A30,Metrik!$C$2:$Y$959,5,0)</f>
        <v>Beverages</v>
      </c>
      <c r="AB30" s="24" t="str">
        <f>VLOOKUP(A30,Metrik!$C$2:$Y$959,3,0)</f>
        <v>Consumer Non-Cyclicals</v>
      </c>
    </row>
    <row r="31">
      <c r="A31" s="14" t="s">
        <v>60</v>
      </c>
      <c r="B31" s="14" t="str">
        <f t="array" ref="B31">VLOOKUP(A31,{Metrik!$C$2:$C$998,Metrik!$B$2:$B$998},2,0)</f>
        <v>PT Adhi Karya (Persero) Tbk.</v>
      </c>
      <c r="C31" s="15">
        <f>IFERROR(__xludf.DUMMYFUNCTION("GOOGLEFINANCE(""IDX:""&amp;A31,""price"")"),158.0)</f>
        <v>158</v>
      </c>
      <c r="D31" s="16" t="str">
        <f>IFERROR(__xludf.DUMMYFUNCTION("IF(A31="""","""",
SPARKLINE(
INDEX(
GOOGLEFINANCE(""IDX:""&amp;A31,""close"",TODAY()-365,TODAY()),
,2
),
{""linewidth"",1}
))
"),"#N/A")</f>
        <v>#N/A</v>
      </c>
      <c r="E31" s="14" t="s">
        <v>61</v>
      </c>
      <c r="F31" s="14" t="s">
        <v>34</v>
      </c>
      <c r="G31" s="24">
        <f t="shared" si="1"/>
        <v>1</v>
      </c>
      <c r="H31" s="19">
        <f>VLOOKUP(A31,Metrik!$C$2:$Y$959,8,0)</f>
        <v>-0.27</v>
      </c>
      <c r="I31" s="20">
        <f>VLOOKUP(A31,Metrik!$C$2:$Y$959,9,0)</f>
        <v>0.41</v>
      </c>
      <c r="J31" s="20">
        <f>VLOOKUP(A31,Metrik!$C$2:$Y$959,10,0)</f>
        <v>-150</v>
      </c>
      <c r="K31" s="20">
        <f>VLOOKUP(A31,Metrik!$C$2:$Y$959,11,0)</f>
        <v>-18.7</v>
      </c>
      <c r="L31" s="20">
        <f>VLOOKUP(A31,Metrik!$C$2:$Y$959,12,0)</f>
        <v>7.1</v>
      </c>
      <c r="M31" s="20">
        <f>VLOOKUP(A31,Metrik!$C$2:$Y$959,19,0)</f>
        <v>-320</v>
      </c>
      <c r="N31" s="21"/>
      <c r="O31" s="21"/>
      <c r="P31" s="21"/>
      <c r="Q31" s="21"/>
      <c r="R31" s="21"/>
      <c r="S31" s="21"/>
      <c r="T31" s="21"/>
      <c r="U31" s="22">
        <f>IFERROR(__xludf.DUMMYFUNCTION("IFERROR(GOOGLEFINANCE(A31,""closeyest""),"""")"),0.19)</f>
        <v>0.19</v>
      </c>
      <c r="V31" s="23">
        <f>IFERROR(__xludf.DUMMYFUNCTION("IFERROR(GOOGLEFINANCE(A31,""changepct""),"""")"),-10.53)</f>
        <v>-10.53</v>
      </c>
      <c r="W31" s="22">
        <f>IFERROR(__xludf.DUMMYFUNCTION("IFERROR(GOOGLEFINANCE(A31,""priceopen""),"""")"),0.17)</f>
        <v>0.17</v>
      </c>
      <c r="X31" s="22">
        <f>IFERROR(__xludf.DUMMYFUNCTION("IFERROR(GOOGLEFINANCE(A31,""high""),"""")"),0.17)</f>
        <v>0.17</v>
      </c>
      <c r="Y31" s="22">
        <f>IFERROR(__xludf.DUMMYFUNCTION("IFERROR(GOOGLEFINANCE(A31,""low""),"""")"),0.17)</f>
        <v>0.17</v>
      </c>
      <c r="Z31" s="22">
        <f>IFERROR(__xludf.DUMMYFUNCTION("IFERROR(GOOGLEFINANCE(A31,""volume""),"""")"),427.0)</f>
        <v>427</v>
      </c>
      <c r="AA31" s="24" t="str">
        <f>VLOOKUP(A31,Metrik!$C$2:$Y$959,5,0)</f>
        <v>Heavy Constructions &amp; Civil Engineering</v>
      </c>
      <c r="AB31" s="24" t="str">
        <f>VLOOKUP(A31,Metrik!$C$2:$Y$959,3,0)</f>
        <v>Infrastructures</v>
      </c>
    </row>
    <row r="32">
      <c r="A32" s="14" t="s">
        <v>62</v>
      </c>
      <c r="B32" s="14" t="str">
        <f t="array" ref="B32">VLOOKUP(A32,{Metrik!$C$2:$C$998,Metrik!$B$2:$B$998},2,0)</f>
        <v>Adira Dinamika Multi Finance Tbk.</v>
      </c>
      <c r="C32" s="15">
        <f>IFERROR(__xludf.DUMMYFUNCTION("GOOGLEFINANCE(""IDX:""&amp;A32,""price"")"),8200.0)</f>
        <v>8200</v>
      </c>
      <c r="D32" s="16" t="str">
        <f>IFERROR(__xludf.DUMMYFUNCTION("IF(A32="""","""",
SPARKLINE(
INDEX(
GOOGLEFINANCE(""IDX:""&amp;A32,""close"",TODAY()-365,TODAY()),
,2
),
{""linewidth"",1}
))
"),"#N/A")</f>
        <v>#N/A</v>
      </c>
      <c r="E32" s="26"/>
      <c r="F32" s="26"/>
      <c r="G32" s="24">
        <f t="shared" si="1"/>
        <v>0</v>
      </c>
      <c r="H32" s="19">
        <f>VLOOKUP(A32,Metrik!$C$2:$Y$959,8,0)</f>
        <v>5.9</v>
      </c>
      <c r="I32" s="20">
        <f>VLOOKUP(A32,Metrik!$C$2:$Y$959,9,0)</f>
        <v>0.66</v>
      </c>
      <c r="J32" s="20">
        <f>VLOOKUP(A32,Metrik!$C$2:$Y$959,10,0)</f>
        <v>11.2</v>
      </c>
      <c r="K32" s="20">
        <f>VLOOKUP(A32,Metrik!$C$2:$Y$959,11,0)</f>
        <v>4.4</v>
      </c>
      <c r="L32" s="20">
        <f>VLOOKUP(A32,Metrik!$C$2:$Y$959,12,0)</f>
        <v>1.6</v>
      </c>
      <c r="M32" s="20">
        <f>VLOOKUP(A32,Metrik!$C$2:$Y$959,19,0)</f>
        <v>64.1</v>
      </c>
      <c r="N32" s="21"/>
      <c r="O32" s="21"/>
      <c r="P32" s="21"/>
      <c r="Q32" s="21"/>
      <c r="R32" s="21"/>
      <c r="S32" s="21"/>
      <c r="T32" s="21"/>
      <c r="U32" s="22">
        <f>IFERROR(__xludf.DUMMYFUNCTION("IFERROR(GOOGLEFINANCE(A32,""closeyest""),"""")"),8050.0)</f>
        <v>8050</v>
      </c>
      <c r="V32" s="23">
        <f>IFERROR(__xludf.DUMMYFUNCTION("IFERROR(GOOGLEFINANCE(A32,""changepct""),"""")"),1.86)</f>
        <v>1.86</v>
      </c>
      <c r="W32" s="22">
        <f>IFERROR(__xludf.DUMMYFUNCTION("IFERROR(GOOGLEFINANCE(A32,""priceopen""),"""")"),8100.0)</f>
        <v>8100</v>
      </c>
      <c r="X32" s="22">
        <f>IFERROR(__xludf.DUMMYFUNCTION("IFERROR(GOOGLEFINANCE(A32,""high""),"""")"),8300.0)</f>
        <v>8300</v>
      </c>
      <c r="Y32" s="22">
        <f>IFERROR(__xludf.DUMMYFUNCTION("IFERROR(GOOGLEFINANCE(A32,""low""),"""")"),8050.0)</f>
        <v>8050</v>
      </c>
      <c r="Z32" s="22">
        <f>IFERROR(__xludf.DUMMYFUNCTION("IFERROR(GOOGLEFINANCE(A32,""volume""),"""")"),48500.0)</f>
        <v>48500</v>
      </c>
      <c r="AA32" s="24" t="str">
        <f>VLOOKUP(A32,Metrik!$C$2:$Y$959,5,0)</f>
        <v>Consumer Financing</v>
      </c>
      <c r="AB32" s="24" t="str">
        <f>VLOOKUP(A32,Metrik!$C$2:$Y$959,3,0)</f>
        <v>Financials</v>
      </c>
    </row>
    <row r="33">
      <c r="A33" s="14" t="s">
        <v>63</v>
      </c>
      <c r="B33" s="14" t="str">
        <f t="array" ref="B33">VLOOKUP(A33,{Metrik!$C$2:$C$998,Metrik!$B$2:$B$998},2,0)</f>
        <v>Polychem Indonesia Tbk</v>
      </c>
      <c r="C33" s="15">
        <f>IFERROR(__xludf.DUMMYFUNCTION("GOOGLEFINANCE(""IDX:""&amp;A33,""price"")"),200.0)</f>
        <v>200</v>
      </c>
      <c r="D33" s="16" t="str">
        <f>IFERROR(__xludf.DUMMYFUNCTION("IF(A33="""","""",
SPARKLINE(
INDEX(
GOOGLEFINANCE(""IDX:""&amp;A33,""close"",TODAY()-365,TODAY()),
,2
),
{""linewidth"",1}
))
"),"#N/A")</f>
        <v>#N/A</v>
      </c>
      <c r="E33" s="26"/>
      <c r="F33" s="26"/>
      <c r="G33" s="24">
        <f t="shared" si="1"/>
        <v>0</v>
      </c>
      <c r="H33" s="19">
        <f>VLOOKUP(A33,Metrik!$C$2:$Y$959,8,0)</f>
        <v>-250</v>
      </c>
      <c r="I33" s="20">
        <f>VLOOKUP(A33,Metrik!$C$2:$Y$959,9,0)</f>
        <v>0.43</v>
      </c>
      <c r="J33" s="20">
        <f>VLOOKUP(A33,Metrik!$C$2:$Y$959,10,0)</f>
        <v>-0.17</v>
      </c>
      <c r="K33" s="20">
        <f>VLOOKUP(A33,Metrik!$C$2:$Y$959,11,0)</f>
        <v>-0.13</v>
      </c>
      <c r="L33" s="20">
        <f>VLOOKUP(A33,Metrik!$C$2:$Y$959,12,0)</f>
        <v>0.37</v>
      </c>
      <c r="M33" s="20">
        <f>VLOOKUP(A33,Metrik!$C$2:$Y$959,19,0)</f>
        <v>-0.61</v>
      </c>
      <c r="N33" s="21"/>
      <c r="O33" s="21"/>
      <c r="P33" s="21"/>
      <c r="Q33" s="21"/>
      <c r="R33" s="21"/>
      <c r="S33" s="21"/>
      <c r="T33" s="21"/>
      <c r="U33" s="22">
        <f>IFERROR(__xludf.DUMMYFUNCTION("IFERROR(GOOGLEFINANCE(A33,""closeyest""),"""")"),0.12)</f>
        <v>0.12</v>
      </c>
      <c r="V33" s="23">
        <f>IFERROR(__xludf.DUMMYFUNCTION("IFERROR(GOOGLEFINANCE(A33,""changepct""),"""")"),0.0)</f>
        <v>0</v>
      </c>
      <c r="W33" s="22" t="str">
        <f>IFERROR(__xludf.DUMMYFUNCTION("IFERROR(GOOGLEFINANCE(A33,""priceopen""),"""")"),"")</f>
        <v/>
      </c>
      <c r="X33" s="22" t="str">
        <f>IFERROR(__xludf.DUMMYFUNCTION("IFERROR(GOOGLEFINANCE(A33,""high""),"""")"),"")</f>
        <v/>
      </c>
      <c r="Y33" s="22" t="str">
        <f>IFERROR(__xludf.DUMMYFUNCTION("IFERROR(GOOGLEFINANCE(A33,""low""),"""")"),"")</f>
        <v/>
      </c>
      <c r="Z33" s="22">
        <f>IFERROR(__xludf.DUMMYFUNCTION("IFERROR(GOOGLEFINANCE(A33,""volume""),"""")"),0.0)</f>
        <v>0</v>
      </c>
      <c r="AA33" s="24" t="str">
        <f>VLOOKUP(A33,Metrik!$C$2:$Y$959,5,0)</f>
        <v>Chemicals</v>
      </c>
      <c r="AB33" s="24" t="str">
        <f>VLOOKUP(A33,Metrik!$C$2:$Y$959,3,0)</f>
        <v>Basic Materials</v>
      </c>
    </row>
    <row r="34">
      <c r="A34" s="14" t="s">
        <v>64</v>
      </c>
      <c r="B34" s="14" t="str">
        <f t="array" ref="B34">VLOOKUP(A34,{Metrik!$C$2:$C$998,Metrik!$B$2:$B$998},2,0)</f>
        <v>Alamtri Minerals Indonesia Tbk.</v>
      </c>
      <c r="C34" s="15">
        <f>IFERROR(__xludf.DUMMYFUNCTION("GOOGLEFINANCE(""IDX:""&amp;A34,""price"")"),1575.0)</f>
        <v>1575</v>
      </c>
      <c r="D34" s="16" t="str">
        <f>IFERROR(__xludf.DUMMYFUNCTION("IF(A34="""","""",
SPARKLINE(
INDEX(
GOOGLEFINANCE(""IDX:""&amp;A34,""close"",TODAY()-365,TODAY()),
,2
),
{""linewidth"",1}
))
"),"#N/A")</f>
        <v>#N/A</v>
      </c>
      <c r="E34" s="14" t="s">
        <v>54</v>
      </c>
      <c r="F34" s="14" t="s">
        <v>34</v>
      </c>
      <c r="G34" s="28">
        <f t="shared" si="1"/>
        <v>9</v>
      </c>
      <c r="H34" s="19">
        <f>VLOOKUP(A34,Metrik!$C$2:$Y$959,8,0)</f>
        <v>12.6</v>
      </c>
      <c r="I34" s="20">
        <f>VLOOKUP(A34,Metrik!$C$2:$Y$959,9,0)</f>
        <v>2</v>
      </c>
      <c r="J34" s="20">
        <f>VLOOKUP(A34,Metrik!$C$2:$Y$959,10,0)</f>
        <v>16.2</v>
      </c>
      <c r="K34" s="20">
        <f>VLOOKUP(A34,Metrik!$C$2:$Y$959,11,0)</f>
        <v>9.1</v>
      </c>
      <c r="L34" s="20">
        <f>VLOOKUP(A34,Metrik!$C$2:$Y$959,12,0)</f>
        <v>0.78</v>
      </c>
      <c r="M34" s="20">
        <f>VLOOKUP(A34,Metrik!$C$2:$Y$959,19,0)</f>
        <v>110</v>
      </c>
      <c r="N34" s="21"/>
      <c r="O34" s="21"/>
      <c r="P34" s="21"/>
      <c r="Q34" s="21"/>
      <c r="R34" s="21"/>
      <c r="S34" s="21"/>
      <c r="T34" s="21"/>
      <c r="U34" s="22">
        <f>IFERROR(__xludf.DUMMYFUNCTION("IFERROR(GOOGLEFINANCE(A34,""closeyest""),"""")"),1465.0)</f>
        <v>1465</v>
      </c>
      <c r="V34" s="23">
        <f>IFERROR(__xludf.DUMMYFUNCTION("IFERROR(GOOGLEFINANCE(A34,""changepct""),"""")"),7.51)</f>
        <v>7.51</v>
      </c>
      <c r="W34" s="22">
        <f>IFERROR(__xludf.DUMMYFUNCTION("IFERROR(GOOGLEFINANCE(A34,""priceopen""),"""")"),1495.0)</f>
        <v>1495</v>
      </c>
      <c r="X34" s="22">
        <f>IFERROR(__xludf.DUMMYFUNCTION("IFERROR(GOOGLEFINANCE(A34,""high""),"""")"),1640.0)</f>
        <v>1640</v>
      </c>
      <c r="Y34" s="22">
        <f>IFERROR(__xludf.DUMMYFUNCTION("IFERROR(GOOGLEFINANCE(A34,""low""),"""")"),1485.0)</f>
        <v>1485</v>
      </c>
      <c r="Z34" s="22">
        <f>IFERROR(__xludf.DUMMYFUNCTION("IFERROR(GOOGLEFINANCE(A34,""volume""),"""")"),4.32668E7)</f>
        <v>43266800</v>
      </c>
      <c r="AA34" s="24" t="str">
        <f>VLOOKUP(A34,Metrik!$C$2:$Y$959,5,0)</f>
        <v>Coal</v>
      </c>
      <c r="AB34" s="24" t="str">
        <f>VLOOKUP(A34,Metrik!$C$2:$Y$959,3,0)</f>
        <v>Energy</v>
      </c>
    </row>
    <row r="35">
      <c r="A35" s="14" t="s">
        <v>64</v>
      </c>
      <c r="B35" s="14" t="str">
        <f t="array" ref="B35">VLOOKUP(A35,{Metrik!$C$2:$C$998,Metrik!$B$2:$B$998},2,0)</f>
        <v>Alamtri Minerals Indonesia Tbk.</v>
      </c>
      <c r="C35" s="15">
        <f>IFERROR(__xludf.DUMMYFUNCTION("GOOGLEFINANCE(""IDX:""&amp;A35,""price"")"),1575.0)</f>
        <v>1575</v>
      </c>
      <c r="D35" s="16" t="str">
        <f>IFERROR(__xludf.DUMMYFUNCTION("IF(A35="""","""",
SPARKLINE(
INDEX(
GOOGLEFINANCE(""IDX:""&amp;A35,""close"",TODAY()-365,TODAY()),
,2
),
{""linewidth"",1}
))
"),"#N/A")</f>
        <v>#N/A</v>
      </c>
      <c r="E35" s="14" t="s">
        <v>32</v>
      </c>
      <c r="F35" s="14" t="s">
        <v>29</v>
      </c>
      <c r="G35" s="28">
        <f t="shared" si="1"/>
        <v>9</v>
      </c>
      <c r="H35" s="19">
        <f>VLOOKUP(A35,Metrik!$C$2:$Y$959,8,0)</f>
        <v>12.6</v>
      </c>
      <c r="I35" s="20">
        <f>VLOOKUP(A35,Metrik!$C$2:$Y$959,9,0)</f>
        <v>2</v>
      </c>
      <c r="J35" s="20">
        <f>VLOOKUP(A35,Metrik!$C$2:$Y$959,10,0)</f>
        <v>16.2</v>
      </c>
      <c r="K35" s="20">
        <f>VLOOKUP(A35,Metrik!$C$2:$Y$959,11,0)</f>
        <v>9.1</v>
      </c>
      <c r="L35" s="20">
        <f>VLOOKUP(A35,Metrik!$C$2:$Y$959,12,0)</f>
        <v>0.78</v>
      </c>
      <c r="M35" s="20">
        <f>VLOOKUP(A35,Metrik!$C$2:$Y$959,19,0)</f>
        <v>110</v>
      </c>
      <c r="N35" s="21"/>
      <c r="O35" s="21"/>
      <c r="P35" s="21"/>
      <c r="Q35" s="21"/>
      <c r="R35" s="21"/>
      <c r="S35" s="21"/>
      <c r="T35" s="21"/>
      <c r="U35" s="22">
        <f>IFERROR(__xludf.DUMMYFUNCTION("IFERROR(GOOGLEFINANCE(A35,""closeyest""),"""")"),1465.0)</f>
        <v>1465</v>
      </c>
      <c r="V35" s="23">
        <f>IFERROR(__xludf.DUMMYFUNCTION("IFERROR(GOOGLEFINANCE(A35,""changepct""),"""")"),7.51)</f>
        <v>7.51</v>
      </c>
      <c r="W35" s="22">
        <f>IFERROR(__xludf.DUMMYFUNCTION("IFERROR(GOOGLEFINANCE(A35,""priceopen""),"""")"),1495.0)</f>
        <v>1495</v>
      </c>
      <c r="X35" s="22">
        <f>IFERROR(__xludf.DUMMYFUNCTION("IFERROR(GOOGLEFINANCE(A35,""high""),"""")"),1640.0)</f>
        <v>1640</v>
      </c>
      <c r="Y35" s="22">
        <f>IFERROR(__xludf.DUMMYFUNCTION("IFERROR(GOOGLEFINANCE(A35,""low""),"""")"),1485.0)</f>
        <v>1485</v>
      </c>
      <c r="Z35" s="22">
        <f>IFERROR(__xludf.DUMMYFUNCTION("IFERROR(GOOGLEFINANCE(A35,""volume""),"""")"),4.32668E7)</f>
        <v>43266800</v>
      </c>
      <c r="AA35" s="24" t="str">
        <f>VLOOKUP(A35,Metrik!$C$2:$Y$959,5,0)</f>
        <v>Coal</v>
      </c>
      <c r="AB35" s="24" t="str">
        <f>VLOOKUP(A35,Metrik!$C$2:$Y$959,3,0)</f>
        <v>Energy</v>
      </c>
    </row>
    <row r="36">
      <c r="A36" s="14" t="s">
        <v>64</v>
      </c>
      <c r="B36" s="14" t="str">
        <f t="array" ref="B36">VLOOKUP(A36,{Metrik!$C$2:$C$998,Metrik!$B$2:$B$998},2,0)</f>
        <v>Alamtri Minerals Indonesia Tbk.</v>
      </c>
      <c r="C36" s="15">
        <f>IFERROR(__xludf.DUMMYFUNCTION("GOOGLEFINANCE(""IDX:""&amp;A36,""price"")"),1575.0)</f>
        <v>1575</v>
      </c>
      <c r="D36" s="16" t="str">
        <f>IFERROR(__xludf.DUMMYFUNCTION("IF(A36="""","""",
SPARKLINE(
INDEX(
GOOGLEFINANCE(""IDX:""&amp;A36,""close"",TODAY()-365,TODAY()),
,2
),
{""linewidth"",1}
))
"),"#N/A")</f>
        <v>#N/A</v>
      </c>
      <c r="E36" s="14" t="s">
        <v>31</v>
      </c>
      <c r="F36" s="17" t="s">
        <v>29</v>
      </c>
      <c r="G36" s="28">
        <f t="shared" si="1"/>
        <v>9</v>
      </c>
      <c r="H36" s="19">
        <f>VLOOKUP(A36,Metrik!$C$2:$Y$959,8,0)</f>
        <v>12.6</v>
      </c>
      <c r="I36" s="20">
        <f>VLOOKUP(A36,Metrik!$C$2:$Y$959,9,0)</f>
        <v>2</v>
      </c>
      <c r="J36" s="20">
        <f>VLOOKUP(A36,Metrik!$C$2:$Y$959,10,0)</f>
        <v>16.2</v>
      </c>
      <c r="K36" s="20">
        <f>VLOOKUP(A36,Metrik!$C$2:$Y$959,11,0)</f>
        <v>9.1</v>
      </c>
      <c r="L36" s="20">
        <f>VLOOKUP(A36,Metrik!$C$2:$Y$959,12,0)</f>
        <v>0.78</v>
      </c>
      <c r="M36" s="20">
        <f>VLOOKUP(A36,Metrik!$C$2:$Y$959,19,0)</f>
        <v>110</v>
      </c>
      <c r="N36" s="21"/>
      <c r="O36" s="21"/>
      <c r="P36" s="21"/>
      <c r="Q36" s="21"/>
      <c r="R36" s="21"/>
      <c r="S36" s="21"/>
      <c r="T36" s="21"/>
      <c r="U36" s="22">
        <f>IFERROR(__xludf.DUMMYFUNCTION("IFERROR(GOOGLEFINANCE(A36,""closeyest""),"""")"),1465.0)</f>
        <v>1465</v>
      </c>
      <c r="V36" s="23">
        <f>IFERROR(__xludf.DUMMYFUNCTION("IFERROR(GOOGLEFINANCE(A36,""changepct""),"""")"),7.51)</f>
        <v>7.51</v>
      </c>
      <c r="W36" s="22">
        <f>IFERROR(__xludf.DUMMYFUNCTION("IFERROR(GOOGLEFINANCE(A36,""priceopen""),"""")"),1495.0)</f>
        <v>1495</v>
      </c>
      <c r="X36" s="22">
        <f>IFERROR(__xludf.DUMMYFUNCTION("IFERROR(GOOGLEFINANCE(A36,""high""),"""")"),1640.0)</f>
        <v>1640</v>
      </c>
      <c r="Y36" s="22">
        <f>IFERROR(__xludf.DUMMYFUNCTION("IFERROR(GOOGLEFINANCE(A36,""low""),"""")"),1485.0)</f>
        <v>1485</v>
      </c>
      <c r="Z36" s="22">
        <f>IFERROR(__xludf.DUMMYFUNCTION("IFERROR(GOOGLEFINANCE(A36,""volume""),"""")"),4.32668E7)</f>
        <v>43266800</v>
      </c>
      <c r="AA36" s="24" t="str">
        <f>VLOOKUP(A36,Metrik!$C$2:$Y$959,5,0)</f>
        <v>Coal</v>
      </c>
      <c r="AB36" s="24" t="str">
        <f>VLOOKUP(A36,Metrik!$C$2:$Y$959,3,0)</f>
        <v>Energy</v>
      </c>
    </row>
    <row r="37">
      <c r="A37" s="14" t="s">
        <v>64</v>
      </c>
      <c r="B37" s="14" t="str">
        <f t="array" ref="B37">VLOOKUP(A37,{Metrik!$C$2:$C$998,Metrik!$B$2:$B$998},2,0)</f>
        <v>Alamtri Minerals Indonesia Tbk.</v>
      </c>
      <c r="C37" s="15">
        <f>IFERROR(__xludf.DUMMYFUNCTION("GOOGLEFINANCE(""IDX:""&amp;A37,""price"")"),1575.0)</f>
        <v>1575</v>
      </c>
      <c r="D37" s="16" t="str">
        <f>IFERROR(__xludf.DUMMYFUNCTION("IF(A37="""","""",
SPARKLINE(
INDEX(
GOOGLEFINANCE(""IDX:""&amp;A37,""close"",TODAY()-365,TODAY()),
,2
),
{""linewidth"",1}
))
"),"#N/A")</f>
        <v>#N/A</v>
      </c>
      <c r="E37" s="14" t="s">
        <v>28</v>
      </c>
      <c r="F37" s="17" t="s">
        <v>29</v>
      </c>
      <c r="G37" s="28">
        <f t="shared" si="1"/>
        <v>9</v>
      </c>
      <c r="H37" s="19">
        <f>VLOOKUP(A37,Metrik!$C$2:$Y$959,8,0)</f>
        <v>12.6</v>
      </c>
      <c r="I37" s="20">
        <f>VLOOKUP(A37,Metrik!$C$2:$Y$959,9,0)</f>
        <v>2</v>
      </c>
      <c r="J37" s="20">
        <f>VLOOKUP(A37,Metrik!$C$2:$Y$959,10,0)</f>
        <v>16.2</v>
      </c>
      <c r="K37" s="20">
        <f>VLOOKUP(A37,Metrik!$C$2:$Y$959,11,0)</f>
        <v>9.1</v>
      </c>
      <c r="L37" s="20">
        <f>VLOOKUP(A37,Metrik!$C$2:$Y$959,12,0)</f>
        <v>0.78</v>
      </c>
      <c r="M37" s="20">
        <f>VLOOKUP(A37,Metrik!$C$2:$Y$959,19,0)</f>
        <v>110</v>
      </c>
      <c r="N37" s="21"/>
      <c r="O37" s="21"/>
      <c r="P37" s="21"/>
      <c r="Q37" s="21"/>
      <c r="R37" s="21"/>
      <c r="S37" s="21"/>
      <c r="T37" s="21"/>
      <c r="U37" s="22">
        <f>IFERROR(__xludf.DUMMYFUNCTION("IFERROR(GOOGLEFINANCE(A37,""closeyest""),"""")"),1465.0)</f>
        <v>1465</v>
      </c>
      <c r="V37" s="23">
        <f>IFERROR(__xludf.DUMMYFUNCTION("IFERROR(GOOGLEFINANCE(A37,""changepct""),"""")"),7.51)</f>
        <v>7.51</v>
      </c>
      <c r="W37" s="22">
        <f>IFERROR(__xludf.DUMMYFUNCTION("IFERROR(GOOGLEFINANCE(A37,""priceopen""),"""")"),1495.0)</f>
        <v>1495</v>
      </c>
      <c r="X37" s="22">
        <f>IFERROR(__xludf.DUMMYFUNCTION("IFERROR(GOOGLEFINANCE(A37,""high""),"""")"),1640.0)</f>
        <v>1640</v>
      </c>
      <c r="Y37" s="22">
        <f>IFERROR(__xludf.DUMMYFUNCTION("IFERROR(GOOGLEFINANCE(A37,""low""),"""")"),1485.0)</f>
        <v>1485</v>
      </c>
      <c r="Z37" s="22">
        <f>IFERROR(__xludf.DUMMYFUNCTION("IFERROR(GOOGLEFINANCE(A37,""volume""),"""")"),4.32668E7)</f>
        <v>43266800</v>
      </c>
      <c r="AA37" s="24" t="str">
        <f>VLOOKUP(A37,Metrik!$C$2:$Y$959,5,0)</f>
        <v>Coal</v>
      </c>
      <c r="AB37" s="24" t="str">
        <f>VLOOKUP(A37,Metrik!$C$2:$Y$959,3,0)</f>
        <v>Energy</v>
      </c>
    </row>
    <row r="38">
      <c r="A38" s="17" t="s">
        <v>64</v>
      </c>
      <c r="B38" s="14" t="str">
        <f t="array" ref="B38">VLOOKUP(A38,{Metrik!$C$2:$C$998,Metrik!$B$2:$B$998},2,0)</f>
        <v>Alamtri Minerals Indonesia Tbk.</v>
      </c>
      <c r="C38" s="15">
        <f>IFERROR(__xludf.DUMMYFUNCTION("GOOGLEFINANCE(""IDX:""&amp;A38,""price"")"),1575.0)</f>
        <v>1575</v>
      </c>
      <c r="D38" s="16" t="str">
        <f>IFERROR(__xludf.DUMMYFUNCTION("IF(A38="""","""",
SPARKLINE(
INDEX(
GOOGLEFINANCE(""IDX:""&amp;A38,""close"",TODAY()-365,TODAY()),
,2
),
{""linewidth"",1}
))
"),"#N/A")</f>
        <v>#N/A</v>
      </c>
      <c r="E38" s="14" t="s">
        <v>30</v>
      </c>
      <c r="F38" s="17" t="s">
        <v>29</v>
      </c>
      <c r="G38" s="24">
        <f t="shared" si="1"/>
        <v>9</v>
      </c>
      <c r="H38" s="19">
        <f>VLOOKUP(A38,Metrik!$C$2:$Y$959,8,0)</f>
        <v>12.6</v>
      </c>
      <c r="I38" s="20">
        <f>VLOOKUP(A38,Metrik!$C$2:$Y$959,9,0)</f>
        <v>2</v>
      </c>
      <c r="J38" s="20">
        <f>VLOOKUP(A38,Metrik!$C$2:$Y$959,10,0)</f>
        <v>16.2</v>
      </c>
      <c r="K38" s="20">
        <f>VLOOKUP(A38,Metrik!$C$2:$Y$959,11,0)</f>
        <v>9.1</v>
      </c>
      <c r="L38" s="20">
        <f>VLOOKUP(A38,Metrik!$C$2:$Y$959,12,0)</f>
        <v>0.78</v>
      </c>
      <c r="M38" s="20">
        <f>VLOOKUP(A38,Metrik!$C$2:$Y$959,19,0)</f>
        <v>110</v>
      </c>
      <c r="N38" s="21"/>
      <c r="O38" s="21"/>
      <c r="P38" s="21"/>
      <c r="Q38" s="21"/>
      <c r="R38" s="21"/>
      <c r="S38" s="21"/>
      <c r="T38" s="21"/>
      <c r="U38" s="22">
        <f>IFERROR(__xludf.DUMMYFUNCTION("IFERROR(GOOGLEFINANCE(A38,""closeyest""),"""")"),1465.0)</f>
        <v>1465</v>
      </c>
      <c r="V38" s="23">
        <f>IFERROR(__xludf.DUMMYFUNCTION("IFERROR(GOOGLEFINANCE(A38,""changepct""),"""")"),7.51)</f>
        <v>7.51</v>
      </c>
      <c r="W38" s="22">
        <f>IFERROR(__xludf.DUMMYFUNCTION("IFERROR(GOOGLEFINANCE(A38,""priceopen""),"""")"),1495.0)</f>
        <v>1495</v>
      </c>
      <c r="X38" s="22">
        <f>IFERROR(__xludf.DUMMYFUNCTION("IFERROR(GOOGLEFINANCE(A38,""high""),"""")"),1640.0)</f>
        <v>1640</v>
      </c>
      <c r="Y38" s="22">
        <f>IFERROR(__xludf.DUMMYFUNCTION("IFERROR(GOOGLEFINANCE(A38,""low""),"""")"),1485.0)</f>
        <v>1485</v>
      </c>
      <c r="Z38" s="22">
        <f>IFERROR(__xludf.DUMMYFUNCTION("IFERROR(GOOGLEFINANCE(A38,""volume""),"""")"),4.32668E7)</f>
        <v>43266800</v>
      </c>
      <c r="AA38" s="24" t="str">
        <f>VLOOKUP(A38,Metrik!$C$2:$Y$959,5,0)</f>
        <v>Coal</v>
      </c>
      <c r="AB38" s="24" t="str">
        <f>VLOOKUP(A38,Metrik!$C$2:$Y$959,3,0)</f>
        <v>Energy</v>
      </c>
    </row>
    <row r="39">
      <c r="A39" s="17" t="s">
        <v>64</v>
      </c>
      <c r="B39" s="14" t="str">
        <f t="array" ref="B39">VLOOKUP(A39,{Metrik!$C$2:$C$998,Metrik!$B$2:$B$998},2,0)</f>
        <v>Alamtri Minerals Indonesia Tbk.</v>
      </c>
      <c r="C39" s="15">
        <f>IFERROR(__xludf.DUMMYFUNCTION("GOOGLEFINANCE(""IDX:""&amp;A39,""price"")"),1575.0)</f>
        <v>1575</v>
      </c>
      <c r="D39" s="16" t="str">
        <f>IFERROR(__xludf.DUMMYFUNCTION("IF(A39="""","""",
SPARKLINE(
INDEX(
GOOGLEFINANCE(""IDX:""&amp;A39,""close"",TODAY()-365,TODAY()),
,2
),
{""linewidth"",1}
))
"),"#N/A")</f>
        <v>#N/A</v>
      </c>
      <c r="E39" s="14" t="s">
        <v>65</v>
      </c>
      <c r="F39" s="25">
        <v>46356.0</v>
      </c>
      <c r="G39" s="24">
        <f t="shared" si="1"/>
        <v>9</v>
      </c>
      <c r="H39" s="19">
        <f>VLOOKUP(A39,Metrik!$C$2:$Y$959,8,0)</f>
        <v>12.6</v>
      </c>
      <c r="I39" s="20">
        <f>VLOOKUP(A39,Metrik!$C$2:$Y$959,9,0)</f>
        <v>2</v>
      </c>
      <c r="J39" s="20">
        <f>VLOOKUP(A39,Metrik!$C$2:$Y$959,10,0)</f>
        <v>16.2</v>
      </c>
      <c r="K39" s="20">
        <f>VLOOKUP(A39,Metrik!$C$2:$Y$959,11,0)</f>
        <v>9.1</v>
      </c>
      <c r="L39" s="20">
        <f>VLOOKUP(A39,Metrik!$C$2:$Y$959,12,0)</f>
        <v>0.78</v>
      </c>
      <c r="M39" s="20">
        <f>VLOOKUP(A39,Metrik!$C$2:$Y$959,19,0)</f>
        <v>110</v>
      </c>
      <c r="N39" s="21"/>
      <c r="O39" s="21"/>
      <c r="P39" s="21"/>
      <c r="Q39" s="21"/>
      <c r="R39" s="21"/>
      <c r="S39" s="21"/>
      <c r="T39" s="21"/>
      <c r="U39" s="22">
        <f>IFERROR(__xludf.DUMMYFUNCTION("IFERROR(GOOGLEFINANCE(A39,""closeyest""),"""")"),1465.0)</f>
        <v>1465</v>
      </c>
      <c r="V39" s="23">
        <f>IFERROR(__xludf.DUMMYFUNCTION("IFERROR(GOOGLEFINANCE(A39,""changepct""),"""")"),7.51)</f>
        <v>7.51</v>
      </c>
      <c r="W39" s="22">
        <f>IFERROR(__xludf.DUMMYFUNCTION("IFERROR(GOOGLEFINANCE(A39,""priceopen""),"""")"),1495.0)</f>
        <v>1495</v>
      </c>
      <c r="X39" s="22">
        <f>IFERROR(__xludf.DUMMYFUNCTION("IFERROR(GOOGLEFINANCE(A39,""high""),"""")"),1640.0)</f>
        <v>1640</v>
      </c>
      <c r="Y39" s="22">
        <f>IFERROR(__xludf.DUMMYFUNCTION("IFERROR(GOOGLEFINANCE(A39,""low""),"""")"),1485.0)</f>
        <v>1485</v>
      </c>
      <c r="Z39" s="22">
        <f>IFERROR(__xludf.DUMMYFUNCTION("IFERROR(GOOGLEFINANCE(A39,""volume""),"""")"),4.32668E7)</f>
        <v>43266800</v>
      </c>
      <c r="AA39" s="24" t="str">
        <f>VLOOKUP(A39,Metrik!$C$2:$Y$959,5,0)</f>
        <v>Coal</v>
      </c>
      <c r="AB39" s="24" t="str">
        <f>VLOOKUP(A39,Metrik!$C$2:$Y$959,3,0)</f>
        <v>Energy</v>
      </c>
    </row>
    <row r="40">
      <c r="A40" s="14" t="s">
        <v>64</v>
      </c>
      <c r="B40" s="14" t="str">
        <f t="array" ref="B40">VLOOKUP(A40,{Metrik!$C$2:$C$998,Metrik!$B$2:$B$998},2,0)</f>
        <v>Alamtri Minerals Indonesia Tbk.</v>
      </c>
      <c r="C40" s="15">
        <f>IFERROR(__xludf.DUMMYFUNCTION("GOOGLEFINANCE(""IDX:""&amp;A40,""price"")"),1575.0)</f>
        <v>1575</v>
      </c>
      <c r="D40" s="16" t="str">
        <f>IFERROR(__xludf.DUMMYFUNCTION("IF(A40="""","""",
SPARKLINE(
INDEX(
GOOGLEFINANCE(""IDX:""&amp;A40,""close"",TODAY()-365,TODAY()),
,2
),
{""linewidth"",1}
))
"),"#N/A")</f>
        <v>#N/A</v>
      </c>
      <c r="E40" s="14" t="s">
        <v>42</v>
      </c>
      <c r="F40" s="25">
        <v>46356.0</v>
      </c>
      <c r="G40" s="28">
        <f t="shared" si="1"/>
        <v>9</v>
      </c>
      <c r="H40" s="19">
        <f>VLOOKUP(A40,Metrik!$C$2:$Y$959,8,0)</f>
        <v>12.6</v>
      </c>
      <c r="I40" s="20">
        <f>VLOOKUP(A40,Metrik!$C$2:$Y$959,9,0)</f>
        <v>2</v>
      </c>
      <c r="J40" s="20">
        <f>VLOOKUP(A40,Metrik!$C$2:$Y$959,10,0)</f>
        <v>16.2</v>
      </c>
      <c r="K40" s="20">
        <f>VLOOKUP(A40,Metrik!$C$2:$Y$959,11,0)</f>
        <v>9.1</v>
      </c>
      <c r="L40" s="20">
        <f>VLOOKUP(A40,Metrik!$C$2:$Y$959,12,0)</f>
        <v>0.78</v>
      </c>
      <c r="M40" s="20">
        <f>VLOOKUP(A40,Metrik!$C$2:$Y$959,19,0)</f>
        <v>110</v>
      </c>
      <c r="N40" s="21"/>
      <c r="O40" s="21"/>
      <c r="P40" s="21"/>
      <c r="Q40" s="21"/>
      <c r="R40" s="21"/>
      <c r="S40" s="21"/>
      <c r="T40" s="21"/>
      <c r="U40" s="22">
        <f>IFERROR(__xludf.DUMMYFUNCTION("IFERROR(GOOGLEFINANCE(A40,""closeyest""),"""")"),1465.0)</f>
        <v>1465</v>
      </c>
      <c r="V40" s="23">
        <f>IFERROR(__xludf.DUMMYFUNCTION("IFERROR(GOOGLEFINANCE(A40,""changepct""),"""")"),7.51)</f>
        <v>7.51</v>
      </c>
      <c r="W40" s="22">
        <f>IFERROR(__xludf.DUMMYFUNCTION("IFERROR(GOOGLEFINANCE(A40,""priceopen""),"""")"),1495.0)</f>
        <v>1495</v>
      </c>
      <c r="X40" s="22">
        <f>IFERROR(__xludf.DUMMYFUNCTION("IFERROR(GOOGLEFINANCE(A40,""high""),"""")"),1640.0)</f>
        <v>1640</v>
      </c>
      <c r="Y40" s="22">
        <f>IFERROR(__xludf.DUMMYFUNCTION("IFERROR(GOOGLEFINANCE(A40,""low""),"""")"),1485.0)</f>
        <v>1485</v>
      </c>
      <c r="Z40" s="22">
        <f>IFERROR(__xludf.DUMMYFUNCTION("IFERROR(GOOGLEFINANCE(A40,""volume""),"""")"),4.32668E7)</f>
        <v>43266800</v>
      </c>
      <c r="AA40" s="24" t="str">
        <f>VLOOKUP(A40,Metrik!$C$2:$Y$959,5,0)</f>
        <v>Coal</v>
      </c>
      <c r="AB40" s="24" t="str">
        <f>VLOOKUP(A40,Metrik!$C$2:$Y$959,3,0)</f>
        <v>Energy</v>
      </c>
    </row>
    <row r="41">
      <c r="A41" s="17" t="s">
        <v>64</v>
      </c>
      <c r="B41" s="14" t="str">
        <f t="array" ref="B41">VLOOKUP(A41,{Metrik!$C$2:$C$998,Metrik!$B$2:$B$998},2,0)</f>
        <v>Alamtri Minerals Indonesia Tbk.</v>
      </c>
      <c r="C41" s="15">
        <f>IFERROR(__xludf.DUMMYFUNCTION("GOOGLEFINANCE(""IDX:""&amp;A41,""price"")"),1575.0)</f>
        <v>1575</v>
      </c>
      <c r="D41" s="16" t="str">
        <f>IFERROR(__xludf.DUMMYFUNCTION("IF(A41="""","""",
SPARKLINE(
INDEX(
GOOGLEFINANCE(""IDX:""&amp;A41,""close"",TODAY()-365,TODAY()),
,2
),
{""linewidth"",1}
))
"),"#N/A")</f>
        <v>#N/A</v>
      </c>
      <c r="E41" s="14" t="s">
        <v>38</v>
      </c>
      <c r="F41" s="25">
        <v>46356.0</v>
      </c>
      <c r="G41" s="18">
        <f t="shared" si="1"/>
        <v>9</v>
      </c>
      <c r="H41" s="19">
        <f>VLOOKUP(A41,Metrik!$C$2:$Y$959,8,0)</f>
        <v>12.6</v>
      </c>
      <c r="I41" s="20">
        <f>VLOOKUP(A41,Metrik!$C$2:$Y$959,9,0)</f>
        <v>2</v>
      </c>
      <c r="J41" s="20">
        <f>VLOOKUP(A41,Metrik!$C$2:$Y$959,10,0)</f>
        <v>16.2</v>
      </c>
      <c r="K41" s="20">
        <f>VLOOKUP(A41,Metrik!$C$2:$Y$959,11,0)</f>
        <v>9.1</v>
      </c>
      <c r="L41" s="20">
        <f>VLOOKUP(A41,Metrik!$C$2:$Y$959,12,0)</f>
        <v>0.78</v>
      </c>
      <c r="M41" s="20">
        <f>VLOOKUP(A41,Metrik!$C$2:$Y$959,19,0)</f>
        <v>110</v>
      </c>
      <c r="N41" s="21"/>
      <c r="O41" s="21"/>
      <c r="P41" s="21"/>
      <c r="Q41" s="21"/>
      <c r="R41" s="21"/>
      <c r="S41" s="21"/>
      <c r="T41" s="21"/>
      <c r="U41" s="22">
        <f>IFERROR(__xludf.DUMMYFUNCTION("IFERROR(GOOGLEFINANCE(A41,""closeyest""),"""")"),1465.0)</f>
        <v>1465</v>
      </c>
      <c r="V41" s="23">
        <f>IFERROR(__xludf.DUMMYFUNCTION("IFERROR(GOOGLEFINANCE(A41,""changepct""),"""")"),7.51)</f>
        <v>7.51</v>
      </c>
      <c r="W41" s="22">
        <f>IFERROR(__xludf.DUMMYFUNCTION("IFERROR(GOOGLEFINANCE(A41,""priceopen""),"""")"),1495.0)</f>
        <v>1495</v>
      </c>
      <c r="X41" s="22">
        <f>IFERROR(__xludf.DUMMYFUNCTION("IFERROR(GOOGLEFINANCE(A41,""high""),"""")"),1640.0)</f>
        <v>1640</v>
      </c>
      <c r="Y41" s="22">
        <f>IFERROR(__xludf.DUMMYFUNCTION("IFERROR(GOOGLEFINANCE(A41,""low""),"""")"),1485.0)</f>
        <v>1485</v>
      </c>
      <c r="Z41" s="22">
        <f>IFERROR(__xludf.DUMMYFUNCTION("IFERROR(GOOGLEFINANCE(A41,""volume""),"""")"),4.32668E7)</f>
        <v>43266800</v>
      </c>
      <c r="AA41" s="24" t="str">
        <f>VLOOKUP(A41,Metrik!$C$2:$Y$959,5,0)</f>
        <v>Coal</v>
      </c>
      <c r="AB41" s="24" t="str">
        <f>VLOOKUP(A41,Metrik!$C$2:$Y$959,3,0)</f>
        <v>Energy</v>
      </c>
    </row>
    <row r="42">
      <c r="A42" s="14" t="s">
        <v>64</v>
      </c>
      <c r="B42" s="14" t="str">
        <f t="array" ref="B42">VLOOKUP(A42,{Metrik!$C$2:$C$998,Metrik!$B$2:$B$998},2,0)</f>
        <v>Alamtri Minerals Indonesia Tbk.</v>
      </c>
      <c r="C42" s="15">
        <f>IFERROR(__xludf.DUMMYFUNCTION("GOOGLEFINANCE(""IDX:""&amp;A42,""price"")"),1575.0)</f>
        <v>1575</v>
      </c>
      <c r="D42" s="16" t="str">
        <f>IFERROR(__xludf.DUMMYFUNCTION("IF(A42="""","""",
SPARKLINE(
INDEX(
GOOGLEFINANCE(""IDX:""&amp;A42,""close"",TODAY()-365,TODAY()),
,2
),
{""linewidth"",1}
))
"),"#N/A")</f>
        <v>#N/A</v>
      </c>
      <c r="E42" s="14" t="s">
        <v>39</v>
      </c>
      <c r="F42" s="25">
        <v>46356.0</v>
      </c>
      <c r="G42" s="28">
        <f t="shared" si="1"/>
        <v>9</v>
      </c>
      <c r="H42" s="19">
        <f>VLOOKUP(A42,Metrik!$C$2:$Y$959,8,0)</f>
        <v>12.6</v>
      </c>
      <c r="I42" s="20">
        <f>VLOOKUP(A42,Metrik!$C$2:$Y$959,9,0)</f>
        <v>2</v>
      </c>
      <c r="J42" s="20">
        <f>VLOOKUP(A42,Metrik!$C$2:$Y$959,10,0)</f>
        <v>16.2</v>
      </c>
      <c r="K42" s="20">
        <f>VLOOKUP(A42,Metrik!$C$2:$Y$959,11,0)</f>
        <v>9.1</v>
      </c>
      <c r="L42" s="20">
        <f>VLOOKUP(A42,Metrik!$C$2:$Y$959,12,0)</f>
        <v>0.78</v>
      </c>
      <c r="M42" s="20">
        <f>VLOOKUP(A42,Metrik!$C$2:$Y$959,19,0)</f>
        <v>110</v>
      </c>
      <c r="N42" s="21"/>
      <c r="O42" s="21"/>
      <c r="P42" s="21"/>
      <c r="Q42" s="21"/>
      <c r="R42" s="21"/>
      <c r="S42" s="21"/>
      <c r="T42" s="21"/>
      <c r="U42" s="22">
        <f>IFERROR(__xludf.DUMMYFUNCTION("IFERROR(GOOGLEFINANCE(A42,""closeyest""),"""")"),1465.0)</f>
        <v>1465</v>
      </c>
      <c r="V42" s="23">
        <f>IFERROR(__xludf.DUMMYFUNCTION("IFERROR(GOOGLEFINANCE(A42,""changepct""),"""")"),7.51)</f>
        <v>7.51</v>
      </c>
      <c r="W42" s="22">
        <f>IFERROR(__xludf.DUMMYFUNCTION("IFERROR(GOOGLEFINANCE(A42,""priceopen""),"""")"),1495.0)</f>
        <v>1495</v>
      </c>
      <c r="X42" s="22">
        <f>IFERROR(__xludf.DUMMYFUNCTION("IFERROR(GOOGLEFINANCE(A42,""high""),"""")"),1640.0)</f>
        <v>1640</v>
      </c>
      <c r="Y42" s="22">
        <f>IFERROR(__xludf.DUMMYFUNCTION("IFERROR(GOOGLEFINANCE(A42,""low""),"""")"),1485.0)</f>
        <v>1485</v>
      </c>
      <c r="Z42" s="22">
        <f>IFERROR(__xludf.DUMMYFUNCTION("IFERROR(GOOGLEFINANCE(A42,""volume""),"""")"),4.32668E7)</f>
        <v>43266800</v>
      </c>
      <c r="AA42" s="24" t="str">
        <f>VLOOKUP(A42,Metrik!$C$2:$Y$959,5,0)</f>
        <v>Coal</v>
      </c>
      <c r="AB42" s="24" t="str">
        <f>VLOOKUP(A42,Metrik!$C$2:$Y$959,3,0)</f>
        <v>Energy</v>
      </c>
    </row>
    <row r="43">
      <c r="A43" s="14" t="s">
        <v>66</v>
      </c>
      <c r="B43" s="14" t="str">
        <f t="array" ref="B43">VLOOKUP(A43,{Metrik!$C$2:$C$998,Metrik!$B$2:$B$998},2,0)</f>
        <v>Alamtri Resources Indonesia Tbk.</v>
      </c>
      <c r="C43" s="15">
        <f>IFERROR(__xludf.DUMMYFUNCTION("GOOGLEFINANCE(""IDX:""&amp;A43,""price"")"),2280.0)</f>
        <v>2280</v>
      </c>
      <c r="D43" s="16" t="str">
        <f>IFERROR(__xludf.DUMMYFUNCTION("IF(A43="""","""",
SPARKLINE(
INDEX(
GOOGLEFINANCE(""IDX:""&amp;A43,""close"",TODAY()-365,TODAY()),
,2
),
{""linewidth"",1}
))
"),"#N/A")</f>
        <v>#N/A</v>
      </c>
      <c r="E43" s="14" t="s">
        <v>67</v>
      </c>
      <c r="F43" s="17" t="s">
        <v>51</v>
      </c>
      <c r="G43" s="24">
        <f t="shared" si="1"/>
        <v>14</v>
      </c>
      <c r="H43" s="19">
        <f>VLOOKUP(A43,Metrik!$C$2:$Y$959,8,0)</f>
        <v>8</v>
      </c>
      <c r="I43" s="20">
        <f>VLOOKUP(A43,Metrik!$C$2:$Y$959,9,0)</f>
        <v>0.73</v>
      </c>
      <c r="J43" s="20">
        <f>VLOOKUP(A43,Metrik!$C$2:$Y$959,10,0)</f>
        <v>9.1</v>
      </c>
      <c r="K43" s="20">
        <f>VLOOKUP(A43,Metrik!$C$2:$Y$959,11,0)</f>
        <v>6.9</v>
      </c>
      <c r="L43" s="20">
        <f>VLOOKUP(A43,Metrik!$C$2:$Y$959,12,0)</f>
        <v>0.32</v>
      </c>
      <c r="M43" s="20">
        <f>VLOOKUP(A43,Metrik!$C$2:$Y$959,19,0)</f>
        <v>110</v>
      </c>
      <c r="N43" s="21"/>
      <c r="O43" s="21"/>
      <c r="P43" s="21"/>
      <c r="Q43" s="21"/>
      <c r="R43" s="21"/>
      <c r="S43" s="21"/>
      <c r="T43" s="21"/>
      <c r="U43" s="22">
        <f>IFERROR(__xludf.DUMMYFUNCTION("IFERROR(GOOGLEFINANCE(A43,""closeyest""),"""")"),2250.0)</f>
        <v>2250</v>
      </c>
      <c r="V43" s="23">
        <f>IFERROR(__xludf.DUMMYFUNCTION("IFERROR(GOOGLEFINANCE(A43,""changepct""),"""")"),1.33)</f>
        <v>1.33</v>
      </c>
      <c r="W43" s="22">
        <f>IFERROR(__xludf.DUMMYFUNCTION("IFERROR(GOOGLEFINANCE(A43,""priceopen""),"""")"),2270.0)</f>
        <v>2270</v>
      </c>
      <c r="X43" s="22">
        <f>IFERROR(__xludf.DUMMYFUNCTION("IFERROR(GOOGLEFINANCE(A43,""high""),"""")"),2340.0)</f>
        <v>2340</v>
      </c>
      <c r="Y43" s="22">
        <f>IFERROR(__xludf.DUMMYFUNCTION("IFERROR(GOOGLEFINANCE(A43,""low""),"""")"),2250.0)</f>
        <v>2250</v>
      </c>
      <c r="Z43" s="22">
        <f>IFERROR(__xludf.DUMMYFUNCTION("IFERROR(GOOGLEFINANCE(A43,""volume""),"""")"),3.69179E7)</f>
        <v>36917900</v>
      </c>
      <c r="AA43" s="24" t="str">
        <f>VLOOKUP(A43,Metrik!$C$2:$Y$959,5,0)</f>
        <v>Coal</v>
      </c>
      <c r="AB43" s="24" t="str">
        <f>VLOOKUP(A43,Metrik!$C$2:$Y$959,3,0)</f>
        <v>Energy</v>
      </c>
    </row>
    <row r="44">
      <c r="A44" s="14" t="s">
        <v>66</v>
      </c>
      <c r="B44" s="14" t="str">
        <f t="array" ref="B44">VLOOKUP(A44,{Metrik!$C$2:$C$998,Metrik!$B$2:$B$998},2,0)</f>
        <v>Alamtri Resources Indonesia Tbk.</v>
      </c>
      <c r="C44" s="15">
        <f>IFERROR(__xludf.DUMMYFUNCTION("GOOGLEFINANCE(""IDX:""&amp;A44,""price"")"),2280.0)</f>
        <v>2280</v>
      </c>
      <c r="D44" s="16" t="str">
        <f>IFERROR(__xludf.DUMMYFUNCTION("IF(A44="""","""",
SPARKLINE(
INDEX(
GOOGLEFINANCE(""IDX:""&amp;A44,""close"",TODAY()-365,TODAY()),
,2
),
{""linewidth"",1}
))
"),"#N/A")</f>
        <v>#N/A</v>
      </c>
      <c r="E44" s="14" t="s">
        <v>30</v>
      </c>
      <c r="F44" s="17" t="s">
        <v>29</v>
      </c>
      <c r="G44" s="24">
        <f t="shared" si="1"/>
        <v>14</v>
      </c>
      <c r="H44" s="19">
        <f>VLOOKUP(A44,Metrik!$C$2:$Y$959,8,0)</f>
        <v>8</v>
      </c>
      <c r="I44" s="20">
        <f>VLOOKUP(A44,Metrik!$C$2:$Y$959,9,0)</f>
        <v>0.73</v>
      </c>
      <c r="J44" s="20">
        <f>VLOOKUP(A44,Metrik!$C$2:$Y$959,10,0)</f>
        <v>9.1</v>
      </c>
      <c r="K44" s="20">
        <f>VLOOKUP(A44,Metrik!$C$2:$Y$959,11,0)</f>
        <v>6.9</v>
      </c>
      <c r="L44" s="20">
        <f>VLOOKUP(A44,Metrik!$C$2:$Y$959,12,0)</f>
        <v>0.32</v>
      </c>
      <c r="M44" s="20">
        <f>VLOOKUP(A44,Metrik!$C$2:$Y$959,19,0)</f>
        <v>110</v>
      </c>
      <c r="N44" s="21"/>
      <c r="O44" s="21"/>
      <c r="P44" s="21"/>
      <c r="Q44" s="21"/>
      <c r="R44" s="21"/>
      <c r="S44" s="21"/>
      <c r="T44" s="21"/>
      <c r="U44" s="22">
        <f>IFERROR(__xludf.DUMMYFUNCTION("IFERROR(GOOGLEFINANCE(A44,""closeyest""),"""")"),2250.0)</f>
        <v>2250</v>
      </c>
      <c r="V44" s="23">
        <f>IFERROR(__xludf.DUMMYFUNCTION("IFERROR(GOOGLEFINANCE(A44,""changepct""),"""")"),1.33)</f>
        <v>1.33</v>
      </c>
      <c r="W44" s="22">
        <f>IFERROR(__xludf.DUMMYFUNCTION("IFERROR(GOOGLEFINANCE(A44,""priceopen""),"""")"),2270.0)</f>
        <v>2270</v>
      </c>
      <c r="X44" s="22">
        <f>IFERROR(__xludf.DUMMYFUNCTION("IFERROR(GOOGLEFINANCE(A44,""high""),"""")"),2340.0)</f>
        <v>2340</v>
      </c>
      <c r="Y44" s="22">
        <f>IFERROR(__xludf.DUMMYFUNCTION("IFERROR(GOOGLEFINANCE(A44,""low""),"""")"),2250.0)</f>
        <v>2250</v>
      </c>
      <c r="Z44" s="22">
        <f>IFERROR(__xludf.DUMMYFUNCTION("IFERROR(GOOGLEFINANCE(A44,""volume""),"""")"),3.69179E7)</f>
        <v>36917900</v>
      </c>
      <c r="AA44" s="24" t="str">
        <f>VLOOKUP(A44,Metrik!$C$2:$Y$959,5,0)</f>
        <v>Coal</v>
      </c>
      <c r="AB44" s="24" t="str">
        <f>VLOOKUP(A44,Metrik!$C$2:$Y$959,3,0)</f>
        <v>Energy</v>
      </c>
    </row>
    <row r="45">
      <c r="A45" s="14" t="s">
        <v>66</v>
      </c>
      <c r="B45" s="14" t="str">
        <f t="array" ref="B45">VLOOKUP(A45,{Metrik!$C$2:$C$998,Metrik!$B$2:$B$998},2,0)</f>
        <v>Alamtri Resources Indonesia Tbk.</v>
      </c>
      <c r="C45" s="15">
        <f>IFERROR(__xludf.DUMMYFUNCTION("GOOGLEFINANCE(""IDX:""&amp;A45,""price"")"),2280.0)</f>
        <v>2280</v>
      </c>
      <c r="D45" s="16" t="str">
        <f>IFERROR(__xludf.DUMMYFUNCTION("IF(A45="""","""",
SPARKLINE(
INDEX(
GOOGLEFINANCE(""IDX:""&amp;A45,""close"",TODAY()-365,TODAY()),
,2
),
{""linewidth"",1}
))
"),"#N/A")</f>
        <v>#N/A</v>
      </c>
      <c r="E45" s="14" t="s">
        <v>28</v>
      </c>
      <c r="F45" s="17" t="s">
        <v>29</v>
      </c>
      <c r="G45" s="24">
        <f t="shared" si="1"/>
        <v>14</v>
      </c>
      <c r="H45" s="19">
        <f>VLOOKUP(A45,Metrik!$C$2:$Y$959,8,0)</f>
        <v>8</v>
      </c>
      <c r="I45" s="20">
        <f>VLOOKUP(A45,Metrik!$C$2:$Y$959,9,0)</f>
        <v>0.73</v>
      </c>
      <c r="J45" s="20">
        <f>VLOOKUP(A45,Metrik!$C$2:$Y$959,10,0)</f>
        <v>9.1</v>
      </c>
      <c r="K45" s="20">
        <f>VLOOKUP(A45,Metrik!$C$2:$Y$959,11,0)</f>
        <v>6.9</v>
      </c>
      <c r="L45" s="20">
        <f>VLOOKUP(A45,Metrik!$C$2:$Y$959,12,0)</f>
        <v>0.32</v>
      </c>
      <c r="M45" s="20">
        <f>VLOOKUP(A45,Metrik!$C$2:$Y$959,19,0)</f>
        <v>110</v>
      </c>
      <c r="N45" s="21"/>
      <c r="O45" s="21"/>
      <c r="P45" s="21"/>
      <c r="Q45" s="21"/>
      <c r="R45" s="21"/>
      <c r="S45" s="21"/>
      <c r="T45" s="21"/>
      <c r="U45" s="22">
        <f>IFERROR(__xludf.DUMMYFUNCTION("IFERROR(GOOGLEFINANCE(A45,""closeyest""),"""")"),2250.0)</f>
        <v>2250</v>
      </c>
      <c r="V45" s="23">
        <f>IFERROR(__xludf.DUMMYFUNCTION("IFERROR(GOOGLEFINANCE(A45,""changepct""),"""")"),1.33)</f>
        <v>1.33</v>
      </c>
      <c r="W45" s="22">
        <f>IFERROR(__xludf.DUMMYFUNCTION("IFERROR(GOOGLEFINANCE(A45,""priceopen""),"""")"),2270.0)</f>
        <v>2270</v>
      </c>
      <c r="X45" s="22">
        <f>IFERROR(__xludf.DUMMYFUNCTION("IFERROR(GOOGLEFINANCE(A45,""high""),"""")"),2340.0)</f>
        <v>2340</v>
      </c>
      <c r="Y45" s="22">
        <f>IFERROR(__xludf.DUMMYFUNCTION("IFERROR(GOOGLEFINANCE(A45,""low""),"""")"),2250.0)</f>
        <v>2250</v>
      </c>
      <c r="Z45" s="22">
        <f>IFERROR(__xludf.DUMMYFUNCTION("IFERROR(GOOGLEFINANCE(A45,""volume""),"""")"),3.69179E7)</f>
        <v>36917900</v>
      </c>
      <c r="AA45" s="24" t="str">
        <f>VLOOKUP(A45,Metrik!$C$2:$Y$959,5,0)</f>
        <v>Coal</v>
      </c>
      <c r="AB45" s="24" t="str">
        <f>VLOOKUP(A45,Metrik!$C$2:$Y$959,3,0)</f>
        <v>Energy</v>
      </c>
    </row>
    <row r="46">
      <c r="A46" s="14" t="s">
        <v>66</v>
      </c>
      <c r="B46" s="14" t="str">
        <f t="array" ref="B46">VLOOKUP(A46,{Metrik!$C$2:$C$998,Metrik!$B$2:$B$998},2,0)</f>
        <v>Alamtri Resources Indonesia Tbk.</v>
      </c>
      <c r="C46" s="15">
        <f>IFERROR(__xludf.DUMMYFUNCTION("GOOGLEFINANCE(""IDX:""&amp;A46,""price"")"),2280.0)</f>
        <v>2280</v>
      </c>
      <c r="D46" s="16" t="str">
        <f>IFERROR(__xludf.DUMMYFUNCTION("IF(A46="""","""",
SPARKLINE(
INDEX(
GOOGLEFINANCE(""IDX:""&amp;A46,""close"",TODAY()-365,TODAY()),
,2
),
{""linewidth"",1}
))
"),"#N/A")</f>
        <v>#N/A</v>
      </c>
      <c r="E46" s="14" t="s">
        <v>68</v>
      </c>
      <c r="F46" s="14" t="s">
        <v>34</v>
      </c>
      <c r="G46" s="24">
        <f t="shared" si="1"/>
        <v>14</v>
      </c>
      <c r="H46" s="19">
        <f>VLOOKUP(A46,Metrik!$C$2:$Y$959,8,0)</f>
        <v>8</v>
      </c>
      <c r="I46" s="20">
        <f>VLOOKUP(A46,Metrik!$C$2:$Y$959,9,0)</f>
        <v>0.73</v>
      </c>
      <c r="J46" s="20">
        <f>VLOOKUP(A46,Metrik!$C$2:$Y$959,10,0)</f>
        <v>9.1</v>
      </c>
      <c r="K46" s="20">
        <f>VLOOKUP(A46,Metrik!$C$2:$Y$959,11,0)</f>
        <v>6.9</v>
      </c>
      <c r="L46" s="20">
        <f>VLOOKUP(A46,Metrik!$C$2:$Y$959,12,0)</f>
        <v>0.32</v>
      </c>
      <c r="M46" s="20">
        <f>VLOOKUP(A46,Metrik!$C$2:$Y$959,19,0)</f>
        <v>110</v>
      </c>
      <c r="N46" s="21"/>
      <c r="O46" s="21"/>
      <c r="P46" s="21"/>
      <c r="Q46" s="21"/>
      <c r="R46" s="21"/>
      <c r="S46" s="21"/>
      <c r="T46" s="21"/>
      <c r="U46" s="22">
        <f>IFERROR(__xludf.DUMMYFUNCTION("IFERROR(GOOGLEFINANCE(A46,""closeyest""),"""")"),2250.0)</f>
        <v>2250</v>
      </c>
      <c r="V46" s="23">
        <f>IFERROR(__xludf.DUMMYFUNCTION("IFERROR(GOOGLEFINANCE(A46,""changepct""),"""")"),1.33)</f>
        <v>1.33</v>
      </c>
      <c r="W46" s="22">
        <f>IFERROR(__xludf.DUMMYFUNCTION("IFERROR(GOOGLEFINANCE(A46,""priceopen""),"""")"),2270.0)</f>
        <v>2270</v>
      </c>
      <c r="X46" s="22">
        <f>IFERROR(__xludf.DUMMYFUNCTION("IFERROR(GOOGLEFINANCE(A46,""high""),"""")"),2340.0)</f>
        <v>2340</v>
      </c>
      <c r="Y46" s="22">
        <f>IFERROR(__xludf.DUMMYFUNCTION("IFERROR(GOOGLEFINANCE(A46,""low""),"""")"),2250.0)</f>
        <v>2250</v>
      </c>
      <c r="Z46" s="22">
        <f>IFERROR(__xludf.DUMMYFUNCTION("IFERROR(GOOGLEFINANCE(A46,""volume""),"""")"),3.69179E7)</f>
        <v>36917900</v>
      </c>
      <c r="AA46" s="24" t="str">
        <f>VLOOKUP(A46,Metrik!$C$2:$Y$959,5,0)</f>
        <v>Coal</v>
      </c>
      <c r="AB46" s="24" t="str">
        <f>VLOOKUP(A46,Metrik!$C$2:$Y$959,3,0)</f>
        <v>Energy</v>
      </c>
    </row>
    <row r="47">
      <c r="A47" s="14" t="s">
        <v>66</v>
      </c>
      <c r="B47" s="14" t="str">
        <f t="array" ref="B47">VLOOKUP(A47,{Metrik!$C$2:$C$998,Metrik!$B$2:$B$998},2,0)</f>
        <v>Alamtri Resources Indonesia Tbk.</v>
      </c>
      <c r="C47" s="15">
        <f>IFERROR(__xludf.DUMMYFUNCTION("GOOGLEFINANCE(""IDX:""&amp;A47,""price"")"),2280.0)</f>
        <v>2280</v>
      </c>
      <c r="D47" s="16" t="str">
        <f>IFERROR(__xludf.DUMMYFUNCTION("IF(A47="""","""",
SPARKLINE(
INDEX(
GOOGLEFINANCE(""IDX:""&amp;A47,""close"",TODAY()-365,TODAY()),
,2
),
{""linewidth"",1}
))
"),"#N/A")</f>
        <v>#N/A</v>
      </c>
      <c r="E47" s="14" t="s">
        <v>48</v>
      </c>
      <c r="F47" s="14" t="s">
        <v>49</v>
      </c>
      <c r="G47" s="24">
        <f t="shared" si="1"/>
        <v>14</v>
      </c>
      <c r="H47" s="19">
        <f>VLOOKUP(A47,Metrik!$C$2:$Y$959,8,0)</f>
        <v>8</v>
      </c>
      <c r="I47" s="20">
        <f>VLOOKUP(A47,Metrik!$C$2:$Y$959,9,0)</f>
        <v>0.73</v>
      </c>
      <c r="J47" s="20">
        <f>VLOOKUP(A47,Metrik!$C$2:$Y$959,10,0)</f>
        <v>9.1</v>
      </c>
      <c r="K47" s="20">
        <f>VLOOKUP(A47,Metrik!$C$2:$Y$959,11,0)</f>
        <v>6.9</v>
      </c>
      <c r="L47" s="20">
        <f>VLOOKUP(A47,Metrik!$C$2:$Y$959,12,0)</f>
        <v>0.32</v>
      </c>
      <c r="M47" s="20">
        <f>VLOOKUP(A47,Metrik!$C$2:$Y$959,19,0)</f>
        <v>110</v>
      </c>
      <c r="N47" s="21"/>
      <c r="O47" s="21"/>
      <c r="P47" s="21"/>
      <c r="Q47" s="21"/>
      <c r="R47" s="21"/>
      <c r="S47" s="21"/>
      <c r="T47" s="21"/>
      <c r="U47" s="22">
        <f>IFERROR(__xludf.DUMMYFUNCTION("IFERROR(GOOGLEFINANCE(A47,""closeyest""),"""")"),2250.0)</f>
        <v>2250</v>
      </c>
      <c r="V47" s="23">
        <f>IFERROR(__xludf.DUMMYFUNCTION("IFERROR(GOOGLEFINANCE(A47,""changepct""),"""")"),1.33)</f>
        <v>1.33</v>
      </c>
      <c r="W47" s="22">
        <f>IFERROR(__xludf.DUMMYFUNCTION("IFERROR(GOOGLEFINANCE(A47,""priceopen""),"""")"),2270.0)</f>
        <v>2270</v>
      </c>
      <c r="X47" s="22">
        <f>IFERROR(__xludf.DUMMYFUNCTION("IFERROR(GOOGLEFINANCE(A47,""high""),"""")"),2340.0)</f>
        <v>2340</v>
      </c>
      <c r="Y47" s="22">
        <f>IFERROR(__xludf.DUMMYFUNCTION("IFERROR(GOOGLEFINANCE(A47,""low""),"""")"),2250.0)</f>
        <v>2250</v>
      </c>
      <c r="Z47" s="22">
        <f>IFERROR(__xludf.DUMMYFUNCTION("IFERROR(GOOGLEFINANCE(A47,""volume""),"""")"),3.69179E7)</f>
        <v>36917900</v>
      </c>
      <c r="AA47" s="24" t="str">
        <f>VLOOKUP(A47,Metrik!$C$2:$Y$959,5,0)</f>
        <v>Coal</v>
      </c>
      <c r="AB47" s="24" t="str">
        <f>VLOOKUP(A47,Metrik!$C$2:$Y$959,3,0)</f>
        <v>Energy</v>
      </c>
    </row>
    <row r="48">
      <c r="A48" s="14" t="s">
        <v>66</v>
      </c>
      <c r="B48" s="14" t="str">
        <f t="array" ref="B48">VLOOKUP(A48,{Metrik!$C$2:$C$998,Metrik!$B$2:$B$998},2,0)</f>
        <v>Alamtri Resources Indonesia Tbk.</v>
      </c>
      <c r="C48" s="15">
        <f>IFERROR(__xludf.DUMMYFUNCTION("GOOGLEFINANCE(""IDX:""&amp;A48,""price"")"),2280.0)</f>
        <v>2280</v>
      </c>
      <c r="D48" s="16" t="str">
        <f>IFERROR(__xludf.DUMMYFUNCTION("IF(A48="""","""",
SPARKLINE(
INDEX(
GOOGLEFINANCE(""IDX:""&amp;A48,""close"",TODAY()-365,TODAY()),
,2
),
{""linewidth"",1}
))
"),"#N/A")</f>
        <v>#N/A</v>
      </c>
      <c r="E48" s="14" t="s">
        <v>32</v>
      </c>
      <c r="F48" s="14" t="s">
        <v>29</v>
      </c>
      <c r="G48" s="24">
        <f t="shared" si="1"/>
        <v>14</v>
      </c>
      <c r="H48" s="19">
        <f>VLOOKUP(A48,Metrik!$C$2:$Y$959,8,0)</f>
        <v>8</v>
      </c>
      <c r="I48" s="20">
        <f>VLOOKUP(A48,Metrik!$C$2:$Y$959,9,0)</f>
        <v>0.73</v>
      </c>
      <c r="J48" s="20">
        <f>VLOOKUP(A48,Metrik!$C$2:$Y$959,10,0)</f>
        <v>9.1</v>
      </c>
      <c r="K48" s="20">
        <f>VLOOKUP(A48,Metrik!$C$2:$Y$959,11,0)</f>
        <v>6.9</v>
      </c>
      <c r="L48" s="20">
        <f>VLOOKUP(A48,Metrik!$C$2:$Y$959,12,0)</f>
        <v>0.32</v>
      </c>
      <c r="M48" s="20">
        <f>VLOOKUP(A48,Metrik!$C$2:$Y$959,19,0)</f>
        <v>110</v>
      </c>
      <c r="N48" s="21"/>
      <c r="O48" s="21"/>
      <c r="P48" s="21"/>
      <c r="Q48" s="21"/>
      <c r="R48" s="21"/>
      <c r="S48" s="21"/>
      <c r="T48" s="21"/>
      <c r="U48" s="22">
        <f>IFERROR(__xludf.DUMMYFUNCTION("IFERROR(GOOGLEFINANCE(A48,""closeyest""),"""")"),2250.0)</f>
        <v>2250</v>
      </c>
      <c r="V48" s="23">
        <f>IFERROR(__xludf.DUMMYFUNCTION("IFERROR(GOOGLEFINANCE(A48,""changepct""),"""")"),1.33)</f>
        <v>1.33</v>
      </c>
      <c r="W48" s="22">
        <f>IFERROR(__xludf.DUMMYFUNCTION("IFERROR(GOOGLEFINANCE(A48,""priceopen""),"""")"),2270.0)</f>
        <v>2270</v>
      </c>
      <c r="X48" s="22">
        <f>IFERROR(__xludf.DUMMYFUNCTION("IFERROR(GOOGLEFINANCE(A48,""high""),"""")"),2340.0)</f>
        <v>2340</v>
      </c>
      <c r="Y48" s="22">
        <f>IFERROR(__xludf.DUMMYFUNCTION("IFERROR(GOOGLEFINANCE(A48,""low""),"""")"),2250.0)</f>
        <v>2250</v>
      </c>
      <c r="Z48" s="22">
        <f>IFERROR(__xludf.DUMMYFUNCTION("IFERROR(GOOGLEFINANCE(A48,""volume""),"""")"),3.69179E7)</f>
        <v>36917900</v>
      </c>
      <c r="AA48" s="24" t="str">
        <f>VLOOKUP(A48,Metrik!$C$2:$Y$959,5,0)</f>
        <v>Coal</v>
      </c>
      <c r="AB48" s="24" t="str">
        <f>VLOOKUP(A48,Metrik!$C$2:$Y$959,3,0)</f>
        <v>Energy</v>
      </c>
    </row>
    <row r="49">
      <c r="A49" s="14" t="s">
        <v>66</v>
      </c>
      <c r="B49" s="14" t="str">
        <f t="array" ref="B49">VLOOKUP(A49,{Metrik!$C$2:$C$998,Metrik!$B$2:$B$998},2,0)</f>
        <v>Alamtri Resources Indonesia Tbk.</v>
      </c>
      <c r="C49" s="15">
        <f>IFERROR(__xludf.DUMMYFUNCTION("GOOGLEFINANCE(""IDX:""&amp;A49,""price"")"),2280.0)</f>
        <v>2280</v>
      </c>
      <c r="D49" s="16" t="str">
        <f>IFERROR(__xludf.DUMMYFUNCTION("IF(A49="""","""",
SPARKLINE(
INDEX(
GOOGLEFINANCE(""IDX:""&amp;A49,""close"",TODAY()-365,TODAY()),
,2
),
{""linewidth"",1}
))
"),"#N/A")</f>
        <v>#N/A</v>
      </c>
      <c r="E49" s="14" t="s">
        <v>31</v>
      </c>
      <c r="F49" s="17" t="s">
        <v>29</v>
      </c>
      <c r="G49" s="24">
        <f t="shared" si="1"/>
        <v>14</v>
      </c>
      <c r="H49" s="19">
        <f>VLOOKUP(A49,Metrik!$C$2:$Y$959,8,0)</f>
        <v>8</v>
      </c>
      <c r="I49" s="20">
        <f>VLOOKUP(A49,Metrik!$C$2:$Y$959,9,0)</f>
        <v>0.73</v>
      </c>
      <c r="J49" s="20">
        <f>VLOOKUP(A49,Metrik!$C$2:$Y$959,10,0)</f>
        <v>9.1</v>
      </c>
      <c r="K49" s="20">
        <f>VLOOKUP(A49,Metrik!$C$2:$Y$959,11,0)</f>
        <v>6.9</v>
      </c>
      <c r="L49" s="20">
        <f>VLOOKUP(A49,Metrik!$C$2:$Y$959,12,0)</f>
        <v>0.32</v>
      </c>
      <c r="M49" s="20">
        <f>VLOOKUP(A49,Metrik!$C$2:$Y$959,19,0)</f>
        <v>110</v>
      </c>
      <c r="N49" s="21"/>
      <c r="O49" s="21"/>
      <c r="P49" s="21"/>
      <c r="Q49" s="21"/>
      <c r="R49" s="21"/>
      <c r="S49" s="21"/>
      <c r="T49" s="21"/>
      <c r="U49" s="22">
        <f>IFERROR(__xludf.DUMMYFUNCTION("IFERROR(GOOGLEFINANCE(A49,""closeyest""),"""")"),2250.0)</f>
        <v>2250</v>
      </c>
      <c r="V49" s="23">
        <f>IFERROR(__xludf.DUMMYFUNCTION("IFERROR(GOOGLEFINANCE(A49,""changepct""),"""")"),1.33)</f>
        <v>1.33</v>
      </c>
      <c r="W49" s="22">
        <f>IFERROR(__xludf.DUMMYFUNCTION("IFERROR(GOOGLEFINANCE(A49,""priceopen""),"""")"),2270.0)</f>
        <v>2270</v>
      </c>
      <c r="X49" s="22">
        <f>IFERROR(__xludf.DUMMYFUNCTION("IFERROR(GOOGLEFINANCE(A49,""high""),"""")"),2340.0)</f>
        <v>2340</v>
      </c>
      <c r="Y49" s="22">
        <f>IFERROR(__xludf.DUMMYFUNCTION("IFERROR(GOOGLEFINANCE(A49,""low""),"""")"),2250.0)</f>
        <v>2250</v>
      </c>
      <c r="Z49" s="22">
        <f>IFERROR(__xludf.DUMMYFUNCTION("IFERROR(GOOGLEFINANCE(A49,""volume""),"""")"),3.69179E7)</f>
        <v>36917900</v>
      </c>
      <c r="AA49" s="24" t="str">
        <f>VLOOKUP(A49,Metrik!$C$2:$Y$959,5,0)</f>
        <v>Coal</v>
      </c>
      <c r="AB49" s="24" t="str">
        <f>VLOOKUP(A49,Metrik!$C$2:$Y$959,3,0)</f>
        <v>Energy</v>
      </c>
    </row>
    <row r="50">
      <c r="A50" s="14" t="s">
        <v>66</v>
      </c>
      <c r="B50" s="14" t="str">
        <f t="array" ref="B50">VLOOKUP(A50,{Metrik!$C$2:$C$998,Metrik!$B$2:$B$998},2,0)</f>
        <v>Alamtri Resources Indonesia Tbk.</v>
      </c>
      <c r="C50" s="15">
        <f>IFERROR(__xludf.DUMMYFUNCTION("GOOGLEFINANCE(""IDX:""&amp;A50,""price"")"),2280.0)</f>
        <v>2280</v>
      </c>
      <c r="D50" s="16" t="str">
        <f>IFERROR(__xludf.DUMMYFUNCTION("IF(A50="""","""",
SPARKLINE(
INDEX(
GOOGLEFINANCE(""IDX:""&amp;A50,""close"",TODAY()-365,TODAY()),
,2
),
{""linewidth"",1}
))
"),"#N/A")</f>
        <v>#N/A</v>
      </c>
      <c r="E50" s="14" t="s">
        <v>33</v>
      </c>
      <c r="F50" s="14" t="s">
        <v>34</v>
      </c>
      <c r="G50" s="24">
        <f t="shared" si="1"/>
        <v>14</v>
      </c>
      <c r="H50" s="19">
        <f>VLOOKUP(A50,Metrik!$C$2:$Y$959,8,0)</f>
        <v>8</v>
      </c>
      <c r="I50" s="20">
        <f>VLOOKUP(A50,Metrik!$C$2:$Y$959,9,0)</f>
        <v>0.73</v>
      </c>
      <c r="J50" s="20">
        <f>VLOOKUP(A50,Metrik!$C$2:$Y$959,10,0)</f>
        <v>9.1</v>
      </c>
      <c r="K50" s="20">
        <f>VLOOKUP(A50,Metrik!$C$2:$Y$959,11,0)</f>
        <v>6.9</v>
      </c>
      <c r="L50" s="20">
        <f>VLOOKUP(A50,Metrik!$C$2:$Y$959,12,0)</f>
        <v>0.32</v>
      </c>
      <c r="M50" s="20">
        <f>VLOOKUP(A50,Metrik!$C$2:$Y$959,19,0)</f>
        <v>110</v>
      </c>
      <c r="N50" s="21"/>
      <c r="O50" s="21"/>
      <c r="P50" s="21"/>
      <c r="Q50" s="21"/>
      <c r="R50" s="21"/>
      <c r="S50" s="21"/>
      <c r="T50" s="21"/>
      <c r="U50" s="22">
        <f>IFERROR(__xludf.DUMMYFUNCTION("IFERROR(GOOGLEFINANCE(A50,""closeyest""),"""")"),2250.0)</f>
        <v>2250</v>
      </c>
      <c r="V50" s="23">
        <f>IFERROR(__xludf.DUMMYFUNCTION("IFERROR(GOOGLEFINANCE(A50,""changepct""),"""")"),1.33)</f>
        <v>1.33</v>
      </c>
      <c r="W50" s="22">
        <f>IFERROR(__xludf.DUMMYFUNCTION("IFERROR(GOOGLEFINANCE(A50,""priceopen""),"""")"),2270.0)</f>
        <v>2270</v>
      </c>
      <c r="X50" s="22">
        <f>IFERROR(__xludf.DUMMYFUNCTION("IFERROR(GOOGLEFINANCE(A50,""high""),"""")"),2340.0)</f>
        <v>2340</v>
      </c>
      <c r="Y50" s="22">
        <f>IFERROR(__xludf.DUMMYFUNCTION("IFERROR(GOOGLEFINANCE(A50,""low""),"""")"),2250.0)</f>
        <v>2250</v>
      </c>
      <c r="Z50" s="22">
        <f>IFERROR(__xludf.DUMMYFUNCTION("IFERROR(GOOGLEFINANCE(A50,""volume""),"""")"),3.69179E7)</f>
        <v>36917900</v>
      </c>
      <c r="AA50" s="24" t="str">
        <f>VLOOKUP(A50,Metrik!$C$2:$Y$959,5,0)</f>
        <v>Coal</v>
      </c>
      <c r="AB50" s="24" t="str">
        <f>VLOOKUP(A50,Metrik!$C$2:$Y$959,3,0)</f>
        <v>Energy</v>
      </c>
    </row>
    <row r="51">
      <c r="A51" s="17" t="s">
        <v>66</v>
      </c>
      <c r="B51" s="14" t="str">
        <f t="array" ref="B51">VLOOKUP(A51,{Metrik!$C$2:$C$998,Metrik!$B$2:$B$998},2,0)</f>
        <v>Alamtri Resources Indonesia Tbk.</v>
      </c>
      <c r="C51" s="15">
        <f>IFERROR(__xludf.DUMMYFUNCTION("GOOGLEFINANCE(""IDX:""&amp;A51,""price"")"),2280.0)</f>
        <v>2280</v>
      </c>
      <c r="D51" s="16" t="str">
        <f>IFERROR(__xludf.DUMMYFUNCTION("IF(A51="""","""",
SPARKLINE(
INDEX(
GOOGLEFINANCE(""IDX:""&amp;A51,""close"",TODAY()-365,TODAY()),
,2
),
{""linewidth"",1}
))
"),"#N/A")</f>
        <v>#N/A</v>
      </c>
      <c r="E51" s="17" t="s">
        <v>69</v>
      </c>
      <c r="F51" s="17" t="s">
        <v>70</v>
      </c>
      <c r="G51" s="24">
        <f t="shared" si="1"/>
        <v>14</v>
      </c>
      <c r="H51" s="19">
        <f>VLOOKUP(A51,Metrik!$C$2:$Y$959,8,0)</f>
        <v>8</v>
      </c>
      <c r="I51" s="20">
        <f>VLOOKUP(A51,Metrik!$C$2:$Y$959,9,0)</f>
        <v>0.73</v>
      </c>
      <c r="J51" s="20">
        <f>VLOOKUP(A51,Metrik!$C$2:$Y$959,10,0)</f>
        <v>9.1</v>
      </c>
      <c r="K51" s="20">
        <f>VLOOKUP(A51,Metrik!$C$2:$Y$959,11,0)</f>
        <v>6.9</v>
      </c>
      <c r="L51" s="20">
        <f>VLOOKUP(A51,Metrik!$C$2:$Y$959,12,0)</f>
        <v>0.32</v>
      </c>
      <c r="M51" s="20">
        <f>VLOOKUP(A51,Metrik!$C$2:$Y$959,19,0)</f>
        <v>110</v>
      </c>
      <c r="N51" s="21"/>
      <c r="O51" s="21"/>
      <c r="P51" s="21"/>
      <c r="Q51" s="21"/>
      <c r="R51" s="21"/>
      <c r="S51" s="21"/>
      <c r="T51" s="21"/>
      <c r="U51" s="22">
        <f>IFERROR(__xludf.DUMMYFUNCTION("IFERROR(GOOGLEFINANCE(A51,""closeyest""),"""")"),2250.0)</f>
        <v>2250</v>
      </c>
      <c r="V51" s="23">
        <f>IFERROR(__xludf.DUMMYFUNCTION("IFERROR(GOOGLEFINANCE(A51,""changepct""),"""")"),1.33)</f>
        <v>1.33</v>
      </c>
      <c r="W51" s="22">
        <f>IFERROR(__xludf.DUMMYFUNCTION("IFERROR(GOOGLEFINANCE(A51,""priceopen""),"""")"),2270.0)</f>
        <v>2270</v>
      </c>
      <c r="X51" s="22">
        <f>IFERROR(__xludf.DUMMYFUNCTION("IFERROR(GOOGLEFINANCE(A51,""high""),"""")"),2340.0)</f>
        <v>2340</v>
      </c>
      <c r="Y51" s="22">
        <f>IFERROR(__xludf.DUMMYFUNCTION("IFERROR(GOOGLEFINANCE(A51,""low""),"""")"),2250.0)</f>
        <v>2250</v>
      </c>
      <c r="Z51" s="22">
        <f>IFERROR(__xludf.DUMMYFUNCTION("IFERROR(GOOGLEFINANCE(A51,""volume""),"""")"),3.69179E7)</f>
        <v>36917900</v>
      </c>
      <c r="AA51" s="24" t="str">
        <f>VLOOKUP(A51,Metrik!$C$2:$Y$959,5,0)</f>
        <v>Coal</v>
      </c>
      <c r="AB51" s="24" t="str">
        <f>VLOOKUP(A51,Metrik!$C$2:$Y$959,3,0)</f>
        <v>Energy</v>
      </c>
    </row>
    <row r="52">
      <c r="A52" s="17" t="s">
        <v>66</v>
      </c>
      <c r="B52" s="14" t="str">
        <f t="array" ref="B52">VLOOKUP(A52,{Metrik!$C$2:$C$998,Metrik!$B$2:$B$998},2,0)</f>
        <v>Alamtri Resources Indonesia Tbk.</v>
      </c>
      <c r="C52" s="15">
        <f>IFERROR(__xludf.DUMMYFUNCTION("GOOGLEFINANCE(""IDX:""&amp;A52,""price"")"),2280.0)</f>
        <v>2280</v>
      </c>
      <c r="D52" s="16" t="str">
        <f>IFERROR(__xludf.DUMMYFUNCTION("IF(A52="""","""",
SPARKLINE(
INDEX(
GOOGLEFINANCE(""IDX:""&amp;A52,""close"",TODAY()-365,TODAY()),
,2
),
{""linewidth"",1}
))
"),"#N/A")</f>
        <v>#N/A</v>
      </c>
      <c r="E52" s="14" t="s">
        <v>35</v>
      </c>
      <c r="F52" s="17" t="s">
        <v>36</v>
      </c>
      <c r="G52" s="24">
        <f t="shared" si="1"/>
        <v>14</v>
      </c>
      <c r="H52" s="19">
        <f>VLOOKUP(A52,Metrik!$C$2:$Y$959,8,0)</f>
        <v>8</v>
      </c>
      <c r="I52" s="20">
        <f>VLOOKUP(A52,Metrik!$C$2:$Y$959,9,0)</f>
        <v>0.73</v>
      </c>
      <c r="J52" s="20">
        <f>VLOOKUP(A52,Metrik!$C$2:$Y$959,10,0)</f>
        <v>9.1</v>
      </c>
      <c r="K52" s="20">
        <f>VLOOKUP(A52,Metrik!$C$2:$Y$959,11,0)</f>
        <v>6.9</v>
      </c>
      <c r="L52" s="20">
        <f>VLOOKUP(A52,Metrik!$C$2:$Y$959,12,0)</f>
        <v>0.32</v>
      </c>
      <c r="M52" s="20">
        <f>VLOOKUP(A52,Metrik!$C$2:$Y$959,19,0)</f>
        <v>110</v>
      </c>
      <c r="N52" s="29"/>
      <c r="O52" s="29"/>
      <c r="P52" s="29"/>
      <c r="Q52" s="29"/>
      <c r="R52" s="29"/>
      <c r="S52" s="29"/>
      <c r="T52" s="29"/>
      <c r="U52" s="22">
        <f>IFERROR(__xludf.DUMMYFUNCTION("IFERROR(GOOGLEFINANCE(A52,""closeyest""),"""")"),2250.0)</f>
        <v>2250</v>
      </c>
      <c r="V52" s="23">
        <f>IFERROR(__xludf.DUMMYFUNCTION("IFERROR(GOOGLEFINANCE(A52,""changepct""),"""")"),1.33)</f>
        <v>1.33</v>
      </c>
      <c r="W52" s="22">
        <f>IFERROR(__xludf.DUMMYFUNCTION("IFERROR(GOOGLEFINANCE(A52,""priceopen""),"""")"),2270.0)</f>
        <v>2270</v>
      </c>
      <c r="X52" s="22">
        <f>IFERROR(__xludf.DUMMYFUNCTION("IFERROR(GOOGLEFINANCE(A52,""high""),"""")"),2340.0)</f>
        <v>2340</v>
      </c>
      <c r="Y52" s="22">
        <f>IFERROR(__xludf.DUMMYFUNCTION("IFERROR(GOOGLEFINANCE(A52,""low""),"""")"),2250.0)</f>
        <v>2250</v>
      </c>
      <c r="Z52" s="22">
        <f>IFERROR(__xludf.DUMMYFUNCTION("IFERROR(GOOGLEFINANCE(A52,""volume""),"""")"),3.69179E7)</f>
        <v>36917900</v>
      </c>
      <c r="AA52" s="24" t="str">
        <f>VLOOKUP(A52,Metrik!$C$2:$Y$959,5,0)</f>
        <v>Coal</v>
      </c>
      <c r="AB52" s="24" t="str">
        <f>VLOOKUP(A52,Metrik!$C$2:$Y$959,3,0)</f>
        <v>Energy</v>
      </c>
    </row>
    <row r="53">
      <c r="A53" s="14" t="s">
        <v>66</v>
      </c>
      <c r="B53" s="14" t="str">
        <f t="array" ref="B53">VLOOKUP(A53,{Metrik!$C$2:$C$998,Metrik!$B$2:$B$998},2,0)</f>
        <v>Alamtri Resources Indonesia Tbk.</v>
      </c>
      <c r="C53" s="15">
        <f>IFERROR(__xludf.DUMMYFUNCTION("GOOGLEFINANCE(""IDX:""&amp;A53,""price"")"),2280.0)</f>
        <v>2280</v>
      </c>
      <c r="D53" s="16" t="str">
        <f>IFERROR(__xludf.DUMMYFUNCTION("IF(A53="""","""",
SPARKLINE(
INDEX(
GOOGLEFINANCE(""IDX:""&amp;A53,""close"",TODAY()-365,TODAY()),
,2
),
{""linewidth"",1}
))
"),"#N/A")</f>
        <v>#N/A</v>
      </c>
      <c r="E53" s="14" t="s">
        <v>65</v>
      </c>
      <c r="F53" s="25">
        <v>46356.0</v>
      </c>
      <c r="G53" s="24">
        <f t="shared" si="1"/>
        <v>14</v>
      </c>
      <c r="H53" s="19">
        <f>VLOOKUP(A53,Metrik!$C$2:$Y$959,8,0)</f>
        <v>8</v>
      </c>
      <c r="I53" s="20">
        <f>VLOOKUP(A53,Metrik!$C$2:$Y$959,9,0)</f>
        <v>0.73</v>
      </c>
      <c r="J53" s="20">
        <f>VLOOKUP(A53,Metrik!$C$2:$Y$959,10,0)</f>
        <v>9.1</v>
      </c>
      <c r="K53" s="20">
        <f>VLOOKUP(A53,Metrik!$C$2:$Y$959,11,0)</f>
        <v>6.9</v>
      </c>
      <c r="L53" s="20">
        <f>VLOOKUP(A53,Metrik!$C$2:$Y$959,12,0)</f>
        <v>0.32</v>
      </c>
      <c r="M53" s="20">
        <f>VLOOKUP(A53,Metrik!$C$2:$Y$959,19,0)</f>
        <v>110</v>
      </c>
      <c r="N53" s="21"/>
      <c r="O53" s="21"/>
      <c r="P53" s="21"/>
      <c r="Q53" s="21"/>
      <c r="R53" s="21"/>
      <c r="S53" s="21"/>
      <c r="T53" s="21"/>
      <c r="U53" s="22">
        <f>IFERROR(__xludf.DUMMYFUNCTION("IFERROR(GOOGLEFINANCE(A53,""closeyest""),"""")"),2250.0)</f>
        <v>2250</v>
      </c>
      <c r="V53" s="23">
        <f>IFERROR(__xludf.DUMMYFUNCTION("IFERROR(GOOGLEFINANCE(A53,""changepct""),"""")"),1.33)</f>
        <v>1.33</v>
      </c>
      <c r="W53" s="22">
        <f>IFERROR(__xludf.DUMMYFUNCTION("IFERROR(GOOGLEFINANCE(A53,""priceopen""),"""")"),2270.0)</f>
        <v>2270</v>
      </c>
      <c r="X53" s="22">
        <f>IFERROR(__xludf.DUMMYFUNCTION("IFERROR(GOOGLEFINANCE(A53,""high""),"""")"),2340.0)</f>
        <v>2340</v>
      </c>
      <c r="Y53" s="22">
        <f>IFERROR(__xludf.DUMMYFUNCTION("IFERROR(GOOGLEFINANCE(A53,""low""),"""")"),2250.0)</f>
        <v>2250</v>
      </c>
      <c r="Z53" s="22">
        <f>IFERROR(__xludf.DUMMYFUNCTION("IFERROR(GOOGLEFINANCE(A53,""volume""),"""")"),3.69179E7)</f>
        <v>36917900</v>
      </c>
      <c r="AA53" s="24" t="str">
        <f>VLOOKUP(A53,Metrik!$C$2:$Y$959,5,0)</f>
        <v>Coal</v>
      </c>
      <c r="AB53" s="24" t="str">
        <f>VLOOKUP(A53,Metrik!$C$2:$Y$959,3,0)</f>
        <v>Energy</v>
      </c>
    </row>
    <row r="54">
      <c r="A54" s="14" t="s">
        <v>66</v>
      </c>
      <c r="B54" s="14" t="str">
        <f t="array" ref="B54">VLOOKUP(A54,{Metrik!$C$2:$C$998,Metrik!$B$2:$B$998},2,0)</f>
        <v>Alamtri Resources Indonesia Tbk.</v>
      </c>
      <c r="C54" s="15">
        <f>IFERROR(__xludf.DUMMYFUNCTION("GOOGLEFINANCE(""IDX:""&amp;A54,""price"")"),2280.0)</f>
        <v>2280</v>
      </c>
      <c r="D54" s="16" t="str">
        <f>IFERROR(__xludf.DUMMYFUNCTION("IF(A54="""","""",
SPARKLINE(
INDEX(
GOOGLEFINANCE(""IDX:""&amp;A54,""close"",TODAY()-365,TODAY()),
,2
),
{""linewidth"",1}
))
"),"#N/A")</f>
        <v>#N/A</v>
      </c>
      <c r="E54" s="14" t="s">
        <v>42</v>
      </c>
      <c r="F54" s="25">
        <v>46356.0</v>
      </c>
      <c r="G54" s="24">
        <f t="shared" si="1"/>
        <v>14</v>
      </c>
      <c r="H54" s="19">
        <f>VLOOKUP(A54,Metrik!$C$2:$Y$959,8,0)</f>
        <v>8</v>
      </c>
      <c r="I54" s="20">
        <f>VLOOKUP(A54,Metrik!$C$2:$Y$959,9,0)</f>
        <v>0.73</v>
      </c>
      <c r="J54" s="20">
        <f>VLOOKUP(A54,Metrik!$C$2:$Y$959,10,0)</f>
        <v>9.1</v>
      </c>
      <c r="K54" s="20">
        <f>VLOOKUP(A54,Metrik!$C$2:$Y$959,11,0)</f>
        <v>6.9</v>
      </c>
      <c r="L54" s="20">
        <f>VLOOKUP(A54,Metrik!$C$2:$Y$959,12,0)</f>
        <v>0.32</v>
      </c>
      <c r="M54" s="20">
        <f>VLOOKUP(A54,Metrik!$C$2:$Y$959,19,0)</f>
        <v>110</v>
      </c>
      <c r="N54" s="21"/>
      <c r="O54" s="21"/>
      <c r="P54" s="21"/>
      <c r="Q54" s="21"/>
      <c r="R54" s="21"/>
      <c r="S54" s="21"/>
      <c r="T54" s="21"/>
      <c r="U54" s="22">
        <f>IFERROR(__xludf.DUMMYFUNCTION("IFERROR(GOOGLEFINANCE(A54,""closeyest""),"""")"),2250.0)</f>
        <v>2250</v>
      </c>
      <c r="V54" s="23">
        <f>IFERROR(__xludf.DUMMYFUNCTION("IFERROR(GOOGLEFINANCE(A54,""changepct""),"""")"),1.33)</f>
        <v>1.33</v>
      </c>
      <c r="W54" s="22">
        <f>IFERROR(__xludf.DUMMYFUNCTION("IFERROR(GOOGLEFINANCE(A54,""priceopen""),"""")"),2270.0)</f>
        <v>2270</v>
      </c>
      <c r="X54" s="22">
        <f>IFERROR(__xludf.DUMMYFUNCTION("IFERROR(GOOGLEFINANCE(A54,""high""),"""")"),2340.0)</f>
        <v>2340</v>
      </c>
      <c r="Y54" s="22">
        <f>IFERROR(__xludf.DUMMYFUNCTION("IFERROR(GOOGLEFINANCE(A54,""low""),"""")"),2250.0)</f>
        <v>2250</v>
      </c>
      <c r="Z54" s="22">
        <f>IFERROR(__xludf.DUMMYFUNCTION("IFERROR(GOOGLEFINANCE(A54,""volume""),"""")"),3.69179E7)</f>
        <v>36917900</v>
      </c>
      <c r="AA54" s="24" t="str">
        <f>VLOOKUP(A54,Metrik!$C$2:$Y$959,5,0)</f>
        <v>Coal</v>
      </c>
      <c r="AB54" s="24" t="str">
        <f>VLOOKUP(A54,Metrik!$C$2:$Y$959,3,0)</f>
        <v>Energy</v>
      </c>
    </row>
    <row r="55">
      <c r="A55" s="14" t="s">
        <v>66</v>
      </c>
      <c r="B55" s="14" t="str">
        <f t="array" ref="B55">VLOOKUP(A55,{Metrik!$C$2:$C$998,Metrik!$B$2:$B$998},2,0)</f>
        <v>Alamtri Resources Indonesia Tbk.</v>
      </c>
      <c r="C55" s="15">
        <f>IFERROR(__xludf.DUMMYFUNCTION("GOOGLEFINANCE(""IDX:""&amp;A55,""price"")"),2280.0)</f>
        <v>2280</v>
      </c>
      <c r="D55" s="16" t="str">
        <f>IFERROR(__xludf.DUMMYFUNCTION("IF(A55="""","""",
SPARKLINE(
INDEX(
GOOGLEFINANCE(""IDX:""&amp;A55,""close"",TODAY()-365,TODAY()),
,2
),
{""linewidth"",1}
))
"),"#N/A")</f>
        <v>#N/A</v>
      </c>
      <c r="E55" s="14" t="s">
        <v>38</v>
      </c>
      <c r="F55" s="25">
        <v>46356.0</v>
      </c>
      <c r="G55" s="24">
        <f t="shared" si="1"/>
        <v>14</v>
      </c>
      <c r="H55" s="19">
        <f>VLOOKUP(A55,Metrik!$C$2:$Y$959,8,0)</f>
        <v>8</v>
      </c>
      <c r="I55" s="20">
        <f>VLOOKUP(A55,Metrik!$C$2:$Y$959,9,0)</f>
        <v>0.73</v>
      </c>
      <c r="J55" s="20">
        <f>VLOOKUP(A55,Metrik!$C$2:$Y$959,10,0)</f>
        <v>9.1</v>
      </c>
      <c r="K55" s="20">
        <f>VLOOKUP(A55,Metrik!$C$2:$Y$959,11,0)</f>
        <v>6.9</v>
      </c>
      <c r="L55" s="20">
        <f>VLOOKUP(A55,Metrik!$C$2:$Y$959,12,0)</f>
        <v>0.32</v>
      </c>
      <c r="M55" s="20">
        <f>VLOOKUP(A55,Metrik!$C$2:$Y$959,19,0)</f>
        <v>110</v>
      </c>
      <c r="N55" s="21"/>
      <c r="O55" s="21"/>
      <c r="P55" s="21"/>
      <c r="Q55" s="21"/>
      <c r="R55" s="21"/>
      <c r="S55" s="21"/>
      <c r="T55" s="21"/>
      <c r="U55" s="22">
        <f>IFERROR(__xludf.DUMMYFUNCTION("IFERROR(GOOGLEFINANCE(A55,""closeyest""),"""")"),2250.0)</f>
        <v>2250</v>
      </c>
      <c r="V55" s="23">
        <f>IFERROR(__xludf.DUMMYFUNCTION("IFERROR(GOOGLEFINANCE(A55,""changepct""),"""")"),1.33)</f>
        <v>1.33</v>
      </c>
      <c r="W55" s="22">
        <f>IFERROR(__xludf.DUMMYFUNCTION("IFERROR(GOOGLEFINANCE(A55,""priceopen""),"""")"),2270.0)</f>
        <v>2270</v>
      </c>
      <c r="X55" s="22">
        <f>IFERROR(__xludf.DUMMYFUNCTION("IFERROR(GOOGLEFINANCE(A55,""high""),"""")"),2340.0)</f>
        <v>2340</v>
      </c>
      <c r="Y55" s="22">
        <f>IFERROR(__xludf.DUMMYFUNCTION("IFERROR(GOOGLEFINANCE(A55,""low""),"""")"),2250.0)</f>
        <v>2250</v>
      </c>
      <c r="Z55" s="22">
        <f>IFERROR(__xludf.DUMMYFUNCTION("IFERROR(GOOGLEFINANCE(A55,""volume""),"""")"),3.69179E7)</f>
        <v>36917900</v>
      </c>
      <c r="AA55" s="24" t="str">
        <f>VLOOKUP(A55,Metrik!$C$2:$Y$959,5,0)</f>
        <v>Coal</v>
      </c>
      <c r="AB55" s="24" t="str">
        <f>VLOOKUP(A55,Metrik!$C$2:$Y$959,3,0)</f>
        <v>Energy</v>
      </c>
    </row>
    <row r="56">
      <c r="A56" s="14" t="s">
        <v>66</v>
      </c>
      <c r="B56" s="14" t="str">
        <f t="array" ref="B56">VLOOKUP(A56,{Metrik!$C$2:$C$998,Metrik!$B$2:$B$998},2,0)</f>
        <v>Alamtri Resources Indonesia Tbk.</v>
      </c>
      <c r="C56" s="15">
        <f>IFERROR(__xludf.DUMMYFUNCTION("GOOGLEFINANCE(""IDX:""&amp;A56,""price"")"),2280.0)</f>
        <v>2280</v>
      </c>
      <c r="D56" s="16" t="str">
        <f>IFERROR(__xludf.DUMMYFUNCTION("IF(A56="""","""",
SPARKLINE(
INDEX(
GOOGLEFINANCE(""IDX:""&amp;A56,""close"",TODAY()-365,TODAY()),
,2
),
{""linewidth"",1}
))
"),"#N/A")</f>
        <v>#N/A</v>
      </c>
      <c r="E56" s="14" t="s">
        <v>39</v>
      </c>
      <c r="F56" s="25">
        <v>46356.0</v>
      </c>
      <c r="G56" s="24">
        <f t="shared" si="1"/>
        <v>14</v>
      </c>
      <c r="H56" s="19">
        <f>VLOOKUP(A56,Metrik!$C$2:$Y$959,8,0)</f>
        <v>8</v>
      </c>
      <c r="I56" s="20">
        <f>VLOOKUP(A56,Metrik!$C$2:$Y$959,9,0)</f>
        <v>0.73</v>
      </c>
      <c r="J56" s="20">
        <f>VLOOKUP(A56,Metrik!$C$2:$Y$959,10,0)</f>
        <v>9.1</v>
      </c>
      <c r="K56" s="20">
        <f>VLOOKUP(A56,Metrik!$C$2:$Y$959,11,0)</f>
        <v>6.9</v>
      </c>
      <c r="L56" s="20">
        <f>VLOOKUP(A56,Metrik!$C$2:$Y$959,12,0)</f>
        <v>0.32</v>
      </c>
      <c r="M56" s="20">
        <f>VLOOKUP(A56,Metrik!$C$2:$Y$959,19,0)</f>
        <v>110</v>
      </c>
      <c r="N56" s="21"/>
      <c r="O56" s="21"/>
      <c r="P56" s="21"/>
      <c r="Q56" s="21"/>
      <c r="R56" s="21"/>
      <c r="S56" s="21"/>
      <c r="T56" s="21"/>
      <c r="U56" s="22">
        <f>IFERROR(__xludf.DUMMYFUNCTION("IFERROR(GOOGLEFINANCE(A56,""closeyest""),"""")"),2250.0)</f>
        <v>2250</v>
      </c>
      <c r="V56" s="23">
        <f>IFERROR(__xludf.DUMMYFUNCTION("IFERROR(GOOGLEFINANCE(A56,""changepct""),"""")"),1.33)</f>
        <v>1.33</v>
      </c>
      <c r="W56" s="22">
        <f>IFERROR(__xludf.DUMMYFUNCTION("IFERROR(GOOGLEFINANCE(A56,""priceopen""),"""")"),2270.0)</f>
        <v>2270</v>
      </c>
      <c r="X56" s="22">
        <f>IFERROR(__xludf.DUMMYFUNCTION("IFERROR(GOOGLEFINANCE(A56,""high""),"""")"),2340.0)</f>
        <v>2340</v>
      </c>
      <c r="Y56" s="22">
        <f>IFERROR(__xludf.DUMMYFUNCTION("IFERROR(GOOGLEFINANCE(A56,""low""),"""")"),2250.0)</f>
        <v>2250</v>
      </c>
      <c r="Z56" s="22">
        <f>IFERROR(__xludf.DUMMYFUNCTION("IFERROR(GOOGLEFINANCE(A56,""volume""),"""")"),3.69179E7)</f>
        <v>36917900</v>
      </c>
      <c r="AA56" s="24" t="str">
        <f>VLOOKUP(A56,Metrik!$C$2:$Y$959,5,0)</f>
        <v>Coal</v>
      </c>
      <c r="AB56" s="24" t="str">
        <f>VLOOKUP(A56,Metrik!$C$2:$Y$959,3,0)</f>
        <v>Energy</v>
      </c>
    </row>
    <row r="57">
      <c r="A57" s="14" t="s">
        <v>71</v>
      </c>
      <c r="B57" s="14" t="str">
        <f t="array" ref="B57">VLOOKUP(A57,{Metrik!$C$2:$C$998,Metrik!$B$2:$B$998},2,0)</f>
        <v>PT Anugerah Spareparts Sejahtera Tbk.</v>
      </c>
      <c r="C57" s="15">
        <f>IFERROR(__xludf.DUMMYFUNCTION("GOOGLEFINANCE(""IDX:""&amp;A57,""price"")"),40.0)</f>
        <v>40</v>
      </c>
      <c r="D57" s="16" t="str">
        <f>IFERROR(__xludf.DUMMYFUNCTION("IF(A57="""","""",
SPARKLINE(
INDEX(
GOOGLEFINANCE(""IDX:""&amp;A57,""close"",TODAY()-365,TODAY()),
,2
),
{""linewidth"",1}
))
"),"#N/A")</f>
        <v>#N/A</v>
      </c>
      <c r="E57" s="26"/>
      <c r="F57" s="26"/>
      <c r="G57" s="24">
        <f t="shared" si="1"/>
        <v>0</v>
      </c>
      <c r="H57" s="19">
        <f>VLOOKUP(A57,Metrik!$C$2:$Y$959,8,0)</f>
        <v>190</v>
      </c>
      <c r="I57" s="20">
        <f>VLOOKUP(A57,Metrik!$C$2:$Y$959,9,0)</f>
        <v>0.7</v>
      </c>
      <c r="J57" s="20">
        <f>VLOOKUP(A57,Metrik!$C$2:$Y$959,10,0)</f>
        <v>0.37</v>
      </c>
      <c r="K57" s="20">
        <f>VLOOKUP(A57,Metrik!$C$2:$Y$959,11,0)</f>
        <v>0.35</v>
      </c>
      <c r="L57" s="20">
        <f>VLOOKUP(A57,Metrik!$C$2:$Y$959,12,0)</f>
        <v>0.06</v>
      </c>
      <c r="M57" s="20">
        <f>VLOOKUP(A57,Metrik!$C$2:$Y$959,19,0)</f>
        <v>1</v>
      </c>
      <c r="N57" s="21"/>
      <c r="O57" s="21"/>
      <c r="P57" s="21"/>
      <c r="Q57" s="21"/>
      <c r="R57" s="21"/>
      <c r="S57" s="21"/>
      <c r="T57" s="21"/>
      <c r="U57" s="22">
        <f>IFERROR(__xludf.DUMMYFUNCTION("IFERROR(GOOGLEFINANCE(A57,""closeyest""),"""")"),39.0)</f>
        <v>39</v>
      </c>
      <c r="V57" s="23">
        <f>IFERROR(__xludf.DUMMYFUNCTION("IFERROR(GOOGLEFINANCE(A57,""changepct""),"""")"),2.56)</f>
        <v>2.56</v>
      </c>
      <c r="W57" s="22">
        <f>IFERROR(__xludf.DUMMYFUNCTION("IFERROR(GOOGLEFINANCE(A57,""priceopen""),"""")"),39.0)</f>
        <v>39</v>
      </c>
      <c r="X57" s="22">
        <f>IFERROR(__xludf.DUMMYFUNCTION("IFERROR(GOOGLEFINANCE(A57,""high""),"""")"),41.0)</f>
        <v>41</v>
      </c>
      <c r="Y57" s="22">
        <f>IFERROR(__xludf.DUMMYFUNCTION("IFERROR(GOOGLEFINANCE(A57,""low""),"""")"),39.0)</f>
        <v>39</v>
      </c>
      <c r="Z57" s="22">
        <f>IFERROR(__xludf.DUMMYFUNCTION("IFERROR(GOOGLEFINANCE(A57,""volume""),"""")"),1070500.0)</f>
        <v>1070500</v>
      </c>
      <c r="AA57" s="24" t="str">
        <f>VLOOKUP(A57,Metrik!$C$2:$Y$959,5,0)</f>
        <v>Auto Components</v>
      </c>
      <c r="AB57" s="24" t="str">
        <f>VLOOKUP(A57,Metrik!$C$2:$Y$959,3,0)</f>
        <v>Consumer Cyclicals</v>
      </c>
    </row>
    <row r="58">
      <c r="A58" s="14" t="s">
        <v>72</v>
      </c>
      <c r="B58" s="14" t="str">
        <f t="array" ref="B58">VLOOKUP(A58,{Metrik!$C$2:$C$998,Metrik!$B$2:$B$998},2,0)</f>
        <v>Asia Sejahtera Mina Tbk.</v>
      </c>
      <c r="C58" s="15">
        <f>IFERROR(__xludf.DUMMYFUNCTION("GOOGLEFINANCE(""IDX:""&amp;A58,""price"")"),216.0)</f>
        <v>216</v>
      </c>
      <c r="D58" s="16" t="str">
        <f>IFERROR(__xludf.DUMMYFUNCTION("IF(A58="""","""",
SPARKLINE(
INDEX(
GOOGLEFINANCE(""IDX:""&amp;A58,""close"",TODAY()-365,TODAY()),
,2
),
{""linewidth"",1}
))
"),"#N/A")</f>
        <v>#N/A</v>
      </c>
      <c r="E58" s="26"/>
      <c r="F58" s="26"/>
      <c r="G58" s="24">
        <f t="shared" si="1"/>
        <v>0</v>
      </c>
      <c r="H58" s="19">
        <f>VLOOKUP(A58,Metrik!$C$2:$Y$959,8,0)</f>
        <v>48.2</v>
      </c>
      <c r="I58" s="20">
        <f>VLOOKUP(A58,Metrik!$C$2:$Y$959,9,0)</f>
        <v>2.1</v>
      </c>
      <c r="J58" s="20">
        <f>VLOOKUP(A58,Metrik!$C$2:$Y$959,10,0)</f>
        <v>4.4</v>
      </c>
      <c r="K58" s="20">
        <f>VLOOKUP(A58,Metrik!$C$2:$Y$959,11,0)</f>
        <v>2.6</v>
      </c>
      <c r="L58" s="20">
        <f>VLOOKUP(A58,Metrik!$C$2:$Y$959,12,0)</f>
        <v>0.65</v>
      </c>
      <c r="M58" s="20">
        <f>VLOOKUP(A58,Metrik!$C$2:$Y$959,19,0)</f>
        <v>10.7</v>
      </c>
      <c r="N58" s="21"/>
      <c r="O58" s="21"/>
      <c r="P58" s="21"/>
      <c r="Q58" s="21"/>
      <c r="R58" s="21"/>
      <c r="S58" s="21"/>
      <c r="T58" s="21"/>
      <c r="U58" s="22">
        <f>IFERROR(__xludf.DUMMYFUNCTION("IFERROR(GOOGLEFINANCE(A58,""closeyest""),"""")"),218.0)</f>
        <v>218</v>
      </c>
      <c r="V58" s="23">
        <f>IFERROR(__xludf.DUMMYFUNCTION("IFERROR(GOOGLEFINANCE(A58,""changepct""),"""")"),-0.92)</f>
        <v>-0.92</v>
      </c>
      <c r="W58" s="22">
        <f>IFERROR(__xludf.DUMMYFUNCTION("IFERROR(GOOGLEFINANCE(A58,""priceopen""),"""")"),218.0)</f>
        <v>218</v>
      </c>
      <c r="X58" s="22">
        <f>IFERROR(__xludf.DUMMYFUNCTION("IFERROR(GOOGLEFINANCE(A58,""high""),"""")"),226.0)</f>
        <v>226</v>
      </c>
      <c r="Y58" s="22">
        <f>IFERROR(__xludf.DUMMYFUNCTION("IFERROR(GOOGLEFINANCE(A58,""low""),"""")"),214.0)</f>
        <v>214</v>
      </c>
      <c r="Z58" s="22">
        <f>IFERROR(__xludf.DUMMYFUNCTION("IFERROR(GOOGLEFINANCE(A58,""volume""),"""")"),195700.0)</f>
        <v>195700</v>
      </c>
      <c r="AA58" s="24" t="str">
        <f>VLOOKUP(A58,Metrik!$C$2:$Y$959,5,0)</f>
        <v>Agricultural Products</v>
      </c>
      <c r="AB58" s="24" t="str">
        <f>VLOOKUP(A58,Metrik!$C$2:$Y$959,3,0)</f>
        <v>Consumer Non-Cyclicals</v>
      </c>
    </row>
    <row r="59">
      <c r="A59" s="14" t="s">
        <v>73</v>
      </c>
      <c r="B59" s="14" t="str">
        <f t="array" ref="B59">VLOOKUP(A59,{Metrik!$C$2:$C$998,Metrik!$B$2:$B$998},2,0)</f>
        <v>Samator Indo Gas Tbk.</v>
      </c>
      <c r="C59" s="15">
        <f>IFERROR(__xludf.DUMMYFUNCTION("GOOGLEFINANCE(""IDX:""&amp;A59,""price"")"),2680.0)</f>
        <v>2680</v>
      </c>
      <c r="D59" s="16" t="str">
        <f>IFERROR(__xludf.DUMMYFUNCTION("IF(A59="""","""",
SPARKLINE(
INDEX(
GOOGLEFINANCE(""IDX:""&amp;A59,""close"",TODAY()-365,TODAY()),
,2
),
{""linewidth"",1}
))
"),"#N/A")</f>
        <v>#N/A</v>
      </c>
      <c r="E59" s="26"/>
      <c r="F59" s="26"/>
      <c r="G59" s="24">
        <f t="shared" si="1"/>
        <v>0</v>
      </c>
      <c r="H59" s="19">
        <f>VLOOKUP(A59,Metrik!$C$2:$Y$959,8,0)</f>
        <v>97.9</v>
      </c>
      <c r="I59" s="20">
        <f>VLOOKUP(A59,Metrik!$C$2:$Y$959,9,0)</f>
        <v>2.2</v>
      </c>
      <c r="J59" s="20">
        <f>VLOOKUP(A59,Metrik!$C$2:$Y$959,10,0)</f>
        <v>2.2</v>
      </c>
      <c r="K59" s="20">
        <f>VLOOKUP(A59,Metrik!$C$2:$Y$959,11,0)</f>
        <v>1</v>
      </c>
      <c r="L59" s="20">
        <f>VLOOKUP(A59,Metrik!$C$2:$Y$959,12,0)</f>
        <v>1.2</v>
      </c>
      <c r="M59" s="20">
        <f>VLOOKUP(A59,Metrik!$C$2:$Y$959,19,0)</f>
        <v>11.3</v>
      </c>
      <c r="N59" s="21"/>
      <c r="O59" s="21"/>
      <c r="P59" s="21"/>
      <c r="Q59" s="21"/>
      <c r="R59" s="21"/>
      <c r="S59" s="21"/>
      <c r="T59" s="21"/>
      <c r="U59" s="22">
        <f>IFERROR(__xludf.DUMMYFUNCTION("IFERROR(GOOGLEFINANCE(A59,""closeyest""),"""")"),2550.0)</f>
        <v>2550</v>
      </c>
      <c r="V59" s="23">
        <f>IFERROR(__xludf.DUMMYFUNCTION("IFERROR(GOOGLEFINANCE(A59,""changepct""),"""")"),5.1)</f>
        <v>5.1</v>
      </c>
      <c r="W59" s="22">
        <f>IFERROR(__xludf.DUMMYFUNCTION("IFERROR(GOOGLEFINANCE(A59,""priceopen""),"""")"),2580.0)</f>
        <v>2580</v>
      </c>
      <c r="X59" s="22">
        <f>IFERROR(__xludf.DUMMYFUNCTION("IFERROR(GOOGLEFINANCE(A59,""high""),"""")"),2730.0)</f>
        <v>2730</v>
      </c>
      <c r="Y59" s="22">
        <f>IFERROR(__xludf.DUMMYFUNCTION("IFERROR(GOOGLEFINANCE(A59,""low""),"""")"),2580.0)</f>
        <v>2580</v>
      </c>
      <c r="Z59" s="22">
        <f>IFERROR(__xludf.DUMMYFUNCTION("IFERROR(GOOGLEFINANCE(A59,""volume""),"""")"),83100.0)</f>
        <v>83100</v>
      </c>
      <c r="AA59" s="24" t="str">
        <f>VLOOKUP(A59,Metrik!$C$2:$Y$959,5,0)</f>
        <v>Chemicals</v>
      </c>
      <c r="AB59" s="24" t="str">
        <f>VLOOKUP(A59,Metrik!$C$2:$Y$959,3,0)</f>
        <v>Basic Materials</v>
      </c>
    </row>
    <row r="60">
      <c r="A60" s="14" t="s">
        <v>74</v>
      </c>
      <c r="B60" s="14" t="str">
        <f t="array" ref="B60">VLOOKUP(A60,{Metrik!$C$2:$C$998,Metrik!$B$2:$B$998},2,0)</f>
        <v>PT Bank Rakyat Indonesia Agroniaga Tbk</v>
      </c>
      <c r="C60" s="15">
        <f>IFERROR(__xludf.DUMMYFUNCTION("GOOGLEFINANCE(""IDX:""&amp;A60,""price"")"),151.0)</f>
        <v>151</v>
      </c>
      <c r="D60" s="16" t="str">
        <f>IFERROR(__xludf.DUMMYFUNCTION("IF(A60="""","""",
SPARKLINE(
INDEX(
GOOGLEFINANCE(""IDX:""&amp;A60,""close"",TODAY()-365,TODAY()),
,2
),
{""linewidth"",1}
))
"),"#N/A")</f>
        <v>#N/A</v>
      </c>
      <c r="E60" s="14" t="s">
        <v>61</v>
      </c>
      <c r="F60" s="14" t="s">
        <v>34</v>
      </c>
      <c r="G60" s="24">
        <f t="shared" si="1"/>
        <v>2</v>
      </c>
      <c r="H60" s="19">
        <f>VLOOKUP(A60,Metrik!$C$2:$Y$959,8,0)</f>
        <v>-8</v>
      </c>
      <c r="I60" s="20">
        <f>VLOOKUP(A60,Metrik!$C$2:$Y$959,9,0)</f>
        <v>1.4</v>
      </c>
      <c r="J60" s="20">
        <f>VLOOKUP(A60,Metrik!$C$2:$Y$959,10,0)</f>
        <v>-17.3</v>
      </c>
      <c r="K60" s="20">
        <f>VLOOKUP(A60,Metrik!$C$2:$Y$959,11,0)</f>
        <v>-4</v>
      </c>
      <c r="L60" s="20">
        <f>VLOOKUP(A60,Metrik!$C$2:$Y$959,12,0)</f>
        <v>3.4</v>
      </c>
      <c r="M60" s="20">
        <f>VLOOKUP(A60,Metrik!$C$2:$Y$959,19,0)</f>
        <v>-160</v>
      </c>
      <c r="N60" s="30">
        <v>4.44</v>
      </c>
      <c r="O60" s="30">
        <v>44.29</v>
      </c>
      <c r="P60" s="30">
        <v>87.62</v>
      </c>
      <c r="Q60" s="30">
        <v>3.22</v>
      </c>
      <c r="R60" s="30">
        <v>96.68</v>
      </c>
      <c r="S60" s="30">
        <v>58.02</v>
      </c>
      <c r="T60" s="31"/>
      <c r="U60" s="22">
        <f>IFERROR(__xludf.DUMMYFUNCTION("IFERROR(GOOGLEFINANCE(A60,""closeyest""),"""")"),11.69)</f>
        <v>11.69</v>
      </c>
      <c r="V60" s="23">
        <f>IFERROR(__xludf.DUMMYFUNCTION("IFERROR(GOOGLEFINANCE(A60,""changepct""),"""")"),-0.34)</f>
        <v>-0.34</v>
      </c>
      <c r="W60" s="22">
        <f>IFERROR(__xludf.DUMMYFUNCTION("IFERROR(GOOGLEFINANCE(A60,""priceopen""),"""")"),11.63)</f>
        <v>11.63</v>
      </c>
      <c r="X60" s="22">
        <f>IFERROR(__xludf.DUMMYFUNCTION("IFERROR(GOOGLEFINANCE(A60,""high""),"""")"),11.84)</f>
        <v>11.84</v>
      </c>
      <c r="Y60" s="22">
        <f>IFERROR(__xludf.DUMMYFUNCTION("IFERROR(GOOGLEFINANCE(A60,""low""),"""")"),11.58)</f>
        <v>11.58</v>
      </c>
      <c r="Z60" s="22">
        <f>IFERROR(__xludf.DUMMYFUNCTION("IFERROR(GOOGLEFINANCE(A60,""volume""),"""")"),921019.0)</f>
        <v>921019</v>
      </c>
      <c r="AA60" s="24" t="str">
        <f>VLOOKUP(A60,Metrik!$C$2:$Y$959,5,0)</f>
        <v>Banks</v>
      </c>
      <c r="AB60" s="24" t="str">
        <f>VLOOKUP(A60,Metrik!$C$2:$Y$959,3,0)</f>
        <v>Financials</v>
      </c>
    </row>
    <row r="61">
      <c r="A61" s="14" t="s">
        <v>74</v>
      </c>
      <c r="B61" s="14" t="str">
        <f t="array" ref="B61">VLOOKUP(A61,{Metrik!$C$2:$C$998,Metrik!$B$2:$B$998},2,0)</f>
        <v>PT Bank Rakyat Indonesia Agroniaga Tbk</v>
      </c>
      <c r="C61" s="15">
        <f>IFERROR(__xludf.DUMMYFUNCTION("GOOGLEFINANCE(""IDX:""&amp;A61,""price"")"),151.0)</f>
        <v>151</v>
      </c>
      <c r="D61" s="16" t="str">
        <f>IFERROR(__xludf.DUMMYFUNCTION("IF(A61="""","""",
SPARKLINE(
INDEX(
GOOGLEFINANCE(""IDX:""&amp;A61,""close"",TODAY()-365,TODAY()),
,2
),
{""linewidth"",1}
))
"),"#N/A")</f>
        <v>#N/A</v>
      </c>
      <c r="E61" s="14" t="s">
        <v>75</v>
      </c>
      <c r="F61" s="14" t="s">
        <v>76</v>
      </c>
      <c r="G61" s="24">
        <f t="shared" si="1"/>
        <v>2</v>
      </c>
      <c r="H61" s="19">
        <f>VLOOKUP(A61,Metrik!$C$2:$Y$959,8,0)</f>
        <v>-8</v>
      </c>
      <c r="I61" s="20">
        <f>VLOOKUP(A61,Metrik!$C$2:$Y$959,9,0)</f>
        <v>1.4</v>
      </c>
      <c r="J61" s="20">
        <f>VLOOKUP(A61,Metrik!$C$2:$Y$959,10,0)</f>
        <v>-17.3</v>
      </c>
      <c r="K61" s="20">
        <f>VLOOKUP(A61,Metrik!$C$2:$Y$959,11,0)</f>
        <v>-4</v>
      </c>
      <c r="L61" s="20">
        <f>VLOOKUP(A61,Metrik!$C$2:$Y$959,12,0)</f>
        <v>3.4</v>
      </c>
      <c r="M61" s="20">
        <f>VLOOKUP(A61,Metrik!$C$2:$Y$959,19,0)</f>
        <v>-160</v>
      </c>
      <c r="N61" s="30">
        <v>4.44</v>
      </c>
      <c r="O61" s="30">
        <v>44.29</v>
      </c>
      <c r="P61" s="30">
        <v>87.62</v>
      </c>
      <c r="Q61" s="30">
        <v>3.22</v>
      </c>
      <c r="R61" s="30">
        <v>96.68</v>
      </c>
      <c r="S61" s="30">
        <v>58.02</v>
      </c>
      <c r="T61" s="31"/>
      <c r="U61" s="22">
        <f>IFERROR(__xludf.DUMMYFUNCTION("IFERROR(GOOGLEFINANCE(A61,""closeyest""),"""")"),11.69)</f>
        <v>11.69</v>
      </c>
      <c r="V61" s="23">
        <f>IFERROR(__xludf.DUMMYFUNCTION("IFERROR(GOOGLEFINANCE(A61,""changepct""),"""")"),-0.34)</f>
        <v>-0.34</v>
      </c>
      <c r="W61" s="22">
        <f>IFERROR(__xludf.DUMMYFUNCTION("IFERROR(GOOGLEFINANCE(A61,""priceopen""),"""")"),11.63)</f>
        <v>11.63</v>
      </c>
      <c r="X61" s="22">
        <f>IFERROR(__xludf.DUMMYFUNCTION("IFERROR(GOOGLEFINANCE(A61,""high""),"""")"),11.84)</f>
        <v>11.84</v>
      </c>
      <c r="Y61" s="22">
        <f>IFERROR(__xludf.DUMMYFUNCTION("IFERROR(GOOGLEFINANCE(A61,""low""),"""")"),11.58)</f>
        <v>11.58</v>
      </c>
      <c r="Z61" s="22">
        <f>IFERROR(__xludf.DUMMYFUNCTION("IFERROR(GOOGLEFINANCE(A61,""volume""),"""")"),921019.0)</f>
        <v>921019</v>
      </c>
      <c r="AA61" s="24" t="str">
        <f>VLOOKUP(A61,Metrik!$C$2:$Y$959,5,0)</f>
        <v>Banks</v>
      </c>
      <c r="AB61" s="24" t="str">
        <f>VLOOKUP(A61,Metrik!$C$2:$Y$959,3,0)</f>
        <v>Financials</v>
      </c>
    </row>
    <row r="62">
      <c r="A62" s="14" t="s">
        <v>77</v>
      </c>
      <c r="B62" s="14" t="str">
        <f t="array" ref="B62">VLOOKUP(A62,{Metrik!$C$2:$C$998,Metrik!$B$2:$B$998},2,0)</f>
        <v>PT Bank IBK Indonesia Tbk.</v>
      </c>
      <c r="C62" s="15">
        <f>IFERROR(__xludf.DUMMYFUNCTION("GOOGLEFINANCE(""IDX:""&amp;A62,""price"")"),62.0)</f>
        <v>62</v>
      </c>
      <c r="D62" s="16" t="str">
        <f>IFERROR(__xludf.DUMMYFUNCTION("IF(A62="""","""",
SPARKLINE(
INDEX(
GOOGLEFINANCE(""IDX:""&amp;A62,""close"",TODAY()-365,TODAY()),
,2
),
{""linewidth"",1}
))
"),"#N/A")</f>
        <v>#N/A</v>
      </c>
      <c r="E62" s="26"/>
      <c r="F62" s="26"/>
      <c r="G62" s="24">
        <f t="shared" si="1"/>
        <v>0</v>
      </c>
      <c r="H62" s="19">
        <f>VLOOKUP(A62,Metrik!$C$2:$Y$959,8,0)</f>
        <v>17.3</v>
      </c>
      <c r="I62" s="20">
        <f>VLOOKUP(A62,Metrik!$C$2:$Y$959,9,0)</f>
        <v>0.53</v>
      </c>
      <c r="J62" s="20">
        <f>VLOOKUP(A62,Metrik!$C$2:$Y$959,10,0)</f>
        <v>3.1</v>
      </c>
      <c r="K62" s="20">
        <f>VLOOKUP(A62,Metrik!$C$2:$Y$959,11,0)</f>
        <v>0.76</v>
      </c>
      <c r="L62" s="20">
        <f>VLOOKUP(A62,Metrik!$C$2:$Y$959,12,0)</f>
        <v>3</v>
      </c>
      <c r="M62" s="20">
        <f>VLOOKUP(A62,Metrik!$C$2:$Y$959,19,0)</f>
        <v>48.6</v>
      </c>
      <c r="N62" s="32">
        <v>3.42</v>
      </c>
      <c r="O62" s="32">
        <v>26.05</v>
      </c>
      <c r="P62" s="32">
        <v>85.34</v>
      </c>
      <c r="Q62" s="32">
        <v>1.84</v>
      </c>
      <c r="R62" s="32">
        <v>86.12</v>
      </c>
      <c r="S62" s="32">
        <v>51.46</v>
      </c>
      <c r="T62" s="32">
        <v>6.22</v>
      </c>
      <c r="U62" s="22">
        <f>IFERROR(__xludf.DUMMYFUNCTION("IFERROR(GOOGLEFINANCE(A62,""closeyest""),"""")"),0.0)</f>
        <v>0</v>
      </c>
      <c r="V62" s="23">
        <f>IFERROR(__xludf.DUMMYFUNCTION("IFERROR(GOOGLEFINANCE(A62,""changepct""),"""")"),0.0)</f>
        <v>0</v>
      </c>
      <c r="W62" s="22" t="str">
        <f>IFERROR(__xludf.DUMMYFUNCTION("IFERROR(GOOGLEFINANCE(A62,""priceopen""),"""")"),"")</f>
        <v/>
      </c>
      <c r="X62" s="22" t="str">
        <f>IFERROR(__xludf.DUMMYFUNCTION("IFERROR(GOOGLEFINANCE(A62,""high""),"""")"),"")</f>
        <v/>
      </c>
      <c r="Y62" s="22" t="str">
        <f>IFERROR(__xludf.DUMMYFUNCTION("IFERROR(GOOGLEFINANCE(A62,""low""),"""")"),"")</f>
        <v/>
      </c>
      <c r="Z62" s="22">
        <f>IFERROR(__xludf.DUMMYFUNCTION("IFERROR(GOOGLEFINANCE(A62,""volume""),"""")"),0.0)</f>
        <v>0</v>
      </c>
      <c r="AA62" s="24" t="str">
        <f>VLOOKUP(A62,Metrik!$C$2:$Y$959,5,0)</f>
        <v>Banks</v>
      </c>
      <c r="AB62" s="24" t="str">
        <f>VLOOKUP(A62,Metrik!$C$2:$Y$959,3,0)</f>
        <v>Financials</v>
      </c>
    </row>
    <row r="63">
      <c r="A63" s="14" t="s">
        <v>78</v>
      </c>
      <c r="B63" s="14" t="str">
        <f t="array" ref="B63">VLOOKUP(A63,{Metrik!$C$2:$C$998,Metrik!$B$2:$B$998},2,0)</f>
        <v>Asuransi Harta Aman Pratama Tbk.</v>
      </c>
      <c r="C63" s="15">
        <f>IFERROR(__xludf.DUMMYFUNCTION("GOOGLEFINANCE(""IDX:""&amp;A63,""price"")"),82.0)</f>
        <v>82</v>
      </c>
      <c r="D63" s="16" t="str">
        <f>IFERROR(__xludf.DUMMYFUNCTION("IF(A63="""","""",
SPARKLINE(
INDEX(
GOOGLEFINANCE(""IDX:""&amp;A63,""close"",TODAY()-365,TODAY()),
,2
),
{""linewidth"",1}
))
"),"#N/A")</f>
        <v>#N/A</v>
      </c>
      <c r="E63" s="26"/>
      <c r="F63" s="26"/>
      <c r="G63" s="24">
        <f t="shared" si="1"/>
        <v>0</v>
      </c>
      <c r="H63" s="19">
        <f>VLOOKUP(A63,Metrik!$C$2:$Y$959,8,0)</f>
        <v>-18</v>
      </c>
      <c r="I63" s="20">
        <f>VLOOKUP(A63,Metrik!$C$2:$Y$959,9,0)</f>
        <v>2.4</v>
      </c>
      <c r="J63" s="20">
        <f>VLOOKUP(A63,Metrik!$C$2:$Y$959,10,0)</f>
        <v>-13.5</v>
      </c>
      <c r="K63" s="20">
        <f>VLOOKUP(A63,Metrik!$C$2:$Y$959,11,0)</f>
        <v>-2.7</v>
      </c>
      <c r="L63" s="20">
        <f>VLOOKUP(A63,Metrik!$C$2:$Y$959,12,0)</f>
        <v>4</v>
      </c>
      <c r="M63" s="20">
        <f>VLOOKUP(A63,Metrik!$C$2:$Y$959,19,0)</f>
        <v>-11.6</v>
      </c>
      <c r="N63" s="21"/>
      <c r="O63" s="21"/>
      <c r="P63" s="21"/>
      <c r="Q63" s="21"/>
      <c r="R63" s="21"/>
      <c r="S63" s="21"/>
      <c r="T63" s="21"/>
      <c r="U63" s="22">
        <f>IFERROR(__xludf.DUMMYFUNCTION("IFERROR(GOOGLEFINANCE(A63,""closeyest""),"""")"),78.0)</f>
        <v>78</v>
      </c>
      <c r="V63" s="23">
        <f>IFERROR(__xludf.DUMMYFUNCTION("IFERROR(GOOGLEFINANCE(A63,""changepct""),"""")"),5.13)</f>
        <v>5.13</v>
      </c>
      <c r="W63" s="22">
        <f>IFERROR(__xludf.DUMMYFUNCTION("IFERROR(GOOGLEFINANCE(A63,""priceopen""),"""")"),78.0)</f>
        <v>78</v>
      </c>
      <c r="X63" s="22">
        <f>IFERROR(__xludf.DUMMYFUNCTION("IFERROR(GOOGLEFINANCE(A63,""high""),"""")"),85.0)</f>
        <v>85</v>
      </c>
      <c r="Y63" s="22">
        <f>IFERROR(__xludf.DUMMYFUNCTION("IFERROR(GOOGLEFINANCE(A63,""low""),"""")"),78.0)</f>
        <v>78</v>
      </c>
      <c r="Z63" s="22">
        <f>IFERROR(__xludf.DUMMYFUNCTION("IFERROR(GOOGLEFINANCE(A63,""volume""),"""")"),1.3048E7)</f>
        <v>13048000</v>
      </c>
      <c r="AA63" s="24" t="str">
        <f>VLOOKUP(A63,Metrik!$C$2:$Y$959,5,0)</f>
        <v>Insurance</v>
      </c>
      <c r="AB63" s="24" t="str">
        <f>VLOOKUP(A63,Metrik!$C$2:$Y$959,3,0)</f>
        <v>Financials</v>
      </c>
    </row>
    <row r="64">
      <c r="A64" s="14" t="s">
        <v>79</v>
      </c>
      <c r="B64" s="14" t="str">
        <f t="array" ref="B64">VLOOKUP(A64,{Metrik!$C$2:$C$998,Metrik!$B$2:$B$998},2,0)</f>
        <v>Artha Mahiya Investama Tbk.</v>
      </c>
      <c r="C64" s="15">
        <f>IFERROR(__xludf.DUMMYFUNCTION("GOOGLEFINANCE(""IDX:""&amp;A64,""price"")"),390.0)</f>
        <v>390</v>
      </c>
      <c r="D64" s="16" t="str">
        <f>IFERROR(__xludf.DUMMYFUNCTION("IF(A64="""","""",
SPARKLINE(
INDEX(
GOOGLEFINANCE(""IDX:""&amp;A64,""close"",TODAY()-365,TODAY()),
,2
),
{""linewidth"",1}
))
"),"#N/A")</f>
        <v>#N/A</v>
      </c>
      <c r="E64" s="26"/>
      <c r="F64" s="26"/>
      <c r="G64" s="24">
        <f t="shared" si="1"/>
        <v>0</v>
      </c>
      <c r="H64" s="19">
        <f>VLOOKUP(A64,Metrik!$C$2:$Y$959,8,0)</f>
        <v>-110</v>
      </c>
      <c r="I64" s="20">
        <f>VLOOKUP(A64,Metrik!$C$2:$Y$959,9,0)</f>
        <v>510</v>
      </c>
      <c r="J64" s="20">
        <f>VLOOKUP(A64,Metrik!$C$2:$Y$959,10,0)</f>
        <v>-480</v>
      </c>
      <c r="K64" s="20">
        <f>VLOOKUP(A64,Metrik!$C$2:$Y$959,11,0)</f>
        <v>-18.2</v>
      </c>
      <c r="L64" s="20">
        <f>VLOOKUP(A64,Metrik!$C$2:$Y$959,12,0)</f>
        <v>25.3</v>
      </c>
      <c r="M64" s="20">
        <f>VLOOKUP(A64,Metrik!$C$2:$Y$959,19,0)</f>
        <v>-62.2</v>
      </c>
      <c r="N64" s="21"/>
      <c r="O64" s="21"/>
      <c r="P64" s="21"/>
      <c r="Q64" s="21"/>
      <c r="R64" s="21"/>
      <c r="S64" s="21"/>
      <c r="T64" s="21"/>
      <c r="U64" s="22">
        <f>IFERROR(__xludf.DUMMYFUNCTION("IFERROR(GOOGLEFINANCE(A64,""closeyest""),"""")"),27.76)</f>
        <v>27.76</v>
      </c>
      <c r="V64" s="23">
        <f>IFERROR(__xludf.DUMMYFUNCTION("IFERROR(GOOGLEFINANCE(A64,""changepct""),"""")"),2.29)</f>
        <v>2.29</v>
      </c>
      <c r="W64" s="22">
        <f>IFERROR(__xludf.DUMMYFUNCTION("IFERROR(GOOGLEFINANCE(A64,""priceopen""),"""")"),28.41)</f>
        <v>28.41</v>
      </c>
      <c r="X64" s="22">
        <f>IFERROR(__xludf.DUMMYFUNCTION("IFERROR(GOOGLEFINANCE(A64,""high""),"""")"),28.48)</f>
        <v>28.48</v>
      </c>
      <c r="Y64" s="22">
        <f>IFERROR(__xludf.DUMMYFUNCTION("IFERROR(GOOGLEFINANCE(A64,""low""),"""")"),28.29)</f>
        <v>28.29</v>
      </c>
      <c r="Z64" s="22">
        <f>IFERROR(__xludf.DUMMYFUNCTION("IFERROR(GOOGLEFINANCE(A64,""volume""),"""")"),3526.0)</f>
        <v>3526</v>
      </c>
      <c r="AA64" s="24" t="str">
        <f>VLOOKUP(A64,Metrik!$C$2:$Y$959,5,0)</f>
        <v>Coal</v>
      </c>
      <c r="AB64" s="24" t="str">
        <f>VLOOKUP(A64,Metrik!$C$2:$Y$959,3,0)</f>
        <v>Energy</v>
      </c>
    </row>
    <row r="65">
      <c r="A65" s="14" t="s">
        <v>80</v>
      </c>
      <c r="B65" s="14" t="str">
        <f t="array" ref="B65">VLOOKUP(A65,{Metrik!$C$2:$C$998,Metrik!$B$2:$B$998},2,0)</f>
        <v>FKS Food Sejahtera Tbk.</v>
      </c>
      <c r="C65" s="15">
        <f>IFERROR(__xludf.DUMMYFUNCTION("GOOGLEFINANCE(""IDX:""&amp;A65,""price"")"),101.0)</f>
        <v>101</v>
      </c>
      <c r="D65" s="16" t="str">
        <f>IFERROR(__xludf.DUMMYFUNCTION("IF(A65="""","""",
SPARKLINE(
INDEX(
GOOGLEFINANCE(""IDX:""&amp;A65,""close"",TODAY()-365,TODAY()),
,2
),
{""linewidth"",1}
))
"),"#N/A")</f>
        <v>#N/A</v>
      </c>
      <c r="E65" s="26"/>
      <c r="F65" s="26"/>
      <c r="G65" s="24">
        <f t="shared" si="1"/>
        <v>0</v>
      </c>
      <c r="H65" s="19">
        <f>VLOOKUP(A65,Metrik!$C$2:$Y$959,8,0)</f>
        <v>15.2</v>
      </c>
      <c r="I65" s="20">
        <f>VLOOKUP(A65,Metrik!$C$2:$Y$959,9,0)</f>
        <v>0.86</v>
      </c>
      <c r="J65" s="20">
        <f>VLOOKUP(A65,Metrik!$C$2:$Y$959,10,0)</f>
        <v>5.7</v>
      </c>
      <c r="K65" s="20">
        <f>VLOOKUP(A65,Metrik!$C$2:$Y$959,11,0)</f>
        <v>3</v>
      </c>
      <c r="L65" s="20">
        <f>VLOOKUP(A65,Metrik!$C$2:$Y$959,12,0)</f>
        <v>0.87</v>
      </c>
      <c r="M65" s="20">
        <f>VLOOKUP(A65,Metrik!$C$2:$Y$959,19,0)</f>
        <v>13</v>
      </c>
      <c r="N65" s="21"/>
      <c r="O65" s="21"/>
      <c r="P65" s="21"/>
      <c r="Q65" s="21"/>
      <c r="R65" s="21"/>
      <c r="S65" s="21"/>
      <c r="T65" s="21"/>
      <c r="U65" s="22">
        <f>IFERROR(__xludf.DUMMYFUNCTION("IFERROR(GOOGLEFINANCE(A65,""closeyest""),"""")"),102.0)</f>
        <v>102</v>
      </c>
      <c r="V65" s="23">
        <f>IFERROR(__xludf.DUMMYFUNCTION("IFERROR(GOOGLEFINANCE(A65,""changepct""),"""")"),-0.98)</f>
        <v>-0.98</v>
      </c>
      <c r="W65" s="22">
        <f>IFERROR(__xludf.DUMMYFUNCTION("IFERROR(GOOGLEFINANCE(A65,""priceopen""),"""")"),101.0)</f>
        <v>101</v>
      </c>
      <c r="X65" s="22">
        <f>IFERROR(__xludf.DUMMYFUNCTION("IFERROR(GOOGLEFINANCE(A65,""high""),"""")"),105.0)</f>
        <v>105</v>
      </c>
      <c r="Y65" s="22">
        <f>IFERROR(__xludf.DUMMYFUNCTION("IFERROR(GOOGLEFINANCE(A65,""low""),"""")"),100.0)</f>
        <v>100</v>
      </c>
      <c r="Z65" s="22">
        <f>IFERROR(__xludf.DUMMYFUNCTION("IFERROR(GOOGLEFINANCE(A65,""volume""),"""")"),4799800.0)</f>
        <v>4799800</v>
      </c>
      <c r="AA65" s="24" t="str">
        <f>VLOOKUP(A65,Metrik!$C$2:$Y$959,5,0)</f>
        <v>Processed Foods</v>
      </c>
      <c r="AB65" s="24" t="str">
        <f>VLOOKUP(A65,Metrik!$C$2:$Y$959,3,0)</f>
        <v>Consumer Non-Cyclicals</v>
      </c>
    </row>
    <row r="66">
      <c r="A66" s="14" t="s">
        <v>81</v>
      </c>
      <c r="B66" s="14" t="str">
        <f t="array" ref="B66">VLOOKUP(A66,{Metrik!$C$2:$C$998,Metrik!$B$2:$B$998},2,0)</f>
        <v>Anugerah Kagum Karya Utama Tbk.</v>
      </c>
      <c r="C66" s="15">
        <f>IFERROR(__xludf.DUMMYFUNCTION("GOOGLEFINANCE(""IDX:""&amp;A66,""price"")"),38.0)</f>
        <v>38</v>
      </c>
      <c r="D66" s="16" t="str">
        <f>IFERROR(__xludf.DUMMYFUNCTION("IF(A66="""","""",
SPARKLINE(
INDEX(
GOOGLEFINANCE(""IDX:""&amp;A66,""close"",TODAY()-365,TODAY()),
,2
),
{""linewidth"",1}
))
"),"#N/A")</f>
        <v>#N/A</v>
      </c>
      <c r="E66" s="26"/>
      <c r="F66" s="26"/>
      <c r="G66" s="24">
        <f t="shared" si="1"/>
        <v>0</v>
      </c>
      <c r="H66" s="19">
        <f>VLOOKUP(A66,Metrik!$C$2:$Y$959,8,0)</f>
        <v>-9.4</v>
      </c>
      <c r="I66" s="20">
        <f>VLOOKUP(A66,Metrik!$C$2:$Y$959,9,0)</f>
        <v>0.62</v>
      </c>
      <c r="J66" s="20">
        <f>VLOOKUP(A66,Metrik!$C$2:$Y$959,10,0)</f>
        <v>-6.6</v>
      </c>
      <c r="K66" s="20">
        <f>VLOOKUP(A66,Metrik!$C$2:$Y$959,11,0)</f>
        <v>-3.7</v>
      </c>
      <c r="L66" s="20">
        <f>VLOOKUP(A66,Metrik!$C$2:$Y$959,12,0)</f>
        <v>0.77</v>
      </c>
      <c r="M66" s="20">
        <f>VLOOKUP(A66,Metrik!$C$2:$Y$959,19,0)</f>
        <v>-1280</v>
      </c>
      <c r="N66" s="21"/>
      <c r="O66" s="21"/>
      <c r="P66" s="21"/>
      <c r="Q66" s="21"/>
      <c r="R66" s="21"/>
      <c r="S66" s="21"/>
      <c r="T66" s="21"/>
      <c r="U66" s="22">
        <f>IFERROR(__xludf.DUMMYFUNCTION("IFERROR(GOOGLEFINANCE(A66,""closeyest""),"""")"),38.0)</f>
        <v>38</v>
      </c>
      <c r="V66" s="23">
        <f>IFERROR(__xludf.DUMMYFUNCTION("IFERROR(GOOGLEFINANCE(A66,""changepct""),"""")"),0.0)</f>
        <v>0</v>
      </c>
      <c r="W66" s="22" t="str">
        <f>IFERROR(__xludf.DUMMYFUNCTION("IFERROR(GOOGLEFINANCE(A66,""priceopen""),"""")"),"")</f>
        <v/>
      </c>
      <c r="X66" s="22" t="str">
        <f>IFERROR(__xludf.DUMMYFUNCTION("IFERROR(GOOGLEFINANCE(A66,""high""),"""")"),"")</f>
        <v/>
      </c>
      <c r="Y66" s="22" t="str">
        <f>IFERROR(__xludf.DUMMYFUNCTION("IFERROR(GOOGLEFINANCE(A66,""low""),"""")"),"")</f>
        <v/>
      </c>
      <c r="Z66" s="22">
        <f>IFERROR(__xludf.DUMMYFUNCTION("IFERROR(GOOGLEFINANCE(A66,""volume""),"""")"),0.0)</f>
        <v>0</v>
      </c>
      <c r="AA66" s="24" t="str">
        <f>VLOOKUP(A66,Metrik!$C$2:$Y$959,5,0)</f>
        <v>Tourism &amp; Recreation</v>
      </c>
      <c r="AB66" s="24" t="str">
        <f>VLOOKUP(A66,Metrik!$C$2:$Y$959,3,0)</f>
        <v>Consumer Cyclicals</v>
      </c>
    </row>
    <row r="67">
      <c r="A67" s="14" t="s">
        <v>82</v>
      </c>
      <c r="B67" s="14" t="str">
        <f t="array" ref="B67">VLOOKUP(A67,{Metrik!$C$2:$C$998,Metrik!$B$2:$B$998},2,0)</f>
        <v>Argha Karya Prima Industry Tbk.</v>
      </c>
      <c r="C67" s="15" t="str">
        <f>IFERROR(__xludf.DUMMYFUNCTION("GOOGLEFINANCE(""IDX:""&amp;A67,""price"")"),"#N/A")</f>
        <v>#N/A</v>
      </c>
      <c r="D67" s="16" t="str">
        <f>IFERROR(__xludf.DUMMYFUNCTION("IF(A67="""","""",
SPARKLINE(
INDEX(
GOOGLEFINANCE(""IDX:""&amp;A67,""close"",TODAY()-365,TODAY()),
,2
),
{""linewidth"",1}
))
"),"#N/A")</f>
        <v>#N/A</v>
      </c>
      <c r="E67" s="26"/>
      <c r="F67" s="26"/>
      <c r="G67" s="24">
        <f t="shared" si="1"/>
        <v>0</v>
      </c>
      <c r="H67" s="19">
        <f>VLOOKUP(A67,Metrik!$C$2:$Y$959,8,0)</f>
        <v>10.1</v>
      </c>
      <c r="I67" s="20">
        <f>VLOOKUP(A67,Metrik!$C$2:$Y$959,9,0)</f>
        <v>0.17</v>
      </c>
      <c r="J67" s="20">
        <f>VLOOKUP(A67,Metrik!$C$2:$Y$959,10,0)</f>
        <v>1.7</v>
      </c>
      <c r="K67" s="20">
        <f>VLOOKUP(A67,Metrik!$C$2:$Y$959,11,0)</f>
        <v>0.86</v>
      </c>
      <c r="L67" s="20">
        <f>VLOOKUP(A67,Metrik!$C$2:$Y$959,12,0)</f>
        <v>1</v>
      </c>
      <c r="M67" s="20">
        <f>VLOOKUP(A67,Metrik!$C$2:$Y$959,19,0)</f>
        <v>4.4</v>
      </c>
      <c r="N67" s="21"/>
      <c r="O67" s="21"/>
      <c r="P67" s="21"/>
      <c r="Q67" s="21"/>
      <c r="R67" s="21"/>
      <c r="S67" s="21"/>
      <c r="T67" s="21"/>
      <c r="U67" s="22">
        <f>IFERROR(__xludf.DUMMYFUNCTION("IFERROR(GOOGLEFINANCE(A67,""closeyest""),"""")"),461.73)</f>
        <v>461.73</v>
      </c>
      <c r="V67" s="23">
        <f>IFERROR(__xludf.DUMMYFUNCTION("IFERROR(GOOGLEFINANCE(A67,""changepct""),"""")"),9.37)</f>
        <v>9.37</v>
      </c>
      <c r="W67" s="22">
        <f>IFERROR(__xludf.DUMMYFUNCTION("IFERROR(GOOGLEFINANCE(A67,""priceopen""),"""")"),468.0)</f>
        <v>468</v>
      </c>
      <c r="X67" s="22">
        <f>IFERROR(__xludf.DUMMYFUNCTION("IFERROR(GOOGLEFINANCE(A67,""high""),"""")"),510.0)</f>
        <v>510</v>
      </c>
      <c r="Y67" s="22">
        <f>IFERROR(__xludf.DUMMYFUNCTION("IFERROR(GOOGLEFINANCE(A67,""low""),"""")"),462.0)</f>
        <v>462</v>
      </c>
      <c r="Z67" s="22">
        <f>IFERROR(__xludf.DUMMYFUNCTION("IFERROR(GOOGLEFINANCE(A67,""volume""),"""")"),330700.0)</f>
        <v>330700</v>
      </c>
      <c r="AA67" s="24" t="str">
        <f>VLOOKUP(A67,Metrik!$C$2:$Y$959,5,0)</f>
        <v>Chemicals</v>
      </c>
      <c r="AB67" s="24" t="str">
        <f>VLOOKUP(A67,Metrik!$C$2:$Y$959,3,0)</f>
        <v>Basic Materials</v>
      </c>
    </row>
    <row r="68">
      <c r="A68" s="14" t="s">
        <v>83</v>
      </c>
      <c r="B68" s="14" t="str">
        <f t="array" ref="B68">VLOOKUP(A68,{Metrik!$C$2:$C$998,Metrik!$B$2:$B$998},2,0)</f>
        <v>AKR Corporindo Tbk.</v>
      </c>
      <c r="C68" s="15">
        <f>IFERROR(__xludf.DUMMYFUNCTION("GOOGLEFINANCE(""IDX:""&amp;A68,""price"")"),1250.0)</f>
        <v>1250</v>
      </c>
      <c r="D68" s="16" t="str">
        <f>IFERROR(__xludf.DUMMYFUNCTION("IF(A68="""","""",
SPARKLINE(
INDEX(
GOOGLEFINANCE(""IDX:""&amp;A68,""close"",TODAY()-365,TODAY()),
,2
),
{""linewidth"",1}
))
"),"#N/A")</f>
        <v>#N/A</v>
      </c>
      <c r="E68" s="14" t="s">
        <v>47</v>
      </c>
      <c r="F68" s="25">
        <v>46356.0</v>
      </c>
      <c r="G68" s="18">
        <f t="shared" si="1"/>
        <v>16</v>
      </c>
      <c r="H68" s="19">
        <f>VLOOKUP(A68,Metrik!$C$2:$Y$959,8,0)</f>
        <v>9.7</v>
      </c>
      <c r="I68" s="20">
        <f>VLOOKUP(A68,Metrik!$C$2:$Y$959,9,0)</f>
        <v>1.5</v>
      </c>
      <c r="J68" s="20">
        <f>VLOOKUP(A68,Metrik!$C$2:$Y$959,10,0)</f>
        <v>15.8</v>
      </c>
      <c r="K68" s="20">
        <f>VLOOKUP(A68,Metrik!$C$2:$Y$959,11,0)</f>
        <v>6.9</v>
      </c>
      <c r="L68" s="20">
        <f>VLOOKUP(A68,Metrik!$C$2:$Y$959,12,0)</f>
        <v>1.3</v>
      </c>
      <c r="M68" s="20">
        <f>VLOOKUP(A68,Metrik!$C$2:$Y$959,19,0)</f>
        <v>19.8</v>
      </c>
      <c r="N68" s="21"/>
      <c r="O68" s="21"/>
      <c r="P68" s="21"/>
      <c r="Q68" s="21"/>
      <c r="R68" s="21"/>
      <c r="S68" s="21"/>
      <c r="T68" s="21"/>
      <c r="U68" s="22">
        <f>IFERROR(__xludf.DUMMYFUNCTION("IFERROR(GOOGLEFINANCE(A68,""closeyest""),"""")"),1265.0)</f>
        <v>1265</v>
      </c>
      <c r="V68" s="23">
        <f>IFERROR(__xludf.DUMMYFUNCTION("IFERROR(GOOGLEFINANCE(A68,""changepct""),"""")"),-1.19)</f>
        <v>-1.19</v>
      </c>
      <c r="W68" s="22">
        <f>IFERROR(__xludf.DUMMYFUNCTION("IFERROR(GOOGLEFINANCE(A68,""priceopen""),"""")"),1280.0)</f>
        <v>1280</v>
      </c>
      <c r="X68" s="22">
        <f>IFERROR(__xludf.DUMMYFUNCTION("IFERROR(GOOGLEFINANCE(A68,""high""),"""")"),1315.0)</f>
        <v>1315</v>
      </c>
      <c r="Y68" s="22">
        <f>IFERROR(__xludf.DUMMYFUNCTION("IFERROR(GOOGLEFINANCE(A68,""low""),"""")"),1250.0)</f>
        <v>1250</v>
      </c>
      <c r="Z68" s="22">
        <f>IFERROR(__xludf.DUMMYFUNCTION("IFERROR(GOOGLEFINANCE(A68,""volume""),"""")"),2.12091E7)</f>
        <v>21209100</v>
      </c>
      <c r="AA68" s="24" t="str">
        <f>VLOOKUP(A68,Metrik!$C$2:$Y$959,5,0)</f>
        <v>Oil &amp; Gas</v>
      </c>
      <c r="AB68" s="24" t="str">
        <f>VLOOKUP(A68,Metrik!$C$2:$Y$959,3,0)</f>
        <v>Energy</v>
      </c>
    </row>
    <row r="69">
      <c r="A69" s="14" t="s">
        <v>83</v>
      </c>
      <c r="B69" s="14" t="str">
        <f t="array" ref="B69">VLOOKUP(A69,{Metrik!$C$2:$C$998,Metrik!$B$2:$B$998},2,0)</f>
        <v>AKR Corporindo Tbk.</v>
      </c>
      <c r="C69" s="15">
        <f>IFERROR(__xludf.DUMMYFUNCTION("GOOGLEFINANCE(""IDX:""&amp;A69,""price"")"),1250.0)</f>
        <v>1250</v>
      </c>
      <c r="D69" s="16" t="str">
        <f>IFERROR(__xludf.DUMMYFUNCTION("IF(A69="""","""",
SPARKLINE(
INDEX(
GOOGLEFINANCE(""IDX:""&amp;A69,""close"",TODAY()-365,TODAY()),
,2
),
{""linewidth"",1}
))
"),"#N/A")</f>
        <v>#N/A</v>
      </c>
      <c r="E69" s="14" t="s">
        <v>48</v>
      </c>
      <c r="F69" s="14" t="s">
        <v>49</v>
      </c>
      <c r="G69" s="18">
        <f t="shared" si="1"/>
        <v>16</v>
      </c>
      <c r="H69" s="19">
        <f>VLOOKUP(A69,Metrik!$C$2:$Y$959,8,0)</f>
        <v>9.7</v>
      </c>
      <c r="I69" s="20">
        <f>VLOOKUP(A69,Metrik!$C$2:$Y$959,9,0)</f>
        <v>1.5</v>
      </c>
      <c r="J69" s="20">
        <f>VLOOKUP(A69,Metrik!$C$2:$Y$959,10,0)</f>
        <v>15.8</v>
      </c>
      <c r="K69" s="20">
        <f>VLOOKUP(A69,Metrik!$C$2:$Y$959,11,0)</f>
        <v>6.9</v>
      </c>
      <c r="L69" s="20">
        <f>VLOOKUP(A69,Metrik!$C$2:$Y$959,12,0)</f>
        <v>1.3</v>
      </c>
      <c r="M69" s="20">
        <f>VLOOKUP(A69,Metrik!$C$2:$Y$959,19,0)</f>
        <v>19.8</v>
      </c>
      <c r="N69" s="21"/>
      <c r="O69" s="21"/>
      <c r="P69" s="21"/>
      <c r="Q69" s="21"/>
      <c r="R69" s="21"/>
      <c r="S69" s="21"/>
      <c r="T69" s="21"/>
      <c r="U69" s="22">
        <f>IFERROR(__xludf.DUMMYFUNCTION("IFERROR(GOOGLEFINANCE(A69,""closeyest""),"""")"),1265.0)</f>
        <v>1265</v>
      </c>
      <c r="V69" s="23">
        <f>IFERROR(__xludf.DUMMYFUNCTION("IFERROR(GOOGLEFINANCE(A69,""changepct""),"""")"),-1.19)</f>
        <v>-1.19</v>
      </c>
      <c r="W69" s="22">
        <f>IFERROR(__xludf.DUMMYFUNCTION("IFERROR(GOOGLEFINANCE(A69,""priceopen""),"""")"),1280.0)</f>
        <v>1280</v>
      </c>
      <c r="X69" s="22">
        <f>IFERROR(__xludf.DUMMYFUNCTION("IFERROR(GOOGLEFINANCE(A69,""high""),"""")"),1315.0)</f>
        <v>1315</v>
      </c>
      <c r="Y69" s="22">
        <f>IFERROR(__xludf.DUMMYFUNCTION("IFERROR(GOOGLEFINANCE(A69,""low""),"""")"),1250.0)</f>
        <v>1250</v>
      </c>
      <c r="Z69" s="22">
        <f>IFERROR(__xludf.DUMMYFUNCTION("IFERROR(GOOGLEFINANCE(A69,""volume""),"""")"),2.12091E7)</f>
        <v>21209100</v>
      </c>
      <c r="AA69" s="24" t="str">
        <f>VLOOKUP(A69,Metrik!$C$2:$Y$959,5,0)</f>
        <v>Oil &amp; Gas</v>
      </c>
      <c r="AB69" s="24" t="str">
        <f>VLOOKUP(A69,Metrik!$C$2:$Y$959,3,0)</f>
        <v>Energy</v>
      </c>
    </row>
    <row r="70">
      <c r="A70" s="14" t="s">
        <v>83</v>
      </c>
      <c r="B70" s="14" t="str">
        <f t="array" ref="B70">VLOOKUP(A70,{Metrik!$C$2:$C$998,Metrik!$B$2:$B$998},2,0)</f>
        <v>AKR Corporindo Tbk.</v>
      </c>
      <c r="C70" s="15">
        <f>IFERROR(__xludf.DUMMYFUNCTION("GOOGLEFINANCE(""IDX:""&amp;A70,""price"")"),1250.0)</f>
        <v>1250</v>
      </c>
      <c r="D70" s="16" t="str">
        <f>IFERROR(__xludf.DUMMYFUNCTION("IF(A70="""","""",
SPARKLINE(
INDEX(
GOOGLEFINANCE(""IDX:""&amp;A70,""close"",TODAY()-365,TODAY()),
,2
),
{""linewidth"",1}
))
"),"#N/A")</f>
        <v>#N/A</v>
      </c>
      <c r="E70" s="14" t="s">
        <v>31</v>
      </c>
      <c r="F70" s="17" t="s">
        <v>29</v>
      </c>
      <c r="G70" s="18">
        <f t="shared" si="1"/>
        <v>16</v>
      </c>
      <c r="H70" s="19">
        <f>VLOOKUP(A70,Metrik!$C$2:$Y$959,8,0)</f>
        <v>9.7</v>
      </c>
      <c r="I70" s="20">
        <f>VLOOKUP(A70,Metrik!$C$2:$Y$959,9,0)</f>
        <v>1.5</v>
      </c>
      <c r="J70" s="20">
        <f>VLOOKUP(A70,Metrik!$C$2:$Y$959,10,0)</f>
        <v>15.8</v>
      </c>
      <c r="K70" s="20">
        <f>VLOOKUP(A70,Metrik!$C$2:$Y$959,11,0)</f>
        <v>6.9</v>
      </c>
      <c r="L70" s="20">
        <f>VLOOKUP(A70,Metrik!$C$2:$Y$959,12,0)</f>
        <v>1.3</v>
      </c>
      <c r="M70" s="20">
        <f>VLOOKUP(A70,Metrik!$C$2:$Y$959,19,0)</f>
        <v>19.8</v>
      </c>
      <c r="N70" s="21"/>
      <c r="O70" s="21"/>
      <c r="P70" s="21"/>
      <c r="Q70" s="21"/>
      <c r="R70" s="21"/>
      <c r="S70" s="21"/>
      <c r="T70" s="21"/>
      <c r="U70" s="22">
        <f>IFERROR(__xludf.DUMMYFUNCTION("IFERROR(GOOGLEFINANCE(A70,""closeyest""),"""")"),1265.0)</f>
        <v>1265</v>
      </c>
      <c r="V70" s="23">
        <f>IFERROR(__xludf.DUMMYFUNCTION("IFERROR(GOOGLEFINANCE(A70,""changepct""),"""")"),-1.19)</f>
        <v>-1.19</v>
      </c>
      <c r="W70" s="22">
        <f>IFERROR(__xludf.DUMMYFUNCTION("IFERROR(GOOGLEFINANCE(A70,""priceopen""),"""")"),1280.0)</f>
        <v>1280</v>
      </c>
      <c r="X70" s="22">
        <f>IFERROR(__xludf.DUMMYFUNCTION("IFERROR(GOOGLEFINANCE(A70,""high""),"""")"),1315.0)</f>
        <v>1315</v>
      </c>
      <c r="Y70" s="22">
        <f>IFERROR(__xludf.DUMMYFUNCTION("IFERROR(GOOGLEFINANCE(A70,""low""),"""")"),1250.0)</f>
        <v>1250</v>
      </c>
      <c r="Z70" s="22">
        <f>IFERROR(__xludf.DUMMYFUNCTION("IFERROR(GOOGLEFINANCE(A70,""volume""),"""")"),2.12091E7)</f>
        <v>21209100</v>
      </c>
      <c r="AA70" s="24" t="str">
        <f>VLOOKUP(A70,Metrik!$C$2:$Y$959,5,0)</f>
        <v>Oil &amp; Gas</v>
      </c>
      <c r="AB70" s="24" t="str">
        <f>VLOOKUP(A70,Metrik!$C$2:$Y$959,3,0)</f>
        <v>Energy</v>
      </c>
    </row>
    <row r="71">
      <c r="A71" s="14" t="s">
        <v>83</v>
      </c>
      <c r="B71" s="14" t="str">
        <f t="array" ref="B71">VLOOKUP(A71,{Metrik!$C$2:$C$998,Metrik!$B$2:$B$998},2,0)</f>
        <v>AKR Corporindo Tbk.</v>
      </c>
      <c r="C71" s="15">
        <f>IFERROR(__xludf.DUMMYFUNCTION("GOOGLEFINANCE(""IDX:""&amp;A71,""price"")"),1250.0)</f>
        <v>1250</v>
      </c>
      <c r="D71" s="16" t="str">
        <f>IFERROR(__xludf.DUMMYFUNCTION("IF(A71="""","""",
SPARKLINE(
INDEX(
GOOGLEFINANCE(""IDX:""&amp;A71,""close"",TODAY()-365,TODAY()),
,2
),
{""linewidth"",1}
))
"),"#N/A")</f>
        <v>#N/A</v>
      </c>
      <c r="E71" s="14" t="s">
        <v>28</v>
      </c>
      <c r="F71" s="17" t="s">
        <v>29</v>
      </c>
      <c r="G71" s="18">
        <f t="shared" si="1"/>
        <v>16</v>
      </c>
      <c r="H71" s="19">
        <f>VLOOKUP(A71,Metrik!$C$2:$Y$959,8,0)</f>
        <v>9.7</v>
      </c>
      <c r="I71" s="20">
        <f>VLOOKUP(A71,Metrik!$C$2:$Y$959,9,0)</f>
        <v>1.5</v>
      </c>
      <c r="J71" s="20">
        <f>VLOOKUP(A71,Metrik!$C$2:$Y$959,10,0)</f>
        <v>15.8</v>
      </c>
      <c r="K71" s="20">
        <f>VLOOKUP(A71,Metrik!$C$2:$Y$959,11,0)</f>
        <v>6.9</v>
      </c>
      <c r="L71" s="20">
        <f>VLOOKUP(A71,Metrik!$C$2:$Y$959,12,0)</f>
        <v>1.3</v>
      </c>
      <c r="M71" s="20">
        <f>VLOOKUP(A71,Metrik!$C$2:$Y$959,19,0)</f>
        <v>19.8</v>
      </c>
      <c r="N71" s="21"/>
      <c r="O71" s="21"/>
      <c r="P71" s="21"/>
      <c r="Q71" s="21"/>
      <c r="R71" s="21"/>
      <c r="S71" s="21"/>
      <c r="T71" s="21"/>
      <c r="U71" s="22">
        <f>IFERROR(__xludf.DUMMYFUNCTION("IFERROR(GOOGLEFINANCE(A71,""closeyest""),"""")"),1265.0)</f>
        <v>1265</v>
      </c>
      <c r="V71" s="23">
        <f>IFERROR(__xludf.DUMMYFUNCTION("IFERROR(GOOGLEFINANCE(A71,""changepct""),"""")"),-1.19)</f>
        <v>-1.19</v>
      </c>
      <c r="W71" s="22">
        <f>IFERROR(__xludf.DUMMYFUNCTION("IFERROR(GOOGLEFINANCE(A71,""priceopen""),"""")"),1280.0)</f>
        <v>1280</v>
      </c>
      <c r="X71" s="22">
        <f>IFERROR(__xludf.DUMMYFUNCTION("IFERROR(GOOGLEFINANCE(A71,""high""),"""")"),1315.0)</f>
        <v>1315</v>
      </c>
      <c r="Y71" s="22">
        <f>IFERROR(__xludf.DUMMYFUNCTION("IFERROR(GOOGLEFINANCE(A71,""low""),"""")"),1250.0)</f>
        <v>1250</v>
      </c>
      <c r="Z71" s="22">
        <f>IFERROR(__xludf.DUMMYFUNCTION("IFERROR(GOOGLEFINANCE(A71,""volume""),"""")"),2.12091E7)</f>
        <v>21209100</v>
      </c>
      <c r="AA71" s="24" t="str">
        <f>VLOOKUP(A71,Metrik!$C$2:$Y$959,5,0)</f>
        <v>Oil &amp; Gas</v>
      </c>
      <c r="AB71" s="24" t="str">
        <f>VLOOKUP(A71,Metrik!$C$2:$Y$959,3,0)</f>
        <v>Energy</v>
      </c>
    </row>
    <row r="72">
      <c r="A72" s="14" t="s">
        <v>83</v>
      </c>
      <c r="B72" s="14" t="str">
        <f t="array" ref="B72">VLOOKUP(A72,{Metrik!$C$2:$C$998,Metrik!$B$2:$B$998},2,0)</f>
        <v>AKR Corporindo Tbk.</v>
      </c>
      <c r="C72" s="15">
        <f>IFERROR(__xludf.DUMMYFUNCTION("GOOGLEFINANCE(""IDX:""&amp;A72,""price"")"),1250.0)</f>
        <v>1250</v>
      </c>
      <c r="D72" s="16" t="str">
        <f>IFERROR(__xludf.DUMMYFUNCTION("IF(A72="""","""",
SPARKLINE(
INDEX(
GOOGLEFINANCE(""IDX:""&amp;A72,""close"",TODAY()-365,TODAY()),
,2
),
{""linewidth"",1}
))
"),"#N/A")</f>
        <v>#N/A</v>
      </c>
      <c r="E72" s="14" t="s">
        <v>84</v>
      </c>
      <c r="F72" s="17" t="s">
        <v>51</v>
      </c>
      <c r="G72" s="18">
        <f t="shared" si="1"/>
        <v>16</v>
      </c>
      <c r="H72" s="19">
        <f>VLOOKUP(A72,Metrik!$C$2:$Y$959,8,0)</f>
        <v>9.7</v>
      </c>
      <c r="I72" s="20">
        <f>VLOOKUP(A72,Metrik!$C$2:$Y$959,9,0)</f>
        <v>1.5</v>
      </c>
      <c r="J72" s="20">
        <f>VLOOKUP(A72,Metrik!$C$2:$Y$959,10,0)</f>
        <v>15.8</v>
      </c>
      <c r="K72" s="20">
        <f>VLOOKUP(A72,Metrik!$C$2:$Y$959,11,0)</f>
        <v>6.9</v>
      </c>
      <c r="L72" s="20">
        <f>VLOOKUP(A72,Metrik!$C$2:$Y$959,12,0)</f>
        <v>1.3</v>
      </c>
      <c r="M72" s="20">
        <f>VLOOKUP(A72,Metrik!$C$2:$Y$959,19,0)</f>
        <v>19.8</v>
      </c>
      <c r="N72" s="21"/>
      <c r="O72" s="21"/>
      <c r="P72" s="21"/>
      <c r="Q72" s="21"/>
      <c r="R72" s="21"/>
      <c r="S72" s="21"/>
      <c r="T72" s="21"/>
      <c r="U72" s="22">
        <f>IFERROR(__xludf.DUMMYFUNCTION("IFERROR(GOOGLEFINANCE(A72,""closeyest""),"""")"),1265.0)</f>
        <v>1265</v>
      </c>
      <c r="V72" s="23">
        <f>IFERROR(__xludf.DUMMYFUNCTION("IFERROR(GOOGLEFINANCE(A72,""changepct""),"""")"),-1.19)</f>
        <v>-1.19</v>
      </c>
      <c r="W72" s="22">
        <f>IFERROR(__xludf.DUMMYFUNCTION("IFERROR(GOOGLEFINANCE(A72,""priceopen""),"""")"),1280.0)</f>
        <v>1280</v>
      </c>
      <c r="X72" s="22">
        <f>IFERROR(__xludf.DUMMYFUNCTION("IFERROR(GOOGLEFINANCE(A72,""high""),"""")"),1315.0)</f>
        <v>1315</v>
      </c>
      <c r="Y72" s="22">
        <f>IFERROR(__xludf.DUMMYFUNCTION("IFERROR(GOOGLEFINANCE(A72,""low""),"""")"),1250.0)</f>
        <v>1250</v>
      </c>
      <c r="Z72" s="22">
        <f>IFERROR(__xludf.DUMMYFUNCTION("IFERROR(GOOGLEFINANCE(A72,""volume""),"""")"),2.12091E7)</f>
        <v>21209100</v>
      </c>
      <c r="AA72" s="24" t="str">
        <f>VLOOKUP(A72,Metrik!$C$2:$Y$959,5,0)</f>
        <v>Oil &amp; Gas</v>
      </c>
      <c r="AB72" s="24" t="str">
        <f>VLOOKUP(A72,Metrik!$C$2:$Y$959,3,0)</f>
        <v>Energy</v>
      </c>
    </row>
    <row r="73">
      <c r="A73" s="14" t="s">
        <v>83</v>
      </c>
      <c r="B73" s="14" t="str">
        <f t="array" ref="B73">VLOOKUP(A73,{Metrik!$C$2:$C$998,Metrik!$B$2:$B$998},2,0)</f>
        <v>AKR Corporindo Tbk.</v>
      </c>
      <c r="C73" s="15">
        <f>IFERROR(__xludf.DUMMYFUNCTION("GOOGLEFINANCE(""IDX:""&amp;A73,""price"")"),1250.0)</f>
        <v>1250</v>
      </c>
      <c r="D73" s="16" t="str">
        <f>IFERROR(__xludf.DUMMYFUNCTION("IF(A73="""","""",
SPARKLINE(
INDEX(
GOOGLEFINANCE(""IDX:""&amp;A73,""close"",TODAY()-365,TODAY()),
,2
),
{""linewidth"",1}
))
"),"#N/A")</f>
        <v>#N/A</v>
      </c>
      <c r="E73" s="14" t="s">
        <v>85</v>
      </c>
      <c r="F73" s="17" t="s">
        <v>51</v>
      </c>
      <c r="G73" s="18">
        <f t="shared" si="1"/>
        <v>16</v>
      </c>
      <c r="H73" s="19">
        <f>VLOOKUP(A73,Metrik!$C$2:$Y$959,8,0)</f>
        <v>9.7</v>
      </c>
      <c r="I73" s="20">
        <f>VLOOKUP(A73,Metrik!$C$2:$Y$959,9,0)</f>
        <v>1.5</v>
      </c>
      <c r="J73" s="20">
        <f>VLOOKUP(A73,Metrik!$C$2:$Y$959,10,0)</f>
        <v>15.8</v>
      </c>
      <c r="K73" s="20">
        <f>VLOOKUP(A73,Metrik!$C$2:$Y$959,11,0)</f>
        <v>6.9</v>
      </c>
      <c r="L73" s="20">
        <f>VLOOKUP(A73,Metrik!$C$2:$Y$959,12,0)</f>
        <v>1.3</v>
      </c>
      <c r="M73" s="20">
        <f>VLOOKUP(A73,Metrik!$C$2:$Y$959,19,0)</f>
        <v>19.8</v>
      </c>
      <c r="N73" s="21"/>
      <c r="O73" s="21"/>
      <c r="P73" s="21"/>
      <c r="Q73" s="21"/>
      <c r="R73" s="21"/>
      <c r="S73" s="21"/>
      <c r="T73" s="21"/>
      <c r="U73" s="22">
        <f>IFERROR(__xludf.DUMMYFUNCTION("IFERROR(GOOGLEFINANCE(A73,""closeyest""),"""")"),1265.0)</f>
        <v>1265</v>
      </c>
      <c r="V73" s="23">
        <f>IFERROR(__xludf.DUMMYFUNCTION("IFERROR(GOOGLEFINANCE(A73,""changepct""),"""")"),-1.19)</f>
        <v>-1.19</v>
      </c>
      <c r="W73" s="22">
        <f>IFERROR(__xludf.DUMMYFUNCTION("IFERROR(GOOGLEFINANCE(A73,""priceopen""),"""")"),1280.0)</f>
        <v>1280</v>
      </c>
      <c r="X73" s="22">
        <f>IFERROR(__xludf.DUMMYFUNCTION("IFERROR(GOOGLEFINANCE(A73,""high""),"""")"),1315.0)</f>
        <v>1315</v>
      </c>
      <c r="Y73" s="22">
        <f>IFERROR(__xludf.DUMMYFUNCTION("IFERROR(GOOGLEFINANCE(A73,""low""),"""")"),1250.0)</f>
        <v>1250</v>
      </c>
      <c r="Z73" s="22">
        <f>IFERROR(__xludf.DUMMYFUNCTION("IFERROR(GOOGLEFINANCE(A73,""volume""),"""")"),2.12091E7)</f>
        <v>21209100</v>
      </c>
      <c r="AA73" s="24" t="str">
        <f>VLOOKUP(A73,Metrik!$C$2:$Y$959,5,0)</f>
        <v>Oil &amp; Gas</v>
      </c>
      <c r="AB73" s="24" t="str">
        <f>VLOOKUP(A73,Metrik!$C$2:$Y$959,3,0)</f>
        <v>Energy</v>
      </c>
    </row>
    <row r="74">
      <c r="A74" s="14" t="s">
        <v>83</v>
      </c>
      <c r="B74" s="14" t="str">
        <f t="array" ref="B74">VLOOKUP(A74,{Metrik!$C$2:$C$998,Metrik!$B$2:$B$998},2,0)</f>
        <v>AKR Corporindo Tbk.</v>
      </c>
      <c r="C74" s="15">
        <f>IFERROR(__xludf.DUMMYFUNCTION("GOOGLEFINANCE(""IDX:""&amp;A74,""price"")"),1250.0)</f>
        <v>1250</v>
      </c>
      <c r="D74" s="16" t="str">
        <f>IFERROR(__xludf.DUMMYFUNCTION("IF(A74="""","""",
SPARKLINE(
INDEX(
GOOGLEFINANCE(""IDX:""&amp;A74,""close"",TODAY()-365,TODAY()),
,2
),
{""linewidth"",1}
))
"),"#N/A")</f>
        <v>#N/A</v>
      </c>
      <c r="E74" s="14" t="s">
        <v>32</v>
      </c>
      <c r="F74" s="14" t="s">
        <v>29</v>
      </c>
      <c r="G74" s="18">
        <f t="shared" si="1"/>
        <v>16</v>
      </c>
      <c r="H74" s="19">
        <f>VLOOKUP(A74,Metrik!$C$2:$Y$959,8,0)</f>
        <v>9.7</v>
      </c>
      <c r="I74" s="20">
        <f>VLOOKUP(A74,Metrik!$C$2:$Y$959,9,0)</f>
        <v>1.5</v>
      </c>
      <c r="J74" s="20">
        <f>VLOOKUP(A74,Metrik!$C$2:$Y$959,10,0)</f>
        <v>15.8</v>
      </c>
      <c r="K74" s="20">
        <f>VLOOKUP(A74,Metrik!$C$2:$Y$959,11,0)</f>
        <v>6.9</v>
      </c>
      <c r="L74" s="20">
        <f>VLOOKUP(A74,Metrik!$C$2:$Y$959,12,0)</f>
        <v>1.3</v>
      </c>
      <c r="M74" s="20">
        <f>VLOOKUP(A74,Metrik!$C$2:$Y$959,19,0)</f>
        <v>19.8</v>
      </c>
      <c r="N74" s="21"/>
      <c r="O74" s="21"/>
      <c r="P74" s="21"/>
      <c r="Q74" s="21"/>
      <c r="R74" s="21"/>
      <c r="S74" s="21"/>
      <c r="T74" s="21"/>
      <c r="U74" s="22">
        <f>IFERROR(__xludf.DUMMYFUNCTION("IFERROR(GOOGLEFINANCE(A74,""closeyest""),"""")"),1265.0)</f>
        <v>1265</v>
      </c>
      <c r="V74" s="23">
        <f>IFERROR(__xludf.DUMMYFUNCTION("IFERROR(GOOGLEFINANCE(A74,""changepct""),"""")"),-1.19)</f>
        <v>-1.19</v>
      </c>
      <c r="W74" s="22">
        <f>IFERROR(__xludf.DUMMYFUNCTION("IFERROR(GOOGLEFINANCE(A74,""priceopen""),"""")"),1280.0)</f>
        <v>1280</v>
      </c>
      <c r="X74" s="22">
        <f>IFERROR(__xludf.DUMMYFUNCTION("IFERROR(GOOGLEFINANCE(A74,""high""),"""")"),1315.0)</f>
        <v>1315</v>
      </c>
      <c r="Y74" s="22">
        <f>IFERROR(__xludf.DUMMYFUNCTION("IFERROR(GOOGLEFINANCE(A74,""low""),"""")"),1250.0)</f>
        <v>1250</v>
      </c>
      <c r="Z74" s="22">
        <f>IFERROR(__xludf.DUMMYFUNCTION("IFERROR(GOOGLEFINANCE(A74,""volume""),"""")"),2.12091E7)</f>
        <v>21209100</v>
      </c>
      <c r="AA74" s="24" t="str">
        <f>VLOOKUP(A74,Metrik!$C$2:$Y$959,5,0)</f>
        <v>Oil &amp; Gas</v>
      </c>
      <c r="AB74" s="24" t="str">
        <f>VLOOKUP(A74,Metrik!$C$2:$Y$959,3,0)</f>
        <v>Energy</v>
      </c>
    </row>
    <row r="75">
      <c r="A75" s="14" t="s">
        <v>83</v>
      </c>
      <c r="B75" s="14" t="str">
        <f t="array" ref="B75">VLOOKUP(A75,{Metrik!$C$2:$C$998,Metrik!$B$2:$B$998},2,0)</f>
        <v>AKR Corporindo Tbk.</v>
      </c>
      <c r="C75" s="15">
        <f>IFERROR(__xludf.DUMMYFUNCTION("GOOGLEFINANCE(""IDX:""&amp;A75,""price"")"),1250.0)</f>
        <v>1250</v>
      </c>
      <c r="D75" s="16" t="str">
        <f>IFERROR(__xludf.DUMMYFUNCTION("IF(A75="""","""",
SPARKLINE(
INDEX(
GOOGLEFINANCE(""IDX:""&amp;A75,""close"",TODAY()-365,TODAY()),
,2
),
{""linewidth"",1}
))
"),"#N/A")</f>
        <v>#N/A</v>
      </c>
      <c r="E75" s="14" t="s">
        <v>41</v>
      </c>
      <c r="F75" s="14" t="s">
        <v>34</v>
      </c>
      <c r="G75" s="18">
        <f t="shared" si="1"/>
        <v>16</v>
      </c>
      <c r="H75" s="19">
        <f>VLOOKUP(A75,Metrik!$C$2:$Y$959,8,0)</f>
        <v>9.7</v>
      </c>
      <c r="I75" s="20">
        <f>VLOOKUP(A75,Metrik!$C$2:$Y$959,9,0)</f>
        <v>1.5</v>
      </c>
      <c r="J75" s="20">
        <f>VLOOKUP(A75,Metrik!$C$2:$Y$959,10,0)</f>
        <v>15.8</v>
      </c>
      <c r="K75" s="20">
        <f>VLOOKUP(A75,Metrik!$C$2:$Y$959,11,0)</f>
        <v>6.9</v>
      </c>
      <c r="L75" s="20">
        <f>VLOOKUP(A75,Metrik!$C$2:$Y$959,12,0)</f>
        <v>1.3</v>
      </c>
      <c r="M75" s="20">
        <f>VLOOKUP(A75,Metrik!$C$2:$Y$959,19,0)</f>
        <v>19.8</v>
      </c>
      <c r="N75" s="21"/>
      <c r="O75" s="21"/>
      <c r="P75" s="21"/>
      <c r="Q75" s="21"/>
      <c r="R75" s="21"/>
      <c r="S75" s="21"/>
      <c r="T75" s="21"/>
      <c r="U75" s="22">
        <f>IFERROR(__xludf.DUMMYFUNCTION("IFERROR(GOOGLEFINANCE(A75,""closeyest""),"""")"),1265.0)</f>
        <v>1265</v>
      </c>
      <c r="V75" s="23">
        <f>IFERROR(__xludf.DUMMYFUNCTION("IFERROR(GOOGLEFINANCE(A75,""changepct""),"""")"),-1.19)</f>
        <v>-1.19</v>
      </c>
      <c r="W75" s="22">
        <f>IFERROR(__xludf.DUMMYFUNCTION("IFERROR(GOOGLEFINANCE(A75,""priceopen""),"""")"),1280.0)</f>
        <v>1280</v>
      </c>
      <c r="X75" s="22">
        <f>IFERROR(__xludf.DUMMYFUNCTION("IFERROR(GOOGLEFINANCE(A75,""high""),"""")"),1315.0)</f>
        <v>1315</v>
      </c>
      <c r="Y75" s="22">
        <f>IFERROR(__xludf.DUMMYFUNCTION("IFERROR(GOOGLEFINANCE(A75,""low""),"""")"),1250.0)</f>
        <v>1250</v>
      </c>
      <c r="Z75" s="22">
        <f>IFERROR(__xludf.DUMMYFUNCTION("IFERROR(GOOGLEFINANCE(A75,""volume""),"""")"),2.12091E7)</f>
        <v>21209100</v>
      </c>
      <c r="AA75" s="24" t="str">
        <f>VLOOKUP(A75,Metrik!$C$2:$Y$959,5,0)</f>
        <v>Oil &amp; Gas</v>
      </c>
      <c r="AB75" s="24" t="str">
        <f>VLOOKUP(A75,Metrik!$C$2:$Y$959,3,0)</f>
        <v>Energy</v>
      </c>
    </row>
    <row r="76">
      <c r="A76" s="14" t="s">
        <v>83</v>
      </c>
      <c r="B76" s="14" t="str">
        <f t="array" ref="B76">VLOOKUP(A76,{Metrik!$C$2:$C$998,Metrik!$B$2:$B$998},2,0)</f>
        <v>AKR Corporindo Tbk.</v>
      </c>
      <c r="C76" s="15">
        <f>IFERROR(__xludf.DUMMYFUNCTION("GOOGLEFINANCE(""IDX:""&amp;A76,""price"")"),1250.0)</f>
        <v>1250</v>
      </c>
      <c r="D76" s="16" t="str">
        <f>IFERROR(__xludf.DUMMYFUNCTION("IF(A76="""","""",
SPARKLINE(
INDEX(
GOOGLEFINANCE(""IDX:""&amp;A76,""close"",TODAY()-365,TODAY()),
,2
),
{""linewidth"",1}
))
"),"#N/A")</f>
        <v>#N/A</v>
      </c>
      <c r="E76" s="14" t="s">
        <v>54</v>
      </c>
      <c r="F76" s="14" t="s">
        <v>34</v>
      </c>
      <c r="G76" s="18">
        <f t="shared" si="1"/>
        <v>16</v>
      </c>
      <c r="H76" s="19">
        <f>VLOOKUP(A76,Metrik!$C$2:$Y$959,8,0)</f>
        <v>9.7</v>
      </c>
      <c r="I76" s="20">
        <f>VLOOKUP(A76,Metrik!$C$2:$Y$959,9,0)</f>
        <v>1.5</v>
      </c>
      <c r="J76" s="20">
        <f>VLOOKUP(A76,Metrik!$C$2:$Y$959,10,0)</f>
        <v>15.8</v>
      </c>
      <c r="K76" s="20">
        <f>VLOOKUP(A76,Metrik!$C$2:$Y$959,11,0)</f>
        <v>6.9</v>
      </c>
      <c r="L76" s="20">
        <f>VLOOKUP(A76,Metrik!$C$2:$Y$959,12,0)</f>
        <v>1.3</v>
      </c>
      <c r="M76" s="20">
        <f>VLOOKUP(A76,Metrik!$C$2:$Y$959,19,0)</f>
        <v>19.8</v>
      </c>
      <c r="N76" s="21"/>
      <c r="O76" s="21"/>
      <c r="P76" s="21"/>
      <c r="Q76" s="21"/>
      <c r="R76" s="21"/>
      <c r="S76" s="21"/>
      <c r="T76" s="21"/>
      <c r="U76" s="22">
        <f>IFERROR(__xludf.DUMMYFUNCTION("IFERROR(GOOGLEFINANCE(A76,""closeyest""),"""")"),1265.0)</f>
        <v>1265</v>
      </c>
      <c r="V76" s="23">
        <f>IFERROR(__xludf.DUMMYFUNCTION("IFERROR(GOOGLEFINANCE(A76,""changepct""),"""")"),-1.19)</f>
        <v>-1.19</v>
      </c>
      <c r="W76" s="22">
        <f>IFERROR(__xludf.DUMMYFUNCTION("IFERROR(GOOGLEFINANCE(A76,""priceopen""),"""")"),1280.0)</f>
        <v>1280</v>
      </c>
      <c r="X76" s="22">
        <f>IFERROR(__xludf.DUMMYFUNCTION("IFERROR(GOOGLEFINANCE(A76,""high""),"""")"),1315.0)</f>
        <v>1315</v>
      </c>
      <c r="Y76" s="22">
        <f>IFERROR(__xludf.DUMMYFUNCTION("IFERROR(GOOGLEFINANCE(A76,""low""),"""")"),1250.0)</f>
        <v>1250</v>
      </c>
      <c r="Z76" s="22">
        <f>IFERROR(__xludf.DUMMYFUNCTION("IFERROR(GOOGLEFINANCE(A76,""volume""),"""")"),2.12091E7)</f>
        <v>21209100</v>
      </c>
      <c r="AA76" s="24" t="str">
        <f>VLOOKUP(A76,Metrik!$C$2:$Y$959,5,0)</f>
        <v>Oil &amp; Gas</v>
      </c>
      <c r="AB76" s="24" t="str">
        <f>VLOOKUP(A76,Metrik!$C$2:$Y$959,3,0)</f>
        <v>Energy</v>
      </c>
    </row>
    <row r="77">
      <c r="A77" s="14" t="s">
        <v>83</v>
      </c>
      <c r="B77" s="14" t="str">
        <f t="array" ref="B77">VLOOKUP(A77,{Metrik!$C$2:$C$998,Metrik!$B$2:$B$998},2,0)</f>
        <v>AKR Corporindo Tbk.</v>
      </c>
      <c r="C77" s="15">
        <f>IFERROR(__xludf.DUMMYFUNCTION("GOOGLEFINANCE(""IDX:""&amp;A77,""price"")"),1250.0)</f>
        <v>1250</v>
      </c>
      <c r="D77" s="16" t="str">
        <f>IFERROR(__xludf.DUMMYFUNCTION("IF(A77="""","""",
SPARKLINE(
INDEX(
GOOGLEFINANCE(""IDX:""&amp;A77,""close"",TODAY()-365,TODAY()),
,2
),
{""linewidth"",1}
))
"),"#N/A")</f>
        <v>#N/A</v>
      </c>
      <c r="E77" s="14" t="s">
        <v>68</v>
      </c>
      <c r="F77" s="14" t="s">
        <v>34</v>
      </c>
      <c r="G77" s="18">
        <f t="shared" si="1"/>
        <v>16</v>
      </c>
      <c r="H77" s="19">
        <f>VLOOKUP(A77,Metrik!$C$2:$Y$959,8,0)</f>
        <v>9.7</v>
      </c>
      <c r="I77" s="20">
        <f>VLOOKUP(A77,Metrik!$C$2:$Y$959,9,0)</f>
        <v>1.5</v>
      </c>
      <c r="J77" s="20">
        <f>VLOOKUP(A77,Metrik!$C$2:$Y$959,10,0)</f>
        <v>15.8</v>
      </c>
      <c r="K77" s="20">
        <f>VLOOKUP(A77,Metrik!$C$2:$Y$959,11,0)</f>
        <v>6.9</v>
      </c>
      <c r="L77" s="20">
        <f>VLOOKUP(A77,Metrik!$C$2:$Y$959,12,0)</f>
        <v>1.3</v>
      </c>
      <c r="M77" s="20">
        <f>VLOOKUP(A77,Metrik!$C$2:$Y$959,19,0)</f>
        <v>19.8</v>
      </c>
      <c r="N77" s="21"/>
      <c r="O77" s="21"/>
      <c r="P77" s="21"/>
      <c r="Q77" s="21"/>
      <c r="R77" s="21"/>
      <c r="S77" s="21"/>
      <c r="T77" s="21"/>
      <c r="U77" s="22">
        <f>IFERROR(__xludf.DUMMYFUNCTION("IFERROR(GOOGLEFINANCE(A77,""closeyest""),"""")"),1265.0)</f>
        <v>1265</v>
      </c>
      <c r="V77" s="23">
        <f>IFERROR(__xludf.DUMMYFUNCTION("IFERROR(GOOGLEFINANCE(A77,""changepct""),"""")"),-1.19)</f>
        <v>-1.19</v>
      </c>
      <c r="W77" s="22">
        <f>IFERROR(__xludf.DUMMYFUNCTION("IFERROR(GOOGLEFINANCE(A77,""priceopen""),"""")"),1280.0)</f>
        <v>1280</v>
      </c>
      <c r="X77" s="22">
        <f>IFERROR(__xludf.DUMMYFUNCTION("IFERROR(GOOGLEFINANCE(A77,""high""),"""")"),1315.0)</f>
        <v>1315</v>
      </c>
      <c r="Y77" s="22">
        <f>IFERROR(__xludf.DUMMYFUNCTION("IFERROR(GOOGLEFINANCE(A77,""low""),"""")"),1250.0)</f>
        <v>1250</v>
      </c>
      <c r="Z77" s="22">
        <f>IFERROR(__xludf.DUMMYFUNCTION("IFERROR(GOOGLEFINANCE(A77,""volume""),"""")"),2.12091E7)</f>
        <v>21209100</v>
      </c>
      <c r="AA77" s="24" t="str">
        <f>VLOOKUP(A77,Metrik!$C$2:$Y$959,5,0)</f>
        <v>Oil &amp; Gas</v>
      </c>
      <c r="AB77" s="24" t="str">
        <f>VLOOKUP(A77,Metrik!$C$2:$Y$959,3,0)</f>
        <v>Energy</v>
      </c>
    </row>
    <row r="78">
      <c r="A78" s="17" t="s">
        <v>83</v>
      </c>
      <c r="B78" s="14" t="str">
        <f t="array" ref="B78">VLOOKUP(A78,{Metrik!$C$2:$C$998,Metrik!$B$2:$B$998},2,0)</f>
        <v>AKR Corporindo Tbk.</v>
      </c>
      <c r="C78" s="15">
        <f>IFERROR(__xludf.DUMMYFUNCTION("GOOGLEFINANCE(""IDX:""&amp;A78,""price"")"),1250.0)</f>
        <v>1250</v>
      </c>
      <c r="D78" s="16" t="str">
        <f>IFERROR(__xludf.DUMMYFUNCTION("IF(A78="""","""",
SPARKLINE(
INDEX(
GOOGLEFINANCE(""IDX:""&amp;A78,""close"",TODAY()-365,TODAY()),
,2
),
{""linewidth"",1}
))
"),"#N/A")</f>
        <v>#N/A</v>
      </c>
      <c r="E78" s="14" t="s">
        <v>67</v>
      </c>
      <c r="F78" s="17" t="s">
        <v>51</v>
      </c>
      <c r="G78" s="24">
        <f t="shared" si="1"/>
        <v>16</v>
      </c>
      <c r="H78" s="19">
        <f>VLOOKUP(A78,Metrik!$C$2:$Y$959,8,0)</f>
        <v>9.7</v>
      </c>
      <c r="I78" s="20">
        <f>VLOOKUP(A78,Metrik!$C$2:$Y$959,9,0)</f>
        <v>1.5</v>
      </c>
      <c r="J78" s="20">
        <f>VLOOKUP(A78,Metrik!$C$2:$Y$959,10,0)</f>
        <v>15.8</v>
      </c>
      <c r="K78" s="20">
        <f>VLOOKUP(A78,Metrik!$C$2:$Y$959,11,0)</f>
        <v>6.9</v>
      </c>
      <c r="L78" s="20">
        <f>VLOOKUP(A78,Metrik!$C$2:$Y$959,12,0)</f>
        <v>1.3</v>
      </c>
      <c r="M78" s="20">
        <f>VLOOKUP(A78,Metrik!$C$2:$Y$959,19,0)</f>
        <v>19.8</v>
      </c>
      <c r="N78" s="21"/>
      <c r="O78" s="21"/>
      <c r="P78" s="21"/>
      <c r="Q78" s="21"/>
      <c r="R78" s="21"/>
      <c r="S78" s="21"/>
      <c r="T78" s="21"/>
      <c r="U78" s="22">
        <f>IFERROR(__xludf.DUMMYFUNCTION("IFERROR(GOOGLEFINANCE(A78,""closeyest""),"""")"),1265.0)</f>
        <v>1265</v>
      </c>
      <c r="V78" s="23">
        <f>IFERROR(__xludf.DUMMYFUNCTION("IFERROR(GOOGLEFINANCE(A78,""changepct""),"""")"),-1.19)</f>
        <v>-1.19</v>
      </c>
      <c r="W78" s="22">
        <f>IFERROR(__xludf.DUMMYFUNCTION("IFERROR(GOOGLEFINANCE(A78,""priceopen""),"""")"),1280.0)</f>
        <v>1280</v>
      </c>
      <c r="X78" s="22">
        <f>IFERROR(__xludf.DUMMYFUNCTION("IFERROR(GOOGLEFINANCE(A78,""high""),"""")"),1315.0)</f>
        <v>1315</v>
      </c>
      <c r="Y78" s="22">
        <f>IFERROR(__xludf.DUMMYFUNCTION("IFERROR(GOOGLEFINANCE(A78,""low""),"""")"),1250.0)</f>
        <v>1250</v>
      </c>
      <c r="Z78" s="22">
        <f>IFERROR(__xludf.DUMMYFUNCTION("IFERROR(GOOGLEFINANCE(A78,""volume""),"""")"),2.12091E7)</f>
        <v>21209100</v>
      </c>
      <c r="AA78" s="24" t="str">
        <f>VLOOKUP(A78,Metrik!$C$2:$Y$959,5,0)</f>
        <v>Oil &amp; Gas</v>
      </c>
      <c r="AB78" s="24" t="str">
        <f>VLOOKUP(A78,Metrik!$C$2:$Y$959,3,0)</f>
        <v>Energy</v>
      </c>
    </row>
    <row r="79">
      <c r="A79" s="17" t="s">
        <v>83</v>
      </c>
      <c r="B79" s="14" t="str">
        <f t="array" ref="B79">VLOOKUP(A79,{Metrik!$C$2:$C$998,Metrik!$B$2:$B$998},2,0)</f>
        <v>AKR Corporindo Tbk.</v>
      </c>
      <c r="C79" s="15">
        <f>IFERROR(__xludf.DUMMYFUNCTION("GOOGLEFINANCE(""IDX:""&amp;A79,""price"")"),1250.0)</f>
        <v>1250</v>
      </c>
      <c r="D79" s="16" t="str">
        <f>IFERROR(__xludf.DUMMYFUNCTION("IF(A79="""","""",
SPARKLINE(
INDEX(
GOOGLEFINANCE(""IDX:""&amp;A79,""close"",TODAY()-365,TODAY()),
,2
),
{""linewidth"",1}
))
"),"#N/A")</f>
        <v>#N/A</v>
      </c>
      <c r="E79" s="14" t="s">
        <v>35</v>
      </c>
      <c r="F79" s="17" t="s">
        <v>36</v>
      </c>
      <c r="G79" s="24">
        <f t="shared" si="1"/>
        <v>16</v>
      </c>
      <c r="H79" s="19">
        <f>VLOOKUP(A79,Metrik!$C$2:$Y$959,8,0)</f>
        <v>9.7</v>
      </c>
      <c r="I79" s="20">
        <f>VLOOKUP(A79,Metrik!$C$2:$Y$959,9,0)</f>
        <v>1.5</v>
      </c>
      <c r="J79" s="20">
        <f>VLOOKUP(A79,Metrik!$C$2:$Y$959,10,0)</f>
        <v>15.8</v>
      </c>
      <c r="K79" s="20">
        <f>VLOOKUP(A79,Metrik!$C$2:$Y$959,11,0)</f>
        <v>6.9</v>
      </c>
      <c r="L79" s="20">
        <f>VLOOKUP(A79,Metrik!$C$2:$Y$959,12,0)</f>
        <v>1.3</v>
      </c>
      <c r="M79" s="20">
        <f>VLOOKUP(A79,Metrik!$C$2:$Y$959,19,0)</f>
        <v>19.8</v>
      </c>
      <c r="N79" s="21"/>
      <c r="O79" s="21"/>
      <c r="P79" s="21"/>
      <c r="Q79" s="21"/>
      <c r="R79" s="21"/>
      <c r="S79" s="21"/>
      <c r="T79" s="21"/>
      <c r="U79" s="22">
        <f>IFERROR(__xludf.DUMMYFUNCTION("IFERROR(GOOGLEFINANCE(A79,""closeyest""),"""")"),1265.0)</f>
        <v>1265</v>
      </c>
      <c r="V79" s="23">
        <f>IFERROR(__xludf.DUMMYFUNCTION("IFERROR(GOOGLEFINANCE(A79,""changepct""),"""")"),-1.19)</f>
        <v>-1.19</v>
      </c>
      <c r="W79" s="22">
        <f>IFERROR(__xludf.DUMMYFUNCTION("IFERROR(GOOGLEFINANCE(A79,""priceopen""),"""")"),1280.0)</f>
        <v>1280</v>
      </c>
      <c r="X79" s="22">
        <f>IFERROR(__xludf.DUMMYFUNCTION("IFERROR(GOOGLEFINANCE(A79,""high""),"""")"),1315.0)</f>
        <v>1315</v>
      </c>
      <c r="Y79" s="22">
        <f>IFERROR(__xludf.DUMMYFUNCTION("IFERROR(GOOGLEFINANCE(A79,""low""),"""")"),1250.0)</f>
        <v>1250</v>
      </c>
      <c r="Z79" s="22">
        <f>IFERROR(__xludf.DUMMYFUNCTION("IFERROR(GOOGLEFINANCE(A79,""volume""),"""")"),2.12091E7)</f>
        <v>21209100</v>
      </c>
      <c r="AA79" s="24" t="str">
        <f>VLOOKUP(A79,Metrik!$C$2:$Y$959,5,0)</f>
        <v>Oil &amp; Gas</v>
      </c>
      <c r="AB79" s="24" t="str">
        <f>VLOOKUP(A79,Metrik!$C$2:$Y$959,3,0)</f>
        <v>Energy</v>
      </c>
    </row>
    <row r="80">
      <c r="A80" s="14" t="s">
        <v>83</v>
      </c>
      <c r="B80" s="14" t="str">
        <f t="array" ref="B80">VLOOKUP(A80,{Metrik!$C$2:$C$998,Metrik!$B$2:$B$998},2,0)</f>
        <v>AKR Corporindo Tbk.</v>
      </c>
      <c r="C80" s="15">
        <f>IFERROR(__xludf.DUMMYFUNCTION("GOOGLEFINANCE(""IDX:""&amp;A80,""price"")"),1250.0)</f>
        <v>1250</v>
      </c>
      <c r="D80" s="16" t="str">
        <f>IFERROR(__xludf.DUMMYFUNCTION("IF(A80="""","""",
SPARKLINE(
INDEX(
GOOGLEFINANCE(""IDX:""&amp;A80,""close"",TODAY()-365,TODAY()),
,2
),
{""linewidth"",1}
))
"),"#N/A")</f>
        <v>#N/A</v>
      </c>
      <c r="E80" s="14" t="s">
        <v>55</v>
      </c>
      <c r="F80" s="25">
        <v>46356.0</v>
      </c>
      <c r="G80" s="18">
        <f t="shared" si="1"/>
        <v>16</v>
      </c>
      <c r="H80" s="19">
        <f>VLOOKUP(A80,Metrik!$C$2:$Y$959,8,0)</f>
        <v>9.7</v>
      </c>
      <c r="I80" s="20">
        <f>VLOOKUP(A80,Metrik!$C$2:$Y$959,9,0)</f>
        <v>1.5</v>
      </c>
      <c r="J80" s="20">
        <f>VLOOKUP(A80,Metrik!$C$2:$Y$959,10,0)</f>
        <v>15.8</v>
      </c>
      <c r="K80" s="20">
        <f>VLOOKUP(A80,Metrik!$C$2:$Y$959,11,0)</f>
        <v>6.9</v>
      </c>
      <c r="L80" s="20">
        <f>VLOOKUP(A80,Metrik!$C$2:$Y$959,12,0)</f>
        <v>1.3</v>
      </c>
      <c r="M80" s="20">
        <f>VLOOKUP(A80,Metrik!$C$2:$Y$959,19,0)</f>
        <v>19.8</v>
      </c>
      <c r="N80" s="21"/>
      <c r="O80" s="21"/>
      <c r="P80" s="21"/>
      <c r="Q80" s="21"/>
      <c r="R80" s="21"/>
      <c r="S80" s="21"/>
      <c r="T80" s="21"/>
      <c r="U80" s="22">
        <f>IFERROR(__xludf.DUMMYFUNCTION("IFERROR(GOOGLEFINANCE(A80,""closeyest""),"""")"),1265.0)</f>
        <v>1265</v>
      </c>
      <c r="V80" s="23">
        <f>IFERROR(__xludf.DUMMYFUNCTION("IFERROR(GOOGLEFINANCE(A80,""changepct""),"""")"),-1.19)</f>
        <v>-1.19</v>
      </c>
      <c r="W80" s="22">
        <f>IFERROR(__xludf.DUMMYFUNCTION("IFERROR(GOOGLEFINANCE(A80,""priceopen""),"""")"),1280.0)</f>
        <v>1280</v>
      </c>
      <c r="X80" s="22">
        <f>IFERROR(__xludf.DUMMYFUNCTION("IFERROR(GOOGLEFINANCE(A80,""high""),"""")"),1315.0)</f>
        <v>1315</v>
      </c>
      <c r="Y80" s="22">
        <f>IFERROR(__xludf.DUMMYFUNCTION("IFERROR(GOOGLEFINANCE(A80,""low""),"""")"),1250.0)</f>
        <v>1250</v>
      </c>
      <c r="Z80" s="22">
        <f>IFERROR(__xludf.DUMMYFUNCTION("IFERROR(GOOGLEFINANCE(A80,""volume""),"""")"),2.12091E7)</f>
        <v>21209100</v>
      </c>
      <c r="AA80" s="24" t="str">
        <f>VLOOKUP(A80,Metrik!$C$2:$Y$959,5,0)</f>
        <v>Oil &amp; Gas</v>
      </c>
      <c r="AB80" s="24" t="str">
        <f>VLOOKUP(A80,Metrik!$C$2:$Y$959,3,0)</f>
        <v>Energy</v>
      </c>
    </row>
    <row r="81">
      <c r="A81" s="17" t="s">
        <v>83</v>
      </c>
      <c r="B81" s="14" t="str">
        <f t="array" ref="B81">VLOOKUP(A81,{Metrik!$C$2:$C$998,Metrik!$B$2:$B$998},2,0)</f>
        <v>AKR Corporindo Tbk.</v>
      </c>
      <c r="C81" s="15">
        <f>IFERROR(__xludf.DUMMYFUNCTION("GOOGLEFINANCE(""IDX:""&amp;A81,""price"")"),1250.0)</f>
        <v>1250</v>
      </c>
      <c r="D81" s="16" t="str">
        <f>IFERROR(__xludf.DUMMYFUNCTION("IF(A81="""","""",
SPARKLINE(
INDEX(
GOOGLEFINANCE(""IDX:""&amp;A81,""close"",TODAY()-365,TODAY()),
,2
),
{""linewidth"",1}
))
"),"#N/A")</f>
        <v>#N/A</v>
      </c>
      <c r="E81" s="14" t="s">
        <v>86</v>
      </c>
      <c r="F81" s="25">
        <v>46356.0</v>
      </c>
      <c r="G81" s="33">
        <f t="shared" si="1"/>
        <v>16</v>
      </c>
      <c r="H81" s="34">
        <f>VLOOKUP(A81,Metrik!$C$2:$Y$959,8,0)</f>
        <v>9.7</v>
      </c>
      <c r="I81" s="34">
        <f>VLOOKUP(A81,Metrik!$C$2:$Y$959,9,0)</f>
        <v>1.5</v>
      </c>
      <c r="J81" s="34">
        <f>VLOOKUP(A81,Metrik!$C$2:$Y$959,10,0)</f>
        <v>15.8</v>
      </c>
      <c r="K81" s="34">
        <f>VLOOKUP(A81,Metrik!$C$2:$Y$959,11,0)</f>
        <v>6.9</v>
      </c>
      <c r="L81" s="34">
        <f>VLOOKUP(A81,Metrik!$C$2:$Y$959,12,0)</f>
        <v>1.3</v>
      </c>
      <c r="M81" s="34">
        <f>VLOOKUP(A81,Metrik!$C$2:$Y$959,19,0)</f>
        <v>19.8</v>
      </c>
      <c r="N81" s="26"/>
      <c r="O81" s="26"/>
      <c r="P81" s="26"/>
      <c r="Q81" s="26"/>
      <c r="R81" s="26"/>
      <c r="S81" s="26"/>
      <c r="T81" s="26"/>
      <c r="U81" s="35">
        <f>IFERROR(__xludf.DUMMYFUNCTION("IFERROR(GOOGLEFINANCE(A81,""closeyest""),"""")"),1265.0)</f>
        <v>1265</v>
      </c>
      <c r="V81" s="36">
        <f>IFERROR(__xludf.DUMMYFUNCTION("IFERROR(GOOGLEFINANCE(A81,""changepct""),"""")"),-1.19)</f>
        <v>-1.19</v>
      </c>
      <c r="W81" s="35">
        <f>IFERROR(__xludf.DUMMYFUNCTION("IFERROR(GOOGLEFINANCE(A81,""priceopen""),"""")"),1280.0)</f>
        <v>1280</v>
      </c>
      <c r="X81" s="35">
        <f>IFERROR(__xludf.DUMMYFUNCTION("IFERROR(GOOGLEFINANCE(A81,""high""),"""")"),1315.0)</f>
        <v>1315</v>
      </c>
      <c r="Y81" s="35">
        <f>IFERROR(__xludf.DUMMYFUNCTION("IFERROR(GOOGLEFINANCE(A81,""low""),"""")"),1250.0)</f>
        <v>1250</v>
      </c>
      <c r="Z81" s="35">
        <f>IFERROR(__xludf.DUMMYFUNCTION("IFERROR(GOOGLEFINANCE(A81,""volume""),"""")"),2.12091E7)</f>
        <v>21209100</v>
      </c>
      <c r="AA81" s="14" t="str">
        <f>VLOOKUP(A81,Metrik!$C$2:$Y$959,5,0)</f>
        <v>Oil &amp; Gas</v>
      </c>
      <c r="AB81" s="14" t="str">
        <f>VLOOKUP(A81,Metrik!$C$2:$Y$959,3,0)</f>
        <v>Energy</v>
      </c>
    </row>
    <row r="82">
      <c r="A82" s="14" t="s">
        <v>83</v>
      </c>
      <c r="B82" s="14" t="str">
        <f t="array" ref="B82">VLOOKUP(A82,{Metrik!$C$2:$C$998,Metrik!$B$2:$B$998},2,0)</f>
        <v>AKR Corporindo Tbk.</v>
      </c>
      <c r="C82" s="15">
        <f>IFERROR(__xludf.DUMMYFUNCTION("GOOGLEFINANCE(""IDX:""&amp;A82,""price"")"),1250.0)</f>
        <v>1250</v>
      </c>
      <c r="D82" s="16" t="str">
        <f>IFERROR(__xludf.DUMMYFUNCTION("IF(A82="""","""",
SPARKLINE(
INDEX(
GOOGLEFINANCE(""IDX:""&amp;A82,""close"",TODAY()-365,TODAY()),
,2
),
{""linewidth"",1}
))
"),"#N/A")</f>
        <v>#N/A</v>
      </c>
      <c r="E82" s="14" t="s">
        <v>42</v>
      </c>
      <c r="F82" s="25">
        <v>46356.0</v>
      </c>
      <c r="G82" s="18">
        <f t="shared" si="1"/>
        <v>16</v>
      </c>
      <c r="H82" s="19">
        <f>VLOOKUP(A82,Metrik!$C$2:$Y$959,8,0)</f>
        <v>9.7</v>
      </c>
      <c r="I82" s="20">
        <f>VLOOKUP(A82,Metrik!$C$2:$Y$959,9,0)</f>
        <v>1.5</v>
      </c>
      <c r="J82" s="20">
        <f>VLOOKUP(A82,Metrik!$C$2:$Y$959,10,0)</f>
        <v>15.8</v>
      </c>
      <c r="K82" s="20">
        <f>VLOOKUP(A82,Metrik!$C$2:$Y$959,11,0)</f>
        <v>6.9</v>
      </c>
      <c r="L82" s="20">
        <f>VLOOKUP(A82,Metrik!$C$2:$Y$959,12,0)</f>
        <v>1.3</v>
      </c>
      <c r="M82" s="20">
        <f>VLOOKUP(A82,Metrik!$C$2:$Y$959,19,0)</f>
        <v>19.8</v>
      </c>
      <c r="N82" s="21"/>
      <c r="O82" s="21"/>
      <c r="P82" s="21"/>
      <c r="Q82" s="21"/>
      <c r="R82" s="21"/>
      <c r="S82" s="21"/>
      <c r="T82" s="21"/>
      <c r="U82" s="22">
        <f>IFERROR(__xludf.DUMMYFUNCTION("IFERROR(GOOGLEFINANCE(A82,""closeyest""),"""")"),1265.0)</f>
        <v>1265</v>
      </c>
      <c r="V82" s="23">
        <f>IFERROR(__xludf.DUMMYFUNCTION("IFERROR(GOOGLEFINANCE(A82,""changepct""),"""")"),-1.19)</f>
        <v>-1.19</v>
      </c>
      <c r="W82" s="22">
        <f>IFERROR(__xludf.DUMMYFUNCTION("IFERROR(GOOGLEFINANCE(A82,""priceopen""),"""")"),1280.0)</f>
        <v>1280</v>
      </c>
      <c r="X82" s="22">
        <f>IFERROR(__xludf.DUMMYFUNCTION("IFERROR(GOOGLEFINANCE(A82,""high""),"""")"),1315.0)</f>
        <v>1315</v>
      </c>
      <c r="Y82" s="22">
        <f>IFERROR(__xludf.DUMMYFUNCTION("IFERROR(GOOGLEFINANCE(A82,""low""),"""")"),1250.0)</f>
        <v>1250</v>
      </c>
      <c r="Z82" s="22">
        <f>IFERROR(__xludf.DUMMYFUNCTION("IFERROR(GOOGLEFINANCE(A82,""volume""),"""")"),2.12091E7)</f>
        <v>21209100</v>
      </c>
      <c r="AA82" s="24" t="str">
        <f>VLOOKUP(A82,Metrik!$C$2:$Y$959,5,0)</f>
        <v>Oil &amp; Gas</v>
      </c>
      <c r="AB82" s="24" t="str">
        <f>VLOOKUP(A82,Metrik!$C$2:$Y$959,3,0)</f>
        <v>Energy</v>
      </c>
    </row>
    <row r="83">
      <c r="A83" s="14" t="s">
        <v>83</v>
      </c>
      <c r="B83" s="14" t="str">
        <f t="array" ref="B83">VLOOKUP(A83,{Metrik!$C$2:$C$998,Metrik!$B$2:$B$998},2,0)</f>
        <v>AKR Corporindo Tbk.</v>
      </c>
      <c r="C83" s="15">
        <f>IFERROR(__xludf.DUMMYFUNCTION("GOOGLEFINANCE(""IDX:""&amp;A83,""price"")"),1250.0)</f>
        <v>1250</v>
      </c>
      <c r="D83" s="16" t="str">
        <f>IFERROR(__xludf.DUMMYFUNCTION("IF(A83="""","""",
SPARKLINE(
INDEX(
GOOGLEFINANCE(""IDX:""&amp;A83,""close"",TODAY()-365,TODAY()),
,2
),
{""linewidth"",1}
))
"),"#N/A")</f>
        <v>#N/A</v>
      </c>
      <c r="E83" s="14" t="s">
        <v>39</v>
      </c>
      <c r="F83" s="25">
        <v>46356.0</v>
      </c>
      <c r="G83" s="18">
        <f t="shared" si="1"/>
        <v>16</v>
      </c>
      <c r="H83" s="19">
        <f>VLOOKUP(A83,Metrik!$C$2:$Y$959,8,0)</f>
        <v>9.7</v>
      </c>
      <c r="I83" s="20">
        <f>VLOOKUP(A83,Metrik!$C$2:$Y$959,9,0)</f>
        <v>1.5</v>
      </c>
      <c r="J83" s="20">
        <f>VLOOKUP(A83,Metrik!$C$2:$Y$959,10,0)</f>
        <v>15.8</v>
      </c>
      <c r="K83" s="20">
        <f>VLOOKUP(A83,Metrik!$C$2:$Y$959,11,0)</f>
        <v>6.9</v>
      </c>
      <c r="L83" s="20">
        <f>VLOOKUP(A83,Metrik!$C$2:$Y$959,12,0)</f>
        <v>1.3</v>
      </c>
      <c r="M83" s="20">
        <f>VLOOKUP(A83,Metrik!$C$2:$Y$959,19,0)</f>
        <v>19.8</v>
      </c>
      <c r="N83" s="21"/>
      <c r="O83" s="21"/>
      <c r="P83" s="21"/>
      <c r="Q83" s="21"/>
      <c r="R83" s="21"/>
      <c r="S83" s="21"/>
      <c r="T83" s="21"/>
      <c r="U83" s="22">
        <f>IFERROR(__xludf.DUMMYFUNCTION("IFERROR(GOOGLEFINANCE(A83,""closeyest""),"""")"),1265.0)</f>
        <v>1265</v>
      </c>
      <c r="V83" s="23">
        <f>IFERROR(__xludf.DUMMYFUNCTION("IFERROR(GOOGLEFINANCE(A83,""changepct""),"""")"),-1.19)</f>
        <v>-1.19</v>
      </c>
      <c r="W83" s="22">
        <f>IFERROR(__xludf.DUMMYFUNCTION("IFERROR(GOOGLEFINANCE(A83,""priceopen""),"""")"),1280.0)</f>
        <v>1280</v>
      </c>
      <c r="X83" s="22">
        <f>IFERROR(__xludf.DUMMYFUNCTION("IFERROR(GOOGLEFINANCE(A83,""high""),"""")"),1315.0)</f>
        <v>1315</v>
      </c>
      <c r="Y83" s="22">
        <f>IFERROR(__xludf.DUMMYFUNCTION("IFERROR(GOOGLEFINANCE(A83,""low""),"""")"),1250.0)</f>
        <v>1250</v>
      </c>
      <c r="Z83" s="22">
        <f>IFERROR(__xludf.DUMMYFUNCTION("IFERROR(GOOGLEFINANCE(A83,""volume""),"""")"),2.12091E7)</f>
        <v>21209100</v>
      </c>
      <c r="AA83" s="24" t="str">
        <f>VLOOKUP(A83,Metrik!$C$2:$Y$959,5,0)</f>
        <v>Oil &amp; Gas</v>
      </c>
      <c r="AB83" s="24" t="str">
        <f>VLOOKUP(A83,Metrik!$C$2:$Y$959,3,0)</f>
        <v>Energy</v>
      </c>
    </row>
    <row r="84">
      <c r="A84" s="14" t="s">
        <v>87</v>
      </c>
      <c r="B84" s="14" t="str">
        <f t="array" ref="B84">VLOOKUP(A84,{Metrik!$C$2:$C$998,Metrik!$B$2:$B$998},2,0)</f>
        <v>PT Maming Enam Sembilan Mineral Tbk.</v>
      </c>
      <c r="C84" s="15">
        <f>IFERROR(__xludf.DUMMYFUNCTION("GOOGLEFINANCE(""IDX:""&amp;A84,""price"")"),183.0)</f>
        <v>183</v>
      </c>
      <c r="D84" s="16" t="str">
        <f>IFERROR(__xludf.DUMMYFUNCTION("IF(A84="""","""",
SPARKLINE(
INDEX(
GOOGLEFINANCE(""IDX:""&amp;A84,""close"",TODAY()-365,TODAY()),
,2
),
{""linewidth"",1}
))
"),"#N/A")</f>
        <v>#N/A</v>
      </c>
      <c r="E84" s="26"/>
      <c r="F84" s="26"/>
      <c r="G84" s="24">
        <f t="shared" si="1"/>
        <v>0</v>
      </c>
      <c r="H84" s="19">
        <f>VLOOKUP(A84,Metrik!$C$2:$Y$959,8,0)</f>
        <v>-16.7</v>
      </c>
      <c r="I84" s="20">
        <f>VLOOKUP(A84,Metrik!$C$2:$Y$959,9,0)</f>
        <v>1</v>
      </c>
      <c r="J84" s="20">
        <f>VLOOKUP(A84,Metrik!$C$2:$Y$959,10,0)</f>
        <v>-6.2</v>
      </c>
      <c r="K84" s="20">
        <f>VLOOKUP(A84,Metrik!$C$2:$Y$959,11,0)</f>
        <v>-3.2</v>
      </c>
      <c r="L84" s="20">
        <f>VLOOKUP(A84,Metrik!$C$2:$Y$959,12,0)</f>
        <v>0.97</v>
      </c>
      <c r="M84" s="20">
        <f>VLOOKUP(A84,Metrik!$C$2:$Y$959,19,0)</f>
        <v>-12.7</v>
      </c>
      <c r="N84" s="21"/>
      <c r="O84" s="21"/>
      <c r="P84" s="21"/>
      <c r="Q84" s="21"/>
      <c r="R84" s="21"/>
      <c r="S84" s="21"/>
      <c r="T84" s="21"/>
      <c r="U84" s="22">
        <f>IFERROR(__xludf.DUMMYFUNCTION("IFERROR(GOOGLEFINANCE(A84,""closeyest""),"""")"),177.0)</f>
        <v>177</v>
      </c>
      <c r="V84" s="23">
        <f>IFERROR(__xludf.DUMMYFUNCTION("IFERROR(GOOGLEFINANCE(A84,""changepct""),"""")"),3.39)</f>
        <v>3.39</v>
      </c>
      <c r="W84" s="22" t="str">
        <f>IFERROR(__xludf.DUMMYFUNCTION("IFERROR(GOOGLEFINANCE(A84,""priceopen""),"""")"),"")</f>
        <v/>
      </c>
      <c r="X84" s="22">
        <f>IFERROR(__xludf.DUMMYFUNCTION("IFERROR(GOOGLEFINANCE(A84,""high""),"""")"),192.0)</f>
        <v>192</v>
      </c>
      <c r="Y84" s="22">
        <f>IFERROR(__xludf.DUMMYFUNCTION("IFERROR(GOOGLEFINANCE(A84,""low""),"""")"),178.0)</f>
        <v>178</v>
      </c>
      <c r="Z84" s="22">
        <f>IFERROR(__xludf.DUMMYFUNCTION("IFERROR(GOOGLEFINANCE(A84,""volume""),"""")"),667600.0)</f>
        <v>667600</v>
      </c>
      <c r="AA84" s="24" t="str">
        <f>VLOOKUP(A84,Metrik!$C$2:$Y$959,5,0)</f>
        <v>Logistics &amp; Deliveries</v>
      </c>
      <c r="AB84" s="24" t="str">
        <f>VLOOKUP(A84,Metrik!$C$2:$Y$959,3,0)</f>
        <v>Transportation &amp; Logistic</v>
      </c>
    </row>
    <row r="85">
      <c r="A85" s="14" t="s">
        <v>88</v>
      </c>
      <c r="B85" s="14" t="str">
        <f t="array" ref="B85">VLOOKUP(A85,{Metrik!$C$2:$C$998,Metrik!$B$2:$B$998},2,0)</f>
        <v>Alkindo Naratama Tbk.</v>
      </c>
      <c r="C85" s="15">
        <f>IFERROR(__xludf.DUMMYFUNCTION("GOOGLEFINANCE(""IDX:""&amp;A85,""price"")"),705.0)</f>
        <v>705</v>
      </c>
      <c r="D85" s="16" t="str">
        <f>IFERROR(__xludf.DUMMYFUNCTION("IF(A85="""","""",
SPARKLINE(
INDEX(
GOOGLEFINANCE(""IDX:""&amp;A85,""close"",TODAY()-365,TODAY()),
,2
),
{""linewidth"",1}
))
"),"#N/A")</f>
        <v>#N/A</v>
      </c>
      <c r="E85" s="26"/>
      <c r="F85" s="26"/>
      <c r="G85" s="24">
        <f t="shared" si="1"/>
        <v>0</v>
      </c>
      <c r="H85" s="19">
        <f>VLOOKUP(A85,Metrik!$C$2:$Y$959,8,0)</f>
        <v>44.4</v>
      </c>
      <c r="I85" s="20">
        <f>VLOOKUP(A85,Metrik!$C$2:$Y$959,9,0)</f>
        <v>1.7</v>
      </c>
      <c r="J85" s="20">
        <f>VLOOKUP(A85,Metrik!$C$2:$Y$959,10,0)</f>
        <v>3.9</v>
      </c>
      <c r="K85" s="20">
        <f>VLOOKUP(A85,Metrik!$C$2:$Y$959,11,0)</f>
        <v>2</v>
      </c>
      <c r="L85" s="20">
        <f>VLOOKUP(A85,Metrik!$C$2:$Y$959,12,0)</f>
        <v>0.97</v>
      </c>
      <c r="M85" s="20">
        <f>VLOOKUP(A85,Metrik!$C$2:$Y$959,19,0)</f>
        <v>7.8</v>
      </c>
      <c r="N85" s="21"/>
      <c r="O85" s="21"/>
      <c r="P85" s="21"/>
      <c r="Q85" s="21"/>
      <c r="R85" s="21"/>
      <c r="S85" s="21"/>
      <c r="T85" s="21"/>
      <c r="U85" s="22" t="str">
        <f>IFERROR(__xludf.DUMMYFUNCTION("IFERROR(GOOGLEFINANCE(A85,""closeyest""),"""")"),"")</f>
        <v/>
      </c>
      <c r="V85" s="23">
        <f>IFERROR(__xludf.DUMMYFUNCTION("IFERROR(GOOGLEFINANCE(A85,""changepct""),"""")"),-1.4)</f>
        <v>-1.4</v>
      </c>
      <c r="W85" s="22">
        <f>IFERROR(__xludf.DUMMYFUNCTION("IFERROR(GOOGLEFINANCE(A85,""priceopen""),"""")"),685.0)</f>
        <v>685</v>
      </c>
      <c r="X85" s="22">
        <f>IFERROR(__xludf.DUMMYFUNCTION("IFERROR(GOOGLEFINANCE(A85,""high""),"""")"),715.0)</f>
        <v>715</v>
      </c>
      <c r="Y85" s="22">
        <f>IFERROR(__xludf.DUMMYFUNCTION("IFERROR(GOOGLEFINANCE(A85,""low""),"""")"),685.0)</f>
        <v>685</v>
      </c>
      <c r="Z85" s="22">
        <f>IFERROR(__xludf.DUMMYFUNCTION("IFERROR(GOOGLEFINANCE(A85,""volume""),"""")"),38000.0)</f>
        <v>38000</v>
      </c>
      <c r="AA85" s="24" t="str">
        <f>VLOOKUP(A85,Metrik!$C$2:$Y$959,5,0)</f>
        <v>Containers &amp; Packaging</v>
      </c>
      <c r="AB85" s="24" t="str">
        <f>VLOOKUP(A85,Metrik!$C$2:$Y$959,3,0)</f>
        <v>Basic Materials</v>
      </c>
    </row>
    <row r="86">
      <c r="A86" s="14" t="s">
        <v>89</v>
      </c>
      <c r="B86" s="14" t="str">
        <f t="array" ref="B86">VLOOKUP(A86,{Metrik!$C$2:$C$998,Metrik!$B$2:$B$998},2,0)</f>
        <v>Ancara Logistics Indonesia Tbk.</v>
      </c>
      <c r="C86" s="15">
        <f>IFERROR(__xludf.DUMMYFUNCTION("GOOGLEFINANCE(""IDX:""&amp;A86,""price"")"),835.0)</f>
        <v>835</v>
      </c>
      <c r="D86" s="16" t="str">
        <f>IFERROR(__xludf.DUMMYFUNCTION("IF(A86="""","""",
SPARKLINE(
INDEX(
GOOGLEFINANCE(""IDX:""&amp;A86,""close"",TODAY()-365,TODAY()),
,2
),
{""linewidth"",1}
))
"),"#N/A")</f>
        <v>#N/A</v>
      </c>
      <c r="E86" s="26"/>
      <c r="F86" s="26"/>
      <c r="G86" s="24">
        <f t="shared" si="1"/>
        <v>0</v>
      </c>
      <c r="H86" s="19">
        <f>VLOOKUP(A86,Metrik!$C$2:$Y$959,8,0)</f>
        <v>35.1</v>
      </c>
      <c r="I86" s="20">
        <f>VLOOKUP(A86,Metrik!$C$2:$Y$959,9,0)</f>
        <v>5.8</v>
      </c>
      <c r="J86" s="20">
        <f>VLOOKUP(A86,Metrik!$C$2:$Y$959,10,0)</f>
        <v>16.4</v>
      </c>
      <c r="K86" s="20">
        <f>VLOOKUP(A86,Metrik!$C$2:$Y$959,11,0)</f>
        <v>12.8</v>
      </c>
      <c r="L86" s="20">
        <f>VLOOKUP(A86,Metrik!$C$2:$Y$959,12,0)</f>
        <v>0.28</v>
      </c>
      <c r="M86" s="20">
        <f>VLOOKUP(A86,Metrik!$C$2:$Y$959,19,0)</f>
        <v>140</v>
      </c>
      <c r="N86" s="21"/>
      <c r="O86" s="21"/>
      <c r="P86" s="21"/>
      <c r="Q86" s="21"/>
      <c r="R86" s="21"/>
      <c r="S86" s="21"/>
      <c r="T86" s="21"/>
      <c r="U86" s="22">
        <f>IFERROR(__xludf.DUMMYFUNCTION("IFERROR(GOOGLEFINANCE(A86,""closeyest""),"""")"),785.0)</f>
        <v>785</v>
      </c>
      <c r="V86" s="23">
        <f>IFERROR(__xludf.DUMMYFUNCTION("IFERROR(GOOGLEFINANCE(A86,""changepct""),"""")"),6.37)</f>
        <v>6.37</v>
      </c>
      <c r="W86" s="22">
        <f>IFERROR(__xludf.DUMMYFUNCTION("IFERROR(GOOGLEFINANCE(A86,""priceopen""),"""")"),785.0)</f>
        <v>785</v>
      </c>
      <c r="X86" s="22">
        <f>IFERROR(__xludf.DUMMYFUNCTION("IFERROR(GOOGLEFINANCE(A86,""high""),"""")"),850.0)</f>
        <v>850</v>
      </c>
      <c r="Y86" s="22">
        <f>IFERROR(__xludf.DUMMYFUNCTION("IFERROR(GOOGLEFINANCE(A86,""low""),"""")"),785.0)</f>
        <v>785</v>
      </c>
      <c r="Z86" s="22">
        <f>IFERROR(__xludf.DUMMYFUNCTION("IFERROR(GOOGLEFINANCE(A86,""volume""),"""")"),1472800.0)</f>
        <v>1472800</v>
      </c>
      <c r="AA86" s="24" t="str">
        <f>VLOOKUP(A86,Metrik!$C$2:$Y$959,5,0)</f>
        <v>Coal</v>
      </c>
      <c r="AB86" s="24" t="str">
        <f>VLOOKUP(A86,Metrik!$C$2:$Y$959,3,0)</f>
        <v>Energy</v>
      </c>
    </row>
    <row r="87">
      <c r="A87" s="14" t="s">
        <v>90</v>
      </c>
      <c r="B87" s="14" t="str">
        <f t="array" ref="B87">VLOOKUP(A87,{Metrik!$C$2:$C$998,Metrik!$B$2:$B$998},2,0)</f>
        <v>Alakasa Industrindo Tbk</v>
      </c>
      <c r="C87" s="15">
        <f>IFERROR(__xludf.DUMMYFUNCTION("GOOGLEFINANCE(""IDX:""&amp;A87,""price"")"),605.0)</f>
        <v>605</v>
      </c>
      <c r="D87" s="16" t="str">
        <f>IFERROR(__xludf.DUMMYFUNCTION("IF(A87="""","""",
SPARKLINE(
INDEX(
GOOGLEFINANCE(""IDX:""&amp;A87,""close"",TODAY()-365,TODAY()),
,2
),
{""linewidth"",1}
))
"),"#N/A")</f>
        <v>#N/A</v>
      </c>
      <c r="E87" s="26"/>
      <c r="F87" s="26"/>
      <c r="G87" s="24">
        <f t="shared" si="1"/>
        <v>0</v>
      </c>
      <c r="H87" s="19">
        <f>VLOOKUP(A87,Metrik!$C$2:$Y$959,8,0)</f>
        <v>16.7</v>
      </c>
      <c r="I87" s="20">
        <f>VLOOKUP(A87,Metrik!$C$2:$Y$959,9,0)</f>
        <v>1.2</v>
      </c>
      <c r="J87" s="20">
        <f>VLOOKUP(A87,Metrik!$C$2:$Y$959,10,0)</f>
        <v>7.3</v>
      </c>
      <c r="K87" s="20">
        <f>VLOOKUP(A87,Metrik!$C$2:$Y$959,11,0)</f>
        <v>6.4</v>
      </c>
      <c r="L87" s="20">
        <f>VLOOKUP(A87,Metrik!$C$2:$Y$959,12,0)</f>
        <v>0.13</v>
      </c>
      <c r="M87" s="20">
        <f>VLOOKUP(A87,Metrik!$C$2:$Y$959,19,0)</f>
        <v>90.1</v>
      </c>
      <c r="N87" s="21"/>
      <c r="O87" s="21"/>
      <c r="P87" s="21"/>
      <c r="Q87" s="21"/>
      <c r="R87" s="21"/>
      <c r="S87" s="21"/>
      <c r="T87" s="21"/>
      <c r="U87" s="22">
        <f>IFERROR(__xludf.DUMMYFUNCTION("IFERROR(GOOGLEFINANCE(A87,""closeyest""),"""")"),615.0)</f>
        <v>615</v>
      </c>
      <c r="V87" s="23">
        <f>IFERROR(__xludf.DUMMYFUNCTION("IFERROR(GOOGLEFINANCE(A87,""changepct""),"""")"),-1.63)</f>
        <v>-1.63</v>
      </c>
      <c r="W87" s="22">
        <f>IFERROR(__xludf.DUMMYFUNCTION("IFERROR(GOOGLEFINANCE(A87,""priceopen""),"""")"),625.0)</f>
        <v>625</v>
      </c>
      <c r="X87" s="22">
        <f>IFERROR(__xludf.DUMMYFUNCTION("IFERROR(GOOGLEFINANCE(A87,""high""),"""")"),645.0)</f>
        <v>645</v>
      </c>
      <c r="Y87" s="22">
        <f>IFERROR(__xludf.DUMMYFUNCTION("IFERROR(GOOGLEFINANCE(A87,""low""),"""")"),605.0)</f>
        <v>605</v>
      </c>
      <c r="Z87" s="22">
        <f>IFERROR(__xludf.DUMMYFUNCTION("IFERROR(GOOGLEFINANCE(A87,""volume""),"""")"),182200.0)</f>
        <v>182200</v>
      </c>
      <c r="AA87" s="24" t="str">
        <f>VLOOKUP(A87,Metrik!$C$2:$Y$959,5,0)</f>
        <v>Metals &amp; Minerals</v>
      </c>
      <c r="AB87" s="24" t="str">
        <f>VLOOKUP(A87,Metrik!$C$2:$Y$959,3,0)</f>
        <v>Basic Materials</v>
      </c>
    </row>
    <row r="88">
      <c r="A88" s="14" t="s">
        <v>91</v>
      </c>
      <c r="B88" s="14" t="str">
        <f t="array" ref="B88">VLOOKUP(A88,{Metrik!$C$2:$C$998,Metrik!$B$2:$B$998},2,0)</f>
        <v>Alumindo Light Metal Industry Tbk.</v>
      </c>
      <c r="C88" s="15">
        <f>IFERROR(__xludf.DUMMYFUNCTION("GOOGLEFINANCE(""IDX:""&amp;A88,""price"")"),74.0)</f>
        <v>74</v>
      </c>
      <c r="D88" s="16" t="str">
        <f>IFERROR(__xludf.DUMMYFUNCTION("IF(A88="""","""",
SPARKLINE(
INDEX(
GOOGLEFINANCE(""IDX:""&amp;A88,""close"",TODAY()-365,TODAY()),
,2
),
{""linewidth"",1}
))
"),"#N/A")</f>
        <v>#N/A</v>
      </c>
      <c r="E88" s="26"/>
      <c r="F88" s="26"/>
      <c r="G88" s="24">
        <f t="shared" si="1"/>
        <v>0</v>
      </c>
      <c r="H88" s="19">
        <f>VLOOKUP(A88,Metrik!$C$2:$Y$959,8,0)</f>
        <v>-5.3</v>
      </c>
      <c r="I88" s="20">
        <f>VLOOKUP(A88,Metrik!$C$2:$Y$959,9,0)</f>
        <v>3.6</v>
      </c>
      <c r="J88" s="20">
        <f>VLOOKUP(A88,Metrik!$C$2:$Y$959,10,0)</f>
        <v>-67.6</v>
      </c>
      <c r="K88" s="20">
        <f>VLOOKUP(A88,Metrik!$C$2:$Y$959,11,0)</f>
        <v>-11.9</v>
      </c>
      <c r="L88" s="20">
        <f>VLOOKUP(A88,Metrik!$C$2:$Y$959,12,0)</f>
        <v>4.7</v>
      </c>
      <c r="M88" s="20">
        <f>VLOOKUP(A88,Metrik!$C$2:$Y$959,19,0)</f>
        <v>0</v>
      </c>
      <c r="N88" s="21"/>
      <c r="O88" s="21"/>
      <c r="P88" s="21"/>
      <c r="Q88" s="21"/>
      <c r="R88" s="21"/>
      <c r="S88" s="21"/>
      <c r="T88" s="21"/>
      <c r="U88" s="22">
        <f>IFERROR(__xludf.DUMMYFUNCTION("IFERROR(GOOGLEFINANCE(A88,""closeyest""),"""")"),74.0)</f>
        <v>74</v>
      </c>
      <c r="V88" s="23">
        <f>IFERROR(__xludf.DUMMYFUNCTION("IFERROR(GOOGLEFINANCE(A88,""changepct""),"""")"),0.0)</f>
        <v>0</v>
      </c>
      <c r="W88" s="22" t="str">
        <f>IFERROR(__xludf.DUMMYFUNCTION("IFERROR(GOOGLEFINANCE(A88,""priceopen""),"""")"),"")</f>
        <v/>
      </c>
      <c r="X88" s="22" t="str">
        <f>IFERROR(__xludf.DUMMYFUNCTION("IFERROR(GOOGLEFINANCE(A88,""high""),"""")"),"")</f>
        <v/>
      </c>
      <c r="Y88" s="22" t="str">
        <f>IFERROR(__xludf.DUMMYFUNCTION("IFERROR(GOOGLEFINANCE(A88,""low""),"""")"),"")</f>
        <v/>
      </c>
      <c r="Z88" s="22">
        <f>IFERROR(__xludf.DUMMYFUNCTION("IFERROR(GOOGLEFINANCE(A88,""volume""),"""")"),0.0)</f>
        <v>0</v>
      </c>
      <c r="AA88" s="24" t="str">
        <f>VLOOKUP(A88,Metrik!$C$2:$Y$959,5,0)</f>
        <v>Metals &amp; Minerals</v>
      </c>
      <c r="AB88" s="24" t="str">
        <f>VLOOKUP(A88,Metrik!$C$2:$Y$959,3,0)</f>
        <v>Basic Materials</v>
      </c>
    </row>
    <row r="89">
      <c r="A89" s="14" t="s">
        <v>92</v>
      </c>
      <c r="B89" s="14" t="str">
        <f t="array" ref="B89">VLOOKUP(A89,{Metrik!$C$2:$C$998,Metrik!$B$2:$B$998},2,0)</f>
        <v>Tri Banyan Tirta Tbk.</v>
      </c>
      <c r="C89" s="15">
        <f>IFERROR(__xludf.DUMMYFUNCTION("GOOGLEFINANCE(""IDX:""&amp;A89,""price"")"),18.0)</f>
        <v>18</v>
      </c>
      <c r="D89" s="16" t="str">
        <f>IFERROR(__xludf.DUMMYFUNCTION("IF(A89="""","""",
SPARKLINE(
INDEX(
GOOGLEFINANCE(""IDX:""&amp;A89,""close"",TODAY()-365,TODAY()),
,2
),
{""linewidth"",1}
))
"),"#N/A")</f>
        <v>#N/A</v>
      </c>
      <c r="E89" s="26"/>
      <c r="F89" s="26"/>
      <c r="G89" s="24">
        <f t="shared" si="1"/>
        <v>0</v>
      </c>
      <c r="H89" s="19">
        <f>VLOOKUP(A89,Metrik!$C$2:$Y$959,8,0)</f>
        <v>0</v>
      </c>
      <c r="I89" s="20">
        <f>VLOOKUP(A89,Metrik!$C$2:$Y$959,9,0)</f>
        <v>0.13</v>
      </c>
      <c r="J89" s="20">
        <f>VLOOKUP(A89,Metrik!$C$2:$Y$959,10,0)</f>
        <v>-14.3</v>
      </c>
      <c r="K89" s="20">
        <f>VLOOKUP(A89,Metrik!$C$2:$Y$959,11,0)</f>
        <v>-4.6</v>
      </c>
      <c r="L89" s="20">
        <f>VLOOKUP(A89,Metrik!$C$2:$Y$959,12,0)</f>
        <v>2.1</v>
      </c>
      <c r="M89" s="20">
        <f>VLOOKUP(A89,Metrik!$C$2:$Y$959,19,0)</f>
        <v>-71.9</v>
      </c>
      <c r="N89" s="21"/>
      <c r="O89" s="21"/>
      <c r="P89" s="21"/>
      <c r="Q89" s="21"/>
      <c r="R89" s="21"/>
      <c r="S89" s="21"/>
      <c r="T89" s="21"/>
      <c r="U89" s="22">
        <f>IFERROR(__xludf.DUMMYFUNCTION("IFERROR(GOOGLEFINANCE(A89,""closeyest""),"""")"),5.65)</f>
        <v>5.65</v>
      </c>
      <c r="V89" s="23">
        <f>IFERROR(__xludf.DUMMYFUNCTION("IFERROR(GOOGLEFINANCE(A89,""changepct""),"""")"),0.88)</f>
        <v>0.88</v>
      </c>
      <c r="W89" s="22">
        <f>IFERROR(__xludf.DUMMYFUNCTION("IFERROR(GOOGLEFINANCE(A89,""priceopen""),"""")"),5.69)</f>
        <v>5.69</v>
      </c>
      <c r="X89" s="22">
        <f>IFERROR(__xludf.DUMMYFUNCTION("IFERROR(GOOGLEFINANCE(A89,""high""),"""")"),5.85)</f>
        <v>5.85</v>
      </c>
      <c r="Y89" s="22">
        <f>IFERROR(__xludf.DUMMYFUNCTION("IFERROR(GOOGLEFINANCE(A89,""low""),"""")"),5.68)</f>
        <v>5.68</v>
      </c>
      <c r="Z89" s="22">
        <f>IFERROR(__xludf.DUMMYFUNCTION("IFERROR(GOOGLEFINANCE(A89,""volume""),"""")"),1626662.0)</f>
        <v>1626662</v>
      </c>
      <c r="AA89" s="24" t="str">
        <f>VLOOKUP(A89,Metrik!$C$2:$Y$959,5,0)</f>
        <v>Beverages</v>
      </c>
      <c r="AB89" s="24" t="str">
        <f>VLOOKUP(A89,Metrik!$C$2:$Y$959,3,0)</f>
        <v>Consumer Non-Cyclicals</v>
      </c>
    </row>
    <row r="90">
      <c r="A90" s="14" t="s">
        <v>93</v>
      </c>
      <c r="B90" s="14" t="str">
        <f t="array" ref="B90">VLOOKUP(A90,{Metrik!$C$2:$C$998,Metrik!$B$2:$B$998},2,0)</f>
        <v>Asuransi Multi Artha Guna Tbk.</v>
      </c>
      <c r="C90" s="15">
        <f>IFERROR(__xludf.DUMMYFUNCTION("GOOGLEFINANCE(""IDX:""&amp;A90,""price"")"),390.0)</f>
        <v>390</v>
      </c>
      <c r="D90" s="16" t="str">
        <f>IFERROR(__xludf.DUMMYFUNCTION("IF(A90="""","""",
SPARKLINE(
INDEX(
GOOGLEFINANCE(""IDX:""&amp;A90,""close"",TODAY()-365,TODAY()),
,2
),
{""linewidth"",1}
))
"),"#N/A")</f>
        <v>#N/A</v>
      </c>
      <c r="E90" s="26"/>
      <c r="F90" s="26"/>
      <c r="G90" s="24">
        <f t="shared" si="1"/>
        <v>0</v>
      </c>
      <c r="H90" s="19">
        <f>VLOOKUP(A90,Metrik!$C$2:$Y$959,8,0)</f>
        <v>9.6</v>
      </c>
      <c r="I90" s="20">
        <f>VLOOKUP(A90,Metrik!$C$2:$Y$959,9,0)</f>
        <v>0.91</v>
      </c>
      <c r="J90" s="20">
        <f>VLOOKUP(A90,Metrik!$C$2:$Y$959,10,0)</f>
        <v>9.4</v>
      </c>
      <c r="K90" s="20">
        <f>VLOOKUP(A90,Metrik!$C$2:$Y$959,11,0)</f>
        <v>3.6</v>
      </c>
      <c r="L90" s="20">
        <f>VLOOKUP(A90,Metrik!$C$2:$Y$959,12,0)</f>
        <v>1.7</v>
      </c>
      <c r="M90" s="20">
        <f>VLOOKUP(A90,Metrik!$C$2:$Y$959,19,0)</f>
        <v>26.1</v>
      </c>
      <c r="N90" s="21"/>
      <c r="O90" s="21"/>
      <c r="P90" s="21"/>
      <c r="Q90" s="21"/>
      <c r="R90" s="21"/>
      <c r="S90" s="21"/>
      <c r="T90" s="21"/>
      <c r="U90" s="22">
        <f>IFERROR(__xludf.DUMMYFUNCTION("IFERROR(GOOGLEFINANCE(A90,""closeyest""),"""")"),378.0)</f>
        <v>378</v>
      </c>
      <c r="V90" s="23">
        <f>IFERROR(__xludf.DUMMYFUNCTION("IFERROR(GOOGLEFINANCE(A90,""changepct""),"""")"),3.17)</f>
        <v>3.17</v>
      </c>
      <c r="W90" s="22">
        <f>IFERROR(__xludf.DUMMYFUNCTION("IFERROR(GOOGLEFINANCE(A90,""priceopen""),"""")"),390.0)</f>
        <v>390</v>
      </c>
      <c r="X90" s="22">
        <f>IFERROR(__xludf.DUMMYFUNCTION("IFERROR(GOOGLEFINANCE(A90,""high""),"""")"),390.0)</f>
        <v>390</v>
      </c>
      <c r="Y90" s="22">
        <f>IFERROR(__xludf.DUMMYFUNCTION("IFERROR(GOOGLEFINANCE(A90,""low""),"""")"),380.0)</f>
        <v>380</v>
      </c>
      <c r="Z90" s="22">
        <f>IFERROR(__xludf.DUMMYFUNCTION("IFERROR(GOOGLEFINANCE(A90,""volume""),"""")"),12000.0)</f>
        <v>12000</v>
      </c>
      <c r="AA90" s="24" t="str">
        <f>VLOOKUP(A90,Metrik!$C$2:$Y$959,5,0)</f>
        <v>Insurance</v>
      </c>
      <c r="AB90" s="24" t="str">
        <f>VLOOKUP(A90,Metrik!$C$2:$Y$959,3,0)</f>
        <v>Financials</v>
      </c>
    </row>
    <row r="91">
      <c r="A91" s="14" t="s">
        <v>94</v>
      </c>
      <c r="B91" s="14" t="str">
        <f t="array" ref="B91">VLOOKUP(A91,{Metrik!$C$2:$C$998,Metrik!$B$2:$B$998},2,0)</f>
        <v>Makmur Berkah Amanda Tbk.</v>
      </c>
      <c r="C91" s="15">
        <f>IFERROR(__xludf.DUMMYFUNCTION("GOOGLEFINANCE(""IDX:""&amp;A91,""price"")"),250.0)</f>
        <v>250</v>
      </c>
      <c r="D91" s="16" t="str">
        <f>IFERROR(__xludf.DUMMYFUNCTION("IF(A91="""","""",
SPARKLINE(
INDEX(
GOOGLEFINANCE(""IDX:""&amp;A91,""close"",TODAY()-365,TODAY()),
,2
),
{""linewidth"",1}
))
"),"#N/A")</f>
        <v>#N/A</v>
      </c>
      <c r="E91" s="26"/>
      <c r="F91" s="26"/>
      <c r="G91" s="24">
        <f t="shared" si="1"/>
        <v>0</v>
      </c>
      <c r="H91" s="19">
        <f>VLOOKUP(A91,Metrik!$C$2:$Y$959,8,0)</f>
        <v>22.2</v>
      </c>
      <c r="I91" s="20">
        <f>VLOOKUP(A91,Metrik!$C$2:$Y$959,9,0)</f>
        <v>1.2</v>
      </c>
      <c r="J91" s="20">
        <f>VLOOKUP(A91,Metrik!$C$2:$Y$959,10,0)</f>
        <v>5.3</v>
      </c>
      <c r="K91" s="20">
        <f>VLOOKUP(A91,Metrik!$C$2:$Y$959,11,0)</f>
        <v>3</v>
      </c>
      <c r="L91" s="20">
        <f>VLOOKUP(A91,Metrik!$C$2:$Y$959,12,0)</f>
        <v>0.76</v>
      </c>
      <c r="M91" s="20">
        <f>VLOOKUP(A91,Metrik!$C$2:$Y$959,19,0)</f>
        <v>60.7</v>
      </c>
      <c r="N91" s="21"/>
      <c r="O91" s="21"/>
      <c r="P91" s="21"/>
      <c r="Q91" s="21"/>
      <c r="R91" s="21"/>
      <c r="S91" s="21"/>
      <c r="T91" s="21"/>
      <c r="U91" s="22">
        <f>IFERROR(__xludf.DUMMYFUNCTION("IFERROR(GOOGLEFINANCE(A91,""closeyest""),"""")"),10.08)</f>
        <v>10.08</v>
      </c>
      <c r="V91" s="23">
        <f>IFERROR(__xludf.DUMMYFUNCTION("IFERROR(GOOGLEFINANCE(A91,""changepct""),"""")"),0.2)</f>
        <v>0.2</v>
      </c>
      <c r="W91" s="22">
        <f>IFERROR(__xludf.DUMMYFUNCTION("IFERROR(GOOGLEFINANCE(A91,""priceopen""),"""")"),10.08)</f>
        <v>10.08</v>
      </c>
      <c r="X91" s="22">
        <f>IFERROR(__xludf.DUMMYFUNCTION("IFERROR(GOOGLEFINANCE(A91,""high""),"""")"),10.13)</f>
        <v>10.13</v>
      </c>
      <c r="Y91" s="22">
        <f>IFERROR(__xludf.DUMMYFUNCTION("IFERROR(GOOGLEFINANCE(A91,""low""),"""")"),10.07)</f>
        <v>10.07</v>
      </c>
      <c r="Z91" s="22">
        <f>IFERROR(__xludf.DUMMYFUNCTION("IFERROR(GOOGLEFINANCE(A91,""volume""),"""")"),21421.0)</f>
        <v>21421</v>
      </c>
      <c r="AA91" s="24" t="str">
        <f>VLOOKUP(A91,Metrik!$C$2:$Y$959,5,0)</f>
        <v>Real Estate Management &amp; Development</v>
      </c>
      <c r="AB91" s="24" t="str">
        <f>VLOOKUP(A91,Metrik!$C$2:$Y$959,3,0)</f>
        <v>Properties &amp; Real Estate</v>
      </c>
    </row>
    <row r="92">
      <c r="A92" s="14" t="s">
        <v>95</v>
      </c>
      <c r="B92" s="14" t="str">
        <f t="array" ref="B92">VLOOKUP(A92,{Metrik!$C$2:$C$998,Metrik!$B$2:$B$998},2,0)</f>
        <v>Bank Amar Indonesia Tbk.</v>
      </c>
      <c r="C92" s="15">
        <f>IFERROR(__xludf.DUMMYFUNCTION("GOOGLEFINANCE(""IDX:""&amp;A92,""price"")"),198.0)</f>
        <v>198</v>
      </c>
      <c r="D92" s="16" t="str">
        <f>IFERROR(__xludf.DUMMYFUNCTION("IF(A92="""","""",
SPARKLINE(
INDEX(
GOOGLEFINANCE(""IDX:""&amp;A92,""close"",TODAY()-365,TODAY()),
,2
),
{""linewidth"",1}
))
"),"#N/A")</f>
        <v>#N/A</v>
      </c>
      <c r="E92" s="26"/>
      <c r="F92" s="26"/>
      <c r="G92" s="24">
        <f t="shared" si="1"/>
        <v>0</v>
      </c>
      <c r="H92" s="19">
        <f>VLOOKUP(A92,Metrik!$C$2:$Y$959,8,0)</f>
        <v>14.1</v>
      </c>
      <c r="I92" s="20">
        <f>VLOOKUP(A92,Metrik!$C$2:$Y$959,9,0)</f>
        <v>1</v>
      </c>
      <c r="J92" s="20">
        <f>VLOOKUP(A92,Metrik!$C$2:$Y$959,10,0)</f>
        <v>7.3</v>
      </c>
      <c r="K92" s="20">
        <f>VLOOKUP(A92,Metrik!$C$2:$Y$959,11,0)</f>
        <v>3.7</v>
      </c>
      <c r="L92" s="20">
        <f>VLOOKUP(A92,Metrik!$C$2:$Y$959,12,0)</f>
        <v>0.99</v>
      </c>
      <c r="M92" s="20">
        <f>VLOOKUP(A92,Metrik!$C$2:$Y$959,19,0)</f>
        <v>60.8</v>
      </c>
      <c r="N92" s="32">
        <v>24.03</v>
      </c>
      <c r="O92" s="32">
        <v>98.47</v>
      </c>
      <c r="P92" s="32">
        <v>142.67</v>
      </c>
      <c r="Q92" s="32">
        <v>8.11</v>
      </c>
      <c r="R92" s="32">
        <v>85.22</v>
      </c>
      <c r="S92" s="32">
        <v>101.0</v>
      </c>
      <c r="T92" s="32">
        <v>11.28</v>
      </c>
      <c r="U92" s="22">
        <f>IFERROR(__xludf.DUMMYFUNCTION("IFERROR(GOOGLEFINANCE(A92,""closeyest""),"""")"),191.0)</f>
        <v>191</v>
      </c>
      <c r="V92" s="23">
        <f>IFERROR(__xludf.DUMMYFUNCTION("IFERROR(GOOGLEFINANCE(A92,""changepct""),"""")"),3.66)</f>
        <v>3.66</v>
      </c>
      <c r="W92" s="22">
        <f>IFERROR(__xludf.DUMMYFUNCTION("IFERROR(GOOGLEFINANCE(A92,""priceopen""),"""")"),187.0)</f>
        <v>187</v>
      </c>
      <c r="X92" s="22">
        <f>IFERROR(__xludf.DUMMYFUNCTION("IFERROR(GOOGLEFINANCE(A92,""high""),"""")"),198.0)</f>
        <v>198</v>
      </c>
      <c r="Y92" s="22">
        <f>IFERROR(__xludf.DUMMYFUNCTION("IFERROR(GOOGLEFINANCE(A92,""low""),"""")"),187.0)</f>
        <v>187</v>
      </c>
      <c r="Z92" s="22">
        <f>IFERROR(__xludf.DUMMYFUNCTION("IFERROR(GOOGLEFINANCE(A92,""volume""),"""")"),567600.0)</f>
        <v>567600</v>
      </c>
      <c r="AA92" s="24" t="str">
        <f>VLOOKUP(A92,Metrik!$C$2:$Y$959,5,0)</f>
        <v>Banks</v>
      </c>
      <c r="AB92" s="24" t="str">
        <f>VLOOKUP(A92,Metrik!$C$2:$Y$959,3,0)</f>
        <v>Financials</v>
      </c>
    </row>
    <row r="93">
      <c r="A93" s="14" t="s">
        <v>96</v>
      </c>
      <c r="B93" s="14" t="str">
        <f t="array" ref="B93">VLOOKUP(A93,{Metrik!$C$2:$C$998,Metrik!$B$2:$B$998},2,0)</f>
        <v>Asahimas Flat Glass Tbk.</v>
      </c>
      <c r="C93" s="15">
        <f>IFERROR(__xludf.DUMMYFUNCTION("GOOGLEFINANCE(""IDX:""&amp;A93,""price"")"),3190.0)</f>
        <v>3190</v>
      </c>
      <c r="D93" s="16" t="str">
        <f>IFERROR(__xludf.DUMMYFUNCTION("IF(A93="""","""",
SPARKLINE(
INDEX(
GOOGLEFINANCE(""IDX:""&amp;A93,""close"",TODAY()-365,TODAY()),
,2
),
{""linewidth"",1}
))
"),"#N/A")</f>
        <v>#N/A</v>
      </c>
      <c r="E93" s="26"/>
      <c r="F93" s="26"/>
      <c r="G93" s="24">
        <f t="shared" si="1"/>
        <v>0</v>
      </c>
      <c r="H93" s="19">
        <f>VLOOKUP(A93,Metrik!$C$2:$Y$959,8,0)</f>
        <v>53.1</v>
      </c>
      <c r="I93" s="20">
        <f>VLOOKUP(A93,Metrik!$C$2:$Y$959,9,0)</f>
        <v>0.29</v>
      </c>
      <c r="J93" s="20">
        <f>VLOOKUP(A93,Metrik!$C$2:$Y$959,10,0)</f>
        <v>0.55</v>
      </c>
      <c r="K93" s="20">
        <f>VLOOKUP(A93,Metrik!$C$2:$Y$959,11,0)</f>
        <v>0.36</v>
      </c>
      <c r="L93" s="20">
        <f>VLOOKUP(A93,Metrik!$C$2:$Y$959,12,0)</f>
        <v>0.53</v>
      </c>
      <c r="M93" s="20">
        <f>VLOOKUP(A93,Metrik!$C$2:$Y$959,19,0)</f>
        <v>2.1</v>
      </c>
      <c r="N93" s="21"/>
      <c r="O93" s="21"/>
      <c r="P93" s="21"/>
      <c r="Q93" s="21"/>
      <c r="R93" s="21"/>
      <c r="S93" s="21"/>
      <c r="T93" s="21"/>
      <c r="U93" s="22">
        <f>IFERROR(__xludf.DUMMYFUNCTION("IFERROR(GOOGLEFINANCE(A93,""closeyest""),"""")"),2840.0)</f>
        <v>2840</v>
      </c>
      <c r="V93" s="23">
        <f>IFERROR(__xludf.DUMMYFUNCTION("IFERROR(GOOGLEFINANCE(A93,""changepct""),"""")"),12.32)</f>
        <v>12.32</v>
      </c>
      <c r="W93" s="22">
        <f>IFERROR(__xludf.DUMMYFUNCTION("IFERROR(GOOGLEFINANCE(A93,""priceopen""),"""")"),2840.0)</f>
        <v>2840</v>
      </c>
      <c r="X93" s="22" t="str">
        <f>IFERROR(__xludf.DUMMYFUNCTION("IFERROR(GOOGLEFINANCE(A93,""high""),"""")"),"")</f>
        <v/>
      </c>
      <c r="Y93" s="22" t="str">
        <f>IFERROR(__xludf.DUMMYFUNCTION("IFERROR(GOOGLEFINANCE(A93,""low""),"""")"),"")</f>
        <v/>
      </c>
      <c r="Z93" s="22">
        <f>IFERROR(__xludf.DUMMYFUNCTION("IFERROR(GOOGLEFINANCE(A93,""volume""),"""")"),18600.0)</f>
        <v>18600</v>
      </c>
      <c r="AA93" s="24" t="str">
        <f>VLOOKUP(A93,Metrik!$C$2:$Y$959,5,0)</f>
        <v>Building Products &amp; Fixtures</v>
      </c>
      <c r="AB93" s="24" t="str">
        <f>VLOOKUP(A93,Metrik!$C$2:$Y$959,3,0)</f>
        <v>Industrials</v>
      </c>
    </row>
    <row r="94">
      <c r="A94" s="14" t="s">
        <v>97</v>
      </c>
      <c r="B94" s="14" t="str">
        <f t="array" ref="B94">VLOOKUP(A94,{Metrik!$C$2:$C$998,Metrik!$B$2:$B$998},2,0)</f>
        <v>PT Ateliers Mecaniques D Indonesie Tbk.</v>
      </c>
      <c r="C94" s="15">
        <f>IFERROR(__xludf.DUMMYFUNCTION("GOOGLEFINANCE(""IDX:""&amp;A94,""price"")"),260.0)</f>
        <v>260</v>
      </c>
      <c r="D94" s="16" t="str">
        <f>IFERROR(__xludf.DUMMYFUNCTION("IF(A94="""","""",
SPARKLINE(
INDEX(
GOOGLEFINANCE(""IDX:""&amp;A94,""close"",TODAY()-365,TODAY()),
,2
),
{""linewidth"",1}
))
"),"#N/A")</f>
        <v>#N/A</v>
      </c>
      <c r="E94" s="26"/>
      <c r="F94" s="26"/>
      <c r="G94" s="24">
        <f t="shared" si="1"/>
        <v>0</v>
      </c>
      <c r="H94" s="19">
        <f>VLOOKUP(A94,Metrik!$C$2:$Y$959,8,0)</f>
        <v>11.5</v>
      </c>
      <c r="I94" s="20">
        <f>VLOOKUP(A94,Metrik!$C$2:$Y$959,9,0)</f>
        <v>1.4</v>
      </c>
      <c r="J94" s="20">
        <f>VLOOKUP(A94,Metrik!$C$2:$Y$959,10,0)</f>
        <v>12.3</v>
      </c>
      <c r="K94" s="20">
        <f>VLOOKUP(A94,Metrik!$C$2:$Y$959,11,0)</f>
        <v>8.1</v>
      </c>
      <c r="L94" s="20">
        <f>VLOOKUP(A94,Metrik!$C$2:$Y$959,12,0)</f>
        <v>0.52</v>
      </c>
      <c r="M94" s="20">
        <f>VLOOKUP(A94,Metrik!$C$2:$Y$959,19,0)</f>
        <v>44.9</v>
      </c>
      <c r="N94" s="21"/>
      <c r="O94" s="21"/>
      <c r="P94" s="21"/>
      <c r="Q94" s="21"/>
      <c r="R94" s="21"/>
      <c r="S94" s="21"/>
      <c r="T94" s="21"/>
      <c r="U94" s="22">
        <f>IFERROR(__xludf.DUMMYFUNCTION("IFERROR(GOOGLEFINANCE(A94,""closeyest""),"""")"),0.1)</f>
        <v>0.1</v>
      </c>
      <c r="V94" s="23">
        <f>IFERROR(__xludf.DUMMYFUNCTION("IFERROR(GOOGLEFINANCE(A94,""changepct""),"""")"),0.0)</f>
        <v>0</v>
      </c>
      <c r="W94" s="22" t="str">
        <f>IFERROR(__xludf.DUMMYFUNCTION("IFERROR(GOOGLEFINANCE(A94,""priceopen""),"""")"),"")</f>
        <v/>
      </c>
      <c r="X94" s="22" t="str">
        <f>IFERROR(__xludf.DUMMYFUNCTION("IFERROR(GOOGLEFINANCE(A94,""high""),"""")"),"")</f>
        <v/>
      </c>
      <c r="Y94" s="22" t="str">
        <f>IFERROR(__xludf.DUMMYFUNCTION("IFERROR(GOOGLEFINANCE(A94,""low""),"""")"),"")</f>
        <v/>
      </c>
      <c r="Z94" s="22">
        <f>IFERROR(__xludf.DUMMYFUNCTION("IFERROR(GOOGLEFINANCE(A94,""volume""),"""")"),0.0)</f>
        <v>0</v>
      </c>
      <c r="AA94" s="24" t="str">
        <f>VLOOKUP(A94,Metrik!$C$2:$Y$959,5,0)</f>
        <v>Machinery</v>
      </c>
      <c r="AB94" s="24" t="str">
        <f>VLOOKUP(A94,Metrik!$C$2:$Y$959,3,0)</f>
        <v>Industrials</v>
      </c>
    </row>
    <row r="95">
      <c r="A95" s="14" t="s">
        <v>98</v>
      </c>
      <c r="B95" s="14" t="str">
        <f t="array" ref="B95">VLOOKUP(A95,{Metrik!$C$2:$C$998,Metrik!$B$2:$B$998},2,0)</f>
        <v>PT Amman Mineral Internasional Tbk.</v>
      </c>
      <c r="C95" s="15">
        <f>IFERROR(__xludf.DUMMYFUNCTION("GOOGLEFINANCE(""IDX:""&amp;A95,""price"")"),3450.0)</f>
        <v>3450</v>
      </c>
      <c r="D95" s="16" t="str">
        <f>IFERROR(__xludf.DUMMYFUNCTION("IF(A95="""","""",
SPARKLINE(
INDEX(
GOOGLEFINANCE(""IDX:""&amp;A95,""close"",TODAY()-365,TODAY()),
,2
),
{""linewidth"",1}
))
"),"#N/A")</f>
        <v>#N/A</v>
      </c>
      <c r="E95" s="14" t="s">
        <v>28</v>
      </c>
      <c r="F95" s="17" t="s">
        <v>29</v>
      </c>
      <c r="G95" s="24">
        <f t="shared" si="1"/>
        <v>5</v>
      </c>
      <c r="H95" s="19">
        <f>VLOOKUP(A95,Metrik!$C$2:$Y$959,8,0)</f>
        <v>26</v>
      </c>
      <c r="I95" s="20">
        <f>VLOOKUP(A95,Metrik!$C$2:$Y$959,9,0)</f>
        <v>2.5</v>
      </c>
      <c r="J95" s="20">
        <f>VLOOKUP(A95,Metrik!$C$2:$Y$959,10,0)</f>
        <v>9.7</v>
      </c>
      <c r="K95" s="20">
        <f>VLOOKUP(A95,Metrik!$C$2:$Y$959,11,0)</f>
        <v>3.9</v>
      </c>
      <c r="L95" s="20">
        <f>VLOOKUP(A95,Metrik!$C$2:$Y$959,12,0)</f>
        <v>1.5</v>
      </c>
      <c r="M95" s="20">
        <f>VLOOKUP(A95,Metrik!$C$2:$Y$959,19,0)</f>
        <v>67</v>
      </c>
      <c r="N95" s="21"/>
      <c r="O95" s="21"/>
      <c r="P95" s="21"/>
      <c r="Q95" s="21"/>
      <c r="R95" s="21"/>
      <c r="S95" s="21"/>
      <c r="T95" s="21"/>
      <c r="U95" s="22">
        <f>IFERROR(__xludf.DUMMYFUNCTION("IFERROR(GOOGLEFINANCE(A95,""closeyest""),"""")"),3060.0)</f>
        <v>3060</v>
      </c>
      <c r="V95" s="23">
        <f>IFERROR(__xludf.DUMMYFUNCTION("IFERROR(GOOGLEFINANCE(A95,""changepct""),"""")"),12.75)</f>
        <v>12.75</v>
      </c>
      <c r="W95" s="22">
        <f>IFERROR(__xludf.DUMMYFUNCTION("IFERROR(GOOGLEFINANCE(A95,""priceopen""),"""")"),3150.0)</f>
        <v>3150</v>
      </c>
      <c r="X95" s="22">
        <f>IFERROR(__xludf.DUMMYFUNCTION("IFERROR(GOOGLEFINANCE(A95,""high""),"""")"),3540.0)</f>
        <v>3540</v>
      </c>
      <c r="Y95" s="22">
        <f>IFERROR(__xludf.DUMMYFUNCTION("IFERROR(GOOGLEFINANCE(A95,""low""),"""")"),3110.0)</f>
        <v>3110</v>
      </c>
      <c r="Z95" s="22">
        <f>IFERROR(__xludf.DUMMYFUNCTION("IFERROR(GOOGLEFINANCE(A95,""volume""),"""")"),1.703576E8)</f>
        <v>170357600</v>
      </c>
      <c r="AA95" s="24" t="str">
        <f>VLOOKUP(A95,Metrik!$C$2:$Y$959,5,0)</f>
        <v>Metals &amp; Minerals</v>
      </c>
      <c r="AB95" s="24" t="str">
        <f>VLOOKUP(A95,Metrik!$C$2:$Y$959,3,0)</f>
        <v>Basic Materials</v>
      </c>
    </row>
    <row r="96">
      <c r="A96" s="14" t="s">
        <v>98</v>
      </c>
      <c r="B96" s="14" t="str">
        <f t="array" ref="B96">VLOOKUP(A96,{Metrik!$C$2:$C$998,Metrik!$B$2:$B$998},2,0)</f>
        <v>PT Amman Mineral Internasional Tbk.</v>
      </c>
      <c r="C96" s="15">
        <f>IFERROR(__xludf.DUMMYFUNCTION("GOOGLEFINANCE(""IDX:""&amp;A96,""price"")"),3450.0)</f>
        <v>3450</v>
      </c>
      <c r="D96" s="16" t="str">
        <f>IFERROR(__xludf.DUMMYFUNCTION("IF(A96="""","""",
SPARKLINE(
INDEX(
GOOGLEFINANCE(""IDX:""&amp;A96,""close"",TODAY()-365,TODAY()),
,2
),
{""linewidth"",1}
))
"),"#N/A")</f>
        <v>#N/A</v>
      </c>
      <c r="E96" s="14" t="s">
        <v>31</v>
      </c>
      <c r="F96" s="17" t="s">
        <v>29</v>
      </c>
      <c r="G96" s="24">
        <f t="shared" si="1"/>
        <v>5</v>
      </c>
      <c r="H96" s="19">
        <f>VLOOKUP(A96,Metrik!$C$2:$Y$959,8,0)</f>
        <v>26</v>
      </c>
      <c r="I96" s="20">
        <f>VLOOKUP(A96,Metrik!$C$2:$Y$959,9,0)</f>
        <v>2.5</v>
      </c>
      <c r="J96" s="20">
        <f>VLOOKUP(A96,Metrik!$C$2:$Y$959,10,0)</f>
        <v>9.7</v>
      </c>
      <c r="K96" s="20">
        <f>VLOOKUP(A96,Metrik!$C$2:$Y$959,11,0)</f>
        <v>3.9</v>
      </c>
      <c r="L96" s="20">
        <f>VLOOKUP(A96,Metrik!$C$2:$Y$959,12,0)</f>
        <v>1.5</v>
      </c>
      <c r="M96" s="20">
        <f>VLOOKUP(A96,Metrik!$C$2:$Y$959,19,0)</f>
        <v>67</v>
      </c>
      <c r="N96" s="21"/>
      <c r="O96" s="21"/>
      <c r="P96" s="21"/>
      <c r="Q96" s="21"/>
      <c r="R96" s="21"/>
      <c r="S96" s="21"/>
      <c r="T96" s="21"/>
      <c r="U96" s="22">
        <f>IFERROR(__xludf.DUMMYFUNCTION("IFERROR(GOOGLEFINANCE(A96,""closeyest""),"""")"),3060.0)</f>
        <v>3060</v>
      </c>
      <c r="V96" s="23">
        <f>IFERROR(__xludf.DUMMYFUNCTION("IFERROR(GOOGLEFINANCE(A96,""changepct""),"""")"),12.75)</f>
        <v>12.75</v>
      </c>
      <c r="W96" s="22">
        <f>IFERROR(__xludf.DUMMYFUNCTION("IFERROR(GOOGLEFINANCE(A96,""priceopen""),"""")"),3150.0)</f>
        <v>3150</v>
      </c>
      <c r="X96" s="22">
        <f>IFERROR(__xludf.DUMMYFUNCTION("IFERROR(GOOGLEFINANCE(A96,""high""),"""")"),3540.0)</f>
        <v>3540</v>
      </c>
      <c r="Y96" s="22">
        <f>IFERROR(__xludf.DUMMYFUNCTION("IFERROR(GOOGLEFINANCE(A96,""low""),"""")"),3110.0)</f>
        <v>3110</v>
      </c>
      <c r="Z96" s="22">
        <f>IFERROR(__xludf.DUMMYFUNCTION("IFERROR(GOOGLEFINANCE(A96,""volume""),"""")"),1.703576E8)</f>
        <v>170357600</v>
      </c>
      <c r="AA96" s="24" t="str">
        <f>VLOOKUP(A96,Metrik!$C$2:$Y$959,5,0)</f>
        <v>Metals &amp; Minerals</v>
      </c>
      <c r="AB96" s="24" t="str">
        <f>VLOOKUP(A96,Metrik!$C$2:$Y$959,3,0)</f>
        <v>Basic Materials</v>
      </c>
    </row>
    <row r="97">
      <c r="A97" s="14" t="s">
        <v>98</v>
      </c>
      <c r="B97" s="14" t="str">
        <f t="array" ref="B97">VLOOKUP(A97,{Metrik!$C$2:$C$998,Metrik!$B$2:$B$998},2,0)</f>
        <v>PT Amman Mineral Internasional Tbk.</v>
      </c>
      <c r="C97" s="15">
        <f>IFERROR(__xludf.DUMMYFUNCTION("GOOGLEFINANCE(""IDX:""&amp;A97,""price"")"),3450.0)</f>
        <v>3450</v>
      </c>
      <c r="D97" s="16" t="str">
        <f>IFERROR(__xludf.DUMMYFUNCTION("IF(A97="""","""",
SPARKLINE(
INDEX(
GOOGLEFINANCE(""IDX:""&amp;A97,""close"",TODAY()-365,TODAY()),
,2
),
{""linewidth"",1}
))
"),"#N/A")</f>
        <v>#N/A</v>
      </c>
      <c r="E97" s="14" t="s">
        <v>32</v>
      </c>
      <c r="F97" s="14" t="s">
        <v>29</v>
      </c>
      <c r="G97" s="24">
        <f t="shared" si="1"/>
        <v>5</v>
      </c>
      <c r="H97" s="19">
        <f>VLOOKUP(A97,Metrik!$C$2:$Y$959,8,0)</f>
        <v>26</v>
      </c>
      <c r="I97" s="20">
        <f>VLOOKUP(A97,Metrik!$C$2:$Y$959,9,0)</f>
        <v>2.5</v>
      </c>
      <c r="J97" s="20">
        <f>VLOOKUP(A97,Metrik!$C$2:$Y$959,10,0)</f>
        <v>9.7</v>
      </c>
      <c r="K97" s="20">
        <f>VLOOKUP(A97,Metrik!$C$2:$Y$959,11,0)</f>
        <v>3.9</v>
      </c>
      <c r="L97" s="20">
        <f>VLOOKUP(A97,Metrik!$C$2:$Y$959,12,0)</f>
        <v>1.5</v>
      </c>
      <c r="M97" s="20">
        <f>VLOOKUP(A97,Metrik!$C$2:$Y$959,19,0)</f>
        <v>67</v>
      </c>
      <c r="N97" s="21"/>
      <c r="O97" s="21"/>
      <c r="P97" s="21"/>
      <c r="Q97" s="21"/>
      <c r="R97" s="21"/>
      <c r="S97" s="21"/>
      <c r="T97" s="21"/>
      <c r="U97" s="22">
        <f>IFERROR(__xludf.DUMMYFUNCTION("IFERROR(GOOGLEFINANCE(A97,""closeyest""),"""")"),3060.0)</f>
        <v>3060</v>
      </c>
      <c r="V97" s="23">
        <f>IFERROR(__xludf.DUMMYFUNCTION("IFERROR(GOOGLEFINANCE(A97,""changepct""),"""")"),12.75)</f>
        <v>12.75</v>
      </c>
      <c r="W97" s="22">
        <f>IFERROR(__xludf.DUMMYFUNCTION("IFERROR(GOOGLEFINANCE(A97,""priceopen""),"""")"),3150.0)</f>
        <v>3150</v>
      </c>
      <c r="X97" s="22">
        <f>IFERROR(__xludf.DUMMYFUNCTION("IFERROR(GOOGLEFINANCE(A97,""high""),"""")"),3540.0)</f>
        <v>3540</v>
      </c>
      <c r="Y97" s="22">
        <f>IFERROR(__xludf.DUMMYFUNCTION("IFERROR(GOOGLEFINANCE(A97,""low""),"""")"),3110.0)</f>
        <v>3110</v>
      </c>
      <c r="Z97" s="22">
        <f>IFERROR(__xludf.DUMMYFUNCTION("IFERROR(GOOGLEFINANCE(A97,""volume""),"""")"),1.703576E8)</f>
        <v>170357600</v>
      </c>
      <c r="AA97" s="24" t="str">
        <f>VLOOKUP(A97,Metrik!$C$2:$Y$959,5,0)</f>
        <v>Metals &amp; Minerals</v>
      </c>
      <c r="AB97" s="24" t="str">
        <f>VLOOKUP(A97,Metrik!$C$2:$Y$959,3,0)</f>
        <v>Basic Materials</v>
      </c>
    </row>
    <row r="98">
      <c r="A98" s="14" t="s">
        <v>98</v>
      </c>
      <c r="B98" s="14" t="str">
        <f t="array" ref="B98">VLOOKUP(A98,{Metrik!$C$2:$C$998,Metrik!$B$2:$B$998},2,0)</f>
        <v>PT Amman Mineral Internasional Tbk.</v>
      </c>
      <c r="C98" s="15">
        <f>IFERROR(__xludf.DUMMYFUNCTION("GOOGLEFINANCE(""IDX:""&amp;A98,""price"")"),3450.0)</f>
        <v>3450</v>
      </c>
      <c r="D98" s="16" t="str">
        <f>IFERROR(__xludf.DUMMYFUNCTION("IF(A98="""","""",
SPARKLINE(
INDEX(
GOOGLEFINANCE(""IDX:""&amp;A98,""close"",TODAY()-365,TODAY()),
,2
),
{""linewidth"",1}
))
"),"#N/A")</f>
        <v>#N/A</v>
      </c>
      <c r="E98" s="14" t="s">
        <v>52</v>
      </c>
      <c r="F98" s="27" t="s">
        <v>53</v>
      </c>
      <c r="G98" s="24">
        <f t="shared" si="1"/>
        <v>5</v>
      </c>
      <c r="H98" s="19">
        <f>VLOOKUP(A98,Metrik!$C$2:$Y$959,8,0)</f>
        <v>26</v>
      </c>
      <c r="I98" s="20">
        <f>VLOOKUP(A98,Metrik!$C$2:$Y$959,9,0)</f>
        <v>2.5</v>
      </c>
      <c r="J98" s="20">
        <f>VLOOKUP(A98,Metrik!$C$2:$Y$959,10,0)</f>
        <v>9.7</v>
      </c>
      <c r="K98" s="20">
        <f>VLOOKUP(A98,Metrik!$C$2:$Y$959,11,0)</f>
        <v>3.9</v>
      </c>
      <c r="L98" s="20">
        <f>VLOOKUP(A98,Metrik!$C$2:$Y$959,12,0)</f>
        <v>1.5</v>
      </c>
      <c r="M98" s="20">
        <f>VLOOKUP(A98,Metrik!$C$2:$Y$959,19,0)</f>
        <v>67</v>
      </c>
      <c r="N98" s="21"/>
      <c r="O98" s="21"/>
      <c r="P98" s="21"/>
      <c r="Q98" s="21"/>
      <c r="R98" s="21"/>
      <c r="S98" s="21"/>
      <c r="T98" s="21"/>
      <c r="U98" s="22">
        <f>IFERROR(__xludf.DUMMYFUNCTION("IFERROR(GOOGLEFINANCE(A98,""closeyest""),"""")"),3060.0)</f>
        <v>3060</v>
      </c>
      <c r="V98" s="23">
        <f>IFERROR(__xludf.DUMMYFUNCTION("IFERROR(GOOGLEFINANCE(A98,""changepct""),"""")"),12.75)</f>
        <v>12.75</v>
      </c>
      <c r="W98" s="22">
        <f>IFERROR(__xludf.DUMMYFUNCTION("IFERROR(GOOGLEFINANCE(A98,""priceopen""),"""")"),3150.0)</f>
        <v>3150</v>
      </c>
      <c r="X98" s="22">
        <f>IFERROR(__xludf.DUMMYFUNCTION("IFERROR(GOOGLEFINANCE(A98,""high""),"""")"),3540.0)</f>
        <v>3540</v>
      </c>
      <c r="Y98" s="22">
        <f>IFERROR(__xludf.DUMMYFUNCTION("IFERROR(GOOGLEFINANCE(A98,""low""),"""")"),3110.0)</f>
        <v>3110</v>
      </c>
      <c r="Z98" s="22">
        <f>IFERROR(__xludf.DUMMYFUNCTION("IFERROR(GOOGLEFINANCE(A98,""volume""),"""")"),1.703576E8)</f>
        <v>170357600</v>
      </c>
      <c r="AA98" s="24" t="str">
        <f>VLOOKUP(A98,Metrik!$C$2:$Y$959,5,0)</f>
        <v>Metals &amp; Minerals</v>
      </c>
      <c r="AB98" s="24" t="str">
        <f>VLOOKUP(A98,Metrik!$C$2:$Y$959,3,0)</f>
        <v>Basic Materials</v>
      </c>
    </row>
    <row r="99">
      <c r="A99" s="17" t="s">
        <v>98</v>
      </c>
      <c r="B99" s="14" t="str">
        <f t="array" ref="B99">VLOOKUP(A99,{Metrik!$C$2:$C$998,Metrik!$B$2:$B$998},2,0)</f>
        <v>PT Amman Mineral Internasional Tbk.</v>
      </c>
      <c r="C99" s="15">
        <f>IFERROR(__xludf.DUMMYFUNCTION("GOOGLEFINANCE(""IDX:""&amp;A99,""price"")"),3450.0)</f>
        <v>3450</v>
      </c>
      <c r="D99" s="16" t="str">
        <f>IFERROR(__xludf.DUMMYFUNCTION("IF(A99="""","""",
SPARKLINE(
INDEX(
GOOGLEFINANCE(""IDX:""&amp;A99,""close"",TODAY()-365,TODAY()),
,2
),
{""linewidth"",1}
))
"),"#N/A")</f>
        <v>#N/A</v>
      </c>
      <c r="E99" s="17" t="s">
        <v>69</v>
      </c>
      <c r="F99" s="17" t="s">
        <v>70</v>
      </c>
      <c r="G99" s="24">
        <f t="shared" si="1"/>
        <v>5</v>
      </c>
      <c r="H99" s="19">
        <f>VLOOKUP(A99,Metrik!$C$2:$Y$959,8,0)</f>
        <v>26</v>
      </c>
      <c r="I99" s="20">
        <f>VLOOKUP(A99,Metrik!$C$2:$Y$959,9,0)</f>
        <v>2.5</v>
      </c>
      <c r="J99" s="20">
        <f>VLOOKUP(A99,Metrik!$C$2:$Y$959,10,0)</f>
        <v>9.7</v>
      </c>
      <c r="K99" s="20">
        <f>VLOOKUP(A99,Metrik!$C$2:$Y$959,11,0)</f>
        <v>3.9</v>
      </c>
      <c r="L99" s="20">
        <f>VLOOKUP(A99,Metrik!$C$2:$Y$959,12,0)</f>
        <v>1.5</v>
      </c>
      <c r="M99" s="20">
        <f>VLOOKUP(A99,Metrik!$C$2:$Y$959,19,0)</f>
        <v>67</v>
      </c>
      <c r="N99" s="21"/>
      <c r="O99" s="21"/>
      <c r="P99" s="21"/>
      <c r="Q99" s="21"/>
      <c r="R99" s="21"/>
      <c r="S99" s="21"/>
      <c r="T99" s="21"/>
      <c r="U99" s="22">
        <f>IFERROR(__xludf.DUMMYFUNCTION("IFERROR(GOOGLEFINANCE(A99,""closeyest""),"""")"),3060.0)</f>
        <v>3060</v>
      </c>
      <c r="V99" s="23">
        <f>IFERROR(__xludf.DUMMYFUNCTION("IFERROR(GOOGLEFINANCE(A99,""changepct""),"""")"),12.75)</f>
        <v>12.75</v>
      </c>
      <c r="W99" s="22">
        <f>IFERROR(__xludf.DUMMYFUNCTION("IFERROR(GOOGLEFINANCE(A99,""priceopen""),"""")"),3150.0)</f>
        <v>3150</v>
      </c>
      <c r="X99" s="22">
        <f>IFERROR(__xludf.DUMMYFUNCTION("IFERROR(GOOGLEFINANCE(A99,""high""),"""")"),3540.0)</f>
        <v>3540</v>
      </c>
      <c r="Y99" s="22">
        <f>IFERROR(__xludf.DUMMYFUNCTION("IFERROR(GOOGLEFINANCE(A99,""low""),"""")"),3110.0)</f>
        <v>3110</v>
      </c>
      <c r="Z99" s="22">
        <f>IFERROR(__xludf.DUMMYFUNCTION("IFERROR(GOOGLEFINANCE(A99,""volume""),"""")"),1.703576E8)</f>
        <v>170357600</v>
      </c>
      <c r="AA99" s="24" t="str">
        <f>VLOOKUP(A99,Metrik!$C$2:$Y$959,5,0)</f>
        <v>Metals &amp; Minerals</v>
      </c>
      <c r="AB99" s="24" t="str">
        <f>VLOOKUP(A99,Metrik!$C$2:$Y$959,3,0)</f>
        <v>Basic Materials</v>
      </c>
    </row>
    <row r="100">
      <c r="A100" s="14" t="s">
        <v>99</v>
      </c>
      <c r="B100" s="14" t="str">
        <f t="array" ref="B100">VLOOKUP(A100,{Metrik!$C$2:$C$998,Metrik!$B$2:$B$998},2,0)</f>
        <v>Agung Menjangan Mas Tbk.</v>
      </c>
      <c r="C100" s="15">
        <f>IFERROR(__xludf.DUMMYFUNCTION("GOOGLEFINANCE(""IDX:""&amp;A100,""price"")"),328.0)</f>
        <v>328</v>
      </c>
      <c r="D100" s="16" t="str">
        <f>IFERROR(__xludf.DUMMYFUNCTION("IF(A100="""","""",
SPARKLINE(
INDEX(
GOOGLEFINANCE(""IDX:""&amp;A100,""close"",TODAY()-365,TODAY()),
,2
),
{""linewidth"",1}
))
"),"#N/A")</f>
        <v>#N/A</v>
      </c>
      <c r="E100" s="26"/>
      <c r="F100" s="26"/>
      <c r="G100" s="24">
        <f t="shared" si="1"/>
        <v>0</v>
      </c>
      <c r="H100" s="19">
        <f>VLOOKUP(A100,Metrik!$C$2:$Y$959,8,0)</f>
        <v>-1020</v>
      </c>
      <c r="I100" s="20">
        <f>VLOOKUP(A100,Metrik!$C$2:$Y$959,9,0)</f>
        <v>6.5</v>
      </c>
      <c r="J100" s="20">
        <f>VLOOKUP(A100,Metrik!$C$2:$Y$959,10,0)</f>
        <v>-0.63</v>
      </c>
      <c r="K100" s="20">
        <f>VLOOKUP(A100,Metrik!$C$2:$Y$959,11,0)</f>
        <v>-0.63</v>
      </c>
      <c r="L100" s="20">
        <f>VLOOKUP(A100,Metrik!$C$2:$Y$959,12,0)</f>
        <v>0.01</v>
      </c>
      <c r="M100" s="20">
        <f>VLOOKUP(A100,Metrik!$C$2:$Y$959,19,0)</f>
        <v>-2.9</v>
      </c>
      <c r="N100" s="21"/>
      <c r="O100" s="21"/>
      <c r="P100" s="21"/>
      <c r="Q100" s="21"/>
      <c r="R100" s="21"/>
      <c r="S100" s="21"/>
      <c r="T100" s="21"/>
      <c r="U100" s="22">
        <f>IFERROR(__xludf.DUMMYFUNCTION("IFERROR(GOOGLEFINANCE(A100,""closeyest""),"""")"),320.0)</f>
        <v>320</v>
      </c>
      <c r="V100" s="23">
        <f>IFERROR(__xludf.DUMMYFUNCTION("IFERROR(GOOGLEFINANCE(A100,""changepct""),"""")"),2.5)</f>
        <v>2.5</v>
      </c>
      <c r="W100" s="22">
        <f>IFERROR(__xludf.DUMMYFUNCTION("IFERROR(GOOGLEFINANCE(A100,""priceopen""),"""")"),320.0)</f>
        <v>320</v>
      </c>
      <c r="X100" s="22">
        <f>IFERROR(__xludf.DUMMYFUNCTION("IFERROR(GOOGLEFINANCE(A100,""high""),"""")"),352.0)</f>
        <v>352</v>
      </c>
      <c r="Y100" s="22">
        <f>IFERROR(__xludf.DUMMYFUNCTION("IFERROR(GOOGLEFINANCE(A100,""low""),"""")"),320.0)</f>
        <v>320</v>
      </c>
      <c r="Z100" s="22">
        <f>IFERROR(__xludf.DUMMYFUNCTION("IFERROR(GOOGLEFINANCE(A100,""volume""),"""")"),504900.0)</f>
        <v>504900</v>
      </c>
      <c r="AA100" s="24" t="str">
        <f>VLOOKUP(A100,Metrik!$C$2:$Y$959,5,0)</f>
        <v>Agricultural Products</v>
      </c>
      <c r="AB100" s="24" t="str">
        <f>VLOOKUP(A100,Metrik!$C$2:$Y$959,3,0)</f>
        <v>Consumer Non-Cyclicals</v>
      </c>
    </row>
    <row r="101">
      <c r="A101" s="14" t="s">
        <v>100</v>
      </c>
      <c r="B101" s="14" t="str">
        <f t="array" ref="B101">VLOOKUP(A101,{Metrik!$C$2:$C$998,Metrik!$B$2:$B$998},2,0)</f>
        <v>Ashmore Asset Management Indonesia Tbk.</v>
      </c>
      <c r="C101" s="15">
        <f>IFERROR(__xludf.DUMMYFUNCTION("GOOGLEFINANCE(""IDX:""&amp;A101,""price"")"),312.0)</f>
        <v>312</v>
      </c>
      <c r="D101" s="16" t="str">
        <f>IFERROR(__xludf.DUMMYFUNCTION("IF(A101="""","""",
SPARKLINE(
INDEX(
GOOGLEFINANCE(""IDX:""&amp;A101,""close"",TODAY()-365,TODAY()),
,2
),
{""linewidth"",1}
))
"),"#N/A")</f>
        <v>#N/A</v>
      </c>
      <c r="E101" s="26"/>
      <c r="F101" s="26"/>
      <c r="G101" s="18">
        <f t="shared" si="1"/>
        <v>0</v>
      </c>
      <c r="H101" s="19">
        <f>VLOOKUP(A101,Metrik!$C$2:$Y$959,8,0)</f>
        <v>11.1</v>
      </c>
      <c r="I101" s="20">
        <f>VLOOKUP(A101,Metrik!$C$2:$Y$959,9,0)</f>
        <v>2.8</v>
      </c>
      <c r="J101" s="20">
        <f>VLOOKUP(A101,Metrik!$C$2:$Y$959,10,0)</f>
        <v>25.3</v>
      </c>
      <c r="K101" s="20">
        <f>VLOOKUP(A101,Metrik!$C$2:$Y$959,11,0)</f>
        <v>19.1</v>
      </c>
      <c r="L101" s="20">
        <f>VLOOKUP(A101,Metrik!$C$2:$Y$959,12,0)</f>
        <v>0.32</v>
      </c>
      <c r="M101" s="20">
        <f>VLOOKUP(A101,Metrik!$C$2:$Y$959,19,0)</f>
        <v>49.5</v>
      </c>
      <c r="N101" s="21"/>
      <c r="O101" s="21"/>
      <c r="P101" s="21"/>
      <c r="Q101" s="21"/>
      <c r="R101" s="21"/>
      <c r="S101" s="21"/>
      <c r="T101" s="21"/>
      <c r="U101" s="22">
        <f>IFERROR(__xludf.DUMMYFUNCTION("IFERROR(GOOGLEFINANCE(A101,""closeyest""),"""")"),312.0)</f>
        <v>312</v>
      </c>
      <c r="V101" s="23">
        <f>IFERROR(__xludf.DUMMYFUNCTION("IFERROR(GOOGLEFINANCE(A101,""changepct""),"""")"),0.0)</f>
        <v>0</v>
      </c>
      <c r="W101" s="22">
        <f>IFERROR(__xludf.DUMMYFUNCTION("IFERROR(GOOGLEFINANCE(A101,""priceopen""),"""")"),320.0)</f>
        <v>320</v>
      </c>
      <c r="X101" s="22">
        <f>IFERROR(__xludf.DUMMYFUNCTION("IFERROR(GOOGLEFINANCE(A101,""high""),"""")"),328.0)</f>
        <v>328</v>
      </c>
      <c r="Y101" s="22">
        <f>IFERROR(__xludf.DUMMYFUNCTION("IFERROR(GOOGLEFINANCE(A101,""low""),"""")"),310.0)</f>
        <v>310</v>
      </c>
      <c r="Z101" s="22">
        <f>IFERROR(__xludf.DUMMYFUNCTION("IFERROR(GOOGLEFINANCE(A101,""volume""),"""")"),142700.0)</f>
        <v>142700</v>
      </c>
      <c r="AA101" s="24" t="str">
        <f>VLOOKUP(A101,Metrik!$C$2:$Y$959,5,0)</f>
        <v>Investment Services</v>
      </c>
      <c r="AB101" s="24" t="str">
        <f>VLOOKUP(A101,Metrik!$C$2:$Y$959,3,0)</f>
        <v>Financials</v>
      </c>
    </row>
    <row r="102">
      <c r="A102" s="14" t="s">
        <v>101</v>
      </c>
      <c r="B102" s="14" t="str">
        <f t="array" ref="B102">VLOOKUP(A102,{Metrik!$C$2:$C$998,Metrik!$B$2:$B$998},2,0)</f>
        <v>Sumber Alfaria Trijaya Tbk.</v>
      </c>
      <c r="C102" s="15">
        <f>IFERROR(__xludf.DUMMYFUNCTION("GOOGLEFINANCE(""IDX:""&amp;A102,""price"")"),1375.0)</f>
        <v>1375</v>
      </c>
      <c r="D102" s="16" t="str">
        <f>IFERROR(__xludf.DUMMYFUNCTION("IF(A102="""","""",
SPARKLINE(
INDEX(
GOOGLEFINANCE(""IDX:""&amp;A102,""close"",TODAY()-365,TODAY()),
,2
),
{""linewidth"",1}
))
"),"#N/A")</f>
        <v>#N/A</v>
      </c>
      <c r="E102" s="14" t="s">
        <v>54</v>
      </c>
      <c r="F102" s="14" t="s">
        <v>34</v>
      </c>
      <c r="G102" s="24">
        <f t="shared" si="1"/>
        <v>10</v>
      </c>
      <c r="H102" s="19">
        <f>VLOOKUP(A102,Metrik!$C$2:$Y$959,8,0)</f>
        <v>13.6</v>
      </c>
      <c r="I102" s="20">
        <f>VLOOKUP(A102,Metrik!$C$2:$Y$959,9,0)</f>
        <v>2.4</v>
      </c>
      <c r="J102" s="20">
        <f>VLOOKUP(A102,Metrik!$C$2:$Y$959,10,0)</f>
        <v>17.6</v>
      </c>
      <c r="K102" s="20">
        <f>VLOOKUP(A102,Metrik!$C$2:$Y$959,11,0)</f>
        <v>7.7</v>
      </c>
      <c r="L102" s="20">
        <f>VLOOKUP(A102,Metrik!$C$2:$Y$959,12,0)</f>
        <v>1.3</v>
      </c>
      <c r="M102" s="20">
        <f>VLOOKUP(A102,Metrik!$C$2:$Y$959,19,0)</f>
        <v>10</v>
      </c>
      <c r="N102" s="21"/>
      <c r="O102" s="21"/>
      <c r="P102" s="21"/>
      <c r="Q102" s="21"/>
      <c r="R102" s="21"/>
      <c r="S102" s="21"/>
      <c r="T102" s="21"/>
      <c r="U102" s="22">
        <f>IFERROR(__xludf.DUMMYFUNCTION("IFERROR(GOOGLEFINANCE(A102,""closeyest""),"""")"),1335.0)</f>
        <v>1335</v>
      </c>
      <c r="V102" s="23">
        <f>IFERROR(__xludf.DUMMYFUNCTION("IFERROR(GOOGLEFINANCE(A102,""changepct""),"""")"),3.0)</f>
        <v>3</v>
      </c>
      <c r="W102" s="22">
        <f>IFERROR(__xludf.DUMMYFUNCTION("IFERROR(GOOGLEFINANCE(A102,""priceopen""),"""")"),1340.0)</f>
        <v>1340</v>
      </c>
      <c r="X102" s="22">
        <f>IFERROR(__xludf.DUMMYFUNCTION("IFERROR(GOOGLEFINANCE(A102,""high""),"""")"),1415.0)</f>
        <v>1415</v>
      </c>
      <c r="Y102" s="22">
        <f>IFERROR(__xludf.DUMMYFUNCTION("IFERROR(GOOGLEFINANCE(A102,""low""),"""")"),1325.0)</f>
        <v>1325</v>
      </c>
      <c r="Z102" s="22">
        <f>IFERROR(__xludf.DUMMYFUNCTION("IFERROR(GOOGLEFINANCE(A102,""volume""),"""")"),9.12506E7)</f>
        <v>91250600</v>
      </c>
      <c r="AA102" s="24" t="str">
        <f>VLOOKUP(A102,Metrik!$C$2:$Y$959,5,0)</f>
        <v>Food &amp; Staples Retailing</v>
      </c>
      <c r="AB102" s="24" t="str">
        <f>VLOOKUP(A102,Metrik!$C$2:$Y$959,3,0)</f>
        <v>Consumer Non-Cyclicals</v>
      </c>
    </row>
    <row r="103">
      <c r="A103" s="14" t="s">
        <v>101</v>
      </c>
      <c r="B103" s="14" t="str">
        <f t="array" ref="B103">VLOOKUP(A103,{Metrik!$C$2:$C$998,Metrik!$B$2:$B$998},2,0)</f>
        <v>Sumber Alfaria Trijaya Tbk.</v>
      </c>
      <c r="C103" s="15">
        <f>IFERROR(__xludf.DUMMYFUNCTION("GOOGLEFINANCE(""IDX:""&amp;A103,""price"")"),1375.0)</f>
        <v>1375</v>
      </c>
      <c r="D103" s="16" t="str">
        <f>IFERROR(__xludf.DUMMYFUNCTION("IF(A103="""","""",
SPARKLINE(
INDEX(
GOOGLEFINANCE(""IDX:""&amp;A103,""close"",TODAY()-365,TODAY()),
,2
),
{""linewidth"",1}
))
"),"#N/A")</f>
        <v>#N/A</v>
      </c>
      <c r="E103" s="14" t="s">
        <v>28</v>
      </c>
      <c r="F103" s="17" t="s">
        <v>29</v>
      </c>
      <c r="G103" s="24">
        <f t="shared" si="1"/>
        <v>10</v>
      </c>
      <c r="H103" s="19">
        <f>VLOOKUP(A103,Metrik!$C$2:$Y$959,8,0)</f>
        <v>13.6</v>
      </c>
      <c r="I103" s="20">
        <f>VLOOKUP(A103,Metrik!$C$2:$Y$959,9,0)</f>
        <v>2.4</v>
      </c>
      <c r="J103" s="20">
        <f>VLOOKUP(A103,Metrik!$C$2:$Y$959,10,0)</f>
        <v>17.6</v>
      </c>
      <c r="K103" s="20">
        <f>VLOOKUP(A103,Metrik!$C$2:$Y$959,11,0)</f>
        <v>7.7</v>
      </c>
      <c r="L103" s="20">
        <f>VLOOKUP(A103,Metrik!$C$2:$Y$959,12,0)</f>
        <v>1.3</v>
      </c>
      <c r="M103" s="20">
        <f>VLOOKUP(A103,Metrik!$C$2:$Y$959,19,0)</f>
        <v>10</v>
      </c>
      <c r="N103" s="21"/>
      <c r="O103" s="21"/>
      <c r="P103" s="21"/>
      <c r="Q103" s="21"/>
      <c r="R103" s="21"/>
      <c r="S103" s="21"/>
      <c r="T103" s="21"/>
      <c r="U103" s="22">
        <f>IFERROR(__xludf.DUMMYFUNCTION("IFERROR(GOOGLEFINANCE(A103,""closeyest""),"""")"),1335.0)</f>
        <v>1335</v>
      </c>
      <c r="V103" s="23">
        <f>IFERROR(__xludf.DUMMYFUNCTION("IFERROR(GOOGLEFINANCE(A103,""changepct""),"""")"),3.0)</f>
        <v>3</v>
      </c>
      <c r="W103" s="22">
        <f>IFERROR(__xludf.DUMMYFUNCTION("IFERROR(GOOGLEFINANCE(A103,""priceopen""),"""")"),1340.0)</f>
        <v>1340</v>
      </c>
      <c r="X103" s="22">
        <f>IFERROR(__xludf.DUMMYFUNCTION("IFERROR(GOOGLEFINANCE(A103,""high""),"""")"),1415.0)</f>
        <v>1415</v>
      </c>
      <c r="Y103" s="22">
        <f>IFERROR(__xludf.DUMMYFUNCTION("IFERROR(GOOGLEFINANCE(A103,""low""),"""")"),1325.0)</f>
        <v>1325</v>
      </c>
      <c r="Z103" s="22">
        <f>IFERROR(__xludf.DUMMYFUNCTION("IFERROR(GOOGLEFINANCE(A103,""volume""),"""")"),9.12506E7)</f>
        <v>91250600</v>
      </c>
      <c r="AA103" s="24" t="str">
        <f>VLOOKUP(A103,Metrik!$C$2:$Y$959,5,0)</f>
        <v>Food &amp; Staples Retailing</v>
      </c>
      <c r="AB103" s="24" t="str">
        <f>VLOOKUP(A103,Metrik!$C$2:$Y$959,3,0)</f>
        <v>Consumer Non-Cyclicals</v>
      </c>
    </row>
    <row r="104">
      <c r="A104" s="14" t="s">
        <v>101</v>
      </c>
      <c r="B104" s="14" t="str">
        <f t="array" ref="B104">VLOOKUP(A104,{Metrik!$C$2:$C$998,Metrik!$B$2:$B$998},2,0)</f>
        <v>Sumber Alfaria Trijaya Tbk.</v>
      </c>
      <c r="C104" s="15">
        <f>IFERROR(__xludf.DUMMYFUNCTION("GOOGLEFINANCE(""IDX:""&amp;A104,""price"")"),1375.0)</f>
        <v>1375</v>
      </c>
      <c r="D104" s="16" t="str">
        <f>IFERROR(__xludf.DUMMYFUNCTION("IF(A104="""","""",
SPARKLINE(
INDEX(
GOOGLEFINANCE(""IDX:""&amp;A104,""close"",TODAY()-365,TODAY()),
,2
),
{""linewidth"",1}
))
"),"#N/A")</f>
        <v>#N/A</v>
      </c>
      <c r="E104" s="14" t="s">
        <v>32</v>
      </c>
      <c r="F104" s="14" t="s">
        <v>29</v>
      </c>
      <c r="G104" s="24">
        <f t="shared" si="1"/>
        <v>10</v>
      </c>
      <c r="H104" s="19">
        <f>VLOOKUP(A104,Metrik!$C$2:$Y$959,8,0)</f>
        <v>13.6</v>
      </c>
      <c r="I104" s="20">
        <f>VLOOKUP(A104,Metrik!$C$2:$Y$959,9,0)</f>
        <v>2.4</v>
      </c>
      <c r="J104" s="20">
        <f>VLOOKUP(A104,Metrik!$C$2:$Y$959,10,0)</f>
        <v>17.6</v>
      </c>
      <c r="K104" s="20">
        <f>VLOOKUP(A104,Metrik!$C$2:$Y$959,11,0)</f>
        <v>7.7</v>
      </c>
      <c r="L104" s="20">
        <f>VLOOKUP(A104,Metrik!$C$2:$Y$959,12,0)</f>
        <v>1.3</v>
      </c>
      <c r="M104" s="20">
        <f>VLOOKUP(A104,Metrik!$C$2:$Y$959,19,0)</f>
        <v>10</v>
      </c>
      <c r="N104" s="21"/>
      <c r="O104" s="21"/>
      <c r="P104" s="21"/>
      <c r="Q104" s="21"/>
      <c r="R104" s="21"/>
      <c r="S104" s="21"/>
      <c r="T104" s="21"/>
      <c r="U104" s="22">
        <f>IFERROR(__xludf.DUMMYFUNCTION("IFERROR(GOOGLEFINANCE(A104,""closeyest""),"""")"),1335.0)</f>
        <v>1335</v>
      </c>
      <c r="V104" s="23">
        <f>IFERROR(__xludf.DUMMYFUNCTION("IFERROR(GOOGLEFINANCE(A104,""changepct""),"""")"),3.0)</f>
        <v>3</v>
      </c>
      <c r="W104" s="22">
        <f>IFERROR(__xludf.DUMMYFUNCTION("IFERROR(GOOGLEFINANCE(A104,""priceopen""),"""")"),1340.0)</f>
        <v>1340</v>
      </c>
      <c r="X104" s="22">
        <f>IFERROR(__xludf.DUMMYFUNCTION("IFERROR(GOOGLEFINANCE(A104,""high""),"""")"),1415.0)</f>
        <v>1415</v>
      </c>
      <c r="Y104" s="22">
        <f>IFERROR(__xludf.DUMMYFUNCTION("IFERROR(GOOGLEFINANCE(A104,""low""),"""")"),1325.0)</f>
        <v>1325</v>
      </c>
      <c r="Z104" s="22">
        <f>IFERROR(__xludf.DUMMYFUNCTION("IFERROR(GOOGLEFINANCE(A104,""volume""),"""")"),9.12506E7)</f>
        <v>91250600</v>
      </c>
      <c r="AA104" s="24" t="str">
        <f>VLOOKUP(A104,Metrik!$C$2:$Y$959,5,0)</f>
        <v>Food &amp; Staples Retailing</v>
      </c>
      <c r="AB104" s="24" t="str">
        <f>VLOOKUP(A104,Metrik!$C$2:$Y$959,3,0)</f>
        <v>Consumer Non-Cyclicals</v>
      </c>
    </row>
    <row r="105">
      <c r="A105" s="14" t="s">
        <v>101</v>
      </c>
      <c r="B105" s="14" t="str">
        <f t="array" ref="B105">VLOOKUP(A105,{Metrik!$C$2:$C$998,Metrik!$B$2:$B$998},2,0)</f>
        <v>Sumber Alfaria Trijaya Tbk.</v>
      </c>
      <c r="C105" s="15">
        <f>IFERROR(__xludf.DUMMYFUNCTION("GOOGLEFINANCE(""IDX:""&amp;A105,""price"")"),1375.0)</f>
        <v>1375</v>
      </c>
      <c r="D105" s="16" t="str">
        <f>IFERROR(__xludf.DUMMYFUNCTION("IF(A105="""","""",
SPARKLINE(
INDEX(
GOOGLEFINANCE(""IDX:""&amp;A105,""close"",TODAY()-365,TODAY()),
,2
),
{""linewidth"",1}
))
"),"#N/A")</f>
        <v>#N/A</v>
      </c>
      <c r="E105" s="14" t="s">
        <v>67</v>
      </c>
      <c r="F105" s="17" t="s">
        <v>51</v>
      </c>
      <c r="G105" s="24">
        <f t="shared" si="1"/>
        <v>10</v>
      </c>
      <c r="H105" s="19">
        <f>VLOOKUP(A105,Metrik!$C$2:$Y$959,8,0)</f>
        <v>13.6</v>
      </c>
      <c r="I105" s="20">
        <f>VLOOKUP(A105,Metrik!$C$2:$Y$959,9,0)</f>
        <v>2.4</v>
      </c>
      <c r="J105" s="20">
        <f>VLOOKUP(A105,Metrik!$C$2:$Y$959,10,0)</f>
        <v>17.6</v>
      </c>
      <c r="K105" s="20">
        <f>VLOOKUP(A105,Metrik!$C$2:$Y$959,11,0)</f>
        <v>7.7</v>
      </c>
      <c r="L105" s="20">
        <f>VLOOKUP(A105,Metrik!$C$2:$Y$959,12,0)</f>
        <v>1.3</v>
      </c>
      <c r="M105" s="20">
        <f>VLOOKUP(A105,Metrik!$C$2:$Y$959,19,0)</f>
        <v>10</v>
      </c>
      <c r="N105" s="21"/>
      <c r="O105" s="21"/>
      <c r="P105" s="21"/>
      <c r="Q105" s="21"/>
      <c r="R105" s="21"/>
      <c r="S105" s="21"/>
      <c r="T105" s="21"/>
      <c r="U105" s="22">
        <f>IFERROR(__xludf.DUMMYFUNCTION("IFERROR(GOOGLEFINANCE(A105,""closeyest""),"""")"),1335.0)</f>
        <v>1335</v>
      </c>
      <c r="V105" s="23">
        <f>IFERROR(__xludf.DUMMYFUNCTION("IFERROR(GOOGLEFINANCE(A105,""changepct""),"""")"),3.0)</f>
        <v>3</v>
      </c>
      <c r="W105" s="22">
        <f>IFERROR(__xludf.DUMMYFUNCTION("IFERROR(GOOGLEFINANCE(A105,""priceopen""),"""")"),1340.0)</f>
        <v>1340</v>
      </c>
      <c r="X105" s="22">
        <f>IFERROR(__xludf.DUMMYFUNCTION("IFERROR(GOOGLEFINANCE(A105,""high""),"""")"),1415.0)</f>
        <v>1415</v>
      </c>
      <c r="Y105" s="22">
        <f>IFERROR(__xludf.DUMMYFUNCTION("IFERROR(GOOGLEFINANCE(A105,""low""),"""")"),1325.0)</f>
        <v>1325</v>
      </c>
      <c r="Z105" s="22">
        <f>IFERROR(__xludf.DUMMYFUNCTION("IFERROR(GOOGLEFINANCE(A105,""volume""),"""")"),9.12506E7)</f>
        <v>91250600</v>
      </c>
      <c r="AA105" s="24" t="str">
        <f>VLOOKUP(A105,Metrik!$C$2:$Y$959,5,0)</f>
        <v>Food &amp; Staples Retailing</v>
      </c>
      <c r="AB105" s="24" t="str">
        <f>VLOOKUP(A105,Metrik!$C$2:$Y$959,3,0)</f>
        <v>Consumer Non-Cyclicals</v>
      </c>
    </row>
    <row r="106">
      <c r="A106" s="14" t="s">
        <v>101</v>
      </c>
      <c r="B106" s="14" t="str">
        <f t="array" ref="B106">VLOOKUP(A106,{Metrik!$C$2:$C$998,Metrik!$B$2:$B$998},2,0)</f>
        <v>Sumber Alfaria Trijaya Tbk.</v>
      </c>
      <c r="C106" s="15">
        <f>IFERROR(__xludf.DUMMYFUNCTION("GOOGLEFINANCE(""IDX:""&amp;A106,""price"")"),1375.0)</f>
        <v>1375</v>
      </c>
      <c r="D106" s="16" t="str">
        <f>IFERROR(__xludf.DUMMYFUNCTION("IF(A106="""","""",
SPARKLINE(
INDEX(
GOOGLEFINANCE(""IDX:""&amp;A106,""close"",TODAY()-365,TODAY()),
,2
),
{""linewidth"",1}
))
"),"#N/A")</f>
        <v>#N/A</v>
      </c>
      <c r="E106" s="14" t="s">
        <v>30</v>
      </c>
      <c r="F106" s="17" t="s">
        <v>29</v>
      </c>
      <c r="G106" s="24">
        <f t="shared" si="1"/>
        <v>10</v>
      </c>
      <c r="H106" s="19">
        <f>VLOOKUP(A106,Metrik!$C$2:$Y$959,8,0)</f>
        <v>13.6</v>
      </c>
      <c r="I106" s="20">
        <f>VLOOKUP(A106,Metrik!$C$2:$Y$959,9,0)</f>
        <v>2.4</v>
      </c>
      <c r="J106" s="20">
        <f>VLOOKUP(A106,Metrik!$C$2:$Y$959,10,0)</f>
        <v>17.6</v>
      </c>
      <c r="K106" s="20">
        <f>VLOOKUP(A106,Metrik!$C$2:$Y$959,11,0)</f>
        <v>7.7</v>
      </c>
      <c r="L106" s="20">
        <f>VLOOKUP(A106,Metrik!$C$2:$Y$959,12,0)</f>
        <v>1.3</v>
      </c>
      <c r="M106" s="20">
        <f>VLOOKUP(A106,Metrik!$C$2:$Y$959,19,0)</f>
        <v>10</v>
      </c>
      <c r="N106" s="21"/>
      <c r="O106" s="21"/>
      <c r="P106" s="21"/>
      <c r="Q106" s="21"/>
      <c r="R106" s="21"/>
      <c r="S106" s="21"/>
      <c r="T106" s="21"/>
      <c r="U106" s="22">
        <f>IFERROR(__xludf.DUMMYFUNCTION("IFERROR(GOOGLEFINANCE(A106,""closeyest""),"""")"),1335.0)</f>
        <v>1335</v>
      </c>
      <c r="V106" s="23">
        <f>IFERROR(__xludf.DUMMYFUNCTION("IFERROR(GOOGLEFINANCE(A106,""changepct""),"""")"),3.0)</f>
        <v>3</v>
      </c>
      <c r="W106" s="22">
        <f>IFERROR(__xludf.DUMMYFUNCTION("IFERROR(GOOGLEFINANCE(A106,""priceopen""),"""")"),1340.0)</f>
        <v>1340</v>
      </c>
      <c r="X106" s="22">
        <f>IFERROR(__xludf.DUMMYFUNCTION("IFERROR(GOOGLEFINANCE(A106,""high""),"""")"),1415.0)</f>
        <v>1415</v>
      </c>
      <c r="Y106" s="22">
        <f>IFERROR(__xludf.DUMMYFUNCTION("IFERROR(GOOGLEFINANCE(A106,""low""),"""")"),1325.0)</f>
        <v>1325</v>
      </c>
      <c r="Z106" s="22">
        <f>IFERROR(__xludf.DUMMYFUNCTION("IFERROR(GOOGLEFINANCE(A106,""volume""),"""")"),9.12506E7)</f>
        <v>91250600</v>
      </c>
      <c r="AA106" s="24" t="str">
        <f>VLOOKUP(A106,Metrik!$C$2:$Y$959,5,0)</f>
        <v>Food &amp; Staples Retailing</v>
      </c>
      <c r="AB106" s="24" t="str">
        <f>VLOOKUP(A106,Metrik!$C$2:$Y$959,3,0)</f>
        <v>Consumer Non-Cyclicals</v>
      </c>
    </row>
    <row r="107">
      <c r="A107" s="14" t="s">
        <v>101</v>
      </c>
      <c r="B107" s="14" t="str">
        <f t="array" ref="B107">VLOOKUP(A107,{Metrik!$C$2:$C$998,Metrik!$B$2:$B$998},2,0)</f>
        <v>Sumber Alfaria Trijaya Tbk.</v>
      </c>
      <c r="C107" s="15">
        <f>IFERROR(__xludf.DUMMYFUNCTION("GOOGLEFINANCE(""IDX:""&amp;A107,""price"")"),1375.0)</f>
        <v>1375</v>
      </c>
      <c r="D107" s="16" t="str">
        <f>IFERROR(__xludf.DUMMYFUNCTION("IF(A107="""","""",
SPARKLINE(
INDEX(
GOOGLEFINANCE(""IDX:""&amp;A107,""close"",TODAY()-365,TODAY()),
,2
),
{""linewidth"",1}
))
"),"#N/A")</f>
        <v>#N/A</v>
      </c>
      <c r="E107" s="14" t="s">
        <v>31</v>
      </c>
      <c r="F107" s="17" t="s">
        <v>29</v>
      </c>
      <c r="G107" s="24">
        <f t="shared" si="1"/>
        <v>10</v>
      </c>
      <c r="H107" s="19">
        <f>VLOOKUP(A107,Metrik!$C$2:$Y$959,8,0)</f>
        <v>13.6</v>
      </c>
      <c r="I107" s="20">
        <f>VLOOKUP(A107,Metrik!$C$2:$Y$959,9,0)</f>
        <v>2.4</v>
      </c>
      <c r="J107" s="20">
        <f>VLOOKUP(A107,Metrik!$C$2:$Y$959,10,0)</f>
        <v>17.6</v>
      </c>
      <c r="K107" s="20">
        <f>VLOOKUP(A107,Metrik!$C$2:$Y$959,11,0)</f>
        <v>7.7</v>
      </c>
      <c r="L107" s="20">
        <f>VLOOKUP(A107,Metrik!$C$2:$Y$959,12,0)</f>
        <v>1.3</v>
      </c>
      <c r="M107" s="20">
        <f>VLOOKUP(A107,Metrik!$C$2:$Y$959,19,0)</f>
        <v>10</v>
      </c>
      <c r="N107" s="21"/>
      <c r="O107" s="21"/>
      <c r="P107" s="21"/>
      <c r="Q107" s="21"/>
      <c r="R107" s="21"/>
      <c r="S107" s="21"/>
      <c r="T107" s="21"/>
      <c r="U107" s="22">
        <f>IFERROR(__xludf.DUMMYFUNCTION("IFERROR(GOOGLEFINANCE(A107,""closeyest""),"""")"),1335.0)</f>
        <v>1335</v>
      </c>
      <c r="V107" s="23">
        <f>IFERROR(__xludf.DUMMYFUNCTION("IFERROR(GOOGLEFINANCE(A107,""changepct""),"""")"),3.0)</f>
        <v>3</v>
      </c>
      <c r="W107" s="22">
        <f>IFERROR(__xludf.DUMMYFUNCTION("IFERROR(GOOGLEFINANCE(A107,""priceopen""),"""")"),1340.0)</f>
        <v>1340</v>
      </c>
      <c r="X107" s="22">
        <f>IFERROR(__xludf.DUMMYFUNCTION("IFERROR(GOOGLEFINANCE(A107,""high""),"""")"),1415.0)</f>
        <v>1415</v>
      </c>
      <c r="Y107" s="22">
        <f>IFERROR(__xludf.DUMMYFUNCTION("IFERROR(GOOGLEFINANCE(A107,""low""),"""")"),1325.0)</f>
        <v>1325</v>
      </c>
      <c r="Z107" s="22">
        <f>IFERROR(__xludf.DUMMYFUNCTION("IFERROR(GOOGLEFINANCE(A107,""volume""),"""")"),9.12506E7)</f>
        <v>91250600</v>
      </c>
      <c r="AA107" s="24" t="str">
        <f>VLOOKUP(A107,Metrik!$C$2:$Y$959,5,0)</f>
        <v>Food &amp; Staples Retailing</v>
      </c>
      <c r="AB107" s="24" t="str">
        <f>VLOOKUP(A107,Metrik!$C$2:$Y$959,3,0)</f>
        <v>Consumer Non-Cyclicals</v>
      </c>
    </row>
    <row r="108">
      <c r="A108" s="14" t="s">
        <v>101</v>
      </c>
      <c r="B108" s="14" t="str">
        <f t="array" ref="B108">VLOOKUP(A108,{Metrik!$C$2:$C$998,Metrik!$B$2:$B$998},2,0)</f>
        <v>Sumber Alfaria Trijaya Tbk.</v>
      </c>
      <c r="C108" s="15">
        <f>IFERROR(__xludf.DUMMYFUNCTION("GOOGLEFINANCE(""IDX:""&amp;A108,""price"")"),1375.0)</f>
        <v>1375</v>
      </c>
      <c r="D108" s="16" t="str">
        <f>IFERROR(__xludf.DUMMYFUNCTION("IF(A108="""","""",
SPARKLINE(
INDEX(
GOOGLEFINANCE(""IDX:""&amp;A108,""close"",TODAY()-365,TODAY()),
,2
),
{""linewidth"",1}
))
"),"#N/A")</f>
        <v>#N/A</v>
      </c>
      <c r="E108" s="14" t="s">
        <v>102</v>
      </c>
      <c r="F108" s="27" t="s">
        <v>53</v>
      </c>
      <c r="G108" s="24">
        <f t="shared" si="1"/>
        <v>10</v>
      </c>
      <c r="H108" s="19">
        <f>VLOOKUP(A108,Metrik!$C$2:$Y$959,8,0)</f>
        <v>13.6</v>
      </c>
      <c r="I108" s="20">
        <f>VLOOKUP(A108,Metrik!$C$2:$Y$959,9,0)</f>
        <v>2.4</v>
      </c>
      <c r="J108" s="20">
        <f>VLOOKUP(A108,Metrik!$C$2:$Y$959,10,0)</f>
        <v>17.6</v>
      </c>
      <c r="K108" s="20">
        <f>VLOOKUP(A108,Metrik!$C$2:$Y$959,11,0)</f>
        <v>7.7</v>
      </c>
      <c r="L108" s="20">
        <f>VLOOKUP(A108,Metrik!$C$2:$Y$959,12,0)</f>
        <v>1.3</v>
      </c>
      <c r="M108" s="20">
        <f>VLOOKUP(A108,Metrik!$C$2:$Y$959,19,0)</f>
        <v>10</v>
      </c>
      <c r="N108" s="21"/>
      <c r="O108" s="21"/>
      <c r="P108" s="21"/>
      <c r="Q108" s="21"/>
      <c r="R108" s="21"/>
      <c r="S108" s="21"/>
      <c r="T108" s="21"/>
      <c r="U108" s="22">
        <f>IFERROR(__xludf.DUMMYFUNCTION("IFERROR(GOOGLEFINANCE(A108,""closeyest""),"""")"),1335.0)</f>
        <v>1335</v>
      </c>
      <c r="V108" s="23">
        <f>IFERROR(__xludf.DUMMYFUNCTION("IFERROR(GOOGLEFINANCE(A108,""changepct""),"""")"),3.0)</f>
        <v>3</v>
      </c>
      <c r="W108" s="22">
        <f>IFERROR(__xludf.DUMMYFUNCTION("IFERROR(GOOGLEFINANCE(A108,""priceopen""),"""")"),1340.0)</f>
        <v>1340</v>
      </c>
      <c r="X108" s="22">
        <f>IFERROR(__xludf.DUMMYFUNCTION("IFERROR(GOOGLEFINANCE(A108,""high""),"""")"),1415.0)</f>
        <v>1415</v>
      </c>
      <c r="Y108" s="22">
        <f>IFERROR(__xludf.DUMMYFUNCTION("IFERROR(GOOGLEFINANCE(A108,""low""),"""")"),1325.0)</f>
        <v>1325</v>
      </c>
      <c r="Z108" s="22">
        <f>IFERROR(__xludf.DUMMYFUNCTION("IFERROR(GOOGLEFINANCE(A108,""volume""),"""")"),9.12506E7)</f>
        <v>91250600</v>
      </c>
      <c r="AA108" s="24" t="str">
        <f>VLOOKUP(A108,Metrik!$C$2:$Y$959,5,0)</f>
        <v>Food &amp; Staples Retailing</v>
      </c>
      <c r="AB108" s="24" t="str">
        <f>VLOOKUP(A108,Metrik!$C$2:$Y$959,3,0)</f>
        <v>Consumer Non-Cyclicals</v>
      </c>
    </row>
    <row r="109">
      <c r="A109" s="17" t="s">
        <v>101</v>
      </c>
      <c r="B109" s="14" t="str">
        <f t="array" ref="B109">VLOOKUP(A109,{Metrik!$C$2:$C$998,Metrik!$B$2:$B$998},2,0)</f>
        <v>Sumber Alfaria Trijaya Tbk.</v>
      </c>
      <c r="C109" s="15">
        <f>IFERROR(__xludf.DUMMYFUNCTION("GOOGLEFINANCE(""IDX:""&amp;A109,""price"")"),1375.0)</f>
        <v>1375</v>
      </c>
      <c r="D109" s="16" t="str">
        <f>IFERROR(__xludf.DUMMYFUNCTION("IF(A109="""","""",
SPARKLINE(
INDEX(
GOOGLEFINANCE(""IDX:""&amp;A109,""close"",TODAY()-365,TODAY()),
,2
),
{""linewidth"",1}
))
"),"#N/A")</f>
        <v>#N/A</v>
      </c>
      <c r="E109" s="17" t="s">
        <v>69</v>
      </c>
      <c r="F109" s="17" t="s">
        <v>70</v>
      </c>
      <c r="G109" s="24">
        <f t="shared" si="1"/>
        <v>10</v>
      </c>
      <c r="H109" s="19">
        <f>VLOOKUP(A109,Metrik!$C$2:$Y$959,8,0)</f>
        <v>13.6</v>
      </c>
      <c r="I109" s="20">
        <f>VLOOKUP(A109,Metrik!$C$2:$Y$959,9,0)</f>
        <v>2.4</v>
      </c>
      <c r="J109" s="20">
        <f>VLOOKUP(A109,Metrik!$C$2:$Y$959,10,0)</f>
        <v>17.6</v>
      </c>
      <c r="K109" s="20">
        <f>VLOOKUP(A109,Metrik!$C$2:$Y$959,11,0)</f>
        <v>7.7</v>
      </c>
      <c r="L109" s="20">
        <f>VLOOKUP(A109,Metrik!$C$2:$Y$959,12,0)</f>
        <v>1.3</v>
      </c>
      <c r="M109" s="20">
        <f>VLOOKUP(A109,Metrik!$C$2:$Y$959,19,0)</f>
        <v>10</v>
      </c>
      <c r="N109" s="21"/>
      <c r="O109" s="21"/>
      <c r="P109" s="21"/>
      <c r="Q109" s="21"/>
      <c r="R109" s="21"/>
      <c r="S109" s="21"/>
      <c r="T109" s="21"/>
      <c r="U109" s="22">
        <f>IFERROR(__xludf.DUMMYFUNCTION("IFERROR(GOOGLEFINANCE(A109,""closeyest""),"""")"),1335.0)</f>
        <v>1335</v>
      </c>
      <c r="V109" s="23">
        <f>IFERROR(__xludf.DUMMYFUNCTION("IFERROR(GOOGLEFINANCE(A109,""changepct""),"""")"),3.0)</f>
        <v>3</v>
      </c>
      <c r="W109" s="22">
        <f>IFERROR(__xludf.DUMMYFUNCTION("IFERROR(GOOGLEFINANCE(A109,""priceopen""),"""")"),1340.0)</f>
        <v>1340</v>
      </c>
      <c r="X109" s="22">
        <f>IFERROR(__xludf.DUMMYFUNCTION("IFERROR(GOOGLEFINANCE(A109,""high""),"""")"),1415.0)</f>
        <v>1415</v>
      </c>
      <c r="Y109" s="22">
        <f>IFERROR(__xludf.DUMMYFUNCTION("IFERROR(GOOGLEFINANCE(A109,""low""),"""")"),1325.0)</f>
        <v>1325</v>
      </c>
      <c r="Z109" s="22">
        <f>IFERROR(__xludf.DUMMYFUNCTION("IFERROR(GOOGLEFINANCE(A109,""volume""),"""")"),9.12506E7)</f>
        <v>91250600</v>
      </c>
      <c r="AA109" s="24" t="str">
        <f>VLOOKUP(A109,Metrik!$C$2:$Y$959,5,0)</f>
        <v>Food &amp; Staples Retailing</v>
      </c>
      <c r="AB109" s="24" t="str">
        <f>VLOOKUP(A109,Metrik!$C$2:$Y$959,3,0)</f>
        <v>Consumer Non-Cyclicals</v>
      </c>
    </row>
    <row r="110">
      <c r="A110" s="17" t="s">
        <v>101</v>
      </c>
      <c r="B110" s="14" t="str">
        <f t="array" ref="B110">VLOOKUP(A110,{Metrik!$C$2:$C$998,Metrik!$B$2:$B$998},2,0)</f>
        <v>Sumber Alfaria Trijaya Tbk.</v>
      </c>
      <c r="C110" s="15">
        <f>IFERROR(__xludf.DUMMYFUNCTION("GOOGLEFINANCE(""IDX:""&amp;A110,""price"")"),1375.0)</f>
        <v>1375</v>
      </c>
      <c r="D110" s="16" t="str">
        <f>IFERROR(__xludf.DUMMYFUNCTION("IF(A110="""","""",
SPARKLINE(
INDEX(
GOOGLEFINANCE(""IDX:""&amp;A110,""close"",TODAY()-365,TODAY()),
,2
),
{""linewidth"",1}
))
"),"#N/A")</f>
        <v>#N/A</v>
      </c>
      <c r="E110" s="14" t="s">
        <v>35</v>
      </c>
      <c r="F110" s="17" t="s">
        <v>36</v>
      </c>
      <c r="G110" s="24">
        <f t="shared" si="1"/>
        <v>10</v>
      </c>
      <c r="H110" s="19">
        <f>VLOOKUP(A110,Metrik!$C$2:$Y$959,8,0)</f>
        <v>13.6</v>
      </c>
      <c r="I110" s="20">
        <f>VLOOKUP(A110,Metrik!$C$2:$Y$959,9,0)</f>
        <v>2.4</v>
      </c>
      <c r="J110" s="20">
        <f>VLOOKUP(A110,Metrik!$C$2:$Y$959,10,0)</f>
        <v>17.6</v>
      </c>
      <c r="K110" s="20">
        <f>VLOOKUP(A110,Metrik!$C$2:$Y$959,11,0)</f>
        <v>7.7</v>
      </c>
      <c r="L110" s="20">
        <f>VLOOKUP(A110,Metrik!$C$2:$Y$959,12,0)</f>
        <v>1.3</v>
      </c>
      <c r="M110" s="20">
        <f>VLOOKUP(A110,Metrik!$C$2:$Y$959,19,0)</f>
        <v>10</v>
      </c>
      <c r="N110" s="21"/>
      <c r="O110" s="21"/>
      <c r="P110" s="21"/>
      <c r="Q110" s="21"/>
      <c r="R110" s="21"/>
      <c r="S110" s="21"/>
      <c r="T110" s="21"/>
      <c r="U110" s="22">
        <f>IFERROR(__xludf.DUMMYFUNCTION("IFERROR(GOOGLEFINANCE(A110,""closeyest""),"""")"),1335.0)</f>
        <v>1335</v>
      </c>
      <c r="V110" s="23">
        <f>IFERROR(__xludf.DUMMYFUNCTION("IFERROR(GOOGLEFINANCE(A110,""changepct""),"""")"),3.0)</f>
        <v>3</v>
      </c>
      <c r="W110" s="22">
        <f>IFERROR(__xludf.DUMMYFUNCTION("IFERROR(GOOGLEFINANCE(A110,""priceopen""),"""")"),1340.0)</f>
        <v>1340</v>
      </c>
      <c r="X110" s="22">
        <f>IFERROR(__xludf.DUMMYFUNCTION("IFERROR(GOOGLEFINANCE(A110,""high""),"""")"),1415.0)</f>
        <v>1415</v>
      </c>
      <c r="Y110" s="22">
        <f>IFERROR(__xludf.DUMMYFUNCTION("IFERROR(GOOGLEFINANCE(A110,""low""),"""")"),1325.0)</f>
        <v>1325</v>
      </c>
      <c r="Z110" s="22">
        <f>IFERROR(__xludf.DUMMYFUNCTION("IFERROR(GOOGLEFINANCE(A110,""volume""),"""")"),9.12506E7)</f>
        <v>91250600</v>
      </c>
      <c r="AA110" s="24" t="str">
        <f>VLOOKUP(A110,Metrik!$C$2:$Y$959,5,0)</f>
        <v>Food &amp; Staples Retailing</v>
      </c>
      <c r="AB110" s="24" t="str">
        <f>VLOOKUP(A110,Metrik!$C$2:$Y$959,3,0)</f>
        <v>Consumer Non-Cyclicals</v>
      </c>
    </row>
    <row r="111">
      <c r="A111" s="14" t="s">
        <v>101</v>
      </c>
      <c r="B111" s="14" t="str">
        <f t="array" ref="B111">VLOOKUP(A111,{Metrik!$C$2:$C$998,Metrik!$B$2:$B$998},2,0)</f>
        <v>Sumber Alfaria Trijaya Tbk.</v>
      </c>
      <c r="C111" s="15">
        <f>IFERROR(__xludf.DUMMYFUNCTION("GOOGLEFINANCE(""IDX:""&amp;A111,""price"")"),1375.0)</f>
        <v>1375</v>
      </c>
      <c r="D111" s="16" t="str">
        <f>IFERROR(__xludf.DUMMYFUNCTION("IF(A111="""","""",
SPARKLINE(
INDEX(
GOOGLEFINANCE(""IDX:""&amp;A111,""close"",TODAY()-365,TODAY()),
,2
),
{""linewidth"",1}
))
"),"#N/A")</f>
        <v>#N/A</v>
      </c>
      <c r="E111" s="14" t="s">
        <v>42</v>
      </c>
      <c r="F111" s="25">
        <v>46356.0</v>
      </c>
      <c r="G111" s="24">
        <f t="shared" si="1"/>
        <v>10</v>
      </c>
      <c r="H111" s="19">
        <f>VLOOKUP(A111,Metrik!$C$2:$Y$959,8,0)</f>
        <v>13.6</v>
      </c>
      <c r="I111" s="20">
        <f>VLOOKUP(A111,Metrik!$C$2:$Y$959,9,0)</f>
        <v>2.4</v>
      </c>
      <c r="J111" s="20">
        <f>VLOOKUP(A111,Metrik!$C$2:$Y$959,10,0)</f>
        <v>17.6</v>
      </c>
      <c r="K111" s="20">
        <f>VLOOKUP(A111,Metrik!$C$2:$Y$959,11,0)</f>
        <v>7.7</v>
      </c>
      <c r="L111" s="20">
        <f>VLOOKUP(A111,Metrik!$C$2:$Y$959,12,0)</f>
        <v>1.3</v>
      </c>
      <c r="M111" s="20">
        <f>VLOOKUP(A111,Metrik!$C$2:$Y$959,19,0)</f>
        <v>10</v>
      </c>
      <c r="N111" s="21"/>
      <c r="O111" s="21"/>
      <c r="P111" s="21"/>
      <c r="Q111" s="21"/>
      <c r="R111" s="21"/>
      <c r="S111" s="21"/>
      <c r="T111" s="21"/>
      <c r="U111" s="22">
        <f>IFERROR(__xludf.DUMMYFUNCTION("IFERROR(GOOGLEFINANCE(A111,""closeyest""),"""")"),1335.0)</f>
        <v>1335</v>
      </c>
      <c r="V111" s="23">
        <f>IFERROR(__xludf.DUMMYFUNCTION("IFERROR(GOOGLEFINANCE(A111,""changepct""),"""")"),3.0)</f>
        <v>3</v>
      </c>
      <c r="W111" s="22">
        <f>IFERROR(__xludf.DUMMYFUNCTION("IFERROR(GOOGLEFINANCE(A111,""priceopen""),"""")"),1340.0)</f>
        <v>1340</v>
      </c>
      <c r="X111" s="22">
        <f>IFERROR(__xludf.DUMMYFUNCTION("IFERROR(GOOGLEFINANCE(A111,""high""),"""")"),1415.0)</f>
        <v>1415</v>
      </c>
      <c r="Y111" s="22">
        <f>IFERROR(__xludf.DUMMYFUNCTION("IFERROR(GOOGLEFINANCE(A111,""low""),"""")"),1325.0)</f>
        <v>1325</v>
      </c>
      <c r="Z111" s="22">
        <f>IFERROR(__xludf.DUMMYFUNCTION("IFERROR(GOOGLEFINANCE(A111,""volume""),"""")"),9.12506E7)</f>
        <v>91250600</v>
      </c>
      <c r="AA111" s="24" t="str">
        <f>VLOOKUP(A111,Metrik!$C$2:$Y$959,5,0)</f>
        <v>Food &amp; Staples Retailing</v>
      </c>
      <c r="AB111" s="24" t="str">
        <f>VLOOKUP(A111,Metrik!$C$2:$Y$959,3,0)</f>
        <v>Consumer Non-Cyclicals</v>
      </c>
    </row>
    <row r="112">
      <c r="A112" s="14" t="s">
        <v>103</v>
      </c>
      <c r="B112" s="14" t="str">
        <f t="array" ref="B112">VLOOKUP(A112,{Metrik!$C$2:$C$998,Metrik!$B$2:$B$998},2,0)</f>
        <v>Andira Agro Tbk.</v>
      </c>
      <c r="C112" s="15">
        <f>IFERROR(__xludf.DUMMYFUNCTION("GOOGLEFINANCE(""IDX:""&amp;A112,""price"")"),18.0)</f>
        <v>18</v>
      </c>
      <c r="D112" s="16" t="str">
        <f>IFERROR(__xludf.DUMMYFUNCTION("IF(A112="""","""",
SPARKLINE(
INDEX(
GOOGLEFINANCE(""IDX:""&amp;A112,""close"",TODAY()-365,TODAY()),
,2
),
{""linewidth"",1}
))
"),"#N/A")</f>
        <v>#N/A</v>
      </c>
      <c r="E112" s="26"/>
      <c r="F112" s="26"/>
      <c r="G112" s="24">
        <f t="shared" si="1"/>
        <v>0</v>
      </c>
      <c r="H112" s="19">
        <f>VLOOKUP(A112,Metrik!$C$2:$Y$959,8,0)</f>
        <v>-3.7</v>
      </c>
      <c r="I112" s="20">
        <f>VLOOKUP(A112,Metrik!$C$2:$Y$959,9,0)</f>
        <v>1.7</v>
      </c>
      <c r="J112" s="20">
        <f>VLOOKUP(A112,Metrik!$C$2:$Y$959,10,0)</f>
        <v>-45.6</v>
      </c>
      <c r="K112" s="20">
        <f>VLOOKUP(A112,Metrik!$C$2:$Y$959,11,0)</f>
        <v>-18.6</v>
      </c>
      <c r="L112" s="20">
        <f>VLOOKUP(A112,Metrik!$C$2:$Y$959,12,0)</f>
        <v>1.5</v>
      </c>
      <c r="M112" s="20">
        <f>VLOOKUP(A112,Metrik!$C$2:$Y$959,19,0)</f>
        <v>-210</v>
      </c>
      <c r="N112" s="21"/>
      <c r="O112" s="21"/>
      <c r="P112" s="21"/>
      <c r="Q112" s="21"/>
      <c r="R112" s="21"/>
      <c r="S112" s="21"/>
      <c r="T112" s="21"/>
      <c r="U112" s="22">
        <f>IFERROR(__xludf.DUMMYFUNCTION("IFERROR(GOOGLEFINANCE(A112,""closeyest""),"""")"),0.0)</f>
        <v>0</v>
      </c>
      <c r="V112" s="23" t="str">
        <f>IFERROR(__xludf.DUMMYFUNCTION("IFERROR(GOOGLEFINANCE(A112,""changepct""),"""")"),"")</f>
        <v/>
      </c>
      <c r="W112" s="22">
        <f>IFERROR(__xludf.DUMMYFUNCTION("IFERROR(GOOGLEFINANCE(A112,""priceopen""),"""")"),0.0)</f>
        <v>0</v>
      </c>
      <c r="X112" s="22">
        <f>IFERROR(__xludf.DUMMYFUNCTION("IFERROR(GOOGLEFINANCE(A112,""high""),"""")"),0.0)</f>
        <v>0</v>
      </c>
      <c r="Y112" s="22">
        <f>IFERROR(__xludf.DUMMYFUNCTION("IFERROR(GOOGLEFINANCE(A112,""low""),"""")"),0.0)</f>
        <v>0</v>
      </c>
      <c r="Z112" s="22">
        <f>IFERROR(__xludf.DUMMYFUNCTION("IFERROR(GOOGLEFINANCE(A112,""volume""),"""")"),700.0)</f>
        <v>700</v>
      </c>
      <c r="AA112" s="24" t="str">
        <f>VLOOKUP(A112,Metrik!$C$2:$Y$959,5,0)</f>
        <v>Agricultural Products</v>
      </c>
      <c r="AB112" s="24" t="str">
        <f>VLOOKUP(A112,Metrik!$C$2:$Y$959,3,0)</f>
        <v>Consumer Non-Cyclicals</v>
      </c>
    </row>
    <row r="113">
      <c r="A113" s="14" t="s">
        <v>104</v>
      </c>
      <c r="B113" s="14" t="str">
        <f t="array" ref="B113">VLOOKUP(A113,{Metrik!$C$2:$C$998,Metrik!$B$2:$B$998},2,0)</f>
        <v>PT Austindo Nusantara Jaya Tbk.</v>
      </c>
      <c r="C113" s="15">
        <f>IFERROR(__xludf.DUMMYFUNCTION("GOOGLEFINANCE(""IDX:""&amp;A113,""price"")"),1500.0)</f>
        <v>1500</v>
      </c>
      <c r="D113" s="16" t="str">
        <f>IFERROR(__xludf.DUMMYFUNCTION("IF(A113="""","""",
SPARKLINE(
INDEX(
GOOGLEFINANCE(""IDX:""&amp;A113,""close"",TODAY()-365,TODAY()),
,2
),
{""linewidth"",1}
))
"),"#N/A")</f>
        <v>#N/A</v>
      </c>
      <c r="E113" s="26"/>
      <c r="F113" s="26"/>
      <c r="G113" s="24">
        <f t="shared" si="1"/>
        <v>0</v>
      </c>
      <c r="H113" s="19">
        <f>VLOOKUP(A113,Metrik!$C$2:$Y$959,8,0)</f>
        <v>10.5</v>
      </c>
      <c r="I113" s="20">
        <f>VLOOKUP(A113,Metrik!$C$2:$Y$959,9,0)</f>
        <v>0.82</v>
      </c>
      <c r="J113" s="20">
        <f>VLOOKUP(A113,Metrik!$C$2:$Y$959,10,0)</f>
        <v>7.9</v>
      </c>
      <c r="K113" s="20">
        <f>VLOOKUP(A113,Metrik!$C$2:$Y$959,11,0)</f>
        <v>5.4</v>
      </c>
      <c r="L113" s="20">
        <f>VLOOKUP(A113,Metrik!$C$2:$Y$959,12,0)</f>
        <v>0.45</v>
      </c>
      <c r="M113" s="20">
        <f>VLOOKUP(A113,Metrik!$C$2:$Y$959,19,0)</f>
        <v>17.2</v>
      </c>
      <c r="N113" s="21"/>
      <c r="O113" s="21"/>
      <c r="P113" s="21"/>
      <c r="Q113" s="21"/>
      <c r="R113" s="21"/>
      <c r="S113" s="21"/>
      <c r="T113" s="21"/>
      <c r="U113" s="22">
        <f>IFERROR(__xludf.DUMMYFUNCTION("IFERROR(GOOGLEFINANCE(A113,""closeyest""),"""")"),1450.0)</f>
        <v>1450</v>
      </c>
      <c r="V113" s="23">
        <f>IFERROR(__xludf.DUMMYFUNCTION("IFERROR(GOOGLEFINANCE(A113,""changepct""),"""")"),3.45)</f>
        <v>3.45</v>
      </c>
      <c r="W113" s="22">
        <f>IFERROR(__xludf.DUMMYFUNCTION("IFERROR(GOOGLEFINANCE(A113,""priceopen""),"""")"),1350.0)</f>
        <v>1350</v>
      </c>
      <c r="X113" s="22">
        <f>IFERROR(__xludf.DUMMYFUNCTION("IFERROR(GOOGLEFINANCE(A113,""high""),"""")"),1510.0)</f>
        <v>1510</v>
      </c>
      <c r="Y113" s="22">
        <f>IFERROR(__xludf.DUMMYFUNCTION("IFERROR(GOOGLEFINANCE(A113,""low""),"""")"),1350.0)</f>
        <v>1350</v>
      </c>
      <c r="Z113" s="22">
        <f>IFERROR(__xludf.DUMMYFUNCTION("IFERROR(GOOGLEFINANCE(A113,""volume""),"""")"),110900.0)</f>
        <v>110900</v>
      </c>
      <c r="AA113" s="24" t="str">
        <f>VLOOKUP(A113,Metrik!$C$2:$Y$959,5,0)</f>
        <v>Agricultural Products</v>
      </c>
      <c r="AB113" s="24" t="str">
        <f>VLOOKUP(A113,Metrik!$C$2:$Y$959,3,0)</f>
        <v>Consumer Non-Cyclicals</v>
      </c>
    </row>
    <row r="114">
      <c r="A114" s="14" t="s">
        <v>105</v>
      </c>
      <c r="B114" s="14" t="str">
        <f t="array" ref="B114">VLOOKUP(A114,{Metrik!$C$2:$C$998,Metrik!$B$2:$B$998},2,0)</f>
        <v>Aneka Tambang Tbk.</v>
      </c>
      <c r="C114" s="15">
        <f>IFERROR(__xludf.DUMMYFUNCTION("GOOGLEFINANCE(""IDX:""&amp;A114,""price"")"),2850.0)</f>
        <v>2850</v>
      </c>
      <c r="D114" s="16" t="str">
        <f>IFERROR(__xludf.DUMMYFUNCTION("IF(A114="""","""",
SPARKLINE(
INDEX(
GOOGLEFINANCE(""IDX:""&amp;A114,""close"",TODAY()-365,TODAY()),
,2
),
{""linewidth"",1}
))
"),"#N/A")</f>
        <v>#N/A</v>
      </c>
      <c r="E114" s="14" t="s">
        <v>47</v>
      </c>
      <c r="F114" s="25">
        <v>46356.0</v>
      </c>
      <c r="G114" s="18">
        <f t="shared" si="1"/>
        <v>19</v>
      </c>
      <c r="H114" s="19">
        <f>VLOOKUP(A114,Metrik!$C$2:$Y$959,8,0)</f>
        <v>8.2</v>
      </c>
      <c r="I114" s="20">
        <f>VLOOKUP(A114,Metrik!$C$2:$Y$959,9,0)</f>
        <v>1.7</v>
      </c>
      <c r="J114" s="20">
        <f>VLOOKUP(A114,Metrik!$C$2:$Y$959,10,0)</f>
        <v>21</v>
      </c>
      <c r="K114" s="20">
        <f>VLOOKUP(A114,Metrik!$C$2:$Y$959,11,0)</f>
        <v>13.4</v>
      </c>
      <c r="L114" s="20">
        <f>VLOOKUP(A114,Metrik!$C$2:$Y$959,12,0)</f>
        <v>0.57</v>
      </c>
      <c r="M114" s="20">
        <f>VLOOKUP(A114,Metrik!$C$2:$Y$959,19,0)</f>
        <v>28.9</v>
      </c>
      <c r="N114" s="21"/>
      <c r="O114" s="21"/>
      <c r="P114" s="21"/>
      <c r="Q114" s="21"/>
      <c r="R114" s="21"/>
      <c r="S114" s="21"/>
      <c r="T114" s="21"/>
      <c r="U114" s="22">
        <f>IFERROR(__xludf.DUMMYFUNCTION("IFERROR(GOOGLEFINANCE(A114,""closeyest""),"""")"),2720.0)</f>
        <v>2720</v>
      </c>
      <c r="V114" s="23">
        <f>IFERROR(__xludf.DUMMYFUNCTION("IFERROR(GOOGLEFINANCE(A114,""changepct""),"""")"),4.78)</f>
        <v>4.78</v>
      </c>
      <c r="W114" s="22">
        <f>IFERROR(__xludf.DUMMYFUNCTION("IFERROR(GOOGLEFINANCE(A114,""priceopen""),"""")"),2800.0)</f>
        <v>2800</v>
      </c>
      <c r="X114" s="22">
        <f>IFERROR(__xludf.DUMMYFUNCTION("IFERROR(GOOGLEFINANCE(A114,""high""),"""")"),2910.0)</f>
        <v>2910</v>
      </c>
      <c r="Y114" s="22">
        <f>IFERROR(__xludf.DUMMYFUNCTION("IFERROR(GOOGLEFINANCE(A114,""low""),"""")"),2760.0)</f>
        <v>2760</v>
      </c>
      <c r="Z114" s="22">
        <f>IFERROR(__xludf.DUMMYFUNCTION("IFERROR(GOOGLEFINANCE(A114,""volume""),"""")"),1.748085E8)</f>
        <v>174808500</v>
      </c>
      <c r="AA114" s="24" t="str">
        <f>VLOOKUP(A114,Metrik!$C$2:$Y$959,5,0)</f>
        <v>Metals &amp; Minerals</v>
      </c>
      <c r="AB114" s="24" t="str">
        <f>VLOOKUP(A114,Metrik!$C$2:$Y$959,3,0)</f>
        <v>Basic Materials</v>
      </c>
    </row>
    <row r="115">
      <c r="A115" s="14" t="s">
        <v>105</v>
      </c>
      <c r="B115" s="14" t="str">
        <f t="array" ref="B115">VLOOKUP(A115,{Metrik!$C$2:$C$998,Metrik!$B$2:$B$998},2,0)</f>
        <v>Aneka Tambang Tbk.</v>
      </c>
      <c r="C115" s="15">
        <f>IFERROR(__xludf.DUMMYFUNCTION("GOOGLEFINANCE(""IDX:""&amp;A115,""price"")"),2850.0)</f>
        <v>2850</v>
      </c>
      <c r="D115" s="16" t="str">
        <f>IFERROR(__xludf.DUMMYFUNCTION("IF(A115="""","""",
SPARKLINE(
INDEX(
GOOGLEFINANCE(""IDX:""&amp;A115,""close"",TODAY()-365,TODAY()),
,2
),
{""linewidth"",1}
))
"),"#N/A")</f>
        <v>#N/A</v>
      </c>
      <c r="E115" s="14" t="s">
        <v>48</v>
      </c>
      <c r="F115" s="14" t="s">
        <v>49</v>
      </c>
      <c r="G115" s="18">
        <f t="shared" si="1"/>
        <v>19</v>
      </c>
      <c r="H115" s="19">
        <f>VLOOKUP(A115,Metrik!$C$2:$Y$959,8,0)</f>
        <v>8.2</v>
      </c>
      <c r="I115" s="20">
        <f>VLOOKUP(A115,Metrik!$C$2:$Y$959,9,0)</f>
        <v>1.7</v>
      </c>
      <c r="J115" s="20">
        <f>VLOOKUP(A115,Metrik!$C$2:$Y$959,10,0)</f>
        <v>21</v>
      </c>
      <c r="K115" s="20">
        <f>VLOOKUP(A115,Metrik!$C$2:$Y$959,11,0)</f>
        <v>13.4</v>
      </c>
      <c r="L115" s="20">
        <f>VLOOKUP(A115,Metrik!$C$2:$Y$959,12,0)</f>
        <v>0.57</v>
      </c>
      <c r="M115" s="20">
        <f>VLOOKUP(A115,Metrik!$C$2:$Y$959,19,0)</f>
        <v>28.9</v>
      </c>
      <c r="N115" s="21"/>
      <c r="O115" s="21"/>
      <c r="P115" s="21"/>
      <c r="Q115" s="21"/>
      <c r="R115" s="21"/>
      <c r="S115" s="21"/>
      <c r="T115" s="21"/>
      <c r="U115" s="22">
        <f>IFERROR(__xludf.DUMMYFUNCTION("IFERROR(GOOGLEFINANCE(A115,""closeyest""),"""")"),2720.0)</f>
        <v>2720</v>
      </c>
      <c r="V115" s="23">
        <f>IFERROR(__xludf.DUMMYFUNCTION("IFERROR(GOOGLEFINANCE(A115,""changepct""),"""")"),4.78)</f>
        <v>4.78</v>
      </c>
      <c r="W115" s="22">
        <f>IFERROR(__xludf.DUMMYFUNCTION("IFERROR(GOOGLEFINANCE(A115,""priceopen""),"""")"),2800.0)</f>
        <v>2800</v>
      </c>
      <c r="X115" s="22">
        <f>IFERROR(__xludf.DUMMYFUNCTION("IFERROR(GOOGLEFINANCE(A115,""high""),"""")"),2910.0)</f>
        <v>2910</v>
      </c>
      <c r="Y115" s="22">
        <f>IFERROR(__xludf.DUMMYFUNCTION("IFERROR(GOOGLEFINANCE(A115,""low""),"""")"),2760.0)</f>
        <v>2760</v>
      </c>
      <c r="Z115" s="22">
        <f>IFERROR(__xludf.DUMMYFUNCTION("IFERROR(GOOGLEFINANCE(A115,""volume""),"""")"),1.748085E8)</f>
        <v>174808500</v>
      </c>
      <c r="AA115" s="24" t="str">
        <f>VLOOKUP(A115,Metrik!$C$2:$Y$959,5,0)</f>
        <v>Metals &amp; Minerals</v>
      </c>
      <c r="AB115" s="24" t="str">
        <f>VLOOKUP(A115,Metrik!$C$2:$Y$959,3,0)</f>
        <v>Basic Materials</v>
      </c>
    </row>
    <row r="116">
      <c r="A116" s="14" t="s">
        <v>105</v>
      </c>
      <c r="B116" s="14" t="str">
        <f t="array" ref="B116">VLOOKUP(A116,{Metrik!$C$2:$C$998,Metrik!$B$2:$B$998},2,0)</f>
        <v>Aneka Tambang Tbk.</v>
      </c>
      <c r="C116" s="15">
        <f>IFERROR(__xludf.DUMMYFUNCTION("GOOGLEFINANCE(""IDX:""&amp;A116,""price"")"),2850.0)</f>
        <v>2850</v>
      </c>
      <c r="D116" s="16" t="str">
        <f>IFERROR(__xludf.DUMMYFUNCTION("IF(A116="""","""",
SPARKLINE(
INDEX(
GOOGLEFINANCE(""IDX:""&amp;A116,""close"",TODAY()-365,TODAY()),
,2
),
{""linewidth"",1}
))
"),"#N/A")</f>
        <v>#N/A</v>
      </c>
      <c r="E116" s="14" t="s">
        <v>28</v>
      </c>
      <c r="F116" s="17" t="s">
        <v>29</v>
      </c>
      <c r="G116" s="18">
        <f t="shared" si="1"/>
        <v>19</v>
      </c>
      <c r="H116" s="19">
        <f>VLOOKUP(A116,Metrik!$C$2:$Y$959,8,0)</f>
        <v>8.2</v>
      </c>
      <c r="I116" s="20">
        <f>VLOOKUP(A116,Metrik!$C$2:$Y$959,9,0)</f>
        <v>1.7</v>
      </c>
      <c r="J116" s="20">
        <f>VLOOKUP(A116,Metrik!$C$2:$Y$959,10,0)</f>
        <v>21</v>
      </c>
      <c r="K116" s="20">
        <f>VLOOKUP(A116,Metrik!$C$2:$Y$959,11,0)</f>
        <v>13.4</v>
      </c>
      <c r="L116" s="20">
        <f>VLOOKUP(A116,Metrik!$C$2:$Y$959,12,0)</f>
        <v>0.57</v>
      </c>
      <c r="M116" s="20">
        <f>VLOOKUP(A116,Metrik!$C$2:$Y$959,19,0)</f>
        <v>28.9</v>
      </c>
      <c r="N116" s="21"/>
      <c r="O116" s="21"/>
      <c r="P116" s="21"/>
      <c r="Q116" s="21"/>
      <c r="R116" s="21"/>
      <c r="S116" s="21"/>
      <c r="T116" s="21"/>
      <c r="U116" s="22">
        <f>IFERROR(__xludf.DUMMYFUNCTION("IFERROR(GOOGLEFINANCE(A116,""closeyest""),"""")"),2720.0)</f>
        <v>2720</v>
      </c>
      <c r="V116" s="23">
        <f>IFERROR(__xludf.DUMMYFUNCTION("IFERROR(GOOGLEFINANCE(A116,""changepct""),"""")"),4.78)</f>
        <v>4.78</v>
      </c>
      <c r="W116" s="22">
        <f>IFERROR(__xludf.DUMMYFUNCTION("IFERROR(GOOGLEFINANCE(A116,""priceopen""),"""")"),2800.0)</f>
        <v>2800</v>
      </c>
      <c r="X116" s="22">
        <f>IFERROR(__xludf.DUMMYFUNCTION("IFERROR(GOOGLEFINANCE(A116,""high""),"""")"),2910.0)</f>
        <v>2910</v>
      </c>
      <c r="Y116" s="22">
        <f>IFERROR(__xludf.DUMMYFUNCTION("IFERROR(GOOGLEFINANCE(A116,""low""),"""")"),2760.0)</f>
        <v>2760</v>
      </c>
      <c r="Z116" s="22">
        <f>IFERROR(__xludf.DUMMYFUNCTION("IFERROR(GOOGLEFINANCE(A116,""volume""),"""")"),1.748085E8)</f>
        <v>174808500</v>
      </c>
      <c r="AA116" s="24" t="str">
        <f>VLOOKUP(A116,Metrik!$C$2:$Y$959,5,0)</f>
        <v>Metals &amp; Minerals</v>
      </c>
      <c r="AB116" s="24" t="str">
        <f>VLOOKUP(A116,Metrik!$C$2:$Y$959,3,0)</f>
        <v>Basic Materials</v>
      </c>
    </row>
    <row r="117">
      <c r="A117" s="14" t="s">
        <v>105</v>
      </c>
      <c r="B117" s="14" t="str">
        <f t="array" ref="B117">VLOOKUP(A117,{Metrik!$C$2:$C$998,Metrik!$B$2:$B$998},2,0)</f>
        <v>Aneka Tambang Tbk.</v>
      </c>
      <c r="C117" s="15">
        <f>IFERROR(__xludf.DUMMYFUNCTION("GOOGLEFINANCE(""IDX:""&amp;A117,""price"")"),2850.0)</f>
        <v>2850</v>
      </c>
      <c r="D117" s="16" t="str">
        <f>IFERROR(__xludf.DUMMYFUNCTION("IF(A117="""","""",
SPARKLINE(
INDEX(
GOOGLEFINANCE(""IDX:""&amp;A117,""close"",TODAY()-365,TODAY()),
,2
),
{""linewidth"",1}
))
"),"#N/A")</f>
        <v>#N/A</v>
      </c>
      <c r="E117" s="14" t="s">
        <v>67</v>
      </c>
      <c r="F117" s="17" t="s">
        <v>51</v>
      </c>
      <c r="G117" s="18">
        <f t="shared" si="1"/>
        <v>19</v>
      </c>
      <c r="H117" s="19">
        <f>VLOOKUP(A117,Metrik!$C$2:$Y$959,8,0)</f>
        <v>8.2</v>
      </c>
      <c r="I117" s="20">
        <f>VLOOKUP(A117,Metrik!$C$2:$Y$959,9,0)</f>
        <v>1.7</v>
      </c>
      <c r="J117" s="20">
        <f>VLOOKUP(A117,Metrik!$C$2:$Y$959,10,0)</f>
        <v>21</v>
      </c>
      <c r="K117" s="20">
        <f>VLOOKUP(A117,Metrik!$C$2:$Y$959,11,0)</f>
        <v>13.4</v>
      </c>
      <c r="L117" s="20">
        <f>VLOOKUP(A117,Metrik!$C$2:$Y$959,12,0)</f>
        <v>0.57</v>
      </c>
      <c r="M117" s="20">
        <f>VLOOKUP(A117,Metrik!$C$2:$Y$959,19,0)</f>
        <v>28.9</v>
      </c>
      <c r="N117" s="21"/>
      <c r="O117" s="21"/>
      <c r="P117" s="21"/>
      <c r="Q117" s="21"/>
      <c r="R117" s="21"/>
      <c r="S117" s="21"/>
      <c r="T117" s="21"/>
      <c r="U117" s="22">
        <f>IFERROR(__xludf.DUMMYFUNCTION("IFERROR(GOOGLEFINANCE(A117,""closeyest""),"""")"),2720.0)</f>
        <v>2720</v>
      </c>
      <c r="V117" s="23">
        <f>IFERROR(__xludf.DUMMYFUNCTION("IFERROR(GOOGLEFINANCE(A117,""changepct""),"""")"),4.78)</f>
        <v>4.78</v>
      </c>
      <c r="W117" s="22">
        <f>IFERROR(__xludf.DUMMYFUNCTION("IFERROR(GOOGLEFINANCE(A117,""priceopen""),"""")"),2800.0)</f>
        <v>2800</v>
      </c>
      <c r="X117" s="22">
        <f>IFERROR(__xludf.DUMMYFUNCTION("IFERROR(GOOGLEFINANCE(A117,""high""),"""")"),2910.0)</f>
        <v>2910</v>
      </c>
      <c r="Y117" s="22">
        <f>IFERROR(__xludf.DUMMYFUNCTION("IFERROR(GOOGLEFINANCE(A117,""low""),"""")"),2760.0)</f>
        <v>2760</v>
      </c>
      <c r="Z117" s="22">
        <f>IFERROR(__xludf.DUMMYFUNCTION("IFERROR(GOOGLEFINANCE(A117,""volume""),"""")"),1.748085E8)</f>
        <v>174808500</v>
      </c>
      <c r="AA117" s="24" t="str">
        <f>VLOOKUP(A117,Metrik!$C$2:$Y$959,5,0)</f>
        <v>Metals &amp; Minerals</v>
      </c>
      <c r="AB117" s="24" t="str">
        <f>VLOOKUP(A117,Metrik!$C$2:$Y$959,3,0)</f>
        <v>Basic Materials</v>
      </c>
    </row>
    <row r="118">
      <c r="A118" s="14" t="s">
        <v>105</v>
      </c>
      <c r="B118" s="14" t="str">
        <f t="array" ref="B118">VLOOKUP(A118,{Metrik!$C$2:$C$998,Metrik!$B$2:$B$998},2,0)</f>
        <v>Aneka Tambang Tbk.</v>
      </c>
      <c r="C118" s="15">
        <f>IFERROR(__xludf.DUMMYFUNCTION("GOOGLEFINANCE(""IDX:""&amp;A118,""price"")"),2850.0)</f>
        <v>2850</v>
      </c>
      <c r="D118" s="16" t="str">
        <f>IFERROR(__xludf.DUMMYFUNCTION("IF(A118="""","""",
SPARKLINE(
INDEX(
GOOGLEFINANCE(""IDX:""&amp;A118,""close"",TODAY()-365,TODAY()),
,2
),
{""linewidth"",1}
))
"),"#N/A")</f>
        <v>#N/A</v>
      </c>
      <c r="E118" s="14" t="s">
        <v>84</v>
      </c>
      <c r="F118" s="17" t="s">
        <v>51</v>
      </c>
      <c r="G118" s="18">
        <f t="shared" si="1"/>
        <v>19</v>
      </c>
      <c r="H118" s="19">
        <f>VLOOKUP(A118,Metrik!$C$2:$Y$959,8,0)</f>
        <v>8.2</v>
      </c>
      <c r="I118" s="20">
        <f>VLOOKUP(A118,Metrik!$C$2:$Y$959,9,0)</f>
        <v>1.7</v>
      </c>
      <c r="J118" s="20">
        <f>VLOOKUP(A118,Metrik!$C$2:$Y$959,10,0)</f>
        <v>21</v>
      </c>
      <c r="K118" s="20">
        <f>VLOOKUP(A118,Metrik!$C$2:$Y$959,11,0)</f>
        <v>13.4</v>
      </c>
      <c r="L118" s="20">
        <f>VLOOKUP(A118,Metrik!$C$2:$Y$959,12,0)</f>
        <v>0.57</v>
      </c>
      <c r="M118" s="20">
        <f>VLOOKUP(A118,Metrik!$C$2:$Y$959,19,0)</f>
        <v>28.9</v>
      </c>
      <c r="N118" s="21"/>
      <c r="O118" s="21"/>
      <c r="P118" s="21"/>
      <c r="Q118" s="21"/>
      <c r="R118" s="21"/>
      <c r="S118" s="21"/>
      <c r="T118" s="21"/>
      <c r="U118" s="22">
        <f>IFERROR(__xludf.DUMMYFUNCTION("IFERROR(GOOGLEFINANCE(A118,""closeyest""),"""")"),2720.0)</f>
        <v>2720</v>
      </c>
      <c r="V118" s="23">
        <f>IFERROR(__xludf.DUMMYFUNCTION("IFERROR(GOOGLEFINANCE(A118,""changepct""),"""")"),4.78)</f>
        <v>4.78</v>
      </c>
      <c r="W118" s="22">
        <f>IFERROR(__xludf.DUMMYFUNCTION("IFERROR(GOOGLEFINANCE(A118,""priceopen""),"""")"),2800.0)</f>
        <v>2800</v>
      </c>
      <c r="X118" s="22">
        <f>IFERROR(__xludf.DUMMYFUNCTION("IFERROR(GOOGLEFINANCE(A118,""high""),"""")"),2910.0)</f>
        <v>2910</v>
      </c>
      <c r="Y118" s="22">
        <f>IFERROR(__xludf.DUMMYFUNCTION("IFERROR(GOOGLEFINANCE(A118,""low""),"""")"),2760.0)</f>
        <v>2760</v>
      </c>
      <c r="Z118" s="22">
        <f>IFERROR(__xludf.DUMMYFUNCTION("IFERROR(GOOGLEFINANCE(A118,""volume""),"""")"),1.748085E8)</f>
        <v>174808500</v>
      </c>
      <c r="AA118" s="24" t="str">
        <f>VLOOKUP(A118,Metrik!$C$2:$Y$959,5,0)</f>
        <v>Metals &amp; Minerals</v>
      </c>
      <c r="AB118" s="24" t="str">
        <f>VLOOKUP(A118,Metrik!$C$2:$Y$959,3,0)</f>
        <v>Basic Materials</v>
      </c>
    </row>
    <row r="119">
      <c r="A119" s="14" t="s">
        <v>105</v>
      </c>
      <c r="B119" s="14" t="str">
        <f t="array" ref="B119">VLOOKUP(A119,{Metrik!$C$2:$C$998,Metrik!$B$2:$B$998},2,0)</f>
        <v>Aneka Tambang Tbk.</v>
      </c>
      <c r="C119" s="15">
        <f>IFERROR(__xludf.DUMMYFUNCTION("GOOGLEFINANCE(""IDX:""&amp;A119,""price"")"),2850.0)</f>
        <v>2850</v>
      </c>
      <c r="D119" s="16" t="str">
        <f>IFERROR(__xludf.DUMMYFUNCTION("IF(A119="""","""",
SPARKLINE(
INDEX(
GOOGLEFINANCE(""IDX:""&amp;A119,""close"",TODAY()-365,TODAY()),
,2
),
{""linewidth"",1}
))
"),"#N/A")</f>
        <v>#N/A</v>
      </c>
      <c r="E119" s="14" t="s">
        <v>30</v>
      </c>
      <c r="F119" s="17" t="s">
        <v>29</v>
      </c>
      <c r="G119" s="18">
        <f t="shared" si="1"/>
        <v>19</v>
      </c>
      <c r="H119" s="19">
        <f>VLOOKUP(A119,Metrik!$C$2:$Y$959,8,0)</f>
        <v>8.2</v>
      </c>
      <c r="I119" s="20">
        <f>VLOOKUP(A119,Metrik!$C$2:$Y$959,9,0)</f>
        <v>1.7</v>
      </c>
      <c r="J119" s="20">
        <f>VLOOKUP(A119,Metrik!$C$2:$Y$959,10,0)</f>
        <v>21</v>
      </c>
      <c r="K119" s="20">
        <f>VLOOKUP(A119,Metrik!$C$2:$Y$959,11,0)</f>
        <v>13.4</v>
      </c>
      <c r="L119" s="20">
        <f>VLOOKUP(A119,Metrik!$C$2:$Y$959,12,0)</f>
        <v>0.57</v>
      </c>
      <c r="M119" s="20">
        <f>VLOOKUP(A119,Metrik!$C$2:$Y$959,19,0)</f>
        <v>28.9</v>
      </c>
      <c r="N119" s="21"/>
      <c r="O119" s="21"/>
      <c r="P119" s="21"/>
      <c r="Q119" s="21"/>
      <c r="R119" s="21"/>
      <c r="S119" s="21"/>
      <c r="T119" s="21"/>
      <c r="U119" s="22">
        <f>IFERROR(__xludf.DUMMYFUNCTION("IFERROR(GOOGLEFINANCE(A119,""closeyest""),"""")"),2720.0)</f>
        <v>2720</v>
      </c>
      <c r="V119" s="23">
        <f>IFERROR(__xludf.DUMMYFUNCTION("IFERROR(GOOGLEFINANCE(A119,""changepct""),"""")"),4.78)</f>
        <v>4.78</v>
      </c>
      <c r="W119" s="22">
        <f>IFERROR(__xludf.DUMMYFUNCTION("IFERROR(GOOGLEFINANCE(A119,""priceopen""),"""")"),2800.0)</f>
        <v>2800</v>
      </c>
      <c r="X119" s="22">
        <f>IFERROR(__xludf.DUMMYFUNCTION("IFERROR(GOOGLEFINANCE(A119,""high""),"""")"),2910.0)</f>
        <v>2910</v>
      </c>
      <c r="Y119" s="22">
        <f>IFERROR(__xludf.DUMMYFUNCTION("IFERROR(GOOGLEFINANCE(A119,""low""),"""")"),2760.0)</f>
        <v>2760</v>
      </c>
      <c r="Z119" s="22">
        <f>IFERROR(__xludf.DUMMYFUNCTION("IFERROR(GOOGLEFINANCE(A119,""volume""),"""")"),1.748085E8)</f>
        <v>174808500</v>
      </c>
      <c r="AA119" s="24" t="str">
        <f>VLOOKUP(A119,Metrik!$C$2:$Y$959,5,0)</f>
        <v>Metals &amp; Minerals</v>
      </c>
      <c r="AB119" s="24" t="str">
        <f>VLOOKUP(A119,Metrik!$C$2:$Y$959,3,0)</f>
        <v>Basic Materials</v>
      </c>
    </row>
    <row r="120">
      <c r="A120" s="14" t="s">
        <v>105</v>
      </c>
      <c r="B120" s="14" t="str">
        <f t="array" ref="B120">VLOOKUP(A120,{Metrik!$C$2:$C$998,Metrik!$B$2:$B$998},2,0)</f>
        <v>Aneka Tambang Tbk.</v>
      </c>
      <c r="C120" s="15">
        <f>IFERROR(__xludf.DUMMYFUNCTION("GOOGLEFINANCE(""IDX:""&amp;A120,""price"")"),2850.0)</f>
        <v>2850</v>
      </c>
      <c r="D120" s="16" t="str">
        <f>IFERROR(__xludf.DUMMYFUNCTION("IF(A120="""","""",
SPARKLINE(
INDEX(
GOOGLEFINANCE(""IDX:""&amp;A120,""close"",TODAY()-365,TODAY()),
,2
),
{""linewidth"",1}
))
"),"#N/A")</f>
        <v>#N/A</v>
      </c>
      <c r="E120" s="14" t="s">
        <v>31</v>
      </c>
      <c r="F120" s="17" t="s">
        <v>29</v>
      </c>
      <c r="G120" s="18">
        <f t="shared" si="1"/>
        <v>19</v>
      </c>
      <c r="H120" s="19">
        <f>VLOOKUP(A120,Metrik!$C$2:$Y$959,8,0)</f>
        <v>8.2</v>
      </c>
      <c r="I120" s="20">
        <f>VLOOKUP(A120,Metrik!$C$2:$Y$959,9,0)</f>
        <v>1.7</v>
      </c>
      <c r="J120" s="20">
        <f>VLOOKUP(A120,Metrik!$C$2:$Y$959,10,0)</f>
        <v>21</v>
      </c>
      <c r="K120" s="20">
        <f>VLOOKUP(A120,Metrik!$C$2:$Y$959,11,0)</f>
        <v>13.4</v>
      </c>
      <c r="L120" s="20">
        <f>VLOOKUP(A120,Metrik!$C$2:$Y$959,12,0)</f>
        <v>0.57</v>
      </c>
      <c r="M120" s="20">
        <f>VLOOKUP(A120,Metrik!$C$2:$Y$959,19,0)</f>
        <v>28.9</v>
      </c>
      <c r="N120" s="21"/>
      <c r="O120" s="21"/>
      <c r="P120" s="21"/>
      <c r="Q120" s="21"/>
      <c r="R120" s="21"/>
      <c r="S120" s="21"/>
      <c r="T120" s="21"/>
      <c r="U120" s="22">
        <f>IFERROR(__xludf.DUMMYFUNCTION("IFERROR(GOOGLEFINANCE(A120,""closeyest""),"""")"),2720.0)</f>
        <v>2720</v>
      </c>
      <c r="V120" s="23">
        <f>IFERROR(__xludf.DUMMYFUNCTION("IFERROR(GOOGLEFINANCE(A120,""changepct""),"""")"),4.78)</f>
        <v>4.78</v>
      </c>
      <c r="W120" s="22">
        <f>IFERROR(__xludf.DUMMYFUNCTION("IFERROR(GOOGLEFINANCE(A120,""priceopen""),"""")"),2800.0)</f>
        <v>2800</v>
      </c>
      <c r="X120" s="22">
        <f>IFERROR(__xludf.DUMMYFUNCTION("IFERROR(GOOGLEFINANCE(A120,""high""),"""")"),2910.0)</f>
        <v>2910</v>
      </c>
      <c r="Y120" s="22">
        <f>IFERROR(__xludf.DUMMYFUNCTION("IFERROR(GOOGLEFINANCE(A120,""low""),"""")"),2760.0)</f>
        <v>2760</v>
      </c>
      <c r="Z120" s="22">
        <f>IFERROR(__xludf.DUMMYFUNCTION("IFERROR(GOOGLEFINANCE(A120,""volume""),"""")"),1.748085E8)</f>
        <v>174808500</v>
      </c>
      <c r="AA120" s="24" t="str">
        <f>VLOOKUP(A120,Metrik!$C$2:$Y$959,5,0)</f>
        <v>Metals &amp; Minerals</v>
      </c>
      <c r="AB120" s="24" t="str">
        <f>VLOOKUP(A120,Metrik!$C$2:$Y$959,3,0)</f>
        <v>Basic Materials</v>
      </c>
    </row>
    <row r="121">
      <c r="A121" s="14" t="s">
        <v>105</v>
      </c>
      <c r="B121" s="14" t="str">
        <f t="array" ref="B121">VLOOKUP(A121,{Metrik!$C$2:$C$998,Metrik!$B$2:$B$998},2,0)</f>
        <v>Aneka Tambang Tbk.</v>
      </c>
      <c r="C121" s="15">
        <f>IFERROR(__xludf.DUMMYFUNCTION("GOOGLEFINANCE(""IDX:""&amp;A121,""price"")"),2850.0)</f>
        <v>2850</v>
      </c>
      <c r="D121" s="16" t="str">
        <f>IFERROR(__xludf.DUMMYFUNCTION("IF(A121="""","""",
SPARKLINE(
INDEX(
GOOGLEFINANCE(""IDX:""&amp;A121,""close"",TODAY()-365,TODAY()),
,2
),
{""linewidth"",1}
))
"),"#N/A")</f>
        <v>#N/A</v>
      </c>
      <c r="E121" s="14" t="s">
        <v>52</v>
      </c>
      <c r="F121" s="27" t="s">
        <v>53</v>
      </c>
      <c r="G121" s="18">
        <f t="shared" si="1"/>
        <v>19</v>
      </c>
      <c r="H121" s="19">
        <f>VLOOKUP(A121,Metrik!$C$2:$Y$959,8,0)</f>
        <v>8.2</v>
      </c>
      <c r="I121" s="20">
        <f>VLOOKUP(A121,Metrik!$C$2:$Y$959,9,0)</f>
        <v>1.7</v>
      </c>
      <c r="J121" s="20">
        <f>VLOOKUP(A121,Metrik!$C$2:$Y$959,10,0)</f>
        <v>21</v>
      </c>
      <c r="K121" s="20">
        <f>VLOOKUP(A121,Metrik!$C$2:$Y$959,11,0)</f>
        <v>13.4</v>
      </c>
      <c r="L121" s="20">
        <f>VLOOKUP(A121,Metrik!$C$2:$Y$959,12,0)</f>
        <v>0.57</v>
      </c>
      <c r="M121" s="20">
        <f>VLOOKUP(A121,Metrik!$C$2:$Y$959,19,0)</f>
        <v>28.9</v>
      </c>
      <c r="N121" s="21"/>
      <c r="O121" s="21"/>
      <c r="P121" s="21"/>
      <c r="Q121" s="21"/>
      <c r="R121" s="21"/>
      <c r="S121" s="21"/>
      <c r="T121" s="21"/>
      <c r="U121" s="22">
        <f>IFERROR(__xludf.DUMMYFUNCTION("IFERROR(GOOGLEFINANCE(A121,""closeyest""),"""")"),2720.0)</f>
        <v>2720</v>
      </c>
      <c r="V121" s="23">
        <f>IFERROR(__xludf.DUMMYFUNCTION("IFERROR(GOOGLEFINANCE(A121,""changepct""),"""")"),4.78)</f>
        <v>4.78</v>
      </c>
      <c r="W121" s="22">
        <f>IFERROR(__xludf.DUMMYFUNCTION("IFERROR(GOOGLEFINANCE(A121,""priceopen""),"""")"),2800.0)</f>
        <v>2800</v>
      </c>
      <c r="X121" s="22">
        <f>IFERROR(__xludf.DUMMYFUNCTION("IFERROR(GOOGLEFINANCE(A121,""high""),"""")"),2910.0)</f>
        <v>2910</v>
      </c>
      <c r="Y121" s="22">
        <f>IFERROR(__xludf.DUMMYFUNCTION("IFERROR(GOOGLEFINANCE(A121,""low""),"""")"),2760.0)</f>
        <v>2760</v>
      </c>
      <c r="Z121" s="22">
        <f>IFERROR(__xludf.DUMMYFUNCTION("IFERROR(GOOGLEFINANCE(A121,""volume""),"""")"),1.748085E8)</f>
        <v>174808500</v>
      </c>
      <c r="AA121" s="24" t="str">
        <f>VLOOKUP(A121,Metrik!$C$2:$Y$959,5,0)</f>
        <v>Metals &amp; Minerals</v>
      </c>
      <c r="AB121" s="24" t="str">
        <f>VLOOKUP(A121,Metrik!$C$2:$Y$959,3,0)</f>
        <v>Basic Materials</v>
      </c>
    </row>
    <row r="122">
      <c r="A122" s="14" t="s">
        <v>105</v>
      </c>
      <c r="B122" s="14" t="str">
        <f t="array" ref="B122">VLOOKUP(A122,{Metrik!$C$2:$C$998,Metrik!$B$2:$B$998},2,0)</f>
        <v>Aneka Tambang Tbk.</v>
      </c>
      <c r="C122" s="15">
        <f>IFERROR(__xludf.DUMMYFUNCTION("GOOGLEFINANCE(""IDX:""&amp;A122,""price"")"),2850.0)</f>
        <v>2850</v>
      </c>
      <c r="D122" s="16" t="str">
        <f>IFERROR(__xludf.DUMMYFUNCTION("IF(A122="""","""",
SPARKLINE(
INDEX(
GOOGLEFINANCE(""IDX:""&amp;A122,""close"",TODAY()-365,TODAY()),
,2
),
{""linewidth"",1}
))
"),"#N/A")</f>
        <v>#N/A</v>
      </c>
      <c r="E122" s="14" t="s">
        <v>102</v>
      </c>
      <c r="F122" s="27" t="s">
        <v>53</v>
      </c>
      <c r="G122" s="18">
        <f t="shared" si="1"/>
        <v>19</v>
      </c>
      <c r="H122" s="19">
        <f>VLOOKUP(A122,Metrik!$C$2:$Y$959,8,0)</f>
        <v>8.2</v>
      </c>
      <c r="I122" s="20">
        <f>VLOOKUP(A122,Metrik!$C$2:$Y$959,9,0)</f>
        <v>1.7</v>
      </c>
      <c r="J122" s="20">
        <f>VLOOKUP(A122,Metrik!$C$2:$Y$959,10,0)</f>
        <v>21</v>
      </c>
      <c r="K122" s="20">
        <f>VLOOKUP(A122,Metrik!$C$2:$Y$959,11,0)</f>
        <v>13.4</v>
      </c>
      <c r="L122" s="20">
        <f>VLOOKUP(A122,Metrik!$C$2:$Y$959,12,0)</f>
        <v>0.57</v>
      </c>
      <c r="M122" s="20">
        <f>VLOOKUP(A122,Metrik!$C$2:$Y$959,19,0)</f>
        <v>28.9</v>
      </c>
      <c r="N122" s="21"/>
      <c r="O122" s="21"/>
      <c r="P122" s="21"/>
      <c r="Q122" s="21"/>
      <c r="R122" s="21"/>
      <c r="S122" s="21"/>
      <c r="T122" s="21"/>
      <c r="U122" s="22">
        <f>IFERROR(__xludf.DUMMYFUNCTION("IFERROR(GOOGLEFINANCE(A122,""closeyest""),"""")"),2720.0)</f>
        <v>2720</v>
      </c>
      <c r="V122" s="23">
        <f>IFERROR(__xludf.DUMMYFUNCTION("IFERROR(GOOGLEFINANCE(A122,""changepct""),"""")"),4.78)</f>
        <v>4.78</v>
      </c>
      <c r="W122" s="22">
        <f>IFERROR(__xludf.DUMMYFUNCTION("IFERROR(GOOGLEFINANCE(A122,""priceopen""),"""")"),2800.0)</f>
        <v>2800</v>
      </c>
      <c r="X122" s="22">
        <f>IFERROR(__xludf.DUMMYFUNCTION("IFERROR(GOOGLEFINANCE(A122,""high""),"""")"),2910.0)</f>
        <v>2910</v>
      </c>
      <c r="Y122" s="22">
        <f>IFERROR(__xludf.DUMMYFUNCTION("IFERROR(GOOGLEFINANCE(A122,""low""),"""")"),2760.0)</f>
        <v>2760</v>
      </c>
      <c r="Z122" s="22">
        <f>IFERROR(__xludf.DUMMYFUNCTION("IFERROR(GOOGLEFINANCE(A122,""volume""),"""")"),1.748085E8)</f>
        <v>174808500</v>
      </c>
      <c r="AA122" s="24" t="str">
        <f>VLOOKUP(A122,Metrik!$C$2:$Y$959,5,0)</f>
        <v>Metals &amp; Minerals</v>
      </c>
      <c r="AB122" s="24" t="str">
        <f>VLOOKUP(A122,Metrik!$C$2:$Y$959,3,0)</f>
        <v>Basic Materials</v>
      </c>
    </row>
    <row r="123">
      <c r="A123" s="14" t="s">
        <v>105</v>
      </c>
      <c r="B123" s="14" t="str">
        <f t="array" ref="B123">VLOOKUP(A123,{Metrik!$C$2:$C$998,Metrik!$B$2:$B$998},2,0)</f>
        <v>Aneka Tambang Tbk.</v>
      </c>
      <c r="C123" s="15">
        <f>IFERROR(__xludf.DUMMYFUNCTION("GOOGLEFINANCE(""IDX:""&amp;A123,""price"")"),2850.0)</f>
        <v>2850</v>
      </c>
      <c r="D123" s="16" t="str">
        <f>IFERROR(__xludf.DUMMYFUNCTION("IF(A123="""","""",
SPARKLINE(
INDEX(
GOOGLEFINANCE(""IDX:""&amp;A123,""close"",TODAY()-365,TODAY()),
,2
),
{""linewidth"",1}
))
"),"#N/A")</f>
        <v>#N/A</v>
      </c>
      <c r="E123" s="14" t="s">
        <v>32</v>
      </c>
      <c r="F123" s="14" t="s">
        <v>29</v>
      </c>
      <c r="G123" s="18">
        <f t="shared" si="1"/>
        <v>19</v>
      </c>
      <c r="H123" s="19">
        <f>VLOOKUP(A123,Metrik!$C$2:$Y$959,8,0)</f>
        <v>8.2</v>
      </c>
      <c r="I123" s="20">
        <f>VLOOKUP(A123,Metrik!$C$2:$Y$959,9,0)</f>
        <v>1.7</v>
      </c>
      <c r="J123" s="20">
        <f>VLOOKUP(A123,Metrik!$C$2:$Y$959,10,0)</f>
        <v>21</v>
      </c>
      <c r="K123" s="20">
        <f>VLOOKUP(A123,Metrik!$C$2:$Y$959,11,0)</f>
        <v>13.4</v>
      </c>
      <c r="L123" s="20">
        <f>VLOOKUP(A123,Metrik!$C$2:$Y$959,12,0)</f>
        <v>0.57</v>
      </c>
      <c r="M123" s="20">
        <f>VLOOKUP(A123,Metrik!$C$2:$Y$959,19,0)</f>
        <v>28.9</v>
      </c>
      <c r="N123" s="21"/>
      <c r="O123" s="21"/>
      <c r="P123" s="21"/>
      <c r="Q123" s="21"/>
      <c r="R123" s="21"/>
      <c r="S123" s="21"/>
      <c r="T123" s="21"/>
      <c r="U123" s="22">
        <f>IFERROR(__xludf.DUMMYFUNCTION("IFERROR(GOOGLEFINANCE(A123,""closeyest""),"""")"),2720.0)</f>
        <v>2720</v>
      </c>
      <c r="V123" s="23">
        <f>IFERROR(__xludf.DUMMYFUNCTION("IFERROR(GOOGLEFINANCE(A123,""changepct""),"""")"),4.78)</f>
        <v>4.78</v>
      </c>
      <c r="W123" s="22">
        <f>IFERROR(__xludf.DUMMYFUNCTION("IFERROR(GOOGLEFINANCE(A123,""priceopen""),"""")"),2800.0)</f>
        <v>2800</v>
      </c>
      <c r="X123" s="22">
        <f>IFERROR(__xludf.DUMMYFUNCTION("IFERROR(GOOGLEFINANCE(A123,""high""),"""")"),2910.0)</f>
        <v>2910</v>
      </c>
      <c r="Y123" s="22">
        <f>IFERROR(__xludf.DUMMYFUNCTION("IFERROR(GOOGLEFINANCE(A123,""low""),"""")"),2760.0)</f>
        <v>2760</v>
      </c>
      <c r="Z123" s="22">
        <f>IFERROR(__xludf.DUMMYFUNCTION("IFERROR(GOOGLEFINANCE(A123,""volume""),"""")"),1.748085E8)</f>
        <v>174808500</v>
      </c>
      <c r="AA123" s="24" t="str">
        <f>VLOOKUP(A123,Metrik!$C$2:$Y$959,5,0)</f>
        <v>Metals &amp; Minerals</v>
      </c>
      <c r="AB123" s="24" t="str">
        <f>VLOOKUP(A123,Metrik!$C$2:$Y$959,3,0)</f>
        <v>Basic Materials</v>
      </c>
    </row>
    <row r="124">
      <c r="A124" s="14" t="s">
        <v>105</v>
      </c>
      <c r="B124" s="14" t="str">
        <f t="array" ref="B124">VLOOKUP(A124,{Metrik!$C$2:$C$998,Metrik!$B$2:$B$998},2,0)</f>
        <v>Aneka Tambang Tbk.</v>
      </c>
      <c r="C124" s="15">
        <f>IFERROR(__xludf.DUMMYFUNCTION("GOOGLEFINANCE(""IDX:""&amp;A124,""price"")"),2850.0)</f>
        <v>2850</v>
      </c>
      <c r="D124" s="16" t="str">
        <f>IFERROR(__xludf.DUMMYFUNCTION("IF(A124="""","""",
SPARKLINE(
INDEX(
GOOGLEFINANCE(""IDX:""&amp;A124,""close"",TODAY()-365,TODAY()),
,2
),
{""linewidth"",1}
))
"),"#N/A")</f>
        <v>#N/A</v>
      </c>
      <c r="E124" s="14" t="s">
        <v>54</v>
      </c>
      <c r="F124" s="14" t="s">
        <v>34</v>
      </c>
      <c r="G124" s="18">
        <f t="shared" si="1"/>
        <v>19</v>
      </c>
      <c r="H124" s="19">
        <f>VLOOKUP(A124,Metrik!$C$2:$Y$959,8,0)</f>
        <v>8.2</v>
      </c>
      <c r="I124" s="20">
        <f>VLOOKUP(A124,Metrik!$C$2:$Y$959,9,0)</f>
        <v>1.7</v>
      </c>
      <c r="J124" s="20">
        <f>VLOOKUP(A124,Metrik!$C$2:$Y$959,10,0)</f>
        <v>21</v>
      </c>
      <c r="K124" s="20">
        <f>VLOOKUP(A124,Metrik!$C$2:$Y$959,11,0)</f>
        <v>13.4</v>
      </c>
      <c r="L124" s="20">
        <f>VLOOKUP(A124,Metrik!$C$2:$Y$959,12,0)</f>
        <v>0.57</v>
      </c>
      <c r="M124" s="20">
        <f>VLOOKUP(A124,Metrik!$C$2:$Y$959,19,0)</f>
        <v>28.9</v>
      </c>
      <c r="N124" s="21"/>
      <c r="O124" s="21"/>
      <c r="P124" s="21"/>
      <c r="Q124" s="21"/>
      <c r="R124" s="21"/>
      <c r="S124" s="21"/>
      <c r="T124" s="21"/>
      <c r="U124" s="22">
        <f>IFERROR(__xludf.DUMMYFUNCTION("IFERROR(GOOGLEFINANCE(A124,""closeyest""),"""")"),2720.0)</f>
        <v>2720</v>
      </c>
      <c r="V124" s="23">
        <f>IFERROR(__xludf.DUMMYFUNCTION("IFERROR(GOOGLEFINANCE(A124,""changepct""),"""")"),4.78)</f>
        <v>4.78</v>
      </c>
      <c r="W124" s="22">
        <f>IFERROR(__xludf.DUMMYFUNCTION("IFERROR(GOOGLEFINANCE(A124,""priceopen""),"""")"),2800.0)</f>
        <v>2800</v>
      </c>
      <c r="X124" s="22">
        <f>IFERROR(__xludf.DUMMYFUNCTION("IFERROR(GOOGLEFINANCE(A124,""high""),"""")"),2910.0)</f>
        <v>2910</v>
      </c>
      <c r="Y124" s="22">
        <f>IFERROR(__xludf.DUMMYFUNCTION("IFERROR(GOOGLEFINANCE(A124,""low""),"""")"),2760.0)</f>
        <v>2760</v>
      </c>
      <c r="Z124" s="22">
        <f>IFERROR(__xludf.DUMMYFUNCTION("IFERROR(GOOGLEFINANCE(A124,""volume""),"""")"),1.748085E8)</f>
        <v>174808500</v>
      </c>
      <c r="AA124" s="24" t="str">
        <f>VLOOKUP(A124,Metrik!$C$2:$Y$959,5,0)</f>
        <v>Metals &amp; Minerals</v>
      </c>
      <c r="AB124" s="24" t="str">
        <f>VLOOKUP(A124,Metrik!$C$2:$Y$959,3,0)</f>
        <v>Basic Materials</v>
      </c>
    </row>
    <row r="125">
      <c r="A125" s="14" t="s">
        <v>105</v>
      </c>
      <c r="B125" s="14" t="str">
        <f t="array" ref="B125">VLOOKUP(A125,{Metrik!$C$2:$C$998,Metrik!$B$2:$B$998},2,0)</f>
        <v>Aneka Tambang Tbk.</v>
      </c>
      <c r="C125" s="15">
        <f>IFERROR(__xludf.DUMMYFUNCTION("GOOGLEFINANCE(""IDX:""&amp;A125,""price"")"),2850.0)</f>
        <v>2850</v>
      </c>
      <c r="D125" s="16" t="str">
        <f>IFERROR(__xludf.DUMMYFUNCTION("IF(A125="""","""",
SPARKLINE(
INDEX(
GOOGLEFINANCE(""IDX:""&amp;A125,""close"",TODAY()-365,TODAY()),
,2
),
{""linewidth"",1}
))
"),"#N/A")</f>
        <v>#N/A</v>
      </c>
      <c r="E125" s="14" t="s">
        <v>61</v>
      </c>
      <c r="F125" s="14" t="s">
        <v>34</v>
      </c>
      <c r="G125" s="18">
        <f t="shared" si="1"/>
        <v>19</v>
      </c>
      <c r="H125" s="19">
        <f>VLOOKUP(A125,Metrik!$C$2:$Y$959,8,0)</f>
        <v>8.2</v>
      </c>
      <c r="I125" s="20">
        <f>VLOOKUP(A125,Metrik!$C$2:$Y$959,9,0)</f>
        <v>1.7</v>
      </c>
      <c r="J125" s="20">
        <f>VLOOKUP(A125,Metrik!$C$2:$Y$959,10,0)</f>
        <v>21</v>
      </c>
      <c r="K125" s="20">
        <f>VLOOKUP(A125,Metrik!$C$2:$Y$959,11,0)</f>
        <v>13.4</v>
      </c>
      <c r="L125" s="20">
        <f>VLOOKUP(A125,Metrik!$C$2:$Y$959,12,0)</f>
        <v>0.57</v>
      </c>
      <c r="M125" s="20">
        <f>VLOOKUP(A125,Metrik!$C$2:$Y$959,19,0)</f>
        <v>28.9</v>
      </c>
      <c r="N125" s="21"/>
      <c r="O125" s="21"/>
      <c r="P125" s="21"/>
      <c r="Q125" s="21"/>
      <c r="R125" s="21"/>
      <c r="S125" s="21"/>
      <c r="T125" s="21"/>
      <c r="U125" s="22">
        <f>IFERROR(__xludf.DUMMYFUNCTION("IFERROR(GOOGLEFINANCE(A125,""closeyest""),"""")"),2720.0)</f>
        <v>2720</v>
      </c>
      <c r="V125" s="23">
        <f>IFERROR(__xludf.DUMMYFUNCTION("IFERROR(GOOGLEFINANCE(A125,""changepct""),"""")"),4.78)</f>
        <v>4.78</v>
      </c>
      <c r="W125" s="22">
        <f>IFERROR(__xludf.DUMMYFUNCTION("IFERROR(GOOGLEFINANCE(A125,""priceopen""),"""")"),2800.0)</f>
        <v>2800</v>
      </c>
      <c r="X125" s="22">
        <f>IFERROR(__xludf.DUMMYFUNCTION("IFERROR(GOOGLEFINANCE(A125,""high""),"""")"),2910.0)</f>
        <v>2910</v>
      </c>
      <c r="Y125" s="22">
        <f>IFERROR(__xludf.DUMMYFUNCTION("IFERROR(GOOGLEFINANCE(A125,""low""),"""")"),2760.0)</f>
        <v>2760</v>
      </c>
      <c r="Z125" s="22">
        <f>IFERROR(__xludf.DUMMYFUNCTION("IFERROR(GOOGLEFINANCE(A125,""volume""),"""")"),1.748085E8)</f>
        <v>174808500</v>
      </c>
      <c r="AA125" s="24" t="str">
        <f>VLOOKUP(A125,Metrik!$C$2:$Y$959,5,0)</f>
        <v>Metals &amp; Minerals</v>
      </c>
      <c r="AB125" s="24" t="str">
        <f>VLOOKUP(A125,Metrik!$C$2:$Y$959,3,0)</f>
        <v>Basic Materials</v>
      </c>
    </row>
    <row r="126">
      <c r="A126" s="14" t="s">
        <v>105</v>
      </c>
      <c r="B126" s="14" t="str">
        <f t="array" ref="B126">VLOOKUP(A126,{Metrik!$C$2:$C$998,Metrik!$B$2:$B$998},2,0)</f>
        <v>Aneka Tambang Tbk.</v>
      </c>
      <c r="C126" s="15">
        <f>IFERROR(__xludf.DUMMYFUNCTION("GOOGLEFINANCE(""IDX:""&amp;A126,""price"")"),2850.0)</f>
        <v>2850</v>
      </c>
      <c r="D126" s="16" t="str">
        <f>IFERROR(__xludf.DUMMYFUNCTION("IF(A126="""","""",
SPARKLINE(
INDEX(
GOOGLEFINANCE(""IDX:""&amp;A126,""close"",TODAY()-365,TODAY()),
,2
),
{""linewidth"",1}
))
"),"#N/A")</f>
        <v>#N/A</v>
      </c>
      <c r="E126" s="14" t="s">
        <v>55</v>
      </c>
      <c r="F126" s="25">
        <v>46356.0</v>
      </c>
      <c r="G126" s="18">
        <f t="shared" si="1"/>
        <v>19</v>
      </c>
      <c r="H126" s="19">
        <f>VLOOKUP(A126,Metrik!$C$2:$Y$959,8,0)</f>
        <v>8.2</v>
      </c>
      <c r="I126" s="20">
        <f>VLOOKUP(A126,Metrik!$C$2:$Y$959,9,0)</f>
        <v>1.7</v>
      </c>
      <c r="J126" s="20">
        <f>VLOOKUP(A126,Metrik!$C$2:$Y$959,10,0)</f>
        <v>21</v>
      </c>
      <c r="K126" s="20">
        <f>VLOOKUP(A126,Metrik!$C$2:$Y$959,11,0)</f>
        <v>13.4</v>
      </c>
      <c r="L126" s="20">
        <f>VLOOKUP(A126,Metrik!$C$2:$Y$959,12,0)</f>
        <v>0.57</v>
      </c>
      <c r="M126" s="20">
        <f>VLOOKUP(A126,Metrik!$C$2:$Y$959,19,0)</f>
        <v>28.9</v>
      </c>
      <c r="N126" s="21"/>
      <c r="O126" s="21"/>
      <c r="P126" s="21"/>
      <c r="Q126" s="21"/>
      <c r="R126" s="21"/>
      <c r="S126" s="21"/>
      <c r="T126" s="21"/>
      <c r="U126" s="22">
        <f>IFERROR(__xludf.DUMMYFUNCTION("IFERROR(GOOGLEFINANCE(A126,""closeyest""),"""")"),2720.0)</f>
        <v>2720</v>
      </c>
      <c r="V126" s="23">
        <f>IFERROR(__xludf.DUMMYFUNCTION("IFERROR(GOOGLEFINANCE(A126,""changepct""),"""")"),4.78)</f>
        <v>4.78</v>
      </c>
      <c r="W126" s="22">
        <f>IFERROR(__xludf.DUMMYFUNCTION("IFERROR(GOOGLEFINANCE(A126,""priceopen""),"""")"),2800.0)</f>
        <v>2800</v>
      </c>
      <c r="X126" s="22">
        <f>IFERROR(__xludf.DUMMYFUNCTION("IFERROR(GOOGLEFINANCE(A126,""high""),"""")"),2910.0)</f>
        <v>2910</v>
      </c>
      <c r="Y126" s="22">
        <f>IFERROR(__xludf.DUMMYFUNCTION("IFERROR(GOOGLEFINANCE(A126,""low""),"""")"),2760.0)</f>
        <v>2760</v>
      </c>
      <c r="Z126" s="22">
        <f>IFERROR(__xludf.DUMMYFUNCTION("IFERROR(GOOGLEFINANCE(A126,""volume""),"""")"),1.748085E8)</f>
        <v>174808500</v>
      </c>
      <c r="AA126" s="24" t="str">
        <f>VLOOKUP(A126,Metrik!$C$2:$Y$959,5,0)</f>
        <v>Metals &amp; Minerals</v>
      </c>
      <c r="AB126" s="24" t="str">
        <f>VLOOKUP(A126,Metrik!$C$2:$Y$959,3,0)</f>
        <v>Basic Materials</v>
      </c>
    </row>
    <row r="127">
      <c r="A127" s="14" t="s">
        <v>105</v>
      </c>
      <c r="B127" s="14" t="str">
        <f t="array" ref="B127">VLOOKUP(A127,{Metrik!$C$2:$C$998,Metrik!$B$2:$B$998},2,0)</f>
        <v>Aneka Tambang Tbk.</v>
      </c>
      <c r="C127" s="15">
        <f>IFERROR(__xludf.DUMMYFUNCTION("GOOGLEFINANCE(""IDX:""&amp;A127,""price"")"),2850.0)</f>
        <v>2850</v>
      </c>
      <c r="D127" s="16" t="str">
        <f>IFERROR(__xludf.DUMMYFUNCTION("IF(A127="""","""",
SPARKLINE(
INDEX(
GOOGLEFINANCE(""IDX:""&amp;A127,""close"",TODAY()-365,TODAY()),
,2
),
{""linewidth"",1}
))
"),"#N/A")</f>
        <v>#N/A</v>
      </c>
      <c r="E127" s="14" t="s">
        <v>86</v>
      </c>
      <c r="F127" s="25">
        <v>46356.0</v>
      </c>
      <c r="G127" s="18">
        <f t="shared" si="1"/>
        <v>19</v>
      </c>
      <c r="H127" s="19">
        <f>VLOOKUP(A127,Metrik!$C$2:$Y$959,8,0)</f>
        <v>8.2</v>
      </c>
      <c r="I127" s="20">
        <f>VLOOKUP(A127,Metrik!$C$2:$Y$959,9,0)</f>
        <v>1.7</v>
      </c>
      <c r="J127" s="20">
        <f>VLOOKUP(A127,Metrik!$C$2:$Y$959,10,0)</f>
        <v>21</v>
      </c>
      <c r="K127" s="20">
        <f>VLOOKUP(A127,Metrik!$C$2:$Y$959,11,0)</f>
        <v>13.4</v>
      </c>
      <c r="L127" s="20">
        <f>VLOOKUP(A127,Metrik!$C$2:$Y$959,12,0)</f>
        <v>0.57</v>
      </c>
      <c r="M127" s="20">
        <f>VLOOKUP(A127,Metrik!$C$2:$Y$959,19,0)</f>
        <v>28.9</v>
      </c>
      <c r="N127" s="21"/>
      <c r="O127" s="21"/>
      <c r="P127" s="21"/>
      <c r="Q127" s="21"/>
      <c r="R127" s="21"/>
      <c r="S127" s="21"/>
      <c r="T127" s="21"/>
      <c r="U127" s="22">
        <f>IFERROR(__xludf.DUMMYFUNCTION("IFERROR(GOOGLEFINANCE(A127,""closeyest""),"""")"),2720.0)</f>
        <v>2720</v>
      </c>
      <c r="V127" s="23">
        <f>IFERROR(__xludf.DUMMYFUNCTION("IFERROR(GOOGLEFINANCE(A127,""changepct""),"""")"),4.78)</f>
        <v>4.78</v>
      </c>
      <c r="W127" s="22">
        <f>IFERROR(__xludf.DUMMYFUNCTION("IFERROR(GOOGLEFINANCE(A127,""priceopen""),"""")"),2800.0)</f>
        <v>2800</v>
      </c>
      <c r="X127" s="22">
        <f>IFERROR(__xludf.DUMMYFUNCTION("IFERROR(GOOGLEFINANCE(A127,""high""),"""")"),2910.0)</f>
        <v>2910</v>
      </c>
      <c r="Y127" s="22">
        <f>IFERROR(__xludf.DUMMYFUNCTION("IFERROR(GOOGLEFINANCE(A127,""low""),"""")"),2760.0)</f>
        <v>2760</v>
      </c>
      <c r="Z127" s="22">
        <f>IFERROR(__xludf.DUMMYFUNCTION("IFERROR(GOOGLEFINANCE(A127,""volume""),"""")"),1.748085E8)</f>
        <v>174808500</v>
      </c>
      <c r="AA127" s="24" t="str">
        <f>VLOOKUP(A127,Metrik!$C$2:$Y$959,5,0)</f>
        <v>Metals &amp; Minerals</v>
      </c>
      <c r="AB127" s="24" t="str">
        <f>VLOOKUP(A127,Metrik!$C$2:$Y$959,3,0)</f>
        <v>Basic Materials</v>
      </c>
    </row>
    <row r="128">
      <c r="A128" s="14" t="s">
        <v>105</v>
      </c>
      <c r="B128" s="14" t="str">
        <f t="array" ref="B128">VLOOKUP(A128,{Metrik!$C$2:$C$998,Metrik!$B$2:$B$998},2,0)</f>
        <v>Aneka Tambang Tbk.</v>
      </c>
      <c r="C128" s="15">
        <f>IFERROR(__xludf.DUMMYFUNCTION("GOOGLEFINANCE(""IDX:""&amp;A128,""price"")"),2850.0)</f>
        <v>2850</v>
      </c>
      <c r="D128" s="16" t="str">
        <f>IFERROR(__xludf.DUMMYFUNCTION("IF(A128="""","""",
SPARKLINE(
INDEX(
GOOGLEFINANCE(""IDX:""&amp;A128,""close"",TODAY()-365,TODAY()),
,2
),
{""linewidth"",1}
))
"),"#N/A")</f>
        <v>#N/A</v>
      </c>
      <c r="E128" s="14" t="s">
        <v>106</v>
      </c>
      <c r="F128" s="25">
        <v>46356.0</v>
      </c>
      <c r="G128" s="18">
        <f t="shared" si="1"/>
        <v>19</v>
      </c>
      <c r="H128" s="19">
        <f>VLOOKUP(A128,Metrik!$C$2:$Y$959,8,0)</f>
        <v>8.2</v>
      </c>
      <c r="I128" s="20">
        <f>VLOOKUP(A128,Metrik!$C$2:$Y$959,9,0)</f>
        <v>1.7</v>
      </c>
      <c r="J128" s="20">
        <f>VLOOKUP(A128,Metrik!$C$2:$Y$959,10,0)</f>
        <v>21</v>
      </c>
      <c r="K128" s="20">
        <f>VLOOKUP(A128,Metrik!$C$2:$Y$959,11,0)</f>
        <v>13.4</v>
      </c>
      <c r="L128" s="20">
        <f>VLOOKUP(A128,Metrik!$C$2:$Y$959,12,0)</f>
        <v>0.57</v>
      </c>
      <c r="M128" s="20">
        <f>VLOOKUP(A128,Metrik!$C$2:$Y$959,19,0)</f>
        <v>28.9</v>
      </c>
      <c r="N128" s="21"/>
      <c r="O128" s="21"/>
      <c r="P128" s="21"/>
      <c r="Q128" s="21"/>
      <c r="R128" s="21"/>
      <c r="S128" s="21"/>
      <c r="T128" s="21"/>
      <c r="U128" s="22">
        <f>IFERROR(__xludf.DUMMYFUNCTION("IFERROR(GOOGLEFINANCE(A128,""closeyest""),"""")"),2720.0)</f>
        <v>2720</v>
      </c>
      <c r="V128" s="23">
        <f>IFERROR(__xludf.DUMMYFUNCTION("IFERROR(GOOGLEFINANCE(A128,""changepct""),"""")"),4.78)</f>
        <v>4.78</v>
      </c>
      <c r="W128" s="22">
        <f>IFERROR(__xludf.DUMMYFUNCTION("IFERROR(GOOGLEFINANCE(A128,""priceopen""),"""")"),2800.0)</f>
        <v>2800</v>
      </c>
      <c r="X128" s="22">
        <f>IFERROR(__xludf.DUMMYFUNCTION("IFERROR(GOOGLEFINANCE(A128,""high""),"""")"),2910.0)</f>
        <v>2910</v>
      </c>
      <c r="Y128" s="22">
        <f>IFERROR(__xludf.DUMMYFUNCTION("IFERROR(GOOGLEFINANCE(A128,""low""),"""")"),2760.0)</f>
        <v>2760</v>
      </c>
      <c r="Z128" s="22">
        <f>IFERROR(__xludf.DUMMYFUNCTION("IFERROR(GOOGLEFINANCE(A128,""volume""),"""")"),1.748085E8)</f>
        <v>174808500</v>
      </c>
      <c r="AA128" s="24" t="str">
        <f>VLOOKUP(A128,Metrik!$C$2:$Y$959,5,0)</f>
        <v>Metals &amp; Minerals</v>
      </c>
      <c r="AB128" s="24" t="str">
        <f>VLOOKUP(A128,Metrik!$C$2:$Y$959,3,0)</f>
        <v>Basic Materials</v>
      </c>
    </row>
    <row r="129">
      <c r="A129" s="17" t="s">
        <v>105</v>
      </c>
      <c r="B129" s="14" t="str">
        <f t="array" ref="B129">VLOOKUP(A129,{Metrik!$C$2:$C$998,Metrik!$B$2:$B$998},2,0)</f>
        <v>Aneka Tambang Tbk.</v>
      </c>
      <c r="C129" s="15">
        <f>IFERROR(__xludf.DUMMYFUNCTION("GOOGLEFINANCE(""IDX:""&amp;A129,""price"")"),2850.0)</f>
        <v>2850</v>
      </c>
      <c r="D129" s="16" t="str">
        <f>IFERROR(__xludf.DUMMYFUNCTION("IF(A129="""","""",
SPARKLINE(
INDEX(
GOOGLEFINANCE(""IDX:""&amp;A129,""close"",TODAY()-365,TODAY()),
,2
),
{""linewidth"",1}
))
"),"#N/A")</f>
        <v>#N/A</v>
      </c>
      <c r="E129" s="14" t="s">
        <v>65</v>
      </c>
      <c r="F129" s="37">
        <v>46356.0</v>
      </c>
      <c r="G129" s="38">
        <f t="shared" si="1"/>
        <v>19</v>
      </c>
      <c r="H129" s="34">
        <f>VLOOKUP(A129,Metrik!$C$2:$Y$959,8,0)</f>
        <v>8.2</v>
      </c>
      <c r="I129" s="34">
        <f>VLOOKUP(A129,Metrik!$C$2:$Y$959,9,0)</f>
        <v>1.7</v>
      </c>
      <c r="J129" s="34">
        <f>VLOOKUP(A129,Metrik!$C$2:$Y$959,10,0)</f>
        <v>21</v>
      </c>
      <c r="K129" s="34">
        <f>VLOOKUP(A129,Metrik!$C$2:$Y$959,11,0)</f>
        <v>13.4</v>
      </c>
      <c r="L129" s="34">
        <f>VLOOKUP(A129,Metrik!$C$2:$Y$959,12,0)</f>
        <v>0.57</v>
      </c>
      <c r="M129" s="34">
        <f>VLOOKUP(A129,Metrik!$C$2:$Y$959,19,0)</f>
        <v>28.9</v>
      </c>
      <c r="N129" s="26"/>
      <c r="O129" s="26"/>
      <c r="P129" s="26"/>
      <c r="Q129" s="26"/>
      <c r="R129" s="26"/>
      <c r="S129" s="26"/>
      <c r="T129" s="26"/>
      <c r="U129" s="35">
        <f>IFERROR(__xludf.DUMMYFUNCTION("IFERROR(GOOGLEFINANCE(A129,""closeyest""),"""")"),2720.0)</f>
        <v>2720</v>
      </c>
      <c r="V129" s="36">
        <f>IFERROR(__xludf.DUMMYFUNCTION("IFERROR(GOOGLEFINANCE(A129,""changepct""),"""")"),4.78)</f>
        <v>4.78</v>
      </c>
      <c r="W129" s="35">
        <f>IFERROR(__xludf.DUMMYFUNCTION("IFERROR(GOOGLEFINANCE(A129,""priceopen""),"""")"),2800.0)</f>
        <v>2800</v>
      </c>
      <c r="X129" s="35">
        <f>IFERROR(__xludf.DUMMYFUNCTION("IFERROR(GOOGLEFINANCE(A129,""high""),"""")"),2910.0)</f>
        <v>2910</v>
      </c>
      <c r="Y129" s="35">
        <f>IFERROR(__xludf.DUMMYFUNCTION("IFERROR(GOOGLEFINANCE(A129,""low""),"""")"),2760.0)</f>
        <v>2760</v>
      </c>
      <c r="Z129" s="35">
        <f>IFERROR(__xludf.DUMMYFUNCTION("IFERROR(GOOGLEFINANCE(A129,""volume""),"""")"),1.748085E8)</f>
        <v>174808500</v>
      </c>
      <c r="AA129" s="14" t="str">
        <f>VLOOKUP(A129,Metrik!$C$2:$Y$959,5,0)</f>
        <v>Metals &amp; Minerals</v>
      </c>
      <c r="AB129" s="14" t="str">
        <f>VLOOKUP(A129,Metrik!$C$2:$Y$959,3,0)</f>
        <v>Basic Materials</v>
      </c>
    </row>
    <row r="130">
      <c r="A130" s="14" t="s">
        <v>105</v>
      </c>
      <c r="B130" s="14" t="str">
        <f t="array" ref="B130">VLOOKUP(A130,{Metrik!$C$2:$C$998,Metrik!$B$2:$B$998},2,0)</f>
        <v>Aneka Tambang Tbk.</v>
      </c>
      <c r="C130" s="15">
        <f>IFERROR(__xludf.DUMMYFUNCTION("GOOGLEFINANCE(""IDX:""&amp;A130,""price"")"),2850.0)</f>
        <v>2850</v>
      </c>
      <c r="D130" s="16" t="str">
        <f>IFERROR(__xludf.DUMMYFUNCTION("IF(A130="""","""",
SPARKLINE(
INDEX(
GOOGLEFINANCE(""IDX:""&amp;A130,""close"",TODAY()-365,TODAY()),
,2
),
{""linewidth"",1}
))
"),"#N/A")</f>
        <v>#N/A</v>
      </c>
      <c r="E130" s="14" t="s">
        <v>42</v>
      </c>
      <c r="F130" s="25">
        <v>46356.0</v>
      </c>
      <c r="G130" s="18">
        <f t="shared" si="1"/>
        <v>19</v>
      </c>
      <c r="H130" s="19">
        <f>VLOOKUP(A130,Metrik!$C$2:$Y$959,8,0)</f>
        <v>8.2</v>
      </c>
      <c r="I130" s="20">
        <f>VLOOKUP(A130,Metrik!$C$2:$Y$959,9,0)</f>
        <v>1.7</v>
      </c>
      <c r="J130" s="20">
        <f>VLOOKUP(A130,Metrik!$C$2:$Y$959,10,0)</f>
        <v>21</v>
      </c>
      <c r="K130" s="20">
        <f>VLOOKUP(A130,Metrik!$C$2:$Y$959,11,0)</f>
        <v>13.4</v>
      </c>
      <c r="L130" s="20">
        <f>VLOOKUP(A130,Metrik!$C$2:$Y$959,12,0)</f>
        <v>0.57</v>
      </c>
      <c r="M130" s="20">
        <f>VLOOKUP(A130,Metrik!$C$2:$Y$959,19,0)</f>
        <v>28.9</v>
      </c>
      <c r="N130" s="21"/>
      <c r="O130" s="21"/>
      <c r="P130" s="21"/>
      <c r="Q130" s="21"/>
      <c r="R130" s="21"/>
      <c r="S130" s="21"/>
      <c r="T130" s="21"/>
      <c r="U130" s="22">
        <f>IFERROR(__xludf.DUMMYFUNCTION("IFERROR(GOOGLEFINANCE(A130,""closeyest""),"""")"),2720.0)</f>
        <v>2720</v>
      </c>
      <c r="V130" s="23">
        <f>IFERROR(__xludf.DUMMYFUNCTION("IFERROR(GOOGLEFINANCE(A130,""changepct""),"""")"),4.78)</f>
        <v>4.78</v>
      </c>
      <c r="W130" s="22">
        <f>IFERROR(__xludf.DUMMYFUNCTION("IFERROR(GOOGLEFINANCE(A130,""priceopen""),"""")"),2800.0)</f>
        <v>2800</v>
      </c>
      <c r="X130" s="22">
        <f>IFERROR(__xludf.DUMMYFUNCTION("IFERROR(GOOGLEFINANCE(A130,""high""),"""")"),2910.0)</f>
        <v>2910</v>
      </c>
      <c r="Y130" s="22">
        <f>IFERROR(__xludf.DUMMYFUNCTION("IFERROR(GOOGLEFINANCE(A130,""low""),"""")"),2760.0)</f>
        <v>2760</v>
      </c>
      <c r="Z130" s="22">
        <f>IFERROR(__xludf.DUMMYFUNCTION("IFERROR(GOOGLEFINANCE(A130,""volume""),"""")"),1.748085E8)</f>
        <v>174808500</v>
      </c>
      <c r="AA130" s="24" t="str">
        <f>VLOOKUP(A130,Metrik!$C$2:$Y$959,5,0)</f>
        <v>Metals &amp; Minerals</v>
      </c>
      <c r="AB130" s="24" t="str">
        <f>VLOOKUP(A130,Metrik!$C$2:$Y$959,3,0)</f>
        <v>Basic Materials</v>
      </c>
    </row>
    <row r="131">
      <c r="A131" s="14" t="s">
        <v>105</v>
      </c>
      <c r="B131" s="14" t="str">
        <f t="array" ref="B131">VLOOKUP(A131,{Metrik!$C$2:$C$998,Metrik!$B$2:$B$998},2,0)</f>
        <v>Aneka Tambang Tbk.</v>
      </c>
      <c r="C131" s="15">
        <f>IFERROR(__xludf.DUMMYFUNCTION("GOOGLEFINANCE(""IDX:""&amp;A131,""price"")"),2850.0)</f>
        <v>2850</v>
      </c>
      <c r="D131" s="16" t="str">
        <f>IFERROR(__xludf.DUMMYFUNCTION("IF(A131="""","""",
SPARKLINE(
INDEX(
GOOGLEFINANCE(""IDX:""&amp;A131,""close"",TODAY()-365,TODAY()),
,2
),
{""linewidth"",1}
))
"),"#N/A")</f>
        <v>#N/A</v>
      </c>
      <c r="E131" s="14" t="s">
        <v>38</v>
      </c>
      <c r="F131" s="25">
        <v>46356.0</v>
      </c>
      <c r="G131" s="18">
        <f t="shared" si="1"/>
        <v>19</v>
      </c>
      <c r="H131" s="19">
        <f>VLOOKUP(A131,Metrik!$C$2:$Y$959,8,0)</f>
        <v>8.2</v>
      </c>
      <c r="I131" s="20">
        <f>VLOOKUP(A131,Metrik!$C$2:$Y$959,9,0)</f>
        <v>1.7</v>
      </c>
      <c r="J131" s="20">
        <f>VLOOKUP(A131,Metrik!$C$2:$Y$959,10,0)</f>
        <v>21</v>
      </c>
      <c r="K131" s="20">
        <f>VLOOKUP(A131,Metrik!$C$2:$Y$959,11,0)</f>
        <v>13.4</v>
      </c>
      <c r="L131" s="20">
        <f>VLOOKUP(A131,Metrik!$C$2:$Y$959,12,0)</f>
        <v>0.57</v>
      </c>
      <c r="M131" s="20">
        <f>VLOOKUP(A131,Metrik!$C$2:$Y$959,19,0)</f>
        <v>28.9</v>
      </c>
      <c r="N131" s="21"/>
      <c r="O131" s="21"/>
      <c r="P131" s="21"/>
      <c r="Q131" s="21"/>
      <c r="R131" s="21"/>
      <c r="S131" s="21"/>
      <c r="T131" s="21"/>
      <c r="U131" s="22">
        <f>IFERROR(__xludf.DUMMYFUNCTION("IFERROR(GOOGLEFINANCE(A131,""closeyest""),"""")"),2720.0)</f>
        <v>2720</v>
      </c>
      <c r="V131" s="23">
        <f>IFERROR(__xludf.DUMMYFUNCTION("IFERROR(GOOGLEFINANCE(A131,""changepct""),"""")"),4.78)</f>
        <v>4.78</v>
      </c>
      <c r="W131" s="22">
        <f>IFERROR(__xludf.DUMMYFUNCTION("IFERROR(GOOGLEFINANCE(A131,""priceopen""),"""")"),2800.0)</f>
        <v>2800</v>
      </c>
      <c r="X131" s="22">
        <f>IFERROR(__xludf.DUMMYFUNCTION("IFERROR(GOOGLEFINANCE(A131,""high""),"""")"),2910.0)</f>
        <v>2910</v>
      </c>
      <c r="Y131" s="22">
        <f>IFERROR(__xludf.DUMMYFUNCTION("IFERROR(GOOGLEFINANCE(A131,""low""),"""")"),2760.0)</f>
        <v>2760</v>
      </c>
      <c r="Z131" s="22">
        <f>IFERROR(__xludf.DUMMYFUNCTION("IFERROR(GOOGLEFINANCE(A131,""volume""),"""")"),1.748085E8)</f>
        <v>174808500</v>
      </c>
      <c r="AA131" s="24" t="str">
        <f>VLOOKUP(A131,Metrik!$C$2:$Y$959,5,0)</f>
        <v>Metals &amp; Minerals</v>
      </c>
      <c r="AB131" s="24" t="str">
        <f>VLOOKUP(A131,Metrik!$C$2:$Y$959,3,0)</f>
        <v>Basic Materials</v>
      </c>
    </row>
    <row r="132">
      <c r="A132" s="14" t="s">
        <v>105</v>
      </c>
      <c r="B132" s="14" t="str">
        <f t="array" ref="B132">VLOOKUP(A132,{Metrik!$C$2:$C$998,Metrik!$B$2:$B$998},2,0)</f>
        <v>Aneka Tambang Tbk.</v>
      </c>
      <c r="C132" s="15">
        <f>IFERROR(__xludf.DUMMYFUNCTION("GOOGLEFINANCE(""IDX:""&amp;A132,""price"")"),2850.0)</f>
        <v>2850</v>
      </c>
      <c r="D132" s="16" t="str">
        <f>IFERROR(__xludf.DUMMYFUNCTION("IF(A132="""","""",
SPARKLINE(
INDEX(
GOOGLEFINANCE(""IDX:""&amp;A132,""close"",TODAY()-365,TODAY()),
,2
),
{""linewidth"",1}
))
"),"#N/A")</f>
        <v>#N/A</v>
      </c>
      <c r="E132" s="14" t="s">
        <v>39</v>
      </c>
      <c r="F132" s="25">
        <v>46356.0</v>
      </c>
      <c r="G132" s="18">
        <f t="shared" si="1"/>
        <v>19</v>
      </c>
      <c r="H132" s="19">
        <f>VLOOKUP(A132,Metrik!$C$2:$Y$959,8,0)</f>
        <v>8.2</v>
      </c>
      <c r="I132" s="20">
        <f>VLOOKUP(A132,Metrik!$C$2:$Y$959,9,0)</f>
        <v>1.7</v>
      </c>
      <c r="J132" s="20">
        <f>VLOOKUP(A132,Metrik!$C$2:$Y$959,10,0)</f>
        <v>21</v>
      </c>
      <c r="K132" s="20">
        <f>VLOOKUP(A132,Metrik!$C$2:$Y$959,11,0)</f>
        <v>13.4</v>
      </c>
      <c r="L132" s="20">
        <f>VLOOKUP(A132,Metrik!$C$2:$Y$959,12,0)</f>
        <v>0.57</v>
      </c>
      <c r="M132" s="20">
        <f>VLOOKUP(A132,Metrik!$C$2:$Y$959,19,0)</f>
        <v>28.9</v>
      </c>
      <c r="N132" s="21"/>
      <c r="O132" s="21"/>
      <c r="P132" s="21"/>
      <c r="Q132" s="21"/>
      <c r="R132" s="21"/>
      <c r="S132" s="21"/>
      <c r="T132" s="21"/>
      <c r="U132" s="22">
        <f>IFERROR(__xludf.DUMMYFUNCTION("IFERROR(GOOGLEFINANCE(A132,""closeyest""),"""")"),2720.0)</f>
        <v>2720</v>
      </c>
      <c r="V132" s="23">
        <f>IFERROR(__xludf.DUMMYFUNCTION("IFERROR(GOOGLEFINANCE(A132,""changepct""),"""")"),4.78)</f>
        <v>4.78</v>
      </c>
      <c r="W132" s="22">
        <f>IFERROR(__xludf.DUMMYFUNCTION("IFERROR(GOOGLEFINANCE(A132,""priceopen""),"""")"),2800.0)</f>
        <v>2800</v>
      </c>
      <c r="X132" s="22">
        <f>IFERROR(__xludf.DUMMYFUNCTION("IFERROR(GOOGLEFINANCE(A132,""high""),"""")"),2910.0)</f>
        <v>2910</v>
      </c>
      <c r="Y132" s="22">
        <f>IFERROR(__xludf.DUMMYFUNCTION("IFERROR(GOOGLEFINANCE(A132,""low""),"""")"),2760.0)</f>
        <v>2760</v>
      </c>
      <c r="Z132" s="22">
        <f>IFERROR(__xludf.DUMMYFUNCTION("IFERROR(GOOGLEFINANCE(A132,""volume""),"""")"),1.748085E8)</f>
        <v>174808500</v>
      </c>
      <c r="AA132" s="24" t="str">
        <f>VLOOKUP(A132,Metrik!$C$2:$Y$959,5,0)</f>
        <v>Metals &amp; Minerals</v>
      </c>
      <c r="AB132" s="24" t="str">
        <f>VLOOKUP(A132,Metrik!$C$2:$Y$959,3,0)</f>
        <v>Basic Materials</v>
      </c>
    </row>
    <row r="133">
      <c r="A133" s="14" t="s">
        <v>107</v>
      </c>
      <c r="B133" s="14" t="str">
        <f t="array" ref="B133">VLOOKUP(A133,{Metrik!$C$2:$C$998,Metrik!$B$2:$B$998},2,0)</f>
        <v>Apexindo Pratama Duta Tbk.</v>
      </c>
      <c r="C133" s="15">
        <f>IFERROR(__xludf.DUMMYFUNCTION("GOOGLEFINANCE(""IDX:""&amp;A133,""price"")"),137.0)</f>
        <v>137</v>
      </c>
      <c r="D133" s="16" t="str">
        <f>IFERROR(__xludf.DUMMYFUNCTION("IF(A133="""","""",
SPARKLINE(
INDEX(
GOOGLEFINANCE(""IDX:""&amp;A133,""close"",TODAY()-365,TODAY()),
,2
),
{""linewidth"",1}
))
"),"#N/A")</f>
        <v>#N/A</v>
      </c>
      <c r="E133" s="26"/>
      <c r="F133" s="26"/>
      <c r="G133" s="24">
        <f t="shared" si="1"/>
        <v>0</v>
      </c>
      <c r="H133" s="19">
        <f>VLOOKUP(A133,Metrik!$C$2:$Y$959,8,0)</f>
        <v>6.2</v>
      </c>
      <c r="I133" s="20">
        <f>VLOOKUP(A133,Metrik!$C$2:$Y$959,9,0)</f>
        <v>0.42</v>
      </c>
      <c r="J133" s="20">
        <f>VLOOKUP(A133,Metrik!$C$2:$Y$959,10,0)</f>
        <v>6.7</v>
      </c>
      <c r="K133" s="20">
        <f>VLOOKUP(A133,Metrik!$C$2:$Y$959,11,0)</f>
        <v>1.8</v>
      </c>
      <c r="L133" s="20">
        <f>VLOOKUP(A133,Metrik!$C$2:$Y$959,12,0)</f>
        <v>2.7</v>
      </c>
      <c r="M133" s="20">
        <f>VLOOKUP(A133,Metrik!$C$2:$Y$959,19,0)</f>
        <v>23.5</v>
      </c>
      <c r="N133" s="21"/>
      <c r="O133" s="21"/>
      <c r="P133" s="21"/>
      <c r="Q133" s="21"/>
      <c r="R133" s="21"/>
      <c r="S133" s="21"/>
      <c r="T133" s="21"/>
      <c r="U133" s="22">
        <f>IFERROR(__xludf.DUMMYFUNCTION("IFERROR(GOOGLEFINANCE(A133,""closeyest""),"""")"),224.55)</f>
        <v>224.55</v>
      </c>
      <c r="V133" s="23">
        <f>IFERROR(__xludf.DUMMYFUNCTION("IFERROR(GOOGLEFINANCE(A133,""changepct""),"""")"),3.23)</f>
        <v>3.23</v>
      </c>
      <c r="W133" s="22">
        <f>IFERROR(__xludf.DUMMYFUNCTION("IFERROR(GOOGLEFINANCE(A133,""priceopen""),"""")"),230.05)</f>
        <v>230.05</v>
      </c>
      <c r="X133" s="22">
        <f>IFERROR(__xludf.DUMMYFUNCTION("IFERROR(GOOGLEFINANCE(A133,""high""),"""")"),232.1)</f>
        <v>232.1</v>
      </c>
      <c r="Y133" s="22">
        <f>IFERROR(__xludf.DUMMYFUNCTION("IFERROR(GOOGLEFINANCE(A133,""low""),"""")"),230.05)</f>
        <v>230.05</v>
      </c>
      <c r="Z133" s="22">
        <f>IFERROR(__xludf.DUMMYFUNCTION("IFERROR(GOOGLEFINANCE(A133,""volume""),"""")"),413.0)</f>
        <v>413</v>
      </c>
      <c r="AA133" s="24" t="str">
        <f>VLOOKUP(A133,Metrik!$C$2:$Y$959,5,0)</f>
        <v>Oil, Gas &amp; Coal Supports</v>
      </c>
      <c r="AB133" s="24" t="str">
        <f>VLOOKUP(A133,Metrik!$C$2:$Y$959,3,0)</f>
        <v>Energy</v>
      </c>
    </row>
    <row r="134">
      <c r="A134" s="14" t="s">
        <v>108</v>
      </c>
      <c r="B134" s="14" t="str">
        <f t="array" ref="B134">VLOOKUP(A134,{Metrik!$C$2:$C$998,Metrik!$B$2:$B$998},2,0)</f>
        <v>Pacific Strategic Financial Tbk.</v>
      </c>
      <c r="C134" s="15">
        <f>IFERROR(__xludf.DUMMYFUNCTION("GOOGLEFINANCE(""IDX:""&amp;A134,""price"")"),605.0)</f>
        <v>605</v>
      </c>
      <c r="D134" s="16" t="str">
        <f>IFERROR(__xludf.DUMMYFUNCTION("IF(A134="""","""",
SPARKLINE(
INDEX(
GOOGLEFINANCE(""IDX:""&amp;A134,""close"",TODAY()-365,TODAY()),
,2
),
{""linewidth"",1}
))
"),"#N/A")</f>
        <v>#N/A</v>
      </c>
      <c r="E134" s="26"/>
      <c r="F134" s="26"/>
      <c r="G134" s="24">
        <f t="shared" si="1"/>
        <v>0</v>
      </c>
      <c r="H134" s="19">
        <f>VLOOKUP(A134,Metrik!$C$2:$Y$959,8,0)</f>
        <v>110</v>
      </c>
      <c r="I134" s="20">
        <f>VLOOKUP(A134,Metrik!$C$2:$Y$959,9,0)</f>
        <v>3.5</v>
      </c>
      <c r="J134" s="20">
        <f>VLOOKUP(A134,Metrik!$C$2:$Y$959,10,0)</f>
        <v>3.1</v>
      </c>
      <c r="K134" s="20">
        <f>VLOOKUP(A134,Metrik!$C$2:$Y$959,11,0)</f>
        <v>1.3</v>
      </c>
      <c r="L134" s="20">
        <f>VLOOKUP(A134,Metrik!$C$2:$Y$959,12,0)</f>
        <v>1.5</v>
      </c>
      <c r="M134" s="20">
        <f>VLOOKUP(A134,Metrik!$C$2:$Y$959,19,0)</f>
        <v>16.9</v>
      </c>
      <c r="N134" s="21"/>
      <c r="O134" s="21"/>
      <c r="P134" s="21"/>
      <c r="Q134" s="21"/>
      <c r="R134" s="21"/>
      <c r="S134" s="21"/>
      <c r="T134" s="21"/>
      <c r="U134" s="22">
        <f>IFERROR(__xludf.DUMMYFUNCTION("IFERROR(GOOGLEFINANCE(A134,""closeyest""),"""")"),590.0)</f>
        <v>590</v>
      </c>
      <c r="V134" s="23">
        <f>IFERROR(__xludf.DUMMYFUNCTION("IFERROR(GOOGLEFINANCE(A134,""changepct""),"""")"),2.54)</f>
        <v>2.54</v>
      </c>
      <c r="W134" s="22">
        <f>IFERROR(__xludf.DUMMYFUNCTION("IFERROR(GOOGLEFINANCE(A134,""priceopen""),"""")"),590.0)</f>
        <v>590</v>
      </c>
      <c r="X134" s="22">
        <f>IFERROR(__xludf.DUMMYFUNCTION("IFERROR(GOOGLEFINANCE(A134,""high""),"""")"),650.0)</f>
        <v>650</v>
      </c>
      <c r="Y134" s="22">
        <f>IFERROR(__xludf.DUMMYFUNCTION("IFERROR(GOOGLEFINANCE(A134,""low""),"""")"),585.0)</f>
        <v>585</v>
      </c>
      <c r="Z134" s="22">
        <f>IFERROR(__xludf.DUMMYFUNCTION("IFERROR(GOOGLEFINANCE(A134,""volume""),"""")"),2840200.0)</f>
        <v>2840200</v>
      </c>
      <c r="AA134" s="24" t="str">
        <f>VLOOKUP(A134,Metrik!$C$2:$Y$959,5,0)</f>
        <v>Holding &amp; Investment Companies</v>
      </c>
      <c r="AB134" s="24" t="str">
        <f>VLOOKUP(A134,Metrik!$C$2:$Y$959,3,0)</f>
        <v>Financials</v>
      </c>
    </row>
    <row r="135">
      <c r="A135" s="14" t="s">
        <v>109</v>
      </c>
      <c r="B135" s="14" t="str">
        <f t="array" ref="B135">VLOOKUP(A135,{Metrik!$C$2:$C$998,Metrik!$B$2:$B$998},2,0)</f>
        <v>PT Arita Prima Indonesia Tbk.</v>
      </c>
      <c r="C135" s="15">
        <f>IFERROR(__xludf.DUMMYFUNCTION("GOOGLEFINANCE(""IDX:""&amp;A135,""price"")"),171.0)</f>
        <v>171</v>
      </c>
      <c r="D135" s="16" t="str">
        <f>IFERROR(__xludf.DUMMYFUNCTION("IF(A135="""","""",
SPARKLINE(
INDEX(
GOOGLEFINANCE(""IDX:""&amp;A135,""close"",TODAY()-365,TODAY()),
,2
),
{""linewidth"",1}
))
"),"#N/A")</f>
        <v>#N/A</v>
      </c>
      <c r="E135" s="26"/>
      <c r="F135" s="26"/>
      <c r="G135" s="24">
        <f t="shared" si="1"/>
        <v>0</v>
      </c>
      <c r="H135" s="19">
        <f>VLOOKUP(A135,Metrik!$C$2:$Y$959,8,0)</f>
        <v>17.3</v>
      </c>
      <c r="I135" s="20">
        <f>VLOOKUP(A135,Metrik!$C$2:$Y$959,9,0)</f>
        <v>0.45</v>
      </c>
      <c r="J135" s="20">
        <f>VLOOKUP(A135,Metrik!$C$2:$Y$959,10,0)</f>
        <v>2.6</v>
      </c>
      <c r="K135" s="20">
        <f>VLOOKUP(A135,Metrik!$C$2:$Y$959,11,0)</f>
        <v>1.8</v>
      </c>
      <c r="L135" s="20">
        <f>VLOOKUP(A135,Metrik!$C$2:$Y$959,12,0)</f>
        <v>0.49</v>
      </c>
      <c r="M135" s="20">
        <f>VLOOKUP(A135,Metrik!$C$2:$Y$959,19,0)</f>
        <v>13.4</v>
      </c>
      <c r="N135" s="21"/>
      <c r="O135" s="21"/>
      <c r="P135" s="21"/>
      <c r="Q135" s="21"/>
      <c r="R135" s="21"/>
      <c r="S135" s="21"/>
      <c r="T135" s="21"/>
      <c r="U135" s="22">
        <f>IFERROR(__xludf.DUMMYFUNCTION("IFERROR(GOOGLEFINANCE(A135,""closeyest""),"""")"),170.0)</f>
        <v>170</v>
      </c>
      <c r="V135" s="23">
        <f>IFERROR(__xludf.DUMMYFUNCTION("IFERROR(GOOGLEFINANCE(A135,""changepct""),"""")"),0.59)</f>
        <v>0.59</v>
      </c>
      <c r="W135" s="22">
        <f>IFERROR(__xludf.DUMMYFUNCTION("IFERROR(GOOGLEFINANCE(A135,""priceopen""),"""")"),170.0)</f>
        <v>170</v>
      </c>
      <c r="X135" s="22">
        <f>IFERROR(__xludf.DUMMYFUNCTION("IFERROR(GOOGLEFINANCE(A135,""high""),"""")"),175.0)</f>
        <v>175</v>
      </c>
      <c r="Y135" s="22">
        <f>IFERROR(__xludf.DUMMYFUNCTION("IFERROR(GOOGLEFINANCE(A135,""low""),"""")"),166.0)</f>
        <v>166</v>
      </c>
      <c r="Z135" s="22">
        <f>IFERROR(__xludf.DUMMYFUNCTION("IFERROR(GOOGLEFINANCE(A135,""volume""),"""")"),16200.0)</f>
        <v>16200</v>
      </c>
      <c r="AA135" s="24" t="str">
        <f>VLOOKUP(A135,Metrik!$C$2:$Y$959,5,0)</f>
        <v>Machinery</v>
      </c>
      <c r="AB135" s="24" t="str">
        <f>VLOOKUP(A135,Metrik!$C$2:$Y$959,3,0)</f>
        <v>Industrials</v>
      </c>
    </row>
    <row r="136">
      <c r="A136" s="14" t="s">
        <v>110</v>
      </c>
      <c r="B136" s="14" t="str">
        <f t="array" ref="B136">VLOOKUP(A136,{Metrik!$C$2:$C$998,Metrik!$B$2:$B$998},2,0)</f>
        <v>Asiaplast Industries Tbk.</v>
      </c>
      <c r="C136" s="15">
        <f>IFERROR(__xludf.DUMMYFUNCTION("GOOGLEFINANCE(""IDX:""&amp;A136,""price"")"),252.0)</f>
        <v>252</v>
      </c>
      <c r="D136" s="16" t="str">
        <f>IFERROR(__xludf.DUMMYFUNCTION("IF(A136="""","""",
SPARKLINE(
INDEX(
GOOGLEFINANCE(""IDX:""&amp;A136,""close"",TODAY()-365,TODAY()),
,2
),
{""linewidth"",1}
))
"),"#N/A")</f>
        <v>#N/A</v>
      </c>
      <c r="E136" s="26"/>
      <c r="F136" s="26"/>
      <c r="G136" s="24">
        <f t="shared" si="1"/>
        <v>0</v>
      </c>
      <c r="H136" s="19">
        <f>VLOOKUP(A136,Metrik!$C$2:$Y$959,8,0)</f>
        <v>61.6</v>
      </c>
      <c r="I136" s="20">
        <f>VLOOKUP(A136,Metrik!$C$2:$Y$959,9,0)</f>
        <v>1</v>
      </c>
      <c r="J136" s="20">
        <f>VLOOKUP(A136,Metrik!$C$2:$Y$959,10,0)</f>
        <v>1.7</v>
      </c>
      <c r="K136" s="20">
        <f>VLOOKUP(A136,Metrik!$C$2:$Y$959,11,0)</f>
        <v>1.2</v>
      </c>
      <c r="L136" s="20">
        <f>VLOOKUP(A136,Metrik!$C$2:$Y$959,12,0)</f>
        <v>0.37</v>
      </c>
      <c r="M136" s="20">
        <f>VLOOKUP(A136,Metrik!$C$2:$Y$959,19,0)</f>
        <v>7.9</v>
      </c>
      <c r="N136" s="21"/>
      <c r="O136" s="21"/>
      <c r="P136" s="21"/>
      <c r="Q136" s="21"/>
      <c r="R136" s="21"/>
      <c r="S136" s="21"/>
      <c r="T136" s="21"/>
      <c r="U136" s="22">
        <f>IFERROR(__xludf.DUMMYFUNCTION("IFERROR(GOOGLEFINANCE(A136,""closeyest""),"""")"),0.02)</f>
        <v>0.02</v>
      </c>
      <c r="V136" s="23">
        <f>IFERROR(__xludf.DUMMYFUNCTION("IFERROR(GOOGLEFINANCE(A136,""changepct""),"""")"),0.0)</f>
        <v>0</v>
      </c>
      <c r="W136" s="22" t="str">
        <f>IFERROR(__xludf.DUMMYFUNCTION("IFERROR(GOOGLEFINANCE(A136,""priceopen""),"""")"),"")</f>
        <v/>
      </c>
      <c r="X136" s="22" t="str">
        <f>IFERROR(__xludf.DUMMYFUNCTION("IFERROR(GOOGLEFINANCE(A136,""high""),"""")"),"")</f>
        <v/>
      </c>
      <c r="Y136" s="22" t="str">
        <f>IFERROR(__xludf.DUMMYFUNCTION("IFERROR(GOOGLEFINANCE(A136,""low""),"""")"),"")</f>
        <v/>
      </c>
      <c r="Z136" s="22">
        <f>IFERROR(__xludf.DUMMYFUNCTION("IFERROR(GOOGLEFINANCE(A136,""volume""),"""")"),0.0)</f>
        <v>0</v>
      </c>
      <c r="AA136" s="24" t="str">
        <f>VLOOKUP(A136,Metrik!$C$2:$Y$959,5,0)</f>
        <v>Chemicals</v>
      </c>
      <c r="AB136" s="24" t="str">
        <f>VLOOKUP(A136,Metrik!$C$2:$Y$959,3,0)</f>
        <v>Basic Materials</v>
      </c>
    </row>
    <row r="137">
      <c r="A137" s="14" t="s">
        <v>111</v>
      </c>
      <c r="B137" s="14" t="str">
        <f t="array" ref="B137">VLOOKUP(A137,{Metrik!$C$2:$C$998,Metrik!$B$2:$B$998},2,0)</f>
        <v>Agung Podomoro Land Tbk.</v>
      </c>
      <c r="C137" s="15">
        <f>IFERROR(__xludf.DUMMYFUNCTION("GOOGLEFINANCE(""IDX:""&amp;A137,""price"")"),126.0)</f>
        <v>126</v>
      </c>
      <c r="D137" s="16" t="str">
        <f>IFERROR(__xludf.DUMMYFUNCTION("IF(A137="""","""",
SPARKLINE(
INDEX(
GOOGLEFINANCE(""IDX:""&amp;A137,""close"",TODAY()-365,TODAY()),
,2
),
{""linewidth"",1}
))
"),"#N/A")</f>
        <v>#N/A</v>
      </c>
      <c r="E137" s="26"/>
      <c r="F137" s="26"/>
      <c r="G137" s="24">
        <f t="shared" si="1"/>
        <v>0</v>
      </c>
      <c r="H137" s="19">
        <f>VLOOKUP(A137,Metrik!$C$2:$Y$959,8,0)</f>
        <v>8.6</v>
      </c>
      <c r="I137" s="20">
        <f>VLOOKUP(A137,Metrik!$C$2:$Y$959,9,0)</f>
        <v>0.25</v>
      </c>
      <c r="J137" s="20">
        <f>VLOOKUP(A137,Metrik!$C$2:$Y$959,10,0)</f>
        <v>2.9</v>
      </c>
      <c r="K137" s="20">
        <f>VLOOKUP(A137,Metrik!$C$2:$Y$959,11,0)</f>
        <v>1.6</v>
      </c>
      <c r="L137" s="20">
        <f>VLOOKUP(A137,Metrik!$C$2:$Y$959,12,0)</f>
        <v>0.76</v>
      </c>
      <c r="M137" s="20">
        <f>VLOOKUP(A137,Metrik!$C$2:$Y$959,19,0)</f>
        <v>13.5</v>
      </c>
      <c r="N137" s="21"/>
      <c r="O137" s="21"/>
      <c r="P137" s="21"/>
      <c r="Q137" s="21"/>
      <c r="R137" s="21"/>
      <c r="S137" s="21"/>
      <c r="T137" s="21"/>
      <c r="U137" s="22">
        <f>IFERROR(__xludf.DUMMYFUNCTION("IFERROR(GOOGLEFINANCE(A137,""closeyest""),"""")"),120.0)</f>
        <v>120</v>
      </c>
      <c r="V137" s="23">
        <f>IFERROR(__xludf.DUMMYFUNCTION("IFERROR(GOOGLEFINANCE(A137,""changepct""),"""")"),5.0)</f>
        <v>5</v>
      </c>
      <c r="W137" s="22">
        <f>IFERROR(__xludf.DUMMYFUNCTION("IFERROR(GOOGLEFINANCE(A137,""priceopen""),"""")"),120.0)</f>
        <v>120</v>
      </c>
      <c r="X137" s="22">
        <f>IFERROR(__xludf.DUMMYFUNCTION("IFERROR(GOOGLEFINANCE(A137,""high""),"""")"),129.0)</f>
        <v>129</v>
      </c>
      <c r="Y137" s="22">
        <f>IFERROR(__xludf.DUMMYFUNCTION("IFERROR(GOOGLEFINANCE(A137,""low""),"""")"),120.0)</f>
        <v>120</v>
      </c>
      <c r="Z137" s="22">
        <f>IFERROR(__xludf.DUMMYFUNCTION("IFERROR(GOOGLEFINANCE(A137,""volume""),"""")"),1.7676E7)</f>
        <v>17676000</v>
      </c>
      <c r="AA137" s="24" t="str">
        <f>VLOOKUP(A137,Metrik!$C$2:$Y$959,5,0)</f>
        <v>Real Estate Management &amp; Development</v>
      </c>
      <c r="AB137" s="24" t="str">
        <f>VLOOKUP(A137,Metrik!$C$2:$Y$959,3,0)</f>
        <v>Properties &amp; Real Estate</v>
      </c>
    </row>
    <row r="138">
      <c r="A138" s="17" t="s">
        <v>112</v>
      </c>
      <c r="B138" s="14" t="str">
        <f t="array" ref="B138">VLOOKUP(A138,{Metrik!$C$2:$C$998,Metrik!$B$2:$B$998},2,0)</f>
        <v>Archi Indonesia Tbk.</v>
      </c>
      <c r="C138" s="15">
        <f>IFERROR(__xludf.DUMMYFUNCTION("GOOGLEFINANCE(""IDX:""&amp;A138,""price"")"),975.0)</f>
        <v>975</v>
      </c>
      <c r="D138" s="16" t="str">
        <f>IFERROR(__xludf.DUMMYFUNCTION("IF(A138="""","""",
SPARKLINE(
INDEX(
GOOGLEFINANCE(""IDX:""&amp;A138,""close"",TODAY()-365,TODAY()),
,2
),
{""linewidth"",1}
))
"),"#N/A")</f>
        <v>#N/A</v>
      </c>
      <c r="E138" s="14" t="s">
        <v>47</v>
      </c>
      <c r="F138" s="25">
        <v>46356.0</v>
      </c>
      <c r="G138" s="18">
        <f t="shared" si="1"/>
        <v>6</v>
      </c>
      <c r="H138" s="19">
        <f>VLOOKUP(A138,Metrik!$C$2:$Y$959,8,0)</f>
        <v>15</v>
      </c>
      <c r="I138" s="20">
        <f>VLOOKUP(A138,Metrik!$C$2:$Y$959,9,0)</f>
        <v>4.6</v>
      </c>
      <c r="J138" s="20">
        <f>VLOOKUP(A138,Metrik!$C$2:$Y$959,10,0)</f>
        <v>30.6</v>
      </c>
      <c r="K138" s="20">
        <f>VLOOKUP(A138,Metrik!$C$2:$Y$959,11,0)</f>
        <v>11.3</v>
      </c>
      <c r="L138" s="20">
        <f>VLOOKUP(A138,Metrik!$C$2:$Y$959,12,0)</f>
        <v>1.7</v>
      </c>
      <c r="M138" s="20">
        <f>VLOOKUP(A138,Metrik!$C$2:$Y$959,19,0)</f>
        <v>87.9</v>
      </c>
      <c r="N138" s="21"/>
      <c r="O138" s="21"/>
      <c r="P138" s="21"/>
      <c r="Q138" s="21"/>
      <c r="R138" s="21"/>
      <c r="S138" s="21"/>
      <c r="T138" s="21"/>
      <c r="U138" s="22">
        <f>IFERROR(__xludf.DUMMYFUNCTION("IFERROR(GOOGLEFINANCE(A138,""closeyest""),"""")"),9.98)</f>
        <v>9.98</v>
      </c>
      <c r="V138" s="23">
        <f>IFERROR(__xludf.DUMMYFUNCTION("IFERROR(GOOGLEFINANCE(A138,""changepct""),"""")"),0.0)</f>
        <v>0</v>
      </c>
      <c r="W138" s="22" t="str">
        <f>IFERROR(__xludf.DUMMYFUNCTION("IFERROR(GOOGLEFINANCE(A138,""priceopen""),"""")"),"")</f>
        <v/>
      </c>
      <c r="X138" s="22" t="str">
        <f>IFERROR(__xludf.DUMMYFUNCTION("IFERROR(GOOGLEFINANCE(A138,""high""),"""")"),"")</f>
        <v/>
      </c>
      <c r="Y138" s="22" t="str">
        <f>IFERROR(__xludf.DUMMYFUNCTION("IFERROR(GOOGLEFINANCE(A138,""low""),"""")"),"")</f>
        <v/>
      </c>
      <c r="Z138" s="22">
        <f>IFERROR(__xludf.DUMMYFUNCTION("IFERROR(GOOGLEFINANCE(A138,""volume""),"""")"),20.0)</f>
        <v>20</v>
      </c>
      <c r="AA138" s="24" t="str">
        <f>VLOOKUP(A138,Metrik!$C$2:$Y$959,5,0)</f>
        <v>Metals &amp; Minerals</v>
      </c>
      <c r="AB138" s="24" t="str">
        <f>VLOOKUP(A138,Metrik!$C$2:$Y$959,3,0)</f>
        <v>Basic Materials</v>
      </c>
    </row>
    <row r="139">
      <c r="A139" s="14" t="s">
        <v>112</v>
      </c>
      <c r="B139" s="14" t="str">
        <f t="array" ref="B139">VLOOKUP(A139,{Metrik!$C$2:$C$998,Metrik!$B$2:$B$998},2,0)</f>
        <v>Archi Indonesia Tbk.</v>
      </c>
      <c r="C139" s="15">
        <f>IFERROR(__xludf.DUMMYFUNCTION("GOOGLEFINANCE(""IDX:""&amp;A139,""price"")"),975.0)</f>
        <v>975</v>
      </c>
      <c r="D139" s="16" t="str">
        <f>IFERROR(__xludf.DUMMYFUNCTION("IF(A139="""","""",
SPARKLINE(
INDEX(
GOOGLEFINANCE(""IDX:""&amp;A139,""close"",TODAY()-365,TODAY()),
,2
),
{""linewidth"",1}
))
"),"#N/A")</f>
        <v>#N/A</v>
      </c>
      <c r="E139" s="14" t="s">
        <v>41</v>
      </c>
      <c r="F139" s="14" t="s">
        <v>34</v>
      </c>
      <c r="G139" s="24">
        <f t="shared" si="1"/>
        <v>6</v>
      </c>
      <c r="H139" s="19">
        <f>VLOOKUP(A139,Metrik!$C$2:$Y$959,8,0)</f>
        <v>15</v>
      </c>
      <c r="I139" s="20">
        <f>VLOOKUP(A139,Metrik!$C$2:$Y$959,9,0)</f>
        <v>4.6</v>
      </c>
      <c r="J139" s="20">
        <f>VLOOKUP(A139,Metrik!$C$2:$Y$959,10,0)</f>
        <v>30.6</v>
      </c>
      <c r="K139" s="20">
        <f>VLOOKUP(A139,Metrik!$C$2:$Y$959,11,0)</f>
        <v>11.3</v>
      </c>
      <c r="L139" s="20">
        <f>VLOOKUP(A139,Metrik!$C$2:$Y$959,12,0)</f>
        <v>1.7</v>
      </c>
      <c r="M139" s="20">
        <f>VLOOKUP(A139,Metrik!$C$2:$Y$959,19,0)</f>
        <v>87.9</v>
      </c>
      <c r="N139" s="21"/>
      <c r="O139" s="21"/>
      <c r="P139" s="21"/>
      <c r="Q139" s="21"/>
      <c r="R139" s="21"/>
      <c r="S139" s="21"/>
      <c r="T139" s="21"/>
      <c r="U139" s="22">
        <f>IFERROR(__xludf.DUMMYFUNCTION("IFERROR(GOOGLEFINANCE(A139,""closeyest""),"""")"),9.98)</f>
        <v>9.98</v>
      </c>
      <c r="V139" s="23">
        <f>IFERROR(__xludf.DUMMYFUNCTION("IFERROR(GOOGLEFINANCE(A139,""changepct""),"""")"),0.0)</f>
        <v>0</v>
      </c>
      <c r="W139" s="22" t="str">
        <f>IFERROR(__xludf.DUMMYFUNCTION("IFERROR(GOOGLEFINANCE(A139,""priceopen""),"""")"),"")</f>
        <v/>
      </c>
      <c r="X139" s="22" t="str">
        <f>IFERROR(__xludf.DUMMYFUNCTION("IFERROR(GOOGLEFINANCE(A139,""high""),"""")"),"")</f>
        <v/>
      </c>
      <c r="Y139" s="22" t="str">
        <f>IFERROR(__xludf.DUMMYFUNCTION("IFERROR(GOOGLEFINANCE(A139,""low""),"""")"),"")</f>
        <v/>
      </c>
      <c r="Z139" s="22">
        <f>IFERROR(__xludf.DUMMYFUNCTION("IFERROR(GOOGLEFINANCE(A139,""volume""),"""")"),20.0)</f>
        <v>20</v>
      </c>
      <c r="AA139" s="24" t="str">
        <f>VLOOKUP(A139,Metrik!$C$2:$Y$959,5,0)</f>
        <v>Metals &amp; Minerals</v>
      </c>
      <c r="AB139" s="24" t="str">
        <f>VLOOKUP(A139,Metrik!$C$2:$Y$959,3,0)</f>
        <v>Basic Materials</v>
      </c>
    </row>
    <row r="140">
      <c r="A140" s="14" t="s">
        <v>112</v>
      </c>
      <c r="B140" s="14" t="str">
        <f t="array" ref="B140">VLOOKUP(A140,{Metrik!$C$2:$C$998,Metrik!$B$2:$B$998},2,0)</f>
        <v>Archi Indonesia Tbk.</v>
      </c>
      <c r="C140" s="15">
        <f>IFERROR(__xludf.DUMMYFUNCTION("GOOGLEFINANCE(""IDX:""&amp;A140,""price"")"),975.0)</f>
        <v>975</v>
      </c>
      <c r="D140" s="16" t="str">
        <f>IFERROR(__xludf.DUMMYFUNCTION("IF(A140="""","""",
SPARKLINE(
INDEX(
GOOGLEFINANCE(""IDX:""&amp;A140,""close"",TODAY()-365,TODAY()),
,2
),
{""linewidth"",1}
))
"),"#N/A")</f>
        <v>#N/A</v>
      </c>
      <c r="E140" s="14" t="s">
        <v>32</v>
      </c>
      <c r="F140" s="14" t="s">
        <v>29</v>
      </c>
      <c r="G140" s="24">
        <f t="shared" si="1"/>
        <v>6</v>
      </c>
      <c r="H140" s="19">
        <f>VLOOKUP(A140,Metrik!$C$2:$Y$959,8,0)</f>
        <v>15</v>
      </c>
      <c r="I140" s="20">
        <f>VLOOKUP(A140,Metrik!$C$2:$Y$959,9,0)</f>
        <v>4.6</v>
      </c>
      <c r="J140" s="20">
        <f>VLOOKUP(A140,Metrik!$C$2:$Y$959,10,0)</f>
        <v>30.6</v>
      </c>
      <c r="K140" s="20">
        <f>VLOOKUP(A140,Metrik!$C$2:$Y$959,11,0)</f>
        <v>11.3</v>
      </c>
      <c r="L140" s="20">
        <f>VLOOKUP(A140,Metrik!$C$2:$Y$959,12,0)</f>
        <v>1.7</v>
      </c>
      <c r="M140" s="20">
        <f>VLOOKUP(A140,Metrik!$C$2:$Y$959,19,0)</f>
        <v>87.9</v>
      </c>
      <c r="N140" s="21"/>
      <c r="O140" s="21"/>
      <c r="P140" s="21"/>
      <c r="Q140" s="21"/>
      <c r="R140" s="21"/>
      <c r="S140" s="21"/>
      <c r="T140" s="21"/>
      <c r="U140" s="22">
        <f>IFERROR(__xludf.DUMMYFUNCTION("IFERROR(GOOGLEFINANCE(A140,""closeyest""),"""")"),9.98)</f>
        <v>9.98</v>
      </c>
      <c r="V140" s="23">
        <f>IFERROR(__xludf.DUMMYFUNCTION("IFERROR(GOOGLEFINANCE(A140,""changepct""),"""")"),0.0)</f>
        <v>0</v>
      </c>
      <c r="W140" s="22" t="str">
        <f>IFERROR(__xludf.DUMMYFUNCTION("IFERROR(GOOGLEFINANCE(A140,""priceopen""),"""")"),"")</f>
        <v/>
      </c>
      <c r="X140" s="22" t="str">
        <f>IFERROR(__xludf.DUMMYFUNCTION("IFERROR(GOOGLEFINANCE(A140,""high""),"""")"),"")</f>
        <v/>
      </c>
      <c r="Y140" s="22" t="str">
        <f>IFERROR(__xludf.DUMMYFUNCTION("IFERROR(GOOGLEFINANCE(A140,""low""),"""")"),"")</f>
        <v/>
      </c>
      <c r="Z140" s="22">
        <f>IFERROR(__xludf.DUMMYFUNCTION("IFERROR(GOOGLEFINANCE(A140,""volume""),"""")"),20.0)</f>
        <v>20</v>
      </c>
      <c r="AA140" s="24" t="str">
        <f>VLOOKUP(A140,Metrik!$C$2:$Y$959,5,0)</f>
        <v>Metals &amp; Minerals</v>
      </c>
      <c r="AB140" s="24" t="str">
        <f>VLOOKUP(A140,Metrik!$C$2:$Y$959,3,0)</f>
        <v>Basic Materials</v>
      </c>
    </row>
    <row r="141">
      <c r="A141" s="17" t="s">
        <v>112</v>
      </c>
      <c r="B141" s="14" t="str">
        <f t="array" ref="B141">VLOOKUP(A141,{Metrik!$C$2:$C$998,Metrik!$B$2:$B$998},2,0)</f>
        <v>Archi Indonesia Tbk.</v>
      </c>
      <c r="C141" s="15">
        <f>IFERROR(__xludf.DUMMYFUNCTION("GOOGLEFINANCE(""IDX:""&amp;A141,""price"")"),975.0)</f>
        <v>975</v>
      </c>
      <c r="D141" s="16" t="str">
        <f>IFERROR(__xludf.DUMMYFUNCTION("IF(A141="""","""",
SPARKLINE(
INDEX(
GOOGLEFINANCE(""IDX:""&amp;A141,""close"",TODAY()-365,TODAY()),
,2
),
{""linewidth"",1}
))
"),"#N/A")</f>
        <v>#N/A</v>
      </c>
      <c r="E141" s="14" t="s">
        <v>55</v>
      </c>
      <c r="F141" s="25">
        <v>46356.0</v>
      </c>
      <c r="G141" s="18">
        <f t="shared" si="1"/>
        <v>6</v>
      </c>
      <c r="H141" s="19">
        <f>VLOOKUP(A141,Metrik!$C$2:$Y$959,8,0)</f>
        <v>15</v>
      </c>
      <c r="I141" s="20">
        <f>VLOOKUP(A141,Metrik!$C$2:$Y$959,9,0)</f>
        <v>4.6</v>
      </c>
      <c r="J141" s="20">
        <f>VLOOKUP(A141,Metrik!$C$2:$Y$959,10,0)</f>
        <v>30.6</v>
      </c>
      <c r="K141" s="20">
        <f>VLOOKUP(A141,Metrik!$C$2:$Y$959,11,0)</f>
        <v>11.3</v>
      </c>
      <c r="L141" s="20">
        <f>VLOOKUP(A141,Metrik!$C$2:$Y$959,12,0)</f>
        <v>1.7</v>
      </c>
      <c r="M141" s="20">
        <f>VLOOKUP(A141,Metrik!$C$2:$Y$959,19,0)</f>
        <v>87.9</v>
      </c>
      <c r="N141" s="21"/>
      <c r="O141" s="21"/>
      <c r="P141" s="21"/>
      <c r="Q141" s="21"/>
      <c r="R141" s="21"/>
      <c r="S141" s="21"/>
      <c r="T141" s="21"/>
      <c r="U141" s="22">
        <f>IFERROR(__xludf.DUMMYFUNCTION("IFERROR(GOOGLEFINANCE(A141,""closeyest""),"""")"),9.98)</f>
        <v>9.98</v>
      </c>
      <c r="V141" s="23">
        <f>IFERROR(__xludf.DUMMYFUNCTION("IFERROR(GOOGLEFINANCE(A141,""changepct""),"""")"),0.0)</f>
        <v>0</v>
      </c>
      <c r="W141" s="22" t="str">
        <f>IFERROR(__xludf.DUMMYFUNCTION("IFERROR(GOOGLEFINANCE(A141,""priceopen""),"""")"),"")</f>
        <v/>
      </c>
      <c r="X141" s="22" t="str">
        <f>IFERROR(__xludf.DUMMYFUNCTION("IFERROR(GOOGLEFINANCE(A141,""high""),"""")"),"")</f>
        <v/>
      </c>
      <c r="Y141" s="22" t="str">
        <f>IFERROR(__xludf.DUMMYFUNCTION("IFERROR(GOOGLEFINANCE(A141,""low""),"""")"),"")</f>
        <v/>
      </c>
      <c r="Z141" s="22">
        <f>IFERROR(__xludf.DUMMYFUNCTION("IFERROR(GOOGLEFINANCE(A141,""volume""),"""")"),20.0)</f>
        <v>20</v>
      </c>
      <c r="AA141" s="24" t="str">
        <f>VLOOKUP(A141,Metrik!$C$2:$Y$959,5,0)</f>
        <v>Metals &amp; Minerals</v>
      </c>
      <c r="AB141" s="24" t="str">
        <f>VLOOKUP(A141,Metrik!$C$2:$Y$959,3,0)</f>
        <v>Basic Materials</v>
      </c>
    </row>
    <row r="142">
      <c r="A142" s="17" t="s">
        <v>112</v>
      </c>
      <c r="B142" s="14" t="str">
        <f t="array" ref="B142">VLOOKUP(A142,{Metrik!$C$2:$C$998,Metrik!$B$2:$B$998},2,0)</f>
        <v>Archi Indonesia Tbk.</v>
      </c>
      <c r="C142" s="15">
        <f>IFERROR(__xludf.DUMMYFUNCTION("GOOGLEFINANCE(""IDX:""&amp;A142,""price"")"),975.0)</f>
        <v>975</v>
      </c>
      <c r="D142" s="16" t="str">
        <f>IFERROR(__xludf.DUMMYFUNCTION("IF(A142="""","""",
SPARKLINE(
INDEX(
GOOGLEFINANCE(""IDX:""&amp;A142,""close"",TODAY()-365,TODAY()),
,2
),
{""linewidth"",1}
))
"),"#N/A")</f>
        <v>#N/A</v>
      </c>
      <c r="E142" s="14" t="s">
        <v>38</v>
      </c>
      <c r="F142" s="25">
        <v>46356.0</v>
      </c>
      <c r="G142" s="18">
        <f t="shared" si="1"/>
        <v>6</v>
      </c>
      <c r="H142" s="19">
        <f>VLOOKUP(A142,Metrik!$C$2:$Y$959,8,0)</f>
        <v>15</v>
      </c>
      <c r="I142" s="20">
        <f>VLOOKUP(A142,Metrik!$C$2:$Y$959,9,0)</f>
        <v>4.6</v>
      </c>
      <c r="J142" s="20">
        <f>VLOOKUP(A142,Metrik!$C$2:$Y$959,10,0)</f>
        <v>30.6</v>
      </c>
      <c r="K142" s="20">
        <f>VLOOKUP(A142,Metrik!$C$2:$Y$959,11,0)</f>
        <v>11.3</v>
      </c>
      <c r="L142" s="20">
        <f>VLOOKUP(A142,Metrik!$C$2:$Y$959,12,0)</f>
        <v>1.7</v>
      </c>
      <c r="M142" s="20">
        <f>VLOOKUP(A142,Metrik!$C$2:$Y$959,19,0)</f>
        <v>87.9</v>
      </c>
      <c r="N142" s="21"/>
      <c r="O142" s="21"/>
      <c r="P142" s="21"/>
      <c r="Q142" s="21"/>
      <c r="R142" s="21"/>
      <c r="S142" s="21"/>
      <c r="T142" s="21"/>
      <c r="U142" s="22">
        <f>IFERROR(__xludf.DUMMYFUNCTION("IFERROR(GOOGLEFINANCE(A142,""closeyest""),"""")"),9.98)</f>
        <v>9.98</v>
      </c>
      <c r="V142" s="23">
        <f>IFERROR(__xludf.DUMMYFUNCTION("IFERROR(GOOGLEFINANCE(A142,""changepct""),"""")"),0.0)</f>
        <v>0</v>
      </c>
      <c r="W142" s="22" t="str">
        <f>IFERROR(__xludf.DUMMYFUNCTION("IFERROR(GOOGLEFINANCE(A142,""priceopen""),"""")"),"")</f>
        <v/>
      </c>
      <c r="X142" s="22" t="str">
        <f>IFERROR(__xludf.DUMMYFUNCTION("IFERROR(GOOGLEFINANCE(A142,""high""),"""")"),"")</f>
        <v/>
      </c>
      <c r="Y142" s="22" t="str">
        <f>IFERROR(__xludf.DUMMYFUNCTION("IFERROR(GOOGLEFINANCE(A142,""low""),"""")"),"")</f>
        <v/>
      </c>
      <c r="Z142" s="22">
        <f>IFERROR(__xludf.DUMMYFUNCTION("IFERROR(GOOGLEFINANCE(A142,""volume""),"""")"),20.0)</f>
        <v>20</v>
      </c>
      <c r="AA142" s="24" t="str">
        <f>VLOOKUP(A142,Metrik!$C$2:$Y$959,5,0)</f>
        <v>Metals &amp; Minerals</v>
      </c>
      <c r="AB142" s="24" t="str">
        <f>VLOOKUP(A142,Metrik!$C$2:$Y$959,3,0)</f>
        <v>Basic Materials</v>
      </c>
    </row>
    <row r="143">
      <c r="A143" s="17" t="s">
        <v>112</v>
      </c>
      <c r="B143" s="14" t="str">
        <f t="array" ref="B143">VLOOKUP(A143,{Metrik!$C$2:$C$998,Metrik!$B$2:$B$998},2,0)</f>
        <v>Archi Indonesia Tbk.</v>
      </c>
      <c r="C143" s="15">
        <f>IFERROR(__xludf.DUMMYFUNCTION("GOOGLEFINANCE(""IDX:""&amp;A143,""price"")"),975.0)</f>
        <v>975</v>
      </c>
      <c r="D143" s="16" t="str">
        <f>IFERROR(__xludf.DUMMYFUNCTION("IF(A143="""","""",
SPARKLINE(
INDEX(
GOOGLEFINANCE(""IDX:""&amp;A143,""close"",TODAY()-365,TODAY()),
,2
),
{""linewidth"",1}
))
"),"#N/A")</f>
        <v>#N/A</v>
      </c>
      <c r="E143" s="14" t="s">
        <v>39</v>
      </c>
      <c r="F143" s="25">
        <v>46356.0</v>
      </c>
      <c r="G143" s="18">
        <f t="shared" si="1"/>
        <v>6</v>
      </c>
      <c r="H143" s="19">
        <f>VLOOKUP(A143,Metrik!$C$2:$Y$959,8,0)</f>
        <v>15</v>
      </c>
      <c r="I143" s="20">
        <f>VLOOKUP(A143,Metrik!$C$2:$Y$959,9,0)</f>
        <v>4.6</v>
      </c>
      <c r="J143" s="20">
        <f>VLOOKUP(A143,Metrik!$C$2:$Y$959,10,0)</f>
        <v>30.6</v>
      </c>
      <c r="K143" s="20">
        <f>VLOOKUP(A143,Metrik!$C$2:$Y$959,11,0)</f>
        <v>11.3</v>
      </c>
      <c r="L143" s="20">
        <f>VLOOKUP(A143,Metrik!$C$2:$Y$959,12,0)</f>
        <v>1.7</v>
      </c>
      <c r="M143" s="20">
        <f>VLOOKUP(A143,Metrik!$C$2:$Y$959,19,0)</f>
        <v>87.9</v>
      </c>
      <c r="N143" s="21"/>
      <c r="O143" s="21"/>
      <c r="P143" s="21"/>
      <c r="Q143" s="21"/>
      <c r="R143" s="21"/>
      <c r="S143" s="21"/>
      <c r="T143" s="21"/>
      <c r="U143" s="22">
        <f>IFERROR(__xludf.DUMMYFUNCTION("IFERROR(GOOGLEFINANCE(A143,""closeyest""),"""")"),9.98)</f>
        <v>9.98</v>
      </c>
      <c r="V143" s="23">
        <f>IFERROR(__xludf.DUMMYFUNCTION("IFERROR(GOOGLEFINANCE(A143,""changepct""),"""")"),0.0)</f>
        <v>0</v>
      </c>
      <c r="W143" s="22" t="str">
        <f>IFERROR(__xludf.DUMMYFUNCTION("IFERROR(GOOGLEFINANCE(A143,""priceopen""),"""")"),"")</f>
        <v/>
      </c>
      <c r="X143" s="22" t="str">
        <f>IFERROR(__xludf.DUMMYFUNCTION("IFERROR(GOOGLEFINANCE(A143,""high""),"""")"),"")</f>
        <v/>
      </c>
      <c r="Y143" s="22" t="str">
        <f>IFERROR(__xludf.DUMMYFUNCTION("IFERROR(GOOGLEFINANCE(A143,""low""),"""")"),"")</f>
        <v/>
      </c>
      <c r="Z143" s="22">
        <f>IFERROR(__xludf.DUMMYFUNCTION("IFERROR(GOOGLEFINANCE(A143,""volume""),"""")"),20.0)</f>
        <v>20</v>
      </c>
      <c r="AA143" s="24" t="str">
        <f>VLOOKUP(A143,Metrik!$C$2:$Y$959,5,0)</f>
        <v>Metals &amp; Minerals</v>
      </c>
      <c r="AB143" s="24" t="str">
        <f>VLOOKUP(A143,Metrik!$C$2:$Y$959,3,0)</f>
        <v>Basic Materials</v>
      </c>
    </row>
    <row r="144">
      <c r="A144" s="14" t="s">
        <v>113</v>
      </c>
      <c r="B144" s="14" t="str">
        <f t="array" ref="B144">VLOOKUP(A144,{Metrik!$C$2:$C$998,Metrik!$B$2:$B$998},2,0)</f>
        <v>Dunia Virtual Online Tbk.</v>
      </c>
      <c r="C144" s="15">
        <f>IFERROR(__xludf.DUMMYFUNCTION("GOOGLEFINANCE(""IDX:""&amp;A144,""price"")"),226.0)</f>
        <v>226</v>
      </c>
      <c r="D144" s="16" t="str">
        <f>IFERROR(__xludf.DUMMYFUNCTION("IF(A144="""","""",
SPARKLINE(
INDEX(
GOOGLEFINANCE(""IDX:""&amp;A144,""close"",TODAY()-365,TODAY()),
,2
),
{""linewidth"",1}
))
"),"#N/A")</f>
        <v>#N/A</v>
      </c>
      <c r="E144" s="26"/>
      <c r="F144" s="26"/>
      <c r="G144" s="24">
        <f t="shared" si="1"/>
        <v>0</v>
      </c>
      <c r="H144" s="19">
        <f>VLOOKUP(A144,Metrik!$C$2:$Y$959,8,0)</f>
        <v>62.1</v>
      </c>
      <c r="I144" s="20">
        <f>VLOOKUP(A144,Metrik!$C$2:$Y$959,9,0)</f>
        <v>2.2</v>
      </c>
      <c r="J144" s="20">
        <f>VLOOKUP(A144,Metrik!$C$2:$Y$959,10,0)</f>
        <v>3.6</v>
      </c>
      <c r="K144" s="20">
        <f>VLOOKUP(A144,Metrik!$C$2:$Y$959,11,0)</f>
        <v>3.2</v>
      </c>
      <c r="L144" s="20">
        <f>VLOOKUP(A144,Metrik!$C$2:$Y$959,12,0)</f>
        <v>0.11</v>
      </c>
      <c r="M144" s="20">
        <f>VLOOKUP(A144,Metrik!$C$2:$Y$959,19,0)</f>
        <v>45.4</v>
      </c>
      <c r="N144" s="21"/>
      <c r="O144" s="21"/>
      <c r="P144" s="21"/>
      <c r="Q144" s="21"/>
      <c r="R144" s="21"/>
      <c r="S144" s="21"/>
      <c r="T144" s="21"/>
      <c r="U144" s="22">
        <f>IFERROR(__xludf.DUMMYFUNCTION("IFERROR(GOOGLEFINANCE(A144,""closeyest""),"""")"),206.0)</f>
        <v>206</v>
      </c>
      <c r="V144" s="23">
        <f>IFERROR(__xludf.DUMMYFUNCTION("IFERROR(GOOGLEFINANCE(A144,""changepct""),"""")"),9.71)</f>
        <v>9.71</v>
      </c>
      <c r="W144" s="22">
        <f>IFERROR(__xludf.DUMMYFUNCTION("IFERROR(GOOGLEFINANCE(A144,""priceopen""),"""")"),200.0)</f>
        <v>200</v>
      </c>
      <c r="X144" s="22">
        <f>IFERROR(__xludf.DUMMYFUNCTION("IFERROR(GOOGLEFINANCE(A144,""high""),"""")"),240.0)</f>
        <v>240</v>
      </c>
      <c r="Y144" s="22">
        <f>IFERROR(__xludf.DUMMYFUNCTION("IFERROR(GOOGLEFINANCE(A144,""low""),"""")"),200.0)</f>
        <v>200</v>
      </c>
      <c r="Z144" s="22">
        <f>IFERROR(__xludf.DUMMYFUNCTION("IFERROR(GOOGLEFINANCE(A144,""volume""),"""")"),1605600.0)</f>
        <v>1605600</v>
      </c>
      <c r="AA144" s="24" t="str">
        <f>VLOOKUP(A144,Metrik!$C$2:$Y$959,5,0)</f>
        <v>IT Services &amp; Consulting</v>
      </c>
      <c r="AB144" s="24" t="str">
        <f>VLOOKUP(A144,Metrik!$C$2:$Y$959,3,0)</f>
        <v>Technology</v>
      </c>
    </row>
    <row r="145">
      <c r="A145" s="14" t="s">
        <v>114</v>
      </c>
      <c r="B145" s="14" t="str">
        <f t="array" ref="B145">VLOOKUP(A145,{Metrik!$C$2:$C$998,Metrik!$B$2:$B$998},2,0)</f>
        <v>Argo Pantes Tbk</v>
      </c>
      <c r="C145" s="15">
        <f>IFERROR(__xludf.DUMMYFUNCTION("GOOGLEFINANCE(""IDX:""&amp;A145,""price"")"),850.0)</f>
        <v>850</v>
      </c>
      <c r="D145" s="16" t="str">
        <f>IFERROR(__xludf.DUMMYFUNCTION("IF(A145="""","""",
SPARKLINE(
INDEX(
GOOGLEFINANCE(""IDX:""&amp;A145,""close"",TODAY()-365,TODAY()),
,2
),
{""linewidth"",1}
))
"),"#N/A")</f>
        <v>#N/A</v>
      </c>
      <c r="E145" s="26"/>
      <c r="F145" s="26"/>
      <c r="G145" s="24">
        <f t="shared" si="1"/>
        <v>0</v>
      </c>
      <c r="H145" s="19">
        <f>VLOOKUP(A145,Metrik!$C$2:$Y$959,8,0)</f>
        <v>39</v>
      </c>
      <c r="I145" s="20">
        <f>VLOOKUP(A145,Metrik!$C$2:$Y$959,9,0)</f>
        <v>14.4</v>
      </c>
      <c r="J145" s="20">
        <f>VLOOKUP(A145,Metrik!$C$2:$Y$959,10,0)</f>
        <v>36.9</v>
      </c>
      <c r="K145" s="20">
        <f>VLOOKUP(A145,Metrik!$C$2:$Y$959,11,0)</f>
        <v>6.3</v>
      </c>
      <c r="L145" s="20">
        <f>VLOOKUP(A145,Metrik!$C$2:$Y$959,12,0)</f>
        <v>4.8</v>
      </c>
      <c r="M145" s="20">
        <f>VLOOKUP(A145,Metrik!$C$2:$Y$959,19,0)</f>
        <v>63.4</v>
      </c>
      <c r="N145" s="21"/>
      <c r="O145" s="21"/>
      <c r="P145" s="21"/>
      <c r="Q145" s="21"/>
      <c r="R145" s="21"/>
      <c r="S145" s="21"/>
      <c r="T145" s="21"/>
      <c r="U145" s="22">
        <f>IFERROR(__xludf.DUMMYFUNCTION("IFERROR(GOOGLEFINANCE(A145,""closeyest""),"""")"),0.82)</f>
        <v>0.82</v>
      </c>
      <c r="V145" s="23">
        <f>IFERROR(__xludf.DUMMYFUNCTION("IFERROR(GOOGLEFINANCE(A145,""changepct""),"""")"),1.22)</f>
        <v>1.22</v>
      </c>
      <c r="W145" s="22">
        <f>IFERROR(__xludf.DUMMYFUNCTION("IFERROR(GOOGLEFINANCE(A145,""priceopen""),"""")"),0.81)</f>
        <v>0.81</v>
      </c>
      <c r="X145" s="22">
        <f>IFERROR(__xludf.DUMMYFUNCTION("IFERROR(GOOGLEFINANCE(A145,""high""),"""")"),0.83)</f>
        <v>0.83</v>
      </c>
      <c r="Y145" s="22">
        <f>IFERROR(__xludf.DUMMYFUNCTION("IFERROR(GOOGLEFINANCE(A145,""low""),"""")"),0.81)</f>
        <v>0.81</v>
      </c>
      <c r="Z145" s="22">
        <f>IFERROR(__xludf.DUMMYFUNCTION("IFERROR(GOOGLEFINANCE(A145,""volume""),"""")"),14100.0)</f>
        <v>14100</v>
      </c>
      <c r="AA145" s="24" t="str">
        <f>VLOOKUP(A145,Metrik!$C$2:$Y$959,5,0)</f>
        <v>Apparel &amp; Luxury Goods</v>
      </c>
      <c r="AB145" s="24" t="str">
        <f>VLOOKUP(A145,Metrik!$C$2:$Y$959,3,0)</f>
        <v>Consumer Cyclicals</v>
      </c>
    </row>
    <row r="146">
      <c r="A146" s="14" t="s">
        <v>115</v>
      </c>
      <c r="B146" s="14" t="str">
        <f t="array" ref="B146">VLOOKUP(A146,{Metrik!$C$2:$C$998,Metrik!$B$2:$B$998},2,0)</f>
        <v>Atlas Resources Tbk.</v>
      </c>
      <c r="C146" s="15">
        <f>IFERROR(__xludf.DUMMYFUNCTION("GOOGLEFINANCE(""IDX:""&amp;A146,""price"")"),284.0)</f>
        <v>284</v>
      </c>
      <c r="D146" s="16" t="str">
        <f>IFERROR(__xludf.DUMMYFUNCTION("IF(A146="""","""",
SPARKLINE(
INDEX(
GOOGLEFINANCE(""IDX:""&amp;A146,""close"",TODAY()-365,TODAY()),
,2
),
{""linewidth"",1}
))
"),"#N/A")</f>
        <v>#N/A</v>
      </c>
      <c r="E146" s="26"/>
      <c r="F146" s="26"/>
      <c r="G146" s="24">
        <f t="shared" si="1"/>
        <v>0</v>
      </c>
      <c r="H146" s="19">
        <f>VLOOKUP(A146,Metrik!$C$2:$Y$959,8,0)</f>
        <v>-20.8</v>
      </c>
      <c r="I146" s="20">
        <f>VLOOKUP(A146,Metrik!$C$2:$Y$959,9,0)</f>
        <v>0.67</v>
      </c>
      <c r="J146" s="20">
        <f>VLOOKUP(A146,Metrik!$C$2:$Y$959,10,0)</f>
        <v>-3.2</v>
      </c>
      <c r="K146" s="20">
        <f>VLOOKUP(A146,Metrik!$C$2:$Y$959,11,0)</f>
        <v>-0.47</v>
      </c>
      <c r="L146" s="20">
        <f>VLOOKUP(A146,Metrik!$C$2:$Y$959,12,0)</f>
        <v>5.9</v>
      </c>
      <c r="M146" s="20">
        <f>VLOOKUP(A146,Metrik!$C$2:$Y$959,19,0)</f>
        <v>-2.7</v>
      </c>
      <c r="N146" s="21"/>
      <c r="O146" s="21"/>
      <c r="P146" s="21"/>
      <c r="Q146" s="21"/>
      <c r="R146" s="21"/>
      <c r="S146" s="21"/>
      <c r="T146" s="21"/>
      <c r="U146" s="22">
        <f>IFERROR(__xludf.DUMMYFUNCTION("IFERROR(GOOGLEFINANCE(A146,""closeyest""),"""")"),278.0)</f>
        <v>278</v>
      </c>
      <c r="V146" s="23">
        <f>IFERROR(__xludf.DUMMYFUNCTION("IFERROR(GOOGLEFINANCE(A146,""changepct""),"""")"),2.16)</f>
        <v>2.16</v>
      </c>
      <c r="W146" s="22">
        <f>IFERROR(__xludf.DUMMYFUNCTION("IFERROR(GOOGLEFINANCE(A146,""priceopen""),"""")"),278.0)</f>
        <v>278</v>
      </c>
      <c r="X146" s="22">
        <f>IFERROR(__xludf.DUMMYFUNCTION("IFERROR(GOOGLEFINANCE(A146,""high""),"""")"),286.0)</f>
        <v>286</v>
      </c>
      <c r="Y146" s="22">
        <f>IFERROR(__xludf.DUMMYFUNCTION("IFERROR(GOOGLEFINANCE(A146,""low""),"""")"),276.0)</f>
        <v>276</v>
      </c>
      <c r="Z146" s="22">
        <f>IFERROR(__xludf.DUMMYFUNCTION("IFERROR(GOOGLEFINANCE(A146,""volume""),"""")"),91600.0)</f>
        <v>91600</v>
      </c>
      <c r="AA146" s="24" t="str">
        <f>VLOOKUP(A146,Metrik!$C$2:$Y$959,5,0)</f>
        <v>Coal</v>
      </c>
      <c r="AB146" s="24" t="str">
        <f>VLOOKUP(A146,Metrik!$C$2:$Y$959,3,0)</f>
        <v>Energy</v>
      </c>
    </row>
    <row r="147">
      <c r="A147" s="14" t="s">
        <v>116</v>
      </c>
      <c r="B147" s="14" t="str">
        <f t="array" ref="B147">VLOOKUP(A147,{Metrik!$C$2:$C$998,Metrik!$B$2:$B$998},2,0)</f>
        <v>Arkha Jayanti Persada Tbk.</v>
      </c>
      <c r="C147" s="15">
        <f>IFERROR(__xludf.DUMMYFUNCTION("GOOGLEFINANCE(""IDX:""&amp;A147,""price"")"),27.0)</f>
        <v>27</v>
      </c>
      <c r="D147" s="16" t="str">
        <f>IFERROR(__xludf.DUMMYFUNCTION("IF(A147="""","""",
SPARKLINE(
INDEX(
GOOGLEFINANCE(""IDX:""&amp;A147,""close"",TODAY()-365,TODAY()),
,2
),
{""linewidth"",1}
))
"),"#N/A")</f>
        <v>#N/A</v>
      </c>
      <c r="E147" s="26"/>
      <c r="F147" s="26"/>
      <c r="G147" s="24">
        <f t="shared" si="1"/>
        <v>0</v>
      </c>
      <c r="H147" s="19">
        <f>VLOOKUP(A147,Metrik!$C$2:$Y$959,8,0)</f>
        <v>18</v>
      </c>
      <c r="I147" s="20">
        <f>VLOOKUP(A147,Metrik!$C$2:$Y$959,9,0)</f>
        <v>0.54</v>
      </c>
      <c r="J147" s="20">
        <f>VLOOKUP(A147,Metrik!$C$2:$Y$959,10,0)</f>
        <v>3</v>
      </c>
      <c r="K147" s="20">
        <f>VLOOKUP(A147,Metrik!$C$2:$Y$959,11,0)</f>
        <v>0.8</v>
      </c>
      <c r="L147" s="20">
        <f>VLOOKUP(A147,Metrik!$C$2:$Y$959,12,0)</f>
        <v>2.8</v>
      </c>
      <c r="M147" s="20">
        <f>VLOOKUP(A147,Metrik!$C$2:$Y$959,19,0)</f>
        <v>3.5</v>
      </c>
      <c r="N147" s="21"/>
      <c r="O147" s="21"/>
      <c r="P147" s="21"/>
      <c r="Q147" s="21"/>
      <c r="R147" s="21"/>
      <c r="S147" s="21"/>
      <c r="T147" s="21"/>
      <c r="U147" s="22">
        <f>IFERROR(__xludf.DUMMYFUNCTION("IFERROR(GOOGLEFINANCE(A147,""closeyest""),"""")"),27.0)</f>
        <v>27</v>
      </c>
      <c r="V147" s="23">
        <f>IFERROR(__xludf.DUMMYFUNCTION("IFERROR(GOOGLEFINANCE(A147,""changepct""),"""")"),0.0)</f>
        <v>0</v>
      </c>
      <c r="W147" s="22">
        <f>IFERROR(__xludf.DUMMYFUNCTION("IFERROR(GOOGLEFINANCE(A147,""priceopen""),"""")"),28.0)</f>
        <v>28</v>
      </c>
      <c r="X147" s="22">
        <f>IFERROR(__xludf.DUMMYFUNCTION("IFERROR(GOOGLEFINANCE(A147,""high""),"""")"),28.0)</f>
        <v>28</v>
      </c>
      <c r="Y147" s="22">
        <f>IFERROR(__xludf.DUMMYFUNCTION("IFERROR(GOOGLEFINANCE(A147,""low""),"""")"),27.0)</f>
        <v>27</v>
      </c>
      <c r="Z147" s="22">
        <f>IFERROR(__xludf.DUMMYFUNCTION("IFERROR(GOOGLEFINANCE(A147,""volume""),"""")"),1459800.0)</f>
        <v>1459800</v>
      </c>
      <c r="AA147" s="24" t="str">
        <f>VLOOKUP(A147,Metrik!$C$2:$Y$959,5,0)</f>
        <v>Machinery</v>
      </c>
      <c r="AB147" s="24" t="str">
        <f>VLOOKUP(A147,Metrik!$C$2:$Y$959,3,0)</f>
        <v>Industrials</v>
      </c>
    </row>
    <row r="148">
      <c r="A148" s="14" t="s">
        <v>117</v>
      </c>
      <c r="B148" s="14" t="str">
        <f t="array" ref="B148">VLOOKUP(A148,{Metrik!$C$2:$C$998,Metrik!$B$2:$B$998},2,0)</f>
        <v>Arkora Hydro Tbk.</v>
      </c>
      <c r="C148" s="15">
        <f>IFERROR(__xludf.DUMMYFUNCTION("GOOGLEFINANCE(""IDX:""&amp;A148,""price"")"),5375.0)</f>
        <v>5375</v>
      </c>
      <c r="D148" s="16" t="str">
        <f>IFERROR(__xludf.DUMMYFUNCTION("IF(A148="""","""",
SPARKLINE(
INDEX(
GOOGLEFINANCE(""IDX:""&amp;A148,""close"",TODAY()-365,TODAY()),
,2
),
{""linewidth"",1}
))
"),"#N/A")</f>
        <v>#N/A</v>
      </c>
      <c r="E148" s="26"/>
      <c r="F148" s="26"/>
      <c r="G148" s="24">
        <f t="shared" si="1"/>
        <v>0</v>
      </c>
      <c r="H148" s="19">
        <f>VLOOKUP(A148,Metrik!$C$2:$Y$959,8,0)</f>
        <v>300</v>
      </c>
      <c r="I148" s="20">
        <f>VLOOKUP(A148,Metrik!$C$2:$Y$959,9,0)</f>
        <v>33.6</v>
      </c>
      <c r="J148" s="20">
        <f>VLOOKUP(A148,Metrik!$C$2:$Y$959,10,0)</f>
        <v>11.3</v>
      </c>
      <c r="K148" s="20">
        <f>VLOOKUP(A148,Metrik!$C$2:$Y$959,11,0)</f>
        <v>3.5</v>
      </c>
      <c r="L148" s="20">
        <f>VLOOKUP(A148,Metrik!$C$2:$Y$959,12,0)</f>
        <v>2.2</v>
      </c>
      <c r="M148" s="20">
        <f>VLOOKUP(A148,Metrik!$C$2:$Y$959,19,0)</f>
        <v>88.3</v>
      </c>
      <c r="N148" s="21"/>
      <c r="O148" s="21"/>
      <c r="P148" s="21"/>
      <c r="Q148" s="21"/>
      <c r="R148" s="21"/>
      <c r="S148" s="21"/>
      <c r="T148" s="21"/>
      <c r="U148" s="22">
        <f>IFERROR(__xludf.DUMMYFUNCTION("IFERROR(GOOGLEFINANCE(A148,""closeyest""),"""")"),8.64)</f>
        <v>8.64</v>
      </c>
      <c r="V148" s="23">
        <f>IFERROR(__xludf.DUMMYFUNCTION("IFERROR(GOOGLEFINANCE(A148,""changepct""),"""")"),-0.12)</f>
        <v>-0.12</v>
      </c>
      <c r="W148" s="22">
        <f>IFERROR(__xludf.DUMMYFUNCTION("IFERROR(GOOGLEFINANCE(A148,""priceopen""),"""")"),8.67)</f>
        <v>8.67</v>
      </c>
      <c r="X148" s="22">
        <f>IFERROR(__xludf.DUMMYFUNCTION("IFERROR(GOOGLEFINANCE(A148,""high""),"""")"),8.76)</f>
        <v>8.76</v>
      </c>
      <c r="Y148" s="22">
        <f>IFERROR(__xludf.DUMMYFUNCTION("IFERROR(GOOGLEFINANCE(A148,""low""),"""")"),8.38)</f>
        <v>8.38</v>
      </c>
      <c r="Z148" s="22">
        <f>IFERROR(__xludf.DUMMYFUNCTION("IFERROR(GOOGLEFINANCE(A148,""volume""),"""")"),664190.0)</f>
        <v>664190</v>
      </c>
      <c r="AA148" s="24" t="str">
        <f>VLOOKUP(A148,Metrik!$C$2:$Y$959,5,0)</f>
        <v>Electric Utilities</v>
      </c>
      <c r="AB148" s="24" t="str">
        <f>VLOOKUP(A148,Metrik!$C$2:$Y$959,3,0)</f>
        <v>Infrastructures</v>
      </c>
    </row>
    <row r="149">
      <c r="A149" s="14" t="s">
        <v>118</v>
      </c>
      <c r="B149" s="14" t="str">
        <f t="array" ref="B149">VLOOKUP(A149,{Metrik!$C$2:$C$998,Metrik!$B$2:$B$998},2,0)</f>
        <v>Armidian Karyatama Tbk.</v>
      </c>
      <c r="C149" s="15">
        <f>IFERROR(__xludf.DUMMYFUNCTION("GOOGLEFINANCE(""IDX:""&amp;A149,""price"")"),50.0)</f>
        <v>50</v>
      </c>
      <c r="D149" s="16" t="str">
        <f>IFERROR(__xludf.DUMMYFUNCTION("IF(A149="""","""",
SPARKLINE(
INDEX(
GOOGLEFINANCE(""IDX:""&amp;A149,""close"",TODAY()-365,TODAY()),
,2
),
{""linewidth"",1}
))
"),"#N/A")</f>
        <v>#N/A</v>
      </c>
      <c r="E149" s="26"/>
      <c r="F149" s="26"/>
      <c r="G149" s="24">
        <f t="shared" si="1"/>
        <v>0</v>
      </c>
      <c r="H149" s="19">
        <f>VLOOKUP(A149,Metrik!$C$2:$Y$959,8,0)</f>
        <v>0</v>
      </c>
      <c r="I149" s="20">
        <f>VLOOKUP(A149,Metrik!$C$2:$Y$959,9,0)</f>
        <v>0.31</v>
      </c>
      <c r="J149" s="20">
        <f>VLOOKUP(A149,Metrik!$C$2:$Y$959,10,0)</f>
        <v>0.37</v>
      </c>
      <c r="K149" s="20">
        <f>VLOOKUP(A149,Metrik!$C$2:$Y$959,11,0)</f>
        <v>0.32</v>
      </c>
      <c r="L149" s="20">
        <f>VLOOKUP(A149,Metrik!$C$2:$Y$959,12,0)</f>
        <v>0.16</v>
      </c>
      <c r="M149" s="20">
        <f>VLOOKUP(A149,Metrik!$C$2:$Y$959,19,0)</f>
        <v>13.3</v>
      </c>
      <c r="N149" s="21"/>
      <c r="O149" s="21"/>
      <c r="P149" s="21"/>
      <c r="Q149" s="21"/>
      <c r="R149" s="21"/>
      <c r="S149" s="21"/>
      <c r="T149" s="21"/>
      <c r="U149" s="22">
        <f>IFERROR(__xludf.DUMMYFUNCTION("IFERROR(GOOGLEFINANCE(A149,""closeyest""),"""")"),25.53)</f>
        <v>25.53</v>
      </c>
      <c r="V149" s="23">
        <f>IFERROR(__xludf.DUMMYFUNCTION("IFERROR(GOOGLEFINANCE(A149,""changepct""),"""")"),-3.13)</f>
        <v>-3.13</v>
      </c>
      <c r="W149" s="22">
        <f>IFERROR(__xludf.DUMMYFUNCTION("IFERROR(GOOGLEFINANCE(A149,""priceopen""),"""")"),24.73)</f>
        <v>24.73</v>
      </c>
      <c r="X149" s="22">
        <f>IFERROR(__xludf.DUMMYFUNCTION("IFERROR(GOOGLEFINANCE(A149,""high""),"""")"),24.91)</f>
        <v>24.91</v>
      </c>
      <c r="Y149" s="22">
        <f>IFERROR(__xludf.DUMMYFUNCTION("IFERROR(GOOGLEFINANCE(A149,""low""),"""")"),24.73)</f>
        <v>24.73</v>
      </c>
      <c r="Z149" s="22">
        <f>IFERROR(__xludf.DUMMYFUNCTION("IFERROR(GOOGLEFINANCE(A149,""volume""),"""")"),1380.0)</f>
        <v>1380</v>
      </c>
      <c r="AA149" s="24" t="str">
        <f>VLOOKUP(A149,Metrik!$C$2:$Y$959,5,0)</f>
        <v>Real Estate Management &amp; Development</v>
      </c>
      <c r="AB149" s="24" t="str">
        <f>VLOOKUP(A149,Metrik!$C$2:$Y$959,3,0)</f>
        <v>Properties &amp; Real Estate</v>
      </c>
    </row>
    <row r="150">
      <c r="A150" s="17" t="s">
        <v>119</v>
      </c>
      <c r="B150" s="14" t="str">
        <f t="array" ref="B150">VLOOKUP(A150,{Metrik!$C$2:$C$998,Metrik!$B$2:$B$998},2,0)</f>
        <v>Arwana Citramulia Tbk.</v>
      </c>
      <c r="C150" s="15">
        <f>IFERROR(__xludf.DUMMYFUNCTION("GOOGLEFINANCE(""IDX:""&amp;A150,""price"")"),418.0)</f>
        <v>418</v>
      </c>
      <c r="D150" s="16" t="str">
        <f>IFERROR(__xludf.DUMMYFUNCTION("IF(A150="""","""",
SPARKLINE(
INDEX(
GOOGLEFINANCE(""IDX:""&amp;A150,""close"",TODAY()-365,TODAY()),
,2
),
{""linewidth"",1}
))
"),"#N/A")</f>
        <v>#N/A</v>
      </c>
      <c r="E150" s="14"/>
      <c r="F150" s="17"/>
      <c r="G150" s="18">
        <f t="shared" si="1"/>
        <v>0</v>
      </c>
      <c r="H150" s="19">
        <f>VLOOKUP(A150,Metrik!$C$2:$Y$959,8,0)</f>
        <v>8.7</v>
      </c>
      <c r="I150" s="20">
        <f>VLOOKUP(A150,Metrik!$C$2:$Y$959,9,0)</f>
        <v>1.6</v>
      </c>
      <c r="J150" s="20">
        <f>VLOOKUP(A150,Metrik!$C$2:$Y$959,10,0)</f>
        <v>18.8</v>
      </c>
      <c r="K150" s="20">
        <f>VLOOKUP(A150,Metrik!$C$2:$Y$959,11,0)</f>
        <v>12.9</v>
      </c>
      <c r="L150" s="20">
        <f>VLOOKUP(A150,Metrik!$C$2:$Y$959,12,0)</f>
        <v>0.46</v>
      </c>
      <c r="M150" s="20">
        <f>VLOOKUP(A150,Metrik!$C$2:$Y$959,19,0)</f>
        <v>59.9</v>
      </c>
      <c r="N150" s="21"/>
      <c r="O150" s="21"/>
      <c r="P150" s="21"/>
      <c r="Q150" s="21"/>
      <c r="R150" s="21"/>
      <c r="S150" s="21"/>
      <c r="T150" s="21"/>
      <c r="U150" s="22">
        <f>IFERROR(__xludf.DUMMYFUNCTION("IFERROR(GOOGLEFINANCE(A150,""closeyest""),"""")"),416.0)</f>
        <v>416</v>
      </c>
      <c r="V150" s="23">
        <f>IFERROR(__xludf.DUMMYFUNCTION("IFERROR(GOOGLEFINANCE(A150,""changepct""),"""")"),0.48)</f>
        <v>0.48</v>
      </c>
      <c r="W150" s="22">
        <f>IFERROR(__xludf.DUMMYFUNCTION("IFERROR(GOOGLEFINANCE(A150,""priceopen""),"""")"),420.0)</f>
        <v>420</v>
      </c>
      <c r="X150" s="22">
        <f>IFERROR(__xludf.DUMMYFUNCTION("IFERROR(GOOGLEFINANCE(A150,""high""),"""")"),436.0)</f>
        <v>436</v>
      </c>
      <c r="Y150" s="22">
        <f>IFERROR(__xludf.DUMMYFUNCTION("IFERROR(GOOGLEFINANCE(A150,""low""),"""")"),410.0)</f>
        <v>410</v>
      </c>
      <c r="Z150" s="22">
        <f>IFERROR(__xludf.DUMMYFUNCTION("IFERROR(GOOGLEFINANCE(A150,""volume""),"""")"),9533500.0)</f>
        <v>9533500</v>
      </c>
      <c r="AA150" s="24" t="str">
        <f>VLOOKUP(A150,Metrik!$C$2:$Y$959,5,0)</f>
        <v>Building Products &amp; Fixtures</v>
      </c>
      <c r="AB150" s="24" t="str">
        <f>VLOOKUP(A150,Metrik!$C$2:$Y$959,3,0)</f>
        <v>Industrials</v>
      </c>
    </row>
    <row r="151">
      <c r="A151" s="14" t="s">
        <v>120</v>
      </c>
      <c r="B151" s="14" t="str">
        <f t="array" ref="B151">VLOOKUP(A151,{Metrik!$C$2:$C$998,Metrik!$B$2:$B$998},2,0)</f>
        <v>Arthavest Tbk</v>
      </c>
      <c r="C151" s="15">
        <f>IFERROR(__xludf.DUMMYFUNCTION("GOOGLEFINANCE(""IDX:""&amp;A151,""price"")"),2280.0)</f>
        <v>2280</v>
      </c>
      <c r="D151" s="16" t="str">
        <f>IFERROR(__xludf.DUMMYFUNCTION("IF(A151="""","""",
SPARKLINE(
INDEX(
GOOGLEFINANCE(""IDX:""&amp;A151,""close"",TODAY()-365,TODAY()),
,2
),
{""linewidth"",1}
))
"),"#N/A")</f>
        <v>#N/A</v>
      </c>
      <c r="E151" s="26"/>
      <c r="F151" s="26"/>
      <c r="G151" s="24">
        <f t="shared" si="1"/>
        <v>0</v>
      </c>
      <c r="H151" s="19">
        <f>VLOOKUP(A151,Metrik!$C$2:$Y$959,8,0)</f>
        <v>-300</v>
      </c>
      <c r="I151" s="20">
        <f>VLOOKUP(A151,Metrik!$C$2:$Y$959,9,0)</f>
        <v>4.1</v>
      </c>
      <c r="J151" s="20">
        <f>VLOOKUP(A151,Metrik!$C$2:$Y$959,10,0)</f>
        <v>-1.4</v>
      </c>
      <c r="K151" s="20">
        <f>VLOOKUP(A151,Metrik!$C$2:$Y$959,11,0)</f>
        <v>-1.3</v>
      </c>
      <c r="L151" s="20">
        <f>VLOOKUP(A151,Metrik!$C$2:$Y$959,12,0)</f>
        <v>0.03</v>
      </c>
      <c r="M151" s="20">
        <f>VLOOKUP(A151,Metrik!$C$2:$Y$959,19,0)</f>
        <v>-30.6</v>
      </c>
      <c r="N151" s="21"/>
      <c r="O151" s="21"/>
      <c r="P151" s="21"/>
      <c r="Q151" s="21"/>
      <c r="R151" s="21"/>
      <c r="S151" s="21"/>
      <c r="T151" s="21"/>
      <c r="U151" s="22">
        <f>IFERROR(__xludf.DUMMYFUNCTION("IFERROR(GOOGLEFINANCE(A151,""closeyest""),"""")"),2200.0)</f>
        <v>2200</v>
      </c>
      <c r="V151" s="23">
        <f>IFERROR(__xludf.DUMMYFUNCTION("IFERROR(GOOGLEFINANCE(A151,""changepct""),"""")"),3.64)</f>
        <v>3.64</v>
      </c>
      <c r="W151" s="22">
        <f>IFERROR(__xludf.DUMMYFUNCTION("IFERROR(GOOGLEFINANCE(A151,""priceopen""),"""")"),2210.0)</f>
        <v>2210</v>
      </c>
      <c r="X151" s="22">
        <f>IFERROR(__xludf.DUMMYFUNCTION("IFERROR(GOOGLEFINANCE(A151,""high""),"""")"),2280.0)</f>
        <v>2280</v>
      </c>
      <c r="Y151" s="22">
        <f>IFERROR(__xludf.DUMMYFUNCTION("IFERROR(GOOGLEFINANCE(A151,""low""),"""")"),2210.0)</f>
        <v>2210</v>
      </c>
      <c r="Z151" s="22">
        <f>IFERROR(__xludf.DUMMYFUNCTION("IFERROR(GOOGLEFINANCE(A151,""volume""),"""")"),500.0)</f>
        <v>500</v>
      </c>
      <c r="AA151" s="24" t="str">
        <f>VLOOKUP(A151,Metrik!$C$2:$Y$959,5,0)</f>
        <v>Tourism &amp; Recreation</v>
      </c>
      <c r="AB151" s="24" t="str">
        <f>VLOOKUP(A151,Metrik!$C$2:$Y$959,3,0)</f>
        <v>Consumer Cyclicals</v>
      </c>
    </row>
    <row r="152">
      <c r="A152" s="14" t="s">
        <v>121</v>
      </c>
      <c r="B152" s="14" t="str">
        <f t="array" ref="B152">VLOOKUP(A152,{Metrik!$C$2:$C$998,Metrik!$B$2:$B$998},2,0)</f>
        <v>Ratu Prabu Energi Tbk</v>
      </c>
      <c r="C152" s="15">
        <f>IFERROR(__xludf.DUMMYFUNCTION("GOOGLEFINANCE(""IDX:""&amp;A152,""price"")"),2.0)</f>
        <v>2</v>
      </c>
      <c r="D152" s="16" t="str">
        <f>IFERROR(__xludf.DUMMYFUNCTION("IF(A152="""","""",
SPARKLINE(
INDEX(
GOOGLEFINANCE(""IDX:""&amp;A152,""close"",TODAY()-365,TODAY()),
,2
),
{""linewidth"",1}
))
"),"#N/A")</f>
        <v>#N/A</v>
      </c>
      <c r="E152" s="26"/>
      <c r="F152" s="26"/>
      <c r="G152" s="24">
        <f t="shared" si="1"/>
        <v>0</v>
      </c>
      <c r="H152" s="19">
        <f>VLOOKUP(A152,Metrik!$C$2:$Y$959,8,0)</f>
        <v>5.7</v>
      </c>
      <c r="I152" s="20">
        <f>VLOOKUP(A152,Metrik!$C$2:$Y$959,9,0)</f>
        <v>-0.07</v>
      </c>
      <c r="J152" s="20">
        <f>VLOOKUP(A152,Metrik!$C$2:$Y$959,10,0)</f>
        <v>0</v>
      </c>
      <c r="K152" s="20">
        <f>VLOOKUP(A152,Metrik!$C$2:$Y$959,11,0)</f>
        <v>0.51</v>
      </c>
      <c r="L152" s="20">
        <f>VLOOKUP(A152,Metrik!$C$2:$Y$959,12,0)</f>
        <v>-3.5</v>
      </c>
      <c r="M152" s="20">
        <f>VLOOKUP(A152,Metrik!$C$2:$Y$959,19,0)</f>
        <v>33.5</v>
      </c>
      <c r="N152" s="21"/>
      <c r="O152" s="21"/>
      <c r="P152" s="21"/>
      <c r="Q152" s="21"/>
      <c r="R152" s="21"/>
      <c r="S152" s="21"/>
      <c r="T152" s="21"/>
      <c r="U152" s="22" t="str">
        <f>IFERROR(__xludf.DUMMYFUNCTION("IFERROR(GOOGLEFINANCE(A152,""closeyest""),"""")"),"")</f>
        <v/>
      </c>
      <c r="V152" s="23">
        <f>IFERROR(__xludf.DUMMYFUNCTION("IFERROR(GOOGLEFINANCE(A152,""changepct""),"""")"),0.07)</f>
        <v>0.07</v>
      </c>
      <c r="W152" s="22">
        <f>IFERROR(__xludf.DUMMYFUNCTION("IFERROR(GOOGLEFINANCE(A152,""priceopen""),"""")"),15.32)</f>
        <v>15.32</v>
      </c>
      <c r="X152" s="22">
        <f>IFERROR(__xludf.DUMMYFUNCTION("IFERROR(GOOGLEFINANCE(A152,""high""),"""")"),15.33)</f>
        <v>15.33</v>
      </c>
      <c r="Y152" s="22">
        <f>IFERROR(__xludf.DUMMYFUNCTION("IFERROR(GOOGLEFINANCE(A152,""low""),"""")"),15.31)</f>
        <v>15.31</v>
      </c>
      <c r="Z152" s="22">
        <f>IFERROR(__xludf.DUMMYFUNCTION("IFERROR(GOOGLEFINANCE(A152,""volume""),"""")"),1967.0)</f>
        <v>1967</v>
      </c>
      <c r="AA152" s="24" t="str">
        <f>VLOOKUP(A152,Metrik!$C$2:$Y$959,5,0)</f>
        <v>Oil, Gas &amp; Coal Supports</v>
      </c>
      <c r="AB152" s="24" t="str">
        <f>VLOOKUP(A152,Metrik!$C$2:$Y$959,3,0)</f>
        <v>Energy</v>
      </c>
    </row>
    <row r="153">
      <c r="A153" s="14" t="s">
        <v>122</v>
      </c>
      <c r="B153" s="14" t="str">
        <f t="array" ref="B153">VLOOKUP(A153,{Metrik!$C$2:$C$998,Metrik!$B$2:$B$998},2,0)</f>
        <v>Bank Jago Tbk.</v>
      </c>
      <c r="C153" s="15">
        <f>IFERROR(__xludf.DUMMYFUNCTION("GOOGLEFINANCE(""IDX:""&amp;A153,""price"")"),1010.0)</f>
        <v>1010</v>
      </c>
      <c r="D153" s="16" t="str">
        <f>IFERROR(__xludf.DUMMYFUNCTION("IF(A153="""","""",
SPARKLINE(
INDEX(
GOOGLEFINANCE(""IDX:""&amp;A153,""close"",TODAY()-365,TODAY()),
,2
),
{""linewidth"",1}
))
"),"#N/A")</f>
        <v>#N/A</v>
      </c>
      <c r="E153" s="14" t="s">
        <v>41</v>
      </c>
      <c r="F153" s="14" t="s">
        <v>34</v>
      </c>
      <c r="G153" s="24">
        <f t="shared" si="1"/>
        <v>6</v>
      </c>
      <c r="H153" s="19">
        <f>VLOOKUP(A153,Metrik!$C$2:$Y$959,8,0)</f>
        <v>54.2</v>
      </c>
      <c r="I153" s="20">
        <f>VLOOKUP(A153,Metrik!$C$2:$Y$959,9,0)</f>
        <v>1.8</v>
      </c>
      <c r="J153" s="20">
        <f>VLOOKUP(A153,Metrik!$C$2:$Y$959,10,0)</f>
        <v>3.4</v>
      </c>
      <c r="K153" s="20">
        <f>VLOOKUP(A153,Metrik!$C$2:$Y$959,11,0)</f>
        <v>0.76</v>
      </c>
      <c r="L153" s="20">
        <f>VLOOKUP(A153,Metrik!$C$2:$Y$959,12,0)</f>
        <v>3.4</v>
      </c>
      <c r="M153" s="20">
        <f>VLOOKUP(A153,Metrik!$C$2:$Y$959,19,0)</f>
        <v>30</v>
      </c>
      <c r="N153" s="29">
        <v>7.34</v>
      </c>
      <c r="O153" s="29">
        <v>44.4</v>
      </c>
      <c r="P153" s="29">
        <v>94.08</v>
      </c>
      <c r="Q153" s="29">
        <v>0.16</v>
      </c>
      <c r="R153" s="29">
        <v>92.35</v>
      </c>
      <c r="S153" s="29">
        <v>73.73</v>
      </c>
      <c r="T153" s="39"/>
      <c r="U153" s="22">
        <f>IFERROR(__xludf.DUMMYFUNCTION("IFERROR(GOOGLEFINANCE(A153,""closeyest""),"""")"),9100.0)</f>
        <v>9100</v>
      </c>
      <c r="V153" s="23">
        <f>IFERROR(__xludf.DUMMYFUNCTION("IFERROR(GOOGLEFINANCE(A153,""changepct""),"""")"),0.0)</f>
        <v>0</v>
      </c>
      <c r="W153" s="22" t="str">
        <f>IFERROR(__xludf.DUMMYFUNCTION("IFERROR(GOOGLEFINANCE(A153,""priceopen""),"""")"),"")</f>
        <v/>
      </c>
      <c r="X153" s="22" t="str">
        <f>IFERROR(__xludf.DUMMYFUNCTION("IFERROR(GOOGLEFINANCE(A153,""high""),"""")"),"")</f>
        <v/>
      </c>
      <c r="Y153" s="22" t="str">
        <f>IFERROR(__xludf.DUMMYFUNCTION("IFERROR(GOOGLEFINANCE(A153,""low""),"""")"),"")</f>
        <v/>
      </c>
      <c r="Z153" s="22">
        <f>IFERROR(__xludf.DUMMYFUNCTION("IFERROR(GOOGLEFINANCE(A153,""volume""),"""")"),0.0)</f>
        <v>0</v>
      </c>
      <c r="AA153" s="24" t="str">
        <f>VLOOKUP(A153,Metrik!$C$2:$Y$959,5,0)</f>
        <v>Banks</v>
      </c>
      <c r="AB153" s="24" t="str">
        <f>VLOOKUP(A153,Metrik!$C$2:$Y$959,3,0)</f>
        <v>Financials</v>
      </c>
    </row>
    <row r="154">
      <c r="A154" s="14" t="s">
        <v>122</v>
      </c>
      <c r="B154" s="14" t="str">
        <f t="array" ref="B154">VLOOKUP(A154,{Metrik!$C$2:$C$998,Metrik!$B$2:$B$998},2,0)</f>
        <v>Bank Jago Tbk.</v>
      </c>
      <c r="C154" s="15">
        <f>IFERROR(__xludf.DUMMYFUNCTION("GOOGLEFINANCE(""IDX:""&amp;A154,""price"")"),1010.0)</f>
        <v>1010</v>
      </c>
      <c r="D154" s="16" t="str">
        <f>IFERROR(__xludf.DUMMYFUNCTION("IF(A154="""","""",
SPARKLINE(
INDEX(
GOOGLEFINANCE(""IDX:""&amp;A154,""close"",TODAY()-365,TODAY()),
,2
),
{""linewidth"",1}
))
"),"#N/A")</f>
        <v>#N/A</v>
      </c>
      <c r="E154" s="14" t="s">
        <v>28</v>
      </c>
      <c r="F154" s="17" t="s">
        <v>29</v>
      </c>
      <c r="G154" s="24">
        <f t="shared" si="1"/>
        <v>6</v>
      </c>
      <c r="H154" s="19">
        <f>VLOOKUP(A154,Metrik!$C$2:$Y$959,8,0)</f>
        <v>54.2</v>
      </c>
      <c r="I154" s="20">
        <f>VLOOKUP(A154,Metrik!$C$2:$Y$959,9,0)</f>
        <v>1.8</v>
      </c>
      <c r="J154" s="20">
        <f>VLOOKUP(A154,Metrik!$C$2:$Y$959,10,0)</f>
        <v>3.4</v>
      </c>
      <c r="K154" s="20">
        <f>VLOOKUP(A154,Metrik!$C$2:$Y$959,11,0)</f>
        <v>0.76</v>
      </c>
      <c r="L154" s="20">
        <f>VLOOKUP(A154,Metrik!$C$2:$Y$959,12,0)</f>
        <v>3.4</v>
      </c>
      <c r="M154" s="20">
        <f>VLOOKUP(A154,Metrik!$C$2:$Y$959,19,0)</f>
        <v>30</v>
      </c>
      <c r="N154" s="29">
        <v>7.34</v>
      </c>
      <c r="O154" s="29">
        <v>44.4</v>
      </c>
      <c r="P154" s="29">
        <v>94.08</v>
      </c>
      <c r="Q154" s="29">
        <v>0.16</v>
      </c>
      <c r="R154" s="29">
        <v>92.35</v>
      </c>
      <c r="S154" s="29">
        <v>73.73</v>
      </c>
      <c r="T154" s="39"/>
      <c r="U154" s="22">
        <f>IFERROR(__xludf.DUMMYFUNCTION("IFERROR(GOOGLEFINANCE(A154,""closeyest""),"""")"),9100.0)</f>
        <v>9100</v>
      </c>
      <c r="V154" s="23">
        <f>IFERROR(__xludf.DUMMYFUNCTION("IFERROR(GOOGLEFINANCE(A154,""changepct""),"""")"),0.0)</f>
        <v>0</v>
      </c>
      <c r="W154" s="22" t="str">
        <f>IFERROR(__xludf.DUMMYFUNCTION("IFERROR(GOOGLEFINANCE(A154,""priceopen""),"""")"),"")</f>
        <v/>
      </c>
      <c r="X154" s="22" t="str">
        <f>IFERROR(__xludf.DUMMYFUNCTION("IFERROR(GOOGLEFINANCE(A154,""high""),"""")"),"")</f>
        <v/>
      </c>
      <c r="Y154" s="22" t="str">
        <f>IFERROR(__xludf.DUMMYFUNCTION("IFERROR(GOOGLEFINANCE(A154,""low""),"""")"),"")</f>
        <v/>
      </c>
      <c r="Z154" s="22">
        <f>IFERROR(__xludf.DUMMYFUNCTION("IFERROR(GOOGLEFINANCE(A154,""volume""),"""")"),0.0)</f>
        <v>0</v>
      </c>
      <c r="AA154" s="24" t="str">
        <f>VLOOKUP(A154,Metrik!$C$2:$Y$959,5,0)</f>
        <v>Banks</v>
      </c>
      <c r="AB154" s="24" t="str">
        <f>VLOOKUP(A154,Metrik!$C$2:$Y$959,3,0)</f>
        <v>Financials</v>
      </c>
    </row>
    <row r="155">
      <c r="A155" s="14" t="s">
        <v>122</v>
      </c>
      <c r="B155" s="14" t="str">
        <f t="array" ref="B155">VLOOKUP(A155,{Metrik!$C$2:$C$998,Metrik!$B$2:$B$998},2,0)</f>
        <v>Bank Jago Tbk.</v>
      </c>
      <c r="C155" s="15">
        <f>IFERROR(__xludf.DUMMYFUNCTION("GOOGLEFINANCE(""IDX:""&amp;A155,""price"")"),1010.0)</f>
        <v>1010</v>
      </c>
      <c r="D155" s="16" t="str">
        <f>IFERROR(__xludf.DUMMYFUNCTION("IF(A155="""","""",
SPARKLINE(
INDEX(
GOOGLEFINANCE(""IDX:""&amp;A155,""close"",TODAY()-365,TODAY()),
,2
),
{""linewidth"",1}
))
"),"#N/A")</f>
        <v>#N/A</v>
      </c>
      <c r="E155" s="14" t="s">
        <v>52</v>
      </c>
      <c r="F155" s="27" t="s">
        <v>53</v>
      </c>
      <c r="G155" s="24">
        <f t="shared" si="1"/>
        <v>6</v>
      </c>
      <c r="H155" s="19">
        <f>VLOOKUP(A155,Metrik!$C$2:$Y$959,8,0)</f>
        <v>54.2</v>
      </c>
      <c r="I155" s="20">
        <f>VLOOKUP(A155,Metrik!$C$2:$Y$959,9,0)</f>
        <v>1.8</v>
      </c>
      <c r="J155" s="20">
        <f>VLOOKUP(A155,Metrik!$C$2:$Y$959,10,0)</f>
        <v>3.4</v>
      </c>
      <c r="K155" s="20">
        <f>VLOOKUP(A155,Metrik!$C$2:$Y$959,11,0)</f>
        <v>0.76</v>
      </c>
      <c r="L155" s="20">
        <f>VLOOKUP(A155,Metrik!$C$2:$Y$959,12,0)</f>
        <v>3.4</v>
      </c>
      <c r="M155" s="20">
        <f>VLOOKUP(A155,Metrik!$C$2:$Y$959,19,0)</f>
        <v>30</v>
      </c>
      <c r="N155" s="29">
        <v>7.34</v>
      </c>
      <c r="O155" s="29">
        <v>44.4</v>
      </c>
      <c r="P155" s="29">
        <v>94.08</v>
      </c>
      <c r="Q155" s="29">
        <v>0.16</v>
      </c>
      <c r="R155" s="29">
        <v>92.35</v>
      </c>
      <c r="S155" s="29">
        <v>73.73</v>
      </c>
      <c r="T155" s="39"/>
      <c r="U155" s="22">
        <f>IFERROR(__xludf.DUMMYFUNCTION("IFERROR(GOOGLEFINANCE(A155,""closeyest""),"""")"),9100.0)</f>
        <v>9100</v>
      </c>
      <c r="V155" s="23">
        <f>IFERROR(__xludf.DUMMYFUNCTION("IFERROR(GOOGLEFINANCE(A155,""changepct""),"""")"),0.0)</f>
        <v>0</v>
      </c>
      <c r="W155" s="22" t="str">
        <f>IFERROR(__xludf.DUMMYFUNCTION("IFERROR(GOOGLEFINANCE(A155,""priceopen""),"""")"),"")</f>
        <v/>
      </c>
      <c r="X155" s="22" t="str">
        <f>IFERROR(__xludf.DUMMYFUNCTION("IFERROR(GOOGLEFINANCE(A155,""high""),"""")"),"")</f>
        <v/>
      </c>
      <c r="Y155" s="22" t="str">
        <f>IFERROR(__xludf.DUMMYFUNCTION("IFERROR(GOOGLEFINANCE(A155,""low""),"""")"),"")</f>
        <v/>
      </c>
      <c r="Z155" s="22">
        <f>IFERROR(__xludf.DUMMYFUNCTION("IFERROR(GOOGLEFINANCE(A155,""volume""),"""")"),0.0)</f>
        <v>0</v>
      </c>
      <c r="AA155" s="24" t="str">
        <f>VLOOKUP(A155,Metrik!$C$2:$Y$959,5,0)</f>
        <v>Banks</v>
      </c>
      <c r="AB155" s="24" t="str">
        <f>VLOOKUP(A155,Metrik!$C$2:$Y$959,3,0)</f>
        <v>Financials</v>
      </c>
    </row>
    <row r="156">
      <c r="A156" s="14" t="s">
        <v>122</v>
      </c>
      <c r="B156" s="14" t="str">
        <f t="array" ref="B156">VLOOKUP(A156,{Metrik!$C$2:$C$998,Metrik!$B$2:$B$998},2,0)</f>
        <v>Bank Jago Tbk.</v>
      </c>
      <c r="C156" s="15">
        <f>IFERROR(__xludf.DUMMYFUNCTION("GOOGLEFINANCE(""IDX:""&amp;A156,""price"")"),1010.0)</f>
        <v>1010</v>
      </c>
      <c r="D156" s="16" t="str">
        <f>IFERROR(__xludf.DUMMYFUNCTION("IF(A156="""","""",
SPARKLINE(
INDEX(
GOOGLEFINANCE(""IDX:""&amp;A156,""close"",TODAY()-365,TODAY()),
,2
),
{""linewidth"",1}
))
"),"#N/A")</f>
        <v>#N/A</v>
      </c>
      <c r="E156" s="14" t="s">
        <v>32</v>
      </c>
      <c r="F156" s="14" t="s">
        <v>29</v>
      </c>
      <c r="G156" s="24">
        <f t="shared" si="1"/>
        <v>6</v>
      </c>
      <c r="H156" s="19">
        <f>VLOOKUP(A156,Metrik!$C$2:$Y$959,8,0)</f>
        <v>54.2</v>
      </c>
      <c r="I156" s="20">
        <f>VLOOKUP(A156,Metrik!$C$2:$Y$959,9,0)</f>
        <v>1.8</v>
      </c>
      <c r="J156" s="20">
        <f>VLOOKUP(A156,Metrik!$C$2:$Y$959,10,0)</f>
        <v>3.4</v>
      </c>
      <c r="K156" s="20">
        <f>VLOOKUP(A156,Metrik!$C$2:$Y$959,11,0)</f>
        <v>0.76</v>
      </c>
      <c r="L156" s="20">
        <f>VLOOKUP(A156,Metrik!$C$2:$Y$959,12,0)</f>
        <v>3.4</v>
      </c>
      <c r="M156" s="20">
        <f>VLOOKUP(A156,Metrik!$C$2:$Y$959,19,0)</f>
        <v>30</v>
      </c>
      <c r="N156" s="29">
        <v>7.34</v>
      </c>
      <c r="O156" s="29">
        <v>44.4</v>
      </c>
      <c r="P156" s="29">
        <v>94.08</v>
      </c>
      <c r="Q156" s="29">
        <v>0.16</v>
      </c>
      <c r="R156" s="29">
        <v>92.35</v>
      </c>
      <c r="S156" s="29">
        <v>73.73</v>
      </c>
      <c r="T156" s="39"/>
      <c r="U156" s="22">
        <f>IFERROR(__xludf.DUMMYFUNCTION("IFERROR(GOOGLEFINANCE(A156,""closeyest""),"""")"),9100.0)</f>
        <v>9100</v>
      </c>
      <c r="V156" s="23">
        <f>IFERROR(__xludf.DUMMYFUNCTION("IFERROR(GOOGLEFINANCE(A156,""changepct""),"""")"),0.0)</f>
        <v>0</v>
      </c>
      <c r="W156" s="22" t="str">
        <f>IFERROR(__xludf.DUMMYFUNCTION("IFERROR(GOOGLEFINANCE(A156,""priceopen""),"""")"),"")</f>
        <v/>
      </c>
      <c r="X156" s="22" t="str">
        <f>IFERROR(__xludf.DUMMYFUNCTION("IFERROR(GOOGLEFINANCE(A156,""high""),"""")"),"")</f>
        <v/>
      </c>
      <c r="Y156" s="22" t="str">
        <f>IFERROR(__xludf.DUMMYFUNCTION("IFERROR(GOOGLEFINANCE(A156,""low""),"""")"),"")</f>
        <v/>
      </c>
      <c r="Z156" s="22">
        <f>IFERROR(__xludf.DUMMYFUNCTION("IFERROR(GOOGLEFINANCE(A156,""volume""),"""")"),0.0)</f>
        <v>0</v>
      </c>
      <c r="AA156" s="24" t="str">
        <f>VLOOKUP(A156,Metrik!$C$2:$Y$959,5,0)</f>
        <v>Banks</v>
      </c>
      <c r="AB156" s="24" t="str">
        <f>VLOOKUP(A156,Metrik!$C$2:$Y$959,3,0)</f>
        <v>Financials</v>
      </c>
    </row>
    <row r="157">
      <c r="A157" s="14" t="s">
        <v>122</v>
      </c>
      <c r="B157" s="14" t="str">
        <f t="array" ref="B157">VLOOKUP(A157,{Metrik!$C$2:$C$998,Metrik!$B$2:$B$998},2,0)</f>
        <v>Bank Jago Tbk.</v>
      </c>
      <c r="C157" s="15">
        <f>IFERROR(__xludf.DUMMYFUNCTION("GOOGLEFINANCE(""IDX:""&amp;A157,""price"")"),1010.0)</f>
        <v>1010</v>
      </c>
      <c r="D157" s="16" t="str">
        <f>IFERROR(__xludf.DUMMYFUNCTION("IF(A157="""","""",
SPARKLINE(
INDEX(
GOOGLEFINANCE(""IDX:""&amp;A157,""close"",TODAY()-365,TODAY()),
,2
),
{""linewidth"",1}
))
"),"#N/A")</f>
        <v>#N/A</v>
      </c>
      <c r="E157" s="40" t="s">
        <v>75</v>
      </c>
      <c r="F157" s="40" t="s">
        <v>76</v>
      </c>
      <c r="G157" s="24">
        <f t="shared" si="1"/>
        <v>6</v>
      </c>
      <c r="H157" s="19">
        <f>VLOOKUP(A157,Metrik!$C$2:$Y$959,8,0)</f>
        <v>54.2</v>
      </c>
      <c r="I157" s="20">
        <f>VLOOKUP(A157,Metrik!$C$2:$Y$959,9,0)</f>
        <v>1.8</v>
      </c>
      <c r="J157" s="20">
        <f>VLOOKUP(A157,Metrik!$C$2:$Y$959,10,0)</f>
        <v>3.4</v>
      </c>
      <c r="K157" s="20">
        <f>VLOOKUP(A157,Metrik!$C$2:$Y$959,11,0)</f>
        <v>0.76</v>
      </c>
      <c r="L157" s="20">
        <f>VLOOKUP(A157,Metrik!$C$2:$Y$959,12,0)</f>
        <v>3.4</v>
      </c>
      <c r="M157" s="20">
        <f>VLOOKUP(A157,Metrik!$C$2:$Y$959,19,0)</f>
        <v>30</v>
      </c>
      <c r="N157" s="29">
        <v>7.34</v>
      </c>
      <c r="O157" s="29">
        <v>44.4</v>
      </c>
      <c r="P157" s="29">
        <v>94.08</v>
      </c>
      <c r="Q157" s="29">
        <v>0.16</v>
      </c>
      <c r="R157" s="29">
        <v>92.35</v>
      </c>
      <c r="S157" s="29">
        <v>73.73</v>
      </c>
      <c r="T157" s="39"/>
      <c r="U157" s="22">
        <f>IFERROR(__xludf.DUMMYFUNCTION("IFERROR(GOOGLEFINANCE(A157,""closeyest""),"""")"),9100.0)</f>
        <v>9100</v>
      </c>
      <c r="V157" s="23">
        <f>IFERROR(__xludf.DUMMYFUNCTION("IFERROR(GOOGLEFINANCE(A157,""changepct""),"""")"),0.0)</f>
        <v>0</v>
      </c>
      <c r="W157" s="22" t="str">
        <f>IFERROR(__xludf.DUMMYFUNCTION("IFERROR(GOOGLEFINANCE(A157,""priceopen""),"""")"),"")</f>
        <v/>
      </c>
      <c r="X157" s="22" t="str">
        <f>IFERROR(__xludf.DUMMYFUNCTION("IFERROR(GOOGLEFINANCE(A157,""high""),"""")"),"")</f>
        <v/>
      </c>
      <c r="Y157" s="22" t="str">
        <f>IFERROR(__xludf.DUMMYFUNCTION("IFERROR(GOOGLEFINANCE(A157,""low""),"""")"),"")</f>
        <v/>
      </c>
      <c r="Z157" s="22">
        <f>IFERROR(__xludf.DUMMYFUNCTION("IFERROR(GOOGLEFINANCE(A157,""volume""),"""")"),0.0)</f>
        <v>0</v>
      </c>
      <c r="AA157" s="24" t="str">
        <f>VLOOKUP(A157,Metrik!$C$2:$Y$959,5,0)</f>
        <v>Banks</v>
      </c>
      <c r="AB157" s="24" t="str">
        <f>VLOOKUP(A157,Metrik!$C$2:$Y$959,3,0)</f>
        <v>Financials</v>
      </c>
    </row>
    <row r="158">
      <c r="A158" s="17" t="s">
        <v>122</v>
      </c>
      <c r="B158" s="14" t="str">
        <f t="array" ref="B158">VLOOKUP(A158,{Metrik!$C$2:$C$998,Metrik!$B$2:$B$998},2,0)</f>
        <v>Bank Jago Tbk.</v>
      </c>
      <c r="C158" s="15">
        <f>IFERROR(__xludf.DUMMYFUNCTION("GOOGLEFINANCE(""IDX:""&amp;A158,""price"")"),1010.0)</f>
        <v>1010</v>
      </c>
      <c r="D158" s="16" t="str">
        <f>IFERROR(__xludf.DUMMYFUNCTION("IF(A158="""","""",
SPARKLINE(
INDEX(
GOOGLEFINANCE(""IDX:""&amp;A158,""close"",TODAY()-365,TODAY()),
,2
),
{""linewidth"",1}
))
"),"#N/A")</f>
        <v>#N/A</v>
      </c>
      <c r="E158" s="14" t="s">
        <v>35</v>
      </c>
      <c r="F158" s="17" t="s">
        <v>36</v>
      </c>
      <c r="G158" s="24">
        <f t="shared" si="1"/>
        <v>6</v>
      </c>
      <c r="H158" s="19">
        <f>VLOOKUP(A158,Metrik!$C$2:$Y$959,8,0)</f>
        <v>54.2</v>
      </c>
      <c r="I158" s="20">
        <f>VLOOKUP(A158,Metrik!$C$2:$Y$959,9,0)</f>
        <v>1.8</v>
      </c>
      <c r="J158" s="20">
        <f>VLOOKUP(A158,Metrik!$C$2:$Y$959,10,0)</f>
        <v>3.4</v>
      </c>
      <c r="K158" s="20">
        <f>VLOOKUP(A158,Metrik!$C$2:$Y$959,11,0)</f>
        <v>0.76</v>
      </c>
      <c r="L158" s="20">
        <f>VLOOKUP(A158,Metrik!$C$2:$Y$959,12,0)</f>
        <v>3.4</v>
      </c>
      <c r="M158" s="20">
        <f>VLOOKUP(A158,Metrik!$C$2:$Y$959,19,0)</f>
        <v>30</v>
      </c>
      <c r="N158" s="29">
        <v>7.34</v>
      </c>
      <c r="O158" s="29">
        <v>44.4</v>
      </c>
      <c r="P158" s="29">
        <v>94.08</v>
      </c>
      <c r="Q158" s="29">
        <v>0.16</v>
      </c>
      <c r="R158" s="29">
        <v>92.35</v>
      </c>
      <c r="S158" s="29">
        <v>73.73</v>
      </c>
      <c r="T158" s="41"/>
      <c r="U158" s="22">
        <f>IFERROR(__xludf.DUMMYFUNCTION("IFERROR(GOOGLEFINANCE(A158,""closeyest""),"""")"),9100.0)</f>
        <v>9100</v>
      </c>
      <c r="V158" s="23">
        <f>IFERROR(__xludf.DUMMYFUNCTION("IFERROR(GOOGLEFINANCE(A158,""changepct""),"""")"),0.0)</f>
        <v>0</v>
      </c>
      <c r="W158" s="22" t="str">
        <f>IFERROR(__xludf.DUMMYFUNCTION("IFERROR(GOOGLEFINANCE(A158,""priceopen""),"""")"),"")</f>
        <v/>
      </c>
      <c r="X158" s="22" t="str">
        <f>IFERROR(__xludf.DUMMYFUNCTION("IFERROR(GOOGLEFINANCE(A158,""high""),"""")"),"")</f>
        <v/>
      </c>
      <c r="Y158" s="22" t="str">
        <f>IFERROR(__xludf.DUMMYFUNCTION("IFERROR(GOOGLEFINANCE(A158,""low""),"""")"),"")</f>
        <v/>
      </c>
      <c r="Z158" s="22">
        <f>IFERROR(__xludf.DUMMYFUNCTION("IFERROR(GOOGLEFINANCE(A158,""volume""),"""")"),0.0)</f>
        <v>0</v>
      </c>
      <c r="AA158" s="24" t="str">
        <f>VLOOKUP(A158,Metrik!$C$2:$Y$959,5,0)</f>
        <v>Banks</v>
      </c>
      <c r="AB158" s="24" t="str">
        <f>VLOOKUP(A158,Metrik!$C$2:$Y$959,3,0)</f>
        <v>Financials</v>
      </c>
    </row>
    <row r="159">
      <c r="A159" s="14" t="s">
        <v>123</v>
      </c>
      <c r="B159" s="14" t="str">
        <f t="array" ref="B159">VLOOKUP(A159,{Metrik!$C$2:$C$998,Metrik!$B$2:$B$998},2,0)</f>
        <v>Asuransi Bintang Tbk.</v>
      </c>
      <c r="C159" s="15">
        <f>IFERROR(__xludf.DUMMYFUNCTION("GOOGLEFINANCE(""IDX:""&amp;A159,""price"")"),398.0)</f>
        <v>398</v>
      </c>
      <c r="D159" s="16" t="str">
        <f>IFERROR(__xludf.DUMMYFUNCTION("IF(A159="""","""",
SPARKLINE(
INDEX(
GOOGLEFINANCE(""IDX:""&amp;A159,""close"",TODAY()-365,TODAY()),
,2
),
{""linewidth"",1}
))
"),"#N/A")</f>
        <v>#N/A</v>
      </c>
      <c r="E159" s="26"/>
      <c r="F159" s="26"/>
      <c r="G159" s="24">
        <f t="shared" si="1"/>
        <v>0</v>
      </c>
      <c r="H159" s="19">
        <f>VLOOKUP(A159,Metrik!$C$2:$Y$959,8,0)</f>
        <v>6.4</v>
      </c>
      <c r="I159" s="20">
        <f>VLOOKUP(A159,Metrik!$C$2:$Y$959,9,0)</f>
        <v>0.3</v>
      </c>
      <c r="J159" s="20">
        <f>VLOOKUP(A159,Metrik!$C$2:$Y$959,10,0)</f>
        <v>4.7</v>
      </c>
      <c r="K159" s="20">
        <f>VLOOKUP(A159,Metrik!$C$2:$Y$959,11,0)</f>
        <v>2.6</v>
      </c>
      <c r="L159" s="20">
        <f>VLOOKUP(A159,Metrik!$C$2:$Y$959,12,0)</f>
        <v>0.84</v>
      </c>
      <c r="M159" s="20">
        <f>VLOOKUP(A159,Metrik!$C$2:$Y$959,19,0)</f>
        <v>30.3</v>
      </c>
      <c r="N159" s="21"/>
      <c r="O159" s="21"/>
      <c r="P159" s="21"/>
      <c r="Q159" s="21"/>
      <c r="R159" s="21"/>
      <c r="S159" s="21"/>
      <c r="T159" s="21"/>
      <c r="U159" s="22">
        <f>IFERROR(__xludf.DUMMYFUNCTION("IFERROR(GOOGLEFINANCE(A159,""closeyest""),"""")"),404.0)</f>
        <v>404</v>
      </c>
      <c r="V159" s="23">
        <f>IFERROR(__xludf.DUMMYFUNCTION("IFERROR(GOOGLEFINANCE(A159,""changepct""),"""")"),-1.49)</f>
        <v>-1.49</v>
      </c>
      <c r="W159" s="22">
        <f>IFERROR(__xludf.DUMMYFUNCTION("IFERROR(GOOGLEFINANCE(A159,""priceopen""),"""")"),404.0)</f>
        <v>404</v>
      </c>
      <c r="X159" s="22">
        <f>IFERROR(__xludf.DUMMYFUNCTION("IFERROR(GOOGLEFINANCE(A159,""high""),"""")"),418.0)</f>
        <v>418</v>
      </c>
      <c r="Y159" s="22">
        <f>IFERROR(__xludf.DUMMYFUNCTION("IFERROR(GOOGLEFINANCE(A159,""low""),"""")"),398.0)</f>
        <v>398</v>
      </c>
      <c r="Z159" s="22">
        <f>IFERROR(__xludf.DUMMYFUNCTION("IFERROR(GOOGLEFINANCE(A159,""volume""),"""")"),7300.0)</f>
        <v>7300</v>
      </c>
      <c r="AA159" s="24" t="str">
        <f>VLOOKUP(A159,Metrik!$C$2:$Y$959,5,0)</f>
        <v>Insurance</v>
      </c>
      <c r="AB159" s="24" t="str">
        <f>VLOOKUP(A159,Metrik!$C$2:$Y$959,3,0)</f>
        <v>Financials</v>
      </c>
    </row>
    <row r="160">
      <c r="A160" s="14" t="s">
        <v>124</v>
      </c>
      <c r="B160" s="14" t="str">
        <f t="array" ref="B160">VLOOKUP(A160,{Metrik!$C$2:$C$998,Metrik!$B$2:$B$998},2,0)</f>
        <v>Asuransi Dayin Mitra Tbk.</v>
      </c>
      <c r="C160" s="15">
        <f>IFERROR(__xludf.DUMMYFUNCTION("GOOGLEFINANCE(""IDX:""&amp;A160,""price"")"),510.0)</f>
        <v>510</v>
      </c>
      <c r="D160" s="16" t="str">
        <f>IFERROR(__xludf.DUMMYFUNCTION("IF(A160="""","""",
SPARKLINE(
INDEX(
GOOGLEFINANCE(""IDX:""&amp;A160,""close"",TODAY()-365,TODAY()),
,2
),
{""linewidth"",1}
))
"),"#N/A")</f>
        <v>#N/A</v>
      </c>
      <c r="E160" s="26"/>
      <c r="F160" s="26"/>
      <c r="G160" s="24">
        <f t="shared" si="1"/>
        <v>0</v>
      </c>
      <c r="H160" s="19">
        <f>VLOOKUP(A160,Metrik!$C$2:$Y$959,8,0)</f>
        <v>12.1</v>
      </c>
      <c r="I160" s="20">
        <f>VLOOKUP(A160,Metrik!$C$2:$Y$959,9,0)</f>
        <v>0.54</v>
      </c>
      <c r="J160" s="20">
        <f>VLOOKUP(A160,Metrik!$C$2:$Y$959,10,0)</f>
        <v>4.5</v>
      </c>
      <c r="K160" s="20">
        <f>VLOOKUP(A160,Metrik!$C$2:$Y$959,11,0)</f>
        <v>1.9</v>
      </c>
      <c r="L160" s="20">
        <f>VLOOKUP(A160,Metrik!$C$2:$Y$959,12,0)</f>
        <v>1.3</v>
      </c>
      <c r="M160" s="20">
        <f>VLOOKUP(A160,Metrik!$C$2:$Y$959,19,0)</f>
        <v>8.2</v>
      </c>
      <c r="N160" s="21"/>
      <c r="O160" s="21"/>
      <c r="P160" s="21"/>
      <c r="Q160" s="21"/>
      <c r="R160" s="21"/>
      <c r="S160" s="21"/>
      <c r="T160" s="21"/>
      <c r="U160" s="22">
        <f>IFERROR(__xludf.DUMMYFUNCTION("IFERROR(GOOGLEFINANCE(A160,""closeyest""),"""")"),500.0)</f>
        <v>500</v>
      </c>
      <c r="V160" s="23">
        <f>IFERROR(__xludf.DUMMYFUNCTION("IFERROR(GOOGLEFINANCE(A160,""changepct""),"""")"),2.0)</f>
        <v>2</v>
      </c>
      <c r="W160" s="22">
        <f>IFERROR(__xludf.DUMMYFUNCTION("IFERROR(GOOGLEFINANCE(A160,""priceopen""),"""")"),500.0)</f>
        <v>500</v>
      </c>
      <c r="X160" s="22">
        <f>IFERROR(__xludf.DUMMYFUNCTION("IFERROR(GOOGLEFINANCE(A160,""high""),"""")"),515.0)</f>
        <v>515</v>
      </c>
      <c r="Y160" s="22">
        <f>IFERROR(__xludf.DUMMYFUNCTION("IFERROR(GOOGLEFINANCE(A160,""low""),"""")"),500.0)</f>
        <v>500</v>
      </c>
      <c r="Z160" s="22">
        <f>IFERROR(__xludf.DUMMYFUNCTION("IFERROR(GOOGLEFINANCE(A160,""volume""),"""")"),15800.0)</f>
        <v>15800</v>
      </c>
      <c r="AA160" s="24" t="str">
        <f>VLOOKUP(A160,Metrik!$C$2:$Y$959,5,0)</f>
        <v>Insurance</v>
      </c>
      <c r="AB160" s="24" t="str">
        <f>VLOOKUP(A160,Metrik!$C$2:$Y$959,3,0)</f>
        <v>Financials</v>
      </c>
    </row>
    <row r="161">
      <c r="A161" s="17" t="s">
        <v>125</v>
      </c>
      <c r="B161" s="14" t="str">
        <f t="array" ref="B161">VLOOKUP(A161,{Metrik!$C$2:$C$998,Metrik!$B$2:$B$998},2,0)</f>
        <v>Astra Graphia Tbk.</v>
      </c>
      <c r="C161" s="15">
        <f>IFERROR(__xludf.DUMMYFUNCTION("GOOGLEFINANCE(""IDX:""&amp;A161,""price"")"),1490.0)</f>
        <v>1490</v>
      </c>
      <c r="D161" s="16" t="str">
        <f>IFERROR(__xludf.DUMMYFUNCTION("IF(A161="""","""",
SPARKLINE(
INDEX(
GOOGLEFINANCE(""IDX:""&amp;A161,""close"",TODAY()-365,TODAY()),
,2
),
{""linewidth"",1}
))
"),"#N/A")</f>
        <v>#N/A</v>
      </c>
      <c r="E161" s="14"/>
      <c r="F161" s="17"/>
      <c r="G161" s="18">
        <f t="shared" si="1"/>
        <v>0</v>
      </c>
      <c r="H161" s="19">
        <f>VLOOKUP(A161,Metrik!$C$2:$Y$959,8,0)</f>
        <v>6.7</v>
      </c>
      <c r="I161" s="20">
        <f>VLOOKUP(A161,Metrik!$C$2:$Y$959,9,0)</f>
        <v>0.91</v>
      </c>
      <c r="J161" s="20">
        <f>VLOOKUP(A161,Metrik!$C$2:$Y$959,10,0)</f>
        <v>13.6</v>
      </c>
      <c r="K161" s="20">
        <f>VLOOKUP(A161,Metrik!$C$2:$Y$959,11,0)</f>
        <v>9.6</v>
      </c>
      <c r="L161" s="20">
        <f>VLOOKUP(A161,Metrik!$C$2:$Y$959,12,0)</f>
        <v>0.41</v>
      </c>
      <c r="M161" s="20">
        <f>VLOOKUP(A161,Metrik!$C$2:$Y$959,19,0)</f>
        <v>38.6</v>
      </c>
      <c r="N161" s="21"/>
      <c r="O161" s="21"/>
      <c r="P161" s="21"/>
      <c r="Q161" s="21"/>
      <c r="R161" s="21"/>
      <c r="S161" s="21"/>
      <c r="T161" s="21"/>
      <c r="U161" s="22">
        <f>IFERROR(__xludf.DUMMYFUNCTION("IFERROR(GOOGLEFINANCE(A161,""closeyest""),"""")"),1455.0)</f>
        <v>1455</v>
      </c>
      <c r="V161" s="23">
        <f>IFERROR(__xludf.DUMMYFUNCTION("IFERROR(GOOGLEFINANCE(A161,""changepct""),"""")"),2.41)</f>
        <v>2.41</v>
      </c>
      <c r="W161" s="22">
        <f>IFERROR(__xludf.DUMMYFUNCTION("IFERROR(GOOGLEFINANCE(A161,""priceopen""),"""")"),1455.0)</f>
        <v>1455</v>
      </c>
      <c r="X161" s="22">
        <f>IFERROR(__xludf.DUMMYFUNCTION("IFERROR(GOOGLEFINANCE(A161,""high""),"""")"),1510.0)</f>
        <v>1510</v>
      </c>
      <c r="Y161" s="22">
        <f>IFERROR(__xludf.DUMMYFUNCTION("IFERROR(GOOGLEFINANCE(A161,""low""),"""")"),1455.0)</f>
        <v>1455</v>
      </c>
      <c r="Z161" s="22">
        <f>IFERROR(__xludf.DUMMYFUNCTION("IFERROR(GOOGLEFINANCE(A161,""volume""),"""")"),709300.0)</f>
        <v>709300</v>
      </c>
      <c r="AA161" s="24" t="str">
        <f>VLOOKUP(A161,Metrik!$C$2:$Y$959,5,0)</f>
        <v>Commercial Services</v>
      </c>
      <c r="AB161" s="24" t="str">
        <f>VLOOKUP(A161,Metrik!$C$2:$Y$959,3,0)</f>
        <v>Industrials</v>
      </c>
    </row>
    <row r="162">
      <c r="A162" s="14" t="s">
        <v>126</v>
      </c>
      <c r="B162" s="14" t="str">
        <f t="array" ref="B162">VLOOKUP(A162,{Metrik!$C$2:$C$998,Metrik!$B$2:$B$998},2,0)</f>
        <v>Cilacap Samudera Fishing Industry Tbk.</v>
      </c>
      <c r="C162" s="15">
        <f>IFERROR(__xludf.DUMMYFUNCTION("GOOGLEFINANCE(""IDX:""&amp;A162,""price"")"),59.0)</f>
        <v>59</v>
      </c>
      <c r="D162" s="16" t="str">
        <f>IFERROR(__xludf.DUMMYFUNCTION("IF(A162="""","""",
SPARKLINE(
INDEX(
GOOGLEFINANCE(""IDX:""&amp;A162,""close"",TODAY()-365,TODAY()),
,2
),
{""linewidth"",1}
))
"),"#N/A")</f>
        <v>#N/A</v>
      </c>
      <c r="E162" s="26"/>
      <c r="F162" s="26"/>
      <c r="G162" s="24">
        <f t="shared" si="1"/>
        <v>0</v>
      </c>
      <c r="H162" s="19">
        <f>VLOOKUP(A162,Metrik!$C$2:$Y$959,8,0)</f>
        <v>-16.4</v>
      </c>
      <c r="I162" s="20">
        <f>VLOOKUP(A162,Metrik!$C$2:$Y$959,9,0)</f>
        <v>3</v>
      </c>
      <c r="J162" s="20">
        <f>VLOOKUP(A162,Metrik!$C$2:$Y$959,10,0)</f>
        <v>-18.5</v>
      </c>
      <c r="K162" s="20">
        <f>VLOOKUP(A162,Metrik!$C$2:$Y$959,11,0)</f>
        <v>-15.3</v>
      </c>
      <c r="L162" s="20">
        <f>VLOOKUP(A162,Metrik!$C$2:$Y$959,12,0)</f>
        <v>0.21</v>
      </c>
      <c r="M162" s="20">
        <f>VLOOKUP(A162,Metrik!$C$2:$Y$959,19,0)</f>
        <v>-46.7</v>
      </c>
      <c r="N162" s="21"/>
      <c r="O162" s="21"/>
      <c r="P162" s="21"/>
      <c r="Q162" s="21"/>
      <c r="R162" s="21"/>
      <c r="S162" s="21"/>
      <c r="T162" s="21"/>
      <c r="U162" s="22">
        <f>IFERROR(__xludf.DUMMYFUNCTION("IFERROR(GOOGLEFINANCE(A162,""closeyest""),"""")"),57.0)</f>
        <v>57</v>
      </c>
      <c r="V162" s="23">
        <f>IFERROR(__xludf.DUMMYFUNCTION("IFERROR(GOOGLEFINANCE(A162,""changepct""),"""")"),3.51)</f>
        <v>3.51</v>
      </c>
      <c r="W162" s="22">
        <f>IFERROR(__xludf.DUMMYFUNCTION("IFERROR(GOOGLEFINANCE(A162,""priceopen""),"""")"),57.0)</f>
        <v>57</v>
      </c>
      <c r="X162" s="22">
        <f>IFERROR(__xludf.DUMMYFUNCTION("IFERROR(GOOGLEFINANCE(A162,""high""),"""")"),60.0)</f>
        <v>60</v>
      </c>
      <c r="Y162" s="22">
        <f>IFERROR(__xludf.DUMMYFUNCTION("IFERROR(GOOGLEFINANCE(A162,""low""),"""")"),56.0)</f>
        <v>56</v>
      </c>
      <c r="Z162" s="22">
        <f>IFERROR(__xludf.DUMMYFUNCTION("IFERROR(GOOGLEFINANCE(A162,""volume""),"""")"),4.57657E7)</f>
        <v>45765700</v>
      </c>
      <c r="AA162" s="24" t="str">
        <f>VLOOKUP(A162,Metrik!$C$2:$Y$959,5,0)</f>
        <v>Agricultural Products</v>
      </c>
      <c r="AB162" s="24" t="str">
        <f>VLOOKUP(A162,Metrik!$C$2:$Y$959,3,0)</f>
        <v>Consumer Non-Cyclicals</v>
      </c>
    </row>
    <row r="163">
      <c r="A163" s="14" t="s">
        <v>127</v>
      </c>
      <c r="B163" s="14" t="str">
        <f t="array" ref="B163">VLOOKUP(A163,{Metrik!$C$2:$C$998,Metrik!$B$2:$B$998},2,0)</f>
        <v>Astra International Tbk</v>
      </c>
      <c r="C163" s="15">
        <f>IFERROR(__xludf.DUMMYFUNCTION("GOOGLEFINANCE(""IDX:""&amp;A163,""price"")"),4740.0)</f>
        <v>4740</v>
      </c>
      <c r="D163" s="16" t="str">
        <f>IFERROR(__xludf.DUMMYFUNCTION("IF(A163="""","""",
SPARKLINE(
INDEX(
GOOGLEFINANCE(""IDX:""&amp;A163,""close"",TODAY()-365,TODAY()),
,2
),
{""linewidth"",1}
))
"),"#N/A")</f>
        <v>#N/A</v>
      </c>
      <c r="E163" s="14" t="s">
        <v>47</v>
      </c>
      <c r="F163" s="25">
        <v>46356.0</v>
      </c>
      <c r="G163" s="24">
        <f t="shared" si="1"/>
        <v>16</v>
      </c>
      <c r="H163" s="19">
        <f>VLOOKUP(A163,Metrik!$C$2:$Y$959,8,0)</f>
        <v>6.4</v>
      </c>
      <c r="I163" s="20">
        <f>VLOOKUP(A163,Metrik!$C$2:$Y$959,9,0)</f>
        <v>0.69</v>
      </c>
      <c r="J163" s="20">
        <f>VLOOKUP(A163,Metrik!$C$2:$Y$959,10,0)</f>
        <v>10.8</v>
      </c>
      <c r="K163" s="20">
        <f>VLOOKUP(A163,Metrik!$C$2:$Y$959,11,0)</f>
        <v>6.1</v>
      </c>
      <c r="L163" s="20">
        <f>VLOOKUP(A163,Metrik!$C$2:$Y$959,12,0)</f>
        <v>0.77</v>
      </c>
      <c r="M163" s="20">
        <f>VLOOKUP(A163,Metrik!$C$2:$Y$959,19,0)</f>
        <v>40.3</v>
      </c>
      <c r="N163" s="21"/>
      <c r="O163" s="21"/>
      <c r="P163" s="21"/>
      <c r="Q163" s="21"/>
      <c r="R163" s="21"/>
      <c r="S163" s="21"/>
      <c r="T163" s="21"/>
      <c r="U163" s="22">
        <f>IFERROR(__xludf.DUMMYFUNCTION("IFERROR(GOOGLEFINANCE(A163,""closeyest""),"""")"),0.0)</f>
        <v>0</v>
      </c>
      <c r="V163" s="23">
        <f>IFERROR(__xludf.DUMMYFUNCTION("IFERROR(GOOGLEFINANCE(A163,""changepct""),"""")"),0.0)</f>
        <v>0</v>
      </c>
      <c r="W163" s="22">
        <f>IFERROR(__xludf.DUMMYFUNCTION("IFERROR(GOOGLEFINANCE(A163,""priceopen""),"""")"),0.0)</f>
        <v>0</v>
      </c>
      <c r="X163" s="22">
        <f>IFERROR(__xludf.DUMMYFUNCTION("IFERROR(GOOGLEFINANCE(A163,""high""),"""")"),0.0)</f>
        <v>0</v>
      </c>
      <c r="Y163" s="22">
        <f>IFERROR(__xludf.DUMMYFUNCTION("IFERROR(GOOGLEFINANCE(A163,""low""),"""")"),0.0)</f>
        <v>0</v>
      </c>
      <c r="Z163" s="22">
        <f>IFERROR(__xludf.DUMMYFUNCTION("IFERROR(GOOGLEFINANCE(A163,""volume""),"""")"),4632235.0)</f>
        <v>4632235</v>
      </c>
      <c r="AA163" s="24" t="str">
        <f>VLOOKUP(A163,Metrik!$C$2:$Y$959,5,0)</f>
        <v>Multi-sector Holdings</v>
      </c>
      <c r="AB163" s="24" t="str">
        <f>VLOOKUP(A163,Metrik!$C$2:$Y$959,3,0)</f>
        <v>Industrials</v>
      </c>
    </row>
    <row r="164">
      <c r="A164" s="14" t="s">
        <v>127</v>
      </c>
      <c r="B164" s="14" t="str">
        <f t="array" ref="B164">VLOOKUP(A164,{Metrik!$C$2:$C$998,Metrik!$B$2:$B$998},2,0)</f>
        <v>Astra International Tbk</v>
      </c>
      <c r="C164" s="15">
        <f>IFERROR(__xludf.DUMMYFUNCTION("GOOGLEFINANCE(""IDX:""&amp;A164,""price"")"),4740.0)</f>
        <v>4740</v>
      </c>
      <c r="D164" s="16" t="str">
        <f>IFERROR(__xludf.DUMMYFUNCTION("IF(A164="""","""",
SPARKLINE(
INDEX(
GOOGLEFINANCE(""IDX:""&amp;A164,""close"",TODAY()-365,TODAY()),
,2
),
{""linewidth"",1}
))
"),"#N/A")</f>
        <v>#N/A</v>
      </c>
      <c r="E164" s="14" t="s">
        <v>128</v>
      </c>
      <c r="F164" s="17" t="s">
        <v>36</v>
      </c>
      <c r="G164" s="24">
        <f t="shared" si="1"/>
        <v>16</v>
      </c>
      <c r="H164" s="19">
        <f>VLOOKUP(A164,Metrik!$C$2:$Y$959,8,0)</f>
        <v>6.4</v>
      </c>
      <c r="I164" s="20">
        <f>VLOOKUP(A164,Metrik!$C$2:$Y$959,9,0)</f>
        <v>0.69</v>
      </c>
      <c r="J164" s="20">
        <f>VLOOKUP(A164,Metrik!$C$2:$Y$959,10,0)</f>
        <v>10.8</v>
      </c>
      <c r="K164" s="20">
        <f>VLOOKUP(A164,Metrik!$C$2:$Y$959,11,0)</f>
        <v>6.1</v>
      </c>
      <c r="L164" s="20">
        <f>VLOOKUP(A164,Metrik!$C$2:$Y$959,12,0)</f>
        <v>0.77</v>
      </c>
      <c r="M164" s="20">
        <f>VLOOKUP(A164,Metrik!$C$2:$Y$959,19,0)</f>
        <v>40.3</v>
      </c>
      <c r="N164" s="21"/>
      <c r="O164" s="21"/>
      <c r="P164" s="21"/>
      <c r="Q164" s="21"/>
      <c r="R164" s="21"/>
      <c r="S164" s="21"/>
      <c r="T164" s="21"/>
      <c r="U164" s="22">
        <f>IFERROR(__xludf.DUMMYFUNCTION("IFERROR(GOOGLEFINANCE(A164,""closeyest""),"""")"),0.0)</f>
        <v>0</v>
      </c>
      <c r="V164" s="23">
        <f>IFERROR(__xludf.DUMMYFUNCTION("IFERROR(GOOGLEFINANCE(A164,""changepct""),"""")"),0.0)</f>
        <v>0</v>
      </c>
      <c r="W164" s="22">
        <f>IFERROR(__xludf.DUMMYFUNCTION("IFERROR(GOOGLEFINANCE(A164,""priceopen""),"""")"),0.0)</f>
        <v>0</v>
      </c>
      <c r="X164" s="22">
        <f>IFERROR(__xludf.DUMMYFUNCTION("IFERROR(GOOGLEFINANCE(A164,""high""),"""")"),0.0)</f>
        <v>0</v>
      </c>
      <c r="Y164" s="22">
        <f>IFERROR(__xludf.DUMMYFUNCTION("IFERROR(GOOGLEFINANCE(A164,""low""),"""")"),0.0)</f>
        <v>0</v>
      </c>
      <c r="Z164" s="22">
        <f>IFERROR(__xludf.DUMMYFUNCTION("IFERROR(GOOGLEFINANCE(A164,""volume""),"""")"),4632235.0)</f>
        <v>4632235</v>
      </c>
      <c r="AA164" s="24" t="str">
        <f>VLOOKUP(A164,Metrik!$C$2:$Y$959,5,0)</f>
        <v>Multi-sector Holdings</v>
      </c>
      <c r="AB164" s="24" t="str">
        <f>VLOOKUP(A164,Metrik!$C$2:$Y$959,3,0)</f>
        <v>Industrials</v>
      </c>
    </row>
    <row r="165">
      <c r="A165" s="14" t="s">
        <v>127</v>
      </c>
      <c r="B165" s="14" t="str">
        <f t="array" ref="B165">VLOOKUP(A165,{Metrik!$C$2:$C$998,Metrik!$B$2:$B$998},2,0)</f>
        <v>Astra International Tbk</v>
      </c>
      <c r="C165" s="15">
        <f>IFERROR(__xludf.DUMMYFUNCTION("GOOGLEFINANCE(""IDX:""&amp;A165,""price"")"),4740.0)</f>
        <v>4740</v>
      </c>
      <c r="D165" s="16" t="str">
        <f>IFERROR(__xludf.DUMMYFUNCTION("IF(A165="""","""",
SPARKLINE(
INDEX(
GOOGLEFINANCE(""IDX:""&amp;A165,""close"",TODAY()-365,TODAY()),
,2
),
{""linewidth"",1}
))
"),"#N/A")</f>
        <v>#N/A</v>
      </c>
      <c r="E165" s="14" t="s">
        <v>54</v>
      </c>
      <c r="F165" s="14" t="s">
        <v>34</v>
      </c>
      <c r="G165" s="24">
        <f t="shared" si="1"/>
        <v>16</v>
      </c>
      <c r="H165" s="19">
        <f>VLOOKUP(A165,Metrik!$C$2:$Y$959,8,0)</f>
        <v>6.4</v>
      </c>
      <c r="I165" s="20">
        <f>VLOOKUP(A165,Metrik!$C$2:$Y$959,9,0)</f>
        <v>0.69</v>
      </c>
      <c r="J165" s="20">
        <f>VLOOKUP(A165,Metrik!$C$2:$Y$959,10,0)</f>
        <v>10.8</v>
      </c>
      <c r="K165" s="20">
        <f>VLOOKUP(A165,Metrik!$C$2:$Y$959,11,0)</f>
        <v>6.1</v>
      </c>
      <c r="L165" s="20">
        <f>VLOOKUP(A165,Metrik!$C$2:$Y$959,12,0)</f>
        <v>0.77</v>
      </c>
      <c r="M165" s="20">
        <f>VLOOKUP(A165,Metrik!$C$2:$Y$959,19,0)</f>
        <v>40.3</v>
      </c>
      <c r="N165" s="21"/>
      <c r="O165" s="21"/>
      <c r="P165" s="21"/>
      <c r="Q165" s="21"/>
      <c r="R165" s="21"/>
      <c r="S165" s="21"/>
      <c r="T165" s="21"/>
      <c r="U165" s="22">
        <f>IFERROR(__xludf.DUMMYFUNCTION("IFERROR(GOOGLEFINANCE(A165,""closeyest""),"""")"),0.0)</f>
        <v>0</v>
      </c>
      <c r="V165" s="23">
        <f>IFERROR(__xludf.DUMMYFUNCTION("IFERROR(GOOGLEFINANCE(A165,""changepct""),"""")"),0.0)</f>
        <v>0</v>
      </c>
      <c r="W165" s="22">
        <f>IFERROR(__xludf.DUMMYFUNCTION("IFERROR(GOOGLEFINANCE(A165,""priceopen""),"""")"),0.0)</f>
        <v>0</v>
      </c>
      <c r="X165" s="22">
        <f>IFERROR(__xludf.DUMMYFUNCTION("IFERROR(GOOGLEFINANCE(A165,""high""),"""")"),0.0)</f>
        <v>0</v>
      </c>
      <c r="Y165" s="22">
        <f>IFERROR(__xludf.DUMMYFUNCTION("IFERROR(GOOGLEFINANCE(A165,""low""),"""")"),0.0)</f>
        <v>0</v>
      </c>
      <c r="Z165" s="22">
        <f>IFERROR(__xludf.DUMMYFUNCTION("IFERROR(GOOGLEFINANCE(A165,""volume""),"""")"),4632235.0)</f>
        <v>4632235</v>
      </c>
      <c r="AA165" s="24" t="str">
        <f>VLOOKUP(A165,Metrik!$C$2:$Y$959,5,0)</f>
        <v>Multi-sector Holdings</v>
      </c>
      <c r="AB165" s="24" t="str">
        <f>VLOOKUP(A165,Metrik!$C$2:$Y$959,3,0)</f>
        <v>Industrials</v>
      </c>
    </row>
    <row r="166">
      <c r="A166" s="14" t="s">
        <v>127</v>
      </c>
      <c r="B166" s="14" t="str">
        <f t="array" ref="B166">VLOOKUP(A166,{Metrik!$C$2:$C$998,Metrik!$B$2:$B$998},2,0)</f>
        <v>Astra International Tbk</v>
      </c>
      <c r="C166" s="15">
        <f>IFERROR(__xludf.DUMMYFUNCTION("GOOGLEFINANCE(""IDX:""&amp;A166,""price"")"),4740.0)</f>
        <v>4740</v>
      </c>
      <c r="D166" s="16" t="str">
        <f>IFERROR(__xludf.DUMMYFUNCTION("IF(A166="""","""",
SPARKLINE(
INDEX(
GOOGLEFINANCE(""IDX:""&amp;A166,""close"",TODAY()-365,TODAY()),
,2
),
{""linewidth"",1}
))
"),"#N/A")</f>
        <v>#N/A</v>
      </c>
      <c r="E166" s="14" t="s">
        <v>32</v>
      </c>
      <c r="F166" s="14" t="s">
        <v>29</v>
      </c>
      <c r="G166" s="24">
        <f t="shared" si="1"/>
        <v>16</v>
      </c>
      <c r="H166" s="19">
        <f>VLOOKUP(A166,Metrik!$C$2:$Y$959,8,0)</f>
        <v>6.4</v>
      </c>
      <c r="I166" s="20">
        <f>VLOOKUP(A166,Metrik!$C$2:$Y$959,9,0)</f>
        <v>0.69</v>
      </c>
      <c r="J166" s="20">
        <f>VLOOKUP(A166,Metrik!$C$2:$Y$959,10,0)</f>
        <v>10.8</v>
      </c>
      <c r="K166" s="20">
        <f>VLOOKUP(A166,Metrik!$C$2:$Y$959,11,0)</f>
        <v>6.1</v>
      </c>
      <c r="L166" s="20">
        <f>VLOOKUP(A166,Metrik!$C$2:$Y$959,12,0)</f>
        <v>0.77</v>
      </c>
      <c r="M166" s="20">
        <f>VLOOKUP(A166,Metrik!$C$2:$Y$959,19,0)</f>
        <v>40.3</v>
      </c>
      <c r="N166" s="21"/>
      <c r="O166" s="21"/>
      <c r="P166" s="21"/>
      <c r="Q166" s="21"/>
      <c r="R166" s="21"/>
      <c r="S166" s="21"/>
      <c r="T166" s="21"/>
      <c r="U166" s="22">
        <f>IFERROR(__xludf.DUMMYFUNCTION("IFERROR(GOOGLEFINANCE(A166,""closeyest""),"""")"),0.0)</f>
        <v>0</v>
      </c>
      <c r="V166" s="23">
        <f>IFERROR(__xludf.DUMMYFUNCTION("IFERROR(GOOGLEFINANCE(A166,""changepct""),"""")"),0.0)</f>
        <v>0</v>
      </c>
      <c r="W166" s="22">
        <f>IFERROR(__xludf.DUMMYFUNCTION("IFERROR(GOOGLEFINANCE(A166,""priceopen""),"""")"),0.0)</f>
        <v>0</v>
      </c>
      <c r="X166" s="22">
        <f>IFERROR(__xludf.DUMMYFUNCTION("IFERROR(GOOGLEFINANCE(A166,""high""),"""")"),0.0)</f>
        <v>0</v>
      </c>
      <c r="Y166" s="22">
        <f>IFERROR(__xludf.DUMMYFUNCTION("IFERROR(GOOGLEFINANCE(A166,""low""),"""")"),0.0)</f>
        <v>0</v>
      </c>
      <c r="Z166" s="22">
        <f>IFERROR(__xludf.DUMMYFUNCTION("IFERROR(GOOGLEFINANCE(A166,""volume""),"""")"),4632235.0)</f>
        <v>4632235</v>
      </c>
      <c r="AA166" s="24" t="str">
        <f>VLOOKUP(A166,Metrik!$C$2:$Y$959,5,0)</f>
        <v>Multi-sector Holdings</v>
      </c>
      <c r="AB166" s="24" t="str">
        <f>VLOOKUP(A166,Metrik!$C$2:$Y$959,3,0)</f>
        <v>Industrials</v>
      </c>
    </row>
    <row r="167">
      <c r="A167" s="14" t="s">
        <v>127</v>
      </c>
      <c r="B167" s="14" t="str">
        <f t="array" ref="B167">VLOOKUP(A167,{Metrik!$C$2:$C$998,Metrik!$B$2:$B$998},2,0)</f>
        <v>Astra International Tbk</v>
      </c>
      <c r="C167" s="15">
        <f>IFERROR(__xludf.DUMMYFUNCTION("GOOGLEFINANCE(""IDX:""&amp;A167,""price"")"),4740.0)</f>
        <v>4740</v>
      </c>
      <c r="D167" s="16" t="str">
        <f>IFERROR(__xludf.DUMMYFUNCTION("IF(A167="""","""",
SPARKLINE(
INDEX(
GOOGLEFINANCE(""IDX:""&amp;A167,""close"",TODAY()-365,TODAY()),
,2
),
{""linewidth"",1}
))
"),"#N/A")</f>
        <v>#N/A</v>
      </c>
      <c r="E167" s="14" t="s">
        <v>30</v>
      </c>
      <c r="F167" s="17" t="s">
        <v>29</v>
      </c>
      <c r="G167" s="24">
        <f t="shared" si="1"/>
        <v>16</v>
      </c>
      <c r="H167" s="19">
        <f>VLOOKUP(A167,Metrik!$C$2:$Y$959,8,0)</f>
        <v>6.4</v>
      </c>
      <c r="I167" s="20">
        <f>VLOOKUP(A167,Metrik!$C$2:$Y$959,9,0)</f>
        <v>0.69</v>
      </c>
      <c r="J167" s="20">
        <f>VLOOKUP(A167,Metrik!$C$2:$Y$959,10,0)</f>
        <v>10.8</v>
      </c>
      <c r="K167" s="20">
        <f>VLOOKUP(A167,Metrik!$C$2:$Y$959,11,0)</f>
        <v>6.1</v>
      </c>
      <c r="L167" s="20">
        <f>VLOOKUP(A167,Metrik!$C$2:$Y$959,12,0)</f>
        <v>0.77</v>
      </c>
      <c r="M167" s="20">
        <f>VLOOKUP(A167,Metrik!$C$2:$Y$959,19,0)</f>
        <v>40.3</v>
      </c>
      <c r="N167" s="21"/>
      <c r="O167" s="21"/>
      <c r="P167" s="21"/>
      <c r="Q167" s="21"/>
      <c r="R167" s="21"/>
      <c r="S167" s="21"/>
      <c r="T167" s="21"/>
      <c r="U167" s="22">
        <f>IFERROR(__xludf.DUMMYFUNCTION("IFERROR(GOOGLEFINANCE(A167,""closeyest""),"""")"),0.0)</f>
        <v>0</v>
      </c>
      <c r="V167" s="23">
        <f>IFERROR(__xludf.DUMMYFUNCTION("IFERROR(GOOGLEFINANCE(A167,""changepct""),"""")"),0.0)</f>
        <v>0</v>
      </c>
      <c r="W167" s="22">
        <f>IFERROR(__xludf.DUMMYFUNCTION("IFERROR(GOOGLEFINANCE(A167,""priceopen""),"""")"),0.0)</f>
        <v>0</v>
      </c>
      <c r="X167" s="22">
        <f>IFERROR(__xludf.DUMMYFUNCTION("IFERROR(GOOGLEFINANCE(A167,""high""),"""")"),0.0)</f>
        <v>0</v>
      </c>
      <c r="Y167" s="22">
        <f>IFERROR(__xludf.DUMMYFUNCTION("IFERROR(GOOGLEFINANCE(A167,""low""),"""")"),0.0)</f>
        <v>0</v>
      </c>
      <c r="Z167" s="22">
        <f>IFERROR(__xludf.DUMMYFUNCTION("IFERROR(GOOGLEFINANCE(A167,""volume""),"""")"),4632235.0)</f>
        <v>4632235</v>
      </c>
      <c r="AA167" s="24" t="str">
        <f>VLOOKUP(A167,Metrik!$C$2:$Y$959,5,0)</f>
        <v>Multi-sector Holdings</v>
      </c>
      <c r="AB167" s="24" t="str">
        <f>VLOOKUP(A167,Metrik!$C$2:$Y$959,3,0)</f>
        <v>Industrials</v>
      </c>
    </row>
    <row r="168">
      <c r="A168" s="14" t="s">
        <v>127</v>
      </c>
      <c r="B168" s="14" t="str">
        <f t="array" ref="B168">VLOOKUP(A168,{Metrik!$C$2:$C$998,Metrik!$B$2:$B$998},2,0)</f>
        <v>Astra International Tbk</v>
      </c>
      <c r="C168" s="15">
        <f>IFERROR(__xludf.DUMMYFUNCTION("GOOGLEFINANCE(""IDX:""&amp;A168,""price"")"),4740.0)</f>
        <v>4740</v>
      </c>
      <c r="D168" s="16" t="str">
        <f>IFERROR(__xludf.DUMMYFUNCTION("IF(A168="""","""",
SPARKLINE(
INDEX(
GOOGLEFINANCE(""IDX:""&amp;A168,""close"",TODAY()-365,TODAY()),
,2
),
{""linewidth"",1}
))
"),"#N/A")</f>
        <v>#N/A</v>
      </c>
      <c r="E168" s="14" t="s">
        <v>28</v>
      </c>
      <c r="F168" s="17" t="s">
        <v>29</v>
      </c>
      <c r="G168" s="24">
        <f t="shared" si="1"/>
        <v>16</v>
      </c>
      <c r="H168" s="19">
        <f>VLOOKUP(A168,Metrik!$C$2:$Y$959,8,0)</f>
        <v>6.4</v>
      </c>
      <c r="I168" s="20">
        <f>VLOOKUP(A168,Metrik!$C$2:$Y$959,9,0)</f>
        <v>0.69</v>
      </c>
      <c r="J168" s="20">
        <f>VLOOKUP(A168,Metrik!$C$2:$Y$959,10,0)</f>
        <v>10.8</v>
      </c>
      <c r="K168" s="20">
        <f>VLOOKUP(A168,Metrik!$C$2:$Y$959,11,0)</f>
        <v>6.1</v>
      </c>
      <c r="L168" s="20">
        <f>VLOOKUP(A168,Metrik!$C$2:$Y$959,12,0)</f>
        <v>0.77</v>
      </c>
      <c r="M168" s="20">
        <f>VLOOKUP(A168,Metrik!$C$2:$Y$959,19,0)</f>
        <v>40.3</v>
      </c>
      <c r="N168" s="21"/>
      <c r="O168" s="21"/>
      <c r="P168" s="21"/>
      <c r="Q168" s="21"/>
      <c r="R168" s="21"/>
      <c r="S168" s="21"/>
      <c r="T168" s="21"/>
      <c r="U168" s="22">
        <f>IFERROR(__xludf.DUMMYFUNCTION("IFERROR(GOOGLEFINANCE(A168,""closeyest""),"""")"),0.0)</f>
        <v>0</v>
      </c>
      <c r="V168" s="23">
        <f>IFERROR(__xludf.DUMMYFUNCTION("IFERROR(GOOGLEFINANCE(A168,""changepct""),"""")"),0.0)</f>
        <v>0</v>
      </c>
      <c r="W168" s="22">
        <f>IFERROR(__xludf.DUMMYFUNCTION("IFERROR(GOOGLEFINANCE(A168,""priceopen""),"""")"),0.0)</f>
        <v>0</v>
      </c>
      <c r="X168" s="22">
        <f>IFERROR(__xludf.DUMMYFUNCTION("IFERROR(GOOGLEFINANCE(A168,""high""),"""")"),0.0)</f>
        <v>0</v>
      </c>
      <c r="Y168" s="22">
        <f>IFERROR(__xludf.DUMMYFUNCTION("IFERROR(GOOGLEFINANCE(A168,""low""),"""")"),0.0)</f>
        <v>0</v>
      </c>
      <c r="Z168" s="22">
        <f>IFERROR(__xludf.DUMMYFUNCTION("IFERROR(GOOGLEFINANCE(A168,""volume""),"""")"),4632235.0)</f>
        <v>4632235</v>
      </c>
      <c r="AA168" s="24" t="str">
        <f>VLOOKUP(A168,Metrik!$C$2:$Y$959,5,0)</f>
        <v>Multi-sector Holdings</v>
      </c>
      <c r="AB168" s="24" t="str">
        <f>VLOOKUP(A168,Metrik!$C$2:$Y$959,3,0)</f>
        <v>Industrials</v>
      </c>
    </row>
    <row r="169">
      <c r="A169" s="14" t="s">
        <v>127</v>
      </c>
      <c r="B169" s="14" t="str">
        <f t="array" ref="B169">VLOOKUP(A169,{Metrik!$C$2:$C$998,Metrik!$B$2:$B$998},2,0)</f>
        <v>Astra International Tbk</v>
      </c>
      <c r="C169" s="15">
        <f>IFERROR(__xludf.DUMMYFUNCTION("GOOGLEFINANCE(""IDX:""&amp;A169,""price"")"),4740.0)</f>
        <v>4740</v>
      </c>
      <c r="D169" s="16" t="str">
        <f>IFERROR(__xludf.DUMMYFUNCTION("IF(A169="""","""",
SPARKLINE(
INDEX(
GOOGLEFINANCE(""IDX:""&amp;A169,""close"",TODAY()-365,TODAY()),
,2
),
{""linewidth"",1}
))
"),"#N/A")</f>
        <v>#N/A</v>
      </c>
      <c r="E169" s="14" t="s">
        <v>48</v>
      </c>
      <c r="F169" s="14" t="s">
        <v>49</v>
      </c>
      <c r="G169" s="24">
        <f t="shared" si="1"/>
        <v>16</v>
      </c>
      <c r="H169" s="19">
        <f>VLOOKUP(A169,Metrik!$C$2:$Y$959,8,0)</f>
        <v>6.4</v>
      </c>
      <c r="I169" s="20">
        <f>VLOOKUP(A169,Metrik!$C$2:$Y$959,9,0)</f>
        <v>0.69</v>
      </c>
      <c r="J169" s="20">
        <f>VLOOKUP(A169,Metrik!$C$2:$Y$959,10,0)</f>
        <v>10.8</v>
      </c>
      <c r="K169" s="20">
        <f>VLOOKUP(A169,Metrik!$C$2:$Y$959,11,0)</f>
        <v>6.1</v>
      </c>
      <c r="L169" s="20">
        <f>VLOOKUP(A169,Metrik!$C$2:$Y$959,12,0)</f>
        <v>0.77</v>
      </c>
      <c r="M169" s="20">
        <f>VLOOKUP(A169,Metrik!$C$2:$Y$959,19,0)</f>
        <v>40.3</v>
      </c>
      <c r="N169" s="21"/>
      <c r="O169" s="21"/>
      <c r="P169" s="21"/>
      <c r="Q169" s="21"/>
      <c r="R169" s="21"/>
      <c r="S169" s="21"/>
      <c r="T169" s="21"/>
      <c r="U169" s="22">
        <f>IFERROR(__xludf.DUMMYFUNCTION("IFERROR(GOOGLEFINANCE(A169,""closeyest""),"""")"),0.0)</f>
        <v>0</v>
      </c>
      <c r="V169" s="23">
        <f>IFERROR(__xludf.DUMMYFUNCTION("IFERROR(GOOGLEFINANCE(A169,""changepct""),"""")"),0.0)</f>
        <v>0</v>
      </c>
      <c r="W169" s="22">
        <f>IFERROR(__xludf.DUMMYFUNCTION("IFERROR(GOOGLEFINANCE(A169,""priceopen""),"""")"),0.0)</f>
        <v>0</v>
      </c>
      <c r="X169" s="22">
        <f>IFERROR(__xludf.DUMMYFUNCTION("IFERROR(GOOGLEFINANCE(A169,""high""),"""")"),0.0)</f>
        <v>0</v>
      </c>
      <c r="Y169" s="22">
        <f>IFERROR(__xludf.DUMMYFUNCTION("IFERROR(GOOGLEFINANCE(A169,""low""),"""")"),0.0)</f>
        <v>0</v>
      </c>
      <c r="Z169" s="22">
        <f>IFERROR(__xludf.DUMMYFUNCTION("IFERROR(GOOGLEFINANCE(A169,""volume""),"""")"),4632235.0)</f>
        <v>4632235</v>
      </c>
      <c r="AA169" s="24" t="str">
        <f>VLOOKUP(A169,Metrik!$C$2:$Y$959,5,0)</f>
        <v>Multi-sector Holdings</v>
      </c>
      <c r="AB169" s="24" t="str">
        <f>VLOOKUP(A169,Metrik!$C$2:$Y$959,3,0)</f>
        <v>Industrials</v>
      </c>
    </row>
    <row r="170">
      <c r="A170" s="14" t="s">
        <v>127</v>
      </c>
      <c r="B170" s="14" t="str">
        <f t="array" ref="B170">VLOOKUP(A170,{Metrik!$C$2:$C$998,Metrik!$B$2:$B$998},2,0)</f>
        <v>Astra International Tbk</v>
      </c>
      <c r="C170" s="15">
        <f>IFERROR(__xludf.DUMMYFUNCTION("GOOGLEFINANCE(""IDX:""&amp;A170,""price"")"),4740.0)</f>
        <v>4740</v>
      </c>
      <c r="D170" s="16" t="str">
        <f>IFERROR(__xludf.DUMMYFUNCTION("IF(A170="""","""",
SPARKLINE(
INDEX(
GOOGLEFINANCE(""IDX:""&amp;A170,""close"",TODAY()-365,TODAY()),
,2
),
{""linewidth"",1}
))
"),"#N/A")</f>
        <v>#N/A</v>
      </c>
      <c r="E170" s="14" t="s">
        <v>67</v>
      </c>
      <c r="F170" s="17" t="s">
        <v>51</v>
      </c>
      <c r="G170" s="24">
        <f t="shared" si="1"/>
        <v>16</v>
      </c>
      <c r="H170" s="19">
        <f>VLOOKUP(A170,Metrik!$C$2:$Y$959,8,0)</f>
        <v>6.4</v>
      </c>
      <c r="I170" s="20">
        <f>VLOOKUP(A170,Metrik!$C$2:$Y$959,9,0)</f>
        <v>0.69</v>
      </c>
      <c r="J170" s="20">
        <f>VLOOKUP(A170,Metrik!$C$2:$Y$959,10,0)</f>
        <v>10.8</v>
      </c>
      <c r="K170" s="20">
        <f>VLOOKUP(A170,Metrik!$C$2:$Y$959,11,0)</f>
        <v>6.1</v>
      </c>
      <c r="L170" s="20">
        <f>VLOOKUP(A170,Metrik!$C$2:$Y$959,12,0)</f>
        <v>0.77</v>
      </c>
      <c r="M170" s="20">
        <f>VLOOKUP(A170,Metrik!$C$2:$Y$959,19,0)</f>
        <v>40.3</v>
      </c>
      <c r="N170" s="21"/>
      <c r="O170" s="21"/>
      <c r="P170" s="21"/>
      <c r="Q170" s="21"/>
      <c r="R170" s="21"/>
      <c r="S170" s="21"/>
      <c r="T170" s="21"/>
      <c r="U170" s="22">
        <f>IFERROR(__xludf.DUMMYFUNCTION("IFERROR(GOOGLEFINANCE(A170,""closeyest""),"""")"),0.0)</f>
        <v>0</v>
      </c>
      <c r="V170" s="23">
        <f>IFERROR(__xludf.DUMMYFUNCTION("IFERROR(GOOGLEFINANCE(A170,""changepct""),"""")"),0.0)</f>
        <v>0</v>
      </c>
      <c r="W170" s="22">
        <f>IFERROR(__xludf.DUMMYFUNCTION("IFERROR(GOOGLEFINANCE(A170,""priceopen""),"""")"),0.0)</f>
        <v>0</v>
      </c>
      <c r="X170" s="22">
        <f>IFERROR(__xludf.DUMMYFUNCTION("IFERROR(GOOGLEFINANCE(A170,""high""),"""")"),0.0)</f>
        <v>0</v>
      </c>
      <c r="Y170" s="22">
        <f>IFERROR(__xludf.DUMMYFUNCTION("IFERROR(GOOGLEFINANCE(A170,""low""),"""")"),0.0)</f>
        <v>0</v>
      </c>
      <c r="Z170" s="22">
        <f>IFERROR(__xludf.DUMMYFUNCTION("IFERROR(GOOGLEFINANCE(A170,""volume""),"""")"),4632235.0)</f>
        <v>4632235</v>
      </c>
      <c r="AA170" s="24" t="str">
        <f>VLOOKUP(A170,Metrik!$C$2:$Y$959,5,0)</f>
        <v>Multi-sector Holdings</v>
      </c>
      <c r="AB170" s="24" t="str">
        <f>VLOOKUP(A170,Metrik!$C$2:$Y$959,3,0)</f>
        <v>Industrials</v>
      </c>
    </row>
    <row r="171">
      <c r="A171" s="14" t="s">
        <v>127</v>
      </c>
      <c r="B171" s="14" t="str">
        <f t="array" ref="B171">VLOOKUP(A171,{Metrik!$C$2:$C$998,Metrik!$B$2:$B$998},2,0)</f>
        <v>Astra International Tbk</v>
      </c>
      <c r="C171" s="15">
        <f>IFERROR(__xludf.DUMMYFUNCTION("GOOGLEFINANCE(""IDX:""&amp;A171,""price"")"),4740.0)</f>
        <v>4740</v>
      </c>
      <c r="D171" s="16" t="str">
        <f>IFERROR(__xludf.DUMMYFUNCTION("IF(A171="""","""",
SPARKLINE(
INDEX(
GOOGLEFINANCE(""IDX:""&amp;A171,""close"",TODAY()-365,TODAY()),
,2
),
{""linewidth"",1}
))
"),"#N/A")</f>
        <v>#N/A</v>
      </c>
      <c r="E171" s="14" t="s">
        <v>84</v>
      </c>
      <c r="F171" s="17" t="s">
        <v>51</v>
      </c>
      <c r="G171" s="24">
        <f t="shared" si="1"/>
        <v>16</v>
      </c>
      <c r="H171" s="19">
        <f>VLOOKUP(A171,Metrik!$C$2:$Y$959,8,0)</f>
        <v>6.4</v>
      </c>
      <c r="I171" s="20">
        <f>VLOOKUP(A171,Metrik!$C$2:$Y$959,9,0)</f>
        <v>0.69</v>
      </c>
      <c r="J171" s="20">
        <f>VLOOKUP(A171,Metrik!$C$2:$Y$959,10,0)</f>
        <v>10.8</v>
      </c>
      <c r="K171" s="20">
        <f>VLOOKUP(A171,Metrik!$C$2:$Y$959,11,0)</f>
        <v>6.1</v>
      </c>
      <c r="L171" s="20">
        <f>VLOOKUP(A171,Metrik!$C$2:$Y$959,12,0)</f>
        <v>0.77</v>
      </c>
      <c r="M171" s="20">
        <f>VLOOKUP(A171,Metrik!$C$2:$Y$959,19,0)</f>
        <v>40.3</v>
      </c>
      <c r="N171" s="21"/>
      <c r="O171" s="21"/>
      <c r="P171" s="21"/>
      <c r="Q171" s="21"/>
      <c r="R171" s="21"/>
      <c r="S171" s="21"/>
      <c r="T171" s="21"/>
      <c r="U171" s="22">
        <f>IFERROR(__xludf.DUMMYFUNCTION("IFERROR(GOOGLEFINANCE(A171,""closeyest""),"""")"),0.0)</f>
        <v>0</v>
      </c>
      <c r="V171" s="23">
        <f>IFERROR(__xludf.DUMMYFUNCTION("IFERROR(GOOGLEFINANCE(A171,""changepct""),"""")"),0.0)</f>
        <v>0</v>
      </c>
      <c r="W171" s="22">
        <f>IFERROR(__xludf.DUMMYFUNCTION("IFERROR(GOOGLEFINANCE(A171,""priceopen""),"""")"),0.0)</f>
        <v>0</v>
      </c>
      <c r="X171" s="22">
        <f>IFERROR(__xludf.DUMMYFUNCTION("IFERROR(GOOGLEFINANCE(A171,""high""),"""")"),0.0)</f>
        <v>0</v>
      </c>
      <c r="Y171" s="22">
        <f>IFERROR(__xludf.DUMMYFUNCTION("IFERROR(GOOGLEFINANCE(A171,""low""),"""")"),0.0)</f>
        <v>0</v>
      </c>
      <c r="Z171" s="22">
        <f>IFERROR(__xludf.DUMMYFUNCTION("IFERROR(GOOGLEFINANCE(A171,""volume""),"""")"),4632235.0)</f>
        <v>4632235</v>
      </c>
      <c r="AA171" s="24" t="str">
        <f>VLOOKUP(A171,Metrik!$C$2:$Y$959,5,0)</f>
        <v>Multi-sector Holdings</v>
      </c>
      <c r="AB171" s="24" t="str">
        <f>VLOOKUP(A171,Metrik!$C$2:$Y$959,3,0)</f>
        <v>Industrials</v>
      </c>
    </row>
    <row r="172">
      <c r="A172" s="14" t="s">
        <v>127</v>
      </c>
      <c r="B172" s="14" t="str">
        <f t="array" ref="B172">VLOOKUP(A172,{Metrik!$C$2:$C$998,Metrik!$B$2:$B$998},2,0)</f>
        <v>Astra International Tbk</v>
      </c>
      <c r="C172" s="15">
        <f>IFERROR(__xludf.DUMMYFUNCTION("GOOGLEFINANCE(""IDX:""&amp;A172,""price"")"),4740.0)</f>
        <v>4740</v>
      </c>
      <c r="D172" s="16" t="str">
        <f>IFERROR(__xludf.DUMMYFUNCTION("IF(A172="""","""",
SPARKLINE(
INDEX(
GOOGLEFINANCE(""IDX:""&amp;A172,""close"",TODAY()-365,TODAY()),
,2
),
{""linewidth"",1}
))
"),"#N/A")</f>
        <v>#N/A</v>
      </c>
      <c r="E172" s="14" t="s">
        <v>31</v>
      </c>
      <c r="F172" s="17" t="s">
        <v>29</v>
      </c>
      <c r="G172" s="24">
        <f t="shared" si="1"/>
        <v>16</v>
      </c>
      <c r="H172" s="19">
        <f>VLOOKUP(A172,Metrik!$C$2:$Y$959,8,0)</f>
        <v>6.4</v>
      </c>
      <c r="I172" s="20">
        <f>VLOOKUP(A172,Metrik!$C$2:$Y$959,9,0)</f>
        <v>0.69</v>
      </c>
      <c r="J172" s="20">
        <f>VLOOKUP(A172,Metrik!$C$2:$Y$959,10,0)</f>
        <v>10.8</v>
      </c>
      <c r="K172" s="20">
        <f>VLOOKUP(A172,Metrik!$C$2:$Y$959,11,0)</f>
        <v>6.1</v>
      </c>
      <c r="L172" s="20">
        <f>VLOOKUP(A172,Metrik!$C$2:$Y$959,12,0)</f>
        <v>0.77</v>
      </c>
      <c r="M172" s="20">
        <f>VLOOKUP(A172,Metrik!$C$2:$Y$959,19,0)</f>
        <v>40.3</v>
      </c>
      <c r="N172" s="21"/>
      <c r="O172" s="21"/>
      <c r="P172" s="21"/>
      <c r="Q172" s="21"/>
      <c r="R172" s="21"/>
      <c r="S172" s="21"/>
      <c r="T172" s="21"/>
      <c r="U172" s="22">
        <f>IFERROR(__xludf.DUMMYFUNCTION("IFERROR(GOOGLEFINANCE(A172,""closeyest""),"""")"),0.0)</f>
        <v>0</v>
      </c>
      <c r="V172" s="23">
        <f>IFERROR(__xludf.DUMMYFUNCTION("IFERROR(GOOGLEFINANCE(A172,""changepct""),"""")"),0.0)</f>
        <v>0</v>
      </c>
      <c r="W172" s="22">
        <f>IFERROR(__xludf.DUMMYFUNCTION("IFERROR(GOOGLEFINANCE(A172,""priceopen""),"""")"),0.0)</f>
        <v>0</v>
      </c>
      <c r="X172" s="22">
        <f>IFERROR(__xludf.DUMMYFUNCTION("IFERROR(GOOGLEFINANCE(A172,""high""),"""")"),0.0)</f>
        <v>0</v>
      </c>
      <c r="Y172" s="22">
        <f>IFERROR(__xludf.DUMMYFUNCTION("IFERROR(GOOGLEFINANCE(A172,""low""),"""")"),0.0)</f>
        <v>0</v>
      </c>
      <c r="Z172" s="22">
        <f>IFERROR(__xludf.DUMMYFUNCTION("IFERROR(GOOGLEFINANCE(A172,""volume""),"""")"),4632235.0)</f>
        <v>4632235</v>
      </c>
      <c r="AA172" s="24" t="str">
        <f>VLOOKUP(A172,Metrik!$C$2:$Y$959,5,0)</f>
        <v>Multi-sector Holdings</v>
      </c>
      <c r="AB172" s="24" t="str">
        <f>VLOOKUP(A172,Metrik!$C$2:$Y$959,3,0)</f>
        <v>Industrials</v>
      </c>
    </row>
    <row r="173">
      <c r="A173" s="14" t="s">
        <v>127</v>
      </c>
      <c r="B173" s="14" t="str">
        <f t="array" ref="B173">VLOOKUP(A173,{Metrik!$C$2:$C$998,Metrik!$B$2:$B$998},2,0)</f>
        <v>Astra International Tbk</v>
      </c>
      <c r="C173" s="15">
        <f>IFERROR(__xludf.DUMMYFUNCTION("GOOGLEFINANCE(""IDX:""&amp;A173,""price"")"),4740.0)</f>
        <v>4740</v>
      </c>
      <c r="D173" s="16" t="str">
        <f>IFERROR(__xludf.DUMMYFUNCTION("IF(A173="""","""",
SPARKLINE(
INDEX(
GOOGLEFINANCE(""IDX:""&amp;A173,""close"",TODAY()-365,TODAY()),
,2
),
{""linewidth"",1}
))
"),"#N/A")</f>
        <v>#N/A</v>
      </c>
      <c r="E173" s="14" t="s">
        <v>102</v>
      </c>
      <c r="F173" s="27" t="s">
        <v>53</v>
      </c>
      <c r="G173" s="24">
        <f t="shared" si="1"/>
        <v>16</v>
      </c>
      <c r="H173" s="19">
        <f>VLOOKUP(A173,Metrik!$C$2:$Y$959,8,0)</f>
        <v>6.4</v>
      </c>
      <c r="I173" s="20">
        <f>VLOOKUP(A173,Metrik!$C$2:$Y$959,9,0)</f>
        <v>0.69</v>
      </c>
      <c r="J173" s="20">
        <f>VLOOKUP(A173,Metrik!$C$2:$Y$959,10,0)</f>
        <v>10.8</v>
      </c>
      <c r="K173" s="20">
        <f>VLOOKUP(A173,Metrik!$C$2:$Y$959,11,0)</f>
        <v>6.1</v>
      </c>
      <c r="L173" s="20">
        <f>VLOOKUP(A173,Metrik!$C$2:$Y$959,12,0)</f>
        <v>0.77</v>
      </c>
      <c r="M173" s="20">
        <f>VLOOKUP(A173,Metrik!$C$2:$Y$959,19,0)</f>
        <v>40.3</v>
      </c>
      <c r="N173" s="21"/>
      <c r="O173" s="21"/>
      <c r="P173" s="21"/>
      <c r="Q173" s="21"/>
      <c r="R173" s="21"/>
      <c r="S173" s="21"/>
      <c r="T173" s="21"/>
      <c r="U173" s="22">
        <f>IFERROR(__xludf.DUMMYFUNCTION("IFERROR(GOOGLEFINANCE(A173,""closeyest""),"""")"),0.0)</f>
        <v>0</v>
      </c>
      <c r="V173" s="23">
        <f>IFERROR(__xludf.DUMMYFUNCTION("IFERROR(GOOGLEFINANCE(A173,""changepct""),"""")"),0.0)</f>
        <v>0</v>
      </c>
      <c r="W173" s="22">
        <f>IFERROR(__xludf.DUMMYFUNCTION("IFERROR(GOOGLEFINANCE(A173,""priceopen""),"""")"),0.0)</f>
        <v>0</v>
      </c>
      <c r="X173" s="22">
        <f>IFERROR(__xludf.DUMMYFUNCTION("IFERROR(GOOGLEFINANCE(A173,""high""),"""")"),0.0)</f>
        <v>0</v>
      </c>
      <c r="Y173" s="22">
        <f>IFERROR(__xludf.DUMMYFUNCTION("IFERROR(GOOGLEFINANCE(A173,""low""),"""")"),0.0)</f>
        <v>0</v>
      </c>
      <c r="Z173" s="22">
        <f>IFERROR(__xludf.DUMMYFUNCTION("IFERROR(GOOGLEFINANCE(A173,""volume""),"""")"),4632235.0)</f>
        <v>4632235</v>
      </c>
      <c r="AA173" s="24" t="str">
        <f>VLOOKUP(A173,Metrik!$C$2:$Y$959,5,0)</f>
        <v>Multi-sector Holdings</v>
      </c>
      <c r="AB173" s="24" t="str">
        <f>VLOOKUP(A173,Metrik!$C$2:$Y$959,3,0)</f>
        <v>Industrials</v>
      </c>
    </row>
    <row r="174">
      <c r="A174" s="14" t="s">
        <v>127</v>
      </c>
      <c r="B174" s="14" t="str">
        <f t="array" ref="B174">VLOOKUP(A174,{Metrik!$C$2:$C$998,Metrik!$B$2:$B$998},2,0)</f>
        <v>Astra International Tbk</v>
      </c>
      <c r="C174" s="15">
        <f>IFERROR(__xludf.DUMMYFUNCTION("GOOGLEFINANCE(""IDX:""&amp;A174,""price"")"),4740.0)</f>
        <v>4740</v>
      </c>
      <c r="D174" s="16" t="str">
        <f>IFERROR(__xludf.DUMMYFUNCTION("IF(A174="""","""",
SPARKLINE(
INDEX(
GOOGLEFINANCE(""IDX:""&amp;A174,""close"",TODAY()-365,TODAY()),
,2
),
{""linewidth"",1}
))
"),"#N/A")</f>
        <v>#N/A</v>
      </c>
      <c r="E174" s="14" t="s">
        <v>33</v>
      </c>
      <c r="F174" s="14" t="s">
        <v>34</v>
      </c>
      <c r="G174" s="24">
        <f t="shared" si="1"/>
        <v>16</v>
      </c>
      <c r="H174" s="19">
        <f>VLOOKUP(A174,Metrik!$C$2:$Y$959,8,0)</f>
        <v>6.4</v>
      </c>
      <c r="I174" s="20">
        <f>VLOOKUP(A174,Metrik!$C$2:$Y$959,9,0)</f>
        <v>0.69</v>
      </c>
      <c r="J174" s="20">
        <f>VLOOKUP(A174,Metrik!$C$2:$Y$959,10,0)</f>
        <v>10.8</v>
      </c>
      <c r="K174" s="20">
        <f>VLOOKUP(A174,Metrik!$C$2:$Y$959,11,0)</f>
        <v>6.1</v>
      </c>
      <c r="L174" s="20">
        <f>VLOOKUP(A174,Metrik!$C$2:$Y$959,12,0)</f>
        <v>0.77</v>
      </c>
      <c r="M174" s="20">
        <f>VLOOKUP(A174,Metrik!$C$2:$Y$959,19,0)</f>
        <v>40.3</v>
      </c>
      <c r="N174" s="21"/>
      <c r="O174" s="21"/>
      <c r="P174" s="21"/>
      <c r="Q174" s="21"/>
      <c r="R174" s="21"/>
      <c r="S174" s="21"/>
      <c r="T174" s="21"/>
      <c r="U174" s="22">
        <f>IFERROR(__xludf.DUMMYFUNCTION("IFERROR(GOOGLEFINANCE(A174,""closeyest""),"""")"),0.0)</f>
        <v>0</v>
      </c>
      <c r="V174" s="23">
        <f>IFERROR(__xludf.DUMMYFUNCTION("IFERROR(GOOGLEFINANCE(A174,""changepct""),"""")"),0.0)</f>
        <v>0</v>
      </c>
      <c r="W174" s="22">
        <f>IFERROR(__xludf.DUMMYFUNCTION("IFERROR(GOOGLEFINANCE(A174,""priceopen""),"""")"),0.0)</f>
        <v>0</v>
      </c>
      <c r="X174" s="22">
        <f>IFERROR(__xludf.DUMMYFUNCTION("IFERROR(GOOGLEFINANCE(A174,""high""),"""")"),0.0)</f>
        <v>0</v>
      </c>
      <c r="Y174" s="22">
        <f>IFERROR(__xludf.DUMMYFUNCTION("IFERROR(GOOGLEFINANCE(A174,""low""),"""")"),0.0)</f>
        <v>0</v>
      </c>
      <c r="Z174" s="22">
        <f>IFERROR(__xludf.DUMMYFUNCTION("IFERROR(GOOGLEFINANCE(A174,""volume""),"""")"),4632235.0)</f>
        <v>4632235</v>
      </c>
      <c r="AA174" s="24" t="str">
        <f>VLOOKUP(A174,Metrik!$C$2:$Y$959,5,0)</f>
        <v>Multi-sector Holdings</v>
      </c>
      <c r="AB174" s="24" t="str">
        <f>VLOOKUP(A174,Metrik!$C$2:$Y$959,3,0)</f>
        <v>Industrials</v>
      </c>
    </row>
    <row r="175">
      <c r="A175" s="17" t="s">
        <v>127</v>
      </c>
      <c r="B175" s="14" t="str">
        <f t="array" ref="B175">VLOOKUP(A175,{Metrik!$C$2:$C$998,Metrik!$B$2:$B$998},2,0)</f>
        <v>Astra International Tbk</v>
      </c>
      <c r="C175" s="15">
        <f>IFERROR(__xludf.DUMMYFUNCTION("GOOGLEFINANCE(""IDX:""&amp;A175,""price"")"),4740.0)</f>
        <v>4740</v>
      </c>
      <c r="D175" s="16" t="str">
        <f>IFERROR(__xludf.DUMMYFUNCTION("IF(A175="""","""",
SPARKLINE(
INDEX(
GOOGLEFINANCE(""IDX:""&amp;A175,""close"",TODAY()-365,TODAY()),
,2
),
{""linewidth"",1}
))
"),"#N/A")</f>
        <v>#N/A</v>
      </c>
      <c r="E175" s="17" t="s">
        <v>69</v>
      </c>
      <c r="F175" s="17" t="s">
        <v>70</v>
      </c>
      <c r="G175" s="24">
        <f t="shared" si="1"/>
        <v>16</v>
      </c>
      <c r="H175" s="19">
        <f>VLOOKUP(A175,Metrik!$C$2:$Y$959,8,0)</f>
        <v>6.4</v>
      </c>
      <c r="I175" s="20">
        <f>VLOOKUP(A175,Metrik!$C$2:$Y$959,9,0)</f>
        <v>0.69</v>
      </c>
      <c r="J175" s="20">
        <f>VLOOKUP(A175,Metrik!$C$2:$Y$959,10,0)</f>
        <v>10.8</v>
      </c>
      <c r="K175" s="20">
        <f>VLOOKUP(A175,Metrik!$C$2:$Y$959,11,0)</f>
        <v>6.1</v>
      </c>
      <c r="L175" s="20">
        <f>VLOOKUP(A175,Metrik!$C$2:$Y$959,12,0)</f>
        <v>0.77</v>
      </c>
      <c r="M175" s="20">
        <f>VLOOKUP(A175,Metrik!$C$2:$Y$959,19,0)</f>
        <v>40.3</v>
      </c>
      <c r="N175" s="21"/>
      <c r="O175" s="21"/>
      <c r="P175" s="21"/>
      <c r="Q175" s="21"/>
      <c r="R175" s="21"/>
      <c r="S175" s="21"/>
      <c r="T175" s="21"/>
      <c r="U175" s="22">
        <f>IFERROR(__xludf.DUMMYFUNCTION("IFERROR(GOOGLEFINANCE(A175,""closeyest""),"""")"),0.0)</f>
        <v>0</v>
      </c>
      <c r="V175" s="23">
        <f>IFERROR(__xludf.DUMMYFUNCTION("IFERROR(GOOGLEFINANCE(A175,""changepct""),"""")"),0.0)</f>
        <v>0</v>
      </c>
      <c r="W175" s="22">
        <f>IFERROR(__xludf.DUMMYFUNCTION("IFERROR(GOOGLEFINANCE(A175,""priceopen""),"""")"),0.0)</f>
        <v>0</v>
      </c>
      <c r="X175" s="22">
        <f>IFERROR(__xludf.DUMMYFUNCTION("IFERROR(GOOGLEFINANCE(A175,""high""),"""")"),0.0)</f>
        <v>0</v>
      </c>
      <c r="Y175" s="22">
        <f>IFERROR(__xludf.DUMMYFUNCTION("IFERROR(GOOGLEFINANCE(A175,""low""),"""")"),0.0)</f>
        <v>0</v>
      </c>
      <c r="Z175" s="22">
        <f>IFERROR(__xludf.DUMMYFUNCTION("IFERROR(GOOGLEFINANCE(A175,""volume""),"""")"),4632235.0)</f>
        <v>4632235</v>
      </c>
      <c r="AA175" s="24" t="str">
        <f>VLOOKUP(A175,Metrik!$C$2:$Y$959,5,0)</f>
        <v>Multi-sector Holdings</v>
      </c>
      <c r="AB175" s="24" t="str">
        <f>VLOOKUP(A175,Metrik!$C$2:$Y$959,3,0)</f>
        <v>Industrials</v>
      </c>
    </row>
    <row r="176">
      <c r="A176" s="14" t="s">
        <v>127</v>
      </c>
      <c r="B176" s="14" t="str">
        <f t="array" ref="B176">VLOOKUP(A176,{Metrik!$C$2:$C$998,Metrik!$B$2:$B$998},2,0)</f>
        <v>Astra International Tbk</v>
      </c>
      <c r="C176" s="15">
        <f>IFERROR(__xludf.DUMMYFUNCTION("GOOGLEFINANCE(""IDX:""&amp;A176,""price"")"),4740.0)</f>
        <v>4740</v>
      </c>
      <c r="D176" s="16" t="str">
        <f>IFERROR(__xludf.DUMMYFUNCTION("IF(A176="""","""",
SPARKLINE(
INDEX(
GOOGLEFINANCE(""IDX:""&amp;A176,""close"",TODAY()-365,TODAY()),
,2
),
{""linewidth"",1}
))
"),"#N/A")</f>
        <v>#N/A</v>
      </c>
      <c r="E176" s="14" t="s">
        <v>55</v>
      </c>
      <c r="F176" s="25">
        <v>46356.0</v>
      </c>
      <c r="G176" s="24">
        <f t="shared" si="1"/>
        <v>16</v>
      </c>
      <c r="H176" s="19">
        <f>VLOOKUP(A176,Metrik!$C$2:$Y$959,8,0)</f>
        <v>6.4</v>
      </c>
      <c r="I176" s="20">
        <f>VLOOKUP(A176,Metrik!$C$2:$Y$959,9,0)</f>
        <v>0.69</v>
      </c>
      <c r="J176" s="20">
        <f>VLOOKUP(A176,Metrik!$C$2:$Y$959,10,0)</f>
        <v>10.8</v>
      </c>
      <c r="K176" s="20">
        <f>VLOOKUP(A176,Metrik!$C$2:$Y$959,11,0)</f>
        <v>6.1</v>
      </c>
      <c r="L176" s="20">
        <f>VLOOKUP(A176,Metrik!$C$2:$Y$959,12,0)</f>
        <v>0.77</v>
      </c>
      <c r="M176" s="20">
        <f>VLOOKUP(A176,Metrik!$C$2:$Y$959,19,0)</f>
        <v>40.3</v>
      </c>
      <c r="N176" s="21"/>
      <c r="O176" s="21"/>
      <c r="P176" s="21"/>
      <c r="Q176" s="21"/>
      <c r="R176" s="21"/>
      <c r="S176" s="21"/>
      <c r="T176" s="21"/>
      <c r="U176" s="22">
        <f>IFERROR(__xludf.DUMMYFUNCTION("IFERROR(GOOGLEFINANCE(A176,""closeyest""),"""")"),0.0)</f>
        <v>0</v>
      </c>
      <c r="V176" s="23">
        <f>IFERROR(__xludf.DUMMYFUNCTION("IFERROR(GOOGLEFINANCE(A176,""changepct""),"""")"),0.0)</f>
        <v>0</v>
      </c>
      <c r="W176" s="22">
        <f>IFERROR(__xludf.DUMMYFUNCTION("IFERROR(GOOGLEFINANCE(A176,""priceopen""),"""")"),0.0)</f>
        <v>0</v>
      </c>
      <c r="X176" s="22">
        <f>IFERROR(__xludf.DUMMYFUNCTION("IFERROR(GOOGLEFINANCE(A176,""high""),"""")"),0.0)</f>
        <v>0</v>
      </c>
      <c r="Y176" s="22">
        <f>IFERROR(__xludf.DUMMYFUNCTION("IFERROR(GOOGLEFINANCE(A176,""low""),"""")"),0.0)</f>
        <v>0</v>
      </c>
      <c r="Z176" s="22">
        <f>IFERROR(__xludf.DUMMYFUNCTION("IFERROR(GOOGLEFINANCE(A176,""volume""),"""")"),4632235.0)</f>
        <v>4632235</v>
      </c>
      <c r="AA176" s="24" t="str">
        <f>VLOOKUP(A176,Metrik!$C$2:$Y$959,5,0)</f>
        <v>Multi-sector Holdings</v>
      </c>
      <c r="AB176" s="24" t="str">
        <f>VLOOKUP(A176,Metrik!$C$2:$Y$959,3,0)</f>
        <v>Industrials</v>
      </c>
    </row>
    <row r="177">
      <c r="A177" s="14" t="s">
        <v>127</v>
      </c>
      <c r="B177" s="14" t="str">
        <f t="array" ref="B177">VLOOKUP(A177,{Metrik!$C$2:$C$998,Metrik!$B$2:$B$998},2,0)</f>
        <v>Astra International Tbk</v>
      </c>
      <c r="C177" s="15">
        <f>IFERROR(__xludf.DUMMYFUNCTION("GOOGLEFINANCE(""IDX:""&amp;A177,""price"")"),4740.0)</f>
        <v>4740</v>
      </c>
      <c r="D177" s="16" t="str">
        <f>IFERROR(__xludf.DUMMYFUNCTION("IF(A177="""","""",
SPARKLINE(
INDEX(
GOOGLEFINANCE(""IDX:""&amp;A177,""close"",TODAY()-365,TODAY()),
,2
),
{""linewidth"",1}
))
"),"#N/A")</f>
        <v>#N/A</v>
      </c>
      <c r="E177" s="14" t="s">
        <v>86</v>
      </c>
      <c r="F177" s="25">
        <v>46356.0</v>
      </c>
      <c r="G177" s="24">
        <f t="shared" si="1"/>
        <v>16</v>
      </c>
      <c r="H177" s="19">
        <f>VLOOKUP(A177,Metrik!$C$2:$Y$959,8,0)</f>
        <v>6.4</v>
      </c>
      <c r="I177" s="20">
        <f>VLOOKUP(A177,Metrik!$C$2:$Y$959,9,0)</f>
        <v>0.69</v>
      </c>
      <c r="J177" s="20">
        <f>VLOOKUP(A177,Metrik!$C$2:$Y$959,10,0)</f>
        <v>10.8</v>
      </c>
      <c r="K177" s="20">
        <f>VLOOKUP(A177,Metrik!$C$2:$Y$959,11,0)</f>
        <v>6.1</v>
      </c>
      <c r="L177" s="20">
        <f>VLOOKUP(A177,Metrik!$C$2:$Y$959,12,0)</f>
        <v>0.77</v>
      </c>
      <c r="M177" s="20">
        <f>VLOOKUP(A177,Metrik!$C$2:$Y$959,19,0)</f>
        <v>40.3</v>
      </c>
      <c r="N177" s="21"/>
      <c r="O177" s="21"/>
      <c r="P177" s="21"/>
      <c r="Q177" s="21"/>
      <c r="R177" s="21"/>
      <c r="S177" s="21"/>
      <c r="T177" s="21"/>
      <c r="U177" s="22">
        <f>IFERROR(__xludf.DUMMYFUNCTION("IFERROR(GOOGLEFINANCE(A177,""closeyest""),"""")"),0.0)</f>
        <v>0</v>
      </c>
      <c r="V177" s="23">
        <f>IFERROR(__xludf.DUMMYFUNCTION("IFERROR(GOOGLEFINANCE(A177,""changepct""),"""")"),0.0)</f>
        <v>0</v>
      </c>
      <c r="W177" s="22">
        <f>IFERROR(__xludf.DUMMYFUNCTION("IFERROR(GOOGLEFINANCE(A177,""priceopen""),"""")"),0.0)</f>
        <v>0</v>
      </c>
      <c r="X177" s="22">
        <f>IFERROR(__xludf.DUMMYFUNCTION("IFERROR(GOOGLEFINANCE(A177,""high""),"""")"),0.0)</f>
        <v>0</v>
      </c>
      <c r="Y177" s="22">
        <f>IFERROR(__xludf.DUMMYFUNCTION("IFERROR(GOOGLEFINANCE(A177,""low""),"""")"),0.0)</f>
        <v>0</v>
      </c>
      <c r="Z177" s="22">
        <f>IFERROR(__xludf.DUMMYFUNCTION("IFERROR(GOOGLEFINANCE(A177,""volume""),"""")"),4632235.0)</f>
        <v>4632235</v>
      </c>
      <c r="AA177" s="24" t="str">
        <f>VLOOKUP(A177,Metrik!$C$2:$Y$959,5,0)</f>
        <v>Multi-sector Holdings</v>
      </c>
      <c r="AB177" s="24" t="str">
        <f>VLOOKUP(A177,Metrik!$C$2:$Y$959,3,0)</f>
        <v>Industrials</v>
      </c>
    </row>
    <row r="178">
      <c r="A178" s="14" t="s">
        <v>127</v>
      </c>
      <c r="B178" s="14" t="str">
        <f t="array" ref="B178">VLOOKUP(A178,{Metrik!$C$2:$C$998,Metrik!$B$2:$B$998},2,0)</f>
        <v>Astra International Tbk</v>
      </c>
      <c r="C178" s="15">
        <f>IFERROR(__xludf.DUMMYFUNCTION("GOOGLEFINANCE(""IDX:""&amp;A178,""price"")"),4740.0)</f>
        <v>4740</v>
      </c>
      <c r="D178" s="16" t="str">
        <f>IFERROR(__xludf.DUMMYFUNCTION("IF(A178="""","""",
SPARKLINE(
INDEX(
GOOGLEFINANCE(""IDX:""&amp;A178,""close"",TODAY()-365,TODAY()),
,2
),
{""linewidth"",1}
))
"),"#N/A")</f>
        <v>#N/A</v>
      </c>
      <c r="E178" s="14" t="s">
        <v>42</v>
      </c>
      <c r="F178" s="25">
        <v>46356.0</v>
      </c>
      <c r="G178" s="24">
        <f t="shared" si="1"/>
        <v>16</v>
      </c>
      <c r="H178" s="19">
        <f>VLOOKUP(A178,Metrik!$C$2:$Y$959,8,0)</f>
        <v>6.4</v>
      </c>
      <c r="I178" s="20">
        <f>VLOOKUP(A178,Metrik!$C$2:$Y$959,9,0)</f>
        <v>0.69</v>
      </c>
      <c r="J178" s="20">
        <f>VLOOKUP(A178,Metrik!$C$2:$Y$959,10,0)</f>
        <v>10.8</v>
      </c>
      <c r="K178" s="20">
        <f>VLOOKUP(A178,Metrik!$C$2:$Y$959,11,0)</f>
        <v>6.1</v>
      </c>
      <c r="L178" s="20">
        <f>VLOOKUP(A178,Metrik!$C$2:$Y$959,12,0)</f>
        <v>0.77</v>
      </c>
      <c r="M178" s="20">
        <f>VLOOKUP(A178,Metrik!$C$2:$Y$959,19,0)</f>
        <v>40.3</v>
      </c>
      <c r="N178" s="21"/>
      <c r="O178" s="21"/>
      <c r="P178" s="21"/>
      <c r="Q178" s="21"/>
      <c r="R178" s="21"/>
      <c r="S178" s="21"/>
      <c r="T178" s="21"/>
      <c r="U178" s="22">
        <f>IFERROR(__xludf.DUMMYFUNCTION("IFERROR(GOOGLEFINANCE(A178,""closeyest""),"""")"),0.0)</f>
        <v>0</v>
      </c>
      <c r="V178" s="23">
        <f>IFERROR(__xludf.DUMMYFUNCTION("IFERROR(GOOGLEFINANCE(A178,""changepct""),"""")"),0.0)</f>
        <v>0</v>
      </c>
      <c r="W178" s="22">
        <f>IFERROR(__xludf.DUMMYFUNCTION("IFERROR(GOOGLEFINANCE(A178,""priceopen""),"""")"),0.0)</f>
        <v>0</v>
      </c>
      <c r="X178" s="22">
        <f>IFERROR(__xludf.DUMMYFUNCTION("IFERROR(GOOGLEFINANCE(A178,""high""),"""")"),0.0)</f>
        <v>0</v>
      </c>
      <c r="Y178" s="22">
        <f>IFERROR(__xludf.DUMMYFUNCTION("IFERROR(GOOGLEFINANCE(A178,""low""),"""")"),0.0)</f>
        <v>0</v>
      </c>
      <c r="Z178" s="22">
        <f>IFERROR(__xludf.DUMMYFUNCTION("IFERROR(GOOGLEFINANCE(A178,""volume""),"""")"),4632235.0)</f>
        <v>4632235</v>
      </c>
      <c r="AA178" s="24" t="str">
        <f>VLOOKUP(A178,Metrik!$C$2:$Y$959,5,0)</f>
        <v>Multi-sector Holdings</v>
      </c>
      <c r="AB178" s="24" t="str">
        <f>VLOOKUP(A178,Metrik!$C$2:$Y$959,3,0)</f>
        <v>Industrials</v>
      </c>
    </row>
    <row r="179">
      <c r="A179" s="14" t="s">
        <v>129</v>
      </c>
      <c r="B179" s="14" t="str">
        <f t="array" ref="B179">VLOOKUP(A179,{Metrik!$C$2:$C$998,Metrik!$B$2:$B$998},2,0)</f>
        <v>Asuransi Jasa Tania Tbk.</v>
      </c>
      <c r="C179" s="15">
        <f>IFERROR(__xludf.DUMMYFUNCTION("GOOGLEFINANCE(""IDX:""&amp;A179,""price"")"),155.0)</f>
        <v>155</v>
      </c>
      <c r="D179" s="16" t="str">
        <f>IFERROR(__xludf.DUMMYFUNCTION("IF(A179="""","""",
SPARKLINE(
INDEX(
GOOGLEFINANCE(""IDX:""&amp;A179,""close"",TODAY()-365,TODAY()),
,2
),
{""linewidth"",1}
))
"),"#N/A")</f>
        <v>#N/A</v>
      </c>
      <c r="E179" s="26"/>
      <c r="F179" s="26"/>
      <c r="G179" s="24">
        <f t="shared" si="1"/>
        <v>0</v>
      </c>
      <c r="H179" s="19">
        <f>VLOOKUP(A179,Metrik!$C$2:$Y$959,8,0)</f>
        <v>-54.6</v>
      </c>
      <c r="I179" s="20">
        <f>VLOOKUP(A179,Metrik!$C$2:$Y$959,9,0)</f>
        <v>0.77</v>
      </c>
      <c r="J179" s="20">
        <f>VLOOKUP(A179,Metrik!$C$2:$Y$959,10,0)</f>
        <v>-1.4</v>
      </c>
      <c r="K179" s="20">
        <f>VLOOKUP(A179,Metrik!$C$2:$Y$959,11,0)</f>
        <v>-0.8</v>
      </c>
      <c r="L179" s="20">
        <f>VLOOKUP(A179,Metrik!$C$2:$Y$959,12,0)</f>
        <v>0.76</v>
      </c>
      <c r="M179" s="20">
        <f>VLOOKUP(A179,Metrik!$C$2:$Y$959,19,0)</f>
        <v>-7.8</v>
      </c>
      <c r="N179" s="21"/>
      <c r="O179" s="21"/>
      <c r="P179" s="21"/>
      <c r="Q179" s="21"/>
      <c r="R179" s="21"/>
      <c r="S179" s="21"/>
      <c r="T179" s="21"/>
      <c r="U179" s="22">
        <f>IFERROR(__xludf.DUMMYFUNCTION("IFERROR(GOOGLEFINANCE(A179,""closeyest""),"""")"),141.0)</f>
        <v>141</v>
      </c>
      <c r="V179" s="23">
        <f>IFERROR(__xludf.DUMMYFUNCTION("IFERROR(GOOGLEFINANCE(A179,""changepct""),"""")"),9.93)</f>
        <v>9.93</v>
      </c>
      <c r="W179" s="22">
        <f>IFERROR(__xludf.DUMMYFUNCTION("IFERROR(GOOGLEFINANCE(A179,""priceopen""),"""")"),141.0)</f>
        <v>141</v>
      </c>
      <c r="X179" s="22">
        <f>IFERROR(__xludf.DUMMYFUNCTION("IFERROR(GOOGLEFINANCE(A179,""high""),"""")"),185.0)</f>
        <v>185</v>
      </c>
      <c r="Y179" s="22">
        <f>IFERROR(__xludf.DUMMYFUNCTION("IFERROR(GOOGLEFINANCE(A179,""low""),"""")"),140.0)</f>
        <v>140</v>
      </c>
      <c r="Z179" s="22">
        <f>IFERROR(__xludf.DUMMYFUNCTION("IFERROR(GOOGLEFINANCE(A179,""volume""),"""")"),807500.0)</f>
        <v>807500</v>
      </c>
      <c r="AA179" s="24" t="str">
        <f>VLOOKUP(A179,Metrik!$C$2:$Y$959,5,0)</f>
        <v>Insurance</v>
      </c>
      <c r="AB179" s="24" t="str">
        <f>VLOOKUP(A179,Metrik!$C$2:$Y$959,3,0)</f>
        <v>Financials</v>
      </c>
    </row>
    <row r="180">
      <c r="A180" s="14" t="s">
        <v>130</v>
      </c>
      <c r="B180" s="14" t="str">
        <f t="array" ref="B180">VLOOKUP(A180,{Metrik!$C$2:$C$998,Metrik!$B$2:$B$998},2,0)</f>
        <v>Autopedia Sukses Lestari Tbk.</v>
      </c>
      <c r="C180" s="15">
        <f>IFERROR(__xludf.DUMMYFUNCTION("GOOGLEFINANCE(""IDX:""&amp;A180,""price"")"),62.0)</f>
        <v>62</v>
      </c>
      <c r="D180" s="16" t="str">
        <f>IFERROR(__xludf.DUMMYFUNCTION("IF(A180="""","""",
SPARKLINE(
INDEX(
GOOGLEFINANCE(""IDX:""&amp;A180,""close"",TODAY()-365,TODAY()),
,2
),
{""linewidth"",1}
))
"),"#N/A")</f>
        <v>#N/A</v>
      </c>
      <c r="E180" s="26"/>
      <c r="F180" s="26"/>
      <c r="G180" s="24">
        <f t="shared" si="1"/>
        <v>0</v>
      </c>
      <c r="H180" s="19">
        <f>VLOOKUP(A180,Metrik!$C$2:$Y$959,8,0)</f>
        <v>22.8</v>
      </c>
      <c r="I180" s="20">
        <f>VLOOKUP(A180,Metrik!$C$2:$Y$959,9,0)</f>
        <v>1.1</v>
      </c>
      <c r="J180" s="20">
        <f>VLOOKUP(A180,Metrik!$C$2:$Y$959,10,0)</f>
        <v>4.7</v>
      </c>
      <c r="K180" s="20">
        <f>VLOOKUP(A180,Metrik!$C$2:$Y$959,11,0)</f>
        <v>4</v>
      </c>
      <c r="L180" s="20">
        <f>VLOOKUP(A180,Metrik!$C$2:$Y$959,12,0)</f>
        <v>0.16</v>
      </c>
      <c r="M180" s="20">
        <f>VLOOKUP(A180,Metrik!$C$2:$Y$959,19,0)</f>
        <v>13</v>
      </c>
      <c r="N180" s="21"/>
      <c r="O180" s="21"/>
      <c r="P180" s="21"/>
      <c r="Q180" s="21"/>
      <c r="R180" s="21"/>
      <c r="S180" s="21"/>
      <c r="T180" s="21"/>
      <c r="U180" s="22">
        <f>IFERROR(__xludf.DUMMYFUNCTION("IFERROR(GOOGLEFINANCE(A180,""closeyest""),"""")"),59.0)</f>
        <v>59</v>
      </c>
      <c r="V180" s="23">
        <f>IFERROR(__xludf.DUMMYFUNCTION("IFERROR(GOOGLEFINANCE(A180,""changepct""),"""")"),5.08)</f>
        <v>5.08</v>
      </c>
      <c r="W180" s="22">
        <f>IFERROR(__xludf.DUMMYFUNCTION("IFERROR(GOOGLEFINANCE(A180,""priceopen""),"""")"),58.0)</f>
        <v>58</v>
      </c>
      <c r="X180" s="22">
        <f>IFERROR(__xludf.DUMMYFUNCTION("IFERROR(GOOGLEFINANCE(A180,""high""),"""")"),62.0)</f>
        <v>62</v>
      </c>
      <c r="Y180" s="22">
        <f>IFERROR(__xludf.DUMMYFUNCTION("IFERROR(GOOGLEFINANCE(A180,""low""),"""")"),58.0)</f>
        <v>58</v>
      </c>
      <c r="Z180" s="22">
        <f>IFERROR(__xludf.DUMMYFUNCTION("IFERROR(GOOGLEFINANCE(A180,""volume""),"""")"),1.0115E7)</f>
        <v>10115000</v>
      </c>
      <c r="AA180" s="24" t="str">
        <f>VLOOKUP(A180,Metrik!$C$2:$Y$959,5,0)</f>
        <v>Specialty Retail</v>
      </c>
      <c r="AB180" s="24" t="str">
        <f>VLOOKUP(A180,Metrik!$C$2:$Y$959,3,0)</f>
        <v>Consumer Cyclicals</v>
      </c>
    </row>
    <row r="181">
      <c r="A181" s="14" t="s">
        <v>131</v>
      </c>
      <c r="B181" s="14" t="str">
        <f t="array" ref="B181">VLOOKUP(A181,{Metrik!$C$2:$C$998,Metrik!$B$2:$B$998},2,0)</f>
        <v>Asri Karya Lestari Tbk.</v>
      </c>
      <c r="C181" s="15">
        <f>IFERROR(__xludf.DUMMYFUNCTION("GOOGLEFINANCE(""IDX:""&amp;A181,""price"")"),214.0)</f>
        <v>214</v>
      </c>
      <c r="D181" s="16" t="str">
        <f>IFERROR(__xludf.DUMMYFUNCTION("IF(A181="""","""",
SPARKLINE(
INDEX(
GOOGLEFINANCE(""IDX:""&amp;A181,""close"",TODAY()-365,TODAY()),
,2
),
{""linewidth"",1}
))
"),"#N/A")</f>
        <v>#N/A</v>
      </c>
      <c r="E181" s="26"/>
      <c r="F181" s="26"/>
      <c r="G181" s="24">
        <f t="shared" si="1"/>
        <v>0</v>
      </c>
      <c r="H181" s="19">
        <f>VLOOKUP(A181,Metrik!$C$2:$Y$959,8,0)</f>
        <v>-13.6</v>
      </c>
      <c r="I181" s="20">
        <f>VLOOKUP(A181,Metrik!$C$2:$Y$959,9,0)</f>
        <v>4</v>
      </c>
      <c r="J181" s="20">
        <f>VLOOKUP(A181,Metrik!$C$2:$Y$959,10,0)</f>
        <v>-29.3</v>
      </c>
      <c r="K181" s="20">
        <f>VLOOKUP(A181,Metrik!$C$2:$Y$959,11,0)</f>
        <v>-26.8</v>
      </c>
      <c r="L181" s="20">
        <f>VLOOKUP(A181,Metrik!$C$2:$Y$959,12,0)</f>
        <v>0.1</v>
      </c>
      <c r="M181" s="20">
        <f>VLOOKUP(A181,Metrik!$C$2:$Y$959,19,0)</f>
        <v>-550</v>
      </c>
      <c r="N181" s="21"/>
      <c r="O181" s="21"/>
      <c r="P181" s="21"/>
      <c r="Q181" s="21"/>
      <c r="R181" s="21"/>
      <c r="S181" s="21"/>
      <c r="T181" s="21"/>
      <c r="U181" s="22">
        <f>IFERROR(__xludf.DUMMYFUNCTION("IFERROR(GOOGLEFINANCE(A181,""closeyest""),"""")"),18.7)</f>
        <v>18.7</v>
      </c>
      <c r="V181" s="23">
        <f>IFERROR(__xludf.DUMMYFUNCTION("IFERROR(GOOGLEFINANCE(A181,""changepct""),"""")"),0.21)</f>
        <v>0.21</v>
      </c>
      <c r="W181" s="22">
        <f>IFERROR(__xludf.DUMMYFUNCTION("IFERROR(GOOGLEFINANCE(A181,""priceopen""),"""")"),19.3)</f>
        <v>19.3</v>
      </c>
      <c r="X181" s="22">
        <f>IFERROR(__xludf.DUMMYFUNCTION("IFERROR(GOOGLEFINANCE(A181,""high""),"""")"),19.3)</f>
        <v>19.3</v>
      </c>
      <c r="Y181" s="22">
        <f>IFERROR(__xludf.DUMMYFUNCTION("IFERROR(GOOGLEFINANCE(A181,""low""),"""")"),18.5)</f>
        <v>18.5</v>
      </c>
      <c r="Z181" s="22" t="str">
        <f>IFERROR(__xludf.DUMMYFUNCTION("IFERROR(GOOGLEFINANCE(A181,""volume""),"""")"),"")</f>
        <v/>
      </c>
      <c r="AA181" s="24" t="str">
        <f>VLOOKUP(A181,Metrik!$C$2:$Y$959,5,0)</f>
        <v>Heavy Constructions &amp; Civil Engineering</v>
      </c>
      <c r="AB181" s="24" t="str">
        <f>VLOOKUP(A181,Metrik!$C$2:$Y$959,3,0)</f>
        <v>Infrastructures</v>
      </c>
    </row>
    <row r="182">
      <c r="A182" s="14" t="s">
        <v>132</v>
      </c>
      <c r="B182" s="14" t="str">
        <f t="array" ref="B182">VLOOKUP(A182,{Metrik!$C$2:$C$998,Metrik!$B$2:$B$998},2,0)</f>
        <v>Asuransi Maximus Graha Persada Tbk.</v>
      </c>
      <c r="C182" s="15">
        <f>IFERROR(__xludf.DUMMYFUNCTION("GOOGLEFINANCE(""IDX:""&amp;A182,""price"")"),15.0)</f>
        <v>15</v>
      </c>
      <c r="D182" s="16" t="str">
        <f>IFERROR(__xludf.DUMMYFUNCTION("IF(A182="""","""",
SPARKLINE(
INDEX(
GOOGLEFINANCE(""IDX:""&amp;A182,""close"",TODAY()-365,TODAY()),
,2
),
{""linewidth"",1}
))
"),"#N/A")</f>
        <v>#N/A</v>
      </c>
      <c r="E182" s="26"/>
      <c r="F182" s="26"/>
      <c r="G182" s="24">
        <f t="shared" si="1"/>
        <v>0</v>
      </c>
      <c r="H182" s="19">
        <f>VLOOKUP(A182,Metrik!$C$2:$Y$959,8,0)</f>
        <v>5.8</v>
      </c>
      <c r="I182" s="20">
        <f>VLOOKUP(A182,Metrik!$C$2:$Y$959,9,0)</f>
        <v>0.39</v>
      </c>
      <c r="J182" s="20">
        <f>VLOOKUP(A182,Metrik!$C$2:$Y$959,10,0)</f>
        <v>6.7</v>
      </c>
      <c r="K182" s="20">
        <f>VLOOKUP(A182,Metrik!$C$2:$Y$959,11,0)</f>
        <v>1.8</v>
      </c>
      <c r="L182" s="20">
        <f>VLOOKUP(A182,Metrik!$C$2:$Y$959,12,0)</f>
        <v>2.7</v>
      </c>
      <c r="M182" s="20">
        <f>VLOOKUP(A182,Metrik!$C$2:$Y$959,19,0)</f>
        <v>1.8</v>
      </c>
      <c r="N182" s="21"/>
      <c r="O182" s="21"/>
      <c r="P182" s="21"/>
      <c r="Q182" s="21"/>
      <c r="R182" s="21"/>
      <c r="S182" s="21"/>
      <c r="T182" s="21"/>
      <c r="U182" s="22">
        <f>IFERROR(__xludf.DUMMYFUNCTION("IFERROR(GOOGLEFINANCE(A182,""closeyest""),"""")"),14.0)</f>
        <v>14</v>
      </c>
      <c r="V182" s="23">
        <f>IFERROR(__xludf.DUMMYFUNCTION("IFERROR(GOOGLEFINANCE(A182,""changepct""),"""")"),7.14)</f>
        <v>7.14</v>
      </c>
      <c r="W182" s="22">
        <f>IFERROR(__xludf.DUMMYFUNCTION("IFERROR(GOOGLEFINANCE(A182,""priceopen""),"""")"),14.0)</f>
        <v>14</v>
      </c>
      <c r="X182" s="22">
        <f>IFERROR(__xludf.DUMMYFUNCTION("IFERROR(GOOGLEFINANCE(A182,""high""),"""")"),15.0)</f>
        <v>15</v>
      </c>
      <c r="Y182" s="22">
        <f>IFERROR(__xludf.DUMMYFUNCTION("IFERROR(GOOGLEFINANCE(A182,""low""),"""")"),14.0)</f>
        <v>14</v>
      </c>
      <c r="Z182" s="22">
        <f>IFERROR(__xludf.DUMMYFUNCTION("IFERROR(GOOGLEFINANCE(A182,""volume""),"""")"),3254400.0)</f>
        <v>3254400</v>
      </c>
      <c r="AA182" s="24" t="str">
        <f>VLOOKUP(A182,Metrik!$C$2:$Y$959,5,0)</f>
        <v>Insurance</v>
      </c>
      <c r="AB182" s="24" t="str">
        <f>VLOOKUP(A182,Metrik!$C$2:$Y$959,3,0)</f>
        <v>Financials</v>
      </c>
    </row>
    <row r="183">
      <c r="A183" s="14" t="s">
        <v>133</v>
      </c>
      <c r="B183" s="14" t="str">
        <f t="array" ref="B183">VLOOKUP(A183,{Metrik!$C$2:$C$998,Metrik!$B$2:$B$998},2,0)</f>
        <v>Andalan Sakti Primaindo Tbk.</v>
      </c>
      <c r="C183" s="15">
        <f>IFERROR(__xludf.DUMMYFUNCTION("GOOGLEFINANCE(""IDX:""&amp;A183,""price"")"),340.0)</f>
        <v>340</v>
      </c>
      <c r="D183" s="16" t="str">
        <f>IFERROR(__xludf.DUMMYFUNCTION("IF(A183="""","""",
SPARKLINE(
INDEX(
GOOGLEFINANCE(""IDX:""&amp;A183,""close"",TODAY()-365,TODAY()),
,2
),
{""linewidth"",1}
))
"),"#N/A")</f>
        <v>#N/A</v>
      </c>
      <c r="E183" s="26"/>
      <c r="F183" s="26"/>
      <c r="G183" s="24">
        <f t="shared" si="1"/>
        <v>0</v>
      </c>
      <c r="H183" s="19">
        <f>VLOOKUP(A183,Metrik!$C$2:$Y$959,8,0)</f>
        <v>-21.5</v>
      </c>
      <c r="I183" s="20">
        <f>VLOOKUP(A183,Metrik!$C$2:$Y$959,9,0)</f>
        <v>4.3</v>
      </c>
      <c r="J183" s="20">
        <f>VLOOKUP(A183,Metrik!$C$2:$Y$959,10,0)</f>
        <v>-20.2</v>
      </c>
      <c r="K183" s="20">
        <f>VLOOKUP(A183,Metrik!$C$2:$Y$959,11,0)</f>
        <v>-13.1</v>
      </c>
      <c r="L183" s="20">
        <f>VLOOKUP(A183,Metrik!$C$2:$Y$959,12,0)</f>
        <v>0.53</v>
      </c>
      <c r="M183" s="20">
        <f>VLOOKUP(A183,Metrik!$C$2:$Y$959,19,0)</f>
        <v>-460</v>
      </c>
      <c r="N183" s="21"/>
      <c r="O183" s="21"/>
      <c r="P183" s="21"/>
      <c r="Q183" s="21"/>
      <c r="R183" s="21"/>
      <c r="S183" s="21"/>
      <c r="T183" s="21"/>
      <c r="U183" s="22">
        <f>IFERROR(__xludf.DUMMYFUNCTION("IFERROR(GOOGLEFINANCE(A183,""closeyest""),"""")"),6.23)</f>
        <v>6.23</v>
      </c>
      <c r="V183" s="23">
        <f>IFERROR(__xludf.DUMMYFUNCTION("IFERROR(GOOGLEFINANCE(A183,""changepct""),"""")"),5.14)</f>
        <v>5.14</v>
      </c>
      <c r="W183" s="22">
        <f>IFERROR(__xludf.DUMMYFUNCTION("IFERROR(GOOGLEFINANCE(A183,""priceopen""),"""")"),6.3)</f>
        <v>6.3</v>
      </c>
      <c r="X183" s="22">
        <f>IFERROR(__xludf.DUMMYFUNCTION("IFERROR(GOOGLEFINANCE(A183,""high""),"""")"),6.84)</f>
        <v>6.84</v>
      </c>
      <c r="Y183" s="22">
        <f>IFERROR(__xludf.DUMMYFUNCTION("IFERROR(GOOGLEFINANCE(A183,""low""),"""")"),6.25)</f>
        <v>6.25</v>
      </c>
      <c r="Z183" s="22">
        <f>IFERROR(__xludf.DUMMYFUNCTION("IFERROR(GOOGLEFINANCE(A183,""volume""),"""")"),5160161.0)</f>
        <v>5160161</v>
      </c>
      <c r="AA183" s="24" t="str">
        <f>VLOOKUP(A183,Metrik!$C$2:$Y$959,5,0)</f>
        <v>Real Estate Management &amp; Development</v>
      </c>
      <c r="AB183" s="24" t="str">
        <f>VLOOKUP(A183,Metrik!$C$2:$Y$959,3,0)</f>
        <v>Properties &amp; Real Estate</v>
      </c>
    </row>
    <row r="184">
      <c r="A184" s="14" t="s">
        <v>134</v>
      </c>
      <c r="B184" s="14" t="str">
        <f t="array" ref="B184">VLOOKUP(A184,{Metrik!$C$2:$C$998,Metrik!$B$2:$B$998},2,0)</f>
        <v>Asia Pramulia Tbk.</v>
      </c>
      <c r="C184" s="15">
        <f>IFERROR(__xludf.DUMMYFUNCTION("GOOGLEFINANCE(""IDX:""&amp;A184,""price"")"),216.0)</f>
        <v>216</v>
      </c>
      <c r="D184" s="16" t="str">
        <f>IFERROR(__xludf.DUMMYFUNCTION("IF(A184="""","""",
SPARKLINE(
INDEX(
GOOGLEFINANCE(""IDX:""&amp;A184,""close"",TODAY()-365,TODAY()),
,2
),
{""linewidth"",1}
))
"),"#N/A")</f>
        <v>#N/A</v>
      </c>
      <c r="E184" s="26"/>
      <c r="F184" s="26"/>
      <c r="G184" s="24">
        <f t="shared" si="1"/>
        <v>0</v>
      </c>
      <c r="H184" s="19">
        <f>VLOOKUP(A184,Metrik!$C$2:$Y$959,8,0)</f>
        <v>56.4</v>
      </c>
      <c r="I184" s="20">
        <f>VLOOKUP(A184,Metrik!$C$2:$Y$959,9,0)</f>
        <v>2.7</v>
      </c>
      <c r="J184" s="20">
        <f>VLOOKUP(A184,Metrik!$C$2:$Y$959,10,0)</f>
        <v>4.7</v>
      </c>
      <c r="K184" s="20">
        <f>VLOOKUP(A184,Metrik!$C$2:$Y$959,11,0)</f>
        <v>2.5</v>
      </c>
      <c r="L184" s="20">
        <f>VLOOKUP(A184,Metrik!$C$2:$Y$959,12,0)</f>
        <v>0.92</v>
      </c>
      <c r="M184" s="20">
        <f>VLOOKUP(A184,Metrik!$C$2:$Y$959,19,0)</f>
        <v>11</v>
      </c>
      <c r="N184" s="21"/>
      <c r="O184" s="21"/>
      <c r="P184" s="21"/>
      <c r="Q184" s="21"/>
      <c r="R184" s="21"/>
      <c r="S184" s="21"/>
      <c r="T184" s="21"/>
      <c r="U184" s="22">
        <f>IFERROR(__xludf.DUMMYFUNCTION("IFERROR(GOOGLEFINANCE(A184,""closeyest""),"""")"),0.0)</f>
        <v>0</v>
      </c>
      <c r="V184" s="23">
        <f>IFERROR(__xludf.DUMMYFUNCTION("IFERROR(GOOGLEFINANCE(A184,""changepct""),"""")"),0.0)</f>
        <v>0</v>
      </c>
      <c r="W184" s="22" t="str">
        <f>IFERROR(__xludf.DUMMYFUNCTION("IFERROR(GOOGLEFINANCE(A184,""priceopen""),"""")"),"")</f>
        <v/>
      </c>
      <c r="X184" s="22" t="str">
        <f>IFERROR(__xludf.DUMMYFUNCTION("IFERROR(GOOGLEFINANCE(A184,""high""),"""")"),"")</f>
        <v/>
      </c>
      <c r="Y184" s="22" t="str">
        <f>IFERROR(__xludf.DUMMYFUNCTION("IFERROR(GOOGLEFINANCE(A184,""low""),"""")"),"")</f>
        <v/>
      </c>
      <c r="Z184" s="22">
        <f>IFERROR(__xludf.DUMMYFUNCTION("IFERROR(GOOGLEFINANCE(A184,""volume""),"""")"),0.0)</f>
        <v>0</v>
      </c>
      <c r="AA184" s="24" t="str">
        <f>VLOOKUP(A184,Metrik!$C$2:$Y$959,5,0)</f>
        <v>Containers &amp; Packaging</v>
      </c>
      <c r="AB184" s="24" t="str">
        <f>VLOOKUP(A184,Metrik!$C$2:$Y$959,3,0)</f>
        <v>Basic Materials</v>
      </c>
    </row>
    <row r="185">
      <c r="A185" s="14" t="s">
        <v>135</v>
      </c>
      <c r="B185" s="14" t="str">
        <f t="array" ref="B185">VLOOKUP(A185,{Metrik!$C$2:$C$998,Metrik!$B$2:$B$998},2,0)</f>
        <v>Alam Sutera Realty Tbk.</v>
      </c>
      <c r="C185" s="15">
        <f>IFERROR(__xludf.DUMMYFUNCTION("GOOGLEFINANCE(""IDX:""&amp;A185,""price"")"),111.0)</f>
        <v>111</v>
      </c>
      <c r="D185" s="16" t="str">
        <f>IFERROR(__xludf.DUMMYFUNCTION("IF(A185="""","""",
SPARKLINE(
INDEX(
GOOGLEFINANCE(""IDX:""&amp;A185,""close"",TODAY()-365,TODAY()),
,2
),
{""linewidth"",1}
))
"),"#N/A")</f>
        <v>#N/A</v>
      </c>
      <c r="E185" s="26"/>
      <c r="F185" s="26"/>
      <c r="G185" s="24">
        <f t="shared" si="1"/>
        <v>0</v>
      </c>
      <c r="H185" s="19">
        <f>VLOOKUP(A185,Metrik!$C$2:$Y$959,8,0)</f>
        <v>7.6</v>
      </c>
      <c r="I185" s="20">
        <f>VLOOKUP(A185,Metrik!$C$2:$Y$959,9,0)</f>
        <v>0.2</v>
      </c>
      <c r="J185" s="20">
        <f>VLOOKUP(A185,Metrik!$C$2:$Y$959,10,0)</f>
        <v>2.6</v>
      </c>
      <c r="K185" s="20">
        <f>VLOOKUP(A185,Metrik!$C$2:$Y$959,11,0)</f>
        <v>1.3</v>
      </c>
      <c r="L185" s="20">
        <f>VLOOKUP(A185,Metrik!$C$2:$Y$959,12,0)</f>
        <v>0.98</v>
      </c>
      <c r="M185" s="20">
        <f>VLOOKUP(A185,Metrik!$C$2:$Y$959,19,0)</f>
        <v>46.1</v>
      </c>
      <c r="N185" s="21"/>
      <c r="O185" s="21"/>
      <c r="P185" s="21"/>
      <c r="Q185" s="21"/>
      <c r="R185" s="21"/>
      <c r="S185" s="21"/>
      <c r="T185" s="21"/>
      <c r="U185" s="22">
        <f>IFERROR(__xludf.DUMMYFUNCTION("IFERROR(GOOGLEFINANCE(A185,""closeyest""),"""")"),107.0)</f>
        <v>107</v>
      </c>
      <c r="V185" s="23">
        <f>IFERROR(__xludf.DUMMYFUNCTION("IFERROR(GOOGLEFINANCE(A185,""changepct""),"""")"),3.74)</f>
        <v>3.74</v>
      </c>
      <c r="W185" s="22">
        <f>IFERROR(__xludf.DUMMYFUNCTION("IFERROR(GOOGLEFINANCE(A185,""priceopen""),"""")"),107.0)</f>
        <v>107</v>
      </c>
      <c r="X185" s="22">
        <f>IFERROR(__xludf.DUMMYFUNCTION("IFERROR(GOOGLEFINANCE(A185,""high""),"""")"),113.0)</f>
        <v>113</v>
      </c>
      <c r="Y185" s="22">
        <f>IFERROR(__xludf.DUMMYFUNCTION("IFERROR(GOOGLEFINANCE(A185,""low""),"""")"),107.0)</f>
        <v>107</v>
      </c>
      <c r="Z185" s="22">
        <f>IFERROR(__xludf.DUMMYFUNCTION("IFERROR(GOOGLEFINANCE(A185,""volume""),"""")"),6628600.0)</f>
        <v>6628600</v>
      </c>
      <c r="AA185" s="24" t="str">
        <f>VLOOKUP(A185,Metrik!$C$2:$Y$959,5,0)</f>
        <v>Real Estate Management &amp; Development</v>
      </c>
      <c r="AB185" s="24" t="str">
        <f>VLOOKUP(A185,Metrik!$C$2:$Y$959,3,0)</f>
        <v>Properties &amp; Real Estate</v>
      </c>
    </row>
    <row r="186">
      <c r="A186" s="14" t="s">
        <v>136</v>
      </c>
      <c r="B186" s="14" t="str">
        <f t="array" ref="B186">VLOOKUP(A186,{Metrik!$C$2:$C$998,Metrik!$B$2:$B$998},2,0)</f>
        <v>Asuransi Ramayana Tbk.</v>
      </c>
      <c r="C186" s="15">
        <f>IFERROR(__xludf.DUMMYFUNCTION("GOOGLEFINANCE(""IDX:""&amp;A186,""price"")"),240.0)</f>
        <v>240</v>
      </c>
      <c r="D186" s="16" t="str">
        <f>IFERROR(__xludf.DUMMYFUNCTION("IF(A186="""","""",
SPARKLINE(
INDEX(
GOOGLEFINANCE(""IDX:""&amp;A186,""close"",TODAY()-365,TODAY()),
,2
),
{""linewidth"",1}
))
"),"#N/A")</f>
        <v>#N/A</v>
      </c>
      <c r="E186" s="26"/>
      <c r="F186" s="26"/>
      <c r="G186" s="24">
        <f t="shared" si="1"/>
        <v>0</v>
      </c>
      <c r="H186" s="19">
        <f>VLOOKUP(A186,Metrik!$C$2:$Y$959,8,0)</f>
        <v>22</v>
      </c>
      <c r="I186" s="20">
        <f>VLOOKUP(A186,Metrik!$C$2:$Y$959,9,0)</f>
        <v>0.48</v>
      </c>
      <c r="J186" s="20">
        <f>VLOOKUP(A186,Metrik!$C$2:$Y$959,10,0)</f>
        <v>2.2</v>
      </c>
      <c r="K186" s="20">
        <f>VLOOKUP(A186,Metrik!$C$2:$Y$959,11,0)</f>
        <v>0.95</v>
      </c>
      <c r="L186" s="20">
        <f>VLOOKUP(A186,Metrik!$C$2:$Y$959,12,0)</f>
        <v>1.3</v>
      </c>
      <c r="M186" s="20">
        <f>VLOOKUP(A186,Metrik!$C$2:$Y$959,19,0)</f>
        <v>3.8</v>
      </c>
      <c r="N186" s="21"/>
      <c r="O186" s="21"/>
      <c r="P186" s="21"/>
      <c r="Q186" s="21"/>
      <c r="R186" s="21"/>
      <c r="S186" s="21"/>
      <c r="T186" s="21"/>
      <c r="U186" s="22">
        <f>IFERROR(__xludf.DUMMYFUNCTION("IFERROR(GOOGLEFINANCE(A186,""closeyest""),"""")"),240.0)</f>
        <v>240</v>
      </c>
      <c r="V186" s="23">
        <f>IFERROR(__xludf.DUMMYFUNCTION("IFERROR(GOOGLEFINANCE(A186,""changepct""),"""")"),0.0)</f>
        <v>0</v>
      </c>
      <c r="W186" s="22">
        <f>IFERROR(__xludf.DUMMYFUNCTION("IFERROR(GOOGLEFINANCE(A186,""priceopen""),"""")"),242.0)</f>
        <v>242</v>
      </c>
      <c r="X186" s="22">
        <f>IFERROR(__xludf.DUMMYFUNCTION("IFERROR(GOOGLEFINANCE(A186,""high""),"""")"),242.0)</f>
        <v>242</v>
      </c>
      <c r="Y186" s="22">
        <f>IFERROR(__xludf.DUMMYFUNCTION("IFERROR(GOOGLEFINANCE(A186,""low""),"""")"),240.0)</f>
        <v>240</v>
      </c>
      <c r="Z186" s="22">
        <f>IFERROR(__xludf.DUMMYFUNCTION("IFERROR(GOOGLEFINANCE(A186,""volume""),"""")"),19600.0)</f>
        <v>19600</v>
      </c>
      <c r="AA186" s="24" t="str">
        <f>VLOOKUP(A186,Metrik!$C$2:$Y$959,5,0)</f>
        <v>Insurance</v>
      </c>
      <c r="AB186" s="24" t="str">
        <f>VLOOKUP(A186,Metrik!$C$2:$Y$959,3,0)</f>
        <v>Financials</v>
      </c>
    </row>
    <row r="187">
      <c r="A187" s="14" t="s">
        <v>137</v>
      </c>
      <c r="B187" s="14" t="str">
        <f t="array" ref="B187">VLOOKUP(A187,{Metrik!$C$2:$C$998,Metrik!$B$2:$B$998},2,0)</f>
        <v>Adi Sarana Armada Tbk</v>
      </c>
      <c r="C187" s="15" t="str">
        <f>IFERROR(__xludf.DUMMYFUNCTION("GOOGLEFINANCE(""IDX:""&amp;A187,""price"")"),"#N/A")</f>
        <v>#N/A</v>
      </c>
      <c r="D187" s="16" t="str">
        <f>IFERROR(__xludf.DUMMYFUNCTION("IF(A187="""","""",
SPARKLINE(
INDEX(
GOOGLEFINANCE(""IDX:""&amp;A187,""close"",TODAY()-365,TODAY()),
,2
),
{""linewidth"",1}
))
"),"#N/A")</f>
        <v>#N/A</v>
      </c>
      <c r="E187" s="14" t="s">
        <v>47</v>
      </c>
      <c r="F187" s="25">
        <v>46356.0</v>
      </c>
      <c r="G187" s="24">
        <f t="shared" si="1"/>
        <v>3</v>
      </c>
      <c r="H187" s="19">
        <f>VLOOKUP(A187,Metrik!$C$2:$Y$959,8,0)</f>
        <v>5.7</v>
      </c>
      <c r="I187" s="20">
        <f>VLOOKUP(A187,Metrik!$C$2:$Y$959,9,0)</f>
        <v>0.7</v>
      </c>
      <c r="J187" s="20">
        <f>VLOOKUP(A187,Metrik!$C$2:$Y$959,10,0)</f>
        <v>12.2</v>
      </c>
      <c r="K187" s="20">
        <f>VLOOKUP(A187,Metrik!$C$2:$Y$959,11,0)</f>
        <v>4.7</v>
      </c>
      <c r="L187" s="20">
        <f>VLOOKUP(A187,Metrik!$C$2:$Y$959,12,0)</f>
        <v>1.6</v>
      </c>
      <c r="M187" s="20">
        <f>VLOOKUP(A187,Metrik!$C$2:$Y$959,19,0)</f>
        <v>26.9</v>
      </c>
      <c r="N187" s="21"/>
      <c r="O187" s="21"/>
      <c r="P187" s="21"/>
      <c r="Q187" s="21"/>
      <c r="R187" s="21"/>
      <c r="S187" s="21"/>
      <c r="T187" s="21"/>
      <c r="U187" s="22">
        <f>IFERROR(__xludf.DUMMYFUNCTION("IFERROR(GOOGLEFINANCE(A187,""closeyest""),"""")"),595.0)</f>
        <v>595</v>
      </c>
      <c r="V187" s="23">
        <f>IFERROR(__xludf.DUMMYFUNCTION("IFERROR(GOOGLEFINANCE(A187,""changepct""),"""")"),6.72)</f>
        <v>6.72</v>
      </c>
      <c r="W187" s="22" t="str">
        <f>IFERROR(__xludf.DUMMYFUNCTION("IFERROR(GOOGLEFINANCE(A187,""priceopen""),"""")"),"")</f>
        <v/>
      </c>
      <c r="X187" s="22">
        <f>IFERROR(__xludf.DUMMYFUNCTION("IFERROR(GOOGLEFINANCE(A187,""high""),"""")"),645.0)</f>
        <v>645</v>
      </c>
      <c r="Y187" s="22">
        <f>IFERROR(__xludf.DUMMYFUNCTION("IFERROR(GOOGLEFINANCE(A187,""low""),"""")"),600.0)</f>
        <v>600</v>
      </c>
      <c r="Z187" s="22">
        <f>IFERROR(__xludf.DUMMYFUNCTION("IFERROR(GOOGLEFINANCE(A187,""volume""),"""")"),1.31695E7)</f>
        <v>13169500</v>
      </c>
      <c r="AA187" s="24" t="str">
        <f>VLOOKUP(A187,Metrik!$C$2:$Y$959,5,0)</f>
        <v>Passenger Land Transportation</v>
      </c>
      <c r="AB187" s="24" t="str">
        <f>VLOOKUP(A187,Metrik!$C$2:$Y$959,3,0)</f>
        <v>Transportation &amp; Logistic</v>
      </c>
    </row>
    <row r="188">
      <c r="A188" s="14" t="s">
        <v>137</v>
      </c>
      <c r="B188" s="14" t="str">
        <f t="array" ref="B188">VLOOKUP(A188,{Metrik!$C$2:$C$998,Metrik!$B$2:$B$998},2,0)</f>
        <v>Adi Sarana Armada Tbk</v>
      </c>
      <c r="C188" s="15" t="str">
        <f>IFERROR(__xludf.DUMMYFUNCTION("GOOGLEFINANCE(""IDX:""&amp;A188,""price"")"),"#N/A")</f>
        <v>#N/A</v>
      </c>
      <c r="D188" s="16" t="str">
        <f>IFERROR(__xludf.DUMMYFUNCTION("IF(A188="""","""",
SPARKLINE(
INDEX(
GOOGLEFINANCE(""IDX:""&amp;A188,""close"",TODAY()-365,TODAY()),
,2
),
{""linewidth"",1}
))
"),"#N/A")</f>
        <v>#N/A</v>
      </c>
      <c r="E188" s="14" t="s">
        <v>41</v>
      </c>
      <c r="F188" s="14" t="s">
        <v>34</v>
      </c>
      <c r="G188" s="24">
        <f t="shared" si="1"/>
        <v>3</v>
      </c>
      <c r="H188" s="19">
        <f>VLOOKUP(A188,Metrik!$C$2:$Y$959,8,0)</f>
        <v>5.7</v>
      </c>
      <c r="I188" s="20">
        <f>VLOOKUP(A188,Metrik!$C$2:$Y$959,9,0)</f>
        <v>0.7</v>
      </c>
      <c r="J188" s="20">
        <f>VLOOKUP(A188,Metrik!$C$2:$Y$959,10,0)</f>
        <v>12.2</v>
      </c>
      <c r="K188" s="20">
        <f>VLOOKUP(A188,Metrik!$C$2:$Y$959,11,0)</f>
        <v>4.7</v>
      </c>
      <c r="L188" s="20">
        <f>VLOOKUP(A188,Metrik!$C$2:$Y$959,12,0)</f>
        <v>1.6</v>
      </c>
      <c r="M188" s="20">
        <f>VLOOKUP(A188,Metrik!$C$2:$Y$959,19,0)</f>
        <v>26.9</v>
      </c>
      <c r="N188" s="21"/>
      <c r="O188" s="21"/>
      <c r="P188" s="21"/>
      <c r="Q188" s="21"/>
      <c r="R188" s="21"/>
      <c r="S188" s="21"/>
      <c r="T188" s="21"/>
      <c r="U188" s="22">
        <f>IFERROR(__xludf.DUMMYFUNCTION("IFERROR(GOOGLEFINANCE(A188,""closeyest""),"""")"),595.0)</f>
        <v>595</v>
      </c>
      <c r="V188" s="23">
        <f>IFERROR(__xludf.DUMMYFUNCTION("IFERROR(GOOGLEFINANCE(A188,""changepct""),"""")"),6.72)</f>
        <v>6.72</v>
      </c>
      <c r="W188" s="22" t="str">
        <f>IFERROR(__xludf.DUMMYFUNCTION("IFERROR(GOOGLEFINANCE(A188,""priceopen""),"""")"),"")</f>
        <v/>
      </c>
      <c r="X188" s="22">
        <f>IFERROR(__xludf.DUMMYFUNCTION("IFERROR(GOOGLEFINANCE(A188,""high""),"""")"),645.0)</f>
        <v>645</v>
      </c>
      <c r="Y188" s="22">
        <f>IFERROR(__xludf.DUMMYFUNCTION("IFERROR(GOOGLEFINANCE(A188,""low""),"""")"),600.0)</f>
        <v>600</v>
      </c>
      <c r="Z188" s="22">
        <f>IFERROR(__xludf.DUMMYFUNCTION("IFERROR(GOOGLEFINANCE(A188,""volume""),"""")"),1.31695E7)</f>
        <v>13169500</v>
      </c>
      <c r="AA188" s="24" t="str">
        <f>VLOOKUP(A188,Metrik!$C$2:$Y$959,5,0)</f>
        <v>Passenger Land Transportation</v>
      </c>
      <c r="AB188" s="24" t="str">
        <f>VLOOKUP(A188,Metrik!$C$2:$Y$959,3,0)</f>
        <v>Transportation &amp; Logistic</v>
      </c>
    </row>
    <row r="189">
      <c r="A189" s="14" t="s">
        <v>137</v>
      </c>
      <c r="B189" s="14" t="str">
        <f t="array" ref="B189">VLOOKUP(A189,{Metrik!$C$2:$C$998,Metrik!$B$2:$B$998},2,0)</f>
        <v>Adi Sarana Armada Tbk</v>
      </c>
      <c r="C189" s="15" t="str">
        <f>IFERROR(__xludf.DUMMYFUNCTION("GOOGLEFINANCE(""IDX:""&amp;A189,""price"")"),"#N/A")</f>
        <v>#N/A</v>
      </c>
      <c r="D189" s="16" t="str">
        <f>IFERROR(__xludf.DUMMYFUNCTION("IF(A189="""","""",
SPARKLINE(
INDEX(
GOOGLEFINANCE(""IDX:""&amp;A189,""close"",TODAY()-365,TODAY()),
,2
),
{""linewidth"",1}
))
"),"#N/A")</f>
        <v>#N/A</v>
      </c>
      <c r="E189" s="14" t="s">
        <v>55</v>
      </c>
      <c r="F189" s="25">
        <v>46356.0</v>
      </c>
      <c r="G189" s="24">
        <f t="shared" si="1"/>
        <v>3</v>
      </c>
      <c r="H189" s="19">
        <f>VLOOKUP(A189,Metrik!$C$2:$Y$959,8,0)</f>
        <v>5.7</v>
      </c>
      <c r="I189" s="20">
        <f>VLOOKUP(A189,Metrik!$C$2:$Y$959,9,0)</f>
        <v>0.7</v>
      </c>
      <c r="J189" s="20">
        <f>VLOOKUP(A189,Metrik!$C$2:$Y$959,10,0)</f>
        <v>12.2</v>
      </c>
      <c r="K189" s="20">
        <f>VLOOKUP(A189,Metrik!$C$2:$Y$959,11,0)</f>
        <v>4.7</v>
      </c>
      <c r="L189" s="20">
        <f>VLOOKUP(A189,Metrik!$C$2:$Y$959,12,0)</f>
        <v>1.6</v>
      </c>
      <c r="M189" s="20">
        <f>VLOOKUP(A189,Metrik!$C$2:$Y$959,19,0)</f>
        <v>26.9</v>
      </c>
      <c r="N189" s="21"/>
      <c r="O189" s="21"/>
      <c r="P189" s="21"/>
      <c r="Q189" s="21"/>
      <c r="R189" s="21"/>
      <c r="S189" s="21"/>
      <c r="T189" s="21"/>
      <c r="U189" s="22">
        <f>IFERROR(__xludf.DUMMYFUNCTION("IFERROR(GOOGLEFINANCE(A189,""closeyest""),"""")"),595.0)</f>
        <v>595</v>
      </c>
      <c r="V189" s="23">
        <f>IFERROR(__xludf.DUMMYFUNCTION("IFERROR(GOOGLEFINANCE(A189,""changepct""),"""")"),6.72)</f>
        <v>6.72</v>
      </c>
      <c r="W189" s="22" t="str">
        <f>IFERROR(__xludf.DUMMYFUNCTION("IFERROR(GOOGLEFINANCE(A189,""priceopen""),"""")"),"")</f>
        <v/>
      </c>
      <c r="X189" s="22">
        <f>IFERROR(__xludf.DUMMYFUNCTION("IFERROR(GOOGLEFINANCE(A189,""high""),"""")"),645.0)</f>
        <v>645</v>
      </c>
      <c r="Y189" s="22">
        <f>IFERROR(__xludf.DUMMYFUNCTION("IFERROR(GOOGLEFINANCE(A189,""low""),"""")"),600.0)</f>
        <v>600</v>
      </c>
      <c r="Z189" s="22">
        <f>IFERROR(__xludf.DUMMYFUNCTION("IFERROR(GOOGLEFINANCE(A189,""volume""),"""")"),1.31695E7)</f>
        <v>13169500</v>
      </c>
      <c r="AA189" s="24" t="str">
        <f>VLOOKUP(A189,Metrik!$C$2:$Y$959,5,0)</f>
        <v>Passenger Land Transportation</v>
      </c>
      <c r="AB189" s="24" t="str">
        <f>VLOOKUP(A189,Metrik!$C$2:$Y$959,3,0)</f>
        <v>Transportation &amp; Logistic</v>
      </c>
    </row>
    <row r="190">
      <c r="A190" s="14" t="s">
        <v>138</v>
      </c>
      <c r="B190" s="14" t="str">
        <f t="array" ref="B190">VLOOKUP(A190,{Metrik!$C$2:$C$998,Metrik!$B$2:$B$998},2,0)</f>
        <v>Trimitra Prawara Goldland Tbk.</v>
      </c>
      <c r="C190" s="15" t="str">
        <f>IFERROR(__xludf.DUMMYFUNCTION("GOOGLEFINANCE(""IDX:""&amp;A190,""price"")"),"#N/A")</f>
        <v>#N/A</v>
      </c>
      <c r="D190" s="16" t="str">
        <f>IFERROR(__xludf.DUMMYFUNCTION("IF(A190="""","""",
SPARKLINE(
INDEX(
GOOGLEFINANCE(""IDX:""&amp;A190,""close"",TODAY()-365,TODAY()),
,2
),
{""linewidth"",1}
))
"),"#N/A")</f>
        <v>#N/A</v>
      </c>
      <c r="E190" s="26"/>
      <c r="F190" s="26"/>
      <c r="G190" s="24">
        <f t="shared" si="1"/>
        <v>0</v>
      </c>
      <c r="H190" s="19">
        <f>VLOOKUP(A190,Metrik!$C$2:$Y$959,8,0)</f>
        <v>-11000</v>
      </c>
      <c r="I190" s="20">
        <f>VLOOKUP(A190,Metrik!$C$2:$Y$959,9,0)</f>
        <v>6.9</v>
      </c>
      <c r="J190" s="20">
        <f>VLOOKUP(A190,Metrik!$C$2:$Y$959,10,0)</f>
        <v>-0.06</v>
      </c>
      <c r="K190" s="20">
        <f>VLOOKUP(A190,Metrik!$C$2:$Y$959,11,0)</f>
        <v>-0.04</v>
      </c>
      <c r="L190" s="20">
        <f>VLOOKUP(A190,Metrik!$C$2:$Y$959,12,0)</f>
        <v>0.38</v>
      </c>
      <c r="M190" s="20">
        <f>VLOOKUP(A190,Metrik!$C$2:$Y$959,19,0)</f>
        <v>-1.5</v>
      </c>
      <c r="N190" s="21"/>
      <c r="O190" s="21"/>
      <c r="P190" s="21"/>
      <c r="Q190" s="21"/>
      <c r="R190" s="21"/>
      <c r="S190" s="21"/>
      <c r="T190" s="21"/>
      <c r="U190" s="22">
        <f>IFERROR(__xludf.DUMMYFUNCTION("IFERROR(GOOGLEFINANCE(A190,""closeyest""),"""")"),352.0)</f>
        <v>352</v>
      </c>
      <c r="V190" s="23">
        <f>IFERROR(__xludf.DUMMYFUNCTION("IFERROR(GOOGLEFINANCE(A190,""changepct""),"""")"),0.57)</f>
        <v>0.57</v>
      </c>
      <c r="W190" s="22">
        <f>IFERROR(__xludf.DUMMYFUNCTION("IFERROR(GOOGLEFINANCE(A190,""priceopen""),"""")"),362.0)</f>
        <v>362</v>
      </c>
      <c r="X190" s="22" t="str">
        <f>IFERROR(__xludf.DUMMYFUNCTION("IFERROR(GOOGLEFINANCE(A190,""high""),"""")"),"")</f>
        <v/>
      </c>
      <c r="Y190" s="22">
        <f>IFERROR(__xludf.DUMMYFUNCTION("IFERROR(GOOGLEFINANCE(A190,""low""),"""")"),352.0)</f>
        <v>352</v>
      </c>
      <c r="Z190" s="22">
        <f>IFERROR(__xludf.DUMMYFUNCTION("IFERROR(GOOGLEFINANCE(A190,""volume""),"""")"),615900.0)</f>
        <v>615900</v>
      </c>
      <c r="AA190" s="24" t="str">
        <f>VLOOKUP(A190,Metrik!$C$2:$Y$959,5,0)</f>
        <v>Real Estate Management &amp; Development</v>
      </c>
      <c r="AB190" s="24" t="str">
        <f>VLOOKUP(A190,Metrik!$C$2:$Y$959,3,0)</f>
        <v>Properties &amp; Real Estate</v>
      </c>
    </row>
    <row r="191">
      <c r="A191" s="14" t="s">
        <v>139</v>
      </c>
      <c r="B191" s="14" t="str">
        <f t="array" ref="B191">VLOOKUP(A191,{Metrik!$C$2:$C$998,Metrik!$B$2:$B$998},2,0)</f>
        <v>Anabatic Technologies Tbk.</v>
      </c>
      <c r="C191" s="15">
        <f>IFERROR(__xludf.DUMMYFUNCTION("GOOGLEFINANCE(""IDX:""&amp;A191,""price"")"),474.0)</f>
        <v>474</v>
      </c>
      <c r="D191" s="16" t="str">
        <f>IFERROR(__xludf.DUMMYFUNCTION("IF(A191="""","""",
SPARKLINE(
INDEX(
GOOGLEFINANCE(""IDX:""&amp;A191,""close"",TODAY()-365,TODAY()),
,2
),
{""linewidth"",1}
))
"),"#N/A")</f>
        <v>#N/A</v>
      </c>
      <c r="E191" s="26"/>
      <c r="F191" s="26"/>
      <c r="G191" s="24">
        <f t="shared" si="1"/>
        <v>0</v>
      </c>
      <c r="H191" s="19">
        <f>VLOOKUP(A191,Metrik!$C$2:$Y$959,8,0)</f>
        <v>5.5</v>
      </c>
      <c r="I191" s="20">
        <f>VLOOKUP(A191,Metrik!$C$2:$Y$959,9,0)</f>
        <v>1.4</v>
      </c>
      <c r="J191" s="20">
        <f>VLOOKUP(A191,Metrik!$C$2:$Y$959,10,0)</f>
        <v>25.9</v>
      </c>
      <c r="K191" s="20">
        <f>VLOOKUP(A191,Metrik!$C$2:$Y$959,11,0)</f>
        <v>4</v>
      </c>
      <c r="L191" s="20">
        <f>VLOOKUP(A191,Metrik!$C$2:$Y$959,12,0)</f>
        <v>5.5</v>
      </c>
      <c r="M191" s="20">
        <f>VLOOKUP(A191,Metrik!$C$2:$Y$959,19,0)</f>
        <v>2.5</v>
      </c>
      <c r="N191" s="21"/>
      <c r="O191" s="21"/>
      <c r="P191" s="21"/>
      <c r="Q191" s="21"/>
      <c r="R191" s="21"/>
      <c r="S191" s="21"/>
      <c r="T191" s="21"/>
      <c r="U191" s="22">
        <f>IFERROR(__xludf.DUMMYFUNCTION("IFERROR(GOOGLEFINANCE(A191,""closeyest""),"""")"),478.0)</f>
        <v>478</v>
      </c>
      <c r="V191" s="23">
        <f>IFERROR(__xludf.DUMMYFUNCTION("IFERROR(GOOGLEFINANCE(A191,""changepct""),"""")"),-0.84)</f>
        <v>-0.84</v>
      </c>
      <c r="W191" s="22">
        <f>IFERROR(__xludf.DUMMYFUNCTION("IFERROR(GOOGLEFINANCE(A191,""priceopen""),"""")"),476.0)</f>
        <v>476</v>
      </c>
      <c r="X191" s="22">
        <f>IFERROR(__xludf.DUMMYFUNCTION("IFERROR(GOOGLEFINANCE(A191,""high""),"""")"),486.0)</f>
        <v>486</v>
      </c>
      <c r="Y191" s="22">
        <f>IFERROR(__xludf.DUMMYFUNCTION("IFERROR(GOOGLEFINANCE(A191,""low""),"""")"),474.0)</f>
        <v>474</v>
      </c>
      <c r="Z191" s="22">
        <f>IFERROR(__xludf.DUMMYFUNCTION("IFERROR(GOOGLEFINANCE(A191,""volume""),"""")"),26800.0)</f>
        <v>26800</v>
      </c>
      <c r="AA191" s="24" t="str">
        <f>VLOOKUP(A191,Metrik!$C$2:$Y$959,5,0)</f>
        <v>IT Services &amp; Consulting</v>
      </c>
      <c r="AB191" s="24" t="str">
        <f>VLOOKUP(A191,Metrik!$C$2:$Y$959,3,0)</f>
        <v>Technology</v>
      </c>
    </row>
    <row r="192">
      <c r="A192" s="14" t="s">
        <v>140</v>
      </c>
      <c r="B192" s="14" t="str">
        <f t="array" ref="B192">VLOOKUP(A192,{Metrik!$C$2:$C$998,Metrik!$B$2:$B$998},2,0)</f>
        <v>Atlantis Subsea Indonesia Tbk.</v>
      </c>
      <c r="C192" s="15">
        <f>IFERROR(__xludf.DUMMYFUNCTION("GOOGLEFINANCE(""IDX:""&amp;A192,""price"")"),50.0)</f>
        <v>50</v>
      </c>
      <c r="D192" s="16" t="str">
        <f>IFERROR(__xludf.DUMMYFUNCTION("IF(A192="""","""",
SPARKLINE(
INDEX(
GOOGLEFINANCE(""IDX:""&amp;A192,""close"",TODAY()-365,TODAY()),
,2
),
{""linewidth"",1}
))
"),"#N/A")</f>
        <v>#N/A</v>
      </c>
      <c r="E192" s="26"/>
      <c r="F192" s="26"/>
      <c r="G192" s="24">
        <f t="shared" si="1"/>
        <v>0</v>
      </c>
      <c r="H192" s="19">
        <f>VLOOKUP(A192,Metrik!$C$2:$Y$959,8,0)</f>
        <v>94</v>
      </c>
      <c r="I192" s="20">
        <f>VLOOKUP(A192,Metrik!$C$2:$Y$959,9,0)</f>
        <v>1.8</v>
      </c>
      <c r="J192" s="20">
        <f>VLOOKUP(A192,Metrik!$C$2:$Y$959,10,0)</f>
        <v>1.9</v>
      </c>
      <c r="K192" s="20">
        <f>VLOOKUP(A192,Metrik!$C$2:$Y$959,11,0)</f>
        <v>1.9</v>
      </c>
      <c r="L192" s="20">
        <f>VLOOKUP(A192,Metrik!$C$2:$Y$959,12,0)</f>
        <v>0.04</v>
      </c>
      <c r="M192" s="20">
        <f>VLOOKUP(A192,Metrik!$C$2:$Y$959,19,0)</f>
        <v>20.1</v>
      </c>
      <c r="N192" s="21"/>
      <c r="O192" s="21"/>
      <c r="P192" s="21"/>
      <c r="Q192" s="21"/>
      <c r="R192" s="21"/>
      <c r="S192" s="21"/>
      <c r="T192" s="21"/>
      <c r="U192" s="22">
        <f>IFERROR(__xludf.DUMMYFUNCTION("IFERROR(GOOGLEFINANCE(A192,""closeyest""),"""")"),0.14)</f>
        <v>0.14</v>
      </c>
      <c r="V192" s="23">
        <f>IFERROR(__xludf.DUMMYFUNCTION("IFERROR(GOOGLEFINANCE(A192,""changepct""),"""")"),-7.14)</f>
        <v>-7.14</v>
      </c>
      <c r="W192" s="22">
        <f>IFERROR(__xludf.DUMMYFUNCTION("IFERROR(GOOGLEFINANCE(A192,""priceopen""),"""")"),0.14)</f>
        <v>0.14</v>
      </c>
      <c r="X192" s="22">
        <f>IFERROR(__xludf.DUMMYFUNCTION("IFERROR(GOOGLEFINANCE(A192,""high""),"""")"),0.14)</f>
        <v>0.14</v>
      </c>
      <c r="Y192" s="22">
        <f>IFERROR(__xludf.DUMMYFUNCTION("IFERROR(GOOGLEFINANCE(A192,""low""),"""")"),0.13)</f>
        <v>0.13</v>
      </c>
      <c r="Z192" s="22">
        <f>IFERROR(__xludf.DUMMYFUNCTION("IFERROR(GOOGLEFINANCE(A192,""volume""),"""")"),73571.0)</f>
        <v>73571</v>
      </c>
      <c r="AA192" s="24" t="str">
        <f>VLOOKUP(A192,Metrik!$C$2:$Y$959,5,0)</f>
        <v>Oil, Gas &amp; Coal Supports</v>
      </c>
      <c r="AB192" s="24" t="str">
        <f>VLOOKUP(A192,Metrik!$C$2:$Y$959,3,0)</f>
        <v>Energy</v>
      </c>
    </row>
    <row r="193">
      <c r="A193" s="17" t="s">
        <v>141</v>
      </c>
      <c r="B193" s="14" t="str">
        <f t="array" ref="B193">VLOOKUP(A193,{Metrik!$C$2:$C$998,Metrik!$B$2:$B$998},2,0)</f>
        <v>Astra Otoparts Tbk.</v>
      </c>
      <c r="C193" s="15">
        <f>IFERROR(__xludf.DUMMYFUNCTION("GOOGLEFINANCE(""IDX:""&amp;A193,""price"")"),2400.0)</f>
        <v>2400</v>
      </c>
      <c r="D193" s="16" t="str">
        <f>IFERROR(__xludf.DUMMYFUNCTION("IF(A193="""","""",
SPARKLINE(
INDEX(
GOOGLEFINANCE(""IDX:""&amp;A193,""close"",TODAY()-365,TODAY()),
,2
),
{""linewidth"",1}
))
"),"#N/A")</f>
        <v>#N/A</v>
      </c>
      <c r="E193" s="14" t="s">
        <v>47</v>
      </c>
      <c r="F193" s="25">
        <v>46356.0</v>
      </c>
      <c r="G193" s="18">
        <f t="shared" si="1"/>
        <v>3</v>
      </c>
      <c r="H193" s="19">
        <f>VLOOKUP(A193,Metrik!$C$2:$Y$959,8,0)</f>
        <v>5.4</v>
      </c>
      <c r="I193" s="20">
        <f>VLOOKUP(A193,Metrik!$C$2:$Y$959,9,0)</f>
        <v>0.7</v>
      </c>
      <c r="J193" s="20">
        <f>VLOOKUP(A193,Metrik!$C$2:$Y$959,10,0)</f>
        <v>12.9</v>
      </c>
      <c r="K193" s="20">
        <f>VLOOKUP(A193,Metrik!$C$2:$Y$959,11,0)</f>
        <v>9.6</v>
      </c>
      <c r="L193" s="20">
        <f>VLOOKUP(A193,Metrik!$C$2:$Y$959,12,0)</f>
        <v>0.35</v>
      </c>
      <c r="M193" s="20">
        <f>VLOOKUP(A193,Metrik!$C$2:$Y$959,19,0)</f>
        <v>43</v>
      </c>
      <c r="N193" s="21"/>
      <c r="O193" s="21"/>
      <c r="P193" s="21"/>
      <c r="Q193" s="21"/>
      <c r="R193" s="21"/>
      <c r="S193" s="21"/>
      <c r="T193" s="21"/>
      <c r="U193" s="22">
        <f>IFERROR(__xludf.DUMMYFUNCTION("IFERROR(GOOGLEFINANCE(A193,""closeyest""),"""")"),0.05)</f>
        <v>0.05</v>
      </c>
      <c r="V193" s="23">
        <f>IFERROR(__xludf.DUMMYFUNCTION("IFERROR(GOOGLEFINANCE(A193,""changepct""),"""")"),0.0)</f>
        <v>0</v>
      </c>
      <c r="W193" s="22" t="str">
        <f>IFERROR(__xludf.DUMMYFUNCTION("IFERROR(GOOGLEFINANCE(A193,""priceopen""),"""")"),"")</f>
        <v/>
      </c>
      <c r="X193" s="22" t="str">
        <f>IFERROR(__xludf.DUMMYFUNCTION("IFERROR(GOOGLEFINANCE(A193,""high""),"""")"),"")</f>
        <v/>
      </c>
      <c r="Y193" s="22" t="str">
        <f>IFERROR(__xludf.DUMMYFUNCTION("IFERROR(GOOGLEFINANCE(A193,""low""),"""")"),"")</f>
        <v/>
      </c>
      <c r="Z193" s="22">
        <f>IFERROR(__xludf.DUMMYFUNCTION("IFERROR(GOOGLEFINANCE(A193,""volume""),"""")"),0.0)</f>
        <v>0</v>
      </c>
      <c r="AA193" s="24" t="str">
        <f>VLOOKUP(A193,Metrik!$C$2:$Y$959,5,0)</f>
        <v>Auto Components</v>
      </c>
      <c r="AB193" s="24" t="str">
        <f>VLOOKUP(A193,Metrik!$C$2:$Y$959,3,0)</f>
        <v>Consumer Cyclicals</v>
      </c>
    </row>
    <row r="194">
      <c r="A194" s="14" t="s">
        <v>141</v>
      </c>
      <c r="B194" s="14" t="str">
        <f t="array" ref="B194">VLOOKUP(A194,{Metrik!$C$2:$C$998,Metrik!$B$2:$B$998},2,0)</f>
        <v>Astra Otoparts Tbk.</v>
      </c>
      <c r="C194" s="15">
        <f>IFERROR(__xludf.DUMMYFUNCTION("GOOGLEFINANCE(""IDX:""&amp;A194,""price"")"),2400.0)</f>
        <v>2400</v>
      </c>
      <c r="D194" s="16" t="str">
        <f>IFERROR(__xludf.DUMMYFUNCTION("IF(A194="""","""",
SPARKLINE(
INDEX(
GOOGLEFINANCE(""IDX:""&amp;A194,""close"",TODAY()-365,TODAY()),
,2
),
{""linewidth"",1}
))
"),"#N/A")</f>
        <v>#N/A</v>
      </c>
      <c r="E194" s="14" t="s">
        <v>41</v>
      </c>
      <c r="F194" s="14" t="s">
        <v>34</v>
      </c>
      <c r="G194" s="18">
        <f t="shared" si="1"/>
        <v>3</v>
      </c>
      <c r="H194" s="19">
        <f>VLOOKUP(A194,Metrik!$C$2:$Y$959,8,0)</f>
        <v>5.4</v>
      </c>
      <c r="I194" s="20">
        <f>VLOOKUP(A194,Metrik!$C$2:$Y$959,9,0)</f>
        <v>0.7</v>
      </c>
      <c r="J194" s="20">
        <f>VLOOKUP(A194,Metrik!$C$2:$Y$959,10,0)</f>
        <v>12.9</v>
      </c>
      <c r="K194" s="20">
        <f>VLOOKUP(A194,Metrik!$C$2:$Y$959,11,0)</f>
        <v>9.6</v>
      </c>
      <c r="L194" s="20">
        <f>VLOOKUP(A194,Metrik!$C$2:$Y$959,12,0)</f>
        <v>0.35</v>
      </c>
      <c r="M194" s="20">
        <f>VLOOKUP(A194,Metrik!$C$2:$Y$959,19,0)</f>
        <v>43</v>
      </c>
      <c r="N194" s="21"/>
      <c r="O194" s="21"/>
      <c r="P194" s="21"/>
      <c r="Q194" s="21"/>
      <c r="R194" s="21"/>
      <c r="S194" s="21"/>
      <c r="T194" s="21"/>
      <c r="U194" s="22">
        <f>IFERROR(__xludf.DUMMYFUNCTION("IFERROR(GOOGLEFINANCE(A194,""closeyest""),"""")"),0.05)</f>
        <v>0.05</v>
      </c>
      <c r="V194" s="23">
        <f>IFERROR(__xludf.DUMMYFUNCTION("IFERROR(GOOGLEFINANCE(A194,""changepct""),"""")"),0.0)</f>
        <v>0</v>
      </c>
      <c r="W194" s="22" t="str">
        <f>IFERROR(__xludf.DUMMYFUNCTION("IFERROR(GOOGLEFINANCE(A194,""priceopen""),"""")"),"")</f>
        <v/>
      </c>
      <c r="X194" s="22" t="str">
        <f>IFERROR(__xludf.DUMMYFUNCTION("IFERROR(GOOGLEFINANCE(A194,""high""),"""")"),"")</f>
        <v/>
      </c>
      <c r="Y194" s="22" t="str">
        <f>IFERROR(__xludf.DUMMYFUNCTION("IFERROR(GOOGLEFINANCE(A194,""low""),"""")"),"")</f>
        <v/>
      </c>
      <c r="Z194" s="22">
        <f>IFERROR(__xludf.DUMMYFUNCTION("IFERROR(GOOGLEFINANCE(A194,""volume""),"""")"),0.0)</f>
        <v>0</v>
      </c>
      <c r="AA194" s="24" t="str">
        <f>VLOOKUP(A194,Metrik!$C$2:$Y$959,5,0)</f>
        <v>Auto Components</v>
      </c>
      <c r="AB194" s="24" t="str">
        <f>VLOOKUP(A194,Metrik!$C$2:$Y$959,3,0)</f>
        <v>Consumer Cyclicals</v>
      </c>
    </row>
    <row r="195">
      <c r="A195" s="14" t="s">
        <v>141</v>
      </c>
      <c r="B195" s="14" t="str">
        <f t="array" ref="B195">VLOOKUP(A195,{Metrik!$C$2:$C$998,Metrik!$B$2:$B$998},2,0)</f>
        <v>Astra Otoparts Tbk.</v>
      </c>
      <c r="C195" s="15">
        <f>IFERROR(__xludf.DUMMYFUNCTION("GOOGLEFINANCE(""IDX:""&amp;A195,""price"")"),2400.0)</f>
        <v>2400</v>
      </c>
      <c r="D195" s="16" t="str">
        <f>IFERROR(__xludf.DUMMYFUNCTION("IF(A195="""","""",
SPARKLINE(
INDEX(
GOOGLEFINANCE(""IDX:""&amp;A195,""close"",TODAY()-365,TODAY()),
,2
),
{""linewidth"",1}
))
"),"#N/A")</f>
        <v>#N/A</v>
      </c>
      <c r="E195" s="14" t="s">
        <v>55</v>
      </c>
      <c r="F195" s="25">
        <v>46356.0</v>
      </c>
      <c r="G195" s="18">
        <f t="shared" si="1"/>
        <v>3</v>
      </c>
      <c r="H195" s="19">
        <f>VLOOKUP(A195,Metrik!$C$2:$Y$959,8,0)</f>
        <v>5.4</v>
      </c>
      <c r="I195" s="20">
        <f>VLOOKUP(A195,Metrik!$C$2:$Y$959,9,0)</f>
        <v>0.7</v>
      </c>
      <c r="J195" s="20">
        <f>VLOOKUP(A195,Metrik!$C$2:$Y$959,10,0)</f>
        <v>12.9</v>
      </c>
      <c r="K195" s="20">
        <f>VLOOKUP(A195,Metrik!$C$2:$Y$959,11,0)</f>
        <v>9.6</v>
      </c>
      <c r="L195" s="20">
        <f>VLOOKUP(A195,Metrik!$C$2:$Y$959,12,0)</f>
        <v>0.35</v>
      </c>
      <c r="M195" s="20">
        <f>VLOOKUP(A195,Metrik!$C$2:$Y$959,19,0)</f>
        <v>43</v>
      </c>
      <c r="N195" s="21"/>
      <c r="O195" s="21"/>
      <c r="P195" s="21"/>
      <c r="Q195" s="21"/>
      <c r="R195" s="21"/>
      <c r="S195" s="21"/>
      <c r="T195" s="21"/>
      <c r="U195" s="22">
        <f>IFERROR(__xludf.DUMMYFUNCTION("IFERROR(GOOGLEFINANCE(A195,""closeyest""),"""")"),0.05)</f>
        <v>0.05</v>
      </c>
      <c r="V195" s="23">
        <f>IFERROR(__xludf.DUMMYFUNCTION("IFERROR(GOOGLEFINANCE(A195,""changepct""),"""")"),0.0)</f>
        <v>0</v>
      </c>
      <c r="W195" s="22" t="str">
        <f>IFERROR(__xludf.DUMMYFUNCTION("IFERROR(GOOGLEFINANCE(A195,""priceopen""),"""")"),"")</f>
        <v/>
      </c>
      <c r="X195" s="22" t="str">
        <f>IFERROR(__xludf.DUMMYFUNCTION("IFERROR(GOOGLEFINANCE(A195,""high""),"""")"),"")</f>
        <v/>
      </c>
      <c r="Y195" s="22" t="str">
        <f>IFERROR(__xludf.DUMMYFUNCTION("IFERROR(GOOGLEFINANCE(A195,""low""),"""")"),"")</f>
        <v/>
      </c>
      <c r="Z195" s="22">
        <f>IFERROR(__xludf.DUMMYFUNCTION("IFERROR(GOOGLEFINANCE(A195,""volume""),"""")"),0.0)</f>
        <v>0</v>
      </c>
      <c r="AA195" s="24" t="str">
        <f>VLOOKUP(A195,Metrik!$C$2:$Y$959,5,0)</f>
        <v>Auto Components</v>
      </c>
      <c r="AB195" s="24" t="str">
        <f>VLOOKUP(A195,Metrik!$C$2:$Y$959,3,0)</f>
        <v>Consumer Cyclicals</v>
      </c>
    </row>
    <row r="196">
      <c r="A196" s="14" t="s">
        <v>142</v>
      </c>
      <c r="B196" s="14" t="str">
        <f t="array" ref="B196">VLOOKUP(A196,{Metrik!$C$2:$C$998,Metrik!$B$2:$B$998},2,0)</f>
        <v>Avia Avian Tbk.</v>
      </c>
      <c r="C196" s="15">
        <f>IFERROR(__xludf.DUMMYFUNCTION("GOOGLEFINANCE(""IDX:""&amp;A196,""price"")"),310.0)</f>
        <v>310</v>
      </c>
      <c r="D196" s="16" t="str">
        <f>IFERROR(__xludf.DUMMYFUNCTION("IF(A196="""","""",
SPARKLINE(
INDEX(
GOOGLEFINANCE(""IDX:""&amp;A196,""close"",TODAY()-365,TODAY()),
,2
),
{""linewidth"",1}
))
"),"#N/A")</f>
        <v>#N/A</v>
      </c>
      <c r="E196" s="14" t="s">
        <v>47</v>
      </c>
      <c r="F196" s="25">
        <v>46356.0</v>
      </c>
      <c r="G196" s="24">
        <f t="shared" si="1"/>
        <v>8</v>
      </c>
      <c r="H196" s="19">
        <f>VLOOKUP(A196,Metrik!$C$2:$Y$959,8,0)</f>
        <v>12</v>
      </c>
      <c r="I196" s="20">
        <f>VLOOKUP(A196,Metrik!$C$2:$Y$959,9,0)</f>
        <v>2.2</v>
      </c>
      <c r="J196" s="20">
        <f>VLOOKUP(A196,Metrik!$C$2:$Y$959,10,0)</f>
        <v>18.2</v>
      </c>
      <c r="K196" s="20">
        <f>VLOOKUP(A196,Metrik!$C$2:$Y$959,11,0)</f>
        <v>15.5</v>
      </c>
      <c r="L196" s="20">
        <f>VLOOKUP(A196,Metrik!$C$2:$Y$959,12,0)</f>
        <v>0.17</v>
      </c>
      <c r="M196" s="20">
        <f>VLOOKUP(A196,Metrik!$C$2:$Y$959,19,0)</f>
        <v>76.5</v>
      </c>
      <c r="N196" s="21"/>
      <c r="O196" s="21"/>
      <c r="P196" s="21"/>
      <c r="Q196" s="21"/>
      <c r="R196" s="21"/>
      <c r="S196" s="21"/>
      <c r="T196" s="21"/>
      <c r="U196" s="22">
        <f>IFERROR(__xludf.DUMMYFUNCTION("IFERROR(GOOGLEFINANCE(A196,""closeyest""),"""")"),312.0)</f>
        <v>312</v>
      </c>
      <c r="V196" s="23">
        <f>IFERROR(__xludf.DUMMYFUNCTION("IFERROR(GOOGLEFINANCE(A196,""changepct""),"""")"),-0.64)</f>
        <v>-0.64</v>
      </c>
      <c r="W196" s="22">
        <f>IFERROR(__xludf.DUMMYFUNCTION("IFERROR(GOOGLEFINANCE(A196,""priceopen""),"""")"),312.0)</f>
        <v>312</v>
      </c>
      <c r="X196" s="22">
        <f>IFERROR(__xludf.DUMMYFUNCTION("IFERROR(GOOGLEFINANCE(A196,""high""),"""")"),316.0)</f>
        <v>316</v>
      </c>
      <c r="Y196" s="22">
        <f>IFERROR(__xludf.DUMMYFUNCTION("IFERROR(GOOGLEFINANCE(A196,""low""),"""")"),310.0)</f>
        <v>310</v>
      </c>
      <c r="Z196" s="22">
        <f>IFERROR(__xludf.DUMMYFUNCTION("IFERROR(GOOGLEFINANCE(A196,""volume""),"""")"),6393600.0)</f>
        <v>6393600</v>
      </c>
      <c r="AA196" s="24" t="str">
        <f>VLOOKUP(A196,Metrik!$C$2:$Y$959,5,0)</f>
        <v>Chemicals</v>
      </c>
      <c r="AB196" s="24" t="str">
        <f>VLOOKUP(A196,Metrik!$C$2:$Y$959,3,0)</f>
        <v>Basic Materials</v>
      </c>
    </row>
    <row r="197">
      <c r="A197" s="14" t="s">
        <v>142</v>
      </c>
      <c r="B197" s="14" t="str">
        <f t="array" ref="B197">VLOOKUP(A197,{Metrik!$C$2:$C$998,Metrik!$B$2:$B$998},2,0)</f>
        <v>Avia Avian Tbk.</v>
      </c>
      <c r="C197" s="15">
        <f>IFERROR(__xludf.DUMMYFUNCTION("GOOGLEFINANCE(""IDX:""&amp;A197,""price"")"),310.0)</f>
        <v>310</v>
      </c>
      <c r="D197" s="16" t="str">
        <f>IFERROR(__xludf.DUMMYFUNCTION("IF(A197="""","""",
SPARKLINE(
INDEX(
GOOGLEFINANCE(""IDX:""&amp;A197,""close"",TODAY()-365,TODAY()),
,2
),
{""linewidth"",1}
))
"),"#N/A")</f>
        <v>#N/A</v>
      </c>
      <c r="E197" s="14" t="s">
        <v>84</v>
      </c>
      <c r="F197" s="17" t="s">
        <v>51</v>
      </c>
      <c r="G197" s="24">
        <f t="shared" si="1"/>
        <v>8</v>
      </c>
      <c r="H197" s="19">
        <f>VLOOKUP(A197,Metrik!$C$2:$Y$959,8,0)</f>
        <v>12</v>
      </c>
      <c r="I197" s="20">
        <f>VLOOKUP(A197,Metrik!$C$2:$Y$959,9,0)</f>
        <v>2.2</v>
      </c>
      <c r="J197" s="20">
        <f>VLOOKUP(A197,Metrik!$C$2:$Y$959,10,0)</f>
        <v>18.2</v>
      </c>
      <c r="K197" s="20">
        <f>VLOOKUP(A197,Metrik!$C$2:$Y$959,11,0)</f>
        <v>15.5</v>
      </c>
      <c r="L197" s="20">
        <f>VLOOKUP(A197,Metrik!$C$2:$Y$959,12,0)</f>
        <v>0.17</v>
      </c>
      <c r="M197" s="20">
        <f>VLOOKUP(A197,Metrik!$C$2:$Y$959,19,0)</f>
        <v>76.5</v>
      </c>
      <c r="N197" s="21"/>
      <c r="O197" s="21"/>
      <c r="P197" s="21"/>
      <c r="Q197" s="21"/>
      <c r="R197" s="21"/>
      <c r="S197" s="21"/>
      <c r="T197" s="21"/>
      <c r="U197" s="22">
        <f>IFERROR(__xludf.DUMMYFUNCTION("IFERROR(GOOGLEFINANCE(A197,""closeyest""),"""")"),312.0)</f>
        <v>312</v>
      </c>
      <c r="V197" s="23">
        <f>IFERROR(__xludf.DUMMYFUNCTION("IFERROR(GOOGLEFINANCE(A197,""changepct""),"""")"),-0.64)</f>
        <v>-0.64</v>
      </c>
      <c r="W197" s="22">
        <f>IFERROR(__xludf.DUMMYFUNCTION("IFERROR(GOOGLEFINANCE(A197,""priceopen""),"""")"),312.0)</f>
        <v>312</v>
      </c>
      <c r="X197" s="22">
        <f>IFERROR(__xludf.DUMMYFUNCTION("IFERROR(GOOGLEFINANCE(A197,""high""),"""")"),316.0)</f>
        <v>316</v>
      </c>
      <c r="Y197" s="22">
        <f>IFERROR(__xludf.DUMMYFUNCTION("IFERROR(GOOGLEFINANCE(A197,""low""),"""")"),310.0)</f>
        <v>310</v>
      </c>
      <c r="Z197" s="22">
        <f>IFERROR(__xludf.DUMMYFUNCTION("IFERROR(GOOGLEFINANCE(A197,""volume""),"""")"),6393600.0)</f>
        <v>6393600</v>
      </c>
      <c r="AA197" s="24" t="str">
        <f>VLOOKUP(A197,Metrik!$C$2:$Y$959,5,0)</f>
        <v>Chemicals</v>
      </c>
      <c r="AB197" s="24" t="str">
        <f>VLOOKUP(A197,Metrik!$C$2:$Y$959,3,0)</f>
        <v>Basic Materials</v>
      </c>
    </row>
    <row r="198">
      <c r="A198" s="14" t="s">
        <v>142</v>
      </c>
      <c r="B198" s="14" t="str">
        <f t="array" ref="B198">VLOOKUP(A198,{Metrik!$C$2:$C$998,Metrik!$B$2:$B$998},2,0)</f>
        <v>Avia Avian Tbk.</v>
      </c>
      <c r="C198" s="15">
        <f>IFERROR(__xludf.DUMMYFUNCTION("GOOGLEFINANCE(""IDX:""&amp;A198,""price"")"),310.0)</f>
        <v>310</v>
      </c>
      <c r="D198" s="16" t="str">
        <f>IFERROR(__xludf.DUMMYFUNCTION("IF(A198="""","""",
SPARKLINE(
INDEX(
GOOGLEFINANCE(""IDX:""&amp;A198,""close"",TODAY()-365,TODAY()),
,2
),
{""linewidth"",1}
))
"),"#N/A")</f>
        <v>#N/A</v>
      </c>
      <c r="E198" s="14" t="s">
        <v>41</v>
      </c>
      <c r="F198" s="14" t="s">
        <v>34</v>
      </c>
      <c r="G198" s="24">
        <f t="shared" si="1"/>
        <v>8</v>
      </c>
      <c r="H198" s="19">
        <f>VLOOKUP(A198,Metrik!$C$2:$Y$959,8,0)</f>
        <v>12</v>
      </c>
      <c r="I198" s="20">
        <f>VLOOKUP(A198,Metrik!$C$2:$Y$959,9,0)</f>
        <v>2.2</v>
      </c>
      <c r="J198" s="20">
        <f>VLOOKUP(A198,Metrik!$C$2:$Y$959,10,0)</f>
        <v>18.2</v>
      </c>
      <c r="K198" s="20">
        <f>VLOOKUP(A198,Metrik!$C$2:$Y$959,11,0)</f>
        <v>15.5</v>
      </c>
      <c r="L198" s="20">
        <f>VLOOKUP(A198,Metrik!$C$2:$Y$959,12,0)</f>
        <v>0.17</v>
      </c>
      <c r="M198" s="20">
        <f>VLOOKUP(A198,Metrik!$C$2:$Y$959,19,0)</f>
        <v>76.5</v>
      </c>
      <c r="N198" s="42"/>
      <c r="O198" s="42"/>
      <c r="P198" s="42"/>
      <c r="Q198" s="42"/>
      <c r="R198" s="42"/>
      <c r="S198" s="42"/>
      <c r="T198" s="42"/>
      <c r="U198" s="22">
        <f>IFERROR(__xludf.DUMMYFUNCTION("IFERROR(GOOGLEFINANCE(A198,""closeyest""),"""")"),312.0)</f>
        <v>312</v>
      </c>
      <c r="V198" s="23">
        <f>IFERROR(__xludf.DUMMYFUNCTION("IFERROR(GOOGLEFINANCE(A198,""changepct""),"""")"),-0.64)</f>
        <v>-0.64</v>
      </c>
      <c r="W198" s="22">
        <f>IFERROR(__xludf.DUMMYFUNCTION("IFERROR(GOOGLEFINANCE(A198,""priceopen""),"""")"),312.0)</f>
        <v>312</v>
      </c>
      <c r="X198" s="22">
        <f>IFERROR(__xludf.DUMMYFUNCTION("IFERROR(GOOGLEFINANCE(A198,""high""),"""")"),316.0)</f>
        <v>316</v>
      </c>
      <c r="Y198" s="22">
        <f>IFERROR(__xludf.DUMMYFUNCTION("IFERROR(GOOGLEFINANCE(A198,""low""),"""")"),310.0)</f>
        <v>310</v>
      </c>
      <c r="Z198" s="22">
        <f>IFERROR(__xludf.DUMMYFUNCTION("IFERROR(GOOGLEFINANCE(A198,""volume""),"""")"),6393600.0)</f>
        <v>6393600</v>
      </c>
      <c r="AA198" s="24" t="str">
        <f>VLOOKUP(A198,Metrik!$C$2:$Y$959,5,0)</f>
        <v>Chemicals</v>
      </c>
      <c r="AB198" s="24" t="str">
        <f>VLOOKUP(A198,Metrik!$C$2:$Y$959,3,0)</f>
        <v>Basic Materials</v>
      </c>
    </row>
    <row r="199">
      <c r="A199" s="17" t="s">
        <v>142</v>
      </c>
      <c r="B199" s="14" t="str">
        <f t="array" ref="B199">VLOOKUP(A199,{Metrik!$C$2:$C$998,Metrik!$B$2:$B$998},2,0)</f>
        <v>Avia Avian Tbk.</v>
      </c>
      <c r="C199" s="15">
        <f>IFERROR(__xludf.DUMMYFUNCTION("GOOGLEFINANCE(""IDX:""&amp;A199,""price"")"),310.0)</f>
        <v>310</v>
      </c>
      <c r="D199" s="16" t="str">
        <f>IFERROR(__xludf.DUMMYFUNCTION("IF(A199="""","""",
SPARKLINE(
INDEX(
GOOGLEFINANCE(""IDX:""&amp;A199,""close"",TODAY()-365,TODAY()),
,2
),
{""linewidth"",1}
))
"),"#N/A")</f>
        <v>#N/A</v>
      </c>
      <c r="E199" s="17" t="s">
        <v>69</v>
      </c>
      <c r="F199" s="17" t="s">
        <v>70</v>
      </c>
      <c r="G199" s="24">
        <f t="shared" si="1"/>
        <v>8</v>
      </c>
      <c r="H199" s="19">
        <f>VLOOKUP(A199,Metrik!$C$2:$Y$959,8,0)</f>
        <v>12</v>
      </c>
      <c r="I199" s="20">
        <f>VLOOKUP(A199,Metrik!$C$2:$Y$959,9,0)</f>
        <v>2.2</v>
      </c>
      <c r="J199" s="20">
        <f>VLOOKUP(A199,Metrik!$C$2:$Y$959,10,0)</f>
        <v>18.2</v>
      </c>
      <c r="K199" s="20">
        <f>VLOOKUP(A199,Metrik!$C$2:$Y$959,11,0)</f>
        <v>15.5</v>
      </c>
      <c r="L199" s="20">
        <f>VLOOKUP(A199,Metrik!$C$2:$Y$959,12,0)</f>
        <v>0.17</v>
      </c>
      <c r="M199" s="20">
        <f>VLOOKUP(A199,Metrik!$C$2:$Y$959,19,0)</f>
        <v>76.5</v>
      </c>
      <c r="N199" s="21"/>
      <c r="O199" s="21"/>
      <c r="P199" s="21"/>
      <c r="Q199" s="21"/>
      <c r="R199" s="21"/>
      <c r="S199" s="21"/>
      <c r="T199" s="21"/>
      <c r="U199" s="22">
        <f>IFERROR(__xludf.DUMMYFUNCTION("IFERROR(GOOGLEFINANCE(A199,""closeyest""),"""")"),312.0)</f>
        <v>312</v>
      </c>
      <c r="V199" s="23">
        <f>IFERROR(__xludf.DUMMYFUNCTION("IFERROR(GOOGLEFINANCE(A199,""changepct""),"""")"),-0.64)</f>
        <v>-0.64</v>
      </c>
      <c r="W199" s="22">
        <f>IFERROR(__xludf.DUMMYFUNCTION("IFERROR(GOOGLEFINANCE(A199,""priceopen""),"""")"),312.0)</f>
        <v>312</v>
      </c>
      <c r="X199" s="22">
        <f>IFERROR(__xludf.DUMMYFUNCTION("IFERROR(GOOGLEFINANCE(A199,""high""),"""")"),316.0)</f>
        <v>316</v>
      </c>
      <c r="Y199" s="22">
        <f>IFERROR(__xludf.DUMMYFUNCTION("IFERROR(GOOGLEFINANCE(A199,""low""),"""")"),310.0)</f>
        <v>310</v>
      </c>
      <c r="Z199" s="22">
        <f>IFERROR(__xludf.DUMMYFUNCTION("IFERROR(GOOGLEFINANCE(A199,""volume""),"""")"),6393600.0)</f>
        <v>6393600</v>
      </c>
      <c r="AA199" s="24" t="str">
        <f>VLOOKUP(A199,Metrik!$C$2:$Y$959,5,0)</f>
        <v>Chemicals</v>
      </c>
      <c r="AB199" s="24" t="str">
        <f>VLOOKUP(A199,Metrik!$C$2:$Y$959,3,0)</f>
        <v>Basic Materials</v>
      </c>
    </row>
    <row r="200">
      <c r="A200" s="17" t="s">
        <v>142</v>
      </c>
      <c r="B200" s="14" t="str">
        <f t="array" ref="B200">VLOOKUP(A200,{Metrik!$C$2:$C$998,Metrik!$B$2:$B$998},2,0)</f>
        <v>Avia Avian Tbk.</v>
      </c>
      <c r="C200" s="15">
        <f>IFERROR(__xludf.DUMMYFUNCTION("GOOGLEFINANCE(""IDX:""&amp;A200,""price"")"),310.0)</f>
        <v>310</v>
      </c>
      <c r="D200" s="16" t="str">
        <f>IFERROR(__xludf.DUMMYFUNCTION("IF(A200="""","""",
SPARKLINE(
INDEX(
GOOGLEFINANCE(""IDX:""&amp;A200,""close"",TODAY()-365,TODAY()),
,2
),
{""linewidth"",1}
))
"),"#N/A")</f>
        <v>#N/A</v>
      </c>
      <c r="E200" s="14" t="s">
        <v>35</v>
      </c>
      <c r="F200" s="17" t="s">
        <v>36</v>
      </c>
      <c r="G200" s="24">
        <f t="shared" si="1"/>
        <v>8</v>
      </c>
      <c r="H200" s="19">
        <f>VLOOKUP(A200,Metrik!$C$2:$Y$959,8,0)</f>
        <v>12</v>
      </c>
      <c r="I200" s="20">
        <f>VLOOKUP(A200,Metrik!$C$2:$Y$959,9,0)</f>
        <v>2.2</v>
      </c>
      <c r="J200" s="20">
        <f>VLOOKUP(A200,Metrik!$C$2:$Y$959,10,0)</f>
        <v>18.2</v>
      </c>
      <c r="K200" s="20">
        <f>VLOOKUP(A200,Metrik!$C$2:$Y$959,11,0)</f>
        <v>15.5</v>
      </c>
      <c r="L200" s="20">
        <f>VLOOKUP(A200,Metrik!$C$2:$Y$959,12,0)</f>
        <v>0.17</v>
      </c>
      <c r="M200" s="20">
        <f>VLOOKUP(A200,Metrik!$C$2:$Y$959,19,0)</f>
        <v>76.5</v>
      </c>
      <c r="N200" s="21"/>
      <c r="O200" s="21"/>
      <c r="P200" s="21"/>
      <c r="Q200" s="21"/>
      <c r="R200" s="21"/>
      <c r="S200" s="21"/>
      <c r="T200" s="21"/>
      <c r="U200" s="22">
        <f>IFERROR(__xludf.DUMMYFUNCTION("IFERROR(GOOGLEFINANCE(A200,""closeyest""),"""")"),312.0)</f>
        <v>312</v>
      </c>
      <c r="V200" s="23">
        <f>IFERROR(__xludf.DUMMYFUNCTION("IFERROR(GOOGLEFINANCE(A200,""changepct""),"""")"),-0.64)</f>
        <v>-0.64</v>
      </c>
      <c r="W200" s="22">
        <f>IFERROR(__xludf.DUMMYFUNCTION("IFERROR(GOOGLEFINANCE(A200,""priceopen""),"""")"),312.0)</f>
        <v>312</v>
      </c>
      <c r="X200" s="22">
        <f>IFERROR(__xludf.DUMMYFUNCTION("IFERROR(GOOGLEFINANCE(A200,""high""),"""")"),316.0)</f>
        <v>316</v>
      </c>
      <c r="Y200" s="22">
        <f>IFERROR(__xludf.DUMMYFUNCTION("IFERROR(GOOGLEFINANCE(A200,""low""),"""")"),310.0)</f>
        <v>310</v>
      </c>
      <c r="Z200" s="22">
        <f>IFERROR(__xludf.DUMMYFUNCTION("IFERROR(GOOGLEFINANCE(A200,""volume""),"""")"),6393600.0)</f>
        <v>6393600</v>
      </c>
      <c r="AA200" s="24" t="str">
        <f>VLOOKUP(A200,Metrik!$C$2:$Y$959,5,0)</f>
        <v>Chemicals</v>
      </c>
      <c r="AB200" s="24" t="str">
        <f>VLOOKUP(A200,Metrik!$C$2:$Y$959,3,0)</f>
        <v>Basic Materials</v>
      </c>
    </row>
    <row r="201">
      <c r="A201" s="14" t="s">
        <v>142</v>
      </c>
      <c r="B201" s="14" t="str">
        <f t="array" ref="B201">VLOOKUP(A201,{Metrik!$C$2:$C$998,Metrik!$B$2:$B$998},2,0)</f>
        <v>Avia Avian Tbk.</v>
      </c>
      <c r="C201" s="15">
        <f>IFERROR(__xludf.DUMMYFUNCTION("GOOGLEFINANCE(""IDX:""&amp;A201,""price"")"),310.0)</f>
        <v>310</v>
      </c>
      <c r="D201" s="16" t="str">
        <f>IFERROR(__xludf.DUMMYFUNCTION("IF(A201="""","""",
SPARKLINE(
INDEX(
GOOGLEFINANCE(""IDX:""&amp;A201,""close"",TODAY()-365,TODAY()),
,2
),
{""linewidth"",1}
))
"),"#N/A")</f>
        <v>#N/A</v>
      </c>
      <c r="E201" s="14" t="s">
        <v>55</v>
      </c>
      <c r="F201" s="25">
        <v>46356.0</v>
      </c>
      <c r="G201" s="24">
        <f t="shared" si="1"/>
        <v>8</v>
      </c>
      <c r="H201" s="19">
        <f>VLOOKUP(A201,Metrik!$C$2:$Y$959,8,0)</f>
        <v>12</v>
      </c>
      <c r="I201" s="20">
        <f>VLOOKUP(A201,Metrik!$C$2:$Y$959,9,0)</f>
        <v>2.2</v>
      </c>
      <c r="J201" s="20">
        <f>VLOOKUP(A201,Metrik!$C$2:$Y$959,10,0)</f>
        <v>18.2</v>
      </c>
      <c r="K201" s="20">
        <f>VLOOKUP(A201,Metrik!$C$2:$Y$959,11,0)</f>
        <v>15.5</v>
      </c>
      <c r="L201" s="20">
        <f>VLOOKUP(A201,Metrik!$C$2:$Y$959,12,0)</f>
        <v>0.17</v>
      </c>
      <c r="M201" s="20">
        <f>VLOOKUP(A201,Metrik!$C$2:$Y$959,19,0)</f>
        <v>76.5</v>
      </c>
      <c r="N201" s="21"/>
      <c r="O201" s="21"/>
      <c r="P201" s="21"/>
      <c r="Q201" s="21"/>
      <c r="R201" s="21"/>
      <c r="S201" s="21"/>
      <c r="T201" s="21"/>
      <c r="U201" s="22">
        <f>IFERROR(__xludf.DUMMYFUNCTION("IFERROR(GOOGLEFINANCE(A201,""closeyest""),"""")"),312.0)</f>
        <v>312</v>
      </c>
      <c r="V201" s="23">
        <f>IFERROR(__xludf.DUMMYFUNCTION("IFERROR(GOOGLEFINANCE(A201,""changepct""),"""")"),-0.64)</f>
        <v>-0.64</v>
      </c>
      <c r="W201" s="22">
        <f>IFERROR(__xludf.DUMMYFUNCTION("IFERROR(GOOGLEFINANCE(A201,""priceopen""),"""")"),312.0)</f>
        <v>312</v>
      </c>
      <c r="X201" s="22">
        <f>IFERROR(__xludf.DUMMYFUNCTION("IFERROR(GOOGLEFINANCE(A201,""high""),"""")"),316.0)</f>
        <v>316</v>
      </c>
      <c r="Y201" s="22">
        <f>IFERROR(__xludf.DUMMYFUNCTION("IFERROR(GOOGLEFINANCE(A201,""low""),"""")"),310.0)</f>
        <v>310</v>
      </c>
      <c r="Z201" s="22">
        <f>IFERROR(__xludf.DUMMYFUNCTION("IFERROR(GOOGLEFINANCE(A201,""volume""),"""")"),6393600.0)</f>
        <v>6393600</v>
      </c>
      <c r="AA201" s="24" t="str">
        <f>VLOOKUP(A201,Metrik!$C$2:$Y$959,5,0)</f>
        <v>Chemicals</v>
      </c>
      <c r="AB201" s="24" t="str">
        <f>VLOOKUP(A201,Metrik!$C$2:$Y$959,3,0)</f>
        <v>Basic Materials</v>
      </c>
    </row>
    <row r="202">
      <c r="A202" s="14" t="s">
        <v>142</v>
      </c>
      <c r="B202" s="14" t="str">
        <f t="array" ref="B202">VLOOKUP(A202,{Metrik!$C$2:$C$998,Metrik!$B$2:$B$998},2,0)</f>
        <v>Avia Avian Tbk.</v>
      </c>
      <c r="C202" s="15">
        <f>IFERROR(__xludf.DUMMYFUNCTION("GOOGLEFINANCE(""IDX:""&amp;A202,""price"")"),310.0)</f>
        <v>310</v>
      </c>
      <c r="D202" s="16" t="str">
        <f>IFERROR(__xludf.DUMMYFUNCTION("IF(A202="""","""",
SPARKLINE(
INDEX(
GOOGLEFINANCE(""IDX:""&amp;A202,""close"",TODAY()-365,TODAY()),
,2
),
{""linewidth"",1}
))
"),"#N/A")</f>
        <v>#N/A</v>
      </c>
      <c r="E202" s="14" t="s">
        <v>86</v>
      </c>
      <c r="F202" s="25">
        <v>46356.0</v>
      </c>
      <c r="G202" s="24">
        <f t="shared" si="1"/>
        <v>8</v>
      </c>
      <c r="H202" s="19">
        <f>VLOOKUP(A202,Metrik!$C$2:$Y$959,8,0)</f>
        <v>12</v>
      </c>
      <c r="I202" s="20">
        <f>VLOOKUP(A202,Metrik!$C$2:$Y$959,9,0)</f>
        <v>2.2</v>
      </c>
      <c r="J202" s="20">
        <f>VLOOKUP(A202,Metrik!$C$2:$Y$959,10,0)</f>
        <v>18.2</v>
      </c>
      <c r="K202" s="20">
        <f>VLOOKUP(A202,Metrik!$C$2:$Y$959,11,0)</f>
        <v>15.5</v>
      </c>
      <c r="L202" s="20">
        <f>VLOOKUP(A202,Metrik!$C$2:$Y$959,12,0)</f>
        <v>0.17</v>
      </c>
      <c r="M202" s="20">
        <f>VLOOKUP(A202,Metrik!$C$2:$Y$959,19,0)</f>
        <v>76.5</v>
      </c>
      <c r="N202" s="21"/>
      <c r="O202" s="21"/>
      <c r="P202" s="21"/>
      <c r="Q202" s="21"/>
      <c r="R202" s="21"/>
      <c r="S202" s="21"/>
      <c r="T202" s="21"/>
      <c r="U202" s="22">
        <f>IFERROR(__xludf.DUMMYFUNCTION("IFERROR(GOOGLEFINANCE(A202,""closeyest""),"""")"),312.0)</f>
        <v>312</v>
      </c>
      <c r="V202" s="23">
        <f>IFERROR(__xludf.DUMMYFUNCTION("IFERROR(GOOGLEFINANCE(A202,""changepct""),"""")"),-0.64)</f>
        <v>-0.64</v>
      </c>
      <c r="W202" s="22">
        <f>IFERROR(__xludf.DUMMYFUNCTION("IFERROR(GOOGLEFINANCE(A202,""priceopen""),"""")"),312.0)</f>
        <v>312</v>
      </c>
      <c r="X202" s="22">
        <f>IFERROR(__xludf.DUMMYFUNCTION("IFERROR(GOOGLEFINANCE(A202,""high""),"""")"),316.0)</f>
        <v>316</v>
      </c>
      <c r="Y202" s="22">
        <f>IFERROR(__xludf.DUMMYFUNCTION("IFERROR(GOOGLEFINANCE(A202,""low""),"""")"),310.0)</f>
        <v>310</v>
      </c>
      <c r="Z202" s="22">
        <f>IFERROR(__xludf.DUMMYFUNCTION("IFERROR(GOOGLEFINANCE(A202,""volume""),"""")"),6393600.0)</f>
        <v>6393600</v>
      </c>
      <c r="AA202" s="24" t="str">
        <f>VLOOKUP(A202,Metrik!$C$2:$Y$959,5,0)</f>
        <v>Chemicals</v>
      </c>
      <c r="AB202" s="24" t="str">
        <f>VLOOKUP(A202,Metrik!$C$2:$Y$959,3,0)</f>
        <v>Basic Materials</v>
      </c>
    </row>
    <row r="203">
      <c r="A203" s="14" t="s">
        <v>142</v>
      </c>
      <c r="B203" s="14" t="str">
        <f t="array" ref="B203">VLOOKUP(A203,{Metrik!$C$2:$C$998,Metrik!$B$2:$B$998},2,0)</f>
        <v>Avia Avian Tbk.</v>
      </c>
      <c r="C203" s="15">
        <f>IFERROR(__xludf.DUMMYFUNCTION("GOOGLEFINANCE(""IDX:""&amp;A203,""price"")"),310.0)</f>
        <v>310</v>
      </c>
      <c r="D203" s="16" t="str">
        <f>IFERROR(__xludf.DUMMYFUNCTION("IF(A203="""","""",
SPARKLINE(
INDEX(
GOOGLEFINANCE(""IDX:""&amp;A203,""close"",TODAY()-365,TODAY()),
,2
),
{""linewidth"",1}
))
"),"#N/A")</f>
        <v>#N/A</v>
      </c>
      <c r="E203" s="14" t="s">
        <v>39</v>
      </c>
      <c r="F203" s="25">
        <v>46356.0</v>
      </c>
      <c r="G203" s="24">
        <f t="shared" si="1"/>
        <v>8</v>
      </c>
      <c r="H203" s="19">
        <f>VLOOKUP(A203,Metrik!$C$2:$Y$959,8,0)</f>
        <v>12</v>
      </c>
      <c r="I203" s="20">
        <f>VLOOKUP(A203,Metrik!$C$2:$Y$959,9,0)</f>
        <v>2.2</v>
      </c>
      <c r="J203" s="20">
        <f>VLOOKUP(A203,Metrik!$C$2:$Y$959,10,0)</f>
        <v>18.2</v>
      </c>
      <c r="K203" s="20">
        <f>VLOOKUP(A203,Metrik!$C$2:$Y$959,11,0)</f>
        <v>15.5</v>
      </c>
      <c r="L203" s="20">
        <f>VLOOKUP(A203,Metrik!$C$2:$Y$959,12,0)</f>
        <v>0.17</v>
      </c>
      <c r="M203" s="20">
        <f>VLOOKUP(A203,Metrik!$C$2:$Y$959,19,0)</f>
        <v>76.5</v>
      </c>
      <c r="N203" s="21"/>
      <c r="O203" s="21"/>
      <c r="P203" s="21"/>
      <c r="Q203" s="21"/>
      <c r="R203" s="21"/>
      <c r="S203" s="21"/>
      <c r="T203" s="21"/>
      <c r="U203" s="22">
        <f>IFERROR(__xludf.DUMMYFUNCTION("IFERROR(GOOGLEFINANCE(A203,""closeyest""),"""")"),312.0)</f>
        <v>312</v>
      </c>
      <c r="V203" s="23">
        <f>IFERROR(__xludf.DUMMYFUNCTION("IFERROR(GOOGLEFINANCE(A203,""changepct""),"""")"),-0.64)</f>
        <v>-0.64</v>
      </c>
      <c r="W203" s="22">
        <f>IFERROR(__xludf.DUMMYFUNCTION("IFERROR(GOOGLEFINANCE(A203,""priceopen""),"""")"),312.0)</f>
        <v>312</v>
      </c>
      <c r="X203" s="22">
        <f>IFERROR(__xludf.DUMMYFUNCTION("IFERROR(GOOGLEFINANCE(A203,""high""),"""")"),316.0)</f>
        <v>316</v>
      </c>
      <c r="Y203" s="22">
        <f>IFERROR(__xludf.DUMMYFUNCTION("IFERROR(GOOGLEFINANCE(A203,""low""),"""")"),310.0)</f>
        <v>310</v>
      </c>
      <c r="Z203" s="22">
        <f>IFERROR(__xludf.DUMMYFUNCTION("IFERROR(GOOGLEFINANCE(A203,""volume""),"""")"),6393600.0)</f>
        <v>6393600</v>
      </c>
      <c r="AA203" s="24" t="str">
        <f>VLOOKUP(A203,Metrik!$C$2:$Y$959,5,0)</f>
        <v>Chemicals</v>
      </c>
      <c r="AB203" s="24" t="str">
        <f>VLOOKUP(A203,Metrik!$C$2:$Y$959,3,0)</f>
        <v>Basic Materials</v>
      </c>
    </row>
    <row r="204">
      <c r="A204" s="14" t="s">
        <v>143</v>
      </c>
      <c r="B204" s="14" t="str">
        <f t="array" ref="B204">VLOOKUP(A204,{Metrik!$C$2:$C$998,Metrik!$B$2:$B$998},2,0)</f>
        <v>PT Era Digital Media Tbk</v>
      </c>
      <c r="C204" s="15" t="str">
        <f>IFERROR(__xludf.DUMMYFUNCTION("GOOGLEFINANCE(""IDX:""&amp;A204,""price"")"),"#N/A")</f>
        <v>#N/A</v>
      </c>
      <c r="D204" s="16" t="str">
        <f>IFERROR(__xludf.DUMMYFUNCTION("IF(A204="""","""",
SPARKLINE(
INDEX(
GOOGLEFINANCE(""IDX:""&amp;A204,""close"",TODAY()-365,TODAY()),
,2
),
{""linewidth"",1}
))
"),"#N/A")</f>
        <v>#N/A</v>
      </c>
      <c r="E204" s="26"/>
      <c r="F204" s="26"/>
      <c r="G204" s="24">
        <f t="shared" si="1"/>
        <v>0</v>
      </c>
      <c r="H204" s="19">
        <f>VLOOKUP(A204,Metrik!$C$2:$Y$959,8,0)</f>
        <v>-59.7</v>
      </c>
      <c r="I204" s="20">
        <f>VLOOKUP(A204,Metrik!$C$2:$Y$959,9,0)</f>
        <v>7.6</v>
      </c>
      <c r="J204" s="20">
        <f>VLOOKUP(A204,Metrik!$C$2:$Y$959,10,0)</f>
        <v>-12.7</v>
      </c>
      <c r="K204" s="20">
        <f>VLOOKUP(A204,Metrik!$C$2:$Y$959,11,0)</f>
        <v>-10.3</v>
      </c>
      <c r="L204" s="20">
        <f>VLOOKUP(A204,Metrik!$C$2:$Y$959,12,0)</f>
        <v>0.22</v>
      </c>
      <c r="M204" s="20">
        <f>VLOOKUP(A204,Metrik!$C$2:$Y$959,19,0)</f>
        <v>-60.2</v>
      </c>
      <c r="N204" s="21"/>
      <c r="O204" s="21"/>
      <c r="P204" s="21"/>
      <c r="Q204" s="21"/>
      <c r="R204" s="21"/>
      <c r="S204" s="21"/>
      <c r="T204" s="21"/>
      <c r="U204" s="22">
        <f>IFERROR(__xludf.DUMMYFUNCTION("IFERROR(GOOGLEFINANCE(A204,""closeyest""),"""")"),140.0)</f>
        <v>140</v>
      </c>
      <c r="V204" s="23">
        <f>IFERROR(__xludf.DUMMYFUNCTION("IFERROR(GOOGLEFINANCE(A204,""changepct""),"""")"),3.57)</f>
        <v>3.57</v>
      </c>
      <c r="W204" s="22">
        <f>IFERROR(__xludf.DUMMYFUNCTION("IFERROR(GOOGLEFINANCE(A204,""priceopen""),"""")"),137.0)</f>
        <v>137</v>
      </c>
      <c r="X204" s="22">
        <f>IFERROR(__xludf.DUMMYFUNCTION("IFERROR(GOOGLEFINANCE(A204,""high""),"""")"),147.0)</f>
        <v>147</v>
      </c>
      <c r="Y204" s="22">
        <f>IFERROR(__xludf.DUMMYFUNCTION("IFERROR(GOOGLEFINANCE(A204,""low""),"""")"),137.0)</f>
        <v>137</v>
      </c>
      <c r="Z204" s="22">
        <f>IFERROR(__xludf.DUMMYFUNCTION("IFERROR(GOOGLEFINANCE(A204,""volume""),"""")"),224600.0)</f>
        <v>224600</v>
      </c>
      <c r="AA204" s="24" t="str">
        <f>VLOOKUP(A204,Metrik!$C$2:$Y$959,5,0)</f>
        <v>Online Applications &amp; Services</v>
      </c>
      <c r="AB204" s="24" t="str">
        <f>VLOOKUP(A204,Metrik!$C$2:$Y$959,3,0)</f>
        <v>Technology</v>
      </c>
    </row>
    <row r="205">
      <c r="A205" s="14" t="s">
        <v>144</v>
      </c>
      <c r="B205" s="14" t="str">
        <f t="array" ref="B205">VLOOKUP(A205,{Metrik!$C$2:$C$998,Metrik!$B$2:$B$998},2,0)</f>
        <v>Tera Data Indonusa Tbk.</v>
      </c>
      <c r="C205" s="15">
        <f>IFERROR(__xludf.DUMMYFUNCTION("GOOGLEFINANCE(""IDX:""&amp;A205,""price"")"),105.0)</f>
        <v>105</v>
      </c>
      <c r="D205" s="16" t="str">
        <f>IFERROR(__xludf.DUMMYFUNCTION("IF(A205="""","""",
SPARKLINE(
INDEX(
GOOGLEFINANCE(""IDX:""&amp;A205,""close"",TODAY()-365,TODAY()),
,2
),
{""linewidth"",1}
))
"),"#N/A")</f>
        <v>#N/A</v>
      </c>
      <c r="E205" s="26"/>
      <c r="F205" s="26"/>
      <c r="G205" s="24">
        <f t="shared" si="1"/>
        <v>0</v>
      </c>
      <c r="H205" s="19">
        <f>VLOOKUP(A205,Metrik!$C$2:$Y$959,8,0)</f>
        <v>9.3</v>
      </c>
      <c r="I205" s="20">
        <f>VLOOKUP(A205,Metrik!$C$2:$Y$959,9,0)</f>
        <v>1.2</v>
      </c>
      <c r="J205" s="20">
        <f>VLOOKUP(A205,Metrik!$C$2:$Y$959,10,0)</f>
        <v>12.8</v>
      </c>
      <c r="K205" s="20">
        <f>VLOOKUP(A205,Metrik!$C$2:$Y$959,11,0)</f>
        <v>5.3</v>
      </c>
      <c r="L205" s="20">
        <f>VLOOKUP(A205,Metrik!$C$2:$Y$959,12,0)</f>
        <v>1.4</v>
      </c>
      <c r="M205" s="20">
        <f>VLOOKUP(A205,Metrik!$C$2:$Y$959,19,0)</f>
        <v>19.8</v>
      </c>
      <c r="N205" s="21"/>
      <c r="O205" s="21"/>
      <c r="P205" s="21"/>
      <c r="Q205" s="21"/>
      <c r="R205" s="21"/>
      <c r="S205" s="21"/>
      <c r="T205" s="21"/>
      <c r="U205" s="22">
        <f>IFERROR(__xludf.DUMMYFUNCTION("IFERROR(GOOGLEFINANCE(A205,""closeyest""),"""")"),102.0)</f>
        <v>102</v>
      </c>
      <c r="V205" s="23">
        <f>IFERROR(__xludf.DUMMYFUNCTION("IFERROR(GOOGLEFINANCE(A205,""changepct""),"""")"),2.94)</f>
        <v>2.94</v>
      </c>
      <c r="W205" s="22">
        <f>IFERROR(__xludf.DUMMYFUNCTION("IFERROR(GOOGLEFINANCE(A205,""priceopen""),"""")"),103.0)</f>
        <v>103</v>
      </c>
      <c r="X205" s="22">
        <f>IFERROR(__xludf.DUMMYFUNCTION("IFERROR(GOOGLEFINANCE(A205,""high""),"""")"),106.0)</f>
        <v>106</v>
      </c>
      <c r="Y205" s="22">
        <f>IFERROR(__xludf.DUMMYFUNCTION("IFERROR(GOOGLEFINANCE(A205,""low""),"""")"),103.0)</f>
        <v>103</v>
      </c>
      <c r="Z205" s="22">
        <f>IFERROR(__xludf.DUMMYFUNCTION("IFERROR(GOOGLEFINANCE(A205,""volume""),"""")"),269400.0)</f>
        <v>269400</v>
      </c>
      <c r="AA205" s="24" t="str">
        <f>VLOOKUP(A205,Metrik!$C$2:$Y$959,5,0)</f>
        <v>Computer Hardware</v>
      </c>
      <c r="AB205" s="24" t="str">
        <f>VLOOKUP(A205,Metrik!$C$2:$Y$959,3,0)</f>
        <v>Technology</v>
      </c>
    </row>
    <row r="206">
      <c r="A206" s="14" t="s">
        <v>145</v>
      </c>
      <c r="B206" s="14" t="str">
        <f t="array" ref="B206">VLOOKUP(A206,{Metrik!$C$2:$C$998,Metrik!$B$2:$B$998},2,0)</f>
        <v>Janu Putra Sejahtera Tbk.</v>
      </c>
      <c r="C206" s="15">
        <f>IFERROR(__xludf.DUMMYFUNCTION("GOOGLEFINANCE(""IDX:""&amp;A206,""price"")"),332.0)</f>
        <v>332</v>
      </c>
      <c r="D206" s="16" t="str">
        <f>IFERROR(__xludf.DUMMYFUNCTION("IF(A206="""","""",
SPARKLINE(
INDEX(
GOOGLEFINANCE(""IDX:""&amp;A206,""close"",TODAY()-365,TODAY()),
,2
),
{""linewidth"",1}
))
"),"#N/A")</f>
        <v>#N/A</v>
      </c>
      <c r="E206" s="26"/>
      <c r="F206" s="26"/>
      <c r="G206" s="24">
        <f t="shared" si="1"/>
        <v>0</v>
      </c>
      <c r="H206" s="19">
        <f>VLOOKUP(A206,Metrik!$C$2:$Y$959,8,0)</f>
        <v>640</v>
      </c>
      <c r="I206" s="20">
        <f>VLOOKUP(A206,Metrik!$C$2:$Y$959,9,0)</f>
        <v>5.8</v>
      </c>
      <c r="J206" s="20">
        <f>VLOOKUP(A206,Metrik!$C$2:$Y$959,10,0)</f>
        <v>0.9</v>
      </c>
      <c r="K206" s="20">
        <f>VLOOKUP(A206,Metrik!$C$2:$Y$959,11,0)</f>
        <v>0.37</v>
      </c>
      <c r="L206" s="20">
        <f>VLOOKUP(A206,Metrik!$C$2:$Y$959,12,0)</f>
        <v>1.4</v>
      </c>
      <c r="M206" s="20">
        <f>VLOOKUP(A206,Metrik!$C$2:$Y$959,19,0)</f>
        <v>3.4</v>
      </c>
      <c r="N206" s="21"/>
      <c r="O206" s="21"/>
      <c r="P206" s="21"/>
      <c r="Q206" s="21"/>
      <c r="R206" s="21"/>
      <c r="S206" s="21"/>
      <c r="T206" s="21"/>
      <c r="U206" s="22">
        <f>IFERROR(__xludf.DUMMYFUNCTION("IFERROR(GOOGLEFINANCE(A206,""closeyest""),"""")"),332.0)</f>
        <v>332</v>
      </c>
      <c r="V206" s="23">
        <f>IFERROR(__xludf.DUMMYFUNCTION("IFERROR(GOOGLEFINANCE(A206,""changepct""),"""")"),0.0)</f>
        <v>0</v>
      </c>
      <c r="W206" s="22">
        <f>IFERROR(__xludf.DUMMYFUNCTION("IFERROR(GOOGLEFINANCE(A206,""priceopen""),"""")"),332.0)</f>
        <v>332</v>
      </c>
      <c r="X206" s="22">
        <f>IFERROR(__xludf.DUMMYFUNCTION("IFERROR(GOOGLEFINANCE(A206,""high""),"""")"),340.0)</f>
        <v>340</v>
      </c>
      <c r="Y206" s="22">
        <f>IFERROR(__xludf.DUMMYFUNCTION("IFERROR(GOOGLEFINANCE(A206,""low""),"""")"),328.0)</f>
        <v>328</v>
      </c>
      <c r="Z206" s="22">
        <f>IFERROR(__xludf.DUMMYFUNCTION("IFERROR(GOOGLEFINANCE(A206,""volume""),"""")"),3.68037E7)</f>
        <v>36803700</v>
      </c>
      <c r="AA206" s="24" t="str">
        <f>VLOOKUP(A206,Metrik!$C$2:$Y$959,5,0)</f>
        <v>Agricultural Products</v>
      </c>
      <c r="AB206" s="24" t="str">
        <f>VLOOKUP(A206,Metrik!$C$2:$Y$959,3,0)</f>
        <v>Consumer Non-Cyclicals</v>
      </c>
    </row>
    <row r="207">
      <c r="A207" s="14" t="s">
        <v>146</v>
      </c>
      <c r="B207" s="14" t="str">
        <f t="array" ref="B207">VLOOKUP(A207,{Metrik!$C$2:$C$998,Metrik!$B$2:$B$998},2,0)</f>
        <v>Arkayana Lestari Grup Tbk.</v>
      </c>
      <c r="C207" s="15">
        <f>IFERROR(__xludf.DUMMYFUNCTION("GOOGLEFINANCE(""IDX:""&amp;A207,""price"")"),132.0)</f>
        <v>132</v>
      </c>
      <c r="D207" s="16" t="str">
        <f>IFERROR(__xludf.DUMMYFUNCTION("IF(A207="""","""",
SPARKLINE(
INDEX(
GOOGLEFINANCE(""IDX:""&amp;A207,""close"",TODAY()-365,TODAY()),
,2
),
{""linewidth"",1}
))
"),"#N/A")</f>
        <v>#N/A</v>
      </c>
      <c r="E207" s="26"/>
      <c r="F207" s="26"/>
      <c r="G207" s="24">
        <f t="shared" si="1"/>
        <v>0</v>
      </c>
      <c r="H207" s="19">
        <f>VLOOKUP(A207,Metrik!$C$2:$Y$959,8,0)</f>
        <v>-15</v>
      </c>
      <c r="I207" s="20">
        <f>VLOOKUP(A207,Metrik!$C$2:$Y$959,9,0)</f>
        <v>3.6</v>
      </c>
      <c r="J207" s="20">
        <f>VLOOKUP(A207,Metrik!$C$2:$Y$959,10,0)</f>
        <v>-24.3</v>
      </c>
      <c r="K207" s="20">
        <f>VLOOKUP(A207,Metrik!$C$2:$Y$959,11,0)</f>
        <v>-24</v>
      </c>
      <c r="L207" s="20">
        <f>VLOOKUP(A207,Metrik!$C$2:$Y$959,12,0)</f>
        <v>0.01</v>
      </c>
      <c r="M207" s="20">
        <f>VLOOKUP(A207,Metrik!$C$2:$Y$959,19,0)</f>
        <v>-2540</v>
      </c>
      <c r="N207" s="21"/>
      <c r="O207" s="21"/>
      <c r="P207" s="21"/>
      <c r="Q207" s="21"/>
      <c r="R207" s="21"/>
      <c r="S207" s="21"/>
      <c r="T207" s="21"/>
      <c r="U207" s="22">
        <f>IFERROR(__xludf.DUMMYFUNCTION("IFERROR(GOOGLEFINANCE(A207,""closeyest""),"""")"),127.0)</f>
        <v>127</v>
      </c>
      <c r="V207" s="23">
        <f>IFERROR(__xludf.DUMMYFUNCTION("IFERROR(GOOGLEFINANCE(A207,""changepct""),"""")"),3.94)</f>
        <v>3.94</v>
      </c>
      <c r="W207" s="22">
        <f>IFERROR(__xludf.DUMMYFUNCTION("IFERROR(GOOGLEFINANCE(A207,""priceopen""),"""")"),127.0)</f>
        <v>127</v>
      </c>
      <c r="X207" s="22">
        <f>IFERROR(__xludf.DUMMYFUNCTION("IFERROR(GOOGLEFINANCE(A207,""high""),"""")"),133.0)</f>
        <v>133</v>
      </c>
      <c r="Y207" s="22">
        <f>IFERROR(__xludf.DUMMYFUNCTION("IFERROR(GOOGLEFINANCE(A207,""low""),"""")"),125.0)</f>
        <v>125</v>
      </c>
      <c r="Z207" s="22">
        <f>IFERROR(__xludf.DUMMYFUNCTION("IFERROR(GOOGLEFINANCE(A207,""volume""),"""")"),1561100.0)</f>
        <v>1561100</v>
      </c>
      <c r="AA207" s="24" t="str">
        <f>VLOOKUP(A207,Metrik!$C$2:$Y$959,5,0)</f>
        <v>Construction Materials</v>
      </c>
      <c r="AB207" s="24" t="str">
        <f>VLOOKUP(A207,Metrik!$C$2:$Y$959,3,0)</f>
        <v>Basic Materials</v>
      </c>
    </row>
    <row r="208">
      <c r="A208" s="14" t="s">
        <v>147</v>
      </c>
      <c r="B208" s="14" t="str">
        <f t="array" ref="B208">VLOOKUP(A208,{Metrik!$C$2:$C$998,Metrik!$B$2:$B$998},2,0)</f>
        <v>PT Bank MNC Internasional Tbk.</v>
      </c>
      <c r="C208" s="15">
        <f>IFERROR(__xludf.DUMMYFUNCTION("GOOGLEFINANCE(""IDX:""&amp;A208,""price"")"),50.0)</f>
        <v>50</v>
      </c>
      <c r="D208" s="16" t="str">
        <f>IFERROR(__xludf.DUMMYFUNCTION("IF(A208="""","""",
SPARKLINE(
INDEX(
GOOGLEFINANCE(""IDX:""&amp;A208,""close"",TODAY()-365,TODAY()),
,2
),
{""linewidth"",1}
))
"),"#N/A")</f>
        <v>#N/A</v>
      </c>
      <c r="E208" s="26"/>
      <c r="F208" s="26"/>
      <c r="G208" s="24">
        <f t="shared" si="1"/>
        <v>0</v>
      </c>
      <c r="H208" s="19">
        <f>VLOOKUP(A208,Metrik!$C$2:$Y$959,8,0)</f>
        <v>27.7</v>
      </c>
      <c r="I208" s="20">
        <f>VLOOKUP(A208,Metrik!$C$2:$Y$959,9,0)</f>
        <v>0.59</v>
      </c>
      <c r="J208" s="20">
        <f>VLOOKUP(A208,Metrik!$C$2:$Y$959,10,0)</f>
        <v>2.1</v>
      </c>
      <c r="K208" s="20">
        <f>VLOOKUP(A208,Metrik!$C$2:$Y$959,11,0)</f>
        <v>0.38</v>
      </c>
      <c r="L208" s="20">
        <f>VLOOKUP(A208,Metrik!$C$2:$Y$959,12,0)</f>
        <v>4.7</v>
      </c>
      <c r="M208" s="20">
        <f>VLOOKUP(A208,Metrik!$C$2:$Y$959,19,0)</f>
        <v>20.4</v>
      </c>
      <c r="N208" s="32">
        <v>3.15</v>
      </c>
      <c r="O208" s="32">
        <v>24.66</v>
      </c>
      <c r="P208" s="32">
        <v>78.71</v>
      </c>
      <c r="Q208" s="32">
        <v>2.99</v>
      </c>
      <c r="R208" s="32">
        <v>94.63</v>
      </c>
      <c r="S208" s="32">
        <v>77.62</v>
      </c>
      <c r="T208" s="32">
        <v>6.85</v>
      </c>
      <c r="U208" s="22">
        <f>IFERROR(__xludf.DUMMYFUNCTION("IFERROR(GOOGLEFINANCE(A208,""closeyest""),"""")"),50.0)</f>
        <v>50</v>
      </c>
      <c r="V208" s="23">
        <f>IFERROR(__xludf.DUMMYFUNCTION("IFERROR(GOOGLEFINANCE(A208,""changepct""),"""")"),0.0)</f>
        <v>0</v>
      </c>
      <c r="W208" s="22">
        <f>IFERROR(__xludf.DUMMYFUNCTION("IFERROR(GOOGLEFINANCE(A208,""priceopen""),"""")"),50.0)</f>
        <v>50</v>
      </c>
      <c r="X208" s="22">
        <f>IFERROR(__xludf.DUMMYFUNCTION("IFERROR(GOOGLEFINANCE(A208,""high""),"""")"),50.0)</f>
        <v>50</v>
      </c>
      <c r="Y208" s="22">
        <f>IFERROR(__xludf.DUMMYFUNCTION("IFERROR(GOOGLEFINANCE(A208,""low""),"""")"),50.0)</f>
        <v>50</v>
      </c>
      <c r="Z208" s="22" t="str">
        <f>IFERROR(__xludf.DUMMYFUNCTION("IFERROR(GOOGLEFINANCE(A208,""volume""),"""")"),"")</f>
        <v/>
      </c>
      <c r="AA208" s="24" t="str">
        <f>VLOOKUP(A208,Metrik!$C$2:$Y$959,5,0)</f>
        <v>Banks</v>
      </c>
      <c r="AB208" s="24" t="str">
        <f>VLOOKUP(A208,Metrik!$C$2:$Y$959,3,0)</f>
        <v>Financials</v>
      </c>
    </row>
    <row r="209">
      <c r="A209" s="14" t="s">
        <v>148</v>
      </c>
      <c r="B209" s="14" t="str">
        <f t="array" ref="B209">VLOOKUP(A209,{Metrik!$C$2:$C$998,Metrik!$B$2:$B$998},2,0)</f>
        <v>PT Multitrend Indo Tbk.</v>
      </c>
      <c r="C209" s="15">
        <f>IFERROR(__xludf.DUMMYFUNCTION("GOOGLEFINANCE(""IDX:""&amp;A209,""price"")"),200.0)</f>
        <v>200</v>
      </c>
      <c r="D209" s="16" t="str">
        <f>IFERROR(__xludf.DUMMYFUNCTION("IF(A209="""","""",
SPARKLINE(
INDEX(
GOOGLEFINANCE(""IDX:""&amp;A209,""close"",TODAY()-365,TODAY()),
,2
),
{""linewidth"",1}
))
"),"#N/A")</f>
        <v>#N/A</v>
      </c>
      <c r="E209" s="26"/>
      <c r="F209" s="26"/>
      <c r="G209" s="24">
        <f t="shared" si="1"/>
        <v>0</v>
      </c>
      <c r="H209" s="19">
        <f>VLOOKUP(A209,Metrik!$C$2:$Y$959,8,0)</f>
        <v>60</v>
      </c>
      <c r="I209" s="20">
        <f>VLOOKUP(A209,Metrik!$C$2:$Y$959,9,0)</f>
        <v>0.97</v>
      </c>
      <c r="J209" s="20">
        <f>VLOOKUP(A209,Metrik!$C$2:$Y$959,10,0)</f>
        <v>1.6</v>
      </c>
      <c r="K209" s="20">
        <f>VLOOKUP(A209,Metrik!$C$2:$Y$959,11,0)</f>
        <v>1</v>
      </c>
      <c r="L209" s="20">
        <f>VLOOKUP(A209,Metrik!$C$2:$Y$959,12,0)</f>
        <v>0.59</v>
      </c>
      <c r="M209" s="20">
        <f>VLOOKUP(A209,Metrik!$C$2:$Y$959,19,0)</f>
        <v>2.4</v>
      </c>
      <c r="N209" s="21"/>
      <c r="O209" s="21"/>
      <c r="P209" s="21"/>
      <c r="Q209" s="21"/>
      <c r="R209" s="21"/>
      <c r="S209" s="21"/>
      <c r="T209" s="21"/>
      <c r="U209" s="22">
        <f>IFERROR(__xludf.DUMMYFUNCTION("IFERROR(GOOGLEFINANCE(A209,""closeyest""),"""")"),0.03)</f>
        <v>0.03</v>
      </c>
      <c r="V209" s="23">
        <f>IFERROR(__xludf.DUMMYFUNCTION("IFERROR(GOOGLEFINANCE(A209,""changepct""),"""")"),0.0)</f>
        <v>0</v>
      </c>
      <c r="W209" s="22" t="str">
        <f>IFERROR(__xludf.DUMMYFUNCTION("IFERROR(GOOGLEFINANCE(A209,""priceopen""),"""")"),"")</f>
        <v/>
      </c>
      <c r="X209" s="22" t="str">
        <f>IFERROR(__xludf.DUMMYFUNCTION("IFERROR(GOOGLEFINANCE(A209,""high""),"""")"),"")</f>
        <v/>
      </c>
      <c r="Y209" s="22" t="str">
        <f>IFERROR(__xludf.DUMMYFUNCTION("IFERROR(GOOGLEFINANCE(A209,""low""),"""")"),"")</f>
        <v/>
      </c>
      <c r="Z209" s="22">
        <f>IFERROR(__xludf.DUMMYFUNCTION("IFERROR(GOOGLEFINANCE(A209,""volume""),"""")"),0.0)</f>
        <v>0</v>
      </c>
      <c r="AA209" s="24" t="str">
        <f>VLOOKUP(A209,Metrik!$C$2:$Y$959,5,0)</f>
        <v>Specialty Retail</v>
      </c>
      <c r="AB209" s="24" t="str">
        <f>VLOOKUP(A209,Metrik!$C$2:$Y$959,3,0)</f>
        <v>Consumer Cyclicals</v>
      </c>
    </row>
    <row r="210">
      <c r="A210" s="14" t="s">
        <v>149</v>
      </c>
      <c r="B210" s="14" t="str">
        <f t="array" ref="B210">VLOOKUP(A210,{Metrik!$C$2:$C$998,Metrik!$B$2:$B$998},2,0)</f>
        <v>PT Bank Capital Indonesia Tbk</v>
      </c>
      <c r="C210" s="15">
        <f>IFERROR(__xludf.DUMMYFUNCTION("GOOGLEFINANCE(""IDX:""&amp;A210,""price"")"),110.0)</f>
        <v>110</v>
      </c>
      <c r="D210" s="16" t="str">
        <f>IFERROR(__xludf.DUMMYFUNCTION("IF(A210="""","""",
SPARKLINE(
INDEX(
GOOGLEFINANCE(""IDX:""&amp;A210,""close"",TODAY()-365,TODAY()),
,2
),
{""linewidth"",1}
))
"),"#N/A")</f>
        <v>#N/A</v>
      </c>
      <c r="E210" s="26"/>
      <c r="F210" s="26"/>
      <c r="G210" s="24">
        <f t="shared" si="1"/>
        <v>0</v>
      </c>
      <c r="H210" s="19">
        <f>VLOOKUP(A210,Metrik!$C$2:$Y$959,8,0)</f>
        <v>18.5</v>
      </c>
      <c r="I210" s="20">
        <f>VLOOKUP(A210,Metrik!$C$2:$Y$959,9,0)</f>
        <v>0.36</v>
      </c>
      <c r="J210" s="20">
        <f>VLOOKUP(A210,Metrik!$C$2:$Y$959,10,0)</f>
        <v>1.9</v>
      </c>
      <c r="K210" s="20">
        <f>VLOOKUP(A210,Metrik!$C$2:$Y$959,11,0)</f>
        <v>0.5</v>
      </c>
      <c r="L210" s="20">
        <f>VLOOKUP(A210,Metrik!$C$2:$Y$959,12,0)</f>
        <v>2.9</v>
      </c>
      <c r="M210" s="20">
        <f>VLOOKUP(A210,Metrik!$C$2:$Y$959,19,0)</f>
        <v>29.7</v>
      </c>
      <c r="N210" s="32">
        <v>0.56</v>
      </c>
      <c r="O210" s="32">
        <v>36.41</v>
      </c>
      <c r="P210" s="32">
        <v>59.96</v>
      </c>
      <c r="Q210" s="32">
        <v>0.08</v>
      </c>
      <c r="R210" s="32">
        <v>97.41</v>
      </c>
      <c r="S210" s="41"/>
      <c r="T210" s="41"/>
      <c r="U210" s="22">
        <f>IFERROR(__xludf.DUMMYFUNCTION("IFERROR(GOOGLEFINANCE(A210,""closeyest""),"""")"),106.0)</f>
        <v>106</v>
      </c>
      <c r="V210" s="23">
        <f>IFERROR(__xludf.DUMMYFUNCTION("IFERROR(GOOGLEFINANCE(A210,""changepct""),"""")"),3.77)</f>
        <v>3.77</v>
      </c>
      <c r="W210" s="22">
        <f>IFERROR(__xludf.DUMMYFUNCTION("IFERROR(GOOGLEFINANCE(A210,""priceopen""),"""")"),106.0)</f>
        <v>106</v>
      </c>
      <c r="X210" s="22">
        <f>IFERROR(__xludf.DUMMYFUNCTION("IFERROR(GOOGLEFINANCE(A210,""high""),"""")"),112.0)</f>
        <v>112</v>
      </c>
      <c r="Y210" s="22">
        <f>IFERROR(__xludf.DUMMYFUNCTION("IFERROR(GOOGLEFINANCE(A210,""low""),"""")"),102.0)</f>
        <v>102</v>
      </c>
      <c r="Z210" s="22">
        <f>IFERROR(__xludf.DUMMYFUNCTION("IFERROR(GOOGLEFINANCE(A210,""volume""),"""")"),1952000.0)</f>
        <v>1952000</v>
      </c>
      <c r="AA210" s="24" t="str">
        <f>VLOOKUP(A210,Metrik!$C$2:$Y$959,5,0)</f>
        <v>Banks</v>
      </c>
      <c r="AB210" s="24" t="str">
        <f>VLOOKUP(A210,Metrik!$C$2:$Y$959,3,0)</f>
        <v>Financials</v>
      </c>
    </row>
    <row r="211">
      <c r="A211" s="14" t="s">
        <v>150</v>
      </c>
      <c r="B211" s="14" t="str">
        <f t="array" ref="B211">VLOOKUP(A211,{Metrik!$C$2:$C$998,Metrik!$B$2:$B$998},2,0)</f>
        <v>Bersama Mencapai Puncak Tbk.</v>
      </c>
      <c r="C211" s="15">
        <f>IFERROR(__xludf.DUMMYFUNCTION("GOOGLEFINANCE(""IDX:""&amp;A211,""price"")"),680.0)</f>
        <v>680</v>
      </c>
      <c r="D211" s="16" t="str">
        <f>IFERROR(__xludf.DUMMYFUNCTION("IF(A211="""","""",
SPARKLINE(
INDEX(
GOOGLEFINANCE(""IDX:""&amp;A211,""close"",TODAY()-365,TODAY()),
,2
),
{""linewidth"",1}
))
"),"#N/A")</f>
        <v>#N/A</v>
      </c>
      <c r="E211" s="26"/>
      <c r="F211" s="26"/>
      <c r="G211" s="24">
        <f t="shared" si="1"/>
        <v>0</v>
      </c>
      <c r="H211" s="19">
        <f>VLOOKUP(A211,Metrik!$C$2:$Y$959,8,0)</f>
        <v>110</v>
      </c>
      <c r="I211" s="20">
        <f>VLOOKUP(A211,Metrik!$C$2:$Y$959,9,0)</f>
        <v>4.4</v>
      </c>
      <c r="J211" s="20">
        <f>VLOOKUP(A211,Metrik!$C$2:$Y$959,10,0)</f>
        <v>3.9</v>
      </c>
      <c r="K211" s="20">
        <f>VLOOKUP(A211,Metrik!$C$2:$Y$959,11,0)</f>
        <v>3.5</v>
      </c>
      <c r="L211" s="20">
        <f>VLOOKUP(A211,Metrik!$C$2:$Y$959,12,0)</f>
        <v>0.09</v>
      </c>
      <c r="M211" s="20">
        <f>VLOOKUP(A211,Metrik!$C$2:$Y$959,19,0)</f>
        <v>9.4</v>
      </c>
      <c r="N211" s="21"/>
      <c r="O211" s="21"/>
      <c r="P211" s="21"/>
      <c r="Q211" s="21"/>
      <c r="R211" s="21"/>
      <c r="S211" s="21"/>
      <c r="T211" s="21"/>
      <c r="U211" s="22">
        <f>IFERROR(__xludf.DUMMYFUNCTION("IFERROR(GOOGLEFINANCE(A211,""closeyest""),"""")"),575.0)</f>
        <v>575</v>
      </c>
      <c r="V211" s="23">
        <f>IFERROR(__xludf.DUMMYFUNCTION("IFERROR(GOOGLEFINANCE(A211,""changepct""),"""")"),18.26)</f>
        <v>18.26</v>
      </c>
      <c r="W211" s="22">
        <f>IFERROR(__xludf.DUMMYFUNCTION("IFERROR(GOOGLEFINANCE(A211,""priceopen""),"""")"),575.0)</f>
        <v>575</v>
      </c>
      <c r="X211" s="22">
        <f>IFERROR(__xludf.DUMMYFUNCTION("IFERROR(GOOGLEFINANCE(A211,""high""),"""")"),690.0)</f>
        <v>690</v>
      </c>
      <c r="Y211" s="22">
        <f>IFERROR(__xludf.DUMMYFUNCTION("IFERROR(GOOGLEFINANCE(A211,""low""),"""")"),565.0)</f>
        <v>565</v>
      </c>
      <c r="Z211" s="22">
        <f>IFERROR(__xludf.DUMMYFUNCTION("IFERROR(GOOGLEFINANCE(A211,""volume""),"""")"),2.53645E7)</f>
        <v>25364500</v>
      </c>
      <c r="AA211" s="24" t="str">
        <f>VLOOKUP(A211,Metrik!$C$2:$Y$959,5,0)</f>
        <v>Tourism &amp; Recreation</v>
      </c>
      <c r="AB211" s="24" t="str">
        <f>VLOOKUP(A211,Metrik!$C$2:$Y$959,3,0)</f>
        <v>Consumer Cyclicals</v>
      </c>
    </row>
    <row r="212">
      <c r="A212" s="14" t="s">
        <v>151</v>
      </c>
      <c r="B212" s="14" t="str">
        <f t="array" ref="B212">VLOOKUP(A212,{Metrik!$C$2:$C$998,Metrik!$B$2:$B$998},2,0)</f>
        <v>Saranacentral Bajatama Tbk.</v>
      </c>
      <c r="C212" s="15">
        <f>IFERROR(__xludf.DUMMYFUNCTION("GOOGLEFINANCE(""IDX:""&amp;A212,""price"")"),126.0)</f>
        <v>126</v>
      </c>
      <c r="D212" s="16" t="str">
        <f>IFERROR(__xludf.DUMMYFUNCTION("IF(A212="""","""",
SPARKLINE(
INDEX(
GOOGLEFINANCE(""IDX:""&amp;A212,""close"",TODAY()-365,TODAY()),
,2
),
{""linewidth"",1}
))
"),"#N/A")</f>
        <v>#N/A</v>
      </c>
      <c r="E212" s="26"/>
      <c r="F212" s="26"/>
      <c r="G212" s="24">
        <f t="shared" si="1"/>
        <v>0</v>
      </c>
      <c r="H212" s="19">
        <f>VLOOKUP(A212,Metrik!$C$2:$Y$959,8,0)</f>
        <v>-7.3</v>
      </c>
      <c r="I212" s="20">
        <f>VLOOKUP(A212,Metrik!$C$2:$Y$959,9,0)</f>
        <v>12.4</v>
      </c>
      <c r="J212" s="20">
        <f>VLOOKUP(A212,Metrik!$C$2:$Y$959,10,0)</f>
        <v>-170</v>
      </c>
      <c r="K212" s="20">
        <f>VLOOKUP(A212,Metrik!$C$2:$Y$959,11,0)</f>
        <v>-5.3</v>
      </c>
      <c r="L212" s="20">
        <f>VLOOKUP(A212,Metrik!$C$2:$Y$959,12,0)</f>
        <v>31.2</v>
      </c>
      <c r="M212" s="20">
        <f>VLOOKUP(A212,Metrik!$C$2:$Y$959,19,0)</f>
        <v>-4.4</v>
      </c>
      <c r="N212" s="21"/>
      <c r="O212" s="21"/>
      <c r="P212" s="21"/>
      <c r="Q212" s="21"/>
      <c r="R212" s="21"/>
      <c r="S212" s="21"/>
      <c r="T212" s="21"/>
      <c r="U212" s="22">
        <f>IFERROR(__xludf.DUMMYFUNCTION("IFERROR(GOOGLEFINANCE(A212,""closeyest""),"""")"),126.0)</f>
        <v>126</v>
      </c>
      <c r="V212" s="23">
        <f>IFERROR(__xludf.DUMMYFUNCTION("IFERROR(GOOGLEFINANCE(A212,""changepct""),"""")"),0.0)</f>
        <v>0</v>
      </c>
      <c r="W212" s="22">
        <f>IFERROR(__xludf.DUMMYFUNCTION("IFERROR(GOOGLEFINANCE(A212,""priceopen""),"""")"),126.0)</f>
        <v>126</v>
      </c>
      <c r="X212" s="22">
        <f>IFERROR(__xludf.DUMMYFUNCTION("IFERROR(GOOGLEFINANCE(A212,""high""),"""")"),126.0)</f>
        <v>126</v>
      </c>
      <c r="Y212" s="22">
        <f>IFERROR(__xludf.DUMMYFUNCTION("IFERROR(GOOGLEFINANCE(A212,""low""),"""")"),123.0)</f>
        <v>123</v>
      </c>
      <c r="Z212" s="22">
        <f>IFERROR(__xludf.DUMMYFUNCTION("IFERROR(GOOGLEFINANCE(A212,""volume""),"""")"),476200.0)</f>
        <v>476200</v>
      </c>
      <c r="AA212" s="24" t="str">
        <f>VLOOKUP(A212,Metrik!$C$2:$Y$959,5,0)</f>
        <v>Metals &amp; Minerals</v>
      </c>
      <c r="AB212" s="24" t="str">
        <f>VLOOKUP(A212,Metrik!$C$2:$Y$959,3,0)</f>
        <v>Basic Materials</v>
      </c>
    </row>
    <row r="213">
      <c r="A213" s="14" t="s">
        <v>152</v>
      </c>
      <c r="B213" s="14" t="str">
        <f t="array" ref="B213">VLOOKUP(A213,{Metrik!$C$2:$C$998,Metrik!$B$2:$B$998},2,0)</f>
        <v>PT Bali Towerindo Sentra Tbk.</v>
      </c>
      <c r="C213" s="15">
        <f>IFERROR(__xludf.DUMMYFUNCTION("GOOGLEFINANCE(""IDX:""&amp;A213,""price"")"),1210.0)</f>
        <v>1210</v>
      </c>
      <c r="D213" s="16" t="str">
        <f>IFERROR(__xludf.DUMMYFUNCTION("IF(A213="""","""",
SPARKLINE(
INDEX(
GOOGLEFINANCE(""IDX:""&amp;A213,""close"",TODAY()-365,TODAY()),
,2
),
{""linewidth"",1}
))
"),"#N/A")</f>
        <v>#N/A</v>
      </c>
      <c r="E213" s="26"/>
      <c r="F213" s="26"/>
      <c r="G213" s="24">
        <f t="shared" si="1"/>
        <v>0</v>
      </c>
      <c r="H213" s="19">
        <f>VLOOKUP(A213,Metrik!$C$2:$Y$959,8,0)</f>
        <v>26</v>
      </c>
      <c r="I213" s="20">
        <f>VLOOKUP(A213,Metrik!$C$2:$Y$959,9,0)</f>
        <v>1.9</v>
      </c>
      <c r="J213" s="20">
        <f>VLOOKUP(A213,Metrik!$C$2:$Y$959,10,0)</f>
        <v>7.4</v>
      </c>
      <c r="K213" s="20">
        <f>VLOOKUP(A213,Metrik!$C$2:$Y$959,11,0)</f>
        <v>3</v>
      </c>
      <c r="L213" s="20">
        <f>VLOOKUP(A213,Metrik!$C$2:$Y$959,12,0)</f>
        <v>1.5</v>
      </c>
      <c r="M213" s="20">
        <f>VLOOKUP(A213,Metrik!$C$2:$Y$959,19,0)</f>
        <v>60.1</v>
      </c>
      <c r="N213" s="21"/>
      <c r="O213" s="21"/>
      <c r="P213" s="21"/>
      <c r="Q213" s="21"/>
      <c r="R213" s="21"/>
      <c r="S213" s="21"/>
      <c r="T213" s="21"/>
      <c r="U213" s="22">
        <f>IFERROR(__xludf.DUMMYFUNCTION("IFERROR(GOOGLEFINANCE(A213,""closeyest""),"""")"),33.45)</f>
        <v>33.45</v>
      </c>
      <c r="V213" s="23">
        <f>IFERROR(__xludf.DUMMYFUNCTION("IFERROR(GOOGLEFINANCE(A213,""changepct""),"""")"),0.51)</f>
        <v>0.51</v>
      </c>
      <c r="W213" s="22">
        <f>IFERROR(__xludf.DUMMYFUNCTION("IFERROR(GOOGLEFINANCE(A213,""priceopen""),"""")"),33.55)</f>
        <v>33.55</v>
      </c>
      <c r="X213" s="22">
        <f>IFERROR(__xludf.DUMMYFUNCTION("IFERROR(GOOGLEFINANCE(A213,""high""),"""")"),33.67)</f>
        <v>33.67</v>
      </c>
      <c r="Y213" s="22">
        <f>IFERROR(__xludf.DUMMYFUNCTION("IFERROR(GOOGLEFINANCE(A213,""low""),"""")"),33.43)</f>
        <v>33.43</v>
      </c>
      <c r="Z213" s="22">
        <f>IFERROR(__xludf.DUMMYFUNCTION("IFERROR(GOOGLEFINANCE(A213,""volume""),"""")"),12045.0)</f>
        <v>12045</v>
      </c>
      <c r="AA213" s="24" t="str">
        <f>VLOOKUP(A213,Metrik!$C$2:$Y$959,5,0)</f>
        <v>Wireless Telecommunication Services</v>
      </c>
      <c r="AB213" s="24" t="str">
        <f>VLOOKUP(A213,Metrik!$C$2:$Y$959,3,0)</f>
        <v>Infrastructures</v>
      </c>
    </row>
    <row r="214">
      <c r="A214" s="14" t="s">
        <v>153</v>
      </c>
      <c r="B214" s="14" t="str">
        <f t="array" ref="B214">VLOOKUP(A214,{Metrik!$C$2:$C$998,Metrik!$B$2:$B$998},2,0)</f>
        <v>Bank Aladin Syariah Tbk.</v>
      </c>
      <c r="C214" s="15">
        <f>IFERROR(__xludf.DUMMYFUNCTION("GOOGLEFINANCE(""IDX:""&amp;A214,""price"")"),282.0)</f>
        <v>282</v>
      </c>
      <c r="D214" s="16" t="str">
        <f>IFERROR(__xludf.DUMMYFUNCTION("IF(A214="""","""",
SPARKLINE(
INDEX(
GOOGLEFINANCE(""IDX:""&amp;A214,""close"",TODAY()-365,TODAY()),
,2
),
{""linewidth"",1}
))
"),"#N/A")</f>
        <v>#N/A</v>
      </c>
      <c r="E214" s="14" t="s">
        <v>75</v>
      </c>
      <c r="F214" s="14" t="s">
        <v>76</v>
      </c>
      <c r="G214" s="24">
        <f t="shared" si="1"/>
        <v>1</v>
      </c>
      <c r="H214" s="19">
        <f>VLOOKUP(A214,Metrik!$C$2:$Y$959,8,0)</f>
        <v>25.3</v>
      </c>
      <c r="I214" s="20">
        <f>VLOOKUP(A214,Metrik!$C$2:$Y$959,9,0)</f>
        <v>1.1</v>
      </c>
      <c r="J214" s="20">
        <f>VLOOKUP(A214,Metrik!$C$2:$Y$959,10,0)</f>
        <v>4.2</v>
      </c>
      <c r="K214" s="20">
        <f>VLOOKUP(A214,Metrik!$C$2:$Y$959,11,0)</f>
        <v>0.93</v>
      </c>
      <c r="L214" s="20">
        <f>VLOOKUP(A214,Metrik!$C$2:$Y$959,12,0)</f>
        <v>0.39</v>
      </c>
      <c r="M214" s="20">
        <f>VLOOKUP(A214,Metrik!$C$2:$Y$959,19,0)</f>
        <v>340</v>
      </c>
      <c r="N214" s="43">
        <v>13.8</v>
      </c>
      <c r="O214" s="43">
        <v>153.0</v>
      </c>
      <c r="P214" s="43">
        <v>101.3</v>
      </c>
      <c r="Q214" s="43">
        <v>1.4</v>
      </c>
      <c r="R214" s="43">
        <v>117.1</v>
      </c>
      <c r="S214" s="43">
        <v>109.2</v>
      </c>
      <c r="T214" s="43">
        <v>1.9</v>
      </c>
      <c r="U214" s="22">
        <f>IFERROR(__xludf.DUMMYFUNCTION("IFERROR(GOOGLEFINANCE(A214,""closeyest""),"""")"),1514.55)</f>
        <v>1514.55</v>
      </c>
      <c r="V214" s="23">
        <f>IFERROR(__xludf.DUMMYFUNCTION("IFERROR(GOOGLEFINANCE(A214,""changepct""),"""")"),4.27)</f>
        <v>4.27</v>
      </c>
      <c r="W214" s="22">
        <f>IFERROR(__xludf.DUMMYFUNCTION("IFERROR(GOOGLEFINANCE(A214,""priceopen""),"""")"),1514.64)</f>
        <v>1514.64</v>
      </c>
      <c r="X214" s="22">
        <f>IFERROR(__xludf.DUMMYFUNCTION("IFERROR(GOOGLEFINANCE(A214,""high""),"""")"),1581.61)</f>
        <v>1581.61</v>
      </c>
      <c r="Y214" s="22">
        <f>IFERROR(__xludf.DUMMYFUNCTION("IFERROR(GOOGLEFINANCE(A214,""low""),"""")"),1514.64)</f>
        <v>1514.64</v>
      </c>
      <c r="Z214" s="22">
        <f>IFERROR(__xludf.DUMMYFUNCTION("IFERROR(GOOGLEFINANCE(A214,""volume""),"""")"),0.0)</f>
        <v>0</v>
      </c>
      <c r="AA214" s="24" t="str">
        <f>VLOOKUP(A214,Metrik!$C$2:$Y$959,5,0)</f>
        <v>Forestry &amp; Paper</v>
      </c>
      <c r="AB214" s="24" t="str">
        <f>VLOOKUP(A214,Metrik!$C$2:$Y$959,3,0)</f>
        <v>Basic Materials</v>
      </c>
    </row>
    <row r="215">
      <c r="A215" s="14" t="s">
        <v>154</v>
      </c>
      <c r="B215" s="14" t="str">
        <f t="array" ref="B215">VLOOKUP(A215,{Metrik!$C$2:$C$998,Metrik!$B$2:$B$998},2,0)</f>
        <v>Bekasi Asri Pemula Tbk.</v>
      </c>
      <c r="C215" s="15">
        <f>IFERROR(__xludf.DUMMYFUNCTION("GOOGLEFINANCE(""IDX:""&amp;A215,""price"")"),238.0)</f>
        <v>238</v>
      </c>
      <c r="D215" s="16" t="str">
        <f>IFERROR(__xludf.DUMMYFUNCTION("IF(A215="""","""",
SPARKLINE(
INDEX(
GOOGLEFINANCE(""IDX:""&amp;A215,""close"",TODAY()-365,TODAY()),
,2
),
{""linewidth"",1}
))
"),"#N/A")</f>
        <v>#N/A</v>
      </c>
      <c r="E215" s="26"/>
      <c r="F215" s="26"/>
      <c r="G215" s="24">
        <f t="shared" si="1"/>
        <v>0</v>
      </c>
      <c r="H215" s="19">
        <f>VLOOKUP(A215,Metrik!$C$2:$Y$959,8,0)</f>
        <v>-28</v>
      </c>
      <c r="I215" s="20">
        <f>VLOOKUP(A215,Metrik!$C$2:$Y$959,9,0)</f>
        <v>1.4</v>
      </c>
      <c r="J215" s="20">
        <f>VLOOKUP(A215,Metrik!$C$2:$Y$959,10,0)</f>
        <v>-5</v>
      </c>
      <c r="K215" s="20">
        <f>VLOOKUP(A215,Metrik!$C$2:$Y$959,11,0)</f>
        <v>-4.4</v>
      </c>
      <c r="L215" s="20">
        <f>VLOOKUP(A215,Metrik!$C$2:$Y$959,12,0)</f>
        <v>0.14</v>
      </c>
      <c r="M215" s="20">
        <f>VLOOKUP(A215,Metrik!$C$2:$Y$959,19,0)</f>
        <v>-5900</v>
      </c>
      <c r="N215" s="21"/>
      <c r="O215" s="21"/>
      <c r="P215" s="21"/>
      <c r="Q215" s="21"/>
      <c r="R215" s="21"/>
      <c r="S215" s="21"/>
      <c r="T215" s="21"/>
      <c r="U215" s="22">
        <f>IFERROR(__xludf.DUMMYFUNCTION("IFERROR(GOOGLEFINANCE(A215,""closeyest""),"""")"),0.02)</f>
        <v>0.02</v>
      </c>
      <c r="V215" s="23">
        <f>IFERROR(__xludf.DUMMYFUNCTION("IFERROR(GOOGLEFINANCE(A215,""changepct""),"""")"),0.0)</f>
        <v>0</v>
      </c>
      <c r="W215" s="22">
        <f>IFERROR(__xludf.DUMMYFUNCTION("IFERROR(GOOGLEFINANCE(A215,""priceopen""),"""")"),0.02)</f>
        <v>0.02</v>
      </c>
      <c r="X215" s="22">
        <f>IFERROR(__xludf.DUMMYFUNCTION("IFERROR(GOOGLEFINANCE(A215,""high""),"""")"),0.02)</f>
        <v>0.02</v>
      </c>
      <c r="Y215" s="22">
        <f>IFERROR(__xludf.DUMMYFUNCTION("IFERROR(GOOGLEFINANCE(A215,""low""),"""")"),0.02)</f>
        <v>0.02</v>
      </c>
      <c r="Z215" s="22">
        <f>IFERROR(__xludf.DUMMYFUNCTION("IFERROR(GOOGLEFINANCE(A215,""volume""),"""")"),0.0)</f>
        <v>0</v>
      </c>
      <c r="AA215" s="24" t="str">
        <f>VLOOKUP(A215,Metrik!$C$2:$Y$959,5,0)</f>
        <v>Real Estate Management &amp; Development</v>
      </c>
      <c r="AB215" s="24" t="str">
        <f>VLOOKUP(A215,Metrik!$C$2:$Y$959,3,0)</f>
        <v>Properties &amp; Real Estate</v>
      </c>
    </row>
    <row r="216">
      <c r="A216" s="14" t="s">
        <v>155</v>
      </c>
      <c r="B216" s="14" t="str">
        <f t="array" ref="B216">VLOOKUP(A216,{Metrik!$C$2:$C$998,Metrik!$B$2:$B$998},2,0)</f>
        <v>Bhakti Agung Propertindo Tbk.</v>
      </c>
      <c r="C216" s="15">
        <f>IFERROR(__xludf.DUMMYFUNCTION("GOOGLEFINANCE(""IDX:""&amp;A216,""price"")"),18.0)</f>
        <v>18</v>
      </c>
      <c r="D216" s="16" t="str">
        <f>IFERROR(__xludf.DUMMYFUNCTION("IF(A216="""","""",
SPARKLINE(
INDEX(
GOOGLEFINANCE(""IDX:""&amp;A216,""close"",TODAY()-365,TODAY()),
,2
),
{""linewidth"",1}
))
"),"#N/A")</f>
        <v>#N/A</v>
      </c>
      <c r="E216" s="26"/>
      <c r="F216" s="26"/>
      <c r="G216" s="24">
        <f t="shared" si="1"/>
        <v>0</v>
      </c>
      <c r="H216" s="19">
        <f>VLOOKUP(A216,Metrik!$C$2:$Y$959,8,0)</f>
        <v>-0.7</v>
      </c>
      <c r="I216" s="20">
        <f>VLOOKUP(A216,Metrik!$C$2:$Y$959,9,0)</f>
        <v>0.32</v>
      </c>
      <c r="J216" s="20">
        <f>VLOOKUP(A216,Metrik!$C$2:$Y$959,10,0)</f>
        <v>-46.4</v>
      </c>
      <c r="K216" s="20">
        <f>VLOOKUP(A216,Metrik!$C$2:$Y$959,11,0)</f>
        <v>-27</v>
      </c>
      <c r="L216" s="20">
        <f>VLOOKUP(A216,Metrik!$C$2:$Y$959,12,0)</f>
        <v>0.72</v>
      </c>
      <c r="M216" s="20">
        <f>VLOOKUP(A216,Metrik!$C$2:$Y$959,19,0)</f>
        <v>-47000</v>
      </c>
      <c r="N216" s="21"/>
      <c r="O216" s="21"/>
      <c r="P216" s="21"/>
      <c r="Q216" s="21"/>
      <c r="R216" s="21"/>
      <c r="S216" s="21"/>
      <c r="T216" s="21"/>
      <c r="U216" s="22">
        <f>IFERROR(__xludf.DUMMYFUNCTION("IFERROR(GOOGLEFINANCE(A216,""closeyest""),"""")"),17.0)</f>
        <v>17</v>
      </c>
      <c r="V216" s="23">
        <f>IFERROR(__xludf.DUMMYFUNCTION("IFERROR(GOOGLEFINANCE(A216,""changepct""),"""")"),5.88)</f>
        <v>5.88</v>
      </c>
      <c r="W216" s="22">
        <f>IFERROR(__xludf.DUMMYFUNCTION("IFERROR(GOOGLEFINANCE(A216,""priceopen""),"""")"),18.0)</f>
        <v>18</v>
      </c>
      <c r="X216" s="22">
        <f>IFERROR(__xludf.DUMMYFUNCTION("IFERROR(GOOGLEFINANCE(A216,""high""),"""")"),18.0)</f>
        <v>18</v>
      </c>
      <c r="Y216" s="22">
        <f>IFERROR(__xludf.DUMMYFUNCTION("IFERROR(GOOGLEFINANCE(A216,""low""),"""")"),18.0)</f>
        <v>18</v>
      </c>
      <c r="Z216" s="22">
        <f>IFERROR(__xludf.DUMMYFUNCTION("IFERROR(GOOGLEFINANCE(A216,""volume""),"""")"),2.01649E7)</f>
        <v>20164900</v>
      </c>
      <c r="AA216" s="24" t="str">
        <f>VLOOKUP(A216,Metrik!$C$2:$Y$959,5,0)</f>
        <v>Real Estate Management &amp; Development</v>
      </c>
      <c r="AB216" s="24" t="str">
        <f>VLOOKUP(A216,Metrik!$C$2:$Y$959,3,0)</f>
        <v>Properties &amp; Real Estate</v>
      </c>
    </row>
    <row r="217">
      <c r="A217" s="14" t="s">
        <v>156</v>
      </c>
      <c r="B217" s="14" t="str">
        <f t="array" ref="B217">VLOOKUP(A217,{Metrik!$C$2:$C$998,Metrik!$B$2:$B$998},2,0)</f>
        <v>Sepatu Bata Tbk.</v>
      </c>
      <c r="C217" s="15">
        <f>IFERROR(__xludf.DUMMYFUNCTION("GOOGLEFINANCE(""IDX:""&amp;A217,""price"")"),64.0)</f>
        <v>64</v>
      </c>
      <c r="D217" s="16" t="str">
        <f>IFERROR(__xludf.DUMMYFUNCTION("IF(A217="""","""",
SPARKLINE(
INDEX(
GOOGLEFINANCE(""IDX:""&amp;A217,""close"",TODAY()-365,TODAY()),
,2
),
{""linewidth"",1}
))
"),"#N/A")</f>
        <v>#N/A</v>
      </c>
      <c r="E217" s="26"/>
      <c r="F217" s="26"/>
      <c r="G217" s="24">
        <f t="shared" si="1"/>
        <v>0</v>
      </c>
      <c r="H217" s="19">
        <f>VLOOKUP(A217,Metrik!$C$2:$Y$959,8,0)</f>
        <v>-1.1</v>
      </c>
      <c r="I217" s="20">
        <f>VLOOKUP(A217,Metrik!$C$2:$Y$959,9,0)</f>
        <v>-1.1</v>
      </c>
      <c r="J217" s="20">
        <f>VLOOKUP(A217,Metrik!$C$2:$Y$959,10,0)</f>
        <v>0</v>
      </c>
      <c r="K217" s="20">
        <f>VLOOKUP(A217,Metrik!$C$2:$Y$959,11,0)</f>
        <v>-21.6</v>
      </c>
      <c r="L217" s="20">
        <f>VLOOKUP(A217,Metrik!$C$2:$Y$959,12,0)</f>
        <v>-5.3</v>
      </c>
      <c r="M217" s="20">
        <f>VLOOKUP(A217,Metrik!$C$2:$Y$959,19,0)</f>
        <v>-29.7</v>
      </c>
      <c r="N217" s="21"/>
      <c r="O217" s="21"/>
      <c r="P217" s="21"/>
      <c r="Q217" s="21"/>
      <c r="R217" s="21"/>
      <c r="S217" s="21"/>
      <c r="T217" s="21"/>
      <c r="U217" s="22">
        <f>IFERROR(__xludf.DUMMYFUNCTION("IFERROR(GOOGLEFINANCE(A217,""closeyest""),"""")"),60.0)</f>
        <v>60</v>
      </c>
      <c r="V217" s="23">
        <f>IFERROR(__xludf.DUMMYFUNCTION("IFERROR(GOOGLEFINANCE(A217,""changepct""),"""")"),6.67)</f>
        <v>6.67</v>
      </c>
      <c r="W217" s="22">
        <f>IFERROR(__xludf.DUMMYFUNCTION("IFERROR(GOOGLEFINANCE(A217,""priceopen""),"""")"),65.0)</f>
        <v>65</v>
      </c>
      <c r="X217" s="22">
        <f>IFERROR(__xludf.DUMMYFUNCTION("IFERROR(GOOGLEFINANCE(A217,""high""),"""")"),65.0)</f>
        <v>65</v>
      </c>
      <c r="Y217" s="22">
        <f>IFERROR(__xludf.DUMMYFUNCTION("IFERROR(GOOGLEFINANCE(A217,""low""),"""")"),61.0)</f>
        <v>61</v>
      </c>
      <c r="Z217" s="22">
        <f>IFERROR(__xludf.DUMMYFUNCTION("IFERROR(GOOGLEFINANCE(A217,""volume""),"""")"),18400.0)</f>
        <v>18400</v>
      </c>
      <c r="AA217" s="24" t="str">
        <f>VLOOKUP(A217,Metrik!$C$2:$Y$959,5,0)</f>
        <v>Apparel &amp; Luxury Goods</v>
      </c>
      <c r="AB217" s="24" t="str">
        <f>VLOOKUP(A217,Metrik!$C$2:$Y$959,3,0)</f>
        <v>Consumer Cyclicals</v>
      </c>
    </row>
    <row r="218">
      <c r="A218" s="14" t="s">
        <v>157</v>
      </c>
      <c r="B218" s="14" t="str">
        <f t="array" ref="B218">VLOOKUP(A218,{Metrik!$C$2:$C$998,Metrik!$B$2:$B$998},2,0)</f>
        <v>Benteng Api Technic Tbk.</v>
      </c>
      <c r="C218" s="15">
        <f>IFERROR(__xludf.DUMMYFUNCTION("GOOGLEFINANCE(""IDX:""&amp;A218,""price"")"),84.0)</f>
        <v>84</v>
      </c>
      <c r="D218" s="16" t="str">
        <f>IFERROR(__xludf.DUMMYFUNCTION("IF(A218="""","""",
SPARKLINE(
INDEX(
GOOGLEFINANCE(""IDX:""&amp;A218,""close"",TODAY()-365,TODAY()),
,2
),
{""linewidth"",1}
))
"),"#N/A")</f>
        <v>#N/A</v>
      </c>
      <c r="E218" s="26"/>
      <c r="F218" s="26"/>
      <c r="G218" s="24">
        <f t="shared" si="1"/>
        <v>0</v>
      </c>
      <c r="H218" s="19">
        <f>VLOOKUP(A218,Metrik!$C$2:$Y$959,8,0)</f>
        <v>18.9</v>
      </c>
      <c r="I218" s="20">
        <f>VLOOKUP(A218,Metrik!$C$2:$Y$959,9,0)</f>
        <v>1.6</v>
      </c>
      <c r="J218" s="20">
        <f>VLOOKUP(A218,Metrik!$C$2:$Y$959,10,0)</f>
        <v>8.5</v>
      </c>
      <c r="K218" s="20">
        <f>VLOOKUP(A218,Metrik!$C$2:$Y$959,11,0)</f>
        <v>5.9</v>
      </c>
      <c r="L218" s="20">
        <f>VLOOKUP(A218,Metrik!$C$2:$Y$959,12,0)</f>
        <v>0.45</v>
      </c>
      <c r="M218" s="20">
        <f>VLOOKUP(A218,Metrik!$C$2:$Y$959,19,0)</f>
        <v>46.5</v>
      </c>
      <c r="N218" s="21"/>
      <c r="O218" s="21"/>
      <c r="P218" s="21"/>
      <c r="Q218" s="21"/>
      <c r="R218" s="21"/>
      <c r="S218" s="21"/>
      <c r="T218" s="21"/>
      <c r="U218" s="22">
        <f>IFERROR(__xludf.DUMMYFUNCTION("IFERROR(GOOGLEFINANCE(A218,""closeyest""),"""")"),82.0)</f>
        <v>82</v>
      </c>
      <c r="V218" s="23">
        <f>IFERROR(__xludf.DUMMYFUNCTION("IFERROR(GOOGLEFINANCE(A218,""changepct""),"""")"),2.44)</f>
        <v>2.44</v>
      </c>
      <c r="W218" s="22">
        <f>IFERROR(__xludf.DUMMYFUNCTION("IFERROR(GOOGLEFINANCE(A218,""priceopen""),"""")"),83.0)</f>
        <v>83</v>
      </c>
      <c r="X218" s="22">
        <f>IFERROR(__xludf.DUMMYFUNCTION("IFERROR(GOOGLEFINANCE(A218,""high""),"""")"),86.0)</f>
        <v>86</v>
      </c>
      <c r="Y218" s="22">
        <f>IFERROR(__xludf.DUMMYFUNCTION("IFERROR(GOOGLEFINANCE(A218,""low""),"""")"),80.0)</f>
        <v>80</v>
      </c>
      <c r="Z218" s="22">
        <f>IFERROR(__xludf.DUMMYFUNCTION("IFERROR(GOOGLEFINANCE(A218,""volume""),"""")"),2164200.0)</f>
        <v>2164200</v>
      </c>
      <c r="AA218" s="24" t="str">
        <f>VLOOKUP(A218,Metrik!$C$2:$Y$959,5,0)</f>
        <v>Construction Materials</v>
      </c>
      <c r="AB218" s="24" t="str">
        <f>VLOOKUP(A218,Metrik!$C$2:$Y$959,3,0)</f>
        <v>Basic Materials</v>
      </c>
    </row>
    <row r="219">
      <c r="A219" s="14" t="s">
        <v>158</v>
      </c>
      <c r="B219" s="14" t="str">
        <f t="array" ref="B219">VLOOKUP(A219,{Metrik!$C$2:$C$998,Metrik!$B$2:$B$998},2,0)</f>
        <v>Mitra Angkasa Sejahtera Tbk.</v>
      </c>
      <c r="C219" s="15">
        <f>IFERROR(__xludf.DUMMYFUNCTION("GOOGLEFINANCE(""IDX:""&amp;A219,""price"")"),26.0)</f>
        <v>26</v>
      </c>
      <c r="D219" s="16" t="str">
        <f>IFERROR(__xludf.DUMMYFUNCTION("IF(A219="""","""",
SPARKLINE(
INDEX(
GOOGLEFINANCE(""IDX:""&amp;A219,""close"",TODAY()-365,TODAY()),
,2
),
{""linewidth"",1}
))
"),"#N/A")</f>
        <v>#N/A</v>
      </c>
      <c r="E219" s="26"/>
      <c r="F219" s="26"/>
      <c r="G219" s="24">
        <f t="shared" si="1"/>
        <v>0</v>
      </c>
      <c r="H219" s="19">
        <f>VLOOKUP(A219,Metrik!$C$2:$Y$959,8,0)</f>
        <v>-16.8</v>
      </c>
      <c r="I219" s="20">
        <f>VLOOKUP(A219,Metrik!$C$2:$Y$959,9,0)</f>
        <v>0.83</v>
      </c>
      <c r="J219" s="20">
        <f>VLOOKUP(A219,Metrik!$C$2:$Y$959,10,0)</f>
        <v>-4.9</v>
      </c>
      <c r="K219" s="20">
        <f>VLOOKUP(A219,Metrik!$C$2:$Y$959,11,0)</f>
        <v>-3.8</v>
      </c>
      <c r="L219" s="20">
        <f>VLOOKUP(A219,Metrik!$C$2:$Y$959,12,0)</f>
        <v>0.31</v>
      </c>
      <c r="M219" s="20">
        <f>VLOOKUP(A219,Metrik!$C$2:$Y$959,19,0)</f>
        <v>-28.7</v>
      </c>
      <c r="N219" s="21"/>
      <c r="O219" s="21"/>
      <c r="P219" s="21"/>
      <c r="Q219" s="21"/>
      <c r="R219" s="21"/>
      <c r="S219" s="21"/>
      <c r="T219" s="21"/>
      <c r="U219" s="22">
        <f>IFERROR(__xludf.DUMMYFUNCTION("IFERROR(GOOGLEFINANCE(A219,""closeyest""),"""")"),24.0)</f>
        <v>24</v>
      </c>
      <c r="V219" s="23">
        <f>IFERROR(__xludf.DUMMYFUNCTION("IFERROR(GOOGLEFINANCE(A219,""changepct""),"""")"),8.33)</f>
        <v>8.33</v>
      </c>
      <c r="W219" s="22">
        <f>IFERROR(__xludf.DUMMYFUNCTION("IFERROR(GOOGLEFINANCE(A219,""priceopen""),"""")"),26.0)</f>
        <v>26</v>
      </c>
      <c r="X219" s="22">
        <f>IFERROR(__xludf.DUMMYFUNCTION("IFERROR(GOOGLEFINANCE(A219,""high""),"""")"),26.0)</f>
        <v>26</v>
      </c>
      <c r="Y219" s="22">
        <f>IFERROR(__xludf.DUMMYFUNCTION("IFERROR(GOOGLEFINANCE(A219,""low""),"""")"),25.0)</f>
        <v>25</v>
      </c>
      <c r="Z219" s="22">
        <f>IFERROR(__xludf.DUMMYFUNCTION("IFERROR(GOOGLEFINANCE(A219,""volume""),"""")"),2246100.0)</f>
        <v>2246100</v>
      </c>
      <c r="AA219" s="24" t="str">
        <f>VLOOKUP(A219,Metrik!$C$2:$Y$959,5,0)</f>
        <v>Specialty Retail</v>
      </c>
      <c r="AB219" s="24" t="str">
        <f>VLOOKUP(A219,Metrik!$C$2:$Y$959,3,0)</f>
        <v>Consumer Cyclicals</v>
      </c>
    </row>
    <row r="220">
      <c r="A220" s="14" t="s">
        <v>159</v>
      </c>
      <c r="B220" s="14" t="str">
        <f t="array" ref="B220">VLOOKUP(A220,{Metrik!$C$2:$C$998,Metrik!$B$2:$B$998},2,0)</f>
        <v>Bayu Buana Tbk</v>
      </c>
      <c r="C220" s="15">
        <f>IFERROR(__xludf.DUMMYFUNCTION("GOOGLEFINANCE(""IDX:""&amp;A220,""price"")"),1115.0)</f>
        <v>1115</v>
      </c>
      <c r="D220" s="16" t="str">
        <f>IFERROR(__xludf.DUMMYFUNCTION("IF(A220="""","""",
SPARKLINE(
INDEX(
GOOGLEFINANCE(""IDX:""&amp;A220,""close"",TODAY()-365,TODAY()),
,2
),
{""linewidth"",1}
))
"),"#N/A")</f>
        <v>#N/A</v>
      </c>
      <c r="E220" s="26"/>
      <c r="F220" s="26"/>
      <c r="G220" s="24">
        <f t="shared" si="1"/>
        <v>0</v>
      </c>
      <c r="H220" s="19">
        <f>VLOOKUP(A220,Metrik!$C$2:$Y$959,8,0)</f>
        <v>4.1</v>
      </c>
      <c r="I220" s="20">
        <f>VLOOKUP(A220,Metrik!$C$2:$Y$959,9,0)</f>
        <v>0.7</v>
      </c>
      <c r="J220" s="20">
        <f>VLOOKUP(A220,Metrik!$C$2:$Y$959,10,0)</f>
        <v>17.1</v>
      </c>
      <c r="K220" s="20">
        <f>VLOOKUP(A220,Metrik!$C$2:$Y$959,11,0)</f>
        <v>10.1</v>
      </c>
      <c r="L220" s="20">
        <f>VLOOKUP(A220,Metrik!$C$2:$Y$959,12,0)</f>
        <v>0.7</v>
      </c>
      <c r="M220" s="20">
        <f>VLOOKUP(A220,Metrik!$C$2:$Y$959,19,0)</f>
        <v>17.6</v>
      </c>
      <c r="N220" s="21"/>
      <c r="O220" s="21"/>
      <c r="P220" s="21"/>
      <c r="Q220" s="21"/>
      <c r="R220" s="21"/>
      <c r="S220" s="21"/>
      <c r="T220" s="21"/>
      <c r="U220" s="22">
        <f>IFERROR(__xludf.DUMMYFUNCTION("IFERROR(GOOGLEFINANCE(A220,""closeyest""),"""")"),1100.0)</f>
        <v>1100</v>
      </c>
      <c r="V220" s="23">
        <f>IFERROR(__xludf.DUMMYFUNCTION("IFERROR(GOOGLEFINANCE(A220,""changepct""),"""")"),1.36)</f>
        <v>1.36</v>
      </c>
      <c r="W220" s="22">
        <f>IFERROR(__xludf.DUMMYFUNCTION("IFERROR(GOOGLEFINANCE(A220,""priceopen""),"""")"),1100.0)</f>
        <v>1100</v>
      </c>
      <c r="X220" s="22">
        <f>IFERROR(__xludf.DUMMYFUNCTION("IFERROR(GOOGLEFINANCE(A220,""high""),"""")"),1130.0)</f>
        <v>1130</v>
      </c>
      <c r="Y220" s="22">
        <f>IFERROR(__xludf.DUMMYFUNCTION("IFERROR(GOOGLEFINANCE(A220,""low""),"""")"),1100.0)</f>
        <v>1100</v>
      </c>
      <c r="Z220" s="22">
        <f>IFERROR(__xludf.DUMMYFUNCTION("IFERROR(GOOGLEFINANCE(A220,""volume""),"""")"),58200.0)</f>
        <v>58200</v>
      </c>
      <c r="AA220" s="24" t="str">
        <f>VLOOKUP(A220,Metrik!$C$2:$Y$959,5,0)</f>
        <v>Tourism &amp; Recreation</v>
      </c>
      <c r="AB220" s="24" t="str">
        <f>VLOOKUP(A220,Metrik!$C$2:$Y$959,3,0)</f>
        <v>Consumer Cyclicals</v>
      </c>
    </row>
    <row r="221">
      <c r="A221" s="14" t="s">
        <v>160</v>
      </c>
      <c r="B221" s="14" t="str">
        <f t="array" ref="B221">VLOOKUP(A221,{Metrik!$C$2:$C$998,Metrik!$B$2:$B$998},2,0)</f>
        <v>Bank Central Asia Tbk.</v>
      </c>
      <c r="C221" s="15" t="str">
        <f>IFERROR(__xludf.DUMMYFUNCTION("GOOGLEFINANCE(""IDX:""&amp;A221,""price"")"),"#N/A")</f>
        <v>#N/A</v>
      </c>
      <c r="D221" s="16" t="str">
        <f>IFERROR(__xludf.DUMMYFUNCTION("IF(A221="""","""",
SPARKLINE(
INDEX(
GOOGLEFINANCE(""IDX:""&amp;A221,""close"",TODAY()-365,TODAY()),
,2
),
{""linewidth"",1}
))
"),"#N/A")</f>
        <v>#N/A</v>
      </c>
      <c r="E221" s="14" t="s">
        <v>47</v>
      </c>
      <c r="F221" s="25">
        <v>46356.0</v>
      </c>
      <c r="G221" s="24">
        <f t="shared" si="1"/>
        <v>21</v>
      </c>
      <c r="H221" s="19">
        <f>VLOOKUP(A221,Metrik!$C$2:$Y$959,8,0)</f>
        <v>12.1</v>
      </c>
      <c r="I221" s="20">
        <f>VLOOKUP(A221,Metrik!$C$2:$Y$959,9,0)</f>
        <v>2.7</v>
      </c>
      <c r="J221" s="20">
        <f>VLOOKUP(A221,Metrik!$C$2:$Y$959,10,0)</f>
        <v>22.4</v>
      </c>
      <c r="K221" s="20">
        <f>VLOOKUP(A221,Metrik!$C$2:$Y$959,11,0)</f>
        <v>3.5</v>
      </c>
      <c r="L221" s="20">
        <f>VLOOKUP(A221,Metrik!$C$2:$Y$959,12,0)</f>
        <v>5.3</v>
      </c>
      <c r="M221" s="20">
        <f>VLOOKUP(A221,Metrik!$C$2:$Y$959,19,0)</f>
        <v>220</v>
      </c>
      <c r="N221" s="44">
        <v>5.33</v>
      </c>
      <c r="O221" s="44">
        <v>27.52</v>
      </c>
      <c r="P221" s="44">
        <v>74.1</v>
      </c>
      <c r="Q221" s="44">
        <v>1.85</v>
      </c>
      <c r="R221" s="44">
        <v>39.87</v>
      </c>
      <c r="S221" s="44">
        <v>27.32</v>
      </c>
      <c r="T221" s="44">
        <v>2.09</v>
      </c>
      <c r="U221" s="22">
        <f>IFERROR(__xludf.DUMMYFUNCTION("IFERROR(GOOGLEFINANCE(A221,""closeyest""),"""")"),100.74)</f>
        <v>100.74</v>
      </c>
      <c r="V221" s="23">
        <f>IFERROR(__xludf.DUMMYFUNCTION("IFERROR(GOOGLEFINANCE(A221,""changepct""),"""")"),0.51)</f>
        <v>0.51</v>
      </c>
      <c r="W221" s="22">
        <f>IFERROR(__xludf.DUMMYFUNCTION("IFERROR(GOOGLEFINANCE(A221,""priceopen""),"""")"),100.94)</f>
        <v>100.94</v>
      </c>
      <c r="X221" s="22">
        <f>IFERROR(__xludf.DUMMYFUNCTION("IFERROR(GOOGLEFINANCE(A221,""high""),"""")"),101.77)</f>
        <v>101.77</v>
      </c>
      <c r="Y221" s="22">
        <f>IFERROR(__xludf.DUMMYFUNCTION("IFERROR(GOOGLEFINANCE(A221,""low""),"""")"),100.74)</f>
        <v>100.74</v>
      </c>
      <c r="Z221" s="22">
        <f>IFERROR(__xludf.DUMMYFUNCTION("IFERROR(GOOGLEFINANCE(A221,""volume""),"""")"),51924.0)</f>
        <v>51924</v>
      </c>
      <c r="AA221" s="24" t="str">
        <f>VLOOKUP(A221,Metrik!$C$2:$Y$959,5,0)</f>
        <v>Banks</v>
      </c>
      <c r="AB221" s="24" t="str">
        <f>VLOOKUP(A221,Metrik!$C$2:$Y$959,3,0)</f>
        <v>Financials</v>
      </c>
    </row>
    <row r="222">
      <c r="A222" s="14" t="s">
        <v>160</v>
      </c>
      <c r="B222" s="14" t="str">
        <f t="array" ref="B222">VLOOKUP(A222,{Metrik!$C$2:$C$998,Metrik!$B$2:$B$998},2,0)</f>
        <v>Bank Central Asia Tbk.</v>
      </c>
      <c r="C222" s="15" t="str">
        <f>IFERROR(__xludf.DUMMYFUNCTION("GOOGLEFINANCE(""IDX:""&amp;A222,""price"")"),"#N/A")</f>
        <v>#N/A</v>
      </c>
      <c r="D222" s="16" t="str">
        <f>IFERROR(__xludf.DUMMYFUNCTION("IF(A222="""","""",
SPARKLINE(
INDEX(
GOOGLEFINANCE(""IDX:""&amp;A222,""close"",TODAY()-365,TODAY()),
,2
),
{""linewidth"",1}
))
"),"#N/A")</f>
        <v>#N/A</v>
      </c>
      <c r="E222" s="14" t="s">
        <v>128</v>
      </c>
      <c r="F222" s="17" t="s">
        <v>36</v>
      </c>
      <c r="G222" s="24">
        <f t="shared" si="1"/>
        <v>21</v>
      </c>
      <c r="H222" s="19">
        <f>VLOOKUP(A222,Metrik!$C$2:$Y$959,8,0)</f>
        <v>12.1</v>
      </c>
      <c r="I222" s="20">
        <f>VLOOKUP(A222,Metrik!$C$2:$Y$959,9,0)</f>
        <v>2.7</v>
      </c>
      <c r="J222" s="20">
        <f>VLOOKUP(A222,Metrik!$C$2:$Y$959,10,0)</f>
        <v>22.4</v>
      </c>
      <c r="K222" s="20">
        <f>VLOOKUP(A222,Metrik!$C$2:$Y$959,11,0)</f>
        <v>3.5</v>
      </c>
      <c r="L222" s="20">
        <f>VLOOKUP(A222,Metrik!$C$2:$Y$959,12,0)</f>
        <v>5.3</v>
      </c>
      <c r="M222" s="20">
        <f>VLOOKUP(A222,Metrik!$C$2:$Y$959,19,0)</f>
        <v>220</v>
      </c>
      <c r="N222" s="44">
        <v>5.33</v>
      </c>
      <c r="O222" s="44">
        <v>27.52</v>
      </c>
      <c r="P222" s="44">
        <v>74.1</v>
      </c>
      <c r="Q222" s="44">
        <v>1.85</v>
      </c>
      <c r="R222" s="44">
        <v>39.87</v>
      </c>
      <c r="S222" s="44">
        <v>27.32</v>
      </c>
      <c r="T222" s="44">
        <v>2.09</v>
      </c>
      <c r="U222" s="22">
        <f>IFERROR(__xludf.DUMMYFUNCTION("IFERROR(GOOGLEFINANCE(A222,""closeyest""),"""")"),100.74)</f>
        <v>100.74</v>
      </c>
      <c r="V222" s="23">
        <f>IFERROR(__xludf.DUMMYFUNCTION("IFERROR(GOOGLEFINANCE(A222,""changepct""),"""")"),0.51)</f>
        <v>0.51</v>
      </c>
      <c r="W222" s="22">
        <f>IFERROR(__xludf.DUMMYFUNCTION("IFERROR(GOOGLEFINANCE(A222,""priceopen""),"""")"),100.94)</f>
        <v>100.94</v>
      </c>
      <c r="X222" s="22">
        <f>IFERROR(__xludf.DUMMYFUNCTION("IFERROR(GOOGLEFINANCE(A222,""high""),"""")"),101.77)</f>
        <v>101.77</v>
      </c>
      <c r="Y222" s="22">
        <f>IFERROR(__xludf.DUMMYFUNCTION("IFERROR(GOOGLEFINANCE(A222,""low""),"""")"),100.74)</f>
        <v>100.74</v>
      </c>
      <c r="Z222" s="22">
        <f>IFERROR(__xludf.DUMMYFUNCTION("IFERROR(GOOGLEFINANCE(A222,""volume""),"""")"),51924.0)</f>
        <v>51924</v>
      </c>
      <c r="AA222" s="24" t="str">
        <f>VLOOKUP(A222,Metrik!$C$2:$Y$959,5,0)</f>
        <v>Banks</v>
      </c>
      <c r="AB222" s="24" t="str">
        <f>VLOOKUP(A222,Metrik!$C$2:$Y$959,3,0)</f>
        <v>Financials</v>
      </c>
    </row>
    <row r="223">
      <c r="A223" s="14" t="s">
        <v>160</v>
      </c>
      <c r="B223" s="14" t="str">
        <f t="array" ref="B223">VLOOKUP(A223,{Metrik!$C$2:$C$998,Metrik!$B$2:$B$998},2,0)</f>
        <v>Bank Central Asia Tbk.</v>
      </c>
      <c r="C223" s="15" t="str">
        <f>IFERROR(__xludf.DUMMYFUNCTION("GOOGLEFINANCE(""IDX:""&amp;A223,""price"")"),"#N/A")</f>
        <v>#N/A</v>
      </c>
      <c r="D223" s="16" t="str">
        <f>IFERROR(__xludf.DUMMYFUNCTION("IF(A223="""","""",
SPARKLINE(
INDEX(
GOOGLEFINANCE(""IDX:""&amp;A223,""close"",TODAY()-365,TODAY()),
,2
),
{""linewidth"",1}
))
"),"#N/A")</f>
        <v>#N/A</v>
      </c>
      <c r="E223" s="14" t="s">
        <v>54</v>
      </c>
      <c r="F223" s="14" t="s">
        <v>34</v>
      </c>
      <c r="G223" s="24">
        <f t="shared" si="1"/>
        <v>21</v>
      </c>
      <c r="H223" s="19">
        <f>VLOOKUP(A223,Metrik!$C$2:$Y$959,8,0)</f>
        <v>12.1</v>
      </c>
      <c r="I223" s="20">
        <f>VLOOKUP(A223,Metrik!$C$2:$Y$959,9,0)</f>
        <v>2.7</v>
      </c>
      <c r="J223" s="20">
        <f>VLOOKUP(A223,Metrik!$C$2:$Y$959,10,0)</f>
        <v>22.4</v>
      </c>
      <c r="K223" s="20">
        <f>VLOOKUP(A223,Metrik!$C$2:$Y$959,11,0)</f>
        <v>3.5</v>
      </c>
      <c r="L223" s="20">
        <f>VLOOKUP(A223,Metrik!$C$2:$Y$959,12,0)</f>
        <v>5.3</v>
      </c>
      <c r="M223" s="20">
        <f>VLOOKUP(A223,Metrik!$C$2:$Y$959,19,0)</f>
        <v>220</v>
      </c>
      <c r="N223" s="44">
        <v>5.33</v>
      </c>
      <c r="O223" s="44">
        <v>27.52</v>
      </c>
      <c r="P223" s="44">
        <v>74.1</v>
      </c>
      <c r="Q223" s="44">
        <v>1.85</v>
      </c>
      <c r="R223" s="44">
        <v>39.87</v>
      </c>
      <c r="S223" s="44">
        <v>27.32</v>
      </c>
      <c r="T223" s="44">
        <v>2.09</v>
      </c>
      <c r="U223" s="22">
        <f>IFERROR(__xludf.DUMMYFUNCTION("IFERROR(GOOGLEFINANCE(A223,""closeyest""),"""")"),100.74)</f>
        <v>100.74</v>
      </c>
      <c r="V223" s="23">
        <f>IFERROR(__xludf.DUMMYFUNCTION("IFERROR(GOOGLEFINANCE(A223,""changepct""),"""")"),0.51)</f>
        <v>0.51</v>
      </c>
      <c r="W223" s="22">
        <f>IFERROR(__xludf.DUMMYFUNCTION("IFERROR(GOOGLEFINANCE(A223,""priceopen""),"""")"),100.94)</f>
        <v>100.94</v>
      </c>
      <c r="X223" s="22">
        <f>IFERROR(__xludf.DUMMYFUNCTION("IFERROR(GOOGLEFINANCE(A223,""high""),"""")"),101.77)</f>
        <v>101.77</v>
      </c>
      <c r="Y223" s="22">
        <f>IFERROR(__xludf.DUMMYFUNCTION("IFERROR(GOOGLEFINANCE(A223,""low""),"""")"),100.74)</f>
        <v>100.74</v>
      </c>
      <c r="Z223" s="22">
        <f>IFERROR(__xludf.DUMMYFUNCTION("IFERROR(GOOGLEFINANCE(A223,""volume""),"""")"),51924.0)</f>
        <v>51924</v>
      </c>
      <c r="AA223" s="24" t="str">
        <f>VLOOKUP(A223,Metrik!$C$2:$Y$959,5,0)</f>
        <v>Banks</v>
      </c>
      <c r="AB223" s="24" t="str">
        <f>VLOOKUP(A223,Metrik!$C$2:$Y$959,3,0)</f>
        <v>Financials</v>
      </c>
    </row>
    <row r="224">
      <c r="A224" s="14" t="s">
        <v>160</v>
      </c>
      <c r="B224" s="14" t="str">
        <f t="array" ref="B224">VLOOKUP(A224,{Metrik!$C$2:$C$998,Metrik!$B$2:$B$998},2,0)</f>
        <v>Bank Central Asia Tbk.</v>
      </c>
      <c r="C224" s="15" t="str">
        <f>IFERROR(__xludf.DUMMYFUNCTION("GOOGLEFINANCE(""IDX:""&amp;A224,""price"")"),"#N/A")</f>
        <v>#N/A</v>
      </c>
      <c r="D224" s="16" t="str">
        <f>IFERROR(__xludf.DUMMYFUNCTION("IF(A224="""","""",
SPARKLINE(
INDEX(
GOOGLEFINANCE(""IDX:""&amp;A224,""close"",TODAY()-365,TODAY()),
,2
),
{""linewidth"",1}
))
"),"#N/A")</f>
        <v>#N/A</v>
      </c>
      <c r="E224" s="14" t="s">
        <v>68</v>
      </c>
      <c r="F224" s="14" t="s">
        <v>34</v>
      </c>
      <c r="G224" s="24">
        <f t="shared" si="1"/>
        <v>21</v>
      </c>
      <c r="H224" s="19">
        <f>VLOOKUP(A224,Metrik!$C$2:$Y$959,8,0)</f>
        <v>12.1</v>
      </c>
      <c r="I224" s="20">
        <f>VLOOKUP(A224,Metrik!$C$2:$Y$959,9,0)</f>
        <v>2.7</v>
      </c>
      <c r="J224" s="20">
        <f>VLOOKUP(A224,Metrik!$C$2:$Y$959,10,0)</f>
        <v>22.4</v>
      </c>
      <c r="K224" s="20">
        <f>VLOOKUP(A224,Metrik!$C$2:$Y$959,11,0)</f>
        <v>3.5</v>
      </c>
      <c r="L224" s="20">
        <f>VLOOKUP(A224,Metrik!$C$2:$Y$959,12,0)</f>
        <v>5.3</v>
      </c>
      <c r="M224" s="20">
        <f>VLOOKUP(A224,Metrik!$C$2:$Y$959,19,0)</f>
        <v>220</v>
      </c>
      <c r="N224" s="44">
        <v>5.33</v>
      </c>
      <c r="O224" s="44">
        <v>27.52</v>
      </c>
      <c r="P224" s="44">
        <v>74.1</v>
      </c>
      <c r="Q224" s="44">
        <v>1.85</v>
      </c>
      <c r="R224" s="44">
        <v>39.87</v>
      </c>
      <c r="S224" s="44">
        <v>27.32</v>
      </c>
      <c r="T224" s="44">
        <v>2.09</v>
      </c>
      <c r="U224" s="22">
        <f>IFERROR(__xludf.DUMMYFUNCTION("IFERROR(GOOGLEFINANCE(A224,""closeyest""),"""")"),100.74)</f>
        <v>100.74</v>
      </c>
      <c r="V224" s="23">
        <f>IFERROR(__xludf.DUMMYFUNCTION("IFERROR(GOOGLEFINANCE(A224,""changepct""),"""")"),0.51)</f>
        <v>0.51</v>
      </c>
      <c r="W224" s="22">
        <f>IFERROR(__xludf.DUMMYFUNCTION("IFERROR(GOOGLEFINANCE(A224,""priceopen""),"""")"),100.94)</f>
        <v>100.94</v>
      </c>
      <c r="X224" s="22">
        <f>IFERROR(__xludf.DUMMYFUNCTION("IFERROR(GOOGLEFINANCE(A224,""high""),"""")"),101.77)</f>
        <v>101.77</v>
      </c>
      <c r="Y224" s="22">
        <f>IFERROR(__xludf.DUMMYFUNCTION("IFERROR(GOOGLEFINANCE(A224,""low""),"""")"),100.74)</f>
        <v>100.74</v>
      </c>
      <c r="Z224" s="22">
        <f>IFERROR(__xludf.DUMMYFUNCTION("IFERROR(GOOGLEFINANCE(A224,""volume""),"""")"),51924.0)</f>
        <v>51924</v>
      </c>
      <c r="AA224" s="24" t="str">
        <f>VLOOKUP(A224,Metrik!$C$2:$Y$959,5,0)</f>
        <v>Banks</v>
      </c>
      <c r="AB224" s="24" t="str">
        <f>VLOOKUP(A224,Metrik!$C$2:$Y$959,3,0)</f>
        <v>Financials</v>
      </c>
    </row>
    <row r="225">
      <c r="A225" s="14" t="s">
        <v>160</v>
      </c>
      <c r="B225" s="14" t="str">
        <f t="array" ref="B225">VLOOKUP(A225,{Metrik!$C$2:$C$998,Metrik!$B$2:$B$998},2,0)</f>
        <v>Bank Central Asia Tbk.</v>
      </c>
      <c r="C225" s="15" t="str">
        <f>IFERROR(__xludf.DUMMYFUNCTION("GOOGLEFINANCE(""IDX:""&amp;A225,""price"")"),"#N/A")</f>
        <v>#N/A</v>
      </c>
      <c r="D225" s="16" t="str">
        <f>IFERROR(__xludf.DUMMYFUNCTION("IF(A225="""","""",
SPARKLINE(
INDEX(
GOOGLEFINANCE(""IDX:""&amp;A225,""close"",TODAY()-365,TODAY()),
,2
),
{""linewidth"",1}
))
"),"#N/A")</f>
        <v>#N/A</v>
      </c>
      <c r="E225" s="14" t="s">
        <v>32</v>
      </c>
      <c r="F225" s="14" t="s">
        <v>29</v>
      </c>
      <c r="G225" s="24">
        <f t="shared" si="1"/>
        <v>21</v>
      </c>
      <c r="H225" s="19">
        <f>VLOOKUP(A225,Metrik!$C$2:$Y$959,8,0)</f>
        <v>12.1</v>
      </c>
      <c r="I225" s="20">
        <f>VLOOKUP(A225,Metrik!$C$2:$Y$959,9,0)</f>
        <v>2.7</v>
      </c>
      <c r="J225" s="20">
        <f>VLOOKUP(A225,Metrik!$C$2:$Y$959,10,0)</f>
        <v>22.4</v>
      </c>
      <c r="K225" s="20">
        <f>VLOOKUP(A225,Metrik!$C$2:$Y$959,11,0)</f>
        <v>3.5</v>
      </c>
      <c r="L225" s="20">
        <f>VLOOKUP(A225,Metrik!$C$2:$Y$959,12,0)</f>
        <v>5.3</v>
      </c>
      <c r="M225" s="20">
        <f>VLOOKUP(A225,Metrik!$C$2:$Y$959,19,0)</f>
        <v>220</v>
      </c>
      <c r="N225" s="44">
        <v>5.33</v>
      </c>
      <c r="O225" s="44">
        <v>27.52</v>
      </c>
      <c r="P225" s="44">
        <v>74.1</v>
      </c>
      <c r="Q225" s="44">
        <v>1.85</v>
      </c>
      <c r="R225" s="44">
        <v>39.87</v>
      </c>
      <c r="S225" s="44">
        <v>27.32</v>
      </c>
      <c r="T225" s="44">
        <v>2.09</v>
      </c>
      <c r="U225" s="22">
        <f>IFERROR(__xludf.DUMMYFUNCTION("IFERROR(GOOGLEFINANCE(A225,""closeyest""),"""")"),100.74)</f>
        <v>100.74</v>
      </c>
      <c r="V225" s="23">
        <f>IFERROR(__xludf.DUMMYFUNCTION("IFERROR(GOOGLEFINANCE(A225,""changepct""),"""")"),0.51)</f>
        <v>0.51</v>
      </c>
      <c r="W225" s="22">
        <f>IFERROR(__xludf.DUMMYFUNCTION("IFERROR(GOOGLEFINANCE(A225,""priceopen""),"""")"),100.94)</f>
        <v>100.94</v>
      </c>
      <c r="X225" s="22">
        <f>IFERROR(__xludf.DUMMYFUNCTION("IFERROR(GOOGLEFINANCE(A225,""high""),"""")"),101.77)</f>
        <v>101.77</v>
      </c>
      <c r="Y225" s="22">
        <f>IFERROR(__xludf.DUMMYFUNCTION("IFERROR(GOOGLEFINANCE(A225,""low""),"""")"),100.74)</f>
        <v>100.74</v>
      </c>
      <c r="Z225" s="22">
        <f>IFERROR(__xludf.DUMMYFUNCTION("IFERROR(GOOGLEFINANCE(A225,""volume""),"""")"),51924.0)</f>
        <v>51924</v>
      </c>
      <c r="AA225" s="24" t="str">
        <f>VLOOKUP(A225,Metrik!$C$2:$Y$959,5,0)</f>
        <v>Banks</v>
      </c>
      <c r="AB225" s="24" t="str">
        <f>VLOOKUP(A225,Metrik!$C$2:$Y$959,3,0)</f>
        <v>Financials</v>
      </c>
    </row>
    <row r="226">
      <c r="A226" s="14" t="s">
        <v>160</v>
      </c>
      <c r="B226" s="14" t="str">
        <f t="array" ref="B226">VLOOKUP(A226,{Metrik!$C$2:$C$998,Metrik!$B$2:$B$998},2,0)</f>
        <v>Bank Central Asia Tbk.</v>
      </c>
      <c r="C226" s="15" t="str">
        <f>IFERROR(__xludf.DUMMYFUNCTION("GOOGLEFINANCE(""IDX:""&amp;A226,""price"")"),"#N/A")</f>
        <v>#N/A</v>
      </c>
      <c r="D226" s="16" t="str">
        <f>IFERROR(__xludf.DUMMYFUNCTION("IF(A226="""","""",
SPARKLINE(
INDEX(
GOOGLEFINANCE(""IDX:""&amp;A226,""close"",TODAY()-365,TODAY()),
,2
),
{""linewidth"",1}
))
"),"#N/A")</f>
        <v>#N/A</v>
      </c>
      <c r="E226" s="14" t="s">
        <v>67</v>
      </c>
      <c r="F226" s="17" t="s">
        <v>51</v>
      </c>
      <c r="G226" s="24">
        <f t="shared" si="1"/>
        <v>21</v>
      </c>
      <c r="H226" s="19">
        <f>VLOOKUP(A226,Metrik!$C$2:$Y$959,8,0)</f>
        <v>12.1</v>
      </c>
      <c r="I226" s="20">
        <f>VLOOKUP(A226,Metrik!$C$2:$Y$959,9,0)</f>
        <v>2.7</v>
      </c>
      <c r="J226" s="20">
        <f>VLOOKUP(A226,Metrik!$C$2:$Y$959,10,0)</f>
        <v>22.4</v>
      </c>
      <c r="K226" s="20">
        <f>VLOOKUP(A226,Metrik!$C$2:$Y$959,11,0)</f>
        <v>3.5</v>
      </c>
      <c r="L226" s="20">
        <f>VLOOKUP(A226,Metrik!$C$2:$Y$959,12,0)</f>
        <v>5.3</v>
      </c>
      <c r="M226" s="20">
        <f>VLOOKUP(A226,Metrik!$C$2:$Y$959,19,0)</f>
        <v>220</v>
      </c>
      <c r="N226" s="44">
        <v>5.33</v>
      </c>
      <c r="O226" s="44">
        <v>27.52</v>
      </c>
      <c r="P226" s="44">
        <v>74.1</v>
      </c>
      <c r="Q226" s="44">
        <v>1.85</v>
      </c>
      <c r="R226" s="44">
        <v>39.87</v>
      </c>
      <c r="S226" s="44">
        <v>27.32</v>
      </c>
      <c r="T226" s="44">
        <v>2.09</v>
      </c>
      <c r="U226" s="22">
        <f>IFERROR(__xludf.DUMMYFUNCTION("IFERROR(GOOGLEFINANCE(A226,""closeyest""),"""")"),100.74)</f>
        <v>100.74</v>
      </c>
      <c r="V226" s="23">
        <f>IFERROR(__xludf.DUMMYFUNCTION("IFERROR(GOOGLEFINANCE(A226,""changepct""),"""")"),0.51)</f>
        <v>0.51</v>
      </c>
      <c r="W226" s="22">
        <f>IFERROR(__xludf.DUMMYFUNCTION("IFERROR(GOOGLEFINANCE(A226,""priceopen""),"""")"),100.94)</f>
        <v>100.94</v>
      </c>
      <c r="X226" s="22">
        <f>IFERROR(__xludf.DUMMYFUNCTION("IFERROR(GOOGLEFINANCE(A226,""high""),"""")"),101.77)</f>
        <v>101.77</v>
      </c>
      <c r="Y226" s="22">
        <f>IFERROR(__xludf.DUMMYFUNCTION("IFERROR(GOOGLEFINANCE(A226,""low""),"""")"),100.74)</f>
        <v>100.74</v>
      </c>
      <c r="Z226" s="22">
        <f>IFERROR(__xludf.DUMMYFUNCTION("IFERROR(GOOGLEFINANCE(A226,""volume""),"""")"),51924.0)</f>
        <v>51924</v>
      </c>
      <c r="AA226" s="24" t="str">
        <f>VLOOKUP(A226,Metrik!$C$2:$Y$959,5,0)</f>
        <v>Banks</v>
      </c>
      <c r="AB226" s="24" t="str">
        <f>VLOOKUP(A226,Metrik!$C$2:$Y$959,3,0)</f>
        <v>Financials</v>
      </c>
    </row>
    <row r="227">
      <c r="A227" s="14" t="s">
        <v>160</v>
      </c>
      <c r="B227" s="14" t="str">
        <f t="array" ref="B227">VLOOKUP(A227,{Metrik!$C$2:$C$998,Metrik!$B$2:$B$998},2,0)</f>
        <v>Bank Central Asia Tbk.</v>
      </c>
      <c r="C227" s="15" t="str">
        <f>IFERROR(__xludf.DUMMYFUNCTION("GOOGLEFINANCE(""IDX:""&amp;A227,""price"")"),"#N/A")</f>
        <v>#N/A</v>
      </c>
      <c r="D227" s="16" t="str">
        <f>IFERROR(__xludf.DUMMYFUNCTION("IF(A227="""","""",
SPARKLINE(
INDEX(
GOOGLEFINANCE(""IDX:""&amp;A227,""close"",TODAY()-365,TODAY()),
,2
),
{""linewidth"",1}
))
"),"#N/A")</f>
        <v>#N/A</v>
      </c>
      <c r="E227" s="14" t="s">
        <v>52</v>
      </c>
      <c r="F227" s="27" t="s">
        <v>53</v>
      </c>
      <c r="G227" s="24">
        <f t="shared" si="1"/>
        <v>21</v>
      </c>
      <c r="H227" s="19">
        <f>VLOOKUP(A227,Metrik!$C$2:$Y$959,8,0)</f>
        <v>12.1</v>
      </c>
      <c r="I227" s="20">
        <f>VLOOKUP(A227,Metrik!$C$2:$Y$959,9,0)</f>
        <v>2.7</v>
      </c>
      <c r="J227" s="20">
        <f>VLOOKUP(A227,Metrik!$C$2:$Y$959,10,0)</f>
        <v>22.4</v>
      </c>
      <c r="K227" s="20">
        <f>VLOOKUP(A227,Metrik!$C$2:$Y$959,11,0)</f>
        <v>3.5</v>
      </c>
      <c r="L227" s="20">
        <f>VLOOKUP(A227,Metrik!$C$2:$Y$959,12,0)</f>
        <v>5.3</v>
      </c>
      <c r="M227" s="20">
        <f>VLOOKUP(A227,Metrik!$C$2:$Y$959,19,0)</f>
        <v>220</v>
      </c>
      <c r="N227" s="44">
        <v>5.33</v>
      </c>
      <c r="O227" s="44">
        <v>27.52</v>
      </c>
      <c r="P227" s="44">
        <v>74.1</v>
      </c>
      <c r="Q227" s="44">
        <v>1.85</v>
      </c>
      <c r="R227" s="44">
        <v>39.87</v>
      </c>
      <c r="S227" s="44">
        <v>27.32</v>
      </c>
      <c r="T227" s="44">
        <v>2.09</v>
      </c>
      <c r="U227" s="22">
        <f>IFERROR(__xludf.DUMMYFUNCTION("IFERROR(GOOGLEFINANCE(A227,""closeyest""),"""")"),100.74)</f>
        <v>100.74</v>
      </c>
      <c r="V227" s="23">
        <f>IFERROR(__xludf.DUMMYFUNCTION("IFERROR(GOOGLEFINANCE(A227,""changepct""),"""")"),0.51)</f>
        <v>0.51</v>
      </c>
      <c r="W227" s="22">
        <f>IFERROR(__xludf.DUMMYFUNCTION("IFERROR(GOOGLEFINANCE(A227,""priceopen""),"""")"),100.94)</f>
        <v>100.94</v>
      </c>
      <c r="X227" s="22">
        <f>IFERROR(__xludf.DUMMYFUNCTION("IFERROR(GOOGLEFINANCE(A227,""high""),"""")"),101.77)</f>
        <v>101.77</v>
      </c>
      <c r="Y227" s="22">
        <f>IFERROR(__xludf.DUMMYFUNCTION("IFERROR(GOOGLEFINANCE(A227,""low""),"""")"),100.74)</f>
        <v>100.74</v>
      </c>
      <c r="Z227" s="22">
        <f>IFERROR(__xludf.DUMMYFUNCTION("IFERROR(GOOGLEFINANCE(A227,""volume""),"""")"),51924.0)</f>
        <v>51924</v>
      </c>
      <c r="AA227" s="24" t="str">
        <f>VLOOKUP(A227,Metrik!$C$2:$Y$959,5,0)</f>
        <v>Banks</v>
      </c>
      <c r="AB227" s="24" t="str">
        <f>VLOOKUP(A227,Metrik!$C$2:$Y$959,3,0)</f>
        <v>Financials</v>
      </c>
    </row>
    <row r="228">
      <c r="A228" s="14" t="s">
        <v>160</v>
      </c>
      <c r="B228" s="14" t="str">
        <f t="array" ref="B228">VLOOKUP(A228,{Metrik!$C$2:$C$998,Metrik!$B$2:$B$998},2,0)</f>
        <v>Bank Central Asia Tbk.</v>
      </c>
      <c r="C228" s="15" t="str">
        <f>IFERROR(__xludf.DUMMYFUNCTION("GOOGLEFINANCE(""IDX:""&amp;A228,""price"")"),"#N/A")</f>
        <v>#N/A</v>
      </c>
      <c r="D228" s="16" t="str">
        <f>IFERROR(__xludf.DUMMYFUNCTION("IF(A228="""","""",
SPARKLINE(
INDEX(
GOOGLEFINANCE(""IDX:""&amp;A228,""close"",TODAY()-365,TODAY()),
,2
),
{""linewidth"",1}
))
"),"#N/A")</f>
        <v>#N/A</v>
      </c>
      <c r="E228" s="14" t="s">
        <v>50</v>
      </c>
      <c r="F228" s="17" t="s">
        <v>51</v>
      </c>
      <c r="G228" s="24">
        <f t="shared" si="1"/>
        <v>21</v>
      </c>
      <c r="H228" s="19">
        <f>VLOOKUP(A228,Metrik!$C$2:$Y$959,8,0)</f>
        <v>12.1</v>
      </c>
      <c r="I228" s="20">
        <f>VLOOKUP(A228,Metrik!$C$2:$Y$959,9,0)</f>
        <v>2.7</v>
      </c>
      <c r="J228" s="20">
        <f>VLOOKUP(A228,Metrik!$C$2:$Y$959,10,0)</f>
        <v>22.4</v>
      </c>
      <c r="K228" s="20">
        <f>VLOOKUP(A228,Metrik!$C$2:$Y$959,11,0)</f>
        <v>3.5</v>
      </c>
      <c r="L228" s="20">
        <f>VLOOKUP(A228,Metrik!$C$2:$Y$959,12,0)</f>
        <v>5.3</v>
      </c>
      <c r="M228" s="20">
        <f>VLOOKUP(A228,Metrik!$C$2:$Y$959,19,0)</f>
        <v>220</v>
      </c>
      <c r="N228" s="44">
        <v>5.33</v>
      </c>
      <c r="O228" s="44">
        <v>27.52</v>
      </c>
      <c r="P228" s="44">
        <v>74.1</v>
      </c>
      <c r="Q228" s="44">
        <v>1.85</v>
      </c>
      <c r="R228" s="44">
        <v>39.87</v>
      </c>
      <c r="S228" s="44">
        <v>27.32</v>
      </c>
      <c r="T228" s="44">
        <v>2.09</v>
      </c>
      <c r="U228" s="22">
        <f>IFERROR(__xludf.DUMMYFUNCTION("IFERROR(GOOGLEFINANCE(A228,""closeyest""),"""")"),100.74)</f>
        <v>100.74</v>
      </c>
      <c r="V228" s="23">
        <f>IFERROR(__xludf.DUMMYFUNCTION("IFERROR(GOOGLEFINANCE(A228,""changepct""),"""")"),0.51)</f>
        <v>0.51</v>
      </c>
      <c r="W228" s="22">
        <f>IFERROR(__xludf.DUMMYFUNCTION("IFERROR(GOOGLEFINANCE(A228,""priceopen""),"""")"),100.94)</f>
        <v>100.94</v>
      </c>
      <c r="X228" s="22">
        <f>IFERROR(__xludf.DUMMYFUNCTION("IFERROR(GOOGLEFINANCE(A228,""high""),"""")"),101.77)</f>
        <v>101.77</v>
      </c>
      <c r="Y228" s="22">
        <f>IFERROR(__xludf.DUMMYFUNCTION("IFERROR(GOOGLEFINANCE(A228,""low""),"""")"),100.74)</f>
        <v>100.74</v>
      </c>
      <c r="Z228" s="22">
        <f>IFERROR(__xludf.DUMMYFUNCTION("IFERROR(GOOGLEFINANCE(A228,""volume""),"""")"),51924.0)</f>
        <v>51924</v>
      </c>
      <c r="AA228" s="24" t="str">
        <f>VLOOKUP(A228,Metrik!$C$2:$Y$959,5,0)</f>
        <v>Banks</v>
      </c>
      <c r="AB228" s="24" t="str">
        <f>VLOOKUP(A228,Metrik!$C$2:$Y$959,3,0)</f>
        <v>Financials</v>
      </c>
    </row>
    <row r="229">
      <c r="A229" s="14" t="s">
        <v>160</v>
      </c>
      <c r="B229" s="14" t="str">
        <f t="array" ref="B229">VLOOKUP(A229,{Metrik!$C$2:$C$998,Metrik!$B$2:$B$998},2,0)</f>
        <v>Bank Central Asia Tbk.</v>
      </c>
      <c r="C229" s="15" t="str">
        <f>IFERROR(__xludf.DUMMYFUNCTION("GOOGLEFINANCE(""IDX:""&amp;A229,""price"")"),"#N/A")</f>
        <v>#N/A</v>
      </c>
      <c r="D229" s="16" t="str">
        <f>IFERROR(__xludf.DUMMYFUNCTION("IF(A229="""","""",
SPARKLINE(
INDEX(
GOOGLEFINANCE(""IDX:""&amp;A229,""close"",TODAY()-365,TODAY()),
,2
),
{""linewidth"",1}
))
"),"#N/A")</f>
        <v>#N/A</v>
      </c>
      <c r="E229" s="14" t="s">
        <v>48</v>
      </c>
      <c r="F229" s="14" t="s">
        <v>49</v>
      </c>
      <c r="G229" s="24">
        <f t="shared" si="1"/>
        <v>21</v>
      </c>
      <c r="H229" s="19">
        <f>VLOOKUP(A229,Metrik!$C$2:$Y$959,8,0)</f>
        <v>12.1</v>
      </c>
      <c r="I229" s="20">
        <f>VLOOKUP(A229,Metrik!$C$2:$Y$959,9,0)</f>
        <v>2.7</v>
      </c>
      <c r="J229" s="20">
        <f>VLOOKUP(A229,Metrik!$C$2:$Y$959,10,0)</f>
        <v>22.4</v>
      </c>
      <c r="K229" s="20">
        <f>VLOOKUP(A229,Metrik!$C$2:$Y$959,11,0)</f>
        <v>3.5</v>
      </c>
      <c r="L229" s="20">
        <f>VLOOKUP(A229,Metrik!$C$2:$Y$959,12,0)</f>
        <v>5.3</v>
      </c>
      <c r="M229" s="20">
        <f>VLOOKUP(A229,Metrik!$C$2:$Y$959,19,0)</f>
        <v>220</v>
      </c>
      <c r="N229" s="44">
        <v>5.33</v>
      </c>
      <c r="O229" s="44">
        <v>27.52</v>
      </c>
      <c r="P229" s="44">
        <v>74.1</v>
      </c>
      <c r="Q229" s="44">
        <v>1.85</v>
      </c>
      <c r="R229" s="44">
        <v>39.87</v>
      </c>
      <c r="S229" s="44">
        <v>27.32</v>
      </c>
      <c r="T229" s="44">
        <v>2.09</v>
      </c>
      <c r="U229" s="22">
        <f>IFERROR(__xludf.DUMMYFUNCTION("IFERROR(GOOGLEFINANCE(A229,""closeyest""),"""")"),100.74)</f>
        <v>100.74</v>
      </c>
      <c r="V229" s="23">
        <f>IFERROR(__xludf.DUMMYFUNCTION("IFERROR(GOOGLEFINANCE(A229,""changepct""),"""")"),0.51)</f>
        <v>0.51</v>
      </c>
      <c r="W229" s="22">
        <f>IFERROR(__xludf.DUMMYFUNCTION("IFERROR(GOOGLEFINANCE(A229,""priceopen""),"""")"),100.94)</f>
        <v>100.94</v>
      </c>
      <c r="X229" s="22">
        <f>IFERROR(__xludf.DUMMYFUNCTION("IFERROR(GOOGLEFINANCE(A229,""high""),"""")"),101.77)</f>
        <v>101.77</v>
      </c>
      <c r="Y229" s="22">
        <f>IFERROR(__xludf.DUMMYFUNCTION("IFERROR(GOOGLEFINANCE(A229,""low""),"""")"),100.74)</f>
        <v>100.74</v>
      </c>
      <c r="Z229" s="22">
        <f>IFERROR(__xludf.DUMMYFUNCTION("IFERROR(GOOGLEFINANCE(A229,""volume""),"""")"),51924.0)</f>
        <v>51924</v>
      </c>
      <c r="AA229" s="24" t="str">
        <f>VLOOKUP(A229,Metrik!$C$2:$Y$959,5,0)</f>
        <v>Banks</v>
      </c>
      <c r="AB229" s="24" t="str">
        <f>VLOOKUP(A229,Metrik!$C$2:$Y$959,3,0)</f>
        <v>Financials</v>
      </c>
    </row>
    <row r="230">
      <c r="A230" s="14" t="s">
        <v>160</v>
      </c>
      <c r="B230" s="14" t="str">
        <f t="array" ref="B230">VLOOKUP(A230,{Metrik!$C$2:$C$998,Metrik!$B$2:$B$998},2,0)</f>
        <v>Bank Central Asia Tbk.</v>
      </c>
      <c r="C230" s="15" t="str">
        <f>IFERROR(__xludf.DUMMYFUNCTION("GOOGLEFINANCE(""IDX:""&amp;A230,""price"")"),"#N/A")</f>
        <v>#N/A</v>
      </c>
      <c r="D230" s="16" t="str">
        <f>IFERROR(__xludf.DUMMYFUNCTION("IF(A230="""","""",
SPARKLINE(
INDEX(
GOOGLEFINANCE(""IDX:""&amp;A230,""close"",TODAY()-365,TODAY()),
,2
),
{""linewidth"",1}
))
"),"#N/A")</f>
        <v>#N/A</v>
      </c>
      <c r="E230" s="14" t="s">
        <v>84</v>
      </c>
      <c r="F230" s="17" t="s">
        <v>51</v>
      </c>
      <c r="G230" s="24">
        <f t="shared" si="1"/>
        <v>21</v>
      </c>
      <c r="H230" s="19">
        <f>VLOOKUP(A230,Metrik!$C$2:$Y$959,8,0)</f>
        <v>12.1</v>
      </c>
      <c r="I230" s="20">
        <f>VLOOKUP(A230,Metrik!$C$2:$Y$959,9,0)</f>
        <v>2.7</v>
      </c>
      <c r="J230" s="20">
        <f>VLOOKUP(A230,Metrik!$C$2:$Y$959,10,0)</f>
        <v>22.4</v>
      </c>
      <c r="K230" s="20">
        <f>VLOOKUP(A230,Metrik!$C$2:$Y$959,11,0)</f>
        <v>3.5</v>
      </c>
      <c r="L230" s="20">
        <f>VLOOKUP(A230,Metrik!$C$2:$Y$959,12,0)</f>
        <v>5.3</v>
      </c>
      <c r="M230" s="20">
        <f>VLOOKUP(A230,Metrik!$C$2:$Y$959,19,0)</f>
        <v>220</v>
      </c>
      <c r="N230" s="44">
        <v>5.33</v>
      </c>
      <c r="O230" s="44">
        <v>27.52</v>
      </c>
      <c r="P230" s="44">
        <v>74.1</v>
      </c>
      <c r="Q230" s="44">
        <v>1.85</v>
      </c>
      <c r="R230" s="44">
        <v>39.87</v>
      </c>
      <c r="S230" s="44">
        <v>27.32</v>
      </c>
      <c r="T230" s="44">
        <v>2.09</v>
      </c>
      <c r="U230" s="22">
        <f>IFERROR(__xludf.DUMMYFUNCTION("IFERROR(GOOGLEFINANCE(A230,""closeyest""),"""")"),100.74)</f>
        <v>100.74</v>
      </c>
      <c r="V230" s="23">
        <f>IFERROR(__xludf.DUMMYFUNCTION("IFERROR(GOOGLEFINANCE(A230,""changepct""),"""")"),0.51)</f>
        <v>0.51</v>
      </c>
      <c r="W230" s="22">
        <f>IFERROR(__xludf.DUMMYFUNCTION("IFERROR(GOOGLEFINANCE(A230,""priceopen""),"""")"),100.94)</f>
        <v>100.94</v>
      </c>
      <c r="X230" s="22">
        <f>IFERROR(__xludf.DUMMYFUNCTION("IFERROR(GOOGLEFINANCE(A230,""high""),"""")"),101.77)</f>
        <v>101.77</v>
      </c>
      <c r="Y230" s="22">
        <f>IFERROR(__xludf.DUMMYFUNCTION("IFERROR(GOOGLEFINANCE(A230,""low""),"""")"),100.74)</f>
        <v>100.74</v>
      </c>
      <c r="Z230" s="22">
        <f>IFERROR(__xludf.DUMMYFUNCTION("IFERROR(GOOGLEFINANCE(A230,""volume""),"""")"),51924.0)</f>
        <v>51924</v>
      </c>
      <c r="AA230" s="24" t="str">
        <f>VLOOKUP(A230,Metrik!$C$2:$Y$959,5,0)</f>
        <v>Banks</v>
      </c>
      <c r="AB230" s="24" t="str">
        <f>VLOOKUP(A230,Metrik!$C$2:$Y$959,3,0)</f>
        <v>Financials</v>
      </c>
    </row>
    <row r="231">
      <c r="A231" s="14" t="s">
        <v>160</v>
      </c>
      <c r="B231" s="14" t="str">
        <f t="array" ref="B231">VLOOKUP(A231,{Metrik!$C$2:$C$998,Metrik!$B$2:$B$998},2,0)</f>
        <v>Bank Central Asia Tbk.</v>
      </c>
      <c r="C231" s="15" t="str">
        <f>IFERROR(__xludf.DUMMYFUNCTION("GOOGLEFINANCE(""IDX:""&amp;A231,""price"")"),"#N/A")</f>
        <v>#N/A</v>
      </c>
      <c r="D231" s="16" t="str">
        <f>IFERROR(__xludf.DUMMYFUNCTION("IF(A231="""","""",
SPARKLINE(
INDEX(
GOOGLEFINANCE(""IDX:""&amp;A231,""close"",TODAY()-365,TODAY()),
,2
),
{""linewidth"",1}
))
"),"#N/A")</f>
        <v>#N/A</v>
      </c>
      <c r="E231" s="14" t="s">
        <v>75</v>
      </c>
      <c r="F231" s="14" t="s">
        <v>76</v>
      </c>
      <c r="G231" s="24">
        <f t="shared" si="1"/>
        <v>21</v>
      </c>
      <c r="H231" s="19">
        <f>VLOOKUP(A231,Metrik!$C$2:$Y$959,8,0)</f>
        <v>12.1</v>
      </c>
      <c r="I231" s="20">
        <f>VLOOKUP(A231,Metrik!$C$2:$Y$959,9,0)</f>
        <v>2.7</v>
      </c>
      <c r="J231" s="20">
        <f>VLOOKUP(A231,Metrik!$C$2:$Y$959,10,0)</f>
        <v>22.4</v>
      </c>
      <c r="K231" s="20">
        <f>VLOOKUP(A231,Metrik!$C$2:$Y$959,11,0)</f>
        <v>3.5</v>
      </c>
      <c r="L231" s="20">
        <f>VLOOKUP(A231,Metrik!$C$2:$Y$959,12,0)</f>
        <v>5.3</v>
      </c>
      <c r="M231" s="20">
        <f>VLOOKUP(A231,Metrik!$C$2:$Y$959,19,0)</f>
        <v>220</v>
      </c>
      <c r="N231" s="44">
        <v>5.33</v>
      </c>
      <c r="O231" s="44">
        <v>27.52</v>
      </c>
      <c r="P231" s="44">
        <v>74.1</v>
      </c>
      <c r="Q231" s="44">
        <v>1.85</v>
      </c>
      <c r="R231" s="44">
        <v>39.87</v>
      </c>
      <c r="S231" s="44">
        <v>27.32</v>
      </c>
      <c r="T231" s="44">
        <v>2.09</v>
      </c>
      <c r="U231" s="22">
        <f>IFERROR(__xludf.DUMMYFUNCTION("IFERROR(GOOGLEFINANCE(A231,""closeyest""),"""")"),100.74)</f>
        <v>100.74</v>
      </c>
      <c r="V231" s="23">
        <f>IFERROR(__xludf.DUMMYFUNCTION("IFERROR(GOOGLEFINANCE(A231,""changepct""),"""")"),0.51)</f>
        <v>0.51</v>
      </c>
      <c r="W231" s="22">
        <f>IFERROR(__xludf.DUMMYFUNCTION("IFERROR(GOOGLEFINANCE(A231,""priceopen""),"""")"),100.94)</f>
        <v>100.94</v>
      </c>
      <c r="X231" s="22">
        <f>IFERROR(__xludf.DUMMYFUNCTION("IFERROR(GOOGLEFINANCE(A231,""high""),"""")"),101.77)</f>
        <v>101.77</v>
      </c>
      <c r="Y231" s="22">
        <f>IFERROR(__xludf.DUMMYFUNCTION("IFERROR(GOOGLEFINANCE(A231,""low""),"""")"),100.74)</f>
        <v>100.74</v>
      </c>
      <c r="Z231" s="22">
        <f>IFERROR(__xludf.DUMMYFUNCTION("IFERROR(GOOGLEFINANCE(A231,""volume""),"""")"),51924.0)</f>
        <v>51924</v>
      </c>
      <c r="AA231" s="24" t="str">
        <f>VLOOKUP(A231,Metrik!$C$2:$Y$959,5,0)</f>
        <v>Banks</v>
      </c>
      <c r="AB231" s="24" t="str">
        <f>VLOOKUP(A231,Metrik!$C$2:$Y$959,3,0)</f>
        <v>Financials</v>
      </c>
    </row>
    <row r="232">
      <c r="A232" s="14" t="s">
        <v>160</v>
      </c>
      <c r="B232" s="14" t="str">
        <f t="array" ref="B232">VLOOKUP(A232,{Metrik!$C$2:$C$998,Metrik!$B$2:$B$998},2,0)</f>
        <v>Bank Central Asia Tbk.</v>
      </c>
      <c r="C232" s="15" t="str">
        <f>IFERROR(__xludf.DUMMYFUNCTION("GOOGLEFINANCE(""IDX:""&amp;A232,""price"")"),"#N/A")</f>
        <v>#N/A</v>
      </c>
      <c r="D232" s="16" t="str">
        <f>IFERROR(__xludf.DUMMYFUNCTION("IF(A232="""","""",
SPARKLINE(
INDEX(
GOOGLEFINANCE(""IDX:""&amp;A232,""close"",TODAY()-365,TODAY()),
,2
),
{""linewidth"",1}
))
"),"#N/A")</f>
        <v>#N/A</v>
      </c>
      <c r="E232" s="14" t="s">
        <v>30</v>
      </c>
      <c r="F232" s="17" t="s">
        <v>29</v>
      </c>
      <c r="G232" s="24">
        <f t="shared" si="1"/>
        <v>21</v>
      </c>
      <c r="H232" s="19">
        <f>VLOOKUP(A232,Metrik!$C$2:$Y$959,8,0)</f>
        <v>12.1</v>
      </c>
      <c r="I232" s="20">
        <f>VLOOKUP(A232,Metrik!$C$2:$Y$959,9,0)</f>
        <v>2.7</v>
      </c>
      <c r="J232" s="20">
        <f>VLOOKUP(A232,Metrik!$C$2:$Y$959,10,0)</f>
        <v>22.4</v>
      </c>
      <c r="K232" s="20">
        <f>VLOOKUP(A232,Metrik!$C$2:$Y$959,11,0)</f>
        <v>3.5</v>
      </c>
      <c r="L232" s="20">
        <f>VLOOKUP(A232,Metrik!$C$2:$Y$959,12,0)</f>
        <v>5.3</v>
      </c>
      <c r="M232" s="20">
        <f>VLOOKUP(A232,Metrik!$C$2:$Y$959,19,0)</f>
        <v>220</v>
      </c>
      <c r="N232" s="44">
        <v>5.33</v>
      </c>
      <c r="O232" s="44">
        <v>27.52</v>
      </c>
      <c r="P232" s="44">
        <v>74.1</v>
      </c>
      <c r="Q232" s="44">
        <v>1.85</v>
      </c>
      <c r="R232" s="44">
        <v>39.87</v>
      </c>
      <c r="S232" s="44">
        <v>27.32</v>
      </c>
      <c r="T232" s="44">
        <v>2.09</v>
      </c>
      <c r="U232" s="22">
        <f>IFERROR(__xludf.DUMMYFUNCTION("IFERROR(GOOGLEFINANCE(A232,""closeyest""),"""")"),100.74)</f>
        <v>100.74</v>
      </c>
      <c r="V232" s="23">
        <f>IFERROR(__xludf.DUMMYFUNCTION("IFERROR(GOOGLEFINANCE(A232,""changepct""),"""")"),0.51)</f>
        <v>0.51</v>
      </c>
      <c r="W232" s="22">
        <f>IFERROR(__xludf.DUMMYFUNCTION("IFERROR(GOOGLEFINANCE(A232,""priceopen""),"""")"),100.94)</f>
        <v>100.94</v>
      </c>
      <c r="X232" s="22">
        <f>IFERROR(__xludf.DUMMYFUNCTION("IFERROR(GOOGLEFINANCE(A232,""high""),"""")"),101.77)</f>
        <v>101.77</v>
      </c>
      <c r="Y232" s="22">
        <f>IFERROR(__xludf.DUMMYFUNCTION("IFERROR(GOOGLEFINANCE(A232,""low""),"""")"),100.74)</f>
        <v>100.74</v>
      </c>
      <c r="Z232" s="22">
        <f>IFERROR(__xludf.DUMMYFUNCTION("IFERROR(GOOGLEFINANCE(A232,""volume""),"""")"),51924.0)</f>
        <v>51924</v>
      </c>
      <c r="AA232" s="24" t="str">
        <f>VLOOKUP(A232,Metrik!$C$2:$Y$959,5,0)</f>
        <v>Banks</v>
      </c>
      <c r="AB232" s="24" t="str">
        <f>VLOOKUP(A232,Metrik!$C$2:$Y$959,3,0)</f>
        <v>Financials</v>
      </c>
    </row>
    <row r="233">
      <c r="A233" s="14" t="s">
        <v>160</v>
      </c>
      <c r="B233" s="14" t="str">
        <f t="array" ref="B233">VLOOKUP(A233,{Metrik!$C$2:$C$998,Metrik!$B$2:$B$998},2,0)</f>
        <v>Bank Central Asia Tbk.</v>
      </c>
      <c r="C233" s="15" t="str">
        <f>IFERROR(__xludf.DUMMYFUNCTION("GOOGLEFINANCE(""IDX:""&amp;A233,""price"")"),"#N/A")</f>
        <v>#N/A</v>
      </c>
      <c r="D233" s="16" t="str">
        <f>IFERROR(__xludf.DUMMYFUNCTION("IF(A233="""","""",
SPARKLINE(
INDEX(
GOOGLEFINANCE(""IDX:""&amp;A233,""close"",TODAY()-365,TODAY()),
,2
),
{""linewidth"",1}
))
"),"#N/A")</f>
        <v>#N/A</v>
      </c>
      <c r="E233" s="14" t="s">
        <v>31</v>
      </c>
      <c r="F233" s="17" t="s">
        <v>29</v>
      </c>
      <c r="G233" s="24">
        <f t="shared" si="1"/>
        <v>21</v>
      </c>
      <c r="H233" s="19">
        <f>VLOOKUP(A233,Metrik!$C$2:$Y$959,8,0)</f>
        <v>12.1</v>
      </c>
      <c r="I233" s="20">
        <f>VLOOKUP(A233,Metrik!$C$2:$Y$959,9,0)</f>
        <v>2.7</v>
      </c>
      <c r="J233" s="20">
        <f>VLOOKUP(A233,Metrik!$C$2:$Y$959,10,0)</f>
        <v>22.4</v>
      </c>
      <c r="K233" s="20">
        <f>VLOOKUP(A233,Metrik!$C$2:$Y$959,11,0)</f>
        <v>3.5</v>
      </c>
      <c r="L233" s="20">
        <f>VLOOKUP(A233,Metrik!$C$2:$Y$959,12,0)</f>
        <v>5.3</v>
      </c>
      <c r="M233" s="20">
        <f>VLOOKUP(A233,Metrik!$C$2:$Y$959,19,0)</f>
        <v>220</v>
      </c>
      <c r="N233" s="44">
        <v>5.33</v>
      </c>
      <c r="O233" s="44">
        <v>27.52</v>
      </c>
      <c r="P233" s="44">
        <v>74.1</v>
      </c>
      <c r="Q233" s="44">
        <v>1.85</v>
      </c>
      <c r="R233" s="44">
        <v>39.87</v>
      </c>
      <c r="S233" s="44">
        <v>27.32</v>
      </c>
      <c r="T233" s="44">
        <v>2.09</v>
      </c>
      <c r="U233" s="22">
        <f>IFERROR(__xludf.DUMMYFUNCTION("IFERROR(GOOGLEFINANCE(A233,""closeyest""),"""")"),100.74)</f>
        <v>100.74</v>
      </c>
      <c r="V233" s="23">
        <f>IFERROR(__xludf.DUMMYFUNCTION("IFERROR(GOOGLEFINANCE(A233,""changepct""),"""")"),0.51)</f>
        <v>0.51</v>
      </c>
      <c r="W233" s="22">
        <f>IFERROR(__xludf.DUMMYFUNCTION("IFERROR(GOOGLEFINANCE(A233,""priceopen""),"""")"),100.94)</f>
        <v>100.94</v>
      </c>
      <c r="X233" s="22">
        <f>IFERROR(__xludf.DUMMYFUNCTION("IFERROR(GOOGLEFINANCE(A233,""high""),"""")"),101.77)</f>
        <v>101.77</v>
      </c>
      <c r="Y233" s="22">
        <f>IFERROR(__xludf.DUMMYFUNCTION("IFERROR(GOOGLEFINANCE(A233,""low""),"""")"),100.74)</f>
        <v>100.74</v>
      </c>
      <c r="Z233" s="22">
        <f>IFERROR(__xludf.DUMMYFUNCTION("IFERROR(GOOGLEFINANCE(A233,""volume""),"""")"),51924.0)</f>
        <v>51924</v>
      </c>
      <c r="AA233" s="24" t="str">
        <f>VLOOKUP(A233,Metrik!$C$2:$Y$959,5,0)</f>
        <v>Banks</v>
      </c>
      <c r="AB233" s="24" t="str">
        <f>VLOOKUP(A233,Metrik!$C$2:$Y$959,3,0)</f>
        <v>Financials</v>
      </c>
    </row>
    <row r="234">
      <c r="A234" s="14" t="s">
        <v>160</v>
      </c>
      <c r="B234" s="14" t="str">
        <f t="array" ref="B234">VLOOKUP(A234,{Metrik!$C$2:$C$998,Metrik!$B$2:$B$998},2,0)</f>
        <v>Bank Central Asia Tbk.</v>
      </c>
      <c r="C234" s="15" t="str">
        <f>IFERROR(__xludf.DUMMYFUNCTION("GOOGLEFINANCE(""IDX:""&amp;A234,""price"")"),"#N/A")</f>
        <v>#N/A</v>
      </c>
      <c r="D234" s="16" t="str">
        <f>IFERROR(__xludf.DUMMYFUNCTION("IF(A234="""","""",
SPARKLINE(
INDEX(
GOOGLEFINANCE(""IDX:""&amp;A234,""close"",TODAY()-365,TODAY()),
,2
),
{""linewidth"",1}
))
"),"#N/A")</f>
        <v>#N/A</v>
      </c>
      <c r="E234" s="14" t="s">
        <v>28</v>
      </c>
      <c r="F234" s="17" t="s">
        <v>29</v>
      </c>
      <c r="G234" s="24">
        <f t="shared" si="1"/>
        <v>21</v>
      </c>
      <c r="H234" s="19">
        <f>VLOOKUP(A234,Metrik!$C$2:$Y$959,8,0)</f>
        <v>12.1</v>
      </c>
      <c r="I234" s="20">
        <f>VLOOKUP(A234,Metrik!$C$2:$Y$959,9,0)</f>
        <v>2.7</v>
      </c>
      <c r="J234" s="20">
        <f>VLOOKUP(A234,Metrik!$C$2:$Y$959,10,0)</f>
        <v>22.4</v>
      </c>
      <c r="K234" s="20">
        <f>VLOOKUP(A234,Metrik!$C$2:$Y$959,11,0)</f>
        <v>3.5</v>
      </c>
      <c r="L234" s="20">
        <f>VLOOKUP(A234,Metrik!$C$2:$Y$959,12,0)</f>
        <v>5.3</v>
      </c>
      <c r="M234" s="20">
        <f>VLOOKUP(A234,Metrik!$C$2:$Y$959,19,0)</f>
        <v>220</v>
      </c>
      <c r="N234" s="44">
        <v>5.33</v>
      </c>
      <c r="O234" s="44">
        <v>27.52</v>
      </c>
      <c r="P234" s="44">
        <v>74.1</v>
      </c>
      <c r="Q234" s="44">
        <v>1.85</v>
      </c>
      <c r="R234" s="44">
        <v>39.87</v>
      </c>
      <c r="S234" s="44">
        <v>27.32</v>
      </c>
      <c r="T234" s="44">
        <v>2.09</v>
      </c>
      <c r="U234" s="22">
        <f>IFERROR(__xludf.DUMMYFUNCTION("IFERROR(GOOGLEFINANCE(A234,""closeyest""),"""")"),100.74)</f>
        <v>100.74</v>
      </c>
      <c r="V234" s="23">
        <f>IFERROR(__xludf.DUMMYFUNCTION("IFERROR(GOOGLEFINANCE(A234,""changepct""),"""")"),0.51)</f>
        <v>0.51</v>
      </c>
      <c r="W234" s="22">
        <f>IFERROR(__xludf.DUMMYFUNCTION("IFERROR(GOOGLEFINANCE(A234,""priceopen""),"""")"),100.94)</f>
        <v>100.94</v>
      </c>
      <c r="X234" s="22">
        <f>IFERROR(__xludf.DUMMYFUNCTION("IFERROR(GOOGLEFINANCE(A234,""high""),"""")"),101.77)</f>
        <v>101.77</v>
      </c>
      <c r="Y234" s="22">
        <f>IFERROR(__xludf.DUMMYFUNCTION("IFERROR(GOOGLEFINANCE(A234,""low""),"""")"),100.74)</f>
        <v>100.74</v>
      </c>
      <c r="Z234" s="22">
        <f>IFERROR(__xludf.DUMMYFUNCTION("IFERROR(GOOGLEFINANCE(A234,""volume""),"""")"),51924.0)</f>
        <v>51924</v>
      </c>
      <c r="AA234" s="24" t="str">
        <f>VLOOKUP(A234,Metrik!$C$2:$Y$959,5,0)</f>
        <v>Banks</v>
      </c>
      <c r="AB234" s="24" t="str">
        <f>VLOOKUP(A234,Metrik!$C$2:$Y$959,3,0)</f>
        <v>Financials</v>
      </c>
    </row>
    <row r="235">
      <c r="A235" s="14" t="s">
        <v>160</v>
      </c>
      <c r="B235" s="14" t="str">
        <f t="array" ref="B235">VLOOKUP(A235,{Metrik!$C$2:$C$998,Metrik!$B$2:$B$998},2,0)</f>
        <v>Bank Central Asia Tbk.</v>
      </c>
      <c r="C235" s="15" t="str">
        <f>IFERROR(__xludf.DUMMYFUNCTION("GOOGLEFINANCE(""IDX:""&amp;A235,""price"")"),"#N/A")</f>
        <v>#N/A</v>
      </c>
      <c r="D235" s="16" t="str">
        <f>IFERROR(__xludf.DUMMYFUNCTION("IF(A235="""","""",
SPARKLINE(
INDEX(
GOOGLEFINANCE(""IDX:""&amp;A235,""close"",TODAY()-365,TODAY()),
,2
),
{""linewidth"",1}
))
"),"#N/A")</f>
        <v>#N/A</v>
      </c>
      <c r="E235" s="14" t="s">
        <v>161</v>
      </c>
      <c r="F235" s="14" t="s">
        <v>76</v>
      </c>
      <c r="G235" s="24">
        <f t="shared" si="1"/>
        <v>21</v>
      </c>
      <c r="H235" s="19">
        <f>VLOOKUP(A235,Metrik!$C$2:$Y$959,8,0)</f>
        <v>12.1</v>
      </c>
      <c r="I235" s="20">
        <f>VLOOKUP(A235,Metrik!$C$2:$Y$959,9,0)</f>
        <v>2.7</v>
      </c>
      <c r="J235" s="20">
        <f>VLOOKUP(A235,Metrik!$C$2:$Y$959,10,0)</f>
        <v>22.4</v>
      </c>
      <c r="K235" s="20">
        <f>VLOOKUP(A235,Metrik!$C$2:$Y$959,11,0)</f>
        <v>3.5</v>
      </c>
      <c r="L235" s="20">
        <f>VLOOKUP(A235,Metrik!$C$2:$Y$959,12,0)</f>
        <v>5.3</v>
      </c>
      <c r="M235" s="20">
        <f>VLOOKUP(A235,Metrik!$C$2:$Y$959,19,0)</f>
        <v>220</v>
      </c>
      <c r="N235" s="44">
        <v>5.33</v>
      </c>
      <c r="O235" s="44">
        <v>27.52</v>
      </c>
      <c r="P235" s="44">
        <v>74.1</v>
      </c>
      <c r="Q235" s="44">
        <v>1.85</v>
      </c>
      <c r="R235" s="44">
        <v>39.87</v>
      </c>
      <c r="S235" s="44">
        <v>27.32</v>
      </c>
      <c r="T235" s="44">
        <v>2.09</v>
      </c>
      <c r="U235" s="22">
        <f>IFERROR(__xludf.DUMMYFUNCTION("IFERROR(GOOGLEFINANCE(A235,""closeyest""),"""")"),100.74)</f>
        <v>100.74</v>
      </c>
      <c r="V235" s="23">
        <f>IFERROR(__xludf.DUMMYFUNCTION("IFERROR(GOOGLEFINANCE(A235,""changepct""),"""")"),0.51)</f>
        <v>0.51</v>
      </c>
      <c r="W235" s="22">
        <f>IFERROR(__xludf.DUMMYFUNCTION("IFERROR(GOOGLEFINANCE(A235,""priceopen""),"""")"),100.94)</f>
        <v>100.94</v>
      </c>
      <c r="X235" s="22">
        <f>IFERROR(__xludf.DUMMYFUNCTION("IFERROR(GOOGLEFINANCE(A235,""high""),"""")"),101.77)</f>
        <v>101.77</v>
      </c>
      <c r="Y235" s="22">
        <f>IFERROR(__xludf.DUMMYFUNCTION("IFERROR(GOOGLEFINANCE(A235,""low""),"""")"),100.74)</f>
        <v>100.74</v>
      </c>
      <c r="Z235" s="22">
        <f>IFERROR(__xludf.DUMMYFUNCTION("IFERROR(GOOGLEFINANCE(A235,""volume""),"""")"),51924.0)</f>
        <v>51924</v>
      </c>
      <c r="AA235" s="24" t="str">
        <f>VLOOKUP(A235,Metrik!$C$2:$Y$959,5,0)</f>
        <v>Banks</v>
      </c>
      <c r="AB235" s="24" t="str">
        <f>VLOOKUP(A235,Metrik!$C$2:$Y$959,3,0)</f>
        <v>Financials</v>
      </c>
    </row>
    <row r="236">
      <c r="A236" s="14" t="s">
        <v>160</v>
      </c>
      <c r="B236" s="14" t="str">
        <f t="array" ref="B236">VLOOKUP(A236,{Metrik!$C$2:$C$998,Metrik!$B$2:$B$998},2,0)</f>
        <v>Bank Central Asia Tbk.</v>
      </c>
      <c r="C236" s="15" t="str">
        <f>IFERROR(__xludf.DUMMYFUNCTION("GOOGLEFINANCE(""IDX:""&amp;A236,""price"")"),"#N/A")</f>
        <v>#N/A</v>
      </c>
      <c r="D236" s="16" t="str">
        <f>IFERROR(__xludf.DUMMYFUNCTION("IF(A236="""","""",
SPARKLINE(
INDEX(
GOOGLEFINANCE(""IDX:""&amp;A236,""close"",TODAY()-365,TODAY()),
,2
),
{""linewidth"",1}
))
"),"#N/A")</f>
        <v>#N/A</v>
      </c>
      <c r="E236" s="14" t="s">
        <v>102</v>
      </c>
      <c r="F236" s="27" t="s">
        <v>53</v>
      </c>
      <c r="G236" s="24">
        <f t="shared" si="1"/>
        <v>21</v>
      </c>
      <c r="H236" s="19">
        <f>VLOOKUP(A236,Metrik!$C$2:$Y$959,8,0)</f>
        <v>12.1</v>
      </c>
      <c r="I236" s="20">
        <f>VLOOKUP(A236,Metrik!$C$2:$Y$959,9,0)</f>
        <v>2.7</v>
      </c>
      <c r="J236" s="20">
        <f>VLOOKUP(A236,Metrik!$C$2:$Y$959,10,0)</f>
        <v>22.4</v>
      </c>
      <c r="K236" s="20">
        <f>VLOOKUP(A236,Metrik!$C$2:$Y$959,11,0)</f>
        <v>3.5</v>
      </c>
      <c r="L236" s="20">
        <f>VLOOKUP(A236,Metrik!$C$2:$Y$959,12,0)</f>
        <v>5.3</v>
      </c>
      <c r="M236" s="20">
        <f>VLOOKUP(A236,Metrik!$C$2:$Y$959,19,0)</f>
        <v>220</v>
      </c>
      <c r="N236" s="44">
        <v>5.33</v>
      </c>
      <c r="O236" s="44">
        <v>27.52</v>
      </c>
      <c r="P236" s="44">
        <v>74.1</v>
      </c>
      <c r="Q236" s="44">
        <v>1.85</v>
      </c>
      <c r="R236" s="44">
        <v>39.87</v>
      </c>
      <c r="S236" s="44">
        <v>27.32</v>
      </c>
      <c r="T236" s="44">
        <v>2.09</v>
      </c>
      <c r="U236" s="22">
        <f>IFERROR(__xludf.DUMMYFUNCTION("IFERROR(GOOGLEFINANCE(A236,""closeyest""),"""")"),100.74)</f>
        <v>100.74</v>
      </c>
      <c r="V236" s="23">
        <f>IFERROR(__xludf.DUMMYFUNCTION("IFERROR(GOOGLEFINANCE(A236,""changepct""),"""")"),0.51)</f>
        <v>0.51</v>
      </c>
      <c r="W236" s="22">
        <f>IFERROR(__xludf.DUMMYFUNCTION("IFERROR(GOOGLEFINANCE(A236,""priceopen""),"""")"),100.94)</f>
        <v>100.94</v>
      </c>
      <c r="X236" s="22">
        <f>IFERROR(__xludf.DUMMYFUNCTION("IFERROR(GOOGLEFINANCE(A236,""high""),"""")"),101.77)</f>
        <v>101.77</v>
      </c>
      <c r="Y236" s="22">
        <f>IFERROR(__xludf.DUMMYFUNCTION("IFERROR(GOOGLEFINANCE(A236,""low""),"""")"),100.74)</f>
        <v>100.74</v>
      </c>
      <c r="Z236" s="22">
        <f>IFERROR(__xludf.DUMMYFUNCTION("IFERROR(GOOGLEFINANCE(A236,""volume""),"""")"),51924.0)</f>
        <v>51924</v>
      </c>
      <c r="AA236" s="24" t="str">
        <f>VLOOKUP(A236,Metrik!$C$2:$Y$959,5,0)</f>
        <v>Banks</v>
      </c>
      <c r="AB236" s="24" t="str">
        <f>VLOOKUP(A236,Metrik!$C$2:$Y$959,3,0)</f>
        <v>Financials</v>
      </c>
    </row>
    <row r="237">
      <c r="A237" s="14" t="s">
        <v>160</v>
      </c>
      <c r="B237" s="14" t="str">
        <f t="array" ref="B237">VLOOKUP(A237,{Metrik!$C$2:$C$998,Metrik!$B$2:$B$998},2,0)</f>
        <v>Bank Central Asia Tbk.</v>
      </c>
      <c r="C237" s="15" t="str">
        <f>IFERROR(__xludf.DUMMYFUNCTION("GOOGLEFINANCE(""IDX:""&amp;A237,""price"")"),"#N/A")</f>
        <v>#N/A</v>
      </c>
      <c r="D237" s="16" t="str">
        <f>IFERROR(__xludf.DUMMYFUNCTION("IF(A237="""","""",
SPARKLINE(
INDEX(
GOOGLEFINANCE(""IDX:""&amp;A237,""close"",TODAY()-365,TODAY()),
,2
),
{""linewidth"",1}
))
"),"#N/A")</f>
        <v>#N/A</v>
      </c>
      <c r="E237" s="14" t="s">
        <v>162</v>
      </c>
      <c r="F237" s="14" t="s">
        <v>76</v>
      </c>
      <c r="G237" s="24">
        <f t="shared" si="1"/>
        <v>21</v>
      </c>
      <c r="H237" s="19">
        <f>VLOOKUP(A237,Metrik!$C$2:$Y$959,8,0)</f>
        <v>12.1</v>
      </c>
      <c r="I237" s="20">
        <f>VLOOKUP(A237,Metrik!$C$2:$Y$959,9,0)</f>
        <v>2.7</v>
      </c>
      <c r="J237" s="20">
        <f>VLOOKUP(A237,Metrik!$C$2:$Y$959,10,0)</f>
        <v>22.4</v>
      </c>
      <c r="K237" s="20">
        <f>VLOOKUP(A237,Metrik!$C$2:$Y$959,11,0)</f>
        <v>3.5</v>
      </c>
      <c r="L237" s="20">
        <f>VLOOKUP(A237,Metrik!$C$2:$Y$959,12,0)</f>
        <v>5.3</v>
      </c>
      <c r="M237" s="20">
        <f>VLOOKUP(A237,Metrik!$C$2:$Y$959,19,0)</f>
        <v>220</v>
      </c>
      <c r="N237" s="44">
        <v>5.33</v>
      </c>
      <c r="O237" s="44">
        <v>27.52</v>
      </c>
      <c r="P237" s="44">
        <v>74.1</v>
      </c>
      <c r="Q237" s="44">
        <v>1.85</v>
      </c>
      <c r="R237" s="44">
        <v>39.87</v>
      </c>
      <c r="S237" s="44">
        <v>27.32</v>
      </c>
      <c r="T237" s="44">
        <v>2.09</v>
      </c>
      <c r="U237" s="22">
        <f>IFERROR(__xludf.DUMMYFUNCTION("IFERROR(GOOGLEFINANCE(A237,""closeyest""),"""")"),100.74)</f>
        <v>100.74</v>
      </c>
      <c r="V237" s="23">
        <f>IFERROR(__xludf.DUMMYFUNCTION("IFERROR(GOOGLEFINANCE(A237,""changepct""),"""")"),0.51)</f>
        <v>0.51</v>
      </c>
      <c r="W237" s="22">
        <f>IFERROR(__xludf.DUMMYFUNCTION("IFERROR(GOOGLEFINANCE(A237,""priceopen""),"""")"),100.94)</f>
        <v>100.94</v>
      </c>
      <c r="X237" s="22">
        <f>IFERROR(__xludf.DUMMYFUNCTION("IFERROR(GOOGLEFINANCE(A237,""high""),"""")"),101.77)</f>
        <v>101.77</v>
      </c>
      <c r="Y237" s="22">
        <f>IFERROR(__xludf.DUMMYFUNCTION("IFERROR(GOOGLEFINANCE(A237,""low""),"""")"),100.74)</f>
        <v>100.74</v>
      </c>
      <c r="Z237" s="22">
        <f>IFERROR(__xludf.DUMMYFUNCTION("IFERROR(GOOGLEFINANCE(A237,""volume""),"""")"),51924.0)</f>
        <v>51924</v>
      </c>
      <c r="AA237" s="24" t="str">
        <f>VLOOKUP(A237,Metrik!$C$2:$Y$959,5,0)</f>
        <v>Banks</v>
      </c>
      <c r="AB237" s="24" t="str">
        <f>VLOOKUP(A237,Metrik!$C$2:$Y$959,3,0)</f>
        <v>Financials</v>
      </c>
    </row>
    <row r="238">
      <c r="A238" s="17" t="s">
        <v>160</v>
      </c>
      <c r="B238" s="14" t="str">
        <f t="array" ref="B238">VLOOKUP(A238,{Metrik!$C$2:$C$998,Metrik!$B$2:$B$998},2,0)</f>
        <v>Bank Central Asia Tbk.</v>
      </c>
      <c r="C238" s="15" t="str">
        <f>IFERROR(__xludf.DUMMYFUNCTION("GOOGLEFINANCE(""IDX:""&amp;A238,""price"")"),"#N/A")</f>
        <v>#N/A</v>
      </c>
      <c r="D238" s="16" t="str">
        <f>IFERROR(__xludf.DUMMYFUNCTION("IF(A238="""","""",
SPARKLINE(
INDEX(
GOOGLEFINANCE(""IDX:""&amp;A238,""close"",TODAY()-365,TODAY()),
,2
),
{""linewidth"",1}
))
"),"#N/A")</f>
        <v>#N/A</v>
      </c>
      <c r="E238" s="17" t="s">
        <v>69</v>
      </c>
      <c r="F238" s="27" t="s">
        <v>70</v>
      </c>
      <c r="G238" s="38">
        <f t="shared" si="1"/>
        <v>21</v>
      </c>
      <c r="H238" s="34">
        <f>VLOOKUP(A238,Metrik!$C$2:$Y$959,8,0)</f>
        <v>12.1</v>
      </c>
      <c r="I238" s="34">
        <f>VLOOKUP(A238,Metrik!$C$2:$Y$959,9,0)</f>
        <v>2.7</v>
      </c>
      <c r="J238" s="34">
        <f>VLOOKUP(A238,Metrik!$C$2:$Y$959,10,0)</f>
        <v>22.4</v>
      </c>
      <c r="K238" s="34">
        <f>VLOOKUP(A238,Metrik!$C$2:$Y$959,11,0)</f>
        <v>3.5</v>
      </c>
      <c r="L238" s="34">
        <f>VLOOKUP(A238,Metrik!$C$2:$Y$959,12,0)</f>
        <v>5.3</v>
      </c>
      <c r="M238" s="34">
        <f>VLOOKUP(A238,Metrik!$C$2:$Y$959,19,0)</f>
        <v>220</v>
      </c>
      <c r="N238" s="44">
        <v>5.33</v>
      </c>
      <c r="O238" s="44">
        <v>27.52</v>
      </c>
      <c r="P238" s="44">
        <v>74.1</v>
      </c>
      <c r="Q238" s="44">
        <v>1.85</v>
      </c>
      <c r="R238" s="44">
        <v>39.87</v>
      </c>
      <c r="S238" s="44">
        <v>27.32</v>
      </c>
      <c r="T238" s="44">
        <v>2.09</v>
      </c>
      <c r="U238" s="35">
        <f>IFERROR(__xludf.DUMMYFUNCTION("IFERROR(GOOGLEFINANCE(A238,""closeyest""),"""")"),100.74)</f>
        <v>100.74</v>
      </c>
      <c r="V238" s="36">
        <f>IFERROR(__xludf.DUMMYFUNCTION("IFERROR(GOOGLEFINANCE(A238,""changepct""),"""")"),0.51)</f>
        <v>0.51</v>
      </c>
      <c r="W238" s="35">
        <f>IFERROR(__xludf.DUMMYFUNCTION("IFERROR(GOOGLEFINANCE(A238,""priceopen""),"""")"),100.94)</f>
        <v>100.94</v>
      </c>
      <c r="X238" s="35">
        <f>IFERROR(__xludf.DUMMYFUNCTION("IFERROR(GOOGLEFINANCE(A238,""high""),"""")"),101.77)</f>
        <v>101.77</v>
      </c>
      <c r="Y238" s="35">
        <f>IFERROR(__xludf.DUMMYFUNCTION("IFERROR(GOOGLEFINANCE(A238,""low""),"""")"),100.74)</f>
        <v>100.74</v>
      </c>
      <c r="Z238" s="35">
        <f>IFERROR(__xludf.DUMMYFUNCTION("IFERROR(GOOGLEFINANCE(A238,""volume""),"""")"),51924.0)</f>
        <v>51924</v>
      </c>
      <c r="AA238" s="14" t="str">
        <f>VLOOKUP(A238,Metrik!$C$2:$Y$959,5,0)</f>
        <v>Banks</v>
      </c>
      <c r="AB238" s="14" t="str">
        <f>VLOOKUP(A238,Metrik!$C$2:$Y$959,3,0)</f>
        <v>Financials</v>
      </c>
    </row>
    <row r="239">
      <c r="A239" s="14" t="s">
        <v>160</v>
      </c>
      <c r="B239" s="14" t="str">
        <f t="array" ref="B239">VLOOKUP(A239,{Metrik!$C$2:$C$998,Metrik!$B$2:$B$998},2,0)</f>
        <v>Bank Central Asia Tbk.</v>
      </c>
      <c r="C239" s="15" t="str">
        <f>IFERROR(__xludf.DUMMYFUNCTION("GOOGLEFINANCE(""IDX:""&amp;A239,""price"")"),"#N/A")</f>
        <v>#N/A</v>
      </c>
      <c r="D239" s="16" t="str">
        <f>IFERROR(__xludf.DUMMYFUNCTION("IF(A239="""","""",
SPARKLINE(
INDEX(
GOOGLEFINANCE(""IDX:""&amp;A239,""close"",TODAY()-365,TODAY()),
,2
),
{""linewidth"",1}
))
"),"#N/A")</f>
        <v>#N/A</v>
      </c>
      <c r="E239" s="14" t="s">
        <v>55</v>
      </c>
      <c r="F239" s="25">
        <v>46356.0</v>
      </c>
      <c r="G239" s="24">
        <f t="shared" si="1"/>
        <v>21</v>
      </c>
      <c r="H239" s="19">
        <f>VLOOKUP(A239,Metrik!$C$2:$Y$959,8,0)</f>
        <v>12.1</v>
      </c>
      <c r="I239" s="20">
        <f>VLOOKUP(A239,Metrik!$C$2:$Y$959,9,0)</f>
        <v>2.7</v>
      </c>
      <c r="J239" s="20">
        <f>VLOOKUP(A239,Metrik!$C$2:$Y$959,10,0)</f>
        <v>22.4</v>
      </c>
      <c r="K239" s="20">
        <f>VLOOKUP(A239,Metrik!$C$2:$Y$959,11,0)</f>
        <v>3.5</v>
      </c>
      <c r="L239" s="20">
        <f>VLOOKUP(A239,Metrik!$C$2:$Y$959,12,0)</f>
        <v>5.3</v>
      </c>
      <c r="M239" s="20">
        <f>VLOOKUP(A239,Metrik!$C$2:$Y$959,19,0)</f>
        <v>220</v>
      </c>
      <c r="N239" s="44">
        <v>5.33</v>
      </c>
      <c r="O239" s="44">
        <v>27.52</v>
      </c>
      <c r="P239" s="44">
        <v>74.1</v>
      </c>
      <c r="Q239" s="44">
        <v>1.85</v>
      </c>
      <c r="R239" s="44">
        <v>39.87</v>
      </c>
      <c r="S239" s="44">
        <v>27.32</v>
      </c>
      <c r="T239" s="44">
        <v>2.09</v>
      </c>
      <c r="U239" s="22">
        <f>IFERROR(__xludf.DUMMYFUNCTION("IFERROR(GOOGLEFINANCE(A239,""closeyest""),"""")"),100.74)</f>
        <v>100.74</v>
      </c>
      <c r="V239" s="23">
        <f>IFERROR(__xludf.DUMMYFUNCTION("IFERROR(GOOGLEFINANCE(A239,""changepct""),"""")"),0.51)</f>
        <v>0.51</v>
      </c>
      <c r="W239" s="22">
        <f>IFERROR(__xludf.DUMMYFUNCTION("IFERROR(GOOGLEFINANCE(A239,""priceopen""),"""")"),100.94)</f>
        <v>100.94</v>
      </c>
      <c r="X239" s="22">
        <f>IFERROR(__xludf.DUMMYFUNCTION("IFERROR(GOOGLEFINANCE(A239,""high""),"""")"),101.77)</f>
        <v>101.77</v>
      </c>
      <c r="Y239" s="22">
        <f>IFERROR(__xludf.DUMMYFUNCTION("IFERROR(GOOGLEFINANCE(A239,""low""),"""")"),100.74)</f>
        <v>100.74</v>
      </c>
      <c r="Z239" s="22">
        <f>IFERROR(__xludf.DUMMYFUNCTION("IFERROR(GOOGLEFINANCE(A239,""volume""),"""")"),51924.0)</f>
        <v>51924</v>
      </c>
      <c r="AA239" s="24" t="str">
        <f>VLOOKUP(A239,Metrik!$C$2:$Y$959,5,0)</f>
        <v>Banks</v>
      </c>
      <c r="AB239" s="24" t="str">
        <f>VLOOKUP(A239,Metrik!$C$2:$Y$959,3,0)</f>
        <v>Financials</v>
      </c>
    </row>
    <row r="240">
      <c r="A240" s="14" t="s">
        <v>160</v>
      </c>
      <c r="B240" s="14" t="str">
        <f t="array" ref="B240">VLOOKUP(A240,{Metrik!$C$2:$C$998,Metrik!$B$2:$B$998},2,0)</f>
        <v>Bank Central Asia Tbk.</v>
      </c>
      <c r="C240" s="15" t="str">
        <f>IFERROR(__xludf.DUMMYFUNCTION("GOOGLEFINANCE(""IDX:""&amp;A240,""price"")"),"#N/A")</f>
        <v>#N/A</v>
      </c>
      <c r="D240" s="16" t="str">
        <f>IFERROR(__xludf.DUMMYFUNCTION("IF(A240="""","""",
SPARKLINE(
INDEX(
GOOGLEFINANCE(""IDX:""&amp;A240,""close"",TODAY()-365,TODAY()),
,2
),
{""linewidth"",1}
))
"),"#N/A")</f>
        <v>#N/A</v>
      </c>
      <c r="E240" s="14" t="s">
        <v>86</v>
      </c>
      <c r="F240" s="25">
        <v>46356.0</v>
      </c>
      <c r="G240" s="24">
        <f t="shared" si="1"/>
        <v>21</v>
      </c>
      <c r="H240" s="19">
        <f>VLOOKUP(A240,Metrik!$C$2:$Y$959,8,0)</f>
        <v>12.1</v>
      </c>
      <c r="I240" s="20">
        <f>VLOOKUP(A240,Metrik!$C$2:$Y$959,9,0)</f>
        <v>2.7</v>
      </c>
      <c r="J240" s="20">
        <f>VLOOKUP(A240,Metrik!$C$2:$Y$959,10,0)</f>
        <v>22.4</v>
      </c>
      <c r="K240" s="20">
        <f>VLOOKUP(A240,Metrik!$C$2:$Y$959,11,0)</f>
        <v>3.5</v>
      </c>
      <c r="L240" s="20">
        <f>VLOOKUP(A240,Metrik!$C$2:$Y$959,12,0)</f>
        <v>5.3</v>
      </c>
      <c r="M240" s="20">
        <f>VLOOKUP(A240,Metrik!$C$2:$Y$959,19,0)</f>
        <v>220</v>
      </c>
      <c r="N240" s="44">
        <v>5.33</v>
      </c>
      <c r="O240" s="44">
        <v>27.52</v>
      </c>
      <c r="P240" s="44">
        <v>74.1</v>
      </c>
      <c r="Q240" s="44">
        <v>1.85</v>
      </c>
      <c r="R240" s="44">
        <v>39.87</v>
      </c>
      <c r="S240" s="44">
        <v>27.32</v>
      </c>
      <c r="T240" s="44">
        <v>2.09</v>
      </c>
      <c r="U240" s="22">
        <f>IFERROR(__xludf.DUMMYFUNCTION("IFERROR(GOOGLEFINANCE(A240,""closeyest""),"""")"),100.74)</f>
        <v>100.74</v>
      </c>
      <c r="V240" s="23">
        <f>IFERROR(__xludf.DUMMYFUNCTION("IFERROR(GOOGLEFINANCE(A240,""changepct""),"""")"),0.51)</f>
        <v>0.51</v>
      </c>
      <c r="W240" s="22">
        <f>IFERROR(__xludf.DUMMYFUNCTION("IFERROR(GOOGLEFINANCE(A240,""priceopen""),"""")"),100.94)</f>
        <v>100.94</v>
      </c>
      <c r="X240" s="22">
        <f>IFERROR(__xludf.DUMMYFUNCTION("IFERROR(GOOGLEFINANCE(A240,""high""),"""")"),101.77)</f>
        <v>101.77</v>
      </c>
      <c r="Y240" s="22">
        <f>IFERROR(__xludf.DUMMYFUNCTION("IFERROR(GOOGLEFINANCE(A240,""low""),"""")"),100.74)</f>
        <v>100.74</v>
      </c>
      <c r="Z240" s="22">
        <f>IFERROR(__xludf.DUMMYFUNCTION("IFERROR(GOOGLEFINANCE(A240,""volume""),"""")"),51924.0)</f>
        <v>51924</v>
      </c>
      <c r="AA240" s="24" t="str">
        <f>VLOOKUP(A240,Metrik!$C$2:$Y$959,5,0)</f>
        <v>Banks</v>
      </c>
      <c r="AB240" s="24" t="str">
        <f>VLOOKUP(A240,Metrik!$C$2:$Y$959,3,0)</f>
        <v>Financials</v>
      </c>
    </row>
    <row r="241">
      <c r="A241" s="14" t="s">
        <v>160</v>
      </c>
      <c r="B241" s="14" t="str">
        <f t="array" ref="B241">VLOOKUP(A241,{Metrik!$C$2:$C$998,Metrik!$B$2:$B$998},2,0)</f>
        <v>Bank Central Asia Tbk.</v>
      </c>
      <c r="C241" s="15" t="str">
        <f>IFERROR(__xludf.DUMMYFUNCTION("GOOGLEFINANCE(""IDX:""&amp;A241,""price"")"),"#N/A")</f>
        <v>#N/A</v>
      </c>
      <c r="D241" s="16" t="str">
        <f>IFERROR(__xludf.DUMMYFUNCTION("IF(A241="""","""",
SPARKLINE(
INDEX(
GOOGLEFINANCE(""IDX:""&amp;A241,""close"",TODAY()-365,TODAY()),
,2
),
{""linewidth"",1}
))
"),"#N/A")</f>
        <v>#N/A</v>
      </c>
      <c r="E241" s="14" t="s">
        <v>42</v>
      </c>
      <c r="F241" s="25">
        <v>46356.0</v>
      </c>
      <c r="G241" s="24">
        <f t="shared" si="1"/>
        <v>21</v>
      </c>
      <c r="H241" s="19">
        <f>VLOOKUP(A241,Metrik!$C$2:$Y$959,8,0)</f>
        <v>12.1</v>
      </c>
      <c r="I241" s="20">
        <f>VLOOKUP(A241,Metrik!$C$2:$Y$959,9,0)</f>
        <v>2.7</v>
      </c>
      <c r="J241" s="20">
        <f>VLOOKUP(A241,Metrik!$C$2:$Y$959,10,0)</f>
        <v>22.4</v>
      </c>
      <c r="K241" s="20">
        <f>VLOOKUP(A241,Metrik!$C$2:$Y$959,11,0)</f>
        <v>3.5</v>
      </c>
      <c r="L241" s="20">
        <f>VLOOKUP(A241,Metrik!$C$2:$Y$959,12,0)</f>
        <v>5.3</v>
      </c>
      <c r="M241" s="20">
        <f>VLOOKUP(A241,Metrik!$C$2:$Y$959,19,0)</f>
        <v>220</v>
      </c>
      <c r="N241" s="44">
        <v>5.33</v>
      </c>
      <c r="O241" s="44">
        <v>27.52</v>
      </c>
      <c r="P241" s="44">
        <v>74.1</v>
      </c>
      <c r="Q241" s="44">
        <v>1.85</v>
      </c>
      <c r="R241" s="44">
        <v>39.87</v>
      </c>
      <c r="S241" s="44">
        <v>27.32</v>
      </c>
      <c r="T241" s="44">
        <v>2.09</v>
      </c>
      <c r="U241" s="22">
        <f>IFERROR(__xludf.DUMMYFUNCTION("IFERROR(GOOGLEFINANCE(A241,""closeyest""),"""")"),100.74)</f>
        <v>100.74</v>
      </c>
      <c r="V241" s="23">
        <f>IFERROR(__xludf.DUMMYFUNCTION("IFERROR(GOOGLEFINANCE(A241,""changepct""),"""")"),0.51)</f>
        <v>0.51</v>
      </c>
      <c r="W241" s="22">
        <f>IFERROR(__xludf.DUMMYFUNCTION("IFERROR(GOOGLEFINANCE(A241,""priceopen""),"""")"),100.94)</f>
        <v>100.94</v>
      </c>
      <c r="X241" s="22">
        <f>IFERROR(__xludf.DUMMYFUNCTION("IFERROR(GOOGLEFINANCE(A241,""high""),"""")"),101.77)</f>
        <v>101.77</v>
      </c>
      <c r="Y241" s="22">
        <f>IFERROR(__xludf.DUMMYFUNCTION("IFERROR(GOOGLEFINANCE(A241,""low""),"""")"),100.74)</f>
        <v>100.74</v>
      </c>
      <c r="Z241" s="22">
        <f>IFERROR(__xludf.DUMMYFUNCTION("IFERROR(GOOGLEFINANCE(A241,""volume""),"""")"),51924.0)</f>
        <v>51924</v>
      </c>
      <c r="AA241" s="24" t="str">
        <f>VLOOKUP(A241,Metrik!$C$2:$Y$959,5,0)</f>
        <v>Banks</v>
      </c>
      <c r="AB241" s="24" t="str">
        <f>VLOOKUP(A241,Metrik!$C$2:$Y$959,3,0)</f>
        <v>Financials</v>
      </c>
    </row>
    <row r="242">
      <c r="A242" s="14" t="s">
        <v>163</v>
      </c>
      <c r="B242" s="14" t="str">
        <f t="array" ref="B242">VLOOKUP(A242,{Metrik!$C$2:$C$998,Metrik!$B$2:$B$998},2,0)</f>
        <v>PT Bank Harda Internasional Tbk.</v>
      </c>
      <c r="C242" s="15">
        <f>IFERROR(__xludf.DUMMYFUNCTION("GOOGLEFINANCE(""IDX:""&amp;A242,""price"")"),970.0)</f>
        <v>970</v>
      </c>
      <c r="D242" s="16" t="str">
        <f>IFERROR(__xludf.DUMMYFUNCTION("IF(A242="""","""",
SPARKLINE(
INDEX(
GOOGLEFINANCE(""IDX:""&amp;A242,""close"",TODAY()-365,TODAY()),
,2
),
{""linewidth"",1}
))
"),"#N/A")</f>
        <v>#N/A</v>
      </c>
      <c r="E242" s="26"/>
      <c r="F242" s="26"/>
      <c r="G242" s="24">
        <f t="shared" si="1"/>
        <v>0</v>
      </c>
      <c r="H242" s="19">
        <f>VLOOKUP(A242,Metrik!$C$2:$Y$959,8,0)</f>
        <v>38.2</v>
      </c>
      <c r="I242" s="20">
        <f>VLOOKUP(A242,Metrik!$C$2:$Y$959,9,0)</f>
        <v>2.9</v>
      </c>
      <c r="J242" s="20">
        <f>VLOOKUP(A242,Metrik!$C$2:$Y$959,10,0)</f>
        <v>7.5</v>
      </c>
      <c r="K242" s="20">
        <f>VLOOKUP(A242,Metrik!$C$2:$Y$959,11,0)</f>
        <v>3.8</v>
      </c>
      <c r="L242" s="20">
        <f>VLOOKUP(A242,Metrik!$C$2:$Y$959,12,0)</f>
        <v>0.96</v>
      </c>
      <c r="M242" s="20">
        <f>VLOOKUP(A242,Metrik!$C$2:$Y$959,19,0)</f>
        <v>120</v>
      </c>
      <c r="N242" s="32">
        <v>9.47</v>
      </c>
      <c r="O242" s="32">
        <v>98.17</v>
      </c>
      <c r="P242" s="32">
        <v>126.9</v>
      </c>
      <c r="Q242" s="32">
        <v>0.81</v>
      </c>
      <c r="R242" s="32">
        <v>69.17</v>
      </c>
      <c r="S242" s="32">
        <v>52.28</v>
      </c>
      <c r="T242" s="41"/>
      <c r="U242" s="22">
        <f>IFERROR(__xludf.DUMMYFUNCTION("IFERROR(GOOGLEFINANCE(A242,""closeyest""),"""")"),960.0)</f>
        <v>960</v>
      </c>
      <c r="V242" s="23">
        <f>IFERROR(__xludf.DUMMYFUNCTION("IFERROR(GOOGLEFINANCE(A242,""changepct""),"""")"),1.04)</f>
        <v>1.04</v>
      </c>
      <c r="W242" s="22">
        <f>IFERROR(__xludf.DUMMYFUNCTION("IFERROR(GOOGLEFINANCE(A242,""priceopen""),"""")"),925.0)</f>
        <v>925</v>
      </c>
      <c r="X242" s="22">
        <f>IFERROR(__xludf.DUMMYFUNCTION("IFERROR(GOOGLEFINANCE(A242,""high""),"""")"),980.0)</f>
        <v>980</v>
      </c>
      <c r="Y242" s="22">
        <f>IFERROR(__xludf.DUMMYFUNCTION("IFERROR(GOOGLEFINANCE(A242,""low""),"""")"),925.0)</f>
        <v>925</v>
      </c>
      <c r="Z242" s="22">
        <f>IFERROR(__xludf.DUMMYFUNCTION("IFERROR(GOOGLEFINANCE(A242,""volume""),"""")"),172300.0)</f>
        <v>172300</v>
      </c>
      <c r="AA242" s="24" t="str">
        <f>VLOOKUP(A242,Metrik!$C$2:$Y$959,5,0)</f>
        <v>Banks</v>
      </c>
      <c r="AB242" s="24" t="str">
        <f>VLOOKUP(A242,Metrik!$C$2:$Y$959,3,0)</f>
        <v>Financials</v>
      </c>
    </row>
    <row r="243">
      <c r="A243" s="14" t="s">
        <v>164</v>
      </c>
      <c r="B243" s="14" t="str">
        <f t="array" ref="B243">VLOOKUP(A243,{Metrik!$C$2:$C$998,Metrik!$B$2:$B$998},2,0)</f>
        <v>Bank KB Indonesia Tbk.</v>
      </c>
      <c r="C243" s="15" t="str">
        <f>IFERROR(__xludf.DUMMYFUNCTION("GOOGLEFINANCE(""IDX:""&amp;A243,""price"")"),"#N/A")</f>
        <v>#N/A</v>
      </c>
      <c r="D243" s="16" t="str">
        <f>IFERROR(__xludf.DUMMYFUNCTION("IF(A243="""","""",
SPARKLINE(
INDEX(
GOOGLEFINANCE(""IDX:""&amp;A243,""close"",TODAY()-365,TODAY()),
,2
),
{""linewidth"",1}
))
"),"#N/A")</f>
        <v>#N/A</v>
      </c>
      <c r="E243" s="26"/>
      <c r="F243" s="26"/>
      <c r="G243" s="24">
        <f t="shared" si="1"/>
        <v>0</v>
      </c>
      <c r="H243" s="19">
        <f>VLOOKUP(A243,Metrik!$C$2:$Y$959,8,0)</f>
        <v>-37.5</v>
      </c>
      <c r="I243" s="20">
        <f>VLOOKUP(A243,Metrik!$C$2:$Y$959,9,0)</f>
        <v>1.3</v>
      </c>
      <c r="J243" s="20">
        <f>VLOOKUP(A243,Metrik!$C$2:$Y$959,10,0)</f>
        <v>-3.4</v>
      </c>
      <c r="K243" s="20">
        <f>VLOOKUP(A243,Metrik!$C$2:$Y$959,11,0)</f>
        <v>-0.32</v>
      </c>
      <c r="L243" s="20">
        <f>VLOOKUP(A243,Metrik!$C$2:$Y$959,12,0)</f>
        <v>9.8</v>
      </c>
      <c r="M243" s="20">
        <f>VLOOKUP(A243,Metrik!$C$2:$Y$959,19,0)</f>
        <v>-18.8</v>
      </c>
      <c r="N243" s="32">
        <v>1.43</v>
      </c>
      <c r="O243" s="32">
        <v>16.05</v>
      </c>
      <c r="P243" s="32">
        <v>93.67</v>
      </c>
      <c r="Q243" s="32">
        <v>4.24</v>
      </c>
      <c r="R243" s="32">
        <v>119.55</v>
      </c>
      <c r="S243" s="32">
        <v>127.78</v>
      </c>
      <c r="T243" s="32">
        <v>19.0</v>
      </c>
      <c r="U243" s="22">
        <f>IFERROR(__xludf.DUMMYFUNCTION("IFERROR(GOOGLEFINANCE(A243,""closeyest""),"""")"),52.0)</f>
        <v>52</v>
      </c>
      <c r="V243" s="23">
        <f>IFERROR(__xludf.DUMMYFUNCTION("IFERROR(GOOGLEFINANCE(A243,""changepct""),"""")"),3.85)</f>
        <v>3.85</v>
      </c>
      <c r="W243" s="22">
        <f>IFERROR(__xludf.DUMMYFUNCTION("IFERROR(GOOGLEFINANCE(A243,""priceopen""),"""")"),52.0)</f>
        <v>52</v>
      </c>
      <c r="X243" s="22">
        <f>IFERROR(__xludf.DUMMYFUNCTION("IFERROR(GOOGLEFINANCE(A243,""high""),"""")"),55.0)</f>
        <v>55</v>
      </c>
      <c r="Y243" s="22">
        <f>IFERROR(__xludf.DUMMYFUNCTION("IFERROR(GOOGLEFINANCE(A243,""low""),"""")"),52.0)</f>
        <v>52</v>
      </c>
      <c r="Z243" s="22">
        <f>IFERROR(__xludf.DUMMYFUNCTION("IFERROR(GOOGLEFINANCE(A243,""volume""),"""")"),7.90743E7)</f>
        <v>79074300</v>
      </c>
      <c r="AA243" s="24" t="str">
        <f>VLOOKUP(A243,Metrik!$C$2:$Y$959,5,0)</f>
        <v>Banks</v>
      </c>
      <c r="AB243" s="24" t="str">
        <f>VLOOKUP(A243,Metrik!$C$2:$Y$959,3,0)</f>
        <v>Financials</v>
      </c>
    </row>
    <row r="244">
      <c r="A244" s="14" t="s">
        <v>165</v>
      </c>
      <c r="B244" s="14" t="str">
        <f t="array" ref="B244">VLOOKUP(A244,{Metrik!$C$2:$C$998,Metrik!$B$2:$B$998},2,0)</f>
        <v>Buana Finance Tbk.</v>
      </c>
      <c r="C244" s="15">
        <f>IFERROR(__xludf.DUMMYFUNCTION("GOOGLEFINANCE(""IDX:""&amp;A244,""price"")"),575.0)</f>
        <v>575</v>
      </c>
      <c r="D244" s="16" t="str">
        <f>IFERROR(__xludf.DUMMYFUNCTION("IF(A244="""","""",
SPARKLINE(
INDEX(
GOOGLEFINANCE(""IDX:""&amp;A244,""close"",TODAY()-365,TODAY()),
,2
),
{""linewidth"",1}
))
"),"#N/A")</f>
        <v>#N/A</v>
      </c>
      <c r="E244" s="26"/>
      <c r="F244" s="26"/>
      <c r="G244" s="24">
        <f t="shared" si="1"/>
        <v>0</v>
      </c>
      <c r="H244" s="19">
        <f>VLOOKUP(A244,Metrik!$C$2:$Y$959,8,0)</f>
        <v>190</v>
      </c>
      <c r="I244" s="20">
        <f>VLOOKUP(A244,Metrik!$C$2:$Y$959,9,0)</f>
        <v>0.74</v>
      </c>
      <c r="J244" s="20">
        <f>VLOOKUP(A244,Metrik!$C$2:$Y$959,10,0)</f>
        <v>0.38</v>
      </c>
      <c r="K244" s="20">
        <f>VLOOKUP(A244,Metrik!$C$2:$Y$959,11,0)</f>
        <v>0.08</v>
      </c>
      <c r="L244" s="20">
        <f>VLOOKUP(A244,Metrik!$C$2:$Y$959,12,0)</f>
        <v>4.1</v>
      </c>
      <c r="M244" s="20">
        <f>VLOOKUP(A244,Metrik!$C$2:$Y$959,19,0)</f>
        <v>2.6</v>
      </c>
      <c r="N244" s="21"/>
      <c r="O244" s="21"/>
      <c r="P244" s="21"/>
      <c r="Q244" s="21"/>
      <c r="R244" s="21"/>
      <c r="S244" s="21"/>
      <c r="T244" s="21"/>
      <c r="U244" s="22">
        <f>IFERROR(__xludf.DUMMYFUNCTION("IFERROR(GOOGLEFINANCE(A244,""closeyest""),"""")"),575.0)</f>
        <v>575</v>
      </c>
      <c r="V244" s="23">
        <f>IFERROR(__xludf.DUMMYFUNCTION("IFERROR(GOOGLEFINANCE(A244,""changepct""),"""")"),0.0)</f>
        <v>0</v>
      </c>
      <c r="W244" s="22">
        <f>IFERROR(__xludf.DUMMYFUNCTION("IFERROR(GOOGLEFINANCE(A244,""priceopen""),"""")"),565.0)</f>
        <v>565</v>
      </c>
      <c r="X244" s="22">
        <f>IFERROR(__xludf.DUMMYFUNCTION("IFERROR(GOOGLEFINANCE(A244,""high""),"""")"),575.0)</f>
        <v>575</v>
      </c>
      <c r="Y244" s="22">
        <f>IFERROR(__xludf.DUMMYFUNCTION("IFERROR(GOOGLEFINANCE(A244,""low""),"""")"),555.0)</f>
        <v>555</v>
      </c>
      <c r="Z244" s="22">
        <f>IFERROR(__xludf.DUMMYFUNCTION("IFERROR(GOOGLEFINANCE(A244,""volume""),"""")"),3100.0)</f>
        <v>3100</v>
      </c>
      <c r="AA244" s="24" t="str">
        <f>VLOOKUP(A244,Metrik!$C$2:$Y$959,5,0)</f>
        <v>Consumer Financing</v>
      </c>
      <c r="AB244" s="24" t="str">
        <f>VLOOKUP(A244,Metrik!$C$2:$Y$959,3,0)</f>
        <v>Financials</v>
      </c>
    </row>
    <row r="245">
      <c r="A245" s="14" t="s">
        <v>166</v>
      </c>
      <c r="B245" s="14" t="str">
        <f t="array" ref="B245">VLOOKUP(A245,{Metrik!$C$2:$C$998,Metrik!$B$2:$B$998},2,0)</f>
        <v>PT Bank Mestika Dharma Tbk.</v>
      </c>
      <c r="C245" s="15">
        <f>IFERROR(__xludf.DUMMYFUNCTION("GOOGLEFINANCE(""IDX:""&amp;A245,""price"")"),1955.0)</f>
        <v>1955</v>
      </c>
      <c r="D245" s="16" t="str">
        <f>IFERROR(__xludf.DUMMYFUNCTION("IF(A245="""","""",
SPARKLINE(
INDEX(
GOOGLEFINANCE(""IDX:""&amp;A245,""close"",TODAY()-365,TODAY()),
,2
),
{""linewidth"",1}
))
"),"#N/A")</f>
        <v>#N/A</v>
      </c>
      <c r="E245" s="26"/>
      <c r="F245" s="26"/>
      <c r="G245" s="24">
        <f t="shared" si="1"/>
        <v>0</v>
      </c>
      <c r="H245" s="19">
        <f>VLOOKUP(A245,Metrik!$C$2:$Y$959,8,0)</f>
        <v>24.9</v>
      </c>
      <c r="I245" s="20">
        <f>VLOOKUP(A245,Metrik!$C$2:$Y$959,9,0)</f>
        <v>1.5</v>
      </c>
      <c r="J245" s="20">
        <f>VLOOKUP(A245,Metrik!$C$2:$Y$959,10,0)</f>
        <v>5.9</v>
      </c>
      <c r="K245" s="20">
        <f>VLOOKUP(A245,Metrik!$C$2:$Y$959,11,0)</f>
        <v>1.9</v>
      </c>
      <c r="L245" s="20">
        <f>VLOOKUP(A245,Metrik!$C$2:$Y$959,12,0)</f>
        <v>2.1</v>
      </c>
      <c r="M245" s="20">
        <f>VLOOKUP(A245,Metrik!$C$2:$Y$959,19,0)</f>
        <v>100</v>
      </c>
      <c r="N245" s="32">
        <v>5.61</v>
      </c>
      <c r="O245" s="32">
        <v>43.15</v>
      </c>
      <c r="P245" s="32">
        <v>100.52</v>
      </c>
      <c r="Q245" s="32">
        <v>1.33</v>
      </c>
      <c r="R245" s="32">
        <v>68.96</v>
      </c>
      <c r="S245" s="32">
        <v>60.63</v>
      </c>
      <c r="T245" s="41"/>
      <c r="U245" s="22">
        <f>IFERROR(__xludf.DUMMYFUNCTION("IFERROR(GOOGLEFINANCE(A245,""closeyest""),"""")"),1865.0)</f>
        <v>1865</v>
      </c>
      <c r="V245" s="23">
        <f>IFERROR(__xludf.DUMMYFUNCTION("IFERROR(GOOGLEFINANCE(A245,""changepct""),"""")"),4.83)</f>
        <v>4.83</v>
      </c>
      <c r="W245" s="22">
        <f>IFERROR(__xludf.DUMMYFUNCTION("IFERROR(GOOGLEFINANCE(A245,""priceopen""),"""")"),1955.0)</f>
        <v>1955</v>
      </c>
      <c r="X245" s="22">
        <f>IFERROR(__xludf.DUMMYFUNCTION("IFERROR(GOOGLEFINANCE(A245,""high""),"""")"),1980.0)</f>
        <v>1980</v>
      </c>
      <c r="Y245" s="22">
        <f>IFERROR(__xludf.DUMMYFUNCTION("IFERROR(GOOGLEFINANCE(A245,""low""),"""")"),1945.0)</f>
        <v>1945</v>
      </c>
      <c r="Z245" s="22">
        <f>IFERROR(__xludf.DUMMYFUNCTION("IFERROR(GOOGLEFINANCE(A245,""volume""),"""")"),3200.0)</f>
        <v>3200</v>
      </c>
      <c r="AA245" s="24" t="str">
        <f>VLOOKUP(A245,Metrik!$C$2:$Y$959,5,0)</f>
        <v>Banks</v>
      </c>
      <c r="AB245" s="24" t="str">
        <f>VLOOKUP(A245,Metrik!$C$2:$Y$959,3,0)</f>
        <v>Financials</v>
      </c>
    </row>
    <row r="246">
      <c r="A246" s="14" t="s">
        <v>167</v>
      </c>
      <c r="B246" s="14" t="str">
        <f t="array" ref="B246">VLOOKUP(A246,{Metrik!$C$2:$C$998,Metrik!$B$2:$B$998},2,0)</f>
        <v>PT Bank Negara Indonesia (Persero) Tbk</v>
      </c>
      <c r="C246" s="15">
        <f>IFERROR(__xludf.DUMMYFUNCTION("GOOGLEFINANCE(""IDX:""&amp;A246,""price"")"),3560.0)</f>
        <v>3560</v>
      </c>
      <c r="D246" s="16" t="str">
        <f>IFERROR(__xludf.DUMMYFUNCTION("IF(A246="""","""",
SPARKLINE(
INDEX(
GOOGLEFINANCE(""IDX:""&amp;A246,""close"",TODAY()-365,TODAY()),
,2
),
{""linewidth"",1}
))
"),"#N/A")</f>
        <v>#N/A</v>
      </c>
      <c r="E246" s="14" t="s">
        <v>47</v>
      </c>
      <c r="F246" s="25">
        <v>46356.0</v>
      </c>
      <c r="G246" s="24">
        <f t="shared" si="1"/>
        <v>22</v>
      </c>
      <c r="H246" s="19">
        <f>VLOOKUP(A246,Metrik!$C$2:$Y$959,8,0)</f>
        <v>6.8</v>
      </c>
      <c r="I246" s="20">
        <f>VLOOKUP(A246,Metrik!$C$2:$Y$959,9,0)</f>
        <v>0.83</v>
      </c>
      <c r="J246" s="20">
        <f>VLOOKUP(A246,Metrik!$C$2:$Y$959,10,0)</f>
        <v>12.3</v>
      </c>
      <c r="K246" s="20">
        <f>VLOOKUP(A246,Metrik!$C$2:$Y$959,11,0)</f>
        <v>1.4</v>
      </c>
      <c r="L246" s="20">
        <f>VLOOKUP(A246,Metrik!$C$2:$Y$959,12,0)</f>
        <v>7.6</v>
      </c>
      <c r="M246" s="20">
        <f>VLOOKUP(A246,Metrik!$C$2:$Y$959,19,0)</f>
        <v>89.9</v>
      </c>
      <c r="N246" s="29">
        <v>3.8</v>
      </c>
      <c r="O246" s="29">
        <v>20.7</v>
      </c>
      <c r="P246" s="29">
        <v>86.4</v>
      </c>
      <c r="Q246" s="29">
        <v>1.9</v>
      </c>
      <c r="R246" s="29">
        <v>72.9</v>
      </c>
      <c r="S246" s="29">
        <v>46.5</v>
      </c>
      <c r="T246" s="29">
        <v>8.5</v>
      </c>
      <c r="U246" s="22">
        <f>IFERROR(__xludf.DUMMYFUNCTION("IFERROR(GOOGLEFINANCE(A246,""closeyest""),"""")"),3500.0)</f>
        <v>3500</v>
      </c>
      <c r="V246" s="23">
        <f>IFERROR(__xludf.DUMMYFUNCTION("IFERROR(GOOGLEFINANCE(A246,""changepct""),"""")"),1.71)</f>
        <v>1.71</v>
      </c>
      <c r="W246" s="22">
        <f>IFERROR(__xludf.DUMMYFUNCTION("IFERROR(GOOGLEFINANCE(A246,""priceopen""),"""")"),3570.0)</f>
        <v>3570</v>
      </c>
      <c r="X246" s="22">
        <f>IFERROR(__xludf.DUMMYFUNCTION("IFERROR(GOOGLEFINANCE(A246,""high""),"""")"),3650.0)</f>
        <v>3650</v>
      </c>
      <c r="Y246" s="22">
        <f>IFERROR(__xludf.DUMMYFUNCTION("IFERROR(GOOGLEFINANCE(A246,""low""),"""")"),3520.0)</f>
        <v>3520</v>
      </c>
      <c r="Z246" s="22">
        <f>IFERROR(__xludf.DUMMYFUNCTION("IFERROR(GOOGLEFINANCE(A246,""volume""),"""")"),7.48241E7)</f>
        <v>74824100</v>
      </c>
      <c r="AA246" s="24" t="str">
        <f>VLOOKUP(A246,Metrik!$C$2:$Y$959,5,0)</f>
        <v>Banks</v>
      </c>
      <c r="AB246" s="24" t="str">
        <f>VLOOKUP(A246,Metrik!$C$2:$Y$959,3,0)</f>
        <v>Financials</v>
      </c>
    </row>
    <row r="247">
      <c r="A247" s="17" t="s">
        <v>167</v>
      </c>
      <c r="B247" s="14" t="str">
        <f t="array" ref="B247">VLOOKUP(A247,{Metrik!$C$2:$C$998,Metrik!$B$2:$B$998},2,0)</f>
        <v>PT Bank Negara Indonesia (Persero) Tbk</v>
      </c>
      <c r="C247" s="15">
        <f>IFERROR(__xludf.DUMMYFUNCTION("GOOGLEFINANCE(""IDX:""&amp;A247,""price"")"),3560.0)</f>
        <v>3560</v>
      </c>
      <c r="D247" s="16" t="str">
        <f>IFERROR(__xludf.DUMMYFUNCTION("IF(A247="""","""",
SPARKLINE(
INDEX(
GOOGLEFINANCE(""IDX:""&amp;A247,""close"",TODAY()-365,TODAY()),
,2
),
{""linewidth"",1}
))
"),"#N/A")</f>
        <v>#N/A</v>
      </c>
      <c r="E247" s="14" t="s">
        <v>128</v>
      </c>
      <c r="F247" s="17" t="s">
        <v>36</v>
      </c>
      <c r="G247" s="24">
        <f t="shared" si="1"/>
        <v>22</v>
      </c>
      <c r="H247" s="19">
        <f>VLOOKUP(A247,Metrik!$C$2:$Y$959,8,0)</f>
        <v>6.8</v>
      </c>
      <c r="I247" s="20">
        <f>VLOOKUP(A247,Metrik!$C$2:$Y$959,9,0)</f>
        <v>0.83</v>
      </c>
      <c r="J247" s="20">
        <f>VLOOKUP(A247,Metrik!$C$2:$Y$959,10,0)</f>
        <v>12.3</v>
      </c>
      <c r="K247" s="20">
        <f>VLOOKUP(A247,Metrik!$C$2:$Y$959,11,0)</f>
        <v>1.4</v>
      </c>
      <c r="L247" s="20">
        <f>VLOOKUP(A247,Metrik!$C$2:$Y$959,12,0)</f>
        <v>7.6</v>
      </c>
      <c r="M247" s="20">
        <f>VLOOKUP(A247,Metrik!$C$2:$Y$959,19,0)</f>
        <v>89.9</v>
      </c>
      <c r="N247" s="29">
        <v>3.8</v>
      </c>
      <c r="O247" s="29">
        <v>20.7</v>
      </c>
      <c r="P247" s="29">
        <v>86.4</v>
      </c>
      <c r="Q247" s="29">
        <v>1.9</v>
      </c>
      <c r="R247" s="29">
        <v>72.9</v>
      </c>
      <c r="S247" s="29">
        <v>46.5</v>
      </c>
      <c r="T247" s="29">
        <v>8.5</v>
      </c>
      <c r="U247" s="22">
        <f>IFERROR(__xludf.DUMMYFUNCTION("IFERROR(GOOGLEFINANCE(A247,""closeyest""),"""")"),3500.0)</f>
        <v>3500</v>
      </c>
      <c r="V247" s="23">
        <f>IFERROR(__xludf.DUMMYFUNCTION("IFERROR(GOOGLEFINANCE(A247,""changepct""),"""")"),1.71)</f>
        <v>1.71</v>
      </c>
      <c r="W247" s="22">
        <f>IFERROR(__xludf.DUMMYFUNCTION("IFERROR(GOOGLEFINANCE(A247,""priceopen""),"""")"),3570.0)</f>
        <v>3570</v>
      </c>
      <c r="X247" s="22">
        <f>IFERROR(__xludf.DUMMYFUNCTION("IFERROR(GOOGLEFINANCE(A247,""high""),"""")"),3650.0)</f>
        <v>3650</v>
      </c>
      <c r="Y247" s="22">
        <f>IFERROR(__xludf.DUMMYFUNCTION("IFERROR(GOOGLEFINANCE(A247,""low""),"""")"),3520.0)</f>
        <v>3520</v>
      </c>
      <c r="Z247" s="22">
        <f>IFERROR(__xludf.DUMMYFUNCTION("IFERROR(GOOGLEFINANCE(A247,""volume""),"""")"),7.48241E7)</f>
        <v>74824100</v>
      </c>
      <c r="AA247" s="24" t="str">
        <f>VLOOKUP(A247,Metrik!$C$2:$Y$959,5,0)</f>
        <v>Banks</v>
      </c>
      <c r="AB247" s="24" t="str">
        <f>VLOOKUP(A247,Metrik!$C$2:$Y$959,3,0)</f>
        <v>Financials</v>
      </c>
    </row>
    <row r="248">
      <c r="A248" s="14" t="s">
        <v>167</v>
      </c>
      <c r="B248" s="14" t="str">
        <f t="array" ref="B248">VLOOKUP(A248,{Metrik!$C$2:$C$998,Metrik!$B$2:$B$998},2,0)</f>
        <v>PT Bank Negara Indonesia (Persero) Tbk</v>
      </c>
      <c r="C248" s="15">
        <f>IFERROR(__xludf.DUMMYFUNCTION("GOOGLEFINANCE(""IDX:""&amp;A248,""price"")"),3560.0)</f>
        <v>3560</v>
      </c>
      <c r="D248" s="16" t="str">
        <f>IFERROR(__xludf.DUMMYFUNCTION("IF(A248="""","""",
SPARKLINE(
INDEX(
GOOGLEFINANCE(""IDX:""&amp;A248,""close"",TODAY()-365,TODAY()),
,2
),
{""linewidth"",1}
))
"),"#N/A")</f>
        <v>#N/A</v>
      </c>
      <c r="E248" s="14" t="s">
        <v>68</v>
      </c>
      <c r="F248" s="14" t="s">
        <v>34</v>
      </c>
      <c r="G248" s="24">
        <f t="shared" si="1"/>
        <v>22</v>
      </c>
      <c r="H248" s="19">
        <f>VLOOKUP(A248,Metrik!$C$2:$Y$959,8,0)</f>
        <v>6.8</v>
      </c>
      <c r="I248" s="20">
        <f>VLOOKUP(A248,Metrik!$C$2:$Y$959,9,0)</f>
        <v>0.83</v>
      </c>
      <c r="J248" s="20">
        <f>VLOOKUP(A248,Metrik!$C$2:$Y$959,10,0)</f>
        <v>12.3</v>
      </c>
      <c r="K248" s="20">
        <f>VLOOKUP(A248,Metrik!$C$2:$Y$959,11,0)</f>
        <v>1.4</v>
      </c>
      <c r="L248" s="20">
        <f>VLOOKUP(A248,Metrik!$C$2:$Y$959,12,0)</f>
        <v>7.6</v>
      </c>
      <c r="M248" s="20">
        <f>VLOOKUP(A248,Metrik!$C$2:$Y$959,19,0)</f>
        <v>89.9</v>
      </c>
      <c r="N248" s="29">
        <v>3.8</v>
      </c>
      <c r="O248" s="29">
        <v>20.7</v>
      </c>
      <c r="P248" s="29">
        <v>86.4</v>
      </c>
      <c r="Q248" s="29">
        <v>1.9</v>
      </c>
      <c r="R248" s="29">
        <v>72.9</v>
      </c>
      <c r="S248" s="29">
        <v>46.5</v>
      </c>
      <c r="T248" s="29">
        <v>8.5</v>
      </c>
      <c r="U248" s="22">
        <f>IFERROR(__xludf.DUMMYFUNCTION("IFERROR(GOOGLEFINANCE(A248,""closeyest""),"""")"),3500.0)</f>
        <v>3500</v>
      </c>
      <c r="V248" s="23">
        <f>IFERROR(__xludf.DUMMYFUNCTION("IFERROR(GOOGLEFINANCE(A248,""changepct""),"""")"),1.71)</f>
        <v>1.71</v>
      </c>
      <c r="W248" s="22">
        <f>IFERROR(__xludf.DUMMYFUNCTION("IFERROR(GOOGLEFINANCE(A248,""priceopen""),"""")"),3570.0)</f>
        <v>3570</v>
      </c>
      <c r="X248" s="22">
        <f>IFERROR(__xludf.DUMMYFUNCTION("IFERROR(GOOGLEFINANCE(A248,""high""),"""")"),3650.0)</f>
        <v>3650</v>
      </c>
      <c r="Y248" s="22">
        <f>IFERROR(__xludf.DUMMYFUNCTION("IFERROR(GOOGLEFINANCE(A248,""low""),"""")"),3520.0)</f>
        <v>3520</v>
      </c>
      <c r="Z248" s="22">
        <f>IFERROR(__xludf.DUMMYFUNCTION("IFERROR(GOOGLEFINANCE(A248,""volume""),"""")"),7.48241E7)</f>
        <v>74824100</v>
      </c>
      <c r="AA248" s="24" t="str">
        <f>VLOOKUP(A248,Metrik!$C$2:$Y$959,5,0)</f>
        <v>Banks</v>
      </c>
      <c r="AB248" s="24" t="str">
        <f>VLOOKUP(A248,Metrik!$C$2:$Y$959,3,0)</f>
        <v>Financials</v>
      </c>
    </row>
    <row r="249">
      <c r="A249" s="14" t="s">
        <v>167</v>
      </c>
      <c r="B249" s="14" t="str">
        <f t="array" ref="B249">VLOOKUP(A249,{Metrik!$C$2:$C$998,Metrik!$B$2:$B$998},2,0)</f>
        <v>PT Bank Negara Indonesia (Persero) Tbk</v>
      </c>
      <c r="C249" s="15">
        <f>IFERROR(__xludf.DUMMYFUNCTION("GOOGLEFINANCE(""IDX:""&amp;A249,""price"")"),3560.0)</f>
        <v>3560</v>
      </c>
      <c r="D249" s="16" t="str">
        <f>IFERROR(__xludf.DUMMYFUNCTION("IF(A249="""","""",
SPARKLINE(
INDEX(
GOOGLEFINANCE(""IDX:""&amp;A249,""close"",TODAY()-365,TODAY()),
,2
),
{""linewidth"",1}
))
"),"#N/A")</f>
        <v>#N/A</v>
      </c>
      <c r="E249" s="14" t="s">
        <v>75</v>
      </c>
      <c r="F249" s="14" t="s">
        <v>76</v>
      </c>
      <c r="G249" s="24">
        <f t="shared" si="1"/>
        <v>22</v>
      </c>
      <c r="H249" s="19">
        <f>VLOOKUP(A249,Metrik!$C$2:$Y$959,8,0)</f>
        <v>6.8</v>
      </c>
      <c r="I249" s="20">
        <f>VLOOKUP(A249,Metrik!$C$2:$Y$959,9,0)</f>
        <v>0.83</v>
      </c>
      <c r="J249" s="20">
        <f>VLOOKUP(A249,Metrik!$C$2:$Y$959,10,0)</f>
        <v>12.3</v>
      </c>
      <c r="K249" s="20">
        <f>VLOOKUP(A249,Metrik!$C$2:$Y$959,11,0)</f>
        <v>1.4</v>
      </c>
      <c r="L249" s="20">
        <f>VLOOKUP(A249,Metrik!$C$2:$Y$959,12,0)</f>
        <v>7.6</v>
      </c>
      <c r="M249" s="20">
        <f>VLOOKUP(A249,Metrik!$C$2:$Y$959,19,0)</f>
        <v>89.9</v>
      </c>
      <c r="N249" s="29">
        <v>3.8</v>
      </c>
      <c r="O249" s="29">
        <v>20.7</v>
      </c>
      <c r="P249" s="29">
        <v>86.4</v>
      </c>
      <c r="Q249" s="29">
        <v>1.9</v>
      </c>
      <c r="R249" s="29">
        <v>72.9</v>
      </c>
      <c r="S249" s="29">
        <v>46.5</v>
      </c>
      <c r="T249" s="29">
        <v>8.5</v>
      </c>
      <c r="U249" s="22">
        <f>IFERROR(__xludf.DUMMYFUNCTION("IFERROR(GOOGLEFINANCE(A249,""closeyest""),"""")"),3500.0)</f>
        <v>3500</v>
      </c>
      <c r="V249" s="23">
        <f>IFERROR(__xludf.DUMMYFUNCTION("IFERROR(GOOGLEFINANCE(A249,""changepct""),"""")"),1.71)</f>
        <v>1.71</v>
      </c>
      <c r="W249" s="22">
        <f>IFERROR(__xludf.DUMMYFUNCTION("IFERROR(GOOGLEFINANCE(A249,""priceopen""),"""")"),3570.0)</f>
        <v>3570</v>
      </c>
      <c r="X249" s="22">
        <f>IFERROR(__xludf.DUMMYFUNCTION("IFERROR(GOOGLEFINANCE(A249,""high""),"""")"),3650.0)</f>
        <v>3650</v>
      </c>
      <c r="Y249" s="22">
        <f>IFERROR(__xludf.DUMMYFUNCTION("IFERROR(GOOGLEFINANCE(A249,""low""),"""")"),3520.0)</f>
        <v>3520</v>
      </c>
      <c r="Z249" s="22">
        <f>IFERROR(__xludf.DUMMYFUNCTION("IFERROR(GOOGLEFINANCE(A249,""volume""),"""")"),7.48241E7)</f>
        <v>74824100</v>
      </c>
      <c r="AA249" s="24" t="str">
        <f>VLOOKUP(A249,Metrik!$C$2:$Y$959,5,0)</f>
        <v>Banks</v>
      </c>
      <c r="AB249" s="24" t="str">
        <f>VLOOKUP(A249,Metrik!$C$2:$Y$959,3,0)</f>
        <v>Financials</v>
      </c>
    </row>
    <row r="250">
      <c r="A250" s="14" t="s">
        <v>167</v>
      </c>
      <c r="B250" s="14" t="str">
        <f t="array" ref="B250">VLOOKUP(A250,{Metrik!$C$2:$C$998,Metrik!$B$2:$B$998},2,0)</f>
        <v>PT Bank Negara Indonesia (Persero) Tbk</v>
      </c>
      <c r="C250" s="15">
        <f>IFERROR(__xludf.DUMMYFUNCTION("GOOGLEFINANCE(""IDX:""&amp;A250,""price"")"),3560.0)</f>
        <v>3560</v>
      </c>
      <c r="D250" s="16" t="str">
        <f>IFERROR(__xludf.DUMMYFUNCTION("IF(A250="""","""",
SPARKLINE(
INDEX(
GOOGLEFINANCE(""IDX:""&amp;A250,""close"",TODAY()-365,TODAY()),
,2
),
{""linewidth"",1}
))
"),"#N/A")</f>
        <v>#N/A</v>
      </c>
      <c r="E250" s="14" t="s">
        <v>50</v>
      </c>
      <c r="F250" s="17" t="s">
        <v>51</v>
      </c>
      <c r="G250" s="24">
        <f t="shared" si="1"/>
        <v>22</v>
      </c>
      <c r="H250" s="19">
        <f>VLOOKUP(A250,Metrik!$C$2:$Y$959,8,0)</f>
        <v>6.8</v>
      </c>
      <c r="I250" s="20">
        <f>VLOOKUP(A250,Metrik!$C$2:$Y$959,9,0)</f>
        <v>0.83</v>
      </c>
      <c r="J250" s="20">
        <f>VLOOKUP(A250,Metrik!$C$2:$Y$959,10,0)</f>
        <v>12.3</v>
      </c>
      <c r="K250" s="20">
        <f>VLOOKUP(A250,Metrik!$C$2:$Y$959,11,0)</f>
        <v>1.4</v>
      </c>
      <c r="L250" s="20">
        <f>VLOOKUP(A250,Metrik!$C$2:$Y$959,12,0)</f>
        <v>7.6</v>
      </c>
      <c r="M250" s="20">
        <f>VLOOKUP(A250,Metrik!$C$2:$Y$959,19,0)</f>
        <v>89.9</v>
      </c>
      <c r="N250" s="29">
        <v>3.8</v>
      </c>
      <c r="O250" s="29">
        <v>20.7</v>
      </c>
      <c r="P250" s="29">
        <v>86.4</v>
      </c>
      <c r="Q250" s="29">
        <v>1.9</v>
      </c>
      <c r="R250" s="29">
        <v>72.9</v>
      </c>
      <c r="S250" s="29">
        <v>46.5</v>
      </c>
      <c r="T250" s="29">
        <v>8.5</v>
      </c>
      <c r="U250" s="22">
        <f>IFERROR(__xludf.DUMMYFUNCTION("IFERROR(GOOGLEFINANCE(A250,""closeyest""),"""")"),3500.0)</f>
        <v>3500</v>
      </c>
      <c r="V250" s="23">
        <f>IFERROR(__xludf.DUMMYFUNCTION("IFERROR(GOOGLEFINANCE(A250,""changepct""),"""")"),1.71)</f>
        <v>1.71</v>
      </c>
      <c r="W250" s="22">
        <f>IFERROR(__xludf.DUMMYFUNCTION("IFERROR(GOOGLEFINANCE(A250,""priceopen""),"""")"),3570.0)</f>
        <v>3570</v>
      </c>
      <c r="X250" s="22">
        <f>IFERROR(__xludf.DUMMYFUNCTION("IFERROR(GOOGLEFINANCE(A250,""high""),"""")"),3650.0)</f>
        <v>3650</v>
      </c>
      <c r="Y250" s="22">
        <f>IFERROR(__xludf.DUMMYFUNCTION("IFERROR(GOOGLEFINANCE(A250,""low""),"""")"),3520.0)</f>
        <v>3520</v>
      </c>
      <c r="Z250" s="22">
        <f>IFERROR(__xludf.DUMMYFUNCTION("IFERROR(GOOGLEFINANCE(A250,""volume""),"""")"),7.48241E7)</f>
        <v>74824100</v>
      </c>
      <c r="AA250" s="24" t="str">
        <f>VLOOKUP(A250,Metrik!$C$2:$Y$959,5,0)</f>
        <v>Banks</v>
      </c>
      <c r="AB250" s="24" t="str">
        <f>VLOOKUP(A250,Metrik!$C$2:$Y$959,3,0)</f>
        <v>Financials</v>
      </c>
    </row>
    <row r="251">
      <c r="A251" s="14" t="s">
        <v>167</v>
      </c>
      <c r="B251" s="14" t="str">
        <f t="array" ref="B251">VLOOKUP(A251,{Metrik!$C$2:$C$998,Metrik!$B$2:$B$998},2,0)</f>
        <v>PT Bank Negara Indonesia (Persero) Tbk</v>
      </c>
      <c r="C251" s="15">
        <f>IFERROR(__xludf.DUMMYFUNCTION("GOOGLEFINANCE(""IDX:""&amp;A251,""price"")"),3560.0)</f>
        <v>3560</v>
      </c>
      <c r="D251" s="16" t="str">
        <f>IFERROR(__xludf.DUMMYFUNCTION("IF(A251="""","""",
SPARKLINE(
INDEX(
GOOGLEFINANCE(""IDX:""&amp;A251,""close"",TODAY()-365,TODAY()),
,2
),
{""linewidth"",1}
))
"),"#N/A")</f>
        <v>#N/A</v>
      </c>
      <c r="E251" s="14" t="s">
        <v>28</v>
      </c>
      <c r="F251" s="17" t="s">
        <v>29</v>
      </c>
      <c r="G251" s="24">
        <f t="shared" si="1"/>
        <v>22</v>
      </c>
      <c r="H251" s="19">
        <f>VLOOKUP(A251,Metrik!$C$2:$Y$959,8,0)</f>
        <v>6.8</v>
      </c>
      <c r="I251" s="20">
        <f>VLOOKUP(A251,Metrik!$C$2:$Y$959,9,0)</f>
        <v>0.83</v>
      </c>
      <c r="J251" s="20">
        <f>VLOOKUP(A251,Metrik!$C$2:$Y$959,10,0)</f>
        <v>12.3</v>
      </c>
      <c r="K251" s="20">
        <f>VLOOKUP(A251,Metrik!$C$2:$Y$959,11,0)</f>
        <v>1.4</v>
      </c>
      <c r="L251" s="20">
        <f>VLOOKUP(A251,Metrik!$C$2:$Y$959,12,0)</f>
        <v>7.6</v>
      </c>
      <c r="M251" s="20">
        <f>VLOOKUP(A251,Metrik!$C$2:$Y$959,19,0)</f>
        <v>89.9</v>
      </c>
      <c r="N251" s="29">
        <v>3.8</v>
      </c>
      <c r="O251" s="29">
        <v>20.7</v>
      </c>
      <c r="P251" s="29">
        <v>86.4</v>
      </c>
      <c r="Q251" s="29">
        <v>1.9</v>
      </c>
      <c r="R251" s="29">
        <v>72.9</v>
      </c>
      <c r="S251" s="29">
        <v>46.5</v>
      </c>
      <c r="T251" s="29">
        <v>8.5</v>
      </c>
      <c r="U251" s="22">
        <f>IFERROR(__xludf.DUMMYFUNCTION("IFERROR(GOOGLEFINANCE(A251,""closeyest""),"""")"),3500.0)</f>
        <v>3500</v>
      </c>
      <c r="V251" s="23">
        <f>IFERROR(__xludf.DUMMYFUNCTION("IFERROR(GOOGLEFINANCE(A251,""changepct""),"""")"),1.71)</f>
        <v>1.71</v>
      </c>
      <c r="W251" s="22">
        <f>IFERROR(__xludf.DUMMYFUNCTION("IFERROR(GOOGLEFINANCE(A251,""priceopen""),"""")"),3570.0)</f>
        <v>3570</v>
      </c>
      <c r="X251" s="22">
        <f>IFERROR(__xludf.DUMMYFUNCTION("IFERROR(GOOGLEFINANCE(A251,""high""),"""")"),3650.0)</f>
        <v>3650</v>
      </c>
      <c r="Y251" s="22">
        <f>IFERROR(__xludf.DUMMYFUNCTION("IFERROR(GOOGLEFINANCE(A251,""low""),"""")"),3520.0)</f>
        <v>3520</v>
      </c>
      <c r="Z251" s="22">
        <f>IFERROR(__xludf.DUMMYFUNCTION("IFERROR(GOOGLEFINANCE(A251,""volume""),"""")"),7.48241E7)</f>
        <v>74824100</v>
      </c>
      <c r="AA251" s="24" t="str">
        <f>VLOOKUP(A251,Metrik!$C$2:$Y$959,5,0)</f>
        <v>Banks</v>
      </c>
      <c r="AB251" s="24" t="str">
        <f>VLOOKUP(A251,Metrik!$C$2:$Y$959,3,0)</f>
        <v>Financials</v>
      </c>
    </row>
    <row r="252">
      <c r="A252" s="14" t="s">
        <v>167</v>
      </c>
      <c r="B252" s="14" t="str">
        <f t="array" ref="B252">VLOOKUP(A252,{Metrik!$C$2:$C$998,Metrik!$B$2:$B$998},2,0)</f>
        <v>PT Bank Negara Indonesia (Persero) Tbk</v>
      </c>
      <c r="C252" s="15">
        <f>IFERROR(__xludf.DUMMYFUNCTION("GOOGLEFINANCE(""IDX:""&amp;A252,""price"")"),3560.0)</f>
        <v>3560</v>
      </c>
      <c r="D252" s="16" t="str">
        <f>IFERROR(__xludf.DUMMYFUNCTION("IF(A252="""","""",
SPARKLINE(
INDEX(
GOOGLEFINANCE(""IDX:""&amp;A252,""close"",TODAY()-365,TODAY()),
,2
),
{""linewidth"",1}
))
"),"#N/A")</f>
        <v>#N/A</v>
      </c>
      <c r="E252" s="14" t="s">
        <v>52</v>
      </c>
      <c r="F252" s="27" t="s">
        <v>53</v>
      </c>
      <c r="G252" s="24">
        <f t="shared" si="1"/>
        <v>22</v>
      </c>
      <c r="H252" s="19">
        <f>VLOOKUP(A252,Metrik!$C$2:$Y$959,8,0)</f>
        <v>6.8</v>
      </c>
      <c r="I252" s="20">
        <f>VLOOKUP(A252,Metrik!$C$2:$Y$959,9,0)</f>
        <v>0.83</v>
      </c>
      <c r="J252" s="20">
        <f>VLOOKUP(A252,Metrik!$C$2:$Y$959,10,0)</f>
        <v>12.3</v>
      </c>
      <c r="K252" s="20">
        <f>VLOOKUP(A252,Metrik!$C$2:$Y$959,11,0)</f>
        <v>1.4</v>
      </c>
      <c r="L252" s="20">
        <f>VLOOKUP(A252,Metrik!$C$2:$Y$959,12,0)</f>
        <v>7.6</v>
      </c>
      <c r="M252" s="20">
        <f>VLOOKUP(A252,Metrik!$C$2:$Y$959,19,0)</f>
        <v>89.9</v>
      </c>
      <c r="N252" s="29">
        <v>3.8</v>
      </c>
      <c r="O252" s="29">
        <v>20.7</v>
      </c>
      <c r="P252" s="29">
        <v>86.4</v>
      </c>
      <c r="Q252" s="29">
        <v>1.9</v>
      </c>
      <c r="R252" s="29">
        <v>72.9</v>
      </c>
      <c r="S252" s="29">
        <v>46.5</v>
      </c>
      <c r="T252" s="29">
        <v>8.5</v>
      </c>
      <c r="U252" s="22">
        <f>IFERROR(__xludf.DUMMYFUNCTION("IFERROR(GOOGLEFINANCE(A252,""closeyest""),"""")"),3500.0)</f>
        <v>3500</v>
      </c>
      <c r="V252" s="23">
        <f>IFERROR(__xludf.DUMMYFUNCTION("IFERROR(GOOGLEFINANCE(A252,""changepct""),"""")"),1.71)</f>
        <v>1.71</v>
      </c>
      <c r="W252" s="22">
        <f>IFERROR(__xludf.DUMMYFUNCTION("IFERROR(GOOGLEFINANCE(A252,""priceopen""),"""")"),3570.0)</f>
        <v>3570</v>
      </c>
      <c r="X252" s="22">
        <f>IFERROR(__xludf.DUMMYFUNCTION("IFERROR(GOOGLEFINANCE(A252,""high""),"""")"),3650.0)</f>
        <v>3650</v>
      </c>
      <c r="Y252" s="22">
        <f>IFERROR(__xludf.DUMMYFUNCTION("IFERROR(GOOGLEFINANCE(A252,""low""),"""")"),3520.0)</f>
        <v>3520</v>
      </c>
      <c r="Z252" s="22">
        <f>IFERROR(__xludf.DUMMYFUNCTION("IFERROR(GOOGLEFINANCE(A252,""volume""),"""")"),7.48241E7)</f>
        <v>74824100</v>
      </c>
      <c r="AA252" s="24" t="str">
        <f>VLOOKUP(A252,Metrik!$C$2:$Y$959,5,0)</f>
        <v>Banks</v>
      </c>
      <c r="AB252" s="24" t="str">
        <f>VLOOKUP(A252,Metrik!$C$2:$Y$959,3,0)</f>
        <v>Financials</v>
      </c>
    </row>
    <row r="253">
      <c r="A253" s="14" t="s">
        <v>167</v>
      </c>
      <c r="B253" s="14" t="str">
        <f t="array" ref="B253">VLOOKUP(A253,{Metrik!$C$2:$C$998,Metrik!$B$2:$B$998},2,0)</f>
        <v>PT Bank Negara Indonesia (Persero) Tbk</v>
      </c>
      <c r="C253" s="15">
        <f>IFERROR(__xludf.DUMMYFUNCTION("GOOGLEFINANCE(""IDX:""&amp;A253,""price"")"),3560.0)</f>
        <v>3560</v>
      </c>
      <c r="D253" s="16" t="str">
        <f>IFERROR(__xludf.DUMMYFUNCTION("IF(A253="""","""",
SPARKLINE(
INDEX(
GOOGLEFINANCE(""IDX:""&amp;A253,""close"",TODAY()-365,TODAY()),
,2
),
{""linewidth"",1}
))
"),"#N/A")</f>
        <v>#N/A</v>
      </c>
      <c r="E253" s="14" t="s">
        <v>48</v>
      </c>
      <c r="F253" s="14" t="s">
        <v>49</v>
      </c>
      <c r="G253" s="24">
        <f t="shared" si="1"/>
        <v>22</v>
      </c>
      <c r="H253" s="19">
        <f>VLOOKUP(A253,Metrik!$C$2:$Y$959,8,0)</f>
        <v>6.8</v>
      </c>
      <c r="I253" s="20">
        <f>VLOOKUP(A253,Metrik!$C$2:$Y$959,9,0)</f>
        <v>0.83</v>
      </c>
      <c r="J253" s="20">
        <f>VLOOKUP(A253,Metrik!$C$2:$Y$959,10,0)</f>
        <v>12.3</v>
      </c>
      <c r="K253" s="20">
        <f>VLOOKUP(A253,Metrik!$C$2:$Y$959,11,0)</f>
        <v>1.4</v>
      </c>
      <c r="L253" s="20">
        <f>VLOOKUP(A253,Metrik!$C$2:$Y$959,12,0)</f>
        <v>7.6</v>
      </c>
      <c r="M253" s="20">
        <f>VLOOKUP(A253,Metrik!$C$2:$Y$959,19,0)</f>
        <v>89.9</v>
      </c>
      <c r="N253" s="29">
        <v>3.8</v>
      </c>
      <c r="O253" s="29">
        <v>20.7</v>
      </c>
      <c r="P253" s="29">
        <v>86.4</v>
      </c>
      <c r="Q253" s="29">
        <v>1.9</v>
      </c>
      <c r="R253" s="29">
        <v>72.9</v>
      </c>
      <c r="S253" s="29">
        <v>46.5</v>
      </c>
      <c r="T253" s="29">
        <v>8.5</v>
      </c>
      <c r="U253" s="22">
        <f>IFERROR(__xludf.DUMMYFUNCTION("IFERROR(GOOGLEFINANCE(A253,""closeyest""),"""")"),3500.0)</f>
        <v>3500</v>
      </c>
      <c r="V253" s="23">
        <f>IFERROR(__xludf.DUMMYFUNCTION("IFERROR(GOOGLEFINANCE(A253,""changepct""),"""")"),1.71)</f>
        <v>1.71</v>
      </c>
      <c r="W253" s="22">
        <f>IFERROR(__xludf.DUMMYFUNCTION("IFERROR(GOOGLEFINANCE(A253,""priceopen""),"""")"),3570.0)</f>
        <v>3570</v>
      </c>
      <c r="X253" s="22">
        <f>IFERROR(__xludf.DUMMYFUNCTION("IFERROR(GOOGLEFINANCE(A253,""high""),"""")"),3650.0)</f>
        <v>3650</v>
      </c>
      <c r="Y253" s="22">
        <f>IFERROR(__xludf.DUMMYFUNCTION("IFERROR(GOOGLEFINANCE(A253,""low""),"""")"),3520.0)</f>
        <v>3520</v>
      </c>
      <c r="Z253" s="22">
        <f>IFERROR(__xludf.DUMMYFUNCTION("IFERROR(GOOGLEFINANCE(A253,""volume""),"""")"),7.48241E7)</f>
        <v>74824100</v>
      </c>
      <c r="AA253" s="24" t="str">
        <f>VLOOKUP(A253,Metrik!$C$2:$Y$959,5,0)</f>
        <v>Banks</v>
      </c>
      <c r="AB253" s="24" t="str">
        <f>VLOOKUP(A253,Metrik!$C$2:$Y$959,3,0)</f>
        <v>Financials</v>
      </c>
    </row>
    <row r="254">
      <c r="A254" s="14" t="s">
        <v>167</v>
      </c>
      <c r="B254" s="14" t="str">
        <f t="array" ref="B254">VLOOKUP(A254,{Metrik!$C$2:$C$998,Metrik!$B$2:$B$998},2,0)</f>
        <v>PT Bank Negara Indonesia (Persero) Tbk</v>
      </c>
      <c r="C254" s="15">
        <f>IFERROR(__xludf.DUMMYFUNCTION("GOOGLEFINANCE(""IDX:""&amp;A254,""price"")"),3560.0)</f>
        <v>3560</v>
      </c>
      <c r="D254" s="16" t="str">
        <f>IFERROR(__xludf.DUMMYFUNCTION("IF(A254="""","""",
SPARKLINE(
INDEX(
GOOGLEFINANCE(""IDX:""&amp;A254,""close"",TODAY()-365,TODAY()),
,2
),
{""linewidth"",1}
))
"),"#N/A")</f>
        <v>#N/A</v>
      </c>
      <c r="E254" s="14" t="s">
        <v>84</v>
      </c>
      <c r="F254" s="17" t="s">
        <v>51</v>
      </c>
      <c r="G254" s="24">
        <f t="shared" si="1"/>
        <v>22</v>
      </c>
      <c r="H254" s="19">
        <f>VLOOKUP(A254,Metrik!$C$2:$Y$959,8,0)</f>
        <v>6.8</v>
      </c>
      <c r="I254" s="20">
        <f>VLOOKUP(A254,Metrik!$C$2:$Y$959,9,0)</f>
        <v>0.83</v>
      </c>
      <c r="J254" s="20">
        <f>VLOOKUP(A254,Metrik!$C$2:$Y$959,10,0)</f>
        <v>12.3</v>
      </c>
      <c r="K254" s="20">
        <f>VLOOKUP(A254,Metrik!$C$2:$Y$959,11,0)</f>
        <v>1.4</v>
      </c>
      <c r="L254" s="20">
        <f>VLOOKUP(A254,Metrik!$C$2:$Y$959,12,0)</f>
        <v>7.6</v>
      </c>
      <c r="M254" s="20">
        <f>VLOOKUP(A254,Metrik!$C$2:$Y$959,19,0)</f>
        <v>89.9</v>
      </c>
      <c r="N254" s="29">
        <v>3.8</v>
      </c>
      <c r="O254" s="29">
        <v>20.7</v>
      </c>
      <c r="P254" s="29">
        <v>86.4</v>
      </c>
      <c r="Q254" s="29">
        <v>1.9</v>
      </c>
      <c r="R254" s="29">
        <v>72.9</v>
      </c>
      <c r="S254" s="29">
        <v>46.5</v>
      </c>
      <c r="T254" s="29">
        <v>8.5</v>
      </c>
      <c r="U254" s="22">
        <f>IFERROR(__xludf.DUMMYFUNCTION("IFERROR(GOOGLEFINANCE(A254,""closeyest""),"""")"),3500.0)</f>
        <v>3500</v>
      </c>
      <c r="V254" s="23">
        <f>IFERROR(__xludf.DUMMYFUNCTION("IFERROR(GOOGLEFINANCE(A254,""changepct""),"""")"),1.71)</f>
        <v>1.71</v>
      </c>
      <c r="W254" s="22">
        <f>IFERROR(__xludf.DUMMYFUNCTION("IFERROR(GOOGLEFINANCE(A254,""priceopen""),"""")"),3570.0)</f>
        <v>3570</v>
      </c>
      <c r="X254" s="22">
        <f>IFERROR(__xludf.DUMMYFUNCTION("IFERROR(GOOGLEFINANCE(A254,""high""),"""")"),3650.0)</f>
        <v>3650</v>
      </c>
      <c r="Y254" s="22">
        <f>IFERROR(__xludf.DUMMYFUNCTION("IFERROR(GOOGLEFINANCE(A254,""low""),"""")"),3520.0)</f>
        <v>3520</v>
      </c>
      <c r="Z254" s="22">
        <f>IFERROR(__xludf.DUMMYFUNCTION("IFERROR(GOOGLEFINANCE(A254,""volume""),"""")"),7.48241E7)</f>
        <v>74824100</v>
      </c>
      <c r="AA254" s="24" t="str">
        <f>VLOOKUP(A254,Metrik!$C$2:$Y$959,5,0)</f>
        <v>Banks</v>
      </c>
      <c r="AB254" s="24" t="str">
        <f>VLOOKUP(A254,Metrik!$C$2:$Y$959,3,0)</f>
        <v>Financials</v>
      </c>
    </row>
    <row r="255">
      <c r="A255" s="14" t="s">
        <v>167</v>
      </c>
      <c r="B255" s="14" t="str">
        <f t="array" ref="B255">VLOOKUP(A255,{Metrik!$C$2:$C$998,Metrik!$B$2:$B$998},2,0)</f>
        <v>PT Bank Negara Indonesia (Persero) Tbk</v>
      </c>
      <c r="C255" s="15">
        <f>IFERROR(__xludf.DUMMYFUNCTION("GOOGLEFINANCE(""IDX:""&amp;A255,""price"")"),3560.0)</f>
        <v>3560</v>
      </c>
      <c r="D255" s="16" t="str">
        <f>IFERROR(__xludf.DUMMYFUNCTION("IF(A255="""","""",
SPARKLINE(
INDEX(
GOOGLEFINANCE(""IDX:""&amp;A255,""close"",TODAY()-365,TODAY()),
,2
),
{""linewidth"",1}
))
"),"#N/A")</f>
        <v>#N/A</v>
      </c>
      <c r="E255" s="14" t="s">
        <v>31</v>
      </c>
      <c r="F255" s="17" t="s">
        <v>29</v>
      </c>
      <c r="G255" s="24">
        <f t="shared" si="1"/>
        <v>22</v>
      </c>
      <c r="H255" s="19">
        <f>VLOOKUP(A255,Metrik!$C$2:$Y$959,8,0)</f>
        <v>6.8</v>
      </c>
      <c r="I255" s="20">
        <f>VLOOKUP(A255,Metrik!$C$2:$Y$959,9,0)</f>
        <v>0.83</v>
      </c>
      <c r="J255" s="20">
        <f>VLOOKUP(A255,Metrik!$C$2:$Y$959,10,0)</f>
        <v>12.3</v>
      </c>
      <c r="K255" s="20">
        <f>VLOOKUP(A255,Metrik!$C$2:$Y$959,11,0)</f>
        <v>1.4</v>
      </c>
      <c r="L255" s="20">
        <f>VLOOKUP(A255,Metrik!$C$2:$Y$959,12,0)</f>
        <v>7.6</v>
      </c>
      <c r="M255" s="20">
        <f>VLOOKUP(A255,Metrik!$C$2:$Y$959,19,0)</f>
        <v>89.9</v>
      </c>
      <c r="N255" s="29">
        <v>3.8</v>
      </c>
      <c r="O255" s="29">
        <v>20.7</v>
      </c>
      <c r="P255" s="29">
        <v>86.4</v>
      </c>
      <c r="Q255" s="29">
        <v>1.9</v>
      </c>
      <c r="R255" s="29">
        <v>72.9</v>
      </c>
      <c r="S255" s="29">
        <v>46.5</v>
      </c>
      <c r="T255" s="29">
        <v>8.5</v>
      </c>
      <c r="U255" s="22">
        <f>IFERROR(__xludf.DUMMYFUNCTION("IFERROR(GOOGLEFINANCE(A255,""closeyest""),"""")"),3500.0)</f>
        <v>3500</v>
      </c>
      <c r="V255" s="23">
        <f>IFERROR(__xludf.DUMMYFUNCTION("IFERROR(GOOGLEFINANCE(A255,""changepct""),"""")"),1.71)</f>
        <v>1.71</v>
      </c>
      <c r="W255" s="22">
        <f>IFERROR(__xludf.DUMMYFUNCTION("IFERROR(GOOGLEFINANCE(A255,""priceopen""),"""")"),3570.0)</f>
        <v>3570</v>
      </c>
      <c r="X255" s="22">
        <f>IFERROR(__xludf.DUMMYFUNCTION("IFERROR(GOOGLEFINANCE(A255,""high""),"""")"),3650.0)</f>
        <v>3650</v>
      </c>
      <c r="Y255" s="22">
        <f>IFERROR(__xludf.DUMMYFUNCTION("IFERROR(GOOGLEFINANCE(A255,""low""),"""")"),3520.0)</f>
        <v>3520</v>
      </c>
      <c r="Z255" s="22">
        <f>IFERROR(__xludf.DUMMYFUNCTION("IFERROR(GOOGLEFINANCE(A255,""volume""),"""")"),7.48241E7)</f>
        <v>74824100</v>
      </c>
      <c r="AA255" s="24" t="str">
        <f>VLOOKUP(A255,Metrik!$C$2:$Y$959,5,0)</f>
        <v>Banks</v>
      </c>
      <c r="AB255" s="24" t="str">
        <f>VLOOKUP(A255,Metrik!$C$2:$Y$959,3,0)</f>
        <v>Financials</v>
      </c>
    </row>
    <row r="256">
      <c r="A256" s="14" t="s">
        <v>167</v>
      </c>
      <c r="B256" s="14" t="str">
        <f t="array" ref="B256">VLOOKUP(A256,{Metrik!$C$2:$C$998,Metrik!$B$2:$B$998},2,0)</f>
        <v>PT Bank Negara Indonesia (Persero) Tbk</v>
      </c>
      <c r="C256" s="15">
        <f>IFERROR(__xludf.DUMMYFUNCTION("GOOGLEFINANCE(""IDX:""&amp;A256,""price"")"),3560.0)</f>
        <v>3560</v>
      </c>
      <c r="D256" s="16" t="str">
        <f>IFERROR(__xludf.DUMMYFUNCTION("IF(A256="""","""",
SPARKLINE(
INDEX(
GOOGLEFINANCE(""IDX:""&amp;A256,""close"",TODAY()-365,TODAY()),
,2
),
{""linewidth"",1}
))
"),"#N/A")</f>
        <v>#N/A</v>
      </c>
      <c r="E256" s="14" t="s">
        <v>32</v>
      </c>
      <c r="F256" s="14" t="s">
        <v>29</v>
      </c>
      <c r="G256" s="24">
        <f t="shared" si="1"/>
        <v>22</v>
      </c>
      <c r="H256" s="19">
        <f>VLOOKUP(A256,Metrik!$C$2:$Y$959,8,0)</f>
        <v>6.8</v>
      </c>
      <c r="I256" s="20">
        <f>VLOOKUP(A256,Metrik!$C$2:$Y$959,9,0)</f>
        <v>0.83</v>
      </c>
      <c r="J256" s="20">
        <f>VLOOKUP(A256,Metrik!$C$2:$Y$959,10,0)</f>
        <v>12.3</v>
      </c>
      <c r="K256" s="20">
        <f>VLOOKUP(A256,Metrik!$C$2:$Y$959,11,0)</f>
        <v>1.4</v>
      </c>
      <c r="L256" s="20">
        <f>VLOOKUP(A256,Metrik!$C$2:$Y$959,12,0)</f>
        <v>7.6</v>
      </c>
      <c r="M256" s="20">
        <f>VLOOKUP(A256,Metrik!$C$2:$Y$959,19,0)</f>
        <v>89.9</v>
      </c>
      <c r="N256" s="29">
        <v>3.8</v>
      </c>
      <c r="O256" s="29">
        <v>20.7</v>
      </c>
      <c r="P256" s="29">
        <v>86.4</v>
      </c>
      <c r="Q256" s="29">
        <v>1.9</v>
      </c>
      <c r="R256" s="29">
        <v>72.9</v>
      </c>
      <c r="S256" s="29">
        <v>46.5</v>
      </c>
      <c r="T256" s="29">
        <v>8.5</v>
      </c>
      <c r="U256" s="22">
        <f>IFERROR(__xludf.DUMMYFUNCTION("IFERROR(GOOGLEFINANCE(A256,""closeyest""),"""")"),3500.0)</f>
        <v>3500</v>
      </c>
      <c r="V256" s="23">
        <f>IFERROR(__xludf.DUMMYFUNCTION("IFERROR(GOOGLEFINANCE(A256,""changepct""),"""")"),1.71)</f>
        <v>1.71</v>
      </c>
      <c r="W256" s="22">
        <f>IFERROR(__xludf.DUMMYFUNCTION("IFERROR(GOOGLEFINANCE(A256,""priceopen""),"""")"),3570.0)</f>
        <v>3570</v>
      </c>
      <c r="X256" s="22">
        <f>IFERROR(__xludf.DUMMYFUNCTION("IFERROR(GOOGLEFINANCE(A256,""high""),"""")"),3650.0)</f>
        <v>3650</v>
      </c>
      <c r="Y256" s="22">
        <f>IFERROR(__xludf.DUMMYFUNCTION("IFERROR(GOOGLEFINANCE(A256,""low""),"""")"),3520.0)</f>
        <v>3520</v>
      </c>
      <c r="Z256" s="22">
        <f>IFERROR(__xludf.DUMMYFUNCTION("IFERROR(GOOGLEFINANCE(A256,""volume""),"""")"),7.48241E7)</f>
        <v>74824100</v>
      </c>
      <c r="AA256" s="24" t="str">
        <f>VLOOKUP(A256,Metrik!$C$2:$Y$959,5,0)</f>
        <v>Banks</v>
      </c>
      <c r="AB256" s="24" t="str">
        <f>VLOOKUP(A256,Metrik!$C$2:$Y$959,3,0)</f>
        <v>Financials</v>
      </c>
    </row>
    <row r="257">
      <c r="A257" s="14" t="s">
        <v>167</v>
      </c>
      <c r="B257" s="14" t="str">
        <f t="array" ref="B257">VLOOKUP(A257,{Metrik!$C$2:$C$998,Metrik!$B$2:$B$998},2,0)</f>
        <v>PT Bank Negara Indonesia (Persero) Tbk</v>
      </c>
      <c r="C257" s="15">
        <f>IFERROR(__xludf.DUMMYFUNCTION("GOOGLEFINANCE(""IDX:""&amp;A257,""price"")"),3560.0)</f>
        <v>3560</v>
      </c>
      <c r="D257" s="16" t="str">
        <f>IFERROR(__xludf.DUMMYFUNCTION("IF(A257="""","""",
SPARKLINE(
INDEX(
GOOGLEFINANCE(""IDX:""&amp;A257,""close"",TODAY()-365,TODAY()),
,2
),
{""linewidth"",1}
))
"),"#N/A")</f>
        <v>#N/A</v>
      </c>
      <c r="E257" s="14" t="s">
        <v>30</v>
      </c>
      <c r="F257" s="17" t="s">
        <v>29</v>
      </c>
      <c r="G257" s="24">
        <f t="shared" si="1"/>
        <v>22</v>
      </c>
      <c r="H257" s="19">
        <f>VLOOKUP(A257,Metrik!$C$2:$Y$959,8,0)</f>
        <v>6.8</v>
      </c>
      <c r="I257" s="20">
        <f>VLOOKUP(A257,Metrik!$C$2:$Y$959,9,0)</f>
        <v>0.83</v>
      </c>
      <c r="J257" s="20">
        <f>VLOOKUP(A257,Metrik!$C$2:$Y$959,10,0)</f>
        <v>12.3</v>
      </c>
      <c r="K257" s="20">
        <f>VLOOKUP(A257,Metrik!$C$2:$Y$959,11,0)</f>
        <v>1.4</v>
      </c>
      <c r="L257" s="20">
        <f>VLOOKUP(A257,Metrik!$C$2:$Y$959,12,0)</f>
        <v>7.6</v>
      </c>
      <c r="M257" s="20">
        <f>VLOOKUP(A257,Metrik!$C$2:$Y$959,19,0)</f>
        <v>89.9</v>
      </c>
      <c r="N257" s="29">
        <v>3.8</v>
      </c>
      <c r="O257" s="29">
        <v>20.7</v>
      </c>
      <c r="P257" s="29">
        <v>86.4</v>
      </c>
      <c r="Q257" s="29">
        <v>1.9</v>
      </c>
      <c r="R257" s="29">
        <v>72.9</v>
      </c>
      <c r="S257" s="29">
        <v>46.5</v>
      </c>
      <c r="T257" s="29">
        <v>8.5</v>
      </c>
      <c r="U257" s="22">
        <f>IFERROR(__xludf.DUMMYFUNCTION("IFERROR(GOOGLEFINANCE(A257,""closeyest""),"""")"),3500.0)</f>
        <v>3500</v>
      </c>
      <c r="V257" s="23">
        <f>IFERROR(__xludf.DUMMYFUNCTION("IFERROR(GOOGLEFINANCE(A257,""changepct""),"""")"),1.71)</f>
        <v>1.71</v>
      </c>
      <c r="W257" s="22">
        <f>IFERROR(__xludf.DUMMYFUNCTION("IFERROR(GOOGLEFINANCE(A257,""priceopen""),"""")"),3570.0)</f>
        <v>3570</v>
      </c>
      <c r="X257" s="22">
        <f>IFERROR(__xludf.DUMMYFUNCTION("IFERROR(GOOGLEFINANCE(A257,""high""),"""")"),3650.0)</f>
        <v>3650</v>
      </c>
      <c r="Y257" s="22">
        <f>IFERROR(__xludf.DUMMYFUNCTION("IFERROR(GOOGLEFINANCE(A257,""low""),"""")"),3520.0)</f>
        <v>3520</v>
      </c>
      <c r="Z257" s="22">
        <f>IFERROR(__xludf.DUMMYFUNCTION("IFERROR(GOOGLEFINANCE(A257,""volume""),"""")"),7.48241E7)</f>
        <v>74824100</v>
      </c>
      <c r="AA257" s="24" t="str">
        <f>VLOOKUP(A257,Metrik!$C$2:$Y$959,5,0)</f>
        <v>Banks</v>
      </c>
      <c r="AB257" s="24" t="str">
        <f>VLOOKUP(A257,Metrik!$C$2:$Y$959,3,0)</f>
        <v>Financials</v>
      </c>
    </row>
    <row r="258">
      <c r="A258" s="14" t="s">
        <v>167</v>
      </c>
      <c r="B258" s="14" t="str">
        <f t="array" ref="B258">VLOOKUP(A258,{Metrik!$C$2:$C$998,Metrik!$B$2:$B$998},2,0)</f>
        <v>PT Bank Negara Indonesia (Persero) Tbk</v>
      </c>
      <c r="C258" s="15">
        <f>IFERROR(__xludf.DUMMYFUNCTION("GOOGLEFINANCE(""IDX:""&amp;A258,""price"")"),3560.0)</f>
        <v>3560</v>
      </c>
      <c r="D258" s="16" t="str">
        <f>IFERROR(__xludf.DUMMYFUNCTION("IF(A258="""","""",
SPARKLINE(
INDEX(
GOOGLEFINANCE(""IDX:""&amp;A258,""close"",TODAY()-365,TODAY()),
,2
),
{""linewidth"",1}
))
"),"#N/A")</f>
        <v>#N/A</v>
      </c>
      <c r="E258" s="14" t="s">
        <v>67</v>
      </c>
      <c r="F258" s="17" t="s">
        <v>51</v>
      </c>
      <c r="G258" s="24">
        <f t="shared" si="1"/>
        <v>22</v>
      </c>
      <c r="H258" s="19">
        <f>VLOOKUP(A258,Metrik!$C$2:$Y$959,8,0)</f>
        <v>6.8</v>
      </c>
      <c r="I258" s="20">
        <f>VLOOKUP(A258,Metrik!$C$2:$Y$959,9,0)</f>
        <v>0.83</v>
      </c>
      <c r="J258" s="20">
        <f>VLOOKUP(A258,Metrik!$C$2:$Y$959,10,0)</f>
        <v>12.3</v>
      </c>
      <c r="K258" s="20">
        <f>VLOOKUP(A258,Metrik!$C$2:$Y$959,11,0)</f>
        <v>1.4</v>
      </c>
      <c r="L258" s="20">
        <f>VLOOKUP(A258,Metrik!$C$2:$Y$959,12,0)</f>
        <v>7.6</v>
      </c>
      <c r="M258" s="20">
        <f>VLOOKUP(A258,Metrik!$C$2:$Y$959,19,0)</f>
        <v>89.9</v>
      </c>
      <c r="N258" s="29">
        <v>3.8</v>
      </c>
      <c r="O258" s="29">
        <v>20.7</v>
      </c>
      <c r="P258" s="29">
        <v>86.4</v>
      </c>
      <c r="Q258" s="29">
        <v>1.9</v>
      </c>
      <c r="R258" s="29">
        <v>72.9</v>
      </c>
      <c r="S258" s="29">
        <v>46.5</v>
      </c>
      <c r="T258" s="29">
        <v>8.5</v>
      </c>
      <c r="U258" s="22">
        <f>IFERROR(__xludf.DUMMYFUNCTION("IFERROR(GOOGLEFINANCE(A258,""closeyest""),"""")"),3500.0)</f>
        <v>3500</v>
      </c>
      <c r="V258" s="23">
        <f>IFERROR(__xludf.DUMMYFUNCTION("IFERROR(GOOGLEFINANCE(A258,""changepct""),"""")"),1.71)</f>
        <v>1.71</v>
      </c>
      <c r="W258" s="22">
        <f>IFERROR(__xludf.DUMMYFUNCTION("IFERROR(GOOGLEFINANCE(A258,""priceopen""),"""")"),3570.0)</f>
        <v>3570</v>
      </c>
      <c r="X258" s="22">
        <f>IFERROR(__xludf.DUMMYFUNCTION("IFERROR(GOOGLEFINANCE(A258,""high""),"""")"),3650.0)</f>
        <v>3650</v>
      </c>
      <c r="Y258" s="22">
        <f>IFERROR(__xludf.DUMMYFUNCTION("IFERROR(GOOGLEFINANCE(A258,""low""),"""")"),3520.0)</f>
        <v>3520</v>
      </c>
      <c r="Z258" s="22">
        <f>IFERROR(__xludf.DUMMYFUNCTION("IFERROR(GOOGLEFINANCE(A258,""volume""),"""")"),7.48241E7)</f>
        <v>74824100</v>
      </c>
      <c r="AA258" s="24" t="str">
        <f>VLOOKUP(A258,Metrik!$C$2:$Y$959,5,0)</f>
        <v>Banks</v>
      </c>
      <c r="AB258" s="24" t="str">
        <f>VLOOKUP(A258,Metrik!$C$2:$Y$959,3,0)</f>
        <v>Financials</v>
      </c>
    </row>
    <row r="259">
      <c r="A259" s="14" t="s">
        <v>167</v>
      </c>
      <c r="B259" s="14" t="str">
        <f t="array" ref="B259">VLOOKUP(A259,{Metrik!$C$2:$C$998,Metrik!$B$2:$B$998},2,0)</f>
        <v>PT Bank Negara Indonesia (Persero) Tbk</v>
      </c>
      <c r="C259" s="15">
        <f>IFERROR(__xludf.DUMMYFUNCTION("GOOGLEFINANCE(""IDX:""&amp;A259,""price"")"),3560.0)</f>
        <v>3560</v>
      </c>
      <c r="D259" s="16" t="str">
        <f>IFERROR(__xludf.DUMMYFUNCTION("IF(A259="""","""",
SPARKLINE(
INDEX(
GOOGLEFINANCE(""IDX:""&amp;A259,""close"",TODAY()-365,TODAY()),
,2
),
{""linewidth"",1}
))
"),"#N/A")</f>
        <v>#N/A</v>
      </c>
      <c r="E259" s="14" t="s">
        <v>85</v>
      </c>
      <c r="F259" s="17" t="s">
        <v>51</v>
      </c>
      <c r="G259" s="24">
        <f t="shared" si="1"/>
        <v>22</v>
      </c>
      <c r="H259" s="19">
        <f>VLOOKUP(A259,Metrik!$C$2:$Y$959,8,0)</f>
        <v>6.8</v>
      </c>
      <c r="I259" s="20">
        <f>VLOOKUP(A259,Metrik!$C$2:$Y$959,9,0)</f>
        <v>0.83</v>
      </c>
      <c r="J259" s="20">
        <f>VLOOKUP(A259,Metrik!$C$2:$Y$959,10,0)</f>
        <v>12.3</v>
      </c>
      <c r="K259" s="20">
        <f>VLOOKUP(A259,Metrik!$C$2:$Y$959,11,0)</f>
        <v>1.4</v>
      </c>
      <c r="L259" s="20">
        <f>VLOOKUP(A259,Metrik!$C$2:$Y$959,12,0)</f>
        <v>7.6</v>
      </c>
      <c r="M259" s="20">
        <f>VLOOKUP(A259,Metrik!$C$2:$Y$959,19,0)</f>
        <v>89.9</v>
      </c>
      <c r="N259" s="29">
        <v>3.8</v>
      </c>
      <c r="O259" s="29">
        <v>20.7</v>
      </c>
      <c r="P259" s="29">
        <v>86.4</v>
      </c>
      <c r="Q259" s="29">
        <v>1.9</v>
      </c>
      <c r="R259" s="29">
        <v>72.9</v>
      </c>
      <c r="S259" s="29">
        <v>46.5</v>
      </c>
      <c r="T259" s="29">
        <v>8.5</v>
      </c>
      <c r="U259" s="22">
        <f>IFERROR(__xludf.DUMMYFUNCTION("IFERROR(GOOGLEFINANCE(A259,""closeyest""),"""")"),3500.0)</f>
        <v>3500</v>
      </c>
      <c r="V259" s="23">
        <f>IFERROR(__xludf.DUMMYFUNCTION("IFERROR(GOOGLEFINANCE(A259,""changepct""),"""")"),1.71)</f>
        <v>1.71</v>
      </c>
      <c r="W259" s="22">
        <f>IFERROR(__xludf.DUMMYFUNCTION("IFERROR(GOOGLEFINANCE(A259,""priceopen""),"""")"),3570.0)</f>
        <v>3570</v>
      </c>
      <c r="X259" s="22">
        <f>IFERROR(__xludf.DUMMYFUNCTION("IFERROR(GOOGLEFINANCE(A259,""high""),"""")"),3650.0)</f>
        <v>3650</v>
      </c>
      <c r="Y259" s="22">
        <f>IFERROR(__xludf.DUMMYFUNCTION("IFERROR(GOOGLEFINANCE(A259,""low""),"""")"),3520.0)</f>
        <v>3520</v>
      </c>
      <c r="Z259" s="22">
        <f>IFERROR(__xludf.DUMMYFUNCTION("IFERROR(GOOGLEFINANCE(A259,""volume""),"""")"),7.48241E7)</f>
        <v>74824100</v>
      </c>
      <c r="AA259" s="24" t="str">
        <f>VLOOKUP(A259,Metrik!$C$2:$Y$959,5,0)</f>
        <v>Banks</v>
      </c>
      <c r="AB259" s="24" t="str">
        <f>VLOOKUP(A259,Metrik!$C$2:$Y$959,3,0)</f>
        <v>Financials</v>
      </c>
    </row>
    <row r="260">
      <c r="A260" s="14" t="s">
        <v>167</v>
      </c>
      <c r="B260" s="14" t="str">
        <f t="array" ref="B260">VLOOKUP(A260,{Metrik!$C$2:$C$998,Metrik!$B$2:$B$998},2,0)</f>
        <v>PT Bank Negara Indonesia (Persero) Tbk</v>
      </c>
      <c r="C260" s="15">
        <f>IFERROR(__xludf.DUMMYFUNCTION("GOOGLEFINANCE(""IDX:""&amp;A260,""price"")"),3560.0)</f>
        <v>3560</v>
      </c>
      <c r="D260" s="16" t="str">
        <f>IFERROR(__xludf.DUMMYFUNCTION("IF(A260="""","""",
SPARKLINE(
INDEX(
GOOGLEFINANCE(""IDX:""&amp;A260,""close"",TODAY()-365,TODAY()),
,2
),
{""linewidth"",1}
))
"),"#N/A")</f>
        <v>#N/A</v>
      </c>
      <c r="E260" s="14" t="s">
        <v>33</v>
      </c>
      <c r="F260" s="14" t="s">
        <v>34</v>
      </c>
      <c r="G260" s="24">
        <f t="shared" si="1"/>
        <v>22</v>
      </c>
      <c r="H260" s="19">
        <f>VLOOKUP(A260,Metrik!$C$2:$Y$959,8,0)</f>
        <v>6.8</v>
      </c>
      <c r="I260" s="20">
        <f>VLOOKUP(A260,Metrik!$C$2:$Y$959,9,0)</f>
        <v>0.83</v>
      </c>
      <c r="J260" s="20">
        <f>VLOOKUP(A260,Metrik!$C$2:$Y$959,10,0)</f>
        <v>12.3</v>
      </c>
      <c r="K260" s="20">
        <f>VLOOKUP(A260,Metrik!$C$2:$Y$959,11,0)</f>
        <v>1.4</v>
      </c>
      <c r="L260" s="20">
        <f>VLOOKUP(A260,Metrik!$C$2:$Y$959,12,0)</f>
        <v>7.6</v>
      </c>
      <c r="M260" s="20">
        <f>VLOOKUP(A260,Metrik!$C$2:$Y$959,19,0)</f>
        <v>89.9</v>
      </c>
      <c r="N260" s="29">
        <v>3.8</v>
      </c>
      <c r="O260" s="29">
        <v>20.7</v>
      </c>
      <c r="P260" s="29">
        <v>86.4</v>
      </c>
      <c r="Q260" s="29">
        <v>1.9</v>
      </c>
      <c r="R260" s="29">
        <v>72.9</v>
      </c>
      <c r="S260" s="29">
        <v>46.5</v>
      </c>
      <c r="T260" s="29">
        <v>8.5</v>
      </c>
      <c r="U260" s="22">
        <f>IFERROR(__xludf.DUMMYFUNCTION("IFERROR(GOOGLEFINANCE(A260,""closeyest""),"""")"),3500.0)</f>
        <v>3500</v>
      </c>
      <c r="V260" s="23">
        <f>IFERROR(__xludf.DUMMYFUNCTION("IFERROR(GOOGLEFINANCE(A260,""changepct""),"""")"),1.71)</f>
        <v>1.71</v>
      </c>
      <c r="W260" s="22">
        <f>IFERROR(__xludf.DUMMYFUNCTION("IFERROR(GOOGLEFINANCE(A260,""priceopen""),"""")"),3570.0)</f>
        <v>3570</v>
      </c>
      <c r="X260" s="22">
        <f>IFERROR(__xludf.DUMMYFUNCTION("IFERROR(GOOGLEFINANCE(A260,""high""),"""")"),3650.0)</f>
        <v>3650</v>
      </c>
      <c r="Y260" s="22">
        <f>IFERROR(__xludf.DUMMYFUNCTION("IFERROR(GOOGLEFINANCE(A260,""low""),"""")"),3520.0)</f>
        <v>3520</v>
      </c>
      <c r="Z260" s="22">
        <f>IFERROR(__xludf.DUMMYFUNCTION("IFERROR(GOOGLEFINANCE(A260,""volume""),"""")"),7.48241E7)</f>
        <v>74824100</v>
      </c>
      <c r="AA260" s="24" t="str">
        <f>VLOOKUP(A260,Metrik!$C$2:$Y$959,5,0)</f>
        <v>Banks</v>
      </c>
      <c r="AB260" s="24" t="str">
        <f>VLOOKUP(A260,Metrik!$C$2:$Y$959,3,0)</f>
        <v>Financials</v>
      </c>
    </row>
    <row r="261">
      <c r="A261" s="14" t="s">
        <v>167</v>
      </c>
      <c r="B261" s="14" t="str">
        <f t="array" ref="B261">VLOOKUP(A261,{Metrik!$C$2:$C$998,Metrik!$B$2:$B$998},2,0)</f>
        <v>PT Bank Negara Indonesia (Persero) Tbk</v>
      </c>
      <c r="C261" s="15">
        <f>IFERROR(__xludf.DUMMYFUNCTION("GOOGLEFINANCE(""IDX:""&amp;A261,""price"")"),3560.0)</f>
        <v>3560</v>
      </c>
      <c r="D261" s="16" t="str">
        <f>IFERROR(__xludf.DUMMYFUNCTION("IF(A261="""","""",
SPARKLINE(
INDEX(
GOOGLEFINANCE(""IDX:""&amp;A261,""close"",TODAY()-365,TODAY()),
,2
),
{""linewidth"",1}
))
"),"#N/A")</f>
        <v>#N/A</v>
      </c>
      <c r="E261" s="14" t="s">
        <v>61</v>
      </c>
      <c r="F261" s="14" t="s">
        <v>34</v>
      </c>
      <c r="G261" s="24">
        <f t="shared" si="1"/>
        <v>22</v>
      </c>
      <c r="H261" s="19">
        <f>VLOOKUP(A261,Metrik!$C$2:$Y$959,8,0)</f>
        <v>6.8</v>
      </c>
      <c r="I261" s="20">
        <f>VLOOKUP(A261,Metrik!$C$2:$Y$959,9,0)</f>
        <v>0.83</v>
      </c>
      <c r="J261" s="20">
        <f>VLOOKUP(A261,Metrik!$C$2:$Y$959,10,0)</f>
        <v>12.3</v>
      </c>
      <c r="K261" s="20">
        <f>VLOOKUP(A261,Metrik!$C$2:$Y$959,11,0)</f>
        <v>1.4</v>
      </c>
      <c r="L261" s="20">
        <f>VLOOKUP(A261,Metrik!$C$2:$Y$959,12,0)</f>
        <v>7.6</v>
      </c>
      <c r="M261" s="20">
        <f>VLOOKUP(A261,Metrik!$C$2:$Y$959,19,0)</f>
        <v>89.9</v>
      </c>
      <c r="N261" s="29">
        <v>3.8</v>
      </c>
      <c r="O261" s="29">
        <v>20.7</v>
      </c>
      <c r="P261" s="29">
        <v>86.4</v>
      </c>
      <c r="Q261" s="29">
        <v>1.9</v>
      </c>
      <c r="R261" s="29">
        <v>72.9</v>
      </c>
      <c r="S261" s="29">
        <v>46.5</v>
      </c>
      <c r="T261" s="29">
        <v>8.5</v>
      </c>
      <c r="U261" s="22">
        <f>IFERROR(__xludf.DUMMYFUNCTION("IFERROR(GOOGLEFINANCE(A261,""closeyest""),"""")"),3500.0)</f>
        <v>3500</v>
      </c>
      <c r="V261" s="23">
        <f>IFERROR(__xludf.DUMMYFUNCTION("IFERROR(GOOGLEFINANCE(A261,""changepct""),"""")"),1.71)</f>
        <v>1.71</v>
      </c>
      <c r="W261" s="22">
        <f>IFERROR(__xludf.DUMMYFUNCTION("IFERROR(GOOGLEFINANCE(A261,""priceopen""),"""")"),3570.0)</f>
        <v>3570</v>
      </c>
      <c r="X261" s="22">
        <f>IFERROR(__xludf.DUMMYFUNCTION("IFERROR(GOOGLEFINANCE(A261,""high""),"""")"),3650.0)</f>
        <v>3650</v>
      </c>
      <c r="Y261" s="22">
        <f>IFERROR(__xludf.DUMMYFUNCTION("IFERROR(GOOGLEFINANCE(A261,""low""),"""")"),3520.0)</f>
        <v>3520</v>
      </c>
      <c r="Z261" s="22">
        <f>IFERROR(__xludf.DUMMYFUNCTION("IFERROR(GOOGLEFINANCE(A261,""volume""),"""")"),7.48241E7)</f>
        <v>74824100</v>
      </c>
      <c r="AA261" s="24" t="str">
        <f>VLOOKUP(A261,Metrik!$C$2:$Y$959,5,0)</f>
        <v>Banks</v>
      </c>
      <c r="AB261" s="24" t="str">
        <f>VLOOKUP(A261,Metrik!$C$2:$Y$959,3,0)</f>
        <v>Financials</v>
      </c>
    </row>
    <row r="262">
      <c r="A262" s="14" t="s">
        <v>167</v>
      </c>
      <c r="B262" s="14" t="str">
        <f t="array" ref="B262">VLOOKUP(A262,{Metrik!$C$2:$C$998,Metrik!$B$2:$B$998},2,0)</f>
        <v>PT Bank Negara Indonesia (Persero) Tbk</v>
      </c>
      <c r="C262" s="15">
        <f>IFERROR(__xludf.DUMMYFUNCTION("GOOGLEFINANCE(""IDX:""&amp;A262,""price"")"),3560.0)</f>
        <v>3560</v>
      </c>
      <c r="D262" s="16" t="str">
        <f>IFERROR(__xludf.DUMMYFUNCTION("IF(A262="""","""",
SPARKLINE(
INDEX(
GOOGLEFINANCE(""IDX:""&amp;A262,""close"",TODAY()-365,TODAY()),
,2
),
{""linewidth"",1}
))
"),"#N/A")</f>
        <v>#N/A</v>
      </c>
      <c r="E262" s="14" t="s">
        <v>161</v>
      </c>
      <c r="F262" s="14" t="s">
        <v>76</v>
      </c>
      <c r="G262" s="24">
        <f t="shared" si="1"/>
        <v>22</v>
      </c>
      <c r="H262" s="19">
        <f>VLOOKUP(A262,Metrik!$C$2:$Y$959,8,0)</f>
        <v>6.8</v>
      </c>
      <c r="I262" s="20">
        <f>VLOOKUP(A262,Metrik!$C$2:$Y$959,9,0)</f>
        <v>0.83</v>
      </c>
      <c r="J262" s="20">
        <f>VLOOKUP(A262,Metrik!$C$2:$Y$959,10,0)</f>
        <v>12.3</v>
      </c>
      <c r="K262" s="20">
        <f>VLOOKUP(A262,Metrik!$C$2:$Y$959,11,0)</f>
        <v>1.4</v>
      </c>
      <c r="L262" s="20">
        <f>VLOOKUP(A262,Metrik!$C$2:$Y$959,12,0)</f>
        <v>7.6</v>
      </c>
      <c r="M262" s="20">
        <f>VLOOKUP(A262,Metrik!$C$2:$Y$959,19,0)</f>
        <v>89.9</v>
      </c>
      <c r="N262" s="29">
        <v>3.8</v>
      </c>
      <c r="O262" s="29">
        <v>20.7</v>
      </c>
      <c r="P262" s="29">
        <v>86.4</v>
      </c>
      <c r="Q262" s="29">
        <v>1.9</v>
      </c>
      <c r="R262" s="29">
        <v>72.9</v>
      </c>
      <c r="S262" s="29">
        <v>46.5</v>
      </c>
      <c r="T262" s="29">
        <v>8.5</v>
      </c>
      <c r="U262" s="22">
        <f>IFERROR(__xludf.DUMMYFUNCTION("IFERROR(GOOGLEFINANCE(A262,""closeyest""),"""")"),3500.0)</f>
        <v>3500</v>
      </c>
      <c r="V262" s="23">
        <f>IFERROR(__xludf.DUMMYFUNCTION("IFERROR(GOOGLEFINANCE(A262,""changepct""),"""")"),1.71)</f>
        <v>1.71</v>
      </c>
      <c r="W262" s="22">
        <f>IFERROR(__xludf.DUMMYFUNCTION("IFERROR(GOOGLEFINANCE(A262,""priceopen""),"""")"),3570.0)</f>
        <v>3570</v>
      </c>
      <c r="X262" s="22">
        <f>IFERROR(__xludf.DUMMYFUNCTION("IFERROR(GOOGLEFINANCE(A262,""high""),"""")"),3650.0)</f>
        <v>3650</v>
      </c>
      <c r="Y262" s="22">
        <f>IFERROR(__xludf.DUMMYFUNCTION("IFERROR(GOOGLEFINANCE(A262,""low""),"""")"),3520.0)</f>
        <v>3520</v>
      </c>
      <c r="Z262" s="22">
        <f>IFERROR(__xludf.DUMMYFUNCTION("IFERROR(GOOGLEFINANCE(A262,""volume""),"""")"),7.48241E7)</f>
        <v>74824100</v>
      </c>
      <c r="AA262" s="24" t="str">
        <f>VLOOKUP(A262,Metrik!$C$2:$Y$959,5,0)</f>
        <v>Banks</v>
      </c>
      <c r="AB262" s="24" t="str">
        <f>VLOOKUP(A262,Metrik!$C$2:$Y$959,3,0)</f>
        <v>Financials</v>
      </c>
    </row>
    <row r="263">
      <c r="A263" s="14" t="s">
        <v>167</v>
      </c>
      <c r="B263" s="14" t="str">
        <f t="array" ref="B263">VLOOKUP(A263,{Metrik!$C$2:$C$998,Metrik!$B$2:$B$998},2,0)</f>
        <v>PT Bank Negara Indonesia (Persero) Tbk</v>
      </c>
      <c r="C263" s="15">
        <f>IFERROR(__xludf.DUMMYFUNCTION("GOOGLEFINANCE(""IDX:""&amp;A263,""price"")"),3560.0)</f>
        <v>3560</v>
      </c>
      <c r="D263" s="16" t="str">
        <f>IFERROR(__xludf.DUMMYFUNCTION("IF(A263="""","""",
SPARKLINE(
INDEX(
GOOGLEFINANCE(""IDX:""&amp;A263,""close"",TODAY()-365,TODAY()),
,2
),
{""linewidth"",1}
))
"),"#N/A")</f>
        <v>#N/A</v>
      </c>
      <c r="E263" s="14" t="s">
        <v>162</v>
      </c>
      <c r="F263" s="14" t="s">
        <v>76</v>
      </c>
      <c r="G263" s="24">
        <f t="shared" si="1"/>
        <v>22</v>
      </c>
      <c r="H263" s="19">
        <f>VLOOKUP(A263,Metrik!$C$2:$Y$959,8,0)</f>
        <v>6.8</v>
      </c>
      <c r="I263" s="20">
        <f>VLOOKUP(A263,Metrik!$C$2:$Y$959,9,0)</f>
        <v>0.83</v>
      </c>
      <c r="J263" s="20">
        <f>VLOOKUP(A263,Metrik!$C$2:$Y$959,10,0)</f>
        <v>12.3</v>
      </c>
      <c r="K263" s="20">
        <f>VLOOKUP(A263,Metrik!$C$2:$Y$959,11,0)</f>
        <v>1.4</v>
      </c>
      <c r="L263" s="20">
        <f>VLOOKUP(A263,Metrik!$C$2:$Y$959,12,0)</f>
        <v>7.6</v>
      </c>
      <c r="M263" s="20">
        <f>VLOOKUP(A263,Metrik!$C$2:$Y$959,19,0)</f>
        <v>89.9</v>
      </c>
      <c r="N263" s="29">
        <v>3.8</v>
      </c>
      <c r="O263" s="29">
        <v>20.7</v>
      </c>
      <c r="P263" s="29">
        <v>86.4</v>
      </c>
      <c r="Q263" s="29">
        <v>1.9</v>
      </c>
      <c r="R263" s="29">
        <v>72.9</v>
      </c>
      <c r="S263" s="29">
        <v>46.5</v>
      </c>
      <c r="T263" s="29">
        <v>8.5</v>
      </c>
      <c r="U263" s="22">
        <f>IFERROR(__xludf.DUMMYFUNCTION("IFERROR(GOOGLEFINANCE(A263,""closeyest""),"""")"),3500.0)</f>
        <v>3500</v>
      </c>
      <c r="V263" s="23">
        <f>IFERROR(__xludf.DUMMYFUNCTION("IFERROR(GOOGLEFINANCE(A263,""changepct""),"""")"),1.71)</f>
        <v>1.71</v>
      </c>
      <c r="W263" s="22">
        <f>IFERROR(__xludf.DUMMYFUNCTION("IFERROR(GOOGLEFINANCE(A263,""priceopen""),"""")"),3570.0)</f>
        <v>3570</v>
      </c>
      <c r="X263" s="22">
        <f>IFERROR(__xludf.DUMMYFUNCTION("IFERROR(GOOGLEFINANCE(A263,""high""),"""")"),3650.0)</f>
        <v>3650</v>
      </c>
      <c r="Y263" s="22">
        <f>IFERROR(__xludf.DUMMYFUNCTION("IFERROR(GOOGLEFINANCE(A263,""low""),"""")"),3520.0)</f>
        <v>3520</v>
      </c>
      <c r="Z263" s="22">
        <f>IFERROR(__xludf.DUMMYFUNCTION("IFERROR(GOOGLEFINANCE(A263,""volume""),"""")"),7.48241E7)</f>
        <v>74824100</v>
      </c>
      <c r="AA263" s="24" t="str">
        <f>VLOOKUP(A263,Metrik!$C$2:$Y$959,5,0)</f>
        <v>Banks</v>
      </c>
      <c r="AB263" s="24" t="str">
        <f>VLOOKUP(A263,Metrik!$C$2:$Y$959,3,0)</f>
        <v>Financials</v>
      </c>
    </row>
    <row r="264">
      <c r="A264" s="17" t="s">
        <v>167</v>
      </c>
      <c r="B264" s="14" t="str">
        <f t="array" ref="B264">VLOOKUP(A264,{Metrik!$C$2:$C$998,Metrik!$B$2:$B$998},2,0)</f>
        <v>PT Bank Negara Indonesia (Persero) Tbk</v>
      </c>
      <c r="C264" s="15">
        <f>IFERROR(__xludf.DUMMYFUNCTION("GOOGLEFINANCE(""IDX:""&amp;A264,""price"")"),3560.0)</f>
        <v>3560</v>
      </c>
      <c r="D264" s="16" t="str">
        <f>IFERROR(__xludf.DUMMYFUNCTION("IF(A264="""","""",
SPARKLINE(
INDEX(
GOOGLEFINANCE(""IDX:""&amp;A264,""close"",TODAY()-365,TODAY()),
,2
),
{""linewidth"",1}
))
"),"#N/A")</f>
        <v>#N/A</v>
      </c>
      <c r="E264" s="17" t="s">
        <v>69</v>
      </c>
      <c r="F264" s="17" t="s">
        <v>70</v>
      </c>
      <c r="G264" s="24">
        <f t="shared" si="1"/>
        <v>22</v>
      </c>
      <c r="H264" s="19">
        <f>VLOOKUP(A264,Metrik!$C$2:$Y$959,8,0)</f>
        <v>6.8</v>
      </c>
      <c r="I264" s="20">
        <f>VLOOKUP(A264,Metrik!$C$2:$Y$959,9,0)</f>
        <v>0.83</v>
      </c>
      <c r="J264" s="20">
        <f>VLOOKUP(A264,Metrik!$C$2:$Y$959,10,0)</f>
        <v>12.3</v>
      </c>
      <c r="K264" s="20">
        <f>VLOOKUP(A264,Metrik!$C$2:$Y$959,11,0)</f>
        <v>1.4</v>
      </c>
      <c r="L264" s="20">
        <f>VLOOKUP(A264,Metrik!$C$2:$Y$959,12,0)</f>
        <v>7.6</v>
      </c>
      <c r="M264" s="20">
        <f>VLOOKUP(A264,Metrik!$C$2:$Y$959,19,0)</f>
        <v>89.9</v>
      </c>
      <c r="N264" s="29">
        <v>3.8</v>
      </c>
      <c r="O264" s="29">
        <v>20.7</v>
      </c>
      <c r="P264" s="29">
        <v>86.4</v>
      </c>
      <c r="Q264" s="29">
        <v>1.9</v>
      </c>
      <c r="R264" s="29">
        <v>72.9</v>
      </c>
      <c r="S264" s="29">
        <v>46.5</v>
      </c>
      <c r="T264" s="29">
        <v>8.5</v>
      </c>
      <c r="U264" s="22">
        <f>IFERROR(__xludf.DUMMYFUNCTION("IFERROR(GOOGLEFINANCE(A264,""closeyest""),"""")"),3500.0)</f>
        <v>3500</v>
      </c>
      <c r="V264" s="23">
        <f>IFERROR(__xludf.DUMMYFUNCTION("IFERROR(GOOGLEFINANCE(A264,""changepct""),"""")"),1.71)</f>
        <v>1.71</v>
      </c>
      <c r="W264" s="22">
        <f>IFERROR(__xludf.DUMMYFUNCTION("IFERROR(GOOGLEFINANCE(A264,""priceopen""),"""")"),3570.0)</f>
        <v>3570</v>
      </c>
      <c r="X264" s="22">
        <f>IFERROR(__xludf.DUMMYFUNCTION("IFERROR(GOOGLEFINANCE(A264,""high""),"""")"),3650.0)</f>
        <v>3650</v>
      </c>
      <c r="Y264" s="22">
        <f>IFERROR(__xludf.DUMMYFUNCTION("IFERROR(GOOGLEFINANCE(A264,""low""),"""")"),3520.0)</f>
        <v>3520</v>
      </c>
      <c r="Z264" s="22">
        <f>IFERROR(__xludf.DUMMYFUNCTION("IFERROR(GOOGLEFINANCE(A264,""volume""),"""")"),7.48241E7)</f>
        <v>74824100</v>
      </c>
      <c r="AA264" s="24" t="str">
        <f>VLOOKUP(A264,Metrik!$C$2:$Y$959,5,0)</f>
        <v>Banks</v>
      </c>
      <c r="AB264" s="24" t="str">
        <f>VLOOKUP(A264,Metrik!$C$2:$Y$959,3,0)</f>
        <v>Financials</v>
      </c>
    </row>
    <row r="265">
      <c r="A265" s="14" t="s">
        <v>167</v>
      </c>
      <c r="B265" s="14" t="str">
        <f t="array" ref="B265">VLOOKUP(A265,{Metrik!$C$2:$C$998,Metrik!$B$2:$B$998},2,0)</f>
        <v>PT Bank Negara Indonesia (Persero) Tbk</v>
      </c>
      <c r="C265" s="15">
        <f>IFERROR(__xludf.DUMMYFUNCTION("GOOGLEFINANCE(""IDX:""&amp;A265,""price"")"),3560.0)</f>
        <v>3560</v>
      </c>
      <c r="D265" s="16" t="str">
        <f>IFERROR(__xludf.DUMMYFUNCTION("IF(A265="""","""",
SPARKLINE(
INDEX(
GOOGLEFINANCE(""IDX:""&amp;A265,""close"",TODAY()-365,TODAY()),
,2
),
{""linewidth"",1}
))
"),"#N/A")</f>
        <v>#N/A</v>
      </c>
      <c r="E265" s="14" t="s">
        <v>55</v>
      </c>
      <c r="F265" s="25">
        <v>46356.0</v>
      </c>
      <c r="G265" s="24">
        <f t="shared" si="1"/>
        <v>22</v>
      </c>
      <c r="H265" s="19">
        <f>VLOOKUP(A265,Metrik!$C$2:$Y$959,8,0)</f>
        <v>6.8</v>
      </c>
      <c r="I265" s="20">
        <f>VLOOKUP(A265,Metrik!$C$2:$Y$959,9,0)</f>
        <v>0.83</v>
      </c>
      <c r="J265" s="20">
        <f>VLOOKUP(A265,Metrik!$C$2:$Y$959,10,0)</f>
        <v>12.3</v>
      </c>
      <c r="K265" s="20">
        <f>VLOOKUP(A265,Metrik!$C$2:$Y$959,11,0)</f>
        <v>1.4</v>
      </c>
      <c r="L265" s="20">
        <f>VLOOKUP(A265,Metrik!$C$2:$Y$959,12,0)</f>
        <v>7.6</v>
      </c>
      <c r="M265" s="20">
        <f>VLOOKUP(A265,Metrik!$C$2:$Y$959,19,0)</f>
        <v>89.9</v>
      </c>
      <c r="N265" s="29">
        <v>3.8</v>
      </c>
      <c r="O265" s="29">
        <v>20.7</v>
      </c>
      <c r="P265" s="29">
        <v>86.4</v>
      </c>
      <c r="Q265" s="29">
        <v>1.9</v>
      </c>
      <c r="R265" s="29">
        <v>72.9</v>
      </c>
      <c r="S265" s="29">
        <v>46.5</v>
      </c>
      <c r="T265" s="29">
        <v>8.5</v>
      </c>
      <c r="U265" s="22">
        <f>IFERROR(__xludf.DUMMYFUNCTION("IFERROR(GOOGLEFINANCE(A265,""closeyest""),"""")"),3500.0)</f>
        <v>3500</v>
      </c>
      <c r="V265" s="23">
        <f>IFERROR(__xludf.DUMMYFUNCTION("IFERROR(GOOGLEFINANCE(A265,""changepct""),"""")"),1.71)</f>
        <v>1.71</v>
      </c>
      <c r="W265" s="22">
        <f>IFERROR(__xludf.DUMMYFUNCTION("IFERROR(GOOGLEFINANCE(A265,""priceopen""),"""")"),3570.0)</f>
        <v>3570</v>
      </c>
      <c r="X265" s="22">
        <f>IFERROR(__xludf.DUMMYFUNCTION("IFERROR(GOOGLEFINANCE(A265,""high""),"""")"),3650.0)</f>
        <v>3650</v>
      </c>
      <c r="Y265" s="22">
        <f>IFERROR(__xludf.DUMMYFUNCTION("IFERROR(GOOGLEFINANCE(A265,""low""),"""")"),3520.0)</f>
        <v>3520</v>
      </c>
      <c r="Z265" s="22">
        <f>IFERROR(__xludf.DUMMYFUNCTION("IFERROR(GOOGLEFINANCE(A265,""volume""),"""")"),7.48241E7)</f>
        <v>74824100</v>
      </c>
      <c r="AA265" s="24" t="str">
        <f>VLOOKUP(A265,Metrik!$C$2:$Y$959,5,0)</f>
        <v>Banks</v>
      </c>
      <c r="AB265" s="24" t="str">
        <f>VLOOKUP(A265,Metrik!$C$2:$Y$959,3,0)</f>
        <v>Financials</v>
      </c>
    </row>
    <row r="266">
      <c r="A266" s="14" t="s">
        <v>167</v>
      </c>
      <c r="B266" s="14" t="str">
        <f t="array" ref="B266">VLOOKUP(A266,{Metrik!$C$2:$C$998,Metrik!$B$2:$B$998},2,0)</f>
        <v>PT Bank Negara Indonesia (Persero) Tbk</v>
      </c>
      <c r="C266" s="15">
        <f>IFERROR(__xludf.DUMMYFUNCTION("GOOGLEFINANCE(""IDX:""&amp;A266,""price"")"),3560.0)</f>
        <v>3560</v>
      </c>
      <c r="D266" s="16" t="str">
        <f>IFERROR(__xludf.DUMMYFUNCTION("IF(A266="""","""",
SPARKLINE(
INDEX(
GOOGLEFINANCE(""IDX:""&amp;A266,""close"",TODAY()-365,TODAY()),
,2
),
{""linewidth"",1}
))
"),"#N/A")</f>
        <v>#N/A</v>
      </c>
      <c r="E266" s="14" t="s">
        <v>86</v>
      </c>
      <c r="F266" s="25">
        <v>46356.0</v>
      </c>
      <c r="G266" s="24">
        <f t="shared" si="1"/>
        <v>22</v>
      </c>
      <c r="H266" s="19">
        <f>VLOOKUP(A266,Metrik!$C$2:$Y$959,8,0)</f>
        <v>6.8</v>
      </c>
      <c r="I266" s="20">
        <f>VLOOKUP(A266,Metrik!$C$2:$Y$959,9,0)</f>
        <v>0.83</v>
      </c>
      <c r="J266" s="20">
        <f>VLOOKUP(A266,Metrik!$C$2:$Y$959,10,0)</f>
        <v>12.3</v>
      </c>
      <c r="K266" s="20">
        <f>VLOOKUP(A266,Metrik!$C$2:$Y$959,11,0)</f>
        <v>1.4</v>
      </c>
      <c r="L266" s="20">
        <f>VLOOKUP(A266,Metrik!$C$2:$Y$959,12,0)</f>
        <v>7.6</v>
      </c>
      <c r="M266" s="20">
        <f>VLOOKUP(A266,Metrik!$C$2:$Y$959,19,0)</f>
        <v>89.9</v>
      </c>
      <c r="N266" s="29">
        <v>3.8</v>
      </c>
      <c r="O266" s="29">
        <v>20.7</v>
      </c>
      <c r="P266" s="29">
        <v>86.4</v>
      </c>
      <c r="Q266" s="29">
        <v>1.9</v>
      </c>
      <c r="R266" s="29">
        <v>72.9</v>
      </c>
      <c r="S266" s="29">
        <v>46.5</v>
      </c>
      <c r="T266" s="29">
        <v>8.5</v>
      </c>
      <c r="U266" s="22">
        <f>IFERROR(__xludf.DUMMYFUNCTION("IFERROR(GOOGLEFINANCE(A266,""closeyest""),"""")"),3500.0)</f>
        <v>3500</v>
      </c>
      <c r="V266" s="23">
        <f>IFERROR(__xludf.DUMMYFUNCTION("IFERROR(GOOGLEFINANCE(A266,""changepct""),"""")"),1.71)</f>
        <v>1.71</v>
      </c>
      <c r="W266" s="22">
        <f>IFERROR(__xludf.DUMMYFUNCTION("IFERROR(GOOGLEFINANCE(A266,""priceopen""),"""")"),3570.0)</f>
        <v>3570</v>
      </c>
      <c r="X266" s="22">
        <f>IFERROR(__xludf.DUMMYFUNCTION("IFERROR(GOOGLEFINANCE(A266,""high""),"""")"),3650.0)</f>
        <v>3650</v>
      </c>
      <c r="Y266" s="22">
        <f>IFERROR(__xludf.DUMMYFUNCTION("IFERROR(GOOGLEFINANCE(A266,""low""),"""")"),3520.0)</f>
        <v>3520</v>
      </c>
      <c r="Z266" s="22">
        <f>IFERROR(__xludf.DUMMYFUNCTION("IFERROR(GOOGLEFINANCE(A266,""volume""),"""")"),7.48241E7)</f>
        <v>74824100</v>
      </c>
      <c r="AA266" s="24" t="str">
        <f>VLOOKUP(A266,Metrik!$C$2:$Y$959,5,0)</f>
        <v>Banks</v>
      </c>
      <c r="AB266" s="24" t="str">
        <f>VLOOKUP(A266,Metrik!$C$2:$Y$959,3,0)</f>
        <v>Financials</v>
      </c>
    </row>
    <row r="267">
      <c r="A267" s="14" t="s">
        <v>167</v>
      </c>
      <c r="B267" s="14" t="str">
        <f t="array" ref="B267">VLOOKUP(A267,{Metrik!$C$2:$C$998,Metrik!$B$2:$B$998},2,0)</f>
        <v>PT Bank Negara Indonesia (Persero) Tbk</v>
      </c>
      <c r="C267" s="15">
        <f>IFERROR(__xludf.DUMMYFUNCTION("GOOGLEFINANCE(""IDX:""&amp;A267,""price"")"),3560.0)</f>
        <v>3560</v>
      </c>
      <c r="D267" s="16" t="str">
        <f>IFERROR(__xludf.DUMMYFUNCTION("IF(A267="""","""",
SPARKLINE(
INDEX(
GOOGLEFINANCE(""IDX:""&amp;A267,""close"",TODAY()-365,TODAY()),
,2
),
{""linewidth"",1}
))
"),"#N/A")</f>
        <v>#N/A</v>
      </c>
      <c r="E267" s="14" t="s">
        <v>42</v>
      </c>
      <c r="F267" s="25">
        <v>46356.0</v>
      </c>
      <c r="G267" s="24">
        <f t="shared" si="1"/>
        <v>22</v>
      </c>
      <c r="H267" s="19">
        <f>VLOOKUP(A267,Metrik!$C$2:$Y$959,8,0)</f>
        <v>6.8</v>
      </c>
      <c r="I267" s="20">
        <f>VLOOKUP(A267,Metrik!$C$2:$Y$959,9,0)</f>
        <v>0.83</v>
      </c>
      <c r="J267" s="20">
        <f>VLOOKUP(A267,Metrik!$C$2:$Y$959,10,0)</f>
        <v>12.3</v>
      </c>
      <c r="K267" s="20">
        <f>VLOOKUP(A267,Metrik!$C$2:$Y$959,11,0)</f>
        <v>1.4</v>
      </c>
      <c r="L267" s="20">
        <f>VLOOKUP(A267,Metrik!$C$2:$Y$959,12,0)</f>
        <v>7.6</v>
      </c>
      <c r="M267" s="20">
        <f>VLOOKUP(A267,Metrik!$C$2:$Y$959,19,0)</f>
        <v>89.9</v>
      </c>
      <c r="N267" s="29">
        <v>3.8</v>
      </c>
      <c r="O267" s="29">
        <v>20.7</v>
      </c>
      <c r="P267" s="29">
        <v>86.4</v>
      </c>
      <c r="Q267" s="29">
        <v>1.9</v>
      </c>
      <c r="R267" s="29">
        <v>72.9</v>
      </c>
      <c r="S267" s="29">
        <v>46.5</v>
      </c>
      <c r="T267" s="29">
        <v>8.5</v>
      </c>
      <c r="U267" s="22">
        <f>IFERROR(__xludf.DUMMYFUNCTION("IFERROR(GOOGLEFINANCE(A267,""closeyest""),"""")"),3500.0)</f>
        <v>3500</v>
      </c>
      <c r="V267" s="23">
        <f>IFERROR(__xludf.DUMMYFUNCTION("IFERROR(GOOGLEFINANCE(A267,""changepct""),"""")"),1.71)</f>
        <v>1.71</v>
      </c>
      <c r="W267" s="22">
        <f>IFERROR(__xludf.DUMMYFUNCTION("IFERROR(GOOGLEFINANCE(A267,""priceopen""),"""")"),3570.0)</f>
        <v>3570</v>
      </c>
      <c r="X267" s="22">
        <f>IFERROR(__xludf.DUMMYFUNCTION("IFERROR(GOOGLEFINANCE(A267,""high""),"""")"),3650.0)</f>
        <v>3650</v>
      </c>
      <c r="Y267" s="22">
        <f>IFERROR(__xludf.DUMMYFUNCTION("IFERROR(GOOGLEFINANCE(A267,""low""),"""")"),3520.0)</f>
        <v>3520</v>
      </c>
      <c r="Z267" s="22">
        <f>IFERROR(__xludf.DUMMYFUNCTION("IFERROR(GOOGLEFINANCE(A267,""volume""),"""")"),7.48241E7)</f>
        <v>74824100</v>
      </c>
      <c r="AA267" s="24" t="str">
        <f>VLOOKUP(A267,Metrik!$C$2:$Y$959,5,0)</f>
        <v>Banks</v>
      </c>
      <c r="AB267" s="24" t="str">
        <f>VLOOKUP(A267,Metrik!$C$2:$Y$959,3,0)</f>
        <v>Financials</v>
      </c>
    </row>
    <row r="268">
      <c r="A268" s="14" t="s">
        <v>168</v>
      </c>
      <c r="B268" s="14" t="str">
        <f t="array" ref="B268">VLOOKUP(A268,{Metrik!$C$2:$C$998,Metrik!$B$2:$B$998},2,0)</f>
        <v>PT Bank Rakyat Indonesia (Persero) Tbk</v>
      </c>
      <c r="C268" s="15">
        <f>IFERROR(__xludf.DUMMYFUNCTION("GOOGLEFINANCE(""IDX:""&amp;A268,""price"")"),2850.0)</f>
        <v>2850</v>
      </c>
      <c r="D268" s="16" t="str">
        <f>IFERROR(__xludf.DUMMYFUNCTION("IF(A268="""","""",
SPARKLINE(
INDEX(
GOOGLEFINANCE(""IDX:""&amp;A268,""close"",TODAY()-365,TODAY()),
,2
),
{""linewidth"",1}
))
"),"#N/A")</f>
        <v>#N/A</v>
      </c>
      <c r="E268" s="14" t="s">
        <v>47</v>
      </c>
      <c r="F268" s="25">
        <v>46356.0</v>
      </c>
      <c r="G268" s="24">
        <f t="shared" si="1"/>
        <v>23</v>
      </c>
      <c r="H268" s="19">
        <f>VLOOKUP(A268,Metrik!$C$2:$Y$959,8,0)</f>
        <v>7.7</v>
      </c>
      <c r="I268" s="20">
        <f>VLOOKUP(A268,Metrik!$C$2:$Y$959,9,0)</f>
        <v>1.3</v>
      </c>
      <c r="J268" s="20">
        <f>VLOOKUP(A268,Metrik!$C$2:$Y$959,10,0)</f>
        <v>17</v>
      </c>
      <c r="K268" s="20">
        <f>VLOOKUP(A268,Metrik!$C$2:$Y$959,11,0)</f>
        <v>2.6</v>
      </c>
      <c r="L268" s="20">
        <f>VLOOKUP(A268,Metrik!$C$2:$Y$959,12,0)</f>
        <v>5.5</v>
      </c>
      <c r="M268" s="20">
        <f>VLOOKUP(A268,Metrik!$C$2:$Y$959,19,0)</f>
        <v>96.8</v>
      </c>
      <c r="N268" s="29">
        <v>7.65</v>
      </c>
      <c r="O268" s="29">
        <v>24.19</v>
      </c>
      <c r="P268" s="29">
        <v>87.43</v>
      </c>
      <c r="Q268" s="29">
        <v>2.86</v>
      </c>
      <c r="R268" s="29">
        <v>68.08</v>
      </c>
      <c r="S268" s="29">
        <v>40.89</v>
      </c>
      <c r="T268" s="29">
        <v>10.24</v>
      </c>
      <c r="U268" s="22">
        <f>IFERROR(__xludf.DUMMYFUNCTION("IFERROR(GOOGLEFINANCE(A268,""closeyest""),"""")"),2850.0)</f>
        <v>2850</v>
      </c>
      <c r="V268" s="23">
        <f>IFERROR(__xludf.DUMMYFUNCTION("IFERROR(GOOGLEFINANCE(A268,""changepct""),"""")"),0.0)</f>
        <v>0</v>
      </c>
      <c r="W268" s="22">
        <f>IFERROR(__xludf.DUMMYFUNCTION("IFERROR(GOOGLEFINANCE(A268,""priceopen""),"""")"),2880.0)</f>
        <v>2880</v>
      </c>
      <c r="X268" s="22">
        <f>IFERROR(__xludf.DUMMYFUNCTION("IFERROR(GOOGLEFINANCE(A268,""high""),"""")"),2900.0)</f>
        <v>2900</v>
      </c>
      <c r="Y268" s="22">
        <f>IFERROR(__xludf.DUMMYFUNCTION("IFERROR(GOOGLEFINANCE(A268,""low""),"""")"),2830.0)</f>
        <v>2830</v>
      </c>
      <c r="Z268" s="22">
        <f>IFERROR(__xludf.DUMMYFUNCTION("IFERROR(GOOGLEFINANCE(A268,""volume""),"""")"),4.5053E8)</f>
        <v>450530000</v>
      </c>
      <c r="AA268" s="24" t="str">
        <f>VLOOKUP(A268,Metrik!$C$2:$Y$959,5,0)</f>
        <v>Banks</v>
      </c>
      <c r="AB268" s="24" t="str">
        <f>VLOOKUP(A268,Metrik!$C$2:$Y$959,3,0)</f>
        <v>Financials</v>
      </c>
    </row>
    <row r="269">
      <c r="A269" s="17" t="s">
        <v>168</v>
      </c>
      <c r="B269" s="14" t="str">
        <f t="array" ref="B269">VLOOKUP(A269,{Metrik!$C$2:$C$998,Metrik!$B$2:$B$998},2,0)</f>
        <v>PT Bank Rakyat Indonesia (Persero) Tbk</v>
      </c>
      <c r="C269" s="15">
        <f>IFERROR(__xludf.DUMMYFUNCTION("GOOGLEFINANCE(""IDX:""&amp;A269,""price"")"),2850.0)</f>
        <v>2850</v>
      </c>
      <c r="D269" s="16" t="str">
        <f>IFERROR(__xludf.DUMMYFUNCTION("IF(A269="""","""",
SPARKLINE(
INDEX(
GOOGLEFINANCE(""IDX:""&amp;A269,""close"",TODAY()-365,TODAY()),
,2
),
{""linewidth"",1}
))
"),"#N/A")</f>
        <v>#N/A</v>
      </c>
      <c r="E269" s="17" t="s">
        <v>69</v>
      </c>
      <c r="F269" s="17" t="s">
        <v>70</v>
      </c>
      <c r="G269" s="24">
        <f t="shared" si="1"/>
        <v>23</v>
      </c>
      <c r="H269" s="19">
        <f>VLOOKUP(A269,Metrik!$C$2:$Y$959,8,0)</f>
        <v>7.7</v>
      </c>
      <c r="I269" s="20">
        <f>VLOOKUP(A269,Metrik!$C$2:$Y$959,9,0)</f>
        <v>1.3</v>
      </c>
      <c r="J269" s="20">
        <f>VLOOKUP(A269,Metrik!$C$2:$Y$959,10,0)</f>
        <v>17</v>
      </c>
      <c r="K269" s="20">
        <f>VLOOKUP(A269,Metrik!$C$2:$Y$959,11,0)</f>
        <v>2.6</v>
      </c>
      <c r="L269" s="20">
        <f>VLOOKUP(A269,Metrik!$C$2:$Y$959,12,0)</f>
        <v>5.5</v>
      </c>
      <c r="M269" s="20">
        <f>VLOOKUP(A269,Metrik!$C$2:$Y$959,19,0)</f>
        <v>96.8</v>
      </c>
      <c r="N269" s="29">
        <v>7.65</v>
      </c>
      <c r="O269" s="29">
        <v>24.19</v>
      </c>
      <c r="P269" s="29">
        <v>87.43</v>
      </c>
      <c r="Q269" s="29">
        <v>2.86</v>
      </c>
      <c r="R269" s="29">
        <v>68.08</v>
      </c>
      <c r="S269" s="29">
        <v>40.89</v>
      </c>
      <c r="T269" s="29">
        <v>10.24</v>
      </c>
      <c r="U269" s="22">
        <f>IFERROR(__xludf.DUMMYFUNCTION("IFERROR(GOOGLEFINANCE(A269,""closeyest""),"""")"),2850.0)</f>
        <v>2850</v>
      </c>
      <c r="V269" s="23">
        <f>IFERROR(__xludf.DUMMYFUNCTION("IFERROR(GOOGLEFINANCE(A269,""changepct""),"""")"),0.0)</f>
        <v>0</v>
      </c>
      <c r="W269" s="22">
        <f>IFERROR(__xludf.DUMMYFUNCTION("IFERROR(GOOGLEFINANCE(A269,""priceopen""),"""")"),2880.0)</f>
        <v>2880</v>
      </c>
      <c r="X269" s="22">
        <f>IFERROR(__xludf.DUMMYFUNCTION("IFERROR(GOOGLEFINANCE(A269,""high""),"""")"),2900.0)</f>
        <v>2900</v>
      </c>
      <c r="Y269" s="22">
        <f>IFERROR(__xludf.DUMMYFUNCTION("IFERROR(GOOGLEFINANCE(A269,""low""),"""")"),2830.0)</f>
        <v>2830</v>
      </c>
      <c r="Z269" s="22">
        <f>IFERROR(__xludf.DUMMYFUNCTION("IFERROR(GOOGLEFINANCE(A269,""volume""),"""")"),4.5053E8)</f>
        <v>450530000</v>
      </c>
      <c r="AA269" s="24" t="str">
        <f>VLOOKUP(A269,Metrik!$C$2:$Y$959,5,0)</f>
        <v>Banks</v>
      </c>
      <c r="AB269" s="24" t="str">
        <f>VLOOKUP(A269,Metrik!$C$2:$Y$959,3,0)</f>
        <v>Financials</v>
      </c>
    </row>
    <row r="270">
      <c r="A270" s="17" t="s">
        <v>168</v>
      </c>
      <c r="B270" s="14" t="str">
        <f t="array" ref="B270">VLOOKUP(A270,{Metrik!$C$2:$C$998,Metrik!$B$2:$B$998},2,0)</f>
        <v>PT Bank Rakyat Indonesia (Persero) Tbk</v>
      </c>
      <c r="C270" s="15">
        <f>IFERROR(__xludf.DUMMYFUNCTION("GOOGLEFINANCE(""IDX:""&amp;A270,""price"")"),2850.0)</f>
        <v>2850</v>
      </c>
      <c r="D270" s="16" t="str">
        <f>IFERROR(__xludf.DUMMYFUNCTION("IF(A270="""","""",
SPARKLINE(
INDEX(
GOOGLEFINANCE(""IDX:""&amp;A270,""close"",TODAY()-365,TODAY()),
,2
),
{""linewidth"",1}
))
"),"#N/A")</f>
        <v>#N/A</v>
      </c>
      <c r="E270" s="14" t="s">
        <v>128</v>
      </c>
      <c r="F270" s="17" t="s">
        <v>36</v>
      </c>
      <c r="G270" s="24">
        <f t="shared" si="1"/>
        <v>23</v>
      </c>
      <c r="H270" s="19">
        <f>VLOOKUP(A270,Metrik!$C$2:$Y$959,8,0)</f>
        <v>7.7</v>
      </c>
      <c r="I270" s="20">
        <f>VLOOKUP(A270,Metrik!$C$2:$Y$959,9,0)</f>
        <v>1.3</v>
      </c>
      <c r="J270" s="20">
        <f>VLOOKUP(A270,Metrik!$C$2:$Y$959,10,0)</f>
        <v>17</v>
      </c>
      <c r="K270" s="20">
        <f>VLOOKUP(A270,Metrik!$C$2:$Y$959,11,0)</f>
        <v>2.6</v>
      </c>
      <c r="L270" s="20">
        <f>VLOOKUP(A270,Metrik!$C$2:$Y$959,12,0)</f>
        <v>5.5</v>
      </c>
      <c r="M270" s="20">
        <f>VLOOKUP(A270,Metrik!$C$2:$Y$959,19,0)</f>
        <v>96.8</v>
      </c>
      <c r="N270" s="29">
        <v>7.65</v>
      </c>
      <c r="O270" s="29">
        <v>24.19</v>
      </c>
      <c r="P270" s="29">
        <v>87.43</v>
      </c>
      <c r="Q270" s="29">
        <v>2.86</v>
      </c>
      <c r="R270" s="29">
        <v>68.08</v>
      </c>
      <c r="S270" s="29">
        <v>40.89</v>
      </c>
      <c r="T270" s="29">
        <v>10.24</v>
      </c>
      <c r="U270" s="22">
        <f>IFERROR(__xludf.DUMMYFUNCTION("IFERROR(GOOGLEFINANCE(A270,""closeyest""),"""")"),2850.0)</f>
        <v>2850</v>
      </c>
      <c r="V270" s="23">
        <f>IFERROR(__xludf.DUMMYFUNCTION("IFERROR(GOOGLEFINANCE(A270,""changepct""),"""")"),0.0)</f>
        <v>0</v>
      </c>
      <c r="W270" s="22">
        <f>IFERROR(__xludf.DUMMYFUNCTION("IFERROR(GOOGLEFINANCE(A270,""priceopen""),"""")"),2880.0)</f>
        <v>2880</v>
      </c>
      <c r="X270" s="22">
        <f>IFERROR(__xludf.DUMMYFUNCTION("IFERROR(GOOGLEFINANCE(A270,""high""),"""")"),2900.0)</f>
        <v>2900</v>
      </c>
      <c r="Y270" s="22">
        <f>IFERROR(__xludf.DUMMYFUNCTION("IFERROR(GOOGLEFINANCE(A270,""low""),"""")"),2830.0)</f>
        <v>2830</v>
      </c>
      <c r="Z270" s="22">
        <f>IFERROR(__xludf.DUMMYFUNCTION("IFERROR(GOOGLEFINANCE(A270,""volume""),"""")"),4.5053E8)</f>
        <v>450530000</v>
      </c>
      <c r="AA270" s="24" t="str">
        <f>VLOOKUP(A270,Metrik!$C$2:$Y$959,5,0)</f>
        <v>Banks</v>
      </c>
      <c r="AB270" s="24" t="str">
        <f>VLOOKUP(A270,Metrik!$C$2:$Y$959,3,0)</f>
        <v>Financials</v>
      </c>
    </row>
    <row r="271">
      <c r="A271" s="14" t="s">
        <v>168</v>
      </c>
      <c r="B271" s="14" t="str">
        <f t="array" ref="B271">VLOOKUP(A271,{Metrik!$C$2:$C$998,Metrik!$B$2:$B$998},2,0)</f>
        <v>PT Bank Rakyat Indonesia (Persero) Tbk</v>
      </c>
      <c r="C271" s="15">
        <f>IFERROR(__xludf.DUMMYFUNCTION("GOOGLEFINANCE(""IDX:""&amp;A271,""price"")"),2850.0)</f>
        <v>2850</v>
      </c>
      <c r="D271" s="16" t="str">
        <f>IFERROR(__xludf.DUMMYFUNCTION("IF(A271="""","""",
SPARKLINE(
INDEX(
GOOGLEFINANCE(""IDX:""&amp;A271,""close"",TODAY()-365,TODAY()),
,2
),
{""linewidth"",1}
))
"),"#N/A")</f>
        <v>#N/A</v>
      </c>
      <c r="E271" s="14" t="s">
        <v>54</v>
      </c>
      <c r="F271" s="14" t="s">
        <v>34</v>
      </c>
      <c r="G271" s="24">
        <f t="shared" si="1"/>
        <v>23</v>
      </c>
      <c r="H271" s="19">
        <f>VLOOKUP(A271,Metrik!$C$2:$Y$959,8,0)</f>
        <v>7.7</v>
      </c>
      <c r="I271" s="20">
        <f>VLOOKUP(A271,Metrik!$C$2:$Y$959,9,0)</f>
        <v>1.3</v>
      </c>
      <c r="J271" s="20">
        <f>VLOOKUP(A271,Metrik!$C$2:$Y$959,10,0)</f>
        <v>17</v>
      </c>
      <c r="K271" s="20">
        <f>VLOOKUP(A271,Metrik!$C$2:$Y$959,11,0)</f>
        <v>2.6</v>
      </c>
      <c r="L271" s="20">
        <f>VLOOKUP(A271,Metrik!$C$2:$Y$959,12,0)</f>
        <v>5.5</v>
      </c>
      <c r="M271" s="20">
        <f>VLOOKUP(A271,Metrik!$C$2:$Y$959,19,0)</f>
        <v>96.8</v>
      </c>
      <c r="N271" s="29">
        <v>7.65</v>
      </c>
      <c r="O271" s="29">
        <v>24.19</v>
      </c>
      <c r="P271" s="29">
        <v>87.43</v>
      </c>
      <c r="Q271" s="29">
        <v>2.86</v>
      </c>
      <c r="R271" s="29">
        <v>68.08</v>
      </c>
      <c r="S271" s="29">
        <v>40.89</v>
      </c>
      <c r="T271" s="29">
        <v>10.24</v>
      </c>
      <c r="U271" s="22">
        <f>IFERROR(__xludf.DUMMYFUNCTION("IFERROR(GOOGLEFINANCE(A271,""closeyest""),"""")"),2850.0)</f>
        <v>2850</v>
      </c>
      <c r="V271" s="23">
        <f>IFERROR(__xludf.DUMMYFUNCTION("IFERROR(GOOGLEFINANCE(A271,""changepct""),"""")"),0.0)</f>
        <v>0</v>
      </c>
      <c r="W271" s="22">
        <f>IFERROR(__xludf.DUMMYFUNCTION("IFERROR(GOOGLEFINANCE(A271,""priceopen""),"""")"),2880.0)</f>
        <v>2880</v>
      </c>
      <c r="X271" s="22">
        <f>IFERROR(__xludf.DUMMYFUNCTION("IFERROR(GOOGLEFINANCE(A271,""high""),"""")"),2900.0)</f>
        <v>2900</v>
      </c>
      <c r="Y271" s="22">
        <f>IFERROR(__xludf.DUMMYFUNCTION("IFERROR(GOOGLEFINANCE(A271,""low""),"""")"),2830.0)</f>
        <v>2830</v>
      </c>
      <c r="Z271" s="22">
        <f>IFERROR(__xludf.DUMMYFUNCTION("IFERROR(GOOGLEFINANCE(A271,""volume""),"""")"),4.5053E8)</f>
        <v>450530000</v>
      </c>
      <c r="AA271" s="24" t="str">
        <f>VLOOKUP(A271,Metrik!$C$2:$Y$959,5,0)</f>
        <v>Banks</v>
      </c>
      <c r="AB271" s="24" t="str">
        <f>VLOOKUP(A271,Metrik!$C$2:$Y$959,3,0)</f>
        <v>Financials</v>
      </c>
    </row>
    <row r="272">
      <c r="A272" s="14" t="s">
        <v>168</v>
      </c>
      <c r="B272" s="14" t="str">
        <f t="array" ref="B272">VLOOKUP(A272,{Metrik!$C$2:$C$998,Metrik!$B$2:$B$998},2,0)</f>
        <v>PT Bank Rakyat Indonesia (Persero) Tbk</v>
      </c>
      <c r="C272" s="15">
        <f>IFERROR(__xludf.DUMMYFUNCTION("GOOGLEFINANCE(""IDX:""&amp;A272,""price"")"),2850.0)</f>
        <v>2850</v>
      </c>
      <c r="D272" s="16" t="str">
        <f>IFERROR(__xludf.DUMMYFUNCTION("IF(A272="""","""",
SPARKLINE(
INDEX(
GOOGLEFINANCE(""IDX:""&amp;A272,""close"",TODAY()-365,TODAY()),
,2
),
{""linewidth"",1}
))
"),"#N/A")</f>
        <v>#N/A</v>
      </c>
      <c r="E272" s="14" t="s">
        <v>68</v>
      </c>
      <c r="F272" s="14" t="s">
        <v>34</v>
      </c>
      <c r="G272" s="24">
        <f t="shared" si="1"/>
        <v>23</v>
      </c>
      <c r="H272" s="19">
        <f>VLOOKUP(A272,Metrik!$C$2:$Y$959,8,0)</f>
        <v>7.7</v>
      </c>
      <c r="I272" s="20">
        <f>VLOOKUP(A272,Metrik!$C$2:$Y$959,9,0)</f>
        <v>1.3</v>
      </c>
      <c r="J272" s="20">
        <f>VLOOKUP(A272,Metrik!$C$2:$Y$959,10,0)</f>
        <v>17</v>
      </c>
      <c r="K272" s="20">
        <f>VLOOKUP(A272,Metrik!$C$2:$Y$959,11,0)</f>
        <v>2.6</v>
      </c>
      <c r="L272" s="20">
        <f>VLOOKUP(A272,Metrik!$C$2:$Y$959,12,0)</f>
        <v>5.5</v>
      </c>
      <c r="M272" s="20">
        <f>VLOOKUP(A272,Metrik!$C$2:$Y$959,19,0)</f>
        <v>96.8</v>
      </c>
      <c r="N272" s="29">
        <v>7.65</v>
      </c>
      <c r="O272" s="29">
        <v>24.19</v>
      </c>
      <c r="P272" s="29">
        <v>87.43</v>
      </c>
      <c r="Q272" s="29">
        <v>2.86</v>
      </c>
      <c r="R272" s="29">
        <v>68.08</v>
      </c>
      <c r="S272" s="29">
        <v>40.89</v>
      </c>
      <c r="T272" s="29">
        <v>10.24</v>
      </c>
      <c r="U272" s="22">
        <f>IFERROR(__xludf.DUMMYFUNCTION("IFERROR(GOOGLEFINANCE(A272,""closeyest""),"""")"),2850.0)</f>
        <v>2850</v>
      </c>
      <c r="V272" s="23">
        <f>IFERROR(__xludf.DUMMYFUNCTION("IFERROR(GOOGLEFINANCE(A272,""changepct""),"""")"),0.0)</f>
        <v>0</v>
      </c>
      <c r="W272" s="22">
        <f>IFERROR(__xludf.DUMMYFUNCTION("IFERROR(GOOGLEFINANCE(A272,""priceopen""),"""")"),2880.0)</f>
        <v>2880</v>
      </c>
      <c r="X272" s="22">
        <f>IFERROR(__xludf.DUMMYFUNCTION("IFERROR(GOOGLEFINANCE(A272,""high""),"""")"),2900.0)</f>
        <v>2900</v>
      </c>
      <c r="Y272" s="22">
        <f>IFERROR(__xludf.DUMMYFUNCTION("IFERROR(GOOGLEFINANCE(A272,""low""),"""")"),2830.0)</f>
        <v>2830</v>
      </c>
      <c r="Z272" s="22">
        <f>IFERROR(__xludf.DUMMYFUNCTION("IFERROR(GOOGLEFINANCE(A272,""volume""),"""")"),4.5053E8)</f>
        <v>450530000</v>
      </c>
      <c r="AA272" s="24" t="str">
        <f>VLOOKUP(A272,Metrik!$C$2:$Y$959,5,0)</f>
        <v>Banks</v>
      </c>
      <c r="AB272" s="24" t="str">
        <f>VLOOKUP(A272,Metrik!$C$2:$Y$959,3,0)</f>
        <v>Financials</v>
      </c>
    </row>
    <row r="273">
      <c r="A273" s="14" t="s">
        <v>168</v>
      </c>
      <c r="B273" s="14" t="str">
        <f t="array" ref="B273">VLOOKUP(A273,{Metrik!$C$2:$C$998,Metrik!$B$2:$B$998},2,0)</f>
        <v>PT Bank Rakyat Indonesia (Persero) Tbk</v>
      </c>
      <c r="C273" s="15">
        <f>IFERROR(__xludf.DUMMYFUNCTION("GOOGLEFINANCE(""IDX:""&amp;A273,""price"")"),2850.0)</f>
        <v>2850</v>
      </c>
      <c r="D273" s="16" t="str">
        <f>IFERROR(__xludf.DUMMYFUNCTION("IF(A273="""","""",
SPARKLINE(
INDEX(
GOOGLEFINANCE(""IDX:""&amp;A273,""close"",TODAY()-365,TODAY()),
,2
),
{""linewidth"",1}
))
"),"#N/A")</f>
        <v>#N/A</v>
      </c>
      <c r="E273" s="14" t="s">
        <v>102</v>
      </c>
      <c r="F273" s="27" t="s">
        <v>53</v>
      </c>
      <c r="G273" s="24">
        <f t="shared" si="1"/>
        <v>23</v>
      </c>
      <c r="H273" s="19">
        <f>VLOOKUP(A273,Metrik!$C$2:$Y$959,8,0)</f>
        <v>7.7</v>
      </c>
      <c r="I273" s="20">
        <f>VLOOKUP(A273,Metrik!$C$2:$Y$959,9,0)</f>
        <v>1.3</v>
      </c>
      <c r="J273" s="20">
        <f>VLOOKUP(A273,Metrik!$C$2:$Y$959,10,0)</f>
        <v>17</v>
      </c>
      <c r="K273" s="20">
        <f>VLOOKUP(A273,Metrik!$C$2:$Y$959,11,0)</f>
        <v>2.6</v>
      </c>
      <c r="L273" s="20">
        <f>VLOOKUP(A273,Metrik!$C$2:$Y$959,12,0)</f>
        <v>5.5</v>
      </c>
      <c r="M273" s="20">
        <f>VLOOKUP(A273,Metrik!$C$2:$Y$959,19,0)</f>
        <v>96.8</v>
      </c>
      <c r="N273" s="29">
        <v>7.65</v>
      </c>
      <c r="O273" s="29">
        <v>24.19</v>
      </c>
      <c r="P273" s="29">
        <v>87.43</v>
      </c>
      <c r="Q273" s="29">
        <v>2.86</v>
      </c>
      <c r="R273" s="29">
        <v>68.08</v>
      </c>
      <c r="S273" s="29">
        <v>40.89</v>
      </c>
      <c r="T273" s="29">
        <v>10.24</v>
      </c>
      <c r="U273" s="22">
        <f>IFERROR(__xludf.DUMMYFUNCTION("IFERROR(GOOGLEFINANCE(A273,""closeyest""),"""")"),2850.0)</f>
        <v>2850</v>
      </c>
      <c r="V273" s="23">
        <f>IFERROR(__xludf.DUMMYFUNCTION("IFERROR(GOOGLEFINANCE(A273,""changepct""),"""")"),0.0)</f>
        <v>0</v>
      </c>
      <c r="W273" s="22">
        <f>IFERROR(__xludf.DUMMYFUNCTION("IFERROR(GOOGLEFINANCE(A273,""priceopen""),"""")"),2880.0)</f>
        <v>2880</v>
      </c>
      <c r="X273" s="22">
        <f>IFERROR(__xludf.DUMMYFUNCTION("IFERROR(GOOGLEFINANCE(A273,""high""),"""")"),2900.0)</f>
        <v>2900</v>
      </c>
      <c r="Y273" s="22">
        <f>IFERROR(__xludf.DUMMYFUNCTION("IFERROR(GOOGLEFINANCE(A273,""low""),"""")"),2830.0)</f>
        <v>2830</v>
      </c>
      <c r="Z273" s="22">
        <f>IFERROR(__xludf.DUMMYFUNCTION("IFERROR(GOOGLEFINANCE(A273,""volume""),"""")"),4.5053E8)</f>
        <v>450530000</v>
      </c>
      <c r="AA273" s="24" t="str">
        <f>VLOOKUP(A273,Metrik!$C$2:$Y$959,5,0)</f>
        <v>Banks</v>
      </c>
      <c r="AB273" s="24" t="str">
        <f>VLOOKUP(A273,Metrik!$C$2:$Y$959,3,0)</f>
        <v>Financials</v>
      </c>
    </row>
    <row r="274">
      <c r="A274" s="14" t="s">
        <v>168</v>
      </c>
      <c r="B274" s="14" t="str">
        <f t="array" ref="B274">VLOOKUP(A274,{Metrik!$C$2:$C$998,Metrik!$B$2:$B$998},2,0)</f>
        <v>PT Bank Rakyat Indonesia (Persero) Tbk</v>
      </c>
      <c r="C274" s="15">
        <f>IFERROR(__xludf.DUMMYFUNCTION("GOOGLEFINANCE(""IDX:""&amp;A274,""price"")"),2850.0)</f>
        <v>2850</v>
      </c>
      <c r="D274" s="16" t="str">
        <f>IFERROR(__xludf.DUMMYFUNCTION("IF(A274="""","""",
SPARKLINE(
INDEX(
GOOGLEFINANCE(""IDX:""&amp;A274,""close"",TODAY()-365,TODAY()),
,2
),
{""linewidth"",1}
))
"),"#N/A")</f>
        <v>#N/A</v>
      </c>
      <c r="E274" s="14" t="s">
        <v>75</v>
      </c>
      <c r="F274" s="14" t="s">
        <v>76</v>
      </c>
      <c r="G274" s="24">
        <f t="shared" si="1"/>
        <v>23</v>
      </c>
      <c r="H274" s="19">
        <f>VLOOKUP(A274,Metrik!$C$2:$Y$959,8,0)</f>
        <v>7.7</v>
      </c>
      <c r="I274" s="20">
        <f>VLOOKUP(A274,Metrik!$C$2:$Y$959,9,0)</f>
        <v>1.3</v>
      </c>
      <c r="J274" s="20">
        <f>VLOOKUP(A274,Metrik!$C$2:$Y$959,10,0)</f>
        <v>17</v>
      </c>
      <c r="K274" s="20">
        <f>VLOOKUP(A274,Metrik!$C$2:$Y$959,11,0)</f>
        <v>2.6</v>
      </c>
      <c r="L274" s="20">
        <f>VLOOKUP(A274,Metrik!$C$2:$Y$959,12,0)</f>
        <v>5.5</v>
      </c>
      <c r="M274" s="20">
        <f>VLOOKUP(A274,Metrik!$C$2:$Y$959,19,0)</f>
        <v>96.8</v>
      </c>
      <c r="N274" s="29">
        <v>7.65</v>
      </c>
      <c r="O274" s="29">
        <v>24.19</v>
      </c>
      <c r="P274" s="29">
        <v>87.43</v>
      </c>
      <c r="Q274" s="29">
        <v>2.86</v>
      </c>
      <c r="R274" s="29">
        <v>68.08</v>
      </c>
      <c r="S274" s="29">
        <v>40.89</v>
      </c>
      <c r="T274" s="29">
        <v>10.24</v>
      </c>
      <c r="U274" s="22">
        <f>IFERROR(__xludf.DUMMYFUNCTION("IFERROR(GOOGLEFINANCE(A274,""closeyest""),"""")"),2850.0)</f>
        <v>2850</v>
      </c>
      <c r="V274" s="23">
        <f>IFERROR(__xludf.DUMMYFUNCTION("IFERROR(GOOGLEFINANCE(A274,""changepct""),"""")"),0.0)</f>
        <v>0</v>
      </c>
      <c r="W274" s="22">
        <f>IFERROR(__xludf.DUMMYFUNCTION("IFERROR(GOOGLEFINANCE(A274,""priceopen""),"""")"),2880.0)</f>
        <v>2880</v>
      </c>
      <c r="X274" s="22">
        <f>IFERROR(__xludf.DUMMYFUNCTION("IFERROR(GOOGLEFINANCE(A274,""high""),"""")"),2900.0)</f>
        <v>2900</v>
      </c>
      <c r="Y274" s="22">
        <f>IFERROR(__xludf.DUMMYFUNCTION("IFERROR(GOOGLEFINANCE(A274,""low""),"""")"),2830.0)</f>
        <v>2830</v>
      </c>
      <c r="Z274" s="22">
        <f>IFERROR(__xludf.DUMMYFUNCTION("IFERROR(GOOGLEFINANCE(A274,""volume""),"""")"),4.5053E8)</f>
        <v>450530000</v>
      </c>
      <c r="AA274" s="24" t="str">
        <f>VLOOKUP(A274,Metrik!$C$2:$Y$959,5,0)</f>
        <v>Banks</v>
      </c>
      <c r="AB274" s="24" t="str">
        <f>VLOOKUP(A274,Metrik!$C$2:$Y$959,3,0)</f>
        <v>Financials</v>
      </c>
    </row>
    <row r="275">
      <c r="A275" s="14" t="s">
        <v>168</v>
      </c>
      <c r="B275" s="14" t="str">
        <f t="array" ref="B275">VLOOKUP(A275,{Metrik!$C$2:$C$998,Metrik!$B$2:$B$998},2,0)</f>
        <v>PT Bank Rakyat Indonesia (Persero) Tbk</v>
      </c>
      <c r="C275" s="15">
        <f>IFERROR(__xludf.DUMMYFUNCTION("GOOGLEFINANCE(""IDX:""&amp;A275,""price"")"),2850.0)</f>
        <v>2850</v>
      </c>
      <c r="D275" s="16" t="str">
        <f>IFERROR(__xludf.DUMMYFUNCTION("IF(A275="""","""",
SPARKLINE(
INDEX(
GOOGLEFINANCE(""IDX:""&amp;A275,""close"",TODAY()-365,TODAY()),
,2
),
{""linewidth"",1}
))
"),"#N/A")</f>
        <v>#N/A</v>
      </c>
      <c r="E275" s="14" t="s">
        <v>28</v>
      </c>
      <c r="F275" s="17" t="s">
        <v>29</v>
      </c>
      <c r="G275" s="24">
        <f t="shared" si="1"/>
        <v>23</v>
      </c>
      <c r="H275" s="19">
        <f>VLOOKUP(A275,Metrik!$C$2:$Y$959,8,0)</f>
        <v>7.7</v>
      </c>
      <c r="I275" s="20">
        <f>VLOOKUP(A275,Metrik!$C$2:$Y$959,9,0)</f>
        <v>1.3</v>
      </c>
      <c r="J275" s="20">
        <f>VLOOKUP(A275,Metrik!$C$2:$Y$959,10,0)</f>
        <v>17</v>
      </c>
      <c r="K275" s="20">
        <f>VLOOKUP(A275,Metrik!$C$2:$Y$959,11,0)</f>
        <v>2.6</v>
      </c>
      <c r="L275" s="20">
        <f>VLOOKUP(A275,Metrik!$C$2:$Y$959,12,0)</f>
        <v>5.5</v>
      </c>
      <c r="M275" s="20">
        <f>VLOOKUP(A275,Metrik!$C$2:$Y$959,19,0)</f>
        <v>96.8</v>
      </c>
      <c r="N275" s="29">
        <v>7.65</v>
      </c>
      <c r="O275" s="29">
        <v>24.19</v>
      </c>
      <c r="P275" s="29">
        <v>87.43</v>
      </c>
      <c r="Q275" s="29">
        <v>2.86</v>
      </c>
      <c r="R275" s="29">
        <v>68.08</v>
      </c>
      <c r="S275" s="29">
        <v>40.89</v>
      </c>
      <c r="T275" s="29">
        <v>10.24</v>
      </c>
      <c r="U275" s="22">
        <f>IFERROR(__xludf.DUMMYFUNCTION("IFERROR(GOOGLEFINANCE(A275,""closeyest""),"""")"),2850.0)</f>
        <v>2850</v>
      </c>
      <c r="V275" s="23">
        <f>IFERROR(__xludf.DUMMYFUNCTION("IFERROR(GOOGLEFINANCE(A275,""changepct""),"""")"),0.0)</f>
        <v>0</v>
      </c>
      <c r="W275" s="22">
        <f>IFERROR(__xludf.DUMMYFUNCTION("IFERROR(GOOGLEFINANCE(A275,""priceopen""),"""")"),2880.0)</f>
        <v>2880</v>
      </c>
      <c r="X275" s="22">
        <f>IFERROR(__xludf.DUMMYFUNCTION("IFERROR(GOOGLEFINANCE(A275,""high""),"""")"),2900.0)</f>
        <v>2900</v>
      </c>
      <c r="Y275" s="22">
        <f>IFERROR(__xludf.DUMMYFUNCTION("IFERROR(GOOGLEFINANCE(A275,""low""),"""")"),2830.0)</f>
        <v>2830</v>
      </c>
      <c r="Z275" s="22">
        <f>IFERROR(__xludf.DUMMYFUNCTION("IFERROR(GOOGLEFINANCE(A275,""volume""),"""")"),4.5053E8)</f>
        <v>450530000</v>
      </c>
      <c r="AA275" s="24" t="str">
        <f>VLOOKUP(A275,Metrik!$C$2:$Y$959,5,0)</f>
        <v>Banks</v>
      </c>
      <c r="AB275" s="24" t="str">
        <f>VLOOKUP(A275,Metrik!$C$2:$Y$959,3,0)</f>
        <v>Financials</v>
      </c>
    </row>
    <row r="276">
      <c r="A276" s="14" t="s">
        <v>168</v>
      </c>
      <c r="B276" s="14" t="str">
        <f t="array" ref="B276">VLOOKUP(A276,{Metrik!$C$2:$C$998,Metrik!$B$2:$B$998},2,0)</f>
        <v>PT Bank Rakyat Indonesia (Persero) Tbk</v>
      </c>
      <c r="C276" s="15">
        <f>IFERROR(__xludf.DUMMYFUNCTION("GOOGLEFINANCE(""IDX:""&amp;A276,""price"")"),2850.0)</f>
        <v>2850</v>
      </c>
      <c r="D276" s="16" t="str">
        <f>IFERROR(__xludf.DUMMYFUNCTION("IF(A276="""","""",
SPARKLINE(
INDEX(
GOOGLEFINANCE(""IDX:""&amp;A276,""close"",TODAY()-365,TODAY()),
,2
),
{""linewidth"",1}
))
"),"#N/A")</f>
        <v>#N/A</v>
      </c>
      <c r="E276" s="14" t="s">
        <v>30</v>
      </c>
      <c r="F276" s="17" t="s">
        <v>29</v>
      </c>
      <c r="G276" s="24">
        <f t="shared" si="1"/>
        <v>23</v>
      </c>
      <c r="H276" s="19">
        <f>VLOOKUP(A276,Metrik!$C$2:$Y$959,8,0)</f>
        <v>7.7</v>
      </c>
      <c r="I276" s="20">
        <f>VLOOKUP(A276,Metrik!$C$2:$Y$959,9,0)</f>
        <v>1.3</v>
      </c>
      <c r="J276" s="20">
        <f>VLOOKUP(A276,Metrik!$C$2:$Y$959,10,0)</f>
        <v>17</v>
      </c>
      <c r="K276" s="20">
        <f>VLOOKUP(A276,Metrik!$C$2:$Y$959,11,0)</f>
        <v>2.6</v>
      </c>
      <c r="L276" s="20">
        <f>VLOOKUP(A276,Metrik!$C$2:$Y$959,12,0)</f>
        <v>5.5</v>
      </c>
      <c r="M276" s="20">
        <f>VLOOKUP(A276,Metrik!$C$2:$Y$959,19,0)</f>
        <v>96.8</v>
      </c>
      <c r="N276" s="29">
        <v>7.65</v>
      </c>
      <c r="O276" s="29">
        <v>24.19</v>
      </c>
      <c r="P276" s="29">
        <v>87.43</v>
      </c>
      <c r="Q276" s="29">
        <v>2.86</v>
      </c>
      <c r="R276" s="29">
        <v>68.08</v>
      </c>
      <c r="S276" s="29">
        <v>40.89</v>
      </c>
      <c r="T276" s="29">
        <v>10.24</v>
      </c>
      <c r="U276" s="22">
        <f>IFERROR(__xludf.DUMMYFUNCTION("IFERROR(GOOGLEFINANCE(A276,""closeyest""),"""")"),2850.0)</f>
        <v>2850</v>
      </c>
      <c r="V276" s="23">
        <f>IFERROR(__xludf.DUMMYFUNCTION("IFERROR(GOOGLEFINANCE(A276,""changepct""),"""")"),0.0)</f>
        <v>0</v>
      </c>
      <c r="W276" s="22">
        <f>IFERROR(__xludf.DUMMYFUNCTION("IFERROR(GOOGLEFINANCE(A276,""priceopen""),"""")"),2880.0)</f>
        <v>2880</v>
      </c>
      <c r="X276" s="22">
        <f>IFERROR(__xludf.DUMMYFUNCTION("IFERROR(GOOGLEFINANCE(A276,""high""),"""")"),2900.0)</f>
        <v>2900</v>
      </c>
      <c r="Y276" s="22">
        <f>IFERROR(__xludf.DUMMYFUNCTION("IFERROR(GOOGLEFINANCE(A276,""low""),"""")"),2830.0)</f>
        <v>2830</v>
      </c>
      <c r="Z276" s="22">
        <f>IFERROR(__xludf.DUMMYFUNCTION("IFERROR(GOOGLEFINANCE(A276,""volume""),"""")"),4.5053E8)</f>
        <v>450530000</v>
      </c>
      <c r="AA276" s="24" t="str">
        <f>VLOOKUP(A276,Metrik!$C$2:$Y$959,5,0)</f>
        <v>Banks</v>
      </c>
      <c r="AB276" s="24" t="str">
        <f>VLOOKUP(A276,Metrik!$C$2:$Y$959,3,0)</f>
        <v>Financials</v>
      </c>
    </row>
    <row r="277">
      <c r="A277" s="14" t="s">
        <v>168</v>
      </c>
      <c r="B277" s="14" t="str">
        <f t="array" ref="B277">VLOOKUP(A277,{Metrik!$C$2:$C$998,Metrik!$B$2:$B$998},2,0)</f>
        <v>PT Bank Rakyat Indonesia (Persero) Tbk</v>
      </c>
      <c r="C277" s="15">
        <f>IFERROR(__xludf.DUMMYFUNCTION("GOOGLEFINANCE(""IDX:""&amp;A277,""price"")"),2850.0)</f>
        <v>2850</v>
      </c>
      <c r="D277" s="16" t="str">
        <f>IFERROR(__xludf.DUMMYFUNCTION("IF(A277="""","""",
SPARKLINE(
INDEX(
GOOGLEFINANCE(""IDX:""&amp;A277,""close"",TODAY()-365,TODAY()),
,2
),
{""linewidth"",1}
))
"),"#N/A")</f>
        <v>#N/A</v>
      </c>
      <c r="E277" s="14" t="s">
        <v>52</v>
      </c>
      <c r="F277" s="27" t="s">
        <v>53</v>
      </c>
      <c r="G277" s="24">
        <f t="shared" si="1"/>
        <v>23</v>
      </c>
      <c r="H277" s="19">
        <f>VLOOKUP(A277,Metrik!$C$2:$Y$959,8,0)</f>
        <v>7.7</v>
      </c>
      <c r="I277" s="20">
        <f>VLOOKUP(A277,Metrik!$C$2:$Y$959,9,0)</f>
        <v>1.3</v>
      </c>
      <c r="J277" s="20">
        <f>VLOOKUP(A277,Metrik!$C$2:$Y$959,10,0)</f>
        <v>17</v>
      </c>
      <c r="K277" s="20">
        <f>VLOOKUP(A277,Metrik!$C$2:$Y$959,11,0)</f>
        <v>2.6</v>
      </c>
      <c r="L277" s="20">
        <f>VLOOKUP(A277,Metrik!$C$2:$Y$959,12,0)</f>
        <v>5.5</v>
      </c>
      <c r="M277" s="20">
        <f>VLOOKUP(A277,Metrik!$C$2:$Y$959,19,0)</f>
        <v>96.8</v>
      </c>
      <c r="N277" s="29">
        <v>7.65</v>
      </c>
      <c r="O277" s="29">
        <v>24.19</v>
      </c>
      <c r="P277" s="29">
        <v>87.43</v>
      </c>
      <c r="Q277" s="29">
        <v>2.86</v>
      </c>
      <c r="R277" s="29">
        <v>68.08</v>
      </c>
      <c r="S277" s="29">
        <v>40.89</v>
      </c>
      <c r="T277" s="29">
        <v>10.24</v>
      </c>
      <c r="U277" s="22">
        <f>IFERROR(__xludf.DUMMYFUNCTION("IFERROR(GOOGLEFINANCE(A277,""closeyest""),"""")"),2850.0)</f>
        <v>2850</v>
      </c>
      <c r="V277" s="23">
        <f>IFERROR(__xludf.DUMMYFUNCTION("IFERROR(GOOGLEFINANCE(A277,""changepct""),"""")"),0.0)</f>
        <v>0</v>
      </c>
      <c r="W277" s="22">
        <f>IFERROR(__xludf.DUMMYFUNCTION("IFERROR(GOOGLEFINANCE(A277,""priceopen""),"""")"),2880.0)</f>
        <v>2880</v>
      </c>
      <c r="X277" s="22">
        <f>IFERROR(__xludf.DUMMYFUNCTION("IFERROR(GOOGLEFINANCE(A277,""high""),"""")"),2900.0)</f>
        <v>2900</v>
      </c>
      <c r="Y277" s="22">
        <f>IFERROR(__xludf.DUMMYFUNCTION("IFERROR(GOOGLEFINANCE(A277,""low""),"""")"),2830.0)</f>
        <v>2830</v>
      </c>
      <c r="Z277" s="22">
        <f>IFERROR(__xludf.DUMMYFUNCTION("IFERROR(GOOGLEFINANCE(A277,""volume""),"""")"),4.5053E8)</f>
        <v>450530000</v>
      </c>
      <c r="AA277" s="24" t="str">
        <f>VLOOKUP(A277,Metrik!$C$2:$Y$959,5,0)</f>
        <v>Banks</v>
      </c>
      <c r="AB277" s="24" t="str">
        <f>VLOOKUP(A277,Metrik!$C$2:$Y$959,3,0)</f>
        <v>Financials</v>
      </c>
    </row>
    <row r="278">
      <c r="A278" s="14" t="s">
        <v>168</v>
      </c>
      <c r="B278" s="14" t="str">
        <f t="array" ref="B278">VLOOKUP(A278,{Metrik!$C$2:$C$998,Metrik!$B$2:$B$998},2,0)</f>
        <v>PT Bank Rakyat Indonesia (Persero) Tbk</v>
      </c>
      <c r="C278" s="15">
        <f>IFERROR(__xludf.DUMMYFUNCTION("GOOGLEFINANCE(""IDX:""&amp;A278,""price"")"),2850.0)</f>
        <v>2850</v>
      </c>
      <c r="D278" s="16" t="str">
        <f>IFERROR(__xludf.DUMMYFUNCTION("IF(A278="""","""",
SPARKLINE(
INDEX(
GOOGLEFINANCE(""IDX:""&amp;A278,""close"",TODAY()-365,TODAY()),
,2
),
{""linewidth"",1}
))
"),"#N/A")</f>
        <v>#N/A</v>
      </c>
      <c r="E278" s="14" t="s">
        <v>50</v>
      </c>
      <c r="F278" s="17" t="s">
        <v>51</v>
      </c>
      <c r="G278" s="24">
        <f t="shared" si="1"/>
        <v>23</v>
      </c>
      <c r="H278" s="19">
        <f>VLOOKUP(A278,Metrik!$C$2:$Y$959,8,0)</f>
        <v>7.7</v>
      </c>
      <c r="I278" s="20">
        <f>VLOOKUP(A278,Metrik!$C$2:$Y$959,9,0)</f>
        <v>1.3</v>
      </c>
      <c r="J278" s="20">
        <f>VLOOKUP(A278,Metrik!$C$2:$Y$959,10,0)</f>
        <v>17</v>
      </c>
      <c r="K278" s="20">
        <f>VLOOKUP(A278,Metrik!$C$2:$Y$959,11,0)</f>
        <v>2.6</v>
      </c>
      <c r="L278" s="20">
        <f>VLOOKUP(A278,Metrik!$C$2:$Y$959,12,0)</f>
        <v>5.5</v>
      </c>
      <c r="M278" s="20">
        <f>VLOOKUP(A278,Metrik!$C$2:$Y$959,19,0)</f>
        <v>96.8</v>
      </c>
      <c r="N278" s="29">
        <v>7.65</v>
      </c>
      <c r="O278" s="29">
        <v>24.19</v>
      </c>
      <c r="P278" s="29">
        <v>87.43</v>
      </c>
      <c r="Q278" s="29">
        <v>2.86</v>
      </c>
      <c r="R278" s="29">
        <v>68.08</v>
      </c>
      <c r="S278" s="29">
        <v>40.89</v>
      </c>
      <c r="T278" s="29">
        <v>10.24</v>
      </c>
      <c r="U278" s="22">
        <f>IFERROR(__xludf.DUMMYFUNCTION("IFERROR(GOOGLEFINANCE(A278,""closeyest""),"""")"),2850.0)</f>
        <v>2850</v>
      </c>
      <c r="V278" s="23">
        <f>IFERROR(__xludf.DUMMYFUNCTION("IFERROR(GOOGLEFINANCE(A278,""changepct""),"""")"),0.0)</f>
        <v>0</v>
      </c>
      <c r="W278" s="22">
        <f>IFERROR(__xludf.DUMMYFUNCTION("IFERROR(GOOGLEFINANCE(A278,""priceopen""),"""")"),2880.0)</f>
        <v>2880</v>
      </c>
      <c r="X278" s="22">
        <f>IFERROR(__xludf.DUMMYFUNCTION("IFERROR(GOOGLEFINANCE(A278,""high""),"""")"),2900.0)</f>
        <v>2900</v>
      </c>
      <c r="Y278" s="22">
        <f>IFERROR(__xludf.DUMMYFUNCTION("IFERROR(GOOGLEFINANCE(A278,""low""),"""")"),2830.0)</f>
        <v>2830</v>
      </c>
      <c r="Z278" s="22">
        <f>IFERROR(__xludf.DUMMYFUNCTION("IFERROR(GOOGLEFINANCE(A278,""volume""),"""")"),4.5053E8)</f>
        <v>450530000</v>
      </c>
      <c r="AA278" s="24" t="str">
        <f>VLOOKUP(A278,Metrik!$C$2:$Y$959,5,0)</f>
        <v>Banks</v>
      </c>
      <c r="AB278" s="24" t="str">
        <f>VLOOKUP(A278,Metrik!$C$2:$Y$959,3,0)</f>
        <v>Financials</v>
      </c>
    </row>
    <row r="279">
      <c r="A279" s="14" t="s">
        <v>168</v>
      </c>
      <c r="B279" s="14" t="str">
        <f t="array" ref="B279">VLOOKUP(A279,{Metrik!$C$2:$C$998,Metrik!$B$2:$B$998},2,0)</f>
        <v>PT Bank Rakyat Indonesia (Persero) Tbk</v>
      </c>
      <c r="C279" s="15">
        <f>IFERROR(__xludf.DUMMYFUNCTION("GOOGLEFINANCE(""IDX:""&amp;A279,""price"")"),2850.0)</f>
        <v>2850</v>
      </c>
      <c r="D279" s="16" t="str">
        <f>IFERROR(__xludf.DUMMYFUNCTION("IF(A279="""","""",
SPARKLINE(
INDEX(
GOOGLEFINANCE(""IDX:""&amp;A279,""close"",TODAY()-365,TODAY()),
,2
),
{""linewidth"",1}
))
"),"#N/A")</f>
        <v>#N/A</v>
      </c>
      <c r="E279" s="14" t="s">
        <v>48</v>
      </c>
      <c r="F279" s="14" t="s">
        <v>49</v>
      </c>
      <c r="G279" s="24">
        <f t="shared" si="1"/>
        <v>23</v>
      </c>
      <c r="H279" s="19">
        <f>VLOOKUP(A279,Metrik!$C$2:$Y$959,8,0)</f>
        <v>7.7</v>
      </c>
      <c r="I279" s="20">
        <f>VLOOKUP(A279,Metrik!$C$2:$Y$959,9,0)</f>
        <v>1.3</v>
      </c>
      <c r="J279" s="20">
        <f>VLOOKUP(A279,Metrik!$C$2:$Y$959,10,0)</f>
        <v>17</v>
      </c>
      <c r="K279" s="20">
        <f>VLOOKUP(A279,Metrik!$C$2:$Y$959,11,0)</f>
        <v>2.6</v>
      </c>
      <c r="L279" s="20">
        <f>VLOOKUP(A279,Metrik!$C$2:$Y$959,12,0)</f>
        <v>5.5</v>
      </c>
      <c r="M279" s="20">
        <f>VLOOKUP(A279,Metrik!$C$2:$Y$959,19,0)</f>
        <v>96.8</v>
      </c>
      <c r="N279" s="29">
        <v>7.65</v>
      </c>
      <c r="O279" s="29">
        <v>24.19</v>
      </c>
      <c r="P279" s="29">
        <v>87.43</v>
      </c>
      <c r="Q279" s="29">
        <v>2.86</v>
      </c>
      <c r="R279" s="29">
        <v>68.08</v>
      </c>
      <c r="S279" s="29">
        <v>40.89</v>
      </c>
      <c r="T279" s="29">
        <v>10.24</v>
      </c>
      <c r="U279" s="22">
        <f>IFERROR(__xludf.DUMMYFUNCTION("IFERROR(GOOGLEFINANCE(A279,""closeyest""),"""")"),2850.0)</f>
        <v>2850</v>
      </c>
      <c r="V279" s="23">
        <f>IFERROR(__xludf.DUMMYFUNCTION("IFERROR(GOOGLEFINANCE(A279,""changepct""),"""")"),0.0)</f>
        <v>0</v>
      </c>
      <c r="W279" s="22">
        <f>IFERROR(__xludf.DUMMYFUNCTION("IFERROR(GOOGLEFINANCE(A279,""priceopen""),"""")"),2880.0)</f>
        <v>2880</v>
      </c>
      <c r="X279" s="22">
        <f>IFERROR(__xludf.DUMMYFUNCTION("IFERROR(GOOGLEFINANCE(A279,""high""),"""")"),2900.0)</f>
        <v>2900</v>
      </c>
      <c r="Y279" s="22">
        <f>IFERROR(__xludf.DUMMYFUNCTION("IFERROR(GOOGLEFINANCE(A279,""low""),"""")"),2830.0)</f>
        <v>2830</v>
      </c>
      <c r="Z279" s="22">
        <f>IFERROR(__xludf.DUMMYFUNCTION("IFERROR(GOOGLEFINANCE(A279,""volume""),"""")"),4.5053E8)</f>
        <v>450530000</v>
      </c>
      <c r="AA279" s="24" t="str">
        <f>VLOOKUP(A279,Metrik!$C$2:$Y$959,5,0)</f>
        <v>Banks</v>
      </c>
      <c r="AB279" s="24" t="str">
        <f>VLOOKUP(A279,Metrik!$C$2:$Y$959,3,0)</f>
        <v>Financials</v>
      </c>
    </row>
    <row r="280">
      <c r="A280" s="14" t="s">
        <v>168</v>
      </c>
      <c r="B280" s="14" t="str">
        <f t="array" ref="B280">VLOOKUP(A280,{Metrik!$C$2:$C$998,Metrik!$B$2:$B$998},2,0)</f>
        <v>PT Bank Rakyat Indonesia (Persero) Tbk</v>
      </c>
      <c r="C280" s="15">
        <f>IFERROR(__xludf.DUMMYFUNCTION("GOOGLEFINANCE(""IDX:""&amp;A280,""price"")"),2850.0)</f>
        <v>2850</v>
      </c>
      <c r="D280" s="16" t="str">
        <f>IFERROR(__xludf.DUMMYFUNCTION("IF(A280="""","""",
SPARKLINE(
INDEX(
GOOGLEFINANCE(""IDX:""&amp;A280,""close"",TODAY()-365,TODAY()),
,2
),
{""linewidth"",1}
))
"),"#N/A")</f>
        <v>#N/A</v>
      </c>
      <c r="E280" s="14" t="s">
        <v>32</v>
      </c>
      <c r="F280" s="14" t="s">
        <v>29</v>
      </c>
      <c r="G280" s="24">
        <f t="shared" si="1"/>
        <v>23</v>
      </c>
      <c r="H280" s="19">
        <f>VLOOKUP(A280,Metrik!$C$2:$Y$959,8,0)</f>
        <v>7.7</v>
      </c>
      <c r="I280" s="20">
        <f>VLOOKUP(A280,Metrik!$C$2:$Y$959,9,0)</f>
        <v>1.3</v>
      </c>
      <c r="J280" s="20">
        <f>VLOOKUP(A280,Metrik!$C$2:$Y$959,10,0)</f>
        <v>17</v>
      </c>
      <c r="K280" s="20">
        <f>VLOOKUP(A280,Metrik!$C$2:$Y$959,11,0)</f>
        <v>2.6</v>
      </c>
      <c r="L280" s="20">
        <f>VLOOKUP(A280,Metrik!$C$2:$Y$959,12,0)</f>
        <v>5.5</v>
      </c>
      <c r="M280" s="20">
        <f>VLOOKUP(A280,Metrik!$C$2:$Y$959,19,0)</f>
        <v>96.8</v>
      </c>
      <c r="N280" s="29">
        <v>7.65</v>
      </c>
      <c r="O280" s="29">
        <v>24.19</v>
      </c>
      <c r="P280" s="29">
        <v>87.43</v>
      </c>
      <c r="Q280" s="29">
        <v>2.86</v>
      </c>
      <c r="R280" s="29">
        <v>68.08</v>
      </c>
      <c r="S280" s="29">
        <v>40.89</v>
      </c>
      <c r="T280" s="29">
        <v>10.24</v>
      </c>
      <c r="U280" s="22">
        <f>IFERROR(__xludf.DUMMYFUNCTION("IFERROR(GOOGLEFINANCE(A280,""closeyest""),"""")"),2850.0)</f>
        <v>2850</v>
      </c>
      <c r="V280" s="23">
        <f>IFERROR(__xludf.DUMMYFUNCTION("IFERROR(GOOGLEFINANCE(A280,""changepct""),"""")"),0.0)</f>
        <v>0</v>
      </c>
      <c r="W280" s="22">
        <f>IFERROR(__xludf.DUMMYFUNCTION("IFERROR(GOOGLEFINANCE(A280,""priceopen""),"""")"),2880.0)</f>
        <v>2880</v>
      </c>
      <c r="X280" s="22">
        <f>IFERROR(__xludf.DUMMYFUNCTION("IFERROR(GOOGLEFINANCE(A280,""high""),"""")"),2900.0)</f>
        <v>2900</v>
      </c>
      <c r="Y280" s="22">
        <f>IFERROR(__xludf.DUMMYFUNCTION("IFERROR(GOOGLEFINANCE(A280,""low""),"""")"),2830.0)</f>
        <v>2830</v>
      </c>
      <c r="Z280" s="22">
        <f>IFERROR(__xludf.DUMMYFUNCTION("IFERROR(GOOGLEFINANCE(A280,""volume""),"""")"),4.5053E8)</f>
        <v>450530000</v>
      </c>
      <c r="AA280" s="24" t="str">
        <f>VLOOKUP(A280,Metrik!$C$2:$Y$959,5,0)</f>
        <v>Banks</v>
      </c>
      <c r="AB280" s="24" t="str">
        <f>VLOOKUP(A280,Metrik!$C$2:$Y$959,3,0)</f>
        <v>Financials</v>
      </c>
    </row>
    <row r="281">
      <c r="A281" s="14" t="s">
        <v>168</v>
      </c>
      <c r="B281" s="14" t="str">
        <f t="array" ref="B281">VLOOKUP(A281,{Metrik!$C$2:$C$998,Metrik!$B$2:$B$998},2,0)</f>
        <v>PT Bank Rakyat Indonesia (Persero) Tbk</v>
      </c>
      <c r="C281" s="15">
        <f>IFERROR(__xludf.DUMMYFUNCTION("GOOGLEFINANCE(""IDX:""&amp;A281,""price"")"),2850.0)</f>
        <v>2850</v>
      </c>
      <c r="D281" s="16" t="str">
        <f>IFERROR(__xludf.DUMMYFUNCTION("IF(A281="""","""",
SPARKLINE(
INDEX(
GOOGLEFINANCE(""IDX:""&amp;A281,""close"",TODAY()-365,TODAY()),
,2
),
{""linewidth"",1}
))
"),"#N/A")</f>
        <v>#N/A</v>
      </c>
      <c r="E281" s="14" t="s">
        <v>31</v>
      </c>
      <c r="F281" s="17" t="s">
        <v>29</v>
      </c>
      <c r="G281" s="24">
        <f t="shared" si="1"/>
        <v>23</v>
      </c>
      <c r="H281" s="19">
        <f>VLOOKUP(A281,Metrik!$C$2:$Y$959,8,0)</f>
        <v>7.7</v>
      </c>
      <c r="I281" s="20">
        <f>VLOOKUP(A281,Metrik!$C$2:$Y$959,9,0)</f>
        <v>1.3</v>
      </c>
      <c r="J281" s="20">
        <f>VLOOKUP(A281,Metrik!$C$2:$Y$959,10,0)</f>
        <v>17</v>
      </c>
      <c r="K281" s="20">
        <f>VLOOKUP(A281,Metrik!$C$2:$Y$959,11,0)</f>
        <v>2.6</v>
      </c>
      <c r="L281" s="20">
        <f>VLOOKUP(A281,Metrik!$C$2:$Y$959,12,0)</f>
        <v>5.5</v>
      </c>
      <c r="M281" s="20">
        <f>VLOOKUP(A281,Metrik!$C$2:$Y$959,19,0)</f>
        <v>96.8</v>
      </c>
      <c r="N281" s="29">
        <v>7.65</v>
      </c>
      <c r="O281" s="29">
        <v>24.19</v>
      </c>
      <c r="P281" s="29">
        <v>87.43</v>
      </c>
      <c r="Q281" s="29">
        <v>2.86</v>
      </c>
      <c r="R281" s="29">
        <v>68.08</v>
      </c>
      <c r="S281" s="29">
        <v>40.89</v>
      </c>
      <c r="T281" s="29">
        <v>10.24</v>
      </c>
      <c r="U281" s="22">
        <f>IFERROR(__xludf.DUMMYFUNCTION("IFERROR(GOOGLEFINANCE(A281,""closeyest""),"""")"),2850.0)</f>
        <v>2850</v>
      </c>
      <c r="V281" s="23">
        <f>IFERROR(__xludf.DUMMYFUNCTION("IFERROR(GOOGLEFINANCE(A281,""changepct""),"""")"),0.0)</f>
        <v>0</v>
      </c>
      <c r="W281" s="22">
        <f>IFERROR(__xludf.DUMMYFUNCTION("IFERROR(GOOGLEFINANCE(A281,""priceopen""),"""")"),2880.0)</f>
        <v>2880</v>
      </c>
      <c r="X281" s="22">
        <f>IFERROR(__xludf.DUMMYFUNCTION("IFERROR(GOOGLEFINANCE(A281,""high""),"""")"),2900.0)</f>
        <v>2900</v>
      </c>
      <c r="Y281" s="22">
        <f>IFERROR(__xludf.DUMMYFUNCTION("IFERROR(GOOGLEFINANCE(A281,""low""),"""")"),2830.0)</f>
        <v>2830</v>
      </c>
      <c r="Z281" s="22">
        <f>IFERROR(__xludf.DUMMYFUNCTION("IFERROR(GOOGLEFINANCE(A281,""volume""),"""")"),4.5053E8)</f>
        <v>450530000</v>
      </c>
      <c r="AA281" s="24" t="str">
        <f>VLOOKUP(A281,Metrik!$C$2:$Y$959,5,0)</f>
        <v>Banks</v>
      </c>
      <c r="AB281" s="24" t="str">
        <f>VLOOKUP(A281,Metrik!$C$2:$Y$959,3,0)</f>
        <v>Financials</v>
      </c>
    </row>
    <row r="282">
      <c r="A282" s="14" t="s">
        <v>168</v>
      </c>
      <c r="B282" s="14" t="str">
        <f t="array" ref="B282">VLOOKUP(A282,{Metrik!$C$2:$C$998,Metrik!$B$2:$B$998},2,0)</f>
        <v>PT Bank Rakyat Indonesia (Persero) Tbk</v>
      </c>
      <c r="C282" s="15">
        <f>IFERROR(__xludf.DUMMYFUNCTION("GOOGLEFINANCE(""IDX:""&amp;A282,""price"")"),2850.0)</f>
        <v>2850</v>
      </c>
      <c r="D282" s="16" t="str">
        <f>IFERROR(__xludf.DUMMYFUNCTION("IF(A282="""","""",
SPARKLINE(
INDEX(
GOOGLEFINANCE(""IDX:""&amp;A282,""close"",TODAY()-365,TODAY()),
,2
),
{""linewidth"",1}
))
"),"#N/A")</f>
        <v>#N/A</v>
      </c>
      <c r="E282" s="14" t="s">
        <v>67</v>
      </c>
      <c r="F282" s="17" t="s">
        <v>51</v>
      </c>
      <c r="G282" s="24">
        <f t="shared" si="1"/>
        <v>23</v>
      </c>
      <c r="H282" s="19">
        <f>VLOOKUP(A282,Metrik!$C$2:$Y$959,8,0)</f>
        <v>7.7</v>
      </c>
      <c r="I282" s="20">
        <f>VLOOKUP(A282,Metrik!$C$2:$Y$959,9,0)</f>
        <v>1.3</v>
      </c>
      <c r="J282" s="20">
        <f>VLOOKUP(A282,Metrik!$C$2:$Y$959,10,0)</f>
        <v>17</v>
      </c>
      <c r="K282" s="20">
        <f>VLOOKUP(A282,Metrik!$C$2:$Y$959,11,0)</f>
        <v>2.6</v>
      </c>
      <c r="L282" s="20">
        <f>VLOOKUP(A282,Metrik!$C$2:$Y$959,12,0)</f>
        <v>5.5</v>
      </c>
      <c r="M282" s="20">
        <f>VLOOKUP(A282,Metrik!$C$2:$Y$959,19,0)</f>
        <v>96.8</v>
      </c>
      <c r="N282" s="29">
        <v>7.65</v>
      </c>
      <c r="O282" s="29">
        <v>24.19</v>
      </c>
      <c r="P282" s="29">
        <v>87.43</v>
      </c>
      <c r="Q282" s="29">
        <v>2.86</v>
      </c>
      <c r="R282" s="29">
        <v>68.08</v>
      </c>
      <c r="S282" s="29">
        <v>40.89</v>
      </c>
      <c r="T282" s="29">
        <v>10.24</v>
      </c>
      <c r="U282" s="22">
        <f>IFERROR(__xludf.DUMMYFUNCTION("IFERROR(GOOGLEFINANCE(A282,""closeyest""),"""")"),2850.0)</f>
        <v>2850</v>
      </c>
      <c r="V282" s="23">
        <f>IFERROR(__xludf.DUMMYFUNCTION("IFERROR(GOOGLEFINANCE(A282,""changepct""),"""")"),0.0)</f>
        <v>0</v>
      </c>
      <c r="W282" s="22">
        <f>IFERROR(__xludf.DUMMYFUNCTION("IFERROR(GOOGLEFINANCE(A282,""priceopen""),"""")"),2880.0)</f>
        <v>2880</v>
      </c>
      <c r="X282" s="22">
        <f>IFERROR(__xludf.DUMMYFUNCTION("IFERROR(GOOGLEFINANCE(A282,""high""),"""")"),2900.0)</f>
        <v>2900</v>
      </c>
      <c r="Y282" s="22">
        <f>IFERROR(__xludf.DUMMYFUNCTION("IFERROR(GOOGLEFINANCE(A282,""low""),"""")"),2830.0)</f>
        <v>2830</v>
      </c>
      <c r="Z282" s="22">
        <f>IFERROR(__xludf.DUMMYFUNCTION("IFERROR(GOOGLEFINANCE(A282,""volume""),"""")"),4.5053E8)</f>
        <v>450530000</v>
      </c>
      <c r="AA282" s="24" t="str">
        <f>VLOOKUP(A282,Metrik!$C$2:$Y$959,5,0)</f>
        <v>Banks</v>
      </c>
      <c r="AB282" s="24" t="str">
        <f>VLOOKUP(A282,Metrik!$C$2:$Y$959,3,0)</f>
        <v>Financials</v>
      </c>
    </row>
    <row r="283">
      <c r="A283" s="14" t="s">
        <v>168</v>
      </c>
      <c r="B283" s="14" t="str">
        <f t="array" ref="B283">VLOOKUP(A283,{Metrik!$C$2:$C$998,Metrik!$B$2:$B$998},2,0)</f>
        <v>PT Bank Rakyat Indonesia (Persero) Tbk</v>
      </c>
      <c r="C283" s="15">
        <f>IFERROR(__xludf.DUMMYFUNCTION("GOOGLEFINANCE(""IDX:""&amp;A283,""price"")"),2850.0)</f>
        <v>2850</v>
      </c>
      <c r="D283" s="16" t="str">
        <f>IFERROR(__xludf.DUMMYFUNCTION("IF(A283="""","""",
SPARKLINE(
INDEX(
GOOGLEFINANCE(""IDX:""&amp;A283,""close"",TODAY()-365,TODAY()),
,2
),
{""linewidth"",1}
))
"),"#N/A")</f>
        <v>#N/A</v>
      </c>
      <c r="E283" s="14" t="s">
        <v>84</v>
      </c>
      <c r="F283" s="17" t="s">
        <v>51</v>
      </c>
      <c r="G283" s="24">
        <f t="shared" si="1"/>
        <v>23</v>
      </c>
      <c r="H283" s="19">
        <f>VLOOKUP(A283,Metrik!$C$2:$Y$959,8,0)</f>
        <v>7.7</v>
      </c>
      <c r="I283" s="20">
        <f>VLOOKUP(A283,Metrik!$C$2:$Y$959,9,0)</f>
        <v>1.3</v>
      </c>
      <c r="J283" s="20">
        <f>VLOOKUP(A283,Metrik!$C$2:$Y$959,10,0)</f>
        <v>17</v>
      </c>
      <c r="K283" s="20">
        <f>VLOOKUP(A283,Metrik!$C$2:$Y$959,11,0)</f>
        <v>2.6</v>
      </c>
      <c r="L283" s="20">
        <f>VLOOKUP(A283,Metrik!$C$2:$Y$959,12,0)</f>
        <v>5.5</v>
      </c>
      <c r="M283" s="20">
        <f>VLOOKUP(A283,Metrik!$C$2:$Y$959,19,0)</f>
        <v>96.8</v>
      </c>
      <c r="N283" s="29">
        <v>7.65</v>
      </c>
      <c r="O283" s="29">
        <v>24.19</v>
      </c>
      <c r="P283" s="29">
        <v>87.43</v>
      </c>
      <c r="Q283" s="29">
        <v>2.86</v>
      </c>
      <c r="R283" s="29">
        <v>68.08</v>
      </c>
      <c r="S283" s="29">
        <v>40.89</v>
      </c>
      <c r="T283" s="29">
        <v>10.24</v>
      </c>
      <c r="U283" s="22">
        <f>IFERROR(__xludf.DUMMYFUNCTION("IFERROR(GOOGLEFINANCE(A283,""closeyest""),"""")"),2850.0)</f>
        <v>2850</v>
      </c>
      <c r="V283" s="23">
        <f>IFERROR(__xludf.DUMMYFUNCTION("IFERROR(GOOGLEFINANCE(A283,""changepct""),"""")"),0.0)</f>
        <v>0</v>
      </c>
      <c r="W283" s="22">
        <f>IFERROR(__xludf.DUMMYFUNCTION("IFERROR(GOOGLEFINANCE(A283,""priceopen""),"""")"),2880.0)</f>
        <v>2880</v>
      </c>
      <c r="X283" s="22">
        <f>IFERROR(__xludf.DUMMYFUNCTION("IFERROR(GOOGLEFINANCE(A283,""high""),"""")"),2900.0)</f>
        <v>2900</v>
      </c>
      <c r="Y283" s="22">
        <f>IFERROR(__xludf.DUMMYFUNCTION("IFERROR(GOOGLEFINANCE(A283,""low""),"""")"),2830.0)</f>
        <v>2830</v>
      </c>
      <c r="Z283" s="22">
        <f>IFERROR(__xludf.DUMMYFUNCTION("IFERROR(GOOGLEFINANCE(A283,""volume""),"""")"),4.5053E8)</f>
        <v>450530000</v>
      </c>
      <c r="AA283" s="24" t="str">
        <f>VLOOKUP(A283,Metrik!$C$2:$Y$959,5,0)</f>
        <v>Banks</v>
      </c>
      <c r="AB283" s="24" t="str">
        <f>VLOOKUP(A283,Metrik!$C$2:$Y$959,3,0)</f>
        <v>Financials</v>
      </c>
    </row>
    <row r="284">
      <c r="A284" s="14" t="s">
        <v>168</v>
      </c>
      <c r="B284" s="14" t="str">
        <f t="array" ref="B284">VLOOKUP(A284,{Metrik!$C$2:$C$998,Metrik!$B$2:$B$998},2,0)</f>
        <v>PT Bank Rakyat Indonesia (Persero) Tbk</v>
      </c>
      <c r="C284" s="15">
        <f>IFERROR(__xludf.DUMMYFUNCTION("GOOGLEFINANCE(""IDX:""&amp;A284,""price"")"),2850.0)</f>
        <v>2850</v>
      </c>
      <c r="D284" s="16" t="str">
        <f>IFERROR(__xludf.DUMMYFUNCTION("IF(A284="""","""",
SPARKLINE(
INDEX(
GOOGLEFINANCE(""IDX:""&amp;A284,""close"",TODAY()-365,TODAY()),
,2
),
{""linewidth"",1}
))
"),"#N/A")</f>
        <v>#N/A</v>
      </c>
      <c r="E284" s="14" t="s">
        <v>85</v>
      </c>
      <c r="F284" s="17" t="s">
        <v>51</v>
      </c>
      <c r="G284" s="24">
        <f t="shared" si="1"/>
        <v>23</v>
      </c>
      <c r="H284" s="19">
        <f>VLOOKUP(A284,Metrik!$C$2:$Y$959,8,0)</f>
        <v>7.7</v>
      </c>
      <c r="I284" s="20">
        <f>VLOOKUP(A284,Metrik!$C$2:$Y$959,9,0)</f>
        <v>1.3</v>
      </c>
      <c r="J284" s="20">
        <f>VLOOKUP(A284,Metrik!$C$2:$Y$959,10,0)</f>
        <v>17</v>
      </c>
      <c r="K284" s="20">
        <f>VLOOKUP(A284,Metrik!$C$2:$Y$959,11,0)</f>
        <v>2.6</v>
      </c>
      <c r="L284" s="20">
        <f>VLOOKUP(A284,Metrik!$C$2:$Y$959,12,0)</f>
        <v>5.5</v>
      </c>
      <c r="M284" s="20">
        <f>VLOOKUP(A284,Metrik!$C$2:$Y$959,19,0)</f>
        <v>96.8</v>
      </c>
      <c r="N284" s="29">
        <v>7.65</v>
      </c>
      <c r="O284" s="29">
        <v>24.19</v>
      </c>
      <c r="P284" s="29">
        <v>87.43</v>
      </c>
      <c r="Q284" s="29">
        <v>2.86</v>
      </c>
      <c r="R284" s="29">
        <v>68.08</v>
      </c>
      <c r="S284" s="29">
        <v>40.89</v>
      </c>
      <c r="T284" s="29">
        <v>10.24</v>
      </c>
      <c r="U284" s="22">
        <f>IFERROR(__xludf.DUMMYFUNCTION("IFERROR(GOOGLEFINANCE(A284,""closeyest""),"""")"),2850.0)</f>
        <v>2850</v>
      </c>
      <c r="V284" s="23">
        <f>IFERROR(__xludf.DUMMYFUNCTION("IFERROR(GOOGLEFINANCE(A284,""changepct""),"""")"),0.0)</f>
        <v>0</v>
      </c>
      <c r="W284" s="22">
        <f>IFERROR(__xludf.DUMMYFUNCTION("IFERROR(GOOGLEFINANCE(A284,""priceopen""),"""")"),2880.0)</f>
        <v>2880</v>
      </c>
      <c r="X284" s="22">
        <f>IFERROR(__xludf.DUMMYFUNCTION("IFERROR(GOOGLEFINANCE(A284,""high""),"""")"),2900.0)</f>
        <v>2900</v>
      </c>
      <c r="Y284" s="22">
        <f>IFERROR(__xludf.DUMMYFUNCTION("IFERROR(GOOGLEFINANCE(A284,""low""),"""")"),2830.0)</f>
        <v>2830</v>
      </c>
      <c r="Z284" s="22">
        <f>IFERROR(__xludf.DUMMYFUNCTION("IFERROR(GOOGLEFINANCE(A284,""volume""),"""")"),4.5053E8)</f>
        <v>450530000</v>
      </c>
      <c r="AA284" s="24" t="str">
        <f>VLOOKUP(A284,Metrik!$C$2:$Y$959,5,0)</f>
        <v>Banks</v>
      </c>
      <c r="AB284" s="24" t="str">
        <f>VLOOKUP(A284,Metrik!$C$2:$Y$959,3,0)</f>
        <v>Financials</v>
      </c>
    </row>
    <row r="285">
      <c r="A285" s="14" t="s">
        <v>168</v>
      </c>
      <c r="B285" s="14" t="str">
        <f t="array" ref="B285">VLOOKUP(A285,{Metrik!$C$2:$C$998,Metrik!$B$2:$B$998},2,0)</f>
        <v>PT Bank Rakyat Indonesia (Persero) Tbk</v>
      </c>
      <c r="C285" s="15">
        <f>IFERROR(__xludf.DUMMYFUNCTION("GOOGLEFINANCE(""IDX:""&amp;A285,""price"")"),2850.0)</f>
        <v>2850</v>
      </c>
      <c r="D285" s="16" t="str">
        <f>IFERROR(__xludf.DUMMYFUNCTION("IF(A285="""","""",
SPARKLINE(
INDEX(
GOOGLEFINANCE(""IDX:""&amp;A285,""close"",TODAY()-365,TODAY()),
,2
),
{""linewidth"",1}
))
"),"#N/A")</f>
        <v>#N/A</v>
      </c>
      <c r="E285" s="14" t="s">
        <v>61</v>
      </c>
      <c r="F285" s="14" t="s">
        <v>34</v>
      </c>
      <c r="G285" s="24">
        <f t="shared" si="1"/>
        <v>23</v>
      </c>
      <c r="H285" s="19">
        <f>VLOOKUP(A285,Metrik!$C$2:$Y$959,8,0)</f>
        <v>7.7</v>
      </c>
      <c r="I285" s="20">
        <f>VLOOKUP(A285,Metrik!$C$2:$Y$959,9,0)</f>
        <v>1.3</v>
      </c>
      <c r="J285" s="20">
        <f>VLOOKUP(A285,Metrik!$C$2:$Y$959,10,0)</f>
        <v>17</v>
      </c>
      <c r="K285" s="20">
        <f>VLOOKUP(A285,Metrik!$C$2:$Y$959,11,0)</f>
        <v>2.6</v>
      </c>
      <c r="L285" s="20">
        <f>VLOOKUP(A285,Metrik!$C$2:$Y$959,12,0)</f>
        <v>5.5</v>
      </c>
      <c r="M285" s="20">
        <f>VLOOKUP(A285,Metrik!$C$2:$Y$959,19,0)</f>
        <v>96.8</v>
      </c>
      <c r="N285" s="29">
        <v>7.65</v>
      </c>
      <c r="O285" s="29">
        <v>24.19</v>
      </c>
      <c r="P285" s="29">
        <v>87.43</v>
      </c>
      <c r="Q285" s="29">
        <v>2.86</v>
      </c>
      <c r="R285" s="29">
        <v>68.08</v>
      </c>
      <c r="S285" s="29">
        <v>40.89</v>
      </c>
      <c r="T285" s="29">
        <v>10.24</v>
      </c>
      <c r="U285" s="22">
        <f>IFERROR(__xludf.DUMMYFUNCTION("IFERROR(GOOGLEFINANCE(A285,""closeyest""),"""")"),2850.0)</f>
        <v>2850</v>
      </c>
      <c r="V285" s="23">
        <f>IFERROR(__xludf.DUMMYFUNCTION("IFERROR(GOOGLEFINANCE(A285,""changepct""),"""")"),0.0)</f>
        <v>0</v>
      </c>
      <c r="W285" s="22">
        <f>IFERROR(__xludf.DUMMYFUNCTION("IFERROR(GOOGLEFINANCE(A285,""priceopen""),"""")"),2880.0)</f>
        <v>2880</v>
      </c>
      <c r="X285" s="22">
        <f>IFERROR(__xludf.DUMMYFUNCTION("IFERROR(GOOGLEFINANCE(A285,""high""),"""")"),2900.0)</f>
        <v>2900</v>
      </c>
      <c r="Y285" s="22">
        <f>IFERROR(__xludf.DUMMYFUNCTION("IFERROR(GOOGLEFINANCE(A285,""low""),"""")"),2830.0)</f>
        <v>2830</v>
      </c>
      <c r="Z285" s="22">
        <f>IFERROR(__xludf.DUMMYFUNCTION("IFERROR(GOOGLEFINANCE(A285,""volume""),"""")"),4.5053E8)</f>
        <v>450530000</v>
      </c>
      <c r="AA285" s="24" t="str">
        <f>VLOOKUP(A285,Metrik!$C$2:$Y$959,5,0)</f>
        <v>Banks</v>
      </c>
      <c r="AB285" s="24" t="str">
        <f>VLOOKUP(A285,Metrik!$C$2:$Y$959,3,0)</f>
        <v>Financials</v>
      </c>
    </row>
    <row r="286">
      <c r="A286" s="14" t="s">
        <v>168</v>
      </c>
      <c r="B286" s="14" t="str">
        <f t="array" ref="B286">VLOOKUP(A286,{Metrik!$C$2:$C$998,Metrik!$B$2:$B$998},2,0)</f>
        <v>PT Bank Rakyat Indonesia (Persero) Tbk</v>
      </c>
      <c r="C286" s="15">
        <f>IFERROR(__xludf.DUMMYFUNCTION("GOOGLEFINANCE(""IDX:""&amp;A286,""price"")"),2850.0)</f>
        <v>2850</v>
      </c>
      <c r="D286" s="16" t="str">
        <f>IFERROR(__xludf.DUMMYFUNCTION("IF(A286="""","""",
SPARKLINE(
INDEX(
GOOGLEFINANCE(""IDX:""&amp;A286,""close"",TODAY()-365,TODAY()),
,2
),
{""linewidth"",1}
))
"),"#N/A")</f>
        <v>#N/A</v>
      </c>
      <c r="E286" s="14" t="s">
        <v>161</v>
      </c>
      <c r="F286" s="14" t="s">
        <v>76</v>
      </c>
      <c r="G286" s="24">
        <f t="shared" si="1"/>
        <v>23</v>
      </c>
      <c r="H286" s="19">
        <f>VLOOKUP(A286,Metrik!$C$2:$Y$959,8,0)</f>
        <v>7.7</v>
      </c>
      <c r="I286" s="20">
        <f>VLOOKUP(A286,Metrik!$C$2:$Y$959,9,0)</f>
        <v>1.3</v>
      </c>
      <c r="J286" s="20">
        <f>VLOOKUP(A286,Metrik!$C$2:$Y$959,10,0)</f>
        <v>17</v>
      </c>
      <c r="K286" s="20">
        <f>VLOOKUP(A286,Metrik!$C$2:$Y$959,11,0)</f>
        <v>2.6</v>
      </c>
      <c r="L286" s="20">
        <f>VLOOKUP(A286,Metrik!$C$2:$Y$959,12,0)</f>
        <v>5.5</v>
      </c>
      <c r="M286" s="20">
        <f>VLOOKUP(A286,Metrik!$C$2:$Y$959,19,0)</f>
        <v>96.8</v>
      </c>
      <c r="N286" s="29">
        <v>7.65</v>
      </c>
      <c r="O286" s="29">
        <v>24.19</v>
      </c>
      <c r="P286" s="29">
        <v>87.43</v>
      </c>
      <c r="Q286" s="29">
        <v>2.86</v>
      </c>
      <c r="R286" s="29">
        <v>68.08</v>
      </c>
      <c r="S286" s="29">
        <v>40.89</v>
      </c>
      <c r="T286" s="29">
        <v>10.24</v>
      </c>
      <c r="U286" s="22">
        <f>IFERROR(__xludf.DUMMYFUNCTION("IFERROR(GOOGLEFINANCE(A286,""closeyest""),"""")"),2850.0)</f>
        <v>2850</v>
      </c>
      <c r="V286" s="23">
        <f>IFERROR(__xludf.DUMMYFUNCTION("IFERROR(GOOGLEFINANCE(A286,""changepct""),"""")"),0.0)</f>
        <v>0</v>
      </c>
      <c r="W286" s="22">
        <f>IFERROR(__xludf.DUMMYFUNCTION("IFERROR(GOOGLEFINANCE(A286,""priceopen""),"""")"),2880.0)</f>
        <v>2880</v>
      </c>
      <c r="X286" s="22">
        <f>IFERROR(__xludf.DUMMYFUNCTION("IFERROR(GOOGLEFINANCE(A286,""high""),"""")"),2900.0)</f>
        <v>2900</v>
      </c>
      <c r="Y286" s="22">
        <f>IFERROR(__xludf.DUMMYFUNCTION("IFERROR(GOOGLEFINANCE(A286,""low""),"""")"),2830.0)</f>
        <v>2830</v>
      </c>
      <c r="Z286" s="22">
        <f>IFERROR(__xludf.DUMMYFUNCTION("IFERROR(GOOGLEFINANCE(A286,""volume""),"""")"),4.5053E8)</f>
        <v>450530000</v>
      </c>
      <c r="AA286" s="24" t="str">
        <f>VLOOKUP(A286,Metrik!$C$2:$Y$959,5,0)</f>
        <v>Banks</v>
      </c>
      <c r="AB286" s="24" t="str">
        <f>VLOOKUP(A286,Metrik!$C$2:$Y$959,3,0)</f>
        <v>Financials</v>
      </c>
    </row>
    <row r="287">
      <c r="A287" s="14" t="s">
        <v>168</v>
      </c>
      <c r="B287" s="14" t="str">
        <f t="array" ref="B287">VLOOKUP(A287,{Metrik!$C$2:$C$998,Metrik!$B$2:$B$998},2,0)</f>
        <v>PT Bank Rakyat Indonesia (Persero) Tbk</v>
      </c>
      <c r="C287" s="15">
        <f>IFERROR(__xludf.DUMMYFUNCTION("GOOGLEFINANCE(""IDX:""&amp;A287,""price"")"),2850.0)</f>
        <v>2850</v>
      </c>
      <c r="D287" s="16" t="str">
        <f>IFERROR(__xludf.DUMMYFUNCTION("IF(A287="""","""",
SPARKLINE(
INDEX(
GOOGLEFINANCE(""IDX:""&amp;A287,""close"",TODAY()-365,TODAY()),
,2
),
{""linewidth"",1}
))
"),"#N/A")</f>
        <v>#N/A</v>
      </c>
      <c r="E287" s="14" t="s">
        <v>162</v>
      </c>
      <c r="F287" s="14" t="s">
        <v>76</v>
      </c>
      <c r="G287" s="24">
        <f t="shared" si="1"/>
        <v>23</v>
      </c>
      <c r="H287" s="19">
        <f>VLOOKUP(A287,Metrik!$C$2:$Y$959,8,0)</f>
        <v>7.7</v>
      </c>
      <c r="I287" s="20">
        <f>VLOOKUP(A287,Metrik!$C$2:$Y$959,9,0)</f>
        <v>1.3</v>
      </c>
      <c r="J287" s="20">
        <f>VLOOKUP(A287,Metrik!$C$2:$Y$959,10,0)</f>
        <v>17</v>
      </c>
      <c r="K287" s="20">
        <f>VLOOKUP(A287,Metrik!$C$2:$Y$959,11,0)</f>
        <v>2.6</v>
      </c>
      <c r="L287" s="20">
        <f>VLOOKUP(A287,Metrik!$C$2:$Y$959,12,0)</f>
        <v>5.5</v>
      </c>
      <c r="M287" s="20">
        <f>VLOOKUP(A287,Metrik!$C$2:$Y$959,19,0)</f>
        <v>96.8</v>
      </c>
      <c r="N287" s="29">
        <v>7.65</v>
      </c>
      <c r="O287" s="29">
        <v>24.19</v>
      </c>
      <c r="P287" s="29">
        <v>87.43</v>
      </c>
      <c r="Q287" s="29">
        <v>2.86</v>
      </c>
      <c r="R287" s="29">
        <v>68.08</v>
      </c>
      <c r="S287" s="29">
        <v>40.89</v>
      </c>
      <c r="T287" s="29">
        <v>10.24</v>
      </c>
      <c r="U287" s="22">
        <f>IFERROR(__xludf.DUMMYFUNCTION("IFERROR(GOOGLEFINANCE(A287,""closeyest""),"""")"),2850.0)</f>
        <v>2850</v>
      </c>
      <c r="V287" s="23">
        <f>IFERROR(__xludf.DUMMYFUNCTION("IFERROR(GOOGLEFINANCE(A287,""changepct""),"""")"),0.0)</f>
        <v>0</v>
      </c>
      <c r="W287" s="22">
        <f>IFERROR(__xludf.DUMMYFUNCTION("IFERROR(GOOGLEFINANCE(A287,""priceopen""),"""")"),2880.0)</f>
        <v>2880</v>
      </c>
      <c r="X287" s="22">
        <f>IFERROR(__xludf.DUMMYFUNCTION("IFERROR(GOOGLEFINANCE(A287,""high""),"""")"),2900.0)</f>
        <v>2900</v>
      </c>
      <c r="Y287" s="22">
        <f>IFERROR(__xludf.DUMMYFUNCTION("IFERROR(GOOGLEFINANCE(A287,""low""),"""")"),2830.0)</f>
        <v>2830</v>
      </c>
      <c r="Z287" s="22">
        <f>IFERROR(__xludf.DUMMYFUNCTION("IFERROR(GOOGLEFINANCE(A287,""volume""),"""")"),4.5053E8)</f>
        <v>450530000</v>
      </c>
      <c r="AA287" s="24" t="str">
        <f>VLOOKUP(A287,Metrik!$C$2:$Y$959,5,0)</f>
        <v>Banks</v>
      </c>
      <c r="AB287" s="24" t="str">
        <f>VLOOKUP(A287,Metrik!$C$2:$Y$959,3,0)</f>
        <v>Financials</v>
      </c>
    </row>
    <row r="288">
      <c r="A288" s="14" t="s">
        <v>168</v>
      </c>
      <c r="B288" s="14" t="str">
        <f t="array" ref="B288">VLOOKUP(A288,{Metrik!$C$2:$C$998,Metrik!$B$2:$B$998},2,0)</f>
        <v>PT Bank Rakyat Indonesia (Persero) Tbk</v>
      </c>
      <c r="C288" s="15">
        <f>IFERROR(__xludf.DUMMYFUNCTION("GOOGLEFINANCE(""IDX:""&amp;A288,""price"")"),2850.0)</f>
        <v>2850</v>
      </c>
      <c r="D288" s="16" t="str">
        <f>IFERROR(__xludf.DUMMYFUNCTION("IF(A288="""","""",
SPARKLINE(
INDEX(
GOOGLEFINANCE(""IDX:""&amp;A288,""close"",TODAY()-365,TODAY()),
,2
),
{""linewidth"",1}
))
"),"#N/A")</f>
        <v>#N/A</v>
      </c>
      <c r="E288" s="14" t="s">
        <v>55</v>
      </c>
      <c r="F288" s="25">
        <v>46356.0</v>
      </c>
      <c r="G288" s="24">
        <f t="shared" si="1"/>
        <v>23</v>
      </c>
      <c r="H288" s="19">
        <f>VLOOKUP(A288,Metrik!$C$2:$Y$959,8,0)</f>
        <v>7.7</v>
      </c>
      <c r="I288" s="20">
        <f>VLOOKUP(A288,Metrik!$C$2:$Y$959,9,0)</f>
        <v>1.3</v>
      </c>
      <c r="J288" s="20">
        <f>VLOOKUP(A288,Metrik!$C$2:$Y$959,10,0)</f>
        <v>17</v>
      </c>
      <c r="K288" s="20">
        <f>VLOOKUP(A288,Metrik!$C$2:$Y$959,11,0)</f>
        <v>2.6</v>
      </c>
      <c r="L288" s="20">
        <f>VLOOKUP(A288,Metrik!$C$2:$Y$959,12,0)</f>
        <v>5.5</v>
      </c>
      <c r="M288" s="20">
        <f>VLOOKUP(A288,Metrik!$C$2:$Y$959,19,0)</f>
        <v>96.8</v>
      </c>
      <c r="N288" s="29">
        <v>7.65</v>
      </c>
      <c r="O288" s="29">
        <v>24.19</v>
      </c>
      <c r="P288" s="29">
        <v>87.43</v>
      </c>
      <c r="Q288" s="29">
        <v>2.86</v>
      </c>
      <c r="R288" s="29">
        <v>68.08</v>
      </c>
      <c r="S288" s="29">
        <v>40.89</v>
      </c>
      <c r="T288" s="29">
        <v>10.24</v>
      </c>
      <c r="U288" s="22">
        <f>IFERROR(__xludf.DUMMYFUNCTION("IFERROR(GOOGLEFINANCE(A288,""closeyest""),"""")"),2850.0)</f>
        <v>2850</v>
      </c>
      <c r="V288" s="23">
        <f>IFERROR(__xludf.DUMMYFUNCTION("IFERROR(GOOGLEFINANCE(A288,""changepct""),"""")"),0.0)</f>
        <v>0</v>
      </c>
      <c r="W288" s="22">
        <f>IFERROR(__xludf.DUMMYFUNCTION("IFERROR(GOOGLEFINANCE(A288,""priceopen""),"""")"),2880.0)</f>
        <v>2880</v>
      </c>
      <c r="X288" s="22">
        <f>IFERROR(__xludf.DUMMYFUNCTION("IFERROR(GOOGLEFINANCE(A288,""high""),"""")"),2900.0)</f>
        <v>2900</v>
      </c>
      <c r="Y288" s="22">
        <f>IFERROR(__xludf.DUMMYFUNCTION("IFERROR(GOOGLEFINANCE(A288,""low""),"""")"),2830.0)</f>
        <v>2830</v>
      </c>
      <c r="Z288" s="22">
        <f>IFERROR(__xludf.DUMMYFUNCTION("IFERROR(GOOGLEFINANCE(A288,""volume""),"""")"),4.5053E8)</f>
        <v>450530000</v>
      </c>
      <c r="AA288" s="24" t="str">
        <f>VLOOKUP(A288,Metrik!$C$2:$Y$959,5,0)</f>
        <v>Banks</v>
      </c>
      <c r="AB288" s="24" t="str">
        <f>VLOOKUP(A288,Metrik!$C$2:$Y$959,3,0)</f>
        <v>Financials</v>
      </c>
    </row>
    <row r="289">
      <c r="A289" s="14" t="s">
        <v>168</v>
      </c>
      <c r="B289" s="14" t="str">
        <f t="array" ref="B289">VLOOKUP(A289,{Metrik!$C$2:$C$998,Metrik!$B$2:$B$998},2,0)</f>
        <v>PT Bank Rakyat Indonesia (Persero) Tbk</v>
      </c>
      <c r="C289" s="15">
        <f>IFERROR(__xludf.DUMMYFUNCTION("GOOGLEFINANCE(""IDX:""&amp;A289,""price"")"),2850.0)</f>
        <v>2850</v>
      </c>
      <c r="D289" s="16" t="str">
        <f>IFERROR(__xludf.DUMMYFUNCTION("IF(A289="""","""",
SPARKLINE(
INDEX(
GOOGLEFINANCE(""IDX:""&amp;A289,""close"",TODAY()-365,TODAY()),
,2
),
{""linewidth"",1}
))
"),"#N/A")</f>
        <v>#N/A</v>
      </c>
      <c r="E289" s="14" t="s">
        <v>86</v>
      </c>
      <c r="F289" s="25">
        <v>46356.0</v>
      </c>
      <c r="G289" s="24">
        <f t="shared" si="1"/>
        <v>23</v>
      </c>
      <c r="H289" s="19">
        <f>VLOOKUP(A289,Metrik!$C$2:$Y$959,8,0)</f>
        <v>7.7</v>
      </c>
      <c r="I289" s="20">
        <f>VLOOKUP(A289,Metrik!$C$2:$Y$959,9,0)</f>
        <v>1.3</v>
      </c>
      <c r="J289" s="20">
        <f>VLOOKUP(A289,Metrik!$C$2:$Y$959,10,0)</f>
        <v>17</v>
      </c>
      <c r="K289" s="20">
        <f>VLOOKUP(A289,Metrik!$C$2:$Y$959,11,0)</f>
        <v>2.6</v>
      </c>
      <c r="L289" s="20">
        <f>VLOOKUP(A289,Metrik!$C$2:$Y$959,12,0)</f>
        <v>5.5</v>
      </c>
      <c r="M289" s="20">
        <f>VLOOKUP(A289,Metrik!$C$2:$Y$959,19,0)</f>
        <v>96.8</v>
      </c>
      <c r="N289" s="29">
        <v>7.65</v>
      </c>
      <c r="O289" s="29">
        <v>24.19</v>
      </c>
      <c r="P289" s="29">
        <v>87.43</v>
      </c>
      <c r="Q289" s="29">
        <v>2.86</v>
      </c>
      <c r="R289" s="29">
        <v>68.08</v>
      </c>
      <c r="S289" s="29">
        <v>40.89</v>
      </c>
      <c r="T289" s="29">
        <v>10.24</v>
      </c>
      <c r="U289" s="22">
        <f>IFERROR(__xludf.DUMMYFUNCTION("IFERROR(GOOGLEFINANCE(A289,""closeyest""),"""")"),2850.0)</f>
        <v>2850</v>
      </c>
      <c r="V289" s="23">
        <f>IFERROR(__xludf.DUMMYFUNCTION("IFERROR(GOOGLEFINANCE(A289,""changepct""),"""")"),0.0)</f>
        <v>0</v>
      </c>
      <c r="W289" s="22">
        <f>IFERROR(__xludf.DUMMYFUNCTION("IFERROR(GOOGLEFINANCE(A289,""priceopen""),"""")"),2880.0)</f>
        <v>2880</v>
      </c>
      <c r="X289" s="22">
        <f>IFERROR(__xludf.DUMMYFUNCTION("IFERROR(GOOGLEFINANCE(A289,""high""),"""")"),2900.0)</f>
        <v>2900</v>
      </c>
      <c r="Y289" s="22">
        <f>IFERROR(__xludf.DUMMYFUNCTION("IFERROR(GOOGLEFINANCE(A289,""low""),"""")"),2830.0)</f>
        <v>2830</v>
      </c>
      <c r="Z289" s="22">
        <f>IFERROR(__xludf.DUMMYFUNCTION("IFERROR(GOOGLEFINANCE(A289,""volume""),"""")"),4.5053E8)</f>
        <v>450530000</v>
      </c>
      <c r="AA289" s="24" t="str">
        <f>VLOOKUP(A289,Metrik!$C$2:$Y$959,5,0)</f>
        <v>Banks</v>
      </c>
      <c r="AB289" s="24" t="str">
        <f>VLOOKUP(A289,Metrik!$C$2:$Y$959,3,0)</f>
        <v>Financials</v>
      </c>
    </row>
    <row r="290">
      <c r="A290" s="14" t="s">
        <v>168</v>
      </c>
      <c r="B290" s="14" t="str">
        <f t="array" ref="B290">VLOOKUP(A290,{Metrik!$C$2:$C$998,Metrik!$B$2:$B$998},2,0)</f>
        <v>PT Bank Rakyat Indonesia (Persero) Tbk</v>
      </c>
      <c r="C290" s="15">
        <f>IFERROR(__xludf.DUMMYFUNCTION("GOOGLEFINANCE(""IDX:""&amp;A290,""price"")"),2850.0)</f>
        <v>2850</v>
      </c>
      <c r="D290" s="16" t="str">
        <f>IFERROR(__xludf.DUMMYFUNCTION("IF(A290="""","""",
SPARKLINE(
INDEX(
GOOGLEFINANCE(""IDX:""&amp;A290,""close"",TODAY()-365,TODAY()),
,2
),
{""linewidth"",1}
))
"),"#N/A")</f>
        <v>#N/A</v>
      </c>
      <c r="E290" s="14" t="s">
        <v>42</v>
      </c>
      <c r="F290" s="25">
        <v>46356.0</v>
      </c>
      <c r="G290" s="24">
        <f t="shared" si="1"/>
        <v>23</v>
      </c>
      <c r="H290" s="19">
        <f>VLOOKUP(A290,Metrik!$C$2:$Y$959,8,0)</f>
        <v>7.7</v>
      </c>
      <c r="I290" s="20">
        <f>VLOOKUP(A290,Metrik!$C$2:$Y$959,9,0)</f>
        <v>1.3</v>
      </c>
      <c r="J290" s="20">
        <f>VLOOKUP(A290,Metrik!$C$2:$Y$959,10,0)</f>
        <v>17</v>
      </c>
      <c r="K290" s="20">
        <f>VLOOKUP(A290,Metrik!$C$2:$Y$959,11,0)</f>
        <v>2.6</v>
      </c>
      <c r="L290" s="20">
        <f>VLOOKUP(A290,Metrik!$C$2:$Y$959,12,0)</f>
        <v>5.5</v>
      </c>
      <c r="M290" s="20">
        <f>VLOOKUP(A290,Metrik!$C$2:$Y$959,19,0)</f>
        <v>96.8</v>
      </c>
      <c r="N290" s="29">
        <v>7.65</v>
      </c>
      <c r="O290" s="29">
        <v>24.19</v>
      </c>
      <c r="P290" s="29">
        <v>87.43</v>
      </c>
      <c r="Q290" s="29">
        <v>2.86</v>
      </c>
      <c r="R290" s="29">
        <v>68.08</v>
      </c>
      <c r="S290" s="29">
        <v>40.89</v>
      </c>
      <c r="T290" s="29">
        <v>10.24</v>
      </c>
      <c r="U290" s="22">
        <f>IFERROR(__xludf.DUMMYFUNCTION("IFERROR(GOOGLEFINANCE(A290,""closeyest""),"""")"),2850.0)</f>
        <v>2850</v>
      </c>
      <c r="V290" s="23">
        <f>IFERROR(__xludf.DUMMYFUNCTION("IFERROR(GOOGLEFINANCE(A290,""changepct""),"""")"),0.0)</f>
        <v>0</v>
      </c>
      <c r="W290" s="22">
        <f>IFERROR(__xludf.DUMMYFUNCTION("IFERROR(GOOGLEFINANCE(A290,""priceopen""),"""")"),2880.0)</f>
        <v>2880</v>
      </c>
      <c r="X290" s="22">
        <f>IFERROR(__xludf.DUMMYFUNCTION("IFERROR(GOOGLEFINANCE(A290,""high""),"""")"),2900.0)</f>
        <v>2900</v>
      </c>
      <c r="Y290" s="22">
        <f>IFERROR(__xludf.DUMMYFUNCTION("IFERROR(GOOGLEFINANCE(A290,""low""),"""")"),2830.0)</f>
        <v>2830</v>
      </c>
      <c r="Z290" s="22">
        <f>IFERROR(__xludf.DUMMYFUNCTION("IFERROR(GOOGLEFINANCE(A290,""volume""),"""")"),4.5053E8)</f>
        <v>450530000</v>
      </c>
      <c r="AA290" s="24" t="str">
        <f>VLOOKUP(A290,Metrik!$C$2:$Y$959,5,0)</f>
        <v>Banks</v>
      </c>
      <c r="AB290" s="24" t="str">
        <f>VLOOKUP(A290,Metrik!$C$2:$Y$959,3,0)</f>
        <v>Financials</v>
      </c>
    </row>
    <row r="291">
      <c r="A291" s="14" t="s">
        <v>169</v>
      </c>
      <c r="B291" s="14" t="str">
        <f t="array" ref="B291">VLOOKUP(A291,{Metrik!$C$2:$C$998,Metrik!$B$2:$B$998},2,0)</f>
        <v>Pelayaran Nasional Bina Buana Raya Tbk.</v>
      </c>
      <c r="C291" s="15">
        <f>IFERROR(__xludf.DUMMYFUNCTION("GOOGLEFINANCE(""IDX:""&amp;A291,""price"")"),102.0)</f>
        <v>102</v>
      </c>
      <c r="D291" s="16" t="str">
        <f>IFERROR(__xludf.DUMMYFUNCTION("IF(A291="""","""",
SPARKLINE(
INDEX(
GOOGLEFINANCE(""IDX:""&amp;A291,""close"",TODAY()-365,TODAY()),
,2
),
{""linewidth"",1}
))
"),"#N/A")</f>
        <v>#N/A</v>
      </c>
      <c r="E291" s="26"/>
      <c r="F291" s="26"/>
      <c r="G291" s="18">
        <f t="shared" si="1"/>
        <v>0</v>
      </c>
      <c r="H291" s="19">
        <f>VLOOKUP(A291,Metrik!$C$2:$Y$959,8,0)</f>
        <v>9.6</v>
      </c>
      <c r="I291" s="20">
        <f>VLOOKUP(A291,Metrik!$C$2:$Y$959,9,0)</f>
        <v>1.3</v>
      </c>
      <c r="J291" s="20">
        <f>VLOOKUP(A291,Metrik!$C$2:$Y$959,10,0)</f>
        <v>13.7</v>
      </c>
      <c r="K291" s="20">
        <f>VLOOKUP(A291,Metrik!$C$2:$Y$959,11,0)</f>
        <v>12.7</v>
      </c>
      <c r="L291" s="20">
        <f>VLOOKUP(A291,Metrik!$C$2:$Y$959,12,0)</f>
        <v>0.08</v>
      </c>
      <c r="M291" s="20">
        <f>VLOOKUP(A291,Metrik!$C$2:$Y$959,19,0)</f>
        <v>200</v>
      </c>
      <c r="N291" s="21"/>
      <c r="O291" s="21"/>
      <c r="P291" s="21"/>
      <c r="Q291" s="21"/>
      <c r="R291" s="21"/>
      <c r="S291" s="21"/>
      <c r="T291" s="21"/>
      <c r="U291" s="22">
        <f>IFERROR(__xludf.DUMMYFUNCTION("IFERROR(GOOGLEFINANCE(A291,""closeyest""),"""")"),97.0)</f>
        <v>97</v>
      </c>
      <c r="V291" s="23">
        <f>IFERROR(__xludf.DUMMYFUNCTION("IFERROR(GOOGLEFINANCE(A291,""changepct""),"""")"),5.15)</f>
        <v>5.15</v>
      </c>
      <c r="W291" s="22">
        <f>IFERROR(__xludf.DUMMYFUNCTION("IFERROR(GOOGLEFINANCE(A291,""priceopen""),"""")"),98.0)</f>
        <v>98</v>
      </c>
      <c r="X291" s="22">
        <f>IFERROR(__xludf.DUMMYFUNCTION("IFERROR(GOOGLEFINANCE(A291,""high""),"""")"),106.0)</f>
        <v>106</v>
      </c>
      <c r="Y291" s="22">
        <f>IFERROR(__xludf.DUMMYFUNCTION("IFERROR(GOOGLEFINANCE(A291,""low""),"""")"),97.0)</f>
        <v>97</v>
      </c>
      <c r="Z291" s="22">
        <f>IFERROR(__xludf.DUMMYFUNCTION("IFERROR(GOOGLEFINANCE(A291,""volume""),"""")"),7633900.0)</f>
        <v>7633900</v>
      </c>
      <c r="AA291" s="24" t="str">
        <f>VLOOKUP(A291,Metrik!$C$2:$Y$959,5,0)</f>
        <v>Coal</v>
      </c>
      <c r="AB291" s="24" t="str">
        <f>VLOOKUP(A291,Metrik!$C$2:$Y$959,3,0)</f>
        <v>Energy</v>
      </c>
    </row>
    <row r="292">
      <c r="A292" s="14" t="s">
        <v>170</v>
      </c>
      <c r="B292" s="14" t="str">
        <f t="array" ref="B292">VLOOKUP(A292,{Metrik!$C$2:$C$998,Metrik!$B$2:$B$998},2,0)</f>
        <v>Krom Bank Indonesia Tbk.</v>
      </c>
      <c r="C292" s="15">
        <f>IFERROR(__xludf.DUMMYFUNCTION("GOOGLEFINANCE(""IDX:""&amp;A292,""price"")"),4400.0)</f>
        <v>4400</v>
      </c>
      <c r="D292" s="16" t="str">
        <f>IFERROR(__xludf.DUMMYFUNCTION("IF(A292="""","""",
SPARKLINE(
INDEX(
GOOGLEFINANCE(""IDX:""&amp;A292,""close"",TODAY()-365,TODAY()),
,2
),
{""linewidth"",1}
))
"),"#N/A")</f>
        <v>#N/A</v>
      </c>
      <c r="E292" s="26"/>
      <c r="F292" s="26"/>
      <c r="G292" s="24">
        <f t="shared" si="1"/>
        <v>0</v>
      </c>
      <c r="H292" s="19">
        <f>VLOOKUP(A292,Metrik!$C$2:$Y$959,8,0)</f>
        <v>91.2</v>
      </c>
      <c r="I292" s="20">
        <f>VLOOKUP(A292,Metrik!$C$2:$Y$959,9,0)</f>
        <v>4.6</v>
      </c>
      <c r="J292" s="20">
        <f>VLOOKUP(A292,Metrik!$C$2:$Y$959,10,0)</f>
        <v>5.1</v>
      </c>
      <c r="K292" s="20">
        <f>VLOOKUP(A292,Metrik!$C$2:$Y$959,11,0)</f>
        <v>1.2</v>
      </c>
      <c r="L292" s="20">
        <f>VLOOKUP(A292,Metrik!$C$2:$Y$959,12,0)</f>
        <v>3.2</v>
      </c>
      <c r="M292" s="20">
        <f>VLOOKUP(A292,Metrik!$C$2:$Y$959,19,0)</f>
        <v>21.9</v>
      </c>
      <c r="N292" s="32">
        <v>19.73</v>
      </c>
      <c r="O292" s="32">
        <v>45.31</v>
      </c>
      <c r="P292" s="32">
        <v>91.01</v>
      </c>
      <c r="Q292" s="32">
        <v>3.11</v>
      </c>
      <c r="R292" s="32">
        <v>89.05</v>
      </c>
      <c r="S292" s="32">
        <v>17.64</v>
      </c>
      <c r="T292" s="41"/>
      <c r="U292" s="22">
        <f>IFERROR(__xludf.DUMMYFUNCTION("IFERROR(GOOGLEFINANCE(A292,""closeyest""),"""")"),34.25)</f>
        <v>34.25</v>
      </c>
      <c r="V292" s="23">
        <f>IFERROR(__xludf.DUMMYFUNCTION("IFERROR(GOOGLEFINANCE(A292,""changepct""),"""")"),-0.23)</f>
        <v>-0.23</v>
      </c>
      <c r="W292" s="22">
        <f>IFERROR(__xludf.DUMMYFUNCTION("IFERROR(GOOGLEFINANCE(A292,""priceopen""),"""")"),34.2)</f>
        <v>34.2</v>
      </c>
      <c r="X292" s="22">
        <f>IFERROR(__xludf.DUMMYFUNCTION("IFERROR(GOOGLEFINANCE(A292,""high""),"""")"),35.01)</f>
        <v>35.01</v>
      </c>
      <c r="Y292" s="22">
        <f>IFERROR(__xludf.DUMMYFUNCTION("IFERROR(GOOGLEFINANCE(A292,""low""),"""")"),34.0)</f>
        <v>34</v>
      </c>
      <c r="Z292" s="22">
        <f>IFERROR(__xludf.DUMMYFUNCTION("IFERROR(GOOGLEFINANCE(A292,""volume""),"""")"),189571.0)</f>
        <v>189571</v>
      </c>
      <c r="AA292" s="24" t="str">
        <f>VLOOKUP(A292,Metrik!$C$2:$Y$959,5,0)</f>
        <v>Banks</v>
      </c>
      <c r="AB292" s="24" t="str">
        <f>VLOOKUP(A292,Metrik!$C$2:$Y$959,3,0)</f>
        <v>Financials</v>
      </c>
    </row>
    <row r="293">
      <c r="A293" s="14" t="s">
        <v>171</v>
      </c>
      <c r="B293" s="14" t="str">
        <f t="array" ref="B293">VLOOKUP(A293,{Metrik!$C$2:$C$998,Metrik!$B$2:$B$998},2,0)</f>
        <v>Bumi Benowo Sukses Sejahtera Tbk.</v>
      </c>
      <c r="C293" s="15">
        <f>IFERROR(__xludf.DUMMYFUNCTION("GOOGLEFINANCE(""IDX:""&amp;A293,""price"")"),102.0)</f>
        <v>102</v>
      </c>
      <c r="D293" s="16" t="str">
        <f>IFERROR(__xludf.DUMMYFUNCTION("IF(A293="""","""",
SPARKLINE(
INDEX(
GOOGLEFINANCE(""IDX:""&amp;A293,""close"",TODAY()-365,TODAY()),
,2
),
{""linewidth"",1}
))
"),"#N/A")</f>
        <v>#N/A</v>
      </c>
      <c r="E293" s="26"/>
      <c r="F293" s="26"/>
      <c r="G293" s="24">
        <f t="shared" si="1"/>
        <v>0</v>
      </c>
      <c r="H293" s="19">
        <f>VLOOKUP(A293,Metrik!$C$2:$Y$959,8,0)</f>
        <v>-1130</v>
      </c>
      <c r="I293" s="20">
        <f>VLOOKUP(A293,Metrik!$C$2:$Y$959,9,0)</f>
        <v>2.5</v>
      </c>
      <c r="J293" s="20">
        <f>VLOOKUP(A293,Metrik!$C$2:$Y$959,10,0)</f>
        <v>-0.22</v>
      </c>
      <c r="K293" s="20">
        <f>VLOOKUP(A293,Metrik!$C$2:$Y$959,11,0)</f>
        <v>-0.22</v>
      </c>
      <c r="L293" s="20">
        <f>VLOOKUP(A293,Metrik!$C$2:$Y$959,12,0)</f>
        <v>0.01</v>
      </c>
      <c r="M293" s="20">
        <f>VLOOKUP(A293,Metrik!$C$2:$Y$959,19,0)</f>
        <v>-360</v>
      </c>
      <c r="N293" s="21"/>
      <c r="O293" s="21"/>
      <c r="P293" s="21"/>
      <c r="Q293" s="21"/>
      <c r="R293" s="21"/>
      <c r="S293" s="21"/>
      <c r="T293" s="21"/>
      <c r="U293" s="22">
        <f>IFERROR(__xludf.DUMMYFUNCTION("IFERROR(GOOGLEFINANCE(A293,""closeyest""),"""")"),104.0)</f>
        <v>104</v>
      </c>
      <c r="V293" s="23">
        <f>IFERROR(__xludf.DUMMYFUNCTION("IFERROR(GOOGLEFINANCE(A293,""changepct""),"""")"),-1.92)</f>
        <v>-1.92</v>
      </c>
      <c r="W293" s="22" t="str">
        <f>IFERROR(__xludf.DUMMYFUNCTION("IFERROR(GOOGLEFINANCE(A293,""priceopen""),"""")"),"")</f>
        <v/>
      </c>
      <c r="X293" s="22">
        <f>IFERROR(__xludf.DUMMYFUNCTION("IFERROR(GOOGLEFINANCE(A293,""high""),"""")"),105.0)</f>
        <v>105</v>
      </c>
      <c r="Y293" s="22">
        <f>IFERROR(__xludf.DUMMYFUNCTION("IFERROR(GOOGLEFINANCE(A293,""low""),"""")"),100.0)</f>
        <v>100</v>
      </c>
      <c r="Z293" s="22">
        <f>IFERROR(__xludf.DUMMYFUNCTION("IFERROR(GOOGLEFINANCE(A293,""volume""),"""")"),261700.0)</f>
        <v>261700</v>
      </c>
      <c r="AA293" s="24" t="str">
        <f>VLOOKUP(A293,Metrik!$C$2:$Y$959,5,0)</f>
        <v>Real Estate Management &amp; Development</v>
      </c>
      <c r="AB293" s="24" t="str">
        <f>VLOOKUP(A293,Metrik!$C$2:$Y$959,3,0)</f>
        <v>Properties &amp; Real Estate</v>
      </c>
    </row>
    <row r="294">
      <c r="A294" s="14" t="s">
        <v>172</v>
      </c>
      <c r="B294" s="14" t="str">
        <f t="array" ref="B294">VLOOKUP(A294,{Metrik!$C$2:$C$998,Metrik!$B$2:$B$998},2,0)</f>
        <v>PT Bank Tabungan Negara (Persero) Tbk</v>
      </c>
      <c r="C294" s="15">
        <f>IFERROR(__xludf.DUMMYFUNCTION("GOOGLEFINANCE(""IDX:""&amp;A294,""price"")"),1260.0)</f>
        <v>1260</v>
      </c>
      <c r="D294" s="16" t="str">
        <f>IFERROR(__xludf.DUMMYFUNCTION("IF(A294="""","""",
SPARKLINE(
INDEX(
GOOGLEFINANCE(""IDX:""&amp;A294,""close"",TODAY()-365,TODAY()),
,2
),
{""linewidth"",1}
))
"),"#N/A")</f>
        <v>#N/A</v>
      </c>
      <c r="E294" s="14" t="s">
        <v>47</v>
      </c>
      <c r="F294" s="25">
        <v>46356.0</v>
      </c>
      <c r="G294" s="24">
        <f t="shared" si="1"/>
        <v>14</v>
      </c>
      <c r="H294" s="19">
        <f>VLOOKUP(A294,Metrik!$C$2:$Y$959,8,0)</f>
        <v>4.8</v>
      </c>
      <c r="I294" s="20">
        <f>VLOOKUP(A294,Metrik!$C$2:$Y$959,9,0)</f>
        <v>0.48</v>
      </c>
      <c r="J294" s="20">
        <f>VLOOKUP(A294,Metrik!$C$2:$Y$959,10,0)</f>
        <v>10.1</v>
      </c>
      <c r="K294" s="20">
        <f>VLOOKUP(A294,Metrik!$C$2:$Y$959,11,0)</f>
        <v>0.72</v>
      </c>
      <c r="L294" s="20">
        <f>VLOOKUP(A294,Metrik!$C$2:$Y$959,12,0)</f>
        <v>12.3</v>
      </c>
      <c r="M294" s="20">
        <f>VLOOKUP(A294,Metrik!$C$2:$Y$959,19,0)</f>
        <v>48.5</v>
      </c>
      <c r="N294" s="29">
        <v>2.86</v>
      </c>
      <c r="O294" s="29">
        <v>18.5</v>
      </c>
      <c r="P294" s="29">
        <v>93.79</v>
      </c>
      <c r="Q294" s="29">
        <v>3.16</v>
      </c>
      <c r="R294" s="29">
        <v>88.7</v>
      </c>
      <c r="S294" s="29">
        <v>57.15</v>
      </c>
      <c r="T294" s="29">
        <v>19.65</v>
      </c>
      <c r="U294" s="22">
        <f>IFERROR(__xludf.DUMMYFUNCTION("IFERROR(GOOGLEFINANCE(A294,""closeyest""),"""")"),1185.0)</f>
        <v>1185</v>
      </c>
      <c r="V294" s="23">
        <f>IFERROR(__xludf.DUMMYFUNCTION("IFERROR(GOOGLEFINANCE(A294,""changepct""),"""")"),6.33)</f>
        <v>6.33</v>
      </c>
      <c r="W294" s="22">
        <f>IFERROR(__xludf.DUMMYFUNCTION("IFERROR(GOOGLEFINANCE(A294,""priceopen""),"""")"),1200.0)</f>
        <v>1200</v>
      </c>
      <c r="X294" s="22">
        <f>IFERROR(__xludf.DUMMYFUNCTION("IFERROR(GOOGLEFINANCE(A294,""high""),"""")"),1295.0)</f>
        <v>1295</v>
      </c>
      <c r="Y294" s="22">
        <f>IFERROR(__xludf.DUMMYFUNCTION("IFERROR(GOOGLEFINANCE(A294,""low""),"""")"),1190.0)</f>
        <v>1190</v>
      </c>
      <c r="Z294" s="22">
        <f>IFERROR(__xludf.DUMMYFUNCTION("IFERROR(GOOGLEFINANCE(A294,""volume""),"""")"),3.54914E7)</f>
        <v>35491400</v>
      </c>
      <c r="AA294" s="24" t="str">
        <f>VLOOKUP(A294,Metrik!$C$2:$Y$959,5,0)</f>
        <v>Banks</v>
      </c>
      <c r="AB294" s="24" t="str">
        <f>VLOOKUP(A294,Metrik!$C$2:$Y$959,3,0)</f>
        <v>Financials</v>
      </c>
    </row>
    <row r="295">
      <c r="A295" s="14" t="s">
        <v>172</v>
      </c>
      <c r="B295" s="14" t="str">
        <f t="array" ref="B295">VLOOKUP(A295,{Metrik!$C$2:$C$998,Metrik!$B$2:$B$998},2,0)</f>
        <v>PT Bank Tabungan Negara (Persero) Tbk</v>
      </c>
      <c r="C295" s="15">
        <f>IFERROR(__xludf.DUMMYFUNCTION("GOOGLEFINANCE(""IDX:""&amp;A295,""price"")"),1260.0)</f>
        <v>1260</v>
      </c>
      <c r="D295" s="16" t="str">
        <f>IFERROR(__xludf.DUMMYFUNCTION("IF(A295="""","""",
SPARKLINE(
INDEX(
GOOGLEFINANCE(""IDX:""&amp;A295,""close"",TODAY()-365,TODAY()),
,2
),
{""linewidth"",1}
))
"),"#N/A")</f>
        <v>#N/A</v>
      </c>
      <c r="E295" s="14" t="s">
        <v>75</v>
      </c>
      <c r="F295" s="14" t="s">
        <v>76</v>
      </c>
      <c r="G295" s="24">
        <f t="shared" si="1"/>
        <v>14</v>
      </c>
      <c r="H295" s="19">
        <f>VLOOKUP(A295,Metrik!$C$2:$Y$959,8,0)</f>
        <v>4.8</v>
      </c>
      <c r="I295" s="20">
        <f>VLOOKUP(A295,Metrik!$C$2:$Y$959,9,0)</f>
        <v>0.48</v>
      </c>
      <c r="J295" s="20">
        <f>VLOOKUP(A295,Metrik!$C$2:$Y$959,10,0)</f>
        <v>10.1</v>
      </c>
      <c r="K295" s="20">
        <f>VLOOKUP(A295,Metrik!$C$2:$Y$959,11,0)</f>
        <v>0.72</v>
      </c>
      <c r="L295" s="20">
        <f>VLOOKUP(A295,Metrik!$C$2:$Y$959,12,0)</f>
        <v>12.3</v>
      </c>
      <c r="M295" s="20">
        <f>VLOOKUP(A295,Metrik!$C$2:$Y$959,19,0)</f>
        <v>48.5</v>
      </c>
      <c r="N295" s="29">
        <v>2.86</v>
      </c>
      <c r="O295" s="29">
        <v>18.5</v>
      </c>
      <c r="P295" s="29">
        <v>93.79</v>
      </c>
      <c r="Q295" s="29">
        <v>3.16</v>
      </c>
      <c r="R295" s="29">
        <v>88.7</v>
      </c>
      <c r="S295" s="29">
        <v>57.15</v>
      </c>
      <c r="T295" s="29">
        <v>19.65</v>
      </c>
      <c r="U295" s="22">
        <f>IFERROR(__xludf.DUMMYFUNCTION("IFERROR(GOOGLEFINANCE(A295,""closeyest""),"""")"),1185.0)</f>
        <v>1185</v>
      </c>
      <c r="V295" s="23">
        <f>IFERROR(__xludf.DUMMYFUNCTION("IFERROR(GOOGLEFINANCE(A295,""changepct""),"""")"),6.33)</f>
        <v>6.33</v>
      </c>
      <c r="W295" s="22">
        <f>IFERROR(__xludf.DUMMYFUNCTION("IFERROR(GOOGLEFINANCE(A295,""priceopen""),"""")"),1200.0)</f>
        <v>1200</v>
      </c>
      <c r="X295" s="22">
        <f>IFERROR(__xludf.DUMMYFUNCTION("IFERROR(GOOGLEFINANCE(A295,""high""),"""")"),1295.0)</f>
        <v>1295</v>
      </c>
      <c r="Y295" s="22">
        <f>IFERROR(__xludf.DUMMYFUNCTION("IFERROR(GOOGLEFINANCE(A295,""low""),"""")"),1190.0)</f>
        <v>1190</v>
      </c>
      <c r="Z295" s="22">
        <f>IFERROR(__xludf.DUMMYFUNCTION("IFERROR(GOOGLEFINANCE(A295,""volume""),"""")"),3.54914E7)</f>
        <v>35491400</v>
      </c>
      <c r="AA295" s="24" t="str">
        <f>VLOOKUP(A295,Metrik!$C$2:$Y$959,5,0)</f>
        <v>Banks</v>
      </c>
      <c r="AB295" s="24" t="str">
        <f>VLOOKUP(A295,Metrik!$C$2:$Y$959,3,0)</f>
        <v>Financials</v>
      </c>
    </row>
    <row r="296">
      <c r="A296" s="14" t="s">
        <v>172</v>
      </c>
      <c r="B296" s="14" t="str">
        <f t="array" ref="B296">VLOOKUP(A296,{Metrik!$C$2:$C$998,Metrik!$B$2:$B$998},2,0)</f>
        <v>PT Bank Tabungan Negara (Persero) Tbk</v>
      </c>
      <c r="C296" s="15">
        <f>IFERROR(__xludf.DUMMYFUNCTION("GOOGLEFINANCE(""IDX:""&amp;A296,""price"")"),1260.0)</f>
        <v>1260</v>
      </c>
      <c r="D296" s="16" t="str">
        <f>IFERROR(__xludf.DUMMYFUNCTION("IF(A296="""","""",
SPARKLINE(
INDEX(
GOOGLEFINANCE(""IDX:""&amp;A296,""close"",TODAY()-365,TODAY()),
,2
),
{""linewidth"",1}
))
"),"#N/A")</f>
        <v>#N/A</v>
      </c>
      <c r="E296" s="14" t="s">
        <v>32</v>
      </c>
      <c r="F296" s="14" t="s">
        <v>29</v>
      </c>
      <c r="G296" s="24">
        <f t="shared" si="1"/>
        <v>14</v>
      </c>
      <c r="H296" s="19">
        <f>VLOOKUP(A296,Metrik!$C$2:$Y$959,8,0)</f>
        <v>4.8</v>
      </c>
      <c r="I296" s="20">
        <f>VLOOKUP(A296,Metrik!$C$2:$Y$959,9,0)</f>
        <v>0.48</v>
      </c>
      <c r="J296" s="20">
        <f>VLOOKUP(A296,Metrik!$C$2:$Y$959,10,0)</f>
        <v>10.1</v>
      </c>
      <c r="K296" s="20">
        <f>VLOOKUP(A296,Metrik!$C$2:$Y$959,11,0)</f>
        <v>0.72</v>
      </c>
      <c r="L296" s="20">
        <f>VLOOKUP(A296,Metrik!$C$2:$Y$959,12,0)</f>
        <v>12.3</v>
      </c>
      <c r="M296" s="20">
        <f>VLOOKUP(A296,Metrik!$C$2:$Y$959,19,0)</f>
        <v>48.5</v>
      </c>
      <c r="N296" s="29">
        <v>2.86</v>
      </c>
      <c r="O296" s="29">
        <v>18.5</v>
      </c>
      <c r="P296" s="29">
        <v>93.79</v>
      </c>
      <c r="Q296" s="29">
        <v>3.16</v>
      </c>
      <c r="R296" s="29">
        <v>88.7</v>
      </c>
      <c r="S296" s="29">
        <v>57.15</v>
      </c>
      <c r="T296" s="29">
        <v>19.65</v>
      </c>
      <c r="U296" s="22">
        <f>IFERROR(__xludf.DUMMYFUNCTION("IFERROR(GOOGLEFINANCE(A296,""closeyest""),"""")"),1185.0)</f>
        <v>1185</v>
      </c>
      <c r="V296" s="23">
        <f>IFERROR(__xludf.DUMMYFUNCTION("IFERROR(GOOGLEFINANCE(A296,""changepct""),"""")"),6.33)</f>
        <v>6.33</v>
      </c>
      <c r="W296" s="22">
        <f>IFERROR(__xludf.DUMMYFUNCTION("IFERROR(GOOGLEFINANCE(A296,""priceopen""),"""")"),1200.0)</f>
        <v>1200</v>
      </c>
      <c r="X296" s="22">
        <f>IFERROR(__xludf.DUMMYFUNCTION("IFERROR(GOOGLEFINANCE(A296,""high""),"""")"),1295.0)</f>
        <v>1295</v>
      </c>
      <c r="Y296" s="22">
        <f>IFERROR(__xludf.DUMMYFUNCTION("IFERROR(GOOGLEFINANCE(A296,""low""),"""")"),1190.0)</f>
        <v>1190</v>
      </c>
      <c r="Z296" s="22">
        <f>IFERROR(__xludf.DUMMYFUNCTION("IFERROR(GOOGLEFINANCE(A296,""volume""),"""")"),3.54914E7)</f>
        <v>35491400</v>
      </c>
      <c r="AA296" s="24" t="str">
        <f>VLOOKUP(A296,Metrik!$C$2:$Y$959,5,0)</f>
        <v>Banks</v>
      </c>
      <c r="AB296" s="24" t="str">
        <f>VLOOKUP(A296,Metrik!$C$2:$Y$959,3,0)</f>
        <v>Financials</v>
      </c>
    </row>
    <row r="297">
      <c r="A297" s="14" t="s">
        <v>172</v>
      </c>
      <c r="B297" s="14" t="str">
        <f t="array" ref="B297">VLOOKUP(A297,{Metrik!$C$2:$C$998,Metrik!$B$2:$B$998},2,0)</f>
        <v>PT Bank Tabungan Negara (Persero) Tbk</v>
      </c>
      <c r="C297" s="15">
        <f>IFERROR(__xludf.DUMMYFUNCTION("GOOGLEFINANCE(""IDX:""&amp;A297,""price"")"),1260.0)</f>
        <v>1260</v>
      </c>
      <c r="D297" s="16" t="str">
        <f>IFERROR(__xludf.DUMMYFUNCTION("IF(A297="""","""",
SPARKLINE(
INDEX(
GOOGLEFINANCE(""IDX:""&amp;A297,""close"",TODAY()-365,TODAY()),
,2
),
{""linewidth"",1}
))
"),"#N/A")</f>
        <v>#N/A</v>
      </c>
      <c r="E297" s="14" t="s">
        <v>52</v>
      </c>
      <c r="F297" s="27" t="s">
        <v>53</v>
      </c>
      <c r="G297" s="24">
        <f t="shared" si="1"/>
        <v>14</v>
      </c>
      <c r="H297" s="19">
        <f>VLOOKUP(A297,Metrik!$C$2:$Y$959,8,0)</f>
        <v>4.8</v>
      </c>
      <c r="I297" s="20">
        <f>VLOOKUP(A297,Metrik!$C$2:$Y$959,9,0)</f>
        <v>0.48</v>
      </c>
      <c r="J297" s="20">
        <f>VLOOKUP(A297,Metrik!$C$2:$Y$959,10,0)</f>
        <v>10.1</v>
      </c>
      <c r="K297" s="20">
        <f>VLOOKUP(A297,Metrik!$C$2:$Y$959,11,0)</f>
        <v>0.72</v>
      </c>
      <c r="L297" s="20">
        <f>VLOOKUP(A297,Metrik!$C$2:$Y$959,12,0)</f>
        <v>12.3</v>
      </c>
      <c r="M297" s="20">
        <f>VLOOKUP(A297,Metrik!$C$2:$Y$959,19,0)</f>
        <v>48.5</v>
      </c>
      <c r="N297" s="29">
        <v>2.86</v>
      </c>
      <c r="O297" s="29">
        <v>18.5</v>
      </c>
      <c r="P297" s="29">
        <v>93.79</v>
      </c>
      <c r="Q297" s="29">
        <v>3.16</v>
      </c>
      <c r="R297" s="29">
        <v>88.7</v>
      </c>
      <c r="S297" s="29">
        <v>57.15</v>
      </c>
      <c r="T297" s="29">
        <v>19.65</v>
      </c>
      <c r="U297" s="22">
        <f>IFERROR(__xludf.DUMMYFUNCTION("IFERROR(GOOGLEFINANCE(A297,""closeyest""),"""")"),1185.0)</f>
        <v>1185</v>
      </c>
      <c r="V297" s="23">
        <f>IFERROR(__xludf.DUMMYFUNCTION("IFERROR(GOOGLEFINANCE(A297,""changepct""),"""")"),6.33)</f>
        <v>6.33</v>
      </c>
      <c r="W297" s="22">
        <f>IFERROR(__xludf.DUMMYFUNCTION("IFERROR(GOOGLEFINANCE(A297,""priceopen""),"""")"),1200.0)</f>
        <v>1200</v>
      </c>
      <c r="X297" s="22">
        <f>IFERROR(__xludf.DUMMYFUNCTION("IFERROR(GOOGLEFINANCE(A297,""high""),"""")"),1295.0)</f>
        <v>1295</v>
      </c>
      <c r="Y297" s="22">
        <f>IFERROR(__xludf.DUMMYFUNCTION("IFERROR(GOOGLEFINANCE(A297,""low""),"""")"),1190.0)</f>
        <v>1190</v>
      </c>
      <c r="Z297" s="22">
        <f>IFERROR(__xludf.DUMMYFUNCTION("IFERROR(GOOGLEFINANCE(A297,""volume""),"""")"),3.54914E7)</f>
        <v>35491400</v>
      </c>
      <c r="AA297" s="24" t="str">
        <f>VLOOKUP(A297,Metrik!$C$2:$Y$959,5,0)</f>
        <v>Banks</v>
      </c>
      <c r="AB297" s="24" t="str">
        <f>VLOOKUP(A297,Metrik!$C$2:$Y$959,3,0)</f>
        <v>Financials</v>
      </c>
    </row>
    <row r="298">
      <c r="A298" s="14" t="s">
        <v>172</v>
      </c>
      <c r="B298" s="14" t="str">
        <f t="array" ref="B298">VLOOKUP(A298,{Metrik!$C$2:$C$998,Metrik!$B$2:$B$998},2,0)</f>
        <v>PT Bank Tabungan Negara (Persero) Tbk</v>
      </c>
      <c r="C298" s="15">
        <f>IFERROR(__xludf.DUMMYFUNCTION("GOOGLEFINANCE(""IDX:""&amp;A298,""price"")"),1260.0)</f>
        <v>1260</v>
      </c>
      <c r="D298" s="16" t="str">
        <f>IFERROR(__xludf.DUMMYFUNCTION("IF(A298="""","""",
SPARKLINE(
INDEX(
GOOGLEFINANCE(""IDX:""&amp;A298,""close"",TODAY()-365,TODAY()),
,2
),
{""linewidth"",1}
))
"),"#N/A")</f>
        <v>#N/A</v>
      </c>
      <c r="E298" s="14" t="s">
        <v>31</v>
      </c>
      <c r="F298" s="17" t="s">
        <v>29</v>
      </c>
      <c r="G298" s="24">
        <f t="shared" si="1"/>
        <v>14</v>
      </c>
      <c r="H298" s="19">
        <f>VLOOKUP(A298,Metrik!$C$2:$Y$959,8,0)</f>
        <v>4.8</v>
      </c>
      <c r="I298" s="20">
        <f>VLOOKUP(A298,Metrik!$C$2:$Y$959,9,0)</f>
        <v>0.48</v>
      </c>
      <c r="J298" s="20">
        <f>VLOOKUP(A298,Metrik!$C$2:$Y$959,10,0)</f>
        <v>10.1</v>
      </c>
      <c r="K298" s="20">
        <f>VLOOKUP(A298,Metrik!$C$2:$Y$959,11,0)</f>
        <v>0.72</v>
      </c>
      <c r="L298" s="20">
        <f>VLOOKUP(A298,Metrik!$C$2:$Y$959,12,0)</f>
        <v>12.3</v>
      </c>
      <c r="M298" s="20">
        <f>VLOOKUP(A298,Metrik!$C$2:$Y$959,19,0)</f>
        <v>48.5</v>
      </c>
      <c r="N298" s="29">
        <v>2.86</v>
      </c>
      <c r="O298" s="29">
        <v>18.5</v>
      </c>
      <c r="P298" s="29">
        <v>93.79</v>
      </c>
      <c r="Q298" s="29">
        <v>3.16</v>
      </c>
      <c r="R298" s="29">
        <v>88.7</v>
      </c>
      <c r="S298" s="29">
        <v>57.15</v>
      </c>
      <c r="T298" s="29">
        <v>19.65</v>
      </c>
      <c r="U298" s="22">
        <f>IFERROR(__xludf.DUMMYFUNCTION("IFERROR(GOOGLEFINANCE(A298,""closeyest""),"""")"),1185.0)</f>
        <v>1185</v>
      </c>
      <c r="V298" s="23">
        <f>IFERROR(__xludf.DUMMYFUNCTION("IFERROR(GOOGLEFINANCE(A298,""changepct""),"""")"),6.33)</f>
        <v>6.33</v>
      </c>
      <c r="W298" s="22">
        <f>IFERROR(__xludf.DUMMYFUNCTION("IFERROR(GOOGLEFINANCE(A298,""priceopen""),"""")"),1200.0)</f>
        <v>1200</v>
      </c>
      <c r="X298" s="22">
        <f>IFERROR(__xludf.DUMMYFUNCTION("IFERROR(GOOGLEFINANCE(A298,""high""),"""")"),1295.0)</f>
        <v>1295</v>
      </c>
      <c r="Y298" s="22">
        <f>IFERROR(__xludf.DUMMYFUNCTION("IFERROR(GOOGLEFINANCE(A298,""low""),"""")"),1190.0)</f>
        <v>1190</v>
      </c>
      <c r="Z298" s="22">
        <f>IFERROR(__xludf.DUMMYFUNCTION("IFERROR(GOOGLEFINANCE(A298,""volume""),"""")"),3.54914E7)</f>
        <v>35491400</v>
      </c>
      <c r="AA298" s="24" t="str">
        <f>VLOOKUP(A298,Metrik!$C$2:$Y$959,5,0)</f>
        <v>Banks</v>
      </c>
      <c r="AB298" s="24" t="str">
        <f>VLOOKUP(A298,Metrik!$C$2:$Y$959,3,0)</f>
        <v>Financials</v>
      </c>
    </row>
    <row r="299">
      <c r="A299" s="14" t="s">
        <v>172</v>
      </c>
      <c r="B299" s="14" t="str">
        <f t="array" ref="B299">VLOOKUP(A299,{Metrik!$C$2:$C$998,Metrik!$B$2:$B$998},2,0)</f>
        <v>PT Bank Tabungan Negara (Persero) Tbk</v>
      </c>
      <c r="C299" s="15">
        <f>IFERROR(__xludf.DUMMYFUNCTION("GOOGLEFINANCE(""IDX:""&amp;A299,""price"")"),1260.0)</f>
        <v>1260</v>
      </c>
      <c r="D299" s="16" t="str">
        <f>IFERROR(__xludf.DUMMYFUNCTION("IF(A299="""","""",
SPARKLINE(
INDEX(
GOOGLEFINANCE(""IDX:""&amp;A299,""close"",TODAY()-365,TODAY()),
,2
),
{""linewidth"",1}
))
"),"#N/A")</f>
        <v>#N/A</v>
      </c>
      <c r="E299" s="14" t="s">
        <v>28</v>
      </c>
      <c r="F299" s="17" t="s">
        <v>29</v>
      </c>
      <c r="G299" s="24">
        <f t="shared" si="1"/>
        <v>14</v>
      </c>
      <c r="H299" s="19">
        <f>VLOOKUP(A299,Metrik!$C$2:$Y$959,8,0)</f>
        <v>4.8</v>
      </c>
      <c r="I299" s="20">
        <f>VLOOKUP(A299,Metrik!$C$2:$Y$959,9,0)</f>
        <v>0.48</v>
      </c>
      <c r="J299" s="20">
        <f>VLOOKUP(A299,Metrik!$C$2:$Y$959,10,0)</f>
        <v>10.1</v>
      </c>
      <c r="K299" s="20">
        <f>VLOOKUP(A299,Metrik!$C$2:$Y$959,11,0)</f>
        <v>0.72</v>
      </c>
      <c r="L299" s="20">
        <f>VLOOKUP(A299,Metrik!$C$2:$Y$959,12,0)</f>
        <v>12.3</v>
      </c>
      <c r="M299" s="20">
        <f>VLOOKUP(A299,Metrik!$C$2:$Y$959,19,0)</f>
        <v>48.5</v>
      </c>
      <c r="N299" s="29">
        <v>2.86</v>
      </c>
      <c r="O299" s="29">
        <v>18.5</v>
      </c>
      <c r="P299" s="29">
        <v>93.79</v>
      </c>
      <c r="Q299" s="29">
        <v>3.16</v>
      </c>
      <c r="R299" s="29">
        <v>88.7</v>
      </c>
      <c r="S299" s="29">
        <v>57.15</v>
      </c>
      <c r="T299" s="29">
        <v>19.65</v>
      </c>
      <c r="U299" s="22">
        <f>IFERROR(__xludf.DUMMYFUNCTION("IFERROR(GOOGLEFINANCE(A299,""closeyest""),"""")"),1185.0)</f>
        <v>1185</v>
      </c>
      <c r="V299" s="23">
        <f>IFERROR(__xludf.DUMMYFUNCTION("IFERROR(GOOGLEFINANCE(A299,""changepct""),"""")"),6.33)</f>
        <v>6.33</v>
      </c>
      <c r="W299" s="22">
        <f>IFERROR(__xludf.DUMMYFUNCTION("IFERROR(GOOGLEFINANCE(A299,""priceopen""),"""")"),1200.0)</f>
        <v>1200</v>
      </c>
      <c r="X299" s="22">
        <f>IFERROR(__xludf.DUMMYFUNCTION("IFERROR(GOOGLEFINANCE(A299,""high""),"""")"),1295.0)</f>
        <v>1295</v>
      </c>
      <c r="Y299" s="22">
        <f>IFERROR(__xludf.DUMMYFUNCTION("IFERROR(GOOGLEFINANCE(A299,""low""),"""")"),1190.0)</f>
        <v>1190</v>
      </c>
      <c r="Z299" s="22">
        <f>IFERROR(__xludf.DUMMYFUNCTION("IFERROR(GOOGLEFINANCE(A299,""volume""),"""")"),3.54914E7)</f>
        <v>35491400</v>
      </c>
      <c r="AA299" s="24" t="str">
        <f>VLOOKUP(A299,Metrik!$C$2:$Y$959,5,0)</f>
        <v>Banks</v>
      </c>
      <c r="AB299" s="24" t="str">
        <f>VLOOKUP(A299,Metrik!$C$2:$Y$959,3,0)</f>
        <v>Financials</v>
      </c>
    </row>
    <row r="300">
      <c r="A300" s="14" t="s">
        <v>172</v>
      </c>
      <c r="B300" s="14" t="str">
        <f t="array" ref="B300">VLOOKUP(A300,{Metrik!$C$2:$C$998,Metrik!$B$2:$B$998},2,0)</f>
        <v>PT Bank Tabungan Negara (Persero) Tbk</v>
      </c>
      <c r="C300" s="15">
        <f>IFERROR(__xludf.DUMMYFUNCTION("GOOGLEFINANCE(""IDX:""&amp;A300,""price"")"),1260.0)</f>
        <v>1260</v>
      </c>
      <c r="D300" s="16" t="str">
        <f>IFERROR(__xludf.DUMMYFUNCTION("IF(A300="""","""",
SPARKLINE(
INDEX(
GOOGLEFINANCE(""IDX:""&amp;A300,""close"",TODAY()-365,TODAY()),
,2
),
{""linewidth"",1}
))
"),"#N/A")</f>
        <v>#N/A</v>
      </c>
      <c r="E300" s="14" t="s">
        <v>61</v>
      </c>
      <c r="F300" s="14" t="s">
        <v>34</v>
      </c>
      <c r="G300" s="24">
        <f t="shared" si="1"/>
        <v>14</v>
      </c>
      <c r="H300" s="19">
        <f>VLOOKUP(A300,Metrik!$C$2:$Y$959,8,0)</f>
        <v>4.8</v>
      </c>
      <c r="I300" s="20">
        <f>VLOOKUP(A300,Metrik!$C$2:$Y$959,9,0)</f>
        <v>0.48</v>
      </c>
      <c r="J300" s="20">
        <f>VLOOKUP(A300,Metrik!$C$2:$Y$959,10,0)</f>
        <v>10.1</v>
      </c>
      <c r="K300" s="20">
        <f>VLOOKUP(A300,Metrik!$C$2:$Y$959,11,0)</f>
        <v>0.72</v>
      </c>
      <c r="L300" s="20">
        <f>VLOOKUP(A300,Metrik!$C$2:$Y$959,12,0)</f>
        <v>12.3</v>
      </c>
      <c r="M300" s="20">
        <f>VLOOKUP(A300,Metrik!$C$2:$Y$959,19,0)</f>
        <v>48.5</v>
      </c>
      <c r="N300" s="29">
        <v>2.86</v>
      </c>
      <c r="O300" s="29">
        <v>18.5</v>
      </c>
      <c r="P300" s="29">
        <v>93.79</v>
      </c>
      <c r="Q300" s="29">
        <v>3.16</v>
      </c>
      <c r="R300" s="29">
        <v>88.7</v>
      </c>
      <c r="S300" s="29">
        <v>57.15</v>
      </c>
      <c r="T300" s="29">
        <v>19.65</v>
      </c>
      <c r="U300" s="22">
        <f>IFERROR(__xludf.DUMMYFUNCTION("IFERROR(GOOGLEFINANCE(A300,""closeyest""),"""")"),1185.0)</f>
        <v>1185</v>
      </c>
      <c r="V300" s="23">
        <f>IFERROR(__xludf.DUMMYFUNCTION("IFERROR(GOOGLEFINANCE(A300,""changepct""),"""")"),6.33)</f>
        <v>6.33</v>
      </c>
      <c r="W300" s="22">
        <f>IFERROR(__xludf.DUMMYFUNCTION("IFERROR(GOOGLEFINANCE(A300,""priceopen""),"""")"),1200.0)</f>
        <v>1200</v>
      </c>
      <c r="X300" s="22">
        <f>IFERROR(__xludf.DUMMYFUNCTION("IFERROR(GOOGLEFINANCE(A300,""high""),"""")"),1295.0)</f>
        <v>1295</v>
      </c>
      <c r="Y300" s="22">
        <f>IFERROR(__xludf.DUMMYFUNCTION("IFERROR(GOOGLEFINANCE(A300,""low""),"""")"),1190.0)</f>
        <v>1190</v>
      </c>
      <c r="Z300" s="22">
        <f>IFERROR(__xludf.DUMMYFUNCTION("IFERROR(GOOGLEFINANCE(A300,""volume""),"""")"),3.54914E7)</f>
        <v>35491400</v>
      </c>
      <c r="AA300" s="24" t="str">
        <f>VLOOKUP(A300,Metrik!$C$2:$Y$959,5,0)</f>
        <v>Banks</v>
      </c>
      <c r="AB300" s="24" t="str">
        <f>VLOOKUP(A300,Metrik!$C$2:$Y$959,3,0)</f>
        <v>Financials</v>
      </c>
    </row>
    <row r="301">
      <c r="A301" s="14" t="s">
        <v>172</v>
      </c>
      <c r="B301" s="14" t="str">
        <f t="array" ref="B301">VLOOKUP(A301,{Metrik!$C$2:$C$998,Metrik!$B$2:$B$998},2,0)</f>
        <v>PT Bank Tabungan Negara (Persero) Tbk</v>
      </c>
      <c r="C301" s="15">
        <f>IFERROR(__xludf.DUMMYFUNCTION("GOOGLEFINANCE(""IDX:""&amp;A301,""price"")"),1260.0)</f>
        <v>1260</v>
      </c>
      <c r="D301" s="16" t="str">
        <f>IFERROR(__xludf.DUMMYFUNCTION("IF(A301="""","""",
SPARKLINE(
INDEX(
GOOGLEFINANCE(""IDX:""&amp;A301,""close"",TODAY()-365,TODAY()),
,2
),
{""linewidth"",1}
))
"),"#N/A")</f>
        <v>#N/A</v>
      </c>
      <c r="E301" s="14" t="s">
        <v>33</v>
      </c>
      <c r="F301" s="14" t="s">
        <v>34</v>
      </c>
      <c r="G301" s="24">
        <f t="shared" si="1"/>
        <v>14</v>
      </c>
      <c r="H301" s="19">
        <f>VLOOKUP(A301,Metrik!$C$2:$Y$959,8,0)</f>
        <v>4.8</v>
      </c>
      <c r="I301" s="20">
        <f>VLOOKUP(A301,Metrik!$C$2:$Y$959,9,0)</f>
        <v>0.48</v>
      </c>
      <c r="J301" s="20">
        <f>VLOOKUP(A301,Metrik!$C$2:$Y$959,10,0)</f>
        <v>10.1</v>
      </c>
      <c r="K301" s="20">
        <f>VLOOKUP(A301,Metrik!$C$2:$Y$959,11,0)</f>
        <v>0.72</v>
      </c>
      <c r="L301" s="20">
        <f>VLOOKUP(A301,Metrik!$C$2:$Y$959,12,0)</f>
        <v>12.3</v>
      </c>
      <c r="M301" s="20">
        <f>VLOOKUP(A301,Metrik!$C$2:$Y$959,19,0)</f>
        <v>48.5</v>
      </c>
      <c r="N301" s="29">
        <v>2.86</v>
      </c>
      <c r="O301" s="29">
        <v>18.5</v>
      </c>
      <c r="P301" s="29">
        <v>93.79</v>
      </c>
      <c r="Q301" s="29">
        <v>3.16</v>
      </c>
      <c r="R301" s="29">
        <v>88.7</v>
      </c>
      <c r="S301" s="29">
        <v>57.15</v>
      </c>
      <c r="T301" s="29">
        <v>19.65</v>
      </c>
      <c r="U301" s="22">
        <f>IFERROR(__xludf.DUMMYFUNCTION("IFERROR(GOOGLEFINANCE(A301,""closeyest""),"""")"),1185.0)</f>
        <v>1185</v>
      </c>
      <c r="V301" s="23">
        <f>IFERROR(__xludf.DUMMYFUNCTION("IFERROR(GOOGLEFINANCE(A301,""changepct""),"""")"),6.33)</f>
        <v>6.33</v>
      </c>
      <c r="W301" s="22">
        <f>IFERROR(__xludf.DUMMYFUNCTION("IFERROR(GOOGLEFINANCE(A301,""priceopen""),"""")"),1200.0)</f>
        <v>1200</v>
      </c>
      <c r="X301" s="22">
        <f>IFERROR(__xludf.DUMMYFUNCTION("IFERROR(GOOGLEFINANCE(A301,""high""),"""")"),1295.0)</f>
        <v>1295</v>
      </c>
      <c r="Y301" s="22">
        <f>IFERROR(__xludf.DUMMYFUNCTION("IFERROR(GOOGLEFINANCE(A301,""low""),"""")"),1190.0)</f>
        <v>1190</v>
      </c>
      <c r="Z301" s="22">
        <f>IFERROR(__xludf.DUMMYFUNCTION("IFERROR(GOOGLEFINANCE(A301,""volume""),"""")"),3.54914E7)</f>
        <v>35491400</v>
      </c>
      <c r="AA301" s="24" t="str">
        <f>VLOOKUP(A301,Metrik!$C$2:$Y$959,5,0)</f>
        <v>Banks</v>
      </c>
      <c r="AB301" s="24" t="str">
        <f>VLOOKUP(A301,Metrik!$C$2:$Y$959,3,0)</f>
        <v>Financials</v>
      </c>
    </row>
    <row r="302">
      <c r="A302" s="14" t="s">
        <v>172</v>
      </c>
      <c r="B302" s="14" t="str">
        <f t="array" ref="B302">VLOOKUP(A302,{Metrik!$C$2:$C$998,Metrik!$B$2:$B$998},2,0)</f>
        <v>PT Bank Tabungan Negara (Persero) Tbk</v>
      </c>
      <c r="C302" s="15">
        <f>IFERROR(__xludf.DUMMYFUNCTION("GOOGLEFINANCE(""IDX:""&amp;A302,""price"")"),1260.0)</f>
        <v>1260</v>
      </c>
      <c r="D302" s="16" t="str">
        <f>IFERROR(__xludf.DUMMYFUNCTION("IF(A302="""","""",
SPARKLINE(
INDEX(
GOOGLEFINANCE(""IDX:""&amp;A302,""close"",TODAY()-365,TODAY()),
,2
),
{""linewidth"",1}
))
"),"#N/A")</f>
        <v>#N/A</v>
      </c>
      <c r="E302" s="14" t="s">
        <v>162</v>
      </c>
      <c r="F302" s="14" t="s">
        <v>76</v>
      </c>
      <c r="G302" s="24">
        <f t="shared" si="1"/>
        <v>14</v>
      </c>
      <c r="H302" s="19">
        <f>VLOOKUP(A302,Metrik!$C$2:$Y$959,8,0)</f>
        <v>4.8</v>
      </c>
      <c r="I302" s="20">
        <f>VLOOKUP(A302,Metrik!$C$2:$Y$959,9,0)</f>
        <v>0.48</v>
      </c>
      <c r="J302" s="20">
        <f>VLOOKUP(A302,Metrik!$C$2:$Y$959,10,0)</f>
        <v>10.1</v>
      </c>
      <c r="K302" s="20">
        <f>VLOOKUP(A302,Metrik!$C$2:$Y$959,11,0)</f>
        <v>0.72</v>
      </c>
      <c r="L302" s="20">
        <f>VLOOKUP(A302,Metrik!$C$2:$Y$959,12,0)</f>
        <v>12.3</v>
      </c>
      <c r="M302" s="20">
        <f>VLOOKUP(A302,Metrik!$C$2:$Y$959,19,0)</f>
        <v>48.5</v>
      </c>
      <c r="N302" s="29">
        <v>2.86</v>
      </c>
      <c r="O302" s="29">
        <v>18.5</v>
      </c>
      <c r="P302" s="29">
        <v>93.79</v>
      </c>
      <c r="Q302" s="29">
        <v>3.16</v>
      </c>
      <c r="R302" s="29">
        <v>88.7</v>
      </c>
      <c r="S302" s="29">
        <v>57.15</v>
      </c>
      <c r="T302" s="29">
        <v>19.65</v>
      </c>
      <c r="U302" s="22">
        <f>IFERROR(__xludf.DUMMYFUNCTION("IFERROR(GOOGLEFINANCE(A302,""closeyest""),"""")"),1185.0)</f>
        <v>1185</v>
      </c>
      <c r="V302" s="23">
        <f>IFERROR(__xludf.DUMMYFUNCTION("IFERROR(GOOGLEFINANCE(A302,""changepct""),"""")"),6.33)</f>
        <v>6.33</v>
      </c>
      <c r="W302" s="22">
        <f>IFERROR(__xludf.DUMMYFUNCTION("IFERROR(GOOGLEFINANCE(A302,""priceopen""),"""")"),1200.0)</f>
        <v>1200</v>
      </c>
      <c r="X302" s="22">
        <f>IFERROR(__xludf.DUMMYFUNCTION("IFERROR(GOOGLEFINANCE(A302,""high""),"""")"),1295.0)</f>
        <v>1295</v>
      </c>
      <c r="Y302" s="22">
        <f>IFERROR(__xludf.DUMMYFUNCTION("IFERROR(GOOGLEFINANCE(A302,""low""),"""")"),1190.0)</f>
        <v>1190</v>
      </c>
      <c r="Z302" s="22">
        <f>IFERROR(__xludf.DUMMYFUNCTION("IFERROR(GOOGLEFINANCE(A302,""volume""),"""")"),3.54914E7)</f>
        <v>35491400</v>
      </c>
      <c r="AA302" s="24" t="str">
        <f>VLOOKUP(A302,Metrik!$C$2:$Y$959,5,0)</f>
        <v>Banks</v>
      </c>
      <c r="AB302" s="24" t="str">
        <f>VLOOKUP(A302,Metrik!$C$2:$Y$959,3,0)</f>
        <v>Financials</v>
      </c>
    </row>
    <row r="303">
      <c r="A303" s="14" t="s">
        <v>172</v>
      </c>
      <c r="B303" s="14" t="str">
        <f t="array" ref="B303">VLOOKUP(A303,{Metrik!$C$2:$C$998,Metrik!$B$2:$B$998},2,0)</f>
        <v>PT Bank Tabungan Negara (Persero) Tbk</v>
      </c>
      <c r="C303" s="15">
        <f>IFERROR(__xludf.DUMMYFUNCTION("GOOGLEFINANCE(""IDX:""&amp;A303,""price"")"),1260.0)</f>
        <v>1260</v>
      </c>
      <c r="D303" s="16" t="str">
        <f>IFERROR(__xludf.DUMMYFUNCTION("IF(A303="""","""",
SPARKLINE(
INDEX(
GOOGLEFINANCE(""IDX:""&amp;A303,""close"",TODAY()-365,TODAY()),
,2
),
{""linewidth"",1}
))
"),"#N/A")</f>
        <v>#N/A</v>
      </c>
      <c r="E303" s="14" t="s">
        <v>41</v>
      </c>
      <c r="F303" s="14" t="s">
        <v>34</v>
      </c>
      <c r="G303" s="24">
        <f t="shared" si="1"/>
        <v>14</v>
      </c>
      <c r="H303" s="19">
        <f>VLOOKUP(A303,Metrik!$C$2:$Y$959,8,0)</f>
        <v>4.8</v>
      </c>
      <c r="I303" s="20">
        <f>VLOOKUP(A303,Metrik!$C$2:$Y$959,9,0)</f>
        <v>0.48</v>
      </c>
      <c r="J303" s="20">
        <f>VLOOKUP(A303,Metrik!$C$2:$Y$959,10,0)</f>
        <v>10.1</v>
      </c>
      <c r="K303" s="20">
        <f>VLOOKUP(A303,Metrik!$C$2:$Y$959,11,0)</f>
        <v>0.72</v>
      </c>
      <c r="L303" s="20">
        <f>VLOOKUP(A303,Metrik!$C$2:$Y$959,12,0)</f>
        <v>12.3</v>
      </c>
      <c r="M303" s="20">
        <f>VLOOKUP(A303,Metrik!$C$2:$Y$959,19,0)</f>
        <v>48.5</v>
      </c>
      <c r="N303" s="29">
        <v>2.86</v>
      </c>
      <c r="O303" s="29">
        <v>18.5</v>
      </c>
      <c r="P303" s="29">
        <v>93.79</v>
      </c>
      <c r="Q303" s="29">
        <v>3.16</v>
      </c>
      <c r="R303" s="29">
        <v>88.7</v>
      </c>
      <c r="S303" s="29">
        <v>57.15</v>
      </c>
      <c r="T303" s="29">
        <v>19.65</v>
      </c>
      <c r="U303" s="22">
        <f>IFERROR(__xludf.DUMMYFUNCTION("IFERROR(GOOGLEFINANCE(A303,""closeyest""),"""")"),1185.0)</f>
        <v>1185</v>
      </c>
      <c r="V303" s="23">
        <f>IFERROR(__xludf.DUMMYFUNCTION("IFERROR(GOOGLEFINANCE(A303,""changepct""),"""")"),6.33)</f>
        <v>6.33</v>
      </c>
      <c r="W303" s="22">
        <f>IFERROR(__xludf.DUMMYFUNCTION("IFERROR(GOOGLEFINANCE(A303,""priceopen""),"""")"),1200.0)</f>
        <v>1200</v>
      </c>
      <c r="X303" s="22">
        <f>IFERROR(__xludf.DUMMYFUNCTION("IFERROR(GOOGLEFINANCE(A303,""high""),"""")"),1295.0)</f>
        <v>1295</v>
      </c>
      <c r="Y303" s="22">
        <f>IFERROR(__xludf.DUMMYFUNCTION("IFERROR(GOOGLEFINANCE(A303,""low""),"""")"),1190.0)</f>
        <v>1190</v>
      </c>
      <c r="Z303" s="22">
        <f>IFERROR(__xludf.DUMMYFUNCTION("IFERROR(GOOGLEFINANCE(A303,""volume""),"""")"),3.54914E7)</f>
        <v>35491400</v>
      </c>
      <c r="AA303" s="24" t="str">
        <f>VLOOKUP(A303,Metrik!$C$2:$Y$959,5,0)</f>
        <v>Banks</v>
      </c>
      <c r="AB303" s="24" t="str">
        <f>VLOOKUP(A303,Metrik!$C$2:$Y$959,3,0)</f>
        <v>Financials</v>
      </c>
    </row>
    <row r="304">
      <c r="A304" s="17" t="s">
        <v>172</v>
      </c>
      <c r="B304" s="14" t="str">
        <f t="array" ref="B304">VLOOKUP(A304,{Metrik!$C$2:$C$998,Metrik!$B$2:$B$998},2,0)</f>
        <v>PT Bank Tabungan Negara (Persero) Tbk</v>
      </c>
      <c r="C304" s="15">
        <f>IFERROR(__xludf.DUMMYFUNCTION("GOOGLEFINANCE(""IDX:""&amp;A304,""price"")"),1260.0)</f>
        <v>1260</v>
      </c>
      <c r="D304" s="16" t="str">
        <f>IFERROR(__xludf.DUMMYFUNCTION("IF(A304="""","""",
SPARKLINE(
INDEX(
GOOGLEFINANCE(""IDX:""&amp;A304,""close"",TODAY()-365,TODAY()),
,2
),
{""linewidth"",1}
))
"),"#N/A")</f>
        <v>#N/A</v>
      </c>
      <c r="E304" s="14" t="s">
        <v>35</v>
      </c>
      <c r="F304" s="17" t="s">
        <v>36</v>
      </c>
      <c r="G304" s="24">
        <f t="shared" si="1"/>
        <v>14</v>
      </c>
      <c r="H304" s="19">
        <f>VLOOKUP(A304,Metrik!$C$2:$Y$959,8,0)</f>
        <v>4.8</v>
      </c>
      <c r="I304" s="20">
        <f>VLOOKUP(A304,Metrik!$C$2:$Y$959,9,0)</f>
        <v>0.48</v>
      </c>
      <c r="J304" s="20">
        <f>VLOOKUP(A304,Metrik!$C$2:$Y$959,10,0)</f>
        <v>10.1</v>
      </c>
      <c r="K304" s="20">
        <f>VLOOKUP(A304,Metrik!$C$2:$Y$959,11,0)</f>
        <v>0.72</v>
      </c>
      <c r="L304" s="20">
        <f>VLOOKUP(A304,Metrik!$C$2:$Y$959,12,0)</f>
        <v>12.3</v>
      </c>
      <c r="M304" s="20">
        <f>VLOOKUP(A304,Metrik!$C$2:$Y$959,19,0)</f>
        <v>48.5</v>
      </c>
      <c r="N304" s="29">
        <v>2.86</v>
      </c>
      <c r="O304" s="29">
        <v>18.5</v>
      </c>
      <c r="P304" s="29">
        <v>93.79</v>
      </c>
      <c r="Q304" s="29">
        <v>3.16</v>
      </c>
      <c r="R304" s="29">
        <v>88.7</v>
      </c>
      <c r="S304" s="29">
        <v>57.15</v>
      </c>
      <c r="T304" s="29">
        <v>19.65</v>
      </c>
      <c r="U304" s="22">
        <f>IFERROR(__xludf.DUMMYFUNCTION("IFERROR(GOOGLEFINANCE(A304,""closeyest""),"""")"),1185.0)</f>
        <v>1185</v>
      </c>
      <c r="V304" s="23">
        <f>IFERROR(__xludf.DUMMYFUNCTION("IFERROR(GOOGLEFINANCE(A304,""changepct""),"""")"),6.33)</f>
        <v>6.33</v>
      </c>
      <c r="W304" s="22">
        <f>IFERROR(__xludf.DUMMYFUNCTION("IFERROR(GOOGLEFINANCE(A304,""priceopen""),"""")"),1200.0)</f>
        <v>1200</v>
      </c>
      <c r="X304" s="22">
        <f>IFERROR(__xludf.DUMMYFUNCTION("IFERROR(GOOGLEFINANCE(A304,""high""),"""")"),1295.0)</f>
        <v>1295</v>
      </c>
      <c r="Y304" s="22">
        <f>IFERROR(__xludf.DUMMYFUNCTION("IFERROR(GOOGLEFINANCE(A304,""low""),"""")"),1190.0)</f>
        <v>1190</v>
      </c>
      <c r="Z304" s="22">
        <f>IFERROR(__xludf.DUMMYFUNCTION("IFERROR(GOOGLEFINANCE(A304,""volume""),"""")"),3.54914E7)</f>
        <v>35491400</v>
      </c>
      <c r="AA304" s="24" t="str">
        <f>VLOOKUP(A304,Metrik!$C$2:$Y$959,5,0)</f>
        <v>Banks</v>
      </c>
      <c r="AB304" s="24" t="str">
        <f>VLOOKUP(A304,Metrik!$C$2:$Y$959,3,0)</f>
        <v>Financials</v>
      </c>
    </row>
    <row r="305">
      <c r="A305" s="14" t="s">
        <v>172</v>
      </c>
      <c r="B305" s="14" t="str">
        <f t="array" ref="B305">VLOOKUP(A305,{Metrik!$C$2:$C$998,Metrik!$B$2:$B$998},2,0)</f>
        <v>PT Bank Tabungan Negara (Persero) Tbk</v>
      </c>
      <c r="C305" s="15">
        <f>IFERROR(__xludf.DUMMYFUNCTION("GOOGLEFINANCE(""IDX:""&amp;A305,""price"")"),1260.0)</f>
        <v>1260</v>
      </c>
      <c r="D305" s="16" t="str">
        <f>IFERROR(__xludf.DUMMYFUNCTION("IF(A305="""","""",
SPARKLINE(
INDEX(
GOOGLEFINANCE(""IDX:""&amp;A305,""close"",TODAY()-365,TODAY()),
,2
),
{""linewidth"",1}
))
"),"#N/A")</f>
        <v>#N/A</v>
      </c>
      <c r="E305" s="14" t="s">
        <v>55</v>
      </c>
      <c r="F305" s="25">
        <v>46356.0</v>
      </c>
      <c r="G305" s="24">
        <f t="shared" si="1"/>
        <v>14</v>
      </c>
      <c r="H305" s="19">
        <f>VLOOKUP(A305,Metrik!$C$2:$Y$959,8,0)</f>
        <v>4.8</v>
      </c>
      <c r="I305" s="20">
        <f>VLOOKUP(A305,Metrik!$C$2:$Y$959,9,0)</f>
        <v>0.48</v>
      </c>
      <c r="J305" s="20">
        <f>VLOOKUP(A305,Metrik!$C$2:$Y$959,10,0)</f>
        <v>10.1</v>
      </c>
      <c r="K305" s="20">
        <f>VLOOKUP(A305,Metrik!$C$2:$Y$959,11,0)</f>
        <v>0.72</v>
      </c>
      <c r="L305" s="20">
        <f>VLOOKUP(A305,Metrik!$C$2:$Y$959,12,0)</f>
        <v>12.3</v>
      </c>
      <c r="M305" s="20">
        <f>VLOOKUP(A305,Metrik!$C$2:$Y$959,19,0)</f>
        <v>48.5</v>
      </c>
      <c r="N305" s="29">
        <v>2.86</v>
      </c>
      <c r="O305" s="29">
        <v>18.5</v>
      </c>
      <c r="P305" s="29">
        <v>93.79</v>
      </c>
      <c r="Q305" s="29">
        <v>3.16</v>
      </c>
      <c r="R305" s="29">
        <v>88.7</v>
      </c>
      <c r="S305" s="29">
        <v>57.15</v>
      </c>
      <c r="T305" s="29">
        <v>19.65</v>
      </c>
      <c r="U305" s="22">
        <f>IFERROR(__xludf.DUMMYFUNCTION("IFERROR(GOOGLEFINANCE(A305,""closeyest""),"""")"),1185.0)</f>
        <v>1185</v>
      </c>
      <c r="V305" s="23">
        <f>IFERROR(__xludf.DUMMYFUNCTION("IFERROR(GOOGLEFINANCE(A305,""changepct""),"""")"),6.33)</f>
        <v>6.33</v>
      </c>
      <c r="W305" s="22">
        <f>IFERROR(__xludf.DUMMYFUNCTION("IFERROR(GOOGLEFINANCE(A305,""priceopen""),"""")"),1200.0)</f>
        <v>1200</v>
      </c>
      <c r="X305" s="22">
        <f>IFERROR(__xludf.DUMMYFUNCTION("IFERROR(GOOGLEFINANCE(A305,""high""),"""")"),1295.0)</f>
        <v>1295</v>
      </c>
      <c r="Y305" s="22">
        <f>IFERROR(__xludf.DUMMYFUNCTION("IFERROR(GOOGLEFINANCE(A305,""low""),"""")"),1190.0)</f>
        <v>1190</v>
      </c>
      <c r="Z305" s="22">
        <f>IFERROR(__xludf.DUMMYFUNCTION("IFERROR(GOOGLEFINANCE(A305,""volume""),"""")"),3.54914E7)</f>
        <v>35491400</v>
      </c>
      <c r="AA305" s="24" t="str">
        <f>VLOOKUP(A305,Metrik!$C$2:$Y$959,5,0)</f>
        <v>Banks</v>
      </c>
      <c r="AB305" s="24" t="str">
        <f>VLOOKUP(A305,Metrik!$C$2:$Y$959,3,0)</f>
        <v>Financials</v>
      </c>
    </row>
    <row r="306">
      <c r="A306" s="14" t="s">
        <v>172</v>
      </c>
      <c r="B306" s="14" t="str">
        <f t="array" ref="B306">VLOOKUP(A306,{Metrik!$C$2:$C$998,Metrik!$B$2:$B$998},2,0)</f>
        <v>PT Bank Tabungan Negara (Persero) Tbk</v>
      </c>
      <c r="C306" s="15">
        <f>IFERROR(__xludf.DUMMYFUNCTION("GOOGLEFINANCE(""IDX:""&amp;A306,""price"")"),1260.0)</f>
        <v>1260</v>
      </c>
      <c r="D306" s="16" t="str">
        <f>IFERROR(__xludf.DUMMYFUNCTION("IF(A306="""","""",
SPARKLINE(
INDEX(
GOOGLEFINANCE(""IDX:""&amp;A306,""close"",TODAY()-365,TODAY()),
,2
),
{""linewidth"",1}
))
"),"#N/A")</f>
        <v>#N/A</v>
      </c>
      <c r="E306" s="14" t="s">
        <v>86</v>
      </c>
      <c r="F306" s="25">
        <v>46356.0</v>
      </c>
      <c r="G306" s="24">
        <f t="shared" si="1"/>
        <v>14</v>
      </c>
      <c r="H306" s="19">
        <f>VLOOKUP(A306,Metrik!$C$2:$Y$959,8,0)</f>
        <v>4.8</v>
      </c>
      <c r="I306" s="20">
        <f>VLOOKUP(A306,Metrik!$C$2:$Y$959,9,0)</f>
        <v>0.48</v>
      </c>
      <c r="J306" s="20">
        <f>VLOOKUP(A306,Metrik!$C$2:$Y$959,10,0)</f>
        <v>10.1</v>
      </c>
      <c r="K306" s="20">
        <f>VLOOKUP(A306,Metrik!$C$2:$Y$959,11,0)</f>
        <v>0.72</v>
      </c>
      <c r="L306" s="20">
        <f>VLOOKUP(A306,Metrik!$C$2:$Y$959,12,0)</f>
        <v>12.3</v>
      </c>
      <c r="M306" s="20">
        <f>VLOOKUP(A306,Metrik!$C$2:$Y$959,19,0)</f>
        <v>48.5</v>
      </c>
      <c r="N306" s="29">
        <v>2.86</v>
      </c>
      <c r="O306" s="29">
        <v>18.5</v>
      </c>
      <c r="P306" s="29">
        <v>93.79</v>
      </c>
      <c r="Q306" s="29">
        <v>3.16</v>
      </c>
      <c r="R306" s="29">
        <v>88.7</v>
      </c>
      <c r="S306" s="29">
        <v>57.15</v>
      </c>
      <c r="T306" s="29">
        <v>19.65</v>
      </c>
      <c r="U306" s="22">
        <f>IFERROR(__xludf.DUMMYFUNCTION("IFERROR(GOOGLEFINANCE(A306,""closeyest""),"""")"),1185.0)</f>
        <v>1185</v>
      </c>
      <c r="V306" s="23">
        <f>IFERROR(__xludf.DUMMYFUNCTION("IFERROR(GOOGLEFINANCE(A306,""changepct""),"""")"),6.33)</f>
        <v>6.33</v>
      </c>
      <c r="W306" s="22">
        <f>IFERROR(__xludf.DUMMYFUNCTION("IFERROR(GOOGLEFINANCE(A306,""priceopen""),"""")"),1200.0)</f>
        <v>1200</v>
      </c>
      <c r="X306" s="22">
        <f>IFERROR(__xludf.DUMMYFUNCTION("IFERROR(GOOGLEFINANCE(A306,""high""),"""")"),1295.0)</f>
        <v>1295</v>
      </c>
      <c r="Y306" s="22">
        <f>IFERROR(__xludf.DUMMYFUNCTION("IFERROR(GOOGLEFINANCE(A306,""low""),"""")"),1190.0)</f>
        <v>1190</v>
      </c>
      <c r="Z306" s="22">
        <f>IFERROR(__xludf.DUMMYFUNCTION("IFERROR(GOOGLEFINANCE(A306,""volume""),"""")"),3.54914E7)</f>
        <v>35491400</v>
      </c>
      <c r="AA306" s="24" t="str">
        <f>VLOOKUP(A306,Metrik!$C$2:$Y$959,5,0)</f>
        <v>Banks</v>
      </c>
      <c r="AB306" s="24" t="str">
        <f>VLOOKUP(A306,Metrik!$C$2:$Y$959,3,0)</f>
        <v>Financials</v>
      </c>
    </row>
    <row r="307">
      <c r="A307" s="14" t="s">
        <v>172</v>
      </c>
      <c r="B307" s="14" t="str">
        <f t="array" ref="B307">VLOOKUP(A307,{Metrik!$C$2:$C$998,Metrik!$B$2:$B$998},2,0)</f>
        <v>PT Bank Tabungan Negara (Persero) Tbk</v>
      </c>
      <c r="C307" s="15">
        <f>IFERROR(__xludf.DUMMYFUNCTION("GOOGLEFINANCE(""IDX:""&amp;A307,""price"")"),1260.0)</f>
        <v>1260</v>
      </c>
      <c r="D307" s="16" t="str">
        <f>IFERROR(__xludf.DUMMYFUNCTION("IF(A307="""","""",
SPARKLINE(
INDEX(
GOOGLEFINANCE(""IDX:""&amp;A307,""close"",TODAY()-365,TODAY()),
,2
),
{""linewidth"",1}
))
"),"#N/A")</f>
        <v>#N/A</v>
      </c>
      <c r="E307" s="14" t="s">
        <v>42</v>
      </c>
      <c r="F307" s="25">
        <v>46356.0</v>
      </c>
      <c r="G307" s="24">
        <f t="shared" si="1"/>
        <v>14</v>
      </c>
      <c r="H307" s="19">
        <f>VLOOKUP(A307,Metrik!$C$2:$Y$959,8,0)</f>
        <v>4.8</v>
      </c>
      <c r="I307" s="20">
        <f>VLOOKUP(A307,Metrik!$C$2:$Y$959,9,0)</f>
        <v>0.48</v>
      </c>
      <c r="J307" s="20">
        <f>VLOOKUP(A307,Metrik!$C$2:$Y$959,10,0)</f>
        <v>10.1</v>
      </c>
      <c r="K307" s="20">
        <f>VLOOKUP(A307,Metrik!$C$2:$Y$959,11,0)</f>
        <v>0.72</v>
      </c>
      <c r="L307" s="20">
        <f>VLOOKUP(A307,Metrik!$C$2:$Y$959,12,0)</f>
        <v>12.3</v>
      </c>
      <c r="M307" s="20">
        <f>VLOOKUP(A307,Metrik!$C$2:$Y$959,19,0)</f>
        <v>48.5</v>
      </c>
      <c r="N307" s="29">
        <v>2.86</v>
      </c>
      <c r="O307" s="29">
        <v>18.5</v>
      </c>
      <c r="P307" s="29">
        <v>93.79</v>
      </c>
      <c r="Q307" s="29">
        <v>3.16</v>
      </c>
      <c r="R307" s="29">
        <v>88.7</v>
      </c>
      <c r="S307" s="29">
        <v>57.15</v>
      </c>
      <c r="T307" s="29">
        <v>19.65</v>
      </c>
      <c r="U307" s="22">
        <f>IFERROR(__xludf.DUMMYFUNCTION("IFERROR(GOOGLEFINANCE(A307,""closeyest""),"""")"),1185.0)</f>
        <v>1185</v>
      </c>
      <c r="V307" s="23">
        <f>IFERROR(__xludf.DUMMYFUNCTION("IFERROR(GOOGLEFINANCE(A307,""changepct""),"""")"),6.33)</f>
        <v>6.33</v>
      </c>
      <c r="W307" s="22">
        <f>IFERROR(__xludf.DUMMYFUNCTION("IFERROR(GOOGLEFINANCE(A307,""priceopen""),"""")"),1200.0)</f>
        <v>1200</v>
      </c>
      <c r="X307" s="22">
        <f>IFERROR(__xludf.DUMMYFUNCTION("IFERROR(GOOGLEFINANCE(A307,""high""),"""")"),1295.0)</f>
        <v>1295</v>
      </c>
      <c r="Y307" s="22">
        <f>IFERROR(__xludf.DUMMYFUNCTION("IFERROR(GOOGLEFINANCE(A307,""low""),"""")"),1190.0)</f>
        <v>1190</v>
      </c>
      <c r="Z307" s="22">
        <f>IFERROR(__xludf.DUMMYFUNCTION("IFERROR(GOOGLEFINANCE(A307,""volume""),"""")"),3.54914E7)</f>
        <v>35491400</v>
      </c>
      <c r="AA307" s="24" t="str">
        <f>VLOOKUP(A307,Metrik!$C$2:$Y$959,5,0)</f>
        <v>Banks</v>
      </c>
      <c r="AB307" s="24" t="str">
        <f>VLOOKUP(A307,Metrik!$C$2:$Y$959,3,0)</f>
        <v>Financials</v>
      </c>
    </row>
    <row r="308">
      <c r="A308" s="14" t="s">
        <v>173</v>
      </c>
      <c r="B308" s="14" t="str">
        <f t="array" ref="B308">VLOOKUP(A308,{Metrik!$C$2:$C$998,Metrik!$B$2:$B$998},2,0)</f>
        <v>PT Bank Neo Commerce Tbk.</v>
      </c>
      <c r="C308" s="15">
        <f>IFERROR(__xludf.DUMMYFUNCTION("GOOGLEFINANCE(""IDX:""&amp;A308,""price"")"),234.0)</f>
        <v>234</v>
      </c>
      <c r="D308" s="16" t="str">
        <f>IFERROR(__xludf.DUMMYFUNCTION("IF(A308="""","""",
SPARKLINE(
INDEX(
GOOGLEFINANCE(""IDX:""&amp;A308,""close"",TODAY()-365,TODAY()),
,2
),
{""linewidth"",1}
))
"),"#N/A")</f>
        <v>#N/A</v>
      </c>
      <c r="E308" s="14" t="s">
        <v>32</v>
      </c>
      <c r="F308" s="14" t="s">
        <v>29</v>
      </c>
      <c r="G308" s="24">
        <f t="shared" si="1"/>
        <v>2</v>
      </c>
      <c r="H308" s="19">
        <f>VLOOKUP(A308,Metrik!$C$2:$Y$959,8,0)</f>
        <v>6.4</v>
      </c>
      <c r="I308" s="20">
        <f>VLOOKUP(A308,Metrik!$C$2:$Y$959,9,0)</f>
        <v>0.81</v>
      </c>
      <c r="J308" s="20">
        <f>VLOOKUP(A308,Metrik!$C$2:$Y$959,10,0)</f>
        <v>12.6</v>
      </c>
      <c r="K308" s="20">
        <f>VLOOKUP(A308,Metrik!$C$2:$Y$959,11,0)</f>
        <v>3</v>
      </c>
      <c r="L308" s="20">
        <f>VLOOKUP(A308,Metrik!$C$2:$Y$959,12,0)</f>
        <v>3.3</v>
      </c>
      <c r="M308" s="20">
        <f>VLOOKUP(A308,Metrik!$C$2:$Y$959,19,0)</f>
        <v>70.9</v>
      </c>
      <c r="N308" s="29">
        <v>18.34</v>
      </c>
      <c r="O308" s="29">
        <v>22.23</v>
      </c>
      <c r="P308" s="29">
        <v>75.7</v>
      </c>
      <c r="Q308" s="29">
        <v>3.3</v>
      </c>
      <c r="R308" s="29">
        <v>99.23</v>
      </c>
      <c r="S308" s="29">
        <v>40.58</v>
      </c>
      <c r="T308" s="29">
        <v>11.43</v>
      </c>
      <c r="U308" s="22">
        <f>IFERROR(__xludf.DUMMYFUNCTION("IFERROR(GOOGLEFINANCE(A308,""closeyest""),"""")"),226.0)</f>
        <v>226</v>
      </c>
      <c r="V308" s="23">
        <f>IFERROR(__xludf.DUMMYFUNCTION("IFERROR(GOOGLEFINANCE(A308,""changepct""),"""")"),3.54)</f>
        <v>3.54</v>
      </c>
      <c r="W308" s="22">
        <f>IFERROR(__xludf.DUMMYFUNCTION("IFERROR(GOOGLEFINANCE(A308,""priceopen""),"""")"),228.0)</f>
        <v>228</v>
      </c>
      <c r="X308" s="22">
        <f>IFERROR(__xludf.DUMMYFUNCTION("IFERROR(GOOGLEFINANCE(A308,""high""),"""")"),238.0)</f>
        <v>238</v>
      </c>
      <c r="Y308" s="22">
        <f>IFERROR(__xludf.DUMMYFUNCTION("IFERROR(GOOGLEFINANCE(A308,""low""),"""")"),228.0)</f>
        <v>228</v>
      </c>
      <c r="Z308" s="22">
        <f>IFERROR(__xludf.DUMMYFUNCTION("IFERROR(GOOGLEFINANCE(A308,""volume""),"""")"),1.82775E7)</f>
        <v>18277500</v>
      </c>
      <c r="AA308" s="24" t="str">
        <f>VLOOKUP(A308,Metrik!$C$2:$Y$959,5,0)</f>
        <v>Banks</v>
      </c>
      <c r="AB308" s="24" t="str">
        <f>VLOOKUP(A308,Metrik!$C$2:$Y$959,3,0)</f>
        <v>Financials</v>
      </c>
    </row>
    <row r="309">
      <c r="A309" s="14" t="s">
        <v>173</v>
      </c>
      <c r="B309" s="14" t="str">
        <f t="array" ref="B309">VLOOKUP(A309,{Metrik!$C$2:$C$998,Metrik!$B$2:$B$998},2,0)</f>
        <v>PT Bank Neo Commerce Tbk.</v>
      </c>
      <c r="C309" s="15">
        <f>IFERROR(__xludf.DUMMYFUNCTION("GOOGLEFINANCE(""IDX:""&amp;A309,""price"")"),234.0)</f>
        <v>234</v>
      </c>
      <c r="D309" s="16" t="str">
        <f>IFERROR(__xludf.DUMMYFUNCTION("IF(A309="""","""",
SPARKLINE(
INDEX(
GOOGLEFINANCE(""IDX:""&amp;A309,""close"",TODAY()-365,TODAY()),
,2
),
{""linewidth"",1}
))
"),"#N/A")</f>
        <v>#N/A</v>
      </c>
      <c r="E309" s="14" t="s">
        <v>41</v>
      </c>
      <c r="F309" s="14" t="s">
        <v>34</v>
      </c>
      <c r="G309" s="24">
        <f t="shared" si="1"/>
        <v>2</v>
      </c>
      <c r="H309" s="19">
        <f>VLOOKUP(A309,Metrik!$C$2:$Y$959,8,0)</f>
        <v>6.4</v>
      </c>
      <c r="I309" s="20">
        <f>VLOOKUP(A309,Metrik!$C$2:$Y$959,9,0)</f>
        <v>0.81</v>
      </c>
      <c r="J309" s="20">
        <f>VLOOKUP(A309,Metrik!$C$2:$Y$959,10,0)</f>
        <v>12.6</v>
      </c>
      <c r="K309" s="20">
        <f>VLOOKUP(A309,Metrik!$C$2:$Y$959,11,0)</f>
        <v>3</v>
      </c>
      <c r="L309" s="20">
        <f>VLOOKUP(A309,Metrik!$C$2:$Y$959,12,0)</f>
        <v>3.3</v>
      </c>
      <c r="M309" s="20">
        <f>VLOOKUP(A309,Metrik!$C$2:$Y$959,19,0)</f>
        <v>70.9</v>
      </c>
      <c r="N309" s="29">
        <v>18.34</v>
      </c>
      <c r="O309" s="29">
        <v>22.23</v>
      </c>
      <c r="P309" s="29">
        <v>75.7</v>
      </c>
      <c r="Q309" s="29">
        <v>3.3</v>
      </c>
      <c r="R309" s="29">
        <v>99.23</v>
      </c>
      <c r="S309" s="29">
        <v>40.58</v>
      </c>
      <c r="T309" s="29">
        <v>11.43</v>
      </c>
      <c r="U309" s="22">
        <f>IFERROR(__xludf.DUMMYFUNCTION("IFERROR(GOOGLEFINANCE(A309,""closeyest""),"""")"),226.0)</f>
        <v>226</v>
      </c>
      <c r="V309" s="23">
        <f>IFERROR(__xludf.DUMMYFUNCTION("IFERROR(GOOGLEFINANCE(A309,""changepct""),"""")"),3.54)</f>
        <v>3.54</v>
      </c>
      <c r="W309" s="22">
        <f>IFERROR(__xludf.DUMMYFUNCTION("IFERROR(GOOGLEFINANCE(A309,""priceopen""),"""")"),228.0)</f>
        <v>228</v>
      </c>
      <c r="X309" s="22">
        <f>IFERROR(__xludf.DUMMYFUNCTION("IFERROR(GOOGLEFINANCE(A309,""high""),"""")"),238.0)</f>
        <v>238</v>
      </c>
      <c r="Y309" s="22">
        <f>IFERROR(__xludf.DUMMYFUNCTION("IFERROR(GOOGLEFINANCE(A309,""low""),"""")"),228.0)</f>
        <v>228</v>
      </c>
      <c r="Z309" s="22">
        <f>IFERROR(__xludf.DUMMYFUNCTION("IFERROR(GOOGLEFINANCE(A309,""volume""),"""")"),1.82775E7)</f>
        <v>18277500</v>
      </c>
      <c r="AA309" s="24" t="str">
        <f>VLOOKUP(A309,Metrik!$C$2:$Y$959,5,0)</f>
        <v>Banks</v>
      </c>
      <c r="AB309" s="24" t="str">
        <f>VLOOKUP(A309,Metrik!$C$2:$Y$959,3,0)</f>
        <v>Financials</v>
      </c>
    </row>
    <row r="310">
      <c r="A310" s="17" t="s">
        <v>174</v>
      </c>
      <c r="B310" s="14" t="str">
        <f t="array" ref="B310">VLOOKUP(A310,{Metrik!$C$2:$C$998,Metrik!$B$2:$B$998},2,0)</f>
        <v>MNC Kapital Indonesia Tbk.</v>
      </c>
      <c r="C310" s="15">
        <f>IFERROR(__xludf.DUMMYFUNCTION("GOOGLEFINANCE(""IDX:""&amp;A310,""price"")"),50.0)</f>
        <v>50</v>
      </c>
      <c r="D310" s="16" t="str">
        <f>IFERROR(__xludf.DUMMYFUNCTION("IF(A310="""","""",
SPARKLINE(
INDEX(
GOOGLEFINANCE(""IDX:""&amp;A310,""close"",TODAY()-365,TODAY()),
,2
),
{""linewidth"",1}
))
"),"#N/A")</f>
        <v>#N/A</v>
      </c>
      <c r="E310" s="17" t="s">
        <v>175</v>
      </c>
      <c r="F310" s="14" t="s">
        <v>34</v>
      </c>
      <c r="G310" s="18">
        <f t="shared" si="1"/>
        <v>1</v>
      </c>
      <c r="H310" s="19">
        <f>VLOOKUP(A310,Metrik!$C$2:$Y$959,8,0)</f>
        <v>7.9</v>
      </c>
      <c r="I310" s="20">
        <f>VLOOKUP(A310,Metrik!$C$2:$Y$959,9,0)</f>
        <v>0.39</v>
      </c>
      <c r="J310" s="20">
        <f>VLOOKUP(A310,Metrik!$C$2:$Y$959,10,0)</f>
        <v>5</v>
      </c>
      <c r="K310" s="20">
        <f>VLOOKUP(A310,Metrik!$C$2:$Y$959,11,0)</f>
        <v>0.87</v>
      </c>
      <c r="L310" s="20">
        <f>VLOOKUP(A310,Metrik!$C$2:$Y$959,12,0)</f>
        <v>4.7</v>
      </c>
      <c r="M310" s="20">
        <f>VLOOKUP(A310,Metrik!$C$2:$Y$959,19,0)</f>
        <v>31.8</v>
      </c>
      <c r="N310" s="21"/>
      <c r="O310" s="21"/>
      <c r="P310" s="21"/>
      <c r="Q310" s="21"/>
      <c r="R310" s="21"/>
      <c r="S310" s="21"/>
      <c r="T310" s="21"/>
      <c r="U310" s="22">
        <f>IFERROR(__xludf.DUMMYFUNCTION("IFERROR(GOOGLEFINANCE(A310,""closeyest""),"""")"),0.0)</f>
        <v>0</v>
      </c>
      <c r="V310" s="23">
        <f>IFERROR(__xludf.DUMMYFUNCTION("IFERROR(GOOGLEFINANCE(A310,""changepct""),"""")"),0.0)</f>
        <v>0</v>
      </c>
      <c r="W310" s="22" t="str">
        <f>IFERROR(__xludf.DUMMYFUNCTION("IFERROR(GOOGLEFINANCE(A310,""priceopen""),"""")"),"")</f>
        <v/>
      </c>
      <c r="X310" s="22" t="str">
        <f>IFERROR(__xludf.DUMMYFUNCTION("IFERROR(GOOGLEFINANCE(A310,""high""),"""")"),"")</f>
        <v/>
      </c>
      <c r="Y310" s="22" t="str">
        <f>IFERROR(__xludf.DUMMYFUNCTION("IFERROR(GOOGLEFINANCE(A310,""low""),"""")"),"")</f>
        <v/>
      </c>
      <c r="Z310" s="22">
        <f>IFERROR(__xludf.DUMMYFUNCTION("IFERROR(GOOGLEFINANCE(A310,""volume""),"""")"),0.0)</f>
        <v>0</v>
      </c>
      <c r="AA310" s="24" t="str">
        <f>VLOOKUP(A310,Metrik!$C$2:$Y$959,5,0)</f>
        <v>Holding &amp; Investment Companies</v>
      </c>
      <c r="AB310" s="24" t="str">
        <f>VLOOKUP(A310,Metrik!$C$2:$Y$959,3,0)</f>
        <v>Financials</v>
      </c>
    </row>
    <row r="311">
      <c r="A311" s="14" t="s">
        <v>176</v>
      </c>
      <c r="B311" s="14" t="str">
        <f t="array" ref="B311">VLOOKUP(A311,{Metrik!$C$2:$C$998,Metrik!$B$2:$B$998},2,0)</f>
        <v>PT Bank JTrust Indonesia Tbk.</v>
      </c>
      <c r="C311" s="15">
        <f>IFERROR(__xludf.DUMMYFUNCTION("GOOGLEFINANCE(""IDX:""&amp;A311,""price"")"),110.0)</f>
        <v>110</v>
      </c>
      <c r="D311" s="16" t="str">
        <f>IFERROR(__xludf.DUMMYFUNCTION("IF(A311="""","""",
SPARKLINE(
INDEX(
GOOGLEFINANCE(""IDX:""&amp;A311,""close"",TODAY()-365,TODAY()),
,2
),
{""linewidth"",1}
))
"),"#N/A")</f>
        <v>#N/A</v>
      </c>
      <c r="E311" s="26"/>
      <c r="F311" s="26"/>
      <c r="G311" s="24">
        <f t="shared" si="1"/>
        <v>0</v>
      </c>
      <c r="H311" s="19">
        <f>VLOOKUP(A311,Metrik!$C$2:$Y$959,8,0)</f>
        <v>-4.3</v>
      </c>
      <c r="I311" s="20">
        <f>VLOOKUP(A311,Metrik!$C$2:$Y$959,9,0)</f>
        <v>0.6</v>
      </c>
      <c r="J311" s="20">
        <f>VLOOKUP(A311,Metrik!$C$2:$Y$959,10,0)</f>
        <v>-14.1</v>
      </c>
      <c r="K311" s="20">
        <f>VLOOKUP(A311,Metrik!$C$2:$Y$959,11,0)</f>
        <v>-1.3</v>
      </c>
      <c r="L311" s="20">
        <f>VLOOKUP(A311,Metrik!$C$2:$Y$959,12,0)</f>
        <v>9.9</v>
      </c>
      <c r="M311" s="20">
        <f>VLOOKUP(A311,Metrik!$C$2:$Y$959,19,0)</f>
        <v>-77.8</v>
      </c>
      <c r="N311" s="32">
        <v>3.69</v>
      </c>
      <c r="O311" s="32">
        <v>13.38</v>
      </c>
      <c r="P311" s="32">
        <v>83.08</v>
      </c>
      <c r="Q311" s="32">
        <v>1.18</v>
      </c>
      <c r="R311" s="32">
        <v>96.15</v>
      </c>
      <c r="S311" s="32">
        <v>68.09</v>
      </c>
      <c r="T311" s="32">
        <v>6.43</v>
      </c>
      <c r="U311" s="22">
        <f>IFERROR(__xludf.DUMMYFUNCTION("IFERROR(GOOGLEFINANCE(A311,""closeyest""),"""")"),7.51)</f>
        <v>7.51</v>
      </c>
      <c r="V311" s="23">
        <f>IFERROR(__xludf.DUMMYFUNCTION("IFERROR(GOOGLEFINANCE(A311,""changepct""),"""")"),-0.67)</f>
        <v>-0.67</v>
      </c>
      <c r="W311" s="22">
        <f>IFERROR(__xludf.DUMMYFUNCTION("IFERROR(GOOGLEFINANCE(A311,""priceopen""),"""")"),7.5)</f>
        <v>7.5</v>
      </c>
      <c r="X311" s="22">
        <f>IFERROR(__xludf.DUMMYFUNCTION("IFERROR(GOOGLEFINANCE(A311,""high""),"""")"),7.63)</f>
        <v>7.63</v>
      </c>
      <c r="Y311" s="22">
        <f>IFERROR(__xludf.DUMMYFUNCTION("IFERROR(GOOGLEFINANCE(A311,""low""),"""")"),7.45)</f>
        <v>7.45</v>
      </c>
      <c r="Z311" s="22" t="str">
        <f>IFERROR(__xludf.DUMMYFUNCTION("IFERROR(GOOGLEFINANCE(A311,""volume""),"""")"),"")</f>
        <v/>
      </c>
      <c r="AA311" s="24" t="str">
        <f>VLOOKUP(A311,Metrik!$C$2:$Y$959,5,0)</f>
        <v>Banks</v>
      </c>
      <c r="AB311" s="24" t="str">
        <f>VLOOKUP(A311,Metrik!$C$2:$Y$959,3,0)</f>
        <v>Financials</v>
      </c>
    </row>
    <row r="312">
      <c r="A312" s="14" t="s">
        <v>177</v>
      </c>
      <c r="B312" s="14" t="str">
        <f t="array" ref="B312">VLOOKUP(A312,{Metrik!$C$2:$C$998,Metrik!$B$2:$B$998},2,0)</f>
        <v>Bumi Citra Permai Tbk.</v>
      </c>
      <c r="C312" s="15">
        <f>IFERROR(__xludf.DUMMYFUNCTION("GOOGLEFINANCE(""IDX:""&amp;A312,""price"")"),61.0)</f>
        <v>61</v>
      </c>
      <c r="D312" s="16" t="str">
        <f>IFERROR(__xludf.DUMMYFUNCTION("IF(A312="""","""",
SPARKLINE(
INDEX(
GOOGLEFINANCE(""IDX:""&amp;A312,""close"",TODAY()-365,TODAY()),
,2
),
{""linewidth"",1}
))
"),"#N/A")</f>
        <v>#N/A</v>
      </c>
      <c r="E312" s="26"/>
      <c r="F312" s="26"/>
      <c r="G312" s="24">
        <f t="shared" si="1"/>
        <v>0</v>
      </c>
      <c r="H312" s="19">
        <f>VLOOKUP(A312,Metrik!$C$2:$Y$959,8,0)</f>
        <v>3.5</v>
      </c>
      <c r="I312" s="20">
        <f>VLOOKUP(A312,Metrik!$C$2:$Y$959,9,0)</f>
        <v>0.17</v>
      </c>
      <c r="J312" s="20">
        <f>VLOOKUP(A312,Metrik!$C$2:$Y$959,10,0)</f>
        <v>4.9</v>
      </c>
      <c r="K312" s="20">
        <f>VLOOKUP(A312,Metrik!$C$2:$Y$959,11,0)</f>
        <v>2.8</v>
      </c>
      <c r="L312" s="20">
        <f>VLOOKUP(A312,Metrik!$C$2:$Y$959,12,0)</f>
        <v>0.73</v>
      </c>
      <c r="M312" s="20">
        <f>VLOOKUP(A312,Metrik!$C$2:$Y$959,19,0)</f>
        <v>51.5</v>
      </c>
      <c r="N312" s="21"/>
      <c r="O312" s="21"/>
      <c r="P312" s="21"/>
      <c r="Q312" s="21"/>
      <c r="R312" s="21"/>
      <c r="S312" s="21"/>
      <c r="T312" s="21"/>
      <c r="U312" s="22">
        <f>IFERROR(__xludf.DUMMYFUNCTION("IFERROR(GOOGLEFINANCE(A312,""closeyest""),"""")"),59.0)</f>
        <v>59</v>
      </c>
      <c r="V312" s="23">
        <f>IFERROR(__xludf.DUMMYFUNCTION("IFERROR(GOOGLEFINANCE(A312,""changepct""),"""")"),3.39)</f>
        <v>3.39</v>
      </c>
      <c r="W312" s="22">
        <f>IFERROR(__xludf.DUMMYFUNCTION("IFERROR(GOOGLEFINANCE(A312,""priceopen""),"""")"),59.0)</f>
        <v>59</v>
      </c>
      <c r="X312" s="22">
        <f>IFERROR(__xludf.DUMMYFUNCTION("IFERROR(GOOGLEFINANCE(A312,""high""),"""")"),63.0)</f>
        <v>63</v>
      </c>
      <c r="Y312" s="22">
        <f>IFERROR(__xludf.DUMMYFUNCTION("IFERROR(GOOGLEFINANCE(A312,""low""),"""")"),58.0)</f>
        <v>58</v>
      </c>
      <c r="Z312" s="22">
        <f>IFERROR(__xludf.DUMMYFUNCTION("IFERROR(GOOGLEFINANCE(A312,""volume""),"""")"),4903400.0)</f>
        <v>4903400</v>
      </c>
      <c r="AA312" s="24" t="str">
        <f>VLOOKUP(A312,Metrik!$C$2:$Y$959,5,0)</f>
        <v>Real Estate Management &amp; Development</v>
      </c>
      <c r="AB312" s="24" t="str">
        <f>VLOOKUP(A312,Metrik!$C$2:$Y$959,3,0)</f>
        <v>Properties &amp; Real Estate</v>
      </c>
    </row>
    <row r="313">
      <c r="A313" s="17" t="s">
        <v>178</v>
      </c>
      <c r="B313" s="14" t="str">
        <f t="array" ref="B313">VLOOKUP(A313,{Metrik!$C$2:$C$998,Metrik!$B$2:$B$998},2,0)</f>
        <v>PT Berdikari Pondasi Perkasa Tbk.</v>
      </c>
      <c r="C313" s="15">
        <f>IFERROR(__xludf.DUMMYFUNCTION("GOOGLEFINANCE(""IDX:""&amp;A313,""price"")"),128.0)</f>
        <v>128</v>
      </c>
      <c r="D313" s="16" t="str">
        <f>IFERROR(__xludf.DUMMYFUNCTION("IF(A313="""","""",
SPARKLINE(
INDEX(
GOOGLEFINANCE(""IDX:""&amp;A313,""close"",TODAY()-365,TODAY()),
,2
),
{""linewidth"",1}
))
"),"#N/A")</f>
        <v>#N/A</v>
      </c>
      <c r="E313" s="14"/>
      <c r="F313" s="17"/>
      <c r="G313" s="18">
        <f t="shared" si="1"/>
        <v>0</v>
      </c>
      <c r="H313" s="19">
        <f>VLOOKUP(A313,Metrik!$C$2:$Y$959,8,0)</f>
        <v>26.7</v>
      </c>
      <c r="I313" s="20">
        <f>VLOOKUP(A313,Metrik!$C$2:$Y$959,9,0)</f>
        <v>0.88</v>
      </c>
      <c r="J313" s="20">
        <f>VLOOKUP(A313,Metrik!$C$2:$Y$959,10,0)</f>
        <v>3.3</v>
      </c>
      <c r="K313" s="20">
        <f>VLOOKUP(A313,Metrik!$C$2:$Y$959,11,0)</f>
        <v>2.3</v>
      </c>
      <c r="L313" s="20">
        <f>VLOOKUP(A313,Metrik!$C$2:$Y$959,12,0)</f>
        <v>0.41</v>
      </c>
      <c r="M313" s="20">
        <f>VLOOKUP(A313,Metrik!$C$2:$Y$959,19,0)</f>
        <v>26.1</v>
      </c>
      <c r="N313" s="21"/>
      <c r="O313" s="21"/>
      <c r="P313" s="21"/>
      <c r="Q313" s="21"/>
      <c r="R313" s="21"/>
      <c r="S313" s="21"/>
      <c r="T313" s="21"/>
      <c r="U313" s="22">
        <f>IFERROR(__xludf.DUMMYFUNCTION("IFERROR(GOOGLEFINANCE(A313,""closeyest""),"""")"),124.0)</f>
        <v>124</v>
      </c>
      <c r="V313" s="23">
        <f>IFERROR(__xludf.DUMMYFUNCTION("IFERROR(GOOGLEFINANCE(A313,""changepct""),"""")"),3.23)</f>
        <v>3.23</v>
      </c>
      <c r="W313" s="22">
        <f>IFERROR(__xludf.DUMMYFUNCTION("IFERROR(GOOGLEFINANCE(A313,""priceopen""),"""")"),124.0)</f>
        <v>124</v>
      </c>
      <c r="X313" s="22">
        <f>IFERROR(__xludf.DUMMYFUNCTION("IFERROR(GOOGLEFINANCE(A313,""high""),"""")"),129.0)</f>
        <v>129</v>
      </c>
      <c r="Y313" s="22">
        <f>IFERROR(__xludf.DUMMYFUNCTION("IFERROR(GOOGLEFINANCE(A313,""low""),"""")"),122.0)</f>
        <v>122</v>
      </c>
      <c r="Z313" s="22">
        <f>IFERROR(__xludf.DUMMYFUNCTION("IFERROR(GOOGLEFINANCE(A313,""volume""),"""")"),1.67191E7)</f>
        <v>16719100</v>
      </c>
      <c r="AA313" s="24" t="str">
        <f>VLOOKUP(A313,Metrik!$C$2:$Y$959,5,0)</f>
        <v>Heavy Constructions &amp; Civil Engineering</v>
      </c>
      <c r="AB313" s="24" t="str">
        <f>VLOOKUP(A313,Metrik!$C$2:$Y$959,3,0)</f>
        <v>Infrastructures</v>
      </c>
    </row>
    <row r="314">
      <c r="A314" s="14" t="s">
        <v>179</v>
      </c>
      <c r="B314" s="14" t="str">
        <f t="array" ref="B314">VLOOKUP(A314,{Metrik!$C$2:$C$998,Metrik!$B$2:$B$998},2,0)</f>
        <v>PT Bank Danamon Indonesia Tbk</v>
      </c>
      <c r="C314" s="15">
        <f>IFERROR(__xludf.DUMMYFUNCTION("GOOGLEFINANCE(""IDX:""&amp;A314,""price"")"),3920.0)</f>
        <v>3920</v>
      </c>
      <c r="D314" s="16" t="str">
        <f>IFERROR(__xludf.DUMMYFUNCTION("IF(A314="""","""",
SPARKLINE(
INDEX(
GOOGLEFINANCE(""IDX:""&amp;A314,""close"",TODAY()-365,TODAY()),
,2
),
{""linewidth"",1}
))
"),"#N/A")</f>
        <v>#N/A</v>
      </c>
      <c r="E314" s="14" t="s">
        <v>75</v>
      </c>
      <c r="F314" s="14" t="s">
        <v>76</v>
      </c>
      <c r="G314" s="24">
        <f t="shared" si="1"/>
        <v>3</v>
      </c>
      <c r="H314" s="19">
        <f>VLOOKUP(A314,Metrik!$C$2:$Y$959,8,0)</f>
        <v>10.5</v>
      </c>
      <c r="I314" s="20">
        <f>VLOOKUP(A314,Metrik!$C$2:$Y$959,9,0)</f>
        <v>0.8</v>
      </c>
      <c r="J314" s="20">
        <f>VLOOKUP(A314,Metrik!$C$2:$Y$959,10,0)</f>
        <v>7.6</v>
      </c>
      <c r="K314" s="20">
        <f>VLOOKUP(A314,Metrik!$C$2:$Y$959,11,0)</f>
        <v>1.6</v>
      </c>
      <c r="L314" s="20">
        <f>VLOOKUP(A314,Metrik!$C$2:$Y$959,12,0)</f>
        <v>3.9</v>
      </c>
      <c r="M314" s="20">
        <f>VLOOKUP(A314,Metrik!$C$2:$Y$959,19,0)</f>
        <v>60.7</v>
      </c>
      <c r="N314" s="29">
        <v>7.4</v>
      </c>
      <c r="O314" s="29">
        <v>25.4</v>
      </c>
      <c r="P314" s="29">
        <v>95.5</v>
      </c>
      <c r="Q314" s="29">
        <v>1.7</v>
      </c>
      <c r="R314" s="29">
        <v>79.3</v>
      </c>
      <c r="S314" s="29">
        <v>55.3</v>
      </c>
      <c r="T314" s="29">
        <v>8.3</v>
      </c>
      <c r="U314" s="22">
        <f>IFERROR(__xludf.DUMMYFUNCTION("IFERROR(GOOGLEFINANCE(A314,""closeyest""),"""")"),3870.0)</f>
        <v>3870</v>
      </c>
      <c r="V314" s="23">
        <f>IFERROR(__xludf.DUMMYFUNCTION("IFERROR(GOOGLEFINANCE(A314,""changepct""),"""")"),1.29)</f>
        <v>1.29</v>
      </c>
      <c r="W314" s="22">
        <f>IFERROR(__xludf.DUMMYFUNCTION("IFERROR(GOOGLEFINANCE(A314,""priceopen""),"""")"),3930.0)</f>
        <v>3930</v>
      </c>
      <c r="X314" s="22">
        <f>IFERROR(__xludf.DUMMYFUNCTION("IFERROR(GOOGLEFINANCE(A314,""high""),"""")"),4030.0)</f>
        <v>4030</v>
      </c>
      <c r="Y314" s="22">
        <f>IFERROR(__xludf.DUMMYFUNCTION("IFERROR(GOOGLEFINANCE(A314,""low""),"""")"),3880.0)</f>
        <v>3880</v>
      </c>
      <c r="Z314" s="22">
        <f>IFERROR(__xludf.DUMMYFUNCTION("IFERROR(GOOGLEFINANCE(A314,""volume""),"""")"),2217100.0)</f>
        <v>2217100</v>
      </c>
      <c r="AA314" s="24" t="str">
        <f>VLOOKUP(A314,Metrik!$C$2:$Y$959,5,0)</f>
        <v>Banks</v>
      </c>
      <c r="AB314" s="24" t="str">
        <f>VLOOKUP(A314,Metrik!$C$2:$Y$959,3,0)</f>
        <v>Financials</v>
      </c>
    </row>
    <row r="315">
      <c r="A315" s="14" t="s">
        <v>179</v>
      </c>
      <c r="B315" s="14" t="str">
        <f t="array" ref="B315">VLOOKUP(A315,{Metrik!$C$2:$C$998,Metrik!$B$2:$B$998},2,0)</f>
        <v>PT Bank Danamon Indonesia Tbk</v>
      </c>
      <c r="C315" s="15">
        <f>IFERROR(__xludf.DUMMYFUNCTION("GOOGLEFINANCE(""IDX:""&amp;A315,""price"")"),3920.0)</f>
        <v>3920</v>
      </c>
      <c r="D315" s="16" t="str">
        <f>IFERROR(__xludf.DUMMYFUNCTION("IF(A315="""","""",
SPARKLINE(
INDEX(
GOOGLEFINANCE(""IDX:""&amp;A315,""close"",TODAY()-365,TODAY()),
,2
),
{""linewidth"",1}
))
"),"#N/A")</f>
        <v>#N/A</v>
      </c>
      <c r="E315" s="14" t="s">
        <v>162</v>
      </c>
      <c r="F315" s="14" t="s">
        <v>76</v>
      </c>
      <c r="G315" s="24">
        <f t="shared" si="1"/>
        <v>3</v>
      </c>
      <c r="H315" s="19">
        <f>VLOOKUP(A315,Metrik!$C$2:$Y$959,8,0)</f>
        <v>10.5</v>
      </c>
      <c r="I315" s="20">
        <f>VLOOKUP(A315,Metrik!$C$2:$Y$959,9,0)</f>
        <v>0.8</v>
      </c>
      <c r="J315" s="20">
        <f>VLOOKUP(A315,Metrik!$C$2:$Y$959,10,0)</f>
        <v>7.6</v>
      </c>
      <c r="K315" s="20">
        <f>VLOOKUP(A315,Metrik!$C$2:$Y$959,11,0)</f>
        <v>1.6</v>
      </c>
      <c r="L315" s="20">
        <f>VLOOKUP(A315,Metrik!$C$2:$Y$959,12,0)</f>
        <v>3.9</v>
      </c>
      <c r="M315" s="20">
        <f>VLOOKUP(A315,Metrik!$C$2:$Y$959,19,0)</f>
        <v>60.7</v>
      </c>
      <c r="N315" s="29">
        <v>7.4</v>
      </c>
      <c r="O315" s="29">
        <v>25.4</v>
      </c>
      <c r="P315" s="29">
        <v>95.5</v>
      </c>
      <c r="Q315" s="29">
        <v>1.7</v>
      </c>
      <c r="R315" s="29">
        <v>79.3</v>
      </c>
      <c r="S315" s="29">
        <v>55.3</v>
      </c>
      <c r="T315" s="29">
        <v>8.3</v>
      </c>
      <c r="U315" s="22">
        <f>IFERROR(__xludf.DUMMYFUNCTION("IFERROR(GOOGLEFINANCE(A315,""closeyest""),"""")"),3870.0)</f>
        <v>3870</v>
      </c>
      <c r="V315" s="23">
        <f>IFERROR(__xludf.DUMMYFUNCTION("IFERROR(GOOGLEFINANCE(A315,""changepct""),"""")"),1.29)</f>
        <v>1.29</v>
      </c>
      <c r="W315" s="22">
        <f>IFERROR(__xludf.DUMMYFUNCTION("IFERROR(GOOGLEFINANCE(A315,""priceopen""),"""")"),3930.0)</f>
        <v>3930</v>
      </c>
      <c r="X315" s="22">
        <f>IFERROR(__xludf.DUMMYFUNCTION("IFERROR(GOOGLEFINANCE(A315,""high""),"""")"),4030.0)</f>
        <v>4030</v>
      </c>
      <c r="Y315" s="22">
        <f>IFERROR(__xludf.DUMMYFUNCTION("IFERROR(GOOGLEFINANCE(A315,""low""),"""")"),3880.0)</f>
        <v>3880</v>
      </c>
      <c r="Z315" s="22">
        <f>IFERROR(__xludf.DUMMYFUNCTION("IFERROR(GOOGLEFINANCE(A315,""volume""),"""")"),2217100.0)</f>
        <v>2217100</v>
      </c>
      <c r="AA315" s="24" t="str">
        <f>VLOOKUP(A315,Metrik!$C$2:$Y$959,5,0)</f>
        <v>Banks</v>
      </c>
      <c r="AB315" s="24" t="str">
        <f>VLOOKUP(A315,Metrik!$C$2:$Y$959,3,0)</f>
        <v>Financials</v>
      </c>
    </row>
    <row r="316">
      <c r="A316" s="17" t="s">
        <v>179</v>
      </c>
      <c r="B316" s="14" t="str">
        <f t="array" ref="B316">VLOOKUP(A316,{Metrik!$C$2:$C$998,Metrik!$B$2:$B$998},2,0)</f>
        <v>PT Bank Danamon Indonesia Tbk</v>
      </c>
      <c r="C316" s="15">
        <f>IFERROR(__xludf.DUMMYFUNCTION("GOOGLEFINANCE(""IDX:""&amp;A316,""price"")"),3920.0)</f>
        <v>3920</v>
      </c>
      <c r="D316" s="16" t="str">
        <f>IFERROR(__xludf.DUMMYFUNCTION("IF(A316="""","""",
SPARKLINE(
INDEX(
GOOGLEFINANCE(""IDX:""&amp;A316,""close"",TODAY()-365,TODAY()),
,2
),
{""linewidth"",1}
))
"),"#N/A")</f>
        <v>#N/A</v>
      </c>
      <c r="E316" s="17" t="s">
        <v>69</v>
      </c>
      <c r="F316" s="17" t="s">
        <v>70</v>
      </c>
      <c r="G316" s="24">
        <f t="shared" si="1"/>
        <v>3</v>
      </c>
      <c r="H316" s="19">
        <f>VLOOKUP(A316,Metrik!$C$2:$Y$959,8,0)</f>
        <v>10.5</v>
      </c>
      <c r="I316" s="20">
        <f>VLOOKUP(A316,Metrik!$C$2:$Y$959,9,0)</f>
        <v>0.8</v>
      </c>
      <c r="J316" s="20">
        <f>VLOOKUP(A316,Metrik!$C$2:$Y$959,10,0)</f>
        <v>7.6</v>
      </c>
      <c r="K316" s="20">
        <f>VLOOKUP(A316,Metrik!$C$2:$Y$959,11,0)</f>
        <v>1.6</v>
      </c>
      <c r="L316" s="20">
        <f>VLOOKUP(A316,Metrik!$C$2:$Y$959,12,0)</f>
        <v>3.9</v>
      </c>
      <c r="M316" s="20">
        <f>VLOOKUP(A316,Metrik!$C$2:$Y$959,19,0)</f>
        <v>60.7</v>
      </c>
      <c r="N316" s="29">
        <v>7.4</v>
      </c>
      <c r="O316" s="29">
        <v>25.4</v>
      </c>
      <c r="P316" s="29">
        <v>95.5</v>
      </c>
      <c r="Q316" s="29">
        <v>1.7</v>
      </c>
      <c r="R316" s="29">
        <v>79.3</v>
      </c>
      <c r="S316" s="29">
        <v>55.3</v>
      </c>
      <c r="T316" s="29">
        <v>8.3</v>
      </c>
      <c r="U316" s="22">
        <f>IFERROR(__xludf.DUMMYFUNCTION("IFERROR(GOOGLEFINANCE(A316,""closeyest""),"""")"),3870.0)</f>
        <v>3870</v>
      </c>
      <c r="V316" s="23">
        <f>IFERROR(__xludf.DUMMYFUNCTION("IFERROR(GOOGLEFINANCE(A316,""changepct""),"""")"),1.29)</f>
        <v>1.29</v>
      </c>
      <c r="W316" s="22">
        <f>IFERROR(__xludf.DUMMYFUNCTION("IFERROR(GOOGLEFINANCE(A316,""priceopen""),"""")"),3930.0)</f>
        <v>3930</v>
      </c>
      <c r="X316" s="22">
        <f>IFERROR(__xludf.DUMMYFUNCTION("IFERROR(GOOGLEFINANCE(A316,""high""),"""")"),4030.0)</f>
        <v>4030</v>
      </c>
      <c r="Y316" s="22">
        <f>IFERROR(__xludf.DUMMYFUNCTION("IFERROR(GOOGLEFINANCE(A316,""low""),"""")"),3880.0)</f>
        <v>3880</v>
      </c>
      <c r="Z316" s="22">
        <f>IFERROR(__xludf.DUMMYFUNCTION("IFERROR(GOOGLEFINANCE(A316,""volume""),"""")"),2217100.0)</f>
        <v>2217100</v>
      </c>
      <c r="AA316" s="24" t="str">
        <f>VLOOKUP(A316,Metrik!$C$2:$Y$959,5,0)</f>
        <v>Banks</v>
      </c>
      <c r="AB316" s="24" t="str">
        <f>VLOOKUP(A316,Metrik!$C$2:$Y$959,3,0)</f>
        <v>Financials</v>
      </c>
    </row>
    <row r="317">
      <c r="A317" s="14" t="s">
        <v>180</v>
      </c>
      <c r="B317" s="14" t="str">
        <f t="array" ref="B317">VLOOKUP(A317,{Metrik!$C$2:$C$998,Metrik!$B$2:$B$998},2,0)</f>
        <v>Berkah Beton Sadaya Tbk.</v>
      </c>
      <c r="C317" s="15">
        <f>IFERROR(__xludf.DUMMYFUNCTION("GOOGLEFINANCE(""IDX:""&amp;A317,""price"")"),5.0)</f>
        <v>5</v>
      </c>
      <c r="D317" s="16" t="str">
        <f>IFERROR(__xludf.DUMMYFUNCTION("IF(A317="""","""",
SPARKLINE(
INDEX(
GOOGLEFINANCE(""IDX:""&amp;A317,""close"",TODAY()-365,TODAY()),
,2
),
{""linewidth"",1}
))
"),"#N/A")</f>
        <v>#N/A</v>
      </c>
      <c r="E317" s="26"/>
      <c r="F317" s="26"/>
      <c r="G317" s="24">
        <f t="shared" si="1"/>
        <v>0</v>
      </c>
      <c r="H317" s="19">
        <f>VLOOKUP(A317,Metrik!$C$2:$Y$959,8,0)</f>
        <v>0</v>
      </c>
      <c r="I317" s="20">
        <f>VLOOKUP(A317,Metrik!$C$2:$Y$959,9,0)</f>
        <v>0.28</v>
      </c>
      <c r="J317" s="20">
        <f>VLOOKUP(A317,Metrik!$C$2:$Y$959,10,0)</f>
        <v>-4.6</v>
      </c>
      <c r="K317" s="20">
        <f>VLOOKUP(A317,Metrik!$C$2:$Y$959,11,0)</f>
        <v>-4.2</v>
      </c>
      <c r="L317" s="20">
        <f>VLOOKUP(A317,Metrik!$C$2:$Y$959,12,0)</f>
        <v>0.11</v>
      </c>
      <c r="M317" s="20">
        <f>VLOOKUP(A317,Metrik!$C$2:$Y$959,19,0)</f>
        <v>-71.4</v>
      </c>
      <c r="N317" s="21"/>
      <c r="O317" s="21"/>
      <c r="P317" s="21"/>
      <c r="Q317" s="21"/>
      <c r="R317" s="21"/>
      <c r="S317" s="21"/>
      <c r="T317" s="21"/>
      <c r="U317" s="22">
        <f>IFERROR(__xludf.DUMMYFUNCTION("IFERROR(GOOGLEFINANCE(A317,""closeyest""),"""")"),5.0)</f>
        <v>5</v>
      </c>
      <c r="V317" s="23">
        <f>IFERROR(__xludf.DUMMYFUNCTION("IFERROR(GOOGLEFINANCE(A317,""changepct""),"""")"),0.0)</f>
        <v>0</v>
      </c>
      <c r="W317" s="22" t="str">
        <f>IFERROR(__xludf.DUMMYFUNCTION("IFERROR(GOOGLEFINANCE(A317,""priceopen""),"""")"),"")</f>
        <v/>
      </c>
      <c r="X317" s="22" t="str">
        <f>IFERROR(__xludf.DUMMYFUNCTION("IFERROR(GOOGLEFINANCE(A317,""high""),"""")"),"")</f>
        <v/>
      </c>
      <c r="Y317" s="22" t="str">
        <f>IFERROR(__xludf.DUMMYFUNCTION("IFERROR(GOOGLEFINANCE(A317,""low""),"""")"),"")</f>
        <v/>
      </c>
      <c r="Z317" s="22">
        <f>IFERROR(__xludf.DUMMYFUNCTION("IFERROR(GOOGLEFINANCE(A317,""volume""),"""")"),0.0)</f>
        <v>0</v>
      </c>
      <c r="AA317" s="24" t="str">
        <f>VLOOKUP(A317,Metrik!$C$2:$Y$959,5,0)</f>
        <v>Construction Materials</v>
      </c>
      <c r="AB317" s="24" t="str">
        <f>VLOOKUP(A317,Metrik!$C$2:$Y$959,3,0)</f>
        <v>Basic Materials</v>
      </c>
    </row>
    <row r="318">
      <c r="A318" s="14" t="s">
        <v>181</v>
      </c>
      <c r="B318" s="14" t="str">
        <f t="array" ref="B318">VLOOKUP(A318,{Metrik!$C$2:$C$998,Metrik!$B$2:$B$998},2,0)</f>
        <v>Estika Tata Tiara Tbk.</v>
      </c>
      <c r="C318" s="15">
        <f>IFERROR(__xludf.DUMMYFUNCTION("GOOGLEFINANCE(""IDX:""&amp;A318,""price"")"),156.0)</f>
        <v>156</v>
      </c>
      <c r="D318" s="16" t="str">
        <f>IFERROR(__xludf.DUMMYFUNCTION("IF(A318="""","""",
SPARKLINE(
INDEX(
GOOGLEFINANCE(""IDX:""&amp;A318,""close"",TODAY()-365,TODAY()),
,2
),
{""linewidth"",1}
))
"),"#N/A")</f>
        <v>#N/A</v>
      </c>
      <c r="E318" s="26"/>
      <c r="F318" s="26"/>
      <c r="G318" s="24">
        <f t="shared" si="1"/>
        <v>0</v>
      </c>
      <c r="H318" s="19">
        <f>VLOOKUP(A318,Metrik!$C$2:$Y$959,8,0)</f>
        <v>12.8</v>
      </c>
      <c r="I318" s="20">
        <f>VLOOKUP(A318,Metrik!$C$2:$Y$959,9,0)</f>
        <v>3.3</v>
      </c>
      <c r="J318" s="20">
        <f>VLOOKUP(A318,Metrik!$C$2:$Y$959,10,0)</f>
        <v>25.9</v>
      </c>
      <c r="K318" s="20">
        <f>VLOOKUP(A318,Metrik!$C$2:$Y$959,11,0)</f>
        <v>4.9</v>
      </c>
      <c r="L318" s="20">
        <f>VLOOKUP(A318,Metrik!$C$2:$Y$959,12,0)</f>
        <v>4.4</v>
      </c>
      <c r="M318" s="20">
        <f>VLOOKUP(A318,Metrik!$C$2:$Y$959,19,0)</f>
        <v>8.4</v>
      </c>
      <c r="N318" s="21"/>
      <c r="O318" s="21"/>
      <c r="P318" s="21"/>
      <c r="Q318" s="21"/>
      <c r="R318" s="21"/>
      <c r="S318" s="21"/>
      <c r="T318" s="21"/>
      <c r="U318" s="22">
        <f>IFERROR(__xludf.DUMMYFUNCTION("IFERROR(GOOGLEFINANCE(A318,""closeyest""),"""")"),152.0)</f>
        <v>152</v>
      </c>
      <c r="V318" s="23">
        <f>IFERROR(__xludf.DUMMYFUNCTION("IFERROR(GOOGLEFINANCE(A318,""changepct""),"""")"),2.63)</f>
        <v>2.63</v>
      </c>
      <c r="W318" s="22">
        <f>IFERROR(__xludf.DUMMYFUNCTION("IFERROR(GOOGLEFINANCE(A318,""priceopen""),"""")"),153.0)</f>
        <v>153</v>
      </c>
      <c r="X318" s="22">
        <f>IFERROR(__xludf.DUMMYFUNCTION("IFERROR(GOOGLEFINANCE(A318,""high""),"""")"),160.0)</f>
        <v>160</v>
      </c>
      <c r="Y318" s="22">
        <f>IFERROR(__xludf.DUMMYFUNCTION("IFERROR(GOOGLEFINANCE(A318,""low""),"""")"),152.0)</f>
        <v>152</v>
      </c>
      <c r="Z318" s="22">
        <f>IFERROR(__xludf.DUMMYFUNCTION("IFERROR(GOOGLEFINANCE(A318,""volume""),"""")"),7602300.0)</f>
        <v>7602300</v>
      </c>
      <c r="AA318" s="24" t="str">
        <f>VLOOKUP(A318,Metrik!$C$2:$Y$959,5,0)</f>
        <v>Processed Foods</v>
      </c>
      <c r="AB318" s="24" t="str">
        <f>VLOOKUP(A318,Metrik!$C$2:$Y$959,3,0)</f>
        <v>Consumer Non-Cyclicals</v>
      </c>
    </row>
    <row r="319">
      <c r="A319" s="14" t="s">
        <v>182</v>
      </c>
      <c r="B319" s="14" t="str">
        <f t="array" ref="B319">VLOOKUP(A319,{Metrik!$C$2:$C$998,Metrik!$B$2:$B$998},2,0)</f>
        <v>PT Jobubu Jarum Minahasa Tbk</v>
      </c>
      <c r="C319" s="15">
        <f>IFERROR(__xludf.DUMMYFUNCTION("GOOGLEFINANCE(""IDX:""&amp;A319,""price"")"),86.0)</f>
        <v>86</v>
      </c>
      <c r="D319" s="16" t="str">
        <f>IFERROR(__xludf.DUMMYFUNCTION("IF(A319="""","""",
SPARKLINE(
INDEX(
GOOGLEFINANCE(""IDX:""&amp;A319,""close"",TODAY()-365,TODAY()),
,2
),
{""linewidth"",1}
))
"),"#N/A")</f>
        <v>#N/A</v>
      </c>
      <c r="E319" s="26"/>
      <c r="F319" s="26"/>
      <c r="G319" s="24">
        <f t="shared" si="1"/>
        <v>0</v>
      </c>
      <c r="H319" s="19">
        <f>VLOOKUP(A319,Metrik!$C$2:$Y$959,8,0)</f>
        <v>410</v>
      </c>
      <c r="I319" s="20">
        <f>VLOOKUP(A319,Metrik!$C$2:$Y$959,9,0)</f>
        <v>1.4</v>
      </c>
      <c r="J319" s="20">
        <f>VLOOKUP(A319,Metrik!$C$2:$Y$959,10,0)</f>
        <v>0.35</v>
      </c>
      <c r="K319" s="20">
        <f>VLOOKUP(A319,Metrik!$C$2:$Y$959,11,0)</f>
        <v>0.32</v>
      </c>
      <c r="L319" s="20">
        <f>VLOOKUP(A319,Metrik!$C$2:$Y$959,12,0)</f>
        <v>0.08</v>
      </c>
      <c r="M319" s="20">
        <f>VLOOKUP(A319,Metrik!$C$2:$Y$959,19,0)</f>
        <v>11.4</v>
      </c>
      <c r="N319" s="21"/>
      <c r="O319" s="21"/>
      <c r="P319" s="21"/>
      <c r="Q319" s="21"/>
      <c r="R319" s="21"/>
      <c r="S319" s="21"/>
      <c r="T319" s="21"/>
      <c r="U319" s="22">
        <f>IFERROR(__xludf.DUMMYFUNCTION("IFERROR(GOOGLEFINANCE(A319,""closeyest""),"""")"),2.5)</f>
        <v>2.5</v>
      </c>
      <c r="V319" s="23">
        <f>IFERROR(__xludf.DUMMYFUNCTION("IFERROR(GOOGLEFINANCE(A319,""changepct""),"""")"),1.2)</f>
        <v>1.2</v>
      </c>
      <c r="W319" s="22">
        <f>IFERROR(__xludf.DUMMYFUNCTION("IFERROR(GOOGLEFINANCE(A319,""priceopen""),"""")"),2.49)</f>
        <v>2.49</v>
      </c>
      <c r="X319" s="22">
        <f>IFERROR(__xludf.DUMMYFUNCTION("IFERROR(GOOGLEFINANCE(A319,""high""),"""")"),2.54)</f>
        <v>2.54</v>
      </c>
      <c r="Y319" s="22">
        <f>IFERROR(__xludf.DUMMYFUNCTION("IFERROR(GOOGLEFINANCE(A319,""low""),"""")"),2.49)</f>
        <v>2.49</v>
      </c>
      <c r="Z319" s="22">
        <f>IFERROR(__xludf.DUMMYFUNCTION("IFERROR(GOOGLEFINANCE(A319,""volume""),"""")"),10433.0)</f>
        <v>10433</v>
      </c>
      <c r="AA319" s="24" t="str">
        <f>VLOOKUP(A319,Metrik!$C$2:$Y$959,5,0)</f>
        <v>Beverages</v>
      </c>
      <c r="AB319" s="24" t="str">
        <f>VLOOKUP(A319,Metrik!$C$2:$Y$959,3,0)</f>
        <v>Consumer Non-Cyclicals</v>
      </c>
    </row>
    <row r="320">
      <c r="A320" s="14" t="s">
        <v>183</v>
      </c>
      <c r="B320" s="14" t="str">
        <f t="array" ref="B320">VLOOKUP(A320,{Metrik!$C$2:$C$998,Metrik!$B$2:$B$998},2,0)</f>
        <v>PT Bank Pembangunan Daerah Banten Tbk.</v>
      </c>
      <c r="C320" s="15">
        <f>IFERROR(__xludf.DUMMYFUNCTION("GOOGLEFINANCE(""IDX:""&amp;A320,""price"")"),21.0)</f>
        <v>21</v>
      </c>
      <c r="D320" s="16" t="str">
        <f>IFERROR(__xludf.DUMMYFUNCTION("IF(A320="""","""",
SPARKLINE(
INDEX(
GOOGLEFINANCE(""IDX:""&amp;A320,""close"",TODAY()-365,TODAY()),
,2
),
{""linewidth"",1}
))
"),"#N/A")</f>
        <v>#N/A</v>
      </c>
      <c r="E320" s="26"/>
      <c r="F320" s="26"/>
      <c r="G320" s="24">
        <f t="shared" si="1"/>
        <v>0</v>
      </c>
      <c r="H320" s="19">
        <f>VLOOKUP(A320,Metrik!$C$2:$Y$959,8,0)</f>
        <v>21.4</v>
      </c>
      <c r="I320" s="20">
        <f>VLOOKUP(A320,Metrik!$C$2:$Y$959,9,0)</f>
        <v>0.6</v>
      </c>
      <c r="J320" s="20">
        <f>VLOOKUP(A320,Metrik!$C$2:$Y$959,10,0)</f>
        <v>2.8</v>
      </c>
      <c r="K320" s="20">
        <f>VLOOKUP(A320,Metrik!$C$2:$Y$959,11,0)</f>
        <v>0.53</v>
      </c>
      <c r="L320" s="20">
        <f>VLOOKUP(A320,Metrik!$C$2:$Y$959,12,0)</f>
        <v>4.3</v>
      </c>
      <c r="M320" s="20">
        <f>VLOOKUP(A320,Metrik!$C$2:$Y$959,19,0)</f>
        <v>27.3</v>
      </c>
      <c r="N320" s="29">
        <v>3.7</v>
      </c>
      <c r="O320" s="29">
        <v>19.3</v>
      </c>
      <c r="P320" s="29">
        <v>87.4</v>
      </c>
      <c r="Q320" s="29">
        <v>1.4</v>
      </c>
      <c r="R320" s="29">
        <v>87.9</v>
      </c>
      <c r="S320" s="29">
        <v>56.0</v>
      </c>
      <c r="T320" s="29">
        <v>6.3</v>
      </c>
      <c r="U320" s="22">
        <f>IFERROR(__xludf.DUMMYFUNCTION("IFERROR(GOOGLEFINANCE(A320,""closeyest""),"""")"),21.0)</f>
        <v>21</v>
      </c>
      <c r="V320" s="23">
        <f>IFERROR(__xludf.DUMMYFUNCTION("IFERROR(GOOGLEFINANCE(A320,""changepct""),"""")"),0.0)</f>
        <v>0</v>
      </c>
      <c r="W320" s="22">
        <f>IFERROR(__xludf.DUMMYFUNCTION("IFERROR(GOOGLEFINANCE(A320,""priceopen""),"""")"),21.0)</f>
        <v>21</v>
      </c>
      <c r="X320" s="22">
        <f>IFERROR(__xludf.DUMMYFUNCTION("IFERROR(GOOGLEFINANCE(A320,""high""),"""")"),22.0)</f>
        <v>22</v>
      </c>
      <c r="Y320" s="22">
        <f>IFERROR(__xludf.DUMMYFUNCTION("IFERROR(GOOGLEFINANCE(A320,""low""),"""")"),21.0)</f>
        <v>21</v>
      </c>
      <c r="Z320" s="22">
        <f>IFERROR(__xludf.DUMMYFUNCTION("IFERROR(GOOGLEFINANCE(A320,""volume""),"""")"),2.19247E7)</f>
        <v>21924700</v>
      </c>
      <c r="AA320" s="24" t="str">
        <f>VLOOKUP(A320,Metrik!$C$2:$Y$959,5,0)</f>
        <v>Banks</v>
      </c>
      <c r="AB320" s="24" t="str">
        <f>VLOOKUP(A320,Metrik!$C$2:$Y$959,3,0)</f>
        <v>Financials</v>
      </c>
    </row>
    <row r="321">
      <c r="A321" s="14" t="s">
        <v>184</v>
      </c>
      <c r="B321" s="14" t="str">
        <f t="array" ref="B321">VLOOKUP(A321,{Metrik!$C$2:$C$998,Metrik!$B$2:$B$998},2,0)</f>
        <v>Global Digital Niaga Tbk.</v>
      </c>
      <c r="C321" s="15">
        <f>IFERROR(__xludf.DUMMYFUNCTION("GOOGLEFINANCE(""IDX:""&amp;A321,""price"")"),292.0)</f>
        <v>292</v>
      </c>
      <c r="D321" s="16" t="str">
        <f>IFERROR(__xludf.DUMMYFUNCTION("IF(A321="""","""",
SPARKLINE(
INDEX(
GOOGLEFINANCE(""IDX:""&amp;A321,""close"",TODAY()-365,TODAY()),
,2
),
{""linewidth"",1}
))
"),"#N/A")</f>
        <v>#N/A</v>
      </c>
      <c r="E321" s="26"/>
      <c r="F321" s="26"/>
      <c r="G321" s="24">
        <f t="shared" si="1"/>
        <v>0</v>
      </c>
      <c r="H321" s="19">
        <f>VLOOKUP(A321,Metrik!$C$2:$Y$959,8,0)</f>
        <v>-23.9</v>
      </c>
      <c r="I321" s="20">
        <f>VLOOKUP(A321,Metrik!$C$2:$Y$959,9,0)</f>
        <v>5.1</v>
      </c>
      <c r="J321" s="20">
        <f>VLOOKUP(A321,Metrik!$C$2:$Y$959,10,0)</f>
        <v>-21.2</v>
      </c>
      <c r="K321" s="20">
        <f>VLOOKUP(A321,Metrik!$C$2:$Y$959,11,0)</f>
        <v>-10.4</v>
      </c>
      <c r="L321" s="20">
        <f>VLOOKUP(A321,Metrik!$C$2:$Y$959,12,0)</f>
        <v>1</v>
      </c>
      <c r="M321" s="20">
        <f>VLOOKUP(A321,Metrik!$C$2:$Y$959,19,0)</f>
        <v>-24.8</v>
      </c>
      <c r="N321" s="21"/>
      <c r="O321" s="21"/>
      <c r="P321" s="21"/>
      <c r="Q321" s="21"/>
      <c r="R321" s="21"/>
      <c r="S321" s="21"/>
      <c r="T321" s="21"/>
      <c r="U321" s="22">
        <f>IFERROR(__xludf.DUMMYFUNCTION("IFERROR(GOOGLEFINANCE(A321,""closeyest""),"""")"),296.0)</f>
        <v>296</v>
      </c>
      <c r="V321" s="23">
        <f>IFERROR(__xludf.DUMMYFUNCTION("IFERROR(GOOGLEFINANCE(A321,""changepct""),"""")"),-1.35)</f>
        <v>-1.35</v>
      </c>
      <c r="W321" s="22">
        <f>IFERROR(__xludf.DUMMYFUNCTION("IFERROR(GOOGLEFINANCE(A321,""priceopen""),"""")"),296.0)</f>
        <v>296</v>
      </c>
      <c r="X321" s="22">
        <f>IFERROR(__xludf.DUMMYFUNCTION("IFERROR(GOOGLEFINANCE(A321,""high""),"""")"),296.0)</f>
        <v>296</v>
      </c>
      <c r="Y321" s="22">
        <f>IFERROR(__xludf.DUMMYFUNCTION("IFERROR(GOOGLEFINANCE(A321,""low""),"""")"),290.0)</f>
        <v>290</v>
      </c>
      <c r="Z321" s="22">
        <f>IFERROR(__xludf.DUMMYFUNCTION("IFERROR(GOOGLEFINANCE(A321,""volume""),"""")"),190900.0)</f>
        <v>190900</v>
      </c>
      <c r="AA321" s="24" t="str">
        <f>VLOOKUP(A321,Metrik!$C$2:$Y$959,5,0)</f>
        <v>Online Applications &amp; Services</v>
      </c>
      <c r="AB321" s="24" t="str">
        <f>VLOOKUP(A321,Metrik!$C$2:$Y$959,3,0)</f>
        <v>Technology</v>
      </c>
    </row>
    <row r="322">
      <c r="A322" s="14" t="s">
        <v>185</v>
      </c>
      <c r="B322" s="14" t="str">
        <f t="array" ref="B322">VLOOKUP(A322,{Metrik!$C$2:$C$998,Metrik!$B$2:$B$998},2,0)</f>
        <v>PT Trisula Textile Industries Tbk</v>
      </c>
      <c r="C322" s="15">
        <f>IFERROR(__xludf.DUMMYFUNCTION("GOOGLEFINANCE(""IDX:""&amp;A322,""price"")"),95.0)</f>
        <v>95</v>
      </c>
      <c r="D322" s="16" t="str">
        <f>IFERROR(__xludf.DUMMYFUNCTION("IF(A322="""","""",
SPARKLINE(
INDEX(
GOOGLEFINANCE(""IDX:""&amp;A322,""close"",TODAY()-365,TODAY()),
,2
),
{""linewidth"",1}
))
"),"#N/A")</f>
        <v>#N/A</v>
      </c>
      <c r="E322" s="26"/>
      <c r="F322" s="26"/>
      <c r="G322" s="24">
        <f t="shared" si="1"/>
        <v>0</v>
      </c>
      <c r="H322" s="19">
        <f>VLOOKUP(A322,Metrik!$C$2:$Y$959,8,0)</f>
        <v>120</v>
      </c>
      <c r="I322" s="20">
        <f>VLOOKUP(A322,Metrik!$C$2:$Y$959,9,0)</f>
        <v>2.7</v>
      </c>
      <c r="J322" s="20">
        <f>VLOOKUP(A322,Metrik!$C$2:$Y$959,10,0)</f>
        <v>2.4</v>
      </c>
      <c r="K322" s="20">
        <f>VLOOKUP(A322,Metrik!$C$2:$Y$959,11,0)</f>
        <v>1.1</v>
      </c>
      <c r="L322" s="20">
        <f>VLOOKUP(A322,Metrik!$C$2:$Y$959,12,0)</f>
        <v>1.2</v>
      </c>
      <c r="M322" s="20">
        <f>VLOOKUP(A322,Metrik!$C$2:$Y$959,19,0)</f>
        <v>4.4</v>
      </c>
      <c r="N322" s="21"/>
      <c r="O322" s="21"/>
      <c r="P322" s="21"/>
      <c r="Q322" s="21"/>
      <c r="R322" s="21"/>
      <c r="S322" s="21"/>
      <c r="T322" s="21"/>
      <c r="U322" s="22">
        <f>IFERROR(__xludf.DUMMYFUNCTION("IFERROR(GOOGLEFINANCE(A322,""closeyest""),"""")"),3.12)</f>
        <v>3.12</v>
      </c>
      <c r="V322" s="23">
        <f>IFERROR(__xludf.DUMMYFUNCTION("IFERROR(GOOGLEFINANCE(A322,""changepct""),"""")"),0.64)</f>
        <v>0.64</v>
      </c>
      <c r="W322" s="22">
        <f>IFERROR(__xludf.DUMMYFUNCTION("IFERROR(GOOGLEFINANCE(A322,""priceopen""),"""")"),3.06)</f>
        <v>3.06</v>
      </c>
      <c r="X322" s="22">
        <f>IFERROR(__xludf.DUMMYFUNCTION("IFERROR(GOOGLEFINANCE(A322,""high""),"""")"),3.14)</f>
        <v>3.14</v>
      </c>
      <c r="Y322" s="22">
        <f>IFERROR(__xludf.DUMMYFUNCTION("IFERROR(GOOGLEFINANCE(A322,""low""),"""")"),3.04)</f>
        <v>3.04</v>
      </c>
      <c r="Z322" s="22">
        <f>IFERROR(__xludf.DUMMYFUNCTION("IFERROR(GOOGLEFINANCE(A322,""volume""),"""")"),3500.0)</f>
        <v>3500</v>
      </c>
      <c r="AA322" s="24" t="str">
        <f>VLOOKUP(A322,Metrik!$C$2:$Y$959,5,0)</f>
        <v>Apparel &amp; Luxury Goods</v>
      </c>
      <c r="AB322" s="24" t="str">
        <f>VLOOKUP(A322,Metrik!$C$2:$Y$959,3,0)</f>
        <v>Consumer Cyclicals</v>
      </c>
    </row>
    <row r="323">
      <c r="A323" s="14" t="s">
        <v>186</v>
      </c>
      <c r="B323" s="14" t="str">
        <f t="array" ref="B323">VLOOKUP(A323,{Metrik!$C$2:$C$998,Metrik!$B$2:$B$998},2,0)</f>
        <v>Batulicin Nusantara Maritim Tbk.</v>
      </c>
      <c r="C323" s="15">
        <f>IFERROR(__xludf.DUMMYFUNCTION("GOOGLEFINANCE(""IDX:""&amp;A323,""price"")"),945.0)</f>
        <v>945</v>
      </c>
      <c r="D323" s="16" t="str">
        <f>IFERROR(__xludf.DUMMYFUNCTION("IF(A323="""","""",
SPARKLINE(
INDEX(
GOOGLEFINANCE(""IDX:""&amp;A323,""close"",TODAY()-365,TODAY()),
,2
),
{""linewidth"",1}
))
"),"#N/A")</f>
        <v>#N/A</v>
      </c>
      <c r="E323" s="26"/>
      <c r="F323" s="26"/>
      <c r="G323" s="24">
        <f t="shared" si="1"/>
        <v>0</v>
      </c>
      <c r="H323" s="19">
        <f>VLOOKUP(A323,Metrik!$C$2:$Y$959,8,0)</f>
        <v>120</v>
      </c>
      <c r="I323" s="20">
        <f>VLOOKUP(A323,Metrik!$C$2:$Y$959,9,0)</f>
        <v>5.2</v>
      </c>
      <c r="J323" s="20">
        <f>VLOOKUP(A323,Metrik!$C$2:$Y$959,10,0)</f>
        <v>4.3</v>
      </c>
      <c r="K323" s="20">
        <f>VLOOKUP(A323,Metrik!$C$2:$Y$959,11,0)</f>
        <v>3.9</v>
      </c>
      <c r="L323" s="20">
        <f>VLOOKUP(A323,Metrik!$C$2:$Y$959,12,0)</f>
        <v>0.09</v>
      </c>
      <c r="M323" s="20">
        <f>VLOOKUP(A323,Metrik!$C$2:$Y$959,19,0)</f>
        <v>51.8</v>
      </c>
      <c r="N323" s="21"/>
      <c r="O323" s="21"/>
      <c r="P323" s="21"/>
      <c r="Q323" s="21"/>
      <c r="R323" s="21"/>
      <c r="S323" s="21"/>
      <c r="T323" s="21"/>
      <c r="U323" s="22">
        <f>IFERROR(__xludf.DUMMYFUNCTION("IFERROR(GOOGLEFINANCE(A323,""closeyest""),"""")"),3.95)</f>
        <v>3.95</v>
      </c>
      <c r="V323" s="23">
        <f>IFERROR(__xludf.DUMMYFUNCTION("IFERROR(GOOGLEFINANCE(A323,""changepct""),"""")"),-7.09)</f>
        <v>-7.09</v>
      </c>
      <c r="W323" s="22">
        <f>IFERROR(__xludf.DUMMYFUNCTION("IFERROR(GOOGLEFINANCE(A323,""priceopen""),"""")"),3.92)</f>
        <v>3.92</v>
      </c>
      <c r="X323" s="22">
        <f>IFERROR(__xludf.DUMMYFUNCTION("IFERROR(GOOGLEFINANCE(A323,""high""),"""")"),4.05)</f>
        <v>4.05</v>
      </c>
      <c r="Y323" s="22">
        <f>IFERROR(__xludf.DUMMYFUNCTION("IFERROR(GOOGLEFINANCE(A323,""low""),"""")"),3.65)</f>
        <v>3.65</v>
      </c>
      <c r="Z323" s="22">
        <f>IFERROR(__xludf.DUMMYFUNCTION("IFERROR(GOOGLEFINANCE(A323,""volume""),"""")"),149242.0)</f>
        <v>149242</v>
      </c>
      <c r="AA323" s="24" t="str">
        <f>VLOOKUP(A323,Metrik!$C$2:$Y$959,5,0)</f>
        <v>Coal</v>
      </c>
      <c r="AB323" s="24" t="str">
        <f>VLOOKUP(A323,Metrik!$C$2:$Y$959,3,0)</f>
        <v>Energy</v>
      </c>
    </row>
    <row r="324">
      <c r="A324" s="14" t="s">
        <v>187</v>
      </c>
      <c r="B324" s="14" t="str">
        <f t="array" ref="B324">VLOOKUP(A324,{Metrik!$C$2:$C$998,Metrik!$B$2:$B$998},2,0)</f>
        <v>Bekasi Fajar Industrial Estate Tbk.</v>
      </c>
      <c r="C324" s="15">
        <f>IFERROR(__xludf.DUMMYFUNCTION("GOOGLEFINANCE(""IDX:""&amp;A324,""price"")"),97.0)</f>
        <v>97</v>
      </c>
      <c r="D324" s="16" t="str">
        <f>IFERROR(__xludf.DUMMYFUNCTION("IF(A324="""","""",
SPARKLINE(
INDEX(
GOOGLEFINANCE(""IDX:""&amp;A324,""close"",TODAY()-365,TODAY()),
,2
),
{""linewidth"",1}
))
"),"#N/A")</f>
        <v>#N/A</v>
      </c>
      <c r="E324" s="26"/>
      <c r="F324" s="26"/>
      <c r="G324" s="24">
        <f t="shared" si="1"/>
        <v>0</v>
      </c>
      <c r="H324" s="19">
        <f>VLOOKUP(A324,Metrik!$C$2:$Y$959,8,0)</f>
        <v>13.4</v>
      </c>
      <c r="I324" s="20">
        <f>VLOOKUP(A324,Metrik!$C$2:$Y$959,9,0)</f>
        <v>0.22</v>
      </c>
      <c r="J324" s="20">
        <f>VLOOKUP(A324,Metrik!$C$2:$Y$959,10,0)</f>
        <v>1.6</v>
      </c>
      <c r="K324" s="20">
        <f>VLOOKUP(A324,Metrik!$C$2:$Y$959,11,0)</f>
        <v>1.3</v>
      </c>
      <c r="L324" s="20">
        <f>VLOOKUP(A324,Metrik!$C$2:$Y$959,12,0)</f>
        <v>0.3</v>
      </c>
      <c r="M324" s="20">
        <f>VLOOKUP(A324,Metrik!$C$2:$Y$959,19,0)</f>
        <v>81</v>
      </c>
      <c r="N324" s="21"/>
      <c r="O324" s="21"/>
      <c r="P324" s="21"/>
      <c r="Q324" s="21"/>
      <c r="R324" s="21"/>
      <c r="S324" s="21"/>
      <c r="T324" s="21"/>
      <c r="U324" s="22">
        <f>IFERROR(__xludf.DUMMYFUNCTION("IFERROR(GOOGLEFINANCE(A324,""closeyest""),"""")"),12.43)</f>
        <v>12.43</v>
      </c>
      <c r="V324" s="23">
        <f>IFERROR(__xludf.DUMMYFUNCTION("IFERROR(GOOGLEFINANCE(A324,""changepct""),"""")"),-1.61)</f>
        <v>-1.61</v>
      </c>
      <c r="W324" s="22">
        <f>IFERROR(__xludf.DUMMYFUNCTION("IFERROR(GOOGLEFINANCE(A324,""priceopen""),"""")"),12.43)</f>
        <v>12.43</v>
      </c>
      <c r="X324" s="22">
        <f>IFERROR(__xludf.DUMMYFUNCTION("IFERROR(GOOGLEFINANCE(A324,""high""),"""")"),12.43)</f>
        <v>12.43</v>
      </c>
      <c r="Y324" s="22">
        <f>IFERROR(__xludf.DUMMYFUNCTION("IFERROR(GOOGLEFINANCE(A324,""low""),"""")"),12.23)</f>
        <v>12.23</v>
      </c>
      <c r="Z324" s="22" t="str">
        <f>IFERROR(__xludf.DUMMYFUNCTION("IFERROR(GOOGLEFINANCE(A324,""volume""),"""")"),"")</f>
        <v/>
      </c>
      <c r="AA324" s="24" t="str">
        <f>VLOOKUP(A324,Metrik!$C$2:$Y$959,5,0)</f>
        <v>Real Estate Management &amp; Development</v>
      </c>
      <c r="AB324" s="24" t="str">
        <f>VLOOKUP(A324,Metrik!$C$2:$Y$959,3,0)</f>
        <v>Properties &amp; Real Estate</v>
      </c>
    </row>
    <row r="325">
      <c r="A325" s="14" t="s">
        <v>188</v>
      </c>
      <c r="B325" s="14" t="str">
        <f t="array" ref="B325">VLOOKUP(A325,{Metrik!$C$2:$C$998,Metrik!$B$2:$B$998},2,0)</f>
        <v>BFI Finance Indonesia Tbk.</v>
      </c>
      <c r="C325" s="15">
        <f>IFERROR(__xludf.DUMMYFUNCTION("GOOGLEFINANCE(""IDX:""&amp;A325,""price"")"),670.0)</f>
        <v>670</v>
      </c>
      <c r="D325" s="16" t="str">
        <f>IFERROR(__xludf.DUMMYFUNCTION("IF(A325="""","""",
SPARKLINE(
INDEX(
GOOGLEFINANCE(""IDX:""&amp;A325,""close"",TODAY()-365,TODAY()),
,2
),
{""linewidth"",1}
))
"),"#N/A")</f>
        <v>#N/A</v>
      </c>
      <c r="E325" s="14" t="s">
        <v>41</v>
      </c>
      <c r="F325" s="14" t="s">
        <v>34</v>
      </c>
      <c r="G325" s="24">
        <f t="shared" si="1"/>
        <v>2</v>
      </c>
      <c r="H325" s="19">
        <f>VLOOKUP(A325,Metrik!$C$2:$Y$959,8,0)</f>
        <v>6.8</v>
      </c>
      <c r="I325" s="20">
        <f>VLOOKUP(A325,Metrik!$C$2:$Y$959,9,0)</f>
        <v>0.95</v>
      </c>
      <c r="J325" s="20">
        <f>VLOOKUP(A325,Metrik!$C$2:$Y$959,10,0)</f>
        <v>14</v>
      </c>
      <c r="K325" s="20">
        <f>VLOOKUP(A325,Metrik!$C$2:$Y$959,11,0)</f>
        <v>6.1</v>
      </c>
      <c r="L325" s="20">
        <f>VLOOKUP(A325,Metrik!$C$2:$Y$959,12,0)</f>
        <v>1.3</v>
      </c>
      <c r="M325" s="20">
        <f>VLOOKUP(A325,Metrik!$C$2:$Y$959,19,0)</f>
        <v>110</v>
      </c>
      <c r="N325" s="21"/>
      <c r="O325" s="21"/>
      <c r="P325" s="21"/>
      <c r="Q325" s="21"/>
      <c r="R325" s="21"/>
      <c r="S325" s="21"/>
      <c r="T325" s="21"/>
      <c r="U325" s="22">
        <f>IFERROR(__xludf.DUMMYFUNCTION("IFERROR(GOOGLEFINANCE(A325,""closeyest""),"""")"),28.3)</f>
        <v>28.3</v>
      </c>
      <c r="V325" s="23">
        <f>IFERROR(__xludf.DUMMYFUNCTION("IFERROR(GOOGLEFINANCE(A325,""changepct""),"""")"),1.31)</f>
        <v>1.31</v>
      </c>
      <c r="W325" s="22">
        <f>IFERROR(__xludf.DUMMYFUNCTION("IFERROR(GOOGLEFINANCE(A325,""priceopen""),"""")"),28.67)</f>
        <v>28.67</v>
      </c>
      <c r="X325" s="22">
        <f>IFERROR(__xludf.DUMMYFUNCTION("IFERROR(GOOGLEFINANCE(A325,""high""),"""")"),28.67)</f>
        <v>28.67</v>
      </c>
      <c r="Y325" s="22">
        <f>IFERROR(__xludf.DUMMYFUNCTION("IFERROR(GOOGLEFINANCE(A325,""low""),"""")"),28.67)</f>
        <v>28.67</v>
      </c>
      <c r="Z325" s="22">
        <f>IFERROR(__xludf.DUMMYFUNCTION("IFERROR(GOOGLEFINANCE(A325,""volume""),"""")"),300.0)</f>
        <v>300</v>
      </c>
      <c r="AA325" s="24" t="str">
        <f>VLOOKUP(A325,Metrik!$C$2:$Y$959,5,0)</f>
        <v>Consumer Financing</v>
      </c>
      <c r="AB325" s="24" t="str">
        <f>VLOOKUP(A325,Metrik!$C$2:$Y$959,3,0)</f>
        <v>Financials</v>
      </c>
    </row>
    <row r="326">
      <c r="A326" s="17" t="s">
        <v>188</v>
      </c>
      <c r="B326" s="14" t="str">
        <f t="array" ref="B326">VLOOKUP(A326,{Metrik!$C$2:$C$998,Metrik!$B$2:$B$998},2,0)</f>
        <v>BFI Finance Indonesia Tbk.</v>
      </c>
      <c r="C326" s="15">
        <f>IFERROR(__xludf.DUMMYFUNCTION("GOOGLEFINANCE(""IDX:""&amp;A326,""price"")"),670.0)</f>
        <v>670</v>
      </c>
      <c r="D326" s="16" t="str">
        <f>IFERROR(__xludf.DUMMYFUNCTION("IF(A326="""","""",
SPARKLINE(
INDEX(
GOOGLEFINANCE(""IDX:""&amp;A326,""close"",TODAY()-365,TODAY()),
,2
),
{""linewidth"",1}
))
"),"#N/A")</f>
        <v>#N/A</v>
      </c>
      <c r="E326" s="14" t="s">
        <v>35</v>
      </c>
      <c r="F326" s="17" t="s">
        <v>36</v>
      </c>
      <c r="G326" s="24">
        <f t="shared" si="1"/>
        <v>2</v>
      </c>
      <c r="H326" s="19">
        <f>VLOOKUP(A326,Metrik!$C$2:$Y$959,8,0)</f>
        <v>6.8</v>
      </c>
      <c r="I326" s="20">
        <f>VLOOKUP(A326,Metrik!$C$2:$Y$959,9,0)</f>
        <v>0.95</v>
      </c>
      <c r="J326" s="20">
        <f>VLOOKUP(A326,Metrik!$C$2:$Y$959,10,0)</f>
        <v>14</v>
      </c>
      <c r="K326" s="20">
        <f>VLOOKUP(A326,Metrik!$C$2:$Y$959,11,0)</f>
        <v>6.1</v>
      </c>
      <c r="L326" s="20">
        <f>VLOOKUP(A326,Metrik!$C$2:$Y$959,12,0)</f>
        <v>1.3</v>
      </c>
      <c r="M326" s="20">
        <f>VLOOKUP(A326,Metrik!$C$2:$Y$959,19,0)</f>
        <v>110</v>
      </c>
      <c r="N326" s="21"/>
      <c r="O326" s="21"/>
      <c r="P326" s="21"/>
      <c r="Q326" s="21"/>
      <c r="R326" s="21"/>
      <c r="S326" s="21"/>
      <c r="T326" s="21"/>
      <c r="U326" s="22">
        <f>IFERROR(__xludf.DUMMYFUNCTION("IFERROR(GOOGLEFINANCE(A326,""closeyest""),"""")"),28.3)</f>
        <v>28.3</v>
      </c>
      <c r="V326" s="23">
        <f>IFERROR(__xludf.DUMMYFUNCTION("IFERROR(GOOGLEFINANCE(A326,""changepct""),"""")"),1.31)</f>
        <v>1.31</v>
      </c>
      <c r="W326" s="22">
        <f>IFERROR(__xludf.DUMMYFUNCTION("IFERROR(GOOGLEFINANCE(A326,""priceopen""),"""")"),28.67)</f>
        <v>28.67</v>
      </c>
      <c r="X326" s="22">
        <f>IFERROR(__xludf.DUMMYFUNCTION("IFERROR(GOOGLEFINANCE(A326,""high""),"""")"),28.67)</f>
        <v>28.67</v>
      </c>
      <c r="Y326" s="22">
        <f>IFERROR(__xludf.DUMMYFUNCTION("IFERROR(GOOGLEFINANCE(A326,""low""),"""")"),28.67)</f>
        <v>28.67</v>
      </c>
      <c r="Z326" s="22">
        <f>IFERROR(__xludf.DUMMYFUNCTION("IFERROR(GOOGLEFINANCE(A326,""volume""),"""")"),300.0)</f>
        <v>300</v>
      </c>
      <c r="AA326" s="24" t="str">
        <f>VLOOKUP(A326,Metrik!$C$2:$Y$959,5,0)</f>
        <v>Consumer Financing</v>
      </c>
      <c r="AB326" s="24" t="str">
        <f>VLOOKUP(A326,Metrik!$C$2:$Y$959,3,0)</f>
        <v>Financials</v>
      </c>
    </row>
    <row r="327" ht="183.0" customHeight="1">
      <c r="A327" s="14" t="s">
        <v>189</v>
      </c>
      <c r="B327" s="14" t="str">
        <f t="array" ref="B327">VLOOKUP(A327,{Metrik!$C$2:$C$998,Metrik!$B$2:$B$998},2,0)</f>
        <v>PT Bank Ganesha Tbk.</v>
      </c>
      <c r="C327" s="15">
        <f>IFERROR(__xludf.DUMMYFUNCTION("GOOGLEFINANCE(""IDX:""&amp;A327,""price"")"),104.0)</f>
        <v>104</v>
      </c>
      <c r="D327" s="16" t="str">
        <f>IFERROR(__xludf.DUMMYFUNCTION("IF(A327="""","""",
SPARKLINE(
INDEX(
GOOGLEFINANCE(""IDX:""&amp;A327,""close"",TODAY()-365,TODAY()),
,2
),
{""linewidth"",1}
))
"),"#N/A")</f>
        <v>#N/A</v>
      </c>
      <c r="E327" s="26"/>
      <c r="F327" s="26"/>
      <c r="G327" s="24">
        <f t="shared" si="1"/>
        <v>0</v>
      </c>
      <c r="H327" s="19">
        <f>VLOOKUP(A327,Metrik!$C$2:$Y$959,8,0)</f>
        <v>12</v>
      </c>
      <c r="I327" s="20">
        <f>VLOOKUP(A327,Metrik!$C$2:$Y$959,9,0)</f>
        <v>0.75</v>
      </c>
      <c r="J327" s="20">
        <f>VLOOKUP(A327,Metrik!$C$2:$Y$959,10,0)</f>
        <v>6.2</v>
      </c>
      <c r="K327" s="20">
        <f>VLOOKUP(A327,Metrik!$C$2:$Y$959,11,0)</f>
        <v>2.2</v>
      </c>
      <c r="L327" s="20">
        <f>VLOOKUP(A327,Metrik!$C$2:$Y$959,12,0)</f>
        <v>1.8</v>
      </c>
      <c r="M327" s="20">
        <f>VLOOKUP(A327,Metrik!$C$2:$Y$959,19,0)</f>
        <v>130</v>
      </c>
      <c r="N327" s="32">
        <v>3.55</v>
      </c>
      <c r="O327" s="32">
        <v>77.52</v>
      </c>
      <c r="P327" s="32">
        <v>78.73</v>
      </c>
      <c r="Q327" s="32">
        <v>1.4</v>
      </c>
      <c r="R327" s="32">
        <v>89.2</v>
      </c>
      <c r="S327" s="32">
        <v>72.15</v>
      </c>
      <c r="T327" s="32">
        <v>8.11</v>
      </c>
      <c r="U327" s="22">
        <f>IFERROR(__xludf.DUMMYFUNCTION("IFERROR(GOOGLEFINANCE(A327,""closeyest""),"""")"),101.0)</f>
        <v>101</v>
      </c>
      <c r="V327" s="23">
        <f>IFERROR(__xludf.DUMMYFUNCTION("IFERROR(GOOGLEFINANCE(A327,""changepct""),"""")"),2.97)</f>
        <v>2.97</v>
      </c>
      <c r="W327" s="22">
        <f>IFERROR(__xludf.DUMMYFUNCTION("IFERROR(GOOGLEFINANCE(A327,""priceopen""),"""")"),102.0)</f>
        <v>102</v>
      </c>
      <c r="X327" s="22">
        <f>IFERROR(__xludf.DUMMYFUNCTION("IFERROR(GOOGLEFINANCE(A327,""high""),"""")"),105.0)</f>
        <v>105</v>
      </c>
      <c r="Y327" s="22">
        <f>IFERROR(__xludf.DUMMYFUNCTION("IFERROR(GOOGLEFINANCE(A327,""low""),"""")"),101.0)</f>
        <v>101</v>
      </c>
      <c r="Z327" s="22">
        <f>IFERROR(__xludf.DUMMYFUNCTION("IFERROR(GOOGLEFINANCE(A327,""volume""),"""")"),3848600.0)</f>
        <v>3848600</v>
      </c>
      <c r="AA327" s="24" t="str">
        <f>VLOOKUP(A327,Metrik!$C$2:$Y$959,5,0)</f>
        <v>Banks</v>
      </c>
      <c r="AB327" s="24" t="str">
        <f>VLOOKUP(A327,Metrik!$C$2:$Y$959,3,0)</f>
        <v>Financials</v>
      </c>
    </row>
    <row r="328">
      <c r="A328" s="14" t="s">
        <v>190</v>
      </c>
      <c r="B328" s="14" t="str">
        <f t="array" ref="B328">VLOOKUP(A328,{Metrik!$C$2:$C$998,Metrik!$B$2:$B$998},2,0)</f>
        <v>Bhakti Multi Artha Tbk.</v>
      </c>
      <c r="C328" s="15">
        <f>IFERROR(__xludf.DUMMYFUNCTION("GOOGLEFINANCE(""IDX:""&amp;A328,""price"")"),1040.0)</f>
        <v>1040</v>
      </c>
      <c r="D328" s="16" t="str">
        <f>IFERROR(__xludf.DUMMYFUNCTION("IF(A328="""","""",
SPARKLINE(
INDEX(
GOOGLEFINANCE(""IDX:""&amp;A328,""close"",TODAY()-365,TODAY()),
,2
),
{""linewidth"",1}
))
"),"#N/A")</f>
        <v>#N/A</v>
      </c>
      <c r="E328" s="26"/>
      <c r="F328" s="26"/>
      <c r="G328" s="24">
        <f t="shared" si="1"/>
        <v>0</v>
      </c>
      <c r="H328" s="19">
        <f>VLOOKUP(A328,Metrik!$C$2:$Y$959,8,0)</f>
        <v>-14000</v>
      </c>
      <c r="I328" s="20">
        <f>VLOOKUP(A328,Metrik!$C$2:$Y$959,9,0)</f>
        <v>8.1</v>
      </c>
      <c r="J328" s="20">
        <f>VLOOKUP(A328,Metrik!$C$2:$Y$959,10,0)</f>
        <v>-0.06</v>
      </c>
      <c r="K328" s="20">
        <f>VLOOKUP(A328,Metrik!$C$2:$Y$959,11,0)</f>
        <v>-0.03</v>
      </c>
      <c r="L328" s="20">
        <f>VLOOKUP(A328,Metrik!$C$2:$Y$959,12,0)</f>
        <v>1</v>
      </c>
      <c r="M328" s="20">
        <f>VLOOKUP(A328,Metrik!$C$2:$Y$959,19,0)</f>
        <v>-0.32</v>
      </c>
      <c r="N328" s="21"/>
      <c r="O328" s="21"/>
      <c r="P328" s="21"/>
      <c r="Q328" s="21"/>
      <c r="R328" s="21"/>
      <c r="S328" s="21"/>
      <c r="T328" s="21"/>
      <c r="U328" s="22">
        <f>IFERROR(__xludf.DUMMYFUNCTION("IFERROR(GOOGLEFINANCE(A328,""closeyest""),"""")"),1040.0)</f>
        <v>1040</v>
      </c>
      <c r="V328" s="23">
        <f>IFERROR(__xludf.DUMMYFUNCTION("IFERROR(GOOGLEFINANCE(A328,""changepct""),"""")"),0.0)</f>
        <v>0</v>
      </c>
      <c r="W328" s="22">
        <f>IFERROR(__xludf.DUMMYFUNCTION("IFERROR(GOOGLEFINANCE(A328,""priceopen""),"""")"),1040.0)</f>
        <v>1040</v>
      </c>
      <c r="X328" s="22">
        <f>IFERROR(__xludf.DUMMYFUNCTION("IFERROR(GOOGLEFINANCE(A328,""high""),"""")"),1050.0)</f>
        <v>1050</v>
      </c>
      <c r="Y328" s="22">
        <f>IFERROR(__xludf.DUMMYFUNCTION("IFERROR(GOOGLEFINANCE(A328,""low""),"""")"),1040.0)</f>
        <v>1040</v>
      </c>
      <c r="Z328" s="22">
        <f>IFERROR(__xludf.DUMMYFUNCTION("IFERROR(GOOGLEFINANCE(A328,""volume""),"""")"),1400.0)</f>
        <v>1400</v>
      </c>
      <c r="AA328" s="24" t="str">
        <f>VLOOKUP(A328,Metrik!$C$2:$Y$959,5,0)</f>
        <v>Insurance</v>
      </c>
      <c r="AB328" s="24" t="str">
        <f>VLOOKUP(A328,Metrik!$C$2:$Y$959,3,0)</f>
        <v>Financials</v>
      </c>
    </row>
    <row r="329">
      <c r="A329" s="14" t="s">
        <v>191</v>
      </c>
      <c r="B329" s="14" t="str">
        <f t="array" ref="B329">VLOOKUP(A329,{Metrik!$C$2:$C$998,Metrik!$B$2:$B$998},2,0)</f>
        <v>PT MNC Investama Tbk.</v>
      </c>
      <c r="C329" s="15">
        <f>IFERROR(__xludf.DUMMYFUNCTION("GOOGLEFINANCE(""IDX:""&amp;A329,""price"")"),27.0)</f>
        <v>27</v>
      </c>
      <c r="D329" s="16" t="str">
        <f>IFERROR(__xludf.DUMMYFUNCTION("IF(A329="""","""",
SPARKLINE(
INDEX(
GOOGLEFINANCE(""IDX:""&amp;A329,""close"",TODAY()-365,TODAY()),
,2
),
{""linewidth"",1}
))
"),"#N/A")</f>
        <v>#N/A</v>
      </c>
      <c r="E329" s="26"/>
      <c r="F329" s="26"/>
      <c r="G329" s="24">
        <f t="shared" si="1"/>
        <v>0</v>
      </c>
      <c r="H329" s="19">
        <f>VLOOKUP(A329,Metrik!$C$2:$Y$959,8,0)</f>
        <v>5.3</v>
      </c>
      <c r="I329" s="20">
        <f>VLOOKUP(A329,Metrik!$C$2:$Y$959,9,0)</f>
        <v>0.06</v>
      </c>
      <c r="J329" s="20">
        <f>VLOOKUP(A329,Metrik!$C$2:$Y$959,10,0)</f>
        <v>1.2</v>
      </c>
      <c r="K329" s="20">
        <f>VLOOKUP(A329,Metrik!$C$2:$Y$959,11,0)</f>
        <v>0.65</v>
      </c>
      <c r="L329" s="20">
        <f>VLOOKUP(A329,Metrik!$C$2:$Y$959,12,0)</f>
        <v>0.85</v>
      </c>
      <c r="M329" s="20">
        <f>VLOOKUP(A329,Metrik!$C$2:$Y$959,19,0)</f>
        <v>13.2</v>
      </c>
      <c r="N329" s="21"/>
      <c r="O329" s="21"/>
      <c r="P329" s="21"/>
      <c r="Q329" s="21"/>
      <c r="R329" s="21"/>
      <c r="S329" s="21"/>
      <c r="T329" s="21"/>
      <c r="U329" s="22" t="str">
        <f>IFERROR(__xludf.DUMMYFUNCTION("IFERROR(GOOGLEFINANCE(A329,""closeyest""),"""")"),"")</f>
        <v/>
      </c>
      <c r="V329" s="23">
        <f>IFERROR(__xludf.DUMMYFUNCTION("IFERROR(GOOGLEFINANCE(A329,""changepct""),"""")"),0.0)</f>
        <v>0</v>
      </c>
      <c r="W329" s="22">
        <f>IFERROR(__xludf.DUMMYFUNCTION("IFERROR(GOOGLEFINANCE(A329,""priceopen""),"""")"),26.0)</f>
        <v>26</v>
      </c>
      <c r="X329" s="22">
        <f>IFERROR(__xludf.DUMMYFUNCTION("IFERROR(GOOGLEFINANCE(A329,""high""),"""")"),27.0)</f>
        <v>27</v>
      </c>
      <c r="Y329" s="22">
        <f>IFERROR(__xludf.DUMMYFUNCTION("IFERROR(GOOGLEFINANCE(A329,""low""),"""")"),26.0)</f>
        <v>26</v>
      </c>
      <c r="Z329" s="22">
        <f>IFERROR(__xludf.DUMMYFUNCTION("IFERROR(GOOGLEFINANCE(A329,""volume""),"""")"),7314700.0)</f>
        <v>7314700</v>
      </c>
      <c r="AA329" s="24" t="str">
        <f>VLOOKUP(A329,Metrik!$C$2:$Y$959,5,0)</f>
        <v>Multi-sector Holdings</v>
      </c>
      <c r="AB329" s="24" t="str">
        <f>VLOOKUP(A329,Metrik!$C$2:$Y$959,3,0)</f>
        <v>Industrials</v>
      </c>
    </row>
    <row r="330">
      <c r="A330" s="14" t="s">
        <v>192</v>
      </c>
      <c r="B330" s="14" t="str">
        <f t="array" ref="B330">VLOOKUP(A330,{Metrik!$C$2:$C$998,Metrik!$B$2:$B$998},2,0)</f>
        <v>Binakarya Jaya Abadi Tbk.</v>
      </c>
      <c r="C330" s="15">
        <f>IFERROR(__xludf.DUMMYFUNCTION("GOOGLEFINANCE(""IDX:""&amp;A330,""price"")"),55.0)</f>
        <v>55</v>
      </c>
      <c r="D330" s="16" t="str">
        <f>IFERROR(__xludf.DUMMYFUNCTION("IF(A330="""","""",
SPARKLINE(
INDEX(
GOOGLEFINANCE(""IDX:""&amp;A330,""close"",TODAY()-365,TODAY()),
,2
),
{""linewidth"",1}
))
"),"#N/A")</f>
        <v>#N/A</v>
      </c>
      <c r="E330" s="26"/>
      <c r="F330" s="26"/>
      <c r="G330" s="24">
        <f t="shared" si="1"/>
        <v>0</v>
      </c>
      <c r="H330" s="19">
        <f>VLOOKUP(A330,Metrik!$C$2:$Y$959,8,0)</f>
        <v>0</v>
      </c>
      <c r="I330" s="20">
        <f>VLOOKUP(A330,Metrik!$C$2:$Y$959,9,0)</f>
        <v>-0.07</v>
      </c>
      <c r="J330" s="20">
        <f>VLOOKUP(A330,Metrik!$C$2:$Y$959,10,0)</f>
        <v>0</v>
      </c>
      <c r="K330" s="20">
        <f>VLOOKUP(A330,Metrik!$C$2:$Y$959,11,0)</f>
        <v>-1.7</v>
      </c>
      <c r="L330" s="20">
        <f>VLOOKUP(A330,Metrik!$C$2:$Y$959,12,0)</f>
        <v>-7.7</v>
      </c>
      <c r="M330" s="20">
        <f>VLOOKUP(A330,Metrik!$C$2:$Y$959,19,0)</f>
        <v>-54.4</v>
      </c>
      <c r="N330" s="21"/>
      <c r="O330" s="21"/>
      <c r="P330" s="21"/>
      <c r="Q330" s="21"/>
      <c r="R330" s="21"/>
      <c r="S330" s="21"/>
      <c r="T330" s="21"/>
      <c r="U330" s="22">
        <f>IFERROR(__xludf.DUMMYFUNCTION("IFERROR(GOOGLEFINANCE(A330,""closeyest""),"""")"),55.0)</f>
        <v>55</v>
      </c>
      <c r="V330" s="23">
        <f>IFERROR(__xludf.DUMMYFUNCTION("IFERROR(GOOGLEFINANCE(A330,""changepct""),"""")"),0.0)</f>
        <v>0</v>
      </c>
      <c r="W330" s="22" t="str">
        <f>IFERROR(__xludf.DUMMYFUNCTION("IFERROR(GOOGLEFINANCE(A330,""priceopen""),"""")"),"")</f>
        <v/>
      </c>
      <c r="X330" s="22" t="str">
        <f>IFERROR(__xludf.DUMMYFUNCTION("IFERROR(GOOGLEFINANCE(A330,""high""),"""")"),"")</f>
        <v/>
      </c>
      <c r="Y330" s="22" t="str">
        <f>IFERROR(__xludf.DUMMYFUNCTION("IFERROR(GOOGLEFINANCE(A330,""low""),"""")"),"")</f>
        <v/>
      </c>
      <c r="Z330" s="22">
        <f>IFERROR(__xludf.DUMMYFUNCTION("IFERROR(GOOGLEFINANCE(A330,""volume""),"""")"),0.0)</f>
        <v>0</v>
      </c>
      <c r="AA330" s="24" t="str">
        <f>VLOOKUP(A330,Metrik!$C$2:$Y$959,5,0)</f>
        <v>Real Estate Management &amp; Development</v>
      </c>
      <c r="AB330" s="24" t="str">
        <f>VLOOKUP(A330,Metrik!$C$2:$Y$959,3,0)</f>
        <v>Properties &amp; Real Estate</v>
      </c>
    </row>
    <row r="331">
      <c r="A331" s="14" t="s">
        <v>193</v>
      </c>
      <c r="B331" s="14" t="str">
        <f t="array" ref="B331">VLOOKUP(A331,{Metrik!$C$2:$C$998,Metrik!$B$2:$B$998},2,0)</f>
        <v>Sepeda Bersama Indonesia Tbk.</v>
      </c>
      <c r="C331" s="15">
        <f>IFERROR(__xludf.DUMMYFUNCTION("GOOGLEFINANCE(""IDX:""&amp;A331,""price"")"),510.0)</f>
        <v>510</v>
      </c>
      <c r="D331" s="16" t="str">
        <f>IFERROR(__xludf.DUMMYFUNCTION("IF(A331="""","""",
SPARKLINE(
INDEX(
GOOGLEFINANCE(""IDX:""&amp;A331,""close"",TODAY()-365,TODAY()),
,2
),
{""linewidth"",1}
))
"),"#N/A")</f>
        <v>#N/A</v>
      </c>
      <c r="E331" s="26"/>
      <c r="F331" s="26"/>
      <c r="G331" s="24">
        <f t="shared" si="1"/>
        <v>0</v>
      </c>
      <c r="H331" s="19">
        <f>VLOOKUP(A331,Metrik!$C$2:$Y$959,8,0)</f>
        <v>-27</v>
      </c>
      <c r="I331" s="20">
        <f>VLOOKUP(A331,Metrik!$C$2:$Y$959,9,0)</f>
        <v>7.8</v>
      </c>
      <c r="J331" s="20">
        <f>VLOOKUP(A331,Metrik!$C$2:$Y$959,10,0)</f>
        <v>-28.9</v>
      </c>
      <c r="K331" s="20">
        <f>VLOOKUP(A331,Metrik!$C$2:$Y$959,11,0)</f>
        <v>-8</v>
      </c>
      <c r="L331" s="20">
        <f>VLOOKUP(A331,Metrik!$C$2:$Y$959,12,0)</f>
        <v>2.6</v>
      </c>
      <c r="M331" s="20">
        <f>VLOOKUP(A331,Metrik!$C$2:$Y$959,19,0)</f>
        <v>-7</v>
      </c>
      <c r="N331" s="21"/>
      <c r="O331" s="21"/>
      <c r="P331" s="21"/>
      <c r="Q331" s="21"/>
      <c r="R331" s="21"/>
      <c r="S331" s="21"/>
      <c r="T331" s="21"/>
      <c r="U331" s="22">
        <f>IFERROR(__xludf.DUMMYFUNCTION("IFERROR(GOOGLEFINANCE(A331,""closeyest""),"""")"),2.89)</f>
        <v>2.89</v>
      </c>
      <c r="V331" s="23">
        <f>IFERROR(__xludf.DUMMYFUNCTION("IFERROR(GOOGLEFINANCE(A331,""changepct""),"""")"),-2.08)</f>
        <v>-2.08</v>
      </c>
      <c r="W331" s="22">
        <f>IFERROR(__xludf.DUMMYFUNCTION("IFERROR(GOOGLEFINANCE(A331,""priceopen""),"""")"),2.84)</f>
        <v>2.84</v>
      </c>
      <c r="X331" s="22" t="str">
        <f>IFERROR(__xludf.DUMMYFUNCTION("IFERROR(GOOGLEFINANCE(A331,""high""),"""")"),"")</f>
        <v/>
      </c>
      <c r="Y331" s="22">
        <f>IFERROR(__xludf.DUMMYFUNCTION("IFERROR(GOOGLEFINANCE(A331,""low""),"""")"),2.83)</f>
        <v>2.83</v>
      </c>
      <c r="Z331" s="22">
        <f>IFERROR(__xludf.DUMMYFUNCTION("IFERROR(GOOGLEFINANCE(A331,""volume""),"""")"),0.0)</f>
        <v>0</v>
      </c>
      <c r="AA331" s="24" t="str">
        <f>VLOOKUP(A331,Metrik!$C$2:$Y$959,5,0)</f>
        <v>Sport Equipment &amp; Hobbies Goods</v>
      </c>
      <c r="AB331" s="24" t="str">
        <f>VLOOKUP(A331,Metrik!$C$2:$Y$959,3,0)</f>
        <v>Consumer Cyclicals</v>
      </c>
    </row>
    <row r="332">
      <c r="A332" s="14" t="s">
        <v>194</v>
      </c>
      <c r="B332" s="14" t="str">
        <f t="array" ref="B332">VLOOKUP(A332,{Metrik!$C$2:$C$998,Metrik!$B$2:$B$998},2,0)</f>
        <v>Primarindo Asia Infrastructure Tbk.</v>
      </c>
      <c r="C332" s="15">
        <f>IFERROR(__xludf.DUMMYFUNCTION("GOOGLEFINANCE(""IDX:""&amp;A332,""price"")"),82.0)</f>
        <v>82</v>
      </c>
      <c r="D332" s="16" t="str">
        <f>IFERROR(__xludf.DUMMYFUNCTION("IF(A332="""","""",
SPARKLINE(
INDEX(
GOOGLEFINANCE(""IDX:""&amp;A332,""close"",TODAY()-365,TODAY()),
,2
),
{""linewidth"",1}
))
"),"#N/A")</f>
        <v>#N/A</v>
      </c>
      <c r="E332" s="26"/>
      <c r="F332" s="26"/>
      <c r="G332" s="24">
        <f t="shared" si="1"/>
        <v>0</v>
      </c>
      <c r="H332" s="19">
        <f>VLOOKUP(A332,Metrik!$C$2:$Y$959,8,0)</f>
        <v>-2.2</v>
      </c>
      <c r="I332" s="20">
        <f>VLOOKUP(A332,Metrik!$C$2:$Y$959,9,0)</f>
        <v>1.6</v>
      </c>
      <c r="J332" s="20">
        <f>VLOOKUP(A332,Metrik!$C$2:$Y$959,10,0)</f>
        <v>-71.2</v>
      </c>
      <c r="K332" s="20">
        <f>VLOOKUP(A332,Metrik!$C$2:$Y$959,11,0)</f>
        <v>-7.6</v>
      </c>
      <c r="L332" s="20">
        <f>VLOOKUP(A332,Metrik!$C$2:$Y$959,12,0)</f>
        <v>8.4</v>
      </c>
      <c r="M332" s="20">
        <f>VLOOKUP(A332,Metrik!$C$2:$Y$959,19,0)</f>
        <v>-160</v>
      </c>
      <c r="N332" s="21"/>
      <c r="O332" s="21"/>
      <c r="P332" s="21"/>
      <c r="Q332" s="21"/>
      <c r="R332" s="21"/>
      <c r="S332" s="21"/>
      <c r="T332" s="21"/>
      <c r="U332" s="22">
        <f>IFERROR(__xludf.DUMMYFUNCTION("IFERROR(GOOGLEFINANCE(A332,""closeyest""),"""")"),82.0)</f>
        <v>82</v>
      </c>
      <c r="V332" s="23">
        <f>IFERROR(__xludf.DUMMYFUNCTION("IFERROR(GOOGLEFINANCE(A332,""changepct""),"""")"),0.0)</f>
        <v>0</v>
      </c>
      <c r="W332" s="22" t="str">
        <f>IFERROR(__xludf.DUMMYFUNCTION("IFERROR(GOOGLEFINANCE(A332,""priceopen""),"""")"),"")</f>
        <v/>
      </c>
      <c r="X332" s="22" t="str">
        <f>IFERROR(__xludf.DUMMYFUNCTION("IFERROR(GOOGLEFINANCE(A332,""high""),"""")"),"")</f>
        <v/>
      </c>
      <c r="Y332" s="22" t="str">
        <f>IFERROR(__xludf.DUMMYFUNCTION("IFERROR(GOOGLEFINANCE(A332,""low""),"""")"),"")</f>
        <v/>
      </c>
      <c r="Z332" s="22">
        <f>IFERROR(__xludf.DUMMYFUNCTION("IFERROR(GOOGLEFINANCE(A332,""volume""),"""")"),0.0)</f>
        <v>0</v>
      </c>
      <c r="AA332" s="24" t="str">
        <f>VLOOKUP(A332,Metrik!$C$2:$Y$959,5,0)</f>
        <v>Apparel &amp; Luxury Goods</v>
      </c>
      <c r="AB332" s="24" t="str">
        <f>VLOOKUP(A332,Metrik!$C$2:$Y$959,3,0)</f>
        <v>Consumer Cyclicals</v>
      </c>
    </row>
    <row r="333">
      <c r="A333" s="14" t="s">
        <v>195</v>
      </c>
      <c r="B333" s="14" t="str">
        <f t="array" ref="B333">VLOOKUP(A333,{Metrik!$C$2:$C$998,Metrik!$B$2:$B$998},2,0)</f>
        <v>PT Bank Ina Perdana Tbk.</v>
      </c>
      <c r="C333" s="15">
        <f>IFERROR(__xludf.DUMMYFUNCTION("GOOGLEFINANCE(""IDX:""&amp;A333,""price"")"),3880.0)</f>
        <v>3880</v>
      </c>
      <c r="D333" s="16" t="str">
        <f>IFERROR(__xludf.DUMMYFUNCTION("IF(A333="""","""",
SPARKLINE(
INDEX(
GOOGLEFINANCE(""IDX:""&amp;A333,""close"",TODAY()-365,TODAY()),
,2
),
{""linewidth"",1}
))
"),"#N/A")</f>
        <v>#N/A</v>
      </c>
      <c r="E333" s="26"/>
      <c r="F333" s="26"/>
      <c r="G333" s="24">
        <f t="shared" si="1"/>
        <v>0</v>
      </c>
      <c r="H333" s="19">
        <f>VLOOKUP(A333,Metrik!$C$2:$Y$959,8,0)</f>
        <v>-81.5</v>
      </c>
      <c r="I333" s="20">
        <f>VLOOKUP(A333,Metrik!$C$2:$Y$959,9,0)</f>
        <v>8.7</v>
      </c>
      <c r="J333" s="20">
        <f>VLOOKUP(A333,Metrik!$C$2:$Y$959,10,0)</f>
        <v>-10.7</v>
      </c>
      <c r="K333" s="20">
        <f>VLOOKUP(A333,Metrik!$C$2:$Y$959,11,0)</f>
        <v>-1.1</v>
      </c>
      <c r="L333" s="20">
        <f>VLOOKUP(A333,Metrik!$C$2:$Y$959,12,0)</f>
        <v>9.1</v>
      </c>
      <c r="M333" s="20">
        <f>VLOOKUP(A333,Metrik!$C$2:$Y$959,19,0)</f>
        <v>-65.7</v>
      </c>
      <c r="N333" s="32">
        <v>2.85</v>
      </c>
      <c r="O333" s="32">
        <v>22.4</v>
      </c>
      <c r="P333" s="32">
        <v>70.15</v>
      </c>
      <c r="Q333" s="32">
        <v>4.12</v>
      </c>
      <c r="R333" s="32">
        <v>95.15</v>
      </c>
      <c r="S333" s="32">
        <v>80.12</v>
      </c>
      <c r="T333" s="32">
        <v>12.4</v>
      </c>
      <c r="U333" s="22">
        <f>IFERROR(__xludf.DUMMYFUNCTION("IFERROR(GOOGLEFINANCE(A333,""closeyest""),"""")"),3870.0)</f>
        <v>3870</v>
      </c>
      <c r="V333" s="23">
        <f>IFERROR(__xludf.DUMMYFUNCTION("IFERROR(GOOGLEFINANCE(A333,""changepct""),"""")"),0.26)</f>
        <v>0.26</v>
      </c>
      <c r="W333" s="22">
        <f>IFERROR(__xludf.DUMMYFUNCTION("IFERROR(GOOGLEFINANCE(A333,""priceopen""),"""")"),3900.0)</f>
        <v>3900</v>
      </c>
      <c r="X333" s="22">
        <f>IFERROR(__xludf.DUMMYFUNCTION("IFERROR(GOOGLEFINANCE(A333,""high""),"""")"),3900.0)</f>
        <v>3900</v>
      </c>
      <c r="Y333" s="22">
        <f>IFERROR(__xludf.DUMMYFUNCTION("IFERROR(GOOGLEFINANCE(A333,""low""),"""")"),3880.0)</f>
        <v>3880</v>
      </c>
      <c r="Z333" s="22">
        <f>IFERROR(__xludf.DUMMYFUNCTION("IFERROR(GOOGLEFINANCE(A333,""volume""),"""")"),55200.0)</f>
        <v>55200</v>
      </c>
      <c r="AA333" s="24" t="str">
        <f>VLOOKUP(A333,Metrik!$C$2:$Y$959,5,0)</f>
        <v>Banks</v>
      </c>
      <c r="AB333" s="24" t="str">
        <f>VLOOKUP(A333,Metrik!$C$2:$Y$959,3,0)</f>
        <v>Financials</v>
      </c>
    </row>
    <row r="334">
      <c r="A334" s="14" t="s">
        <v>196</v>
      </c>
      <c r="B334" s="14" t="str">
        <f t="array" ref="B334">VLOOKUP(A334,{Metrik!$C$2:$C$998,Metrik!$B$2:$B$998},2,0)</f>
        <v>Perma Plasindo Tbk.</v>
      </c>
      <c r="C334" s="15">
        <f>IFERROR(__xludf.DUMMYFUNCTION("GOOGLEFINANCE(""IDX:""&amp;A334,""price"")"),103.0)</f>
        <v>103</v>
      </c>
      <c r="D334" s="16" t="str">
        <f>IFERROR(__xludf.DUMMYFUNCTION("IF(A334="""","""",
SPARKLINE(
INDEX(
GOOGLEFINANCE(""IDX:""&amp;A334,""close"",TODAY()-365,TODAY()),
,2
),
{""linewidth"",1}
))
"),"#N/A")</f>
        <v>#N/A</v>
      </c>
      <c r="E334" s="26"/>
      <c r="F334" s="26"/>
      <c r="G334" s="24">
        <f t="shared" si="1"/>
        <v>0</v>
      </c>
      <c r="H334" s="19">
        <f>VLOOKUP(A334,Metrik!$C$2:$Y$959,8,0)</f>
        <v>-13.5</v>
      </c>
      <c r="I334" s="20">
        <f>VLOOKUP(A334,Metrik!$C$2:$Y$959,9,0)</f>
        <v>0.61</v>
      </c>
      <c r="J334" s="20">
        <f>VLOOKUP(A334,Metrik!$C$2:$Y$959,10,0)</f>
        <v>-4.5</v>
      </c>
      <c r="K334" s="20">
        <f>VLOOKUP(A334,Metrik!$C$2:$Y$959,11,0)</f>
        <v>-3.2</v>
      </c>
      <c r="L334" s="20">
        <f>VLOOKUP(A334,Metrik!$C$2:$Y$959,12,0)</f>
        <v>0.41</v>
      </c>
      <c r="M334" s="20">
        <f>VLOOKUP(A334,Metrik!$C$2:$Y$959,19,0)</f>
        <v>-17.1</v>
      </c>
      <c r="N334" s="21"/>
      <c r="O334" s="21"/>
      <c r="P334" s="21"/>
      <c r="Q334" s="21"/>
      <c r="R334" s="21"/>
      <c r="S334" s="21"/>
      <c r="T334" s="21"/>
      <c r="U334" s="22">
        <f>IFERROR(__xludf.DUMMYFUNCTION("IFERROR(GOOGLEFINANCE(A334,""closeyest""),"""")"),99.0)</f>
        <v>99</v>
      </c>
      <c r="V334" s="23">
        <f>IFERROR(__xludf.DUMMYFUNCTION("IFERROR(GOOGLEFINANCE(A334,""changepct""),"""")"),4.04)</f>
        <v>4.04</v>
      </c>
      <c r="W334" s="22">
        <f>IFERROR(__xludf.DUMMYFUNCTION("IFERROR(GOOGLEFINANCE(A334,""priceopen""),"""")"),101.0)</f>
        <v>101</v>
      </c>
      <c r="X334" s="22">
        <f>IFERROR(__xludf.DUMMYFUNCTION("IFERROR(GOOGLEFINANCE(A334,""high""),"""")"),108.0)</f>
        <v>108</v>
      </c>
      <c r="Y334" s="22">
        <f>IFERROR(__xludf.DUMMYFUNCTION("IFERROR(GOOGLEFINANCE(A334,""low""),"""")"),94.0)</f>
        <v>94</v>
      </c>
      <c r="Z334" s="22">
        <f>IFERROR(__xludf.DUMMYFUNCTION("IFERROR(GOOGLEFINANCE(A334,""volume""),"""")"),597500.0)</f>
        <v>597500</v>
      </c>
      <c r="AA334" s="24" t="str">
        <f>VLOOKUP(A334,Metrik!$C$2:$Y$959,5,0)</f>
        <v>Commercial Services</v>
      </c>
      <c r="AB334" s="24" t="str">
        <f>VLOOKUP(A334,Metrik!$C$2:$Y$959,3,0)</f>
        <v>Industrials</v>
      </c>
    </row>
    <row r="335">
      <c r="A335" s="14" t="s">
        <v>197</v>
      </c>
      <c r="B335" s="14" t="str">
        <f t="array" ref="B335">VLOOKUP(A335,{Metrik!$C$2:$C$998,Metrik!$B$2:$B$998},2,0)</f>
        <v>Astrindo Nusantara Infrastruktur Tbk.</v>
      </c>
      <c r="C335" s="15" t="str">
        <f>IFERROR(__xludf.DUMMYFUNCTION("GOOGLEFINANCE(""IDX:""&amp;A335,""price"")"),"#N/A")</f>
        <v>#N/A</v>
      </c>
      <c r="D335" s="16" t="str">
        <f>IFERROR(__xludf.DUMMYFUNCTION("IF(A335="""","""",
SPARKLINE(
INDEX(
GOOGLEFINANCE(""IDX:""&amp;A335,""close"",TODAY()-365,TODAY()),
,2
),
{""linewidth"",1}
))
"),"#N/A")</f>
        <v>#N/A</v>
      </c>
      <c r="E335" s="26"/>
      <c r="F335" s="26"/>
      <c r="G335" s="24">
        <f t="shared" si="1"/>
        <v>0</v>
      </c>
      <c r="H335" s="19">
        <f>VLOOKUP(A335,Metrik!$C$2:$Y$959,8,0)</f>
        <v>610</v>
      </c>
      <c r="I335" s="20">
        <f>VLOOKUP(A335,Metrik!$C$2:$Y$959,9,0)</f>
        <v>1.1</v>
      </c>
      <c r="J335" s="20">
        <f>VLOOKUP(A335,Metrik!$C$2:$Y$959,10,0)</f>
        <v>0.18</v>
      </c>
      <c r="K335" s="20">
        <f>VLOOKUP(A335,Metrik!$C$2:$Y$959,11,0)</f>
        <v>0.07</v>
      </c>
      <c r="L335" s="20">
        <f>VLOOKUP(A335,Metrik!$C$2:$Y$959,12,0)</f>
        <v>1.7</v>
      </c>
      <c r="M335" s="20">
        <f>VLOOKUP(A335,Metrik!$C$2:$Y$959,19,0)</f>
        <v>0.46</v>
      </c>
      <c r="N335" s="21"/>
      <c r="O335" s="21"/>
      <c r="P335" s="21"/>
      <c r="Q335" s="21"/>
      <c r="R335" s="21"/>
      <c r="S335" s="21"/>
      <c r="T335" s="21"/>
      <c r="U335" s="22">
        <f>IFERROR(__xludf.DUMMYFUNCTION("IFERROR(GOOGLEFINANCE(A335,""closeyest""),"""")"),17.05)</f>
        <v>17.05</v>
      </c>
      <c r="V335" s="23">
        <f>IFERROR(__xludf.DUMMYFUNCTION("IFERROR(GOOGLEFINANCE(A335,""changepct""),"""")"),-2.35)</f>
        <v>-2.35</v>
      </c>
      <c r="W335" s="22">
        <f>IFERROR(__xludf.DUMMYFUNCTION("IFERROR(GOOGLEFINANCE(A335,""priceopen""),"""")"),16.98)</f>
        <v>16.98</v>
      </c>
      <c r="X335" s="22">
        <f>IFERROR(__xludf.DUMMYFUNCTION("IFERROR(GOOGLEFINANCE(A335,""high""),"""")"),17.08)</f>
        <v>17.08</v>
      </c>
      <c r="Y335" s="22">
        <f>IFERROR(__xludf.DUMMYFUNCTION("IFERROR(GOOGLEFINANCE(A335,""low""),"""")"),16.55)</f>
        <v>16.55</v>
      </c>
      <c r="Z335" s="22">
        <f>IFERROR(__xludf.DUMMYFUNCTION("IFERROR(GOOGLEFINANCE(A335,""volume""),"""")"),0.0)</f>
        <v>0</v>
      </c>
      <c r="AA335" s="24" t="str">
        <f>VLOOKUP(A335,Metrik!$C$2:$Y$959,5,0)</f>
        <v>Coal</v>
      </c>
      <c r="AB335" s="24" t="str">
        <f>VLOOKUP(A335,Metrik!$C$2:$Y$959,3,0)</f>
        <v>Energy</v>
      </c>
    </row>
    <row r="336">
      <c r="A336" s="14" t="s">
        <v>198</v>
      </c>
      <c r="B336" s="14" t="str">
        <f t="array" ref="B336">VLOOKUP(A336,{Metrik!$C$2:$C$998,Metrik!$B$2:$B$998},2,0)</f>
        <v>Bhuwanatala Indah Permai Tbk.</v>
      </c>
      <c r="C336" s="15">
        <f>IFERROR(__xludf.DUMMYFUNCTION("GOOGLEFINANCE(""IDX:""&amp;A336,""price"")"),56.0)</f>
        <v>56</v>
      </c>
      <c r="D336" s="16" t="str">
        <f>IFERROR(__xludf.DUMMYFUNCTION("IF(A336="""","""",
SPARKLINE(
INDEX(
GOOGLEFINANCE(""IDX:""&amp;A336,""close"",TODAY()-365,TODAY()),
,2
),
{""linewidth"",1}
))
"),"#N/A")</f>
        <v>#N/A</v>
      </c>
      <c r="E336" s="26"/>
      <c r="F336" s="26"/>
      <c r="G336" s="24">
        <f t="shared" si="1"/>
        <v>0</v>
      </c>
      <c r="H336" s="19">
        <f>VLOOKUP(A336,Metrik!$C$2:$Y$959,8,0)</f>
        <v>-7</v>
      </c>
      <c r="I336" s="20">
        <f>VLOOKUP(A336,Metrik!$C$2:$Y$959,9,0)</f>
        <v>0.32</v>
      </c>
      <c r="J336" s="20">
        <f>VLOOKUP(A336,Metrik!$C$2:$Y$959,10,0)</f>
        <v>-4.5</v>
      </c>
      <c r="K336" s="20">
        <f>VLOOKUP(A336,Metrik!$C$2:$Y$959,11,0)</f>
        <v>-2.4</v>
      </c>
      <c r="L336" s="20">
        <f>VLOOKUP(A336,Metrik!$C$2:$Y$959,12,0)</f>
        <v>0.87</v>
      </c>
      <c r="M336" s="20">
        <f>VLOOKUP(A336,Metrik!$C$2:$Y$959,19,0)</f>
        <v>-120</v>
      </c>
      <c r="N336" s="21"/>
      <c r="O336" s="21"/>
      <c r="P336" s="21"/>
      <c r="Q336" s="21"/>
      <c r="R336" s="21"/>
      <c r="S336" s="21"/>
      <c r="T336" s="21"/>
      <c r="U336" s="22">
        <f>IFERROR(__xludf.DUMMYFUNCTION("IFERROR(GOOGLEFINANCE(A336,""closeyest""),"""")"),52.0)</f>
        <v>52</v>
      </c>
      <c r="V336" s="23">
        <f>IFERROR(__xludf.DUMMYFUNCTION("IFERROR(GOOGLEFINANCE(A336,""changepct""),"""")"),7.69)</f>
        <v>7.69</v>
      </c>
      <c r="W336" s="22">
        <f>IFERROR(__xludf.DUMMYFUNCTION("IFERROR(GOOGLEFINANCE(A336,""priceopen""),"""")"),52.0)</f>
        <v>52</v>
      </c>
      <c r="X336" s="22">
        <f>IFERROR(__xludf.DUMMYFUNCTION("IFERROR(GOOGLEFINANCE(A336,""high""),"""")"),57.0)</f>
        <v>57</v>
      </c>
      <c r="Y336" s="22">
        <f>IFERROR(__xludf.DUMMYFUNCTION("IFERROR(GOOGLEFINANCE(A336,""low""),"""")"),51.0)</f>
        <v>51</v>
      </c>
      <c r="Z336" s="22">
        <f>IFERROR(__xludf.DUMMYFUNCTION("IFERROR(GOOGLEFINANCE(A336,""volume""),"""")"),8628000.0)</f>
        <v>8628000</v>
      </c>
      <c r="AA336" s="24" t="str">
        <f>VLOOKUP(A336,Metrik!$C$2:$Y$959,5,0)</f>
        <v>Real Estate Management &amp; Development</v>
      </c>
      <c r="AB336" s="24" t="str">
        <f>VLOOKUP(A336,Metrik!$C$2:$Y$959,3,0)</f>
        <v>Properties &amp; Real Estate</v>
      </c>
    </row>
    <row r="337">
      <c r="A337" s="17" t="s">
        <v>199</v>
      </c>
      <c r="B337" s="14" t="str">
        <f t="array" ref="B337">VLOOKUP(A337,{Metrik!$C$2:$C$998,Metrik!$B$2:$B$998},2,0)</f>
        <v>PT Blue Bird Tbk</v>
      </c>
      <c r="C337" s="15">
        <f>IFERROR(__xludf.DUMMYFUNCTION("GOOGLEFINANCE(""IDX:""&amp;A337,""price"")"),1540.0)</f>
        <v>1540</v>
      </c>
      <c r="D337" s="16" t="str">
        <f>IFERROR(__xludf.DUMMYFUNCTION("IF(A337="""","""",
SPARKLINE(
INDEX(
GOOGLEFINANCE(""IDX:""&amp;A337,""close"",TODAY()-365,TODAY()),
,2
),
{""linewidth"",1}
))
"),"#N/A")</f>
        <v>#N/A</v>
      </c>
      <c r="E337" s="14"/>
      <c r="F337" s="17"/>
      <c r="G337" s="18">
        <f t="shared" si="1"/>
        <v>0</v>
      </c>
      <c r="H337" s="19">
        <f>VLOOKUP(A337,Metrik!$C$2:$Y$959,8,0)</f>
        <v>6.2</v>
      </c>
      <c r="I337" s="20">
        <f>VLOOKUP(A337,Metrik!$C$2:$Y$959,9,0)</f>
        <v>0.6</v>
      </c>
      <c r="J337" s="20">
        <f>VLOOKUP(A337,Metrik!$C$2:$Y$959,10,0)</f>
        <v>9.7</v>
      </c>
      <c r="K337" s="20">
        <f>VLOOKUP(A337,Metrik!$C$2:$Y$959,11,0)</f>
        <v>6.3</v>
      </c>
      <c r="L337" s="20">
        <f>VLOOKUP(A337,Metrik!$C$2:$Y$959,12,0)</f>
        <v>0.52</v>
      </c>
      <c r="M337" s="20">
        <f>VLOOKUP(A337,Metrik!$C$2:$Y$959,19,0)</f>
        <v>43.1</v>
      </c>
      <c r="N337" s="21"/>
      <c r="O337" s="21"/>
      <c r="P337" s="21"/>
      <c r="Q337" s="21"/>
      <c r="R337" s="21"/>
      <c r="S337" s="21"/>
      <c r="T337" s="21"/>
      <c r="U337" s="22">
        <f>IFERROR(__xludf.DUMMYFUNCTION("IFERROR(GOOGLEFINANCE(A337,""closeyest""),"""")"),3.88)</f>
        <v>3.88</v>
      </c>
      <c r="V337" s="23">
        <f>IFERROR(__xludf.DUMMYFUNCTION("IFERROR(GOOGLEFINANCE(A337,""changepct""),"""")"),-5.67)</f>
        <v>-5.67</v>
      </c>
      <c r="W337" s="22">
        <f>IFERROR(__xludf.DUMMYFUNCTION("IFERROR(GOOGLEFINANCE(A337,""priceopen""),"""")"),3.82)</f>
        <v>3.82</v>
      </c>
      <c r="X337" s="22">
        <f>IFERROR(__xludf.DUMMYFUNCTION("IFERROR(GOOGLEFINANCE(A337,""high""),"""")"),3.89)</f>
        <v>3.89</v>
      </c>
      <c r="Y337" s="22">
        <f>IFERROR(__xludf.DUMMYFUNCTION("IFERROR(GOOGLEFINANCE(A337,""low""),"""")"),3.65)</f>
        <v>3.65</v>
      </c>
      <c r="Z337" s="22">
        <f>IFERROR(__xludf.DUMMYFUNCTION("IFERROR(GOOGLEFINANCE(A337,""volume""),"""")"),196077.0)</f>
        <v>196077</v>
      </c>
      <c r="AA337" s="24" t="str">
        <f>VLOOKUP(A337,Metrik!$C$2:$Y$959,5,0)</f>
        <v>Passenger Land Transportation</v>
      </c>
      <c r="AB337" s="24" t="str">
        <f>VLOOKUP(A337,Metrik!$C$2:$Y$959,3,0)</f>
        <v>Transportation &amp; Logistic</v>
      </c>
    </row>
    <row r="338">
      <c r="A338" s="14" t="s">
        <v>200</v>
      </c>
      <c r="B338" s="14" t="str">
        <f t="array" ref="B338">VLOOKUP(A338,{Metrik!$C$2:$C$998,Metrik!$B$2:$B$998},2,0)</f>
        <v>BISI INTERNATIONAL Tbk</v>
      </c>
      <c r="C338" s="15">
        <f>IFERROR(__xludf.DUMMYFUNCTION("GOOGLEFINANCE(""IDX:""&amp;A338,""price"")"),695.0)</f>
        <v>695</v>
      </c>
      <c r="D338" s="16" t="str">
        <f>IFERROR(__xludf.DUMMYFUNCTION("IF(A338="""","""",
SPARKLINE(
INDEX(
GOOGLEFINANCE(""IDX:""&amp;A338,""close"",TODAY()-365,TODAY()),
,2
),
{""linewidth"",1}
))
"),"#N/A")</f>
        <v>#N/A</v>
      </c>
      <c r="E338" s="26"/>
      <c r="F338" s="26"/>
      <c r="G338" s="24">
        <f t="shared" si="1"/>
        <v>0</v>
      </c>
      <c r="H338" s="19">
        <f>VLOOKUP(A338,Metrik!$C$2:$Y$959,8,0)</f>
        <v>10.7</v>
      </c>
      <c r="I338" s="20">
        <f>VLOOKUP(A338,Metrik!$C$2:$Y$959,9,0)</f>
        <v>0.63</v>
      </c>
      <c r="J338" s="20">
        <f>VLOOKUP(A338,Metrik!$C$2:$Y$959,10,0)</f>
        <v>5.9</v>
      </c>
      <c r="K338" s="20">
        <f>VLOOKUP(A338,Metrik!$C$2:$Y$959,11,0)</f>
        <v>5.5</v>
      </c>
      <c r="L338" s="20">
        <f>VLOOKUP(A338,Metrik!$C$2:$Y$959,12,0)</f>
        <v>0.06</v>
      </c>
      <c r="M338" s="20">
        <f>VLOOKUP(A338,Metrik!$C$2:$Y$959,19,0)</f>
        <v>53.6</v>
      </c>
      <c r="N338" s="21"/>
      <c r="O338" s="21"/>
      <c r="P338" s="21"/>
      <c r="Q338" s="21"/>
      <c r="R338" s="21"/>
      <c r="S338" s="21"/>
      <c r="T338" s="21"/>
      <c r="U338" s="22">
        <f>IFERROR(__xludf.DUMMYFUNCTION("IFERROR(GOOGLEFINANCE(A338,""closeyest""),"""")"),680.0)</f>
        <v>680</v>
      </c>
      <c r="V338" s="23">
        <f>IFERROR(__xludf.DUMMYFUNCTION("IFERROR(GOOGLEFINANCE(A338,""changepct""),"""")"),2.21)</f>
        <v>2.21</v>
      </c>
      <c r="W338" s="22">
        <f>IFERROR(__xludf.DUMMYFUNCTION("IFERROR(GOOGLEFINANCE(A338,""priceopen""),"""")"),680.0)</f>
        <v>680</v>
      </c>
      <c r="X338" s="22">
        <f>IFERROR(__xludf.DUMMYFUNCTION("IFERROR(GOOGLEFINANCE(A338,""high""),"""")"),695.0)</f>
        <v>695</v>
      </c>
      <c r="Y338" s="22">
        <f>IFERROR(__xludf.DUMMYFUNCTION("IFERROR(GOOGLEFINANCE(A338,""low""),"""")"),680.0)</f>
        <v>680</v>
      </c>
      <c r="Z338" s="22">
        <f>IFERROR(__xludf.DUMMYFUNCTION("IFERROR(GOOGLEFINANCE(A338,""volume""),"""")"),200500.0)</f>
        <v>200500</v>
      </c>
      <c r="AA338" s="24" t="str">
        <f>VLOOKUP(A338,Metrik!$C$2:$Y$959,5,0)</f>
        <v>Agricultural Products</v>
      </c>
      <c r="AB338" s="24" t="str">
        <f>VLOOKUP(A338,Metrik!$C$2:$Y$959,3,0)</f>
        <v>Consumer Non-Cyclicals</v>
      </c>
    </row>
    <row r="339">
      <c r="A339" s="14" t="s">
        <v>201</v>
      </c>
      <c r="B339" s="14" t="str">
        <f t="array" ref="B339">VLOOKUP(A339,{Metrik!$C$2:$C$998,Metrik!$B$2:$B$998},2,0)</f>
        <v>Bank Pembangunan Daerah Jawa Barat dan Banten Tbk</v>
      </c>
      <c r="C339" s="15">
        <f>IFERROR(__xludf.DUMMYFUNCTION("GOOGLEFINANCE(""IDX:""&amp;A339,""price"")"),750.0)</f>
        <v>750</v>
      </c>
      <c r="D339" s="16" t="str">
        <f>IFERROR(__xludf.DUMMYFUNCTION("IF(A339="""","""",
SPARKLINE(
INDEX(
GOOGLEFINANCE(""IDX:""&amp;A339,""close"",TODAY()-365,TODAY()),
,2
),
{""linewidth"",1}
))
"),"#N/A")</f>
        <v>#N/A</v>
      </c>
      <c r="E339" s="14" t="s">
        <v>75</v>
      </c>
      <c r="F339" s="14" t="s">
        <v>76</v>
      </c>
      <c r="G339" s="24">
        <f t="shared" si="1"/>
        <v>3</v>
      </c>
      <c r="H339" s="19">
        <f>VLOOKUP(A339,Metrik!$C$2:$Y$959,8,0)</f>
        <v>6.9</v>
      </c>
      <c r="I339" s="20">
        <f>VLOOKUP(A339,Metrik!$C$2:$Y$959,9,0)</f>
        <v>0.39</v>
      </c>
      <c r="J339" s="20">
        <f>VLOOKUP(A339,Metrik!$C$2:$Y$959,10,0)</f>
        <v>5.6</v>
      </c>
      <c r="K339" s="20">
        <f>VLOOKUP(A339,Metrik!$C$2:$Y$959,11,0)</f>
        <v>0.53</v>
      </c>
      <c r="L339" s="20">
        <f>VLOOKUP(A339,Metrik!$C$2:$Y$959,12,0)</f>
        <v>9.2</v>
      </c>
      <c r="M339" s="20">
        <f>VLOOKUP(A339,Metrik!$C$2:$Y$959,19,0)</f>
        <v>26.3</v>
      </c>
      <c r="N339" s="29">
        <v>3.7</v>
      </c>
      <c r="O339" s="29">
        <v>19.3</v>
      </c>
      <c r="P339" s="29">
        <v>87.4</v>
      </c>
      <c r="Q339" s="29">
        <v>1.4</v>
      </c>
      <c r="R339" s="29">
        <v>87.9</v>
      </c>
      <c r="S339" s="29">
        <v>56.0</v>
      </c>
      <c r="T339" s="29">
        <v>6.3</v>
      </c>
      <c r="U339" s="22">
        <f>IFERROR(__xludf.DUMMYFUNCTION("IFERROR(GOOGLEFINANCE(A339,""closeyest""),"""")"),740.0)</f>
        <v>740</v>
      </c>
      <c r="V339" s="23">
        <f>IFERROR(__xludf.DUMMYFUNCTION("IFERROR(GOOGLEFINANCE(A339,""changepct""),"""")"),1.35)</f>
        <v>1.35</v>
      </c>
      <c r="W339" s="22">
        <f>IFERROR(__xludf.DUMMYFUNCTION("IFERROR(GOOGLEFINANCE(A339,""priceopen""),"""")"),745.0)</f>
        <v>745</v>
      </c>
      <c r="X339" s="22">
        <f>IFERROR(__xludf.DUMMYFUNCTION("IFERROR(GOOGLEFINANCE(A339,""high""),"""")"),760.0)</f>
        <v>760</v>
      </c>
      <c r="Y339" s="22">
        <f>IFERROR(__xludf.DUMMYFUNCTION("IFERROR(GOOGLEFINANCE(A339,""low""),"""")"),740.0)</f>
        <v>740</v>
      </c>
      <c r="Z339" s="22">
        <f>IFERROR(__xludf.DUMMYFUNCTION("IFERROR(GOOGLEFINANCE(A339,""volume""),"""")"),3504900.0)</f>
        <v>3504900</v>
      </c>
      <c r="AA339" s="24" t="str">
        <f>VLOOKUP(A339,Metrik!$C$2:$Y$959,5,0)</f>
        <v>Banks</v>
      </c>
      <c r="AB339" s="24" t="str">
        <f>VLOOKUP(A339,Metrik!$C$2:$Y$959,3,0)</f>
        <v>Financials</v>
      </c>
    </row>
    <row r="340">
      <c r="A340" s="14" t="s">
        <v>201</v>
      </c>
      <c r="B340" s="14" t="str">
        <f t="array" ref="B340">VLOOKUP(A340,{Metrik!$C$2:$C$998,Metrik!$B$2:$B$998},2,0)</f>
        <v>Bank Pembangunan Daerah Jawa Barat dan Banten Tbk</v>
      </c>
      <c r="C340" s="15">
        <f>IFERROR(__xludf.DUMMYFUNCTION("GOOGLEFINANCE(""IDX:""&amp;A340,""price"")"),750.0)</f>
        <v>750</v>
      </c>
      <c r="D340" s="16" t="str">
        <f>IFERROR(__xludf.DUMMYFUNCTION("IF(A340="""","""",
SPARKLINE(
INDEX(
GOOGLEFINANCE(""IDX:""&amp;A340,""close"",TODAY()-365,TODAY()),
,2
),
{""linewidth"",1}
))
"),"#N/A")</f>
        <v>#N/A</v>
      </c>
      <c r="E340" s="14" t="s">
        <v>61</v>
      </c>
      <c r="F340" s="14" t="s">
        <v>34</v>
      </c>
      <c r="G340" s="24">
        <f t="shared" si="1"/>
        <v>3</v>
      </c>
      <c r="H340" s="19">
        <f>VLOOKUP(A340,Metrik!$C$2:$Y$959,8,0)</f>
        <v>6.9</v>
      </c>
      <c r="I340" s="20">
        <f>VLOOKUP(A340,Metrik!$C$2:$Y$959,9,0)</f>
        <v>0.39</v>
      </c>
      <c r="J340" s="20">
        <f>VLOOKUP(A340,Metrik!$C$2:$Y$959,10,0)</f>
        <v>5.6</v>
      </c>
      <c r="K340" s="20">
        <f>VLOOKUP(A340,Metrik!$C$2:$Y$959,11,0)</f>
        <v>0.53</v>
      </c>
      <c r="L340" s="20">
        <f>VLOOKUP(A340,Metrik!$C$2:$Y$959,12,0)</f>
        <v>9.2</v>
      </c>
      <c r="M340" s="20">
        <f>VLOOKUP(A340,Metrik!$C$2:$Y$959,19,0)</f>
        <v>26.3</v>
      </c>
      <c r="N340" s="29">
        <v>3.7</v>
      </c>
      <c r="O340" s="29">
        <v>19.3</v>
      </c>
      <c r="P340" s="29">
        <v>87.4</v>
      </c>
      <c r="Q340" s="29">
        <v>1.4</v>
      </c>
      <c r="R340" s="29">
        <v>87.9</v>
      </c>
      <c r="S340" s="29">
        <v>56.0</v>
      </c>
      <c r="T340" s="29">
        <v>6.3</v>
      </c>
      <c r="U340" s="22">
        <f>IFERROR(__xludf.DUMMYFUNCTION("IFERROR(GOOGLEFINANCE(A340,""closeyest""),"""")"),740.0)</f>
        <v>740</v>
      </c>
      <c r="V340" s="23">
        <f>IFERROR(__xludf.DUMMYFUNCTION("IFERROR(GOOGLEFINANCE(A340,""changepct""),"""")"),1.35)</f>
        <v>1.35</v>
      </c>
      <c r="W340" s="22">
        <f>IFERROR(__xludf.DUMMYFUNCTION("IFERROR(GOOGLEFINANCE(A340,""priceopen""),"""")"),745.0)</f>
        <v>745</v>
      </c>
      <c r="X340" s="22">
        <f>IFERROR(__xludf.DUMMYFUNCTION("IFERROR(GOOGLEFINANCE(A340,""high""),"""")"),760.0)</f>
        <v>760</v>
      </c>
      <c r="Y340" s="22">
        <f>IFERROR(__xludf.DUMMYFUNCTION("IFERROR(GOOGLEFINANCE(A340,""low""),"""")"),740.0)</f>
        <v>740</v>
      </c>
      <c r="Z340" s="22">
        <f>IFERROR(__xludf.DUMMYFUNCTION("IFERROR(GOOGLEFINANCE(A340,""volume""),"""")"),3504900.0)</f>
        <v>3504900</v>
      </c>
      <c r="AA340" s="24" t="str">
        <f>VLOOKUP(A340,Metrik!$C$2:$Y$959,5,0)</f>
        <v>Banks</v>
      </c>
      <c r="AB340" s="24" t="str">
        <f>VLOOKUP(A340,Metrik!$C$2:$Y$959,3,0)</f>
        <v>Financials</v>
      </c>
    </row>
    <row r="341">
      <c r="A341" s="14" t="s">
        <v>201</v>
      </c>
      <c r="B341" s="14" t="str">
        <f t="array" ref="B341">VLOOKUP(A341,{Metrik!$C$2:$C$998,Metrik!$B$2:$B$998},2,0)</f>
        <v>Bank Pembangunan Daerah Jawa Barat dan Banten Tbk</v>
      </c>
      <c r="C341" s="15">
        <f>IFERROR(__xludf.DUMMYFUNCTION("GOOGLEFINANCE(""IDX:""&amp;A341,""price"")"),750.0)</f>
        <v>750</v>
      </c>
      <c r="D341" s="16" t="str">
        <f>IFERROR(__xludf.DUMMYFUNCTION("IF(A341="""","""",
SPARKLINE(
INDEX(
GOOGLEFINANCE(""IDX:""&amp;A341,""close"",TODAY()-365,TODAY()),
,2
),
{""linewidth"",1}
))
"),"#N/A")</f>
        <v>#N/A</v>
      </c>
      <c r="E341" s="14" t="s">
        <v>161</v>
      </c>
      <c r="F341" s="14" t="s">
        <v>76</v>
      </c>
      <c r="G341" s="24">
        <f t="shared" si="1"/>
        <v>3</v>
      </c>
      <c r="H341" s="19">
        <f>VLOOKUP(A341,Metrik!$C$2:$Y$959,8,0)</f>
        <v>6.9</v>
      </c>
      <c r="I341" s="20">
        <f>VLOOKUP(A341,Metrik!$C$2:$Y$959,9,0)</f>
        <v>0.39</v>
      </c>
      <c r="J341" s="20">
        <f>VLOOKUP(A341,Metrik!$C$2:$Y$959,10,0)</f>
        <v>5.6</v>
      </c>
      <c r="K341" s="20">
        <f>VLOOKUP(A341,Metrik!$C$2:$Y$959,11,0)</f>
        <v>0.53</v>
      </c>
      <c r="L341" s="20">
        <f>VLOOKUP(A341,Metrik!$C$2:$Y$959,12,0)</f>
        <v>9.2</v>
      </c>
      <c r="M341" s="20">
        <f>VLOOKUP(A341,Metrik!$C$2:$Y$959,19,0)</f>
        <v>26.3</v>
      </c>
      <c r="N341" s="29">
        <v>3.7</v>
      </c>
      <c r="O341" s="29">
        <v>19.3</v>
      </c>
      <c r="P341" s="29">
        <v>87.4</v>
      </c>
      <c r="Q341" s="29">
        <v>1.4</v>
      </c>
      <c r="R341" s="29">
        <v>87.9</v>
      </c>
      <c r="S341" s="29">
        <v>56.0</v>
      </c>
      <c r="T341" s="29">
        <v>6.3</v>
      </c>
      <c r="U341" s="22">
        <f>IFERROR(__xludf.DUMMYFUNCTION("IFERROR(GOOGLEFINANCE(A341,""closeyest""),"""")"),740.0)</f>
        <v>740</v>
      </c>
      <c r="V341" s="23">
        <f>IFERROR(__xludf.DUMMYFUNCTION("IFERROR(GOOGLEFINANCE(A341,""changepct""),"""")"),1.35)</f>
        <v>1.35</v>
      </c>
      <c r="W341" s="22">
        <f>IFERROR(__xludf.DUMMYFUNCTION("IFERROR(GOOGLEFINANCE(A341,""priceopen""),"""")"),745.0)</f>
        <v>745</v>
      </c>
      <c r="X341" s="22">
        <f>IFERROR(__xludf.DUMMYFUNCTION("IFERROR(GOOGLEFINANCE(A341,""high""),"""")"),760.0)</f>
        <v>760</v>
      </c>
      <c r="Y341" s="22">
        <f>IFERROR(__xludf.DUMMYFUNCTION("IFERROR(GOOGLEFINANCE(A341,""low""),"""")"),740.0)</f>
        <v>740</v>
      </c>
      <c r="Z341" s="22">
        <f>IFERROR(__xludf.DUMMYFUNCTION("IFERROR(GOOGLEFINANCE(A341,""volume""),"""")"),3504900.0)</f>
        <v>3504900</v>
      </c>
      <c r="AA341" s="24" t="str">
        <f>VLOOKUP(A341,Metrik!$C$2:$Y$959,5,0)</f>
        <v>Banks</v>
      </c>
      <c r="AB341" s="24" t="str">
        <f>VLOOKUP(A341,Metrik!$C$2:$Y$959,3,0)</f>
        <v>Financials</v>
      </c>
    </row>
    <row r="342">
      <c r="A342" s="14" t="s">
        <v>202</v>
      </c>
      <c r="B342" s="14" t="str">
        <f t="array" ref="B342">VLOOKUP(A342,{Metrik!$C$2:$C$998,Metrik!$B$2:$B$998},2,0)</f>
        <v>Bank Pembangunan Daerah Jawa Timur Tbk</v>
      </c>
      <c r="C342" s="15">
        <f>IFERROR(__xludf.DUMMYFUNCTION("GOOGLEFINANCE(""IDX:""&amp;A342,""price"")"),515.0)</f>
        <v>515</v>
      </c>
      <c r="D342" s="16" t="str">
        <f>IFERROR(__xludf.DUMMYFUNCTION("IF(A342="""","""",
SPARKLINE(
INDEX(
GOOGLEFINANCE(""IDX:""&amp;A342,""close"",TODAY()-365,TODAY()),
,2
),
{""linewidth"",1}
))
"),"#N/A")</f>
        <v>#N/A</v>
      </c>
      <c r="E342" s="14" t="s">
        <v>47</v>
      </c>
      <c r="F342" s="25">
        <v>46356.0</v>
      </c>
      <c r="G342" s="24">
        <f t="shared" si="1"/>
        <v>2</v>
      </c>
      <c r="H342" s="19">
        <f>VLOOKUP(A342,Metrik!$C$2:$Y$959,8,0)</f>
        <v>4.9</v>
      </c>
      <c r="I342" s="20">
        <f>VLOOKUP(A342,Metrik!$C$2:$Y$959,9,0)</f>
        <v>0.35</v>
      </c>
      <c r="J342" s="20">
        <f>VLOOKUP(A342,Metrik!$C$2:$Y$959,10,0)</f>
        <v>7.1</v>
      </c>
      <c r="K342" s="20">
        <f>VLOOKUP(A342,Metrik!$C$2:$Y$959,11,0)</f>
        <v>0.97</v>
      </c>
      <c r="L342" s="20">
        <f>VLOOKUP(A342,Metrik!$C$2:$Y$959,12,0)</f>
        <v>5.6</v>
      </c>
      <c r="M342" s="20">
        <f>VLOOKUP(A342,Metrik!$C$2:$Y$959,19,0)</f>
        <v>55.3</v>
      </c>
      <c r="N342" s="29">
        <v>3.74</v>
      </c>
      <c r="O342" s="29">
        <v>24.94</v>
      </c>
      <c r="P342" s="29">
        <v>70.03</v>
      </c>
      <c r="Q342" s="29">
        <v>2.83</v>
      </c>
      <c r="R342" s="29">
        <v>77.29</v>
      </c>
      <c r="S342" s="29">
        <v>51.2</v>
      </c>
      <c r="T342" s="29">
        <v>11.1</v>
      </c>
      <c r="U342" s="22">
        <f>IFERROR(__xludf.DUMMYFUNCTION("IFERROR(GOOGLEFINANCE(A342,""closeyest""),"""")"),505.0)</f>
        <v>505</v>
      </c>
      <c r="V342" s="23">
        <f>IFERROR(__xludf.DUMMYFUNCTION("IFERROR(GOOGLEFINANCE(A342,""changepct""),"""")"),1.98)</f>
        <v>1.98</v>
      </c>
      <c r="W342" s="22">
        <f>IFERROR(__xludf.DUMMYFUNCTION("IFERROR(GOOGLEFINANCE(A342,""priceopen""),"""")"),510.0)</f>
        <v>510</v>
      </c>
      <c r="X342" s="22">
        <f>IFERROR(__xludf.DUMMYFUNCTION("IFERROR(GOOGLEFINANCE(A342,""high""),"""")"),515.0)</f>
        <v>515</v>
      </c>
      <c r="Y342" s="22">
        <f>IFERROR(__xludf.DUMMYFUNCTION("IFERROR(GOOGLEFINANCE(A342,""low""),"""")"),505.0)</f>
        <v>505</v>
      </c>
      <c r="Z342" s="22">
        <f>IFERROR(__xludf.DUMMYFUNCTION("IFERROR(GOOGLEFINANCE(A342,""volume""),"""")"),4038100.0)</f>
        <v>4038100</v>
      </c>
      <c r="AA342" s="24" t="str">
        <f>VLOOKUP(A342,Metrik!$C$2:$Y$959,5,0)</f>
        <v>Banks</v>
      </c>
      <c r="AB342" s="24" t="str">
        <f>VLOOKUP(A342,Metrik!$C$2:$Y$959,3,0)</f>
        <v>Financials</v>
      </c>
    </row>
    <row r="343">
      <c r="A343" s="14" t="s">
        <v>202</v>
      </c>
      <c r="B343" s="14" t="str">
        <f t="array" ref="B343">VLOOKUP(A343,{Metrik!$C$2:$C$998,Metrik!$B$2:$B$998},2,0)</f>
        <v>Bank Pembangunan Daerah Jawa Timur Tbk</v>
      </c>
      <c r="C343" s="15">
        <f>IFERROR(__xludf.DUMMYFUNCTION("GOOGLEFINANCE(""IDX:""&amp;A343,""price"")"),515.0)</f>
        <v>515</v>
      </c>
      <c r="D343" s="16" t="str">
        <f>IFERROR(__xludf.DUMMYFUNCTION("IF(A343="""","""",
SPARKLINE(
INDEX(
GOOGLEFINANCE(""IDX:""&amp;A343,""close"",TODAY()-365,TODAY()),
,2
),
{""linewidth"",1}
))
"),"#N/A")</f>
        <v>#N/A</v>
      </c>
      <c r="E343" s="14" t="s">
        <v>61</v>
      </c>
      <c r="F343" s="14" t="s">
        <v>34</v>
      </c>
      <c r="G343" s="24">
        <f t="shared" si="1"/>
        <v>2</v>
      </c>
      <c r="H343" s="19">
        <f>VLOOKUP(A343,Metrik!$C$2:$Y$959,8,0)</f>
        <v>4.9</v>
      </c>
      <c r="I343" s="20">
        <f>VLOOKUP(A343,Metrik!$C$2:$Y$959,9,0)</f>
        <v>0.35</v>
      </c>
      <c r="J343" s="20">
        <f>VLOOKUP(A343,Metrik!$C$2:$Y$959,10,0)</f>
        <v>7.1</v>
      </c>
      <c r="K343" s="20">
        <f>VLOOKUP(A343,Metrik!$C$2:$Y$959,11,0)</f>
        <v>0.97</v>
      </c>
      <c r="L343" s="20">
        <f>VLOOKUP(A343,Metrik!$C$2:$Y$959,12,0)</f>
        <v>5.6</v>
      </c>
      <c r="M343" s="20">
        <f>VLOOKUP(A343,Metrik!$C$2:$Y$959,19,0)</f>
        <v>55.3</v>
      </c>
      <c r="N343" s="29">
        <v>3.74</v>
      </c>
      <c r="O343" s="29">
        <v>24.94</v>
      </c>
      <c r="P343" s="29">
        <v>70.03</v>
      </c>
      <c r="Q343" s="29">
        <v>2.83</v>
      </c>
      <c r="R343" s="29">
        <v>77.29</v>
      </c>
      <c r="S343" s="29">
        <v>51.2</v>
      </c>
      <c r="T343" s="29">
        <v>11.1</v>
      </c>
      <c r="U343" s="22">
        <f>IFERROR(__xludf.DUMMYFUNCTION("IFERROR(GOOGLEFINANCE(A343,""closeyest""),"""")"),505.0)</f>
        <v>505</v>
      </c>
      <c r="V343" s="23">
        <f>IFERROR(__xludf.DUMMYFUNCTION("IFERROR(GOOGLEFINANCE(A343,""changepct""),"""")"),1.98)</f>
        <v>1.98</v>
      </c>
      <c r="W343" s="22">
        <f>IFERROR(__xludf.DUMMYFUNCTION("IFERROR(GOOGLEFINANCE(A343,""priceopen""),"""")"),510.0)</f>
        <v>510</v>
      </c>
      <c r="X343" s="22">
        <f>IFERROR(__xludf.DUMMYFUNCTION("IFERROR(GOOGLEFINANCE(A343,""high""),"""")"),515.0)</f>
        <v>515</v>
      </c>
      <c r="Y343" s="22">
        <f>IFERROR(__xludf.DUMMYFUNCTION("IFERROR(GOOGLEFINANCE(A343,""low""),"""")"),505.0)</f>
        <v>505</v>
      </c>
      <c r="Z343" s="22">
        <f>IFERROR(__xludf.DUMMYFUNCTION("IFERROR(GOOGLEFINANCE(A343,""volume""),"""")"),4038100.0)</f>
        <v>4038100</v>
      </c>
      <c r="AA343" s="24" t="str">
        <f>VLOOKUP(A343,Metrik!$C$2:$Y$959,5,0)</f>
        <v>Banks</v>
      </c>
      <c r="AB343" s="24" t="str">
        <f>VLOOKUP(A343,Metrik!$C$2:$Y$959,3,0)</f>
        <v>Financials</v>
      </c>
    </row>
    <row r="344">
      <c r="A344" s="14" t="s">
        <v>203</v>
      </c>
      <c r="B344" s="14" t="str">
        <f t="array" ref="B344">VLOOKUP(A344,{Metrik!$C$2:$C$998,Metrik!$B$2:$B$998},2,0)</f>
        <v>Bukit Darmo Property Tbk</v>
      </c>
      <c r="C344" s="15" t="str">
        <f>IFERROR(__xludf.DUMMYFUNCTION("GOOGLEFINANCE(""IDX:""&amp;A344,""price"")"),"#N/A")</f>
        <v>#N/A</v>
      </c>
      <c r="D344" s="16" t="str">
        <f>IFERROR(__xludf.DUMMYFUNCTION("IF(A344="""","""",
SPARKLINE(
INDEX(
GOOGLEFINANCE(""IDX:""&amp;A344,""close"",TODAY()-365,TODAY()),
,2
),
{""linewidth"",1}
))
"),"#N/A")</f>
        <v>#N/A</v>
      </c>
      <c r="E344" s="26"/>
      <c r="F344" s="26"/>
      <c r="G344" s="24">
        <f t="shared" si="1"/>
        <v>0</v>
      </c>
      <c r="H344" s="19">
        <f>VLOOKUP(A344,Metrik!$C$2:$Y$959,8,0)</f>
        <v>-25.8</v>
      </c>
      <c r="I344" s="20">
        <f>VLOOKUP(A344,Metrik!$C$2:$Y$959,9,0)</f>
        <v>3.1</v>
      </c>
      <c r="J344" s="20">
        <f>VLOOKUP(A344,Metrik!$C$2:$Y$959,10,0)</f>
        <v>-12.1</v>
      </c>
      <c r="K344" s="20">
        <f>VLOOKUP(A344,Metrik!$C$2:$Y$959,11,0)</f>
        <v>-5</v>
      </c>
      <c r="L344" s="20">
        <f>VLOOKUP(A344,Metrik!$C$2:$Y$959,12,0)</f>
        <v>1.4</v>
      </c>
      <c r="M344" s="20">
        <f>VLOOKUP(A344,Metrik!$C$2:$Y$959,19,0)</f>
        <v>-390</v>
      </c>
      <c r="N344" s="21"/>
      <c r="O344" s="21"/>
      <c r="P344" s="21"/>
      <c r="Q344" s="21"/>
      <c r="R344" s="21"/>
      <c r="S344" s="21"/>
      <c r="T344" s="21"/>
      <c r="U344" s="22">
        <f>IFERROR(__xludf.DUMMYFUNCTION("IFERROR(GOOGLEFINANCE(A344,""closeyest""),"""")"),125.0)</f>
        <v>125</v>
      </c>
      <c r="V344" s="23">
        <f>IFERROR(__xludf.DUMMYFUNCTION("IFERROR(GOOGLEFINANCE(A344,""changepct""),"""")"),0.0)</f>
        <v>0</v>
      </c>
      <c r="W344" s="22" t="str">
        <f>IFERROR(__xludf.DUMMYFUNCTION("IFERROR(GOOGLEFINANCE(A344,""priceopen""),"""")"),"")</f>
        <v/>
      </c>
      <c r="X344" s="22" t="str">
        <f>IFERROR(__xludf.DUMMYFUNCTION("IFERROR(GOOGLEFINANCE(A344,""high""),"""")"),"")</f>
        <v/>
      </c>
      <c r="Y344" s="22" t="str">
        <f>IFERROR(__xludf.DUMMYFUNCTION("IFERROR(GOOGLEFINANCE(A344,""low""),"""")"),"")</f>
        <v/>
      </c>
      <c r="Z344" s="22">
        <f>IFERROR(__xludf.DUMMYFUNCTION("IFERROR(GOOGLEFINANCE(A344,""volume""),"""")"),0.0)</f>
        <v>0</v>
      </c>
      <c r="AA344" s="24" t="str">
        <f>VLOOKUP(A344,Metrik!$C$2:$Y$959,5,0)</f>
        <v>Real Estate Management &amp; Development</v>
      </c>
      <c r="AB344" s="24" t="str">
        <f>VLOOKUP(A344,Metrik!$C$2:$Y$959,3,0)</f>
        <v>Properties &amp; Real Estate</v>
      </c>
    </row>
    <row r="345">
      <c r="A345" s="14" t="s">
        <v>204</v>
      </c>
      <c r="B345" s="14" t="str">
        <f t="array" ref="B345">VLOOKUP(A345,{Metrik!$C$2:$C$998,Metrik!$B$2:$B$998},2,0)</f>
        <v>Sentul City Tbk.</v>
      </c>
      <c r="C345" s="15">
        <f>IFERROR(__xludf.DUMMYFUNCTION("GOOGLEFINANCE(""IDX:""&amp;A345,""price"")"),68.0)</f>
        <v>68</v>
      </c>
      <c r="D345" s="16" t="str">
        <f>IFERROR(__xludf.DUMMYFUNCTION("IF(A345="""","""",
SPARKLINE(
INDEX(
GOOGLEFINANCE(""IDX:""&amp;A345,""close"",TODAY()-365,TODAY()),
,2
),
{""linewidth"",1}
))
"),"#N/A")</f>
        <v>#N/A</v>
      </c>
      <c r="E345" s="14" t="s">
        <v>32</v>
      </c>
      <c r="F345" s="14" t="s">
        <v>29</v>
      </c>
      <c r="G345" s="24">
        <f t="shared" si="1"/>
        <v>4</v>
      </c>
      <c r="H345" s="19">
        <f>VLOOKUP(A345,Metrik!$C$2:$Y$959,8,0)</f>
        <v>14.6</v>
      </c>
      <c r="I345" s="20">
        <f>VLOOKUP(A345,Metrik!$C$2:$Y$959,9,0)</f>
        <v>0.78</v>
      </c>
      <c r="J345" s="20">
        <f>VLOOKUP(A345,Metrik!$C$2:$Y$959,10,0)</f>
        <v>5.4</v>
      </c>
      <c r="K345" s="20">
        <f>VLOOKUP(A345,Metrik!$C$2:$Y$959,11,0)</f>
        <v>3.8</v>
      </c>
      <c r="L345" s="20">
        <f>VLOOKUP(A345,Metrik!$C$2:$Y$959,12,0)</f>
        <v>0.42</v>
      </c>
      <c r="M345" s="20">
        <f>VLOOKUP(A345,Metrik!$C$2:$Y$959,19,0)</f>
        <v>240</v>
      </c>
      <c r="N345" s="21"/>
      <c r="O345" s="21"/>
      <c r="P345" s="21"/>
      <c r="Q345" s="21"/>
      <c r="R345" s="21"/>
      <c r="S345" s="21"/>
      <c r="T345" s="21"/>
      <c r="U345" s="22">
        <f>IFERROR(__xludf.DUMMYFUNCTION("IFERROR(GOOGLEFINANCE(A345,""closeyest""),"""")"),62.0)</f>
        <v>62</v>
      </c>
      <c r="V345" s="23">
        <f>IFERROR(__xludf.DUMMYFUNCTION("IFERROR(GOOGLEFINANCE(A345,""changepct""),"""")"),9.68)</f>
        <v>9.68</v>
      </c>
      <c r="W345" s="22">
        <f>IFERROR(__xludf.DUMMYFUNCTION("IFERROR(GOOGLEFINANCE(A345,""priceopen""),"""")"),63.0)</f>
        <v>63</v>
      </c>
      <c r="X345" s="22">
        <f>IFERROR(__xludf.DUMMYFUNCTION("IFERROR(GOOGLEFINANCE(A345,""high""),"""")"),70.0)</f>
        <v>70</v>
      </c>
      <c r="Y345" s="22">
        <f>IFERROR(__xludf.DUMMYFUNCTION("IFERROR(GOOGLEFINANCE(A345,""low""),"""")"),63.0)</f>
        <v>63</v>
      </c>
      <c r="Z345" s="22">
        <f>IFERROR(__xludf.DUMMYFUNCTION("IFERROR(GOOGLEFINANCE(A345,""volume""),"""")"),2.846008E8)</f>
        <v>284600800</v>
      </c>
      <c r="AA345" s="24" t="str">
        <f>VLOOKUP(A345,Metrik!$C$2:$Y$959,5,0)</f>
        <v>Real Estate Management &amp; Development</v>
      </c>
      <c r="AB345" s="24" t="str">
        <f>VLOOKUP(A345,Metrik!$C$2:$Y$959,3,0)</f>
        <v>Properties &amp; Real Estate</v>
      </c>
    </row>
    <row r="346">
      <c r="A346" s="17" t="s">
        <v>204</v>
      </c>
      <c r="B346" s="14" t="str">
        <f t="array" ref="B346">VLOOKUP(A346,{Metrik!$C$2:$C$998,Metrik!$B$2:$B$998},2,0)</f>
        <v>Sentul City Tbk.</v>
      </c>
      <c r="C346" s="15">
        <f>IFERROR(__xludf.DUMMYFUNCTION("GOOGLEFINANCE(""IDX:""&amp;A346,""price"")"),68.0)</f>
        <v>68</v>
      </c>
      <c r="D346" s="16" t="str">
        <f>IFERROR(__xludf.DUMMYFUNCTION("IF(A346="""","""",
SPARKLINE(
INDEX(
GOOGLEFINANCE(""IDX:""&amp;A346,""close"",TODAY()-365,TODAY()),
,2
),
{""linewidth"",1}
))
"),"#N/A")</f>
        <v>#N/A</v>
      </c>
      <c r="E346" s="14" t="s">
        <v>28</v>
      </c>
      <c r="F346" s="17" t="s">
        <v>29</v>
      </c>
      <c r="G346" s="24">
        <f t="shared" si="1"/>
        <v>4</v>
      </c>
      <c r="H346" s="19">
        <f>VLOOKUP(A346,Metrik!$C$2:$Y$959,8,0)</f>
        <v>14.6</v>
      </c>
      <c r="I346" s="20">
        <f>VLOOKUP(A346,Metrik!$C$2:$Y$959,9,0)</f>
        <v>0.78</v>
      </c>
      <c r="J346" s="20">
        <f>VLOOKUP(A346,Metrik!$C$2:$Y$959,10,0)</f>
        <v>5.4</v>
      </c>
      <c r="K346" s="20">
        <f>VLOOKUP(A346,Metrik!$C$2:$Y$959,11,0)</f>
        <v>3.8</v>
      </c>
      <c r="L346" s="20">
        <f>VLOOKUP(A346,Metrik!$C$2:$Y$959,12,0)</f>
        <v>0.42</v>
      </c>
      <c r="M346" s="20">
        <f>VLOOKUP(A346,Metrik!$C$2:$Y$959,19,0)</f>
        <v>240</v>
      </c>
      <c r="N346" s="21"/>
      <c r="O346" s="21"/>
      <c r="P346" s="21"/>
      <c r="Q346" s="21"/>
      <c r="R346" s="21"/>
      <c r="S346" s="21"/>
      <c r="T346" s="21"/>
      <c r="U346" s="22">
        <f>IFERROR(__xludf.DUMMYFUNCTION("IFERROR(GOOGLEFINANCE(A346,""closeyest""),"""")"),62.0)</f>
        <v>62</v>
      </c>
      <c r="V346" s="23">
        <f>IFERROR(__xludf.DUMMYFUNCTION("IFERROR(GOOGLEFINANCE(A346,""changepct""),"""")"),9.68)</f>
        <v>9.68</v>
      </c>
      <c r="W346" s="22">
        <f>IFERROR(__xludf.DUMMYFUNCTION("IFERROR(GOOGLEFINANCE(A346,""priceopen""),"""")"),63.0)</f>
        <v>63</v>
      </c>
      <c r="X346" s="22">
        <f>IFERROR(__xludf.DUMMYFUNCTION("IFERROR(GOOGLEFINANCE(A346,""high""),"""")"),70.0)</f>
        <v>70</v>
      </c>
      <c r="Y346" s="22">
        <f>IFERROR(__xludf.DUMMYFUNCTION("IFERROR(GOOGLEFINANCE(A346,""low""),"""")"),63.0)</f>
        <v>63</v>
      </c>
      <c r="Z346" s="22">
        <f>IFERROR(__xludf.DUMMYFUNCTION("IFERROR(GOOGLEFINANCE(A346,""volume""),"""")"),2.846008E8)</f>
        <v>284600800</v>
      </c>
      <c r="AA346" s="24" t="str">
        <f>VLOOKUP(A346,Metrik!$C$2:$Y$959,5,0)</f>
        <v>Real Estate Management &amp; Development</v>
      </c>
      <c r="AB346" s="24" t="str">
        <f>VLOOKUP(A346,Metrik!$C$2:$Y$959,3,0)</f>
        <v>Properties &amp; Real Estate</v>
      </c>
    </row>
    <row r="347">
      <c r="A347" s="17" t="s">
        <v>204</v>
      </c>
      <c r="B347" s="14" t="str">
        <f t="array" ref="B347">VLOOKUP(A347,{Metrik!$C$2:$C$998,Metrik!$B$2:$B$998},2,0)</f>
        <v>Sentul City Tbk.</v>
      </c>
      <c r="C347" s="15">
        <f>IFERROR(__xludf.DUMMYFUNCTION("GOOGLEFINANCE(""IDX:""&amp;A347,""price"")"),68.0)</f>
        <v>68</v>
      </c>
      <c r="D347" s="16" t="str">
        <f>IFERROR(__xludf.DUMMYFUNCTION("IF(A347="""","""",
SPARKLINE(
INDEX(
GOOGLEFINANCE(""IDX:""&amp;A347,""close"",TODAY()-365,TODAY()),
,2
),
{""linewidth"",1}
))
"),"#N/A")</f>
        <v>#N/A</v>
      </c>
      <c r="E347" s="14" t="s">
        <v>38</v>
      </c>
      <c r="F347" s="25">
        <v>46356.0</v>
      </c>
      <c r="G347" s="18">
        <f t="shared" si="1"/>
        <v>4</v>
      </c>
      <c r="H347" s="19">
        <f>VLOOKUP(A347,Metrik!$C$2:$Y$959,8,0)</f>
        <v>14.6</v>
      </c>
      <c r="I347" s="20">
        <f>VLOOKUP(A347,Metrik!$C$2:$Y$959,9,0)</f>
        <v>0.78</v>
      </c>
      <c r="J347" s="20">
        <f>VLOOKUP(A347,Metrik!$C$2:$Y$959,10,0)</f>
        <v>5.4</v>
      </c>
      <c r="K347" s="20">
        <f>VLOOKUP(A347,Metrik!$C$2:$Y$959,11,0)</f>
        <v>3.8</v>
      </c>
      <c r="L347" s="20">
        <f>VLOOKUP(A347,Metrik!$C$2:$Y$959,12,0)</f>
        <v>0.42</v>
      </c>
      <c r="M347" s="20">
        <f>VLOOKUP(A347,Metrik!$C$2:$Y$959,19,0)</f>
        <v>240</v>
      </c>
      <c r="N347" s="21"/>
      <c r="O347" s="21"/>
      <c r="P347" s="21"/>
      <c r="Q347" s="21"/>
      <c r="R347" s="21"/>
      <c r="S347" s="21"/>
      <c r="T347" s="21"/>
      <c r="U347" s="22">
        <f>IFERROR(__xludf.DUMMYFUNCTION("IFERROR(GOOGLEFINANCE(A347,""closeyest""),"""")"),62.0)</f>
        <v>62</v>
      </c>
      <c r="V347" s="23">
        <f>IFERROR(__xludf.DUMMYFUNCTION("IFERROR(GOOGLEFINANCE(A347,""changepct""),"""")"),9.68)</f>
        <v>9.68</v>
      </c>
      <c r="W347" s="22">
        <f>IFERROR(__xludf.DUMMYFUNCTION("IFERROR(GOOGLEFINANCE(A347,""priceopen""),"""")"),63.0)</f>
        <v>63</v>
      </c>
      <c r="X347" s="22">
        <f>IFERROR(__xludf.DUMMYFUNCTION("IFERROR(GOOGLEFINANCE(A347,""high""),"""")"),70.0)</f>
        <v>70</v>
      </c>
      <c r="Y347" s="22">
        <f>IFERROR(__xludf.DUMMYFUNCTION("IFERROR(GOOGLEFINANCE(A347,""low""),"""")"),63.0)</f>
        <v>63</v>
      </c>
      <c r="Z347" s="22">
        <f>IFERROR(__xludf.DUMMYFUNCTION("IFERROR(GOOGLEFINANCE(A347,""volume""),"""")"),2.846008E8)</f>
        <v>284600800</v>
      </c>
      <c r="AA347" s="24" t="str">
        <f>VLOOKUP(A347,Metrik!$C$2:$Y$959,5,0)</f>
        <v>Real Estate Management &amp; Development</v>
      </c>
      <c r="AB347" s="24" t="str">
        <f>VLOOKUP(A347,Metrik!$C$2:$Y$959,3,0)</f>
        <v>Properties &amp; Real Estate</v>
      </c>
    </row>
    <row r="348">
      <c r="A348" s="14" t="s">
        <v>204</v>
      </c>
      <c r="B348" s="14" t="str">
        <f t="array" ref="B348">VLOOKUP(A348,{Metrik!$C$2:$C$998,Metrik!$B$2:$B$998},2,0)</f>
        <v>Sentul City Tbk.</v>
      </c>
      <c r="C348" s="15">
        <f>IFERROR(__xludf.DUMMYFUNCTION("GOOGLEFINANCE(""IDX:""&amp;A348,""price"")"),68.0)</f>
        <v>68</v>
      </c>
      <c r="D348" s="16" t="str">
        <f>IFERROR(__xludf.DUMMYFUNCTION("IF(A348="""","""",
SPARKLINE(
INDEX(
GOOGLEFINANCE(""IDX:""&amp;A348,""close"",TODAY()-365,TODAY()),
,2
),
{""linewidth"",1}
))
"),"#N/A")</f>
        <v>#N/A</v>
      </c>
      <c r="E348" s="14" t="s">
        <v>39</v>
      </c>
      <c r="F348" s="25">
        <v>46356.0</v>
      </c>
      <c r="G348" s="24">
        <f t="shared" si="1"/>
        <v>4</v>
      </c>
      <c r="H348" s="19">
        <f>VLOOKUP(A348,Metrik!$C$2:$Y$959,8,0)</f>
        <v>14.6</v>
      </c>
      <c r="I348" s="20">
        <f>VLOOKUP(A348,Metrik!$C$2:$Y$959,9,0)</f>
        <v>0.78</v>
      </c>
      <c r="J348" s="20">
        <f>VLOOKUP(A348,Metrik!$C$2:$Y$959,10,0)</f>
        <v>5.4</v>
      </c>
      <c r="K348" s="20">
        <f>VLOOKUP(A348,Metrik!$C$2:$Y$959,11,0)</f>
        <v>3.8</v>
      </c>
      <c r="L348" s="20">
        <f>VLOOKUP(A348,Metrik!$C$2:$Y$959,12,0)</f>
        <v>0.42</v>
      </c>
      <c r="M348" s="20">
        <f>VLOOKUP(A348,Metrik!$C$2:$Y$959,19,0)</f>
        <v>240</v>
      </c>
      <c r="N348" s="21"/>
      <c r="O348" s="21"/>
      <c r="P348" s="21"/>
      <c r="Q348" s="21"/>
      <c r="R348" s="21"/>
      <c r="S348" s="21"/>
      <c r="T348" s="21"/>
      <c r="U348" s="22">
        <f>IFERROR(__xludf.DUMMYFUNCTION("IFERROR(GOOGLEFINANCE(A348,""closeyest""),"""")"),62.0)</f>
        <v>62</v>
      </c>
      <c r="V348" s="23">
        <f>IFERROR(__xludf.DUMMYFUNCTION("IFERROR(GOOGLEFINANCE(A348,""changepct""),"""")"),9.68)</f>
        <v>9.68</v>
      </c>
      <c r="W348" s="22">
        <f>IFERROR(__xludf.DUMMYFUNCTION("IFERROR(GOOGLEFINANCE(A348,""priceopen""),"""")"),63.0)</f>
        <v>63</v>
      </c>
      <c r="X348" s="22">
        <f>IFERROR(__xludf.DUMMYFUNCTION("IFERROR(GOOGLEFINANCE(A348,""high""),"""")"),70.0)</f>
        <v>70</v>
      </c>
      <c r="Y348" s="22">
        <f>IFERROR(__xludf.DUMMYFUNCTION("IFERROR(GOOGLEFINANCE(A348,""low""),"""")"),63.0)</f>
        <v>63</v>
      </c>
      <c r="Z348" s="22">
        <f>IFERROR(__xludf.DUMMYFUNCTION("IFERROR(GOOGLEFINANCE(A348,""volume""),"""")"),2.846008E8)</f>
        <v>284600800</v>
      </c>
      <c r="AA348" s="24" t="str">
        <f>VLOOKUP(A348,Metrik!$C$2:$Y$959,5,0)</f>
        <v>Real Estate Management &amp; Development</v>
      </c>
      <c r="AB348" s="24" t="str">
        <f>VLOOKUP(A348,Metrik!$C$2:$Y$959,3,0)</f>
        <v>Properties &amp; Real Estate</v>
      </c>
    </row>
    <row r="349">
      <c r="A349" s="14" t="s">
        <v>205</v>
      </c>
      <c r="B349" s="14" t="str">
        <f t="array" ref="B349">VLOOKUP(A349,{Metrik!$C$2:$C$998,Metrik!$B$2:$B$998},2,0)</f>
        <v>PT Bank QNB Indonesia Tbk</v>
      </c>
      <c r="C349" s="15">
        <f>IFERROR(__xludf.DUMMYFUNCTION("GOOGLEFINANCE(""IDX:""&amp;A349,""price"")"),51.0)</f>
        <v>51</v>
      </c>
      <c r="D349" s="16" t="str">
        <f>IFERROR(__xludf.DUMMYFUNCTION("IF(A349="""","""",
SPARKLINE(
INDEX(
GOOGLEFINANCE(""IDX:""&amp;A349,""close"",TODAY()-365,TODAY()),
,2
),
{""linewidth"",1}
))
"),"#N/A")</f>
        <v>#N/A</v>
      </c>
      <c r="E349" s="26"/>
      <c r="F349" s="26"/>
      <c r="G349" s="24">
        <f t="shared" si="1"/>
        <v>0</v>
      </c>
      <c r="H349" s="19">
        <f>VLOOKUP(A349,Metrik!$C$2:$Y$959,8,0)</f>
        <v>-42.8</v>
      </c>
      <c r="I349" s="20">
        <f>VLOOKUP(A349,Metrik!$C$2:$Y$959,9,0)</f>
        <v>0.4</v>
      </c>
      <c r="J349" s="20">
        <f>VLOOKUP(A349,Metrik!$C$2:$Y$959,10,0)</f>
        <v>-0.94</v>
      </c>
      <c r="K349" s="20">
        <f>VLOOKUP(A349,Metrik!$C$2:$Y$959,11,0)</f>
        <v>-0.34</v>
      </c>
      <c r="L349" s="20">
        <f>VLOOKUP(A349,Metrik!$C$2:$Y$959,12,0)</f>
        <v>1.8</v>
      </c>
      <c r="M349" s="20">
        <f>VLOOKUP(A349,Metrik!$C$2:$Y$959,19,0)</f>
        <v>-27</v>
      </c>
      <c r="N349" s="32">
        <v>3.12</v>
      </c>
      <c r="O349" s="32">
        <v>45.15</v>
      </c>
      <c r="P349" s="32">
        <v>80.12</v>
      </c>
      <c r="Q349" s="32" t="s">
        <v>206</v>
      </c>
      <c r="R349" s="32">
        <v>96.15</v>
      </c>
      <c r="S349" s="32">
        <v>82.4</v>
      </c>
      <c r="T349" s="32">
        <v>4.15</v>
      </c>
      <c r="U349" s="22">
        <f>IFERROR(__xludf.DUMMYFUNCTION("IFERROR(GOOGLEFINANCE(A349,""closeyest""),"""")"),51.0)</f>
        <v>51</v>
      </c>
      <c r="V349" s="23">
        <f>IFERROR(__xludf.DUMMYFUNCTION("IFERROR(GOOGLEFINANCE(A349,""changepct""),"""")"),0.0)</f>
        <v>0</v>
      </c>
      <c r="W349" s="22">
        <f>IFERROR(__xludf.DUMMYFUNCTION("IFERROR(GOOGLEFINANCE(A349,""priceopen""),"""")"),51.0)</f>
        <v>51</v>
      </c>
      <c r="X349" s="22">
        <f>IFERROR(__xludf.DUMMYFUNCTION("IFERROR(GOOGLEFINANCE(A349,""high""),"""")"),52.0)</f>
        <v>52</v>
      </c>
      <c r="Y349" s="22">
        <f>IFERROR(__xludf.DUMMYFUNCTION("IFERROR(GOOGLEFINANCE(A349,""low""),"""")"),50.0)</f>
        <v>50</v>
      </c>
      <c r="Z349" s="22">
        <f>IFERROR(__xludf.DUMMYFUNCTION("IFERROR(GOOGLEFINANCE(A349,""volume""),"""")"),5363700.0)</f>
        <v>5363700</v>
      </c>
      <c r="AA349" s="24" t="str">
        <f>VLOOKUP(A349,Metrik!$C$2:$Y$959,5,0)</f>
        <v>Banks</v>
      </c>
      <c r="AB349" s="24" t="str">
        <f>VLOOKUP(A349,Metrik!$C$2:$Y$959,3,0)</f>
        <v>Financials</v>
      </c>
    </row>
    <row r="350">
      <c r="A350" s="14" t="s">
        <v>207</v>
      </c>
      <c r="B350" s="14" t="str">
        <f t="array" ref="B350">VLOOKUP(A350,{Metrik!$C$2:$C$998,Metrik!$B$2:$B$998},2,0)</f>
        <v>Superior Prima Sukses Tbk.</v>
      </c>
      <c r="C350" s="15">
        <f>IFERROR(__xludf.DUMMYFUNCTION("GOOGLEFINANCE(""IDX:""&amp;A350,""price"")"),133.0)</f>
        <v>133</v>
      </c>
      <c r="D350" s="16" t="str">
        <f>IFERROR(__xludf.DUMMYFUNCTION("IF(A350="""","""",
SPARKLINE(
INDEX(
GOOGLEFINANCE(""IDX:""&amp;A350,""close"",TODAY()-365,TODAY()),
,2
),
{""linewidth"",1}
))
"),"#N/A")</f>
        <v>#N/A</v>
      </c>
      <c r="E350" s="26"/>
      <c r="F350" s="26"/>
      <c r="G350" s="24">
        <f t="shared" si="1"/>
        <v>0</v>
      </c>
      <c r="H350" s="19">
        <f>VLOOKUP(A350,Metrik!$C$2:$Y$959,8,0)</f>
        <v>9.2</v>
      </c>
      <c r="I350" s="20">
        <f>VLOOKUP(A350,Metrik!$C$2:$Y$959,9,0)</f>
        <v>1</v>
      </c>
      <c r="J350" s="20">
        <f>VLOOKUP(A350,Metrik!$C$2:$Y$959,10,0)</f>
        <v>11.1</v>
      </c>
      <c r="K350" s="20">
        <f>VLOOKUP(A350,Metrik!$C$2:$Y$959,11,0)</f>
        <v>6.5</v>
      </c>
      <c r="L350" s="20">
        <f>VLOOKUP(A350,Metrik!$C$2:$Y$959,12,0)</f>
        <v>0.72</v>
      </c>
      <c r="M350" s="20">
        <f>VLOOKUP(A350,Metrik!$C$2:$Y$959,19,0)</f>
        <v>38.8</v>
      </c>
      <c r="N350" s="21"/>
      <c r="O350" s="21"/>
      <c r="P350" s="21"/>
      <c r="Q350" s="21"/>
      <c r="R350" s="21"/>
      <c r="S350" s="21"/>
      <c r="T350" s="21"/>
      <c r="U350" s="22">
        <f>IFERROR(__xludf.DUMMYFUNCTION("IFERROR(GOOGLEFINANCE(A350,""closeyest""),"""")"),47.81)</f>
        <v>47.81</v>
      </c>
      <c r="V350" s="23">
        <f>IFERROR(__xludf.DUMMYFUNCTION("IFERROR(GOOGLEFINANCE(A350,""changepct""),"""")"),0.82)</f>
        <v>0.82</v>
      </c>
      <c r="W350" s="22">
        <f>IFERROR(__xludf.DUMMYFUNCTION("IFERROR(GOOGLEFINANCE(A350,""priceopen""),"""")"),48.11)</f>
        <v>48.11</v>
      </c>
      <c r="X350" s="22">
        <f>IFERROR(__xludf.DUMMYFUNCTION("IFERROR(GOOGLEFINANCE(A350,""high""),"""")"),48.24)</f>
        <v>48.24</v>
      </c>
      <c r="Y350" s="22">
        <f>IFERROR(__xludf.DUMMYFUNCTION("IFERROR(GOOGLEFINANCE(A350,""low""),"""")"),48.11)</f>
        <v>48.11</v>
      </c>
      <c r="Z350" s="22" t="str">
        <f>IFERROR(__xludf.DUMMYFUNCTION("IFERROR(GOOGLEFINANCE(A350,""volume""),"""")"),"")</f>
        <v/>
      </c>
      <c r="AA350" s="24" t="str">
        <f>VLOOKUP(A350,Metrik!$C$2:$Y$959,5,0)</f>
        <v>Construction Materials</v>
      </c>
      <c r="AB350" s="24" t="str">
        <f>VLOOKUP(A350,Metrik!$C$2:$Y$959,3,0)</f>
        <v>Basic Materials</v>
      </c>
    </row>
    <row r="351">
      <c r="A351" s="14" t="s">
        <v>208</v>
      </c>
      <c r="B351" s="14" t="str">
        <f t="array" ref="B351">VLOOKUP(A351,{Metrik!$C$2:$C$998,Metrik!$B$2:$B$998},2,0)</f>
        <v>Trimitra Trans Persada Tbk.</v>
      </c>
      <c r="C351" s="15">
        <f>IFERROR(__xludf.DUMMYFUNCTION("GOOGLEFINANCE(""IDX:""&amp;A351,""price"")"),320.0)</f>
        <v>320</v>
      </c>
      <c r="D351" s="16" t="str">
        <f>IFERROR(__xludf.DUMMYFUNCTION("IF(A351="""","""",
SPARKLINE(
INDEX(
GOOGLEFINANCE(""IDX:""&amp;A351,""close"",TODAY()-365,TODAY()),
,2
),
{""linewidth"",1}
))
"),"#N/A")</f>
        <v>#N/A</v>
      </c>
      <c r="E351" s="26"/>
      <c r="F351" s="26"/>
      <c r="G351" s="18">
        <f t="shared" si="1"/>
        <v>0</v>
      </c>
      <c r="H351" s="19">
        <f>VLOOKUP(A351,Metrik!$C$2:$Y$959,8,0)</f>
        <v>7.7</v>
      </c>
      <c r="I351" s="20">
        <f>VLOOKUP(A351,Metrik!$C$2:$Y$959,9,0)</f>
        <v>1.8</v>
      </c>
      <c r="J351" s="20">
        <f>VLOOKUP(A351,Metrik!$C$2:$Y$959,10,0)</f>
        <v>23.1</v>
      </c>
      <c r="K351" s="20">
        <f>VLOOKUP(A351,Metrik!$C$2:$Y$959,11,0)</f>
        <v>14.1</v>
      </c>
      <c r="L351" s="20">
        <f>VLOOKUP(A351,Metrik!$C$2:$Y$959,12,0)</f>
        <v>0.64</v>
      </c>
      <c r="M351" s="20">
        <f>VLOOKUP(A351,Metrik!$C$2:$Y$959,19,0)</f>
        <v>42.5</v>
      </c>
      <c r="N351" s="21"/>
      <c r="O351" s="21"/>
      <c r="P351" s="21"/>
      <c r="Q351" s="21"/>
      <c r="R351" s="21"/>
      <c r="S351" s="21"/>
      <c r="T351" s="21"/>
      <c r="U351" s="22" t="str">
        <f>IFERROR(__xludf.DUMMYFUNCTION("IFERROR(GOOGLEFINANCE(A351,""closeyest""),"""")"),"")</f>
        <v/>
      </c>
      <c r="V351" s="23">
        <f>IFERROR(__xludf.DUMMYFUNCTION("IFERROR(GOOGLEFINANCE(A351,""changepct""),"""")"),0.63)</f>
        <v>0.63</v>
      </c>
      <c r="W351" s="22">
        <f>IFERROR(__xludf.DUMMYFUNCTION("IFERROR(GOOGLEFINANCE(A351,""priceopen""),"""")"),318.0)</f>
        <v>318</v>
      </c>
      <c r="X351" s="22">
        <f>IFERROR(__xludf.DUMMYFUNCTION("IFERROR(GOOGLEFINANCE(A351,""high""),"""")"),324.0)</f>
        <v>324</v>
      </c>
      <c r="Y351" s="22">
        <f>IFERROR(__xludf.DUMMYFUNCTION("IFERROR(GOOGLEFINANCE(A351,""low""),"""")"),316.0)</f>
        <v>316</v>
      </c>
      <c r="Z351" s="22">
        <f>IFERROR(__xludf.DUMMYFUNCTION("IFERROR(GOOGLEFINANCE(A351,""volume""),"""")"),461500.0)</f>
        <v>461500</v>
      </c>
      <c r="AA351" s="24" t="str">
        <f>VLOOKUP(A351,Metrik!$C$2:$Y$959,5,0)</f>
        <v>Logistics &amp; Deliveries</v>
      </c>
      <c r="AB351" s="24" t="str">
        <f>VLOOKUP(A351,Metrik!$C$2:$Y$959,3,0)</f>
        <v>Transportation &amp; Logistic</v>
      </c>
    </row>
    <row r="352">
      <c r="A352" s="14" t="s">
        <v>209</v>
      </c>
      <c r="B352" s="14" t="str">
        <f t="array" ref="B352">VLOOKUP(A352,{Metrik!$C$2:$C$998,Metrik!$B$2:$B$998},2,0)</f>
        <v>Berlian Laju Tanker Tbk</v>
      </c>
      <c r="C352" s="15">
        <f>IFERROR(__xludf.DUMMYFUNCTION("GOOGLEFINANCE(""IDX:""&amp;A352,""price"")"),38.0)</f>
        <v>38</v>
      </c>
      <c r="D352" s="16" t="str">
        <f>IFERROR(__xludf.DUMMYFUNCTION("IF(A352="""","""",
SPARKLINE(
INDEX(
GOOGLEFINANCE(""IDX:""&amp;A352,""close"",TODAY()-365,TODAY()),
,2
),
{""linewidth"",1}
))
"),"#N/A")</f>
        <v>#N/A</v>
      </c>
      <c r="E352" s="26"/>
      <c r="F352" s="26"/>
      <c r="G352" s="24">
        <f t="shared" si="1"/>
        <v>0</v>
      </c>
      <c r="H352" s="19">
        <f>VLOOKUP(A352,Metrik!$C$2:$Y$959,8,0)</f>
        <v>15.9</v>
      </c>
      <c r="I352" s="20">
        <f>VLOOKUP(A352,Metrik!$C$2:$Y$959,9,0)</f>
        <v>0.83</v>
      </c>
      <c r="J352" s="20">
        <f>VLOOKUP(A352,Metrik!$C$2:$Y$959,10,0)</f>
        <v>5.2</v>
      </c>
      <c r="K352" s="20">
        <f>VLOOKUP(A352,Metrik!$C$2:$Y$959,11,0)</f>
        <v>2.4</v>
      </c>
      <c r="L352" s="20">
        <f>VLOOKUP(A352,Metrik!$C$2:$Y$959,12,0)</f>
        <v>1.2</v>
      </c>
      <c r="M352" s="20">
        <f>VLOOKUP(A352,Metrik!$C$2:$Y$959,19,0)</f>
        <v>29.5</v>
      </c>
      <c r="N352" s="21"/>
      <c r="O352" s="21"/>
      <c r="P352" s="21"/>
      <c r="Q352" s="21"/>
      <c r="R352" s="21"/>
      <c r="S352" s="21"/>
      <c r="T352" s="21"/>
      <c r="U352" s="22">
        <f>IFERROR(__xludf.DUMMYFUNCTION("IFERROR(GOOGLEFINANCE(A352,""closeyest""),"""")"),36.0)</f>
        <v>36</v>
      </c>
      <c r="V352" s="23">
        <f>IFERROR(__xludf.DUMMYFUNCTION("IFERROR(GOOGLEFINANCE(A352,""changepct""),"""")"),5.56)</f>
        <v>5.56</v>
      </c>
      <c r="W352" s="22">
        <f>IFERROR(__xludf.DUMMYFUNCTION("IFERROR(GOOGLEFINANCE(A352,""priceopen""),"""")"),39.0)</f>
        <v>39</v>
      </c>
      <c r="X352" s="22">
        <f>IFERROR(__xludf.DUMMYFUNCTION("IFERROR(GOOGLEFINANCE(A352,""high""),"""")"),39.0)</f>
        <v>39</v>
      </c>
      <c r="Y352" s="22">
        <f>IFERROR(__xludf.DUMMYFUNCTION("IFERROR(GOOGLEFINANCE(A352,""low""),"""")"),36.0)</f>
        <v>36</v>
      </c>
      <c r="Z352" s="22">
        <f>IFERROR(__xludf.DUMMYFUNCTION("IFERROR(GOOGLEFINANCE(A352,""volume""),"""")"),1.44487E7)</f>
        <v>14448700</v>
      </c>
      <c r="AA352" s="24" t="str">
        <f>VLOOKUP(A352,Metrik!$C$2:$Y$959,5,0)</f>
        <v>Logistics &amp; Deliveries</v>
      </c>
      <c r="AB352" s="24" t="str">
        <f>VLOOKUP(A352,Metrik!$C$2:$Y$959,3,0)</f>
        <v>Transportation &amp; Logistic</v>
      </c>
    </row>
    <row r="353">
      <c r="A353" s="14" t="s">
        <v>210</v>
      </c>
      <c r="B353" s="14" t="str">
        <f t="array" ref="B353">VLOOKUP(A353,{Metrik!$C$2:$C$998,Metrik!$B$2:$B$998},2,0)</f>
        <v>Graha Layar Prima Tbk.</v>
      </c>
      <c r="C353" s="15" t="str">
        <f>IFERROR(__xludf.DUMMYFUNCTION("GOOGLEFINANCE(""IDX:""&amp;A353,""price"")"),"#N/A")</f>
        <v>#N/A</v>
      </c>
      <c r="D353" s="16" t="str">
        <f>IFERROR(__xludf.DUMMYFUNCTION("IF(A353="""","""",
SPARKLINE(
INDEX(
GOOGLEFINANCE(""IDX:""&amp;A353,""close"",TODAY()-365,TODAY()),
,2
),
{""linewidth"",1}
))
"),"#N/A")</f>
        <v>#N/A</v>
      </c>
      <c r="E353" s="26"/>
      <c r="F353" s="26"/>
      <c r="G353" s="24">
        <f t="shared" si="1"/>
        <v>0</v>
      </c>
      <c r="H353" s="19">
        <f>VLOOKUP(A353,Metrik!$C$2:$Y$959,8,0)</f>
        <v>36.8</v>
      </c>
      <c r="I353" s="20">
        <f>VLOOKUP(A353,Metrik!$C$2:$Y$959,9,0)</f>
        <v>5.9</v>
      </c>
      <c r="J353" s="20">
        <f>VLOOKUP(A353,Metrik!$C$2:$Y$959,10,0)</f>
        <v>16.1</v>
      </c>
      <c r="K353" s="20">
        <f>VLOOKUP(A353,Metrik!$C$2:$Y$959,11,0)</f>
        <v>3.9</v>
      </c>
      <c r="L353" s="20">
        <f>VLOOKUP(A353,Metrik!$C$2:$Y$959,12,0)</f>
        <v>3.2</v>
      </c>
      <c r="M353" s="20">
        <f>VLOOKUP(A353,Metrik!$C$2:$Y$959,19,0)</f>
        <v>32</v>
      </c>
      <c r="N353" s="21"/>
      <c r="O353" s="21"/>
      <c r="P353" s="21"/>
      <c r="Q353" s="21"/>
      <c r="R353" s="21"/>
      <c r="S353" s="21"/>
      <c r="T353" s="21"/>
      <c r="U353" s="22">
        <f>IFERROR(__xludf.DUMMYFUNCTION("IFERROR(GOOGLEFINANCE(A353,""closeyest""),"""")"),2890.0)</f>
        <v>2890</v>
      </c>
      <c r="V353" s="23">
        <f>IFERROR(__xludf.DUMMYFUNCTION("IFERROR(GOOGLEFINANCE(A353,""changepct""),"""")"),0.0)</f>
        <v>0</v>
      </c>
      <c r="W353" s="22" t="str">
        <f>IFERROR(__xludf.DUMMYFUNCTION("IFERROR(GOOGLEFINANCE(A353,""priceopen""),"""")"),"")</f>
        <v/>
      </c>
      <c r="X353" s="22" t="str">
        <f>IFERROR(__xludf.DUMMYFUNCTION("IFERROR(GOOGLEFINANCE(A353,""high""),"""")"),"")</f>
        <v/>
      </c>
      <c r="Y353" s="22" t="str">
        <f>IFERROR(__xludf.DUMMYFUNCTION("IFERROR(GOOGLEFINANCE(A353,""low""),"""")"),"")</f>
        <v/>
      </c>
      <c r="Z353" s="22">
        <f>IFERROR(__xludf.DUMMYFUNCTION("IFERROR(GOOGLEFINANCE(A353,""volume""),"""")"),0.0)</f>
        <v>0</v>
      </c>
      <c r="AA353" s="24" t="str">
        <f>VLOOKUP(A353,Metrik!$C$2:$Y$959,5,0)</f>
        <v>Tourism &amp; Recreation</v>
      </c>
      <c r="AB353" s="24" t="str">
        <f>VLOOKUP(A353,Metrik!$C$2:$Y$959,3,0)</f>
        <v>Consumer Cyclicals</v>
      </c>
    </row>
    <row r="354">
      <c r="A354" s="14" t="s">
        <v>211</v>
      </c>
      <c r="B354" s="14" t="str">
        <f t="array" ref="B354">VLOOKUP(A354,{Metrik!$C$2:$C$998,Metrik!$B$2:$B$998},2,0)</f>
        <v>Berkah Prima Perkasa Tbk.</v>
      </c>
      <c r="C354" s="15">
        <f>IFERROR(__xludf.DUMMYFUNCTION("GOOGLEFINANCE(""IDX:""&amp;A354,""price"")"),3290.0)</f>
        <v>3290</v>
      </c>
      <c r="D354" s="16" t="str">
        <f>IFERROR(__xludf.DUMMYFUNCTION("IF(A354="""","""",
SPARKLINE(
INDEX(
GOOGLEFINANCE(""IDX:""&amp;A354,""close"",TODAY()-365,TODAY()),
,2
),
{""linewidth"",1}
))
"),"#N/A")</f>
        <v>#N/A</v>
      </c>
      <c r="E354" s="26"/>
      <c r="F354" s="26"/>
      <c r="G354" s="24">
        <f t="shared" si="1"/>
        <v>0</v>
      </c>
      <c r="H354" s="19">
        <f>VLOOKUP(A354,Metrik!$C$2:$Y$959,8,0)</f>
        <v>89.6</v>
      </c>
      <c r="I354" s="20">
        <f>VLOOKUP(A354,Metrik!$C$2:$Y$959,9,0)</f>
        <v>13.1</v>
      </c>
      <c r="J354" s="20">
        <f>VLOOKUP(A354,Metrik!$C$2:$Y$959,10,0)</f>
        <v>14.6</v>
      </c>
      <c r="K354" s="20">
        <f>VLOOKUP(A354,Metrik!$C$2:$Y$959,11,0)</f>
        <v>13.8</v>
      </c>
      <c r="L354" s="20">
        <f>VLOOKUP(A354,Metrik!$C$2:$Y$959,12,0)</f>
        <v>0.06</v>
      </c>
      <c r="M354" s="20">
        <f>VLOOKUP(A354,Metrik!$C$2:$Y$959,19,0)</f>
        <v>43.9</v>
      </c>
      <c r="N354" s="21"/>
      <c r="O354" s="21"/>
      <c r="P354" s="21"/>
      <c r="Q354" s="21"/>
      <c r="R354" s="21"/>
      <c r="S354" s="21"/>
      <c r="T354" s="21"/>
      <c r="U354" s="22">
        <f>IFERROR(__xludf.DUMMYFUNCTION("IFERROR(GOOGLEFINANCE(A354,""closeyest""),"""")"),17.98)</f>
        <v>17.98</v>
      </c>
      <c r="V354" s="23">
        <f>IFERROR(__xludf.DUMMYFUNCTION("IFERROR(GOOGLEFINANCE(A354,""changepct""),"""")"),0.56)</f>
        <v>0.56</v>
      </c>
      <c r="W354" s="22">
        <f>IFERROR(__xludf.DUMMYFUNCTION("IFERROR(GOOGLEFINANCE(A354,""priceopen""),"""")"),18.09)</f>
        <v>18.09</v>
      </c>
      <c r="X354" s="22">
        <f>IFERROR(__xludf.DUMMYFUNCTION("IFERROR(GOOGLEFINANCE(A354,""high""),"""")"),18.13)</f>
        <v>18.13</v>
      </c>
      <c r="Y354" s="22">
        <f>IFERROR(__xludf.DUMMYFUNCTION("IFERROR(GOOGLEFINANCE(A354,""low""),"""")"),17.99)</f>
        <v>17.99</v>
      </c>
      <c r="Z354" s="22">
        <f>IFERROR(__xludf.DUMMYFUNCTION("IFERROR(GOOGLEFINANCE(A354,""volume""),"""")"),19213.0)</f>
        <v>19213</v>
      </c>
      <c r="AA354" s="24" t="str">
        <f>VLOOKUP(A354,Metrik!$C$2:$Y$959,5,0)</f>
        <v>Commercial Services</v>
      </c>
      <c r="AB354" s="24" t="str">
        <f>VLOOKUP(A354,Metrik!$C$2:$Y$959,3,0)</f>
        <v>Industrials</v>
      </c>
    </row>
    <row r="355">
      <c r="A355" s="14" t="s">
        <v>212</v>
      </c>
      <c r="B355" s="14" t="str">
        <f t="array" ref="B355">VLOOKUP(A355,{Metrik!$C$2:$C$998,Metrik!$B$2:$B$998},2,0)</f>
        <v>PT Bank Maspion Indonesia Tbk.</v>
      </c>
      <c r="C355" s="15">
        <f>IFERROR(__xludf.DUMMYFUNCTION("GOOGLEFINANCE(""IDX:""&amp;A355,""price"")"),496.0)</f>
        <v>496</v>
      </c>
      <c r="D355" s="16" t="str">
        <f>IFERROR(__xludf.DUMMYFUNCTION("IF(A355="""","""",
SPARKLINE(
INDEX(
GOOGLEFINANCE(""IDX:""&amp;A355,""close"",TODAY()-365,TODAY()),
,2
),
{""linewidth"",1}
))
"),"#N/A")</f>
        <v>#N/A</v>
      </c>
      <c r="E355" s="26"/>
      <c r="F355" s="26"/>
      <c r="G355" s="24">
        <f t="shared" si="1"/>
        <v>0</v>
      </c>
      <c r="H355" s="19">
        <f>VLOOKUP(A355,Metrik!$C$2:$Y$959,8,0)</f>
        <v>2430</v>
      </c>
      <c r="I355" s="20">
        <f>VLOOKUP(A355,Metrik!$C$2:$Y$959,9,0)</f>
        <v>1.4</v>
      </c>
      <c r="J355" s="20">
        <f>VLOOKUP(A355,Metrik!$C$2:$Y$959,10,0)</f>
        <v>0.06</v>
      </c>
      <c r="K355" s="20">
        <f>VLOOKUP(A355,Metrik!$C$2:$Y$959,11,0)</f>
        <v>0.01</v>
      </c>
      <c r="L355" s="20">
        <f>VLOOKUP(A355,Metrik!$C$2:$Y$959,12,0)</f>
        <v>2.9</v>
      </c>
      <c r="M355" s="20">
        <f>VLOOKUP(A355,Metrik!$C$2:$Y$959,19,0)</f>
        <v>1.1</v>
      </c>
      <c r="N355" s="32">
        <v>3.85</v>
      </c>
      <c r="O355" s="32">
        <v>28.15</v>
      </c>
      <c r="P355" s="32">
        <v>84.4</v>
      </c>
      <c r="Q355" s="32">
        <v>2.12</v>
      </c>
      <c r="R355" s="32">
        <v>91.4</v>
      </c>
      <c r="S355" s="32">
        <v>65.15</v>
      </c>
      <c r="T355" s="32">
        <v>7.42</v>
      </c>
      <c r="U355" s="22">
        <f>IFERROR(__xludf.DUMMYFUNCTION("IFERROR(GOOGLEFINANCE(A355,""closeyest""),"""")"),466.0)</f>
        <v>466</v>
      </c>
      <c r="V355" s="23">
        <f>IFERROR(__xludf.DUMMYFUNCTION("IFERROR(GOOGLEFINANCE(A355,""changepct""),"""")"),6.44)</f>
        <v>6.44</v>
      </c>
      <c r="W355" s="22">
        <f>IFERROR(__xludf.DUMMYFUNCTION("IFERROR(GOOGLEFINANCE(A355,""priceopen""),"""")"),462.0)</f>
        <v>462</v>
      </c>
      <c r="X355" s="22">
        <f>IFERROR(__xludf.DUMMYFUNCTION("IFERROR(GOOGLEFINANCE(A355,""high""),"""")"),496.0)</f>
        <v>496</v>
      </c>
      <c r="Y355" s="22">
        <f>IFERROR(__xludf.DUMMYFUNCTION("IFERROR(GOOGLEFINANCE(A355,""low""),"""")"),462.0)</f>
        <v>462</v>
      </c>
      <c r="Z355" s="22">
        <f>IFERROR(__xludf.DUMMYFUNCTION("IFERROR(GOOGLEFINANCE(A355,""volume""),"""")"),21100.0)</f>
        <v>21100</v>
      </c>
      <c r="AA355" s="24" t="str">
        <f>VLOOKUP(A355,Metrik!$C$2:$Y$959,5,0)</f>
        <v>Banks</v>
      </c>
      <c r="AB355" s="24" t="str">
        <f>VLOOKUP(A355,Metrik!$C$2:$Y$959,3,0)</f>
        <v>Financials</v>
      </c>
    </row>
    <row r="356">
      <c r="A356" s="14" t="s">
        <v>213</v>
      </c>
      <c r="B356" s="14" t="str">
        <f t="array" ref="B356">VLOOKUP(A356,{Metrik!$C$2:$C$998,Metrik!$B$2:$B$998},2,0)</f>
        <v>PT Lavender Bina Cendikia Tbk</v>
      </c>
      <c r="C356" s="15">
        <f>IFERROR(__xludf.DUMMYFUNCTION("GOOGLEFINANCE(""IDX:""&amp;A356,""price"")"),33.0)</f>
        <v>33</v>
      </c>
      <c r="D356" s="16" t="str">
        <f>IFERROR(__xludf.DUMMYFUNCTION("IF(A356="""","""",
SPARKLINE(
INDEX(
GOOGLEFINANCE(""IDX:""&amp;A356,""close"",TODAY()-365,TODAY()),
,2
),
{""linewidth"",1}
))
"),"#N/A")</f>
        <v>#N/A</v>
      </c>
      <c r="E356" s="26"/>
      <c r="F356" s="26"/>
      <c r="G356" s="24">
        <f t="shared" si="1"/>
        <v>0</v>
      </c>
      <c r="H356" s="19">
        <f>VLOOKUP(A356,Metrik!$C$2:$Y$959,8,0)</f>
        <v>-15.5</v>
      </c>
      <c r="I356" s="20">
        <f>VLOOKUP(A356,Metrik!$C$2:$Y$959,9,0)</f>
        <v>0.5</v>
      </c>
      <c r="J356" s="20">
        <f>VLOOKUP(A356,Metrik!$C$2:$Y$959,10,0)</f>
        <v>-3.2</v>
      </c>
      <c r="K356" s="20">
        <f>VLOOKUP(A356,Metrik!$C$2:$Y$959,11,0)</f>
        <v>-3</v>
      </c>
      <c r="L356" s="20">
        <f>VLOOKUP(A356,Metrik!$C$2:$Y$959,12,0)</f>
        <v>0.07</v>
      </c>
      <c r="M356" s="20">
        <f>VLOOKUP(A356,Metrik!$C$2:$Y$959,19,0)</f>
        <v>-14.8</v>
      </c>
      <c r="N356" s="21"/>
      <c r="O356" s="21"/>
      <c r="P356" s="21"/>
      <c r="Q356" s="21"/>
      <c r="R356" s="21"/>
      <c r="S356" s="21"/>
      <c r="T356" s="21"/>
      <c r="U356" s="22">
        <f>IFERROR(__xludf.DUMMYFUNCTION("IFERROR(GOOGLEFINANCE(A356,""closeyest""),"""")"),2.73)</f>
        <v>2.73</v>
      </c>
      <c r="V356" s="23">
        <f>IFERROR(__xludf.DUMMYFUNCTION("IFERROR(GOOGLEFINANCE(A356,""changepct""),"""")"),-0.37)</f>
        <v>-0.37</v>
      </c>
      <c r="W356" s="22">
        <f>IFERROR(__xludf.DUMMYFUNCTION("IFERROR(GOOGLEFINANCE(A356,""priceopen""),"""")"),2.75)</f>
        <v>2.75</v>
      </c>
      <c r="X356" s="22">
        <f>IFERROR(__xludf.DUMMYFUNCTION("IFERROR(GOOGLEFINANCE(A356,""high""),"""")"),2.76)</f>
        <v>2.76</v>
      </c>
      <c r="Y356" s="22">
        <f>IFERROR(__xludf.DUMMYFUNCTION("IFERROR(GOOGLEFINANCE(A356,""low""),"""")"),2.7)</f>
        <v>2.7</v>
      </c>
      <c r="Z356" s="22">
        <f>IFERROR(__xludf.DUMMYFUNCTION("IFERROR(GOOGLEFINANCE(A356,""volume""),"""")"),1776866.0)</f>
        <v>1776866</v>
      </c>
      <c r="AA356" s="24" t="str">
        <f>VLOOKUP(A356,Metrik!$C$2:$Y$959,5,0)</f>
        <v>Education &amp; Support Services</v>
      </c>
      <c r="AB356" s="24" t="str">
        <f>VLOOKUP(A356,Metrik!$C$2:$Y$959,3,0)</f>
        <v>Consumer Cyclicals</v>
      </c>
    </row>
    <row r="357">
      <c r="A357" s="14" t="s">
        <v>214</v>
      </c>
      <c r="B357" s="14" t="str">
        <f t="array" ref="B357">VLOOKUP(A357,{Metrik!$C$2:$C$998,Metrik!$B$2:$B$998},2,0)</f>
        <v>Bundamedik Tbk.</v>
      </c>
      <c r="C357" s="15">
        <f>IFERROR(__xludf.DUMMYFUNCTION("GOOGLEFINANCE(""IDX:""&amp;A357,""price"")"),180.0)</f>
        <v>180</v>
      </c>
      <c r="D357" s="16" t="str">
        <f>IFERROR(__xludf.DUMMYFUNCTION("IF(A357="""","""",
SPARKLINE(
INDEX(
GOOGLEFINANCE(""IDX:""&amp;A357,""close"",TODAY()-365,TODAY()),
,2
),
{""linewidth"",1}
))
"),"#N/A")</f>
        <v>#N/A</v>
      </c>
      <c r="E357" s="26"/>
      <c r="F357" s="26"/>
      <c r="G357" s="24">
        <f t="shared" si="1"/>
        <v>0</v>
      </c>
      <c r="H357" s="19">
        <f>VLOOKUP(A357,Metrik!$C$2:$Y$959,8,0)</f>
        <v>170</v>
      </c>
      <c r="I357" s="20">
        <f>VLOOKUP(A357,Metrik!$C$2:$Y$959,9,0)</f>
        <v>0.66</v>
      </c>
      <c r="J357" s="20">
        <f>VLOOKUP(A357,Metrik!$C$2:$Y$959,10,0)</f>
        <v>0.38</v>
      </c>
      <c r="K357" s="20">
        <f>VLOOKUP(A357,Metrik!$C$2:$Y$959,11,0)</f>
        <v>0.23</v>
      </c>
      <c r="L357" s="20">
        <f>VLOOKUP(A357,Metrik!$C$2:$Y$959,12,0)</f>
        <v>0.69</v>
      </c>
      <c r="M357" s="20">
        <f>VLOOKUP(A357,Metrik!$C$2:$Y$959,19,0)</f>
        <v>2.5</v>
      </c>
      <c r="N357" s="21"/>
      <c r="O357" s="21"/>
      <c r="P357" s="21"/>
      <c r="Q357" s="21"/>
      <c r="R357" s="21"/>
      <c r="S357" s="21"/>
      <c r="T357" s="21"/>
      <c r="U357" s="22">
        <f>IFERROR(__xludf.DUMMYFUNCTION("IFERROR(GOOGLEFINANCE(A357,""closeyest""),"""")"),174.0)</f>
        <v>174</v>
      </c>
      <c r="V357" s="23">
        <f>IFERROR(__xludf.DUMMYFUNCTION("IFERROR(GOOGLEFINANCE(A357,""changepct""),"""")"),3.45)</f>
        <v>3.45</v>
      </c>
      <c r="W357" s="22">
        <f>IFERROR(__xludf.DUMMYFUNCTION("IFERROR(GOOGLEFINANCE(A357,""priceopen""),"""")"),177.0)</f>
        <v>177</v>
      </c>
      <c r="X357" s="22">
        <f>IFERROR(__xludf.DUMMYFUNCTION("IFERROR(GOOGLEFINANCE(A357,""high""),"""")"),181.0)</f>
        <v>181</v>
      </c>
      <c r="Y357" s="22">
        <f>IFERROR(__xludf.DUMMYFUNCTION("IFERROR(GOOGLEFINANCE(A357,""low""),"""")"),175.0)</f>
        <v>175</v>
      </c>
      <c r="Z357" s="22">
        <f>IFERROR(__xludf.DUMMYFUNCTION("IFERROR(GOOGLEFINANCE(A357,""volume""),"""")"),380100.0)</f>
        <v>380100</v>
      </c>
      <c r="AA357" s="24" t="str">
        <f>VLOOKUP(A357,Metrik!$C$2:$Y$959,5,0)</f>
        <v>Healthcare Providers</v>
      </c>
      <c r="AB357" s="24" t="str">
        <f>VLOOKUP(A357,Metrik!$C$2:$Y$959,3,0)</f>
        <v>Healthcare</v>
      </c>
    </row>
    <row r="358">
      <c r="A358" s="14" t="s">
        <v>215</v>
      </c>
      <c r="B358" s="14" t="str">
        <f t="array" ref="B358">VLOOKUP(A358,{Metrik!$C$2:$C$998,Metrik!$B$2:$B$998},2,0)</f>
        <v>Bank Mandiri (Persero) Tbk.</v>
      </c>
      <c r="C358" s="15">
        <f>IFERROR(__xludf.DUMMYFUNCTION("GOOGLEFINANCE(""IDX:""&amp;A358,""price"")"),4200.0)</f>
        <v>4200</v>
      </c>
      <c r="D358" s="16" t="str">
        <f>IFERROR(__xludf.DUMMYFUNCTION("IF(A358="""","""",
SPARKLINE(
INDEX(
GOOGLEFINANCE(""IDX:""&amp;A358,""close"",TODAY()-365,TODAY()),
,2
),
{""linewidth"",1}
))
"),"#N/A")</f>
        <v>#N/A</v>
      </c>
      <c r="E358" s="14" t="s">
        <v>47</v>
      </c>
      <c r="F358" s="25">
        <v>46356.0</v>
      </c>
      <c r="G358" s="24">
        <f t="shared" si="1"/>
        <v>23</v>
      </c>
      <c r="H358" s="19">
        <f>VLOOKUP(A358,Metrik!$C$2:$Y$959,8,0)</f>
        <v>6.5</v>
      </c>
      <c r="I358" s="20">
        <f>VLOOKUP(A358,Metrik!$C$2:$Y$959,9,0)</f>
        <v>1.2</v>
      </c>
      <c r="J358" s="20">
        <f>VLOOKUP(A358,Metrik!$C$2:$Y$959,10,0)</f>
        <v>18.6</v>
      </c>
      <c r="K358" s="20">
        <f>VLOOKUP(A358,Metrik!$C$2:$Y$959,11,0)</f>
        <v>2.4</v>
      </c>
      <c r="L358" s="20">
        <f>VLOOKUP(A358,Metrik!$C$2:$Y$959,12,0)</f>
        <v>6.8</v>
      </c>
      <c r="M358" s="20">
        <f>VLOOKUP(A358,Metrik!$C$2:$Y$959,19,0)</f>
        <v>130</v>
      </c>
      <c r="N358" s="44">
        <v>4.93</v>
      </c>
      <c r="O358" s="44">
        <v>20.1</v>
      </c>
      <c r="P358" s="44">
        <v>98.04</v>
      </c>
      <c r="Q358" s="44">
        <v>0.97</v>
      </c>
      <c r="R358" s="44">
        <v>56.46</v>
      </c>
      <c r="S358" s="44">
        <v>35.04</v>
      </c>
      <c r="T358" s="44">
        <v>6.81</v>
      </c>
      <c r="U358" s="22">
        <f>IFERROR(__xludf.DUMMYFUNCTION("IFERROR(GOOGLEFINANCE(A358,""closeyest""),"""")"),4250.0)</f>
        <v>4250</v>
      </c>
      <c r="V358" s="23">
        <f>IFERROR(__xludf.DUMMYFUNCTION("IFERROR(GOOGLEFINANCE(A358,""changepct""),"""")"),-1.18)</f>
        <v>-1.18</v>
      </c>
      <c r="W358" s="22">
        <f>IFERROR(__xludf.DUMMYFUNCTION("IFERROR(GOOGLEFINANCE(A358,""priceopen""),"""")"),4320.0)</f>
        <v>4320</v>
      </c>
      <c r="X358" s="22">
        <f>IFERROR(__xludf.DUMMYFUNCTION("IFERROR(GOOGLEFINANCE(A358,""high""),"""")"),4320.0)</f>
        <v>4320</v>
      </c>
      <c r="Y358" s="22">
        <f>IFERROR(__xludf.DUMMYFUNCTION("IFERROR(GOOGLEFINANCE(A358,""low""),"""")"),4200.0)</f>
        <v>4200</v>
      </c>
      <c r="Z358" s="22" t="str">
        <f>IFERROR(__xludf.DUMMYFUNCTION("IFERROR(GOOGLEFINANCE(A358,""volume""),"""")"),"")</f>
        <v/>
      </c>
      <c r="AA358" s="24" t="str">
        <f>VLOOKUP(A358,Metrik!$C$2:$Y$959,5,0)</f>
        <v>Banks</v>
      </c>
      <c r="AB358" s="24" t="str">
        <f>VLOOKUP(A358,Metrik!$C$2:$Y$959,3,0)</f>
        <v>Financials</v>
      </c>
    </row>
    <row r="359">
      <c r="A359" s="14" t="s">
        <v>215</v>
      </c>
      <c r="B359" s="14" t="str">
        <f t="array" ref="B359">VLOOKUP(A359,{Metrik!$C$2:$C$998,Metrik!$B$2:$B$998},2,0)</f>
        <v>Bank Mandiri (Persero) Tbk.</v>
      </c>
      <c r="C359" s="15">
        <f>IFERROR(__xludf.DUMMYFUNCTION("GOOGLEFINANCE(""IDX:""&amp;A359,""price"")"),4200.0)</f>
        <v>4200</v>
      </c>
      <c r="D359" s="16" t="str">
        <f>IFERROR(__xludf.DUMMYFUNCTION("IF(A359="""","""",
SPARKLINE(
INDEX(
GOOGLEFINANCE(""IDX:""&amp;A359,""close"",TODAY()-365,TODAY()),
,2
),
{""linewidth"",1}
))
"),"#N/A")</f>
        <v>#N/A</v>
      </c>
      <c r="E359" s="14" t="s">
        <v>55</v>
      </c>
      <c r="F359" s="25">
        <v>46356.0</v>
      </c>
      <c r="G359" s="24">
        <f t="shared" si="1"/>
        <v>23</v>
      </c>
      <c r="H359" s="19">
        <f>VLOOKUP(A359,Metrik!$C$2:$Y$959,8,0)</f>
        <v>6.5</v>
      </c>
      <c r="I359" s="20">
        <f>VLOOKUP(A359,Metrik!$C$2:$Y$959,9,0)</f>
        <v>1.2</v>
      </c>
      <c r="J359" s="20">
        <f>VLOOKUP(A359,Metrik!$C$2:$Y$959,10,0)</f>
        <v>18.6</v>
      </c>
      <c r="K359" s="20">
        <f>VLOOKUP(A359,Metrik!$C$2:$Y$959,11,0)</f>
        <v>2.4</v>
      </c>
      <c r="L359" s="20">
        <f>VLOOKUP(A359,Metrik!$C$2:$Y$959,12,0)</f>
        <v>6.8</v>
      </c>
      <c r="M359" s="20">
        <f>VLOOKUP(A359,Metrik!$C$2:$Y$959,19,0)</f>
        <v>130</v>
      </c>
      <c r="N359" s="44">
        <v>4.93</v>
      </c>
      <c r="O359" s="44">
        <v>20.1</v>
      </c>
      <c r="P359" s="44">
        <v>98.04</v>
      </c>
      <c r="Q359" s="44">
        <v>0.97</v>
      </c>
      <c r="R359" s="44">
        <v>56.46</v>
      </c>
      <c r="S359" s="44">
        <v>35.04</v>
      </c>
      <c r="T359" s="44">
        <v>6.81</v>
      </c>
      <c r="U359" s="22">
        <f>IFERROR(__xludf.DUMMYFUNCTION("IFERROR(GOOGLEFINANCE(A359,""closeyest""),"""")"),4250.0)</f>
        <v>4250</v>
      </c>
      <c r="V359" s="23">
        <f>IFERROR(__xludf.DUMMYFUNCTION("IFERROR(GOOGLEFINANCE(A359,""changepct""),"""")"),-1.18)</f>
        <v>-1.18</v>
      </c>
      <c r="W359" s="22">
        <f>IFERROR(__xludf.DUMMYFUNCTION("IFERROR(GOOGLEFINANCE(A359,""priceopen""),"""")"),4320.0)</f>
        <v>4320</v>
      </c>
      <c r="X359" s="22">
        <f>IFERROR(__xludf.DUMMYFUNCTION("IFERROR(GOOGLEFINANCE(A359,""high""),"""")"),4320.0)</f>
        <v>4320</v>
      </c>
      <c r="Y359" s="22">
        <f>IFERROR(__xludf.DUMMYFUNCTION("IFERROR(GOOGLEFINANCE(A359,""low""),"""")"),4200.0)</f>
        <v>4200</v>
      </c>
      <c r="Z359" s="22" t="str">
        <f>IFERROR(__xludf.DUMMYFUNCTION("IFERROR(GOOGLEFINANCE(A359,""volume""),"""")"),"")</f>
        <v/>
      </c>
      <c r="AA359" s="24" t="str">
        <f>VLOOKUP(A359,Metrik!$C$2:$Y$959,5,0)</f>
        <v>Banks</v>
      </c>
      <c r="AB359" s="24" t="str">
        <f>VLOOKUP(A359,Metrik!$C$2:$Y$959,3,0)</f>
        <v>Financials</v>
      </c>
    </row>
    <row r="360">
      <c r="A360" s="17" t="s">
        <v>215</v>
      </c>
      <c r="B360" s="14" t="str">
        <f t="array" ref="B360">VLOOKUP(A360,{Metrik!$C$2:$C$998,Metrik!$B$2:$B$998},2,0)</f>
        <v>Bank Mandiri (Persero) Tbk.</v>
      </c>
      <c r="C360" s="15">
        <f>IFERROR(__xludf.DUMMYFUNCTION("GOOGLEFINANCE(""IDX:""&amp;A360,""price"")"),4200.0)</f>
        <v>4200</v>
      </c>
      <c r="D360" s="16" t="str">
        <f>IFERROR(__xludf.DUMMYFUNCTION("IF(A360="""","""",
SPARKLINE(
INDEX(
GOOGLEFINANCE(""IDX:""&amp;A360,""close"",TODAY()-365,TODAY()),
,2
),
{""linewidth"",1}
))
"),"#N/A")</f>
        <v>#N/A</v>
      </c>
      <c r="E360" s="17" t="s">
        <v>69</v>
      </c>
      <c r="F360" s="27" t="s">
        <v>70</v>
      </c>
      <c r="G360" s="38">
        <f t="shared" si="1"/>
        <v>23</v>
      </c>
      <c r="H360" s="34">
        <f>VLOOKUP(A360,Metrik!$C$2:$Y$959,8,0)</f>
        <v>6.5</v>
      </c>
      <c r="I360" s="34">
        <f>VLOOKUP(A360,Metrik!$C$2:$Y$959,9,0)</f>
        <v>1.2</v>
      </c>
      <c r="J360" s="34">
        <f>VLOOKUP(A360,Metrik!$C$2:$Y$959,10,0)</f>
        <v>18.6</v>
      </c>
      <c r="K360" s="34">
        <f>VLOOKUP(A360,Metrik!$C$2:$Y$959,11,0)</f>
        <v>2.4</v>
      </c>
      <c r="L360" s="34">
        <f>VLOOKUP(A360,Metrik!$C$2:$Y$959,12,0)</f>
        <v>6.8</v>
      </c>
      <c r="M360" s="34">
        <f>VLOOKUP(A360,Metrik!$C$2:$Y$959,19,0)</f>
        <v>130</v>
      </c>
      <c r="N360" s="44">
        <v>4.93</v>
      </c>
      <c r="O360" s="44">
        <v>20.1</v>
      </c>
      <c r="P360" s="44">
        <v>98.04</v>
      </c>
      <c r="Q360" s="44">
        <v>0.97</v>
      </c>
      <c r="R360" s="44">
        <v>56.46</v>
      </c>
      <c r="S360" s="44">
        <v>35.04</v>
      </c>
      <c r="T360" s="44">
        <v>6.81</v>
      </c>
      <c r="U360" s="35">
        <f>IFERROR(__xludf.DUMMYFUNCTION("IFERROR(GOOGLEFINANCE(A360,""closeyest""),"""")"),4250.0)</f>
        <v>4250</v>
      </c>
      <c r="V360" s="36">
        <f>IFERROR(__xludf.DUMMYFUNCTION("IFERROR(GOOGLEFINANCE(A360,""changepct""),"""")"),-1.18)</f>
        <v>-1.18</v>
      </c>
      <c r="W360" s="35">
        <f>IFERROR(__xludf.DUMMYFUNCTION("IFERROR(GOOGLEFINANCE(A360,""priceopen""),"""")"),4320.0)</f>
        <v>4320</v>
      </c>
      <c r="X360" s="35">
        <f>IFERROR(__xludf.DUMMYFUNCTION("IFERROR(GOOGLEFINANCE(A360,""high""),"""")"),4320.0)</f>
        <v>4320</v>
      </c>
      <c r="Y360" s="35">
        <f>IFERROR(__xludf.DUMMYFUNCTION("IFERROR(GOOGLEFINANCE(A360,""low""),"""")"),4200.0)</f>
        <v>4200</v>
      </c>
      <c r="Z360" s="35" t="str">
        <f>IFERROR(__xludf.DUMMYFUNCTION("IFERROR(GOOGLEFINANCE(A360,""volume""),"""")"),"")</f>
        <v/>
      </c>
      <c r="AA360" s="14" t="str">
        <f>VLOOKUP(A360,Metrik!$C$2:$Y$959,5,0)</f>
        <v>Banks</v>
      </c>
      <c r="AB360" s="14" t="str">
        <f>VLOOKUP(A360,Metrik!$C$2:$Y$959,3,0)</f>
        <v>Financials</v>
      </c>
    </row>
    <row r="361">
      <c r="A361" s="17" t="s">
        <v>215</v>
      </c>
      <c r="B361" s="14" t="str">
        <f t="array" ref="B361">VLOOKUP(A361,{Metrik!$C$2:$C$998,Metrik!$B$2:$B$998},2,0)</f>
        <v>Bank Mandiri (Persero) Tbk.</v>
      </c>
      <c r="C361" s="15">
        <f>IFERROR(__xludf.DUMMYFUNCTION("GOOGLEFINANCE(""IDX:""&amp;A361,""price"")"),4200.0)</f>
        <v>4200</v>
      </c>
      <c r="D361" s="16" t="str">
        <f>IFERROR(__xludf.DUMMYFUNCTION("IF(A361="""","""",
SPARKLINE(
INDEX(
GOOGLEFINANCE(""IDX:""&amp;A361,""close"",TODAY()-365,TODAY()),
,2
),
{""linewidth"",1}
))
"),"#N/A")</f>
        <v>#N/A</v>
      </c>
      <c r="E361" s="14" t="s">
        <v>128</v>
      </c>
      <c r="F361" s="17" t="s">
        <v>36</v>
      </c>
      <c r="G361" s="24">
        <f t="shared" si="1"/>
        <v>23</v>
      </c>
      <c r="H361" s="19">
        <f>VLOOKUP(A361,Metrik!$C$2:$Y$959,8,0)</f>
        <v>6.5</v>
      </c>
      <c r="I361" s="20">
        <f>VLOOKUP(A361,Metrik!$C$2:$Y$959,9,0)</f>
        <v>1.2</v>
      </c>
      <c r="J361" s="20">
        <f>VLOOKUP(A361,Metrik!$C$2:$Y$959,10,0)</f>
        <v>18.6</v>
      </c>
      <c r="K361" s="20">
        <f>VLOOKUP(A361,Metrik!$C$2:$Y$959,11,0)</f>
        <v>2.4</v>
      </c>
      <c r="L361" s="20">
        <f>VLOOKUP(A361,Metrik!$C$2:$Y$959,12,0)</f>
        <v>6.8</v>
      </c>
      <c r="M361" s="20">
        <f>VLOOKUP(A361,Metrik!$C$2:$Y$959,19,0)</f>
        <v>130</v>
      </c>
      <c r="N361" s="44">
        <v>4.93</v>
      </c>
      <c r="O361" s="44">
        <v>20.1</v>
      </c>
      <c r="P361" s="44">
        <v>98.04</v>
      </c>
      <c r="Q361" s="44">
        <v>0.97</v>
      </c>
      <c r="R361" s="44">
        <v>56.46</v>
      </c>
      <c r="S361" s="44">
        <v>35.04</v>
      </c>
      <c r="T361" s="44">
        <v>6.81</v>
      </c>
      <c r="U361" s="22">
        <f>IFERROR(__xludf.DUMMYFUNCTION("IFERROR(GOOGLEFINANCE(A361,""closeyest""),"""")"),4250.0)</f>
        <v>4250</v>
      </c>
      <c r="V361" s="23">
        <f>IFERROR(__xludf.DUMMYFUNCTION("IFERROR(GOOGLEFINANCE(A361,""changepct""),"""")"),-1.18)</f>
        <v>-1.18</v>
      </c>
      <c r="W361" s="22">
        <f>IFERROR(__xludf.DUMMYFUNCTION("IFERROR(GOOGLEFINANCE(A361,""priceopen""),"""")"),4320.0)</f>
        <v>4320</v>
      </c>
      <c r="X361" s="22">
        <f>IFERROR(__xludf.DUMMYFUNCTION("IFERROR(GOOGLEFINANCE(A361,""high""),"""")"),4320.0)</f>
        <v>4320</v>
      </c>
      <c r="Y361" s="22">
        <f>IFERROR(__xludf.DUMMYFUNCTION("IFERROR(GOOGLEFINANCE(A361,""low""),"""")"),4200.0)</f>
        <v>4200</v>
      </c>
      <c r="Z361" s="22" t="str">
        <f>IFERROR(__xludf.DUMMYFUNCTION("IFERROR(GOOGLEFINANCE(A361,""volume""),"""")"),"")</f>
        <v/>
      </c>
      <c r="AA361" s="24" t="str">
        <f>VLOOKUP(A361,Metrik!$C$2:$Y$959,5,0)</f>
        <v>Banks</v>
      </c>
      <c r="AB361" s="24" t="str">
        <f>VLOOKUP(A361,Metrik!$C$2:$Y$959,3,0)</f>
        <v>Financials</v>
      </c>
    </row>
    <row r="362">
      <c r="A362" s="14" t="s">
        <v>215</v>
      </c>
      <c r="B362" s="14" t="str">
        <f t="array" ref="B362">VLOOKUP(A362,{Metrik!$C$2:$C$998,Metrik!$B$2:$B$998},2,0)</f>
        <v>Bank Mandiri (Persero) Tbk.</v>
      </c>
      <c r="C362" s="15">
        <f>IFERROR(__xludf.DUMMYFUNCTION("GOOGLEFINANCE(""IDX:""&amp;A362,""price"")"),4200.0)</f>
        <v>4200</v>
      </c>
      <c r="D362" s="16" t="str">
        <f>IFERROR(__xludf.DUMMYFUNCTION("IF(A362="""","""",
SPARKLINE(
INDEX(
GOOGLEFINANCE(""IDX:""&amp;A362,""close"",TODAY()-365,TODAY()),
,2
),
{""linewidth"",1}
))
"),"#N/A")</f>
        <v>#N/A</v>
      </c>
      <c r="E362" s="14" t="s">
        <v>54</v>
      </c>
      <c r="F362" s="14" t="s">
        <v>34</v>
      </c>
      <c r="G362" s="24">
        <f t="shared" si="1"/>
        <v>23</v>
      </c>
      <c r="H362" s="19">
        <f>VLOOKUP(A362,Metrik!$C$2:$Y$959,8,0)</f>
        <v>6.5</v>
      </c>
      <c r="I362" s="20">
        <f>VLOOKUP(A362,Metrik!$C$2:$Y$959,9,0)</f>
        <v>1.2</v>
      </c>
      <c r="J362" s="20">
        <f>VLOOKUP(A362,Metrik!$C$2:$Y$959,10,0)</f>
        <v>18.6</v>
      </c>
      <c r="K362" s="20">
        <f>VLOOKUP(A362,Metrik!$C$2:$Y$959,11,0)</f>
        <v>2.4</v>
      </c>
      <c r="L362" s="20">
        <f>VLOOKUP(A362,Metrik!$C$2:$Y$959,12,0)</f>
        <v>6.8</v>
      </c>
      <c r="M362" s="20">
        <f>VLOOKUP(A362,Metrik!$C$2:$Y$959,19,0)</f>
        <v>130</v>
      </c>
      <c r="N362" s="44">
        <v>4.93</v>
      </c>
      <c r="O362" s="44">
        <v>20.1</v>
      </c>
      <c r="P362" s="44">
        <v>98.04</v>
      </c>
      <c r="Q362" s="44">
        <v>0.97</v>
      </c>
      <c r="R362" s="44">
        <v>56.46</v>
      </c>
      <c r="S362" s="44">
        <v>35.04</v>
      </c>
      <c r="T362" s="44">
        <v>6.81</v>
      </c>
      <c r="U362" s="22">
        <f>IFERROR(__xludf.DUMMYFUNCTION("IFERROR(GOOGLEFINANCE(A362,""closeyest""),"""")"),4250.0)</f>
        <v>4250</v>
      </c>
      <c r="V362" s="23">
        <f>IFERROR(__xludf.DUMMYFUNCTION("IFERROR(GOOGLEFINANCE(A362,""changepct""),"""")"),-1.18)</f>
        <v>-1.18</v>
      </c>
      <c r="W362" s="22">
        <f>IFERROR(__xludf.DUMMYFUNCTION("IFERROR(GOOGLEFINANCE(A362,""priceopen""),"""")"),4320.0)</f>
        <v>4320</v>
      </c>
      <c r="X362" s="22">
        <f>IFERROR(__xludf.DUMMYFUNCTION("IFERROR(GOOGLEFINANCE(A362,""high""),"""")"),4320.0)</f>
        <v>4320</v>
      </c>
      <c r="Y362" s="22">
        <f>IFERROR(__xludf.DUMMYFUNCTION("IFERROR(GOOGLEFINANCE(A362,""low""),"""")"),4200.0)</f>
        <v>4200</v>
      </c>
      <c r="Z362" s="22" t="str">
        <f>IFERROR(__xludf.DUMMYFUNCTION("IFERROR(GOOGLEFINANCE(A362,""volume""),"""")"),"")</f>
        <v/>
      </c>
      <c r="AA362" s="24" t="str">
        <f>VLOOKUP(A362,Metrik!$C$2:$Y$959,5,0)</f>
        <v>Banks</v>
      </c>
      <c r="AB362" s="24" t="str">
        <f>VLOOKUP(A362,Metrik!$C$2:$Y$959,3,0)</f>
        <v>Financials</v>
      </c>
    </row>
    <row r="363">
      <c r="A363" s="14" t="s">
        <v>215</v>
      </c>
      <c r="B363" s="14" t="str">
        <f t="array" ref="B363">VLOOKUP(A363,{Metrik!$C$2:$C$998,Metrik!$B$2:$B$998},2,0)</f>
        <v>Bank Mandiri (Persero) Tbk.</v>
      </c>
      <c r="C363" s="15">
        <f>IFERROR(__xludf.DUMMYFUNCTION("GOOGLEFINANCE(""IDX:""&amp;A363,""price"")"),4200.0)</f>
        <v>4200</v>
      </c>
      <c r="D363" s="16" t="str">
        <f>IFERROR(__xludf.DUMMYFUNCTION("IF(A363="""","""",
SPARKLINE(
INDEX(
GOOGLEFINANCE(""IDX:""&amp;A363,""close"",TODAY()-365,TODAY()),
,2
),
{""linewidth"",1}
))
"),"#N/A")</f>
        <v>#N/A</v>
      </c>
      <c r="E363" s="14" t="s">
        <v>68</v>
      </c>
      <c r="F363" s="14" t="s">
        <v>34</v>
      </c>
      <c r="G363" s="24">
        <f t="shared" si="1"/>
        <v>23</v>
      </c>
      <c r="H363" s="19">
        <f>VLOOKUP(A363,Metrik!$C$2:$Y$959,8,0)</f>
        <v>6.5</v>
      </c>
      <c r="I363" s="20">
        <f>VLOOKUP(A363,Metrik!$C$2:$Y$959,9,0)</f>
        <v>1.2</v>
      </c>
      <c r="J363" s="20">
        <f>VLOOKUP(A363,Metrik!$C$2:$Y$959,10,0)</f>
        <v>18.6</v>
      </c>
      <c r="K363" s="20">
        <f>VLOOKUP(A363,Metrik!$C$2:$Y$959,11,0)</f>
        <v>2.4</v>
      </c>
      <c r="L363" s="20">
        <f>VLOOKUP(A363,Metrik!$C$2:$Y$959,12,0)</f>
        <v>6.8</v>
      </c>
      <c r="M363" s="20">
        <f>VLOOKUP(A363,Metrik!$C$2:$Y$959,19,0)</f>
        <v>130</v>
      </c>
      <c r="N363" s="44">
        <v>4.93</v>
      </c>
      <c r="O363" s="44">
        <v>20.1</v>
      </c>
      <c r="P363" s="44">
        <v>98.04</v>
      </c>
      <c r="Q363" s="44">
        <v>0.97</v>
      </c>
      <c r="R363" s="44">
        <v>56.46</v>
      </c>
      <c r="S363" s="44">
        <v>35.04</v>
      </c>
      <c r="T363" s="44">
        <v>6.81</v>
      </c>
      <c r="U363" s="22">
        <f>IFERROR(__xludf.DUMMYFUNCTION("IFERROR(GOOGLEFINANCE(A363,""closeyest""),"""")"),4250.0)</f>
        <v>4250</v>
      </c>
      <c r="V363" s="23">
        <f>IFERROR(__xludf.DUMMYFUNCTION("IFERROR(GOOGLEFINANCE(A363,""changepct""),"""")"),-1.18)</f>
        <v>-1.18</v>
      </c>
      <c r="W363" s="22">
        <f>IFERROR(__xludf.DUMMYFUNCTION("IFERROR(GOOGLEFINANCE(A363,""priceopen""),"""")"),4320.0)</f>
        <v>4320</v>
      </c>
      <c r="X363" s="22">
        <f>IFERROR(__xludf.DUMMYFUNCTION("IFERROR(GOOGLEFINANCE(A363,""high""),"""")"),4320.0)</f>
        <v>4320</v>
      </c>
      <c r="Y363" s="22">
        <f>IFERROR(__xludf.DUMMYFUNCTION("IFERROR(GOOGLEFINANCE(A363,""low""),"""")"),4200.0)</f>
        <v>4200</v>
      </c>
      <c r="Z363" s="22" t="str">
        <f>IFERROR(__xludf.DUMMYFUNCTION("IFERROR(GOOGLEFINANCE(A363,""volume""),"""")"),"")</f>
        <v/>
      </c>
      <c r="AA363" s="24" t="str">
        <f>VLOOKUP(A363,Metrik!$C$2:$Y$959,5,0)</f>
        <v>Banks</v>
      </c>
      <c r="AB363" s="24" t="str">
        <f>VLOOKUP(A363,Metrik!$C$2:$Y$959,3,0)</f>
        <v>Financials</v>
      </c>
    </row>
    <row r="364">
      <c r="A364" s="14" t="s">
        <v>215</v>
      </c>
      <c r="B364" s="14" t="str">
        <f t="array" ref="B364">VLOOKUP(A364,{Metrik!$C$2:$C$998,Metrik!$B$2:$B$998},2,0)</f>
        <v>Bank Mandiri (Persero) Tbk.</v>
      </c>
      <c r="C364" s="15">
        <f>IFERROR(__xludf.DUMMYFUNCTION("GOOGLEFINANCE(""IDX:""&amp;A364,""price"")"),4200.0)</f>
        <v>4200</v>
      </c>
      <c r="D364" s="16" t="str">
        <f>IFERROR(__xludf.DUMMYFUNCTION("IF(A364="""","""",
SPARKLINE(
INDEX(
GOOGLEFINANCE(""IDX:""&amp;A364,""close"",TODAY()-365,TODAY()),
,2
),
{""linewidth"",1}
))
"),"#N/A")</f>
        <v>#N/A</v>
      </c>
      <c r="E364" s="14" t="s">
        <v>75</v>
      </c>
      <c r="F364" s="14" t="s">
        <v>76</v>
      </c>
      <c r="G364" s="24">
        <f t="shared" si="1"/>
        <v>23</v>
      </c>
      <c r="H364" s="19">
        <f>VLOOKUP(A364,Metrik!$C$2:$Y$959,8,0)</f>
        <v>6.5</v>
      </c>
      <c r="I364" s="20">
        <f>VLOOKUP(A364,Metrik!$C$2:$Y$959,9,0)</f>
        <v>1.2</v>
      </c>
      <c r="J364" s="20">
        <f>VLOOKUP(A364,Metrik!$C$2:$Y$959,10,0)</f>
        <v>18.6</v>
      </c>
      <c r="K364" s="20">
        <f>VLOOKUP(A364,Metrik!$C$2:$Y$959,11,0)</f>
        <v>2.4</v>
      </c>
      <c r="L364" s="20">
        <f>VLOOKUP(A364,Metrik!$C$2:$Y$959,12,0)</f>
        <v>6.8</v>
      </c>
      <c r="M364" s="20">
        <f>VLOOKUP(A364,Metrik!$C$2:$Y$959,19,0)</f>
        <v>130</v>
      </c>
      <c r="N364" s="44">
        <v>4.93</v>
      </c>
      <c r="O364" s="44">
        <v>20.1</v>
      </c>
      <c r="P364" s="44">
        <v>98.04</v>
      </c>
      <c r="Q364" s="44">
        <v>0.97</v>
      </c>
      <c r="R364" s="44">
        <v>56.46</v>
      </c>
      <c r="S364" s="44">
        <v>35.04</v>
      </c>
      <c r="T364" s="44">
        <v>6.81</v>
      </c>
      <c r="U364" s="22">
        <f>IFERROR(__xludf.DUMMYFUNCTION("IFERROR(GOOGLEFINANCE(A364,""closeyest""),"""")"),4250.0)</f>
        <v>4250</v>
      </c>
      <c r="V364" s="23">
        <f>IFERROR(__xludf.DUMMYFUNCTION("IFERROR(GOOGLEFINANCE(A364,""changepct""),"""")"),-1.18)</f>
        <v>-1.18</v>
      </c>
      <c r="W364" s="22">
        <f>IFERROR(__xludf.DUMMYFUNCTION("IFERROR(GOOGLEFINANCE(A364,""priceopen""),"""")"),4320.0)</f>
        <v>4320</v>
      </c>
      <c r="X364" s="22">
        <f>IFERROR(__xludf.DUMMYFUNCTION("IFERROR(GOOGLEFINANCE(A364,""high""),"""")"),4320.0)</f>
        <v>4320</v>
      </c>
      <c r="Y364" s="22">
        <f>IFERROR(__xludf.DUMMYFUNCTION("IFERROR(GOOGLEFINANCE(A364,""low""),"""")"),4200.0)</f>
        <v>4200</v>
      </c>
      <c r="Z364" s="22" t="str">
        <f>IFERROR(__xludf.DUMMYFUNCTION("IFERROR(GOOGLEFINANCE(A364,""volume""),"""")"),"")</f>
        <v/>
      </c>
      <c r="AA364" s="24" t="str">
        <f>VLOOKUP(A364,Metrik!$C$2:$Y$959,5,0)</f>
        <v>Banks</v>
      </c>
      <c r="AB364" s="24" t="str">
        <f>VLOOKUP(A364,Metrik!$C$2:$Y$959,3,0)</f>
        <v>Financials</v>
      </c>
    </row>
    <row r="365">
      <c r="A365" s="14" t="s">
        <v>215</v>
      </c>
      <c r="B365" s="14" t="str">
        <f t="array" ref="B365">VLOOKUP(A365,{Metrik!$C$2:$C$998,Metrik!$B$2:$B$998},2,0)</f>
        <v>Bank Mandiri (Persero) Tbk.</v>
      </c>
      <c r="C365" s="15">
        <f>IFERROR(__xludf.DUMMYFUNCTION("GOOGLEFINANCE(""IDX:""&amp;A365,""price"")"),4200.0)</f>
        <v>4200</v>
      </c>
      <c r="D365" s="16" t="str">
        <f>IFERROR(__xludf.DUMMYFUNCTION("IF(A365="""","""",
SPARKLINE(
INDEX(
GOOGLEFINANCE(""IDX:""&amp;A365,""close"",TODAY()-365,TODAY()),
,2
),
{""linewidth"",1}
))
"),"#N/A")</f>
        <v>#N/A</v>
      </c>
      <c r="E365" s="14" t="s">
        <v>32</v>
      </c>
      <c r="F365" s="14" t="s">
        <v>29</v>
      </c>
      <c r="G365" s="24">
        <f t="shared" si="1"/>
        <v>23</v>
      </c>
      <c r="H365" s="19">
        <f>VLOOKUP(A365,Metrik!$C$2:$Y$959,8,0)</f>
        <v>6.5</v>
      </c>
      <c r="I365" s="20">
        <f>VLOOKUP(A365,Metrik!$C$2:$Y$959,9,0)</f>
        <v>1.2</v>
      </c>
      <c r="J365" s="20">
        <f>VLOOKUP(A365,Metrik!$C$2:$Y$959,10,0)</f>
        <v>18.6</v>
      </c>
      <c r="K365" s="20">
        <f>VLOOKUP(A365,Metrik!$C$2:$Y$959,11,0)</f>
        <v>2.4</v>
      </c>
      <c r="L365" s="20">
        <f>VLOOKUP(A365,Metrik!$C$2:$Y$959,12,0)</f>
        <v>6.8</v>
      </c>
      <c r="M365" s="20">
        <f>VLOOKUP(A365,Metrik!$C$2:$Y$959,19,0)</f>
        <v>130</v>
      </c>
      <c r="N365" s="44">
        <v>4.93</v>
      </c>
      <c r="O365" s="44">
        <v>20.1</v>
      </c>
      <c r="P365" s="44">
        <v>98.04</v>
      </c>
      <c r="Q365" s="44">
        <v>0.97</v>
      </c>
      <c r="R365" s="44">
        <v>56.46</v>
      </c>
      <c r="S365" s="44">
        <v>35.04</v>
      </c>
      <c r="T365" s="44">
        <v>6.81</v>
      </c>
      <c r="U365" s="22">
        <f>IFERROR(__xludf.DUMMYFUNCTION("IFERROR(GOOGLEFINANCE(A365,""closeyest""),"""")"),4250.0)</f>
        <v>4250</v>
      </c>
      <c r="V365" s="23">
        <f>IFERROR(__xludf.DUMMYFUNCTION("IFERROR(GOOGLEFINANCE(A365,""changepct""),"""")"),-1.18)</f>
        <v>-1.18</v>
      </c>
      <c r="W365" s="22">
        <f>IFERROR(__xludf.DUMMYFUNCTION("IFERROR(GOOGLEFINANCE(A365,""priceopen""),"""")"),4320.0)</f>
        <v>4320</v>
      </c>
      <c r="X365" s="22">
        <f>IFERROR(__xludf.DUMMYFUNCTION("IFERROR(GOOGLEFINANCE(A365,""high""),"""")"),4320.0)</f>
        <v>4320</v>
      </c>
      <c r="Y365" s="22">
        <f>IFERROR(__xludf.DUMMYFUNCTION("IFERROR(GOOGLEFINANCE(A365,""low""),"""")"),4200.0)</f>
        <v>4200</v>
      </c>
      <c r="Z365" s="22" t="str">
        <f>IFERROR(__xludf.DUMMYFUNCTION("IFERROR(GOOGLEFINANCE(A365,""volume""),"""")"),"")</f>
        <v/>
      </c>
      <c r="AA365" s="24" t="str">
        <f>VLOOKUP(A365,Metrik!$C$2:$Y$959,5,0)</f>
        <v>Banks</v>
      </c>
      <c r="AB365" s="24" t="str">
        <f>VLOOKUP(A365,Metrik!$C$2:$Y$959,3,0)</f>
        <v>Financials</v>
      </c>
    </row>
    <row r="366">
      <c r="A366" s="14" t="s">
        <v>215</v>
      </c>
      <c r="B366" s="14" t="str">
        <f t="array" ref="B366">VLOOKUP(A366,{Metrik!$C$2:$C$998,Metrik!$B$2:$B$998},2,0)</f>
        <v>Bank Mandiri (Persero) Tbk.</v>
      </c>
      <c r="C366" s="15">
        <f>IFERROR(__xludf.DUMMYFUNCTION("GOOGLEFINANCE(""IDX:""&amp;A366,""price"")"),4200.0)</f>
        <v>4200</v>
      </c>
      <c r="D366" s="16" t="str">
        <f>IFERROR(__xludf.DUMMYFUNCTION("IF(A366="""","""",
SPARKLINE(
INDEX(
GOOGLEFINANCE(""IDX:""&amp;A366,""close"",TODAY()-365,TODAY()),
,2
),
{""linewidth"",1}
))
"),"#N/A")</f>
        <v>#N/A</v>
      </c>
      <c r="E366" s="14" t="s">
        <v>84</v>
      </c>
      <c r="F366" s="17" t="s">
        <v>51</v>
      </c>
      <c r="G366" s="24">
        <f t="shared" si="1"/>
        <v>23</v>
      </c>
      <c r="H366" s="19">
        <f>VLOOKUP(A366,Metrik!$C$2:$Y$959,8,0)</f>
        <v>6.5</v>
      </c>
      <c r="I366" s="20">
        <f>VLOOKUP(A366,Metrik!$C$2:$Y$959,9,0)</f>
        <v>1.2</v>
      </c>
      <c r="J366" s="20">
        <f>VLOOKUP(A366,Metrik!$C$2:$Y$959,10,0)</f>
        <v>18.6</v>
      </c>
      <c r="K366" s="20">
        <f>VLOOKUP(A366,Metrik!$C$2:$Y$959,11,0)</f>
        <v>2.4</v>
      </c>
      <c r="L366" s="20">
        <f>VLOOKUP(A366,Metrik!$C$2:$Y$959,12,0)</f>
        <v>6.8</v>
      </c>
      <c r="M366" s="20">
        <f>VLOOKUP(A366,Metrik!$C$2:$Y$959,19,0)</f>
        <v>130</v>
      </c>
      <c r="N366" s="44">
        <v>4.93</v>
      </c>
      <c r="O366" s="44">
        <v>20.1</v>
      </c>
      <c r="P366" s="44">
        <v>98.04</v>
      </c>
      <c r="Q366" s="44">
        <v>0.97</v>
      </c>
      <c r="R366" s="44">
        <v>56.46</v>
      </c>
      <c r="S366" s="44">
        <v>35.04</v>
      </c>
      <c r="T366" s="44">
        <v>6.81</v>
      </c>
      <c r="U366" s="22">
        <f>IFERROR(__xludf.DUMMYFUNCTION("IFERROR(GOOGLEFINANCE(A366,""closeyest""),"""")"),4250.0)</f>
        <v>4250</v>
      </c>
      <c r="V366" s="23">
        <f>IFERROR(__xludf.DUMMYFUNCTION("IFERROR(GOOGLEFINANCE(A366,""changepct""),"""")"),-1.18)</f>
        <v>-1.18</v>
      </c>
      <c r="W366" s="22">
        <f>IFERROR(__xludf.DUMMYFUNCTION("IFERROR(GOOGLEFINANCE(A366,""priceopen""),"""")"),4320.0)</f>
        <v>4320</v>
      </c>
      <c r="X366" s="22">
        <f>IFERROR(__xludf.DUMMYFUNCTION("IFERROR(GOOGLEFINANCE(A366,""high""),"""")"),4320.0)</f>
        <v>4320</v>
      </c>
      <c r="Y366" s="22">
        <f>IFERROR(__xludf.DUMMYFUNCTION("IFERROR(GOOGLEFINANCE(A366,""low""),"""")"),4200.0)</f>
        <v>4200</v>
      </c>
      <c r="Z366" s="22" t="str">
        <f>IFERROR(__xludf.DUMMYFUNCTION("IFERROR(GOOGLEFINANCE(A366,""volume""),"""")"),"")</f>
        <v/>
      </c>
      <c r="AA366" s="24" t="str">
        <f>VLOOKUP(A366,Metrik!$C$2:$Y$959,5,0)</f>
        <v>Banks</v>
      </c>
      <c r="AB366" s="24" t="str">
        <f>VLOOKUP(A366,Metrik!$C$2:$Y$959,3,0)</f>
        <v>Financials</v>
      </c>
    </row>
    <row r="367">
      <c r="A367" s="14" t="s">
        <v>215</v>
      </c>
      <c r="B367" s="14" t="str">
        <f t="array" ref="B367">VLOOKUP(A367,{Metrik!$C$2:$C$998,Metrik!$B$2:$B$998},2,0)</f>
        <v>Bank Mandiri (Persero) Tbk.</v>
      </c>
      <c r="C367" s="15">
        <f>IFERROR(__xludf.DUMMYFUNCTION("GOOGLEFINANCE(""IDX:""&amp;A367,""price"")"),4200.0)</f>
        <v>4200</v>
      </c>
      <c r="D367" s="16" t="str">
        <f>IFERROR(__xludf.DUMMYFUNCTION("IF(A367="""","""",
SPARKLINE(
INDEX(
GOOGLEFINANCE(""IDX:""&amp;A367,""close"",TODAY()-365,TODAY()),
,2
),
{""linewidth"",1}
))
"),"#N/A")</f>
        <v>#N/A</v>
      </c>
      <c r="E367" s="14" t="s">
        <v>102</v>
      </c>
      <c r="F367" s="27" t="s">
        <v>53</v>
      </c>
      <c r="G367" s="24">
        <f t="shared" si="1"/>
        <v>23</v>
      </c>
      <c r="H367" s="19">
        <f>VLOOKUP(A367,Metrik!$C$2:$Y$959,8,0)</f>
        <v>6.5</v>
      </c>
      <c r="I367" s="20">
        <f>VLOOKUP(A367,Metrik!$C$2:$Y$959,9,0)</f>
        <v>1.2</v>
      </c>
      <c r="J367" s="20">
        <f>VLOOKUP(A367,Metrik!$C$2:$Y$959,10,0)</f>
        <v>18.6</v>
      </c>
      <c r="K367" s="20">
        <f>VLOOKUP(A367,Metrik!$C$2:$Y$959,11,0)</f>
        <v>2.4</v>
      </c>
      <c r="L367" s="20">
        <f>VLOOKUP(A367,Metrik!$C$2:$Y$959,12,0)</f>
        <v>6.8</v>
      </c>
      <c r="M367" s="20">
        <f>VLOOKUP(A367,Metrik!$C$2:$Y$959,19,0)</f>
        <v>130</v>
      </c>
      <c r="N367" s="44">
        <v>4.93</v>
      </c>
      <c r="O367" s="44">
        <v>20.1</v>
      </c>
      <c r="P367" s="44">
        <v>98.04</v>
      </c>
      <c r="Q367" s="44">
        <v>0.97</v>
      </c>
      <c r="R367" s="44">
        <v>56.46</v>
      </c>
      <c r="S367" s="44">
        <v>35.04</v>
      </c>
      <c r="T367" s="44">
        <v>6.81</v>
      </c>
      <c r="U367" s="22">
        <f>IFERROR(__xludf.DUMMYFUNCTION("IFERROR(GOOGLEFINANCE(A367,""closeyest""),"""")"),4250.0)</f>
        <v>4250</v>
      </c>
      <c r="V367" s="23">
        <f>IFERROR(__xludf.DUMMYFUNCTION("IFERROR(GOOGLEFINANCE(A367,""changepct""),"""")"),-1.18)</f>
        <v>-1.18</v>
      </c>
      <c r="W367" s="22">
        <f>IFERROR(__xludf.DUMMYFUNCTION("IFERROR(GOOGLEFINANCE(A367,""priceopen""),"""")"),4320.0)</f>
        <v>4320</v>
      </c>
      <c r="X367" s="22">
        <f>IFERROR(__xludf.DUMMYFUNCTION("IFERROR(GOOGLEFINANCE(A367,""high""),"""")"),4320.0)</f>
        <v>4320</v>
      </c>
      <c r="Y367" s="22">
        <f>IFERROR(__xludf.DUMMYFUNCTION("IFERROR(GOOGLEFINANCE(A367,""low""),"""")"),4200.0)</f>
        <v>4200</v>
      </c>
      <c r="Z367" s="22" t="str">
        <f>IFERROR(__xludf.DUMMYFUNCTION("IFERROR(GOOGLEFINANCE(A367,""volume""),"""")"),"")</f>
        <v/>
      </c>
      <c r="AA367" s="24" t="str">
        <f>VLOOKUP(A367,Metrik!$C$2:$Y$959,5,0)</f>
        <v>Banks</v>
      </c>
      <c r="AB367" s="24" t="str">
        <f>VLOOKUP(A367,Metrik!$C$2:$Y$959,3,0)</f>
        <v>Financials</v>
      </c>
    </row>
    <row r="368">
      <c r="A368" s="14" t="s">
        <v>215</v>
      </c>
      <c r="B368" s="14" t="str">
        <f t="array" ref="B368">VLOOKUP(A368,{Metrik!$C$2:$C$998,Metrik!$B$2:$B$998},2,0)</f>
        <v>Bank Mandiri (Persero) Tbk.</v>
      </c>
      <c r="C368" s="15">
        <f>IFERROR(__xludf.DUMMYFUNCTION("GOOGLEFINANCE(""IDX:""&amp;A368,""price"")"),4200.0)</f>
        <v>4200</v>
      </c>
      <c r="D368" s="16" t="str">
        <f>IFERROR(__xludf.DUMMYFUNCTION("IF(A368="""","""",
SPARKLINE(
INDEX(
GOOGLEFINANCE(""IDX:""&amp;A368,""close"",TODAY()-365,TODAY()),
,2
),
{""linewidth"",1}
))
"),"#N/A")</f>
        <v>#N/A</v>
      </c>
      <c r="E368" s="14" t="s">
        <v>50</v>
      </c>
      <c r="F368" s="17" t="s">
        <v>51</v>
      </c>
      <c r="G368" s="24">
        <f t="shared" si="1"/>
        <v>23</v>
      </c>
      <c r="H368" s="19">
        <f>VLOOKUP(A368,Metrik!$C$2:$Y$959,8,0)</f>
        <v>6.5</v>
      </c>
      <c r="I368" s="20">
        <f>VLOOKUP(A368,Metrik!$C$2:$Y$959,9,0)</f>
        <v>1.2</v>
      </c>
      <c r="J368" s="20">
        <f>VLOOKUP(A368,Metrik!$C$2:$Y$959,10,0)</f>
        <v>18.6</v>
      </c>
      <c r="K368" s="20">
        <f>VLOOKUP(A368,Metrik!$C$2:$Y$959,11,0)</f>
        <v>2.4</v>
      </c>
      <c r="L368" s="20">
        <f>VLOOKUP(A368,Metrik!$C$2:$Y$959,12,0)</f>
        <v>6.8</v>
      </c>
      <c r="M368" s="20">
        <f>VLOOKUP(A368,Metrik!$C$2:$Y$959,19,0)</f>
        <v>130</v>
      </c>
      <c r="N368" s="44">
        <v>4.93</v>
      </c>
      <c r="O368" s="44">
        <v>20.1</v>
      </c>
      <c r="P368" s="44">
        <v>98.04</v>
      </c>
      <c r="Q368" s="44">
        <v>0.97</v>
      </c>
      <c r="R368" s="44">
        <v>56.46</v>
      </c>
      <c r="S368" s="44">
        <v>35.04</v>
      </c>
      <c r="T368" s="44">
        <v>6.81</v>
      </c>
      <c r="U368" s="22">
        <f>IFERROR(__xludf.DUMMYFUNCTION("IFERROR(GOOGLEFINANCE(A368,""closeyest""),"""")"),4250.0)</f>
        <v>4250</v>
      </c>
      <c r="V368" s="23">
        <f>IFERROR(__xludf.DUMMYFUNCTION("IFERROR(GOOGLEFINANCE(A368,""changepct""),"""")"),-1.18)</f>
        <v>-1.18</v>
      </c>
      <c r="W368" s="22">
        <f>IFERROR(__xludf.DUMMYFUNCTION("IFERROR(GOOGLEFINANCE(A368,""priceopen""),"""")"),4320.0)</f>
        <v>4320</v>
      </c>
      <c r="X368" s="22">
        <f>IFERROR(__xludf.DUMMYFUNCTION("IFERROR(GOOGLEFINANCE(A368,""high""),"""")"),4320.0)</f>
        <v>4320</v>
      </c>
      <c r="Y368" s="22">
        <f>IFERROR(__xludf.DUMMYFUNCTION("IFERROR(GOOGLEFINANCE(A368,""low""),"""")"),4200.0)</f>
        <v>4200</v>
      </c>
      <c r="Z368" s="22" t="str">
        <f>IFERROR(__xludf.DUMMYFUNCTION("IFERROR(GOOGLEFINANCE(A368,""volume""),"""")"),"")</f>
        <v/>
      </c>
      <c r="AA368" s="24" t="str">
        <f>VLOOKUP(A368,Metrik!$C$2:$Y$959,5,0)</f>
        <v>Banks</v>
      </c>
      <c r="AB368" s="24" t="str">
        <f>VLOOKUP(A368,Metrik!$C$2:$Y$959,3,0)</f>
        <v>Financials</v>
      </c>
    </row>
    <row r="369">
      <c r="A369" s="14" t="s">
        <v>215</v>
      </c>
      <c r="B369" s="14" t="str">
        <f t="array" ref="B369">VLOOKUP(A369,{Metrik!$C$2:$C$998,Metrik!$B$2:$B$998},2,0)</f>
        <v>Bank Mandiri (Persero) Tbk.</v>
      </c>
      <c r="C369" s="15">
        <f>IFERROR(__xludf.DUMMYFUNCTION("GOOGLEFINANCE(""IDX:""&amp;A369,""price"")"),4200.0)</f>
        <v>4200</v>
      </c>
      <c r="D369" s="16" t="str">
        <f>IFERROR(__xludf.DUMMYFUNCTION("IF(A369="""","""",
SPARKLINE(
INDEX(
GOOGLEFINANCE(""IDX:""&amp;A369,""close"",TODAY()-365,TODAY()),
,2
),
{""linewidth"",1}
))
"),"#N/A")</f>
        <v>#N/A</v>
      </c>
      <c r="E369" s="14" t="s">
        <v>48</v>
      </c>
      <c r="F369" s="14" t="s">
        <v>49</v>
      </c>
      <c r="G369" s="24">
        <f t="shared" si="1"/>
        <v>23</v>
      </c>
      <c r="H369" s="19">
        <f>VLOOKUP(A369,Metrik!$C$2:$Y$959,8,0)</f>
        <v>6.5</v>
      </c>
      <c r="I369" s="20">
        <f>VLOOKUP(A369,Metrik!$C$2:$Y$959,9,0)</f>
        <v>1.2</v>
      </c>
      <c r="J369" s="20">
        <f>VLOOKUP(A369,Metrik!$C$2:$Y$959,10,0)</f>
        <v>18.6</v>
      </c>
      <c r="K369" s="20">
        <f>VLOOKUP(A369,Metrik!$C$2:$Y$959,11,0)</f>
        <v>2.4</v>
      </c>
      <c r="L369" s="20">
        <f>VLOOKUP(A369,Metrik!$C$2:$Y$959,12,0)</f>
        <v>6.8</v>
      </c>
      <c r="M369" s="20">
        <f>VLOOKUP(A369,Metrik!$C$2:$Y$959,19,0)</f>
        <v>130</v>
      </c>
      <c r="N369" s="44">
        <v>4.93</v>
      </c>
      <c r="O369" s="44">
        <v>20.1</v>
      </c>
      <c r="P369" s="44">
        <v>98.04</v>
      </c>
      <c r="Q369" s="44">
        <v>0.97</v>
      </c>
      <c r="R369" s="44">
        <v>56.46</v>
      </c>
      <c r="S369" s="44">
        <v>35.04</v>
      </c>
      <c r="T369" s="44">
        <v>6.81</v>
      </c>
      <c r="U369" s="22">
        <f>IFERROR(__xludf.DUMMYFUNCTION("IFERROR(GOOGLEFINANCE(A369,""closeyest""),"""")"),4250.0)</f>
        <v>4250</v>
      </c>
      <c r="V369" s="23">
        <f>IFERROR(__xludf.DUMMYFUNCTION("IFERROR(GOOGLEFINANCE(A369,""changepct""),"""")"),-1.18)</f>
        <v>-1.18</v>
      </c>
      <c r="W369" s="22">
        <f>IFERROR(__xludf.DUMMYFUNCTION("IFERROR(GOOGLEFINANCE(A369,""priceopen""),"""")"),4320.0)</f>
        <v>4320</v>
      </c>
      <c r="X369" s="22">
        <f>IFERROR(__xludf.DUMMYFUNCTION("IFERROR(GOOGLEFINANCE(A369,""high""),"""")"),4320.0)</f>
        <v>4320</v>
      </c>
      <c r="Y369" s="22">
        <f>IFERROR(__xludf.DUMMYFUNCTION("IFERROR(GOOGLEFINANCE(A369,""low""),"""")"),4200.0)</f>
        <v>4200</v>
      </c>
      <c r="Z369" s="22" t="str">
        <f>IFERROR(__xludf.DUMMYFUNCTION("IFERROR(GOOGLEFINANCE(A369,""volume""),"""")"),"")</f>
        <v/>
      </c>
      <c r="AA369" s="24" t="str">
        <f>VLOOKUP(A369,Metrik!$C$2:$Y$959,5,0)</f>
        <v>Banks</v>
      </c>
      <c r="AB369" s="24" t="str">
        <f>VLOOKUP(A369,Metrik!$C$2:$Y$959,3,0)</f>
        <v>Financials</v>
      </c>
    </row>
    <row r="370">
      <c r="A370" s="14" t="s">
        <v>215</v>
      </c>
      <c r="B370" s="14" t="str">
        <f t="array" ref="B370">VLOOKUP(A370,{Metrik!$C$2:$C$998,Metrik!$B$2:$B$998},2,0)</f>
        <v>Bank Mandiri (Persero) Tbk.</v>
      </c>
      <c r="C370" s="15">
        <f>IFERROR(__xludf.DUMMYFUNCTION("GOOGLEFINANCE(""IDX:""&amp;A370,""price"")"),4200.0)</f>
        <v>4200</v>
      </c>
      <c r="D370" s="16" t="str">
        <f>IFERROR(__xludf.DUMMYFUNCTION("IF(A370="""","""",
SPARKLINE(
INDEX(
GOOGLEFINANCE(""IDX:""&amp;A370,""close"",TODAY()-365,TODAY()),
,2
),
{""linewidth"",1}
))
"),"#N/A")</f>
        <v>#N/A</v>
      </c>
      <c r="E370" s="14" t="s">
        <v>85</v>
      </c>
      <c r="F370" s="17" t="s">
        <v>51</v>
      </c>
      <c r="G370" s="24">
        <f t="shared" si="1"/>
        <v>23</v>
      </c>
      <c r="H370" s="19">
        <f>VLOOKUP(A370,Metrik!$C$2:$Y$959,8,0)</f>
        <v>6.5</v>
      </c>
      <c r="I370" s="20">
        <f>VLOOKUP(A370,Metrik!$C$2:$Y$959,9,0)</f>
        <v>1.2</v>
      </c>
      <c r="J370" s="20">
        <f>VLOOKUP(A370,Metrik!$C$2:$Y$959,10,0)</f>
        <v>18.6</v>
      </c>
      <c r="K370" s="20">
        <f>VLOOKUP(A370,Metrik!$C$2:$Y$959,11,0)</f>
        <v>2.4</v>
      </c>
      <c r="L370" s="20">
        <f>VLOOKUP(A370,Metrik!$C$2:$Y$959,12,0)</f>
        <v>6.8</v>
      </c>
      <c r="M370" s="20">
        <f>VLOOKUP(A370,Metrik!$C$2:$Y$959,19,0)</f>
        <v>130</v>
      </c>
      <c r="N370" s="44">
        <v>4.93</v>
      </c>
      <c r="O370" s="44">
        <v>20.1</v>
      </c>
      <c r="P370" s="44">
        <v>98.04</v>
      </c>
      <c r="Q370" s="44">
        <v>0.97</v>
      </c>
      <c r="R370" s="44">
        <v>56.46</v>
      </c>
      <c r="S370" s="44">
        <v>35.04</v>
      </c>
      <c r="T370" s="44">
        <v>6.81</v>
      </c>
      <c r="U370" s="22">
        <f>IFERROR(__xludf.DUMMYFUNCTION("IFERROR(GOOGLEFINANCE(A370,""closeyest""),"""")"),4250.0)</f>
        <v>4250</v>
      </c>
      <c r="V370" s="23">
        <f>IFERROR(__xludf.DUMMYFUNCTION("IFERROR(GOOGLEFINANCE(A370,""changepct""),"""")"),-1.18)</f>
        <v>-1.18</v>
      </c>
      <c r="W370" s="22">
        <f>IFERROR(__xludf.DUMMYFUNCTION("IFERROR(GOOGLEFINANCE(A370,""priceopen""),"""")"),4320.0)</f>
        <v>4320</v>
      </c>
      <c r="X370" s="22">
        <f>IFERROR(__xludf.DUMMYFUNCTION("IFERROR(GOOGLEFINANCE(A370,""high""),"""")"),4320.0)</f>
        <v>4320</v>
      </c>
      <c r="Y370" s="22">
        <f>IFERROR(__xludf.DUMMYFUNCTION("IFERROR(GOOGLEFINANCE(A370,""low""),"""")"),4200.0)</f>
        <v>4200</v>
      </c>
      <c r="Z370" s="22" t="str">
        <f>IFERROR(__xludf.DUMMYFUNCTION("IFERROR(GOOGLEFINANCE(A370,""volume""),"""")"),"")</f>
        <v/>
      </c>
      <c r="AA370" s="24" t="str">
        <f>VLOOKUP(A370,Metrik!$C$2:$Y$959,5,0)</f>
        <v>Banks</v>
      </c>
      <c r="AB370" s="24" t="str">
        <f>VLOOKUP(A370,Metrik!$C$2:$Y$959,3,0)</f>
        <v>Financials</v>
      </c>
    </row>
    <row r="371">
      <c r="A371" s="14" t="s">
        <v>215</v>
      </c>
      <c r="B371" s="14" t="str">
        <f t="array" ref="B371">VLOOKUP(A371,{Metrik!$C$2:$C$998,Metrik!$B$2:$B$998},2,0)</f>
        <v>Bank Mandiri (Persero) Tbk.</v>
      </c>
      <c r="C371" s="15">
        <f>IFERROR(__xludf.DUMMYFUNCTION("GOOGLEFINANCE(""IDX:""&amp;A371,""price"")"),4200.0)</f>
        <v>4200</v>
      </c>
      <c r="D371" s="16" t="str">
        <f>IFERROR(__xludf.DUMMYFUNCTION("IF(A371="""","""",
SPARKLINE(
INDEX(
GOOGLEFINANCE(""IDX:""&amp;A371,""close"",TODAY()-365,TODAY()),
,2
),
{""linewidth"",1}
))
"),"#N/A")</f>
        <v>#N/A</v>
      </c>
      <c r="E371" s="14" t="s">
        <v>30</v>
      </c>
      <c r="F371" s="17" t="s">
        <v>29</v>
      </c>
      <c r="G371" s="24">
        <f t="shared" si="1"/>
        <v>23</v>
      </c>
      <c r="H371" s="19">
        <f>VLOOKUP(A371,Metrik!$C$2:$Y$959,8,0)</f>
        <v>6.5</v>
      </c>
      <c r="I371" s="20">
        <f>VLOOKUP(A371,Metrik!$C$2:$Y$959,9,0)</f>
        <v>1.2</v>
      </c>
      <c r="J371" s="20">
        <f>VLOOKUP(A371,Metrik!$C$2:$Y$959,10,0)</f>
        <v>18.6</v>
      </c>
      <c r="K371" s="20">
        <f>VLOOKUP(A371,Metrik!$C$2:$Y$959,11,0)</f>
        <v>2.4</v>
      </c>
      <c r="L371" s="20">
        <f>VLOOKUP(A371,Metrik!$C$2:$Y$959,12,0)</f>
        <v>6.8</v>
      </c>
      <c r="M371" s="20">
        <f>VLOOKUP(A371,Metrik!$C$2:$Y$959,19,0)</f>
        <v>130</v>
      </c>
      <c r="N371" s="44">
        <v>4.93</v>
      </c>
      <c r="O371" s="44">
        <v>20.1</v>
      </c>
      <c r="P371" s="44">
        <v>98.04</v>
      </c>
      <c r="Q371" s="44">
        <v>0.97</v>
      </c>
      <c r="R371" s="44">
        <v>56.46</v>
      </c>
      <c r="S371" s="44">
        <v>35.04</v>
      </c>
      <c r="T371" s="44">
        <v>6.81</v>
      </c>
      <c r="U371" s="22">
        <f>IFERROR(__xludf.DUMMYFUNCTION("IFERROR(GOOGLEFINANCE(A371,""closeyest""),"""")"),4250.0)</f>
        <v>4250</v>
      </c>
      <c r="V371" s="23">
        <f>IFERROR(__xludf.DUMMYFUNCTION("IFERROR(GOOGLEFINANCE(A371,""changepct""),"""")"),-1.18)</f>
        <v>-1.18</v>
      </c>
      <c r="W371" s="22">
        <f>IFERROR(__xludf.DUMMYFUNCTION("IFERROR(GOOGLEFINANCE(A371,""priceopen""),"""")"),4320.0)</f>
        <v>4320</v>
      </c>
      <c r="X371" s="22">
        <f>IFERROR(__xludf.DUMMYFUNCTION("IFERROR(GOOGLEFINANCE(A371,""high""),"""")"),4320.0)</f>
        <v>4320</v>
      </c>
      <c r="Y371" s="22">
        <f>IFERROR(__xludf.DUMMYFUNCTION("IFERROR(GOOGLEFINANCE(A371,""low""),"""")"),4200.0)</f>
        <v>4200</v>
      </c>
      <c r="Z371" s="22" t="str">
        <f>IFERROR(__xludf.DUMMYFUNCTION("IFERROR(GOOGLEFINANCE(A371,""volume""),"""")"),"")</f>
        <v/>
      </c>
      <c r="AA371" s="24" t="str">
        <f>VLOOKUP(A371,Metrik!$C$2:$Y$959,5,0)</f>
        <v>Banks</v>
      </c>
      <c r="AB371" s="24" t="str">
        <f>VLOOKUP(A371,Metrik!$C$2:$Y$959,3,0)</f>
        <v>Financials</v>
      </c>
    </row>
    <row r="372">
      <c r="A372" s="14" t="s">
        <v>215</v>
      </c>
      <c r="B372" s="14" t="str">
        <f t="array" ref="B372">VLOOKUP(A372,{Metrik!$C$2:$C$998,Metrik!$B$2:$B$998},2,0)</f>
        <v>Bank Mandiri (Persero) Tbk.</v>
      </c>
      <c r="C372" s="15">
        <f>IFERROR(__xludf.DUMMYFUNCTION("GOOGLEFINANCE(""IDX:""&amp;A372,""price"")"),4200.0)</f>
        <v>4200</v>
      </c>
      <c r="D372" s="16" t="str">
        <f>IFERROR(__xludf.DUMMYFUNCTION("IF(A372="""","""",
SPARKLINE(
INDEX(
GOOGLEFINANCE(""IDX:""&amp;A372,""close"",TODAY()-365,TODAY()),
,2
),
{""linewidth"",1}
))
"),"#N/A")</f>
        <v>#N/A</v>
      </c>
      <c r="E372" s="14" t="s">
        <v>31</v>
      </c>
      <c r="F372" s="17" t="s">
        <v>29</v>
      </c>
      <c r="G372" s="24">
        <f t="shared" si="1"/>
        <v>23</v>
      </c>
      <c r="H372" s="19">
        <f>VLOOKUP(A372,Metrik!$C$2:$Y$959,8,0)</f>
        <v>6.5</v>
      </c>
      <c r="I372" s="20">
        <f>VLOOKUP(A372,Metrik!$C$2:$Y$959,9,0)</f>
        <v>1.2</v>
      </c>
      <c r="J372" s="20">
        <f>VLOOKUP(A372,Metrik!$C$2:$Y$959,10,0)</f>
        <v>18.6</v>
      </c>
      <c r="K372" s="20">
        <f>VLOOKUP(A372,Metrik!$C$2:$Y$959,11,0)</f>
        <v>2.4</v>
      </c>
      <c r="L372" s="20">
        <f>VLOOKUP(A372,Metrik!$C$2:$Y$959,12,0)</f>
        <v>6.8</v>
      </c>
      <c r="M372" s="20">
        <f>VLOOKUP(A372,Metrik!$C$2:$Y$959,19,0)</f>
        <v>130</v>
      </c>
      <c r="N372" s="44">
        <v>4.93</v>
      </c>
      <c r="O372" s="44">
        <v>20.1</v>
      </c>
      <c r="P372" s="44">
        <v>98.04</v>
      </c>
      <c r="Q372" s="44">
        <v>0.97</v>
      </c>
      <c r="R372" s="44">
        <v>56.46</v>
      </c>
      <c r="S372" s="44">
        <v>35.04</v>
      </c>
      <c r="T372" s="44">
        <v>6.81</v>
      </c>
      <c r="U372" s="22">
        <f>IFERROR(__xludf.DUMMYFUNCTION("IFERROR(GOOGLEFINANCE(A372,""closeyest""),"""")"),4250.0)</f>
        <v>4250</v>
      </c>
      <c r="V372" s="23">
        <f>IFERROR(__xludf.DUMMYFUNCTION("IFERROR(GOOGLEFINANCE(A372,""changepct""),"""")"),-1.18)</f>
        <v>-1.18</v>
      </c>
      <c r="W372" s="22">
        <f>IFERROR(__xludf.DUMMYFUNCTION("IFERROR(GOOGLEFINANCE(A372,""priceopen""),"""")"),4320.0)</f>
        <v>4320</v>
      </c>
      <c r="X372" s="22">
        <f>IFERROR(__xludf.DUMMYFUNCTION("IFERROR(GOOGLEFINANCE(A372,""high""),"""")"),4320.0)</f>
        <v>4320</v>
      </c>
      <c r="Y372" s="22">
        <f>IFERROR(__xludf.DUMMYFUNCTION("IFERROR(GOOGLEFINANCE(A372,""low""),"""")"),4200.0)</f>
        <v>4200</v>
      </c>
      <c r="Z372" s="22" t="str">
        <f>IFERROR(__xludf.DUMMYFUNCTION("IFERROR(GOOGLEFINANCE(A372,""volume""),"""")"),"")</f>
        <v/>
      </c>
      <c r="AA372" s="24" t="str">
        <f>VLOOKUP(A372,Metrik!$C$2:$Y$959,5,0)</f>
        <v>Banks</v>
      </c>
      <c r="AB372" s="24" t="str">
        <f>VLOOKUP(A372,Metrik!$C$2:$Y$959,3,0)</f>
        <v>Financials</v>
      </c>
    </row>
    <row r="373">
      <c r="A373" s="14" t="s">
        <v>215</v>
      </c>
      <c r="B373" s="14" t="str">
        <f t="array" ref="B373">VLOOKUP(A373,{Metrik!$C$2:$C$998,Metrik!$B$2:$B$998},2,0)</f>
        <v>Bank Mandiri (Persero) Tbk.</v>
      </c>
      <c r="C373" s="15">
        <f>IFERROR(__xludf.DUMMYFUNCTION("GOOGLEFINANCE(""IDX:""&amp;A373,""price"")"),4200.0)</f>
        <v>4200</v>
      </c>
      <c r="D373" s="16" t="str">
        <f>IFERROR(__xludf.DUMMYFUNCTION("IF(A373="""","""",
SPARKLINE(
INDEX(
GOOGLEFINANCE(""IDX:""&amp;A373,""close"",TODAY()-365,TODAY()),
,2
),
{""linewidth"",1}
))
"),"#N/A")</f>
        <v>#N/A</v>
      </c>
      <c r="E373" s="14" t="s">
        <v>28</v>
      </c>
      <c r="F373" s="17" t="s">
        <v>29</v>
      </c>
      <c r="G373" s="24">
        <f t="shared" si="1"/>
        <v>23</v>
      </c>
      <c r="H373" s="19">
        <f>VLOOKUP(A373,Metrik!$C$2:$Y$959,8,0)</f>
        <v>6.5</v>
      </c>
      <c r="I373" s="20">
        <f>VLOOKUP(A373,Metrik!$C$2:$Y$959,9,0)</f>
        <v>1.2</v>
      </c>
      <c r="J373" s="20">
        <f>VLOOKUP(A373,Metrik!$C$2:$Y$959,10,0)</f>
        <v>18.6</v>
      </c>
      <c r="K373" s="20">
        <f>VLOOKUP(A373,Metrik!$C$2:$Y$959,11,0)</f>
        <v>2.4</v>
      </c>
      <c r="L373" s="20">
        <f>VLOOKUP(A373,Metrik!$C$2:$Y$959,12,0)</f>
        <v>6.8</v>
      </c>
      <c r="M373" s="20">
        <f>VLOOKUP(A373,Metrik!$C$2:$Y$959,19,0)</f>
        <v>130</v>
      </c>
      <c r="N373" s="44">
        <v>4.93</v>
      </c>
      <c r="O373" s="44">
        <v>20.1</v>
      </c>
      <c r="P373" s="44">
        <v>98.04</v>
      </c>
      <c r="Q373" s="44">
        <v>0.97</v>
      </c>
      <c r="R373" s="44">
        <v>56.46</v>
      </c>
      <c r="S373" s="44">
        <v>35.04</v>
      </c>
      <c r="T373" s="44">
        <v>6.81</v>
      </c>
      <c r="U373" s="22">
        <f>IFERROR(__xludf.DUMMYFUNCTION("IFERROR(GOOGLEFINANCE(A373,""closeyest""),"""")"),4250.0)</f>
        <v>4250</v>
      </c>
      <c r="V373" s="23">
        <f>IFERROR(__xludf.DUMMYFUNCTION("IFERROR(GOOGLEFINANCE(A373,""changepct""),"""")"),-1.18)</f>
        <v>-1.18</v>
      </c>
      <c r="W373" s="22">
        <f>IFERROR(__xludf.DUMMYFUNCTION("IFERROR(GOOGLEFINANCE(A373,""priceopen""),"""")"),4320.0)</f>
        <v>4320</v>
      </c>
      <c r="X373" s="22">
        <f>IFERROR(__xludf.DUMMYFUNCTION("IFERROR(GOOGLEFINANCE(A373,""high""),"""")"),4320.0)</f>
        <v>4320</v>
      </c>
      <c r="Y373" s="22">
        <f>IFERROR(__xludf.DUMMYFUNCTION("IFERROR(GOOGLEFINANCE(A373,""low""),"""")"),4200.0)</f>
        <v>4200</v>
      </c>
      <c r="Z373" s="22" t="str">
        <f>IFERROR(__xludf.DUMMYFUNCTION("IFERROR(GOOGLEFINANCE(A373,""volume""),"""")"),"")</f>
        <v/>
      </c>
      <c r="AA373" s="24" t="str">
        <f>VLOOKUP(A373,Metrik!$C$2:$Y$959,5,0)</f>
        <v>Banks</v>
      </c>
      <c r="AB373" s="24" t="str">
        <f>VLOOKUP(A373,Metrik!$C$2:$Y$959,3,0)</f>
        <v>Financials</v>
      </c>
    </row>
    <row r="374">
      <c r="A374" s="14" t="s">
        <v>215</v>
      </c>
      <c r="B374" s="14" t="str">
        <f t="array" ref="B374">VLOOKUP(A374,{Metrik!$C$2:$C$998,Metrik!$B$2:$B$998},2,0)</f>
        <v>Bank Mandiri (Persero) Tbk.</v>
      </c>
      <c r="C374" s="15">
        <f>IFERROR(__xludf.DUMMYFUNCTION("GOOGLEFINANCE(""IDX:""&amp;A374,""price"")"),4200.0)</f>
        <v>4200</v>
      </c>
      <c r="D374" s="16" t="str">
        <f>IFERROR(__xludf.DUMMYFUNCTION("IF(A374="""","""",
SPARKLINE(
INDEX(
GOOGLEFINANCE(""IDX:""&amp;A374,""close"",TODAY()-365,TODAY()),
,2
),
{""linewidth"",1}
))
"),"#N/A")</f>
        <v>#N/A</v>
      </c>
      <c r="E374" s="14" t="s">
        <v>67</v>
      </c>
      <c r="F374" s="17" t="s">
        <v>51</v>
      </c>
      <c r="G374" s="24">
        <f t="shared" si="1"/>
        <v>23</v>
      </c>
      <c r="H374" s="19">
        <f>VLOOKUP(A374,Metrik!$C$2:$Y$959,8,0)</f>
        <v>6.5</v>
      </c>
      <c r="I374" s="20">
        <f>VLOOKUP(A374,Metrik!$C$2:$Y$959,9,0)</f>
        <v>1.2</v>
      </c>
      <c r="J374" s="20">
        <f>VLOOKUP(A374,Metrik!$C$2:$Y$959,10,0)</f>
        <v>18.6</v>
      </c>
      <c r="K374" s="20">
        <f>VLOOKUP(A374,Metrik!$C$2:$Y$959,11,0)</f>
        <v>2.4</v>
      </c>
      <c r="L374" s="20">
        <f>VLOOKUP(A374,Metrik!$C$2:$Y$959,12,0)</f>
        <v>6.8</v>
      </c>
      <c r="M374" s="20">
        <f>VLOOKUP(A374,Metrik!$C$2:$Y$959,19,0)</f>
        <v>130</v>
      </c>
      <c r="N374" s="44">
        <v>4.93</v>
      </c>
      <c r="O374" s="44">
        <v>20.1</v>
      </c>
      <c r="P374" s="44">
        <v>98.04</v>
      </c>
      <c r="Q374" s="44">
        <v>0.97</v>
      </c>
      <c r="R374" s="44">
        <v>56.46</v>
      </c>
      <c r="S374" s="44">
        <v>35.04</v>
      </c>
      <c r="T374" s="44">
        <v>6.81</v>
      </c>
      <c r="U374" s="22">
        <f>IFERROR(__xludf.DUMMYFUNCTION("IFERROR(GOOGLEFINANCE(A374,""closeyest""),"""")"),4250.0)</f>
        <v>4250</v>
      </c>
      <c r="V374" s="23">
        <f>IFERROR(__xludf.DUMMYFUNCTION("IFERROR(GOOGLEFINANCE(A374,""changepct""),"""")"),-1.18)</f>
        <v>-1.18</v>
      </c>
      <c r="W374" s="22">
        <f>IFERROR(__xludf.DUMMYFUNCTION("IFERROR(GOOGLEFINANCE(A374,""priceopen""),"""")"),4320.0)</f>
        <v>4320</v>
      </c>
      <c r="X374" s="22">
        <f>IFERROR(__xludf.DUMMYFUNCTION("IFERROR(GOOGLEFINANCE(A374,""high""),"""")"),4320.0)</f>
        <v>4320</v>
      </c>
      <c r="Y374" s="22">
        <f>IFERROR(__xludf.DUMMYFUNCTION("IFERROR(GOOGLEFINANCE(A374,""low""),"""")"),4200.0)</f>
        <v>4200</v>
      </c>
      <c r="Z374" s="22" t="str">
        <f>IFERROR(__xludf.DUMMYFUNCTION("IFERROR(GOOGLEFINANCE(A374,""volume""),"""")"),"")</f>
        <v/>
      </c>
      <c r="AA374" s="24" t="str">
        <f>VLOOKUP(A374,Metrik!$C$2:$Y$959,5,0)</f>
        <v>Banks</v>
      </c>
      <c r="AB374" s="24" t="str">
        <f>VLOOKUP(A374,Metrik!$C$2:$Y$959,3,0)</f>
        <v>Financials</v>
      </c>
    </row>
    <row r="375">
      <c r="A375" s="14" t="s">
        <v>215</v>
      </c>
      <c r="B375" s="14" t="str">
        <f t="array" ref="B375">VLOOKUP(A375,{Metrik!$C$2:$C$998,Metrik!$B$2:$B$998},2,0)</f>
        <v>Bank Mandiri (Persero) Tbk.</v>
      </c>
      <c r="C375" s="15">
        <f>IFERROR(__xludf.DUMMYFUNCTION("GOOGLEFINANCE(""IDX:""&amp;A375,""price"")"),4200.0)</f>
        <v>4200</v>
      </c>
      <c r="D375" s="16" t="str">
        <f>IFERROR(__xludf.DUMMYFUNCTION("IF(A375="""","""",
SPARKLINE(
INDEX(
GOOGLEFINANCE(""IDX:""&amp;A375,""close"",TODAY()-365,TODAY()),
,2
),
{""linewidth"",1}
))
"),"#N/A")</f>
        <v>#N/A</v>
      </c>
      <c r="E375" s="14" t="s">
        <v>61</v>
      </c>
      <c r="F375" s="14" t="s">
        <v>34</v>
      </c>
      <c r="G375" s="24">
        <f t="shared" si="1"/>
        <v>23</v>
      </c>
      <c r="H375" s="19">
        <f>VLOOKUP(A375,Metrik!$C$2:$Y$959,8,0)</f>
        <v>6.5</v>
      </c>
      <c r="I375" s="20">
        <f>VLOOKUP(A375,Metrik!$C$2:$Y$959,9,0)</f>
        <v>1.2</v>
      </c>
      <c r="J375" s="20">
        <f>VLOOKUP(A375,Metrik!$C$2:$Y$959,10,0)</f>
        <v>18.6</v>
      </c>
      <c r="K375" s="20">
        <f>VLOOKUP(A375,Metrik!$C$2:$Y$959,11,0)</f>
        <v>2.4</v>
      </c>
      <c r="L375" s="20">
        <f>VLOOKUP(A375,Metrik!$C$2:$Y$959,12,0)</f>
        <v>6.8</v>
      </c>
      <c r="M375" s="20">
        <f>VLOOKUP(A375,Metrik!$C$2:$Y$959,19,0)</f>
        <v>130</v>
      </c>
      <c r="N375" s="44">
        <v>4.93</v>
      </c>
      <c r="O375" s="44">
        <v>20.1</v>
      </c>
      <c r="P375" s="44">
        <v>98.04</v>
      </c>
      <c r="Q375" s="44">
        <v>0.97</v>
      </c>
      <c r="R375" s="44">
        <v>56.46</v>
      </c>
      <c r="S375" s="44">
        <v>35.04</v>
      </c>
      <c r="T375" s="44">
        <v>6.81</v>
      </c>
      <c r="U375" s="22">
        <f>IFERROR(__xludf.DUMMYFUNCTION("IFERROR(GOOGLEFINANCE(A375,""closeyest""),"""")"),4250.0)</f>
        <v>4250</v>
      </c>
      <c r="V375" s="23">
        <f>IFERROR(__xludf.DUMMYFUNCTION("IFERROR(GOOGLEFINANCE(A375,""changepct""),"""")"),-1.18)</f>
        <v>-1.18</v>
      </c>
      <c r="W375" s="22">
        <f>IFERROR(__xludf.DUMMYFUNCTION("IFERROR(GOOGLEFINANCE(A375,""priceopen""),"""")"),4320.0)</f>
        <v>4320</v>
      </c>
      <c r="X375" s="22">
        <f>IFERROR(__xludf.DUMMYFUNCTION("IFERROR(GOOGLEFINANCE(A375,""high""),"""")"),4320.0)</f>
        <v>4320</v>
      </c>
      <c r="Y375" s="22">
        <f>IFERROR(__xludf.DUMMYFUNCTION("IFERROR(GOOGLEFINANCE(A375,""low""),"""")"),4200.0)</f>
        <v>4200</v>
      </c>
      <c r="Z375" s="22" t="str">
        <f>IFERROR(__xludf.DUMMYFUNCTION("IFERROR(GOOGLEFINANCE(A375,""volume""),"""")"),"")</f>
        <v/>
      </c>
      <c r="AA375" s="24" t="str">
        <f>VLOOKUP(A375,Metrik!$C$2:$Y$959,5,0)</f>
        <v>Banks</v>
      </c>
      <c r="AB375" s="24" t="str">
        <f>VLOOKUP(A375,Metrik!$C$2:$Y$959,3,0)</f>
        <v>Financials</v>
      </c>
    </row>
    <row r="376">
      <c r="A376" s="14" t="s">
        <v>215</v>
      </c>
      <c r="B376" s="14" t="str">
        <f t="array" ref="B376">VLOOKUP(A376,{Metrik!$C$2:$C$998,Metrik!$B$2:$B$998},2,0)</f>
        <v>Bank Mandiri (Persero) Tbk.</v>
      </c>
      <c r="C376" s="15">
        <f>IFERROR(__xludf.DUMMYFUNCTION("GOOGLEFINANCE(""IDX:""&amp;A376,""price"")"),4200.0)</f>
        <v>4200</v>
      </c>
      <c r="D376" s="16" t="str">
        <f>IFERROR(__xludf.DUMMYFUNCTION("IF(A376="""","""",
SPARKLINE(
INDEX(
GOOGLEFINANCE(""IDX:""&amp;A376,""close"",TODAY()-365,TODAY()),
,2
),
{""linewidth"",1}
))
"),"#N/A")</f>
        <v>#N/A</v>
      </c>
      <c r="E376" s="14" t="s">
        <v>161</v>
      </c>
      <c r="F376" s="14" t="s">
        <v>76</v>
      </c>
      <c r="G376" s="24">
        <f t="shared" si="1"/>
        <v>23</v>
      </c>
      <c r="H376" s="19">
        <f>VLOOKUP(A376,Metrik!$C$2:$Y$959,8,0)</f>
        <v>6.5</v>
      </c>
      <c r="I376" s="20">
        <f>VLOOKUP(A376,Metrik!$C$2:$Y$959,9,0)</f>
        <v>1.2</v>
      </c>
      <c r="J376" s="20">
        <f>VLOOKUP(A376,Metrik!$C$2:$Y$959,10,0)</f>
        <v>18.6</v>
      </c>
      <c r="K376" s="20">
        <f>VLOOKUP(A376,Metrik!$C$2:$Y$959,11,0)</f>
        <v>2.4</v>
      </c>
      <c r="L376" s="20">
        <f>VLOOKUP(A376,Metrik!$C$2:$Y$959,12,0)</f>
        <v>6.8</v>
      </c>
      <c r="M376" s="20">
        <f>VLOOKUP(A376,Metrik!$C$2:$Y$959,19,0)</f>
        <v>130</v>
      </c>
      <c r="N376" s="44">
        <v>4.93</v>
      </c>
      <c r="O376" s="44">
        <v>20.1</v>
      </c>
      <c r="P376" s="44">
        <v>98.04</v>
      </c>
      <c r="Q376" s="44">
        <v>0.97</v>
      </c>
      <c r="R376" s="44">
        <v>56.46</v>
      </c>
      <c r="S376" s="44">
        <v>35.04</v>
      </c>
      <c r="T376" s="44">
        <v>6.81</v>
      </c>
      <c r="U376" s="22">
        <f>IFERROR(__xludf.DUMMYFUNCTION("IFERROR(GOOGLEFINANCE(A376,""closeyest""),"""")"),4250.0)</f>
        <v>4250</v>
      </c>
      <c r="V376" s="23">
        <f>IFERROR(__xludf.DUMMYFUNCTION("IFERROR(GOOGLEFINANCE(A376,""changepct""),"""")"),-1.18)</f>
        <v>-1.18</v>
      </c>
      <c r="W376" s="22">
        <f>IFERROR(__xludf.DUMMYFUNCTION("IFERROR(GOOGLEFINANCE(A376,""priceopen""),"""")"),4320.0)</f>
        <v>4320</v>
      </c>
      <c r="X376" s="22">
        <f>IFERROR(__xludf.DUMMYFUNCTION("IFERROR(GOOGLEFINANCE(A376,""high""),"""")"),4320.0)</f>
        <v>4320</v>
      </c>
      <c r="Y376" s="22">
        <f>IFERROR(__xludf.DUMMYFUNCTION("IFERROR(GOOGLEFINANCE(A376,""low""),"""")"),4200.0)</f>
        <v>4200</v>
      </c>
      <c r="Z376" s="22" t="str">
        <f>IFERROR(__xludf.DUMMYFUNCTION("IFERROR(GOOGLEFINANCE(A376,""volume""),"""")"),"")</f>
        <v/>
      </c>
      <c r="AA376" s="24" t="str">
        <f>VLOOKUP(A376,Metrik!$C$2:$Y$959,5,0)</f>
        <v>Banks</v>
      </c>
      <c r="AB376" s="24" t="str">
        <f>VLOOKUP(A376,Metrik!$C$2:$Y$959,3,0)</f>
        <v>Financials</v>
      </c>
    </row>
    <row r="377">
      <c r="A377" s="14" t="s">
        <v>215</v>
      </c>
      <c r="B377" s="14" t="str">
        <f t="array" ref="B377">VLOOKUP(A377,{Metrik!$C$2:$C$998,Metrik!$B$2:$B$998},2,0)</f>
        <v>Bank Mandiri (Persero) Tbk.</v>
      </c>
      <c r="C377" s="15">
        <f>IFERROR(__xludf.DUMMYFUNCTION("GOOGLEFINANCE(""IDX:""&amp;A377,""price"")"),4200.0)</f>
        <v>4200</v>
      </c>
      <c r="D377" s="16" t="str">
        <f>IFERROR(__xludf.DUMMYFUNCTION("IF(A377="""","""",
SPARKLINE(
INDEX(
GOOGLEFINANCE(""IDX:""&amp;A377,""close"",TODAY()-365,TODAY()),
,2
),
{""linewidth"",1}
))
"),"#N/A")</f>
        <v>#N/A</v>
      </c>
      <c r="E377" s="14" t="s">
        <v>52</v>
      </c>
      <c r="F377" s="27" t="s">
        <v>53</v>
      </c>
      <c r="G377" s="24">
        <f t="shared" si="1"/>
        <v>23</v>
      </c>
      <c r="H377" s="19">
        <f>VLOOKUP(A377,Metrik!$C$2:$Y$959,8,0)</f>
        <v>6.5</v>
      </c>
      <c r="I377" s="20">
        <f>VLOOKUP(A377,Metrik!$C$2:$Y$959,9,0)</f>
        <v>1.2</v>
      </c>
      <c r="J377" s="20">
        <f>VLOOKUP(A377,Metrik!$C$2:$Y$959,10,0)</f>
        <v>18.6</v>
      </c>
      <c r="K377" s="20">
        <f>VLOOKUP(A377,Metrik!$C$2:$Y$959,11,0)</f>
        <v>2.4</v>
      </c>
      <c r="L377" s="20">
        <f>VLOOKUP(A377,Metrik!$C$2:$Y$959,12,0)</f>
        <v>6.8</v>
      </c>
      <c r="M377" s="20">
        <f>VLOOKUP(A377,Metrik!$C$2:$Y$959,19,0)</f>
        <v>130</v>
      </c>
      <c r="N377" s="44">
        <v>4.93</v>
      </c>
      <c r="O377" s="44">
        <v>20.1</v>
      </c>
      <c r="P377" s="44">
        <v>98.04</v>
      </c>
      <c r="Q377" s="44">
        <v>0.97</v>
      </c>
      <c r="R377" s="44">
        <v>56.46</v>
      </c>
      <c r="S377" s="44">
        <v>35.04</v>
      </c>
      <c r="T377" s="44">
        <v>6.81</v>
      </c>
      <c r="U377" s="22">
        <f>IFERROR(__xludf.DUMMYFUNCTION("IFERROR(GOOGLEFINANCE(A377,""closeyest""),"""")"),4250.0)</f>
        <v>4250</v>
      </c>
      <c r="V377" s="23">
        <f>IFERROR(__xludf.DUMMYFUNCTION("IFERROR(GOOGLEFINANCE(A377,""changepct""),"""")"),-1.18)</f>
        <v>-1.18</v>
      </c>
      <c r="W377" s="22">
        <f>IFERROR(__xludf.DUMMYFUNCTION("IFERROR(GOOGLEFINANCE(A377,""priceopen""),"""")"),4320.0)</f>
        <v>4320</v>
      </c>
      <c r="X377" s="22">
        <f>IFERROR(__xludf.DUMMYFUNCTION("IFERROR(GOOGLEFINANCE(A377,""high""),"""")"),4320.0)</f>
        <v>4320</v>
      </c>
      <c r="Y377" s="22">
        <f>IFERROR(__xludf.DUMMYFUNCTION("IFERROR(GOOGLEFINANCE(A377,""low""),"""")"),4200.0)</f>
        <v>4200</v>
      </c>
      <c r="Z377" s="22" t="str">
        <f>IFERROR(__xludf.DUMMYFUNCTION("IFERROR(GOOGLEFINANCE(A377,""volume""),"""")"),"")</f>
        <v/>
      </c>
      <c r="AA377" s="24" t="str">
        <f>VLOOKUP(A377,Metrik!$C$2:$Y$959,5,0)</f>
        <v>Banks</v>
      </c>
      <c r="AB377" s="24" t="str">
        <f>VLOOKUP(A377,Metrik!$C$2:$Y$959,3,0)</f>
        <v>Financials</v>
      </c>
    </row>
    <row r="378">
      <c r="A378" s="14" t="s">
        <v>215</v>
      </c>
      <c r="B378" s="14" t="str">
        <f t="array" ref="B378">VLOOKUP(A378,{Metrik!$C$2:$C$998,Metrik!$B$2:$B$998},2,0)</f>
        <v>Bank Mandiri (Persero) Tbk.</v>
      </c>
      <c r="C378" s="15">
        <f>IFERROR(__xludf.DUMMYFUNCTION("GOOGLEFINANCE(""IDX:""&amp;A378,""price"")"),4200.0)</f>
        <v>4200</v>
      </c>
      <c r="D378" s="16" t="str">
        <f>IFERROR(__xludf.DUMMYFUNCTION("IF(A378="""","""",
SPARKLINE(
INDEX(
GOOGLEFINANCE(""IDX:""&amp;A378,""close"",TODAY()-365,TODAY()),
,2
),
{""linewidth"",1}
))
"),"#N/A")</f>
        <v>#N/A</v>
      </c>
      <c r="E378" s="14" t="s">
        <v>162</v>
      </c>
      <c r="F378" s="14" t="s">
        <v>76</v>
      </c>
      <c r="G378" s="24">
        <f t="shared" si="1"/>
        <v>23</v>
      </c>
      <c r="H378" s="19">
        <f>VLOOKUP(A378,Metrik!$C$2:$Y$959,8,0)</f>
        <v>6.5</v>
      </c>
      <c r="I378" s="20">
        <f>VLOOKUP(A378,Metrik!$C$2:$Y$959,9,0)</f>
        <v>1.2</v>
      </c>
      <c r="J378" s="20">
        <f>VLOOKUP(A378,Metrik!$C$2:$Y$959,10,0)</f>
        <v>18.6</v>
      </c>
      <c r="K378" s="20">
        <f>VLOOKUP(A378,Metrik!$C$2:$Y$959,11,0)</f>
        <v>2.4</v>
      </c>
      <c r="L378" s="20">
        <f>VLOOKUP(A378,Metrik!$C$2:$Y$959,12,0)</f>
        <v>6.8</v>
      </c>
      <c r="M378" s="20">
        <f>VLOOKUP(A378,Metrik!$C$2:$Y$959,19,0)</f>
        <v>130</v>
      </c>
      <c r="N378" s="44">
        <v>4.93</v>
      </c>
      <c r="O378" s="44">
        <v>20.1</v>
      </c>
      <c r="P378" s="44">
        <v>98.04</v>
      </c>
      <c r="Q378" s="44">
        <v>0.97</v>
      </c>
      <c r="R378" s="44">
        <v>56.46</v>
      </c>
      <c r="S378" s="44">
        <v>35.04</v>
      </c>
      <c r="T378" s="44">
        <v>6.81</v>
      </c>
      <c r="U378" s="22">
        <f>IFERROR(__xludf.DUMMYFUNCTION("IFERROR(GOOGLEFINANCE(A378,""closeyest""),"""")"),4250.0)</f>
        <v>4250</v>
      </c>
      <c r="V378" s="23">
        <f>IFERROR(__xludf.DUMMYFUNCTION("IFERROR(GOOGLEFINANCE(A378,""changepct""),"""")"),-1.18)</f>
        <v>-1.18</v>
      </c>
      <c r="W378" s="22">
        <f>IFERROR(__xludf.DUMMYFUNCTION("IFERROR(GOOGLEFINANCE(A378,""priceopen""),"""")"),4320.0)</f>
        <v>4320</v>
      </c>
      <c r="X378" s="22">
        <f>IFERROR(__xludf.DUMMYFUNCTION("IFERROR(GOOGLEFINANCE(A378,""high""),"""")"),4320.0)</f>
        <v>4320</v>
      </c>
      <c r="Y378" s="22">
        <f>IFERROR(__xludf.DUMMYFUNCTION("IFERROR(GOOGLEFINANCE(A378,""low""),"""")"),4200.0)</f>
        <v>4200</v>
      </c>
      <c r="Z378" s="22" t="str">
        <f>IFERROR(__xludf.DUMMYFUNCTION("IFERROR(GOOGLEFINANCE(A378,""volume""),"""")"),"")</f>
        <v/>
      </c>
      <c r="AA378" s="24" t="str">
        <f>VLOOKUP(A378,Metrik!$C$2:$Y$959,5,0)</f>
        <v>Banks</v>
      </c>
      <c r="AB378" s="24" t="str">
        <f>VLOOKUP(A378,Metrik!$C$2:$Y$959,3,0)</f>
        <v>Financials</v>
      </c>
    </row>
    <row r="379">
      <c r="A379" s="14" t="s">
        <v>215</v>
      </c>
      <c r="B379" s="14" t="str">
        <f t="array" ref="B379">VLOOKUP(A379,{Metrik!$C$2:$C$998,Metrik!$B$2:$B$998},2,0)</f>
        <v>Bank Mandiri (Persero) Tbk.</v>
      </c>
      <c r="C379" s="15">
        <f>IFERROR(__xludf.DUMMYFUNCTION("GOOGLEFINANCE(""IDX:""&amp;A379,""price"")"),4200.0)</f>
        <v>4200</v>
      </c>
      <c r="D379" s="16" t="str">
        <f>IFERROR(__xludf.DUMMYFUNCTION("IF(A379="""","""",
SPARKLINE(
INDEX(
GOOGLEFINANCE(""IDX:""&amp;A379,""close"",TODAY()-365,TODAY()),
,2
),
{""linewidth"",1}
))
"),"#N/A")</f>
        <v>#N/A</v>
      </c>
      <c r="E379" s="14" t="s">
        <v>86</v>
      </c>
      <c r="F379" s="25">
        <v>46356.0</v>
      </c>
      <c r="G379" s="24">
        <f t="shared" si="1"/>
        <v>23</v>
      </c>
      <c r="H379" s="19">
        <f>VLOOKUP(A379,Metrik!$C$2:$Y$959,8,0)</f>
        <v>6.5</v>
      </c>
      <c r="I379" s="20">
        <f>VLOOKUP(A379,Metrik!$C$2:$Y$959,9,0)</f>
        <v>1.2</v>
      </c>
      <c r="J379" s="20">
        <f>VLOOKUP(A379,Metrik!$C$2:$Y$959,10,0)</f>
        <v>18.6</v>
      </c>
      <c r="K379" s="20">
        <f>VLOOKUP(A379,Metrik!$C$2:$Y$959,11,0)</f>
        <v>2.4</v>
      </c>
      <c r="L379" s="20">
        <f>VLOOKUP(A379,Metrik!$C$2:$Y$959,12,0)</f>
        <v>6.8</v>
      </c>
      <c r="M379" s="20">
        <f>VLOOKUP(A379,Metrik!$C$2:$Y$959,19,0)</f>
        <v>130</v>
      </c>
      <c r="N379" s="44">
        <v>4.93</v>
      </c>
      <c r="O379" s="44">
        <v>20.1</v>
      </c>
      <c r="P379" s="44">
        <v>98.04</v>
      </c>
      <c r="Q379" s="44">
        <v>0.97</v>
      </c>
      <c r="R379" s="44">
        <v>56.46</v>
      </c>
      <c r="S379" s="44">
        <v>35.04</v>
      </c>
      <c r="T379" s="44">
        <v>6.81</v>
      </c>
      <c r="U379" s="22">
        <f>IFERROR(__xludf.DUMMYFUNCTION("IFERROR(GOOGLEFINANCE(A379,""closeyest""),"""")"),4250.0)</f>
        <v>4250</v>
      </c>
      <c r="V379" s="23">
        <f>IFERROR(__xludf.DUMMYFUNCTION("IFERROR(GOOGLEFINANCE(A379,""changepct""),"""")"),-1.18)</f>
        <v>-1.18</v>
      </c>
      <c r="W379" s="22">
        <f>IFERROR(__xludf.DUMMYFUNCTION("IFERROR(GOOGLEFINANCE(A379,""priceopen""),"""")"),4320.0)</f>
        <v>4320</v>
      </c>
      <c r="X379" s="22">
        <f>IFERROR(__xludf.DUMMYFUNCTION("IFERROR(GOOGLEFINANCE(A379,""high""),"""")"),4320.0)</f>
        <v>4320</v>
      </c>
      <c r="Y379" s="22">
        <f>IFERROR(__xludf.DUMMYFUNCTION("IFERROR(GOOGLEFINANCE(A379,""low""),"""")"),4200.0)</f>
        <v>4200</v>
      </c>
      <c r="Z379" s="22" t="str">
        <f>IFERROR(__xludf.DUMMYFUNCTION("IFERROR(GOOGLEFINANCE(A379,""volume""),"""")"),"")</f>
        <v/>
      </c>
      <c r="AA379" s="24" t="str">
        <f>VLOOKUP(A379,Metrik!$C$2:$Y$959,5,0)</f>
        <v>Banks</v>
      </c>
      <c r="AB379" s="24" t="str">
        <f>VLOOKUP(A379,Metrik!$C$2:$Y$959,3,0)</f>
        <v>Financials</v>
      </c>
    </row>
    <row r="380">
      <c r="A380" s="14" t="s">
        <v>215</v>
      </c>
      <c r="B380" s="14" t="str">
        <f t="array" ref="B380">VLOOKUP(A380,{Metrik!$C$2:$C$998,Metrik!$B$2:$B$998},2,0)</f>
        <v>Bank Mandiri (Persero) Tbk.</v>
      </c>
      <c r="C380" s="15">
        <f>IFERROR(__xludf.DUMMYFUNCTION("GOOGLEFINANCE(""IDX:""&amp;A380,""price"")"),4200.0)</f>
        <v>4200</v>
      </c>
      <c r="D380" s="16" t="str">
        <f>IFERROR(__xludf.DUMMYFUNCTION("IF(A380="""","""",
SPARKLINE(
INDEX(
GOOGLEFINANCE(""IDX:""&amp;A380,""close"",TODAY()-365,TODAY()),
,2
),
{""linewidth"",1}
))
"),"#N/A")</f>
        <v>#N/A</v>
      </c>
      <c r="E380" s="14" t="s">
        <v>42</v>
      </c>
      <c r="F380" s="25">
        <v>46356.0</v>
      </c>
      <c r="G380" s="24">
        <f t="shared" si="1"/>
        <v>23</v>
      </c>
      <c r="H380" s="19">
        <f>VLOOKUP(A380,Metrik!$C$2:$Y$959,8,0)</f>
        <v>6.5</v>
      </c>
      <c r="I380" s="20">
        <f>VLOOKUP(A380,Metrik!$C$2:$Y$959,9,0)</f>
        <v>1.2</v>
      </c>
      <c r="J380" s="20">
        <f>VLOOKUP(A380,Metrik!$C$2:$Y$959,10,0)</f>
        <v>18.6</v>
      </c>
      <c r="K380" s="20">
        <f>VLOOKUP(A380,Metrik!$C$2:$Y$959,11,0)</f>
        <v>2.4</v>
      </c>
      <c r="L380" s="20">
        <f>VLOOKUP(A380,Metrik!$C$2:$Y$959,12,0)</f>
        <v>6.8</v>
      </c>
      <c r="M380" s="20">
        <f>VLOOKUP(A380,Metrik!$C$2:$Y$959,19,0)</f>
        <v>130</v>
      </c>
      <c r="N380" s="44">
        <v>4.93</v>
      </c>
      <c r="O380" s="44">
        <v>20.1</v>
      </c>
      <c r="P380" s="44">
        <v>98.04</v>
      </c>
      <c r="Q380" s="44">
        <v>0.97</v>
      </c>
      <c r="R380" s="44">
        <v>56.46</v>
      </c>
      <c r="S380" s="44">
        <v>35.04</v>
      </c>
      <c r="T380" s="44">
        <v>6.81</v>
      </c>
      <c r="U380" s="22">
        <f>IFERROR(__xludf.DUMMYFUNCTION("IFERROR(GOOGLEFINANCE(A380,""closeyest""),"""")"),4250.0)</f>
        <v>4250</v>
      </c>
      <c r="V380" s="23">
        <f>IFERROR(__xludf.DUMMYFUNCTION("IFERROR(GOOGLEFINANCE(A380,""changepct""),"""")"),-1.18)</f>
        <v>-1.18</v>
      </c>
      <c r="W380" s="22">
        <f>IFERROR(__xludf.DUMMYFUNCTION("IFERROR(GOOGLEFINANCE(A380,""priceopen""),"""")"),4320.0)</f>
        <v>4320</v>
      </c>
      <c r="X380" s="22">
        <f>IFERROR(__xludf.DUMMYFUNCTION("IFERROR(GOOGLEFINANCE(A380,""high""),"""")"),4320.0)</f>
        <v>4320</v>
      </c>
      <c r="Y380" s="22">
        <f>IFERROR(__xludf.DUMMYFUNCTION("IFERROR(GOOGLEFINANCE(A380,""low""),"""")"),4200.0)</f>
        <v>4200</v>
      </c>
      <c r="Z380" s="22" t="str">
        <f>IFERROR(__xludf.DUMMYFUNCTION("IFERROR(GOOGLEFINANCE(A380,""volume""),"""")"),"")</f>
        <v/>
      </c>
      <c r="AA380" s="24" t="str">
        <f>VLOOKUP(A380,Metrik!$C$2:$Y$959,5,0)</f>
        <v>Banks</v>
      </c>
      <c r="AB380" s="24" t="str">
        <f>VLOOKUP(A380,Metrik!$C$2:$Y$959,3,0)</f>
        <v>Financials</v>
      </c>
    </row>
    <row r="381">
      <c r="A381" s="14" t="s">
        <v>216</v>
      </c>
      <c r="B381" s="14" t="str">
        <f t="array" ref="B381">VLOOKUP(A381,{Metrik!$C$2:$C$998,Metrik!$B$2:$B$998},2,0)</f>
        <v>Bintang Mitra Semestaraya Tbk</v>
      </c>
      <c r="C381" s="15">
        <f>IFERROR(__xludf.DUMMYFUNCTION("GOOGLEFINANCE(""IDX:""&amp;A381,""price"")"),288.0)</f>
        <v>288</v>
      </c>
      <c r="D381" s="16" t="str">
        <f>IFERROR(__xludf.DUMMYFUNCTION("IF(A381="""","""",
SPARKLINE(
INDEX(
GOOGLEFINANCE(""IDX:""&amp;A381,""close"",TODAY()-365,TODAY()),
,2
),
{""linewidth"",1}
))
"),"#N/A")</f>
        <v>#N/A</v>
      </c>
      <c r="E381" s="26"/>
      <c r="F381" s="26"/>
      <c r="G381" s="24">
        <f t="shared" si="1"/>
        <v>0</v>
      </c>
      <c r="H381" s="19">
        <f>VLOOKUP(A381,Metrik!$C$2:$Y$959,8,0)</f>
        <v>3.5</v>
      </c>
      <c r="I381" s="20">
        <f>VLOOKUP(A381,Metrik!$C$2:$Y$959,9,0)</f>
        <v>0.38</v>
      </c>
      <c r="J381" s="20">
        <f>VLOOKUP(A381,Metrik!$C$2:$Y$959,10,0)</f>
        <v>10.8</v>
      </c>
      <c r="K381" s="20">
        <f>VLOOKUP(A381,Metrik!$C$2:$Y$959,11,0)</f>
        <v>6.1</v>
      </c>
      <c r="L381" s="20">
        <f>VLOOKUP(A381,Metrik!$C$2:$Y$959,12,0)</f>
        <v>0.78</v>
      </c>
      <c r="M381" s="20">
        <f>VLOOKUP(A381,Metrik!$C$2:$Y$959,19,0)</f>
        <v>13.4</v>
      </c>
      <c r="N381" s="21"/>
      <c r="O381" s="21"/>
      <c r="P381" s="21"/>
      <c r="Q381" s="21"/>
      <c r="R381" s="21"/>
      <c r="S381" s="21"/>
      <c r="T381" s="21"/>
      <c r="U381" s="22">
        <f>IFERROR(__xludf.DUMMYFUNCTION("IFERROR(GOOGLEFINANCE(A381,""closeyest""),"""")"),262.0)</f>
        <v>262</v>
      </c>
      <c r="V381" s="23" t="str">
        <f>IFERROR(__xludf.DUMMYFUNCTION("IFERROR(GOOGLEFINANCE(A381,""changepct""),"""")"),"")</f>
        <v/>
      </c>
      <c r="W381" s="22">
        <f>IFERROR(__xludf.DUMMYFUNCTION("IFERROR(GOOGLEFINANCE(A381,""priceopen""),"""")"),290.0)</f>
        <v>290</v>
      </c>
      <c r="X381" s="22">
        <f>IFERROR(__xludf.DUMMYFUNCTION("IFERROR(GOOGLEFINANCE(A381,""high""),"""")"),300.0)</f>
        <v>300</v>
      </c>
      <c r="Y381" s="22">
        <f>IFERROR(__xludf.DUMMYFUNCTION("IFERROR(GOOGLEFINANCE(A381,""low""),"""")"),264.0)</f>
        <v>264</v>
      </c>
      <c r="Z381" s="22">
        <f>IFERROR(__xludf.DUMMYFUNCTION("IFERROR(GOOGLEFINANCE(A381,""volume""),"""")"),50400.0)</f>
        <v>50400</v>
      </c>
      <c r="AA381" s="24" t="str">
        <f>VLOOKUP(A381,Metrik!$C$2:$Y$959,5,0)</f>
        <v>Chemicals</v>
      </c>
      <c r="AB381" s="24" t="str">
        <f>VLOOKUP(A381,Metrik!$C$2:$Y$959,3,0)</f>
        <v>Basic Materials</v>
      </c>
    </row>
    <row r="382">
      <c r="A382" s="14" t="s">
        <v>217</v>
      </c>
      <c r="B382" s="14" t="str">
        <f t="array" ref="B382">VLOOKUP(A382,{Metrik!$C$2:$C$998,Metrik!$B$2:$B$998},2,0)</f>
        <v>PT Global Mediacom Tbk</v>
      </c>
      <c r="C382" s="15">
        <f>IFERROR(__xludf.DUMMYFUNCTION("GOOGLEFINANCE(""IDX:""&amp;A382,""price"")"),119.0)</f>
        <v>119</v>
      </c>
      <c r="D382" s="16" t="str">
        <f>IFERROR(__xludf.DUMMYFUNCTION("IF(A382="""","""",
SPARKLINE(
INDEX(
GOOGLEFINANCE(""IDX:""&amp;A382,""close"",TODAY()-365,TODAY()),
,2
),
{""linewidth"",1}
))
"),"#N/A")</f>
        <v>#N/A</v>
      </c>
      <c r="E382" s="26"/>
      <c r="F382" s="26"/>
      <c r="G382" s="24">
        <f t="shared" si="1"/>
        <v>0</v>
      </c>
      <c r="H382" s="19">
        <f>VLOOKUP(A382,Metrik!$C$2:$Y$959,8,0)</f>
        <v>2.5</v>
      </c>
      <c r="I382" s="20">
        <f>VLOOKUP(A382,Metrik!$C$2:$Y$959,9,0)</f>
        <v>0.07</v>
      </c>
      <c r="J382" s="20">
        <f>VLOOKUP(A382,Metrik!$C$2:$Y$959,10,0)</f>
        <v>2.9</v>
      </c>
      <c r="K382" s="20">
        <f>VLOOKUP(A382,Metrik!$C$2:$Y$959,11,0)</f>
        <v>2.4</v>
      </c>
      <c r="L382" s="20">
        <f>VLOOKUP(A382,Metrik!$C$2:$Y$959,12,0)</f>
        <v>0.23</v>
      </c>
      <c r="M382" s="20">
        <f>VLOOKUP(A382,Metrik!$C$2:$Y$959,19,0)</f>
        <v>35.3</v>
      </c>
      <c r="N382" s="21"/>
      <c r="O382" s="21"/>
      <c r="P382" s="21"/>
      <c r="Q382" s="21"/>
      <c r="R382" s="21"/>
      <c r="S382" s="21"/>
      <c r="T382" s="21"/>
      <c r="U382" s="22">
        <f>IFERROR(__xludf.DUMMYFUNCTION("IFERROR(GOOGLEFINANCE(A382,""closeyest""),"""")"),114.0)</f>
        <v>114</v>
      </c>
      <c r="V382" s="23">
        <f>IFERROR(__xludf.DUMMYFUNCTION("IFERROR(GOOGLEFINANCE(A382,""changepct""),"""")"),4.39)</f>
        <v>4.39</v>
      </c>
      <c r="W382" s="22">
        <f>IFERROR(__xludf.DUMMYFUNCTION("IFERROR(GOOGLEFINANCE(A382,""priceopen""),"""")"),114.0)</f>
        <v>114</v>
      </c>
      <c r="X382" s="22">
        <f>IFERROR(__xludf.DUMMYFUNCTION("IFERROR(GOOGLEFINANCE(A382,""high""),"""")"),119.0)</f>
        <v>119</v>
      </c>
      <c r="Y382" s="22">
        <f>IFERROR(__xludf.DUMMYFUNCTION("IFERROR(GOOGLEFINANCE(A382,""low""),"""")"),114.0)</f>
        <v>114</v>
      </c>
      <c r="Z382" s="22">
        <f>IFERROR(__xludf.DUMMYFUNCTION("IFERROR(GOOGLEFINANCE(A382,""volume""),"""")"),2.61078E7)</f>
        <v>26107800</v>
      </c>
      <c r="AA382" s="24" t="str">
        <f>VLOOKUP(A382,Metrik!$C$2:$Y$959,5,0)</f>
        <v>Multi-sector Holdings</v>
      </c>
      <c r="AB382" s="24" t="str">
        <f>VLOOKUP(A382,Metrik!$C$2:$Y$959,3,0)</f>
        <v>Industrials</v>
      </c>
    </row>
    <row r="383">
      <c r="A383" s="14" t="s">
        <v>218</v>
      </c>
      <c r="B383" s="14" t="str">
        <f t="array" ref="B383">VLOOKUP(A383,{Metrik!$C$2:$C$998,Metrik!$B$2:$B$998},2,0)</f>
        <v>Bank Bumi Arta Tbk</v>
      </c>
      <c r="C383" s="15">
        <f>IFERROR(__xludf.DUMMYFUNCTION("GOOGLEFINANCE(""IDX:""&amp;A383,""price"")"),785.0)</f>
        <v>785</v>
      </c>
      <c r="D383" s="16" t="str">
        <f>IFERROR(__xludf.DUMMYFUNCTION("IF(A383="""","""",
SPARKLINE(
INDEX(
GOOGLEFINANCE(""IDX:""&amp;A383,""close"",TODAY()-365,TODAY()),
,2
),
{""linewidth"",1}
))
"),"#N/A")</f>
        <v>#N/A</v>
      </c>
      <c r="E383" s="26"/>
      <c r="F383" s="26"/>
      <c r="G383" s="24">
        <f t="shared" si="1"/>
        <v>0</v>
      </c>
      <c r="H383" s="19">
        <f>VLOOKUP(A383,Metrik!$C$2:$Y$959,8,0)</f>
        <v>1000</v>
      </c>
      <c r="I383" s="20">
        <f>VLOOKUP(A383,Metrik!$C$2:$Y$959,9,0)</f>
        <v>0.7</v>
      </c>
      <c r="J383" s="20">
        <f>VLOOKUP(A383,Metrik!$C$2:$Y$959,10,0)</f>
        <v>0.07</v>
      </c>
      <c r="K383" s="20">
        <f>VLOOKUP(A383,Metrik!$C$2:$Y$959,11,0)</f>
        <v>0.03</v>
      </c>
      <c r="L383" s="20">
        <f>VLOOKUP(A383,Metrik!$C$2:$Y$959,12,0)</f>
        <v>1.6</v>
      </c>
      <c r="M383" s="20">
        <f>VLOOKUP(A383,Metrik!$C$2:$Y$959,19,0)</f>
        <v>1.8</v>
      </c>
      <c r="N383" s="32">
        <v>3.42</v>
      </c>
      <c r="O383" s="32">
        <v>34.15</v>
      </c>
      <c r="P383" s="32">
        <v>77.12</v>
      </c>
      <c r="Q383" s="32">
        <v>3.05</v>
      </c>
      <c r="R383" s="32">
        <v>94.12</v>
      </c>
      <c r="S383" s="32">
        <v>78.15</v>
      </c>
      <c r="T383" s="32">
        <v>10.4</v>
      </c>
      <c r="U383" s="22">
        <f>IFERROR(__xludf.DUMMYFUNCTION("IFERROR(GOOGLEFINANCE(A383,""closeyest""),"""")"),39.76)</f>
        <v>39.76</v>
      </c>
      <c r="V383" s="23">
        <f>IFERROR(__xludf.DUMMYFUNCTION("IFERROR(GOOGLEFINANCE(A383,""changepct""),"""")"),-0.05)</f>
        <v>-0.05</v>
      </c>
      <c r="W383" s="22">
        <f>IFERROR(__xludf.DUMMYFUNCTION("IFERROR(GOOGLEFINANCE(A383,""priceopen""),"""")"),39.74)</f>
        <v>39.74</v>
      </c>
      <c r="X383" s="22">
        <f>IFERROR(__xludf.DUMMYFUNCTION("IFERROR(GOOGLEFINANCE(A383,""high""),"""")"),39.74)</f>
        <v>39.74</v>
      </c>
      <c r="Y383" s="22">
        <f>IFERROR(__xludf.DUMMYFUNCTION("IFERROR(GOOGLEFINANCE(A383,""low""),"""")"),39.74)</f>
        <v>39.74</v>
      </c>
      <c r="Z383" s="22">
        <f>IFERROR(__xludf.DUMMYFUNCTION("IFERROR(GOOGLEFINANCE(A383,""volume""),"""")"),0.0)</f>
        <v>0</v>
      </c>
      <c r="AA383" s="24" t="str">
        <f>VLOOKUP(A383,Metrik!$C$2:$Y$959,5,0)</f>
        <v>Banks</v>
      </c>
      <c r="AB383" s="24" t="str">
        <f>VLOOKUP(A383,Metrik!$C$2:$Y$959,3,0)</f>
        <v>Financials</v>
      </c>
    </row>
    <row r="384">
      <c r="A384" s="14" t="s">
        <v>219</v>
      </c>
      <c r="B384" s="14" t="str">
        <f t="array" ref="B384">VLOOKUP(A384,{Metrik!$C$2:$C$998,Metrik!$B$2:$B$998},2,0)</f>
        <v>Bakrie &amp; Brothers Tbk</v>
      </c>
      <c r="C384" s="15">
        <f>IFERROR(__xludf.DUMMYFUNCTION("GOOGLEFINANCE(""IDX:""&amp;A384,""price"")"),110.0)</f>
        <v>110</v>
      </c>
      <c r="D384" s="16" t="str">
        <f>IFERROR(__xludf.DUMMYFUNCTION("IF(A384="""","""",
SPARKLINE(
INDEX(
GOOGLEFINANCE(""IDX:""&amp;A384,""close"",TODAY()-365,TODAY()),
,2
),
{""linewidth"",1}
))
"),"#N/A")</f>
        <v>#N/A</v>
      </c>
      <c r="E384" s="26"/>
      <c r="F384" s="26"/>
      <c r="G384" s="24">
        <f t="shared" si="1"/>
        <v>0</v>
      </c>
      <c r="H384" s="19">
        <f>VLOOKUP(A384,Metrik!$C$2:$Y$959,8,0)</f>
        <v>50.3</v>
      </c>
      <c r="I384" s="20">
        <f>VLOOKUP(A384,Metrik!$C$2:$Y$959,9,0)</f>
        <v>4.6</v>
      </c>
      <c r="J384" s="20">
        <f>VLOOKUP(A384,Metrik!$C$2:$Y$959,10,0)</f>
        <v>9.2</v>
      </c>
      <c r="K384" s="20">
        <f>VLOOKUP(A384,Metrik!$C$2:$Y$959,11,0)</f>
        <v>1.8</v>
      </c>
      <c r="L384" s="20">
        <f>VLOOKUP(A384,Metrik!$C$2:$Y$959,12,0)</f>
        <v>4</v>
      </c>
      <c r="M384" s="20">
        <f>VLOOKUP(A384,Metrik!$C$2:$Y$959,19,0)</f>
        <v>39.2</v>
      </c>
      <c r="N384" s="21"/>
      <c r="O384" s="21"/>
      <c r="P384" s="21"/>
      <c r="Q384" s="21"/>
      <c r="R384" s="21"/>
      <c r="S384" s="21"/>
      <c r="T384" s="21"/>
      <c r="U384" s="22">
        <f>IFERROR(__xludf.DUMMYFUNCTION("IFERROR(GOOGLEFINANCE(A384,""closeyest""),"""")"),98.0)</f>
        <v>98</v>
      </c>
      <c r="V384" s="23">
        <f>IFERROR(__xludf.DUMMYFUNCTION("IFERROR(GOOGLEFINANCE(A384,""changepct""),"""")"),12.24)</f>
        <v>12.24</v>
      </c>
      <c r="W384" s="22">
        <f>IFERROR(__xludf.DUMMYFUNCTION("IFERROR(GOOGLEFINANCE(A384,""priceopen""),"""")"),100.0)</f>
        <v>100</v>
      </c>
      <c r="X384" s="22">
        <f>IFERROR(__xludf.DUMMYFUNCTION("IFERROR(GOOGLEFINANCE(A384,""high""),"""")"),114.0)</f>
        <v>114</v>
      </c>
      <c r="Y384" s="22">
        <f>IFERROR(__xludf.DUMMYFUNCTION("IFERROR(GOOGLEFINANCE(A384,""low""),"""")"),100.0)</f>
        <v>100</v>
      </c>
      <c r="Z384" s="22">
        <f>IFERROR(__xludf.DUMMYFUNCTION("IFERROR(GOOGLEFINANCE(A384,""volume""),"""")"),1.9779377E9)</f>
        <v>1977937700</v>
      </c>
      <c r="AA384" s="24" t="str">
        <f>VLOOKUP(A384,Metrik!$C$2:$Y$959,5,0)</f>
        <v>Multi-sector Holdings</v>
      </c>
      <c r="AB384" s="24" t="str">
        <f>VLOOKUP(A384,Metrik!$C$2:$Y$959,3,0)</f>
        <v>Industrials</v>
      </c>
    </row>
    <row r="385">
      <c r="A385" s="14" t="s">
        <v>220</v>
      </c>
      <c r="B385" s="14" t="str">
        <f t="array" ref="B385">VLOOKUP(A385,{Metrik!$C$2:$C$998,Metrik!$B$2:$B$998},2,0)</f>
        <v>PT Bank CIMB Niaga Tbk</v>
      </c>
      <c r="C385" s="15">
        <f>IFERROR(__xludf.DUMMYFUNCTION("GOOGLEFINANCE(""IDX:""&amp;A385,""price"")"),1550.0)</f>
        <v>1550</v>
      </c>
      <c r="D385" s="16" t="str">
        <f>IFERROR(__xludf.DUMMYFUNCTION("IF(A385="""","""",
SPARKLINE(
INDEX(
GOOGLEFINANCE(""IDX:""&amp;A385,""close"",TODAY()-365,TODAY()),
,2
),
{""linewidth"",1}
))
"),"#N/A")</f>
        <v>#N/A</v>
      </c>
      <c r="E385" s="14" t="s">
        <v>75</v>
      </c>
      <c r="F385" s="14" t="s">
        <v>76</v>
      </c>
      <c r="G385" s="24">
        <f t="shared" si="1"/>
        <v>5</v>
      </c>
      <c r="H385" s="19">
        <f>VLOOKUP(A385,Metrik!$C$2:$Y$959,8,0)</f>
        <v>5.9</v>
      </c>
      <c r="I385" s="20">
        <f>VLOOKUP(A385,Metrik!$C$2:$Y$959,9,0)</f>
        <v>0.69</v>
      </c>
      <c r="J385" s="20">
        <f>VLOOKUP(A385,Metrik!$C$2:$Y$959,10,0)</f>
        <v>11.6</v>
      </c>
      <c r="K385" s="20">
        <f>VLOOKUP(A385,Metrik!$C$2:$Y$959,11,0)</f>
        <v>1.9</v>
      </c>
      <c r="L385" s="20">
        <f>VLOOKUP(A385,Metrik!$C$2:$Y$959,12,0)</f>
        <v>5.2</v>
      </c>
      <c r="M385" s="20">
        <f>VLOOKUP(A385,Metrik!$C$2:$Y$959,19,0)</f>
        <v>110</v>
      </c>
      <c r="N385" s="44">
        <v>4.37</v>
      </c>
      <c r="O385" s="44">
        <v>24.83</v>
      </c>
      <c r="P385" s="44">
        <v>86.81</v>
      </c>
      <c r="Q385" s="44">
        <v>2.05</v>
      </c>
      <c r="R385" s="44">
        <v>73.11</v>
      </c>
      <c r="S385" s="44">
        <v>45.21</v>
      </c>
      <c r="T385" s="44">
        <v>10.03</v>
      </c>
      <c r="U385" s="22">
        <f>IFERROR(__xludf.DUMMYFUNCTION("IFERROR(GOOGLEFINANCE(A385,""closeyest""),"""")"),1525.0)</f>
        <v>1525</v>
      </c>
      <c r="V385" s="23">
        <f>IFERROR(__xludf.DUMMYFUNCTION("IFERROR(GOOGLEFINANCE(A385,""changepct""),"""")"),1.64)</f>
        <v>1.64</v>
      </c>
      <c r="W385" s="22">
        <f>IFERROR(__xludf.DUMMYFUNCTION("IFERROR(GOOGLEFINANCE(A385,""priceopen""),"""")"),1525.0)</f>
        <v>1525</v>
      </c>
      <c r="X385" s="22">
        <f>IFERROR(__xludf.DUMMYFUNCTION("IFERROR(GOOGLEFINANCE(A385,""high""),"""")"),1560.0)</f>
        <v>1560</v>
      </c>
      <c r="Y385" s="22">
        <f>IFERROR(__xludf.DUMMYFUNCTION("IFERROR(GOOGLEFINANCE(A385,""low""),"""")"),1525.0)</f>
        <v>1525</v>
      </c>
      <c r="Z385" s="22">
        <f>IFERROR(__xludf.DUMMYFUNCTION("IFERROR(GOOGLEFINANCE(A385,""volume""),"""")"),4464900.0)</f>
        <v>4464900</v>
      </c>
      <c r="AA385" s="24" t="str">
        <f>VLOOKUP(A385,Metrik!$C$2:$Y$959,5,0)</f>
        <v>Banks</v>
      </c>
      <c r="AB385" s="24" t="str">
        <f>VLOOKUP(A385,Metrik!$C$2:$Y$959,3,0)</f>
        <v>Financials</v>
      </c>
    </row>
    <row r="386">
      <c r="A386" s="14" t="s">
        <v>220</v>
      </c>
      <c r="B386" s="14" t="str">
        <f t="array" ref="B386">VLOOKUP(A386,{Metrik!$C$2:$C$998,Metrik!$B$2:$B$998},2,0)</f>
        <v>PT Bank CIMB Niaga Tbk</v>
      </c>
      <c r="C386" s="15">
        <f>IFERROR(__xludf.DUMMYFUNCTION("GOOGLEFINANCE(""IDX:""&amp;A386,""price"")"),1550.0)</f>
        <v>1550</v>
      </c>
      <c r="D386" s="16" t="str">
        <f>IFERROR(__xludf.DUMMYFUNCTION("IF(A386="""","""",
SPARKLINE(
INDEX(
GOOGLEFINANCE(""IDX:""&amp;A386,""close"",TODAY()-365,TODAY()),
,2
),
{""linewidth"",1}
))
"),"#N/A")</f>
        <v>#N/A</v>
      </c>
      <c r="E386" s="14" t="s">
        <v>84</v>
      </c>
      <c r="F386" s="17" t="s">
        <v>51</v>
      </c>
      <c r="G386" s="24">
        <f t="shared" si="1"/>
        <v>5</v>
      </c>
      <c r="H386" s="19">
        <f>VLOOKUP(A386,Metrik!$C$2:$Y$959,8,0)</f>
        <v>5.9</v>
      </c>
      <c r="I386" s="20">
        <f>VLOOKUP(A386,Metrik!$C$2:$Y$959,9,0)</f>
        <v>0.69</v>
      </c>
      <c r="J386" s="20">
        <f>VLOOKUP(A386,Metrik!$C$2:$Y$959,10,0)</f>
        <v>11.6</v>
      </c>
      <c r="K386" s="20">
        <f>VLOOKUP(A386,Metrik!$C$2:$Y$959,11,0)</f>
        <v>1.9</v>
      </c>
      <c r="L386" s="20">
        <f>VLOOKUP(A386,Metrik!$C$2:$Y$959,12,0)</f>
        <v>5.2</v>
      </c>
      <c r="M386" s="20">
        <f>VLOOKUP(A386,Metrik!$C$2:$Y$959,19,0)</f>
        <v>110</v>
      </c>
      <c r="N386" s="44">
        <v>4.37</v>
      </c>
      <c r="O386" s="44">
        <v>24.83</v>
      </c>
      <c r="P386" s="44">
        <v>86.81</v>
      </c>
      <c r="Q386" s="44">
        <v>2.05</v>
      </c>
      <c r="R386" s="44">
        <v>73.11</v>
      </c>
      <c r="S386" s="44">
        <v>45.21</v>
      </c>
      <c r="T386" s="44">
        <v>10.03</v>
      </c>
      <c r="U386" s="22">
        <f>IFERROR(__xludf.DUMMYFUNCTION("IFERROR(GOOGLEFINANCE(A386,""closeyest""),"""")"),1525.0)</f>
        <v>1525</v>
      </c>
      <c r="V386" s="23">
        <f>IFERROR(__xludf.DUMMYFUNCTION("IFERROR(GOOGLEFINANCE(A386,""changepct""),"""")"),1.64)</f>
        <v>1.64</v>
      </c>
      <c r="W386" s="22">
        <f>IFERROR(__xludf.DUMMYFUNCTION("IFERROR(GOOGLEFINANCE(A386,""priceopen""),"""")"),1525.0)</f>
        <v>1525</v>
      </c>
      <c r="X386" s="22">
        <f>IFERROR(__xludf.DUMMYFUNCTION("IFERROR(GOOGLEFINANCE(A386,""high""),"""")"),1560.0)</f>
        <v>1560</v>
      </c>
      <c r="Y386" s="22">
        <f>IFERROR(__xludf.DUMMYFUNCTION("IFERROR(GOOGLEFINANCE(A386,""low""),"""")"),1525.0)</f>
        <v>1525</v>
      </c>
      <c r="Z386" s="22">
        <f>IFERROR(__xludf.DUMMYFUNCTION("IFERROR(GOOGLEFINANCE(A386,""volume""),"""")"),4464900.0)</f>
        <v>4464900</v>
      </c>
      <c r="AA386" s="24" t="str">
        <f>VLOOKUP(A386,Metrik!$C$2:$Y$959,5,0)</f>
        <v>Banks</v>
      </c>
      <c r="AB386" s="24" t="str">
        <f>VLOOKUP(A386,Metrik!$C$2:$Y$959,3,0)</f>
        <v>Financials</v>
      </c>
    </row>
    <row r="387">
      <c r="A387" s="14" t="s">
        <v>220</v>
      </c>
      <c r="B387" s="14" t="str">
        <f t="array" ref="B387">VLOOKUP(A387,{Metrik!$C$2:$C$998,Metrik!$B$2:$B$998},2,0)</f>
        <v>PT Bank CIMB Niaga Tbk</v>
      </c>
      <c r="C387" s="15">
        <f>IFERROR(__xludf.DUMMYFUNCTION("GOOGLEFINANCE(""IDX:""&amp;A387,""price"")"),1550.0)</f>
        <v>1550</v>
      </c>
      <c r="D387" s="16" t="str">
        <f>IFERROR(__xludf.DUMMYFUNCTION("IF(A387="""","""",
SPARKLINE(
INDEX(
GOOGLEFINANCE(""IDX:""&amp;A387,""close"",TODAY()-365,TODAY()),
,2
),
{""linewidth"",1}
))
"),"#N/A")</f>
        <v>#N/A</v>
      </c>
      <c r="E387" s="14" t="s">
        <v>162</v>
      </c>
      <c r="F387" s="14" t="s">
        <v>76</v>
      </c>
      <c r="G387" s="24">
        <f t="shared" si="1"/>
        <v>5</v>
      </c>
      <c r="H387" s="19">
        <f>VLOOKUP(A387,Metrik!$C$2:$Y$959,8,0)</f>
        <v>5.9</v>
      </c>
      <c r="I387" s="20">
        <f>VLOOKUP(A387,Metrik!$C$2:$Y$959,9,0)</f>
        <v>0.69</v>
      </c>
      <c r="J387" s="20">
        <f>VLOOKUP(A387,Metrik!$C$2:$Y$959,10,0)</f>
        <v>11.6</v>
      </c>
      <c r="K387" s="20">
        <f>VLOOKUP(A387,Metrik!$C$2:$Y$959,11,0)</f>
        <v>1.9</v>
      </c>
      <c r="L387" s="20">
        <f>VLOOKUP(A387,Metrik!$C$2:$Y$959,12,0)</f>
        <v>5.2</v>
      </c>
      <c r="M387" s="20">
        <f>VLOOKUP(A387,Metrik!$C$2:$Y$959,19,0)</f>
        <v>110</v>
      </c>
      <c r="N387" s="44">
        <v>4.37</v>
      </c>
      <c r="O387" s="44">
        <v>24.83</v>
      </c>
      <c r="P387" s="44">
        <v>86.81</v>
      </c>
      <c r="Q387" s="44">
        <v>2.05</v>
      </c>
      <c r="R387" s="44">
        <v>73.11</v>
      </c>
      <c r="S387" s="44">
        <v>45.21</v>
      </c>
      <c r="T387" s="44">
        <v>10.03</v>
      </c>
      <c r="U387" s="22">
        <f>IFERROR(__xludf.DUMMYFUNCTION("IFERROR(GOOGLEFINANCE(A387,""closeyest""),"""")"),1525.0)</f>
        <v>1525</v>
      </c>
      <c r="V387" s="23">
        <f>IFERROR(__xludf.DUMMYFUNCTION("IFERROR(GOOGLEFINANCE(A387,""changepct""),"""")"),1.64)</f>
        <v>1.64</v>
      </c>
      <c r="W387" s="22">
        <f>IFERROR(__xludf.DUMMYFUNCTION("IFERROR(GOOGLEFINANCE(A387,""priceopen""),"""")"),1525.0)</f>
        <v>1525</v>
      </c>
      <c r="X387" s="22">
        <f>IFERROR(__xludf.DUMMYFUNCTION("IFERROR(GOOGLEFINANCE(A387,""high""),"""")"),1560.0)</f>
        <v>1560</v>
      </c>
      <c r="Y387" s="22">
        <f>IFERROR(__xludf.DUMMYFUNCTION("IFERROR(GOOGLEFINANCE(A387,""low""),"""")"),1525.0)</f>
        <v>1525</v>
      </c>
      <c r="Z387" s="22">
        <f>IFERROR(__xludf.DUMMYFUNCTION("IFERROR(GOOGLEFINANCE(A387,""volume""),"""")"),4464900.0)</f>
        <v>4464900</v>
      </c>
      <c r="AA387" s="24" t="str">
        <f>VLOOKUP(A387,Metrik!$C$2:$Y$959,5,0)</f>
        <v>Banks</v>
      </c>
      <c r="AB387" s="24" t="str">
        <f>VLOOKUP(A387,Metrik!$C$2:$Y$959,3,0)</f>
        <v>Financials</v>
      </c>
    </row>
    <row r="388">
      <c r="A388" s="14" t="s">
        <v>220</v>
      </c>
      <c r="B388" s="14" t="str">
        <f t="array" ref="B388">VLOOKUP(A388,{Metrik!$C$2:$C$998,Metrik!$B$2:$B$998},2,0)</f>
        <v>PT Bank CIMB Niaga Tbk</v>
      </c>
      <c r="C388" s="15">
        <f>IFERROR(__xludf.DUMMYFUNCTION("GOOGLEFINANCE(""IDX:""&amp;A388,""price"")"),1550.0)</f>
        <v>1550</v>
      </c>
      <c r="D388" s="16" t="str">
        <f>IFERROR(__xludf.DUMMYFUNCTION("IF(A388="""","""",
SPARKLINE(
INDEX(
GOOGLEFINANCE(""IDX:""&amp;A388,""close"",TODAY()-365,TODAY()),
,2
),
{""linewidth"",1}
))
"),"#N/A")</f>
        <v>#N/A</v>
      </c>
      <c r="E388" s="14" t="s">
        <v>41</v>
      </c>
      <c r="F388" s="14" t="s">
        <v>34</v>
      </c>
      <c r="G388" s="24">
        <f t="shared" si="1"/>
        <v>5</v>
      </c>
      <c r="H388" s="19">
        <f>VLOOKUP(A388,Metrik!$C$2:$Y$959,8,0)</f>
        <v>5.9</v>
      </c>
      <c r="I388" s="20">
        <f>VLOOKUP(A388,Metrik!$C$2:$Y$959,9,0)</f>
        <v>0.69</v>
      </c>
      <c r="J388" s="20">
        <f>VLOOKUP(A388,Metrik!$C$2:$Y$959,10,0)</f>
        <v>11.6</v>
      </c>
      <c r="K388" s="20">
        <f>VLOOKUP(A388,Metrik!$C$2:$Y$959,11,0)</f>
        <v>1.9</v>
      </c>
      <c r="L388" s="20">
        <f>VLOOKUP(A388,Metrik!$C$2:$Y$959,12,0)</f>
        <v>5.2</v>
      </c>
      <c r="M388" s="20">
        <f>VLOOKUP(A388,Metrik!$C$2:$Y$959,19,0)</f>
        <v>110</v>
      </c>
      <c r="N388" s="44">
        <v>4.37</v>
      </c>
      <c r="O388" s="44">
        <v>24.83</v>
      </c>
      <c r="P388" s="44">
        <v>86.81</v>
      </c>
      <c r="Q388" s="44">
        <v>2.05</v>
      </c>
      <c r="R388" s="44">
        <v>73.11</v>
      </c>
      <c r="S388" s="44">
        <v>45.21</v>
      </c>
      <c r="T388" s="44">
        <v>10.03</v>
      </c>
      <c r="U388" s="22">
        <f>IFERROR(__xludf.DUMMYFUNCTION("IFERROR(GOOGLEFINANCE(A388,""closeyest""),"""")"),1525.0)</f>
        <v>1525</v>
      </c>
      <c r="V388" s="23">
        <f>IFERROR(__xludf.DUMMYFUNCTION("IFERROR(GOOGLEFINANCE(A388,""changepct""),"""")"),1.64)</f>
        <v>1.64</v>
      </c>
      <c r="W388" s="22">
        <f>IFERROR(__xludf.DUMMYFUNCTION("IFERROR(GOOGLEFINANCE(A388,""priceopen""),"""")"),1525.0)</f>
        <v>1525</v>
      </c>
      <c r="X388" s="22">
        <f>IFERROR(__xludf.DUMMYFUNCTION("IFERROR(GOOGLEFINANCE(A388,""high""),"""")"),1560.0)</f>
        <v>1560</v>
      </c>
      <c r="Y388" s="22">
        <f>IFERROR(__xludf.DUMMYFUNCTION("IFERROR(GOOGLEFINANCE(A388,""low""),"""")"),1525.0)</f>
        <v>1525</v>
      </c>
      <c r="Z388" s="22">
        <f>IFERROR(__xludf.DUMMYFUNCTION("IFERROR(GOOGLEFINANCE(A388,""volume""),"""")"),4464900.0)</f>
        <v>4464900</v>
      </c>
      <c r="AA388" s="24" t="str">
        <f>VLOOKUP(A388,Metrik!$C$2:$Y$959,5,0)</f>
        <v>Banks</v>
      </c>
      <c r="AB388" s="24" t="str">
        <f>VLOOKUP(A388,Metrik!$C$2:$Y$959,3,0)</f>
        <v>Financials</v>
      </c>
    </row>
    <row r="389">
      <c r="A389" s="14" t="s">
        <v>220</v>
      </c>
      <c r="B389" s="14" t="str">
        <f t="array" ref="B389">VLOOKUP(A389,{Metrik!$C$2:$C$998,Metrik!$B$2:$B$998},2,0)</f>
        <v>PT Bank CIMB Niaga Tbk</v>
      </c>
      <c r="C389" s="15">
        <f>IFERROR(__xludf.DUMMYFUNCTION("GOOGLEFINANCE(""IDX:""&amp;A389,""price"")"),1550.0)</f>
        <v>1550</v>
      </c>
      <c r="D389" s="16" t="str">
        <f>IFERROR(__xludf.DUMMYFUNCTION("IF(A389="""","""",
SPARKLINE(
INDEX(
GOOGLEFINANCE(""IDX:""&amp;A389,""close"",TODAY()-365,TODAY()),
,2
),
{""linewidth"",1}
))
"),"#N/A")</f>
        <v>#N/A</v>
      </c>
      <c r="E389" s="14" t="s">
        <v>42</v>
      </c>
      <c r="F389" s="25">
        <v>46356.0</v>
      </c>
      <c r="G389" s="24">
        <f t="shared" si="1"/>
        <v>5</v>
      </c>
      <c r="H389" s="19">
        <f>VLOOKUP(A389,Metrik!$C$2:$Y$959,8,0)</f>
        <v>5.9</v>
      </c>
      <c r="I389" s="20">
        <f>VLOOKUP(A389,Metrik!$C$2:$Y$959,9,0)</f>
        <v>0.69</v>
      </c>
      <c r="J389" s="20">
        <f>VLOOKUP(A389,Metrik!$C$2:$Y$959,10,0)</f>
        <v>11.6</v>
      </c>
      <c r="K389" s="20">
        <f>VLOOKUP(A389,Metrik!$C$2:$Y$959,11,0)</f>
        <v>1.9</v>
      </c>
      <c r="L389" s="20">
        <f>VLOOKUP(A389,Metrik!$C$2:$Y$959,12,0)</f>
        <v>5.2</v>
      </c>
      <c r="M389" s="20">
        <f>VLOOKUP(A389,Metrik!$C$2:$Y$959,19,0)</f>
        <v>110</v>
      </c>
      <c r="N389" s="44">
        <v>4.37</v>
      </c>
      <c r="O389" s="44">
        <v>24.83</v>
      </c>
      <c r="P389" s="44">
        <v>86.81</v>
      </c>
      <c r="Q389" s="44">
        <v>2.05</v>
      </c>
      <c r="R389" s="44">
        <v>73.11</v>
      </c>
      <c r="S389" s="44">
        <v>45.21</v>
      </c>
      <c r="T389" s="44">
        <v>10.03</v>
      </c>
      <c r="U389" s="22">
        <f>IFERROR(__xludf.DUMMYFUNCTION("IFERROR(GOOGLEFINANCE(A389,""closeyest""),"""")"),1525.0)</f>
        <v>1525</v>
      </c>
      <c r="V389" s="23">
        <f>IFERROR(__xludf.DUMMYFUNCTION("IFERROR(GOOGLEFINANCE(A389,""changepct""),"""")"),1.64)</f>
        <v>1.64</v>
      </c>
      <c r="W389" s="22">
        <f>IFERROR(__xludf.DUMMYFUNCTION("IFERROR(GOOGLEFINANCE(A389,""priceopen""),"""")"),1525.0)</f>
        <v>1525</v>
      </c>
      <c r="X389" s="22">
        <f>IFERROR(__xludf.DUMMYFUNCTION("IFERROR(GOOGLEFINANCE(A389,""high""),"""")"),1560.0)</f>
        <v>1560</v>
      </c>
      <c r="Y389" s="22">
        <f>IFERROR(__xludf.DUMMYFUNCTION("IFERROR(GOOGLEFINANCE(A389,""low""),"""")"),1525.0)</f>
        <v>1525</v>
      </c>
      <c r="Z389" s="22">
        <f>IFERROR(__xludf.DUMMYFUNCTION("IFERROR(GOOGLEFINANCE(A389,""volume""),"""")"),4464900.0)</f>
        <v>4464900</v>
      </c>
      <c r="AA389" s="24" t="str">
        <f>VLOOKUP(A389,Metrik!$C$2:$Y$959,5,0)</f>
        <v>Banks</v>
      </c>
      <c r="AB389" s="24" t="str">
        <f>VLOOKUP(A389,Metrik!$C$2:$Y$959,3,0)</f>
        <v>Financials</v>
      </c>
    </row>
    <row r="390">
      <c r="A390" s="14" t="s">
        <v>221</v>
      </c>
      <c r="B390" s="14" t="str">
        <f t="array" ref="B390">VLOOKUP(A390,{Metrik!$C$2:$C$998,Metrik!$B$2:$B$998},2,0)</f>
        <v>PT Bank Maybank Indonesia Tbk</v>
      </c>
      <c r="C390" s="15">
        <f>IFERROR(__xludf.DUMMYFUNCTION("GOOGLEFINANCE(""IDX:""&amp;A390,""price"")"),188.0)</f>
        <v>188</v>
      </c>
      <c r="D390" s="16" t="str">
        <f>IFERROR(__xludf.DUMMYFUNCTION("IF(A390="""","""",
SPARKLINE(
INDEX(
GOOGLEFINANCE(""IDX:""&amp;A390,""close"",TODAY()-365,TODAY()),
,2
),
{""linewidth"",1}
))
"),"#N/A")</f>
        <v>#N/A</v>
      </c>
      <c r="E390" s="26"/>
      <c r="F390" s="26"/>
      <c r="G390" s="24">
        <f t="shared" si="1"/>
        <v>0</v>
      </c>
      <c r="H390" s="19">
        <f>VLOOKUP(A390,Metrik!$C$2:$Y$959,8,0)</f>
        <v>9.3</v>
      </c>
      <c r="I390" s="20">
        <f>VLOOKUP(A390,Metrik!$C$2:$Y$959,9,0)</f>
        <v>0.45</v>
      </c>
      <c r="J390" s="20">
        <f>VLOOKUP(A390,Metrik!$C$2:$Y$959,10,0)</f>
        <v>4.8</v>
      </c>
      <c r="K390" s="20">
        <f>VLOOKUP(A390,Metrik!$C$2:$Y$959,11,0)</f>
        <v>0.82</v>
      </c>
      <c r="L390" s="20">
        <f>VLOOKUP(A390,Metrik!$C$2:$Y$959,12,0)</f>
        <v>4.9</v>
      </c>
      <c r="M390" s="20">
        <f>VLOOKUP(A390,Metrik!$C$2:$Y$959,19,0)</f>
        <v>49</v>
      </c>
      <c r="N390" s="32">
        <v>4.9</v>
      </c>
      <c r="O390" s="32">
        <v>25.6</v>
      </c>
      <c r="P390" s="32">
        <v>85.2</v>
      </c>
      <c r="Q390" s="32">
        <v>2.7</v>
      </c>
      <c r="R390" s="32">
        <v>83.4</v>
      </c>
      <c r="S390" s="32">
        <v>46.2</v>
      </c>
      <c r="T390" s="32">
        <v>8.8</v>
      </c>
      <c r="U390" s="22">
        <f>IFERROR(__xludf.DUMMYFUNCTION("IFERROR(GOOGLEFINANCE(A390,""closeyest""),"""")"),185.0)</f>
        <v>185</v>
      </c>
      <c r="V390" s="23">
        <f>IFERROR(__xludf.DUMMYFUNCTION("IFERROR(GOOGLEFINANCE(A390,""changepct""),"""")"),1.62)</f>
        <v>1.62</v>
      </c>
      <c r="W390" s="22">
        <f>IFERROR(__xludf.DUMMYFUNCTION("IFERROR(GOOGLEFINANCE(A390,""priceopen""),"""")"),184.0)</f>
        <v>184</v>
      </c>
      <c r="X390" s="22">
        <f>IFERROR(__xludf.DUMMYFUNCTION("IFERROR(GOOGLEFINANCE(A390,""high""),"""")"),188.0)</f>
        <v>188</v>
      </c>
      <c r="Y390" s="22">
        <f>IFERROR(__xludf.DUMMYFUNCTION("IFERROR(GOOGLEFINANCE(A390,""low""),"""")"),184.0)</f>
        <v>184</v>
      </c>
      <c r="Z390" s="22">
        <f>IFERROR(__xludf.DUMMYFUNCTION("IFERROR(GOOGLEFINANCE(A390,""volume""),"""")"),755000.0)</f>
        <v>755000</v>
      </c>
      <c r="AA390" s="24" t="str">
        <f>VLOOKUP(A390,Metrik!$C$2:$Y$959,5,0)</f>
        <v>Banks</v>
      </c>
      <c r="AB390" s="24" t="str">
        <f>VLOOKUP(A390,Metrik!$C$2:$Y$959,3,0)</f>
        <v>Financials</v>
      </c>
    </row>
    <row r="391">
      <c r="A391" s="14" t="s">
        <v>222</v>
      </c>
      <c r="B391" s="14" t="str">
        <f t="array" ref="B391">VLOOKUP(A391,{Metrik!$C$2:$C$998,Metrik!$B$2:$B$998},2,0)</f>
        <v>Bank Permata Tbk</v>
      </c>
      <c r="C391" s="15">
        <f>IFERROR(__xludf.DUMMYFUNCTION("GOOGLEFINANCE(""IDX:""&amp;A391,""price"")"),3220.0)</f>
        <v>3220</v>
      </c>
      <c r="D391" s="16" t="str">
        <f>IFERROR(__xludf.DUMMYFUNCTION("IF(A391="""","""",
SPARKLINE(
INDEX(
GOOGLEFINANCE(""IDX:""&amp;A391,""close"",TODAY()-365,TODAY()),
,2
),
{""linewidth"",1}
))
"),"#N/A")</f>
        <v>#N/A</v>
      </c>
      <c r="E391" s="26"/>
      <c r="F391" s="26"/>
      <c r="G391" s="24">
        <f t="shared" si="1"/>
        <v>0</v>
      </c>
      <c r="H391" s="19">
        <f>VLOOKUP(A391,Metrik!$C$2:$Y$959,8,0)</f>
        <v>30.3</v>
      </c>
      <c r="I391" s="20">
        <f>VLOOKUP(A391,Metrik!$C$2:$Y$959,9,0)</f>
        <v>2.4</v>
      </c>
      <c r="J391" s="20">
        <f>VLOOKUP(A391,Metrik!$C$2:$Y$959,10,0)</f>
        <v>8.1</v>
      </c>
      <c r="K391" s="20">
        <f>VLOOKUP(A391,Metrik!$C$2:$Y$959,11,0)</f>
        <v>1.4</v>
      </c>
      <c r="L391" s="20">
        <f>VLOOKUP(A391,Metrik!$C$2:$Y$959,12,0)</f>
        <v>4.7</v>
      </c>
      <c r="M391" s="20">
        <f>VLOOKUP(A391,Metrik!$C$2:$Y$959,19,0)</f>
        <v>84.2</v>
      </c>
      <c r="N391" s="32">
        <v>4.4</v>
      </c>
      <c r="O391" s="32">
        <v>38.7</v>
      </c>
      <c r="P391" s="32">
        <v>81.3</v>
      </c>
      <c r="Q391" s="32">
        <v>1.9</v>
      </c>
      <c r="R391" s="32">
        <v>81.1</v>
      </c>
      <c r="S391" s="32">
        <v>53.5</v>
      </c>
      <c r="T391" s="32">
        <v>7.6</v>
      </c>
      <c r="U391" s="22">
        <f>IFERROR(__xludf.DUMMYFUNCTION("IFERROR(GOOGLEFINANCE(A391,""closeyest""),"""")"),2840.0)</f>
        <v>2840</v>
      </c>
      <c r="V391" s="23">
        <f>IFERROR(__xludf.DUMMYFUNCTION("IFERROR(GOOGLEFINANCE(A391,""changepct""),"""")"),13.38)</f>
        <v>13.38</v>
      </c>
      <c r="W391" s="22">
        <f>IFERROR(__xludf.DUMMYFUNCTION("IFERROR(GOOGLEFINANCE(A391,""priceopen""),"""")"),2840.0)</f>
        <v>2840</v>
      </c>
      <c r="X391" s="22">
        <f>IFERROR(__xludf.DUMMYFUNCTION("IFERROR(GOOGLEFINANCE(A391,""high""),"""")"),3300.0)</f>
        <v>3300</v>
      </c>
      <c r="Y391" s="22">
        <f>IFERROR(__xludf.DUMMYFUNCTION("IFERROR(GOOGLEFINANCE(A391,""low""),"""")"),2840.0)</f>
        <v>2840</v>
      </c>
      <c r="Z391" s="22">
        <f>IFERROR(__xludf.DUMMYFUNCTION("IFERROR(GOOGLEFINANCE(A391,""volume""),"""")"),85700.0)</f>
        <v>85700</v>
      </c>
      <c r="AA391" s="24" t="str">
        <f>VLOOKUP(A391,Metrik!$C$2:$Y$959,5,0)</f>
        <v>Banks</v>
      </c>
      <c r="AB391" s="24" t="str">
        <f>VLOOKUP(A391,Metrik!$C$2:$Y$959,3,0)</f>
        <v>Financials</v>
      </c>
    </row>
    <row r="392">
      <c r="A392" s="14" t="s">
        <v>223</v>
      </c>
      <c r="B392" s="14" t="str">
        <f t="array" ref="B392">VLOOKUP(A392,{Metrik!$C$2:$C$998,Metrik!$B$2:$B$998},2,0)</f>
        <v>Newport Marine Services Tbk.</v>
      </c>
      <c r="C392" s="15">
        <f>IFERROR(__xludf.DUMMYFUNCTION("GOOGLEFINANCE(""IDX:""&amp;A392,""price"")"),102.0)</f>
        <v>102</v>
      </c>
      <c r="D392" s="16" t="str">
        <f>IFERROR(__xludf.DUMMYFUNCTION("IF(A392="""","""",
SPARKLINE(
INDEX(
GOOGLEFINANCE(""IDX:""&amp;A392,""close"",TODAY()-365,TODAY()),
,2
),
{""linewidth"",1}
))
"),"#N/A")</f>
        <v>#N/A</v>
      </c>
      <c r="E392" s="26"/>
      <c r="F392" s="26"/>
      <c r="G392" s="24">
        <f t="shared" si="1"/>
        <v>0</v>
      </c>
      <c r="H392" s="19">
        <f>VLOOKUP(A392,Metrik!$C$2:$Y$959,8,0)</f>
        <v>12.2</v>
      </c>
      <c r="I392" s="20">
        <f>VLOOKUP(A392,Metrik!$C$2:$Y$959,9,0)</f>
        <v>1</v>
      </c>
      <c r="J392" s="20">
        <f>VLOOKUP(A392,Metrik!$C$2:$Y$959,10,0)</f>
        <v>8.5</v>
      </c>
      <c r="K392" s="20">
        <f>VLOOKUP(A392,Metrik!$C$2:$Y$959,11,0)</f>
        <v>5.9</v>
      </c>
      <c r="L392" s="20">
        <f>VLOOKUP(A392,Metrik!$C$2:$Y$959,12,0)</f>
        <v>0.45</v>
      </c>
      <c r="M392" s="20">
        <f>VLOOKUP(A392,Metrik!$C$2:$Y$959,19,0)</f>
        <v>63.6</v>
      </c>
      <c r="N392" s="21"/>
      <c r="O392" s="21"/>
      <c r="P392" s="21"/>
      <c r="Q392" s="21"/>
      <c r="R392" s="21"/>
      <c r="S392" s="21"/>
      <c r="T392" s="21"/>
      <c r="U392" s="22">
        <f>IFERROR(__xludf.DUMMYFUNCTION("IFERROR(GOOGLEFINANCE(A392,""closeyest""),"""")"),41.95)</f>
        <v>41.95</v>
      </c>
      <c r="V392" s="23">
        <f>IFERROR(__xludf.DUMMYFUNCTION("IFERROR(GOOGLEFINANCE(A392,""changepct""),"""")"),1.19)</f>
        <v>1.19</v>
      </c>
      <c r="W392" s="22">
        <f>IFERROR(__xludf.DUMMYFUNCTION("IFERROR(GOOGLEFINANCE(A392,""priceopen""),"""")"),41.82)</f>
        <v>41.82</v>
      </c>
      <c r="X392" s="22">
        <f>IFERROR(__xludf.DUMMYFUNCTION("IFERROR(GOOGLEFINANCE(A392,""high""),"""")"),42.59)</f>
        <v>42.59</v>
      </c>
      <c r="Y392" s="22">
        <f>IFERROR(__xludf.DUMMYFUNCTION("IFERROR(GOOGLEFINANCE(A392,""low""),"""")"),41.82)</f>
        <v>41.82</v>
      </c>
      <c r="Z392" s="22">
        <f>IFERROR(__xludf.DUMMYFUNCTION("IFERROR(GOOGLEFINANCE(A392,""volume""),"""")"),3605.0)</f>
        <v>3605</v>
      </c>
      <c r="AA392" s="24" t="str">
        <f>VLOOKUP(A392,Metrik!$C$2:$Y$959,5,0)</f>
        <v>Oil, Gas &amp; Coal Supports</v>
      </c>
      <c r="AB392" s="24" t="str">
        <f>VLOOKUP(A392,Metrik!$C$2:$Y$959,3,0)</f>
        <v>Energy</v>
      </c>
    </row>
    <row r="393">
      <c r="A393" s="14" t="s">
        <v>224</v>
      </c>
      <c r="B393" s="14" t="str">
        <f t="array" ref="B393">VLOOKUP(A393,{Metrik!$C$2:$C$998,Metrik!$B$2:$B$998},2,0)</f>
        <v>Formosa Ingredient Factory Tbk.</v>
      </c>
      <c r="C393" s="15">
        <f>IFERROR(__xludf.DUMMYFUNCTION("GOOGLEFINANCE(""IDX:""&amp;A393,""price"")"),336.0)</f>
        <v>336</v>
      </c>
      <c r="D393" s="16" t="str">
        <f>IFERROR(__xludf.DUMMYFUNCTION("IF(A393="""","""",
SPARKLINE(
INDEX(
GOOGLEFINANCE(""IDX:""&amp;A393,""close"",TODAY()-365,TODAY()),
,2
),
{""linewidth"",1}
))
"),"#N/A")</f>
        <v>#N/A</v>
      </c>
      <c r="E393" s="26"/>
      <c r="F393" s="26"/>
      <c r="G393" s="18">
        <f t="shared" si="1"/>
        <v>0</v>
      </c>
      <c r="H393" s="19">
        <f>VLOOKUP(A393,Metrik!$C$2:$Y$959,8,0)</f>
        <v>17.4</v>
      </c>
      <c r="I393" s="20">
        <f>VLOOKUP(A393,Metrik!$C$2:$Y$959,9,0)</f>
        <v>2</v>
      </c>
      <c r="J393" s="20">
        <f>VLOOKUP(A393,Metrik!$C$2:$Y$959,10,0)</f>
        <v>11.5</v>
      </c>
      <c r="K393" s="20">
        <f>VLOOKUP(A393,Metrik!$C$2:$Y$959,11,0)</f>
        <v>10</v>
      </c>
      <c r="L393" s="20">
        <f>VLOOKUP(A393,Metrik!$C$2:$Y$959,12,0)</f>
        <v>0.15</v>
      </c>
      <c r="M393" s="20">
        <f>VLOOKUP(A393,Metrik!$C$2:$Y$959,19,0)</f>
        <v>41.1</v>
      </c>
      <c r="N393" s="21"/>
      <c r="O393" s="21"/>
      <c r="P393" s="21"/>
      <c r="Q393" s="21"/>
      <c r="R393" s="21"/>
      <c r="S393" s="21"/>
      <c r="T393" s="21"/>
      <c r="U393" s="22">
        <f>IFERROR(__xludf.DUMMYFUNCTION("IFERROR(GOOGLEFINANCE(A393,""closeyest""),"""")"),340.0)</f>
        <v>340</v>
      </c>
      <c r="V393" s="23">
        <f>IFERROR(__xludf.DUMMYFUNCTION("IFERROR(GOOGLEFINANCE(A393,""changepct""),"""")"),-1.18)</f>
        <v>-1.18</v>
      </c>
      <c r="W393" s="22">
        <f>IFERROR(__xludf.DUMMYFUNCTION("IFERROR(GOOGLEFINANCE(A393,""priceopen""),"""")"),360.0)</f>
        <v>360</v>
      </c>
      <c r="X393" s="22" t="str">
        <f>IFERROR(__xludf.DUMMYFUNCTION("IFERROR(GOOGLEFINANCE(A393,""high""),"""")"),"")</f>
        <v/>
      </c>
      <c r="Y393" s="22">
        <f>IFERROR(__xludf.DUMMYFUNCTION("IFERROR(GOOGLEFINANCE(A393,""low""),"""")"),334.0)</f>
        <v>334</v>
      </c>
      <c r="Z393" s="22">
        <f>IFERROR(__xludf.DUMMYFUNCTION("IFERROR(GOOGLEFINANCE(A393,""volume""),"""")"),1540300.0)</f>
        <v>1540300</v>
      </c>
      <c r="AA393" s="24" t="str">
        <f>VLOOKUP(A393,Metrik!$C$2:$Y$959,5,0)</f>
        <v>Processed Foods</v>
      </c>
      <c r="AB393" s="24" t="str">
        <f>VLOOKUP(A393,Metrik!$C$2:$Y$959,3,0)</f>
        <v>Consumer Non-Cyclicals</v>
      </c>
    </row>
    <row r="394">
      <c r="A394" s="14" t="s">
        <v>225</v>
      </c>
      <c r="B394" s="14" t="str">
        <f t="array" ref="B394">VLOOKUP(A394,{Metrik!$C$2:$C$998,Metrik!$B$2:$B$998},2,0)</f>
        <v>Apollo Global Interactive Tbk.</v>
      </c>
      <c r="C394" s="15">
        <f>IFERROR(__xludf.DUMMYFUNCTION("GOOGLEFINANCE(""IDX:""&amp;A394,""price"")"),1055.0)</f>
        <v>1055</v>
      </c>
      <c r="D394" s="16" t="str">
        <f>IFERROR(__xludf.DUMMYFUNCTION("IF(A394="""","""",
SPARKLINE(
INDEX(
GOOGLEFINANCE(""IDX:""&amp;A394,""close"",TODAY()-365,TODAY()),
,2
),
{""linewidth"",1}
))
"),"#N/A")</f>
        <v>#N/A</v>
      </c>
      <c r="E394" s="26"/>
      <c r="F394" s="26"/>
      <c r="G394" s="24">
        <f t="shared" si="1"/>
        <v>0</v>
      </c>
      <c r="H394" s="19">
        <f>VLOOKUP(A394,Metrik!$C$2:$Y$959,8,0)</f>
        <v>1200</v>
      </c>
      <c r="I394" s="20">
        <f>VLOOKUP(A394,Metrik!$C$2:$Y$959,9,0)</f>
        <v>11.2</v>
      </c>
      <c r="J394" s="20">
        <f>VLOOKUP(A394,Metrik!$C$2:$Y$959,10,0)</f>
        <v>0.94</v>
      </c>
      <c r="K394" s="20">
        <f>VLOOKUP(A394,Metrik!$C$2:$Y$959,11,0)</f>
        <v>0.54</v>
      </c>
      <c r="L394" s="20">
        <f>VLOOKUP(A394,Metrik!$C$2:$Y$959,12,0)</f>
        <v>0.73</v>
      </c>
      <c r="M394" s="20">
        <f>VLOOKUP(A394,Metrik!$C$2:$Y$959,19,0)</f>
        <v>4.8</v>
      </c>
      <c r="N394" s="21"/>
      <c r="O394" s="21"/>
      <c r="P394" s="21"/>
      <c r="Q394" s="21"/>
      <c r="R394" s="21"/>
      <c r="S394" s="21"/>
      <c r="T394" s="21"/>
      <c r="U394" s="22">
        <f>IFERROR(__xludf.DUMMYFUNCTION("IFERROR(GOOGLEFINANCE(A394,""closeyest""),"""")"),1055.0)</f>
        <v>1055</v>
      </c>
      <c r="V394" s="23">
        <f>IFERROR(__xludf.DUMMYFUNCTION("IFERROR(GOOGLEFINANCE(A394,""changepct""),"""")"),0.0)</f>
        <v>0</v>
      </c>
      <c r="W394" s="22">
        <f>IFERROR(__xludf.DUMMYFUNCTION("IFERROR(GOOGLEFINANCE(A394,""priceopen""),"""")"),985.0)</f>
        <v>985</v>
      </c>
      <c r="X394" s="22">
        <f>IFERROR(__xludf.DUMMYFUNCTION("IFERROR(GOOGLEFINANCE(A394,""high""),"""")"),1055.0)</f>
        <v>1055</v>
      </c>
      <c r="Y394" s="22">
        <f>IFERROR(__xludf.DUMMYFUNCTION("IFERROR(GOOGLEFINANCE(A394,""low""),"""")"),905.0)</f>
        <v>905</v>
      </c>
      <c r="Z394" s="22">
        <f>IFERROR(__xludf.DUMMYFUNCTION("IFERROR(GOOGLEFINANCE(A394,""volume""),"""")"),27800.0)</f>
        <v>27800</v>
      </c>
      <c r="AA394" s="24" t="str">
        <f>VLOOKUP(A394,Metrik!$C$2:$Y$959,5,0)</f>
        <v>Specialty Retail</v>
      </c>
      <c r="AB394" s="24" t="str">
        <f>VLOOKUP(A394,Metrik!$C$2:$Y$959,3,0)</f>
        <v>Consumer Cyclicals</v>
      </c>
    </row>
    <row r="395">
      <c r="A395" s="14" t="s">
        <v>226</v>
      </c>
      <c r="B395" s="14" t="str">
        <f t="array" ref="B395">VLOOKUP(A395,{Metrik!$C$2:$C$998,Metrik!$B$2:$B$998},2,0)</f>
        <v>Bali Bintang Sejahtera Tbk.</v>
      </c>
      <c r="C395" s="15">
        <f>IFERROR(__xludf.DUMMYFUNCTION("GOOGLEFINANCE(""IDX:""&amp;A395,""price"")"),130.0)</f>
        <v>130</v>
      </c>
      <c r="D395" s="16" t="str">
        <f>IFERROR(__xludf.DUMMYFUNCTION("IF(A395="""","""",
SPARKLINE(
INDEX(
GOOGLEFINANCE(""IDX:""&amp;A395,""close"",TODAY()-365,TODAY()),
,2
),
{""linewidth"",1}
))
"),"#N/A")</f>
        <v>#N/A</v>
      </c>
      <c r="E395" s="26"/>
      <c r="F395" s="26"/>
      <c r="G395" s="24">
        <f t="shared" si="1"/>
        <v>0</v>
      </c>
      <c r="H395" s="19">
        <f>VLOOKUP(A395,Metrik!$C$2:$Y$959,8,0)</f>
        <v>21.8</v>
      </c>
      <c r="I395" s="20">
        <f>VLOOKUP(A395,Metrik!$C$2:$Y$959,9,0)</f>
        <v>1.3</v>
      </c>
      <c r="J395" s="20">
        <f>VLOOKUP(A395,Metrik!$C$2:$Y$959,10,0)</f>
        <v>6.1</v>
      </c>
      <c r="K395" s="20">
        <f>VLOOKUP(A395,Metrik!$C$2:$Y$959,11,0)</f>
        <v>5.4</v>
      </c>
      <c r="L395" s="20">
        <f>VLOOKUP(A395,Metrik!$C$2:$Y$959,12,0)</f>
        <v>0.14</v>
      </c>
      <c r="M395" s="20">
        <f>VLOOKUP(A395,Metrik!$C$2:$Y$959,19,0)</f>
        <v>55.2</v>
      </c>
      <c r="N395" s="21"/>
      <c r="O395" s="21"/>
      <c r="P395" s="21"/>
      <c r="Q395" s="21"/>
      <c r="R395" s="21"/>
      <c r="S395" s="21"/>
      <c r="T395" s="21"/>
      <c r="U395" s="22">
        <f>IFERROR(__xludf.DUMMYFUNCTION("IFERROR(GOOGLEFINANCE(A395,""closeyest""),"""")"),126.0)</f>
        <v>126</v>
      </c>
      <c r="V395" s="23">
        <f>IFERROR(__xludf.DUMMYFUNCTION("IFERROR(GOOGLEFINANCE(A395,""changepct""),"""")"),3.17)</f>
        <v>3.17</v>
      </c>
      <c r="W395" s="22">
        <f>IFERROR(__xludf.DUMMYFUNCTION("IFERROR(GOOGLEFINANCE(A395,""priceopen""),"""")"),126.0)</f>
        <v>126</v>
      </c>
      <c r="X395" s="22">
        <f>IFERROR(__xludf.DUMMYFUNCTION("IFERROR(GOOGLEFINANCE(A395,""high""),"""")"),133.0)</f>
        <v>133</v>
      </c>
      <c r="Y395" s="22">
        <f>IFERROR(__xludf.DUMMYFUNCTION("IFERROR(GOOGLEFINANCE(A395,""low""),"""")"),125.0)</f>
        <v>125</v>
      </c>
      <c r="Z395" s="22">
        <f>IFERROR(__xludf.DUMMYFUNCTION("IFERROR(GOOGLEFINANCE(A395,""volume""),"""")"),1851100.0)</f>
        <v>1851100</v>
      </c>
      <c r="AA395" s="24" t="str">
        <f>VLOOKUP(A395,Metrik!$C$2:$Y$959,5,0)</f>
        <v>Tourism &amp; Recreation</v>
      </c>
      <c r="AB395" s="24" t="str">
        <f>VLOOKUP(A395,Metrik!$C$2:$Y$959,3,0)</f>
        <v>Consumer Cyclicals</v>
      </c>
    </row>
    <row r="396">
      <c r="A396" s="14" t="s">
        <v>227</v>
      </c>
      <c r="B396" s="14" t="str">
        <f t="array" ref="B396">VLOOKUP(A396,{Metrik!$C$2:$C$998,Metrik!$B$2:$B$998},2,0)</f>
        <v>Garuda Metalindo Tbk.</v>
      </c>
      <c r="C396" s="15">
        <f>IFERROR(__xludf.DUMMYFUNCTION("GOOGLEFINANCE(""IDX:""&amp;A396,""price"")"),780.0)</f>
        <v>780</v>
      </c>
      <c r="D396" s="16" t="str">
        <f>IFERROR(__xludf.DUMMYFUNCTION("IF(A396="""","""",
SPARKLINE(
INDEX(
GOOGLEFINANCE(""IDX:""&amp;A396,""close"",TODAY()-365,TODAY()),
,2
),
{""linewidth"",1}
))
"),"#N/A")</f>
        <v>#N/A</v>
      </c>
      <c r="E396" s="26"/>
      <c r="F396" s="26"/>
      <c r="G396" s="24">
        <f t="shared" si="1"/>
        <v>0</v>
      </c>
      <c r="H396" s="19">
        <f>VLOOKUP(A396,Metrik!$C$2:$Y$959,8,0)</f>
        <v>13.4</v>
      </c>
      <c r="I396" s="20">
        <f>VLOOKUP(A396,Metrik!$C$2:$Y$959,9,0)</f>
        <v>1.7</v>
      </c>
      <c r="J396" s="20">
        <f>VLOOKUP(A396,Metrik!$C$2:$Y$959,10,0)</f>
        <v>12.9</v>
      </c>
      <c r="K396" s="20">
        <f>VLOOKUP(A396,Metrik!$C$2:$Y$959,11,0)</f>
        <v>8.2</v>
      </c>
      <c r="L396" s="20">
        <f>VLOOKUP(A396,Metrik!$C$2:$Y$959,12,0)</f>
        <v>0.57</v>
      </c>
      <c r="M396" s="20">
        <f>VLOOKUP(A396,Metrik!$C$2:$Y$959,19,0)</f>
        <v>33.3</v>
      </c>
      <c r="N396" s="21"/>
      <c r="O396" s="21"/>
      <c r="P396" s="21"/>
      <c r="Q396" s="21"/>
      <c r="R396" s="21"/>
      <c r="S396" s="21"/>
      <c r="T396" s="21"/>
      <c r="U396" s="22">
        <f>IFERROR(__xludf.DUMMYFUNCTION("IFERROR(GOOGLEFINANCE(A396,""closeyest""),"""")"),4.6)</f>
        <v>4.6</v>
      </c>
      <c r="V396" s="23">
        <f>IFERROR(__xludf.DUMMYFUNCTION("IFERROR(GOOGLEFINANCE(A396,""changepct""),"""")"),-0.87)</f>
        <v>-0.87</v>
      </c>
      <c r="W396" s="22">
        <f>IFERROR(__xludf.DUMMYFUNCTION("IFERROR(GOOGLEFINANCE(A396,""priceopen""),"""")"),4.72)</f>
        <v>4.72</v>
      </c>
      <c r="X396" s="22">
        <f>IFERROR(__xludf.DUMMYFUNCTION("IFERROR(GOOGLEFINANCE(A396,""high""),"""")"),4.92)</f>
        <v>4.92</v>
      </c>
      <c r="Y396" s="22">
        <f>IFERROR(__xludf.DUMMYFUNCTION("IFERROR(GOOGLEFINANCE(A396,""low""),"""")"),4.47)</f>
        <v>4.47</v>
      </c>
      <c r="Z396" s="22">
        <f>IFERROR(__xludf.DUMMYFUNCTION("IFERROR(GOOGLEFINANCE(A396,""volume""),"""")"),52506.0)</f>
        <v>52506</v>
      </c>
      <c r="AA396" s="24" t="str">
        <f>VLOOKUP(A396,Metrik!$C$2:$Y$959,5,0)</f>
        <v>Auto Components</v>
      </c>
      <c r="AB396" s="24" t="str">
        <f>VLOOKUP(A396,Metrik!$C$2:$Y$959,3,0)</f>
        <v>Consumer Cyclicals</v>
      </c>
    </row>
    <row r="397">
      <c r="A397" s="14" t="s">
        <v>228</v>
      </c>
      <c r="B397" s="14" t="str">
        <f t="array" ref="B397">VLOOKUP(A397,{Metrik!$C$2:$C$998,Metrik!$B$2:$B$998},2,0)</f>
        <v>Borneo Olah Sarana Sukses Tbk.</v>
      </c>
      <c r="C397" s="15">
        <f>IFERROR(__xludf.DUMMYFUNCTION("GOOGLEFINANCE(""IDX:""&amp;A397,""price"")"),50.0)</f>
        <v>50</v>
      </c>
      <c r="D397" s="16" t="str">
        <f>IFERROR(__xludf.DUMMYFUNCTION("IF(A397="""","""",
SPARKLINE(
INDEX(
GOOGLEFINANCE(""IDX:""&amp;A397,""close"",TODAY()-365,TODAY()),
,2
),
{""linewidth"",1}
))
"),"#N/A")</f>
        <v>#N/A</v>
      </c>
      <c r="E397" s="26"/>
      <c r="F397" s="26"/>
      <c r="G397" s="24">
        <f t="shared" si="1"/>
        <v>0</v>
      </c>
      <c r="H397" s="19">
        <f>VLOOKUP(A397,Metrik!$C$2:$Y$959,8,0)</f>
        <v>0</v>
      </c>
      <c r="I397" s="20">
        <f>VLOOKUP(A397,Metrik!$C$2:$Y$959,9,0)</f>
        <v>-0.42</v>
      </c>
      <c r="J397" s="20">
        <f>VLOOKUP(A397,Metrik!$C$2:$Y$959,10,0)</f>
        <v>0</v>
      </c>
      <c r="K397" s="20">
        <f>VLOOKUP(A397,Metrik!$C$2:$Y$959,11,0)</f>
        <v>-28.9</v>
      </c>
      <c r="L397" s="20">
        <f>VLOOKUP(A397,Metrik!$C$2:$Y$959,12,0)</f>
        <v>-4.8</v>
      </c>
      <c r="M397" s="20">
        <f>VLOOKUP(A397,Metrik!$C$2:$Y$959,19,0)</f>
        <v>-130</v>
      </c>
      <c r="N397" s="21"/>
      <c r="O397" s="21"/>
      <c r="P397" s="21"/>
      <c r="Q397" s="21"/>
      <c r="R397" s="21"/>
      <c r="S397" s="21"/>
      <c r="T397" s="21"/>
      <c r="U397" s="22">
        <f>IFERROR(__xludf.DUMMYFUNCTION("IFERROR(GOOGLEFINANCE(A397,""closeyest""),"""")"),39.76)</f>
        <v>39.76</v>
      </c>
      <c r="V397" s="23" t="str">
        <f>IFERROR(__xludf.DUMMYFUNCTION("IFERROR(GOOGLEFINANCE(A397,""changepct""),"""")"),"")</f>
        <v/>
      </c>
      <c r="W397" s="22">
        <f>IFERROR(__xludf.DUMMYFUNCTION("IFERROR(GOOGLEFINANCE(A397,""priceopen""),"""")"),39.52)</f>
        <v>39.52</v>
      </c>
      <c r="X397" s="22">
        <f>IFERROR(__xludf.DUMMYFUNCTION("IFERROR(GOOGLEFINANCE(A397,""high""),"""")"),40.09)</f>
        <v>40.09</v>
      </c>
      <c r="Y397" s="22">
        <f>IFERROR(__xludf.DUMMYFUNCTION("IFERROR(GOOGLEFINANCE(A397,""low""),"""")"),39.5)</f>
        <v>39.5</v>
      </c>
      <c r="Z397" s="22">
        <f>IFERROR(__xludf.DUMMYFUNCTION("IFERROR(GOOGLEFINANCE(A397,""volume""),"""")"),0.0)</f>
        <v>0</v>
      </c>
      <c r="AA397" s="24" t="str">
        <f>VLOOKUP(A397,Metrik!$C$2:$Y$959,5,0)</f>
        <v>Coal</v>
      </c>
      <c r="AB397" s="24" t="str">
        <f>VLOOKUP(A397,Metrik!$C$2:$Y$959,3,0)</f>
        <v>Energy</v>
      </c>
    </row>
    <row r="398">
      <c r="A398" s="14" t="s">
        <v>229</v>
      </c>
      <c r="B398" s="14" t="str">
        <f t="array" ref="B398">VLOOKUP(A398,{Metrik!$C$2:$C$998,Metrik!$B$2:$B$998},2,0)</f>
        <v>Woori Finance Indonesia Tbk.</v>
      </c>
      <c r="C398" s="15">
        <f>IFERROR(__xludf.DUMMYFUNCTION("GOOGLEFINANCE(""IDX:""&amp;A398,""price"")"),272.0)</f>
        <v>272</v>
      </c>
      <c r="D398" s="16" t="str">
        <f>IFERROR(__xludf.DUMMYFUNCTION("IF(A398="""","""",
SPARKLINE(
INDEX(
GOOGLEFINANCE(""IDX:""&amp;A398,""close"",TODAY()-365,TODAY()),
,2
),
{""linewidth"",1}
))
"),"#N/A")</f>
        <v>#N/A</v>
      </c>
      <c r="E398" s="26"/>
      <c r="F398" s="26"/>
      <c r="G398" s="24">
        <f t="shared" si="1"/>
        <v>0</v>
      </c>
      <c r="H398" s="19">
        <f>VLOOKUP(A398,Metrik!$C$2:$Y$959,8,0)</f>
        <v>8.6</v>
      </c>
      <c r="I398" s="20">
        <f>VLOOKUP(A398,Metrik!$C$2:$Y$959,9,0)</f>
        <v>0.6</v>
      </c>
      <c r="J398" s="20">
        <f>VLOOKUP(A398,Metrik!$C$2:$Y$959,10,0)</f>
        <v>6.9</v>
      </c>
      <c r="K398" s="20">
        <f>VLOOKUP(A398,Metrik!$C$2:$Y$959,11,0)</f>
        <v>2.8</v>
      </c>
      <c r="L398" s="20">
        <f>VLOOKUP(A398,Metrik!$C$2:$Y$959,12,0)</f>
        <v>1.5</v>
      </c>
      <c r="M398" s="20">
        <f>VLOOKUP(A398,Metrik!$C$2:$Y$959,19,0)</f>
        <v>81</v>
      </c>
      <c r="N398" s="21"/>
      <c r="O398" s="21"/>
      <c r="P398" s="21"/>
      <c r="Q398" s="21"/>
      <c r="R398" s="21"/>
      <c r="S398" s="21"/>
      <c r="T398" s="21"/>
      <c r="U398" s="22">
        <f>IFERROR(__xludf.DUMMYFUNCTION("IFERROR(GOOGLEFINANCE(A398,""closeyest""),"""")"),278.0)</f>
        <v>278</v>
      </c>
      <c r="V398" s="23">
        <f>IFERROR(__xludf.DUMMYFUNCTION("IFERROR(GOOGLEFINANCE(A398,""changepct""),"""")"),-2.16)</f>
        <v>-2.16</v>
      </c>
      <c r="W398" s="22">
        <f>IFERROR(__xludf.DUMMYFUNCTION("IFERROR(GOOGLEFINANCE(A398,""priceopen""),"""")"),274.0)</f>
        <v>274</v>
      </c>
      <c r="X398" s="22">
        <f>IFERROR(__xludf.DUMMYFUNCTION("IFERROR(GOOGLEFINANCE(A398,""high""),"""")"),274.0)</f>
        <v>274</v>
      </c>
      <c r="Y398" s="22">
        <f>IFERROR(__xludf.DUMMYFUNCTION("IFERROR(GOOGLEFINANCE(A398,""low""),"""")"),252.0)</f>
        <v>252</v>
      </c>
      <c r="Z398" s="22">
        <f>IFERROR(__xludf.DUMMYFUNCTION("IFERROR(GOOGLEFINANCE(A398,""volume""),"""")"),173200.0)</f>
        <v>173200</v>
      </c>
      <c r="AA398" s="24" t="str">
        <f>VLOOKUP(A398,Metrik!$C$2:$Y$959,5,0)</f>
        <v>Consumer Financing</v>
      </c>
      <c r="AB398" s="24" t="str">
        <f>VLOOKUP(A398,Metrik!$C$2:$Y$959,3,0)</f>
        <v>Financials</v>
      </c>
    </row>
    <row r="399">
      <c r="A399" s="14" t="s">
        <v>230</v>
      </c>
      <c r="B399" s="14" t="str">
        <f t="array" ref="B399">VLOOKUP(A399,{Metrik!$C$2:$C$998,Metrik!$B$2:$B$998},2,0)</f>
        <v>Batavia Prosperindo Internasional Tbk.</v>
      </c>
      <c r="C399" s="15">
        <f>IFERROR(__xludf.DUMMYFUNCTION("GOOGLEFINANCE(""IDX:""&amp;A399,""price"")"),438.0)</f>
        <v>438</v>
      </c>
      <c r="D399" s="16" t="str">
        <f>IFERROR(__xludf.DUMMYFUNCTION("IF(A399="""","""",
SPARKLINE(
INDEX(
GOOGLEFINANCE(""IDX:""&amp;A399,""close"",TODAY()-365,TODAY()),
,2
),
{""linewidth"",1}
))
"),"#N/A")</f>
        <v>#N/A</v>
      </c>
      <c r="E399" s="26"/>
      <c r="F399" s="26"/>
      <c r="G399" s="24">
        <f t="shared" si="1"/>
        <v>0</v>
      </c>
      <c r="H399" s="19">
        <f>VLOOKUP(A399,Metrik!$C$2:$Y$959,8,0)</f>
        <v>39.1</v>
      </c>
      <c r="I399" s="20">
        <f>VLOOKUP(A399,Metrik!$C$2:$Y$959,9,0)</f>
        <v>2.5</v>
      </c>
      <c r="J399" s="20">
        <f>VLOOKUP(A399,Metrik!$C$2:$Y$959,10,0)</f>
        <v>6.3</v>
      </c>
      <c r="K399" s="20">
        <f>VLOOKUP(A399,Metrik!$C$2:$Y$959,11,0)</f>
        <v>1.8</v>
      </c>
      <c r="L399" s="20">
        <f>VLOOKUP(A399,Metrik!$C$2:$Y$959,12,0)</f>
        <v>2.5</v>
      </c>
      <c r="M399" s="20">
        <f>VLOOKUP(A399,Metrik!$C$2:$Y$959,19,0)</f>
        <v>37.2</v>
      </c>
      <c r="N399" s="21"/>
      <c r="O399" s="21"/>
      <c r="P399" s="21"/>
      <c r="Q399" s="21"/>
      <c r="R399" s="21"/>
      <c r="S399" s="21"/>
      <c r="T399" s="21"/>
      <c r="U399" s="22">
        <f>IFERROR(__xludf.DUMMYFUNCTION("IFERROR(GOOGLEFINANCE(A399,""closeyest""),"""")"),466.0)</f>
        <v>466</v>
      </c>
      <c r="V399" s="23">
        <f>IFERROR(__xludf.DUMMYFUNCTION("IFERROR(GOOGLEFINANCE(A399,""changepct""),"""")"),-6.01)</f>
        <v>-6.01</v>
      </c>
      <c r="W399" s="22">
        <f>IFERROR(__xludf.DUMMYFUNCTION("IFERROR(GOOGLEFINANCE(A399,""priceopen""),"""")"),466.0)</f>
        <v>466</v>
      </c>
      <c r="X399" s="22">
        <f>IFERROR(__xludf.DUMMYFUNCTION("IFERROR(GOOGLEFINANCE(A399,""high""),"""")"),470.0)</f>
        <v>470</v>
      </c>
      <c r="Y399" s="22">
        <f>IFERROR(__xludf.DUMMYFUNCTION("IFERROR(GOOGLEFINANCE(A399,""low""),"""")"),438.0)</f>
        <v>438</v>
      </c>
      <c r="Z399" s="22">
        <f>IFERROR(__xludf.DUMMYFUNCTION("IFERROR(GOOGLEFINANCE(A399,""volume""),"""")"),19400.0)</f>
        <v>19400</v>
      </c>
      <c r="AA399" s="24" t="str">
        <f>VLOOKUP(A399,Metrik!$C$2:$Y$959,5,0)</f>
        <v>Holding &amp; Investment Companies</v>
      </c>
      <c r="AB399" s="24" t="str">
        <f>VLOOKUP(A399,Metrik!$C$2:$Y$959,3,0)</f>
        <v>Financials</v>
      </c>
    </row>
    <row r="400">
      <c r="A400" s="14" t="s">
        <v>231</v>
      </c>
      <c r="B400" s="14" t="str">
        <f t="array" ref="B400">VLOOKUP(A400,{Metrik!$C$2:$C$998,Metrik!$B$2:$B$998},2,0)</f>
        <v>Batavia Prosperindo Trans Tbk.</v>
      </c>
      <c r="C400" s="15">
        <f>IFERROR(__xludf.DUMMYFUNCTION("GOOGLEFINANCE(""IDX:""&amp;A400,""price"")"),70.0)</f>
        <v>70</v>
      </c>
      <c r="D400" s="16" t="str">
        <f>IFERROR(__xludf.DUMMYFUNCTION("IF(A400="""","""",
SPARKLINE(
INDEX(
GOOGLEFINANCE(""IDX:""&amp;A400,""close"",TODAY()-365,TODAY()),
,2
),
{""linewidth"",1}
))
"),"#N/A")</f>
        <v>#N/A</v>
      </c>
      <c r="E400" s="26"/>
      <c r="F400" s="26"/>
      <c r="G400" s="24">
        <f t="shared" si="1"/>
        <v>0</v>
      </c>
      <c r="H400" s="19">
        <f>VLOOKUP(A400,Metrik!$C$2:$Y$959,8,0)</f>
        <v>6.7</v>
      </c>
      <c r="I400" s="20">
        <f>VLOOKUP(A400,Metrik!$C$2:$Y$959,9,0)</f>
        <v>0.41</v>
      </c>
      <c r="J400" s="20">
        <f>VLOOKUP(A400,Metrik!$C$2:$Y$959,10,0)</f>
        <v>6.1</v>
      </c>
      <c r="K400" s="20">
        <f>VLOOKUP(A400,Metrik!$C$2:$Y$959,11,0)</f>
        <v>1.7</v>
      </c>
      <c r="L400" s="20">
        <f>VLOOKUP(A400,Metrik!$C$2:$Y$959,12,0)</f>
        <v>2.6</v>
      </c>
      <c r="M400" s="20">
        <f>VLOOKUP(A400,Metrik!$C$2:$Y$959,19,0)</f>
        <v>22.4</v>
      </c>
      <c r="N400" s="21"/>
      <c r="O400" s="21"/>
      <c r="P400" s="21"/>
      <c r="Q400" s="21"/>
      <c r="R400" s="21"/>
      <c r="S400" s="21"/>
      <c r="T400" s="21"/>
      <c r="U400" s="22">
        <f>IFERROR(__xludf.DUMMYFUNCTION("IFERROR(GOOGLEFINANCE(A400,""closeyest""),"""")"),69.0)</f>
        <v>69</v>
      </c>
      <c r="V400" s="23">
        <f>IFERROR(__xludf.DUMMYFUNCTION("IFERROR(GOOGLEFINANCE(A400,""changepct""),"""")"),1.45)</f>
        <v>1.45</v>
      </c>
      <c r="W400" s="22">
        <f>IFERROR(__xludf.DUMMYFUNCTION("IFERROR(GOOGLEFINANCE(A400,""priceopen""),"""")"),70.0)</f>
        <v>70</v>
      </c>
      <c r="X400" s="22">
        <f>IFERROR(__xludf.DUMMYFUNCTION("IFERROR(GOOGLEFINANCE(A400,""high""),"""")"),71.0)</f>
        <v>71</v>
      </c>
      <c r="Y400" s="22">
        <f>IFERROR(__xludf.DUMMYFUNCTION("IFERROR(GOOGLEFINANCE(A400,""low""),"""")"),68.0)</f>
        <v>68</v>
      </c>
      <c r="Z400" s="22">
        <f>IFERROR(__xludf.DUMMYFUNCTION("IFERROR(GOOGLEFINANCE(A400,""volume""),"""")"),929300.0)</f>
        <v>929300</v>
      </c>
      <c r="AA400" s="24" t="str">
        <f>VLOOKUP(A400,Metrik!$C$2:$Y$959,5,0)</f>
        <v>Passenger Land Transportation</v>
      </c>
      <c r="AB400" s="24" t="str">
        <f>VLOOKUP(A400,Metrik!$C$2:$Y$959,3,0)</f>
        <v>Transportation &amp; Logistic</v>
      </c>
    </row>
    <row r="401">
      <c r="A401" s="14" t="s">
        <v>232</v>
      </c>
      <c r="B401" s="14" t="str">
        <f t="array" ref="B401">VLOOKUP(A401,{Metrik!$C$2:$C$998,Metrik!$B$2:$B$998},2,0)</f>
        <v>Indo Kordsa Tbk.</v>
      </c>
      <c r="C401" s="15">
        <f>IFERROR(__xludf.DUMMYFUNCTION("GOOGLEFINANCE(""IDX:""&amp;A401,""price"")"),4690.0)</f>
        <v>4690</v>
      </c>
      <c r="D401" s="16" t="str">
        <f>IFERROR(__xludf.DUMMYFUNCTION("IF(A401="""","""",
SPARKLINE(
INDEX(
GOOGLEFINANCE(""IDX:""&amp;A401,""close"",TODAY()-365,TODAY()),
,2
),
{""linewidth"",1}
))
"),"#N/A")</f>
        <v>#N/A</v>
      </c>
      <c r="E401" s="26"/>
      <c r="F401" s="26"/>
      <c r="G401" s="24">
        <f t="shared" si="1"/>
        <v>0</v>
      </c>
      <c r="H401" s="19">
        <f>VLOOKUP(A401,Metrik!$C$2:$Y$959,8,0)</f>
        <v>120</v>
      </c>
      <c r="I401" s="20">
        <f>VLOOKUP(A401,Metrik!$C$2:$Y$959,9,0)</f>
        <v>0.52</v>
      </c>
      <c r="J401" s="20">
        <f>VLOOKUP(A401,Metrik!$C$2:$Y$959,10,0)</f>
        <v>0.42</v>
      </c>
      <c r="K401" s="20">
        <f>VLOOKUP(A401,Metrik!$C$2:$Y$959,11,0)</f>
        <v>0.34</v>
      </c>
      <c r="L401" s="20">
        <f>VLOOKUP(A401,Metrik!$C$2:$Y$959,12,0)</f>
        <v>0.24</v>
      </c>
      <c r="M401" s="20">
        <f>VLOOKUP(A401,Metrik!$C$2:$Y$959,19,0)</f>
        <v>2.6</v>
      </c>
      <c r="N401" s="21"/>
      <c r="O401" s="21"/>
      <c r="P401" s="21"/>
      <c r="Q401" s="21"/>
      <c r="R401" s="21"/>
      <c r="S401" s="21"/>
      <c r="T401" s="21"/>
      <c r="U401" s="22">
        <f>IFERROR(__xludf.DUMMYFUNCTION("IFERROR(GOOGLEFINANCE(A401,""closeyest""),"""")"),4450.0)</f>
        <v>4450</v>
      </c>
      <c r="V401" s="23">
        <f>IFERROR(__xludf.DUMMYFUNCTION("IFERROR(GOOGLEFINANCE(A401,""changepct""),"""")"),5.39)</f>
        <v>5.39</v>
      </c>
      <c r="W401" s="22">
        <f>IFERROR(__xludf.DUMMYFUNCTION("IFERROR(GOOGLEFINANCE(A401,""priceopen""),"""")"),4450.0)</f>
        <v>4450</v>
      </c>
      <c r="X401" s="22">
        <f>IFERROR(__xludf.DUMMYFUNCTION("IFERROR(GOOGLEFINANCE(A401,""high""),"""")"),4800.0)</f>
        <v>4800</v>
      </c>
      <c r="Y401" s="22">
        <f>IFERROR(__xludf.DUMMYFUNCTION("IFERROR(GOOGLEFINANCE(A401,""low""),"""")"),4450.0)</f>
        <v>4450</v>
      </c>
      <c r="Z401" s="22">
        <f>IFERROR(__xludf.DUMMYFUNCTION("IFERROR(GOOGLEFINANCE(A401,""volume""),"""")"),17200.0)</f>
        <v>17200</v>
      </c>
      <c r="AA401" s="24" t="str">
        <f>VLOOKUP(A401,Metrik!$C$2:$Y$959,5,0)</f>
        <v>Auto Components</v>
      </c>
      <c r="AB401" s="24" t="str">
        <f>VLOOKUP(A401,Metrik!$C$2:$Y$959,3,0)</f>
        <v>Consumer Cyclicals</v>
      </c>
    </row>
    <row r="402">
      <c r="A402" s="14" t="s">
        <v>233</v>
      </c>
      <c r="B402" s="14" t="str">
        <f t="array" ref="B402">VLOOKUP(A402,{Metrik!$C$2:$C$998,Metrik!$B$2:$B$998},2,0)</f>
        <v>PT Barito Renewables Energy Tbk.</v>
      </c>
      <c r="C402" s="15">
        <f>IFERROR(__xludf.DUMMYFUNCTION("GOOGLEFINANCE(""IDX:""&amp;A402,""price"")"),4080.0)</f>
        <v>4080</v>
      </c>
      <c r="D402" s="16" t="str">
        <f>IFERROR(__xludf.DUMMYFUNCTION("IF(A402="""","""",
SPARKLINE(
INDEX(
GOOGLEFINANCE(""IDX:""&amp;A402,""close"",TODAY()-365,TODAY()),
,2
),
{""linewidth"",1}
))
"),"#N/A")</f>
        <v>#N/A</v>
      </c>
      <c r="E402" s="14" t="s">
        <v>32</v>
      </c>
      <c r="F402" s="14" t="s">
        <v>29</v>
      </c>
      <c r="G402" s="24">
        <f t="shared" si="1"/>
        <v>1</v>
      </c>
      <c r="H402" s="19">
        <f>VLOOKUP(A402,Metrik!$C$2:$Y$959,8,0)</f>
        <v>190</v>
      </c>
      <c r="I402" s="20">
        <f>VLOOKUP(A402,Metrik!$C$2:$Y$959,9,0)</f>
        <v>27.7</v>
      </c>
      <c r="J402" s="20">
        <f>VLOOKUP(A402,Metrik!$C$2:$Y$959,10,0)</f>
        <v>15</v>
      </c>
      <c r="K402" s="20">
        <f>VLOOKUP(A402,Metrik!$C$2:$Y$959,11,0)</f>
        <v>3.6</v>
      </c>
      <c r="L402" s="20">
        <f>VLOOKUP(A402,Metrik!$C$2:$Y$959,12,0)</f>
        <v>3.2</v>
      </c>
      <c r="M402" s="20">
        <f>VLOOKUP(A402,Metrik!$C$2:$Y$959,19,0)</f>
        <v>84.9</v>
      </c>
      <c r="N402" s="21"/>
      <c r="O402" s="21"/>
      <c r="P402" s="21"/>
      <c r="Q402" s="21"/>
      <c r="R402" s="21"/>
      <c r="S402" s="21"/>
      <c r="T402" s="21"/>
      <c r="U402" s="22">
        <f>IFERROR(__xludf.DUMMYFUNCTION("IFERROR(GOOGLEFINANCE(A402,""closeyest""),"""")"),176.34)</f>
        <v>176.34</v>
      </c>
      <c r="V402" s="23">
        <f>IFERROR(__xludf.DUMMYFUNCTION("IFERROR(GOOGLEFINANCE(A402,""changepct""),"""")"),0.0)</f>
        <v>0</v>
      </c>
      <c r="W402" s="22" t="str">
        <f>IFERROR(__xludf.DUMMYFUNCTION("IFERROR(GOOGLEFINANCE(A402,""priceopen""),"""")"),"")</f>
        <v/>
      </c>
      <c r="X402" s="22" t="str">
        <f>IFERROR(__xludf.DUMMYFUNCTION("IFERROR(GOOGLEFINANCE(A402,""high""),"""")"),"")</f>
        <v/>
      </c>
      <c r="Y402" s="22" t="str">
        <f>IFERROR(__xludf.DUMMYFUNCTION("IFERROR(GOOGLEFINANCE(A402,""low""),"""")"),"")</f>
        <v/>
      </c>
      <c r="Z402" s="22">
        <f>IFERROR(__xludf.DUMMYFUNCTION("IFERROR(GOOGLEFINANCE(A402,""volume""),"""")"),0.0)</f>
        <v>0</v>
      </c>
      <c r="AA402" s="24" t="str">
        <f>VLOOKUP(A402,Metrik!$C$2:$Y$959,5,0)</f>
        <v>Electric Utilities</v>
      </c>
      <c r="AB402" s="24" t="str">
        <f>VLOOKUP(A402,Metrik!$C$2:$Y$959,3,0)</f>
        <v>Infrastructures</v>
      </c>
    </row>
    <row r="403">
      <c r="A403" s="14" t="s">
        <v>234</v>
      </c>
      <c r="B403" s="14" t="str">
        <f t="array" ref="B403">VLOOKUP(A403,{Metrik!$C$2:$C$998,Metrik!$B$2:$B$998},2,0)</f>
        <v>Bank Syariah Indonesia (Persero) Tbk.</v>
      </c>
      <c r="C403" s="15" t="str">
        <f>IFERROR(__xludf.DUMMYFUNCTION("GOOGLEFINANCE(""IDX:""&amp;A403,""price"")"),"#N/A")</f>
        <v>#N/A</v>
      </c>
      <c r="D403" s="16" t="str">
        <f>IFERROR(__xludf.DUMMYFUNCTION("IF(A403="""","""",
SPARKLINE(
INDEX(
GOOGLEFINANCE(""IDX:""&amp;A403,""close"",TODAY()-365,TODAY()),
,2
),
{""linewidth"",1}
))
"),"#N/A")</f>
        <v>#N/A</v>
      </c>
      <c r="E403" s="14" t="s">
        <v>75</v>
      </c>
      <c r="F403" s="14" t="s">
        <v>76</v>
      </c>
      <c r="G403" s="24">
        <f t="shared" si="1"/>
        <v>13</v>
      </c>
      <c r="H403" s="19">
        <f>VLOOKUP(A403,Metrik!$C$2:$Y$959,8,0)</f>
        <v>11.6</v>
      </c>
      <c r="I403" s="20">
        <f>VLOOKUP(A403,Metrik!$C$2:$Y$959,9,0)</f>
        <v>1.8</v>
      </c>
      <c r="J403" s="20">
        <f>VLOOKUP(A403,Metrik!$C$2:$Y$959,10,0)</f>
        <v>15.5</v>
      </c>
      <c r="K403" s="20">
        <f>VLOOKUP(A403,Metrik!$C$2:$Y$959,11,0)</f>
        <v>1.7</v>
      </c>
      <c r="L403" s="20">
        <f>VLOOKUP(A403,Metrik!$C$2:$Y$959,12,0)</f>
        <v>2.2</v>
      </c>
      <c r="M403" s="20">
        <f>VLOOKUP(A403,Metrik!$C$2:$Y$959,19,0)</f>
        <v>160</v>
      </c>
      <c r="N403" s="44">
        <v>6.1</v>
      </c>
      <c r="O403" s="44">
        <v>24.08</v>
      </c>
      <c r="P403" s="44">
        <v>83.74</v>
      </c>
      <c r="Q403" s="44">
        <v>1.81</v>
      </c>
      <c r="R403" s="44">
        <v>67.49</v>
      </c>
      <c r="S403" s="44">
        <v>44.55</v>
      </c>
      <c r="T403" s="44">
        <v>10.26</v>
      </c>
      <c r="U403" s="22">
        <f>IFERROR(__xludf.DUMMYFUNCTION("IFERROR(GOOGLEFINANCE(A403,""closeyest""),"""")"),1795.0)</f>
        <v>1795</v>
      </c>
      <c r="V403" s="23">
        <f>IFERROR(__xludf.DUMMYFUNCTION("IFERROR(GOOGLEFINANCE(A403,""changepct""),"""")"),4.18)</f>
        <v>4.18</v>
      </c>
      <c r="W403" s="22">
        <f>IFERROR(__xludf.DUMMYFUNCTION("IFERROR(GOOGLEFINANCE(A403,""priceopen""),"""")"),1805.0)</f>
        <v>1805</v>
      </c>
      <c r="X403" s="22">
        <f>IFERROR(__xludf.DUMMYFUNCTION("IFERROR(GOOGLEFINANCE(A403,""high""),"""")"),1870.0)</f>
        <v>1870</v>
      </c>
      <c r="Y403" s="22">
        <f>IFERROR(__xludf.DUMMYFUNCTION("IFERROR(GOOGLEFINANCE(A403,""low""),"""")"),1805.0)</f>
        <v>1805</v>
      </c>
      <c r="Z403" s="22">
        <f>IFERROR(__xludf.DUMMYFUNCTION("IFERROR(GOOGLEFINANCE(A403,""volume""),"""")"),2.20712E7)</f>
        <v>22071200</v>
      </c>
      <c r="AA403" s="24" t="str">
        <f>VLOOKUP(A403,Metrik!$C$2:$Y$959,5,0)</f>
        <v>Banks</v>
      </c>
      <c r="AB403" s="24" t="str">
        <f>VLOOKUP(A403,Metrik!$C$2:$Y$959,3,0)</f>
        <v>Financials</v>
      </c>
    </row>
    <row r="404">
      <c r="A404" s="14" t="s">
        <v>234</v>
      </c>
      <c r="B404" s="14" t="str">
        <f t="array" ref="B404">VLOOKUP(A404,{Metrik!$C$2:$C$998,Metrik!$B$2:$B$998},2,0)</f>
        <v>Bank Syariah Indonesia (Persero) Tbk.</v>
      </c>
      <c r="C404" s="15" t="str">
        <f>IFERROR(__xludf.DUMMYFUNCTION("GOOGLEFINANCE(""IDX:""&amp;A404,""price"")"),"#N/A")</f>
        <v>#N/A</v>
      </c>
      <c r="D404" s="16" t="str">
        <f>IFERROR(__xludf.DUMMYFUNCTION("IF(A404="""","""",
SPARKLINE(
INDEX(
GOOGLEFINANCE(""IDX:""&amp;A404,""close"",TODAY()-365,TODAY()),
,2
),
{""linewidth"",1}
))
"),"#N/A")</f>
        <v>#N/A</v>
      </c>
      <c r="E404" s="14" t="s">
        <v>61</v>
      </c>
      <c r="F404" s="14" t="s">
        <v>34</v>
      </c>
      <c r="G404" s="24">
        <f t="shared" si="1"/>
        <v>13</v>
      </c>
      <c r="H404" s="19">
        <f>VLOOKUP(A404,Metrik!$C$2:$Y$959,8,0)</f>
        <v>11.6</v>
      </c>
      <c r="I404" s="20">
        <f>VLOOKUP(A404,Metrik!$C$2:$Y$959,9,0)</f>
        <v>1.8</v>
      </c>
      <c r="J404" s="20">
        <f>VLOOKUP(A404,Metrik!$C$2:$Y$959,10,0)</f>
        <v>15.5</v>
      </c>
      <c r="K404" s="20">
        <f>VLOOKUP(A404,Metrik!$C$2:$Y$959,11,0)</f>
        <v>1.7</v>
      </c>
      <c r="L404" s="20">
        <f>VLOOKUP(A404,Metrik!$C$2:$Y$959,12,0)</f>
        <v>2.2</v>
      </c>
      <c r="M404" s="20">
        <f>VLOOKUP(A404,Metrik!$C$2:$Y$959,19,0)</f>
        <v>160</v>
      </c>
      <c r="N404" s="44">
        <v>6.1</v>
      </c>
      <c r="O404" s="44">
        <v>24.08</v>
      </c>
      <c r="P404" s="44">
        <v>83.74</v>
      </c>
      <c r="Q404" s="44">
        <v>1.81</v>
      </c>
      <c r="R404" s="44">
        <v>67.49</v>
      </c>
      <c r="S404" s="44">
        <v>44.55</v>
      </c>
      <c r="T404" s="44">
        <v>10.26</v>
      </c>
      <c r="U404" s="22">
        <f>IFERROR(__xludf.DUMMYFUNCTION("IFERROR(GOOGLEFINANCE(A404,""closeyest""),"""")"),1795.0)</f>
        <v>1795</v>
      </c>
      <c r="V404" s="23">
        <f>IFERROR(__xludf.DUMMYFUNCTION("IFERROR(GOOGLEFINANCE(A404,""changepct""),"""")"),4.18)</f>
        <v>4.18</v>
      </c>
      <c r="W404" s="22">
        <f>IFERROR(__xludf.DUMMYFUNCTION("IFERROR(GOOGLEFINANCE(A404,""priceopen""),"""")"),1805.0)</f>
        <v>1805</v>
      </c>
      <c r="X404" s="22">
        <f>IFERROR(__xludf.DUMMYFUNCTION("IFERROR(GOOGLEFINANCE(A404,""high""),"""")"),1870.0)</f>
        <v>1870</v>
      </c>
      <c r="Y404" s="22">
        <f>IFERROR(__xludf.DUMMYFUNCTION("IFERROR(GOOGLEFINANCE(A404,""low""),"""")"),1805.0)</f>
        <v>1805</v>
      </c>
      <c r="Z404" s="22">
        <f>IFERROR(__xludf.DUMMYFUNCTION("IFERROR(GOOGLEFINANCE(A404,""volume""),"""")"),2.20712E7)</f>
        <v>22071200</v>
      </c>
      <c r="AA404" s="24" t="str">
        <f>VLOOKUP(A404,Metrik!$C$2:$Y$959,5,0)</f>
        <v>Banks</v>
      </c>
      <c r="AB404" s="24" t="str">
        <f>VLOOKUP(A404,Metrik!$C$2:$Y$959,3,0)</f>
        <v>Financials</v>
      </c>
    </row>
    <row r="405">
      <c r="A405" s="14" t="s">
        <v>234</v>
      </c>
      <c r="B405" s="14" t="str">
        <f t="array" ref="B405">VLOOKUP(A405,{Metrik!$C$2:$C$998,Metrik!$B$2:$B$998},2,0)</f>
        <v>Bank Syariah Indonesia (Persero) Tbk.</v>
      </c>
      <c r="C405" s="15" t="str">
        <f>IFERROR(__xludf.DUMMYFUNCTION("GOOGLEFINANCE(""IDX:""&amp;A405,""price"")"),"#N/A")</f>
        <v>#N/A</v>
      </c>
      <c r="D405" s="16" t="str">
        <f>IFERROR(__xludf.DUMMYFUNCTION("IF(A405="""","""",
SPARKLINE(
INDEX(
GOOGLEFINANCE(""IDX:""&amp;A405,""close"",TODAY()-365,TODAY()),
,2
),
{""linewidth"",1}
))
"),"#N/A")</f>
        <v>#N/A</v>
      </c>
      <c r="E405" s="14" t="s">
        <v>32</v>
      </c>
      <c r="F405" s="14" t="s">
        <v>29</v>
      </c>
      <c r="G405" s="24">
        <f t="shared" si="1"/>
        <v>13</v>
      </c>
      <c r="H405" s="19">
        <f>VLOOKUP(A405,Metrik!$C$2:$Y$959,8,0)</f>
        <v>11.6</v>
      </c>
      <c r="I405" s="20">
        <f>VLOOKUP(A405,Metrik!$C$2:$Y$959,9,0)</f>
        <v>1.8</v>
      </c>
      <c r="J405" s="20">
        <f>VLOOKUP(A405,Metrik!$C$2:$Y$959,10,0)</f>
        <v>15.5</v>
      </c>
      <c r="K405" s="20">
        <f>VLOOKUP(A405,Metrik!$C$2:$Y$959,11,0)</f>
        <v>1.7</v>
      </c>
      <c r="L405" s="20">
        <f>VLOOKUP(A405,Metrik!$C$2:$Y$959,12,0)</f>
        <v>2.2</v>
      </c>
      <c r="M405" s="20">
        <f>VLOOKUP(A405,Metrik!$C$2:$Y$959,19,0)</f>
        <v>160</v>
      </c>
      <c r="N405" s="44">
        <v>6.1</v>
      </c>
      <c r="O405" s="44">
        <v>24.08</v>
      </c>
      <c r="P405" s="44">
        <v>83.74</v>
      </c>
      <c r="Q405" s="44">
        <v>1.81</v>
      </c>
      <c r="R405" s="44">
        <v>67.49</v>
      </c>
      <c r="S405" s="44">
        <v>44.55</v>
      </c>
      <c r="T405" s="44">
        <v>10.26</v>
      </c>
      <c r="U405" s="22">
        <f>IFERROR(__xludf.DUMMYFUNCTION("IFERROR(GOOGLEFINANCE(A405,""closeyest""),"""")"),1795.0)</f>
        <v>1795</v>
      </c>
      <c r="V405" s="23">
        <f>IFERROR(__xludf.DUMMYFUNCTION("IFERROR(GOOGLEFINANCE(A405,""changepct""),"""")"),4.18)</f>
        <v>4.18</v>
      </c>
      <c r="W405" s="22">
        <f>IFERROR(__xludf.DUMMYFUNCTION("IFERROR(GOOGLEFINANCE(A405,""priceopen""),"""")"),1805.0)</f>
        <v>1805</v>
      </c>
      <c r="X405" s="22">
        <f>IFERROR(__xludf.DUMMYFUNCTION("IFERROR(GOOGLEFINANCE(A405,""high""),"""")"),1870.0)</f>
        <v>1870</v>
      </c>
      <c r="Y405" s="22">
        <f>IFERROR(__xludf.DUMMYFUNCTION("IFERROR(GOOGLEFINANCE(A405,""low""),"""")"),1805.0)</f>
        <v>1805</v>
      </c>
      <c r="Z405" s="22">
        <f>IFERROR(__xludf.DUMMYFUNCTION("IFERROR(GOOGLEFINANCE(A405,""volume""),"""")"),2.20712E7)</f>
        <v>22071200</v>
      </c>
      <c r="AA405" s="24" t="str">
        <f>VLOOKUP(A405,Metrik!$C$2:$Y$959,5,0)</f>
        <v>Banks</v>
      </c>
      <c r="AB405" s="24" t="str">
        <f>VLOOKUP(A405,Metrik!$C$2:$Y$959,3,0)</f>
        <v>Financials</v>
      </c>
    </row>
    <row r="406">
      <c r="A406" s="14" t="s">
        <v>234</v>
      </c>
      <c r="B406" s="14" t="str">
        <f t="array" ref="B406">VLOOKUP(A406,{Metrik!$C$2:$C$998,Metrik!$B$2:$B$998},2,0)</f>
        <v>Bank Syariah Indonesia (Persero) Tbk.</v>
      </c>
      <c r="C406" s="15" t="str">
        <f>IFERROR(__xludf.DUMMYFUNCTION("GOOGLEFINANCE(""IDX:""&amp;A406,""price"")"),"#N/A")</f>
        <v>#N/A</v>
      </c>
      <c r="D406" s="16" t="str">
        <f>IFERROR(__xludf.DUMMYFUNCTION("IF(A406="""","""",
SPARKLINE(
INDEX(
GOOGLEFINANCE(""IDX:""&amp;A406,""close"",TODAY()-365,TODAY()),
,2
),
{""linewidth"",1}
))
"),"#N/A")</f>
        <v>#N/A</v>
      </c>
      <c r="E406" s="14" t="s">
        <v>84</v>
      </c>
      <c r="F406" s="17" t="s">
        <v>51</v>
      </c>
      <c r="G406" s="24">
        <f t="shared" si="1"/>
        <v>13</v>
      </c>
      <c r="H406" s="19">
        <f>VLOOKUP(A406,Metrik!$C$2:$Y$959,8,0)</f>
        <v>11.6</v>
      </c>
      <c r="I406" s="20">
        <f>VLOOKUP(A406,Metrik!$C$2:$Y$959,9,0)</f>
        <v>1.8</v>
      </c>
      <c r="J406" s="20">
        <f>VLOOKUP(A406,Metrik!$C$2:$Y$959,10,0)</f>
        <v>15.5</v>
      </c>
      <c r="K406" s="20">
        <f>VLOOKUP(A406,Metrik!$C$2:$Y$959,11,0)</f>
        <v>1.7</v>
      </c>
      <c r="L406" s="20">
        <f>VLOOKUP(A406,Metrik!$C$2:$Y$959,12,0)</f>
        <v>2.2</v>
      </c>
      <c r="M406" s="20">
        <f>VLOOKUP(A406,Metrik!$C$2:$Y$959,19,0)</f>
        <v>160</v>
      </c>
      <c r="N406" s="44">
        <v>6.1</v>
      </c>
      <c r="O406" s="44">
        <v>24.08</v>
      </c>
      <c r="P406" s="44">
        <v>83.74</v>
      </c>
      <c r="Q406" s="44">
        <v>1.81</v>
      </c>
      <c r="R406" s="44">
        <v>67.49</v>
      </c>
      <c r="S406" s="44">
        <v>44.55</v>
      </c>
      <c r="T406" s="44">
        <v>10.26</v>
      </c>
      <c r="U406" s="22">
        <f>IFERROR(__xludf.DUMMYFUNCTION("IFERROR(GOOGLEFINANCE(A406,""closeyest""),"""")"),1795.0)</f>
        <v>1795</v>
      </c>
      <c r="V406" s="23">
        <f>IFERROR(__xludf.DUMMYFUNCTION("IFERROR(GOOGLEFINANCE(A406,""changepct""),"""")"),4.18)</f>
        <v>4.18</v>
      </c>
      <c r="W406" s="22">
        <f>IFERROR(__xludf.DUMMYFUNCTION("IFERROR(GOOGLEFINANCE(A406,""priceopen""),"""")"),1805.0)</f>
        <v>1805</v>
      </c>
      <c r="X406" s="22">
        <f>IFERROR(__xludf.DUMMYFUNCTION("IFERROR(GOOGLEFINANCE(A406,""high""),"""")"),1870.0)</f>
        <v>1870</v>
      </c>
      <c r="Y406" s="22">
        <f>IFERROR(__xludf.DUMMYFUNCTION("IFERROR(GOOGLEFINANCE(A406,""low""),"""")"),1805.0)</f>
        <v>1805</v>
      </c>
      <c r="Z406" s="22">
        <f>IFERROR(__xludf.DUMMYFUNCTION("IFERROR(GOOGLEFINANCE(A406,""volume""),"""")"),2.20712E7)</f>
        <v>22071200</v>
      </c>
      <c r="AA406" s="24" t="str">
        <f>VLOOKUP(A406,Metrik!$C$2:$Y$959,5,0)</f>
        <v>Banks</v>
      </c>
      <c r="AB406" s="24" t="str">
        <f>VLOOKUP(A406,Metrik!$C$2:$Y$959,3,0)</f>
        <v>Financials</v>
      </c>
    </row>
    <row r="407">
      <c r="A407" s="14" t="s">
        <v>234</v>
      </c>
      <c r="B407" s="14" t="str">
        <f t="array" ref="B407">VLOOKUP(A407,{Metrik!$C$2:$C$998,Metrik!$B$2:$B$998},2,0)</f>
        <v>Bank Syariah Indonesia (Persero) Tbk.</v>
      </c>
      <c r="C407" s="15" t="str">
        <f>IFERROR(__xludf.DUMMYFUNCTION("GOOGLEFINANCE(""IDX:""&amp;A407,""price"")"),"#N/A")</f>
        <v>#N/A</v>
      </c>
      <c r="D407" s="16" t="str">
        <f>IFERROR(__xludf.DUMMYFUNCTION("IF(A407="""","""",
SPARKLINE(
INDEX(
GOOGLEFINANCE(""IDX:""&amp;A407,""close"",TODAY()-365,TODAY()),
,2
),
{""linewidth"",1}
))
"),"#N/A")</f>
        <v>#N/A</v>
      </c>
      <c r="E407" s="14" t="s">
        <v>161</v>
      </c>
      <c r="F407" s="14" t="s">
        <v>76</v>
      </c>
      <c r="G407" s="24">
        <f t="shared" si="1"/>
        <v>13</v>
      </c>
      <c r="H407" s="19">
        <f>VLOOKUP(A407,Metrik!$C$2:$Y$959,8,0)</f>
        <v>11.6</v>
      </c>
      <c r="I407" s="20">
        <f>VLOOKUP(A407,Metrik!$C$2:$Y$959,9,0)</f>
        <v>1.8</v>
      </c>
      <c r="J407" s="20">
        <f>VLOOKUP(A407,Metrik!$C$2:$Y$959,10,0)</f>
        <v>15.5</v>
      </c>
      <c r="K407" s="20">
        <f>VLOOKUP(A407,Metrik!$C$2:$Y$959,11,0)</f>
        <v>1.7</v>
      </c>
      <c r="L407" s="20">
        <f>VLOOKUP(A407,Metrik!$C$2:$Y$959,12,0)</f>
        <v>2.2</v>
      </c>
      <c r="M407" s="20">
        <f>VLOOKUP(A407,Metrik!$C$2:$Y$959,19,0)</f>
        <v>160</v>
      </c>
      <c r="N407" s="44">
        <v>6.1</v>
      </c>
      <c r="O407" s="44">
        <v>24.08</v>
      </c>
      <c r="P407" s="44">
        <v>83.74</v>
      </c>
      <c r="Q407" s="44">
        <v>1.81</v>
      </c>
      <c r="R407" s="44">
        <v>67.49</v>
      </c>
      <c r="S407" s="44">
        <v>44.55</v>
      </c>
      <c r="T407" s="44">
        <v>10.26</v>
      </c>
      <c r="U407" s="22">
        <f>IFERROR(__xludf.DUMMYFUNCTION("IFERROR(GOOGLEFINANCE(A407,""closeyest""),"""")"),1795.0)</f>
        <v>1795</v>
      </c>
      <c r="V407" s="23">
        <f>IFERROR(__xludf.DUMMYFUNCTION("IFERROR(GOOGLEFINANCE(A407,""changepct""),"""")"),4.18)</f>
        <v>4.18</v>
      </c>
      <c r="W407" s="22">
        <f>IFERROR(__xludf.DUMMYFUNCTION("IFERROR(GOOGLEFINANCE(A407,""priceopen""),"""")"),1805.0)</f>
        <v>1805</v>
      </c>
      <c r="X407" s="22">
        <f>IFERROR(__xludf.DUMMYFUNCTION("IFERROR(GOOGLEFINANCE(A407,""high""),"""")"),1870.0)</f>
        <v>1870</v>
      </c>
      <c r="Y407" s="22">
        <f>IFERROR(__xludf.DUMMYFUNCTION("IFERROR(GOOGLEFINANCE(A407,""low""),"""")"),1805.0)</f>
        <v>1805</v>
      </c>
      <c r="Z407" s="22">
        <f>IFERROR(__xludf.DUMMYFUNCTION("IFERROR(GOOGLEFINANCE(A407,""volume""),"""")"),2.20712E7)</f>
        <v>22071200</v>
      </c>
      <c r="AA407" s="24" t="str">
        <f>VLOOKUP(A407,Metrik!$C$2:$Y$959,5,0)</f>
        <v>Banks</v>
      </c>
      <c r="AB407" s="24" t="str">
        <f>VLOOKUP(A407,Metrik!$C$2:$Y$959,3,0)</f>
        <v>Financials</v>
      </c>
    </row>
    <row r="408">
      <c r="A408" s="14" t="s">
        <v>234</v>
      </c>
      <c r="B408" s="14" t="str">
        <f t="array" ref="B408">VLOOKUP(A408,{Metrik!$C$2:$C$998,Metrik!$B$2:$B$998},2,0)</f>
        <v>Bank Syariah Indonesia (Persero) Tbk.</v>
      </c>
      <c r="C408" s="15" t="str">
        <f>IFERROR(__xludf.DUMMYFUNCTION("GOOGLEFINANCE(""IDX:""&amp;A408,""price"")"),"#N/A")</f>
        <v>#N/A</v>
      </c>
      <c r="D408" s="16" t="str">
        <f>IFERROR(__xludf.DUMMYFUNCTION("IF(A408="""","""",
SPARKLINE(
INDEX(
GOOGLEFINANCE(""IDX:""&amp;A408,""close"",TODAY()-365,TODAY()),
,2
),
{""linewidth"",1}
))
"),"#N/A")</f>
        <v>#N/A</v>
      </c>
      <c r="E408" s="14" t="s">
        <v>52</v>
      </c>
      <c r="F408" s="27" t="s">
        <v>53</v>
      </c>
      <c r="G408" s="24">
        <f t="shared" si="1"/>
        <v>13</v>
      </c>
      <c r="H408" s="19">
        <f>VLOOKUP(A408,Metrik!$C$2:$Y$959,8,0)</f>
        <v>11.6</v>
      </c>
      <c r="I408" s="20">
        <f>VLOOKUP(A408,Metrik!$C$2:$Y$959,9,0)</f>
        <v>1.8</v>
      </c>
      <c r="J408" s="20">
        <f>VLOOKUP(A408,Metrik!$C$2:$Y$959,10,0)</f>
        <v>15.5</v>
      </c>
      <c r="K408" s="20">
        <f>VLOOKUP(A408,Metrik!$C$2:$Y$959,11,0)</f>
        <v>1.7</v>
      </c>
      <c r="L408" s="20">
        <f>VLOOKUP(A408,Metrik!$C$2:$Y$959,12,0)</f>
        <v>2.2</v>
      </c>
      <c r="M408" s="20">
        <f>VLOOKUP(A408,Metrik!$C$2:$Y$959,19,0)</f>
        <v>160</v>
      </c>
      <c r="N408" s="44">
        <v>6.1</v>
      </c>
      <c r="O408" s="44">
        <v>24.08</v>
      </c>
      <c r="P408" s="44">
        <v>83.74</v>
      </c>
      <c r="Q408" s="44">
        <v>1.81</v>
      </c>
      <c r="R408" s="44">
        <v>67.49</v>
      </c>
      <c r="S408" s="44">
        <v>44.55</v>
      </c>
      <c r="T408" s="44">
        <v>10.26</v>
      </c>
      <c r="U408" s="22">
        <f>IFERROR(__xludf.DUMMYFUNCTION("IFERROR(GOOGLEFINANCE(A408,""closeyest""),"""")"),1795.0)</f>
        <v>1795</v>
      </c>
      <c r="V408" s="23">
        <f>IFERROR(__xludf.DUMMYFUNCTION("IFERROR(GOOGLEFINANCE(A408,""changepct""),"""")"),4.18)</f>
        <v>4.18</v>
      </c>
      <c r="W408" s="22">
        <f>IFERROR(__xludf.DUMMYFUNCTION("IFERROR(GOOGLEFINANCE(A408,""priceopen""),"""")"),1805.0)</f>
        <v>1805</v>
      </c>
      <c r="X408" s="22">
        <f>IFERROR(__xludf.DUMMYFUNCTION("IFERROR(GOOGLEFINANCE(A408,""high""),"""")"),1870.0)</f>
        <v>1870</v>
      </c>
      <c r="Y408" s="22">
        <f>IFERROR(__xludf.DUMMYFUNCTION("IFERROR(GOOGLEFINANCE(A408,""low""),"""")"),1805.0)</f>
        <v>1805</v>
      </c>
      <c r="Z408" s="22">
        <f>IFERROR(__xludf.DUMMYFUNCTION("IFERROR(GOOGLEFINANCE(A408,""volume""),"""")"),2.20712E7)</f>
        <v>22071200</v>
      </c>
      <c r="AA408" s="24" t="str">
        <f>VLOOKUP(A408,Metrik!$C$2:$Y$959,5,0)</f>
        <v>Banks</v>
      </c>
      <c r="AB408" s="24" t="str">
        <f>VLOOKUP(A408,Metrik!$C$2:$Y$959,3,0)</f>
        <v>Financials</v>
      </c>
    </row>
    <row r="409">
      <c r="A409" s="14" t="s">
        <v>234</v>
      </c>
      <c r="B409" s="14" t="str">
        <f t="array" ref="B409">VLOOKUP(A409,{Metrik!$C$2:$C$998,Metrik!$B$2:$B$998},2,0)</f>
        <v>Bank Syariah Indonesia (Persero) Tbk.</v>
      </c>
      <c r="C409" s="15" t="str">
        <f>IFERROR(__xludf.DUMMYFUNCTION("GOOGLEFINANCE(""IDX:""&amp;A409,""price"")"),"#N/A")</f>
        <v>#N/A</v>
      </c>
      <c r="D409" s="16" t="str">
        <f>IFERROR(__xludf.DUMMYFUNCTION("IF(A409="""","""",
SPARKLINE(
INDEX(
GOOGLEFINANCE(""IDX:""&amp;A409,""close"",TODAY()-365,TODAY()),
,2
),
{""linewidth"",1}
))
"),"#N/A")</f>
        <v>#N/A</v>
      </c>
      <c r="E409" s="14" t="s">
        <v>162</v>
      </c>
      <c r="F409" s="14" t="s">
        <v>76</v>
      </c>
      <c r="G409" s="24">
        <f t="shared" si="1"/>
        <v>13</v>
      </c>
      <c r="H409" s="19">
        <f>VLOOKUP(A409,Metrik!$C$2:$Y$959,8,0)</f>
        <v>11.6</v>
      </c>
      <c r="I409" s="20">
        <f>VLOOKUP(A409,Metrik!$C$2:$Y$959,9,0)</f>
        <v>1.8</v>
      </c>
      <c r="J409" s="20">
        <f>VLOOKUP(A409,Metrik!$C$2:$Y$959,10,0)</f>
        <v>15.5</v>
      </c>
      <c r="K409" s="20">
        <f>VLOOKUP(A409,Metrik!$C$2:$Y$959,11,0)</f>
        <v>1.7</v>
      </c>
      <c r="L409" s="20">
        <f>VLOOKUP(A409,Metrik!$C$2:$Y$959,12,0)</f>
        <v>2.2</v>
      </c>
      <c r="M409" s="20">
        <f>VLOOKUP(A409,Metrik!$C$2:$Y$959,19,0)</f>
        <v>160</v>
      </c>
      <c r="N409" s="44">
        <v>6.1</v>
      </c>
      <c r="O409" s="44">
        <v>24.08</v>
      </c>
      <c r="P409" s="44">
        <v>83.74</v>
      </c>
      <c r="Q409" s="44">
        <v>1.81</v>
      </c>
      <c r="R409" s="44">
        <v>67.49</v>
      </c>
      <c r="S409" s="44">
        <v>44.55</v>
      </c>
      <c r="T409" s="44">
        <v>10.26</v>
      </c>
      <c r="U409" s="22">
        <f>IFERROR(__xludf.DUMMYFUNCTION("IFERROR(GOOGLEFINANCE(A409,""closeyest""),"""")"),1795.0)</f>
        <v>1795</v>
      </c>
      <c r="V409" s="23">
        <f>IFERROR(__xludf.DUMMYFUNCTION("IFERROR(GOOGLEFINANCE(A409,""changepct""),"""")"),4.18)</f>
        <v>4.18</v>
      </c>
      <c r="W409" s="22">
        <f>IFERROR(__xludf.DUMMYFUNCTION("IFERROR(GOOGLEFINANCE(A409,""priceopen""),"""")"),1805.0)</f>
        <v>1805</v>
      </c>
      <c r="X409" s="22">
        <f>IFERROR(__xludf.DUMMYFUNCTION("IFERROR(GOOGLEFINANCE(A409,""high""),"""")"),1870.0)</f>
        <v>1870</v>
      </c>
      <c r="Y409" s="22">
        <f>IFERROR(__xludf.DUMMYFUNCTION("IFERROR(GOOGLEFINANCE(A409,""low""),"""")"),1805.0)</f>
        <v>1805</v>
      </c>
      <c r="Z409" s="22">
        <f>IFERROR(__xludf.DUMMYFUNCTION("IFERROR(GOOGLEFINANCE(A409,""volume""),"""")"),2.20712E7)</f>
        <v>22071200</v>
      </c>
      <c r="AA409" s="24" t="str">
        <f>VLOOKUP(A409,Metrik!$C$2:$Y$959,5,0)</f>
        <v>Banks</v>
      </c>
      <c r="AB409" s="24" t="str">
        <f>VLOOKUP(A409,Metrik!$C$2:$Y$959,3,0)</f>
        <v>Financials</v>
      </c>
    </row>
    <row r="410">
      <c r="A410" s="17" t="s">
        <v>234</v>
      </c>
      <c r="B410" s="14" t="str">
        <f t="array" ref="B410">VLOOKUP(A410,{Metrik!$C$2:$C$998,Metrik!$B$2:$B$998},2,0)</f>
        <v>Bank Syariah Indonesia (Persero) Tbk.</v>
      </c>
      <c r="C410" s="15" t="str">
        <f>IFERROR(__xludf.DUMMYFUNCTION("GOOGLEFINANCE(""IDX:""&amp;A410,""price"")"),"#N/A")</f>
        <v>#N/A</v>
      </c>
      <c r="D410" s="16" t="str">
        <f>IFERROR(__xludf.DUMMYFUNCTION("IF(A410="""","""",
SPARKLINE(
INDEX(
GOOGLEFINANCE(""IDX:""&amp;A410,""close"",TODAY()-365,TODAY()),
,2
),
{""linewidth"",1}
))
"),"#N/A")</f>
        <v>#N/A</v>
      </c>
      <c r="E410" s="17" t="s">
        <v>69</v>
      </c>
      <c r="F410" s="17" t="s">
        <v>70</v>
      </c>
      <c r="G410" s="24">
        <f t="shared" si="1"/>
        <v>13</v>
      </c>
      <c r="H410" s="19">
        <f>VLOOKUP(A410,Metrik!$C$2:$Y$959,8,0)</f>
        <v>11.6</v>
      </c>
      <c r="I410" s="20">
        <f>VLOOKUP(A410,Metrik!$C$2:$Y$959,9,0)</f>
        <v>1.8</v>
      </c>
      <c r="J410" s="20">
        <f>VLOOKUP(A410,Metrik!$C$2:$Y$959,10,0)</f>
        <v>15.5</v>
      </c>
      <c r="K410" s="20">
        <f>VLOOKUP(A410,Metrik!$C$2:$Y$959,11,0)</f>
        <v>1.7</v>
      </c>
      <c r="L410" s="20">
        <f>VLOOKUP(A410,Metrik!$C$2:$Y$959,12,0)</f>
        <v>2.2</v>
      </c>
      <c r="M410" s="20">
        <f>VLOOKUP(A410,Metrik!$C$2:$Y$959,19,0)</f>
        <v>160</v>
      </c>
      <c r="N410" s="45">
        <v>6.1</v>
      </c>
      <c r="O410" s="45">
        <v>24.08</v>
      </c>
      <c r="P410" s="45">
        <v>83.74</v>
      </c>
      <c r="Q410" s="45">
        <v>1.81</v>
      </c>
      <c r="R410" s="45">
        <v>67.49</v>
      </c>
      <c r="S410" s="45">
        <v>44.55</v>
      </c>
      <c r="T410" s="45">
        <v>10.26</v>
      </c>
      <c r="U410" s="22">
        <f>IFERROR(__xludf.DUMMYFUNCTION("IFERROR(GOOGLEFINANCE(A410,""closeyest""),"""")"),1795.0)</f>
        <v>1795</v>
      </c>
      <c r="V410" s="23">
        <f>IFERROR(__xludf.DUMMYFUNCTION("IFERROR(GOOGLEFINANCE(A410,""changepct""),"""")"),4.18)</f>
        <v>4.18</v>
      </c>
      <c r="W410" s="22">
        <f>IFERROR(__xludf.DUMMYFUNCTION("IFERROR(GOOGLEFINANCE(A410,""priceopen""),"""")"),1805.0)</f>
        <v>1805</v>
      </c>
      <c r="X410" s="22">
        <f>IFERROR(__xludf.DUMMYFUNCTION("IFERROR(GOOGLEFINANCE(A410,""high""),"""")"),1870.0)</f>
        <v>1870</v>
      </c>
      <c r="Y410" s="22">
        <f>IFERROR(__xludf.DUMMYFUNCTION("IFERROR(GOOGLEFINANCE(A410,""low""),"""")"),1805.0)</f>
        <v>1805</v>
      </c>
      <c r="Z410" s="22">
        <f>IFERROR(__xludf.DUMMYFUNCTION("IFERROR(GOOGLEFINANCE(A410,""volume""),"""")"),2.20712E7)</f>
        <v>22071200</v>
      </c>
      <c r="AA410" s="24" t="str">
        <f>VLOOKUP(A410,Metrik!$C$2:$Y$959,5,0)</f>
        <v>Banks</v>
      </c>
      <c r="AB410" s="24" t="str">
        <f>VLOOKUP(A410,Metrik!$C$2:$Y$959,3,0)</f>
        <v>Financials</v>
      </c>
    </row>
    <row r="411">
      <c r="A411" s="14" t="s">
        <v>234</v>
      </c>
      <c r="B411" s="14" t="str">
        <f t="array" ref="B411">VLOOKUP(A411,{Metrik!$C$2:$C$998,Metrik!$B$2:$B$998},2,0)</f>
        <v>Bank Syariah Indonesia (Persero) Tbk.</v>
      </c>
      <c r="C411" s="15" t="str">
        <f>IFERROR(__xludf.DUMMYFUNCTION("GOOGLEFINANCE(""IDX:""&amp;A411,""price"")"),"#N/A")</f>
        <v>#N/A</v>
      </c>
      <c r="D411" s="16" t="str">
        <f>IFERROR(__xludf.DUMMYFUNCTION("IF(A411="""","""",
SPARKLINE(
INDEX(
GOOGLEFINANCE(""IDX:""&amp;A411,""close"",TODAY()-365,TODAY()),
,2
),
{""linewidth"",1}
))
"),"#N/A")</f>
        <v>#N/A</v>
      </c>
      <c r="E411" s="14" t="s">
        <v>106</v>
      </c>
      <c r="F411" s="25">
        <v>46356.0</v>
      </c>
      <c r="G411" s="24">
        <f t="shared" si="1"/>
        <v>13</v>
      </c>
      <c r="H411" s="19">
        <f>VLOOKUP(A411,Metrik!$C$2:$Y$959,8,0)</f>
        <v>11.6</v>
      </c>
      <c r="I411" s="20">
        <f>VLOOKUP(A411,Metrik!$C$2:$Y$959,9,0)</f>
        <v>1.8</v>
      </c>
      <c r="J411" s="20">
        <f>VLOOKUP(A411,Metrik!$C$2:$Y$959,10,0)</f>
        <v>15.5</v>
      </c>
      <c r="K411" s="20">
        <f>VLOOKUP(A411,Metrik!$C$2:$Y$959,11,0)</f>
        <v>1.7</v>
      </c>
      <c r="L411" s="20">
        <f>VLOOKUP(A411,Metrik!$C$2:$Y$959,12,0)</f>
        <v>2.2</v>
      </c>
      <c r="M411" s="20">
        <f>VLOOKUP(A411,Metrik!$C$2:$Y$959,19,0)</f>
        <v>160</v>
      </c>
      <c r="N411" s="44">
        <v>6.1</v>
      </c>
      <c r="O411" s="44">
        <v>24.08</v>
      </c>
      <c r="P411" s="44">
        <v>83.74</v>
      </c>
      <c r="Q411" s="44">
        <v>1.81</v>
      </c>
      <c r="R411" s="44">
        <v>67.49</v>
      </c>
      <c r="S411" s="44">
        <v>44.55</v>
      </c>
      <c r="T411" s="44">
        <v>10.26</v>
      </c>
      <c r="U411" s="22">
        <f>IFERROR(__xludf.DUMMYFUNCTION("IFERROR(GOOGLEFINANCE(A411,""closeyest""),"""")"),1795.0)</f>
        <v>1795</v>
      </c>
      <c r="V411" s="23">
        <f>IFERROR(__xludf.DUMMYFUNCTION("IFERROR(GOOGLEFINANCE(A411,""changepct""),"""")"),4.18)</f>
        <v>4.18</v>
      </c>
      <c r="W411" s="22">
        <f>IFERROR(__xludf.DUMMYFUNCTION("IFERROR(GOOGLEFINANCE(A411,""priceopen""),"""")"),1805.0)</f>
        <v>1805</v>
      </c>
      <c r="X411" s="22">
        <f>IFERROR(__xludf.DUMMYFUNCTION("IFERROR(GOOGLEFINANCE(A411,""high""),"""")"),1870.0)</f>
        <v>1870</v>
      </c>
      <c r="Y411" s="22">
        <f>IFERROR(__xludf.DUMMYFUNCTION("IFERROR(GOOGLEFINANCE(A411,""low""),"""")"),1805.0)</f>
        <v>1805</v>
      </c>
      <c r="Z411" s="22">
        <f>IFERROR(__xludf.DUMMYFUNCTION("IFERROR(GOOGLEFINANCE(A411,""volume""),"""")"),2.20712E7)</f>
        <v>22071200</v>
      </c>
      <c r="AA411" s="24" t="str">
        <f>VLOOKUP(A411,Metrik!$C$2:$Y$959,5,0)</f>
        <v>Banks</v>
      </c>
      <c r="AB411" s="24" t="str">
        <f>VLOOKUP(A411,Metrik!$C$2:$Y$959,3,0)</f>
        <v>Financials</v>
      </c>
    </row>
    <row r="412">
      <c r="A412" s="14" t="s">
        <v>234</v>
      </c>
      <c r="B412" s="14" t="str">
        <f t="array" ref="B412">VLOOKUP(A412,{Metrik!$C$2:$C$998,Metrik!$B$2:$B$998},2,0)</f>
        <v>Bank Syariah Indonesia (Persero) Tbk.</v>
      </c>
      <c r="C412" s="15" t="str">
        <f>IFERROR(__xludf.DUMMYFUNCTION("GOOGLEFINANCE(""IDX:""&amp;A412,""price"")"),"#N/A")</f>
        <v>#N/A</v>
      </c>
      <c r="D412" s="16" t="str">
        <f>IFERROR(__xludf.DUMMYFUNCTION("IF(A412="""","""",
SPARKLINE(
INDEX(
GOOGLEFINANCE(""IDX:""&amp;A412,""close"",TODAY()-365,TODAY()),
,2
),
{""linewidth"",1}
))
"),"#N/A")</f>
        <v>#N/A</v>
      </c>
      <c r="E412" s="14" t="s">
        <v>65</v>
      </c>
      <c r="F412" s="25">
        <v>46356.0</v>
      </c>
      <c r="G412" s="24">
        <f t="shared" si="1"/>
        <v>13</v>
      </c>
      <c r="H412" s="19">
        <f>VLOOKUP(A412,Metrik!$C$2:$Y$959,8,0)</f>
        <v>11.6</v>
      </c>
      <c r="I412" s="20">
        <f>VLOOKUP(A412,Metrik!$C$2:$Y$959,9,0)</f>
        <v>1.8</v>
      </c>
      <c r="J412" s="20">
        <f>VLOOKUP(A412,Metrik!$C$2:$Y$959,10,0)</f>
        <v>15.5</v>
      </c>
      <c r="K412" s="20">
        <f>VLOOKUP(A412,Metrik!$C$2:$Y$959,11,0)</f>
        <v>1.7</v>
      </c>
      <c r="L412" s="20">
        <f>VLOOKUP(A412,Metrik!$C$2:$Y$959,12,0)</f>
        <v>2.2</v>
      </c>
      <c r="M412" s="20">
        <f>VLOOKUP(A412,Metrik!$C$2:$Y$959,19,0)</f>
        <v>160</v>
      </c>
      <c r="N412" s="44">
        <v>6.1</v>
      </c>
      <c r="O412" s="44">
        <v>24.08</v>
      </c>
      <c r="P412" s="44">
        <v>83.74</v>
      </c>
      <c r="Q412" s="44">
        <v>1.81</v>
      </c>
      <c r="R412" s="44">
        <v>67.49</v>
      </c>
      <c r="S412" s="44">
        <v>44.55</v>
      </c>
      <c r="T412" s="44">
        <v>10.26</v>
      </c>
      <c r="U412" s="22">
        <f>IFERROR(__xludf.DUMMYFUNCTION("IFERROR(GOOGLEFINANCE(A412,""closeyest""),"""")"),1795.0)</f>
        <v>1795</v>
      </c>
      <c r="V412" s="23">
        <f>IFERROR(__xludf.DUMMYFUNCTION("IFERROR(GOOGLEFINANCE(A412,""changepct""),"""")"),4.18)</f>
        <v>4.18</v>
      </c>
      <c r="W412" s="22">
        <f>IFERROR(__xludf.DUMMYFUNCTION("IFERROR(GOOGLEFINANCE(A412,""priceopen""),"""")"),1805.0)</f>
        <v>1805</v>
      </c>
      <c r="X412" s="22">
        <f>IFERROR(__xludf.DUMMYFUNCTION("IFERROR(GOOGLEFINANCE(A412,""high""),"""")"),1870.0)</f>
        <v>1870</v>
      </c>
      <c r="Y412" s="22">
        <f>IFERROR(__xludf.DUMMYFUNCTION("IFERROR(GOOGLEFINANCE(A412,""low""),"""")"),1805.0)</f>
        <v>1805</v>
      </c>
      <c r="Z412" s="22">
        <f>IFERROR(__xludf.DUMMYFUNCTION("IFERROR(GOOGLEFINANCE(A412,""volume""),"""")"),2.20712E7)</f>
        <v>22071200</v>
      </c>
      <c r="AA412" s="24" t="str">
        <f>VLOOKUP(A412,Metrik!$C$2:$Y$959,5,0)</f>
        <v>Banks</v>
      </c>
      <c r="AB412" s="24" t="str">
        <f>VLOOKUP(A412,Metrik!$C$2:$Y$959,3,0)</f>
        <v>Financials</v>
      </c>
    </row>
    <row r="413">
      <c r="A413" s="14" t="s">
        <v>234</v>
      </c>
      <c r="B413" s="14" t="str">
        <f t="array" ref="B413">VLOOKUP(A413,{Metrik!$C$2:$C$998,Metrik!$B$2:$B$998},2,0)</f>
        <v>Bank Syariah Indonesia (Persero) Tbk.</v>
      </c>
      <c r="C413" s="15" t="str">
        <f>IFERROR(__xludf.DUMMYFUNCTION("GOOGLEFINANCE(""IDX:""&amp;A413,""price"")"),"#N/A")</f>
        <v>#N/A</v>
      </c>
      <c r="D413" s="16" t="str">
        <f>IFERROR(__xludf.DUMMYFUNCTION("IF(A413="""","""",
SPARKLINE(
INDEX(
GOOGLEFINANCE(""IDX:""&amp;A413,""close"",TODAY()-365,TODAY()),
,2
),
{""linewidth"",1}
))
"),"#N/A")</f>
        <v>#N/A</v>
      </c>
      <c r="E413" s="14" t="s">
        <v>42</v>
      </c>
      <c r="F413" s="25">
        <v>46356.0</v>
      </c>
      <c r="G413" s="24">
        <f t="shared" si="1"/>
        <v>13</v>
      </c>
      <c r="H413" s="19">
        <f>VLOOKUP(A413,Metrik!$C$2:$Y$959,8,0)</f>
        <v>11.6</v>
      </c>
      <c r="I413" s="20">
        <f>VLOOKUP(A413,Metrik!$C$2:$Y$959,9,0)</f>
        <v>1.8</v>
      </c>
      <c r="J413" s="20">
        <f>VLOOKUP(A413,Metrik!$C$2:$Y$959,10,0)</f>
        <v>15.5</v>
      </c>
      <c r="K413" s="20">
        <f>VLOOKUP(A413,Metrik!$C$2:$Y$959,11,0)</f>
        <v>1.7</v>
      </c>
      <c r="L413" s="20">
        <f>VLOOKUP(A413,Metrik!$C$2:$Y$959,12,0)</f>
        <v>2.2</v>
      </c>
      <c r="M413" s="20">
        <f>VLOOKUP(A413,Metrik!$C$2:$Y$959,19,0)</f>
        <v>160</v>
      </c>
      <c r="N413" s="44">
        <v>6.1</v>
      </c>
      <c r="O413" s="44">
        <v>24.08</v>
      </c>
      <c r="P413" s="44">
        <v>83.74</v>
      </c>
      <c r="Q413" s="44">
        <v>1.81</v>
      </c>
      <c r="R413" s="44">
        <v>67.49</v>
      </c>
      <c r="S413" s="44">
        <v>44.55</v>
      </c>
      <c r="T413" s="44">
        <v>10.26</v>
      </c>
      <c r="U413" s="22">
        <f>IFERROR(__xludf.DUMMYFUNCTION("IFERROR(GOOGLEFINANCE(A413,""closeyest""),"""")"),1795.0)</f>
        <v>1795</v>
      </c>
      <c r="V413" s="23">
        <f>IFERROR(__xludf.DUMMYFUNCTION("IFERROR(GOOGLEFINANCE(A413,""changepct""),"""")"),4.18)</f>
        <v>4.18</v>
      </c>
      <c r="W413" s="22">
        <f>IFERROR(__xludf.DUMMYFUNCTION("IFERROR(GOOGLEFINANCE(A413,""priceopen""),"""")"),1805.0)</f>
        <v>1805</v>
      </c>
      <c r="X413" s="22">
        <f>IFERROR(__xludf.DUMMYFUNCTION("IFERROR(GOOGLEFINANCE(A413,""high""),"""")"),1870.0)</f>
        <v>1870</v>
      </c>
      <c r="Y413" s="22">
        <f>IFERROR(__xludf.DUMMYFUNCTION("IFERROR(GOOGLEFINANCE(A413,""low""),"""")"),1805.0)</f>
        <v>1805</v>
      </c>
      <c r="Z413" s="22">
        <f>IFERROR(__xludf.DUMMYFUNCTION("IFERROR(GOOGLEFINANCE(A413,""volume""),"""")"),2.20712E7)</f>
        <v>22071200</v>
      </c>
      <c r="AA413" s="24" t="str">
        <f>VLOOKUP(A413,Metrik!$C$2:$Y$959,5,0)</f>
        <v>Banks</v>
      </c>
      <c r="AB413" s="24" t="str">
        <f>VLOOKUP(A413,Metrik!$C$2:$Y$959,3,0)</f>
        <v>Financials</v>
      </c>
    </row>
    <row r="414">
      <c r="A414" s="14" t="s">
        <v>234</v>
      </c>
      <c r="B414" s="14" t="str">
        <f t="array" ref="B414">VLOOKUP(A414,{Metrik!$C$2:$C$998,Metrik!$B$2:$B$998},2,0)</f>
        <v>Bank Syariah Indonesia (Persero) Tbk.</v>
      </c>
      <c r="C414" s="15" t="str">
        <f>IFERROR(__xludf.DUMMYFUNCTION("GOOGLEFINANCE(""IDX:""&amp;A414,""price"")"),"#N/A")</f>
        <v>#N/A</v>
      </c>
      <c r="D414" s="16" t="str">
        <f>IFERROR(__xludf.DUMMYFUNCTION("IF(A414="""","""",
SPARKLINE(
INDEX(
GOOGLEFINANCE(""IDX:""&amp;A414,""close"",TODAY()-365,TODAY()),
,2
),
{""linewidth"",1}
))
"),"#N/A")</f>
        <v>#N/A</v>
      </c>
      <c r="E414" s="14" t="s">
        <v>38</v>
      </c>
      <c r="F414" s="25">
        <v>46356.0</v>
      </c>
      <c r="G414" s="24">
        <f t="shared" si="1"/>
        <v>13</v>
      </c>
      <c r="H414" s="19">
        <f>VLOOKUP(A414,Metrik!$C$2:$Y$959,8,0)</f>
        <v>11.6</v>
      </c>
      <c r="I414" s="20">
        <f>VLOOKUP(A414,Metrik!$C$2:$Y$959,9,0)</f>
        <v>1.8</v>
      </c>
      <c r="J414" s="20">
        <f>VLOOKUP(A414,Metrik!$C$2:$Y$959,10,0)</f>
        <v>15.5</v>
      </c>
      <c r="K414" s="20">
        <f>VLOOKUP(A414,Metrik!$C$2:$Y$959,11,0)</f>
        <v>1.7</v>
      </c>
      <c r="L414" s="20">
        <f>VLOOKUP(A414,Metrik!$C$2:$Y$959,12,0)</f>
        <v>2.2</v>
      </c>
      <c r="M414" s="20">
        <f>VLOOKUP(A414,Metrik!$C$2:$Y$959,19,0)</f>
        <v>160</v>
      </c>
      <c r="N414" s="44">
        <v>6.1</v>
      </c>
      <c r="O414" s="44">
        <v>24.08</v>
      </c>
      <c r="P414" s="44">
        <v>83.74</v>
      </c>
      <c r="Q414" s="44">
        <v>1.81</v>
      </c>
      <c r="R414" s="44">
        <v>67.49</v>
      </c>
      <c r="S414" s="44">
        <v>44.55</v>
      </c>
      <c r="T414" s="44">
        <v>10.26</v>
      </c>
      <c r="U414" s="22">
        <f>IFERROR(__xludf.DUMMYFUNCTION("IFERROR(GOOGLEFINANCE(A414,""closeyest""),"""")"),1795.0)</f>
        <v>1795</v>
      </c>
      <c r="V414" s="23">
        <f>IFERROR(__xludf.DUMMYFUNCTION("IFERROR(GOOGLEFINANCE(A414,""changepct""),"""")"),4.18)</f>
        <v>4.18</v>
      </c>
      <c r="W414" s="22">
        <f>IFERROR(__xludf.DUMMYFUNCTION("IFERROR(GOOGLEFINANCE(A414,""priceopen""),"""")"),1805.0)</f>
        <v>1805</v>
      </c>
      <c r="X414" s="22">
        <f>IFERROR(__xludf.DUMMYFUNCTION("IFERROR(GOOGLEFINANCE(A414,""high""),"""")"),1870.0)</f>
        <v>1870</v>
      </c>
      <c r="Y414" s="22">
        <f>IFERROR(__xludf.DUMMYFUNCTION("IFERROR(GOOGLEFINANCE(A414,""low""),"""")"),1805.0)</f>
        <v>1805</v>
      </c>
      <c r="Z414" s="22">
        <f>IFERROR(__xludf.DUMMYFUNCTION("IFERROR(GOOGLEFINANCE(A414,""volume""),"""")"),2.20712E7)</f>
        <v>22071200</v>
      </c>
      <c r="AA414" s="24" t="str">
        <f>VLOOKUP(A414,Metrik!$C$2:$Y$959,5,0)</f>
        <v>Banks</v>
      </c>
      <c r="AB414" s="24" t="str">
        <f>VLOOKUP(A414,Metrik!$C$2:$Y$959,3,0)</f>
        <v>Financials</v>
      </c>
    </row>
    <row r="415">
      <c r="A415" s="14" t="s">
        <v>234</v>
      </c>
      <c r="B415" s="14" t="str">
        <f t="array" ref="B415">VLOOKUP(A415,{Metrik!$C$2:$C$998,Metrik!$B$2:$B$998},2,0)</f>
        <v>Bank Syariah Indonesia (Persero) Tbk.</v>
      </c>
      <c r="C415" s="15" t="str">
        <f>IFERROR(__xludf.DUMMYFUNCTION("GOOGLEFINANCE(""IDX:""&amp;A415,""price"")"),"#N/A")</f>
        <v>#N/A</v>
      </c>
      <c r="D415" s="16" t="str">
        <f>IFERROR(__xludf.DUMMYFUNCTION("IF(A415="""","""",
SPARKLINE(
INDEX(
GOOGLEFINANCE(""IDX:""&amp;A415,""close"",TODAY()-365,TODAY()),
,2
),
{""linewidth"",1}
))
"),"#N/A")</f>
        <v>#N/A</v>
      </c>
      <c r="E415" s="14" t="s">
        <v>39</v>
      </c>
      <c r="F415" s="25">
        <v>46356.0</v>
      </c>
      <c r="G415" s="24">
        <f t="shared" si="1"/>
        <v>13</v>
      </c>
      <c r="H415" s="19">
        <f>VLOOKUP(A415,Metrik!$C$2:$Y$959,8,0)</f>
        <v>11.6</v>
      </c>
      <c r="I415" s="20">
        <f>VLOOKUP(A415,Metrik!$C$2:$Y$959,9,0)</f>
        <v>1.8</v>
      </c>
      <c r="J415" s="20">
        <f>VLOOKUP(A415,Metrik!$C$2:$Y$959,10,0)</f>
        <v>15.5</v>
      </c>
      <c r="K415" s="20">
        <f>VLOOKUP(A415,Metrik!$C$2:$Y$959,11,0)</f>
        <v>1.7</v>
      </c>
      <c r="L415" s="20">
        <f>VLOOKUP(A415,Metrik!$C$2:$Y$959,12,0)</f>
        <v>2.2</v>
      </c>
      <c r="M415" s="20">
        <f>VLOOKUP(A415,Metrik!$C$2:$Y$959,19,0)</f>
        <v>160</v>
      </c>
      <c r="N415" s="44">
        <v>6.1</v>
      </c>
      <c r="O415" s="44">
        <v>24.08</v>
      </c>
      <c r="P415" s="44">
        <v>83.74</v>
      </c>
      <c r="Q415" s="44">
        <v>1.81</v>
      </c>
      <c r="R415" s="44">
        <v>67.49</v>
      </c>
      <c r="S415" s="44">
        <v>44.55</v>
      </c>
      <c r="T415" s="44">
        <v>10.26</v>
      </c>
      <c r="U415" s="22">
        <f>IFERROR(__xludf.DUMMYFUNCTION("IFERROR(GOOGLEFINANCE(A415,""closeyest""),"""")"),1795.0)</f>
        <v>1795</v>
      </c>
      <c r="V415" s="23">
        <f>IFERROR(__xludf.DUMMYFUNCTION("IFERROR(GOOGLEFINANCE(A415,""changepct""),"""")"),4.18)</f>
        <v>4.18</v>
      </c>
      <c r="W415" s="22">
        <f>IFERROR(__xludf.DUMMYFUNCTION("IFERROR(GOOGLEFINANCE(A415,""priceopen""),"""")"),1805.0)</f>
        <v>1805</v>
      </c>
      <c r="X415" s="22">
        <f>IFERROR(__xludf.DUMMYFUNCTION("IFERROR(GOOGLEFINANCE(A415,""high""),"""")"),1870.0)</f>
        <v>1870</v>
      </c>
      <c r="Y415" s="22">
        <f>IFERROR(__xludf.DUMMYFUNCTION("IFERROR(GOOGLEFINANCE(A415,""low""),"""")"),1805.0)</f>
        <v>1805</v>
      </c>
      <c r="Z415" s="22">
        <f>IFERROR(__xludf.DUMMYFUNCTION("IFERROR(GOOGLEFINANCE(A415,""volume""),"""")"),2.20712E7)</f>
        <v>22071200</v>
      </c>
      <c r="AA415" s="24" t="str">
        <f>VLOOKUP(A415,Metrik!$C$2:$Y$959,5,0)</f>
        <v>Banks</v>
      </c>
      <c r="AB415" s="24" t="str">
        <f>VLOOKUP(A415,Metrik!$C$2:$Y$959,3,0)</f>
        <v>Financials</v>
      </c>
    </row>
    <row r="416">
      <c r="A416" s="17" t="s">
        <v>235</v>
      </c>
      <c r="B416" s="14" t="str">
        <f t="array" ref="B416">VLOOKUP(A416,{Metrik!$C$2:$C$998,Metrik!$B$2:$B$998},2,0)</f>
        <v>Bumi Resources Minerals Tbk.</v>
      </c>
      <c r="C416" s="15">
        <f>IFERROR(__xludf.DUMMYFUNCTION("GOOGLEFINANCE(""IDX:""&amp;A416,""price"")"),530.0)</f>
        <v>530</v>
      </c>
      <c r="D416" s="16" t="str">
        <f>IFERROR(__xludf.DUMMYFUNCTION("IF(A416="""","""",
SPARKLINE(
INDEX(
GOOGLEFINANCE(""IDX:""&amp;A416,""close"",TODAY()-365,TODAY()),
,2
),
{""linewidth"",1}
))
"),"#N/A")</f>
        <v>#N/A</v>
      </c>
      <c r="E416" s="14" t="s">
        <v>128</v>
      </c>
      <c r="F416" s="17" t="s">
        <v>36</v>
      </c>
      <c r="G416" s="24">
        <f t="shared" si="1"/>
        <v>8</v>
      </c>
      <c r="H416" s="19">
        <f>VLOOKUP(A416,Metrik!$C$2:$Y$959,8,0)</f>
        <v>94</v>
      </c>
      <c r="I416" s="20">
        <f>VLOOKUP(A416,Metrik!$C$2:$Y$959,9,0)</f>
        <v>4.7</v>
      </c>
      <c r="J416" s="20">
        <f>VLOOKUP(A416,Metrik!$C$2:$Y$959,10,0)</f>
        <v>5</v>
      </c>
      <c r="K416" s="20">
        <f>VLOOKUP(A416,Metrik!$C$2:$Y$959,11,0)</f>
        <v>3.8</v>
      </c>
      <c r="L416" s="20">
        <f>VLOOKUP(A416,Metrik!$C$2:$Y$959,12,0)</f>
        <v>0.32</v>
      </c>
      <c r="M416" s="20">
        <f>VLOOKUP(A416,Metrik!$C$2:$Y$959,19,0)</f>
        <v>76</v>
      </c>
      <c r="N416" s="21"/>
      <c r="O416" s="21"/>
      <c r="P416" s="21"/>
      <c r="Q416" s="21"/>
      <c r="R416" s="21"/>
      <c r="S416" s="21"/>
      <c r="T416" s="21"/>
      <c r="U416" s="22">
        <f>IFERROR(__xludf.DUMMYFUNCTION("IFERROR(GOOGLEFINANCE(A416,""closeyest""),"""")"),480.0)</f>
        <v>480</v>
      </c>
      <c r="V416" s="23">
        <f>IFERROR(__xludf.DUMMYFUNCTION("IFERROR(GOOGLEFINANCE(A416,""changepct""),"""")"),10.42)</f>
        <v>10.42</v>
      </c>
      <c r="W416" s="22">
        <f>IFERROR(__xludf.DUMMYFUNCTION("IFERROR(GOOGLEFINANCE(A416,""priceopen""),"""")"),494.0)</f>
        <v>494</v>
      </c>
      <c r="X416" s="22">
        <f>IFERROR(__xludf.DUMMYFUNCTION("IFERROR(GOOGLEFINANCE(A416,""high""),"""")"),565.0)</f>
        <v>565</v>
      </c>
      <c r="Y416" s="22">
        <f>IFERROR(__xludf.DUMMYFUNCTION("IFERROR(GOOGLEFINANCE(A416,""low""),"""")"),494.0)</f>
        <v>494</v>
      </c>
      <c r="Z416" s="22">
        <f>IFERROR(__xludf.DUMMYFUNCTION("IFERROR(GOOGLEFINANCE(A416,""volume""),"""")"),5.925959E8)</f>
        <v>592595900</v>
      </c>
      <c r="AA416" s="24" t="str">
        <f>VLOOKUP(A416,Metrik!$C$2:$Y$959,5,0)</f>
        <v>Metals &amp; Minerals</v>
      </c>
      <c r="AB416" s="24" t="str">
        <f>VLOOKUP(A416,Metrik!$C$2:$Y$959,3,0)</f>
        <v>Basic Materials</v>
      </c>
    </row>
    <row r="417">
      <c r="A417" s="14" t="s">
        <v>235</v>
      </c>
      <c r="B417" s="14" t="str">
        <f t="array" ref="B417">VLOOKUP(A417,{Metrik!$C$2:$C$998,Metrik!$B$2:$B$998},2,0)</f>
        <v>Bumi Resources Minerals Tbk.</v>
      </c>
      <c r="C417" s="15">
        <f>IFERROR(__xludf.DUMMYFUNCTION("GOOGLEFINANCE(""IDX:""&amp;A417,""price"")"),530.0)</f>
        <v>530</v>
      </c>
      <c r="D417" s="16" t="str">
        <f>IFERROR(__xludf.DUMMYFUNCTION("IF(A417="""","""",
SPARKLINE(
INDEX(
GOOGLEFINANCE(""IDX:""&amp;A417,""close"",TODAY()-365,TODAY()),
,2
),
{""linewidth"",1}
))
"),"#N/A")</f>
        <v>#N/A</v>
      </c>
      <c r="E417" s="14" t="s">
        <v>52</v>
      </c>
      <c r="F417" s="27" t="s">
        <v>53</v>
      </c>
      <c r="G417" s="24">
        <f t="shared" si="1"/>
        <v>8</v>
      </c>
      <c r="H417" s="19">
        <f>VLOOKUP(A417,Metrik!$C$2:$Y$959,8,0)</f>
        <v>94</v>
      </c>
      <c r="I417" s="20">
        <f>VLOOKUP(A417,Metrik!$C$2:$Y$959,9,0)</f>
        <v>4.7</v>
      </c>
      <c r="J417" s="20">
        <f>VLOOKUP(A417,Metrik!$C$2:$Y$959,10,0)</f>
        <v>5</v>
      </c>
      <c r="K417" s="20">
        <f>VLOOKUP(A417,Metrik!$C$2:$Y$959,11,0)</f>
        <v>3.8</v>
      </c>
      <c r="L417" s="20">
        <f>VLOOKUP(A417,Metrik!$C$2:$Y$959,12,0)</f>
        <v>0.32</v>
      </c>
      <c r="M417" s="20">
        <f>VLOOKUP(A417,Metrik!$C$2:$Y$959,19,0)</f>
        <v>76</v>
      </c>
      <c r="N417" s="21"/>
      <c r="O417" s="21"/>
      <c r="P417" s="21"/>
      <c r="Q417" s="21"/>
      <c r="R417" s="21"/>
      <c r="S417" s="21"/>
      <c r="T417" s="21"/>
      <c r="U417" s="22">
        <f>IFERROR(__xludf.DUMMYFUNCTION("IFERROR(GOOGLEFINANCE(A417,""closeyest""),"""")"),480.0)</f>
        <v>480</v>
      </c>
      <c r="V417" s="23">
        <f>IFERROR(__xludf.DUMMYFUNCTION("IFERROR(GOOGLEFINANCE(A417,""changepct""),"""")"),10.42)</f>
        <v>10.42</v>
      </c>
      <c r="W417" s="22">
        <f>IFERROR(__xludf.DUMMYFUNCTION("IFERROR(GOOGLEFINANCE(A417,""priceopen""),"""")"),494.0)</f>
        <v>494</v>
      </c>
      <c r="X417" s="22">
        <f>IFERROR(__xludf.DUMMYFUNCTION("IFERROR(GOOGLEFINANCE(A417,""high""),"""")"),565.0)</f>
        <v>565</v>
      </c>
      <c r="Y417" s="22">
        <f>IFERROR(__xludf.DUMMYFUNCTION("IFERROR(GOOGLEFINANCE(A417,""low""),"""")"),494.0)</f>
        <v>494</v>
      </c>
      <c r="Z417" s="22">
        <f>IFERROR(__xludf.DUMMYFUNCTION("IFERROR(GOOGLEFINANCE(A417,""volume""),"""")"),5.925959E8)</f>
        <v>592595900</v>
      </c>
      <c r="AA417" s="24" t="str">
        <f>VLOOKUP(A417,Metrik!$C$2:$Y$959,5,0)</f>
        <v>Metals &amp; Minerals</v>
      </c>
      <c r="AB417" s="24" t="str">
        <f>VLOOKUP(A417,Metrik!$C$2:$Y$959,3,0)</f>
        <v>Basic Materials</v>
      </c>
    </row>
    <row r="418">
      <c r="A418" s="14" t="s">
        <v>235</v>
      </c>
      <c r="B418" s="14" t="str">
        <f t="array" ref="B418">VLOOKUP(A418,{Metrik!$C$2:$C$998,Metrik!$B$2:$B$998},2,0)</f>
        <v>Bumi Resources Minerals Tbk.</v>
      </c>
      <c r="C418" s="15">
        <f>IFERROR(__xludf.DUMMYFUNCTION("GOOGLEFINANCE(""IDX:""&amp;A418,""price"")"),530.0)</f>
        <v>530</v>
      </c>
      <c r="D418" s="16" t="str">
        <f>IFERROR(__xludf.DUMMYFUNCTION("IF(A418="""","""",
SPARKLINE(
INDEX(
GOOGLEFINANCE(""IDX:""&amp;A418,""close"",TODAY()-365,TODAY()),
,2
),
{""linewidth"",1}
))
"),"#N/A")</f>
        <v>#N/A</v>
      </c>
      <c r="E418" s="14" t="s">
        <v>28</v>
      </c>
      <c r="F418" s="17" t="s">
        <v>29</v>
      </c>
      <c r="G418" s="24">
        <f t="shared" si="1"/>
        <v>8</v>
      </c>
      <c r="H418" s="19">
        <f>VLOOKUP(A418,Metrik!$C$2:$Y$959,8,0)</f>
        <v>94</v>
      </c>
      <c r="I418" s="20">
        <f>VLOOKUP(A418,Metrik!$C$2:$Y$959,9,0)</f>
        <v>4.7</v>
      </c>
      <c r="J418" s="20">
        <f>VLOOKUP(A418,Metrik!$C$2:$Y$959,10,0)</f>
        <v>5</v>
      </c>
      <c r="K418" s="20">
        <f>VLOOKUP(A418,Metrik!$C$2:$Y$959,11,0)</f>
        <v>3.8</v>
      </c>
      <c r="L418" s="20">
        <f>VLOOKUP(A418,Metrik!$C$2:$Y$959,12,0)</f>
        <v>0.32</v>
      </c>
      <c r="M418" s="20">
        <f>VLOOKUP(A418,Metrik!$C$2:$Y$959,19,0)</f>
        <v>76</v>
      </c>
      <c r="N418" s="21"/>
      <c r="O418" s="21"/>
      <c r="P418" s="21"/>
      <c r="Q418" s="21"/>
      <c r="R418" s="21"/>
      <c r="S418" s="21"/>
      <c r="T418" s="21"/>
      <c r="U418" s="22">
        <f>IFERROR(__xludf.DUMMYFUNCTION("IFERROR(GOOGLEFINANCE(A418,""closeyest""),"""")"),480.0)</f>
        <v>480</v>
      </c>
      <c r="V418" s="23">
        <f>IFERROR(__xludf.DUMMYFUNCTION("IFERROR(GOOGLEFINANCE(A418,""changepct""),"""")"),10.42)</f>
        <v>10.42</v>
      </c>
      <c r="W418" s="22">
        <f>IFERROR(__xludf.DUMMYFUNCTION("IFERROR(GOOGLEFINANCE(A418,""priceopen""),"""")"),494.0)</f>
        <v>494</v>
      </c>
      <c r="X418" s="22">
        <f>IFERROR(__xludf.DUMMYFUNCTION("IFERROR(GOOGLEFINANCE(A418,""high""),"""")"),565.0)</f>
        <v>565</v>
      </c>
      <c r="Y418" s="22">
        <f>IFERROR(__xludf.DUMMYFUNCTION("IFERROR(GOOGLEFINANCE(A418,""low""),"""")"),494.0)</f>
        <v>494</v>
      </c>
      <c r="Z418" s="22">
        <f>IFERROR(__xludf.DUMMYFUNCTION("IFERROR(GOOGLEFINANCE(A418,""volume""),"""")"),5.925959E8)</f>
        <v>592595900</v>
      </c>
      <c r="AA418" s="24" t="str">
        <f>VLOOKUP(A418,Metrik!$C$2:$Y$959,5,0)</f>
        <v>Metals &amp; Minerals</v>
      </c>
      <c r="AB418" s="24" t="str">
        <f>VLOOKUP(A418,Metrik!$C$2:$Y$959,3,0)</f>
        <v>Basic Materials</v>
      </c>
    </row>
    <row r="419">
      <c r="A419" s="14" t="s">
        <v>235</v>
      </c>
      <c r="B419" s="14" t="str">
        <f t="array" ref="B419">VLOOKUP(A419,{Metrik!$C$2:$C$998,Metrik!$B$2:$B$998},2,0)</f>
        <v>Bumi Resources Minerals Tbk.</v>
      </c>
      <c r="C419" s="15">
        <f>IFERROR(__xludf.DUMMYFUNCTION("GOOGLEFINANCE(""IDX:""&amp;A419,""price"")"),530.0)</f>
        <v>530</v>
      </c>
      <c r="D419" s="16" t="str">
        <f>IFERROR(__xludf.DUMMYFUNCTION("IF(A419="""","""",
SPARKLINE(
INDEX(
GOOGLEFINANCE(""IDX:""&amp;A419,""close"",TODAY()-365,TODAY()),
,2
),
{""linewidth"",1}
))
"),"#N/A")</f>
        <v>#N/A</v>
      </c>
      <c r="E419" s="14" t="s">
        <v>32</v>
      </c>
      <c r="F419" s="14" t="s">
        <v>29</v>
      </c>
      <c r="G419" s="24">
        <f t="shared" si="1"/>
        <v>8</v>
      </c>
      <c r="H419" s="19">
        <f>VLOOKUP(A419,Metrik!$C$2:$Y$959,8,0)</f>
        <v>94</v>
      </c>
      <c r="I419" s="20">
        <f>VLOOKUP(A419,Metrik!$C$2:$Y$959,9,0)</f>
        <v>4.7</v>
      </c>
      <c r="J419" s="20">
        <f>VLOOKUP(A419,Metrik!$C$2:$Y$959,10,0)</f>
        <v>5</v>
      </c>
      <c r="K419" s="20">
        <f>VLOOKUP(A419,Metrik!$C$2:$Y$959,11,0)</f>
        <v>3.8</v>
      </c>
      <c r="L419" s="20">
        <f>VLOOKUP(A419,Metrik!$C$2:$Y$959,12,0)</f>
        <v>0.32</v>
      </c>
      <c r="M419" s="20">
        <f>VLOOKUP(A419,Metrik!$C$2:$Y$959,19,0)</f>
        <v>76</v>
      </c>
      <c r="N419" s="21"/>
      <c r="O419" s="21"/>
      <c r="P419" s="21"/>
      <c r="Q419" s="21"/>
      <c r="R419" s="21"/>
      <c r="S419" s="21"/>
      <c r="T419" s="21"/>
      <c r="U419" s="22">
        <f>IFERROR(__xludf.DUMMYFUNCTION("IFERROR(GOOGLEFINANCE(A419,""closeyest""),"""")"),480.0)</f>
        <v>480</v>
      </c>
      <c r="V419" s="23">
        <f>IFERROR(__xludf.DUMMYFUNCTION("IFERROR(GOOGLEFINANCE(A419,""changepct""),"""")"),10.42)</f>
        <v>10.42</v>
      </c>
      <c r="W419" s="22">
        <f>IFERROR(__xludf.DUMMYFUNCTION("IFERROR(GOOGLEFINANCE(A419,""priceopen""),"""")"),494.0)</f>
        <v>494</v>
      </c>
      <c r="X419" s="22">
        <f>IFERROR(__xludf.DUMMYFUNCTION("IFERROR(GOOGLEFINANCE(A419,""high""),"""")"),565.0)</f>
        <v>565</v>
      </c>
      <c r="Y419" s="22">
        <f>IFERROR(__xludf.DUMMYFUNCTION("IFERROR(GOOGLEFINANCE(A419,""low""),"""")"),494.0)</f>
        <v>494</v>
      </c>
      <c r="Z419" s="22">
        <f>IFERROR(__xludf.DUMMYFUNCTION("IFERROR(GOOGLEFINANCE(A419,""volume""),"""")"),5.925959E8)</f>
        <v>592595900</v>
      </c>
      <c r="AA419" s="24" t="str">
        <f>VLOOKUP(A419,Metrik!$C$2:$Y$959,5,0)</f>
        <v>Metals &amp; Minerals</v>
      </c>
      <c r="AB419" s="24" t="str">
        <f>VLOOKUP(A419,Metrik!$C$2:$Y$959,3,0)</f>
        <v>Basic Materials</v>
      </c>
    </row>
    <row r="420">
      <c r="A420" s="14" t="s">
        <v>235</v>
      </c>
      <c r="B420" s="14" t="str">
        <f t="array" ref="B420">VLOOKUP(A420,{Metrik!$C$2:$C$998,Metrik!$B$2:$B$998},2,0)</f>
        <v>Bumi Resources Minerals Tbk.</v>
      </c>
      <c r="C420" s="15">
        <f>IFERROR(__xludf.DUMMYFUNCTION("GOOGLEFINANCE(""IDX:""&amp;A420,""price"")"),530.0)</f>
        <v>530</v>
      </c>
      <c r="D420" s="16" t="str">
        <f>IFERROR(__xludf.DUMMYFUNCTION("IF(A420="""","""",
SPARKLINE(
INDEX(
GOOGLEFINANCE(""IDX:""&amp;A420,""close"",TODAY()-365,TODAY()),
,2
),
{""linewidth"",1}
))
"),"#N/A")</f>
        <v>#N/A</v>
      </c>
      <c r="E420" s="14" t="s">
        <v>84</v>
      </c>
      <c r="F420" s="17" t="s">
        <v>51</v>
      </c>
      <c r="G420" s="24">
        <f t="shared" si="1"/>
        <v>8</v>
      </c>
      <c r="H420" s="19">
        <f>VLOOKUP(A420,Metrik!$C$2:$Y$959,8,0)</f>
        <v>94</v>
      </c>
      <c r="I420" s="20">
        <f>VLOOKUP(A420,Metrik!$C$2:$Y$959,9,0)</f>
        <v>4.7</v>
      </c>
      <c r="J420" s="20">
        <f>VLOOKUP(A420,Metrik!$C$2:$Y$959,10,0)</f>
        <v>5</v>
      </c>
      <c r="K420" s="20">
        <f>VLOOKUP(A420,Metrik!$C$2:$Y$959,11,0)</f>
        <v>3.8</v>
      </c>
      <c r="L420" s="20">
        <f>VLOOKUP(A420,Metrik!$C$2:$Y$959,12,0)</f>
        <v>0.32</v>
      </c>
      <c r="M420" s="20">
        <f>VLOOKUP(A420,Metrik!$C$2:$Y$959,19,0)</f>
        <v>76</v>
      </c>
      <c r="N420" s="21"/>
      <c r="O420" s="21"/>
      <c r="P420" s="21"/>
      <c r="Q420" s="21"/>
      <c r="R420" s="21"/>
      <c r="S420" s="21"/>
      <c r="T420" s="21"/>
      <c r="U420" s="22">
        <f>IFERROR(__xludf.DUMMYFUNCTION("IFERROR(GOOGLEFINANCE(A420,""closeyest""),"""")"),480.0)</f>
        <v>480</v>
      </c>
      <c r="V420" s="23">
        <f>IFERROR(__xludf.DUMMYFUNCTION("IFERROR(GOOGLEFINANCE(A420,""changepct""),"""")"),10.42)</f>
        <v>10.42</v>
      </c>
      <c r="W420" s="22">
        <f>IFERROR(__xludf.DUMMYFUNCTION("IFERROR(GOOGLEFINANCE(A420,""priceopen""),"""")"),494.0)</f>
        <v>494</v>
      </c>
      <c r="X420" s="22">
        <f>IFERROR(__xludf.DUMMYFUNCTION("IFERROR(GOOGLEFINANCE(A420,""high""),"""")"),565.0)</f>
        <v>565</v>
      </c>
      <c r="Y420" s="22">
        <f>IFERROR(__xludf.DUMMYFUNCTION("IFERROR(GOOGLEFINANCE(A420,""low""),"""")"),494.0)</f>
        <v>494</v>
      </c>
      <c r="Z420" s="22">
        <f>IFERROR(__xludf.DUMMYFUNCTION("IFERROR(GOOGLEFINANCE(A420,""volume""),"""")"),5.925959E8)</f>
        <v>592595900</v>
      </c>
      <c r="AA420" s="24" t="str">
        <f>VLOOKUP(A420,Metrik!$C$2:$Y$959,5,0)</f>
        <v>Metals &amp; Minerals</v>
      </c>
      <c r="AB420" s="24" t="str">
        <f>VLOOKUP(A420,Metrik!$C$2:$Y$959,3,0)</f>
        <v>Basic Materials</v>
      </c>
    </row>
    <row r="421">
      <c r="A421" s="17" t="s">
        <v>235</v>
      </c>
      <c r="B421" s="14" t="str">
        <f t="array" ref="B421">VLOOKUP(A421,{Metrik!$C$2:$C$998,Metrik!$B$2:$B$998},2,0)</f>
        <v>Bumi Resources Minerals Tbk.</v>
      </c>
      <c r="C421" s="15">
        <f>IFERROR(__xludf.DUMMYFUNCTION("GOOGLEFINANCE(""IDX:""&amp;A421,""price"")"),530.0)</f>
        <v>530</v>
      </c>
      <c r="D421" s="16" t="str">
        <f>IFERROR(__xludf.DUMMYFUNCTION("IF(A421="""","""",
SPARKLINE(
INDEX(
GOOGLEFINANCE(""IDX:""&amp;A421,""close"",TODAY()-365,TODAY()),
,2
),
{""linewidth"",1}
))
"),"#N/A")</f>
        <v>#N/A</v>
      </c>
      <c r="E421" s="14" t="s">
        <v>67</v>
      </c>
      <c r="F421" s="17" t="s">
        <v>51</v>
      </c>
      <c r="G421" s="38">
        <f>COUNTIFS($B$2:$B$1936,B421,$E$2:$E$1936,"&lt;&gt;")</f>
        <v>8</v>
      </c>
      <c r="H421" s="19">
        <f>VLOOKUP(A421,Metrik!$C$2:$Y$959,8,0)</f>
        <v>94</v>
      </c>
      <c r="I421" s="20">
        <f>VLOOKUP(A421,Metrik!$C$2:$Y$959,9,0)</f>
        <v>4.7</v>
      </c>
      <c r="J421" s="20">
        <f>VLOOKUP(A421,Metrik!$C$2:$Y$959,10,0)</f>
        <v>5</v>
      </c>
      <c r="K421" s="20">
        <f>VLOOKUP(A421,Metrik!$C$2:$Y$959,11,0)</f>
        <v>3.8</v>
      </c>
      <c r="L421" s="20">
        <f>VLOOKUP(A421,Metrik!$C$2:$Y$959,12,0)</f>
        <v>0.32</v>
      </c>
      <c r="M421" s="20">
        <f>VLOOKUP(A421,Metrik!$C$2:$Y$959,19,0)</f>
        <v>76</v>
      </c>
      <c r="N421" s="46"/>
      <c r="O421" s="46"/>
      <c r="P421" s="46"/>
      <c r="Q421" s="46"/>
      <c r="R421" s="46"/>
      <c r="S421" s="46"/>
      <c r="T421" s="46"/>
      <c r="U421" s="22">
        <f>IFERROR(__xludf.DUMMYFUNCTION("IFERROR(GOOGLEFINANCE(A421,""closeyest""),"""")"),480.0)</f>
        <v>480</v>
      </c>
      <c r="V421" s="23">
        <f>IFERROR(__xludf.DUMMYFUNCTION("IFERROR(GOOGLEFINANCE(A421,""changepct""),"""")"),10.42)</f>
        <v>10.42</v>
      </c>
      <c r="W421" s="22">
        <f>IFERROR(__xludf.DUMMYFUNCTION("IFERROR(GOOGLEFINANCE(A421,""priceopen""),"""")"),494.0)</f>
        <v>494</v>
      </c>
      <c r="X421" s="22">
        <f>IFERROR(__xludf.DUMMYFUNCTION("IFERROR(GOOGLEFINANCE(A421,""high""),"""")"),565.0)</f>
        <v>565</v>
      </c>
      <c r="Y421" s="22">
        <f>IFERROR(__xludf.DUMMYFUNCTION("IFERROR(GOOGLEFINANCE(A421,""low""),"""")"),494.0)</f>
        <v>494</v>
      </c>
      <c r="Z421" s="22">
        <f>IFERROR(__xludf.DUMMYFUNCTION("IFERROR(GOOGLEFINANCE(A421,""volume""),"""")"),5.925959E8)</f>
        <v>592595900</v>
      </c>
      <c r="AA421" s="24" t="str">
        <f>VLOOKUP(A421,Metrik!$C$2:$Y$959,5,0)</f>
        <v>Metals &amp; Minerals</v>
      </c>
      <c r="AB421" s="24" t="str">
        <f>VLOOKUP(A421,Metrik!$C$2:$Y$959,3,0)</f>
        <v>Basic Materials</v>
      </c>
    </row>
    <row r="422">
      <c r="A422" s="14" t="s">
        <v>235</v>
      </c>
      <c r="B422" s="14" t="str">
        <f t="array" ref="B422">VLOOKUP(A422,{Metrik!$C$2:$C$998,Metrik!$B$2:$B$998},2,0)</f>
        <v>Bumi Resources Minerals Tbk.</v>
      </c>
      <c r="C422" s="15">
        <f>IFERROR(__xludf.DUMMYFUNCTION("GOOGLEFINANCE(""IDX:""&amp;A422,""price"")"),530.0)</f>
        <v>530</v>
      </c>
      <c r="D422" s="16" t="str">
        <f>IFERROR(__xludf.DUMMYFUNCTION("IF(A422="""","""",
SPARKLINE(
INDEX(
GOOGLEFINANCE(""IDX:""&amp;A422,""close"",TODAY()-365,TODAY()),
,2
),
{""linewidth"",1}
))
"),"#N/A")</f>
        <v>#N/A</v>
      </c>
      <c r="E422" s="14" t="s">
        <v>38</v>
      </c>
      <c r="F422" s="25">
        <v>46356.0</v>
      </c>
      <c r="G422" s="24">
        <f t="shared" ref="G422:G494" si="2">COUNTIFS($B$2:$B$1937,B422,$E$2:$E$1937,"&lt;&gt;")</f>
        <v>8</v>
      </c>
      <c r="H422" s="19">
        <f>VLOOKUP(A422,Metrik!$C$2:$Y$959,8,0)</f>
        <v>94</v>
      </c>
      <c r="I422" s="20">
        <f>VLOOKUP(A422,Metrik!$C$2:$Y$959,9,0)</f>
        <v>4.7</v>
      </c>
      <c r="J422" s="20">
        <f>VLOOKUP(A422,Metrik!$C$2:$Y$959,10,0)</f>
        <v>5</v>
      </c>
      <c r="K422" s="20">
        <f>VLOOKUP(A422,Metrik!$C$2:$Y$959,11,0)</f>
        <v>3.8</v>
      </c>
      <c r="L422" s="20">
        <f>VLOOKUP(A422,Metrik!$C$2:$Y$959,12,0)</f>
        <v>0.32</v>
      </c>
      <c r="M422" s="20">
        <f>VLOOKUP(A422,Metrik!$C$2:$Y$959,19,0)</f>
        <v>76</v>
      </c>
      <c r="N422" s="21"/>
      <c r="O422" s="21"/>
      <c r="P422" s="21"/>
      <c r="Q422" s="21"/>
      <c r="R422" s="21"/>
      <c r="S422" s="21"/>
      <c r="T422" s="21"/>
      <c r="U422" s="22">
        <f>IFERROR(__xludf.DUMMYFUNCTION("IFERROR(GOOGLEFINANCE(A422,""closeyest""),"""")"),480.0)</f>
        <v>480</v>
      </c>
      <c r="V422" s="23">
        <f>IFERROR(__xludf.DUMMYFUNCTION("IFERROR(GOOGLEFINANCE(A422,""changepct""),"""")"),10.42)</f>
        <v>10.42</v>
      </c>
      <c r="W422" s="22">
        <f>IFERROR(__xludf.DUMMYFUNCTION("IFERROR(GOOGLEFINANCE(A422,""priceopen""),"""")"),494.0)</f>
        <v>494</v>
      </c>
      <c r="X422" s="22">
        <f>IFERROR(__xludf.DUMMYFUNCTION("IFERROR(GOOGLEFINANCE(A422,""high""),"""")"),565.0)</f>
        <v>565</v>
      </c>
      <c r="Y422" s="22">
        <f>IFERROR(__xludf.DUMMYFUNCTION("IFERROR(GOOGLEFINANCE(A422,""low""),"""")"),494.0)</f>
        <v>494</v>
      </c>
      <c r="Z422" s="22">
        <f>IFERROR(__xludf.DUMMYFUNCTION("IFERROR(GOOGLEFINANCE(A422,""volume""),"""")"),5.925959E8)</f>
        <v>592595900</v>
      </c>
      <c r="AA422" s="24" t="str">
        <f>VLOOKUP(A422,Metrik!$C$2:$Y$959,5,0)</f>
        <v>Metals &amp; Minerals</v>
      </c>
      <c r="AB422" s="24" t="str">
        <f>VLOOKUP(A422,Metrik!$C$2:$Y$959,3,0)</f>
        <v>Basic Materials</v>
      </c>
    </row>
    <row r="423">
      <c r="A423" s="14" t="s">
        <v>235</v>
      </c>
      <c r="B423" s="14" t="str">
        <f t="array" ref="B423">VLOOKUP(A423,{Metrik!$C$2:$C$998,Metrik!$B$2:$B$998},2,0)</f>
        <v>Bumi Resources Minerals Tbk.</v>
      </c>
      <c r="C423" s="15">
        <f>IFERROR(__xludf.DUMMYFUNCTION("GOOGLEFINANCE(""IDX:""&amp;A423,""price"")"),530.0)</f>
        <v>530</v>
      </c>
      <c r="D423" s="16" t="str">
        <f>IFERROR(__xludf.DUMMYFUNCTION("IF(A423="""","""",
SPARKLINE(
INDEX(
GOOGLEFINANCE(""IDX:""&amp;A423,""close"",TODAY()-365,TODAY()),
,2
),
{""linewidth"",1}
))
"),"#N/A")</f>
        <v>#N/A</v>
      </c>
      <c r="E423" s="14" t="s">
        <v>39</v>
      </c>
      <c r="F423" s="25">
        <v>46356.0</v>
      </c>
      <c r="G423" s="24">
        <f t="shared" si="2"/>
        <v>8</v>
      </c>
      <c r="H423" s="19">
        <f>VLOOKUP(A423,Metrik!$C$2:$Y$959,8,0)</f>
        <v>94</v>
      </c>
      <c r="I423" s="20">
        <f>VLOOKUP(A423,Metrik!$C$2:$Y$959,9,0)</f>
        <v>4.7</v>
      </c>
      <c r="J423" s="20">
        <f>VLOOKUP(A423,Metrik!$C$2:$Y$959,10,0)</f>
        <v>5</v>
      </c>
      <c r="K423" s="20">
        <f>VLOOKUP(A423,Metrik!$C$2:$Y$959,11,0)</f>
        <v>3.8</v>
      </c>
      <c r="L423" s="20">
        <f>VLOOKUP(A423,Metrik!$C$2:$Y$959,12,0)</f>
        <v>0.32</v>
      </c>
      <c r="M423" s="20">
        <f>VLOOKUP(A423,Metrik!$C$2:$Y$959,19,0)</f>
        <v>76</v>
      </c>
      <c r="N423" s="21"/>
      <c r="O423" s="21"/>
      <c r="P423" s="21"/>
      <c r="Q423" s="21"/>
      <c r="R423" s="21"/>
      <c r="S423" s="21"/>
      <c r="T423" s="21"/>
      <c r="U423" s="22">
        <f>IFERROR(__xludf.DUMMYFUNCTION("IFERROR(GOOGLEFINANCE(A423,""closeyest""),"""")"),480.0)</f>
        <v>480</v>
      </c>
      <c r="V423" s="23">
        <f>IFERROR(__xludf.DUMMYFUNCTION("IFERROR(GOOGLEFINANCE(A423,""changepct""),"""")"),10.42)</f>
        <v>10.42</v>
      </c>
      <c r="W423" s="22">
        <f>IFERROR(__xludf.DUMMYFUNCTION("IFERROR(GOOGLEFINANCE(A423,""priceopen""),"""")"),494.0)</f>
        <v>494</v>
      </c>
      <c r="X423" s="22">
        <f>IFERROR(__xludf.DUMMYFUNCTION("IFERROR(GOOGLEFINANCE(A423,""high""),"""")"),565.0)</f>
        <v>565</v>
      </c>
      <c r="Y423" s="22">
        <f>IFERROR(__xludf.DUMMYFUNCTION("IFERROR(GOOGLEFINANCE(A423,""low""),"""")"),494.0)</f>
        <v>494</v>
      </c>
      <c r="Z423" s="22">
        <f>IFERROR(__xludf.DUMMYFUNCTION("IFERROR(GOOGLEFINANCE(A423,""volume""),"""")"),5.925959E8)</f>
        <v>592595900</v>
      </c>
      <c r="AA423" s="24" t="str">
        <f>VLOOKUP(A423,Metrik!$C$2:$Y$959,5,0)</f>
        <v>Metals &amp; Minerals</v>
      </c>
      <c r="AB423" s="24" t="str">
        <f>VLOOKUP(A423,Metrik!$C$2:$Y$959,3,0)</f>
        <v>Basic Materials</v>
      </c>
    </row>
    <row r="424">
      <c r="A424" s="14" t="s">
        <v>236</v>
      </c>
      <c r="B424" s="14" t="str">
        <f t="array" ref="B424">VLOOKUP(A424,{Metrik!$C$2:$C$998,Metrik!$B$2:$B$998},2,0)</f>
        <v>Berlina Tbk.</v>
      </c>
      <c r="C424" s="15">
        <f>IFERROR(__xludf.DUMMYFUNCTION("GOOGLEFINANCE(""IDX:""&amp;A424,""price"")"),595.0)</f>
        <v>595</v>
      </c>
      <c r="D424" s="16" t="str">
        <f>IFERROR(__xludf.DUMMYFUNCTION("IF(A424="""","""",
SPARKLINE(
INDEX(
GOOGLEFINANCE(""IDX:""&amp;A424,""close"",TODAY()-365,TODAY()),
,2
),
{""linewidth"",1}
))
"),"#N/A")</f>
        <v>#N/A</v>
      </c>
      <c r="E424" s="26"/>
      <c r="F424" s="26"/>
      <c r="G424" s="24">
        <f t="shared" si="2"/>
        <v>0</v>
      </c>
      <c r="H424" s="19">
        <f>VLOOKUP(A424,Metrik!$C$2:$Y$959,8,0)</f>
        <v>97.9</v>
      </c>
      <c r="I424" s="20">
        <f>VLOOKUP(A424,Metrik!$C$2:$Y$959,9,0)</f>
        <v>0.6</v>
      </c>
      <c r="J424" s="20">
        <f>VLOOKUP(A424,Metrik!$C$2:$Y$959,10,0)</f>
        <v>0.61</v>
      </c>
      <c r="K424" s="20">
        <f>VLOOKUP(A424,Metrik!$C$2:$Y$959,11,0)</f>
        <v>0.28</v>
      </c>
      <c r="L424" s="20">
        <f>VLOOKUP(A424,Metrik!$C$2:$Y$959,12,0)</f>
        <v>1.2</v>
      </c>
      <c r="M424" s="20">
        <f>VLOOKUP(A424,Metrik!$C$2:$Y$959,19,0)</f>
        <v>2.2</v>
      </c>
      <c r="N424" s="21"/>
      <c r="O424" s="21"/>
      <c r="P424" s="21"/>
      <c r="Q424" s="21"/>
      <c r="R424" s="21"/>
      <c r="S424" s="21"/>
      <c r="T424" s="21"/>
      <c r="U424" s="22">
        <f>IFERROR(__xludf.DUMMYFUNCTION("IFERROR(GOOGLEFINANCE(A424,""closeyest""),"""")"),595.0)</f>
        <v>595</v>
      </c>
      <c r="V424" s="23">
        <f>IFERROR(__xludf.DUMMYFUNCTION("IFERROR(GOOGLEFINANCE(A424,""changepct""),"""")"),0.0)</f>
        <v>0</v>
      </c>
      <c r="W424" s="22">
        <f>IFERROR(__xludf.DUMMYFUNCTION("IFERROR(GOOGLEFINANCE(A424,""priceopen""),"""")"),570.0)</f>
        <v>570</v>
      </c>
      <c r="X424" s="22">
        <f>IFERROR(__xludf.DUMMYFUNCTION("IFERROR(GOOGLEFINANCE(A424,""high""),"""")"),595.0)</f>
        <v>595</v>
      </c>
      <c r="Y424" s="22">
        <f>IFERROR(__xludf.DUMMYFUNCTION("IFERROR(GOOGLEFINANCE(A424,""low""),"""")"),565.0)</f>
        <v>565</v>
      </c>
      <c r="Z424" s="22">
        <f>IFERROR(__xludf.DUMMYFUNCTION("IFERROR(GOOGLEFINANCE(A424,""volume""),"""")"),16100.0)</f>
        <v>16100</v>
      </c>
      <c r="AA424" s="24" t="str">
        <f>VLOOKUP(A424,Metrik!$C$2:$Y$959,5,0)</f>
        <v>Containers &amp; Packaging</v>
      </c>
      <c r="AB424" s="24" t="str">
        <f>VLOOKUP(A424,Metrik!$C$2:$Y$959,3,0)</f>
        <v>Basic Materials</v>
      </c>
    </row>
    <row r="425">
      <c r="A425" s="17" t="s">
        <v>237</v>
      </c>
      <c r="B425" s="14" t="str">
        <f t="array" ref="B425">VLOOKUP(A425,{Metrik!$C$2:$C$998,Metrik!$B$2:$B$998},2,0)</f>
        <v>Barito Pacific Tbk.</v>
      </c>
      <c r="C425" s="15">
        <f>IFERROR(__xludf.DUMMYFUNCTION("GOOGLEFINANCE(""IDX:""&amp;A425,""price"")"),1700.0)</f>
        <v>1700</v>
      </c>
      <c r="D425" s="16" t="str">
        <f>IFERROR(__xludf.DUMMYFUNCTION("IF(A425="""","""",
SPARKLINE(
INDEX(
GOOGLEFINANCE(""IDX:""&amp;A425,""close"",TODAY()-365,TODAY()),
,2
),
{""linewidth"",1}
))
"),"#N/A")</f>
        <v>#N/A</v>
      </c>
      <c r="E425" s="14" t="s">
        <v>128</v>
      </c>
      <c r="F425" s="17" t="s">
        <v>36</v>
      </c>
      <c r="G425" s="24">
        <f t="shared" si="2"/>
        <v>10</v>
      </c>
      <c r="H425" s="19">
        <f>VLOOKUP(A425,Metrik!$C$2:$Y$959,8,0)</f>
        <v>19.2</v>
      </c>
      <c r="I425" s="20">
        <f>VLOOKUP(A425,Metrik!$C$2:$Y$959,9,0)</f>
        <v>1.7</v>
      </c>
      <c r="J425" s="20">
        <f>VLOOKUP(A425,Metrik!$C$2:$Y$959,10,0)</f>
        <v>8.9</v>
      </c>
      <c r="K425" s="20">
        <f>VLOOKUP(A425,Metrik!$C$2:$Y$959,11,0)</f>
        <v>3.2</v>
      </c>
      <c r="L425" s="20">
        <f>VLOOKUP(A425,Metrik!$C$2:$Y$959,12,0)</f>
        <v>1.8</v>
      </c>
      <c r="M425" s="20">
        <f>VLOOKUP(A425,Metrik!$C$2:$Y$959,19,0)</f>
        <v>21.7</v>
      </c>
      <c r="N425" s="44">
        <v>4.93</v>
      </c>
      <c r="O425" s="44">
        <v>20.1</v>
      </c>
      <c r="P425" s="44">
        <v>98.04</v>
      </c>
      <c r="Q425" s="44">
        <v>0.97</v>
      </c>
      <c r="R425" s="44">
        <v>56.46</v>
      </c>
      <c r="S425" s="44">
        <v>35.04</v>
      </c>
      <c r="T425" s="44">
        <v>6.81</v>
      </c>
      <c r="U425" s="22">
        <f>IFERROR(__xludf.DUMMYFUNCTION("IFERROR(GOOGLEFINANCE(A425,""closeyest""),"""")"),1650.0)</f>
        <v>1650</v>
      </c>
      <c r="V425" s="23">
        <f>IFERROR(__xludf.DUMMYFUNCTION("IFERROR(GOOGLEFINANCE(A425,""changepct""),"""")"),3.03)</f>
        <v>3.03</v>
      </c>
      <c r="W425" s="22">
        <f>IFERROR(__xludf.DUMMYFUNCTION("IFERROR(GOOGLEFINANCE(A425,""priceopen""),"""")"),1700.0)</f>
        <v>1700</v>
      </c>
      <c r="X425" s="22">
        <f>IFERROR(__xludf.DUMMYFUNCTION("IFERROR(GOOGLEFINANCE(A425,""high""),"""")"),1770.0)</f>
        <v>1770</v>
      </c>
      <c r="Y425" s="22">
        <f>IFERROR(__xludf.DUMMYFUNCTION("IFERROR(GOOGLEFINANCE(A425,""low""),"""")"),1680.0)</f>
        <v>1680</v>
      </c>
      <c r="Z425" s="22">
        <f>IFERROR(__xludf.DUMMYFUNCTION("IFERROR(GOOGLEFINANCE(A425,""volume""),"""")"),2.794877E8)</f>
        <v>279487700</v>
      </c>
      <c r="AA425" s="24" t="str">
        <f>VLOOKUP(A425,Metrik!$C$2:$Y$959,5,0)</f>
        <v>Chemicals</v>
      </c>
      <c r="AB425" s="24" t="str">
        <f>VLOOKUP(A425,Metrik!$C$2:$Y$959,3,0)</f>
        <v>Basic Materials</v>
      </c>
    </row>
    <row r="426">
      <c r="A426" s="17" t="s">
        <v>237</v>
      </c>
      <c r="B426" s="14" t="str">
        <f t="array" ref="B426">VLOOKUP(A426,{Metrik!$C$2:$C$998,Metrik!$B$2:$B$998},2,0)</f>
        <v>Barito Pacific Tbk.</v>
      </c>
      <c r="C426" s="15">
        <f>IFERROR(__xludf.DUMMYFUNCTION("GOOGLEFINANCE(""IDX:""&amp;A426,""price"")"),1700.0)</f>
        <v>1700</v>
      </c>
      <c r="D426" s="16" t="str">
        <f>IFERROR(__xludf.DUMMYFUNCTION("IF(A426="""","""",
SPARKLINE(
INDEX(
GOOGLEFINANCE(""IDX:""&amp;A426,""close"",TODAY()-365,TODAY()),
,2
),
{""linewidth"",1}
))
"),"#N/A")</f>
        <v>#N/A</v>
      </c>
      <c r="E426" s="14" t="s">
        <v>50</v>
      </c>
      <c r="F426" s="17" t="s">
        <v>51</v>
      </c>
      <c r="G426" s="18">
        <f t="shared" si="2"/>
        <v>10</v>
      </c>
      <c r="H426" s="19">
        <f>VLOOKUP(A426,Metrik!$C$2:$Y$959,8,0)</f>
        <v>19.2</v>
      </c>
      <c r="I426" s="20">
        <f>VLOOKUP(A426,Metrik!$C$2:$Y$959,9,0)</f>
        <v>1.7</v>
      </c>
      <c r="J426" s="20">
        <f>VLOOKUP(A426,Metrik!$C$2:$Y$959,10,0)</f>
        <v>8.9</v>
      </c>
      <c r="K426" s="20">
        <f>VLOOKUP(A426,Metrik!$C$2:$Y$959,11,0)</f>
        <v>3.2</v>
      </c>
      <c r="L426" s="20">
        <f>VLOOKUP(A426,Metrik!$C$2:$Y$959,12,0)</f>
        <v>1.8</v>
      </c>
      <c r="M426" s="20">
        <f>VLOOKUP(A426,Metrik!$C$2:$Y$959,19,0)</f>
        <v>21.7</v>
      </c>
      <c r="N426" s="21"/>
      <c r="O426" s="21"/>
      <c r="P426" s="21"/>
      <c r="Q426" s="21"/>
      <c r="R426" s="21"/>
      <c r="S426" s="21"/>
      <c r="T426" s="21"/>
      <c r="U426" s="22">
        <f>IFERROR(__xludf.DUMMYFUNCTION("IFERROR(GOOGLEFINANCE(A426,""closeyest""),"""")"),1650.0)</f>
        <v>1650</v>
      </c>
      <c r="V426" s="23">
        <f>IFERROR(__xludf.DUMMYFUNCTION("IFERROR(GOOGLEFINANCE(A426,""changepct""),"""")"),3.03)</f>
        <v>3.03</v>
      </c>
      <c r="W426" s="22">
        <f>IFERROR(__xludf.DUMMYFUNCTION("IFERROR(GOOGLEFINANCE(A426,""priceopen""),"""")"),1700.0)</f>
        <v>1700</v>
      </c>
      <c r="X426" s="22">
        <f>IFERROR(__xludf.DUMMYFUNCTION("IFERROR(GOOGLEFINANCE(A426,""high""),"""")"),1770.0)</f>
        <v>1770</v>
      </c>
      <c r="Y426" s="22">
        <f>IFERROR(__xludf.DUMMYFUNCTION("IFERROR(GOOGLEFINANCE(A426,""low""),"""")"),1680.0)</f>
        <v>1680</v>
      </c>
      <c r="Z426" s="22">
        <f>IFERROR(__xludf.DUMMYFUNCTION("IFERROR(GOOGLEFINANCE(A426,""volume""),"""")"),2.794877E8)</f>
        <v>279487700</v>
      </c>
      <c r="AA426" s="24" t="str">
        <f>VLOOKUP(A426,Metrik!$C$2:$Y$959,5,0)</f>
        <v>Chemicals</v>
      </c>
      <c r="AB426" s="24" t="str">
        <f>VLOOKUP(A426,Metrik!$C$2:$Y$959,3,0)</f>
        <v>Basic Materials</v>
      </c>
    </row>
    <row r="427">
      <c r="A427" s="14" t="s">
        <v>237</v>
      </c>
      <c r="B427" s="14" t="str">
        <f t="array" ref="B427">VLOOKUP(A427,{Metrik!$C$2:$C$998,Metrik!$B$2:$B$998},2,0)</f>
        <v>Barito Pacific Tbk.</v>
      </c>
      <c r="C427" s="15">
        <f>IFERROR(__xludf.DUMMYFUNCTION("GOOGLEFINANCE(""IDX:""&amp;A427,""price"")"),1700.0)</f>
        <v>1700</v>
      </c>
      <c r="D427" s="16" t="str">
        <f>IFERROR(__xludf.DUMMYFUNCTION("IF(A427="""","""",
SPARKLINE(
INDEX(
GOOGLEFINANCE(""IDX:""&amp;A427,""close"",TODAY()-365,TODAY()),
,2
),
{""linewidth"",1}
))
"),"#N/A")</f>
        <v>#N/A</v>
      </c>
      <c r="E427" s="14" t="s">
        <v>28</v>
      </c>
      <c r="F427" s="17" t="s">
        <v>29</v>
      </c>
      <c r="G427" s="24">
        <f t="shared" si="2"/>
        <v>10</v>
      </c>
      <c r="H427" s="19">
        <f>VLOOKUP(A427,Metrik!$C$2:$Y$959,8,0)</f>
        <v>19.2</v>
      </c>
      <c r="I427" s="20">
        <f>VLOOKUP(A427,Metrik!$C$2:$Y$959,9,0)</f>
        <v>1.7</v>
      </c>
      <c r="J427" s="20">
        <f>VLOOKUP(A427,Metrik!$C$2:$Y$959,10,0)</f>
        <v>8.9</v>
      </c>
      <c r="K427" s="20">
        <f>VLOOKUP(A427,Metrik!$C$2:$Y$959,11,0)</f>
        <v>3.2</v>
      </c>
      <c r="L427" s="20">
        <f>VLOOKUP(A427,Metrik!$C$2:$Y$959,12,0)</f>
        <v>1.8</v>
      </c>
      <c r="M427" s="20">
        <f>VLOOKUP(A427,Metrik!$C$2:$Y$959,19,0)</f>
        <v>21.7</v>
      </c>
      <c r="N427" s="21"/>
      <c r="O427" s="21"/>
      <c r="P427" s="21"/>
      <c r="Q427" s="21"/>
      <c r="R427" s="21"/>
      <c r="S427" s="21"/>
      <c r="T427" s="21"/>
      <c r="U427" s="22">
        <f>IFERROR(__xludf.DUMMYFUNCTION("IFERROR(GOOGLEFINANCE(A427,""closeyest""),"""")"),1650.0)</f>
        <v>1650</v>
      </c>
      <c r="V427" s="23">
        <f>IFERROR(__xludf.DUMMYFUNCTION("IFERROR(GOOGLEFINANCE(A427,""changepct""),"""")"),3.03)</f>
        <v>3.03</v>
      </c>
      <c r="W427" s="22">
        <f>IFERROR(__xludf.DUMMYFUNCTION("IFERROR(GOOGLEFINANCE(A427,""priceopen""),"""")"),1700.0)</f>
        <v>1700</v>
      </c>
      <c r="X427" s="22">
        <f>IFERROR(__xludf.DUMMYFUNCTION("IFERROR(GOOGLEFINANCE(A427,""high""),"""")"),1770.0)</f>
        <v>1770</v>
      </c>
      <c r="Y427" s="22">
        <f>IFERROR(__xludf.DUMMYFUNCTION("IFERROR(GOOGLEFINANCE(A427,""low""),"""")"),1680.0)</f>
        <v>1680</v>
      </c>
      <c r="Z427" s="22">
        <f>IFERROR(__xludf.DUMMYFUNCTION("IFERROR(GOOGLEFINANCE(A427,""volume""),"""")"),2.794877E8)</f>
        <v>279487700</v>
      </c>
      <c r="AA427" s="24" t="str">
        <f>VLOOKUP(A427,Metrik!$C$2:$Y$959,5,0)</f>
        <v>Chemicals</v>
      </c>
      <c r="AB427" s="24" t="str">
        <f>VLOOKUP(A427,Metrik!$C$2:$Y$959,3,0)</f>
        <v>Basic Materials</v>
      </c>
    </row>
    <row r="428">
      <c r="A428" s="14" t="s">
        <v>237</v>
      </c>
      <c r="B428" s="14" t="str">
        <f t="array" ref="B428">VLOOKUP(A428,{Metrik!$C$2:$C$998,Metrik!$B$2:$B$998},2,0)</f>
        <v>Barito Pacific Tbk.</v>
      </c>
      <c r="C428" s="15">
        <f>IFERROR(__xludf.DUMMYFUNCTION("GOOGLEFINANCE(""IDX:""&amp;A428,""price"")"),1700.0)</f>
        <v>1700</v>
      </c>
      <c r="D428" s="16" t="str">
        <f>IFERROR(__xludf.DUMMYFUNCTION("IF(A428="""","""",
SPARKLINE(
INDEX(
GOOGLEFINANCE(""IDX:""&amp;A428,""close"",TODAY()-365,TODAY()),
,2
),
{""linewidth"",1}
))
"),"#N/A")</f>
        <v>#N/A</v>
      </c>
      <c r="E428" s="14" t="s">
        <v>31</v>
      </c>
      <c r="F428" s="17" t="s">
        <v>29</v>
      </c>
      <c r="G428" s="24">
        <f t="shared" si="2"/>
        <v>10</v>
      </c>
      <c r="H428" s="19">
        <f>VLOOKUP(A428,Metrik!$C$2:$Y$959,8,0)</f>
        <v>19.2</v>
      </c>
      <c r="I428" s="20">
        <f>VLOOKUP(A428,Metrik!$C$2:$Y$959,9,0)</f>
        <v>1.7</v>
      </c>
      <c r="J428" s="20">
        <f>VLOOKUP(A428,Metrik!$C$2:$Y$959,10,0)</f>
        <v>8.9</v>
      </c>
      <c r="K428" s="20">
        <f>VLOOKUP(A428,Metrik!$C$2:$Y$959,11,0)</f>
        <v>3.2</v>
      </c>
      <c r="L428" s="20">
        <f>VLOOKUP(A428,Metrik!$C$2:$Y$959,12,0)</f>
        <v>1.8</v>
      </c>
      <c r="M428" s="20">
        <f>VLOOKUP(A428,Metrik!$C$2:$Y$959,19,0)</f>
        <v>21.7</v>
      </c>
      <c r="N428" s="21"/>
      <c r="O428" s="21"/>
      <c r="P428" s="21"/>
      <c r="Q428" s="21"/>
      <c r="R428" s="21"/>
      <c r="S428" s="21"/>
      <c r="T428" s="21"/>
      <c r="U428" s="22">
        <f>IFERROR(__xludf.DUMMYFUNCTION("IFERROR(GOOGLEFINANCE(A428,""closeyest""),"""")"),1650.0)</f>
        <v>1650</v>
      </c>
      <c r="V428" s="23">
        <f>IFERROR(__xludf.DUMMYFUNCTION("IFERROR(GOOGLEFINANCE(A428,""changepct""),"""")"),3.03)</f>
        <v>3.03</v>
      </c>
      <c r="W428" s="22">
        <f>IFERROR(__xludf.DUMMYFUNCTION("IFERROR(GOOGLEFINANCE(A428,""priceopen""),"""")"),1700.0)</f>
        <v>1700</v>
      </c>
      <c r="X428" s="22">
        <f>IFERROR(__xludf.DUMMYFUNCTION("IFERROR(GOOGLEFINANCE(A428,""high""),"""")"),1770.0)</f>
        <v>1770</v>
      </c>
      <c r="Y428" s="22">
        <f>IFERROR(__xludf.DUMMYFUNCTION("IFERROR(GOOGLEFINANCE(A428,""low""),"""")"),1680.0)</f>
        <v>1680</v>
      </c>
      <c r="Z428" s="22">
        <f>IFERROR(__xludf.DUMMYFUNCTION("IFERROR(GOOGLEFINANCE(A428,""volume""),"""")"),2.794877E8)</f>
        <v>279487700</v>
      </c>
      <c r="AA428" s="24" t="str">
        <f>VLOOKUP(A428,Metrik!$C$2:$Y$959,5,0)</f>
        <v>Chemicals</v>
      </c>
      <c r="AB428" s="24" t="str">
        <f>VLOOKUP(A428,Metrik!$C$2:$Y$959,3,0)</f>
        <v>Basic Materials</v>
      </c>
    </row>
    <row r="429">
      <c r="A429" s="14" t="s">
        <v>237</v>
      </c>
      <c r="B429" s="14" t="str">
        <f t="array" ref="B429">VLOOKUP(A429,{Metrik!$C$2:$C$998,Metrik!$B$2:$B$998},2,0)</f>
        <v>Barito Pacific Tbk.</v>
      </c>
      <c r="C429" s="15">
        <f>IFERROR(__xludf.DUMMYFUNCTION("GOOGLEFINANCE(""IDX:""&amp;A429,""price"")"),1700.0)</f>
        <v>1700</v>
      </c>
      <c r="D429" s="16" t="str">
        <f>IFERROR(__xludf.DUMMYFUNCTION("IF(A429="""","""",
SPARKLINE(
INDEX(
GOOGLEFINANCE(""IDX:""&amp;A429,""close"",TODAY()-365,TODAY()),
,2
),
{""linewidth"",1}
))
"),"#N/A")</f>
        <v>#N/A</v>
      </c>
      <c r="E429" s="14" t="s">
        <v>32</v>
      </c>
      <c r="F429" s="14" t="s">
        <v>29</v>
      </c>
      <c r="G429" s="24">
        <f t="shared" si="2"/>
        <v>10</v>
      </c>
      <c r="H429" s="19">
        <f>VLOOKUP(A429,Metrik!$C$2:$Y$959,8,0)</f>
        <v>19.2</v>
      </c>
      <c r="I429" s="20">
        <f>VLOOKUP(A429,Metrik!$C$2:$Y$959,9,0)</f>
        <v>1.7</v>
      </c>
      <c r="J429" s="20">
        <f>VLOOKUP(A429,Metrik!$C$2:$Y$959,10,0)</f>
        <v>8.9</v>
      </c>
      <c r="K429" s="20">
        <f>VLOOKUP(A429,Metrik!$C$2:$Y$959,11,0)</f>
        <v>3.2</v>
      </c>
      <c r="L429" s="20">
        <f>VLOOKUP(A429,Metrik!$C$2:$Y$959,12,0)</f>
        <v>1.8</v>
      </c>
      <c r="M429" s="20">
        <f>VLOOKUP(A429,Metrik!$C$2:$Y$959,19,0)</f>
        <v>21.7</v>
      </c>
      <c r="N429" s="21"/>
      <c r="O429" s="21"/>
      <c r="P429" s="21"/>
      <c r="Q429" s="21"/>
      <c r="R429" s="21"/>
      <c r="S429" s="21"/>
      <c r="T429" s="21"/>
      <c r="U429" s="22">
        <f>IFERROR(__xludf.DUMMYFUNCTION("IFERROR(GOOGLEFINANCE(A429,""closeyest""),"""")"),1650.0)</f>
        <v>1650</v>
      </c>
      <c r="V429" s="23">
        <f>IFERROR(__xludf.DUMMYFUNCTION("IFERROR(GOOGLEFINANCE(A429,""changepct""),"""")"),3.03)</f>
        <v>3.03</v>
      </c>
      <c r="W429" s="22">
        <f>IFERROR(__xludf.DUMMYFUNCTION("IFERROR(GOOGLEFINANCE(A429,""priceopen""),"""")"),1700.0)</f>
        <v>1700</v>
      </c>
      <c r="X429" s="22">
        <f>IFERROR(__xludf.DUMMYFUNCTION("IFERROR(GOOGLEFINANCE(A429,""high""),"""")"),1770.0)</f>
        <v>1770</v>
      </c>
      <c r="Y429" s="22">
        <f>IFERROR(__xludf.DUMMYFUNCTION("IFERROR(GOOGLEFINANCE(A429,""low""),"""")"),1680.0)</f>
        <v>1680</v>
      </c>
      <c r="Z429" s="22">
        <f>IFERROR(__xludf.DUMMYFUNCTION("IFERROR(GOOGLEFINANCE(A429,""volume""),"""")"),2.794877E8)</f>
        <v>279487700</v>
      </c>
      <c r="AA429" s="24" t="str">
        <f>VLOOKUP(A429,Metrik!$C$2:$Y$959,5,0)</f>
        <v>Chemicals</v>
      </c>
      <c r="AB429" s="24" t="str">
        <f>VLOOKUP(A429,Metrik!$C$2:$Y$959,3,0)</f>
        <v>Basic Materials</v>
      </c>
    </row>
    <row r="430">
      <c r="A430" s="14" t="s">
        <v>237</v>
      </c>
      <c r="B430" s="14" t="str">
        <f t="array" ref="B430">VLOOKUP(A430,{Metrik!$C$2:$C$998,Metrik!$B$2:$B$998},2,0)</f>
        <v>Barito Pacific Tbk.</v>
      </c>
      <c r="C430" s="15">
        <f>IFERROR(__xludf.DUMMYFUNCTION("GOOGLEFINANCE(""IDX:""&amp;A430,""price"")"),1700.0)</f>
        <v>1700</v>
      </c>
      <c r="D430" s="16" t="str">
        <f>IFERROR(__xludf.DUMMYFUNCTION("IF(A430="""","""",
SPARKLINE(
INDEX(
GOOGLEFINANCE(""IDX:""&amp;A430,""close"",TODAY()-365,TODAY()),
,2
),
{""linewidth"",1}
))
"),"#N/A")</f>
        <v>#N/A</v>
      </c>
      <c r="E430" s="14" t="s">
        <v>30</v>
      </c>
      <c r="F430" s="17" t="s">
        <v>29</v>
      </c>
      <c r="G430" s="24">
        <f t="shared" si="2"/>
        <v>10</v>
      </c>
      <c r="H430" s="19">
        <f>VLOOKUP(A430,Metrik!$C$2:$Y$959,8,0)</f>
        <v>19.2</v>
      </c>
      <c r="I430" s="20">
        <f>VLOOKUP(A430,Metrik!$C$2:$Y$959,9,0)</f>
        <v>1.7</v>
      </c>
      <c r="J430" s="20">
        <f>VLOOKUP(A430,Metrik!$C$2:$Y$959,10,0)</f>
        <v>8.9</v>
      </c>
      <c r="K430" s="20">
        <f>VLOOKUP(A430,Metrik!$C$2:$Y$959,11,0)</f>
        <v>3.2</v>
      </c>
      <c r="L430" s="20">
        <f>VLOOKUP(A430,Metrik!$C$2:$Y$959,12,0)</f>
        <v>1.8</v>
      </c>
      <c r="M430" s="20">
        <f>VLOOKUP(A430,Metrik!$C$2:$Y$959,19,0)</f>
        <v>21.7</v>
      </c>
      <c r="N430" s="21"/>
      <c r="O430" s="21"/>
      <c r="P430" s="21"/>
      <c r="Q430" s="21"/>
      <c r="R430" s="21"/>
      <c r="S430" s="21"/>
      <c r="T430" s="21"/>
      <c r="U430" s="22">
        <f>IFERROR(__xludf.DUMMYFUNCTION("IFERROR(GOOGLEFINANCE(A430,""closeyest""),"""")"),1650.0)</f>
        <v>1650</v>
      </c>
      <c r="V430" s="23">
        <f>IFERROR(__xludf.DUMMYFUNCTION("IFERROR(GOOGLEFINANCE(A430,""changepct""),"""")"),3.03)</f>
        <v>3.03</v>
      </c>
      <c r="W430" s="22">
        <f>IFERROR(__xludf.DUMMYFUNCTION("IFERROR(GOOGLEFINANCE(A430,""priceopen""),"""")"),1700.0)</f>
        <v>1700</v>
      </c>
      <c r="X430" s="22">
        <f>IFERROR(__xludf.DUMMYFUNCTION("IFERROR(GOOGLEFINANCE(A430,""high""),"""")"),1770.0)</f>
        <v>1770</v>
      </c>
      <c r="Y430" s="22">
        <f>IFERROR(__xludf.DUMMYFUNCTION("IFERROR(GOOGLEFINANCE(A430,""low""),"""")"),1680.0)</f>
        <v>1680</v>
      </c>
      <c r="Z430" s="22">
        <f>IFERROR(__xludf.DUMMYFUNCTION("IFERROR(GOOGLEFINANCE(A430,""volume""),"""")"),2.794877E8)</f>
        <v>279487700</v>
      </c>
      <c r="AA430" s="24" t="str">
        <f>VLOOKUP(A430,Metrik!$C$2:$Y$959,5,0)</f>
        <v>Chemicals</v>
      </c>
      <c r="AB430" s="24" t="str">
        <f>VLOOKUP(A430,Metrik!$C$2:$Y$959,3,0)</f>
        <v>Basic Materials</v>
      </c>
    </row>
    <row r="431">
      <c r="A431" s="14" t="s">
        <v>237</v>
      </c>
      <c r="B431" s="14" t="str">
        <f t="array" ref="B431">VLOOKUP(A431,{Metrik!$C$2:$C$998,Metrik!$B$2:$B$998},2,0)</f>
        <v>Barito Pacific Tbk.</v>
      </c>
      <c r="C431" s="15">
        <f>IFERROR(__xludf.DUMMYFUNCTION("GOOGLEFINANCE(""IDX:""&amp;A431,""price"")"),1700.0)</f>
        <v>1700</v>
      </c>
      <c r="D431" s="16" t="str">
        <f>IFERROR(__xludf.DUMMYFUNCTION("IF(A431="""","""",
SPARKLINE(
INDEX(
GOOGLEFINANCE(""IDX:""&amp;A431,""close"",TODAY()-365,TODAY()),
,2
),
{""linewidth"",1}
))
"),"#N/A")</f>
        <v>#N/A</v>
      </c>
      <c r="E431" s="14" t="s">
        <v>161</v>
      </c>
      <c r="F431" s="14" t="s">
        <v>76</v>
      </c>
      <c r="G431" s="24">
        <f t="shared" si="2"/>
        <v>10</v>
      </c>
      <c r="H431" s="19">
        <f>VLOOKUP(A431,Metrik!$C$2:$Y$959,8,0)</f>
        <v>19.2</v>
      </c>
      <c r="I431" s="20">
        <f>VLOOKUP(A431,Metrik!$C$2:$Y$959,9,0)</f>
        <v>1.7</v>
      </c>
      <c r="J431" s="20">
        <f>VLOOKUP(A431,Metrik!$C$2:$Y$959,10,0)</f>
        <v>8.9</v>
      </c>
      <c r="K431" s="20">
        <f>VLOOKUP(A431,Metrik!$C$2:$Y$959,11,0)</f>
        <v>3.2</v>
      </c>
      <c r="L431" s="20">
        <f>VLOOKUP(A431,Metrik!$C$2:$Y$959,12,0)</f>
        <v>1.8</v>
      </c>
      <c r="M431" s="20">
        <f>VLOOKUP(A431,Metrik!$C$2:$Y$959,19,0)</f>
        <v>21.7</v>
      </c>
      <c r="N431" s="21"/>
      <c r="O431" s="21"/>
      <c r="P431" s="21"/>
      <c r="Q431" s="21"/>
      <c r="R431" s="21"/>
      <c r="S431" s="21"/>
      <c r="T431" s="21"/>
      <c r="U431" s="22">
        <f>IFERROR(__xludf.DUMMYFUNCTION("IFERROR(GOOGLEFINANCE(A431,""closeyest""),"""")"),1650.0)</f>
        <v>1650</v>
      </c>
      <c r="V431" s="23">
        <f>IFERROR(__xludf.DUMMYFUNCTION("IFERROR(GOOGLEFINANCE(A431,""changepct""),"""")"),3.03)</f>
        <v>3.03</v>
      </c>
      <c r="W431" s="22">
        <f>IFERROR(__xludf.DUMMYFUNCTION("IFERROR(GOOGLEFINANCE(A431,""priceopen""),"""")"),1700.0)</f>
        <v>1700</v>
      </c>
      <c r="X431" s="22">
        <f>IFERROR(__xludf.DUMMYFUNCTION("IFERROR(GOOGLEFINANCE(A431,""high""),"""")"),1770.0)</f>
        <v>1770</v>
      </c>
      <c r="Y431" s="22">
        <f>IFERROR(__xludf.DUMMYFUNCTION("IFERROR(GOOGLEFINANCE(A431,""low""),"""")"),1680.0)</f>
        <v>1680</v>
      </c>
      <c r="Z431" s="22">
        <f>IFERROR(__xludf.DUMMYFUNCTION("IFERROR(GOOGLEFINANCE(A431,""volume""),"""")"),2.794877E8)</f>
        <v>279487700</v>
      </c>
      <c r="AA431" s="24" t="str">
        <f>VLOOKUP(A431,Metrik!$C$2:$Y$959,5,0)</f>
        <v>Chemicals</v>
      </c>
      <c r="AB431" s="24" t="str">
        <f>VLOOKUP(A431,Metrik!$C$2:$Y$959,3,0)</f>
        <v>Basic Materials</v>
      </c>
    </row>
    <row r="432">
      <c r="A432" s="14" t="s">
        <v>237</v>
      </c>
      <c r="B432" s="14" t="str">
        <f t="array" ref="B432">VLOOKUP(A432,{Metrik!$C$2:$C$998,Metrik!$B$2:$B$998},2,0)</f>
        <v>Barito Pacific Tbk.</v>
      </c>
      <c r="C432" s="15">
        <f>IFERROR(__xludf.DUMMYFUNCTION("GOOGLEFINANCE(""IDX:""&amp;A432,""price"")"),1700.0)</f>
        <v>1700</v>
      </c>
      <c r="D432" s="16" t="str">
        <f>IFERROR(__xludf.DUMMYFUNCTION("IF(A432="""","""",
SPARKLINE(
INDEX(
GOOGLEFINANCE(""IDX:""&amp;A432,""close"",TODAY()-365,TODAY()),
,2
),
{""linewidth"",1}
))
"),"#N/A")</f>
        <v>#N/A</v>
      </c>
      <c r="E432" s="14" t="s">
        <v>52</v>
      </c>
      <c r="F432" s="27" t="s">
        <v>53</v>
      </c>
      <c r="G432" s="24">
        <f t="shared" si="2"/>
        <v>10</v>
      </c>
      <c r="H432" s="19">
        <f>VLOOKUP(A432,Metrik!$C$2:$Y$959,8,0)</f>
        <v>19.2</v>
      </c>
      <c r="I432" s="20">
        <f>VLOOKUP(A432,Metrik!$C$2:$Y$959,9,0)</f>
        <v>1.7</v>
      </c>
      <c r="J432" s="20">
        <f>VLOOKUP(A432,Metrik!$C$2:$Y$959,10,0)</f>
        <v>8.9</v>
      </c>
      <c r="K432" s="20">
        <f>VLOOKUP(A432,Metrik!$C$2:$Y$959,11,0)</f>
        <v>3.2</v>
      </c>
      <c r="L432" s="20">
        <f>VLOOKUP(A432,Metrik!$C$2:$Y$959,12,0)</f>
        <v>1.8</v>
      </c>
      <c r="M432" s="20">
        <f>VLOOKUP(A432,Metrik!$C$2:$Y$959,19,0)</f>
        <v>21.7</v>
      </c>
      <c r="N432" s="21"/>
      <c r="O432" s="21"/>
      <c r="P432" s="21"/>
      <c r="Q432" s="21"/>
      <c r="R432" s="21"/>
      <c r="S432" s="21"/>
      <c r="T432" s="21"/>
      <c r="U432" s="22">
        <f>IFERROR(__xludf.DUMMYFUNCTION("IFERROR(GOOGLEFINANCE(A432,""closeyest""),"""")"),1650.0)</f>
        <v>1650</v>
      </c>
      <c r="V432" s="23">
        <f>IFERROR(__xludf.DUMMYFUNCTION("IFERROR(GOOGLEFINANCE(A432,""changepct""),"""")"),3.03)</f>
        <v>3.03</v>
      </c>
      <c r="W432" s="22">
        <f>IFERROR(__xludf.DUMMYFUNCTION("IFERROR(GOOGLEFINANCE(A432,""priceopen""),"""")"),1700.0)</f>
        <v>1700</v>
      </c>
      <c r="X432" s="22">
        <f>IFERROR(__xludf.DUMMYFUNCTION("IFERROR(GOOGLEFINANCE(A432,""high""),"""")"),1770.0)</f>
        <v>1770</v>
      </c>
      <c r="Y432" s="22">
        <f>IFERROR(__xludf.DUMMYFUNCTION("IFERROR(GOOGLEFINANCE(A432,""low""),"""")"),1680.0)</f>
        <v>1680</v>
      </c>
      <c r="Z432" s="22">
        <f>IFERROR(__xludf.DUMMYFUNCTION("IFERROR(GOOGLEFINANCE(A432,""volume""),"""")"),2.794877E8)</f>
        <v>279487700</v>
      </c>
      <c r="AA432" s="24" t="str">
        <f>VLOOKUP(A432,Metrik!$C$2:$Y$959,5,0)</f>
        <v>Chemicals</v>
      </c>
      <c r="AB432" s="24" t="str">
        <f>VLOOKUP(A432,Metrik!$C$2:$Y$959,3,0)</f>
        <v>Basic Materials</v>
      </c>
    </row>
    <row r="433">
      <c r="A433" s="17" t="s">
        <v>237</v>
      </c>
      <c r="B433" s="14" t="str">
        <f t="array" ref="B433">VLOOKUP(A433,{Metrik!$C$2:$C$998,Metrik!$B$2:$B$998},2,0)</f>
        <v>Barito Pacific Tbk.</v>
      </c>
      <c r="C433" s="15">
        <f>IFERROR(__xludf.DUMMYFUNCTION("GOOGLEFINANCE(""IDX:""&amp;A433,""price"")"),1700.0)</f>
        <v>1700</v>
      </c>
      <c r="D433" s="16" t="str">
        <f>IFERROR(__xludf.DUMMYFUNCTION("IF(A433="""","""",
SPARKLINE(
INDEX(
GOOGLEFINANCE(""IDX:""&amp;A433,""close"",TODAY()-365,TODAY()),
,2
),
{""linewidth"",1}
))
"),"#N/A")</f>
        <v>#N/A</v>
      </c>
      <c r="E433" s="17" t="s">
        <v>69</v>
      </c>
      <c r="F433" s="17" t="s">
        <v>70</v>
      </c>
      <c r="G433" s="24">
        <f t="shared" si="2"/>
        <v>10</v>
      </c>
      <c r="H433" s="19">
        <f>VLOOKUP(A433,Metrik!$C$2:$Y$959,8,0)</f>
        <v>19.2</v>
      </c>
      <c r="I433" s="20">
        <f>VLOOKUP(A433,Metrik!$C$2:$Y$959,9,0)</f>
        <v>1.7</v>
      </c>
      <c r="J433" s="20">
        <f>VLOOKUP(A433,Metrik!$C$2:$Y$959,10,0)</f>
        <v>8.9</v>
      </c>
      <c r="K433" s="20">
        <f>VLOOKUP(A433,Metrik!$C$2:$Y$959,11,0)</f>
        <v>3.2</v>
      </c>
      <c r="L433" s="20">
        <f>VLOOKUP(A433,Metrik!$C$2:$Y$959,12,0)</f>
        <v>1.8</v>
      </c>
      <c r="M433" s="20">
        <f>VLOOKUP(A433,Metrik!$C$2:$Y$959,19,0)</f>
        <v>21.7</v>
      </c>
      <c r="N433" s="21"/>
      <c r="O433" s="21"/>
      <c r="P433" s="21"/>
      <c r="Q433" s="21"/>
      <c r="R433" s="21"/>
      <c r="S433" s="21"/>
      <c r="T433" s="21"/>
      <c r="U433" s="22">
        <f>IFERROR(__xludf.DUMMYFUNCTION("IFERROR(GOOGLEFINANCE(A433,""closeyest""),"""")"),1650.0)</f>
        <v>1650</v>
      </c>
      <c r="V433" s="23">
        <f>IFERROR(__xludf.DUMMYFUNCTION("IFERROR(GOOGLEFINANCE(A433,""changepct""),"""")"),3.03)</f>
        <v>3.03</v>
      </c>
      <c r="W433" s="22">
        <f>IFERROR(__xludf.DUMMYFUNCTION("IFERROR(GOOGLEFINANCE(A433,""priceopen""),"""")"),1700.0)</f>
        <v>1700</v>
      </c>
      <c r="X433" s="22">
        <f>IFERROR(__xludf.DUMMYFUNCTION("IFERROR(GOOGLEFINANCE(A433,""high""),"""")"),1770.0)</f>
        <v>1770</v>
      </c>
      <c r="Y433" s="22">
        <f>IFERROR(__xludf.DUMMYFUNCTION("IFERROR(GOOGLEFINANCE(A433,""low""),"""")"),1680.0)</f>
        <v>1680</v>
      </c>
      <c r="Z433" s="22">
        <f>IFERROR(__xludf.DUMMYFUNCTION("IFERROR(GOOGLEFINANCE(A433,""volume""),"""")"),2.794877E8)</f>
        <v>279487700</v>
      </c>
      <c r="AA433" s="24" t="str">
        <f>VLOOKUP(A433,Metrik!$C$2:$Y$959,5,0)</f>
        <v>Chemicals</v>
      </c>
      <c r="AB433" s="24" t="str">
        <f>VLOOKUP(A433,Metrik!$C$2:$Y$959,3,0)</f>
        <v>Basic Materials</v>
      </c>
    </row>
    <row r="434">
      <c r="A434" s="17" t="s">
        <v>237</v>
      </c>
      <c r="B434" s="14" t="str">
        <f t="array" ref="B434">VLOOKUP(A434,{Metrik!$C$2:$C$998,Metrik!$B$2:$B$998},2,0)</f>
        <v>Barito Pacific Tbk.</v>
      </c>
      <c r="C434" s="15">
        <f>IFERROR(__xludf.DUMMYFUNCTION("GOOGLEFINANCE(""IDX:""&amp;A434,""price"")"),1700.0)</f>
        <v>1700</v>
      </c>
      <c r="D434" s="16" t="str">
        <f>IFERROR(__xludf.DUMMYFUNCTION("IF(A434="""","""",
SPARKLINE(
INDEX(
GOOGLEFINANCE(""IDX:""&amp;A434,""close"",TODAY()-365,TODAY()),
,2
),
{""linewidth"",1}
))
"),"#N/A")</f>
        <v>#N/A</v>
      </c>
      <c r="E434" s="14" t="s">
        <v>42</v>
      </c>
      <c r="F434" s="25">
        <v>46356.0</v>
      </c>
      <c r="G434" s="24">
        <f t="shared" si="2"/>
        <v>10</v>
      </c>
      <c r="H434" s="19">
        <f>VLOOKUP(A434,Metrik!$C$2:$Y$959,8,0)</f>
        <v>19.2</v>
      </c>
      <c r="I434" s="20">
        <f>VLOOKUP(A434,Metrik!$C$2:$Y$959,9,0)</f>
        <v>1.7</v>
      </c>
      <c r="J434" s="20">
        <f>VLOOKUP(A434,Metrik!$C$2:$Y$959,10,0)</f>
        <v>8.9</v>
      </c>
      <c r="K434" s="20">
        <f>VLOOKUP(A434,Metrik!$C$2:$Y$959,11,0)</f>
        <v>3.2</v>
      </c>
      <c r="L434" s="20">
        <f>VLOOKUP(A434,Metrik!$C$2:$Y$959,12,0)</f>
        <v>1.8</v>
      </c>
      <c r="M434" s="20">
        <f>VLOOKUP(A434,Metrik!$C$2:$Y$959,19,0)</f>
        <v>21.7</v>
      </c>
      <c r="N434" s="21"/>
      <c r="O434" s="21"/>
      <c r="P434" s="21"/>
      <c r="Q434" s="21"/>
      <c r="R434" s="21"/>
      <c r="S434" s="21"/>
      <c r="T434" s="21"/>
      <c r="U434" s="22">
        <f>IFERROR(__xludf.DUMMYFUNCTION("IFERROR(GOOGLEFINANCE(A434,""closeyest""),"""")"),1650.0)</f>
        <v>1650</v>
      </c>
      <c r="V434" s="23">
        <f>IFERROR(__xludf.DUMMYFUNCTION("IFERROR(GOOGLEFINANCE(A434,""changepct""),"""")"),3.03)</f>
        <v>3.03</v>
      </c>
      <c r="W434" s="22">
        <f>IFERROR(__xludf.DUMMYFUNCTION("IFERROR(GOOGLEFINANCE(A434,""priceopen""),"""")"),1700.0)</f>
        <v>1700</v>
      </c>
      <c r="X434" s="22">
        <f>IFERROR(__xludf.DUMMYFUNCTION("IFERROR(GOOGLEFINANCE(A434,""high""),"""")"),1770.0)</f>
        <v>1770</v>
      </c>
      <c r="Y434" s="22">
        <f>IFERROR(__xludf.DUMMYFUNCTION("IFERROR(GOOGLEFINANCE(A434,""low""),"""")"),1680.0)</f>
        <v>1680</v>
      </c>
      <c r="Z434" s="22">
        <f>IFERROR(__xludf.DUMMYFUNCTION("IFERROR(GOOGLEFINANCE(A434,""volume""),"""")"),2.794877E8)</f>
        <v>279487700</v>
      </c>
      <c r="AA434" s="24" t="str">
        <f>VLOOKUP(A434,Metrik!$C$2:$Y$959,5,0)</f>
        <v>Chemicals</v>
      </c>
      <c r="AB434" s="24" t="str">
        <f>VLOOKUP(A434,Metrik!$C$2:$Y$959,3,0)</f>
        <v>Basic Materials</v>
      </c>
    </row>
    <row r="435">
      <c r="A435" s="14" t="s">
        <v>238</v>
      </c>
      <c r="B435" s="14" t="str">
        <f t="array" ref="B435">VLOOKUP(A435,{Metrik!$C$2:$C$998,Metrik!$B$2:$B$998},2,0)</f>
        <v>Raja Roti Cemerlang Tbk.</v>
      </c>
      <c r="C435" s="15">
        <f>IFERROR(__xludf.DUMMYFUNCTION("GOOGLEFINANCE(""IDX:""&amp;A435,""price"")"),57.0)</f>
        <v>57</v>
      </c>
      <c r="D435" s="16" t="str">
        <f>IFERROR(__xludf.DUMMYFUNCTION("IF(A435="""","""",
SPARKLINE(
INDEX(
GOOGLEFINANCE(""IDX:""&amp;A435,""close"",TODAY()-365,TODAY()),
,2
),
{""linewidth"",1}
))
"),"#N/A")</f>
        <v>#N/A</v>
      </c>
      <c r="E435" s="26"/>
      <c r="F435" s="26"/>
      <c r="G435" s="24">
        <f t="shared" si="2"/>
        <v>0</v>
      </c>
      <c r="H435" s="19">
        <f>VLOOKUP(A435,Metrik!$C$2:$Y$959,8,0)</f>
        <v>33.5</v>
      </c>
      <c r="I435" s="20">
        <f>VLOOKUP(A435,Metrik!$C$2:$Y$959,9,0)</f>
        <v>0.69</v>
      </c>
      <c r="J435" s="20">
        <f>VLOOKUP(A435,Metrik!$C$2:$Y$959,10,0)</f>
        <v>2.1</v>
      </c>
      <c r="K435" s="20">
        <f>VLOOKUP(A435,Metrik!$C$2:$Y$959,11,0)</f>
        <v>1.4</v>
      </c>
      <c r="L435" s="20">
        <f>VLOOKUP(A435,Metrik!$C$2:$Y$959,12,0)</f>
        <v>0.46</v>
      </c>
      <c r="M435" s="20">
        <f>VLOOKUP(A435,Metrik!$C$2:$Y$959,19,0)</f>
        <v>5.7</v>
      </c>
      <c r="N435" s="21"/>
      <c r="O435" s="21"/>
      <c r="P435" s="21"/>
      <c r="Q435" s="21"/>
      <c r="R435" s="21"/>
      <c r="S435" s="21"/>
      <c r="T435" s="21"/>
      <c r="U435" s="22">
        <f>IFERROR(__xludf.DUMMYFUNCTION("IFERROR(GOOGLEFINANCE(A435,""closeyest""),"""")"),55.0)</f>
        <v>55</v>
      </c>
      <c r="V435" s="23">
        <f>IFERROR(__xludf.DUMMYFUNCTION("IFERROR(GOOGLEFINANCE(A435,""changepct""),"""")"),3.64)</f>
        <v>3.64</v>
      </c>
      <c r="W435" s="22">
        <f>IFERROR(__xludf.DUMMYFUNCTION("IFERROR(GOOGLEFINANCE(A435,""priceopen""),"""")"),56.0)</f>
        <v>56</v>
      </c>
      <c r="X435" s="22">
        <f>IFERROR(__xludf.DUMMYFUNCTION("IFERROR(GOOGLEFINANCE(A435,""high""),"""")"),59.0)</f>
        <v>59</v>
      </c>
      <c r="Y435" s="22">
        <f>IFERROR(__xludf.DUMMYFUNCTION("IFERROR(GOOGLEFINANCE(A435,""low""),"""")"),55.0)</f>
        <v>55</v>
      </c>
      <c r="Z435" s="22">
        <f>IFERROR(__xludf.DUMMYFUNCTION("IFERROR(GOOGLEFINANCE(A435,""volume""),"""")"),9334000.0)</f>
        <v>9334000</v>
      </c>
      <c r="AA435" s="24" t="str">
        <f>VLOOKUP(A435,Metrik!$C$2:$Y$959,5,0)</f>
        <v>Processed Foods</v>
      </c>
      <c r="AB435" s="24" t="str">
        <f>VLOOKUP(A435,Metrik!$C$2:$Y$959,3,0)</f>
        <v>Consumer Non-Cyclicals</v>
      </c>
    </row>
    <row r="436">
      <c r="A436" s="14" t="s">
        <v>239</v>
      </c>
      <c r="B436" s="14" t="str">
        <f t="array" ref="B436">VLOOKUP(A436,{Metrik!$C$2:$C$998,Metrik!$B$2:$B$998},2,0)</f>
        <v>Wulandari Bangun Laksana Tbk.</v>
      </c>
      <c r="C436" s="15">
        <f>IFERROR(__xludf.DUMMYFUNCTION("GOOGLEFINANCE(""IDX:""&amp;A436,""price"")"),51.0)</f>
        <v>51</v>
      </c>
      <c r="D436" s="16" t="str">
        <f>IFERROR(__xludf.DUMMYFUNCTION("IF(A436="""","""",
SPARKLINE(
INDEX(
GOOGLEFINANCE(""IDX:""&amp;A436,""close"",TODAY()-365,TODAY()),
,2
),
{""linewidth"",1}
))
"),"#N/A")</f>
        <v>#N/A</v>
      </c>
      <c r="E436" s="26"/>
      <c r="F436" s="26"/>
      <c r="G436" s="18">
        <f t="shared" si="2"/>
        <v>0</v>
      </c>
      <c r="H436" s="19">
        <f>VLOOKUP(A436,Metrik!$C$2:$Y$959,8,0)</f>
        <v>18.2</v>
      </c>
      <c r="I436" s="20">
        <f>VLOOKUP(A436,Metrik!$C$2:$Y$959,9,0)</f>
        <v>0.6</v>
      </c>
      <c r="J436" s="20">
        <f>VLOOKUP(A436,Metrik!$C$2:$Y$959,10,0)</f>
        <v>3.3</v>
      </c>
      <c r="K436" s="20">
        <f>VLOOKUP(A436,Metrik!$C$2:$Y$959,11,0)</f>
        <v>2.5</v>
      </c>
      <c r="L436" s="20">
        <f>VLOOKUP(A436,Metrik!$C$2:$Y$959,12,0)</f>
        <v>0.34</v>
      </c>
      <c r="M436" s="20">
        <f>VLOOKUP(A436,Metrik!$C$2:$Y$959,19,0)</f>
        <v>78</v>
      </c>
      <c r="N436" s="21"/>
      <c r="O436" s="21"/>
      <c r="P436" s="21"/>
      <c r="Q436" s="21"/>
      <c r="R436" s="21"/>
      <c r="S436" s="21"/>
      <c r="T436" s="21"/>
      <c r="U436" s="22">
        <f>IFERROR(__xludf.DUMMYFUNCTION("IFERROR(GOOGLEFINANCE(A436,""closeyest""),"""")"),9.01)</f>
        <v>9.01</v>
      </c>
      <c r="V436" s="23">
        <f>IFERROR(__xludf.DUMMYFUNCTION("IFERROR(GOOGLEFINANCE(A436,""changepct""),"""")"),0.48)</f>
        <v>0.48</v>
      </c>
      <c r="W436" s="22" t="str">
        <f>IFERROR(__xludf.DUMMYFUNCTION("IFERROR(GOOGLEFINANCE(A436,""priceopen""),"""")"),"")</f>
        <v/>
      </c>
      <c r="X436" s="22">
        <f>IFERROR(__xludf.DUMMYFUNCTION("IFERROR(GOOGLEFINANCE(A436,""high""),"""")"),9.14)</f>
        <v>9.14</v>
      </c>
      <c r="Y436" s="22">
        <f>IFERROR(__xludf.DUMMYFUNCTION("IFERROR(GOOGLEFINANCE(A436,""low""),"""")"),8.96)</f>
        <v>8.96</v>
      </c>
      <c r="Z436" s="22">
        <f>IFERROR(__xludf.DUMMYFUNCTION("IFERROR(GOOGLEFINANCE(A436,""volume""),"""")"),15254.0)</f>
        <v>15254</v>
      </c>
      <c r="AA436" s="24" t="str">
        <f>VLOOKUP(A436,Metrik!$C$2:$Y$959,5,0)</f>
        <v>Real Estate Management &amp; Development</v>
      </c>
      <c r="AB436" s="24" t="str">
        <f>VLOOKUP(A436,Metrik!$C$2:$Y$959,3,0)</f>
        <v>Properties &amp; Real Estate</v>
      </c>
    </row>
    <row r="437">
      <c r="A437" s="14" t="s">
        <v>240</v>
      </c>
      <c r="B437" s="14" t="str">
        <f t="array" ref="B437">VLOOKUP(A437,{Metrik!$C$2:$C$998,Metrik!$B$2:$B$998},2,0)</f>
        <v>Bumi Serpong Damai Tbk.</v>
      </c>
      <c r="C437" s="15">
        <f>IFERROR(__xludf.DUMMYFUNCTION("GOOGLEFINANCE(""IDX:""&amp;A437,""price"")"),610.0)</f>
        <v>610</v>
      </c>
      <c r="D437" s="16" t="str">
        <f>IFERROR(__xludf.DUMMYFUNCTION("IF(A437="""","""",
SPARKLINE(
INDEX(
GOOGLEFINANCE(""IDX:""&amp;A437,""close"",TODAY()-365,TODAY()),
,2
),
{""linewidth"",1}
))
"),"#N/A")</f>
        <v>#N/A</v>
      </c>
      <c r="E437" s="14" t="s">
        <v>55</v>
      </c>
      <c r="F437" s="25">
        <v>46356.0</v>
      </c>
      <c r="G437" s="24">
        <f t="shared" si="2"/>
        <v>9</v>
      </c>
      <c r="H437" s="19">
        <f>VLOOKUP(A437,Metrik!$C$2:$Y$959,8,0)</f>
        <v>5.2</v>
      </c>
      <c r="I437" s="20">
        <f>VLOOKUP(A437,Metrik!$C$2:$Y$959,9,0)</f>
        <v>0.25</v>
      </c>
      <c r="J437" s="20">
        <f>VLOOKUP(A437,Metrik!$C$2:$Y$959,10,0)</f>
        <v>4.8</v>
      </c>
      <c r="K437" s="20">
        <f>VLOOKUP(A437,Metrik!$C$2:$Y$959,11,0)</f>
        <v>3.2</v>
      </c>
      <c r="L437" s="20">
        <f>VLOOKUP(A437,Metrik!$C$2:$Y$959,12,0)</f>
        <v>0.51</v>
      </c>
      <c r="M437" s="20">
        <f>VLOOKUP(A437,Metrik!$C$2:$Y$959,19,0)</f>
        <v>19.9</v>
      </c>
      <c r="N437" s="21"/>
      <c r="O437" s="21"/>
      <c r="P437" s="21"/>
      <c r="Q437" s="21"/>
      <c r="R437" s="21"/>
      <c r="S437" s="21"/>
      <c r="T437" s="21"/>
      <c r="U437" s="22">
        <f>IFERROR(__xludf.DUMMYFUNCTION("IFERROR(GOOGLEFINANCE(A437,""closeyest""),"""")"),580.0)</f>
        <v>580</v>
      </c>
      <c r="V437" s="23">
        <f>IFERROR(__xludf.DUMMYFUNCTION("IFERROR(GOOGLEFINANCE(A437,""changepct""),"""")"),5.17)</f>
        <v>5.17</v>
      </c>
      <c r="W437" s="22">
        <f>IFERROR(__xludf.DUMMYFUNCTION("IFERROR(GOOGLEFINANCE(A437,""priceopen""),"""")"),590.0)</f>
        <v>590</v>
      </c>
      <c r="X437" s="22">
        <f>IFERROR(__xludf.DUMMYFUNCTION("IFERROR(GOOGLEFINANCE(A437,""high""),"""")"),615.0)</f>
        <v>615</v>
      </c>
      <c r="Y437" s="22">
        <f>IFERROR(__xludf.DUMMYFUNCTION("IFERROR(GOOGLEFINANCE(A437,""low""),"""")"),590.0)</f>
        <v>590</v>
      </c>
      <c r="Z437" s="22">
        <f>IFERROR(__xludf.DUMMYFUNCTION("IFERROR(GOOGLEFINANCE(A437,""volume""),"""")"),1.48736E7)</f>
        <v>14873600</v>
      </c>
      <c r="AA437" s="24" t="str">
        <f>VLOOKUP(A437,Metrik!$C$2:$Y$959,5,0)</f>
        <v>Real Estate Management &amp; Development</v>
      </c>
      <c r="AB437" s="24" t="str">
        <f>VLOOKUP(A437,Metrik!$C$2:$Y$959,3,0)</f>
        <v>Properties &amp; Real Estate</v>
      </c>
    </row>
    <row r="438">
      <c r="A438" s="14" t="s">
        <v>240</v>
      </c>
      <c r="B438" s="14" t="str">
        <f t="array" ref="B438">VLOOKUP(A438,{Metrik!$C$2:$C$998,Metrik!$B$2:$B$998},2,0)</f>
        <v>Bumi Serpong Damai Tbk.</v>
      </c>
      <c r="C438" s="15">
        <f>IFERROR(__xludf.DUMMYFUNCTION("GOOGLEFINANCE(""IDX:""&amp;A438,""price"")"),610.0)</f>
        <v>610</v>
      </c>
      <c r="D438" s="16" t="str">
        <f>IFERROR(__xludf.DUMMYFUNCTION("IF(A438="""","""",
SPARKLINE(
INDEX(
GOOGLEFINANCE(""IDX:""&amp;A438,""close"",TODAY()-365,TODAY()),
,2
),
{""linewidth"",1}
))
"),"#N/A")</f>
        <v>#N/A</v>
      </c>
      <c r="E438" s="14" t="s">
        <v>33</v>
      </c>
      <c r="F438" s="14" t="s">
        <v>34</v>
      </c>
      <c r="G438" s="24">
        <f t="shared" si="2"/>
        <v>9</v>
      </c>
      <c r="H438" s="19">
        <f>VLOOKUP(A438,Metrik!$C$2:$Y$959,8,0)</f>
        <v>5.2</v>
      </c>
      <c r="I438" s="20">
        <f>VLOOKUP(A438,Metrik!$C$2:$Y$959,9,0)</f>
        <v>0.25</v>
      </c>
      <c r="J438" s="20">
        <f>VLOOKUP(A438,Metrik!$C$2:$Y$959,10,0)</f>
        <v>4.8</v>
      </c>
      <c r="K438" s="20">
        <f>VLOOKUP(A438,Metrik!$C$2:$Y$959,11,0)</f>
        <v>3.2</v>
      </c>
      <c r="L438" s="20">
        <f>VLOOKUP(A438,Metrik!$C$2:$Y$959,12,0)</f>
        <v>0.51</v>
      </c>
      <c r="M438" s="20">
        <f>VLOOKUP(A438,Metrik!$C$2:$Y$959,19,0)</f>
        <v>19.9</v>
      </c>
      <c r="N438" s="21"/>
      <c r="O438" s="21"/>
      <c r="P438" s="21"/>
      <c r="Q438" s="21"/>
      <c r="R438" s="21"/>
      <c r="S438" s="21"/>
      <c r="T438" s="21"/>
      <c r="U438" s="22">
        <f>IFERROR(__xludf.DUMMYFUNCTION("IFERROR(GOOGLEFINANCE(A438,""closeyest""),"""")"),580.0)</f>
        <v>580</v>
      </c>
      <c r="V438" s="23">
        <f>IFERROR(__xludf.DUMMYFUNCTION("IFERROR(GOOGLEFINANCE(A438,""changepct""),"""")"),5.17)</f>
        <v>5.17</v>
      </c>
      <c r="W438" s="22">
        <f>IFERROR(__xludf.DUMMYFUNCTION("IFERROR(GOOGLEFINANCE(A438,""priceopen""),"""")"),590.0)</f>
        <v>590</v>
      </c>
      <c r="X438" s="22">
        <f>IFERROR(__xludf.DUMMYFUNCTION("IFERROR(GOOGLEFINANCE(A438,""high""),"""")"),615.0)</f>
        <v>615</v>
      </c>
      <c r="Y438" s="22">
        <f>IFERROR(__xludf.DUMMYFUNCTION("IFERROR(GOOGLEFINANCE(A438,""low""),"""")"),590.0)</f>
        <v>590</v>
      </c>
      <c r="Z438" s="22">
        <f>IFERROR(__xludf.DUMMYFUNCTION("IFERROR(GOOGLEFINANCE(A438,""volume""),"""")"),1.48736E7)</f>
        <v>14873600</v>
      </c>
      <c r="AA438" s="24" t="str">
        <f>VLOOKUP(A438,Metrik!$C$2:$Y$959,5,0)</f>
        <v>Real Estate Management &amp; Development</v>
      </c>
      <c r="AB438" s="24" t="str">
        <f>VLOOKUP(A438,Metrik!$C$2:$Y$959,3,0)</f>
        <v>Properties &amp; Real Estate</v>
      </c>
    </row>
    <row r="439">
      <c r="A439" s="14" t="s">
        <v>240</v>
      </c>
      <c r="B439" s="14" t="str">
        <f t="array" ref="B439">VLOOKUP(A439,{Metrik!$C$2:$C$998,Metrik!$B$2:$B$998},2,0)</f>
        <v>Bumi Serpong Damai Tbk.</v>
      </c>
      <c r="C439" s="15">
        <f>IFERROR(__xludf.DUMMYFUNCTION("GOOGLEFINANCE(""IDX:""&amp;A439,""price"")"),610.0)</f>
        <v>610</v>
      </c>
      <c r="D439" s="16" t="str">
        <f>IFERROR(__xludf.DUMMYFUNCTION("IF(A439="""","""",
SPARKLINE(
INDEX(
GOOGLEFINANCE(""IDX:""&amp;A439,""close"",TODAY()-365,TODAY()),
,2
),
{""linewidth"",1}
))
"),"#N/A")</f>
        <v>#N/A</v>
      </c>
      <c r="E439" s="14" t="s">
        <v>28</v>
      </c>
      <c r="F439" s="17" t="s">
        <v>29</v>
      </c>
      <c r="G439" s="24">
        <f t="shared" si="2"/>
        <v>9</v>
      </c>
      <c r="H439" s="19">
        <f>VLOOKUP(A439,Metrik!$C$2:$Y$959,8,0)</f>
        <v>5.2</v>
      </c>
      <c r="I439" s="20">
        <f>VLOOKUP(A439,Metrik!$C$2:$Y$959,9,0)</f>
        <v>0.25</v>
      </c>
      <c r="J439" s="20">
        <f>VLOOKUP(A439,Metrik!$C$2:$Y$959,10,0)</f>
        <v>4.8</v>
      </c>
      <c r="K439" s="20">
        <f>VLOOKUP(A439,Metrik!$C$2:$Y$959,11,0)</f>
        <v>3.2</v>
      </c>
      <c r="L439" s="20">
        <f>VLOOKUP(A439,Metrik!$C$2:$Y$959,12,0)</f>
        <v>0.51</v>
      </c>
      <c r="M439" s="20">
        <f>VLOOKUP(A439,Metrik!$C$2:$Y$959,19,0)</f>
        <v>19.9</v>
      </c>
      <c r="N439" s="21"/>
      <c r="O439" s="21"/>
      <c r="P439" s="21"/>
      <c r="Q439" s="21"/>
      <c r="R439" s="21"/>
      <c r="S439" s="21"/>
      <c r="T439" s="21"/>
      <c r="U439" s="22">
        <f>IFERROR(__xludf.DUMMYFUNCTION("IFERROR(GOOGLEFINANCE(A439,""closeyest""),"""")"),580.0)</f>
        <v>580</v>
      </c>
      <c r="V439" s="23">
        <f>IFERROR(__xludf.DUMMYFUNCTION("IFERROR(GOOGLEFINANCE(A439,""changepct""),"""")"),5.17)</f>
        <v>5.17</v>
      </c>
      <c r="W439" s="22">
        <f>IFERROR(__xludf.DUMMYFUNCTION("IFERROR(GOOGLEFINANCE(A439,""priceopen""),"""")"),590.0)</f>
        <v>590</v>
      </c>
      <c r="X439" s="22">
        <f>IFERROR(__xludf.DUMMYFUNCTION("IFERROR(GOOGLEFINANCE(A439,""high""),"""")"),615.0)</f>
        <v>615</v>
      </c>
      <c r="Y439" s="22">
        <f>IFERROR(__xludf.DUMMYFUNCTION("IFERROR(GOOGLEFINANCE(A439,""low""),"""")"),590.0)</f>
        <v>590</v>
      </c>
      <c r="Z439" s="22">
        <f>IFERROR(__xludf.DUMMYFUNCTION("IFERROR(GOOGLEFINANCE(A439,""volume""),"""")"),1.48736E7)</f>
        <v>14873600</v>
      </c>
      <c r="AA439" s="24" t="str">
        <f>VLOOKUP(A439,Metrik!$C$2:$Y$959,5,0)</f>
        <v>Real Estate Management &amp; Development</v>
      </c>
      <c r="AB439" s="24" t="str">
        <f>VLOOKUP(A439,Metrik!$C$2:$Y$959,3,0)</f>
        <v>Properties &amp; Real Estate</v>
      </c>
    </row>
    <row r="440">
      <c r="A440" s="14" t="s">
        <v>240</v>
      </c>
      <c r="B440" s="14" t="str">
        <f t="array" ref="B440">VLOOKUP(A440,{Metrik!$C$2:$C$998,Metrik!$B$2:$B$998},2,0)</f>
        <v>Bumi Serpong Damai Tbk.</v>
      </c>
      <c r="C440" s="15">
        <f>IFERROR(__xludf.DUMMYFUNCTION("GOOGLEFINANCE(""IDX:""&amp;A440,""price"")"),610.0)</f>
        <v>610</v>
      </c>
      <c r="D440" s="16" t="str">
        <f>IFERROR(__xludf.DUMMYFUNCTION("IF(A440="""","""",
SPARKLINE(
INDEX(
GOOGLEFINANCE(""IDX:""&amp;A440,""close"",TODAY()-365,TODAY()),
,2
),
{""linewidth"",1}
))
"),"#N/A")</f>
        <v>#N/A</v>
      </c>
      <c r="E440" s="14" t="s">
        <v>32</v>
      </c>
      <c r="F440" s="14" t="s">
        <v>29</v>
      </c>
      <c r="G440" s="24">
        <f t="shared" si="2"/>
        <v>9</v>
      </c>
      <c r="H440" s="19">
        <f>VLOOKUP(A440,Metrik!$C$2:$Y$959,8,0)</f>
        <v>5.2</v>
      </c>
      <c r="I440" s="20">
        <f>VLOOKUP(A440,Metrik!$C$2:$Y$959,9,0)</f>
        <v>0.25</v>
      </c>
      <c r="J440" s="20">
        <f>VLOOKUP(A440,Metrik!$C$2:$Y$959,10,0)</f>
        <v>4.8</v>
      </c>
      <c r="K440" s="20">
        <f>VLOOKUP(A440,Metrik!$C$2:$Y$959,11,0)</f>
        <v>3.2</v>
      </c>
      <c r="L440" s="20">
        <f>VLOOKUP(A440,Metrik!$C$2:$Y$959,12,0)</f>
        <v>0.51</v>
      </c>
      <c r="M440" s="20">
        <f>VLOOKUP(A440,Metrik!$C$2:$Y$959,19,0)</f>
        <v>19.9</v>
      </c>
      <c r="N440" s="21"/>
      <c r="O440" s="21"/>
      <c r="P440" s="21"/>
      <c r="Q440" s="21"/>
      <c r="R440" s="21"/>
      <c r="S440" s="21"/>
      <c r="T440" s="21"/>
      <c r="U440" s="22">
        <f>IFERROR(__xludf.DUMMYFUNCTION("IFERROR(GOOGLEFINANCE(A440,""closeyest""),"""")"),580.0)</f>
        <v>580</v>
      </c>
      <c r="V440" s="23">
        <f>IFERROR(__xludf.DUMMYFUNCTION("IFERROR(GOOGLEFINANCE(A440,""changepct""),"""")"),5.17)</f>
        <v>5.17</v>
      </c>
      <c r="W440" s="22">
        <f>IFERROR(__xludf.DUMMYFUNCTION("IFERROR(GOOGLEFINANCE(A440,""priceopen""),"""")"),590.0)</f>
        <v>590</v>
      </c>
      <c r="X440" s="22">
        <f>IFERROR(__xludf.DUMMYFUNCTION("IFERROR(GOOGLEFINANCE(A440,""high""),"""")"),615.0)</f>
        <v>615</v>
      </c>
      <c r="Y440" s="22">
        <f>IFERROR(__xludf.DUMMYFUNCTION("IFERROR(GOOGLEFINANCE(A440,""low""),"""")"),590.0)</f>
        <v>590</v>
      </c>
      <c r="Z440" s="22">
        <f>IFERROR(__xludf.DUMMYFUNCTION("IFERROR(GOOGLEFINANCE(A440,""volume""),"""")"),1.48736E7)</f>
        <v>14873600</v>
      </c>
      <c r="AA440" s="24" t="str">
        <f>VLOOKUP(A440,Metrik!$C$2:$Y$959,5,0)</f>
        <v>Real Estate Management &amp; Development</v>
      </c>
      <c r="AB440" s="24" t="str">
        <f>VLOOKUP(A440,Metrik!$C$2:$Y$959,3,0)</f>
        <v>Properties &amp; Real Estate</v>
      </c>
    </row>
    <row r="441">
      <c r="A441" s="14" t="s">
        <v>240</v>
      </c>
      <c r="B441" s="14" t="str">
        <f t="array" ref="B441">VLOOKUP(A441,{Metrik!$C$2:$C$998,Metrik!$B$2:$B$998},2,0)</f>
        <v>Bumi Serpong Damai Tbk.</v>
      </c>
      <c r="C441" s="15">
        <f>IFERROR(__xludf.DUMMYFUNCTION("GOOGLEFINANCE(""IDX:""&amp;A441,""price"")"),610.0)</f>
        <v>610</v>
      </c>
      <c r="D441" s="16" t="str">
        <f>IFERROR(__xludf.DUMMYFUNCTION("IF(A441="""","""",
SPARKLINE(
INDEX(
GOOGLEFINANCE(""IDX:""&amp;A441,""close"",TODAY()-365,TODAY()),
,2
),
{""linewidth"",1}
))
"),"#N/A")</f>
        <v>#N/A</v>
      </c>
      <c r="E441" s="14" t="s">
        <v>50</v>
      </c>
      <c r="F441" s="17" t="s">
        <v>51</v>
      </c>
      <c r="G441" s="24">
        <f t="shared" si="2"/>
        <v>9</v>
      </c>
      <c r="H441" s="19">
        <f>VLOOKUP(A441,Metrik!$C$2:$Y$959,8,0)</f>
        <v>5.2</v>
      </c>
      <c r="I441" s="20">
        <f>VLOOKUP(A441,Metrik!$C$2:$Y$959,9,0)</f>
        <v>0.25</v>
      </c>
      <c r="J441" s="20">
        <f>VLOOKUP(A441,Metrik!$C$2:$Y$959,10,0)</f>
        <v>4.8</v>
      </c>
      <c r="K441" s="20">
        <f>VLOOKUP(A441,Metrik!$C$2:$Y$959,11,0)</f>
        <v>3.2</v>
      </c>
      <c r="L441" s="20">
        <f>VLOOKUP(A441,Metrik!$C$2:$Y$959,12,0)</f>
        <v>0.51</v>
      </c>
      <c r="M441" s="20">
        <f>VLOOKUP(A441,Metrik!$C$2:$Y$959,19,0)</f>
        <v>19.9</v>
      </c>
      <c r="N441" s="21"/>
      <c r="O441" s="21"/>
      <c r="P441" s="21"/>
      <c r="Q441" s="21"/>
      <c r="R441" s="21"/>
      <c r="S441" s="21"/>
      <c r="T441" s="21"/>
      <c r="U441" s="22">
        <f>IFERROR(__xludf.DUMMYFUNCTION("IFERROR(GOOGLEFINANCE(A441,""closeyest""),"""")"),580.0)</f>
        <v>580</v>
      </c>
      <c r="V441" s="23">
        <f>IFERROR(__xludf.DUMMYFUNCTION("IFERROR(GOOGLEFINANCE(A441,""changepct""),"""")"),5.17)</f>
        <v>5.17</v>
      </c>
      <c r="W441" s="22">
        <f>IFERROR(__xludf.DUMMYFUNCTION("IFERROR(GOOGLEFINANCE(A441,""priceopen""),"""")"),590.0)</f>
        <v>590</v>
      </c>
      <c r="X441" s="22">
        <f>IFERROR(__xludf.DUMMYFUNCTION("IFERROR(GOOGLEFINANCE(A441,""high""),"""")"),615.0)</f>
        <v>615</v>
      </c>
      <c r="Y441" s="22">
        <f>IFERROR(__xludf.DUMMYFUNCTION("IFERROR(GOOGLEFINANCE(A441,""low""),"""")"),590.0)</f>
        <v>590</v>
      </c>
      <c r="Z441" s="22">
        <f>IFERROR(__xludf.DUMMYFUNCTION("IFERROR(GOOGLEFINANCE(A441,""volume""),"""")"),1.48736E7)</f>
        <v>14873600</v>
      </c>
      <c r="AA441" s="24" t="str">
        <f>VLOOKUP(A441,Metrik!$C$2:$Y$959,5,0)</f>
        <v>Real Estate Management &amp; Development</v>
      </c>
      <c r="AB441" s="24" t="str">
        <f>VLOOKUP(A441,Metrik!$C$2:$Y$959,3,0)</f>
        <v>Properties &amp; Real Estate</v>
      </c>
    </row>
    <row r="442">
      <c r="A442" s="14" t="s">
        <v>240</v>
      </c>
      <c r="B442" s="14" t="str">
        <f t="array" ref="B442">VLOOKUP(A442,{Metrik!$C$2:$C$998,Metrik!$B$2:$B$998},2,0)</f>
        <v>Bumi Serpong Damai Tbk.</v>
      </c>
      <c r="C442" s="15">
        <f>IFERROR(__xludf.DUMMYFUNCTION("GOOGLEFINANCE(""IDX:""&amp;A442,""price"")"),610.0)</f>
        <v>610</v>
      </c>
      <c r="D442" s="16" t="str">
        <f>IFERROR(__xludf.DUMMYFUNCTION("IF(A442="""","""",
SPARKLINE(
INDEX(
GOOGLEFINANCE(""IDX:""&amp;A442,""close"",TODAY()-365,TODAY()),
,2
),
{""linewidth"",1}
))
"),"#N/A")</f>
        <v>#N/A</v>
      </c>
      <c r="E442" s="14" t="s">
        <v>161</v>
      </c>
      <c r="F442" s="14" t="s">
        <v>76</v>
      </c>
      <c r="G442" s="24">
        <f t="shared" si="2"/>
        <v>9</v>
      </c>
      <c r="H442" s="19">
        <f>VLOOKUP(A442,Metrik!$C$2:$Y$959,8,0)</f>
        <v>5.2</v>
      </c>
      <c r="I442" s="20">
        <f>VLOOKUP(A442,Metrik!$C$2:$Y$959,9,0)</f>
        <v>0.25</v>
      </c>
      <c r="J442" s="20">
        <f>VLOOKUP(A442,Metrik!$C$2:$Y$959,10,0)</f>
        <v>4.8</v>
      </c>
      <c r="K442" s="20">
        <f>VLOOKUP(A442,Metrik!$C$2:$Y$959,11,0)</f>
        <v>3.2</v>
      </c>
      <c r="L442" s="20">
        <f>VLOOKUP(A442,Metrik!$C$2:$Y$959,12,0)</f>
        <v>0.51</v>
      </c>
      <c r="M442" s="20">
        <f>VLOOKUP(A442,Metrik!$C$2:$Y$959,19,0)</f>
        <v>19.9</v>
      </c>
      <c r="N442" s="21"/>
      <c r="O442" s="21"/>
      <c r="P442" s="21"/>
      <c r="Q442" s="21"/>
      <c r="R442" s="21"/>
      <c r="S442" s="21"/>
      <c r="T442" s="21"/>
      <c r="U442" s="22">
        <f>IFERROR(__xludf.DUMMYFUNCTION("IFERROR(GOOGLEFINANCE(A442,""closeyest""),"""")"),580.0)</f>
        <v>580</v>
      </c>
      <c r="V442" s="23">
        <f>IFERROR(__xludf.DUMMYFUNCTION("IFERROR(GOOGLEFINANCE(A442,""changepct""),"""")"),5.17)</f>
        <v>5.17</v>
      </c>
      <c r="W442" s="22">
        <f>IFERROR(__xludf.DUMMYFUNCTION("IFERROR(GOOGLEFINANCE(A442,""priceopen""),"""")"),590.0)</f>
        <v>590</v>
      </c>
      <c r="X442" s="22">
        <f>IFERROR(__xludf.DUMMYFUNCTION("IFERROR(GOOGLEFINANCE(A442,""high""),"""")"),615.0)</f>
        <v>615</v>
      </c>
      <c r="Y442" s="22">
        <f>IFERROR(__xludf.DUMMYFUNCTION("IFERROR(GOOGLEFINANCE(A442,""low""),"""")"),590.0)</f>
        <v>590</v>
      </c>
      <c r="Z442" s="22">
        <f>IFERROR(__xludf.DUMMYFUNCTION("IFERROR(GOOGLEFINANCE(A442,""volume""),"""")"),1.48736E7)</f>
        <v>14873600</v>
      </c>
      <c r="AA442" s="24" t="str">
        <f>VLOOKUP(A442,Metrik!$C$2:$Y$959,5,0)</f>
        <v>Real Estate Management &amp; Development</v>
      </c>
      <c r="AB442" s="24" t="str">
        <f>VLOOKUP(A442,Metrik!$C$2:$Y$959,3,0)</f>
        <v>Properties &amp; Real Estate</v>
      </c>
    </row>
    <row r="443">
      <c r="A443" s="14" t="s">
        <v>240</v>
      </c>
      <c r="B443" s="14" t="str">
        <f t="array" ref="B443">VLOOKUP(A443,{Metrik!$C$2:$C$998,Metrik!$B$2:$B$998},2,0)</f>
        <v>Bumi Serpong Damai Tbk.</v>
      </c>
      <c r="C443" s="15">
        <f>IFERROR(__xludf.DUMMYFUNCTION("GOOGLEFINANCE(""IDX:""&amp;A443,""price"")"),610.0)</f>
        <v>610</v>
      </c>
      <c r="D443" s="16" t="str">
        <f>IFERROR(__xludf.DUMMYFUNCTION("IF(A443="""","""",
SPARKLINE(
INDEX(
GOOGLEFINANCE(""IDX:""&amp;A443,""close"",TODAY()-365,TODAY()),
,2
),
{""linewidth"",1}
))
"),"#N/A")</f>
        <v>#N/A</v>
      </c>
      <c r="E443" s="14" t="s">
        <v>41</v>
      </c>
      <c r="F443" s="14" t="s">
        <v>34</v>
      </c>
      <c r="G443" s="24">
        <f t="shared" si="2"/>
        <v>9</v>
      </c>
      <c r="H443" s="19">
        <f>VLOOKUP(A443,Metrik!$C$2:$Y$959,8,0)</f>
        <v>5.2</v>
      </c>
      <c r="I443" s="20">
        <f>VLOOKUP(A443,Metrik!$C$2:$Y$959,9,0)</f>
        <v>0.25</v>
      </c>
      <c r="J443" s="20">
        <f>VLOOKUP(A443,Metrik!$C$2:$Y$959,10,0)</f>
        <v>4.8</v>
      </c>
      <c r="K443" s="20">
        <f>VLOOKUP(A443,Metrik!$C$2:$Y$959,11,0)</f>
        <v>3.2</v>
      </c>
      <c r="L443" s="20">
        <f>VLOOKUP(A443,Metrik!$C$2:$Y$959,12,0)</f>
        <v>0.51</v>
      </c>
      <c r="M443" s="20">
        <f>VLOOKUP(A443,Metrik!$C$2:$Y$959,19,0)</f>
        <v>19.9</v>
      </c>
      <c r="N443" s="21"/>
      <c r="O443" s="21"/>
      <c r="P443" s="21"/>
      <c r="Q443" s="21"/>
      <c r="R443" s="21"/>
      <c r="S443" s="21"/>
      <c r="T443" s="21"/>
      <c r="U443" s="22">
        <f>IFERROR(__xludf.DUMMYFUNCTION("IFERROR(GOOGLEFINANCE(A443,""closeyest""),"""")"),580.0)</f>
        <v>580</v>
      </c>
      <c r="V443" s="23">
        <f>IFERROR(__xludf.DUMMYFUNCTION("IFERROR(GOOGLEFINANCE(A443,""changepct""),"""")"),5.17)</f>
        <v>5.17</v>
      </c>
      <c r="W443" s="22">
        <f>IFERROR(__xludf.DUMMYFUNCTION("IFERROR(GOOGLEFINANCE(A443,""priceopen""),"""")"),590.0)</f>
        <v>590</v>
      </c>
      <c r="X443" s="22">
        <f>IFERROR(__xludf.DUMMYFUNCTION("IFERROR(GOOGLEFINANCE(A443,""high""),"""")"),615.0)</f>
        <v>615</v>
      </c>
      <c r="Y443" s="22">
        <f>IFERROR(__xludf.DUMMYFUNCTION("IFERROR(GOOGLEFINANCE(A443,""low""),"""")"),590.0)</f>
        <v>590</v>
      </c>
      <c r="Z443" s="22">
        <f>IFERROR(__xludf.DUMMYFUNCTION("IFERROR(GOOGLEFINANCE(A443,""volume""),"""")"),1.48736E7)</f>
        <v>14873600</v>
      </c>
      <c r="AA443" s="24" t="str">
        <f>VLOOKUP(A443,Metrik!$C$2:$Y$959,5,0)</f>
        <v>Real Estate Management &amp; Development</v>
      </c>
      <c r="AB443" s="24" t="str">
        <f>VLOOKUP(A443,Metrik!$C$2:$Y$959,3,0)</f>
        <v>Properties &amp; Real Estate</v>
      </c>
    </row>
    <row r="444">
      <c r="A444" s="17" t="s">
        <v>240</v>
      </c>
      <c r="B444" s="14" t="str">
        <f t="array" ref="B444">VLOOKUP(A444,{Metrik!$C$2:$C$998,Metrik!$B$2:$B$998},2,0)</f>
        <v>Bumi Serpong Damai Tbk.</v>
      </c>
      <c r="C444" s="15">
        <f>IFERROR(__xludf.DUMMYFUNCTION("GOOGLEFINANCE(""IDX:""&amp;A444,""price"")"),610.0)</f>
        <v>610</v>
      </c>
      <c r="D444" s="16" t="str">
        <f>IFERROR(__xludf.DUMMYFUNCTION("IF(A444="""","""",
SPARKLINE(
INDEX(
GOOGLEFINANCE(""IDX:""&amp;A444,""close"",TODAY()-365,TODAY()),
,2
),
{""linewidth"",1}
))
"),"#N/A")</f>
        <v>#N/A</v>
      </c>
      <c r="E444" s="17" t="s">
        <v>69</v>
      </c>
      <c r="F444" s="17" t="s">
        <v>70</v>
      </c>
      <c r="G444" s="24">
        <f t="shared" si="2"/>
        <v>9</v>
      </c>
      <c r="H444" s="19">
        <f>VLOOKUP(A444,Metrik!$C$2:$Y$959,8,0)</f>
        <v>5.2</v>
      </c>
      <c r="I444" s="20">
        <f>VLOOKUP(A444,Metrik!$C$2:$Y$959,9,0)</f>
        <v>0.25</v>
      </c>
      <c r="J444" s="20">
        <f>VLOOKUP(A444,Metrik!$C$2:$Y$959,10,0)</f>
        <v>4.8</v>
      </c>
      <c r="K444" s="20">
        <f>VLOOKUP(A444,Metrik!$C$2:$Y$959,11,0)</f>
        <v>3.2</v>
      </c>
      <c r="L444" s="20">
        <f>VLOOKUP(A444,Metrik!$C$2:$Y$959,12,0)</f>
        <v>0.51</v>
      </c>
      <c r="M444" s="20">
        <f>VLOOKUP(A444,Metrik!$C$2:$Y$959,19,0)</f>
        <v>19.9</v>
      </c>
      <c r="N444" s="21"/>
      <c r="O444" s="21"/>
      <c r="P444" s="21"/>
      <c r="Q444" s="21"/>
      <c r="R444" s="21"/>
      <c r="S444" s="21"/>
      <c r="T444" s="21"/>
      <c r="U444" s="22">
        <f>IFERROR(__xludf.DUMMYFUNCTION("IFERROR(GOOGLEFINANCE(A444,""closeyest""),"""")"),580.0)</f>
        <v>580</v>
      </c>
      <c r="V444" s="23">
        <f>IFERROR(__xludf.DUMMYFUNCTION("IFERROR(GOOGLEFINANCE(A444,""changepct""),"""")"),5.17)</f>
        <v>5.17</v>
      </c>
      <c r="W444" s="22">
        <f>IFERROR(__xludf.DUMMYFUNCTION("IFERROR(GOOGLEFINANCE(A444,""priceopen""),"""")"),590.0)</f>
        <v>590</v>
      </c>
      <c r="X444" s="22">
        <f>IFERROR(__xludf.DUMMYFUNCTION("IFERROR(GOOGLEFINANCE(A444,""high""),"""")"),615.0)</f>
        <v>615</v>
      </c>
      <c r="Y444" s="22">
        <f>IFERROR(__xludf.DUMMYFUNCTION("IFERROR(GOOGLEFINANCE(A444,""low""),"""")"),590.0)</f>
        <v>590</v>
      </c>
      <c r="Z444" s="22">
        <f>IFERROR(__xludf.DUMMYFUNCTION("IFERROR(GOOGLEFINANCE(A444,""volume""),"""")"),1.48736E7)</f>
        <v>14873600</v>
      </c>
      <c r="AA444" s="24" t="str">
        <f>VLOOKUP(A444,Metrik!$C$2:$Y$959,5,0)</f>
        <v>Real Estate Management &amp; Development</v>
      </c>
      <c r="AB444" s="24" t="str">
        <f>VLOOKUP(A444,Metrik!$C$2:$Y$959,3,0)</f>
        <v>Properties &amp; Real Estate</v>
      </c>
    </row>
    <row r="445">
      <c r="A445" s="14" t="s">
        <v>240</v>
      </c>
      <c r="B445" s="14" t="str">
        <f t="array" ref="B445">VLOOKUP(A445,{Metrik!$C$2:$C$998,Metrik!$B$2:$B$998},2,0)</f>
        <v>Bumi Serpong Damai Tbk.</v>
      </c>
      <c r="C445" s="15">
        <f>IFERROR(__xludf.DUMMYFUNCTION("GOOGLEFINANCE(""IDX:""&amp;A445,""price"")"),610.0)</f>
        <v>610</v>
      </c>
      <c r="D445" s="16" t="str">
        <f>IFERROR(__xludf.DUMMYFUNCTION("IF(A445="""","""",
SPARKLINE(
INDEX(
GOOGLEFINANCE(""IDX:""&amp;A445,""close"",TODAY()-365,TODAY()),
,2
),
{""linewidth"",1}
))
"),"#N/A")</f>
        <v>#N/A</v>
      </c>
      <c r="E445" s="14" t="s">
        <v>39</v>
      </c>
      <c r="F445" s="25">
        <v>46356.0</v>
      </c>
      <c r="G445" s="24">
        <f t="shared" si="2"/>
        <v>9</v>
      </c>
      <c r="H445" s="19">
        <f>VLOOKUP(A445,Metrik!$C$2:$Y$959,8,0)</f>
        <v>5.2</v>
      </c>
      <c r="I445" s="20">
        <f>VLOOKUP(A445,Metrik!$C$2:$Y$959,9,0)</f>
        <v>0.25</v>
      </c>
      <c r="J445" s="20">
        <f>VLOOKUP(A445,Metrik!$C$2:$Y$959,10,0)</f>
        <v>4.8</v>
      </c>
      <c r="K445" s="20">
        <f>VLOOKUP(A445,Metrik!$C$2:$Y$959,11,0)</f>
        <v>3.2</v>
      </c>
      <c r="L445" s="20">
        <f>VLOOKUP(A445,Metrik!$C$2:$Y$959,12,0)</f>
        <v>0.51</v>
      </c>
      <c r="M445" s="20">
        <f>VLOOKUP(A445,Metrik!$C$2:$Y$959,19,0)</f>
        <v>19.9</v>
      </c>
      <c r="N445" s="21"/>
      <c r="O445" s="21"/>
      <c r="P445" s="21"/>
      <c r="Q445" s="21"/>
      <c r="R445" s="21"/>
      <c r="S445" s="21"/>
      <c r="T445" s="21"/>
      <c r="U445" s="22">
        <f>IFERROR(__xludf.DUMMYFUNCTION("IFERROR(GOOGLEFINANCE(A445,""closeyest""),"""")"),580.0)</f>
        <v>580</v>
      </c>
      <c r="V445" s="23">
        <f>IFERROR(__xludf.DUMMYFUNCTION("IFERROR(GOOGLEFINANCE(A445,""changepct""),"""")"),5.17)</f>
        <v>5.17</v>
      </c>
      <c r="W445" s="22">
        <f>IFERROR(__xludf.DUMMYFUNCTION("IFERROR(GOOGLEFINANCE(A445,""priceopen""),"""")"),590.0)</f>
        <v>590</v>
      </c>
      <c r="X445" s="22">
        <f>IFERROR(__xludf.DUMMYFUNCTION("IFERROR(GOOGLEFINANCE(A445,""high""),"""")"),615.0)</f>
        <v>615</v>
      </c>
      <c r="Y445" s="22">
        <f>IFERROR(__xludf.DUMMYFUNCTION("IFERROR(GOOGLEFINANCE(A445,""low""),"""")"),590.0)</f>
        <v>590</v>
      </c>
      <c r="Z445" s="22">
        <f>IFERROR(__xludf.DUMMYFUNCTION("IFERROR(GOOGLEFINANCE(A445,""volume""),"""")"),1.48736E7)</f>
        <v>14873600</v>
      </c>
      <c r="AA445" s="24" t="str">
        <f>VLOOKUP(A445,Metrik!$C$2:$Y$959,5,0)</f>
        <v>Real Estate Management &amp; Development</v>
      </c>
      <c r="AB445" s="24" t="str">
        <f>VLOOKUP(A445,Metrik!$C$2:$Y$959,3,0)</f>
        <v>Properties &amp; Real Estate</v>
      </c>
    </row>
    <row r="446">
      <c r="A446" s="14" t="s">
        <v>241</v>
      </c>
      <c r="B446" s="14" t="str">
        <f t="array" ref="B446">VLOOKUP(A446,{Metrik!$C$2:$C$998,Metrik!$B$2:$B$998},2,0)</f>
        <v>Bank Sinarmas Tbk</v>
      </c>
      <c r="C446" s="15">
        <f>IFERROR(__xludf.DUMMYFUNCTION("GOOGLEFINANCE(""IDX:""&amp;A446,""price"")"),730.0)</f>
        <v>730</v>
      </c>
      <c r="D446" s="16" t="str">
        <f>IFERROR(__xludf.DUMMYFUNCTION("IF(A446="""","""",
SPARKLINE(
INDEX(
GOOGLEFINANCE(""IDX:""&amp;A446,""close"",TODAY()-365,TODAY()),
,2
),
{""linewidth"",1}
))
"),"#N/A")</f>
        <v>#N/A</v>
      </c>
      <c r="E446" s="26"/>
      <c r="F446" s="26"/>
      <c r="G446" s="24">
        <f t="shared" si="2"/>
        <v>0</v>
      </c>
      <c r="H446" s="19">
        <f>VLOOKUP(A446,Metrik!$C$2:$Y$959,8,0)</f>
        <v>55.2</v>
      </c>
      <c r="I446" s="20">
        <f>VLOOKUP(A446,Metrik!$C$2:$Y$959,9,0)</f>
        <v>1.8</v>
      </c>
      <c r="J446" s="20">
        <f>VLOOKUP(A446,Metrik!$C$2:$Y$959,10,0)</f>
        <v>3.2</v>
      </c>
      <c r="K446" s="20">
        <f>VLOOKUP(A446,Metrik!$C$2:$Y$959,11,0)</f>
        <v>0.51</v>
      </c>
      <c r="L446" s="20">
        <f>VLOOKUP(A446,Metrik!$C$2:$Y$959,12,0)</f>
        <v>4.8</v>
      </c>
      <c r="M446" s="20">
        <f>VLOOKUP(A446,Metrik!$C$2:$Y$959,19,0)</f>
        <v>35.8</v>
      </c>
      <c r="N446" s="32">
        <v>6.1</v>
      </c>
      <c r="O446" s="32">
        <v>30.55</v>
      </c>
      <c r="P446" s="32">
        <v>81.42</v>
      </c>
      <c r="Q446" s="32">
        <v>2.33</v>
      </c>
      <c r="R446" s="32">
        <v>95.95</v>
      </c>
      <c r="S446" s="32">
        <v>75.41</v>
      </c>
      <c r="T446" s="32">
        <v>12.05</v>
      </c>
      <c r="U446" s="22">
        <f>IFERROR(__xludf.DUMMYFUNCTION("IFERROR(GOOGLEFINANCE(A446,""closeyest""),"""")"),720.0)</f>
        <v>720</v>
      </c>
      <c r="V446" s="23">
        <f>IFERROR(__xludf.DUMMYFUNCTION("IFERROR(GOOGLEFINANCE(A446,""changepct""),"""")"),1.39)</f>
        <v>1.39</v>
      </c>
      <c r="W446" s="22">
        <f>IFERROR(__xludf.DUMMYFUNCTION("IFERROR(GOOGLEFINANCE(A446,""priceopen""),"""")"),720.0)</f>
        <v>720</v>
      </c>
      <c r="X446" s="22">
        <f>IFERROR(__xludf.DUMMYFUNCTION("IFERROR(GOOGLEFINANCE(A446,""high""),"""")"),735.0)</f>
        <v>735</v>
      </c>
      <c r="Y446" s="22">
        <f>IFERROR(__xludf.DUMMYFUNCTION("IFERROR(GOOGLEFINANCE(A446,""low""),"""")"),710.0)</f>
        <v>710</v>
      </c>
      <c r="Z446" s="22">
        <f>IFERROR(__xludf.DUMMYFUNCTION("IFERROR(GOOGLEFINANCE(A446,""volume""),"""")"),51600.0)</f>
        <v>51600</v>
      </c>
      <c r="AA446" s="24" t="str">
        <f>VLOOKUP(A446,Metrik!$C$2:$Y$959,5,0)</f>
        <v>Banks</v>
      </c>
      <c r="AB446" s="24" t="str">
        <f>VLOOKUP(A446,Metrik!$C$2:$Y$959,3,0)</f>
        <v>Financials</v>
      </c>
    </row>
    <row r="447">
      <c r="A447" s="14" t="s">
        <v>242</v>
      </c>
      <c r="B447" s="14" t="str">
        <f t="array" ref="B447">VLOOKUP(A447,{Metrik!$C$2:$C$998,Metrik!$B$2:$B$998},2,0)</f>
        <v>Bintang Samudera Mandiri Lines Tbk.</v>
      </c>
      <c r="C447" s="15">
        <f>IFERROR(__xludf.DUMMYFUNCTION("GOOGLEFINANCE(""IDX:""&amp;A447,""price"")"),428.0)</f>
        <v>428</v>
      </c>
      <c r="D447" s="16" t="str">
        <f>IFERROR(__xludf.DUMMYFUNCTION("IF(A447="""","""",
SPARKLINE(
INDEX(
GOOGLEFINANCE(""IDX:""&amp;A447,""close"",TODAY()-365,TODAY()),
,2
),
{""linewidth"",1}
))
"),"#N/A")</f>
        <v>#N/A</v>
      </c>
      <c r="E447" s="26"/>
      <c r="F447" s="26"/>
      <c r="G447" s="24">
        <f t="shared" si="2"/>
        <v>0</v>
      </c>
      <c r="H447" s="19">
        <f>VLOOKUP(A447,Metrik!$C$2:$Y$959,8,0)</f>
        <v>350</v>
      </c>
      <c r="I447" s="20">
        <f>VLOOKUP(A447,Metrik!$C$2:$Y$959,9,0)</f>
        <v>5.7</v>
      </c>
      <c r="J447" s="20">
        <f>VLOOKUP(A447,Metrik!$C$2:$Y$959,10,0)</f>
        <v>1.7</v>
      </c>
      <c r="K447" s="20">
        <f>VLOOKUP(A447,Metrik!$C$2:$Y$959,11,0)</f>
        <v>1.1</v>
      </c>
      <c r="L447" s="20">
        <f>VLOOKUP(A447,Metrik!$C$2:$Y$959,12,0)</f>
        <v>0.5</v>
      </c>
      <c r="M447" s="20">
        <f>VLOOKUP(A447,Metrik!$C$2:$Y$959,19,0)</f>
        <v>20.6</v>
      </c>
      <c r="N447" s="21"/>
      <c r="O447" s="21"/>
      <c r="P447" s="21"/>
      <c r="Q447" s="21"/>
      <c r="R447" s="21"/>
      <c r="S447" s="21"/>
      <c r="T447" s="21"/>
      <c r="U447" s="22">
        <f>IFERROR(__xludf.DUMMYFUNCTION("IFERROR(GOOGLEFINANCE(A447,""closeyest""),"""")"),402.0)</f>
        <v>402</v>
      </c>
      <c r="V447" s="23">
        <f>IFERROR(__xludf.DUMMYFUNCTION("IFERROR(GOOGLEFINANCE(A447,""changepct""),"""")"),6.47)</f>
        <v>6.47</v>
      </c>
      <c r="W447" s="22">
        <f>IFERROR(__xludf.DUMMYFUNCTION("IFERROR(GOOGLEFINANCE(A447,""priceopen""),"""")"),402.0)</f>
        <v>402</v>
      </c>
      <c r="X447" s="22">
        <f>IFERROR(__xludf.DUMMYFUNCTION("IFERROR(GOOGLEFINANCE(A447,""high""),"""")"),434.0)</f>
        <v>434</v>
      </c>
      <c r="Y447" s="22" t="str">
        <f>IFERROR(__xludf.DUMMYFUNCTION("IFERROR(GOOGLEFINANCE(A447,""low""),"""")"),"")</f>
        <v/>
      </c>
      <c r="Z447" s="22">
        <f>IFERROR(__xludf.DUMMYFUNCTION("IFERROR(GOOGLEFINANCE(A447,""volume""),"""")"),1.95699E7)</f>
        <v>19569900</v>
      </c>
      <c r="AA447" s="24" t="str">
        <f>VLOOKUP(A447,Metrik!$C$2:$Y$959,5,0)</f>
        <v>Coal</v>
      </c>
      <c r="AB447" s="24" t="str">
        <f>VLOOKUP(A447,Metrik!$C$2:$Y$959,3,0)</f>
        <v>Energy</v>
      </c>
    </row>
    <row r="448">
      <c r="A448" s="14" t="s">
        <v>243</v>
      </c>
      <c r="B448" s="14" t="str">
        <f t="array" ref="B448">VLOOKUP(A448,{Metrik!$C$2:$C$998,Metrik!$B$2:$B$998},2,0)</f>
        <v>Baramulti Suksessarana Tbk.</v>
      </c>
      <c r="C448" s="15">
        <f>IFERROR(__xludf.DUMMYFUNCTION("GOOGLEFINANCE(""IDX:""&amp;A448,""price"")"),4040.0)</f>
        <v>4040</v>
      </c>
      <c r="D448" s="16" t="str">
        <f>IFERROR(__xludf.DUMMYFUNCTION("IF(A448="""","""",
SPARKLINE(
INDEX(
GOOGLEFINANCE(""IDX:""&amp;A448,""close"",TODAY()-365,TODAY()),
,2
),
{""linewidth"",1}
))
"),"#N/A")</f>
        <v>#N/A</v>
      </c>
      <c r="E448" s="26"/>
      <c r="F448" s="26"/>
      <c r="G448" s="18">
        <f t="shared" si="2"/>
        <v>0</v>
      </c>
      <c r="H448" s="19">
        <f>VLOOKUP(A448,Metrik!$C$2:$Y$959,8,0)</f>
        <v>6.8</v>
      </c>
      <c r="I448" s="20">
        <f>VLOOKUP(A448,Metrik!$C$2:$Y$959,9,0)</f>
        <v>2</v>
      </c>
      <c r="J448" s="20">
        <f>VLOOKUP(A448,Metrik!$C$2:$Y$959,10,0)</f>
        <v>29.9</v>
      </c>
      <c r="K448" s="20">
        <f>VLOOKUP(A448,Metrik!$C$2:$Y$959,11,0)</f>
        <v>22.7</v>
      </c>
      <c r="L448" s="20">
        <f>VLOOKUP(A448,Metrik!$C$2:$Y$959,12,0)</f>
        <v>0.32</v>
      </c>
      <c r="M448" s="20">
        <f>VLOOKUP(A448,Metrik!$C$2:$Y$959,19,0)</f>
        <v>53.3</v>
      </c>
      <c r="N448" s="21"/>
      <c r="O448" s="21"/>
      <c r="P448" s="21"/>
      <c r="Q448" s="21"/>
      <c r="R448" s="21"/>
      <c r="S448" s="21"/>
      <c r="T448" s="21"/>
      <c r="U448" s="22">
        <f>IFERROR(__xludf.DUMMYFUNCTION("IFERROR(GOOGLEFINANCE(A448,""closeyest""),"""")"),4010.0)</f>
        <v>4010</v>
      </c>
      <c r="V448" s="23">
        <f>IFERROR(__xludf.DUMMYFUNCTION("IFERROR(GOOGLEFINANCE(A448,""changepct""),"""")"),0.75)</f>
        <v>0.75</v>
      </c>
      <c r="W448" s="22">
        <f>IFERROR(__xludf.DUMMYFUNCTION("IFERROR(GOOGLEFINANCE(A448,""priceopen""),"""")"),4010.0)</f>
        <v>4010</v>
      </c>
      <c r="X448" s="22">
        <f>IFERROR(__xludf.DUMMYFUNCTION("IFERROR(GOOGLEFINANCE(A448,""high""),"""")"),4050.0)</f>
        <v>4050</v>
      </c>
      <c r="Y448" s="22">
        <f>IFERROR(__xludf.DUMMYFUNCTION("IFERROR(GOOGLEFINANCE(A448,""low""),"""")"),4010.0)</f>
        <v>4010</v>
      </c>
      <c r="Z448" s="22">
        <f>IFERROR(__xludf.DUMMYFUNCTION("IFERROR(GOOGLEFINANCE(A448,""volume""),"""")"),374600.0)</f>
        <v>374600</v>
      </c>
      <c r="AA448" s="24" t="str">
        <f>VLOOKUP(A448,Metrik!$C$2:$Y$959,5,0)</f>
        <v>Coal</v>
      </c>
      <c r="AB448" s="24" t="str">
        <f>VLOOKUP(A448,Metrik!$C$2:$Y$959,3,0)</f>
        <v>Energy</v>
      </c>
    </row>
    <row r="449">
      <c r="A449" s="14" t="s">
        <v>244</v>
      </c>
      <c r="B449" s="14" t="str">
        <f t="array" ref="B449">VLOOKUP(A449,{Metrik!$C$2:$C$998,Metrik!$B$2:$B$998},2,0)</f>
        <v>Bank of India Indonesia Tbk</v>
      </c>
      <c r="C449" s="15">
        <f>IFERROR(__xludf.DUMMYFUNCTION("GOOGLEFINANCE(""IDX:""&amp;A449,""price"")"),1400.0)</f>
        <v>1400</v>
      </c>
      <c r="D449" s="16" t="str">
        <f>IFERROR(__xludf.DUMMYFUNCTION("IF(A449="""","""",
SPARKLINE(
INDEX(
GOOGLEFINANCE(""IDX:""&amp;A449,""close"",TODAY()-365,TODAY()),
,2
),
{""linewidth"",1}
))
"),"#N/A")</f>
        <v>#N/A</v>
      </c>
      <c r="E449" s="26"/>
      <c r="F449" s="26"/>
      <c r="G449" s="24">
        <f t="shared" si="2"/>
        <v>0</v>
      </c>
      <c r="H449" s="19">
        <f>VLOOKUP(A449,Metrik!$C$2:$Y$959,8,0)</f>
        <v>84.5</v>
      </c>
      <c r="I449" s="20">
        <f>VLOOKUP(A449,Metrik!$C$2:$Y$959,9,0)</f>
        <v>1.5</v>
      </c>
      <c r="J449" s="20">
        <f>VLOOKUP(A449,Metrik!$C$2:$Y$959,10,0)</f>
        <v>1.7</v>
      </c>
      <c r="K449" s="20">
        <f>VLOOKUP(A449,Metrik!$C$2:$Y$959,11,0)</f>
        <v>0.85</v>
      </c>
      <c r="L449" s="20">
        <f>VLOOKUP(A449,Metrik!$C$2:$Y$959,12,0)</f>
        <v>1</v>
      </c>
      <c r="M449" s="20">
        <f>VLOOKUP(A449,Metrik!$C$2:$Y$959,19,0)</f>
        <v>58.7</v>
      </c>
      <c r="N449" s="32">
        <v>2.68</v>
      </c>
      <c r="O449" s="32">
        <v>60.33</v>
      </c>
      <c r="P449" s="32">
        <v>81.19</v>
      </c>
      <c r="Q449" s="32">
        <v>91.24</v>
      </c>
      <c r="R449" s="32">
        <v>91.24</v>
      </c>
      <c r="S449" s="32">
        <v>72.58</v>
      </c>
      <c r="T449" s="32">
        <v>6.58</v>
      </c>
      <c r="U449" s="22">
        <f>IFERROR(__xludf.DUMMYFUNCTION("IFERROR(GOOGLEFINANCE(A449,""closeyest""),"""")"),1400.0)</f>
        <v>1400</v>
      </c>
      <c r="V449" s="23">
        <f>IFERROR(__xludf.DUMMYFUNCTION("IFERROR(GOOGLEFINANCE(A449,""changepct""),"""")"),0.0)</f>
        <v>0</v>
      </c>
      <c r="W449" s="22" t="str">
        <f>IFERROR(__xludf.DUMMYFUNCTION("IFERROR(GOOGLEFINANCE(A449,""priceopen""),"""")"),"")</f>
        <v/>
      </c>
      <c r="X449" s="22" t="str">
        <f>IFERROR(__xludf.DUMMYFUNCTION("IFERROR(GOOGLEFINANCE(A449,""high""),"""")"),"")</f>
        <v/>
      </c>
      <c r="Y449" s="22" t="str">
        <f>IFERROR(__xludf.DUMMYFUNCTION("IFERROR(GOOGLEFINANCE(A449,""low""),"""")"),"")</f>
        <v/>
      </c>
      <c r="Z449" s="22">
        <f>IFERROR(__xludf.DUMMYFUNCTION("IFERROR(GOOGLEFINANCE(A449,""volume""),"""")"),0.0)</f>
        <v>0</v>
      </c>
      <c r="AA449" s="24" t="str">
        <f>VLOOKUP(A449,Metrik!$C$2:$Y$959,5,0)</f>
        <v>Banks</v>
      </c>
      <c r="AB449" s="24" t="str">
        <f>VLOOKUP(A449,Metrik!$C$2:$Y$959,3,0)</f>
        <v>Financials</v>
      </c>
    </row>
    <row r="450">
      <c r="A450" s="14" t="s">
        <v>245</v>
      </c>
      <c r="B450" s="14" t="str">
        <f t="array" ref="B450">VLOOKUP(A450,{Metrik!$C$2:$C$998,Metrik!$B$2:$B$998},2,0)</f>
        <v>Bumi Teknokultura Unggul Tbk</v>
      </c>
      <c r="C450" s="15">
        <f>IFERROR(__xludf.DUMMYFUNCTION("GOOGLEFINANCE(""IDX:""&amp;A450,""price"")"),12.0)</f>
        <v>12</v>
      </c>
      <c r="D450" s="16" t="str">
        <f>IFERROR(__xludf.DUMMYFUNCTION("IF(A450="""","""",
SPARKLINE(
INDEX(
GOOGLEFINANCE(""IDX:""&amp;A450,""close"",TODAY()-365,TODAY()),
,2
),
{""linewidth"",1}
))
"),"#N/A")</f>
        <v>#N/A</v>
      </c>
      <c r="E450" s="26"/>
      <c r="F450" s="26"/>
      <c r="G450" s="24">
        <f t="shared" si="2"/>
        <v>0</v>
      </c>
      <c r="H450" s="19">
        <f>VLOOKUP(A450,Metrik!$C$2:$Y$959,8,0)</f>
        <v>-1.4</v>
      </c>
      <c r="I450" s="20">
        <f>VLOOKUP(A450,Metrik!$C$2:$Y$959,9,0)</f>
        <v>2.1</v>
      </c>
      <c r="J450" s="20">
        <f>VLOOKUP(A450,Metrik!$C$2:$Y$959,10,0)</f>
        <v>-150</v>
      </c>
      <c r="K450" s="20">
        <f>VLOOKUP(A450,Metrik!$C$2:$Y$959,11,0)</f>
        <v>-11.5</v>
      </c>
      <c r="L450" s="20">
        <f>VLOOKUP(A450,Metrik!$C$2:$Y$959,12,0)</f>
        <v>12.4</v>
      </c>
      <c r="M450" s="20">
        <f>VLOOKUP(A450,Metrik!$C$2:$Y$959,19,0)</f>
        <v>-8730</v>
      </c>
      <c r="N450" s="21"/>
      <c r="O450" s="21"/>
      <c r="P450" s="21"/>
      <c r="Q450" s="21"/>
      <c r="R450" s="21"/>
      <c r="S450" s="21"/>
      <c r="T450" s="21"/>
      <c r="U450" s="22">
        <f>IFERROR(__xludf.DUMMYFUNCTION("IFERROR(GOOGLEFINANCE(A450,""closeyest""),"""")"),6.43)</f>
        <v>6.43</v>
      </c>
      <c r="V450" s="23">
        <f>IFERROR(__xludf.DUMMYFUNCTION("IFERROR(GOOGLEFINANCE(A450,""changepct""),"""")"),0.35)</f>
        <v>0.35</v>
      </c>
      <c r="W450" s="22">
        <f>IFERROR(__xludf.DUMMYFUNCTION("IFERROR(GOOGLEFINANCE(A450,""priceopen""),"""")"),6.42)</f>
        <v>6.42</v>
      </c>
      <c r="X450" s="22">
        <f>IFERROR(__xludf.DUMMYFUNCTION("IFERROR(GOOGLEFINANCE(A450,""high""),"""")"),6.49)</f>
        <v>6.49</v>
      </c>
      <c r="Y450" s="22">
        <f>IFERROR(__xludf.DUMMYFUNCTION("IFERROR(GOOGLEFINANCE(A450,""low""),"""")"),6.42)</f>
        <v>6.42</v>
      </c>
      <c r="Z450" s="22">
        <f>IFERROR(__xludf.DUMMYFUNCTION("IFERROR(GOOGLEFINANCE(A450,""volume""),"""")"),23504.0)</f>
        <v>23504</v>
      </c>
      <c r="AA450" s="24" t="str">
        <f>VLOOKUP(A450,Metrik!$C$2:$Y$959,5,0)</f>
        <v>Agricultural Products</v>
      </c>
      <c r="AB450" s="24" t="str">
        <f>VLOOKUP(A450,Metrik!$C$2:$Y$959,3,0)</f>
        <v>Consumer Non-Cyclicals</v>
      </c>
    </row>
    <row r="451">
      <c r="A451" s="14" t="s">
        <v>246</v>
      </c>
      <c r="B451" s="14" t="str">
        <f t="array" ref="B451">VLOOKUP(A451,{Metrik!$C$2:$C$998,Metrik!$B$2:$B$998},2,0)</f>
        <v>Bakrie Telecom Tbk</v>
      </c>
      <c r="C451" s="15">
        <f>IFERROR(__xludf.DUMMYFUNCTION("GOOGLEFINANCE(""IDX:""&amp;A451,""price"")"),50.0)</f>
        <v>50</v>
      </c>
      <c r="D451" s="16" t="str">
        <f>IFERROR(__xludf.DUMMYFUNCTION("IF(A451="""","""",
SPARKLINE(
INDEX(
GOOGLEFINANCE(""IDX:""&amp;A451,""close"",TODAY()-365,TODAY()),
,2
),
{""linewidth"",1}
))
"),"#N/A")</f>
        <v>#N/A</v>
      </c>
      <c r="E451" s="26"/>
      <c r="F451" s="26"/>
      <c r="G451" s="24">
        <f t="shared" si="2"/>
        <v>0</v>
      </c>
      <c r="H451" s="19">
        <f>VLOOKUP(A451,Metrik!$C$2:$Y$959,8,0)</f>
        <v>-41.6</v>
      </c>
      <c r="I451" s="20">
        <f>VLOOKUP(A451,Metrik!$C$2:$Y$959,9,0)</f>
        <v>-0.31</v>
      </c>
      <c r="J451" s="20">
        <f>VLOOKUP(A451,Metrik!$C$2:$Y$959,10,0)</f>
        <v>0</v>
      </c>
      <c r="K451" s="20">
        <f>VLOOKUP(A451,Metrik!$C$2:$Y$959,11,0)</f>
        <v>-76.7</v>
      </c>
      <c r="L451" s="20">
        <f>VLOOKUP(A451,Metrik!$C$2:$Y$959,12,0)</f>
        <v>-1</v>
      </c>
      <c r="M451" s="20">
        <f>VLOOKUP(A451,Metrik!$C$2:$Y$959,19,0)</f>
        <v>-51.6</v>
      </c>
      <c r="N451" s="21"/>
      <c r="O451" s="21"/>
      <c r="P451" s="21"/>
      <c r="Q451" s="21"/>
      <c r="R451" s="21"/>
      <c r="S451" s="21"/>
      <c r="T451" s="21"/>
      <c r="U451" s="22">
        <f>IFERROR(__xludf.DUMMYFUNCTION("IFERROR(GOOGLEFINANCE(A451,""closeyest""),"""")"),50.0)</f>
        <v>50</v>
      </c>
      <c r="V451" s="23">
        <f>IFERROR(__xludf.DUMMYFUNCTION("IFERROR(GOOGLEFINANCE(A451,""changepct""),"""")"),0.0)</f>
        <v>0</v>
      </c>
      <c r="W451" s="22" t="str">
        <f>IFERROR(__xludf.DUMMYFUNCTION("IFERROR(GOOGLEFINANCE(A451,""priceopen""),"""")"),"")</f>
        <v/>
      </c>
      <c r="X451" s="22" t="str">
        <f>IFERROR(__xludf.DUMMYFUNCTION("IFERROR(GOOGLEFINANCE(A451,""high""),"""")"),"")</f>
        <v/>
      </c>
      <c r="Y451" s="22" t="str">
        <f>IFERROR(__xludf.DUMMYFUNCTION("IFERROR(GOOGLEFINANCE(A451,""low""),"""")"),"")</f>
        <v/>
      </c>
      <c r="Z451" s="22">
        <f>IFERROR(__xludf.DUMMYFUNCTION("IFERROR(GOOGLEFINANCE(A451,""volume""),"""")"),0.0)</f>
        <v>0</v>
      </c>
      <c r="AA451" s="24" t="str">
        <f>VLOOKUP(A451,Metrik!$C$2:$Y$959,5,0)</f>
        <v>Wireless Telecommunication Services</v>
      </c>
      <c r="AB451" s="24" t="str">
        <f>VLOOKUP(A451,Metrik!$C$2:$Y$959,3,0)</f>
        <v>Infrastructures</v>
      </c>
    </row>
    <row r="452">
      <c r="A452" s="14" t="s">
        <v>247</v>
      </c>
      <c r="B452" s="14" t="str">
        <f t="array" ref="B452">VLOOKUP(A452,{Metrik!$C$2:$C$998,Metrik!$B$2:$B$998},2,0)</f>
        <v>Betonjaya Manunggal Tbk.</v>
      </c>
      <c r="C452" s="15">
        <f>IFERROR(__xludf.DUMMYFUNCTION("GOOGLEFINANCE(""IDX:""&amp;A452,""price"")"),344.0)</f>
        <v>344</v>
      </c>
      <c r="D452" s="16" t="str">
        <f>IFERROR(__xludf.DUMMYFUNCTION("IF(A452="""","""",
SPARKLINE(
INDEX(
GOOGLEFINANCE(""IDX:""&amp;A452,""close"",TODAY()-365,TODAY()),
,2
),
{""linewidth"",1}
))
"),"#N/A")</f>
        <v>#N/A</v>
      </c>
      <c r="E452" s="26"/>
      <c r="F452" s="26"/>
      <c r="G452" s="24">
        <f t="shared" si="2"/>
        <v>0</v>
      </c>
      <c r="H452" s="19">
        <f>VLOOKUP(A452,Metrik!$C$2:$Y$959,8,0)</f>
        <v>12.6</v>
      </c>
      <c r="I452" s="20">
        <f>VLOOKUP(A452,Metrik!$C$2:$Y$959,9,0)</f>
        <v>0.87</v>
      </c>
      <c r="J452" s="20">
        <f>VLOOKUP(A452,Metrik!$C$2:$Y$959,10,0)</f>
        <v>6.9</v>
      </c>
      <c r="K452" s="20">
        <f>VLOOKUP(A452,Metrik!$C$2:$Y$959,11,0)</f>
        <v>4.7</v>
      </c>
      <c r="L452" s="20">
        <f>VLOOKUP(A452,Metrik!$C$2:$Y$959,12,0)</f>
        <v>0.48</v>
      </c>
      <c r="M452" s="20">
        <f>VLOOKUP(A452,Metrik!$C$2:$Y$959,19,0)</f>
        <v>69.6</v>
      </c>
      <c r="N452" s="21"/>
      <c r="O452" s="21"/>
      <c r="P452" s="21"/>
      <c r="Q452" s="21"/>
      <c r="R452" s="21"/>
      <c r="S452" s="21"/>
      <c r="T452" s="21"/>
      <c r="U452" s="22">
        <f>IFERROR(__xludf.DUMMYFUNCTION("IFERROR(GOOGLEFINANCE(A452,""closeyest""),"""")"),342.0)</f>
        <v>342</v>
      </c>
      <c r="V452" s="23">
        <f>IFERROR(__xludf.DUMMYFUNCTION("IFERROR(GOOGLEFINANCE(A452,""changepct""),"""")"),0.58)</f>
        <v>0.58</v>
      </c>
      <c r="W452" s="22">
        <f>IFERROR(__xludf.DUMMYFUNCTION("IFERROR(GOOGLEFINANCE(A452,""priceopen""),"""")"),322.0)</f>
        <v>322</v>
      </c>
      <c r="X452" s="22">
        <f>IFERROR(__xludf.DUMMYFUNCTION("IFERROR(GOOGLEFINANCE(A452,""high""),"""")"),354.0)</f>
        <v>354</v>
      </c>
      <c r="Y452" s="22">
        <f>IFERROR(__xludf.DUMMYFUNCTION("IFERROR(GOOGLEFINANCE(A452,""low""),"""")"),322.0)</f>
        <v>322</v>
      </c>
      <c r="Z452" s="22">
        <f>IFERROR(__xludf.DUMMYFUNCTION("IFERROR(GOOGLEFINANCE(A452,""volume""),"""")"),4700.0)</f>
        <v>4700</v>
      </c>
      <c r="AA452" s="24" t="str">
        <f>VLOOKUP(A452,Metrik!$C$2:$Y$959,5,0)</f>
        <v>Metals &amp; Minerals</v>
      </c>
      <c r="AB452" s="24" t="str">
        <f>VLOOKUP(A452,Metrik!$C$2:$Y$959,3,0)</f>
        <v>Basic Materials</v>
      </c>
    </row>
    <row r="453">
      <c r="A453" s="14" t="s">
        <v>248</v>
      </c>
      <c r="B453" s="14" t="str">
        <f t="array" ref="B453">VLOOKUP(A453,{Metrik!$C$2:$C$998,Metrik!$B$2:$B$998},2,0)</f>
        <v>Bank SMBC Indonesia Tbk.</v>
      </c>
      <c r="C453" s="15">
        <f>IFERROR(__xludf.DUMMYFUNCTION("GOOGLEFINANCE(""IDX:""&amp;A453,""price"")"),2140.0)</f>
        <v>2140</v>
      </c>
      <c r="D453" s="16" t="str">
        <f>IFERROR(__xludf.DUMMYFUNCTION("IF(A453="""","""",
SPARKLINE(
INDEX(
GOOGLEFINANCE(""IDX:""&amp;A453,""close"",TODAY()-365,TODAY()),
,2
),
{""linewidth"",1}
))
"),"#N/A")</f>
        <v>#N/A</v>
      </c>
      <c r="E453" s="14" t="s">
        <v>162</v>
      </c>
      <c r="F453" s="14" t="s">
        <v>76</v>
      </c>
      <c r="G453" s="24">
        <f t="shared" si="2"/>
        <v>1</v>
      </c>
      <c r="H453" s="19">
        <f>VLOOKUP(A453,Metrik!$C$2:$Y$959,8,0)</f>
        <v>55.1</v>
      </c>
      <c r="I453" s="20">
        <f>VLOOKUP(A453,Metrik!$C$2:$Y$959,9,0)</f>
        <v>0.46</v>
      </c>
      <c r="J453" s="20">
        <f>VLOOKUP(A453,Metrik!$C$2:$Y$959,10,0)</f>
        <v>0.84</v>
      </c>
      <c r="K453" s="20">
        <f>VLOOKUP(A453,Metrik!$C$2:$Y$959,11,0)</f>
        <v>0.18</v>
      </c>
      <c r="L453" s="20">
        <f>VLOOKUP(A453,Metrik!$C$2:$Y$959,12,0)</f>
        <v>3.4</v>
      </c>
      <c r="M453" s="20">
        <f>VLOOKUP(A453,Metrik!$C$2:$Y$959,19,0)</f>
        <v>7</v>
      </c>
      <c r="N453" s="44">
        <v>6.4</v>
      </c>
      <c r="O453" s="44">
        <v>29.8</v>
      </c>
      <c r="P453" s="44">
        <v>92.2</v>
      </c>
      <c r="Q453" s="44">
        <v>1.3</v>
      </c>
      <c r="R453" s="44">
        <v>83.5</v>
      </c>
      <c r="S453" s="44">
        <v>53.2</v>
      </c>
      <c r="T453" s="44">
        <v>11.4</v>
      </c>
      <c r="U453" s="22">
        <f>IFERROR(__xludf.DUMMYFUNCTION("IFERROR(GOOGLEFINANCE(A453,""closeyest""),"""")"),2140.0)</f>
        <v>2140</v>
      </c>
      <c r="V453" s="23">
        <f>IFERROR(__xludf.DUMMYFUNCTION("IFERROR(GOOGLEFINANCE(A453,""changepct""),"""")"),0.0)</f>
        <v>0</v>
      </c>
      <c r="W453" s="22">
        <f>IFERROR(__xludf.DUMMYFUNCTION("IFERROR(GOOGLEFINANCE(A453,""priceopen""),"""")"),2140.0)</f>
        <v>2140</v>
      </c>
      <c r="X453" s="22">
        <f>IFERROR(__xludf.DUMMYFUNCTION("IFERROR(GOOGLEFINANCE(A453,""high""),"""")"),2140.0)</f>
        <v>2140</v>
      </c>
      <c r="Y453" s="22">
        <f>IFERROR(__xludf.DUMMYFUNCTION("IFERROR(GOOGLEFINANCE(A453,""low""),"""")"),2070.0)</f>
        <v>2070</v>
      </c>
      <c r="Z453" s="22">
        <f>IFERROR(__xludf.DUMMYFUNCTION("IFERROR(GOOGLEFINANCE(A453,""volume""),"""")"),190900.0)</f>
        <v>190900</v>
      </c>
      <c r="AA453" s="24" t="str">
        <f>VLOOKUP(A453,Metrik!$C$2:$Y$959,5,0)</f>
        <v>Banks</v>
      </c>
      <c r="AB453" s="24" t="str">
        <f>VLOOKUP(A453,Metrik!$C$2:$Y$959,3,0)</f>
        <v>Financials</v>
      </c>
    </row>
    <row r="454">
      <c r="A454" s="14" t="s">
        <v>249</v>
      </c>
      <c r="B454" s="14" t="str">
        <f t="array" ref="B454">VLOOKUP(A454,{Metrik!$C$2:$C$998,Metrik!$B$2:$B$998},2,0)</f>
        <v>Bank BTPN Syariah Tbk.</v>
      </c>
      <c r="C454" s="15">
        <f>IFERROR(__xludf.DUMMYFUNCTION("GOOGLEFINANCE(""IDX:""&amp;A454,""price"")"),965.0)</f>
        <v>965</v>
      </c>
      <c r="D454" s="16" t="str">
        <f>IFERROR(__xludf.DUMMYFUNCTION("IF(A454="""","""",
SPARKLINE(
INDEX(
GOOGLEFINANCE(""IDX:""&amp;A454,""close"",TODAY()-365,TODAY()),
,2
),
{""linewidth"",1}
))
"),"#N/A")</f>
        <v>#N/A</v>
      </c>
      <c r="E454" s="14" t="s">
        <v>47</v>
      </c>
      <c r="F454" s="25">
        <v>46356.0</v>
      </c>
      <c r="G454" s="24">
        <f t="shared" si="2"/>
        <v>7</v>
      </c>
      <c r="H454" s="19">
        <f>VLOOKUP(A454,Metrik!$C$2:$Y$959,8,0)</f>
        <v>5.9</v>
      </c>
      <c r="I454" s="20">
        <f>VLOOKUP(A454,Metrik!$C$2:$Y$959,9,0)</f>
        <v>0.7</v>
      </c>
      <c r="J454" s="20">
        <f>VLOOKUP(A454,Metrik!$C$2:$Y$959,10,0)</f>
        <v>11.8</v>
      </c>
      <c r="K454" s="20">
        <f>VLOOKUP(A454,Metrik!$C$2:$Y$959,11,0)</f>
        <v>5.2</v>
      </c>
      <c r="L454" s="20">
        <f>VLOOKUP(A454,Metrik!$C$2:$Y$959,12,0)</f>
        <v>0.28</v>
      </c>
      <c r="M454" s="20">
        <f>VLOOKUP(A454,Metrik!$C$2:$Y$959,19,0)</f>
        <v>110</v>
      </c>
      <c r="N454" s="44">
        <v>21.7</v>
      </c>
      <c r="O454" s="44">
        <v>57.74</v>
      </c>
      <c r="P454" s="44">
        <v>84.7</v>
      </c>
      <c r="Q454" s="44">
        <v>2.59</v>
      </c>
      <c r="R454" s="44">
        <v>79.28</v>
      </c>
      <c r="S454" s="44">
        <v>48.82</v>
      </c>
      <c r="T454" s="47"/>
      <c r="U454" s="22">
        <f>IFERROR(__xludf.DUMMYFUNCTION("IFERROR(GOOGLEFINANCE(A454,""closeyest""),"""")"),935.0)</f>
        <v>935</v>
      </c>
      <c r="V454" s="23" t="str">
        <f>IFERROR(__xludf.DUMMYFUNCTION("IFERROR(GOOGLEFINANCE(A454,""changepct""),"""")"),"")</f>
        <v/>
      </c>
      <c r="W454" s="22">
        <f>IFERROR(__xludf.DUMMYFUNCTION("IFERROR(GOOGLEFINANCE(A454,""priceopen""),"""")"),935.0)</f>
        <v>935</v>
      </c>
      <c r="X454" s="22">
        <f>IFERROR(__xludf.DUMMYFUNCTION("IFERROR(GOOGLEFINANCE(A454,""high""),"""")"),980.0)</f>
        <v>980</v>
      </c>
      <c r="Y454" s="22">
        <f>IFERROR(__xludf.DUMMYFUNCTION("IFERROR(GOOGLEFINANCE(A454,""low""),"""")"),930.0)</f>
        <v>930</v>
      </c>
      <c r="Z454" s="22">
        <f>IFERROR(__xludf.DUMMYFUNCTION("IFERROR(GOOGLEFINANCE(A454,""volume""),"""")"),5453300.0)</f>
        <v>5453300</v>
      </c>
      <c r="AA454" s="24" t="str">
        <f>VLOOKUP(A454,Metrik!$C$2:$Y$959,5,0)</f>
        <v>Banks</v>
      </c>
      <c r="AB454" s="24" t="str">
        <f>VLOOKUP(A454,Metrik!$C$2:$Y$959,3,0)</f>
        <v>Financials</v>
      </c>
    </row>
    <row r="455">
      <c r="A455" s="14" t="s">
        <v>249</v>
      </c>
      <c r="B455" s="14" t="str">
        <f t="array" ref="B455">VLOOKUP(A455,{Metrik!$C$2:$C$998,Metrik!$B$2:$B$998},2,0)</f>
        <v>Bank BTPN Syariah Tbk.</v>
      </c>
      <c r="C455" s="15">
        <f>IFERROR(__xludf.DUMMYFUNCTION("GOOGLEFINANCE(""IDX:""&amp;A455,""price"")"),965.0)</f>
        <v>965</v>
      </c>
      <c r="D455" s="16" t="str">
        <f>IFERROR(__xludf.DUMMYFUNCTION("IF(A455="""","""",
SPARKLINE(
INDEX(
GOOGLEFINANCE(""IDX:""&amp;A455,""close"",TODAY()-365,TODAY()),
,2
),
{""linewidth"",1}
))
"),"#N/A")</f>
        <v>#N/A</v>
      </c>
      <c r="E455" s="14" t="s">
        <v>54</v>
      </c>
      <c r="F455" s="14" t="s">
        <v>34</v>
      </c>
      <c r="G455" s="24">
        <f t="shared" si="2"/>
        <v>7</v>
      </c>
      <c r="H455" s="19">
        <f>VLOOKUP(A455,Metrik!$C$2:$Y$959,8,0)</f>
        <v>5.9</v>
      </c>
      <c r="I455" s="20">
        <f>VLOOKUP(A455,Metrik!$C$2:$Y$959,9,0)</f>
        <v>0.7</v>
      </c>
      <c r="J455" s="20">
        <f>VLOOKUP(A455,Metrik!$C$2:$Y$959,10,0)</f>
        <v>11.8</v>
      </c>
      <c r="K455" s="20">
        <f>VLOOKUP(A455,Metrik!$C$2:$Y$959,11,0)</f>
        <v>5.2</v>
      </c>
      <c r="L455" s="20">
        <f>VLOOKUP(A455,Metrik!$C$2:$Y$959,12,0)</f>
        <v>0.28</v>
      </c>
      <c r="M455" s="20">
        <f>VLOOKUP(A455,Metrik!$C$2:$Y$959,19,0)</f>
        <v>110</v>
      </c>
      <c r="N455" s="44">
        <v>21.7</v>
      </c>
      <c r="O455" s="44">
        <v>57.74</v>
      </c>
      <c r="P455" s="44">
        <v>84.7</v>
      </c>
      <c r="Q455" s="44">
        <v>2.59</v>
      </c>
      <c r="R455" s="44">
        <v>79.28</v>
      </c>
      <c r="S455" s="44">
        <v>48.82</v>
      </c>
      <c r="T455" s="47"/>
      <c r="U455" s="22">
        <f>IFERROR(__xludf.DUMMYFUNCTION("IFERROR(GOOGLEFINANCE(A455,""closeyest""),"""")"),935.0)</f>
        <v>935</v>
      </c>
      <c r="V455" s="23" t="str">
        <f>IFERROR(__xludf.DUMMYFUNCTION("IFERROR(GOOGLEFINANCE(A455,""changepct""),"""")"),"")</f>
        <v/>
      </c>
      <c r="W455" s="22">
        <f>IFERROR(__xludf.DUMMYFUNCTION("IFERROR(GOOGLEFINANCE(A455,""priceopen""),"""")"),935.0)</f>
        <v>935</v>
      </c>
      <c r="X455" s="22">
        <f>IFERROR(__xludf.DUMMYFUNCTION("IFERROR(GOOGLEFINANCE(A455,""high""),"""")"),980.0)</f>
        <v>980</v>
      </c>
      <c r="Y455" s="22">
        <f>IFERROR(__xludf.DUMMYFUNCTION("IFERROR(GOOGLEFINANCE(A455,""low""),"""")"),930.0)</f>
        <v>930</v>
      </c>
      <c r="Z455" s="22">
        <f>IFERROR(__xludf.DUMMYFUNCTION("IFERROR(GOOGLEFINANCE(A455,""volume""),"""")"),5453300.0)</f>
        <v>5453300</v>
      </c>
      <c r="AA455" s="24" t="str">
        <f>VLOOKUP(A455,Metrik!$C$2:$Y$959,5,0)</f>
        <v>Banks</v>
      </c>
      <c r="AB455" s="24" t="str">
        <f>VLOOKUP(A455,Metrik!$C$2:$Y$959,3,0)</f>
        <v>Financials</v>
      </c>
    </row>
    <row r="456">
      <c r="A456" s="14" t="s">
        <v>249</v>
      </c>
      <c r="B456" s="14" t="str">
        <f t="array" ref="B456">VLOOKUP(A456,{Metrik!$C$2:$C$998,Metrik!$B$2:$B$998},2,0)</f>
        <v>Bank BTPN Syariah Tbk.</v>
      </c>
      <c r="C456" s="15">
        <f>IFERROR(__xludf.DUMMYFUNCTION("GOOGLEFINANCE(""IDX:""&amp;A456,""price"")"),965.0)</f>
        <v>965</v>
      </c>
      <c r="D456" s="16" t="str">
        <f>IFERROR(__xludf.DUMMYFUNCTION("IF(A456="""","""",
SPARKLINE(
INDEX(
GOOGLEFINANCE(""IDX:""&amp;A456,""close"",TODAY()-365,TODAY()),
,2
),
{""linewidth"",1}
))
"),"#N/A")</f>
        <v>#N/A</v>
      </c>
      <c r="E456" s="14" t="s">
        <v>33</v>
      </c>
      <c r="F456" s="14" t="s">
        <v>34</v>
      </c>
      <c r="G456" s="24">
        <f t="shared" si="2"/>
        <v>7</v>
      </c>
      <c r="H456" s="19">
        <f>VLOOKUP(A456,Metrik!$C$2:$Y$959,8,0)</f>
        <v>5.9</v>
      </c>
      <c r="I456" s="20">
        <f>VLOOKUP(A456,Metrik!$C$2:$Y$959,9,0)</f>
        <v>0.7</v>
      </c>
      <c r="J456" s="20">
        <f>VLOOKUP(A456,Metrik!$C$2:$Y$959,10,0)</f>
        <v>11.8</v>
      </c>
      <c r="K456" s="20">
        <f>VLOOKUP(A456,Metrik!$C$2:$Y$959,11,0)</f>
        <v>5.2</v>
      </c>
      <c r="L456" s="20">
        <f>VLOOKUP(A456,Metrik!$C$2:$Y$959,12,0)</f>
        <v>0.28</v>
      </c>
      <c r="M456" s="20">
        <f>VLOOKUP(A456,Metrik!$C$2:$Y$959,19,0)</f>
        <v>110</v>
      </c>
      <c r="N456" s="44">
        <v>21.7</v>
      </c>
      <c r="O456" s="44">
        <v>57.74</v>
      </c>
      <c r="P456" s="44">
        <v>84.7</v>
      </c>
      <c r="Q456" s="44">
        <v>2.59</v>
      </c>
      <c r="R456" s="44">
        <v>79.28</v>
      </c>
      <c r="S456" s="44">
        <v>48.82</v>
      </c>
      <c r="T456" s="47"/>
      <c r="U456" s="22">
        <f>IFERROR(__xludf.DUMMYFUNCTION("IFERROR(GOOGLEFINANCE(A456,""closeyest""),"""")"),935.0)</f>
        <v>935</v>
      </c>
      <c r="V456" s="23" t="str">
        <f>IFERROR(__xludf.DUMMYFUNCTION("IFERROR(GOOGLEFINANCE(A456,""changepct""),"""")"),"")</f>
        <v/>
      </c>
      <c r="W456" s="22">
        <f>IFERROR(__xludf.DUMMYFUNCTION("IFERROR(GOOGLEFINANCE(A456,""priceopen""),"""")"),935.0)</f>
        <v>935</v>
      </c>
      <c r="X456" s="22">
        <f>IFERROR(__xludf.DUMMYFUNCTION("IFERROR(GOOGLEFINANCE(A456,""high""),"""")"),980.0)</f>
        <v>980</v>
      </c>
      <c r="Y456" s="22">
        <f>IFERROR(__xludf.DUMMYFUNCTION("IFERROR(GOOGLEFINANCE(A456,""low""),"""")"),930.0)</f>
        <v>930</v>
      </c>
      <c r="Z456" s="22">
        <f>IFERROR(__xludf.DUMMYFUNCTION("IFERROR(GOOGLEFINANCE(A456,""volume""),"""")"),5453300.0)</f>
        <v>5453300</v>
      </c>
      <c r="AA456" s="24" t="str">
        <f>VLOOKUP(A456,Metrik!$C$2:$Y$959,5,0)</f>
        <v>Banks</v>
      </c>
      <c r="AB456" s="24" t="str">
        <f>VLOOKUP(A456,Metrik!$C$2:$Y$959,3,0)</f>
        <v>Financials</v>
      </c>
    </row>
    <row r="457">
      <c r="A457" s="14" t="s">
        <v>249</v>
      </c>
      <c r="B457" s="14" t="str">
        <f t="array" ref="B457">VLOOKUP(A457,{Metrik!$C$2:$C$998,Metrik!$B$2:$B$998},2,0)</f>
        <v>Bank BTPN Syariah Tbk.</v>
      </c>
      <c r="C457" s="15">
        <f>IFERROR(__xludf.DUMMYFUNCTION("GOOGLEFINANCE(""IDX:""&amp;A457,""price"")"),965.0)</f>
        <v>965</v>
      </c>
      <c r="D457" s="16" t="str">
        <f>IFERROR(__xludf.DUMMYFUNCTION("IF(A457="""","""",
SPARKLINE(
INDEX(
GOOGLEFINANCE(""IDX:""&amp;A457,""close"",TODAY()-365,TODAY()),
,2
),
{""linewidth"",1}
))
"),"#N/A")</f>
        <v>#N/A</v>
      </c>
      <c r="E457" s="14" t="s">
        <v>75</v>
      </c>
      <c r="F457" s="14" t="s">
        <v>76</v>
      </c>
      <c r="G457" s="24">
        <f t="shared" si="2"/>
        <v>7</v>
      </c>
      <c r="H457" s="19">
        <f>VLOOKUP(A457,Metrik!$C$2:$Y$959,8,0)</f>
        <v>5.9</v>
      </c>
      <c r="I457" s="20">
        <f>VLOOKUP(A457,Metrik!$C$2:$Y$959,9,0)</f>
        <v>0.7</v>
      </c>
      <c r="J457" s="20">
        <f>VLOOKUP(A457,Metrik!$C$2:$Y$959,10,0)</f>
        <v>11.8</v>
      </c>
      <c r="K457" s="20">
        <f>VLOOKUP(A457,Metrik!$C$2:$Y$959,11,0)</f>
        <v>5.2</v>
      </c>
      <c r="L457" s="20">
        <f>VLOOKUP(A457,Metrik!$C$2:$Y$959,12,0)</f>
        <v>0.28</v>
      </c>
      <c r="M457" s="20">
        <f>VLOOKUP(A457,Metrik!$C$2:$Y$959,19,0)</f>
        <v>110</v>
      </c>
      <c r="N457" s="44">
        <v>21.7</v>
      </c>
      <c r="O457" s="44">
        <v>57.74</v>
      </c>
      <c r="P457" s="44">
        <v>84.7</v>
      </c>
      <c r="Q457" s="44">
        <v>2.59</v>
      </c>
      <c r="R457" s="44">
        <v>79.28</v>
      </c>
      <c r="S457" s="44">
        <v>48.82</v>
      </c>
      <c r="T457" s="47"/>
      <c r="U457" s="22">
        <f>IFERROR(__xludf.DUMMYFUNCTION("IFERROR(GOOGLEFINANCE(A457,""closeyest""),"""")"),935.0)</f>
        <v>935</v>
      </c>
      <c r="V457" s="23" t="str">
        <f>IFERROR(__xludf.DUMMYFUNCTION("IFERROR(GOOGLEFINANCE(A457,""changepct""),"""")"),"")</f>
        <v/>
      </c>
      <c r="W457" s="22">
        <f>IFERROR(__xludf.DUMMYFUNCTION("IFERROR(GOOGLEFINANCE(A457,""priceopen""),"""")"),935.0)</f>
        <v>935</v>
      </c>
      <c r="X457" s="22">
        <f>IFERROR(__xludf.DUMMYFUNCTION("IFERROR(GOOGLEFINANCE(A457,""high""),"""")"),980.0)</f>
        <v>980</v>
      </c>
      <c r="Y457" s="22">
        <f>IFERROR(__xludf.DUMMYFUNCTION("IFERROR(GOOGLEFINANCE(A457,""low""),"""")"),930.0)</f>
        <v>930</v>
      </c>
      <c r="Z457" s="22">
        <f>IFERROR(__xludf.DUMMYFUNCTION("IFERROR(GOOGLEFINANCE(A457,""volume""),"""")"),5453300.0)</f>
        <v>5453300</v>
      </c>
      <c r="AA457" s="24" t="str">
        <f>VLOOKUP(A457,Metrik!$C$2:$Y$959,5,0)</f>
        <v>Banks</v>
      </c>
      <c r="AB457" s="24" t="str">
        <f>VLOOKUP(A457,Metrik!$C$2:$Y$959,3,0)</f>
        <v>Financials</v>
      </c>
    </row>
    <row r="458">
      <c r="A458" s="14" t="s">
        <v>249</v>
      </c>
      <c r="B458" s="14" t="str">
        <f t="array" ref="B458">VLOOKUP(A458,{Metrik!$C$2:$C$998,Metrik!$B$2:$B$998},2,0)</f>
        <v>Bank BTPN Syariah Tbk.</v>
      </c>
      <c r="C458" s="15">
        <f>IFERROR(__xludf.DUMMYFUNCTION("GOOGLEFINANCE(""IDX:""&amp;A458,""price"")"),965.0)</f>
        <v>965</v>
      </c>
      <c r="D458" s="16" t="str">
        <f>IFERROR(__xludf.DUMMYFUNCTION("IF(A458="""","""",
SPARKLINE(
INDEX(
GOOGLEFINANCE(""IDX:""&amp;A458,""close"",TODAY()-365,TODAY()),
,2
),
{""linewidth"",1}
))
"),"#N/A")</f>
        <v>#N/A</v>
      </c>
      <c r="E458" s="14" t="s">
        <v>32</v>
      </c>
      <c r="F458" s="14" t="s">
        <v>29</v>
      </c>
      <c r="G458" s="24">
        <f t="shared" si="2"/>
        <v>7</v>
      </c>
      <c r="H458" s="19">
        <f>VLOOKUP(A458,Metrik!$C$2:$Y$959,8,0)</f>
        <v>5.9</v>
      </c>
      <c r="I458" s="20">
        <f>VLOOKUP(A458,Metrik!$C$2:$Y$959,9,0)</f>
        <v>0.7</v>
      </c>
      <c r="J458" s="20">
        <f>VLOOKUP(A458,Metrik!$C$2:$Y$959,10,0)</f>
        <v>11.8</v>
      </c>
      <c r="K458" s="20">
        <f>VLOOKUP(A458,Metrik!$C$2:$Y$959,11,0)</f>
        <v>5.2</v>
      </c>
      <c r="L458" s="20">
        <f>VLOOKUP(A458,Metrik!$C$2:$Y$959,12,0)</f>
        <v>0.28</v>
      </c>
      <c r="M458" s="20">
        <f>VLOOKUP(A458,Metrik!$C$2:$Y$959,19,0)</f>
        <v>110</v>
      </c>
      <c r="N458" s="44">
        <v>21.7</v>
      </c>
      <c r="O458" s="44">
        <v>57.74</v>
      </c>
      <c r="P458" s="44">
        <v>84.7</v>
      </c>
      <c r="Q458" s="44">
        <v>2.59</v>
      </c>
      <c r="R458" s="44">
        <v>79.28</v>
      </c>
      <c r="S458" s="44">
        <v>48.82</v>
      </c>
      <c r="T458" s="47"/>
      <c r="U458" s="22">
        <f>IFERROR(__xludf.DUMMYFUNCTION("IFERROR(GOOGLEFINANCE(A458,""closeyest""),"""")"),935.0)</f>
        <v>935</v>
      </c>
      <c r="V458" s="23" t="str">
        <f>IFERROR(__xludf.DUMMYFUNCTION("IFERROR(GOOGLEFINANCE(A458,""changepct""),"""")"),"")</f>
        <v/>
      </c>
      <c r="W458" s="22">
        <f>IFERROR(__xludf.DUMMYFUNCTION("IFERROR(GOOGLEFINANCE(A458,""priceopen""),"""")"),935.0)</f>
        <v>935</v>
      </c>
      <c r="X458" s="22">
        <f>IFERROR(__xludf.DUMMYFUNCTION("IFERROR(GOOGLEFINANCE(A458,""high""),"""")"),980.0)</f>
        <v>980</v>
      </c>
      <c r="Y458" s="22">
        <f>IFERROR(__xludf.DUMMYFUNCTION("IFERROR(GOOGLEFINANCE(A458,""low""),"""")"),930.0)</f>
        <v>930</v>
      </c>
      <c r="Z458" s="22">
        <f>IFERROR(__xludf.DUMMYFUNCTION("IFERROR(GOOGLEFINANCE(A458,""volume""),"""")"),5453300.0)</f>
        <v>5453300</v>
      </c>
      <c r="AA458" s="24" t="str">
        <f>VLOOKUP(A458,Metrik!$C$2:$Y$959,5,0)</f>
        <v>Banks</v>
      </c>
      <c r="AB458" s="24" t="str">
        <f>VLOOKUP(A458,Metrik!$C$2:$Y$959,3,0)</f>
        <v>Financials</v>
      </c>
    </row>
    <row r="459">
      <c r="A459" s="14" t="s">
        <v>249</v>
      </c>
      <c r="B459" s="14" t="str">
        <f t="array" ref="B459">VLOOKUP(A459,{Metrik!$C$2:$C$998,Metrik!$B$2:$B$998},2,0)</f>
        <v>Bank BTPN Syariah Tbk.</v>
      </c>
      <c r="C459" s="15">
        <f>IFERROR(__xludf.DUMMYFUNCTION("GOOGLEFINANCE(""IDX:""&amp;A459,""price"")"),965.0)</f>
        <v>965</v>
      </c>
      <c r="D459" s="16" t="str">
        <f>IFERROR(__xludf.DUMMYFUNCTION("IF(A459="""","""",
SPARKLINE(
INDEX(
GOOGLEFINANCE(""IDX:""&amp;A459,""close"",TODAY()-365,TODAY()),
,2
),
{""linewidth"",1}
))
"),"#N/A")</f>
        <v>#N/A</v>
      </c>
      <c r="E459" s="14" t="s">
        <v>41</v>
      </c>
      <c r="F459" s="14" t="s">
        <v>34</v>
      </c>
      <c r="G459" s="24">
        <f t="shared" si="2"/>
        <v>7</v>
      </c>
      <c r="H459" s="19">
        <f>VLOOKUP(A459,Metrik!$C$2:$Y$959,8,0)</f>
        <v>5.9</v>
      </c>
      <c r="I459" s="20">
        <f>VLOOKUP(A459,Metrik!$C$2:$Y$959,9,0)</f>
        <v>0.7</v>
      </c>
      <c r="J459" s="20">
        <f>VLOOKUP(A459,Metrik!$C$2:$Y$959,10,0)</f>
        <v>11.8</v>
      </c>
      <c r="K459" s="20">
        <f>VLOOKUP(A459,Metrik!$C$2:$Y$959,11,0)</f>
        <v>5.2</v>
      </c>
      <c r="L459" s="20">
        <f>VLOOKUP(A459,Metrik!$C$2:$Y$959,12,0)</f>
        <v>0.28</v>
      </c>
      <c r="M459" s="20">
        <f>VLOOKUP(A459,Metrik!$C$2:$Y$959,19,0)</f>
        <v>110</v>
      </c>
      <c r="N459" s="44">
        <v>21.7</v>
      </c>
      <c r="O459" s="44">
        <v>57.74</v>
      </c>
      <c r="P459" s="44">
        <v>84.7</v>
      </c>
      <c r="Q459" s="44">
        <v>2.59</v>
      </c>
      <c r="R459" s="44">
        <v>79.28</v>
      </c>
      <c r="S459" s="44">
        <v>48.82</v>
      </c>
      <c r="T459" s="47"/>
      <c r="U459" s="22">
        <f>IFERROR(__xludf.DUMMYFUNCTION("IFERROR(GOOGLEFINANCE(A459,""closeyest""),"""")"),935.0)</f>
        <v>935</v>
      </c>
      <c r="V459" s="23" t="str">
        <f>IFERROR(__xludf.DUMMYFUNCTION("IFERROR(GOOGLEFINANCE(A459,""changepct""),"""")"),"")</f>
        <v/>
      </c>
      <c r="W459" s="22">
        <f>IFERROR(__xludf.DUMMYFUNCTION("IFERROR(GOOGLEFINANCE(A459,""priceopen""),"""")"),935.0)</f>
        <v>935</v>
      </c>
      <c r="X459" s="22">
        <f>IFERROR(__xludf.DUMMYFUNCTION("IFERROR(GOOGLEFINANCE(A459,""high""),"""")"),980.0)</f>
        <v>980</v>
      </c>
      <c r="Y459" s="22">
        <f>IFERROR(__xludf.DUMMYFUNCTION("IFERROR(GOOGLEFINANCE(A459,""low""),"""")"),930.0)</f>
        <v>930</v>
      </c>
      <c r="Z459" s="22">
        <f>IFERROR(__xludf.DUMMYFUNCTION("IFERROR(GOOGLEFINANCE(A459,""volume""),"""")"),5453300.0)</f>
        <v>5453300</v>
      </c>
      <c r="AA459" s="24" t="str">
        <f>VLOOKUP(A459,Metrik!$C$2:$Y$959,5,0)</f>
        <v>Banks</v>
      </c>
      <c r="AB459" s="24" t="str">
        <f>VLOOKUP(A459,Metrik!$C$2:$Y$959,3,0)</f>
        <v>Financials</v>
      </c>
    </row>
    <row r="460">
      <c r="A460" s="14" t="s">
        <v>249</v>
      </c>
      <c r="B460" s="14" t="str">
        <f t="array" ref="B460">VLOOKUP(A460,{Metrik!$C$2:$C$998,Metrik!$B$2:$B$998},2,0)</f>
        <v>Bank BTPN Syariah Tbk.</v>
      </c>
      <c r="C460" s="15">
        <f>IFERROR(__xludf.DUMMYFUNCTION("GOOGLEFINANCE(""IDX:""&amp;A460,""price"")"),965.0)</f>
        <v>965</v>
      </c>
      <c r="D460" s="16" t="str">
        <f>IFERROR(__xludf.DUMMYFUNCTION("IF(A460="""","""",
SPARKLINE(
INDEX(
GOOGLEFINANCE(""IDX:""&amp;A460,""close"",TODAY()-365,TODAY()),
,2
),
{""linewidth"",1}
))
"),"#N/A")</f>
        <v>#N/A</v>
      </c>
      <c r="E460" s="14" t="s">
        <v>39</v>
      </c>
      <c r="F460" s="25">
        <v>46356.0</v>
      </c>
      <c r="G460" s="24">
        <f t="shared" si="2"/>
        <v>7</v>
      </c>
      <c r="H460" s="19">
        <f>VLOOKUP(A460,Metrik!$C$2:$Y$959,8,0)</f>
        <v>5.9</v>
      </c>
      <c r="I460" s="20">
        <f>VLOOKUP(A460,Metrik!$C$2:$Y$959,9,0)</f>
        <v>0.7</v>
      </c>
      <c r="J460" s="20">
        <f>VLOOKUP(A460,Metrik!$C$2:$Y$959,10,0)</f>
        <v>11.8</v>
      </c>
      <c r="K460" s="20">
        <f>VLOOKUP(A460,Metrik!$C$2:$Y$959,11,0)</f>
        <v>5.2</v>
      </c>
      <c r="L460" s="20">
        <f>VLOOKUP(A460,Metrik!$C$2:$Y$959,12,0)</f>
        <v>0.28</v>
      </c>
      <c r="M460" s="20">
        <f>VLOOKUP(A460,Metrik!$C$2:$Y$959,19,0)</f>
        <v>110</v>
      </c>
      <c r="N460" s="44">
        <v>21.7</v>
      </c>
      <c r="O460" s="44">
        <v>57.74</v>
      </c>
      <c r="P460" s="44">
        <v>84.7</v>
      </c>
      <c r="Q460" s="44">
        <v>2.59</v>
      </c>
      <c r="R460" s="44">
        <v>79.28</v>
      </c>
      <c r="S460" s="44">
        <v>48.82</v>
      </c>
      <c r="T460" s="47"/>
      <c r="U460" s="22">
        <f>IFERROR(__xludf.DUMMYFUNCTION("IFERROR(GOOGLEFINANCE(A460,""closeyest""),"""")"),935.0)</f>
        <v>935</v>
      </c>
      <c r="V460" s="23" t="str">
        <f>IFERROR(__xludf.DUMMYFUNCTION("IFERROR(GOOGLEFINANCE(A460,""changepct""),"""")"),"")</f>
        <v/>
      </c>
      <c r="W460" s="22">
        <f>IFERROR(__xludf.DUMMYFUNCTION("IFERROR(GOOGLEFINANCE(A460,""priceopen""),"""")"),935.0)</f>
        <v>935</v>
      </c>
      <c r="X460" s="22">
        <f>IFERROR(__xludf.DUMMYFUNCTION("IFERROR(GOOGLEFINANCE(A460,""high""),"""")"),980.0)</f>
        <v>980</v>
      </c>
      <c r="Y460" s="22">
        <f>IFERROR(__xludf.DUMMYFUNCTION("IFERROR(GOOGLEFINANCE(A460,""low""),"""")"),930.0)</f>
        <v>930</v>
      </c>
      <c r="Z460" s="22">
        <f>IFERROR(__xludf.DUMMYFUNCTION("IFERROR(GOOGLEFINANCE(A460,""volume""),"""")"),5453300.0)</f>
        <v>5453300</v>
      </c>
      <c r="AA460" s="24" t="str">
        <f>VLOOKUP(A460,Metrik!$C$2:$Y$959,5,0)</f>
        <v>Banks</v>
      </c>
      <c r="AB460" s="24" t="str">
        <f>VLOOKUP(A460,Metrik!$C$2:$Y$959,3,0)</f>
        <v>Financials</v>
      </c>
    </row>
    <row r="461">
      <c r="A461" s="14" t="s">
        <v>250</v>
      </c>
      <c r="B461" s="14" t="str">
        <f t="array" ref="B461">VLOOKUP(A461,{Metrik!$C$2:$C$998,Metrik!$B$2:$B$998},2,0)</f>
        <v>Segar Kumala Indonesia Tbk.</v>
      </c>
      <c r="C461" s="15">
        <f>IFERROR(__xludf.DUMMYFUNCTION("GOOGLEFINANCE(""IDX:""&amp;A461,""price"")"),510.0)</f>
        <v>510</v>
      </c>
      <c r="D461" s="16" t="str">
        <f>IFERROR(__xludf.DUMMYFUNCTION("IF(A461="""","""",
SPARKLINE(
INDEX(
GOOGLEFINANCE(""IDX:""&amp;A461,""close"",TODAY()-365,TODAY()),
,2
),
{""linewidth"",1}
))
"),"#N/A")</f>
        <v>#N/A</v>
      </c>
      <c r="E461" s="26"/>
      <c r="F461" s="26"/>
      <c r="G461" s="24">
        <f t="shared" si="2"/>
        <v>0</v>
      </c>
      <c r="H461" s="19">
        <f>VLOOKUP(A461,Metrik!$C$2:$Y$959,8,0)</f>
        <v>17.7</v>
      </c>
      <c r="I461" s="20">
        <f>VLOOKUP(A461,Metrik!$C$2:$Y$959,9,0)</f>
        <v>4.9</v>
      </c>
      <c r="J461" s="20">
        <f>VLOOKUP(A461,Metrik!$C$2:$Y$959,10,0)</f>
        <v>27.7</v>
      </c>
      <c r="K461" s="20">
        <f>VLOOKUP(A461,Metrik!$C$2:$Y$959,11,0)</f>
        <v>10.8</v>
      </c>
      <c r="L461" s="20">
        <f>VLOOKUP(A461,Metrik!$C$2:$Y$959,12,0)</f>
        <v>1.6</v>
      </c>
      <c r="M461" s="20">
        <f>VLOOKUP(A461,Metrik!$C$2:$Y$959,19,0)</f>
        <v>6.7</v>
      </c>
      <c r="N461" s="21"/>
      <c r="O461" s="21"/>
      <c r="P461" s="21"/>
      <c r="Q461" s="21"/>
      <c r="R461" s="21"/>
      <c r="S461" s="21"/>
      <c r="T461" s="21"/>
      <c r="U461" s="22">
        <f>IFERROR(__xludf.DUMMYFUNCTION("IFERROR(GOOGLEFINANCE(A461,""closeyest""),"""")"),505.0)</f>
        <v>505</v>
      </c>
      <c r="V461" s="23">
        <f>IFERROR(__xludf.DUMMYFUNCTION("IFERROR(GOOGLEFINANCE(A461,""changepct""),"""")"),0.99)</f>
        <v>0.99</v>
      </c>
      <c r="W461" s="22">
        <f>IFERROR(__xludf.DUMMYFUNCTION("IFERROR(GOOGLEFINANCE(A461,""priceopen""),"""")"),510.0)</f>
        <v>510</v>
      </c>
      <c r="X461" s="22">
        <f>IFERROR(__xludf.DUMMYFUNCTION("IFERROR(GOOGLEFINANCE(A461,""high""),"""")"),515.0)</f>
        <v>515</v>
      </c>
      <c r="Y461" s="22">
        <f>IFERROR(__xludf.DUMMYFUNCTION("IFERROR(GOOGLEFINANCE(A461,""low""),"""")"),500.0)</f>
        <v>500</v>
      </c>
      <c r="Z461" s="22">
        <f>IFERROR(__xludf.DUMMYFUNCTION("IFERROR(GOOGLEFINANCE(A461,""volume""),"""")"),200600.0)</f>
        <v>200600</v>
      </c>
      <c r="AA461" s="24" t="str">
        <f>VLOOKUP(A461,Metrik!$C$2:$Y$959,5,0)</f>
        <v>Food &amp; Staples Retailing</v>
      </c>
      <c r="AB461" s="24" t="str">
        <f>VLOOKUP(A461,Metrik!$C$2:$Y$959,3,0)</f>
        <v>Consumer Non-Cyclicals</v>
      </c>
    </row>
    <row r="462">
      <c r="A462" s="14" t="s">
        <v>251</v>
      </c>
      <c r="B462" s="14" t="str">
        <f t="array" ref="B462">VLOOKUP(A462,{Metrik!$C$2:$C$998,Metrik!$B$2:$B$998},2,0)</f>
        <v>Budi Starch &amp; Sweetener Tbk.</v>
      </c>
      <c r="C462" s="15">
        <f>IFERROR(__xludf.DUMMYFUNCTION("GOOGLEFINANCE(""IDX:""&amp;A462,""price"")"),204.0)</f>
        <v>204</v>
      </c>
      <c r="D462" s="16" t="str">
        <f>IFERROR(__xludf.DUMMYFUNCTION("IF(A462="""","""",
SPARKLINE(
INDEX(
GOOGLEFINANCE(""IDX:""&amp;A462,""close"",TODAY()-365,TODAY()),
,2
),
{""linewidth"",1}
))
"),"#N/A")</f>
        <v>#N/A</v>
      </c>
      <c r="E462" s="26"/>
      <c r="F462" s="26"/>
      <c r="G462" s="24">
        <f t="shared" si="2"/>
        <v>0</v>
      </c>
      <c r="H462" s="19">
        <f>VLOOKUP(A462,Metrik!$C$2:$Y$959,8,0)</f>
        <v>7.5</v>
      </c>
      <c r="I462" s="20">
        <f>VLOOKUP(A462,Metrik!$C$2:$Y$959,9,0)</f>
        <v>0.53</v>
      </c>
      <c r="J462" s="20">
        <f>VLOOKUP(A462,Metrik!$C$2:$Y$959,10,0)</f>
        <v>7.1</v>
      </c>
      <c r="K462" s="20">
        <f>VLOOKUP(A462,Metrik!$C$2:$Y$959,11,0)</f>
        <v>3</v>
      </c>
      <c r="L462" s="20">
        <f>VLOOKUP(A462,Metrik!$C$2:$Y$959,12,0)</f>
        <v>1.4</v>
      </c>
      <c r="M462" s="20">
        <f>VLOOKUP(A462,Metrik!$C$2:$Y$959,19,0)</f>
        <v>11.8</v>
      </c>
      <c r="N462" s="21"/>
      <c r="O462" s="21"/>
      <c r="P462" s="21"/>
      <c r="Q462" s="21"/>
      <c r="R462" s="21"/>
      <c r="S462" s="21"/>
      <c r="T462" s="21"/>
      <c r="U462" s="22">
        <f>IFERROR(__xludf.DUMMYFUNCTION("IFERROR(GOOGLEFINANCE(A462,""closeyest""),"""")"),204.0)</f>
        <v>204</v>
      </c>
      <c r="V462" s="23">
        <f>IFERROR(__xludf.DUMMYFUNCTION("IFERROR(GOOGLEFINANCE(A462,""changepct""),"""")"),0.0)</f>
        <v>0</v>
      </c>
      <c r="W462" s="22">
        <f>IFERROR(__xludf.DUMMYFUNCTION("IFERROR(GOOGLEFINANCE(A462,""priceopen""),"""")"),206.0)</f>
        <v>206</v>
      </c>
      <c r="X462" s="22">
        <f>IFERROR(__xludf.DUMMYFUNCTION("IFERROR(GOOGLEFINANCE(A462,""high""),"""")"),206.0)</f>
        <v>206</v>
      </c>
      <c r="Y462" s="22">
        <f>IFERROR(__xludf.DUMMYFUNCTION("IFERROR(GOOGLEFINANCE(A462,""low""),"""")"),204.0)</f>
        <v>204</v>
      </c>
      <c r="Z462" s="22">
        <f>IFERROR(__xludf.DUMMYFUNCTION("IFERROR(GOOGLEFINANCE(A462,""volume""),"""")"),22800.0)</f>
        <v>22800</v>
      </c>
      <c r="AA462" s="24" t="str">
        <f>VLOOKUP(A462,Metrik!$C$2:$Y$959,5,0)</f>
        <v>Processed Foods</v>
      </c>
      <c r="AB462" s="24" t="str">
        <f>VLOOKUP(A462,Metrik!$C$2:$Y$959,3,0)</f>
        <v>Consumer Non-Cyclicals</v>
      </c>
    </row>
    <row r="463">
      <c r="A463" s="14" t="s">
        <v>252</v>
      </c>
      <c r="B463" s="14" t="str">
        <f t="array" ref="B463">VLOOKUP(A463,{Metrik!$C$2:$C$998,Metrik!$B$2:$B$998},2,0)</f>
        <v>Bukalapak.com Tbk.</v>
      </c>
      <c r="C463" s="15">
        <f>IFERROR(__xludf.DUMMYFUNCTION("GOOGLEFINANCE(""IDX:""&amp;A463,""price"")"),113.0)</f>
        <v>113</v>
      </c>
      <c r="D463" s="16" t="str">
        <f>IFERROR(__xludf.DUMMYFUNCTION("IF(A463="""","""",
SPARKLINE(
INDEX(
GOOGLEFINANCE(""IDX:""&amp;A463,""close"",TODAY()-365,TODAY()),
,2
),
{""linewidth"",1}
))
"),"#N/A")</f>
        <v>#N/A</v>
      </c>
      <c r="E463" s="14" t="s">
        <v>28</v>
      </c>
      <c r="F463" s="17" t="s">
        <v>29</v>
      </c>
      <c r="G463" s="24">
        <f t="shared" si="2"/>
        <v>6</v>
      </c>
      <c r="H463" s="19">
        <f>VLOOKUP(A463,Metrik!$C$2:$Y$959,8,0)</f>
        <v>4.8</v>
      </c>
      <c r="I463" s="20">
        <f>VLOOKUP(A463,Metrik!$C$2:$Y$959,9,0)</f>
        <v>0.51</v>
      </c>
      <c r="J463" s="20">
        <f>VLOOKUP(A463,Metrik!$C$2:$Y$959,10,0)</f>
        <v>10.5</v>
      </c>
      <c r="K463" s="20">
        <f>VLOOKUP(A463,Metrik!$C$2:$Y$959,11,0)</f>
        <v>10.3</v>
      </c>
      <c r="L463" s="20">
        <f>VLOOKUP(A463,Metrik!$C$2:$Y$959,12,0)</f>
        <v>0.03</v>
      </c>
      <c r="M463" s="20">
        <f>VLOOKUP(A463,Metrik!$C$2:$Y$959,19,0)</f>
        <v>110</v>
      </c>
      <c r="N463" s="21"/>
      <c r="O463" s="21"/>
      <c r="P463" s="21"/>
      <c r="Q463" s="21"/>
      <c r="R463" s="21"/>
      <c r="S463" s="21"/>
      <c r="T463" s="21"/>
      <c r="U463" s="22">
        <f>IFERROR(__xludf.DUMMYFUNCTION("IFERROR(GOOGLEFINANCE(A463,""closeyest""),"""")"),114.0)</f>
        <v>114</v>
      </c>
      <c r="V463" s="23">
        <f>IFERROR(__xludf.DUMMYFUNCTION("IFERROR(GOOGLEFINANCE(A463,""changepct""),"""")"),-0.88)</f>
        <v>-0.88</v>
      </c>
      <c r="W463" s="22">
        <f>IFERROR(__xludf.DUMMYFUNCTION("IFERROR(GOOGLEFINANCE(A463,""priceopen""),"""")"),114.0)</f>
        <v>114</v>
      </c>
      <c r="X463" s="22">
        <f>IFERROR(__xludf.DUMMYFUNCTION("IFERROR(GOOGLEFINANCE(A463,""high""),"""")"),116.0)</f>
        <v>116</v>
      </c>
      <c r="Y463" s="22">
        <f>IFERROR(__xludf.DUMMYFUNCTION("IFERROR(GOOGLEFINANCE(A463,""low""),"""")"),112.0)</f>
        <v>112</v>
      </c>
      <c r="Z463" s="22">
        <f>IFERROR(__xludf.DUMMYFUNCTION("IFERROR(GOOGLEFINANCE(A463,""volume""),"""")"),5.01293E7)</f>
        <v>50129300</v>
      </c>
      <c r="AA463" s="24" t="str">
        <f>VLOOKUP(A463,Metrik!$C$2:$Y$959,5,0)</f>
        <v>Online Applications &amp; Services</v>
      </c>
      <c r="AB463" s="24" t="str">
        <f>VLOOKUP(A463,Metrik!$C$2:$Y$959,3,0)</f>
        <v>Technology</v>
      </c>
    </row>
    <row r="464">
      <c r="A464" s="14" t="s">
        <v>252</v>
      </c>
      <c r="B464" s="14" t="str">
        <f t="array" ref="B464">VLOOKUP(A464,{Metrik!$C$2:$C$998,Metrik!$B$2:$B$998},2,0)</f>
        <v>Bukalapak.com Tbk.</v>
      </c>
      <c r="C464" s="15">
        <f>IFERROR(__xludf.DUMMYFUNCTION("GOOGLEFINANCE(""IDX:""&amp;A464,""price"")"),113.0)</f>
        <v>113</v>
      </c>
      <c r="D464" s="16" t="str">
        <f>IFERROR(__xludf.DUMMYFUNCTION("IF(A464="""","""",
SPARKLINE(
INDEX(
GOOGLEFINANCE(""IDX:""&amp;A464,""close"",TODAY()-365,TODAY()),
,2
),
{""linewidth"",1}
))
"),"#N/A")</f>
        <v>#N/A</v>
      </c>
      <c r="E464" s="14" t="s">
        <v>32</v>
      </c>
      <c r="F464" s="14" t="s">
        <v>29</v>
      </c>
      <c r="G464" s="24">
        <f t="shared" si="2"/>
        <v>6</v>
      </c>
      <c r="H464" s="19">
        <f>VLOOKUP(A464,Metrik!$C$2:$Y$959,8,0)</f>
        <v>4.8</v>
      </c>
      <c r="I464" s="20">
        <f>VLOOKUP(A464,Metrik!$C$2:$Y$959,9,0)</f>
        <v>0.51</v>
      </c>
      <c r="J464" s="20">
        <f>VLOOKUP(A464,Metrik!$C$2:$Y$959,10,0)</f>
        <v>10.5</v>
      </c>
      <c r="K464" s="20">
        <f>VLOOKUP(A464,Metrik!$C$2:$Y$959,11,0)</f>
        <v>10.3</v>
      </c>
      <c r="L464" s="20">
        <f>VLOOKUP(A464,Metrik!$C$2:$Y$959,12,0)</f>
        <v>0.03</v>
      </c>
      <c r="M464" s="20">
        <f>VLOOKUP(A464,Metrik!$C$2:$Y$959,19,0)</f>
        <v>110</v>
      </c>
      <c r="N464" s="21"/>
      <c r="O464" s="21"/>
      <c r="P464" s="21"/>
      <c r="Q464" s="21"/>
      <c r="R464" s="21"/>
      <c r="S464" s="21"/>
      <c r="T464" s="21"/>
      <c r="U464" s="22">
        <f>IFERROR(__xludf.DUMMYFUNCTION("IFERROR(GOOGLEFINANCE(A464,""closeyest""),"""")"),114.0)</f>
        <v>114</v>
      </c>
      <c r="V464" s="23">
        <f>IFERROR(__xludf.DUMMYFUNCTION("IFERROR(GOOGLEFINANCE(A464,""changepct""),"""")"),-0.88)</f>
        <v>-0.88</v>
      </c>
      <c r="W464" s="22">
        <f>IFERROR(__xludf.DUMMYFUNCTION("IFERROR(GOOGLEFINANCE(A464,""priceopen""),"""")"),114.0)</f>
        <v>114</v>
      </c>
      <c r="X464" s="22">
        <f>IFERROR(__xludf.DUMMYFUNCTION("IFERROR(GOOGLEFINANCE(A464,""high""),"""")"),116.0)</f>
        <v>116</v>
      </c>
      <c r="Y464" s="22">
        <f>IFERROR(__xludf.DUMMYFUNCTION("IFERROR(GOOGLEFINANCE(A464,""low""),"""")"),112.0)</f>
        <v>112</v>
      </c>
      <c r="Z464" s="22">
        <f>IFERROR(__xludf.DUMMYFUNCTION("IFERROR(GOOGLEFINANCE(A464,""volume""),"""")"),5.01293E7)</f>
        <v>50129300</v>
      </c>
      <c r="AA464" s="24" t="str">
        <f>VLOOKUP(A464,Metrik!$C$2:$Y$959,5,0)</f>
        <v>Online Applications &amp; Services</v>
      </c>
      <c r="AB464" s="24" t="str">
        <f>VLOOKUP(A464,Metrik!$C$2:$Y$959,3,0)</f>
        <v>Technology</v>
      </c>
    </row>
    <row r="465">
      <c r="A465" s="14" t="s">
        <v>252</v>
      </c>
      <c r="B465" s="14" t="str">
        <f t="array" ref="B465">VLOOKUP(A465,{Metrik!$C$2:$C$998,Metrik!$B$2:$B$998},2,0)</f>
        <v>Bukalapak.com Tbk.</v>
      </c>
      <c r="C465" s="15">
        <f>IFERROR(__xludf.DUMMYFUNCTION("GOOGLEFINANCE(""IDX:""&amp;A465,""price"")"),113.0)</f>
        <v>113</v>
      </c>
      <c r="D465" s="16" t="str">
        <f>IFERROR(__xludf.DUMMYFUNCTION("IF(A465="""","""",
SPARKLINE(
INDEX(
GOOGLEFINANCE(""IDX:""&amp;A465,""close"",TODAY()-365,TODAY()),
,2
),
{""linewidth"",1}
))
"),"#N/A")</f>
        <v>#N/A</v>
      </c>
      <c r="E465" s="14" t="s">
        <v>50</v>
      </c>
      <c r="F465" s="17" t="s">
        <v>51</v>
      </c>
      <c r="G465" s="24">
        <f t="shared" si="2"/>
        <v>6</v>
      </c>
      <c r="H465" s="19">
        <f>VLOOKUP(A465,Metrik!$C$2:$Y$959,8,0)</f>
        <v>4.8</v>
      </c>
      <c r="I465" s="20">
        <f>VLOOKUP(A465,Metrik!$C$2:$Y$959,9,0)</f>
        <v>0.51</v>
      </c>
      <c r="J465" s="20">
        <f>VLOOKUP(A465,Metrik!$C$2:$Y$959,10,0)</f>
        <v>10.5</v>
      </c>
      <c r="K465" s="20">
        <f>VLOOKUP(A465,Metrik!$C$2:$Y$959,11,0)</f>
        <v>10.3</v>
      </c>
      <c r="L465" s="20">
        <f>VLOOKUP(A465,Metrik!$C$2:$Y$959,12,0)</f>
        <v>0.03</v>
      </c>
      <c r="M465" s="20">
        <f>VLOOKUP(A465,Metrik!$C$2:$Y$959,19,0)</f>
        <v>110</v>
      </c>
      <c r="N465" s="21"/>
      <c r="O465" s="21"/>
      <c r="P465" s="21"/>
      <c r="Q465" s="21"/>
      <c r="R465" s="21"/>
      <c r="S465" s="21"/>
      <c r="T465" s="21"/>
      <c r="U465" s="22">
        <f>IFERROR(__xludf.DUMMYFUNCTION("IFERROR(GOOGLEFINANCE(A465,""closeyest""),"""")"),114.0)</f>
        <v>114</v>
      </c>
      <c r="V465" s="23">
        <f>IFERROR(__xludf.DUMMYFUNCTION("IFERROR(GOOGLEFINANCE(A465,""changepct""),"""")"),-0.88)</f>
        <v>-0.88</v>
      </c>
      <c r="W465" s="22">
        <f>IFERROR(__xludf.DUMMYFUNCTION("IFERROR(GOOGLEFINANCE(A465,""priceopen""),"""")"),114.0)</f>
        <v>114</v>
      </c>
      <c r="X465" s="22">
        <f>IFERROR(__xludf.DUMMYFUNCTION("IFERROR(GOOGLEFINANCE(A465,""high""),"""")"),116.0)</f>
        <v>116</v>
      </c>
      <c r="Y465" s="22">
        <f>IFERROR(__xludf.DUMMYFUNCTION("IFERROR(GOOGLEFINANCE(A465,""low""),"""")"),112.0)</f>
        <v>112</v>
      </c>
      <c r="Z465" s="22">
        <f>IFERROR(__xludf.DUMMYFUNCTION("IFERROR(GOOGLEFINANCE(A465,""volume""),"""")"),5.01293E7)</f>
        <v>50129300</v>
      </c>
      <c r="AA465" s="24" t="str">
        <f>VLOOKUP(A465,Metrik!$C$2:$Y$959,5,0)</f>
        <v>Online Applications &amp; Services</v>
      </c>
      <c r="AB465" s="24" t="str">
        <f>VLOOKUP(A465,Metrik!$C$2:$Y$959,3,0)</f>
        <v>Technology</v>
      </c>
    </row>
    <row r="466">
      <c r="A466" s="14" t="s">
        <v>252</v>
      </c>
      <c r="B466" s="14" t="str">
        <f t="array" ref="B466">VLOOKUP(A466,{Metrik!$C$2:$C$998,Metrik!$B$2:$B$998},2,0)</f>
        <v>Bukalapak.com Tbk.</v>
      </c>
      <c r="C466" s="15">
        <f>IFERROR(__xludf.DUMMYFUNCTION("GOOGLEFINANCE(""IDX:""&amp;A466,""price"")"),113.0)</f>
        <v>113</v>
      </c>
      <c r="D466" s="16" t="str">
        <f>IFERROR(__xludf.DUMMYFUNCTION("IF(A466="""","""",
SPARKLINE(
INDEX(
GOOGLEFINANCE(""IDX:""&amp;A466,""close"",TODAY()-365,TODAY()),
,2
),
{""linewidth"",1}
))
"),"#N/A")</f>
        <v>#N/A</v>
      </c>
      <c r="E466" s="14" t="s">
        <v>41</v>
      </c>
      <c r="F466" s="14" t="s">
        <v>34</v>
      </c>
      <c r="G466" s="24">
        <f t="shared" si="2"/>
        <v>6</v>
      </c>
      <c r="H466" s="19">
        <f>VLOOKUP(A466,Metrik!$C$2:$Y$959,8,0)</f>
        <v>4.8</v>
      </c>
      <c r="I466" s="20">
        <f>VLOOKUP(A466,Metrik!$C$2:$Y$959,9,0)</f>
        <v>0.51</v>
      </c>
      <c r="J466" s="20">
        <f>VLOOKUP(A466,Metrik!$C$2:$Y$959,10,0)</f>
        <v>10.5</v>
      </c>
      <c r="K466" s="20">
        <f>VLOOKUP(A466,Metrik!$C$2:$Y$959,11,0)</f>
        <v>10.3</v>
      </c>
      <c r="L466" s="20">
        <f>VLOOKUP(A466,Metrik!$C$2:$Y$959,12,0)</f>
        <v>0.03</v>
      </c>
      <c r="M466" s="20">
        <f>VLOOKUP(A466,Metrik!$C$2:$Y$959,19,0)</f>
        <v>110</v>
      </c>
      <c r="N466" s="21"/>
      <c r="O466" s="21"/>
      <c r="P466" s="21"/>
      <c r="Q466" s="21"/>
      <c r="R466" s="21"/>
      <c r="S466" s="21"/>
      <c r="T466" s="21"/>
      <c r="U466" s="22">
        <f>IFERROR(__xludf.DUMMYFUNCTION("IFERROR(GOOGLEFINANCE(A466,""closeyest""),"""")"),114.0)</f>
        <v>114</v>
      </c>
      <c r="V466" s="23">
        <f>IFERROR(__xludf.DUMMYFUNCTION("IFERROR(GOOGLEFINANCE(A466,""changepct""),"""")"),-0.88)</f>
        <v>-0.88</v>
      </c>
      <c r="W466" s="22">
        <f>IFERROR(__xludf.DUMMYFUNCTION("IFERROR(GOOGLEFINANCE(A466,""priceopen""),"""")"),114.0)</f>
        <v>114</v>
      </c>
      <c r="X466" s="22">
        <f>IFERROR(__xludf.DUMMYFUNCTION("IFERROR(GOOGLEFINANCE(A466,""high""),"""")"),116.0)</f>
        <v>116</v>
      </c>
      <c r="Y466" s="22">
        <f>IFERROR(__xludf.DUMMYFUNCTION("IFERROR(GOOGLEFINANCE(A466,""low""),"""")"),112.0)</f>
        <v>112</v>
      </c>
      <c r="Z466" s="22">
        <f>IFERROR(__xludf.DUMMYFUNCTION("IFERROR(GOOGLEFINANCE(A466,""volume""),"""")"),5.01293E7)</f>
        <v>50129300</v>
      </c>
      <c r="AA466" s="24" t="str">
        <f>VLOOKUP(A466,Metrik!$C$2:$Y$959,5,0)</f>
        <v>Online Applications &amp; Services</v>
      </c>
      <c r="AB466" s="24" t="str">
        <f>VLOOKUP(A466,Metrik!$C$2:$Y$959,3,0)</f>
        <v>Technology</v>
      </c>
    </row>
    <row r="467">
      <c r="A467" s="14" t="s">
        <v>252</v>
      </c>
      <c r="B467" s="14" t="str">
        <f t="array" ref="B467">VLOOKUP(A467,{Metrik!$C$2:$C$998,Metrik!$B$2:$B$998},2,0)</f>
        <v>Bukalapak.com Tbk.</v>
      </c>
      <c r="C467" s="15">
        <f>IFERROR(__xludf.DUMMYFUNCTION("GOOGLEFINANCE(""IDX:""&amp;A467,""price"")"),113.0)</f>
        <v>113</v>
      </c>
      <c r="D467" s="16" t="str">
        <f>IFERROR(__xludf.DUMMYFUNCTION("IF(A467="""","""",
SPARKLINE(
INDEX(
GOOGLEFINANCE(""IDX:""&amp;A467,""close"",TODAY()-365,TODAY()),
,2
),
{""linewidth"",1}
))
"),"#N/A")</f>
        <v>#N/A</v>
      </c>
      <c r="E467" s="14" t="s">
        <v>33</v>
      </c>
      <c r="F467" s="14" t="s">
        <v>34</v>
      </c>
      <c r="G467" s="24">
        <f t="shared" si="2"/>
        <v>6</v>
      </c>
      <c r="H467" s="19">
        <f>VLOOKUP(A467,Metrik!$C$2:$Y$959,8,0)</f>
        <v>4.8</v>
      </c>
      <c r="I467" s="20">
        <f>VLOOKUP(A467,Metrik!$C$2:$Y$959,9,0)</f>
        <v>0.51</v>
      </c>
      <c r="J467" s="20">
        <f>VLOOKUP(A467,Metrik!$C$2:$Y$959,10,0)</f>
        <v>10.5</v>
      </c>
      <c r="K467" s="20">
        <f>VLOOKUP(A467,Metrik!$C$2:$Y$959,11,0)</f>
        <v>10.3</v>
      </c>
      <c r="L467" s="20">
        <f>VLOOKUP(A467,Metrik!$C$2:$Y$959,12,0)</f>
        <v>0.03</v>
      </c>
      <c r="M467" s="20">
        <f>VLOOKUP(A467,Metrik!$C$2:$Y$959,19,0)</f>
        <v>110</v>
      </c>
      <c r="N467" s="21"/>
      <c r="O467" s="21"/>
      <c r="P467" s="21"/>
      <c r="Q467" s="21"/>
      <c r="R467" s="21"/>
      <c r="S467" s="21"/>
      <c r="T467" s="21"/>
      <c r="U467" s="22">
        <f>IFERROR(__xludf.DUMMYFUNCTION("IFERROR(GOOGLEFINANCE(A467,""closeyest""),"""")"),114.0)</f>
        <v>114</v>
      </c>
      <c r="V467" s="23">
        <f>IFERROR(__xludf.DUMMYFUNCTION("IFERROR(GOOGLEFINANCE(A467,""changepct""),"""")"),-0.88)</f>
        <v>-0.88</v>
      </c>
      <c r="W467" s="22">
        <f>IFERROR(__xludf.DUMMYFUNCTION("IFERROR(GOOGLEFINANCE(A467,""priceopen""),"""")"),114.0)</f>
        <v>114</v>
      </c>
      <c r="X467" s="22">
        <f>IFERROR(__xludf.DUMMYFUNCTION("IFERROR(GOOGLEFINANCE(A467,""high""),"""")"),116.0)</f>
        <v>116</v>
      </c>
      <c r="Y467" s="22">
        <f>IFERROR(__xludf.DUMMYFUNCTION("IFERROR(GOOGLEFINANCE(A467,""low""),"""")"),112.0)</f>
        <v>112</v>
      </c>
      <c r="Z467" s="22">
        <f>IFERROR(__xludf.DUMMYFUNCTION("IFERROR(GOOGLEFINANCE(A467,""volume""),"""")"),5.01293E7)</f>
        <v>50129300</v>
      </c>
      <c r="AA467" s="24" t="str">
        <f>VLOOKUP(A467,Metrik!$C$2:$Y$959,5,0)</f>
        <v>Online Applications &amp; Services</v>
      </c>
      <c r="AB467" s="24" t="str">
        <f>VLOOKUP(A467,Metrik!$C$2:$Y$959,3,0)</f>
        <v>Technology</v>
      </c>
    </row>
    <row r="468">
      <c r="A468" s="17" t="s">
        <v>252</v>
      </c>
      <c r="B468" s="14" t="str">
        <f t="array" ref="B468">VLOOKUP(A468,{Metrik!$C$2:$C$998,Metrik!$B$2:$B$998},2,0)</f>
        <v>Bukalapak.com Tbk.</v>
      </c>
      <c r="C468" s="15">
        <f>IFERROR(__xludf.DUMMYFUNCTION("GOOGLEFINANCE(""IDX:""&amp;A468,""price"")"),113.0)</f>
        <v>113</v>
      </c>
      <c r="D468" s="16" t="str">
        <f>IFERROR(__xludf.DUMMYFUNCTION("IF(A468="""","""",
SPARKLINE(
INDEX(
GOOGLEFINANCE(""IDX:""&amp;A468,""close"",TODAY()-365,TODAY()),
,2
),
{""linewidth"",1}
))
"),"#N/A")</f>
        <v>#N/A</v>
      </c>
      <c r="E468" s="14" t="s">
        <v>35</v>
      </c>
      <c r="F468" s="17" t="s">
        <v>36</v>
      </c>
      <c r="G468" s="24">
        <f t="shared" si="2"/>
        <v>6</v>
      </c>
      <c r="H468" s="19">
        <f>VLOOKUP(A468,Metrik!$C$2:$Y$959,8,0)</f>
        <v>4.8</v>
      </c>
      <c r="I468" s="20">
        <f>VLOOKUP(A468,Metrik!$C$2:$Y$959,9,0)</f>
        <v>0.51</v>
      </c>
      <c r="J468" s="20">
        <f>VLOOKUP(A468,Metrik!$C$2:$Y$959,10,0)</f>
        <v>10.5</v>
      </c>
      <c r="K468" s="20">
        <f>VLOOKUP(A468,Metrik!$C$2:$Y$959,11,0)</f>
        <v>10.3</v>
      </c>
      <c r="L468" s="20">
        <f>VLOOKUP(A468,Metrik!$C$2:$Y$959,12,0)</f>
        <v>0.03</v>
      </c>
      <c r="M468" s="20">
        <f>VLOOKUP(A468,Metrik!$C$2:$Y$959,19,0)</f>
        <v>110</v>
      </c>
      <c r="N468" s="21"/>
      <c r="O468" s="21"/>
      <c r="P468" s="21"/>
      <c r="Q468" s="21"/>
      <c r="R468" s="21"/>
      <c r="S468" s="21"/>
      <c r="T468" s="21"/>
      <c r="U468" s="22">
        <f>IFERROR(__xludf.DUMMYFUNCTION("IFERROR(GOOGLEFINANCE(A468,""closeyest""),"""")"),114.0)</f>
        <v>114</v>
      </c>
      <c r="V468" s="23">
        <f>IFERROR(__xludf.DUMMYFUNCTION("IFERROR(GOOGLEFINANCE(A468,""changepct""),"""")"),-0.88)</f>
        <v>-0.88</v>
      </c>
      <c r="W468" s="22">
        <f>IFERROR(__xludf.DUMMYFUNCTION("IFERROR(GOOGLEFINANCE(A468,""priceopen""),"""")"),114.0)</f>
        <v>114</v>
      </c>
      <c r="X468" s="22">
        <f>IFERROR(__xludf.DUMMYFUNCTION("IFERROR(GOOGLEFINANCE(A468,""high""),"""")"),116.0)</f>
        <v>116</v>
      </c>
      <c r="Y468" s="22">
        <f>IFERROR(__xludf.DUMMYFUNCTION("IFERROR(GOOGLEFINANCE(A468,""low""),"""")"),112.0)</f>
        <v>112</v>
      </c>
      <c r="Z468" s="22">
        <f>IFERROR(__xludf.DUMMYFUNCTION("IFERROR(GOOGLEFINANCE(A468,""volume""),"""")"),5.01293E7)</f>
        <v>50129300</v>
      </c>
      <c r="AA468" s="24" t="str">
        <f>VLOOKUP(A468,Metrik!$C$2:$Y$959,5,0)</f>
        <v>Online Applications &amp; Services</v>
      </c>
      <c r="AB468" s="24" t="str">
        <f>VLOOKUP(A468,Metrik!$C$2:$Y$959,3,0)</f>
        <v>Technology</v>
      </c>
    </row>
    <row r="469">
      <c r="A469" s="14" t="s">
        <v>253</v>
      </c>
      <c r="B469" s="14" t="str">
        <f t="array" ref="B469">VLOOKUP(A469,{Metrik!$C$2:$C$998,Metrik!$B$2:$B$998},2,0)</f>
        <v>Bukaka Teknik Utama Tbk.</v>
      </c>
      <c r="C469" s="15">
        <f>IFERROR(__xludf.DUMMYFUNCTION("GOOGLEFINANCE(""IDX:""&amp;A469,""price"")"),1005.0)</f>
        <v>1005</v>
      </c>
      <c r="D469" s="16" t="str">
        <f>IFERROR(__xludf.DUMMYFUNCTION("IF(A469="""","""",
SPARKLINE(
INDEX(
GOOGLEFINANCE(""IDX:""&amp;A469,""close"",TODAY()-365,TODAY()),
,2
),
{""linewidth"",1}
))
"),"#N/A")</f>
        <v>#N/A</v>
      </c>
      <c r="E469" s="26"/>
      <c r="F469" s="26"/>
      <c r="G469" s="24">
        <f t="shared" si="2"/>
        <v>0</v>
      </c>
      <c r="H469" s="19">
        <f>VLOOKUP(A469,Metrik!$C$2:$Y$959,8,0)</f>
        <v>6.7</v>
      </c>
      <c r="I469" s="20">
        <f>VLOOKUP(A469,Metrik!$C$2:$Y$959,9,0)</f>
        <v>0.24</v>
      </c>
      <c r="J469" s="20">
        <f>VLOOKUP(A469,Metrik!$C$2:$Y$959,10,0)</f>
        <v>3.6</v>
      </c>
      <c r="K469" s="20">
        <f>VLOOKUP(A469,Metrik!$C$2:$Y$959,11,0)</f>
        <v>1.2</v>
      </c>
      <c r="L469" s="20">
        <f>VLOOKUP(A469,Metrik!$C$2:$Y$959,12,0)</f>
        <v>1.9</v>
      </c>
      <c r="M469" s="20">
        <f>VLOOKUP(A469,Metrik!$C$2:$Y$959,19,0)</f>
        <v>36.1</v>
      </c>
      <c r="N469" s="21"/>
      <c r="O469" s="21"/>
      <c r="P469" s="21"/>
      <c r="Q469" s="21"/>
      <c r="R469" s="21"/>
      <c r="S469" s="21"/>
      <c r="T469" s="21"/>
      <c r="U469" s="22">
        <f>IFERROR(__xludf.DUMMYFUNCTION("IFERROR(GOOGLEFINANCE(A469,""closeyest""),"""")"),805.0)</f>
        <v>805</v>
      </c>
      <c r="V469" s="23">
        <f>IFERROR(__xludf.DUMMYFUNCTION("IFERROR(GOOGLEFINANCE(A469,""changepct""),"""")"),24.84)</f>
        <v>24.84</v>
      </c>
      <c r="W469" s="22">
        <f>IFERROR(__xludf.DUMMYFUNCTION("IFERROR(GOOGLEFINANCE(A469,""priceopen""),"""")"),875.0)</f>
        <v>875</v>
      </c>
      <c r="X469" s="22">
        <f>IFERROR(__xludf.DUMMYFUNCTION("IFERROR(GOOGLEFINANCE(A469,""high""),"""")"),1005.0)</f>
        <v>1005</v>
      </c>
      <c r="Y469" s="22">
        <f>IFERROR(__xludf.DUMMYFUNCTION("IFERROR(GOOGLEFINANCE(A469,""low""),"""")"),875.0)</f>
        <v>875</v>
      </c>
      <c r="Z469" s="22">
        <f>IFERROR(__xludf.DUMMYFUNCTION("IFERROR(GOOGLEFINANCE(A469,""volume""),"""")"),289400.0)</f>
        <v>289400</v>
      </c>
      <c r="AA469" s="24" t="str">
        <f>VLOOKUP(A469,Metrik!$C$2:$Y$959,5,0)</f>
        <v>Heavy Constructions &amp; Civil Engineering</v>
      </c>
      <c r="AB469" s="24" t="str">
        <f>VLOOKUP(A469,Metrik!$C$2:$Y$959,3,0)</f>
        <v>Infrastructures</v>
      </c>
    </row>
    <row r="470">
      <c r="A470" s="14" t="s">
        <v>254</v>
      </c>
      <c r="B470" s="14" t="str">
        <f t="array" ref="B470">VLOOKUP(A470,{Metrik!$C$2:$C$998,Metrik!$B$2:$B$998},2,0)</f>
        <v>Buana Lintas Lautan Tbk.</v>
      </c>
      <c r="C470" s="15">
        <f>IFERROR(__xludf.DUMMYFUNCTION("GOOGLEFINANCE(""IDX:""&amp;A470,""price"")"),368.0)</f>
        <v>368</v>
      </c>
      <c r="D470" s="16" t="str">
        <f>IFERROR(__xludf.DUMMYFUNCTION("IF(A470="""","""",
SPARKLINE(
INDEX(
GOOGLEFINANCE(""IDX:""&amp;A470,""close"",TODAY()-365,TODAY()),
,2
),
{""linewidth"",1}
))
"),"#N/A")</f>
        <v>#N/A</v>
      </c>
      <c r="E470" s="14" t="s">
        <v>32</v>
      </c>
      <c r="F470" s="14" t="s">
        <v>29</v>
      </c>
      <c r="G470" s="24">
        <f t="shared" si="2"/>
        <v>1</v>
      </c>
      <c r="H470" s="19">
        <f>VLOOKUP(A470,Metrik!$C$2:$Y$959,8,0)</f>
        <v>14.6</v>
      </c>
      <c r="I470" s="20">
        <f>VLOOKUP(A470,Metrik!$C$2:$Y$959,9,0)</f>
        <v>1.8</v>
      </c>
      <c r="J470" s="20">
        <f>VLOOKUP(A470,Metrik!$C$2:$Y$959,10,0)</f>
        <v>12</v>
      </c>
      <c r="K470" s="20">
        <f>VLOOKUP(A470,Metrik!$C$2:$Y$959,11,0)</f>
        <v>6.6</v>
      </c>
      <c r="L470" s="20">
        <f>VLOOKUP(A470,Metrik!$C$2:$Y$959,12,0)</f>
        <v>0.82</v>
      </c>
      <c r="M470" s="20">
        <f>VLOOKUP(A470,Metrik!$C$2:$Y$959,19,0)</f>
        <v>16.8</v>
      </c>
      <c r="N470" s="21"/>
      <c r="O470" s="21"/>
      <c r="P470" s="21"/>
      <c r="Q470" s="21"/>
      <c r="R470" s="21"/>
      <c r="S470" s="21"/>
      <c r="T470" s="21"/>
      <c r="U470" s="22">
        <f>IFERROR(__xludf.DUMMYFUNCTION("IFERROR(GOOGLEFINANCE(A470,""closeyest""),"""")"),6.73)</f>
        <v>6.73</v>
      </c>
      <c r="V470" s="23">
        <f>IFERROR(__xludf.DUMMYFUNCTION("IFERROR(GOOGLEFINANCE(A470,""changepct""),"""")"),-2.82)</f>
        <v>-2.82</v>
      </c>
      <c r="W470" s="22">
        <f>IFERROR(__xludf.DUMMYFUNCTION("IFERROR(GOOGLEFINANCE(A470,""priceopen""),"""")"),6.7)</f>
        <v>6.7</v>
      </c>
      <c r="X470" s="22">
        <f>IFERROR(__xludf.DUMMYFUNCTION("IFERROR(GOOGLEFINANCE(A470,""high""),"""")"),6.81)</f>
        <v>6.81</v>
      </c>
      <c r="Y470" s="22">
        <f>IFERROR(__xludf.DUMMYFUNCTION("IFERROR(GOOGLEFINANCE(A470,""low""),"""")"),6.42)</f>
        <v>6.42</v>
      </c>
      <c r="Z470" s="22">
        <f>IFERROR(__xludf.DUMMYFUNCTION("IFERROR(GOOGLEFINANCE(A470,""volume""),"""")"),1.2636785E7)</f>
        <v>12636785</v>
      </c>
      <c r="AA470" s="24" t="str">
        <f>VLOOKUP(A470,Metrik!$C$2:$Y$959,5,0)</f>
        <v>Oil &amp; Gas</v>
      </c>
      <c r="AB470" s="24" t="str">
        <f>VLOOKUP(A470,Metrik!$C$2:$Y$959,3,0)</f>
        <v>Energy</v>
      </c>
    </row>
    <row r="471">
      <c r="A471" s="17" t="s">
        <v>255</v>
      </c>
      <c r="B471" s="14" t="str">
        <f t="array" ref="B471">VLOOKUP(A471,{Metrik!$C$2:$C$998,Metrik!$B$2:$B$998},2,0)</f>
        <v>Bumi Resources Tbk.</v>
      </c>
      <c r="C471" s="15">
        <f>IFERROR(__xludf.DUMMYFUNCTION("GOOGLEFINANCE(""IDX:""&amp;A471,""price"")"),157.0)</f>
        <v>157</v>
      </c>
      <c r="D471" s="16" t="str">
        <f>IFERROR(__xludf.DUMMYFUNCTION("IF(A471="""","""",
SPARKLINE(
INDEX(
GOOGLEFINANCE(""IDX:""&amp;A471,""close"",TODAY()-365,TODAY()),
,2
),
{""linewidth"",1}
))
"),"#N/A")</f>
        <v>#N/A</v>
      </c>
      <c r="E471" s="14" t="s">
        <v>84</v>
      </c>
      <c r="F471" s="17" t="s">
        <v>51</v>
      </c>
      <c r="G471" s="24">
        <f t="shared" si="2"/>
        <v>11</v>
      </c>
      <c r="H471" s="19">
        <f>VLOOKUP(A471,Metrik!$C$2:$Y$959,8,0)</f>
        <v>42.3</v>
      </c>
      <c r="I471" s="20">
        <f>VLOOKUP(A471,Metrik!$C$2:$Y$959,9,0)</f>
        <v>1.3</v>
      </c>
      <c r="J471" s="20">
        <f>VLOOKUP(A471,Metrik!$C$2:$Y$959,10,0)</f>
        <v>3</v>
      </c>
      <c r="K471" s="20">
        <f>VLOOKUP(A471,Metrik!$C$2:$Y$959,11,0)</f>
        <v>1.9</v>
      </c>
      <c r="L471" s="20">
        <f>VLOOKUP(A471,Metrik!$C$2:$Y$959,12,0)</f>
        <v>0.53</v>
      </c>
      <c r="M471" s="20">
        <f>VLOOKUP(A471,Metrik!$C$2:$Y$959,19,0)</f>
        <v>20.8</v>
      </c>
      <c r="N471" s="21"/>
      <c r="O471" s="21"/>
      <c r="P471" s="21"/>
      <c r="Q471" s="21"/>
      <c r="R471" s="21"/>
      <c r="S471" s="21"/>
      <c r="T471" s="21"/>
      <c r="U471" s="22">
        <f>IFERROR(__xludf.DUMMYFUNCTION("IFERROR(GOOGLEFINANCE(A471,""closeyest""),"""")"),140.0)</f>
        <v>140</v>
      </c>
      <c r="V471" s="23">
        <f>IFERROR(__xludf.DUMMYFUNCTION("IFERROR(GOOGLEFINANCE(A471,""changepct""),"""")"),12.14)</f>
        <v>12.14</v>
      </c>
      <c r="W471" s="22">
        <f>IFERROR(__xludf.DUMMYFUNCTION("IFERROR(GOOGLEFINANCE(A471,""priceopen""),"""")"),144.0)</f>
        <v>144</v>
      </c>
      <c r="X471" s="22">
        <f>IFERROR(__xludf.DUMMYFUNCTION("IFERROR(GOOGLEFINANCE(A471,""high""),"""")"),162.0)</f>
        <v>162</v>
      </c>
      <c r="Y471" s="22">
        <f>IFERROR(__xludf.DUMMYFUNCTION("IFERROR(GOOGLEFINANCE(A471,""low""),"""")"),143.0)</f>
        <v>143</v>
      </c>
      <c r="Z471" s="22">
        <f>IFERROR(__xludf.DUMMYFUNCTION("IFERROR(GOOGLEFINANCE(A471,""volume""),"""")"),6.6306597E9)</f>
        <v>6630659700</v>
      </c>
      <c r="AA471" s="24" t="str">
        <f>VLOOKUP(A471,Metrik!$C$2:$Y$959,5,0)</f>
        <v>Coal</v>
      </c>
      <c r="AB471" s="24" t="str">
        <f>VLOOKUP(A471,Metrik!$C$2:$Y$959,3,0)</f>
        <v>Energy</v>
      </c>
    </row>
    <row r="472">
      <c r="A472" s="14" t="s">
        <v>255</v>
      </c>
      <c r="B472" s="14" t="str">
        <f t="array" ref="B472">VLOOKUP(A472,{Metrik!$C$2:$C$998,Metrik!$B$2:$B$998},2,0)</f>
        <v>Bumi Resources Tbk.</v>
      </c>
      <c r="C472" s="15">
        <f>IFERROR(__xludf.DUMMYFUNCTION("GOOGLEFINANCE(""IDX:""&amp;A472,""price"")"),157.0)</f>
        <v>157</v>
      </c>
      <c r="D472" s="16" t="str">
        <f>IFERROR(__xludf.DUMMYFUNCTION("IF(A472="""","""",
SPARKLINE(
INDEX(
GOOGLEFINANCE(""IDX:""&amp;A472,""close"",TODAY()-365,TODAY()),
,2
),
{""linewidth"",1}
))
"),"#N/A")</f>
        <v>#N/A</v>
      </c>
      <c r="E472" s="14" t="s">
        <v>31</v>
      </c>
      <c r="F472" s="17" t="s">
        <v>29</v>
      </c>
      <c r="G472" s="24">
        <f t="shared" si="2"/>
        <v>11</v>
      </c>
      <c r="H472" s="19">
        <f>VLOOKUP(A472,Metrik!$C$2:$Y$959,8,0)</f>
        <v>42.3</v>
      </c>
      <c r="I472" s="20">
        <f>VLOOKUP(A472,Metrik!$C$2:$Y$959,9,0)</f>
        <v>1.3</v>
      </c>
      <c r="J472" s="20">
        <f>VLOOKUP(A472,Metrik!$C$2:$Y$959,10,0)</f>
        <v>3</v>
      </c>
      <c r="K472" s="20">
        <f>VLOOKUP(A472,Metrik!$C$2:$Y$959,11,0)</f>
        <v>1.9</v>
      </c>
      <c r="L472" s="20">
        <f>VLOOKUP(A472,Metrik!$C$2:$Y$959,12,0)</f>
        <v>0.53</v>
      </c>
      <c r="M472" s="20">
        <f>VLOOKUP(A472,Metrik!$C$2:$Y$959,19,0)</f>
        <v>20.8</v>
      </c>
      <c r="N472" s="21"/>
      <c r="O472" s="21"/>
      <c r="P472" s="21"/>
      <c r="Q472" s="21"/>
      <c r="R472" s="21"/>
      <c r="S472" s="21"/>
      <c r="T472" s="21"/>
      <c r="U472" s="22">
        <f>IFERROR(__xludf.DUMMYFUNCTION("IFERROR(GOOGLEFINANCE(A472,""closeyest""),"""")"),140.0)</f>
        <v>140</v>
      </c>
      <c r="V472" s="23">
        <f>IFERROR(__xludf.DUMMYFUNCTION("IFERROR(GOOGLEFINANCE(A472,""changepct""),"""")"),12.14)</f>
        <v>12.14</v>
      </c>
      <c r="W472" s="22">
        <f>IFERROR(__xludf.DUMMYFUNCTION("IFERROR(GOOGLEFINANCE(A472,""priceopen""),"""")"),144.0)</f>
        <v>144</v>
      </c>
      <c r="X472" s="22">
        <f>IFERROR(__xludf.DUMMYFUNCTION("IFERROR(GOOGLEFINANCE(A472,""high""),"""")"),162.0)</f>
        <v>162</v>
      </c>
      <c r="Y472" s="22">
        <f>IFERROR(__xludf.DUMMYFUNCTION("IFERROR(GOOGLEFINANCE(A472,""low""),"""")"),143.0)</f>
        <v>143</v>
      </c>
      <c r="Z472" s="22">
        <f>IFERROR(__xludf.DUMMYFUNCTION("IFERROR(GOOGLEFINANCE(A472,""volume""),"""")"),6.6306597E9)</f>
        <v>6630659700</v>
      </c>
      <c r="AA472" s="24" t="str">
        <f>VLOOKUP(A472,Metrik!$C$2:$Y$959,5,0)</f>
        <v>Coal</v>
      </c>
      <c r="AB472" s="24" t="str">
        <f>VLOOKUP(A472,Metrik!$C$2:$Y$959,3,0)</f>
        <v>Energy</v>
      </c>
    </row>
    <row r="473">
      <c r="A473" s="14" t="s">
        <v>255</v>
      </c>
      <c r="B473" s="14" t="str">
        <f t="array" ref="B473">VLOOKUP(A473,{Metrik!$C$2:$C$998,Metrik!$B$2:$B$998},2,0)</f>
        <v>Bumi Resources Tbk.</v>
      </c>
      <c r="C473" s="15">
        <f>IFERROR(__xludf.DUMMYFUNCTION("GOOGLEFINANCE(""IDX:""&amp;A473,""price"")"),157.0)</f>
        <v>157</v>
      </c>
      <c r="D473" s="16" t="str">
        <f>IFERROR(__xludf.DUMMYFUNCTION("IF(A473="""","""",
SPARKLINE(
INDEX(
GOOGLEFINANCE(""IDX:""&amp;A473,""close"",TODAY()-365,TODAY()),
,2
),
{""linewidth"",1}
))
"),"#N/A")</f>
        <v>#N/A</v>
      </c>
      <c r="E473" s="14" t="s">
        <v>32</v>
      </c>
      <c r="F473" s="14" t="s">
        <v>29</v>
      </c>
      <c r="G473" s="24">
        <f t="shared" si="2"/>
        <v>11</v>
      </c>
      <c r="H473" s="19">
        <f>VLOOKUP(A473,Metrik!$C$2:$Y$959,8,0)</f>
        <v>42.3</v>
      </c>
      <c r="I473" s="20">
        <f>VLOOKUP(A473,Metrik!$C$2:$Y$959,9,0)</f>
        <v>1.3</v>
      </c>
      <c r="J473" s="20">
        <f>VLOOKUP(A473,Metrik!$C$2:$Y$959,10,0)</f>
        <v>3</v>
      </c>
      <c r="K473" s="20">
        <f>VLOOKUP(A473,Metrik!$C$2:$Y$959,11,0)</f>
        <v>1.9</v>
      </c>
      <c r="L473" s="20">
        <f>VLOOKUP(A473,Metrik!$C$2:$Y$959,12,0)</f>
        <v>0.53</v>
      </c>
      <c r="M473" s="20">
        <f>VLOOKUP(A473,Metrik!$C$2:$Y$959,19,0)</f>
        <v>20.8</v>
      </c>
      <c r="N473" s="21"/>
      <c r="O473" s="21"/>
      <c r="P473" s="21"/>
      <c r="Q473" s="21"/>
      <c r="R473" s="21"/>
      <c r="S473" s="21"/>
      <c r="T473" s="21"/>
      <c r="U473" s="22">
        <f>IFERROR(__xludf.DUMMYFUNCTION("IFERROR(GOOGLEFINANCE(A473,""closeyest""),"""")"),140.0)</f>
        <v>140</v>
      </c>
      <c r="V473" s="23">
        <f>IFERROR(__xludf.DUMMYFUNCTION("IFERROR(GOOGLEFINANCE(A473,""changepct""),"""")"),12.14)</f>
        <v>12.14</v>
      </c>
      <c r="W473" s="22">
        <f>IFERROR(__xludf.DUMMYFUNCTION("IFERROR(GOOGLEFINANCE(A473,""priceopen""),"""")"),144.0)</f>
        <v>144</v>
      </c>
      <c r="X473" s="22">
        <f>IFERROR(__xludf.DUMMYFUNCTION("IFERROR(GOOGLEFINANCE(A473,""high""),"""")"),162.0)</f>
        <v>162</v>
      </c>
      <c r="Y473" s="22">
        <f>IFERROR(__xludf.DUMMYFUNCTION("IFERROR(GOOGLEFINANCE(A473,""low""),"""")"),143.0)</f>
        <v>143</v>
      </c>
      <c r="Z473" s="22">
        <f>IFERROR(__xludf.DUMMYFUNCTION("IFERROR(GOOGLEFINANCE(A473,""volume""),"""")"),6.6306597E9)</f>
        <v>6630659700</v>
      </c>
      <c r="AA473" s="24" t="str">
        <f>VLOOKUP(A473,Metrik!$C$2:$Y$959,5,0)</f>
        <v>Coal</v>
      </c>
      <c r="AB473" s="24" t="str">
        <f>VLOOKUP(A473,Metrik!$C$2:$Y$959,3,0)</f>
        <v>Energy</v>
      </c>
    </row>
    <row r="474">
      <c r="A474" s="14" t="s">
        <v>255</v>
      </c>
      <c r="B474" s="14" t="str">
        <f t="array" ref="B474">VLOOKUP(A474,{Metrik!$C$2:$C$998,Metrik!$B$2:$B$998},2,0)</f>
        <v>Bumi Resources Tbk.</v>
      </c>
      <c r="C474" s="15">
        <f>IFERROR(__xludf.DUMMYFUNCTION("GOOGLEFINANCE(""IDX:""&amp;A474,""price"")"),157.0)</f>
        <v>157</v>
      </c>
      <c r="D474" s="16" t="str">
        <f>IFERROR(__xludf.DUMMYFUNCTION("IF(A474="""","""",
SPARKLINE(
INDEX(
GOOGLEFINANCE(""IDX:""&amp;A474,""close"",TODAY()-365,TODAY()),
,2
),
{""linewidth"",1}
))
"),"#N/A")</f>
        <v>#N/A</v>
      </c>
      <c r="E474" s="14" t="s">
        <v>67</v>
      </c>
      <c r="F474" s="17" t="s">
        <v>51</v>
      </c>
      <c r="G474" s="24">
        <f t="shared" si="2"/>
        <v>11</v>
      </c>
      <c r="H474" s="19">
        <f>VLOOKUP(A474,Metrik!$C$2:$Y$959,8,0)</f>
        <v>42.3</v>
      </c>
      <c r="I474" s="20">
        <f>VLOOKUP(A474,Metrik!$C$2:$Y$959,9,0)</f>
        <v>1.3</v>
      </c>
      <c r="J474" s="20">
        <f>VLOOKUP(A474,Metrik!$C$2:$Y$959,10,0)</f>
        <v>3</v>
      </c>
      <c r="K474" s="20">
        <f>VLOOKUP(A474,Metrik!$C$2:$Y$959,11,0)</f>
        <v>1.9</v>
      </c>
      <c r="L474" s="20">
        <f>VLOOKUP(A474,Metrik!$C$2:$Y$959,12,0)</f>
        <v>0.53</v>
      </c>
      <c r="M474" s="20">
        <f>VLOOKUP(A474,Metrik!$C$2:$Y$959,19,0)</f>
        <v>20.8</v>
      </c>
      <c r="N474" s="21"/>
      <c r="O474" s="21"/>
      <c r="P474" s="21"/>
      <c r="Q474" s="21"/>
      <c r="R474" s="21"/>
      <c r="S474" s="21"/>
      <c r="T474" s="21"/>
      <c r="U474" s="22">
        <f>IFERROR(__xludf.DUMMYFUNCTION("IFERROR(GOOGLEFINANCE(A474,""closeyest""),"""")"),140.0)</f>
        <v>140</v>
      </c>
      <c r="V474" s="23">
        <f>IFERROR(__xludf.DUMMYFUNCTION("IFERROR(GOOGLEFINANCE(A474,""changepct""),"""")"),12.14)</f>
        <v>12.14</v>
      </c>
      <c r="W474" s="22">
        <f>IFERROR(__xludf.DUMMYFUNCTION("IFERROR(GOOGLEFINANCE(A474,""priceopen""),"""")"),144.0)</f>
        <v>144</v>
      </c>
      <c r="X474" s="22">
        <f>IFERROR(__xludf.DUMMYFUNCTION("IFERROR(GOOGLEFINANCE(A474,""high""),"""")"),162.0)</f>
        <v>162</v>
      </c>
      <c r="Y474" s="22">
        <f>IFERROR(__xludf.DUMMYFUNCTION("IFERROR(GOOGLEFINANCE(A474,""low""),"""")"),143.0)</f>
        <v>143</v>
      </c>
      <c r="Z474" s="22">
        <f>IFERROR(__xludf.DUMMYFUNCTION("IFERROR(GOOGLEFINANCE(A474,""volume""),"""")"),6.6306597E9)</f>
        <v>6630659700</v>
      </c>
      <c r="AA474" s="24" t="str">
        <f>VLOOKUP(A474,Metrik!$C$2:$Y$959,5,0)</f>
        <v>Coal</v>
      </c>
      <c r="AB474" s="24" t="str">
        <f>VLOOKUP(A474,Metrik!$C$2:$Y$959,3,0)</f>
        <v>Energy</v>
      </c>
    </row>
    <row r="475">
      <c r="A475" s="14" t="s">
        <v>255</v>
      </c>
      <c r="B475" s="14" t="str">
        <f t="array" ref="B475">VLOOKUP(A475,{Metrik!$C$2:$C$998,Metrik!$B$2:$B$998},2,0)</f>
        <v>Bumi Resources Tbk.</v>
      </c>
      <c r="C475" s="15">
        <f>IFERROR(__xludf.DUMMYFUNCTION("GOOGLEFINANCE(""IDX:""&amp;A475,""price"")"),157.0)</f>
        <v>157</v>
      </c>
      <c r="D475" s="16" t="str">
        <f>IFERROR(__xludf.DUMMYFUNCTION("IF(A475="""","""",
SPARKLINE(
INDEX(
GOOGLEFINANCE(""IDX:""&amp;A475,""close"",TODAY()-365,TODAY()),
,2
),
{""linewidth"",1}
))
"),"#N/A")</f>
        <v>#N/A</v>
      </c>
      <c r="E475" s="14" t="s">
        <v>28</v>
      </c>
      <c r="F475" s="17" t="s">
        <v>29</v>
      </c>
      <c r="G475" s="24">
        <f t="shared" si="2"/>
        <v>11</v>
      </c>
      <c r="H475" s="19">
        <f>VLOOKUP(A475,Metrik!$C$2:$Y$959,8,0)</f>
        <v>42.3</v>
      </c>
      <c r="I475" s="20">
        <f>VLOOKUP(A475,Metrik!$C$2:$Y$959,9,0)</f>
        <v>1.3</v>
      </c>
      <c r="J475" s="20">
        <f>VLOOKUP(A475,Metrik!$C$2:$Y$959,10,0)</f>
        <v>3</v>
      </c>
      <c r="K475" s="20">
        <f>VLOOKUP(A475,Metrik!$C$2:$Y$959,11,0)</f>
        <v>1.9</v>
      </c>
      <c r="L475" s="20">
        <f>VLOOKUP(A475,Metrik!$C$2:$Y$959,12,0)</f>
        <v>0.53</v>
      </c>
      <c r="M475" s="20">
        <f>VLOOKUP(A475,Metrik!$C$2:$Y$959,19,0)</f>
        <v>20.8</v>
      </c>
      <c r="N475" s="21"/>
      <c r="O475" s="21"/>
      <c r="P475" s="21"/>
      <c r="Q475" s="21"/>
      <c r="R475" s="21"/>
      <c r="S475" s="21"/>
      <c r="T475" s="21"/>
      <c r="U475" s="22">
        <f>IFERROR(__xludf.DUMMYFUNCTION("IFERROR(GOOGLEFINANCE(A475,""closeyest""),"""")"),140.0)</f>
        <v>140</v>
      </c>
      <c r="V475" s="23">
        <f>IFERROR(__xludf.DUMMYFUNCTION("IFERROR(GOOGLEFINANCE(A475,""changepct""),"""")"),12.14)</f>
        <v>12.14</v>
      </c>
      <c r="W475" s="22">
        <f>IFERROR(__xludf.DUMMYFUNCTION("IFERROR(GOOGLEFINANCE(A475,""priceopen""),"""")"),144.0)</f>
        <v>144</v>
      </c>
      <c r="X475" s="22">
        <f>IFERROR(__xludf.DUMMYFUNCTION("IFERROR(GOOGLEFINANCE(A475,""high""),"""")"),162.0)</f>
        <v>162</v>
      </c>
      <c r="Y475" s="22">
        <f>IFERROR(__xludf.DUMMYFUNCTION("IFERROR(GOOGLEFINANCE(A475,""low""),"""")"),143.0)</f>
        <v>143</v>
      </c>
      <c r="Z475" s="22">
        <f>IFERROR(__xludf.DUMMYFUNCTION("IFERROR(GOOGLEFINANCE(A475,""volume""),"""")"),6.6306597E9)</f>
        <v>6630659700</v>
      </c>
      <c r="AA475" s="24" t="str">
        <f>VLOOKUP(A475,Metrik!$C$2:$Y$959,5,0)</f>
        <v>Coal</v>
      </c>
      <c r="AB475" s="24" t="str">
        <f>VLOOKUP(A475,Metrik!$C$2:$Y$959,3,0)</f>
        <v>Energy</v>
      </c>
    </row>
    <row r="476">
      <c r="A476" s="14" t="s">
        <v>255</v>
      </c>
      <c r="B476" s="14" t="str">
        <f t="array" ref="B476">VLOOKUP(A476,{Metrik!$C$2:$C$998,Metrik!$B$2:$B$998},2,0)</f>
        <v>Bumi Resources Tbk.</v>
      </c>
      <c r="C476" s="15">
        <f>IFERROR(__xludf.DUMMYFUNCTION("GOOGLEFINANCE(""IDX:""&amp;A476,""price"")"),157.0)</f>
        <v>157</v>
      </c>
      <c r="D476" s="16" t="str">
        <f>IFERROR(__xludf.DUMMYFUNCTION("IF(A476="""","""",
SPARKLINE(
INDEX(
GOOGLEFINANCE(""IDX:""&amp;A476,""close"",TODAY()-365,TODAY()),
,2
),
{""linewidth"",1}
))
"),"#N/A")</f>
        <v>#N/A</v>
      </c>
      <c r="E476" s="14" t="s">
        <v>30</v>
      </c>
      <c r="F476" s="17" t="s">
        <v>29</v>
      </c>
      <c r="G476" s="24">
        <f t="shared" si="2"/>
        <v>11</v>
      </c>
      <c r="H476" s="19">
        <f>VLOOKUP(A476,Metrik!$C$2:$Y$959,8,0)</f>
        <v>42.3</v>
      </c>
      <c r="I476" s="20">
        <f>VLOOKUP(A476,Metrik!$C$2:$Y$959,9,0)</f>
        <v>1.3</v>
      </c>
      <c r="J476" s="20">
        <f>VLOOKUP(A476,Metrik!$C$2:$Y$959,10,0)</f>
        <v>3</v>
      </c>
      <c r="K476" s="20">
        <f>VLOOKUP(A476,Metrik!$C$2:$Y$959,11,0)</f>
        <v>1.9</v>
      </c>
      <c r="L476" s="20">
        <f>VLOOKUP(A476,Metrik!$C$2:$Y$959,12,0)</f>
        <v>0.53</v>
      </c>
      <c r="M476" s="20">
        <f>VLOOKUP(A476,Metrik!$C$2:$Y$959,19,0)</f>
        <v>20.8</v>
      </c>
      <c r="N476" s="21"/>
      <c r="O476" s="21"/>
      <c r="P476" s="21"/>
      <c r="Q476" s="21"/>
      <c r="R476" s="21"/>
      <c r="S476" s="21"/>
      <c r="T476" s="21"/>
      <c r="U476" s="22">
        <f>IFERROR(__xludf.DUMMYFUNCTION("IFERROR(GOOGLEFINANCE(A476,""closeyest""),"""")"),140.0)</f>
        <v>140</v>
      </c>
      <c r="V476" s="23">
        <f>IFERROR(__xludf.DUMMYFUNCTION("IFERROR(GOOGLEFINANCE(A476,""changepct""),"""")"),12.14)</f>
        <v>12.14</v>
      </c>
      <c r="W476" s="22">
        <f>IFERROR(__xludf.DUMMYFUNCTION("IFERROR(GOOGLEFINANCE(A476,""priceopen""),"""")"),144.0)</f>
        <v>144</v>
      </c>
      <c r="X476" s="22">
        <f>IFERROR(__xludf.DUMMYFUNCTION("IFERROR(GOOGLEFINANCE(A476,""high""),"""")"),162.0)</f>
        <v>162</v>
      </c>
      <c r="Y476" s="22">
        <f>IFERROR(__xludf.DUMMYFUNCTION("IFERROR(GOOGLEFINANCE(A476,""low""),"""")"),143.0)</f>
        <v>143</v>
      </c>
      <c r="Z476" s="22">
        <f>IFERROR(__xludf.DUMMYFUNCTION("IFERROR(GOOGLEFINANCE(A476,""volume""),"""")"),6.6306597E9)</f>
        <v>6630659700</v>
      </c>
      <c r="AA476" s="24" t="str">
        <f>VLOOKUP(A476,Metrik!$C$2:$Y$959,5,0)</f>
        <v>Coal</v>
      </c>
      <c r="AB476" s="24" t="str">
        <f>VLOOKUP(A476,Metrik!$C$2:$Y$959,3,0)</f>
        <v>Energy</v>
      </c>
    </row>
    <row r="477">
      <c r="A477" s="14" t="s">
        <v>255</v>
      </c>
      <c r="B477" s="14" t="str">
        <f t="array" ref="B477">VLOOKUP(A477,{Metrik!$C$2:$C$998,Metrik!$B$2:$B$998},2,0)</f>
        <v>Bumi Resources Tbk.</v>
      </c>
      <c r="C477" s="15">
        <f>IFERROR(__xludf.DUMMYFUNCTION("GOOGLEFINANCE(""IDX:""&amp;A477,""price"")"),157.0)</f>
        <v>157</v>
      </c>
      <c r="D477" s="16" t="str">
        <f>IFERROR(__xludf.DUMMYFUNCTION("IF(A477="""","""",
SPARKLINE(
INDEX(
GOOGLEFINANCE(""IDX:""&amp;A477,""close"",TODAY()-365,TODAY()),
,2
),
{""linewidth"",1}
))
"),"#N/A")</f>
        <v>#N/A</v>
      </c>
      <c r="E477" s="14" t="s">
        <v>161</v>
      </c>
      <c r="F477" s="14" t="s">
        <v>76</v>
      </c>
      <c r="G477" s="24">
        <f t="shared" si="2"/>
        <v>11</v>
      </c>
      <c r="H477" s="19">
        <f>VLOOKUP(A477,Metrik!$C$2:$Y$959,8,0)</f>
        <v>42.3</v>
      </c>
      <c r="I477" s="20">
        <f>VLOOKUP(A477,Metrik!$C$2:$Y$959,9,0)</f>
        <v>1.3</v>
      </c>
      <c r="J477" s="20">
        <f>VLOOKUP(A477,Metrik!$C$2:$Y$959,10,0)</f>
        <v>3</v>
      </c>
      <c r="K477" s="20">
        <f>VLOOKUP(A477,Metrik!$C$2:$Y$959,11,0)</f>
        <v>1.9</v>
      </c>
      <c r="L477" s="20">
        <f>VLOOKUP(A477,Metrik!$C$2:$Y$959,12,0)</f>
        <v>0.53</v>
      </c>
      <c r="M477" s="20">
        <f>VLOOKUP(A477,Metrik!$C$2:$Y$959,19,0)</f>
        <v>20.8</v>
      </c>
      <c r="N477" s="21"/>
      <c r="O477" s="21"/>
      <c r="P477" s="21"/>
      <c r="Q477" s="21"/>
      <c r="R477" s="21"/>
      <c r="S477" s="21"/>
      <c r="T477" s="21"/>
      <c r="U477" s="22">
        <f>IFERROR(__xludf.DUMMYFUNCTION("IFERROR(GOOGLEFINANCE(A477,""closeyest""),"""")"),140.0)</f>
        <v>140</v>
      </c>
      <c r="V477" s="23">
        <f>IFERROR(__xludf.DUMMYFUNCTION("IFERROR(GOOGLEFINANCE(A477,""changepct""),"""")"),12.14)</f>
        <v>12.14</v>
      </c>
      <c r="W477" s="22">
        <f>IFERROR(__xludf.DUMMYFUNCTION("IFERROR(GOOGLEFINANCE(A477,""priceopen""),"""")"),144.0)</f>
        <v>144</v>
      </c>
      <c r="X477" s="22">
        <f>IFERROR(__xludf.DUMMYFUNCTION("IFERROR(GOOGLEFINANCE(A477,""high""),"""")"),162.0)</f>
        <v>162</v>
      </c>
      <c r="Y477" s="22">
        <f>IFERROR(__xludf.DUMMYFUNCTION("IFERROR(GOOGLEFINANCE(A477,""low""),"""")"),143.0)</f>
        <v>143</v>
      </c>
      <c r="Z477" s="22">
        <f>IFERROR(__xludf.DUMMYFUNCTION("IFERROR(GOOGLEFINANCE(A477,""volume""),"""")"),6.6306597E9)</f>
        <v>6630659700</v>
      </c>
      <c r="AA477" s="24" t="str">
        <f>VLOOKUP(A477,Metrik!$C$2:$Y$959,5,0)</f>
        <v>Coal</v>
      </c>
      <c r="AB477" s="24" t="str">
        <f>VLOOKUP(A477,Metrik!$C$2:$Y$959,3,0)</f>
        <v>Energy</v>
      </c>
    </row>
    <row r="478">
      <c r="A478" s="17" t="s">
        <v>255</v>
      </c>
      <c r="B478" s="14" t="str">
        <f t="array" ref="B478">VLOOKUP(A478,{Metrik!$C$2:$C$998,Metrik!$B$2:$B$998},2,0)</f>
        <v>Bumi Resources Tbk.</v>
      </c>
      <c r="C478" s="15">
        <f>IFERROR(__xludf.DUMMYFUNCTION("GOOGLEFINANCE(""IDX:""&amp;A478,""price"")"),157.0)</f>
        <v>157</v>
      </c>
      <c r="D478" s="16" t="str">
        <f>IFERROR(__xludf.DUMMYFUNCTION("IF(A478="""","""",
SPARKLINE(
INDEX(
GOOGLEFINANCE(""IDX:""&amp;A478,""close"",TODAY()-365,TODAY()),
,2
),
{""linewidth"",1}
))
"),"#N/A")</f>
        <v>#N/A</v>
      </c>
      <c r="E478" s="14" t="s">
        <v>35</v>
      </c>
      <c r="F478" s="17" t="s">
        <v>36</v>
      </c>
      <c r="G478" s="24">
        <f t="shared" si="2"/>
        <v>11</v>
      </c>
      <c r="H478" s="19">
        <f>VLOOKUP(A478,Metrik!$C$2:$Y$959,8,0)</f>
        <v>42.3</v>
      </c>
      <c r="I478" s="20">
        <f>VLOOKUP(A478,Metrik!$C$2:$Y$959,9,0)</f>
        <v>1.3</v>
      </c>
      <c r="J478" s="20">
        <f>VLOOKUP(A478,Metrik!$C$2:$Y$959,10,0)</f>
        <v>3</v>
      </c>
      <c r="K478" s="20">
        <f>VLOOKUP(A478,Metrik!$C$2:$Y$959,11,0)</f>
        <v>1.9</v>
      </c>
      <c r="L478" s="20">
        <f>VLOOKUP(A478,Metrik!$C$2:$Y$959,12,0)</f>
        <v>0.53</v>
      </c>
      <c r="M478" s="20">
        <f>VLOOKUP(A478,Metrik!$C$2:$Y$959,19,0)</f>
        <v>20.8</v>
      </c>
      <c r="N478" s="29">
        <v>5.4</v>
      </c>
      <c r="O478" s="29">
        <v>23.2</v>
      </c>
      <c r="P478" s="29">
        <v>83.0</v>
      </c>
      <c r="Q478" s="29">
        <v>1.9</v>
      </c>
      <c r="R478" s="29">
        <v>65.9</v>
      </c>
      <c r="S478" s="29">
        <v>42.4</v>
      </c>
      <c r="T478" s="29">
        <v>5.9</v>
      </c>
      <c r="U478" s="22">
        <f>IFERROR(__xludf.DUMMYFUNCTION("IFERROR(GOOGLEFINANCE(A478,""closeyest""),"""")"),140.0)</f>
        <v>140</v>
      </c>
      <c r="V478" s="23">
        <f>IFERROR(__xludf.DUMMYFUNCTION("IFERROR(GOOGLEFINANCE(A478,""changepct""),"""")"),12.14)</f>
        <v>12.14</v>
      </c>
      <c r="W478" s="22">
        <f>IFERROR(__xludf.DUMMYFUNCTION("IFERROR(GOOGLEFINANCE(A478,""priceopen""),"""")"),144.0)</f>
        <v>144</v>
      </c>
      <c r="X478" s="22">
        <f>IFERROR(__xludf.DUMMYFUNCTION("IFERROR(GOOGLEFINANCE(A478,""high""),"""")"),162.0)</f>
        <v>162</v>
      </c>
      <c r="Y478" s="22">
        <f>IFERROR(__xludf.DUMMYFUNCTION("IFERROR(GOOGLEFINANCE(A478,""low""),"""")"),143.0)</f>
        <v>143</v>
      </c>
      <c r="Z478" s="22">
        <f>IFERROR(__xludf.DUMMYFUNCTION("IFERROR(GOOGLEFINANCE(A478,""volume""),"""")"),6.6306597E9)</f>
        <v>6630659700</v>
      </c>
      <c r="AA478" s="24" t="str">
        <f>VLOOKUP(A478,Metrik!$C$2:$Y$959,5,0)</f>
        <v>Coal</v>
      </c>
      <c r="AB478" s="24" t="str">
        <f>VLOOKUP(A478,Metrik!$C$2:$Y$959,3,0)</f>
        <v>Energy</v>
      </c>
    </row>
    <row r="479">
      <c r="A479" s="17" t="s">
        <v>255</v>
      </c>
      <c r="B479" s="14" t="str">
        <f t="array" ref="B479">VLOOKUP(A479,{Metrik!$C$2:$C$998,Metrik!$B$2:$B$998},2,0)</f>
        <v>Bumi Resources Tbk.</v>
      </c>
      <c r="C479" s="15">
        <f>IFERROR(__xludf.DUMMYFUNCTION("GOOGLEFINANCE(""IDX:""&amp;A479,""price"")"),157.0)</f>
        <v>157</v>
      </c>
      <c r="D479" s="16" t="str">
        <f>IFERROR(__xludf.DUMMYFUNCTION("IF(A479="""","""",
SPARKLINE(
INDEX(
GOOGLEFINANCE(""IDX:""&amp;A479,""close"",TODAY()-365,TODAY()),
,2
),
{""linewidth"",1}
))
"),"#N/A")</f>
        <v>#N/A</v>
      </c>
      <c r="E479" s="14" t="s">
        <v>65</v>
      </c>
      <c r="F479" s="37">
        <v>46356.0</v>
      </c>
      <c r="G479" s="38">
        <f t="shared" si="2"/>
        <v>11</v>
      </c>
      <c r="H479" s="34">
        <f>VLOOKUP(A479,Metrik!$C$2:$Y$959,8,0)</f>
        <v>42.3</v>
      </c>
      <c r="I479" s="34">
        <f>VLOOKUP(A479,Metrik!$C$2:$Y$959,9,0)</f>
        <v>1.3</v>
      </c>
      <c r="J479" s="34">
        <f>VLOOKUP(A479,Metrik!$C$2:$Y$959,10,0)</f>
        <v>3</v>
      </c>
      <c r="K479" s="34">
        <f>VLOOKUP(A479,Metrik!$C$2:$Y$959,11,0)</f>
        <v>1.9</v>
      </c>
      <c r="L479" s="34">
        <f>VLOOKUP(A479,Metrik!$C$2:$Y$959,12,0)</f>
        <v>0.53</v>
      </c>
      <c r="M479" s="34">
        <f>VLOOKUP(A479,Metrik!$C$2:$Y$959,19,0)</f>
        <v>20.8</v>
      </c>
      <c r="N479" s="26"/>
      <c r="O479" s="26"/>
      <c r="P479" s="26"/>
      <c r="Q479" s="26"/>
      <c r="R479" s="26"/>
      <c r="S479" s="26"/>
      <c r="T479" s="26"/>
      <c r="U479" s="35">
        <f>IFERROR(__xludf.DUMMYFUNCTION("IFERROR(GOOGLEFINANCE(A479,""closeyest""),"""")"),140.0)</f>
        <v>140</v>
      </c>
      <c r="V479" s="36">
        <f>IFERROR(__xludf.DUMMYFUNCTION("IFERROR(GOOGLEFINANCE(A479,""changepct""),"""")"),12.14)</f>
        <v>12.14</v>
      </c>
      <c r="W479" s="35">
        <f>IFERROR(__xludf.DUMMYFUNCTION("IFERROR(GOOGLEFINANCE(A479,""priceopen""),"""")"),144.0)</f>
        <v>144</v>
      </c>
      <c r="X479" s="35">
        <f>IFERROR(__xludf.DUMMYFUNCTION("IFERROR(GOOGLEFINANCE(A479,""high""),"""")"),162.0)</f>
        <v>162</v>
      </c>
      <c r="Y479" s="35">
        <f>IFERROR(__xludf.DUMMYFUNCTION("IFERROR(GOOGLEFINANCE(A479,""low""),"""")"),143.0)</f>
        <v>143</v>
      </c>
      <c r="Z479" s="35">
        <f>IFERROR(__xludf.DUMMYFUNCTION("IFERROR(GOOGLEFINANCE(A479,""volume""),"""")"),6.6306597E9)</f>
        <v>6630659700</v>
      </c>
      <c r="AA479" s="14" t="str">
        <f>VLOOKUP(A479,Metrik!$C$2:$Y$959,5,0)</f>
        <v>Coal</v>
      </c>
      <c r="AB479" s="14" t="str">
        <f>VLOOKUP(A479,Metrik!$C$2:$Y$959,3,0)</f>
        <v>Energy</v>
      </c>
    </row>
    <row r="480">
      <c r="A480" s="14" t="s">
        <v>255</v>
      </c>
      <c r="B480" s="14" t="str">
        <f t="array" ref="B480">VLOOKUP(A480,{Metrik!$C$2:$C$998,Metrik!$B$2:$B$998},2,0)</f>
        <v>Bumi Resources Tbk.</v>
      </c>
      <c r="C480" s="15">
        <f>IFERROR(__xludf.DUMMYFUNCTION("GOOGLEFINANCE(""IDX:""&amp;A480,""price"")"),157.0)</f>
        <v>157</v>
      </c>
      <c r="D480" s="16" t="str">
        <f>IFERROR(__xludf.DUMMYFUNCTION("IF(A480="""","""",
SPARKLINE(
INDEX(
GOOGLEFINANCE(""IDX:""&amp;A480,""close"",TODAY()-365,TODAY()),
,2
),
{""linewidth"",1}
))
"),"#N/A")</f>
        <v>#N/A</v>
      </c>
      <c r="E480" s="14" t="s">
        <v>38</v>
      </c>
      <c r="F480" s="25">
        <v>46356.0</v>
      </c>
      <c r="G480" s="24">
        <f t="shared" si="2"/>
        <v>11</v>
      </c>
      <c r="H480" s="19">
        <f>VLOOKUP(A480,Metrik!$C$2:$Y$959,8,0)</f>
        <v>42.3</v>
      </c>
      <c r="I480" s="20">
        <f>VLOOKUP(A480,Metrik!$C$2:$Y$959,9,0)</f>
        <v>1.3</v>
      </c>
      <c r="J480" s="20">
        <f>VLOOKUP(A480,Metrik!$C$2:$Y$959,10,0)</f>
        <v>3</v>
      </c>
      <c r="K480" s="20">
        <f>VLOOKUP(A480,Metrik!$C$2:$Y$959,11,0)</f>
        <v>1.9</v>
      </c>
      <c r="L480" s="20">
        <f>VLOOKUP(A480,Metrik!$C$2:$Y$959,12,0)</f>
        <v>0.53</v>
      </c>
      <c r="M480" s="20">
        <f>VLOOKUP(A480,Metrik!$C$2:$Y$959,19,0)</f>
        <v>20.8</v>
      </c>
      <c r="N480" s="21"/>
      <c r="O480" s="21"/>
      <c r="P480" s="21"/>
      <c r="Q480" s="21"/>
      <c r="R480" s="21"/>
      <c r="S480" s="21"/>
      <c r="T480" s="21"/>
      <c r="U480" s="22">
        <f>IFERROR(__xludf.DUMMYFUNCTION("IFERROR(GOOGLEFINANCE(A480,""closeyest""),"""")"),140.0)</f>
        <v>140</v>
      </c>
      <c r="V480" s="23">
        <f>IFERROR(__xludf.DUMMYFUNCTION("IFERROR(GOOGLEFINANCE(A480,""changepct""),"""")"),12.14)</f>
        <v>12.14</v>
      </c>
      <c r="W480" s="22">
        <f>IFERROR(__xludf.DUMMYFUNCTION("IFERROR(GOOGLEFINANCE(A480,""priceopen""),"""")"),144.0)</f>
        <v>144</v>
      </c>
      <c r="X480" s="22">
        <f>IFERROR(__xludf.DUMMYFUNCTION("IFERROR(GOOGLEFINANCE(A480,""high""),"""")"),162.0)</f>
        <v>162</v>
      </c>
      <c r="Y480" s="22">
        <f>IFERROR(__xludf.DUMMYFUNCTION("IFERROR(GOOGLEFINANCE(A480,""low""),"""")"),143.0)</f>
        <v>143</v>
      </c>
      <c r="Z480" s="22">
        <f>IFERROR(__xludf.DUMMYFUNCTION("IFERROR(GOOGLEFINANCE(A480,""volume""),"""")"),6.6306597E9)</f>
        <v>6630659700</v>
      </c>
      <c r="AA480" s="24" t="str">
        <f>VLOOKUP(A480,Metrik!$C$2:$Y$959,5,0)</f>
        <v>Coal</v>
      </c>
      <c r="AB480" s="24" t="str">
        <f>VLOOKUP(A480,Metrik!$C$2:$Y$959,3,0)</f>
        <v>Energy</v>
      </c>
    </row>
    <row r="481">
      <c r="A481" s="14" t="s">
        <v>255</v>
      </c>
      <c r="B481" s="14" t="str">
        <f t="array" ref="B481">VLOOKUP(A481,{Metrik!$C$2:$C$998,Metrik!$B$2:$B$998},2,0)</f>
        <v>Bumi Resources Tbk.</v>
      </c>
      <c r="C481" s="15">
        <f>IFERROR(__xludf.DUMMYFUNCTION("GOOGLEFINANCE(""IDX:""&amp;A481,""price"")"),157.0)</f>
        <v>157</v>
      </c>
      <c r="D481" s="16" t="str">
        <f>IFERROR(__xludf.DUMMYFUNCTION("IF(A481="""","""",
SPARKLINE(
INDEX(
GOOGLEFINANCE(""IDX:""&amp;A481,""close"",TODAY()-365,TODAY()),
,2
),
{""linewidth"",1}
))
"),"#N/A")</f>
        <v>#N/A</v>
      </c>
      <c r="E481" s="14" t="s">
        <v>39</v>
      </c>
      <c r="F481" s="25">
        <v>46356.0</v>
      </c>
      <c r="G481" s="24">
        <f t="shared" si="2"/>
        <v>11</v>
      </c>
      <c r="H481" s="19">
        <f>VLOOKUP(A481,Metrik!$C$2:$Y$959,8,0)</f>
        <v>42.3</v>
      </c>
      <c r="I481" s="20">
        <f>VLOOKUP(A481,Metrik!$C$2:$Y$959,9,0)</f>
        <v>1.3</v>
      </c>
      <c r="J481" s="20">
        <f>VLOOKUP(A481,Metrik!$C$2:$Y$959,10,0)</f>
        <v>3</v>
      </c>
      <c r="K481" s="20">
        <f>VLOOKUP(A481,Metrik!$C$2:$Y$959,11,0)</f>
        <v>1.9</v>
      </c>
      <c r="L481" s="20">
        <f>VLOOKUP(A481,Metrik!$C$2:$Y$959,12,0)</f>
        <v>0.53</v>
      </c>
      <c r="M481" s="20">
        <f>VLOOKUP(A481,Metrik!$C$2:$Y$959,19,0)</f>
        <v>20.8</v>
      </c>
      <c r="N481" s="21"/>
      <c r="O481" s="21"/>
      <c r="P481" s="21"/>
      <c r="Q481" s="21"/>
      <c r="R481" s="21"/>
      <c r="S481" s="21"/>
      <c r="T481" s="21"/>
      <c r="U481" s="22">
        <f>IFERROR(__xludf.DUMMYFUNCTION("IFERROR(GOOGLEFINANCE(A481,""closeyest""),"""")"),140.0)</f>
        <v>140</v>
      </c>
      <c r="V481" s="23">
        <f>IFERROR(__xludf.DUMMYFUNCTION("IFERROR(GOOGLEFINANCE(A481,""changepct""),"""")"),12.14)</f>
        <v>12.14</v>
      </c>
      <c r="W481" s="22">
        <f>IFERROR(__xludf.DUMMYFUNCTION("IFERROR(GOOGLEFINANCE(A481,""priceopen""),"""")"),144.0)</f>
        <v>144</v>
      </c>
      <c r="X481" s="22">
        <f>IFERROR(__xludf.DUMMYFUNCTION("IFERROR(GOOGLEFINANCE(A481,""high""),"""")"),162.0)</f>
        <v>162</v>
      </c>
      <c r="Y481" s="22">
        <f>IFERROR(__xludf.DUMMYFUNCTION("IFERROR(GOOGLEFINANCE(A481,""low""),"""")"),143.0)</f>
        <v>143</v>
      </c>
      <c r="Z481" s="22">
        <f>IFERROR(__xludf.DUMMYFUNCTION("IFERROR(GOOGLEFINANCE(A481,""volume""),"""")"),6.6306597E9)</f>
        <v>6630659700</v>
      </c>
      <c r="AA481" s="24" t="str">
        <f>VLOOKUP(A481,Metrik!$C$2:$Y$959,5,0)</f>
        <v>Coal</v>
      </c>
      <c r="AB481" s="24" t="str">
        <f>VLOOKUP(A481,Metrik!$C$2:$Y$959,3,0)</f>
        <v>Energy</v>
      </c>
    </row>
    <row r="482">
      <c r="A482" s="14" t="s">
        <v>256</v>
      </c>
      <c r="B482" s="14" t="str">
        <f t="array" ref="B482">VLOOKUP(A482,{Metrik!$C$2:$C$998,Metrik!$B$2:$B$998},2,0)</f>
        <v>Bukit Uluwatu Villa Tbk.</v>
      </c>
      <c r="C482" s="15">
        <f>IFERROR(__xludf.DUMMYFUNCTION("GOOGLEFINANCE(""IDX:""&amp;A482,""price"")"),775.0)</f>
        <v>775</v>
      </c>
      <c r="D482" s="16" t="str">
        <f>IFERROR(__xludf.DUMMYFUNCTION("IF(A482="""","""",
SPARKLINE(
INDEX(
GOOGLEFINANCE(""IDX:""&amp;A482,""close"",TODAY()-365,TODAY()),
,2
),
{""linewidth"",1}
))
"),"#N/A")</f>
        <v>#N/A</v>
      </c>
      <c r="E482" s="14" t="s">
        <v>32</v>
      </c>
      <c r="F482" s="14" t="s">
        <v>29</v>
      </c>
      <c r="G482" s="24">
        <f t="shared" si="2"/>
        <v>1</v>
      </c>
      <c r="H482" s="19">
        <f>VLOOKUP(A482,Metrik!$C$2:$Y$959,8,0)</f>
        <v>940</v>
      </c>
      <c r="I482" s="20">
        <f>VLOOKUP(A482,Metrik!$C$2:$Y$959,9,0)</f>
        <v>9.2</v>
      </c>
      <c r="J482" s="20">
        <f>VLOOKUP(A482,Metrik!$C$2:$Y$959,10,0)</f>
        <v>0.97</v>
      </c>
      <c r="K482" s="20">
        <f>VLOOKUP(A482,Metrik!$C$2:$Y$959,11,0)</f>
        <v>0.77</v>
      </c>
      <c r="L482" s="20">
        <f>VLOOKUP(A482,Metrik!$C$2:$Y$959,12,0)</f>
        <v>0.27</v>
      </c>
      <c r="M482" s="20">
        <f>VLOOKUP(A482,Metrik!$C$2:$Y$959,19,0)</f>
        <v>31</v>
      </c>
      <c r="N482" s="21"/>
      <c r="O482" s="21"/>
      <c r="P482" s="21"/>
      <c r="Q482" s="21"/>
      <c r="R482" s="21"/>
      <c r="S482" s="21"/>
      <c r="T482" s="21"/>
      <c r="U482" s="22">
        <f>IFERROR(__xludf.DUMMYFUNCTION("IFERROR(GOOGLEFINANCE(A482,""closeyest""),"""")"),715.0)</f>
        <v>715</v>
      </c>
      <c r="V482" s="23">
        <f>IFERROR(__xludf.DUMMYFUNCTION("IFERROR(GOOGLEFINANCE(A482,""changepct""),"""")"),8.39)</f>
        <v>8.39</v>
      </c>
      <c r="W482" s="22">
        <f>IFERROR(__xludf.DUMMYFUNCTION("IFERROR(GOOGLEFINANCE(A482,""priceopen""),"""")"),730.0)</f>
        <v>730</v>
      </c>
      <c r="X482" s="22">
        <f>IFERROR(__xludf.DUMMYFUNCTION("IFERROR(GOOGLEFINANCE(A482,""high""),"""")"),795.0)</f>
        <v>795</v>
      </c>
      <c r="Y482" s="22">
        <f>IFERROR(__xludf.DUMMYFUNCTION("IFERROR(GOOGLEFINANCE(A482,""low""),"""")"),725.0)</f>
        <v>725</v>
      </c>
      <c r="Z482" s="22">
        <f>IFERROR(__xludf.DUMMYFUNCTION("IFERROR(GOOGLEFINANCE(A482,""volume""),"""")"),2.364371E8)</f>
        <v>236437100</v>
      </c>
      <c r="AA482" s="24" t="str">
        <f>VLOOKUP(A482,Metrik!$C$2:$Y$959,5,0)</f>
        <v>Tourism &amp; Recreation</v>
      </c>
      <c r="AB482" s="24" t="str">
        <f>VLOOKUP(A482,Metrik!$C$2:$Y$959,3,0)</f>
        <v>Consumer Cyclicals</v>
      </c>
    </row>
    <row r="483">
      <c r="A483" s="14" t="s">
        <v>257</v>
      </c>
      <c r="B483" s="14" t="str">
        <f t="array" ref="B483">VLOOKUP(A483,{Metrik!$C$2:$C$998,Metrik!$B$2:$B$998},2,0)</f>
        <v>Bank Victoria International Tbk.</v>
      </c>
      <c r="C483" s="15">
        <f>IFERROR(__xludf.DUMMYFUNCTION("GOOGLEFINANCE(""IDX:""&amp;A483,""price"")"),87.0)</f>
        <v>87</v>
      </c>
      <c r="D483" s="16" t="str">
        <f>IFERROR(__xludf.DUMMYFUNCTION("IF(A483="""","""",
SPARKLINE(
INDEX(
GOOGLEFINANCE(""IDX:""&amp;A483,""close"",TODAY()-365,TODAY()),
,2
),
{""linewidth"",1}
))
"),"#N/A")</f>
        <v>#N/A</v>
      </c>
      <c r="E483" s="26"/>
      <c r="F483" s="26"/>
      <c r="G483" s="24">
        <f t="shared" si="2"/>
        <v>0</v>
      </c>
      <c r="H483" s="19">
        <f>VLOOKUP(A483,Metrik!$C$2:$Y$959,8,0)</f>
        <v>13.5</v>
      </c>
      <c r="I483" s="20">
        <f>VLOOKUP(A483,Metrik!$C$2:$Y$959,9,0)</f>
        <v>0.42</v>
      </c>
      <c r="J483" s="20">
        <f>VLOOKUP(A483,Metrik!$C$2:$Y$959,10,0)</f>
        <v>3.2</v>
      </c>
      <c r="K483" s="20">
        <f>VLOOKUP(A483,Metrik!$C$2:$Y$959,11,0)</f>
        <v>0.4</v>
      </c>
      <c r="L483" s="20">
        <f>VLOOKUP(A483,Metrik!$C$2:$Y$959,12,0)</f>
        <v>6.9</v>
      </c>
      <c r="M483" s="20">
        <f>VLOOKUP(A483,Metrik!$C$2:$Y$959,19,0)</f>
        <v>22.6</v>
      </c>
      <c r="N483" s="32">
        <v>2.12</v>
      </c>
      <c r="O483" s="32">
        <v>19.45</v>
      </c>
      <c r="P483" s="32">
        <v>81.1</v>
      </c>
      <c r="Q483" s="32">
        <v>4.15</v>
      </c>
      <c r="R483" s="32">
        <v>93.4</v>
      </c>
      <c r="S483" s="32">
        <v>60.15</v>
      </c>
      <c r="T483" s="32">
        <v>12.11</v>
      </c>
      <c r="U483" s="22">
        <f>IFERROR(__xludf.DUMMYFUNCTION("IFERROR(GOOGLEFINANCE(A483,""closeyest""),"""")"),84.0)</f>
        <v>84</v>
      </c>
      <c r="V483" s="23">
        <f>IFERROR(__xludf.DUMMYFUNCTION("IFERROR(GOOGLEFINANCE(A483,""changepct""),"""")"),3.57)</f>
        <v>3.57</v>
      </c>
      <c r="W483" s="22">
        <f>IFERROR(__xludf.DUMMYFUNCTION("IFERROR(GOOGLEFINANCE(A483,""priceopen""),"""")"),84.0)</f>
        <v>84</v>
      </c>
      <c r="X483" s="22">
        <f>IFERROR(__xludf.DUMMYFUNCTION("IFERROR(GOOGLEFINANCE(A483,""high""),"""")"),88.0)</f>
        <v>88</v>
      </c>
      <c r="Y483" s="22">
        <f>IFERROR(__xludf.DUMMYFUNCTION("IFERROR(GOOGLEFINANCE(A483,""low""),"""")"),84.0)</f>
        <v>84</v>
      </c>
      <c r="Z483" s="22">
        <f>IFERROR(__xludf.DUMMYFUNCTION("IFERROR(GOOGLEFINANCE(A483,""volume""),"""")"),1144900.0)</f>
        <v>1144900</v>
      </c>
      <c r="AA483" s="24" t="str">
        <f>VLOOKUP(A483,Metrik!$C$2:$Y$959,5,0)</f>
        <v>Banks</v>
      </c>
      <c r="AB483" s="24" t="str">
        <f>VLOOKUP(A483,Metrik!$C$2:$Y$959,3,0)</f>
        <v>Financials</v>
      </c>
    </row>
    <row r="484">
      <c r="A484" s="17" t="s">
        <v>258</v>
      </c>
      <c r="B484" s="14" t="str">
        <f t="array" ref="B484">VLOOKUP(A484,{Metrik!$C$2:$C$998,Metrik!$B$2:$B$998},2,0)</f>
        <v>Eagle High Plantations Tbk</v>
      </c>
      <c r="C484" s="15">
        <f>IFERROR(__xludf.DUMMYFUNCTION("GOOGLEFINANCE(""IDX:""&amp;A484,""price"")"),74.0)</f>
        <v>74</v>
      </c>
      <c r="D484" s="16" t="str">
        <f>IFERROR(__xludf.DUMMYFUNCTION("IF(A484="""","""",
SPARKLINE(
INDEX(
GOOGLEFINANCE(""IDX:""&amp;A484,""close"",TODAY()-365,TODAY()),
,2
),
{""linewidth"",1}
))
"),"#N/A")</f>
        <v>#N/A</v>
      </c>
      <c r="E484" s="14" t="s">
        <v>55</v>
      </c>
      <c r="F484" s="25">
        <v>46356.0</v>
      </c>
      <c r="G484" s="18">
        <f t="shared" si="2"/>
        <v>1</v>
      </c>
      <c r="H484" s="19">
        <f>VLOOKUP(A484,Metrik!$C$2:$Y$959,8,0)</f>
        <v>7.1</v>
      </c>
      <c r="I484" s="20">
        <f>VLOOKUP(A484,Metrik!$C$2:$Y$959,9,0)</f>
        <v>0.9</v>
      </c>
      <c r="J484" s="20">
        <f>VLOOKUP(A484,Metrik!$C$2:$Y$959,10,0)</f>
        <v>12.7</v>
      </c>
      <c r="K484" s="20">
        <f>VLOOKUP(A484,Metrik!$C$2:$Y$959,11,0)</f>
        <v>3.6</v>
      </c>
      <c r="L484" s="20">
        <f>VLOOKUP(A484,Metrik!$C$2:$Y$959,12,0)</f>
        <v>2.5</v>
      </c>
      <c r="M484" s="20">
        <f>VLOOKUP(A484,Metrik!$C$2:$Y$959,19,0)</f>
        <v>26.8</v>
      </c>
      <c r="N484" s="21"/>
      <c r="O484" s="21"/>
      <c r="P484" s="21"/>
      <c r="Q484" s="21"/>
      <c r="R484" s="21"/>
      <c r="S484" s="21"/>
      <c r="T484" s="21"/>
      <c r="U484" s="22">
        <f>IFERROR(__xludf.DUMMYFUNCTION("IFERROR(GOOGLEFINANCE(A484,""closeyest""),"""")"),72.0)</f>
        <v>72</v>
      </c>
      <c r="V484" s="23">
        <f>IFERROR(__xludf.DUMMYFUNCTION("IFERROR(GOOGLEFINANCE(A484,""changepct""),"""")"),2.78)</f>
        <v>2.78</v>
      </c>
      <c r="W484" s="22">
        <f>IFERROR(__xludf.DUMMYFUNCTION("IFERROR(GOOGLEFINANCE(A484,""priceopen""),"""")"),73.0)</f>
        <v>73</v>
      </c>
      <c r="X484" s="22">
        <f>IFERROR(__xludf.DUMMYFUNCTION("IFERROR(GOOGLEFINANCE(A484,""high""),"""")"),81.0)</f>
        <v>81</v>
      </c>
      <c r="Y484" s="22">
        <f>IFERROR(__xludf.DUMMYFUNCTION("IFERROR(GOOGLEFINANCE(A484,""low""),"""")"),72.0)</f>
        <v>72</v>
      </c>
      <c r="Z484" s="22">
        <f>IFERROR(__xludf.DUMMYFUNCTION("IFERROR(GOOGLEFINANCE(A484,""volume""),"""")"),2.422151E8)</f>
        <v>242215100</v>
      </c>
      <c r="AA484" s="24" t="str">
        <f>VLOOKUP(A484,Metrik!$C$2:$Y$959,5,0)</f>
        <v>Agricultural Products</v>
      </c>
      <c r="AB484" s="24" t="str">
        <f>VLOOKUP(A484,Metrik!$C$2:$Y$959,3,0)</f>
        <v>Consumer Non-Cyclicals</v>
      </c>
    </row>
    <row r="485">
      <c r="A485" s="14" t="s">
        <v>259</v>
      </c>
      <c r="B485" s="14" t="str">
        <f t="array" ref="B485">VLOOKUP(A485,{Metrik!$C$2:$C$998,Metrik!$B$2:$B$998},2,0)</f>
        <v>Bayan Resources Tbk.</v>
      </c>
      <c r="C485" s="15">
        <f>IFERROR(__xludf.DUMMYFUNCTION("GOOGLEFINANCE(""IDX:""&amp;A485,""price"")"),9700.0)</f>
        <v>9700</v>
      </c>
      <c r="D485" s="16" t="str">
        <f>IFERROR(__xludf.DUMMYFUNCTION("IF(A485="""","""",
SPARKLINE(
INDEX(
GOOGLEFINANCE(""IDX:""&amp;A485,""close"",TODAY()-365,TODAY()),
,2
),
{""linewidth"",1}
))
"),"#N/A")</f>
        <v>#N/A</v>
      </c>
      <c r="E485" s="26"/>
      <c r="F485" s="26"/>
      <c r="G485" s="24">
        <f t="shared" si="2"/>
        <v>0</v>
      </c>
      <c r="H485" s="19">
        <f>VLOOKUP(A485,Metrik!$C$2:$Y$959,8,0)</f>
        <v>26.2</v>
      </c>
      <c r="I485" s="20">
        <f>VLOOKUP(A485,Metrik!$C$2:$Y$959,9,0)</f>
        <v>6.7</v>
      </c>
      <c r="J485" s="20">
        <f>VLOOKUP(A485,Metrik!$C$2:$Y$959,10,0)</f>
        <v>25.5</v>
      </c>
      <c r="K485" s="20">
        <f>VLOOKUP(A485,Metrik!$C$2:$Y$959,11,0)</f>
        <v>21</v>
      </c>
      <c r="L485" s="20">
        <f>VLOOKUP(A485,Metrik!$C$2:$Y$959,12,0)</f>
        <v>0.21</v>
      </c>
      <c r="M485" s="20">
        <f>VLOOKUP(A485,Metrik!$C$2:$Y$959,19,0)</f>
        <v>89.6</v>
      </c>
      <c r="N485" s="21"/>
      <c r="O485" s="21"/>
      <c r="P485" s="21"/>
      <c r="Q485" s="21"/>
      <c r="R485" s="21"/>
      <c r="S485" s="21"/>
      <c r="T485" s="21"/>
      <c r="U485" s="22">
        <f>IFERROR(__xludf.DUMMYFUNCTION("IFERROR(GOOGLEFINANCE(A485,""closeyest""),"""")"),9700.0)</f>
        <v>9700</v>
      </c>
      <c r="V485" s="23">
        <f>IFERROR(__xludf.DUMMYFUNCTION("IFERROR(GOOGLEFINANCE(A485,""changepct""),"""")"),0.0)</f>
        <v>0</v>
      </c>
      <c r="W485" s="22">
        <f>IFERROR(__xludf.DUMMYFUNCTION("IFERROR(GOOGLEFINANCE(A485,""priceopen""),"""")"),9700.0)</f>
        <v>9700</v>
      </c>
      <c r="X485" s="22">
        <f>IFERROR(__xludf.DUMMYFUNCTION("IFERROR(GOOGLEFINANCE(A485,""high""),"""")"),10000.0)</f>
        <v>10000</v>
      </c>
      <c r="Y485" s="22" t="str">
        <f>IFERROR(__xludf.DUMMYFUNCTION("IFERROR(GOOGLEFINANCE(A485,""low""),"""")"),"")</f>
        <v/>
      </c>
      <c r="Z485" s="22">
        <f>IFERROR(__xludf.DUMMYFUNCTION("IFERROR(GOOGLEFINANCE(A485,""volume""),"""")"),224500.0)</f>
        <v>224500</v>
      </c>
      <c r="AA485" s="24" t="str">
        <f>VLOOKUP(A485,Metrik!$C$2:$Y$959,5,0)</f>
        <v>Coal</v>
      </c>
      <c r="AB485" s="24" t="str">
        <f>VLOOKUP(A485,Metrik!$C$2:$Y$959,3,0)</f>
        <v>Energy</v>
      </c>
    </row>
    <row r="486">
      <c r="A486" s="14" t="s">
        <v>260</v>
      </c>
      <c r="B486" s="14" t="str">
        <f t="array" ref="B486">VLOOKUP(A486,{Metrik!$C$2:$C$998,Metrik!$B$2:$B$998},2,0)</f>
        <v>Cahayaputra Asa Keramik Tbk.</v>
      </c>
      <c r="C486" s="15">
        <f>IFERROR(__xludf.DUMMYFUNCTION("GOOGLEFINANCE(""IDX:""&amp;A486,""price"")"),140.0)</f>
        <v>140</v>
      </c>
      <c r="D486" s="16" t="str">
        <f>IFERROR(__xludf.DUMMYFUNCTION("IF(A486="""","""",
SPARKLINE(
INDEX(
GOOGLEFINANCE(""IDX:""&amp;A486,""close"",TODAY()-365,TODAY()),
,2
),
{""linewidth"",1}
))
"),"#N/A")</f>
        <v>#N/A</v>
      </c>
      <c r="E486" s="26"/>
      <c r="F486" s="26"/>
      <c r="G486" s="24">
        <f t="shared" si="2"/>
        <v>0</v>
      </c>
      <c r="H486" s="19">
        <f>VLOOKUP(A486,Metrik!$C$2:$Y$959,8,0)</f>
        <v>-4.3</v>
      </c>
      <c r="I486" s="20">
        <f>VLOOKUP(A486,Metrik!$C$2:$Y$959,9,0)</f>
        <v>1.4</v>
      </c>
      <c r="J486" s="20">
        <f>VLOOKUP(A486,Metrik!$C$2:$Y$959,10,0)</f>
        <v>-31.6</v>
      </c>
      <c r="K486" s="20">
        <f>VLOOKUP(A486,Metrik!$C$2:$Y$959,11,0)</f>
        <v>-8.5</v>
      </c>
      <c r="L486" s="20">
        <f>VLOOKUP(A486,Metrik!$C$2:$Y$959,12,0)</f>
        <v>2.7</v>
      </c>
      <c r="M486" s="20">
        <f>VLOOKUP(A486,Metrik!$C$2:$Y$959,19,0)</f>
        <v>-40</v>
      </c>
      <c r="N486" s="21"/>
      <c r="O486" s="21"/>
      <c r="P486" s="21"/>
      <c r="Q486" s="21"/>
      <c r="R486" s="21"/>
      <c r="S486" s="21"/>
      <c r="T486" s="21"/>
      <c r="U486" s="22">
        <f>IFERROR(__xludf.DUMMYFUNCTION("IFERROR(GOOGLEFINANCE(A486,""closeyest""),"""")"),136.0)</f>
        <v>136</v>
      </c>
      <c r="V486" s="23" t="str">
        <f>IFERROR(__xludf.DUMMYFUNCTION("IFERROR(GOOGLEFINANCE(A486,""changepct""),"""")"),"")</f>
        <v/>
      </c>
      <c r="W486" s="22">
        <f>IFERROR(__xludf.DUMMYFUNCTION("IFERROR(GOOGLEFINANCE(A486,""priceopen""),"""")"),137.0)</f>
        <v>137</v>
      </c>
      <c r="X486" s="22">
        <f>IFERROR(__xludf.DUMMYFUNCTION("IFERROR(GOOGLEFINANCE(A486,""high""),"""")"),140.0)</f>
        <v>140</v>
      </c>
      <c r="Y486" s="22" t="str">
        <f>IFERROR(__xludf.DUMMYFUNCTION("IFERROR(GOOGLEFINANCE(A486,""low""),"""")"),"")</f>
        <v/>
      </c>
      <c r="Z486" s="22">
        <f>IFERROR(__xludf.DUMMYFUNCTION("IFERROR(GOOGLEFINANCE(A486,""volume""),"""")"),60800.0)</f>
        <v>60800</v>
      </c>
      <c r="AA486" s="24" t="str">
        <f>VLOOKUP(A486,Metrik!$C$2:$Y$959,5,0)</f>
        <v>Building Products &amp; Fixtures</v>
      </c>
      <c r="AB486" s="24" t="str">
        <f>VLOOKUP(A486,Metrik!$C$2:$Y$959,3,0)</f>
        <v>Industrials</v>
      </c>
    </row>
    <row r="487">
      <c r="A487" s="14" t="s">
        <v>261</v>
      </c>
      <c r="B487" s="14" t="str">
        <f t="array" ref="B487">VLOOKUP(A487,{Metrik!$C$2:$C$998,Metrik!$B$2:$B$998},2,0)</f>
        <v>Campina Ice Cream Industry Tbk.</v>
      </c>
      <c r="C487" s="15" t="str">
        <f>IFERROR(__xludf.DUMMYFUNCTION("GOOGLEFINANCE(""IDX:""&amp;A487,""price"")"),"#N/A")</f>
        <v>#N/A</v>
      </c>
      <c r="D487" s="16" t="str">
        <f>IFERROR(__xludf.DUMMYFUNCTION("IF(A487="""","""",
SPARKLINE(
INDEX(
GOOGLEFINANCE(""IDX:""&amp;A487,""close"",TODAY()-365,TODAY()),
,2
),
{""linewidth"",1}
))
"),"#N/A")</f>
        <v>#N/A</v>
      </c>
      <c r="E487" s="26"/>
      <c r="F487" s="26"/>
      <c r="G487" s="24">
        <f t="shared" si="2"/>
        <v>0</v>
      </c>
      <c r="H487" s="19">
        <f>VLOOKUP(A487,Metrik!$C$2:$Y$959,8,0)</f>
        <v>14.6</v>
      </c>
      <c r="I487" s="20">
        <f>VLOOKUP(A487,Metrik!$C$2:$Y$959,9,0)</f>
        <v>1.1</v>
      </c>
      <c r="J487" s="20">
        <f>VLOOKUP(A487,Metrik!$C$2:$Y$959,10,0)</f>
        <v>7.5</v>
      </c>
      <c r="K487" s="20">
        <f>VLOOKUP(A487,Metrik!$C$2:$Y$959,11,0)</f>
        <v>6.4</v>
      </c>
      <c r="L487" s="20">
        <f>VLOOKUP(A487,Metrik!$C$2:$Y$959,12,0)</f>
        <v>0.18</v>
      </c>
      <c r="M487" s="20">
        <f>VLOOKUP(A487,Metrik!$C$2:$Y$959,19,0)</f>
        <v>27.7</v>
      </c>
      <c r="N487" s="21"/>
      <c r="O487" s="21"/>
      <c r="P487" s="21"/>
      <c r="Q487" s="21"/>
      <c r="R487" s="21"/>
      <c r="S487" s="21"/>
      <c r="T487" s="21"/>
      <c r="U487" s="22">
        <f>IFERROR(__xludf.DUMMYFUNCTION("IFERROR(GOOGLEFINANCE(A487,""closeyest""),"""")"),4.22)</f>
        <v>4.22</v>
      </c>
      <c r="V487" s="23">
        <f>IFERROR(__xludf.DUMMYFUNCTION("IFERROR(GOOGLEFINANCE(A487,""changepct""),"""")"),-0.71)</f>
        <v>-0.71</v>
      </c>
      <c r="W487" s="22">
        <f>IFERROR(__xludf.DUMMYFUNCTION("IFERROR(GOOGLEFINANCE(A487,""priceopen""),"""")"),4.22)</f>
        <v>4.22</v>
      </c>
      <c r="X487" s="22">
        <f>IFERROR(__xludf.DUMMYFUNCTION("IFERROR(GOOGLEFINANCE(A487,""high""),"""")"),4.46)</f>
        <v>4.46</v>
      </c>
      <c r="Y487" s="22">
        <f>IFERROR(__xludf.DUMMYFUNCTION("IFERROR(GOOGLEFINANCE(A487,""low""),"""")"),4.16)</f>
        <v>4.16</v>
      </c>
      <c r="Z487" s="22">
        <f>IFERROR(__xludf.DUMMYFUNCTION("IFERROR(GOOGLEFINANCE(A487,""volume""),"""")"),41032.0)</f>
        <v>41032</v>
      </c>
      <c r="AA487" s="24" t="str">
        <f>VLOOKUP(A487,Metrik!$C$2:$Y$959,5,0)</f>
        <v>Processed Foods</v>
      </c>
      <c r="AB487" s="24" t="str">
        <f>VLOOKUP(A487,Metrik!$C$2:$Y$959,3,0)</f>
        <v>Consumer Non-Cyclicals</v>
      </c>
    </row>
    <row r="488">
      <c r="A488" s="14" t="s">
        <v>262</v>
      </c>
      <c r="B488" s="14" t="str">
        <f t="array" ref="B488">VLOOKUP(A488,{Metrik!$C$2:$C$998,Metrik!$B$2:$B$998},2,0)</f>
        <v>Capitol Nusantara Indonesia Tbk.</v>
      </c>
      <c r="C488" s="15">
        <f>IFERROR(__xludf.DUMMYFUNCTION("GOOGLEFINANCE(""IDX:""&amp;A488,""price"")"),148.0)</f>
        <v>148</v>
      </c>
      <c r="D488" s="16" t="str">
        <f>IFERROR(__xludf.DUMMYFUNCTION("IF(A488="""","""",
SPARKLINE(
INDEX(
GOOGLEFINANCE(""IDX:""&amp;A488,""close"",TODAY()-365,TODAY()),
,2
),
{""linewidth"",1}
))
"),"#N/A")</f>
        <v>#N/A</v>
      </c>
      <c r="E488" s="26"/>
      <c r="F488" s="26"/>
      <c r="G488" s="24">
        <f t="shared" si="2"/>
        <v>0</v>
      </c>
      <c r="H488" s="19">
        <f>VLOOKUP(A488,Metrik!$C$2:$Y$959,8,0)</f>
        <v>-4.1</v>
      </c>
      <c r="I488" s="20">
        <f>VLOOKUP(A488,Metrik!$C$2:$Y$959,9,0)</f>
        <v>-0.2</v>
      </c>
      <c r="J488" s="20">
        <f>VLOOKUP(A488,Metrik!$C$2:$Y$959,10,0)</f>
        <v>0</v>
      </c>
      <c r="K488" s="20">
        <f>VLOOKUP(A488,Metrik!$C$2:$Y$959,11,0)</f>
        <v>-23.7</v>
      </c>
      <c r="L488" s="20">
        <f>VLOOKUP(A488,Metrik!$C$2:$Y$959,12,0)</f>
        <v>-1.2</v>
      </c>
      <c r="M488" s="20">
        <f>VLOOKUP(A488,Metrik!$C$2:$Y$959,19,0)</f>
        <v>-84.4</v>
      </c>
      <c r="N488" s="21"/>
      <c r="O488" s="21"/>
      <c r="P488" s="21"/>
      <c r="Q488" s="21"/>
      <c r="R488" s="21"/>
      <c r="S488" s="21"/>
      <c r="T488" s="21"/>
      <c r="U488" s="22">
        <f>IFERROR(__xludf.DUMMYFUNCTION("IFERROR(GOOGLEFINANCE(A488,""closeyest""),"""")"),136.0)</f>
        <v>136</v>
      </c>
      <c r="V488" s="23">
        <f>IFERROR(__xludf.DUMMYFUNCTION("IFERROR(GOOGLEFINANCE(A488,""changepct""),"""")"),8.82)</f>
        <v>8.82</v>
      </c>
      <c r="W488" s="22">
        <f>IFERROR(__xludf.DUMMYFUNCTION("IFERROR(GOOGLEFINANCE(A488,""priceopen""),"""")"),136.0)</f>
        <v>136</v>
      </c>
      <c r="X488" s="22">
        <f>IFERROR(__xludf.DUMMYFUNCTION("IFERROR(GOOGLEFINANCE(A488,""high""),"""")"),148.0)</f>
        <v>148</v>
      </c>
      <c r="Y488" s="22">
        <f>IFERROR(__xludf.DUMMYFUNCTION("IFERROR(GOOGLEFINANCE(A488,""low""),"""")"),136.0)</f>
        <v>136</v>
      </c>
      <c r="Z488" s="22">
        <f>IFERROR(__xludf.DUMMYFUNCTION("IFERROR(GOOGLEFINANCE(A488,""volume""),"""")"),106300.0)</f>
        <v>106300</v>
      </c>
      <c r="AA488" s="24" t="str">
        <f>VLOOKUP(A488,Metrik!$C$2:$Y$959,5,0)</f>
        <v>Coal</v>
      </c>
      <c r="AB488" s="24" t="str">
        <f>VLOOKUP(A488,Metrik!$C$2:$Y$959,3,0)</f>
        <v>Energy</v>
      </c>
    </row>
    <row r="489">
      <c r="A489" s="14" t="s">
        <v>263</v>
      </c>
      <c r="B489" s="14" t="str">
        <f t="array" ref="B489">VLOOKUP(A489,{Metrik!$C$2:$C$998,Metrik!$B$2:$B$998},2,0)</f>
        <v>Metro Healthcare Indonesia Tbk.</v>
      </c>
      <c r="C489" s="15">
        <f>IFERROR(__xludf.DUMMYFUNCTION("GOOGLEFINANCE(""IDX:""&amp;A489,""price"")"),406.0)</f>
        <v>406</v>
      </c>
      <c r="D489" s="16" t="str">
        <f>IFERROR(__xludf.DUMMYFUNCTION("IF(A489="""","""",
SPARKLINE(
INDEX(
GOOGLEFINANCE(""IDX:""&amp;A489,""close"",TODAY()-365,TODAY()),
,2
),
{""linewidth"",1}
))
"),"#N/A")</f>
        <v>#N/A</v>
      </c>
      <c r="E489" s="26"/>
      <c r="F489" s="26"/>
      <c r="G489" s="24">
        <f t="shared" si="2"/>
        <v>0</v>
      </c>
      <c r="H489" s="19">
        <f>VLOOKUP(A489,Metrik!$C$2:$Y$959,8,0)</f>
        <v>400</v>
      </c>
      <c r="I489" s="20">
        <f>VLOOKUP(A489,Metrik!$C$2:$Y$959,9,0)</f>
        <v>4.5</v>
      </c>
      <c r="J489" s="20">
        <f>VLOOKUP(A489,Metrik!$C$2:$Y$959,10,0)</f>
        <v>1.1</v>
      </c>
      <c r="K489" s="20">
        <f>VLOOKUP(A489,Metrik!$C$2:$Y$959,11,0)</f>
        <v>0.82</v>
      </c>
      <c r="L489" s="20">
        <f>VLOOKUP(A489,Metrik!$C$2:$Y$959,12,0)</f>
        <v>0.38</v>
      </c>
      <c r="M489" s="20">
        <f>VLOOKUP(A489,Metrik!$C$2:$Y$959,19,0)</f>
        <v>28.4</v>
      </c>
      <c r="N489" s="21"/>
      <c r="O489" s="21"/>
      <c r="P489" s="21"/>
      <c r="Q489" s="21"/>
      <c r="R489" s="21"/>
      <c r="S489" s="21"/>
      <c r="T489" s="21"/>
      <c r="U489" s="22">
        <f>IFERROR(__xludf.DUMMYFUNCTION("IFERROR(GOOGLEFINANCE(A489,""closeyest""),"""")"),29.56)</f>
        <v>29.56</v>
      </c>
      <c r="V489" s="23">
        <f>IFERROR(__xludf.DUMMYFUNCTION("IFERROR(GOOGLEFINANCE(A489,""changepct""),"""")"),1.07)</f>
        <v>1.07</v>
      </c>
      <c r="W489" s="22" t="str">
        <f>IFERROR(__xludf.DUMMYFUNCTION("IFERROR(GOOGLEFINANCE(A489,""priceopen""),"""")"),"")</f>
        <v/>
      </c>
      <c r="X489" s="22">
        <f>IFERROR(__xludf.DUMMYFUNCTION("IFERROR(GOOGLEFINANCE(A489,""high""),"""")"),29.99)</f>
        <v>29.99</v>
      </c>
      <c r="Y489" s="22">
        <f>IFERROR(__xludf.DUMMYFUNCTION("IFERROR(GOOGLEFINANCE(A489,""low""),"""")"),29.39)</f>
        <v>29.39</v>
      </c>
      <c r="Z489" s="22">
        <f>IFERROR(__xludf.DUMMYFUNCTION("IFERROR(GOOGLEFINANCE(A489,""volume""),"""")"),447721.0)</f>
        <v>447721</v>
      </c>
      <c r="AA489" s="24" t="str">
        <f>VLOOKUP(A489,Metrik!$C$2:$Y$959,5,0)</f>
        <v>Healthcare Providers</v>
      </c>
      <c r="AB489" s="24" t="str">
        <f>VLOOKUP(A489,Metrik!$C$2:$Y$959,3,0)</f>
        <v>Healthcare</v>
      </c>
    </row>
    <row r="490">
      <c r="A490" s="17" t="s">
        <v>264</v>
      </c>
      <c r="B490" s="14" t="str">
        <f t="array" ref="B490">VLOOKUP(A490,{Metrik!$C$2:$C$998,Metrik!$B$2:$B$998},2,0)</f>
        <v>PT Industri dan Perdagangan Bintraco Dharma Tbk</v>
      </c>
      <c r="C490" s="15">
        <f>IFERROR(__xludf.DUMMYFUNCTION("GOOGLEFINANCE(""IDX:""&amp;A490,""price"")"),89.0)</f>
        <v>89</v>
      </c>
      <c r="D490" s="16" t="str">
        <f>IFERROR(__xludf.DUMMYFUNCTION("IF(A490="""","""",
SPARKLINE(
INDEX(
GOOGLEFINANCE(""IDX:""&amp;A490,""close"",TODAY()-365,TODAY()),
,2
),
{""linewidth"",1}
))
"),"#N/A")</f>
        <v>#N/A</v>
      </c>
      <c r="E490" s="14" t="s">
        <v>55</v>
      </c>
      <c r="F490" s="25">
        <v>46356.0</v>
      </c>
      <c r="G490" s="18">
        <f t="shared" si="2"/>
        <v>1</v>
      </c>
      <c r="H490" s="19">
        <f>VLOOKUP(A490,Metrik!$C$2:$Y$959,8,0)</f>
        <v>9.3</v>
      </c>
      <c r="I490" s="20">
        <f>VLOOKUP(A490,Metrik!$C$2:$Y$959,9,0)</f>
        <v>1</v>
      </c>
      <c r="J490" s="20">
        <f>VLOOKUP(A490,Metrik!$C$2:$Y$959,10,0)</f>
        <v>10.8</v>
      </c>
      <c r="K490" s="20">
        <f>VLOOKUP(A490,Metrik!$C$2:$Y$959,11,0)</f>
        <v>5</v>
      </c>
      <c r="L490" s="20">
        <f>VLOOKUP(A490,Metrik!$C$2:$Y$959,12,0)</f>
        <v>1.1</v>
      </c>
      <c r="M490" s="20">
        <f>VLOOKUP(A490,Metrik!$C$2:$Y$959,19,0)</f>
        <v>13.2</v>
      </c>
      <c r="N490" s="21"/>
      <c r="O490" s="21"/>
      <c r="P490" s="21"/>
      <c r="Q490" s="21"/>
      <c r="R490" s="21"/>
      <c r="S490" s="21"/>
      <c r="T490" s="21"/>
      <c r="U490" s="22">
        <f>IFERROR(__xludf.DUMMYFUNCTION("IFERROR(GOOGLEFINANCE(A490,""closeyest""),"""")"),9.56)</f>
        <v>9.56</v>
      </c>
      <c r="V490" s="23">
        <f>IFERROR(__xludf.DUMMYFUNCTION("IFERROR(GOOGLEFINANCE(A490,""changepct""),"""")"),-0.84)</f>
        <v>-0.84</v>
      </c>
      <c r="W490" s="22">
        <f>IFERROR(__xludf.DUMMYFUNCTION("IFERROR(GOOGLEFINANCE(A490,""priceopen""),"""")"),9.53)</f>
        <v>9.53</v>
      </c>
      <c r="X490" s="22">
        <f>IFERROR(__xludf.DUMMYFUNCTION("IFERROR(GOOGLEFINANCE(A490,""high""),"""")"),9.62)</f>
        <v>9.62</v>
      </c>
      <c r="Y490" s="22">
        <f>IFERROR(__xludf.DUMMYFUNCTION("IFERROR(GOOGLEFINANCE(A490,""low""),"""")"),9.41)</f>
        <v>9.41</v>
      </c>
      <c r="Z490" s="22">
        <f>IFERROR(__xludf.DUMMYFUNCTION("IFERROR(GOOGLEFINANCE(A490,""volume""),"""")"),772627.0)</f>
        <v>772627</v>
      </c>
      <c r="AA490" s="24" t="str">
        <f>VLOOKUP(A490,Metrik!$C$2:$Y$959,5,0)</f>
        <v>Specialty Retail</v>
      </c>
      <c r="AB490" s="24" t="str">
        <f>VLOOKUP(A490,Metrik!$C$2:$Y$959,3,0)</f>
        <v>Consumer Cyclicals</v>
      </c>
    </row>
    <row r="491">
      <c r="A491" s="14" t="s">
        <v>265</v>
      </c>
      <c r="B491" s="14" t="str">
        <f t="array" ref="B491">VLOOKUP(A491,{Metrik!$C$2:$C$998,Metrik!$B$2:$B$998},2,0)</f>
        <v>Capital Financial Indonesia Tbk.</v>
      </c>
      <c r="C491" s="15">
        <f>IFERROR(__xludf.DUMMYFUNCTION("GOOGLEFINANCE(""IDX:""&amp;A491,""price"")"),1535.0)</f>
        <v>1535</v>
      </c>
      <c r="D491" s="16" t="str">
        <f>IFERROR(__xludf.DUMMYFUNCTION("IF(A491="""","""",
SPARKLINE(
INDEX(
GOOGLEFINANCE(""IDX:""&amp;A491,""close"",TODAY()-365,TODAY()),
,2
),
{""linewidth"",1}
))
"),"#N/A")</f>
        <v>#N/A</v>
      </c>
      <c r="E491" s="26"/>
      <c r="F491" s="26"/>
      <c r="G491" s="24">
        <f t="shared" si="2"/>
        <v>0</v>
      </c>
      <c r="H491" s="19">
        <f>VLOOKUP(A491,Metrik!$C$2:$Y$959,8,0)</f>
        <v>590</v>
      </c>
      <c r="I491" s="20">
        <f>VLOOKUP(A491,Metrik!$C$2:$Y$959,9,0)</f>
        <v>7.1</v>
      </c>
      <c r="J491" s="20">
        <f>VLOOKUP(A491,Metrik!$C$2:$Y$959,10,0)</f>
        <v>1.2</v>
      </c>
      <c r="K491" s="20">
        <f>VLOOKUP(A491,Metrik!$C$2:$Y$959,11,0)</f>
        <v>0.36</v>
      </c>
      <c r="L491" s="20">
        <f>VLOOKUP(A491,Metrik!$C$2:$Y$959,12,0)</f>
        <v>2.2</v>
      </c>
      <c r="M491" s="20">
        <f>VLOOKUP(A491,Metrik!$C$2:$Y$959,19,0)</f>
        <v>11.1</v>
      </c>
      <c r="N491" s="21"/>
      <c r="O491" s="21"/>
      <c r="P491" s="21"/>
      <c r="Q491" s="21"/>
      <c r="R491" s="21"/>
      <c r="S491" s="21"/>
      <c r="T491" s="21"/>
      <c r="U491" s="22">
        <f>IFERROR(__xludf.DUMMYFUNCTION("IFERROR(GOOGLEFINANCE(A491,""closeyest""),"""")"),0.1)</f>
        <v>0.1</v>
      </c>
      <c r="V491" s="23">
        <f>IFERROR(__xludf.DUMMYFUNCTION("IFERROR(GOOGLEFINANCE(A491,""changepct""),"""")"),-5.26)</f>
        <v>-5.26</v>
      </c>
      <c r="W491" s="22">
        <f>IFERROR(__xludf.DUMMYFUNCTION("IFERROR(GOOGLEFINANCE(A491,""priceopen""),"""")"),0.1)</f>
        <v>0.1</v>
      </c>
      <c r="X491" s="22">
        <f>IFERROR(__xludf.DUMMYFUNCTION("IFERROR(GOOGLEFINANCE(A491,""high""),"""")"),0.1)</f>
        <v>0.1</v>
      </c>
      <c r="Y491" s="22">
        <f>IFERROR(__xludf.DUMMYFUNCTION("IFERROR(GOOGLEFINANCE(A491,""low""),"""")"),0.09)</f>
        <v>0.09</v>
      </c>
      <c r="Z491" s="22">
        <f>IFERROR(__xludf.DUMMYFUNCTION("IFERROR(GOOGLEFINANCE(A491,""volume""),"""")"),38600.0)</f>
        <v>38600</v>
      </c>
      <c r="AA491" s="24" t="str">
        <f>VLOOKUP(A491,Metrik!$C$2:$Y$959,5,0)</f>
        <v>Holding &amp; Investment Companies</v>
      </c>
      <c r="AB491" s="24" t="str">
        <f>VLOOKUP(A491,Metrik!$C$2:$Y$959,3,0)</f>
        <v>Financials</v>
      </c>
    </row>
    <row r="492">
      <c r="A492" s="14" t="s">
        <v>266</v>
      </c>
      <c r="B492" s="14" t="str">
        <f t="array" ref="B492">VLOOKUP(A492,{Metrik!$C$2:$C$998,Metrik!$B$2:$B$998},2,0)</f>
        <v>Cashlez Worldwide Indonesia Tbk.</v>
      </c>
      <c r="C492" s="15">
        <f>IFERROR(__xludf.DUMMYFUNCTION("GOOGLEFINANCE(""IDX:""&amp;A492,""price"")"),177.0)</f>
        <v>177</v>
      </c>
      <c r="D492" s="16" t="str">
        <f>IFERROR(__xludf.DUMMYFUNCTION("IF(A492="""","""",
SPARKLINE(
INDEX(
GOOGLEFINANCE(""IDX:""&amp;A492,""close"",TODAY()-365,TODAY()),
,2
),
{""linewidth"",1}
))
"),"#N/A")</f>
        <v>#N/A</v>
      </c>
      <c r="E492" s="26"/>
      <c r="F492" s="26"/>
      <c r="G492" s="24">
        <f t="shared" si="2"/>
        <v>0</v>
      </c>
      <c r="H492" s="19">
        <f>VLOOKUP(A492,Metrik!$C$2:$Y$959,8,0)</f>
        <v>-4.5</v>
      </c>
      <c r="I492" s="20">
        <f>VLOOKUP(A492,Metrik!$C$2:$Y$959,9,0)</f>
        <v>4.9</v>
      </c>
      <c r="J492" s="20">
        <f>VLOOKUP(A492,Metrik!$C$2:$Y$959,10,0)</f>
        <v>-110</v>
      </c>
      <c r="K492" s="20">
        <f>VLOOKUP(A492,Metrik!$C$2:$Y$959,11,0)</f>
        <v>-25.1</v>
      </c>
      <c r="L492" s="20">
        <f>VLOOKUP(A492,Metrik!$C$2:$Y$959,12,0)</f>
        <v>3.4</v>
      </c>
      <c r="M492" s="20">
        <f>VLOOKUP(A492,Metrik!$C$2:$Y$959,19,0)</f>
        <v>-61.8</v>
      </c>
      <c r="N492" s="21"/>
      <c r="O492" s="21"/>
      <c r="P492" s="21"/>
      <c r="Q492" s="21"/>
      <c r="R492" s="21"/>
      <c r="S492" s="21"/>
      <c r="T492" s="21"/>
      <c r="U492" s="22">
        <f>IFERROR(__xludf.DUMMYFUNCTION("IFERROR(GOOGLEFINANCE(A492,""closeyest""),"""")"),82.91)</f>
        <v>82.91</v>
      </c>
      <c r="V492" s="23">
        <f>IFERROR(__xludf.DUMMYFUNCTION("IFERROR(GOOGLEFINANCE(A492,""changepct""),"""")"),1.52)</f>
        <v>1.52</v>
      </c>
      <c r="W492" s="22">
        <f>IFERROR(__xludf.DUMMYFUNCTION("IFERROR(GOOGLEFINANCE(A492,""priceopen""),"""")"),83.49)</f>
        <v>83.49</v>
      </c>
      <c r="X492" s="22">
        <f>IFERROR(__xludf.DUMMYFUNCTION("IFERROR(GOOGLEFINANCE(A492,""high""),"""")"),85.26)</f>
        <v>85.26</v>
      </c>
      <c r="Y492" s="22">
        <f>IFERROR(__xludf.DUMMYFUNCTION("IFERROR(GOOGLEFINANCE(A492,""low""),"""")"),82.93)</f>
        <v>82.93</v>
      </c>
      <c r="Z492" s="22">
        <f>IFERROR(__xludf.DUMMYFUNCTION("IFERROR(GOOGLEFINANCE(A492,""volume""),"""")"),278081.0)</f>
        <v>278081</v>
      </c>
      <c r="AA492" s="24" t="str">
        <f>VLOOKUP(A492,Metrik!$C$2:$Y$959,5,0)</f>
        <v>Online Applications &amp; Services</v>
      </c>
      <c r="AB492" s="24" t="str">
        <f>VLOOKUP(A492,Metrik!$C$2:$Y$959,3,0)</f>
        <v>Technology</v>
      </c>
    </row>
    <row r="493">
      <c r="A493" s="14" t="s">
        <v>267</v>
      </c>
      <c r="B493" s="14" t="str">
        <f t="array" ref="B493">VLOOKUP(A493,{Metrik!$C$2:$C$998,Metrik!$B$2:$B$998},2,0)</f>
        <v>Cahaya Aero Services Tbk.</v>
      </c>
      <c r="C493" s="15">
        <f>IFERROR(__xludf.DUMMYFUNCTION("GOOGLEFINANCE(""IDX:""&amp;A493,""price"")"),1785.0)</f>
        <v>1785</v>
      </c>
      <c r="D493" s="16" t="str">
        <f>IFERROR(__xludf.DUMMYFUNCTION("IF(A493="""","""",
SPARKLINE(
INDEX(
GOOGLEFINANCE(""IDX:""&amp;A493,""close"",TODAY()-365,TODAY()),
,2
),
{""linewidth"",1}
))
"),"#N/A")</f>
        <v>#N/A</v>
      </c>
      <c r="E493" s="26"/>
      <c r="F493" s="26"/>
      <c r="G493" s="18">
        <f t="shared" si="2"/>
        <v>0</v>
      </c>
      <c r="H493" s="19">
        <f>VLOOKUP(A493,Metrik!$C$2:$Y$959,8,0)</f>
        <v>8.1</v>
      </c>
      <c r="I493" s="20">
        <f>VLOOKUP(A493,Metrik!$C$2:$Y$959,9,0)</f>
        <v>1.5</v>
      </c>
      <c r="J493" s="20">
        <f>VLOOKUP(A493,Metrik!$C$2:$Y$959,10,0)</f>
        <v>18.7</v>
      </c>
      <c r="K493" s="20">
        <f>VLOOKUP(A493,Metrik!$C$2:$Y$959,11,0)</f>
        <v>13.8</v>
      </c>
      <c r="L493" s="20">
        <f>VLOOKUP(A493,Metrik!$C$2:$Y$959,12,0)</f>
        <v>0.35</v>
      </c>
      <c r="M493" s="20">
        <f>VLOOKUP(A493,Metrik!$C$2:$Y$959,19,0)</f>
        <v>58.1</v>
      </c>
      <c r="N493" s="21"/>
      <c r="O493" s="21"/>
      <c r="P493" s="21"/>
      <c r="Q493" s="21"/>
      <c r="R493" s="21"/>
      <c r="S493" s="21"/>
      <c r="T493" s="21"/>
      <c r="U493" s="22">
        <f>IFERROR(__xludf.DUMMYFUNCTION("IFERROR(GOOGLEFINANCE(A493,""closeyest""),"""")"),49.44)</f>
        <v>49.44</v>
      </c>
      <c r="V493" s="23">
        <f>IFERROR(__xludf.DUMMYFUNCTION("IFERROR(GOOGLEFINANCE(A493,""changepct""),"""")"),0.02)</f>
        <v>0.02</v>
      </c>
      <c r="W493" s="22">
        <f>IFERROR(__xludf.DUMMYFUNCTION("IFERROR(GOOGLEFINANCE(A493,""priceopen""),"""")"),49.1)</f>
        <v>49.1</v>
      </c>
      <c r="X493" s="22">
        <f>IFERROR(__xludf.DUMMYFUNCTION("IFERROR(GOOGLEFINANCE(A493,""high""),"""")"),49.85)</f>
        <v>49.85</v>
      </c>
      <c r="Y493" s="22">
        <f>IFERROR(__xludf.DUMMYFUNCTION("IFERROR(GOOGLEFINANCE(A493,""low""),"""")"),48.02)</f>
        <v>48.02</v>
      </c>
      <c r="Z493" s="22">
        <f>IFERROR(__xludf.DUMMYFUNCTION("IFERROR(GOOGLEFINANCE(A493,""volume""),"""")"),122653.0)</f>
        <v>122653</v>
      </c>
      <c r="AA493" s="24" t="str">
        <f>VLOOKUP(A493,Metrik!$C$2:$Y$959,5,0)</f>
        <v>Transport Infrastructure Operator</v>
      </c>
      <c r="AB493" s="24" t="str">
        <f>VLOOKUP(A493,Metrik!$C$2:$Y$959,3,0)</f>
        <v>Infrastructures</v>
      </c>
    </row>
    <row r="494">
      <c r="A494" s="14" t="s">
        <v>268</v>
      </c>
      <c r="B494" s="14" t="str">
        <f t="array" ref="B494">VLOOKUP(A494,{Metrik!$C$2:$C$998,Metrik!$B$2:$B$998},2,0)</f>
        <v>Bangun Kosambi Sukses Tbk.</v>
      </c>
      <c r="C494" s="15">
        <f>IFERROR(__xludf.DUMMYFUNCTION("GOOGLEFINANCE(""IDX:""&amp;A494,""price"")"),3760.0)</f>
        <v>3760</v>
      </c>
      <c r="D494" s="16" t="str">
        <f>IFERROR(__xludf.DUMMYFUNCTION("IF(A494="""","""",
SPARKLINE(
INDEX(
GOOGLEFINANCE(""IDX:""&amp;A494,""close"",TODAY()-365,TODAY()),
,2
),
{""linewidth"",1}
))
"),"#N/A")</f>
        <v>#N/A</v>
      </c>
      <c r="E494" s="14" t="s">
        <v>32</v>
      </c>
      <c r="F494" s="14" t="s">
        <v>29</v>
      </c>
      <c r="G494" s="24">
        <f t="shared" si="2"/>
        <v>2</v>
      </c>
      <c r="H494" s="19">
        <f>VLOOKUP(A494,Metrik!$C$2:$Y$959,8,0)</f>
        <v>12.3</v>
      </c>
      <c r="I494" s="20">
        <f>VLOOKUP(A494,Metrik!$C$2:$Y$959,9,0)</f>
        <v>1.8</v>
      </c>
      <c r="J494" s="20">
        <f>VLOOKUP(A494,Metrik!$C$2:$Y$959,10,0)</f>
        <v>14.2</v>
      </c>
      <c r="K494" s="20">
        <f>VLOOKUP(A494,Metrik!$C$2:$Y$959,11,0)</f>
        <v>7.9</v>
      </c>
      <c r="L494" s="20">
        <f>VLOOKUP(A494,Metrik!$C$2:$Y$959,12,0)</f>
        <v>0.8</v>
      </c>
      <c r="M494" s="20">
        <f>VLOOKUP(A494,Metrik!$C$2:$Y$959,19,0)</f>
        <v>240</v>
      </c>
      <c r="N494" s="21"/>
      <c r="O494" s="21"/>
      <c r="P494" s="21"/>
      <c r="Q494" s="21"/>
      <c r="R494" s="21"/>
      <c r="S494" s="21"/>
      <c r="T494" s="21"/>
      <c r="U494" s="22">
        <f>IFERROR(__xludf.DUMMYFUNCTION("IFERROR(GOOGLEFINANCE(A494,""closeyest""),"""")"),3320.0)</f>
        <v>3320</v>
      </c>
      <c r="V494" s="23">
        <f>IFERROR(__xludf.DUMMYFUNCTION("IFERROR(GOOGLEFINANCE(A494,""changepct""),"""")"),13.25)</f>
        <v>13.25</v>
      </c>
      <c r="W494" s="22">
        <f>IFERROR(__xludf.DUMMYFUNCTION("IFERROR(GOOGLEFINANCE(A494,""priceopen""),"""")"),3320.0)</f>
        <v>3320</v>
      </c>
      <c r="X494" s="22">
        <f>IFERROR(__xludf.DUMMYFUNCTION("IFERROR(GOOGLEFINANCE(A494,""high""),"""")"),3780.0)</f>
        <v>3780</v>
      </c>
      <c r="Y494" s="22">
        <f>IFERROR(__xludf.DUMMYFUNCTION("IFERROR(GOOGLEFINANCE(A494,""low""),"""")"),3320.0)</f>
        <v>3320</v>
      </c>
      <c r="Z494" s="22">
        <f>IFERROR(__xludf.DUMMYFUNCTION("IFERROR(GOOGLEFINANCE(A494,""volume""),"""")"),3534200.0)</f>
        <v>3534200</v>
      </c>
      <c r="AA494" s="24" t="str">
        <f>VLOOKUP(A494,Metrik!$C$2:$Y$959,5,0)</f>
        <v>Real Estate Management &amp; Development</v>
      </c>
      <c r="AB494" s="24" t="str">
        <f>VLOOKUP(A494,Metrik!$C$2:$Y$959,3,0)</f>
        <v>Properties &amp; Real Estate</v>
      </c>
    </row>
    <row r="495">
      <c r="A495" s="17" t="s">
        <v>268</v>
      </c>
      <c r="B495" s="14" t="str">
        <f t="array" ref="B495">VLOOKUP(A495,{Metrik!$C$2:$C$998,Metrik!$B$2:$B$998},2,0)</f>
        <v>Bangun Kosambi Sukses Tbk.</v>
      </c>
      <c r="C495" s="15">
        <f>IFERROR(__xludf.DUMMYFUNCTION("GOOGLEFINANCE(""IDX:""&amp;A495,""price"")"),3760.0)</f>
        <v>3760</v>
      </c>
      <c r="D495" s="16" t="str">
        <f>IFERROR(__xludf.DUMMYFUNCTION("IF(A495="""","""",
SPARKLINE(
INDEX(
GOOGLEFINANCE(""IDX:""&amp;A495,""close"",TODAY()-365,TODAY()),
,2
),
{""linewidth"",1}
))
"),"#N/A")</f>
        <v>#N/A</v>
      </c>
      <c r="E495" s="14" t="s">
        <v>28</v>
      </c>
      <c r="F495" s="17" t="s">
        <v>29</v>
      </c>
      <c r="G495" s="33">
        <f>COUNTIFS($B$2:$B$1936,B495,$E$2:$E$1936,"&lt;&gt;")</f>
        <v>2</v>
      </c>
      <c r="H495" s="19">
        <f>VLOOKUP(A495,Metrik!$C$2:$Y$959,8,0)</f>
        <v>12.3</v>
      </c>
      <c r="I495" s="20">
        <f>VLOOKUP(A495,Metrik!$C$2:$Y$959,9,0)</f>
        <v>1.8</v>
      </c>
      <c r="J495" s="20">
        <f>VLOOKUP(A495,Metrik!$C$2:$Y$959,10,0)</f>
        <v>14.2</v>
      </c>
      <c r="K495" s="20">
        <f>VLOOKUP(A495,Metrik!$C$2:$Y$959,11,0)</f>
        <v>7.9</v>
      </c>
      <c r="L495" s="20">
        <f>VLOOKUP(A495,Metrik!$C$2:$Y$959,12,0)</f>
        <v>0.8</v>
      </c>
      <c r="M495" s="20">
        <f>VLOOKUP(A495,Metrik!$C$2:$Y$959,19,0)</f>
        <v>240</v>
      </c>
      <c r="N495" s="21"/>
      <c r="O495" s="21"/>
      <c r="P495" s="21"/>
      <c r="Q495" s="21"/>
      <c r="R495" s="21"/>
      <c r="S495" s="21"/>
      <c r="T495" s="21"/>
      <c r="U495" s="22">
        <f>IFERROR(__xludf.DUMMYFUNCTION("IFERROR(GOOGLEFINANCE(A495,""closeyest""),"""")"),3320.0)</f>
        <v>3320</v>
      </c>
      <c r="V495" s="23">
        <f>IFERROR(__xludf.DUMMYFUNCTION("IFERROR(GOOGLEFINANCE(A495,""changepct""),"""")"),13.25)</f>
        <v>13.25</v>
      </c>
      <c r="W495" s="22">
        <f>IFERROR(__xludf.DUMMYFUNCTION("IFERROR(GOOGLEFINANCE(A495,""priceopen""),"""")"),3320.0)</f>
        <v>3320</v>
      </c>
      <c r="X495" s="22">
        <f>IFERROR(__xludf.DUMMYFUNCTION("IFERROR(GOOGLEFINANCE(A495,""high""),"""")"),3780.0)</f>
        <v>3780</v>
      </c>
      <c r="Y495" s="22">
        <f>IFERROR(__xludf.DUMMYFUNCTION("IFERROR(GOOGLEFINANCE(A495,""low""),"""")"),3320.0)</f>
        <v>3320</v>
      </c>
      <c r="Z495" s="22">
        <f>IFERROR(__xludf.DUMMYFUNCTION("IFERROR(GOOGLEFINANCE(A495,""volume""),"""")"),3534200.0)</f>
        <v>3534200</v>
      </c>
      <c r="AA495" s="24" t="str">
        <f>VLOOKUP(A495,Metrik!$C$2:$Y$959,5,0)</f>
        <v>Real Estate Management &amp; Development</v>
      </c>
      <c r="AB495" s="24" t="str">
        <f>VLOOKUP(A495,Metrik!$C$2:$Y$959,3,0)</f>
        <v>Properties &amp; Real Estate</v>
      </c>
    </row>
    <row r="496">
      <c r="A496" s="14" t="s">
        <v>269</v>
      </c>
      <c r="B496" s="14" t="str">
        <f t="array" ref="B496">VLOOKUP(A496,{Metrik!$C$2:$C$998,Metrik!$B$2:$B$998},2,0)</f>
        <v>Cahaya Bintang Medan Tbk.</v>
      </c>
      <c r="C496" s="15">
        <f>IFERROR(__xludf.DUMMYFUNCTION("GOOGLEFINANCE(""IDX:""&amp;A496,""price"")"),50.0)</f>
        <v>50</v>
      </c>
      <c r="D496" s="16" t="str">
        <f>IFERROR(__xludf.DUMMYFUNCTION("IF(A496="""","""",
SPARKLINE(
INDEX(
GOOGLEFINANCE(""IDX:""&amp;A496,""close"",TODAY()-365,TODAY()),
,2
),
{""linewidth"",1}
))
"),"#N/A")</f>
        <v>#N/A</v>
      </c>
      <c r="E496" s="26"/>
      <c r="F496" s="26"/>
      <c r="G496" s="24">
        <f t="shared" ref="G496:G536" si="3">COUNTIFS($B$2:$B$1937,B496,$E$2:$E$1937,"&lt;&gt;")</f>
        <v>0</v>
      </c>
      <c r="H496" s="19">
        <f>VLOOKUP(A496,Metrik!$C$2:$Y$959,8,0)</f>
        <v>0</v>
      </c>
      <c r="I496" s="20">
        <f>VLOOKUP(A496,Metrik!$C$2:$Y$959,9,0)</f>
        <v>0.39</v>
      </c>
      <c r="J496" s="20">
        <f>VLOOKUP(A496,Metrik!$C$2:$Y$959,10,0)</f>
        <v>-5.8</v>
      </c>
      <c r="K496" s="20">
        <f>VLOOKUP(A496,Metrik!$C$2:$Y$959,11,0)</f>
        <v>-3.9</v>
      </c>
      <c r="L496" s="20">
        <f>VLOOKUP(A496,Metrik!$C$2:$Y$959,12,0)</f>
        <v>0.5</v>
      </c>
      <c r="M496" s="20">
        <f>VLOOKUP(A496,Metrik!$C$2:$Y$959,19,0)</f>
        <v>-450</v>
      </c>
      <c r="N496" s="21"/>
      <c r="O496" s="21"/>
      <c r="P496" s="21"/>
      <c r="Q496" s="21"/>
      <c r="R496" s="21"/>
      <c r="S496" s="21"/>
      <c r="T496" s="21"/>
      <c r="U496" s="22">
        <f>IFERROR(__xludf.DUMMYFUNCTION("IFERROR(GOOGLEFINANCE(A496,""closeyest""),"""")"),50.0)</f>
        <v>50</v>
      </c>
      <c r="V496" s="23">
        <f>IFERROR(__xludf.DUMMYFUNCTION("IFERROR(GOOGLEFINANCE(A496,""changepct""),"""")"),0.0)</f>
        <v>0</v>
      </c>
      <c r="W496" s="22" t="str">
        <f>IFERROR(__xludf.DUMMYFUNCTION("IFERROR(GOOGLEFINANCE(A496,""priceopen""),"""")"),"")</f>
        <v/>
      </c>
      <c r="X496" s="22" t="str">
        <f>IFERROR(__xludf.DUMMYFUNCTION("IFERROR(GOOGLEFINANCE(A496,""high""),"""")"),"")</f>
        <v/>
      </c>
      <c r="Y496" s="22" t="str">
        <f>IFERROR(__xludf.DUMMYFUNCTION("IFERROR(GOOGLEFINANCE(A496,""low""),"""")"),"")</f>
        <v/>
      </c>
      <c r="Z496" s="22">
        <f>IFERROR(__xludf.DUMMYFUNCTION("IFERROR(GOOGLEFINANCE(A496,""volume""),"""")"),0.0)</f>
        <v>0</v>
      </c>
      <c r="AA496" s="24" t="str">
        <f>VLOOKUP(A496,Metrik!$C$2:$Y$959,5,0)</f>
        <v>Household Goods</v>
      </c>
      <c r="AB496" s="24" t="str">
        <f>VLOOKUP(A496,Metrik!$C$2:$Y$959,3,0)</f>
        <v>Consumer Cyclicals</v>
      </c>
    </row>
    <row r="497">
      <c r="A497" s="14" t="s">
        <v>270</v>
      </c>
      <c r="B497" s="14" t="str">
        <f t="array" ref="B497">VLOOKUP(A497,{Metrik!$C$2:$C$998,Metrik!$B$2:$B$998},2,0)</f>
        <v>PT Citra Buana Prasida Tbk</v>
      </c>
      <c r="C497" s="15">
        <f>IFERROR(__xludf.DUMMYFUNCTION("GOOGLEFINANCE(""IDX:""&amp;A497,""price"")"),260.0)</f>
        <v>260</v>
      </c>
      <c r="D497" s="16" t="str">
        <f>IFERROR(__xludf.DUMMYFUNCTION("IF(A497="""","""",
SPARKLINE(
INDEX(
GOOGLEFINANCE(""IDX:""&amp;A497,""close"",TODAY()-365,TODAY()),
,2
),
{""linewidth"",1}
))
"),"#N/A")</f>
        <v>#N/A</v>
      </c>
      <c r="E497" s="26"/>
      <c r="F497" s="26"/>
      <c r="G497" s="18">
        <f t="shared" si="3"/>
        <v>0</v>
      </c>
      <c r="H497" s="19">
        <f>VLOOKUP(A497,Metrik!$C$2:$Y$959,8,0)</f>
        <v>6.7</v>
      </c>
      <c r="I497" s="20">
        <f>VLOOKUP(A497,Metrik!$C$2:$Y$959,9,0)</f>
        <v>1.2</v>
      </c>
      <c r="J497" s="20">
        <f>VLOOKUP(A497,Metrik!$C$2:$Y$959,10,0)</f>
        <v>17.5</v>
      </c>
      <c r="K497" s="20">
        <f>VLOOKUP(A497,Metrik!$C$2:$Y$959,11,0)</f>
        <v>15.3</v>
      </c>
      <c r="L497" s="20">
        <f>VLOOKUP(A497,Metrik!$C$2:$Y$959,12,0)</f>
        <v>0.15</v>
      </c>
      <c r="M497" s="20">
        <f>VLOOKUP(A497,Metrik!$C$2:$Y$959,19,0)</f>
        <v>190</v>
      </c>
      <c r="N497" s="21"/>
      <c r="O497" s="21"/>
      <c r="P497" s="21"/>
      <c r="Q497" s="21"/>
      <c r="R497" s="21"/>
      <c r="S497" s="21"/>
      <c r="T497" s="21"/>
      <c r="U497" s="22">
        <f>IFERROR(__xludf.DUMMYFUNCTION("IFERROR(GOOGLEFINANCE(A497,""closeyest""),"""")"),262.0)</f>
        <v>262</v>
      </c>
      <c r="V497" s="23">
        <f>IFERROR(__xludf.DUMMYFUNCTION("IFERROR(GOOGLEFINANCE(A497,""changepct""),"""")"),-0.76)</f>
        <v>-0.76</v>
      </c>
      <c r="W497" s="22">
        <f>IFERROR(__xludf.DUMMYFUNCTION("IFERROR(GOOGLEFINANCE(A497,""priceopen""),"""")"),262.0)</f>
        <v>262</v>
      </c>
      <c r="X497" s="22">
        <f>IFERROR(__xludf.DUMMYFUNCTION("IFERROR(GOOGLEFINANCE(A497,""high""),"""")"),268.0)</f>
        <v>268</v>
      </c>
      <c r="Y497" s="22">
        <f>IFERROR(__xludf.DUMMYFUNCTION("IFERROR(GOOGLEFINANCE(A497,""low""),"""")"),260.0)</f>
        <v>260</v>
      </c>
      <c r="Z497" s="22" t="str">
        <f>IFERROR(__xludf.DUMMYFUNCTION("IFERROR(GOOGLEFINANCE(A497,""volume""),"""")"),"")</f>
        <v/>
      </c>
      <c r="AA497" s="24" t="str">
        <f>VLOOKUP(A497,Metrik!$C$2:$Y$959,5,0)</f>
        <v>Real Estate Management &amp; Development</v>
      </c>
      <c r="AB497" s="24" t="str">
        <f>VLOOKUP(A497,Metrik!$C$2:$Y$959,3,0)</f>
        <v>Properties &amp; Real Estate</v>
      </c>
    </row>
    <row r="498">
      <c r="A498" s="14" t="s">
        <v>271</v>
      </c>
      <c r="B498" s="14" t="str">
        <f t="array" ref="B498">VLOOKUP(A498,{Metrik!$C$2:$C$998,Metrik!$B$2:$B$998},2,0)</f>
        <v>PT Cakra Buana Resources Energi Tbk</v>
      </c>
      <c r="C498" s="15">
        <f>IFERROR(__xludf.DUMMYFUNCTION("GOOGLEFINANCE(""IDX:""&amp;A498,""price"")"),695.0)</f>
        <v>695</v>
      </c>
      <c r="D498" s="16" t="str">
        <f>IFERROR(__xludf.DUMMYFUNCTION("IF(A498="""","""",
SPARKLINE(
INDEX(
GOOGLEFINANCE(""IDX:""&amp;A498,""close"",TODAY()-365,TODAY()),
,2
),
{""linewidth"",1}
))
"),"#N/A")</f>
        <v>#N/A</v>
      </c>
      <c r="E498" s="26"/>
      <c r="F498" s="26"/>
      <c r="G498" s="24">
        <f t="shared" si="3"/>
        <v>0</v>
      </c>
      <c r="H498" s="19">
        <f>VLOOKUP(A498,Metrik!$C$2:$Y$959,8,0)</f>
        <v>-57.9</v>
      </c>
      <c r="I498" s="20">
        <f>VLOOKUP(A498,Metrik!$C$2:$Y$959,9,0)</f>
        <v>70.4</v>
      </c>
      <c r="J498" s="20">
        <f>VLOOKUP(A498,Metrik!$C$2:$Y$959,10,0)</f>
        <v>-120</v>
      </c>
      <c r="K498" s="20">
        <f>VLOOKUP(A498,Metrik!$C$2:$Y$959,11,0)</f>
        <v>-3.2</v>
      </c>
      <c r="L498" s="20">
        <f>VLOOKUP(A498,Metrik!$C$2:$Y$959,12,0)</f>
        <v>36.8</v>
      </c>
      <c r="M498" s="20">
        <f>VLOOKUP(A498,Metrik!$C$2:$Y$959,19,0)</f>
        <v>-96.7</v>
      </c>
      <c r="N498" s="21"/>
      <c r="O498" s="21"/>
      <c r="P498" s="21"/>
      <c r="Q498" s="21"/>
      <c r="R498" s="21"/>
      <c r="S498" s="21"/>
      <c r="T498" s="21"/>
      <c r="U498" s="22">
        <f>IFERROR(__xludf.DUMMYFUNCTION("IFERROR(GOOGLEFINANCE(A498,""closeyest""),"""")"),131.91)</f>
        <v>131.91</v>
      </c>
      <c r="V498" s="23">
        <f>IFERROR(__xludf.DUMMYFUNCTION("IFERROR(GOOGLEFINANCE(A498,""changepct""),"""")"),1.14)</f>
        <v>1.14</v>
      </c>
      <c r="W498" s="22">
        <f>IFERROR(__xludf.DUMMYFUNCTION("IFERROR(GOOGLEFINANCE(A498,""priceopen""),"""")"),132.46)</f>
        <v>132.46</v>
      </c>
      <c r="X498" s="22">
        <f>IFERROR(__xludf.DUMMYFUNCTION("IFERROR(GOOGLEFINANCE(A498,""high""),"""")"),134.6)</f>
        <v>134.6</v>
      </c>
      <c r="Y498" s="22">
        <f>IFERROR(__xludf.DUMMYFUNCTION("IFERROR(GOOGLEFINANCE(A498,""low""),"""")"),131.95)</f>
        <v>131.95</v>
      </c>
      <c r="Z498" s="22">
        <f>IFERROR(__xludf.DUMMYFUNCTION("IFERROR(GOOGLEFINANCE(A498,""volume""),"""")"),1134574.0)</f>
        <v>1134574</v>
      </c>
      <c r="AA498" s="24" t="str">
        <f>VLOOKUP(A498,Metrik!$C$2:$Y$959,5,0)</f>
        <v>Coal</v>
      </c>
      <c r="AB498" s="24" t="str">
        <f>VLOOKUP(A498,Metrik!$C$2:$Y$959,3,0)</f>
        <v>Energy</v>
      </c>
    </row>
    <row r="499">
      <c r="A499" s="14" t="s">
        <v>272</v>
      </c>
      <c r="B499" s="14" t="str">
        <f t="array" ref="B499">VLOOKUP(A499,{Metrik!$C$2:$C$998,Metrik!$B$2:$B$998},2,0)</f>
        <v>Citra Borneo Utama Tbk.</v>
      </c>
      <c r="C499" s="15">
        <f>IFERROR(__xludf.DUMMYFUNCTION("GOOGLEFINANCE(""IDX:""&amp;A499,""price"")"),540.0)</f>
        <v>540</v>
      </c>
      <c r="D499" s="16" t="str">
        <f>IFERROR(__xludf.DUMMYFUNCTION("IF(A499="""","""",
SPARKLINE(
INDEX(
GOOGLEFINANCE(""IDX:""&amp;A499,""close"",TODAY()-365,TODAY()),
,2
),
{""linewidth"",1}
))
"),"#N/A")</f>
        <v>#N/A</v>
      </c>
      <c r="E499" s="26"/>
      <c r="F499" s="26"/>
      <c r="G499" s="24">
        <f t="shared" si="3"/>
        <v>0</v>
      </c>
      <c r="H499" s="19">
        <f>VLOOKUP(A499,Metrik!$C$2:$Y$959,8,0)</f>
        <v>17</v>
      </c>
      <c r="I499" s="20">
        <f>VLOOKUP(A499,Metrik!$C$2:$Y$959,9,0)</f>
        <v>1.6</v>
      </c>
      <c r="J499" s="20">
        <f>VLOOKUP(A499,Metrik!$C$2:$Y$959,10,0)</f>
        <v>9.5</v>
      </c>
      <c r="K499" s="20">
        <f>VLOOKUP(A499,Metrik!$C$2:$Y$959,11,0)</f>
        <v>2.8</v>
      </c>
      <c r="L499" s="20">
        <f>VLOOKUP(A499,Metrik!$C$2:$Y$959,12,0)</f>
        <v>2.5</v>
      </c>
      <c r="M499" s="20">
        <f>VLOOKUP(A499,Metrik!$C$2:$Y$959,19,0)</f>
        <v>3.3</v>
      </c>
      <c r="N499" s="21"/>
      <c r="O499" s="21"/>
      <c r="P499" s="21"/>
      <c r="Q499" s="21"/>
      <c r="R499" s="21"/>
      <c r="S499" s="21"/>
      <c r="T499" s="21"/>
      <c r="U499" s="22">
        <f>IFERROR(__xludf.DUMMYFUNCTION("IFERROR(GOOGLEFINANCE(A499,""closeyest""),"""")"),464.0)</f>
        <v>464</v>
      </c>
      <c r="V499" s="23">
        <f>IFERROR(__xludf.DUMMYFUNCTION("IFERROR(GOOGLEFINANCE(A499,""changepct""),"""")"),16.38)</f>
        <v>16.38</v>
      </c>
      <c r="W499" s="22">
        <f>IFERROR(__xludf.DUMMYFUNCTION("IFERROR(GOOGLEFINANCE(A499,""priceopen""),"""")"),474.0)</f>
        <v>474</v>
      </c>
      <c r="X499" s="22">
        <f>IFERROR(__xludf.DUMMYFUNCTION("IFERROR(GOOGLEFINANCE(A499,""high""),"""")"),580.0)</f>
        <v>580</v>
      </c>
      <c r="Y499" s="22">
        <f>IFERROR(__xludf.DUMMYFUNCTION("IFERROR(GOOGLEFINANCE(A499,""low""),"""")"),474.0)</f>
        <v>474</v>
      </c>
      <c r="Z499" s="22">
        <f>IFERROR(__xludf.DUMMYFUNCTION("IFERROR(GOOGLEFINANCE(A499,""volume""),"""")"),2062200.0)</f>
        <v>2062200</v>
      </c>
      <c r="AA499" s="24" t="str">
        <f>VLOOKUP(A499,Metrik!$C$2:$Y$959,5,0)</f>
        <v>Agricultural Products</v>
      </c>
      <c r="AB499" s="24" t="str">
        <f>VLOOKUP(A499,Metrik!$C$2:$Y$959,3,0)</f>
        <v>Consumer Non-Cyclicals</v>
      </c>
    </row>
    <row r="500">
      <c r="A500" s="14" t="s">
        <v>273</v>
      </c>
      <c r="B500" s="14" t="str">
        <f t="array" ref="B500">VLOOKUP(A500,{Metrik!$C$2:$C$998,Metrik!$B$2:$B$998},2,0)</f>
        <v>Communication Cable Systems Indonesia Tbk.</v>
      </c>
      <c r="C500" s="15">
        <f>IFERROR(__xludf.DUMMYFUNCTION("GOOGLEFINANCE(""IDX:""&amp;A500,""price"")"),244.0)</f>
        <v>244</v>
      </c>
      <c r="D500" s="16" t="str">
        <f>IFERROR(__xludf.DUMMYFUNCTION("IF(A500="""","""",
SPARKLINE(
INDEX(
GOOGLEFINANCE(""IDX:""&amp;A500,""close"",TODAY()-365,TODAY()),
,2
),
{""linewidth"",1}
))
"),"#N/A")</f>
        <v>#N/A</v>
      </c>
      <c r="E500" s="26"/>
      <c r="F500" s="26"/>
      <c r="G500" s="24">
        <f t="shared" si="3"/>
        <v>0</v>
      </c>
      <c r="H500" s="19">
        <f>VLOOKUP(A500,Metrik!$C$2:$Y$959,8,0)</f>
        <v>40.4</v>
      </c>
      <c r="I500" s="20">
        <f>VLOOKUP(A500,Metrik!$C$2:$Y$959,9,0)</f>
        <v>0.6</v>
      </c>
      <c r="J500" s="20">
        <f>VLOOKUP(A500,Metrik!$C$2:$Y$959,10,0)</f>
        <v>1.5</v>
      </c>
      <c r="K500" s="20">
        <f>VLOOKUP(A500,Metrik!$C$2:$Y$959,11,0)</f>
        <v>1.1</v>
      </c>
      <c r="L500" s="20">
        <f>VLOOKUP(A500,Metrik!$C$2:$Y$959,12,0)</f>
        <v>0.37</v>
      </c>
      <c r="M500" s="20">
        <f>VLOOKUP(A500,Metrik!$C$2:$Y$959,19,0)</f>
        <v>10.8</v>
      </c>
      <c r="N500" s="21"/>
      <c r="O500" s="21"/>
      <c r="P500" s="21"/>
      <c r="Q500" s="21"/>
      <c r="R500" s="21"/>
      <c r="S500" s="21"/>
      <c r="T500" s="21"/>
      <c r="U500" s="22">
        <f>IFERROR(__xludf.DUMMYFUNCTION("IFERROR(GOOGLEFINANCE(A500,""closeyest""),"""")"),34.9)</f>
        <v>34.9</v>
      </c>
      <c r="V500" s="23">
        <f>IFERROR(__xludf.DUMMYFUNCTION("IFERROR(GOOGLEFINANCE(A500,""changepct""),"""")"),-0.26)</f>
        <v>-0.26</v>
      </c>
      <c r="W500" s="22">
        <f>IFERROR(__xludf.DUMMYFUNCTION("IFERROR(GOOGLEFINANCE(A500,""priceopen""),"""")"),34.7)</f>
        <v>34.7</v>
      </c>
      <c r="X500" s="22">
        <f>IFERROR(__xludf.DUMMYFUNCTION("IFERROR(GOOGLEFINANCE(A500,""high""),"""")"),35.62)</f>
        <v>35.62</v>
      </c>
      <c r="Y500" s="22">
        <f>IFERROR(__xludf.DUMMYFUNCTION("IFERROR(GOOGLEFINANCE(A500,""low""),"""")"),34.23)</f>
        <v>34.23</v>
      </c>
      <c r="Z500" s="22">
        <f>IFERROR(__xludf.DUMMYFUNCTION("IFERROR(GOOGLEFINANCE(A500,""volume""),"""")"),112879.0)</f>
        <v>112879</v>
      </c>
      <c r="AA500" s="24" t="str">
        <f>VLOOKUP(A500,Metrik!$C$2:$Y$959,5,0)</f>
        <v>Electrical</v>
      </c>
      <c r="AB500" s="24" t="str">
        <f>VLOOKUP(A500,Metrik!$C$2:$Y$959,3,0)</f>
        <v>Industrials</v>
      </c>
    </row>
    <row r="501">
      <c r="A501" s="14" t="s">
        <v>274</v>
      </c>
      <c r="B501" s="14" t="str">
        <f t="array" ref="B501">VLOOKUP(A501,{Metrik!$C$2:$C$998,Metrik!$B$2:$B$998},2,0)</f>
        <v>Chandra Daya Investasi Tbk.</v>
      </c>
      <c r="C501" s="15">
        <f>IFERROR(__xludf.DUMMYFUNCTION("GOOGLEFINANCE(""IDX:""&amp;A501,""price"")"),690.0)</f>
        <v>690</v>
      </c>
      <c r="D501" s="16" t="str">
        <f>IFERROR(__xludf.DUMMYFUNCTION("IF(A501="""","""",
SPARKLINE(
INDEX(
GOOGLEFINANCE(""IDX:""&amp;A501,""close"",TODAY()-365,TODAY()),
,2
),
{""linewidth"",1}
))
"),"#N/A")</f>
        <v>#N/A</v>
      </c>
      <c r="E501" s="26"/>
      <c r="F501" s="26"/>
      <c r="G501" s="24">
        <f t="shared" si="3"/>
        <v>0</v>
      </c>
      <c r="H501" s="19">
        <f>VLOOKUP(A501,Metrik!$C$2:$Y$959,8,0)</f>
        <v>62.6</v>
      </c>
      <c r="I501" s="20">
        <f>VLOOKUP(A501,Metrik!$C$2:$Y$959,9,0)</f>
        <v>5.5</v>
      </c>
      <c r="J501" s="20">
        <f>VLOOKUP(A501,Metrik!$C$2:$Y$959,10,0)</f>
        <v>8.8</v>
      </c>
      <c r="K501" s="20">
        <f>VLOOKUP(A501,Metrik!$C$2:$Y$959,11,0)</f>
        <v>5.2</v>
      </c>
      <c r="L501" s="20">
        <f>VLOOKUP(A501,Metrik!$C$2:$Y$959,12,0)</f>
        <v>0.68</v>
      </c>
      <c r="M501" s="20">
        <f>VLOOKUP(A501,Metrik!$C$2:$Y$959,19,0)</f>
        <v>240</v>
      </c>
      <c r="N501" s="21"/>
      <c r="O501" s="21"/>
      <c r="P501" s="21"/>
      <c r="Q501" s="21"/>
      <c r="R501" s="21"/>
      <c r="S501" s="21"/>
      <c r="T501" s="21"/>
      <c r="U501" s="22">
        <f>IFERROR(__xludf.DUMMYFUNCTION("IFERROR(GOOGLEFINANCE(A501,""closeyest""),"""")"),655.0)</f>
        <v>655</v>
      </c>
      <c r="V501" s="23">
        <f>IFERROR(__xludf.DUMMYFUNCTION("IFERROR(GOOGLEFINANCE(A501,""changepct""),"""")"),5.34)</f>
        <v>5.34</v>
      </c>
      <c r="W501" s="22">
        <f>IFERROR(__xludf.DUMMYFUNCTION("IFERROR(GOOGLEFINANCE(A501,""priceopen""),"""")"),675.0)</f>
        <v>675</v>
      </c>
      <c r="X501" s="22">
        <f>IFERROR(__xludf.DUMMYFUNCTION("IFERROR(GOOGLEFINANCE(A501,""high""),"""")"),710.0)</f>
        <v>710</v>
      </c>
      <c r="Y501" s="22">
        <f>IFERROR(__xludf.DUMMYFUNCTION("IFERROR(GOOGLEFINANCE(A501,""low""),"""")"),670.0)</f>
        <v>670</v>
      </c>
      <c r="Z501" s="22">
        <f>IFERROR(__xludf.DUMMYFUNCTION("IFERROR(GOOGLEFINANCE(A501,""volume""),"""")"),6.12578E7)</f>
        <v>61257800</v>
      </c>
      <c r="AA501" s="24" t="str">
        <f>VLOOKUP(A501,Metrik!$C$2:$Y$959,5,0)</f>
        <v>Electric Utilities</v>
      </c>
      <c r="AB501" s="24" t="str">
        <f>VLOOKUP(A501,Metrik!$C$2:$Y$959,3,0)</f>
        <v>Infrastructures</v>
      </c>
    </row>
    <row r="502">
      <c r="A502" s="14" t="s">
        <v>275</v>
      </c>
      <c r="B502" s="14" t="str">
        <f t="array" ref="B502">VLOOKUP(A502,{Metrik!$C$2:$C$998,Metrik!$B$2:$B$998},2,0)</f>
        <v>Wilmar Cahaya Indonesia Tbk.</v>
      </c>
      <c r="C502" s="15">
        <f>IFERROR(__xludf.DUMMYFUNCTION("GOOGLEFINANCE(""IDX:""&amp;A502,""price"")"),2240.0)</f>
        <v>2240</v>
      </c>
      <c r="D502" s="16" t="str">
        <f>IFERROR(__xludf.DUMMYFUNCTION("IF(A502="""","""",
SPARKLINE(
INDEX(
GOOGLEFINANCE(""IDX:""&amp;A502,""close"",TODAY()-365,TODAY()),
,2
),
{""linewidth"",1}
))
"),"#N/A")</f>
        <v>#N/A</v>
      </c>
      <c r="E502" s="26"/>
      <c r="F502" s="26"/>
      <c r="G502" s="24">
        <f t="shared" si="3"/>
        <v>0</v>
      </c>
      <c r="H502" s="19">
        <f>VLOOKUP(A502,Metrik!$C$2:$Y$959,8,0)</f>
        <v>8</v>
      </c>
      <c r="I502" s="20">
        <f>VLOOKUP(A502,Metrik!$C$2:$Y$959,9,0)</f>
        <v>0.64</v>
      </c>
      <c r="J502" s="20">
        <f>VLOOKUP(A502,Metrik!$C$2:$Y$959,10,0)</f>
        <v>8.1</v>
      </c>
      <c r="K502" s="20">
        <f>VLOOKUP(A502,Metrik!$C$2:$Y$959,11,0)</f>
        <v>6.3</v>
      </c>
      <c r="L502" s="20">
        <f>VLOOKUP(A502,Metrik!$C$2:$Y$959,12,0)</f>
        <v>0.28</v>
      </c>
      <c r="M502" s="20">
        <f>VLOOKUP(A502,Metrik!$C$2:$Y$959,19,0)</f>
        <v>7</v>
      </c>
      <c r="N502" s="21"/>
      <c r="O502" s="21"/>
      <c r="P502" s="21"/>
      <c r="Q502" s="21"/>
      <c r="R502" s="21"/>
      <c r="S502" s="21"/>
      <c r="T502" s="21"/>
      <c r="U502" s="22">
        <f>IFERROR(__xludf.DUMMYFUNCTION("IFERROR(GOOGLEFINANCE(A502,""closeyest""),"""")"),2210.0)</f>
        <v>2210</v>
      </c>
      <c r="V502" s="23">
        <f>IFERROR(__xludf.DUMMYFUNCTION("IFERROR(GOOGLEFINANCE(A502,""changepct""),"""")"),1.36)</f>
        <v>1.36</v>
      </c>
      <c r="W502" s="22">
        <f>IFERROR(__xludf.DUMMYFUNCTION("IFERROR(GOOGLEFINANCE(A502,""priceopen""),"""")"),2200.0)</f>
        <v>2200</v>
      </c>
      <c r="X502" s="22">
        <f>IFERROR(__xludf.DUMMYFUNCTION("IFERROR(GOOGLEFINANCE(A502,""high""),"""")"),2260.0)</f>
        <v>2260</v>
      </c>
      <c r="Y502" s="22">
        <f>IFERROR(__xludf.DUMMYFUNCTION("IFERROR(GOOGLEFINANCE(A502,""low""),"""")"),2200.0)</f>
        <v>2200</v>
      </c>
      <c r="Z502" s="22" t="str">
        <f>IFERROR(__xludf.DUMMYFUNCTION("IFERROR(GOOGLEFINANCE(A502,""volume""),"""")"),"")</f>
        <v/>
      </c>
      <c r="AA502" s="24" t="str">
        <f>VLOOKUP(A502,Metrik!$C$2:$Y$959,5,0)</f>
        <v>Processed Foods</v>
      </c>
      <c r="AB502" s="24" t="str">
        <f>VLOOKUP(A502,Metrik!$C$2:$Y$959,3,0)</f>
        <v>Consumer Non-Cyclicals</v>
      </c>
    </row>
    <row r="503">
      <c r="A503" s="14" t="s">
        <v>276</v>
      </c>
      <c r="B503" s="14" t="str">
        <f t="array" ref="B503">VLOOKUP(A503,{Metrik!$C$2:$C$998,Metrik!$B$2:$B$998},2,0)</f>
        <v>PT Centratama Telekomunikasi Indonesia Tbk.</v>
      </c>
      <c r="C503" s="15">
        <f>IFERROR(__xludf.DUMMYFUNCTION("GOOGLEFINANCE(""IDX:""&amp;A503,""price"")"),78.0)</f>
        <v>78</v>
      </c>
      <c r="D503" s="16" t="str">
        <f>IFERROR(__xludf.DUMMYFUNCTION("IF(A503="""","""",
SPARKLINE(
INDEX(
GOOGLEFINANCE(""IDX:""&amp;A503,""close"",TODAY()-365,TODAY()),
,2
),
{""linewidth"",1}
))
"),"#N/A")</f>
        <v>#N/A</v>
      </c>
      <c r="E503" s="26"/>
      <c r="F503" s="26"/>
      <c r="G503" s="24">
        <f t="shared" si="3"/>
        <v>0</v>
      </c>
      <c r="H503" s="19">
        <f>VLOOKUP(A503,Metrik!$C$2:$Y$959,8,0)</f>
        <v>-1.3</v>
      </c>
      <c r="I503" s="20">
        <f>VLOOKUP(A503,Metrik!$C$2:$Y$959,9,0)</f>
        <v>0.68</v>
      </c>
      <c r="J503" s="20">
        <f>VLOOKUP(A503,Metrik!$C$2:$Y$959,10,0)</f>
        <v>-51.3</v>
      </c>
      <c r="K503" s="20">
        <f>VLOOKUP(A503,Metrik!$C$2:$Y$959,11,0)</f>
        <v>-6.7</v>
      </c>
      <c r="L503" s="20">
        <f>VLOOKUP(A503,Metrik!$C$2:$Y$959,12,0)</f>
        <v>6.6</v>
      </c>
      <c r="M503" s="20">
        <f>VLOOKUP(A503,Metrik!$C$2:$Y$959,19,0)</f>
        <v>-74.9</v>
      </c>
      <c r="N503" s="21"/>
      <c r="O503" s="21"/>
      <c r="P503" s="21"/>
      <c r="Q503" s="21"/>
      <c r="R503" s="21"/>
      <c r="S503" s="21"/>
      <c r="T503" s="21"/>
      <c r="U503" s="22">
        <f>IFERROR(__xludf.DUMMYFUNCTION("IFERROR(GOOGLEFINANCE(A503,""closeyest""),"""")"),42.38)</f>
        <v>42.38</v>
      </c>
      <c r="V503" s="23">
        <f>IFERROR(__xludf.DUMMYFUNCTION("IFERROR(GOOGLEFINANCE(A503,""changepct""),"""")"),1.11)</f>
        <v>1.11</v>
      </c>
      <c r="W503" s="22">
        <f>IFERROR(__xludf.DUMMYFUNCTION("IFERROR(GOOGLEFINANCE(A503,""priceopen""),"""")"),42.69)</f>
        <v>42.69</v>
      </c>
      <c r="X503" s="22">
        <f>IFERROR(__xludf.DUMMYFUNCTION("IFERROR(GOOGLEFINANCE(A503,""high""),"""")"),43.17)</f>
        <v>43.17</v>
      </c>
      <c r="Y503" s="22">
        <f>IFERROR(__xludf.DUMMYFUNCTION("IFERROR(GOOGLEFINANCE(A503,""low""),"""")"),41.96)</f>
        <v>41.96</v>
      </c>
      <c r="Z503" s="22">
        <f>IFERROR(__xludf.DUMMYFUNCTION("IFERROR(GOOGLEFINANCE(A503,""volume""),"""")"),69518.0)</f>
        <v>69518</v>
      </c>
      <c r="AA503" s="24" t="str">
        <f>VLOOKUP(A503,Metrik!$C$2:$Y$959,5,0)</f>
        <v>Wireless Telecommunication Services</v>
      </c>
      <c r="AB503" s="24" t="str">
        <f>VLOOKUP(A503,Metrik!$C$2:$Y$959,3,0)</f>
        <v>Infrastructures</v>
      </c>
    </row>
    <row r="504">
      <c r="A504" s="14" t="s">
        <v>277</v>
      </c>
      <c r="B504" s="14" t="str">
        <f t="array" ref="B504">VLOOKUP(A504,{Metrik!$C$2:$C$998,Metrik!$B$2:$B$998},2,0)</f>
        <v>Clipan Finance Indonesia Tbk.</v>
      </c>
      <c r="C504" s="15">
        <f>IFERROR(__xludf.DUMMYFUNCTION("GOOGLEFINANCE(""IDX:""&amp;A504,""price"")"),326.0)</f>
        <v>326</v>
      </c>
      <c r="D504" s="16" t="str">
        <f>IFERROR(__xludf.DUMMYFUNCTION("IF(A504="""","""",
SPARKLINE(
INDEX(
GOOGLEFINANCE(""IDX:""&amp;A504,""close"",TODAY()-365,TODAY()),
,2
),
{""linewidth"",1}
))
"),"#N/A")</f>
        <v>#N/A</v>
      </c>
      <c r="E504" s="26"/>
      <c r="F504" s="26"/>
      <c r="G504" s="24">
        <f t="shared" si="3"/>
        <v>0</v>
      </c>
      <c r="H504" s="19">
        <f>VLOOKUP(A504,Metrik!$C$2:$Y$959,8,0)</f>
        <v>5.7</v>
      </c>
      <c r="I504" s="20">
        <f>VLOOKUP(A504,Metrik!$C$2:$Y$959,9,0)</f>
        <v>0.23</v>
      </c>
      <c r="J504" s="20">
        <f>VLOOKUP(A504,Metrik!$C$2:$Y$959,10,0)</f>
        <v>4.1</v>
      </c>
      <c r="K504" s="20">
        <f>VLOOKUP(A504,Metrik!$C$2:$Y$959,11,0)</f>
        <v>2.5</v>
      </c>
      <c r="L504" s="20">
        <f>VLOOKUP(A504,Metrik!$C$2:$Y$959,12,0)</f>
        <v>0.64</v>
      </c>
      <c r="M504" s="20">
        <f>VLOOKUP(A504,Metrik!$C$2:$Y$959,19,0)</f>
        <v>76.1</v>
      </c>
      <c r="N504" s="21"/>
      <c r="O504" s="21"/>
      <c r="P504" s="21"/>
      <c r="Q504" s="21"/>
      <c r="R504" s="21"/>
      <c r="S504" s="21"/>
      <c r="T504" s="21"/>
      <c r="U504" s="22">
        <f>IFERROR(__xludf.DUMMYFUNCTION("IFERROR(GOOGLEFINANCE(A504,""closeyest""),"""")"),320.0)</f>
        <v>320</v>
      </c>
      <c r="V504" s="23">
        <f>IFERROR(__xludf.DUMMYFUNCTION("IFERROR(GOOGLEFINANCE(A504,""changepct""),"""")"),1.88)</f>
        <v>1.88</v>
      </c>
      <c r="W504" s="22">
        <f>IFERROR(__xludf.DUMMYFUNCTION("IFERROR(GOOGLEFINANCE(A504,""priceopen""),"""")"),320.0)</f>
        <v>320</v>
      </c>
      <c r="X504" s="22">
        <f>IFERROR(__xludf.DUMMYFUNCTION("IFERROR(GOOGLEFINANCE(A504,""high""),"""")"),328.0)</f>
        <v>328</v>
      </c>
      <c r="Y504" s="22">
        <f>IFERROR(__xludf.DUMMYFUNCTION("IFERROR(GOOGLEFINANCE(A504,""low""),"""")"),320.0)</f>
        <v>320</v>
      </c>
      <c r="Z504" s="22">
        <f>IFERROR(__xludf.DUMMYFUNCTION("IFERROR(GOOGLEFINANCE(A504,""volume""),"""")"),592100.0)</f>
        <v>592100</v>
      </c>
      <c r="AA504" s="24" t="str">
        <f>VLOOKUP(A504,Metrik!$C$2:$Y$959,5,0)</f>
        <v>Consumer Financing</v>
      </c>
      <c r="AB504" s="24" t="str">
        <f>VLOOKUP(A504,Metrik!$C$2:$Y$959,3,0)</f>
        <v>Financials</v>
      </c>
    </row>
    <row r="505">
      <c r="A505" s="14" t="s">
        <v>278</v>
      </c>
      <c r="B505" s="14" t="str">
        <f t="array" ref="B505">VLOOKUP(A505,{Metrik!$C$2:$C$998,Metrik!$B$2:$B$998},2,0)</f>
        <v>Citra Nusantara Gemilang Tbk.</v>
      </c>
      <c r="C505" s="15">
        <f>IFERROR(__xludf.DUMMYFUNCTION("GOOGLEFINANCE(""IDX:""&amp;A505,""price"")"),155.0)</f>
        <v>155</v>
      </c>
      <c r="D505" s="16" t="str">
        <f>IFERROR(__xludf.DUMMYFUNCTION("IF(A505="""","""",
SPARKLINE(
INDEX(
GOOGLEFINANCE(""IDX:""&amp;A505,""close"",TODAY()-365,TODAY()),
,2
),
{""linewidth"",1}
))
"),"#N/A")</f>
        <v>#N/A</v>
      </c>
      <c r="E505" s="26"/>
      <c r="F505" s="26"/>
      <c r="G505" s="24">
        <f t="shared" si="3"/>
        <v>0</v>
      </c>
      <c r="H505" s="19">
        <f>VLOOKUP(A505,Metrik!$C$2:$Y$959,8,0)</f>
        <v>17.2</v>
      </c>
      <c r="I505" s="20">
        <f>VLOOKUP(A505,Metrik!$C$2:$Y$959,9,0)</f>
        <v>1.1</v>
      </c>
      <c r="J505" s="20">
        <f>VLOOKUP(A505,Metrik!$C$2:$Y$959,10,0)</f>
        <v>6.2</v>
      </c>
      <c r="K505" s="20">
        <f>VLOOKUP(A505,Metrik!$C$2:$Y$959,11,0)</f>
        <v>4.2</v>
      </c>
      <c r="L505" s="20">
        <f>VLOOKUP(A505,Metrik!$C$2:$Y$959,12,0)</f>
        <v>0.48</v>
      </c>
      <c r="M505" s="20">
        <f>VLOOKUP(A505,Metrik!$C$2:$Y$959,19,0)</f>
        <v>10.3</v>
      </c>
      <c r="N505" s="21"/>
      <c r="O505" s="21"/>
      <c r="P505" s="21"/>
      <c r="Q505" s="21"/>
      <c r="R505" s="21"/>
      <c r="S505" s="21"/>
      <c r="T505" s="21"/>
      <c r="U505" s="22">
        <f>IFERROR(__xludf.DUMMYFUNCTION("IFERROR(GOOGLEFINANCE(A505,""closeyest""),"""")"),150.0)</f>
        <v>150</v>
      </c>
      <c r="V505" s="23">
        <f>IFERROR(__xludf.DUMMYFUNCTION("IFERROR(GOOGLEFINANCE(A505,""changepct""),"""")"),3.33)</f>
        <v>3.33</v>
      </c>
      <c r="W505" s="22">
        <f>IFERROR(__xludf.DUMMYFUNCTION("IFERROR(GOOGLEFINANCE(A505,""priceopen""),"""")"),150.0)</f>
        <v>150</v>
      </c>
      <c r="X505" s="22">
        <f>IFERROR(__xludf.DUMMYFUNCTION("IFERROR(GOOGLEFINANCE(A505,""high""),"""")"),158.0)</f>
        <v>158</v>
      </c>
      <c r="Y505" s="22">
        <f>IFERROR(__xludf.DUMMYFUNCTION("IFERROR(GOOGLEFINANCE(A505,""low""),"""")"),150.0)</f>
        <v>150</v>
      </c>
      <c r="Z505" s="22">
        <f>IFERROR(__xludf.DUMMYFUNCTION("IFERROR(GOOGLEFINANCE(A505,""volume""),"""")"),3503200.0)</f>
        <v>3503200</v>
      </c>
      <c r="AA505" s="24" t="str">
        <f>VLOOKUP(A505,Metrik!$C$2:$Y$959,5,0)</f>
        <v>Oil &amp; Gas</v>
      </c>
      <c r="AB505" s="24" t="str">
        <f>VLOOKUP(A505,Metrik!$C$2:$Y$959,3,0)</f>
        <v>Energy</v>
      </c>
    </row>
    <row r="506">
      <c r="A506" s="14" t="s">
        <v>279</v>
      </c>
      <c r="B506" s="14" t="str">
        <f t="array" ref="B506">VLOOKUP(A506,{Metrik!$C$2:$C$998,Metrik!$B$2:$B$998},2,0)</f>
        <v>Diastika Biotekindo Tbk.</v>
      </c>
      <c r="C506" s="15">
        <f>IFERROR(__xludf.DUMMYFUNCTION("GOOGLEFINANCE(""IDX:""&amp;A506,""price"")"),118.0)</f>
        <v>118</v>
      </c>
      <c r="D506" s="16" t="str">
        <f>IFERROR(__xludf.DUMMYFUNCTION("IF(A506="""","""",
SPARKLINE(
INDEX(
GOOGLEFINANCE(""IDX:""&amp;A506,""close"",TODAY()-365,TODAY()),
,2
),
{""linewidth"",1}
))
"),"#N/A")</f>
        <v>#N/A</v>
      </c>
      <c r="E506" s="26"/>
      <c r="F506" s="26"/>
      <c r="G506" s="24">
        <f t="shared" si="3"/>
        <v>0</v>
      </c>
      <c r="H506" s="19">
        <f>VLOOKUP(A506,Metrik!$C$2:$Y$959,8,0)</f>
        <v>39.7</v>
      </c>
      <c r="I506" s="20">
        <f>VLOOKUP(A506,Metrik!$C$2:$Y$959,9,0)</f>
        <v>2.4</v>
      </c>
      <c r="J506" s="20">
        <f>VLOOKUP(A506,Metrik!$C$2:$Y$959,10,0)</f>
        <v>6</v>
      </c>
      <c r="K506" s="20">
        <f>VLOOKUP(A506,Metrik!$C$2:$Y$959,11,0)</f>
        <v>5.1</v>
      </c>
      <c r="L506" s="20">
        <f>VLOOKUP(A506,Metrik!$C$2:$Y$959,12,0)</f>
        <v>0.17</v>
      </c>
      <c r="M506" s="20">
        <f>VLOOKUP(A506,Metrik!$C$2:$Y$959,19,0)</f>
        <v>34</v>
      </c>
      <c r="N506" s="21"/>
      <c r="O506" s="21"/>
      <c r="P506" s="21"/>
      <c r="Q506" s="21"/>
      <c r="R506" s="21"/>
      <c r="S506" s="21"/>
      <c r="T506" s="21"/>
      <c r="U506" s="22">
        <f>IFERROR(__xludf.DUMMYFUNCTION("IFERROR(GOOGLEFINANCE(A506,""closeyest""),"""")"),117.0)</f>
        <v>117</v>
      </c>
      <c r="V506" s="23">
        <f>IFERROR(__xludf.DUMMYFUNCTION("IFERROR(GOOGLEFINANCE(A506,""changepct""),"""")"),0.85)</f>
        <v>0.85</v>
      </c>
      <c r="W506" s="22">
        <f>IFERROR(__xludf.DUMMYFUNCTION("IFERROR(GOOGLEFINANCE(A506,""priceopen""),"""")"),119.0)</f>
        <v>119</v>
      </c>
      <c r="X506" s="22">
        <f>IFERROR(__xludf.DUMMYFUNCTION("IFERROR(GOOGLEFINANCE(A506,""high""),"""")"),120.0)</f>
        <v>120</v>
      </c>
      <c r="Y506" s="22">
        <f>IFERROR(__xludf.DUMMYFUNCTION("IFERROR(GOOGLEFINANCE(A506,""low""),"""")"),117.0)</f>
        <v>117</v>
      </c>
      <c r="Z506" s="22">
        <f>IFERROR(__xludf.DUMMYFUNCTION("IFERROR(GOOGLEFINANCE(A506,""volume""),"""")"),685300.0)</f>
        <v>685300</v>
      </c>
      <c r="AA506" s="24" t="str">
        <f>VLOOKUP(A506,Metrik!$C$2:$Y$959,5,0)</f>
        <v>Healthcare Equipment &amp; Supplies</v>
      </c>
      <c r="AB506" s="24" t="str">
        <f>VLOOKUP(A506,Metrik!$C$2:$Y$959,3,0)</f>
        <v>Healthcare</v>
      </c>
    </row>
    <row r="507">
      <c r="A507" s="14" t="s">
        <v>280</v>
      </c>
      <c r="B507" s="14" t="str">
        <f t="array" ref="B507">VLOOKUP(A507,{Metrik!$C$2:$C$998,Metrik!$B$2:$B$998},2,0)</f>
        <v>Chemstar Indonesia Tbk.</v>
      </c>
      <c r="C507" s="15">
        <f>IFERROR(__xludf.DUMMYFUNCTION("GOOGLEFINANCE(""IDX:""&amp;A507,""price"")"),62.0)</f>
        <v>62</v>
      </c>
      <c r="D507" s="16" t="str">
        <f>IFERROR(__xludf.DUMMYFUNCTION("IF(A507="""","""",
SPARKLINE(
INDEX(
GOOGLEFINANCE(""IDX:""&amp;A507,""close"",TODAY()-365,TODAY()),
,2
),
{""linewidth"",1}
))
"),"#N/A")</f>
        <v>#N/A</v>
      </c>
      <c r="E507" s="26"/>
      <c r="F507" s="26"/>
      <c r="G507" s="24">
        <f t="shared" si="3"/>
        <v>0</v>
      </c>
      <c r="H507" s="19">
        <f>VLOOKUP(A507,Metrik!$C$2:$Y$959,8,0)</f>
        <v>-93.7</v>
      </c>
      <c r="I507" s="20">
        <f>VLOOKUP(A507,Metrik!$C$2:$Y$959,9,0)</f>
        <v>1</v>
      </c>
      <c r="J507" s="20">
        <f>VLOOKUP(A507,Metrik!$C$2:$Y$959,10,0)</f>
        <v>-1.1</v>
      </c>
      <c r="K507" s="20">
        <f>VLOOKUP(A507,Metrik!$C$2:$Y$959,11,0)</f>
        <v>-0.67</v>
      </c>
      <c r="L507" s="20">
        <f>VLOOKUP(A507,Metrik!$C$2:$Y$959,12,0)</f>
        <v>0.65</v>
      </c>
      <c r="M507" s="20">
        <f>VLOOKUP(A507,Metrik!$C$2:$Y$959,19,0)</f>
        <v>-2.8</v>
      </c>
      <c r="N507" s="21"/>
      <c r="O507" s="21"/>
      <c r="P507" s="21"/>
      <c r="Q507" s="21"/>
      <c r="R507" s="21"/>
      <c r="S507" s="21"/>
      <c r="T507" s="21"/>
      <c r="U507" s="22">
        <f>IFERROR(__xludf.DUMMYFUNCTION("IFERROR(GOOGLEFINANCE(A507,""closeyest""),"""")"),59.0)</f>
        <v>59</v>
      </c>
      <c r="V507" s="23">
        <f>IFERROR(__xludf.DUMMYFUNCTION("IFERROR(GOOGLEFINANCE(A507,""changepct""),"""")"),5.08)</f>
        <v>5.08</v>
      </c>
      <c r="W507" s="22">
        <f>IFERROR(__xludf.DUMMYFUNCTION("IFERROR(GOOGLEFINANCE(A507,""priceopen""),"""")"),59.0)</f>
        <v>59</v>
      </c>
      <c r="X507" s="22">
        <f>IFERROR(__xludf.DUMMYFUNCTION("IFERROR(GOOGLEFINANCE(A507,""high""),"""")"),63.0)</f>
        <v>63</v>
      </c>
      <c r="Y507" s="22">
        <f>IFERROR(__xludf.DUMMYFUNCTION("IFERROR(GOOGLEFINANCE(A507,""low""),"""")"),59.0)</f>
        <v>59</v>
      </c>
      <c r="Z507" s="22">
        <f>IFERROR(__xludf.DUMMYFUNCTION("IFERROR(GOOGLEFINANCE(A507,""volume""),"""")"),7886700.0)</f>
        <v>7886700</v>
      </c>
      <c r="AA507" s="24" t="str">
        <f>VLOOKUP(A507,Metrik!$C$2:$Y$959,5,0)</f>
        <v>Chemicals</v>
      </c>
      <c r="AB507" s="24" t="str">
        <f>VLOOKUP(A507,Metrik!$C$2:$Y$959,3,0)</f>
        <v>Basic Materials</v>
      </c>
    </row>
    <row r="508">
      <c r="A508" s="14" t="s">
        <v>281</v>
      </c>
      <c r="B508" s="14" t="str">
        <f t="array" ref="B508">VLOOKUP(A508,{Metrik!$C$2:$C$998,Metrik!$B$2:$B$998},2,0)</f>
        <v>PT Pelita Teknologi Global Tbk</v>
      </c>
      <c r="C508" s="15">
        <f>IFERROR(__xludf.DUMMYFUNCTION("GOOGLEFINANCE(""IDX:""&amp;A508,""price"")"),945.0)</f>
        <v>945</v>
      </c>
      <c r="D508" s="16" t="str">
        <f>IFERROR(__xludf.DUMMYFUNCTION("IF(A508="""","""",
SPARKLINE(
INDEX(
GOOGLEFINANCE(""IDX:""&amp;A508,""close"",TODAY()-365,TODAY()),
,2
),
{""linewidth"",1}
))
"),"#N/A")</f>
        <v>#N/A</v>
      </c>
      <c r="E508" s="26"/>
      <c r="F508" s="26"/>
      <c r="G508" s="24">
        <f t="shared" si="3"/>
        <v>0</v>
      </c>
      <c r="H508" s="19">
        <f>VLOOKUP(A508,Metrik!$C$2:$Y$959,8,0)</f>
        <v>170</v>
      </c>
      <c r="I508" s="20">
        <f>VLOOKUP(A508,Metrik!$C$2:$Y$959,9,0)</f>
        <v>11.4</v>
      </c>
      <c r="J508" s="20">
        <f>VLOOKUP(A508,Metrik!$C$2:$Y$959,10,0)</f>
        <v>6.8</v>
      </c>
      <c r="K508" s="20">
        <f>VLOOKUP(A508,Metrik!$C$2:$Y$959,11,0)</f>
        <v>4</v>
      </c>
      <c r="L508" s="20">
        <f>VLOOKUP(A508,Metrik!$C$2:$Y$959,12,0)</f>
        <v>0.69</v>
      </c>
      <c r="M508" s="20">
        <f>VLOOKUP(A508,Metrik!$C$2:$Y$959,19,0)</f>
        <v>3.4</v>
      </c>
      <c r="N508" s="21"/>
      <c r="O508" s="21"/>
      <c r="P508" s="21"/>
      <c r="Q508" s="21"/>
      <c r="R508" s="21"/>
      <c r="S508" s="21"/>
      <c r="T508" s="21"/>
      <c r="U508" s="22">
        <f>IFERROR(__xludf.DUMMYFUNCTION("IFERROR(GOOGLEFINANCE(A508,""closeyest""),"""")"),11.81)</f>
        <v>11.81</v>
      </c>
      <c r="V508" s="23">
        <f>IFERROR(__xludf.DUMMYFUNCTION("IFERROR(GOOGLEFINANCE(A508,""changepct""),"""")"),1.23)</f>
        <v>1.23</v>
      </c>
      <c r="W508" s="22">
        <f>IFERROR(__xludf.DUMMYFUNCTION("IFERROR(GOOGLEFINANCE(A508,""priceopen""),"""")"),12.1)</f>
        <v>12.1</v>
      </c>
      <c r="X508" s="22">
        <f>IFERROR(__xludf.DUMMYFUNCTION("IFERROR(GOOGLEFINANCE(A508,""high""),"""")"),12.1)</f>
        <v>12.1</v>
      </c>
      <c r="Y508" s="22">
        <f>IFERROR(__xludf.DUMMYFUNCTION("IFERROR(GOOGLEFINANCE(A508,""low""),"""")"),11.94)</f>
        <v>11.94</v>
      </c>
      <c r="Z508" s="22">
        <f>IFERROR(__xludf.DUMMYFUNCTION("IFERROR(GOOGLEFINANCE(A508,""volume""),"""")"),590.0)</f>
        <v>590</v>
      </c>
      <c r="AA508" s="24" t="str">
        <f>VLOOKUP(A508,Metrik!$C$2:$Y$959,5,0)</f>
        <v>Electronic Equipment, Instruments &amp; Components</v>
      </c>
      <c r="AB508" s="24" t="str">
        <f>VLOOKUP(A508,Metrik!$C$2:$Y$959,3,0)</f>
        <v>Technology</v>
      </c>
    </row>
    <row r="509">
      <c r="A509" s="14" t="s">
        <v>282</v>
      </c>
      <c r="B509" s="14" t="str">
        <f t="array" ref="B509">VLOOKUP(A509,{Metrik!$C$2:$C$998,Metrik!$B$2:$B$998},2,0)</f>
        <v>Chitose Internasional Tbk.</v>
      </c>
      <c r="C509" s="15">
        <f>IFERROR(__xludf.DUMMYFUNCTION("GOOGLEFINANCE(""IDX:""&amp;A509,""price"")"),168.0)</f>
        <v>168</v>
      </c>
      <c r="D509" s="16" t="str">
        <f>IFERROR(__xludf.DUMMYFUNCTION("IF(A509="""","""",
SPARKLINE(
INDEX(
GOOGLEFINANCE(""IDX:""&amp;A509,""close"",TODAY()-365,TODAY()),
,2
),
{""linewidth"",1}
))
"),"#N/A")</f>
        <v>#N/A</v>
      </c>
      <c r="E509" s="26"/>
      <c r="F509" s="26"/>
      <c r="G509" s="24">
        <f t="shared" si="3"/>
        <v>0</v>
      </c>
      <c r="H509" s="19">
        <f>VLOOKUP(A509,Metrik!$C$2:$Y$959,8,0)</f>
        <v>5.7</v>
      </c>
      <c r="I509" s="20">
        <f>VLOOKUP(A509,Metrik!$C$2:$Y$959,9,0)</f>
        <v>0.53</v>
      </c>
      <c r="J509" s="20">
        <f>VLOOKUP(A509,Metrik!$C$2:$Y$959,10,0)</f>
        <v>9.3</v>
      </c>
      <c r="K509" s="20">
        <f>VLOOKUP(A509,Metrik!$C$2:$Y$959,11,0)</f>
        <v>6.5</v>
      </c>
      <c r="L509" s="20">
        <f>VLOOKUP(A509,Metrik!$C$2:$Y$959,12,0)</f>
        <v>0.42</v>
      </c>
      <c r="M509" s="20">
        <f>VLOOKUP(A509,Metrik!$C$2:$Y$959,19,0)</f>
        <v>26.4</v>
      </c>
      <c r="N509" s="21"/>
      <c r="O509" s="21"/>
      <c r="P509" s="21"/>
      <c r="Q509" s="21"/>
      <c r="R509" s="21"/>
      <c r="S509" s="21"/>
      <c r="T509" s="21"/>
      <c r="U509" s="22">
        <f>IFERROR(__xludf.DUMMYFUNCTION("IFERROR(GOOGLEFINANCE(A509,""closeyest""),"""")"),4.08)</f>
        <v>4.08</v>
      </c>
      <c r="V509" s="23">
        <f>IFERROR(__xludf.DUMMYFUNCTION("IFERROR(GOOGLEFINANCE(A509,""changepct""),"""")"),-0.98)</f>
        <v>-0.98</v>
      </c>
      <c r="W509" s="22">
        <f>IFERROR(__xludf.DUMMYFUNCTION("IFERROR(GOOGLEFINANCE(A509,""priceopen""),"""")"),4.05)</f>
        <v>4.05</v>
      </c>
      <c r="X509" s="22">
        <f>IFERROR(__xludf.DUMMYFUNCTION("IFERROR(GOOGLEFINANCE(A509,""high""),"""")"),4.08)</f>
        <v>4.08</v>
      </c>
      <c r="Y509" s="22">
        <f>IFERROR(__xludf.DUMMYFUNCTION("IFERROR(GOOGLEFINANCE(A509,""low""),"""")"),3.97)</f>
        <v>3.97</v>
      </c>
      <c r="Z509" s="22">
        <f>IFERROR(__xludf.DUMMYFUNCTION("IFERROR(GOOGLEFINANCE(A509,""volume""),"""")"),114789.0)</f>
        <v>114789</v>
      </c>
      <c r="AA509" s="24" t="str">
        <f>VLOOKUP(A509,Metrik!$C$2:$Y$959,5,0)</f>
        <v>Household Goods</v>
      </c>
      <c r="AB509" s="24" t="str">
        <f>VLOOKUP(A509,Metrik!$C$2:$Y$959,3,0)</f>
        <v>Consumer Cyclicals</v>
      </c>
    </row>
    <row r="510">
      <c r="A510" s="14" t="s">
        <v>283</v>
      </c>
      <c r="B510" s="14" t="str">
        <f t="array" ref="B510">VLOOKUP(A510,{Metrik!$C$2:$C$998,Metrik!$B$2:$B$998},2,0)</f>
        <v>Cita Mineral Investindo Tbk.</v>
      </c>
      <c r="C510" s="15">
        <f>IFERROR(__xludf.DUMMYFUNCTION("GOOGLEFINANCE(""IDX:""&amp;A510,""price"")"),2910.0)</f>
        <v>2910</v>
      </c>
      <c r="D510" s="16" t="str">
        <f>IFERROR(__xludf.DUMMYFUNCTION("IF(A510="""","""",
SPARKLINE(
INDEX(
GOOGLEFINANCE(""IDX:""&amp;A510,""close"",TODAY()-365,TODAY()),
,2
),
{""linewidth"",1}
))
"),"#N/A")</f>
        <v>#N/A</v>
      </c>
      <c r="E510" s="26"/>
      <c r="F510" s="26"/>
      <c r="G510" s="18">
        <f t="shared" si="3"/>
        <v>0</v>
      </c>
      <c r="H510" s="19">
        <f>VLOOKUP(A510,Metrik!$C$2:$Y$959,8,0)</f>
        <v>7.5</v>
      </c>
      <c r="I510" s="20">
        <f>VLOOKUP(A510,Metrik!$C$2:$Y$959,9,0)</f>
        <v>1.4</v>
      </c>
      <c r="J510" s="20">
        <f>VLOOKUP(A510,Metrik!$C$2:$Y$959,10,0)</f>
        <v>18.3</v>
      </c>
      <c r="K510" s="20">
        <f>VLOOKUP(A510,Metrik!$C$2:$Y$959,11,0)</f>
        <v>17.5</v>
      </c>
      <c r="L510" s="20">
        <f>VLOOKUP(A510,Metrik!$C$2:$Y$959,12,0)</f>
        <v>0.04</v>
      </c>
      <c r="M510" s="20">
        <f>VLOOKUP(A510,Metrik!$C$2:$Y$959,19,0)</f>
        <v>200</v>
      </c>
      <c r="N510" s="21"/>
      <c r="O510" s="21"/>
      <c r="P510" s="21"/>
      <c r="Q510" s="21"/>
      <c r="R510" s="21"/>
      <c r="S510" s="21"/>
      <c r="T510" s="21"/>
      <c r="U510" s="22">
        <f>IFERROR(__xludf.DUMMYFUNCTION("IFERROR(GOOGLEFINANCE(A510,""closeyest""),"""")"),2770.0)</f>
        <v>2770</v>
      </c>
      <c r="V510" s="23">
        <f>IFERROR(__xludf.DUMMYFUNCTION("IFERROR(GOOGLEFINANCE(A510,""changepct""),"""")"),5.05)</f>
        <v>5.05</v>
      </c>
      <c r="W510" s="22">
        <f>IFERROR(__xludf.DUMMYFUNCTION("IFERROR(GOOGLEFINANCE(A510,""priceopen""),"""")"),2820.0)</f>
        <v>2820</v>
      </c>
      <c r="X510" s="22">
        <f>IFERROR(__xludf.DUMMYFUNCTION("IFERROR(GOOGLEFINANCE(A510,""high""),"""")"),3050.0)</f>
        <v>3050</v>
      </c>
      <c r="Y510" s="22">
        <f>IFERROR(__xludf.DUMMYFUNCTION("IFERROR(GOOGLEFINANCE(A510,""low""),"""")"),2820.0)</f>
        <v>2820</v>
      </c>
      <c r="Z510" s="22">
        <f>IFERROR(__xludf.DUMMYFUNCTION("IFERROR(GOOGLEFINANCE(A510,""volume""),"""")"),637700.0)</f>
        <v>637700</v>
      </c>
      <c r="AA510" s="24" t="str">
        <f>VLOOKUP(A510,Metrik!$C$2:$Y$959,5,0)</f>
        <v>Metals &amp; Minerals</v>
      </c>
      <c r="AB510" s="24" t="str">
        <f>VLOOKUP(A510,Metrik!$C$2:$Y$959,3,0)</f>
        <v>Basic Materials</v>
      </c>
    </row>
    <row r="511">
      <c r="A511" s="14" t="s">
        <v>284</v>
      </c>
      <c r="B511" s="14" t="str">
        <f t="array" ref="B511">VLOOKUP(A511,{Metrik!$C$2:$C$998,Metrik!$B$2:$B$998},2,0)</f>
        <v>Natura City Developments Tbk.</v>
      </c>
      <c r="C511" s="15">
        <f>IFERROR(__xludf.DUMMYFUNCTION("GOOGLEFINANCE(""IDX:""&amp;A511,""price"")"),132.0)</f>
        <v>132</v>
      </c>
      <c r="D511" s="16" t="str">
        <f>IFERROR(__xludf.DUMMYFUNCTION("IF(A511="""","""",
SPARKLINE(
INDEX(
GOOGLEFINANCE(""IDX:""&amp;A511,""close"",TODAY()-365,TODAY()),
,2
),
{""linewidth"",1}
))
"),"#N/A")</f>
        <v>#N/A</v>
      </c>
      <c r="E511" s="26"/>
      <c r="F511" s="26"/>
      <c r="G511" s="24">
        <f t="shared" si="3"/>
        <v>0</v>
      </c>
      <c r="H511" s="19">
        <f>VLOOKUP(A511,Metrik!$C$2:$Y$959,8,0)</f>
        <v>41.8</v>
      </c>
      <c r="I511" s="20">
        <f>VLOOKUP(A511,Metrik!$C$2:$Y$959,9,0)</f>
        <v>0.98</v>
      </c>
      <c r="J511" s="20">
        <f>VLOOKUP(A511,Metrik!$C$2:$Y$959,10,0)</f>
        <v>2.4</v>
      </c>
      <c r="K511" s="20">
        <f>VLOOKUP(A511,Metrik!$C$2:$Y$959,11,0)</f>
        <v>1.8</v>
      </c>
      <c r="L511" s="20">
        <f>VLOOKUP(A511,Metrik!$C$2:$Y$959,12,0)</f>
        <v>0.28</v>
      </c>
      <c r="M511" s="20">
        <f>VLOOKUP(A511,Metrik!$C$2:$Y$959,19,0)</f>
        <v>49.4</v>
      </c>
      <c r="N511" s="21"/>
      <c r="O511" s="21"/>
      <c r="P511" s="21"/>
      <c r="Q511" s="21"/>
      <c r="R511" s="21"/>
      <c r="S511" s="21"/>
      <c r="T511" s="21"/>
      <c r="U511" s="22">
        <f>IFERROR(__xludf.DUMMYFUNCTION("IFERROR(GOOGLEFINANCE(A511,""closeyest""),"""")"),10.37)</f>
        <v>10.37</v>
      </c>
      <c r="V511" s="23">
        <f>IFERROR(__xludf.DUMMYFUNCTION("IFERROR(GOOGLEFINANCE(A511,""changepct""),"""")"),2.7)</f>
        <v>2.7</v>
      </c>
      <c r="W511" s="22">
        <f>IFERROR(__xludf.DUMMYFUNCTION("IFERROR(GOOGLEFINANCE(A511,""priceopen""),"""")"),10.53)</f>
        <v>10.53</v>
      </c>
      <c r="X511" s="22">
        <f>IFERROR(__xludf.DUMMYFUNCTION("IFERROR(GOOGLEFINANCE(A511,""high""),"""")"),10.65)</f>
        <v>10.65</v>
      </c>
      <c r="Y511" s="22">
        <f>IFERROR(__xludf.DUMMYFUNCTION("IFERROR(GOOGLEFINANCE(A511,""low""),"""")"),10.53)</f>
        <v>10.53</v>
      </c>
      <c r="Z511" s="22">
        <f>IFERROR(__xludf.DUMMYFUNCTION("IFERROR(GOOGLEFINANCE(A511,""volume""),"""")"),16656.0)</f>
        <v>16656</v>
      </c>
      <c r="AA511" s="24" t="str">
        <f>VLOOKUP(A511,Metrik!$C$2:$Y$959,5,0)</f>
        <v>Real Estate Management &amp; Development</v>
      </c>
      <c r="AB511" s="24" t="str">
        <f>VLOOKUP(A511,Metrik!$C$2:$Y$959,3,0)</f>
        <v>Properties &amp; Real Estate</v>
      </c>
    </row>
    <row r="512">
      <c r="A512" s="14" t="s">
        <v>285</v>
      </c>
      <c r="B512" s="14" t="str">
        <f t="array" ref="B512">VLOOKUP(A512,{Metrik!$C$2:$C$998,Metrik!$B$2:$B$998},2,0)</f>
        <v>Citra Putra Realty Tbk.</v>
      </c>
      <c r="C512" s="15">
        <f>IFERROR(__xludf.DUMMYFUNCTION("GOOGLEFINANCE(""IDX:""&amp;A512,""price"")"),2750.0)</f>
        <v>2750</v>
      </c>
      <c r="D512" s="16" t="str">
        <f>IFERROR(__xludf.DUMMYFUNCTION("IF(A512="""","""",
SPARKLINE(
INDEX(
GOOGLEFINANCE(""IDX:""&amp;A512,""close"",TODAY()-365,TODAY()),
,2
),
{""linewidth"",1}
))
"),"#N/A")</f>
        <v>#N/A</v>
      </c>
      <c r="E512" s="26"/>
      <c r="F512" s="26"/>
      <c r="G512" s="24">
        <f t="shared" si="3"/>
        <v>0</v>
      </c>
      <c r="H512" s="19">
        <f>VLOOKUP(A512,Metrik!$C$2:$Y$959,8,0)</f>
        <v>580</v>
      </c>
      <c r="I512" s="20">
        <f>VLOOKUP(A512,Metrik!$C$2:$Y$959,9,0)</f>
        <v>400</v>
      </c>
      <c r="J512" s="20">
        <f>VLOOKUP(A512,Metrik!$C$2:$Y$959,10,0)</f>
        <v>69.7</v>
      </c>
      <c r="K512" s="20">
        <f>VLOOKUP(A512,Metrik!$C$2:$Y$959,11,0)</f>
        <v>2.5</v>
      </c>
      <c r="L512" s="20">
        <f>VLOOKUP(A512,Metrik!$C$2:$Y$959,12,0)</f>
        <v>27.2</v>
      </c>
      <c r="M512" s="20">
        <f>VLOOKUP(A512,Metrik!$C$2:$Y$959,19,0)</f>
        <v>37.8</v>
      </c>
      <c r="N512" s="21"/>
      <c r="O512" s="21"/>
      <c r="P512" s="21"/>
      <c r="Q512" s="21"/>
      <c r="R512" s="21"/>
      <c r="S512" s="21"/>
      <c r="T512" s="21"/>
      <c r="U512" s="22">
        <f>IFERROR(__xludf.DUMMYFUNCTION("IFERROR(GOOGLEFINANCE(A512,""closeyest""),"""")"),2700.0)</f>
        <v>2700</v>
      </c>
      <c r="V512" s="23">
        <f>IFERROR(__xludf.DUMMYFUNCTION("IFERROR(GOOGLEFINANCE(A512,""changepct""),"""")"),1.85)</f>
        <v>1.85</v>
      </c>
      <c r="W512" s="22">
        <f>IFERROR(__xludf.DUMMYFUNCTION("IFERROR(GOOGLEFINANCE(A512,""priceopen""),"""")"),2600.0)</f>
        <v>2600</v>
      </c>
      <c r="X512" s="22">
        <f>IFERROR(__xludf.DUMMYFUNCTION("IFERROR(GOOGLEFINANCE(A512,""high""),"""")"),2760.0)</f>
        <v>2760</v>
      </c>
      <c r="Y512" s="22" t="str">
        <f>IFERROR(__xludf.DUMMYFUNCTION("IFERROR(GOOGLEFINANCE(A512,""low""),"""")"),"")</f>
        <v/>
      </c>
      <c r="Z512" s="22">
        <f>IFERROR(__xludf.DUMMYFUNCTION("IFERROR(GOOGLEFINANCE(A512,""volume""),"""")"),11500.0)</f>
        <v>11500</v>
      </c>
      <c r="AA512" s="24" t="str">
        <f>VLOOKUP(A512,Metrik!$C$2:$Y$959,5,0)</f>
        <v>Tourism &amp; Recreation</v>
      </c>
      <c r="AB512" s="24" t="str">
        <f>VLOOKUP(A512,Metrik!$C$2:$Y$959,3,0)</f>
        <v>Consumer Cyclicals</v>
      </c>
    </row>
    <row r="513">
      <c r="A513" s="17" t="s">
        <v>286</v>
      </c>
      <c r="B513" s="14" t="str">
        <f t="array" ref="B513">VLOOKUP(A513,{Metrik!$C$2:$C$998,Metrik!$B$2:$B$998},2,0)</f>
        <v>Sariguna Primatirta Tbk.</v>
      </c>
      <c r="C513" s="15">
        <f>IFERROR(__xludf.DUMMYFUNCTION("GOOGLEFINANCE(""IDX:""&amp;A513,""price"")"),380.0)</f>
        <v>380</v>
      </c>
      <c r="D513" s="16" t="str">
        <f>IFERROR(__xludf.DUMMYFUNCTION("IF(A513="""","""",
SPARKLINE(
INDEX(
GOOGLEFINANCE(""IDX:""&amp;A513,""close"",TODAY()-365,TODAY()),
,2
),
{""linewidth"",1}
))
"),"#N/A")</f>
        <v>#N/A</v>
      </c>
      <c r="E513" s="17" t="s">
        <v>175</v>
      </c>
      <c r="F513" s="14" t="s">
        <v>34</v>
      </c>
      <c r="G513" s="18">
        <f t="shared" si="3"/>
        <v>1</v>
      </c>
      <c r="H513" s="19">
        <f>VLOOKUP(A513,Metrik!$C$2:$Y$959,8,0)</f>
        <v>24.2</v>
      </c>
      <c r="I513" s="20">
        <f>VLOOKUP(A513,Metrik!$C$2:$Y$959,9,0)</f>
        <v>3.8</v>
      </c>
      <c r="J513" s="20">
        <f>VLOOKUP(A513,Metrik!$C$2:$Y$959,10,0)</f>
        <v>15.8</v>
      </c>
      <c r="K513" s="20">
        <f>VLOOKUP(A513,Metrik!$C$2:$Y$959,11,0)</f>
        <v>11.8</v>
      </c>
      <c r="L513" s="20">
        <f>VLOOKUP(A513,Metrik!$C$2:$Y$959,12,0)</f>
        <v>0.34</v>
      </c>
      <c r="M513" s="20">
        <f>VLOOKUP(A513,Metrik!$C$2:$Y$959,19,0)</f>
        <v>49.7</v>
      </c>
      <c r="N513" s="21"/>
      <c r="O513" s="21"/>
      <c r="P513" s="21"/>
      <c r="Q513" s="21"/>
      <c r="R513" s="21"/>
      <c r="S513" s="21"/>
      <c r="T513" s="21"/>
      <c r="U513" s="22">
        <f>IFERROR(__xludf.DUMMYFUNCTION("IFERROR(GOOGLEFINANCE(A513,""closeyest""),"""")"),1.15)</f>
        <v>1.15</v>
      </c>
      <c r="V513" s="23">
        <f>IFERROR(__xludf.DUMMYFUNCTION("IFERROR(GOOGLEFINANCE(A513,""changepct""),"""")"),-100.0)</f>
        <v>-100</v>
      </c>
      <c r="W513" s="22" t="str">
        <f>IFERROR(__xludf.DUMMYFUNCTION("IFERROR(GOOGLEFINANCE(A513,""priceopen""),"""")"),"")</f>
        <v/>
      </c>
      <c r="X513" s="22" t="str">
        <f>IFERROR(__xludf.DUMMYFUNCTION("IFERROR(GOOGLEFINANCE(A513,""high""),"""")"),"")</f>
        <v/>
      </c>
      <c r="Y513" s="22" t="str">
        <f>IFERROR(__xludf.DUMMYFUNCTION("IFERROR(GOOGLEFINANCE(A513,""low""),"""")"),"")</f>
        <v/>
      </c>
      <c r="Z513" s="22" t="str">
        <f>IFERROR(__xludf.DUMMYFUNCTION("IFERROR(GOOGLEFINANCE(A513,""volume""),"""")"),"")</f>
        <v/>
      </c>
      <c r="AA513" s="24" t="str">
        <f>VLOOKUP(A513,Metrik!$C$2:$Y$959,5,0)</f>
        <v>Beverages</v>
      </c>
      <c r="AB513" s="24" t="str">
        <f>VLOOKUP(A513,Metrik!$C$2:$Y$959,3,0)</f>
        <v>Consumer Non-Cyclicals</v>
      </c>
    </row>
    <row r="514">
      <c r="A514" s="14" t="s">
        <v>287</v>
      </c>
      <c r="B514" s="14" t="str">
        <f t="array" ref="B514">VLOOKUP(A514,{Metrik!$C$2:$C$998,Metrik!$B$2:$B$998},2,0)</f>
        <v>Colorpak Indonesia Tbk.</v>
      </c>
      <c r="C514" s="15">
        <f>IFERROR(__xludf.DUMMYFUNCTION("GOOGLEFINANCE(""IDX:""&amp;A514,""price"")"),1595.0)</f>
        <v>1595</v>
      </c>
      <c r="D514" s="16" t="str">
        <f>IFERROR(__xludf.DUMMYFUNCTION("IF(A514="""","""",
SPARKLINE(
INDEX(
GOOGLEFINANCE(""IDX:""&amp;A514,""close"",TODAY()-365,TODAY()),
,2
),
{""linewidth"",1}
))
"),"#N/A")</f>
        <v>#N/A</v>
      </c>
      <c r="E514" s="26"/>
      <c r="F514" s="26"/>
      <c r="G514" s="24">
        <f t="shared" si="3"/>
        <v>0</v>
      </c>
      <c r="H514" s="19">
        <f>VLOOKUP(A514,Metrik!$C$2:$Y$959,8,0)</f>
        <v>7.1</v>
      </c>
      <c r="I514" s="20">
        <f>VLOOKUP(A514,Metrik!$C$2:$Y$959,9,0)</f>
        <v>0.79</v>
      </c>
      <c r="J514" s="20">
        <f>VLOOKUP(A514,Metrik!$C$2:$Y$959,10,0)</f>
        <v>11.2</v>
      </c>
      <c r="K514" s="20">
        <f>VLOOKUP(A514,Metrik!$C$2:$Y$959,11,0)</f>
        <v>7.8</v>
      </c>
      <c r="L514" s="20">
        <f>VLOOKUP(A514,Metrik!$C$2:$Y$959,12,0)</f>
        <v>0.44</v>
      </c>
      <c r="M514" s="20">
        <f>VLOOKUP(A514,Metrik!$C$2:$Y$959,19,0)</f>
        <v>27.4</v>
      </c>
      <c r="N514" s="21"/>
      <c r="O514" s="21"/>
      <c r="P514" s="21"/>
      <c r="Q514" s="21"/>
      <c r="R514" s="21"/>
      <c r="S514" s="21"/>
      <c r="T514" s="21"/>
      <c r="U514" s="22">
        <f>IFERROR(__xludf.DUMMYFUNCTION("IFERROR(GOOGLEFINANCE(A514,""closeyest""),"""")"),1570.0)</f>
        <v>1570</v>
      </c>
      <c r="V514" s="23">
        <f>IFERROR(__xludf.DUMMYFUNCTION("IFERROR(GOOGLEFINANCE(A514,""changepct""),"""")"),1.59)</f>
        <v>1.59</v>
      </c>
      <c r="W514" s="22">
        <f>IFERROR(__xludf.DUMMYFUNCTION("IFERROR(GOOGLEFINANCE(A514,""priceopen""),"""")"),1560.0)</f>
        <v>1560</v>
      </c>
      <c r="X514" s="22">
        <f>IFERROR(__xludf.DUMMYFUNCTION("IFERROR(GOOGLEFINANCE(A514,""high""),"""")"),1615.0)</f>
        <v>1615</v>
      </c>
      <c r="Y514" s="22">
        <f>IFERROR(__xludf.DUMMYFUNCTION("IFERROR(GOOGLEFINANCE(A514,""low""),"""")"),1560.0)</f>
        <v>1560</v>
      </c>
      <c r="Z514" s="22">
        <f>IFERROR(__xludf.DUMMYFUNCTION("IFERROR(GOOGLEFINANCE(A514,""volume""),"""")"),195700.0)</f>
        <v>195700</v>
      </c>
      <c r="AA514" s="24" t="str">
        <f>VLOOKUP(A514,Metrik!$C$2:$Y$959,5,0)</f>
        <v>Chemicals</v>
      </c>
      <c r="AB514" s="24" t="str">
        <f>VLOOKUP(A514,Metrik!$C$2:$Y$959,3,0)</f>
        <v>Basic Materials</v>
      </c>
    </row>
    <row r="515">
      <c r="A515" s="14" t="s">
        <v>288</v>
      </c>
      <c r="B515" s="14" t="str">
        <f t="array" ref="B515">VLOOKUP(A515,{Metrik!$C$2:$C$998,Metrik!$B$2:$B$998},2,0)</f>
        <v>Citra Marga Nusaphala Persada Tbk.</v>
      </c>
      <c r="C515" s="15">
        <f>IFERROR(__xludf.DUMMYFUNCTION("GOOGLEFINANCE(""IDX:""&amp;A515,""price"")"),1380.0)</f>
        <v>1380</v>
      </c>
      <c r="D515" s="16" t="str">
        <f>IFERROR(__xludf.DUMMYFUNCTION("IF(A515="""","""",
SPARKLINE(
INDEX(
GOOGLEFINANCE(""IDX:""&amp;A515,""close"",TODAY()-365,TODAY()),
,2
),
{""linewidth"",1}
))
"),"#N/A")</f>
        <v>#N/A</v>
      </c>
      <c r="E515" s="26"/>
      <c r="F515" s="26"/>
      <c r="G515" s="24">
        <f t="shared" si="3"/>
        <v>0</v>
      </c>
      <c r="H515" s="19">
        <f>VLOOKUP(A515,Metrik!$C$2:$Y$959,8,0)</f>
        <v>8.7</v>
      </c>
      <c r="I515" s="20">
        <f>VLOOKUP(A515,Metrik!$C$2:$Y$959,9,0)</f>
        <v>0.56</v>
      </c>
      <c r="J515" s="20">
        <f>VLOOKUP(A515,Metrik!$C$2:$Y$959,10,0)</f>
        <v>6.4</v>
      </c>
      <c r="K515" s="20">
        <f>VLOOKUP(A515,Metrik!$C$2:$Y$959,11,0)</f>
        <v>4.1</v>
      </c>
      <c r="L515" s="20">
        <f>VLOOKUP(A515,Metrik!$C$2:$Y$959,12,0)</f>
        <v>0.58</v>
      </c>
      <c r="M515" s="20">
        <f>VLOOKUP(A515,Metrik!$C$2:$Y$959,19,0)</f>
        <v>110</v>
      </c>
      <c r="N515" s="21"/>
      <c r="O515" s="21"/>
      <c r="P515" s="21"/>
      <c r="Q515" s="21"/>
      <c r="R515" s="21"/>
      <c r="S515" s="21"/>
      <c r="T515" s="21"/>
      <c r="U515" s="22">
        <f>IFERROR(__xludf.DUMMYFUNCTION("IFERROR(GOOGLEFINANCE(A515,""closeyest""),"""")"),1395.0)</f>
        <v>1395</v>
      </c>
      <c r="V515" s="23">
        <f>IFERROR(__xludf.DUMMYFUNCTION("IFERROR(GOOGLEFINANCE(A515,""changepct""),"""")"),-1.08)</f>
        <v>-1.08</v>
      </c>
      <c r="W515" s="22">
        <f>IFERROR(__xludf.DUMMYFUNCTION("IFERROR(GOOGLEFINANCE(A515,""priceopen""),"""")"),1405.0)</f>
        <v>1405</v>
      </c>
      <c r="X515" s="22">
        <f>IFERROR(__xludf.DUMMYFUNCTION("IFERROR(GOOGLEFINANCE(A515,""high""),"""")"),1405.0)</f>
        <v>1405</v>
      </c>
      <c r="Y515" s="22">
        <f>IFERROR(__xludf.DUMMYFUNCTION("IFERROR(GOOGLEFINANCE(A515,""low""),"""")"),1310.0)</f>
        <v>1310</v>
      </c>
      <c r="Z515" s="22">
        <f>IFERROR(__xludf.DUMMYFUNCTION("IFERROR(GOOGLEFINANCE(A515,""volume""),"""")"),58200.0)</f>
        <v>58200</v>
      </c>
      <c r="AA515" s="24" t="str">
        <f>VLOOKUP(A515,Metrik!$C$2:$Y$959,5,0)</f>
        <v>Transport Infrastructure Operator</v>
      </c>
      <c r="AB515" s="24" t="str">
        <f>VLOOKUP(A515,Metrik!$C$2:$Y$959,3,0)</f>
        <v>Infrastructures</v>
      </c>
    </row>
    <row r="516">
      <c r="A516" s="14" t="s">
        <v>289</v>
      </c>
      <c r="B516" s="14" t="str">
        <f t="array" ref="B516">VLOOKUP(A516,{Metrik!$C$2:$C$998,Metrik!$B$2:$B$998},2,0)</f>
        <v>Cemindo Gemilang Tbk.</v>
      </c>
      <c r="C516" s="15">
        <f>IFERROR(__xludf.DUMMYFUNCTION("GOOGLEFINANCE(""IDX:""&amp;A516,""price"")"),815.0)</f>
        <v>815</v>
      </c>
      <c r="D516" s="16" t="str">
        <f>IFERROR(__xludf.DUMMYFUNCTION("IF(A516="""","""",
SPARKLINE(
INDEX(
GOOGLEFINANCE(""IDX:""&amp;A516,""close"",TODAY()-365,TODAY()),
,2
),
{""linewidth"",1}
))
"),"#N/A")</f>
        <v>#N/A</v>
      </c>
      <c r="E516" s="26"/>
      <c r="F516" s="26"/>
      <c r="G516" s="24">
        <f t="shared" si="3"/>
        <v>0</v>
      </c>
      <c r="H516" s="19">
        <f>VLOOKUP(A516,Metrik!$C$2:$Y$959,8,0)</f>
        <v>270</v>
      </c>
      <c r="I516" s="20">
        <f>VLOOKUP(A516,Metrik!$C$2:$Y$959,9,0)</f>
        <v>5</v>
      </c>
      <c r="J516" s="20">
        <f>VLOOKUP(A516,Metrik!$C$2:$Y$959,10,0)</f>
        <v>1.8</v>
      </c>
      <c r="K516" s="20">
        <f>VLOOKUP(A516,Metrik!$C$2:$Y$959,11,0)</f>
        <v>0.31</v>
      </c>
      <c r="L516" s="20">
        <f>VLOOKUP(A516,Metrik!$C$2:$Y$959,12,0)</f>
        <v>4.8</v>
      </c>
      <c r="M516" s="20">
        <f>VLOOKUP(A516,Metrik!$C$2:$Y$959,19,0)</f>
        <v>2.5</v>
      </c>
      <c r="N516" s="21"/>
      <c r="O516" s="21"/>
      <c r="P516" s="21"/>
      <c r="Q516" s="21"/>
      <c r="R516" s="21"/>
      <c r="S516" s="21"/>
      <c r="T516" s="21"/>
      <c r="U516" s="22">
        <f>IFERROR(__xludf.DUMMYFUNCTION("IFERROR(GOOGLEFINANCE(A516,""closeyest""),"""")"),0.0)</f>
        <v>0</v>
      </c>
      <c r="V516" s="23">
        <f>IFERROR(__xludf.DUMMYFUNCTION("IFERROR(GOOGLEFINANCE(A516,""changepct""),"""")"),0.0)</f>
        <v>0</v>
      </c>
      <c r="W516" s="22" t="str">
        <f>IFERROR(__xludf.DUMMYFUNCTION("IFERROR(GOOGLEFINANCE(A516,""priceopen""),"""")"),"")</f>
        <v/>
      </c>
      <c r="X516" s="22" t="str">
        <f>IFERROR(__xludf.DUMMYFUNCTION("IFERROR(GOOGLEFINANCE(A516,""high""),"""")"),"")</f>
        <v/>
      </c>
      <c r="Y516" s="22" t="str">
        <f>IFERROR(__xludf.DUMMYFUNCTION("IFERROR(GOOGLEFINANCE(A516,""low""),"""")"),"")</f>
        <v/>
      </c>
      <c r="Z516" s="22">
        <f>IFERROR(__xludf.DUMMYFUNCTION("IFERROR(GOOGLEFINANCE(A516,""volume""),"""")"),0.0)</f>
        <v>0</v>
      </c>
      <c r="AA516" s="24" t="str">
        <f>VLOOKUP(A516,Metrik!$C$2:$Y$959,5,0)</f>
        <v>Construction Materials</v>
      </c>
      <c r="AB516" s="24" t="str">
        <f>VLOOKUP(A516,Metrik!$C$2:$Y$959,3,0)</f>
        <v>Basic Materials</v>
      </c>
    </row>
    <row r="517">
      <c r="A517" s="14" t="s">
        <v>290</v>
      </c>
      <c r="B517" s="14" t="str">
        <f t="array" ref="B517">VLOOKUP(A517,{Metrik!$C$2:$C$998,Metrik!$B$2:$B$998},2,0)</f>
        <v>AirAsia Indonesia Tbk.</v>
      </c>
      <c r="C517" s="15">
        <f>IFERROR(__xludf.DUMMYFUNCTION("GOOGLEFINANCE(""IDX:""&amp;A517,""price"")"),74.0)</f>
        <v>74</v>
      </c>
      <c r="D517" s="16" t="str">
        <f>IFERROR(__xludf.DUMMYFUNCTION("IF(A517="""","""",
SPARKLINE(
INDEX(
GOOGLEFINANCE(""IDX:""&amp;A517,""close"",TODAY()-365,TODAY()),
,2
),
{""linewidth"",1}
))
"),"#N/A")</f>
        <v>#N/A</v>
      </c>
      <c r="E517" s="26"/>
      <c r="F517" s="26"/>
      <c r="G517" s="24">
        <f t="shared" si="3"/>
        <v>0</v>
      </c>
      <c r="H517" s="19">
        <f>VLOOKUP(A517,Metrik!$C$2:$Y$959,8,0)</f>
        <v>-0.81</v>
      </c>
      <c r="I517" s="20">
        <f>VLOOKUP(A517,Metrik!$C$2:$Y$959,9,0)</f>
        <v>-0.07</v>
      </c>
      <c r="J517" s="20">
        <f>VLOOKUP(A517,Metrik!$C$2:$Y$959,10,0)</f>
        <v>0</v>
      </c>
      <c r="K517" s="20">
        <f>VLOOKUP(A517,Metrik!$C$2:$Y$959,11,0)</f>
        <v>-19.2</v>
      </c>
      <c r="L517" s="20">
        <f>VLOOKUP(A517,Metrik!$C$2:$Y$959,12,0)</f>
        <v>-1.4</v>
      </c>
      <c r="M517" s="20">
        <f>VLOOKUP(A517,Metrik!$C$2:$Y$959,19,0)</f>
        <v>-43.7</v>
      </c>
      <c r="N517" s="21"/>
      <c r="O517" s="21"/>
      <c r="P517" s="21"/>
      <c r="Q517" s="21"/>
      <c r="R517" s="21"/>
      <c r="S517" s="21"/>
      <c r="T517" s="21"/>
      <c r="U517" s="22">
        <f>IFERROR(__xludf.DUMMYFUNCTION("IFERROR(GOOGLEFINANCE(A517,""closeyest""),"""")"),72.0)</f>
        <v>72</v>
      </c>
      <c r="V517" s="23">
        <f>IFERROR(__xludf.DUMMYFUNCTION("IFERROR(GOOGLEFINANCE(A517,""changepct""),"""")"),2.78)</f>
        <v>2.78</v>
      </c>
      <c r="W517" s="22">
        <f>IFERROR(__xludf.DUMMYFUNCTION("IFERROR(GOOGLEFINANCE(A517,""priceopen""),"""")"),67.0)</f>
        <v>67</v>
      </c>
      <c r="X517" s="22">
        <f>IFERROR(__xludf.DUMMYFUNCTION("IFERROR(GOOGLEFINANCE(A517,""high""),"""")"),75.0)</f>
        <v>75</v>
      </c>
      <c r="Y517" s="22">
        <f>IFERROR(__xludf.DUMMYFUNCTION("IFERROR(GOOGLEFINANCE(A517,""low""),"""")"),67.0)</f>
        <v>67</v>
      </c>
      <c r="Z517" s="22">
        <f>IFERROR(__xludf.DUMMYFUNCTION("IFERROR(GOOGLEFINANCE(A517,""volume""),"""")"),84300.0)</f>
        <v>84300</v>
      </c>
      <c r="AA517" s="24" t="str">
        <f>VLOOKUP(A517,Metrik!$C$2:$Y$959,5,0)</f>
        <v>Airlines</v>
      </c>
      <c r="AB517" s="24" t="str">
        <f>VLOOKUP(A517,Metrik!$C$2:$Y$959,3,0)</f>
        <v>Transportation &amp; Logistic</v>
      </c>
    </row>
    <row r="518">
      <c r="A518" s="14" t="s">
        <v>291</v>
      </c>
      <c r="B518" s="14" t="str">
        <f t="array" ref="B518">VLOOKUP(A518,{Metrik!$C$2:$C$998,Metrik!$B$2:$B$998},2,0)</f>
        <v>Cisarua Mountain Dairy Tbk.</v>
      </c>
      <c r="C518" s="15" t="str">
        <f>IFERROR(__xludf.DUMMYFUNCTION("GOOGLEFINANCE(""IDX:""&amp;A518,""price"")"),"#N/A")</f>
        <v>#N/A</v>
      </c>
      <c r="D518" s="16" t="str">
        <f>IFERROR(__xludf.DUMMYFUNCTION("IF(A518="""","""",
SPARKLINE(
INDEX(
GOOGLEFINANCE(""IDX:""&amp;A518,""close"",TODAY()-365,TODAY()),
,2
),
{""linewidth"",1}
))
"),"#N/A")</f>
        <v>#N/A</v>
      </c>
      <c r="E518" s="14" t="s">
        <v>47</v>
      </c>
      <c r="F518" s="25">
        <v>46356.0</v>
      </c>
      <c r="G518" s="24">
        <f t="shared" si="3"/>
        <v>10</v>
      </c>
      <c r="H518" s="19">
        <f>VLOOKUP(A518,Metrik!$C$2:$Y$959,8,0)</f>
        <v>18.2</v>
      </c>
      <c r="I518" s="20">
        <f>VLOOKUP(A518,Metrik!$C$2:$Y$959,9,0)</f>
        <v>5.2</v>
      </c>
      <c r="J518" s="20">
        <f>VLOOKUP(A518,Metrik!$C$2:$Y$959,10,0)</f>
        <v>28.7</v>
      </c>
      <c r="K518" s="20">
        <f>VLOOKUP(A518,Metrik!$C$2:$Y$959,11,0)</f>
        <v>22.3</v>
      </c>
      <c r="L518" s="20">
        <f>VLOOKUP(A518,Metrik!$C$2:$Y$959,12,0)</f>
        <v>0.29</v>
      </c>
      <c r="M518" s="20">
        <f>VLOOKUP(A518,Metrik!$C$2:$Y$959,19,0)</f>
        <v>67.6</v>
      </c>
      <c r="N518" s="21"/>
      <c r="O518" s="21"/>
      <c r="P518" s="21"/>
      <c r="Q518" s="21"/>
      <c r="R518" s="21"/>
      <c r="S518" s="21"/>
      <c r="T518" s="21"/>
      <c r="U518" s="22">
        <f>IFERROR(__xludf.DUMMYFUNCTION("IFERROR(GOOGLEFINANCE(A518,""closeyest""),"""")"),4160.0)</f>
        <v>4160</v>
      </c>
      <c r="V518" s="23">
        <f>IFERROR(__xludf.DUMMYFUNCTION("IFERROR(GOOGLEFINANCE(A518,""changepct""),"""")"),5.77)</f>
        <v>5.77</v>
      </c>
      <c r="W518" s="22">
        <f>IFERROR(__xludf.DUMMYFUNCTION("IFERROR(GOOGLEFINANCE(A518,""priceopen""),"""")"),4180.0)</f>
        <v>4180</v>
      </c>
      <c r="X518" s="22">
        <f>IFERROR(__xludf.DUMMYFUNCTION("IFERROR(GOOGLEFINANCE(A518,""high""),"""")"),4400.0)</f>
        <v>4400</v>
      </c>
      <c r="Y518" s="22">
        <f>IFERROR(__xludf.DUMMYFUNCTION("IFERROR(GOOGLEFINANCE(A518,""low""),"""")"),4160.0)</f>
        <v>4160</v>
      </c>
      <c r="Z518" s="22">
        <f>IFERROR(__xludf.DUMMYFUNCTION("IFERROR(GOOGLEFINANCE(A518,""volume""),"""")"),3542800.0)</f>
        <v>3542800</v>
      </c>
      <c r="AA518" s="24" t="str">
        <f>VLOOKUP(A518,Metrik!$C$2:$Y$959,5,0)</f>
        <v>Processed Foods</v>
      </c>
      <c r="AB518" s="24" t="str">
        <f>VLOOKUP(A518,Metrik!$C$2:$Y$959,3,0)</f>
        <v>Consumer Non-Cyclicals</v>
      </c>
    </row>
    <row r="519">
      <c r="A519" s="14" t="s">
        <v>291</v>
      </c>
      <c r="B519" s="14" t="str">
        <f t="array" ref="B519">VLOOKUP(A519,{Metrik!$C$2:$C$998,Metrik!$B$2:$B$998},2,0)</f>
        <v>Cisarua Mountain Dairy Tbk.</v>
      </c>
      <c r="C519" s="15" t="str">
        <f>IFERROR(__xludf.DUMMYFUNCTION("GOOGLEFINANCE(""IDX:""&amp;A519,""price"")"),"#N/A")</f>
        <v>#N/A</v>
      </c>
      <c r="D519" s="16" t="str">
        <f>IFERROR(__xludf.DUMMYFUNCTION("IF(A519="""","""",
SPARKLINE(
INDEX(
GOOGLEFINANCE(""IDX:""&amp;A519,""close"",TODAY()-365,TODAY()),
,2
),
{""linewidth"",1}
))
"),"#N/A")</f>
        <v>#N/A</v>
      </c>
      <c r="E519" s="14" t="s">
        <v>55</v>
      </c>
      <c r="F519" s="25">
        <v>46356.0</v>
      </c>
      <c r="G519" s="24">
        <f t="shared" si="3"/>
        <v>10</v>
      </c>
      <c r="H519" s="19">
        <f>VLOOKUP(A519,Metrik!$C$2:$Y$959,8,0)</f>
        <v>18.2</v>
      </c>
      <c r="I519" s="20">
        <f>VLOOKUP(A519,Metrik!$C$2:$Y$959,9,0)</f>
        <v>5.2</v>
      </c>
      <c r="J519" s="20">
        <f>VLOOKUP(A519,Metrik!$C$2:$Y$959,10,0)</f>
        <v>28.7</v>
      </c>
      <c r="K519" s="20">
        <f>VLOOKUP(A519,Metrik!$C$2:$Y$959,11,0)</f>
        <v>22.3</v>
      </c>
      <c r="L519" s="20">
        <f>VLOOKUP(A519,Metrik!$C$2:$Y$959,12,0)</f>
        <v>0.29</v>
      </c>
      <c r="M519" s="20">
        <f>VLOOKUP(A519,Metrik!$C$2:$Y$959,19,0)</f>
        <v>67.6</v>
      </c>
      <c r="N519" s="21"/>
      <c r="O519" s="21"/>
      <c r="P519" s="21"/>
      <c r="Q519" s="21"/>
      <c r="R519" s="21"/>
      <c r="S519" s="21"/>
      <c r="T519" s="21"/>
      <c r="U519" s="22">
        <f>IFERROR(__xludf.DUMMYFUNCTION("IFERROR(GOOGLEFINANCE(A519,""closeyest""),"""")"),4160.0)</f>
        <v>4160</v>
      </c>
      <c r="V519" s="23">
        <f>IFERROR(__xludf.DUMMYFUNCTION("IFERROR(GOOGLEFINANCE(A519,""changepct""),"""")"),5.77)</f>
        <v>5.77</v>
      </c>
      <c r="W519" s="22">
        <f>IFERROR(__xludf.DUMMYFUNCTION("IFERROR(GOOGLEFINANCE(A519,""priceopen""),"""")"),4180.0)</f>
        <v>4180</v>
      </c>
      <c r="X519" s="22">
        <f>IFERROR(__xludf.DUMMYFUNCTION("IFERROR(GOOGLEFINANCE(A519,""high""),"""")"),4400.0)</f>
        <v>4400</v>
      </c>
      <c r="Y519" s="22">
        <f>IFERROR(__xludf.DUMMYFUNCTION("IFERROR(GOOGLEFINANCE(A519,""low""),"""")"),4160.0)</f>
        <v>4160</v>
      </c>
      <c r="Z519" s="22">
        <f>IFERROR(__xludf.DUMMYFUNCTION("IFERROR(GOOGLEFINANCE(A519,""volume""),"""")"),3542800.0)</f>
        <v>3542800</v>
      </c>
      <c r="AA519" s="24" t="str">
        <f>VLOOKUP(A519,Metrik!$C$2:$Y$959,5,0)</f>
        <v>Processed Foods</v>
      </c>
      <c r="AB519" s="24" t="str">
        <f>VLOOKUP(A519,Metrik!$C$2:$Y$959,3,0)</f>
        <v>Consumer Non-Cyclicals</v>
      </c>
    </row>
    <row r="520">
      <c r="A520" s="14" t="s">
        <v>291</v>
      </c>
      <c r="B520" s="14" t="str">
        <f t="array" ref="B520">VLOOKUP(A520,{Metrik!$C$2:$C$998,Metrik!$B$2:$B$998},2,0)</f>
        <v>Cisarua Mountain Dairy Tbk.</v>
      </c>
      <c r="C520" s="15" t="str">
        <f>IFERROR(__xludf.DUMMYFUNCTION("GOOGLEFINANCE(""IDX:""&amp;A520,""price"")"),"#N/A")</f>
        <v>#N/A</v>
      </c>
      <c r="D520" s="16" t="str">
        <f>IFERROR(__xludf.DUMMYFUNCTION("IF(A520="""","""",
SPARKLINE(
INDEX(
GOOGLEFINANCE(""IDX:""&amp;A520,""close"",TODAY()-365,TODAY()),
,2
),
{""linewidth"",1}
))
"),"#N/A")</f>
        <v>#N/A</v>
      </c>
      <c r="E520" s="14" t="s">
        <v>54</v>
      </c>
      <c r="F520" s="14" t="s">
        <v>34</v>
      </c>
      <c r="G520" s="24">
        <f t="shared" si="3"/>
        <v>10</v>
      </c>
      <c r="H520" s="19">
        <f>VLOOKUP(A520,Metrik!$C$2:$Y$959,8,0)</f>
        <v>18.2</v>
      </c>
      <c r="I520" s="20">
        <f>VLOOKUP(A520,Metrik!$C$2:$Y$959,9,0)</f>
        <v>5.2</v>
      </c>
      <c r="J520" s="20">
        <f>VLOOKUP(A520,Metrik!$C$2:$Y$959,10,0)</f>
        <v>28.7</v>
      </c>
      <c r="K520" s="20">
        <f>VLOOKUP(A520,Metrik!$C$2:$Y$959,11,0)</f>
        <v>22.3</v>
      </c>
      <c r="L520" s="20">
        <f>VLOOKUP(A520,Metrik!$C$2:$Y$959,12,0)</f>
        <v>0.29</v>
      </c>
      <c r="M520" s="20">
        <f>VLOOKUP(A520,Metrik!$C$2:$Y$959,19,0)</f>
        <v>67.6</v>
      </c>
      <c r="N520" s="21"/>
      <c r="O520" s="21"/>
      <c r="P520" s="21"/>
      <c r="Q520" s="21"/>
      <c r="R520" s="21"/>
      <c r="S520" s="21"/>
      <c r="T520" s="21"/>
      <c r="U520" s="22">
        <f>IFERROR(__xludf.DUMMYFUNCTION("IFERROR(GOOGLEFINANCE(A520,""closeyest""),"""")"),4160.0)</f>
        <v>4160</v>
      </c>
      <c r="V520" s="23">
        <f>IFERROR(__xludf.DUMMYFUNCTION("IFERROR(GOOGLEFINANCE(A520,""changepct""),"""")"),5.77)</f>
        <v>5.77</v>
      </c>
      <c r="W520" s="22">
        <f>IFERROR(__xludf.DUMMYFUNCTION("IFERROR(GOOGLEFINANCE(A520,""priceopen""),"""")"),4180.0)</f>
        <v>4180</v>
      </c>
      <c r="X520" s="22">
        <f>IFERROR(__xludf.DUMMYFUNCTION("IFERROR(GOOGLEFINANCE(A520,""high""),"""")"),4400.0)</f>
        <v>4400</v>
      </c>
      <c r="Y520" s="22">
        <f>IFERROR(__xludf.DUMMYFUNCTION("IFERROR(GOOGLEFINANCE(A520,""low""),"""")"),4160.0)</f>
        <v>4160</v>
      </c>
      <c r="Z520" s="22">
        <f>IFERROR(__xludf.DUMMYFUNCTION("IFERROR(GOOGLEFINANCE(A520,""volume""),"""")"),3542800.0)</f>
        <v>3542800</v>
      </c>
      <c r="AA520" s="24" t="str">
        <f>VLOOKUP(A520,Metrik!$C$2:$Y$959,5,0)</f>
        <v>Processed Foods</v>
      </c>
      <c r="AB520" s="24" t="str">
        <f>VLOOKUP(A520,Metrik!$C$2:$Y$959,3,0)</f>
        <v>Consumer Non-Cyclicals</v>
      </c>
    </row>
    <row r="521">
      <c r="A521" s="14" t="s">
        <v>291</v>
      </c>
      <c r="B521" s="14" t="str">
        <f t="array" ref="B521">VLOOKUP(A521,{Metrik!$C$2:$C$998,Metrik!$B$2:$B$998},2,0)</f>
        <v>Cisarua Mountain Dairy Tbk.</v>
      </c>
      <c r="C521" s="15" t="str">
        <f>IFERROR(__xludf.DUMMYFUNCTION("GOOGLEFINANCE(""IDX:""&amp;A521,""price"")"),"#N/A")</f>
        <v>#N/A</v>
      </c>
      <c r="D521" s="16" t="str">
        <f>IFERROR(__xludf.DUMMYFUNCTION("IF(A521="""","""",
SPARKLINE(
INDEX(
GOOGLEFINANCE(""IDX:""&amp;A521,""close"",TODAY()-365,TODAY()),
,2
),
{""linewidth"",1}
))
"),"#N/A")</f>
        <v>#N/A</v>
      </c>
      <c r="E521" s="14" t="s">
        <v>50</v>
      </c>
      <c r="F521" s="17" t="s">
        <v>51</v>
      </c>
      <c r="G521" s="24">
        <f t="shared" si="3"/>
        <v>10</v>
      </c>
      <c r="H521" s="19">
        <f>VLOOKUP(A521,Metrik!$C$2:$Y$959,8,0)</f>
        <v>18.2</v>
      </c>
      <c r="I521" s="20">
        <f>VLOOKUP(A521,Metrik!$C$2:$Y$959,9,0)</f>
        <v>5.2</v>
      </c>
      <c r="J521" s="20">
        <f>VLOOKUP(A521,Metrik!$C$2:$Y$959,10,0)</f>
        <v>28.7</v>
      </c>
      <c r="K521" s="20">
        <f>VLOOKUP(A521,Metrik!$C$2:$Y$959,11,0)</f>
        <v>22.3</v>
      </c>
      <c r="L521" s="20">
        <f>VLOOKUP(A521,Metrik!$C$2:$Y$959,12,0)</f>
        <v>0.29</v>
      </c>
      <c r="M521" s="20">
        <f>VLOOKUP(A521,Metrik!$C$2:$Y$959,19,0)</f>
        <v>67.6</v>
      </c>
      <c r="N521" s="21"/>
      <c r="O521" s="21"/>
      <c r="P521" s="21"/>
      <c r="Q521" s="21"/>
      <c r="R521" s="21"/>
      <c r="S521" s="21"/>
      <c r="T521" s="21"/>
      <c r="U521" s="22">
        <f>IFERROR(__xludf.DUMMYFUNCTION("IFERROR(GOOGLEFINANCE(A521,""closeyest""),"""")"),4160.0)</f>
        <v>4160</v>
      </c>
      <c r="V521" s="23">
        <f>IFERROR(__xludf.DUMMYFUNCTION("IFERROR(GOOGLEFINANCE(A521,""changepct""),"""")"),5.77)</f>
        <v>5.77</v>
      </c>
      <c r="W521" s="22">
        <f>IFERROR(__xludf.DUMMYFUNCTION("IFERROR(GOOGLEFINANCE(A521,""priceopen""),"""")"),4180.0)</f>
        <v>4180</v>
      </c>
      <c r="X521" s="22">
        <f>IFERROR(__xludf.DUMMYFUNCTION("IFERROR(GOOGLEFINANCE(A521,""high""),"""")"),4400.0)</f>
        <v>4400</v>
      </c>
      <c r="Y521" s="22">
        <f>IFERROR(__xludf.DUMMYFUNCTION("IFERROR(GOOGLEFINANCE(A521,""low""),"""")"),4160.0)</f>
        <v>4160</v>
      </c>
      <c r="Z521" s="22">
        <f>IFERROR(__xludf.DUMMYFUNCTION("IFERROR(GOOGLEFINANCE(A521,""volume""),"""")"),3542800.0)</f>
        <v>3542800</v>
      </c>
      <c r="AA521" s="24" t="str">
        <f>VLOOKUP(A521,Metrik!$C$2:$Y$959,5,0)</f>
        <v>Processed Foods</v>
      </c>
      <c r="AB521" s="24" t="str">
        <f>VLOOKUP(A521,Metrik!$C$2:$Y$959,3,0)</f>
        <v>Consumer Non-Cyclicals</v>
      </c>
    </row>
    <row r="522">
      <c r="A522" s="14" t="s">
        <v>291</v>
      </c>
      <c r="B522" s="14" t="str">
        <f t="array" ref="B522">VLOOKUP(A522,{Metrik!$C$2:$C$998,Metrik!$B$2:$B$998},2,0)</f>
        <v>Cisarua Mountain Dairy Tbk.</v>
      </c>
      <c r="C522" s="15" t="str">
        <f>IFERROR(__xludf.DUMMYFUNCTION("GOOGLEFINANCE(""IDX:""&amp;A522,""price"")"),"#N/A")</f>
        <v>#N/A</v>
      </c>
      <c r="D522" s="16" t="str">
        <f>IFERROR(__xludf.DUMMYFUNCTION("IF(A522="""","""",
SPARKLINE(
INDEX(
GOOGLEFINANCE(""IDX:""&amp;A522,""close"",TODAY()-365,TODAY()),
,2
),
{""linewidth"",1}
))
"),"#N/A")</f>
        <v>#N/A</v>
      </c>
      <c r="E522" s="14" t="s">
        <v>28</v>
      </c>
      <c r="F522" s="17" t="s">
        <v>29</v>
      </c>
      <c r="G522" s="24">
        <f t="shared" si="3"/>
        <v>10</v>
      </c>
      <c r="H522" s="19">
        <f>VLOOKUP(A522,Metrik!$C$2:$Y$959,8,0)</f>
        <v>18.2</v>
      </c>
      <c r="I522" s="20">
        <f>VLOOKUP(A522,Metrik!$C$2:$Y$959,9,0)</f>
        <v>5.2</v>
      </c>
      <c r="J522" s="20">
        <f>VLOOKUP(A522,Metrik!$C$2:$Y$959,10,0)</f>
        <v>28.7</v>
      </c>
      <c r="K522" s="20">
        <f>VLOOKUP(A522,Metrik!$C$2:$Y$959,11,0)</f>
        <v>22.3</v>
      </c>
      <c r="L522" s="20">
        <f>VLOOKUP(A522,Metrik!$C$2:$Y$959,12,0)</f>
        <v>0.29</v>
      </c>
      <c r="M522" s="20">
        <f>VLOOKUP(A522,Metrik!$C$2:$Y$959,19,0)</f>
        <v>67.6</v>
      </c>
      <c r="N522" s="21"/>
      <c r="O522" s="21"/>
      <c r="P522" s="21"/>
      <c r="Q522" s="21"/>
      <c r="R522" s="21"/>
      <c r="S522" s="21"/>
      <c r="T522" s="21"/>
      <c r="U522" s="22">
        <f>IFERROR(__xludf.DUMMYFUNCTION("IFERROR(GOOGLEFINANCE(A522,""closeyest""),"""")"),4160.0)</f>
        <v>4160</v>
      </c>
      <c r="V522" s="23">
        <f>IFERROR(__xludf.DUMMYFUNCTION("IFERROR(GOOGLEFINANCE(A522,""changepct""),"""")"),5.77)</f>
        <v>5.77</v>
      </c>
      <c r="W522" s="22">
        <f>IFERROR(__xludf.DUMMYFUNCTION("IFERROR(GOOGLEFINANCE(A522,""priceopen""),"""")"),4180.0)</f>
        <v>4180</v>
      </c>
      <c r="X522" s="22">
        <f>IFERROR(__xludf.DUMMYFUNCTION("IFERROR(GOOGLEFINANCE(A522,""high""),"""")"),4400.0)</f>
        <v>4400</v>
      </c>
      <c r="Y522" s="22">
        <f>IFERROR(__xludf.DUMMYFUNCTION("IFERROR(GOOGLEFINANCE(A522,""low""),"""")"),4160.0)</f>
        <v>4160</v>
      </c>
      <c r="Z522" s="22">
        <f>IFERROR(__xludf.DUMMYFUNCTION("IFERROR(GOOGLEFINANCE(A522,""volume""),"""")"),3542800.0)</f>
        <v>3542800</v>
      </c>
      <c r="AA522" s="24" t="str">
        <f>VLOOKUP(A522,Metrik!$C$2:$Y$959,5,0)</f>
        <v>Processed Foods</v>
      </c>
      <c r="AB522" s="24" t="str">
        <f>VLOOKUP(A522,Metrik!$C$2:$Y$959,3,0)</f>
        <v>Consumer Non-Cyclicals</v>
      </c>
    </row>
    <row r="523">
      <c r="A523" s="14" t="s">
        <v>291</v>
      </c>
      <c r="B523" s="14" t="str">
        <f t="array" ref="B523">VLOOKUP(A523,{Metrik!$C$2:$C$998,Metrik!$B$2:$B$998},2,0)</f>
        <v>Cisarua Mountain Dairy Tbk.</v>
      </c>
      <c r="C523" s="15" t="str">
        <f>IFERROR(__xludf.DUMMYFUNCTION("GOOGLEFINANCE(""IDX:""&amp;A523,""price"")"),"#N/A")</f>
        <v>#N/A</v>
      </c>
      <c r="D523" s="16" t="str">
        <f>IFERROR(__xludf.DUMMYFUNCTION("IF(A523="""","""",
SPARKLINE(
INDEX(
GOOGLEFINANCE(""IDX:""&amp;A523,""close"",TODAY()-365,TODAY()),
,2
),
{""linewidth"",1}
))
"),"#N/A")</f>
        <v>#N/A</v>
      </c>
      <c r="E523" s="14" t="s">
        <v>32</v>
      </c>
      <c r="F523" s="14" t="s">
        <v>29</v>
      </c>
      <c r="G523" s="24">
        <f t="shared" si="3"/>
        <v>10</v>
      </c>
      <c r="H523" s="19">
        <f>VLOOKUP(A523,Metrik!$C$2:$Y$959,8,0)</f>
        <v>18.2</v>
      </c>
      <c r="I523" s="20">
        <f>VLOOKUP(A523,Metrik!$C$2:$Y$959,9,0)</f>
        <v>5.2</v>
      </c>
      <c r="J523" s="20">
        <f>VLOOKUP(A523,Metrik!$C$2:$Y$959,10,0)</f>
        <v>28.7</v>
      </c>
      <c r="K523" s="20">
        <f>VLOOKUP(A523,Metrik!$C$2:$Y$959,11,0)</f>
        <v>22.3</v>
      </c>
      <c r="L523" s="20">
        <f>VLOOKUP(A523,Metrik!$C$2:$Y$959,12,0)</f>
        <v>0.29</v>
      </c>
      <c r="M523" s="20">
        <f>VLOOKUP(A523,Metrik!$C$2:$Y$959,19,0)</f>
        <v>67.6</v>
      </c>
      <c r="N523" s="21"/>
      <c r="O523" s="21"/>
      <c r="P523" s="21"/>
      <c r="Q523" s="21"/>
      <c r="R523" s="21"/>
      <c r="S523" s="21"/>
      <c r="T523" s="21"/>
      <c r="U523" s="22">
        <f>IFERROR(__xludf.DUMMYFUNCTION("IFERROR(GOOGLEFINANCE(A523,""closeyest""),"""")"),4160.0)</f>
        <v>4160</v>
      </c>
      <c r="V523" s="23">
        <f>IFERROR(__xludf.DUMMYFUNCTION("IFERROR(GOOGLEFINANCE(A523,""changepct""),"""")"),5.77)</f>
        <v>5.77</v>
      </c>
      <c r="W523" s="22">
        <f>IFERROR(__xludf.DUMMYFUNCTION("IFERROR(GOOGLEFINANCE(A523,""priceopen""),"""")"),4180.0)</f>
        <v>4180</v>
      </c>
      <c r="X523" s="22">
        <f>IFERROR(__xludf.DUMMYFUNCTION("IFERROR(GOOGLEFINANCE(A523,""high""),"""")"),4400.0)</f>
        <v>4400</v>
      </c>
      <c r="Y523" s="22">
        <f>IFERROR(__xludf.DUMMYFUNCTION("IFERROR(GOOGLEFINANCE(A523,""low""),"""")"),4160.0)</f>
        <v>4160</v>
      </c>
      <c r="Z523" s="22">
        <f>IFERROR(__xludf.DUMMYFUNCTION("IFERROR(GOOGLEFINANCE(A523,""volume""),"""")"),3542800.0)</f>
        <v>3542800</v>
      </c>
      <c r="AA523" s="24" t="str">
        <f>VLOOKUP(A523,Metrik!$C$2:$Y$959,5,0)</f>
        <v>Processed Foods</v>
      </c>
      <c r="AB523" s="24" t="str">
        <f>VLOOKUP(A523,Metrik!$C$2:$Y$959,3,0)</f>
        <v>Consumer Non-Cyclicals</v>
      </c>
    </row>
    <row r="524">
      <c r="A524" s="14" t="s">
        <v>291</v>
      </c>
      <c r="B524" s="14" t="str">
        <f t="array" ref="B524">VLOOKUP(A524,{Metrik!$C$2:$C$998,Metrik!$B$2:$B$998},2,0)</f>
        <v>Cisarua Mountain Dairy Tbk.</v>
      </c>
      <c r="C524" s="15" t="str">
        <f>IFERROR(__xludf.DUMMYFUNCTION("GOOGLEFINANCE(""IDX:""&amp;A524,""price"")"),"#N/A")</f>
        <v>#N/A</v>
      </c>
      <c r="D524" s="16" t="str">
        <f>IFERROR(__xludf.DUMMYFUNCTION("IF(A524="""","""",
SPARKLINE(
INDEX(
GOOGLEFINANCE(""IDX:""&amp;A524,""close"",TODAY()-365,TODAY()),
,2
),
{""linewidth"",1}
))
"),"#N/A")</f>
        <v>#N/A</v>
      </c>
      <c r="E524" s="14" t="s">
        <v>84</v>
      </c>
      <c r="F524" s="17" t="s">
        <v>51</v>
      </c>
      <c r="G524" s="24">
        <f t="shared" si="3"/>
        <v>10</v>
      </c>
      <c r="H524" s="19">
        <f>VLOOKUP(A524,Metrik!$C$2:$Y$959,8,0)</f>
        <v>18.2</v>
      </c>
      <c r="I524" s="20">
        <f>VLOOKUP(A524,Metrik!$C$2:$Y$959,9,0)</f>
        <v>5.2</v>
      </c>
      <c r="J524" s="20">
        <f>VLOOKUP(A524,Metrik!$C$2:$Y$959,10,0)</f>
        <v>28.7</v>
      </c>
      <c r="K524" s="20">
        <f>VLOOKUP(A524,Metrik!$C$2:$Y$959,11,0)</f>
        <v>22.3</v>
      </c>
      <c r="L524" s="20">
        <f>VLOOKUP(A524,Metrik!$C$2:$Y$959,12,0)</f>
        <v>0.29</v>
      </c>
      <c r="M524" s="20">
        <f>VLOOKUP(A524,Metrik!$C$2:$Y$959,19,0)</f>
        <v>67.6</v>
      </c>
      <c r="N524" s="21"/>
      <c r="O524" s="21"/>
      <c r="P524" s="21"/>
      <c r="Q524" s="21"/>
      <c r="R524" s="21"/>
      <c r="S524" s="21"/>
      <c r="T524" s="21"/>
      <c r="U524" s="22">
        <f>IFERROR(__xludf.DUMMYFUNCTION("IFERROR(GOOGLEFINANCE(A524,""closeyest""),"""")"),4160.0)</f>
        <v>4160</v>
      </c>
      <c r="V524" s="23">
        <f>IFERROR(__xludf.DUMMYFUNCTION("IFERROR(GOOGLEFINANCE(A524,""changepct""),"""")"),5.77)</f>
        <v>5.77</v>
      </c>
      <c r="W524" s="22">
        <f>IFERROR(__xludf.DUMMYFUNCTION("IFERROR(GOOGLEFINANCE(A524,""priceopen""),"""")"),4180.0)</f>
        <v>4180</v>
      </c>
      <c r="X524" s="22">
        <f>IFERROR(__xludf.DUMMYFUNCTION("IFERROR(GOOGLEFINANCE(A524,""high""),"""")"),4400.0)</f>
        <v>4400</v>
      </c>
      <c r="Y524" s="22">
        <f>IFERROR(__xludf.DUMMYFUNCTION("IFERROR(GOOGLEFINANCE(A524,""low""),"""")"),4160.0)</f>
        <v>4160</v>
      </c>
      <c r="Z524" s="22">
        <f>IFERROR(__xludf.DUMMYFUNCTION("IFERROR(GOOGLEFINANCE(A524,""volume""),"""")"),3542800.0)</f>
        <v>3542800</v>
      </c>
      <c r="AA524" s="24" t="str">
        <f>VLOOKUP(A524,Metrik!$C$2:$Y$959,5,0)</f>
        <v>Processed Foods</v>
      </c>
      <c r="AB524" s="24" t="str">
        <f>VLOOKUP(A524,Metrik!$C$2:$Y$959,3,0)</f>
        <v>Consumer Non-Cyclicals</v>
      </c>
    </row>
    <row r="525">
      <c r="A525" s="14" t="s">
        <v>291</v>
      </c>
      <c r="B525" s="14" t="str">
        <f t="array" ref="B525">VLOOKUP(A525,{Metrik!$C$2:$C$998,Metrik!$B$2:$B$998},2,0)</f>
        <v>Cisarua Mountain Dairy Tbk.</v>
      </c>
      <c r="C525" s="15" t="str">
        <f>IFERROR(__xludf.DUMMYFUNCTION("GOOGLEFINANCE(""IDX:""&amp;A525,""price"")"),"#N/A")</f>
        <v>#N/A</v>
      </c>
      <c r="D525" s="16" t="str">
        <f>IFERROR(__xludf.DUMMYFUNCTION("IF(A525="""","""",
SPARKLINE(
INDEX(
GOOGLEFINANCE(""IDX:""&amp;A525,""close"",TODAY()-365,TODAY()),
,2
),
{""linewidth"",1}
))
"),"#N/A")</f>
        <v>#N/A</v>
      </c>
      <c r="E525" s="14" t="s">
        <v>41</v>
      </c>
      <c r="F525" s="14" t="s">
        <v>34</v>
      </c>
      <c r="G525" s="24">
        <f t="shared" si="3"/>
        <v>10</v>
      </c>
      <c r="H525" s="19">
        <f>VLOOKUP(A525,Metrik!$C$2:$Y$959,8,0)</f>
        <v>18.2</v>
      </c>
      <c r="I525" s="20">
        <f>VLOOKUP(A525,Metrik!$C$2:$Y$959,9,0)</f>
        <v>5.2</v>
      </c>
      <c r="J525" s="20">
        <f>VLOOKUP(A525,Metrik!$C$2:$Y$959,10,0)</f>
        <v>28.7</v>
      </c>
      <c r="K525" s="20">
        <f>VLOOKUP(A525,Metrik!$C$2:$Y$959,11,0)</f>
        <v>22.3</v>
      </c>
      <c r="L525" s="20">
        <f>VLOOKUP(A525,Metrik!$C$2:$Y$959,12,0)</f>
        <v>0.29</v>
      </c>
      <c r="M525" s="20">
        <f>VLOOKUP(A525,Metrik!$C$2:$Y$959,19,0)</f>
        <v>67.6</v>
      </c>
      <c r="N525" s="21"/>
      <c r="O525" s="21"/>
      <c r="P525" s="21"/>
      <c r="Q525" s="21"/>
      <c r="R525" s="21"/>
      <c r="S525" s="21"/>
      <c r="T525" s="21"/>
      <c r="U525" s="22">
        <f>IFERROR(__xludf.DUMMYFUNCTION("IFERROR(GOOGLEFINANCE(A525,""closeyest""),"""")"),4160.0)</f>
        <v>4160</v>
      </c>
      <c r="V525" s="23">
        <f>IFERROR(__xludf.DUMMYFUNCTION("IFERROR(GOOGLEFINANCE(A525,""changepct""),"""")"),5.77)</f>
        <v>5.77</v>
      </c>
      <c r="W525" s="22">
        <f>IFERROR(__xludf.DUMMYFUNCTION("IFERROR(GOOGLEFINANCE(A525,""priceopen""),"""")"),4180.0)</f>
        <v>4180</v>
      </c>
      <c r="X525" s="22">
        <f>IFERROR(__xludf.DUMMYFUNCTION("IFERROR(GOOGLEFINANCE(A525,""high""),"""")"),4400.0)</f>
        <v>4400</v>
      </c>
      <c r="Y525" s="22">
        <f>IFERROR(__xludf.DUMMYFUNCTION("IFERROR(GOOGLEFINANCE(A525,""low""),"""")"),4160.0)</f>
        <v>4160</v>
      </c>
      <c r="Z525" s="22">
        <f>IFERROR(__xludf.DUMMYFUNCTION("IFERROR(GOOGLEFINANCE(A525,""volume""),"""")"),3542800.0)</f>
        <v>3542800</v>
      </c>
      <c r="AA525" s="24" t="str">
        <f>VLOOKUP(A525,Metrik!$C$2:$Y$959,5,0)</f>
        <v>Processed Foods</v>
      </c>
      <c r="AB525" s="24" t="str">
        <f>VLOOKUP(A525,Metrik!$C$2:$Y$959,3,0)</f>
        <v>Consumer Non-Cyclicals</v>
      </c>
    </row>
    <row r="526">
      <c r="A526" s="17" t="s">
        <v>291</v>
      </c>
      <c r="B526" s="14" t="str">
        <f t="array" ref="B526">VLOOKUP(A526,{Metrik!$C$2:$C$998,Metrik!$B$2:$B$998},2,0)</f>
        <v>Cisarua Mountain Dairy Tbk.</v>
      </c>
      <c r="C526" s="15" t="str">
        <f>IFERROR(__xludf.DUMMYFUNCTION("GOOGLEFINANCE(""IDX:""&amp;A526,""price"")"),"#N/A")</f>
        <v>#N/A</v>
      </c>
      <c r="D526" s="16" t="str">
        <f>IFERROR(__xludf.DUMMYFUNCTION("IF(A526="""","""",
SPARKLINE(
INDEX(
GOOGLEFINANCE(""IDX:""&amp;A526,""close"",TODAY()-365,TODAY()),
,2
),
{""linewidth"",1}
))
"),"#N/A")</f>
        <v>#N/A</v>
      </c>
      <c r="E526" s="14" t="s">
        <v>35</v>
      </c>
      <c r="F526" s="17" t="s">
        <v>36</v>
      </c>
      <c r="G526" s="24">
        <f t="shared" si="3"/>
        <v>10</v>
      </c>
      <c r="H526" s="19">
        <f>VLOOKUP(A526,Metrik!$C$2:$Y$959,8,0)</f>
        <v>18.2</v>
      </c>
      <c r="I526" s="20">
        <f>VLOOKUP(A526,Metrik!$C$2:$Y$959,9,0)</f>
        <v>5.2</v>
      </c>
      <c r="J526" s="20">
        <f>VLOOKUP(A526,Metrik!$C$2:$Y$959,10,0)</f>
        <v>28.7</v>
      </c>
      <c r="K526" s="20">
        <f>VLOOKUP(A526,Metrik!$C$2:$Y$959,11,0)</f>
        <v>22.3</v>
      </c>
      <c r="L526" s="20">
        <f>VLOOKUP(A526,Metrik!$C$2:$Y$959,12,0)</f>
        <v>0.29</v>
      </c>
      <c r="M526" s="20">
        <f>VLOOKUP(A526,Metrik!$C$2:$Y$959,19,0)</f>
        <v>67.6</v>
      </c>
      <c r="N526" s="21"/>
      <c r="O526" s="21"/>
      <c r="P526" s="21"/>
      <c r="Q526" s="21"/>
      <c r="R526" s="21"/>
      <c r="S526" s="21"/>
      <c r="T526" s="21"/>
      <c r="U526" s="22">
        <f>IFERROR(__xludf.DUMMYFUNCTION("IFERROR(GOOGLEFINANCE(A526,""closeyest""),"""")"),4160.0)</f>
        <v>4160</v>
      </c>
      <c r="V526" s="23">
        <f>IFERROR(__xludf.DUMMYFUNCTION("IFERROR(GOOGLEFINANCE(A526,""changepct""),"""")"),5.77)</f>
        <v>5.77</v>
      </c>
      <c r="W526" s="22">
        <f>IFERROR(__xludf.DUMMYFUNCTION("IFERROR(GOOGLEFINANCE(A526,""priceopen""),"""")"),4180.0)</f>
        <v>4180</v>
      </c>
      <c r="X526" s="22">
        <f>IFERROR(__xludf.DUMMYFUNCTION("IFERROR(GOOGLEFINANCE(A526,""high""),"""")"),4400.0)</f>
        <v>4400</v>
      </c>
      <c r="Y526" s="22">
        <f>IFERROR(__xludf.DUMMYFUNCTION("IFERROR(GOOGLEFINANCE(A526,""low""),"""")"),4160.0)</f>
        <v>4160</v>
      </c>
      <c r="Z526" s="22">
        <f>IFERROR(__xludf.DUMMYFUNCTION("IFERROR(GOOGLEFINANCE(A526,""volume""),"""")"),3542800.0)</f>
        <v>3542800</v>
      </c>
      <c r="AA526" s="24" t="str">
        <f>VLOOKUP(A526,Metrik!$C$2:$Y$959,5,0)</f>
        <v>Processed Foods</v>
      </c>
      <c r="AB526" s="24" t="str">
        <f>VLOOKUP(A526,Metrik!$C$2:$Y$959,3,0)</f>
        <v>Consumer Non-Cyclicals</v>
      </c>
    </row>
    <row r="527">
      <c r="A527" s="14" t="s">
        <v>291</v>
      </c>
      <c r="B527" s="14" t="str">
        <f t="array" ref="B527">VLOOKUP(A527,{Metrik!$C$2:$C$998,Metrik!$B$2:$B$998},2,0)</f>
        <v>Cisarua Mountain Dairy Tbk.</v>
      </c>
      <c r="C527" s="15" t="str">
        <f>IFERROR(__xludf.DUMMYFUNCTION("GOOGLEFINANCE(""IDX:""&amp;A527,""price"")"),"#N/A")</f>
        <v>#N/A</v>
      </c>
      <c r="D527" s="16" t="str">
        <f>IFERROR(__xludf.DUMMYFUNCTION("IF(A527="""","""",
SPARKLINE(
INDEX(
GOOGLEFINANCE(""IDX:""&amp;A527,""close"",TODAY()-365,TODAY()),
,2
),
{""linewidth"",1}
))
"),"#N/A")</f>
        <v>#N/A</v>
      </c>
      <c r="E527" s="14" t="s">
        <v>39</v>
      </c>
      <c r="F527" s="25">
        <v>46356.0</v>
      </c>
      <c r="G527" s="24">
        <f t="shared" si="3"/>
        <v>10</v>
      </c>
      <c r="H527" s="19">
        <f>VLOOKUP(A527,Metrik!$C$2:$Y$959,8,0)</f>
        <v>18.2</v>
      </c>
      <c r="I527" s="20">
        <f>VLOOKUP(A527,Metrik!$C$2:$Y$959,9,0)</f>
        <v>5.2</v>
      </c>
      <c r="J527" s="20">
        <f>VLOOKUP(A527,Metrik!$C$2:$Y$959,10,0)</f>
        <v>28.7</v>
      </c>
      <c r="K527" s="20">
        <f>VLOOKUP(A527,Metrik!$C$2:$Y$959,11,0)</f>
        <v>22.3</v>
      </c>
      <c r="L527" s="20">
        <f>VLOOKUP(A527,Metrik!$C$2:$Y$959,12,0)</f>
        <v>0.29</v>
      </c>
      <c r="M527" s="20">
        <f>VLOOKUP(A527,Metrik!$C$2:$Y$959,19,0)</f>
        <v>67.6</v>
      </c>
      <c r="N527" s="21"/>
      <c r="O527" s="21"/>
      <c r="P527" s="21"/>
      <c r="Q527" s="21"/>
      <c r="R527" s="21"/>
      <c r="S527" s="21"/>
      <c r="T527" s="21"/>
      <c r="U527" s="22">
        <f>IFERROR(__xludf.DUMMYFUNCTION("IFERROR(GOOGLEFINANCE(A527,""closeyest""),"""")"),4160.0)</f>
        <v>4160</v>
      </c>
      <c r="V527" s="23">
        <f>IFERROR(__xludf.DUMMYFUNCTION("IFERROR(GOOGLEFINANCE(A527,""changepct""),"""")"),5.77)</f>
        <v>5.77</v>
      </c>
      <c r="W527" s="22">
        <f>IFERROR(__xludf.DUMMYFUNCTION("IFERROR(GOOGLEFINANCE(A527,""priceopen""),"""")"),4180.0)</f>
        <v>4180</v>
      </c>
      <c r="X527" s="22">
        <f>IFERROR(__xludf.DUMMYFUNCTION("IFERROR(GOOGLEFINANCE(A527,""high""),"""")"),4400.0)</f>
        <v>4400</v>
      </c>
      <c r="Y527" s="22">
        <f>IFERROR(__xludf.DUMMYFUNCTION("IFERROR(GOOGLEFINANCE(A527,""low""),"""")"),4160.0)</f>
        <v>4160</v>
      </c>
      <c r="Z527" s="22">
        <f>IFERROR(__xludf.DUMMYFUNCTION("IFERROR(GOOGLEFINANCE(A527,""volume""),"""")"),3542800.0)</f>
        <v>3542800</v>
      </c>
      <c r="AA527" s="24" t="str">
        <f>VLOOKUP(A527,Metrik!$C$2:$Y$959,5,0)</f>
        <v>Processed Foods</v>
      </c>
      <c r="AB527" s="24" t="str">
        <f>VLOOKUP(A527,Metrik!$C$2:$Y$959,3,0)</f>
        <v>Consumer Non-Cyclicals</v>
      </c>
    </row>
    <row r="528">
      <c r="A528" s="14" t="s">
        <v>292</v>
      </c>
      <c r="B528" s="14" t="str">
        <f t="array" ref="B528">VLOOKUP(A528,{Metrik!$C$2:$C$998,Metrik!$B$2:$B$998},2,0)</f>
        <v>Exploitasi Energi Indonesia Tbk.</v>
      </c>
      <c r="C528" s="15">
        <f>IFERROR(__xludf.DUMMYFUNCTION("GOOGLEFINANCE(""IDX:""&amp;A528,""price"")"),39.0)</f>
        <v>39</v>
      </c>
      <c r="D528" s="16" t="str">
        <f>IFERROR(__xludf.DUMMYFUNCTION("IF(A528="""","""",
SPARKLINE(
INDEX(
GOOGLEFINANCE(""IDX:""&amp;A528,""close"",TODAY()-365,TODAY()),
,2
),
{""linewidth"",1}
))
"),"#N/A")</f>
        <v>#N/A</v>
      </c>
      <c r="E528" s="26"/>
      <c r="F528" s="26"/>
      <c r="G528" s="24">
        <f t="shared" si="3"/>
        <v>0</v>
      </c>
      <c r="H528" s="19">
        <f>VLOOKUP(A528,Metrik!$C$2:$Y$959,8,0)</f>
        <v>2.1</v>
      </c>
      <c r="I528" s="20">
        <f>VLOOKUP(A528,Metrik!$C$2:$Y$959,9,0)</f>
        <v>-0.39</v>
      </c>
      <c r="J528" s="20">
        <f>VLOOKUP(A528,Metrik!$C$2:$Y$959,10,0)</f>
        <v>0</v>
      </c>
      <c r="K528" s="20">
        <f>VLOOKUP(A528,Metrik!$C$2:$Y$959,11,0)</f>
        <v>19.2</v>
      </c>
      <c r="L528" s="20">
        <f>VLOOKUP(A528,Metrik!$C$2:$Y$959,12,0)</f>
        <v>-2</v>
      </c>
      <c r="M528" s="20">
        <f>VLOOKUP(A528,Metrik!$C$2:$Y$959,19,0)</f>
        <v>41</v>
      </c>
      <c r="N528" s="21"/>
      <c r="O528" s="21"/>
      <c r="P528" s="21"/>
      <c r="Q528" s="21"/>
      <c r="R528" s="21"/>
      <c r="S528" s="21"/>
      <c r="T528" s="21"/>
      <c r="U528" s="22">
        <f>IFERROR(__xludf.DUMMYFUNCTION("IFERROR(GOOGLEFINANCE(A528,""closeyest""),"""")"),36.0)</f>
        <v>36</v>
      </c>
      <c r="V528" s="23">
        <f>IFERROR(__xludf.DUMMYFUNCTION("IFERROR(GOOGLEFINANCE(A528,""changepct""),"""")"),8.33)</f>
        <v>8.33</v>
      </c>
      <c r="W528" s="22">
        <f>IFERROR(__xludf.DUMMYFUNCTION("IFERROR(GOOGLEFINANCE(A528,""priceopen""),"""")"),39.0)</f>
        <v>39</v>
      </c>
      <c r="X528" s="22">
        <f>IFERROR(__xludf.DUMMYFUNCTION("IFERROR(GOOGLEFINANCE(A528,""high""),"""")"),39.0)</f>
        <v>39</v>
      </c>
      <c r="Y528" s="22">
        <f>IFERROR(__xludf.DUMMYFUNCTION("IFERROR(GOOGLEFINANCE(A528,""low""),"""")"),39.0)</f>
        <v>39</v>
      </c>
      <c r="Z528" s="22">
        <f>IFERROR(__xludf.DUMMYFUNCTION("IFERROR(GOOGLEFINANCE(A528,""volume""),"""")"),6766500.0)</f>
        <v>6766500</v>
      </c>
      <c r="AA528" s="24" t="str">
        <f>VLOOKUP(A528,Metrik!$C$2:$Y$959,5,0)</f>
        <v>Coal</v>
      </c>
      <c r="AB528" s="24" t="str">
        <f>VLOOKUP(A528,Metrik!$C$2:$Y$959,3,0)</f>
        <v>Energy</v>
      </c>
    </row>
    <row r="529">
      <c r="A529" s="14" t="s">
        <v>293</v>
      </c>
      <c r="B529" s="14" t="str">
        <f t="array" ref="B529">VLOOKUP(A529,{Metrik!$C$2:$C$998,Metrik!$B$2:$B$998},2,0)</f>
        <v>PT Nusantara Sejahtera Raya Tbk</v>
      </c>
      <c r="C529" s="15">
        <f>IFERROR(__xludf.DUMMYFUNCTION("GOOGLEFINANCE(""IDX:""&amp;A529,""price"")"),90.0)</f>
        <v>90</v>
      </c>
      <c r="D529" s="16" t="str">
        <f>IFERROR(__xludf.DUMMYFUNCTION("IF(A529="""","""",
SPARKLINE(
INDEX(
GOOGLEFINANCE(""IDX:""&amp;A529,""close"",TODAY()-365,TODAY()),
,2
),
{""linewidth"",1}
))
"),"#N/A")</f>
        <v>#N/A</v>
      </c>
      <c r="E529" s="14" t="s">
        <v>41</v>
      </c>
      <c r="F529" s="14" t="s">
        <v>34</v>
      </c>
      <c r="G529" s="18">
        <f t="shared" si="3"/>
        <v>1</v>
      </c>
      <c r="H529" s="19">
        <f>VLOOKUP(A529,Metrik!$C$2:$Y$959,8,0)</f>
        <v>11</v>
      </c>
      <c r="I529" s="20">
        <f>VLOOKUP(A529,Metrik!$C$2:$Y$959,9,0)</f>
        <v>1.9</v>
      </c>
      <c r="J529" s="20">
        <f>VLOOKUP(A529,Metrik!$C$2:$Y$959,10,0)</f>
        <v>17.7</v>
      </c>
      <c r="K529" s="20">
        <f>VLOOKUP(A529,Metrik!$C$2:$Y$959,11,0)</f>
        <v>11.4</v>
      </c>
      <c r="L529" s="20">
        <f>VLOOKUP(A529,Metrik!$C$2:$Y$959,12,0)</f>
        <v>0.55</v>
      </c>
      <c r="M529" s="20">
        <f>VLOOKUP(A529,Metrik!$C$2:$Y$959,19,0)</f>
        <v>69.8</v>
      </c>
      <c r="N529" s="21"/>
      <c r="O529" s="21"/>
      <c r="P529" s="21"/>
      <c r="Q529" s="21"/>
      <c r="R529" s="21"/>
      <c r="S529" s="21"/>
      <c r="T529" s="21"/>
      <c r="U529" s="22">
        <f>IFERROR(__xludf.DUMMYFUNCTION("IFERROR(GOOGLEFINANCE(A529,""closeyest""),"""")"),88.0)</f>
        <v>88</v>
      </c>
      <c r="V529" s="23">
        <f>IFERROR(__xludf.DUMMYFUNCTION("IFERROR(GOOGLEFINANCE(A529,""changepct""),"""")"),2.27)</f>
        <v>2.27</v>
      </c>
      <c r="W529" s="22">
        <f>IFERROR(__xludf.DUMMYFUNCTION("IFERROR(GOOGLEFINANCE(A529,""priceopen""),"""")"),88.0)</f>
        <v>88</v>
      </c>
      <c r="X529" s="22">
        <f>IFERROR(__xludf.DUMMYFUNCTION("IFERROR(GOOGLEFINANCE(A529,""high""),"""")"),92.0)</f>
        <v>92</v>
      </c>
      <c r="Y529" s="22">
        <f>IFERROR(__xludf.DUMMYFUNCTION("IFERROR(GOOGLEFINANCE(A529,""low""),"""")"),88.0)</f>
        <v>88</v>
      </c>
      <c r="Z529" s="22">
        <f>IFERROR(__xludf.DUMMYFUNCTION("IFERROR(GOOGLEFINANCE(A529,""volume""),"""")"),4694600.0)</f>
        <v>4694600</v>
      </c>
      <c r="AA529" s="24" t="str">
        <f>VLOOKUP(A529,Metrik!$C$2:$Y$959,5,0)</f>
        <v>Tourism &amp; Recreation</v>
      </c>
      <c r="AB529" s="24" t="str">
        <f>VLOOKUP(A529,Metrik!$C$2:$Y$959,3,0)</f>
        <v>Consumer Cyclicals</v>
      </c>
    </row>
    <row r="530">
      <c r="A530" s="14" t="s">
        <v>294</v>
      </c>
      <c r="B530" s="14" t="str">
        <f t="array" ref="B530">VLOOKUP(A530,{Metrik!$C$2:$C$998,Metrik!$B$2:$B$998},2,0)</f>
        <v>Century Textile Industry (Seri B) Tbk.</v>
      </c>
      <c r="C530" s="15">
        <f>IFERROR(__xludf.DUMMYFUNCTION("GOOGLEFINANCE(""IDX:""&amp;A530,""price"")"),0.0)</f>
        <v>0</v>
      </c>
      <c r="D530" s="16" t="str">
        <f>IFERROR(__xludf.DUMMYFUNCTION("IF(A530="""","""",
SPARKLINE(
INDEX(
GOOGLEFINANCE(""IDX:""&amp;A530,""close"",TODAY()-365,TODAY()),
,2
),
{""linewidth"",1}
))
"),"#N/A")</f>
        <v>#N/A</v>
      </c>
      <c r="E530" s="26"/>
      <c r="F530" s="26"/>
      <c r="G530" s="24">
        <f t="shared" si="3"/>
        <v>0</v>
      </c>
      <c r="H530" s="19">
        <f>VLOOKUP(A530,Metrik!$C$2:$Y$959,8,0)</f>
        <v>-0.22</v>
      </c>
      <c r="I530" s="20">
        <f>VLOOKUP(A530,Metrik!$C$2:$Y$959,9,0)</f>
        <v>-0.06</v>
      </c>
      <c r="J530" s="20">
        <f>VLOOKUP(A530,Metrik!$C$2:$Y$959,10,0)</f>
        <v>0</v>
      </c>
      <c r="K530" s="20">
        <f>VLOOKUP(A530,Metrik!$C$2:$Y$959,11,0)</f>
        <v>-31.8</v>
      </c>
      <c r="L530" s="20">
        <f>VLOOKUP(A530,Metrik!$C$2:$Y$959,12,0)</f>
        <v>-1.8</v>
      </c>
      <c r="M530" s="20">
        <f>VLOOKUP(A530,Metrik!$C$2:$Y$959,19,0)</f>
        <v>-47.6</v>
      </c>
      <c r="N530" s="21"/>
      <c r="O530" s="21"/>
      <c r="P530" s="21"/>
      <c r="Q530" s="21"/>
      <c r="R530" s="21"/>
      <c r="S530" s="21"/>
      <c r="T530" s="21"/>
      <c r="U530" s="22">
        <f>IFERROR(__xludf.DUMMYFUNCTION("IFERROR(GOOGLEFINANCE(A530,""closeyest""),"""")"),2.1)</f>
        <v>2.1</v>
      </c>
      <c r="V530" s="23">
        <f>IFERROR(__xludf.DUMMYFUNCTION("IFERROR(GOOGLEFINANCE(A530,""changepct""),"""")"),0.95)</f>
        <v>0.95</v>
      </c>
      <c r="W530" s="22">
        <f>IFERROR(__xludf.DUMMYFUNCTION("IFERROR(GOOGLEFINANCE(A530,""priceopen""),"""")"),2.1)</f>
        <v>2.1</v>
      </c>
      <c r="X530" s="22">
        <f>IFERROR(__xludf.DUMMYFUNCTION("IFERROR(GOOGLEFINANCE(A530,""high""),"""")"),2.17)</f>
        <v>2.17</v>
      </c>
      <c r="Y530" s="22">
        <f>IFERROR(__xludf.DUMMYFUNCTION("IFERROR(GOOGLEFINANCE(A530,""low""),"""")"),2.07)</f>
        <v>2.07</v>
      </c>
      <c r="Z530" s="22">
        <f>IFERROR(__xludf.DUMMYFUNCTION("IFERROR(GOOGLEFINANCE(A530,""volume""),"""")"),173605.0)</f>
        <v>173605</v>
      </c>
      <c r="AA530" s="24" t="str">
        <f>VLOOKUP(A530,Metrik!$C$2:$Y$959,5,0)</f>
        <v/>
      </c>
      <c r="AB530" s="24" t="str">
        <f>VLOOKUP(A530,Metrik!$C$2:$Y$959,3,0)</f>
        <v>No Sector</v>
      </c>
    </row>
    <row r="531">
      <c r="A531" s="14" t="s">
        <v>295</v>
      </c>
      <c r="B531" s="14" t="str">
        <f t="array" ref="B531">VLOOKUP(A531,{Metrik!$C$2:$C$998,Metrik!$B$2:$B$998},2,0)</f>
        <v>Centex Tbk</v>
      </c>
      <c r="C531" s="15">
        <f>IFERROR(__xludf.DUMMYFUNCTION("GOOGLEFINANCE(""IDX:""&amp;A531,""price"")"),142.0)</f>
        <v>142</v>
      </c>
      <c r="D531" s="16" t="str">
        <f>IFERROR(__xludf.DUMMYFUNCTION("IF(A531="""","""",
SPARKLINE(
INDEX(
GOOGLEFINANCE(""IDX:""&amp;A531,""close"",TODAY()-365,TODAY()),
,2
),
{""linewidth"",1}
))
"),"#N/A")</f>
        <v>#N/A</v>
      </c>
      <c r="E531" s="26"/>
      <c r="F531" s="26"/>
      <c r="G531" s="24">
        <f t="shared" si="3"/>
        <v>0</v>
      </c>
      <c r="H531" s="19">
        <f>VLOOKUP(A531,Metrik!$C$2:$Y$959,8,0)</f>
        <v>-0.07</v>
      </c>
      <c r="I531" s="20">
        <f>VLOOKUP(A531,Metrik!$C$2:$Y$959,9,0)</f>
        <v>-0.02</v>
      </c>
      <c r="J531" s="20">
        <f>VLOOKUP(A531,Metrik!$C$2:$Y$959,10,0)</f>
        <v>0</v>
      </c>
      <c r="K531" s="20">
        <f>VLOOKUP(A531,Metrik!$C$2:$Y$959,11,0)</f>
        <v>-31.8</v>
      </c>
      <c r="L531" s="20">
        <f>VLOOKUP(A531,Metrik!$C$2:$Y$959,12,0)</f>
        <v>-1.8</v>
      </c>
      <c r="M531" s="20">
        <f>VLOOKUP(A531,Metrik!$C$2:$Y$959,19,0)</f>
        <v>-47.6</v>
      </c>
      <c r="N531" s="21"/>
      <c r="O531" s="21"/>
      <c r="P531" s="21"/>
      <c r="Q531" s="21"/>
      <c r="R531" s="21"/>
      <c r="S531" s="21"/>
      <c r="T531" s="21"/>
      <c r="U531" s="22">
        <f>IFERROR(__xludf.DUMMYFUNCTION("IFERROR(GOOGLEFINANCE(A531,""closeyest""),"""")"),1.42)</f>
        <v>1.42</v>
      </c>
      <c r="V531" s="23">
        <f>IFERROR(__xludf.DUMMYFUNCTION("IFERROR(GOOGLEFINANCE(A531,""changepct""),"""")"),-2.11)</f>
        <v>-2.11</v>
      </c>
      <c r="W531" s="22">
        <f>IFERROR(__xludf.DUMMYFUNCTION("IFERROR(GOOGLEFINANCE(A531,""priceopen""),"""")"),1.43)</f>
        <v>1.43</v>
      </c>
      <c r="X531" s="22">
        <f>IFERROR(__xludf.DUMMYFUNCTION("IFERROR(GOOGLEFINANCE(A531,""high""),"""")"),1.51)</f>
        <v>1.51</v>
      </c>
      <c r="Y531" s="22">
        <f>IFERROR(__xludf.DUMMYFUNCTION("IFERROR(GOOGLEFINANCE(A531,""low""),"""")"),1.39)</f>
        <v>1.39</v>
      </c>
      <c r="Z531" s="22">
        <f>IFERROR(__xludf.DUMMYFUNCTION("IFERROR(GOOGLEFINANCE(A531,""volume""),"""")"),498818.0)</f>
        <v>498818</v>
      </c>
      <c r="AA531" s="24" t="str">
        <f>VLOOKUP(A531,Metrik!$C$2:$Y$959,5,0)</f>
        <v>Apparel &amp; Luxury Goods</v>
      </c>
      <c r="AB531" s="24" t="str">
        <f>VLOOKUP(A531,Metrik!$C$2:$Y$959,3,0)</f>
        <v>Consumer Cyclicals</v>
      </c>
    </row>
    <row r="532">
      <c r="A532" s="14" t="s">
        <v>296</v>
      </c>
      <c r="B532" s="14" t="str">
        <f t="array" ref="B532">VLOOKUP(A532,{Metrik!$C$2:$C$998,Metrik!$B$2:$B$998},2,0)</f>
        <v>Black Diamond Resources Tbk.</v>
      </c>
      <c r="C532" s="15">
        <f>IFERROR(__xludf.DUMMYFUNCTION("GOOGLEFINANCE(""IDX:""&amp;A532,""price"")"),34.0)</f>
        <v>34</v>
      </c>
      <c r="D532" s="16" t="str">
        <f>IFERROR(__xludf.DUMMYFUNCTION("IF(A532="""","""",
SPARKLINE(
INDEX(
GOOGLEFINANCE(""IDX:""&amp;A532,""close"",TODAY()-365,TODAY()),
,2
),
{""linewidth"",1}
))
"),"#N/A")</f>
        <v>#N/A</v>
      </c>
      <c r="E532" s="26"/>
      <c r="F532" s="26"/>
      <c r="G532" s="24">
        <f t="shared" si="3"/>
        <v>0</v>
      </c>
      <c r="H532" s="19">
        <f>VLOOKUP(A532,Metrik!$C$2:$Y$959,8,0)</f>
        <v>73</v>
      </c>
      <c r="I532" s="20">
        <f>VLOOKUP(A532,Metrik!$C$2:$Y$959,9,0)</f>
        <v>0.85</v>
      </c>
      <c r="J532" s="20">
        <f>VLOOKUP(A532,Metrik!$C$2:$Y$959,10,0)</f>
        <v>1.2</v>
      </c>
      <c r="K532" s="20">
        <f>VLOOKUP(A532,Metrik!$C$2:$Y$959,11,0)</f>
        <v>0.53</v>
      </c>
      <c r="L532" s="20">
        <f>VLOOKUP(A532,Metrik!$C$2:$Y$959,12,0)</f>
        <v>1.2</v>
      </c>
      <c r="M532" s="20">
        <f>VLOOKUP(A532,Metrik!$C$2:$Y$959,19,0)</f>
        <v>1.8</v>
      </c>
      <c r="N532" s="21"/>
      <c r="O532" s="21"/>
      <c r="P532" s="21"/>
      <c r="Q532" s="21"/>
      <c r="R532" s="21"/>
      <c r="S532" s="21"/>
      <c r="T532" s="21"/>
      <c r="U532" s="22">
        <f>IFERROR(__xludf.DUMMYFUNCTION("IFERROR(GOOGLEFINANCE(A532,""closeyest""),"""")"),25.97)</f>
        <v>25.97</v>
      </c>
      <c r="V532" s="23" t="str">
        <f>IFERROR(__xludf.DUMMYFUNCTION("IFERROR(GOOGLEFINANCE(A532,""changepct""),"""")"),"")</f>
        <v/>
      </c>
      <c r="W532" s="22">
        <f>IFERROR(__xludf.DUMMYFUNCTION("IFERROR(GOOGLEFINANCE(A532,""priceopen""),"""")"),26.25)</f>
        <v>26.25</v>
      </c>
      <c r="X532" s="22" t="str">
        <f>IFERROR(__xludf.DUMMYFUNCTION("IFERROR(GOOGLEFINANCE(A532,""high""),"""")"),"")</f>
        <v/>
      </c>
      <c r="Y532" s="22">
        <f>IFERROR(__xludf.DUMMYFUNCTION("IFERROR(GOOGLEFINANCE(A532,""low""),"""")"),26.25)</f>
        <v>26.25</v>
      </c>
      <c r="Z532" s="22">
        <f>IFERROR(__xludf.DUMMYFUNCTION("IFERROR(GOOGLEFINANCE(A532,""volume""),"""")"),3025.0)</f>
        <v>3025</v>
      </c>
      <c r="AA532" s="24" t="str">
        <f>VLOOKUP(A532,Metrik!$C$2:$Y$959,5,0)</f>
        <v>Coal</v>
      </c>
      <c r="AB532" s="24" t="str">
        <f>VLOOKUP(A532,Metrik!$C$2:$Y$959,3,0)</f>
        <v>Energy</v>
      </c>
    </row>
    <row r="533">
      <c r="A533" s="14" t="s">
        <v>297</v>
      </c>
      <c r="B533" s="14" t="str">
        <f t="array" ref="B533">VLOOKUP(A533,{Metrik!$C$2:$C$998,Metrik!$B$2:$B$998},2,0)</f>
        <v>Wahana Interfood Nusantara Tbk.</v>
      </c>
      <c r="C533" s="15">
        <f>IFERROR(__xludf.DUMMYFUNCTION("GOOGLEFINANCE(""IDX:""&amp;A533,""price"")"),194.0)</f>
        <v>194</v>
      </c>
      <c r="D533" s="16" t="str">
        <f>IFERROR(__xludf.DUMMYFUNCTION("IF(A533="""","""",
SPARKLINE(
INDEX(
GOOGLEFINANCE(""IDX:""&amp;A533,""close"",TODAY()-365,TODAY()),
,2
),
{""linewidth"",1}
))
"),"#N/A")</f>
        <v>#N/A</v>
      </c>
      <c r="E533" s="26"/>
      <c r="F533" s="26"/>
      <c r="G533" s="24">
        <f t="shared" si="3"/>
        <v>0</v>
      </c>
      <c r="H533" s="19">
        <f>VLOOKUP(A533,Metrik!$C$2:$Y$959,8,0)</f>
        <v>-3.5</v>
      </c>
      <c r="I533" s="20">
        <f>VLOOKUP(A533,Metrik!$C$2:$Y$959,9,0)</f>
        <v>7.8</v>
      </c>
      <c r="J533" s="20">
        <f>VLOOKUP(A533,Metrik!$C$2:$Y$959,10,0)</f>
        <v>-220</v>
      </c>
      <c r="K533" s="20">
        <f>VLOOKUP(A533,Metrik!$C$2:$Y$959,11,0)</f>
        <v>-46.3</v>
      </c>
      <c r="L533" s="20">
        <f>VLOOKUP(A533,Metrik!$C$2:$Y$959,12,0)</f>
        <v>3.8</v>
      </c>
      <c r="M533" s="20">
        <f>VLOOKUP(A533,Metrik!$C$2:$Y$959,19,0)</f>
        <v>-150</v>
      </c>
      <c r="N533" s="21"/>
      <c r="O533" s="21"/>
      <c r="P533" s="21"/>
      <c r="Q533" s="21"/>
      <c r="R533" s="21"/>
      <c r="S533" s="21"/>
      <c r="T533" s="21"/>
      <c r="U533" s="22">
        <f>IFERROR(__xludf.DUMMYFUNCTION("IFERROR(GOOGLEFINANCE(A533,""closeyest""),"""")"),78.65)</f>
        <v>78.65</v>
      </c>
      <c r="V533" s="23">
        <f>IFERROR(__xludf.DUMMYFUNCTION("IFERROR(GOOGLEFINANCE(A533,""changepct""),"""")"),2.86)</f>
        <v>2.86</v>
      </c>
      <c r="W533" s="22">
        <f>IFERROR(__xludf.DUMMYFUNCTION("IFERROR(GOOGLEFINANCE(A533,""priceopen""),"""")"),78.65)</f>
        <v>78.65</v>
      </c>
      <c r="X533" s="22">
        <f>IFERROR(__xludf.DUMMYFUNCTION("IFERROR(GOOGLEFINANCE(A533,""high""),"""")"),82.33)</f>
        <v>82.33</v>
      </c>
      <c r="Y533" s="22">
        <f>IFERROR(__xludf.DUMMYFUNCTION("IFERROR(GOOGLEFINANCE(A533,""low""),"""")"),77.0)</f>
        <v>77</v>
      </c>
      <c r="Z533" s="22">
        <f>IFERROR(__xludf.DUMMYFUNCTION("IFERROR(GOOGLEFINANCE(A533,""volume""),"""")"),1463100.0)</f>
        <v>1463100</v>
      </c>
      <c r="AA533" s="24" t="str">
        <f>VLOOKUP(A533,Metrik!$C$2:$Y$959,5,0)</f>
        <v>Processed Foods</v>
      </c>
      <c r="AB533" s="24" t="str">
        <f>VLOOKUP(A533,Metrik!$C$2:$Y$959,3,0)</f>
        <v>Consumer Non-Cyclicals</v>
      </c>
    </row>
    <row r="534">
      <c r="A534" s="14" t="s">
        <v>298</v>
      </c>
      <c r="B534" s="14" t="str">
        <f t="array" ref="B534">VLOOKUP(A534,{Metrik!$C$2:$C$998,Metrik!$B$2:$B$998},2,0)</f>
        <v>Indokripto Koin Semesta Tbk.</v>
      </c>
      <c r="C534" s="15">
        <f>IFERROR(__xludf.DUMMYFUNCTION("GOOGLEFINANCE(""IDX:""&amp;A534,""price"")"),750.0)</f>
        <v>750</v>
      </c>
      <c r="D534" s="16" t="str">
        <f>IFERROR(__xludf.DUMMYFUNCTION("IF(A534="""","""",
SPARKLINE(
INDEX(
GOOGLEFINANCE(""IDX:""&amp;A534,""close"",TODAY()-365,TODAY()),
,2
),
{""linewidth"",1}
))
"),"#N/A")</f>
        <v>#N/A</v>
      </c>
      <c r="E534" s="26"/>
      <c r="F534" s="26"/>
      <c r="G534" s="24">
        <f t="shared" si="3"/>
        <v>0</v>
      </c>
      <c r="H534" s="19">
        <f>VLOOKUP(A534,Metrik!$C$2:$Y$959,8,0)</f>
        <v>430</v>
      </c>
      <c r="I534" s="20">
        <f>VLOOKUP(A534,Metrik!$C$2:$Y$959,9,0)</f>
        <v>7.8</v>
      </c>
      <c r="J534" s="20">
        <f>VLOOKUP(A534,Metrik!$C$2:$Y$959,10,0)</f>
        <v>1.8</v>
      </c>
      <c r="K534" s="20">
        <f>VLOOKUP(A534,Metrik!$C$2:$Y$959,11,0)</f>
        <v>1.8</v>
      </c>
      <c r="L534" s="20">
        <f>VLOOKUP(A534,Metrik!$C$2:$Y$959,12,0)</f>
        <v>0.03</v>
      </c>
      <c r="M534" s="20">
        <f>VLOOKUP(A534,Metrik!$C$2:$Y$959,19,0)</f>
        <v>66.9</v>
      </c>
      <c r="N534" s="21"/>
      <c r="O534" s="21"/>
      <c r="P534" s="21"/>
      <c r="Q534" s="21"/>
      <c r="R534" s="21"/>
      <c r="S534" s="21"/>
      <c r="T534" s="21"/>
      <c r="U534" s="22">
        <f>IFERROR(__xludf.DUMMYFUNCTION("IFERROR(GOOGLEFINANCE(A534,""closeyest""),"""")"),160.43)</f>
        <v>160.43</v>
      </c>
      <c r="V534" s="23">
        <f>IFERROR(__xludf.DUMMYFUNCTION("IFERROR(GOOGLEFINANCE(A534,""changepct""),"""")"),-0.41)</f>
        <v>-0.41</v>
      </c>
      <c r="W534" s="22">
        <f>IFERROR(__xludf.DUMMYFUNCTION("IFERROR(GOOGLEFINANCE(A534,""priceopen""),"""")"),160.43)</f>
        <v>160.43</v>
      </c>
      <c r="X534" s="22">
        <f>IFERROR(__xludf.DUMMYFUNCTION("IFERROR(GOOGLEFINANCE(A534,""high""),"""")"),165.49)</f>
        <v>165.49</v>
      </c>
      <c r="Y534" s="22">
        <f>IFERROR(__xludf.DUMMYFUNCTION("IFERROR(GOOGLEFINANCE(A534,""low""),"""")"),155.42)</f>
        <v>155.42</v>
      </c>
      <c r="Z534" s="22">
        <f>IFERROR(__xludf.DUMMYFUNCTION("IFERROR(GOOGLEFINANCE(A534,""volume""),"""")"),6508340.0)</f>
        <v>6508340</v>
      </c>
      <c r="AA534" s="24" t="str">
        <f>VLOOKUP(A534,Metrik!$C$2:$Y$959,5,0)</f>
        <v>Holding &amp; Investment Companies</v>
      </c>
      <c r="AB534" s="24" t="str">
        <f>VLOOKUP(A534,Metrik!$C$2:$Y$959,3,0)</f>
        <v>Financials</v>
      </c>
    </row>
    <row r="535">
      <c r="A535" s="14" t="s">
        <v>299</v>
      </c>
      <c r="B535" s="14" t="str">
        <f t="array" ref="B535">VLOOKUP(A535,{Metrik!$C$2:$C$998,Metrik!$B$2:$B$998},2,0)</f>
        <v>Cowell Development Tbk.</v>
      </c>
      <c r="C535" s="15">
        <f>IFERROR(__xludf.DUMMYFUNCTION("GOOGLEFINANCE(""IDX:""&amp;A535,""price"")"),50.0)</f>
        <v>50</v>
      </c>
      <c r="D535" s="16" t="str">
        <f>IFERROR(__xludf.DUMMYFUNCTION("IF(A535="""","""",
SPARKLINE(
INDEX(
GOOGLEFINANCE(""IDX:""&amp;A535,""close"",TODAY()-365,TODAY()),
,2
),
{""linewidth"",1}
))
"),"#N/A")</f>
        <v>#N/A</v>
      </c>
      <c r="E535" s="26"/>
      <c r="F535" s="26"/>
      <c r="G535" s="24">
        <f t="shared" si="3"/>
        <v>0</v>
      </c>
      <c r="H535" s="19" t="str">
        <f>VLOOKUP(A535,Metrik!$C$2:$Y$959,8,0)</f>
        <v/>
      </c>
      <c r="I535" s="20">
        <f>VLOOKUP(A535,Metrik!$C$2:$Y$959,9,0)</f>
        <v>-12.6</v>
      </c>
      <c r="J535" s="20" t="str">
        <f>VLOOKUP(A535,Metrik!$C$2:$Y$959,10,0)</f>
        <v/>
      </c>
      <c r="K535" s="20">
        <f>VLOOKUP(A535,Metrik!$C$2:$Y$959,11,0)</f>
        <v>0</v>
      </c>
      <c r="L535" s="20">
        <f>VLOOKUP(A535,Metrik!$C$2:$Y$959,12,0)</f>
        <v>-130</v>
      </c>
      <c r="M535" s="20">
        <f>VLOOKUP(A535,Metrik!$C$2:$Y$959,19,0)</f>
        <v>-210</v>
      </c>
      <c r="N535" s="21"/>
      <c r="O535" s="21"/>
      <c r="P535" s="21"/>
      <c r="Q535" s="21"/>
      <c r="R535" s="21"/>
      <c r="S535" s="21"/>
      <c r="T535" s="21"/>
      <c r="U535" s="22">
        <f>IFERROR(__xludf.DUMMYFUNCTION("IFERROR(GOOGLEFINANCE(A535,""closeyest""),"""")"),50.0)</f>
        <v>50</v>
      </c>
      <c r="V535" s="23">
        <f>IFERROR(__xludf.DUMMYFUNCTION("IFERROR(GOOGLEFINANCE(A535,""changepct""),"""")"),0.0)</f>
        <v>0</v>
      </c>
      <c r="W535" s="22" t="str">
        <f>IFERROR(__xludf.DUMMYFUNCTION("IFERROR(GOOGLEFINANCE(A535,""priceopen""),"""")"),"")</f>
        <v/>
      </c>
      <c r="X535" s="22" t="str">
        <f>IFERROR(__xludf.DUMMYFUNCTION("IFERROR(GOOGLEFINANCE(A535,""high""),"""")"),"")</f>
        <v/>
      </c>
      <c r="Y535" s="22" t="str">
        <f>IFERROR(__xludf.DUMMYFUNCTION("IFERROR(GOOGLEFINANCE(A535,""low""),"""")"),"")</f>
        <v/>
      </c>
      <c r="Z535" s="22">
        <f>IFERROR(__xludf.DUMMYFUNCTION("IFERROR(GOOGLEFINANCE(A535,""volume""),"""")"),0.0)</f>
        <v>0</v>
      </c>
      <c r="AA535" s="24" t="str">
        <f>VLOOKUP(A535,Metrik!$C$2:$Y$959,5,0)</f>
        <v>Real Estate Management &amp; Development</v>
      </c>
      <c r="AB535" s="24" t="str">
        <f>VLOOKUP(A535,Metrik!$C$2:$Y$959,3,0)</f>
        <v>Properties &amp; Real Estate</v>
      </c>
    </row>
    <row r="536">
      <c r="A536" s="17" t="s">
        <v>300</v>
      </c>
      <c r="B536" s="14" t="str">
        <f t="array" ref="B536">VLOOKUP(A536,{Metrik!$C$2:$C$998,Metrik!$B$2:$B$998},2,0)</f>
        <v>Charoen Pokphand Indonesia Tbk</v>
      </c>
      <c r="C536" s="15">
        <f>IFERROR(__xludf.DUMMYFUNCTION("GOOGLEFINANCE(""IDX:""&amp;A536,""price"")"),3300.0)</f>
        <v>3300</v>
      </c>
      <c r="D536" s="16" t="str">
        <f>IFERROR(__xludf.DUMMYFUNCTION("IF(A536="""","""",
SPARKLINE(
INDEX(
GOOGLEFINANCE(""IDX:""&amp;A536,""close"",TODAY()-365,TODAY()),
,2
),
{""linewidth"",1}
))
"),"#N/A")</f>
        <v>#N/A</v>
      </c>
      <c r="E536" s="14" t="s">
        <v>128</v>
      </c>
      <c r="F536" s="17" t="s">
        <v>36</v>
      </c>
      <c r="G536" s="24">
        <f t="shared" si="3"/>
        <v>13</v>
      </c>
      <c r="H536" s="19">
        <f>VLOOKUP(A536,Metrik!$C$2:$Y$959,8,0)</f>
        <v>10.5</v>
      </c>
      <c r="I536" s="20">
        <f>VLOOKUP(A536,Metrik!$C$2:$Y$959,9,0)</f>
        <v>1.9</v>
      </c>
      <c r="J536" s="20">
        <f>VLOOKUP(A536,Metrik!$C$2:$Y$959,10,0)</f>
        <v>18.2</v>
      </c>
      <c r="K536" s="20">
        <f>VLOOKUP(A536,Metrik!$C$2:$Y$959,11,0)</f>
        <v>13.8</v>
      </c>
      <c r="L536" s="20">
        <f>VLOOKUP(A536,Metrik!$C$2:$Y$959,12,0)</f>
        <v>0.32</v>
      </c>
      <c r="M536" s="20">
        <f>VLOOKUP(A536,Metrik!$C$2:$Y$959,19,0)</f>
        <v>33.5</v>
      </c>
      <c r="N536" s="21"/>
      <c r="O536" s="21"/>
      <c r="P536" s="21"/>
      <c r="Q536" s="21"/>
      <c r="R536" s="21"/>
      <c r="S536" s="21"/>
      <c r="T536" s="21"/>
      <c r="U536" s="22">
        <f>IFERROR(__xludf.DUMMYFUNCTION("IFERROR(GOOGLEFINANCE(A536,""closeyest""),"""")"),3260.0)</f>
        <v>3260</v>
      </c>
      <c r="V536" s="23">
        <f>IFERROR(__xludf.DUMMYFUNCTION("IFERROR(GOOGLEFINANCE(A536,""changepct""),"""")"),1.23)</f>
        <v>1.23</v>
      </c>
      <c r="W536" s="22">
        <f>IFERROR(__xludf.DUMMYFUNCTION("IFERROR(GOOGLEFINANCE(A536,""priceopen""),"""")"),3340.0)</f>
        <v>3340</v>
      </c>
      <c r="X536" s="22">
        <f>IFERROR(__xludf.DUMMYFUNCTION("IFERROR(GOOGLEFINANCE(A536,""high""),"""")"),3340.0)</f>
        <v>3340</v>
      </c>
      <c r="Y536" s="22">
        <f>IFERROR(__xludf.DUMMYFUNCTION("IFERROR(GOOGLEFINANCE(A536,""low""),"""")"),3240.0)</f>
        <v>3240</v>
      </c>
      <c r="Z536" s="22">
        <f>IFERROR(__xludf.DUMMYFUNCTION("IFERROR(GOOGLEFINANCE(A536,""volume""),"""")"),4628500.0)</f>
        <v>4628500</v>
      </c>
      <c r="AA536" s="24" t="str">
        <f>VLOOKUP(A536,Metrik!$C$2:$Y$959,5,0)</f>
        <v>Agricultural Products</v>
      </c>
      <c r="AB536" s="24" t="str">
        <f>VLOOKUP(A536,Metrik!$C$2:$Y$959,3,0)</f>
        <v>Consumer Non-Cyclicals</v>
      </c>
    </row>
    <row r="537">
      <c r="A537" s="17" t="s">
        <v>300</v>
      </c>
      <c r="B537" s="14" t="str">
        <f t="array" ref="B537">VLOOKUP(A537,{Metrik!$C$2:$C$998,Metrik!$B$2:$B$998},2,0)</f>
        <v>Charoen Pokphand Indonesia Tbk</v>
      </c>
      <c r="C537" s="15">
        <f>IFERROR(__xludf.DUMMYFUNCTION("GOOGLEFINANCE(""IDX:""&amp;A537,""price"")"),3300.0)</f>
        <v>3300</v>
      </c>
      <c r="D537" s="16" t="str">
        <f>IFERROR(__xludf.DUMMYFUNCTION("IF(A537="""","""",
SPARKLINE(
INDEX(
GOOGLEFINANCE(""IDX:""&amp;A537,""close"",TODAY()-365,TODAY()),
,2
),
{""linewidth"",1}
))
"),"#N/A")</f>
        <v>#N/A</v>
      </c>
      <c r="E537" s="14" t="s">
        <v>67</v>
      </c>
      <c r="F537" s="17" t="s">
        <v>51</v>
      </c>
      <c r="G537" s="38">
        <f>COUNTIFS($B$2:$B$1935,B537,$E$2:$E$1935,"&lt;&gt;")</f>
        <v>13</v>
      </c>
      <c r="H537" s="19">
        <f>VLOOKUP(A537,Metrik!$C$2:$Y$959,8,0)</f>
        <v>10.5</v>
      </c>
      <c r="I537" s="20">
        <f>VLOOKUP(A537,Metrik!$C$2:$Y$959,9,0)</f>
        <v>1.9</v>
      </c>
      <c r="J537" s="20">
        <f>VLOOKUP(A537,Metrik!$C$2:$Y$959,10,0)</f>
        <v>18.2</v>
      </c>
      <c r="K537" s="20">
        <f>VLOOKUP(A537,Metrik!$C$2:$Y$959,11,0)</f>
        <v>13.8</v>
      </c>
      <c r="L537" s="20">
        <f>VLOOKUP(A537,Metrik!$C$2:$Y$959,12,0)</f>
        <v>0.32</v>
      </c>
      <c r="M537" s="20">
        <f>VLOOKUP(A537,Metrik!$C$2:$Y$959,19,0)</f>
        <v>33.5</v>
      </c>
      <c r="N537" s="46"/>
      <c r="O537" s="46"/>
      <c r="P537" s="46"/>
      <c r="Q537" s="46"/>
      <c r="R537" s="46"/>
      <c r="S537" s="46"/>
      <c r="T537" s="46"/>
      <c r="U537" s="22">
        <f>IFERROR(__xludf.DUMMYFUNCTION("IFERROR(GOOGLEFINANCE(A537,""closeyest""),"""")"),3260.0)</f>
        <v>3260</v>
      </c>
      <c r="V537" s="23">
        <f>IFERROR(__xludf.DUMMYFUNCTION("IFERROR(GOOGLEFINANCE(A537,""changepct""),"""")"),1.23)</f>
        <v>1.23</v>
      </c>
      <c r="W537" s="22">
        <f>IFERROR(__xludf.DUMMYFUNCTION("IFERROR(GOOGLEFINANCE(A537,""priceopen""),"""")"),3340.0)</f>
        <v>3340</v>
      </c>
      <c r="X537" s="22">
        <f>IFERROR(__xludf.DUMMYFUNCTION("IFERROR(GOOGLEFINANCE(A537,""high""),"""")"),3340.0)</f>
        <v>3340</v>
      </c>
      <c r="Y537" s="22">
        <f>IFERROR(__xludf.DUMMYFUNCTION("IFERROR(GOOGLEFINANCE(A537,""low""),"""")"),3240.0)</f>
        <v>3240</v>
      </c>
      <c r="Z537" s="22">
        <f>IFERROR(__xludf.DUMMYFUNCTION("IFERROR(GOOGLEFINANCE(A537,""volume""),"""")"),4628500.0)</f>
        <v>4628500</v>
      </c>
      <c r="AA537" s="24" t="str">
        <f>VLOOKUP(A537,Metrik!$C$2:$Y$959,5,0)</f>
        <v>Agricultural Products</v>
      </c>
      <c r="AB537" s="24" t="str">
        <f>VLOOKUP(A537,Metrik!$C$2:$Y$959,3,0)</f>
        <v>Consumer Non-Cyclicals</v>
      </c>
    </row>
    <row r="538">
      <c r="A538" s="14" t="s">
        <v>300</v>
      </c>
      <c r="B538" s="14" t="str">
        <f t="array" ref="B538">VLOOKUP(A538,{Metrik!$C$2:$C$998,Metrik!$B$2:$B$998},2,0)</f>
        <v>Charoen Pokphand Indonesia Tbk</v>
      </c>
      <c r="C538" s="15">
        <f>IFERROR(__xludf.DUMMYFUNCTION("GOOGLEFINANCE(""IDX:""&amp;A538,""price"")"),3300.0)</f>
        <v>3300</v>
      </c>
      <c r="D538" s="16" t="str">
        <f>IFERROR(__xludf.DUMMYFUNCTION("IF(A538="""","""",
SPARKLINE(
INDEX(
GOOGLEFINANCE(""IDX:""&amp;A538,""close"",TODAY()-365,TODAY()),
,2
),
{""linewidth"",1}
))
"),"#N/A")</f>
        <v>#N/A</v>
      </c>
      <c r="E538" s="14" t="s">
        <v>30</v>
      </c>
      <c r="F538" s="17" t="s">
        <v>29</v>
      </c>
      <c r="G538" s="18">
        <f t="shared" ref="G538:G589" si="4">COUNTIFS($B$2:$B$1937,B538,$E$2:$E$1937,"&lt;&gt;")</f>
        <v>13</v>
      </c>
      <c r="H538" s="19">
        <f>VLOOKUP(A538,Metrik!$C$2:$Y$959,8,0)</f>
        <v>10.5</v>
      </c>
      <c r="I538" s="20">
        <f>VLOOKUP(A538,Metrik!$C$2:$Y$959,9,0)</f>
        <v>1.9</v>
      </c>
      <c r="J538" s="20">
        <f>VLOOKUP(A538,Metrik!$C$2:$Y$959,10,0)</f>
        <v>18.2</v>
      </c>
      <c r="K538" s="20">
        <f>VLOOKUP(A538,Metrik!$C$2:$Y$959,11,0)</f>
        <v>13.8</v>
      </c>
      <c r="L538" s="20">
        <f>VLOOKUP(A538,Metrik!$C$2:$Y$959,12,0)</f>
        <v>0.32</v>
      </c>
      <c r="M538" s="20">
        <f>VLOOKUP(A538,Metrik!$C$2:$Y$959,19,0)</f>
        <v>33.5</v>
      </c>
      <c r="N538" s="21"/>
      <c r="O538" s="21"/>
      <c r="P538" s="21"/>
      <c r="Q538" s="21"/>
      <c r="R538" s="21"/>
      <c r="S538" s="21"/>
      <c r="T538" s="21"/>
      <c r="U538" s="22">
        <f>IFERROR(__xludf.DUMMYFUNCTION("IFERROR(GOOGLEFINANCE(A538,""closeyest""),"""")"),3260.0)</f>
        <v>3260</v>
      </c>
      <c r="V538" s="23">
        <f>IFERROR(__xludf.DUMMYFUNCTION("IFERROR(GOOGLEFINANCE(A538,""changepct""),"""")"),1.23)</f>
        <v>1.23</v>
      </c>
      <c r="W538" s="22">
        <f>IFERROR(__xludf.DUMMYFUNCTION("IFERROR(GOOGLEFINANCE(A538,""priceopen""),"""")"),3340.0)</f>
        <v>3340</v>
      </c>
      <c r="X538" s="22">
        <f>IFERROR(__xludf.DUMMYFUNCTION("IFERROR(GOOGLEFINANCE(A538,""high""),"""")"),3340.0)</f>
        <v>3340</v>
      </c>
      <c r="Y538" s="22">
        <f>IFERROR(__xludf.DUMMYFUNCTION("IFERROR(GOOGLEFINANCE(A538,""low""),"""")"),3240.0)</f>
        <v>3240</v>
      </c>
      <c r="Z538" s="22">
        <f>IFERROR(__xludf.DUMMYFUNCTION("IFERROR(GOOGLEFINANCE(A538,""volume""),"""")"),4628500.0)</f>
        <v>4628500</v>
      </c>
      <c r="AA538" s="24" t="str">
        <f>VLOOKUP(A538,Metrik!$C$2:$Y$959,5,0)</f>
        <v>Agricultural Products</v>
      </c>
      <c r="AB538" s="24" t="str">
        <f>VLOOKUP(A538,Metrik!$C$2:$Y$959,3,0)</f>
        <v>Consumer Non-Cyclicals</v>
      </c>
    </row>
    <row r="539">
      <c r="A539" s="14" t="s">
        <v>300</v>
      </c>
      <c r="B539" s="14" t="str">
        <f t="array" ref="B539">VLOOKUP(A539,{Metrik!$C$2:$C$998,Metrik!$B$2:$B$998},2,0)</f>
        <v>Charoen Pokphand Indonesia Tbk</v>
      </c>
      <c r="C539" s="15">
        <f>IFERROR(__xludf.DUMMYFUNCTION("GOOGLEFINANCE(""IDX:""&amp;A539,""price"")"),3300.0)</f>
        <v>3300</v>
      </c>
      <c r="D539" s="16" t="str">
        <f>IFERROR(__xludf.DUMMYFUNCTION("IF(A539="""","""",
SPARKLINE(
INDEX(
GOOGLEFINANCE(""IDX:""&amp;A539,""close"",TODAY()-365,TODAY()),
,2
),
{""linewidth"",1}
))
"),"#N/A")</f>
        <v>#N/A</v>
      </c>
      <c r="E539" s="14" t="s">
        <v>31</v>
      </c>
      <c r="F539" s="17" t="s">
        <v>29</v>
      </c>
      <c r="G539" s="18">
        <f t="shared" si="4"/>
        <v>13</v>
      </c>
      <c r="H539" s="19">
        <f>VLOOKUP(A539,Metrik!$C$2:$Y$959,8,0)</f>
        <v>10.5</v>
      </c>
      <c r="I539" s="20">
        <f>VLOOKUP(A539,Metrik!$C$2:$Y$959,9,0)</f>
        <v>1.9</v>
      </c>
      <c r="J539" s="20">
        <f>VLOOKUP(A539,Metrik!$C$2:$Y$959,10,0)</f>
        <v>18.2</v>
      </c>
      <c r="K539" s="20">
        <f>VLOOKUP(A539,Metrik!$C$2:$Y$959,11,0)</f>
        <v>13.8</v>
      </c>
      <c r="L539" s="20">
        <f>VLOOKUP(A539,Metrik!$C$2:$Y$959,12,0)</f>
        <v>0.32</v>
      </c>
      <c r="M539" s="20">
        <f>VLOOKUP(A539,Metrik!$C$2:$Y$959,19,0)</f>
        <v>33.5</v>
      </c>
      <c r="N539" s="21"/>
      <c r="O539" s="21"/>
      <c r="P539" s="21"/>
      <c r="Q539" s="21"/>
      <c r="R539" s="21"/>
      <c r="S539" s="21"/>
      <c r="T539" s="21"/>
      <c r="U539" s="22">
        <f>IFERROR(__xludf.DUMMYFUNCTION("IFERROR(GOOGLEFINANCE(A539,""closeyest""),"""")"),3260.0)</f>
        <v>3260</v>
      </c>
      <c r="V539" s="23">
        <f>IFERROR(__xludf.DUMMYFUNCTION("IFERROR(GOOGLEFINANCE(A539,""changepct""),"""")"),1.23)</f>
        <v>1.23</v>
      </c>
      <c r="W539" s="22">
        <f>IFERROR(__xludf.DUMMYFUNCTION("IFERROR(GOOGLEFINANCE(A539,""priceopen""),"""")"),3340.0)</f>
        <v>3340</v>
      </c>
      <c r="X539" s="22">
        <f>IFERROR(__xludf.DUMMYFUNCTION("IFERROR(GOOGLEFINANCE(A539,""high""),"""")"),3340.0)</f>
        <v>3340</v>
      </c>
      <c r="Y539" s="22">
        <f>IFERROR(__xludf.DUMMYFUNCTION("IFERROR(GOOGLEFINANCE(A539,""low""),"""")"),3240.0)</f>
        <v>3240</v>
      </c>
      <c r="Z539" s="22">
        <f>IFERROR(__xludf.DUMMYFUNCTION("IFERROR(GOOGLEFINANCE(A539,""volume""),"""")"),4628500.0)</f>
        <v>4628500</v>
      </c>
      <c r="AA539" s="24" t="str">
        <f>VLOOKUP(A539,Metrik!$C$2:$Y$959,5,0)</f>
        <v>Agricultural Products</v>
      </c>
      <c r="AB539" s="24" t="str">
        <f>VLOOKUP(A539,Metrik!$C$2:$Y$959,3,0)</f>
        <v>Consumer Non-Cyclicals</v>
      </c>
    </row>
    <row r="540">
      <c r="A540" s="14" t="s">
        <v>300</v>
      </c>
      <c r="B540" s="14" t="str">
        <f t="array" ref="B540">VLOOKUP(A540,{Metrik!$C$2:$C$998,Metrik!$B$2:$B$998},2,0)</f>
        <v>Charoen Pokphand Indonesia Tbk</v>
      </c>
      <c r="C540" s="15">
        <f>IFERROR(__xludf.DUMMYFUNCTION("GOOGLEFINANCE(""IDX:""&amp;A540,""price"")"),3300.0)</f>
        <v>3300</v>
      </c>
      <c r="D540" s="16" t="str">
        <f>IFERROR(__xludf.DUMMYFUNCTION("IF(A540="""","""",
SPARKLINE(
INDEX(
GOOGLEFINANCE(""IDX:""&amp;A540,""close"",TODAY()-365,TODAY()),
,2
),
{""linewidth"",1}
))
"),"#N/A")</f>
        <v>#N/A</v>
      </c>
      <c r="E540" s="14" t="s">
        <v>28</v>
      </c>
      <c r="F540" s="17" t="s">
        <v>29</v>
      </c>
      <c r="G540" s="18">
        <f t="shared" si="4"/>
        <v>13</v>
      </c>
      <c r="H540" s="19">
        <f>VLOOKUP(A540,Metrik!$C$2:$Y$959,8,0)</f>
        <v>10.5</v>
      </c>
      <c r="I540" s="20">
        <f>VLOOKUP(A540,Metrik!$C$2:$Y$959,9,0)</f>
        <v>1.9</v>
      </c>
      <c r="J540" s="20">
        <f>VLOOKUP(A540,Metrik!$C$2:$Y$959,10,0)</f>
        <v>18.2</v>
      </c>
      <c r="K540" s="20">
        <f>VLOOKUP(A540,Metrik!$C$2:$Y$959,11,0)</f>
        <v>13.8</v>
      </c>
      <c r="L540" s="20">
        <f>VLOOKUP(A540,Metrik!$C$2:$Y$959,12,0)</f>
        <v>0.32</v>
      </c>
      <c r="M540" s="20">
        <f>VLOOKUP(A540,Metrik!$C$2:$Y$959,19,0)</f>
        <v>33.5</v>
      </c>
      <c r="N540" s="21"/>
      <c r="O540" s="21"/>
      <c r="P540" s="21"/>
      <c r="Q540" s="21"/>
      <c r="R540" s="21"/>
      <c r="S540" s="21"/>
      <c r="T540" s="21"/>
      <c r="U540" s="22">
        <f>IFERROR(__xludf.DUMMYFUNCTION("IFERROR(GOOGLEFINANCE(A540,""closeyest""),"""")"),3260.0)</f>
        <v>3260</v>
      </c>
      <c r="V540" s="23">
        <f>IFERROR(__xludf.DUMMYFUNCTION("IFERROR(GOOGLEFINANCE(A540,""changepct""),"""")"),1.23)</f>
        <v>1.23</v>
      </c>
      <c r="W540" s="22">
        <f>IFERROR(__xludf.DUMMYFUNCTION("IFERROR(GOOGLEFINANCE(A540,""priceopen""),"""")"),3340.0)</f>
        <v>3340</v>
      </c>
      <c r="X540" s="22">
        <f>IFERROR(__xludf.DUMMYFUNCTION("IFERROR(GOOGLEFINANCE(A540,""high""),"""")"),3340.0)</f>
        <v>3340</v>
      </c>
      <c r="Y540" s="22">
        <f>IFERROR(__xludf.DUMMYFUNCTION("IFERROR(GOOGLEFINANCE(A540,""low""),"""")"),3240.0)</f>
        <v>3240</v>
      </c>
      <c r="Z540" s="22">
        <f>IFERROR(__xludf.DUMMYFUNCTION("IFERROR(GOOGLEFINANCE(A540,""volume""),"""")"),4628500.0)</f>
        <v>4628500</v>
      </c>
      <c r="AA540" s="24" t="str">
        <f>VLOOKUP(A540,Metrik!$C$2:$Y$959,5,0)</f>
        <v>Agricultural Products</v>
      </c>
      <c r="AB540" s="24" t="str">
        <f>VLOOKUP(A540,Metrik!$C$2:$Y$959,3,0)</f>
        <v>Consumer Non-Cyclicals</v>
      </c>
    </row>
    <row r="541">
      <c r="A541" s="14" t="s">
        <v>300</v>
      </c>
      <c r="B541" s="14" t="str">
        <f t="array" ref="B541">VLOOKUP(A541,{Metrik!$C$2:$C$998,Metrik!$B$2:$B$998},2,0)</f>
        <v>Charoen Pokphand Indonesia Tbk</v>
      </c>
      <c r="C541" s="15">
        <f>IFERROR(__xludf.DUMMYFUNCTION("GOOGLEFINANCE(""IDX:""&amp;A541,""price"")"),3300.0)</f>
        <v>3300</v>
      </c>
      <c r="D541" s="16" t="str">
        <f>IFERROR(__xludf.DUMMYFUNCTION("IF(A541="""","""",
SPARKLINE(
INDEX(
GOOGLEFINANCE(""IDX:""&amp;A541,""close"",TODAY()-365,TODAY()),
,2
),
{""linewidth"",1}
))
"),"#N/A")</f>
        <v>#N/A</v>
      </c>
      <c r="E541" s="14" t="s">
        <v>102</v>
      </c>
      <c r="F541" s="27" t="s">
        <v>53</v>
      </c>
      <c r="G541" s="18">
        <f t="shared" si="4"/>
        <v>13</v>
      </c>
      <c r="H541" s="19">
        <f>VLOOKUP(A541,Metrik!$C$2:$Y$959,8,0)</f>
        <v>10.5</v>
      </c>
      <c r="I541" s="20">
        <f>VLOOKUP(A541,Metrik!$C$2:$Y$959,9,0)</f>
        <v>1.9</v>
      </c>
      <c r="J541" s="20">
        <f>VLOOKUP(A541,Metrik!$C$2:$Y$959,10,0)</f>
        <v>18.2</v>
      </c>
      <c r="K541" s="20">
        <f>VLOOKUP(A541,Metrik!$C$2:$Y$959,11,0)</f>
        <v>13.8</v>
      </c>
      <c r="L541" s="20">
        <f>VLOOKUP(A541,Metrik!$C$2:$Y$959,12,0)</f>
        <v>0.32</v>
      </c>
      <c r="M541" s="20">
        <f>VLOOKUP(A541,Metrik!$C$2:$Y$959,19,0)</f>
        <v>33.5</v>
      </c>
      <c r="N541" s="21"/>
      <c r="O541" s="21"/>
      <c r="P541" s="21"/>
      <c r="Q541" s="21"/>
      <c r="R541" s="21"/>
      <c r="S541" s="21"/>
      <c r="T541" s="21"/>
      <c r="U541" s="22">
        <f>IFERROR(__xludf.DUMMYFUNCTION("IFERROR(GOOGLEFINANCE(A541,""closeyest""),"""")"),3260.0)</f>
        <v>3260</v>
      </c>
      <c r="V541" s="23">
        <f>IFERROR(__xludf.DUMMYFUNCTION("IFERROR(GOOGLEFINANCE(A541,""changepct""),"""")"),1.23)</f>
        <v>1.23</v>
      </c>
      <c r="W541" s="22">
        <f>IFERROR(__xludf.DUMMYFUNCTION("IFERROR(GOOGLEFINANCE(A541,""priceopen""),"""")"),3340.0)</f>
        <v>3340</v>
      </c>
      <c r="X541" s="22">
        <f>IFERROR(__xludf.DUMMYFUNCTION("IFERROR(GOOGLEFINANCE(A541,""high""),"""")"),3340.0)</f>
        <v>3340</v>
      </c>
      <c r="Y541" s="22">
        <f>IFERROR(__xludf.DUMMYFUNCTION("IFERROR(GOOGLEFINANCE(A541,""low""),"""")"),3240.0)</f>
        <v>3240</v>
      </c>
      <c r="Z541" s="22">
        <f>IFERROR(__xludf.DUMMYFUNCTION("IFERROR(GOOGLEFINANCE(A541,""volume""),"""")"),4628500.0)</f>
        <v>4628500</v>
      </c>
      <c r="AA541" s="24" t="str">
        <f>VLOOKUP(A541,Metrik!$C$2:$Y$959,5,0)</f>
        <v>Agricultural Products</v>
      </c>
      <c r="AB541" s="24" t="str">
        <f>VLOOKUP(A541,Metrik!$C$2:$Y$959,3,0)</f>
        <v>Consumer Non-Cyclicals</v>
      </c>
    </row>
    <row r="542">
      <c r="A542" s="14" t="s">
        <v>300</v>
      </c>
      <c r="B542" s="14" t="str">
        <f t="array" ref="B542">VLOOKUP(A542,{Metrik!$C$2:$C$998,Metrik!$B$2:$B$998},2,0)</f>
        <v>Charoen Pokphand Indonesia Tbk</v>
      </c>
      <c r="C542" s="15">
        <f>IFERROR(__xludf.DUMMYFUNCTION("GOOGLEFINANCE(""IDX:""&amp;A542,""price"")"),3300.0)</f>
        <v>3300</v>
      </c>
      <c r="D542" s="16" t="str">
        <f>IFERROR(__xludf.DUMMYFUNCTION("IF(A542="""","""",
SPARKLINE(
INDEX(
GOOGLEFINANCE(""IDX:""&amp;A542,""close"",TODAY()-365,TODAY()),
,2
),
{""linewidth"",1}
))
"),"#N/A")</f>
        <v>#N/A</v>
      </c>
      <c r="E542" s="14" t="s">
        <v>32</v>
      </c>
      <c r="F542" s="14" t="s">
        <v>29</v>
      </c>
      <c r="G542" s="18">
        <f t="shared" si="4"/>
        <v>13</v>
      </c>
      <c r="H542" s="19">
        <f>VLOOKUP(A542,Metrik!$C$2:$Y$959,8,0)</f>
        <v>10.5</v>
      </c>
      <c r="I542" s="20">
        <f>VLOOKUP(A542,Metrik!$C$2:$Y$959,9,0)</f>
        <v>1.9</v>
      </c>
      <c r="J542" s="20">
        <f>VLOOKUP(A542,Metrik!$C$2:$Y$959,10,0)</f>
        <v>18.2</v>
      </c>
      <c r="K542" s="20">
        <f>VLOOKUP(A542,Metrik!$C$2:$Y$959,11,0)</f>
        <v>13.8</v>
      </c>
      <c r="L542" s="20">
        <f>VLOOKUP(A542,Metrik!$C$2:$Y$959,12,0)</f>
        <v>0.32</v>
      </c>
      <c r="M542" s="20">
        <f>VLOOKUP(A542,Metrik!$C$2:$Y$959,19,0)</f>
        <v>33.5</v>
      </c>
      <c r="N542" s="21"/>
      <c r="O542" s="21"/>
      <c r="P542" s="21"/>
      <c r="Q542" s="21"/>
      <c r="R542" s="21"/>
      <c r="S542" s="21"/>
      <c r="T542" s="21"/>
      <c r="U542" s="22">
        <f>IFERROR(__xludf.DUMMYFUNCTION("IFERROR(GOOGLEFINANCE(A542,""closeyest""),"""")"),3260.0)</f>
        <v>3260</v>
      </c>
      <c r="V542" s="23">
        <f>IFERROR(__xludf.DUMMYFUNCTION("IFERROR(GOOGLEFINANCE(A542,""changepct""),"""")"),1.23)</f>
        <v>1.23</v>
      </c>
      <c r="W542" s="22">
        <f>IFERROR(__xludf.DUMMYFUNCTION("IFERROR(GOOGLEFINANCE(A542,""priceopen""),"""")"),3340.0)</f>
        <v>3340</v>
      </c>
      <c r="X542" s="22">
        <f>IFERROR(__xludf.DUMMYFUNCTION("IFERROR(GOOGLEFINANCE(A542,""high""),"""")"),3340.0)</f>
        <v>3340</v>
      </c>
      <c r="Y542" s="22">
        <f>IFERROR(__xludf.DUMMYFUNCTION("IFERROR(GOOGLEFINANCE(A542,""low""),"""")"),3240.0)</f>
        <v>3240</v>
      </c>
      <c r="Z542" s="22">
        <f>IFERROR(__xludf.DUMMYFUNCTION("IFERROR(GOOGLEFINANCE(A542,""volume""),"""")"),4628500.0)</f>
        <v>4628500</v>
      </c>
      <c r="AA542" s="24" t="str">
        <f>VLOOKUP(A542,Metrik!$C$2:$Y$959,5,0)</f>
        <v>Agricultural Products</v>
      </c>
      <c r="AB542" s="24" t="str">
        <f>VLOOKUP(A542,Metrik!$C$2:$Y$959,3,0)</f>
        <v>Consumer Non-Cyclicals</v>
      </c>
    </row>
    <row r="543">
      <c r="A543" s="14" t="s">
        <v>300</v>
      </c>
      <c r="B543" s="14" t="str">
        <f t="array" ref="B543">VLOOKUP(A543,{Metrik!$C$2:$C$998,Metrik!$B$2:$B$998},2,0)</f>
        <v>Charoen Pokphand Indonesia Tbk</v>
      </c>
      <c r="C543" s="15">
        <f>IFERROR(__xludf.DUMMYFUNCTION("GOOGLEFINANCE(""IDX:""&amp;A543,""price"")"),3300.0)</f>
        <v>3300</v>
      </c>
      <c r="D543" s="16" t="str">
        <f>IFERROR(__xludf.DUMMYFUNCTION("IF(A543="""","""",
SPARKLINE(
INDEX(
GOOGLEFINANCE(""IDX:""&amp;A543,""close"",TODAY()-365,TODAY()),
,2
),
{""linewidth"",1}
))
"),"#N/A")</f>
        <v>#N/A</v>
      </c>
      <c r="E543" s="14" t="s">
        <v>54</v>
      </c>
      <c r="F543" s="14" t="s">
        <v>34</v>
      </c>
      <c r="G543" s="18">
        <f t="shared" si="4"/>
        <v>13</v>
      </c>
      <c r="H543" s="19">
        <f>VLOOKUP(A543,Metrik!$C$2:$Y$959,8,0)</f>
        <v>10.5</v>
      </c>
      <c r="I543" s="20">
        <f>VLOOKUP(A543,Metrik!$C$2:$Y$959,9,0)</f>
        <v>1.9</v>
      </c>
      <c r="J543" s="20">
        <f>VLOOKUP(A543,Metrik!$C$2:$Y$959,10,0)</f>
        <v>18.2</v>
      </c>
      <c r="K543" s="20">
        <f>VLOOKUP(A543,Metrik!$C$2:$Y$959,11,0)</f>
        <v>13.8</v>
      </c>
      <c r="L543" s="20">
        <f>VLOOKUP(A543,Metrik!$C$2:$Y$959,12,0)</f>
        <v>0.32</v>
      </c>
      <c r="M543" s="20">
        <f>VLOOKUP(A543,Metrik!$C$2:$Y$959,19,0)</f>
        <v>33.5</v>
      </c>
      <c r="N543" s="21"/>
      <c r="O543" s="21"/>
      <c r="P543" s="21"/>
      <c r="Q543" s="21"/>
      <c r="R543" s="21"/>
      <c r="S543" s="21"/>
      <c r="T543" s="21"/>
      <c r="U543" s="22">
        <f>IFERROR(__xludf.DUMMYFUNCTION("IFERROR(GOOGLEFINANCE(A543,""closeyest""),"""")"),3260.0)</f>
        <v>3260</v>
      </c>
      <c r="V543" s="23">
        <f>IFERROR(__xludf.DUMMYFUNCTION("IFERROR(GOOGLEFINANCE(A543,""changepct""),"""")"),1.23)</f>
        <v>1.23</v>
      </c>
      <c r="W543" s="22">
        <f>IFERROR(__xludf.DUMMYFUNCTION("IFERROR(GOOGLEFINANCE(A543,""priceopen""),"""")"),3340.0)</f>
        <v>3340</v>
      </c>
      <c r="X543" s="22">
        <f>IFERROR(__xludf.DUMMYFUNCTION("IFERROR(GOOGLEFINANCE(A543,""high""),"""")"),3340.0)</f>
        <v>3340</v>
      </c>
      <c r="Y543" s="22">
        <f>IFERROR(__xludf.DUMMYFUNCTION("IFERROR(GOOGLEFINANCE(A543,""low""),"""")"),3240.0)</f>
        <v>3240</v>
      </c>
      <c r="Z543" s="22">
        <f>IFERROR(__xludf.DUMMYFUNCTION("IFERROR(GOOGLEFINANCE(A543,""volume""),"""")"),4628500.0)</f>
        <v>4628500</v>
      </c>
      <c r="AA543" s="24" t="str">
        <f>VLOOKUP(A543,Metrik!$C$2:$Y$959,5,0)</f>
        <v>Agricultural Products</v>
      </c>
      <c r="AB543" s="24" t="str">
        <f>VLOOKUP(A543,Metrik!$C$2:$Y$959,3,0)</f>
        <v>Consumer Non-Cyclicals</v>
      </c>
    </row>
    <row r="544">
      <c r="A544" s="17" t="s">
        <v>300</v>
      </c>
      <c r="B544" s="14" t="str">
        <f t="array" ref="B544">VLOOKUP(A544,{Metrik!$C$2:$C$998,Metrik!$B$2:$B$998},2,0)</f>
        <v>Charoen Pokphand Indonesia Tbk</v>
      </c>
      <c r="C544" s="15">
        <f>IFERROR(__xludf.DUMMYFUNCTION("GOOGLEFINANCE(""IDX:""&amp;A544,""price"")"),3300.0)</f>
        <v>3300</v>
      </c>
      <c r="D544" s="16" t="str">
        <f>IFERROR(__xludf.DUMMYFUNCTION("IF(A544="""","""",
SPARKLINE(
INDEX(
GOOGLEFINANCE(""IDX:""&amp;A544,""close"",TODAY()-365,TODAY()),
,2
),
{""linewidth"",1}
))
"),"#N/A")</f>
        <v>#N/A</v>
      </c>
      <c r="E544" s="14" t="s">
        <v>84</v>
      </c>
      <c r="F544" s="17" t="s">
        <v>51</v>
      </c>
      <c r="G544" s="24">
        <f t="shared" si="4"/>
        <v>13</v>
      </c>
      <c r="H544" s="19">
        <f>VLOOKUP(A544,Metrik!$C$2:$Y$959,8,0)</f>
        <v>10.5</v>
      </c>
      <c r="I544" s="20">
        <f>VLOOKUP(A544,Metrik!$C$2:$Y$959,9,0)</f>
        <v>1.9</v>
      </c>
      <c r="J544" s="20">
        <f>VLOOKUP(A544,Metrik!$C$2:$Y$959,10,0)</f>
        <v>18.2</v>
      </c>
      <c r="K544" s="20">
        <f>VLOOKUP(A544,Metrik!$C$2:$Y$959,11,0)</f>
        <v>13.8</v>
      </c>
      <c r="L544" s="20">
        <f>VLOOKUP(A544,Metrik!$C$2:$Y$959,12,0)</f>
        <v>0.32</v>
      </c>
      <c r="M544" s="20">
        <f>VLOOKUP(A544,Metrik!$C$2:$Y$959,19,0)</f>
        <v>33.5</v>
      </c>
      <c r="N544" s="21"/>
      <c r="O544" s="21"/>
      <c r="P544" s="21"/>
      <c r="Q544" s="21"/>
      <c r="R544" s="21"/>
      <c r="S544" s="21"/>
      <c r="T544" s="21"/>
      <c r="U544" s="22">
        <f>IFERROR(__xludf.DUMMYFUNCTION("IFERROR(GOOGLEFINANCE(A544,""closeyest""),"""")"),3260.0)</f>
        <v>3260</v>
      </c>
      <c r="V544" s="23">
        <f>IFERROR(__xludf.DUMMYFUNCTION("IFERROR(GOOGLEFINANCE(A544,""changepct""),"""")"),1.23)</f>
        <v>1.23</v>
      </c>
      <c r="W544" s="22">
        <f>IFERROR(__xludf.DUMMYFUNCTION("IFERROR(GOOGLEFINANCE(A544,""priceopen""),"""")"),3340.0)</f>
        <v>3340</v>
      </c>
      <c r="X544" s="22">
        <f>IFERROR(__xludf.DUMMYFUNCTION("IFERROR(GOOGLEFINANCE(A544,""high""),"""")"),3340.0)</f>
        <v>3340</v>
      </c>
      <c r="Y544" s="22">
        <f>IFERROR(__xludf.DUMMYFUNCTION("IFERROR(GOOGLEFINANCE(A544,""low""),"""")"),3240.0)</f>
        <v>3240</v>
      </c>
      <c r="Z544" s="22">
        <f>IFERROR(__xludf.DUMMYFUNCTION("IFERROR(GOOGLEFINANCE(A544,""volume""),"""")"),4628500.0)</f>
        <v>4628500</v>
      </c>
      <c r="AA544" s="24" t="str">
        <f>VLOOKUP(A544,Metrik!$C$2:$Y$959,5,0)</f>
        <v>Agricultural Products</v>
      </c>
      <c r="AB544" s="24" t="str">
        <f>VLOOKUP(A544,Metrik!$C$2:$Y$959,3,0)</f>
        <v>Consumer Non-Cyclicals</v>
      </c>
    </row>
    <row r="545">
      <c r="A545" s="17" t="s">
        <v>300</v>
      </c>
      <c r="B545" s="14" t="str">
        <f t="array" ref="B545">VLOOKUP(A545,{Metrik!$C$2:$C$998,Metrik!$B$2:$B$998},2,0)</f>
        <v>Charoen Pokphand Indonesia Tbk</v>
      </c>
      <c r="C545" s="15">
        <f>IFERROR(__xludf.DUMMYFUNCTION("GOOGLEFINANCE(""IDX:""&amp;A545,""price"")"),3300.0)</f>
        <v>3300</v>
      </c>
      <c r="D545" s="16" t="str">
        <f>IFERROR(__xludf.DUMMYFUNCTION("IF(A545="""","""",
SPARKLINE(
INDEX(
GOOGLEFINANCE(""IDX:""&amp;A545,""close"",TODAY()-365,TODAY()),
,2
),
{""linewidth"",1}
))
"),"#N/A")</f>
        <v>#N/A</v>
      </c>
      <c r="E545" s="17" t="s">
        <v>69</v>
      </c>
      <c r="F545" s="17" t="s">
        <v>70</v>
      </c>
      <c r="G545" s="24">
        <f t="shared" si="4"/>
        <v>13</v>
      </c>
      <c r="H545" s="19">
        <f>VLOOKUP(A545,Metrik!$C$2:$Y$959,8,0)</f>
        <v>10.5</v>
      </c>
      <c r="I545" s="20">
        <f>VLOOKUP(A545,Metrik!$C$2:$Y$959,9,0)</f>
        <v>1.9</v>
      </c>
      <c r="J545" s="20">
        <f>VLOOKUP(A545,Metrik!$C$2:$Y$959,10,0)</f>
        <v>18.2</v>
      </c>
      <c r="K545" s="20">
        <f>VLOOKUP(A545,Metrik!$C$2:$Y$959,11,0)</f>
        <v>13.8</v>
      </c>
      <c r="L545" s="20">
        <f>VLOOKUP(A545,Metrik!$C$2:$Y$959,12,0)</f>
        <v>0.32</v>
      </c>
      <c r="M545" s="20">
        <f>VLOOKUP(A545,Metrik!$C$2:$Y$959,19,0)</f>
        <v>33.5</v>
      </c>
      <c r="N545" s="21"/>
      <c r="O545" s="21"/>
      <c r="P545" s="21"/>
      <c r="Q545" s="21"/>
      <c r="R545" s="21"/>
      <c r="S545" s="21"/>
      <c r="T545" s="21"/>
      <c r="U545" s="22">
        <f>IFERROR(__xludf.DUMMYFUNCTION("IFERROR(GOOGLEFINANCE(A545,""closeyest""),"""")"),3260.0)</f>
        <v>3260</v>
      </c>
      <c r="V545" s="23">
        <f>IFERROR(__xludf.DUMMYFUNCTION("IFERROR(GOOGLEFINANCE(A545,""changepct""),"""")"),1.23)</f>
        <v>1.23</v>
      </c>
      <c r="W545" s="22">
        <f>IFERROR(__xludf.DUMMYFUNCTION("IFERROR(GOOGLEFINANCE(A545,""priceopen""),"""")"),3340.0)</f>
        <v>3340</v>
      </c>
      <c r="X545" s="22">
        <f>IFERROR(__xludf.DUMMYFUNCTION("IFERROR(GOOGLEFINANCE(A545,""high""),"""")"),3340.0)</f>
        <v>3340</v>
      </c>
      <c r="Y545" s="22">
        <f>IFERROR(__xludf.DUMMYFUNCTION("IFERROR(GOOGLEFINANCE(A545,""low""),"""")"),3240.0)</f>
        <v>3240</v>
      </c>
      <c r="Z545" s="22">
        <f>IFERROR(__xludf.DUMMYFUNCTION("IFERROR(GOOGLEFINANCE(A545,""volume""),"""")"),4628500.0)</f>
        <v>4628500</v>
      </c>
      <c r="AA545" s="24" t="str">
        <f>VLOOKUP(A545,Metrik!$C$2:$Y$959,5,0)</f>
        <v>Agricultural Products</v>
      </c>
      <c r="AB545" s="24" t="str">
        <f>VLOOKUP(A545,Metrik!$C$2:$Y$959,3,0)</f>
        <v>Consumer Non-Cyclicals</v>
      </c>
    </row>
    <row r="546">
      <c r="A546" s="14" t="s">
        <v>300</v>
      </c>
      <c r="B546" s="14" t="str">
        <f t="array" ref="B546">VLOOKUP(A546,{Metrik!$C$2:$C$998,Metrik!$B$2:$B$998},2,0)</f>
        <v>Charoen Pokphand Indonesia Tbk</v>
      </c>
      <c r="C546" s="15">
        <f>IFERROR(__xludf.DUMMYFUNCTION("GOOGLEFINANCE(""IDX:""&amp;A546,""price"")"),3300.0)</f>
        <v>3300</v>
      </c>
      <c r="D546" s="16" t="str">
        <f>IFERROR(__xludf.DUMMYFUNCTION("IF(A546="""","""",
SPARKLINE(
INDEX(
GOOGLEFINANCE(""IDX:""&amp;A546,""close"",TODAY()-365,TODAY()),
,2
),
{""linewidth"",1}
))
"),"#N/A")</f>
        <v>#N/A</v>
      </c>
      <c r="E546" s="14" t="s">
        <v>42</v>
      </c>
      <c r="F546" s="25">
        <v>46356.0</v>
      </c>
      <c r="G546" s="18">
        <f t="shared" si="4"/>
        <v>13</v>
      </c>
      <c r="H546" s="19">
        <f>VLOOKUP(A546,Metrik!$C$2:$Y$959,8,0)</f>
        <v>10.5</v>
      </c>
      <c r="I546" s="20">
        <f>VLOOKUP(A546,Metrik!$C$2:$Y$959,9,0)</f>
        <v>1.9</v>
      </c>
      <c r="J546" s="20">
        <f>VLOOKUP(A546,Metrik!$C$2:$Y$959,10,0)</f>
        <v>18.2</v>
      </c>
      <c r="K546" s="20">
        <f>VLOOKUP(A546,Metrik!$C$2:$Y$959,11,0)</f>
        <v>13.8</v>
      </c>
      <c r="L546" s="20">
        <f>VLOOKUP(A546,Metrik!$C$2:$Y$959,12,0)</f>
        <v>0.32</v>
      </c>
      <c r="M546" s="20">
        <f>VLOOKUP(A546,Metrik!$C$2:$Y$959,19,0)</f>
        <v>33.5</v>
      </c>
      <c r="N546" s="21"/>
      <c r="O546" s="21"/>
      <c r="P546" s="21"/>
      <c r="Q546" s="21"/>
      <c r="R546" s="21"/>
      <c r="S546" s="21"/>
      <c r="T546" s="21"/>
      <c r="U546" s="22">
        <f>IFERROR(__xludf.DUMMYFUNCTION("IFERROR(GOOGLEFINANCE(A546,""closeyest""),"""")"),3260.0)</f>
        <v>3260</v>
      </c>
      <c r="V546" s="23">
        <f>IFERROR(__xludf.DUMMYFUNCTION("IFERROR(GOOGLEFINANCE(A546,""changepct""),"""")"),1.23)</f>
        <v>1.23</v>
      </c>
      <c r="W546" s="22">
        <f>IFERROR(__xludf.DUMMYFUNCTION("IFERROR(GOOGLEFINANCE(A546,""priceopen""),"""")"),3340.0)</f>
        <v>3340</v>
      </c>
      <c r="X546" s="22">
        <f>IFERROR(__xludf.DUMMYFUNCTION("IFERROR(GOOGLEFINANCE(A546,""high""),"""")"),3340.0)</f>
        <v>3340</v>
      </c>
      <c r="Y546" s="22">
        <f>IFERROR(__xludf.DUMMYFUNCTION("IFERROR(GOOGLEFINANCE(A546,""low""),"""")"),3240.0)</f>
        <v>3240</v>
      </c>
      <c r="Z546" s="22">
        <f>IFERROR(__xludf.DUMMYFUNCTION("IFERROR(GOOGLEFINANCE(A546,""volume""),"""")"),4628500.0)</f>
        <v>4628500</v>
      </c>
      <c r="AA546" s="24" t="str">
        <f>VLOOKUP(A546,Metrik!$C$2:$Y$959,5,0)</f>
        <v>Agricultural Products</v>
      </c>
      <c r="AB546" s="24" t="str">
        <f>VLOOKUP(A546,Metrik!$C$2:$Y$959,3,0)</f>
        <v>Consumer Non-Cyclicals</v>
      </c>
    </row>
    <row r="547">
      <c r="A547" s="14" t="s">
        <v>300</v>
      </c>
      <c r="B547" s="14" t="str">
        <f t="array" ref="B547">VLOOKUP(A547,{Metrik!$C$2:$C$998,Metrik!$B$2:$B$998},2,0)</f>
        <v>Charoen Pokphand Indonesia Tbk</v>
      </c>
      <c r="C547" s="15">
        <f>IFERROR(__xludf.DUMMYFUNCTION("GOOGLEFINANCE(""IDX:""&amp;A547,""price"")"),3300.0)</f>
        <v>3300</v>
      </c>
      <c r="D547" s="16" t="str">
        <f>IFERROR(__xludf.DUMMYFUNCTION("IF(A547="""","""",
SPARKLINE(
INDEX(
GOOGLEFINANCE(""IDX:""&amp;A547,""close"",TODAY()-365,TODAY()),
,2
),
{""linewidth"",1}
))
"),"#N/A")</f>
        <v>#N/A</v>
      </c>
      <c r="E547" s="14" t="s">
        <v>38</v>
      </c>
      <c r="F547" s="25">
        <v>46356.0</v>
      </c>
      <c r="G547" s="18">
        <f t="shared" si="4"/>
        <v>13</v>
      </c>
      <c r="H547" s="19">
        <f>VLOOKUP(A547,Metrik!$C$2:$Y$959,8,0)</f>
        <v>10.5</v>
      </c>
      <c r="I547" s="20">
        <f>VLOOKUP(A547,Metrik!$C$2:$Y$959,9,0)</f>
        <v>1.9</v>
      </c>
      <c r="J547" s="20">
        <f>VLOOKUP(A547,Metrik!$C$2:$Y$959,10,0)</f>
        <v>18.2</v>
      </c>
      <c r="K547" s="20">
        <f>VLOOKUP(A547,Metrik!$C$2:$Y$959,11,0)</f>
        <v>13.8</v>
      </c>
      <c r="L547" s="20">
        <f>VLOOKUP(A547,Metrik!$C$2:$Y$959,12,0)</f>
        <v>0.32</v>
      </c>
      <c r="M547" s="20">
        <f>VLOOKUP(A547,Metrik!$C$2:$Y$959,19,0)</f>
        <v>33.5</v>
      </c>
      <c r="N547" s="21"/>
      <c r="O547" s="21"/>
      <c r="P547" s="21"/>
      <c r="Q547" s="21"/>
      <c r="R547" s="21"/>
      <c r="S547" s="21"/>
      <c r="T547" s="21"/>
      <c r="U547" s="22">
        <f>IFERROR(__xludf.DUMMYFUNCTION("IFERROR(GOOGLEFINANCE(A547,""closeyest""),"""")"),3260.0)</f>
        <v>3260</v>
      </c>
      <c r="V547" s="23">
        <f>IFERROR(__xludf.DUMMYFUNCTION("IFERROR(GOOGLEFINANCE(A547,""changepct""),"""")"),1.23)</f>
        <v>1.23</v>
      </c>
      <c r="W547" s="22">
        <f>IFERROR(__xludf.DUMMYFUNCTION("IFERROR(GOOGLEFINANCE(A547,""priceopen""),"""")"),3340.0)</f>
        <v>3340</v>
      </c>
      <c r="X547" s="22">
        <f>IFERROR(__xludf.DUMMYFUNCTION("IFERROR(GOOGLEFINANCE(A547,""high""),"""")"),3340.0)</f>
        <v>3340</v>
      </c>
      <c r="Y547" s="22">
        <f>IFERROR(__xludf.DUMMYFUNCTION("IFERROR(GOOGLEFINANCE(A547,""low""),"""")"),3240.0)</f>
        <v>3240</v>
      </c>
      <c r="Z547" s="22">
        <f>IFERROR(__xludf.DUMMYFUNCTION("IFERROR(GOOGLEFINANCE(A547,""volume""),"""")"),4628500.0)</f>
        <v>4628500</v>
      </c>
      <c r="AA547" s="24" t="str">
        <f>VLOOKUP(A547,Metrik!$C$2:$Y$959,5,0)</f>
        <v>Agricultural Products</v>
      </c>
      <c r="AB547" s="24" t="str">
        <f>VLOOKUP(A547,Metrik!$C$2:$Y$959,3,0)</f>
        <v>Consumer Non-Cyclicals</v>
      </c>
    </row>
    <row r="548">
      <c r="A548" s="14" t="s">
        <v>300</v>
      </c>
      <c r="B548" s="14" t="str">
        <f t="array" ref="B548">VLOOKUP(A548,{Metrik!$C$2:$C$998,Metrik!$B$2:$B$998},2,0)</f>
        <v>Charoen Pokphand Indonesia Tbk</v>
      </c>
      <c r="C548" s="15">
        <f>IFERROR(__xludf.DUMMYFUNCTION("GOOGLEFINANCE(""IDX:""&amp;A548,""price"")"),3300.0)</f>
        <v>3300</v>
      </c>
      <c r="D548" s="16" t="str">
        <f>IFERROR(__xludf.DUMMYFUNCTION("IF(A548="""","""",
SPARKLINE(
INDEX(
GOOGLEFINANCE(""IDX:""&amp;A548,""close"",TODAY()-365,TODAY()),
,2
),
{""linewidth"",1}
))
"),"#N/A")</f>
        <v>#N/A</v>
      </c>
      <c r="E548" s="14" t="s">
        <v>39</v>
      </c>
      <c r="F548" s="25">
        <v>46356.0</v>
      </c>
      <c r="G548" s="18">
        <f t="shared" si="4"/>
        <v>13</v>
      </c>
      <c r="H548" s="19">
        <f>VLOOKUP(A548,Metrik!$C$2:$Y$959,8,0)</f>
        <v>10.5</v>
      </c>
      <c r="I548" s="20">
        <f>VLOOKUP(A548,Metrik!$C$2:$Y$959,9,0)</f>
        <v>1.9</v>
      </c>
      <c r="J548" s="20">
        <f>VLOOKUP(A548,Metrik!$C$2:$Y$959,10,0)</f>
        <v>18.2</v>
      </c>
      <c r="K548" s="20">
        <f>VLOOKUP(A548,Metrik!$C$2:$Y$959,11,0)</f>
        <v>13.8</v>
      </c>
      <c r="L548" s="20">
        <f>VLOOKUP(A548,Metrik!$C$2:$Y$959,12,0)</f>
        <v>0.32</v>
      </c>
      <c r="M548" s="20">
        <f>VLOOKUP(A548,Metrik!$C$2:$Y$959,19,0)</f>
        <v>33.5</v>
      </c>
      <c r="N548" s="21"/>
      <c r="O548" s="21"/>
      <c r="P548" s="21"/>
      <c r="Q548" s="21"/>
      <c r="R548" s="21"/>
      <c r="S548" s="21"/>
      <c r="T548" s="21"/>
      <c r="U548" s="22">
        <f>IFERROR(__xludf.DUMMYFUNCTION("IFERROR(GOOGLEFINANCE(A548,""closeyest""),"""")"),3260.0)</f>
        <v>3260</v>
      </c>
      <c r="V548" s="23">
        <f>IFERROR(__xludf.DUMMYFUNCTION("IFERROR(GOOGLEFINANCE(A548,""changepct""),"""")"),1.23)</f>
        <v>1.23</v>
      </c>
      <c r="W548" s="22">
        <f>IFERROR(__xludf.DUMMYFUNCTION("IFERROR(GOOGLEFINANCE(A548,""priceopen""),"""")"),3340.0)</f>
        <v>3340</v>
      </c>
      <c r="X548" s="22">
        <f>IFERROR(__xludf.DUMMYFUNCTION("IFERROR(GOOGLEFINANCE(A548,""high""),"""")"),3340.0)</f>
        <v>3340</v>
      </c>
      <c r="Y548" s="22">
        <f>IFERROR(__xludf.DUMMYFUNCTION("IFERROR(GOOGLEFINANCE(A548,""low""),"""")"),3240.0)</f>
        <v>3240</v>
      </c>
      <c r="Z548" s="22">
        <f>IFERROR(__xludf.DUMMYFUNCTION("IFERROR(GOOGLEFINANCE(A548,""volume""),"""")"),4628500.0)</f>
        <v>4628500</v>
      </c>
      <c r="AA548" s="24" t="str">
        <f>VLOOKUP(A548,Metrik!$C$2:$Y$959,5,0)</f>
        <v>Agricultural Products</v>
      </c>
      <c r="AB548" s="24" t="str">
        <f>VLOOKUP(A548,Metrik!$C$2:$Y$959,3,0)</f>
        <v>Consumer Non-Cyclicals</v>
      </c>
    </row>
    <row r="549">
      <c r="A549" s="14" t="s">
        <v>301</v>
      </c>
      <c r="B549" s="14" t="str">
        <f t="array" ref="B549">VLOOKUP(A549,{Metrik!$C$2:$C$998,Metrik!$B$2:$B$998},2,0)</f>
        <v>Capri Nusa Satu Properti Tbk.</v>
      </c>
      <c r="C549" s="15">
        <f>IFERROR(__xludf.DUMMYFUNCTION("GOOGLEFINANCE(""IDX:""&amp;A549,""price"")"),50.0)</f>
        <v>50</v>
      </c>
      <c r="D549" s="16" t="str">
        <f>IFERROR(__xludf.DUMMYFUNCTION("IF(A549="""","""",
SPARKLINE(
INDEX(
GOOGLEFINANCE(""IDX:""&amp;A549,""close"",TODAY()-365,TODAY()),
,2
),
{""linewidth"",1}
))
"),"#N/A")</f>
        <v>#N/A</v>
      </c>
      <c r="E549" s="26"/>
      <c r="F549" s="26"/>
      <c r="G549" s="24">
        <f t="shared" si="4"/>
        <v>0</v>
      </c>
      <c r="H549" s="19">
        <f>VLOOKUP(A549,Metrik!$C$2:$Y$959,8,0)</f>
        <v>0</v>
      </c>
      <c r="I549" s="20">
        <f>VLOOKUP(A549,Metrik!$C$2:$Y$959,9,0)</f>
        <v>0.66</v>
      </c>
      <c r="J549" s="20">
        <f>VLOOKUP(A549,Metrik!$C$2:$Y$959,10,0)</f>
        <v>-2</v>
      </c>
      <c r="K549" s="20">
        <f>VLOOKUP(A549,Metrik!$C$2:$Y$959,11,0)</f>
        <v>-1.8</v>
      </c>
      <c r="L549" s="20">
        <f>VLOOKUP(A549,Metrik!$C$2:$Y$959,12,0)</f>
        <v>0.14</v>
      </c>
      <c r="M549" s="20">
        <f>VLOOKUP(A549,Metrik!$C$2:$Y$959,19,0)</f>
        <v>-130</v>
      </c>
      <c r="N549" s="21"/>
      <c r="O549" s="21"/>
      <c r="P549" s="21"/>
      <c r="Q549" s="21"/>
      <c r="R549" s="21"/>
      <c r="S549" s="21"/>
      <c r="T549" s="21"/>
      <c r="U549" s="22">
        <f>IFERROR(__xludf.DUMMYFUNCTION("IFERROR(GOOGLEFINANCE(A549,""closeyest""),"""")"),20.85)</f>
        <v>20.85</v>
      </c>
      <c r="V549" s="23">
        <f>IFERROR(__xludf.DUMMYFUNCTION("IFERROR(GOOGLEFINANCE(A549,""changepct""),"""")"),2.3)</f>
        <v>2.3</v>
      </c>
      <c r="W549" s="22">
        <f>IFERROR(__xludf.DUMMYFUNCTION("IFERROR(GOOGLEFINANCE(A549,""priceopen""),"""")"),21.0)</f>
        <v>21</v>
      </c>
      <c r="X549" s="22">
        <f>IFERROR(__xludf.DUMMYFUNCTION("IFERROR(GOOGLEFINANCE(A549,""high""),"""")"),21.94)</f>
        <v>21.94</v>
      </c>
      <c r="Y549" s="22">
        <f>IFERROR(__xludf.DUMMYFUNCTION("IFERROR(GOOGLEFINANCE(A549,""low""),"""")"),20.99)</f>
        <v>20.99</v>
      </c>
      <c r="Z549" s="22">
        <f>IFERROR(__xludf.DUMMYFUNCTION("IFERROR(GOOGLEFINANCE(A549,""volume""),"""")"),3207411.0)</f>
        <v>3207411</v>
      </c>
      <c r="AA549" s="24" t="str">
        <f>VLOOKUP(A549,Metrik!$C$2:$Y$959,5,0)</f>
        <v>Real Estate Management &amp; Development</v>
      </c>
      <c r="AB549" s="24" t="str">
        <f>VLOOKUP(A549,Metrik!$C$2:$Y$959,3,0)</f>
        <v>Properties &amp; Real Estate</v>
      </c>
    </row>
    <row r="550">
      <c r="A550" s="14" t="s">
        <v>302</v>
      </c>
      <c r="B550" s="14" t="str">
        <f t="array" ref="B550">VLOOKUP(A550,{Metrik!$C$2:$C$998,Metrik!$B$2:$B$998},2,0)</f>
        <v>Central Proteina Prima Tbk.</v>
      </c>
      <c r="C550" s="15">
        <f>IFERROR(__xludf.DUMMYFUNCTION("GOOGLEFINANCE(""IDX:""&amp;A550,""price"")"),50.0)</f>
        <v>50</v>
      </c>
      <c r="D550" s="16" t="str">
        <f>IFERROR(__xludf.DUMMYFUNCTION("IF(A550="""","""",
SPARKLINE(
INDEX(
GOOGLEFINANCE(""IDX:""&amp;A550,""close"",TODAY()-365,TODAY()),
,2
),
{""linewidth"",1}
))
"),"#N/A")</f>
        <v>#N/A</v>
      </c>
      <c r="E550" s="26"/>
      <c r="F550" s="26"/>
      <c r="G550" s="24">
        <f t="shared" si="4"/>
        <v>0</v>
      </c>
      <c r="H550" s="19">
        <f>VLOOKUP(A550,Metrik!$C$2:$Y$959,8,0)</f>
        <v>8.2</v>
      </c>
      <c r="I550" s="20">
        <f>VLOOKUP(A550,Metrik!$C$2:$Y$959,9,0)</f>
        <v>0.77</v>
      </c>
      <c r="J550" s="20">
        <f>VLOOKUP(A550,Metrik!$C$2:$Y$959,10,0)</f>
        <v>9.4</v>
      </c>
      <c r="K550" s="20">
        <f>VLOOKUP(A550,Metrik!$C$2:$Y$959,11,0)</f>
        <v>5.1</v>
      </c>
      <c r="L550" s="20">
        <f>VLOOKUP(A550,Metrik!$C$2:$Y$959,12,0)</f>
        <v>0.82</v>
      </c>
      <c r="M550" s="20">
        <f>VLOOKUP(A550,Metrik!$C$2:$Y$959,19,0)</f>
        <v>14.7</v>
      </c>
      <c r="N550" s="21"/>
      <c r="O550" s="21"/>
      <c r="P550" s="21"/>
      <c r="Q550" s="21"/>
      <c r="R550" s="21"/>
      <c r="S550" s="21"/>
      <c r="T550" s="21"/>
      <c r="U550" s="22">
        <f>IFERROR(__xludf.DUMMYFUNCTION("IFERROR(GOOGLEFINANCE(A550,""closeyest""),"""")"),27.99)</f>
        <v>27.99</v>
      </c>
      <c r="V550" s="23">
        <f>IFERROR(__xludf.DUMMYFUNCTION("IFERROR(GOOGLEFINANCE(A550,""changepct""),"""")"),0.11)</f>
        <v>0.11</v>
      </c>
      <c r="W550" s="22">
        <f>IFERROR(__xludf.DUMMYFUNCTION("IFERROR(GOOGLEFINANCE(A550,""priceopen""),"""")"),28.02)</f>
        <v>28.02</v>
      </c>
      <c r="X550" s="22">
        <f>IFERROR(__xludf.DUMMYFUNCTION("IFERROR(GOOGLEFINANCE(A550,""high""),"""")"),28.02)</f>
        <v>28.02</v>
      </c>
      <c r="Y550" s="22">
        <f>IFERROR(__xludf.DUMMYFUNCTION("IFERROR(GOOGLEFINANCE(A550,""low""),"""")"),28.02)</f>
        <v>28.02</v>
      </c>
      <c r="Z550" s="22">
        <f>IFERROR(__xludf.DUMMYFUNCTION("IFERROR(GOOGLEFINANCE(A550,""volume""),"""")"),200.0)</f>
        <v>200</v>
      </c>
      <c r="AA550" s="24" t="str">
        <f>VLOOKUP(A550,Metrik!$C$2:$Y$959,5,0)</f>
        <v>Agricultural Products</v>
      </c>
      <c r="AB550" s="24" t="str">
        <f>VLOOKUP(A550,Metrik!$C$2:$Y$959,3,0)</f>
        <v>Consumer Non-Cyclicals</v>
      </c>
    </row>
    <row r="551">
      <c r="A551" s="14" t="s">
        <v>303</v>
      </c>
      <c r="B551" s="14" t="str">
        <f t="array" ref="B551">VLOOKUP(A551,{Metrik!$C$2:$C$998,Metrik!$B$2:$B$998},2,0)</f>
        <v>Toba Surimi Industries Tbk.</v>
      </c>
      <c r="C551" s="15">
        <f>IFERROR(__xludf.DUMMYFUNCTION("GOOGLEFINANCE(""IDX:""&amp;A551,""price"")"),212.0)</f>
        <v>212</v>
      </c>
      <c r="D551" s="16" t="str">
        <f>IFERROR(__xludf.DUMMYFUNCTION("IF(A551="""","""",
SPARKLINE(
INDEX(
GOOGLEFINANCE(""IDX:""&amp;A551,""close"",TODAY()-365,TODAY()),
,2
),
{""linewidth"",1}
))
"),"#N/A")</f>
        <v>#N/A</v>
      </c>
      <c r="E551" s="26"/>
      <c r="F551" s="26"/>
      <c r="G551" s="24">
        <f t="shared" si="4"/>
        <v>0</v>
      </c>
      <c r="H551" s="19">
        <f>VLOOKUP(A551,Metrik!$C$2:$Y$959,8,0)</f>
        <v>13.8</v>
      </c>
      <c r="I551" s="20">
        <f>VLOOKUP(A551,Metrik!$C$2:$Y$959,9,0)</f>
        <v>1.8</v>
      </c>
      <c r="J551" s="20">
        <f>VLOOKUP(A551,Metrik!$C$2:$Y$959,10,0)</f>
        <v>12.9</v>
      </c>
      <c r="K551" s="20">
        <f>VLOOKUP(A551,Metrik!$C$2:$Y$959,11,0)</f>
        <v>8.9</v>
      </c>
      <c r="L551" s="20">
        <f>VLOOKUP(A551,Metrik!$C$2:$Y$959,12,0)</f>
        <v>0.45</v>
      </c>
      <c r="M551" s="20">
        <f>VLOOKUP(A551,Metrik!$C$2:$Y$959,19,0)</f>
        <v>6.5</v>
      </c>
      <c r="N551" s="21"/>
      <c r="O551" s="21"/>
      <c r="P551" s="21"/>
      <c r="Q551" s="21"/>
      <c r="R551" s="21"/>
      <c r="S551" s="21"/>
      <c r="T551" s="21"/>
      <c r="U551" s="22">
        <f>IFERROR(__xludf.DUMMYFUNCTION("IFERROR(GOOGLEFINANCE(A551,""closeyest""),"""")"),210.0)</f>
        <v>210</v>
      </c>
      <c r="V551" s="23">
        <f>IFERROR(__xludf.DUMMYFUNCTION("IFERROR(GOOGLEFINANCE(A551,""changepct""),"""")"),0.95)</f>
        <v>0.95</v>
      </c>
      <c r="W551" s="22">
        <f>IFERROR(__xludf.DUMMYFUNCTION("IFERROR(GOOGLEFINANCE(A551,""priceopen""),"""")"),212.0)</f>
        <v>212</v>
      </c>
      <c r="X551" s="22">
        <f>IFERROR(__xludf.DUMMYFUNCTION("IFERROR(GOOGLEFINANCE(A551,""high""),"""")"),212.0)</f>
        <v>212</v>
      </c>
      <c r="Y551" s="22">
        <f>IFERROR(__xludf.DUMMYFUNCTION("IFERROR(GOOGLEFINANCE(A551,""low""),"""")"),210.0)</f>
        <v>210</v>
      </c>
      <c r="Z551" s="22">
        <f>IFERROR(__xludf.DUMMYFUNCTION("IFERROR(GOOGLEFINANCE(A551,""volume""),"""")"),143100.0)</f>
        <v>143100</v>
      </c>
      <c r="AA551" s="24" t="str">
        <f>VLOOKUP(A551,Metrik!$C$2:$Y$959,5,0)</f>
        <v>Agricultural Products</v>
      </c>
      <c r="AB551" s="24" t="str">
        <f>VLOOKUP(A551,Metrik!$C$2:$Y$959,3,0)</f>
        <v>Consumer Non-Cyclicals</v>
      </c>
    </row>
    <row r="552">
      <c r="A552" s="14" t="s">
        <v>304</v>
      </c>
      <c r="B552" s="14" t="str">
        <f t="array" ref="B552">VLOOKUP(A552,{Metrik!$C$2:$C$998,Metrik!$B$2:$B$998},2,0)</f>
        <v>PT Carsurin Tbk</v>
      </c>
      <c r="C552" s="15">
        <f>IFERROR(__xludf.DUMMYFUNCTION("GOOGLEFINANCE(""IDX:""&amp;A552,""price"")"),100.0)</f>
        <v>100</v>
      </c>
      <c r="D552" s="16" t="str">
        <f>IFERROR(__xludf.DUMMYFUNCTION("IF(A552="""","""",
SPARKLINE(
INDEX(
GOOGLEFINANCE(""IDX:""&amp;A552,""close"",TODAY()-365,TODAY()),
,2
),
{""linewidth"",1}
))
"),"#N/A")</f>
        <v>#N/A</v>
      </c>
      <c r="E552" s="26"/>
      <c r="F552" s="26"/>
      <c r="G552" s="24">
        <f t="shared" si="4"/>
        <v>0</v>
      </c>
      <c r="H552" s="19">
        <f>VLOOKUP(A552,Metrik!$C$2:$Y$959,8,0)</f>
        <v>49.4</v>
      </c>
      <c r="I552" s="20">
        <f>VLOOKUP(A552,Metrik!$C$2:$Y$959,9,0)</f>
        <v>1.3</v>
      </c>
      <c r="J552" s="20">
        <f>VLOOKUP(A552,Metrik!$C$2:$Y$959,10,0)</f>
        <v>2.6</v>
      </c>
      <c r="K552" s="20">
        <f>VLOOKUP(A552,Metrik!$C$2:$Y$959,11,0)</f>
        <v>1.6</v>
      </c>
      <c r="L552" s="20">
        <f>VLOOKUP(A552,Metrik!$C$2:$Y$959,12,0)</f>
        <v>0.66</v>
      </c>
      <c r="M552" s="20">
        <f>VLOOKUP(A552,Metrik!$C$2:$Y$959,19,0)</f>
        <v>5.3</v>
      </c>
      <c r="N552" s="21"/>
      <c r="O552" s="21"/>
      <c r="P552" s="21"/>
      <c r="Q552" s="21"/>
      <c r="R552" s="21"/>
      <c r="S552" s="21"/>
      <c r="T552" s="21"/>
      <c r="U552" s="22" t="str">
        <f>IFERROR(__xludf.DUMMYFUNCTION("IFERROR(GOOGLEFINANCE(A552,""closeyest""),"""")"),"")</f>
        <v/>
      </c>
      <c r="V552" s="23" t="str">
        <f>IFERROR(__xludf.DUMMYFUNCTION("IFERROR(GOOGLEFINANCE(A552,""changepct""),"""")"),"")</f>
        <v/>
      </c>
      <c r="W552" s="22">
        <f>IFERROR(__xludf.DUMMYFUNCTION("IFERROR(GOOGLEFINANCE(A552,""priceopen""),"""")"),97.0)</f>
        <v>97</v>
      </c>
      <c r="X552" s="22">
        <f>IFERROR(__xludf.DUMMYFUNCTION("IFERROR(GOOGLEFINANCE(A552,""high""),"""")"),100.0)</f>
        <v>100</v>
      </c>
      <c r="Y552" s="22">
        <f>IFERROR(__xludf.DUMMYFUNCTION("IFERROR(GOOGLEFINANCE(A552,""low""),"""")"),95.0)</f>
        <v>95</v>
      </c>
      <c r="Z552" s="22">
        <f>IFERROR(__xludf.DUMMYFUNCTION("IFERROR(GOOGLEFINANCE(A552,""volume""),"""")"),394400.0)</f>
        <v>394400</v>
      </c>
      <c r="AA552" s="24" t="str">
        <f>VLOOKUP(A552,Metrik!$C$2:$Y$959,5,0)</f>
        <v>Professional Services</v>
      </c>
      <c r="AB552" s="24" t="str">
        <f>VLOOKUP(A552,Metrik!$C$2:$Y$959,3,0)</f>
        <v>Industrials</v>
      </c>
    </row>
    <row r="553">
      <c r="A553" s="14" t="s">
        <v>305</v>
      </c>
      <c r="B553" s="14" t="str">
        <f t="array" ref="B553">VLOOKUP(A553,{Metrik!$C$2:$C$998,Metrik!$B$2:$B$998},2,0)</f>
        <v>Catur Sentosa Adiprana Tbk.</v>
      </c>
      <c r="C553" s="15">
        <f>IFERROR(__xludf.DUMMYFUNCTION("GOOGLEFINANCE(""IDX:""&amp;A553,""price"")"),276.0)</f>
        <v>276</v>
      </c>
      <c r="D553" s="16" t="str">
        <f>IFERROR(__xludf.DUMMYFUNCTION("IF(A553="""","""",
SPARKLINE(
INDEX(
GOOGLEFINANCE(""IDX:""&amp;A553,""close"",TODAY()-365,TODAY()),
,2
),
{""linewidth"",1}
))
"),"#N/A")</f>
        <v>#N/A</v>
      </c>
      <c r="E553" s="26"/>
      <c r="F553" s="26"/>
      <c r="G553" s="24">
        <f t="shared" si="4"/>
        <v>0</v>
      </c>
      <c r="H553" s="19">
        <f>VLOOKUP(A553,Metrik!$C$2:$Y$959,8,0)</f>
        <v>11.8</v>
      </c>
      <c r="I553" s="20">
        <f>VLOOKUP(A553,Metrik!$C$2:$Y$959,9,0)</f>
        <v>0.4</v>
      </c>
      <c r="J553" s="20">
        <f>VLOOKUP(A553,Metrik!$C$2:$Y$959,10,0)</f>
        <v>3.4</v>
      </c>
      <c r="K553" s="20">
        <f>VLOOKUP(A553,Metrik!$C$2:$Y$959,11,0)</f>
        <v>1.1</v>
      </c>
      <c r="L553" s="20">
        <f>VLOOKUP(A553,Metrik!$C$2:$Y$959,12,0)</f>
        <v>2.2</v>
      </c>
      <c r="M553" s="20">
        <f>VLOOKUP(A553,Metrik!$C$2:$Y$959,19,0)</f>
        <v>3.1</v>
      </c>
      <c r="N553" s="21"/>
      <c r="O553" s="21"/>
      <c r="P553" s="21"/>
      <c r="Q553" s="21"/>
      <c r="R553" s="21"/>
      <c r="S553" s="21"/>
      <c r="T553" s="21"/>
      <c r="U553" s="22">
        <f>IFERROR(__xludf.DUMMYFUNCTION("IFERROR(GOOGLEFINANCE(A553,""closeyest""),"""")"),264.0)</f>
        <v>264</v>
      </c>
      <c r="V553" s="23">
        <f>IFERROR(__xludf.DUMMYFUNCTION("IFERROR(GOOGLEFINANCE(A553,""changepct""),"""")"),4.55)</f>
        <v>4.55</v>
      </c>
      <c r="W553" s="22">
        <f>IFERROR(__xludf.DUMMYFUNCTION("IFERROR(GOOGLEFINANCE(A553,""priceopen""),"""")"),276.0)</f>
        <v>276</v>
      </c>
      <c r="X553" s="22">
        <f>IFERROR(__xludf.DUMMYFUNCTION("IFERROR(GOOGLEFINANCE(A553,""high""),"""")"),276.0)</f>
        <v>276</v>
      </c>
      <c r="Y553" s="22">
        <f>IFERROR(__xludf.DUMMYFUNCTION("IFERROR(GOOGLEFINANCE(A553,""low""),"""")"),276.0)</f>
        <v>276</v>
      </c>
      <c r="Z553" s="22">
        <f>IFERROR(__xludf.DUMMYFUNCTION("IFERROR(GOOGLEFINANCE(A553,""volume""),"""")"),4300.0)</f>
        <v>4300</v>
      </c>
      <c r="AA553" s="24" t="str">
        <f>VLOOKUP(A553,Metrik!$C$2:$Y$959,5,0)</f>
        <v>Specialty Retail</v>
      </c>
      <c r="AB553" s="24" t="str">
        <f>VLOOKUP(A553,Metrik!$C$2:$Y$959,3,0)</f>
        <v>Consumer Cyclicals</v>
      </c>
    </row>
    <row r="554">
      <c r="A554" s="14" t="s">
        <v>306</v>
      </c>
      <c r="B554" s="14" t="str">
        <f t="array" ref="B554">VLOOKUP(A554,{Metrik!$C$2:$C$998,Metrik!$B$2:$B$998},2,0)</f>
        <v>Cahayasakti Investindo Sukses Tbk.</v>
      </c>
      <c r="C554" s="15">
        <f>IFERROR(__xludf.DUMMYFUNCTION("GOOGLEFINANCE(""IDX:""&amp;A554,""price"")"),140.0)</f>
        <v>140</v>
      </c>
      <c r="D554" s="16" t="str">
        <f>IFERROR(__xludf.DUMMYFUNCTION("IF(A554="""","""",
SPARKLINE(
INDEX(
GOOGLEFINANCE(""IDX:""&amp;A554,""close"",TODAY()-365,TODAY()),
,2
),
{""linewidth"",1}
))
"),"#N/A")</f>
        <v>#N/A</v>
      </c>
      <c r="E554" s="26"/>
      <c r="F554" s="26"/>
      <c r="G554" s="24">
        <f t="shared" si="4"/>
        <v>0</v>
      </c>
      <c r="H554" s="19">
        <f>VLOOKUP(A554,Metrik!$C$2:$Y$959,8,0)</f>
        <v>9.7</v>
      </c>
      <c r="I554" s="20">
        <f>VLOOKUP(A554,Metrik!$C$2:$Y$959,9,0)</f>
        <v>0.47</v>
      </c>
      <c r="J554" s="20">
        <f>VLOOKUP(A554,Metrik!$C$2:$Y$959,10,0)</f>
        <v>4.9</v>
      </c>
      <c r="K554" s="20">
        <f>VLOOKUP(A554,Metrik!$C$2:$Y$959,11,0)</f>
        <v>3.8</v>
      </c>
      <c r="L554" s="20">
        <f>VLOOKUP(A554,Metrik!$C$2:$Y$959,12,0)</f>
        <v>0.29</v>
      </c>
      <c r="M554" s="20">
        <f>VLOOKUP(A554,Metrik!$C$2:$Y$959,19,0)</f>
        <v>73.2</v>
      </c>
      <c r="N554" s="21"/>
      <c r="O554" s="21"/>
      <c r="P554" s="21"/>
      <c r="Q554" s="21"/>
      <c r="R554" s="21"/>
      <c r="S554" s="21"/>
      <c r="T554" s="21"/>
      <c r="U554" s="22">
        <f>IFERROR(__xludf.DUMMYFUNCTION("IFERROR(GOOGLEFINANCE(A554,""closeyest""),"""")"),140.0)</f>
        <v>140</v>
      </c>
      <c r="V554" s="23">
        <f>IFERROR(__xludf.DUMMYFUNCTION("IFERROR(GOOGLEFINANCE(A554,""changepct""),"""")"),0.0)</f>
        <v>0</v>
      </c>
      <c r="W554" s="22" t="str">
        <f>IFERROR(__xludf.DUMMYFUNCTION("IFERROR(GOOGLEFINANCE(A554,""priceopen""),"""")"),"")</f>
        <v/>
      </c>
      <c r="X554" s="22">
        <f>IFERROR(__xludf.DUMMYFUNCTION("IFERROR(GOOGLEFINANCE(A554,""high""),"""")"),146.0)</f>
        <v>146</v>
      </c>
      <c r="Y554" s="22">
        <f>IFERROR(__xludf.DUMMYFUNCTION("IFERROR(GOOGLEFINANCE(A554,""low""),"""")"),135.0)</f>
        <v>135</v>
      </c>
      <c r="Z554" s="22">
        <f>IFERROR(__xludf.DUMMYFUNCTION("IFERROR(GOOGLEFINANCE(A554,""volume""),"""")"),1274500.0)</f>
        <v>1274500</v>
      </c>
      <c r="AA554" s="24" t="str">
        <f>VLOOKUP(A554,Metrik!$C$2:$Y$959,5,0)</f>
        <v>Real Estate Management &amp; Development</v>
      </c>
      <c r="AB554" s="24" t="str">
        <f>VLOOKUP(A554,Metrik!$C$2:$Y$959,3,0)</f>
        <v>Properties &amp; Real Estate</v>
      </c>
    </row>
    <row r="555">
      <c r="A555" s="14" t="s">
        <v>307</v>
      </c>
      <c r="B555" s="14" t="str">
        <f t="array" ref="B555">VLOOKUP(A555,{Metrik!$C$2:$C$998,Metrik!$B$2:$B$998},2,0)</f>
        <v>Cipta Selera Murni Tbk.</v>
      </c>
      <c r="C555" s="15">
        <f>IFERROR(__xludf.DUMMYFUNCTION("GOOGLEFINANCE(""IDX:""&amp;A555,""price"")"),73.0)</f>
        <v>73</v>
      </c>
      <c r="D555" s="16" t="str">
        <f>IFERROR(__xludf.DUMMYFUNCTION("IF(A555="""","""",
SPARKLINE(
INDEX(
GOOGLEFINANCE(""IDX:""&amp;A555,""close"",TODAY()-365,TODAY()),
,2
),
{""linewidth"",1}
))
"),"#N/A")</f>
        <v>#N/A</v>
      </c>
      <c r="E555" s="26"/>
      <c r="F555" s="26"/>
      <c r="G555" s="24">
        <f t="shared" si="4"/>
        <v>0</v>
      </c>
      <c r="H555" s="19">
        <f>VLOOKUP(A555,Metrik!$C$2:$Y$959,8,0)</f>
        <v>-75.9</v>
      </c>
      <c r="I555" s="20">
        <f>VLOOKUP(A555,Metrik!$C$2:$Y$959,9,0)</f>
        <v>17.2</v>
      </c>
      <c r="J555" s="20">
        <f>VLOOKUP(A555,Metrik!$C$2:$Y$959,10,0)</f>
        <v>-22.7</v>
      </c>
      <c r="K555" s="20">
        <f>VLOOKUP(A555,Metrik!$C$2:$Y$959,11,0)</f>
        <v>-2.2</v>
      </c>
      <c r="L555" s="20">
        <f>VLOOKUP(A555,Metrik!$C$2:$Y$959,12,0)</f>
        <v>9.5</v>
      </c>
      <c r="M555" s="20">
        <f>VLOOKUP(A555,Metrik!$C$2:$Y$959,19,0)</f>
        <v>-150</v>
      </c>
      <c r="N555" s="21"/>
      <c r="O555" s="21"/>
      <c r="P555" s="21"/>
      <c r="Q555" s="21"/>
      <c r="R555" s="21"/>
      <c r="S555" s="21"/>
      <c r="T555" s="21"/>
      <c r="U555" s="22">
        <f>IFERROR(__xludf.DUMMYFUNCTION("IFERROR(GOOGLEFINANCE(A555,""closeyest""),"""")"),70.0)</f>
        <v>70</v>
      </c>
      <c r="V555" s="23">
        <f>IFERROR(__xludf.DUMMYFUNCTION("IFERROR(GOOGLEFINANCE(A555,""changepct""),"""")"),4.29)</f>
        <v>4.29</v>
      </c>
      <c r="W555" s="22">
        <f>IFERROR(__xludf.DUMMYFUNCTION("IFERROR(GOOGLEFINANCE(A555,""priceopen""),"""")"),69.0)</f>
        <v>69</v>
      </c>
      <c r="X555" s="22">
        <f>IFERROR(__xludf.DUMMYFUNCTION("IFERROR(GOOGLEFINANCE(A555,""high""),"""")"),73.0)</f>
        <v>73</v>
      </c>
      <c r="Y555" s="22">
        <f>IFERROR(__xludf.DUMMYFUNCTION("IFERROR(GOOGLEFINANCE(A555,""low""),"""")"),69.0)</f>
        <v>69</v>
      </c>
      <c r="Z555" s="22">
        <f>IFERROR(__xludf.DUMMYFUNCTION("IFERROR(GOOGLEFINANCE(A555,""volume""),"""")"),9536700.0)</f>
        <v>9536700</v>
      </c>
      <c r="AA555" s="24" t="str">
        <f>VLOOKUP(A555,Metrik!$C$2:$Y$959,5,0)</f>
        <v>Tourism &amp; Recreation</v>
      </c>
      <c r="AB555" s="24" t="str">
        <f>VLOOKUP(A555,Metrik!$C$2:$Y$959,3,0)</f>
        <v>Consumer Cyclicals</v>
      </c>
    </row>
    <row r="556">
      <c r="A556" s="14" t="s">
        <v>308</v>
      </c>
      <c r="B556" s="14" t="str">
        <f t="array" ref="B556">VLOOKUP(A556,{Metrik!$C$2:$C$998,Metrik!$B$2:$B$998},2,0)</f>
        <v>Cisadane Sawit Raya Tbk.</v>
      </c>
      <c r="C556" s="15">
        <f>IFERROR(__xludf.DUMMYFUNCTION("GOOGLEFINANCE(""IDX:""&amp;A556,""price"")"),785.0)</f>
        <v>785</v>
      </c>
      <c r="D556" s="16" t="str">
        <f>IFERROR(__xludf.DUMMYFUNCTION("IF(A556="""","""",
SPARKLINE(
INDEX(
GOOGLEFINANCE(""IDX:""&amp;A556,""close"",TODAY()-365,TODAY()),
,2
),
{""linewidth"",1}
))
"),"#N/A")</f>
        <v>#N/A</v>
      </c>
      <c r="E556" s="26"/>
      <c r="F556" s="26"/>
      <c r="G556" s="18">
        <f t="shared" si="4"/>
        <v>0</v>
      </c>
      <c r="H556" s="19">
        <f>VLOOKUP(A556,Metrik!$C$2:$Y$959,8,0)</f>
        <v>6.3</v>
      </c>
      <c r="I556" s="20">
        <f>VLOOKUP(A556,Metrik!$C$2:$Y$959,9,0)</f>
        <v>1.1</v>
      </c>
      <c r="J556" s="20">
        <f>VLOOKUP(A556,Metrik!$C$2:$Y$959,10,0)</f>
        <v>17.6</v>
      </c>
      <c r="K556" s="20">
        <f>VLOOKUP(A556,Metrik!$C$2:$Y$959,11,0)</f>
        <v>10.4</v>
      </c>
      <c r="L556" s="20">
        <f>VLOOKUP(A556,Metrik!$C$2:$Y$959,12,0)</f>
        <v>0.7</v>
      </c>
      <c r="M556" s="20">
        <f>VLOOKUP(A556,Metrik!$C$2:$Y$959,19,0)</f>
        <v>50.5</v>
      </c>
      <c r="N556" s="21"/>
      <c r="O556" s="21"/>
      <c r="P556" s="21"/>
      <c r="Q556" s="21"/>
      <c r="R556" s="21"/>
      <c r="S556" s="21"/>
      <c r="T556" s="21"/>
      <c r="U556" s="22">
        <f>IFERROR(__xludf.DUMMYFUNCTION("IFERROR(GOOGLEFINANCE(A556,""closeyest""),"""")"),710.0)</f>
        <v>710</v>
      </c>
      <c r="V556" s="23">
        <f>IFERROR(__xludf.DUMMYFUNCTION("IFERROR(GOOGLEFINANCE(A556,""changepct""),"""")"),10.56)</f>
        <v>10.56</v>
      </c>
      <c r="W556" s="22">
        <f>IFERROR(__xludf.DUMMYFUNCTION("IFERROR(GOOGLEFINANCE(A556,""priceopen""),"""")"),710.0)</f>
        <v>710</v>
      </c>
      <c r="X556" s="22">
        <f>IFERROR(__xludf.DUMMYFUNCTION("IFERROR(GOOGLEFINANCE(A556,""high""),"""")"),790.0)</f>
        <v>790</v>
      </c>
      <c r="Y556" s="22">
        <f>IFERROR(__xludf.DUMMYFUNCTION("IFERROR(GOOGLEFINANCE(A556,""low""),"""")"),700.0)</f>
        <v>700</v>
      </c>
      <c r="Z556" s="22">
        <f>IFERROR(__xludf.DUMMYFUNCTION("IFERROR(GOOGLEFINANCE(A556,""volume""),"""")"),484700.0)</f>
        <v>484700</v>
      </c>
      <c r="AA556" s="24" t="str">
        <f>VLOOKUP(A556,Metrik!$C$2:$Y$959,5,0)</f>
        <v>Agricultural Products</v>
      </c>
      <c r="AB556" s="24" t="str">
        <f>VLOOKUP(A556,Metrik!$C$2:$Y$959,3,0)</f>
        <v>Consumer Non-Cyclicals</v>
      </c>
    </row>
    <row r="557">
      <c r="A557" s="14" t="s">
        <v>309</v>
      </c>
      <c r="B557" s="14" t="str">
        <f t="array" ref="B557">VLOOKUP(A557,{Metrik!$C$2:$C$998,Metrik!$B$2:$B$998},2,0)</f>
        <v>Citra Tubindo Tbk.</v>
      </c>
      <c r="C557" s="15">
        <f>IFERROR(__xludf.DUMMYFUNCTION("GOOGLEFINANCE(""IDX:""&amp;A557,""price"")"),5675.0)</f>
        <v>5675</v>
      </c>
      <c r="D557" s="16" t="str">
        <f>IFERROR(__xludf.DUMMYFUNCTION("IF(A557="""","""",
SPARKLINE(
INDEX(
GOOGLEFINANCE(""IDX:""&amp;A557,""close"",TODAY()-365,TODAY()),
,2
),
{""linewidth"",1}
))
"),"#N/A")</f>
        <v>#N/A</v>
      </c>
      <c r="E557" s="26"/>
      <c r="F557" s="26"/>
      <c r="G557" s="18">
        <f t="shared" si="4"/>
        <v>0</v>
      </c>
      <c r="H557" s="19">
        <f>VLOOKUP(A557,Metrik!$C$2:$Y$959,8,0)</f>
        <v>49</v>
      </c>
      <c r="I557" s="20">
        <f>VLOOKUP(A557,Metrik!$C$2:$Y$959,9,0)</f>
        <v>2.2</v>
      </c>
      <c r="J557" s="20">
        <f>VLOOKUP(A557,Metrik!$C$2:$Y$959,10,0)</f>
        <v>4.6</v>
      </c>
      <c r="K557" s="20">
        <f>VLOOKUP(A557,Metrik!$C$2:$Y$959,11,0)</f>
        <v>3.8</v>
      </c>
      <c r="L557" s="20">
        <f>VLOOKUP(A557,Metrik!$C$2:$Y$959,12,0)</f>
        <v>0.2</v>
      </c>
      <c r="M557" s="20">
        <f>VLOOKUP(A557,Metrik!$C$2:$Y$959,19,0)</f>
        <v>29.3</v>
      </c>
      <c r="N557" s="21"/>
      <c r="O557" s="21"/>
      <c r="P557" s="21"/>
      <c r="Q557" s="21"/>
      <c r="R557" s="21"/>
      <c r="S557" s="21"/>
      <c r="T557" s="21"/>
      <c r="U557" s="22">
        <f>IFERROR(__xludf.DUMMYFUNCTION("IFERROR(GOOGLEFINANCE(A557,""closeyest""),"""")"),5700.0)</f>
        <v>5700</v>
      </c>
      <c r="V557" s="23">
        <f>IFERROR(__xludf.DUMMYFUNCTION("IFERROR(GOOGLEFINANCE(A557,""changepct""),"""")"),-0.44)</f>
        <v>-0.44</v>
      </c>
      <c r="W557" s="22">
        <f>IFERROR(__xludf.DUMMYFUNCTION("IFERROR(GOOGLEFINANCE(A557,""priceopen""),"""")"),5575.0)</f>
        <v>5575</v>
      </c>
      <c r="X557" s="22">
        <f>IFERROR(__xludf.DUMMYFUNCTION("IFERROR(GOOGLEFINANCE(A557,""high""),"""")"),5700.0)</f>
        <v>5700</v>
      </c>
      <c r="Y557" s="22">
        <f>IFERROR(__xludf.DUMMYFUNCTION("IFERROR(GOOGLEFINANCE(A557,""low""),"""")"),5525.0)</f>
        <v>5525</v>
      </c>
      <c r="Z557" s="22">
        <f>IFERROR(__xludf.DUMMYFUNCTION("IFERROR(GOOGLEFINANCE(A557,""volume""),"""")"),16300.0)</f>
        <v>16300</v>
      </c>
      <c r="AA557" s="24" t="str">
        <f>VLOOKUP(A557,Metrik!$C$2:$Y$959,5,0)</f>
        <v>Metals &amp; Minerals</v>
      </c>
      <c r="AB557" s="24" t="str">
        <f>VLOOKUP(A557,Metrik!$C$2:$Y$959,3,0)</f>
        <v>Basic Materials</v>
      </c>
    </row>
    <row r="558">
      <c r="A558" s="14" t="s">
        <v>310</v>
      </c>
      <c r="B558" s="14" t="str">
        <f t="array" ref="B558">VLOOKUP(A558,{Metrik!$C$2:$C$998,Metrik!$B$2:$B$998},2,0)</f>
        <v>Ciputra Development Tbk.</v>
      </c>
      <c r="C558" s="15">
        <f>IFERROR(__xludf.DUMMYFUNCTION("GOOGLEFINANCE(""IDX:""&amp;A558,""price"")"),600.0)</f>
        <v>600</v>
      </c>
      <c r="D558" s="16" t="str">
        <f>IFERROR(__xludf.DUMMYFUNCTION("IF(A558="""","""",
SPARKLINE(
INDEX(
GOOGLEFINANCE(""IDX:""&amp;A558,""close"",TODAY()-365,TODAY()),
,2
),
{""linewidth"",1}
))
"),"#N/A")</f>
        <v>#N/A</v>
      </c>
      <c r="E558" s="14" t="s">
        <v>47</v>
      </c>
      <c r="F558" s="25">
        <v>46356.0</v>
      </c>
      <c r="G558" s="24">
        <f t="shared" si="4"/>
        <v>13</v>
      </c>
      <c r="H558" s="19">
        <f>VLOOKUP(A558,Metrik!$C$2:$Y$959,8,0)</f>
        <v>4.7</v>
      </c>
      <c r="I558" s="20">
        <f>VLOOKUP(A558,Metrik!$C$2:$Y$959,9,0)</f>
        <v>0.44</v>
      </c>
      <c r="J558" s="20">
        <f>VLOOKUP(A558,Metrik!$C$2:$Y$959,10,0)</f>
        <v>9.2</v>
      </c>
      <c r="K558" s="20">
        <f>VLOOKUP(A558,Metrik!$C$2:$Y$959,11,0)</f>
        <v>5.5</v>
      </c>
      <c r="L558" s="20">
        <f>VLOOKUP(A558,Metrik!$C$2:$Y$959,12,0)</f>
        <v>0.67</v>
      </c>
      <c r="M558" s="20">
        <f>VLOOKUP(A558,Metrik!$C$2:$Y$959,19,0)</f>
        <v>98.6</v>
      </c>
      <c r="N558" s="21"/>
      <c r="O558" s="21"/>
      <c r="P558" s="21"/>
      <c r="Q558" s="21"/>
      <c r="R558" s="21"/>
      <c r="S558" s="21"/>
      <c r="T558" s="21"/>
      <c r="U558" s="22">
        <f>IFERROR(__xludf.DUMMYFUNCTION("IFERROR(GOOGLEFINANCE(A558,""closeyest""),"""")"),640.0)</f>
        <v>640</v>
      </c>
      <c r="V558" s="23">
        <f>IFERROR(__xludf.DUMMYFUNCTION("IFERROR(GOOGLEFINANCE(A558,""changepct""),"""")"),-100.0)</f>
        <v>-100</v>
      </c>
      <c r="W558" s="22" t="str">
        <f>IFERROR(__xludf.DUMMYFUNCTION("IFERROR(GOOGLEFINANCE(A558,""priceopen""),"""")"),"")</f>
        <v/>
      </c>
      <c r="X558" s="22" t="str">
        <f>IFERROR(__xludf.DUMMYFUNCTION("IFERROR(GOOGLEFINANCE(A558,""high""),"""")"),"")</f>
        <v/>
      </c>
      <c r="Y558" s="22" t="str">
        <f>IFERROR(__xludf.DUMMYFUNCTION("IFERROR(GOOGLEFINANCE(A558,""low""),"""")"),"")</f>
        <v/>
      </c>
      <c r="Z558" s="22">
        <f>IFERROR(__xludf.DUMMYFUNCTION("IFERROR(GOOGLEFINANCE(A558,""volume""),"""")"),0.0)</f>
        <v>0</v>
      </c>
      <c r="AA558" s="24" t="str">
        <f>VLOOKUP(A558,Metrik!$C$2:$Y$959,5,0)</f>
        <v>Real Estate Management &amp; Development</v>
      </c>
      <c r="AB558" s="24" t="str">
        <f>VLOOKUP(A558,Metrik!$C$2:$Y$959,3,0)</f>
        <v>Properties &amp; Real Estate</v>
      </c>
    </row>
    <row r="559">
      <c r="A559" s="14" t="s">
        <v>310</v>
      </c>
      <c r="B559" s="14" t="str">
        <f t="array" ref="B559">VLOOKUP(A559,{Metrik!$C$2:$C$998,Metrik!$B$2:$B$998},2,0)</f>
        <v>Ciputra Development Tbk.</v>
      </c>
      <c r="C559" s="15">
        <f>IFERROR(__xludf.DUMMYFUNCTION("GOOGLEFINANCE(""IDX:""&amp;A559,""price"")"),600.0)</f>
        <v>600</v>
      </c>
      <c r="D559" s="16" t="str">
        <f>IFERROR(__xludf.DUMMYFUNCTION("IF(A559="""","""",
SPARKLINE(
INDEX(
GOOGLEFINANCE(""IDX:""&amp;A559,""close"",TODAY()-365,TODAY()),
,2
),
{""linewidth"",1}
))
"),"#N/A")</f>
        <v>#N/A</v>
      </c>
      <c r="E559" s="14" t="s">
        <v>55</v>
      </c>
      <c r="F559" s="25">
        <v>46356.0</v>
      </c>
      <c r="G559" s="24">
        <f t="shared" si="4"/>
        <v>13</v>
      </c>
      <c r="H559" s="19">
        <f>VLOOKUP(A559,Metrik!$C$2:$Y$959,8,0)</f>
        <v>4.7</v>
      </c>
      <c r="I559" s="20">
        <f>VLOOKUP(A559,Metrik!$C$2:$Y$959,9,0)</f>
        <v>0.44</v>
      </c>
      <c r="J559" s="20">
        <f>VLOOKUP(A559,Metrik!$C$2:$Y$959,10,0)</f>
        <v>9.2</v>
      </c>
      <c r="K559" s="20">
        <f>VLOOKUP(A559,Metrik!$C$2:$Y$959,11,0)</f>
        <v>5.5</v>
      </c>
      <c r="L559" s="20">
        <f>VLOOKUP(A559,Metrik!$C$2:$Y$959,12,0)</f>
        <v>0.67</v>
      </c>
      <c r="M559" s="20">
        <f>VLOOKUP(A559,Metrik!$C$2:$Y$959,19,0)</f>
        <v>98.6</v>
      </c>
      <c r="N559" s="21"/>
      <c r="O559" s="21"/>
      <c r="P559" s="21"/>
      <c r="Q559" s="21"/>
      <c r="R559" s="21"/>
      <c r="S559" s="21"/>
      <c r="T559" s="21"/>
      <c r="U559" s="22">
        <f>IFERROR(__xludf.DUMMYFUNCTION("IFERROR(GOOGLEFINANCE(A559,""closeyest""),"""")"),640.0)</f>
        <v>640</v>
      </c>
      <c r="V559" s="23">
        <f>IFERROR(__xludf.DUMMYFUNCTION("IFERROR(GOOGLEFINANCE(A559,""changepct""),"""")"),-100.0)</f>
        <v>-100</v>
      </c>
      <c r="W559" s="22" t="str">
        <f>IFERROR(__xludf.DUMMYFUNCTION("IFERROR(GOOGLEFINANCE(A559,""priceopen""),"""")"),"")</f>
        <v/>
      </c>
      <c r="X559" s="22" t="str">
        <f>IFERROR(__xludf.DUMMYFUNCTION("IFERROR(GOOGLEFINANCE(A559,""high""),"""")"),"")</f>
        <v/>
      </c>
      <c r="Y559" s="22" t="str">
        <f>IFERROR(__xludf.DUMMYFUNCTION("IFERROR(GOOGLEFINANCE(A559,""low""),"""")"),"")</f>
        <v/>
      </c>
      <c r="Z559" s="22">
        <f>IFERROR(__xludf.DUMMYFUNCTION("IFERROR(GOOGLEFINANCE(A559,""volume""),"""")"),0.0)</f>
        <v>0</v>
      </c>
      <c r="AA559" s="24" t="str">
        <f>VLOOKUP(A559,Metrik!$C$2:$Y$959,5,0)</f>
        <v>Real Estate Management &amp; Development</v>
      </c>
      <c r="AB559" s="24" t="str">
        <f>VLOOKUP(A559,Metrik!$C$2:$Y$959,3,0)</f>
        <v>Properties &amp; Real Estate</v>
      </c>
    </row>
    <row r="560">
      <c r="A560" s="14" t="s">
        <v>310</v>
      </c>
      <c r="B560" s="14" t="str">
        <f t="array" ref="B560">VLOOKUP(A560,{Metrik!$C$2:$C$998,Metrik!$B$2:$B$998},2,0)</f>
        <v>Ciputra Development Tbk.</v>
      </c>
      <c r="C560" s="15">
        <f>IFERROR(__xludf.DUMMYFUNCTION("GOOGLEFINANCE(""IDX:""&amp;A560,""price"")"),600.0)</f>
        <v>600</v>
      </c>
      <c r="D560" s="16" t="str">
        <f>IFERROR(__xludf.DUMMYFUNCTION("IF(A560="""","""",
SPARKLINE(
INDEX(
GOOGLEFINANCE(""IDX:""&amp;A560,""close"",TODAY()-365,TODAY()),
,2
),
{""linewidth"",1}
))
"),"#N/A")</f>
        <v>#N/A</v>
      </c>
      <c r="E560" s="14" t="s">
        <v>68</v>
      </c>
      <c r="F560" s="14" t="s">
        <v>34</v>
      </c>
      <c r="G560" s="24">
        <f t="shared" si="4"/>
        <v>13</v>
      </c>
      <c r="H560" s="19">
        <f>VLOOKUP(A560,Metrik!$C$2:$Y$959,8,0)</f>
        <v>4.7</v>
      </c>
      <c r="I560" s="20">
        <f>VLOOKUP(A560,Metrik!$C$2:$Y$959,9,0)</f>
        <v>0.44</v>
      </c>
      <c r="J560" s="20">
        <f>VLOOKUP(A560,Metrik!$C$2:$Y$959,10,0)</f>
        <v>9.2</v>
      </c>
      <c r="K560" s="20">
        <f>VLOOKUP(A560,Metrik!$C$2:$Y$959,11,0)</f>
        <v>5.5</v>
      </c>
      <c r="L560" s="20">
        <f>VLOOKUP(A560,Metrik!$C$2:$Y$959,12,0)</f>
        <v>0.67</v>
      </c>
      <c r="M560" s="20">
        <f>VLOOKUP(A560,Metrik!$C$2:$Y$959,19,0)</f>
        <v>98.6</v>
      </c>
      <c r="N560" s="21"/>
      <c r="O560" s="21"/>
      <c r="P560" s="21"/>
      <c r="Q560" s="21"/>
      <c r="R560" s="21"/>
      <c r="S560" s="21"/>
      <c r="T560" s="21"/>
      <c r="U560" s="22">
        <f>IFERROR(__xludf.DUMMYFUNCTION("IFERROR(GOOGLEFINANCE(A560,""closeyest""),"""")"),640.0)</f>
        <v>640</v>
      </c>
      <c r="V560" s="23">
        <f>IFERROR(__xludf.DUMMYFUNCTION("IFERROR(GOOGLEFINANCE(A560,""changepct""),"""")"),-100.0)</f>
        <v>-100</v>
      </c>
      <c r="W560" s="22" t="str">
        <f>IFERROR(__xludf.DUMMYFUNCTION("IFERROR(GOOGLEFINANCE(A560,""priceopen""),"""")"),"")</f>
        <v/>
      </c>
      <c r="X560" s="22" t="str">
        <f>IFERROR(__xludf.DUMMYFUNCTION("IFERROR(GOOGLEFINANCE(A560,""high""),"""")"),"")</f>
        <v/>
      </c>
      <c r="Y560" s="22" t="str">
        <f>IFERROR(__xludf.DUMMYFUNCTION("IFERROR(GOOGLEFINANCE(A560,""low""),"""")"),"")</f>
        <v/>
      </c>
      <c r="Z560" s="22">
        <f>IFERROR(__xludf.DUMMYFUNCTION("IFERROR(GOOGLEFINANCE(A560,""volume""),"""")"),0.0)</f>
        <v>0</v>
      </c>
      <c r="AA560" s="24" t="str">
        <f>VLOOKUP(A560,Metrik!$C$2:$Y$959,5,0)</f>
        <v>Real Estate Management &amp; Development</v>
      </c>
      <c r="AB560" s="24" t="str">
        <f>VLOOKUP(A560,Metrik!$C$2:$Y$959,3,0)</f>
        <v>Properties &amp; Real Estate</v>
      </c>
    </row>
    <row r="561">
      <c r="A561" s="14" t="s">
        <v>310</v>
      </c>
      <c r="B561" s="14" t="str">
        <f t="array" ref="B561">VLOOKUP(A561,{Metrik!$C$2:$C$998,Metrik!$B$2:$B$998},2,0)</f>
        <v>Ciputra Development Tbk.</v>
      </c>
      <c r="C561" s="15">
        <f>IFERROR(__xludf.DUMMYFUNCTION("GOOGLEFINANCE(""IDX:""&amp;A561,""price"")"),600.0)</f>
        <v>600</v>
      </c>
      <c r="D561" s="16" t="str">
        <f>IFERROR(__xludf.DUMMYFUNCTION("IF(A561="""","""",
SPARKLINE(
INDEX(
GOOGLEFINANCE(""IDX:""&amp;A561,""close"",TODAY()-365,TODAY()),
,2
),
{""linewidth"",1}
))
"),"#N/A")</f>
        <v>#N/A</v>
      </c>
      <c r="E561" s="14" t="s">
        <v>54</v>
      </c>
      <c r="F561" s="14" t="s">
        <v>34</v>
      </c>
      <c r="G561" s="24">
        <f t="shared" si="4"/>
        <v>13</v>
      </c>
      <c r="H561" s="19">
        <f>VLOOKUP(A561,Metrik!$C$2:$Y$959,8,0)</f>
        <v>4.7</v>
      </c>
      <c r="I561" s="20">
        <f>VLOOKUP(A561,Metrik!$C$2:$Y$959,9,0)</f>
        <v>0.44</v>
      </c>
      <c r="J561" s="20">
        <f>VLOOKUP(A561,Metrik!$C$2:$Y$959,10,0)</f>
        <v>9.2</v>
      </c>
      <c r="K561" s="20">
        <f>VLOOKUP(A561,Metrik!$C$2:$Y$959,11,0)</f>
        <v>5.5</v>
      </c>
      <c r="L561" s="20">
        <f>VLOOKUP(A561,Metrik!$C$2:$Y$959,12,0)</f>
        <v>0.67</v>
      </c>
      <c r="M561" s="20">
        <f>VLOOKUP(A561,Metrik!$C$2:$Y$959,19,0)</f>
        <v>98.6</v>
      </c>
      <c r="N561" s="21"/>
      <c r="O561" s="21"/>
      <c r="P561" s="21"/>
      <c r="Q561" s="21"/>
      <c r="R561" s="21"/>
      <c r="S561" s="21"/>
      <c r="T561" s="21"/>
      <c r="U561" s="22">
        <f>IFERROR(__xludf.DUMMYFUNCTION("IFERROR(GOOGLEFINANCE(A561,""closeyest""),"""")"),640.0)</f>
        <v>640</v>
      </c>
      <c r="V561" s="23">
        <f>IFERROR(__xludf.DUMMYFUNCTION("IFERROR(GOOGLEFINANCE(A561,""changepct""),"""")"),-100.0)</f>
        <v>-100</v>
      </c>
      <c r="W561" s="22" t="str">
        <f>IFERROR(__xludf.DUMMYFUNCTION("IFERROR(GOOGLEFINANCE(A561,""priceopen""),"""")"),"")</f>
        <v/>
      </c>
      <c r="X561" s="22" t="str">
        <f>IFERROR(__xludf.DUMMYFUNCTION("IFERROR(GOOGLEFINANCE(A561,""high""),"""")"),"")</f>
        <v/>
      </c>
      <c r="Y561" s="22" t="str">
        <f>IFERROR(__xludf.DUMMYFUNCTION("IFERROR(GOOGLEFINANCE(A561,""low""),"""")"),"")</f>
        <v/>
      </c>
      <c r="Z561" s="22">
        <f>IFERROR(__xludf.DUMMYFUNCTION("IFERROR(GOOGLEFINANCE(A561,""volume""),"""")"),0.0)</f>
        <v>0</v>
      </c>
      <c r="AA561" s="24" t="str">
        <f>VLOOKUP(A561,Metrik!$C$2:$Y$959,5,0)</f>
        <v>Real Estate Management &amp; Development</v>
      </c>
      <c r="AB561" s="24" t="str">
        <f>VLOOKUP(A561,Metrik!$C$2:$Y$959,3,0)</f>
        <v>Properties &amp; Real Estate</v>
      </c>
    </row>
    <row r="562">
      <c r="A562" s="14" t="s">
        <v>310</v>
      </c>
      <c r="B562" s="14" t="str">
        <f t="array" ref="B562">VLOOKUP(A562,{Metrik!$C$2:$C$998,Metrik!$B$2:$B$998},2,0)</f>
        <v>Ciputra Development Tbk.</v>
      </c>
      <c r="C562" s="15">
        <f>IFERROR(__xludf.DUMMYFUNCTION("GOOGLEFINANCE(""IDX:""&amp;A562,""price"")"),600.0)</f>
        <v>600</v>
      </c>
      <c r="D562" s="16" t="str">
        <f>IFERROR(__xludf.DUMMYFUNCTION("IF(A562="""","""",
SPARKLINE(
INDEX(
GOOGLEFINANCE(""IDX:""&amp;A562,""close"",TODAY()-365,TODAY()),
,2
),
{""linewidth"",1}
))
"),"#N/A")</f>
        <v>#N/A</v>
      </c>
      <c r="E562" s="14" t="s">
        <v>28</v>
      </c>
      <c r="F562" s="17" t="s">
        <v>29</v>
      </c>
      <c r="G562" s="24">
        <f t="shared" si="4"/>
        <v>13</v>
      </c>
      <c r="H562" s="19">
        <f>VLOOKUP(A562,Metrik!$C$2:$Y$959,8,0)</f>
        <v>4.7</v>
      </c>
      <c r="I562" s="20">
        <f>VLOOKUP(A562,Metrik!$C$2:$Y$959,9,0)</f>
        <v>0.44</v>
      </c>
      <c r="J562" s="20">
        <f>VLOOKUP(A562,Metrik!$C$2:$Y$959,10,0)</f>
        <v>9.2</v>
      </c>
      <c r="K562" s="20">
        <f>VLOOKUP(A562,Metrik!$C$2:$Y$959,11,0)</f>
        <v>5.5</v>
      </c>
      <c r="L562" s="20">
        <f>VLOOKUP(A562,Metrik!$C$2:$Y$959,12,0)</f>
        <v>0.67</v>
      </c>
      <c r="M562" s="20">
        <f>VLOOKUP(A562,Metrik!$C$2:$Y$959,19,0)</f>
        <v>98.6</v>
      </c>
      <c r="N562" s="21"/>
      <c r="O562" s="21"/>
      <c r="P562" s="21"/>
      <c r="Q562" s="21"/>
      <c r="R562" s="21"/>
      <c r="S562" s="21"/>
      <c r="T562" s="21"/>
      <c r="U562" s="22">
        <f>IFERROR(__xludf.DUMMYFUNCTION("IFERROR(GOOGLEFINANCE(A562,""closeyest""),"""")"),640.0)</f>
        <v>640</v>
      </c>
      <c r="V562" s="23">
        <f>IFERROR(__xludf.DUMMYFUNCTION("IFERROR(GOOGLEFINANCE(A562,""changepct""),"""")"),-100.0)</f>
        <v>-100</v>
      </c>
      <c r="W562" s="22" t="str">
        <f>IFERROR(__xludf.DUMMYFUNCTION("IFERROR(GOOGLEFINANCE(A562,""priceopen""),"""")"),"")</f>
        <v/>
      </c>
      <c r="X562" s="22" t="str">
        <f>IFERROR(__xludf.DUMMYFUNCTION("IFERROR(GOOGLEFINANCE(A562,""high""),"""")"),"")</f>
        <v/>
      </c>
      <c r="Y562" s="22" t="str">
        <f>IFERROR(__xludf.DUMMYFUNCTION("IFERROR(GOOGLEFINANCE(A562,""low""),"""")"),"")</f>
        <v/>
      </c>
      <c r="Z562" s="22">
        <f>IFERROR(__xludf.DUMMYFUNCTION("IFERROR(GOOGLEFINANCE(A562,""volume""),"""")"),0.0)</f>
        <v>0</v>
      </c>
      <c r="AA562" s="24" t="str">
        <f>VLOOKUP(A562,Metrik!$C$2:$Y$959,5,0)</f>
        <v>Real Estate Management &amp; Development</v>
      </c>
      <c r="AB562" s="24" t="str">
        <f>VLOOKUP(A562,Metrik!$C$2:$Y$959,3,0)</f>
        <v>Properties &amp; Real Estate</v>
      </c>
    </row>
    <row r="563">
      <c r="A563" s="14" t="s">
        <v>310</v>
      </c>
      <c r="B563" s="14" t="str">
        <f t="array" ref="B563">VLOOKUP(A563,{Metrik!$C$2:$C$998,Metrik!$B$2:$B$998},2,0)</f>
        <v>Ciputra Development Tbk.</v>
      </c>
      <c r="C563" s="15">
        <f>IFERROR(__xludf.DUMMYFUNCTION("GOOGLEFINANCE(""IDX:""&amp;A563,""price"")"),600.0)</f>
        <v>600</v>
      </c>
      <c r="D563" s="16" t="str">
        <f>IFERROR(__xludf.DUMMYFUNCTION("IF(A563="""","""",
SPARKLINE(
INDEX(
GOOGLEFINANCE(""IDX:""&amp;A563,""close"",TODAY()-365,TODAY()),
,2
),
{""linewidth"",1}
))
"),"#N/A")</f>
        <v>#N/A</v>
      </c>
      <c r="E563" s="14" t="s">
        <v>102</v>
      </c>
      <c r="F563" s="27" t="s">
        <v>53</v>
      </c>
      <c r="G563" s="24">
        <f t="shared" si="4"/>
        <v>13</v>
      </c>
      <c r="H563" s="19">
        <f>VLOOKUP(A563,Metrik!$C$2:$Y$959,8,0)</f>
        <v>4.7</v>
      </c>
      <c r="I563" s="20">
        <f>VLOOKUP(A563,Metrik!$C$2:$Y$959,9,0)</f>
        <v>0.44</v>
      </c>
      <c r="J563" s="20">
        <f>VLOOKUP(A563,Metrik!$C$2:$Y$959,10,0)</f>
        <v>9.2</v>
      </c>
      <c r="K563" s="20">
        <f>VLOOKUP(A563,Metrik!$C$2:$Y$959,11,0)</f>
        <v>5.5</v>
      </c>
      <c r="L563" s="20">
        <f>VLOOKUP(A563,Metrik!$C$2:$Y$959,12,0)</f>
        <v>0.67</v>
      </c>
      <c r="M563" s="20">
        <f>VLOOKUP(A563,Metrik!$C$2:$Y$959,19,0)</f>
        <v>98.6</v>
      </c>
      <c r="N563" s="21"/>
      <c r="O563" s="21"/>
      <c r="P563" s="21"/>
      <c r="Q563" s="21"/>
      <c r="R563" s="21"/>
      <c r="S563" s="21"/>
      <c r="T563" s="21"/>
      <c r="U563" s="22">
        <f>IFERROR(__xludf.DUMMYFUNCTION("IFERROR(GOOGLEFINANCE(A563,""closeyest""),"""")"),640.0)</f>
        <v>640</v>
      </c>
      <c r="V563" s="23">
        <f>IFERROR(__xludf.DUMMYFUNCTION("IFERROR(GOOGLEFINANCE(A563,""changepct""),"""")"),-100.0)</f>
        <v>-100</v>
      </c>
      <c r="W563" s="22" t="str">
        <f>IFERROR(__xludf.DUMMYFUNCTION("IFERROR(GOOGLEFINANCE(A563,""priceopen""),"""")"),"")</f>
        <v/>
      </c>
      <c r="X563" s="22" t="str">
        <f>IFERROR(__xludf.DUMMYFUNCTION("IFERROR(GOOGLEFINANCE(A563,""high""),"""")"),"")</f>
        <v/>
      </c>
      <c r="Y563" s="22" t="str">
        <f>IFERROR(__xludf.DUMMYFUNCTION("IFERROR(GOOGLEFINANCE(A563,""low""),"""")"),"")</f>
        <v/>
      </c>
      <c r="Z563" s="22">
        <f>IFERROR(__xludf.DUMMYFUNCTION("IFERROR(GOOGLEFINANCE(A563,""volume""),"""")"),0.0)</f>
        <v>0</v>
      </c>
      <c r="AA563" s="24" t="str">
        <f>VLOOKUP(A563,Metrik!$C$2:$Y$959,5,0)</f>
        <v>Real Estate Management &amp; Development</v>
      </c>
      <c r="AB563" s="24" t="str">
        <f>VLOOKUP(A563,Metrik!$C$2:$Y$959,3,0)</f>
        <v>Properties &amp; Real Estate</v>
      </c>
    </row>
    <row r="564">
      <c r="A564" s="14" t="s">
        <v>310</v>
      </c>
      <c r="B564" s="14" t="str">
        <f t="array" ref="B564">VLOOKUP(A564,{Metrik!$C$2:$C$998,Metrik!$B$2:$B$998},2,0)</f>
        <v>Ciputra Development Tbk.</v>
      </c>
      <c r="C564" s="15">
        <f>IFERROR(__xludf.DUMMYFUNCTION("GOOGLEFINANCE(""IDX:""&amp;A564,""price"")"),600.0)</f>
        <v>600</v>
      </c>
      <c r="D564" s="16" t="str">
        <f>IFERROR(__xludf.DUMMYFUNCTION("IF(A564="""","""",
SPARKLINE(
INDEX(
GOOGLEFINANCE(""IDX:""&amp;A564,""close"",TODAY()-365,TODAY()),
,2
),
{""linewidth"",1}
))
"),"#N/A")</f>
        <v>#N/A</v>
      </c>
      <c r="E564" s="14" t="s">
        <v>50</v>
      </c>
      <c r="F564" s="17" t="s">
        <v>51</v>
      </c>
      <c r="G564" s="24">
        <f t="shared" si="4"/>
        <v>13</v>
      </c>
      <c r="H564" s="19">
        <f>VLOOKUP(A564,Metrik!$C$2:$Y$959,8,0)</f>
        <v>4.7</v>
      </c>
      <c r="I564" s="20">
        <f>VLOOKUP(A564,Metrik!$C$2:$Y$959,9,0)</f>
        <v>0.44</v>
      </c>
      <c r="J564" s="20">
        <f>VLOOKUP(A564,Metrik!$C$2:$Y$959,10,0)</f>
        <v>9.2</v>
      </c>
      <c r="K564" s="20">
        <f>VLOOKUP(A564,Metrik!$C$2:$Y$959,11,0)</f>
        <v>5.5</v>
      </c>
      <c r="L564" s="20">
        <f>VLOOKUP(A564,Metrik!$C$2:$Y$959,12,0)</f>
        <v>0.67</v>
      </c>
      <c r="M564" s="20">
        <f>VLOOKUP(A564,Metrik!$C$2:$Y$959,19,0)</f>
        <v>98.6</v>
      </c>
      <c r="N564" s="21"/>
      <c r="O564" s="21"/>
      <c r="P564" s="21"/>
      <c r="Q564" s="21"/>
      <c r="R564" s="21"/>
      <c r="S564" s="21"/>
      <c r="T564" s="21"/>
      <c r="U564" s="22">
        <f>IFERROR(__xludf.DUMMYFUNCTION("IFERROR(GOOGLEFINANCE(A564,""closeyest""),"""")"),640.0)</f>
        <v>640</v>
      </c>
      <c r="V564" s="23">
        <f>IFERROR(__xludf.DUMMYFUNCTION("IFERROR(GOOGLEFINANCE(A564,""changepct""),"""")"),-100.0)</f>
        <v>-100</v>
      </c>
      <c r="W564" s="22" t="str">
        <f>IFERROR(__xludf.DUMMYFUNCTION("IFERROR(GOOGLEFINANCE(A564,""priceopen""),"""")"),"")</f>
        <v/>
      </c>
      <c r="X564" s="22" t="str">
        <f>IFERROR(__xludf.DUMMYFUNCTION("IFERROR(GOOGLEFINANCE(A564,""high""),"""")"),"")</f>
        <v/>
      </c>
      <c r="Y564" s="22" t="str">
        <f>IFERROR(__xludf.DUMMYFUNCTION("IFERROR(GOOGLEFINANCE(A564,""low""),"""")"),"")</f>
        <v/>
      </c>
      <c r="Z564" s="22">
        <f>IFERROR(__xludf.DUMMYFUNCTION("IFERROR(GOOGLEFINANCE(A564,""volume""),"""")"),0.0)</f>
        <v>0</v>
      </c>
      <c r="AA564" s="24" t="str">
        <f>VLOOKUP(A564,Metrik!$C$2:$Y$959,5,0)</f>
        <v>Real Estate Management &amp; Development</v>
      </c>
      <c r="AB564" s="24" t="str">
        <f>VLOOKUP(A564,Metrik!$C$2:$Y$959,3,0)</f>
        <v>Properties &amp; Real Estate</v>
      </c>
    </row>
    <row r="565">
      <c r="A565" s="14" t="s">
        <v>310</v>
      </c>
      <c r="B565" s="14" t="str">
        <f t="array" ref="B565">VLOOKUP(A565,{Metrik!$C$2:$C$998,Metrik!$B$2:$B$998},2,0)</f>
        <v>Ciputra Development Tbk.</v>
      </c>
      <c r="C565" s="15">
        <f>IFERROR(__xludf.DUMMYFUNCTION("GOOGLEFINANCE(""IDX:""&amp;A565,""price"")"),600.0)</f>
        <v>600</v>
      </c>
      <c r="D565" s="16" t="str">
        <f>IFERROR(__xludf.DUMMYFUNCTION("IF(A565="""","""",
SPARKLINE(
INDEX(
GOOGLEFINANCE(""IDX:""&amp;A565,""close"",TODAY()-365,TODAY()),
,2
),
{""linewidth"",1}
))
"),"#N/A")</f>
        <v>#N/A</v>
      </c>
      <c r="E565" s="14" t="s">
        <v>32</v>
      </c>
      <c r="F565" s="14" t="s">
        <v>29</v>
      </c>
      <c r="G565" s="24">
        <f t="shared" si="4"/>
        <v>13</v>
      </c>
      <c r="H565" s="19">
        <f>VLOOKUP(A565,Metrik!$C$2:$Y$959,8,0)</f>
        <v>4.7</v>
      </c>
      <c r="I565" s="20">
        <f>VLOOKUP(A565,Metrik!$C$2:$Y$959,9,0)</f>
        <v>0.44</v>
      </c>
      <c r="J565" s="20">
        <f>VLOOKUP(A565,Metrik!$C$2:$Y$959,10,0)</f>
        <v>9.2</v>
      </c>
      <c r="K565" s="20">
        <f>VLOOKUP(A565,Metrik!$C$2:$Y$959,11,0)</f>
        <v>5.5</v>
      </c>
      <c r="L565" s="20">
        <f>VLOOKUP(A565,Metrik!$C$2:$Y$959,12,0)</f>
        <v>0.67</v>
      </c>
      <c r="M565" s="20">
        <f>VLOOKUP(A565,Metrik!$C$2:$Y$959,19,0)</f>
        <v>98.6</v>
      </c>
      <c r="N565" s="21"/>
      <c r="O565" s="21"/>
      <c r="P565" s="21"/>
      <c r="Q565" s="21"/>
      <c r="R565" s="21"/>
      <c r="S565" s="21"/>
      <c r="T565" s="21"/>
      <c r="U565" s="22">
        <f>IFERROR(__xludf.DUMMYFUNCTION("IFERROR(GOOGLEFINANCE(A565,""closeyest""),"""")"),640.0)</f>
        <v>640</v>
      </c>
      <c r="V565" s="23">
        <f>IFERROR(__xludf.DUMMYFUNCTION("IFERROR(GOOGLEFINANCE(A565,""changepct""),"""")"),-100.0)</f>
        <v>-100</v>
      </c>
      <c r="W565" s="22" t="str">
        <f>IFERROR(__xludf.DUMMYFUNCTION("IFERROR(GOOGLEFINANCE(A565,""priceopen""),"""")"),"")</f>
        <v/>
      </c>
      <c r="X565" s="22" t="str">
        <f>IFERROR(__xludf.DUMMYFUNCTION("IFERROR(GOOGLEFINANCE(A565,""high""),"""")"),"")</f>
        <v/>
      </c>
      <c r="Y565" s="22" t="str">
        <f>IFERROR(__xludf.DUMMYFUNCTION("IFERROR(GOOGLEFINANCE(A565,""low""),"""")"),"")</f>
        <v/>
      </c>
      <c r="Z565" s="22">
        <f>IFERROR(__xludf.DUMMYFUNCTION("IFERROR(GOOGLEFINANCE(A565,""volume""),"""")"),0.0)</f>
        <v>0</v>
      </c>
      <c r="AA565" s="24" t="str">
        <f>VLOOKUP(A565,Metrik!$C$2:$Y$959,5,0)</f>
        <v>Real Estate Management &amp; Development</v>
      </c>
      <c r="AB565" s="24" t="str">
        <f>VLOOKUP(A565,Metrik!$C$2:$Y$959,3,0)</f>
        <v>Properties &amp; Real Estate</v>
      </c>
    </row>
    <row r="566">
      <c r="A566" s="14" t="s">
        <v>310</v>
      </c>
      <c r="B566" s="14" t="str">
        <f t="array" ref="B566">VLOOKUP(A566,{Metrik!$C$2:$C$998,Metrik!$B$2:$B$998},2,0)</f>
        <v>Ciputra Development Tbk.</v>
      </c>
      <c r="C566" s="15">
        <f>IFERROR(__xludf.DUMMYFUNCTION("GOOGLEFINANCE(""IDX:""&amp;A566,""price"")"),600.0)</f>
        <v>600</v>
      </c>
      <c r="D566" s="16" t="str">
        <f>IFERROR(__xludf.DUMMYFUNCTION("IF(A566="""","""",
SPARKLINE(
INDEX(
GOOGLEFINANCE(""IDX:""&amp;A566,""close"",TODAY()-365,TODAY()),
,2
),
{""linewidth"",1}
))
"),"#N/A")</f>
        <v>#N/A</v>
      </c>
      <c r="E566" s="14" t="s">
        <v>52</v>
      </c>
      <c r="F566" s="27" t="s">
        <v>53</v>
      </c>
      <c r="G566" s="24">
        <f t="shared" si="4"/>
        <v>13</v>
      </c>
      <c r="H566" s="19">
        <f>VLOOKUP(A566,Metrik!$C$2:$Y$959,8,0)</f>
        <v>4.7</v>
      </c>
      <c r="I566" s="20">
        <f>VLOOKUP(A566,Metrik!$C$2:$Y$959,9,0)</f>
        <v>0.44</v>
      </c>
      <c r="J566" s="20">
        <f>VLOOKUP(A566,Metrik!$C$2:$Y$959,10,0)</f>
        <v>9.2</v>
      </c>
      <c r="K566" s="20">
        <f>VLOOKUP(A566,Metrik!$C$2:$Y$959,11,0)</f>
        <v>5.5</v>
      </c>
      <c r="L566" s="20">
        <f>VLOOKUP(A566,Metrik!$C$2:$Y$959,12,0)</f>
        <v>0.67</v>
      </c>
      <c r="M566" s="20">
        <f>VLOOKUP(A566,Metrik!$C$2:$Y$959,19,0)</f>
        <v>98.6</v>
      </c>
      <c r="N566" s="21"/>
      <c r="O566" s="21"/>
      <c r="P566" s="21"/>
      <c r="Q566" s="21"/>
      <c r="R566" s="21"/>
      <c r="S566" s="21"/>
      <c r="T566" s="21"/>
      <c r="U566" s="22">
        <f>IFERROR(__xludf.DUMMYFUNCTION("IFERROR(GOOGLEFINANCE(A566,""closeyest""),"""")"),640.0)</f>
        <v>640</v>
      </c>
      <c r="V566" s="23">
        <f>IFERROR(__xludf.DUMMYFUNCTION("IFERROR(GOOGLEFINANCE(A566,""changepct""),"""")"),-100.0)</f>
        <v>-100</v>
      </c>
      <c r="W566" s="22" t="str">
        <f>IFERROR(__xludf.DUMMYFUNCTION("IFERROR(GOOGLEFINANCE(A566,""priceopen""),"""")"),"")</f>
        <v/>
      </c>
      <c r="X566" s="22" t="str">
        <f>IFERROR(__xludf.DUMMYFUNCTION("IFERROR(GOOGLEFINANCE(A566,""high""),"""")"),"")</f>
        <v/>
      </c>
      <c r="Y566" s="22" t="str">
        <f>IFERROR(__xludf.DUMMYFUNCTION("IFERROR(GOOGLEFINANCE(A566,""low""),"""")"),"")</f>
        <v/>
      </c>
      <c r="Z566" s="22">
        <f>IFERROR(__xludf.DUMMYFUNCTION("IFERROR(GOOGLEFINANCE(A566,""volume""),"""")"),0.0)</f>
        <v>0</v>
      </c>
      <c r="AA566" s="24" t="str">
        <f>VLOOKUP(A566,Metrik!$C$2:$Y$959,5,0)</f>
        <v>Real Estate Management &amp; Development</v>
      </c>
      <c r="AB566" s="24" t="str">
        <f>VLOOKUP(A566,Metrik!$C$2:$Y$959,3,0)</f>
        <v>Properties &amp; Real Estate</v>
      </c>
    </row>
    <row r="567">
      <c r="A567" s="14" t="s">
        <v>310</v>
      </c>
      <c r="B567" s="14" t="str">
        <f t="array" ref="B567">VLOOKUP(A567,{Metrik!$C$2:$C$998,Metrik!$B$2:$B$998},2,0)</f>
        <v>Ciputra Development Tbk.</v>
      </c>
      <c r="C567" s="15">
        <f>IFERROR(__xludf.DUMMYFUNCTION("GOOGLEFINANCE(""IDX:""&amp;A567,""price"")"),600.0)</f>
        <v>600</v>
      </c>
      <c r="D567" s="16" t="str">
        <f>IFERROR(__xludf.DUMMYFUNCTION("IF(A567="""","""",
SPARKLINE(
INDEX(
GOOGLEFINANCE(""IDX:""&amp;A567,""close"",TODAY()-365,TODAY()),
,2
),
{""linewidth"",1}
))
"),"#N/A")</f>
        <v>#N/A</v>
      </c>
      <c r="E567" s="14" t="s">
        <v>33</v>
      </c>
      <c r="F567" s="14" t="s">
        <v>34</v>
      </c>
      <c r="G567" s="24">
        <f t="shared" si="4"/>
        <v>13</v>
      </c>
      <c r="H567" s="19">
        <f>VLOOKUP(A567,Metrik!$C$2:$Y$959,8,0)</f>
        <v>4.7</v>
      </c>
      <c r="I567" s="20">
        <f>VLOOKUP(A567,Metrik!$C$2:$Y$959,9,0)</f>
        <v>0.44</v>
      </c>
      <c r="J567" s="20">
        <f>VLOOKUP(A567,Metrik!$C$2:$Y$959,10,0)</f>
        <v>9.2</v>
      </c>
      <c r="K567" s="20">
        <f>VLOOKUP(A567,Metrik!$C$2:$Y$959,11,0)</f>
        <v>5.5</v>
      </c>
      <c r="L567" s="20">
        <f>VLOOKUP(A567,Metrik!$C$2:$Y$959,12,0)</f>
        <v>0.67</v>
      </c>
      <c r="M567" s="20">
        <f>VLOOKUP(A567,Metrik!$C$2:$Y$959,19,0)</f>
        <v>98.6</v>
      </c>
      <c r="N567" s="21"/>
      <c r="O567" s="21"/>
      <c r="P567" s="21"/>
      <c r="Q567" s="21"/>
      <c r="R567" s="21"/>
      <c r="S567" s="21"/>
      <c r="T567" s="21"/>
      <c r="U567" s="22">
        <f>IFERROR(__xludf.DUMMYFUNCTION("IFERROR(GOOGLEFINANCE(A567,""closeyest""),"""")"),640.0)</f>
        <v>640</v>
      </c>
      <c r="V567" s="23">
        <f>IFERROR(__xludf.DUMMYFUNCTION("IFERROR(GOOGLEFINANCE(A567,""changepct""),"""")"),-100.0)</f>
        <v>-100</v>
      </c>
      <c r="W567" s="22" t="str">
        <f>IFERROR(__xludf.DUMMYFUNCTION("IFERROR(GOOGLEFINANCE(A567,""priceopen""),"""")"),"")</f>
        <v/>
      </c>
      <c r="X567" s="22" t="str">
        <f>IFERROR(__xludf.DUMMYFUNCTION("IFERROR(GOOGLEFINANCE(A567,""high""),"""")"),"")</f>
        <v/>
      </c>
      <c r="Y567" s="22" t="str">
        <f>IFERROR(__xludf.DUMMYFUNCTION("IFERROR(GOOGLEFINANCE(A567,""low""),"""")"),"")</f>
        <v/>
      </c>
      <c r="Z567" s="22">
        <f>IFERROR(__xludf.DUMMYFUNCTION("IFERROR(GOOGLEFINANCE(A567,""volume""),"""")"),0.0)</f>
        <v>0</v>
      </c>
      <c r="AA567" s="24" t="str">
        <f>VLOOKUP(A567,Metrik!$C$2:$Y$959,5,0)</f>
        <v>Real Estate Management &amp; Development</v>
      </c>
      <c r="AB567" s="24" t="str">
        <f>VLOOKUP(A567,Metrik!$C$2:$Y$959,3,0)</f>
        <v>Properties &amp; Real Estate</v>
      </c>
    </row>
    <row r="568">
      <c r="A568" s="14" t="s">
        <v>310</v>
      </c>
      <c r="B568" s="14" t="str">
        <f t="array" ref="B568">VLOOKUP(A568,{Metrik!$C$2:$C$998,Metrik!$B$2:$B$998},2,0)</f>
        <v>Ciputra Development Tbk.</v>
      </c>
      <c r="C568" s="15">
        <f>IFERROR(__xludf.DUMMYFUNCTION("GOOGLEFINANCE(""IDX:""&amp;A568,""price"")"),600.0)</f>
        <v>600</v>
      </c>
      <c r="D568" s="16" t="str">
        <f>IFERROR(__xludf.DUMMYFUNCTION("IF(A568="""","""",
SPARKLINE(
INDEX(
GOOGLEFINANCE(""IDX:""&amp;A568,""close"",TODAY()-365,TODAY()),
,2
),
{""linewidth"",1}
))
"),"#N/A")</f>
        <v>#N/A</v>
      </c>
      <c r="E568" s="14" t="s">
        <v>41</v>
      </c>
      <c r="F568" s="14" t="s">
        <v>34</v>
      </c>
      <c r="G568" s="24">
        <f t="shared" si="4"/>
        <v>13</v>
      </c>
      <c r="H568" s="19">
        <f>VLOOKUP(A568,Metrik!$C$2:$Y$959,8,0)</f>
        <v>4.7</v>
      </c>
      <c r="I568" s="20">
        <f>VLOOKUP(A568,Metrik!$C$2:$Y$959,9,0)</f>
        <v>0.44</v>
      </c>
      <c r="J568" s="20">
        <f>VLOOKUP(A568,Metrik!$C$2:$Y$959,10,0)</f>
        <v>9.2</v>
      </c>
      <c r="K568" s="20">
        <f>VLOOKUP(A568,Metrik!$C$2:$Y$959,11,0)</f>
        <v>5.5</v>
      </c>
      <c r="L568" s="20">
        <f>VLOOKUP(A568,Metrik!$C$2:$Y$959,12,0)</f>
        <v>0.67</v>
      </c>
      <c r="M568" s="20">
        <f>VLOOKUP(A568,Metrik!$C$2:$Y$959,19,0)</f>
        <v>98.6</v>
      </c>
      <c r="N568" s="21"/>
      <c r="O568" s="21"/>
      <c r="P568" s="21"/>
      <c r="Q568" s="21"/>
      <c r="R568" s="21"/>
      <c r="S568" s="21"/>
      <c r="T568" s="21"/>
      <c r="U568" s="22">
        <f>IFERROR(__xludf.DUMMYFUNCTION("IFERROR(GOOGLEFINANCE(A568,""closeyest""),"""")"),640.0)</f>
        <v>640</v>
      </c>
      <c r="V568" s="23">
        <f>IFERROR(__xludf.DUMMYFUNCTION("IFERROR(GOOGLEFINANCE(A568,""changepct""),"""")"),-100.0)</f>
        <v>-100</v>
      </c>
      <c r="W568" s="22" t="str">
        <f>IFERROR(__xludf.DUMMYFUNCTION("IFERROR(GOOGLEFINANCE(A568,""priceopen""),"""")"),"")</f>
        <v/>
      </c>
      <c r="X568" s="22" t="str">
        <f>IFERROR(__xludf.DUMMYFUNCTION("IFERROR(GOOGLEFINANCE(A568,""high""),"""")"),"")</f>
        <v/>
      </c>
      <c r="Y568" s="22" t="str">
        <f>IFERROR(__xludf.DUMMYFUNCTION("IFERROR(GOOGLEFINANCE(A568,""low""),"""")"),"")</f>
        <v/>
      </c>
      <c r="Z568" s="22">
        <f>IFERROR(__xludf.DUMMYFUNCTION("IFERROR(GOOGLEFINANCE(A568,""volume""),"""")"),0.0)</f>
        <v>0</v>
      </c>
      <c r="AA568" s="24" t="str">
        <f>VLOOKUP(A568,Metrik!$C$2:$Y$959,5,0)</f>
        <v>Real Estate Management &amp; Development</v>
      </c>
      <c r="AB568" s="24" t="str">
        <f>VLOOKUP(A568,Metrik!$C$2:$Y$959,3,0)</f>
        <v>Properties &amp; Real Estate</v>
      </c>
    </row>
    <row r="569">
      <c r="A569" s="17" t="s">
        <v>310</v>
      </c>
      <c r="B569" s="14" t="str">
        <f t="array" ref="B569">VLOOKUP(A569,{Metrik!$C$2:$C$998,Metrik!$B$2:$B$998},2,0)</f>
        <v>Ciputra Development Tbk.</v>
      </c>
      <c r="C569" s="15">
        <f>IFERROR(__xludf.DUMMYFUNCTION("GOOGLEFINANCE(""IDX:""&amp;A569,""price"")"),600.0)</f>
        <v>600</v>
      </c>
      <c r="D569" s="16" t="str">
        <f>IFERROR(__xludf.DUMMYFUNCTION("IF(A569="""","""",
SPARKLINE(
INDEX(
GOOGLEFINANCE(""IDX:""&amp;A569,""close"",TODAY()-365,TODAY()),
,2
),
{""linewidth"",1}
))
"),"#N/A")</f>
        <v>#N/A</v>
      </c>
      <c r="E569" s="14" t="s">
        <v>35</v>
      </c>
      <c r="F569" s="17" t="s">
        <v>36</v>
      </c>
      <c r="G569" s="18">
        <f t="shared" si="4"/>
        <v>13</v>
      </c>
      <c r="H569" s="19">
        <f>VLOOKUP(A569,Metrik!$C$2:$Y$959,8,0)</f>
        <v>4.7</v>
      </c>
      <c r="I569" s="20">
        <f>VLOOKUP(A569,Metrik!$C$2:$Y$959,9,0)</f>
        <v>0.44</v>
      </c>
      <c r="J569" s="20">
        <f>VLOOKUP(A569,Metrik!$C$2:$Y$959,10,0)</f>
        <v>9.2</v>
      </c>
      <c r="K569" s="20">
        <f>VLOOKUP(A569,Metrik!$C$2:$Y$959,11,0)</f>
        <v>5.5</v>
      </c>
      <c r="L569" s="20">
        <f>VLOOKUP(A569,Metrik!$C$2:$Y$959,12,0)</f>
        <v>0.67</v>
      </c>
      <c r="M569" s="20">
        <f>VLOOKUP(A569,Metrik!$C$2:$Y$959,19,0)</f>
        <v>98.6</v>
      </c>
      <c r="N569" s="21"/>
      <c r="O569" s="21"/>
      <c r="P569" s="21"/>
      <c r="Q569" s="21"/>
      <c r="R569" s="21"/>
      <c r="S569" s="21"/>
      <c r="T569" s="21"/>
      <c r="U569" s="22">
        <f>IFERROR(__xludf.DUMMYFUNCTION("IFERROR(GOOGLEFINANCE(A569,""closeyest""),"""")"),640.0)</f>
        <v>640</v>
      </c>
      <c r="V569" s="23">
        <f>IFERROR(__xludf.DUMMYFUNCTION("IFERROR(GOOGLEFINANCE(A569,""changepct""),"""")"),-100.0)</f>
        <v>-100</v>
      </c>
      <c r="W569" s="22" t="str">
        <f>IFERROR(__xludf.DUMMYFUNCTION("IFERROR(GOOGLEFINANCE(A569,""priceopen""),"""")"),"")</f>
        <v/>
      </c>
      <c r="X569" s="22" t="str">
        <f>IFERROR(__xludf.DUMMYFUNCTION("IFERROR(GOOGLEFINANCE(A569,""high""),"""")"),"")</f>
        <v/>
      </c>
      <c r="Y569" s="22" t="str">
        <f>IFERROR(__xludf.DUMMYFUNCTION("IFERROR(GOOGLEFINANCE(A569,""low""),"""")"),"")</f>
        <v/>
      </c>
      <c r="Z569" s="22">
        <f>IFERROR(__xludf.DUMMYFUNCTION("IFERROR(GOOGLEFINANCE(A569,""volume""),"""")"),0.0)</f>
        <v>0</v>
      </c>
      <c r="AA569" s="24" t="str">
        <f>VLOOKUP(A569,Metrik!$C$2:$Y$959,5,0)</f>
        <v>Real Estate Management &amp; Development</v>
      </c>
      <c r="AB569" s="24" t="str">
        <f>VLOOKUP(A569,Metrik!$C$2:$Y$959,3,0)</f>
        <v>Properties &amp; Real Estate</v>
      </c>
    </row>
    <row r="570">
      <c r="A570" s="14" t="s">
        <v>310</v>
      </c>
      <c r="B570" s="14" t="str">
        <f t="array" ref="B570">VLOOKUP(A570,{Metrik!$C$2:$C$998,Metrik!$B$2:$B$998},2,0)</f>
        <v>Ciputra Development Tbk.</v>
      </c>
      <c r="C570" s="15">
        <f>IFERROR(__xludf.DUMMYFUNCTION("GOOGLEFINANCE(""IDX:""&amp;A570,""price"")"),600.0)</f>
        <v>600</v>
      </c>
      <c r="D570" s="16" t="str">
        <f>IFERROR(__xludf.DUMMYFUNCTION("IF(A570="""","""",
SPARKLINE(
INDEX(
GOOGLEFINANCE(""IDX:""&amp;A570,""close"",TODAY()-365,TODAY()),
,2
),
{""linewidth"",1}
))
"),"#N/A")</f>
        <v>#N/A</v>
      </c>
      <c r="E570" s="14" t="s">
        <v>39</v>
      </c>
      <c r="F570" s="25">
        <v>46356.0</v>
      </c>
      <c r="G570" s="24">
        <f t="shared" si="4"/>
        <v>13</v>
      </c>
      <c r="H570" s="19">
        <f>VLOOKUP(A570,Metrik!$C$2:$Y$959,8,0)</f>
        <v>4.7</v>
      </c>
      <c r="I570" s="20">
        <f>VLOOKUP(A570,Metrik!$C$2:$Y$959,9,0)</f>
        <v>0.44</v>
      </c>
      <c r="J570" s="20">
        <f>VLOOKUP(A570,Metrik!$C$2:$Y$959,10,0)</f>
        <v>9.2</v>
      </c>
      <c r="K570" s="20">
        <f>VLOOKUP(A570,Metrik!$C$2:$Y$959,11,0)</f>
        <v>5.5</v>
      </c>
      <c r="L570" s="20">
        <f>VLOOKUP(A570,Metrik!$C$2:$Y$959,12,0)</f>
        <v>0.67</v>
      </c>
      <c r="M570" s="20">
        <f>VLOOKUP(A570,Metrik!$C$2:$Y$959,19,0)</f>
        <v>98.6</v>
      </c>
      <c r="N570" s="21"/>
      <c r="O570" s="21"/>
      <c r="P570" s="21"/>
      <c r="Q570" s="21"/>
      <c r="R570" s="21"/>
      <c r="S570" s="21"/>
      <c r="T570" s="21"/>
      <c r="U570" s="22">
        <f>IFERROR(__xludf.DUMMYFUNCTION("IFERROR(GOOGLEFINANCE(A570,""closeyest""),"""")"),640.0)</f>
        <v>640</v>
      </c>
      <c r="V570" s="23">
        <f>IFERROR(__xludf.DUMMYFUNCTION("IFERROR(GOOGLEFINANCE(A570,""changepct""),"""")"),-100.0)</f>
        <v>-100</v>
      </c>
      <c r="W570" s="22" t="str">
        <f>IFERROR(__xludf.DUMMYFUNCTION("IFERROR(GOOGLEFINANCE(A570,""priceopen""),"""")"),"")</f>
        <v/>
      </c>
      <c r="X570" s="22" t="str">
        <f>IFERROR(__xludf.DUMMYFUNCTION("IFERROR(GOOGLEFINANCE(A570,""high""),"""")"),"")</f>
        <v/>
      </c>
      <c r="Y570" s="22" t="str">
        <f>IFERROR(__xludf.DUMMYFUNCTION("IFERROR(GOOGLEFINANCE(A570,""low""),"""")"),"")</f>
        <v/>
      </c>
      <c r="Z570" s="22">
        <f>IFERROR(__xludf.DUMMYFUNCTION("IFERROR(GOOGLEFINANCE(A570,""volume""),"""")"),0.0)</f>
        <v>0</v>
      </c>
      <c r="AA570" s="24" t="str">
        <f>VLOOKUP(A570,Metrik!$C$2:$Y$959,5,0)</f>
        <v>Real Estate Management &amp; Development</v>
      </c>
      <c r="AB570" s="24" t="str">
        <f>VLOOKUP(A570,Metrik!$C$2:$Y$959,3,0)</f>
        <v>Properties &amp; Real Estate</v>
      </c>
    </row>
    <row r="571">
      <c r="A571" s="14" t="s">
        <v>311</v>
      </c>
      <c r="B571" s="14" t="str">
        <f t="array" ref="B571">VLOOKUP(A571,{Metrik!$C$2:$C$998,Metrik!$B$2:$B$998},2,0)</f>
        <v>Citatah Tbk.</v>
      </c>
      <c r="C571" s="15">
        <f>IFERROR(__xludf.DUMMYFUNCTION("GOOGLEFINANCE(""IDX:""&amp;A571,""price"")"),137.0)</f>
        <v>137</v>
      </c>
      <c r="D571" s="16" t="str">
        <f>IFERROR(__xludf.DUMMYFUNCTION("IF(A571="""","""",
SPARKLINE(
INDEX(
GOOGLEFINANCE(""IDX:""&amp;A571,""close"",TODAY()-365,TODAY()),
,2
),
{""linewidth"",1}
))
"),"#N/A")</f>
        <v>#N/A</v>
      </c>
      <c r="E571" s="26"/>
      <c r="F571" s="26"/>
      <c r="G571" s="24">
        <f t="shared" si="4"/>
        <v>0</v>
      </c>
      <c r="H571" s="19">
        <f>VLOOKUP(A571,Metrik!$C$2:$Y$959,8,0)</f>
        <v>-7.9</v>
      </c>
      <c r="I571" s="20">
        <f>VLOOKUP(A571,Metrik!$C$2:$Y$959,9,0)</f>
        <v>1.3</v>
      </c>
      <c r="J571" s="20">
        <f>VLOOKUP(A571,Metrik!$C$2:$Y$959,10,0)</f>
        <v>-16.7</v>
      </c>
      <c r="K571" s="20">
        <f>VLOOKUP(A571,Metrik!$C$2:$Y$959,11,0)</f>
        <v>-4</v>
      </c>
      <c r="L571" s="20">
        <f>VLOOKUP(A571,Metrik!$C$2:$Y$959,12,0)</f>
        <v>3.2</v>
      </c>
      <c r="M571" s="20">
        <f>VLOOKUP(A571,Metrik!$C$2:$Y$959,19,0)</f>
        <v>-160</v>
      </c>
      <c r="N571" s="21"/>
      <c r="O571" s="21"/>
      <c r="P571" s="21"/>
      <c r="Q571" s="21"/>
      <c r="R571" s="21"/>
      <c r="S571" s="21"/>
      <c r="T571" s="21"/>
      <c r="U571" s="22">
        <f>IFERROR(__xludf.DUMMYFUNCTION("IFERROR(GOOGLEFINANCE(A571,""closeyest""),"""")"),0.08)</f>
        <v>0.08</v>
      </c>
      <c r="V571" s="23">
        <f>IFERROR(__xludf.DUMMYFUNCTION("IFERROR(GOOGLEFINANCE(A571,""changepct""),"""")"),0.0)</f>
        <v>0</v>
      </c>
      <c r="W571" s="22" t="str">
        <f>IFERROR(__xludf.DUMMYFUNCTION("IFERROR(GOOGLEFINANCE(A571,""priceopen""),"""")"),"")</f>
        <v/>
      </c>
      <c r="X571" s="22" t="str">
        <f>IFERROR(__xludf.DUMMYFUNCTION("IFERROR(GOOGLEFINANCE(A571,""high""),"""")"),"")</f>
        <v/>
      </c>
      <c r="Y571" s="22" t="str">
        <f>IFERROR(__xludf.DUMMYFUNCTION("IFERROR(GOOGLEFINANCE(A571,""low""),"""")"),"")</f>
        <v/>
      </c>
      <c r="Z571" s="22">
        <f>IFERROR(__xludf.DUMMYFUNCTION("IFERROR(GOOGLEFINANCE(A571,""volume""),"""")"),0.0)</f>
        <v>0</v>
      </c>
      <c r="AA571" s="24" t="str">
        <f>VLOOKUP(A571,Metrik!$C$2:$Y$959,5,0)</f>
        <v>Building Products &amp; Fixtures</v>
      </c>
      <c r="AB571" s="24" t="str">
        <f>VLOOKUP(A571,Metrik!$C$2:$Y$959,3,0)</f>
        <v>Industrials</v>
      </c>
    </row>
    <row r="572">
      <c r="A572" s="17" t="s">
        <v>312</v>
      </c>
      <c r="B572" s="14" t="str">
        <f t="array" ref="B572">VLOOKUP(A572,{Metrik!$C$2:$C$998,Metrik!$B$2:$B$998},2,0)</f>
        <v>PT Petrindo Jaya Kreasi Tbk</v>
      </c>
      <c r="C572" s="15">
        <f>IFERROR(__xludf.DUMMYFUNCTION("GOOGLEFINANCE(""IDX:""&amp;A572,""price"")"),720.0)</f>
        <v>720</v>
      </c>
      <c r="D572" s="16" t="str">
        <f>IFERROR(__xludf.DUMMYFUNCTION("IF(A572="""","""",
SPARKLINE(
INDEX(
GOOGLEFINANCE(""IDX:""&amp;A572,""close"",TODAY()-365,TODAY()),
,2
),
{""linewidth"",1}
))
"),"#N/A")</f>
        <v>#N/A</v>
      </c>
      <c r="E572" s="14" t="s">
        <v>31</v>
      </c>
      <c r="F572" s="17" t="s">
        <v>29</v>
      </c>
      <c r="G572" s="24">
        <f t="shared" si="4"/>
        <v>5</v>
      </c>
      <c r="H572" s="19">
        <f>VLOOKUP(A572,Metrik!$C$2:$Y$959,8,0)</f>
        <v>30.4</v>
      </c>
      <c r="I572" s="20">
        <f>VLOOKUP(A572,Metrik!$C$2:$Y$959,9,0)</f>
        <v>6.6</v>
      </c>
      <c r="J572" s="20">
        <f>VLOOKUP(A572,Metrik!$C$2:$Y$959,10,0)</f>
        <v>21.8</v>
      </c>
      <c r="K572" s="20">
        <f>VLOOKUP(A572,Metrik!$C$2:$Y$959,11,0)</f>
        <v>5</v>
      </c>
      <c r="L572" s="20">
        <f>VLOOKUP(A572,Metrik!$C$2:$Y$959,12,0)</f>
        <v>3.4</v>
      </c>
      <c r="M572" s="20">
        <f>VLOOKUP(A572,Metrik!$C$2:$Y$959,19,0)</f>
        <v>36.9</v>
      </c>
      <c r="N572" s="21"/>
      <c r="O572" s="21"/>
      <c r="P572" s="21"/>
      <c r="Q572" s="21"/>
      <c r="R572" s="21"/>
      <c r="S572" s="21"/>
      <c r="T572" s="21"/>
      <c r="U572" s="22">
        <f>IFERROR(__xludf.DUMMYFUNCTION("IFERROR(GOOGLEFINANCE(A572,""closeyest""),"""")"),0.08)</f>
        <v>0.08</v>
      </c>
      <c r="V572" s="23">
        <f>IFERROR(__xludf.DUMMYFUNCTION("IFERROR(GOOGLEFINANCE(A572,""changepct""),"""")"),0.0)</f>
        <v>0</v>
      </c>
      <c r="W572" s="22">
        <f>IFERROR(__xludf.DUMMYFUNCTION("IFERROR(GOOGLEFINANCE(A572,""priceopen""),"""")"),0.08)</f>
        <v>0.08</v>
      </c>
      <c r="X572" s="22">
        <f>IFERROR(__xludf.DUMMYFUNCTION("IFERROR(GOOGLEFINANCE(A572,""high""),"""")"),0.08)</f>
        <v>0.08</v>
      </c>
      <c r="Y572" s="22">
        <f>IFERROR(__xludf.DUMMYFUNCTION("IFERROR(GOOGLEFINANCE(A572,""low""),"""")"),0.08)</f>
        <v>0.08</v>
      </c>
      <c r="Z572" s="22" t="str">
        <f>IFERROR(__xludf.DUMMYFUNCTION("IFERROR(GOOGLEFINANCE(A572,""volume""),"""")"),"")</f>
        <v/>
      </c>
      <c r="AA572" s="24" t="str">
        <f>VLOOKUP(A572,Metrik!$C$2:$Y$959,5,0)</f>
        <v>Coal</v>
      </c>
      <c r="AB572" s="24" t="str">
        <f>VLOOKUP(A572,Metrik!$C$2:$Y$959,3,0)</f>
        <v>Energy</v>
      </c>
    </row>
    <row r="573">
      <c r="A573" s="14" t="s">
        <v>312</v>
      </c>
      <c r="B573" s="14" t="str">
        <f t="array" ref="B573">VLOOKUP(A573,{Metrik!$C$2:$C$998,Metrik!$B$2:$B$998},2,0)</f>
        <v>PT Petrindo Jaya Kreasi Tbk</v>
      </c>
      <c r="C573" s="15">
        <f>IFERROR(__xludf.DUMMYFUNCTION("GOOGLEFINANCE(""IDX:""&amp;A573,""price"")"),720.0)</f>
        <v>720</v>
      </c>
      <c r="D573" s="16" t="str">
        <f>IFERROR(__xludf.DUMMYFUNCTION("IF(A573="""","""",
SPARKLINE(
INDEX(
GOOGLEFINANCE(""IDX:""&amp;A573,""close"",TODAY()-365,TODAY()),
,2
),
{""linewidth"",1}
))
"),"#N/A")</f>
        <v>#N/A</v>
      </c>
      <c r="E573" s="14" t="s">
        <v>32</v>
      </c>
      <c r="F573" s="14" t="s">
        <v>29</v>
      </c>
      <c r="G573" s="24">
        <f t="shared" si="4"/>
        <v>5</v>
      </c>
      <c r="H573" s="19">
        <f>VLOOKUP(A573,Metrik!$C$2:$Y$959,8,0)</f>
        <v>30.4</v>
      </c>
      <c r="I573" s="20">
        <f>VLOOKUP(A573,Metrik!$C$2:$Y$959,9,0)</f>
        <v>6.6</v>
      </c>
      <c r="J573" s="20">
        <f>VLOOKUP(A573,Metrik!$C$2:$Y$959,10,0)</f>
        <v>21.8</v>
      </c>
      <c r="K573" s="20">
        <f>VLOOKUP(A573,Metrik!$C$2:$Y$959,11,0)</f>
        <v>5</v>
      </c>
      <c r="L573" s="20">
        <f>VLOOKUP(A573,Metrik!$C$2:$Y$959,12,0)</f>
        <v>3.4</v>
      </c>
      <c r="M573" s="20">
        <f>VLOOKUP(A573,Metrik!$C$2:$Y$959,19,0)</f>
        <v>36.9</v>
      </c>
      <c r="N573" s="21"/>
      <c r="O573" s="21"/>
      <c r="P573" s="21"/>
      <c r="Q573" s="21"/>
      <c r="R573" s="21"/>
      <c r="S573" s="21"/>
      <c r="T573" s="21"/>
      <c r="U573" s="22">
        <f>IFERROR(__xludf.DUMMYFUNCTION("IFERROR(GOOGLEFINANCE(A573,""closeyest""),"""")"),0.08)</f>
        <v>0.08</v>
      </c>
      <c r="V573" s="23">
        <f>IFERROR(__xludf.DUMMYFUNCTION("IFERROR(GOOGLEFINANCE(A573,""changepct""),"""")"),0.0)</f>
        <v>0</v>
      </c>
      <c r="W573" s="22">
        <f>IFERROR(__xludf.DUMMYFUNCTION("IFERROR(GOOGLEFINANCE(A573,""priceopen""),"""")"),0.08)</f>
        <v>0.08</v>
      </c>
      <c r="X573" s="22">
        <f>IFERROR(__xludf.DUMMYFUNCTION("IFERROR(GOOGLEFINANCE(A573,""high""),"""")"),0.08)</f>
        <v>0.08</v>
      </c>
      <c r="Y573" s="22">
        <f>IFERROR(__xludf.DUMMYFUNCTION("IFERROR(GOOGLEFINANCE(A573,""low""),"""")"),0.08)</f>
        <v>0.08</v>
      </c>
      <c r="Z573" s="22" t="str">
        <f>IFERROR(__xludf.DUMMYFUNCTION("IFERROR(GOOGLEFINANCE(A573,""volume""),"""")"),"")</f>
        <v/>
      </c>
      <c r="AA573" s="24" t="str">
        <f>VLOOKUP(A573,Metrik!$C$2:$Y$959,5,0)</f>
        <v>Coal</v>
      </c>
      <c r="AB573" s="24" t="str">
        <f>VLOOKUP(A573,Metrik!$C$2:$Y$959,3,0)</f>
        <v>Energy</v>
      </c>
    </row>
    <row r="574">
      <c r="A574" s="14" t="s">
        <v>312</v>
      </c>
      <c r="B574" s="14" t="str">
        <f t="array" ref="B574">VLOOKUP(A574,{Metrik!$C$2:$C$998,Metrik!$B$2:$B$998},2,0)</f>
        <v>PT Petrindo Jaya Kreasi Tbk</v>
      </c>
      <c r="C574" s="15">
        <f>IFERROR(__xludf.DUMMYFUNCTION("GOOGLEFINANCE(""IDX:""&amp;A574,""price"")"),720.0)</f>
        <v>720</v>
      </c>
      <c r="D574" s="16" t="str">
        <f>IFERROR(__xludf.DUMMYFUNCTION("IF(A574="""","""",
SPARKLINE(
INDEX(
GOOGLEFINANCE(""IDX:""&amp;A574,""close"",TODAY()-365,TODAY()),
,2
),
{""linewidth"",1}
))
"),"#N/A")</f>
        <v>#N/A</v>
      </c>
      <c r="E574" s="14" t="s">
        <v>28</v>
      </c>
      <c r="F574" s="17" t="s">
        <v>29</v>
      </c>
      <c r="G574" s="24">
        <f t="shared" si="4"/>
        <v>5</v>
      </c>
      <c r="H574" s="19">
        <f>VLOOKUP(A574,Metrik!$C$2:$Y$959,8,0)</f>
        <v>30.4</v>
      </c>
      <c r="I574" s="20">
        <f>VLOOKUP(A574,Metrik!$C$2:$Y$959,9,0)</f>
        <v>6.6</v>
      </c>
      <c r="J574" s="20">
        <f>VLOOKUP(A574,Metrik!$C$2:$Y$959,10,0)</f>
        <v>21.8</v>
      </c>
      <c r="K574" s="20">
        <f>VLOOKUP(A574,Metrik!$C$2:$Y$959,11,0)</f>
        <v>5</v>
      </c>
      <c r="L574" s="20">
        <f>VLOOKUP(A574,Metrik!$C$2:$Y$959,12,0)</f>
        <v>3.4</v>
      </c>
      <c r="M574" s="20">
        <f>VLOOKUP(A574,Metrik!$C$2:$Y$959,19,0)</f>
        <v>36.9</v>
      </c>
      <c r="N574" s="21"/>
      <c r="O574" s="21"/>
      <c r="P574" s="21"/>
      <c r="Q574" s="21"/>
      <c r="R574" s="21"/>
      <c r="S574" s="21"/>
      <c r="T574" s="21"/>
      <c r="U574" s="22">
        <f>IFERROR(__xludf.DUMMYFUNCTION("IFERROR(GOOGLEFINANCE(A574,""closeyest""),"""")"),0.08)</f>
        <v>0.08</v>
      </c>
      <c r="V574" s="23">
        <f>IFERROR(__xludf.DUMMYFUNCTION("IFERROR(GOOGLEFINANCE(A574,""changepct""),"""")"),0.0)</f>
        <v>0</v>
      </c>
      <c r="W574" s="22">
        <f>IFERROR(__xludf.DUMMYFUNCTION("IFERROR(GOOGLEFINANCE(A574,""priceopen""),"""")"),0.08)</f>
        <v>0.08</v>
      </c>
      <c r="X574" s="22">
        <f>IFERROR(__xludf.DUMMYFUNCTION("IFERROR(GOOGLEFINANCE(A574,""high""),"""")"),0.08)</f>
        <v>0.08</v>
      </c>
      <c r="Y574" s="22">
        <f>IFERROR(__xludf.DUMMYFUNCTION("IFERROR(GOOGLEFINANCE(A574,""low""),"""")"),0.08)</f>
        <v>0.08</v>
      </c>
      <c r="Z574" s="22" t="str">
        <f>IFERROR(__xludf.DUMMYFUNCTION("IFERROR(GOOGLEFINANCE(A574,""volume""),"""")"),"")</f>
        <v/>
      </c>
      <c r="AA574" s="24" t="str">
        <f>VLOOKUP(A574,Metrik!$C$2:$Y$959,5,0)</f>
        <v>Coal</v>
      </c>
      <c r="AB574" s="24" t="str">
        <f>VLOOKUP(A574,Metrik!$C$2:$Y$959,3,0)</f>
        <v>Energy</v>
      </c>
    </row>
    <row r="575">
      <c r="A575" s="14" t="s">
        <v>312</v>
      </c>
      <c r="B575" s="14" t="str">
        <f t="array" ref="B575">VLOOKUP(A575,{Metrik!$C$2:$C$998,Metrik!$B$2:$B$998},2,0)</f>
        <v>PT Petrindo Jaya Kreasi Tbk</v>
      </c>
      <c r="C575" s="15">
        <f>IFERROR(__xludf.DUMMYFUNCTION("GOOGLEFINANCE(""IDX:""&amp;A575,""price"")"),720.0)</f>
        <v>720</v>
      </c>
      <c r="D575" s="16" t="str">
        <f>IFERROR(__xludf.DUMMYFUNCTION("IF(A575="""","""",
SPARKLINE(
INDEX(
GOOGLEFINANCE(""IDX:""&amp;A575,""close"",TODAY()-365,TODAY()),
,2
),
{""linewidth"",1}
))
"),"#N/A")</f>
        <v>#N/A</v>
      </c>
      <c r="E575" s="14" t="s">
        <v>161</v>
      </c>
      <c r="F575" s="14" t="s">
        <v>76</v>
      </c>
      <c r="G575" s="24">
        <f t="shared" si="4"/>
        <v>5</v>
      </c>
      <c r="H575" s="19">
        <f>VLOOKUP(A575,Metrik!$C$2:$Y$959,8,0)</f>
        <v>30.4</v>
      </c>
      <c r="I575" s="20">
        <f>VLOOKUP(A575,Metrik!$C$2:$Y$959,9,0)</f>
        <v>6.6</v>
      </c>
      <c r="J575" s="20">
        <f>VLOOKUP(A575,Metrik!$C$2:$Y$959,10,0)</f>
        <v>21.8</v>
      </c>
      <c r="K575" s="20">
        <f>VLOOKUP(A575,Metrik!$C$2:$Y$959,11,0)</f>
        <v>5</v>
      </c>
      <c r="L575" s="20">
        <f>VLOOKUP(A575,Metrik!$C$2:$Y$959,12,0)</f>
        <v>3.4</v>
      </c>
      <c r="M575" s="20">
        <f>VLOOKUP(A575,Metrik!$C$2:$Y$959,19,0)</f>
        <v>36.9</v>
      </c>
      <c r="N575" s="21"/>
      <c r="O575" s="21"/>
      <c r="P575" s="21"/>
      <c r="Q575" s="21"/>
      <c r="R575" s="21"/>
      <c r="S575" s="21"/>
      <c r="T575" s="21"/>
      <c r="U575" s="22">
        <f>IFERROR(__xludf.DUMMYFUNCTION("IFERROR(GOOGLEFINANCE(A575,""closeyest""),"""")"),0.08)</f>
        <v>0.08</v>
      </c>
      <c r="V575" s="23">
        <f>IFERROR(__xludf.DUMMYFUNCTION("IFERROR(GOOGLEFINANCE(A575,""changepct""),"""")"),0.0)</f>
        <v>0</v>
      </c>
      <c r="W575" s="22">
        <f>IFERROR(__xludf.DUMMYFUNCTION("IFERROR(GOOGLEFINANCE(A575,""priceopen""),"""")"),0.08)</f>
        <v>0.08</v>
      </c>
      <c r="X575" s="22">
        <f>IFERROR(__xludf.DUMMYFUNCTION("IFERROR(GOOGLEFINANCE(A575,""high""),"""")"),0.08)</f>
        <v>0.08</v>
      </c>
      <c r="Y575" s="22">
        <f>IFERROR(__xludf.DUMMYFUNCTION("IFERROR(GOOGLEFINANCE(A575,""low""),"""")"),0.08)</f>
        <v>0.08</v>
      </c>
      <c r="Z575" s="22" t="str">
        <f>IFERROR(__xludf.DUMMYFUNCTION("IFERROR(GOOGLEFINANCE(A575,""volume""),"""")"),"")</f>
        <v/>
      </c>
      <c r="AA575" s="24" t="str">
        <f>VLOOKUP(A575,Metrik!$C$2:$Y$959,5,0)</f>
        <v>Coal</v>
      </c>
      <c r="AB575" s="24" t="str">
        <f>VLOOKUP(A575,Metrik!$C$2:$Y$959,3,0)</f>
        <v>Energy</v>
      </c>
    </row>
    <row r="576">
      <c r="A576" s="17" t="s">
        <v>312</v>
      </c>
      <c r="B576" s="14" t="str">
        <f t="array" ref="B576">VLOOKUP(A576,{Metrik!$C$2:$C$998,Metrik!$B$2:$B$998},2,0)</f>
        <v>PT Petrindo Jaya Kreasi Tbk</v>
      </c>
      <c r="C576" s="15">
        <f>IFERROR(__xludf.DUMMYFUNCTION("GOOGLEFINANCE(""IDX:""&amp;A576,""price"")"),720.0)</f>
        <v>720</v>
      </c>
      <c r="D576" s="16" t="str">
        <f>IFERROR(__xludf.DUMMYFUNCTION("IF(A576="""","""",
SPARKLINE(
INDEX(
GOOGLEFINANCE(""IDX:""&amp;A576,""close"",TODAY()-365,TODAY()),
,2
),
{""linewidth"",1}
))
"),"#N/A")</f>
        <v>#N/A</v>
      </c>
      <c r="E576" s="17" t="s">
        <v>69</v>
      </c>
      <c r="F576" s="17" t="s">
        <v>70</v>
      </c>
      <c r="G576" s="24">
        <f t="shared" si="4"/>
        <v>5</v>
      </c>
      <c r="H576" s="19">
        <f>VLOOKUP(A576,Metrik!$C$2:$Y$959,8,0)</f>
        <v>30.4</v>
      </c>
      <c r="I576" s="20">
        <f>VLOOKUP(A576,Metrik!$C$2:$Y$959,9,0)</f>
        <v>6.6</v>
      </c>
      <c r="J576" s="20">
        <f>VLOOKUP(A576,Metrik!$C$2:$Y$959,10,0)</f>
        <v>21.8</v>
      </c>
      <c r="K576" s="20">
        <f>VLOOKUP(A576,Metrik!$C$2:$Y$959,11,0)</f>
        <v>5</v>
      </c>
      <c r="L576" s="20">
        <f>VLOOKUP(A576,Metrik!$C$2:$Y$959,12,0)</f>
        <v>3.4</v>
      </c>
      <c r="M576" s="20">
        <f>VLOOKUP(A576,Metrik!$C$2:$Y$959,19,0)</f>
        <v>36.9</v>
      </c>
      <c r="N576" s="21"/>
      <c r="O576" s="21"/>
      <c r="P576" s="21"/>
      <c r="Q576" s="21"/>
      <c r="R576" s="21"/>
      <c r="S576" s="21"/>
      <c r="T576" s="21"/>
      <c r="U576" s="22">
        <f>IFERROR(__xludf.DUMMYFUNCTION("IFERROR(GOOGLEFINANCE(A576,""closeyest""),"""")"),0.08)</f>
        <v>0.08</v>
      </c>
      <c r="V576" s="23">
        <f>IFERROR(__xludf.DUMMYFUNCTION("IFERROR(GOOGLEFINANCE(A576,""changepct""),"""")"),0.0)</f>
        <v>0</v>
      </c>
      <c r="W576" s="22">
        <f>IFERROR(__xludf.DUMMYFUNCTION("IFERROR(GOOGLEFINANCE(A576,""priceopen""),"""")"),0.08)</f>
        <v>0.08</v>
      </c>
      <c r="X576" s="22">
        <f>IFERROR(__xludf.DUMMYFUNCTION("IFERROR(GOOGLEFINANCE(A576,""high""),"""")"),0.08)</f>
        <v>0.08</v>
      </c>
      <c r="Y576" s="22">
        <f>IFERROR(__xludf.DUMMYFUNCTION("IFERROR(GOOGLEFINANCE(A576,""low""),"""")"),0.08)</f>
        <v>0.08</v>
      </c>
      <c r="Z576" s="22" t="str">
        <f>IFERROR(__xludf.DUMMYFUNCTION("IFERROR(GOOGLEFINANCE(A576,""volume""),"""")"),"")</f>
        <v/>
      </c>
      <c r="AA576" s="24" t="str">
        <f>VLOOKUP(A576,Metrik!$C$2:$Y$959,5,0)</f>
        <v>Coal</v>
      </c>
      <c r="AB576" s="24" t="str">
        <f>VLOOKUP(A576,Metrik!$C$2:$Y$959,3,0)</f>
        <v>Energy</v>
      </c>
    </row>
    <row r="577">
      <c r="A577" s="14" t="s">
        <v>313</v>
      </c>
      <c r="B577" s="14" t="str">
        <f t="array" ref="B577">VLOOKUP(A577,{Metrik!$C$2:$C$998,Metrik!$B$2:$B$998},2,0)</f>
        <v>ITSEC Asia Tbk.</v>
      </c>
      <c r="C577" s="15">
        <f>IFERROR(__xludf.DUMMYFUNCTION("GOOGLEFINANCE(""IDX:""&amp;A577,""price"")"),615.0)</f>
        <v>615</v>
      </c>
      <c r="D577" s="16" t="str">
        <f>IFERROR(__xludf.DUMMYFUNCTION("IF(A577="""","""",
SPARKLINE(
INDEX(
GOOGLEFINANCE(""IDX:""&amp;A577,""close"",TODAY()-365,TODAY()),
,2
),
{""linewidth"",1}
))
"),"#N/A")</f>
        <v>#N/A</v>
      </c>
      <c r="E577" s="26"/>
      <c r="F577" s="26"/>
      <c r="G577" s="24">
        <f t="shared" si="4"/>
        <v>0</v>
      </c>
      <c r="H577" s="19">
        <f>VLOOKUP(A577,Metrik!$C$2:$Y$959,8,0)</f>
        <v>570</v>
      </c>
      <c r="I577" s="20">
        <f>VLOOKUP(A577,Metrik!$C$2:$Y$959,9,0)</f>
        <v>30.8</v>
      </c>
      <c r="J577" s="20">
        <f>VLOOKUP(A577,Metrik!$C$2:$Y$959,10,0)</f>
        <v>5.4</v>
      </c>
      <c r="K577" s="20">
        <f>VLOOKUP(A577,Metrik!$C$2:$Y$959,11,0)</f>
        <v>3</v>
      </c>
      <c r="L577" s="20">
        <f>VLOOKUP(A577,Metrik!$C$2:$Y$959,12,0)</f>
        <v>0.81</v>
      </c>
      <c r="M577" s="20">
        <f>VLOOKUP(A577,Metrik!$C$2:$Y$959,19,0)</f>
        <v>15.9</v>
      </c>
      <c r="N577" s="21"/>
      <c r="O577" s="21"/>
      <c r="P577" s="21"/>
      <c r="Q577" s="21"/>
      <c r="R577" s="21"/>
      <c r="S577" s="21"/>
      <c r="T577" s="21"/>
      <c r="U577" s="22">
        <f>IFERROR(__xludf.DUMMYFUNCTION("IFERROR(GOOGLEFINANCE(A577,""closeyest""),"""")"),9.33)</f>
        <v>9.33</v>
      </c>
      <c r="V577" s="23">
        <f>IFERROR(__xludf.DUMMYFUNCTION("IFERROR(GOOGLEFINANCE(A577,""changepct""),"""")"),1.93)</f>
        <v>1.93</v>
      </c>
      <c r="W577" s="22">
        <f>IFERROR(__xludf.DUMMYFUNCTION("IFERROR(GOOGLEFINANCE(A577,""priceopen""),"""")"),9.54)</f>
        <v>9.54</v>
      </c>
      <c r="X577" s="22">
        <f>IFERROR(__xludf.DUMMYFUNCTION("IFERROR(GOOGLEFINANCE(A577,""high""),"""")"),9.58)</f>
        <v>9.58</v>
      </c>
      <c r="Y577" s="22">
        <f>IFERROR(__xludf.DUMMYFUNCTION("IFERROR(GOOGLEFINANCE(A577,""low""),"""")"),9.31)</f>
        <v>9.31</v>
      </c>
      <c r="Z577" s="22">
        <f>IFERROR(__xludf.DUMMYFUNCTION("IFERROR(GOOGLEFINANCE(A577,""volume""),"""")"),2873.0)</f>
        <v>2873</v>
      </c>
      <c r="AA577" s="24" t="str">
        <f>VLOOKUP(A577,Metrik!$C$2:$Y$959,5,0)</f>
        <v>IT Services &amp; Consulting</v>
      </c>
      <c r="AB577" s="24" t="str">
        <f>VLOOKUP(A577,Metrik!$C$2:$Y$959,3,0)</f>
        <v>Technology</v>
      </c>
    </row>
    <row r="578">
      <c r="A578" s="14" t="s">
        <v>314</v>
      </c>
      <c r="B578" s="14" t="str">
        <f t="array" ref="B578">VLOOKUP(A578,{Metrik!$C$2:$C$998,Metrik!$B$2:$B$998},2,0)</f>
        <v>Daaz Bara Lestari Tbk.</v>
      </c>
      <c r="C578" s="15">
        <f>IFERROR(__xludf.DUMMYFUNCTION("GOOGLEFINANCE(""IDX:""&amp;A578,""price"")"),1685.0)</f>
        <v>1685</v>
      </c>
      <c r="D578" s="16" t="str">
        <f>IFERROR(__xludf.DUMMYFUNCTION("IF(A578="""","""",
SPARKLINE(
INDEX(
GOOGLEFINANCE(""IDX:""&amp;A578,""close"",TODAY()-365,TODAY()),
,2
),
{""linewidth"",1}
))
"),"#N/A")</f>
        <v>#N/A</v>
      </c>
      <c r="E578" s="26"/>
      <c r="F578" s="26"/>
      <c r="G578" s="24">
        <f t="shared" si="4"/>
        <v>0</v>
      </c>
      <c r="H578" s="19">
        <f>VLOOKUP(A578,Metrik!$C$2:$Y$959,8,0)</f>
        <v>12.1</v>
      </c>
      <c r="I578" s="20">
        <f>VLOOKUP(A578,Metrik!$C$2:$Y$959,9,0)</f>
        <v>1.3</v>
      </c>
      <c r="J578" s="20">
        <f>VLOOKUP(A578,Metrik!$C$2:$Y$959,10,0)</f>
        <v>11.1</v>
      </c>
      <c r="K578" s="20">
        <f>VLOOKUP(A578,Metrik!$C$2:$Y$959,11,0)</f>
        <v>3.8</v>
      </c>
      <c r="L578" s="20">
        <f>VLOOKUP(A578,Metrik!$C$2:$Y$959,12,0)</f>
        <v>1.9</v>
      </c>
      <c r="M578" s="20">
        <f>VLOOKUP(A578,Metrik!$C$2:$Y$959,19,0)</f>
        <v>7.1</v>
      </c>
      <c r="N578" s="21"/>
      <c r="O578" s="21"/>
      <c r="P578" s="21"/>
      <c r="Q578" s="21"/>
      <c r="R578" s="21"/>
      <c r="S578" s="21"/>
      <c r="T578" s="21"/>
      <c r="U578" s="22">
        <f>IFERROR(__xludf.DUMMYFUNCTION("IFERROR(GOOGLEFINANCE(A578,""closeyest""),"""")"),1685.0)</f>
        <v>1685</v>
      </c>
      <c r="V578" s="23">
        <f>IFERROR(__xludf.DUMMYFUNCTION("IFERROR(GOOGLEFINANCE(A578,""changepct""),"""")"),0.0)</f>
        <v>0</v>
      </c>
      <c r="W578" s="22" t="str">
        <f>IFERROR(__xludf.DUMMYFUNCTION("IFERROR(GOOGLEFINANCE(A578,""priceopen""),"""")"),"")</f>
        <v/>
      </c>
      <c r="X578" s="22">
        <f>IFERROR(__xludf.DUMMYFUNCTION("IFERROR(GOOGLEFINANCE(A578,""high""),"""")"),1730.0)</f>
        <v>1730</v>
      </c>
      <c r="Y578" s="22">
        <f>IFERROR(__xludf.DUMMYFUNCTION("IFERROR(GOOGLEFINANCE(A578,""low""),"""")"),1680.0)</f>
        <v>1680</v>
      </c>
      <c r="Z578" s="22">
        <f>IFERROR(__xludf.DUMMYFUNCTION("IFERROR(GOOGLEFINANCE(A578,""volume""),"""")"),1040800.0)</f>
        <v>1040800</v>
      </c>
      <c r="AA578" s="24" t="str">
        <f>VLOOKUP(A578,Metrik!$C$2:$Y$959,5,0)</f>
        <v>Metals &amp; Minerals</v>
      </c>
      <c r="AB578" s="24" t="str">
        <f>VLOOKUP(A578,Metrik!$C$2:$Y$959,3,0)</f>
        <v>Basic Materials</v>
      </c>
    </row>
    <row r="579">
      <c r="A579" s="14" t="s">
        <v>315</v>
      </c>
      <c r="B579" s="14" t="str">
        <f t="array" ref="B579">VLOOKUP(A579,{Metrik!$C$2:$C$998,Metrik!$B$2:$B$998},2,0)</f>
        <v>Diamond Citra Propertindo Tbk.</v>
      </c>
      <c r="C579" s="15">
        <f>IFERROR(__xludf.DUMMYFUNCTION("GOOGLEFINANCE(""IDX:""&amp;A579,""price"")"),50.0)</f>
        <v>50</v>
      </c>
      <c r="D579" s="16" t="str">
        <f>IFERROR(__xludf.DUMMYFUNCTION("IF(A579="""","""",
SPARKLINE(
INDEX(
GOOGLEFINANCE(""IDX:""&amp;A579,""close"",TODAY()-365,TODAY()),
,2
),
{""linewidth"",1}
))
"),"#N/A")</f>
        <v>#N/A</v>
      </c>
      <c r="E579" s="26"/>
      <c r="F579" s="26"/>
      <c r="G579" s="24">
        <f t="shared" si="4"/>
        <v>0</v>
      </c>
      <c r="H579" s="19">
        <f>VLOOKUP(A579,Metrik!$C$2:$Y$959,8,0)</f>
        <v>69.6</v>
      </c>
      <c r="I579" s="20">
        <f>VLOOKUP(A579,Metrik!$C$2:$Y$959,9,0)</f>
        <v>1</v>
      </c>
      <c r="J579" s="20">
        <f>VLOOKUP(A579,Metrik!$C$2:$Y$959,10,0)</f>
        <v>1.5</v>
      </c>
      <c r="K579" s="20">
        <f>VLOOKUP(A579,Metrik!$C$2:$Y$959,11,0)</f>
        <v>0.83</v>
      </c>
      <c r="L579" s="20">
        <f>VLOOKUP(A579,Metrik!$C$2:$Y$959,12,0)</f>
        <v>0.8</v>
      </c>
      <c r="M579" s="20">
        <f>VLOOKUP(A579,Metrik!$C$2:$Y$959,19,0)</f>
        <v>79</v>
      </c>
      <c r="N579" s="21"/>
      <c r="O579" s="21"/>
      <c r="P579" s="21"/>
      <c r="Q579" s="21"/>
      <c r="R579" s="21"/>
      <c r="S579" s="21"/>
      <c r="T579" s="21"/>
      <c r="U579" s="22">
        <f>IFERROR(__xludf.DUMMYFUNCTION("IFERROR(GOOGLEFINANCE(A579,""closeyest""),"""")"),50.0)</f>
        <v>50</v>
      </c>
      <c r="V579" s="23">
        <f>IFERROR(__xludf.DUMMYFUNCTION("IFERROR(GOOGLEFINANCE(A579,""changepct""),"""")"),0.0)</f>
        <v>0</v>
      </c>
      <c r="W579" s="22">
        <f>IFERROR(__xludf.DUMMYFUNCTION("IFERROR(GOOGLEFINANCE(A579,""priceopen""),"""")"),50.0)</f>
        <v>50</v>
      </c>
      <c r="X579" s="22">
        <f>IFERROR(__xludf.DUMMYFUNCTION("IFERROR(GOOGLEFINANCE(A579,""high""),"""")"),50.0)</f>
        <v>50</v>
      </c>
      <c r="Y579" s="22">
        <f>IFERROR(__xludf.DUMMYFUNCTION("IFERROR(GOOGLEFINANCE(A579,""low""),"""")"),50.0)</f>
        <v>50</v>
      </c>
      <c r="Z579" s="22" t="str">
        <f>IFERROR(__xludf.DUMMYFUNCTION("IFERROR(GOOGLEFINANCE(A579,""volume""),"""")"),"")</f>
        <v/>
      </c>
      <c r="AA579" s="24" t="str">
        <f>VLOOKUP(A579,Metrik!$C$2:$Y$959,5,0)</f>
        <v>Real Estate Management &amp; Development</v>
      </c>
      <c r="AB579" s="24" t="str">
        <f>VLOOKUP(A579,Metrik!$C$2:$Y$959,3,0)</f>
        <v>Properties &amp; Real Estate</v>
      </c>
    </row>
    <row r="580">
      <c r="A580" s="14" t="s">
        <v>316</v>
      </c>
      <c r="B580" s="14" t="str">
        <f t="array" ref="B580">VLOOKUP(A580,{Metrik!$C$2:$C$998,Metrik!$B$2:$B$998},2,0)</f>
        <v>Duta Anggada Realty Tbk.</v>
      </c>
      <c r="C580" s="15">
        <f>IFERROR(__xludf.DUMMYFUNCTION("GOOGLEFINANCE(""IDX:""&amp;A580,""price"")"),119.0)</f>
        <v>119</v>
      </c>
      <c r="D580" s="16" t="str">
        <f>IFERROR(__xludf.DUMMYFUNCTION("IF(A580="""","""",
SPARKLINE(
INDEX(
GOOGLEFINANCE(""IDX:""&amp;A580,""close"",TODAY()-365,TODAY()),
,2
),
{""linewidth"",1}
))
"),"#N/A")</f>
        <v>#N/A</v>
      </c>
      <c r="E580" s="26"/>
      <c r="F580" s="26"/>
      <c r="G580" s="24">
        <f t="shared" si="4"/>
        <v>0</v>
      </c>
      <c r="H580" s="19">
        <f>VLOOKUP(A580,Metrik!$C$2:$Y$959,8,0)</f>
        <v>-1.6</v>
      </c>
      <c r="I580" s="20">
        <f>VLOOKUP(A580,Metrik!$C$2:$Y$959,9,0)</f>
        <v>0.35</v>
      </c>
      <c r="J580" s="20">
        <f>VLOOKUP(A580,Metrik!$C$2:$Y$959,10,0)</f>
        <v>-22.7</v>
      </c>
      <c r="K580" s="20">
        <f>VLOOKUP(A580,Metrik!$C$2:$Y$959,11,0)</f>
        <v>-4.2</v>
      </c>
      <c r="L580" s="20">
        <f>VLOOKUP(A580,Metrik!$C$2:$Y$959,12,0)</f>
        <v>4.4</v>
      </c>
      <c r="M580" s="20">
        <f>VLOOKUP(A580,Metrik!$C$2:$Y$959,19,0)</f>
        <v>-210</v>
      </c>
      <c r="N580" s="21"/>
      <c r="O580" s="21"/>
      <c r="P580" s="21"/>
      <c r="Q580" s="21"/>
      <c r="R580" s="21"/>
      <c r="S580" s="21"/>
      <c r="T580" s="21"/>
      <c r="U580" s="22">
        <f>IFERROR(__xludf.DUMMYFUNCTION("IFERROR(GOOGLEFINANCE(A580,""closeyest""),"""")"),115.0)</f>
        <v>115</v>
      </c>
      <c r="V580" s="23">
        <f>IFERROR(__xludf.DUMMYFUNCTION("IFERROR(GOOGLEFINANCE(A580,""changepct""),"""")"),3.48)</f>
        <v>3.48</v>
      </c>
      <c r="W580" s="22">
        <f>IFERROR(__xludf.DUMMYFUNCTION("IFERROR(GOOGLEFINANCE(A580,""priceopen""),"""")"),119.0)</f>
        <v>119</v>
      </c>
      <c r="X580" s="22">
        <f>IFERROR(__xludf.DUMMYFUNCTION("IFERROR(GOOGLEFINANCE(A580,""high""),"""")"),120.0)</f>
        <v>120</v>
      </c>
      <c r="Y580" s="22">
        <f>IFERROR(__xludf.DUMMYFUNCTION("IFERROR(GOOGLEFINANCE(A580,""low""),"""")"),113.0)</f>
        <v>113</v>
      </c>
      <c r="Z580" s="22" t="str">
        <f>IFERROR(__xludf.DUMMYFUNCTION("IFERROR(GOOGLEFINANCE(A580,""volume""),"""")"),"")</f>
        <v/>
      </c>
      <c r="AA580" s="24" t="str">
        <f>VLOOKUP(A580,Metrik!$C$2:$Y$959,5,0)</f>
        <v>Real Estate Management &amp; Development</v>
      </c>
      <c r="AB580" s="24" t="str">
        <f>VLOOKUP(A580,Metrik!$C$2:$Y$959,3,0)</f>
        <v>Properties &amp; Real Estate</v>
      </c>
    </row>
    <row r="581">
      <c r="A581" s="14" t="s">
        <v>317</v>
      </c>
      <c r="B581" s="14" t="str">
        <f t="array" ref="B581">VLOOKUP(A581,{Metrik!$C$2:$C$998,Metrik!$B$2:$B$998},2,0)</f>
        <v>Remala Abadi Tbk.</v>
      </c>
      <c r="C581" s="15">
        <f>IFERROR(__xludf.DUMMYFUNCTION("GOOGLEFINANCE(""IDX:""&amp;A581,""price"")"),1450.0)</f>
        <v>1450</v>
      </c>
      <c r="D581" s="16" t="str">
        <f>IFERROR(__xludf.DUMMYFUNCTION("IF(A581="""","""",
SPARKLINE(
INDEX(
GOOGLEFINANCE(""IDX:""&amp;A581,""close"",TODAY()-365,TODAY()),
,2
),
{""linewidth"",1}
))
"),"#N/A")</f>
        <v>#N/A</v>
      </c>
      <c r="E581" s="26"/>
      <c r="F581" s="26"/>
      <c r="G581" s="24">
        <f t="shared" si="4"/>
        <v>0</v>
      </c>
      <c r="H581" s="19">
        <f>VLOOKUP(A581,Metrik!$C$2:$Y$959,8,0)</f>
        <v>20.3</v>
      </c>
      <c r="I581" s="20">
        <f>VLOOKUP(A581,Metrik!$C$2:$Y$959,9,0)</f>
        <v>5.5</v>
      </c>
      <c r="J581" s="20">
        <f>VLOOKUP(A581,Metrik!$C$2:$Y$959,10,0)</f>
        <v>27.1</v>
      </c>
      <c r="K581" s="20">
        <f>VLOOKUP(A581,Metrik!$C$2:$Y$959,11,0)</f>
        <v>10.6</v>
      </c>
      <c r="L581" s="20">
        <f>VLOOKUP(A581,Metrik!$C$2:$Y$959,12,0)</f>
        <v>1.6</v>
      </c>
      <c r="M581" s="20">
        <f>VLOOKUP(A581,Metrik!$C$2:$Y$959,19,0)</f>
        <v>96.8</v>
      </c>
      <c r="N581" s="21"/>
      <c r="O581" s="21"/>
      <c r="P581" s="21"/>
      <c r="Q581" s="21"/>
      <c r="R581" s="21"/>
      <c r="S581" s="21"/>
      <c r="T581" s="21"/>
      <c r="U581" s="22">
        <f>IFERROR(__xludf.DUMMYFUNCTION("IFERROR(GOOGLEFINANCE(A581,""closeyest""),"""")"),92.2)</f>
        <v>92.2</v>
      </c>
      <c r="V581" s="23" t="str">
        <f>IFERROR(__xludf.DUMMYFUNCTION("IFERROR(GOOGLEFINANCE(A581,""changepct""),"""")"),"")</f>
        <v/>
      </c>
      <c r="W581" s="22">
        <f>IFERROR(__xludf.DUMMYFUNCTION("IFERROR(GOOGLEFINANCE(A581,""priceopen""),"""")"),90.5)</f>
        <v>90.5</v>
      </c>
      <c r="X581" s="22">
        <f>IFERROR(__xludf.DUMMYFUNCTION("IFERROR(GOOGLEFINANCE(A581,""high""),"""")"),98.5)</f>
        <v>98.5</v>
      </c>
      <c r="Y581" s="22">
        <f>IFERROR(__xludf.DUMMYFUNCTION("IFERROR(GOOGLEFINANCE(A581,""low""),"""")"),90.5)</f>
        <v>90.5</v>
      </c>
      <c r="Z581" s="22">
        <f>IFERROR(__xludf.DUMMYFUNCTION("IFERROR(GOOGLEFINANCE(A581,""volume""),"""")"),2246204.0)</f>
        <v>2246204</v>
      </c>
      <c r="AA581" s="24" t="str">
        <f>VLOOKUP(A581,Metrik!$C$2:$Y$959,5,0)</f>
        <v>Telecommunication Service</v>
      </c>
      <c r="AB581" s="24" t="str">
        <f>VLOOKUP(A581,Metrik!$C$2:$Y$959,3,0)</f>
        <v>Infrastructures</v>
      </c>
    </row>
    <row r="582">
      <c r="A582" s="14" t="s">
        <v>318</v>
      </c>
      <c r="B582" s="14" t="str">
        <f t="array" ref="B582">VLOOKUP(A582,{Metrik!$C$2:$C$998,Metrik!$B$2:$B$998},2,0)</f>
        <v>Duta Intidaya Tbk.</v>
      </c>
      <c r="C582" s="15">
        <f>IFERROR(__xludf.DUMMYFUNCTION("GOOGLEFINANCE(""IDX:""&amp;A582,""price"")"),1045.0)</f>
        <v>1045</v>
      </c>
      <c r="D582" s="16" t="str">
        <f>IFERROR(__xludf.DUMMYFUNCTION("IF(A582="""","""",
SPARKLINE(
INDEX(
GOOGLEFINANCE(""IDX:""&amp;A582,""close"",TODAY()-365,TODAY()),
,2
),
{""linewidth"",1}
))
"),"#N/A")</f>
        <v>#N/A</v>
      </c>
      <c r="E582" s="26"/>
      <c r="F582" s="26"/>
      <c r="G582" s="24">
        <f t="shared" si="4"/>
        <v>0</v>
      </c>
      <c r="H582" s="19">
        <f>VLOOKUP(A582,Metrik!$C$2:$Y$959,8,0)</f>
        <v>30.1</v>
      </c>
      <c r="I582" s="20">
        <f>VLOOKUP(A582,Metrik!$C$2:$Y$959,9,0)</f>
        <v>16.2</v>
      </c>
      <c r="J582" s="20">
        <f>VLOOKUP(A582,Metrik!$C$2:$Y$959,10,0)</f>
        <v>53.8</v>
      </c>
      <c r="K582" s="20">
        <f>VLOOKUP(A582,Metrik!$C$2:$Y$959,11,0)</f>
        <v>7.1</v>
      </c>
      <c r="L582" s="20">
        <f>VLOOKUP(A582,Metrik!$C$2:$Y$959,12,0)</f>
        <v>6.6</v>
      </c>
      <c r="M582" s="20">
        <f>VLOOKUP(A582,Metrik!$C$2:$Y$959,19,0)</f>
        <v>10.8</v>
      </c>
      <c r="N582" s="21"/>
      <c r="O582" s="21"/>
      <c r="P582" s="21"/>
      <c r="Q582" s="21"/>
      <c r="R582" s="21"/>
      <c r="S582" s="21"/>
      <c r="T582" s="21"/>
      <c r="U582" s="22">
        <f>IFERROR(__xludf.DUMMYFUNCTION("IFERROR(GOOGLEFINANCE(A582,""closeyest""),"""")"),950.0)</f>
        <v>950</v>
      </c>
      <c r="V582" s="23">
        <f>IFERROR(__xludf.DUMMYFUNCTION("IFERROR(GOOGLEFINANCE(A582,""changepct""),"""")"),10.0)</f>
        <v>10</v>
      </c>
      <c r="W582" s="22">
        <f>IFERROR(__xludf.DUMMYFUNCTION("IFERROR(GOOGLEFINANCE(A582,""priceopen""),"""")"),950.0)</f>
        <v>950</v>
      </c>
      <c r="X582" s="22">
        <f>IFERROR(__xludf.DUMMYFUNCTION("IFERROR(GOOGLEFINANCE(A582,""high""),"""")"),1060.0)</f>
        <v>1060</v>
      </c>
      <c r="Y582" s="22">
        <f>IFERROR(__xludf.DUMMYFUNCTION("IFERROR(GOOGLEFINANCE(A582,""low""),"""")"),945.0)</f>
        <v>945</v>
      </c>
      <c r="Z582" s="22">
        <f>IFERROR(__xludf.DUMMYFUNCTION("IFERROR(GOOGLEFINANCE(A582,""volume""),"""")"),39200.0)</f>
        <v>39200</v>
      </c>
      <c r="AA582" s="24" t="str">
        <f>VLOOKUP(A582,Metrik!$C$2:$Y$959,5,0)</f>
        <v>Food &amp; Staples Retailing</v>
      </c>
      <c r="AB582" s="24" t="str">
        <f>VLOOKUP(A582,Metrik!$C$2:$Y$959,3,0)</f>
        <v>Consumer Non-Cyclicals</v>
      </c>
    </row>
    <row r="583">
      <c r="A583" s="14" t="s">
        <v>319</v>
      </c>
      <c r="B583" s="14" t="str">
        <f t="array" ref="B583">VLOOKUP(A583,{Metrik!$C$2:$C$998,Metrik!$B$2:$B$998},2,0)</f>
        <v>DCI Indonesia Tbk.</v>
      </c>
      <c r="C583" s="15">
        <f>IFERROR(__xludf.DUMMYFUNCTION("GOOGLEFINANCE(""IDX:""&amp;A583,""price"")"),188800.0)</f>
        <v>188800</v>
      </c>
      <c r="D583" s="16" t="str">
        <f>IFERROR(__xludf.DUMMYFUNCTION("IF(A583="""","""",
SPARKLINE(
INDEX(
GOOGLEFINANCE(""IDX:""&amp;A583,""close"",TODAY()-365,TODAY()),
,2
),
{""linewidth"",1}
))
"),"#N/A")</f>
        <v>#N/A</v>
      </c>
      <c r="E583" s="26"/>
      <c r="F583" s="26"/>
      <c r="G583" s="24">
        <f t="shared" si="4"/>
        <v>0</v>
      </c>
      <c r="H583" s="19">
        <f>VLOOKUP(A583,Metrik!$C$2:$Y$959,8,0)</f>
        <v>480</v>
      </c>
      <c r="I583" s="20">
        <f>VLOOKUP(A583,Metrik!$C$2:$Y$959,9,0)</f>
        <v>110</v>
      </c>
      <c r="J583" s="20">
        <f>VLOOKUP(A583,Metrik!$C$2:$Y$959,10,0)</f>
        <v>21.9</v>
      </c>
      <c r="K583" s="20">
        <f>VLOOKUP(A583,Metrik!$C$2:$Y$959,11,0)</f>
        <v>13.2</v>
      </c>
      <c r="L583" s="20">
        <f>VLOOKUP(A583,Metrik!$C$2:$Y$959,12,0)</f>
        <v>0.66</v>
      </c>
      <c r="M583" s="20">
        <f>VLOOKUP(A583,Metrik!$C$2:$Y$959,19,0)</f>
        <v>110</v>
      </c>
      <c r="N583" s="21"/>
      <c r="O583" s="21"/>
      <c r="P583" s="21"/>
      <c r="Q583" s="21"/>
      <c r="R583" s="21"/>
      <c r="S583" s="21"/>
      <c r="T583" s="21"/>
      <c r="U583" s="22">
        <f>IFERROR(__xludf.DUMMYFUNCTION("IFERROR(GOOGLEFINANCE(A583,""closeyest""),"""")"),188775.0)</f>
        <v>188775</v>
      </c>
      <c r="V583" s="23">
        <f>IFERROR(__xludf.DUMMYFUNCTION("IFERROR(GOOGLEFINANCE(A583,""changepct""),"""")"),0.01)</f>
        <v>0.01</v>
      </c>
      <c r="W583" s="22">
        <f>IFERROR(__xludf.DUMMYFUNCTION("IFERROR(GOOGLEFINANCE(A583,""priceopen""),"""")"),188825.0)</f>
        <v>188825</v>
      </c>
      <c r="X583" s="22">
        <f>IFERROR(__xludf.DUMMYFUNCTION("IFERROR(GOOGLEFINANCE(A583,""high""),"""")"),188825.0)</f>
        <v>188825</v>
      </c>
      <c r="Y583" s="22">
        <f>IFERROR(__xludf.DUMMYFUNCTION("IFERROR(GOOGLEFINANCE(A583,""low""),"""")"),188775.0)</f>
        <v>188775</v>
      </c>
      <c r="Z583" s="22" t="str">
        <f>IFERROR(__xludf.DUMMYFUNCTION("IFERROR(GOOGLEFINANCE(A583,""volume""),"""")"),"")</f>
        <v/>
      </c>
      <c r="AA583" s="24" t="str">
        <f>VLOOKUP(A583,Metrik!$C$2:$Y$959,5,0)</f>
        <v>IT Services &amp; Consulting</v>
      </c>
      <c r="AB583" s="24" t="str">
        <f>VLOOKUP(A583,Metrik!$C$2:$Y$959,3,0)</f>
        <v>Technology</v>
      </c>
    </row>
    <row r="584">
      <c r="A584" s="14" t="s">
        <v>320</v>
      </c>
      <c r="B584" s="14" t="str">
        <f t="array" ref="B584">VLOOKUP(A584,{Metrik!$C$2:$C$998,Metrik!$B$2:$B$998},2,0)</f>
        <v>Dewata Freightinternational Tbk.</v>
      </c>
      <c r="C584" s="15">
        <f>IFERROR(__xludf.DUMMYFUNCTION("GOOGLEFINANCE(""IDX:""&amp;A584,""price"")"),6.0)</f>
        <v>6</v>
      </c>
      <c r="D584" s="16" t="str">
        <f>IFERROR(__xludf.DUMMYFUNCTION("IF(A584="""","""",
SPARKLINE(
INDEX(
GOOGLEFINANCE(""IDX:""&amp;A584,""close"",TODAY()-365,TODAY()),
,2
),
{""linewidth"",1}
))
"),"#N/A")</f>
        <v>#N/A</v>
      </c>
      <c r="E584" s="26"/>
      <c r="F584" s="26"/>
      <c r="G584" s="24">
        <f t="shared" si="4"/>
        <v>0</v>
      </c>
      <c r="H584" s="19">
        <f>VLOOKUP(A584,Metrik!$C$2:$Y$959,8,0)</f>
        <v>0</v>
      </c>
      <c r="I584" s="20">
        <f>VLOOKUP(A584,Metrik!$C$2:$Y$959,9,0)</f>
        <v>-0.12</v>
      </c>
      <c r="J584" s="20">
        <f>VLOOKUP(A584,Metrik!$C$2:$Y$959,10,0)</f>
        <v>0</v>
      </c>
      <c r="K584" s="20">
        <f>VLOOKUP(A584,Metrik!$C$2:$Y$959,11,0)</f>
        <v>-11.9</v>
      </c>
      <c r="L584" s="20">
        <f>VLOOKUP(A584,Metrik!$C$2:$Y$959,12,0)</f>
        <v>-3.6</v>
      </c>
      <c r="M584" s="20">
        <f>VLOOKUP(A584,Metrik!$C$2:$Y$959,19,0)</f>
        <v>-53.8</v>
      </c>
      <c r="N584" s="21"/>
      <c r="O584" s="21"/>
      <c r="P584" s="21"/>
      <c r="Q584" s="21"/>
      <c r="R584" s="21"/>
      <c r="S584" s="21"/>
      <c r="T584" s="21"/>
      <c r="U584" s="22">
        <f>IFERROR(__xludf.DUMMYFUNCTION("IFERROR(GOOGLEFINANCE(A584,""closeyest""),"""")"),0.01)</f>
        <v>0.01</v>
      </c>
      <c r="V584" s="23">
        <f>IFERROR(__xludf.DUMMYFUNCTION("IFERROR(GOOGLEFINANCE(A584,""changepct""),"""")"),0.0)</f>
        <v>0</v>
      </c>
      <c r="W584" s="22" t="str">
        <f>IFERROR(__xludf.DUMMYFUNCTION("IFERROR(GOOGLEFINANCE(A584,""priceopen""),"""")"),"")</f>
        <v/>
      </c>
      <c r="X584" s="22" t="str">
        <f>IFERROR(__xludf.DUMMYFUNCTION("IFERROR(GOOGLEFINANCE(A584,""high""),"""")"),"")</f>
        <v/>
      </c>
      <c r="Y584" s="22" t="str">
        <f>IFERROR(__xludf.DUMMYFUNCTION("IFERROR(GOOGLEFINANCE(A584,""low""),"""")"),"")</f>
        <v/>
      </c>
      <c r="Z584" s="22">
        <f>IFERROR(__xludf.DUMMYFUNCTION("IFERROR(GOOGLEFINANCE(A584,""volume""),"""")"),1.0)</f>
        <v>1</v>
      </c>
      <c r="AA584" s="24" t="str">
        <f>VLOOKUP(A584,Metrik!$C$2:$Y$959,5,0)</f>
        <v>Logistics &amp; Deliveries</v>
      </c>
      <c r="AB584" s="24" t="str">
        <f>VLOOKUP(A584,Metrik!$C$2:$Y$959,3,0)</f>
        <v>Transportation &amp; Logistic</v>
      </c>
    </row>
    <row r="585">
      <c r="A585" s="14" t="s">
        <v>321</v>
      </c>
      <c r="B585" s="14" t="str">
        <f t="array" ref="B585">VLOOKUP(A585,{Metrik!$C$2:$C$998,Metrik!$B$2:$B$998},2,0)</f>
        <v>Danasupra Erapacific Tbk.</v>
      </c>
      <c r="C585" s="15">
        <f>IFERROR(__xludf.DUMMYFUNCTION("GOOGLEFINANCE(""IDX:""&amp;A585,""price"")"),113.0)</f>
        <v>113</v>
      </c>
      <c r="D585" s="16" t="str">
        <f>IFERROR(__xludf.DUMMYFUNCTION("IF(A585="""","""",
SPARKLINE(
INDEX(
GOOGLEFINANCE(""IDX:""&amp;A585,""close"",TODAY()-365,TODAY()),
,2
),
{""linewidth"",1}
))
"),"#N/A")</f>
        <v>#N/A</v>
      </c>
      <c r="E585" s="26"/>
      <c r="F585" s="26"/>
      <c r="G585" s="24">
        <f t="shared" si="4"/>
        <v>0</v>
      </c>
      <c r="H585" s="19">
        <f>VLOOKUP(A585,Metrik!$C$2:$Y$959,8,0)</f>
        <v>-8.3</v>
      </c>
      <c r="I585" s="20">
        <f>VLOOKUP(A585,Metrik!$C$2:$Y$959,9,0)</f>
        <v>3.4</v>
      </c>
      <c r="J585" s="20">
        <f>VLOOKUP(A585,Metrik!$C$2:$Y$959,10,0)</f>
        <v>-40.4</v>
      </c>
      <c r="K585" s="20">
        <f>VLOOKUP(A585,Metrik!$C$2:$Y$959,11,0)</f>
        <v>-36.1</v>
      </c>
      <c r="L585" s="20">
        <f>VLOOKUP(A585,Metrik!$C$2:$Y$959,12,0)</f>
        <v>0.12</v>
      </c>
      <c r="M585" s="20">
        <f>VLOOKUP(A585,Metrik!$C$2:$Y$959,19,0)</f>
        <v>-810</v>
      </c>
      <c r="N585" s="21"/>
      <c r="O585" s="21"/>
      <c r="P585" s="21"/>
      <c r="Q585" s="21"/>
      <c r="R585" s="21"/>
      <c r="S585" s="21"/>
      <c r="T585" s="21"/>
      <c r="U585" s="22">
        <f>IFERROR(__xludf.DUMMYFUNCTION("IFERROR(GOOGLEFINANCE(A585,""closeyest""),"""")"),69.23)</f>
        <v>69.23</v>
      </c>
      <c r="V585" s="23">
        <f>IFERROR(__xludf.DUMMYFUNCTION("IFERROR(GOOGLEFINANCE(A585,""changepct""),"""")"),4.14)</f>
        <v>4.14</v>
      </c>
      <c r="W585" s="22">
        <f>IFERROR(__xludf.DUMMYFUNCTION("IFERROR(GOOGLEFINANCE(A585,""priceopen""),"""")"),71.66)</f>
        <v>71.66</v>
      </c>
      <c r="X585" s="22">
        <f>IFERROR(__xludf.DUMMYFUNCTION("IFERROR(GOOGLEFINANCE(A585,""high""),"""")"),72.09)</f>
        <v>72.09</v>
      </c>
      <c r="Y585" s="22">
        <f>IFERROR(__xludf.DUMMYFUNCTION("IFERROR(GOOGLEFINANCE(A585,""low""),"""")"),71.66)</f>
        <v>71.66</v>
      </c>
      <c r="Z585" s="22">
        <f>IFERROR(__xludf.DUMMYFUNCTION("IFERROR(GOOGLEFINANCE(A585,""volume""),"""")"),19.0)</f>
        <v>19</v>
      </c>
      <c r="AA585" s="24" t="str">
        <f>VLOOKUP(A585,Metrik!$C$2:$Y$959,5,0)</f>
        <v>Holding &amp; Investment Companies</v>
      </c>
      <c r="AB585" s="24" t="str">
        <f>VLOOKUP(A585,Metrik!$C$2:$Y$959,3,0)</f>
        <v>Financials</v>
      </c>
    </row>
    <row r="586">
      <c r="A586" s="14" t="s">
        <v>322</v>
      </c>
      <c r="B586" s="14" t="str">
        <f t="array" ref="B586">VLOOKUP(A586,{Metrik!$C$2:$C$998,Metrik!$B$2:$B$998},2,0)</f>
        <v>Caturkarda Depo Bangunan Tbk.</v>
      </c>
      <c r="C586" s="15">
        <f>IFERROR(__xludf.DUMMYFUNCTION("GOOGLEFINANCE(""IDX:""&amp;A586,""price"")"),238.0)</f>
        <v>238</v>
      </c>
      <c r="D586" s="16" t="str">
        <f>IFERROR(__xludf.DUMMYFUNCTION("IF(A586="""","""",
SPARKLINE(
INDEX(
GOOGLEFINANCE(""IDX:""&amp;A586,""close"",TODAY()-365,TODAY()),
,2
),
{""linewidth"",1}
))
"),"#N/A")</f>
        <v>#N/A</v>
      </c>
      <c r="E586" s="26"/>
      <c r="F586" s="26"/>
      <c r="G586" s="24">
        <f t="shared" si="4"/>
        <v>0</v>
      </c>
      <c r="H586" s="19">
        <f>VLOOKUP(A586,Metrik!$C$2:$Y$959,8,0)</f>
        <v>22.7</v>
      </c>
      <c r="I586" s="20">
        <f>VLOOKUP(A586,Metrik!$C$2:$Y$959,9,0)</f>
        <v>1.2</v>
      </c>
      <c r="J586" s="20">
        <f>VLOOKUP(A586,Metrik!$C$2:$Y$959,10,0)</f>
        <v>5.5</v>
      </c>
      <c r="K586" s="20">
        <f>VLOOKUP(A586,Metrik!$C$2:$Y$959,11,0)</f>
        <v>3.3</v>
      </c>
      <c r="L586" s="20">
        <f>VLOOKUP(A586,Metrik!$C$2:$Y$959,12,0)</f>
        <v>0.67</v>
      </c>
      <c r="M586" s="20">
        <f>VLOOKUP(A586,Metrik!$C$2:$Y$959,19,0)</f>
        <v>11.7</v>
      </c>
      <c r="N586" s="21"/>
      <c r="O586" s="21"/>
      <c r="P586" s="21"/>
      <c r="Q586" s="21"/>
      <c r="R586" s="21"/>
      <c r="S586" s="21"/>
      <c r="T586" s="21"/>
      <c r="U586" s="22">
        <f>IFERROR(__xludf.DUMMYFUNCTION("IFERROR(GOOGLEFINANCE(A586,""closeyest""),"""")"),238.0)</f>
        <v>238</v>
      </c>
      <c r="V586" s="23">
        <f>IFERROR(__xludf.DUMMYFUNCTION("IFERROR(GOOGLEFINANCE(A586,""changepct""),"""")"),0.0)</f>
        <v>0</v>
      </c>
      <c r="W586" s="22">
        <f>IFERROR(__xludf.DUMMYFUNCTION("IFERROR(GOOGLEFINANCE(A586,""priceopen""),"""")"),238.0)</f>
        <v>238</v>
      </c>
      <c r="X586" s="22">
        <f>IFERROR(__xludf.DUMMYFUNCTION("IFERROR(GOOGLEFINANCE(A586,""high""),"""")"),250.0)</f>
        <v>250</v>
      </c>
      <c r="Y586" s="22">
        <f>IFERROR(__xludf.DUMMYFUNCTION("IFERROR(GOOGLEFINANCE(A586,""low""),"""")"),230.0)</f>
        <v>230</v>
      </c>
      <c r="Z586" s="22">
        <f>IFERROR(__xludf.DUMMYFUNCTION("IFERROR(GOOGLEFINANCE(A586,""volume""),"""")"),24600.0)</f>
        <v>24600</v>
      </c>
      <c r="AA586" s="24" t="str">
        <f>VLOOKUP(A586,Metrik!$C$2:$Y$959,5,0)</f>
        <v>Specialty Retail</v>
      </c>
      <c r="AB586" s="24" t="str">
        <f>VLOOKUP(A586,Metrik!$C$2:$Y$959,3,0)</f>
        <v>Consumer Cyclicals</v>
      </c>
    </row>
    <row r="587">
      <c r="A587" s="17" t="s">
        <v>323</v>
      </c>
      <c r="B587" s="14" t="str">
        <f t="array" ref="B587">VLOOKUP(A587,{Metrik!$C$2:$C$998,Metrik!$B$2:$B$998},2,0)</f>
        <v>Darma Henwa Tbk</v>
      </c>
      <c r="C587" s="15">
        <f>IFERROR(__xludf.DUMMYFUNCTION("GOOGLEFINANCE(""IDX:""&amp;A587,""price"")"),330.0)</f>
        <v>330</v>
      </c>
      <c r="D587" s="16" t="str">
        <f>IFERROR(__xludf.DUMMYFUNCTION("IF(A587="""","""",
SPARKLINE(
INDEX(
GOOGLEFINANCE(""IDX:""&amp;A587,""close"",TODAY()-365,TODAY()),
,2
),
{""linewidth"",1}
))
"),"#N/A")</f>
        <v>#N/A</v>
      </c>
      <c r="E587" s="14" t="s">
        <v>31</v>
      </c>
      <c r="F587" s="17" t="s">
        <v>29</v>
      </c>
      <c r="G587" s="24">
        <f t="shared" si="4"/>
        <v>7</v>
      </c>
      <c r="H587" s="19">
        <f>VLOOKUP(A587,Metrik!$C$2:$Y$959,8,0)</f>
        <v>3.1</v>
      </c>
      <c r="I587" s="20">
        <f>VLOOKUP(A587,Metrik!$C$2:$Y$959,9,0)</f>
        <v>1.7</v>
      </c>
      <c r="J587" s="20">
        <f>VLOOKUP(A587,Metrik!$C$2:$Y$959,10,0)</f>
        <v>54.9</v>
      </c>
      <c r="K587" s="20">
        <f>VLOOKUP(A587,Metrik!$C$2:$Y$959,11,0)</f>
        <v>27.2</v>
      </c>
      <c r="L587" s="20">
        <f>VLOOKUP(A587,Metrik!$C$2:$Y$959,12,0)</f>
        <v>1</v>
      </c>
      <c r="M587" s="20">
        <f>VLOOKUP(A587,Metrik!$C$2:$Y$959,19,0)</f>
        <v>280</v>
      </c>
      <c r="N587" s="21"/>
      <c r="O587" s="21"/>
      <c r="P587" s="21"/>
      <c r="Q587" s="21"/>
      <c r="R587" s="21"/>
      <c r="S587" s="21"/>
      <c r="T587" s="21"/>
      <c r="U587" s="22">
        <f>IFERROR(__xludf.DUMMYFUNCTION("IFERROR(GOOGLEFINANCE(A587,""closeyest""),"""")"),294.0)</f>
        <v>294</v>
      </c>
      <c r="V587" s="23">
        <f>IFERROR(__xludf.DUMMYFUNCTION("IFERROR(GOOGLEFINANCE(A587,""changepct""),"""")"),12.24)</f>
        <v>12.24</v>
      </c>
      <c r="W587" s="22">
        <f>IFERROR(__xludf.DUMMYFUNCTION("IFERROR(GOOGLEFINANCE(A587,""priceopen""),"""")"),300.0)</f>
        <v>300</v>
      </c>
      <c r="X587" s="22">
        <f>IFERROR(__xludf.DUMMYFUNCTION("IFERROR(GOOGLEFINANCE(A587,""high""),"""")"),334.0)</f>
        <v>334</v>
      </c>
      <c r="Y587" s="22">
        <f>IFERROR(__xludf.DUMMYFUNCTION("IFERROR(GOOGLEFINANCE(A587,""low""),"""")"),300.0)</f>
        <v>300</v>
      </c>
      <c r="Z587" s="22">
        <f>IFERROR(__xludf.DUMMYFUNCTION("IFERROR(GOOGLEFINANCE(A587,""volume""),"""")"),1.0533147E9)</f>
        <v>1053314700</v>
      </c>
      <c r="AA587" s="24" t="str">
        <f>VLOOKUP(A587,Metrik!$C$2:$Y$959,5,0)</f>
        <v>Oil, Gas &amp; Coal Supports</v>
      </c>
      <c r="AB587" s="24" t="str">
        <f>VLOOKUP(A587,Metrik!$C$2:$Y$959,3,0)</f>
        <v>Energy</v>
      </c>
    </row>
    <row r="588">
      <c r="A588" s="14" t="s">
        <v>323</v>
      </c>
      <c r="B588" s="14" t="str">
        <f t="array" ref="B588">VLOOKUP(A588,{Metrik!$C$2:$C$998,Metrik!$B$2:$B$998},2,0)</f>
        <v>Darma Henwa Tbk</v>
      </c>
      <c r="C588" s="15">
        <f>IFERROR(__xludf.DUMMYFUNCTION("GOOGLEFINANCE(""IDX:""&amp;A588,""price"")"),330.0)</f>
        <v>330</v>
      </c>
      <c r="D588" s="16" t="str">
        <f>IFERROR(__xludf.DUMMYFUNCTION("IF(A588="""","""",
SPARKLINE(
INDEX(
GOOGLEFINANCE(""IDX:""&amp;A588,""close"",TODAY()-365,TODAY()),
,2
),
{""linewidth"",1}
))
"),"#N/A")</f>
        <v>#N/A</v>
      </c>
      <c r="E588" s="14" t="s">
        <v>32</v>
      </c>
      <c r="F588" s="14" t="s">
        <v>29</v>
      </c>
      <c r="G588" s="24">
        <f t="shared" si="4"/>
        <v>7</v>
      </c>
      <c r="H588" s="19">
        <f>VLOOKUP(A588,Metrik!$C$2:$Y$959,8,0)</f>
        <v>3.1</v>
      </c>
      <c r="I588" s="20">
        <f>VLOOKUP(A588,Metrik!$C$2:$Y$959,9,0)</f>
        <v>1.7</v>
      </c>
      <c r="J588" s="20">
        <f>VLOOKUP(A588,Metrik!$C$2:$Y$959,10,0)</f>
        <v>54.9</v>
      </c>
      <c r="K588" s="20">
        <f>VLOOKUP(A588,Metrik!$C$2:$Y$959,11,0)</f>
        <v>27.2</v>
      </c>
      <c r="L588" s="20">
        <f>VLOOKUP(A588,Metrik!$C$2:$Y$959,12,0)</f>
        <v>1</v>
      </c>
      <c r="M588" s="20">
        <f>VLOOKUP(A588,Metrik!$C$2:$Y$959,19,0)</f>
        <v>280</v>
      </c>
      <c r="N588" s="21"/>
      <c r="O588" s="21"/>
      <c r="P588" s="21"/>
      <c r="Q588" s="21"/>
      <c r="R588" s="21"/>
      <c r="S588" s="21"/>
      <c r="T588" s="21"/>
      <c r="U588" s="22">
        <f>IFERROR(__xludf.DUMMYFUNCTION("IFERROR(GOOGLEFINANCE(A588,""closeyest""),"""")"),294.0)</f>
        <v>294</v>
      </c>
      <c r="V588" s="23">
        <f>IFERROR(__xludf.DUMMYFUNCTION("IFERROR(GOOGLEFINANCE(A588,""changepct""),"""")"),12.24)</f>
        <v>12.24</v>
      </c>
      <c r="W588" s="22">
        <f>IFERROR(__xludf.DUMMYFUNCTION("IFERROR(GOOGLEFINANCE(A588,""priceopen""),"""")"),300.0)</f>
        <v>300</v>
      </c>
      <c r="X588" s="22">
        <f>IFERROR(__xludf.DUMMYFUNCTION("IFERROR(GOOGLEFINANCE(A588,""high""),"""")"),334.0)</f>
        <v>334</v>
      </c>
      <c r="Y588" s="22">
        <f>IFERROR(__xludf.DUMMYFUNCTION("IFERROR(GOOGLEFINANCE(A588,""low""),"""")"),300.0)</f>
        <v>300</v>
      </c>
      <c r="Z588" s="22">
        <f>IFERROR(__xludf.DUMMYFUNCTION("IFERROR(GOOGLEFINANCE(A588,""volume""),"""")"),1.0533147E9)</f>
        <v>1053314700</v>
      </c>
      <c r="AA588" s="24" t="str">
        <f>VLOOKUP(A588,Metrik!$C$2:$Y$959,5,0)</f>
        <v>Oil, Gas &amp; Coal Supports</v>
      </c>
      <c r="AB588" s="24" t="str">
        <f>VLOOKUP(A588,Metrik!$C$2:$Y$959,3,0)</f>
        <v>Energy</v>
      </c>
    </row>
    <row r="589">
      <c r="A589" s="14" t="s">
        <v>323</v>
      </c>
      <c r="B589" s="14" t="str">
        <f t="array" ref="B589">VLOOKUP(A589,{Metrik!$C$2:$C$998,Metrik!$B$2:$B$998},2,0)</f>
        <v>Darma Henwa Tbk</v>
      </c>
      <c r="C589" s="15">
        <f>IFERROR(__xludf.DUMMYFUNCTION("GOOGLEFINANCE(""IDX:""&amp;A589,""price"")"),330.0)</f>
        <v>330</v>
      </c>
      <c r="D589" s="16" t="str">
        <f>IFERROR(__xludf.DUMMYFUNCTION("IF(A589="""","""",
SPARKLINE(
INDEX(
GOOGLEFINANCE(""IDX:""&amp;A589,""close"",TODAY()-365,TODAY()),
,2
),
{""linewidth"",1}
))
"),"#N/A")</f>
        <v>#N/A</v>
      </c>
      <c r="E589" s="14" t="s">
        <v>41</v>
      </c>
      <c r="F589" s="14" t="s">
        <v>34</v>
      </c>
      <c r="G589" s="24">
        <f t="shared" si="4"/>
        <v>7</v>
      </c>
      <c r="H589" s="19">
        <f>VLOOKUP(A589,Metrik!$C$2:$Y$959,8,0)</f>
        <v>3.1</v>
      </c>
      <c r="I589" s="20">
        <f>VLOOKUP(A589,Metrik!$C$2:$Y$959,9,0)</f>
        <v>1.7</v>
      </c>
      <c r="J589" s="20">
        <f>VLOOKUP(A589,Metrik!$C$2:$Y$959,10,0)</f>
        <v>54.9</v>
      </c>
      <c r="K589" s="20">
        <f>VLOOKUP(A589,Metrik!$C$2:$Y$959,11,0)</f>
        <v>27.2</v>
      </c>
      <c r="L589" s="20">
        <f>VLOOKUP(A589,Metrik!$C$2:$Y$959,12,0)</f>
        <v>1</v>
      </c>
      <c r="M589" s="20">
        <f>VLOOKUP(A589,Metrik!$C$2:$Y$959,19,0)</f>
        <v>280</v>
      </c>
      <c r="N589" s="21"/>
      <c r="O589" s="21"/>
      <c r="P589" s="21"/>
      <c r="Q589" s="21"/>
      <c r="R589" s="21"/>
      <c r="S589" s="21"/>
      <c r="T589" s="21"/>
      <c r="U589" s="22">
        <f>IFERROR(__xludf.DUMMYFUNCTION("IFERROR(GOOGLEFINANCE(A589,""closeyest""),"""")"),294.0)</f>
        <v>294</v>
      </c>
      <c r="V589" s="23">
        <f>IFERROR(__xludf.DUMMYFUNCTION("IFERROR(GOOGLEFINANCE(A589,""changepct""),"""")"),12.24)</f>
        <v>12.24</v>
      </c>
      <c r="W589" s="22">
        <f>IFERROR(__xludf.DUMMYFUNCTION("IFERROR(GOOGLEFINANCE(A589,""priceopen""),"""")"),300.0)</f>
        <v>300</v>
      </c>
      <c r="X589" s="22">
        <f>IFERROR(__xludf.DUMMYFUNCTION("IFERROR(GOOGLEFINANCE(A589,""high""),"""")"),334.0)</f>
        <v>334</v>
      </c>
      <c r="Y589" s="22">
        <f>IFERROR(__xludf.DUMMYFUNCTION("IFERROR(GOOGLEFINANCE(A589,""low""),"""")"),300.0)</f>
        <v>300</v>
      </c>
      <c r="Z589" s="22">
        <f>IFERROR(__xludf.DUMMYFUNCTION("IFERROR(GOOGLEFINANCE(A589,""volume""),"""")"),1.0533147E9)</f>
        <v>1053314700</v>
      </c>
      <c r="AA589" s="24" t="str">
        <f>VLOOKUP(A589,Metrik!$C$2:$Y$959,5,0)</f>
        <v>Oil, Gas &amp; Coal Supports</v>
      </c>
      <c r="AB589" s="24" t="str">
        <f>VLOOKUP(A589,Metrik!$C$2:$Y$959,3,0)</f>
        <v>Energy</v>
      </c>
    </row>
    <row r="590">
      <c r="A590" s="17" t="s">
        <v>323</v>
      </c>
      <c r="B590" s="14" t="str">
        <f t="array" ref="B590">VLOOKUP(A590,{Metrik!$C$2:$C$998,Metrik!$B$2:$B$998},2,0)</f>
        <v>Darma Henwa Tbk</v>
      </c>
      <c r="C590" s="15">
        <f>IFERROR(__xludf.DUMMYFUNCTION("GOOGLEFINANCE(""IDX:""&amp;A590,""price"")"),330.0)</f>
        <v>330</v>
      </c>
      <c r="D590" s="16" t="str">
        <f>IFERROR(__xludf.DUMMYFUNCTION("IF(A590="""","""",
SPARKLINE(
INDEX(
GOOGLEFINANCE(""IDX:""&amp;A590,""close"",TODAY()-365,TODAY()),
,2
),
{""linewidth"",1}
))
"),"#N/A")</f>
        <v>#N/A</v>
      </c>
      <c r="E590" s="14" t="s">
        <v>28</v>
      </c>
      <c r="F590" s="17" t="s">
        <v>29</v>
      </c>
      <c r="G590" s="38">
        <f>COUNTIFS($B$2:$B$1935,B590,$E$2:$E$1935,"&lt;&gt;")</f>
        <v>7</v>
      </c>
      <c r="H590" s="19">
        <f>VLOOKUP(A590,Metrik!$C$2:$Y$959,8,0)</f>
        <v>3.1</v>
      </c>
      <c r="I590" s="20">
        <f>VLOOKUP(A590,Metrik!$C$2:$Y$959,9,0)</f>
        <v>1.7</v>
      </c>
      <c r="J590" s="20">
        <f>VLOOKUP(A590,Metrik!$C$2:$Y$959,10,0)</f>
        <v>54.9</v>
      </c>
      <c r="K590" s="20">
        <f>VLOOKUP(A590,Metrik!$C$2:$Y$959,11,0)</f>
        <v>27.2</v>
      </c>
      <c r="L590" s="20">
        <f>VLOOKUP(A590,Metrik!$C$2:$Y$959,12,0)</f>
        <v>1</v>
      </c>
      <c r="M590" s="20">
        <f>VLOOKUP(A590,Metrik!$C$2:$Y$959,19,0)</f>
        <v>280</v>
      </c>
      <c r="N590" s="21"/>
      <c r="O590" s="21"/>
      <c r="P590" s="21"/>
      <c r="Q590" s="21"/>
      <c r="R590" s="21"/>
      <c r="S590" s="21"/>
      <c r="T590" s="21"/>
      <c r="U590" s="22">
        <f>IFERROR(__xludf.DUMMYFUNCTION("IFERROR(GOOGLEFINANCE(A590,""closeyest""),"""")"),294.0)</f>
        <v>294</v>
      </c>
      <c r="V590" s="23">
        <f>IFERROR(__xludf.DUMMYFUNCTION("IFERROR(GOOGLEFINANCE(A590,""changepct""),"""")"),12.24)</f>
        <v>12.24</v>
      </c>
      <c r="W590" s="22">
        <f>IFERROR(__xludf.DUMMYFUNCTION("IFERROR(GOOGLEFINANCE(A590,""priceopen""),"""")"),300.0)</f>
        <v>300</v>
      </c>
      <c r="X590" s="22">
        <f>IFERROR(__xludf.DUMMYFUNCTION("IFERROR(GOOGLEFINANCE(A590,""high""),"""")"),334.0)</f>
        <v>334</v>
      </c>
      <c r="Y590" s="22">
        <f>IFERROR(__xludf.DUMMYFUNCTION("IFERROR(GOOGLEFINANCE(A590,""low""),"""")"),300.0)</f>
        <v>300</v>
      </c>
      <c r="Z590" s="22">
        <f>IFERROR(__xludf.DUMMYFUNCTION("IFERROR(GOOGLEFINANCE(A590,""volume""),"""")"),1.0533147E9)</f>
        <v>1053314700</v>
      </c>
      <c r="AA590" s="24" t="str">
        <f>VLOOKUP(A590,Metrik!$C$2:$Y$959,5,0)</f>
        <v>Oil, Gas &amp; Coal Supports</v>
      </c>
      <c r="AB590" s="24" t="str">
        <f>VLOOKUP(A590,Metrik!$C$2:$Y$959,3,0)</f>
        <v>Energy</v>
      </c>
    </row>
    <row r="591">
      <c r="A591" s="17" t="s">
        <v>323</v>
      </c>
      <c r="B591" s="14" t="str">
        <f t="array" ref="B591">VLOOKUP(A591,{Metrik!$C$2:$C$998,Metrik!$B$2:$B$998},2,0)</f>
        <v>Darma Henwa Tbk</v>
      </c>
      <c r="C591" s="15">
        <f>IFERROR(__xludf.DUMMYFUNCTION("GOOGLEFINANCE(""IDX:""&amp;A591,""price"")"),330.0)</f>
        <v>330</v>
      </c>
      <c r="D591" s="16" t="str">
        <f>IFERROR(__xludf.DUMMYFUNCTION("IF(A591="""","""",
SPARKLINE(
INDEX(
GOOGLEFINANCE(""IDX:""&amp;A591,""close"",TODAY()-365,TODAY()),
,2
),
{""linewidth"",1}
))
"),"#N/A")</f>
        <v>#N/A</v>
      </c>
      <c r="E591" s="14" t="s">
        <v>67</v>
      </c>
      <c r="F591" s="17" t="s">
        <v>51</v>
      </c>
      <c r="G591" s="38">
        <f>COUNTIFS($B$2:$B$1934,B591,$E$2:$E$1934,"&lt;&gt;")</f>
        <v>7</v>
      </c>
      <c r="H591" s="19">
        <f>VLOOKUP(A591,Metrik!$C$2:$Y$959,8,0)</f>
        <v>3.1</v>
      </c>
      <c r="I591" s="20">
        <f>VLOOKUP(A591,Metrik!$C$2:$Y$959,9,0)</f>
        <v>1.7</v>
      </c>
      <c r="J591" s="20">
        <f>VLOOKUP(A591,Metrik!$C$2:$Y$959,10,0)</f>
        <v>54.9</v>
      </c>
      <c r="K591" s="20">
        <f>VLOOKUP(A591,Metrik!$C$2:$Y$959,11,0)</f>
        <v>27.2</v>
      </c>
      <c r="L591" s="20">
        <f>VLOOKUP(A591,Metrik!$C$2:$Y$959,12,0)</f>
        <v>1</v>
      </c>
      <c r="M591" s="20">
        <f>VLOOKUP(A591,Metrik!$C$2:$Y$959,19,0)</f>
        <v>280</v>
      </c>
      <c r="N591" s="46"/>
      <c r="O591" s="46"/>
      <c r="P591" s="46"/>
      <c r="Q591" s="46"/>
      <c r="R591" s="46"/>
      <c r="S591" s="46"/>
      <c r="T591" s="46"/>
      <c r="U591" s="22">
        <f>IFERROR(__xludf.DUMMYFUNCTION("IFERROR(GOOGLEFINANCE(A591,""closeyest""),"""")"),294.0)</f>
        <v>294</v>
      </c>
      <c r="V591" s="23">
        <f>IFERROR(__xludf.DUMMYFUNCTION("IFERROR(GOOGLEFINANCE(A591,""changepct""),"""")"),12.24)</f>
        <v>12.24</v>
      </c>
      <c r="W591" s="22">
        <f>IFERROR(__xludf.DUMMYFUNCTION("IFERROR(GOOGLEFINANCE(A591,""priceopen""),"""")"),300.0)</f>
        <v>300</v>
      </c>
      <c r="X591" s="22">
        <f>IFERROR(__xludf.DUMMYFUNCTION("IFERROR(GOOGLEFINANCE(A591,""high""),"""")"),334.0)</f>
        <v>334</v>
      </c>
      <c r="Y591" s="22">
        <f>IFERROR(__xludf.DUMMYFUNCTION("IFERROR(GOOGLEFINANCE(A591,""low""),"""")"),300.0)</f>
        <v>300</v>
      </c>
      <c r="Z591" s="22">
        <f>IFERROR(__xludf.DUMMYFUNCTION("IFERROR(GOOGLEFINANCE(A591,""volume""),"""")"),1.0533147E9)</f>
        <v>1053314700</v>
      </c>
      <c r="AA591" s="24" t="str">
        <f>VLOOKUP(A591,Metrik!$C$2:$Y$959,5,0)</f>
        <v>Oil, Gas &amp; Coal Supports</v>
      </c>
      <c r="AB591" s="24" t="str">
        <f>VLOOKUP(A591,Metrik!$C$2:$Y$959,3,0)</f>
        <v>Energy</v>
      </c>
    </row>
    <row r="592">
      <c r="A592" s="17" t="s">
        <v>323</v>
      </c>
      <c r="B592" s="14" t="str">
        <f t="array" ref="B592">VLOOKUP(A592,{Metrik!$C$2:$C$998,Metrik!$B$2:$B$998},2,0)</f>
        <v>Darma Henwa Tbk</v>
      </c>
      <c r="C592" s="15">
        <f>IFERROR(__xludf.DUMMYFUNCTION("GOOGLEFINANCE(""IDX:""&amp;A592,""price"")"),330.0)</f>
        <v>330</v>
      </c>
      <c r="D592" s="16" t="str">
        <f>IFERROR(__xludf.DUMMYFUNCTION("IF(A592="""","""",
SPARKLINE(
INDEX(
GOOGLEFINANCE(""IDX:""&amp;A592,""close"",TODAY()-365,TODAY()),
,2
),
{""linewidth"",1}
))
"),"#N/A")</f>
        <v>#N/A</v>
      </c>
      <c r="E592" s="14" t="s">
        <v>38</v>
      </c>
      <c r="F592" s="25">
        <v>46356.0</v>
      </c>
      <c r="G592" s="18">
        <f t="shared" ref="G592:G745" si="5">COUNTIFS($B$2:$B$1937,B592,$E$2:$E$1937,"&lt;&gt;")</f>
        <v>7</v>
      </c>
      <c r="H592" s="19">
        <f>VLOOKUP(A592,Metrik!$C$2:$Y$959,8,0)</f>
        <v>3.1</v>
      </c>
      <c r="I592" s="20">
        <f>VLOOKUP(A592,Metrik!$C$2:$Y$959,9,0)</f>
        <v>1.7</v>
      </c>
      <c r="J592" s="20">
        <f>VLOOKUP(A592,Metrik!$C$2:$Y$959,10,0)</f>
        <v>54.9</v>
      </c>
      <c r="K592" s="20">
        <f>VLOOKUP(A592,Metrik!$C$2:$Y$959,11,0)</f>
        <v>27.2</v>
      </c>
      <c r="L592" s="20">
        <f>VLOOKUP(A592,Metrik!$C$2:$Y$959,12,0)</f>
        <v>1</v>
      </c>
      <c r="M592" s="20">
        <f>VLOOKUP(A592,Metrik!$C$2:$Y$959,19,0)</f>
        <v>280</v>
      </c>
      <c r="N592" s="21"/>
      <c r="O592" s="21"/>
      <c r="P592" s="21"/>
      <c r="Q592" s="21"/>
      <c r="R592" s="21"/>
      <c r="S592" s="21"/>
      <c r="T592" s="21"/>
      <c r="U592" s="22">
        <f>IFERROR(__xludf.DUMMYFUNCTION("IFERROR(GOOGLEFINANCE(A592,""closeyest""),"""")"),294.0)</f>
        <v>294</v>
      </c>
      <c r="V592" s="23">
        <f>IFERROR(__xludf.DUMMYFUNCTION("IFERROR(GOOGLEFINANCE(A592,""changepct""),"""")"),12.24)</f>
        <v>12.24</v>
      </c>
      <c r="W592" s="22">
        <f>IFERROR(__xludf.DUMMYFUNCTION("IFERROR(GOOGLEFINANCE(A592,""priceopen""),"""")"),300.0)</f>
        <v>300</v>
      </c>
      <c r="X592" s="22">
        <f>IFERROR(__xludf.DUMMYFUNCTION("IFERROR(GOOGLEFINANCE(A592,""high""),"""")"),334.0)</f>
        <v>334</v>
      </c>
      <c r="Y592" s="22">
        <f>IFERROR(__xludf.DUMMYFUNCTION("IFERROR(GOOGLEFINANCE(A592,""low""),"""")"),300.0)</f>
        <v>300</v>
      </c>
      <c r="Z592" s="22">
        <f>IFERROR(__xludf.DUMMYFUNCTION("IFERROR(GOOGLEFINANCE(A592,""volume""),"""")"),1.0533147E9)</f>
        <v>1053314700</v>
      </c>
      <c r="AA592" s="24" t="str">
        <f>VLOOKUP(A592,Metrik!$C$2:$Y$959,5,0)</f>
        <v>Oil, Gas &amp; Coal Supports</v>
      </c>
      <c r="AB592" s="24" t="str">
        <f>VLOOKUP(A592,Metrik!$C$2:$Y$959,3,0)</f>
        <v>Energy</v>
      </c>
    </row>
    <row r="593">
      <c r="A593" s="17" t="s">
        <v>323</v>
      </c>
      <c r="B593" s="14" t="str">
        <f t="array" ref="B593">VLOOKUP(A593,{Metrik!$C$2:$C$998,Metrik!$B$2:$B$998},2,0)</f>
        <v>Darma Henwa Tbk</v>
      </c>
      <c r="C593" s="15">
        <f>IFERROR(__xludf.DUMMYFUNCTION("GOOGLEFINANCE(""IDX:""&amp;A593,""price"")"),330.0)</f>
        <v>330</v>
      </c>
      <c r="D593" s="16" t="str">
        <f>IFERROR(__xludf.DUMMYFUNCTION("IF(A593="""","""",
SPARKLINE(
INDEX(
GOOGLEFINANCE(""IDX:""&amp;A593,""close"",TODAY()-365,TODAY()),
,2
),
{""linewidth"",1}
))
"),"#N/A")</f>
        <v>#N/A</v>
      </c>
      <c r="E593" s="14" t="s">
        <v>39</v>
      </c>
      <c r="F593" s="25">
        <v>46356.0</v>
      </c>
      <c r="G593" s="18">
        <f t="shared" si="5"/>
        <v>7</v>
      </c>
      <c r="H593" s="19">
        <f>VLOOKUP(A593,Metrik!$C$2:$Y$959,8,0)</f>
        <v>3.1</v>
      </c>
      <c r="I593" s="20">
        <f>VLOOKUP(A593,Metrik!$C$2:$Y$959,9,0)</f>
        <v>1.7</v>
      </c>
      <c r="J593" s="20">
        <f>VLOOKUP(A593,Metrik!$C$2:$Y$959,10,0)</f>
        <v>54.9</v>
      </c>
      <c r="K593" s="20">
        <f>VLOOKUP(A593,Metrik!$C$2:$Y$959,11,0)</f>
        <v>27.2</v>
      </c>
      <c r="L593" s="20">
        <f>VLOOKUP(A593,Metrik!$C$2:$Y$959,12,0)</f>
        <v>1</v>
      </c>
      <c r="M593" s="20">
        <f>VLOOKUP(A593,Metrik!$C$2:$Y$959,19,0)</f>
        <v>280</v>
      </c>
      <c r="N593" s="21"/>
      <c r="O593" s="21"/>
      <c r="P593" s="21"/>
      <c r="Q593" s="21"/>
      <c r="R593" s="21"/>
      <c r="S593" s="21"/>
      <c r="T593" s="21"/>
      <c r="U593" s="22">
        <f>IFERROR(__xludf.DUMMYFUNCTION("IFERROR(GOOGLEFINANCE(A593,""closeyest""),"""")"),294.0)</f>
        <v>294</v>
      </c>
      <c r="V593" s="23">
        <f>IFERROR(__xludf.DUMMYFUNCTION("IFERROR(GOOGLEFINANCE(A593,""changepct""),"""")"),12.24)</f>
        <v>12.24</v>
      </c>
      <c r="W593" s="22">
        <f>IFERROR(__xludf.DUMMYFUNCTION("IFERROR(GOOGLEFINANCE(A593,""priceopen""),"""")"),300.0)</f>
        <v>300</v>
      </c>
      <c r="X593" s="22">
        <f>IFERROR(__xludf.DUMMYFUNCTION("IFERROR(GOOGLEFINANCE(A593,""high""),"""")"),334.0)</f>
        <v>334</v>
      </c>
      <c r="Y593" s="22">
        <f>IFERROR(__xludf.DUMMYFUNCTION("IFERROR(GOOGLEFINANCE(A593,""low""),"""")"),300.0)</f>
        <v>300</v>
      </c>
      <c r="Z593" s="22">
        <f>IFERROR(__xludf.DUMMYFUNCTION("IFERROR(GOOGLEFINANCE(A593,""volume""),"""")"),1.0533147E9)</f>
        <v>1053314700</v>
      </c>
      <c r="AA593" s="24" t="str">
        <f>VLOOKUP(A593,Metrik!$C$2:$Y$959,5,0)</f>
        <v>Oil, Gas &amp; Coal Supports</v>
      </c>
      <c r="AB593" s="24" t="str">
        <f>VLOOKUP(A593,Metrik!$C$2:$Y$959,3,0)</f>
        <v>Energy</v>
      </c>
    </row>
    <row r="594">
      <c r="A594" s="14" t="s">
        <v>324</v>
      </c>
      <c r="B594" s="14" t="str">
        <f t="array" ref="B594">VLOOKUP(A594,{Metrik!$C$2:$C$998,Metrik!$B$2:$B$998},2,0)</f>
        <v>Dewi Shri Farmindo Tbk.</v>
      </c>
      <c r="C594" s="15">
        <f>IFERROR(__xludf.DUMMYFUNCTION("GOOGLEFINANCE(""IDX:""&amp;A594,""price"")"),118.0)</f>
        <v>118</v>
      </c>
      <c r="D594" s="16" t="str">
        <f>IFERROR(__xludf.DUMMYFUNCTION("IF(A594="""","""",
SPARKLINE(
INDEX(
GOOGLEFINANCE(""IDX:""&amp;A594,""close"",TODAY()-365,TODAY()),
,2
),
{""linewidth"",1}
))
"),"#N/A")</f>
        <v>#N/A</v>
      </c>
      <c r="E594" s="26"/>
      <c r="F594" s="26"/>
      <c r="G594" s="24">
        <f t="shared" si="5"/>
        <v>0</v>
      </c>
      <c r="H594" s="19">
        <f>VLOOKUP(A594,Metrik!$C$2:$Y$959,8,0)</f>
        <v>28.3</v>
      </c>
      <c r="I594" s="20">
        <f>VLOOKUP(A594,Metrik!$C$2:$Y$959,9,0)</f>
        <v>1.4</v>
      </c>
      <c r="J594" s="20">
        <f>VLOOKUP(A594,Metrik!$C$2:$Y$959,10,0)</f>
        <v>5</v>
      </c>
      <c r="K594" s="20">
        <f>VLOOKUP(A594,Metrik!$C$2:$Y$959,11,0)</f>
        <v>4.2</v>
      </c>
      <c r="L594" s="20">
        <f>VLOOKUP(A594,Metrik!$C$2:$Y$959,12,0)</f>
        <v>0.19</v>
      </c>
      <c r="M594" s="20">
        <f>VLOOKUP(A594,Metrik!$C$2:$Y$959,19,0)</f>
        <v>33.8</v>
      </c>
      <c r="N594" s="21"/>
      <c r="O594" s="21"/>
      <c r="P594" s="21"/>
      <c r="Q594" s="21"/>
      <c r="R594" s="21"/>
      <c r="S594" s="21"/>
      <c r="T594" s="21"/>
      <c r="U594" s="22">
        <f>IFERROR(__xludf.DUMMYFUNCTION("IFERROR(GOOGLEFINANCE(A594,""closeyest""),"""")"),117.0)</f>
        <v>117</v>
      </c>
      <c r="V594" s="23">
        <f>IFERROR(__xludf.DUMMYFUNCTION("IFERROR(GOOGLEFINANCE(A594,""changepct""),"""")"),0.85)</f>
        <v>0.85</v>
      </c>
      <c r="W594" s="22">
        <f>IFERROR(__xludf.DUMMYFUNCTION("IFERROR(GOOGLEFINANCE(A594,""priceopen""),"""")"),117.0)</f>
        <v>117</v>
      </c>
      <c r="X594" s="22">
        <f>IFERROR(__xludf.DUMMYFUNCTION("IFERROR(GOOGLEFINANCE(A594,""high""),"""")"),119.0)</f>
        <v>119</v>
      </c>
      <c r="Y594" s="22">
        <f>IFERROR(__xludf.DUMMYFUNCTION("IFERROR(GOOGLEFINANCE(A594,""low""),"""")"),115.0)</f>
        <v>115</v>
      </c>
      <c r="Z594" s="22" t="str">
        <f>IFERROR(__xludf.DUMMYFUNCTION("IFERROR(GOOGLEFINANCE(A594,""volume""),"""")"),"")</f>
        <v/>
      </c>
      <c r="AA594" s="24" t="str">
        <f>VLOOKUP(A594,Metrik!$C$2:$Y$959,5,0)</f>
        <v>Agricultural Products</v>
      </c>
      <c r="AB594" s="24" t="str">
        <f>VLOOKUP(A594,Metrik!$C$2:$Y$959,3,0)</f>
        <v>Consumer Non-Cyclicals</v>
      </c>
    </row>
    <row r="595">
      <c r="A595" s="14" t="s">
        <v>325</v>
      </c>
      <c r="B595" s="14" t="str">
        <f t="array" ref="B595">VLOOKUP(A595,{Metrik!$C$2:$C$998,Metrik!$B$2:$B$998},2,0)</f>
        <v>Dafam Property Indonesia Tbk.</v>
      </c>
      <c r="C595" s="15">
        <f>IFERROR(__xludf.DUMMYFUNCTION("GOOGLEFINANCE(""IDX:""&amp;A595,""price"")"),94.0)</f>
        <v>94</v>
      </c>
      <c r="D595" s="16" t="str">
        <f>IFERROR(__xludf.DUMMYFUNCTION("IF(A595="""","""",
SPARKLINE(
INDEX(
GOOGLEFINANCE(""IDX:""&amp;A595,""close"",TODAY()-365,TODAY()),
,2
),
{""linewidth"",1}
))
"),"#N/A")</f>
        <v>#N/A</v>
      </c>
      <c r="E595" s="26"/>
      <c r="F595" s="26"/>
      <c r="G595" s="24">
        <f t="shared" si="5"/>
        <v>0</v>
      </c>
      <c r="H595" s="19">
        <f>VLOOKUP(A595,Metrik!$C$2:$Y$959,8,0)</f>
        <v>-28.4</v>
      </c>
      <c r="I595" s="20">
        <f>VLOOKUP(A595,Metrik!$C$2:$Y$959,9,0)</f>
        <v>27.2</v>
      </c>
      <c r="J595" s="20">
        <f>VLOOKUP(A595,Metrik!$C$2:$Y$959,10,0)</f>
        <v>-95.8</v>
      </c>
      <c r="K595" s="20">
        <f>VLOOKUP(A595,Metrik!$C$2:$Y$959,11,0)</f>
        <v>-3.2</v>
      </c>
      <c r="L595" s="20">
        <f>VLOOKUP(A595,Metrik!$C$2:$Y$959,12,0)</f>
        <v>29</v>
      </c>
      <c r="M595" s="20">
        <f>VLOOKUP(A595,Metrik!$C$2:$Y$959,19,0)</f>
        <v>-52.9</v>
      </c>
      <c r="N595" s="21"/>
      <c r="O595" s="21"/>
      <c r="P595" s="21"/>
      <c r="Q595" s="21"/>
      <c r="R595" s="21"/>
      <c r="S595" s="21"/>
      <c r="T595" s="21"/>
      <c r="U595" s="22" t="str">
        <f>IFERROR(__xludf.DUMMYFUNCTION("IFERROR(GOOGLEFINANCE(A595,""closeyest""),"""")"),"")</f>
        <v/>
      </c>
      <c r="V595" s="23">
        <f>IFERROR(__xludf.DUMMYFUNCTION("IFERROR(GOOGLEFINANCE(A595,""changepct""),"""")"),-6.0)</f>
        <v>-6</v>
      </c>
      <c r="W595" s="22">
        <f>IFERROR(__xludf.DUMMYFUNCTION("IFERROR(GOOGLEFINANCE(A595,""priceopen""),"""")"),101.0)</f>
        <v>101</v>
      </c>
      <c r="X595" s="22">
        <f>IFERROR(__xludf.DUMMYFUNCTION("IFERROR(GOOGLEFINANCE(A595,""high""),"""")"),101.0)</f>
        <v>101</v>
      </c>
      <c r="Y595" s="22">
        <f>IFERROR(__xludf.DUMMYFUNCTION("IFERROR(GOOGLEFINANCE(A595,""low""),"""")"),94.0)</f>
        <v>94</v>
      </c>
      <c r="Z595" s="22">
        <f>IFERROR(__xludf.DUMMYFUNCTION("IFERROR(GOOGLEFINANCE(A595,""volume""),"""")"),2.0293E7)</f>
        <v>20293000</v>
      </c>
      <c r="AA595" s="24" t="str">
        <f>VLOOKUP(A595,Metrik!$C$2:$Y$959,5,0)</f>
        <v>Tourism &amp; Recreation</v>
      </c>
      <c r="AB595" s="24" t="str">
        <f>VLOOKUP(A595,Metrik!$C$2:$Y$959,3,0)</f>
        <v>Consumer Cyclicals</v>
      </c>
    </row>
    <row r="596">
      <c r="A596" s="14" t="s">
        <v>326</v>
      </c>
      <c r="B596" s="14" t="str">
        <f t="array" ref="B596">VLOOKUP(A596,{Metrik!$C$2:$C$998,Metrik!$B$2:$B$998},2,0)</f>
        <v>Nusa Konstruksi Enjiniring Tbk</v>
      </c>
      <c r="C596" s="15">
        <f>IFERROR(__xludf.DUMMYFUNCTION("GOOGLEFINANCE(""IDX:""&amp;A596,""price"")"),123.0)</f>
        <v>123</v>
      </c>
      <c r="D596" s="16" t="str">
        <f>IFERROR(__xludf.DUMMYFUNCTION("IF(A596="""","""",
SPARKLINE(
INDEX(
GOOGLEFINANCE(""IDX:""&amp;A596,""close"",TODAY()-365,TODAY()),
,2
),
{""linewidth"",1}
))
"),"#N/A")</f>
        <v>#N/A</v>
      </c>
      <c r="E596" s="26"/>
      <c r="F596" s="26"/>
      <c r="G596" s="24">
        <f t="shared" si="5"/>
        <v>0</v>
      </c>
      <c r="H596" s="19">
        <f>VLOOKUP(A596,Metrik!$C$2:$Y$959,8,0)</f>
        <v>13.7</v>
      </c>
      <c r="I596" s="20">
        <f>VLOOKUP(A596,Metrik!$C$2:$Y$959,9,0)</f>
        <v>0.98</v>
      </c>
      <c r="J596" s="20">
        <f>VLOOKUP(A596,Metrik!$C$2:$Y$959,10,0)</f>
        <v>7.2</v>
      </c>
      <c r="K596" s="20">
        <f>VLOOKUP(A596,Metrik!$C$2:$Y$959,11,0)</f>
        <v>3.4</v>
      </c>
      <c r="L596" s="20">
        <f>VLOOKUP(A596,Metrik!$C$2:$Y$959,12,0)</f>
        <v>1.1</v>
      </c>
      <c r="M596" s="20">
        <f>VLOOKUP(A596,Metrik!$C$2:$Y$959,19,0)</f>
        <v>23.2</v>
      </c>
      <c r="N596" s="21"/>
      <c r="O596" s="21"/>
      <c r="P596" s="21"/>
      <c r="Q596" s="21"/>
      <c r="R596" s="21"/>
      <c r="S596" s="21"/>
      <c r="T596" s="21"/>
      <c r="U596" s="22">
        <f>IFERROR(__xludf.DUMMYFUNCTION("IFERROR(GOOGLEFINANCE(A596,""closeyest""),"""")"),118.0)</f>
        <v>118</v>
      </c>
      <c r="V596" s="23" t="str">
        <f>IFERROR(__xludf.DUMMYFUNCTION("IFERROR(GOOGLEFINANCE(A596,""changepct""),"""")"),"")</f>
        <v/>
      </c>
      <c r="W596" s="22">
        <f>IFERROR(__xludf.DUMMYFUNCTION("IFERROR(GOOGLEFINANCE(A596,""priceopen""),"""")"),127.0)</f>
        <v>127</v>
      </c>
      <c r="X596" s="22">
        <f>IFERROR(__xludf.DUMMYFUNCTION("IFERROR(GOOGLEFINANCE(A596,""high""),"""")"),128.0)</f>
        <v>128</v>
      </c>
      <c r="Y596" s="22">
        <f>IFERROR(__xludf.DUMMYFUNCTION("IFERROR(GOOGLEFINANCE(A596,""low""),"""")"),118.0)</f>
        <v>118</v>
      </c>
      <c r="Z596" s="22">
        <f>IFERROR(__xludf.DUMMYFUNCTION("IFERROR(GOOGLEFINANCE(A596,""volume""),"""")"),3461500.0)</f>
        <v>3461500</v>
      </c>
      <c r="AA596" s="24" t="str">
        <f>VLOOKUP(A596,Metrik!$C$2:$Y$959,5,0)</f>
        <v>Heavy Constructions &amp; Civil Engineering</v>
      </c>
      <c r="AB596" s="24" t="str">
        <f>VLOOKUP(A596,Metrik!$C$2:$Y$959,3,0)</f>
        <v>Infrastructures</v>
      </c>
    </row>
    <row r="597">
      <c r="A597" s="14" t="s">
        <v>327</v>
      </c>
      <c r="B597" s="14" t="str">
        <f t="array" ref="B597">VLOOKUP(A597,{Metrik!$C$2:$C$998,Metrik!$B$2:$B$998},2,0)</f>
        <v>Diagnos Laboratorium Utama Tbk.</v>
      </c>
      <c r="C597" s="15">
        <f>IFERROR(__xludf.DUMMYFUNCTION("GOOGLEFINANCE(""IDX:""&amp;A597,""price"")"),226.0)</f>
        <v>226</v>
      </c>
      <c r="D597" s="16" t="str">
        <f>IFERROR(__xludf.DUMMYFUNCTION("IF(A597="""","""",
SPARKLINE(
INDEX(
GOOGLEFINANCE(""IDX:""&amp;A597,""close"",TODAY()-365,TODAY()),
,2
),
{""linewidth"",1}
))
"),"#N/A")</f>
        <v>#N/A</v>
      </c>
      <c r="E597" s="26"/>
      <c r="F597" s="26"/>
      <c r="G597" s="24">
        <f t="shared" si="5"/>
        <v>0</v>
      </c>
      <c r="H597" s="19">
        <f>VLOOKUP(A597,Metrik!$C$2:$Y$959,8,0)</f>
        <v>89.5</v>
      </c>
      <c r="I597" s="20">
        <f>VLOOKUP(A597,Metrik!$C$2:$Y$959,9,0)</f>
        <v>1.5</v>
      </c>
      <c r="J597" s="20">
        <f>VLOOKUP(A597,Metrik!$C$2:$Y$959,10,0)</f>
        <v>1.7</v>
      </c>
      <c r="K597" s="20">
        <f>VLOOKUP(A597,Metrik!$C$2:$Y$959,11,0)</f>
        <v>1.1</v>
      </c>
      <c r="L597" s="20">
        <f>VLOOKUP(A597,Metrik!$C$2:$Y$959,12,0)</f>
        <v>0.57</v>
      </c>
      <c r="M597" s="20">
        <f>VLOOKUP(A597,Metrik!$C$2:$Y$959,19,0)</f>
        <v>8</v>
      </c>
      <c r="N597" s="21"/>
      <c r="O597" s="21"/>
      <c r="P597" s="21"/>
      <c r="Q597" s="21"/>
      <c r="R597" s="21"/>
      <c r="S597" s="21"/>
      <c r="T597" s="21"/>
      <c r="U597" s="22">
        <f>IFERROR(__xludf.DUMMYFUNCTION("IFERROR(GOOGLEFINANCE(A597,""closeyest""),"""")"),208.0)</f>
        <v>208</v>
      </c>
      <c r="V597" s="23">
        <f>IFERROR(__xludf.DUMMYFUNCTION("IFERROR(GOOGLEFINANCE(A597,""changepct""),"""")"),8.65)</f>
        <v>8.65</v>
      </c>
      <c r="W597" s="22">
        <f>IFERROR(__xludf.DUMMYFUNCTION("IFERROR(GOOGLEFINANCE(A597,""priceopen""),"""")"),214.0)</f>
        <v>214</v>
      </c>
      <c r="X597" s="22">
        <f>IFERROR(__xludf.DUMMYFUNCTION("IFERROR(GOOGLEFINANCE(A597,""high""),"""")"),226.0)</f>
        <v>226</v>
      </c>
      <c r="Y597" s="22">
        <f>IFERROR(__xludf.DUMMYFUNCTION("IFERROR(GOOGLEFINANCE(A597,""low""),"""")"),214.0)</f>
        <v>214</v>
      </c>
      <c r="Z597" s="22">
        <f>IFERROR(__xludf.DUMMYFUNCTION("IFERROR(GOOGLEFINANCE(A597,""volume""),"""")"),408000.0)</f>
        <v>408000</v>
      </c>
      <c r="AA597" s="24" t="str">
        <f>VLOOKUP(A597,Metrik!$C$2:$Y$959,5,0)</f>
        <v>Healthcare Providers</v>
      </c>
      <c r="AB597" s="24" t="str">
        <f>VLOOKUP(A597,Metrik!$C$2:$Y$959,3,0)</f>
        <v>Healthcare</v>
      </c>
    </row>
    <row r="598">
      <c r="A598" s="14" t="s">
        <v>328</v>
      </c>
      <c r="B598" s="14" t="str">
        <f t="array" ref="B598">VLOOKUP(A598,{Metrik!$C$2:$C$998,Metrik!$B$2:$B$998},2,0)</f>
        <v>Delta Giri Wacana Tbk.</v>
      </c>
      <c r="C598" s="15">
        <f>IFERROR(__xludf.DUMMYFUNCTION("GOOGLEFINANCE(""IDX:""&amp;A598,""price"")"),304.0)</f>
        <v>304</v>
      </c>
      <c r="D598" s="16" t="str">
        <f>IFERROR(__xludf.DUMMYFUNCTION("IF(A598="""","""",
SPARKLINE(
INDEX(
GOOGLEFINANCE(""IDX:""&amp;A598,""close"",TODAY()-365,TODAY()),
,2
),
{""linewidth"",1}
))
"),"#N/A")</f>
        <v>#N/A</v>
      </c>
      <c r="E598" s="26"/>
      <c r="F598" s="26"/>
      <c r="G598" s="24">
        <f t="shared" si="5"/>
        <v>0</v>
      </c>
      <c r="H598" s="19">
        <f>VLOOKUP(A598,Metrik!$C$2:$Y$959,8,0)</f>
        <v>8.1</v>
      </c>
      <c r="I598" s="20">
        <f>VLOOKUP(A598,Metrik!$C$2:$Y$959,9,0)</f>
        <v>1.7</v>
      </c>
      <c r="J598" s="20">
        <f>VLOOKUP(A598,Metrik!$C$2:$Y$959,10,0)</f>
        <v>21.2</v>
      </c>
      <c r="K598" s="20">
        <f>VLOOKUP(A598,Metrik!$C$2:$Y$959,11,0)</f>
        <v>6.1</v>
      </c>
      <c r="L598" s="20">
        <f>VLOOKUP(A598,Metrik!$C$2:$Y$959,12,0)</f>
        <v>2.5</v>
      </c>
      <c r="M598" s="20">
        <f>VLOOKUP(A598,Metrik!$C$2:$Y$959,19,0)</f>
        <v>22</v>
      </c>
      <c r="N598" s="21"/>
      <c r="O598" s="21"/>
      <c r="P598" s="21"/>
      <c r="Q598" s="21"/>
      <c r="R598" s="21"/>
      <c r="S598" s="21"/>
      <c r="T598" s="21"/>
      <c r="U598" s="22">
        <f>IFERROR(__xludf.DUMMYFUNCTION("IFERROR(GOOGLEFINANCE(A598,""closeyest""),"""")"),294.0)</f>
        <v>294</v>
      </c>
      <c r="V598" s="23">
        <f>IFERROR(__xludf.DUMMYFUNCTION("IFERROR(GOOGLEFINANCE(A598,""changepct""),"""")"),3.4)</f>
        <v>3.4</v>
      </c>
      <c r="W598" s="22">
        <f>IFERROR(__xludf.DUMMYFUNCTION("IFERROR(GOOGLEFINANCE(A598,""priceopen""),"""")"),296.0)</f>
        <v>296</v>
      </c>
      <c r="X598" s="22">
        <f>IFERROR(__xludf.DUMMYFUNCTION("IFERROR(GOOGLEFINANCE(A598,""high""),"""")"),306.0)</f>
        <v>306</v>
      </c>
      <c r="Y598" s="22">
        <f>IFERROR(__xludf.DUMMYFUNCTION("IFERROR(GOOGLEFINANCE(A598,""low""),"""")"),296.0)</f>
        <v>296</v>
      </c>
      <c r="Z598" s="22">
        <f>IFERROR(__xludf.DUMMYFUNCTION("IFERROR(GOOGLEFINANCE(A598,""volume""),"""")"),1.55471E7)</f>
        <v>15547100</v>
      </c>
      <c r="AA598" s="24" t="str">
        <f>VLOOKUP(A598,Metrik!$C$2:$Y$959,5,0)</f>
        <v>Chemicals</v>
      </c>
      <c r="AB598" s="24" t="str">
        <f>VLOOKUP(A598,Metrik!$C$2:$Y$959,3,0)</f>
        <v>Basic Materials</v>
      </c>
    </row>
    <row r="599">
      <c r="A599" s="14" t="s">
        <v>329</v>
      </c>
      <c r="B599" s="14" t="str">
        <f t="array" ref="B599">VLOOKUP(A599,{Metrik!$C$2:$C$998,Metrik!$B$2:$B$998},2,0)</f>
        <v>Arkadia Digital Media Tbk.</v>
      </c>
      <c r="C599" s="15">
        <f>IFERROR(__xludf.DUMMYFUNCTION("GOOGLEFINANCE(""IDX:""&amp;A599,""price"")"),31.0)</f>
        <v>31</v>
      </c>
      <c r="D599" s="16" t="str">
        <f>IFERROR(__xludf.DUMMYFUNCTION("IF(A599="""","""",
SPARKLINE(
INDEX(
GOOGLEFINANCE(""IDX:""&amp;A599,""close"",TODAY()-365,TODAY()),
,2
),
{""linewidth"",1}
))
"),"#N/A")</f>
        <v>#N/A</v>
      </c>
      <c r="E599" s="26"/>
      <c r="F599" s="26"/>
      <c r="G599" s="24">
        <f t="shared" si="5"/>
        <v>0</v>
      </c>
      <c r="H599" s="19">
        <f>VLOOKUP(A599,Metrik!$C$2:$Y$959,8,0)</f>
        <v>22.1</v>
      </c>
      <c r="I599" s="20">
        <f>VLOOKUP(A599,Metrik!$C$2:$Y$959,9,0)</f>
        <v>-8.2</v>
      </c>
      <c r="J599" s="20">
        <f>VLOOKUP(A599,Metrik!$C$2:$Y$959,10,0)</f>
        <v>0</v>
      </c>
      <c r="K599" s="20">
        <f>VLOOKUP(A599,Metrik!$C$2:$Y$959,11,0)</f>
        <v>17.5</v>
      </c>
      <c r="L599" s="20">
        <f>VLOOKUP(A599,Metrik!$C$2:$Y$959,12,0)</f>
        <v>-3.1</v>
      </c>
      <c r="M599" s="20">
        <f>VLOOKUP(A599,Metrik!$C$2:$Y$959,19,0)</f>
        <v>34</v>
      </c>
      <c r="N599" s="21"/>
      <c r="O599" s="21"/>
      <c r="P599" s="21"/>
      <c r="Q599" s="21"/>
      <c r="R599" s="21"/>
      <c r="S599" s="21"/>
      <c r="T599" s="21"/>
      <c r="U599" s="22">
        <f>IFERROR(__xludf.DUMMYFUNCTION("IFERROR(GOOGLEFINANCE(A599,""closeyest""),"""")"),0.0)</f>
        <v>0</v>
      </c>
      <c r="V599" s="23">
        <f>IFERROR(__xludf.DUMMYFUNCTION("IFERROR(GOOGLEFINANCE(A599,""changepct""),"""")"),0.0)</f>
        <v>0</v>
      </c>
      <c r="W599" s="22" t="str">
        <f>IFERROR(__xludf.DUMMYFUNCTION("IFERROR(GOOGLEFINANCE(A599,""priceopen""),"""")"),"")</f>
        <v/>
      </c>
      <c r="X599" s="22" t="str">
        <f>IFERROR(__xludf.DUMMYFUNCTION("IFERROR(GOOGLEFINANCE(A599,""high""),"""")"),"")</f>
        <v/>
      </c>
      <c r="Y599" s="22" t="str">
        <f>IFERROR(__xludf.DUMMYFUNCTION("IFERROR(GOOGLEFINANCE(A599,""low""),"""")"),"")</f>
        <v/>
      </c>
      <c r="Z599" s="22">
        <f>IFERROR(__xludf.DUMMYFUNCTION("IFERROR(GOOGLEFINANCE(A599,""volume""),"""")"),0.0)</f>
        <v>0</v>
      </c>
      <c r="AA599" s="24" t="str">
        <f>VLOOKUP(A599,Metrik!$C$2:$Y$959,5,0)</f>
        <v>Media</v>
      </c>
      <c r="AB599" s="24" t="str">
        <f>VLOOKUP(A599,Metrik!$C$2:$Y$959,3,0)</f>
        <v>Consumer Cyclicals</v>
      </c>
    </row>
    <row r="600">
      <c r="A600" s="14" t="s">
        <v>330</v>
      </c>
      <c r="B600" s="14" t="str">
        <f t="array" ref="B600">VLOOKUP(A600,{Metrik!$C$2:$C$998,Metrik!$B$2:$B$998},2,0)</f>
        <v>Intiland Development Tbk.</v>
      </c>
      <c r="C600" s="15">
        <f>IFERROR(__xludf.DUMMYFUNCTION("GOOGLEFINANCE(""IDX:""&amp;A600,""price"")"),115.0)</f>
        <v>115</v>
      </c>
      <c r="D600" s="16" t="str">
        <f>IFERROR(__xludf.DUMMYFUNCTION("IF(A600="""","""",
SPARKLINE(
INDEX(
GOOGLEFINANCE(""IDX:""&amp;A600,""close"",TODAY()-365,TODAY()),
,2
),
{""linewidth"",1}
))
"),"#N/A")</f>
        <v>#N/A</v>
      </c>
      <c r="E600" s="26"/>
      <c r="F600" s="26"/>
      <c r="G600" s="24">
        <f t="shared" si="5"/>
        <v>0</v>
      </c>
      <c r="H600" s="19">
        <f>VLOOKUP(A600,Metrik!$C$2:$Y$959,8,0)</f>
        <v>22.2</v>
      </c>
      <c r="I600" s="20">
        <f>VLOOKUP(A600,Metrik!$C$2:$Y$959,9,0)</f>
        <v>0.18</v>
      </c>
      <c r="J600" s="20">
        <f>VLOOKUP(A600,Metrik!$C$2:$Y$959,10,0)</f>
        <v>0.83</v>
      </c>
      <c r="K600" s="20">
        <f>VLOOKUP(A600,Metrik!$C$2:$Y$959,11,0)</f>
        <v>0.43</v>
      </c>
      <c r="L600" s="20">
        <f>VLOOKUP(A600,Metrik!$C$2:$Y$959,12,0)</f>
        <v>0.91</v>
      </c>
      <c r="M600" s="20">
        <f>VLOOKUP(A600,Metrik!$C$2:$Y$959,19,0)</f>
        <v>9.1</v>
      </c>
      <c r="N600" s="21"/>
      <c r="O600" s="21"/>
      <c r="P600" s="21"/>
      <c r="Q600" s="21"/>
      <c r="R600" s="21"/>
      <c r="S600" s="21"/>
      <c r="T600" s="21"/>
      <c r="U600" s="22">
        <f>IFERROR(__xludf.DUMMYFUNCTION("IFERROR(GOOGLEFINANCE(A600,""closeyest""),"""")"),114.0)</f>
        <v>114</v>
      </c>
      <c r="V600" s="23">
        <f>IFERROR(__xludf.DUMMYFUNCTION("IFERROR(GOOGLEFINANCE(A600,""changepct""),"""")"),0.88)</f>
        <v>0.88</v>
      </c>
      <c r="W600" s="22">
        <f>IFERROR(__xludf.DUMMYFUNCTION("IFERROR(GOOGLEFINANCE(A600,""priceopen""),"""")"),114.0)</f>
        <v>114</v>
      </c>
      <c r="X600" s="22">
        <f>IFERROR(__xludf.DUMMYFUNCTION("IFERROR(GOOGLEFINANCE(A600,""high""),"""")"),116.0)</f>
        <v>116</v>
      </c>
      <c r="Y600" s="22">
        <f>IFERROR(__xludf.DUMMYFUNCTION("IFERROR(GOOGLEFINANCE(A600,""low""),"""")"),113.0)</f>
        <v>113</v>
      </c>
      <c r="Z600" s="22">
        <f>IFERROR(__xludf.DUMMYFUNCTION("IFERROR(GOOGLEFINANCE(A600,""volume""),"""")"),1.01365E7)</f>
        <v>10136500</v>
      </c>
      <c r="AA600" s="24" t="str">
        <f>VLOOKUP(A600,Metrik!$C$2:$Y$959,5,0)</f>
        <v>Real Estate Management &amp; Development</v>
      </c>
      <c r="AB600" s="24" t="str">
        <f>VLOOKUP(A600,Metrik!$C$2:$Y$959,3,0)</f>
        <v>Properties &amp; Real Estate</v>
      </c>
    </row>
    <row r="601">
      <c r="A601" s="14" t="s">
        <v>331</v>
      </c>
      <c r="B601" s="14" t="str">
        <f t="array" ref="B601">VLOOKUP(A601,{Metrik!$C$2:$C$998,Metrik!$B$2:$B$998},2,0)</f>
        <v>Distribusi Voucher Nusantara Tbk.</v>
      </c>
      <c r="C601" s="15">
        <f>IFERROR(__xludf.DUMMYFUNCTION("GOOGLEFINANCE(""IDX:""&amp;A601,""price"")"),110.0)</f>
        <v>110</v>
      </c>
      <c r="D601" s="16" t="str">
        <f>IFERROR(__xludf.DUMMYFUNCTION("IF(A601="""","""",
SPARKLINE(
INDEX(
GOOGLEFINANCE(""IDX:""&amp;A601,""close"",TODAY()-365,TODAY()),
,2
),
{""linewidth"",1}
))
"),"#N/A")</f>
        <v>#N/A</v>
      </c>
      <c r="E601" s="26"/>
      <c r="F601" s="26"/>
      <c r="G601" s="24">
        <f t="shared" si="5"/>
        <v>0</v>
      </c>
      <c r="H601" s="19">
        <f>VLOOKUP(A601,Metrik!$C$2:$Y$959,8,0)</f>
        <v>130</v>
      </c>
      <c r="I601" s="20">
        <f>VLOOKUP(A601,Metrik!$C$2:$Y$959,9,0)</f>
        <v>0.27</v>
      </c>
      <c r="J601" s="20">
        <f>VLOOKUP(A601,Metrik!$C$2:$Y$959,10,0)</f>
        <v>0.2</v>
      </c>
      <c r="K601" s="20">
        <f>VLOOKUP(A601,Metrik!$C$2:$Y$959,11,0)</f>
        <v>0.18</v>
      </c>
      <c r="L601" s="20">
        <f>VLOOKUP(A601,Metrik!$C$2:$Y$959,12,0)</f>
        <v>0.13</v>
      </c>
      <c r="M601" s="20">
        <f>VLOOKUP(A601,Metrik!$C$2:$Y$959,19,0)</f>
        <v>0.19</v>
      </c>
      <c r="N601" s="21"/>
      <c r="O601" s="21"/>
      <c r="P601" s="21"/>
      <c r="Q601" s="21"/>
      <c r="R601" s="21"/>
      <c r="S601" s="21"/>
      <c r="T601" s="21"/>
      <c r="U601" s="22">
        <f>IFERROR(__xludf.DUMMYFUNCTION("IFERROR(GOOGLEFINANCE(A601,""closeyest""),"""")"),38.17)</f>
        <v>38.17</v>
      </c>
      <c r="V601" s="23">
        <f>IFERROR(__xludf.DUMMYFUNCTION("IFERROR(GOOGLEFINANCE(A601,""changepct""),"""")"),1.17)</f>
        <v>1.17</v>
      </c>
      <c r="W601" s="22">
        <f>IFERROR(__xludf.DUMMYFUNCTION("IFERROR(GOOGLEFINANCE(A601,""priceopen""),"""")"),38.3)</f>
        <v>38.3</v>
      </c>
      <c r="X601" s="22">
        <f>IFERROR(__xludf.DUMMYFUNCTION("IFERROR(GOOGLEFINANCE(A601,""high""),"""")"),39.36)</f>
        <v>39.36</v>
      </c>
      <c r="Y601" s="22">
        <f>IFERROR(__xludf.DUMMYFUNCTION("IFERROR(GOOGLEFINANCE(A601,""low""),"""")"),38.22)</f>
        <v>38.22</v>
      </c>
      <c r="Z601" s="22">
        <f>IFERROR(__xludf.DUMMYFUNCTION("IFERROR(GOOGLEFINANCE(A601,""volume""),"""")"),9817.0)</f>
        <v>9817</v>
      </c>
      <c r="AA601" s="24" t="str">
        <f>VLOOKUP(A601,Metrik!$C$2:$Y$959,5,0)</f>
        <v>Online Applications &amp; Services</v>
      </c>
      <c r="AB601" s="24" t="str">
        <f>VLOOKUP(A601,Metrik!$C$2:$Y$959,3,0)</f>
        <v>Technology</v>
      </c>
    </row>
    <row r="602">
      <c r="A602" s="17" t="s">
        <v>332</v>
      </c>
      <c r="B602" s="14" t="str">
        <f t="array" ref="B602">VLOOKUP(A602,{Metrik!$C$2:$C$998,Metrik!$B$2:$B$998},2,0)</f>
        <v>Central Omega Resources Tbk.</v>
      </c>
      <c r="C602" s="15">
        <f>IFERROR(__xludf.DUMMYFUNCTION("GOOGLEFINANCE(""IDX:""&amp;A602,""price"")"),680.0)</f>
        <v>680</v>
      </c>
      <c r="D602" s="16" t="str">
        <f>IFERROR(__xludf.DUMMYFUNCTION("IF(A602="""","""",
SPARKLINE(
INDEX(
GOOGLEFINANCE(""IDX:""&amp;A602,""close"",TODAY()-365,TODAY()),
,2
),
{""linewidth"",1}
))
"),"#N/A")</f>
        <v>#N/A</v>
      </c>
      <c r="E602" s="14" t="s">
        <v>65</v>
      </c>
      <c r="F602" s="37">
        <v>46356.0</v>
      </c>
      <c r="G602" s="38">
        <f t="shared" si="5"/>
        <v>2</v>
      </c>
      <c r="H602" s="34">
        <f>VLOOKUP(A602,Metrik!$C$2:$Y$959,8,0)</f>
        <v>5.9</v>
      </c>
      <c r="I602" s="34">
        <f>VLOOKUP(A602,Metrik!$C$2:$Y$959,9,0)</f>
        <v>2.7</v>
      </c>
      <c r="J602" s="34">
        <f>VLOOKUP(A602,Metrik!$C$2:$Y$959,10,0)</f>
        <v>46</v>
      </c>
      <c r="K602" s="34">
        <f>VLOOKUP(A602,Metrik!$C$2:$Y$959,11,0)</f>
        <v>21.9</v>
      </c>
      <c r="L602" s="34">
        <f>VLOOKUP(A602,Metrik!$C$2:$Y$959,12,0)</f>
        <v>1.1</v>
      </c>
      <c r="M602" s="34">
        <f>VLOOKUP(A602,Metrik!$C$2:$Y$959,19,0)</f>
        <v>130</v>
      </c>
      <c r="N602" s="26"/>
      <c r="O602" s="26"/>
      <c r="P602" s="26"/>
      <c r="Q602" s="26"/>
      <c r="R602" s="26"/>
      <c r="S602" s="26"/>
      <c r="T602" s="26"/>
      <c r="U602" s="35">
        <f>IFERROR(__xludf.DUMMYFUNCTION("IFERROR(GOOGLEFINANCE(A602,""closeyest""),"""")"),620.0)</f>
        <v>620</v>
      </c>
      <c r="V602" s="36">
        <f>IFERROR(__xludf.DUMMYFUNCTION("IFERROR(GOOGLEFINANCE(A602,""changepct""),"""")"),9.68)</f>
        <v>9.68</v>
      </c>
      <c r="W602" s="35">
        <f>IFERROR(__xludf.DUMMYFUNCTION("IFERROR(GOOGLEFINANCE(A602,""priceopen""),"""")"),625.0)</f>
        <v>625</v>
      </c>
      <c r="X602" s="35">
        <f>IFERROR(__xludf.DUMMYFUNCTION("IFERROR(GOOGLEFINANCE(A602,""high""),"""")"),710.0)</f>
        <v>710</v>
      </c>
      <c r="Y602" s="35">
        <f>IFERROR(__xludf.DUMMYFUNCTION("IFERROR(GOOGLEFINANCE(A602,""low""),"""")"),625.0)</f>
        <v>625</v>
      </c>
      <c r="Z602" s="35">
        <f>IFERROR(__xludf.DUMMYFUNCTION("IFERROR(GOOGLEFINANCE(A602,""volume""),"""")"),1.21816E7)</f>
        <v>12181600</v>
      </c>
      <c r="AA602" s="14" t="str">
        <f>VLOOKUP(A602,Metrik!$C$2:$Y$959,5,0)</f>
        <v>Metals &amp; Minerals</v>
      </c>
      <c r="AB602" s="14" t="str">
        <f>VLOOKUP(A602,Metrik!$C$2:$Y$959,3,0)</f>
        <v>Basic Materials</v>
      </c>
    </row>
    <row r="603">
      <c r="A603" s="17" t="s">
        <v>332</v>
      </c>
      <c r="B603" s="14" t="str">
        <f t="array" ref="B603">VLOOKUP(A603,{Metrik!$C$2:$C$998,Metrik!$B$2:$B$998},2,0)</f>
        <v>Central Omega Resources Tbk.</v>
      </c>
      <c r="C603" s="15">
        <f>IFERROR(__xludf.DUMMYFUNCTION("GOOGLEFINANCE(""IDX:""&amp;A603,""price"")"),680.0)</f>
        <v>680</v>
      </c>
      <c r="D603" s="16" t="str">
        <f>IFERROR(__xludf.DUMMYFUNCTION("IF(A603="""","""",
SPARKLINE(
INDEX(
GOOGLEFINANCE(""IDX:""&amp;A603,""close"",TODAY()-365,TODAY()),
,2
),
{""linewidth"",1}
))
"),"#N/A")</f>
        <v>#N/A</v>
      </c>
      <c r="E603" s="14" t="s">
        <v>39</v>
      </c>
      <c r="F603" s="25">
        <v>46356.0</v>
      </c>
      <c r="G603" s="18">
        <f t="shared" si="5"/>
        <v>2</v>
      </c>
      <c r="H603" s="19">
        <f>VLOOKUP(A603,Metrik!$C$2:$Y$959,8,0)</f>
        <v>5.9</v>
      </c>
      <c r="I603" s="20">
        <f>VLOOKUP(A603,Metrik!$C$2:$Y$959,9,0)</f>
        <v>2.7</v>
      </c>
      <c r="J603" s="20">
        <f>VLOOKUP(A603,Metrik!$C$2:$Y$959,10,0)</f>
        <v>46</v>
      </c>
      <c r="K603" s="20">
        <f>VLOOKUP(A603,Metrik!$C$2:$Y$959,11,0)</f>
        <v>21.9</v>
      </c>
      <c r="L603" s="20">
        <f>VLOOKUP(A603,Metrik!$C$2:$Y$959,12,0)</f>
        <v>1.1</v>
      </c>
      <c r="M603" s="20">
        <f>VLOOKUP(A603,Metrik!$C$2:$Y$959,19,0)</f>
        <v>130</v>
      </c>
      <c r="N603" s="21"/>
      <c r="O603" s="21"/>
      <c r="P603" s="21"/>
      <c r="Q603" s="21"/>
      <c r="R603" s="21"/>
      <c r="S603" s="21"/>
      <c r="T603" s="21"/>
      <c r="U603" s="22">
        <f>IFERROR(__xludf.DUMMYFUNCTION("IFERROR(GOOGLEFINANCE(A603,""closeyest""),"""")"),620.0)</f>
        <v>620</v>
      </c>
      <c r="V603" s="23">
        <f>IFERROR(__xludf.DUMMYFUNCTION("IFERROR(GOOGLEFINANCE(A603,""changepct""),"""")"),9.68)</f>
        <v>9.68</v>
      </c>
      <c r="W603" s="22">
        <f>IFERROR(__xludf.DUMMYFUNCTION("IFERROR(GOOGLEFINANCE(A603,""priceopen""),"""")"),625.0)</f>
        <v>625</v>
      </c>
      <c r="X603" s="22">
        <f>IFERROR(__xludf.DUMMYFUNCTION("IFERROR(GOOGLEFINANCE(A603,""high""),"""")"),710.0)</f>
        <v>710</v>
      </c>
      <c r="Y603" s="22">
        <f>IFERROR(__xludf.DUMMYFUNCTION("IFERROR(GOOGLEFINANCE(A603,""low""),"""")"),625.0)</f>
        <v>625</v>
      </c>
      <c r="Z603" s="22">
        <f>IFERROR(__xludf.DUMMYFUNCTION("IFERROR(GOOGLEFINANCE(A603,""volume""),"""")"),1.21816E7)</f>
        <v>12181600</v>
      </c>
      <c r="AA603" s="24" t="str">
        <f>VLOOKUP(A603,Metrik!$C$2:$Y$959,5,0)</f>
        <v>Metals &amp; Minerals</v>
      </c>
      <c r="AB603" s="24" t="str">
        <f>VLOOKUP(A603,Metrik!$C$2:$Y$959,3,0)</f>
        <v>Basic Materials</v>
      </c>
    </row>
    <row r="604">
      <c r="A604" s="14" t="s">
        <v>333</v>
      </c>
      <c r="B604" s="14" t="str">
        <f t="array" ref="B604">VLOOKUP(A604,{Metrik!$C$2:$C$998,Metrik!$B$2:$B$998},2,0)</f>
        <v>PT Cipta Sarana Medika Tbk</v>
      </c>
      <c r="C604" s="15">
        <f>IFERROR(__xludf.DUMMYFUNCTION("GOOGLEFINANCE(""IDX:""&amp;A604,""price"")"),56.0)</f>
        <v>56</v>
      </c>
      <c r="D604" s="16" t="str">
        <f>IFERROR(__xludf.DUMMYFUNCTION("IF(A604="""","""",
SPARKLINE(
INDEX(
GOOGLEFINANCE(""IDX:""&amp;A604,""close"",TODAY()-365,TODAY()),
,2
),
{""linewidth"",1}
))
"),"#N/A")</f>
        <v>#N/A</v>
      </c>
      <c r="E604" s="26"/>
      <c r="F604" s="26"/>
      <c r="G604" s="24">
        <f t="shared" si="5"/>
        <v>0</v>
      </c>
      <c r="H604" s="19">
        <f>VLOOKUP(A604,Metrik!$C$2:$Y$959,8,0)</f>
        <v>31.1</v>
      </c>
      <c r="I604" s="20">
        <f>VLOOKUP(A604,Metrik!$C$2:$Y$959,9,0)</f>
        <v>0.77</v>
      </c>
      <c r="J604" s="20">
        <f>VLOOKUP(A604,Metrik!$C$2:$Y$959,10,0)</f>
        <v>2.5</v>
      </c>
      <c r="K604" s="20">
        <f>VLOOKUP(A604,Metrik!$C$2:$Y$959,11,0)</f>
        <v>1.6</v>
      </c>
      <c r="L604" s="20">
        <f>VLOOKUP(A604,Metrik!$C$2:$Y$959,12,0)</f>
        <v>0.52</v>
      </c>
      <c r="M604" s="20">
        <f>VLOOKUP(A604,Metrik!$C$2:$Y$959,19,0)</f>
        <v>13.8</v>
      </c>
      <c r="N604" s="21"/>
      <c r="O604" s="21"/>
      <c r="P604" s="21"/>
      <c r="Q604" s="21"/>
      <c r="R604" s="21"/>
      <c r="S604" s="21"/>
      <c r="T604" s="21"/>
      <c r="U604" s="22">
        <f>IFERROR(__xludf.DUMMYFUNCTION("IFERROR(GOOGLEFINANCE(A604,""closeyest""),"""")"),55.0)</f>
        <v>55</v>
      </c>
      <c r="V604" s="23">
        <f>IFERROR(__xludf.DUMMYFUNCTION("IFERROR(GOOGLEFINANCE(A604,""changepct""),"""")"),1.82)</f>
        <v>1.82</v>
      </c>
      <c r="W604" s="22">
        <f>IFERROR(__xludf.DUMMYFUNCTION("IFERROR(GOOGLEFINANCE(A604,""priceopen""),"""")"),56.0)</f>
        <v>56</v>
      </c>
      <c r="X604" s="22">
        <f>IFERROR(__xludf.DUMMYFUNCTION("IFERROR(GOOGLEFINANCE(A604,""high""),"""")"),58.0)</f>
        <v>58</v>
      </c>
      <c r="Y604" s="22">
        <f>IFERROR(__xludf.DUMMYFUNCTION("IFERROR(GOOGLEFINANCE(A604,""low""),"""")"),55.0)</f>
        <v>55</v>
      </c>
      <c r="Z604" s="22">
        <f>IFERROR(__xludf.DUMMYFUNCTION("IFERROR(GOOGLEFINANCE(A604,""volume""),"""")"),5810600.0)</f>
        <v>5810600</v>
      </c>
      <c r="AA604" s="24" t="str">
        <f>VLOOKUP(A604,Metrik!$C$2:$Y$959,5,0)</f>
        <v>Healthcare Providers</v>
      </c>
      <c r="AB604" s="24" t="str">
        <f>VLOOKUP(A604,Metrik!$C$2:$Y$959,3,0)</f>
        <v>Healthcare</v>
      </c>
    </row>
    <row r="605">
      <c r="A605" s="14" t="s">
        <v>334</v>
      </c>
      <c r="B605" s="14" t="str">
        <f t="array" ref="B605">VLOOKUP(A605,{Metrik!$C$2:$C$998,Metrik!$B$2:$B$998},2,0)</f>
        <v>Delta Djakarta Tbk.</v>
      </c>
      <c r="C605" s="15">
        <f>IFERROR(__xludf.DUMMYFUNCTION("GOOGLEFINANCE(""IDX:""&amp;A605,""price"")"),1835.0)</f>
        <v>1835</v>
      </c>
      <c r="D605" s="16" t="str">
        <f>IFERROR(__xludf.DUMMYFUNCTION("IF(A605="""","""",
SPARKLINE(
INDEX(
GOOGLEFINANCE(""IDX:""&amp;A605,""close"",TODAY()-365,TODAY()),
,2
),
{""linewidth"",1}
))
"),"#N/A")</f>
        <v>#N/A</v>
      </c>
      <c r="E605" s="26"/>
      <c r="F605" s="26"/>
      <c r="G605" s="18">
        <f t="shared" si="5"/>
        <v>0</v>
      </c>
      <c r="H605" s="19">
        <f>VLOOKUP(A605,Metrik!$C$2:$Y$959,8,0)</f>
        <v>10.3</v>
      </c>
      <c r="I605" s="20">
        <f>VLOOKUP(A605,Metrik!$C$2:$Y$959,9,0)</f>
        <v>2</v>
      </c>
      <c r="J605" s="20">
        <f>VLOOKUP(A605,Metrik!$C$2:$Y$959,10,0)</f>
        <v>19.2</v>
      </c>
      <c r="K605" s="20">
        <f>VLOOKUP(A605,Metrik!$C$2:$Y$959,11,0)</f>
        <v>13</v>
      </c>
      <c r="L605" s="20">
        <f>VLOOKUP(A605,Metrik!$C$2:$Y$959,12,0)</f>
        <v>0.48</v>
      </c>
      <c r="M605" s="20">
        <f>VLOOKUP(A605,Metrik!$C$2:$Y$959,19,0)</f>
        <v>90</v>
      </c>
      <c r="N605" s="21"/>
      <c r="O605" s="21"/>
      <c r="P605" s="21"/>
      <c r="Q605" s="21"/>
      <c r="R605" s="21"/>
      <c r="S605" s="21"/>
      <c r="T605" s="21"/>
      <c r="U605" s="22">
        <f>IFERROR(__xludf.DUMMYFUNCTION("IFERROR(GOOGLEFINANCE(A605,""closeyest""),"""")"),0.0)</f>
        <v>0</v>
      </c>
      <c r="V605" s="23">
        <f>IFERROR(__xludf.DUMMYFUNCTION("IFERROR(GOOGLEFINANCE(A605,""changepct""),"""")"),0.0)</f>
        <v>0</v>
      </c>
      <c r="W605" s="22" t="str">
        <f>IFERROR(__xludf.DUMMYFUNCTION("IFERROR(GOOGLEFINANCE(A605,""priceopen""),"""")"),"")</f>
        <v/>
      </c>
      <c r="X605" s="22" t="str">
        <f>IFERROR(__xludf.DUMMYFUNCTION("IFERROR(GOOGLEFINANCE(A605,""high""),"""")"),"")</f>
        <v/>
      </c>
      <c r="Y605" s="22" t="str">
        <f>IFERROR(__xludf.DUMMYFUNCTION("IFERROR(GOOGLEFINANCE(A605,""low""),"""")"),"")</f>
        <v/>
      </c>
      <c r="Z605" s="22">
        <f>IFERROR(__xludf.DUMMYFUNCTION("IFERROR(GOOGLEFINANCE(A605,""volume""),"""")"),0.0)</f>
        <v>0</v>
      </c>
      <c r="AA605" s="24" t="str">
        <f>VLOOKUP(A605,Metrik!$C$2:$Y$959,5,0)</f>
        <v>Beverages</v>
      </c>
      <c r="AB605" s="24" t="str">
        <f>VLOOKUP(A605,Metrik!$C$2:$Y$959,3,0)</f>
        <v>Consumer Non-Cyclicals</v>
      </c>
    </row>
    <row r="606">
      <c r="A606" s="17" t="s">
        <v>335</v>
      </c>
      <c r="B606" s="14" t="str">
        <f t="array" ref="B606">VLOOKUP(A606,{Metrik!$C$2:$C$998,Metrik!$B$2:$B$998},2,0)</f>
        <v>Puradelta Lestari Tbk.</v>
      </c>
      <c r="C606" s="15">
        <f>IFERROR(__xludf.DUMMYFUNCTION("GOOGLEFINANCE(""IDX:""&amp;A606,""price"")"),154.0)</f>
        <v>154</v>
      </c>
      <c r="D606" s="16" t="str">
        <f>IFERROR(__xludf.DUMMYFUNCTION("IF(A606="""","""",
SPARKLINE(
INDEX(
GOOGLEFINANCE(""IDX:""&amp;A606,""close"",TODAY()-365,TODAY()),
,2
),
{""linewidth"",1}
))
"),"#N/A")</f>
        <v>#N/A</v>
      </c>
      <c r="E606" s="14"/>
      <c r="F606" s="17"/>
      <c r="G606" s="18">
        <f t="shared" si="5"/>
        <v>0</v>
      </c>
      <c r="H606" s="19">
        <f>VLOOKUP(A606,Metrik!$C$2:$Y$959,8,0)</f>
        <v>6</v>
      </c>
      <c r="I606" s="20">
        <f>VLOOKUP(A606,Metrik!$C$2:$Y$959,9,0)</f>
        <v>1</v>
      </c>
      <c r="J606" s="20">
        <f>VLOOKUP(A606,Metrik!$C$2:$Y$959,10,0)</f>
        <v>17</v>
      </c>
      <c r="K606" s="20">
        <f>VLOOKUP(A606,Metrik!$C$2:$Y$959,11,0)</f>
        <v>15.6</v>
      </c>
      <c r="L606" s="20">
        <f>VLOOKUP(A606,Metrik!$C$2:$Y$959,12,0)</f>
        <v>0.09</v>
      </c>
      <c r="M606" s="20">
        <f>VLOOKUP(A606,Metrik!$C$2:$Y$959,19,0)</f>
        <v>120</v>
      </c>
      <c r="N606" s="21"/>
      <c r="O606" s="21"/>
      <c r="P606" s="21"/>
      <c r="Q606" s="21"/>
      <c r="R606" s="21"/>
      <c r="S606" s="21"/>
      <c r="T606" s="21"/>
      <c r="U606" s="22">
        <f>IFERROR(__xludf.DUMMYFUNCTION("IFERROR(GOOGLEFINANCE(A606,""closeyest""),"""")"),151.0)</f>
        <v>151</v>
      </c>
      <c r="V606" s="23">
        <f>IFERROR(__xludf.DUMMYFUNCTION("IFERROR(GOOGLEFINANCE(A606,""changepct""),"""")"),1.99)</f>
        <v>1.99</v>
      </c>
      <c r="W606" s="22">
        <f>IFERROR(__xludf.DUMMYFUNCTION("IFERROR(GOOGLEFINANCE(A606,""priceopen""),"""")"),153.0)</f>
        <v>153</v>
      </c>
      <c r="X606" s="22">
        <f>IFERROR(__xludf.DUMMYFUNCTION("IFERROR(GOOGLEFINANCE(A606,""high""),"""")"),156.0)</f>
        <v>156</v>
      </c>
      <c r="Y606" s="22">
        <f>IFERROR(__xludf.DUMMYFUNCTION("IFERROR(GOOGLEFINANCE(A606,""low""),"""")"),151.0)</f>
        <v>151</v>
      </c>
      <c r="Z606" s="22">
        <f>IFERROR(__xludf.DUMMYFUNCTION("IFERROR(GOOGLEFINANCE(A606,""volume""),"""")"),7.2375E7)</f>
        <v>72375000</v>
      </c>
      <c r="AA606" s="24" t="str">
        <f>VLOOKUP(A606,Metrik!$C$2:$Y$959,5,0)</f>
        <v>Real Estate Management &amp; Development</v>
      </c>
      <c r="AB606" s="24" t="str">
        <f>VLOOKUP(A606,Metrik!$C$2:$Y$959,3,0)</f>
        <v>Properties &amp; Real Estate</v>
      </c>
    </row>
    <row r="607">
      <c r="A607" s="14" t="s">
        <v>336</v>
      </c>
      <c r="B607" s="14" t="str">
        <f t="array" ref="B607">VLOOKUP(A607,{Metrik!$C$2:$C$998,Metrik!$B$2:$B$998},2,0)</f>
        <v>Digital Mediatama Maxima Tbk.</v>
      </c>
      <c r="C607" s="15">
        <f>IFERROR(__xludf.DUMMYFUNCTION("GOOGLEFINANCE(""IDX:""&amp;A607,""price"")"),158.0)</f>
        <v>158</v>
      </c>
      <c r="D607" s="16" t="str">
        <f>IFERROR(__xludf.DUMMYFUNCTION("IF(A607="""","""",
SPARKLINE(
INDEX(
GOOGLEFINANCE(""IDX:""&amp;A607,""close"",TODAY()-365,TODAY()),
,2
),
{""linewidth"",1}
))
"),"#N/A")</f>
        <v>#N/A</v>
      </c>
      <c r="E607" s="26"/>
      <c r="F607" s="26"/>
      <c r="G607" s="24">
        <f t="shared" si="5"/>
        <v>0</v>
      </c>
      <c r="H607" s="19">
        <f>VLOOKUP(A607,Metrik!$C$2:$Y$959,8,0)</f>
        <v>22.4</v>
      </c>
      <c r="I607" s="20">
        <f>VLOOKUP(A607,Metrik!$C$2:$Y$959,9,0)</f>
        <v>2</v>
      </c>
      <c r="J607" s="20">
        <f>VLOOKUP(A607,Metrik!$C$2:$Y$959,10,0)</f>
        <v>8.7</v>
      </c>
      <c r="K607" s="20">
        <f>VLOOKUP(A607,Metrik!$C$2:$Y$959,11,0)</f>
        <v>7</v>
      </c>
      <c r="L607" s="20">
        <f>VLOOKUP(A607,Metrik!$C$2:$Y$959,12,0)</f>
        <v>0.25</v>
      </c>
      <c r="M607" s="20">
        <f>VLOOKUP(A607,Metrik!$C$2:$Y$959,19,0)</f>
        <v>79.9</v>
      </c>
      <c r="N607" s="21"/>
      <c r="O607" s="21"/>
      <c r="P607" s="21"/>
      <c r="Q607" s="21"/>
      <c r="R607" s="21"/>
      <c r="S607" s="21"/>
      <c r="T607" s="21"/>
      <c r="U607" s="22">
        <f>IFERROR(__xludf.DUMMYFUNCTION("IFERROR(GOOGLEFINANCE(A607,""closeyest""),"""")"),152.0)</f>
        <v>152</v>
      </c>
      <c r="V607" s="23">
        <f>IFERROR(__xludf.DUMMYFUNCTION("IFERROR(GOOGLEFINANCE(A607,""changepct""),"""")"),3.95)</f>
        <v>3.95</v>
      </c>
      <c r="W607" s="22">
        <f>IFERROR(__xludf.DUMMYFUNCTION("IFERROR(GOOGLEFINANCE(A607,""priceopen""),"""")"),152.0)</f>
        <v>152</v>
      </c>
      <c r="X607" s="22">
        <f>IFERROR(__xludf.DUMMYFUNCTION("IFERROR(GOOGLEFINANCE(A607,""high""),"""")"),158.0)</f>
        <v>158</v>
      </c>
      <c r="Y607" s="22">
        <f>IFERROR(__xludf.DUMMYFUNCTION("IFERROR(GOOGLEFINANCE(A607,""low""),"""")"),152.0)</f>
        <v>152</v>
      </c>
      <c r="Z607" s="22">
        <f>IFERROR(__xludf.DUMMYFUNCTION("IFERROR(GOOGLEFINANCE(A607,""volume""),"""")"),415300.0)</f>
        <v>415300</v>
      </c>
      <c r="AA607" s="24" t="str">
        <f>VLOOKUP(A607,Metrik!$C$2:$Y$959,5,0)</f>
        <v>IT Services &amp; Consulting</v>
      </c>
      <c r="AB607" s="24" t="str">
        <f>VLOOKUP(A607,Metrik!$C$2:$Y$959,3,0)</f>
        <v>Technology</v>
      </c>
    </row>
    <row r="608">
      <c r="A608" s="14" t="s">
        <v>337</v>
      </c>
      <c r="B608" s="14" t="str">
        <f t="array" ref="B608">VLOOKUP(A608,{Metrik!$C$2:$C$998,Metrik!$B$2:$B$998},2,0)</f>
        <v>Diamond Food Indonesia Tbk.</v>
      </c>
      <c r="C608" s="15">
        <f>IFERROR(__xludf.DUMMYFUNCTION("GOOGLEFINANCE(""IDX:""&amp;A608,""price"")"),615.0)</f>
        <v>615</v>
      </c>
      <c r="D608" s="16" t="str">
        <f>IFERROR(__xludf.DUMMYFUNCTION("IF(A608="""","""",
SPARKLINE(
INDEX(
GOOGLEFINANCE(""IDX:""&amp;A608,""close"",TODAY()-365,TODAY()),
,2
),
{""linewidth"",1}
))
"),"#N/A")</f>
        <v>#N/A</v>
      </c>
      <c r="E608" s="26"/>
      <c r="F608" s="26"/>
      <c r="G608" s="24">
        <f t="shared" si="5"/>
        <v>0</v>
      </c>
      <c r="H608" s="19">
        <f>VLOOKUP(A608,Metrik!$C$2:$Y$959,8,0)</f>
        <v>12.8</v>
      </c>
      <c r="I608" s="20">
        <f>VLOOKUP(A608,Metrik!$C$2:$Y$959,9,0)</f>
        <v>0.87</v>
      </c>
      <c r="J608" s="20">
        <f>VLOOKUP(A608,Metrik!$C$2:$Y$959,10,0)</f>
        <v>6.8</v>
      </c>
      <c r="K608" s="20">
        <f>VLOOKUP(A608,Metrik!$C$2:$Y$959,11,0)</f>
        <v>5.4</v>
      </c>
      <c r="L608" s="20">
        <f>VLOOKUP(A608,Metrik!$C$2:$Y$959,12,0)</f>
        <v>0.25</v>
      </c>
      <c r="M608" s="20">
        <f>VLOOKUP(A608,Metrik!$C$2:$Y$959,19,0)</f>
        <v>14.3</v>
      </c>
      <c r="N608" s="21"/>
      <c r="O608" s="21"/>
      <c r="P608" s="21"/>
      <c r="Q608" s="21"/>
      <c r="R608" s="21"/>
      <c r="S608" s="21"/>
      <c r="T608" s="21"/>
      <c r="U608" s="22" t="str">
        <f>IFERROR(__xludf.DUMMYFUNCTION("IFERROR(GOOGLEFINANCE(A608,""closeyest""),"""")"),"")</f>
        <v/>
      </c>
      <c r="V608" s="23">
        <f>IFERROR(__xludf.DUMMYFUNCTION("IFERROR(GOOGLEFINANCE(A608,""changepct""),"""")"),0.82)</f>
        <v>0.82</v>
      </c>
      <c r="W608" s="22">
        <f>IFERROR(__xludf.DUMMYFUNCTION("IFERROR(GOOGLEFINANCE(A608,""priceopen""),"""")"),610.0)</f>
        <v>610</v>
      </c>
      <c r="X608" s="22">
        <f>IFERROR(__xludf.DUMMYFUNCTION("IFERROR(GOOGLEFINANCE(A608,""high""),"""")"),615.0)</f>
        <v>615</v>
      </c>
      <c r="Y608" s="22">
        <f>IFERROR(__xludf.DUMMYFUNCTION("IFERROR(GOOGLEFINANCE(A608,""low""),"""")"),580.0)</f>
        <v>580</v>
      </c>
      <c r="Z608" s="22">
        <f>IFERROR(__xludf.DUMMYFUNCTION("IFERROR(GOOGLEFINANCE(A608,""volume""),"""")"),25800.0)</f>
        <v>25800</v>
      </c>
      <c r="AA608" s="24" t="str">
        <f>VLOOKUP(A608,Metrik!$C$2:$Y$959,5,0)</f>
        <v>Food &amp; Staples Retailing</v>
      </c>
      <c r="AB608" s="24" t="str">
        <f>VLOOKUP(A608,Metrik!$C$2:$Y$959,3,0)</f>
        <v>Consumer Non-Cyclicals</v>
      </c>
    </row>
    <row r="609">
      <c r="A609" s="14" t="s">
        <v>338</v>
      </c>
      <c r="B609" s="14" t="str">
        <f t="array" ref="B609">VLOOKUP(A609,{Metrik!$C$2:$C$998,Metrik!$B$2:$B$998},2,0)</f>
        <v>PT Bank Oke Indonesia Tbk.</v>
      </c>
      <c r="C609" s="15">
        <f>IFERROR(__xludf.DUMMYFUNCTION("GOOGLEFINANCE(""IDX:""&amp;A609,""price"")"),114.0)</f>
        <v>114</v>
      </c>
      <c r="D609" s="16" t="str">
        <f>IFERROR(__xludf.DUMMYFUNCTION("IF(A609="""","""",
SPARKLINE(
INDEX(
GOOGLEFINANCE(""IDX:""&amp;A609,""close"",TODAY()-365,TODAY()),
,2
),
{""linewidth"",1}
))
"),"#N/A")</f>
        <v>#N/A</v>
      </c>
      <c r="E609" s="26"/>
      <c r="F609" s="26"/>
      <c r="G609" s="24">
        <f t="shared" si="5"/>
        <v>0</v>
      </c>
      <c r="H609" s="19">
        <f>VLOOKUP(A609,Metrik!$C$2:$Y$959,8,0)</f>
        <v>10.4</v>
      </c>
      <c r="I609" s="20">
        <f>VLOOKUP(A609,Metrik!$C$2:$Y$959,9,0)</f>
        <v>0.53</v>
      </c>
      <c r="J609" s="20">
        <f>VLOOKUP(A609,Metrik!$C$2:$Y$959,10,0)</f>
        <v>5</v>
      </c>
      <c r="K609" s="20">
        <f>VLOOKUP(A609,Metrik!$C$2:$Y$959,11,0)</f>
        <v>1.4</v>
      </c>
      <c r="L609" s="20">
        <f>VLOOKUP(A609,Metrik!$C$2:$Y$959,12,0)</f>
        <v>2.6</v>
      </c>
      <c r="M609" s="20">
        <f>VLOOKUP(A609,Metrik!$C$2:$Y$959,19,0)</f>
        <v>59.5</v>
      </c>
      <c r="N609" s="32">
        <v>3.85</v>
      </c>
      <c r="O609" s="32">
        <v>44.15</v>
      </c>
      <c r="P609" s="32">
        <v>83.4</v>
      </c>
      <c r="Q609" s="32">
        <v>2.95</v>
      </c>
      <c r="R609" s="32">
        <v>94.15</v>
      </c>
      <c r="S609" s="32">
        <v>78.4</v>
      </c>
      <c r="T609" s="32">
        <v>9.12</v>
      </c>
      <c r="U609" s="22">
        <f>IFERROR(__xludf.DUMMYFUNCTION("IFERROR(GOOGLEFINANCE(A609,""closeyest""),"""")"),104.0)</f>
        <v>104</v>
      </c>
      <c r="V609" s="23">
        <f>IFERROR(__xludf.DUMMYFUNCTION("IFERROR(GOOGLEFINANCE(A609,""changepct""),"""")"),9.62)</f>
        <v>9.62</v>
      </c>
      <c r="W609" s="22">
        <f>IFERROR(__xludf.DUMMYFUNCTION("IFERROR(GOOGLEFINANCE(A609,""priceopen""),"""")"),104.0)</f>
        <v>104</v>
      </c>
      <c r="X609" s="22">
        <f>IFERROR(__xludf.DUMMYFUNCTION("IFERROR(GOOGLEFINANCE(A609,""high""),"""")"),119.0)</f>
        <v>119</v>
      </c>
      <c r="Y609" s="22">
        <f>IFERROR(__xludf.DUMMYFUNCTION("IFERROR(GOOGLEFINANCE(A609,""low""),"""")"),104.0)</f>
        <v>104</v>
      </c>
      <c r="Z609" s="22">
        <f>IFERROR(__xludf.DUMMYFUNCTION("IFERROR(GOOGLEFINANCE(A609,""volume""),"""")"),697300.0)</f>
        <v>697300</v>
      </c>
      <c r="AA609" s="24" t="str">
        <f>VLOOKUP(A609,Metrik!$C$2:$Y$959,5,0)</f>
        <v>Banks</v>
      </c>
      <c r="AB609" s="24" t="str">
        <f>VLOOKUP(A609,Metrik!$C$2:$Y$959,3,0)</f>
        <v>Financials</v>
      </c>
    </row>
    <row r="610">
      <c r="A610" s="14" t="s">
        <v>339</v>
      </c>
      <c r="B610" s="14" t="str">
        <f t="array" ref="B610">VLOOKUP(A610,{Metrik!$C$2:$C$998,Metrik!$B$2:$B$998},2,0)</f>
        <v>PT Indoritel Makmur Internasional Tbk.</v>
      </c>
      <c r="C610" s="15">
        <f>IFERROR(__xludf.DUMMYFUNCTION("GOOGLEFINANCE(""IDX:""&amp;A610,""price"")"),10150.0)</f>
        <v>10150</v>
      </c>
      <c r="D610" s="16" t="str">
        <f>IFERROR(__xludf.DUMMYFUNCTION("IF(A610="""","""",
SPARKLINE(
INDEX(
GOOGLEFINANCE(""IDX:""&amp;A610,""close"",TODAY()-365,TODAY()),
,2
),
{""linewidth"",1}
))
"),"#N/A")</f>
        <v>#N/A</v>
      </c>
      <c r="E610" s="26"/>
      <c r="F610" s="26"/>
      <c r="G610" s="24">
        <f t="shared" si="5"/>
        <v>0</v>
      </c>
      <c r="H610" s="19">
        <f>VLOOKUP(A610,Metrik!$C$2:$Y$959,8,0)</f>
        <v>120</v>
      </c>
      <c r="I610" s="20">
        <f>VLOOKUP(A610,Metrik!$C$2:$Y$959,9,0)</f>
        <v>9.9</v>
      </c>
      <c r="J610" s="20">
        <f>VLOOKUP(A610,Metrik!$C$2:$Y$959,10,0)</f>
        <v>8.2</v>
      </c>
      <c r="K610" s="20">
        <f>VLOOKUP(A610,Metrik!$C$2:$Y$959,11,0)</f>
        <v>5.4</v>
      </c>
      <c r="L610" s="20">
        <f>VLOOKUP(A610,Metrik!$C$2:$Y$959,12,0)</f>
        <v>0.51</v>
      </c>
      <c r="M610" s="20">
        <f>VLOOKUP(A610,Metrik!$C$2:$Y$959,19,0)</f>
        <v>300</v>
      </c>
      <c r="N610" s="21"/>
      <c r="O610" s="21"/>
      <c r="P610" s="21"/>
      <c r="Q610" s="21"/>
      <c r="R610" s="21"/>
      <c r="S610" s="21"/>
      <c r="T610" s="21"/>
      <c r="U610" s="22">
        <f>IFERROR(__xludf.DUMMYFUNCTION("IFERROR(GOOGLEFINANCE(A610,""closeyest""),"""")"),10400.0)</f>
        <v>10400</v>
      </c>
      <c r="V610" s="23">
        <f>IFERROR(__xludf.DUMMYFUNCTION("IFERROR(GOOGLEFINANCE(A610,""changepct""),"""")"),-2.4)</f>
        <v>-2.4</v>
      </c>
      <c r="W610" s="22">
        <f>IFERROR(__xludf.DUMMYFUNCTION("IFERROR(GOOGLEFINANCE(A610,""priceopen""),"""")"),10500.0)</f>
        <v>10500</v>
      </c>
      <c r="X610" s="22">
        <f>IFERROR(__xludf.DUMMYFUNCTION("IFERROR(GOOGLEFINANCE(A610,""high""),"""")"),10500.0)</f>
        <v>10500</v>
      </c>
      <c r="Y610" s="22">
        <f>IFERROR(__xludf.DUMMYFUNCTION("IFERROR(GOOGLEFINANCE(A610,""low""),"""")"),9975.0)</f>
        <v>9975</v>
      </c>
      <c r="Z610" s="22">
        <f>IFERROR(__xludf.DUMMYFUNCTION("IFERROR(GOOGLEFINANCE(A610,""volume""),"""")"),2400.0)</f>
        <v>2400</v>
      </c>
      <c r="AA610" s="24" t="str">
        <f>VLOOKUP(A610,Metrik!$C$2:$Y$959,5,0)</f>
        <v>Holding &amp; Investment Companies</v>
      </c>
      <c r="AB610" s="24" t="str">
        <f>VLOOKUP(A610,Metrik!$C$2:$Y$959,3,0)</f>
        <v>Financials</v>
      </c>
    </row>
    <row r="611">
      <c r="A611" s="14" t="s">
        <v>340</v>
      </c>
      <c r="B611" s="14" t="str">
        <f t="array" ref="B611">VLOOKUP(A611,{Metrik!$C$2:$C$998,Metrik!$B$2:$B$998},2,0)</f>
        <v>BUMA Internasional Grup Tbk.</v>
      </c>
      <c r="C611" s="15">
        <f>IFERROR(__xludf.DUMMYFUNCTION("GOOGLEFINANCE(""IDX:""&amp;A611,""price"")"),206.0)</f>
        <v>206</v>
      </c>
      <c r="D611" s="16" t="str">
        <f>IFERROR(__xludf.DUMMYFUNCTION("IF(A611="""","""",
SPARKLINE(
INDEX(
GOOGLEFINANCE(""IDX:""&amp;A611,""close"",TODAY()-365,TODAY()),
,2
),
{""linewidth"",1}
))
"),"#N/A")</f>
        <v>#N/A</v>
      </c>
      <c r="E611" s="26"/>
      <c r="F611" s="26"/>
      <c r="G611" s="24">
        <f t="shared" si="5"/>
        <v>0</v>
      </c>
      <c r="H611" s="19">
        <f>VLOOKUP(A611,Metrik!$C$2:$Y$959,8,0)</f>
        <v>-1.3</v>
      </c>
      <c r="I611" s="20">
        <f>VLOOKUP(A611,Metrik!$C$2:$Y$959,9,0)</f>
        <v>3.7</v>
      </c>
      <c r="J611" s="20">
        <f>VLOOKUP(A611,Metrik!$C$2:$Y$959,10,0)</f>
        <v>-300</v>
      </c>
      <c r="K611" s="20">
        <f>VLOOKUP(A611,Metrik!$C$2:$Y$959,11,0)</f>
        <v>-5.1</v>
      </c>
      <c r="L611" s="20">
        <f>VLOOKUP(A611,Metrik!$C$2:$Y$959,12,0)</f>
        <v>57.8</v>
      </c>
      <c r="M611" s="20">
        <f>VLOOKUP(A611,Metrik!$C$2:$Y$959,19,0)</f>
        <v>-23.6</v>
      </c>
      <c r="N611" s="21"/>
      <c r="O611" s="21"/>
      <c r="P611" s="21"/>
      <c r="Q611" s="21"/>
      <c r="R611" s="21"/>
      <c r="S611" s="21"/>
      <c r="T611" s="21"/>
      <c r="U611" s="22">
        <f>IFERROR(__xludf.DUMMYFUNCTION("IFERROR(GOOGLEFINANCE(A611,""closeyest""),"""")"),195.0)</f>
        <v>195</v>
      </c>
      <c r="V611" s="23">
        <f>IFERROR(__xludf.DUMMYFUNCTION("IFERROR(GOOGLEFINANCE(A611,""changepct""),"""")"),5.64)</f>
        <v>5.64</v>
      </c>
      <c r="W611" s="22">
        <f>IFERROR(__xludf.DUMMYFUNCTION("IFERROR(GOOGLEFINANCE(A611,""priceopen""),"""")"),195.0)</f>
        <v>195</v>
      </c>
      <c r="X611" s="22">
        <f>IFERROR(__xludf.DUMMYFUNCTION("IFERROR(GOOGLEFINANCE(A611,""high""),"""")"),208.0)</f>
        <v>208</v>
      </c>
      <c r="Y611" s="22">
        <f>IFERROR(__xludf.DUMMYFUNCTION("IFERROR(GOOGLEFINANCE(A611,""low""),"""")"),195.0)</f>
        <v>195</v>
      </c>
      <c r="Z611" s="22">
        <f>IFERROR(__xludf.DUMMYFUNCTION("IFERROR(GOOGLEFINANCE(A611,""volume""),"""")"),7962300.0)</f>
        <v>7962300</v>
      </c>
      <c r="AA611" s="24" t="str">
        <f>VLOOKUP(A611,Metrik!$C$2:$Y$959,5,0)</f>
        <v>Oil, Gas &amp; Coal Supports</v>
      </c>
      <c r="AB611" s="24" t="str">
        <f>VLOOKUP(A611,Metrik!$C$2:$Y$959,3,0)</f>
        <v>Energy</v>
      </c>
    </row>
    <row r="612">
      <c r="A612" s="14" t="s">
        <v>341</v>
      </c>
      <c r="B612" s="14" t="str">
        <f t="array" ref="B612">VLOOKUP(A612,{Metrik!$C$2:$C$998,Metrik!$B$2:$B$998},2,0)</f>
        <v>PT Era Media Sejahtera Tbk</v>
      </c>
      <c r="C612" s="15">
        <f>IFERROR(__xludf.DUMMYFUNCTION("GOOGLEFINANCE(""IDX:""&amp;A612,""price"")"),125.0)</f>
        <v>125</v>
      </c>
      <c r="D612" s="16" t="str">
        <f>IFERROR(__xludf.DUMMYFUNCTION("IF(A612="""","""",
SPARKLINE(
INDEX(
GOOGLEFINANCE(""IDX:""&amp;A612,""close"",TODAY()-365,TODAY()),
,2
),
{""linewidth"",1}
))
"),"#N/A")</f>
        <v>#N/A</v>
      </c>
      <c r="E612" s="26"/>
      <c r="F612" s="26"/>
      <c r="G612" s="24">
        <f t="shared" si="5"/>
        <v>0</v>
      </c>
      <c r="H612" s="19">
        <f>VLOOKUP(A612,Metrik!$C$2:$Y$959,8,0)</f>
        <v>43.1</v>
      </c>
      <c r="I612" s="20">
        <f>VLOOKUP(A612,Metrik!$C$2:$Y$959,9,0)</f>
        <v>4.3</v>
      </c>
      <c r="J612" s="20">
        <f>VLOOKUP(A612,Metrik!$C$2:$Y$959,10,0)</f>
        <v>10.1</v>
      </c>
      <c r="K612" s="20">
        <f>VLOOKUP(A612,Metrik!$C$2:$Y$959,11,0)</f>
        <v>8.3</v>
      </c>
      <c r="L612" s="20">
        <f>VLOOKUP(A612,Metrik!$C$2:$Y$959,12,0)</f>
        <v>0.22</v>
      </c>
      <c r="M612" s="20">
        <f>VLOOKUP(A612,Metrik!$C$2:$Y$959,19,0)</f>
        <v>83.6</v>
      </c>
      <c r="N612" s="21"/>
      <c r="O612" s="21"/>
      <c r="P612" s="21"/>
      <c r="Q612" s="21"/>
      <c r="R612" s="21"/>
      <c r="S612" s="21"/>
      <c r="T612" s="21"/>
      <c r="U612" s="22">
        <f>IFERROR(__xludf.DUMMYFUNCTION("IFERROR(GOOGLEFINANCE(A612,""closeyest""),"""")"),121.0)</f>
        <v>121</v>
      </c>
      <c r="V612" s="23">
        <f>IFERROR(__xludf.DUMMYFUNCTION("IFERROR(GOOGLEFINANCE(A612,""changepct""),"""")"),3.31)</f>
        <v>3.31</v>
      </c>
      <c r="W612" s="22">
        <f>IFERROR(__xludf.DUMMYFUNCTION("IFERROR(GOOGLEFINANCE(A612,""priceopen""),"""")"),121.0)</f>
        <v>121</v>
      </c>
      <c r="X612" s="22">
        <f>IFERROR(__xludf.DUMMYFUNCTION("IFERROR(GOOGLEFINANCE(A612,""high""),"""")"),139.0)</f>
        <v>139</v>
      </c>
      <c r="Y612" s="22">
        <f>IFERROR(__xludf.DUMMYFUNCTION("IFERROR(GOOGLEFINANCE(A612,""low""),"""")"),120.0)</f>
        <v>120</v>
      </c>
      <c r="Z612" s="22">
        <f>IFERROR(__xludf.DUMMYFUNCTION("IFERROR(GOOGLEFINANCE(A612,""volume""),"""")"),6.24849E7)</f>
        <v>62484900</v>
      </c>
      <c r="AA612" s="24" t="str">
        <f>VLOOKUP(A612,Metrik!$C$2:$Y$959,5,0)</f>
        <v>Media</v>
      </c>
      <c r="AB612" s="24" t="str">
        <f>VLOOKUP(A612,Metrik!$C$2:$Y$959,3,0)</f>
        <v>Consumer Cyclicals</v>
      </c>
    </row>
    <row r="613">
      <c r="A613" s="14" t="s">
        <v>342</v>
      </c>
      <c r="B613" s="14" t="str">
        <f t="array" ref="B613">VLOOKUP(A613,{Metrik!$C$2:$C$998,Metrik!$B$2:$B$998},2,0)</f>
        <v>Global Sukses Digital Tbk.</v>
      </c>
      <c r="C613" s="15">
        <f>IFERROR(__xludf.DUMMYFUNCTION("GOOGLEFINANCE(""IDX:""&amp;A613,""price"")"),135.0)</f>
        <v>135</v>
      </c>
      <c r="D613" s="16" t="str">
        <f>IFERROR(__xludf.DUMMYFUNCTION("IF(A613="""","""",
SPARKLINE(
INDEX(
GOOGLEFINANCE(""IDX:""&amp;A613,""close"",TODAY()-365,TODAY()),
,2
),
{""linewidth"",1}
))
"),"#N/A")</f>
        <v>#N/A</v>
      </c>
      <c r="E613" s="26"/>
      <c r="F613" s="26"/>
      <c r="G613" s="24">
        <f t="shared" si="5"/>
        <v>0</v>
      </c>
      <c r="H613" s="19">
        <f>VLOOKUP(A613,Metrik!$C$2:$Y$959,8,0)</f>
        <v>5.5</v>
      </c>
      <c r="I613" s="20">
        <f>VLOOKUP(A613,Metrik!$C$2:$Y$959,9,0)</f>
        <v>1.1</v>
      </c>
      <c r="J613" s="20">
        <f>VLOOKUP(A613,Metrik!$C$2:$Y$959,10,0)</f>
        <v>19.2</v>
      </c>
      <c r="K613" s="20">
        <f>VLOOKUP(A613,Metrik!$C$2:$Y$959,11,0)</f>
        <v>13.1</v>
      </c>
      <c r="L613" s="20">
        <f>VLOOKUP(A613,Metrik!$C$2:$Y$959,12,0)</f>
        <v>0.46</v>
      </c>
      <c r="M613" s="20">
        <f>VLOOKUP(A613,Metrik!$C$2:$Y$959,19,0)</f>
        <v>14</v>
      </c>
      <c r="N613" s="21"/>
      <c r="O613" s="21"/>
      <c r="P613" s="21"/>
      <c r="Q613" s="21"/>
      <c r="R613" s="21"/>
      <c r="S613" s="21"/>
      <c r="T613" s="21"/>
      <c r="U613" s="22">
        <f>IFERROR(__xludf.DUMMYFUNCTION("IFERROR(GOOGLEFINANCE(A613,""closeyest""),"""")"),127.0)</f>
        <v>127</v>
      </c>
      <c r="V613" s="23">
        <f>IFERROR(__xludf.DUMMYFUNCTION("IFERROR(GOOGLEFINANCE(A613,""changepct""),"""")"),6.3)</f>
        <v>6.3</v>
      </c>
      <c r="W613" s="22">
        <f>IFERROR(__xludf.DUMMYFUNCTION("IFERROR(GOOGLEFINANCE(A613,""priceopen""),"""")"),123.0)</f>
        <v>123</v>
      </c>
      <c r="X613" s="22">
        <f>IFERROR(__xludf.DUMMYFUNCTION("IFERROR(GOOGLEFINANCE(A613,""high""),"""")"),135.0)</f>
        <v>135</v>
      </c>
      <c r="Y613" s="22">
        <f>IFERROR(__xludf.DUMMYFUNCTION("IFERROR(GOOGLEFINANCE(A613,""low""),"""")"),123.0)</f>
        <v>123</v>
      </c>
      <c r="Z613" s="22">
        <f>IFERROR(__xludf.DUMMYFUNCTION("IFERROR(GOOGLEFINANCE(A613,""volume""),"""")"),272200.0)</f>
        <v>272200</v>
      </c>
      <c r="AA613" s="24" t="str">
        <f>VLOOKUP(A613,Metrik!$C$2:$Y$959,5,0)</f>
        <v>Consumer Electronics</v>
      </c>
      <c r="AB613" s="24" t="str">
        <f>VLOOKUP(A613,Metrik!$C$2:$Y$959,3,0)</f>
        <v>Consumer Cyclicals</v>
      </c>
    </row>
    <row r="614">
      <c r="A614" s="14" t="s">
        <v>343</v>
      </c>
      <c r="B614" s="14" t="str">
        <f t="array" ref="B614">VLOOKUP(A614,{Metrik!$C$2:$C$998,Metrik!$B$2:$B$998},2,0)</f>
        <v>Duta Pertiwi Nusantara Tbk.</v>
      </c>
      <c r="C614" s="15">
        <f>IFERROR(__xludf.DUMMYFUNCTION("GOOGLEFINANCE(""IDX:""&amp;A614,""price"")"),310.0)</f>
        <v>310</v>
      </c>
      <c r="D614" s="16" t="str">
        <f>IFERROR(__xludf.DUMMYFUNCTION("IF(A614="""","""",
SPARKLINE(
INDEX(
GOOGLEFINANCE(""IDX:""&amp;A614,""close"",TODAY()-365,TODAY()),
,2
),
{""linewidth"",1}
))
"),"#N/A")</f>
        <v>#N/A</v>
      </c>
      <c r="E614" s="26"/>
      <c r="F614" s="26"/>
      <c r="G614" s="24">
        <f t="shared" si="5"/>
        <v>0</v>
      </c>
      <c r="H614" s="19">
        <f>VLOOKUP(A614,Metrik!$C$2:$Y$959,8,0)</f>
        <v>170</v>
      </c>
      <c r="I614" s="20">
        <f>VLOOKUP(A614,Metrik!$C$2:$Y$959,9,0)</f>
        <v>0.3</v>
      </c>
      <c r="J614" s="20">
        <f>VLOOKUP(A614,Metrik!$C$2:$Y$959,10,0)</f>
        <v>0.18</v>
      </c>
      <c r="K614" s="20">
        <f>VLOOKUP(A614,Metrik!$C$2:$Y$959,11,0)</f>
        <v>0.17</v>
      </c>
      <c r="L614" s="20">
        <f>VLOOKUP(A614,Metrik!$C$2:$Y$959,12,0)</f>
        <v>0.02</v>
      </c>
      <c r="M614" s="20">
        <f>VLOOKUP(A614,Metrik!$C$2:$Y$959,19,0)</f>
        <v>4.6</v>
      </c>
      <c r="N614" s="21"/>
      <c r="O614" s="21"/>
      <c r="P614" s="21"/>
      <c r="Q614" s="21"/>
      <c r="R614" s="21"/>
      <c r="S614" s="21"/>
      <c r="T614" s="21"/>
      <c r="U614" s="22">
        <f>IFERROR(__xludf.DUMMYFUNCTION("IFERROR(GOOGLEFINANCE(A614,""closeyest""),"""")"),310.0)</f>
        <v>310</v>
      </c>
      <c r="V614" s="23">
        <f>IFERROR(__xludf.DUMMYFUNCTION("IFERROR(GOOGLEFINANCE(A614,""changepct""),"""")"),0.0)</f>
        <v>0</v>
      </c>
      <c r="W614" s="22" t="str">
        <f>IFERROR(__xludf.DUMMYFUNCTION("IFERROR(GOOGLEFINANCE(A614,""priceopen""),"""")"),"")</f>
        <v/>
      </c>
      <c r="X614" s="22" t="str">
        <f>IFERROR(__xludf.DUMMYFUNCTION("IFERROR(GOOGLEFINANCE(A614,""high""),"""")"),"")</f>
        <v/>
      </c>
      <c r="Y614" s="22" t="str">
        <f>IFERROR(__xludf.DUMMYFUNCTION("IFERROR(GOOGLEFINANCE(A614,""low""),"""")"),"")</f>
        <v/>
      </c>
      <c r="Z614" s="22">
        <f>IFERROR(__xludf.DUMMYFUNCTION("IFERROR(GOOGLEFINANCE(A614,""volume""),"""")"),0.0)</f>
        <v>0</v>
      </c>
      <c r="AA614" s="24" t="str">
        <f>VLOOKUP(A614,Metrik!$C$2:$Y$959,5,0)</f>
        <v>Chemicals</v>
      </c>
      <c r="AB614" s="24" t="str">
        <f>VLOOKUP(A614,Metrik!$C$2:$Y$959,3,0)</f>
        <v>Basic Materials</v>
      </c>
    </row>
    <row r="615">
      <c r="A615" s="14" t="s">
        <v>344</v>
      </c>
      <c r="B615" s="14" t="str">
        <f t="array" ref="B615">VLOOKUP(A615,{Metrik!$C$2:$C$998,Metrik!$B$2:$B$998},2,0)</f>
        <v>Dua Putra Utama Makmur Tbk.</v>
      </c>
      <c r="C615" s="15">
        <f>IFERROR(__xludf.DUMMYFUNCTION("GOOGLEFINANCE(""IDX:""&amp;A615,""price"")"),116.0)</f>
        <v>116</v>
      </c>
      <c r="D615" s="16" t="str">
        <f>IFERROR(__xludf.DUMMYFUNCTION("IF(A615="""","""",
SPARKLINE(
INDEX(
GOOGLEFINANCE(""IDX:""&amp;A615,""close"",TODAY()-365,TODAY()),
,2
),
{""linewidth"",1}
))
"),"#N/A")</f>
        <v>#N/A</v>
      </c>
      <c r="E615" s="26"/>
      <c r="F615" s="26"/>
      <c r="G615" s="24">
        <f t="shared" si="5"/>
        <v>0</v>
      </c>
      <c r="H615" s="19">
        <f>VLOOKUP(A615,Metrik!$C$2:$Y$959,8,0)</f>
        <v>-19</v>
      </c>
      <c r="I615" s="20">
        <f>VLOOKUP(A615,Metrik!$C$2:$Y$959,9,0)</f>
        <v>2.4</v>
      </c>
      <c r="J615" s="20">
        <f>VLOOKUP(A615,Metrik!$C$2:$Y$959,10,0)</f>
        <v>-12.5</v>
      </c>
      <c r="K615" s="20">
        <f>VLOOKUP(A615,Metrik!$C$2:$Y$959,11,0)</f>
        <v>-3.9</v>
      </c>
      <c r="L615" s="20">
        <f>VLOOKUP(A615,Metrik!$C$2:$Y$959,12,0)</f>
        <v>2.2</v>
      </c>
      <c r="M615" s="20">
        <f>VLOOKUP(A615,Metrik!$C$2:$Y$959,19,0)</f>
        <v>-20</v>
      </c>
      <c r="N615" s="21"/>
      <c r="O615" s="21"/>
      <c r="P615" s="21"/>
      <c r="Q615" s="21"/>
      <c r="R615" s="21"/>
      <c r="S615" s="21"/>
      <c r="T615" s="21"/>
      <c r="U615" s="22">
        <f>IFERROR(__xludf.DUMMYFUNCTION("IFERROR(GOOGLEFINANCE(A615,""closeyest""),"""")"),20.39)</f>
        <v>20.39</v>
      </c>
      <c r="V615" s="23">
        <f>IFERROR(__xludf.DUMMYFUNCTION("IFERROR(GOOGLEFINANCE(A615,""changepct""),"""")"),0.92)</f>
        <v>0.92</v>
      </c>
      <c r="W615" s="22">
        <f>IFERROR(__xludf.DUMMYFUNCTION("IFERROR(GOOGLEFINANCE(A615,""priceopen""),"""")"),20.73)</f>
        <v>20.73</v>
      </c>
      <c r="X615" s="22">
        <f>IFERROR(__xludf.DUMMYFUNCTION("IFERROR(GOOGLEFINANCE(A615,""high""),"""")"),20.73)</f>
        <v>20.73</v>
      </c>
      <c r="Y615" s="22">
        <f>IFERROR(__xludf.DUMMYFUNCTION("IFERROR(GOOGLEFINANCE(A615,""low""),"""")"),20.58)</f>
        <v>20.58</v>
      </c>
      <c r="Z615" s="22">
        <f>IFERROR(__xludf.DUMMYFUNCTION("IFERROR(GOOGLEFINANCE(A615,""volume""),"""")"),1216.0)</f>
        <v>1216</v>
      </c>
      <c r="AA615" s="24" t="str">
        <f>VLOOKUP(A615,Metrik!$C$2:$Y$959,5,0)</f>
        <v>Agricultural Products</v>
      </c>
      <c r="AB615" s="24" t="str">
        <f>VLOOKUP(A615,Metrik!$C$2:$Y$959,3,0)</f>
        <v>Consumer Non-Cyclicals</v>
      </c>
    </row>
    <row r="616">
      <c r="A616" s="17" t="s">
        <v>345</v>
      </c>
      <c r="B616" s="14" t="str">
        <f t="array" ref="B616">VLOOKUP(A616,{Metrik!$C$2:$C$998,Metrik!$B$2:$B$998},2,0)</f>
        <v>Dharma Polimetal Tbk.</v>
      </c>
      <c r="C616" s="15">
        <f>IFERROR(__xludf.DUMMYFUNCTION("GOOGLEFINANCE(""IDX:""&amp;A616,""price"")"),940.0)</f>
        <v>940</v>
      </c>
      <c r="D616" s="16" t="str">
        <f>IFERROR(__xludf.DUMMYFUNCTION("IF(A616="""","""",
SPARKLINE(
INDEX(
GOOGLEFINANCE(""IDX:""&amp;A616,""close"",TODAY()-365,TODAY()),
,2
),
{""linewidth"",1}
))
"),"#N/A")</f>
        <v>#N/A</v>
      </c>
      <c r="E616" s="14"/>
      <c r="F616" s="17"/>
      <c r="G616" s="18">
        <f t="shared" si="5"/>
        <v>0</v>
      </c>
      <c r="H616" s="19">
        <f>VLOOKUP(A616,Metrik!$C$2:$Y$959,8,0)</f>
        <v>7</v>
      </c>
      <c r="I616" s="20">
        <f>VLOOKUP(A616,Metrik!$C$2:$Y$959,9,0)</f>
        <v>1.5</v>
      </c>
      <c r="J616" s="20">
        <f>VLOOKUP(A616,Metrik!$C$2:$Y$959,10,0)</f>
        <v>21.3</v>
      </c>
      <c r="K616" s="20">
        <f>VLOOKUP(A616,Metrik!$C$2:$Y$959,11,0)</f>
        <v>14.6</v>
      </c>
      <c r="L616" s="20">
        <f>VLOOKUP(A616,Metrik!$C$2:$Y$959,12,0)</f>
        <v>0.46</v>
      </c>
      <c r="M616" s="20">
        <f>VLOOKUP(A616,Metrik!$C$2:$Y$959,19,0)</f>
        <v>42.3</v>
      </c>
      <c r="N616" s="21"/>
      <c r="O616" s="21"/>
      <c r="P616" s="21"/>
      <c r="Q616" s="21"/>
      <c r="R616" s="21"/>
      <c r="S616" s="21"/>
      <c r="T616" s="21"/>
      <c r="U616" s="22">
        <f>IFERROR(__xludf.DUMMYFUNCTION("IFERROR(GOOGLEFINANCE(A616,""closeyest""),"""")"),1.22)</f>
        <v>1.22</v>
      </c>
      <c r="V616" s="23">
        <f>IFERROR(__xludf.DUMMYFUNCTION("IFERROR(GOOGLEFINANCE(A616,""changepct""),"""")"),-3.28)</f>
        <v>-3.28</v>
      </c>
      <c r="W616" s="22">
        <f>IFERROR(__xludf.DUMMYFUNCTION("IFERROR(GOOGLEFINANCE(A616,""priceopen""),"""")"),1.23)</f>
        <v>1.23</v>
      </c>
      <c r="X616" s="22">
        <f>IFERROR(__xludf.DUMMYFUNCTION("IFERROR(GOOGLEFINANCE(A616,""high""),"""")"),1.24)</f>
        <v>1.24</v>
      </c>
      <c r="Y616" s="22">
        <f>IFERROR(__xludf.DUMMYFUNCTION("IFERROR(GOOGLEFINANCE(A616,""low""),"""")"),1.17)</f>
        <v>1.17</v>
      </c>
      <c r="Z616" s="22">
        <f>IFERROR(__xludf.DUMMYFUNCTION("IFERROR(GOOGLEFINANCE(A616,""volume""),"""")"),41158.0)</f>
        <v>41158</v>
      </c>
      <c r="AA616" s="24" t="str">
        <f>VLOOKUP(A616,Metrik!$C$2:$Y$959,5,0)</f>
        <v>Auto Components</v>
      </c>
      <c r="AB616" s="24" t="str">
        <f>VLOOKUP(A616,Metrik!$C$2:$Y$959,3,0)</f>
        <v>Consumer Cyclicals</v>
      </c>
    </row>
    <row r="617">
      <c r="A617" s="14" t="s">
        <v>346</v>
      </c>
      <c r="B617" s="14" t="str">
        <f t="array" ref="B617">VLOOKUP(A617,{Metrik!$C$2:$C$998,Metrik!$B$2:$B$998},2,0)</f>
        <v>Dharma Samudera Fishing Industries Tbk.</v>
      </c>
      <c r="C617" s="15">
        <f>IFERROR(__xludf.DUMMYFUNCTION("GOOGLEFINANCE(""IDX:""&amp;A617,""price"")"),71.0)</f>
        <v>71</v>
      </c>
      <c r="D617" s="16" t="str">
        <f>IFERROR(__xludf.DUMMYFUNCTION("IF(A617="""","""",
SPARKLINE(
INDEX(
GOOGLEFINANCE(""IDX:""&amp;A617,""close"",TODAY()-365,TODAY()),
,2
),
{""linewidth"",1}
))
"),"#N/A")</f>
        <v>#N/A</v>
      </c>
      <c r="E617" s="26"/>
      <c r="F617" s="26"/>
      <c r="G617" s="24">
        <f t="shared" si="5"/>
        <v>0</v>
      </c>
      <c r="H617" s="19">
        <f>VLOOKUP(A617,Metrik!$C$2:$Y$959,8,0)</f>
        <v>7.1</v>
      </c>
      <c r="I617" s="20">
        <f>VLOOKUP(A617,Metrik!$C$2:$Y$959,9,0)</f>
        <v>0.5</v>
      </c>
      <c r="J617" s="20">
        <f>VLOOKUP(A617,Metrik!$C$2:$Y$959,10,0)</f>
        <v>7</v>
      </c>
      <c r="K617" s="20">
        <f>VLOOKUP(A617,Metrik!$C$2:$Y$959,11,0)</f>
        <v>4.2</v>
      </c>
      <c r="L617" s="20">
        <f>VLOOKUP(A617,Metrik!$C$2:$Y$959,12,0)</f>
        <v>0.68</v>
      </c>
      <c r="M617" s="20">
        <f>VLOOKUP(A617,Metrik!$C$2:$Y$959,19,0)</f>
        <v>11.2</v>
      </c>
      <c r="N617" s="21"/>
      <c r="O617" s="21"/>
      <c r="P617" s="21"/>
      <c r="Q617" s="21"/>
      <c r="R617" s="21"/>
      <c r="S617" s="21"/>
      <c r="T617" s="21"/>
      <c r="U617" s="22">
        <f>IFERROR(__xludf.DUMMYFUNCTION("IFERROR(GOOGLEFINANCE(A617,""closeyest""),"""")"),66.0)</f>
        <v>66</v>
      </c>
      <c r="V617" s="23">
        <f>IFERROR(__xludf.DUMMYFUNCTION("IFERROR(GOOGLEFINANCE(A617,""changepct""),"""")"),7.58)</f>
        <v>7.58</v>
      </c>
      <c r="W617" s="22">
        <f>IFERROR(__xludf.DUMMYFUNCTION("IFERROR(GOOGLEFINANCE(A617,""priceopen""),"""")"),66.0)</f>
        <v>66</v>
      </c>
      <c r="X617" s="22">
        <f>IFERROR(__xludf.DUMMYFUNCTION("IFERROR(GOOGLEFINANCE(A617,""high""),"""")"),71.0)</f>
        <v>71</v>
      </c>
      <c r="Y617" s="22">
        <f>IFERROR(__xludf.DUMMYFUNCTION("IFERROR(GOOGLEFINANCE(A617,""low""),"""")"),66.0)</f>
        <v>66</v>
      </c>
      <c r="Z617" s="22">
        <f>IFERROR(__xludf.DUMMYFUNCTION("IFERROR(GOOGLEFINANCE(A617,""volume""),"""")"),3060000.0)</f>
        <v>3060000</v>
      </c>
      <c r="AA617" s="24" t="str">
        <f>VLOOKUP(A617,Metrik!$C$2:$Y$959,5,0)</f>
        <v>Agricultural Products</v>
      </c>
      <c r="AB617" s="24" t="str">
        <f>VLOOKUP(A617,Metrik!$C$2:$Y$959,3,0)</f>
        <v>Consumer Non-Cyclicals</v>
      </c>
    </row>
    <row r="618">
      <c r="A618" s="14" t="s">
        <v>347</v>
      </c>
      <c r="B618" s="14" t="str">
        <f t="array" ref="B618">VLOOKUP(A618,{Metrik!$C$2:$C$998,Metrik!$B$2:$B$998},2,0)</f>
        <v>PT Dharma Satya Nusantara Tbk.</v>
      </c>
      <c r="C618" s="15">
        <f>IFERROR(__xludf.DUMMYFUNCTION("GOOGLEFINANCE(""IDX:""&amp;A618,""price"")"),1145.0)</f>
        <v>1145</v>
      </c>
      <c r="D618" s="16" t="str">
        <f>IFERROR(__xludf.DUMMYFUNCTION("IF(A618="""","""",
SPARKLINE(
INDEX(
GOOGLEFINANCE(""IDX:""&amp;A618,""close"",TODAY()-365,TODAY()),
,2
),
{""linewidth"",1}
))
"),"#N/A")</f>
        <v>#N/A</v>
      </c>
      <c r="E618" s="14" t="s">
        <v>47</v>
      </c>
      <c r="F618" s="25">
        <v>46356.0</v>
      </c>
      <c r="G618" s="18">
        <f t="shared" si="5"/>
        <v>12</v>
      </c>
      <c r="H618" s="19">
        <f>VLOOKUP(A618,Metrik!$C$2:$Y$959,8,0)</f>
        <v>6.6</v>
      </c>
      <c r="I618" s="20">
        <f>VLOOKUP(A618,Metrik!$C$2:$Y$959,9,0)</f>
        <v>1.1</v>
      </c>
      <c r="J618" s="20">
        <f>VLOOKUP(A618,Metrik!$C$2:$Y$959,10,0)</f>
        <v>15.8</v>
      </c>
      <c r="K618" s="20">
        <f>VLOOKUP(A618,Metrik!$C$2:$Y$959,11,0)</f>
        <v>10.7</v>
      </c>
      <c r="L618" s="20">
        <f>VLOOKUP(A618,Metrik!$C$2:$Y$959,12,0)</f>
        <v>0.47</v>
      </c>
      <c r="M618" s="20">
        <f>VLOOKUP(A618,Metrik!$C$2:$Y$959,19,0)</f>
        <v>65.9</v>
      </c>
      <c r="N618" s="21"/>
      <c r="O618" s="21"/>
      <c r="P618" s="21"/>
      <c r="Q618" s="21"/>
      <c r="R618" s="21"/>
      <c r="S618" s="21"/>
      <c r="T618" s="21"/>
      <c r="U618" s="22">
        <f>IFERROR(__xludf.DUMMYFUNCTION("IFERROR(GOOGLEFINANCE(A618,""closeyest""),"""")"),1095.0)</f>
        <v>1095</v>
      </c>
      <c r="V618" s="23">
        <f>IFERROR(__xludf.DUMMYFUNCTION("IFERROR(GOOGLEFINANCE(A618,""changepct""),"""")"),4.57)</f>
        <v>4.57</v>
      </c>
      <c r="W618" s="22">
        <f>IFERROR(__xludf.DUMMYFUNCTION("IFERROR(GOOGLEFINANCE(A618,""priceopen""),"""")"),1105.0)</f>
        <v>1105</v>
      </c>
      <c r="X618" s="22">
        <f>IFERROR(__xludf.DUMMYFUNCTION("IFERROR(GOOGLEFINANCE(A618,""high""),"""")"),1170.0)</f>
        <v>1170</v>
      </c>
      <c r="Y618" s="22">
        <f>IFERROR(__xludf.DUMMYFUNCTION("IFERROR(GOOGLEFINANCE(A618,""low""),"""")"),1100.0)</f>
        <v>1100</v>
      </c>
      <c r="Z618" s="22">
        <f>IFERROR(__xludf.DUMMYFUNCTION("IFERROR(GOOGLEFINANCE(A618,""volume""),"""")"),7343000.0)</f>
        <v>7343000</v>
      </c>
      <c r="AA618" s="24" t="str">
        <f>VLOOKUP(A618,Metrik!$C$2:$Y$959,5,0)</f>
        <v>Agricultural Products</v>
      </c>
      <c r="AB618" s="24" t="str">
        <f>VLOOKUP(A618,Metrik!$C$2:$Y$959,3,0)</f>
        <v>Consumer Non-Cyclicals</v>
      </c>
    </row>
    <row r="619">
      <c r="A619" s="14" t="s">
        <v>347</v>
      </c>
      <c r="B619" s="14" t="str">
        <f t="array" ref="B619">VLOOKUP(A619,{Metrik!$C$2:$C$998,Metrik!$B$2:$B$998},2,0)</f>
        <v>PT Dharma Satya Nusantara Tbk.</v>
      </c>
      <c r="C619" s="15">
        <f>IFERROR(__xludf.DUMMYFUNCTION("GOOGLEFINANCE(""IDX:""&amp;A619,""price"")"),1145.0)</f>
        <v>1145</v>
      </c>
      <c r="D619" s="16" t="str">
        <f>IFERROR(__xludf.DUMMYFUNCTION("IF(A619="""","""",
SPARKLINE(
INDEX(
GOOGLEFINANCE(""IDX:""&amp;A619,""close"",TODAY()-365,TODAY()),
,2
),
{""linewidth"",1}
))
"),"#N/A")</f>
        <v>#N/A</v>
      </c>
      <c r="E619" s="14" t="s">
        <v>65</v>
      </c>
      <c r="F619" s="25">
        <v>46356.0</v>
      </c>
      <c r="G619" s="18">
        <f t="shared" si="5"/>
        <v>12</v>
      </c>
      <c r="H619" s="19">
        <f>VLOOKUP(A619,Metrik!$C$2:$Y$959,8,0)</f>
        <v>6.6</v>
      </c>
      <c r="I619" s="20">
        <f>VLOOKUP(A619,Metrik!$C$2:$Y$959,9,0)</f>
        <v>1.1</v>
      </c>
      <c r="J619" s="20">
        <f>VLOOKUP(A619,Metrik!$C$2:$Y$959,10,0)</f>
        <v>15.8</v>
      </c>
      <c r="K619" s="20">
        <f>VLOOKUP(A619,Metrik!$C$2:$Y$959,11,0)</f>
        <v>10.7</v>
      </c>
      <c r="L619" s="20">
        <f>VLOOKUP(A619,Metrik!$C$2:$Y$959,12,0)</f>
        <v>0.47</v>
      </c>
      <c r="M619" s="20">
        <f>VLOOKUP(A619,Metrik!$C$2:$Y$959,19,0)</f>
        <v>65.9</v>
      </c>
      <c r="N619" s="21"/>
      <c r="O619" s="21"/>
      <c r="P619" s="21"/>
      <c r="Q619" s="21"/>
      <c r="R619" s="21"/>
      <c r="S619" s="21"/>
      <c r="T619" s="21"/>
      <c r="U619" s="22">
        <f>IFERROR(__xludf.DUMMYFUNCTION("IFERROR(GOOGLEFINANCE(A619,""closeyest""),"""")"),1095.0)</f>
        <v>1095</v>
      </c>
      <c r="V619" s="23">
        <f>IFERROR(__xludf.DUMMYFUNCTION("IFERROR(GOOGLEFINANCE(A619,""changepct""),"""")"),4.57)</f>
        <v>4.57</v>
      </c>
      <c r="W619" s="22">
        <f>IFERROR(__xludf.DUMMYFUNCTION("IFERROR(GOOGLEFINANCE(A619,""priceopen""),"""")"),1105.0)</f>
        <v>1105</v>
      </c>
      <c r="X619" s="22">
        <f>IFERROR(__xludf.DUMMYFUNCTION("IFERROR(GOOGLEFINANCE(A619,""high""),"""")"),1170.0)</f>
        <v>1170</v>
      </c>
      <c r="Y619" s="22">
        <f>IFERROR(__xludf.DUMMYFUNCTION("IFERROR(GOOGLEFINANCE(A619,""low""),"""")"),1100.0)</f>
        <v>1100</v>
      </c>
      <c r="Z619" s="22">
        <f>IFERROR(__xludf.DUMMYFUNCTION("IFERROR(GOOGLEFINANCE(A619,""volume""),"""")"),7343000.0)</f>
        <v>7343000</v>
      </c>
      <c r="AA619" s="24" t="str">
        <f>VLOOKUP(A619,Metrik!$C$2:$Y$959,5,0)</f>
        <v>Agricultural Products</v>
      </c>
      <c r="AB619" s="24" t="str">
        <f>VLOOKUP(A619,Metrik!$C$2:$Y$959,3,0)</f>
        <v>Consumer Non-Cyclicals</v>
      </c>
    </row>
    <row r="620">
      <c r="A620" s="14" t="s">
        <v>347</v>
      </c>
      <c r="B620" s="14" t="str">
        <f t="array" ref="B620">VLOOKUP(A620,{Metrik!$C$2:$C$998,Metrik!$B$2:$B$998},2,0)</f>
        <v>PT Dharma Satya Nusantara Tbk.</v>
      </c>
      <c r="C620" s="15">
        <f>IFERROR(__xludf.DUMMYFUNCTION("GOOGLEFINANCE(""IDX:""&amp;A620,""price"")"),1145.0)</f>
        <v>1145</v>
      </c>
      <c r="D620" s="16" t="str">
        <f>IFERROR(__xludf.DUMMYFUNCTION("IF(A620="""","""",
SPARKLINE(
INDEX(
GOOGLEFINANCE(""IDX:""&amp;A620,""close"",TODAY()-365,TODAY()),
,2
),
{""linewidth"",1}
))
"),"#N/A")</f>
        <v>#N/A</v>
      </c>
      <c r="E620" s="14" t="s">
        <v>55</v>
      </c>
      <c r="F620" s="25">
        <v>46356.0</v>
      </c>
      <c r="G620" s="18">
        <f t="shared" si="5"/>
        <v>12</v>
      </c>
      <c r="H620" s="19">
        <f>VLOOKUP(A620,Metrik!$C$2:$Y$959,8,0)</f>
        <v>6.6</v>
      </c>
      <c r="I620" s="20">
        <f>VLOOKUP(A620,Metrik!$C$2:$Y$959,9,0)</f>
        <v>1.1</v>
      </c>
      <c r="J620" s="20">
        <f>VLOOKUP(A620,Metrik!$C$2:$Y$959,10,0)</f>
        <v>15.8</v>
      </c>
      <c r="K620" s="20">
        <f>VLOOKUP(A620,Metrik!$C$2:$Y$959,11,0)</f>
        <v>10.7</v>
      </c>
      <c r="L620" s="20">
        <f>VLOOKUP(A620,Metrik!$C$2:$Y$959,12,0)</f>
        <v>0.47</v>
      </c>
      <c r="M620" s="20">
        <f>VLOOKUP(A620,Metrik!$C$2:$Y$959,19,0)</f>
        <v>65.9</v>
      </c>
      <c r="N620" s="21"/>
      <c r="O620" s="21"/>
      <c r="P620" s="21"/>
      <c r="Q620" s="21"/>
      <c r="R620" s="21"/>
      <c r="S620" s="21"/>
      <c r="T620" s="21"/>
      <c r="U620" s="22">
        <f>IFERROR(__xludf.DUMMYFUNCTION("IFERROR(GOOGLEFINANCE(A620,""closeyest""),"""")"),1095.0)</f>
        <v>1095</v>
      </c>
      <c r="V620" s="23">
        <f>IFERROR(__xludf.DUMMYFUNCTION("IFERROR(GOOGLEFINANCE(A620,""changepct""),"""")"),4.57)</f>
        <v>4.57</v>
      </c>
      <c r="W620" s="22">
        <f>IFERROR(__xludf.DUMMYFUNCTION("IFERROR(GOOGLEFINANCE(A620,""priceopen""),"""")"),1105.0)</f>
        <v>1105</v>
      </c>
      <c r="X620" s="22">
        <f>IFERROR(__xludf.DUMMYFUNCTION("IFERROR(GOOGLEFINANCE(A620,""high""),"""")"),1170.0)</f>
        <v>1170</v>
      </c>
      <c r="Y620" s="22">
        <f>IFERROR(__xludf.DUMMYFUNCTION("IFERROR(GOOGLEFINANCE(A620,""low""),"""")"),1100.0)</f>
        <v>1100</v>
      </c>
      <c r="Z620" s="22">
        <f>IFERROR(__xludf.DUMMYFUNCTION("IFERROR(GOOGLEFINANCE(A620,""volume""),"""")"),7343000.0)</f>
        <v>7343000</v>
      </c>
      <c r="AA620" s="24" t="str">
        <f>VLOOKUP(A620,Metrik!$C$2:$Y$959,5,0)</f>
        <v>Agricultural Products</v>
      </c>
      <c r="AB620" s="24" t="str">
        <f>VLOOKUP(A620,Metrik!$C$2:$Y$959,3,0)</f>
        <v>Consumer Non-Cyclicals</v>
      </c>
    </row>
    <row r="621">
      <c r="A621" s="14" t="s">
        <v>347</v>
      </c>
      <c r="B621" s="14" t="str">
        <f t="array" ref="B621">VLOOKUP(A621,{Metrik!$C$2:$C$998,Metrik!$B$2:$B$998},2,0)</f>
        <v>PT Dharma Satya Nusantara Tbk.</v>
      </c>
      <c r="C621" s="15">
        <f>IFERROR(__xludf.DUMMYFUNCTION("GOOGLEFINANCE(""IDX:""&amp;A621,""price"")"),1145.0)</f>
        <v>1145</v>
      </c>
      <c r="D621" s="16" t="str">
        <f>IFERROR(__xludf.DUMMYFUNCTION("IF(A621="""","""",
SPARKLINE(
INDEX(
GOOGLEFINANCE(""IDX:""&amp;A621,""close"",TODAY()-365,TODAY()),
,2
),
{""linewidth"",1}
))
"),"#N/A")</f>
        <v>#N/A</v>
      </c>
      <c r="E621" s="14" t="s">
        <v>28</v>
      </c>
      <c r="F621" s="17" t="s">
        <v>29</v>
      </c>
      <c r="G621" s="18">
        <f t="shared" si="5"/>
        <v>12</v>
      </c>
      <c r="H621" s="19">
        <f>VLOOKUP(A621,Metrik!$C$2:$Y$959,8,0)</f>
        <v>6.6</v>
      </c>
      <c r="I621" s="20">
        <f>VLOOKUP(A621,Metrik!$C$2:$Y$959,9,0)</f>
        <v>1.1</v>
      </c>
      <c r="J621" s="20">
        <f>VLOOKUP(A621,Metrik!$C$2:$Y$959,10,0)</f>
        <v>15.8</v>
      </c>
      <c r="K621" s="20">
        <f>VLOOKUP(A621,Metrik!$C$2:$Y$959,11,0)</f>
        <v>10.7</v>
      </c>
      <c r="L621" s="20">
        <f>VLOOKUP(A621,Metrik!$C$2:$Y$959,12,0)</f>
        <v>0.47</v>
      </c>
      <c r="M621" s="20">
        <f>VLOOKUP(A621,Metrik!$C$2:$Y$959,19,0)</f>
        <v>65.9</v>
      </c>
      <c r="N621" s="21"/>
      <c r="O621" s="21"/>
      <c r="P621" s="21"/>
      <c r="Q621" s="21"/>
      <c r="R621" s="21"/>
      <c r="S621" s="21"/>
      <c r="T621" s="21"/>
      <c r="U621" s="22">
        <f>IFERROR(__xludf.DUMMYFUNCTION("IFERROR(GOOGLEFINANCE(A621,""closeyest""),"""")"),1095.0)</f>
        <v>1095</v>
      </c>
      <c r="V621" s="23">
        <f>IFERROR(__xludf.DUMMYFUNCTION("IFERROR(GOOGLEFINANCE(A621,""changepct""),"""")"),4.57)</f>
        <v>4.57</v>
      </c>
      <c r="W621" s="22">
        <f>IFERROR(__xludf.DUMMYFUNCTION("IFERROR(GOOGLEFINANCE(A621,""priceopen""),"""")"),1105.0)</f>
        <v>1105</v>
      </c>
      <c r="X621" s="22">
        <f>IFERROR(__xludf.DUMMYFUNCTION("IFERROR(GOOGLEFINANCE(A621,""high""),"""")"),1170.0)</f>
        <v>1170</v>
      </c>
      <c r="Y621" s="22">
        <f>IFERROR(__xludf.DUMMYFUNCTION("IFERROR(GOOGLEFINANCE(A621,""low""),"""")"),1100.0)</f>
        <v>1100</v>
      </c>
      <c r="Z621" s="22">
        <f>IFERROR(__xludf.DUMMYFUNCTION("IFERROR(GOOGLEFINANCE(A621,""volume""),"""")"),7343000.0)</f>
        <v>7343000</v>
      </c>
      <c r="AA621" s="24" t="str">
        <f>VLOOKUP(A621,Metrik!$C$2:$Y$959,5,0)</f>
        <v>Agricultural Products</v>
      </c>
      <c r="AB621" s="24" t="str">
        <f>VLOOKUP(A621,Metrik!$C$2:$Y$959,3,0)</f>
        <v>Consumer Non-Cyclicals</v>
      </c>
    </row>
    <row r="622">
      <c r="A622" s="14" t="s">
        <v>347</v>
      </c>
      <c r="B622" s="14" t="str">
        <f t="array" ref="B622">VLOOKUP(A622,{Metrik!$C$2:$C$998,Metrik!$B$2:$B$998},2,0)</f>
        <v>PT Dharma Satya Nusantara Tbk.</v>
      </c>
      <c r="C622" s="15">
        <f>IFERROR(__xludf.DUMMYFUNCTION("GOOGLEFINANCE(""IDX:""&amp;A622,""price"")"),1145.0)</f>
        <v>1145</v>
      </c>
      <c r="D622" s="16" t="str">
        <f>IFERROR(__xludf.DUMMYFUNCTION("IF(A622="""","""",
SPARKLINE(
INDEX(
GOOGLEFINANCE(""IDX:""&amp;A622,""close"",TODAY()-365,TODAY()),
,2
),
{""linewidth"",1}
))
"),"#N/A")</f>
        <v>#N/A</v>
      </c>
      <c r="E622" s="14" t="s">
        <v>102</v>
      </c>
      <c r="F622" s="27" t="s">
        <v>53</v>
      </c>
      <c r="G622" s="18">
        <f t="shared" si="5"/>
        <v>12</v>
      </c>
      <c r="H622" s="19">
        <f>VLOOKUP(A622,Metrik!$C$2:$Y$959,8,0)</f>
        <v>6.6</v>
      </c>
      <c r="I622" s="20">
        <f>VLOOKUP(A622,Metrik!$C$2:$Y$959,9,0)</f>
        <v>1.1</v>
      </c>
      <c r="J622" s="20">
        <f>VLOOKUP(A622,Metrik!$C$2:$Y$959,10,0)</f>
        <v>15.8</v>
      </c>
      <c r="K622" s="20">
        <f>VLOOKUP(A622,Metrik!$C$2:$Y$959,11,0)</f>
        <v>10.7</v>
      </c>
      <c r="L622" s="20">
        <f>VLOOKUP(A622,Metrik!$C$2:$Y$959,12,0)</f>
        <v>0.47</v>
      </c>
      <c r="M622" s="20">
        <f>VLOOKUP(A622,Metrik!$C$2:$Y$959,19,0)</f>
        <v>65.9</v>
      </c>
      <c r="N622" s="21"/>
      <c r="O622" s="21"/>
      <c r="P622" s="21"/>
      <c r="Q622" s="21"/>
      <c r="R622" s="21"/>
      <c r="S622" s="21"/>
      <c r="T622" s="21"/>
      <c r="U622" s="22">
        <f>IFERROR(__xludf.DUMMYFUNCTION("IFERROR(GOOGLEFINANCE(A622,""closeyest""),"""")"),1095.0)</f>
        <v>1095</v>
      </c>
      <c r="V622" s="23">
        <f>IFERROR(__xludf.DUMMYFUNCTION("IFERROR(GOOGLEFINANCE(A622,""changepct""),"""")"),4.57)</f>
        <v>4.57</v>
      </c>
      <c r="W622" s="22">
        <f>IFERROR(__xludf.DUMMYFUNCTION("IFERROR(GOOGLEFINANCE(A622,""priceopen""),"""")"),1105.0)</f>
        <v>1105</v>
      </c>
      <c r="X622" s="22">
        <f>IFERROR(__xludf.DUMMYFUNCTION("IFERROR(GOOGLEFINANCE(A622,""high""),"""")"),1170.0)</f>
        <v>1170</v>
      </c>
      <c r="Y622" s="22">
        <f>IFERROR(__xludf.DUMMYFUNCTION("IFERROR(GOOGLEFINANCE(A622,""low""),"""")"),1100.0)</f>
        <v>1100</v>
      </c>
      <c r="Z622" s="22">
        <f>IFERROR(__xludf.DUMMYFUNCTION("IFERROR(GOOGLEFINANCE(A622,""volume""),"""")"),7343000.0)</f>
        <v>7343000</v>
      </c>
      <c r="AA622" s="24" t="str">
        <f>VLOOKUP(A622,Metrik!$C$2:$Y$959,5,0)</f>
        <v>Agricultural Products</v>
      </c>
      <c r="AB622" s="24" t="str">
        <f>VLOOKUP(A622,Metrik!$C$2:$Y$959,3,0)</f>
        <v>Consumer Non-Cyclicals</v>
      </c>
    </row>
    <row r="623">
      <c r="A623" s="14" t="s">
        <v>347</v>
      </c>
      <c r="B623" s="14" t="str">
        <f t="array" ref="B623">VLOOKUP(A623,{Metrik!$C$2:$C$998,Metrik!$B$2:$B$998},2,0)</f>
        <v>PT Dharma Satya Nusantara Tbk.</v>
      </c>
      <c r="C623" s="15">
        <f>IFERROR(__xludf.DUMMYFUNCTION("GOOGLEFINANCE(""IDX:""&amp;A623,""price"")"),1145.0)</f>
        <v>1145</v>
      </c>
      <c r="D623" s="16" t="str">
        <f>IFERROR(__xludf.DUMMYFUNCTION("IF(A623="""","""",
SPARKLINE(
INDEX(
GOOGLEFINANCE(""IDX:""&amp;A623,""close"",TODAY()-365,TODAY()),
,2
),
{""linewidth"",1}
))
"),"#N/A")</f>
        <v>#N/A</v>
      </c>
      <c r="E623" s="14" t="s">
        <v>32</v>
      </c>
      <c r="F623" s="14" t="s">
        <v>29</v>
      </c>
      <c r="G623" s="18">
        <f t="shared" si="5"/>
        <v>12</v>
      </c>
      <c r="H623" s="19">
        <f>VLOOKUP(A623,Metrik!$C$2:$Y$959,8,0)</f>
        <v>6.6</v>
      </c>
      <c r="I623" s="20">
        <f>VLOOKUP(A623,Metrik!$C$2:$Y$959,9,0)</f>
        <v>1.1</v>
      </c>
      <c r="J623" s="20">
        <f>VLOOKUP(A623,Metrik!$C$2:$Y$959,10,0)</f>
        <v>15.8</v>
      </c>
      <c r="K623" s="20">
        <f>VLOOKUP(A623,Metrik!$C$2:$Y$959,11,0)</f>
        <v>10.7</v>
      </c>
      <c r="L623" s="20">
        <f>VLOOKUP(A623,Metrik!$C$2:$Y$959,12,0)</f>
        <v>0.47</v>
      </c>
      <c r="M623" s="20">
        <f>VLOOKUP(A623,Metrik!$C$2:$Y$959,19,0)</f>
        <v>65.9</v>
      </c>
      <c r="N623" s="21"/>
      <c r="O623" s="21"/>
      <c r="P623" s="21"/>
      <c r="Q623" s="21"/>
      <c r="R623" s="21"/>
      <c r="S623" s="21"/>
      <c r="T623" s="21"/>
      <c r="U623" s="22">
        <f>IFERROR(__xludf.DUMMYFUNCTION("IFERROR(GOOGLEFINANCE(A623,""closeyest""),"""")"),1095.0)</f>
        <v>1095</v>
      </c>
      <c r="V623" s="23">
        <f>IFERROR(__xludf.DUMMYFUNCTION("IFERROR(GOOGLEFINANCE(A623,""changepct""),"""")"),4.57)</f>
        <v>4.57</v>
      </c>
      <c r="W623" s="22">
        <f>IFERROR(__xludf.DUMMYFUNCTION("IFERROR(GOOGLEFINANCE(A623,""priceopen""),"""")"),1105.0)</f>
        <v>1105</v>
      </c>
      <c r="X623" s="22">
        <f>IFERROR(__xludf.DUMMYFUNCTION("IFERROR(GOOGLEFINANCE(A623,""high""),"""")"),1170.0)</f>
        <v>1170</v>
      </c>
      <c r="Y623" s="22">
        <f>IFERROR(__xludf.DUMMYFUNCTION("IFERROR(GOOGLEFINANCE(A623,""low""),"""")"),1100.0)</f>
        <v>1100</v>
      </c>
      <c r="Z623" s="22">
        <f>IFERROR(__xludf.DUMMYFUNCTION("IFERROR(GOOGLEFINANCE(A623,""volume""),"""")"),7343000.0)</f>
        <v>7343000</v>
      </c>
      <c r="AA623" s="24" t="str">
        <f>VLOOKUP(A623,Metrik!$C$2:$Y$959,5,0)</f>
        <v>Agricultural Products</v>
      </c>
      <c r="AB623" s="24" t="str">
        <f>VLOOKUP(A623,Metrik!$C$2:$Y$959,3,0)</f>
        <v>Consumer Non-Cyclicals</v>
      </c>
    </row>
    <row r="624">
      <c r="A624" s="14" t="s">
        <v>347</v>
      </c>
      <c r="B624" s="14" t="str">
        <f t="array" ref="B624">VLOOKUP(A624,{Metrik!$C$2:$C$998,Metrik!$B$2:$B$998},2,0)</f>
        <v>PT Dharma Satya Nusantara Tbk.</v>
      </c>
      <c r="C624" s="15">
        <f>IFERROR(__xludf.DUMMYFUNCTION("GOOGLEFINANCE(""IDX:""&amp;A624,""price"")"),1145.0)</f>
        <v>1145</v>
      </c>
      <c r="D624" s="16" t="str">
        <f>IFERROR(__xludf.DUMMYFUNCTION("IF(A624="""","""",
SPARKLINE(
INDEX(
GOOGLEFINANCE(""IDX:""&amp;A624,""close"",TODAY()-365,TODAY()),
,2
),
{""linewidth"",1}
))
"),"#N/A")</f>
        <v>#N/A</v>
      </c>
      <c r="E624" s="14" t="s">
        <v>68</v>
      </c>
      <c r="F624" s="14" t="s">
        <v>34</v>
      </c>
      <c r="G624" s="18">
        <f t="shared" si="5"/>
        <v>12</v>
      </c>
      <c r="H624" s="19">
        <f>VLOOKUP(A624,Metrik!$C$2:$Y$959,8,0)</f>
        <v>6.6</v>
      </c>
      <c r="I624" s="20">
        <f>VLOOKUP(A624,Metrik!$C$2:$Y$959,9,0)</f>
        <v>1.1</v>
      </c>
      <c r="J624" s="20">
        <f>VLOOKUP(A624,Metrik!$C$2:$Y$959,10,0)</f>
        <v>15.8</v>
      </c>
      <c r="K624" s="20">
        <f>VLOOKUP(A624,Metrik!$C$2:$Y$959,11,0)</f>
        <v>10.7</v>
      </c>
      <c r="L624" s="20">
        <f>VLOOKUP(A624,Metrik!$C$2:$Y$959,12,0)</f>
        <v>0.47</v>
      </c>
      <c r="M624" s="20">
        <f>VLOOKUP(A624,Metrik!$C$2:$Y$959,19,0)</f>
        <v>65.9</v>
      </c>
      <c r="N624" s="21"/>
      <c r="O624" s="21"/>
      <c r="P624" s="21"/>
      <c r="Q624" s="21"/>
      <c r="R624" s="21"/>
      <c r="S624" s="21"/>
      <c r="T624" s="21"/>
      <c r="U624" s="22">
        <f>IFERROR(__xludf.DUMMYFUNCTION("IFERROR(GOOGLEFINANCE(A624,""closeyest""),"""")"),1095.0)</f>
        <v>1095</v>
      </c>
      <c r="V624" s="23">
        <f>IFERROR(__xludf.DUMMYFUNCTION("IFERROR(GOOGLEFINANCE(A624,""changepct""),"""")"),4.57)</f>
        <v>4.57</v>
      </c>
      <c r="W624" s="22">
        <f>IFERROR(__xludf.DUMMYFUNCTION("IFERROR(GOOGLEFINANCE(A624,""priceopen""),"""")"),1105.0)</f>
        <v>1105</v>
      </c>
      <c r="X624" s="22">
        <f>IFERROR(__xludf.DUMMYFUNCTION("IFERROR(GOOGLEFINANCE(A624,""high""),"""")"),1170.0)</f>
        <v>1170</v>
      </c>
      <c r="Y624" s="22">
        <f>IFERROR(__xludf.DUMMYFUNCTION("IFERROR(GOOGLEFINANCE(A624,""low""),"""")"),1100.0)</f>
        <v>1100</v>
      </c>
      <c r="Z624" s="22">
        <f>IFERROR(__xludf.DUMMYFUNCTION("IFERROR(GOOGLEFINANCE(A624,""volume""),"""")"),7343000.0)</f>
        <v>7343000</v>
      </c>
      <c r="AA624" s="24" t="str">
        <f>VLOOKUP(A624,Metrik!$C$2:$Y$959,5,0)</f>
        <v>Agricultural Products</v>
      </c>
      <c r="AB624" s="24" t="str">
        <f>VLOOKUP(A624,Metrik!$C$2:$Y$959,3,0)</f>
        <v>Consumer Non-Cyclicals</v>
      </c>
    </row>
    <row r="625">
      <c r="A625" s="14" t="s">
        <v>347</v>
      </c>
      <c r="B625" s="14" t="str">
        <f t="array" ref="B625">VLOOKUP(A625,{Metrik!$C$2:$C$998,Metrik!$B$2:$B$998},2,0)</f>
        <v>PT Dharma Satya Nusantara Tbk.</v>
      </c>
      <c r="C625" s="15">
        <f>IFERROR(__xludf.DUMMYFUNCTION("GOOGLEFINANCE(""IDX:""&amp;A625,""price"")"),1145.0)</f>
        <v>1145</v>
      </c>
      <c r="D625" s="16" t="str">
        <f>IFERROR(__xludf.DUMMYFUNCTION("IF(A625="""","""",
SPARKLINE(
INDEX(
GOOGLEFINANCE(""IDX:""&amp;A625,""close"",TODAY()-365,TODAY()),
,2
),
{""linewidth"",1}
))
"),"#N/A")</f>
        <v>#N/A</v>
      </c>
      <c r="E625" s="14" t="s">
        <v>54</v>
      </c>
      <c r="F625" s="14" t="s">
        <v>34</v>
      </c>
      <c r="G625" s="18">
        <f t="shared" si="5"/>
        <v>12</v>
      </c>
      <c r="H625" s="19">
        <f>VLOOKUP(A625,Metrik!$C$2:$Y$959,8,0)</f>
        <v>6.6</v>
      </c>
      <c r="I625" s="20">
        <f>VLOOKUP(A625,Metrik!$C$2:$Y$959,9,0)</f>
        <v>1.1</v>
      </c>
      <c r="J625" s="20">
        <f>VLOOKUP(A625,Metrik!$C$2:$Y$959,10,0)</f>
        <v>15.8</v>
      </c>
      <c r="K625" s="20">
        <f>VLOOKUP(A625,Metrik!$C$2:$Y$959,11,0)</f>
        <v>10.7</v>
      </c>
      <c r="L625" s="20">
        <f>VLOOKUP(A625,Metrik!$C$2:$Y$959,12,0)</f>
        <v>0.47</v>
      </c>
      <c r="M625" s="20">
        <f>VLOOKUP(A625,Metrik!$C$2:$Y$959,19,0)</f>
        <v>65.9</v>
      </c>
      <c r="N625" s="21"/>
      <c r="O625" s="21"/>
      <c r="P625" s="21"/>
      <c r="Q625" s="21"/>
      <c r="R625" s="21"/>
      <c r="S625" s="21"/>
      <c r="T625" s="21"/>
      <c r="U625" s="22">
        <f>IFERROR(__xludf.DUMMYFUNCTION("IFERROR(GOOGLEFINANCE(A625,""closeyest""),"""")"),1095.0)</f>
        <v>1095</v>
      </c>
      <c r="V625" s="23">
        <f>IFERROR(__xludf.DUMMYFUNCTION("IFERROR(GOOGLEFINANCE(A625,""changepct""),"""")"),4.57)</f>
        <v>4.57</v>
      </c>
      <c r="W625" s="22">
        <f>IFERROR(__xludf.DUMMYFUNCTION("IFERROR(GOOGLEFINANCE(A625,""priceopen""),"""")"),1105.0)</f>
        <v>1105</v>
      </c>
      <c r="X625" s="22">
        <f>IFERROR(__xludf.DUMMYFUNCTION("IFERROR(GOOGLEFINANCE(A625,""high""),"""")"),1170.0)</f>
        <v>1170</v>
      </c>
      <c r="Y625" s="22">
        <f>IFERROR(__xludf.DUMMYFUNCTION("IFERROR(GOOGLEFINANCE(A625,""low""),"""")"),1100.0)</f>
        <v>1100</v>
      </c>
      <c r="Z625" s="22">
        <f>IFERROR(__xludf.DUMMYFUNCTION("IFERROR(GOOGLEFINANCE(A625,""volume""),"""")"),7343000.0)</f>
        <v>7343000</v>
      </c>
      <c r="AA625" s="24" t="str">
        <f>VLOOKUP(A625,Metrik!$C$2:$Y$959,5,0)</f>
        <v>Agricultural Products</v>
      </c>
      <c r="AB625" s="24" t="str">
        <f>VLOOKUP(A625,Metrik!$C$2:$Y$959,3,0)</f>
        <v>Consumer Non-Cyclicals</v>
      </c>
    </row>
    <row r="626">
      <c r="A626" s="14" t="s">
        <v>347</v>
      </c>
      <c r="B626" s="14" t="str">
        <f t="array" ref="B626">VLOOKUP(A626,{Metrik!$C$2:$C$998,Metrik!$B$2:$B$998},2,0)</f>
        <v>PT Dharma Satya Nusantara Tbk.</v>
      </c>
      <c r="C626" s="15">
        <f>IFERROR(__xludf.DUMMYFUNCTION("GOOGLEFINANCE(""IDX:""&amp;A626,""price"")"),1145.0)</f>
        <v>1145</v>
      </c>
      <c r="D626" s="16" t="str">
        <f>IFERROR(__xludf.DUMMYFUNCTION("IF(A626="""","""",
SPARKLINE(
INDEX(
GOOGLEFINANCE(""IDX:""&amp;A626,""close"",TODAY()-365,TODAY()),
,2
),
{""linewidth"",1}
))
"),"#N/A")</f>
        <v>#N/A</v>
      </c>
      <c r="E626" s="14" t="s">
        <v>33</v>
      </c>
      <c r="F626" s="14" t="s">
        <v>34</v>
      </c>
      <c r="G626" s="18">
        <f t="shared" si="5"/>
        <v>12</v>
      </c>
      <c r="H626" s="19">
        <f>VLOOKUP(A626,Metrik!$C$2:$Y$959,8,0)</f>
        <v>6.6</v>
      </c>
      <c r="I626" s="20">
        <f>VLOOKUP(A626,Metrik!$C$2:$Y$959,9,0)</f>
        <v>1.1</v>
      </c>
      <c r="J626" s="20">
        <f>VLOOKUP(A626,Metrik!$C$2:$Y$959,10,0)</f>
        <v>15.8</v>
      </c>
      <c r="K626" s="20">
        <f>VLOOKUP(A626,Metrik!$C$2:$Y$959,11,0)</f>
        <v>10.7</v>
      </c>
      <c r="L626" s="20">
        <f>VLOOKUP(A626,Metrik!$C$2:$Y$959,12,0)</f>
        <v>0.47</v>
      </c>
      <c r="M626" s="20">
        <f>VLOOKUP(A626,Metrik!$C$2:$Y$959,19,0)</f>
        <v>65.9</v>
      </c>
      <c r="N626" s="21"/>
      <c r="O626" s="21"/>
      <c r="P626" s="21"/>
      <c r="Q626" s="21"/>
      <c r="R626" s="21"/>
      <c r="S626" s="21"/>
      <c r="T626" s="21"/>
      <c r="U626" s="22">
        <f>IFERROR(__xludf.DUMMYFUNCTION("IFERROR(GOOGLEFINANCE(A626,""closeyest""),"""")"),1095.0)</f>
        <v>1095</v>
      </c>
      <c r="V626" s="23">
        <f>IFERROR(__xludf.DUMMYFUNCTION("IFERROR(GOOGLEFINANCE(A626,""changepct""),"""")"),4.57)</f>
        <v>4.57</v>
      </c>
      <c r="W626" s="22">
        <f>IFERROR(__xludf.DUMMYFUNCTION("IFERROR(GOOGLEFINANCE(A626,""priceopen""),"""")"),1105.0)</f>
        <v>1105</v>
      </c>
      <c r="X626" s="22">
        <f>IFERROR(__xludf.DUMMYFUNCTION("IFERROR(GOOGLEFINANCE(A626,""high""),"""")"),1170.0)</f>
        <v>1170</v>
      </c>
      <c r="Y626" s="22">
        <f>IFERROR(__xludf.DUMMYFUNCTION("IFERROR(GOOGLEFINANCE(A626,""low""),"""")"),1100.0)</f>
        <v>1100</v>
      </c>
      <c r="Z626" s="22">
        <f>IFERROR(__xludf.DUMMYFUNCTION("IFERROR(GOOGLEFINANCE(A626,""volume""),"""")"),7343000.0)</f>
        <v>7343000</v>
      </c>
      <c r="AA626" s="24" t="str">
        <f>VLOOKUP(A626,Metrik!$C$2:$Y$959,5,0)</f>
        <v>Agricultural Products</v>
      </c>
      <c r="AB626" s="24" t="str">
        <f>VLOOKUP(A626,Metrik!$C$2:$Y$959,3,0)</f>
        <v>Consumer Non-Cyclicals</v>
      </c>
    </row>
    <row r="627">
      <c r="A627" s="14" t="s">
        <v>347</v>
      </c>
      <c r="B627" s="14" t="str">
        <f t="array" ref="B627">VLOOKUP(A627,{Metrik!$C$2:$C$998,Metrik!$B$2:$B$998},2,0)</f>
        <v>PT Dharma Satya Nusantara Tbk.</v>
      </c>
      <c r="C627" s="15">
        <f>IFERROR(__xludf.DUMMYFUNCTION("GOOGLEFINANCE(""IDX:""&amp;A627,""price"")"),1145.0)</f>
        <v>1145</v>
      </c>
      <c r="D627" s="16" t="str">
        <f>IFERROR(__xludf.DUMMYFUNCTION("IF(A627="""","""",
SPARKLINE(
INDEX(
GOOGLEFINANCE(""IDX:""&amp;A627,""close"",TODAY()-365,TODAY()),
,2
),
{""linewidth"",1}
))
"),"#N/A")</f>
        <v>#N/A</v>
      </c>
      <c r="E627" s="14" t="s">
        <v>41</v>
      </c>
      <c r="F627" s="14" t="s">
        <v>34</v>
      </c>
      <c r="G627" s="18">
        <f t="shared" si="5"/>
        <v>12</v>
      </c>
      <c r="H627" s="19">
        <f>VLOOKUP(A627,Metrik!$C$2:$Y$959,8,0)</f>
        <v>6.6</v>
      </c>
      <c r="I627" s="20">
        <f>VLOOKUP(A627,Metrik!$C$2:$Y$959,9,0)</f>
        <v>1.1</v>
      </c>
      <c r="J627" s="20">
        <f>VLOOKUP(A627,Metrik!$C$2:$Y$959,10,0)</f>
        <v>15.8</v>
      </c>
      <c r="K627" s="20">
        <f>VLOOKUP(A627,Metrik!$C$2:$Y$959,11,0)</f>
        <v>10.7</v>
      </c>
      <c r="L627" s="20">
        <f>VLOOKUP(A627,Metrik!$C$2:$Y$959,12,0)</f>
        <v>0.47</v>
      </c>
      <c r="M627" s="20">
        <f>VLOOKUP(A627,Metrik!$C$2:$Y$959,19,0)</f>
        <v>65.9</v>
      </c>
      <c r="N627" s="21"/>
      <c r="O627" s="21"/>
      <c r="P627" s="21"/>
      <c r="Q627" s="21"/>
      <c r="R627" s="21"/>
      <c r="S627" s="21"/>
      <c r="T627" s="21"/>
      <c r="U627" s="22">
        <f>IFERROR(__xludf.DUMMYFUNCTION("IFERROR(GOOGLEFINANCE(A627,""closeyest""),"""")"),1095.0)</f>
        <v>1095</v>
      </c>
      <c r="V627" s="23">
        <f>IFERROR(__xludf.DUMMYFUNCTION("IFERROR(GOOGLEFINANCE(A627,""changepct""),"""")"),4.57)</f>
        <v>4.57</v>
      </c>
      <c r="W627" s="22">
        <f>IFERROR(__xludf.DUMMYFUNCTION("IFERROR(GOOGLEFINANCE(A627,""priceopen""),"""")"),1105.0)</f>
        <v>1105</v>
      </c>
      <c r="X627" s="22">
        <f>IFERROR(__xludf.DUMMYFUNCTION("IFERROR(GOOGLEFINANCE(A627,""high""),"""")"),1170.0)</f>
        <v>1170</v>
      </c>
      <c r="Y627" s="22">
        <f>IFERROR(__xludf.DUMMYFUNCTION("IFERROR(GOOGLEFINANCE(A627,""low""),"""")"),1100.0)</f>
        <v>1100</v>
      </c>
      <c r="Z627" s="22">
        <f>IFERROR(__xludf.DUMMYFUNCTION("IFERROR(GOOGLEFINANCE(A627,""volume""),"""")"),7343000.0)</f>
        <v>7343000</v>
      </c>
      <c r="AA627" s="24" t="str">
        <f>VLOOKUP(A627,Metrik!$C$2:$Y$959,5,0)</f>
        <v>Agricultural Products</v>
      </c>
      <c r="AB627" s="24" t="str">
        <f>VLOOKUP(A627,Metrik!$C$2:$Y$959,3,0)</f>
        <v>Consumer Non-Cyclicals</v>
      </c>
    </row>
    <row r="628">
      <c r="A628" s="14" t="s">
        <v>347</v>
      </c>
      <c r="B628" s="14" t="str">
        <f t="array" ref="B628">VLOOKUP(A628,{Metrik!$C$2:$C$998,Metrik!$B$2:$B$998},2,0)</f>
        <v>PT Dharma Satya Nusantara Tbk.</v>
      </c>
      <c r="C628" s="15">
        <f>IFERROR(__xludf.DUMMYFUNCTION("GOOGLEFINANCE(""IDX:""&amp;A628,""price"")"),1145.0)</f>
        <v>1145</v>
      </c>
      <c r="D628" s="16" t="str">
        <f>IFERROR(__xludf.DUMMYFUNCTION("IF(A628="""","""",
SPARKLINE(
INDEX(
GOOGLEFINANCE(""IDX:""&amp;A628,""close"",TODAY()-365,TODAY()),
,2
),
{""linewidth"",1}
))
"),"#N/A")</f>
        <v>#N/A</v>
      </c>
      <c r="E628" s="14" t="s">
        <v>86</v>
      </c>
      <c r="F628" s="25">
        <v>46356.0</v>
      </c>
      <c r="G628" s="18">
        <f t="shared" si="5"/>
        <v>12</v>
      </c>
      <c r="H628" s="19">
        <f>VLOOKUP(A628,Metrik!$C$2:$Y$959,8,0)</f>
        <v>6.6</v>
      </c>
      <c r="I628" s="20">
        <f>VLOOKUP(A628,Metrik!$C$2:$Y$959,9,0)</f>
        <v>1.1</v>
      </c>
      <c r="J628" s="20">
        <f>VLOOKUP(A628,Metrik!$C$2:$Y$959,10,0)</f>
        <v>15.8</v>
      </c>
      <c r="K628" s="20">
        <f>VLOOKUP(A628,Metrik!$C$2:$Y$959,11,0)</f>
        <v>10.7</v>
      </c>
      <c r="L628" s="20">
        <f>VLOOKUP(A628,Metrik!$C$2:$Y$959,12,0)</f>
        <v>0.47</v>
      </c>
      <c r="M628" s="20">
        <f>VLOOKUP(A628,Metrik!$C$2:$Y$959,19,0)</f>
        <v>65.9</v>
      </c>
      <c r="N628" s="21"/>
      <c r="O628" s="21"/>
      <c r="P628" s="21"/>
      <c r="Q628" s="21"/>
      <c r="R628" s="21"/>
      <c r="S628" s="21"/>
      <c r="T628" s="21"/>
      <c r="U628" s="22">
        <f>IFERROR(__xludf.DUMMYFUNCTION("IFERROR(GOOGLEFINANCE(A628,""closeyest""),"""")"),1095.0)</f>
        <v>1095</v>
      </c>
      <c r="V628" s="23">
        <f>IFERROR(__xludf.DUMMYFUNCTION("IFERROR(GOOGLEFINANCE(A628,""changepct""),"""")"),4.57)</f>
        <v>4.57</v>
      </c>
      <c r="W628" s="22">
        <f>IFERROR(__xludf.DUMMYFUNCTION("IFERROR(GOOGLEFINANCE(A628,""priceopen""),"""")"),1105.0)</f>
        <v>1105</v>
      </c>
      <c r="X628" s="22">
        <f>IFERROR(__xludf.DUMMYFUNCTION("IFERROR(GOOGLEFINANCE(A628,""high""),"""")"),1170.0)</f>
        <v>1170</v>
      </c>
      <c r="Y628" s="22">
        <f>IFERROR(__xludf.DUMMYFUNCTION("IFERROR(GOOGLEFINANCE(A628,""low""),"""")"),1100.0)</f>
        <v>1100</v>
      </c>
      <c r="Z628" s="22">
        <f>IFERROR(__xludf.DUMMYFUNCTION("IFERROR(GOOGLEFINANCE(A628,""volume""),"""")"),7343000.0)</f>
        <v>7343000</v>
      </c>
      <c r="AA628" s="24" t="str">
        <f>VLOOKUP(A628,Metrik!$C$2:$Y$959,5,0)</f>
        <v>Agricultural Products</v>
      </c>
      <c r="AB628" s="24" t="str">
        <f>VLOOKUP(A628,Metrik!$C$2:$Y$959,3,0)</f>
        <v>Consumer Non-Cyclicals</v>
      </c>
    </row>
    <row r="629">
      <c r="A629" s="14" t="s">
        <v>347</v>
      </c>
      <c r="B629" s="14" t="str">
        <f t="array" ref="B629">VLOOKUP(A629,{Metrik!$C$2:$C$998,Metrik!$B$2:$B$998},2,0)</f>
        <v>PT Dharma Satya Nusantara Tbk.</v>
      </c>
      <c r="C629" s="15">
        <f>IFERROR(__xludf.DUMMYFUNCTION("GOOGLEFINANCE(""IDX:""&amp;A629,""price"")"),1145.0)</f>
        <v>1145</v>
      </c>
      <c r="D629" s="16" t="str">
        <f>IFERROR(__xludf.DUMMYFUNCTION("IF(A629="""","""",
SPARKLINE(
INDEX(
GOOGLEFINANCE(""IDX:""&amp;A629,""close"",TODAY()-365,TODAY()),
,2
),
{""linewidth"",1}
))
"),"#N/A")</f>
        <v>#N/A</v>
      </c>
      <c r="E629" s="14" t="s">
        <v>39</v>
      </c>
      <c r="F629" s="25">
        <v>46356.0</v>
      </c>
      <c r="G629" s="18">
        <f t="shared" si="5"/>
        <v>12</v>
      </c>
      <c r="H629" s="19">
        <f>VLOOKUP(A629,Metrik!$C$2:$Y$959,8,0)</f>
        <v>6.6</v>
      </c>
      <c r="I629" s="20">
        <f>VLOOKUP(A629,Metrik!$C$2:$Y$959,9,0)</f>
        <v>1.1</v>
      </c>
      <c r="J629" s="20">
        <f>VLOOKUP(A629,Metrik!$C$2:$Y$959,10,0)</f>
        <v>15.8</v>
      </c>
      <c r="K629" s="20">
        <f>VLOOKUP(A629,Metrik!$C$2:$Y$959,11,0)</f>
        <v>10.7</v>
      </c>
      <c r="L629" s="20">
        <f>VLOOKUP(A629,Metrik!$C$2:$Y$959,12,0)</f>
        <v>0.47</v>
      </c>
      <c r="M629" s="20">
        <f>VLOOKUP(A629,Metrik!$C$2:$Y$959,19,0)</f>
        <v>65.9</v>
      </c>
      <c r="N629" s="21"/>
      <c r="O629" s="21"/>
      <c r="P629" s="21"/>
      <c r="Q629" s="21"/>
      <c r="R629" s="21"/>
      <c r="S629" s="21"/>
      <c r="T629" s="21"/>
      <c r="U629" s="22">
        <f>IFERROR(__xludf.DUMMYFUNCTION("IFERROR(GOOGLEFINANCE(A629,""closeyest""),"""")"),1095.0)</f>
        <v>1095</v>
      </c>
      <c r="V629" s="23">
        <f>IFERROR(__xludf.DUMMYFUNCTION("IFERROR(GOOGLEFINANCE(A629,""changepct""),"""")"),4.57)</f>
        <v>4.57</v>
      </c>
      <c r="W629" s="22">
        <f>IFERROR(__xludf.DUMMYFUNCTION("IFERROR(GOOGLEFINANCE(A629,""priceopen""),"""")"),1105.0)</f>
        <v>1105</v>
      </c>
      <c r="X629" s="22">
        <f>IFERROR(__xludf.DUMMYFUNCTION("IFERROR(GOOGLEFINANCE(A629,""high""),"""")"),1170.0)</f>
        <v>1170</v>
      </c>
      <c r="Y629" s="22">
        <f>IFERROR(__xludf.DUMMYFUNCTION("IFERROR(GOOGLEFINANCE(A629,""low""),"""")"),1100.0)</f>
        <v>1100</v>
      </c>
      <c r="Z629" s="22">
        <f>IFERROR(__xludf.DUMMYFUNCTION("IFERROR(GOOGLEFINANCE(A629,""volume""),"""")"),7343000.0)</f>
        <v>7343000</v>
      </c>
      <c r="AA629" s="24" t="str">
        <f>VLOOKUP(A629,Metrik!$C$2:$Y$959,5,0)</f>
        <v>Agricultural Products</v>
      </c>
      <c r="AB629" s="24" t="str">
        <f>VLOOKUP(A629,Metrik!$C$2:$Y$959,3,0)</f>
        <v>Consumer Non-Cyclicals</v>
      </c>
    </row>
    <row r="630">
      <c r="A630" s="14" t="s">
        <v>348</v>
      </c>
      <c r="B630" s="14" t="str">
        <f t="array" ref="B630">VLOOKUP(A630,{Metrik!$C$2:$C$998,Metrik!$B$2:$B$998},2,0)</f>
        <v>Dian Swastatika Sentosa Tbk</v>
      </c>
      <c r="C630" s="15">
        <f>IFERROR(__xludf.DUMMYFUNCTION("GOOGLEFINANCE(""IDX:""&amp;A630,""price"")"),825.0)</f>
        <v>825</v>
      </c>
      <c r="D630" s="16" t="str">
        <f>IFERROR(__xludf.DUMMYFUNCTION("IF(A630="""","""",
SPARKLINE(
INDEX(
GOOGLEFINANCE(""IDX:""&amp;A630,""close"",TODAY()-365,TODAY()),
,2
),
{""linewidth"",1}
))
"),"#N/A")</f>
        <v>#N/A</v>
      </c>
      <c r="E630" s="14" t="s">
        <v>32</v>
      </c>
      <c r="F630" s="14" t="s">
        <v>29</v>
      </c>
      <c r="G630" s="24">
        <f t="shared" si="5"/>
        <v>2</v>
      </c>
      <c r="H630" s="19">
        <f>VLOOKUP(A630,Metrik!$C$2:$Y$959,8,0)</f>
        <v>24.5</v>
      </c>
      <c r="I630" s="20">
        <f>VLOOKUP(A630,Metrik!$C$2:$Y$959,9,0)</f>
        <v>2.5</v>
      </c>
      <c r="J630" s="20">
        <f>VLOOKUP(A630,Metrik!$C$2:$Y$959,10,0)</f>
        <v>10.2</v>
      </c>
      <c r="K630" s="20">
        <f>VLOOKUP(A630,Metrik!$C$2:$Y$959,11,0)</f>
        <v>5.2</v>
      </c>
      <c r="L630" s="20">
        <f>VLOOKUP(A630,Metrik!$C$2:$Y$959,12,0)</f>
        <v>0.95</v>
      </c>
      <c r="M630" s="20">
        <f>VLOOKUP(A630,Metrik!$C$2:$Y$959,19,0)</f>
        <v>8.3</v>
      </c>
      <c r="N630" s="21"/>
      <c r="O630" s="21"/>
      <c r="P630" s="21"/>
      <c r="Q630" s="21"/>
      <c r="R630" s="21"/>
      <c r="S630" s="21"/>
      <c r="T630" s="21"/>
      <c r="U630" s="22">
        <f>IFERROR(__xludf.DUMMYFUNCTION("IFERROR(GOOGLEFINANCE(A630,""closeyest""),"""")"),730.0)</f>
        <v>730</v>
      </c>
      <c r="V630" s="23">
        <f>IFERROR(__xludf.DUMMYFUNCTION("IFERROR(GOOGLEFINANCE(A630,""changepct""),"""")"),13.01)</f>
        <v>13.01</v>
      </c>
      <c r="W630" s="22" t="str">
        <f>IFERROR(__xludf.DUMMYFUNCTION("IFERROR(GOOGLEFINANCE(A630,""priceopen""),"""")"),"")</f>
        <v/>
      </c>
      <c r="X630" s="22">
        <f>IFERROR(__xludf.DUMMYFUNCTION("IFERROR(GOOGLEFINANCE(A630,""high""),"""")"),850.0)</f>
        <v>850</v>
      </c>
      <c r="Y630" s="22">
        <f>IFERROR(__xludf.DUMMYFUNCTION("IFERROR(GOOGLEFINANCE(A630,""low""),"""")"),750.0)</f>
        <v>750</v>
      </c>
      <c r="Z630" s="22">
        <f>IFERROR(__xludf.DUMMYFUNCTION("IFERROR(GOOGLEFINANCE(A630,""volume""),"""")"),1.3605168E9)</f>
        <v>1360516800</v>
      </c>
      <c r="AA630" s="24" t="str">
        <f>VLOOKUP(A630,Metrik!$C$2:$Y$959,5,0)</f>
        <v>Coal</v>
      </c>
      <c r="AB630" s="24" t="str">
        <f>VLOOKUP(A630,Metrik!$C$2:$Y$959,3,0)</f>
        <v>Energy</v>
      </c>
    </row>
    <row r="631">
      <c r="A631" s="14" t="s">
        <v>348</v>
      </c>
      <c r="B631" s="14" t="str">
        <f t="array" ref="B631">VLOOKUP(A631,{Metrik!$C$2:$C$998,Metrik!$B$2:$B$998},2,0)</f>
        <v>Dian Swastatika Sentosa Tbk</v>
      </c>
      <c r="C631" s="15">
        <f>IFERROR(__xludf.DUMMYFUNCTION("GOOGLEFINANCE(""IDX:""&amp;A631,""price"")"),825.0)</f>
        <v>825</v>
      </c>
      <c r="D631" s="16" t="str">
        <f>IFERROR(__xludf.DUMMYFUNCTION("IF(A631="""","""",
SPARKLINE(
INDEX(
GOOGLEFINANCE(""IDX:""&amp;A631,""close"",TODAY()-365,TODAY()),
,2
),
{""linewidth"",1}
))
"),"#N/A")</f>
        <v>#N/A</v>
      </c>
      <c r="E631" s="14" t="s">
        <v>161</v>
      </c>
      <c r="F631" s="14" t="s">
        <v>76</v>
      </c>
      <c r="G631" s="24">
        <f t="shared" si="5"/>
        <v>2</v>
      </c>
      <c r="H631" s="19">
        <f>VLOOKUP(A631,Metrik!$C$2:$Y$959,8,0)</f>
        <v>24.5</v>
      </c>
      <c r="I631" s="20">
        <f>VLOOKUP(A631,Metrik!$C$2:$Y$959,9,0)</f>
        <v>2.5</v>
      </c>
      <c r="J631" s="20">
        <f>VLOOKUP(A631,Metrik!$C$2:$Y$959,10,0)</f>
        <v>10.2</v>
      </c>
      <c r="K631" s="20">
        <f>VLOOKUP(A631,Metrik!$C$2:$Y$959,11,0)</f>
        <v>5.2</v>
      </c>
      <c r="L631" s="20">
        <f>VLOOKUP(A631,Metrik!$C$2:$Y$959,12,0)</f>
        <v>0.95</v>
      </c>
      <c r="M631" s="20">
        <f>VLOOKUP(A631,Metrik!$C$2:$Y$959,19,0)</f>
        <v>8.3</v>
      </c>
      <c r="N631" s="21"/>
      <c r="O631" s="21"/>
      <c r="P631" s="21"/>
      <c r="Q631" s="21"/>
      <c r="R631" s="21"/>
      <c r="S631" s="21"/>
      <c r="T631" s="21"/>
      <c r="U631" s="22">
        <f>IFERROR(__xludf.DUMMYFUNCTION("IFERROR(GOOGLEFINANCE(A631,""closeyest""),"""")"),730.0)</f>
        <v>730</v>
      </c>
      <c r="V631" s="23">
        <f>IFERROR(__xludf.DUMMYFUNCTION("IFERROR(GOOGLEFINANCE(A631,""changepct""),"""")"),13.01)</f>
        <v>13.01</v>
      </c>
      <c r="W631" s="22" t="str">
        <f>IFERROR(__xludf.DUMMYFUNCTION("IFERROR(GOOGLEFINANCE(A631,""priceopen""),"""")"),"")</f>
        <v/>
      </c>
      <c r="X631" s="22">
        <f>IFERROR(__xludf.DUMMYFUNCTION("IFERROR(GOOGLEFINANCE(A631,""high""),"""")"),850.0)</f>
        <v>850</v>
      </c>
      <c r="Y631" s="22">
        <f>IFERROR(__xludf.DUMMYFUNCTION("IFERROR(GOOGLEFINANCE(A631,""low""),"""")"),750.0)</f>
        <v>750</v>
      </c>
      <c r="Z631" s="22">
        <f>IFERROR(__xludf.DUMMYFUNCTION("IFERROR(GOOGLEFINANCE(A631,""volume""),"""")"),1.3605168E9)</f>
        <v>1360516800</v>
      </c>
      <c r="AA631" s="24" t="str">
        <f>VLOOKUP(A631,Metrik!$C$2:$Y$959,5,0)</f>
        <v>Coal</v>
      </c>
      <c r="AB631" s="24" t="str">
        <f>VLOOKUP(A631,Metrik!$C$2:$Y$959,3,0)</f>
        <v>Energy</v>
      </c>
    </row>
    <row r="632">
      <c r="A632" s="14" t="s">
        <v>349</v>
      </c>
      <c r="B632" s="14" t="str">
        <f t="array" ref="B632">VLOOKUP(A632,{Metrik!$C$2:$C$998,Metrik!$B$2:$B$998},2,0)</f>
        <v>Jaya Bersama Indo Tbk.</v>
      </c>
      <c r="C632" s="15">
        <f>IFERROR(__xludf.DUMMYFUNCTION("GOOGLEFINANCE(""IDX:""&amp;A632,""price"")"),176.0)</f>
        <v>176</v>
      </c>
      <c r="D632" s="16" t="str">
        <f>IFERROR(__xludf.DUMMYFUNCTION("IF(A632="""","""",
SPARKLINE(
INDEX(
GOOGLEFINANCE(""IDX:""&amp;A632,""close"",TODAY()-365,TODAY()),
,2
),
{""linewidth"",1}
))
"),"#N/A")</f>
        <v>#N/A</v>
      </c>
      <c r="E632" s="26"/>
      <c r="F632" s="26"/>
      <c r="G632" s="24">
        <f t="shared" si="5"/>
        <v>0</v>
      </c>
      <c r="H632" s="19">
        <f>VLOOKUP(A632,Metrik!$C$2:$Y$959,8,0)</f>
        <v>0</v>
      </c>
      <c r="I632" s="20">
        <f>VLOOKUP(A632,Metrik!$C$2:$Y$959,9,0)</f>
        <v>0.24</v>
      </c>
      <c r="J632" s="20">
        <f>VLOOKUP(A632,Metrik!$C$2:$Y$959,10,0)</f>
        <v>4.5</v>
      </c>
      <c r="K632" s="20">
        <f>VLOOKUP(A632,Metrik!$C$2:$Y$959,11,0)</f>
        <v>3.1</v>
      </c>
      <c r="L632" s="20">
        <f>VLOOKUP(A632,Metrik!$C$2:$Y$959,12,0)</f>
        <v>0.46</v>
      </c>
      <c r="M632" s="20">
        <f>VLOOKUP(A632,Metrik!$C$2:$Y$959,19,0)</f>
        <v>22.9</v>
      </c>
      <c r="N632" s="21"/>
      <c r="O632" s="21"/>
      <c r="P632" s="21"/>
      <c r="Q632" s="21"/>
      <c r="R632" s="21"/>
      <c r="S632" s="21"/>
      <c r="T632" s="21"/>
      <c r="U632" s="22">
        <f>IFERROR(__xludf.DUMMYFUNCTION("IFERROR(GOOGLEFINANCE(A632,""closeyest""),"""")"),176.0)</f>
        <v>176</v>
      </c>
      <c r="V632" s="23">
        <f>IFERROR(__xludf.DUMMYFUNCTION("IFERROR(GOOGLEFINANCE(A632,""changepct""),"""")"),0.0)</f>
        <v>0</v>
      </c>
      <c r="W632" s="22" t="str">
        <f>IFERROR(__xludf.DUMMYFUNCTION("IFERROR(GOOGLEFINANCE(A632,""priceopen""),"""")"),"")</f>
        <v/>
      </c>
      <c r="X632" s="22" t="str">
        <f>IFERROR(__xludf.DUMMYFUNCTION("IFERROR(GOOGLEFINANCE(A632,""high""),"""")"),"")</f>
        <v/>
      </c>
      <c r="Y632" s="22" t="str">
        <f>IFERROR(__xludf.DUMMYFUNCTION("IFERROR(GOOGLEFINANCE(A632,""low""),"""")"),"")</f>
        <v/>
      </c>
      <c r="Z632" s="22">
        <f>IFERROR(__xludf.DUMMYFUNCTION("IFERROR(GOOGLEFINANCE(A632,""volume""),"""")"),0.0)</f>
        <v>0</v>
      </c>
      <c r="AA632" s="24" t="str">
        <f>VLOOKUP(A632,Metrik!$C$2:$Y$959,5,0)</f>
        <v>Tourism &amp; Recreation</v>
      </c>
      <c r="AB632" s="24" t="str">
        <f>VLOOKUP(A632,Metrik!$C$2:$Y$959,3,0)</f>
        <v>Consumer Cyclicals</v>
      </c>
    </row>
    <row r="633">
      <c r="A633" s="14" t="s">
        <v>350</v>
      </c>
      <c r="B633" s="14" t="str">
        <f t="array" ref="B633">VLOOKUP(A633,{Metrik!$C$2:$C$998,Metrik!$B$2:$B$998},2,0)</f>
        <v>Duta Pertiwi Tbk</v>
      </c>
      <c r="C633" s="15">
        <f>IFERROR(__xludf.DUMMYFUNCTION("GOOGLEFINANCE(""IDX:""&amp;A633,""price"")"),4000.0)</f>
        <v>4000</v>
      </c>
      <c r="D633" s="16" t="str">
        <f>IFERROR(__xludf.DUMMYFUNCTION("IF(A633="""","""",
SPARKLINE(
INDEX(
GOOGLEFINANCE(""IDX:""&amp;A633,""close"",TODAY()-365,TODAY()),
,2
),
{""linewidth"",1}
))
"),"#N/A")</f>
        <v>#N/A</v>
      </c>
      <c r="E633" s="26"/>
      <c r="F633" s="26"/>
      <c r="G633" s="24">
        <f t="shared" si="5"/>
        <v>0</v>
      </c>
      <c r="H633" s="19">
        <f>VLOOKUP(A633,Metrik!$C$2:$Y$959,8,0)</f>
        <v>18</v>
      </c>
      <c r="I633" s="20">
        <f>VLOOKUP(A633,Metrik!$C$2:$Y$959,9,0)</f>
        <v>0.55</v>
      </c>
      <c r="J633" s="20">
        <f>VLOOKUP(A633,Metrik!$C$2:$Y$959,10,0)</f>
        <v>3.1</v>
      </c>
      <c r="K633" s="20">
        <f>VLOOKUP(A633,Metrik!$C$2:$Y$959,11,0)</f>
        <v>2.6</v>
      </c>
      <c r="L633" s="20">
        <f>VLOOKUP(A633,Metrik!$C$2:$Y$959,12,0)</f>
        <v>0.18</v>
      </c>
      <c r="M633" s="20">
        <f>VLOOKUP(A633,Metrik!$C$2:$Y$959,19,0)</f>
        <v>15.4</v>
      </c>
      <c r="N633" s="21"/>
      <c r="O633" s="21"/>
      <c r="P633" s="21"/>
      <c r="Q633" s="21"/>
      <c r="R633" s="21"/>
      <c r="S633" s="21"/>
      <c r="T633" s="21"/>
      <c r="U633" s="22">
        <f>IFERROR(__xludf.DUMMYFUNCTION("IFERROR(GOOGLEFINANCE(A633,""closeyest""),"""")"),4000.0)</f>
        <v>4000</v>
      </c>
      <c r="V633" s="23">
        <f>IFERROR(__xludf.DUMMYFUNCTION("IFERROR(GOOGLEFINANCE(A633,""changepct""),"""")"),0.0)</f>
        <v>0</v>
      </c>
      <c r="W633" s="22" t="str">
        <f>IFERROR(__xludf.DUMMYFUNCTION("IFERROR(GOOGLEFINANCE(A633,""priceopen""),"""")"),"")</f>
        <v/>
      </c>
      <c r="X633" s="22" t="str">
        <f>IFERROR(__xludf.DUMMYFUNCTION("IFERROR(GOOGLEFINANCE(A633,""high""),"""")"),"")</f>
        <v/>
      </c>
      <c r="Y633" s="22" t="str">
        <f>IFERROR(__xludf.DUMMYFUNCTION("IFERROR(GOOGLEFINANCE(A633,""low""),"""")"),"")</f>
        <v/>
      </c>
      <c r="Z633" s="22">
        <f>IFERROR(__xludf.DUMMYFUNCTION("IFERROR(GOOGLEFINANCE(A633,""volume""),"""")"),0.0)</f>
        <v>0</v>
      </c>
      <c r="AA633" s="24" t="str">
        <f>VLOOKUP(A633,Metrik!$C$2:$Y$959,5,0)</f>
        <v>Real Estate Management &amp; Development</v>
      </c>
      <c r="AB633" s="24" t="str">
        <f>VLOOKUP(A633,Metrik!$C$2:$Y$959,3,0)</f>
        <v>Properties &amp; Real Estate</v>
      </c>
    </row>
    <row r="634">
      <c r="A634" s="14" t="s">
        <v>351</v>
      </c>
      <c r="B634" s="14" t="str">
        <f t="array" ref="B634">VLOOKUP(A634,{Metrik!$C$2:$C$998,Metrik!$B$2:$B$998},2,0)</f>
        <v>Darya-Varia Laboratoria Tbk.</v>
      </c>
      <c r="C634" s="15">
        <f>IFERROR(__xludf.DUMMYFUNCTION("GOOGLEFINANCE(""IDX:""&amp;A634,""price"")"),1530.0)</f>
        <v>1530</v>
      </c>
      <c r="D634" s="16" t="str">
        <f>IFERROR(__xludf.DUMMYFUNCTION("IF(A634="""","""",
SPARKLINE(
INDEX(
GOOGLEFINANCE(""IDX:""&amp;A634,""close"",TODAY()-365,TODAY()),
,2
),
{""linewidth"",1}
))
"),"#N/A")</f>
        <v>#N/A</v>
      </c>
      <c r="E634" s="26"/>
      <c r="F634" s="26"/>
      <c r="G634" s="24">
        <f t="shared" si="5"/>
        <v>0</v>
      </c>
      <c r="H634" s="19">
        <f>VLOOKUP(A634,Metrik!$C$2:$Y$959,8,0)</f>
        <v>12.6</v>
      </c>
      <c r="I634" s="20">
        <f>VLOOKUP(A634,Metrik!$C$2:$Y$959,9,0)</f>
        <v>1.2</v>
      </c>
      <c r="J634" s="20">
        <f>VLOOKUP(A634,Metrik!$C$2:$Y$959,10,0)</f>
        <v>9.2</v>
      </c>
      <c r="K634" s="20">
        <f>VLOOKUP(A634,Metrik!$C$2:$Y$959,11,0)</f>
        <v>5.6</v>
      </c>
      <c r="L634" s="20">
        <f>VLOOKUP(A634,Metrik!$C$2:$Y$959,12,0)</f>
        <v>0.64</v>
      </c>
      <c r="M634" s="20">
        <f>VLOOKUP(A634,Metrik!$C$2:$Y$959,19,0)</f>
        <v>23.6</v>
      </c>
      <c r="N634" s="21"/>
      <c r="O634" s="21"/>
      <c r="P634" s="21"/>
      <c r="Q634" s="21"/>
      <c r="R634" s="21"/>
      <c r="S634" s="21"/>
      <c r="T634" s="21"/>
      <c r="U634" s="22">
        <f>IFERROR(__xludf.DUMMYFUNCTION("IFERROR(GOOGLEFINANCE(A634,""closeyest""),"""")"),1535.0)</f>
        <v>1535</v>
      </c>
      <c r="V634" s="23">
        <f>IFERROR(__xludf.DUMMYFUNCTION("IFERROR(GOOGLEFINANCE(A634,""changepct""),"""")"),-0.33)</f>
        <v>-0.33</v>
      </c>
      <c r="W634" s="22">
        <f>IFERROR(__xludf.DUMMYFUNCTION("IFERROR(GOOGLEFINANCE(A634,""priceopen""),"""")"),1545.0)</f>
        <v>1545</v>
      </c>
      <c r="X634" s="22">
        <f>IFERROR(__xludf.DUMMYFUNCTION("IFERROR(GOOGLEFINANCE(A634,""high""),"""")"),1545.0)</f>
        <v>1545</v>
      </c>
      <c r="Y634" s="22" t="str">
        <f>IFERROR(__xludf.DUMMYFUNCTION("IFERROR(GOOGLEFINANCE(A634,""low""),"""")"),"")</f>
        <v/>
      </c>
      <c r="Z634" s="22">
        <f>IFERROR(__xludf.DUMMYFUNCTION("IFERROR(GOOGLEFINANCE(A634,""volume""),"""")"),11000.0)</f>
        <v>11000</v>
      </c>
      <c r="AA634" s="24" t="str">
        <f>VLOOKUP(A634,Metrik!$C$2:$Y$959,5,0)</f>
        <v>Pharmaceuticals</v>
      </c>
      <c r="AB634" s="24" t="str">
        <f>VLOOKUP(A634,Metrik!$C$2:$Y$959,3,0)</f>
        <v>Healthcare</v>
      </c>
    </row>
    <row r="635">
      <c r="A635" s="14" t="s">
        <v>352</v>
      </c>
      <c r="B635" s="14" t="str">
        <f t="array" ref="B635">VLOOKUP(A635,{Metrik!$C$2:$C$998,Metrik!$B$2:$B$998},2,0)</f>
        <v>Dwi Guna Laksana Tbk.</v>
      </c>
      <c r="C635" s="15">
        <f>IFERROR(__xludf.DUMMYFUNCTION("GOOGLEFINANCE(""IDX:""&amp;A635,""price"")"),254.0)</f>
        <v>254</v>
      </c>
      <c r="D635" s="16" t="str">
        <f>IFERROR(__xludf.DUMMYFUNCTION("IF(A635="""","""",
SPARKLINE(
INDEX(
GOOGLEFINANCE(""IDX:""&amp;A635,""close"",TODAY()-365,TODAY()),
,2
),
{""linewidth"",1}
))
"),"#N/A")</f>
        <v>#N/A</v>
      </c>
      <c r="E635" s="26"/>
      <c r="F635" s="26"/>
      <c r="G635" s="24">
        <f t="shared" si="5"/>
        <v>0</v>
      </c>
      <c r="H635" s="19">
        <f>VLOOKUP(A635,Metrik!$C$2:$Y$959,8,0)</f>
        <v>10.4</v>
      </c>
      <c r="I635" s="20">
        <f>VLOOKUP(A635,Metrik!$C$2:$Y$959,9,0)</f>
        <v>4.3</v>
      </c>
      <c r="J635" s="20">
        <f>VLOOKUP(A635,Metrik!$C$2:$Y$959,10,0)</f>
        <v>41.4</v>
      </c>
      <c r="K635" s="20">
        <f>VLOOKUP(A635,Metrik!$C$2:$Y$959,11,0)</f>
        <v>14.1</v>
      </c>
      <c r="L635" s="20">
        <f>VLOOKUP(A635,Metrik!$C$2:$Y$959,12,0)</f>
        <v>1.9</v>
      </c>
      <c r="M635" s="20">
        <f>VLOOKUP(A635,Metrik!$C$2:$Y$959,19,0)</f>
        <v>30.6</v>
      </c>
      <c r="N635" s="21"/>
      <c r="O635" s="21"/>
      <c r="P635" s="21"/>
      <c r="Q635" s="21"/>
      <c r="R635" s="21"/>
      <c r="S635" s="21"/>
      <c r="T635" s="21"/>
      <c r="U635" s="22">
        <f>IFERROR(__xludf.DUMMYFUNCTION("IFERROR(GOOGLEFINANCE(A635,""closeyest""),"""")"),256.0)</f>
        <v>256</v>
      </c>
      <c r="V635" s="23">
        <f>IFERROR(__xludf.DUMMYFUNCTION("IFERROR(GOOGLEFINANCE(A635,""changepct""),"""")"),-0.78)</f>
        <v>-0.78</v>
      </c>
      <c r="W635" s="22">
        <f>IFERROR(__xludf.DUMMYFUNCTION("IFERROR(GOOGLEFINANCE(A635,""priceopen""),"""")"),256.0)</f>
        <v>256</v>
      </c>
      <c r="X635" s="22">
        <f>IFERROR(__xludf.DUMMYFUNCTION("IFERROR(GOOGLEFINANCE(A635,""high""),"""")"),258.0)</f>
        <v>258</v>
      </c>
      <c r="Y635" s="22">
        <f>IFERROR(__xludf.DUMMYFUNCTION("IFERROR(GOOGLEFINANCE(A635,""low""),"""")"),252.0)</f>
        <v>252</v>
      </c>
      <c r="Z635" s="22">
        <f>IFERROR(__xludf.DUMMYFUNCTION("IFERROR(GOOGLEFINANCE(A635,""volume""),"""")"),442800.0)</f>
        <v>442800</v>
      </c>
      <c r="AA635" s="24" t="str">
        <f>VLOOKUP(A635,Metrik!$C$2:$Y$959,5,0)</f>
        <v>Coal</v>
      </c>
      <c r="AB635" s="24" t="str">
        <f>VLOOKUP(A635,Metrik!$C$2:$Y$959,3,0)</f>
        <v>Energy</v>
      </c>
    </row>
    <row r="636">
      <c r="A636" s="14" t="s">
        <v>353</v>
      </c>
      <c r="B636" s="14" t="str">
        <f t="array" ref="B636">VLOOKUP(A636,{Metrik!$C$2:$C$998,Metrik!$B$2:$B$998},2,0)</f>
        <v>Dyandra Media International Tbk.</v>
      </c>
      <c r="C636" s="15">
        <f>IFERROR(__xludf.DUMMYFUNCTION("GOOGLEFINANCE(""IDX:""&amp;A636,""price"")"),75.0)</f>
        <v>75</v>
      </c>
      <c r="D636" s="16" t="str">
        <f>IFERROR(__xludf.DUMMYFUNCTION("IF(A636="""","""",
SPARKLINE(
INDEX(
GOOGLEFINANCE(""IDX:""&amp;A636,""close"",TODAY()-365,TODAY()),
,2
),
{""linewidth"",1}
))
"),"#N/A")</f>
        <v>#N/A</v>
      </c>
      <c r="E636" s="26"/>
      <c r="F636" s="26"/>
      <c r="G636" s="24">
        <f t="shared" si="5"/>
        <v>0</v>
      </c>
      <c r="H636" s="19">
        <f>VLOOKUP(A636,Metrik!$C$2:$Y$959,8,0)</f>
        <v>7.3</v>
      </c>
      <c r="I636" s="20">
        <f>VLOOKUP(A636,Metrik!$C$2:$Y$959,9,0)</f>
        <v>0.44</v>
      </c>
      <c r="J636" s="20">
        <f>VLOOKUP(A636,Metrik!$C$2:$Y$959,10,0)</f>
        <v>6.1</v>
      </c>
      <c r="K636" s="20">
        <f>VLOOKUP(A636,Metrik!$C$2:$Y$959,11,0)</f>
        <v>3.3</v>
      </c>
      <c r="L636" s="20">
        <f>VLOOKUP(A636,Metrik!$C$2:$Y$959,12,0)</f>
        <v>0.86</v>
      </c>
      <c r="M636" s="20">
        <f>VLOOKUP(A636,Metrik!$C$2:$Y$959,19,0)</f>
        <v>11.2</v>
      </c>
      <c r="N636" s="21"/>
      <c r="O636" s="21"/>
      <c r="P636" s="21"/>
      <c r="Q636" s="21"/>
      <c r="R636" s="21"/>
      <c r="S636" s="21"/>
      <c r="T636" s="21"/>
      <c r="U636" s="22">
        <f>IFERROR(__xludf.DUMMYFUNCTION("IFERROR(GOOGLEFINANCE(A636,""closeyest""),"""")"),75.0)</f>
        <v>75</v>
      </c>
      <c r="V636" s="23">
        <f>IFERROR(__xludf.DUMMYFUNCTION("IFERROR(GOOGLEFINANCE(A636,""changepct""),"""")"),0.0)</f>
        <v>0</v>
      </c>
      <c r="W636" s="22">
        <f>IFERROR(__xludf.DUMMYFUNCTION("IFERROR(GOOGLEFINANCE(A636,""priceopen""),"""")"),74.0)</f>
        <v>74</v>
      </c>
      <c r="X636" s="22">
        <f>IFERROR(__xludf.DUMMYFUNCTION("IFERROR(GOOGLEFINANCE(A636,""high""),"""")"),76.0)</f>
        <v>76</v>
      </c>
      <c r="Y636" s="22">
        <f>IFERROR(__xludf.DUMMYFUNCTION("IFERROR(GOOGLEFINANCE(A636,""low""),"""")"),73.0)</f>
        <v>73</v>
      </c>
      <c r="Z636" s="22">
        <f>IFERROR(__xludf.DUMMYFUNCTION("IFERROR(GOOGLEFINANCE(A636,""volume""),"""")"),1294800.0)</f>
        <v>1294800</v>
      </c>
      <c r="AA636" s="24" t="str">
        <f>VLOOKUP(A636,Metrik!$C$2:$Y$959,5,0)</f>
        <v>Commercial Services</v>
      </c>
      <c r="AB636" s="24" t="str">
        <f>VLOOKUP(A636,Metrik!$C$2:$Y$959,3,0)</f>
        <v>Industrials</v>
      </c>
    </row>
    <row r="637">
      <c r="A637" s="14" t="s">
        <v>354</v>
      </c>
      <c r="B637" s="14" t="str">
        <f t="array" ref="B637">VLOOKUP(A637,{Metrik!$C$2:$C$998,Metrik!$B$2:$B$998},2,0)</f>
        <v>Eastparc Hotel Tbk.</v>
      </c>
      <c r="C637" s="15">
        <f>IFERROR(__xludf.DUMMYFUNCTION("GOOGLEFINANCE(""IDX:""&amp;A637,""price"")"),89.0)</f>
        <v>89</v>
      </c>
      <c r="D637" s="16" t="str">
        <f>IFERROR(__xludf.DUMMYFUNCTION("IF(A637="""","""",
SPARKLINE(
INDEX(
GOOGLEFINANCE(""IDX:""&amp;A637,""close"",TODAY()-365,TODAY()),
,2
),
{""linewidth"",1}
))
"),"#N/A")</f>
        <v>#N/A</v>
      </c>
      <c r="E637" s="26"/>
      <c r="F637" s="26"/>
      <c r="G637" s="24">
        <f t="shared" si="5"/>
        <v>0</v>
      </c>
      <c r="H637" s="19">
        <f>VLOOKUP(A637,Metrik!$C$2:$Y$959,8,0)</f>
        <v>11.5</v>
      </c>
      <c r="I637" s="20">
        <f>VLOOKUP(A637,Metrik!$C$2:$Y$959,9,0)</f>
        <v>0.79</v>
      </c>
      <c r="J637" s="20">
        <f>VLOOKUP(A637,Metrik!$C$2:$Y$959,10,0)</f>
        <v>6.9</v>
      </c>
      <c r="K637" s="20">
        <f>VLOOKUP(A637,Metrik!$C$2:$Y$959,11,0)</f>
        <v>6.5</v>
      </c>
      <c r="L637" s="20">
        <f>VLOOKUP(A637,Metrik!$C$2:$Y$959,12,0)</f>
        <v>0.05</v>
      </c>
      <c r="M637" s="20">
        <f>VLOOKUP(A637,Metrik!$C$2:$Y$959,19,0)</f>
        <v>150</v>
      </c>
      <c r="N637" s="21"/>
      <c r="O637" s="21"/>
      <c r="P637" s="21"/>
      <c r="Q637" s="21"/>
      <c r="R637" s="21"/>
      <c r="S637" s="21"/>
      <c r="T637" s="21"/>
      <c r="U637" s="22">
        <f>IFERROR(__xludf.DUMMYFUNCTION("IFERROR(GOOGLEFINANCE(A637,""closeyest""),"""")"),49.38)</f>
        <v>49.38</v>
      </c>
      <c r="V637" s="23">
        <f>IFERROR(__xludf.DUMMYFUNCTION("IFERROR(GOOGLEFINANCE(A637,""changepct""),"""")"),0.29)</f>
        <v>0.29</v>
      </c>
      <c r="W637" s="22" t="str">
        <f>IFERROR(__xludf.DUMMYFUNCTION("IFERROR(GOOGLEFINANCE(A637,""priceopen""),"""")"),"")</f>
        <v/>
      </c>
      <c r="X637" s="22" t="str">
        <f>IFERROR(__xludf.DUMMYFUNCTION("IFERROR(GOOGLEFINANCE(A637,""high""),"""")"),"")</f>
        <v/>
      </c>
      <c r="Y637" s="22" t="str">
        <f>IFERROR(__xludf.DUMMYFUNCTION("IFERROR(GOOGLEFINANCE(A637,""low""),"""")"),"")</f>
        <v/>
      </c>
      <c r="Z637" s="22">
        <f>IFERROR(__xludf.DUMMYFUNCTION("IFERROR(GOOGLEFINANCE(A637,""volume""),"""")"),0.0)</f>
        <v>0</v>
      </c>
      <c r="AA637" s="24" t="str">
        <f>VLOOKUP(A637,Metrik!$C$2:$Y$959,5,0)</f>
        <v>Tourism &amp; Recreation</v>
      </c>
      <c r="AB637" s="24" t="str">
        <f>VLOOKUP(A637,Metrik!$C$2:$Y$959,3,0)</f>
        <v>Consumer Cyclicals</v>
      </c>
    </row>
    <row r="638">
      <c r="A638" s="14" t="s">
        <v>355</v>
      </c>
      <c r="B638" s="14" t="str">
        <f t="array" ref="B638">VLOOKUP(A638,{Metrik!$C$2:$C$998,Metrik!$B$2:$B$998},2,0)</f>
        <v>Electronic City Indonesia Tbk.</v>
      </c>
      <c r="C638" s="15">
        <f>IFERROR(__xludf.DUMMYFUNCTION("GOOGLEFINANCE(""IDX:""&amp;A638,""price"")"),119.0)</f>
        <v>119</v>
      </c>
      <c r="D638" s="16" t="str">
        <f>IFERROR(__xludf.DUMMYFUNCTION("IF(A638="""","""",
SPARKLINE(
INDEX(
GOOGLEFINANCE(""IDX:""&amp;A638,""close"",TODAY()-365,TODAY()),
,2
),
{""linewidth"",1}
))
"),"#N/A")</f>
        <v>#N/A</v>
      </c>
      <c r="E638" s="26"/>
      <c r="F638" s="26"/>
      <c r="G638" s="24">
        <f t="shared" si="5"/>
        <v>0</v>
      </c>
      <c r="H638" s="19">
        <f>VLOOKUP(A638,Metrik!$C$2:$Y$959,8,0)</f>
        <v>-1.4</v>
      </c>
      <c r="I638" s="20">
        <f>VLOOKUP(A638,Metrik!$C$2:$Y$959,9,0)</f>
        <v>0.21</v>
      </c>
      <c r="J638" s="20">
        <f>VLOOKUP(A638,Metrik!$C$2:$Y$959,10,0)</f>
        <v>-14.6</v>
      </c>
      <c r="K638" s="20">
        <f>VLOOKUP(A638,Metrik!$C$2:$Y$959,11,0)</f>
        <v>-9.3</v>
      </c>
      <c r="L638" s="20">
        <f>VLOOKUP(A638,Metrik!$C$2:$Y$959,12,0)</f>
        <v>0.58</v>
      </c>
      <c r="M638" s="20">
        <f>VLOOKUP(A638,Metrik!$C$2:$Y$959,19,0)</f>
        <v>-24.1</v>
      </c>
      <c r="N638" s="21"/>
      <c r="O638" s="21"/>
      <c r="P638" s="21"/>
      <c r="Q638" s="21"/>
      <c r="R638" s="21"/>
      <c r="S638" s="21"/>
      <c r="T638" s="21"/>
      <c r="U638" s="22">
        <f>IFERROR(__xludf.DUMMYFUNCTION("IFERROR(GOOGLEFINANCE(A638,""closeyest""),"""")"),119.0)</f>
        <v>119</v>
      </c>
      <c r="V638" s="23">
        <f>IFERROR(__xludf.DUMMYFUNCTION("IFERROR(GOOGLEFINANCE(A638,""changepct""),"""")"),0.0)</f>
        <v>0</v>
      </c>
      <c r="W638" s="22">
        <f>IFERROR(__xludf.DUMMYFUNCTION("IFERROR(GOOGLEFINANCE(A638,""priceopen""),"""")"),116.0)</f>
        <v>116</v>
      </c>
      <c r="X638" s="22">
        <f>IFERROR(__xludf.DUMMYFUNCTION("IFERROR(GOOGLEFINANCE(A638,""high""),"""")"),130.0)</f>
        <v>130</v>
      </c>
      <c r="Y638" s="22">
        <f>IFERROR(__xludf.DUMMYFUNCTION("IFERROR(GOOGLEFINANCE(A638,""low""),"""")"),116.0)</f>
        <v>116</v>
      </c>
      <c r="Z638" s="22">
        <f>IFERROR(__xludf.DUMMYFUNCTION("IFERROR(GOOGLEFINANCE(A638,""volume""),"""")"),453900.0)</f>
        <v>453900</v>
      </c>
      <c r="AA638" s="24" t="str">
        <f>VLOOKUP(A638,Metrik!$C$2:$Y$959,5,0)</f>
        <v>Specialty Retail</v>
      </c>
      <c r="AB638" s="24" t="str">
        <f>VLOOKUP(A638,Metrik!$C$2:$Y$959,3,0)</f>
        <v>Consumer Cyclicals</v>
      </c>
    </row>
    <row r="639">
      <c r="A639" s="14" t="s">
        <v>356</v>
      </c>
      <c r="B639" s="14" t="str">
        <f t="array" ref="B639">VLOOKUP(A639,{Metrik!$C$2:$C$998,Metrik!$B$2:$B$998},2,0)</f>
        <v>Indointernet Tbk.</v>
      </c>
      <c r="C639" s="15">
        <f>IFERROR(__xludf.DUMMYFUNCTION("GOOGLEFINANCE(""IDX:""&amp;A639,""price"")"),4790.0)</f>
        <v>4790</v>
      </c>
      <c r="D639" s="16" t="str">
        <f>IFERROR(__xludf.DUMMYFUNCTION("IF(A639="""","""",
SPARKLINE(
INDEX(
GOOGLEFINANCE(""IDX:""&amp;A639,""close"",TODAY()-365,TODAY()),
,2
),
{""linewidth"",1}
))
"),"#N/A")</f>
        <v>#N/A</v>
      </c>
      <c r="E639" s="26"/>
      <c r="F639" s="26"/>
      <c r="G639" s="24">
        <f t="shared" si="5"/>
        <v>0</v>
      </c>
      <c r="H639" s="19">
        <f>VLOOKUP(A639,Metrik!$C$2:$Y$959,8,0)</f>
        <v>80.9</v>
      </c>
      <c r="I639" s="20">
        <f>VLOOKUP(A639,Metrik!$C$2:$Y$959,9,0)</f>
        <v>5.2</v>
      </c>
      <c r="J639" s="20">
        <f>VLOOKUP(A639,Metrik!$C$2:$Y$959,10,0)</f>
        <v>6.4</v>
      </c>
      <c r="K639" s="20">
        <f>VLOOKUP(A639,Metrik!$C$2:$Y$959,11,0)</f>
        <v>1.6</v>
      </c>
      <c r="L639" s="20">
        <f>VLOOKUP(A639,Metrik!$C$2:$Y$959,12,0)</f>
        <v>3</v>
      </c>
      <c r="M639" s="20">
        <f>VLOOKUP(A639,Metrik!$C$2:$Y$959,19,0)</f>
        <v>49.2</v>
      </c>
      <c r="N639" s="21"/>
      <c r="O639" s="21"/>
      <c r="P639" s="21"/>
      <c r="Q639" s="21"/>
      <c r="R639" s="21"/>
      <c r="S639" s="21"/>
      <c r="T639" s="21"/>
      <c r="U639" s="22">
        <f>IFERROR(__xludf.DUMMYFUNCTION("IFERROR(GOOGLEFINANCE(A639,""closeyest""),"""")"),49.92)</f>
        <v>49.92</v>
      </c>
      <c r="V639" s="23">
        <f>IFERROR(__xludf.DUMMYFUNCTION("IFERROR(GOOGLEFINANCE(A639,""changepct""),"""")"),0.56)</f>
        <v>0.56</v>
      </c>
      <c r="W639" s="22">
        <f>IFERROR(__xludf.DUMMYFUNCTION("IFERROR(GOOGLEFINANCE(A639,""priceopen""),"""")"),50.2)</f>
        <v>50.2</v>
      </c>
      <c r="X639" s="22">
        <f>IFERROR(__xludf.DUMMYFUNCTION("IFERROR(GOOGLEFINANCE(A639,""high""),"""")"),50.2)</f>
        <v>50.2</v>
      </c>
      <c r="Y639" s="22">
        <f>IFERROR(__xludf.DUMMYFUNCTION("IFERROR(GOOGLEFINANCE(A639,""low""),"""")"),50.2)</f>
        <v>50.2</v>
      </c>
      <c r="Z639" s="22">
        <f>IFERROR(__xludf.DUMMYFUNCTION("IFERROR(GOOGLEFINANCE(A639,""volume""),"""")"),267.0)</f>
        <v>267</v>
      </c>
      <c r="AA639" s="24" t="str">
        <f>VLOOKUP(A639,Metrik!$C$2:$Y$959,5,0)</f>
        <v>IT Services &amp; Consulting</v>
      </c>
      <c r="AB639" s="24" t="str">
        <f>VLOOKUP(A639,Metrik!$C$2:$Y$959,3,0)</f>
        <v>Technology</v>
      </c>
    </row>
    <row r="640">
      <c r="A640" s="14" t="s">
        <v>357</v>
      </c>
      <c r="B640" s="14" t="str">
        <f t="array" ref="B640">VLOOKUP(A640,{Metrik!$C$2:$C$998,Metrik!$B$2:$B$998},2,0)</f>
        <v>Ekadharma International Tbk.</v>
      </c>
      <c r="C640" s="15">
        <f>IFERROR(__xludf.DUMMYFUNCTION("GOOGLEFINANCE(""IDX:""&amp;A640,""price"")"),158.0)</f>
        <v>158</v>
      </c>
      <c r="D640" s="16" t="str">
        <f>IFERROR(__xludf.DUMMYFUNCTION("IF(A640="""","""",
SPARKLINE(
INDEX(
GOOGLEFINANCE(""IDX:""&amp;A640,""close"",TODAY()-365,TODAY()),
,2
),
{""linewidth"",1}
))
"),"#N/A")</f>
        <v>#N/A</v>
      </c>
      <c r="E640" s="26"/>
      <c r="F640" s="26"/>
      <c r="G640" s="24">
        <f t="shared" si="5"/>
        <v>0</v>
      </c>
      <c r="H640" s="19">
        <f>VLOOKUP(A640,Metrik!$C$2:$Y$959,8,0)</f>
        <v>12</v>
      </c>
      <c r="I640" s="20">
        <f>VLOOKUP(A640,Metrik!$C$2:$Y$959,9,0)</f>
        <v>0.47</v>
      </c>
      <c r="J640" s="20">
        <f>VLOOKUP(A640,Metrik!$C$2:$Y$959,10,0)</f>
        <v>4</v>
      </c>
      <c r="K640" s="20">
        <f>VLOOKUP(A640,Metrik!$C$2:$Y$959,11,0)</f>
        <v>3.7</v>
      </c>
      <c r="L640" s="20">
        <f>VLOOKUP(A640,Metrik!$C$2:$Y$959,12,0)</f>
        <v>0.08</v>
      </c>
      <c r="M640" s="20">
        <f>VLOOKUP(A640,Metrik!$C$2:$Y$959,19,0)</f>
        <v>35.2</v>
      </c>
      <c r="N640" s="21"/>
      <c r="O640" s="21"/>
      <c r="P640" s="21"/>
      <c r="Q640" s="21"/>
      <c r="R640" s="21"/>
      <c r="S640" s="21"/>
      <c r="T640" s="21"/>
      <c r="U640" s="22">
        <f>IFERROR(__xludf.DUMMYFUNCTION("IFERROR(GOOGLEFINANCE(A640,""closeyest""),"""")"),158.0)</f>
        <v>158</v>
      </c>
      <c r="V640" s="23">
        <f>IFERROR(__xludf.DUMMYFUNCTION("IFERROR(GOOGLEFINANCE(A640,""changepct""),"""")"),0.0)</f>
        <v>0</v>
      </c>
      <c r="W640" s="22">
        <f>IFERROR(__xludf.DUMMYFUNCTION("IFERROR(GOOGLEFINANCE(A640,""priceopen""),"""")"),155.0)</f>
        <v>155</v>
      </c>
      <c r="X640" s="22">
        <f>IFERROR(__xludf.DUMMYFUNCTION("IFERROR(GOOGLEFINANCE(A640,""high""),"""")"),167.0)</f>
        <v>167</v>
      </c>
      <c r="Y640" s="22">
        <f>IFERROR(__xludf.DUMMYFUNCTION("IFERROR(GOOGLEFINANCE(A640,""low""),"""")"),147.0)</f>
        <v>147</v>
      </c>
      <c r="Z640" s="22">
        <f>IFERROR(__xludf.DUMMYFUNCTION("IFERROR(GOOGLEFINANCE(A640,""volume""),"""")"),1068500.0)</f>
        <v>1068500</v>
      </c>
      <c r="AA640" s="24" t="str">
        <f>VLOOKUP(A640,Metrik!$C$2:$Y$959,5,0)</f>
        <v>Chemicals</v>
      </c>
      <c r="AB640" s="24" t="str">
        <f>VLOOKUP(A640,Metrik!$C$2:$Y$959,3,0)</f>
        <v>Basic Materials</v>
      </c>
    </row>
    <row r="641">
      <c r="A641" s="14" t="s">
        <v>358</v>
      </c>
      <c r="B641" s="14" t="str">
        <f t="array" ref="B641">VLOOKUP(A641,{Metrik!$C$2:$C$998,Metrik!$B$2:$B$998},2,0)</f>
        <v>PT Data Sinergitama Jaya Tbk</v>
      </c>
      <c r="C641" s="15">
        <f>IFERROR(__xludf.DUMMYFUNCTION("GOOGLEFINANCE(""IDX:""&amp;A641,""price"")"),176.0)</f>
        <v>176</v>
      </c>
      <c r="D641" s="16" t="str">
        <f>IFERROR(__xludf.DUMMYFUNCTION("IF(A641="""","""",
SPARKLINE(
INDEX(
GOOGLEFINANCE(""IDX:""&amp;A641,""close"",TODAY()-365,TODAY()),
,2
),
{""linewidth"",1}
))
"),"#N/A")</f>
        <v>#N/A</v>
      </c>
      <c r="E641" s="26"/>
      <c r="F641" s="26"/>
      <c r="G641" s="24">
        <f t="shared" si="5"/>
        <v>0</v>
      </c>
      <c r="H641" s="19">
        <f>VLOOKUP(A641,Metrik!$C$2:$Y$959,8,0)</f>
        <v>11.1</v>
      </c>
      <c r="I641" s="20">
        <f>VLOOKUP(A641,Metrik!$C$2:$Y$959,9,0)</f>
        <v>2.3</v>
      </c>
      <c r="J641" s="20">
        <f>VLOOKUP(A641,Metrik!$C$2:$Y$959,10,0)</f>
        <v>20.7</v>
      </c>
      <c r="K641" s="20">
        <f>VLOOKUP(A641,Metrik!$C$2:$Y$959,11,0)</f>
        <v>11.1</v>
      </c>
      <c r="L641" s="20">
        <f>VLOOKUP(A641,Metrik!$C$2:$Y$959,12,0)</f>
        <v>0.86</v>
      </c>
      <c r="M641" s="20">
        <f>VLOOKUP(A641,Metrik!$C$2:$Y$959,19,0)</f>
        <v>40.5</v>
      </c>
      <c r="N641" s="21"/>
      <c r="O641" s="21"/>
      <c r="P641" s="21"/>
      <c r="Q641" s="21"/>
      <c r="R641" s="21"/>
      <c r="S641" s="21"/>
      <c r="T641" s="21"/>
      <c r="U641" s="22">
        <f>IFERROR(__xludf.DUMMYFUNCTION("IFERROR(GOOGLEFINANCE(A641,""closeyest""),"""")"),171.0)</f>
        <v>171</v>
      </c>
      <c r="V641" s="23">
        <f>IFERROR(__xludf.DUMMYFUNCTION("IFERROR(GOOGLEFINANCE(A641,""changepct""),"""")"),2.92)</f>
        <v>2.92</v>
      </c>
      <c r="W641" s="22">
        <f>IFERROR(__xludf.DUMMYFUNCTION("IFERROR(GOOGLEFINANCE(A641,""priceopen""),"""")"),172.0)</f>
        <v>172</v>
      </c>
      <c r="X641" s="22">
        <f>IFERROR(__xludf.DUMMYFUNCTION("IFERROR(GOOGLEFINANCE(A641,""high""),"""")"),185.0)</f>
        <v>185</v>
      </c>
      <c r="Y641" s="22">
        <f>IFERROR(__xludf.DUMMYFUNCTION("IFERROR(GOOGLEFINANCE(A641,""low""),"""")"),171.0)</f>
        <v>171</v>
      </c>
      <c r="Z641" s="22">
        <f>IFERROR(__xludf.DUMMYFUNCTION("IFERROR(GOOGLEFINANCE(A641,""volume""),"""")"),3516200.0)</f>
        <v>3516200</v>
      </c>
      <c r="AA641" s="24" t="str">
        <f>VLOOKUP(A641,Metrik!$C$2:$Y$959,5,0)</f>
        <v>IT Services &amp; Consulting</v>
      </c>
      <c r="AB641" s="24" t="str">
        <f>VLOOKUP(A641,Metrik!$C$2:$Y$959,3,0)</f>
        <v>Technology</v>
      </c>
    </row>
    <row r="642">
      <c r="A642" s="17" t="s">
        <v>359</v>
      </c>
      <c r="B642" s="14" t="str">
        <f t="array" ref="B642">VLOOKUP(A642,{Metrik!$C$2:$C$998,Metrik!$B$2:$B$998},2,0)</f>
        <v>Pelayaran Nasional Ekalya Purnamasari Tbk.</v>
      </c>
      <c r="C642" s="15">
        <f>IFERROR(__xludf.DUMMYFUNCTION("GOOGLEFINANCE(""IDX:""&amp;A642,""price"")"),1230.0)</f>
        <v>1230</v>
      </c>
      <c r="D642" s="16" t="str">
        <f>IFERROR(__xludf.DUMMYFUNCTION("IF(A642="""","""",
SPARKLINE(
INDEX(
GOOGLEFINANCE(""IDX:""&amp;A642,""close"",TODAY()-365,TODAY()),
,2
),
{""linewidth"",1}
))
"),"#N/A")</f>
        <v>#N/A</v>
      </c>
      <c r="E642" s="14"/>
      <c r="F642" s="17"/>
      <c r="G642" s="18">
        <f t="shared" si="5"/>
        <v>0</v>
      </c>
      <c r="H642" s="19">
        <f>VLOOKUP(A642,Metrik!$C$2:$Y$959,8,0)</f>
        <v>68.1</v>
      </c>
      <c r="I642" s="20">
        <f>VLOOKUP(A642,Metrik!$C$2:$Y$959,9,0)</f>
        <v>4.8</v>
      </c>
      <c r="J642" s="20">
        <f>VLOOKUP(A642,Metrik!$C$2:$Y$959,10,0)</f>
        <v>7</v>
      </c>
      <c r="K642" s="20">
        <f>VLOOKUP(A642,Metrik!$C$2:$Y$959,11,0)</f>
        <v>5.3</v>
      </c>
      <c r="L642" s="20">
        <f>VLOOKUP(A642,Metrik!$C$2:$Y$959,12,0)</f>
        <v>0.31</v>
      </c>
      <c r="M642" s="20">
        <f>VLOOKUP(A642,Metrik!$C$2:$Y$959,19,0)</f>
        <v>97.5</v>
      </c>
      <c r="N642" s="21"/>
      <c r="O642" s="21"/>
      <c r="P642" s="21"/>
      <c r="Q642" s="21"/>
      <c r="R642" s="21"/>
      <c r="S642" s="21"/>
      <c r="T642" s="21"/>
      <c r="U642" s="22">
        <f>IFERROR(__xludf.DUMMYFUNCTION("IFERROR(GOOGLEFINANCE(A642,""closeyest""),"""")"),1150.0)</f>
        <v>1150</v>
      </c>
      <c r="V642" s="23">
        <f>IFERROR(__xludf.DUMMYFUNCTION("IFERROR(GOOGLEFINANCE(A642,""changepct""),"""")"),6.96)</f>
        <v>6.96</v>
      </c>
      <c r="W642" s="22">
        <f>IFERROR(__xludf.DUMMYFUNCTION("IFERROR(GOOGLEFINANCE(A642,""priceopen""),"""")"),1155.0)</f>
        <v>1155</v>
      </c>
      <c r="X642" s="22" t="str">
        <f>IFERROR(__xludf.DUMMYFUNCTION("IFERROR(GOOGLEFINANCE(A642,""high""),"""")"),"")</f>
        <v/>
      </c>
      <c r="Y642" s="22">
        <f>IFERROR(__xludf.DUMMYFUNCTION("IFERROR(GOOGLEFINANCE(A642,""low""),"""")"),1150.0)</f>
        <v>1150</v>
      </c>
      <c r="Z642" s="22">
        <f>IFERROR(__xludf.DUMMYFUNCTION("IFERROR(GOOGLEFINANCE(A642,""volume""),"""")"),618300.0)</f>
        <v>618300</v>
      </c>
      <c r="AA642" s="24" t="str">
        <f>VLOOKUP(A642,Metrik!$C$2:$Y$959,5,0)</f>
        <v>Logistics &amp; Deliveries</v>
      </c>
      <c r="AB642" s="24" t="str">
        <f>VLOOKUP(A642,Metrik!$C$2:$Y$959,3,0)</f>
        <v>Transportation &amp; Logistic</v>
      </c>
    </row>
    <row r="643">
      <c r="A643" s="17" t="s">
        <v>360</v>
      </c>
      <c r="B643" s="14" t="str">
        <f t="array" ref="B643">VLOOKUP(A643,{Metrik!$C$2:$C$998,Metrik!$B$2:$B$998},2,0)</f>
        <v>Elnusa Tbk.</v>
      </c>
      <c r="C643" s="15">
        <f>IFERROR(__xludf.DUMMYFUNCTION("GOOGLEFINANCE(""IDX:""&amp;A643,""price"")"),620.0)</f>
        <v>620</v>
      </c>
      <c r="D643" s="16" t="str">
        <f>IFERROR(__xludf.DUMMYFUNCTION("IF(A643="""","""",
SPARKLINE(
INDEX(
GOOGLEFINANCE(""IDX:""&amp;A643,""close"",TODAY()-365,TODAY()),
,2
),
{""linewidth"",1}
))
"),"#N/A")</f>
        <v>#N/A</v>
      </c>
      <c r="E643" s="14" t="s">
        <v>47</v>
      </c>
      <c r="F643" s="25">
        <v>46356.0</v>
      </c>
      <c r="G643" s="18">
        <f t="shared" si="5"/>
        <v>10</v>
      </c>
      <c r="H643" s="19">
        <f>VLOOKUP(A643,Metrik!$C$2:$Y$959,8,0)</f>
        <v>6.2</v>
      </c>
      <c r="I643" s="20">
        <f>VLOOKUP(A643,Metrik!$C$2:$Y$959,9,0)</f>
        <v>0.81</v>
      </c>
      <c r="J643" s="20">
        <f>VLOOKUP(A643,Metrik!$C$2:$Y$959,10,0)</f>
        <v>13.1</v>
      </c>
      <c r="K643" s="20">
        <f>VLOOKUP(A643,Metrik!$C$2:$Y$959,11,0)</f>
        <v>6.6</v>
      </c>
      <c r="L643" s="20">
        <f>VLOOKUP(A643,Metrik!$C$2:$Y$959,12,0)</f>
        <v>1</v>
      </c>
      <c r="M643" s="20">
        <f>VLOOKUP(A643,Metrik!$C$2:$Y$959,19,0)</f>
        <v>19.9</v>
      </c>
      <c r="N643" s="21"/>
      <c r="O643" s="21"/>
      <c r="P643" s="21"/>
      <c r="Q643" s="21"/>
      <c r="R643" s="21"/>
      <c r="S643" s="21"/>
      <c r="T643" s="21"/>
      <c r="U643" s="22">
        <f>IFERROR(__xludf.DUMMYFUNCTION("IFERROR(GOOGLEFINANCE(A643,""closeyest""),"""")"),2.24)</f>
        <v>2.24</v>
      </c>
      <c r="V643" s="23">
        <f>IFERROR(__xludf.DUMMYFUNCTION("IFERROR(GOOGLEFINANCE(A643,""changepct""),"""")"),0.0)</f>
        <v>0</v>
      </c>
      <c r="W643" s="22" t="str">
        <f>IFERROR(__xludf.DUMMYFUNCTION("IFERROR(GOOGLEFINANCE(A643,""priceopen""),"""")"),"")</f>
        <v/>
      </c>
      <c r="X643" s="22" t="str">
        <f>IFERROR(__xludf.DUMMYFUNCTION("IFERROR(GOOGLEFINANCE(A643,""high""),"""")"),"")</f>
        <v/>
      </c>
      <c r="Y643" s="22" t="str">
        <f>IFERROR(__xludf.DUMMYFUNCTION("IFERROR(GOOGLEFINANCE(A643,""low""),"""")"),"")</f>
        <v/>
      </c>
      <c r="Z643" s="22">
        <f>IFERROR(__xludf.DUMMYFUNCTION("IFERROR(GOOGLEFINANCE(A643,""volume""),"""")"),0.0)</f>
        <v>0</v>
      </c>
      <c r="AA643" s="24" t="str">
        <f>VLOOKUP(A643,Metrik!$C$2:$Y$959,5,0)</f>
        <v>Oil, Gas &amp; Coal Supports</v>
      </c>
      <c r="AB643" s="24" t="str">
        <f>VLOOKUP(A643,Metrik!$C$2:$Y$959,3,0)</f>
        <v>Energy</v>
      </c>
    </row>
    <row r="644">
      <c r="A644" s="14" t="s">
        <v>360</v>
      </c>
      <c r="B644" s="14" t="str">
        <f t="array" ref="B644">VLOOKUP(A644,{Metrik!$C$2:$C$998,Metrik!$B$2:$B$998},2,0)</f>
        <v>Elnusa Tbk.</v>
      </c>
      <c r="C644" s="15">
        <f>IFERROR(__xludf.DUMMYFUNCTION("GOOGLEFINANCE(""IDX:""&amp;A644,""price"")"),620.0)</f>
        <v>620</v>
      </c>
      <c r="D644" s="16" t="str">
        <f>IFERROR(__xludf.DUMMYFUNCTION("IF(A644="""","""",
SPARKLINE(
INDEX(
GOOGLEFINANCE(""IDX:""&amp;A644,""close"",TODAY()-365,TODAY()),
,2
),
{""linewidth"",1}
))
"),"#N/A")</f>
        <v>#N/A</v>
      </c>
      <c r="E644" s="14" t="s">
        <v>106</v>
      </c>
      <c r="F644" s="25">
        <v>46356.0</v>
      </c>
      <c r="G644" s="24">
        <f t="shared" si="5"/>
        <v>10</v>
      </c>
      <c r="H644" s="19">
        <f>VLOOKUP(A644,Metrik!$C$2:$Y$959,8,0)</f>
        <v>6.2</v>
      </c>
      <c r="I644" s="20">
        <f>VLOOKUP(A644,Metrik!$C$2:$Y$959,9,0)</f>
        <v>0.81</v>
      </c>
      <c r="J644" s="20">
        <f>VLOOKUP(A644,Metrik!$C$2:$Y$959,10,0)</f>
        <v>13.1</v>
      </c>
      <c r="K644" s="20">
        <f>VLOOKUP(A644,Metrik!$C$2:$Y$959,11,0)</f>
        <v>6.6</v>
      </c>
      <c r="L644" s="20">
        <f>VLOOKUP(A644,Metrik!$C$2:$Y$959,12,0)</f>
        <v>1</v>
      </c>
      <c r="M644" s="20">
        <f>VLOOKUP(A644,Metrik!$C$2:$Y$959,19,0)</f>
        <v>19.9</v>
      </c>
      <c r="N644" s="21"/>
      <c r="O644" s="21"/>
      <c r="P644" s="21"/>
      <c r="Q644" s="21"/>
      <c r="R644" s="21"/>
      <c r="S644" s="21"/>
      <c r="T644" s="21"/>
      <c r="U644" s="22">
        <f>IFERROR(__xludf.DUMMYFUNCTION("IFERROR(GOOGLEFINANCE(A644,""closeyest""),"""")"),2.24)</f>
        <v>2.24</v>
      </c>
      <c r="V644" s="23">
        <f>IFERROR(__xludf.DUMMYFUNCTION("IFERROR(GOOGLEFINANCE(A644,""changepct""),"""")"),0.0)</f>
        <v>0</v>
      </c>
      <c r="W644" s="22" t="str">
        <f>IFERROR(__xludf.DUMMYFUNCTION("IFERROR(GOOGLEFINANCE(A644,""priceopen""),"""")"),"")</f>
        <v/>
      </c>
      <c r="X644" s="22" t="str">
        <f>IFERROR(__xludf.DUMMYFUNCTION("IFERROR(GOOGLEFINANCE(A644,""high""),"""")"),"")</f>
        <v/>
      </c>
      <c r="Y644" s="22" t="str">
        <f>IFERROR(__xludf.DUMMYFUNCTION("IFERROR(GOOGLEFINANCE(A644,""low""),"""")"),"")</f>
        <v/>
      </c>
      <c r="Z644" s="22">
        <f>IFERROR(__xludf.DUMMYFUNCTION("IFERROR(GOOGLEFINANCE(A644,""volume""),"""")"),0.0)</f>
        <v>0</v>
      </c>
      <c r="AA644" s="24" t="str">
        <f>VLOOKUP(A644,Metrik!$C$2:$Y$959,5,0)</f>
        <v>Oil, Gas &amp; Coal Supports</v>
      </c>
      <c r="AB644" s="24" t="str">
        <f>VLOOKUP(A644,Metrik!$C$2:$Y$959,3,0)</f>
        <v>Energy</v>
      </c>
    </row>
    <row r="645">
      <c r="A645" s="14" t="s">
        <v>360</v>
      </c>
      <c r="B645" s="14" t="str">
        <f t="array" ref="B645">VLOOKUP(A645,{Metrik!$C$2:$C$998,Metrik!$B$2:$B$998},2,0)</f>
        <v>Elnusa Tbk.</v>
      </c>
      <c r="C645" s="15">
        <f>IFERROR(__xludf.DUMMYFUNCTION("GOOGLEFINANCE(""IDX:""&amp;A645,""price"")"),620.0)</f>
        <v>620</v>
      </c>
      <c r="D645" s="16" t="str">
        <f>IFERROR(__xludf.DUMMYFUNCTION("IF(A645="""","""",
SPARKLINE(
INDEX(
GOOGLEFINANCE(""IDX:""&amp;A645,""close"",TODAY()-365,TODAY()),
,2
),
{""linewidth"",1}
))
"),"#N/A")</f>
        <v>#N/A</v>
      </c>
      <c r="E645" s="14" t="s">
        <v>65</v>
      </c>
      <c r="F645" s="25">
        <v>46356.0</v>
      </c>
      <c r="G645" s="24">
        <f t="shared" si="5"/>
        <v>10</v>
      </c>
      <c r="H645" s="19">
        <f>VLOOKUP(A645,Metrik!$C$2:$Y$959,8,0)</f>
        <v>6.2</v>
      </c>
      <c r="I645" s="20">
        <f>VLOOKUP(A645,Metrik!$C$2:$Y$959,9,0)</f>
        <v>0.81</v>
      </c>
      <c r="J645" s="20">
        <f>VLOOKUP(A645,Metrik!$C$2:$Y$959,10,0)</f>
        <v>13.1</v>
      </c>
      <c r="K645" s="20">
        <f>VLOOKUP(A645,Metrik!$C$2:$Y$959,11,0)</f>
        <v>6.6</v>
      </c>
      <c r="L645" s="20">
        <f>VLOOKUP(A645,Metrik!$C$2:$Y$959,12,0)</f>
        <v>1</v>
      </c>
      <c r="M645" s="20">
        <f>VLOOKUP(A645,Metrik!$C$2:$Y$959,19,0)</f>
        <v>19.9</v>
      </c>
      <c r="N645" s="21"/>
      <c r="O645" s="21"/>
      <c r="P645" s="21"/>
      <c r="Q645" s="21"/>
      <c r="R645" s="21"/>
      <c r="S645" s="21"/>
      <c r="T645" s="21"/>
      <c r="U645" s="22">
        <f>IFERROR(__xludf.DUMMYFUNCTION("IFERROR(GOOGLEFINANCE(A645,""closeyest""),"""")"),2.24)</f>
        <v>2.24</v>
      </c>
      <c r="V645" s="23">
        <f>IFERROR(__xludf.DUMMYFUNCTION("IFERROR(GOOGLEFINANCE(A645,""changepct""),"""")"),0.0)</f>
        <v>0</v>
      </c>
      <c r="W645" s="22" t="str">
        <f>IFERROR(__xludf.DUMMYFUNCTION("IFERROR(GOOGLEFINANCE(A645,""priceopen""),"""")"),"")</f>
        <v/>
      </c>
      <c r="X645" s="22" t="str">
        <f>IFERROR(__xludf.DUMMYFUNCTION("IFERROR(GOOGLEFINANCE(A645,""high""),"""")"),"")</f>
        <v/>
      </c>
      <c r="Y645" s="22" t="str">
        <f>IFERROR(__xludf.DUMMYFUNCTION("IFERROR(GOOGLEFINANCE(A645,""low""),"""")"),"")</f>
        <v/>
      </c>
      <c r="Z645" s="22">
        <f>IFERROR(__xludf.DUMMYFUNCTION("IFERROR(GOOGLEFINANCE(A645,""volume""),"""")"),0.0)</f>
        <v>0</v>
      </c>
      <c r="AA645" s="24" t="str">
        <f>VLOOKUP(A645,Metrik!$C$2:$Y$959,5,0)</f>
        <v>Oil, Gas &amp; Coal Supports</v>
      </c>
      <c r="AB645" s="24" t="str">
        <f>VLOOKUP(A645,Metrik!$C$2:$Y$959,3,0)</f>
        <v>Energy</v>
      </c>
    </row>
    <row r="646">
      <c r="A646" s="14" t="s">
        <v>360</v>
      </c>
      <c r="B646" s="14" t="str">
        <f t="array" ref="B646">VLOOKUP(A646,{Metrik!$C$2:$C$998,Metrik!$B$2:$B$998},2,0)</f>
        <v>Elnusa Tbk.</v>
      </c>
      <c r="C646" s="15">
        <f>IFERROR(__xludf.DUMMYFUNCTION("GOOGLEFINANCE(""IDX:""&amp;A646,""price"")"),620.0)</f>
        <v>620</v>
      </c>
      <c r="D646" s="16" t="str">
        <f>IFERROR(__xludf.DUMMYFUNCTION("IF(A646="""","""",
SPARKLINE(
INDEX(
GOOGLEFINANCE(""IDX:""&amp;A646,""close"",TODAY()-365,TODAY()),
,2
),
{""linewidth"",1}
))
"),"#N/A")</f>
        <v>#N/A</v>
      </c>
      <c r="E646" s="14" t="s">
        <v>32</v>
      </c>
      <c r="F646" s="14" t="s">
        <v>29</v>
      </c>
      <c r="G646" s="24">
        <f t="shared" si="5"/>
        <v>10</v>
      </c>
      <c r="H646" s="19">
        <f>VLOOKUP(A646,Metrik!$C$2:$Y$959,8,0)</f>
        <v>6.2</v>
      </c>
      <c r="I646" s="20">
        <f>VLOOKUP(A646,Metrik!$C$2:$Y$959,9,0)</f>
        <v>0.81</v>
      </c>
      <c r="J646" s="20">
        <f>VLOOKUP(A646,Metrik!$C$2:$Y$959,10,0)</f>
        <v>13.1</v>
      </c>
      <c r="K646" s="20">
        <f>VLOOKUP(A646,Metrik!$C$2:$Y$959,11,0)</f>
        <v>6.6</v>
      </c>
      <c r="L646" s="20">
        <f>VLOOKUP(A646,Metrik!$C$2:$Y$959,12,0)</f>
        <v>1</v>
      </c>
      <c r="M646" s="20">
        <f>VLOOKUP(A646,Metrik!$C$2:$Y$959,19,0)</f>
        <v>19.9</v>
      </c>
      <c r="N646" s="21"/>
      <c r="O646" s="21"/>
      <c r="P646" s="21"/>
      <c r="Q646" s="21"/>
      <c r="R646" s="21"/>
      <c r="S646" s="21"/>
      <c r="T646" s="21"/>
      <c r="U646" s="22">
        <f>IFERROR(__xludf.DUMMYFUNCTION("IFERROR(GOOGLEFINANCE(A646,""closeyest""),"""")"),2.24)</f>
        <v>2.24</v>
      </c>
      <c r="V646" s="23">
        <f>IFERROR(__xludf.DUMMYFUNCTION("IFERROR(GOOGLEFINANCE(A646,""changepct""),"""")"),0.0)</f>
        <v>0</v>
      </c>
      <c r="W646" s="22" t="str">
        <f>IFERROR(__xludf.DUMMYFUNCTION("IFERROR(GOOGLEFINANCE(A646,""priceopen""),"""")"),"")</f>
        <v/>
      </c>
      <c r="X646" s="22" t="str">
        <f>IFERROR(__xludf.DUMMYFUNCTION("IFERROR(GOOGLEFINANCE(A646,""high""),"""")"),"")</f>
        <v/>
      </c>
      <c r="Y646" s="22" t="str">
        <f>IFERROR(__xludf.DUMMYFUNCTION("IFERROR(GOOGLEFINANCE(A646,""low""),"""")"),"")</f>
        <v/>
      </c>
      <c r="Z646" s="22">
        <f>IFERROR(__xludf.DUMMYFUNCTION("IFERROR(GOOGLEFINANCE(A646,""volume""),"""")"),0.0)</f>
        <v>0</v>
      </c>
      <c r="AA646" s="24" t="str">
        <f>VLOOKUP(A646,Metrik!$C$2:$Y$959,5,0)</f>
        <v>Oil, Gas &amp; Coal Supports</v>
      </c>
      <c r="AB646" s="24" t="str">
        <f>VLOOKUP(A646,Metrik!$C$2:$Y$959,3,0)</f>
        <v>Energy</v>
      </c>
    </row>
    <row r="647">
      <c r="A647" s="14" t="s">
        <v>360</v>
      </c>
      <c r="B647" s="14" t="str">
        <f t="array" ref="B647">VLOOKUP(A647,{Metrik!$C$2:$C$998,Metrik!$B$2:$B$998},2,0)</f>
        <v>Elnusa Tbk.</v>
      </c>
      <c r="C647" s="15">
        <f>IFERROR(__xludf.DUMMYFUNCTION("GOOGLEFINANCE(""IDX:""&amp;A647,""price"")"),620.0)</f>
        <v>620</v>
      </c>
      <c r="D647" s="16" t="str">
        <f>IFERROR(__xludf.DUMMYFUNCTION("IF(A647="""","""",
SPARKLINE(
INDEX(
GOOGLEFINANCE(""IDX:""&amp;A647,""close"",TODAY()-365,TODAY()),
,2
),
{""linewidth"",1}
))
"),"#N/A")</f>
        <v>#N/A</v>
      </c>
      <c r="E647" s="14" t="s">
        <v>61</v>
      </c>
      <c r="F647" s="14" t="s">
        <v>34</v>
      </c>
      <c r="G647" s="24">
        <f t="shared" si="5"/>
        <v>10</v>
      </c>
      <c r="H647" s="19">
        <f>VLOOKUP(A647,Metrik!$C$2:$Y$959,8,0)</f>
        <v>6.2</v>
      </c>
      <c r="I647" s="20">
        <f>VLOOKUP(A647,Metrik!$C$2:$Y$959,9,0)</f>
        <v>0.81</v>
      </c>
      <c r="J647" s="20">
        <f>VLOOKUP(A647,Metrik!$C$2:$Y$959,10,0)</f>
        <v>13.1</v>
      </c>
      <c r="K647" s="20">
        <f>VLOOKUP(A647,Metrik!$C$2:$Y$959,11,0)</f>
        <v>6.6</v>
      </c>
      <c r="L647" s="20">
        <f>VLOOKUP(A647,Metrik!$C$2:$Y$959,12,0)</f>
        <v>1</v>
      </c>
      <c r="M647" s="20">
        <f>VLOOKUP(A647,Metrik!$C$2:$Y$959,19,0)</f>
        <v>19.9</v>
      </c>
      <c r="N647" s="21"/>
      <c r="O647" s="21"/>
      <c r="P647" s="21"/>
      <c r="Q647" s="21"/>
      <c r="R647" s="21"/>
      <c r="S647" s="21"/>
      <c r="T647" s="21"/>
      <c r="U647" s="22">
        <f>IFERROR(__xludf.DUMMYFUNCTION("IFERROR(GOOGLEFINANCE(A647,""closeyest""),"""")"),2.24)</f>
        <v>2.24</v>
      </c>
      <c r="V647" s="23">
        <f>IFERROR(__xludf.DUMMYFUNCTION("IFERROR(GOOGLEFINANCE(A647,""changepct""),"""")"),0.0)</f>
        <v>0</v>
      </c>
      <c r="W647" s="22" t="str">
        <f>IFERROR(__xludf.DUMMYFUNCTION("IFERROR(GOOGLEFINANCE(A647,""priceopen""),"""")"),"")</f>
        <v/>
      </c>
      <c r="X647" s="22" t="str">
        <f>IFERROR(__xludf.DUMMYFUNCTION("IFERROR(GOOGLEFINANCE(A647,""high""),"""")"),"")</f>
        <v/>
      </c>
      <c r="Y647" s="22" t="str">
        <f>IFERROR(__xludf.DUMMYFUNCTION("IFERROR(GOOGLEFINANCE(A647,""low""),"""")"),"")</f>
        <v/>
      </c>
      <c r="Z647" s="22">
        <f>IFERROR(__xludf.DUMMYFUNCTION("IFERROR(GOOGLEFINANCE(A647,""volume""),"""")"),0.0)</f>
        <v>0</v>
      </c>
      <c r="AA647" s="24" t="str">
        <f>VLOOKUP(A647,Metrik!$C$2:$Y$959,5,0)</f>
        <v>Oil, Gas &amp; Coal Supports</v>
      </c>
      <c r="AB647" s="24" t="str">
        <f>VLOOKUP(A647,Metrik!$C$2:$Y$959,3,0)</f>
        <v>Energy</v>
      </c>
    </row>
    <row r="648">
      <c r="A648" s="14" t="s">
        <v>360</v>
      </c>
      <c r="B648" s="14" t="str">
        <f t="array" ref="B648">VLOOKUP(A648,{Metrik!$C$2:$C$998,Metrik!$B$2:$B$998},2,0)</f>
        <v>Elnusa Tbk.</v>
      </c>
      <c r="C648" s="15">
        <f>IFERROR(__xludf.DUMMYFUNCTION("GOOGLEFINANCE(""IDX:""&amp;A648,""price"")"),620.0)</f>
        <v>620</v>
      </c>
      <c r="D648" s="16" t="str">
        <f>IFERROR(__xludf.DUMMYFUNCTION("IF(A648="""","""",
SPARKLINE(
INDEX(
GOOGLEFINANCE(""IDX:""&amp;A648,""close"",TODAY()-365,TODAY()),
,2
),
{""linewidth"",1}
))
"),"#N/A")</f>
        <v>#N/A</v>
      </c>
      <c r="E648" s="14" t="s">
        <v>28</v>
      </c>
      <c r="F648" s="17" t="s">
        <v>29</v>
      </c>
      <c r="G648" s="24">
        <f t="shared" si="5"/>
        <v>10</v>
      </c>
      <c r="H648" s="19">
        <f>VLOOKUP(A648,Metrik!$C$2:$Y$959,8,0)</f>
        <v>6.2</v>
      </c>
      <c r="I648" s="20">
        <f>VLOOKUP(A648,Metrik!$C$2:$Y$959,9,0)</f>
        <v>0.81</v>
      </c>
      <c r="J648" s="20">
        <f>VLOOKUP(A648,Metrik!$C$2:$Y$959,10,0)</f>
        <v>13.1</v>
      </c>
      <c r="K648" s="20">
        <f>VLOOKUP(A648,Metrik!$C$2:$Y$959,11,0)</f>
        <v>6.6</v>
      </c>
      <c r="L648" s="20">
        <f>VLOOKUP(A648,Metrik!$C$2:$Y$959,12,0)</f>
        <v>1</v>
      </c>
      <c r="M648" s="20">
        <f>VLOOKUP(A648,Metrik!$C$2:$Y$959,19,0)</f>
        <v>19.9</v>
      </c>
      <c r="N648" s="21"/>
      <c r="O648" s="21"/>
      <c r="P648" s="21"/>
      <c r="Q648" s="21"/>
      <c r="R648" s="21"/>
      <c r="S648" s="21"/>
      <c r="T648" s="21"/>
      <c r="U648" s="22">
        <f>IFERROR(__xludf.DUMMYFUNCTION("IFERROR(GOOGLEFINANCE(A648,""closeyest""),"""")"),2.24)</f>
        <v>2.24</v>
      </c>
      <c r="V648" s="23">
        <f>IFERROR(__xludf.DUMMYFUNCTION("IFERROR(GOOGLEFINANCE(A648,""changepct""),"""")"),0.0)</f>
        <v>0</v>
      </c>
      <c r="W648" s="22" t="str">
        <f>IFERROR(__xludf.DUMMYFUNCTION("IFERROR(GOOGLEFINANCE(A648,""priceopen""),"""")"),"")</f>
        <v/>
      </c>
      <c r="X648" s="22" t="str">
        <f>IFERROR(__xludf.DUMMYFUNCTION("IFERROR(GOOGLEFINANCE(A648,""high""),"""")"),"")</f>
        <v/>
      </c>
      <c r="Y648" s="22" t="str">
        <f>IFERROR(__xludf.DUMMYFUNCTION("IFERROR(GOOGLEFINANCE(A648,""low""),"""")"),"")</f>
        <v/>
      </c>
      <c r="Z648" s="22">
        <f>IFERROR(__xludf.DUMMYFUNCTION("IFERROR(GOOGLEFINANCE(A648,""volume""),"""")"),0.0)</f>
        <v>0</v>
      </c>
      <c r="AA648" s="24" t="str">
        <f>VLOOKUP(A648,Metrik!$C$2:$Y$959,5,0)</f>
        <v>Oil, Gas &amp; Coal Supports</v>
      </c>
      <c r="AB648" s="24" t="str">
        <f>VLOOKUP(A648,Metrik!$C$2:$Y$959,3,0)</f>
        <v>Energy</v>
      </c>
    </row>
    <row r="649">
      <c r="A649" s="14" t="s">
        <v>360</v>
      </c>
      <c r="B649" s="14" t="str">
        <f t="array" ref="B649">VLOOKUP(A649,{Metrik!$C$2:$C$998,Metrik!$B$2:$B$998},2,0)</f>
        <v>Elnusa Tbk.</v>
      </c>
      <c r="C649" s="15">
        <f>IFERROR(__xludf.DUMMYFUNCTION("GOOGLEFINANCE(""IDX:""&amp;A649,""price"")"),620.0)</f>
        <v>620</v>
      </c>
      <c r="D649" s="16" t="str">
        <f>IFERROR(__xludf.DUMMYFUNCTION("IF(A649="""","""",
SPARKLINE(
INDEX(
GOOGLEFINANCE(""IDX:""&amp;A649,""close"",TODAY()-365,TODAY()),
,2
),
{""linewidth"",1}
))
"),"#N/A")</f>
        <v>#N/A</v>
      </c>
      <c r="E649" s="14" t="s">
        <v>33</v>
      </c>
      <c r="F649" s="14" t="s">
        <v>34</v>
      </c>
      <c r="G649" s="24">
        <f t="shared" si="5"/>
        <v>10</v>
      </c>
      <c r="H649" s="19">
        <f>VLOOKUP(A649,Metrik!$C$2:$Y$959,8,0)</f>
        <v>6.2</v>
      </c>
      <c r="I649" s="20">
        <f>VLOOKUP(A649,Metrik!$C$2:$Y$959,9,0)</f>
        <v>0.81</v>
      </c>
      <c r="J649" s="20">
        <f>VLOOKUP(A649,Metrik!$C$2:$Y$959,10,0)</f>
        <v>13.1</v>
      </c>
      <c r="K649" s="20">
        <f>VLOOKUP(A649,Metrik!$C$2:$Y$959,11,0)</f>
        <v>6.6</v>
      </c>
      <c r="L649" s="20">
        <f>VLOOKUP(A649,Metrik!$C$2:$Y$959,12,0)</f>
        <v>1</v>
      </c>
      <c r="M649" s="20">
        <f>VLOOKUP(A649,Metrik!$C$2:$Y$959,19,0)</f>
        <v>19.9</v>
      </c>
      <c r="N649" s="21"/>
      <c r="O649" s="21"/>
      <c r="P649" s="21"/>
      <c r="Q649" s="21"/>
      <c r="R649" s="21"/>
      <c r="S649" s="21"/>
      <c r="T649" s="21"/>
      <c r="U649" s="22">
        <f>IFERROR(__xludf.DUMMYFUNCTION("IFERROR(GOOGLEFINANCE(A649,""closeyest""),"""")"),2.24)</f>
        <v>2.24</v>
      </c>
      <c r="V649" s="23">
        <f>IFERROR(__xludf.DUMMYFUNCTION("IFERROR(GOOGLEFINANCE(A649,""changepct""),"""")"),0.0)</f>
        <v>0</v>
      </c>
      <c r="W649" s="22" t="str">
        <f>IFERROR(__xludf.DUMMYFUNCTION("IFERROR(GOOGLEFINANCE(A649,""priceopen""),"""")"),"")</f>
        <v/>
      </c>
      <c r="X649" s="22" t="str">
        <f>IFERROR(__xludf.DUMMYFUNCTION("IFERROR(GOOGLEFINANCE(A649,""high""),"""")"),"")</f>
        <v/>
      </c>
      <c r="Y649" s="22" t="str">
        <f>IFERROR(__xludf.DUMMYFUNCTION("IFERROR(GOOGLEFINANCE(A649,""low""),"""")"),"")</f>
        <v/>
      </c>
      <c r="Z649" s="22">
        <f>IFERROR(__xludf.DUMMYFUNCTION("IFERROR(GOOGLEFINANCE(A649,""volume""),"""")"),0.0)</f>
        <v>0</v>
      </c>
      <c r="AA649" s="24" t="str">
        <f>VLOOKUP(A649,Metrik!$C$2:$Y$959,5,0)</f>
        <v>Oil, Gas &amp; Coal Supports</v>
      </c>
      <c r="AB649" s="24" t="str">
        <f>VLOOKUP(A649,Metrik!$C$2:$Y$959,3,0)</f>
        <v>Energy</v>
      </c>
    </row>
    <row r="650">
      <c r="A650" s="14" t="s">
        <v>360</v>
      </c>
      <c r="B650" s="14" t="str">
        <f t="array" ref="B650">VLOOKUP(A650,{Metrik!$C$2:$C$998,Metrik!$B$2:$B$998},2,0)</f>
        <v>Elnusa Tbk.</v>
      </c>
      <c r="C650" s="15">
        <f>IFERROR(__xludf.DUMMYFUNCTION("GOOGLEFINANCE(""IDX:""&amp;A650,""price"")"),620.0)</f>
        <v>620</v>
      </c>
      <c r="D650" s="16" t="str">
        <f>IFERROR(__xludf.DUMMYFUNCTION("IF(A650="""","""",
SPARKLINE(
INDEX(
GOOGLEFINANCE(""IDX:""&amp;A650,""close"",TODAY()-365,TODAY()),
,2
),
{""linewidth"",1}
))
"),"#N/A")</f>
        <v>#N/A</v>
      </c>
      <c r="E650" s="14" t="s">
        <v>41</v>
      </c>
      <c r="F650" s="14" t="s">
        <v>34</v>
      </c>
      <c r="G650" s="24">
        <f t="shared" si="5"/>
        <v>10</v>
      </c>
      <c r="H650" s="19">
        <f>VLOOKUP(A650,Metrik!$C$2:$Y$959,8,0)</f>
        <v>6.2</v>
      </c>
      <c r="I650" s="20">
        <f>VLOOKUP(A650,Metrik!$C$2:$Y$959,9,0)</f>
        <v>0.81</v>
      </c>
      <c r="J650" s="20">
        <f>VLOOKUP(A650,Metrik!$C$2:$Y$959,10,0)</f>
        <v>13.1</v>
      </c>
      <c r="K650" s="20">
        <f>VLOOKUP(A650,Metrik!$C$2:$Y$959,11,0)</f>
        <v>6.6</v>
      </c>
      <c r="L650" s="20">
        <f>VLOOKUP(A650,Metrik!$C$2:$Y$959,12,0)</f>
        <v>1</v>
      </c>
      <c r="M650" s="20">
        <f>VLOOKUP(A650,Metrik!$C$2:$Y$959,19,0)</f>
        <v>19.9</v>
      </c>
      <c r="N650" s="21"/>
      <c r="O650" s="21"/>
      <c r="P650" s="21"/>
      <c r="Q650" s="21"/>
      <c r="R650" s="21"/>
      <c r="S650" s="21"/>
      <c r="T650" s="21"/>
      <c r="U650" s="22">
        <f>IFERROR(__xludf.DUMMYFUNCTION("IFERROR(GOOGLEFINANCE(A650,""closeyest""),"""")"),2.24)</f>
        <v>2.24</v>
      </c>
      <c r="V650" s="23">
        <f>IFERROR(__xludf.DUMMYFUNCTION("IFERROR(GOOGLEFINANCE(A650,""changepct""),"""")"),0.0)</f>
        <v>0</v>
      </c>
      <c r="W650" s="22" t="str">
        <f>IFERROR(__xludf.DUMMYFUNCTION("IFERROR(GOOGLEFINANCE(A650,""priceopen""),"""")"),"")</f>
        <v/>
      </c>
      <c r="X650" s="22" t="str">
        <f>IFERROR(__xludf.DUMMYFUNCTION("IFERROR(GOOGLEFINANCE(A650,""high""),"""")"),"")</f>
        <v/>
      </c>
      <c r="Y650" s="22" t="str">
        <f>IFERROR(__xludf.DUMMYFUNCTION("IFERROR(GOOGLEFINANCE(A650,""low""),"""")"),"")</f>
        <v/>
      </c>
      <c r="Z650" s="22">
        <f>IFERROR(__xludf.DUMMYFUNCTION("IFERROR(GOOGLEFINANCE(A650,""volume""),"""")"),0.0)</f>
        <v>0</v>
      </c>
      <c r="AA650" s="24" t="str">
        <f>VLOOKUP(A650,Metrik!$C$2:$Y$959,5,0)</f>
        <v>Oil, Gas &amp; Coal Supports</v>
      </c>
      <c r="AB650" s="24" t="str">
        <f>VLOOKUP(A650,Metrik!$C$2:$Y$959,3,0)</f>
        <v>Energy</v>
      </c>
    </row>
    <row r="651">
      <c r="A651" s="17" t="s">
        <v>360</v>
      </c>
      <c r="B651" s="14" t="str">
        <f t="array" ref="B651">VLOOKUP(A651,{Metrik!$C$2:$C$998,Metrik!$B$2:$B$998},2,0)</f>
        <v>Elnusa Tbk.</v>
      </c>
      <c r="C651" s="15">
        <f>IFERROR(__xludf.DUMMYFUNCTION("GOOGLEFINANCE(""IDX:""&amp;A651,""price"")"),620.0)</f>
        <v>620</v>
      </c>
      <c r="D651" s="16" t="str">
        <f>IFERROR(__xludf.DUMMYFUNCTION("IF(A651="""","""",
SPARKLINE(
INDEX(
GOOGLEFINANCE(""IDX:""&amp;A651,""close"",TODAY()-365,TODAY()),
,2
),
{""linewidth"",1}
))
"),"#N/A")</f>
        <v>#N/A</v>
      </c>
      <c r="E651" s="14" t="s">
        <v>85</v>
      </c>
      <c r="F651" s="17" t="s">
        <v>51</v>
      </c>
      <c r="G651" s="24">
        <f t="shared" si="5"/>
        <v>10</v>
      </c>
      <c r="H651" s="19">
        <f>VLOOKUP(A651,Metrik!$C$2:$Y$959,8,0)</f>
        <v>6.2</v>
      </c>
      <c r="I651" s="20">
        <f>VLOOKUP(A651,Metrik!$C$2:$Y$959,9,0)</f>
        <v>0.81</v>
      </c>
      <c r="J651" s="20">
        <f>VLOOKUP(A651,Metrik!$C$2:$Y$959,10,0)</f>
        <v>13.1</v>
      </c>
      <c r="K651" s="20">
        <f>VLOOKUP(A651,Metrik!$C$2:$Y$959,11,0)</f>
        <v>6.6</v>
      </c>
      <c r="L651" s="20">
        <f>VLOOKUP(A651,Metrik!$C$2:$Y$959,12,0)</f>
        <v>1</v>
      </c>
      <c r="M651" s="20">
        <f>VLOOKUP(A651,Metrik!$C$2:$Y$959,19,0)</f>
        <v>19.9</v>
      </c>
      <c r="N651" s="21"/>
      <c r="O651" s="21"/>
      <c r="P651" s="21"/>
      <c r="Q651" s="21"/>
      <c r="R651" s="21"/>
      <c r="S651" s="21"/>
      <c r="T651" s="21"/>
      <c r="U651" s="22">
        <f>IFERROR(__xludf.DUMMYFUNCTION("IFERROR(GOOGLEFINANCE(A651,""closeyest""),"""")"),2.24)</f>
        <v>2.24</v>
      </c>
      <c r="V651" s="23">
        <f>IFERROR(__xludf.DUMMYFUNCTION("IFERROR(GOOGLEFINANCE(A651,""changepct""),"""")"),0.0)</f>
        <v>0</v>
      </c>
      <c r="W651" s="22" t="str">
        <f>IFERROR(__xludf.DUMMYFUNCTION("IFERROR(GOOGLEFINANCE(A651,""priceopen""),"""")"),"")</f>
        <v/>
      </c>
      <c r="X651" s="22" t="str">
        <f>IFERROR(__xludf.DUMMYFUNCTION("IFERROR(GOOGLEFINANCE(A651,""high""),"""")"),"")</f>
        <v/>
      </c>
      <c r="Y651" s="22" t="str">
        <f>IFERROR(__xludf.DUMMYFUNCTION("IFERROR(GOOGLEFINANCE(A651,""low""),"""")"),"")</f>
        <v/>
      </c>
      <c r="Z651" s="22">
        <f>IFERROR(__xludf.DUMMYFUNCTION("IFERROR(GOOGLEFINANCE(A651,""volume""),"""")"),0.0)</f>
        <v>0</v>
      </c>
      <c r="AA651" s="24" t="str">
        <f>VLOOKUP(A651,Metrik!$C$2:$Y$959,5,0)</f>
        <v>Oil, Gas &amp; Coal Supports</v>
      </c>
      <c r="AB651" s="24" t="str">
        <f>VLOOKUP(A651,Metrik!$C$2:$Y$959,3,0)</f>
        <v>Energy</v>
      </c>
    </row>
    <row r="652">
      <c r="A652" s="14" t="s">
        <v>360</v>
      </c>
      <c r="B652" s="14" t="str">
        <f t="array" ref="B652">VLOOKUP(A652,{Metrik!$C$2:$C$998,Metrik!$B$2:$B$998},2,0)</f>
        <v>Elnusa Tbk.</v>
      </c>
      <c r="C652" s="15">
        <f>IFERROR(__xludf.DUMMYFUNCTION("GOOGLEFINANCE(""IDX:""&amp;A652,""price"")"),620.0)</f>
        <v>620</v>
      </c>
      <c r="D652" s="16" t="str">
        <f>IFERROR(__xludf.DUMMYFUNCTION("IF(A652="""","""",
SPARKLINE(
INDEX(
GOOGLEFINANCE(""IDX:""&amp;A652,""close"",TODAY()-365,TODAY()),
,2
),
{""linewidth"",1}
))
"),"#N/A")</f>
        <v>#N/A</v>
      </c>
      <c r="E652" s="14" t="s">
        <v>39</v>
      </c>
      <c r="F652" s="25">
        <v>46356.0</v>
      </c>
      <c r="G652" s="24">
        <f t="shared" si="5"/>
        <v>10</v>
      </c>
      <c r="H652" s="19">
        <f>VLOOKUP(A652,Metrik!$C$2:$Y$959,8,0)</f>
        <v>6.2</v>
      </c>
      <c r="I652" s="20">
        <f>VLOOKUP(A652,Metrik!$C$2:$Y$959,9,0)</f>
        <v>0.81</v>
      </c>
      <c r="J652" s="20">
        <f>VLOOKUP(A652,Metrik!$C$2:$Y$959,10,0)</f>
        <v>13.1</v>
      </c>
      <c r="K652" s="20">
        <f>VLOOKUP(A652,Metrik!$C$2:$Y$959,11,0)</f>
        <v>6.6</v>
      </c>
      <c r="L652" s="20">
        <f>VLOOKUP(A652,Metrik!$C$2:$Y$959,12,0)</f>
        <v>1</v>
      </c>
      <c r="M652" s="20">
        <f>VLOOKUP(A652,Metrik!$C$2:$Y$959,19,0)</f>
        <v>19.9</v>
      </c>
      <c r="N652" s="21"/>
      <c r="O652" s="21"/>
      <c r="P652" s="21"/>
      <c r="Q652" s="21"/>
      <c r="R652" s="21"/>
      <c r="S652" s="21"/>
      <c r="T652" s="21"/>
      <c r="U652" s="22">
        <f>IFERROR(__xludf.DUMMYFUNCTION("IFERROR(GOOGLEFINANCE(A652,""closeyest""),"""")"),2.24)</f>
        <v>2.24</v>
      </c>
      <c r="V652" s="23">
        <f>IFERROR(__xludf.DUMMYFUNCTION("IFERROR(GOOGLEFINANCE(A652,""changepct""),"""")"),0.0)</f>
        <v>0</v>
      </c>
      <c r="W652" s="22" t="str">
        <f>IFERROR(__xludf.DUMMYFUNCTION("IFERROR(GOOGLEFINANCE(A652,""priceopen""),"""")"),"")</f>
        <v/>
      </c>
      <c r="X652" s="22" t="str">
        <f>IFERROR(__xludf.DUMMYFUNCTION("IFERROR(GOOGLEFINANCE(A652,""high""),"""")"),"")</f>
        <v/>
      </c>
      <c r="Y652" s="22" t="str">
        <f>IFERROR(__xludf.DUMMYFUNCTION("IFERROR(GOOGLEFINANCE(A652,""low""),"""")"),"")</f>
        <v/>
      </c>
      <c r="Z652" s="22">
        <f>IFERROR(__xludf.DUMMYFUNCTION("IFERROR(GOOGLEFINANCE(A652,""volume""),"""")"),0.0)</f>
        <v>0</v>
      </c>
      <c r="AA652" s="24" t="str">
        <f>VLOOKUP(A652,Metrik!$C$2:$Y$959,5,0)</f>
        <v>Oil, Gas &amp; Coal Supports</v>
      </c>
      <c r="AB652" s="24" t="str">
        <f>VLOOKUP(A652,Metrik!$C$2:$Y$959,3,0)</f>
        <v>Energy</v>
      </c>
    </row>
    <row r="653">
      <c r="A653" s="14" t="s">
        <v>361</v>
      </c>
      <c r="B653" s="14" t="str">
        <f t="array" ref="B653">VLOOKUP(A653,{Metrik!$C$2:$C$998,Metrik!$B$2:$B$998},2,0)</f>
        <v>Bakrieland Development Tbk.</v>
      </c>
      <c r="C653" s="15">
        <f>IFERROR(__xludf.DUMMYFUNCTION("GOOGLEFINANCE(""IDX:""&amp;A653,""price"")"),26.0)</f>
        <v>26</v>
      </c>
      <c r="D653" s="16" t="str">
        <f>IFERROR(__xludf.DUMMYFUNCTION("IF(A653="""","""",
SPARKLINE(
INDEX(
GOOGLEFINANCE(""IDX:""&amp;A653,""close"",TODAY()-365,TODAY()),
,2
),
{""linewidth"",1}
))
"),"#N/A")</f>
        <v>#N/A</v>
      </c>
      <c r="E653" s="26"/>
      <c r="F653" s="26"/>
      <c r="G653" s="24">
        <f t="shared" si="5"/>
        <v>0</v>
      </c>
      <c r="H653" s="19">
        <f>VLOOKUP(A653,Metrik!$C$2:$Y$959,8,0)</f>
        <v>220</v>
      </c>
      <c r="I653" s="20">
        <f>VLOOKUP(A653,Metrik!$C$2:$Y$959,9,0)</f>
        <v>0.23</v>
      </c>
      <c r="J653" s="20">
        <f>VLOOKUP(A653,Metrik!$C$2:$Y$959,10,0)</f>
        <v>0.1</v>
      </c>
      <c r="K653" s="20">
        <f>VLOOKUP(A653,Metrik!$C$2:$Y$959,11,0)</f>
        <v>0.07</v>
      </c>
      <c r="L653" s="20">
        <f>VLOOKUP(A653,Metrik!$C$2:$Y$959,12,0)</f>
        <v>0.44</v>
      </c>
      <c r="M653" s="20">
        <f>VLOOKUP(A653,Metrik!$C$2:$Y$959,19,0)</f>
        <v>1.8</v>
      </c>
      <c r="N653" s="21"/>
      <c r="O653" s="21"/>
      <c r="P653" s="21"/>
      <c r="Q653" s="21"/>
      <c r="R653" s="21"/>
      <c r="S653" s="21"/>
      <c r="T653" s="21"/>
      <c r="U653" s="22">
        <f>IFERROR(__xludf.DUMMYFUNCTION("IFERROR(GOOGLEFINANCE(A653,""closeyest""),"""")"),24.0)</f>
        <v>24</v>
      </c>
      <c r="V653" s="23">
        <f>IFERROR(__xludf.DUMMYFUNCTION("IFERROR(GOOGLEFINANCE(A653,""changepct""),"""")"),8.33)</f>
        <v>8.33</v>
      </c>
      <c r="W653" s="22">
        <f>IFERROR(__xludf.DUMMYFUNCTION("IFERROR(GOOGLEFINANCE(A653,""priceopen""),"""")"),24.0)</f>
        <v>24</v>
      </c>
      <c r="X653" s="22">
        <f>IFERROR(__xludf.DUMMYFUNCTION("IFERROR(GOOGLEFINANCE(A653,""high""),"""")"),26.0)</f>
        <v>26</v>
      </c>
      <c r="Y653" s="22">
        <f>IFERROR(__xludf.DUMMYFUNCTION("IFERROR(GOOGLEFINANCE(A653,""low""),"""")"),24.0)</f>
        <v>24</v>
      </c>
      <c r="Z653" s="22">
        <f>IFERROR(__xludf.DUMMYFUNCTION("IFERROR(GOOGLEFINANCE(A653,""volume""),"""")"),9.76537E7)</f>
        <v>97653700</v>
      </c>
      <c r="AA653" s="24" t="str">
        <f>VLOOKUP(A653,Metrik!$C$2:$Y$959,5,0)</f>
        <v>Real Estate Management &amp; Development</v>
      </c>
      <c r="AB653" s="24" t="str">
        <f>VLOOKUP(A653,Metrik!$C$2:$Y$959,3,0)</f>
        <v>Properties &amp; Real Estate</v>
      </c>
    </row>
    <row r="654">
      <c r="A654" s="14" t="s">
        <v>362</v>
      </c>
      <c r="B654" s="14" t="str">
        <f t="array" ref="B654">VLOOKUP(A654,{Metrik!$C$2:$C$998,Metrik!$B$2:$B$998},2,0)</f>
        <v>Merdeka Gold Resources Tbk.</v>
      </c>
      <c r="C654" s="15">
        <f>IFERROR(__xludf.DUMMYFUNCTION("GOOGLEFINANCE(""IDX:""&amp;A654,""price"")"),6975.0)</f>
        <v>6975</v>
      </c>
      <c r="D654" s="16" t="str">
        <f>IFERROR(__xludf.DUMMYFUNCTION("IF(A654="""","""",
SPARKLINE(
INDEX(
GOOGLEFINANCE(""IDX:""&amp;A654,""close"",TODAY()-365,TODAY()),
,2
),
{""linewidth"",1}
))
"),"#N/A")</f>
        <v>#N/A</v>
      </c>
      <c r="E654" s="26"/>
      <c r="F654" s="26"/>
      <c r="G654" s="24">
        <f t="shared" si="5"/>
        <v>0</v>
      </c>
      <c r="H654" s="19">
        <f>VLOOKUP(A654,Metrik!$C$2:$Y$959,8,0)</f>
        <v>-250</v>
      </c>
      <c r="I654" s="20">
        <f>VLOOKUP(A654,Metrik!$C$2:$Y$959,9,0)</f>
        <v>18</v>
      </c>
      <c r="J654" s="20">
        <f>VLOOKUP(A654,Metrik!$C$2:$Y$959,10,0)</f>
        <v>-7.2</v>
      </c>
      <c r="K654" s="20">
        <f>VLOOKUP(A654,Metrik!$C$2:$Y$959,11,0)</f>
        <v>-3.7</v>
      </c>
      <c r="L654" s="20">
        <f>VLOOKUP(A654,Metrik!$C$2:$Y$959,12,0)</f>
        <v>0.94</v>
      </c>
      <c r="M654" s="20">
        <f>VLOOKUP(A654,Metrik!$C$2:$Y$959,19,0)</f>
        <v>-21000</v>
      </c>
      <c r="N654" s="21"/>
      <c r="O654" s="21"/>
      <c r="P654" s="21"/>
      <c r="Q654" s="21"/>
      <c r="R654" s="21"/>
      <c r="S654" s="21"/>
      <c r="T654" s="21"/>
      <c r="U654" s="22">
        <f>IFERROR(__xludf.DUMMYFUNCTION("IFERROR(GOOGLEFINANCE(A654,""closeyest""),"""")"),98.12)</f>
        <v>98.12</v>
      </c>
      <c r="V654" s="23">
        <f>IFERROR(__xludf.DUMMYFUNCTION("IFERROR(GOOGLEFINANCE(A654,""changepct""),"""")"),0.0)</f>
        <v>0</v>
      </c>
      <c r="W654" s="22" t="str">
        <f>IFERROR(__xludf.DUMMYFUNCTION("IFERROR(GOOGLEFINANCE(A654,""priceopen""),"""")"),"")</f>
        <v/>
      </c>
      <c r="X654" s="22" t="str">
        <f>IFERROR(__xludf.DUMMYFUNCTION("IFERROR(GOOGLEFINANCE(A654,""high""),"""")"),"")</f>
        <v/>
      </c>
      <c r="Y654" s="22" t="str">
        <f>IFERROR(__xludf.DUMMYFUNCTION("IFERROR(GOOGLEFINANCE(A654,""low""),"""")"),"")</f>
        <v/>
      </c>
      <c r="Z654" s="22">
        <f>IFERROR(__xludf.DUMMYFUNCTION("IFERROR(GOOGLEFINANCE(A654,""volume""),"""")"),0.0)</f>
        <v>0</v>
      </c>
      <c r="AA654" s="24" t="str">
        <f>VLOOKUP(A654,Metrik!$C$2:$Y$959,5,0)</f>
        <v>Metals &amp; Minerals</v>
      </c>
      <c r="AB654" s="24" t="str">
        <f>VLOOKUP(A654,Metrik!$C$2:$Y$959,3,0)</f>
        <v>Basic Materials</v>
      </c>
    </row>
    <row r="655">
      <c r="A655" s="14" t="s">
        <v>363</v>
      </c>
      <c r="B655" s="14" t="str">
        <f t="array" ref="B655">VLOOKUP(A655,{Metrik!$C$2:$C$998,Metrik!$B$2:$B$998},2,0)</f>
        <v>Megapolitan Developments Tbk.</v>
      </c>
      <c r="C655" s="15">
        <f>IFERROR(__xludf.DUMMYFUNCTION("GOOGLEFINANCE(""IDX:""&amp;A655,""price"")"),55.0)</f>
        <v>55</v>
      </c>
      <c r="D655" s="16" t="str">
        <f>IFERROR(__xludf.DUMMYFUNCTION("IF(A655="""","""",
SPARKLINE(
INDEX(
GOOGLEFINANCE(""IDX:""&amp;A655,""close"",TODAY()-365,TODAY()),
,2
),
{""linewidth"",1}
))
"),"#N/A")</f>
        <v>#N/A</v>
      </c>
      <c r="E655" s="26"/>
      <c r="F655" s="26"/>
      <c r="G655" s="24">
        <f t="shared" si="5"/>
        <v>0</v>
      </c>
      <c r="H655" s="19">
        <f>VLOOKUP(A655,Metrik!$C$2:$Y$959,8,0)</f>
        <v>-2.6</v>
      </c>
      <c r="I655" s="20">
        <f>VLOOKUP(A655,Metrik!$C$2:$Y$959,9,0)</f>
        <v>0.1</v>
      </c>
      <c r="J655" s="20">
        <f>VLOOKUP(A655,Metrik!$C$2:$Y$959,10,0)</f>
        <v>-3.8</v>
      </c>
      <c r="K655" s="20">
        <f>VLOOKUP(A655,Metrik!$C$2:$Y$959,11,0)</f>
        <v>-2.5</v>
      </c>
      <c r="L655" s="20">
        <f>VLOOKUP(A655,Metrik!$C$2:$Y$959,12,0)</f>
        <v>0.53</v>
      </c>
      <c r="M655" s="20">
        <f>VLOOKUP(A655,Metrik!$C$2:$Y$959,19,0)</f>
        <v>-180</v>
      </c>
      <c r="N655" s="21"/>
      <c r="O655" s="21"/>
      <c r="P655" s="21"/>
      <c r="Q655" s="21"/>
      <c r="R655" s="21"/>
      <c r="S655" s="21"/>
      <c r="T655" s="21"/>
      <c r="U655" s="22">
        <f>IFERROR(__xludf.DUMMYFUNCTION("IFERROR(GOOGLEFINANCE(A655,""closeyest""),"""")"),56.0)</f>
        <v>56</v>
      </c>
      <c r="V655" s="23">
        <f>IFERROR(__xludf.DUMMYFUNCTION("IFERROR(GOOGLEFINANCE(A655,""changepct""),"""")"),-1.79)</f>
        <v>-1.79</v>
      </c>
      <c r="W655" s="22">
        <f>IFERROR(__xludf.DUMMYFUNCTION("IFERROR(GOOGLEFINANCE(A655,""priceopen""),"""")"),55.0)</f>
        <v>55</v>
      </c>
      <c r="X655" s="22">
        <f>IFERROR(__xludf.DUMMYFUNCTION("IFERROR(GOOGLEFINANCE(A655,""high""),"""")"),57.0)</f>
        <v>57</v>
      </c>
      <c r="Y655" s="22">
        <f>IFERROR(__xludf.DUMMYFUNCTION("IFERROR(GOOGLEFINANCE(A655,""low""),"""")"),53.0)</f>
        <v>53</v>
      </c>
      <c r="Z655" s="22" t="str">
        <f>IFERROR(__xludf.DUMMYFUNCTION("IFERROR(GOOGLEFINANCE(A655,""volume""),"""")"),"")</f>
        <v/>
      </c>
      <c r="AA655" s="24" t="str">
        <f>VLOOKUP(A655,Metrik!$C$2:$Y$959,5,0)</f>
        <v>Real Estate Management &amp; Development</v>
      </c>
      <c r="AB655" s="24" t="str">
        <f>VLOOKUP(A655,Metrik!$C$2:$Y$959,3,0)</f>
        <v>Properties &amp; Real Estate</v>
      </c>
    </row>
    <row r="656">
      <c r="A656" s="14" t="s">
        <v>364</v>
      </c>
      <c r="B656" s="14" t="str">
        <f t="array" ref="B656">VLOOKUP(A656,{Metrik!$C$2:$C$998,Metrik!$B$2:$B$998},2,0)</f>
        <v>Elang Mahkota Teknologi Tbk.</v>
      </c>
      <c r="C656" s="15">
        <f>IFERROR(__xludf.DUMMYFUNCTION("GOOGLEFINANCE(""IDX:""&amp;A656,""price"")"),550.0)</f>
        <v>550</v>
      </c>
      <c r="D656" s="16" t="str">
        <f>IFERROR(__xludf.DUMMYFUNCTION("IF(A656="""","""",
SPARKLINE(
INDEX(
GOOGLEFINANCE(""IDX:""&amp;A656,""close"",TODAY()-365,TODAY()),
,2
),
{""linewidth"",1}
))
"),"#N/A")</f>
        <v>#N/A</v>
      </c>
      <c r="E656" s="14" t="s">
        <v>47</v>
      </c>
      <c r="F656" s="25">
        <v>46356.0</v>
      </c>
      <c r="G656" s="18">
        <f t="shared" si="5"/>
        <v>13</v>
      </c>
      <c r="H656" s="19">
        <f>VLOOKUP(A656,Metrik!$C$2:$Y$959,8,0)</f>
        <v>13.4</v>
      </c>
      <c r="I656" s="20">
        <f>VLOOKUP(A656,Metrik!$C$2:$Y$959,9,0)</f>
        <v>0.72</v>
      </c>
      <c r="J656" s="20">
        <f>VLOOKUP(A656,Metrik!$C$2:$Y$959,10,0)</f>
        <v>5.4</v>
      </c>
      <c r="K656" s="20">
        <f>VLOOKUP(A656,Metrik!$C$2:$Y$959,11,0)</f>
        <v>4.7</v>
      </c>
      <c r="L656" s="20">
        <f>VLOOKUP(A656,Metrik!$C$2:$Y$959,12,0)</f>
        <v>0.14</v>
      </c>
      <c r="M656" s="20">
        <f>VLOOKUP(A656,Metrik!$C$2:$Y$959,19,0)</f>
        <v>48.5</v>
      </c>
      <c r="N656" s="21"/>
      <c r="O656" s="21"/>
      <c r="P656" s="21"/>
      <c r="Q656" s="21"/>
      <c r="R656" s="21"/>
      <c r="S656" s="21"/>
      <c r="T656" s="21"/>
      <c r="U656" s="22">
        <f>IFERROR(__xludf.DUMMYFUNCTION("IFERROR(GOOGLEFINANCE(A656,""closeyest""),"""")"),525.0)</f>
        <v>525</v>
      </c>
      <c r="V656" s="23">
        <f>IFERROR(__xludf.DUMMYFUNCTION("IFERROR(GOOGLEFINANCE(A656,""changepct""),"""")"),4.76)</f>
        <v>4.76</v>
      </c>
      <c r="W656" s="22">
        <f>IFERROR(__xludf.DUMMYFUNCTION("IFERROR(GOOGLEFINANCE(A656,""priceopen""),"""")"),530.0)</f>
        <v>530</v>
      </c>
      <c r="X656" s="22">
        <f>IFERROR(__xludf.DUMMYFUNCTION("IFERROR(GOOGLEFINANCE(A656,""high""),"""")"),570.0)</f>
        <v>570</v>
      </c>
      <c r="Y656" s="22">
        <f>IFERROR(__xludf.DUMMYFUNCTION("IFERROR(GOOGLEFINANCE(A656,""low""),"""")"),530.0)</f>
        <v>530</v>
      </c>
      <c r="Z656" s="22">
        <f>IFERROR(__xludf.DUMMYFUNCTION("IFERROR(GOOGLEFINANCE(A656,""volume""),"""")"),3.41989E7)</f>
        <v>34198900</v>
      </c>
      <c r="AA656" s="24" t="str">
        <f>VLOOKUP(A656,Metrik!$C$2:$Y$959,5,0)</f>
        <v>Online Applications &amp; Services</v>
      </c>
      <c r="AB656" s="24" t="str">
        <f>VLOOKUP(A656,Metrik!$C$2:$Y$959,3,0)</f>
        <v>Technology</v>
      </c>
    </row>
    <row r="657">
      <c r="A657" s="14" t="s">
        <v>364</v>
      </c>
      <c r="B657" s="14" t="str">
        <f t="array" ref="B657">VLOOKUP(A657,{Metrik!$C$2:$C$998,Metrik!$B$2:$B$998},2,0)</f>
        <v>Elang Mahkota Teknologi Tbk.</v>
      </c>
      <c r="C657" s="15">
        <f>IFERROR(__xludf.DUMMYFUNCTION("GOOGLEFINANCE(""IDX:""&amp;A657,""price"")"),550.0)</f>
        <v>550</v>
      </c>
      <c r="D657" s="16" t="str">
        <f>IFERROR(__xludf.DUMMYFUNCTION("IF(A657="""","""",
SPARKLINE(
INDEX(
GOOGLEFINANCE(""IDX:""&amp;A657,""close"",TODAY()-365,TODAY()),
,2
),
{""linewidth"",1}
))
"),"#N/A")</f>
        <v>#N/A</v>
      </c>
      <c r="E657" s="14" t="s">
        <v>55</v>
      </c>
      <c r="F657" s="25">
        <v>46356.0</v>
      </c>
      <c r="G657" s="18">
        <f t="shared" si="5"/>
        <v>13</v>
      </c>
      <c r="H657" s="19">
        <f>VLOOKUP(A657,Metrik!$C$2:$Y$959,8,0)</f>
        <v>13.4</v>
      </c>
      <c r="I657" s="20">
        <f>VLOOKUP(A657,Metrik!$C$2:$Y$959,9,0)</f>
        <v>0.72</v>
      </c>
      <c r="J657" s="20">
        <f>VLOOKUP(A657,Metrik!$C$2:$Y$959,10,0)</f>
        <v>5.4</v>
      </c>
      <c r="K657" s="20">
        <f>VLOOKUP(A657,Metrik!$C$2:$Y$959,11,0)</f>
        <v>4.7</v>
      </c>
      <c r="L657" s="20">
        <f>VLOOKUP(A657,Metrik!$C$2:$Y$959,12,0)</f>
        <v>0.14</v>
      </c>
      <c r="M657" s="20">
        <f>VLOOKUP(A657,Metrik!$C$2:$Y$959,19,0)</f>
        <v>48.5</v>
      </c>
      <c r="N657" s="21"/>
      <c r="O657" s="21"/>
      <c r="P657" s="21"/>
      <c r="Q657" s="21"/>
      <c r="R657" s="21"/>
      <c r="S657" s="21"/>
      <c r="T657" s="21"/>
      <c r="U657" s="22">
        <f>IFERROR(__xludf.DUMMYFUNCTION("IFERROR(GOOGLEFINANCE(A657,""closeyest""),"""")"),525.0)</f>
        <v>525</v>
      </c>
      <c r="V657" s="23">
        <f>IFERROR(__xludf.DUMMYFUNCTION("IFERROR(GOOGLEFINANCE(A657,""changepct""),"""")"),4.76)</f>
        <v>4.76</v>
      </c>
      <c r="W657" s="22">
        <f>IFERROR(__xludf.DUMMYFUNCTION("IFERROR(GOOGLEFINANCE(A657,""priceopen""),"""")"),530.0)</f>
        <v>530</v>
      </c>
      <c r="X657" s="22">
        <f>IFERROR(__xludf.DUMMYFUNCTION("IFERROR(GOOGLEFINANCE(A657,""high""),"""")"),570.0)</f>
        <v>570</v>
      </c>
      <c r="Y657" s="22">
        <f>IFERROR(__xludf.DUMMYFUNCTION("IFERROR(GOOGLEFINANCE(A657,""low""),"""")"),530.0)</f>
        <v>530</v>
      </c>
      <c r="Z657" s="22">
        <f>IFERROR(__xludf.DUMMYFUNCTION("IFERROR(GOOGLEFINANCE(A657,""volume""),"""")"),3.41989E7)</f>
        <v>34198900</v>
      </c>
      <c r="AA657" s="24" t="str">
        <f>VLOOKUP(A657,Metrik!$C$2:$Y$959,5,0)</f>
        <v>Online Applications &amp; Services</v>
      </c>
      <c r="AB657" s="24" t="str">
        <f>VLOOKUP(A657,Metrik!$C$2:$Y$959,3,0)</f>
        <v>Technology</v>
      </c>
    </row>
    <row r="658">
      <c r="A658" s="14" t="s">
        <v>364</v>
      </c>
      <c r="B658" s="14" t="str">
        <f t="array" ref="B658">VLOOKUP(A658,{Metrik!$C$2:$C$998,Metrik!$B$2:$B$998},2,0)</f>
        <v>Elang Mahkota Teknologi Tbk.</v>
      </c>
      <c r="C658" s="15">
        <f>IFERROR(__xludf.DUMMYFUNCTION("GOOGLEFINANCE(""IDX:""&amp;A658,""price"")"),550.0)</f>
        <v>550</v>
      </c>
      <c r="D658" s="16" t="str">
        <f>IFERROR(__xludf.DUMMYFUNCTION("IF(A658="""","""",
SPARKLINE(
INDEX(
GOOGLEFINANCE(""IDX:""&amp;A658,""close"",TODAY()-365,TODAY()),
,2
),
{""linewidth"",1}
))
"),"#N/A")</f>
        <v>#N/A</v>
      </c>
      <c r="E658" s="14" t="s">
        <v>28</v>
      </c>
      <c r="F658" s="17" t="s">
        <v>29</v>
      </c>
      <c r="G658" s="18">
        <f t="shared" si="5"/>
        <v>13</v>
      </c>
      <c r="H658" s="19">
        <f>VLOOKUP(A658,Metrik!$C$2:$Y$959,8,0)</f>
        <v>13.4</v>
      </c>
      <c r="I658" s="20">
        <f>VLOOKUP(A658,Metrik!$C$2:$Y$959,9,0)</f>
        <v>0.72</v>
      </c>
      <c r="J658" s="20">
        <f>VLOOKUP(A658,Metrik!$C$2:$Y$959,10,0)</f>
        <v>5.4</v>
      </c>
      <c r="K658" s="20">
        <f>VLOOKUP(A658,Metrik!$C$2:$Y$959,11,0)</f>
        <v>4.7</v>
      </c>
      <c r="L658" s="20">
        <f>VLOOKUP(A658,Metrik!$C$2:$Y$959,12,0)</f>
        <v>0.14</v>
      </c>
      <c r="M658" s="20">
        <f>VLOOKUP(A658,Metrik!$C$2:$Y$959,19,0)</f>
        <v>48.5</v>
      </c>
      <c r="N658" s="21"/>
      <c r="O658" s="21"/>
      <c r="P658" s="21"/>
      <c r="Q658" s="21"/>
      <c r="R658" s="21"/>
      <c r="S658" s="21"/>
      <c r="T658" s="21"/>
      <c r="U658" s="22">
        <f>IFERROR(__xludf.DUMMYFUNCTION("IFERROR(GOOGLEFINANCE(A658,""closeyest""),"""")"),525.0)</f>
        <v>525</v>
      </c>
      <c r="V658" s="23">
        <f>IFERROR(__xludf.DUMMYFUNCTION("IFERROR(GOOGLEFINANCE(A658,""changepct""),"""")"),4.76)</f>
        <v>4.76</v>
      </c>
      <c r="W658" s="22">
        <f>IFERROR(__xludf.DUMMYFUNCTION("IFERROR(GOOGLEFINANCE(A658,""priceopen""),"""")"),530.0)</f>
        <v>530</v>
      </c>
      <c r="X658" s="22">
        <f>IFERROR(__xludf.DUMMYFUNCTION("IFERROR(GOOGLEFINANCE(A658,""high""),"""")"),570.0)</f>
        <v>570</v>
      </c>
      <c r="Y658" s="22">
        <f>IFERROR(__xludf.DUMMYFUNCTION("IFERROR(GOOGLEFINANCE(A658,""low""),"""")"),530.0)</f>
        <v>530</v>
      </c>
      <c r="Z658" s="22">
        <f>IFERROR(__xludf.DUMMYFUNCTION("IFERROR(GOOGLEFINANCE(A658,""volume""),"""")"),3.41989E7)</f>
        <v>34198900</v>
      </c>
      <c r="AA658" s="24" t="str">
        <f>VLOOKUP(A658,Metrik!$C$2:$Y$959,5,0)</f>
        <v>Online Applications &amp; Services</v>
      </c>
      <c r="AB658" s="24" t="str">
        <f>VLOOKUP(A658,Metrik!$C$2:$Y$959,3,0)</f>
        <v>Technology</v>
      </c>
    </row>
    <row r="659">
      <c r="A659" s="14" t="s">
        <v>364</v>
      </c>
      <c r="B659" s="14" t="str">
        <f t="array" ref="B659">VLOOKUP(A659,{Metrik!$C$2:$C$998,Metrik!$B$2:$B$998},2,0)</f>
        <v>Elang Mahkota Teknologi Tbk.</v>
      </c>
      <c r="C659" s="15">
        <f>IFERROR(__xludf.DUMMYFUNCTION("GOOGLEFINANCE(""IDX:""&amp;A659,""price"")"),550.0)</f>
        <v>550</v>
      </c>
      <c r="D659" s="16" t="str">
        <f>IFERROR(__xludf.DUMMYFUNCTION("IF(A659="""","""",
SPARKLINE(
INDEX(
GOOGLEFINANCE(""IDX:""&amp;A659,""close"",TODAY()-365,TODAY()),
,2
),
{""linewidth"",1}
))
"),"#N/A")</f>
        <v>#N/A</v>
      </c>
      <c r="E659" s="14" t="s">
        <v>31</v>
      </c>
      <c r="F659" s="17" t="s">
        <v>29</v>
      </c>
      <c r="G659" s="18">
        <f t="shared" si="5"/>
        <v>13</v>
      </c>
      <c r="H659" s="19">
        <f>VLOOKUP(A659,Metrik!$C$2:$Y$959,8,0)</f>
        <v>13.4</v>
      </c>
      <c r="I659" s="20">
        <f>VLOOKUP(A659,Metrik!$C$2:$Y$959,9,0)</f>
        <v>0.72</v>
      </c>
      <c r="J659" s="20">
        <f>VLOOKUP(A659,Metrik!$C$2:$Y$959,10,0)</f>
        <v>5.4</v>
      </c>
      <c r="K659" s="20">
        <f>VLOOKUP(A659,Metrik!$C$2:$Y$959,11,0)</f>
        <v>4.7</v>
      </c>
      <c r="L659" s="20">
        <f>VLOOKUP(A659,Metrik!$C$2:$Y$959,12,0)</f>
        <v>0.14</v>
      </c>
      <c r="M659" s="20">
        <f>VLOOKUP(A659,Metrik!$C$2:$Y$959,19,0)</f>
        <v>48.5</v>
      </c>
      <c r="N659" s="21"/>
      <c r="O659" s="21"/>
      <c r="P659" s="21"/>
      <c r="Q659" s="21"/>
      <c r="R659" s="21"/>
      <c r="S659" s="21"/>
      <c r="T659" s="21"/>
      <c r="U659" s="22">
        <f>IFERROR(__xludf.DUMMYFUNCTION("IFERROR(GOOGLEFINANCE(A659,""closeyest""),"""")"),525.0)</f>
        <v>525</v>
      </c>
      <c r="V659" s="23">
        <f>IFERROR(__xludf.DUMMYFUNCTION("IFERROR(GOOGLEFINANCE(A659,""changepct""),"""")"),4.76)</f>
        <v>4.76</v>
      </c>
      <c r="W659" s="22">
        <f>IFERROR(__xludf.DUMMYFUNCTION("IFERROR(GOOGLEFINANCE(A659,""priceopen""),"""")"),530.0)</f>
        <v>530</v>
      </c>
      <c r="X659" s="22">
        <f>IFERROR(__xludf.DUMMYFUNCTION("IFERROR(GOOGLEFINANCE(A659,""high""),"""")"),570.0)</f>
        <v>570</v>
      </c>
      <c r="Y659" s="22">
        <f>IFERROR(__xludf.DUMMYFUNCTION("IFERROR(GOOGLEFINANCE(A659,""low""),"""")"),530.0)</f>
        <v>530</v>
      </c>
      <c r="Z659" s="22">
        <f>IFERROR(__xludf.DUMMYFUNCTION("IFERROR(GOOGLEFINANCE(A659,""volume""),"""")"),3.41989E7)</f>
        <v>34198900</v>
      </c>
      <c r="AA659" s="24" t="str">
        <f>VLOOKUP(A659,Metrik!$C$2:$Y$959,5,0)</f>
        <v>Online Applications &amp; Services</v>
      </c>
      <c r="AB659" s="24" t="str">
        <f>VLOOKUP(A659,Metrik!$C$2:$Y$959,3,0)</f>
        <v>Technology</v>
      </c>
    </row>
    <row r="660">
      <c r="A660" s="14" t="s">
        <v>364</v>
      </c>
      <c r="B660" s="14" t="str">
        <f t="array" ref="B660">VLOOKUP(A660,{Metrik!$C$2:$C$998,Metrik!$B$2:$B$998},2,0)</f>
        <v>Elang Mahkota Teknologi Tbk.</v>
      </c>
      <c r="C660" s="15">
        <f>IFERROR(__xludf.DUMMYFUNCTION("GOOGLEFINANCE(""IDX:""&amp;A660,""price"")"),550.0)</f>
        <v>550</v>
      </c>
      <c r="D660" s="16" t="str">
        <f>IFERROR(__xludf.DUMMYFUNCTION("IF(A660="""","""",
SPARKLINE(
INDEX(
GOOGLEFINANCE(""IDX:""&amp;A660,""close"",TODAY()-365,TODAY()),
,2
),
{""linewidth"",1}
))
"),"#N/A")</f>
        <v>#N/A</v>
      </c>
      <c r="E660" s="14" t="s">
        <v>50</v>
      </c>
      <c r="F660" s="17" t="s">
        <v>51</v>
      </c>
      <c r="G660" s="18">
        <f t="shared" si="5"/>
        <v>13</v>
      </c>
      <c r="H660" s="19">
        <f>VLOOKUP(A660,Metrik!$C$2:$Y$959,8,0)</f>
        <v>13.4</v>
      </c>
      <c r="I660" s="20">
        <f>VLOOKUP(A660,Metrik!$C$2:$Y$959,9,0)</f>
        <v>0.72</v>
      </c>
      <c r="J660" s="20">
        <f>VLOOKUP(A660,Metrik!$C$2:$Y$959,10,0)</f>
        <v>5.4</v>
      </c>
      <c r="K660" s="20">
        <f>VLOOKUP(A660,Metrik!$C$2:$Y$959,11,0)</f>
        <v>4.7</v>
      </c>
      <c r="L660" s="20">
        <f>VLOOKUP(A660,Metrik!$C$2:$Y$959,12,0)</f>
        <v>0.14</v>
      </c>
      <c r="M660" s="20">
        <f>VLOOKUP(A660,Metrik!$C$2:$Y$959,19,0)</f>
        <v>48.5</v>
      </c>
      <c r="N660" s="21"/>
      <c r="O660" s="21"/>
      <c r="P660" s="21"/>
      <c r="Q660" s="21"/>
      <c r="R660" s="21"/>
      <c r="S660" s="21"/>
      <c r="T660" s="21"/>
      <c r="U660" s="22">
        <f>IFERROR(__xludf.DUMMYFUNCTION("IFERROR(GOOGLEFINANCE(A660,""closeyest""),"""")"),525.0)</f>
        <v>525</v>
      </c>
      <c r="V660" s="23">
        <f>IFERROR(__xludf.DUMMYFUNCTION("IFERROR(GOOGLEFINANCE(A660,""changepct""),"""")"),4.76)</f>
        <v>4.76</v>
      </c>
      <c r="W660" s="22">
        <f>IFERROR(__xludf.DUMMYFUNCTION("IFERROR(GOOGLEFINANCE(A660,""priceopen""),"""")"),530.0)</f>
        <v>530</v>
      </c>
      <c r="X660" s="22">
        <f>IFERROR(__xludf.DUMMYFUNCTION("IFERROR(GOOGLEFINANCE(A660,""high""),"""")"),570.0)</f>
        <v>570</v>
      </c>
      <c r="Y660" s="22">
        <f>IFERROR(__xludf.DUMMYFUNCTION("IFERROR(GOOGLEFINANCE(A660,""low""),"""")"),530.0)</f>
        <v>530</v>
      </c>
      <c r="Z660" s="22">
        <f>IFERROR(__xludf.DUMMYFUNCTION("IFERROR(GOOGLEFINANCE(A660,""volume""),"""")"),3.41989E7)</f>
        <v>34198900</v>
      </c>
      <c r="AA660" s="24" t="str">
        <f>VLOOKUP(A660,Metrik!$C$2:$Y$959,5,0)</f>
        <v>Online Applications &amp; Services</v>
      </c>
      <c r="AB660" s="24" t="str">
        <f>VLOOKUP(A660,Metrik!$C$2:$Y$959,3,0)</f>
        <v>Technology</v>
      </c>
    </row>
    <row r="661">
      <c r="A661" s="14" t="s">
        <v>364</v>
      </c>
      <c r="B661" s="14" t="str">
        <f t="array" ref="B661">VLOOKUP(A661,{Metrik!$C$2:$C$998,Metrik!$B$2:$B$998},2,0)</f>
        <v>Elang Mahkota Teknologi Tbk.</v>
      </c>
      <c r="C661" s="15">
        <f>IFERROR(__xludf.DUMMYFUNCTION("GOOGLEFINANCE(""IDX:""&amp;A661,""price"")"),550.0)</f>
        <v>550</v>
      </c>
      <c r="D661" s="16" t="str">
        <f>IFERROR(__xludf.DUMMYFUNCTION("IF(A661="""","""",
SPARKLINE(
INDEX(
GOOGLEFINANCE(""IDX:""&amp;A661,""close"",TODAY()-365,TODAY()),
,2
),
{""linewidth"",1}
))
"),"#N/A")</f>
        <v>#N/A</v>
      </c>
      <c r="E661" s="14" t="s">
        <v>30</v>
      </c>
      <c r="F661" s="17" t="s">
        <v>29</v>
      </c>
      <c r="G661" s="18">
        <f t="shared" si="5"/>
        <v>13</v>
      </c>
      <c r="H661" s="19">
        <f>VLOOKUP(A661,Metrik!$C$2:$Y$959,8,0)</f>
        <v>13.4</v>
      </c>
      <c r="I661" s="20">
        <f>VLOOKUP(A661,Metrik!$C$2:$Y$959,9,0)</f>
        <v>0.72</v>
      </c>
      <c r="J661" s="20">
        <f>VLOOKUP(A661,Metrik!$C$2:$Y$959,10,0)</f>
        <v>5.4</v>
      </c>
      <c r="K661" s="20">
        <f>VLOOKUP(A661,Metrik!$C$2:$Y$959,11,0)</f>
        <v>4.7</v>
      </c>
      <c r="L661" s="20">
        <f>VLOOKUP(A661,Metrik!$C$2:$Y$959,12,0)</f>
        <v>0.14</v>
      </c>
      <c r="M661" s="20">
        <f>VLOOKUP(A661,Metrik!$C$2:$Y$959,19,0)</f>
        <v>48.5</v>
      </c>
      <c r="N661" s="21"/>
      <c r="O661" s="21"/>
      <c r="P661" s="21"/>
      <c r="Q661" s="21"/>
      <c r="R661" s="21"/>
      <c r="S661" s="21"/>
      <c r="T661" s="21"/>
      <c r="U661" s="22">
        <f>IFERROR(__xludf.DUMMYFUNCTION("IFERROR(GOOGLEFINANCE(A661,""closeyest""),"""")"),525.0)</f>
        <v>525</v>
      </c>
      <c r="V661" s="23">
        <f>IFERROR(__xludf.DUMMYFUNCTION("IFERROR(GOOGLEFINANCE(A661,""changepct""),"""")"),4.76)</f>
        <v>4.76</v>
      </c>
      <c r="W661" s="22">
        <f>IFERROR(__xludf.DUMMYFUNCTION("IFERROR(GOOGLEFINANCE(A661,""priceopen""),"""")"),530.0)</f>
        <v>530</v>
      </c>
      <c r="X661" s="22">
        <f>IFERROR(__xludf.DUMMYFUNCTION("IFERROR(GOOGLEFINANCE(A661,""high""),"""")"),570.0)</f>
        <v>570</v>
      </c>
      <c r="Y661" s="22">
        <f>IFERROR(__xludf.DUMMYFUNCTION("IFERROR(GOOGLEFINANCE(A661,""low""),"""")"),530.0)</f>
        <v>530</v>
      </c>
      <c r="Z661" s="22">
        <f>IFERROR(__xludf.DUMMYFUNCTION("IFERROR(GOOGLEFINANCE(A661,""volume""),"""")"),3.41989E7)</f>
        <v>34198900</v>
      </c>
      <c r="AA661" s="24" t="str">
        <f>VLOOKUP(A661,Metrik!$C$2:$Y$959,5,0)</f>
        <v>Online Applications &amp; Services</v>
      </c>
      <c r="AB661" s="24" t="str">
        <f>VLOOKUP(A661,Metrik!$C$2:$Y$959,3,0)</f>
        <v>Technology</v>
      </c>
    </row>
    <row r="662">
      <c r="A662" s="14" t="s">
        <v>364</v>
      </c>
      <c r="B662" s="14" t="str">
        <f t="array" ref="B662">VLOOKUP(A662,{Metrik!$C$2:$C$998,Metrik!$B$2:$B$998},2,0)</f>
        <v>Elang Mahkota Teknologi Tbk.</v>
      </c>
      <c r="C662" s="15">
        <f>IFERROR(__xludf.DUMMYFUNCTION("GOOGLEFINANCE(""IDX:""&amp;A662,""price"")"),550.0)</f>
        <v>550</v>
      </c>
      <c r="D662" s="16" t="str">
        <f>IFERROR(__xludf.DUMMYFUNCTION("IF(A662="""","""",
SPARKLINE(
INDEX(
GOOGLEFINANCE(""IDX:""&amp;A662,""close"",TODAY()-365,TODAY()),
,2
),
{""linewidth"",1}
))
"),"#N/A")</f>
        <v>#N/A</v>
      </c>
      <c r="E662" s="14" t="s">
        <v>102</v>
      </c>
      <c r="F662" s="27" t="s">
        <v>53</v>
      </c>
      <c r="G662" s="18">
        <f t="shared" si="5"/>
        <v>13</v>
      </c>
      <c r="H662" s="19">
        <f>VLOOKUP(A662,Metrik!$C$2:$Y$959,8,0)</f>
        <v>13.4</v>
      </c>
      <c r="I662" s="20">
        <f>VLOOKUP(A662,Metrik!$C$2:$Y$959,9,0)</f>
        <v>0.72</v>
      </c>
      <c r="J662" s="20">
        <f>VLOOKUP(A662,Metrik!$C$2:$Y$959,10,0)</f>
        <v>5.4</v>
      </c>
      <c r="K662" s="20">
        <f>VLOOKUP(A662,Metrik!$C$2:$Y$959,11,0)</f>
        <v>4.7</v>
      </c>
      <c r="L662" s="20">
        <f>VLOOKUP(A662,Metrik!$C$2:$Y$959,12,0)</f>
        <v>0.14</v>
      </c>
      <c r="M662" s="20">
        <f>VLOOKUP(A662,Metrik!$C$2:$Y$959,19,0)</f>
        <v>48.5</v>
      </c>
      <c r="N662" s="21"/>
      <c r="O662" s="21"/>
      <c r="P662" s="21"/>
      <c r="Q662" s="21"/>
      <c r="R662" s="21"/>
      <c r="S662" s="21"/>
      <c r="T662" s="21"/>
      <c r="U662" s="22">
        <f>IFERROR(__xludf.DUMMYFUNCTION("IFERROR(GOOGLEFINANCE(A662,""closeyest""),"""")"),525.0)</f>
        <v>525</v>
      </c>
      <c r="V662" s="23">
        <f>IFERROR(__xludf.DUMMYFUNCTION("IFERROR(GOOGLEFINANCE(A662,""changepct""),"""")"),4.76)</f>
        <v>4.76</v>
      </c>
      <c r="W662" s="22">
        <f>IFERROR(__xludf.DUMMYFUNCTION("IFERROR(GOOGLEFINANCE(A662,""priceopen""),"""")"),530.0)</f>
        <v>530</v>
      </c>
      <c r="X662" s="22">
        <f>IFERROR(__xludf.DUMMYFUNCTION("IFERROR(GOOGLEFINANCE(A662,""high""),"""")"),570.0)</f>
        <v>570</v>
      </c>
      <c r="Y662" s="22">
        <f>IFERROR(__xludf.DUMMYFUNCTION("IFERROR(GOOGLEFINANCE(A662,""low""),"""")"),530.0)</f>
        <v>530</v>
      </c>
      <c r="Z662" s="22">
        <f>IFERROR(__xludf.DUMMYFUNCTION("IFERROR(GOOGLEFINANCE(A662,""volume""),"""")"),3.41989E7)</f>
        <v>34198900</v>
      </c>
      <c r="AA662" s="24" t="str">
        <f>VLOOKUP(A662,Metrik!$C$2:$Y$959,5,0)</f>
        <v>Online Applications &amp; Services</v>
      </c>
      <c r="AB662" s="24" t="str">
        <f>VLOOKUP(A662,Metrik!$C$2:$Y$959,3,0)</f>
        <v>Technology</v>
      </c>
    </row>
    <row r="663">
      <c r="A663" s="14" t="s">
        <v>364</v>
      </c>
      <c r="B663" s="14" t="str">
        <f t="array" ref="B663">VLOOKUP(A663,{Metrik!$C$2:$C$998,Metrik!$B$2:$B$998},2,0)</f>
        <v>Elang Mahkota Teknologi Tbk.</v>
      </c>
      <c r="C663" s="15">
        <f>IFERROR(__xludf.DUMMYFUNCTION("GOOGLEFINANCE(""IDX:""&amp;A663,""price"")"),550.0)</f>
        <v>550</v>
      </c>
      <c r="D663" s="16" t="str">
        <f>IFERROR(__xludf.DUMMYFUNCTION("IF(A663="""","""",
SPARKLINE(
INDEX(
GOOGLEFINANCE(""IDX:""&amp;A663,""close"",TODAY()-365,TODAY()),
,2
),
{""linewidth"",1}
))
"),"#N/A")</f>
        <v>#N/A</v>
      </c>
      <c r="E663" s="14" t="s">
        <v>32</v>
      </c>
      <c r="F663" s="14" t="s">
        <v>29</v>
      </c>
      <c r="G663" s="18">
        <f t="shared" si="5"/>
        <v>13</v>
      </c>
      <c r="H663" s="19">
        <f>VLOOKUP(A663,Metrik!$C$2:$Y$959,8,0)</f>
        <v>13.4</v>
      </c>
      <c r="I663" s="20">
        <f>VLOOKUP(A663,Metrik!$C$2:$Y$959,9,0)</f>
        <v>0.72</v>
      </c>
      <c r="J663" s="20">
        <f>VLOOKUP(A663,Metrik!$C$2:$Y$959,10,0)</f>
        <v>5.4</v>
      </c>
      <c r="K663" s="20">
        <f>VLOOKUP(A663,Metrik!$C$2:$Y$959,11,0)</f>
        <v>4.7</v>
      </c>
      <c r="L663" s="20">
        <f>VLOOKUP(A663,Metrik!$C$2:$Y$959,12,0)</f>
        <v>0.14</v>
      </c>
      <c r="M663" s="20">
        <f>VLOOKUP(A663,Metrik!$C$2:$Y$959,19,0)</f>
        <v>48.5</v>
      </c>
      <c r="N663" s="21"/>
      <c r="O663" s="21"/>
      <c r="P663" s="21"/>
      <c r="Q663" s="21"/>
      <c r="R663" s="21"/>
      <c r="S663" s="21"/>
      <c r="T663" s="21"/>
      <c r="U663" s="22">
        <f>IFERROR(__xludf.DUMMYFUNCTION("IFERROR(GOOGLEFINANCE(A663,""closeyest""),"""")"),525.0)</f>
        <v>525</v>
      </c>
      <c r="V663" s="23">
        <f>IFERROR(__xludf.DUMMYFUNCTION("IFERROR(GOOGLEFINANCE(A663,""changepct""),"""")"),4.76)</f>
        <v>4.76</v>
      </c>
      <c r="W663" s="22">
        <f>IFERROR(__xludf.DUMMYFUNCTION("IFERROR(GOOGLEFINANCE(A663,""priceopen""),"""")"),530.0)</f>
        <v>530</v>
      </c>
      <c r="X663" s="22">
        <f>IFERROR(__xludf.DUMMYFUNCTION("IFERROR(GOOGLEFINANCE(A663,""high""),"""")"),570.0)</f>
        <v>570</v>
      </c>
      <c r="Y663" s="22">
        <f>IFERROR(__xludf.DUMMYFUNCTION("IFERROR(GOOGLEFINANCE(A663,""low""),"""")"),530.0)</f>
        <v>530</v>
      </c>
      <c r="Z663" s="22">
        <f>IFERROR(__xludf.DUMMYFUNCTION("IFERROR(GOOGLEFINANCE(A663,""volume""),"""")"),3.41989E7)</f>
        <v>34198900</v>
      </c>
      <c r="AA663" s="24" t="str">
        <f>VLOOKUP(A663,Metrik!$C$2:$Y$959,5,0)</f>
        <v>Online Applications &amp; Services</v>
      </c>
      <c r="AB663" s="24" t="str">
        <f>VLOOKUP(A663,Metrik!$C$2:$Y$959,3,0)</f>
        <v>Technology</v>
      </c>
    </row>
    <row r="664">
      <c r="A664" s="14" t="s">
        <v>364</v>
      </c>
      <c r="B664" s="14" t="str">
        <f t="array" ref="B664">VLOOKUP(A664,{Metrik!$C$2:$C$998,Metrik!$B$2:$B$998},2,0)</f>
        <v>Elang Mahkota Teknologi Tbk.</v>
      </c>
      <c r="C664" s="15">
        <f>IFERROR(__xludf.DUMMYFUNCTION("GOOGLEFINANCE(""IDX:""&amp;A664,""price"")"),550.0)</f>
        <v>550</v>
      </c>
      <c r="D664" s="16" t="str">
        <f>IFERROR(__xludf.DUMMYFUNCTION("IF(A664="""","""",
SPARKLINE(
INDEX(
GOOGLEFINANCE(""IDX:""&amp;A664,""close"",TODAY()-365,TODAY()),
,2
),
{""linewidth"",1}
))
"),"#N/A")</f>
        <v>#N/A</v>
      </c>
      <c r="E664" s="14" t="s">
        <v>68</v>
      </c>
      <c r="F664" s="14" t="s">
        <v>34</v>
      </c>
      <c r="G664" s="18">
        <f t="shared" si="5"/>
        <v>13</v>
      </c>
      <c r="H664" s="19">
        <f>VLOOKUP(A664,Metrik!$C$2:$Y$959,8,0)</f>
        <v>13.4</v>
      </c>
      <c r="I664" s="20">
        <f>VLOOKUP(A664,Metrik!$C$2:$Y$959,9,0)</f>
        <v>0.72</v>
      </c>
      <c r="J664" s="20">
        <f>VLOOKUP(A664,Metrik!$C$2:$Y$959,10,0)</f>
        <v>5.4</v>
      </c>
      <c r="K664" s="20">
        <f>VLOOKUP(A664,Metrik!$C$2:$Y$959,11,0)</f>
        <v>4.7</v>
      </c>
      <c r="L664" s="20">
        <f>VLOOKUP(A664,Metrik!$C$2:$Y$959,12,0)</f>
        <v>0.14</v>
      </c>
      <c r="M664" s="20">
        <f>VLOOKUP(A664,Metrik!$C$2:$Y$959,19,0)</f>
        <v>48.5</v>
      </c>
      <c r="N664" s="21"/>
      <c r="O664" s="21"/>
      <c r="P664" s="21"/>
      <c r="Q664" s="21"/>
      <c r="R664" s="21"/>
      <c r="S664" s="21"/>
      <c r="T664" s="21"/>
      <c r="U664" s="22">
        <f>IFERROR(__xludf.DUMMYFUNCTION("IFERROR(GOOGLEFINANCE(A664,""closeyest""),"""")"),525.0)</f>
        <v>525</v>
      </c>
      <c r="V664" s="23">
        <f>IFERROR(__xludf.DUMMYFUNCTION("IFERROR(GOOGLEFINANCE(A664,""changepct""),"""")"),4.76)</f>
        <v>4.76</v>
      </c>
      <c r="W664" s="22">
        <f>IFERROR(__xludf.DUMMYFUNCTION("IFERROR(GOOGLEFINANCE(A664,""priceopen""),"""")"),530.0)</f>
        <v>530</v>
      </c>
      <c r="X664" s="22">
        <f>IFERROR(__xludf.DUMMYFUNCTION("IFERROR(GOOGLEFINANCE(A664,""high""),"""")"),570.0)</f>
        <v>570</v>
      </c>
      <c r="Y664" s="22">
        <f>IFERROR(__xludf.DUMMYFUNCTION("IFERROR(GOOGLEFINANCE(A664,""low""),"""")"),530.0)</f>
        <v>530</v>
      </c>
      <c r="Z664" s="22">
        <f>IFERROR(__xludf.DUMMYFUNCTION("IFERROR(GOOGLEFINANCE(A664,""volume""),"""")"),3.41989E7)</f>
        <v>34198900</v>
      </c>
      <c r="AA664" s="24" t="str">
        <f>VLOOKUP(A664,Metrik!$C$2:$Y$959,5,0)</f>
        <v>Online Applications &amp; Services</v>
      </c>
      <c r="AB664" s="24" t="str">
        <f>VLOOKUP(A664,Metrik!$C$2:$Y$959,3,0)</f>
        <v>Technology</v>
      </c>
    </row>
    <row r="665">
      <c r="A665" s="14" t="s">
        <v>364</v>
      </c>
      <c r="B665" s="14" t="str">
        <f t="array" ref="B665">VLOOKUP(A665,{Metrik!$C$2:$C$998,Metrik!$B$2:$B$998},2,0)</f>
        <v>Elang Mahkota Teknologi Tbk.</v>
      </c>
      <c r="C665" s="15">
        <f>IFERROR(__xludf.DUMMYFUNCTION("GOOGLEFINANCE(""IDX:""&amp;A665,""price"")"),550.0)</f>
        <v>550</v>
      </c>
      <c r="D665" s="16" t="str">
        <f>IFERROR(__xludf.DUMMYFUNCTION("IF(A665="""","""",
SPARKLINE(
INDEX(
GOOGLEFINANCE(""IDX:""&amp;A665,""close"",TODAY()-365,TODAY()),
,2
),
{""linewidth"",1}
))
"),"#N/A")</f>
        <v>#N/A</v>
      </c>
      <c r="E665" s="14" t="s">
        <v>33</v>
      </c>
      <c r="F665" s="14" t="s">
        <v>34</v>
      </c>
      <c r="G665" s="18">
        <f t="shared" si="5"/>
        <v>13</v>
      </c>
      <c r="H665" s="19">
        <f>VLOOKUP(A665,Metrik!$C$2:$Y$959,8,0)</f>
        <v>13.4</v>
      </c>
      <c r="I665" s="20">
        <f>VLOOKUP(A665,Metrik!$C$2:$Y$959,9,0)</f>
        <v>0.72</v>
      </c>
      <c r="J665" s="20">
        <f>VLOOKUP(A665,Metrik!$C$2:$Y$959,10,0)</f>
        <v>5.4</v>
      </c>
      <c r="K665" s="20">
        <f>VLOOKUP(A665,Metrik!$C$2:$Y$959,11,0)</f>
        <v>4.7</v>
      </c>
      <c r="L665" s="20">
        <f>VLOOKUP(A665,Metrik!$C$2:$Y$959,12,0)</f>
        <v>0.14</v>
      </c>
      <c r="M665" s="20">
        <f>VLOOKUP(A665,Metrik!$C$2:$Y$959,19,0)</f>
        <v>48.5</v>
      </c>
      <c r="N665" s="21"/>
      <c r="O665" s="21"/>
      <c r="P665" s="21"/>
      <c r="Q665" s="21"/>
      <c r="R665" s="21"/>
      <c r="S665" s="21"/>
      <c r="T665" s="21"/>
      <c r="U665" s="22">
        <f>IFERROR(__xludf.DUMMYFUNCTION("IFERROR(GOOGLEFINANCE(A665,""closeyest""),"""")"),525.0)</f>
        <v>525</v>
      </c>
      <c r="V665" s="23">
        <f>IFERROR(__xludf.DUMMYFUNCTION("IFERROR(GOOGLEFINANCE(A665,""changepct""),"""")"),4.76)</f>
        <v>4.76</v>
      </c>
      <c r="W665" s="22">
        <f>IFERROR(__xludf.DUMMYFUNCTION("IFERROR(GOOGLEFINANCE(A665,""priceopen""),"""")"),530.0)</f>
        <v>530</v>
      </c>
      <c r="X665" s="22">
        <f>IFERROR(__xludf.DUMMYFUNCTION("IFERROR(GOOGLEFINANCE(A665,""high""),"""")"),570.0)</f>
        <v>570</v>
      </c>
      <c r="Y665" s="22">
        <f>IFERROR(__xludf.DUMMYFUNCTION("IFERROR(GOOGLEFINANCE(A665,""low""),"""")"),530.0)</f>
        <v>530</v>
      </c>
      <c r="Z665" s="22">
        <f>IFERROR(__xludf.DUMMYFUNCTION("IFERROR(GOOGLEFINANCE(A665,""volume""),"""")"),3.41989E7)</f>
        <v>34198900</v>
      </c>
      <c r="AA665" s="24" t="str">
        <f>VLOOKUP(A665,Metrik!$C$2:$Y$959,5,0)</f>
        <v>Online Applications &amp; Services</v>
      </c>
      <c r="AB665" s="24" t="str">
        <f>VLOOKUP(A665,Metrik!$C$2:$Y$959,3,0)</f>
        <v>Technology</v>
      </c>
    </row>
    <row r="666">
      <c r="A666" s="17" t="s">
        <v>364</v>
      </c>
      <c r="B666" s="14" t="str">
        <f t="array" ref="B666">VLOOKUP(A666,{Metrik!$C$2:$C$998,Metrik!$B$2:$B$998},2,0)</f>
        <v>Elang Mahkota Teknologi Tbk.</v>
      </c>
      <c r="C666" s="15">
        <f>IFERROR(__xludf.DUMMYFUNCTION("GOOGLEFINANCE(""IDX:""&amp;A666,""price"")"),550.0)</f>
        <v>550</v>
      </c>
      <c r="D666" s="16" t="str">
        <f>IFERROR(__xludf.DUMMYFUNCTION("IF(A666="""","""",
SPARKLINE(
INDEX(
GOOGLEFINANCE(""IDX:""&amp;A666,""close"",TODAY()-365,TODAY()),
,2
),
{""linewidth"",1}
))
"),"#N/A")</f>
        <v>#N/A</v>
      </c>
      <c r="E666" s="17" t="s">
        <v>69</v>
      </c>
      <c r="F666" s="17" t="s">
        <v>70</v>
      </c>
      <c r="G666" s="24">
        <f t="shared" si="5"/>
        <v>13</v>
      </c>
      <c r="H666" s="19">
        <f>VLOOKUP(A666,Metrik!$C$2:$Y$959,8,0)</f>
        <v>13.4</v>
      </c>
      <c r="I666" s="20">
        <f>VLOOKUP(A666,Metrik!$C$2:$Y$959,9,0)</f>
        <v>0.72</v>
      </c>
      <c r="J666" s="20">
        <f>VLOOKUP(A666,Metrik!$C$2:$Y$959,10,0)</f>
        <v>5.4</v>
      </c>
      <c r="K666" s="20">
        <f>VLOOKUP(A666,Metrik!$C$2:$Y$959,11,0)</f>
        <v>4.7</v>
      </c>
      <c r="L666" s="20">
        <f>VLOOKUP(A666,Metrik!$C$2:$Y$959,12,0)</f>
        <v>0.14</v>
      </c>
      <c r="M666" s="20">
        <f>VLOOKUP(A666,Metrik!$C$2:$Y$959,19,0)</f>
        <v>48.5</v>
      </c>
      <c r="N666" s="21"/>
      <c r="O666" s="21"/>
      <c r="P666" s="21"/>
      <c r="Q666" s="21"/>
      <c r="R666" s="21"/>
      <c r="S666" s="21"/>
      <c r="T666" s="21"/>
      <c r="U666" s="22">
        <f>IFERROR(__xludf.DUMMYFUNCTION("IFERROR(GOOGLEFINANCE(A666,""closeyest""),"""")"),525.0)</f>
        <v>525</v>
      </c>
      <c r="V666" s="23">
        <f>IFERROR(__xludf.DUMMYFUNCTION("IFERROR(GOOGLEFINANCE(A666,""changepct""),"""")"),4.76)</f>
        <v>4.76</v>
      </c>
      <c r="W666" s="22">
        <f>IFERROR(__xludf.DUMMYFUNCTION("IFERROR(GOOGLEFINANCE(A666,""priceopen""),"""")"),530.0)</f>
        <v>530</v>
      </c>
      <c r="X666" s="22">
        <f>IFERROR(__xludf.DUMMYFUNCTION("IFERROR(GOOGLEFINANCE(A666,""high""),"""")"),570.0)</f>
        <v>570</v>
      </c>
      <c r="Y666" s="22">
        <f>IFERROR(__xludf.DUMMYFUNCTION("IFERROR(GOOGLEFINANCE(A666,""low""),"""")"),530.0)</f>
        <v>530</v>
      </c>
      <c r="Z666" s="22">
        <f>IFERROR(__xludf.DUMMYFUNCTION("IFERROR(GOOGLEFINANCE(A666,""volume""),"""")"),3.41989E7)</f>
        <v>34198900</v>
      </c>
      <c r="AA666" s="24" t="str">
        <f>VLOOKUP(A666,Metrik!$C$2:$Y$959,5,0)</f>
        <v>Online Applications &amp; Services</v>
      </c>
      <c r="AB666" s="24" t="str">
        <f>VLOOKUP(A666,Metrik!$C$2:$Y$959,3,0)</f>
        <v>Technology</v>
      </c>
    </row>
    <row r="667">
      <c r="A667" s="17" t="s">
        <v>364</v>
      </c>
      <c r="B667" s="14" t="str">
        <f t="array" ref="B667">VLOOKUP(A667,{Metrik!$C$2:$C$998,Metrik!$B$2:$B$998},2,0)</f>
        <v>Elang Mahkota Teknologi Tbk.</v>
      </c>
      <c r="C667" s="15">
        <f>IFERROR(__xludf.DUMMYFUNCTION("GOOGLEFINANCE(""IDX:""&amp;A667,""price"")"),550.0)</f>
        <v>550</v>
      </c>
      <c r="D667" s="16" t="str">
        <f>IFERROR(__xludf.DUMMYFUNCTION("IF(A667="""","""",
SPARKLINE(
INDEX(
GOOGLEFINANCE(""IDX:""&amp;A667,""close"",TODAY()-365,TODAY()),
,2
),
{""linewidth"",1}
))
"),"#N/A")</f>
        <v>#N/A</v>
      </c>
      <c r="E667" s="14" t="s">
        <v>35</v>
      </c>
      <c r="F667" s="17" t="s">
        <v>36</v>
      </c>
      <c r="G667" s="18">
        <f t="shared" si="5"/>
        <v>13</v>
      </c>
      <c r="H667" s="19">
        <f>VLOOKUP(A667,Metrik!$C$2:$Y$959,8,0)</f>
        <v>13.4</v>
      </c>
      <c r="I667" s="20">
        <f>VLOOKUP(A667,Metrik!$C$2:$Y$959,9,0)</f>
        <v>0.72</v>
      </c>
      <c r="J667" s="20">
        <f>VLOOKUP(A667,Metrik!$C$2:$Y$959,10,0)</f>
        <v>5.4</v>
      </c>
      <c r="K667" s="20">
        <f>VLOOKUP(A667,Metrik!$C$2:$Y$959,11,0)</f>
        <v>4.7</v>
      </c>
      <c r="L667" s="20">
        <f>VLOOKUP(A667,Metrik!$C$2:$Y$959,12,0)</f>
        <v>0.14</v>
      </c>
      <c r="M667" s="20">
        <f>VLOOKUP(A667,Metrik!$C$2:$Y$959,19,0)</f>
        <v>48.5</v>
      </c>
      <c r="N667" s="21"/>
      <c r="O667" s="21"/>
      <c r="P667" s="21"/>
      <c r="Q667" s="21"/>
      <c r="R667" s="21"/>
      <c r="S667" s="21"/>
      <c r="T667" s="21"/>
      <c r="U667" s="22">
        <f>IFERROR(__xludf.DUMMYFUNCTION("IFERROR(GOOGLEFINANCE(A667,""closeyest""),"""")"),525.0)</f>
        <v>525</v>
      </c>
      <c r="V667" s="23">
        <f>IFERROR(__xludf.DUMMYFUNCTION("IFERROR(GOOGLEFINANCE(A667,""changepct""),"""")"),4.76)</f>
        <v>4.76</v>
      </c>
      <c r="W667" s="22">
        <f>IFERROR(__xludf.DUMMYFUNCTION("IFERROR(GOOGLEFINANCE(A667,""priceopen""),"""")"),530.0)</f>
        <v>530</v>
      </c>
      <c r="X667" s="22">
        <f>IFERROR(__xludf.DUMMYFUNCTION("IFERROR(GOOGLEFINANCE(A667,""high""),"""")"),570.0)</f>
        <v>570</v>
      </c>
      <c r="Y667" s="22">
        <f>IFERROR(__xludf.DUMMYFUNCTION("IFERROR(GOOGLEFINANCE(A667,""low""),"""")"),530.0)</f>
        <v>530</v>
      </c>
      <c r="Z667" s="22">
        <f>IFERROR(__xludf.DUMMYFUNCTION("IFERROR(GOOGLEFINANCE(A667,""volume""),"""")"),3.41989E7)</f>
        <v>34198900</v>
      </c>
      <c r="AA667" s="24" t="str">
        <f>VLOOKUP(A667,Metrik!$C$2:$Y$959,5,0)</f>
        <v>Online Applications &amp; Services</v>
      </c>
      <c r="AB667" s="24" t="str">
        <f>VLOOKUP(A667,Metrik!$C$2:$Y$959,3,0)</f>
        <v>Technology</v>
      </c>
    </row>
    <row r="668">
      <c r="A668" s="14" t="s">
        <v>364</v>
      </c>
      <c r="B668" s="14" t="str">
        <f t="array" ref="B668">VLOOKUP(A668,{Metrik!$C$2:$C$998,Metrik!$B$2:$B$998},2,0)</f>
        <v>Elang Mahkota Teknologi Tbk.</v>
      </c>
      <c r="C668" s="15">
        <f>IFERROR(__xludf.DUMMYFUNCTION("GOOGLEFINANCE(""IDX:""&amp;A668,""price"")"),550.0)</f>
        <v>550</v>
      </c>
      <c r="D668" s="16" t="str">
        <f>IFERROR(__xludf.DUMMYFUNCTION("IF(A668="""","""",
SPARKLINE(
INDEX(
GOOGLEFINANCE(""IDX:""&amp;A668,""close"",TODAY()-365,TODAY()),
,2
),
{""linewidth"",1}
))
"),"#N/A")</f>
        <v>#N/A</v>
      </c>
      <c r="E668" s="14" t="s">
        <v>86</v>
      </c>
      <c r="F668" s="25">
        <v>46356.0</v>
      </c>
      <c r="G668" s="18">
        <f t="shared" si="5"/>
        <v>13</v>
      </c>
      <c r="H668" s="19">
        <f>VLOOKUP(A668,Metrik!$C$2:$Y$959,8,0)</f>
        <v>13.4</v>
      </c>
      <c r="I668" s="20">
        <f>VLOOKUP(A668,Metrik!$C$2:$Y$959,9,0)</f>
        <v>0.72</v>
      </c>
      <c r="J668" s="20">
        <f>VLOOKUP(A668,Metrik!$C$2:$Y$959,10,0)</f>
        <v>5.4</v>
      </c>
      <c r="K668" s="20">
        <f>VLOOKUP(A668,Metrik!$C$2:$Y$959,11,0)</f>
        <v>4.7</v>
      </c>
      <c r="L668" s="20">
        <f>VLOOKUP(A668,Metrik!$C$2:$Y$959,12,0)</f>
        <v>0.14</v>
      </c>
      <c r="M668" s="20">
        <f>VLOOKUP(A668,Metrik!$C$2:$Y$959,19,0)</f>
        <v>48.5</v>
      </c>
      <c r="N668" s="21"/>
      <c r="O668" s="21"/>
      <c r="P668" s="21"/>
      <c r="Q668" s="21"/>
      <c r="R668" s="21"/>
      <c r="S668" s="21"/>
      <c r="T668" s="21"/>
      <c r="U668" s="22">
        <f>IFERROR(__xludf.DUMMYFUNCTION("IFERROR(GOOGLEFINANCE(A668,""closeyest""),"""")"),525.0)</f>
        <v>525</v>
      </c>
      <c r="V668" s="23">
        <f>IFERROR(__xludf.DUMMYFUNCTION("IFERROR(GOOGLEFINANCE(A668,""changepct""),"""")"),4.76)</f>
        <v>4.76</v>
      </c>
      <c r="W668" s="22">
        <f>IFERROR(__xludf.DUMMYFUNCTION("IFERROR(GOOGLEFINANCE(A668,""priceopen""),"""")"),530.0)</f>
        <v>530</v>
      </c>
      <c r="X668" s="22">
        <f>IFERROR(__xludf.DUMMYFUNCTION("IFERROR(GOOGLEFINANCE(A668,""high""),"""")"),570.0)</f>
        <v>570</v>
      </c>
      <c r="Y668" s="22">
        <f>IFERROR(__xludf.DUMMYFUNCTION("IFERROR(GOOGLEFINANCE(A668,""low""),"""")"),530.0)</f>
        <v>530</v>
      </c>
      <c r="Z668" s="22">
        <f>IFERROR(__xludf.DUMMYFUNCTION("IFERROR(GOOGLEFINANCE(A668,""volume""),"""")"),3.41989E7)</f>
        <v>34198900</v>
      </c>
      <c r="AA668" s="24" t="str">
        <f>VLOOKUP(A668,Metrik!$C$2:$Y$959,5,0)</f>
        <v>Online Applications &amp; Services</v>
      </c>
      <c r="AB668" s="24" t="str">
        <f>VLOOKUP(A668,Metrik!$C$2:$Y$959,3,0)</f>
        <v>Technology</v>
      </c>
    </row>
    <row r="669">
      <c r="A669" s="14" t="s">
        <v>365</v>
      </c>
      <c r="B669" s="14" t="str">
        <f t="array" ref="B669">VLOOKUP(A669,{Metrik!$C$2:$C$998,Metrik!$B$2:$B$998},2,0)</f>
        <v>Champ Resto Indonesia Tbk.</v>
      </c>
      <c r="C669" s="15">
        <f>IFERROR(__xludf.DUMMYFUNCTION("GOOGLEFINANCE(""IDX:""&amp;A669,""price"")"),228.0)</f>
        <v>228</v>
      </c>
      <c r="D669" s="16" t="str">
        <f>IFERROR(__xludf.DUMMYFUNCTION("IF(A669="""","""",
SPARKLINE(
INDEX(
GOOGLEFINANCE(""IDX:""&amp;A669,""close"",TODAY()-365,TODAY()),
,2
),
{""linewidth"",1}
))
"),"#N/A")</f>
        <v>#N/A</v>
      </c>
      <c r="E669" s="26"/>
      <c r="F669" s="26"/>
      <c r="G669" s="24">
        <f t="shared" si="5"/>
        <v>0</v>
      </c>
      <c r="H669" s="19">
        <f>VLOOKUP(A669,Metrik!$C$2:$Y$959,8,0)</f>
        <v>-7.9</v>
      </c>
      <c r="I669" s="20">
        <f>VLOOKUP(A669,Metrik!$C$2:$Y$959,9,0)</f>
        <v>2.9</v>
      </c>
      <c r="J669" s="20">
        <f>VLOOKUP(A669,Metrik!$C$2:$Y$959,10,0)</f>
        <v>-36</v>
      </c>
      <c r="K669" s="20">
        <f>VLOOKUP(A669,Metrik!$C$2:$Y$959,11,0)</f>
        <v>-8</v>
      </c>
      <c r="L669" s="20">
        <f>VLOOKUP(A669,Metrik!$C$2:$Y$959,12,0)</f>
        <v>3.5</v>
      </c>
      <c r="M669" s="20">
        <f>VLOOKUP(A669,Metrik!$C$2:$Y$959,19,0)</f>
        <v>-24</v>
      </c>
      <c r="N669" s="21"/>
      <c r="O669" s="21"/>
      <c r="P669" s="21"/>
      <c r="Q669" s="21"/>
      <c r="R669" s="21"/>
      <c r="S669" s="21"/>
      <c r="T669" s="21"/>
      <c r="U669" s="22">
        <f>IFERROR(__xludf.DUMMYFUNCTION("IFERROR(GOOGLEFINANCE(A669,""closeyest""),"""")"),204.0)</f>
        <v>204</v>
      </c>
      <c r="V669" s="23">
        <f>IFERROR(__xludf.DUMMYFUNCTION("IFERROR(GOOGLEFINANCE(A669,""changepct""),"""")"),11.76)</f>
        <v>11.76</v>
      </c>
      <c r="W669" s="22">
        <f>IFERROR(__xludf.DUMMYFUNCTION("IFERROR(GOOGLEFINANCE(A669,""priceopen""),"""")"),204.0)</f>
        <v>204</v>
      </c>
      <c r="X669" s="22">
        <f>IFERROR(__xludf.DUMMYFUNCTION("IFERROR(GOOGLEFINANCE(A669,""high""),"""")"),254.0)</f>
        <v>254</v>
      </c>
      <c r="Y669" s="22">
        <f>IFERROR(__xludf.DUMMYFUNCTION("IFERROR(GOOGLEFINANCE(A669,""low""),"""")"),204.0)</f>
        <v>204</v>
      </c>
      <c r="Z669" s="22">
        <f>IFERROR(__xludf.DUMMYFUNCTION("IFERROR(GOOGLEFINANCE(A669,""volume""),"""")"),781200.0)</f>
        <v>781200</v>
      </c>
      <c r="AA669" s="24" t="str">
        <f>VLOOKUP(A669,Metrik!$C$2:$Y$959,5,0)</f>
        <v>Tourism &amp; Recreation</v>
      </c>
      <c r="AB669" s="24" t="str">
        <f>VLOOKUP(A669,Metrik!$C$2:$Y$959,3,0)</f>
        <v>Consumer Cyclicals</v>
      </c>
    </row>
    <row r="670">
      <c r="A670" s="14" t="s">
        <v>366</v>
      </c>
      <c r="B670" s="14" t="str">
        <f t="array" ref="B670">VLOOKUP(A670,{Metrik!$C$2:$C$998,Metrik!$B$2:$B$998},2,0)</f>
        <v>Energi Mega Persada Tbk.</v>
      </c>
      <c r="C670" s="15">
        <f>IFERROR(__xludf.DUMMYFUNCTION("GOOGLEFINANCE(""IDX:""&amp;A670,""price"")"),1390.0)</f>
        <v>1390</v>
      </c>
      <c r="D670" s="16" t="str">
        <f>IFERROR(__xludf.DUMMYFUNCTION("IF(A670="""","""",
SPARKLINE(
INDEX(
GOOGLEFINANCE(""IDX:""&amp;A670,""close"",TODAY()-365,TODAY()),
,2
),
{""linewidth"",1}
))
"),"#N/A")</f>
        <v>#N/A</v>
      </c>
      <c r="E670" s="14" t="s">
        <v>65</v>
      </c>
      <c r="F670" s="25">
        <v>46356.0</v>
      </c>
      <c r="G670" s="24">
        <f t="shared" si="5"/>
        <v>9</v>
      </c>
      <c r="H670" s="19">
        <f>VLOOKUP(A670,Metrik!$C$2:$Y$959,8,0)</f>
        <v>23.2</v>
      </c>
      <c r="I670" s="20">
        <f>VLOOKUP(A670,Metrik!$C$2:$Y$959,9,0)</f>
        <v>2.6</v>
      </c>
      <c r="J670" s="20">
        <f>VLOOKUP(A670,Metrik!$C$2:$Y$959,10,0)</f>
        <v>11.1</v>
      </c>
      <c r="K670" s="20">
        <f>VLOOKUP(A670,Metrik!$C$2:$Y$959,11,0)</f>
        <v>5</v>
      </c>
      <c r="L670" s="20">
        <f>VLOOKUP(A670,Metrik!$C$2:$Y$959,12,0)</f>
        <v>1.2</v>
      </c>
      <c r="M670" s="20">
        <f>VLOOKUP(A670,Metrik!$C$2:$Y$959,19,0)</f>
        <v>18.4</v>
      </c>
      <c r="N670" s="21"/>
      <c r="O670" s="21"/>
      <c r="P670" s="21"/>
      <c r="Q670" s="21"/>
      <c r="R670" s="21"/>
      <c r="S670" s="21"/>
      <c r="T670" s="21"/>
      <c r="U670" s="22">
        <f>IFERROR(__xludf.DUMMYFUNCTION("IFERROR(GOOGLEFINANCE(A670,""closeyest""),"""")"),0.3)</f>
        <v>0.3</v>
      </c>
      <c r="V670" s="23">
        <f>IFERROR(__xludf.DUMMYFUNCTION("IFERROR(GOOGLEFINANCE(A670,""changepct""),"""")"),18.64)</f>
        <v>18.64</v>
      </c>
      <c r="W670" s="22">
        <f>IFERROR(__xludf.DUMMYFUNCTION("IFERROR(GOOGLEFINANCE(A670,""priceopen""),"""")"),0.29)</f>
        <v>0.29</v>
      </c>
      <c r="X670" s="22">
        <f>IFERROR(__xludf.DUMMYFUNCTION("IFERROR(GOOGLEFINANCE(A670,""high""),"""")"),0.35)</f>
        <v>0.35</v>
      </c>
      <c r="Y670" s="22">
        <f>IFERROR(__xludf.DUMMYFUNCTION("IFERROR(GOOGLEFINANCE(A670,""low""),"""")"),0.26)</f>
        <v>0.26</v>
      </c>
      <c r="Z670" s="22">
        <f>IFERROR(__xludf.DUMMYFUNCTION("IFERROR(GOOGLEFINANCE(A670,""volume""),"""")"),61500.0)</f>
        <v>61500</v>
      </c>
      <c r="AA670" s="24" t="str">
        <f>VLOOKUP(A670,Metrik!$C$2:$Y$959,5,0)</f>
        <v>Oil &amp; Gas</v>
      </c>
      <c r="AB670" s="24" t="str">
        <f>VLOOKUP(A670,Metrik!$C$2:$Y$959,3,0)</f>
        <v>Energy</v>
      </c>
    </row>
    <row r="671">
      <c r="A671" s="14" t="s">
        <v>366</v>
      </c>
      <c r="B671" s="14" t="str">
        <f t="array" ref="B671">VLOOKUP(A671,{Metrik!$C$2:$C$998,Metrik!$B$2:$B$998},2,0)</f>
        <v>Energi Mega Persada Tbk.</v>
      </c>
      <c r="C671" s="15">
        <f>IFERROR(__xludf.DUMMYFUNCTION("GOOGLEFINANCE(""IDX:""&amp;A671,""price"")"),1390.0)</f>
        <v>1390</v>
      </c>
      <c r="D671" s="16" t="str">
        <f>IFERROR(__xludf.DUMMYFUNCTION("IF(A671="""","""",
SPARKLINE(
INDEX(
GOOGLEFINANCE(""IDX:""&amp;A671,""close"",TODAY()-365,TODAY()),
,2
),
{""linewidth"",1}
))
"),"#N/A")</f>
        <v>#N/A</v>
      </c>
      <c r="E671" s="14" t="s">
        <v>68</v>
      </c>
      <c r="F671" s="14" t="s">
        <v>34</v>
      </c>
      <c r="G671" s="24">
        <f t="shared" si="5"/>
        <v>9</v>
      </c>
      <c r="H671" s="19">
        <f>VLOOKUP(A671,Metrik!$C$2:$Y$959,8,0)</f>
        <v>23.2</v>
      </c>
      <c r="I671" s="20">
        <f>VLOOKUP(A671,Metrik!$C$2:$Y$959,9,0)</f>
        <v>2.6</v>
      </c>
      <c r="J671" s="20">
        <f>VLOOKUP(A671,Metrik!$C$2:$Y$959,10,0)</f>
        <v>11.1</v>
      </c>
      <c r="K671" s="20">
        <f>VLOOKUP(A671,Metrik!$C$2:$Y$959,11,0)</f>
        <v>5</v>
      </c>
      <c r="L671" s="20">
        <f>VLOOKUP(A671,Metrik!$C$2:$Y$959,12,0)</f>
        <v>1.2</v>
      </c>
      <c r="M671" s="20">
        <f>VLOOKUP(A671,Metrik!$C$2:$Y$959,19,0)</f>
        <v>18.4</v>
      </c>
      <c r="N671" s="21"/>
      <c r="O671" s="21"/>
      <c r="P671" s="21"/>
      <c r="Q671" s="21"/>
      <c r="R671" s="21"/>
      <c r="S671" s="21"/>
      <c r="T671" s="21"/>
      <c r="U671" s="22">
        <f>IFERROR(__xludf.DUMMYFUNCTION("IFERROR(GOOGLEFINANCE(A671,""closeyest""),"""")"),0.3)</f>
        <v>0.3</v>
      </c>
      <c r="V671" s="23">
        <f>IFERROR(__xludf.DUMMYFUNCTION("IFERROR(GOOGLEFINANCE(A671,""changepct""),"""")"),18.64)</f>
        <v>18.64</v>
      </c>
      <c r="W671" s="22">
        <f>IFERROR(__xludf.DUMMYFUNCTION("IFERROR(GOOGLEFINANCE(A671,""priceopen""),"""")"),0.29)</f>
        <v>0.29</v>
      </c>
      <c r="X671" s="22">
        <f>IFERROR(__xludf.DUMMYFUNCTION("IFERROR(GOOGLEFINANCE(A671,""high""),"""")"),0.35)</f>
        <v>0.35</v>
      </c>
      <c r="Y671" s="22">
        <f>IFERROR(__xludf.DUMMYFUNCTION("IFERROR(GOOGLEFINANCE(A671,""low""),"""")"),0.26)</f>
        <v>0.26</v>
      </c>
      <c r="Z671" s="22">
        <f>IFERROR(__xludf.DUMMYFUNCTION("IFERROR(GOOGLEFINANCE(A671,""volume""),"""")"),61500.0)</f>
        <v>61500</v>
      </c>
      <c r="AA671" s="24" t="str">
        <f>VLOOKUP(A671,Metrik!$C$2:$Y$959,5,0)</f>
        <v>Oil &amp; Gas</v>
      </c>
      <c r="AB671" s="24" t="str">
        <f>VLOOKUP(A671,Metrik!$C$2:$Y$959,3,0)</f>
        <v>Energy</v>
      </c>
    </row>
    <row r="672">
      <c r="A672" s="14" t="s">
        <v>366</v>
      </c>
      <c r="B672" s="14" t="str">
        <f t="array" ref="B672">VLOOKUP(A672,{Metrik!$C$2:$C$998,Metrik!$B$2:$B$998},2,0)</f>
        <v>Energi Mega Persada Tbk.</v>
      </c>
      <c r="C672" s="15">
        <f>IFERROR(__xludf.DUMMYFUNCTION("GOOGLEFINANCE(""IDX:""&amp;A672,""price"")"),1390.0)</f>
        <v>1390</v>
      </c>
      <c r="D672" s="16" t="str">
        <f>IFERROR(__xludf.DUMMYFUNCTION("IF(A672="""","""",
SPARKLINE(
INDEX(
GOOGLEFINANCE(""IDX:""&amp;A672,""close"",TODAY()-365,TODAY()),
,2
),
{""linewidth"",1}
))
"),"#N/A")</f>
        <v>#N/A</v>
      </c>
      <c r="E672" s="14" t="s">
        <v>32</v>
      </c>
      <c r="F672" s="14" t="s">
        <v>29</v>
      </c>
      <c r="G672" s="24">
        <f t="shared" si="5"/>
        <v>9</v>
      </c>
      <c r="H672" s="19">
        <f>VLOOKUP(A672,Metrik!$C$2:$Y$959,8,0)</f>
        <v>23.2</v>
      </c>
      <c r="I672" s="20">
        <f>VLOOKUP(A672,Metrik!$C$2:$Y$959,9,0)</f>
        <v>2.6</v>
      </c>
      <c r="J672" s="20">
        <f>VLOOKUP(A672,Metrik!$C$2:$Y$959,10,0)</f>
        <v>11.1</v>
      </c>
      <c r="K672" s="20">
        <f>VLOOKUP(A672,Metrik!$C$2:$Y$959,11,0)</f>
        <v>5</v>
      </c>
      <c r="L672" s="20">
        <f>VLOOKUP(A672,Metrik!$C$2:$Y$959,12,0)</f>
        <v>1.2</v>
      </c>
      <c r="M672" s="20">
        <f>VLOOKUP(A672,Metrik!$C$2:$Y$959,19,0)</f>
        <v>18.4</v>
      </c>
      <c r="N672" s="21"/>
      <c r="O672" s="21"/>
      <c r="P672" s="21"/>
      <c r="Q672" s="21"/>
      <c r="R672" s="21"/>
      <c r="S672" s="21"/>
      <c r="T672" s="21"/>
      <c r="U672" s="22">
        <f>IFERROR(__xludf.DUMMYFUNCTION("IFERROR(GOOGLEFINANCE(A672,""closeyest""),"""")"),0.3)</f>
        <v>0.3</v>
      </c>
      <c r="V672" s="23">
        <f>IFERROR(__xludf.DUMMYFUNCTION("IFERROR(GOOGLEFINANCE(A672,""changepct""),"""")"),18.64)</f>
        <v>18.64</v>
      </c>
      <c r="W672" s="22">
        <f>IFERROR(__xludf.DUMMYFUNCTION("IFERROR(GOOGLEFINANCE(A672,""priceopen""),"""")"),0.29)</f>
        <v>0.29</v>
      </c>
      <c r="X672" s="22">
        <f>IFERROR(__xludf.DUMMYFUNCTION("IFERROR(GOOGLEFINANCE(A672,""high""),"""")"),0.35)</f>
        <v>0.35</v>
      </c>
      <c r="Y672" s="22">
        <f>IFERROR(__xludf.DUMMYFUNCTION("IFERROR(GOOGLEFINANCE(A672,""low""),"""")"),0.26)</f>
        <v>0.26</v>
      </c>
      <c r="Z672" s="22">
        <f>IFERROR(__xludf.DUMMYFUNCTION("IFERROR(GOOGLEFINANCE(A672,""volume""),"""")"),61500.0)</f>
        <v>61500</v>
      </c>
      <c r="AA672" s="24" t="str">
        <f>VLOOKUP(A672,Metrik!$C$2:$Y$959,5,0)</f>
        <v>Oil &amp; Gas</v>
      </c>
      <c r="AB672" s="24" t="str">
        <f>VLOOKUP(A672,Metrik!$C$2:$Y$959,3,0)</f>
        <v>Energy</v>
      </c>
    </row>
    <row r="673">
      <c r="A673" s="14" t="s">
        <v>366</v>
      </c>
      <c r="B673" s="14" t="str">
        <f t="array" ref="B673">VLOOKUP(A673,{Metrik!$C$2:$C$998,Metrik!$B$2:$B$998},2,0)</f>
        <v>Energi Mega Persada Tbk.</v>
      </c>
      <c r="C673" s="15">
        <f>IFERROR(__xludf.DUMMYFUNCTION("GOOGLEFINANCE(""IDX:""&amp;A673,""price"")"),1390.0)</f>
        <v>1390</v>
      </c>
      <c r="D673" s="16" t="str">
        <f>IFERROR(__xludf.DUMMYFUNCTION("IF(A673="""","""",
SPARKLINE(
INDEX(
GOOGLEFINANCE(""IDX:""&amp;A673,""close"",TODAY()-365,TODAY()),
,2
),
{""linewidth"",1}
))
"),"#N/A")</f>
        <v>#N/A</v>
      </c>
      <c r="E673" s="14" t="s">
        <v>28</v>
      </c>
      <c r="F673" s="17" t="s">
        <v>29</v>
      </c>
      <c r="G673" s="24">
        <f t="shared" si="5"/>
        <v>9</v>
      </c>
      <c r="H673" s="19">
        <f>VLOOKUP(A673,Metrik!$C$2:$Y$959,8,0)</f>
        <v>23.2</v>
      </c>
      <c r="I673" s="20">
        <f>VLOOKUP(A673,Metrik!$C$2:$Y$959,9,0)</f>
        <v>2.6</v>
      </c>
      <c r="J673" s="20">
        <f>VLOOKUP(A673,Metrik!$C$2:$Y$959,10,0)</f>
        <v>11.1</v>
      </c>
      <c r="K673" s="20">
        <f>VLOOKUP(A673,Metrik!$C$2:$Y$959,11,0)</f>
        <v>5</v>
      </c>
      <c r="L673" s="20">
        <f>VLOOKUP(A673,Metrik!$C$2:$Y$959,12,0)</f>
        <v>1.2</v>
      </c>
      <c r="M673" s="20">
        <f>VLOOKUP(A673,Metrik!$C$2:$Y$959,19,0)</f>
        <v>18.4</v>
      </c>
      <c r="N673" s="21"/>
      <c r="O673" s="21"/>
      <c r="P673" s="21"/>
      <c r="Q673" s="21"/>
      <c r="R673" s="21"/>
      <c r="S673" s="21"/>
      <c r="T673" s="21"/>
      <c r="U673" s="22">
        <f>IFERROR(__xludf.DUMMYFUNCTION("IFERROR(GOOGLEFINANCE(A673,""closeyest""),"""")"),0.3)</f>
        <v>0.3</v>
      </c>
      <c r="V673" s="23">
        <f>IFERROR(__xludf.DUMMYFUNCTION("IFERROR(GOOGLEFINANCE(A673,""changepct""),"""")"),18.64)</f>
        <v>18.64</v>
      </c>
      <c r="W673" s="22">
        <f>IFERROR(__xludf.DUMMYFUNCTION("IFERROR(GOOGLEFINANCE(A673,""priceopen""),"""")"),0.29)</f>
        <v>0.29</v>
      </c>
      <c r="X673" s="22">
        <f>IFERROR(__xludf.DUMMYFUNCTION("IFERROR(GOOGLEFINANCE(A673,""high""),"""")"),0.35)</f>
        <v>0.35</v>
      </c>
      <c r="Y673" s="22">
        <f>IFERROR(__xludf.DUMMYFUNCTION("IFERROR(GOOGLEFINANCE(A673,""low""),"""")"),0.26)</f>
        <v>0.26</v>
      </c>
      <c r="Z673" s="22">
        <f>IFERROR(__xludf.DUMMYFUNCTION("IFERROR(GOOGLEFINANCE(A673,""volume""),"""")"),61500.0)</f>
        <v>61500</v>
      </c>
      <c r="AA673" s="24" t="str">
        <f>VLOOKUP(A673,Metrik!$C$2:$Y$959,5,0)</f>
        <v>Oil &amp; Gas</v>
      </c>
      <c r="AB673" s="24" t="str">
        <f>VLOOKUP(A673,Metrik!$C$2:$Y$959,3,0)</f>
        <v>Energy</v>
      </c>
    </row>
    <row r="674">
      <c r="A674" s="14" t="s">
        <v>366</v>
      </c>
      <c r="B674" s="14" t="str">
        <f t="array" ref="B674">VLOOKUP(A674,{Metrik!$C$2:$C$998,Metrik!$B$2:$B$998},2,0)</f>
        <v>Energi Mega Persada Tbk.</v>
      </c>
      <c r="C674" s="15">
        <f>IFERROR(__xludf.DUMMYFUNCTION("GOOGLEFINANCE(""IDX:""&amp;A674,""price"")"),1390.0)</f>
        <v>1390</v>
      </c>
      <c r="D674" s="16" t="str">
        <f>IFERROR(__xludf.DUMMYFUNCTION("IF(A674="""","""",
SPARKLINE(
INDEX(
GOOGLEFINANCE(""IDX:""&amp;A674,""close"",TODAY()-365,TODAY()),
,2
),
{""linewidth"",1}
))
"),"#N/A")</f>
        <v>#N/A</v>
      </c>
      <c r="E674" s="14" t="s">
        <v>84</v>
      </c>
      <c r="F674" s="17" t="s">
        <v>51</v>
      </c>
      <c r="G674" s="24">
        <f t="shared" si="5"/>
        <v>9</v>
      </c>
      <c r="H674" s="19">
        <f>VLOOKUP(A674,Metrik!$C$2:$Y$959,8,0)</f>
        <v>23.2</v>
      </c>
      <c r="I674" s="20">
        <f>VLOOKUP(A674,Metrik!$C$2:$Y$959,9,0)</f>
        <v>2.6</v>
      </c>
      <c r="J674" s="20">
        <f>VLOOKUP(A674,Metrik!$C$2:$Y$959,10,0)</f>
        <v>11.1</v>
      </c>
      <c r="K674" s="20">
        <f>VLOOKUP(A674,Metrik!$C$2:$Y$959,11,0)</f>
        <v>5</v>
      </c>
      <c r="L674" s="20">
        <f>VLOOKUP(A674,Metrik!$C$2:$Y$959,12,0)</f>
        <v>1.2</v>
      </c>
      <c r="M674" s="20">
        <f>VLOOKUP(A674,Metrik!$C$2:$Y$959,19,0)</f>
        <v>18.4</v>
      </c>
      <c r="N674" s="21"/>
      <c r="O674" s="21"/>
      <c r="P674" s="21"/>
      <c r="Q674" s="21"/>
      <c r="R674" s="21"/>
      <c r="S674" s="21"/>
      <c r="T674" s="21"/>
      <c r="U674" s="22">
        <f>IFERROR(__xludf.DUMMYFUNCTION("IFERROR(GOOGLEFINANCE(A674,""closeyest""),"""")"),0.3)</f>
        <v>0.3</v>
      </c>
      <c r="V674" s="23">
        <f>IFERROR(__xludf.DUMMYFUNCTION("IFERROR(GOOGLEFINANCE(A674,""changepct""),"""")"),18.64)</f>
        <v>18.64</v>
      </c>
      <c r="W674" s="22">
        <f>IFERROR(__xludf.DUMMYFUNCTION("IFERROR(GOOGLEFINANCE(A674,""priceopen""),"""")"),0.29)</f>
        <v>0.29</v>
      </c>
      <c r="X674" s="22">
        <f>IFERROR(__xludf.DUMMYFUNCTION("IFERROR(GOOGLEFINANCE(A674,""high""),"""")"),0.35)</f>
        <v>0.35</v>
      </c>
      <c r="Y674" s="22">
        <f>IFERROR(__xludf.DUMMYFUNCTION("IFERROR(GOOGLEFINANCE(A674,""low""),"""")"),0.26)</f>
        <v>0.26</v>
      </c>
      <c r="Z674" s="22">
        <f>IFERROR(__xludf.DUMMYFUNCTION("IFERROR(GOOGLEFINANCE(A674,""volume""),"""")"),61500.0)</f>
        <v>61500</v>
      </c>
      <c r="AA674" s="24" t="str">
        <f>VLOOKUP(A674,Metrik!$C$2:$Y$959,5,0)</f>
        <v>Oil &amp; Gas</v>
      </c>
      <c r="AB674" s="24" t="str">
        <f>VLOOKUP(A674,Metrik!$C$2:$Y$959,3,0)</f>
        <v>Energy</v>
      </c>
    </row>
    <row r="675">
      <c r="A675" s="14" t="s">
        <v>366</v>
      </c>
      <c r="B675" s="14" t="str">
        <f t="array" ref="B675">VLOOKUP(A675,{Metrik!$C$2:$C$998,Metrik!$B$2:$B$998},2,0)</f>
        <v>Energi Mega Persada Tbk.</v>
      </c>
      <c r="C675" s="15">
        <f>IFERROR(__xludf.DUMMYFUNCTION("GOOGLEFINANCE(""IDX:""&amp;A675,""price"")"),1390.0)</f>
        <v>1390</v>
      </c>
      <c r="D675" s="16" t="str">
        <f>IFERROR(__xludf.DUMMYFUNCTION("IF(A675="""","""",
SPARKLINE(
INDEX(
GOOGLEFINANCE(""IDX:""&amp;A675,""close"",TODAY()-365,TODAY()),
,2
),
{""linewidth"",1}
))
"),"#N/A")</f>
        <v>#N/A</v>
      </c>
      <c r="E675" s="14" t="s">
        <v>41</v>
      </c>
      <c r="F675" s="14" t="s">
        <v>34</v>
      </c>
      <c r="G675" s="24">
        <f t="shared" si="5"/>
        <v>9</v>
      </c>
      <c r="H675" s="19">
        <f>VLOOKUP(A675,Metrik!$C$2:$Y$959,8,0)</f>
        <v>23.2</v>
      </c>
      <c r="I675" s="20">
        <f>VLOOKUP(A675,Metrik!$C$2:$Y$959,9,0)</f>
        <v>2.6</v>
      </c>
      <c r="J675" s="20">
        <f>VLOOKUP(A675,Metrik!$C$2:$Y$959,10,0)</f>
        <v>11.1</v>
      </c>
      <c r="K675" s="20">
        <f>VLOOKUP(A675,Metrik!$C$2:$Y$959,11,0)</f>
        <v>5</v>
      </c>
      <c r="L675" s="20">
        <f>VLOOKUP(A675,Metrik!$C$2:$Y$959,12,0)</f>
        <v>1.2</v>
      </c>
      <c r="M675" s="20">
        <f>VLOOKUP(A675,Metrik!$C$2:$Y$959,19,0)</f>
        <v>18.4</v>
      </c>
      <c r="N675" s="21"/>
      <c r="O675" s="21"/>
      <c r="P675" s="21"/>
      <c r="Q675" s="21"/>
      <c r="R675" s="21"/>
      <c r="S675" s="21"/>
      <c r="T675" s="21"/>
      <c r="U675" s="22">
        <f>IFERROR(__xludf.DUMMYFUNCTION("IFERROR(GOOGLEFINANCE(A675,""closeyest""),"""")"),0.3)</f>
        <v>0.3</v>
      </c>
      <c r="V675" s="23">
        <f>IFERROR(__xludf.DUMMYFUNCTION("IFERROR(GOOGLEFINANCE(A675,""changepct""),"""")"),18.64)</f>
        <v>18.64</v>
      </c>
      <c r="W675" s="22">
        <f>IFERROR(__xludf.DUMMYFUNCTION("IFERROR(GOOGLEFINANCE(A675,""priceopen""),"""")"),0.29)</f>
        <v>0.29</v>
      </c>
      <c r="X675" s="22">
        <f>IFERROR(__xludf.DUMMYFUNCTION("IFERROR(GOOGLEFINANCE(A675,""high""),"""")"),0.35)</f>
        <v>0.35</v>
      </c>
      <c r="Y675" s="22">
        <f>IFERROR(__xludf.DUMMYFUNCTION("IFERROR(GOOGLEFINANCE(A675,""low""),"""")"),0.26)</f>
        <v>0.26</v>
      </c>
      <c r="Z675" s="22">
        <f>IFERROR(__xludf.DUMMYFUNCTION("IFERROR(GOOGLEFINANCE(A675,""volume""),"""")"),61500.0)</f>
        <v>61500</v>
      </c>
      <c r="AA675" s="24" t="str">
        <f>VLOOKUP(A675,Metrik!$C$2:$Y$959,5,0)</f>
        <v>Oil &amp; Gas</v>
      </c>
      <c r="AB675" s="24" t="str">
        <f>VLOOKUP(A675,Metrik!$C$2:$Y$959,3,0)</f>
        <v>Energy</v>
      </c>
    </row>
    <row r="676">
      <c r="A676" s="17" t="s">
        <v>366</v>
      </c>
      <c r="B676" s="14" t="str">
        <f t="array" ref="B676">VLOOKUP(A676,{Metrik!$C$2:$C$998,Metrik!$B$2:$B$998},2,0)</f>
        <v>Energi Mega Persada Tbk.</v>
      </c>
      <c r="C676" s="15">
        <f>IFERROR(__xludf.DUMMYFUNCTION("GOOGLEFINANCE(""IDX:""&amp;A676,""price"")"),1390.0)</f>
        <v>1390</v>
      </c>
      <c r="D676" s="16" t="str">
        <f>IFERROR(__xludf.DUMMYFUNCTION("IF(A676="""","""",
SPARKLINE(
INDEX(
GOOGLEFINANCE(""IDX:""&amp;A676,""close"",TODAY()-365,TODAY()),
,2
),
{""linewidth"",1}
))
"),"#N/A")</f>
        <v>#N/A</v>
      </c>
      <c r="E676" s="14" t="s">
        <v>35</v>
      </c>
      <c r="F676" s="17" t="s">
        <v>36</v>
      </c>
      <c r="G676" s="38">
        <f t="shared" si="5"/>
        <v>9</v>
      </c>
      <c r="H676" s="34">
        <f>VLOOKUP(A676,Metrik!$C$2:$Y$959,8,0)</f>
        <v>23.2</v>
      </c>
      <c r="I676" s="34">
        <f>VLOOKUP(A676,Metrik!$C$2:$Y$959,9,0)</f>
        <v>2.6</v>
      </c>
      <c r="J676" s="34">
        <f>VLOOKUP(A676,Metrik!$C$2:$Y$959,10,0)</f>
        <v>11.1</v>
      </c>
      <c r="K676" s="34">
        <f>VLOOKUP(A676,Metrik!$C$2:$Y$959,11,0)</f>
        <v>5</v>
      </c>
      <c r="L676" s="34">
        <f>VLOOKUP(A676,Metrik!$C$2:$Y$959,12,0)</f>
        <v>1.2</v>
      </c>
      <c r="M676" s="34">
        <f>VLOOKUP(A676,Metrik!$C$2:$Y$959,19,0)</f>
        <v>18.4</v>
      </c>
      <c r="N676" s="26"/>
      <c r="O676" s="26"/>
      <c r="P676" s="26"/>
      <c r="Q676" s="26"/>
      <c r="R676" s="26"/>
      <c r="S676" s="26"/>
      <c r="T676" s="26"/>
      <c r="U676" s="35">
        <f>IFERROR(__xludf.DUMMYFUNCTION("IFERROR(GOOGLEFINANCE(A676,""closeyest""),"""")"),0.3)</f>
        <v>0.3</v>
      </c>
      <c r="V676" s="36">
        <f>IFERROR(__xludf.DUMMYFUNCTION("IFERROR(GOOGLEFINANCE(A676,""changepct""),"""")"),18.64)</f>
        <v>18.64</v>
      </c>
      <c r="W676" s="35">
        <f>IFERROR(__xludf.DUMMYFUNCTION("IFERROR(GOOGLEFINANCE(A676,""priceopen""),"""")"),0.29)</f>
        <v>0.29</v>
      </c>
      <c r="X676" s="35">
        <f>IFERROR(__xludf.DUMMYFUNCTION("IFERROR(GOOGLEFINANCE(A676,""high""),"""")"),0.35)</f>
        <v>0.35</v>
      </c>
      <c r="Y676" s="35">
        <f>IFERROR(__xludf.DUMMYFUNCTION("IFERROR(GOOGLEFINANCE(A676,""low""),"""")"),0.26)</f>
        <v>0.26</v>
      </c>
      <c r="Z676" s="35">
        <f>IFERROR(__xludf.DUMMYFUNCTION("IFERROR(GOOGLEFINANCE(A676,""volume""),"""")"),61500.0)</f>
        <v>61500</v>
      </c>
      <c r="AA676" s="14" t="str">
        <f>VLOOKUP(A676,Metrik!$C$2:$Y$959,5,0)</f>
        <v>Oil &amp; Gas</v>
      </c>
      <c r="AB676" s="14" t="str">
        <f>VLOOKUP(A676,Metrik!$C$2:$Y$959,3,0)</f>
        <v>Energy</v>
      </c>
    </row>
    <row r="677">
      <c r="A677" s="17" t="s">
        <v>366</v>
      </c>
      <c r="B677" s="14" t="str">
        <f t="array" ref="B677">VLOOKUP(A677,{Metrik!$C$2:$C$998,Metrik!$B$2:$B$998},2,0)</f>
        <v>Energi Mega Persada Tbk.</v>
      </c>
      <c r="C677" s="15">
        <f>IFERROR(__xludf.DUMMYFUNCTION("GOOGLEFINANCE(""IDX:""&amp;A677,""price"")"),1390.0)</f>
        <v>1390</v>
      </c>
      <c r="D677" s="16" t="str">
        <f>IFERROR(__xludf.DUMMYFUNCTION("IF(A677="""","""",
SPARKLINE(
INDEX(
GOOGLEFINANCE(""IDX:""&amp;A677,""close"",TODAY()-365,TODAY()),
,2
),
{""linewidth"",1}
))
"),"#N/A")</f>
        <v>#N/A</v>
      </c>
      <c r="E677" s="14" t="s">
        <v>38</v>
      </c>
      <c r="F677" s="25">
        <v>46356.0</v>
      </c>
      <c r="G677" s="18">
        <f t="shared" si="5"/>
        <v>9</v>
      </c>
      <c r="H677" s="19">
        <f>VLOOKUP(A677,Metrik!$C$2:$Y$959,8,0)</f>
        <v>23.2</v>
      </c>
      <c r="I677" s="20">
        <f>VLOOKUP(A677,Metrik!$C$2:$Y$959,9,0)</f>
        <v>2.6</v>
      </c>
      <c r="J677" s="20">
        <f>VLOOKUP(A677,Metrik!$C$2:$Y$959,10,0)</f>
        <v>11.1</v>
      </c>
      <c r="K677" s="20">
        <f>VLOOKUP(A677,Metrik!$C$2:$Y$959,11,0)</f>
        <v>5</v>
      </c>
      <c r="L677" s="20">
        <f>VLOOKUP(A677,Metrik!$C$2:$Y$959,12,0)</f>
        <v>1.2</v>
      </c>
      <c r="M677" s="20">
        <f>VLOOKUP(A677,Metrik!$C$2:$Y$959,19,0)</f>
        <v>18.4</v>
      </c>
      <c r="N677" s="21"/>
      <c r="O677" s="21"/>
      <c r="P677" s="21"/>
      <c r="Q677" s="21"/>
      <c r="R677" s="21"/>
      <c r="S677" s="21"/>
      <c r="T677" s="21"/>
      <c r="U677" s="22">
        <f>IFERROR(__xludf.DUMMYFUNCTION("IFERROR(GOOGLEFINANCE(A677,""closeyest""),"""")"),0.3)</f>
        <v>0.3</v>
      </c>
      <c r="V677" s="23">
        <f>IFERROR(__xludf.DUMMYFUNCTION("IFERROR(GOOGLEFINANCE(A677,""changepct""),"""")"),18.64)</f>
        <v>18.64</v>
      </c>
      <c r="W677" s="22">
        <f>IFERROR(__xludf.DUMMYFUNCTION("IFERROR(GOOGLEFINANCE(A677,""priceopen""),"""")"),0.29)</f>
        <v>0.29</v>
      </c>
      <c r="X677" s="22">
        <f>IFERROR(__xludf.DUMMYFUNCTION("IFERROR(GOOGLEFINANCE(A677,""high""),"""")"),0.35)</f>
        <v>0.35</v>
      </c>
      <c r="Y677" s="22">
        <f>IFERROR(__xludf.DUMMYFUNCTION("IFERROR(GOOGLEFINANCE(A677,""low""),"""")"),0.26)</f>
        <v>0.26</v>
      </c>
      <c r="Z677" s="22">
        <f>IFERROR(__xludf.DUMMYFUNCTION("IFERROR(GOOGLEFINANCE(A677,""volume""),"""")"),61500.0)</f>
        <v>61500</v>
      </c>
      <c r="AA677" s="24" t="str">
        <f>VLOOKUP(A677,Metrik!$C$2:$Y$959,5,0)</f>
        <v>Oil &amp; Gas</v>
      </c>
      <c r="AB677" s="24" t="str">
        <f>VLOOKUP(A677,Metrik!$C$2:$Y$959,3,0)</f>
        <v>Energy</v>
      </c>
    </row>
    <row r="678">
      <c r="A678" s="14" t="s">
        <v>366</v>
      </c>
      <c r="B678" s="14" t="str">
        <f t="array" ref="B678">VLOOKUP(A678,{Metrik!$C$2:$C$998,Metrik!$B$2:$B$998},2,0)</f>
        <v>Energi Mega Persada Tbk.</v>
      </c>
      <c r="C678" s="15">
        <f>IFERROR(__xludf.DUMMYFUNCTION("GOOGLEFINANCE(""IDX:""&amp;A678,""price"")"),1390.0)</f>
        <v>1390</v>
      </c>
      <c r="D678" s="16" t="str">
        <f>IFERROR(__xludf.DUMMYFUNCTION("IF(A678="""","""",
SPARKLINE(
INDEX(
GOOGLEFINANCE(""IDX:""&amp;A678,""close"",TODAY()-365,TODAY()),
,2
),
{""linewidth"",1}
))
"),"#N/A")</f>
        <v>#N/A</v>
      </c>
      <c r="E678" s="14" t="s">
        <v>39</v>
      </c>
      <c r="F678" s="25">
        <v>46356.0</v>
      </c>
      <c r="G678" s="24">
        <f t="shared" si="5"/>
        <v>9</v>
      </c>
      <c r="H678" s="19">
        <f>VLOOKUP(A678,Metrik!$C$2:$Y$959,8,0)</f>
        <v>23.2</v>
      </c>
      <c r="I678" s="20">
        <f>VLOOKUP(A678,Metrik!$C$2:$Y$959,9,0)</f>
        <v>2.6</v>
      </c>
      <c r="J678" s="20">
        <f>VLOOKUP(A678,Metrik!$C$2:$Y$959,10,0)</f>
        <v>11.1</v>
      </c>
      <c r="K678" s="20">
        <f>VLOOKUP(A678,Metrik!$C$2:$Y$959,11,0)</f>
        <v>5</v>
      </c>
      <c r="L678" s="20">
        <f>VLOOKUP(A678,Metrik!$C$2:$Y$959,12,0)</f>
        <v>1.2</v>
      </c>
      <c r="M678" s="20">
        <f>VLOOKUP(A678,Metrik!$C$2:$Y$959,19,0)</f>
        <v>18.4</v>
      </c>
      <c r="N678" s="21"/>
      <c r="O678" s="21"/>
      <c r="P678" s="21"/>
      <c r="Q678" s="21"/>
      <c r="R678" s="21"/>
      <c r="S678" s="21"/>
      <c r="T678" s="21"/>
      <c r="U678" s="22">
        <f>IFERROR(__xludf.DUMMYFUNCTION("IFERROR(GOOGLEFINANCE(A678,""closeyest""),"""")"),0.3)</f>
        <v>0.3</v>
      </c>
      <c r="V678" s="23">
        <f>IFERROR(__xludf.DUMMYFUNCTION("IFERROR(GOOGLEFINANCE(A678,""changepct""),"""")"),18.64)</f>
        <v>18.64</v>
      </c>
      <c r="W678" s="22">
        <f>IFERROR(__xludf.DUMMYFUNCTION("IFERROR(GOOGLEFINANCE(A678,""priceopen""),"""")"),0.29)</f>
        <v>0.29</v>
      </c>
      <c r="X678" s="22">
        <f>IFERROR(__xludf.DUMMYFUNCTION("IFERROR(GOOGLEFINANCE(A678,""high""),"""")"),0.35)</f>
        <v>0.35</v>
      </c>
      <c r="Y678" s="22">
        <f>IFERROR(__xludf.DUMMYFUNCTION("IFERROR(GOOGLEFINANCE(A678,""low""),"""")"),0.26)</f>
        <v>0.26</v>
      </c>
      <c r="Z678" s="22">
        <f>IFERROR(__xludf.DUMMYFUNCTION("IFERROR(GOOGLEFINANCE(A678,""volume""),"""")"),61500.0)</f>
        <v>61500</v>
      </c>
      <c r="AA678" s="24" t="str">
        <f>VLOOKUP(A678,Metrik!$C$2:$Y$959,5,0)</f>
        <v>Oil &amp; Gas</v>
      </c>
      <c r="AB678" s="24" t="str">
        <f>VLOOKUP(A678,Metrik!$C$2:$Y$959,3,0)</f>
        <v>Energy</v>
      </c>
    </row>
    <row r="679">
      <c r="A679" s="14" t="s">
        <v>367</v>
      </c>
      <c r="B679" s="14" t="str">
        <f t="array" ref="B679">VLOOKUP(A679,{Metrik!$C$2:$C$998,Metrik!$B$2:$B$998},2,0)</f>
        <v>Envy Technologies Indonesia Tbk.</v>
      </c>
      <c r="C679" s="15">
        <f>IFERROR(__xludf.DUMMYFUNCTION("GOOGLEFINANCE(""IDX:""&amp;A679,""price"")"),50.0)</f>
        <v>50</v>
      </c>
      <c r="D679" s="16" t="str">
        <f>IFERROR(__xludf.DUMMYFUNCTION("IF(A679="""","""",
SPARKLINE(
INDEX(
GOOGLEFINANCE(""IDX:""&amp;A679,""close"",TODAY()-365,TODAY()),
,2
),
{""linewidth"",1}
))
"),"#N/A")</f>
        <v>#N/A</v>
      </c>
      <c r="E679" s="26"/>
      <c r="F679" s="26"/>
      <c r="G679" s="24">
        <f t="shared" si="5"/>
        <v>0</v>
      </c>
      <c r="H679" s="19">
        <f>VLOOKUP(A679,Metrik!$C$2:$Y$959,8,0)</f>
        <v>-9.4</v>
      </c>
      <c r="I679" s="20">
        <f>VLOOKUP(A679,Metrik!$C$2:$Y$959,9,0)</f>
        <v>-1.7</v>
      </c>
      <c r="J679" s="20">
        <f>VLOOKUP(A679,Metrik!$C$2:$Y$959,10,0)</f>
        <v>0</v>
      </c>
      <c r="K679" s="20">
        <f>VLOOKUP(A679,Metrik!$C$2:$Y$959,11,0)</f>
        <v>-64.6</v>
      </c>
      <c r="L679" s="20">
        <f>VLOOKUP(A679,Metrik!$C$2:$Y$959,12,0)</f>
        <v>-1.3</v>
      </c>
      <c r="M679" s="20">
        <f>VLOOKUP(A679,Metrik!$C$2:$Y$959,19,0)</f>
        <v>-1690</v>
      </c>
      <c r="N679" s="21"/>
      <c r="O679" s="21"/>
      <c r="P679" s="21"/>
      <c r="Q679" s="21"/>
      <c r="R679" s="21"/>
      <c r="S679" s="21"/>
      <c r="T679" s="21"/>
      <c r="U679" s="22">
        <f>IFERROR(__xludf.DUMMYFUNCTION("IFERROR(GOOGLEFINANCE(A679,""closeyest""),"""")"),50.0)</f>
        <v>50</v>
      </c>
      <c r="V679" s="23">
        <f>IFERROR(__xludf.DUMMYFUNCTION("IFERROR(GOOGLEFINANCE(A679,""changepct""),"""")"),0.0)</f>
        <v>0</v>
      </c>
      <c r="W679" s="22" t="str">
        <f>IFERROR(__xludf.DUMMYFUNCTION("IFERROR(GOOGLEFINANCE(A679,""priceopen""),"""")"),"")</f>
        <v/>
      </c>
      <c r="X679" s="22" t="str">
        <f>IFERROR(__xludf.DUMMYFUNCTION("IFERROR(GOOGLEFINANCE(A679,""high""),"""")"),"")</f>
        <v/>
      </c>
      <c r="Y679" s="22" t="str">
        <f>IFERROR(__xludf.DUMMYFUNCTION("IFERROR(GOOGLEFINANCE(A679,""low""),"""")"),"")</f>
        <v/>
      </c>
      <c r="Z679" s="22">
        <f>IFERROR(__xludf.DUMMYFUNCTION("IFERROR(GOOGLEFINANCE(A679,""volume""),"""")"),0.0)</f>
        <v>0</v>
      </c>
      <c r="AA679" s="24" t="str">
        <f>VLOOKUP(A679,Metrik!$C$2:$Y$959,5,0)</f>
        <v>IT Services &amp; Consulting</v>
      </c>
      <c r="AB679" s="24" t="str">
        <f>VLOOKUP(A679,Metrik!$C$2:$Y$959,3,0)</f>
        <v>Technology</v>
      </c>
    </row>
    <row r="680">
      <c r="A680" s="14" t="s">
        <v>368</v>
      </c>
      <c r="B680" s="14" t="str">
        <f t="array" ref="B680">VLOOKUP(A680,{Metrik!$C$2:$C$998,Metrik!$B$2:$B$998},2,0)</f>
        <v>Morenzo Abadi Perkasa Tbk.</v>
      </c>
      <c r="C680" s="15" t="str">
        <f>IFERROR(__xludf.DUMMYFUNCTION("GOOGLEFINANCE(""IDX:""&amp;A680,""price"")"),"#N/A")</f>
        <v>#N/A</v>
      </c>
      <c r="D680" s="16" t="str">
        <f>IFERROR(__xludf.DUMMYFUNCTION("IF(A680="""","""",
SPARKLINE(
INDEX(
GOOGLEFINANCE(""IDX:""&amp;A680,""close"",TODAY()-365,TODAY()),
,2
),
{""linewidth"",1}
))
"),"#N/A")</f>
        <v>#N/A</v>
      </c>
      <c r="E680" s="26"/>
      <c r="F680" s="26"/>
      <c r="G680" s="24">
        <f t="shared" si="5"/>
        <v>0</v>
      </c>
      <c r="H680" s="19">
        <f>VLOOKUP(A680,Metrik!$C$2:$Y$959,8,0)</f>
        <v>33.7</v>
      </c>
      <c r="I680" s="20">
        <f>VLOOKUP(A680,Metrik!$C$2:$Y$959,9,0)</f>
        <v>0.94</v>
      </c>
      <c r="J680" s="20">
        <f>VLOOKUP(A680,Metrik!$C$2:$Y$959,10,0)</f>
        <v>2.8</v>
      </c>
      <c r="K680" s="20">
        <f>VLOOKUP(A680,Metrik!$C$2:$Y$959,11,0)</f>
        <v>1.1</v>
      </c>
      <c r="L680" s="20">
        <f>VLOOKUP(A680,Metrik!$C$2:$Y$959,12,0)</f>
        <v>1.6</v>
      </c>
      <c r="M680" s="20">
        <f>VLOOKUP(A680,Metrik!$C$2:$Y$959,19,0)</f>
        <v>5.1</v>
      </c>
      <c r="N680" s="21"/>
      <c r="O680" s="21"/>
      <c r="P680" s="21"/>
      <c r="Q680" s="21"/>
      <c r="R680" s="21"/>
      <c r="S680" s="21"/>
      <c r="T680" s="21"/>
      <c r="U680" s="22">
        <f>IFERROR(__xludf.DUMMYFUNCTION("IFERROR(GOOGLEFINANCE(A680,""closeyest""),"""")"),60.0)</f>
        <v>60</v>
      </c>
      <c r="V680" s="23">
        <f>IFERROR(__xludf.DUMMYFUNCTION("IFERROR(GOOGLEFINANCE(A680,""changepct""),"""")"),11.67)</f>
        <v>11.67</v>
      </c>
      <c r="W680" s="22">
        <f>IFERROR(__xludf.DUMMYFUNCTION("IFERROR(GOOGLEFINANCE(A680,""priceopen""),"""")"),60.0)</f>
        <v>60</v>
      </c>
      <c r="X680" s="22">
        <f>IFERROR(__xludf.DUMMYFUNCTION("IFERROR(GOOGLEFINANCE(A680,""high""),"""")"),70.0)</f>
        <v>70</v>
      </c>
      <c r="Y680" s="22">
        <f>IFERROR(__xludf.DUMMYFUNCTION("IFERROR(GOOGLEFINANCE(A680,""low""),"""")"),60.0)</f>
        <v>60</v>
      </c>
      <c r="Z680" s="22">
        <f>IFERROR(__xludf.DUMMYFUNCTION("IFERROR(GOOGLEFINANCE(A680,""volume""),"""")"),2.02323E7)</f>
        <v>20232300</v>
      </c>
      <c r="AA680" s="24" t="str">
        <f>VLOOKUP(A680,Metrik!$C$2:$Y$959,5,0)</f>
        <v>Agricultural Products</v>
      </c>
      <c r="AB680" s="24" t="str">
        <f>VLOOKUP(A680,Metrik!$C$2:$Y$959,3,0)</f>
        <v>Consumer Non-Cyclicals</v>
      </c>
    </row>
    <row r="681">
      <c r="A681" s="14" t="s">
        <v>369</v>
      </c>
      <c r="B681" s="14" t="str">
        <f t="array" ref="B681">VLOOKUP(A681,{Metrik!$C$2:$C$998,Metrik!$B$2:$B$998},2,0)</f>
        <v>Megalestari Epack Sentosaraya Tbk.</v>
      </c>
      <c r="C681" s="15">
        <f>IFERROR(__xludf.DUMMYFUNCTION("GOOGLEFINANCE(""IDX:""&amp;A681,""price"")"),55.0)</f>
        <v>55</v>
      </c>
      <c r="D681" s="16" t="str">
        <f>IFERROR(__xludf.DUMMYFUNCTION("IF(A681="""","""",
SPARKLINE(
INDEX(
GOOGLEFINANCE(""IDX:""&amp;A681,""close"",TODAY()-365,TODAY()),
,2
),
{""linewidth"",1}
))
"),"#N/A")</f>
        <v>#N/A</v>
      </c>
      <c r="E681" s="26"/>
      <c r="F681" s="26"/>
      <c r="G681" s="24">
        <f t="shared" si="5"/>
        <v>0</v>
      </c>
      <c r="H681" s="19">
        <f>VLOOKUP(A681,Metrik!$C$2:$Y$959,8,0)</f>
        <v>-56.4</v>
      </c>
      <c r="I681" s="20">
        <f>VLOOKUP(A681,Metrik!$C$2:$Y$959,9,0)</f>
        <v>3.2</v>
      </c>
      <c r="J681" s="20">
        <f>VLOOKUP(A681,Metrik!$C$2:$Y$959,10,0)</f>
        <v>-5.7</v>
      </c>
      <c r="K681" s="20">
        <f>VLOOKUP(A681,Metrik!$C$2:$Y$959,11,0)</f>
        <v>-1.6</v>
      </c>
      <c r="L681" s="20">
        <f>VLOOKUP(A681,Metrik!$C$2:$Y$959,12,0)</f>
        <v>2.5</v>
      </c>
      <c r="M681" s="20">
        <f>VLOOKUP(A681,Metrik!$C$2:$Y$959,19,0)</f>
        <v>-10.3</v>
      </c>
      <c r="N681" s="21"/>
      <c r="O681" s="21"/>
      <c r="P681" s="21"/>
      <c r="Q681" s="21"/>
      <c r="R681" s="21"/>
      <c r="S681" s="21"/>
      <c r="T681" s="21"/>
      <c r="U681" s="22">
        <f>IFERROR(__xludf.DUMMYFUNCTION("IFERROR(GOOGLEFINANCE(A681,""closeyest""),"""")"),35.22)</f>
        <v>35.22</v>
      </c>
      <c r="V681" s="23">
        <f>IFERROR(__xludf.DUMMYFUNCTION("IFERROR(GOOGLEFINANCE(A681,""changepct""),"""")"),-0.48)</f>
        <v>-0.48</v>
      </c>
      <c r="W681" s="22">
        <f>IFERROR(__xludf.DUMMYFUNCTION("IFERROR(GOOGLEFINANCE(A681,""priceopen""),"""")"),35.45)</f>
        <v>35.45</v>
      </c>
      <c r="X681" s="22">
        <f>IFERROR(__xludf.DUMMYFUNCTION("IFERROR(GOOGLEFINANCE(A681,""high""),"""")"),35.52)</f>
        <v>35.52</v>
      </c>
      <c r="Y681" s="22">
        <f>IFERROR(__xludf.DUMMYFUNCTION("IFERROR(GOOGLEFINANCE(A681,""low""),"""")"),34.91)</f>
        <v>34.91</v>
      </c>
      <c r="Z681" s="22">
        <f>IFERROR(__xludf.DUMMYFUNCTION("IFERROR(GOOGLEFINANCE(A681,""volume""),"""")"),252363.0)</f>
        <v>252363</v>
      </c>
      <c r="AA681" s="24" t="str">
        <f>VLOOKUP(A681,Metrik!$C$2:$Y$959,5,0)</f>
        <v>Containers &amp; Packaging</v>
      </c>
      <c r="AB681" s="24" t="str">
        <f>VLOOKUP(A681,Metrik!$C$2:$Y$959,3,0)</f>
        <v>Basic Materials</v>
      </c>
    </row>
    <row r="682">
      <c r="A682" s="14" t="s">
        <v>370</v>
      </c>
      <c r="B682" s="14" t="str">
        <f t="array" ref="B682">VLOOKUP(A682,{Metrik!$C$2:$C$998,Metrik!$B$2:$B$998},2,0)</f>
        <v>Enseval Putera Megatrading Tbk.</v>
      </c>
      <c r="C682" s="15">
        <f>IFERROR(__xludf.DUMMYFUNCTION("GOOGLEFINANCE(""IDX:""&amp;A682,""price"")"),2310.0)</f>
        <v>2310</v>
      </c>
      <c r="D682" s="16" t="str">
        <f>IFERROR(__xludf.DUMMYFUNCTION("IF(A682="""","""",
SPARKLINE(
INDEX(
GOOGLEFINANCE(""IDX:""&amp;A682,""close"",TODAY()-365,TODAY()),
,2
),
{""linewidth"",1}
))
"),"#N/A")</f>
        <v>#N/A</v>
      </c>
      <c r="E682" s="26"/>
      <c r="F682" s="26"/>
      <c r="G682" s="24">
        <f t="shared" si="5"/>
        <v>0</v>
      </c>
      <c r="H682" s="19">
        <f>VLOOKUP(A682,Metrik!$C$2:$Y$959,8,0)</f>
        <v>8</v>
      </c>
      <c r="I682" s="20">
        <f>VLOOKUP(A682,Metrik!$C$2:$Y$959,9,0)</f>
        <v>0.76</v>
      </c>
      <c r="J682" s="20">
        <f>VLOOKUP(A682,Metrik!$C$2:$Y$959,10,0)</f>
        <v>9.5</v>
      </c>
      <c r="K682" s="20">
        <f>VLOOKUP(A682,Metrik!$C$2:$Y$959,11,0)</f>
        <v>5.5</v>
      </c>
      <c r="L682" s="20">
        <f>VLOOKUP(A682,Metrik!$C$2:$Y$959,12,0)</f>
        <v>0.73</v>
      </c>
      <c r="M682" s="20">
        <f>VLOOKUP(A682,Metrik!$C$2:$Y$959,19,0)</f>
        <v>8.6</v>
      </c>
      <c r="N682" s="21"/>
      <c r="O682" s="21"/>
      <c r="P682" s="21"/>
      <c r="Q682" s="21"/>
      <c r="R682" s="21"/>
      <c r="S682" s="21"/>
      <c r="T682" s="21"/>
      <c r="U682" s="22">
        <f>IFERROR(__xludf.DUMMYFUNCTION("IFERROR(GOOGLEFINANCE(A682,""closeyest""),"""")"),2270.0)</f>
        <v>2270</v>
      </c>
      <c r="V682" s="23">
        <f>IFERROR(__xludf.DUMMYFUNCTION("IFERROR(GOOGLEFINANCE(A682,""changepct""),"""")"),1.76)</f>
        <v>1.76</v>
      </c>
      <c r="W682" s="22" t="str">
        <f>IFERROR(__xludf.DUMMYFUNCTION("IFERROR(GOOGLEFINANCE(A682,""priceopen""),"""")"),"")</f>
        <v/>
      </c>
      <c r="X682" s="22">
        <f>IFERROR(__xludf.DUMMYFUNCTION("IFERROR(GOOGLEFINANCE(A682,""high""),"""")"),2320.0)</f>
        <v>2320</v>
      </c>
      <c r="Y682" s="22">
        <f>IFERROR(__xludf.DUMMYFUNCTION("IFERROR(GOOGLEFINANCE(A682,""low""),"""")"),2260.0)</f>
        <v>2260</v>
      </c>
      <c r="Z682" s="22">
        <f>IFERROR(__xludf.DUMMYFUNCTION("IFERROR(GOOGLEFINANCE(A682,""volume""),"""")"),172600.0)</f>
        <v>172600</v>
      </c>
      <c r="AA682" s="24" t="str">
        <f>VLOOKUP(A682,Metrik!$C$2:$Y$959,5,0)</f>
        <v>Food &amp; Staples Retailing</v>
      </c>
      <c r="AB682" s="24" t="str">
        <f>VLOOKUP(A682,Metrik!$C$2:$Y$959,3,0)</f>
        <v>Consumer Non-Cyclicals</v>
      </c>
    </row>
    <row r="683">
      <c r="A683" s="14" t="s">
        <v>371</v>
      </c>
      <c r="B683" s="14" t="str">
        <f t="array" ref="B683">VLOOKUP(A683,{Metrik!$C$2:$C$998,Metrik!$B$2:$B$998},2,0)</f>
        <v>Erajaya Swasembada Tbk.</v>
      </c>
      <c r="C683" s="15">
        <f>IFERROR(__xludf.DUMMYFUNCTION("GOOGLEFINANCE(""IDX:""&amp;A683,""price"")"),364.0)</f>
        <v>364</v>
      </c>
      <c r="D683" s="16" t="str">
        <f>IFERROR(__xludf.DUMMYFUNCTION("IF(A683="""","""",
SPARKLINE(
INDEX(
GOOGLEFINANCE(""IDX:""&amp;A683,""close"",TODAY()-365,TODAY()),
,2
),
{""linewidth"",1}
))
"),"#N/A")</f>
        <v>#N/A</v>
      </c>
      <c r="E683" s="14" t="s">
        <v>65</v>
      </c>
      <c r="F683" s="25">
        <v>46356.0</v>
      </c>
      <c r="G683" s="24">
        <f t="shared" si="5"/>
        <v>10</v>
      </c>
      <c r="H683" s="19">
        <f>VLOOKUP(A683,Metrik!$C$2:$Y$959,8,0)</f>
        <v>4.1</v>
      </c>
      <c r="I683" s="20">
        <f>VLOOKUP(A683,Metrik!$C$2:$Y$959,9,0)</f>
        <v>0.54</v>
      </c>
      <c r="J683" s="20">
        <f>VLOOKUP(A683,Metrik!$C$2:$Y$959,10,0)</f>
        <v>13.2</v>
      </c>
      <c r="K683" s="20">
        <f>VLOOKUP(A683,Metrik!$C$2:$Y$959,11,0)</f>
        <v>4.6</v>
      </c>
      <c r="L683" s="20">
        <f>VLOOKUP(A683,Metrik!$C$2:$Y$959,12,0)</f>
        <v>1.9</v>
      </c>
      <c r="M683" s="20">
        <f>VLOOKUP(A683,Metrik!$C$2:$Y$959,19,0)</f>
        <v>6.5</v>
      </c>
      <c r="N683" s="21"/>
      <c r="O683" s="21"/>
      <c r="P683" s="21"/>
      <c r="Q683" s="21"/>
      <c r="R683" s="21"/>
      <c r="S683" s="21"/>
      <c r="T683" s="21"/>
      <c r="U683" s="22" t="str">
        <f>IFERROR(__xludf.DUMMYFUNCTION("IFERROR(GOOGLEFINANCE(A683,""closeyest""),"""")"),"")</f>
        <v/>
      </c>
      <c r="V683" s="23">
        <f>IFERROR(__xludf.DUMMYFUNCTION("IFERROR(GOOGLEFINANCE(A683,""changepct""),"""")"),2.82)</f>
        <v>2.82</v>
      </c>
      <c r="W683" s="22">
        <f>IFERROR(__xludf.DUMMYFUNCTION("IFERROR(GOOGLEFINANCE(A683,""priceopen""),"""")"),356.0)</f>
        <v>356</v>
      </c>
      <c r="X683" s="22">
        <f>IFERROR(__xludf.DUMMYFUNCTION("IFERROR(GOOGLEFINANCE(A683,""high""),"""")"),370.0)</f>
        <v>370</v>
      </c>
      <c r="Y683" s="22">
        <f>IFERROR(__xludf.DUMMYFUNCTION("IFERROR(GOOGLEFINANCE(A683,""low""),"""")"),356.0)</f>
        <v>356</v>
      </c>
      <c r="Z683" s="22">
        <f>IFERROR(__xludf.DUMMYFUNCTION("IFERROR(GOOGLEFINANCE(A683,""volume""),"""")"),1.60438E7)</f>
        <v>16043800</v>
      </c>
      <c r="AA683" s="24" t="str">
        <f>VLOOKUP(A683,Metrik!$C$2:$Y$959,5,0)</f>
        <v>Specialty Retail</v>
      </c>
      <c r="AB683" s="24" t="str">
        <f>VLOOKUP(A683,Metrik!$C$2:$Y$959,3,0)</f>
        <v>Consumer Cyclicals</v>
      </c>
    </row>
    <row r="684">
      <c r="A684" s="14" t="s">
        <v>371</v>
      </c>
      <c r="B684" s="14" t="str">
        <f t="array" ref="B684">VLOOKUP(A684,{Metrik!$C$2:$C$998,Metrik!$B$2:$B$998},2,0)</f>
        <v>Erajaya Swasembada Tbk.</v>
      </c>
      <c r="C684" s="15">
        <f>IFERROR(__xludf.DUMMYFUNCTION("GOOGLEFINANCE(""IDX:""&amp;A684,""price"")"),364.0)</f>
        <v>364</v>
      </c>
      <c r="D684" s="16" t="str">
        <f>IFERROR(__xludf.DUMMYFUNCTION("IF(A684="""","""",
SPARKLINE(
INDEX(
GOOGLEFINANCE(""IDX:""&amp;A684,""close"",TODAY()-365,TODAY()),
,2
),
{""linewidth"",1}
))
"),"#N/A")</f>
        <v>#N/A</v>
      </c>
      <c r="E684" s="14" t="s">
        <v>48</v>
      </c>
      <c r="F684" s="14" t="s">
        <v>49</v>
      </c>
      <c r="G684" s="24">
        <f t="shared" si="5"/>
        <v>10</v>
      </c>
      <c r="H684" s="19">
        <f>VLOOKUP(A684,Metrik!$C$2:$Y$959,8,0)</f>
        <v>4.1</v>
      </c>
      <c r="I684" s="20">
        <f>VLOOKUP(A684,Metrik!$C$2:$Y$959,9,0)</f>
        <v>0.54</v>
      </c>
      <c r="J684" s="20">
        <f>VLOOKUP(A684,Metrik!$C$2:$Y$959,10,0)</f>
        <v>13.2</v>
      </c>
      <c r="K684" s="20">
        <f>VLOOKUP(A684,Metrik!$C$2:$Y$959,11,0)</f>
        <v>4.6</v>
      </c>
      <c r="L684" s="20">
        <f>VLOOKUP(A684,Metrik!$C$2:$Y$959,12,0)</f>
        <v>1.9</v>
      </c>
      <c r="M684" s="20">
        <f>VLOOKUP(A684,Metrik!$C$2:$Y$959,19,0)</f>
        <v>6.5</v>
      </c>
      <c r="N684" s="21"/>
      <c r="O684" s="21"/>
      <c r="P684" s="21"/>
      <c r="Q684" s="21"/>
      <c r="R684" s="21"/>
      <c r="S684" s="21"/>
      <c r="T684" s="21"/>
      <c r="U684" s="22" t="str">
        <f>IFERROR(__xludf.DUMMYFUNCTION("IFERROR(GOOGLEFINANCE(A684,""closeyest""),"""")"),"")</f>
        <v/>
      </c>
      <c r="V684" s="23">
        <f>IFERROR(__xludf.DUMMYFUNCTION("IFERROR(GOOGLEFINANCE(A684,""changepct""),"""")"),2.82)</f>
        <v>2.82</v>
      </c>
      <c r="W684" s="22">
        <f>IFERROR(__xludf.DUMMYFUNCTION("IFERROR(GOOGLEFINANCE(A684,""priceopen""),"""")"),356.0)</f>
        <v>356</v>
      </c>
      <c r="X684" s="22">
        <f>IFERROR(__xludf.DUMMYFUNCTION("IFERROR(GOOGLEFINANCE(A684,""high""),"""")"),370.0)</f>
        <v>370</v>
      </c>
      <c r="Y684" s="22">
        <f>IFERROR(__xludf.DUMMYFUNCTION("IFERROR(GOOGLEFINANCE(A684,""low""),"""")"),356.0)</f>
        <v>356</v>
      </c>
      <c r="Z684" s="22">
        <f>IFERROR(__xludf.DUMMYFUNCTION("IFERROR(GOOGLEFINANCE(A684,""volume""),"""")"),1.60438E7)</f>
        <v>16043800</v>
      </c>
      <c r="AA684" s="24" t="str">
        <f>VLOOKUP(A684,Metrik!$C$2:$Y$959,5,0)</f>
        <v>Specialty Retail</v>
      </c>
      <c r="AB684" s="24" t="str">
        <f>VLOOKUP(A684,Metrik!$C$2:$Y$959,3,0)</f>
        <v>Consumer Cyclicals</v>
      </c>
    </row>
    <row r="685">
      <c r="A685" s="14" t="s">
        <v>371</v>
      </c>
      <c r="B685" s="14" t="str">
        <f t="array" ref="B685">VLOOKUP(A685,{Metrik!$C$2:$C$998,Metrik!$B$2:$B$998},2,0)</f>
        <v>Erajaya Swasembada Tbk.</v>
      </c>
      <c r="C685" s="15">
        <f>IFERROR(__xludf.DUMMYFUNCTION("GOOGLEFINANCE(""IDX:""&amp;A685,""price"")"),364.0)</f>
        <v>364</v>
      </c>
      <c r="D685" s="16" t="str">
        <f>IFERROR(__xludf.DUMMYFUNCTION("IF(A685="""","""",
SPARKLINE(
INDEX(
GOOGLEFINANCE(""IDX:""&amp;A685,""close"",TODAY()-365,TODAY()),
,2
),
{""linewidth"",1}
))
"),"#N/A")</f>
        <v>#N/A</v>
      </c>
      <c r="E685" s="14" t="s">
        <v>68</v>
      </c>
      <c r="F685" s="14" t="s">
        <v>34</v>
      </c>
      <c r="G685" s="24">
        <f t="shared" si="5"/>
        <v>10</v>
      </c>
      <c r="H685" s="19">
        <f>VLOOKUP(A685,Metrik!$C$2:$Y$959,8,0)</f>
        <v>4.1</v>
      </c>
      <c r="I685" s="20">
        <f>VLOOKUP(A685,Metrik!$C$2:$Y$959,9,0)</f>
        <v>0.54</v>
      </c>
      <c r="J685" s="20">
        <f>VLOOKUP(A685,Metrik!$C$2:$Y$959,10,0)</f>
        <v>13.2</v>
      </c>
      <c r="K685" s="20">
        <f>VLOOKUP(A685,Metrik!$C$2:$Y$959,11,0)</f>
        <v>4.6</v>
      </c>
      <c r="L685" s="20">
        <f>VLOOKUP(A685,Metrik!$C$2:$Y$959,12,0)</f>
        <v>1.9</v>
      </c>
      <c r="M685" s="20">
        <f>VLOOKUP(A685,Metrik!$C$2:$Y$959,19,0)</f>
        <v>6.5</v>
      </c>
      <c r="N685" s="21"/>
      <c r="O685" s="21"/>
      <c r="P685" s="21"/>
      <c r="Q685" s="21"/>
      <c r="R685" s="21"/>
      <c r="S685" s="21"/>
      <c r="T685" s="21"/>
      <c r="U685" s="22" t="str">
        <f>IFERROR(__xludf.DUMMYFUNCTION("IFERROR(GOOGLEFINANCE(A685,""closeyest""),"""")"),"")</f>
        <v/>
      </c>
      <c r="V685" s="23">
        <f>IFERROR(__xludf.DUMMYFUNCTION("IFERROR(GOOGLEFINANCE(A685,""changepct""),"""")"),2.82)</f>
        <v>2.82</v>
      </c>
      <c r="W685" s="22">
        <f>IFERROR(__xludf.DUMMYFUNCTION("IFERROR(GOOGLEFINANCE(A685,""priceopen""),"""")"),356.0)</f>
        <v>356</v>
      </c>
      <c r="X685" s="22">
        <f>IFERROR(__xludf.DUMMYFUNCTION("IFERROR(GOOGLEFINANCE(A685,""high""),"""")"),370.0)</f>
        <v>370</v>
      </c>
      <c r="Y685" s="22">
        <f>IFERROR(__xludf.DUMMYFUNCTION("IFERROR(GOOGLEFINANCE(A685,""low""),"""")"),356.0)</f>
        <v>356</v>
      </c>
      <c r="Z685" s="22">
        <f>IFERROR(__xludf.DUMMYFUNCTION("IFERROR(GOOGLEFINANCE(A685,""volume""),"""")"),1.60438E7)</f>
        <v>16043800</v>
      </c>
      <c r="AA685" s="24" t="str">
        <f>VLOOKUP(A685,Metrik!$C$2:$Y$959,5,0)</f>
        <v>Specialty Retail</v>
      </c>
      <c r="AB685" s="24" t="str">
        <f>VLOOKUP(A685,Metrik!$C$2:$Y$959,3,0)</f>
        <v>Consumer Cyclicals</v>
      </c>
    </row>
    <row r="686">
      <c r="A686" s="14" t="s">
        <v>371</v>
      </c>
      <c r="B686" s="14" t="str">
        <f t="array" ref="B686">VLOOKUP(A686,{Metrik!$C$2:$C$998,Metrik!$B$2:$B$998},2,0)</f>
        <v>Erajaya Swasembada Tbk.</v>
      </c>
      <c r="C686" s="15">
        <f>IFERROR(__xludf.DUMMYFUNCTION("GOOGLEFINANCE(""IDX:""&amp;A686,""price"")"),364.0)</f>
        <v>364</v>
      </c>
      <c r="D686" s="16" t="str">
        <f>IFERROR(__xludf.DUMMYFUNCTION("IF(A686="""","""",
SPARKLINE(
INDEX(
GOOGLEFINANCE(""IDX:""&amp;A686,""close"",TODAY()-365,TODAY()),
,2
),
{""linewidth"",1}
))
"),"#N/A")</f>
        <v>#N/A</v>
      </c>
      <c r="E686" s="14" t="s">
        <v>28</v>
      </c>
      <c r="F686" s="17" t="s">
        <v>29</v>
      </c>
      <c r="G686" s="24">
        <f t="shared" si="5"/>
        <v>10</v>
      </c>
      <c r="H686" s="19">
        <f>VLOOKUP(A686,Metrik!$C$2:$Y$959,8,0)</f>
        <v>4.1</v>
      </c>
      <c r="I686" s="20">
        <f>VLOOKUP(A686,Metrik!$C$2:$Y$959,9,0)</f>
        <v>0.54</v>
      </c>
      <c r="J686" s="20">
        <f>VLOOKUP(A686,Metrik!$C$2:$Y$959,10,0)</f>
        <v>13.2</v>
      </c>
      <c r="K686" s="20">
        <f>VLOOKUP(A686,Metrik!$C$2:$Y$959,11,0)</f>
        <v>4.6</v>
      </c>
      <c r="L686" s="20">
        <f>VLOOKUP(A686,Metrik!$C$2:$Y$959,12,0)</f>
        <v>1.9</v>
      </c>
      <c r="M686" s="20">
        <f>VLOOKUP(A686,Metrik!$C$2:$Y$959,19,0)</f>
        <v>6.5</v>
      </c>
      <c r="N686" s="21"/>
      <c r="O686" s="21"/>
      <c r="P686" s="21"/>
      <c r="Q686" s="21"/>
      <c r="R686" s="21"/>
      <c r="S686" s="21"/>
      <c r="T686" s="21"/>
      <c r="U686" s="22" t="str">
        <f>IFERROR(__xludf.DUMMYFUNCTION("IFERROR(GOOGLEFINANCE(A686,""closeyest""),"""")"),"")</f>
        <v/>
      </c>
      <c r="V686" s="23">
        <f>IFERROR(__xludf.DUMMYFUNCTION("IFERROR(GOOGLEFINANCE(A686,""changepct""),"""")"),2.82)</f>
        <v>2.82</v>
      </c>
      <c r="W686" s="22">
        <f>IFERROR(__xludf.DUMMYFUNCTION("IFERROR(GOOGLEFINANCE(A686,""priceopen""),"""")"),356.0)</f>
        <v>356</v>
      </c>
      <c r="X686" s="22">
        <f>IFERROR(__xludf.DUMMYFUNCTION("IFERROR(GOOGLEFINANCE(A686,""high""),"""")"),370.0)</f>
        <v>370</v>
      </c>
      <c r="Y686" s="22">
        <f>IFERROR(__xludf.DUMMYFUNCTION("IFERROR(GOOGLEFINANCE(A686,""low""),"""")"),356.0)</f>
        <v>356</v>
      </c>
      <c r="Z686" s="22">
        <f>IFERROR(__xludf.DUMMYFUNCTION("IFERROR(GOOGLEFINANCE(A686,""volume""),"""")"),1.60438E7)</f>
        <v>16043800</v>
      </c>
      <c r="AA686" s="24" t="str">
        <f>VLOOKUP(A686,Metrik!$C$2:$Y$959,5,0)</f>
        <v>Specialty Retail</v>
      </c>
      <c r="AB686" s="24" t="str">
        <f>VLOOKUP(A686,Metrik!$C$2:$Y$959,3,0)</f>
        <v>Consumer Cyclicals</v>
      </c>
    </row>
    <row r="687">
      <c r="A687" s="14" t="s">
        <v>371</v>
      </c>
      <c r="B687" s="14" t="str">
        <f t="array" ref="B687">VLOOKUP(A687,{Metrik!$C$2:$C$998,Metrik!$B$2:$B$998},2,0)</f>
        <v>Erajaya Swasembada Tbk.</v>
      </c>
      <c r="C687" s="15">
        <f>IFERROR(__xludf.DUMMYFUNCTION("GOOGLEFINANCE(""IDX:""&amp;A687,""price"")"),364.0)</f>
        <v>364</v>
      </c>
      <c r="D687" s="16" t="str">
        <f>IFERROR(__xludf.DUMMYFUNCTION("IF(A687="""","""",
SPARKLINE(
INDEX(
GOOGLEFINANCE(""IDX:""&amp;A687,""close"",TODAY()-365,TODAY()),
,2
),
{""linewidth"",1}
))
"),"#N/A")</f>
        <v>#N/A</v>
      </c>
      <c r="E687" s="14" t="s">
        <v>32</v>
      </c>
      <c r="F687" s="14" t="s">
        <v>29</v>
      </c>
      <c r="G687" s="24">
        <f t="shared" si="5"/>
        <v>10</v>
      </c>
      <c r="H687" s="19">
        <f>VLOOKUP(A687,Metrik!$C$2:$Y$959,8,0)</f>
        <v>4.1</v>
      </c>
      <c r="I687" s="20">
        <f>VLOOKUP(A687,Metrik!$C$2:$Y$959,9,0)</f>
        <v>0.54</v>
      </c>
      <c r="J687" s="20">
        <f>VLOOKUP(A687,Metrik!$C$2:$Y$959,10,0)</f>
        <v>13.2</v>
      </c>
      <c r="K687" s="20">
        <f>VLOOKUP(A687,Metrik!$C$2:$Y$959,11,0)</f>
        <v>4.6</v>
      </c>
      <c r="L687" s="20">
        <f>VLOOKUP(A687,Metrik!$C$2:$Y$959,12,0)</f>
        <v>1.9</v>
      </c>
      <c r="M687" s="20">
        <f>VLOOKUP(A687,Metrik!$C$2:$Y$959,19,0)</f>
        <v>6.5</v>
      </c>
      <c r="N687" s="21"/>
      <c r="O687" s="21"/>
      <c r="P687" s="21"/>
      <c r="Q687" s="21"/>
      <c r="R687" s="21"/>
      <c r="S687" s="21"/>
      <c r="T687" s="21"/>
      <c r="U687" s="22" t="str">
        <f>IFERROR(__xludf.DUMMYFUNCTION("IFERROR(GOOGLEFINANCE(A687,""closeyest""),"""")"),"")</f>
        <v/>
      </c>
      <c r="V687" s="23">
        <f>IFERROR(__xludf.DUMMYFUNCTION("IFERROR(GOOGLEFINANCE(A687,""changepct""),"""")"),2.82)</f>
        <v>2.82</v>
      </c>
      <c r="W687" s="22">
        <f>IFERROR(__xludf.DUMMYFUNCTION("IFERROR(GOOGLEFINANCE(A687,""priceopen""),"""")"),356.0)</f>
        <v>356</v>
      </c>
      <c r="X687" s="22">
        <f>IFERROR(__xludf.DUMMYFUNCTION("IFERROR(GOOGLEFINANCE(A687,""high""),"""")"),370.0)</f>
        <v>370</v>
      </c>
      <c r="Y687" s="22">
        <f>IFERROR(__xludf.DUMMYFUNCTION("IFERROR(GOOGLEFINANCE(A687,""low""),"""")"),356.0)</f>
        <v>356</v>
      </c>
      <c r="Z687" s="22">
        <f>IFERROR(__xludf.DUMMYFUNCTION("IFERROR(GOOGLEFINANCE(A687,""volume""),"""")"),1.60438E7)</f>
        <v>16043800</v>
      </c>
      <c r="AA687" s="24" t="str">
        <f>VLOOKUP(A687,Metrik!$C$2:$Y$959,5,0)</f>
        <v>Specialty Retail</v>
      </c>
      <c r="AB687" s="24" t="str">
        <f>VLOOKUP(A687,Metrik!$C$2:$Y$959,3,0)</f>
        <v>Consumer Cyclicals</v>
      </c>
    </row>
    <row r="688">
      <c r="A688" s="14" t="s">
        <v>371</v>
      </c>
      <c r="B688" s="14" t="str">
        <f t="array" ref="B688">VLOOKUP(A688,{Metrik!$C$2:$C$998,Metrik!$B$2:$B$998},2,0)</f>
        <v>Erajaya Swasembada Tbk.</v>
      </c>
      <c r="C688" s="15">
        <f>IFERROR(__xludf.DUMMYFUNCTION("GOOGLEFINANCE(""IDX:""&amp;A688,""price"")"),364.0)</f>
        <v>364</v>
      </c>
      <c r="D688" s="16" t="str">
        <f>IFERROR(__xludf.DUMMYFUNCTION("IF(A688="""","""",
SPARKLINE(
INDEX(
GOOGLEFINANCE(""IDX:""&amp;A688,""close"",TODAY()-365,TODAY()),
,2
),
{""linewidth"",1}
))
"),"#N/A")</f>
        <v>#N/A</v>
      </c>
      <c r="E688" s="14" t="s">
        <v>52</v>
      </c>
      <c r="F688" s="27" t="s">
        <v>53</v>
      </c>
      <c r="G688" s="24">
        <f t="shared" si="5"/>
        <v>10</v>
      </c>
      <c r="H688" s="19">
        <f>VLOOKUP(A688,Metrik!$C$2:$Y$959,8,0)</f>
        <v>4.1</v>
      </c>
      <c r="I688" s="20">
        <f>VLOOKUP(A688,Metrik!$C$2:$Y$959,9,0)</f>
        <v>0.54</v>
      </c>
      <c r="J688" s="20">
        <f>VLOOKUP(A688,Metrik!$C$2:$Y$959,10,0)</f>
        <v>13.2</v>
      </c>
      <c r="K688" s="20">
        <f>VLOOKUP(A688,Metrik!$C$2:$Y$959,11,0)</f>
        <v>4.6</v>
      </c>
      <c r="L688" s="20">
        <f>VLOOKUP(A688,Metrik!$C$2:$Y$959,12,0)</f>
        <v>1.9</v>
      </c>
      <c r="M688" s="20">
        <f>VLOOKUP(A688,Metrik!$C$2:$Y$959,19,0)</f>
        <v>6.5</v>
      </c>
      <c r="N688" s="21"/>
      <c r="O688" s="21"/>
      <c r="P688" s="21"/>
      <c r="Q688" s="21"/>
      <c r="R688" s="21"/>
      <c r="S688" s="21"/>
      <c r="T688" s="21"/>
      <c r="U688" s="22" t="str">
        <f>IFERROR(__xludf.DUMMYFUNCTION("IFERROR(GOOGLEFINANCE(A688,""closeyest""),"""")"),"")</f>
        <v/>
      </c>
      <c r="V688" s="23">
        <f>IFERROR(__xludf.DUMMYFUNCTION("IFERROR(GOOGLEFINANCE(A688,""changepct""),"""")"),2.82)</f>
        <v>2.82</v>
      </c>
      <c r="W688" s="22">
        <f>IFERROR(__xludf.DUMMYFUNCTION("IFERROR(GOOGLEFINANCE(A688,""priceopen""),"""")"),356.0)</f>
        <v>356</v>
      </c>
      <c r="X688" s="22">
        <f>IFERROR(__xludf.DUMMYFUNCTION("IFERROR(GOOGLEFINANCE(A688,""high""),"""")"),370.0)</f>
        <v>370</v>
      </c>
      <c r="Y688" s="22">
        <f>IFERROR(__xludf.DUMMYFUNCTION("IFERROR(GOOGLEFINANCE(A688,""low""),"""")"),356.0)</f>
        <v>356</v>
      </c>
      <c r="Z688" s="22">
        <f>IFERROR(__xludf.DUMMYFUNCTION("IFERROR(GOOGLEFINANCE(A688,""volume""),"""")"),1.60438E7)</f>
        <v>16043800</v>
      </c>
      <c r="AA688" s="24" t="str">
        <f>VLOOKUP(A688,Metrik!$C$2:$Y$959,5,0)</f>
        <v>Specialty Retail</v>
      </c>
      <c r="AB688" s="24" t="str">
        <f>VLOOKUP(A688,Metrik!$C$2:$Y$959,3,0)</f>
        <v>Consumer Cyclicals</v>
      </c>
    </row>
    <row r="689">
      <c r="A689" s="14" t="s">
        <v>371</v>
      </c>
      <c r="B689" s="14" t="str">
        <f t="array" ref="B689">VLOOKUP(A689,{Metrik!$C$2:$C$998,Metrik!$B$2:$B$998},2,0)</f>
        <v>Erajaya Swasembada Tbk.</v>
      </c>
      <c r="C689" s="15">
        <f>IFERROR(__xludf.DUMMYFUNCTION("GOOGLEFINANCE(""IDX:""&amp;A689,""price"")"),364.0)</f>
        <v>364</v>
      </c>
      <c r="D689" s="16" t="str">
        <f>IFERROR(__xludf.DUMMYFUNCTION("IF(A689="""","""",
SPARKLINE(
INDEX(
GOOGLEFINANCE(""IDX:""&amp;A689,""close"",TODAY()-365,TODAY()),
,2
),
{""linewidth"",1}
))
"),"#N/A")</f>
        <v>#N/A</v>
      </c>
      <c r="E689" s="14" t="s">
        <v>50</v>
      </c>
      <c r="F689" s="17" t="s">
        <v>51</v>
      </c>
      <c r="G689" s="24">
        <f t="shared" si="5"/>
        <v>10</v>
      </c>
      <c r="H689" s="19">
        <f>VLOOKUP(A689,Metrik!$C$2:$Y$959,8,0)</f>
        <v>4.1</v>
      </c>
      <c r="I689" s="20">
        <f>VLOOKUP(A689,Metrik!$C$2:$Y$959,9,0)</f>
        <v>0.54</v>
      </c>
      <c r="J689" s="20">
        <f>VLOOKUP(A689,Metrik!$C$2:$Y$959,10,0)</f>
        <v>13.2</v>
      </c>
      <c r="K689" s="20">
        <f>VLOOKUP(A689,Metrik!$C$2:$Y$959,11,0)</f>
        <v>4.6</v>
      </c>
      <c r="L689" s="20">
        <f>VLOOKUP(A689,Metrik!$C$2:$Y$959,12,0)</f>
        <v>1.9</v>
      </c>
      <c r="M689" s="20">
        <f>VLOOKUP(A689,Metrik!$C$2:$Y$959,19,0)</f>
        <v>6.5</v>
      </c>
      <c r="N689" s="21"/>
      <c r="O689" s="21"/>
      <c r="P689" s="21"/>
      <c r="Q689" s="21"/>
      <c r="R689" s="21"/>
      <c r="S689" s="21"/>
      <c r="T689" s="21"/>
      <c r="U689" s="22" t="str">
        <f>IFERROR(__xludf.DUMMYFUNCTION("IFERROR(GOOGLEFINANCE(A689,""closeyest""),"""")"),"")</f>
        <v/>
      </c>
      <c r="V689" s="23">
        <f>IFERROR(__xludf.DUMMYFUNCTION("IFERROR(GOOGLEFINANCE(A689,""changepct""),"""")"),2.82)</f>
        <v>2.82</v>
      </c>
      <c r="W689" s="22">
        <f>IFERROR(__xludf.DUMMYFUNCTION("IFERROR(GOOGLEFINANCE(A689,""priceopen""),"""")"),356.0)</f>
        <v>356</v>
      </c>
      <c r="X689" s="22">
        <f>IFERROR(__xludf.DUMMYFUNCTION("IFERROR(GOOGLEFINANCE(A689,""high""),"""")"),370.0)</f>
        <v>370</v>
      </c>
      <c r="Y689" s="22">
        <f>IFERROR(__xludf.DUMMYFUNCTION("IFERROR(GOOGLEFINANCE(A689,""low""),"""")"),356.0)</f>
        <v>356</v>
      </c>
      <c r="Z689" s="22">
        <f>IFERROR(__xludf.DUMMYFUNCTION("IFERROR(GOOGLEFINANCE(A689,""volume""),"""")"),1.60438E7)</f>
        <v>16043800</v>
      </c>
      <c r="AA689" s="24" t="str">
        <f>VLOOKUP(A689,Metrik!$C$2:$Y$959,5,0)</f>
        <v>Specialty Retail</v>
      </c>
      <c r="AB689" s="24" t="str">
        <f>VLOOKUP(A689,Metrik!$C$2:$Y$959,3,0)</f>
        <v>Consumer Cyclicals</v>
      </c>
    </row>
    <row r="690">
      <c r="A690" s="14" t="s">
        <v>371</v>
      </c>
      <c r="B690" s="14" t="str">
        <f t="array" ref="B690">VLOOKUP(A690,{Metrik!$C$2:$C$998,Metrik!$B$2:$B$998},2,0)</f>
        <v>Erajaya Swasembada Tbk.</v>
      </c>
      <c r="C690" s="15">
        <f>IFERROR(__xludf.DUMMYFUNCTION("GOOGLEFINANCE(""IDX:""&amp;A690,""price"")"),364.0)</f>
        <v>364</v>
      </c>
      <c r="D690" s="16" t="str">
        <f>IFERROR(__xludf.DUMMYFUNCTION("IF(A690="""","""",
SPARKLINE(
INDEX(
GOOGLEFINANCE(""IDX:""&amp;A690,""close"",TODAY()-365,TODAY()),
,2
),
{""linewidth"",1}
))
"),"#N/A")</f>
        <v>#N/A</v>
      </c>
      <c r="E690" s="14" t="s">
        <v>33</v>
      </c>
      <c r="F690" s="14" t="s">
        <v>34</v>
      </c>
      <c r="G690" s="24">
        <f t="shared" si="5"/>
        <v>10</v>
      </c>
      <c r="H690" s="19">
        <f>VLOOKUP(A690,Metrik!$C$2:$Y$959,8,0)</f>
        <v>4.1</v>
      </c>
      <c r="I690" s="20">
        <f>VLOOKUP(A690,Metrik!$C$2:$Y$959,9,0)</f>
        <v>0.54</v>
      </c>
      <c r="J690" s="20">
        <f>VLOOKUP(A690,Metrik!$C$2:$Y$959,10,0)</f>
        <v>13.2</v>
      </c>
      <c r="K690" s="20">
        <f>VLOOKUP(A690,Metrik!$C$2:$Y$959,11,0)</f>
        <v>4.6</v>
      </c>
      <c r="L690" s="20">
        <f>VLOOKUP(A690,Metrik!$C$2:$Y$959,12,0)</f>
        <v>1.9</v>
      </c>
      <c r="M690" s="20">
        <f>VLOOKUP(A690,Metrik!$C$2:$Y$959,19,0)</f>
        <v>6.5</v>
      </c>
      <c r="N690" s="21"/>
      <c r="O690" s="21"/>
      <c r="P690" s="21"/>
      <c r="Q690" s="21"/>
      <c r="R690" s="21"/>
      <c r="S690" s="21"/>
      <c r="T690" s="21"/>
      <c r="U690" s="22" t="str">
        <f>IFERROR(__xludf.DUMMYFUNCTION("IFERROR(GOOGLEFINANCE(A690,""closeyest""),"""")"),"")</f>
        <v/>
      </c>
      <c r="V690" s="23">
        <f>IFERROR(__xludf.DUMMYFUNCTION("IFERROR(GOOGLEFINANCE(A690,""changepct""),"""")"),2.82)</f>
        <v>2.82</v>
      </c>
      <c r="W690" s="22">
        <f>IFERROR(__xludf.DUMMYFUNCTION("IFERROR(GOOGLEFINANCE(A690,""priceopen""),"""")"),356.0)</f>
        <v>356</v>
      </c>
      <c r="X690" s="22">
        <f>IFERROR(__xludf.DUMMYFUNCTION("IFERROR(GOOGLEFINANCE(A690,""high""),"""")"),370.0)</f>
        <v>370</v>
      </c>
      <c r="Y690" s="22">
        <f>IFERROR(__xludf.DUMMYFUNCTION("IFERROR(GOOGLEFINANCE(A690,""low""),"""")"),356.0)</f>
        <v>356</v>
      </c>
      <c r="Z690" s="22">
        <f>IFERROR(__xludf.DUMMYFUNCTION("IFERROR(GOOGLEFINANCE(A690,""volume""),"""")"),1.60438E7)</f>
        <v>16043800</v>
      </c>
      <c r="AA690" s="24" t="str">
        <f>VLOOKUP(A690,Metrik!$C$2:$Y$959,5,0)</f>
        <v>Specialty Retail</v>
      </c>
      <c r="AB690" s="24" t="str">
        <f>VLOOKUP(A690,Metrik!$C$2:$Y$959,3,0)</f>
        <v>Consumer Cyclicals</v>
      </c>
    </row>
    <row r="691">
      <c r="A691" s="14" t="s">
        <v>371</v>
      </c>
      <c r="B691" s="14" t="str">
        <f t="array" ref="B691">VLOOKUP(A691,{Metrik!$C$2:$C$998,Metrik!$B$2:$B$998},2,0)</f>
        <v>Erajaya Swasembada Tbk.</v>
      </c>
      <c r="C691" s="15">
        <f>IFERROR(__xludf.DUMMYFUNCTION("GOOGLEFINANCE(""IDX:""&amp;A691,""price"")"),364.0)</f>
        <v>364</v>
      </c>
      <c r="D691" s="16" t="str">
        <f>IFERROR(__xludf.DUMMYFUNCTION("IF(A691="""","""",
SPARKLINE(
INDEX(
GOOGLEFINANCE(""IDX:""&amp;A691,""close"",TODAY()-365,TODAY()),
,2
),
{""linewidth"",1}
))
"),"#N/A")</f>
        <v>#N/A</v>
      </c>
      <c r="E691" s="14" t="s">
        <v>41</v>
      </c>
      <c r="F691" s="14" t="s">
        <v>34</v>
      </c>
      <c r="G691" s="24">
        <f t="shared" si="5"/>
        <v>10</v>
      </c>
      <c r="H691" s="19">
        <f>VLOOKUP(A691,Metrik!$C$2:$Y$959,8,0)</f>
        <v>4.1</v>
      </c>
      <c r="I691" s="20">
        <f>VLOOKUP(A691,Metrik!$C$2:$Y$959,9,0)</f>
        <v>0.54</v>
      </c>
      <c r="J691" s="20">
        <f>VLOOKUP(A691,Metrik!$C$2:$Y$959,10,0)</f>
        <v>13.2</v>
      </c>
      <c r="K691" s="20">
        <f>VLOOKUP(A691,Metrik!$C$2:$Y$959,11,0)</f>
        <v>4.6</v>
      </c>
      <c r="L691" s="20">
        <f>VLOOKUP(A691,Metrik!$C$2:$Y$959,12,0)</f>
        <v>1.9</v>
      </c>
      <c r="M691" s="20">
        <f>VLOOKUP(A691,Metrik!$C$2:$Y$959,19,0)</f>
        <v>6.5</v>
      </c>
      <c r="N691" s="21"/>
      <c r="O691" s="21"/>
      <c r="P691" s="21"/>
      <c r="Q691" s="21"/>
      <c r="R691" s="21"/>
      <c r="S691" s="21"/>
      <c r="T691" s="21"/>
      <c r="U691" s="22" t="str">
        <f>IFERROR(__xludf.DUMMYFUNCTION("IFERROR(GOOGLEFINANCE(A691,""closeyest""),"""")"),"")</f>
        <v/>
      </c>
      <c r="V691" s="23">
        <f>IFERROR(__xludf.DUMMYFUNCTION("IFERROR(GOOGLEFINANCE(A691,""changepct""),"""")"),2.82)</f>
        <v>2.82</v>
      </c>
      <c r="W691" s="22">
        <f>IFERROR(__xludf.DUMMYFUNCTION("IFERROR(GOOGLEFINANCE(A691,""priceopen""),"""")"),356.0)</f>
        <v>356</v>
      </c>
      <c r="X691" s="22">
        <f>IFERROR(__xludf.DUMMYFUNCTION("IFERROR(GOOGLEFINANCE(A691,""high""),"""")"),370.0)</f>
        <v>370</v>
      </c>
      <c r="Y691" s="22">
        <f>IFERROR(__xludf.DUMMYFUNCTION("IFERROR(GOOGLEFINANCE(A691,""low""),"""")"),356.0)</f>
        <v>356</v>
      </c>
      <c r="Z691" s="22">
        <f>IFERROR(__xludf.DUMMYFUNCTION("IFERROR(GOOGLEFINANCE(A691,""volume""),"""")"),1.60438E7)</f>
        <v>16043800</v>
      </c>
      <c r="AA691" s="24" t="str">
        <f>VLOOKUP(A691,Metrik!$C$2:$Y$959,5,0)</f>
        <v>Specialty Retail</v>
      </c>
      <c r="AB691" s="24" t="str">
        <f>VLOOKUP(A691,Metrik!$C$2:$Y$959,3,0)</f>
        <v>Consumer Cyclicals</v>
      </c>
    </row>
    <row r="692">
      <c r="A692" s="14" t="s">
        <v>371</v>
      </c>
      <c r="B692" s="14" t="str">
        <f t="array" ref="B692">VLOOKUP(A692,{Metrik!$C$2:$C$998,Metrik!$B$2:$B$998},2,0)</f>
        <v>Erajaya Swasembada Tbk.</v>
      </c>
      <c r="C692" s="15">
        <f>IFERROR(__xludf.DUMMYFUNCTION("GOOGLEFINANCE(""IDX:""&amp;A692,""price"")"),364.0)</f>
        <v>364</v>
      </c>
      <c r="D692" s="16" t="str">
        <f>IFERROR(__xludf.DUMMYFUNCTION("IF(A692="""","""",
SPARKLINE(
INDEX(
GOOGLEFINANCE(""IDX:""&amp;A692,""close"",TODAY()-365,TODAY()),
,2
),
{""linewidth"",1}
))
"),"#N/A")</f>
        <v>#N/A</v>
      </c>
      <c r="E692" s="14" t="s">
        <v>39</v>
      </c>
      <c r="F692" s="25">
        <v>46356.0</v>
      </c>
      <c r="G692" s="24">
        <f t="shared" si="5"/>
        <v>10</v>
      </c>
      <c r="H692" s="19">
        <f>VLOOKUP(A692,Metrik!$C$2:$Y$959,8,0)</f>
        <v>4.1</v>
      </c>
      <c r="I692" s="20">
        <f>VLOOKUP(A692,Metrik!$C$2:$Y$959,9,0)</f>
        <v>0.54</v>
      </c>
      <c r="J692" s="20">
        <f>VLOOKUP(A692,Metrik!$C$2:$Y$959,10,0)</f>
        <v>13.2</v>
      </c>
      <c r="K692" s="20">
        <f>VLOOKUP(A692,Metrik!$C$2:$Y$959,11,0)</f>
        <v>4.6</v>
      </c>
      <c r="L692" s="20">
        <f>VLOOKUP(A692,Metrik!$C$2:$Y$959,12,0)</f>
        <v>1.9</v>
      </c>
      <c r="M692" s="20">
        <f>VLOOKUP(A692,Metrik!$C$2:$Y$959,19,0)</f>
        <v>6.5</v>
      </c>
      <c r="N692" s="21"/>
      <c r="O692" s="21"/>
      <c r="P692" s="21"/>
      <c r="Q692" s="21"/>
      <c r="R692" s="21"/>
      <c r="S692" s="21"/>
      <c r="T692" s="21"/>
      <c r="U692" s="22" t="str">
        <f>IFERROR(__xludf.DUMMYFUNCTION("IFERROR(GOOGLEFINANCE(A692,""closeyest""),"""")"),"")</f>
        <v/>
      </c>
      <c r="V692" s="23">
        <f>IFERROR(__xludf.DUMMYFUNCTION("IFERROR(GOOGLEFINANCE(A692,""changepct""),"""")"),2.82)</f>
        <v>2.82</v>
      </c>
      <c r="W692" s="22">
        <f>IFERROR(__xludf.DUMMYFUNCTION("IFERROR(GOOGLEFINANCE(A692,""priceopen""),"""")"),356.0)</f>
        <v>356</v>
      </c>
      <c r="X692" s="22">
        <f>IFERROR(__xludf.DUMMYFUNCTION("IFERROR(GOOGLEFINANCE(A692,""high""),"""")"),370.0)</f>
        <v>370</v>
      </c>
      <c r="Y692" s="22">
        <f>IFERROR(__xludf.DUMMYFUNCTION("IFERROR(GOOGLEFINANCE(A692,""low""),"""")"),356.0)</f>
        <v>356</v>
      </c>
      <c r="Z692" s="22">
        <f>IFERROR(__xludf.DUMMYFUNCTION("IFERROR(GOOGLEFINANCE(A692,""volume""),"""")"),1.60438E7)</f>
        <v>16043800</v>
      </c>
      <c r="AA692" s="24" t="str">
        <f>VLOOKUP(A692,Metrik!$C$2:$Y$959,5,0)</f>
        <v>Specialty Retail</v>
      </c>
      <c r="AB692" s="24" t="str">
        <f>VLOOKUP(A692,Metrik!$C$2:$Y$959,3,0)</f>
        <v>Consumer Cyclicals</v>
      </c>
    </row>
    <row r="693">
      <c r="A693" s="17" t="s">
        <v>372</v>
      </c>
      <c r="B693" s="14" t="str">
        <f t="array" ref="B693">VLOOKUP(A693,{Metrik!$C$2:$C$998,Metrik!$B$2:$B$998},2,0)</f>
        <v>PT Sinar Eka Selaras Tbk</v>
      </c>
      <c r="C693" s="15">
        <f>IFERROR(__xludf.DUMMYFUNCTION("GOOGLEFINANCE(""IDX:""&amp;A693,""price"")"),274.0)</f>
        <v>274</v>
      </c>
      <c r="D693" s="16" t="str">
        <f>IFERROR(__xludf.DUMMYFUNCTION("IF(A693="""","""",
SPARKLINE(
INDEX(
GOOGLEFINANCE(""IDX:""&amp;A693,""close"",TODAY()-365,TODAY()),
,2
),
{""linewidth"",1}
))
"),"#N/A")</f>
        <v>#N/A</v>
      </c>
      <c r="E693" s="14"/>
      <c r="F693" s="17"/>
      <c r="G693" s="18">
        <f t="shared" si="5"/>
        <v>0</v>
      </c>
      <c r="H693" s="19">
        <f>VLOOKUP(A693,Metrik!$C$2:$Y$959,8,0)</f>
        <v>8.7</v>
      </c>
      <c r="I693" s="20">
        <f>VLOOKUP(A693,Metrik!$C$2:$Y$959,9,0)</f>
        <v>0.83</v>
      </c>
      <c r="J693" s="20">
        <f>VLOOKUP(A693,Metrik!$C$2:$Y$959,10,0)</f>
        <v>9.5</v>
      </c>
      <c r="K693" s="20">
        <f>VLOOKUP(A693,Metrik!$C$2:$Y$959,11,0)</f>
        <v>5.2</v>
      </c>
      <c r="L693" s="20">
        <f>VLOOKUP(A693,Metrik!$C$2:$Y$959,12,0)</f>
        <v>0.83</v>
      </c>
      <c r="M693" s="20">
        <f>VLOOKUP(A693,Metrik!$C$2:$Y$959,19,0)</f>
        <v>10</v>
      </c>
      <c r="N693" s="21"/>
      <c r="O693" s="21"/>
      <c r="P693" s="21"/>
      <c r="Q693" s="21"/>
      <c r="R693" s="21"/>
      <c r="S693" s="21"/>
      <c r="T693" s="21"/>
      <c r="U693" s="22">
        <f>IFERROR(__xludf.DUMMYFUNCTION("IFERROR(GOOGLEFINANCE(A693,""closeyest""),"""")"),260.0)</f>
        <v>260</v>
      </c>
      <c r="V693" s="23">
        <f>IFERROR(__xludf.DUMMYFUNCTION("IFERROR(GOOGLEFINANCE(A693,""changepct""),"""")"),5.38)</f>
        <v>5.38</v>
      </c>
      <c r="W693" s="22">
        <f>IFERROR(__xludf.DUMMYFUNCTION("IFERROR(GOOGLEFINANCE(A693,""priceopen""),"""")"),260.0)</f>
        <v>260</v>
      </c>
      <c r="X693" s="22">
        <f>IFERROR(__xludf.DUMMYFUNCTION("IFERROR(GOOGLEFINANCE(A693,""high""),"""")"),276.0)</f>
        <v>276</v>
      </c>
      <c r="Y693" s="22">
        <f>IFERROR(__xludf.DUMMYFUNCTION("IFERROR(GOOGLEFINANCE(A693,""low""),"""")"),260.0)</f>
        <v>260</v>
      </c>
      <c r="Z693" s="22">
        <f>IFERROR(__xludf.DUMMYFUNCTION("IFERROR(GOOGLEFINANCE(A693,""volume""),"""")"),4033700.0)</f>
        <v>4033700</v>
      </c>
      <c r="AA693" s="24" t="str">
        <f>VLOOKUP(A693,Metrik!$C$2:$Y$959,5,0)</f>
        <v>Specialty Retail</v>
      </c>
      <c r="AB693" s="24" t="str">
        <f>VLOOKUP(A693,Metrik!$C$2:$Y$959,3,0)</f>
        <v>Consumer Cyclicals</v>
      </c>
    </row>
    <row r="694">
      <c r="A694" s="14" t="s">
        <v>373</v>
      </c>
      <c r="B694" s="14" t="str">
        <f t="array" ref="B694">VLOOKUP(A694,{Metrik!$C$2:$C$998,Metrik!$B$2:$B$998},2,0)</f>
        <v>Eratex Djaja Tbk.</v>
      </c>
      <c r="C694" s="15">
        <f>IFERROR(__xludf.DUMMYFUNCTION("GOOGLEFINANCE(""IDX:""&amp;A694,""price"")"),135.0)</f>
        <v>135</v>
      </c>
      <c r="D694" s="16" t="str">
        <f>IFERROR(__xludf.DUMMYFUNCTION("IF(A694="""","""",
SPARKLINE(
INDEX(
GOOGLEFINANCE(""IDX:""&amp;A694,""close"",TODAY()-365,TODAY()),
,2
),
{""linewidth"",1}
))
"),"#N/A")</f>
        <v>#N/A</v>
      </c>
      <c r="E694" s="26"/>
      <c r="F694" s="26"/>
      <c r="G694" s="24">
        <f t="shared" si="5"/>
        <v>0</v>
      </c>
      <c r="H694" s="19">
        <f>VLOOKUP(A694,Metrik!$C$2:$Y$959,8,0)</f>
        <v>7.1</v>
      </c>
      <c r="I694" s="20">
        <f>VLOOKUP(A694,Metrik!$C$2:$Y$959,9,0)</f>
        <v>0.41</v>
      </c>
      <c r="J694" s="20">
        <f>VLOOKUP(A694,Metrik!$C$2:$Y$959,10,0)</f>
        <v>5.8</v>
      </c>
      <c r="K694" s="20">
        <f>VLOOKUP(A694,Metrik!$C$2:$Y$959,11,0)</f>
        <v>2.2</v>
      </c>
      <c r="L694" s="20">
        <f>VLOOKUP(A694,Metrik!$C$2:$Y$959,12,0)</f>
        <v>1.6</v>
      </c>
      <c r="M694" s="20">
        <f>VLOOKUP(A694,Metrik!$C$2:$Y$959,19,0)</f>
        <v>6</v>
      </c>
      <c r="N694" s="21"/>
      <c r="O694" s="21"/>
      <c r="P694" s="21"/>
      <c r="Q694" s="21"/>
      <c r="R694" s="21"/>
      <c r="S694" s="21"/>
      <c r="T694" s="21"/>
      <c r="U694" s="22">
        <f>IFERROR(__xludf.DUMMYFUNCTION("IFERROR(GOOGLEFINANCE(A694,""closeyest""),"""")"),137.0)</f>
        <v>137</v>
      </c>
      <c r="V694" s="23">
        <f>IFERROR(__xludf.DUMMYFUNCTION("IFERROR(GOOGLEFINANCE(A694,""changepct""),"""")"),-1.46)</f>
        <v>-1.46</v>
      </c>
      <c r="W694" s="22">
        <f>IFERROR(__xludf.DUMMYFUNCTION("IFERROR(GOOGLEFINANCE(A694,""priceopen""),"""")"),149.0)</f>
        <v>149</v>
      </c>
      <c r="X694" s="22">
        <f>IFERROR(__xludf.DUMMYFUNCTION("IFERROR(GOOGLEFINANCE(A694,""high""),"""")"),149.0)</f>
        <v>149</v>
      </c>
      <c r="Y694" s="22">
        <f>IFERROR(__xludf.DUMMYFUNCTION("IFERROR(GOOGLEFINANCE(A694,""low""),"""")"),129.0)</f>
        <v>129</v>
      </c>
      <c r="Z694" s="22">
        <f>IFERROR(__xludf.DUMMYFUNCTION("IFERROR(GOOGLEFINANCE(A694,""volume""),"""")"),3016900.0)</f>
        <v>3016900</v>
      </c>
      <c r="AA694" s="24" t="str">
        <f>VLOOKUP(A694,Metrik!$C$2:$Y$959,5,0)</f>
        <v>Apparel &amp; Luxury Goods</v>
      </c>
      <c r="AB694" s="24" t="str">
        <f>VLOOKUP(A694,Metrik!$C$2:$Y$959,3,0)</f>
        <v>Consumer Cyclicals</v>
      </c>
    </row>
    <row r="695">
      <c r="A695" s="14" t="s">
        <v>374</v>
      </c>
      <c r="B695" s="14" t="str">
        <f t="array" ref="B695">VLOOKUP(A695,{Metrik!$C$2:$C$998,Metrik!$B$2:$B$998},2,0)</f>
        <v>Sinergi Inti Plastindo Tbk.</v>
      </c>
      <c r="C695" s="15">
        <f>IFERROR(__xludf.DUMMYFUNCTION("GOOGLEFINANCE(""IDX:""&amp;A695,""price"")"),113.0)</f>
        <v>113</v>
      </c>
      <c r="D695" s="16" t="str">
        <f>IFERROR(__xludf.DUMMYFUNCTION("IF(A695="""","""",
SPARKLINE(
INDEX(
GOOGLEFINANCE(""IDX:""&amp;A695,""close"",TODAY()-365,TODAY()),
,2
),
{""linewidth"",1}
))
"),"#N/A")</f>
        <v>#N/A</v>
      </c>
      <c r="E695" s="26"/>
      <c r="F695" s="26"/>
      <c r="G695" s="24">
        <f t="shared" si="5"/>
        <v>0</v>
      </c>
      <c r="H695" s="19">
        <f>VLOOKUP(A695,Metrik!$C$2:$Y$959,8,0)</f>
        <v>54.4</v>
      </c>
      <c r="I695" s="20">
        <f>VLOOKUP(A695,Metrik!$C$2:$Y$959,9,0)</f>
        <v>1.5</v>
      </c>
      <c r="J695" s="20">
        <f>VLOOKUP(A695,Metrik!$C$2:$Y$959,10,0)</f>
        <v>2.7</v>
      </c>
      <c r="K695" s="20">
        <f>VLOOKUP(A695,Metrik!$C$2:$Y$959,11,0)</f>
        <v>2.6</v>
      </c>
      <c r="L695" s="20">
        <f>VLOOKUP(A695,Metrik!$C$2:$Y$959,12,0)</f>
        <v>0.03</v>
      </c>
      <c r="M695" s="20">
        <f>VLOOKUP(A695,Metrik!$C$2:$Y$959,19,0)</f>
        <v>18</v>
      </c>
      <c r="N695" s="21"/>
      <c r="O695" s="21"/>
      <c r="P695" s="21"/>
      <c r="Q695" s="21"/>
      <c r="R695" s="21"/>
      <c r="S695" s="21"/>
      <c r="T695" s="21"/>
      <c r="U695" s="22">
        <f>IFERROR(__xludf.DUMMYFUNCTION("IFERROR(GOOGLEFINANCE(A695,""closeyest""),"""")"),110.0)</f>
        <v>110</v>
      </c>
      <c r="V695" s="23">
        <f>IFERROR(__xludf.DUMMYFUNCTION("IFERROR(GOOGLEFINANCE(A695,""changepct""),"""")"),2.73)</f>
        <v>2.73</v>
      </c>
      <c r="W695" s="22">
        <f>IFERROR(__xludf.DUMMYFUNCTION("IFERROR(GOOGLEFINANCE(A695,""priceopen""),"""")"),110.0)</f>
        <v>110</v>
      </c>
      <c r="X695" s="22">
        <f>IFERROR(__xludf.DUMMYFUNCTION("IFERROR(GOOGLEFINANCE(A695,""high""),"""")"),120.0)</f>
        <v>120</v>
      </c>
      <c r="Y695" s="22">
        <f>IFERROR(__xludf.DUMMYFUNCTION("IFERROR(GOOGLEFINANCE(A695,""low""),"""")"),106.0)</f>
        <v>106</v>
      </c>
      <c r="Z695" s="22">
        <f>IFERROR(__xludf.DUMMYFUNCTION("IFERROR(GOOGLEFINANCE(A695,""volume""),"""")"),1.101789E8)</f>
        <v>110178900</v>
      </c>
      <c r="AA695" s="24" t="str">
        <f>VLOOKUP(A695,Metrik!$C$2:$Y$959,5,0)</f>
        <v>Containers &amp; Packaging</v>
      </c>
      <c r="AB695" s="24" t="str">
        <f>VLOOKUP(A695,Metrik!$C$2:$Y$959,3,0)</f>
        <v>Basic Materials</v>
      </c>
    </row>
    <row r="696">
      <c r="A696" s="14" t="s">
        <v>375</v>
      </c>
      <c r="B696" s="14" t="str">
        <f t="array" ref="B696">VLOOKUP(A696,{Metrik!$C$2:$C$998,Metrik!$B$2:$B$998},2,0)</f>
        <v>ESSA Industries Indonesia Tbk.</v>
      </c>
      <c r="C696" s="15">
        <f>IFERROR(__xludf.DUMMYFUNCTION("GOOGLEFINANCE(""IDX:""&amp;A696,""price"")"),600.0)</f>
        <v>600</v>
      </c>
      <c r="D696" s="16" t="str">
        <f>IFERROR(__xludf.DUMMYFUNCTION("IF(A696="""","""",
SPARKLINE(
INDEX(
GOOGLEFINANCE(""IDX:""&amp;A696,""close"",TODAY()-365,TODAY()),
,2
),
{""linewidth"",1}
))
"),"#N/A")</f>
        <v>#N/A</v>
      </c>
      <c r="E696" s="14" t="s">
        <v>65</v>
      </c>
      <c r="F696" s="25">
        <v>46356.0</v>
      </c>
      <c r="G696" s="24">
        <f t="shared" si="5"/>
        <v>10</v>
      </c>
      <c r="H696" s="19">
        <f>VLOOKUP(A696,Metrik!$C$2:$Y$959,8,0)</f>
        <v>13.4</v>
      </c>
      <c r="I696" s="20">
        <f>VLOOKUP(A696,Metrik!$C$2:$Y$959,9,0)</f>
        <v>1.1</v>
      </c>
      <c r="J696" s="20">
        <f>VLOOKUP(A696,Metrik!$C$2:$Y$959,10,0)</f>
        <v>8.3</v>
      </c>
      <c r="K696" s="20">
        <f>VLOOKUP(A696,Metrik!$C$2:$Y$959,11,0)</f>
        <v>7.4</v>
      </c>
      <c r="L696" s="20">
        <f>VLOOKUP(A696,Metrik!$C$2:$Y$959,12,0)</f>
        <v>0.12</v>
      </c>
      <c r="M696" s="20">
        <f>VLOOKUP(A696,Metrik!$C$2:$Y$959,19,0)</f>
        <v>53.2</v>
      </c>
      <c r="N696" s="21"/>
      <c r="O696" s="21"/>
      <c r="P696" s="21"/>
      <c r="Q696" s="21"/>
      <c r="R696" s="21"/>
      <c r="S696" s="21"/>
      <c r="T696" s="21"/>
      <c r="U696" s="22">
        <f>IFERROR(__xludf.DUMMYFUNCTION("IFERROR(GOOGLEFINANCE(A696,""closeyest""),"""")"),605.0)</f>
        <v>605</v>
      </c>
      <c r="V696" s="23">
        <f>IFERROR(__xludf.DUMMYFUNCTION("IFERROR(GOOGLEFINANCE(A696,""changepct""),"""")"),-0.83)</f>
        <v>-0.83</v>
      </c>
      <c r="W696" s="22">
        <f>IFERROR(__xludf.DUMMYFUNCTION("IFERROR(GOOGLEFINANCE(A696,""priceopen""),"""")"),605.0)</f>
        <v>605</v>
      </c>
      <c r="X696" s="22">
        <f>IFERROR(__xludf.DUMMYFUNCTION("IFERROR(GOOGLEFINANCE(A696,""high""),"""")"),625.0)</f>
        <v>625</v>
      </c>
      <c r="Y696" s="22">
        <f>IFERROR(__xludf.DUMMYFUNCTION("IFERROR(GOOGLEFINANCE(A696,""low""),"""")"),585.0)</f>
        <v>585</v>
      </c>
      <c r="Z696" s="22" t="str">
        <f>IFERROR(__xludf.DUMMYFUNCTION("IFERROR(GOOGLEFINANCE(A696,""volume""),"""")"),"")</f>
        <v/>
      </c>
      <c r="AA696" s="24" t="str">
        <f>VLOOKUP(A696,Metrik!$C$2:$Y$959,5,0)</f>
        <v>Chemicals</v>
      </c>
      <c r="AB696" s="24" t="str">
        <f>VLOOKUP(A696,Metrik!$C$2:$Y$959,3,0)</f>
        <v>Basic Materials</v>
      </c>
    </row>
    <row r="697">
      <c r="A697" s="17" t="s">
        <v>375</v>
      </c>
      <c r="B697" s="14" t="str">
        <f t="array" ref="B697">VLOOKUP(A697,{Metrik!$C$2:$C$998,Metrik!$B$2:$B$998},2,0)</f>
        <v>ESSA Industries Indonesia Tbk.</v>
      </c>
      <c r="C697" s="15">
        <f>IFERROR(__xludf.DUMMYFUNCTION("GOOGLEFINANCE(""IDX:""&amp;A697,""price"")"),600.0)</f>
        <v>600</v>
      </c>
      <c r="D697" s="16" t="str">
        <f>IFERROR(__xludf.DUMMYFUNCTION("IF(A697="""","""",
SPARKLINE(
INDEX(
GOOGLEFINANCE(""IDX:""&amp;A697,""close"",TODAY()-365,TODAY()),
,2
),
{""linewidth"",1}
))
"),"#N/A")</f>
        <v>#N/A</v>
      </c>
      <c r="E697" s="14" t="s">
        <v>31</v>
      </c>
      <c r="F697" s="17" t="s">
        <v>29</v>
      </c>
      <c r="G697" s="24">
        <f t="shared" si="5"/>
        <v>10</v>
      </c>
      <c r="H697" s="19">
        <f>VLOOKUP(A697,Metrik!$C$2:$Y$959,8,0)</f>
        <v>13.4</v>
      </c>
      <c r="I697" s="20">
        <f>VLOOKUP(A697,Metrik!$C$2:$Y$959,9,0)</f>
        <v>1.1</v>
      </c>
      <c r="J697" s="20">
        <f>VLOOKUP(A697,Metrik!$C$2:$Y$959,10,0)</f>
        <v>8.3</v>
      </c>
      <c r="K697" s="20">
        <f>VLOOKUP(A697,Metrik!$C$2:$Y$959,11,0)</f>
        <v>7.4</v>
      </c>
      <c r="L697" s="20">
        <f>VLOOKUP(A697,Metrik!$C$2:$Y$959,12,0)</f>
        <v>0.12</v>
      </c>
      <c r="M697" s="20">
        <f>VLOOKUP(A697,Metrik!$C$2:$Y$959,19,0)</f>
        <v>53.2</v>
      </c>
      <c r="N697" s="21"/>
      <c r="O697" s="21"/>
      <c r="P697" s="21"/>
      <c r="Q697" s="21"/>
      <c r="R697" s="21"/>
      <c r="S697" s="21"/>
      <c r="T697" s="21"/>
      <c r="U697" s="22">
        <f>IFERROR(__xludf.DUMMYFUNCTION("IFERROR(GOOGLEFINANCE(A697,""closeyest""),"""")"),605.0)</f>
        <v>605</v>
      </c>
      <c r="V697" s="23">
        <f>IFERROR(__xludf.DUMMYFUNCTION("IFERROR(GOOGLEFINANCE(A697,""changepct""),"""")"),-0.83)</f>
        <v>-0.83</v>
      </c>
      <c r="W697" s="22">
        <f>IFERROR(__xludf.DUMMYFUNCTION("IFERROR(GOOGLEFINANCE(A697,""priceopen""),"""")"),605.0)</f>
        <v>605</v>
      </c>
      <c r="X697" s="22">
        <f>IFERROR(__xludf.DUMMYFUNCTION("IFERROR(GOOGLEFINANCE(A697,""high""),"""")"),625.0)</f>
        <v>625</v>
      </c>
      <c r="Y697" s="22">
        <f>IFERROR(__xludf.DUMMYFUNCTION("IFERROR(GOOGLEFINANCE(A697,""low""),"""")"),585.0)</f>
        <v>585</v>
      </c>
      <c r="Z697" s="22" t="str">
        <f>IFERROR(__xludf.DUMMYFUNCTION("IFERROR(GOOGLEFINANCE(A697,""volume""),"""")"),"")</f>
        <v/>
      </c>
      <c r="AA697" s="24" t="str">
        <f>VLOOKUP(A697,Metrik!$C$2:$Y$959,5,0)</f>
        <v>Chemicals</v>
      </c>
      <c r="AB697" s="24" t="str">
        <f>VLOOKUP(A697,Metrik!$C$2:$Y$959,3,0)</f>
        <v>Basic Materials</v>
      </c>
    </row>
    <row r="698">
      <c r="A698" s="14" t="s">
        <v>375</v>
      </c>
      <c r="B698" s="14" t="str">
        <f t="array" ref="B698">VLOOKUP(A698,{Metrik!$C$2:$C$998,Metrik!$B$2:$B$998},2,0)</f>
        <v>ESSA Industries Indonesia Tbk.</v>
      </c>
      <c r="C698" s="15">
        <f>IFERROR(__xludf.DUMMYFUNCTION("GOOGLEFINANCE(""IDX:""&amp;A698,""price"")"),600.0)</f>
        <v>600</v>
      </c>
      <c r="D698" s="16" t="str">
        <f>IFERROR(__xludf.DUMMYFUNCTION("IF(A698="""","""",
SPARKLINE(
INDEX(
GOOGLEFINANCE(""IDX:""&amp;A698,""close"",TODAY()-365,TODAY()),
,2
),
{""linewidth"",1}
))
"),"#N/A")</f>
        <v>#N/A</v>
      </c>
      <c r="E698" s="14" t="s">
        <v>68</v>
      </c>
      <c r="F698" s="14" t="s">
        <v>34</v>
      </c>
      <c r="G698" s="24">
        <f t="shared" si="5"/>
        <v>10</v>
      </c>
      <c r="H698" s="19">
        <f>VLOOKUP(A698,Metrik!$C$2:$Y$959,8,0)</f>
        <v>13.4</v>
      </c>
      <c r="I698" s="20">
        <f>VLOOKUP(A698,Metrik!$C$2:$Y$959,9,0)</f>
        <v>1.1</v>
      </c>
      <c r="J698" s="20">
        <f>VLOOKUP(A698,Metrik!$C$2:$Y$959,10,0)</f>
        <v>8.3</v>
      </c>
      <c r="K698" s="20">
        <f>VLOOKUP(A698,Metrik!$C$2:$Y$959,11,0)</f>
        <v>7.4</v>
      </c>
      <c r="L698" s="20">
        <f>VLOOKUP(A698,Metrik!$C$2:$Y$959,12,0)</f>
        <v>0.12</v>
      </c>
      <c r="M698" s="20">
        <f>VLOOKUP(A698,Metrik!$C$2:$Y$959,19,0)</f>
        <v>53.2</v>
      </c>
      <c r="N698" s="21"/>
      <c r="O698" s="21"/>
      <c r="P698" s="21"/>
      <c r="Q698" s="21"/>
      <c r="R698" s="21"/>
      <c r="S698" s="21"/>
      <c r="T698" s="21"/>
      <c r="U698" s="22">
        <f>IFERROR(__xludf.DUMMYFUNCTION("IFERROR(GOOGLEFINANCE(A698,""closeyest""),"""")"),605.0)</f>
        <v>605</v>
      </c>
      <c r="V698" s="23">
        <f>IFERROR(__xludf.DUMMYFUNCTION("IFERROR(GOOGLEFINANCE(A698,""changepct""),"""")"),-0.83)</f>
        <v>-0.83</v>
      </c>
      <c r="W698" s="22">
        <f>IFERROR(__xludf.DUMMYFUNCTION("IFERROR(GOOGLEFINANCE(A698,""priceopen""),"""")"),605.0)</f>
        <v>605</v>
      </c>
      <c r="X698" s="22">
        <f>IFERROR(__xludf.DUMMYFUNCTION("IFERROR(GOOGLEFINANCE(A698,""high""),"""")"),625.0)</f>
        <v>625</v>
      </c>
      <c r="Y698" s="22">
        <f>IFERROR(__xludf.DUMMYFUNCTION("IFERROR(GOOGLEFINANCE(A698,""low""),"""")"),585.0)</f>
        <v>585</v>
      </c>
      <c r="Z698" s="22" t="str">
        <f>IFERROR(__xludf.DUMMYFUNCTION("IFERROR(GOOGLEFINANCE(A698,""volume""),"""")"),"")</f>
        <v/>
      </c>
      <c r="AA698" s="24" t="str">
        <f>VLOOKUP(A698,Metrik!$C$2:$Y$959,5,0)</f>
        <v>Chemicals</v>
      </c>
      <c r="AB698" s="24" t="str">
        <f>VLOOKUP(A698,Metrik!$C$2:$Y$959,3,0)</f>
        <v>Basic Materials</v>
      </c>
    </row>
    <row r="699">
      <c r="A699" s="14" t="s">
        <v>375</v>
      </c>
      <c r="B699" s="14" t="str">
        <f t="array" ref="B699">VLOOKUP(A699,{Metrik!$C$2:$C$998,Metrik!$B$2:$B$998},2,0)</f>
        <v>ESSA Industries Indonesia Tbk.</v>
      </c>
      <c r="C699" s="15">
        <f>IFERROR(__xludf.DUMMYFUNCTION("GOOGLEFINANCE(""IDX:""&amp;A699,""price"")"),600.0)</f>
        <v>600</v>
      </c>
      <c r="D699" s="16" t="str">
        <f>IFERROR(__xludf.DUMMYFUNCTION("IF(A699="""","""",
SPARKLINE(
INDEX(
GOOGLEFINANCE(""IDX:""&amp;A699,""close"",TODAY()-365,TODAY()),
,2
),
{""linewidth"",1}
))
"),"#N/A")</f>
        <v>#N/A</v>
      </c>
      <c r="E699" s="14" t="s">
        <v>52</v>
      </c>
      <c r="F699" s="27" t="s">
        <v>53</v>
      </c>
      <c r="G699" s="24">
        <f t="shared" si="5"/>
        <v>10</v>
      </c>
      <c r="H699" s="19">
        <f>VLOOKUP(A699,Metrik!$C$2:$Y$959,8,0)</f>
        <v>13.4</v>
      </c>
      <c r="I699" s="20">
        <f>VLOOKUP(A699,Metrik!$C$2:$Y$959,9,0)</f>
        <v>1.1</v>
      </c>
      <c r="J699" s="20">
        <f>VLOOKUP(A699,Metrik!$C$2:$Y$959,10,0)</f>
        <v>8.3</v>
      </c>
      <c r="K699" s="20">
        <f>VLOOKUP(A699,Metrik!$C$2:$Y$959,11,0)</f>
        <v>7.4</v>
      </c>
      <c r="L699" s="20">
        <f>VLOOKUP(A699,Metrik!$C$2:$Y$959,12,0)</f>
        <v>0.12</v>
      </c>
      <c r="M699" s="20">
        <f>VLOOKUP(A699,Metrik!$C$2:$Y$959,19,0)</f>
        <v>53.2</v>
      </c>
      <c r="N699" s="21"/>
      <c r="O699" s="21"/>
      <c r="P699" s="21"/>
      <c r="Q699" s="21"/>
      <c r="R699" s="21"/>
      <c r="S699" s="21"/>
      <c r="T699" s="21"/>
      <c r="U699" s="22">
        <f>IFERROR(__xludf.DUMMYFUNCTION("IFERROR(GOOGLEFINANCE(A699,""closeyest""),"""")"),605.0)</f>
        <v>605</v>
      </c>
      <c r="V699" s="23">
        <f>IFERROR(__xludf.DUMMYFUNCTION("IFERROR(GOOGLEFINANCE(A699,""changepct""),"""")"),-0.83)</f>
        <v>-0.83</v>
      </c>
      <c r="W699" s="22">
        <f>IFERROR(__xludf.DUMMYFUNCTION("IFERROR(GOOGLEFINANCE(A699,""priceopen""),"""")"),605.0)</f>
        <v>605</v>
      </c>
      <c r="X699" s="22">
        <f>IFERROR(__xludf.DUMMYFUNCTION("IFERROR(GOOGLEFINANCE(A699,""high""),"""")"),625.0)</f>
        <v>625</v>
      </c>
      <c r="Y699" s="22">
        <f>IFERROR(__xludf.DUMMYFUNCTION("IFERROR(GOOGLEFINANCE(A699,""low""),"""")"),585.0)</f>
        <v>585</v>
      </c>
      <c r="Z699" s="22" t="str">
        <f>IFERROR(__xludf.DUMMYFUNCTION("IFERROR(GOOGLEFINANCE(A699,""volume""),"""")"),"")</f>
        <v/>
      </c>
      <c r="AA699" s="24" t="str">
        <f>VLOOKUP(A699,Metrik!$C$2:$Y$959,5,0)</f>
        <v>Chemicals</v>
      </c>
      <c r="AB699" s="24" t="str">
        <f>VLOOKUP(A699,Metrik!$C$2:$Y$959,3,0)</f>
        <v>Basic Materials</v>
      </c>
    </row>
    <row r="700">
      <c r="A700" s="14" t="s">
        <v>375</v>
      </c>
      <c r="B700" s="14" t="str">
        <f t="array" ref="B700">VLOOKUP(A700,{Metrik!$C$2:$C$998,Metrik!$B$2:$B$998},2,0)</f>
        <v>ESSA Industries Indonesia Tbk.</v>
      </c>
      <c r="C700" s="15">
        <f>IFERROR(__xludf.DUMMYFUNCTION("GOOGLEFINANCE(""IDX:""&amp;A700,""price"")"),600.0)</f>
        <v>600</v>
      </c>
      <c r="D700" s="16" t="str">
        <f>IFERROR(__xludf.DUMMYFUNCTION("IF(A700="""","""",
SPARKLINE(
INDEX(
GOOGLEFINANCE(""IDX:""&amp;A700,""close"",TODAY()-365,TODAY()),
,2
),
{""linewidth"",1}
))
"),"#N/A")</f>
        <v>#N/A</v>
      </c>
      <c r="E700" s="14" t="s">
        <v>102</v>
      </c>
      <c r="F700" s="27" t="s">
        <v>53</v>
      </c>
      <c r="G700" s="24">
        <f t="shared" si="5"/>
        <v>10</v>
      </c>
      <c r="H700" s="19">
        <f>VLOOKUP(A700,Metrik!$C$2:$Y$959,8,0)</f>
        <v>13.4</v>
      </c>
      <c r="I700" s="20">
        <f>VLOOKUP(A700,Metrik!$C$2:$Y$959,9,0)</f>
        <v>1.1</v>
      </c>
      <c r="J700" s="20">
        <f>VLOOKUP(A700,Metrik!$C$2:$Y$959,10,0)</f>
        <v>8.3</v>
      </c>
      <c r="K700" s="20">
        <f>VLOOKUP(A700,Metrik!$C$2:$Y$959,11,0)</f>
        <v>7.4</v>
      </c>
      <c r="L700" s="20">
        <f>VLOOKUP(A700,Metrik!$C$2:$Y$959,12,0)</f>
        <v>0.12</v>
      </c>
      <c r="M700" s="20">
        <f>VLOOKUP(A700,Metrik!$C$2:$Y$959,19,0)</f>
        <v>53.2</v>
      </c>
      <c r="N700" s="21"/>
      <c r="O700" s="21"/>
      <c r="P700" s="21"/>
      <c r="Q700" s="21"/>
      <c r="R700" s="21"/>
      <c r="S700" s="21"/>
      <c r="T700" s="21"/>
      <c r="U700" s="22">
        <f>IFERROR(__xludf.DUMMYFUNCTION("IFERROR(GOOGLEFINANCE(A700,""closeyest""),"""")"),605.0)</f>
        <v>605</v>
      </c>
      <c r="V700" s="23">
        <f>IFERROR(__xludf.DUMMYFUNCTION("IFERROR(GOOGLEFINANCE(A700,""changepct""),"""")"),-0.83)</f>
        <v>-0.83</v>
      </c>
      <c r="W700" s="22">
        <f>IFERROR(__xludf.DUMMYFUNCTION("IFERROR(GOOGLEFINANCE(A700,""priceopen""),"""")"),605.0)</f>
        <v>605</v>
      </c>
      <c r="X700" s="22">
        <f>IFERROR(__xludf.DUMMYFUNCTION("IFERROR(GOOGLEFINANCE(A700,""high""),"""")"),625.0)</f>
        <v>625</v>
      </c>
      <c r="Y700" s="22">
        <f>IFERROR(__xludf.DUMMYFUNCTION("IFERROR(GOOGLEFINANCE(A700,""low""),"""")"),585.0)</f>
        <v>585</v>
      </c>
      <c r="Z700" s="22" t="str">
        <f>IFERROR(__xludf.DUMMYFUNCTION("IFERROR(GOOGLEFINANCE(A700,""volume""),"""")"),"")</f>
        <v/>
      </c>
      <c r="AA700" s="24" t="str">
        <f>VLOOKUP(A700,Metrik!$C$2:$Y$959,5,0)</f>
        <v>Chemicals</v>
      </c>
      <c r="AB700" s="24" t="str">
        <f>VLOOKUP(A700,Metrik!$C$2:$Y$959,3,0)</f>
        <v>Basic Materials</v>
      </c>
    </row>
    <row r="701">
      <c r="A701" s="14" t="s">
        <v>375</v>
      </c>
      <c r="B701" s="14" t="str">
        <f t="array" ref="B701">VLOOKUP(A701,{Metrik!$C$2:$C$998,Metrik!$B$2:$B$998},2,0)</f>
        <v>ESSA Industries Indonesia Tbk.</v>
      </c>
      <c r="C701" s="15">
        <f>IFERROR(__xludf.DUMMYFUNCTION("GOOGLEFINANCE(""IDX:""&amp;A701,""price"")"),600.0)</f>
        <v>600</v>
      </c>
      <c r="D701" s="16" t="str">
        <f>IFERROR(__xludf.DUMMYFUNCTION("IF(A701="""","""",
SPARKLINE(
INDEX(
GOOGLEFINANCE(""IDX:""&amp;A701,""close"",TODAY()-365,TODAY()),
,2
),
{""linewidth"",1}
))
"),"#N/A")</f>
        <v>#N/A</v>
      </c>
      <c r="E701" s="14" t="s">
        <v>32</v>
      </c>
      <c r="F701" s="14" t="s">
        <v>29</v>
      </c>
      <c r="G701" s="24">
        <f t="shared" si="5"/>
        <v>10</v>
      </c>
      <c r="H701" s="19">
        <f>VLOOKUP(A701,Metrik!$C$2:$Y$959,8,0)</f>
        <v>13.4</v>
      </c>
      <c r="I701" s="20">
        <f>VLOOKUP(A701,Metrik!$C$2:$Y$959,9,0)</f>
        <v>1.1</v>
      </c>
      <c r="J701" s="20">
        <f>VLOOKUP(A701,Metrik!$C$2:$Y$959,10,0)</f>
        <v>8.3</v>
      </c>
      <c r="K701" s="20">
        <f>VLOOKUP(A701,Metrik!$C$2:$Y$959,11,0)</f>
        <v>7.4</v>
      </c>
      <c r="L701" s="20">
        <f>VLOOKUP(A701,Metrik!$C$2:$Y$959,12,0)</f>
        <v>0.12</v>
      </c>
      <c r="M701" s="20">
        <f>VLOOKUP(A701,Metrik!$C$2:$Y$959,19,0)</f>
        <v>53.2</v>
      </c>
      <c r="N701" s="21"/>
      <c r="O701" s="21"/>
      <c r="P701" s="21"/>
      <c r="Q701" s="21"/>
      <c r="R701" s="21"/>
      <c r="S701" s="21"/>
      <c r="T701" s="21"/>
      <c r="U701" s="22">
        <f>IFERROR(__xludf.DUMMYFUNCTION("IFERROR(GOOGLEFINANCE(A701,""closeyest""),"""")"),605.0)</f>
        <v>605</v>
      </c>
      <c r="V701" s="23">
        <f>IFERROR(__xludf.DUMMYFUNCTION("IFERROR(GOOGLEFINANCE(A701,""changepct""),"""")"),-0.83)</f>
        <v>-0.83</v>
      </c>
      <c r="W701" s="22">
        <f>IFERROR(__xludf.DUMMYFUNCTION("IFERROR(GOOGLEFINANCE(A701,""priceopen""),"""")"),605.0)</f>
        <v>605</v>
      </c>
      <c r="X701" s="22">
        <f>IFERROR(__xludf.DUMMYFUNCTION("IFERROR(GOOGLEFINANCE(A701,""high""),"""")"),625.0)</f>
        <v>625</v>
      </c>
      <c r="Y701" s="22">
        <f>IFERROR(__xludf.DUMMYFUNCTION("IFERROR(GOOGLEFINANCE(A701,""low""),"""")"),585.0)</f>
        <v>585</v>
      </c>
      <c r="Z701" s="22" t="str">
        <f>IFERROR(__xludf.DUMMYFUNCTION("IFERROR(GOOGLEFINANCE(A701,""volume""),"""")"),"")</f>
        <v/>
      </c>
      <c r="AA701" s="24" t="str">
        <f>VLOOKUP(A701,Metrik!$C$2:$Y$959,5,0)</f>
        <v>Chemicals</v>
      </c>
      <c r="AB701" s="24" t="str">
        <f>VLOOKUP(A701,Metrik!$C$2:$Y$959,3,0)</f>
        <v>Basic Materials</v>
      </c>
    </row>
    <row r="702">
      <c r="A702" s="14" t="s">
        <v>375</v>
      </c>
      <c r="B702" s="14" t="str">
        <f t="array" ref="B702">VLOOKUP(A702,{Metrik!$C$2:$C$998,Metrik!$B$2:$B$998},2,0)</f>
        <v>ESSA Industries Indonesia Tbk.</v>
      </c>
      <c r="C702" s="15">
        <f>IFERROR(__xludf.DUMMYFUNCTION("GOOGLEFINANCE(""IDX:""&amp;A702,""price"")"),600.0)</f>
        <v>600</v>
      </c>
      <c r="D702" s="16" t="str">
        <f>IFERROR(__xludf.DUMMYFUNCTION("IF(A702="""","""",
SPARKLINE(
INDEX(
GOOGLEFINANCE(""IDX:""&amp;A702,""close"",TODAY()-365,TODAY()),
,2
),
{""linewidth"",1}
))
"),"#N/A")</f>
        <v>#N/A</v>
      </c>
      <c r="E702" s="14" t="s">
        <v>28</v>
      </c>
      <c r="F702" s="17" t="s">
        <v>29</v>
      </c>
      <c r="G702" s="24">
        <f t="shared" si="5"/>
        <v>10</v>
      </c>
      <c r="H702" s="19">
        <f>VLOOKUP(A702,Metrik!$C$2:$Y$959,8,0)</f>
        <v>13.4</v>
      </c>
      <c r="I702" s="20">
        <f>VLOOKUP(A702,Metrik!$C$2:$Y$959,9,0)</f>
        <v>1.1</v>
      </c>
      <c r="J702" s="20">
        <f>VLOOKUP(A702,Metrik!$C$2:$Y$959,10,0)</f>
        <v>8.3</v>
      </c>
      <c r="K702" s="20">
        <f>VLOOKUP(A702,Metrik!$C$2:$Y$959,11,0)</f>
        <v>7.4</v>
      </c>
      <c r="L702" s="20">
        <f>VLOOKUP(A702,Metrik!$C$2:$Y$959,12,0)</f>
        <v>0.12</v>
      </c>
      <c r="M702" s="20">
        <f>VLOOKUP(A702,Metrik!$C$2:$Y$959,19,0)</f>
        <v>53.2</v>
      </c>
      <c r="N702" s="21"/>
      <c r="O702" s="21"/>
      <c r="P702" s="21"/>
      <c r="Q702" s="21"/>
      <c r="R702" s="21"/>
      <c r="S702" s="21"/>
      <c r="T702" s="21"/>
      <c r="U702" s="22">
        <f>IFERROR(__xludf.DUMMYFUNCTION("IFERROR(GOOGLEFINANCE(A702,""closeyest""),"""")"),605.0)</f>
        <v>605</v>
      </c>
      <c r="V702" s="23">
        <f>IFERROR(__xludf.DUMMYFUNCTION("IFERROR(GOOGLEFINANCE(A702,""changepct""),"""")"),-0.83)</f>
        <v>-0.83</v>
      </c>
      <c r="W702" s="22">
        <f>IFERROR(__xludf.DUMMYFUNCTION("IFERROR(GOOGLEFINANCE(A702,""priceopen""),"""")"),605.0)</f>
        <v>605</v>
      </c>
      <c r="X702" s="22">
        <f>IFERROR(__xludf.DUMMYFUNCTION("IFERROR(GOOGLEFINANCE(A702,""high""),"""")"),625.0)</f>
        <v>625</v>
      </c>
      <c r="Y702" s="22">
        <f>IFERROR(__xludf.DUMMYFUNCTION("IFERROR(GOOGLEFINANCE(A702,""low""),"""")"),585.0)</f>
        <v>585</v>
      </c>
      <c r="Z702" s="22" t="str">
        <f>IFERROR(__xludf.DUMMYFUNCTION("IFERROR(GOOGLEFINANCE(A702,""volume""),"""")"),"")</f>
        <v/>
      </c>
      <c r="AA702" s="24" t="str">
        <f>VLOOKUP(A702,Metrik!$C$2:$Y$959,5,0)</f>
        <v>Chemicals</v>
      </c>
      <c r="AB702" s="24" t="str">
        <f>VLOOKUP(A702,Metrik!$C$2:$Y$959,3,0)</f>
        <v>Basic Materials</v>
      </c>
    </row>
    <row r="703">
      <c r="A703" s="14" t="s">
        <v>375</v>
      </c>
      <c r="B703" s="14" t="str">
        <f t="array" ref="B703">VLOOKUP(A703,{Metrik!$C$2:$C$998,Metrik!$B$2:$B$998},2,0)</f>
        <v>ESSA Industries Indonesia Tbk.</v>
      </c>
      <c r="C703" s="15">
        <f>IFERROR(__xludf.DUMMYFUNCTION("GOOGLEFINANCE(""IDX:""&amp;A703,""price"")"),600.0)</f>
        <v>600</v>
      </c>
      <c r="D703" s="16" t="str">
        <f>IFERROR(__xludf.DUMMYFUNCTION("IF(A703="""","""",
SPARKLINE(
INDEX(
GOOGLEFINANCE(""IDX:""&amp;A703,""close"",TODAY()-365,TODAY()),
,2
),
{""linewidth"",1}
))
"),"#N/A")</f>
        <v>#N/A</v>
      </c>
      <c r="E703" s="14" t="s">
        <v>41</v>
      </c>
      <c r="F703" s="14" t="s">
        <v>34</v>
      </c>
      <c r="G703" s="24">
        <f t="shared" si="5"/>
        <v>10</v>
      </c>
      <c r="H703" s="19">
        <f>VLOOKUP(A703,Metrik!$C$2:$Y$959,8,0)</f>
        <v>13.4</v>
      </c>
      <c r="I703" s="20">
        <f>VLOOKUP(A703,Metrik!$C$2:$Y$959,9,0)</f>
        <v>1.1</v>
      </c>
      <c r="J703" s="20">
        <f>VLOOKUP(A703,Metrik!$C$2:$Y$959,10,0)</f>
        <v>8.3</v>
      </c>
      <c r="K703" s="20">
        <f>VLOOKUP(A703,Metrik!$C$2:$Y$959,11,0)</f>
        <v>7.4</v>
      </c>
      <c r="L703" s="20">
        <f>VLOOKUP(A703,Metrik!$C$2:$Y$959,12,0)</f>
        <v>0.12</v>
      </c>
      <c r="M703" s="20">
        <f>VLOOKUP(A703,Metrik!$C$2:$Y$959,19,0)</f>
        <v>53.2</v>
      </c>
      <c r="N703" s="21"/>
      <c r="O703" s="21"/>
      <c r="P703" s="21"/>
      <c r="Q703" s="21"/>
      <c r="R703" s="21"/>
      <c r="S703" s="21"/>
      <c r="T703" s="21"/>
      <c r="U703" s="22">
        <f>IFERROR(__xludf.DUMMYFUNCTION("IFERROR(GOOGLEFINANCE(A703,""closeyest""),"""")"),605.0)</f>
        <v>605</v>
      </c>
      <c r="V703" s="23">
        <f>IFERROR(__xludf.DUMMYFUNCTION("IFERROR(GOOGLEFINANCE(A703,""changepct""),"""")"),-0.83)</f>
        <v>-0.83</v>
      </c>
      <c r="W703" s="22">
        <f>IFERROR(__xludf.DUMMYFUNCTION("IFERROR(GOOGLEFINANCE(A703,""priceopen""),"""")"),605.0)</f>
        <v>605</v>
      </c>
      <c r="X703" s="22">
        <f>IFERROR(__xludf.DUMMYFUNCTION("IFERROR(GOOGLEFINANCE(A703,""high""),"""")"),625.0)</f>
        <v>625</v>
      </c>
      <c r="Y703" s="22">
        <f>IFERROR(__xludf.DUMMYFUNCTION("IFERROR(GOOGLEFINANCE(A703,""low""),"""")"),585.0)</f>
        <v>585</v>
      </c>
      <c r="Z703" s="22" t="str">
        <f>IFERROR(__xludf.DUMMYFUNCTION("IFERROR(GOOGLEFINANCE(A703,""volume""),"""")"),"")</f>
        <v/>
      </c>
      <c r="AA703" s="24" t="str">
        <f>VLOOKUP(A703,Metrik!$C$2:$Y$959,5,0)</f>
        <v>Chemicals</v>
      </c>
      <c r="AB703" s="24" t="str">
        <f>VLOOKUP(A703,Metrik!$C$2:$Y$959,3,0)</f>
        <v>Basic Materials</v>
      </c>
    </row>
    <row r="704">
      <c r="A704" s="17" t="s">
        <v>375</v>
      </c>
      <c r="B704" s="14" t="str">
        <f t="array" ref="B704">VLOOKUP(A704,{Metrik!$C$2:$C$998,Metrik!$B$2:$B$998},2,0)</f>
        <v>ESSA Industries Indonesia Tbk.</v>
      </c>
      <c r="C704" s="15">
        <f>IFERROR(__xludf.DUMMYFUNCTION("GOOGLEFINANCE(""IDX:""&amp;A704,""price"")"),600.0)</f>
        <v>600</v>
      </c>
      <c r="D704" s="16" t="str">
        <f>IFERROR(__xludf.DUMMYFUNCTION("IF(A704="""","""",
SPARKLINE(
INDEX(
GOOGLEFINANCE(""IDX:""&amp;A704,""close"",TODAY()-365,TODAY()),
,2
),
{""linewidth"",1}
))
"),"#N/A")</f>
        <v>#N/A</v>
      </c>
      <c r="E704" s="14" t="s">
        <v>35</v>
      </c>
      <c r="F704" s="17" t="s">
        <v>36</v>
      </c>
      <c r="G704" s="38">
        <f t="shared" si="5"/>
        <v>10</v>
      </c>
      <c r="H704" s="34">
        <f>VLOOKUP(A704,Metrik!$C$2:$Y$959,8,0)</f>
        <v>13.4</v>
      </c>
      <c r="I704" s="34">
        <f>VLOOKUP(A704,Metrik!$C$2:$Y$959,9,0)</f>
        <v>1.1</v>
      </c>
      <c r="J704" s="34">
        <f>VLOOKUP(A704,Metrik!$C$2:$Y$959,10,0)</f>
        <v>8.3</v>
      </c>
      <c r="K704" s="34">
        <f>VLOOKUP(A704,Metrik!$C$2:$Y$959,11,0)</f>
        <v>7.4</v>
      </c>
      <c r="L704" s="34">
        <f>VLOOKUP(A704,Metrik!$C$2:$Y$959,12,0)</f>
        <v>0.12</v>
      </c>
      <c r="M704" s="34">
        <f>VLOOKUP(A704,Metrik!$C$2:$Y$959,19,0)</f>
        <v>53.2</v>
      </c>
      <c r="N704" s="45"/>
      <c r="O704" s="45"/>
      <c r="P704" s="45"/>
      <c r="Q704" s="45"/>
      <c r="R704" s="45"/>
      <c r="S704" s="45"/>
      <c r="T704" s="45"/>
      <c r="U704" s="35">
        <f>IFERROR(__xludf.DUMMYFUNCTION("IFERROR(GOOGLEFINANCE(A704,""closeyest""),"""")"),605.0)</f>
        <v>605</v>
      </c>
      <c r="V704" s="36">
        <f>IFERROR(__xludf.DUMMYFUNCTION("IFERROR(GOOGLEFINANCE(A704,""changepct""),"""")"),-0.83)</f>
        <v>-0.83</v>
      </c>
      <c r="W704" s="35">
        <f>IFERROR(__xludf.DUMMYFUNCTION("IFERROR(GOOGLEFINANCE(A704,""priceopen""),"""")"),605.0)</f>
        <v>605</v>
      </c>
      <c r="X704" s="35">
        <f>IFERROR(__xludf.DUMMYFUNCTION("IFERROR(GOOGLEFINANCE(A704,""high""),"""")"),625.0)</f>
        <v>625</v>
      </c>
      <c r="Y704" s="35">
        <f>IFERROR(__xludf.DUMMYFUNCTION("IFERROR(GOOGLEFINANCE(A704,""low""),"""")"),585.0)</f>
        <v>585</v>
      </c>
      <c r="Z704" s="35" t="str">
        <f>IFERROR(__xludf.DUMMYFUNCTION("IFERROR(GOOGLEFINANCE(A704,""volume""),"""")"),"")</f>
        <v/>
      </c>
      <c r="AA704" s="14" t="str">
        <f>VLOOKUP(A704,Metrik!$C$2:$Y$959,5,0)</f>
        <v>Chemicals</v>
      </c>
      <c r="AB704" s="14" t="str">
        <f>VLOOKUP(A704,Metrik!$C$2:$Y$959,3,0)</f>
        <v>Basic Materials</v>
      </c>
    </row>
    <row r="705">
      <c r="A705" s="14" t="s">
        <v>375</v>
      </c>
      <c r="B705" s="14" t="str">
        <f t="array" ref="B705">VLOOKUP(A705,{Metrik!$C$2:$C$998,Metrik!$B$2:$B$998},2,0)</f>
        <v>ESSA Industries Indonesia Tbk.</v>
      </c>
      <c r="C705" s="15">
        <f>IFERROR(__xludf.DUMMYFUNCTION("GOOGLEFINANCE(""IDX:""&amp;A705,""price"")"),600.0)</f>
        <v>600</v>
      </c>
      <c r="D705" s="16" t="str">
        <f>IFERROR(__xludf.DUMMYFUNCTION("IF(A705="""","""",
SPARKLINE(
INDEX(
GOOGLEFINANCE(""IDX:""&amp;A705,""close"",TODAY()-365,TODAY()),
,2
),
{""linewidth"",1}
))
"),"#N/A")</f>
        <v>#N/A</v>
      </c>
      <c r="E705" s="14" t="s">
        <v>39</v>
      </c>
      <c r="F705" s="25">
        <v>46356.0</v>
      </c>
      <c r="G705" s="24">
        <f t="shared" si="5"/>
        <v>10</v>
      </c>
      <c r="H705" s="19">
        <f>VLOOKUP(A705,Metrik!$C$2:$Y$959,8,0)</f>
        <v>13.4</v>
      </c>
      <c r="I705" s="20">
        <f>VLOOKUP(A705,Metrik!$C$2:$Y$959,9,0)</f>
        <v>1.1</v>
      </c>
      <c r="J705" s="20">
        <f>VLOOKUP(A705,Metrik!$C$2:$Y$959,10,0)</f>
        <v>8.3</v>
      </c>
      <c r="K705" s="20">
        <f>VLOOKUP(A705,Metrik!$C$2:$Y$959,11,0)</f>
        <v>7.4</v>
      </c>
      <c r="L705" s="20">
        <f>VLOOKUP(A705,Metrik!$C$2:$Y$959,12,0)</f>
        <v>0.12</v>
      </c>
      <c r="M705" s="20">
        <f>VLOOKUP(A705,Metrik!$C$2:$Y$959,19,0)</f>
        <v>53.2</v>
      </c>
      <c r="N705" s="21"/>
      <c r="O705" s="21"/>
      <c r="P705" s="21"/>
      <c r="Q705" s="21"/>
      <c r="R705" s="21"/>
      <c r="S705" s="21"/>
      <c r="T705" s="21"/>
      <c r="U705" s="22">
        <f>IFERROR(__xludf.DUMMYFUNCTION("IFERROR(GOOGLEFINANCE(A705,""closeyest""),"""")"),605.0)</f>
        <v>605</v>
      </c>
      <c r="V705" s="23">
        <f>IFERROR(__xludf.DUMMYFUNCTION("IFERROR(GOOGLEFINANCE(A705,""changepct""),"""")"),-0.83)</f>
        <v>-0.83</v>
      </c>
      <c r="W705" s="22">
        <f>IFERROR(__xludf.DUMMYFUNCTION("IFERROR(GOOGLEFINANCE(A705,""priceopen""),"""")"),605.0)</f>
        <v>605</v>
      </c>
      <c r="X705" s="22">
        <f>IFERROR(__xludf.DUMMYFUNCTION("IFERROR(GOOGLEFINANCE(A705,""high""),"""")"),625.0)</f>
        <v>625</v>
      </c>
      <c r="Y705" s="22">
        <f>IFERROR(__xludf.DUMMYFUNCTION("IFERROR(GOOGLEFINANCE(A705,""low""),"""")"),585.0)</f>
        <v>585</v>
      </c>
      <c r="Z705" s="22" t="str">
        <f>IFERROR(__xludf.DUMMYFUNCTION("IFERROR(GOOGLEFINANCE(A705,""volume""),"""")"),"")</f>
        <v/>
      </c>
      <c r="AA705" s="24" t="str">
        <f>VLOOKUP(A705,Metrik!$C$2:$Y$959,5,0)</f>
        <v>Chemicals</v>
      </c>
      <c r="AB705" s="24" t="str">
        <f>VLOOKUP(A705,Metrik!$C$2:$Y$959,3,0)</f>
        <v>Basic Materials</v>
      </c>
    </row>
    <row r="706">
      <c r="A706" s="14" t="s">
        <v>376</v>
      </c>
      <c r="B706" s="14" t="str">
        <f t="array" ref="B706">VLOOKUP(A706,{Metrik!$C$2:$C$998,Metrik!$B$2:$B$998},2,0)</f>
        <v>Esta Multi Usaha Tbk.</v>
      </c>
      <c r="C706" s="15">
        <f>IFERROR(__xludf.DUMMYFUNCTION("GOOGLEFINANCE(""IDX:""&amp;A706,""price"")"),177.0)</f>
        <v>177</v>
      </c>
      <c r="D706" s="16" t="str">
        <f>IFERROR(__xludf.DUMMYFUNCTION("IF(A706="""","""",
SPARKLINE(
INDEX(
GOOGLEFINANCE(""IDX:""&amp;A706,""close"",TODAY()-365,TODAY()),
,2
),
{""linewidth"",1}
))
"),"#N/A")</f>
        <v>#N/A</v>
      </c>
      <c r="E706" s="26"/>
      <c r="F706" s="26"/>
      <c r="G706" s="24">
        <f t="shared" si="5"/>
        <v>0</v>
      </c>
      <c r="H706" s="19">
        <f>VLOOKUP(A706,Metrik!$C$2:$Y$959,8,0)</f>
        <v>-65.8</v>
      </c>
      <c r="I706" s="20">
        <f>VLOOKUP(A706,Metrik!$C$2:$Y$959,9,0)</f>
        <v>2.8</v>
      </c>
      <c r="J706" s="20">
        <f>VLOOKUP(A706,Metrik!$C$2:$Y$959,10,0)</f>
        <v>-4.3</v>
      </c>
      <c r="K706" s="20">
        <f>VLOOKUP(A706,Metrik!$C$2:$Y$959,11,0)</f>
        <v>-2.3</v>
      </c>
      <c r="L706" s="20">
        <f>VLOOKUP(A706,Metrik!$C$2:$Y$959,12,0)</f>
        <v>0.87</v>
      </c>
      <c r="M706" s="20">
        <f>VLOOKUP(A706,Metrik!$C$2:$Y$959,19,0)</f>
        <v>-66.9</v>
      </c>
      <c r="N706" s="21"/>
      <c r="O706" s="21"/>
      <c r="P706" s="21"/>
      <c r="Q706" s="21"/>
      <c r="R706" s="21"/>
      <c r="S706" s="21"/>
      <c r="T706" s="21"/>
      <c r="U706" s="22">
        <f>IFERROR(__xludf.DUMMYFUNCTION("IFERROR(GOOGLEFINANCE(A706,""closeyest""),"""")"),85.11)</f>
        <v>85.11</v>
      </c>
      <c r="V706" s="23">
        <f>IFERROR(__xludf.DUMMYFUNCTION("IFERROR(GOOGLEFINANCE(A706,""changepct""),"""")"),-3.49)</f>
        <v>-3.49</v>
      </c>
      <c r="W706" s="22">
        <f>IFERROR(__xludf.DUMMYFUNCTION("IFERROR(GOOGLEFINANCE(A706,""priceopen""),"""")"),85.0)</f>
        <v>85</v>
      </c>
      <c r="X706" s="22">
        <f>IFERROR(__xludf.DUMMYFUNCTION("IFERROR(GOOGLEFINANCE(A706,""high""),"""")"),86.0)</f>
        <v>86</v>
      </c>
      <c r="Y706" s="22">
        <f>IFERROR(__xludf.DUMMYFUNCTION("IFERROR(GOOGLEFINANCE(A706,""low""),"""")"),81.0)</f>
        <v>81</v>
      </c>
      <c r="Z706" s="22">
        <f>IFERROR(__xludf.DUMMYFUNCTION("IFERROR(GOOGLEFINANCE(A706,""volume""),"""")"),468710.0)</f>
        <v>468710</v>
      </c>
      <c r="AA706" s="24" t="str">
        <f>VLOOKUP(A706,Metrik!$C$2:$Y$959,5,0)</f>
        <v>Tourism &amp; Recreation</v>
      </c>
      <c r="AB706" s="24" t="str">
        <f>VLOOKUP(A706,Metrik!$C$2:$Y$959,3,0)</f>
        <v>Consumer Cyclicals</v>
      </c>
    </row>
    <row r="707">
      <c r="A707" s="14" t="s">
        <v>377</v>
      </c>
      <c r="B707" s="14" t="str">
        <f t="array" ref="B707">VLOOKUP(A707,{Metrik!$C$2:$C$998,Metrik!$B$2:$B$998},2,0)</f>
        <v>Ever Shine Textile Industry Tbk</v>
      </c>
      <c r="C707" s="15">
        <f>IFERROR(__xludf.DUMMYFUNCTION("GOOGLEFINANCE(""IDX:""&amp;A707,""price"")"),117.0)</f>
        <v>117</v>
      </c>
      <c r="D707" s="16" t="str">
        <f>IFERROR(__xludf.DUMMYFUNCTION("IF(A707="""","""",
SPARKLINE(
INDEX(
GOOGLEFINANCE(""IDX:""&amp;A707,""close"",TODAY()-365,TODAY()),
,2
),
{""linewidth"",1}
))
"),"#N/A")</f>
        <v>#N/A</v>
      </c>
      <c r="E707" s="26"/>
      <c r="F707" s="26"/>
      <c r="G707" s="24">
        <f t="shared" si="5"/>
        <v>0</v>
      </c>
      <c r="H707" s="19">
        <f>VLOOKUP(A707,Metrik!$C$2:$Y$959,8,0)</f>
        <v>16.8</v>
      </c>
      <c r="I707" s="20">
        <f>VLOOKUP(A707,Metrik!$C$2:$Y$959,9,0)</f>
        <v>1.4</v>
      </c>
      <c r="J707" s="20">
        <f>VLOOKUP(A707,Metrik!$C$2:$Y$959,10,0)</f>
        <v>8.4</v>
      </c>
      <c r="K707" s="20">
        <f>VLOOKUP(A707,Metrik!$C$2:$Y$959,11,0)</f>
        <v>2.2</v>
      </c>
      <c r="L707" s="20">
        <f>VLOOKUP(A707,Metrik!$C$2:$Y$959,12,0)</f>
        <v>2.8</v>
      </c>
      <c r="M707" s="20">
        <f>VLOOKUP(A707,Metrik!$C$2:$Y$959,19,0)</f>
        <v>14.9</v>
      </c>
      <c r="N707" s="21"/>
      <c r="O707" s="21"/>
      <c r="P707" s="21"/>
      <c r="Q707" s="21"/>
      <c r="R707" s="21"/>
      <c r="S707" s="21"/>
      <c r="T707" s="21"/>
      <c r="U707" s="22">
        <f>IFERROR(__xludf.DUMMYFUNCTION("IFERROR(GOOGLEFINANCE(A707,""closeyest""),"""")"),116.0)</f>
        <v>116</v>
      </c>
      <c r="V707" s="23">
        <f>IFERROR(__xludf.DUMMYFUNCTION("IFERROR(GOOGLEFINANCE(A707,""changepct""),"""")"),0.86)</f>
        <v>0.86</v>
      </c>
      <c r="W707" s="22">
        <f>IFERROR(__xludf.DUMMYFUNCTION("IFERROR(GOOGLEFINANCE(A707,""priceopen""),"""")"),117.0)</f>
        <v>117</v>
      </c>
      <c r="X707" s="22">
        <f>IFERROR(__xludf.DUMMYFUNCTION("IFERROR(GOOGLEFINANCE(A707,""high""),"""")"),125.0)</f>
        <v>125</v>
      </c>
      <c r="Y707" s="22">
        <f>IFERROR(__xludf.DUMMYFUNCTION("IFERROR(GOOGLEFINANCE(A707,""low""),"""")"),116.0)</f>
        <v>116</v>
      </c>
      <c r="Z707" s="22">
        <f>IFERROR(__xludf.DUMMYFUNCTION("IFERROR(GOOGLEFINANCE(A707,""volume""),"""")"),3949500.0)</f>
        <v>3949500</v>
      </c>
      <c r="AA707" s="24" t="str">
        <f>VLOOKUP(A707,Metrik!$C$2:$Y$959,5,0)</f>
        <v>Apparel &amp; Luxury Goods</v>
      </c>
      <c r="AB707" s="24" t="str">
        <f>VLOOKUP(A707,Metrik!$C$2:$Y$959,3,0)</f>
        <v>Consumer Cyclicals</v>
      </c>
    </row>
    <row r="708">
      <c r="A708" s="14" t="s">
        <v>378</v>
      </c>
      <c r="B708" s="14" t="str">
        <f t="array" ref="B708">VLOOKUP(A708,{Metrik!$C$2:$C$998,Metrik!$B$2:$B$998},2,0)</f>
        <v>Eterindo Wahanatama Tbk</v>
      </c>
      <c r="C708" s="15">
        <f>IFERROR(__xludf.DUMMYFUNCTION("GOOGLEFINANCE(""IDX:""&amp;A708,""price"")"),70.0)</f>
        <v>70</v>
      </c>
      <c r="D708" s="16" t="str">
        <f>IFERROR(__xludf.DUMMYFUNCTION("IF(A708="""","""",
SPARKLINE(
INDEX(
GOOGLEFINANCE(""IDX:""&amp;A708,""close"",TODAY()-365,TODAY()),
,2
),
{""linewidth"",1}
))
"),"#N/A")</f>
        <v>#N/A</v>
      </c>
      <c r="E708" s="26"/>
      <c r="F708" s="26"/>
      <c r="G708" s="24">
        <f t="shared" si="5"/>
        <v>0</v>
      </c>
      <c r="H708" s="19">
        <f>VLOOKUP(A708,Metrik!$C$2:$Y$959,8,0)</f>
        <v>0</v>
      </c>
      <c r="I708" s="20">
        <f>VLOOKUP(A708,Metrik!$C$2:$Y$959,9,0)</f>
        <v>-0.76</v>
      </c>
      <c r="J708" s="20">
        <f>VLOOKUP(A708,Metrik!$C$2:$Y$959,10,0)</f>
        <v>0</v>
      </c>
      <c r="K708" s="20">
        <f>VLOOKUP(A708,Metrik!$C$2:$Y$959,11,0)</f>
        <v>-8.8</v>
      </c>
      <c r="L708" s="20">
        <f>VLOOKUP(A708,Metrik!$C$2:$Y$959,12,0)</f>
        <v>-3.1</v>
      </c>
      <c r="M708" s="20">
        <f>VLOOKUP(A708,Metrik!$C$2:$Y$959,19,0)</f>
        <v>-1300000</v>
      </c>
      <c r="N708" s="21"/>
      <c r="O708" s="21"/>
      <c r="P708" s="21"/>
      <c r="Q708" s="21"/>
      <c r="R708" s="21"/>
      <c r="S708" s="21"/>
      <c r="T708" s="21"/>
      <c r="U708" s="22">
        <f>IFERROR(__xludf.DUMMYFUNCTION("IFERROR(GOOGLEFINANCE(A708,""closeyest""),"""")"),70.0)</f>
        <v>70</v>
      </c>
      <c r="V708" s="23">
        <f>IFERROR(__xludf.DUMMYFUNCTION("IFERROR(GOOGLEFINANCE(A708,""changepct""),"""")"),0.0)</f>
        <v>0</v>
      </c>
      <c r="W708" s="22" t="str">
        <f>IFERROR(__xludf.DUMMYFUNCTION("IFERROR(GOOGLEFINANCE(A708,""priceopen""),"""")"),"")</f>
        <v/>
      </c>
      <c r="X708" s="22" t="str">
        <f>IFERROR(__xludf.DUMMYFUNCTION("IFERROR(GOOGLEFINANCE(A708,""high""),"""")"),"")</f>
        <v/>
      </c>
      <c r="Y708" s="22" t="str">
        <f>IFERROR(__xludf.DUMMYFUNCTION("IFERROR(GOOGLEFINANCE(A708,""low""),"""")"),"")</f>
        <v/>
      </c>
      <c r="Z708" s="22">
        <f>IFERROR(__xludf.DUMMYFUNCTION("IFERROR(GOOGLEFINANCE(A708,""volume""),"""")"),0.0)</f>
        <v>0</v>
      </c>
      <c r="AA708" s="24" t="str">
        <f>VLOOKUP(A708,Metrik!$C$2:$Y$959,5,0)</f>
        <v>Alternative Fuels</v>
      </c>
      <c r="AB708" s="24" t="str">
        <f>VLOOKUP(A708,Metrik!$C$2:$Y$959,3,0)</f>
        <v>Energy</v>
      </c>
    </row>
    <row r="709">
      <c r="A709" s="14" t="s">
        <v>379</v>
      </c>
      <c r="B709" s="14" t="str">
        <f t="array" ref="B709">VLOOKUP(A709,{Metrik!$C$2:$C$998,Metrik!$B$2:$B$998},2,0)</f>
        <v>Estee Gold Feet Tbk.</v>
      </c>
      <c r="C709" s="15">
        <f>IFERROR(__xludf.DUMMYFUNCTION("GOOGLEFINANCE(""IDX:""&amp;A709,""price"")"),1515.0)</f>
        <v>1515</v>
      </c>
      <c r="D709" s="16" t="str">
        <f>IFERROR(__xludf.DUMMYFUNCTION("IF(A709="""","""",
SPARKLINE(
INDEX(
GOOGLEFINANCE(""IDX:""&amp;A709,""close"",TODAY()-365,TODAY()),
,2
),
{""linewidth"",1}
))
"),"#N/A")</f>
        <v>#N/A</v>
      </c>
      <c r="E709" s="26"/>
      <c r="F709" s="26"/>
      <c r="G709" s="24">
        <f t="shared" si="5"/>
        <v>0</v>
      </c>
      <c r="H709" s="19">
        <f>VLOOKUP(A709,Metrik!$C$2:$Y$959,8,0)</f>
        <v>2040</v>
      </c>
      <c r="I709" s="20">
        <f>VLOOKUP(A709,Metrik!$C$2:$Y$959,9,0)</f>
        <v>76.5</v>
      </c>
      <c r="J709" s="20">
        <f>VLOOKUP(A709,Metrik!$C$2:$Y$959,10,0)</f>
        <v>3.8</v>
      </c>
      <c r="K709" s="20">
        <f>VLOOKUP(A709,Metrik!$C$2:$Y$959,11,0)</f>
        <v>3.4</v>
      </c>
      <c r="L709" s="20">
        <f>VLOOKUP(A709,Metrik!$C$2:$Y$959,12,0)</f>
        <v>0.12</v>
      </c>
      <c r="M709" s="20">
        <f>VLOOKUP(A709,Metrik!$C$2:$Y$959,19,0)</f>
        <v>8.7</v>
      </c>
      <c r="N709" s="21"/>
      <c r="O709" s="21"/>
      <c r="P709" s="21"/>
      <c r="Q709" s="21"/>
      <c r="R709" s="21"/>
      <c r="S709" s="21"/>
      <c r="T709" s="21"/>
      <c r="U709" s="22">
        <f>IFERROR(__xludf.DUMMYFUNCTION("IFERROR(GOOGLEFINANCE(A709,""closeyest""),"""")"),26.23)</f>
        <v>26.23</v>
      </c>
      <c r="V709" s="23">
        <f>IFERROR(__xludf.DUMMYFUNCTION("IFERROR(GOOGLEFINANCE(A709,""changepct""),"""")"),1.43)</f>
        <v>1.43</v>
      </c>
      <c r="W709" s="22" t="str">
        <f>IFERROR(__xludf.DUMMYFUNCTION("IFERROR(GOOGLEFINANCE(A709,""priceopen""),"""")"),"")</f>
        <v/>
      </c>
      <c r="X709" s="22" t="str">
        <f>IFERROR(__xludf.DUMMYFUNCTION("IFERROR(GOOGLEFINANCE(A709,""high""),"""")"),"")</f>
        <v/>
      </c>
      <c r="Y709" s="22" t="str">
        <f>IFERROR(__xludf.DUMMYFUNCTION("IFERROR(GOOGLEFINANCE(A709,""low""),"""")"),"")</f>
        <v/>
      </c>
      <c r="Z709" s="22">
        <f>IFERROR(__xludf.DUMMYFUNCTION("IFERROR(GOOGLEFINANCE(A709,""volume""),"""")"),0.0)</f>
        <v>0</v>
      </c>
      <c r="AA709" s="24" t="str">
        <f>VLOOKUP(A709,Metrik!$C$2:$Y$959,5,0)</f>
        <v>Personal Care Products</v>
      </c>
      <c r="AB709" s="24" t="str">
        <f>VLOOKUP(A709,Metrik!$C$2:$Y$959,3,0)</f>
        <v>Consumer Non-Cyclicals</v>
      </c>
    </row>
    <row r="710">
      <c r="A710" s="14" t="s">
        <v>380</v>
      </c>
      <c r="B710" s="14" t="str">
        <f t="array" ref="B710">VLOOKUP(A710,{Metrik!$C$2:$C$998,Metrik!$B$2:$B$998},2,0)</f>
        <v>XLSMART Telecom Sejahtera Tbk.</v>
      </c>
      <c r="C710" s="15">
        <f>IFERROR(__xludf.DUMMYFUNCTION("GOOGLEFINANCE(""IDX:""&amp;A710,""price"")"),2570.0)</f>
        <v>2570</v>
      </c>
      <c r="D710" s="16" t="str">
        <f>IFERROR(__xludf.DUMMYFUNCTION("IF(A710="""","""",
SPARKLINE(
INDEX(
GOOGLEFINANCE(""IDX:""&amp;A710,""close"",TODAY()-365,TODAY()),
,2
),
{""linewidth"",1}
))
"),"#N/A")</f>
        <v>#N/A</v>
      </c>
      <c r="E710" s="14" t="s">
        <v>102</v>
      </c>
      <c r="F710" s="27" t="s">
        <v>53</v>
      </c>
      <c r="G710" s="24">
        <f t="shared" si="5"/>
        <v>9</v>
      </c>
      <c r="H710" s="19">
        <f>VLOOKUP(A710,Metrik!$C$2:$Y$959,8,0)</f>
        <v>-9.3</v>
      </c>
      <c r="I710" s="20">
        <f>VLOOKUP(A710,Metrik!$C$2:$Y$959,9,0)</f>
        <v>1.8</v>
      </c>
      <c r="J710" s="20">
        <f>VLOOKUP(A710,Metrik!$C$2:$Y$959,10,0)</f>
        <v>-18.9</v>
      </c>
      <c r="K710" s="20">
        <f>VLOOKUP(A710,Metrik!$C$2:$Y$959,11,0)</f>
        <v>-4.9</v>
      </c>
      <c r="L710" s="20">
        <f>VLOOKUP(A710,Metrik!$C$2:$Y$959,12,0)</f>
        <v>2.8</v>
      </c>
      <c r="M710" s="20">
        <f>VLOOKUP(A710,Metrik!$C$2:$Y$959,19,0)</f>
        <v>-46.8</v>
      </c>
      <c r="N710" s="21"/>
      <c r="O710" s="21"/>
      <c r="P710" s="21"/>
      <c r="Q710" s="21"/>
      <c r="R710" s="21"/>
      <c r="S710" s="21"/>
      <c r="T710" s="21"/>
      <c r="U710" s="22">
        <f>IFERROR(__xludf.DUMMYFUNCTION("IFERROR(GOOGLEFINANCE(A710,""closeyest""),"""")"),0.0)</f>
        <v>0</v>
      </c>
      <c r="V710" s="23">
        <f>IFERROR(__xludf.DUMMYFUNCTION("IFERROR(GOOGLEFINANCE(A710,""changepct""),"""")"),0.0)</f>
        <v>0</v>
      </c>
      <c r="W710" s="22" t="str">
        <f>IFERROR(__xludf.DUMMYFUNCTION("IFERROR(GOOGLEFINANCE(A710,""priceopen""),"""")"),"")</f>
        <v/>
      </c>
      <c r="X710" s="22" t="str">
        <f>IFERROR(__xludf.DUMMYFUNCTION("IFERROR(GOOGLEFINANCE(A710,""high""),"""")"),"")</f>
        <v/>
      </c>
      <c r="Y710" s="22" t="str">
        <f>IFERROR(__xludf.DUMMYFUNCTION("IFERROR(GOOGLEFINANCE(A710,""low""),"""")"),"")</f>
        <v/>
      </c>
      <c r="Z710" s="22">
        <f>IFERROR(__xludf.DUMMYFUNCTION("IFERROR(GOOGLEFINANCE(A710,""volume""),"""")"),0.0)</f>
        <v>0</v>
      </c>
      <c r="AA710" s="24" t="str">
        <f>VLOOKUP(A710,Metrik!$C$2:$Y$959,5,0)</f>
        <v>Wireless Telecommunication Services</v>
      </c>
      <c r="AB710" s="24" t="str">
        <f>VLOOKUP(A710,Metrik!$C$2:$Y$959,3,0)</f>
        <v>Infrastructures</v>
      </c>
    </row>
    <row r="711">
      <c r="A711" s="14" t="s">
        <v>380</v>
      </c>
      <c r="B711" s="14" t="str">
        <f t="array" ref="B711">VLOOKUP(A711,{Metrik!$C$2:$C$998,Metrik!$B$2:$B$998},2,0)</f>
        <v>XLSMART Telecom Sejahtera Tbk.</v>
      </c>
      <c r="C711" s="15">
        <f>IFERROR(__xludf.DUMMYFUNCTION("GOOGLEFINANCE(""IDX:""&amp;A711,""price"")"),2570.0)</f>
        <v>2570</v>
      </c>
      <c r="D711" s="16" t="str">
        <f>IFERROR(__xludf.DUMMYFUNCTION("IF(A711="""","""",
SPARKLINE(
INDEX(
GOOGLEFINANCE(""IDX:""&amp;A711,""close"",TODAY()-365,TODAY()),
,2
),
{""linewidth"",1}
))
"),"#N/A")</f>
        <v>#N/A</v>
      </c>
      <c r="E711" s="14" t="s">
        <v>28</v>
      </c>
      <c r="F711" s="17" t="s">
        <v>29</v>
      </c>
      <c r="G711" s="24">
        <f t="shared" si="5"/>
        <v>9</v>
      </c>
      <c r="H711" s="19">
        <f>VLOOKUP(A711,Metrik!$C$2:$Y$959,8,0)</f>
        <v>-9.3</v>
      </c>
      <c r="I711" s="20">
        <f>VLOOKUP(A711,Metrik!$C$2:$Y$959,9,0)</f>
        <v>1.8</v>
      </c>
      <c r="J711" s="20">
        <f>VLOOKUP(A711,Metrik!$C$2:$Y$959,10,0)</f>
        <v>-18.9</v>
      </c>
      <c r="K711" s="20">
        <f>VLOOKUP(A711,Metrik!$C$2:$Y$959,11,0)</f>
        <v>-4.9</v>
      </c>
      <c r="L711" s="20">
        <f>VLOOKUP(A711,Metrik!$C$2:$Y$959,12,0)</f>
        <v>2.8</v>
      </c>
      <c r="M711" s="20">
        <f>VLOOKUP(A711,Metrik!$C$2:$Y$959,19,0)</f>
        <v>-46.8</v>
      </c>
      <c r="N711" s="21"/>
      <c r="O711" s="21"/>
      <c r="P711" s="21"/>
      <c r="Q711" s="21"/>
      <c r="R711" s="21"/>
      <c r="S711" s="21"/>
      <c r="T711" s="21"/>
      <c r="U711" s="22">
        <f>IFERROR(__xludf.DUMMYFUNCTION("IFERROR(GOOGLEFINANCE(A711,""closeyest""),"""")"),0.0)</f>
        <v>0</v>
      </c>
      <c r="V711" s="23">
        <f>IFERROR(__xludf.DUMMYFUNCTION("IFERROR(GOOGLEFINANCE(A711,""changepct""),"""")"),0.0)</f>
        <v>0</v>
      </c>
      <c r="W711" s="22" t="str">
        <f>IFERROR(__xludf.DUMMYFUNCTION("IFERROR(GOOGLEFINANCE(A711,""priceopen""),"""")"),"")</f>
        <v/>
      </c>
      <c r="X711" s="22" t="str">
        <f>IFERROR(__xludf.DUMMYFUNCTION("IFERROR(GOOGLEFINANCE(A711,""high""),"""")"),"")</f>
        <v/>
      </c>
      <c r="Y711" s="22" t="str">
        <f>IFERROR(__xludf.DUMMYFUNCTION("IFERROR(GOOGLEFINANCE(A711,""low""),"""")"),"")</f>
        <v/>
      </c>
      <c r="Z711" s="22">
        <f>IFERROR(__xludf.DUMMYFUNCTION("IFERROR(GOOGLEFINANCE(A711,""volume""),"""")"),0.0)</f>
        <v>0</v>
      </c>
      <c r="AA711" s="24" t="str">
        <f>VLOOKUP(A711,Metrik!$C$2:$Y$959,5,0)</f>
        <v>Wireless Telecommunication Services</v>
      </c>
      <c r="AB711" s="24" t="str">
        <f>VLOOKUP(A711,Metrik!$C$2:$Y$959,3,0)</f>
        <v>Infrastructures</v>
      </c>
    </row>
    <row r="712">
      <c r="A712" s="14" t="s">
        <v>380</v>
      </c>
      <c r="B712" s="14" t="str">
        <f t="array" ref="B712">VLOOKUP(A712,{Metrik!$C$2:$C$998,Metrik!$B$2:$B$998},2,0)</f>
        <v>XLSMART Telecom Sejahtera Tbk.</v>
      </c>
      <c r="C712" s="15">
        <f>IFERROR(__xludf.DUMMYFUNCTION("GOOGLEFINANCE(""IDX:""&amp;A712,""price"")"),2570.0)</f>
        <v>2570</v>
      </c>
      <c r="D712" s="16" t="str">
        <f>IFERROR(__xludf.DUMMYFUNCTION("IF(A712="""","""",
SPARKLINE(
INDEX(
GOOGLEFINANCE(""IDX:""&amp;A712,""close"",TODAY()-365,TODAY()),
,2
),
{""linewidth"",1}
))
"),"#N/A")</f>
        <v>#N/A</v>
      </c>
      <c r="E712" s="14" t="s">
        <v>31</v>
      </c>
      <c r="F712" s="17" t="s">
        <v>29</v>
      </c>
      <c r="G712" s="24">
        <f t="shared" si="5"/>
        <v>9</v>
      </c>
      <c r="H712" s="19">
        <f>VLOOKUP(A712,Metrik!$C$2:$Y$959,8,0)</f>
        <v>-9.3</v>
      </c>
      <c r="I712" s="20">
        <f>VLOOKUP(A712,Metrik!$C$2:$Y$959,9,0)</f>
        <v>1.8</v>
      </c>
      <c r="J712" s="20">
        <f>VLOOKUP(A712,Metrik!$C$2:$Y$959,10,0)</f>
        <v>-18.9</v>
      </c>
      <c r="K712" s="20">
        <f>VLOOKUP(A712,Metrik!$C$2:$Y$959,11,0)</f>
        <v>-4.9</v>
      </c>
      <c r="L712" s="20">
        <f>VLOOKUP(A712,Metrik!$C$2:$Y$959,12,0)</f>
        <v>2.8</v>
      </c>
      <c r="M712" s="20">
        <f>VLOOKUP(A712,Metrik!$C$2:$Y$959,19,0)</f>
        <v>-46.8</v>
      </c>
      <c r="N712" s="21"/>
      <c r="O712" s="21"/>
      <c r="P712" s="21"/>
      <c r="Q712" s="21"/>
      <c r="R712" s="21"/>
      <c r="S712" s="21"/>
      <c r="T712" s="21"/>
      <c r="U712" s="22">
        <f>IFERROR(__xludf.DUMMYFUNCTION("IFERROR(GOOGLEFINANCE(A712,""closeyest""),"""")"),0.0)</f>
        <v>0</v>
      </c>
      <c r="V712" s="23">
        <f>IFERROR(__xludf.DUMMYFUNCTION("IFERROR(GOOGLEFINANCE(A712,""changepct""),"""")"),0.0)</f>
        <v>0</v>
      </c>
      <c r="W712" s="22" t="str">
        <f>IFERROR(__xludf.DUMMYFUNCTION("IFERROR(GOOGLEFINANCE(A712,""priceopen""),"""")"),"")</f>
        <v/>
      </c>
      <c r="X712" s="22" t="str">
        <f>IFERROR(__xludf.DUMMYFUNCTION("IFERROR(GOOGLEFINANCE(A712,""high""),"""")"),"")</f>
        <v/>
      </c>
      <c r="Y712" s="22" t="str">
        <f>IFERROR(__xludf.DUMMYFUNCTION("IFERROR(GOOGLEFINANCE(A712,""low""),"""")"),"")</f>
        <v/>
      </c>
      <c r="Z712" s="22">
        <f>IFERROR(__xludf.DUMMYFUNCTION("IFERROR(GOOGLEFINANCE(A712,""volume""),"""")"),0.0)</f>
        <v>0</v>
      </c>
      <c r="AA712" s="24" t="str">
        <f>VLOOKUP(A712,Metrik!$C$2:$Y$959,5,0)</f>
        <v>Wireless Telecommunication Services</v>
      </c>
      <c r="AB712" s="24" t="str">
        <f>VLOOKUP(A712,Metrik!$C$2:$Y$959,3,0)</f>
        <v>Infrastructures</v>
      </c>
    </row>
    <row r="713">
      <c r="A713" s="14" t="s">
        <v>380</v>
      </c>
      <c r="B713" s="14" t="str">
        <f t="array" ref="B713">VLOOKUP(A713,{Metrik!$C$2:$C$998,Metrik!$B$2:$B$998},2,0)</f>
        <v>XLSMART Telecom Sejahtera Tbk.</v>
      </c>
      <c r="C713" s="15">
        <f>IFERROR(__xludf.DUMMYFUNCTION("GOOGLEFINANCE(""IDX:""&amp;A713,""price"")"),2570.0)</f>
        <v>2570</v>
      </c>
      <c r="D713" s="16" t="str">
        <f>IFERROR(__xludf.DUMMYFUNCTION("IF(A713="""","""",
SPARKLINE(
INDEX(
GOOGLEFINANCE(""IDX:""&amp;A713,""close"",TODAY()-365,TODAY()),
,2
),
{""linewidth"",1}
))
"),"#N/A")</f>
        <v>#N/A</v>
      </c>
      <c r="E713" s="14" t="s">
        <v>32</v>
      </c>
      <c r="F713" s="14" t="s">
        <v>29</v>
      </c>
      <c r="G713" s="24">
        <f t="shared" si="5"/>
        <v>9</v>
      </c>
      <c r="H713" s="19">
        <f>VLOOKUP(A713,Metrik!$C$2:$Y$959,8,0)</f>
        <v>-9.3</v>
      </c>
      <c r="I713" s="20">
        <f>VLOOKUP(A713,Metrik!$C$2:$Y$959,9,0)</f>
        <v>1.8</v>
      </c>
      <c r="J713" s="20">
        <f>VLOOKUP(A713,Metrik!$C$2:$Y$959,10,0)</f>
        <v>-18.9</v>
      </c>
      <c r="K713" s="20">
        <f>VLOOKUP(A713,Metrik!$C$2:$Y$959,11,0)</f>
        <v>-4.9</v>
      </c>
      <c r="L713" s="20">
        <f>VLOOKUP(A713,Metrik!$C$2:$Y$959,12,0)</f>
        <v>2.8</v>
      </c>
      <c r="M713" s="20">
        <f>VLOOKUP(A713,Metrik!$C$2:$Y$959,19,0)</f>
        <v>-46.8</v>
      </c>
      <c r="N713" s="21"/>
      <c r="O713" s="21"/>
      <c r="P713" s="21"/>
      <c r="Q713" s="21"/>
      <c r="R713" s="21"/>
      <c r="S713" s="21"/>
      <c r="T713" s="21"/>
      <c r="U713" s="22">
        <f>IFERROR(__xludf.DUMMYFUNCTION("IFERROR(GOOGLEFINANCE(A713,""closeyest""),"""")"),0.0)</f>
        <v>0</v>
      </c>
      <c r="V713" s="23">
        <f>IFERROR(__xludf.DUMMYFUNCTION("IFERROR(GOOGLEFINANCE(A713,""changepct""),"""")"),0.0)</f>
        <v>0</v>
      </c>
      <c r="W713" s="22" t="str">
        <f>IFERROR(__xludf.DUMMYFUNCTION("IFERROR(GOOGLEFINANCE(A713,""priceopen""),"""")"),"")</f>
        <v/>
      </c>
      <c r="X713" s="22" t="str">
        <f>IFERROR(__xludf.DUMMYFUNCTION("IFERROR(GOOGLEFINANCE(A713,""high""),"""")"),"")</f>
        <v/>
      </c>
      <c r="Y713" s="22" t="str">
        <f>IFERROR(__xludf.DUMMYFUNCTION("IFERROR(GOOGLEFINANCE(A713,""low""),"""")"),"")</f>
        <v/>
      </c>
      <c r="Z713" s="22">
        <f>IFERROR(__xludf.DUMMYFUNCTION("IFERROR(GOOGLEFINANCE(A713,""volume""),"""")"),0.0)</f>
        <v>0</v>
      </c>
      <c r="AA713" s="24" t="str">
        <f>VLOOKUP(A713,Metrik!$C$2:$Y$959,5,0)</f>
        <v>Wireless Telecommunication Services</v>
      </c>
      <c r="AB713" s="24" t="str">
        <f>VLOOKUP(A713,Metrik!$C$2:$Y$959,3,0)</f>
        <v>Infrastructures</v>
      </c>
    </row>
    <row r="714">
      <c r="A714" s="14" t="s">
        <v>380</v>
      </c>
      <c r="B714" s="14" t="str">
        <f t="array" ref="B714">VLOOKUP(A714,{Metrik!$C$2:$C$998,Metrik!$B$2:$B$998},2,0)</f>
        <v>XLSMART Telecom Sejahtera Tbk.</v>
      </c>
      <c r="C714" s="15">
        <f>IFERROR(__xludf.DUMMYFUNCTION("GOOGLEFINANCE(""IDX:""&amp;A714,""price"")"),2570.0)</f>
        <v>2570</v>
      </c>
      <c r="D714" s="16" t="str">
        <f>IFERROR(__xludf.DUMMYFUNCTION("IF(A714="""","""",
SPARKLINE(
INDEX(
GOOGLEFINANCE(""IDX:""&amp;A714,""close"",TODAY()-365,TODAY()),
,2
),
{""linewidth"",1}
))
"),"#N/A")</f>
        <v>#N/A</v>
      </c>
      <c r="E714" s="14" t="s">
        <v>50</v>
      </c>
      <c r="F714" s="17" t="s">
        <v>51</v>
      </c>
      <c r="G714" s="24">
        <f t="shared" si="5"/>
        <v>9</v>
      </c>
      <c r="H714" s="19">
        <f>VLOOKUP(A714,Metrik!$C$2:$Y$959,8,0)</f>
        <v>-9.3</v>
      </c>
      <c r="I714" s="20">
        <f>VLOOKUP(A714,Metrik!$C$2:$Y$959,9,0)</f>
        <v>1.8</v>
      </c>
      <c r="J714" s="20">
        <f>VLOOKUP(A714,Metrik!$C$2:$Y$959,10,0)</f>
        <v>-18.9</v>
      </c>
      <c r="K714" s="20">
        <f>VLOOKUP(A714,Metrik!$C$2:$Y$959,11,0)</f>
        <v>-4.9</v>
      </c>
      <c r="L714" s="20">
        <f>VLOOKUP(A714,Metrik!$C$2:$Y$959,12,0)</f>
        <v>2.8</v>
      </c>
      <c r="M714" s="20">
        <f>VLOOKUP(A714,Metrik!$C$2:$Y$959,19,0)</f>
        <v>-46.8</v>
      </c>
      <c r="N714" s="21"/>
      <c r="O714" s="21"/>
      <c r="P714" s="21"/>
      <c r="Q714" s="21"/>
      <c r="R714" s="21"/>
      <c r="S714" s="21"/>
      <c r="T714" s="21"/>
      <c r="U714" s="22">
        <f>IFERROR(__xludf.DUMMYFUNCTION("IFERROR(GOOGLEFINANCE(A714,""closeyest""),"""")"),0.0)</f>
        <v>0</v>
      </c>
      <c r="V714" s="23">
        <f>IFERROR(__xludf.DUMMYFUNCTION("IFERROR(GOOGLEFINANCE(A714,""changepct""),"""")"),0.0)</f>
        <v>0</v>
      </c>
      <c r="W714" s="22" t="str">
        <f>IFERROR(__xludf.DUMMYFUNCTION("IFERROR(GOOGLEFINANCE(A714,""priceopen""),"""")"),"")</f>
        <v/>
      </c>
      <c r="X714" s="22" t="str">
        <f>IFERROR(__xludf.DUMMYFUNCTION("IFERROR(GOOGLEFINANCE(A714,""high""),"""")"),"")</f>
        <v/>
      </c>
      <c r="Y714" s="22" t="str">
        <f>IFERROR(__xludf.DUMMYFUNCTION("IFERROR(GOOGLEFINANCE(A714,""low""),"""")"),"")</f>
        <v/>
      </c>
      <c r="Z714" s="22">
        <f>IFERROR(__xludf.DUMMYFUNCTION("IFERROR(GOOGLEFINANCE(A714,""volume""),"""")"),0.0)</f>
        <v>0</v>
      </c>
      <c r="AA714" s="24" t="str">
        <f>VLOOKUP(A714,Metrik!$C$2:$Y$959,5,0)</f>
        <v>Wireless Telecommunication Services</v>
      </c>
      <c r="AB714" s="24" t="str">
        <f>VLOOKUP(A714,Metrik!$C$2:$Y$959,3,0)</f>
        <v>Infrastructures</v>
      </c>
    </row>
    <row r="715">
      <c r="A715" s="48" t="s">
        <v>380</v>
      </c>
      <c r="B715" s="14" t="str">
        <f t="array" ref="B715">VLOOKUP(A715,{Metrik!$C$2:$C$998,Metrik!$B$2:$B$998},2,0)</f>
        <v>XLSMART Telecom Sejahtera Tbk.</v>
      </c>
      <c r="C715" s="15">
        <f>IFERROR(__xludf.DUMMYFUNCTION("GOOGLEFINANCE(""IDX:""&amp;A715,""price"")"),2570.0)</f>
        <v>2570</v>
      </c>
      <c r="D715" s="16" t="str">
        <f>IFERROR(__xludf.DUMMYFUNCTION("IF(A715="""","""",
SPARKLINE(
INDEX(
GOOGLEFINANCE(""IDX:""&amp;A715,""close"",TODAY()-365,TODAY()),
,2
),
{""linewidth"",1}
))
"),"#N/A")</f>
        <v>#N/A</v>
      </c>
      <c r="E715" s="17" t="s">
        <v>69</v>
      </c>
      <c r="F715" s="17" t="s">
        <v>70</v>
      </c>
      <c r="G715" s="24">
        <f t="shared" si="5"/>
        <v>9</v>
      </c>
      <c r="H715" s="19">
        <f>VLOOKUP(A715,Metrik!$C$2:$Y$959,8,0)</f>
        <v>-9.3</v>
      </c>
      <c r="I715" s="20">
        <f>VLOOKUP(A715,Metrik!$C$2:$Y$959,9,0)</f>
        <v>1.8</v>
      </c>
      <c r="J715" s="20">
        <f>VLOOKUP(A715,Metrik!$C$2:$Y$959,10,0)</f>
        <v>-18.9</v>
      </c>
      <c r="K715" s="20">
        <f>VLOOKUP(A715,Metrik!$C$2:$Y$959,11,0)</f>
        <v>-4.9</v>
      </c>
      <c r="L715" s="20">
        <f>VLOOKUP(A715,Metrik!$C$2:$Y$959,12,0)</f>
        <v>2.8</v>
      </c>
      <c r="M715" s="20">
        <f>VLOOKUP(A715,Metrik!$C$2:$Y$959,19,0)</f>
        <v>-46.8</v>
      </c>
      <c r="N715" s="21"/>
      <c r="O715" s="21"/>
      <c r="P715" s="21"/>
      <c r="Q715" s="21"/>
      <c r="R715" s="21"/>
      <c r="S715" s="21"/>
      <c r="T715" s="21"/>
      <c r="U715" s="22">
        <f>IFERROR(__xludf.DUMMYFUNCTION("IFERROR(GOOGLEFINANCE(A715,""closeyest""),"""")"),0.0)</f>
        <v>0</v>
      </c>
      <c r="V715" s="23">
        <f>IFERROR(__xludf.DUMMYFUNCTION("IFERROR(GOOGLEFINANCE(A715,""changepct""),"""")"),0.0)</f>
        <v>0</v>
      </c>
      <c r="W715" s="22" t="str">
        <f>IFERROR(__xludf.DUMMYFUNCTION("IFERROR(GOOGLEFINANCE(A715,""priceopen""),"""")"),"")</f>
        <v/>
      </c>
      <c r="X715" s="22" t="str">
        <f>IFERROR(__xludf.DUMMYFUNCTION("IFERROR(GOOGLEFINANCE(A715,""high""),"""")"),"")</f>
        <v/>
      </c>
      <c r="Y715" s="22" t="str">
        <f>IFERROR(__xludf.DUMMYFUNCTION("IFERROR(GOOGLEFINANCE(A715,""low""),"""")"),"")</f>
        <v/>
      </c>
      <c r="Z715" s="22">
        <f>IFERROR(__xludf.DUMMYFUNCTION("IFERROR(GOOGLEFINANCE(A715,""volume""),"""")"),0.0)</f>
        <v>0</v>
      </c>
      <c r="AA715" s="24" t="str">
        <f>VLOOKUP(A715,Metrik!$C$2:$Y$959,5,0)</f>
        <v>Wireless Telecommunication Services</v>
      </c>
      <c r="AB715" s="24" t="str">
        <f>VLOOKUP(A715,Metrik!$C$2:$Y$959,3,0)</f>
        <v>Infrastructures</v>
      </c>
    </row>
    <row r="716">
      <c r="A716" s="17" t="s">
        <v>380</v>
      </c>
      <c r="B716" s="14" t="str">
        <f t="array" ref="B716">VLOOKUP(A716,{Metrik!$C$2:$C$998,Metrik!$B$2:$B$998},2,0)</f>
        <v>XLSMART Telecom Sejahtera Tbk.</v>
      </c>
      <c r="C716" s="15">
        <f>IFERROR(__xludf.DUMMYFUNCTION("GOOGLEFINANCE(""IDX:""&amp;A716,""price"")"),2570.0)</f>
        <v>2570</v>
      </c>
      <c r="D716" s="16" t="str">
        <f>IFERROR(__xludf.DUMMYFUNCTION("IF(A716="""","""",
SPARKLINE(
INDEX(
GOOGLEFINANCE(""IDX:""&amp;A716,""close"",TODAY()-365,TODAY()),
,2
),
{""linewidth"",1}
))
"),"#N/A")</f>
        <v>#N/A</v>
      </c>
      <c r="E716" s="14" t="s">
        <v>35</v>
      </c>
      <c r="F716" s="17" t="s">
        <v>36</v>
      </c>
      <c r="G716" s="38">
        <f t="shared" si="5"/>
        <v>9</v>
      </c>
      <c r="H716" s="34">
        <f>VLOOKUP(A716,Metrik!$C$2:$Y$959,8,0)</f>
        <v>-9.3</v>
      </c>
      <c r="I716" s="34">
        <f>VLOOKUP(A716,Metrik!$C$2:$Y$959,9,0)</f>
        <v>1.8</v>
      </c>
      <c r="J716" s="34">
        <f>VLOOKUP(A716,Metrik!$C$2:$Y$959,10,0)</f>
        <v>-18.9</v>
      </c>
      <c r="K716" s="34">
        <f>VLOOKUP(A716,Metrik!$C$2:$Y$959,11,0)</f>
        <v>-4.9</v>
      </c>
      <c r="L716" s="34">
        <f>VLOOKUP(A716,Metrik!$C$2:$Y$959,12,0)</f>
        <v>2.8</v>
      </c>
      <c r="M716" s="34">
        <f>VLOOKUP(A716,Metrik!$C$2:$Y$959,19,0)</f>
        <v>-46.8</v>
      </c>
      <c r="N716" s="26"/>
      <c r="O716" s="26"/>
      <c r="P716" s="26"/>
      <c r="Q716" s="26"/>
      <c r="R716" s="26"/>
      <c r="S716" s="26"/>
      <c r="T716" s="26"/>
      <c r="U716" s="35">
        <f>IFERROR(__xludf.DUMMYFUNCTION("IFERROR(GOOGLEFINANCE(A716,""closeyest""),"""")"),0.0)</f>
        <v>0</v>
      </c>
      <c r="V716" s="36">
        <f>IFERROR(__xludf.DUMMYFUNCTION("IFERROR(GOOGLEFINANCE(A716,""changepct""),"""")"),0.0)</f>
        <v>0</v>
      </c>
      <c r="W716" s="35" t="str">
        <f>IFERROR(__xludf.DUMMYFUNCTION("IFERROR(GOOGLEFINANCE(A716,""priceopen""),"""")"),"")</f>
        <v/>
      </c>
      <c r="X716" s="35" t="str">
        <f>IFERROR(__xludf.DUMMYFUNCTION("IFERROR(GOOGLEFINANCE(A716,""high""),"""")"),"")</f>
        <v/>
      </c>
      <c r="Y716" s="35" t="str">
        <f>IFERROR(__xludf.DUMMYFUNCTION("IFERROR(GOOGLEFINANCE(A716,""low""),"""")"),"")</f>
        <v/>
      </c>
      <c r="Z716" s="35">
        <f>IFERROR(__xludf.DUMMYFUNCTION("IFERROR(GOOGLEFINANCE(A716,""volume""),"""")"),0.0)</f>
        <v>0</v>
      </c>
      <c r="AA716" s="14" t="str">
        <f>VLOOKUP(A716,Metrik!$C$2:$Y$959,5,0)</f>
        <v>Wireless Telecommunication Services</v>
      </c>
      <c r="AB716" s="14" t="str">
        <f>VLOOKUP(A716,Metrik!$C$2:$Y$959,3,0)</f>
        <v>Infrastructures</v>
      </c>
    </row>
    <row r="717">
      <c r="A717" s="14" t="s">
        <v>380</v>
      </c>
      <c r="B717" s="14" t="str">
        <f t="array" ref="B717">VLOOKUP(A717,{Metrik!$C$2:$C$998,Metrik!$B$2:$B$998},2,0)</f>
        <v>XLSMART Telecom Sejahtera Tbk.</v>
      </c>
      <c r="C717" s="15">
        <f>IFERROR(__xludf.DUMMYFUNCTION("GOOGLEFINANCE(""IDX:""&amp;A717,""price"")"),2570.0)</f>
        <v>2570</v>
      </c>
      <c r="D717" s="16" t="str">
        <f>IFERROR(__xludf.DUMMYFUNCTION("IF(A717="""","""",
SPARKLINE(
INDEX(
GOOGLEFINANCE(""IDX:""&amp;A717,""close"",TODAY()-365,TODAY()),
,2
),
{""linewidth"",1}
))
"),"#N/A")</f>
        <v>#N/A</v>
      </c>
      <c r="E717" s="14" t="s">
        <v>38</v>
      </c>
      <c r="F717" s="25">
        <v>46356.0</v>
      </c>
      <c r="G717" s="24">
        <f t="shared" si="5"/>
        <v>9</v>
      </c>
      <c r="H717" s="19">
        <f>VLOOKUP(A717,Metrik!$C$2:$Y$959,8,0)</f>
        <v>-9.3</v>
      </c>
      <c r="I717" s="20">
        <f>VLOOKUP(A717,Metrik!$C$2:$Y$959,9,0)</f>
        <v>1.8</v>
      </c>
      <c r="J717" s="20">
        <f>VLOOKUP(A717,Metrik!$C$2:$Y$959,10,0)</f>
        <v>-18.9</v>
      </c>
      <c r="K717" s="20">
        <f>VLOOKUP(A717,Metrik!$C$2:$Y$959,11,0)</f>
        <v>-4.9</v>
      </c>
      <c r="L717" s="20">
        <f>VLOOKUP(A717,Metrik!$C$2:$Y$959,12,0)</f>
        <v>2.8</v>
      </c>
      <c r="M717" s="20">
        <f>VLOOKUP(A717,Metrik!$C$2:$Y$959,19,0)</f>
        <v>-46.8</v>
      </c>
      <c r="N717" s="21"/>
      <c r="O717" s="21"/>
      <c r="P717" s="21"/>
      <c r="Q717" s="21"/>
      <c r="R717" s="21"/>
      <c r="S717" s="21"/>
      <c r="T717" s="21"/>
      <c r="U717" s="22">
        <f>IFERROR(__xludf.DUMMYFUNCTION("IFERROR(GOOGLEFINANCE(A717,""closeyest""),"""")"),0.0)</f>
        <v>0</v>
      </c>
      <c r="V717" s="23">
        <f>IFERROR(__xludf.DUMMYFUNCTION("IFERROR(GOOGLEFINANCE(A717,""changepct""),"""")"),0.0)</f>
        <v>0</v>
      </c>
      <c r="W717" s="22" t="str">
        <f>IFERROR(__xludf.DUMMYFUNCTION("IFERROR(GOOGLEFINANCE(A717,""priceopen""),"""")"),"")</f>
        <v/>
      </c>
      <c r="X717" s="22" t="str">
        <f>IFERROR(__xludf.DUMMYFUNCTION("IFERROR(GOOGLEFINANCE(A717,""high""),"""")"),"")</f>
        <v/>
      </c>
      <c r="Y717" s="22" t="str">
        <f>IFERROR(__xludf.DUMMYFUNCTION("IFERROR(GOOGLEFINANCE(A717,""low""),"""")"),"")</f>
        <v/>
      </c>
      <c r="Z717" s="22">
        <f>IFERROR(__xludf.DUMMYFUNCTION("IFERROR(GOOGLEFINANCE(A717,""volume""),"""")"),0.0)</f>
        <v>0</v>
      </c>
      <c r="AA717" s="24" t="str">
        <f>VLOOKUP(A717,Metrik!$C$2:$Y$959,5,0)</f>
        <v>Wireless Telecommunication Services</v>
      </c>
      <c r="AB717" s="24" t="str">
        <f>VLOOKUP(A717,Metrik!$C$2:$Y$959,3,0)</f>
        <v>Infrastructures</v>
      </c>
    </row>
    <row r="718">
      <c r="A718" s="14" t="s">
        <v>380</v>
      </c>
      <c r="B718" s="14" t="str">
        <f t="array" ref="B718">VLOOKUP(A718,{Metrik!$C$2:$C$998,Metrik!$B$2:$B$998},2,0)</f>
        <v>XLSMART Telecom Sejahtera Tbk.</v>
      </c>
      <c r="C718" s="15">
        <f>IFERROR(__xludf.DUMMYFUNCTION("GOOGLEFINANCE(""IDX:""&amp;A718,""price"")"),2570.0)</f>
        <v>2570</v>
      </c>
      <c r="D718" s="16" t="str">
        <f>IFERROR(__xludf.DUMMYFUNCTION("IF(A718="""","""",
SPARKLINE(
INDEX(
GOOGLEFINANCE(""IDX:""&amp;A718,""close"",TODAY()-365,TODAY()),
,2
),
{""linewidth"",1}
))
"),"#N/A")</f>
        <v>#N/A</v>
      </c>
      <c r="E718" s="14" t="s">
        <v>39</v>
      </c>
      <c r="F718" s="25">
        <v>46356.0</v>
      </c>
      <c r="G718" s="24">
        <f t="shared" si="5"/>
        <v>9</v>
      </c>
      <c r="H718" s="19">
        <f>VLOOKUP(A718,Metrik!$C$2:$Y$959,8,0)</f>
        <v>-9.3</v>
      </c>
      <c r="I718" s="20">
        <f>VLOOKUP(A718,Metrik!$C$2:$Y$959,9,0)</f>
        <v>1.8</v>
      </c>
      <c r="J718" s="20">
        <f>VLOOKUP(A718,Metrik!$C$2:$Y$959,10,0)</f>
        <v>-18.9</v>
      </c>
      <c r="K718" s="20">
        <f>VLOOKUP(A718,Metrik!$C$2:$Y$959,11,0)</f>
        <v>-4.9</v>
      </c>
      <c r="L718" s="20">
        <f>VLOOKUP(A718,Metrik!$C$2:$Y$959,12,0)</f>
        <v>2.8</v>
      </c>
      <c r="M718" s="20">
        <f>VLOOKUP(A718,Metrik!$C$2:$Y$959,19,0)</f>
        <v>-46.8</v>
      </c>
      <c r="N718" s="21"/>
      <c r="O718" s="21"/>
      <c r="P718" s="21"/>
      <c r="Q718" s="21"/>
      <c r="R718" s="21"/>
      <c r="S718" s="21"/>
      <c r="T718" s="21"/>
      <c r="U718" s="22">
        <f>IFERROR(__xludf.DUMMYFUNCTION("IFERROR(GOOGLEFINANCE(A718,""closeyest""),"""")"),0.0)</f>
        <v>0</v>
      </c>
      <c r="V718" s="23">
        <f>IFERROR(__xludf.DUMMYFUNCTION("IFERROR(GOOGLEFINANCE(A718,""changepct""),"""")"),0.0)</f>
        <v>0</v>
      </c>
      <c r="W718" s="22" t="str">
        <f>IFERROR(__xludf.DUMMYFUNCTION("IFERROR(GOOGLEFINANCE(A718,""priceopen""),"""")"),"")</f>
        <v/>
      </c>
      <c r="X718" s="22" t="str">
        <f>IFERROR(__xludf.DUMMYFUNCTION("IFERROR(GOOGLEFINANCE(A718,""high""),"""")"),"")</f>
        <v/>
      </c>
      <c r="Y718" s="22" t="str">
        <f>IFERROR(__xludf.DUMMYFUNCTION("IFERROR(GOOGLEFINANCE(A718,""low""),"""")"),"")</f>
        <v/>
      </c>
      <c r="Z718" s="22">
        <f>IFERROR(__xludf.DUMMYFUNCTION("IFERROR(GOOGLEFINANCE(A718,""volume""),"""")"),0.0)</f>
        <v>0</v>
      </c>
      <c r="AA718" s="24" t="str">
        <f>VLOOKUP(A718,Metrik!$C$2:$Y$959,5,0)</f>
        <v>Wireless Telecommunication Services</v>
      </c>
      <c r="AB718" s="24" t="str">
        <f>VLOOKUP(A718,Metrik!$C$2:$Y$959,3,0)</f>
        <v>Infrastructures</v>
      </c>
    </row>
    <row r="719">
      <c r="A719" s="14" t="s">
        <v>381</v>
      </c>
      <c r="B719" s="14" t="str">
        <f t="array" ref="B719">VLOOKUP(A719,{Metrik!$C$2:$C$998,Metrik!$B$2:$B$998},2,0)</f>
        <v>FAP Agri Tbk.</v>
      </c>
      <c r="C719" s="15">
        <f>IFERROR(__xludf.DUMMYFUNCTION("GOOGLEFINANCE(""IDX:""&amp;A719,""price"")"),7275.0)</f>
        <v>7275</v>
      </c>
      <c r="D719" s="16" t="str">
        <f>IFERROR(__xludf.DUMMYFUNCTION("IF(A719="""","""",
SPARKLINE(
INDEX(
GOOGLEFINANCE(""IDX:""&amp;A719,""close"",TODAY()-365,TODAY()),
,2
),
{""linewidth"",1}
))
"),"#N/A")</f>
        <v>#N/A</v>
      </c>
      <c r="E719" s="26"/>
      <c r="F719" s="26"/>
      <c r="G719" s="24">
        <f t="shared" si="5"/>
        <v>0</v>
      </c>
      <c r="H719" s="19">
        <f>VLOOKUP(A719,Metrik!$C$2:$Y$959,8,0)</f>
        <v>24.4</v>
      </c>
      <c r="I719" s="20">
        <f>VLOOKUP(A719,Metrik!$C$2:$Y$959,9,0)</f>
        <v>6.3</v>
      </c>
      <c r="J719" s="20">
        <f>VLOOKUP(A719,Metrik!$C$2:$Y$959,10,0)</f>
        <v>25.8</v>
      </c>
      <c r="K719" s="20">
        <f>VLOOKUP(A719,Metrik!$C$2:$Y$959,11,0)</f>
        <v>10.4</v>
      </c>
      <c r="L719" s="20">
        <f>VLOOKUP(A719,Metrik!$C$2:$Y$959,12,0)</f>
        <v>1.5</v>
      </c>
      <c r="M719" s="20">
        <f>VLOOKUP(A719,Metrik!$C$2:$Y$959,19,0)</f>
        <v>53.5</v>
      </c>
      <c r="N719" s="21"/>
      <c r="O719" s="21"/>
      <c r="P719" s="21"/>
      <c r="Q719" s="21"/>
      <c r="R719" s="21"/>
      <c r="S719" s="21"/>
      <c r="T719" s="21"/>
      <c r="U719" s="22">
        <f>IFERROR(__xludf.DUMMYFUNCTION("IFERROR(GOOGLEFINANCE(A719,""closeyest""),"""")"),7250.0)</f>
        <v>7250</v>
      </c>
      <c r="V719" s="23">
        <f>IFERROR(__xludf.DUMMYFUNCTION("IFERROR(GOOGLEFINANCE(A719,""changepct""),"""")"),0.34)</f>
        <v>0.34</v>
      </c>
      <c r="W719" s="22">
        <f>IFERROR(__xludf.DUMMYFUNCTION("IFERROR(GOOGLEFINANCE(A719,""priceopen""),"""")"),7250.0)</f>
        <v>7250</v>
      </c>
      <c r="X719" s="22">
        <f>IFERROR(__xludf.DUMMYFUNCTION("IFERROR(GOOGLEFINANCE(A719,""high""),"""")"),7275.0)</f>
        <v>7275</v>
      </c>
      <c r="Y719" s="22" t="str">
        <f>IFERROR(__xludf.DUMMYFUNCTION("IFERROR(GOOGLEFINANCE(A719,""low""),"""")"),"")</f>
        <v/>
      </c>
      <c r="Z719" s="22">
        <f>IFERROR(__xludf.DUMMYFUNCTION("IFERROR(GOOGLEFINANCE(A719,""volume""),"""")"),900.0)</f>
        <v>900</v>
      </c>
      <c r="AA719" s="24" t="str">
        <f>VLOOKUP(A719,Metrik!$C$2:$Y$959,5,0)</f>
        <v>Agricultural Products</v>
      </c>
      <c r="AB719" s="24" t="str">
        <f>VLOOKUP(A719,Metrik!$C$2:$Y$959,3,0)</f>
        <v>Consumer Non-Cyclicals</v>
      </c>
    </row>
    <row r="720">
      <c r="A720" s="14" t="s">
        <v>382</v>
      </c>
      <c r="B720" s="14" t="str">
        <f t="array" ref="B720">VLOOKUP(A720,{Metrik!$C$2:$C$998,Metrik!$B$2:$B$998},2,0)</f>
        <v>Fast Food Indonesia Tbk.</v>
      </c>
      <c r="C720" s="15">
        <f>IFERROR(__xludf.DUMMYFUNCTION("GOOGLEFINANCE(""IDX:""&amp;A720,""price"")"),238.0)</f>
        <v>238</v>
      </c>
      <c r="D720" s="16" t="str">
        <f>IFERROR(__xludf.DUMMYFUNCTION("IF(A720="""","""",
SPARKLINE(
INDEX(
GOOGLEFINANCE(""IDX:""&amp;A720,""close"",TODAY()-365,TODAY()),
,2
),
{""linewidth"",1}
))
"),"#N/A")</f>
        <v>#N/A</v>
      </c>
      <c r="E720" s="26"/>
      <c r="F720" s="26"/>
      <c r="G720" s="24">
        <f t="shared" si="5"/>
        <v>0</v>
      </c>
      <c r="H720" s="19">
        <f>VLOOKUP(A720,Metrik!$C$2:$Y$959,8,0)</f>
        <v>-3.6</v>
      </c>
      <c r="I720" s="20">
        <f>VLOOKUP(A720,Metrik!$C$2:$Y$959,9,0)</f>
        <v>2.4</v>
      </c>
      <c r="J720" s="20">
        <f>VLOOKUP(A720,Metrik!$C$2:$Y$959,10,0)</f>
        <v>-68</v>
      </c>
      <c r="K720" s="20">
        <f>VLOOKUP(A720,Metrik!$C$2:$Y$959,11,0)</f>
        <v>-6.1</v>
      </c>
      <c r="L720" s="20">
        <f>VLOOKUP(A720,Metrik!$C$2:$Y$959,12,0)</f>
        <v>10.2</v>
      </c>
      <c r="M720" s="20">
        <f>VLOOKUP(A720,Metrik!$C$2:$Y$959,19,0)</f>
        <v>-22.2</v>
      </c>
      <c r="N720" s="21"/>
      <c r="O720" s="21"/>
      <c r="P720" s="21"/>
      <c r="Q720" s="21"/>
      <c r="R720" s="21"/>
      <c r="S720" s="21"/>
      <c r="T720" s="21"/>
      <c r="U720" s="22">
        <f>IFERROR(__xludf.DUMMYFUNCTION("IFERROR(GOOGLEFINANCE(A720,""closeyest""),"""")"),46.39)</f>
        <v>46.39</v>
      </c>
      <c r="V720" s="23">
        <f>IFERROR(__xludf.DUMMYFUNCTION("IFERROR(GOOGLEFINANCE(A720,""changepct""),"""")"),0.39)</f>
        <v>0.39</v>
      </c>
      <c r="W720" s="22">
        <f>IFERROR(__xludf.DUMMYFUNCTION("IFERROR(GOOGLEFINANCE(A720,""priceopen""),"""")"),46.59)</f>
        <v>46.59</v>
      </c>
      <c r="X720" s="22">
        <f>IFERROR(__xludf.DUMMYFUNCTION("IFERROR(GOOGLEFINANCE(A720,""high""),"""")"),47.16)</f>
        <v>47.16</v>
      </c>
      <c r="Y720" s="22">
        <f>IFERROR(__xludf.DUMMYFUNCTION("IFERROR(GOOGLEFINANCE(A720,""low""),"""")"),46.29)</f>
        <v>46.29</v>
      </c>
      <c r="Z720" s="22">
        <f>IFERROR(__xludf.DUMMYFUNCTION("IFERROR(GOOGLEFINANCE(A720,""volume""),"""")"),4629317.0)</f>
        <v>4629317</v>
      </c>
      <c r="AA720" s="24" t="str">
        <f>VLOOKUP(A720,Metrik!$C$2:$Y$959,5,0)</f>
        <v>Tourism &amp; Recreation</v>
      </c>
      <c r="AB720" s="24" t="str">
        <f>VLOOKUP(A720,Metrik!$C$2:$Y$959,3,0)</f>
        <v>Consumer Cyclicals</v>
      </c>
    </row>
    <row r="721">
      <c r="A721" s="14" t="s">
        <v>383</v>
      </c>
      <c r="B721" s="14" t="str">
        <f t="array" ref="B721">VLOOKUP(A721,{Metrik!$C$2:$C$998,Metrik!$B$2:$B$998},2,0)</f>
        <v>Fajar Surya Wisesa Tbk.</v>
      </c>
      <c r="C721" s="15">
        <f>IFERROR(__xludf.DUMMYFUNCTION("GOOGLEFINANCE(""IDX:""&amp;A721,""price"")"),5450.0)</f>
        <v>5450</v>
      </c>
      <c r="D721" s="16" t="str">
        <f>IFERROR(__xludf.DUMMYFUNCTION("IF(A721="""","""",
SPARKLINE(
INDEX(
GOOGLEFINANCE(""IDX:""&amp;A721,""close"",TODAY()-365,TODAY()),
,2
),
{""linewidth"",1}
))
"),"#N/A")</f>
        <v>#N/A</v>
      </c>
      <c r="E721" s="26"/>
      <c r="F721" s="26"/>
      <c r="G721" s="24">
        <f t="shared" si="5"/>
        <v>0</v>
      </c>
      <c r="H721" s="19">
        <f>VLOOKUP(A721,Metrik!$C$2:$Y$959,8,0)</f>
        <v>-20</v>
      </c>
      <c r="I721" s="20">
        <f>VLOOKUP(A721,Metrik!$C$2:$Y$959,9,0)</f>
        <v>3</v>
      </c>
      <c r="J721" s="20">
        <f>VLOOKUP(A721,Metrik!$C$2:$Y$959,10,0)</f>
        <v>-14.8</v>
      </c>
      <c r="K721" s="20">
        <f>VLOOKUP(A721,Metrik!$C$2:$Y$959,11,0)</f>
        <v>-6.9</v>
      </c>
      <c r="L721" s="20">
        <f>VLOOKUP(A721,Metrik!$C$2:$Y$959,12,0)</f>
        <v>1.2</v>
      </c>
      <c r="M721" s="20">
        <f>VLOOKUP(A721,Metrik!$C$2:$Y$959,19,0)</f>
        <v>-43.5</v>
      </c>
      <c r="N721" s="21"/>
      <c r="O721" s="21"/>
      <c r="P721" s="21"/>
      <c r="Q721" s="21"/>
      <c r="R721" s="21"/>
      <c r="S721" s="21"/>
      <c r="T721" s="21"/>
      <c r="U721" s="22">
        <f>IFERROR(__xludf.DUMMYFUNCTION("IFERROR(GOOGLEFINANCE(A721,""closeyest""),"""")"),5450.0)</f>
        <v>5450</v>
      </c>
      <c r="V721" s="23">
        <f>IFERROR(__xludf.DUMMYFUNCTION("IFERROR(GOOGLEFINANCE(A721,""changepct""),"""")"),0.0)</f>
        <v>0</v>
      </c>
      <c r="W721" s="22" t="str">
        <f>IFERROR(__xludf.DUMMYFUNCTION("IFERROR(GOOGLEFINANCE(A721,""priceopen""),"""")"),"")</f>
        <v/>
      </c>
      <c r="X721" s="22" t="str">
        <f>IFERROR(__xludf.DUMMYFUNCTION("IFERROR(GOOGLEFINANCE(A721,""high""),"""")"),"")</f>
        <v/>
      </c>
      <c r="Y721" s="22" t="str">
        <f>IFERROR(__xludf.DUMMYFUNCTION("IFERROR(GOOGLEFINANCE(A721,""low""),"""")"),"")</f>
        <v/>
      </c>
      <c r="Z721" s="22">
        <f>IFERROR(__xludf.DUMMYFUNCTION("IFERROR(GOOGLEFINANCE(A721,""volume""),"""")"),0.0)</f>
        <v>0</v>
      </c>
      <c r="AA721" s="24" t="str">
        <f>VLOOKUP(A721,Metrik!$C$2:$Y$959,5,0)</f>
        <v>Containers &amp; Packaging</v>
      </c>
      <c r="AB721" s="24" t="str">
        <f>VLOOKUP(A721,Metrik!$C$2:$Y$959,3,0)</f>
        <v>Basic Materials</v>
      </c>
    </row>
    <row r="722">
      <c r="A722" s="14" t="s">
        <v>384</v>
      </c>
      <c r="B722" s="14" t="str">
        <f t="array" ref="B722">VLOOKUP(A722,{Metrik!$C$2:$C$998,Metrik!$B$2:$B$998},2,0)</f>
        <v>MD Entertainment Tbk.</v>
      </c>
      <c r="C722" s="15">
        <f>IFERROR(__xludf.DUMMYFUNCTION("GOOGLEFINANCE(""IDX:""&amp;A722,""price"")"),1780.0)</f>
        <v>1780</v>
      </c>
      <c r="D722" s="16" t="str">
        <f>IFERROR(__xludf.DUMMYFUNCTION("IF(A722="""","""",
SPARKLINE(
INDEX(
GOOGLEFINANCE(""IDX:""&amp;A722,""close"",TODAY()-365,TODAY()),
,2
),
{""linewidth"",1}
))
"),"#N/A")</f>
        <v>#N/A</v>
      </c>
      <c r="E722" s="14" t="s">
        <v>52</v>
      </c>
      <c r="F722" s="27" t="s">
        <v>53</v>
      </c>
      <c r="G722" s="24">
        <f t="shared" si="5"/>
        <v>3</v>
      </c>
      <c r="H722" s="19">
        <f>VLOOKUP(A722,Metrik!$C$2:$Y$959,8,0)</f>
        <v>-99.5</v>
      </c>
      <c r="I722" s="20">
        <f>VLOOKUP(A722,Metrik!$C$2:$Y$959,9,0)</f>
        <v>7.3</v>
      </c>
      <c r="J722" s="20">
        <f>VLOOKUP(A722,Metrik!$C$2:$Y$959,10,0)</f>
        <v>-7.4</v>
      </c>
      <c r="K722" s="20">
        <f>VLOOKUP(A722,Metrik!$C$2:$Y$959,11,0)</f>
        <v>-6.3</v>
      </c>
      <c r="L722" s="20">
        <f>VLOOKUP(A722,Metrik!$C$2:$Y$959,12,0)</f>
        <v>0.18</v>
      </c>
      <c r="M722" s="20">
        <f>VLOOKUP(A722,Metrik!$C$2:$Y$959,19,0)</f>
        <v>-160</v>
      </c>
      <c r="N722" s="21"/>
      <c r="O722" s="21"/>
      <c r="P722" s="21"/>
      <c r="Q722" s="21"/>
      <c r="R722" s="21"/>
      <c r="S722" s="21"/>
      <c r="T722" s="21"/>
      <c r="U722" s="22">
        <f>IFERROR(__xludf.DUMMYFUNCTION("IFERROR(GOOGLEFINANCE(A722,""closeyest""),"""")"),1775.0)</f>
        <v>1775</v>
      </c>
      <c r="V722" s="23">
        <f>IFERROR(__xludf.DUMMYFUNCTION("IFERROR(GOOGLEFINANCE(A722,""changepct""),"""")"),0.28)</f>
        <v>0.28</v>
      </c>
      <c r="W722" s="22">
        <f>IFERROR(__xludf.DUMMYFUNCTION("IFERROR(GOOGLEFINANCE(A722,""priceopen""),"""")"),1785.0)</f>
        <v>1785</v>
      </c>
      <c r="X722" s="22">
        <f>IFERROR(__xludf.DUMMYFUNCTION("IFERROR(GOOGLEFINANCE(A722,""high""),"""")"),1825.0)</f>
        <v>1825</v>
      </c>
      <c r="Y722" s="22">
        <f>IFERROR(__xludf.DUMMYFUNCTION("IFERROR(GOOGLEFINANCE(A722,""low""),"""")"),1750.0)</f>
        <v>1750</v>
      </c>
      <c r="Z722" s="22">
        <f>IFERROR(__xludf.DUMMYFUNCTION("IFERROR(GOOGLEFINANCE(A722,""volume""),"""")"),3696900.0)</f>
        <v>3696900</v>
      </c>
      <c r="AA722" s="24" t="str">
        <f>VLOOKUP(A722,Metrik!$C$2:$Y$959,5,0)</f>
        <v>Entertainment &amp; Movie Production</v>
      </c>
      <c r="AB722" s="24" t="str">
        <f>VLOOKUP(A722,Metrik!$C$2:$Y$959,3,0)</f>
        <v>Consumer Cyclicals</v>
      </c>
    </row>
    <row r="723">
      <c r="A723" s="14" t="s">
        <v>384</v>
      </c>
      <c r="B723" s="14" t="str">
        <f t="array" ref="B723">VLOOKUP(A723,{Metrik!$C$2:$C$998,Metrik!$B$2:$B$998},2,0)</f>
        <v>MD Entertainment Tbk.</v>
      </c>
      <c r="C723" s="15">
        <f>IFERROR(__xludf.DUMMYFUNCTION("GOOGLEFINANCE(""IDX:""&amp;A723,""price"")"),1780.0)</f>
        <v>1780</v>
      </c>
      <c r="D723" s="16" t="str">
        <f>IFERROR(__xludf.DUMMYFUNCTION("IF(A723="""","""",
SPARKLINE(
INDEX(
GOOGLEFINANCE(""IDX:""&amp;A723,""close"",TODAY()-365,TODAY()),
,2
),
{""linewidth"",1}
))
"),"#N/A")</f>
        <v>#N/A</v>
      </c>
      <c r="E723" s="14" t="s">
        <v>32</v>
      </c>
      <c r="F723" s="14" t="s">
        <v>29</v>
      </c>
      <c r="G723" s="24">
        <f t="shared" si="5"/>
        <v>3</v>
      </c>
      <c r="H723" s="19">
        <f>VLOOKUP(A723,Metrik!$C$2:$Y$959,8,0)</f>
        <v>-99.5</v>
      </c>
      <c r="I723" s="20">
        <f>VLOOKUP(A723,Metrik!$C$2:$Y$959,9,0)</f>
        <v>7.3</v>
      </c>
      <c r="J723" s="20">
        <f>VLOOKUP(A723,Metrik!$C$2:$Y$959,10,0)</f>
        <v>-7.4</v>
      </c>
      <c r="K723" s="20">
        <f>VLOOKUP(A723,Metrik!$C$2:$Y$959,11,0)</f>
        <v>-6.3</v>
      </c>
      <c r="L723" s="20">
        <f>VLOOKUP(A723,Metrik!$C$2:$Y$959,12,0)</f>
        <v>0.18</v>
      </c>
      <c r="M723" s="20">
        <f>VLOOKUP(A723,Metrik!$C$2:$Y$959,19,0)</f>
        <v>-160</v>
      </c>
      <c r="N723" s="21"/>
      <c r="O723" s="21"/>
      <c r="P723" s="21"/>
      <c r="Q723" s="21"/>
      <c r="R723" s="21"/>
      <c r="S723" s="21"/>
      <c r="T723" s="21"/>
      <c r="U723" s="22">
        <f>IFERROR(__xludf.DUMMYFUNCTION("IFERROR(GOOGLEFINANCE(A723,""closeyest""),"""")"),1775.0)</f>
        <v>1775</v>
      </c>
      <c r="V723" s="23">
        <f>IFERROR(__xludf.DUMMYFUNCTION("IFERROR(GOOGLEFINANCE(A723,""changepct""),"""")"),0.28)</f>
        <v>0.28</v>
      </c>
      <c r="W723" s="22">
        <f>IFERROR(__xludf.DUMMYFUNCTION("IFERROR(GOOGLEFINANCE(A723,""priceopen""),"""")"),1785.0)</f>
        <v>1785</v>
      </c>
      <c r="X723" s="22">
        <f>IFERROR(__xludf.DUMMYFUNCTION("IFERROR(GOOGLEFINANCE(A723,""high""),"""")"),1825.0)</f>
        <v>1825</v>
      </c>
      <c r="Y723" s="22">
        <f>IFERROR(__xludf.DUMMYFUNCTION("IFERROR(GOOGLEFINANCE(A723,""low""),"""")"),1750.0)</f>
        <v>1750</v>
      </c>
      <c r="Z723" s="22">
        <f>IFERROR(__xludf.DUMMYFUNCTION("IFERROR(GOOGLEFINANCE(A723,""volume""),"""")"),3696900.0)</f>
        <v>3696900</v>
      </c>
      <c r="AA723" s="24" t="str">
        <f>VLOOKUP(A723,Metrik!$C$2:$Y$959,5,0)</f>
        <v>Entertainment &amp; Movie Production</v>
      </c>
      <c r="AB723" s="24" t="str">
        <f>VLOOKUP(A723,Metrik!$C$2:$Y$959,3,0)</f>
        <v>Consumer Cyclicals</v>
      </c>
    </row>
    <row r="724">
      <c r="A724" s="17" t="s">
        <v>384</v>
      </c>
      <c r="B724" s="14" t="str">
        <f t="array" ref="B724">VLOOKUP(A724,{Metrik!$C$2:$C$998,Metrik!$B$2:$B$998},2,0)</f>
        <v>MD Entertainment Tbk.</v>
      </c>
      <c r="C724" s="15">
        <f>IFERROR(__xludf.DUMMYFUNCTION("GOOGLEFINANCE(""IDX:""&amp;A724,""price"")"),1780.0)</f>
        <v>1780</v>
      </c>
      <c r="D724" s="16" t="str">
        <f>IFERROR(__xludf.DUMMYFUNCTION("IF(A724="""","""",
SPARKLINE(
INDEX(
GOOGLEFINANCE(""IDX:""&amp;A724,""close"",TODAY()-365,TODAY()),
,2
),
{""linewidth"",1}
))
"),"#N/A")</f>
        <v>#N/A</v>
      </c>
      <c r="E724" s="14" t="s">
        <v>35</v>
      </c>
      <c r="F724" s="17" t="s">
        <v>36</v>
      </c>
      <c r="G724" s="38">
        <f t="shared" si="5"/>
        <v>3</v>
      </c>
      <c r="H724" s="34">
        <f>VLOOKUP(A724,Metrik!$C$2:$Y$959,8,0)</f>
        <v>-99.5</v>
      </c>
      <c r="I724" s="34">
        <f>VLOOKUP(A724,Metrik!$C$2:$Y$959,9,0)</f>
        <v>7.3</v>
      </c>
      <c r="J724" s="34">
        <f>VLOOKUP(A724,Metrik!$C$2:$Y$959,10,0)</f>
        <v>-7.4</v>
      </c>
      <c r="K724" s="34">
        <f>VLOOKUP(A724,Metrik!$C$2:$Y$959,11,0)</f>
        <v>-6.3</v>
      </c>
      <c r="L724" s="34">
        <f>VLOOKUP(A724,Metrik!$C$2:$Y$959,12,0)</f>
        <v>0.18</v>
      </c>
      <c r="M724" s="34">
        <f>VLOOKUP(A724,Metrik!$C$2:$Y$959,19,0)</f>
        <v>-160</v>
      </c>
      <c r="N724" s="26"/>
      <c r="O724" s="26"/>
      <c r="P724" s="26"/>
      <c r="Q724" s="26"/>
      <c r="R724" s="26"/>
      <c r="S724" s="26"/>
      <c r="T724" s="26"/>
      <c r="U724" s="35">
        <f>IFERROR(__xludf.DUMMYFUNCTION("IFERROR(GOOGLEFINANCE(A724,""closeyest""),"""")"),1775.0)</f>
        <v>1775</v>
      </c>
      <c r="V724" s="36">
        <f>IFERROR(__xludf.DUMMYFUNCTION("IFERROR(GOOGLEFINANCE(A724,""changepct""),"""")"),0.28)</f>
        <v>0.28</v>
      </c>
      <c r="W724" s="49">
        <f>IFERROR(__xludf.DUMMYFUNCTION("IFERROR(GOOGLEFINANCE(A724,""priceopen""),"""")"),1785.0)</f>
        <v>1785</v>
      </c>
      <c r="X724" s="35">
        <f>IFERROR(__xludf.DUMMYFUNCTION("IFERROR(GOOGLEFINANCE(A724,""high""),"""")"),1825.0)</f>
        <v>1825</v>
      </c>
      <c r="Y724" s="35">
        <f>IFERROR(__xludf.DUMMYFUNCTION("IFERROR(GOOGLEFINANCE(A724,""low""),"""")"),1750.0)</f>
        <v>1750</v>
      </c>
      <c r="Z724" s="35">
        <f>IFERROR(__xludf.DUMMYFUNCTION("IFERROR(GOOGLEFINANCE(A724,""volume""),"""")"),3696900.0)</f>
        <v>3696900</v>
      </c>
      <c r="AA724" s="14" t="str">
        <f>VLOOKUP(A724,Metrik!$C$2:$Y$959,5,0)</f>
        <v>Entertainment &amp; Movie Production</v>
      </c>
      <c r="AB724" s="14" t="str">
        <f>VLOOKUP(A724,Metrik!$C$2:$Y$959,3,0)</f>
        <v>Consumer Cyclicals</v>
      </c>
    </row>
    <row r="725">
      <c r="A725" s="14" t="s">
        <v>385</v>
      </c>
      <c r="B725" s="14" t="str">
        <f t="array" ref="B725">VLOOKUP(A725,{Metrik!$C$2:$C$998,Metrik!$B$2:$B$998},2,0)</f>
        <v>Fimperkasa Utama Tbk.</v>
      </c>
      <c r="C725" s="15">
        <f>IFERROR(__xludf.DUMMYFUNCTION("GOOGLEFINANCE(""IDX:""&amp;A725,""price"")"),69.0)</f>
        <v>69</v>
      </c>
      <c r="D725" s="16" t="str">
        <f>IFERROR(__xludf.DUMMYFUNCTION("IF(A725="""","""",
SPARKLINE(
INDEX(
GOOGLEFINANCE(""IDX:""&amp;A725,""close"",TODAY()-365,TODAY()),
,2
),
{""linewidth"",1}
))
"),"#N/A")</f>
        <v>#N/A</v>
      </c>
      <c r="E725" s="26"/>
      <c r="F725" s="26"/>
      <c r="G725" s="24">
        <f t="shared" si="5"/>
        <v>0</v>
      </c>
      <c r="H725" s="19">
        <f>VLOOKUP(A725,Metrik!$C$2:$Y$959,8,0)</f>
        <v>-2.8</v>
      </c>
      <c r="I725" s="20">
        <f>VLOOKUP(A725,Metrik!$C$2:$Y$959,9,0)</f>
        <v>1.3</v>
      </c>
      <c r="J725" s="20">
        <f>VLOOKUP(A725,Metrik!$C$2:$Y$959,10,0)</f>
        <v>-46.2</v>
      </c>
      <c r="K725" s="20">
        <f>VLOOKUP(A725,Metrik!$C$2:$Y$959,11,0)</f>
        <v>-36.8</v>
      </c>
      <c r="L725" s="20">
        <f>VLOOKUP(A725,Metrik!$C$2:$Y$959,12,0)</f>
        <v>0.25</v>
      </c>
      <c r="M725" s="20">
        <f>VLOOKUP(A725,Metrik!$C$2:$Y$959,19,0)</f>
        <v>-250</v>
      </c>
      <c r="N725" s="21"/>
      <c r="O725" s="21"/>
      <c r="P725" s="21"/>
      <c r="Q725" s="21"/>
      <c r="R725" s="21"/>
      <c r="S725" s="21"/>
      <c r="T725" s="21"/>
      <c r="U725" s="22">
        <f>IFERROR(__xludf.DUMMYFUNCTION("IFERROR(GOOGLEFINANCE(A725,""closeyest""),"""")"),69.0)</f>
        <v>69</v>
      </c>
      <c r="V725" s="23">
        <f>IFERROR(__xludf.DUMMYFUNCTION("IFERROR(GOOGLEFINANCE(A725,""changepct""),"""")"),0.0)</f>
        <v>0</v>
      </c>
      <c r="W725" s="22" t="str">
        <f>IFERROR(__xludf.DUMMYFUNCTION("IFERROR(GOOGLEFINANCE(A725,""priceopen""),"""")"),"")</f>
        <v/>
      </c>
      <c r="X725" s="22" t="str">
        <f>IFERROR(__xludf.DUMMYFUNCTION("IFERROR(GOOGLEFINANCE(A725,""high""),"""")"),"")</f>
        <v/>
      </c>
      <c r="Y725" s="22" t="str">
        <f>IFERROR(__xludf.DUMMYFUNCTION("IFERROR(GOOGLEFINANCE(A725,""low""),"""")"),"")</f>
        <v/>
      </c>
      <c r="Z725" s="22">
        <f>IFERROR(__xludf.DUMMYFUNCTION("IFERROR(GOOGLEFINANCE(A725,""volume""),"""")"),0.0)</f>
        <v>0</v>
      </c>
      <c r="AA725" s="24" t="str">
        <f>VLOOKUP(A725,Metrik!$C$2:$Y$959,5,0)</f>
        <v>Heavy Constructions &amp; Civil Engineering</v>
      </c>
      <c r="AB725" s="24" t="str">
        <f>VLOOKUP(A725,Metrik!$C$2:$Y$959,3,0)</f>
        <v>Infrastructures</v>
      </c>
    </row>
    <row r="726">
      <c r="A726" s="14" t="s">
        <v>386</v>
      </c>
      <c r="B726" s="14" t="str">
        <f t="array" ref="B726">VLOOKUP(A726,{Metrik!$C$2:$C$998,Metrik!$B$2:$B$998},2,0)</f>
        <v>Alfa Energi Investama Tbk.</v>
      </c>
      <c r="C726" s="15">
        <f>IFERROR(__xludf.DUMMYFUNCTION("GOOGLEFINANCE(""IDX:""&amp;A726,""price"")"),107.0)</f>
        <v>107</v>
      </c>
      <c r="D726" s="16" t="str">
        <f>IFERROR(__xludf.DUMMYFUNCTION("IF(A726="""","""",
SPARKLINE(
INDEX(
GOOGLEFINANCE(""IDX:""&amp;A726,""close"",TODAY()-365,TODAY()),
,2
),
{""linewidth"",1}
))
"),"#N/A")</f>
        <v>#N/A</v>
      </c>
      <c r="E726" s="26"/>
      <c r="F726" s="26"/>
      <c r="G726" s="24">
        <f t="shared" si="5"/>
        <v>0</v>
      </c>
      <c r="H726" s="19">
        <f>VLOOKUP(A726,Metrik!$C$2:$Y$959,8,0)</f>
        <v>-40.1</v>
      </c>
      <c r="I726" s="20">
        <f>VLOOKUP(A726,Metrik!$C$2:$Y$959,9,0)</f>
        <v>0.66</v>
      </c>
      <c r="J726" s="20">
        <f>VLOOKUP(A726,Metrik!$C$2:$Y$959,10,0)</f>
        <v>-1.6</v>
      </c>
      <c r="K726" s="20">
        <f>VLOOKUP(A726,Metrik!$C$2:$Y$959,11,0)</f>
        <v>-1.2</v>
      </c>
      <c r="L726" s="20">
        <f>VLOOKUP(A726,Metrik!$C$2:$Y$959,12,0)</f>
        <v>0.41</v>
      </c>
      <c r="M726" s="20">
        <f>VLOOKUP(A726,Metrik!$C$2:$Y$959,19,0)</f>
        <v>-8.1</v>
      </c>
      <c r="N726" s="21"/>
      <c r="O726" s="21"/>
      <c r="P726" s="21"/>
      <c r="Q726" s="21"/>
      <c r="R726" s="21"/>
      <c r="S726" s="21"/>
      <c r="T726" s="21"/>
      <c r="U726" s="22">
        <f>IFERROR(__xludf.DUMMYFUNCTION("IFERROR(GOOGLEFINANCE(A726,""closeyest""),"""")"),11.06)</f>
        <v>11.06</v>
      </c>
      <c r="V726" s="23">
        <f>IFERROR(__xludf.DUMMYFUNCTION("IFERROR(GOOGLEFINANCE(A726,""changepct""),"""")"),3.8)</f>
        <v>3.8</v>
      </c>
      <c r="W726" s="22">
        <f>IFERROR(__xludf.DUMMYFUNCTION("IFERROR(GOOGLEFINANCE(A726,""priceopen""),"""")"),11.38)</f>
        <v>11.38</v>
      </c>
      <c r="X726" s="22">
        <f>IFERROR(__xludf.DUMMYFUNCTION("IFERROR(GOOGLEFINANCE(A726,""high""),"""")"),11.48)</f>
        <v>11.48</v>
      </c>
      <c r="Y726" s="22">
        <f>IFERROR(__xludf.DUMMYFUNCTION("IFERROR(GOOGLEFINANCE(A726,""low""),"""")"),11.35)</f>
        <v>11.35</v>
      </c>
      <c r="Z726" s="22">
        <f>IFERROR(__xludf.DUMMYFUNCTION("IFERROR(GOOGLEFINANCE(A726,""volume""),"""")"),0.0)</f>
        <v>0</v>
      </c>
      <c r="AA726" s="24" t="str">
        <f>VLOOKUP(A726,Metrik!$C$2:$Y$959,5,0)</f>
        <v>Coal</v>
      </c>
      <c r="AB726" s="24" t="str">
        <f>VLOOKUP(A726,Metrik!$C$2:$Y$959,3,0)</f>
        <v>Energy</v>
      </c>
    </row>
    <row r="727">
      <c r="A727" s="14" t="s">
        <v>387</v>
      </c>
      <c r="B727" s="14" t="str">
        <f t="array" ref="B727">VLOOKUP(A727,{Metrik!$C$2:$C$998,Metrik!$B$2:$B$998},2,0)</f>
        <v>FKS Multi Agro Tbk</v>
      </c>
      <c r="C727" s="15">
        <f>IFERROR(__xludf.DUMMYFUNCTION("GOOGLEFINANCE(""IDX:""&amp;A727,""price"")"),620.0)</f>
        <v>620</v>
      </c>
      <c r="D727" s="16" t="str">
        <f>IFERROR(__xludf.DUMMYFUNCTION("IF(A727="""","""",
SPARKLINE(
INDEX(
GOOGLEFINANCE(""IDX:""&amp;A727,""close"",TODAY()-365,TODAY()),
,2
),
{""linewidth"",1}
))
"),"#N/A")</f>
        <v>#N/A</v>
      </c>
      <c r="E727" s="26"/>
      <c r="F727" s="26"/>
      <c r="G727" s="24">
        <f t="shared" si="5"/>
        <v>0</v>
      </c>
      <c r="H727" s="19">
        <f>VLOOKUP(A727,Metrik!$C$2:$Y$959,8,0)</f>
        <v>16.8</v>
      </c>
      <c r="I727" s="20">
        <f>VLOOKUP(A727,Metrik!$C$2:$Y$959,9,0)</f>
        <v>1.1</v>
      </c>
      <c r="J727" s="20">
        <f>VLOOKUP(A727,Metrik!$C$2:$Y$959,10,0)</f>
        <v>6.3</v>
      </c>
      <c r="K727" s="20">
        <f>VLOOKUP(A727,Metrik!$C$2:$Y$959,11,0)</f>
        <v>2.4</v>
      </c>
      <c r="L727" s="20">
        <f>VLOOKUP(A727,Metrik!$C$2:$Y$959,12,0)</f>
        <v>1.6</v>
      </c>
      <c r="M727" s="20">
        <f>VLOOKUP(A727,Metrik!$C$2:$Y$959,19,0)</f>
        <v>4.3</v>
      </c>
      <c r="N727" s="21"/>
      <c r="O727" s="21"/>
      <c r="P727" s="21"/>
      <c r="Q727" s="21"/>
      <c r="R727" s="21"/>
      <c r="S727" s="21"/>
      <c r="T727" s="21"/>
      <c r="U727" s="22">
        <f>IFERROR(__xludf.DUMMYFUNCTION("IFERROR(GOOGLEFINANCE(A727,""closeyest""),"""")"),4.2)</f>
        <v>4.2</v>
      </c>
      <c r="V727" s="23">
        <f>IFERROR(__xludf.DUMMYFUNCTION("IFERROR(GOOGLEFINANCE(A727,""changepct""),"""")"),4.05)</f>
        <v>4.05</v>
      </c>
      <c r="W727" s="22">
        <f>IFERROR(__xludf.DUMMYFUNCTION("IFERROR(GOOGLEFINANCE(A727,""priceopen""),"""")"),4.21)</f>
        <v>4.21</v>
      </c>
      <c r="X727" s="22">
        <f>IFERROR(__xludf.DUMMYFUNCTION("IFERROR(GOOGLEFINANCE(A727,""high""),"""")"),4.37)</f>
        <v>4.37</v>
      </c>
      <c r="Y727" s="22">
        <f>IFERROR(__xludf.DUMMYFUNCTION("IFERROR(GOOGLEFINANCE(A727,""low""),"""")"),4.2)</f>
        <v>4.2</v>
      </c>
      <c r="Z727" s="22">
        <f>IFERROR(__xludf.DUMMYFUNCTION("IFERROR(GOOGLEFINANCE(A727,""volume""),"""")"),86703.0)</f>
        <v>86703</v>
      </c>
      <c r="AA727" s="24" t="str">
        <f>VLOOKUP(A727,Metrik!$C$2:$Y$959,5,0)</f>
        <v>Agricultural Products</v>
      </c>
      <c r="AB727" s="24" t="str">
        <f>VLOOKUP(A727,Metrik!$C$2:$Y$959,3,0)</f>
        <v>Consumer Non-Cyclicals</v>
      </c>
    </row>
    <row r="728">
      <c r="A728" s="14" t="s">
        <v>388</v>
      </c>
      <c r="B728" s="14" t="str">
        <f t="array" ref="B728">VLOOKUP(A728,{Metrik!$C$2:$C$998,Metrik!$B$2:$B$998},2,0)</f>
        <v>Hotel Fitra International Tbk.</v>
      </c>
      <c r="C728" s="15">
        <f>IFERROR(__xludf.DUMMYFUNCTION("GOOGLEFINANCE(""IDX:""&amp;A728,""price"")"),394.0)</f>
        <v>394</v>
      </c>
      <c r="D728" s="16" t="str">
        <f>IFERROR(__xludf.DUMMYFUNCTION("IF(A728="""","""",
SPARKLINE(
INDEX(
GOOGLEFINANCE(""IDX:""&amp;A728,""close"",TODAY()-365,TODAY()),
,2
),
{""linewidth"",1}
))
"),"#N/A")</f>
        <v>#N/A</v>
      </c>
      <c r="E728" s="26"/>
      <c r="F728" s="26"/>
      <c r="G728" s="24">
        <f t="shared" si="5"/>
        <v>0</v>
      </c>
      <c r="H728" s="19">
        <f>VLOOKUP(A728,Metrik!$C$2:$Y$959,8,0)</f>
        <v>-88.6</v>
      </c>
      <c r="I728" s="20">
        <f>VLOOKUP(A728,Metrik!$C$2:$Y$959,9,0)</f>
        <v>6.3</v>
      </c>
      <c r="J728" s="20">
        <f>VLOOKUP(A728,Metrik!$C$2:$Y$959,10,0)</f>
        <v>-7.1</v>
      </c>
      <c r="K728" s="20">
        <f>VLOOKUP(A728,Metrik!$C$2:$Y$959,11,0)</f>
        <v>-4.3</v>
      </c>
      <c r="L728" s="20">
        <f>VLOOKUP(A728,Metrik!$C$2:$Y$959,12,0)</f>
        <v>0.65</v>
      </c>
      <c r="M728" s="20">
        <f>VLOOKUP(A728,Metrik!$C$2:$Y$959,19,0)</f>
        <v>-61.9</v>
      </c>
      <c r="N728" s="21"/>
      <c r="O728" s="21"/>
      <c r="P728" s="21"/>
      <c r="Q728" s="21"/>
      <c r="R728" s="21"/>
      <c r="S728" s="21"/>
      <c r="T728" s="21"/>
      <c r="U728" s="22">
        <f>IFERROR(__xludf.DUMMYFUNCTION("IFERROR(GOOGLEFINANCE(A728,""closeyest""),"""")"),346.0)</f>
        <v>346</v>
      </c>
      <c r="V728" s="23">
        <f>IFERROR(__xludf.DUMMYFUNCTION("IFERROR(GOOGLEFINANCE(A728,""changepct""),"""")"),13.87)</f>
        <v>13.87</v>
      </c>
      <c r="W728" s="22">
        <f>IFERROR(__xludf.DUMMYFUNCTION("IFERROR(GOOGLEFINANCE(A728,""priceopen""),"""")"),346.0)</f>
        <v>346</v>
      </c>
      <c r="X728" s="22">
        <f>IFERROR(__xludf.DUMMYFUNCTION("IFERROR(GOOGLEFINANCE(A728,""high""),"""")"),400.0)</f>
        <v>400</v>
      </c>
      <c r="Y728" s="22">
        <f>IFERROR(__xludf.DUMMYFUNCTION("IFERROR(GOOGLEFINANCE(A728,""low""),"""")"),340.0)</f>
        <v>340</v>
      </c>
      <c r="Z728" s="22">
        <f>IFERROR(__xludf.DUMMYFUNCTION("IFERROR(GOOGLEFINANCE(A728,""volume""),"""")"),448600.0)</f>
        <v>448600</v>
      </c>
      <c r="AA728" s="24" t="str">
        <f>VLOOKUP(A728,Metrik!$C$2:$Y$959,5,0)</f>
        <v>Tourism &amp; Recreation</v>
      </c>
      <c r="AB728" s="24" t="str">
        <f>VLOOKUP(A728,Metrik!$C$2:$Y$959,3,0)</f>
        <v>Consumer Cyclicals</v>
      </c>
    </row>
    <row r="729">
      <c r="A729" s="14" t="s">
        <v>389</v>
      </c>
      <c r="B729" s="14" t="str">
        <f t="array" ref="B729">VLOOKUP(A729,{Metrik!$C$2:$C$998,Metrik!$B$2:$B$998},2,0)</f>
        <v>Falmaco Nonwoven Industri Tbk.</v>
      </c>
      <c r="C729" s="15">
        <f>IFERROR(__xludf.DUMMYFUNCTION("GOOGLEFINANCE(""IDX:""&amp;A729,""price"")"),92.0)</f>
        <v>92</v>
      </c>
      <c r="D729" s="16" t="str">
        <f>IFERROR(__xludf.DUMMYFUNCTION("IF(A729="""","""",
SPARKLINE(
INDEX(
GOOGLEFINANCE(""IDX:""&amp;A729,""close"",TODAY()-365,TODAY()),
,2
),
{""linewidth"",1}
))
"),"#N/A")</f>
        <v>#N/A</v>
      </c>
      <c r="E729" s="26"/>
      <c r="F729" s="26"/>
      <c r="G729" s="24">
        <f t="shared" si="5"/>
        <v>0</v>
      </c>
      <c r="H729" s="19">
        <f>VLOOKUP(A729,Metrik!$C$2:$Y$959,8,0)</f>
        <v>-5.2</v>
      </c>
      <c r="I729" s="20">
        <f>VLOOKUP(A729,Metrik!$C$2:$Y$959,9,0)</f>
        <v>5.8</v>
      </c>
      <c r="J729" s="20">
        <f>VLOOKUP(A729,Metrik!$C$2:$Y$959,10,0)</f>
        <v>-110</v>
      </c>
      <c r="K729" s="20">
        <f>VLOOKUP(A729,Metrik!$C$2:$Y$959,11,0)</f>
        <v>-41.7</v>
      </c>
      <c r="L729" s="20">
        <f>VLOOKUP(A729,Metrik!$C$2:$Y$959,12,0)</f>
        <v>1.7</v>
      </c>
      <c r="M729" s="20">
        <f>VLOOKUP(A729,Metrik!$C$2:$Y$959,19,0)</f>
        <v>-160</v>
      </c>
      <c r="N729" s="21"/>
      <c r="O729" s="21"/>
      <c r="P729" s="21"/>
      <c r="Q729" s="21"/>
      <c r="R729" s="21"/>
      <c r="S729" s="21"/>
      <c r="T729" s="21"/>
      <c r="U729" s="22">
        <f>IFERROR(__xludf.DUMMYFUNCTION("IFERROR(GOOGLEFINANCE(A729,""closeyest""),"""")"),99.0)</f>
        <v>99</v>
      </c>
      <c r="V729" s="23">
        <f>IFERROR(__xludf.DUMMYFUNCTION("IFERROR(GOOGLEFINANCE(A729,""changepct""),"""")"),-7.07)</f>
        <v>-7.07</v>
      </c>
      <c r="W729" s="22">
        <f>IFERROR(__xludf.DUMMYFUNCTION("IFERROR(GOOGLEFINANCE(A729,""priceopen""),"""")"),90.0)</f>
        <v>90</v>
      </c>
      <c r="X729" s="22">
        <f>IFERROR(__xludf.DUMMYFUNCTION("IFERROR(GOOGLEFINANCE(A729,""high""),"""")"),98.0)</f>
        <v>98</v>
      </c>
      <c r="Y729" s="22">
        <f>IFERROR(__xludf.DUMMYFUNCTION("IFERROR(GOOGLEFINANCE(A729,""low""),"""")"),90.0)</f>
        <v>90</v>
      </c>
      <c r="Z729" s="22">
        <f>IFERROR(__xludf.DUMMYFUNCTION("IFERROR(GOOGLEFINANCE(A729,""volume""),"""")"),2.69483E7)</f>
        <v>26948300</v>
      </c>
      <c r="AA729" s="24" t="str">
        <f>VLOOKUP(A729,Metrik!$C$2:$Y$959,5,0)</f>
        <v>Personal Care Products</v>
      </c>
      <c r="AB729" s="24" t="str">
        <f>VLOOKUP(A729,Metrik!$C$2:$Y$959,3,0)</f>
        <v>Consumer Non-Cyclicals</v>
      </c>
    </row>
    <row r="730">
      <c r="A730" s="14" t="s">
        <v>390</v>
      </c>
      <c r="B730" s="14" t="str">
        <f t="array" ref="B730">VLOOKUP(A730,{Metrik!$C$2:$C$998,Metrik!$B$2:$B$998},2,0)</f>
        <v>Fortune Mate Indonesia Tbk</v>
      </c>
      <c r="C730" s="15">
        <f>IFERROR(__xludf.DUMMYFUNCTION("GOOGLEFINANCE(""IDX:""&amp;A730,""price"")"),252.0)</f>
        <v>252</v>
      </c>
      <c r="D730" s="16" t="str">
        <f>IFERROR(__xludf.DUMMYFUNCTION("IF(A730="""","""",
SPARKLINE(
INDEX(
GOOGLEFINANCE(""IDX:""&amp;A730,""close"",TODAY()-365,TODAY()),
,2
),
{""linewidth"",1}
))
"),"#N/A")</f>
        <v>#N/A</v>
      </c>
      <c r="E730" s="26"/>
      <c r="F730" s="26"/>
      <c r="G730" s="24">
        <f t="shared" si="5"/>
        <v>0</v>
      </c>
      <c r="H730" s="19">
        <f>VLOOKUP(A730,Metrik!$C$2:$Y$959,8,0)</f>
        <v>-200</v>
      </c>
      <c r="I730" s="20">
        <f>VLOOKUP(A730,Metrik!$C$2:$Y$959,9,0)</f>
        <v>2.1</v>
      </c>
      <c r="J730" s="20">
        <f>VLOOKUP(A730,Metrik!$C$2:$Y$959,10,0)</f>
        <v>-1.1</v>
      </c>
      <c r="K730" s="20">
        <f>VLOOKUP(A730,Metrik!$C$2:$Y$959,11,0)</f>
        <v>-0.96</v>
      </c>
      <c r="L730" s="20">
        <f>VLOOKUP(A730,Metrik!$C$2:$Y$959,12,0)</f>
        <v>0.09</v>
      </c>
      <c r="M730" s="20">
        <f>VLOOKUP(A730,Metrik!$C$2:$Y$959,19,0)</f>
        <v>0</v>
      </c>
      <c r="N730" s="21"/>
      <c r="O730" s="21"/>
      <c r="P730" s="21"/>
      <c r="Q730" s="21"/>
      <c r="R730" s="21"/>
      <c r="S730" s="21"/>
      <c r="T730" s="21"/>
      <c r="U730" s="22">
        <f>IFERROR(__xludf.DUMMYFUNCTION("IFERROR(GOOGLEFINANCE(A730,""closeyest""),"""")"),252.0)</f>
        <v>252</v>
      </c>
      <c r="V730" s="23">
        <f>IFERROR(__xludf.DUMMYFUNCTION("IFERROR(GOOGLEFINANCE(A730,""changepct""),"""")"),0.0)</f>
        <v>0</v>
      </c>
      <c r="W730" s="22">
        <f>IFERROR(__xludf.DUMMYFUNCTION("IFERROR(GOOGLEFINANCE(A730,""priceopen""),"""")"),234.0)</f>
        <v>234</v>
      </c>
      <c r="X730" s="22">
        <f>IFERROR(__xludf.DUMMYFUNCTION("IFERROR(GOOGLEFINANCE(A730,""high""),"""")"),264.0)</f>
        <v>264</v>
      </c>
      <c r="Y730" s="22">
        <f>IFERROR(__xludf.DUMMYFUNCTION("IFERROR(GOOGLEFINANCE(A730,""low""),"""")"),234.0)</f>
        <v>234</v>
      </c>
      <c r="Z730" s="22">
        <f>IFERROR(__xludf.DUMMYFUNCTION("IFERROR(GOOGLEFINANCE(A730,""volume""),"""")"),56100.0)</f>
        <v>56100</v>
      </c>
      <c r="AA730" s="24" t="str">
        <f>VLOOKUP(A730,Metrik!$C$2:$Y$959,5,0)</f>
        <v>Real Estate Management &amp; Development</v>
      </c>
      <c r="AB730" s="24" t="str">
        <f>VLOOKUP(A730,Metrik!$C$2:$Y$959,3,0)</f>
        <v>Properties &amp; Real Estate</v>
      </c>
    </row>
    <row r="731">
      <c r="A731" s="14" t="s">
        <v>391</v>
      </c>
      <c r="B731" s="14" t="str">
        <f t="array" ref="B731">VLOOKUP(A731,{Metrik!$C$2:$C$998,Metrik!$B$2:$B$998},2,0)</f>
        <v>PT Multi Garam Utama Tbk.</v>
      </c>
      <c r="C731" s="15">
        <f>IFERROR(__xludf.DUMMYFUNCTION("GOOGLEFINANCE(""IDX:""&amp;A731,""price"")"),206.0)</f>
        <v>206</v>
      </c>
      <c r="D731" s="16" t="str">
        <f>IFERROR(__xludf.DUMMYFUNCTION("IF(A731="""","""",
SPARKLINE(
INDEX(
GOOGLEFINANCE(""IDX:""&amp;A731,""close"",TODAY()-365,TODAY()),
,2
),
{""linewidth"",1}
))
"),"#N/A")</f>
        <v>#N/A</v>
      </c>
      <c r="E731" s="26"/>
      <c r="F731" s="26"/>
      <c r="G731" s="24">
        <f t="shared" si="5"/>
        <v>0</v>
      </c>
      <c r="H731" s="19">
        <f>VLOOKUP(A731,Metrik!$C$2:$Y$959,8,0)</f>
        <v>200</v>
      </c>
      <c r="I731" s="20">
        <f>VLOOKUP(A731,Metrik!$C$2:$Y$959,9,0)</f>
        <v>6.4</v>
      </c>
      <c r="J731" s="20">
        <f>VLOOKUP(A731,Metrik!$C$2:$Y$959,10,0)</f>
        <v>3.2</v>
      </c>
      <c r="K731" s="20">
        <f>VLOOKUP(A731,Metrik!$C$2:$Y$959,11,0)</f>
        <v>3</v>
      </c>
      <c r="L731" s="20">
        <f>VLOOKUP(A731,Metrik!$C$2:$Y$959,12,0)</f>
        <v>0.07</v>
      </c>
      <c r="M731" s="20">
        <f>VLOOKUP(A731,Metrik!$C$2:$Y$959,19,0)</f>
        <v>110</v>
      </c>
      <c r="N731" s="21"/>
      <c r="O731" s="21"/>
      <c r="P731" s="21"/>
      <c r="Q731" s="21"/>
      <c r="R731" s="21"/>
      <c r="S731" s="21"/>
      <c r="T731" s="21"/>
      <c r="U731" s="22">
        <f>IFERROR(__xludf.DUMMYFUNCTION("IFERROR(GOOGLEFINANCE(A731,""closeyest""),"""")"),218.0)</f>
        <v>218</v>
      </c>
      <c r="V731" s="23">
        <f>IFERROR(__xludf.DUMMYFUNCTION("IFERROR(GOOGLEFINANCE(A731,""changepct""),"""")"),-5.5)</f>
        <v>-5.5</v>
      </c>
      <c r="W731" s="22">
        <f>IFERROR(__xludf.DUMMYFUNCTION("IFERROR(GOOGLEFINANCE(A731,""priceopen""),"""")"),216.0)</f>
        <v>216</v>
      </c>
      <c r="X731" s="22">
        <f>IFERROR(__xludf.DUMMYFUNCTION("IFERROR(GOOGLEFINANCE(A731,""high""),"""")"),232.0)</f>
        <v>232</v>
      </c>
      <c r="Y731" s="22">
        <f>IFERROR(__xludf.DUMMYFUNCTION("IFERROR(GOOGLEFINANCE(A731,""low""),"""")"),200.0)</f>
        <v>200</v>
      </c>
      <c r="Z731" s="22">
        <f>IFERROR(__xludf.DUMMYFUNCTION("IFERROR(GOOGLEFINANCE(A731,""volume""),"""")"),1.43829E7)</f>
        <v>14382900</v>
      </c>
      <c r="AA731" s="24" t="str">
        <f>VLOOKUP(A731,Metrik!$C$2:$Y$959,5,0)</f>
        <v>Multi-sector Holdings</v>
      </c>
      <c r="AB731" s="24" t="str">
        <f>VLOOKUP(A731,Metrik!$C$2:$Y$959,3,0)</f>
        <v>Industrials</v>
      </c>
    </row>
    <row r="732">
      <c r="A732" s="14" t="s">
        <v>392</v>
      </c>
      <c r="B732" s="14" t="str">
        <f t="array" ref="B732">VLOOKUP(A732,{Metrik!$C$2:$C$998,Metrik!$B$2:$B$998},2,0)</f>
        <v>Sentra Food Indonesia Tbk.</v>
      </c>
      <c r="C732" s="15">
        <f>IFERROR(__xludf.DUMMYFUNCTION("GOOGLEFINANCE(""IDX:""&amp;A732,""price"")"),161.0)</f>
        <v>161</v>
      </c>
      <c r="D732" s="16" t="str">
        <f>IFERROR(__xludf.DUMMYFUNCTION("IF(A732="""","""",
SPARKLINE(
INDEX(
GOOGLEFINANCE(""IDX:""&amp;A732,""close"",TODAY()-365,TODAY()),
,2
),
{""linewidth"",1}
))
"),"#N/A")</f>
        <v>#N/A</v>
      </c>
      <c r="E732" s="26"/>
      <c r="F732" s="26"/>
      <c r="G732" s="24">
        <f t="shared" si="5"/>
        <v>0</v>
      </c>
      <c r="H732" s="19">
        <f>VLOOKUP(A732,Metrik!$C$2:$Y$959,8,0)</f>
        <v>-7.6</v>
      </c>
      <c r="I732" s="20">
        <f>VLOOKUP(A732,Metrik!$C$2:$Y$959,9,0)</f>
        <v>-3.8</v>
      </c>
      <c r="J732" s="20">
        <f>VLOOKUP(A732,Metrik!$C$2:$Y$959,10,0)</f>
        <v>0</v>
      </c>
      <c r="K732" s="20">
        <f>VLOOKUP(A732,Metrik!$C$2:$Y$959,11,0)</f>
        <v>-34.5</v>
      </c>
      <c r="L732" s="20">
        <f>VLOOKUP(A732,Metrik!$C$2:$Y$959,12,0)</f>
        <v>-2.4</v>
      </c>
      <c r="M732" s="20">
        <f>VLOOKUP(A732,Metrik!$C$2:$Y$959,19,0)</f>
        <v>-64.3</v>
      </c>
      <c r="N732" s="21"/>
      <c r="O732" s="21"/>
      <c r="P732" s="21"/>
      <c r="Q732" s="21"/>
      <c r="R732" s="21"/>
      <c r="S732" s="21"/>
      <c r="T732" s="21"/>
      <c r="U732" s="22">
        <f>IFERROR(__xludf.DUMMYFUNCTION("IFERROR(GOOGLEFINANCE(A732,""closeyest""),"""")"),3.69)</f>
        <v>3.69</v>
      </c>
      <c r="V732" s="23">
        <f>IFERROR(__xludf.DUMMYFUNCTION("IFERROR(GOOGLEFINANCE(A732,""changepct""),"""")"),1.67)</f>
        <v>1.67</v>
      </c>
      <c r="W732" s="22">
        <f>IFERROR(__xludf.DUMMYFUNCTION("IFERROR(GOOGLEFINANCE(A732,""priceopen""),"""")"),3.76)</f>
        <v>3.76</v>
      </c>
      <c r="X732" s="22">
        <f>IFERROR(__xludf.DUMMYFUNCTION("IFERROR(GOOGLEFINANCE(A732,""high""),"""")"),3.79)</f>
        <v>3.79</v>
      </c>
      <c r="Y732" s="22">
        <f>IFERROR(__xludf.DUMMYFUNCTION("IFERROR(GOOGLEFINANCE(A732,""low""),"""")"),3.74)</f>
        <v>3.74</v>
      </c>
      <c r="Z732" s="22">
        <f>IFERROR(__xludf.DUMMYFUNCTION("IFERROR(GOOGLEFINANCE(A732,""volume""),"""")"),392.0)</f>
        <v>392</v>
      </c>
      <c r="AA732" s="24" t="str">
        <f>VLOOKUP(A732,Metrik!$C$2:$Y$959,5,0)</f>
        <v>Processed Foods</v>
      </c>
      <c r="AB732" s="24" t="str">
        <f>VLOOKUP(A732,Metrik!$C$2:$Y$959,3,0)</f>
        <v>Consumer Non-Cyclicals</v>
      </c>
    </row>
    <row r="733">
      <c r="A733" s="14" t="s">
        <v>393</v>
      </c>
      <c r="B733" s="14" t="str">
        <f t="array" ref="B733">VLOOKUP(A733,{Metrik!$C$2:$C$998,Metrik!$B$2:$B$998},2,0)</f>
        <v>Fore Kopi Indonesia Tbk.</v>
      </c>
      <c r="C733" s="15">
        <f>IFERROR(__xludf.DUMMYFUNCTION("GOOGLEFINANCE(""IDX:""&amp;A733,""price"")"),700.0)</f>
        <v>700</v>
      </c>
      <c r="D733" s="16" t="str">
        <f>IFERROR(__xludf.DUMMYFUNCTION("IF(A733="""","""",
SPARKLINE(
INDEX(
GOOGLEFINANCE(""IDX:""&amp;A733,""close"",TODAY()-365,TODAY()),
,2
),
{""linewidth"",1}
))
"),"#N/A")</f>
        <v>#N/A</v>
      </c>
      <c r="E733" s="26"/>
      <c r="F733" s="26"/>
      <c r="G733" s="24">
        <f t="shared" si="5"/>
        <v>0</v>
      </c>
      <c r="H733" s="19">
        <f>VLOOKUP(A733,Metrik!$C$2:$Y$959,8,0)</f>
        <v>67.1</v>
      </c>
      <c r="I733" s="20">
        <f>VLOOKUP(A733,Metrik!$C$2:$Y$959,9,0)</f>
        <v>9.1</v>
      </c>
      <c r="J733" s="20">
        <f>VLOOKUP(A733,Metrik!$C$2:$Y$959,10,0)</f>
        <v>13.6</v>
      </c>
      <c r="K733" s="20">
        <f>VLOOKUP(A733,Metrik!$C$2:$Y$959,11,0)</f>
        <v>8.1</v>
      </c>
      <c r="L733" s="20">
        <f>VLOOKUP(A733,Metrik!$C$2:$Y$959,12,0)</f>
        <v>0.69</v>
      </c>
      <c r="M733" s="20">
        <f>VLOOKUP(A733,Metrik!$C$2:$Y$959,19,0)</f>
        <v>21.1</v>
      </c>
      <c r="N733" s="21"/>
      <c r="O733" s="21"/>
      <c r="P733" s="21"/>
      <c r="Q733" s="21"/>
      <c r="R733" s="21"/>
      <c r="S733" s="21"/>
      <c r="T733" s="21"/>
      <c r="U733" s="22">
        <f>IFERROR(__xludf.DUMMYFUNCTION("IFERROR(GOOGLEFINANCE(A733,""closeyest""),"""")"),765.0)</f>
        <v>765</v>
      </c>
      <c r="V733" s="23">
        <f>IFERROR(__xludf.DUMMYFUNCTION("IFERROR(GOOGLEFINANCE(A733,""changepct""),"""")"),0.0)</f>
        <v>0</v>
      </c>
      <c r="W733" s="22" t="str">
        <f>IFERROR(__xludf.DUMMYFUNCTION("IFERROR(GOOGLEFINANCE(A733,""priceopen""),"""")"),"")</f>
        <v/>
      </c>
      <c r="X733" s="22" t="str">
        <f>IFERROR(__xludf.DUMMYFUNCTION("IFERROR(GOOGLEFINANCE(A733,""high""),"""")"),"")</f>
        <v/>
      </c>
      <c r="Y733" s="22" t="str">
        <f>IFERROR(__xludf.DUMMYFUNCTION("IFERROR(GOOGLEFINANCE(A733,""low""),"""")"),"")</f>
        <v/>
      </c>
      <c r="Z733" s="22">
        <f>IFERROR(__xludf.DUMMYFUNCTION("IFERROR(GOOGLEFINANCE(A733,""volume""),"""")"),0.0)</f>
        <v>0</v>
      </c>
      <c r="AA733" s="24" t="str">
        <f>VLOOKUP(A733,Metrik!$C$2:$Y$959,5,0)</f>
        <v>Beverages</v>
      </c>
      <c r="AB733" s="24" t="str">
        <f>VLOOKUP(A733,Metrik!$C$2:$Y$959,3,0)</f>
        <v>Consumer Non-Cyclicals</v>
      </c>
    </row>
    <row r="734">
      <c r="A734" s="14" t="s">
        <v>394</v>
      </c>
      <c r="B734" s="14" t="str">
        <f t="array" ref="B734">VLOOKUP(A734,{Metrik!$C$2:$C$998,Metrik!$B$2:$B$998},2,0)</f>
        <v>Fortune Indonesia Tbk</v>
      </c>
      <c r="C734" s="15">
        <f>IFERROR(__xludf.DUMMYFUNCTION("GOOGLEFINANCE(""IDX:""&amp;A734,""price"")"),3770.0)</f>
        <v>3770</v>
      </c>
      <c r="D734" s="16" t="str">
        <f>IFERROR(__xludf.DUMMYFUNCTION("IF(A734="""","""",
SPARKLINE(
INDEX(
GOOGLEFINANCE(""IDX:""&amp;A734,""close"",TODAY()-365,TODAY()),
,2
),
{""linewidth"",1}
))
"),"#N/A")</f>
        <v>#N/A</v>
      </c>
      <c r="E734" s="26"/>
      <c r="F734" s="26"/>
      <c r="G734" s="24">
        <f t="shared" si="5"/>
        <v>0</v>
      </c>
      <c r="H734" s="19">
        <f>VLOOKUP(A734,Metrik!$C$2:$Y$959,8,0)</f>
        <v>-94.1</v>
      </c>
      <c r="I734" s="20">
        <f>VLOOKUP(A734,Metrik!$C$2:$Y$959,9,0)</f>
        <v>36.3</v>
      </c>
      <c r="J734" s="20">
        <f>VLOOKUP(A734,Metrik!$C$2:$Y$959,10,0)</f>
        <v>-38.6</v>
      </c>
      <c r="K734" s="20">
        <f>VLOOKUP(A734,Metrik!$C$2:$Y$959,11,0)</f>
        <v>-22.1</v>
      </c>
      <c r="L734" s="20">
        <f>VLOOKUP(A734,Metrik!$C$2:$Y$959,12,0)</f>
        <v>0.74</v>
      </c>
      <c r="M734" s="20">
        <f>VLOOKUP(A734,Metrik!$C$2:$Y$959,19,0)</f>
        <v>-140</v>
      </c>
      <c r="N734" s="21"/>
      <c r="O734" s="21"/>
      <c r="P734" s="21"/>
      <c r="Q734" s="21"/>
      <c r="R734" s="21"/>
      <c r="S734" s="21"/>
      <c r="T734" s="21"/>
      <c r="U734" s="22">
        <f>IFERROR(__xludf.DUMMYFUNCTION("IFERROR(GOOGLEFINANCE(A734,""closeyest""),"""")"),0.0)</f>
        <v>0</v>
      </c>
      <c r="V734" s="23">
        <f>IFERROR(__xludf.DUMMYFUNCTION("IFERROR(GOOGLEFINANCE(A734,""changepct""),"""")"),0.0)</f>
        <v>0</v>
      </c>
      <c r="W734" s="22" t="str">
        <f>IFERROR(__xludf.DUMMYFUNCTION("IFERROR(GOOGLEFINANCE(A734,""priceopen""),"""")"),"")</f>
        <v/>
      </c>
      <c r="X734" s="22" t="str">
        <f>IFERROR(__xludf.DUMMYFUNCTION("IFERROR(GOOGLEFINANCE(A734,""high""),"""")"),"")</f>
        <v/>
      </c>
      <c r="Y734" s="22" t="str">
        <f>IFERROR(__xludf.DUMMYFUNCTION("IFERROR(GOOGLEFINANCE(A734,""low""),"""")"),"")</f>
        <v/>
      </c>
      <c r="Z734" s="22">
        <f>IFERROR(__xludf.DUMMYFUNCTION("IFERROR(GOOGLEFINANCE(A734,""volume""),"""")"),0.0)</f>
        <v>0</v>
      </c>
      <c r="AA734" s="24" t="str">
        <f>VLOOKUP(A734,Metrik!$C$2:$Y$959,5,0)</f>
        <v>Media</v>
      </c>
      <c r="AB734" s="24" t="str">
        <f>VLOOKUP(A734,Metrik!$C$2:$Y$959,3,0)</f>
        <v>Consumer Cyclicals</v>
      </c>
    </row>
    <row r="735">
      <c r="A735" s="14" t="s">
        <v>395</v>
      </c>
      <c r="B735" s="14" t="str">
        <f t="array" ref="B735">VLOOKUP(A735,{Metrik!$C$2:$C$998,Metrik!$B$2:$B$998},2,0)</f>
        <v>Lotte Chemical Titan Tbk.</v>
      </c>
      <c r="C735" s="15" t="str">
        <f>IFERROR(__xludf.DUMMYFUNCTION("GOOGLEFINANCE(""IDX:""&amp;A735,""price"")"),"#N/A")</f>
        <v>#N/A</v>
      </c>
      <c r="D735" s="16" t="str">
        <f>IFERROR(__xludf.DUMMYFUNCTION("IF(A735="""","""",
SPARKLINE(
INDEX(
GOOGLEFINANCE(""IDX:""&amp;A735,""close"",TODAY()-365,TODAY()),
,2
),
{""linewidth"",1}
))
"),"#N/A")</f>
        <v>#N/A</v>
      </c>
      <c r="E735" s="26"/>
      <c r="F735" s="26"/>
      <c r="G735" s="24">
        <f t="shared" si="5"/>
        <v>0</v>
      </c>
      <c r="H735" s="19">
        <f>VLOOKUP(A735,Metrik!$C$2:$Y$959,8,0)</f>
        <v>16.4</v>
      </c>
      <c r="I735" s="20">
        <f>VLOOKUP(A735,Metrik!$C$2:$Y$959,9,0)</f>
        <v>1.2</v>
      </c>
      <c r="J735" s="20">
        <f>VLOOKUP(A735,Metrik!$C$2:$Y$959,10,0)</f>
        <v>7</v>
      </c>
      <c r="K735" s="20">
        <f>VLOOKUP(A735,Metrik!$C$2:$Y$959,11,0)</f>
        <v>4.5</v>
      </c>
      <c r="L735" s="20">
        <f>VLOOKUP(A735,Metrik!$C$2:$Y$959,12,0)</f>
        <v>0.56</v>
      </c>
      <c r="M735" s="20">
        <f>VLOOKUP(A735,Metrik!$C$2:$Y$959,19,0)</f>
        <v>9.1</v>
      </c>
      <c r="N735" s="21"/>
      <c r="O735" s="21"/>
      <c r="P735" s="21"/>
      <c r="Q735" s="21"/>
      <c r="R735" s="21"/>
      <c r="S735" s="21"/>
      <c r="T735" s="21"/>
      <c r="U735" s="22">
        <f>IFERROR(__xludf.DUMMYFUNCTION("IFERROR(GOOGLEFINANCE(A735,""closeyest""),"""")"),300.0)</f>
        <v>300</v>
      </c>
      <c r="V735" s="23">
        <f>IFERROR(__xludf.DUMMYFUNCTION("IFERROR(GOOGLEFINANCE(A735,""changepct""),"""")"),3.33)</f>
        <v>3.33</v>
      </c>
      <c r="W735" s="22">
        <f>IFERROR(__xludf.DUMMYFUNCTION("IFERROR(GOOGLEFINANCE(A735,""priceopen""),"""")"),300.0)</f>
        <v>300</v>
      </c>
      <c r="X735" s="22">
        <f>IFERROR(__xludf.DUMMYFUNCTION("IFERROR(GOOGLEFINANCE(A735,""high""),"""")"),314.0)</f>
        <v>314</v>
      </c>
      <c r="Y735" s="22">
        <f>IFERROR(__xludf.DUMMYFUNCTION("IFERROR(GOOGLEFINANCE(A735,""low""),"""")"),300.0)</f>
        <v>300</v>
      </c>
      <c r="Z735" s="22">
        <f>IFERROR(__xludf.DUMMYFUNCTION("IFERROR(GOOGLEFINANCE(A735,""volume""),"""")"),2552100.0)</f>
        <v>2552100</v>
      </c>
      <c r="AA735" s="24" t="str">
        <f>VLOOKUP(A735,Metrik!$C$2:$Y$959,5,0)</f>
        <v>Chemicals</v>
      </c>
      <c r="AB735" s="24" t="str">
        <f>VLOOKUP(A735,Metrik!$C$2:$Y$959,3,0)</f>
        <v>Basic Materials</v>
      </c>
    </row>
    <row r="736">
      <c r="A736" s="17" t="s">
        <v>396</v>
      </c>
      <c r="B736" s="14" t="str">
        <f t="array" ref="B736">VLOOKUP(A736,{Metrik!$C$2:$C$998,Metrik!$B$2:$B$998},2,0)</f>
        <v>Smartfren Telecom Tbk</v>
      </c>
      <c r="C736" s="15" t="str">
        <f>IFERROR(__xludf.DUMMYFUNCTION("GOOGLEFINANCE(""IDX:""&amp;A736,""price"")"),"#N/A")</f>
        <v>#N/A</v>
      </c>
      <c r="D736" s="16" t="str">
        <f>IFERROR(__xludf.DUMMYFUNCTION("IF(A736="""","""",
SPARKLINE(
INDEX(
GOOGLEFINANCE(""IDX:""&amp;A736,""close"",TODAY()-365,TODAY()),
,2
),
{""linewidth"",1}
))
"),"#N/A")</f>
        <v>#N/A</v>
      </c>
      <c r="E736" s="26"/>
      <c r="F736" s="26"/>
      <c r="G736" s="24">
        <f t="shared" si="5"/>
        <v>0</v>
      </c>
      <c r="H736" s="19" t="str">
        <f>VLOOKUP(A736,Metrik!$C$2:$Y$959,8,0)</f>
        <v/>
      </c>
      <c r="I736" s="20" t="str">
        <f>VLOOKUP(A736,Metrik!$C$2:$Y$959,9,0)</f>
        <v/>
      </c>
      <c r="J736" s="20" t="str">
        <f>VLOOKUP(A736,Metrik!$C$2:$Y$959,10,0)</f>
        <v/>
      </c>
      <c r="K736" s="20" t="str">
        <f>VLOOKUP(A736,Metrik!$C$2:$Y$959,11,0)</f>
        <v/>
      </c>
      <c r="L736" s="20" t="str">
        <f>VLOOKUP(A736,Metrik!$C$2:$Y$959,12,0)</f>
        <v/>
      </c>
      <c r="M736" s="20" t="str">
        <f>VLOOKUP(A736,Metrik!$C$2:$Y$959,19,0)</f>
        <v/>
      </c>
      <c r="N736" s="21"/>
      <c r="O736" s="21"/>
      <c r="P736" s="21"/>
      <c r="Q736" s="21"/>
      <c r="R736" s="21"/>
      <c r="S736" s="21"/>
      <c r="T736" s="21"/>
      <c r="U736" s="22">
        <f>IFERROR(__xludf.DUMMYFUNCTION("IFERROR(GOOGLEFINANCE(A736,""closeyest""),"""")"),791.93)</f>
        <v>791.93</v>
      </c>
      <c r="V736" s="23">
        <f>IFERROR(__xludf.DUMMYFUNCTION("IFERROR(GOOGLEFINANCE(A736,""changepct""),"""")"),0.0)</f>
        <v>0</v>
      </c>
      <c r="W736" s="22" t="str">
        <f>IFERROR(__xludf.DUMMYFUNCTION("IFERROR(GOOGLEFINANCE(A736,""priceopen""),"""")"),"")</f>
        <v/>
      </c>
      <c r="X736" s="22" t="str">
        <f>IFERROR(__xludf.DUMMYFUNCTION("IFERROR(GOOGLEFINANCE(A736,""high""),"""")"),"")</f>
        <v/>
      </c>
      <c r="Y736" s="22" t="str">
        <f>IFERROR(__xludf.DUMMYFUNCTION("IFERROR(GOOGLEFINANCE(A736,""low""),"""")"),"")</f>
        <v/>
      </c>
      <c r="Z736" s="22">
        <f>IFERROR(__xludf.DUMMYFUNCTION("IFERROR(GOOGLEFINANCE(A736,""volume""),"""")"),0.0)</f>
        <v>0</v>
      </c>
      <c r="AA736" s="24" t="str">
        <f>VLOOKUP(A736,Metrik!$C$2:$Y$959,5,0)</f>
        <v>Wireless Telecommunication Services</v>
      </c>
      <c r="AB736" s="24" t="str">
        <f>VLOOKUP(A736,Metrik!$C$2:$Y$959,3,0)</f>
        <v>Infrastructures</v>
      </c>
    </row>
    <row r="737">
      <c r="A737" s="14" t="s">
        <v>397</v>
      </c>
      <c r="B737" s="14" t="str">
        <f t="array" ref="B737">VLOOKUP(A737,{Metrik!$C$2:$C$998,Metrik!$B$2:$B$998},2,0)</f>
        <v>Fuji Finance Indonesia Tbk.</v>
      </c>
      <c r="C737" s="15">
        <f>IFERROR(__xludf.DUMMYFUNCTION("GOOGLEFINANCE(""IDX:""&amp;A737,""price"")"),278.0)</f>
        <v>278</v>
      </c>
      <c r="D737" s="16" t="str">
        <f>IFERROR(__xludf.DUMMYFUNCTION("IF(A737="""","""",
SPARKLINE(
INDEX(
GOOGLEFINANCE(""IDX:""&amp;A737,""close"",TODAY()-365,TODAY()),
,2
),
{""linewidth"",1}
))
"),"#N/A")</f>
        <v>#N/A</v>
      </c>
      <c r="E737" s="26"/>
      <c r="F737" s="26"/>
      <c r="G737" s="24">
        <f t="shared" si="5"/>
        <v>0</v>
      </c>
      <c r="H737" s="19">
        <f>VLOOKUP(A737,Metrik!$C$2:$Y$959,8,0)</f>
        <v>61.2</v>
      </c>
      <c r="I737" s="20">
        <f>VLOOKUP(A737,Metrik!$C$2:$Y$959,9,0)</f>
        <v>2</v>
      </c>
      <c r="J737" s="20">
        <f>VLOOKUP(A737,Metrik!$C$2:$Y$959,10,0)</f>
        <v>3.2</v>
      </c>
      <c r="K737" s="20">
        <f>VLOOKUP(A737,Metrik!$C$2:$Y$959,11,0)</f>
        <v>3.1</v>
      </c>
      <c r="L737" s="20">
        <f>VLOOKUP(A737,Metrik!$C$2:$Y$959,12,0)</f>
        <v>0.03</v>
      </c>
      <c r="M737" s="20">
        <f>VLOOKUP(A737,Metrik!$C$2:$Y$959,19,0)</f>
        <v>690</v>
      </c>
      <c r="N737" s="21"/>
      <c r="O737" s="21"/>
      <c r="P737" s="21"/>
      <c r="Q737" s="21"/>
      <c r="R737" s="21"/>
      <c r="S737" s="21"/>
      <c r="T737" s="21"/>
      <c r="U737" s="22">
        <f>IFERROR(__xludf.DUMMYFUNCTION("IFERROR(GOOGLEFINANCE(A737,""closeyest""),"""")"),11.61)</f>
        <v>11.61</v>
      </c>
      <c r="V737" s="23">
        <f>IFERROR(__xludf.DUMMYFUNCTION("IFERROR(GOOGLEFINANCE(A737,""changepct""),"""")"),2.05)</f>
        <v>2.05</v>
      </c>
      <c r="W737" s="22">
        <f>IFERROR(__xludf.DUMMYFUNCTION("IFERROR(GOOGLEFINANCE(A737,""priceopen""),"""")"),11.7)</f>
        <v>11.7</v>
      </c>
      <c r="X737" s="22">
        <f>IFERROR(__xludf.DUMMYFUNCTION("IFERROR(GOOGLEFINANCE(A737,""high""),"""")"),11.85)</f>
        <v>11.85</v>
      </c>
      <c r="Y737" s="22">
        <f>IFERROR(__xludf.DUMMYFUNCTION("IFERROR(GOOGLEFINANCE(A737,""low""),"""")"),11.7)</f>
        <v>11.7</v>
      </c>
      <c r="Z737" s="22">
        <f>IFERROR(__xludf.DUMMYFUNCTION("IFERROR(GOOGLEFINANCE(A737,""volume""),"""")"),919.0)</f>
        <v>919</v>
      </c>
      <c r="AA737" s="24" t="str">
        <f>VLOOKUP(A737,Metrik!$C$2:$Y$959,5,0)</f>
        <v>Consumer Financing</v>
      </c>
      <c r="AB737" s="24" t="str">
        <f>VLOOKUP(A737,Metrik!$C$2:$Y$959,3,0)</f>
        <v>Financials</v>
      </c>
    </row>
    <row r="738">
      <c r="A738" s="14" t="s">
        <v>398</v>
      </c>
      <c r="B738" s="14" t="str">
        <f t="array" ref="B738">VLOOKUP(A738,{Metrik!$C$2:$C$998,Metrik!$B$2:$B$998},2,0)</f>
        <v>Futura Energi Global Tbk.</v>
      </c>
      <c r="C738" s="15">
        <f>IFERROR(__xludf.DUMMYFUNCTION("GOOGLEFINANCE(""IDX:""&amp;A738,""price"")"),156.0)</f>
        <v>156</v>
      </c>
      <c r="D738" s="16" t="str">
        <f>IFERROR(__xludf.DUMMYFUNCTION("IF(A738="""","""",
SPARKLINE(
INDEX(
GOOGLEFINANCE(""IDX:""&amp;A738,""close"",TODAY()-365,TODAY()),
,2
),
{""linewidth"",1}
))
"),"#N/A")</f>
        <v>#N/A</v>
      </c>
      <c r="E738" s="26"/>
      <c r="F738" s="26"/>
      <c r="G738" s="24">
        <f t="shared" si="5"/>
        <v>0</v>
      </c>
      <c r="H738" s="19">
        <f>VLOOKUP(A738,Metrik!$C$2:$Y$959,8,0)</f>
        <v>150</v>
      </c>
      <c r="I738" s="20">
        <f>VLOOKUP(A738,Metrik!$C$2:$Y$959,9,0)</f>
        <v>5.4</v>
      </c>
      <c r="J738" s="20">
        <f>VLOOKUP(A738,Metrik!$C$2:$Y$959,10,0)</f>
        <v>3.5</v>
      </c>
      <c r="K738" s="20">
        <f>VLOOKUP(A738,Metrik!$C$2:$Y$959,11,0)</f>
        <v>3.2</v>
      </c>
      <c r="L738" s="20">
        <f>VLOOKUP(A738,Metrik!$C$2:$Y$959,12,0)</f>
        <v>0.09</v>
      </c>
      <c r="M738" s="20">
        <f>VLOOKUP(A738,Metrik!$C$2:$Y$959,19,0)</f>
        <v>22.9</v>
      </c>
      <c r="N738" s="21"/>
      <c r="O738" s="21"/>
      <c r="P738" s="21"/>
      <c r="Q738" s="21"/>
      <c r="R738" s="21"/>
      <c r="S738" s="21"/>
      <c r="T738" s="21"/>
      <c r="U738" s="22">
        <f>IFERROR(__xludf.DUMMYFUNCTION("IFERROR(GOOGLEFINANCE(A738,""closeyest""),"""")"),0.24)</f>
        <v>0.24</v>
      </c>
      <c r="V738" s="23">
        <f>IFERROR(__xludf.DUMMYFUNCTION("IFERROR(GOOGLEFINANCE(A738,""changepct""),"""")"),0.0)</f>
        <v>0</v>
      </c>
      <c r="W738" s="22">
        <f>IFERROR(__xludf.DUMMYFUNCTION("IFERROR(GOOGLEFINANCE(A738,""priceopen""),"""")"),0.24)</f>
        <v>0.24</v>
      </c>
      <c r="X738" s="22">
        <f>IFERROR(__xludf.DUMMYFUNCTION("IFERROR(GOOGLEFINANCE(A738,""high""),"""")"),0.24)</f>
        <v>0.24</v>
      </c>
      <c r="Y738" s="22">
        <f>IFERROR(__xludf.DUMMYFUNCTION("IFERROR(GOOGLEFINANCE(A738,""low""),"""")"),0.24)</f>
        <v>0.24</v>
      </c>
      <c r="Z738" s="22">
        <f>IFERROR(__xludf.DUMMYFUNCTION("IFERROR(GOOGLEFINANCE(A738,""volume""),"""")"),1525.0)</f>
        <v>1525</v>
      </c>
      <c r="AA738" s="24" t="str">
        <f>VLOOKUP(A738,Metrik!$C$2:$Y$959,5,0)</f>
        <v>Media</v>
      </c>
      <c r="AB738" s="24" t="str">
        <f>VLOOKUP(A738,Metrik!$C$2:$Y$959,3,0)</f>
        <v>Consumer Cyclicals</v>
      </c>
    </row>
    <row r="739">
      <c r="A739" s="14" t="s">
        <v>399</v>
      </c>
      <c r="B739" s="14" t="str">
        <f t="array" ref="B739">VLOOKUP(A739,{Metrik!$C$2:$C$998,Metrik!$B$2:$B$998},2,0)</f>
        <v>PT Wijaya Cahaya Timber Tbk</v>
      </c>
      <c r="C739" s="15">
        <f>IFERROR(__xludf.DUMMYFUNCTION("GOOGLEFINANCE(""IDX:""&amp;A739,""price"")"),73.0)</f>
        <v>73</v>
      </c>
      <c r="D739" s="16" t="str">
        <f>IFERROR(__xludf.DUMMYFUNCTION("IF(A739="""","""",
SPARKLINE(
INDEX(
GOOGLEFINANCE(""IDX:""&amp;A739,""close"",TODAY()-365,TODAY()),
,2
),
{""linewidth"",1}
))
"),"#N/A")</f>
        <v>#N/A</v>
      </c>
      <c r="E739" s="26"/>
      <c r="F739" s="26"/>
      <c r="G739" s="24">
        <f t="shared" si="5"/>
        <v>0</v>
      </c>
      <c r="H739" s="19">
        <f>VLOOKUP(A739,Metrik!$C$2:$Y$959,8,0)</f>
        <v>-7.6</v>
      </c>
      <c r="I739" s="20">
        <f>VLOOKUP(A739,Metrik!$C$2:$Y$959,9,0)</f>
        <v>0.49</v>
      </c>
      <c r="J739" s="20">
        <f>VLOOKUP(A739,Metrik!$C$2:$Y$959,10,0)</f>
        <v>-6.4</v>
      </c>
      <c r="K739" s="20">
        <f>VLOOKUP(A739,Metrik!$C$2:$Y$959,11,0)</f>
        <v>-2.5</v>
      </c>
      <c r="L739" s="20">
        <f>VLOOKUP(A739,Metrik!$C$2:$Y$959,12,0)</f>
        <v>1.6</v>
      </c>
      <c r="M739" s="20">
        <f>VLOOKUP(A739,Metrik!$C$2:$Y$959,19,0)</f>
        <v>-17.2</v>
      </c>
      <c r="N739" s="21"/>
      <c r="O739" s="21"/>
      <c r="P739" s="21"/>
      <c r="Q739" s="21"/>
      <c r="R739" s="21"/>
      <c r="S739" s="21"/>
      <c r="T739" s="21"/>
      <c r="U739" s="22">
        <f>IFERROR(__xludf.DUMMYFUNCTION("IFERROR(GOOGLEFINANCE(A739,""closeyest""),"""")"),70.0)</f>
        <v>70</v>
      </c>
      <c r="V739" s="23">
        <f>IFERROR(__xludf.DUMMYFUNCTION("IFERROR(GOOGLEFINANCE(A739,""changepct""),"""")"),4.29)</f>
        <v>4.29</v>
      </c>
      <c r="W739" s="22" t="str">
        <f>IFERROR(__xludf.DUMMYFUNCTION("IFERROR(GOOGLEFINANCE(A739,""priceopen""),"""")"),"")</f>
        <v/>
      </c>
      <c r="X739" s="22">
        <f>IFERROR(__xludf.DUMMYFUNCTION("IFERROR(GOOGLEFINANCE(A739,""high""),"""")"),74.0)</f>
        <v>74</v>
      </c>
      <c r="Y739" s="22">
        <f>IFERROR(__xludf.DUMMYFUNCTION("IFERROR(GOOGLEFINANCE(A739,""low""),"""")"),70.0)</f>
        <v>70</v>
      </c>
      <c r="Z739" s="22">
        <f>IFERROR(__xludf.DUMMYFUNCTION("IFERROR(GOOGLEFINANCE(A739,""volume""),"""")"),1606200.0)</f>
        <v>1606200</v>
      </c>
      <c r="AA739" s="24" t="str">
        <f>VLOOKUP(A739,Metrik!$C$2:$Y$959,5,0)</f>
        <v>Oil &amp; Gas</v>
      </c>
      <c r="AB739" s="24" t="str">
        <f>VLOOKUP(A739,Metrik!$C$2:$Y$959,3,0)</f>
        <v>Energy</v>
      </c>
    </row>
    <row r="740">
      <c r="A740" s="14" t="s">
        <v>400</v>
      </c>
      <c r="B740" s="14" t="str">
        <f t="array" ref="B740">VLOOKUP(A740,{Metrik!$C$2:$C$998,Metrik!$B$2:$B$998},2,0)</f>
        <v>Aksara Global Development Tbk.</v>
      </c>
      <c r="C740" s="15">
        <f>IFERROR(__xludf.DUMMYFUNCTION("GOOGLEFINANCE(""IDX:""&amp;A740,""price"")"),18.0)</f>
        <v>18</v>
      </c>
      <c r="D740" s="16" t="str">
        <f>IFERROR(__xludf.DUMMYFUNCTION("IF(A740="""","""",
SPARKLINE(
INDEX(
GOOGLEFINANCE(""IDX:""&amp;A740,""close"",TODAY()-365,TODAY()),
,2
),
{""linewidth"",1}
))
"),"#N/A")</f>
        <v>#N/A</v>
      </c>
      <c r="E740" s="26"/>
      <c r="F740" s="26"/>
      <c r="G740" s="24">
        <f t="shared" si="5"/>
        <v>0</v>
      </c>
      <c r="H740" s="19">
        <f>VLOOKUP(A740,Metrik!$C$2:$Y$959,8,0)</f>
        <v>0</v>
      </c>
      <c r="I740" s="20">
        <f>VLOOKUP(A740,Metrik!$C$2:$Y$959,9,0)</f>
        <v>0.17</v>
      </c>
      <c r="J740" s="20">
        <f>VLOOKUP(A740,Metrik!$C$2:$Y$959,10,0)</f>
        <v>-3.3</v>
      </c>
      <c r="K740" s="20">
        <f>VLOOKUP(A740,Metrik!$C$2:$Y$959,11,0)</f>
        <v>-2.5</v>
      </c>
      <c r="L740" s="20">
        <f>VLOOKUP(A740,Metrik!$C$2:$Y$959,12,0)</f>
        <v>0.31</v>
      </c>
      <c r="M740" s="20">
        <f>VLOOKUP(A740,Metrik!$C$2:$Y$959,19,0)</f>
        <v>-300</v>
      </c>
      <c r="N740" s="21"/>
      <c r="O740" s="21"/>
      <c r="P740" s="21"/>
      <c r="Q740" s="21"/>
      <c r="R740" s="21"/>
      <c r="S740" s="21"/>
      <c r="T740" s="21"/>
      <c r="U740" s="22">
        <f>IFERROR(__xludf.DUMMYFUNCTION("IFERROR(GOOGLEFINANCE(A740,""closeyest""),"""")"),0.11)</f>
        <v>0.11</v>
      </c>
      <c r="V740" s="23">
        <f>IFERROR(__xludf.DUMMYFUNCTION("IFERROR(GOOGLEFINANCE(A740,""changepct""),"""")"),0.0)</f>
        <v>0</v>
      </c>
      <c r="W740" s="22" t="str">
        <f>IFERROR(__xludf.DUMMYFUNCTION("IFERROR(GOOGLEFINANCE(A740,""priceopen""),"""")"),"")</f>
        <v/>
      </c>
      <c r="X740" s="22" t="str">
        <f>IFERROR(__xludf.DUMMYFUNCTION("IFERROR(GOOGLEFINANCE(A740,""high""),"""")"),"")</f>
        <v/>
      </c>
      <c r="Y740" s="22" t="str">
        <f>IFERROR(__xludf.DUMMYFUNCTION("IFERROR(GOOGLEFINANCE(A740,""low""),"""")"),"")</f>
        <v/>
      </c>
      <c r="Z740" s="22">
        <f>IFERROR(__xludf.DUMMYFUNCTION("IFERROR(GOOGLEFINANCE(A740,""volume""),"""")"),0.0)</f>
        <v>0</v>
      </c>
      <c r="AA740" s="24" t="str">
        <f>VLOOKUP(A740,Metrik!$C$2:$Y$959,5,0)</f>
        <v>Real Estate Management &amp; Development</v>
      </c>
      <c r="AB740" s="24" t="str">
        <f>VLOOKUP(A740,Metrik!$C$2:$Y$959,3,0)</f>
        <v>Properties &amp; Real Estate</v>
      </c>
    </row>
    <row r="741">
      <c r="A741" s="14" t="s">
        <v>401</v>
      </c>
      <c r="B741" s="14" t="str">
        <f t="array" ref="B741">VLOOKUP(A741,{Metrik!$C$2:$C$998,Metrik!$B$2:$B$998},2,0)</f>
        <v>Gunawan Dianjaya Steel Tbk.</v>
      </c>
      <c r="C741" s="15">
        <f>IFERROR(__xludf.DUMMYFUNCTION("GOOGLEFINANCE(""IDX:""&amp;A741,""price"")"),79.0)</f>
        <v>79</v>
      </c>
      <c r="D741" s="16" t="str">
        <f>IFERROR(__xludf.DUMMYFUNCTION("IF(A741="""","""",
SPARKLINE(
INDEX(
GOOGLEFINANCE(""IDX:""&amp;A741,""close"",TODAY()-365,TODAY()),
,2
),
{""linewidth"",1}
))
"),"#N/A")</f>
        <v>#N/A</v>
      </c>
      <c r="E741" s="26"/>
      <c r="F741" s="26"/>
      <c r="G741" s="24">
        <f t="shared" si="5"/>
        <v>0</v>
      </c>
      <c r="H741" s="19">
        <f>VLOOKUP(A741,Metrik!$C$2:$Y$959,8,0)</f>
        <v>17.5</v>
      </c>
      <c r="I741" s="20">
        <f>VLOOKUP(A741,Metrik!$C$2:$Y$959,9,0)</f>
        <v>0.58</v>
      </c>
      <c r="J741" s="20">
        <f>VLOOKUP(A741,Metrik!$C$2:$Y$959,10,0)</f>
        <v>3.3</v>
      </c>
      <c r="K741" s="20">
        <f>VLOOKUP(A741,Metrik!$C$2:$Y$959,11,0)</f>
        <v>1.4</v>
      </c>
      <c r="L741" s="20">
        <f>VLOOKUP(A741,Metrik!$C$2:$Y$959,12,0)</f>
        <v>1.4</v>
      </c>
      <c r="M741" s="20">
        <f>VLOOKUP(A741,Metrik!$C$2:$Y$959,19,0)</f>
        <v>10.1</v>
      </c>
      <c r="N741" s="21"/>
      <c r="O741" s="21"/>
      <c r="P741" s="21"/>
      <c r="Q741" s="21"/>
      <c r="R741" s="21"/>
      <c r="S741" s="21"/>
      <c r="T741" s="21"/>
      <c r="U741" s="22">
        <f>IFERROR(__xludf.DUMMYFUNCTION("IFERROR(GOOGLEFINANCE(A741,""closeyest""),"""")"),12.5)</f>
        <v>12.5</v>
      </c>
      <c r="V741" s="23">
        <f>IFERROR(__xludf.DUMMYFUNCTION("IFERROR(GOOGLEFINANCE(A741,""changepct""),"""")"),0.0)</f>
        <v>0</v>
      </c>
      <c r="W741" s="22" t="str">
        <f>IFERROR(__xludf.DUMMYFUNCTION("IFERROR(GOOGLEFINANCE(A741,""priceopen""),"""")"),"")</f>
        <v/>
      </c>
      <c r="X741" s="22" t="str">
        <f>IFERROR(__xludf.DUMMYFUNCTION("IFERROR(GOOGLEFINANCE(A741,""high""),"""")"),"")</f>
        <v/>
      </c>
      <c r="Y741" s="22" t="str">
        <f>IFERROR(__xludf.DUMMYFUNCTION("IFERROR(GOOGLEFINANCE(A741,""low""),"""")"),"")</f>
        <v/>
      </c>
      <c r="Z741" s="22">
        <f>IFERROR(__xludf.DUMMYFUNCTION("IFERROR(GOOGLEFINANCE(A741,""volume""),"""")"),0.0)</f>
        <v>0</v>
      </c>
      <c r="AA741" s="24" t="str">
        <f>VLOOKUP(A741,Metrik!$C$2:$Y$959,5,0)</f>
        <v>Metals &amp; Minerals</v>
      </c>
      <c r="AB741" s="24" t="str">
        <f>VLOOKUP(A741,Metrik!$C$2:$Y$959,3,0)</f>
        <v>Basic Materials</v>
      </c>
    </row>
    <row r="742">
      <c r="A742" s="14" t="s">
        <v>402</v>
      </c>
      <c r="B742" s="14" t="str">
        <f t="array" ref="B742">VLOOKUP(A742,{Metrik!$C$2:$C$998,Metrik!$B$2:$B$998},2,0)</f>
        <v>Goodyear Indonesia Tbk.</v>
      </c>
      <c r="C742" s="15">
        <f>IFERROR(__xludf.DUMMYFUNCTION("GOOGLEFINANCE(""IDX:""&amp;A742,""price"")"),1090.0)</f>
        <v>1090</v>
      </c>
      <c r="D742" s="16" t="str">
        <f>IFERROR(__xludf.DUMMYFUNCTION("IF(A742="""","""",
SPARKLINE(
INDEX(
GOOGLEFINANCE(""IDX:""&amp;A742,""close"",TODAY()-365,TODAY()),
,2
),
{""linewidth"",1}
))
"),"#N/A")</f>
        <v>#N/A</v>
      </c>
      <c r="E742" s="26"/>
      <c r="F742" s="26"/>
      <c r="G742" s="24">
        <f t="shared" si="5"/>
        <v>0</v>
      </c>
      <c r="H742" s="19">
        <f>VLOOKUP(A742,Metrik!$C$2:$Y$959,8,0)</f>
        <v>12.2</v>
      </c>
      <c r="I742" s="20">
        <f>VLOOKUP(A742,Metrik!$C$2:$Y$959,9,0)</f>
        <v>0.43</v>
      </c>
      <c r="J742" s="20">
        <f>VLOOKUP(A742,Metrik!$C$2:$Y$959,10,0)</f>
        <v>3.5</v>
      </c>
      <c r="K742" s="20">
        <f>VLOOKUP(A742,Metrik!$C$2:$Y$959,11,0)</f>
        <v>2.1</v>
      </c>
      <c r="L742" s="20">
        <f>VLOOKUP(A742,Metrik!$C$2:$Y$959,12,0)</f>
        <v>0.71</v>
      </c>
      <c r="M742" s="20">
        <f>VLOOKUP(A742,Metrik!$C$2:$Y$959,19,0)</f>
        <v>6.1</v>
      </c>
      <c r="N742" s="21"/>
      <c r="O742" s="21"/>
      <c r="P742" s="21"/>
      <c r="Q742" s="21"/>
      <c r="R742" s="21"/>
      <c r="S742" s="21"/>
      <c r="T742" s="21"/>
      <c r="U742" s="22">
        <f>IFERROR(__xludf.DUMMYFUNCTION("IFERROR(GOOGLEFINANCE(A742,""closeyest""),"""")"),1090.0)</f>
        <v>1090</v>
      </c>
      <c r="V742" s="23">
        <f>IFERROR(__xludf.DUMMYFUNCTION("IFERROR(GOOGLEFINANCE(A742,""changepct""),"""")"),0.0)</f>
        <v>0</v>
      </c>
      <c r="W742" s="22">
        <f>IFERROR(__xludf.DUMMYFUNCTION("IFERROR(GOOGLEFINANCE(A742,""priceopen""),"""")"),1090.0)</f>
        <v>1090</v>
      </c>
      <c r="X742" s="22">
        <f>IFERROR(__xludf.DUMMYFUNCTION("IFERROR(GOOGLEFINANCE(A742,""high""),"""")"),1100.0)</f>
        <v>1100</v>
      </c>
      <c r="Y742" s="22">
        <f>IFERROR(__xludf.DUMMYFUNCTION("IFERROR(GOOGLEFINANCE(A742,""low""),"""")"),1090.0)</f>
        <v>1090</v>
      </c>
      <c r="Z742" s="22">
        <f>IFERROR(__xludf.DUMMYFUNCTION("IFERROR(GOOGLEFINANCE(A742,""volume""),"""")"),2300.0)</f>
        <v>2300</v>
      </c>
      <c r="AA742" s="24" t="str">
        <f>VLOOKUP(A742,Metrik!$C$2:$Y$959,5,0)</f>
        <v>Auto Components</v>
      </c>
      <c r="AB742" s="24" t="str">
        <f>VLOOKUP(A742,Metrik!$C$2:$Y$959,3,0)</f>
        <v>Consumer Cyclicals</v>
      </c>
    </row>
    <row r="743">
      <c r="A743" s="14" t="s">
        <v>403</v>
      </c>
      <c r="B743" s="14" t="str">
        <f t="array" ref="B743">VLOOKUP(A743,{Metrik!$C$2:$C$998,Metrik!$B$2:$B$998},2,0)</f>
        <v>Gema Grahasarana Tbk.</v>
      </c>
      <c r="C743" s="15">
        <f>IFERROR(__xludf.DUMMYFUNCTION("GOOGLEFINANCE(""IDX:""&amp;A743,""price"")"),78.0)</f>
        <v>78</v>
      </c>
      <c r="D743" s="16" t="str">
        <f>IFERROR(__xludf.DUMMYFUNCTION("IF(A743="""","""",
SPARKLINE(
INDEX(
GOOGLEFINANCE(""IDX:""&amp;A743,""close"",TODAY()-365,TODAY()),
,2
),
{""linewidth"",1}
))
"),"#N/A")</f>
        <v>#N/A</v>
      </c>
      <c r="E743" s="26"/>
      <c r="F743" s="26"/>
      <c r="G743" s="24">
        <f t="shared" si="5"/>
        <v>0</v>
      </c>
      <c r="H743" s="19">
        <f>VLOOKUP(A743,Metrik!$C$2:$Y$959,8,0)</f>
        <v>11.9</v>
      </c>
      <c r="I743" s="20">
        <f>VLOOKUP(A743,Metrik!$C$2:$Y$959,9,0)</f>
        <v>0.32</v>
      </c>
      <c r="J743" s="20">
        <f>VLOOKUP(A743,Metrik!$C$2:$Y$959,10,0)</f>
        <v>2.7</v>
      </c>
      <c r="K743" s="20">
        <f>VLOOKUP(A743,Metrik!$C$2:$Y$959,11,0)</f>
        <v>0.93</v>
      </c>
      <c r="L743" s="20">
        <f>VLOOKUP(A743,Metrik!$C$2:$Y$959,12,0)</f>
        <v>1.8</v>
      </c>
      <c r="M743" s="20">
        <f>VLOOKUP(A743,Metrik!$C$2:$Y$959,19,0)</f>
        <v>3.4</v>
      </c>
      <c r="N743" s="21"/>
      <c r="O743" s="21"/>
      <c r="P743" s="21"/>
      <c r="Q743" s="21"/>
      <c r="R743" s="21"/>
      <c r="S743" s="21"/>
      <c r="T743" s="21"/>
      <c r="U743" s="22">
        <f>IFERROR(__xludf.DUMMYFUNCTION("IFERROR(GOOGLEFINANCE(A743,""closeyest""),"""")"),76.0)</f>
        <v>76</v>
      </c>
      <c r="V743" s="23">
        <f>IFERROR(__xludf.DUMMYFUNCTION("IFERROR(GOOGLEFINANCE(A743,""changepct""),"""")"),2.63)</f>
        <v>2.63</v>
      </c>
      <c r="W743" s="22">
        <f>IFERROR(__xludf.DUMMYFUNCTION("IFERROR(GOOGLEFINANCE(A743,""priceopen""),"""")"),76.0)</f>
        <v>76</v>
      </c>
      <c r="X743" s="22">
        <f>IFERROR(__xludf.DUMMYFUNCTION("IFERROR(GOOGLEFINANCE(A743,""high""),"""")"),80.0)</f>
        <v>80</v>
      </c>
      <c r="Y743" s="22">
        <f>IFERROR(__xludf.DUMMYFUNCTION("IFERROR(GOOGLEFINANCE(A743,""low""),"""")"),76.0)</f>
        <v>76</v>
      </c>
      <c r="Z743" s="22">
        <f>IFERROR(__xludf.DUMMYFUNCTION("IFERROR(GOOGLEFINANCE(A743,""volume""),"""")"),1872700.0)</f>
        <v>1872700</v>
      </c>
      <c r="AA743" s="24" t="str">
        <f>VLOOKUP(A743,Metrik!$C$2:$Y$959,5,0)</f>
        <v>Household Goods</v>
      </c>
      <c r="AB743" s="24" t="str">
        <f>VLOOKUP(A743,Metrik!$C$2:$Y$959,3,0)</f>
        <v>Consumer Cyclicals</v>
      </c>
    </row>
    <row r="744">
      <c r="A744" s="14" t="s">
        <v>404</v>
      </c>
      <c r="B744" s="14" t="str">
        <f t="array" ref="B744">VLOOKUP(A744,{Metrik!$C$2:$C$998,Metrik!$B$2:$B$998},2,0)</f>
        <v>Golden Energy Mines Tbk.</v>
      </c>
      <c r="C744" s="15">
        <f>IFERROR(__xludf.DUMMYFUNCTION("GOOGLEFINANCE(""IDX:""&amp;A744,""price"")"),6750.0)</f>
        <v>6750</v>
      </c>
      <c r="D744" s="16" t="str">
        <f>IFERROR(__xludf.DUMMYFUNCTION("IF(A744="""","""",
SPARKLINE(
INDEX(
GOOGLEFINANCE(""IDX:""&amp;A744,""close"",TODAY()-365,TODAY()),
,2
),
{""linewidth"",1}
))
"),"#N/A")</f>
        <v>#N/A</v>
      </c>
      <c r="E744" s="26"/>
      <c r="F744" s="26"/>
      <c r="G744" s="24">
        <f t="shared" si="5"/>
        <v>0</v>
      </c>
      <c r="H744" s="19">
        <f>VLOOKUP(A744,Metrik!$C$2:$Y$959,8,0)</f>
        <v>10.2</v>
      </c>
      <c r="I744" s="20">
        <f>VLOOKUP(A744,Metrik!$C$2:$Y$959,9,0)</f>
        <v>3.7</v>
      </c>
      <c r="J744" s="20">
        <f>VLOOKUP(A744,Metrik!$C$2:$Y$959,10,0)</f>
        <v>36.4</v>
      </c>
      <c r="K744" s="20">
        <f>VLOOKUP(A744,Metrik!$C$2:$Y$959,11,0)</f>
        <v>21.6</v>
      </c>
      <c r="L744" s="20">
        <f>VLOOKUP(A744,Metrik!$C$2:$Y$959,12,0)</f>
        <v>0.69</v>
      </c>
      <c r="M744" s="20">
        <f>VLOOKUP(A744,Metrik!$C$2:$Y$959,19,0)</f>
        <v>10.7</v>
      </c>
      <c r="N744" s="21"/>
      <c r="O744" s="21"/>
      <c r="P744" s="21"/>
      <c r="Q744" s="21"/>
      <c r="R744" s="21"/>
      <c r="S744" s="21"/>
      <c r="T744" s="21"/>
      <c r="U744" s="22">
        <f>IFERROR(__xludf.DUMMYFUNCTION("IFERROR(GOOGLEFINANCE(A744,""closeyest""),"""")"),51.32)</f>
        <v>51.32</v>
      </c>
      <c r="V744" s="23">
        <f>IFERROR(__xludf.DUMMYFUNCTION("IFERROR(GOOGLEFINANCE(A744,""changepct""),"""")"),0.65)</f>
        <v>0.65</v>
      </c>
      <c r="W744" s="22" t="str">
        <f>IFERROR(__xludf.DUMMYFUNCTION("IFERROR(GOOGLEFINANCE(A744,""priceopen""),"""")"),"")</f>
        <v/>
      </c>
      <c r="X744" s="22" t="str">
        <f>IFERROR(__xludf.DUMMYFUNCTION("IFERROR(GOOGLEFINANCE(A744,""high""),"""")"),"")</f>
        <v/>
      </c>
      <c r="Y744" s="22" t="str">
        <f>IFERROR(__xludf.DUMMYFUNCTION("IFERROR(GOOGLEFINANCE(A744,""low""),"""")"),"")</f>
        <v/>
      </c>
      <c r="Z744" s="22">
        <f>IFERROR(__xludf.DUMMYFUNCTION("IFERROR(GOOGLEFINANCE(A744,""volume""),"""")"),0.0)</f>
        <v>0</v>
      </c>
      <c r="AA744" s="24" t="str">
        <f>VLOOKUP(A744,Metrik!$C$2:$Y$959,5,0)</f>
        <v>Coal</v>
      </c>
      <c r="AB744" s="24" t="str">
        <f>VLOOKUP(A744,Metrik!$C$2:$Y$959,3,0)</f>
        <v>Energy</v>
      </c>
    </row>
    <row r="745">
      <c r="A745" s="14" t="s">
        <v>405</v>
      </c>
      <c r="B745" s="14" t="str">
        <f t="array" ref="B745">VLOOKUP(A745,{Metrik!$C$2:$C$998,Metrik!$B$2:$B$998},2,0)</f>
        <v>Gudang Garam Tbk</v>
      </c>
      <c r="C745" s="15">
        <f>IFERROR(__xludf.DUMMYFUNCTION("GOOGLEFINANCE(""IDX:""&amp;A745,""price"")"),15000.0)</f>
        <v>15000</v>
      </c>
      <c r="D745" s="16" t="str">
        <f>IFERROR(__xludf.DUMMYFUNCTION("IF(A745="""","""",
SPARKLINE(
INDEX(
GOOGLEFINANCE(""IDX:""&amp;A745,""close"",TODAY()-365,TODAY()),
,2
),
{""linewidth"",1}
))
"),"#N/A")</f>
        <v>#N/A</v>
      </c>
      <c r="E745" s="14" t="s">
        <v>41</v>
      </c>
      <c r="F745" s="14" t="s">
        <v>34</v>
      </c>
      <c r="G745" s="24">
        <f t="shared" si="5"/>
        <v>4</v>
      </c>
      <c r="H745" s="19">
        <f>VLOOKUP(A745,Metrik!$C$2:$Y$959,8,0)</f>
        <v>10.9</v>
      </c>
      <c r="I745" s="20">
        <f>VLOOKUP(A745,Metrik!$C$2:$Y$959,9,0)</f>
        <v>0.51</v>
      </c>
      <c r="J745" s="20">
        <f>VLOOKUP(A745,Metrik!$C$2:$Y$959,10,0)</f>
        <v>4.7</v>
      </c>
      <c r="K745" s="20">
        <f>VLOOKUP(A745,Metrik!$C$2:$Y$959,11,0)</f>
        <v>3.9</v>
      </c>
      <c r="L745" s="20">
        <f>VLOOKUP(A745,Metrik!$C$2:$Y$959,12,0)</f>
        <v>0.2</v>
      </c>
      <c r="M745" s="20">
        <f>VLOOKUP(A745,Metrik!$C$2:$Y$959,19,0)</f>
        <v>14.9</v>
      </c>
      <c r="N745" s="21"/>
      <c r="O745" s="21"/>
      <c r="P745" s="21"/>
      <c r="Q745" s="21"/>
      <c r="R745" s="21"/>
      <c r="S745" s="21"/>
      <c r="T745" s="21"/>
      <c r="U745" s="22">
        <f>IFERROR(__xludf.DUMMYFUNCTION("IFERROR(GOOGLEFINANCE(A745,""closeyest""),"""")"),15050.0)</f>
        <v>15050</v>
      </c>
      <c r="V745" s="23" t="str">
        <f>IFERROR(__xludf.DUMMYFUNCTION("IFERROR(GOOGLEFINANCE(A745,""changepct""),"""")"),"")</f>
        <v/>
      </c>
      <c r="W745" s="22">
        <f>IFERROR(__xludf.DUMMYFUNCTION("IFERROR(GOOGLEFINANCE(A745,""priceopen""),"""")"),15050.0)</f>
        <v>15050</v>
      </c>
      <c r="X745" s="22">
        <f>IFERROR(__xludf.DUMMYFUNCTION("IFERROR(GOOGLEFINANCE(A745,""high""),"""")"),15200.0)</f>
        <v>15200</v>
      </c>
      <c r="Y745" s="22">
        <f>IFERROR(__xludf.DUMMYFUNCTION("IFERROR(GOOGLEFINANCE(A745,""low""),"""")"),14825.0)</f>
        <v>14825</v>
      </c>
      <c r="Z745" s="22">
        <f>IFERROR(__xludf.DUMMYFUNCTION("IFERROR(GOOGLEFINANCE(A745,""volume""),"""")"),690400.0)</f>
        <v>690400</v>
      </c>
      <c r="AA745" s="24" t="str">
        <f>VLOOKUP(A745,Metrik!$C$2:$Y$959,5,0)</f>
        <v>Tobacco</v>
      </c>
      <c r="AB745" s="24" t="str">
        <f>VLOOKUP(A745,Metrik!$C$2:$Y$959,3,0)</f>
        <v>Consumer Non-Cyclicals</v>
      </c>
    </row>
    <row r="746">
      <c r="A746" s="17" t="s">
        <v>405</v>
      </c>
      <c r="B746" s="14" t="str">
        <f t="array" ref="B746">VLOOKUP(A746,{Metrik!$C$2:$C$998,Metrik!$B$2:$B$998},2,0)</f>
        <v>Gudang Garam Tbk</v>
      </c>
      <c r="C746" s="15">
        <f>IFERROR(__xludf.DUMMYFUNCTION("GOOGLEFINANCE(""IDX:""&amp;A746,""price"")"),15000.0)</f>
        <v>15000</v>
      </c>
      <c r="D746" s="16" t="str">
        <f>IFERROR(__xludf.DUMMYFUNCTION("IF(A746="""","""",
SPARKLINE(
INDEX(
GOOGLEFINANCE(""IDX:""&amp;A746,""close"",TODAY()-365,TODAY()),
,2
),
{""linewidth"",1}
))
"),"#N/A")</f>
        <v>#N/A</v>
      </c>
      <c r="E746" s="14" t="s">
        <v>28</v>
      </c>
      <c r="F746" s="17" t="s">
        <v>29</v>
      </c>
      <c r="G746" s="38">
        <f>COUNTIFS($B$2:$B$1934,B746,$E$2:$E$1934,"&lt;&gt;")</f>
        <v>4</v>
      </c>
      <c r="H746" s="19">
        <f>VLOOKUP(A746,Metrik!$C$2:$Y$959,8,0)</f>
        <v>10.9</v>
      </c>
      <c r="I746" s="20">
        <f>VLOOKUP(A746,Metrik!$C$2:$Y$959,9,0)</f>
        <v>0.51</v>
      </c>
      <c r="J746" s="20">
        <f>VLOOKUP(A746,Metrik!$C$2:$Y$959,10,0)</f>
        <v>4.7</v>
      </c>
      <c r="K746" s="20">
        <f>VLOOKUP(A746,Metrik!$C$2:$Y$959,11,0)</f>
        <v>3.9</v>
      </c>
      <c r="L746" s="20">
        <f>VLOOKUP(A746,Metrik!$C$2:$Y$959,12,0)</f>
        <v>0.2</v>
      </c>
      <c r="M746" s="20">
        <f>VLOOKUP(A746,Metrik!$C$2:$Y$959,19,0)</f>
        <v>14.9</v>
      </c>
      <c r="N746" s="21"/>
      <c r="O746" s="21"/>
      <c r="P746" s="21"/>
      <c r="Q746" s="21"/>
      <c r="R746" s="21"/>
      <c r="S746" s="21"/>
      <c r="T746" s="21"/>
      <c r="U746" s="22">
        <f>IFERROR(__xludf.DUMMYFUNCTION("IFERROR(GOOGLEFINANCE(A746,""closeyest""),"""")"),15050.0)</f>
        <v>15050</v>
      </c>
      <c r="V746" s="23" t="str">
        <f>IFERROR(__xludf.DUMMYFUNCTION("IFERROR(GOOGLEFINANCE(A746,""changepct""),"""")"),"")</f>
        <v/>
      </c>
      <c r="W746" s="22">
        <f>IFERROR(__xludf.DUMMYFUNCTION("IFERROR(GOOGLEFINANCE(A746,""priceopen""),"""")"),15050.0)</f>
        <v>15050</v>
      </c>
      <c r="X746" s="22">
        <f>IFERROR(__xludf.DUMMYFUNCTION("IFERROR(GOOGLEFINANCE(A746,""high""),"""")"),15200.0)</f>
        <v>15200</v>
      </c>
      <c r="Y746" s="22">
        <f>IFERROR(__xludf.DUMMYFUNCTION("IFERROR(GOOGLEFINANCE(A746,""low""),"""")"),14825.0)</f>
        <v>14825</v>
      </c>
      <c r="Z746" s="22">
        <f>IFERROR(__xludf.DUMMYFUNCTION("IFERROR(GOOGLEFINANCE(A746,""volume""),"""")"),690400.0)</f>
        <v>690400</v>
      </c>
      <c r="AA746" s="24" t="str">
        <f>VLOOKUP(A746,Metrik!$C$2:$Y$959,5,0)</f>
        <v>Tobacco</v>
      </c>
      <c r="AB746" s="24" t="str">
        <f>VLOOKUP(A746,Metrik!$C$2:$Y$959,3,0)</f>
        <v>Consumer Non-Cyclicals</v>
      </c>
    </row>
    <row r="747">
      <c r="A747" s="48" t="s">
        <v>405</v>
      </c>
      <c r="B747" s="14" t="str">
        <f t="array" ref="B747">VLOOKUP(A747,{Metrik!$C$2:$C$998,Metrik!$B$2:$B$998},2,0)</f>
        <v>Gudang Garam Tbk</v>
      </c>
      <c r="C747" s="15">
        <f>IFERROR(__xludf.DUMMYFUNCTION("GOOGLEFINANCE(""IDX:""&amp;A747,""price"")"),15000.0)</f>
        <v>15000</v>
      </c>
      <c r="D747" s="16" t="str">
        <f>IFERROR(__xludf.DUMMYFUNCTION("IF(A747="""","""",
SPARKLINE(
INDEX(
GOOGLEFINANCE(""IDX:""&amp;A747,""close"",TODAY()-365,TODAY()),
,2
),
{""linewidth"",1}
))
"),"#N/A")</f>
        <v>#N/A</v>
      </c>
      <c r="E747" s="17" t="s">
        <v>69</v>
      </c>
      <c r="F747" s="17" t="s">
        <v>70</v>
      </c>
      <c r="G747" s="24">
        <f t="shared" ref="G747:G838" si="6">COUNTIFS($B$2:$B$1937,B747,$E$2:$E$1937,"&lt;&gt;")</f>
        <v>4</v>
      </c>
      <c r="H747" s="19">
        <f>VLOOKUP(A747,Metrik!$C$2:$Y$959,8,0)</f>
        <v>10.9</v>
      </c>
      <c r="I747" s="20">
        <f>VLOOKUP(A747,Metrik!$C$2:$Y$959,9,0)</f>
        <v>0.51</v>
      </c>
      <c r="J747" s="20">
        <f>VLOOKUP(A747,Metrik!$C$2:$Y$959,10,0)</f>
        <v>4.7</v>
      </c>
      <c r="K747" s="20">
        <f>VLOOKUP(A747,Metrik!$C$2:$Y$959,11,0)</f>
        <v>3.9</v>
      </c>
      <c r="L747" s="20">
        <f>VLOOKUP(A747,Metrik!$C$2:$Y$959,12,0)</f>
        <v>0.2</v>
      </c>
      <c r="M747" s="20">
        <f>VLOOKUP(A747,Metrik!$C$2:$Y$959,19,0)</f>
        <v>14.9</v>
      </c>
      <c r="N747" s="21"/>
      <c r="O747" s="21"/>
      <c r="P747" s="21"/>
      <c r="Q747" s="21"/>
      <c r="R747" s="21"/>
      <c r="S747" s="21"/>
      <c r="T747" s="21"/>
      <c r="U747" s="22">
        <f>IFERROR(__xludf.DUMMYFUNCTION("IFERROR(GOOGLEFINANCE(A747,""closeyest""),"""")"),15050.0)</f>
        <v>15050</v>
      </c>
      <c r="V747" s="23" t="str">
        <f>IFERROR(__xludf.DUMMYFUNCTION("IFERROR(GOOGLEFINANCE(A747,""changepct""),"""")"),"")</f>
        <v/>
      </c>
      <c r="W747" s="22">
        <f>IFERROR(__xludf.DUMMYFUNCTION("IFERROR(GOOGLEFINANCE(A747,""priceopen""),"""")"),15050.0)</f>
        <v>15050</v>
      </c>
      <c r="X747" s="22">
        <f>IFERROR(__xludf.DUMMYFUNCTION("IFERROR(GOOGLEFINANCE(A747,""high""),"""")"),15200.0)</f>
        <v>15200</v>
      </c>
      <c r="Y747" s="22">
        <f>IFERROR(__xludf.DUMMYFUNCTION("IFERROR(GOOGLEFINANCE(A747,""low""),"""")"),14825.0)</f>
        <v>14825</v>
      </c>
      <c r="Z747" s="22">
        <f>IFERROR(__xludf.DUMMYFUNCTION("IFERROR(GOOGLEFINANCE(A747,""volume""),"""")"),690400.0)</f>
        <v>690400</v>
      </c>
      <c r="AA747" s="24" t="str">
        <f>VLOOKUP(A747,Metrik!$C$2:$Y$959,5,0)</f>
        <v>Tobacco</v>
      </c>
      <c r="AB747" s="24" t="str">
        <f>VLOOKUP(A747,Metrik!$C$2:$Y$959,3,0)</f>
        <v>Consumer Non-Cyclicals</v>
      </c>
    </row>
    <row r="748">
      <c r="A748" s="17" t="s">
        <v>405</v>
      </c>
      <c r="B748" s="14" t="str">
        <f t="array" ref="B748">VLOOKUP(A748,{Metrik!$C$2:$C$998,Metrik!$B$2:$B$998},2,0)</f>
        <v>Gudang Garam Tbk</v>
      </c>
      <c r="C748" s="15">
        <f>IFERROR(__xludf.DUMMYFUNCTION("GOOGLEFINANCE(""IDX:""&amp;A748,""price"")"),15000.0)</f>
        <v>15000</v>
      </c>
      <c r="D748" s="16" t="str">
        <f>IFERROR(__xludf.DUMMYFUNCTION("IF(A748="""","""",
SPARKLINE(
INDEX(
GOOGLEFINANCE(""IDX:""&amp;A748,""close"",TODAY()-365,TODAY()),
,2
),
{""linewidth"",1}
))
"),"#N/A")</f>
        <v>#N/A</v>
      </c>
      <c r="E748" s="14" t="s">
        <v>35</v>
      </c>
      <c r="F748" s="17" t="s">
        <v>36</v>
      </c>
      <c r="G748" s="38">
        <f t="shared" si="6"/>
        <v>4</v>
      </c>
      <c r="H748" s="34">
        <f>VLOOKUP(A748,Metrik!$C$2:$Y$959,8,0)</f>
        <v>10.9</v>
      </c>
      <c r="I748" s="34">
        <f>VLOOKUP(A748,Metrik!$C$2:$Y$959,9,0)</f>
        <v>0.51</v>
      </c>
      <c r="J748" s="34">
        <f>VLOOKUP(A748,Metrik!$C$2:$Y$959,10,0)</f>
        <v>4.7</v>
      </c>
      <c r="K748" s="34">
        <f>VLOOKUP(A748,Metrik!$C$2:$Y$959,11,0)</f>
        <v>3.9</v>
      </c>
      <c r="L748" s="34">
        <f>VLOOKUP(A748,Metrik!$C$2:$Y$959,12,0)</f>
        <v>0.2</v>
      </c>
      <c r="M748" s="34">
        <f>VLOOKUP(A748,Metrik!$C$2:$Y$959,19,0)</f>
        <v>14.9</v>
      </c>
      <c r="N748" s="26"/>
      <c r="O748" s="26"/>
      <c r="P748" s="26"/>
      <c r="Q748" s="26"/>
      <c r="R748" s="26"/>
      <c r="S748" s="26"/>
      <c r="T748" s="26"/>
      <c r="U748" s="35">
        <f>IFERROR(__xludf.DUMMYFUNCTION("IFERROR(GOOGLEFINANCE(A748,""closeyest""),"""")"),15050.0)</f>
        <v>15050</v>
      </c>
      <c r="V748" s="36" t="str">
        <f>IFERROR(__xludf.DUMMYFUNCTION("IFERROR(GOOGLEFINANCE(A748,""changepct""),"""")"),"")</f>
        <v/>
      </c>
      <c r="W748" s="35">
        <f>IFERROR(__xludf.DUMMYFUNCTION("IFERROR(GOOGLEFINANCE(A748,""priceopen""),"""")"),15050.0)</f>
        <v>15050</v>
      </c>
      <c r="X748" s="35">
        <f>IFERROR(__xludf.DUMMYFUNCTION("IFERROR(GOOGLEFINANCE(A748,""high""),"""")"),15200.0)</f>
        <v>15200</v>
      </c>
      <c r="Y748" s="35">
        <f>IFERROR(__xludf.DUMMYFUNCTION("IFERROR(GOOGLEFINANCE(A748,""low""),"""")"),14825.0)</f>
        <v>14825</v>
      </c>
      <c r="Z748" s="35">
        <f>IFERROR(__xludf.DUMMYFUNCTION("IFERROR(GOOGLEFINANCE(A748,""volume""),"""")"),690400.0)</f>
        <v>690400</v>
      </c>
      <c r="AA748" s="14" t="str">
        <f>VLOOKUP(A748,Metrik!$C$2:$Y$959,5,0)</f>
        <v>Tobacco</v>
      </c>
      <c r="AB748" s="14" t="str">
        <f>VLOOKUP(A748,Metrik!$C$2:$Y$959,3,0)</f>
        <v>Consumer Non-Cyclicals</v>
      </c>
    </row>
    <row r="749">
      <c r="A749" s="14" t="s">
        <v>406</v>
      </c>
      <c r="B749" s="14" t="str">
        <f t="array" ref="B749">VLOOKUP(A749,{Metrik!$C$2:$C$998,Metrik!$B$2:$B$998},2,0)</f>
        <v>Gunung Raja Paksi Tbk.</v>
      </c>
      <c r="C749" s="15">
        <f>IFERROR(__xludf.DUMMYFUNCTION("GOOGLEFINANCE(""IDX:""&amp;A749,""price"")"),292.0)</f>
        <v>292</v>
      </c>
      <c r="D749" s="16" t="str">
        <f>IFERROR(__xludf.DUMMYFUNCTION("IF(A749="""","""",
SPARKLINE(
INDEX(
GOOGLEFINANCE(""IDX:""&amp;A749,""close"",TODAY()-365,TODAY()),
,2
),
{""linewidth"",1}
))
"),"#N/A")</f>
        <v>#N/A</v>
      </c>
      <c r="E749" s="26"/>
      <c r="F749" s="26"/>
      <c r="G749" s="24">
        <f t="shared" si="6"/>
        <v>0</v>
      </c>
      <c r="H749" s="19">
        <f>VLOOKUP(A749,Metrik!$C$2:$Y$959,8,0)</f>
        <v>-6.9</v>
      </c>
      <c r="I749" s="20">
        <f>VLOOKUP(A749,Metrik!$C$2:$Y$959,9,0)</f>
        <v>0.32</v>
      </c>
      <c r="J749" s="20">
        <f>VLOOKUP(A749,Metrik!$C$2:$Y$959,10,0)</f>
        <v>-4.6</v>
      </c>
      <c r="K749" s="20">
        <f>VLOOKUP(A749,Metrik!$C$2:$Y$959,11,0)</f>
        <v>-3.9</v>
      </c>
      <c r="L749" s="20">
        <f>VLOOKUP(A749,Metrik!$C$2:$Y$959,12,0)</f>
        <v>0.18</v>
      </c>
      <c r="M749" s="20">
        <f>VLOOKUP(A749,Metrik!$C$2:$Y$959,19,0)</f>
        <v>-65.3</v>
      </c>
      <c r="N749" s="21"/>
      <c r="O749" s="21"/>
      <c r="P749" s="21"/>
      <c r="Q749" s="21"/>
      <c r="R749" s="21"/>
      <c r="S749" s="21"/>
      <c r="T749" s="21"/>
      <c r="U749" s="22">
        <f>IFERROR(__xludf.DUMMYFUNCTION("IFERROR(GOOGLEFINANCE(A749,""closeyest""),"""")"),0.85)</f>
        <v>0.85</v>
      </c>
      <c r="V749" s="23">
        <f>IFERROR(__xludf.DUMMYFUNCTION("IFERROR(GOOGLEFINANCE(A749,""changepct""),"""")"),-5.05)</f>
        <v>-5.05</v>
      </c>
      <c r="W749" s="22">
        <f>IFERROR(__xludf.DUMMYFUNCTION("IFERROR(GOOGLEFINANCE(A749,""priceopen""),"""")"),0.81)</f>
        <v>0.81</v>
      </c>
      <c r="X749" s="22">
        <f>IFERROR(__xludf.DUMMYFUNCTION("IFERROR(GOOGLEFINANCE(A749,""high""),"""")"),0.85)</f>
        <v>0.85</v>
      </c>
      <c r="Y749" s="22">
        <f>IFERROR(__xludf.DUMMYFUNCTION("IFERROR(GOOGLEFINANCE(A749,""low""),"""")"),0.78)</f>
        <v>0.78</v>
      </c>
      <c r="Z749" s="22">
        <f>IFERROR(__xludf.DUMMYFUNCTION("IFERROR(GOOGLEFINANCE(A749,""volume""),"""")"),55882.0)</f>
        <v>55882</v>
      </c>
      <c r="AA749" s="24" t="str">
        <f>VLOOKUP(A749,Metrik!$C$2:$Y$959,5,0)</f>
        <v>Metals &amp; Minerals</v>
      </c>
      <c r="AB749" s="24" t="str">
        <f>VLOOKUP(A749,Metrik!$C$2:$Y$959,3,0)</f>
        <v>Basic Materials</v>
      </c>
    </row>
    <row r="750">
      <c r="A750" s="14" t="s">
        <v>407</v>
      </c>
      <c r="B750" s="14" t="str">
        <f t="array" ref="B750">VLOOKUP(A750,{Metrik!$C$2:$C$998,Metrik!$B$2:$B$998},2,0)</f>
        <v>Gihon Telekomunikasi Indonesia Tbk.</v>
      </c>
      <c r="C750" s="15">
        <f>IFERROR(__xludf.DUMMYFUNCTION("GOOGLEFINANCE(""IDX:""&amp;A750,""price"")"),1925.0)</f>
        <v>1925</v>
      </c>
      <c r="D750" s="16" t="str">
        <f>IFERROR(__xludf.DUMMYFUNCTION("IF(A750="""","""",
SPARKLINE(
INDEX(
GOOGLEFINANCE(""IDX:""&amp;A750,""close"",TODAY()-365,TODAY()),
,2
),
{""linewidth"",1}
))
"),"#N/A")</f>
        <v>#N/A</v>
      </c>
      <c r="E750" s="26"/>
      <c r="F750" s="26"/>
      <c r="G750" s="24">
        <f t="shared" si="6"/>
        <v>0</v>
      </c>
      <c r="H750" s="19">
        <f>VLOOKUP(A750,Metrik!$C$2:$Y$959,8,0)</f>
        <v>13.5</v>
      </c>
      <c r="I750" s="20">
        <f>VLOOKUP(A750,Metrik!$C$2:$Y$959,9,0)</f>
        <v>1.3</v>
      </c>
      <c r="J750" s="20">
        <f>VLOOKUP(A750,Metrik!$C$2:$Y$959,10,0)</f>
        <v>9.3</v>
      </c>
      <c r="K750" s="20">
        <f>VLOOKUP(A750,Metrik!$C$2:$Y$959,11,0)</f>
        <v>5.2</v>
      </c>
      <c r="L750" s="20">
        <f>VLOOKUP(A750,Metrik!$C$2:$Y$959,12,0)</f>
        <v>0.79</v>
      </c>
      <c r="M750" s="20">
        <f>VLOOKUP(A750,Metrik!$C$2:$Y$959,19,0)</f>
        <v>140</v>
      </c>
      <c r="N750" s="21"/>
      <c r="O750" s="21"/>
      <c r="P750" s="21"/>
      <c r="Q750" s="21"/>
      <c r="R750" s="21"/>
      <c r="S750" s="21"/>
      <c r="T750" s="21"/>
      <c r="U750" s="22">
        <f>IFERROR(__xludf.DUMMYFUNCTION("IFERROR(GOOGLEFINANCE(A750,""closeyest""),"""")"),1890.0)</f>
        <v>1890</v>
      </c>
      <c r="V750" s="23">
        <f>IFERROR(__xludf.DUMMYFUNCTION("IFERROR(GOOGLEFINANCE(A750,""changepct""),"""")"),1.85)</f>
        <v>1.85</v>
      </c>
      <c r="W750" s="22">
        <f>IFERROR(__xludf.DUMMYFUNCTION("IFERROR(GOOGLEFINANCE(A750,""priceopen""),"""")"),1920.0)</f>
        <v>1920</v>
      </c>
      <c r="X750" s="22">
        <f>IFERROR(__xludf.DUMMYFUNCTION("IFERROR(GOOGLEFINANCE(A750,""high""),"""")"),1950.0)</f>
        <v>1950</v>
      </c>
      <c r="Y750" s="22">
        <f>IFERROR(__xludf.DUMMYFUNCTION("IFERROR(GOOGLEFINANCE(A750,""low""),"""")"),1910.0)</f>
        <v>1910</v>
      </c>
      <c r="Z750" s="22" t="str">
        <f>IFERROR(__xludf.DUMMYFUNCTION("IFERROR(GOOGLEFINANCE(A750,""volume""),"""")"),"")</f>
        <v/>
      </c>
      <c r="AA750" s="24" t="str">
        <f>VLOOKUP(A750,Metrik!$C$2:$Y$959,5,0)</f>
        <v>Wireless Telecommunication Services</v>
      </c>
      <c r="AB750" s="24" t="str">
        <f>VLOOKUP(A750,Metrik!$C$2:$Y$959,3,0)</f>
        <v>Infrastructures</v>
      </c>
    </row>
    <row r="751">
      <c r="A751" s="14" t="s">
        <v>408</v>
      </c>
      <c r="B751" s="14" t="str">
        <f t="array" ref="B751">VLOOKUP(A751,{Metrik!$C$2:$C$998,Metrik!$B$2:$B$998},2,0)</f>
        <v>Garuda Indonesia (Persero) Tbk.</v>
      </c>
      <c r="C751" s="15">
        <f>IFERROR(__xludf.DUMMYFUNCTION("GOOGLEFINANCE(""IDX:""&amp;A751,""price"")"),56.0)</f>
        <v>56</v>
      </c>
      <c r="D751" s="16" t="str">
        <f>IFERROR(__xludf.DUMMYFUNCTION("IF(A751="""","""",
SPARKLINE(
INDEX(
GOOGLEFINANCE(""IDX:""&amp;A751,""close"",TODAY()-365,TODAY()),
,2
),
{""linewidth"",1}
))
"),"#N/A")</f>
        <v>#N/A</v>
      </c>
      <c r="E751" s="26"/>
      <c r="F751" s="26"/>
      <c r="G751" s="24">
        <f t="shared" si="6"/>
        <v>0</v>
      </c>
      <c r="H751" s="19">
        <f>VLOOKUP(A751,Metrik!$C$2:$Y$959,8,0)</f>
        <v>-4.8</v>
      </c>
      <c r="I751" s="20">
        <f>VLOOKUP(A751,Metrik!$C$2:$Y$959,9,0)</f>
        <v>20.4</v>
      </c>
      <c r="J751" s="20">
        <f>VLOOKUP(A751,Metrik!$C$2:$Y$959,10,0)</f>
        <v>-430</v>
      </c>
      <c r="K751" s="20">
        <f>VLOOKUP(A751,Metrik!$C$2:$Y$959,11,0)</f>
        <v>-3.9</v>
      </c>
      <c r="L751" s="20">
        <f>VLOOKUP(A751,Metrik!$C$2:$Y$959,12,0)</f>
        <v>110</v>
      </c>
      <c r="M751" s="20">
        <f>VLOOKUP(A751,Metrik!$C$2:$Y$959,19,0)</f>
        <v>-38</v>
      </c>
      <c r="N751" s="21"/>
      <c r="O751" s="21"/>
      <c r="P751" s="21"/>
      <c r="Q751" s="21"/>
      <c r="R751" s="21"/>
      <c r="S751" s="21"/>
      <c r="T751" s="21"/>
      <c r="U751" s="22">
        <f>IFERROR(__xludf.DUMMYFUNCTION("IFERROR(GOOGLEFINANCE(A751,""closeyest""),"""")"),54.0)</f>
        <v>54</v>
      </c>
      <c r="V751" s="23">
        <f>IFERROR(__xludf.DUMMYFUNCTION("IFERROR(GOOGLEFINANCE(A751,""changepct""),"""")"),3.7)</f>
        <v>3.7</v>
      </c>
      <c r="W751" s="22">
        <f>IFERROR(__xludf.DUMMYFUNCTION("IFERROR(GOOGLEFINANCE(A751,""priceopen""),"""")"),54.0)</f>
        <v>54</v>
      </c>
      <c r="X751" s="22">
        <f>IFERROR(__xludf.DUMMYFUNCTION("IFERROR(GOOGLEFINANCE(A751,""high""),"""")"),57.0)</f>
        <v>57</v>
      </c>
      <c r="Y751" s="22">
        <f>IFERROR(__xludf.DUMMYFUNCTION("IFERROR(GOOGLEFINANCE(A751,""low""),"""")"),54.0)</f>
        <v>54</v>
      </c>
      <c r="Z751" s="22">
        <f>IFERROR(__xludf.DUMMYFUNCTION("IFERROR(GOOGLEFINANCE(A751,""volume""),"""")"),3.56703E7)</f>
        <v>35670300</v>
      </c>
      <c r="AA751" s="24" t="str">
        <f>VLOOKUP(A751,Metrik!$C$2:$Y$959,5,0)</f>
        <v>Airlines</v>
      </c>
      <c r="AB751" s="24" t="str">
        <f>VLOOKUP(A751,Metrik!$C$2:$Y$959,3,0)</f>
        <v>Transportation &amp; Logistic</v>
      </c>
    </row>
    <row r="752">
      <c r="A752" s="14" t="s">
        <v>409</v>
      </c>
      <c r="B752" s="14" t="str">
        <f t="array" ref="B752">VLOOKUP(A752,{Metrik!$C$2:$C$998,Metrik!$B$2:$B$998},2,0)</f>
        <v>Gajah Tunggal Tbk.</v>
      </c>
      <c r="C752" s="15">
        <f>IFERROR(__xludf.DUMMYFUNCTION("GOOGLEFINANCE(""IDX:""&amp;A752,""price"")"),1100.0)</f>
        <v>1100</v>
      </c>
      <c r="D752" s="16" t="str">
        <f>IFERROR(__xludf.DUMMYFUNCTION("IF(A752="""","""",
SPARKLINE(
INDEX(
GOOGLEFINANCE(""IDX:""&amp;A752,""close"",TODAY()-365,TODAY()),
,2
),
{""linewidth"",1}
))
"),"#N/A")</f>
        <v>#N/A</v>
      </c>
      <c r="E752" s="14" t="s">
        <v>55</v>
      </c>
      <c r="F752" s="25">
        <v>46356.0</v>
      </c>
      <c r="G752" s="24">
        <f t="shared" si="6"/>
        <v>1</v>
      </c>
      <c r="H752" s="19">
        <f>VLOOKUP(A752,Metrik!$C$2:$Y$959,8,0)</f>
        <v>3.3</v>
      </c>
      <c r="I752" s="20">
        <f>VLOOKUP(A752,Metrik!$C$2:$Y$959,9,0)</f>
        <v>0.39</v>
      </c>
      <c r="J752" s="20">
        <f>VLOOKUP(A752,Metrik!$C$2:$Y$959,10,0)</f>
        <v>11.7</v>
      </c>
      <c r="K752" s="20">
        <f>VLOOKUP(A752,Metrik!$C$2:$Y$959,11,0)</f>
        <v>5.7</v>
      </c>
      <c r="L752" s="20">
        <f>VLOOKUP(A752,Metrik!$C$2:$Y$959,12,0)</f>
        <v>1.1</v>
      </c>
      <c r="M752" s="20">
        <f>VLOOKUP(A752,Metrik!$C$2:$Y$959,19,0)</f>
        <v>30.3</v>
      </c>
      <c r="N752" s="21"/>
      <c r="O752" s="21"/>
      <c r="P752" s="21"/>
      <c r="Q752" s="21"/>
      <c r="R752" s="21"/>
      <c r="S752" s="21"/>
      <c r="T752" s="21"/>
      <c r="U752" s="22">
        <f>IFERROR(__xludf.DUMMYFUNCTION("IFERROR(GOOGLEFINANCE(A752,""closeyest""),"""")"),1075.0)</f>
        <v>1075</v>
      </c>
      <c r="V752" s="23">
        <f>IFERROR(__xludf.DUMMYFUNCTION("IFERROR(GOOGLEFINANCE(A752,""changepct""),"""")"),2.33)</f>
        <v>2.33</v>
      </c>
      <c r="W752" s="22">
        <f>IFERROR(__xludf.DUMMYFUNCTION("IFERROR(GOOGLEFINANCE(A752,""priceopen""),"""")"),1075.0)</f>
        <v>1075</v>
      </c>
      <c r="X752" s="22">
        <f>IFERROR(__xludf.DUMMYFUNCTION("IFERROR(GOOGLEFINANCE(A752,""high""),"""")"),1110.0)</f>
        <v>1110</v>
      </c>
      <c r="Y752" s="22">
        <f>IFERROR(__xludf.DUMMYFUNCTION("IFERROR(GOOGLEFINANCE(A752,""low""),"""")"),1075.0)</f>
        <v>1075</v>
      </c>
      <c r="Z752" s="22">
        <f>IFERROR(__xludf.DUMMYFUNCTION("IFERROR(GOOGLEFINANCE(A752,""volume""),"""")"),2252900.0)</f>
        <v>2252900</v>
      </c>
      <c r="AA752" s="24" t="str">
        <f>VLOOKUP(A752,Metrik!$C$2:$Y$959,5,0)</f>
        <v>Auto Components</v>
      </c>
      <c r="AB752" s="24" t="str">
        <f>VLOOKUP(A752,Metrik!$C$2:$Y$959,3,0)</f>
        <v>Consumer Cyclicals</v>
      </c>
    </row>
    <row r="753">
      <c r="A753" s="14" t="s">
        <v>410</v>
      </c>
      <c r="B753" s="14" t="str">
        <f t="array" ref="B753">VLOOKUP(A753,{Metrik!$C$2:$C$998,Metrik!$B$2:$B$998},2,0)</f>
        <v>Globe Kita Terang Tbk.</v>
      </c>
      <c r="C753" s="15">
        <f>IFERROR(__xludf.DUMMYFUNCTION("GOOGLEFINANCE(""IDX:""&amp;A753,""price"")"),155.0)</f>
        <v>155</v>
      </c>
      <c r="D753" s="16" t="str">
        <f>IFERROR(__xludf.DUMMYFUNCTION("IF(A753="""","""",
SPARKLINE(
INDEX(
GOOGLEFINANCE(""IDX:""&amp;A753,""close"",TODAY()-365,TODAY()),
,2
),
{""linewidth"",1}
))
"),"#N/A")</f>
        <v>#N/A</v>
      </c>
      <c r="E753" s="26"/>
      <c r="F753" s="26"/>
      <c r="G753" s="24">
        <f t="shared" si="6"/>
        <v>0</v>
      </c>
      <c r="H753" s="19">
        <f>VLOOKUP(A753,Metrik!$C$2:$Y$959,8,0)</f>
        <v>-1.6</v>
      </c>
      <c r="I753" s="20">
        <f>VLOOKUP(A753,Metrik!$C$2:$Y$959,9,0)</f>
        <v>-0.14</v>
      </c>
      <c r="J753" s="20">
        <f>VLOOKUP(A753,Metrik!$C$2:$Y$959,10,0)</f>
        <v>0</v>
      </c>
      <c r="K753" s="20">
        <f>VLOOKUP(A753,Metrik!$C$2:$Y$959,11,0)</f>
        <v>-3380</v>
      </c>
      <c r="L753" s="20">
        <f>VLOOKUP(A753,Metrik!$C$2:$Y$959,12,0)</f>
        <v>-1</v>
      </c>
      <c r="M753" s="20">
        <f>VLOOKUP(A753,Metrik!$C$2:$Y$959,19,0)</f>
        <v>-1710</v>
      </c>
      <c r="N753" s="21"/>
      <c r="O753" s="21"/>
      <c r="P753" s="21"/>
      <c r="Q753" s="21"/>
      <c r="R753" s="21"/>
      <c r="S753" s="21"/>
      <c r="T753" s="21"/>
      <c r="U753" s="22">
        <f>IFERROR(__xludf.DUMMYFUNCTION("IFERROR(GOOGLEFINANCE(A753,""closeyest""),"""")"),36.42)</f>
        <v>36.42</v>
      </c>
      <c r="V753" s="23">
        <f>IFERROR(__xludf.DUMMYFUNCTION("IFERROR(GOOGLEFINANCE(A753,""changepct""),"""")"),2.94)</f>
        <v>2.94</v>
      </c>
      <c r="W753" s="22">
        <f>IFERROR(__xludf.DUMMYFUNCTION("IFERROR(GOOGLEFINANCE(A753,""priceopen""),"""")"),36.41)</f>
        <v>36.41</v>
      </c>
      <c r="X753" s="22">
        <f>IFERROR(__xludf.DUMMYFUNCTION("IFERROR(GOOGLEFINANCE(A753,""high""),"""")"),38.03)</f>
        <v>38.03</v>
      </c>
      <c r="Y753" s="22">
        <f>IFERROR(__xludf.DUMMYFUNCTION("IFERROR(GOOGLEFINANCE(A753,""low""),"""")"),35.5)</f>
        <v>35.5</v>
      </c>
      <c r="Z753" s="22">
        <f>IFERROR(__xludf.DUMMYFUNCTION("IFERROR(GOOGLEFINANCE(A753,""volume""),"""")"),1097428.0)</f>
        <v>1097428</v>
      </c>
      <c r="AA753" s="24" t="str">
        <f>VLOOKUP(A753,Metrik!$C$2:$Y$959,5,0)</f>
        <v>Specialty Retail</v>
      </c>
      <c r="AB753" s="24" t="str">
        <f>VLOOKUP(A753,Metrik!$C$2:$Y$959,3,0)</f>
        <v>Consumer Cyclicals</v>
      </c>
    </row>
    <row r="754">
      <c r="A754" s="14" t="s">
        <v>411</v>
      </c>
      <c r="B754" s="14" t="str">
        <f t="array" ref="B754">VLOOKUP(A754,{Metrik!$C$2:$C$998,Metrik!$B$2:$B$998},2,0)</f>
        <v>Galva Technologies Tbk.</v>
      </c>
      <c r="C754" s="15">
        <f>IFERROR(__xludf.DUMMYFUNCTION("GOOGLEFINANCE(""IDX:""&amp;A754,""price"")"),304.0)</f>
        <v>304</v>
      </c>
      <c r="D754" s="16" t="str">
        <f>IFERROR(__xludf.DUMMYFUNCTION("IF(A754="""","""",
SPARKLINE(
INDEX(
GOOGLEFINANCE(""IDX:""&amp;A754,""close"",TODAY()-365,TODAY()),
,2
),
{""linewidth"",1}
))
"),"#N/A")</f>
        <v>#N/A</v>
      </c>
      <c r="E754" s="26"/>
      <c r="F754" s="26"/>
      <c r="G754" s="24">
        <f t="shared" si="6"/>
        <v>0</v>
      </c>
      <c r="H754" s="19">
        <f>VLOOKUP(A754,Metrik!$C$2:$Y$959,8,0)</f>
        <v>17.3</v>
      </c>
      <c r="I754" s="20">
        <f>VLOOKUP(A754,Metrik!$C$2:$Y$959,9,0)</f>
        <v>1.1</v>
      </c>
      <c r="J754" s="20">
        <f>VLOOKUP(A754,Metrik!$C$2:$Y$959,10,0)</f>
        <v>6.1</v>
      </c>
      <c r="K754" s="20">
        <f>VLOOKUP(A754,Metrik!$C$2:$Y$959,11,0)</f>
        <v>2.8</v>
      </c>
      <c r="L754" s="20">
        <f>VLOOKUP(A754,Metrik!$C$2:$Y$959,12,0)</f>
        <v>1.2</v>
      </c>
      <c r="M754" s="20">
        <f>VLOOKUP(A754,Metrik!$C$2:$Y$959,19,0)</f>
        <v>7.7</v>
      </c>
      <c r="N754" s="21"/>
      <c r="O754" s="21"/>
      <c r="P754" s="21"/>
      <c r="Q754" s="21"/>
      <c r="R754" s="21"/>
      <c r="S754" s="21"/>
      <c r="T754" s="21"/>
      <c r="U754" s="22">
        <f>IFERROR(__xludf.DUMMYFUNCTION("IFERROR(GOOGLEFINANCE(A754,""closeyest""),"""")"),300.0)</f>
        <v>300</v>
      </c>
      <c r="V754" s="23">
        <f>IFERROR(__xludf.DUMMYFUNCTION("IFERROR(GOOGLEFINANCE(A754,""changepct""),"""")"),1.33)</f>
        <v>1.33</v>
      </c>
      <c r="W754" s="22">
        <f>IFERROR(__xludf.DUMMYFUNCTION("IFERROR(GOOGLEFINANCE(A754,""priceopen""),"""")"),312.0)</f>
        <v>312</v>
      </c>
      <c r="X754" s="22">
        <f>IFERROR(__xludf.DUMMYFUNCTION("IFERROR(GOOGLEFINANCE(A754,""high""),"""")"),320.0)</f>
        <v>320</v>
      </c>
      <c r="Y754" s="22">
        <f>IFERROR(__xludf.DUMMYFUNCTION("IFERROR(GOOGLEFINANCE(A754,""low""),"""")"),304.0)</f>
        <v>304</v>
      </c>
      <c r="Z754" s="22">
        <f>IFERROR(__xludf.DUMMYFUNCTION("IFERROR(GOOGLEFINANCE(A754,""volume""),"""")"),10300.0)</f>
        <v>10300</v>
      </c>
      <c r="AA754" s="24" t="str">
        <f>VLOOKUP(A754,Metrik!$C$2:$Y$959,5,0)</f>
        <v>Electronic Equipment, Instruments &amp; Components</v>
      </c>
      <c r="AB754" s="24" t="str">
        <f>VLOOKUP(A754,Metrik!$C$2:$Y$959,3,0)</f>
        <v>Technology</v>
      </c>
    </row>
    <row r="755">
      <c r="A755" s="14" t="s">
        <v>412</v>
      </c>
      <c r="B755" s="14" t="str">
        <f t="array" ref="B755">VLOOKUP(A755,{Metrik!$C$2:$C$998,Metrik!$B$2:$B$998},2,0)</f>
        <v>Garuda Maintenance Facility Aero Asia Tbk.</v>
      </c>
      <c r="C755" s="15">
        <f>IFERROR(__xludf.DUMMYFUNCTION("GOOGLEFINANCE(""IDX:""&amp;A755,""price"")"),52.0)</f>
        <v>52</v>
      </c>
      <c r="D755" s="16" t="str">
        <f>IFERROR(__xludf.DUMMYFUNCTION("IF(A755="""","""",
SPARKLINE(
INDEX(
GOOGLEFINANCE(""IDX:""&amp;A755,""close"",TODAY()-365,TODAY()),
,2
),
{""linewidth"",1}
))
"),"#N/A")</f>
        <v>#N/A</v>
      </c>
      <c r="E755" s="26"/>
      <c r="F755" s="26"/>
      <c r="G755" s="24">
        <f t="shared" si="6"/>
        <v>0</v>
      </c>
      <c r="H755" s="19">
        <f>VLOOKUP(A755,Metrik!$C$2:$Y$959,8,0)</f>
        <v>10.6</v>
      </c>
      <c r="I755" s="20">
        <f>VLOOKUP(A755,Metrik!$C$2:$Y$959,9,0)</f>
        <v>2.8</v>
      </c>
      <c r="J755" s="20">
        <f>VLOOKUP(A755,Metrik!$C$2:$Y$959,10,0)</f>
        <v>26</v>
      </c>
      <c r="K755" s="20">
        <f>VLOOKUP(A755,Metrik!$C$2:$Y$959,11,0)</f>
        <v>4</v>
      </c>
      <c r="L755" s="20">
        <f>VLOOKUP(A755,Metrik!$C$2:$Y$959,12,0)</f>
        <v>5.5</v>
      </c>
      <c r="M755" s="20">
        <f>VLOOKUP(A755,Metrik!$C$2:$Y$959,19,0)</f>
        <v>31.8</v>
      </c>
      <c r="N755" s="21"/>
      <c r="O755" s="21"/>
      <c r="P755" s="21"/>
      <c r="Q755" s="21"/>
      <c r="R755" s="21"/>
      <c r="S755" s="21"/>
      <c r="T755" s="21"/>
      <c r="U755" s="22">
        <f>IFERROR(__xludf.DUMMYFUNCTION("IFERROR(GOOGLEFINANCE(A755,""closeyest""),"""")"),50.0)</f>
        <v>50</v>
      </c>
      <c r="V755" s="23">
        <f>IFERROR(__xludf.DUMMYFUNCTION("IFERROR(GOOGLEFINANCE(A755,""changepct""),"""")"),4.0)</f>
        <v>4</v>
      </c>
      <c r="W755" s="22">
        <f>IFERROR(__xludf.DUMMYFUNCTION("IFERROR(GOOGLEFINANCE(A755,""priceopen""),"""")"),50.0)</f>
        <v>50</v>
      </c>
      <c r="X755" s="22">
        <f>IFERROR(__xludf.DUMMYFUNCTION("IFERROR(GOOGLEFINANCE(A755,""high""),"""")"),53.0)</f>
        <v>53</v>
      </c>
      <c r="Y755" s="22">
        <f>IFERROR(__xludf.DUMMYFUNCTION("IFERROR(GOOGLEFINANCE(A755,""low""),"""")"),50.0)</f>
        <v>50</v>
      </c>
      <c r="Z755" s="22">
        <f>IFERROR(__xludf.DUMMYFUNCTION("IFERROR(GOOGLEFINANCE(A755,""volume""),"""")"),7.94604E7)</f>
        <v>79460400</v>
      </c>
      <c r="AA755" s="24" t="str">
        <f>VLOOKUP(A755,Metrik!$C$2:$Y$959,5,0)</f>
        <v>Transport Infrastructure Operator</v>
      </c>
      <c r="AB755" s="24" t="str">
        <f>VLOOKUP(A755,Metrik!$C$2:$Y$959,3,0)</f>
        <v>Infrastructures</v>
      </c>
    </row>
    <row r="756">
      <c r="A756" s="14" t="s">
        <v>413</v>
      </c>
      <c r="B756" s="14" t="str">
        <f t="array" ref="B756">VLOOKUP(A756,{Metrik!$C$2:$C$998,Metrik!$B$2:$B$998},2,0)</f>
        <v>Gowa Makassar Tourism Development Tbk.</v>
      </c>
      <c r="C756" s="15">
        <f>IFERROR(__xludf.DUMMYFUNCTION("GOOGLEFINANCE(""IDX:""&amp;A756,""price"")"),1380.0)</f>
        <v>1380</v>
      </c>
      <c r="D756" s="16" t="str">
        <f>IFERROR(__xludf.DUMMYFUNCTION("IF(A756="""","""",
SPARKLINE(
INDEX(
GOOGLEFINANCE(""IDX:""&amp;A756,""close"",TODAY()-365,TODAY()),
,2
),
{""linewidth"",1}
))
"),"#N/A")</f>
        <v>#N/A</v>
      </c>
      <c r="E756" s="26"/>
      <c r="F756" s="26"/>
      <c r="G756" s="24">
        <f t="shared" si="6"/>
        <v>0</v>
      </c>
      <c r="H756" s="19">
        <f>VLOOKUP(A756,Metrik!$C$2:$Y$959,8,0)</f>
        <v>54.6</v>
      </c>
      <c r="I756" s="20">
        <f>VLOOKUP(A756,Metrik!$C$2:$Y$959,9,0)</f>
        <v>2</v>
      </c>
      <c r="J756" s="20">
        <f>VLOOKUP(A756,Metrik!$C$2:$Y$959,10,0)</f>
        <v>3.7</v>
      </c>
      <c r="K756" s="20">
        <f>VLOOKUP(A756,Metrik!$C$2:$Y$959,11,0)</f>
        <v>2.3</v>
      </c>
      <c r="L756" s="20">
        <f>VLOOKUP(A756,Metrik!$C$2:$Y$959,12,0)</f>
        <v>0.63</v>
      </c>
      <c r="M756" s="20">
        <f>VLOOKUP(A756,Metrik!$C$2:$Y$959,19,0)</f>
        <v>11.2</v>
      </c>
      <c r="N756" s="21"/>
      <c r="O756" s="21"/>
      <c r="P756" s="21"/>
      <c r="Q756" s="21"/>
      <c r="R756" s="21"/>
      <c r="S756" s="21"/>
      <c r="T756" s="21"/>
      <c r="U756" s="22">
        <f>IFERROR(__xludf.DUMMYFUNCTION("IFERROR(GOOGLEFINANCE(A756,""closeyest""),"""")"),1350.0)</f>
        <v>1350</v>
      </c>
      <c r="V756" s="23">
        <f>IFERROR(__xludf.DUMMYFUNCTION("IFERROR(GOOGLEFINANCE(A756,""changepct""),"""")"),2.22)</f>
        <v>2.22</v>
      </c>
      <c r="W756" s="22">
        <f>IFERROR(__xludf.DUMMYFUNCTION("IFERROR(GOOGLEFINANCE(A756,""priceopen""),"""")"),1325.0)</f>
        <v>1325</v>
      </c>
      <c r="X756" s="22">
        <f>IFERROR(__xludf.DUMMYFUNCTION("IFERROR(GOOGLEFINANCE(A756,""high""),"""")"),1380.0)</f>
        <v>1380</v>
      </c>
      <c r="Y756" s="22">
        <f>IFERROR(__xludf.DUMMYFUNCTION("IFERROR(GOOGLEFINANCE(A756,""low""),"""")"),1325.0)</f>
        <v>1325</v>
      </c>
      <c r="Z756" s="22">
        <f>IFERROR(__xludf.DUMMYFUNCTION("IFERROR(GOOGLEFINANCE(A756,""volume""),"""")"),4200.0)</f>
        <v>4200</v>
      </c>
      <c r="AA756" s="24" t="str">
        <f>VLOOKUP(A756,Metrik!$C$2:$Y$959,5,0)</f>
        <v>Real Estate Management &amp; Development</v>
      </c>
      <c r="AB756" s="24" t="str">
        <f>VLOOKUP(A756,Metrik!$C$2:$Y$959,3,0)</f>
        <v>Properties &amp; Real Estate</v>
      </c>
    </row>
    <row r="757">
      <c r="A757" s="14" t="s">
        <v>414</v>
      </c>
      <c r="B757" s="14" t="str">
        <f t="array" ref="B757">VLOOKUP(A757,{Metrik!$C$2:$C$998,Metrik!$B$2:$B$998},2,0)</f>
        <v>PT Visi Telekomunikasi Infrastruktur Tbk.</v>
      </c>
      <c r="C757" s="15">
        <f>IFERROR(__xludf.DUMMYFUNCTION("GOOGLEFINANCE(""IDX:""&amp;A757,""price"")"),242.0)</f>
        <v>242</v>
      </c>
      <c r="D757" s="16" t="str">
        <f>IFERROR(__xludf.DUMMYFUNCTION("IF(A757="""","""",
SPARKLINE(
INDEX(
GOOGLEFINANCE(""IDX:""&amp;A757,""close"",TODAY()-365,TODAY()),
,2
),
{""linewidth"",1}
))
"),"#N/A")</f>
        <v>#N/A</v>
      </c>
      <c r="E757" s="26"/>
      <c r="F757" s="26"/>
      <c r="G757" s="24">
        <f t="shared" si="6"/>
        <v>0</v>
      </c>
      <c r="H757" s="19">
        <f>VLOOKUP(A757,Metrik!$C$2:$Y$959,8,0)</f>
        <v>17.3</v>
      </c>
      <c r="I757" s="20">
        <f>VLOOKUP(A757,Metrik!$C$2:$Y$959,9,0)</f>
        <v>0.76</v>
      </c>
      <c r="J757" s="20">
        <f>VLOOKUP(A757,Metrik!$C$2:$Y$959,10,0)</f>
        <v>4.4</v>
      </c>
      <c r="K757" s="20">
        <f>VLOOKUP(A757,Metrik!$C$2:$Y$959,11,0)</f>
        <v>4.1</v>
      </c>
      <c r="L757" s="20">
        <f>VLOOKUP(A757,Metrik!$C$2:$Y$959,12,0)</f>
        <v>0.08</v>
      </c>
      <c r="M757" s="20">
        <f>VLOOKUP(A757,Metrik!$C$2:$Y$959,19,0)</f>
        <v>130</v>
      </c>
      <c r="N757" s="21"/>
      <c r="O757" s="21"/>
      <c r="P757" s="21"/>
      <c r="Q757" s="21"/>
      <c r="R757" s="21"/>
      <c r="S757" s="21"/>
      <c r="T757" s="21"/>
      <c r="U757" s="22">
        <f>IFERROR(__xludf.DUMMYFUNCTION("IFERROR(GOOGLEFINANCE(A757,""closeyest""),"""")"),43.29)</f>
        <v>43.29</v>
      </c>
      <c r="V757" s="23">
        <f>IFERROR(__xludf.DUMMYFUNCTION("IFERROR(GOOGLEFINANCE(A757,""changepct""),"""")"),2.17)</f>
        <v>2.17</v>
      </c>
      <c r="W757" s="22">
        <f>IFERROR(__xludf.DUMMYFUNCTION("IFERROR(GOOGLEFINANCE(A757,""priceopen""),"""")"),43.3)</f>
        <v>43.3</v>
      </c>
      <c r="X757" s="22">
        <f>IFERROR(__xludf.DUMMYFUNCTION("IFERROR(GOOGLEFINANCE(A757,""high""),"""")"),44.35)</f>
        <v>44.35</v>
      </c>
      <c r="Y757" s="22">
        <f>IFERROR(__xludf.DUMMYFUNCTION("IFERROR(GOOGLEFINANCE(A757,""low""),"""")"),42.61)</f>
        <v>42.61</v>
      </c>
      <c r="Z757" s="22">
        <f>IFERROR(__xludf.DUMMYFUNCTION("IFERROR(GOOGLEFINANCE(A757,""volume""),"""")"),412935.0)</f>
        <v>412935</v>
      </c>
      <c r="AA757" s="24" t="str">
        <f>VLOOKUP(A757,Metrik!$C$2:$Y$959,5,0)</f>
        <v>Wireless Telecommunication Services</v>
      </c>
      <c r="AB757" s="24" t="str">
        <f>VLOOKUP(A757,Metrik!$C$2:$Y$959,3,0)</f>
        <v>Infrastructures</v>
      </c>
    </row>
    <row r="758">
      <c r="A758" s="14" t="s">
        <v>415</v>
      </c>
      <c r="B758" s="14" t="str">
        <f t="array" ref="B758">VLOOKUP(A758,{Metrik!$C$2:$C$998,Metrik!$B$2:$B$998},2,0)</f>
        <v>Intra Golflink Resorts Tbk.</v>
      </c>
      <c r="C758" s="15">
        <f>IFERROR(__xludf.DUMMYFUNCTION("GOOGLEFINANCE(""IDX:""&amp;A758,""price"")"),168.0)</f>
        <v>168</v>
      </c>
      <c r="D758" s="16" t="str">
        <f>IFERROR(__xludf.DUMMYFUNCTION("IF(A758="""","""",
SPARKLINE(
INDEX(
GOOGLEFINANCE(""IDX:""&amp;A758,""close"",TODAY()-365,TODAY()),
,2
),
{""linewidth"",1}
))
"),"#N/A")</f>
        <v>#N/A</v>
      </c>
      <c r="E758" s="26"/>
      <c r="F758" s="26"/>
      <c r="G758" s="24">
        <f t="shared" si="6"/>
        <v>0</v>
      </c>
      <c r="H758" s="19">
        <f>VLOOKUP(A758,Metrik!$C$2:$Y$959,8,0)</f>
        <v>59.9</v>
      </c>
      <c r="I758" s="20">
        <f>VLOOKUP(A758,Metrik!$C$2:$Y$959,9,0)</f>
        <v>0.39</v>
      </c>
      <c r="J758" s="20">
        <f>VLOOKUP(A758,Metrik!$C$2:$Y$959,10,0)</f>
        <v>0.65</v>
      </c>
      <c r="K758" s="20">
        <f>VLOOKUP(A758,Metrik!$C$2:$Y$959,11,0)</f>
        <v>0.6</v>
      </c>
      <c r="L758" s="20">
        <f>VLOOKUP(A758,Metrik!$C$2:$Y$959,12,0)</f>
        <v>0.08</v>
      </c>
      <c r="M758" s="20">
        <f>VLOOKUP(A758,Metrik!$C$2:$Y$959,19,0)</f>
        <v>180</v>
      </c>
      <c r="N758" s="21"/>
      <c r="O758" s="21"/>
      <c r="P758" s="21"/>
      <c r="Q758" s="21"/>
      <c r="R758" s="21"/>
      <c r="S758" s="21"/>
      <c r="T758" s="21"/>
      <c r="U758" s="22">
        <f>IFERROR(__xludf.DUMMYFUNCTION("IFERROR(GOOGLEFINANCE(A758,""closeyest""),"""")"),99.44)</f>
        <v>99.44</v>
      </c>
      <c r="V758" s="23">
        <f>IFERROR(__xludf.DUMMYFUNCTION("IFERROR(GOOGLEFINANCE(A758,""changepct""),"""")"),-1.29)</f>
        <v>-1.29</v>
      </c>
      <c r="W758" s="22">
        <f>IFERROR(__xludf.DUMMYFUNCTION("IFERROR(GOOGLEFINANCE(A758,""priceopen""),"""")"),99.95)</f>
        <v>99.95</v>
      </c>
      <c r="X758" s="22">
        <f>IFERROR(__xludf.DUMMYFUNCTION("IFERROR(GOOGLEFINANCE(A758,""high""),"""")"),101.06)</f>
        <v>101.06</v>
      </c>
      <c r="Y758" s="22">
        <f>IFERROR(__xludf.DUMMYFUNCTION("IFERROR(GOOGLEFINANCE(A758,""low""),"""")"),97.98)</f>
        <v>97.98</v>
      </c>
      <c r="Z758" s="22">
        <f>IFERROR(__xludf.DUMMYFUNCTION("IFERROR(GOOGLEFINANCE(A758,""volume""),"""")"),370170.0)</f>
        <v>370170</v>
      </c>
      <c r="AA758" s="24" t="str">
        <f>VLOOKUP(A758,Metrik!$C$2:$Y$959,5,0)</f>
        <v>Tourism &amp; Recreation</v>
      </c>
      <c r="AB758" s="24" t="str">
        <f>VLOOKUP(A758,Metrik!$C$2:$Y$959,3,0)</f>
        <v>Consumer Cyclicals</v>
      </c>
    </row>
    <row r="759">
      <c r="A759" s="14" t="s">
        <v>416</v>
      </c>
      <c r="B759" s="14" t="str">
        <f t="array" ref="B759">VLOOKUP(A759,{Metrik!$C$2:$C$998,Metrik!$B$2:$B$998},2,0)</f>
        <v>PT Golden Plantation Tbk</v>
      </c>
      <c r="C759" s="15">
        <f>IFERROR(__xludf.DUMMYFUNCTION("GOOGLEFINANCE(""IDX:""&amp;A759,""price"")"),50.0)</f>
        <v>50</v>
      </c>
      <c r="D759" s="16" t="str">
        <f>IFERROR(__xludf.DUMMYFUNCTION("IF(A759="""","""",
SPARKLINE(
INDEX(
GOOGLEFINANCE(""IDX:""&amp;A759,""close"",TODAY()-365,TODAY()),
,2
),
{""linewidth"",1}
))
"),"#N/A")</f>
        <v>#N/A</v>
      </c>
      <c r="E759" s="26"/>
      <c r="F759" s="26"/>
      <c r="G759" s="24">
        <f t="shared" si="6"/>
        <v>0</v>
      </c>
      <c r="H759" s="19">
        <f>VLOOKUP(A759,Metrik!$C$2:$Y$959,8,0)</f>
        <v>0</v>
      </c>
      <c r="I759" s="20">
        <f>VLOOKUP(A759,Metrik!$C$2:$Y$959,9,0)</f>
        <v>2.3</v>
      </c>
      <c r="J759" s="20">
        <f>VLOOKUP(A759,Metrik!$C$2:$Y$959,10,0)</f>
        <v>-21.3</v>
      </c>
      <c r="K759" s="20">
        <f>VLOOKUP(A759,Metrik!$C$2:$Y$959,11,0)</f>
        <v>-3.5</v>
      </c>
      <c r="L759" s="20">
        <f>VLOOKUP(A759,Metrik!$C$2:$Y$959,12,0)</f>
        <v>5</v>
      </c>
      <c r="M759" s="20">
        <f>VLOOKUP(A759,Metrik!$C$2:$Y$959,19,0)</f>
        <v>-450</v>
      </c>
      <c r="N759" s="21"/>
      <c r="O759" s="21"/>
      <c r="P759" s="21"/>
      <c r="Q759" s="21"/>
      <c r="R759" s="21"/>
      <c r="S759" s="21"/>
      <c r="T759" s="21"/>
      <c r="U759" s="22">
        <f>IFERROR(__xludf.DUMMYFUNCTION("IFERROR(GOOGLEFINANCE(A759,""closeyest""),"""")"),50.0)</f>
        <v>50</v>
      </c>
      <c r="V759" s="23">
        <f>IFERROR(__xludf.DUMMYFUNCTION("IFERROR(GOOGLEFINANCE(A759,""changepct""),"""")"),0.0)</f>
        <v>0</v>
      </c>
      <c r="W759" s="22" t="str">
        <f>IFERROR(__xludf.DUMMYFUNCTION("IFERROR(GOOGLEFINANCE(A759,""priceopen""),"""")"),"")</f>
        <v/>
      </c>
      <c r="X759" s="22" t="str">
        <f>IFERROR(__xludf.DUMMYFUNCTION("IFERROR(GOOGLEFINANCE(A759,""high""),"""")"),"")</f>
        <v/>
      </c>
      <c r="Y759" s="22" t="str">
        <f>IFERROR(__xludf.DUMMYFUNCTION("IFERROR(GOOGLEFINANCE(A759,""low""),"""")"),"")</f>
        <v/>
      </c>
      <c r="Z759" s="22">
        <f>IFERROR(__xludf.DUMMYFUNCTION("IFERROR(GOOGLEFINANCE(A759,""volume""),"""")"),0.0)</f>
        <v>0</v>
      </c>
      <c r="AA759" s="24" t="str">
        <f>VLOOKUP(A759,Metrik!$C$2:$Y$959,5,0)</f>
        <v>Agricultural Products</v>
      </c>
      <c r="AB759" s="24" t="str">
        <f>VLOOKUP(A759,Metrik!$C$2:$Y$959,3,0)</f>
        <v>Consumer Non-Cyclicals</v>
      </c>
    </row>
    <row r="760">
      <c r="A760" s="14" t="s">
        <v>417</v>
      </c>
      <c r="B760" s="14" t="str">
        <f t="array" ref="B760">VLOOKUP(A760,{Metrik!$C$2:$C$998,Metrik!$B$2:$B$998},2,0)</f>
        <v>Garudafood Putra Putri Jaya Tbk.</v>
      </c>
      <c r="C760" s="15">
        <f>IFERROR(__xludf.DUMMYFUNCTION("GOOGLEFINANCE(""IDX:""&amp;A760,""price"")"),322.0)</f>
        <v>322</v>
      </c>
      <c r="D760" s="16" t="str">
        <f>IFERROR(__xludf.DUMMYFUNCTION("IF(A760="""","""",
SPARKLINE(
INDEX(
GOOGLEFINANCE(""IDX:""&amp;A760,""close"",TODAY()-365,TODAY()),
,2
),
{""linewidth"",1}
))
"),"#N/A")</f>
        <v>#N/A</v>
      </c>
      <c r="E760" s="26"/>
      <c r="F760" s="26"/>
      <c r="G760" s="24">
        <f t="shared" si="6"/>
        <v>0</v>
      </c>
      <c r="H760" s="19">
        <f>VLOOKUP(A760,Metrik!$C$2:$Y$959,8,0)</f>
        <v>17.8</v>
      </c>
      <c r="I760" s="20">
        <f>VLOOKUP(A760,Metrik!$C$2:$Y$959,9,0)</f>
        <v>2.7</v>
      </c>
      <c r="J760" s="20">
        <f>VLOOKUP(A760,Metrik!$C$2:$Y$959,10,0)</f>
        <v>15.3</v>
      </c>
      <c r="K760" s="20">
        <f>VLOOKUP(A760,Metrik!$C$2:$Y$959,11,0)</f>
        <v>7.2</v>
      </c>
      <c r="L760" s="20">
        <f>VLOOKUP(A760,Metrik!$C$2:$Y$959,12,0)</f>
        <v>1.1</v>
      </c>
      <c r="M760" s="20">
        <f>VLOOKUP(A760,Metrik!$C$2:$Y$959,19,0)</f>
        <v>19.6</v>
      </c>
      <c r="N760" s="21"/>
      <c r="O760" s="21"/>
      <c r="P760" s="21"/>
      <c r="Q760" s="21"/>
      <c r="R760" s="21"/>
      <c r="S760" s="21"/>
      <c r="T760" s="21"/>
      <c r="U760" s="22">
        <f>IFERROR(__xludf.DUMMYFUNCTION("IFERROR(GOOGLEFINANCE(A760,""closeyest""),"""")"),12.65)</f>
        <v>12.65</v>
      </c>
      <c r="V760" s="23">
        <f>IFERROR(__xludf.DUMMYFUNCTION("IFERROR(GOOGLEFINANCE(A760,""changepct""),"""")"),-0.87)</f>
        <v>-0.87</v>
      </c>
      <c r="W760" s="22">
        <f>IFERROR(__xludf.DUMMYFUNCTION("IFERROR(GOOGLEFINANCE(A760,""priceopen""),"""")"),12.7)</f>
        <v>12.7</v>
      </c>
      <c r="X760" s="22">
        <f>IFERROR(__xludf.DUMMYFUNCTION("IFERROR(GOOGLEFINANCE(A760,""high""),"""")"),12.78)</f>
        <v>12.78</v>
      </c>
      <c r="Y760" s="22">
        <f>IFERROR(__xludf.DUMMYFUNCTION("IFERROR(GOOGLEFINANCE(A760,""low""),"""")"),12.53)</f>
        <v>12.53</v>
      </c>
      <c r="Z760" s="22">
        <f>IFERROR(__xludf.DUMMYFUNCTION("IFERROR(GOOGLEFINANCE(A760,""volume""),"""")"),424701.0)</f>
        <v>424701</v>
      </c>
      <c r="AA760" s="24" t="str">
        <f>VLOOKUP(A760,Metrik!$C$2:$Y$959,5,0)</f>
        <v>Processed Foods</v>
      </c>
      <c r="AB760" s="24" t="str">
        <f>VLOOKUP(A760,Metrik!$C$2:$Y$959,3,0)</f>
        <v>Consumer Non-Cyclicals</v>
      </c>
    </row>
    <row r="761">
      <c r="A761" s="17" t="s">
        <v>418</v>
      </c>
      <c r="B761" s="14" t="str">
        <f t="array" ref="B761">VLOOKUP(A761,{Metrik!$C$2:$C$998,Metrik!$B$2:$B$998},2,0)</f>
        <v>GoTo Gojek Tokopedia Tbk.</v>
      </c>
      <c r="C761" s="15">
        <f>IFERROR(__xludf.DUMMYFUNCTION("GOOGLEFINANCE(""IDX:""&amp;A761,""price"")"),50.0)</f>
        <v>50</v>
      </c>
      <c r="D761" s="16" t="str">
        <f>IFERROR(__xludf.DUMMYFUNCTION("IF(A761="""","""",
SPARKLINE(
INDEX(
GOOGLEFINANCE(""IDX:""&amp;A761,""close"",TODAY()-365,TODAY()),
,2
),
{""linewidth"",1}
))
"),"#N/A")</f>
        <v>#N/A</v>
      </c>
      <c r="E761" s="14" t="s">
        <v>128</v>
      </c>
      <c r="F761" s="17" t="s">
        <v>36</v>
      </c>
      <c r="G761" s="24">
        <f t="shared" si="6"/>
        <v>6</v>
      </c>
      <c r="H761" s="19">
        <f>VLOOKUP(A761,Metrik!$C$2:$Y$959,8,0)</f>
        <v>-88.5</v>
      </c>
      <c r="I761" s="20">
        <f>VLOOKUP(A761,Metrik!$C$2:$Y$959,9,0)</f>
        <v>2</v>
      </c>
      <c r="J761" s="20">
        <f>VLOOKUP(A761,Metrik!$C$2:$Y$959,10,0)</f>
        <v>-2.2</v>
      </c>
      <c r="K761" s="20">
        <f>VLOOKUP(A761,Metrik!$C$2:$Y$959,11,0)</f>
        <v>-1.4</v>
      </c>
      <c r="L761" s="20">
        <f>VLOOKUP(A761,Metrik!$C$2:$Y$959,12,0)</f>
        <v>0.62</v>
      </c>
      <c r="M761" s="20">
        <f>VLOOKUP(A761,Metrik!$C$2:$Y$959,19,0)</f>
        <v>-12.1</v>
      </c>
      <c r="N761" s="21"/>
      <c r="O761" s="21"/>
      <c r="P761" s="21"/>
      <c r="Q761" s="21"/>
      <c r="R761" s="21"/>
      <c r="S761" s="21"/>
      <c r="T761" s="21"/>
      <c r="U761" s="22">
        <f>IFERROR(__xludf.DUMMYFUNCTION("IFERROR(GOOGLEFINANCE(A761,""closeyest""),"""")"),50.0)</f>
        <v>50</v>
      </c>
      <c r="V761" s="23">
        <f>IFERROR(__xludf.DUMMYFUNCTION("IFERROR(GOOGLEFINANCE(A761,""changepct""),"""")"),0.0)</f>
        <v>0</v>
      </c>
      <c r="W761" s="22">
        <f>IFERROR(__xludf.DUMMYFUNCTION("IFERROR(GOOGLEFINANCE(A761,""priceopen""),"""")"),50.0)</f>
        <v>50</v>
      </c>
      <c r="X761" s="22">
        <f>IFERROR(__xludf.DUMMYFUNCTION("IFERROR(GOOGLEFINANCE(A761,""high""),"""")"),50.0)</f>
        <v>50</v>
      </c>
      <c r="Y761" s="22">
        <f>IFERROR(__xludf.DUMMYFUNCTION("IFERROR(GOOGLEFINANCE(A761,""low""),"""")"),50.0)</f>
        <v>50</v>
      </c>
      <c r="Z761" s="22">
        <f>IFERROR(__xludf.DUMMYFUNCTION("IFERROR(GOOGLEFINANCE(A761,""volume""),"""")"),6.7675E7)</f>
        <v>67675000</v>
      </c>
      <c r="AA761" s="24" t="str">
        <f>VLOOKUP(A761,Metrik!$C$2:$Y$959,5,0)</f>
        <v>Software</v>
      </c>
      <c r="AB761" s="24" t="str">
        <f>VLOOKUP(A761,Metrik!$C$2:$Y$959,3,0)</f>
        <v>Technology</v>
      </c>
    </row>
    <row r="762">
      <c r="A762" s="14" t="s">
        <v>418</v>
      </c>
      <c r="B762" s="14" t="str">
        <f t="array" ref="B762">VLOOKUP(A762,{Metrik!$C$2:$C$998,Metrik!$B$2:$B$998},2,0)</f>
        <v>GoTo Gojek Tokopedia Tbk.</v>
      </c>
      <c r="C762" s="15">
        <f>IFERROR(__xludf.DUMMYFUNCTION("GOOGLEFINANCE(""IDX:""&amp;A762,""price"")"),50.0)</f>
        <v>50</v>
      </c>
      <c r="D762" s="16" t="str">
        <f>IFERROR(__xludf.DUMMYFUNCTION("IF(A762="""","""",
SPARKLINE(
INDEX(
GOOGLEFINANCE(""IDX:""&amp;A762,""close"",TODAY()-365,TODAY()),
,2
),
{""linewidth"",1}
))
"),"#N/A")</f>
        <v>#N/A</v>
      </c>
      <c r="E762" s="14" t="s">
        <v>28</v>
      </c>
      <c r="F762" s="17" t="s">
        <v>29</v>
      </c>
      <c r="G762" s="24">
        <f t="shared" si="6"/>
        <v>6</v>
      </c>
      <c r="H762" s="19">
        <f>VLOOKUP(A762,Metrik!$C$2:$Y$959,8,0)</f>
        <v>-88.5</v>
      </c>
      <c r="I762" s="20">
        <f>VLOOKUP(A762,Metrik!$C$2:$Y$959,9,0)</f>
        <v>2</v>
      </c>
      <c r="J762" s="20">
        <f>VLOOKUP(A762,Metrik!$C$2:$Y$959,10,0)</f>
        <v>-2.2</v>
      </c>
      <c r="K762" s="20">
        <f>VLOOKUP(A762,Metrik!$C$2:$Y$959,11,0)</f>
        <v>-1.4</v>
      </c>
      <c r="L762" s="20">
        <f>VLOOKUP(A762,Metrik!$C$2:$Y$959,12,0)</f>
        <v>0.62</v>
      </c>
      <c r="M762" s="20">
        <f>VLOOKUP(A762,Metrik!$C$2:$Y$959,19,0)</f>
        <v>-12.1</v>
      </c>
      <c r="N762" s="21"/>
      <c r="O762" s="21"/>
      <c r="P762" s="21"/>
      <c r="Q762" s="21"/>
      <c r="R762" s="21"/>
      <c r="S762" s="21"/>
      <c r="T762" s="21"/>
      <c r="U762" s="22">
        <f>IFERROR(__xludf.DUMMYFUNCTION("IFERROR(GOOGLEFINANCE(A762,""closeyest""),"""")"),50.0)</f>
        <v>50</v>
      </c>
      <c r="V762" s="23">
        <f>IFERROR(__xludf.DUMMYFUNCTION("IFERROR(GOOGLEFINANCE(A762,""changepct""),"""")"),0.0)</f>
        <v>0</v>
      </c>
      <c r="W762" s="22">
        <f>IFERROR(__xludf.DUMMYFUNCTION("IFERROR(GOOGLEFINANCE(A762,""priceopen""),"""")"),50.0)</f>
        <v>50</v>
      </c>
      <c r="X762" s="22">
        <f>IFERROR(__xludf.DUMMYFUNCTION("IFERROR(GOOGLEFINANCE(A762,""high""),"""")"),50.0)</f>
        <v>50</v>
      </c>
      <c r="Y762" s="22">
        <f>IFERROR(__xludf.DUMMYFUNCTION("IFERROR(GOOGLEFINANCE(A762,""low""),"""")"),50.0)</f>
        <v>50</v>
      </c>
      <c r="Z762" s="22">
        <f>IFERROR(__xludf.DUMMYFUNCTION("IFERROR(GOOGLEFINANCE(A762,""volume""),"""")"),6.7675E7)</f>
        <v>67675000</v>
      </c>
      <c r="AA762" s="24" t="str">
        <f>VLOOKUP(A762,Metrik!$C$2:$Y$959,5,0)</f>
        <v>Software</v>
      </c>
      <c r="AB762" s="24" t="str">
        <f>VLOOKUP(A762,Metrik!$C$2:$Y$959,3,0)</f>
        <v>Technology</v>
      </c>
    </row>
    <row r="763">
      <c r="A763" s="14" t="s">
        <v>418</v>
      </c>
      <c r="B763" s="14" t="str">
        <f t="array" ref="B763">VLOOKUP(A763,{Metrik!$C$2:$C$998,Metrik!$B$2:$B$998},2,0)</f>
        <v>GoTo Gojek Tokopedia Tbk.</v>
      </c>
      <c r="C763" s="15">
        <f>IFERROR(__xludf.DUMMYFUNCTION("GOOGLEFINANCE(""IDX:""&amp;A763,""price"")"),50.0)</f>
        <v>50</v>
      </c>
      <c r="D763" s="16" t="str">
        <f>IFERROR(__xludf.DUMMYFUNCTION("IF(A763="""","""",
SPARKLINE(
INDEX(
GOOGLEFINANCE(""IDX:""&amp;A763,""close"",TODAY()-365,TODAY()),
,2
),
{""linewidth"",1}
))
"),"#N/A")</f>
        <v>#N/A</v>
      </c>
      <c r="E763" s="14" t="s">
        <v>31</v>
      </c>
      <c r="F763" s="17" t="s">
        <v>29</v>
      </c>
      <c r="G763" s="24">
        <f t="shared" si="6"/>
        <v>6</v>
      </c>
      <c r="H763" s="19">
        <f>VLOOKUP(A763,Metrik!$C$2:$Y$959,8,0)</f>
        <v>-88.5</v>
      </c>
      <c r="I763" s="20">
        <f>VLOOKUP(A763,Metrik!$C$2:$Y$959,9,0)</f>
        <v>2</v>
      </c>
      <c r="J763" s="20">
        <f>VLOOKUP(A763,Metrik!$C$2:$Y$959,10,0)</f>
        <v>-2.2</v>
      </c>
      <c r="K763" s="20">
        <f>VLOOKUP(A763,Metrik!$C$2:$Y$959,11,0)</f>
        <v>-1.4</v>
      </c>
      <c r="L763" s="20">
        <f>VLOOKUP(A763,Metrik!$C$2:$Y$959,12,0)</f>
        <v>0.62</v>
      </c>
      <c r="M763" s="20">
        <f>VLOOKUP(A763,Metrik!$C$2:$Y$959,19,0)</f>
        <v>-12.1</v>
      </c>
      <c r="N763" s="21"/>
      <c r="O763" s="21"/>
      <c r="P763" s="21"/>
      <c r="Q763" s="21"/>
      <c r="R763" s="21"/>
      <c r="S763" s="21"/>
      <c r="T763" s="21"/>
      <c r="U763" s="22">
        <f>IFERROR(__xludf.DUMMYFUNCTION("IFERROR(GOOGLEFINANCE(A763,""closeyest""),"""")"),50.0)</f>
        <v>50</v>
      </c>
      <c r="V763" s="23">
        <f>IFERROR(__xludf.DUMMYFUNCTION("IFERROR(GOOGLEFINANCE(A763,""changepct""),"""")"),0.0)</f>
        <v>0</v>
      </c>
      <c r="W763" s="22">
        <f>IFERROR(__xludf.DUMMYFUNCTION("IFERROR(GOOGLEFINANCE(A763,""priceopen""),"""")"),50.0)</f>
        <v>50</v>
      </c>
      <c r="X763" s="22">
        <f>IFERROR(__xludf.DUMMYFUNCTION("IFERROR(GOOGLEFINANCE(A763,""high""),"""")"),50.0)</f>
        <v>50</v>
      </c>
      <c r="Y763" s="22">
        <f>IFERROR(__xludf.DUMMYFUNCTION("IFERROR(GOOGLEFINANCE(A763,""low""),"""")"),50.0)</f>
        <v>50</v>
      </c>
      <c r="Z763" s="22">
        <f>IFERROR(__xludf.DUMMYFUNCTION("IFERROR(GOOGLEFINANCE(A763,""volume""),"""")"),6.7675E7)</f>
        <v>67675000</v>
      </c>
      <c r="AA763" s="24" t="str">
        <f>VLOOKUP(A763,Metrik!$C$2:$Y$959,5,0)</f>
        <v>Software</v>
      </c>
      <c r="AB763" s="24" t="str">
        <f>VLOOKUP(A763,Metrik!$C$2:$Y$959,3,0)</f>
        <v>Technology</v>
      </c>
    </row>
    <row r="764">
      <c r="A764" s="14" t="s">
        <v>418</v>
      </c>
      <c r="B764" s="14" t="str">
        <f t="array" ref="B764">VLOOKUP(A764,{Metrik!$C$2:$C$998,Metrik!$B$2:$B$998},2,0)</f>
        <v>GoTo Gojek Tokopedia Tbk.</v>
      </c>
      <c r="C764" s="15">
        <f>IFERROR(__xludf.DUMMYFUNCTION("GOOGLEFINANCE(""IDX:""&amp;A764,""price"")"),50.0)</f>
        <v>50</v>
      </c>
      <c r="D764" s="16" t="str">
        <f>IFERROR(__xludf.DUMMYFUNCTION("IF(A764="""","""",
SPARKLINE(
INDEX(
GOOGLEFINANCE(""IDX:""&amp;A764,""close"",TODAY()-365,TODAY()),
,2
),
{""linewidth"",1}
))
"),"#N/A")</f>
        <v>#N/A</v>
      </c>
      <c r="E764" s="14" t="s">
        <v>30</v>
      </c>
      <c r="F764" s="17" t="s">
        <v>29</v>
      </c>
      <c r="G764" s="24">
        <f t="shared" si="6"/>
        <v>6</v>
      </c>
      <c r="H764" s="19">
        <f>VLOOKUP(A764,Metrik!$C$2:$Y$959,8,0)</f>
        <v>-88.5</v>
      </c>
      <c r="I764" s="20">
        <f>VLOOKUP(A764,Metrik!$C$2:$Y$959,9,0)</f>
        <v>2</v>
      </c>
      <c r="J764" s="20">
        <f>VLOOKUP(A764,Metrik!$C$2:$Y$959,10,0)</f>
        <v>-2.2</v>
      </c>
      <c r="K764" s="20">
        <f>VLOOKUP(A764,Metrik!$C$2:$Y$959,11,0)</f>
        <v>-1.4</v>
      </c>
      <c r="L764" s="20">
        <f>VLOOKUP(A764,Metrik!$C$2:$Y$959,12,0)</f>
        <v>0.62</v>
      </c>
      <c r="M764" s="20">
        <f>VLOOKUP(A764,Metrik!$C$2:$Y$959,19,0)</f>
        <v>-12.1</v>
      </c>
      <c r="N764" s="21"/>
      <c r="O764" s="21"/>
      <c r="P764" s="21"/>
      <c r="Q764" s="21"/>
      <c r="R764" s="21"/>
      <c r="S764" s="21"/>
      <c r="T764" s="21"/>
      <c r="U764" s="22">
        <f>IFERROR(__xludf.DUMMYFUNCTION("IFERROR(GOOGLEFINANCE(A764,""closeyest""),"""")"),50.0)</f>
        <v>50</v>
      </c>
      <c r="V764" s="23">
        <f>IFERROR(__xludf.DUMMYFUNCTION("IFERROR(GOOGLEFINANCE(A764,""changepct""),"""")"),0.0)</f>
        <v>0</v>
      </c>
      <c r="W764" s="22">
        <f>IFERROR(__xludf.DUMMYFUNCTION("IFERROR(GOOGLEFINANCE(A764,""priceopen""),"""")"),50.0)</f>
        <v>50</v>
      </c>
      <c r="X764" s="22">
        <f>IFERROR(__xludf.DUMMYFUNCTION("IFERROR(GOOGLEFINANCE(A764,""high""),"""")"),50.0)</f>
        <v>50</v>
      </c>
      <c r="Y764" s="22">
        <f>IFERROR(__xludf.DUMMYFUNCTION("IFERROR(GOOGLEFINANCE(A764,""low""),"""")"),50.0)</f>
        <v>50</v>
      </c>
      <c r="Z764" s="22">
        <f>IFERROR(__xludf.DUMMYFUNCTION("IFERROR(GOOGLEFINANCE(A764,""volume""),"""")"),6.7675E7)</f>
        <v>67675000</v>
      </c>
      <c r="AA764" s="24" t="str">
        <f>VLOOKUP(A764,Metrik!$C$2:$Y$959,5,0)</f>
        <v>Software</v>
      </c>
      <c r="AB764" s="24" t="str">
        <f>VLOOKUP(A764,Metrik!$C$2:$Y$959,3,0)</f>
        <v>Technology</v>
      </c>
    </row>
    <row r="765">
      <c r="A765" s="14" t="s">
        <v>418</v>
      </c>
      <c r="B765" s="14" t="str">
        <f t="array" ref="B765">VLOOKUP(A765,{Metrik!$C$2:$C$998,Metrik!$B$2:$B$998},2,0)</f>
        <v>GoTo Gojek Tokopedia Tbk.</v>
      </c>
      <c r="C765" s="15">
        <f>IFERROR(__xludf.DUMMYFUNCTION("GOOGLEFINANCE(""IDX:""&amp;A765,""price"")"),50.0)</f>
        <v>50</v>
      </c>
      <c r="D765" s="16" t="str">
        <f>IFERROR(__xludf.DUMMYFUNCTION("IF(A765="""","""",
SPARKLINE(
INDEX(
GOOGLEFINANCE(""IDX:""&amp;A765,""close"",TODAY()-365,TODAY()),
,2
),
{""linewidth"",1}
))
"),"#N/A")</f>
        <v>#N/A</v>
      </c>
      <c r="E765" s="14" t="s">
        <v>32</v>
      </c>
      <c r="F765" s="14" t="s">
        <v>29</v>
      </c>
      <c r="G765" s="24">
        <f t="shared" si="6"/>
        <v>6</v>
      </c>
      <c r="H765" s="19">
        <f>VLOOKUP(A765,Metrik!$C$2:$Y$959,8,0)</f>
        <v>-88.5</v>
      </c>
      <c r="I765" s="20">
        <f>VLOOKUP(A765,Metrik!$C$2:$Y$959,9,0)</f>
        <v>2</v>
      </c>
      <c r="J765" s="20">
        <f>VLOOKUP(A765,Metrik!$C$2:$Y$959,10,0)</f>
        <v>-2.2</v>
      </c>
      <c r="K765" s="20">
        <f>VLOOKUP(A765,Metrik!$C$2:$Y$959,11,0)</f>
        <v>-1.4</v>
      </c>
      <c r="L765" s="20">
        <f>VLOOKUP(A765,Metrik!$C$2:$Y$959,12,0)</f>
        <v>0.62</v>
      </c>
      <c r="M765" s="20">
        <f>VLOOKUP(A765,Metrik!$C$2:$Y$959,19,0)</f>
        <v>-12.1</v>
      </c>
      <c r="N765" s="21"/>
      <c r="O765" s="21"/>
      <c r="P765" s="21"/>
      <c r="Q765" s="21"/>
      <c r="R765" s="21"/>
      <c r="S765" s="21"/>
      <c r="T765" s="21"/>
      <c r="U765" s="22">
        <f>IFERROR(__xludf.DUMMYFUNCTION("IFERROR(GOOGLEFINANCE(A765,""closeyest""),"""")"),50.0)</f>
        <v>50</v>
      </c>
      <c r="V765" s="23">
        <f>IFERROR(__xludf.DUMMYFUNCTION("IFERROR(GOOGLEFINANCE(A765,""changepct""),"""")"),0.0)</f>
        <v>0</v>
      </c>
      <c r="W765" s="22">
        <f>IFERROR(__xludf.DUMMYFUNCTION("IFERROR(GOOGLEFINANCE(A765,""priceopen""),"""")"),50.0)</f>
        <v>50</v>
      </c>
      <c r="X765" s="22">
        <f>IFERROR(__xludf.DUMMYFUNCTION("IFERROR(GOOGLEFINANCE(A765,""high""),"""")"),50.0)</f>
        <v>50</v>
      </c>
      <c r="Y765" s="22">
        <f>IFERROR(__xludf.DUMMYFUNCTION("IFERROR(GOOGLEFINANCE(A765,""low""),"""")"),50.0)</f>
        <v>50</v>
      </c>
      <c r="Z765" s="22">
        <f>IFERROR(__xludf.DUMMYFUNCTION("IFERROR(GOOGLEFINANCE(A765,""volume""),"""")"),6.7675E7)</f>
        <v>67675000</v>
      </c>
      <c r="AA765" s="24" t="str">
        <f>VLOOKUP(A765,Metrik!$C$2:$Y$959,5,0)</f>
        <v>Software</v>
      </c>
      <c r="AB765" s="24" t="str">
        <f>VLOOKUP(A765,Metrik!$C$2:$Y$959,3,0)</f>
        <v>Technology</v>
      </c>
    </row>
    <row r="766">
      <c r="A766" s="14" t="s">
        <v>418</v>
      </c>
      <c r="B766" s="14" t="str">
        <f t="array" ref="B766">VLOOKUP(A766,{Metrik!$C$2:$C$998,Metrik!$B$2:$B$998},2,0)</f>
        <v>GoTo Gojek Tokopedia Tbk.</v>
      </c>
      <c r="C766" s="15">
        <f>IFERROR(__xludf.DUMMYFUNCTION("GOOGLEFINANCE(""IDX:""&amp;A766,""price"")"),50.0)</f>
        <v>50</v>
      </c>
      <c r="D766" s="16" t="str">
        <f>IFERROR(__xludf.DUMMYFUNCTION("IF(A766="""","""",
SPARKLINE(
INDEX(
GOOGLEFINANCE(""IDX:""&amp;A766,""close"",TODAY()-365,TODAY()),
,2
),
{""linewidth"",1}
))
"),"#N/A")</f>
        <v>#N/A</v>
      </c>
      <c r="E766" s="14" t="s">
        <v>50</v>
      </c>
      <c r="F766" s="17" t="s">
        <v>51</v>
      </c>
      <c r="G766" s="24">
        <f t="shared" si="6"/>
        <v>6</v>
      </c>
      <c r="H766" s="19">
        <f>VLOOKUP(A766,Metrik!$C$2:$Y$959,8,0)</f>
        <v>-88.5</v>
      </c>
      <c r="I766" s="20">
        <f>VLOOKUP(A766,Metrik!$C$2:$Y$959,9,0)</f>
        <v>2</v>
      </c>
      <c r="J766" s="20">
        <f>VLOOKUP(A766,Metrik!$C$2:$Y$959,10,0)</f>
        <v>-2.2</v>
      </c>
      <c r="K766" s="20">
        <f>VLOOKUP(A766,Metrik!$C$2:$Y$959,11,0)</f>
        <v>-1.4</v>
      </c>
      <c r="L766" s="20">
        <f>VLOOKUP(A766,Metrik!$C$2:$Y$959,12,0)</f>
        <v>0.62</v>
      </c>
      <c r="M766" s="20">
        <f>VLOOKUP(A766,Metrik!$C$2:$Y$959,19,0)</f>
        <v>-12.1</v>
      </c>
      <c r="N766" s="21"/>
      <c r="O766" s="21"/>
      <c r="P766" s="21"/>
      <c r="Q766" s="21"/>
      <c r="R766" s="21"/>
      <c r="S766" s="21"/>
      <c r="T766" s="21"/>
      <c r="U766" s="22">
        <f>IFERROR(__xludf.DUMMYFUNCTION("IFERROR(GOOGLEFINANCE(A766,""closeyest""),"""")"),50.0)</f>
        <v>50</v>
      </c>
      <c r="V766" s="23">
        <f>IFERROR(__xludf.DUMMYFUNCTION("IFERROR(GOOGLEFINANCE(A766,""changepct""),"""")"),0.0)</f>
        <v>0</v>
      </c>
      <c r="W766" s="22">
        <f>IFERROR(__xludf.DUMMYFUNCTION("IFERROR(GOOGLEFINANCE(A766,""priceopen""),"""")"),50.0)</f>
        <v>50</v>
      </c>
      <c r="X766" s="22">
        <f>IFERROR(__xludf.DUMMYFUNCTION("IFERROR(GOOGLEFINANCE(A766,""high""),"""")"),50.0)</f>
        <v>50</v>
      </c>
      <c r="Y766" s="22">
        <f>IFERROR(__xludf.DUMMYFUNCTION("IFERROR(GOOGLEFINANCE(A766,""low""),"""")"),50.0)</f>
        <v>50</v>
      </c>
      <c r="Z766" s="22">
        <f>IFERROR(__xludf.DUMMYFUNCTION("IFERROR(GOOGLEFINANCE(A766,""volume""),"""")"),6.7675E7)</f>
        <v>67675000</v>
      </c>
      <c r="AA766" s="24" t="str">
        <f>VLOOKUP(A766,Metrik!$C$2:$Y$959,5,0)</f>
        <v>Software</v>
      </c>
      <c r="AB766" s="24" t="str">
        <f>VLOOKUP(A766,Metrik!$C$2:$Y$959,3,0)</f>
        <v>Technology</v>
      </c>
    </row>
    <row r="767">
      <c r="A767" s="14" t="s">
        <v>419</v>
      </c>
      <c r="B767" s="14" t="str">
        <f t="array" ref="B767">VLOOKUP(A767,{Metrik!$C$2:$C$998,Metrik!$B$2:$B$998},2,0)</f>
        <v>MVS GoTo Gojek Tokopedia Tbk.</v>
      </c>
      <c r="C767" s="15">
        <f>IFERROR(__xludf.DUMMYFUNCTION("GOOGLEFINANCE(""IDX:""&amp;A767,""price"")"),0.0)</f>
        <v>0</v>
      </c>
      <c r="D767" s="16" t="str">
        <f>IFERROR(__xludf.DUMMYFUNCTION("IF(A767="""","""",
SPARKLINE(
INDEX(
GOOGLEFINANCE(""IDX:""&amp;A767,""close"",TODAY()-365,TODAY()),
,2
),
{""linewidth"",1}
))
"),"#N/A")</f>
        <v>#N/A</v>
      </c>
      <c r="E767" s="26"/>
      <c r="F767" s="26"/>
      <c r="G767" s="24">
        <f t="shared" si="6"/>
        <v>0</v>
      </c>
      <c r="H767" s="19">
        <f>VLOOKUP(A767,Metrik!$C$2:$Y$959,8,0)</f>
        <v>-5.3</v>
      </c>
      <c r="I767" s="20">
        <f>VLOOKUP(A767,Metrik!$C$2:$Y$959,9,0)</f>
        <v>0.12</v>
      </c>
      <c r="J767" s="20">
        <f>VLOOKUP(A767,Metrik!$C$2:$Y$959,10,0)</f>
        <v>-2.2</v>
      </c>
      <c r="K767" s="20">
        <f>VLOOKUP(A767,Metrik!$C$2:$Y$959,11,0)</f>
        <v>-1.4</v>
      </c>
      <c r="L767" s="20">
        <f>VLOOKUP(A767,Metrik!$C$2:$Y$959,12,0)</f>
        <v>0.62</v>
      </c>
      <c r="M767" s="20">
        <f>VLOOKUP(A767,Metrik!$C$2:$Y$959,19,0)</f>
        <v>-12.1</v>
      </c>
      <c r="N767" s="21"/>
      <c r="O767" s="21"/>
      <c r="P767" s="21"/>
      <c r="Q767" s="21"/>
      <c r="R767" s="21"/>
      <c r="S767" s="21"/>
      <c r="T767" s="21"/>
      <c r="U767" s="22" t="str">
        <f>IFERROR(__xludf.DUMMYFUNCTION("IFERROR(GOOGLEFINANCE(A767,""closeyest""),"""")"),"")</f>
        <v/>
      </c>
      <c r="V767" s="23" t="str">
        <f>IFERROR(__xludf.DUMMYFUNCTION("IFERROR(GOOGLEFINANCE(A767,""changepct""),"""")"),"")</f>
        <v/>
      </c>
      <c r="W767" s="22" t="str">
        <f>IFERROR(__xludf.DUMMYFUNCTION("IFERROR(GOOGLEFINANCE(A767,""priceopen""),"""")"),"")</f>
        <v/>
      </c>
      <c r="X767" s="22" t="str">
        <f>IFERROR(__xludf.DUMMYFUNCTION("IFERROR(GOOGLEFINANCE(A767,""high""),"""")"),"")</f>
        <v/>
      </c>
      <c r="Y767" s="22" t="str">
        <f>IFERROR(__xludf.DUMMYFUNCTION("IFERROR(GOOGLEFINANCE(A767,""low""),"""")"),"")</f>
        <v/>
      </c>
      <c r="Z767" s="22">
        <f>IFERROR(__xludf.DUMMYFUNCTION("IFERROR(GOOGLEFINANCE(A767,""volume""),"""")"),0.0)</f>
        <v>0</v>
      </c>
      <c r="AA767" s="24" t="str">
        <f>VLOOKUP(A767,Metrik!$C$2:$Y$959,5,0)</f>
        <v>Online Applications &amp; Services</v>
      </c>
      <c r="AB767" s="24" t="str">
        <f>VLOOKUP(A767,Metrik!$C$2:$Y$959,3,0)</f>
        <v>Technology</v>
      </c>
    </row>
    <row r="768">
      <c r="A768" s="14" t="s">
        <v>420</v>
      </c>
      <c r="B768" s="14" t="str">
        <f t="array" ref="B768">VLOOKUP(A768,{Metrik!$C$2:$C$998,Metrik!$B$2:$B$998},2,0)</f>
        <v>Perdana Gapuraprima Tbk.</v>
      </c>
      <c r="C768" s="15">
        <f>IFERROR(__xludf.DUMMYFUNCTION("GOOGLEFINANCE(""IDX:""&amp;A768,""price"")"),105.0)</f>
        <v>105</v>
      </c>
      <c r="D768" s="16" t="str">
        <f>IFERROR(__xludf.DUMMYFUNCTION("IF(A768="""","""",
SPARKLINE(
INDEX(
GOOGLEFINANCE(""IDX:""&amp;A768,""close"",TODAY()-365,TODAY()),
,2
),
{""linewidth"",1}
))
"),"#N/A")</f>
        <v>#N/A</v>
      </c>
      <c r="E768" s="26"/>
      <c r="F768" s="26"/>
      <c r="G768" s="24">
        <f t="shared" si="6"/>
        <v>0</v>
      </c>
      <c r="H768" s="19">
        <f>VLOOKUP(A768,Metrik!$C$2:$Y$959,8,0)</f>
        <v>8.5</v>
      </c>
      <c r="I768" s="20">
        <f>VLOOKUP(A768,Metrik!$C$2:$Y$959,9,0)</f>
        <v>0.3</v>
      </c>
      <c r="J768" s="20">
        <f>VLOOKUP(A768,Metrik!$C$2:$Y$959,10,0)</f>
        <v>3.5</v>
      </c>
      <c r="K768" s="20">
        <f>VLOOKUP(A768,Metrik!$C$2:$Y$959,11,0)</f>
        <v>2.6</v>
      </c>
      <c r="L768" s="20">
        <f>VLOOKUP(A768,Metrik!$C$2:$Y$959,12,0)</f>
        <v>0.37</v>
      </c>
      <c r="M768" s="20">
        <f>VLOOKUP(A768,Metrik!$C$2:$Y$959,19,0)</f>
        <v>62.9</v>
      </c>
      <c r="N768" s="21"/>
      <c r="O768" s="21"/>
      <c r="P768" s="21"/>
      <c r="Q768" s="21"/>
      <c r="R768" s="21"/>
      <c r="S768" s="21"/>
      <c r="T768" s="21"/>
      <c r="U768" s="22">
        <f>IFERROR(__xludf.DUMMYFUNCTION("IFERROR(GOOGLEFINANCE(A768,""closeyest""),"""")"),104.0)</f>
        <v>104</v>
      </c>
      <c r="V768" s="23">
        <f>IFERROR(__xludf.DUMMYFUNCTION("IFERROR(GOOGLEFINANCE(A768,""changepct""),"""")"),0.96)</f>
        <v>0.96</v>
      </c>
      <c r="W768" s="22" t="str">
        <f>IFERROR(__xludf.DUMMYFUNCTION("IFERROR(GOOGLEFINANCE(A768,""priceopen""),"""")"),"")</f>
        <v/>
      </c>
      <c r="X768" s="22">
        <f>IFERROR(__xludf.DUMMYFUNCTION("IFERROR(GOOGLEFINANCE(A768,""high""),"""")"),107.0)</f>
        <v>107</v>
      </c>
      <c r="Y768" s="22">
        <f>IFERROR(__xludf.DUMMYFUNCTION("IFERROR(GOOGLEFINANCE(A768,""low""),"""")"),103.0)</f>
        <v>103</v>
      </c>
      <c r="Z768" s="22">
        <f>IFERROR(__xludf.DUMMYFUNCTION("IFERROR(GOOGLEFINANCE(A768,""volume""),"""")"),9944800.0)</f>
        <v>9944800</v>
      </c>
      <c r="AA768" s="24" t="str">
        <f>VLOOKUP(A768,Metrik!$C$2:$Y$959,5,0)</f>
        <v>Real Estate Management &amp; Development</v>
      </c>
      <c r="AB768" s="24" t="str">
        <f>VLOOKUP(A768,Metrik!$C$2:$Y$959,3,0)</f>
        <v>Properties &amp; Real Estate</v>
      </c>
    </row>
    <row r="769">
      <c r="A769" s="14" t="s">
        <v>421</v>
      </c>
      <c r="B769" s="14" t="str">
        <f t="array" ref="B769">VLOOKUP(A769,{Metrik!$C$2:$C$998,Metrik!$B$2:$B$998},2,0)</f>
        <v>Geoprima Solusi Tbk.</v>
      </c>
      <c r="C769" s="15">
        <f>IFERROR(__xludf.DUMMYFUNCTION("GOOGLEFINANCE(""IDX:""&amp;A769,""price"")"),336.0)</f>
        <v>336</v>
      </c>
      <c r="D769" s="16" t="str">
        <f>IFERROR(__xludf.DUMMYFUNCTION("IF(A769="""","""",
SPARKLINE(
INDEX(
GOOGLEFINANCE(""IDX:""&amp;A769,""close"",TODAY()-365,TODAY()),
,2
),
{""linewidth"",1}
))
"),"#N/A")</f>
        <v>#N/A</v>
      </c>
      <c r="E769" s="26"/>
      <c r="F769" s="26"/>
      <c r="G769" s="24">
        <f t="shared" si="6"/>
        <v>0</v>
      </c>
      <c r="H769" s="19">
        <f>VLOOKUP(A769,Metrik!$C$2:$Y$959,8,0)</f>
        <v>-190</v>
      </c>
      <c r="I769" s="20">
        <f>VLOOKUP(A769,Metrik!$C$2:$Y$959,9,0)</f>
        <v>8</v>
      </c>
      <c r="J769" s="20">
        <f>VLOOKUP(A769,Metrik!$C$2:$Y$959,10,0)</f>
        <v>-4.2</v>
      </c>
      <c r="K769" s="20">
        <f>VLOOKUP(A769,Metrik!$C$2:$Y$959,11,0)</f>
        <v>-3.8</v>
      </c>
      <c r="L769" s="20">
        <f>VLOOKUP(A769,Metrik!$C$2:$Y$959,12,0)</f>
        <v>0.13</v>
      </c>
      <c r="M769" s="20">
        <f>VLOOKUP(A769,Metrik!$C$2:$Y$959,19,0)</f>
        <v>-380</v>
      </c>
      <c r="N769" s="21"/>
      <c r="O769" s="21"/>
      <c r="P769" s="21"/>
      <c r="Q769" s="21"/>
      <c r="R769" s="21"/>
      <c r="S769" s="21"/>
      <c r="T769" s="21"/>
      <c r="U769" s="22">
        <f>IFERROR(__xludf.DUMMYFUNCTION("IFERROR(GOOGLEFINANCE(A769,""closeyest""),"""")"),312.0)</f>
        <v>312</v>
      </c>
      <c r="V769" s="23">
        <f>IFERROR(__xludf.DUMMYFUNCTION("IFERROR(GOOGLEFINANCE(A769,""changepct""),"""")"),7.69)</f>
        <v>7.69</v>
      </c>
      <c r="W769" s="22">
        <f>IFERROR(__xludf.DUMMYFUNCTION("IFERROR(GOOGLEFINANCE(A769,""priceopen""),"""")"),310.0)</f>
        <v>310</v>
      </c>
      <c r="X769" s="22">
        <f>IFERROR(__xludf.DUMMYFUNCTION("IFERROR(GOOGLEFINANCE(A769,""high""),"""")"),336.0)</f>
        <v>336</v>
      </c>
      <c r="Y769" s="22">
        <f>IFERROR(__xludf.DUMMYFUNCTION("IFERROR(GOOGLEFINANCE(A769,""low""),"""")"),308.0)</f>
        <v>308</v>
      </c>
      <c r="Z769" s="22">
        <f>IFERROR(__xludf.DUMMYFUNCTION("IFERROR(GOOGLEFINANCE(A769,""volume""),"""")"),5.74249E7)</f>
        <v>57424900</v>
      </c>
      <c r="AA769" s="24" t="str">
        <f>VLOOKUP(A769,Metrik!$C$2:$Y$959,5,0)</f>
        <v>Machinery</v>
      </c>
      <c r="AB769" s="24" t="str">
        <f>VLOOKUP(A769,Metrik!$C$2:$Y$959,3,0)</f>
        <v>Industrials</v>
      </c>
    </row>
    <row r="770">
      <c r="A770" s="14" t="s">
        <v>422</v>
      </c>
      <c r="B770" s="14" t="str">
        <f t="array" ref="B770">VLOOKUP(A770,{Metrik!$C$2:$C$998,Metrik!$B$2:$B$998},2,0)</f>
        <v>PT Ingria Pratama Capitalindo Tbk</v>
      </c>
      <c r="C770" s="15">
        <f>IFERROR(__xludf.DUMMYFUNCTION("GOOGLEFINANCE(""IDX:""&amp;A770,""price"")"),109.0)</f>
        <v>109</v>
      </c>
      <c r="D770" s="16" t="str">
        <f>IFERROR(__xludf.DUMMYFUNCTION("IF(A770="""","""",
SPARKLINE(
INDEX(
GOOGLEFINANCE(""IDX:""&amp;A770,""close"",TODAY()-365,TODAY()),
,2
),
{""linewidth"",1}
))
"),"#N/A")</f>
        <v>#N/A</v>
      </c>
      <c r="E770" s="26"/>
      <c r="F770" s="26"/>
      <c r="G770" s="24">
        <f t="shared" si="6"/>
        <v>0</v>
      </c>
      <c r="H770" s="19">
        <f>VLOOKUP(A770,Metrik!$C$2:$Y$959,8,0)</f>
        <v>140</v>
      </c>
      <c r="I770" s="20">
        <f>VLOOKUP(A770,Metrik!$C$2:$Y$959,9,0)</f>
        <v>2.6</v>
      </c>
      <c r="J770" s="20">
        <f>VLOOKUP(A770,Metrik!$C$2:$Y$959,10,0)</f>
        <v>1.8</v>
      </c>
      <c r="K770" s="20">
        <f>VLOOKUP(A770,Metrik!$C$2:$Y$959,11,0)</f>
        <v>1.6</v>
      </c>
      <c r="L770" s="20">
        <f>VLOOKUP(A770,Metrik!$C$2:$Y$959,12,0)</f>
        <v>0.18</v>
      </c>
      <c r="M770" s="20">
        <f>VLOOKUP(A770,Metrik!$C$2:$Y$959,19,0)</f>
        <v>160</v>
      </c>
      <c r="N770" s="21"/>
      <c r="O770" s="21"/>
      <c r="P770" s="21"/>
      <c r="Q770" s="21"/>
      <c r="R770" s="21"/>
      <c r="S770" s="21"/>
      <c r="T770" s="21"/>
      <c r="U770" s="22">
        <f>IFERROR(__xludf.DUMMYFUNCTION("IFERROR(GOOGLEFINANCE(A770,""closeyest""),"""")"),109.0)</f>
        <v>109</v>
      </c>
      <c r="V770" s="23">
        <f>IFERROR(__xludf.DUMMYFUNCTION("IFERROR(GOOGLEFINANCE(A770,""changepct""),"""")"),0.0)</f>
        <v>0</v>
      </c>
      <c r="W770" s="22">
        <f>IFERROR(__xludf.DUMMYFUNCTION("IFERROR(GOOGLEFINANCE(A770,""priceopen""),"""")"),109.0)</f>
        <v>109</v>
      </c>
      <c r="X770" s="22">
        <f>IFERROR(__xludf.DUMMYFUNCTION("IFERROR(GOOGLEFINANCE(A770,""high""),"""")"),118.0)</f>
        <v>118</v>
      </c>
      <c r="Y770" s="22">
        <f>IFERROR(__xludf.DUMMYFUNCTION("IFERROR(GOOGLEFINANCE(A770,""low""),"""")"),107.0)</f>
        <v>107</v>
      </c>
      <c r="Z770" s="22">
        <f>IFERROR(__xludf.DUMMYFUNCTION("IFERROR(GOOGLEFINANCE(A770,""volume""),"""")"),2.68397E7)</f>
        <v>26839700</v>
      </c>
      <c r="AA770" s="24" t="str">
        <f>VLOOKUP(A770,Metrik!$C$2:$Y$959,5,0)</f>
        <v>Real Estate Management &amp; Development</v>
      </c>
      <c r="AB770" s="24" t="str">
        <f>VLOOKUP(A770,Metrik!$C$2:$Y$959,3,0)</f>
        <v>Properties &amp; Real Estate</v>
      </c>
    </row>
    <row r="771">
      <c r="A771" s="14" t="s">
        <v>423</v>
      </c>
      <c r="B771" s="14" t="str">
        <f t="array" ref="B771">VLOOKUP(A771,{Metrik!$C$2:$C$998,Metrik!$B$2:$B$998},2,0)</f>
        <v>Griptha Putra Persada Tbk.</v>
      </c>
      <c r="C771" s="15">
        <f>IFERROR(__xludf.DUMMYFUNCTION("GOOGLEFINANCE(""IDX:""&amp;A771,""price"")"),61.0)</f>
        <v>61</v>
      </c>
      <c r="D771" s="16" t="str">
        <f>IFERROR(__xludf.DUMMYFUNCTION("IF(A771="""","""",
SPARKLINE(
INDEX(
GOOGLEFINANCE(""IDX:""&amp;A771,""close"",TODAY()-365,TODAY()),
,2
),
{""linewidth"",1}
))
"),"#N/A")</f>
        <v>#N/A</v>
      </c>
      <c r="E771" s="26"/>
      <c r="F771" s="26"/>
      <c r="G771" s="24">
        <f t="shared" si="6"/>
        <v>0</v>
      </c>
      <c r="H771" s="19">
        <f>VLOOKUP(A771,Metrik!$C$2:$Y$959,8,0)</f>
        <v>19.8</v>
      </c>
      <c r="I771" s="20">
        <f>VLOOKUP(A771,Metrik!$C$2:$Y$959,9,0)</f>
        <v>0.81</v>
      </c>
      <c r="J771" s="20">
        <f>VLOOKUP(A771,Metrik!$C$2:$Y$959,10,0)</f>
        <v>4.1</v>
      </c>
      <c r="K771" s="20">
        <f>VLOOKUP(A771,Metrik!$C$2:$Y$959,11,0)</f>
        <v>3.2</v>
      </c>
      <c r="L771" s="20">
        <f>VLOOKUP(A771,Metrik!$C$2:$Y$959,12,0)</f>
        <v>0.28</v>
      </c>
      <c r="M771" s="20">
        <f>VLOOKUP(A771,Metrik!$C$2:$Y$959,19,0)</f>
        <v>42.8</v>
      </c>
      <c r="N771" s="21"/>
      <c r="O771" s="21"/>
      <c r="P771" s="21"/>
      <c r="Q771" s="21"/>
      <c r="R771" s="21"/>
      <c r="S771" s="21"/>
      <c r="T771" s="21"/>
      <c r="U771" s="22">
        <f>IFERROR(__xludf.DUMMYFUNCTION("IFERROR(GOOGLEFINANCE(A771,""closeyest""),"""")"),56.0)</f>
        <v>56</v>
      </c>
      <c r="V771" s="23">
        <f>IFERROR(__xludf.DUMMYFUNCTION("IFERROR(GOOGLEFINANCE(A771,""changepct""),"""")"),8.93)</f>
        <v>8.93</v>
      </c>
      <c r="W771" s="22">
        <f>IFERROR(__xludf.DUMMYFUNCTION("IFERROR(GOOGLEFINANCE(A771,""priceopen""),"""")"),57.0)</f>
        <v>57</v>
      </c>
      <c r="X771" s="22">
        <f>IFERROR(__xludf.DUMMYFUNCTION("IFERROR(GOOGLEFINANCE(A771,""high""),"""")"),71.0)</f>
        <v>71</v>
      </c>
      <c r="Y771" s="22">
        <f>IFERROR(__xludf.DUMMYFUNCTION("IFERROR(GOOGLEFINANCE(A771,""low""),"""")"),57.0)</f>
        <v>57</v>
      </c>
      <c r="Z771" s="22">
        <f>IFERROR(__xludf.DUMMYFUNCTION("IFERROR(GOOGLEFINANCE(A771,""volume""),"""")"),5.19466E7)</f>
        <v>51946600</v>
      </c>
      <c r="AA771" s="24" t="str">
        <f>VLOOKUP(A771,Metrik!$C$2:$Y$959,5,0)</f>
        <v>Tourism &amp; Recreation</v>
      </c>
      <c r="AB771" s="24" t="str">
        <f>VLOOKUP(A771,Metrik!$C$2:$Y$959,3,0)</f>
        <v>Consumer Cyclicals</v>
      </c>
    </row>
    <row r="772">
      <c r="A772" s="14" t="s">
        <v>424</v>
      </c>
      <c r="B772" s="14" t="str">
        <f t="array" ref="B772">VLOOKUP(A772,{Metrik!$C$2:$C$998,Metrik!$B$2:$B$998},2,0)</f>
        <v>PT Graha Prima Mentari Tbk.</v>
      </c>
      <c r="C772" s="15">
        <f>IFERROR(__xludf.DUMMYFUNCTION("GOOGLEFINANCE(""IDX:""&amp;A772,""price"")"),226.0)</f>
        <v>226</v>
      </c>
      <c r="D772" s="16" t="str">
        <f>IFERROR(__xludf.DUMMYFUNCTION("IF(A772="""","""",
SPARKLINE(
INDEX(
GOOGLEFINANCE(""IDX:""&amp;A772,""close"",TODAY()-365,TODAY()),
,2
),
{""linewidth"",1}
))
"),"#N/A")</f>
        <v>#N/A</v>
      </c>
      <c r="E772" s="26"/>
      <c r="F772" s="26"/>
      <c r="G772" s="24">
        <f t="shared" si="6"/>
        <v>0</v>
      </c>
      <c r="H772" s="19">
        <f>VLOOKUP(A772,Metrik!$C$2:$Y$959,8,0)</f>
        <v>130</v>
      </c>
      <c r="I772" s="20">
        <f>VLOOKUP(A772,Metrik!$C$2:$Y$959,9,0)</f>
        <v>4.5</v>
      </c>
      <c r="J772" s="20">
        <f>VLOOKUP(A772,Metrik!$C$2:$Y$959,10,0)</f>
        <v>3.4</v>
      </c>
      <c r="K772" s="20">
        <f>VLOOKUP(A772,Metrik!$C$2:$Y$959,11,0)</f>
        <v>1.6</v>
      </c>
      <c r="L772" s="20">
        <f>VLOOKUP(A772,Metrik!$C$2:$Y$959,12,0)</f>
        <v>1.1</v>
      </c>
      <c r="M772" s="20">
        <f>VLOOKUP(A772,Metrik!$C$2:$Y$959,19,0)</f>
        <v>0.4</v>
      </c>
      <c r="N772" s="21"/>
      <c r="O772" s="21"/>
      <c r="P772" s="21"/>
      <c r="Q772" s="21"/>
      <c r="R772" s="21"/>
      <c r="S772" s="21"/>
      <c r="T772" s="21"/>
      <c r="U772" s="22">
        <f>IFERROR(__xludf.DUMMYFUNCTION("IFERROR(GOOGLEFINANCE(A772,""closeyest""),"""")"),128.98)</f>
        <v>128.98</v>
      </c>
      <c r="V772" s="23">
        <f>IFERROR(__xludf.DUMMYFUNCTION("IFERROR(GOOGLEFINANCE(A772,""changepct""),"""")"),1.09)</f>
        <v>1.09</v>
      </c>
      <c r="W772" s="22">
        <f>IFERROR(__xludf.DUMMYFUNCTION("IFERROR(GOOGLEFINANCE(A772,""priceopen""),"""")"),129.8)</f>
        <v>129.8</v>
      </c>
      <c r="X772" s="22">
        <f>IFERROR(__xludf.DUMMYFUNCTION("IFERROR(GOOGLEFINANCE(A772,""high""),"""")"),130.39)</f>
        <v>130.39</v>
      </c>
      <c r="Y772" s="22">
        <f>IFERROR(__xludf.DUMMYFUNCTION("IFERROR(GOOGLEFINANCE(A772,""low""),"""")"),129.8)</f>
        <v>129.8</v>
      </c>
      <c r="Z772" s="22">
        <f>IFERROR(__xludf.DUMMYFUNCTION("IFERROR(GOOGLEFINANCE(A772,""volume""),"""")"),77.0)</f>
        <v>77</v>
      </c>
      <c r="AA772" s="24" t="str">
        <f>VLOOKUP(A772,Metrik!$C$2:$Y$959,5,0)</f>
        <v>Beverages</v>
      </c>
      <c r="AB772" s="24" t="str">
        <f>VLOOKUP(A772,Metrik!$C$2:$Y$959,3,0)</f>
        <v>Consumer Non-Cyclicals</v>
      </c>
    </row>
    <row r="773">
      <c r="A773" s="14" t="s">
        <v>425</v>
      </c>
      <c r="B773" s="14" t="str">
        <f t="array" ref="B773">VLOOKUP(A773,{Metrik!$C$2:$C$998,Metrik!$B$2:$B$998},2,0)</f>
        <v>Equity Development Investment Tbk.</v>
      </c>
      <c r="C773" s="15">
        <f>IFERROR(__xludf.DUMMYFUNCTION("GOOGLEFINANCE(""IDX:""&amp;A773,""price"")"),72.0)</f>
        <v>72</v>
      </c>
      <c r="D773" s="16" t="str">
        <f>IFERROR(__xludf.DUMMYFUNCTION("IF(A773="""","""",
SPARKLINE(
INDEX(
GOOGLEFINANCE(""IDX:""&amp;A773,""close"",TODAY()-365,TODAY()),
,2
),
{""linewidth"",1}
))
"),"#N/A")</f>
        <v>#N/A</v>
      </c>
      <c r="E773" s="26"/>
      <c r="F773" s="26"/>
      <c r="G773" s="24">
        <f t="shared" si="6"/>
        <v>0</v>
      </c>
      <c r="H773" s="19">
        <f>VLOOKUP(A773,Metrik!$C$2:$Y$959,8,0)</f>
        <v>23.7</v>
      </c>
      <c r="I773" s="20">
        <f>VLOOKUP(A773,Metrik!$C$2:$Y$959,9,0)</f>
        <v>0.55</v>
      </c>
      <c r="J773" s="20">
        <f>VLOOKUP(A773,Metrik!$C$2:$Y$959,10,0)</f>
        <v>2.3</v>
      </c>
      <c r="K773" s="20">
        <f>VLOOKUP(A773,Metrik!$C$2:$Y$959,11,0)</f>
        <v>1.1</v>
      </c>
      <c r="L773" s="20">
        <f>VLOOKUP(A773,Metrik!$C$2:$Y$959,12,0)</f>
        <v>1.2</v>
      </c>
      <c r="M773" s="20">
        <f>VLOOKUP(A773,Metrik!$C$2:$Y$959,19,0)</f>
        <v>18.1</v>
      </c>
      <c r="N773" s="21"/>
      <c r="O773" s="21"/>
      <c r="P773" s="21"/>
      <c r="Q773" s="21"/>
      <c r="R773" s="21"/>
      <c r="S773" s="21"/>
      <c r="T773" s="21"/>
      <c r="U773" s="22">
        <f>IFERROR(__xludf.DUMMYFUNCTION("IFERROR(GOOGLEFINANCE(A773,""closeyest""),"""")"),69.0)</f>
        <v>69</v>
      </c>
      <c r="V773" s="23">
        <f>IFERROR(__xludf.DUMMYFUNCTION("IFERROR(GOOGLEFINANCE(A773,""changepct""),"""")"),4.35)</f>
        <v>4.35</v>
      </c>
      <c r="W773" s="22">
        <f>IFERROR(__xludf.DUMMYFUNCTION("IFERROR(GOOGLEFINANCE(A773,""priceopen""),"""")"),77.0)</f>
        <v>77</v>
      </c>
      <c r="X773" s="22">
        <f>IFERROR(__xludf.DUMMYFUNCTION("IFERROR(GOOGLEFINANCE(A773,""high""),"""")"),80.0)</f>
        <v>80</v>
      </c>
      <c r="Y773" s="22">
        <f>IFERROR(__xludf.DUMMYFUNCTION("IFERROR(GOOGLEFINANCE(A773,""low""),"""")"),71.0)</f>
        <v>71</v>
      </c>
      <c r="Z773" s="22" t="str">
        <f>IFERROR(__xludf.DUMMYFUNCTION("IFERROR(GOOGLEFINANCE(A773,""volume""),"""")"),"")</f>
        <v/>
      </c>
      <c r="AA773" s="24" t="str">
        <f>VLOOKUP(A773,Metrik!$C$2:$Y$959,5,0)</f>
        <v>Holding &amp; Investment Companies</v>
      </c>
      <c r="AB773" s="24" t="str">
        <f>VLOOKUP(A773,Metrik!$C$2:$Y$959,3,0)</f>
        <v>Financials</v>
      </c>
    </row>
    <row r="774">
      <c r="A774" s="14" t="s">
        <v>426</v>
      </c>
      <c r="B774" s="14" t="str">
        <f t="array" ref="B774">VLOOKUP(A774,{Metrik!$C$2:$C$998,Metrik!$B$2:$B$998},2,0)</f>
        <v>Garda Tujuh Buana Tbk</v>
      </c>
      <c r="C774" s="15">
        <f>IFERROR(__xludf.DUMMYFUNCTION("GOOGLEFINANCE(""IDX:""&amp;A774,""price"")"),180.0)</f>
        <v>180</v>
      </c>
      <c r="D774" s="16" t="str">
        <f>IFERROR(__xludf.DUMMYFUNCTION("IF(A774="""","""",
SPARKLINE(
INDEX(
GOOGLEFINANCE(""IDX:""&amp;A774,""close"",TODAY()-365,TODAY()),
,2
),
{""linewidth"",1}
))
"),"#N/A")</f>
        <v>#N/A</v>
      </c>
      <c r="E774" s="26"/>
      <c r="F774" s="26"/>
      <c r="G774" s="24">
        <f t="shared" si="6"/>
        <v>0</v>
      </c>
      <c r="H774" s="19">
        <f>VLOOKUP(A774,Metrik!$C$2:$Y$959,8,0)</f>
        <v>-6.4</v>
      </c>
      <c r="I774" s="20">
        <f>VLOOKUP(A774,Metrik!$C$2:$Y$959,9,0)</f>
        <v>0.62</v>
      </c>
      <c r="J774" s="20">
        <f>VLOOKUP(A774,Metrik!$C$2:$Y$959,10,0)</f>
        <v>-9.6</v>
      </c>
      <c r="K774" s="20">
        <f>VLOOKUP(A774,Metrik!$C$2:$Y$959,11,0)</f>
        <v>-8.2</v>
      </c>
      <c r="L774" s="20">
        <f>VLOOKUP(A774,Metrik!$C$2:$Y$959,12,0)</f>
        <v>0.18</v>
      </c>
      <c r="M774" s="20">
        <f>VLOOKUP(A774,Metrik!$C$2:$Y$959,19,0)</f>
        <v>-43.4</v>
      </c>
      <c r="N774" s="21"/>
      <c r="O774" s="21"/>
      <c r="P774" s="21"/>
      <c r="Q774" s="21"/>
      <c r="R774" s="21"/>
      <c r="S774" s="21"/>
      <c r="T774" s="21"/>
      <c r="U774" s="22">
        <f>IFERROR(__xludf.DUMMYFUNCTION("IFERROR(GOOGLEFINANCE(A774,""closeyest""),"""")"),175.0)</f>
        <v>175</v>
      </c>
      <c r="V774" s="23">
        <f>IFERROR(__xludf.DUMMYFUNCTION("IFERROR(GOOGLEFINANCE(A774,""changepct""),"""")"),2.86)</f>
        <v>2.86</v>
      </c>
      <c r="W774" s="22">
        <f>IFERROR(__xludf.DUMMYFUNCTION("IFERROR(GOOGLEFINANCE(A774,""priceopen""),"""")"),174.0)</f>
        <v>174</v>
      </c>
      <c r="X774" s="22">
        <f>IFERROR(__xludf.DUMMYFUNCTION("IFERROR(GOOGLEFINANCE(A774,""high""),"""")"),188.0)</f>
        <v>188</v>
      </c>
      <c r="Y774" s="22" t="str">
        <f>IFERROR(__xludf.DUMMYFUNCTION("IFERROR(GOOGLEFINANCE(A774,""low""),"""")"),"")</f>
        <v/>
      </c>
      <c r="Z774" s="22">
        <f>IFERROR(__xludf.DUMMYFUNCTION("IFERROR(GOOGLEFINANCE(A774,""volume""),"""")"),942600.0)</f>
        <v>942600</v>
      </c>
      <c r="AA774" s="24" t="str">
        <f>VLOOKUP(A774,Metrik!$C$2:$Y$959,5,0)</f>
        <v>Coal</v>
      </c>
      <c r="AB774" s="24" t="str">
        <f>VLOOKUP(A774,Metrik!$C$2:$Y$959,3,0)</f>
        <v>Energy</v>
      </c>
    </row>
    <row r="775">
      <c r="A775" s="14" t="s">
        <v>427</v>
      </c>
      <c r="B775" s="14" t="str">
        <f t="array" ref="B775">VLOOKUP(A775,{Metrik!$C$2:$C$998,Metrik!$B$2:$B$998},2,0)</f>
        <v>PT Grahaprima Suksesmandiri Tbk</v>
      </c>
      <c r="C775" s="15">
        <f>IFERROR(__xludf.DUMMYFUNCTION("GOOGLEFINANCE(""IDX:""&amp;A775,""price"")"),189.0)</f>
        <v>189</v>
      </c>
      <c r="D775" s="16" t="str">
        <f>IFERROR(__xludf.DUMMYFUNCTION("IF(A775="""","""",
SPARKLINE(
INDEX(
GOOGLEFINANCE(""IDX:""&amp;A775,""close"",TODAY()-365,TODAY()),
,2
),
{""linewidth"",1}
))
"),"#N/A")</f>
        <v>#N/A</v>
      </c>
      <c r="E775" s="26"/>
      <c r="F775" s="26"/>
      <c r="G775" s="24">
        <f t="shared" si="6"/>
        <v>0</v>
      </c>
      <c r="H775" s="19">
        <f>VLOOKUP(A775,Metrik!$C$2:$Y$959,8,0)</f>
        <v>5.5</v>
      </c>
      <c r="I775" s="20">
        <f>VLOOKUP(A775,Metrik!$C$2:$Y$959,9,0)</f>
        <v>0.97</v>
      </c>
      <c r="J775" s="20">
        <f>VLOOKUP(A775,Metrik!$C$2:$Y$959,10,0)</f>
        <v>17.5</v>
      </c>
      <c r="K775" s="20">
        <f>VLOOKUP(A775,Metrik!$C$2:$Y$959,11,0)</f>
        <v>5</v>
      </c>
      <c r="L775" s="20">
        <f>VLOOKUP(A775,Metrik!$C$2:$Y$959,12,0)</f>
        <v>2.5</v>
      </c>
      <c r="M775" s="20">
        <f>VLOOKUP(A775,Metrik!$C$2:$Y$959,19,0)</f>
        <v>36</v>
      </c>
      <c r="N775" s="21"/>
      <c r="O775" s="21"/>
      <c r="P775" s="21"/>
      <c r="Q775" s="21"/>
      <c r="R775" s="21"/>
      <c r="S775" s="21"/>
      <c r="T775" s="21"/>
      <c r="U775" s="22">
        <f>IFERROR(__xludf.DUMMYFUNCTION("IFERROR(GOOGLEFINANCE(A775,""closeyest""),"""")"),174.0)</f>
        <v>174</v>
      </c>
      <c r="V775" s="23">
        <f>IFERROR(__xludf.DUMMYFUNCTION("IFERROR(GOOGLEFINANCE(A775,""changepct""),"""")"),8.62)</f>
        <v>8.62</v>
      </c>
      <c r="W775" s="22">
        <f>IFERROR(__xludf.DUMMYFUNCTION("IFERROR(GOOGLEFINANCE(A775,""priceopen""),"""")"),173.0)</f>
        <v>173</v>
      </c>
      <c r="X775" s="22">
        <f>IFERROR(__xludf.DUMMYFUNCTION("IFERROR(GOOGLEFINANCE(A775,""high""),"""")"),200.0)</f>
        <v>200</v>
      </c>
      <c r="Y775" s="22">
        <f>IFERROR(__xludf.DUMMYFUNCTION("IFERROR(GOOGLEFINANCE(A775,""low""),"""")"),171.0)</f>
        <v>171</v>
      </c>
      <c r="Z775" s="22">
        <f>IFERROR(__xludf.DUMMYFUNCTION("IFERROR(GOOGLEFINANCE(A775,""volume""),"""")"),625800.0)</f>
        <v>625800</v>
      </c>
      <c r="AA775" s="24" t="str">
        <f>VLOOKUP(A775,Metrik!$C$2:$Y$959,5,0)</f>
        <v>Logistics &amp; Deliveries</v>
      </c>
      <c r="AB775" s="24" t="str">
        <f>VLOOKUP(A775,Metrik!$C$2:$Y$959,3,0)</f>
        <v>Transportation &amp; Logistic</v>
      </c>
    </row>
    <row r="776">
      <c r="A776" s="14" t="s">
        <v>428</v>
      </c>
      <c r="B776" s="14" t="str">
        <f t="array" ref="B776">VLOOKUP(A776,{Metrik!$C$2:$C$998,Metrik!$B$2:$B$998},2,0)</f>
        <v>GTS Internasional Tbk.</v>
      </c>
      <c r="C776" s="15">
        <f>IFERROR(__xludf.DUMMYFUNCTION("GOOGLEFINANCE(""IDX:""&amp;A776,""price"")"),134.0)</f>
        <v>134</v>
      </c>
      <c r="D776" s="16" t="str">
        <f>IFERROR(__xludf.DUMMYFUNCTION("IF(A776="""","""",
SPARKLINE(
INDEX(
GOOGLEFINANCE(""IDX:""&amp;A776,""close"",TODAY()-365,TODAY()),
,2
),
{""linewidth"",1}
))
"),"#N/A")</f>
        <v>#N/A</v>
      </c>
      <c r="E776" s="26"/>
      <c r="F776" s="26"/>
      <c r="G776" s="24">
        <f t="shared" si="6"/>
        <v>0</v>
      </c>
      <c r="H776" s="19">
        <f>VLOOKUP(A776,Metrik!$C$2:$Y$959,8,0)</f>
        <v>84.9</v>
      </c>
      <c r="I776" s="20">
        <f>VLOOKUP(A776,Metrik!$C$2:$Y$959,9,0)</f>
        <v>2.3</v>
      </c>
      <c r="J776" s="20">
        <f>VLOOKUP(A776,Metrik!$C$2:$Y$959,10,0)</f>
        <v>2.7</v>
      </c>
      <c r="K776" s="20">
        <f>VLOOKUP(A776,Metrik!$C$2:$Y$959,11,0)</f>
        <v>1.2</v>
      </c>
      <c r="L776" s="20">
        <f>VLOOKUP(A776,Metrik!$C$2:$Y$959,12,0)</f>
        <v>1.3</v>
      </c>
      <c r="M776" s="20">
        <f>VLOOKUP(A776,Metrik!$C$2:$Y$959,19,0)</f>
        <v>5.1</v>
      </c>
      <c r="N776" s="21"/>
      <c r="O776" s="21"/>
      <c r="P776" s="21"/>
      <c r="Q776" s="21"/>
      <c r="R776" s="21"/>
      <c r="S776" s="21"/>
      <c r="T776" s="21"/>
      <c r="U776" s="22">
        <f>IFERROR(__xludf.DUMMYFUNCTION("IFERROR(GOOGLEFINANCE(A776,""closeyest""),"""")"),124.0)</f>
        <v>124</v>
      </c>
      <c r="V776" s="23">
        <f>IFERROR(__xludf.DUMMYFUNCTION("IFERROR(GOOGLEFINANCE(A776,""changepct""),"""")"),8.06)</f>
        <v>8.06</v>
      </c>
      <c r="W776" s="22">
        <f>IFERROR(__xludf.DUMMYFUNCTION("IFERROR(GOOGLEFINANCE(A776,""priceopen""),"""")"),134.0)</f>
        <v>134</v>
      </c>
      <c r="X776" s="22">
        <f>IFERROR(__xludf.DUMMYFUNCTION("IFERROR(GOOGLEFINANCE(A776,""high""),"""")"),139.0)</f>
        <v>139</v>
      </c>
      <c r="Y776" s="22">
        <f>IFERROR(__xludf.DUMMYFUNCTION("IFERROR(GOOGLEFINANCE(A776,""low""),"""")"),128.0)</f>
        <v>128</v>
      </c>
      <c r="Z776" s="22">
        <f>IFERROR(__xludf.DUMMYFUNCTION("IFERROR(GOOGLEFINANCE(A776,""volume""),"""")"),5.72202E7)</f>
        <v>57220200</v>
      </c>
      <c r="AA776" s="24" t="str">
        <f>VLOOKUP(A776,Metrik!$C$2:$Y$959,5,0)</f>
        <v>Oil &amp; Gas</v>
      </c>
      <c r="AB776" s="24" t="str">
        <f>VLOOKUP(A776,Metrik!$C$2:$Y$959,3,0)</f>
        <v>Energy</v>
      </c>
    </row>
    <row r="777">
      <c r="A777" s="14" t="s">
        <v>429</v>
      </c>
      <c r="B777" s="14" t="str">
        <f t="array" ref="B777">VLOOKUP(A777,{Metrik!$C$2:$C$998,Metrik!$B$2:$B$998},2,0)</f>
        <v>Aman Agrindo Tbk.</v>
      </c>
      <c r="C777" s="15">
        <f>IFERROR(__xludf.DUMMYFUNCTION("GOOGLEFINANCE(""IDX:""&amp;A777,""price"")"),575.0)</f>
        <v>575</v>
      </c>
      <c r="D777" s="16" t="str">
        <f>IFERROR(__xludf.DUMMYFUNCTION("IF(A777="""","""",
SPARKLINE(
INDEX(
GOOGLEFINANCE(""IDX:""&amp;A777,""close"",TODAY()-365,TODAY()),
,2
),
{""linewidth"",1}
))
"),"#N/A")</f>
        <v>#N/A</v>
      </c>
      <c r="E777" s="26"/>
      <c r="F777" s="26"/>
      <c r="G777" s="24">
        <f t="shared" si="6"/>
        <v>0</v>
      </c>
      <c r="H777" s="19">
        <f>VLOOKUP(A777,Metrik!$C$2:$Y$959,8,0)</f>
        <v>-100</v>
      </c>
      <c r="I777" s="20">
        <f>VLOOKUP(A777,Metrik!$C$2:$Y$959,9,0)</f>
        <v>4.1</v>
      </c>
      <c r="J777" s="20">
        <f>VLOOKUP(A777,Metrik!$C$2:$Y$959,10,0)</f>
        <v>-4</v>
      </c>
      <c r="K777" s="20">
        <f>VLOOKUP(A777,Metrik!$C$2:$Y$959,11,0)</f>
        <v>-2.6</v>
      </c>
      <c r="L777" s="20">
        <f>VLOOKUP(A777,Metrik!$C$2:$Y$959,12,0)</f>
        <v>0.53</v>
      </c>
      <c r="M777" s="20">
        <f>VLOOKUP(A777,Metrik!$C$2:$Y$959,19,0)</f>
        <v>-14.1</v>
      </c>
      <c r="N777" s="21"/>
      <c r="O777" s="21"/>
      <c r="P777" s="21"/>
      <c r="Q777" s="21"/>
      <c r="R777" s="21"/>
      <c r="S777" s="21"/>
      <c r="T777" s="21"/>
      <c r="U777" s="22">
        <f>IFERROR(__xludf.DUMMYFUNCTION("IFERROR(GOOGLEFINANCE(A777,""closeyest""),"""")"),555.0)</f>
        <v>555</v>
      </c>
      <c r="V777" s="23" t="str">
        <f>IFERROR(__xludf.DUMMYFUNCTION("IFERROR(GOOGLEFINANCE(A777,""changepct""),"""")"),"")</f>
        <v/>
      </c>
      <c r="W777" s="22">
        <f>IFERROR(__xludf.DUMMYFUNCTION("IFERROR(GOOGLEFINANCE(A777,""priceopen""),"""")"),555.0)</f>
        <v>555</v>
      </c>
      <c r="X777" s="22">
        <f>IFERROR(__xludf.DUMMYFUNCTION("IFERROR(GOOGLEFINANCE(A777,""high""),"""")"),610.0)</f>
        <v>610</v>
      </c>
      <c r="Y777" s="22">
        <f>IFERROR(__xludf.DUMMYFUNCTION("IFERROR(GOOGLEFINANCE(A777,""low""),"""")"),550.0)</f>
        <v>550</v>
      </c>
      <c r="Z777" s="22">
        <f>IFERROR(__xludf.DUMMYFUNCTION("IFERROR(GOOGLEFINANCE(A777,""volume""),"""")"),4.86648E7)</f>
        <v>48664800</v>
      </c>
      <c r="AA777" s="24" t="str">
        <f>VLOOKUP(A777,Metrik!$C$2:$Y$959,5,0)</f>
        <v>Processed Foods</v>
      </c>
      <c r="AB777" s="24" t="str">
        <f>VLOOKUP(A777,Metrik!$C$2:$Y$959,3,0)</f>
        <v>Consumer Non-Cyclicals</v>
      </c>
    </row>
    <row r="778">
      <c r="A778" s="14" t="s">
        <v>430</v>
      </c>
      <c r="B778" s="14" t="str">
        <f t="array" ref="B778">VLOOKUP(A778,{Metrik!$C$2:$C$998,Metrik!$B$2:$B$998},2,0)</f>
        <v>Gunanusa Eramandiri Tbk.</v>
      </c>
      <c r="C778" s="15">
        <f>IFERROR(__xludf.DUMMYFUNCTION("GOOGLEFINANCE(""IDX:""&amp;A778,""price"")"),160.0)</f>
        <v>160</v>
      </c>
      <c r="D778" s="16" t="str">
        <f>IFERROR(__xludf.DUMMYFUNCTION("IF(A778="""","""",
SPARKLINE(
INDEX(
GOOGLEFINANCE(""IDX:""&amp;A778,""close"",TODAY()-365,TODAY()),
,2
),
{""linewidth"",1}
))
"),"#N/A")</f>
        <v>#N/A</v>
      </c>
      <c r="E778" s="26"/>
      <c r="F778" s="26"/>
      <c r="G778" s="24">
        <f t="shared" si="6"/>
        <v>0</v>
      </c>
      <c r="H778" s="19">
        <f>VLOOKUP(A778,Metrik!$C$2:$Y$959,8,0)</f>
        <v>8</v>
      </c>
      <c r="I778" s="20">
        <f>VLOOKUP(A778,Metrik!$C$2:$Y$959,9,0)</f>
        <v>0.61</v>
      </c>
      <c r="J778" s="20">
        <f>VLOOKUP(A778,Metrik!$C$2:$Y$959,10,0)</f>
        <v>7.7</v>
      </c>
      <c r="K778" s="20">
        <f>VLOOKUP(A778,Metrik!$C$2:$Y$959,11,0)</f>
        <v>4.8</v>
      </c>
      <c r="L778" s="20">
        <f>VLOOKUP(A778,Metrik!$C$2:$Y$959,12,0)</f>
        <v>0.61</v>
      </c>
      <c r="M778" s="20">
        <f>VLOOKUP(A778,Metrik!$C$2:$Y$959,19,0)</f>
        <v>12.8</v>
      </c>
      <c r="N778" s="21"/>
      <c r="O778" s="21"/>
      <c r="P778" s="21"/>
      <c r="Q778" s="21"/>
      <c r="R778" s="21"/>
      <c r="S778" s="21"/>
      <c r="T778" s="21"/>
      <c r="U778" s="22">
        <f>IFERROR(__xludf.DUMMYFUNCTION("IFERROR(GOOGLEFINANCE(A778,""closeyest""),"""")"),150.0)</f>
        <v>150</v>
      </c>
      <c r="V778" s="23">
        <f>IFERROR(__xludf.DUMMYFUNCTION("IFERROR(GOOGLEFINANCE(A778,""changepct""),"""")"),6.67)</f>
        <v>6.67</v>
      </c>
      <c r="W778" s="22">
        <f>IFERROR(__xludf.DUMMYFUNCTION("IFERROR(GOOGLEFINANCE(A778,""priceopen""),"""")"),150.0)</f>
        <v>150</v>
      </c>
      <c r="X778" s="22">
        <f>IFERROR(__xludf.DUMMYFUNCTION("IFERROR(GOOGLEFINANCE(A778,""high""),"""")"),161.0)</f>
        <v>161</v>
      </c>
      <c r="Y778" s="22">
        <f>IFERROR(__xludf.DUMMYFUNCTION("IFERROR(GOOGLEFINANCE(A778,""low""),"""")"),150.0)</f>
        <v>150</v>
      </c>
      <c r="Z778" s="22">
        <f>IFERROR(__xludf.DUMMYFUNCTION("IFERROR(GOOGLEFINANCE(A778,""volume""),"""")"),285100.0)</f>
        <v>285100</v>
      </c>
      <c r="AA778" s="24" t="str">
        <f>VLOOKUP(A778,Metrik!$C$2:$Y$959,5,0)</f>
        <v>Agricultural Products</v>
      </c>
      <c r="AB778" s="24" t="str">
        <f>VLOOKUP(A778,Metrik!$C$2:$Y$959,3,0)</f>
        <v>Consumer Non-Cyclicals</v>
      </c>
    </row>
    <row r="779">
      <c r="A779" s="14" t="s">
        <v>431</v>
      </c>
      <c r="B779" s="14" t="str">
        <f t="array" ref="B779">VLOOKUP(A779,{Metrik!$C$2:$C$998,Metrik!$B$2:$B$998},2,0)</f>
        <v>Greenwood Sejahtera Tbk.</v>
      </c>
      <c r="C779" s="15">
        <f>IFERROR(__xludf.DUMMYFUNCTION("GOOGLEFINANCE(""IDX:""&amp;A779,""price"")"),125.0)</f>
        <v>125</v>
      </c>
      <c r="D779" s="16" t="str">
        <f>IFERROR(__xludf.DUMMYFUNCTION("IF(A779="""","""",
SPARKLINE(
INDEX(
GOOGLEFINANCE(""IDX:""&amp;A779,""close"",TODAY()-365,TODAY()),
,2
),
{""linewidth"",1}
))
"),"#N/A")</f>
        <v>#N/A</v>
      </c>
      <c r="E779" s="26"/>
      <c r="F779" s="26"/>
      <c r="G779" s="24">
        <f t="shared" si="6"/>
        <v>0</v>
      </c>
      <c r="H779" s="19">
        <f>VLOOKUP(A779,Metrik!$C$2:$Y$959,8,0)</f>
        <v>7.6</v>
      </c>
      <c r="I779" s="20">
        <f>VLOOKUP(A779,Metrik!$C$2:$Y$959,9,0)</f>
        <v>0.14</v>
      </c>
      <c r="J779" s="20">
        <f>VLOOKUP(A779,Metrik!$C$2:$Y$959,10,0)</f>
        <v>1.8</v>
      </c>
      <c r="K779" s="20">
        <f>VLOOKUP(A779,Metrik!$C$2:$Y$959,11,0)</f>
        <v>1.7</v>
      </c>
      <c r="L779" s="20">
        <f>VLOOKUP(A779,Metrik!$C$2:$Y$959,12,0)</f>
        <v>0.05</v>
      </c>
      <c r="M779" s="20">
        <f>VLOOKUP(A779,Metrik!$C$2:$Y$959,19,0)</f>
        <v>1070</v>
      </c>
      <c r="N779" s="21"/>
      <c r="O779" s="21"/>
      <c r="P779" s="21"/>
      <c r="Q779" s="21"/>
      <c r="R779" s="21"/>
      <c r="S779" s="21"/>
      <c r="T779" s="21"/>
      <c r="U779" s="22">
        <f>IFERROR(__xludf.DUMMYFUNCTION("IFERROR(GOOGLEFINANCE(A779,""closeyest""),"""")"),121.0)</f>
        <v>121</v>
      </c>
      <c r="V779" s="23">
        <f>IFERROR(__xludf.DUMMYFUNCTION("IFERROR(GOOGLEFINANCE(A779,""changepct""),"""")"),3.31)</f>
        <v>3.31</v>
      </c>
      <c r="W779" s="22">
        <f>IFERROR(__xludf.DUMMYFUNCTION("IFERROR(GOOGLEFINANCE(A779,""priceopen""),"""")"),122.0)</f>
        <v>122</v>
      </c>
      <c r="X779" s="22">
        <f>IFERROR(__xludf.DUMMYFUNCTION("IFERROR(GOOGLEFINANCE(A779,""high""),"""")"),127.0)</f>
        <v>127</v>
      </c>
      <c r="Y779" s="22">
        <f>IFERROR(__xludf.DUMMYFUNCTION("IFERROR(GOOGLEFINANCE(A779,""low""),"""")"),122.0)</f>
        <v>122</v>
      </c>
      <c r="Z779" s="22">
        <f>IFERROR(__xludf.DUMMYFUNCTION("IFERROR(GOOGLEFINANCE(A779,""volume""),"""")"),576300.0)</f>
        <v>576300</v>
      </c>
      <c r="AA779" s="24" t="str">
        <f>VLOOKUP(A779,Metrik!$C$2:$Y$959,5,0)</f>
        <v>Tourism &amp; Recreation</v>
      </c>
      <c r="AB779" s="24" t="str">
        <f>VLOOKUP(A779,Metrik!$C$2:$Y$959,3,0)</f>
        <v>Consumer Cyclicals</v>
      </c>
    </row>
    <row r="780">
      <c r="A780" s="14" t="s">
        <v>432</v>
      </c>
      <c r="B780" s="14" t="str">
        <f t="array" ref="B780">VLOOKUP(A780,{Metrik!$C$2:$C$998,Metrik!$B$2:$B$998},2,0)</f>
        <v>Gozco Plantations Tbk</v>
      </c>
      <c r="C780" s="15">
        <f>IFERROR(__xludf.DUMMYFUNCTION("GOOGLEFINANCE(""IDX:""&amp;A780,""price"")"),145.0)</f>
        <v>145</v>
      </c>
      <c r="D780" s="16" t="str">
        <f>IFERROR(__xludf.DUMMYFUNCTION("IF(A780="""","""",
SPARKLINE(
INDEX(
GOOGLEFINANCE(""IDX:""&amp;A780,""close"",TODAY()-365,TODAY()),
,2
),
{""linewidth"",1}
))
"),"#N/A")</f>
        <v>#N/A</v>
      </c>
      <c r="E780" s="26"/>
      <c r="F780" s="26"/>
      <c r="G780" s="24">
        <f t="shared" si="6"/>
        <v>0</v>
      </c>
      <c r="H780" s="19">
        <f>VLOOKUP(A780,Metrik!$C$2:$Y$959,8,0)</f>
        <v>9.9</v>
      </c>
      <c r="I780" s="20">
        <f>VLOOKUP(A780,Metrik!$C$2:$Y$959,9,0)</f>
        <v>0.76</v>
      </c>
      <c r="J780" s="20">
        <f>VLOOKUP(A780,Metrik!$C$2:$Y$959,10,0)</f>
        <v>7.7</v>
      </c>
      <c r="K780" s="20">
        <f>VLOOKUP(A780,Metrik!$C$2:$Y$959,11,0)</f>
        <v>4.3</v>
      </c>
      <c r="L780" s="20">
        <f>VLOOKUP(A780,Metrik!$C$2:$Y$959,12,0)</f>
        <v>0.77</v>
      </c>
      <c r="M780" s="20">
        <f>VLOOKUP(A780,Metrik!$C$2:$Y$959,19,0)</f>
        <v>67.3</v>
      </c>
      <c r="N780" s="21"/>
      <c r="O780" s="21"/>
      <c r="P780" s="21"/>
      <c r="Q780" s="21"/>
      <c r="R780" s="21"/>
      <c r="S780" s="21"/>
      <c r="T780" s="21"/>
      <c r="U780" s="22">
        <f>IFERROR(__xludf.DUMMYFUNCTION("IFERROR(GOOGLEFINANCE(A780,""closeyest""),"""")"),136.0)</f>
        <v>136</v>
      </c>
      <c r="V780" s="23">
        <f>IFERROR(__xludf.DUMMYFUNCTION("IFERROR(GOOGLEFINANCE(A780,""changepct""),"""")"),6.62)</f>
        <v>6.62</v>
      </c>
      <c r="W780" s="22">
        <f>IFERROR(__xludf.DUMMYFUNCTION("IFERROR(GOOGLEFINANCE(A780,""priceopen""),"""")"),139.0)</f>
        <v>139</v>
      </c>
      <c r="X780" s="22">
        <f>IFERROR(__xludf.DUMMYFUNCTION("IFERROR(GOOGLEFINANCE(A780,""high""),"""")"),148.0)</f>
        <v>148</v>
      </c>
      <c r="Y780" s="22">
        <f>IFERROR(__xludf.DUMMYFUNCTION("IFERROR(GOOGLEFINANCE(A780,""low""),"""")"),139.0)</f>
        <v>139</v>
      </c>
      <c r="Z780" s="22">
        <f>IFERROR(__xludf.DUMMYFUNCTION("IFERROR(GOOGLEFINANCE(A780,""volume""),"""")"),1.04151E7)</f>
        <v>10415100</v>
      </c>
      <c r="AA780" s="24" t="str">
        <f>VLOOKUP(A780,Metrik!$C$2:$Y$959,5,0)</f>
        <v>Agricultural Products</v>
      </c>
      <c r="AB780" s="24" t="str">
        <f>VLOOKUP(A780,Metrik!$C$2:$Y$959,3,0)</f>
        <v>Consumer Non-Cyclicals</v>
      </c>
    </row>
    <row r="781">
      <c r="A781" s="14" t="s">
        <v>433</v>
      </c>
      <c r="B781" s="14" t="str">
        <f t="array" ref="B781">VLOOKUP(A781,{Metrik!$C$2:$C$998,Metrik!$B$2:$B$998},2,0)</f>
        <v>Himalaya Energi Perkasa Tbk.</v>
      </c>
      <c r="C781" s="15">
        <f>IFERROR(__xludf.DUMMYFUNCTION("GOOGLEFINANCE(""IDX:""&amp;A781,""price"")"),17.0)</f>
        <v>17</v>
      </c>
      <c r="D781" s="16" t="str">
        <f>IFERROR(__xludf.DUMMYFUNCTION("IF(A781="""","""",
SPARKLINE(
INDEX(
GOOGLEFINANCE(""IDX:""&amp;A781,""close"",TODAY()-365,TODAY()),
,2
),
{""linewidth"",1}
))
"),"#N/A")</f>
        <v>#N/A</v>
      </c>
      <c r="E781" s="26"/>
      <c r="F781" s="26"/>
      <c r="G781" s="24">
        <f t="shared" si="6"/>
        <v>0</v>
      </c>
      <c r="H781" s="19">
        <f>VLOOKUP(A781,Metrik!$C$2:$Y$959,8,0)</f>
        <v>-12.9</v>
      </c>
      <c r="I781" s="20">
        <f>VLOOKUP(A781,Metrik!$C$2:$Y$959,9,0)</f>
        <v>4.3</v>
      </c>
      <c r="J781" s="20">
        <f>VLOOKUP(A781,Metrik!$C$2:$Y$959,10,0)</f>
        <v>-33.3</v>
      </c>
      <c r="K781" s="20">
        <f>VLOOKUP(A781,Metrik!$C$2:$Y$959,11,0)</f>
        <v>-28.3</v>
      </c>
      <c r="L781" s="20">
        <f>VLOOKUP(A781,Metrik!$C$2:$Y$959,12,0)</f>
        <v>0.18</v>
      </c>
      <c r="M781" s="20">
        <f>VLOOKUP(A781,Metrik!$C$2:$Y$959,19,0)</f>
        <v>-250</v>
      </c>
      <c r="N781" s="21"/>
      <c r="O781" s="21"/>
      <c r="P781" s="21"/>
      <c r="Q781" s="21"/>
      <c r="R781" s="21"/>
      <c r="S781" s="21"/>
      <c r="T781" s="21"/>
      <c r="U781" s="22">
        <f>IFERROR(__xludf.DUMMYFUNCTION("IFERROR(GOOGLEFINANCE(A781,""closeyest""),"""")"),16.0)</f>
        <v>16</v>
      </c>
      <c r="V781" s="23">
        <f>IFERROR(__xludf.DUMMYFUNCTION("IFERROR(GOOGLEFINANCE(A781,""changepct""),"""")"),6.25)</f>
        <v>6.25</v>
      </c>
      <c r="W781" s="22">
        <f>IFERROR(__xludf.DUMMYFUNCTION("IFERROR(GOOGLEFINANCE(A781,""priceopen""),"""")"),16.0)</f>
        <v>16</v>
      </c>
      <c r="X781" s="22">
        <f>IFERROR(__xludf.DUMMYFUNCTION("IFERROR(GOOGLEFINANCE(A781,""high""),"""")"),17.0)</f>
        <v>17</v>
      </c>
      <c r="Y781" s="22">
        <f>IFERROR(__xludf.DUMMYFUNCTION("IFERROR(GOOGLEFINANCE(A781,""low""),"""")"),16.0)</f>
        <v>16</v>
      </c>
      <c r="Z781" s="22">
        <f>IFERROR(__xludf.DUMMYFUNCTION("IFERROR(GOOGLEFINANCE(A781,""volume""),"""")"),4283900.0)</f>
        <v>4283900</v>
      </c>
      <c r="AA781" s="24" t="str">
        <f>VLOOKUP(A781,Metrik!$C$2:$Y$959,5,0)</f>
        <v>Gas Utilities</v>
      </c>
      <c r="AB781" s="24" t="str">
        <f>VLOOKUP(A781,Metrik!$C$2:$Y$959,3,0)</f>
        <v>Infrastructures</v>
      </c>
    </row>
    <row r="782">
      <c r="A782" s="14" t="s">
        <v>434</v>
      </c>
      <c r="B782" s="14" t="str">
        <f t="array" ref="B782">VLOOKUP(A782,{Metrik!$C$2:$C$998,Metrik!$B$2:$B$998},2,0)</f>
        <v>Hasnur Internasional Shipping Tbk.</v>
      </c>
      <c r="C782" s="15">
        <f>IFERROR(__xludf.DUMMYFUNCTION("GOOGLEFINANCE(""IDX:""&amp;A782,""price"")"),176.0)</f>
        <v>176</v>
      </c>
      <c r="D782" s="16" t="str">
        <f>IFERROR(__xludf.DUMMYFUNCTION("IF(A782="""","""",
SPARKLINE(
INDEX(
GOOGLEFINANCE(""IDX:""&amp;A782,""close"",TODAY()-365,TODAY()),
,2
),
{""linewidth"",1}
))
"),"#N/A")</f>
        <v>#N/A</v>
      </c>
      <c r="E782" s="26"/>
      <c r="F782" s="26"/>
      <c r="G782" s="24">
        <f t="shared" si="6"/>
        <v>0</v>
      </c>
      <c r="H782" s="19">
        <f>VLOOKUP(A782,Metrik!$C$2:$Y$959,8,0)</f>
        <v>6.2</v>
      </c>
      <c r="I782" s="20">
        <f>VLOOKUP(A782,Metrik!$C$2:$Y$959,9,0)</f>
        <v>0.54</v>
      </c>
      <c r="J782" s="20">
        <f>VLOOKUP(A782,Metrik!$C$2:$Y$959,10,0)</f>
        <v>8.7</v>
      </c>
      <c r="K782" s="20">
        <f>VLOOKUP(A782,Metrik!$C$2:$Y$959,11,0)</f>
        <v>4.7</v>
      </c>
      <c r="L782" s="20">
        <f>VLOOKUP(A782,Metrik!$C$2:$Y$959,12,0)</f>
        <v>0.85</v>
      </c>
      <c r="M782" s="20">
        <f>VLOOKUP(A782,Metrik!$C$2:$Y$959,19,0)</f>
        <v>44.9</v>
      </c>
      <c r="N782" s="21"/>
      <c r="O782" s="21"/>
      <c r="P782" s="21"/>
      <c r="Q782" s="21"/>
      <c r="R782" s="21"/>
      <c r="S782" s="21"/>
      <c r="T782" s="21"/>
      <c r="U782" s="22">
        <f>IFERROR(__xludf.DUMMYFUNCTION("IFERROR(GOOGLEFINANCE(A782,""closeyest""),"""")"),172.0)</f>
        <v>172</v>
      </c>
      <c r="V782" s="23">
        <f>IFERROR(__xludf.DUMMYFUNCTION("IFERROR(GOOGLEFINANCE(A782,""changepct""),"""")"),2.33)</f>
        <v>2.33</v>
      </c>
      <c r="W782" s="22">
        <f>IFERROR(__xludf.DUMMYFUNCTION("IFERROR(GOOGLEFINANCE(A782,""priceopen""),"""")"),172.0)</f>
        <v>172</v>
      </c>
      <c r="X782" s="22">
        <f>IFERROR(__xludf.DUMMYFUNCTION("IFERROR(GOOGLEFINANCE(A782,""high""),"""")"),189.0)</f>
        <v>189</v>
      </c>
      <c r="Y782" s="22">
        <f>IFERROR(__xludf.DUMMYFUNCTION("IFERROR(GOOGLEFINANCE(A782,""low""),"""")"),172.0)</f>
        <v>172</v>
      </c>
      <c r="Z782" s="22">
        <f>IFERROR(__xludf.DUMMYFUNCTION("IFERROR(GOOGLEFINANCE(A782,""volume""),"""")"),1127000.0)</f>
        <v>1127000</v>
      </c>
      <c r="AA782" s="24" t="str">
        <f>VLOOKUP(A782,Metrik!$C$2:$Y$959,5,0)</f>
        <v>Logistics &amp; Deliveries</v>
      </c>
      <c r="AB782" s="24" t="str">
        <f>VLOOKUP(A782,Metrik!$C$2:$Y$959,3,0)</f>
        <v>Transportation &amp; Logistic</v>
      </c>
    </row>
    <row r="783">
      <c r="A783" s="14" t="s">
        <v>435</v>
      </c>
      <c r="B783" s="14" t="str">
        <f t="array" ref="B783">VLOOKUP(A783,{Metrik!$C$2:$C$998,Metrik!$B$2:$B$998},2,0)</f>
        <v>PT Arsy Buana Travelindo Tbk</v>
      </c>
      <c r="C783" s="15">
        <f>IFERROR(__xludf.DUMMYFUNCTION("GOOGLEFINANCE(""IDX:""&amp;A783,""price"")"),100.0)</f>
        <v>100</v>
      </c>
      <c r="D783" s="16" t="str">
        <f>IFERROR(__xludf.DUMMYFUNCTION("IF(A783="""","""",
SPARKLINE(
INDEX(
GOOGLEFINANCE(""IDX:""&amp;A783,""close"",TODAY()-365,TODAY()),
,2
),
{""linewidth"",1}
))
"),"#N/A")</f>
        <v>#N/A</v>
      </c>
      <c r="E783" s="26"/>
      <c r="F783" s="26"/>
      <c r="G783" s="24">
        <f t="shared" si="6"/>
        <v>0</v>
      </c>
      <c r="H783" s="19">
        <f>VLOOKUP(A783,Metrik!$C$2:$Y$959,8,0)</f>
        <v>210</v>
      </c>
      <c r="I783" s="20">
        <f>VLOOKUP(A783,Metrik!$C$2:$Y$959,9,0)</f>
        <v>1.2</v>
      </c>
      <c r="J783" s="20">
        <f>VLOOKUP(A783,Metrik!$C$2:$Y$959,10,0)</f>
        <v>0.58</v>
      </c>
      <c r="K783" s="20">
        <f>VLOOKUP(A783,Metrik!$C$2:$Y$959,11,0)</f>
        <v>0.29</v>
      </c>
      <c r="L783" s="20">
        <f>VLOOKUP(A783,Metrik!$C$2:$Y$959,12,0)</f>
        <v>1</v>
      </c>
      <c r="M783" s="20">
        <f>VLOOKUP(A783,Metrik!$C$2:$Y$959,19,0)</f>
        <v>0.45</v>
      </c>
      <c r="N783" s="21"/>
      <c r="O783" s="21"/>
      <c r="P783" s="21"/>
      <c r="Q783" s="21"/>
      <c r="R783" s="21"/>
      <c r="S783" s="21"/>
      <c r="T783" s="21"/>
      <c r="U783" s="22">
        <f>IFERROR(__xludf.DUMMYFUNCTION("IFERROR(GOOGLEFINANCE(A783,""closeyest""),"""")"),95.0)</f>
        <v>95</v>
      </c>
      <c r="V783" s="23">
        <f>IFERROR(__xludf.DUMMYFUNCTION("IFERROR(GOOGLEFINANCE(A783,""changepct""),"""")"),5.26)</f>
        <v>5.26</v>
      </c>
      <c r="W783" s="22">
        <f>IFERROR(__xludf.DUMMYFUNCTION("IFERROR(GOOGLEFINANCE(A783,""priceopen""),"""")"),95.0)</f>
        <v>95</v>
      </c>
      <c r="X783" s="22">
        <f>IFERROR(__xludf.DUMMYFUNCTION("IFERROR(GOOGLEFINANCE(A783,""high""),"""")"),103.0)</f>
        <v>103</v>
      </c>
      <c r="Y783" s="22">
        <f>IFERROR(__xludf.DUMMYFUNCTION("IFERROR(GOOGLEFINANCE(A783,""low""),"""")"),94.0)</f>
        <v>94</v>
      </c>
      <c r="Z783" s="22">
        <f>IFERROR(__xludf.DUMMYFUNCTION("IFERROR(GOOGLEFINANCE(A783,""volume""),"""")"),8756100.0)</f>
        <v>8756100</v>
      </c>
      <c r="AA783" s="24" t="str">
        <f>VLOOKUP(A783,Metrik!$C$2:$Y$959,5,0)</f>
        <v>Tourism &amp; Recreation</v>
      </c>
      <c r="AB783" s="24" t="str">
        <f>VLOOKUP(A783,Metrik!$C$2:$Y$959,3,0)</f>
        <v>Consumer Cyclicals</v>
      </c>
    </row>
    <row r="784">
      <c r="A784" s="14" t="s">
        <v>436</v>
      </c>
      <c r="B784" s="14" t="str">
        <f t="array" ref="B784">VLOOKUP(A784,{Metrik!$C$2:$C$998,Metrik!$B$2:$B$998},2,0)</f>
        <v>PT Haloni Jane Tbk</v>
      </c>
      <c r="C784" s="15">
        <f>IFERROR(__xludf.DUMMYFUNCTION("GOOGLEFINANCE(""IDX:""&amp;A784,""price"")"),62.0)</f>
        <v>62</v>
      </c>
      <c r="D784" s="16" t="str">
        <f>IFERROR(__xludf.DUMMYFUNCTION("IF(A784="""","""",
SPARKLINE(
INDEX(
GOOGLEFINANCE(""IDX:""&amp;A784,""close"",TODAY()-365,TODAY()),
,2
),
{""linewidth"",1}
))
"),"#N/A")</f>
        <v>#N/A</v>
      </c>
      <c r="E784" s="26"/>
      <c r="F784" s="26"/>
      <c r="G784" s="24">
        <f t="shared" si="6"/>
        <v>0</v>
      </c>
      <c r="H784" s="19">
        <f>VLOOKUP(A784,Metrik!$C$2:$Y$959,8,0)</f>
        <v>71.9</v>
      </c>
      <c r="I784" s="20">
        <f>VLOOKUP(A784,Metrik!$C$2:$Y$959,9,0)</f>
        <v>1.8</v>
      </c>
      <c r="J784" s="20">
        <f>VLOOKUP(A784,Metrik!$C$2:$Y$959,10,0)</f>
        <v>2.5</v>
      </c>
      <c r="K784" s="20">
        <f>VLOOKUP(A784,Metrik!$C$2:$Y$959,11,0)</f>
        <v>1.8</v>
      </c>
      <c r="L784" s="20">
        <f>VLOOKUP(A784,Metrik!$C$2:$Y$959,12,0)</f>
        <v>0.37</v>
      </c>
      <c r="M784" s="20">
        <f>VLOOKUP(A784,Metrik!$C$2:$Y$959,19,0)</f>
        <v>14.3</v>
      </c>
      <c r="N784" s="21"/>
      <c r="O784" s="21"/>
      <c r="P784" s="21"/>
      <c r="Q784" s="21"/>
      <c r="R784" s="21"/>
      <c r="S784" s="21"/>
      <c r="T784" s="21"/>
      <c r="U784" s="22">
        <f>IFERROR(__xludf.DUMMYFUNCTION("IFERROR(GOOGLEFINANCE(A784,""closeyest""),"""")"),70.73)</f>
        <v>70.73</v>
      </c>
      <c r="V784" s="23">
        <f>IFERROR(__xludf.DUMMYFUNCTION("IFERROR(GOOGLEFINANCE(A784,""changepct""),"""")"),-1.74)</f>
        <v>-1.74</v>
      </c>
      <c r="W784" s="22">
        <f>IFERROR(__xludf.DUMMYFUNCTION("IFERROR(GOOGLEFINANCE(A784,""priceopen""),"""")"),71.01)</f>
        <v>71.01</v>
      </c>
      <c r="X784" s="22">
        <f>IFERROR(__xludf.DUMMYFUNCTION("IFERROR(GOOGLEFINANCE(A784,""high""),"""")"),71.81)</f>
        <v>71.81</v>
      </c>
      <c r="Y784" s="22">
        <f>IFERROR(__xludf.DUMMYFUNCTION("IFERROR(GOOGLEFINANCE(A784,""low""),"""")"),69.32)</f>
        <v>69.32</v>
      </c>
      <c r="Z784" s="22">
        <f>IFERROR(__xludf.DUMMYFUNCTION("IFERROR(GOOGLEFINANCE(A784,""volume""),"""")"),1042049.0)</f>
        <v>1042049</v>
      </c>
      <c r="AA784" s="24" t="str">
        <f>VLOOKUP(A784,Metrik!$C$2:$Y$959,5,0)</f>
        <v>Healthcare Equipment &amp; Supplies</v>
      </c>
      <c r="AB784" s="24" t="str">
        <f>VLOOKUP(A784,Metrik!$C$2:$Y$959,3,0)</f>
        <v>Healthcare</v>
      </c>
    </row>
    <row r="785">
      <c r="A785" s="14" t="s">
        <v>437</v>
      </c>
      <c r="B785" s="14" t="str">
        <f t="array" ref="B785">VLOOKUP(A785,{Metrik!$C$2:$C$998,Metrik!$B$2:$B$998},2,0)</f>
        <v>Habco Trans Maritima Tbk.</v>
      </c>
      <c r="C785" s="15">
        <f>IFERROR(__xludf.DUMMYFUNCTION("GOOGLEFINANCE(""IDX:""&amp;A785,""price"")"),330.0)</f>
        <v>330</v>
      </c>
      <c r="D785" s="16" t="str">
        <f>IFERROR(__xludf.DUMMYFUNCTION("IF(A785="""","""",
SPARKLINE(
INDEX(
GOOGLEFINANCE(""IDX:""&amp;A785,""close"",TODAY()-365,TODAY()),
,2
),
{""linewidth"",1}
))
"),"#N/A")</f>
        <v>#N/A</v>
      </c>
      <c r="E785" s="26"/>
      <c r="F785" s="26"/>
      <c r="G785" s="24">
        <f t="shared" si="6"/>
        <v>0</v>
      </c>
      <c r="H785" s="19">
        <f>VLOOKUP(A785,Metrik!$C$2:$Y$959,8,0)</f>
        <v>53</v>
      </c>
      <c r="I785" s="20">
        <f>VLOOKUP(A785,Metrik!$C$2:$Y$959,9,0)</f>
        <v>1.8</v>
      </c>
      <c r="J785" s="20">
        <f>VLOOKUP(A785,Metrik!$C$2:$Y$959,10,0)</f>
        <v>3.4</v>
      </c>
      <c r="K785" s="20">
        <f>VLOOKUP(A785,Metrik!$C$2:$Y$959,11,0)</f>
        <v>2.9</v>
      </c>
      <c r="L785" s="20">
        <f>VLOOKUP(A785,Metrik!$C$2:$Y$959,12,0)</f>
        <v>0.17</v>
      </c>
      <c r="M785" s="20">
        <f>VLOOKUP(A785,Metrik!$C$2:$Y$959,19,0)</f>
        <v>24.2</v>
      </c>
      <c r="N785" s="21"/>
      <c r="O785" s="21"/>
      <c r="P785" s="21"/>
      <c r="Q785" s="21"/>
      <c r="R785" s="21"/>
      <c r="S785" s="21"/>
      <c r="T785" s="21"/>
      <c r="U785" s="22">
        <f>IFERROR(__xludf.DUMMYFUNCTION("IFERROR(GOOGLEFINANCE(A785,""closeyest""),"""")"),320.0)</f>
        <v>320</v>
      </c>
      <c r="V785" s="23">
        <f>IFERROR(__xludf.DUMMYFUNCTION("IFERROR(GOOGLEFINANCE(A785,""changepct""),"""")"),3.13)</f>
        <v>3.13</v>
      </c>
      <c r="W785" s="22">
        <f>IFERROR(__xludf.DUMMYFUNCTION("IFERROR(GOOGLEFINANCE(A785,""priceopen""),"""")"),320.0)</f>
        <v>320</v>
      </c>
      <c r="X785" s="22">
        <f>IFERROR(__xludf.DUMMYFUNCTION("IFERROR(GOOGLEFINANCE(A785,""high""),"""")"),332.0)</f>
        <v>332</v>
      </c>
      <c r="Y785" s="22">
        <f>IFERROR(__xludf.DUMMYFUNCTION("IFERROR(GOOGLEFINANCE(A785,""low""),"""")"),320.0)</f>
        <v>320</v>
      </c>
      <c r="Z785" s="22">
        <f>IFERROR(__xludf.DUMMYFUNCTION("IFERROR(GOOGLEFINANCE(A785,""volume""),"""")"),2.70985E7)</f>
        <v>27098500</v>
      </c>
      <c r="AA785" s="24" t="str">
        <f>VLOOKUP(A785,Metrik!$C$2:$Y$959,5,0)</f>
        <v>Logistics &amp; Deliveries</v>
      </c>
      <c r="AB785" s="24" t="str">
        <f>VLOOKUP(A785,Metrik!$C$2:$Y$959,3,0)</f>
        <v>Transportation &amp; Logistic</v>
      </c>
    </row>
    <row r="786">
      <c r="A786" s="14" t="s">
        <v>438</v>
      </c>
      <c r="B786" s="14" t="str">
        <f t="array" ref="B786">VLOOKUP(A786,{Metrik!$C$2:$C$998,Metrik!$B$2:$B$998},2,0)</f>
        <v>PT Minahasa Membangun Hebat Tbk</v>
      </c>
      <c r="C786" s="15">
        <f>IFERROR(__xludf.DUMMYFUNCTION("GOOGLEFINANCE(""IDX:""&amp;A786,""price"")"),410.0)</f>
        <v>410</v>
      </c>
      <c r="D786" s="16" t="str">
        <f>IFERROR(__xludf.DUMMYFUNCTION("IF(A786="""","""",
SPARKLINE(
INDEX(
GOOGLEFINANCE(""IDX:""&amp;A786,""close"",TODAY()-365,TODAY()),
,2
),
{""linewidth"",1}
))
"),"#N/A")</f>
        <v>#N/A</v>
      </c>
      <c r="E786" s="26"/>
      <c r="F786" s="26"/>
      <c r="G786" s="24">
        <f t="shared" si="6"/>
        <v>0</v>
      </c>
      <c r="H786" s="19">
        <f>VLOOKUP(A786,Metrik!$C$2:$Y$959,8,0)</f>
        <v>190</v>
      </c>
      <c r="I786" s="20">
        <f>VLOOKUP(A786,Metrik!$C$2:$Y$959,9,0)</f>
        <v>6.4</v>
      </c>
      <c r="J786" s="20">
        <f>VLOOKUP(A786,Metrik!$C$2:$Y$959,10,0)</f>
        <v>3.4</v>
      </c>
      <c r="K786" s="20">
        <f>VLOOKUP(A786,Metrik!$C$2:$Y$959,11,0)</f>
        <v>3.2</v>
      </c>
      <c r="L786" s="20">
        <f>VLOOKUP(A786,Metrik!$C$2:$Y$959,12,0)</f>
        <v>0.04</v>
      </c>
      <c r="M786" s="20">
        <f>VLOOKUP(A786,Metrik!$C$2:$Y$959,19,0)</f>
        <v>11.2</v>
      </c>
      <c r="N786" s="21"/>
      <c r="O786" s="21"/>
      <c r="P786" s="21"/>
      <c r="Q786" s="21"/>
      <c r="R786" s="21"/>
      <c r="S786" s="21"/>
      <c r="T786" s="21"/>
      <c r="U786" s="22">
        <f>IFERROR(__xludf.DUMMYFUNCTION("IFERROR(GOOGLEFINANCE(A786,""closeyest""),"""")"),390.0)</f>
        <v>390</v>
      </c>
      <c r="V786" s="23">
        <f>IFERROR(__xludf.DUMMYFUNCTION("IFERROR(GOOGLEFINANCE(A786,""changepct""),"""")"),5.13)</f>
        <v>5.13</v>
      </c>
      <c r="W786" s="22">
        <f>IFERROR(__xludf.DUMMYFUNCTION("IFERROR(GOOGLEFINANCE(A786,""priceopen""),"""")"),410.0)</f>
        <v>410</v>
      </c>
      <c r="X786" s="22">
        <f>IFERROR(__xludf.DUMMYFUNCTION("IFERROR(GOOGLEFINANCE(A786,""high""),"""")"),414.0)</f>
        <v>414</v>
      </c>
      <c r="Y786" s="22">
        <f>IFERROR(__xludf.DUMMYFUNCTION("IFERROR(GOOGLEFINANCE(A786,""low""),"""")"),366.0)</f>
        <v>366</v>
      </c>
      <c r="Z786" s="22">
        <f>IFERROR(__xludf.DUMMYFUNCTION("IFERROR(GOOGLEFINANCE(A786,""volume""),"""")"),840600.0)</f>
        <v>840600</v>
      </c>
      <c r="AA786" s="24" t="str">
        <f>VLOOKUP(A786,Metrik!$C$2:$Y$959,5,0)</f>
        <v>Real Estate Management &amp; Development</v>
      </c>
      <c r="AB786" s="24" t="str">
        <f>VLOOKUP(A786,Metrik!$C$2:$Y$959,3,0)</f>
        <v>Properties &amp; Real Estate</v>
      </c>
    </row>
    <row r="787">
      <c r="A787" s="14" t="s">
        <v>439</v>
      </c>
      <c r="B787" s="14" t="str">
        <f t="array" ref="B787">VLOOKUP(A787,{Metrik!$C$2:$C$998,Metrik!$B$2:$B$998},2,0)</f>
        <v>Radana Bhaskara Finance Tbk.</v>
      </c>
      <c r="C787" s="15" t="str">
        <f>IFERROR(__xludf.DUMMYFUNCTION("GOOGLEFINANCE(""IDX:""&amp;A787,""price"")"),"#N/A")</f>
        <v>#N/A</v>
      </c>
      <c r="D787" s="16" t="str">
        <f>IFERROR(__xludf.DUMMYFUNCTION("IF(A787="""","""",
SPARKLINE(
INDEX(
GOOGLEFINANCE(""IDX:""&amp;A787,""close"",TODAY()-365,TODAY()),
,2
),
{""linewidth"",1}
))
"),"#N/A")</f>
        <v>#N/A</v>
      </c>
      <c r="E787" s="26"/>
      <c r="F787" s="26"/>
      <c r="G787" s="24">
        <f t="shared" si="6"/>
        <v>0</v>
      </c>
      <c r="H787" s="19">
        <f>VLOOKUP(A787,Metrik!$C$2:$Y$959,8,0)</f>
        <v>-7.1</v>
      </c>
      <c r="I787" s="20">
        <f>VLOOKUP(A787,Metrik!$C$2:$Y$959,9,0)</f>
        <v>1.2</v>
      </c>
      <c r="J787" s="20">
        <f>VLOOKUP(A787,Metrik!$C$2:$Y$959,10,0)</f>
        <v>-16.9</v>
      </c>
      <c r="K787" s="20">
        <f>VLOOKUP(A787,Metrik!$C$2:$Y$959,11,0)</f>
        <v>-2.7</v>
      </c>
      <c r="L787" s="20">
        <f>VLOOKUP(A787,Metrik!$C$2:$Y$959,12,0)</f>
        <v>5.4</v>
      </c>
      <c r="M787" s="20">
        <f>VLOOKUP(A787,Metrik!$C$2:$Y$959,19,0)</f>
        <v>-90.3</v>
      </c>
      <c r="N787" s="21"/>
      <c r="O787" s="21"/>
      <c r="P787" s="21"/>
      <c r="Q787" s="21"/>
      <c r="R787" s="21"/>
      <c r="S787" s="21"/>
      <c r="T787" s="21"/>
      <c r="U787" s="22">
        <f>IFERROR(__xludf.DUMMYFUNCTION("IFERROR(GOOGLEFINANCE(A787,""closeyest""),"""")"),19.9)</f>
        <v>19.9</v>
      </c>
      <c r="V787" s="23">
        <f>IFERROR(__xludf.DUMMYFUNCTION("IFERROR(GOOGLEFINANCE(A787,""changepct""),"""")"),1.51)</f>
        <v>1.51</v>
      </c>
      <c r="W787" s="22">
        <f>IFERROR(__xludf.DUMMYFUNCTION("IFERROR(GOOGLEFINANCE(A787,""priceopen""),"""")"),20.2)</f>
        <v>20.2</v>
      </c>
      <c r="X787" s="22">
        <f>IFERROR(__xludf.DUMMYFUNCTION("IFERROR(GOOGLEFINANCE(A787,""high""),"""")"),20.2)</f>
        <v>20.2</v>
      </c>
      <c r="Y787" s="22">
        <f>IFERROR(__xludf.DUMMYFUNCTION("IFERROR(GOOGLEFINANCE(A787,""low""),"""")"),20.2)</f>
        <v>20.2</v>
      </c>
      <c r="Z787" s="22">
        <f>IFERROR(__xludf.DUMMYFUNCTION("IFERROR(GOOGLEFINANCE(A787,""volume""),"""")"),0.0)</f>
        <v>0</v>
      </c>
      <c r="AA787" s="24" t="str">
        <f>VLOOKUP(A787,Metrik!$C$2:$Y$959,5,0)</f>
        <v>Consumer Financing</v>
      </c>
      <c r="AB787" s="24" t="str">
        <f>VLOOKUP(A787,Metrik!$C$2:$Y$959,3,0)</f>
        <v>Financials</v>
      </c>
    </row>
    <row r="788">
      <c r="A788" s="14" t="s">
        <v>440</v>
      </c>
      <c r="B788" s="14" t="str">
        <f t="array" ref="B788">VLOOKUP(A788,{Metrik!$C$2:$C$998,Metrik!$B$2:$B$998},2,0)</f>
        <v>Hensel Davest Indonesia Tbk.</v>
      </c>
      <c r="C788" s="15">
        <f>IFERROR(__xludf.DUMMYFUNCTION("GOOGLEFINANCE(""IDX:""&amp;A788,""price"")"),51.0)</f>
        <v>51</v>
      </c>
      <c r="D788" s="16" t="str">
        <f>IFERROR(__xludf.DUMMYFUNCTION("IF(A788="""","""",
SPARKLINE(
INDEX(
GOOGLEFINANCE(""IDX:""&amp;A788,""close"",TODAY()-365,TODAY()),
,2
),
{""linewidth"",1}
))
"),"#N/A")</f>
        <v>#N/A</v>
      </c>
      <c r="E788" s="26"/>
      <c r="F788" s="26"/>
      <c r="G788" s="24">
        <f t="shared" si="6"/>
        <v>0</v>
      </c>
      <c r="H788" s="19">
        <f>VLOOKUP(A788,Metrik!$C$2:$Y$959,8,0)</f>
        <v>-12.5</v>
      </c>
      <c r="I788" s="20">
        <f>VLOOKUP(A788,Metrik!$C$2:$Y$959,9,0)</f>
        <v>0.33</v>
      </c>
      <c r="J788" s="20">
        <f>VLOOKUP(A788,Metrik!$C$2:$Y$959,10,0)</f>
        <v>-2.7</v>
      </c>
      <c r="K788" s="20">
        <f>VLOOKUP(A788,Metrik!$C$2:$Y$959,11,0)</f>
        <v>-2.2</v>
      </c>
      <c r="L788" s="20">
        <f>VLOOKUP(A788,Metrik!$C$2:$Y$959,12,0)</f>
        <v>0.2</v>
      </c>
      <c r="M788" s="20">
        <f>VLOOKUP(A788,Metrik!$C$2:$Y$959,19,0)</f>
        <v>-2470</v>
      </c>
      <c r="N788" s="21"/>
      <c r="O788" s="21"/>
      <c r="P788" s="21"/>
      <c r="Q788" s="21"/>
      <c r="R788" s="21"/>
      <c r="S788" s="21"/>
      <c r="T788" s="21"/>
      <c r="U788" s="22">
        <f>IFERROR(__xludf.DUMMYFUNCTION("IFERROR(GOOGLEFINANCE(A788,""closeyest""),"""")"),50.0)</f>
        <v>50</v>
      </c>
      <c r="V788" s="23">
        <f>IFERROR(__xludf.DUMMYFUNCTION("IFERROR(GOOGLEFINANCE(A788,""changepct""),"""")"),2.0)</f>
        <v>2</v>
      </c>
      <c r="W788" s="22">
        <f>IFERROR(__xludf.DUMMYFUNCTION("IFERROR(GOOGLEFINANCE(A788,""priceopen""),"""")"),51.0)</f>
        <v>51</v>
      </c>
      <c r="X788" s="22">
        <f>IFERROR(__xludf.DUMMYFUNCTION("IFERROR(GOOGLEFINANCE(A788,""high""),"""")"),53.0)</f>
        <v>53</v>
      </c>
      <c r="Y788" s="22">
        <f>IFERROR(__xludf.DUMMYFUNCTION("IFERROR(GOOGLEFINANCE(A788,""low""),"""")"),50.0)</f>
        <v>50</v>
      </c>
      <c r="Z788" s="22">
        <f>IFERROR(__xludf.DUMMYFUNCTION("IFERROR(GOOGLEFINANCE(A788,""volume""),"""")"),7960800.0)</f>
        <v>7960800</v>
      </c>
      <c r="AA788" s="24" t="str">
        <f>VLOOKUP(A788,Metrik!$C$2:$Y$959,5,0)</f>
        <v>Online Applications &amp; Services</v>
      </c>
      <c r="AB788" s="24" t="str">
        <f>VLOOKUP(A788,Metrik!$C$2:$Y$959,3,0)</f>
        <v>Technology</v>
      </c>
    </row>
    <row r="789">
      <c r="A789" s="14" t="s">
        <v>441</v>
      </c>
      <c r="B789" s="14" t="str">
        <f t="array" ref="B789">VLOOKUP(A789,{Metrik!$C$2:$C$998,Metrik!$B$2:$B$998},2,0)</f>
        <v>Medikaloka Hermina Tbk.</v>
      </c>
      <c r="C789" s="15">
        <f>IFERROR(__xludf.DUMMYFUNCTION("GOOGLEFINANCE(""IDX:""&amp;A789,""price"")"),845.0)</f>
        <v>845</v>
      </c>
      <c r="D789" s="16" t="str">
        <f>IFERROR(__xludf.DUMMYFUNCTION("IF(A789="""","""",
SPARKLINE(
INDEX(
GOOGLEFINANCE(""IDX:""&amp;A789,""close"",TODAY()-365,TODAY()),
,2
),
{""linewidth"",1}
))
"),"#N/A")</f>
        <v>#N/A</v>
      </c>
      <c r="E789" s="14" t="s">
        <v>28</v>
      </c>
      <c r="F789" s="17" t="s">
        <v>29</v>
      </c>
      <c r="G789" s="24">
        <f t="shared" si="6"/>
        <v>6</v>
      </c>
      <c r="H789" s="19">
        <f>VLOOKUP(A789,Metrik!$C$2:$Y$959,8,0)</f>
        <v>35.8</v>
      </c>
      <c r="I789" s="20">
        <f>VLOOKUP(A789,Metrik!$C$2:$Y$959,9,0)</f>
        <v>2</v>
      </c>
      <c r="J789" s="20">
        <f>VLOOKUP(A789,Metrik!$C$2:$Y$959,10,0)</f>
        <v>5.6</v>
      </c>
      <c r="K789" s="20">
        <f>VLOOKUP(A789,Metrik!$C$2:$Y$959,11,0)</f>
        <v>3.4</v>
      </c>
      <c r="L789" s="20">
        <f>VLOOKUP(A789,Metrik!$C$2:$Y$959,12,0)</f>
        <v>0.66</v>
      </c>
      <c r="M789" s="20">
        <f>VLOOKUP(A789,Metrik!$C$2:$Y$959,19,0)</f>
        <v>22.8</v>
      </c>
      <c r="N789" s="21"/>
      <c r="O789" s="21"/>
      <c r="P789" s="21"/>
      <c r="Q789" s="21"/>
      <c r="R789" s="21"/>
      <c r="S789" s="21"/>
      <c r="T789" s="21"/>
      <c r="U789" s="22">
        <f>IFERROR(__xludf.DUMMYFUNCTION("IFERROR(GOOGLEFINANCE(A789,""closeyest""),"""")"),26.02)</f>
        <v>26.02</v>
      </c>
      <c r="V789" s="23">
        <f>IFERROR(__xludf.DUMMYFUNCTION("IFERROR(GOOGLEFINANCE(A789,""changepct""),"""")"),-1.04)</f>
        <v>-1.04</v>
      </c>
      <c r="W789" s="22">
        <f>IFERROR(__xludf.DUMMYFUNCTION("IFERROR(GOOGLEFINANCE(A789,""priceopen""),"""")"),25.76)</f>
        <v>25.76</v>
      </c>
      <c r="X789" s="22">
        <f>IFERROR(__xludf.DUMMYFUNCTION("IFERROR(GOOGLEFINANCE(A789,""high""),"""")"),26.06)</f>
        <v>26.06</v>
      </c>
      <c r="Y789" s="22">
        <f>IFERROR(__xludf.DUMMYFUNCTION("IFERROR(GOOGLEFINANCE(A789,""low""),"""")"),25.62)</f>
        <v>25.62</v>
      </c>
      <c r="Z789" s="22">
        <f>IFERROR(__xludf.DUMMYFUNCTION("IFERROR(GOOGLEFINANCE(A789,""volume""),"""")"),4489.0)</f>
        <v>4489</v>
      </c>
      <c r="AA789" s="24" t="str">
        <f>VLOOKUP(A789,Metrik!$C$2:$Y$959,5,0)</f>
        <v>Healthcare Providers</v>
      </c>
      <c r="AB789" s="24" t="str">
        <f>VLOOKUP(A789,Metrik!$C$2:$Y$959,3,0)</f>
        <v>Healthcare</v>
      </c>
    </row>
    <row r="790">
      <c r="A790" s="14" t="s">
        <v>441</v>
      </c>
      <c r="B790" s="14" t="str">
        <f t="array" ref="B790">VLOOKUP(A790,{Metrik!$C$2:$C$998,Metrik!$B$2:$B$998},2,0)</f>
        <v>Medikaloka Hermina Tbk.</v>
      </c>
      <c r="C790" s="15">
        <f>IFERROR(__xludf.DUMMYFUNCTION("GOOGLEFINANCE(""IDX:""&amp;A790,""price"")"),845.0)</f>
        <v>845</v>
      </c>
      <c r="D790" s="16" t="str">
        <f>IFERROR(__xludf.DUMMYFUNCTION("IF(A790="""","""",
SPARKLINE(
INDEX(
GOOGLEFINANCE(""IDX:""&amp;A790,""close"",TODAY()-365,TODAY()),
,2
),
{""linewidth"",1}
))
"),"#N/A")</f>
        <v>#N/A</v>
      </c>
      <c r="E790" s="14" t="s">
        <v>32</v>
      </c>
      <c r="F790" s="14" t="s">
        <v>29</v>
      </c>
      <c r="G790" s="24">
        <f t="shared" si="6"/>
        <v>6</v>
      </c>
      <c r="H790" s="19">
        <f>VLOOKUP(A790,Metrik!$C$2:$Y$959,8,0)</f>
        <v>35.8</v>
      </c>
      <c r="I790" s="20">
        <f>VLOOKUP(A790,Metrik!$C$2:$Y$959,9,0)</f>
        <v>2</v>
      </c>
      <c r="J790" s="20">
        <f>VLOOKUP(A790,Metrik!$C$2:$Y$959,10,0)</f>
        <v>5.6</v>
      </c>
      <c r="K790" s="20">
        <f>VLOOKUP(A790,Metrik!$C$2:$Y$959,11,0)</f>
        <v>3.4</v>
      </c>
      <c r="L790" s="20">
        <f>VLOOKUP(A790,Metrik!$C$2:$Y$959,12,0)</f>
        <v>0.66</v>
      </c>
      <c r="M790" s="20">
        <f>VLOOKUP(A790,Metrik!$C$2:$Y$959,19,0)</f>
        <v>22.8</v>
      </c>
      <c r="N790" s="21"/>
      <c r="O790" s="21"/>
      <c r="P790" s="21"/>
      <c r="Q790" s="21"/>
      <c r="R790" s="21"/>
      <c r="S790" s="21"/>
      <c r="T790" s="21"/>
      <c r="U790" s="22">
        <f>IFERROR(__xludf.DUMMYFUNCTION("IFERROR(GOOGLEFINANCE(A790,""closeyest""),"""")"),26.02)</f>
        <v>26.02</v>
      </c>
      <c r="V790" s="23">
        <f>IFERROR(__xludf.DUMMYFUNCTION("IFERROR(GOOGLEFINANCE(A790,""changepct""),"""")"),-1.04)</f>
        <v>-1.04</v>
      </c>
      <c r="W790" s="22">
        <f>IFERROR(__xludf.DUMMYFUNCTION("IFERROR(GOOGLEFINANCE(A790,""priceopen""),"""")"),25.76)</f>
        <v>25.76</v>
      </c>
      <c r="X790" s="22">
        <f>IFERROR(__xludf.DUMMYFUNCTION("IFERROR(GOOGLEFINANCE(A790,""high""),"""")"),26.06)</f>
        <v>26.06</v>
      </c>
      <c r="Y790" s="22">
        <f>IFERROR(__xludf.DUMMYFUNCTION("IFERROR(GOOGLEFINANCE(A790,""low""),"""")"),25.62)</f>
        <v>25.62</v>
      </c>
      <c r="Z790" s="22">
        <f>IFERROR(__xludf.DUMMYFUNCTION("IFERROR(GOOGLEFINANCE(A790,""volume""),"""")"),4489.0)</f>
        <v>4489</v>
      </c>
      <c r="AA790" s="24" t="str">
        <f>VLOOKUP(A790,Metrik!$C$2:$Y$959,5,0)</f>
        <v>Healthcare Providers</v>
      </c>
      <c r="AB790" s="24" t="str">
        <f>VLOOKUP(A790,Metrik!$C$2:$Y$959,3,0)</f>
        <v>Healthcare</v>
      </c>
    </row>
    <row r="791">
      <c r="A791" s="14" t="s">
        <v>441</v>
      </c>
      <c r="B791" s="14" t="str">
        <f t="array" ref="B791">VLOOKUP(A791,{Metrik!$C$2:$C$998,Metrik!$B$2:$B$998},2,0)</f>
        <v>Medikaloka Hermina Tbk.</v>
      </c>
      <c r="C791" s="15">
        <f>IFERROR(__xludf.DUMMYFUNCTION("GOOGLEFINANCE(""IDX:""&amp;A791,""price"")"),845.0)</f>
        <v>845</v>
      </c>
      <c r="D791" s="16" t="str">
        <f>IFERROR(__xludf.DUMMYFUNCTION("IF(A791="""","""",
SPARKLINE(
INDEX(
GOOGLEFINANCE(""IDX:""&amp;A791,""close"",TODAY()-365,TODAY()),
,2
),
{""linewidth"",1}
))
"),"#N/A")</f>
        <v>#N/A</v>
      </c>
      <c r="E791" s="14" t="s">
        <v>161</v>
      </c>
      <c r="F791" s="14" t="s">
        <v>76</v>
      </c>
      <c r="G791" s="24">
        <f t="shared" si="6"/>
        <v>6</v>
      </c>
      <c r="H791" s="19">
        <f>VLOOKUP(A791,Metrik!$C$2:$Y$959,8,0)</f>
        <v>35.8</v>
      </c>
      <c r="I791" s="20">
        <f>VLOOKUP(A791,Metrik!$C$2:$Y$959,9,0)</f>
        <v>2</v>
      </c>
      <c r="J791" s="20">
        <f>VLOOKUP(A791,Metrik!$C$2:$Y$959,10,0)</f>
        <v>5.6</v>
      </c>
      <c r="K791" s="20">
        <f>VLOOKUP(A791,Metrik!$C$2:$Y$959,11,0)</f>
        <v>3.4</v>
      </c>
      <c r="L791" s="20">
        <f>VLOOKUP(A791,Metrik!$C$2:$Y$959,12,0)</f>
        <v>0.66</v>
      </c>
      <c r="M791" s="20">
        <f>VLOOKUP(A791,Metrik!$C$2:$Y$959,19,0)</f>
        <v>22.8</v>
      </c>
      <c r="N791" s="21"/>
      <c r="O791" s="21"/>
      <c r="P791" s="21"/>
      <c r="Q791" s="21"/>
      <c r="R791" s="21"/>
      <c r="S791" s="21"/>
      <c r="T791" s="21"/>
      <c r="U791" s="22">
        <f>IFERROR(__xludf.DUMMYFUNCTION("IFERROR(GOOGLEFINANCE(A791,""closeyest""),"""")"),26.02)</f>
        <v>26.02</v>
      </c>
      <c r="V791" s="23">
        <f>IFERROR(__xludf.DUMMYFUNCTION("IFERROR(GOOGLEFINANCE(A791,""changepct""),"""")"),-1.04)</f>
        <v>-1.04</v>
      </c>
      <c r="W791" s="22">
        <f>IFERROR(__xludf.DUMMYFUNCTION("IFERROR(GOOGLEFINANCE(A791,""priceopen""),"""")"),25.76)</f>
        <v>25.76</v>
      </c>
      <c r="X791" s="22">
        <f>IFERROR(__xludf.DUMMYFUNCTION("IFERROR(GOOGLEFINANCE(A791,""high""),"""")"),26.06)</f>
        <v>26.06</v>
      </c>
      <c r="Y791" s="22">
        <f>IFERROR(__xludf.DUMMYFUNCTION("IFERROR(GOOGLEFINANCE(A791,""low""),"""")"),25.62)</f>
        <v>25.62</v>
      </c>
      <c r="Z791" s="22">
        <f>IFERROR(__xludf.DUMMYFUNCTION("IFERROR(GOOGLEFINANCE(A791,""volume""),"""")"),4489.0)</f>
        <v>4489</v>
      </c>
      <c r="AA791" s="24" t="str">
        <f>VLOOKUP(A791,Metrik!$C$2:$Y$959,5,0)</f>
        <v>Healthcare Providers</v>
      </c>
      <c r="AB791" s="24" t="str">
        <f>VLOOKUP(A791,Metrik!$C$2:$Y$959,3,0)</f>
        <v>Healthcare</v>
      </c>
    </row>
    <row r="792">
      <c r="A792" s="14" t="s">
        <v>441</v>
      </c>
      <c r="B792" s="14" t="str">
        <f t="array" ref="B792">VLOOKUP(A792,{Metrik!$C$2:$C$998,Metrik!$B$2:$B$998},2,0)</f>
        <v>Medikaloka Hermina Tbk.</v>
      </c>
      <c r="C792" s="15">
        <f>IFERROR(__xludf.DUMMYFUNCTION("GOOGLEFINANCE(""IDX:""&amp;A792,""price"")"),845.0)</f>
        <v>845</v>
      </c>
      <c r="D792" s="16" t="str">
        <f>IFERROR(__xludf.DUMMYFUNCTION("IF(A792="""","""",
SPARKLINE(
INDEX(
GOOGLEFINANCE(""IDX:""&amp;A792,""close"",TODAY()-365,TODAY()),
,2
),
{""linewidth"",1}
))
"),"#N/A")</f>
        <v>#N/A</v>
      </c>
      <c r="E792" s="14" t="s">
        <v>41</v>
      </c>
      <c r="F792" s="14" t="s">
        <v>34</v>
      </c>
      <c r="G792" s="24">
        <f t="shared" si="6"/>
        <v>6</v>
      </c>
      <c r="H792" s="19">
        <f>VLOOKUP(A792,Metrik!$C$2:$Y$959,8,0)</f>
        <v>35.8</v>
      </c>
      <c r="I792" s="20">
        <f>VLOOKUP(A792,Metrik!$C$2:$Y$959,9,0)</f>
        <v>2</v>
      </c>
      <c r="J792" s="20">
        <f>VLOOKUP(A792,Metrik!$C$2:$Y$959,10,0)</f>
        <v>5.6</v>
      </c>
      <c r="K792" s="20">
        <f>VLOOKUP(A792,Metrik!$C$2:$Y$959,11,0)</f>
        <v>3.4</v>
      </c>
      <c r="L792" s="20">
        <f>VLOOKUP(A792,Metrik!$C$2:$Y$959,12,0)</f>
        <v>0.66</v>
      </c>
      <c r="M792" s="20">
        <f>VLOOKUP(A792,Metrik!$C$2:$Y$959,19,0)</f>
        <v>22.8</v>
      </c>
      <c r="N792" s="21"/>
      <c r="O792" s="21"/>
      <c r="P792" s="21"/>
      <c r="Q792" s="21"/>
      <c r="R792" s="21"/>
      <c r="S792" s="21"/>
      <c r="T792" s="21"/>
      <c r="U792" s="22">
        <f>IFERROR(__xludf.DUMMYFUNCTION("IFERROR(GOOGLEFINANCE(A792,""closeyest""),"""")"),26.02)</f>
        <v>26.02</v>
      </c>
      <c r="V792" s="23">
        <f>IFERROR(__xludf.DUMMYFUNCTION("IFERROR(GOOGLEFINANCE(A792,""changepct""),"""")"),-1.04)</f>
        <v>-1.04</v>
      </c>
      <c r="W792" s="22">
        <f>IFERROR(__xludf.DUMMYFUNCTION("IFERROR(GOOGLEFINANCE(A792,""priceopen""),"""")"),25.76)</f>
        <v>25.76</v>
      </c>
      <c r="X792" s="22">
        <f>IFERROR(__xludf.DUMMYFUNCTION("IFERROR(GOOGLEFINANCE(A792,""high""),"""")"),26.06)</f>
        <v>26.06</v>
      </c>
      <c r="Y792" s="22">
        <f>IFERROR(__xludf.DUMMYFUNCTION("IFERROR(GOOGLEFINANCE(A792,""low""),"""")"),25.62)</f>
        <v>25.62</v>
      </c>
      <c r="Z792" s="22">
        <f>IFERROR(__xludf.DUMMYFUNCTION("IFERROR(GOOGLEFINANCE(A792,""volume""),"""")"),4489.0)</f>
        <v>4489</v>
      </c>
      <c r="AA792" s="24" t="str">
        <f>VLOOKUP(A792,Metrik!$C$2:$Y$959,5,0)</f>
        <v>Healthcare Providers</v>
      </c>
      <c r="AB792" s="24" t="str">
        <f>VLOOKUP(A792,Metrik!$C$2:$Y$959,3,0)</f>
        <v>Healthcare</v>
      </c>
    </row>
    <row r="793">
      <c r="A793" s="17" t="s">
        <v>441</v>
      </c>
      <c r="B793" s="14" t="str">
        <f t="array" ref="B793">VLOOKUP(A793,{Metrik!$C$2:$C$998,Metrik!$B$2:$B$998},2,0)</f>
        <v>Medikaloka Hermina Tbk.</v>
      </c>
      <c r="C793" s="15">
        <f>IFERROR(__xludf.DUMMYFUNCTION("GOOGLEFINANCE(""IDX:""&amp;A793,""price"")"),845.0)</f>
        <v>845</v>
      </c>
      <c r="D793" s="16" t="str">
        <f>IFERROR(__xludf.DUMMYFUNCTION("IF(A793="""","""",
SPARKLINE(
INDEX(
GOOGLEFINANCE(""IDX:""&amp;A793,""close"",TODAY()-365,TODAY()),
,2
),
{""linewidth"",1}
))
"),"#N/A")</f>
        <v>#N/A</v>
      </c>
      <c r="E793" s="14" t="s">
        <v>35</v>
      </c>
      <c r="F793" s="17" t="s">
        <v>36</v>
      </c>
      <c r="G793" s="38">
        <f t="shared" si="6"/>
        <v>6</v>
      </c>
      <c r="H793" s="34">
        <f>VLOOKUP(A793,Metrik!$C$2:$Y$959,8,0)</f>
        <v>35.8</v>
      </c>
      <c r="I793" s="34">
        <f>VLOOKUP(A793,Metrik!$C$2:$Y$959,9,0)</f>
        <v>2</v>
      </c>
      <c r="J793" s="34">
        <f>VLOOKUP(A793,Metrik!$C$2:$Y$959,10,0)</f>
        <v>5.6</v>
      </c>
      <c r="K793" s="34">
        <f>VLOOKUP(A793,Metrik!$C$2:$Y$959,11,0)</f>
        <v>3.4</v>
      </c>
      <c r="L793" s="34">
        <f>VLOOKUP(A793,Metrik!$C$2:$Y$959,12,0)</f>
        <v>0.66</v>
      </c>
      <c r="M793" s="34">
        <f>VLOOKUP(A793,Metrik!$C$2:$Y$959,19,0)</f>
        <v>22.8</v>
      </c>
      <c r="N793" s="26"/>
      <c r="O793" s="26"/>
      <c r="P793" s="26"/>
      <c r="Q793" s="26"/>
      <c r="R793" s="26"/>
      <c r="S793" s="26"/>
      <c r="T793" s="26"/>
      <c r="U793" s="35">
        <f>IFERROR(__xludf.DUMMYFUNCTION("IFERROR(GOOGLEFINANCE(A793,""closeyest""),"""")"),26.02)</f>
        <v>26.02</v>
      </c>
      <c r="V793" s="36">
        <f>IFERROR(__xludf.DUMMYFUNCTION("IFERROR(GOOGLEFINANCE(A793,""changepct""),"""")"),-1.04)</f>
        <v>-1.04</v>
      </c>
      <c r="W793" s="35">
        <f>IFERROR(__xludf.DUMMYFUNCTION("IFERROR(GOOGLEFINANCE(A793,""priceopen""),"""")"),25.76)</f>
        <v>25.76</v>
      </c>
      <c r="X793" s="35">
        <f>IFERROR(__xludf.DUMMYFUNCTION("IFERROR(GOOGLEFINANCE(A793,""high""),"""")"),26.06)</f>
        <v>26.06</v>
      </c>
      <c r="Y793" s="35">
        <f>IFERROR(__xludf.DUMMYFUNCTION("IFERROR(GOOGLEFINANCE(A793,""low""),"""")"),25.62)</f>
        <v>25.62</v>
      </c>
      <c r="Z793" s="35">
        <f>IFERROR(__xludf.DUMMYFUNCTION("IFERROR(GOOGLEFINANCE(A793,""volume""),"""")"),4489.0)</f>
        <v>4489</v>
      </c>
      <c r="AA793" s="14" t="str">
        <f>VLOOKUP(A793,Metrik!$C$2:$Y$959,5,0)</f>
        <v>Healthcare Providers</v>
      </c>
      <c r="AB793" s="14" t="str">
        <f>VLOOKUP(A793,Metrik!$C$2:$Y$959,3,0)</f>
        <v>Healthcare</v>
      </c>
    </row>
    <row r="794">
      <c r="A794" s="14" t="s">
        <v>441</v>
      </c>
      <c r="B794" s="14" t="str">
        <f t="array" ref="B794">VLOOKUP(A794,{Metrik!$C$2:$C$998,Metrik!$B$2:$B$998},2,0)</f>
        <v>Medikaloka Hermina Tbk.</v>
      </c>
      <c r="C794" s="15">
        <f>IFERROR(__xludf.DUMMYFUNCTION("GOOGLEFINANCE(""IDX:""&amp;A794,""price"")"),845.0)</f>
        <v>845</v>
      </c>
      <c r="D794" s="16" t="str">
        <f>IFERROR(__xludf.DUMMYFUNCTION("IF(A794="""","""",
SPARKLINE(
INDEX(
GOOGLEFINANCE(""IDX:""&amp;A794,""close"",TODAY()-365,TODAY()),
,2
),
{""linewidth"",1}
))
"),"#N/A")</f>
        <v>#N/A</v>
      </c>
      <c r="E794" s="14" t="s">
        <v>39</v>
      </c>
      <c r="F794" s="25">
        <v>46356.0</v>
      </c>
      <c r="G794" s="24">
        <f t="shared" si="6"/>
        <v>6</v>
      </c>
      <c r="H794" s="19">
        <f>VLOOKUP(A794,Metrik!$C$2:$Y$959,8,0)</f>
        <v>35.8</v>
      </c>
      <c r="I794" s="20">
        <f>VLOOKUP(A794,Metrik!$C$2:$Y$959,9,0)</f>
        <v>2</v>
      </c>
      <c r="J794" s="20">
        <f>VLOOKUP(A794,Metrik!$C$2:$Y$959,10,0)</f>
        <v>5.6</v>
      </c>
      <c r="K794" s="20">
        <f>VLOOKUP(A794,Metrik!$C$2:$Y$959,11,0)</f>
        <v>3.4</v>
      </c>
      <c r="L794" s="20">
        <f>VLOOKUP(A794,Metrik!$C$2:$Y$959,12,0)</f>
        <v>0.66</v>
      </c>
      <c r="M794" s="20">
        <f>VLOOKUP(A794,Metrik!$C$2:$Y$959,19,0)</f>
        <v>22.8</v>
      </c>
      <c r="N794" s="21"/>
      <c r="O794" s="21"/>
      <c r="P794" s="21"/>
      <c r="Q794" s="21"/>
      <c r="R794" s="21"/>
      <c r="S794" s="21"/>
      <c r="T794" s="21"/>
      <c r="U794" s="22">
        <f>IFERROR(__xludf.DUMMYFUNCTION("IFERROR(GOOGLEFINANCE(A794,""closeyest""),"""")"),26.02)</f>
        <v>26.02</v>
      </c>
      <c r="V794" s="23">
        <f>IFERROR(__xludf.DUMMYFUNCTION("IFERROR(GOOGLEFINANCE(A794,""changepct""),"""")"),-1.04)</f>
        <v>-1.04</v>
      </c>
      <c r="W794" s="22">
        <f>IFERROR(__xludf.DUMMYFUNCTION("IFERROR(GOOGLEFINANCE(A794,""priceopen""),"""")"),25.76)</f>
        <v>25.76</v>
      </c>
      <c r="X794" s="22">
        <f>IFERROR(__xludf.DUMMYFUNCTION("IFERROR(GOOGLEFINANCE(A794,""high""),"""")"),26.06)</f>
        <v>26.06</v>
      </c>
      <c r="Y794" s="22">
        <f>IFERROR(__xludf.DUMMYFUNCTION("IFERROR(GOOGLEFINANCE(A794,""low""),"""")"),25.62)</f>
        <v>25.62</v>
      </c>
      <c r="Z794" s="22">
        <f>IFERROR(__xludf.DUMMYFUNCTION("IFERROR(GOOGLEFINANCE(A794,""volume""),"""")"),4489.0)</f>
        <v>4489</v>
      </c>
      <c r="AA794" s="24" t="str">
        <f>VLOOKUP(A794,Metrik!$C$2:$Y$959,5,0)</f>
        <v>Healthcare Providers</v>
      </c>
      <c r="AB794" s="24" t="str">
        <f>VLOOKUP(A794,Metrik!$C$2:$Y$959,3,0)</f>
        <v>Healthcare</v>
      </c>
    </row>
    <row r="795">
      <c r="A795" s="14" t="s">
        <v>442</v>
      </c>
      <c r="B795" s="14" t="str">
        <f t="array" ref="B795">VLOOKUP(A795,{Metrik!$C$2:$C$998,Metrik!$B$2:$B$998},2,0)</f>
        <v>Jaya Trishindo Tbk.</v>
      </c>
      <c r="C795" s="15">
        <f>IFERROR(__xludf.DUMMYFUNCTION("GOOGLEFINANCE(""IDX:""&amp;A795,""price"")"),175.0)</f>
        <v>175</v>
      </c>
      <c r="D795" s="16" t="str">
        <f>IFERROR(__xludf.DUMMYFUNCTION("IF(A795="""","""",
SPARKLINE(
INDEX(
GOOGLEFINANCE(""IDX:""&amp;A795,""close"",TODAY()-365,TODAY()),
,2
),
{""linewidth"",1}
))
"),"#N/A")</f>
        <v>#N/A</v>
      </c>
      <c r="E795" s="26"/>
      <c r="F795" s="26"/>
      <c r="G795" s="18">
        <f t="shared" si="6"/>
        <v>0</v>
      </c>
      <c r="H795" s="19">
        <f>VLOOKUP(A795,Metrik!$C$2:$Y$959,8,0)</f>
        <v>5.3</v>
      </c>
      <c r="I795" s="20">
        <f>VLOOKUP(A795,Metrik!$C$2:$Y$959,9,0)</f>
        <v>1.5</v>
      </c>
      <c r="J795" s="20">
        <f>VLOOKUP(A795,Metrik!$C$2:$Y$959,10,0)</f>
        <v>29.1</v>
      </c>
      <c r="K795" s="20">
        <f>VLOOKUP(A795,Metrik!$C$2:$Y$959,11,0)</f>
        <v>14.1</v>
      </c>
      <c r="L795" s="20">
        <f>VLOOKUP(A795,Metrik!$C$2:$Y$959,12,0)</f>
        <v>1.1</v>
      </c>
      <c r="M795" s="20">
        <f>VLOOKUP(A795,Metrik!$C$2:$Y$959,19,0)</f>
        <v>89</v>
      </c>
      <c r="N795" s="21"/>
      <c r="O795" s="21"/>
      <c r="P795" s="21"/>
      <c r="Q795" s="21"/>
      <c r="R795" s="21"/>
      <c r="S795" s="21"/>
      <c r="T795" s="21"/>
      <c r="U795" s="22">
        <f>IFERROR(__xludf.DUMMYFUNCTION("IFERROR(GOOGLEFINANCE(A795,""closeyest""),"""")"),0.04)</f>
        <v>0.04</v>
      </c>
      <c r="V795" s="23">
        <f>IFERROR(__xludf.DUMMYFUNCTION("IFERROR(GOOGLEFINANCE(A795,""changepct""),"""")"),-12.5)</f>
        <v>-12.5</v>
      </c>
      <c r="W795" s="22">
        <f>IFERROR(__xludf.DUMMYFUNCTION("IFERROR(GOOGLEFINANCE(A795,""priceopen""),"""")"),0.04)</f>
        <v>0.04</v>
      </c>
      <c r="X795" s="22">
        <f>IFERROR(__xludf.DUMMYFUNCTION("IFERROR(GOOGLEFINANCE(A795,""high""),"""")"),0.04)</f>
        <v>0.04</v>
      </c>
      <c r="Y795" s="22">
        <f>IFERROR(__xludf.DUMMYFUNCTION("IFERROR(GOOGLEFINANCE(A795,""low""),"""")"),0.04)</f>
        <v>0.04</v>
      </c>
      <c r="Z795" s="22">
        <f>IFERROR(__xludf.DUMMYFUNCTION("IFERROR(GOOGLEFINANCE(A795,""volume""),"""")"),151383.0)</f>
        <v>151383</v>
      </c>
      <c r="AA795" s="24" t="str">
        <f>VLOOKUP(A795,Metrik!$C$2:$Y$959,5,0)</f>
        <v>Airlines</v>
      </c>
      <c r="AB795" s="24" t="str">
        <f>VLOOKUP(A795,Metrik!$C$2:$Y$959,3,0)</f>
        <v>Transportation &amp; Logistic</v>
      </c>
    </row>
    <row r="796">
      <c r="A796" s="14" t="s">
        <v>443</v>
      </c>
      <c r="B796" s="14" t="str">
        <f t="array" ref="B796">VLOOKUP(A796,{Metrik!$C$2:$C$998,Metrik!$B$2:$B$998},2,0)</f>
        <v>DFI Retail Nusantara Tbk.</v>
      </c>
      <c r="C796" s="15">
        <f>IFERROR(__xludf.DUMMYFUNCTION("GOOGLEFINANCE(""IDX:""&amp;A796,""price"")"),318.0)</f>
        <v>318</v>
      </c>
      <c r="D796" s="16" t="str">
        <f>IFERROR(__xludf.DUMMYFUNCTION("IF(A796="""","""",
SPARKLINE(
INDEX(
GOOGLEFINANCE(""IDX:""&amp;A796,""close"",TODAY()-365,TODAY()),
,2
),
{""linewidth"",1}
))
"),"#N/A")</f>
        <v>#N/A</v>
      </c>
      <c r="E796" s="26"/>
      <c r="F796" s="26"/>
      <c r="G796" s="24">
        <f t="shared" si="6"/>
        <v>0</v>
      </c>
      <c r="H796" s="19">
        <f>VLOOKUP(A796,Metrik!$C$2:$Y$959,8,0)</f>
        <v>7.4</v>
      </c>
      <c r="I796" s="20">
        <f>VLOOKUP(A796,Metrik!$C$2:$Y$959,9,0)</f>
        <v>0.93</v>
      </c>
      <c r="J796" s="20">
        <f>VLOOKUP(A796,Metrik!$C$2:$Y$959,10,0)</f>
        <v>12.6</v>
      </c>
      <c r="K796" s="20">
        <f>VLOOKUP(A796,Metrik!$C$2:$Y$959,11,0)</f>
        <v>5.1</v>
      </c>
      <c r="L796" s="20">
        <f>VLOOKUP(A796,Metrik!$C$2:$Y$959,12,0)</f>
        <v>1.5</v>
      </c>
      <c r="M796" s="20">
        <f>VLOOKUP(A796,Metrik!$C$2:$Y$959,19,0)</f>
        <v>15.6</v>
      </c>
      <c r="N796" s="21"/>
      <c r="O796" s="21"/>
      <c r="P796" s="21"/>
      <c r="Q796" s="21"/>
      <c r="R796" s="21"/>
      <c r="S796" s="21"/>
      <c r="T796" s="21"/>
      <c r="U796" s="22">
        <f>IFERROR(__xludf.DUMMYFUNCTION("IFERROR(GOOGLEFINANCE(A796,""closeyest""),"""")"),24.78)</f>
        <v>24.78</v>
      </c>
      <c r="V796" s="23">
        <f>IFERROR(__xludf.DUMMYFUNCTION("IFERROR(GOOGLEFINANCE(A796,""changepct""),"""")"),-0.52)</f>
        <v>-0.52</v>
      </c>
      <c r="W796" s="22">
        <f>IFERROR(__xludf.DUMMYFUNCTION("IFERROR(GOOGLEFINANCE(A796,""priceopen""),"""")"),24.44)</f>
        <v>24.44</v>
      </c>
      <c r="X796" s="22">
        <f>IFERROR(__xludf.DUMMYFUNCTION("IFERROR(GOOGLEFINANCE(A796,""high""),"""")"),24.69)</f>
        <v>24.69</v>
      </c>
      <c r="Y796" s="22">
        <f>IFERROR(__xludf.DUMMYFUNCTION("IFERROR(GOOGLEFINANCE(A796,""low""),"""")"),24.36)</f>
        <v>24.36</v>
      </c>
      <c r="Z796" s="22">
        <f>IFERROR(__xludf.DUMMYFUNCTION("IFERROR(GOOGLEFINANCE(A796,""volume""),"""")"),3623.0)</f>
        <v>3623</v>
      </c>
      <c r="AA796" s="24" t="str">
        <f>VLOOKUP(A796,Metrik!$C$2:$Y$959,5,0)</f>
        <v>Food &amp; Staples Retailing</v>
      </c>
      <c r="AB796" s="24" t="str">
        <f>VLOOKUP(A796,Metrik!$C$2:$Y$959,3,0)</f>
        <v>Consumer Non-Cyclicals</v>
      </c>
    </row>
    <row r="797">
      <c r="A797" s="14" t="s">
        <v>444</v>
      </c>
      <c r="B797" s="14" t="str">
        <f t="array" ref="B797">VLOOKUP(A797,{Metrik!$C$2:$C$998,Metrik!$B$2:$B$998},2,0)</f>
        <v>Hexindo Adiperkasa Tbk.</v>
      </c>
      <c r="C797" s="15">
        <f>IFERROR(__xludf.DUMMYFUNCTION("GOOGLEFINANCE(""IDX:""&amp;A797,""price"")"),4410.0)</f>
        <v>4410</v>
      </c>
      <c r="D797" s="16" t="str">
        <f>IFERROR(__xludf.DUMMYFUNCTION("IF(A797="""","""",
SPARKLINE(
INDEX(
GOOGLEFINANCE(""IDX:""&amp;A797,""close"",TODAY()-365,TODAY()),
,2
),
{""linewidth"",1}
))
"),"#N/A")</f>
        <v>#N/A</v>
      </c>
      <c r="E797" s="26"/>
      <c r="F797" s="26"/>
      <c r="G797" s="24">
        <f t="shared" si="6"/>
        <v>0</v>
      </c>
      <c r="H797" s="19">
        <f>VLOOKUP(A797,Metrik!$C$2:$Y$959,8,0)</f>
        <v>7.6</v>
      </c>
      <c r="I797" s="20">
        <f>VLOOKUP(A797,Metrik!$C$2:$Y$959,9,0)</f>
        <v>1.3</v>
      </c>
      <c r="J797" s="20">
        <f>VLOOKUP(A797,Metrik!$C$2:$Y$959,10,0)</f>
        <v>17.2</v>
      </c>
      <c r="K797" s="20">
        <f>VLOOKUP(A797,Metrik!$C$2:$Y$959,11,0)</f>
        <v>6.7</v>
      </c>
      <c r="L797" s="20">
        <f>VLOOKUP(A797,Metrik!$C$2:$Y$959,12,0)</f>
        <v>1.6</v>
      </c>
      <c r="M797" s="20">
        <f>VLOOKUP(A797,Metrik!$C$2:$Y$959,19,0)</f>
        <v>7.2</v>
      </c>
      <c r="N797" s="21"/>
      <c r="O797" s="21"/>
      <c r="P797" s="21"/>
      <c r="Q797" s="21"/>
      <c r="R797" s="21"/>
      <c r="S797" s="21"/>
      <c r="T797" s="21"/>
      <c r="U797" s="22">
        <f>IFERROR(__xludf.DUMMYFUNCTION("IFERROR(GOOGLEFINANCE(A797,""closeyest""),"""")"),4340.0)</f>
        <v>4340</v>
      </c>
      <c r="V797" s="23">
        <f>IFERROR(__xludf.DUMMYFUNCTION("IFERROR(GOOGLEFINANCE(A797,""changepct""),"""")"),1.61)</f>
        <v>1.61</v>
      </c>
      <c r="W797" s="22">
        <f>IFERROR(__xludf.DUMMYFUNCTION("IFERROR(GOOGLEFINANCE(A797,""priceopen""),"""")"),4350.0)</f>
        <v>4350</v>
      </c>
      <c r="X797" s="22">
        <f>IFERROR(__xludf.DUMMYFUNCTION("IFERROR(GOOGLEFINANCE(A797,""high""),"""")"),4430.0)</f>
        <v>4430</v>
      </c>
      <c r="Y797" s="22">
        <f>IFERROR(__xludf.DUMMYFUNCTION("IFERROR(GOOGLEFINANCE(A797,""low""),"""")"),4350.0)</f>
        <v>4350</v>
      </c>
      <c r="Z797" s="22">
        <f>IFERROR(__xludf.DUMMYFUNCTION("IFERROR(GOOGLEFINANCE(A797,""volume""),"""")"),156800.0)</f>
        <v>156800</v>
      </c>
      <c r="AA797" s="24" t="str">
        <f>VLOOKUP(A797,Metrik!$C$2:$Y$959,5,0)</f>
        <v>Machinery</v>
      </c>
      <c r="AB797" s="24" t="str">
        <f>VLOOKUP(A797,Metrik!$C$2:$Y$959,3,0)</f>
        <v>Industrials</v>
      </c>
    </row>
    <row r="798">
      <c r="A798" s="14" t="s">
        <v>445</v>
      </c>
      <c r="B798" s="14" t="str">
        <f t="array" ref="B798">VLOOKUP(A798,{Metrik!$C$2:$C$998,Metrik!$B$2:$B$998},2,0)</f>
        <v>Hero Global Investment Tbk.</v>
      </c>
      <c r="C798" s="15">
        <f>IFERROR(__xludf.DUMMYFUNCTION("GOOGLEFINANCE(""IDX:""&amp;A798,""price"")"),132.0)</f>
        <v>132</v>
      </c>
      <c r="D798" s="16" t="str">
        <f>IFERROR(__xludf.DUMMYFUNCTION("IF(A798="""","""",
SPARKLINE(
INDEX(
GOOGLEFINANCE(""IDX:""&amp;A798,""close"",TODAY()-365,TODAY()),
,2
),
{""linewidth"",1}
))
"),"#N/A")</f>
        <v>#N/A</v>
      </c>
      <c r="E798" s="26"/>
      <c r="F798" s="26"/>
      <c r="G798" s="24">
        <f t="shared" si="6"/>
        <v>0</v>
      </c>
      <c r="H798" s="19">
        <f>VLOOKUP(A798,Metrik!$C$2:$Y$959,8,0)</f>
        <v>53.6</v>
      </c>
      <c r="I798" s="20">
        <f>VLOOKUP(A798,Metrik!$C$2:$Y$959,9,0)</f>
        <v>1.1</v>
      </c>
      <c r="J798" s="20">
        <f>VLOOKUP(A798,Metrik!$C$2:$Y$959,10,0)</f>
        <v>2.1</v>
      </c>
      <c r="K798" s="20">
        <f>VLOOKUP(A798,Metrik!$C$2:$Y$959,11,0)</f>
        <v>1.7</v>
      </c>
      <c r="L798" s="20">
        <f>VLOOKUP(A798,Metrik!$C$2:$Y$959,12,0)</f>
        <v>0.26</v>
      </c>
      <c r="M798" s="20">
        <f>VLOOKUP(A798,Metrik!$C$2:$Y$959,19,0)</f>
        <v>89.2</v>
      </c>
      <c r="N798" s="21"/>
      <c r="O798" s="21"/>
      <c r="P798" s="21"/>
      <c r="Q798" s="21"/>
      <c r="R798" s="21"/>
      <c r="S798" s="21"/>
      <c r="T798" s="21"/>
      <c r="U798" s="22">
        <f>IFERROR(__xludf.DUMMYFUNCTION("IFERROR(GOOGLEFINANCE(A798,""closeyest""),"""")"),132.0)</f>
        <v>132</v>
      </c>
      <c r="V798" s="23">
        <f>IFERROR(__xludf.DUMMYFUNCTION("IFERROR(GOOGLEFINANCE(A798,""changepct""),"""")"),0.0)</f>
        <v>0</v>
      </c>
      <c r="W798" s="22">
        <f>IFERROR(__xludf.DUMMYFUNCTION("IFERROR(GOOGLEFINANCE(A798,""priceopen""),"""")"),132.0)</f>
        <v>132</v>
      </c>
      <c r="X798" s="22">
        <f>IFERROR(__xludf.DUMMYFUNCTION("IFERROR(GOOGLEFINANCE(A798,""high""),"""")"),133.0)</f>
        <v>133</v>
      </c>
      <c r="Y798" s="22">
        <f>IFERROR(__xludf.DUMMYFUNCTION("IFERROR(GOOGLEFINANCE(A798,""low""),"""")"),128.0)</f>
        <v>128</v>
      </c>
      <c r="Z798" s="22">
        <f>IFERROR(__xludf.DUMMYFUNCTION("IFERROR(GOOGLEFINANCE(A798,""volume""),"""")"),353300.0)</f>
        <v>353300</v>
      </c>
      <c r="AA798" s="24" t="str">
        <f>VLOOKUP(A798,Metrik!$C$2:$Y$959,5,0)</f>
        <v>Electric Utilities</v>
      </c>
      <c r="AB798" s="24" t="str">
        <f>VLOOKUP(A798,Metrik!$C$2:$Y$959,3,0)</f>
        <v>Infrastructures</v>
      </c>
    </row>
    <row r="799">
      <c r="A799" s="14" t="s">
        <v>446</v>
      </c>
      <c r="B799" s="14" t="str">
        <f t="array" ref="B799">VLOOKUP(A799,{Metrik!$C$2:$C$998,Metrik!$B$2:$B$998},2,0)</f>
        <v>PT Hillcon Tbk</v>
      </c>
      <c r="C799" s="15">
        <f>IFERROR(__xludf.DUMMYFUNCTION("GOOGLEFINANCE(""IDX:""&amp;A799,""price"")"),17.0)</f>
        <v>17</v>
      </c>
      <c r="D799" s="16" t="str">
        <f>IFERROR(__xludf.DUMMYFUNCTION("IF(A799="""","""",
SPARKLINE(
INDEX(
GOOGLEFINANCE(""IDX:""&amp;A799,""close"",TODAY()-365,TODAY()),
,2
),
{""linewidth"",1}
))
"),"#N/A")</f>
        <v>#N/A</v>
      </c>
      <c r="E799" s="26"/>
      <c r="F799" s="26"/>
      <c r="G799" s="24">
        <f t="shared" si="6"/>
        <v>0</v>
      </c>
      <c r="H799" s="19">
        <f>VLOOKUP(A799,Metrik!$C$2:$Y$959,8,0)</f>
        <v>-0.23</v>
      </c>
      <c r="I799" s="20">
        <f>VLOOKUP(A799,Metrik!$C$2:$Y$959,9,0)</f>
        <v>0.56</v>
      </c>
      <c r="J799" s="20">
        <f>VLOOKUP(A799,Metrik!$C$2:$Y$959,10,0)</f>
        <v>-250</v>
      </c>
      <c r="K799" s="20">
        <f>VLOOKUP(A799,Metrik!$C$2:$Y$959,11,0)</f>
        <v>-19.5</v>
      </c>
      <c r="L799" s="20">
        <f>VLOOKUP(A799,Metrik!$C$2:$Y$959,12,0)</f>
        <v>11.6</v>
      </c>
      <c r="M799" s="20">
        <f>VLOOKUP(A799,Metrik!$C$2:$Y$959,19,0)</f>
        <v>-29.8</v>
      </c>
      <c r="N799" s="21"/>
      <c r="O799" s="21"/>
      <c r="P799" s="21"/>
      <c r="Q799" s="21"/>
      <c r="R799" s="21"/>
      <c r="S799" s="21"/>
      <c r="T799" s="21"/>
      <c r="U799" s="22">
        <f>IFERROR(__xludf.DUMMYFUNCTION("IFERROR(GOOGLEFINANCE(A799,""closeyest""),"""")"),16.0)</f>
        <v>16</v>
      </c>
      <c r="V799" s="23">
        <f>IFERROR(__xludf.DUMMYFUNCTION("IFERROR(GOOGLEFINANCE(A799,""changepct""),"""")"),6.25)</f>
        <v>6.25</v>
      </c>
      <c r="W799" s="22">
        <f>IFERROR(__xludf.DUMMYFUNCTION("IFERROR(GOOGLEFINANCE(A799,""priceopen""),"""")"),17.0)</f>
        <v>17</v>
      </c>
      <c r="X799" s="22">
        <f>IFERROR(__xludf.DUMMYFUNCTION("IFERROR(GOOGLEFINANCE(A799,""high""),"""")"),17.0)</f>
        <v>17</v>
      </c>
      <c r="Y799" s="22">
        <f>IFERROR(__xludf.DUMMYFUNCTION("IFERROR(GOOGLEFINANCE(A799,""low""),"""")"),17.0)</f>
        <v>17</v>
      </c>
      <c r="Z799" s="22">
        <f>IFERROR(__xludf.DUMMYFUNCTION("IFERROR(GOOGLEFINANCE(A799,""volume""),"""")"),1.79603E7)</f>
        <v>17960300</v>
      </c>
      <c r="AA799" s="24" t="str">
        <f>VLOOKUP(A799,Metrik!$C$2:$Y$959,5,0)</f>
        <v>Oil, Gas &amp; Coal Supports</v>
      </c>
      <c r="AB799" s="24" t="str">
        <f>VLOOKUP(A799,Metrik!$C$2:$Y$959,3,0)</f>
        <v>Energy</v>
      </c>
    </row>
    <row r="800">
      <c r="A800" s="14" t="s">
        <v>447</v>
      </c>
      <c r="B800" s="14" t="str">
        <f t="array" ref="B800">VLOOKUP(A800,{Metrik!$C$2:$C$998,Metrik!$B$2:$B$998},2,0)</f>
        <v>Humpuss Intermoda Transportasi Tbk.</v>
      </c>
      <c r="C800" s="15" t="str">
        <f>IFERROR(__xludf.DUMMYFUNCTION("GOOGLEFINANCE(""IDX:""&amp;A800,""price"")"),"#N/A")</f>
        <v>#N/A</v>
      </c>
      <c r="D800" s="16" t="str">
        <f>IFERROR(__xludf.DUMMYFUNCTION("IF(A800="""","""",
SPARKLINE(
INDEX(
GOOGLEFINANCE(""IDX:""&amp;A800,""close"",TODAY()-365,TODAY()),
,2
),
{""linewidth"",1}
))
"),"#N/A")</f>
        <v>#N/A</v>
      </c>
      <c r="E800" s="26"/>
      <c r="F800" s="26"/>
      <c r="G800" s="24">
        <f t="shared" si="6"/>
        <v>0</v>
      </c>
      <c r="H800" s="19">
        <f>VLOOKUP(A800,Metrik!$C$2:$Y$959,8,0)</f>
        <v>-11.5</v>
      </c>
      <c r="I800" s="20">
        <f>VLOOKUP(A800,Metrik!$C$2:$Y$959,9,0)</f>
        <v>0.42</v>
      </c>
      <c r="J800" s="20">
        <f>VLOOKUP(A800,Metrik!$C$2:$Y$959,10,0)</f>
        <v>-3.6</v>
      </c>
      <c r="K800" s="20">
        <f>VLOOKUP(A800,Metrik!$C$2:$Y$959,11,0)</f>
        <v>-1.3</v>
      </c>
      <c r="L800" s="20">
        <f>VLOOKUP(A800,Metrik!$C$2:$Y$959,12,0)</f>
        <v>1.8</v>
      </c>
      <c r="M800" s="20">
        <f>VLOOKUP(A800,Metrik!$C$2:$Y$959,19,0)</f>
        <v>-4.3</v>
      </c>
      <c r="N800" s="21"/>
      <c r="O800" s="21"/>
      <c r="P800" s="21"/>
      <c r="Q800" s="21"/>
      <c r="R800" s="21"/>
      <c r="S800" s="21"/>
      <c r="T800" s="21"/>
      <c r="U800" s="22" t="str">
        <f>IFERROR(__xludf.DUMMYFUNCTION("IFERROR(GOOGLEFINANCE(A800,""closeyest""),"""")"),"")</f>
        <v/>
      </c>
      <c r="V800" s="23" t="str">
        <f>IFERROR(__xludf.DUMMYFUNCTION("IFERROR(GOOGLEFINANCE(A800,""changepct""),"""")"),"")</f>
        <v/>
      </c>
      <c r="W800" s="22" t="str">
        <f>IFERROR(__xludf.DUMMYFUNCTION("IFERROR(GOOGLEFINANCE(A800,""priceopen""),"""")"),"")</f>
        <v/>
      </c>
      <c r="X800" s="22" t="str">
        <f>IFERROR(__xludf.DUMMYFUNCTION("IFERROR(GOOGLEFINANCE(A800,""high""),"""")"),"")</f>
        <v/>
      </c>
      <c r="Y800" s="22" t="str">
        <f>IFERROR(__xludf.DUMMYFUNCTION("IFERROR(GOOGLEFINANCE(A800,""low""),"""")"),"")</f>
        <v/>
      </c>
      <c r="Z800" s="22" t="str">
        <f>IFERROR(__xludf.DUMMYFUNCTION("IFERROR(GOOGLEFINANCE(A800,""volume""),"""")"),"")</f>
        <v/>
      </c>
      <c r="AA800" s="24" t="str">
        <f>VLOOKUP(A800,Metrik!$C$2:$Y$959,5,0)</f>
        <v>Oil &amp; Gas</v>
      </c>
      <c r="AB800" s="24" t="str">
        <f>VLOOKUP(A800,Metrik!$C$2:$Y$959,3,0)</f>
        <v>Energy</v>
      </c>
    </row>
    <row r="801">
      <c r="A801" s="14" t="s">
        <v>448</v>
      </c>
      <c r="B801" s="14" t="str">
        <f t="array" ref="B801">VLOOKUP(A801,{Metrik!$C$2:$C$998,Metrik!$B$2:$B$998},2,0)</f>
        <v>HK Metals Utama Tbk.</v>
      </c>
      <c r="C801" s="15">
        <f>IFERROR(__xludf.DUMMYFUNCTION("GOOGLEFINANCE(""IDX:""&amp;A801,""price"")"),50.0)</f>
        <v>50</v>
      </c>
      <c r="D801" s="16" t="str">
        <f>IFERROR(__xludf.DUMMYFUNCTION("IF(A801="""","""",
SPARKLINE(
INDEX(
GOOGLEFINANCE(""IDX:""&amp;A801,""close"",TODAY()-365,TODAY()),
,2
),
{""linewidth"",1}
))
"),"#N/A")</f>
        <v>#N/A</v>
      </c>
      <c r="E801" s="26"/>
      <c r="F801" s="26"/>
      <c r="G801" s="24">
        <f t="shared" si="6"/>
        <v>0</v>
      </c>
      <c r="H801" s="19">
        <f>VLOOKUP(A801,Metrik!$C$2:$Y$959,8,0)</f>
        <v>0</v>
      </c>
      <c r="I801" s="20">
        <f>VLOOKUP(A801,Metrik!$C$2:$Y$959,9,0)</f>
        <v>-2.3</v>
      </c>
      <c r="J801" s="20">
        <f>VLOOKUP(A801,Metrik!$C$2:$Y$959,10,0)</f>
        <v>0</v>
      </c>
      <c r="K801" s="20">
        <f>VLOOKUP(A801,Metrik!$C$2:$Y$959,11,0)</f>
        <v>-71</v>
      </c>
      <c r="L801" s="20">
        <f>VLOOKUP(A801,Metrik!$C$2:$Y$959,12,0)</f>
        <v>-6.7</v>
      </c>
      <c r="M801" s="20">
        <f>VLOOKUP(A801,Metrik!$C$2:$Y$959,19,0)</f>
        <v>-6710</v>
      </c>
      <c r="N801" s="21"/>
      <c r="O801" s="21"/>
      <c r="P801" s="21"/>
      <c r="Q801" s="21"/>
      <c r="R801" s="21"/>
      <c r="S801" s="21"/>
      <c r="T801" s="21"/>
      <c r="U801" s="22">
        <f>IFERROR(__xludf.DUMMYFUNCTION("IFERROR(GOOGLEFINANCE(A801,""closeyest""),"""")"),50.0)</f>
        <v>50</v>
      </c>
      <c r="V801" s="23">
        <f>IFERROR(__xludf.DUMMYFUNCTION("IFERROR(GOOGLEFINANCE(A801,""changepct""),"""")"),0.0)</f>
        <v>0</v>
      </c>
      <c r="W801" s="22" t="str">
        <f>IFERROR(__xludf.DUMMYFUNCTION("IFERROR(GOOGLEFINANCE(A801,""priceopen""),"""")"),"")</f>
        <v/>
      </c>
      <c r="X801" s="22" t="str">
        <f>IFERROR(__xludf.DUMMYFUNCTION("IFERROR(GOOGLEFINANCE(A801,""high""),"""")"),"")</f>
        <v/>
      </c>
      <c r="Y801" s="22" t="str">
        <f>IFERROR(__xludf.DUMMYFUNCTION("IFERROR(GOOGLEFINANCE(A801,""low""),"""")"),"")</f>
        <v/>
      </c>
      <c r="Z801" s="22">
        <f>IFERROR(__xludf.DUMMYFUNCTION("IFERROR(GOOGLEFINANCE(A801,""volume""),"""")"),0.0)</f>
        <v>0</v>
      </c>
      <c r="AA801" s="24" t="str">
        <f>VLOOKUP(A801,Metrik!$C$2:$Y$959,5,0)</f>
        <v>Metals &amp; Minerals</v>
      </c>
      <c r="AB801" s="24" t="str">
        <f>VLOOKUP(A801,Metrik!$C$2:$Y$959,3,0)</f>
        <v>Basic Materials</v>
      </c>
    </row>
    <row r="802">
      <c r="A802" s="14" t="s">
        <v>449</v>
      </c>
      <c r="B802" s="14" t="str">
        <f t="array" ref="B802">VLOOKUP(A802,{Metrik!$C$2:$C$998,Metrik!$B$2:$B$998},2,0)</f>
        <v>HM Sampoerna Tbk</v>
      </c>
      <c r="C802" s="15">
        <f>IFERROR(__xludf.DUMMYFUNCTION("GOOGLEFINANCE(""IDX:""&amp;A802,""price"")"),605.0)</f>
        <v>605</v>
      </c>
      <c r="D802" s="16" t="str">
        <f>IFERROR(__xludf.DUMMYFUNCTION("IF(A802="""","""",
SPARKLINE(
INDEX(
GOOGLEFINANCE(""IDX:""&amp;A802,""close"",TODAY()-365,TODAY()),
,2
),
{""linewidth"",1}
))
"),"#N/A")</f>
        <v>#N/A</v>
      </c>
      <c r="E802" s="14" t="s">
        <v>48</v>
      </c>
      <c r="F802" s="14" t="s">
        <v>49</v>
      </c>
      <c r="G802" s="24">
        <f t="shared" si="6"/>
        <v>2</v>
      </c>
      <c r="H802" s="19">
        <f>VLOOKUP(A802,Metrik!$C$2:$Y$959,8,0)</f>
        <v>12</v>
      </c>
      <c r="I802" s="20">
        <f>VLOOKUP(A802,Metrik!$C$2:$Y$959,9,0)</f>
        <v>2.7</v>
      </c>
      <c r="J802" s="20">
        <f>VLOOKUP(A802,Metrik!$C$2:$Y$959,10,0)</f>
        <v>22.2</v>
      </c>
      <c r="K802" s="20">
        <f>VLOOKUP(A802,Metrik!$C$2:$Y$959,11,0)</f>
        <v>13</v>
      </c>
      <c r="L802" s="20">
        <f>VLOOKUP(A802,Metrik!$C$2:$Y$959,12,0)</f>
        <v>0.71</v>
      </c>
      <c r="M802" s="20">
        <f>VLOOKUP(A802,Metrik!$C$2:$Y$959,19,0)</f>
        <v>24.8</v>
      </c>
      <c r="N802" s="21"/>
      <c r="O802" s="21"/>
      <c r="P802" s="21"/>
      <c r="Q802" s="21"/>
      <c r="R802" s="21"/>
      <c r="S802" s="21"/>
      <c r="T802" s="21"/>
      <c r="U802" s="22">
        <f>IFERROR(__xludf.DUMMYFUNCTION("IFERROR(GOOGLEFINANCE(A802,""closeyest""),"""")"),595.0)</f>
        <v>595</v>
      </c>
      <c r="V802" s="23">
        <f>IFERROR(__xludf.DUMMYFUNCTION("IFERROR(GOOGLEFINANCE(A802,""changepct""),"""")"),1.68)</f>
        <v>1.68</v>
      </c>
      <c r="W802" s="22">
        <f>IFERROR(__xludf.DUMMYFUNCTION("IFERROR(GOOGLEFINANCE(A802,""priceopen""),"""")"),600.0)</f>
        <v>600</v>
      </c>
      <c r="X802" s="22">
        <f>IFERROR(__xludf.DUMMYFUNCTION("IFERROR(GOOGLEFINANCE(A802,""high""),"""")"),610.0)</f>
        <v>610</v>
      </c>
      <c r="Y802" s="22">
        <f>IFERROR(__xludf.DUMMYFUNCTION("IFERROR(GOOGLEFINANCE(A802,""low""),"""")"),590.0)</f>
        <v>590</v>
      </c>
      <c r="Z802" s="22">
        <f>IFERROR(__xludf.DUMMYFUNCTION("IFERROR(GOOGLEFINANCE(A802,""volume""),"""")"),3.2621E7)</f>
        <v>32621000</v>
      </c>
      <c r="AA802" s="24" t="str">
        <f>VLOOKUP(A802,Metrik!$C$2:$Y$959,5,0)</f>
        <v>Tobacco</v>
      </c>
      <c r="AB802" s="24" t="str">
        <f>VLOOKUP(A802,Metrik!$C$2:$Y$959,3,0)</f>
        <v>Consumer Non-Cyclicals</v>
      </c>
    </row>
    <row r="803">
      <c r="A803" s="14" t="s">
        <v>449</v>
      </c>
      <c r="B803" s="14" t="str">
        <f t="array" ref="B803">VLOOKUP(A803,{Metrik!$C$2:$C$998,Metrik!$B$2:$B$998},2,0)</f>
        <v>HM Sampoerna Tbk</v>
      </c>
      <c r="C803" s="15">
        <f>IFERROR(__xludf.DUMMYFUNCTION("GOOGLEFINANCE(""IDX:""&amp;A803,""price"")"),605.0)</f>
        <v>605</v>
      </c>
      <c r="D803" s="16" t="str">
        <f>IFERROR(__xludf.DUMMYFUNCTION("IF(A803="""","""",
SPARKLINE(
INDEX(
GOOGLEFINANCE(""IDX:""&amp;A803,""close"",TODAY()-365,TODAY()),
,2
),
{""linewidth"",1}
))
"),"#N/A")</f>
        <v>#N/A</v>
      </c>
      <c r="E803" s="14" t="s">
        <v>32</v>
      </c>
      <c r="F803" s="14" t="s">
        <v>29</v>
      </c>
      <c r="G803" s="24">
        <f t="shared" si="6"/>
        <v>2</v>
      </c>
      <c r="H803" s="19">
        <f>VLOOKUP(A803,Metrik!$C$2:$Y$959,8,0)</f>
        <v>12</v>
      </c>
      <c r="I803" s="20">
        <f>VLOOKUP(A803,Metrik!$C$2:$Y$959,9,0)</f>
        <v>2.7</v>
      </c>
      <c r="J803" s="20">
        <f>VLOOKUP(A803,Metrik!$C$2:$Y$959,10,0)</f>
        <v>22.2</v>
      </c>
      <c r="K803" s="20">
        <f>VLOOKUP(A803,Metrik!$C$2:$Y$959,11,0)</f>
        <v>13</v>
      </c>
      <c r="L803" s="20">
        <f>VLOOKUP(A803,Metrik!$C$2:$Y$959,12,0)</f>
        <v>0.71</v>
      </c>
      <c r="M803" s="20">
        <f>VLOOKUP(A803,Metrik!$C$2:$Y$959,19,0)</f>
        <v>24.8</v>
      </c>
      <c r="N803" s="21"/>
      <c r="O803" s="21"/>
      <c r="P803" s="21"/>
      <c r="Q803" s="21"/>
      <c r="R803" s="21"/>
      <c r="S803" s="21"/>
      <c r="T803" s="21"/>
      <c r="U803" s="22">
        <f>IFERROR(__xludf.DUMMYFUNCTION("IFERROR(GOOGLEFINANCE(A803,""closeyest""),"""")"),595.0)</f>
        <v>595</v>
      </c>
      <c r="V803" s="23">
        <f>IFERROR(__xludf.DUMMYFUNCTION("IFERROR(GOOGLEFINANCE(A803,""changepct""),"""")"),1.68)</f>
        <v>1.68</v>
      </c>
      <c r="W803" s="22">
        <f>IFERROR(__xludf.DUMMYFUNCTION("IFERROR(GOOGLEFINANCE(A803,""priceopen""),"""")"),600.0)</f>
        <v>600</v>
      </c>
      <c r="X803" s="22">
        <f>IFERROR(__xludf.DUMMYFUNCTION("IFERROR(GOOGLEFINANCE(A803,""high""),"""")"),610.0)</f>
        <v>610</v>
      </c>
      <c r="Y803" s="22">
        <f>IFERROR(__xludf.DUMMYFUNCTION("IFERROR(GOOGLEFINANCE(A803,""low""),"""")"),590.0)</f>
        <v>590</v>
      </c>
      <c r="Z803" s="22">
        <f>IFERROR(__xludf.DUMMYFUNCTION("IFERROR(GOOGLEFINANCE(A803,""volume""),"""")"),3.2621E7)</f>
        <v>32621000</v>
      </c>
      <c r="AA803" s="24" t="str">
        <f>VLOOKUP(A803,Metrik!$C$2:$Y$959,5,0)</f>
        <v>Tobacco</v>
      </c>
      <c r="AB803" s="24" t="str">
        <f>VLOOKUP(A803,Metrik!$C$2:$Y$959,3,0)</f>
        <v>Consumer Non-Cyclicals</v>
      </c>
    </row>
    <row r="804">
      <c r="A804" s="14" t="s">
        <v>450</v>
      </c>
      <c r="B804" s="14" t="str">
        <f t="array" ref="B804">VLOOKUP(A804,{Metrik!$C$2:$C$998,Metrik!$B$2:$B$998},2,0)</f>
        <v>Buyung Poetra Sembada Tbk.</v>
      </c>
      <c r="C804" s="15">
        <f>IFERROR(__xludf.DUMMYFUNCTION("GOOGLEFINANCE(""IDX:""&amp;A804,""price"")"),54.0)</f>
        <v>54</v>
      </c>
      <c r="D804" s="16" t="str">
        <f>IFERROR(__xludf.DUMMYFUNCTION("IF(A804="""","""",
SPARKLINE(
INDEX(
GOOGLEFINANCE(""IDX:""&amp;A804,""close"",TODAY()-365,TODAY()),
,2
),
{""linewidth"",1}
))
"),"#N/A")</f>
        <v>#N/A</v>
      </c>
      <c r="E804" s="26"/>
      <c r="F804" s="26"/>
      <c r="G804" s="24">
        <f t="shared" si="6"/>
        <v>0</v>
      </c>
      <c r="H804" s="19">
        <f>VLOOKUP(A804,Metrik!$C$2:$Y$959,8,0)</f>
        <v>-15.3</v>
      </c>
      <c r="I804" s="20">
        <f>VLOOKUP(A804,Metrik!$C$2:$Y$959,9,0)</f>
        <v>1.1</v>
      </c>
      <c r="J804" s="20">
        <f>VLOOKUP(A804,Metrik!$C$2:$Y$959,10,0)</f>
        <v>-6.9</v>
      </c>
      <c r="K804" s="20">
        <f>VLOOKUP(A804,Metrik!$C$2:$Y$959,11,0)</f>
        <v>-4.2</v>
      </c>
      <c r="L804" s="20">
        <f>VLOOKUP(A804,Metrik!$C$2:$Y$959,12,0)</f>
        <v>0.64</v>
      </c>
      <c r="M804" s="20">
        <f>VLOOKUP(A804,Metrik!$C$2:$Y$959,19,0)</f>
        <v>-7.3</v>
      </c>
      <c r="N804" s="21"/>
      <c r="O804" s="21"/>
      <c r="P804" s="21"/>
      <c r="Q804" s="21"/>
      <c r="R804" s="21"/>
      <c r="S804" s="21"/>
      <c r="T804" s="21"/>
      <c r="U804" s="22">
        <f>IFERROR(__xludf.DUMMYFUNCTION("IFERROR(GOOGLEFINANCE(A804,""closeyest""),"""")"),52.0)</f>
        <v>52</v>
      </c>
      <c r="V804" s="23">
        <f>IFERROR(__xludf.DUMMYFUNCTION("IFERROR(GOOGLEFINANCE(A804,""changepct""),"""")"),3.85)</f>
        <v>3.85</v>
      </c>
      <c r="W804" s="22">
        <f>IFERROR(__xludf.DUMMYFUNCTION("IFERROR(GOOGLEFINANCE(A804,""priceopen""),"""")"),52.0)</f>
        <v>52</v>
      </c>
      <c r="X804" s="22">
        <f>IFERROR(__xludf.DUMMYFUNCTION("IFERROR(GOOGLEFINANCE(A804,""high""),"""")"),56.0)</f>
        <v>56</v>
      </c>
      <c r="Y804" s="22">
        <f>IFERROR(__xludf.DUMMYFUNCTION("IFERROR(GOOGLEFINANCE(A804,""low""),"""")"),52.0)</f>
        <v>52</v>
      </c>
      <c r="Z804" s="22">
        <f>IFERROR(__xludf.DUMMYFUNCTION("IFERROR(GOOGLEFINANCE(A804,""volume""),"""")"),2.08881E7)</f>
        <v>20888100</v>
      </c>
      <c r="AA804" s="24" t="str">
        <f>VLOOKUP(A804,Metrik!$C$2:$Y$959,5,0)</f>
        <v>Processed Foods</v>
      </c>
      <c r="AB804" s="24" t="str">
        <f>VLOOKUP(A804,Metrik!$C$2:$Y$959,3,0)</f>
        <v>Consumer Non-Cyclicals</v>
      </c>
    </row>
    <row r="805">
      <c r="A805" s="14" t="s">
        <v>451</v>
      </c>
      <c r="B805" s="14" t="str">
        <f t="array" ref="B805">VLOOKUP(A805,{Metrik!$C$2:$C$998,Metrik!$B$2:$B$998},2,0)</f>
        <v>Hotel Mandarine Regency Tbk.</v>
      </c>
      <c r="C805" s="15">
        <f>IFERROR(__xludf.DUMMYFUNCTION("GOOGLEFINANCE(""IDX:""&amp;A805,""price"")"),50.0)</f>
        <v>50</v>
      </c>
      <c r="D805" s="16" t="str">
        <f>IFERROR(__xludf.DUMMYFUNCTION("IF(A805="""","""",
SPARKLINE(
INDEX(
GOOGLEFINANCE(""IDX:""&amp;A805,""close"",TODAY()-365,TODAY()),
,2
),
{""linewidth"",1}
))
"),"#N/A")</f>
        <v>#N/A</v>
      </c>
      <c r="E805" s="26"/>
      <c r="F805" s="26"/>
      <c r="G805" s="24">
        <f t="shared" si="6"/>
        <v>0</v>
      </c>
      <c r="H805" s="19">
        <f>VLOOKUP(A805,Metrik!$C$2:$Y$959,8,0)</f>
        <v>0</v>
      </c>
      <c r="I805" s="20">
        <f>VLOOKUP(A805,Metrik!$C$2:$Y$959,9,0)</f>
        <v>0.52</v>
      </c>
      <c r="J805" s="20">
        <f>VLOOKUP(A805,Metrik!$C$2:$Y$959,10,0)</f>
        <v>-1.7</v>
      </c>
      <c r="K805" s="20">
        <f>VLOOKUP(A805,Metrik!$C$2:$Y$959,11,0)</f>
        <v>-1.4</v>
      </c>
      <c r="L805" s="20">
        <f>VLOOKUP(A805,Metrik!$C$2:$Y$959,12,0)</f>
        <v>0.16</v>
      </c>
      <c r="M805" s="20">
        <f>VLOOKUP(A805,Metrik!$C$2:$Y$959,19,0)</f>
        <v>-340</v>
      </c>
      <c r="N805" s="21"/>
      <c r="O805" s="21"/>
      <c r="P805" s="21"/>
      <c r="Q805" s="21"/>
      <c r="R805" s="21"/>
      <c r="S805" s="21"/>
      <c r="T805" s="21"/>
      <c r="U805" s="22">
        <f>IFERROR(__xludf.DUMMYFUNCTION("IFERROR(GOOGLEFINANCE(A805,""closeyest""),"""")"),9.95)</f>
        <v>9.95</v>
      </c>
      <c r="V805" s="23">
        <f>IFERROR(__xludf.DUMMYFUNCTION("IFERROR(GOOGLEFINANCE(A805,""changepct""),"""")"),-0.38)</f>
        <v>-0.38</v>
      </c>
      <c r="W805" s="22">
        <f>IFERROR(__xludf.DUMMYFUNCTION("IFERROR(GOOGLEFINANCE(A805,""priceopen""),"""")"),9.91)</f>
        <v>9.91</v>
      </c>
      <c r="X805" s="22">
        <f>IFERROR(__xludf.DUMMYFUNCTION("IFERROR(GOOGLEFINANCE(A805,""high""),"""")"),9.91)</f>
        <v>9.91</v>
      </c>
      <c r="Y805" s="22">
        <f>IFERROR(__xludf.DUMMYFUNCTION("IFERROR(GOOGLEFINANCE(A805,""low""),"""")"),9.81)</f>
        <v>9.81</v>
      </c>
      <c r="Z805" s="22">
        <f>IFERROR(__xludf.DUMMYFUNCTION("IFERROR(GOOGLEFINANCE(A805,""volume""),"""")"),259807.0)</f>
        <v>259807</v>
      </c>
      <c r="AA805" s="24" t="str">
        <f>VLOOKUP(A805,Metrik!$C$2:$Y$959,5,0)</f>
        <v>Tourism &amp; Recreation</v>
      </c>
      <c r="AB805" s="24" t="str">
        <f>VLOOKUP(A805,Metrik!$C$2:$Y$959,3,0)</f>
        <v>Consumer Cyclicals</v>
      </c>
    </row>
    <row r="806">
      <c r="A806" s="14" t="s">
        <v>452</v>
      </c>
      <c r="B806" s="14" t="str">
        <f t="array" ref="B806">VLOOKUP(A806,{Metrik!$C$2:$C$998,Metrik!$B$2:$B$998},2,0)</f>
        <v>Grand House Mulia Tbk.</v>
      </c>
      <c r="C806" s="15">
        <f>IFERROR(__xludf.DUMMYFUNCTION("GOOGLEFINANCE(""IDX:""&amp;A806,""price"")"),194.0)</f>
        <v>194</v>
      </c>
      <c r="D806" s="16" t="str">
        <f>IFERROR(__xludf.DUMMYFUNCTION("IF(A806="""","""",
SPARKLINE(
INDEX(
GOOGLEFINANCE(""IDX:""&amp;A806,""close"",TODAY()-365,TODAY()),
,2
),
{""linewidth"",1}
))
"),"#N/A")</f>
        <v>#N/A</v>
      </c>
      <c r="E806" s="26"/>
      <c r="F806" s="26"/>
      <c r="G806" s="24">
        <f t="shared" si="6"/>
        <v>0</v>
      </c>
      <c r="H806" s="19">
        <f>VLOOKUP(A806,Metrik!$C$2:$Y$959,8,0)</f>
        <v>360</v>
      </c>
      <c r="I806" s="20">
        <f>VLOOKUP(A806,Metrik!$C$2:$Y$959,9,0)</f>
        <v>2.4</v>
      </c>
      <c r="J806" s="20">
        <f>VLOOKUP(A806,Metrik!$C$2:$Y$959,10,0)</f>
        <v>0.67</v>
      </c>
      <c r="K806" s="20">
        <f>VLOOKUP(A806,Metrik!$C$2:$Y$959,11,0)</f>
        <v>0.49</v>
      </c>
      <c r="L806" s="20">
        <f>VLOOKUP(A806,Metrik!$C$2:$Y$959,12,0)</f>
        <v>0.36</v>
      </c>
      <c r="M806" s="20">
        <f>VLOOKUP(A806,Metrik!$C$2:$Y$959,19,0)</f>
        <v>16.5</v>
      </c>
      <c r="N806" s="21"/>
      <c r="O806" s="21"/>
      <c r="P806" s="21"/>
      <c r="Q806" s="21"/>
      <c r="R806" s="21"/>
      <c r="S806" s="21"/>
      <c r="T806" s="21"/>
      <c r="U806" s="22">
        <f>IFERROR(__xludf.DUMMYFUNCTION("IFERROR(GOOGLEFINANCE(A806,""closeyest""),"""")"),19.92)</f>
        <v>19.92</v>
      </c>
      <c r="V806" s="23">
        <f>IFERROR(__xludf.DUMMYFUNCTION("IFERROR(GOOGLEFINANCE(A806,""changepct""),"""")"),-0.3)</f>
        <v>-0.3</v>
      </c>
      <c r="W806" s="22">
        <f>IFERROR(__xludf.DUMMYFUNCTION("IFERROR(GOOGLEFINANCE(A806,""priceopen""),"""")"),20.55)</f>
        <v>20.55</v>
      </c>
      <c r="X806" s="22">
        <f>IFERROR(__xludf.DUMMYFUNCTION("IFERROR(GOOGLEFINANCE(A806,""high""),"""")"),20.6)</f>
        <v>20.6</v>
      </c>
      <c r="Y806" s="22">
        <f>IFERROR(__xludf.DUMMYFUNCTION("IFERROR(GOOGLEFINANCE(A806,""low""),"""")"),19.86)</f>
        <v>19.86</v>
      </c>
      <c r="Z806" s="22">
        <f>IFERROR(__xludf.DUMMYFUNCTION("IFERROR(GOOGLEFINANCE(A806,""volume""),"""")"),18352.0)</f>
        <v>18352</v>
      </c>
      <c r="AA806" s="24" t="str">
        <f>VLOOKUP(A806,Metrik!$C$2:$Y$959,5,0)</f>
        <v>Real Estate Management &amp; Development</v>
      </c>
      <c r="AB806" s="24" t="str">
        <f>VLOOKUP(A806,Metrik!$C$2:$Y$959,3,0)</f>
        <v>Properties &amp; Real Estate</v>
      </c>
    </row>
    <row r="807">
      <c r="A807" s="14" t="s">
        <v>453</v>
      </c>
      <c r="B807" s="14" t="str">
        <f t="array" ref="B807">VLOOKUP(A807,{Metrik!$C$2:$C$998,Metrik!$B$2:$B$998},2,0)</f>
        <v>Harapan Duta Pertiwi Tbk.</v>
      </c>
      <c r="C807" s="15">
        <f>IFERROR(__xludf.DUMMYFUNCTION("GOOGLEFINANCE(""IDX:""&amp;A807,""price"")"),130.0)</f>
        <v>130</v>
      </c>
      <c r="D807" s="16" t="str">
        <f>IFERROR(__xludf.DUMMYFUNCTION("IF(A807="""","""",
SPARKLINE(
INDEX(
GOOGLEFINANCE(""IDX:""&amp;A807,""close"",TODAY()-365,TODAY()),
,2
),
{""linewidth"",1}
))
"),"#N/A")</f>
        <v>#N/A</v>
      </c>
      <c r="E807" s="26"/>
      <c r="F807" s="26"/>
      <c r="G807" s="24">
        <f t="shared" si="6"/>
        <v>0</v>
      </c>
      <c r="H807" s="19">
        <f>VLOOKUP(A807,Metrik!$C$2:$Y$959,8,0)</f>
        <v>-16.4</v>
      </c>
      <c r="I807" s="20">
        <f>VLOOKUP(A807,Metrik!$C$2:$Y$959,9,0)</f>
        <v>2</v>
      </c>
      <c r="J807" s="20">
        <f>VLOOKUP(A807,Metrik!$C$2:$Y$959,10,0)</f>
        <v>-12.1</v>
      </c>
      <c r="K807" s="20">
        <f>VLOOKUP(A807,Metrik!$C$2:$Y$959,11,0)</f>
        <v>-4.2</v>
      </c>
      <c r="L807" s="20">
        <f>VLOOKUP(A807,Metrik!$C$2:$Y$959,12,0)</f>
        <v>1.9</v>
      </c>
      <c r="M807" s="20">
        <f>VLOOKUP(A807,Metrik!$C$2:$Y$959,19,0)</f>
        <v>-43.6</v>
      </c>
      <c r="N807" s="21"/>
      <c r="O807" s="21"/>
      <c r="P807" s="21"/>
      <c r="Q807" s="21"/>
      <c r="R807" s="21"/>
      <c r="S807" s="21"/>
      <c r="T807" s="21"/>
      <c r="U807" s="22">
        <f>IFERROR(__xludf.DUMMYFUNCTION("IFERROR(GOOGLEFINANCE(A807,""closeyest""),"""")"),13.01)</f>
        <v>13.01</v>
      </c>
      <c r="V807" s="23">
        <f>IFERROR(__xludf.DUMMYFUNCTION("IFERROR(GOOGLEFINANCE(A807,""changepct""),"""")"),1.38)</f>
        <v>1.38</v>
      </c>
      <c r="W807" s="22" t="str">
        <f>IFERROR(__xludf.DUMMYFUNCTION("IFERROR(GOOGLEFINANCE(A807,""priceopen""),"""")"),"")</f>
        <v/>
      </c>
      <c r="X807" s="22">
        <f>IFERROR(__xludf.DUMMYFUNCTION("IFERROR(GOOGLEFINANCE(A807,""high""),"""")"),13.19)</f>
        <v>13.19</v>
      </c>
      <c r="Y807" s="22">
        <f>IFERROR(__xludf.DUMMYFUNCTION("IFERROR(GOOGLEFINANCE(A807,""low""),"""")"),13.05)</f>
        <v>13.05</v>
      </c>
      <c r="Z807" s="22">
        <f>IFERROR(__xludf.DUMMYFUNCTION("IFERROR(GOOGLEFINANCE(A807,""volume""),"""")"),699471.0)</f>
        <v>699471</v>
      </c>
      <c r="AA807" s="24" t="str">
        <f>VLOOKUP(A807,Metrik!$C$2:$Y$959,5,0)</f>
        <v>Machinery</v>
      </c>
      <c r="AB807" s="24" t="str">
        <f>VLOOKUP(A807,Metrik!$C$2:$Y$959,3,0)</f>
        <v>Industrials</v>
      </c>
    </row>
    <row r="808">
      <c r="A808" s="14" t="s">
        <v>454</v>
      </c>
      <c r="B808" s="14" t="str">
        <f t="array" ref="B808">VLOOKUP(A808,{Metrik!$C$2:$C$998,Metrik!$B$2:$B$998},2,0)</f>
        <v>Saraswati Griya Lestari Tbk.</v>
      </c>
      <c r="C808" s="15">
        <f>IFERROR(__xludf.DUMMYFUNCTION("GOOGLEFINANCE(""IDX:""&amp;A808,""price"")"),50.0)</f>
        <v>50</v>
      </c>
      <c r="D808" s="16" t="str">
        <f>IFERROR(__xludf.DUMMYFUNCTION("IF(A808="""","""",
SPARKLINE(
INDEX(
GOOGLEFINANCE(""IDX:""&amp;A808,""close"",TODAY()-365,TODAY()),
,2
),
{""linewidth"",1}
))
"),"#N/A")</f>
        <v>#N/A</v>
      </c>
      <c r="E808" s="26"/>
      <c r="F808" s="26"/>
      <c r="G808" s="18">
        <f t="shared" si="6"/>
        <v>0</v>
      </c>
      <c r="H808" s="19">
        <f>VLOOKUP(A808,Metrik!$C$2:$Y$959,8,0)</f>
        <v>0</v>
      </c>
      <c r="I808" s="20">
        <f>VLOOKUP(A808,Metrik!$C$2:$Y$959,9,0)</f>
        <v>0.49</v>
      </c>
      <c r="J808" s="20">
        <f>VLOOKUP(A808,Metrik!$C$2:$Y$959,10,0)</f>
        <v>19.1</v>
      </c>
      <c r="K808" s="20">
        <f>VLOOKUP(A808,Metrik!$C$2:$Y$959,11,0)</f>
        <v>15.8</v>
      </c>
      <c r="L808" s="20">
        <f>VLOOKUP(A808,Metrik!$C$2:$Y$959,12,0)</f>
        <v>0.21</v>
      </c>
      <c r="M808" s="20">
        <f>VLOOKUP(A808,Metrik!$C$2:$Y$959,19,0)</f>
        <v>3300</v>
      </c>
      <c r="N808" s="21"/>
      <c r="O808" s="21"/>
      <c r="P808" s="21"/>
      <c r="Q808" s="21"/>
      <c r="R808" s="21"/>
      <c r="S808" s="21"/>
      <c r="T808" s="21"/>
      <c r="U808" s="22">
        <f>IFERROR(__xludf.DUMMYFUNCTION("IFERROR(GOOGLEFINANCE(A808,""closeyest""),"""")"),50.0)</f>
        <v>50</v>
      </c>
      <c r="V808" s="23">
        <f>IFERROR(__xludf.DUMMYFUNCTION("IFERROR(GOOGLEFINANCE(A808,""changepct""),"""")"),0.0)</f>
        <v>0</v>
      </c>
      <c r="W808" s="22" t="str">
        <f>IFERROR(__xludf.DUMMYFUNCTION("IFERROR(GOOGLEFINANCE(A808,""priceopen""),"""")"),"")</f>
        <v/>
      </c>
      <c r="X808" s="22" t="str">
        <f>IFERROR(__xludf.DUMMYFUNCTION("IFERROR(GOOGLEFINANCE(A808,""high""),"""")"),"")</f>
        <v/>
      </c>
      <c r="Y808" s="22" t="str">
        <f>IFERROR(__xludf.DUMMYFUNCTION("IFERROR(GOOGLEFINANCE(A808,""low""),"""")"),"")</f>
        <v/>
      </c>
      <c r="Z808" s="22">
        <f>IFERROR(__xludf.DUMMYFUNCTION("IFERROR(GOOGLEFINANCE(A808,""volume""),"""")"),0.0)</f>
        <v>0</v>
      </c>
      <c r="AA808" s="24" t="str">
        <f>VLOOKUP(A808,Metrik!$C$2:$Y$959,5,0)</f>
        <v>Tourism &amp; Recreation</v>
      </c>
      <c r="AB808" s="24" t="str">
        <f>VLOOKUP(A808,Metrik!$C$2:$Y$959,3,0)</f>
        <v>Consumer Cyclicals</v>
      </c>
    </row>
    <row r="809">
      <c r="A809" s="14" t="s">
        <v>455</v>
      </c>
      <c r="B809" s="14" t="str">
        <f t="array" ref="B809">VLOOKUP(A809,{Metrik!$C$2:$C$998,Metrik!$B$2:$B$998},2,0)</f>
        <v>Menteng Heritage Realty Tbk.</v>
      </c>
      <c r="C809" s="15">
        <f>IFERROR(__xludf.DUMMYFUNCTION("GOOGLEFINANCE(""IDX:""&amp;A809,""price"")"),47.0)</f>
        <v>47</v>
      </c>
      <c r="D809" s="16" t="str">
        <f>IFERROR(__xludf.DUMMYFUNCTION("IF(A809="""","""",
SPARKLINE(
INDEX(
GOOGLEFINANCE(""IDX:""&amp;A809,""close"",TODAY()-365,TODAY()),
,2
),
{""linewidth"",1}
))
"),"#N/A")</f>
        <v>#N/A</v>
      </c>
      <c r="E809" s="26"/>
      <c r="F809" s="26"/>
      <c r="G809" s="24">
        <f t="shared" si="6"/>
        <v>0</v>
      </c>
      <c r="H809" s="19">
        <f>VLOOKUP(A809,Metrik!$C$2:$Y$959,8,0)</f>
        <v>-51.9</v>
      </c>
      <c r="I809" s="20">
        <f>VLOOKUP(A809,Metrik!$C$2:$Y$959,9,0)</f>
        <v>0.53</v>
      </c>
      <c r="J809" s="20">
        <f>VLOOKUP(A809,Metrik!$C$2:$Y$959,10,0)</f>
        <v>-1</v>
      </c>
      <c r="K809" s="20">
        <f>VLOOKUP(A809,Metrik!$C$2:$Y$959,11,0)</f>
        <v>-0.64</v>
      </c>
      <c r="L809" s="20">
        <f>VLOOKUP(A809,Metrik!$C$2:$Y$959,12,0)</f>
        <v>0.6</v>
      </c>
      <c r="M809" s="20">
        <f>VLOOKUP(A809,Metrik!$C$2:$Y$959,19,0)</f>
        <v>-23.1</v>
      </c>
      <c r="N809" s="21"/>
      <c r="O809" s="21"/>
      <c r="P809" s="21"/>
      <c r="Q809" s="21"/>
      <c r="R809" s="21"/>
      <c r="S809" s="21"/>
      <c r="T809" s="21"/>
      <c r="U809" s="22">
        <f>IFERROR(__xludf.DUMMYFUNCTION("IFERROR(GOOGLEFINANCE(A809,""closeyest""),"""")"),47.0)</f>
        <v>47</v>
      </c>
      <c r="V809" s="23">
        <f>IFERROR(__xludf.DUMMYFUNCTION("IFERROR(GOOGLEFINANCE(A809,""changepct""),"""")"),0.0)</f>
        <v>0</v>
      </c>
      <c r="W809" s="22">
        <f>IFERROR(__xludf.DUMMYFUNCTION("IFERROR(GOOGLEFINANCE(A809,""priceopen""),"""")"),47.0)</f>
        <v>47</v>
      </c>
      <c r="X809" s="22">
        <f>IFERROR(__xludf.DUMMYFUNCTION("IFERROR(GOOGLEFINANCE(A809,""high""),"""")"),47.0)</f>
        <v>47</v>
      </c>
      <c r="Y809" s="22">
        <f>IFERROR(__xludf.DUMMYFUNCTION("IFERROR(GOOGLEFINANCE(A809,""low""),"""")"),47.0)</f>
        <v>47</v>
      </c>
      <c r="Z809" s="22">
        <f>IFERROR(__xludf.DUMMYFUNCTION("IFERROR(GOOGLEFINANCE(A809,""volume""),"""")"),588800.0)</f>
        <v>588800</v>
      </c>
      <c r="AA809" s="24" t="str">
        <f>VLOOKUP(A809,Metrik!$C$2:$Y$959,5,0)</f>
        <v>Tourism &amp; Recreation</v>
      </c>
      <c r="AB809" s="24" t="str">
        <f>VLOOKUP(A809,Metrik!$C$2:$Y$959,3,0)</f>
        <v>Consumer Cyclicals</v>
      </c>
    </row>
    <row r="810">
      <c r="A810" s="17" t="s">
        <v>456</v>
      </c>
      <c r="B810" s="14" t="str">
        <f t="array" ref="B810">VLOOKUP(A810,{Metrik!$C$2:$C$998,Metrik!$B$2:$B$998},2,0)</f>
        <v>Hartadinata Abadi Tbk.</v>
      </c>
      <c r="C810" s="15">
        <f>IFERROR(__xludf.DUMMYFUNCTION("GOOGLEFINANCE(""IDX:""&amp;A810,""price"")"),1950.0)</f>
        <v>1950</v>
      </c>
      <c r="D810" s="16" t="str">
        <f>IFERROR(__xludf.DUMMYFUNCTION("IF(A810="""","""",
SPARKLINE(
INDEX(
GOOGLEFINANCE(""IDX:""&amp;A810,""close"",TODAY()-365,TODAY()),
,2
),
{""linewidth"",1}
))
"),"#N/A")</f>
        <v>#N/A</v>
      </c>
      <c r="E810" s="14" t="s">
        <v>31</v>
      </c>
      <c r="F810" s="17" t="s">
        <v>29</v>
      </c>
      <c r="G810" s="24">
        <f t="shared" si="6"/>
        <v>8</v>
      </c>
      <c r="H810" s="19">
        <f>VLOOKUP(A810,Metrik!$C$2:$Y$959,8,0)</f>
        <v>9.1</v>
      </c>
      <c r="I810" s="20">
        <f>VLOOKUP(A810,Metrik!$C$2:$Y$959,9,0)</f>
        <v>3.1</v>
      </c>
      <c r="J810" s="20">
        <f>VLOOKUP(A810,Metrik!$C$2:$Y$959,10,0)</f>
        <v>34.5</v>
      </c>
      <c r="K810" s="20">
        <f>VLOOKUP(A810,Metrik!$C$2:$Y$959,11,0)</f>
        <v>9.2</v>
      </c>
      <c r="L810" s="20">
        <f>VLOOKUP(A810,Metrik!$C$2:$Y$959,12,0)</f>
        <v>2.8</v>
      </c>
      <c r="M810" s="20">
        <f>VLOOKUP(A810,Metrik!$C$2:$Y$959,19,0)</f>
        <v>6.3</v>
      </c>
      <c r="N810" s="21"/>
      <c r="O810" s="21"/>
      <c r="P810" s="21"/>
      <c r="Q810" s="21"/>
      <c r="R810" s="21"/>
      <c r="S810" s="21"/>
      <c r="T810" s="21"/>
      <c r="U810" s="22">
        <f>IFERROR(__xludf.DUMMYFUNCTION("IFERROR(GOOGLEFINANCE(A810,""closeyest""),"""")"),1750.0)</f>
        <v>1750</v>
      </c>
      <c r="V810" s="23">
        <f>IFERROR(__xludf.DUMMYFUNCTION("IFERROR(GOOGLEFINANCE(A810,""changepct""),"""")"),11.43)</f>
        <v>11.43</v>
      </c>
      <c r="W810" s="22">
        <f>IFERROR(__xludf.DUMMYFUNCTION("IFERROR(GOOGLEFINANCE(A810,""priceopen""),"""")"),1885.0)</f>
        <v>1885</v>
      </c>
      <c r="X810" s="22">
        <f>IFERROR(__xludf.DUMMYFUNCTION("IFERROR(GOOGLEFINANCE(A810,""high""),"""")"),1960.0)</f>
        <v>1960</v>
      </c>
      <c r="Y810" s="22" t="str">
        <f>IFERROR(__xludf.DUMMYFUNCTION("IFERROR(GOOGLEFINANCE(A810,""low""),"""")"),"")</f>
        <v/>
      </c>
      <c r="Z810" s="22">
        <f>IFERROR(__xludf.DUMMYFUNCTION("IFERROR(GOOGLEFINANCE(A810,""volume""),"""")"),2.69819E7)</f>
        <v>26981900</v>
      </c>
      <c r="AA810" s="24" t="str">
        <f>VLOOKUP(A810,Metrik!$C$2:$Y$959,5,0)</f>
        <v>Apparel &amp; Luxury Goods</v>
      </c>
      <c r="AB810" s="24" t="str">
        <f>VLOOKUP(A810,Metrik!$C$2:$Y$959,3,0)</f>
        <v>Consumer Cyclicals</v>
      </c>
    </row>
    <row r="811">
      <c r="A811" s="14" t="s">
        <v>456</v>
      </c>
      <c r="B811" s="14" t="str">
        <f t="array" ref="B811">VLOOKUP(A811,{Metrik!$C$2:$C$998,Metrik!$B$2:$B$998},2,0)</f>
        <v>Hartadinata Abadi Tbk.</v>
      </c>
      <c r="C811" s="15">
        <f>IFERROR(__xludf.DUMMYFUNCTION("GOOGLEFINANCE(""IDX:""&amp;A811,""price"")"),1950.0)</f>
        <v>1950</v>
      </c>
      <c r="D811" s="16" t="str">
        <f>IFERROR(__xludf.DUMMYFUNCTION("IF(A811="""","""",
SPARKLINE(
INDEX(
GOOGLEFINANCE(""IDX:""&amp;A811,""close"",TODAY()-365,TODAY()),
,2
),
{""linewidth"",1}
))
"),"#N/A")</f>
        <v>#N/A</v>
      </c>
      <c r="E811" s="14" t="s">
        <v>54</v>
      </c>
      <c r="F811" s="14" t="s">
        <v>34</v>
      </c>
      <c r="G811" s="24">
        <f t="shared" si="6"/>
        <v>8</v>
      </c>
      <c r="H811" s="19">
        <f>VLOOKUP(A811,Metrik!$C$2:$Y$959,8,0)</f>
        <v>9.1</v>
      </c>
      <c r="I811" s="20">
        <f>VLOOKUP(A811,Metrik!$C$2:$Y$959,9,0)</f>
        <v>3.1</v>
      </c>
      <c r="J811" s="20">
        <f>VLOOKUP(A811,Metrik!$C$2:$Y$959,10,0)</f>
        <v>34.5</v>
      </c>
      <c r="K811" s="20">
        <f>VLOOKUP(A811,Metrik!$C$2:$Y$959,11,0)</f>
        <v>9.2</v>
      </c>
      <c r="L811" s="20">
        <f>VLOOKUP(A811,Metrik!$C$2:$Y$959,12,0)</f>
        <v>2.8</v>
      </c>
      <c r="M811" s="20">
        <f>VLOOKUP(A811,Metrik!$C$2:$Y$959,19,0)</f>
        <v>6.3</v>
      </c>
      <c r="N811" s="21"/>
      <c r="O811" s="21"/>
      <c r="P811" s="21"/>
      <c r="Q811" s="21"/>
      <c r="R811" s="21"/>
      <c r="S811" s="21"/>
      <c r="T811" s="21"/>
      <c r="U811" s="22">
        <f>IFERROR(__xludf.DUMMYFUNCTION("IFERROR(GOOGLEFINANCE(A811,""closeyest""),"""")"),1750.0)</f>
        <v>1750</v>
      </c>
      <c r="V811" s="23">
        <f>IFERROR(__xludf.DUMMYFUNCTION("IFERROR(GOOGLEFINANCE(A811,""changepct""),"""")"),11.43)</f>
        <v>11.43</v>
      </c>
      <c r="W811" s="22">
        <f>IFERROR(__xludf.DUMMYFUNCTION("IFERROR(GOOGLEFINANCE(A811,""priceopen""),"""")"),1885.0)</f>
        <v>1885</v>
      </c>
      <c r="X811" s="22">
        <f>IFERROR(__xludf.DUMMYFUNCTION("IFERROR(GOOGLEFINANCE(A811,""high""),"""")"),1960.0)</f>
        <v>1960</v>
      </c>
      <c r="Y811" s="22" t="str">
        <f>IFERROR(__xludf.DUMMYFUNCTION("IFERROR(GOOGLEFINANCE(A811,""low""),"""")"),"")</f>
        <v/>
      </c>
      <c r="Z811" s="22">
        <f>IFERROR(__xludf.DUMMYFUNCTION("IFERROR(GOOGLEFINANCE(A811,""volume""),"""")"),2.69819E7)</f>
        <v>26981900</v>
      </c>
      <c r="AA811" s="24" t="str">
        <f>VLOOKUP(A811,Metrik!$C$2:$Y$959,5,0)</f>
        <v>Apparel &amp; Luxury Goods</v>
      </c>
      <c r="AB811" s="24" t="str">
        <f>VLOOKUP(A811,Metrik!$C$2:$Y$959,3,0)</f>
        <v>Consumer Cyclicals</v>
      </c>
    </row>
    <row r="812">
      <c r="A812" s="14" t="s">
        <v>456</v>
      </c>
      <c r="B812" s="14" t="str">
        <f t="array" ref="B812">VLOOKUP(A812,{Metrik!$C$2:$C$998,Metrik!$B$2:$B$998},2,0)</f>
        <v>Hartadinata Abadi Tbk.</v>
      </c>
      <c r="C812" s="15">
        <f>IFERROR(__xludf.DUMMYFUNCTION("GOOGLEFINANCE(""IDX:""&amp;A812,""price"")"),1950.0)</f>
        <v>1950</v>
      </c>
      <c r="D812" s="16" t="str">
        <f>IFERROR(__xludf.DUMMYFUNCTION("IF(A812="""","""",
SPARKLINE(
INDEX(
GOOGLEFINANCE(""IDX:""&amp;A812,""close"",TODAY()-365,TODAY()),
,2
),
{""linewidth"",1}
))
"),"#N/A")</f>
        <v>#N/A</v>
      </c>
      <c r="E812" s="14" t="s">
        <v>68</v>
      </c>
      <c r="F812" s="14" t="s">
        <v>34</v>
      </c>
      <c r="G812" s="24">
        <f t="shared" si="6"/>
        <v>8</v>
      </c>
      <c r="H812" s="19">
        <f>VLOOKUP(A812,Metrik!$C$2:$Y$959,8,0)</f>
        <v>9.1</v>
      </c>
      <c r="I812" s="20">
        <f>VLOOKUP(A812,Metrik!$C$2:$Y$959,9,0)</f>
        <v>3.1</v>
      </c>
      <c r="J812" s="20">
        <f>VLOOKUP(A812,Metrik!$C$2:$Y$959,10,0)</f>
        <v>34.5</v>
      </c>
      <c r="K812" s="20">
        <f>VLOOKUP(A812,Metrik!$C$2:$Y$959,11,0)</f>
        <v>9.2</v>
      </c>
      <c r="L812" s="20">
        <f>VLOOKUP(A812,Metrik!$C$2:$Y$959,12,0)</f>
        <v>2.8</v>
      </c>
      <c r="M812" s="20">
        <f>VLOOKUP(A812,Metrik!$C$2:$Y$959,19,0)</f>
        <v>6.3</v>
      </c>
      <c r="N812" s="21"/>
      <c r="O812" s="21"/>
      <c r="P812" s="21"/>
      <c r="Q812" s="21"/>
      <c r="R812" s="21"/>
      <c r="S812" s="21"/>
      <c r="T812" s="21"/>
      <c r="U812" s="22">
        <f>IFERROR(__xludf.DUMMYFUNCTION("IFERROR(GOOGLEFINANCE(A812,""closeyest""),"""")"),1750.0)</f>
        <v>1750</v>
      </c>
      <c r="V812" s="23">
        <f>IFERROR(__xludf.DUMMYFUNCTION("IFERROR(GOOGLEFINANCE(A812,""changepct""),"""")"),11.43)</f>
        <v>11.43</v>
      </c>
      <c r="W812" s="22">
        <f>IFERROR(__xludf.DUMMYFUNCTION("IFERROR(GOOGLEFINANCE(A812,""priceopen""),"""")"),1885.0)</f>
        <v>1885</v>
      </c>
      <c r="X812" s="22">
        <f>IFERROR(__xludf.DUMMYFUNCTION("IFERROR(GOOGLEFINANCE(A812,""high""),"""")"),1960.0)</f>
        <v>1960</v>
      </c>
      <c r="Y812" s="22" t="str">
        <f>IFERROR(__xludf.DUMMYFUNCTION("IFERROR(GOOGLEFINANCE(A812,""low""),"""")"),"")</f>
        <v/>
      </c>
      <c r="Z812" s="22">
        <f>IFERROR(__xludf.DUMMYFUNCTION("IFERROR(GOOGLEFINANCE(A812,""volume""),"""")"),2.69819E7)</f>
        <v>26981900</v>
      </c>
      <c r="AA812" s="24" t="str">
        <f>VLOOKUP(A812,Metrik!$C$2:$Y$959,5,0)</f>
        <v>Apparel &amp; Luxury Goods</v>
      </c>
      <c r="AB812" s="24" t="str">
        <f>VLOOKUP(A812,Metrik!$C$2:$Y$959,3,0)</f>
        <v>Consumer Cyclicals</v>
      </c>
    </row>
    <row r="813">
      <c r="A813" s="14" t="s">
        <v>456</v>
      </c>
      <c r="B813" s="14" t="str">
        <f t="array" ref="B813">VLOOKUP(A813,{Metrik!$C$2:$C$998,Metrik!$B$2:$B$998},2,0)</f>
        <v>Hartadinata Abadi Tbk.</v>
      </c>
      <c r="C813" s="15">
        <f>IFERROR(__xludf.DUMMYFUNCTION("GOOGLEFINANCE(""IDX:""&amp;A813,""price"")"),1950.0)</f>
        <v>1950</v>
      </c>
      <c r="D813" s="16" t="str">
        <f>IFERROR(__xludf.DUMMYFUNCTION("IF(A813="""","""",
SPARKLINE(
INDEX(
GOOGLEFINANCE(""IDX:""&amp;A813,""close"",TODAY()-365,TODAY()),
,2
),
{""linewidth"",1}
))
"),"#N/A")</f>
        <v>#N/A</v>
      </c>
      <c r="E813" s="14" t="s">
        <v>28</v>
      </c>
      <c r="F813" s="17" t="s">
        <v>29</v>
      </c>
      <c r="G813" s="24">
        <f t="shared" si="6"/>
        <v>8</v>
      </c>
      <c r="H813" s="19">
        <f>VLOOKUP(A813,Metrik!$C$2:$Y$959,8,0)</f>
        <v>9.1</v>
      </c>
      <c r="I813" s="20">
        <f>VLOOKUP(A813,Metrik!$C$2:$Y$959,9,0)</f>
        <v>3.1</v>
      </c>
      <c r="J813" s="20">
        <f>VLOOKUP(A813,Metrik!$C$2:$Y$959,10,0)</f>
        <v>34.5</v>
      </c>
      <c r="K813" s="20">
        <f>VLOOKUP(A813,Metrik!$C$2:$Y$959,11,0)</f>
        <v>9.2</v>
      </c>
      <c r="L813" s="20">
        <f>VLOOKUP(A813,Metrik!$C$2:$Y$959,12,0)</f>
        <v>2.8</v>
      </c>
      <c r="M813" s="20">
        <f>VLOOKUP(A813,Metrik!$C$2:$Y$959,19,0)</f>
        <v>6.3</v>
      </c>
      <c r="N813" s="21"/>
      <c r="O813" s="21"/>
      <c r="P813" s="21"/>
      <c r="Q813" s="21"/>
      <c r="R813" s="21"/>
      <c r="S813" s="21"/>
      <c r="T813" s="21"/>
      <c r="U813" s="22">
        <f>IFERROR(__xludf.DUMMYFUNCTION("IFERROR(GOOGLEFINANCE(A813,""closeyest""),"""")"),1750.0)</f>
        <v>1750</v>
      </c>
      <c r="V813" s="23">
        <f>IFERROR(__xludf.DUMMYFUNCTION("IFERROR(GOOGLEFINANCE(A813,""changepct""),"""")"),11.43)</f>
        <v>11.43</v>
      </c>
      <c r="W813" s="22">
        <f>IFERROR(__xludf.DUMMYFUNCTION("IFERROR(GOOGLEFINANCE(A813,""priceopen""),"""")"),1885.0)</f>
        <v>1885</v>
      </c>
      <c r="X813" s="22">
        <f>IFERROR(__xludf.DUMMYFUNCTION("IFERROR(GOOGLEFINANCE(A813,""high""),"""")"),1960.0)</f>
        <v>1960</v>
      </c>
      <c r="Y813" s="22" t="str">
        <f>IFERROR(__xludf.DUMMYFUNCTION("IFERROR(GOOGLEFINANCE(A813,""low""),"""")"),"")</f>
        <v/>
      </c>
      <c r="Z813" s="22">
        <f>IFERROR(__xludf.DUMMYFUNCTION("IFERROR(GOOGLEFINANCE(A813,""volume""),"""")"),2.69819E7)</f>
        <v>26981900</v>
      </c>
      <c r="AA813" s="24" t="str">
        <f>VLOOKUP(A813,Metrik!$C$2:$Y$959,5,0)</f>
        <v>Apparel &amp; Luxury Goods</v>
      </c>
      <c r="AB813" s="24" t="str">
        <f>VLOOKUP(A813,Metrik!$C$2:$Y$959,3,0)</f>
        <v>Consumer Cyclicals</v>
      </c>
    </row>
    <row r="814">
      <c r="A814" s="14" t="s">
        <v>456</v>
      </c>
      <c r="B814" s="14" t="str">
        <f t="array" ref="B814">VLOOKUP(A814,{Metrik!$C$2:$C$998,Metrik!$B$2:$B$998},2,0)</f>
        <v>Hartadinata Abadi Tbk.</v>
      </c>
      <c r="C814" s="15">
        <f>IFERROR(__xludf.DUMMYFUNCTION("GOOGLEFINANCE(""IDX:""&amp;A814,""price"")"),1950.0)</f>
        <v>1950</v>
      </c>
      <c r="D814" s="16" t="str">
        <f>IFERROR(__xludf.DUMMYFUNCTION("IF(A814="""","""",
SPARKLINE(
INDEX(
GOOGLEFINANCE(""IDX:""&amp;A814,""close"",TODAY()-365,TODAY()),
,2
),
{""linewidth"",1}
))
"),"#N/A")</f>
        <v>#N/A</v>
      </c>
      <c r="E814" s="14" t="s">
        <v>32</v>
      </c>
      <c r="F814" s="14" t="s">
        <v>29</v>
      </c>
      <c r="G814" s="24">
        <f t="shared" si="6"/>
        <v>8</v>
      </c>
      <c r="H814" s="19">
        <f>VLOOKUP(A814,Metrik!$C$2:$Y$959,8,0)</f>
        <v>9.1</v>
      </c>
      <c r="I814" s="20">
        <f>VLOOKUP(A814,Metrik!$C$2:$Y$959,9,0)</f>
        <v>3.1</v>
      </c>
      <c r="J814" s="20">
        <f>VLOOKUP(A814,Metrik!$C$2:$Y$959,10,0)</f>
        <v>34.5</v>
      </c>
      <c r="K814" s="20">
        <f>VLOOKUP(A814,Metrik!$C$2:$Y$959,11,0)</f>
        <v>9.2</v>
      </c>
      <c r="L814" s="20">
        <f>VLOOKUP(A814,Metrik!$C$2:$Y$959,12,0)</f>
        <v>2.8</v>
      </c>
      <c r="M814" s="20">
        <f>VLOOKUP(A814,Metrik!$C$2:$Y$959,19,0)</f>
        <v>6.3</v>
      </c>
      <c r="N814" s="21"/>
      <c r="O814" s="21"/>
      <c r="P814" s="21"/>
      <c r="Q814" s="21"/>
      <c r="R814" s="21"/>
      <c r="S814" s="21"/>
      <c r="T814" s="21"/>
      <c r="U814" s="22">
        <f>IFERROR(__xludf.DUMMYFUNCTION("IFERROR(GOOGLEFINANCE(A814,""closeyest""),"""")"),1750.0)</f>
        <v>1750</v>
      </c>
      <c r="V814" s="23">
        <f>IFERROR(__xludf.DUMMYFUNCTION("IFERROR(GOOGLEFINANCE(A814,""changepct""),"""")"),11.43)</f>
        <v>11.43</v>
      </c>
      <c r="W814" s="22">
        <f>IFERROR(__xludf.DUMMYFUNCTION("IFERROR(GOOGLEFINANCE(A814,""priceopen""),"""")"),1885.0)</f>
        <v>1885</v>
      </c>
      <c r="X814" s="22">
        <f>IFERROR(__xludf.DUMMYFUNCTION("IFERROR(GOOGLEFINANCE(A814,""high""),"""")"),1960.0)</f>
        <v>1960</v>
      </c>
      <c r="Y814" s="22" t="str">
        <f>IFERROR(__xludf.DUMMYFUNCTION("IFERROR(GOOGLEFINANCE(A814,""low""),"""")"),"")</f>
        <v/>
      </c>
      <c r="Z814" s="22">
        <f>IFERROR(__xludf.DUMMYFUNCTION("IFERROR(GOOGLEFINANCE(A814,""volume""),"""")"),2.69819E7)</f>
        <v>26981900</v>
      </c>
      <c r="AA814" s="24" t="str">
        <f>VLOOKUP(A814,Metrik!$C$2:$Y$959,5,0)</f>
        <v>Apparel &amp; Luxury Goods</v>
      </c>
      <c r="AB814" s="24" t="str">
        <f>VLOOKUP(A814,Metrik!$C$2:$Y$959,3,0)</f>
        <v>Consumer Cyclicals</v>
      </c>
    </row>
    <row r="815">
      <c r="A815" s="14" t="s">
        <v>456</v>
      </c>
      <c r="B815" s="14" t="str">
        <f t="array" ref="B815">VLOOKUP(A815,{Metrik!$C$2:$C$998,Metrik!$B$2:$B$998},2,0)</f>
        <v>Hartadinata Abadi Tbk.</v>
      </c>
      <c r="C815" s="15">
        <f>IFERROR(__xludf.DUMMYFUNCTION("GOOGLEFINANCE(""IDX:""&amp;A815,""price"")"),1950.0)</f>
        <v>1950</v>
      </c>
      <c r="D815" s="16" t="str">
        <f>IFERROR(__xludf.DUMMYFUNCTION("IF(A815="""","""",
SPARKLINE(
INDEX(
GOOGLEFINANCE(""IDX:""&amp;A815,""close"",TODAY()-365,TODAY()),
,2
),
{""linewidth"",1}
))
"),"#N/A")</f>
        <v>#N/A</v>
      </c>
      <c r="E815" s="14" t="s">
        <v>161</v>
      </c>
      <c r="F815" s="14" t="s">
        <v>76</v>
      </c>
      <c r="G815" s="24">
        <f t="shared" si="6"/>
        <v>8</v>
      </c>
      <c r="H815" s="19">
        <f>VLOOKUP(A815,Metrik!$C$2:$Y$959,8,0)</f>
        <v>9.1</v>
      </c>
      <c r="I815" s="20">
        <f>VLOOKUP(A815,Metrik!$C$2:$Y$959,9,0)</f>
        <v>3.1</v>
      </c>
      <c r="J815" s="20">
        <f>VLOOKUP(A815,Metrik!$C$2:$Y$959,10,0)</f>
        <v>34.5</v>
      </c>
      <c r="K815" s="20">
        <f>VLOOKUP(A815,Metrik!$C$2:$Y$959,11,0)</f>
        <v>9.2</v>
      </c>
      <c r="L815" s="20">
        <f>VLOOKUP(A815,Metrik!$C$2:$Y$959,12,0)</f>
        <v>2.8</v>
      </c>
      <c r="M815" s="20">
        <f>VLOOKUP(A815,Metrik!$C$2:$Y$959,19,0)</f>
        <v>6.3</v>
      </c>
      <c r="N815" s="21"/>
      <c r="O815" s="21"/>
      <c r="P815" s="21"/>
      <c r="Q815" s="21"/>
      <c r="R815" s="21"/>
      <c r="S815" s="21"/>
      <c r="T815" s="21"/>
      <c r="U815" s="22">
        <f>IFERROR(__xludf.DUMMYFUNCTION("IFERROR(GOOGLEFINANCE(A815,""closeyest""),"""")"),1750.0)</f>
        <v>1750</v>
      </c>
      <c r="V815" s="23">
        <f>IFERROR(__xludf.DUMMYFUNCTION("IFERROR(GOOGLEFINANCE(A815,""changepct""),"""")"),11.43)</f>
        <v>11.43</v>
      </c>
      <c r="W815" s="22">
        <f>IFERROR(__xludf.DUMMYFUNCTION("IFERROR(GOOGLEFINANCE(A815,""priceopen""),"""")"),1885.0)</f>
        <v>1885</v>
      </c>
      <c r="X815" s="22">
        <f>IFERROR(__xludf.DUMMYFUNCTION("IFERROR(GOOGLEFINANCE(A815,""high""),"""")"),1960.0)</f>
        <v>1960</v>
      </c>
      <c r="Y815" s="22" t="str">
        <f>IFERROR(__xludf.DUMMYFUNCTION("IFERROR(GOOGLEFINANCE(A815,""low""),"""")"),"")</f>
        <v/>
      </c>
      <c r="Z815" s="22">
        <f>IFERROR(__xludf.DUMMYFUNCTION("IFERROR(GOOGLEFINANCE(A815,""volume""),"""")"),2.69819E7)</f>
        <v>26981900</v>
      </c>
      <c r="AA815" s="24" t="str">
        <f>VLOOKUP(A815,Metrik!$C$2:$Y$959,5,0)</f>
        <v>Apparel &amp; Luxury Goods</v>
      </c>
      <c r="AB815" s="24" t="str">
        <f>VLOOKUP(A815,Metrik!$C$2:$Y$959,3,0)</f>
        <v>Consumer Cyclicals</v>
      </c>
    </row>
    <row r="816">
      <c r="A816" s="14" t="s">
        <v>456</v>
      </c>
      <c r="B816" s="14" t="str">
        <f t="array" ref="B816">VLOOKUP(A816,{Metrik!$C$2:$C$998,Metrik!$B$2:$B$998},2,0)</f>
        <v>Hartadinata Abadi Tbk.</v>
      </c>
      <c r="C816" s="15">
        <f>IFERROR(__xludf.DUMMYFUNCTION("GOOGLEFINANCE(""IDX:""&amp;A816,""price"")"),1950.0)</f>
        <v>1950</v>
      </c>
      <c r="D816" s="16" t="str">
        <f>IFERROR(__xludf.DUMMYFUNCTION("IF(A816="""","""",
SPARKLINE(
INDEX(
GOOGLEFINANCE(""IDX:""&amp;A816,""close"",TODAY()-365,TODAY()),
,2
),
{""linewidth"",1}
))
"),"#N/A")</f>
        <v>#N/A</v>
      </c>
      <c r="E816" s="14" t="s">
        <v>41</v>
      </c>
      <c r="F816" s="14" t="s">
        <v>34</v>
      </c>
      <c r="G816" s="24">
        <f t="shared" si="6"/>
        <v>8</v>
      </c>
      <c r="H816" s="19">
        <f>VLOOKUP(A816,Metrik!$C$2:$Y$959,8,0)</f>
        <v>9.1</v>
      </c>
      <c r="I816" s="20">
        <f>VLOOKUP(A816,Metrik!$C$2:$Y$959,9,0)</f>
        <v>3.1</v>
      </c>
      <c r="J816" s="20">
        <f>VLOOKUP(A816,Metrik!$C$2:$Y$959,10,0)</f>
        <v>34.5</v>
      </c>
      <c r="K816" s="20">
        <f>VLOOKUP(A816,Metrik!$C$2:$Y$959,11,0)</f>
        <v>9.2</v>
      </c>
      <c r="L816" s="20">
        <f>VLOOKUP(A816,Metrik!$C$2:$Y$959,12,0)</f>
        <v>2.8</v>
      </c>
      <c r="M816" s="20">
        <f>VLOOKUP(A816,Metrik!$C$2:$Y$959,19,0)</f>
        <v>6.3</v>
      </c>
      <c r="N816" s="21"/>
      <c r="O816" s="21"/>
      <c r="P816" s="21"/>
      <c r="Q816" s="21"/>
      <c r="R816" s="21"/>
      <c r="S816" s="21"/>
      <c r="T816" s="21"/>
      <c r="U816" s="22">
        <f>IFERROR(__xludf.DUMMYFUNCTION("IFERROR(GOOGLEFINANCE(A816,""closeyest""),"""")"),1750.0)</f>
        <v>1750</v>
      </c>
      <c r="V816" s="23">
        <f>IFERROR(__xludf.DUMMYFUNCTION("IFERROR(GOOGLEFINANCE(A816,""changepct""),"""")"),11.43)</f>
        <v>11.43</v>
      </c>
      <c r="W816" s="22">
        <f>IFERROR(__xludf.DUMMYFUNCTION("IFERROR(GOOGLEFINANCE(A816,""priceopen""),"""")"),1885.0)</f>
        <v>1885</v>
      </c>
      <c r="X816" s="22">
        <f>IFERROR(__xludf.DUMMYFUNCTION("IFERROR(GOOGLEFINANCE(A816,""high""),"""")"),1960.0)</f>
        <v>1960</v>
      </c>
      <c r="Y816" s="22" t="str">
        <f>IFERROR(__xludf.DUMMYFUNCTION("IFERROR(GOOGLEFINANCE(A816,""low""),"""")"),"")</f>
        <v/>
      </c>
      <c r="Z816" s="22">
        <f>IFERROR(__xludf.DUMMYFUNCTION("IFERROR(GOOGLEFINANCE(A816,""volume""),"""")"),2.69819E7)</f>
        <v>26981900</v>
      </c>
      <c r="AA816" s="24" t="str">
        <f>VLOOKUP(A816,Metrik!$C$2:$Y$959,5,0)</f>
        <v>Apparel &amp; Luxury Goods</v>
      </c>
      <c r="AB816" s="24" t="str">
        <f>VLOOKUP(A816,Metrik!$C$2:$Y$959,3,0)</f>
        <v>Consumer Cyclicals</v>
      </c>
    </row>
    <row r="817">
      <c r="A817" s="17" t="s">
        <v>456</v>
      </c>
      <c r="B817" s="14" t="str">
        <f t="array" ref="B817">VLOOKUP(A817,{Metrik!$C$2:$C$998,Metrik!$B$2:$B$998},2,0)</f>
        <v>Hartadinata Abadi Tbk.</v>
      </c>
      <c r="C817" s="15">
        <f>IFERROR(__xludf.DUMMYFUNCTION("GOOGLEFINANCE(""IDX:""&amp;A817,""price"")"),1950.0)</f>
        <v>1950</v>
      </c>
      <c r="D817" s="16" t="str">
        <f>IFERROR(__xludf.DUMMYFUNCTION("IF(A817="""","""",
SPARKLINE(
INDEX(
GOOGLEFINANCE(""IDX:""&amp;A817,""close"",TODAY()-365,TODAY()),
,2
),
{""linewidth"",1}
))
"),"#N/A")</f>
        <v>#N/A</v>
      </c>
      <c r="E817" s="14" t="s">
        <v>39</v>
      </c>
      <c r="F817" s="25">
        <v>46356.0</v>
      </c>
      <c r="G817" s="18">
        <f t="shared" si="6"/>
        <v>8</v>
      </c>
      <c r="H817" s="19">
        <f>VLOOKUP(A817,Metrik!$C$2:$Y$959,8,0)</f>
        <v>9.1</v>
      </c>
      <c r="I817" s="20">
        <f>VLOOKUP(A817,Metrik!$C$2:$Y$959,9,0)</f>
        <v>3.1</v>
      </c>
      <c r="J817" s="20">
        <f>VLOOKUP(A817,Metrik!$C$2:$Y$959,10,0)</f>
        <v>34.5</v>
      </c>
      <c r="K817" s="20">
        <f>VLOOKUP(A817,Metrik!$C$2:$Y$959,11,0)</f>
        <v>9.2</v>
      </c>
      <c r="L817" s="20">
        <f>VLOOKUP(A817,Metrik!$C$2:$Y$959,12,0)</f>
        <v>2.8</v>
      </c>
      <c r="M817" s="20">
        <f>VLOOKUP(A817,Metrik!$C$2:$Y$959,19,0)</f>
        <v>6.3</v>
      </c>
      <c r="N817" s="21"/>
      <c r="O817" s="21"/>
      <c r="P817" s="21"/>
      <c r="Q817" s="21"/>
      <c r="R817" s="21"/>
      <c r="S817" s="21"/>
      <c r="T817" s="21"/>
      <c r="U817" s="22">
        <f>IFERROR(__xludf.DUMMYFUNCTION("IFERROR(GOOGLEFINANCE(A817,""closeyest""),"""")"),1750.0)</f>
        <v>1750</v>
      </c>
      <c r="V817" s="23">
        <f>IFERROR(__xludf.DUMMYFUNCTION("IFERROR(GOOGLEFINANCE(A817,""changepct""),"""")"),11.43)</f>
        <v>11.43</v>
      </c>
      <c r="W817" s="22">
        <f>IFERROR(__xludf.DUMMYFUNCTION("IFERROR(GOOGLEFINANCE(A817,""priceopen""),"""")"),1885.0)</f>
        <v>1885</v>
      </c>
      <c r="X817" s="22">
        <f>IFERROR(__xludf.DUMMYFUNCTION("IFERROR(GOOGLEFINANCE(A817,""high""),"""")"),1960.0)</f>
        <v>1960</v>
      </c>
      <c r="Y817" s="22" t="str">
        <f>IFERROR(__xludf.DUMMYFUNCTION("IFERROR(GOOGLEFINANCE(A817,""low""),"""")"),"")</f>
        <v/>
      </c>
      <c r="Z817" s="22">
        <f>IFERROR(__xludf.DUMMYFUNCTION("IFERROR(GOOGLEFINANCE(A817,""volume""),"""")"),2.69819E7)</f>
        <v>26981900</v>
      </c>
      <c r="AA817" s="24" t="str">
        <f>VLOOKUP(A817,Metrik!$C$2:$Y$959,5,0)</f>
        <v>Apparel &amp; Luxury Goods</v>
      </c>
      <c r="AB817" s="24" t="str">
        <f>VLOOKUP(A817,Metrik!$C$2:$Y$959,3,0)</f>
        <v>Consumer Cyclicals</v>
      </c>
    </row>
    <row r="818">
      <c r="A818" s="14" t="s">
        <v>457</v>
      </c>
      <c r="B818" s="14" t="str">
        <f t="array" ref="B818">VLOOKUP(A818,{Metrik!$C$2:$C$998,Metrik!$B$2:$B$998},2,0)</f>
        <v>Harum Energy Tbk.</v>
      </c>
      <c r="C818" s="15">
        <f>IFERROR(__xludf.DUMMYFUNCTION("GOOGLEFINANCE(""IDX:""&amp;A818,""price"")"),785.0)</f>
        <v>785</v>
      </c>
      <c r="D818" s="16" t="str">
        <f>IFERROR(__xludf.DUMMYFUNCTION("IF(A818="""","""",
SPARKLINE(
INDEX(
GOOGLEFINANCE(""IDX:""&amp;A818,""close"",TODAY()-365,TODAY()),
,2
),
{""linewidth"",1}
))
"),"#N/A")</f>
        <v>#N/A</v>
      </c>
      <c r="E818" s="14" t="s">
        <v>65</v>
      </c>
      <c r="F818" s="25">
        <v>46356.0</v>
      </c>
      <c r="G818" s="24">
        <f t="shared" si="6"/>
        <v>5</v>
      </c>
      <c r="H818" s="19">
        <f>VLOOKUP(A818,Metrik!$C$2:$Y$959,8,0)</f>
        <v>15.5</v>
      </c>
      <c r="I818" s="20">
        <f>VLOOKUP(A818,Metrik!$C$2:$Y$959,9,0)</f>
        <v>0.34</v>
      </c>
      <c r="J818" s="20">
        <f>VLOOKUP(A818,Metrik!$C$2:$Y$959,10,0)</f>
        <v>2.2</v>
      </c>
      <c r="K818" s="20">
        <f>VLOOKUP(A818,Metrik!$C$2:$Y$959,11,0)</f>
        <v>1.1</v>
      </c>
      <c r="L818" s="20">
        <f>VLOOKUP(A818,Metrik!$C$2:$Y$959,12,0)</f>
        <v>1</v>
      </c>
      <c r="M818" s="20">
        <f>VLOOKUP(A818,Metrik!$C$2:$Y$959,19,0)</f>
        <v>11.7</v>
      </c>
      <c r="N818" s="21"/>
      <c r="O818" s="21"/>
      <c r="P818" s="21"/>
      <c r="Q818" s="21"/>
      <c r="R818" s="21"/>
      <c r="S818" s="21"/>
      <c r="T818" s="21"/>
      <c r="U818" s="22">
        <f>IFERROR(__xludf.DUMMYFUNCTION("IFERROR(GOOGLEFINANCE(A818,""closeyest""),"""")"),710.0)</f>
        <v>710</v>
      </c>
      <c r="V818" s="23" t="str">
        <f>IFERROR(__xludf.DUMMYFUNCTION("IFERROR(GOOGLEFINANCE(A818,""changepct""),"""")"),"")</f>
        <v/>
      </c>
      <c r="W818" s="22">
        <f>IFERROR(__xludf.DUMMYFUNCTION("IFERROR(GOOGLEFINANCE(A818,""priceopen""),"""")"),730.0)</f>
        <v>730</v>
      </c>
      <c r="X818" s="22">
        <f>IFERROR(__xludf.DUMMYFUNCTION("IFERROR(GOOGLEFINANCE(A818,""high""),"""")"),800.0)</f>
        <v>800</v>
      </c>
      <c r="Y818" s="22" t="str">
        <f>IFERROR(__xludf.DUMMYFUNCTION("IFERROR(GOOGLEFINANCE(A818,""low""),"""")"),"")</f>
        <v/>
      </c>
      <c r="Z818" s="22">
        <f>IFERROR(__xludf.DUMMYFUNCTION("IFERROR(GOOGLEFINANCE(A818,""volume""),"""")"),1.86317E7)</f>
        <v>18631700</v>
      </c>
      <c r="AA818" s="24" t="str">
        <f>VLOOKUP(A818,Metrik!$C$2:$Y$959,5,0)</f>
        <v>Coal</v>
      </c>
      <c r="AB818" s="24" t="str">
        <f>VLOOKUP(A818,Metrik!$C$2:$Y$959,3,0)</f>
        <v>Energy</v>
      </c>
    </row>
    <row r="819">
      <c r="A819" s="14" t="s">
        <v>457</v>
      </c>
      <c r="B819" s="14" t="str">
        <f t="array" ref="B819">VLOOKUP(A819,{Metrik!$C$2:$C$998,Metrik!$B$2:$B$998},2,0)</f>
        <v>Harum Energy Tbk.</v>
      </c>
      <c r="C819" s="15">
        <f>IFERROR(__xludf.DUMMYFUNCTION("GOOGLEFINANCE(""IDX:""&amp;A819,""price"")"),785.0)</f>
        <v>785</v>
      </c>
      <c r="D819" s="16" t="str">
        <f>IFERROR(__xludf.DUMMYFUNCTION("IF(A819="""","""",
SPARKLINE(
INDEX(
GOOGLEFINANCE(""IDX:""&amp;A819,""close"",TODAY()-365,TODAY()),
,2
),
{""linewidth"",1}
))
"),"#N/A")</f>
        <v>#N/A</v>
      </c>
      <c r="E819" s="14" t="s">
        <v>28</v>
      </c>
      <c r="F819" s="17" t="s">
        <v>29</v>
      </c>
      <c r="G819" s="24">
        <f t="shared" si="6"/>
        <v>5</v>
      </c>
      <c r="H819" s="19">
        <f>VLOOKUP(A819,Metrik!$C$2:$Y$959,8,0)</f>
        <v>15.5</v>
      </c>
      <c r="I819" s="20">
        <f>VLOOKUP(A819,Metrik!$C$2:$Y$959,9,0)</f>
        <v>0.34</v>
      </c>
      <c r="J819" s="20">
        <f>VLOOKUP(A819,Metrik!$C$2:$Y$959,10,0)</f>
        <v>2.2</v>
      </c>
      <c r="K819" s="20">
        <f>VLOOKUP(A819,Metrik!$C$2:$Y$959,11,0)</f>
        <v>1.1</v>
      </c>
      <c r="L819" s="20">
        <f>VLOOKUP(A819,Metrik!$C$2:$Y$959,12,0)</f>
        <v>1</v>
      </c>
      <c r="M819" s="20">
        <f>VLOOKUP(A819,Metrik!$C$2:$Y$959,19,0)</f>
        <v>11.7</v>
      </c>
      <c r="N819" s="21"/>
      <c r="O819" s="21"/>
      <c r="P819" s="21"/>
      <c r="Q819" s="21"/>
      <c r="R819" s="21"/>
      <c r="S819" s="21"/>
      <c r="T819" s="21"/>
      <c r="U819" s="22">
        <f>IFERROR(__xludf.DUMMYFUNCTION("IFERROR(GOOGLEFINANCE(A819,""closeyest""),"""")"),710.0)</f>
        <v>710</v>
      </c>
      <c r="V819" s="23" t="str">
        <f>IFERROR(__xludf.DUMMYFUNCTION("IFERROR(GOOGLEFINANCE(A819,""changepct""),"""")"),"")</f>
        <v/>
      </c>
      <c r="W819" s="22">
        <f>IFERROR(__xludf.DUMMYFUNCTION("IFERROR(GOOGLEFINANCE(A819,""priceopen""),"""")"),730.0)</f>
        <v>730</v>
      </c>
      <c r="X819" s="22">
        <f>IFERROR(__xludf.DUMMYFUNCTION("IFERROR(GOOGLEFINANCE(A819,""high""),"""")"),800.0)</f>
        <v>800</v>
      </c>
      <c r="Y819" s="22" t="str">
        <f>IFERROR(__xludf.DUMMYFUNCTION("IFERROR(GOOGLEFINANCE(A819,""low""),"""")"),"")</f>
        <v/>
      </c>
      <c r="Z819" s="22">
        <f>IFERROR(__xludf.DUMMYFUNCTION("IFERROR(GOOGLEFINANCE(A819,""volume""),"""")"),1.86317E7)</f>
        <v>18631700</v>
      </c>
      <c r="AA819" s="24" t="str">
        <f>VLOOKUP(A819,Metrik!$C$2:$Y$959,5,0)</f>
        <v>Coal</v>
      </c>
      <c r="AB819" s="24" t="str">
        <f>VLOOKUP(A819,Metrik!$C$2:$Y$959,3,0)</f>
        <v>Energy</v>
      </c>
    </row>
    <row r="820">
      <c r="A820" s="14" t="s">
        <v>457</v>
      </c>
      <c r="B820" s="14" t="str">
        <f t="array" ref="B820">VLOOKUP(A820,{Metrik!$C$2:$C$998,Metrik!$B$2:$B$998},2,0)</f>
        <v>Harum Energy Tbk.</v>
      </c>
      <c r="C820" s="15">
        <f>IFERROR(__xludf.DUMMYFUNCTION("GOOGLEFINANCE(""IDX:""&amp;A820,""price"")"),785.0)</f>
        <v>785</v>
      </c>
      <c r="D820" s="16" t="str">
        <f>IFERROR(__xludf.DUMMYFUNCTION("IF(A820="""","""",
SPARKLINE(
INDEX(
GOOGLEFINANCE(""IDX:""&amp;A820,""close"",TODAY()-365,TODAY()),
,2
),
{""linewidth"",1}
))
"),"#N/A")</f>
        <v>#N/A</v>
      </c>
      <c r="E820" s="14" t="s">
        <v>32</v>
      </c>
      <c r="F820" s="14" t="s">
        <v>29</v>
      </c>
      <c r="G820" s="24">
        <f t="shared" si="6"/>
        <v>5</v>
      </c>
      <c r="H820" s="19">
        <f>VLOOKUP(A820,Metrik!$C$2:$Y$959,8,0)</f>
        <v>15.5</v>
      </c>
      <c r="I820" s="20">
        <f>VLOOKUP(A820,Metrik!$C$2:$Y$959,9,0)</f>
        <v>0.34</v>
      </c>
      <c r="J820" s="20">
        <f>VLOOKUP(A820,Metrik!$C$2:$Y$959,10,0)</f>
        <v>2.2</v>
      </c>
      <c r="K820" s="20">
        <f>VLOOKUP(A820,Metrik!$C$2:$Y$959,11,0)</f>
        <v>1.1</v>
      </c>
      <c r="L820" s="20">
        <f>VLOOKUP(A820,Metrik!$C$2:$Y$959,12,0)</f>
        <v>1</v>
      </c>
      <c r="M820" s="20">
        <f>VLOOKUP(A820,Metrik!$C$2:$Y$959,19,0)</f>
        <v>11.7</v>
      </c>
      <c r="N820" s="21"/>
      <c r="O820" s="21"/>
      <c r="P820" s="21"/>
      <c r="Q820" s="21"/>
      <c r="R820" s="21"/>
      <c r="S820" s="21"/>
      <c r="T820" s="21"/>
      <c r="U820" s="22">
        <f>IFERROR(__xludf.DUMMYFUNCTION("IFERROR(GOOGLEFINANCE(A820,""closeyest""),"""")"),710.0)</f>
        <v>710</v>
      </c>
      <c r="V820" s="23" t="str">
        <f>IFERROR(__xludf.DUMMYFUNCTION("IFERROR(GOOGLEFINANCE(A820,""changepct""),"""")"),"")</f>
        <v/>
      </c>
      <c r="W820" s="22">
        <f>IFERROR(__xludf.DUMMYFUNCTION("IFERROR(GOOGLEFINANCE(A820,""priceopen""),"""")"),730.0)</f>
        <v>730</v>
      </c>
      <c r="X820" s="22">
        <f>IFERROR(__xludf.DUMMYFUNCTION("IFERROR(GOOGLEFINANCE(A820,""high""),"""")"),800.0)</f>
        <v>800</v>
      </c>
      <c r="Y820" s="22" t="str">
        <f>IFERROR(__xludf.DUMMYFUNCTION("IFERROR(GOOGLEFINANCE(A820,""low""),"""")"),"")</f>
        <v/>
      </c>
      <c r="Z820" s="22">
        <f>IFERROR(__xludf.DUMMYFUNCTION("IFERROR(GOOGLEFINANCE(A820,""volume""),"""")"),1.86317E7)</f>
        <v>18631700</v>
      </c>
      <c r="AA820" s="24" t="str">
        <f>VLOOKUP(A820,Metrik!$C$2:$Y$959,5,0)</f>
        <v>Coal</v>
      </c>
      <c r="AB820" s="24" t="str">
        <f>VLOOKUP(A820,Metrik!$C$2:$Y$959,3,0)</f>
        <v>Energy</v>
      </c>
    </row>
    <row r="821">
      <c r="A821" s="14" t="s">
        <v>457</v>
      </c>
      <c r="B821" s="14" t="str">
        <f t="array" ref="B821">VLOOKUP(A821,{Metrik!$C$2:$C$998,Metrik!$B$2:$B$998},2,0)</f>
        <v>Harum Energy Tbk.</v>
      </c>
      <c r="C821" s="15">
        <f>IFERROR(__xludf.DUMMYFUNCTION("GOOGLEFINANCE(""IDX:""&amp;A821,""price"")"),785.0)</f>
        <v>785</v>
      </c>
      <c r="D821" s="16" t="str">
        <f>IFERROR(__xludf.DUMMYFUNCTION("IF(A821="""","""",
SPARKLINE(
INDEX(
GOOGLEFINANCE(""IDX:""&amp;A821,""close"",TODAY()-365,TODAY()),
,2
),
{""linewidth"",1}
))
"),"#N/A")</f>
        <v>#N/A</v>
      </c>
      <c r="E821" s="14" t="s">
        <v>41</v>
      </c>
      <c r="F821" s="14" t="s">
        <v>34</v>
      </c>
      <c r="G821" s="24">
        <f t="shared" si="6"/>
        <v>5</v>
      </c>
      <c r="H821" s="19">
        <f>VLOOKUP(A821,Metrik!$C$2:$Y$959,8,0)</f>
        <v>15.5</v>
      </c>
      <c r="I821" s="20">
        <f>VLOOKUP(A821,Metrik!$C$2:$Y$959,9,0)</f>
        <v>0.34</v>
      </c>
      <c r="J821" s="20">
        <f>VLOOKUP(A821,Metrik!$C$2:$Y$959,10,0)</f>
        <v>2.2</v>
      </c>
      <c r="K821" s="20">
        <f>VLOOKUP(A821,Metrik!$C$2:$Y$959,11,0)</f>
        <v>1.1</v>
      </c>
      <c r="L821" s="20">
        <f>VLOOKUP(A821,Metrik!$C$2:$Y$959,12,0)</f>
        <v>1</v>
      </c>
      <c r="M821" s="20">
        <f>VLOOKUP(A821,Metrik!$C$2:$Y$959,19,0)</f>
        <v>11.7</v>
      </c>
      <c r="N821" s="21"/>
      <c r="O821" s="21"/>
      <c r="P821" s="21"/>
      <c r="Q821" s="21"/>
      <c r="R821" s="21"/>
      <c r="S821" s="21"/>
      <c r="T821" s="21"/>
      <c r="U821" s="22">
        <f>IFERROR(__xludf.DUMMYFUNCTION("IFERROR(GOOGLEFINANCE(A821,""closeyest""),"""")"),710.0)</f>
        <v>710</v>
      </c>
      <c r="V821" s="23" t="str">
        <f>IFERROR(__xludf.DUMMYFUNCTION("IFERROR(GOOGLEFINANCE(A821,""changepct""),"""")"),"")</f>
        <v/>
      </c>
      <c r="W821" s="22">
        <f>IFERROR(__xludf.DUMMYFUNCTION("IFERROR(GOOGLEFINANCE(A821,""priceopen""),"""")"),730.0)</f>
        <v>730</v>
      </c>
      <c r="X821" s="22">
        <f>IFERROR(__xludf.DUMMYFUNCTION("IFERROR(GOOGLEFINANCE(A821,""high""),"""")"),800.0)</f>
        <v>800</v>
      </c>
      <c r="Y821" s="22" t="str">
        <f>IFERROR(__xludf.DUMMYFUNCTION("IFERROR(GOOGLEFINANCE(A821,""low""),"""")"),"")</f>
        <v/>
      </c>
      <c r="Z821" s="22">
        <f>IFERROR(__xludf.DUMMYFUNCTION("IFERROR(GOOGLEFINANCE(A821,""volume""),"""")"),1.86317E7)</f>
        <v>18631700</v>
      </c>
      <c r="AA821" s="24" t="str">
        <f>VLOOKUP(A821,Metrik!$C$2:$Y$959,5,0)</f>
        <v>Coal</v>
      </c>
      <c r="AB821" s="24" t="str">
        <f>VLOOKUP(A821,Metrik!$C$2:$Y$959,3,0)</f>
        <v>Energy</v>
      </c>
    </row>
    <row r="822">
      <c r="A822" s="14" t="s">
        <v>457</v>
      </c>
      <c r="B822" s="14" t="str">
        <f t="array" ref="B822">VLOOKUP(A822,{Metrik!$C$2:$C$998,Metrik!$B$2:$B$998},2,0)</f>
        <v>Harum Energy Tbk.</v>
      </c>
      <c r="C822" s="15">
        <f>IFERROR(__xludf.DUMMYFUNCTION("GOOGLEFINANCE(""IDX:""&amp;A822,""price"")"),785.0)</f>
        <v>785</v>
      </c>
      <c r="D822" s="16" t="str">
        <f>IFERROR(__xludf.DUMMYFUNCTION("IF(A822="""","""",
SPARKLINE(
INDEX(
GOOGLEFINANCE(""IDX:""&amp;A822,""close"",TODAY()-365,TODAY()),
,2
),
{""linewidth"",1}
))
"),"#N/A")</f>
        <v>#N/A</v>
      </c>
      <c r="E822" s="14" t="s">
        <v>39</v>
      </c>
      <c r="F822" s="25">
        <v>46356.0</v>
      </c>
      <c r="G822" s="24">
        <f t="shared" si="6"/>
        <v>5</v>
      </c>
      <c r="H822" s="19">
        <f>VLOOKUP(A822,Metrik!$C$2:$Y$959,8,0)</f>
        <v>15.5</v>
      </c>
      <c r="I822" s="20">
        <f>VLOOKUP(A822,Metrik!$C$2:$Y$959,9,0)</f>
        <v>0.34</v>
      </c>
      <c r="J822" s="20">
        <f>VLOOKUP(A822,Metrik!$C$2:$Y$959,10,0)</f>
        <v>2.2</v>
      </c>
      <c r="K822" s="20">
        <f>VLOOKUP(A822,Metrik!$C$2:$Y$959,11,0)</f>
        <v>1.1</v>
      </c>
      <c r="L822" s="20">
        <f>VLOOKUP(A822,Metrik!$C$2:$Y$959,12,0)</f>
        <v>1</v>
      </c>
      <c r="M822" s="20">
        <f>VLOOKUP(A822,Metrik!$C$2:$Y$959,19,0)</f>
        <v>11.7</v>
      </c>
      <c r="N822" s="21"/>
      <c r="O822" s="21"/>
      <c r="P822" s="21"/>
      <c r="Q822" s="21"/>
      <c r="R822" s="21"/>
      <c r="S822" s="21"/>
      <c r="T822" s="21"/>
      <c r="U822" s="22">
        <f>IFERROR(__xludf.DUMMYFUNCTION("IFERROR(GOOGLEFINANCE(A822,""closeyest""),"""")"),710.0)</f>
        <v>710</v>
      </c>
      <c r="V822" s="23" t="str">
        <f>IFERROR(__xludf.DUMMYFUNCTION("IFERROR(GOOGLEFINANCE(A822,""changepct""),"""")"),"")</f>
        <v/>
      </c>
      <c r="W822" s="22">
        <f>IFERROR(__xludf.DUMMYFUNCTION("IFERROR(GOOGLEFINANCE(A822,""priceopen""),"""")"),730.0)</f>
        <v>730</v>
      </c>
      <c r="X822" s="22">
        <f>IFERROR(__xludf.DUMMYFUNCTION("IFERROR(GOOGLEFINANCE(A822,""high""),"""")"),800.0)</f>
        <v>800</v>
      </c>
      <c r="Y822" s="22" t="str">
        <f>IFERROR(__xludf.DUMMYFUNCTION("IFERROR(GOOGLEFINANCE(A822,""low""),"""")"),"")</f>
        <v/>
      </c>
      <c r="Z822" s="22">
        <f>IFERROR(__xludf.DUMMYFUNCTION("IFERROR(GOOGLEFINANCE(A822,""volume""),"""")"),1.86317E7)</f>
        <v>18631700</v>
      </c>
      <c r="AA822" s="24" t="str">
        <f>VLOOKUP(A822,Metrik!$C$2:$Y$959,5,0)</f>
        <v>Coal</v>
      </c>
      <c r="AB822" s="24" t="str">
        <f>VLOOKUP(A822,Metrik!$C$2:$Y$959,3,0)</f>
        <v>Energy</v>
      </c>
    </row>
    <row r="823">
      <c r="A823" s="14" t="s">
        <v>458</v>
      </c>
      <c r="B823" s="14" t="str">
        <f t="array" ref="B823">VLOOKUP(A823,{Metrik!$C$2:$C$998,Metrik!$B$2:$B$998},2,0)</f>
        <v>PT Humpuss Maritim Internasional Tbk</v>
      </c>
      <c r="C823" s="15">
        <f>IFERROR(__xludf.DUMMYFUNCTION("GOOGLEFINANCE(""IDX:""&amp;A823,""price"")"),125.0)</f>
        <v>125</v>
      </c>
      <c r="D823" s="16" t="str">
        <f>IFERROR(__xludf.DUMMYFUNCTION("IF(A823="""","""",
SPARKLINE(
INDEX(
GOOGLEFINANCE(""IDX:""&amp;A823,""close"",TODAY()-365,TODAY()),
,2
),
{""linewidth"",1}
))
"),"#N/A")</f>
        <v>#N/A</v>
      </c>
      <c r="E823" s="26"/>
      <c r="F823" s="26"/>
      <c r="G823" s="24">
        <f t="shared" si="6"/>
        <v>0</v>
      </c>
      <c r="H823" s="19">
        <f>VLOOKUP(A823,Metrik!$C$2:$Y$959,8,0)</f>
        <v>14.4</v>
      </c>
      <c r="I823" s="20">
        <f>VLOOKUP(A823,Metrik!$C$2:$Y$959,9,0)</f>
        <v>0.9</v>
      </c>
      <c r="J823" s="20">
        <f>VLOOKUP(A823,Metrik!$C$2:$Y$959,10,0)</f>
        <v>6.2</v>
      </c>
      <c r="K823" s="20">
        <f>VLOOKUP(A823,Metrik!$C$2:$Y$959,11,0)</f>
        <v>3.4</v>
      </c>
      <c r="L823" s="20">
        <f>VLOOKUP(A823,Metrik!$C$2:$Y$959,12,0)</f>
        <v>0.83</v>
      </c>
      <c r="M823" s="20">
        <f>VLOOKUP(A823,Metrik!$C$2:$Y$959,19,0)</f>
        <v>11.4</v>
      </c>
      <c r="N823" s="21"/>
      <c r="O823" s="21"/>
      <c r="P823" s="21"/>
      <c r="Q823" s="21"/>
      <c r="R823" s="21"/>
      <c r="S823" s="21"/>
      <c r="T823" s="21"/>
      <c r="U823" s="22">
        <f>IFERROR(__xludf.DUMMYFUNCTION("IFERROR(GOOGLEFINANCE(A823,""closeyest""),"""")"),114.0)</f>
        <v>114</v>
      </c>
      <c r="V823" s="23">
        <f>IFERROR(__xludf.DUMMYFUNCTION("IFERROR(GOOGLEFINANCE(A823,""changepct""),"""")"),9.65)</f>
        <v>9.65</v>
      </c>
      <c r="W823" s="22">
        <f>IFERROR(__xludf.DUMMYFUNCTION("IFERROR(GOOGLEFINANCE(A823,""priceopen""),"""")"),114.0)</f>
        <v>114</v>
      </c>
      <c r="X823" s="22">
        <f>IFERROR(__xludf.DUMMYFUNCTION("IFERROR(GOOGLEFINANCE(A823,""high""),"""")"),127.0)</f>
        <v>127</v>
      </c>
      <c r="Y823" s="22">
        <f>IFERROR(__xludf.DUMMYFUNCTION("IFERROR(GOOGLEFINANCE(A823,""low""),"""")"),114.0)</f>
        <v>114</v>
      </c>
      <c r="Z823" s="22" t="str">
        <f>IFERROR(__xludf.DUMMYFUNCTION("IFERROR(GOOGLEFINANCE(A823,""volume""),"""")"),"")</f>
        <v/>
      </c>
      <c r="AA823" s="24" t="str">
        <f>VLOOKUP(A823,Metrik!$C$2:$Y$959,5,0)</f>
        <v>Oil &amp; Gas</v>
      </c>
      <c r="AB823" s="24" t="str">
        <f>VLOOKUP(A823,Metrik!$C$2:$Y$959,3,0)</f>
        <v>Energy</v>
      </c>
    </row>
    <row r="824">
      <c r="A824" s="14" t="s">
        <v>459</v>
      </c>
      <c r="B824" s="14" t="str">
        <f t="array" ref="B824">VLOOKUP(A824,{Metrik!$C$2:$C$998,Metrik!$B$2:$B$998},2,0)</f>
        <v>Ecocare Indo Pasifik Tbk.</v>
      </c>
      <c r="C824" s="15">
        <f>IFERROR(__xludf.DUMMYFUNCTION("GOOGLEFINANCE(""IDX:""&amp;A824,""price"")"),142.0)</f>
        <v>142</v>
      </c>
      <c r="D824" s="16" t="str">
        <f>IFERROR(__xludf.DUMMYFUNCTION("IF(A824="""","""",
SPARKLINE(
INDEX(
GOOGLEFINANCE(""IDX:""&amp;A824,""close"",TODAY()-365,TODAY()),
,2
),
{""linewidth"",1}
))
"),"#N/A")</f>
        <v>#N/A</v>
      </c>
      <c r="E824" s="26"/>
      <c r="F824" s="26"/>
      <c r="G824" s="24">
        <f t="shared" si="6"/>
        <v>0</v>
      </c>
      <c r="H824" s="19">
        <f>VLOOKUP(A824,Metrik!$C$2:$Y$959,8,0)</f>
        <v>17.4</v>
      </c>
      <c r="I824" s="20">
        <f>VLOOKUP(A824,Metrik!$C$2:$Y$959,9,0)</f>
        <v>2.1</v>
      </c>
      <c r="J824" s="20">
        <f>VLOOKUP(A824,Metrik!$C$2:$Y$959,10,0)</f>
        <v>12.3</v>
      </c>
      <c r="K824" s="20">
        <f>VLOOKUP(A824,Metrik!$C$2:$Y$959,11,0)</f>
        <v>8.7</v>
      </c>
      <c r="L824" s="20">
        <f>VLOOKUP(A824,Metrik!$C$2:$Y$959,12,0)</f>
        <v>0.41</v>
      </c>
      <c r="M824" s="20">
        <f>VLOOKUP(A824,Metrik!$C$2:$Y$959,19,0)</f>
        <v>21</v>
      </c>
      <c r="N824" s="21"/>
      <c r="O824" s="21"/>
      <c r="P824" s="21"/>
      <c r="Q824" s="21"/>
      <c r="R824" s="21"/>
      <c r="S824" s="21"/>
      <c r="T824" s="21"/>
      <c r="U824" s="22">
        <f>IFERROR(__xludf.DUMMYFUNCTION("IFERROR(GOOGLEFINANCE(A824,""closeyest""),"""")"),0.0)</f>
        <v>0</v>
      </c>
      <c r="V824" s="23">
        <f>IFERROR(__xludf.DUMMYFUNCTION("IFERROR(GOOGLEFINANCE(A824,""changepct""),"""")"),0.0)</f>
        <v>0</v>
      </c>
      <c r="W824" s="22" t="str">
        <f>IFERROR(__xludf.DUMMYFUNCTION("IFERROR(GOOGLEFINANCE(A824,""priceopen""),"""")"),"")</f>
        <v/>
      </c>
      <c r="X824" s="22" t="str">
        <f>IFERROR(__xludf.DUMMYFUNCTION("IFERROR(GOOGLEFINANCE(A824,""high""),"""")"),"")</f>
        <v/>
      </c>
      <c r="Y824" s="22" t="str">
        <f>IFERROR(__xludf.DUMMYFUNCTION("IFERROR(GOOGLEFINANCE(A824,""low""),"""")"),"")</f>
        <v/>
      </c>
      <c r="Z824" s="22">
        <f>IFERROR(__xludf.DUMMYFUNCTION("IFERROR(GOOGLEFINANCE(A824,""volume""),"""")"),26.0)</f>
        <v>26</v>
      </c>
      <c r="AA824" s="24" t="str">
        <f>VLOOKUP(A824,Metrik!$C$2:$Y$959,5,0)</f>
        <v>Commercial Services</v>
      </c>
      <c r="AB824" s="24" t="str">
        <f>VLOOKUP(A824,Metrik!$C$2:$Y$959,3,0)</f>
        <v>Industrials</v>
      </c>
    </row>
    <row r="825">
      <c r="A825" s="14" t="s">
        <v>460</v>
      </c>
      <c r="B825" s="14" t="str">
        <f t="array" ref="B825">VLOOKUP(A825,{Metrik!$C$2:$C$998,Metrik!$B$2:$B$998},2,0)</f>
        <v>MNC Energy Investments Tbk.</v>
      </c>
      <c r="C825" s="15">
        <f>IFERROR(__xludf.DUMMYFUNCTION("GOOGLEFINANCE(""IDX:""&amp;A825,""price"")"),63.0)</f>
        <v>63</v>
      </c>
      <c r="D825" s="16" t="str">
        <f>IFERROR(__xludf.DUMMYFUNCTION("IF(A825="""","""",
SPARKLINE(
INDEX(
GOOGLEFINANCE(""IDX:""&amp;A825,""close"",TODAY()-365,TODAY()),
,2
),
{""linewidth"",1}
))
"),"#N/A")</f>
        <v>#N/A</v>
      </c>
      <c r="E825" s="26"/>
      <c r="F825" s="26"/>
      <c r="G825" s="24">
        <f t="shared" si="6"/>
        <v>0</v>
      </c>
      <c r="H825" s="19">
        <f>VLOOKUP(A825,Metrik!$C$2:$Y$959,8,0)</f>
        <v>19.6</v>
      </c>
      <c r="I825" s="20">
        <f>VLOOKUP(A825,Metrik!$C$2:$Y$959,9,0)</f>
        <v>0.93</v>
      </c>
      <c r="J825" s="20">
        <f>VLOOKUP(A825,Metrik!$C$2:$Y$959,10,0)</f>
        <v>4.7</v>
      </c>
      <c r="K825" s="20">
        <f>VLOOKUP(A825,Metrik!$C$2:$Y$959,11,0)</f>
        <v>2.6</v>
      </c>
      <c r="L825" s="20">
        <f>VLOOKUP(A825,Metrik!$C$2:$Y$959,12,0)</f>
        <v>0.81</v>
      </c>
      <c r="M825" s="20">
        <f>VLOOKUP(A825,Metrik!$C$2:$Y$959,19,0)</f>
        <v>29.5</v>
      </c>
      <c r="N825" s="21"/>
      <c r="O825" s="21"/>
      <c r="P825" s="21"/>
      <c r="Q825" s="21"/>
      <c r="R825" s="21"/>
      <c r="S825" s="21"/>
      <c r="T825" s="21"/>
      <c r="U825" s="22">
        <f>IFERROR(__xludf.DUMMYFUNCTION("IFERROR(GOOGLEFINANCE(A825,""closeyest""),"""")"),60.0)</f>
        <v>60</v>
      </c>
      <c r="V825" s="23">
        <f>IFERROR(__xludf.DUMMYFUNCTION("IFERROR(GOOGLEFINANCE(A825,""changepct""),"""")"),5.0)</f>
        <v>5</v>
      </c>
      <c r="W825" s="22">
        <f>IFERROR(__xludf.DUMMYFUNCTION("IFERROR(GOOGLEFINANCE(A825,""priceopen""),"""")"),60.0)</f>
        <v>60</v>
      </c>
      <c r="X825" s="22">
        <f>IFERROR(__xludf.DUMMYFUNCTION("IFERROR(GOOGLEFINANCE(A825,""high""),"""")"),65.0)</f>
        <v>65</v>
      </c>
      <c r="Y825" s="22">
        <f>IFERROR(__xludf.DUMMYFUNCTION("IFERROR(GOOGLEFINANCE(A825,""low""),"""")"),60.0)</f>
        <v>60</v>
      </c>
      <c r="Z825" s="22">
        <f>IFERROR(__xludf.DUMMYFUNCTION("IFERROR(GOOGLEFINANCE(A825,""volume""),"""")"),1.781557E8)</f>
        <v>178155700</v>
      </c>
      <c r="AA825" s="24" t="str">
        <f>VLOOKUP(A825,Metrik!$C$2:$Y$959,5,0)</f>
        <v>Coal</v>
      </c>
      <c r="AB825" s="24" t="str">
        <f>VLOOKUP(A825,Metrik!$C$2:$Y$959,3,0)</f>
        <v>Energy</v>
      </c>
    </row>
    <row r="826">
      <c r="A826" s="14" t="s">
        <v>461</v>
      </c>
      <c r="B826" s="14" t="str">
        <f t="array" ref="B826">VLOOKUP(A826,{Metrik!$C$2:$C$998,Metrik!$B$2:$B$998},2,0)</f>
        <v>Intan Baru Prana Tbk.</v>
      </c>
      <c r="C826" s="15">
        <f>IFERROR(__xludf.DUMMYFUNCTION("GOOGLEFINANCE(""IDX:""&amp;A826,""price"")"),58.0)</f>
        <v>58</v>
      </c>
      <c r="D826" s="16" t="str">
        <f>IFERROR(__xludf.DUMMYFUNCTION("IF(A826="""","""",
SPARKLINE(
INDEX(
GOOGLEFINANCE(""IDX:""&amp;A826,""close"",TODAY()-365,TODAY()),
,2
),
{""linewidth"",1}
))
"),"#N/A")</f>
        <v>#N/A</v>
      </c>
      <c r="E826" s="26"/>
      <c r="F826" s="26"/>
      <c r="G826" s="24">
        <f t="shared" si="6"/>
        <v>0</v>
      </c>
      <c r="H826" s="19">
        <f>VLOOKUP(A826,Metrik!$C$2:$Y$959,8,0)</f>
        <v>-4.2</v>
      </c>
      <c r="I826" s="20">
        <f>VLOOKUP(A826,Metrik!$C$2:$Y$959,9,0)</f>
        <v>-0.14</v>
      </c>
      <c r="J826" s="20">
        <f>VLOOKUP(A826,Metrik!$C$2:$Y$959,10,0)</f>
        <v>0</v>
      </c>
      <c r="K826" s="20">
        <f>VLOOKUP(A826,Metrik!$C$2:$Y$959,11,0)</f>
        <v>-5.2</v>
      </c>
      <c r="L826" s="20">
        <f>VLOOKUP(A826,Metrik!$C$2:$Y$959,12,0)</f>
        <v>-1.6</v>
      </c>
      <c r="M826" s="20">
        <f>VLOOKUP(A826,Metrik!$C$2:$Y$959,19,0)</f>
        <v>-47.2</v>
      </c>
      <c r="N826" s="21"/>
      <c r="O826" s="21"/>
      <c r="P826" s="21"/>
      <c r="Q826" s="21"/>
      <c r="R826" s="21"/>
      <c r="S826" s="21"/>
      <c r="T826" s="21"/>
      <c r="U826" s="22">
        <f>IFERROR(__xludf.DUMMYFUNCTION("IFERROR(GOOGLEFINANCE(A826,""closeyest""),"""")"),59.0)</f>
        <v>59</v>
      </c>
      <c r="V826" s="23">
        <f>IFERROR(__xludf.DUMMYFUNCTION("IFERROR(GOOGLEFINANCE(A826,""changepct""),"""")"),-1.69)</f>
        <v>-1.69</v>
      </c>
      <c r="W826" s="22">
        <f>IFERROR(__xludf.DUMMYFUNCTION("IFERROR(GOOGLEFINANCE(A826,""priceopen""),"""")"),59.0)</f>
        <v>59</v>
      </c>
      <c r="X826" s="22">
        <f>IFERROR(__xludf.DUMMYFUNCTION("IFERROR(GOOGLEFINANCE(A826,""high""),"""")"),62.0)</f>
        <v>62</v>
      </c>
      <c r="Y826" s="22">
        <f>IFERROR(__xludf.DUMMYFUNCTION("IFERROR(GOOGLEFINANCE(A826,""low""),"""")"),58.0)</f>
        <v>58</v>
      </c>
      <c r="Z826" s="22">
        <f>IFERROR(__xludf.DUMMYFUNCTION("IFERROR(GOOGLEFINANCE(A826,""volume""),"""")"),112600.0)</f>
        <v>112600</v>
      </c>
      <c r="AA826" s="24" t="str">
        <f>VLOOKUP(A826,Metrik!$C$2:$Y$959,5,0)</f>
        <v>Machinery</v>
      </c>
      <c r="AB826" s="24" t="str">
        <f>VLOOKUP(A826,Metrik!$C$2:$Y$959,3,0)</f>
        <v>Industrials</v>
      </c>
    </row>
    <row r="827">
      <c r="A827" s="14" t="s">
        <v>462</v>
      </c>
      <c r="B827" s="14" t="str">
        <f t="array" ref="B827">VLOOKUP(A827,{Metrik!$C$2:$C$998,Metrik!$B$2:$B$998},2,0)</f>
        <v>Indo Boga Sukses Tbk.</v>
      </c>
      <c r="C827" s="15">
        <f>IFERROR(__xludf.DUMMYFUNCTION("GOOGLEFINANCE(""IDX:""&amp;A827,""price"")"),83.0)</f>
        <v>83</v>
      </c>
      <c r="D827" s="16" t="str">
        <f>IFERROR(__xludf.DUMMYFUNCTION("IF(A827="""","""",
SPARKLINE(
INDEX(
GOOGLEFINANCE(""IDX:""&amp;A827,""close"",TODAY()-365,TODAY()),
,2
),
{""linewidth"",1}
))
"),"#N/A")</f>
        <v>#N/A</v>
      </c>
      <c r="E827" s="26"/>
      <c r="F827" s="26"/>
      <c r="G827" s="24">
        <f t="shared" si="6"/>
        <v>0</v>
      </c>
      <c r="H827" s="19">
        <f>VLOOKUP(A827,Metrik!$C$2:$Y$959,8,0)</f>
        <v>350</v>
      </c>
      <c r="I827" s="20">
        <f>VLOOKUP(A827,Metrik!$C$2:$Y$959,9,0)</f>
        <v>2.2</v>
      </c>
      <c r="J827" s="20">
        <f>VLOOKUP(A827,Metrik!$C$2:$Y$959,10,0)</f>
        <v>0.62</v>
      </c>
      <c r="K827" s="20">
        <f>VLOOKUP(A827,Metrik!$C$2:$Y$959,11,0)</f>
        <v>0.58</v>
      </c>
      <c r="L827" s="20">
        <f>VLOOKUP(A827,Metrik!$C$2:$Y$959,12,0)</f>
        <v>0.07</v>
      </c>
      <c r="M827" s="20">
        <f>VLOOKUP(A827,Metrik!$C$2:$Y$959,19,0)</f>
        <v>5</v>
      </c>
      <c r="N827" s="21"/>
      <c r="O827" s="21"/>
      <c r="P827" s="21"/>
      <c r="Q827" s="21"/>
      <c r="R827" s="21"/>
      <c r="S827" s="21"/>
      <c r="T827" s="21"/>
      <c r="U827" s="22">
        <f>IFERROR(__xludf.DUMMYFUNCTION("IFERROR(GOOGLEFINANCE(A827,""closeyest""),"""")"),84.0)</f>
        <v>84</v>
      </c>
      <c r="V827" s="23">
        <f>IFERROR(__xludf.DUMMYFUNCTION("IFERROR(GOOGLEFINANCE(A827,""changepct""),"""")"),-1.19)</f>
        <v>-1.19</v>
      </c>
      <c r="W827" s="22">
        <f>IFERROR(__xludf.DUMMYFUNCTION("IFERROR(GOOGLEFINANCE(A827,""priceopen""),"""")"),84.0)</f>
        <v>84</v>
      </c>
      <c r="X827" s="22">
        <f>IFERROR(__xludf.DUMMYFUNCTION("IFERROR(GOOGLEFINANCE(A827,""high""),"""")"),88.0)</f>
        <v>88</v>
      </c>
      <c r="Y827" s="22">
        <f>IFERROR(__xludf.DUMMYFUNCTION("IFERROR(GOOGLEFINANCE(A827,""low""),"""")"),81.0)</f>
        <v>81</v>
      </c>
      <c r="Z827" s="22">
        <f>IFERROR(__xludf.DUMMYFUNCTION("IFERROR(GOOGLEFINANCE(A827,""volume""),"""")"),5170800.0)</f>
        <v>5170800</v>
      </c>
      <c r="AA827" s="24" t="str">
        <f>VLOOKUP(A827,Metrik!$C$2:$Y$959,5,0)</f>
        <v>Agricultural Products</v>
      </c>
      <c r="AB827" s="24" t="str">
        <f>VLOOKUP(A827,Metrik!$C$2:$Y$959,3,0)</f>
        <v>Consumer Non-Cyclicals</v>
      </c>
    </row>
    <row r="828">
      <c r="A828" s="14" t="s">
        <v>463</v>
      </c>
      <c r="B828" s="14" t="str">
        <f t="array" ref="B828">VLOOKUP(A828,{Metrik!$C$2:$C$998,Metrik!$B$2:$B$998},2,0)</f>
        <v>Inti Bangun Sejahtera Tbk</v>
      </c>
      <c r="C828" s="15">
        <f>IFERROR(__xludf.DUMMYFUNCTION("GOOGLEFINANCE(""IDX:""&amp;A828,""price"")"),8475.0)</f>
        <v>8475</v>
      </c>
      <c r="D828" s="16" t="str">
        <f>IFERROR(__xludf.DUMMYFUNCTION("IF(A828="""","""",
SPARKLINE(
INDEX(
GOOGLEFINANCE(""IDX:""&amp;A828,""close"",TODAY()-365,TODAY()),
,2
),
{""linewidth"",1}
))
"),"#N/A")</f>
        <v>#N/A</v>
      </c>
      <c r="E828" s="26"/>
      <c r="F828" s="26"/>
      <c r="G828" s="24">
        <f t="shared" si="6"/>
        <v>0</v>
      </c>
      <c r="H828" s="19">
        <f>VLOOKUP(A828,Metrik!$C$2:$Y$959,8,0)</f>
        <v>27.8</v>
      </c>
      <c r="I828" s="20">
        <f>VLOOKUP(A828,Metrik!$C$2:$Y$959,9,0)</f>
        <v>4.4</v>
      </c>
      <c r="J828" s="20">
        <f>VLOOKUP(A828,Metrik!$C$2:$Y$959,10,0)</f>
        <v>16</v>
      </c>
      <c r="K828" s="20">
        <f>VLOOKUP(A828,Metrik!$C$2:$Y$959,11,0)</f>
        <v>10.4</v>
      </c>
      <c r="L828" s="20">
        <f>VLOOKUP(A828,Metrik!$C$2:$Y$959,12,0)</f>
        <v>0.53</v>
      </c>
      <c r="M828" s="20">
        <f>VLOOKUP(A828,Metrik!$C$2:$Y$959,19,0)</f>
        <v>47.2</v>
      </c>
      <c r="N828" s="21"/>
      <c r="O828" s="21"/>
      <c r="P828" s="21"/>
      <c r="Q828" s="21"/>
      <c r="R828" s="21"/>
      <c r="S828" s="21"/>
      <c r="T828" s="21"/>
      <c r="U828" s="22">
        <f>IFERROR(__xludf.DUMMYFUNCTION("IFERROR(GOOGLEFINANCE(A828,""closeyest""),"""")"),91.85)</f>
        <v>91.85</v>
      </c>
      <c r="V828" s="23">
        <f>IFERROR(__xludf.DUMMYFUNCTION("IFERROR(GOOGLEFINANCE(A828,""changepct""),"""")"),3.43)</f>
        <v>3.43</v>
      </c>
      <c r="W828" s="22">
        <f>IFERROR(__xludf.DUMMYFUNCTION("IFERROR(GOOGLEFINANCE(A828,""priceopen""),"""")"),91.55)</f>
        <v>91.55</v>
      </c>
      <c r="X828" s="22">
        <f>IFERROR(__xludf.DUMMYFUNCTION("IFERROR(GOOGLEFINANCE(A828,""high""),"""")"),97.3)</f>
        <v>97.3</v>
      </c>
      <c r="Y828" s="22">
        <f>IFERROR(__xludf.DUMMYFUNCTION("IFERROR(GOOGLEFINANCE(A828,""low""),"""")"),91.55)</f>
        <v>91.55</v>
      </c>
      <c r="Z828" s="22">
        <f>IFERROR(__xludf.DUMMYFUNCTION("IFERROR(GOOGLEFINANCE(A828,""volume""),"""")"),791717.0)</f>
        <v>791717</v>
      </c>
      <c r="AA828" s="24" t="str">
        <f>VLOOKUP(A828,Metrik!$C$2:$Y$959,5,0)</f>
        <v>Wireless Telecommunication Services</v>
      </c>
      <c r="AB828" s="24" t="str">
        <f>VLOOKUP(A828,Metrik!$C$2:$Y$959,3,0)</f>
        <v>Infrastructures</v>
      </c>
    </row>
    <row r="829">
      <c r="A829" s="14" t="s">
        <v>464</v>
      </c>
      <c r="B829" s="14" t="str">
        <f t="array" ref="B829">VLOOKUP(A829,{Metrik!$C$2:$C$998,Metrik!$B$2:$B$998},2,0)</f>
        <v>Indofood CBP Sukses Makmur Tbk.</v>
      </c>
      <c r="C829" s="15">
        <f>IFERROR(__xludf.DUMMYFUNCTION("GOOGLEFINANCE(""IDX:""&amp;A829,""price"")"),6350.0)</f>
        <v>6350</v>
      </c>
      <c r="D829" s="16" t="str">
        <f>IFERROR(__xludf.DUMMYFUNCTION("IF(A829="""","""",
SPARKLINE(
INDEX(
GOOGLEFINANCE(""IDX:""&amp;A829,""close"",TODAY()-365,TODAY()),
,2
),
{""linewidth"",1}
))
"),"#N/A")</f>
        <v>#N/A</v>
      </c>
      <c r="E829" s="14" t="s">
        <v>47</v>
      </c>
      <c r="F829" s="25">
        <v>46356.0</v>
      </c>
      <c r="G829" s="24">
        <f t="shared" si="6"/>
        <v>16</v>
      </c>
      <c r="H829" s="19">
        <f>VLOOKUP(A829,Metrik!$C$2:$Y$959,8,0)</f>
        <v>9.1</v>
      </c>
      <c r="I829" s="20">
        <f>VLOOKUP(A829,Metrik!$C$2:$Y$959,9,0)</f>
        <v>1.1</v>
      </c>
      <c r="J829" s="20">
        <f>VLOOKUP(A829,Metrik!$C$2:$Y$959,10,0)</f>
        <v>11.9</v>
      </c>
      <c r="K829" s="20">
        <f>VLOOKUP(A829,Metrik!$C$2:$Y$959,11,0)</f>
        <v>6.5</v>
      </c>
      <c r="L829" s="20">
        <f>VLOOKUP(A829,Metrik!$C$2:$Y$959,12,0)</f>
        <v>0.82</v>
      </c>
      <c r="M829" s="20">
        <f>VLOOKUP(A829,Metrik!$C$2:$Y$959,19,0)</f>
        <v>42.1</v>
      </c>
      <c r="N829" s="21"/>
      <c r="O829" s="21"/>
      <c r="P829" s="21"/>
      <c r="Q829" s="21"/>
      <c r="R829" s="21"/>
      <c r="S829" s="21"/>
      <c r="T829" s="21"/>
      <c r="U829" s="22">
        <f>IFERROR(__xludf.DUMMYFUNCTION("IFERROR(GOOGLEFINANCE(A829,""closeyest""),"""")"),6250.0)</f>
        <v>6250</v>
      </c>
      <c r="V829" s="23">
        <f>IFERROR(__xludf.DUMMYFUNCTION("IFERROR(GOOGLEFINANCE(A829,""changepct""),"""")"),1.6)</f>
        <v>1.6</v>
      </c>
      <c r="W829" s="22">
        <f>IFERROR(__xludf.DUMMYFUNCTION("IFERROR(GOOGLEFINANCE(A829,""priceopen""),"""")"),6275.0)</f>
        <v>6275</v>
      </c>
      <c r="X829" s="22">
        <f>IFERROR(__xludf.DUMMYFUNCTION("IFERROR(GOOGLEFINANCE(A829,""high""),"""")"),6450.0)</f>
        <v>6450</v>
      </c>
      <c r="Y829" s="22">
        <f>IFERROR(__xludf.DUMMYFUNCTION("IFERROR(GOOGLEFINANCE(A829,""low""),"""")"),6175.0)</f>
        <v>6175</v>
      </c>
      <c r="Z829" s="22">
        <f>IFERROR(__xludf.DUMMYFUNCTION("IFERROR(GOOGLEFINANCE(A829,""volume""),"""")"),1.39841E7)</f>
        <v>13984100</v>
      </c>
      <c r="AA829" s="24" t="str">
        <f>VLOOKUP(A829,Metrik!$C$2:$Y$959,5,0)</f>
        <v>Processed Foods</v>
      </c>
      <c r="AB829" s="24" t="str">
        <f>VLOOKUP(A829,Metrik!$C$2:$Y$959,3,0)</f>
        <v>Consumer Non-Cyclicals</v>
      </c>
    </row>
    <row r="830">
      <c r="A830" s="14" t="s">
        <v>464</v>
      </c>
      <c r="B830" s="14" t="str">
        <f t="array" ref="B830">VLOOKUP(A830,{Metrik!$C$2:$C$998,Metrik!$B$2:$B$998},2,0)</f>
        <v>Indofood CBP Sukses Makmur Tbk.</v>
      </c>
      <c r="C830" s="15">
        <f>IFERROR(__xludf.DUMMYFUNCTION("GOOGLEFINANCE(""IDX:""&amp;A830,""price"")"),6350.0)</f>
        <v>6350</v>
      </c>
      <c r="D830" s="16" t="str">
        <f>IFERROR(__xludf.DUMMYFUNCTION("IF(A830="""","""",
SPARKLINE(
INDEX(
GOOGLEFINANCE(""IDX:""&amp;A830,""close"",TODAY()-365,TODAY()),
,2
),
{""linewidth"",1}
))
"),"#N/A")</f>
        <v>#N/A</v>
      </c>
      <c r="E830" s="14" t="s">
        <v>65</v>
      </c>
      <c r="F830" s="25">
        <v>46356.0</v>
      </c>
      <c r="G830" s="24">
        <f t="shared" si="6"/>
        <v>16</v>
      </c>
      <c r="H830" s="19">
        <f>VLOOKUP(A830,Metrik!$C$2:$Y$959,8,0)</f>
        <v>9.1</v>
      </c>
      <c r="I830" s="20">
        <f>VLOOKUP(A830,Metrik!$C$2:$Y$959,9,0)</f>
        <v>1.1</v>
      </c>
      <c r="J830" s="20">
        <f>VLOOKUP(A830,Metrik!$C$2:$Y$959,10,0)</f>
        <v>11.9</v>
      </c>
      <c r="K830" s="20">
        <f>VLOOKUP(A830,Metrik!$C$2:$Y$959,11,0)</f>
        <v>6.5</v>
      </c>
      <c r="L830" s="20">
        <f>VLOOKUP(A830,Metrik!$C$2:$Y$959,12,0)</f>
        <v>0.82</v>
      </c>
      <c r="M830" s="20">
        <f>VLOOKUP(A830,Metrik!$C$2:$Y$959,19,0)</f>
        <v>42.1</v>
      </c>
      <c r="N830" s="21"/>
      <c r="O830" s="21"/>
      <c r="P830" s="21"/>
      <c r="Q830" s="21"/>
      <c r="R830" s="21"/>
      <c r="S830" s="21"/>
      <c r="T830" s="21"/>
      <c r="U830" s="22">
        <f>IFERROR(__xludf.DUMMYFUNCTION("IFERROR(GOOGLEFINANCE(A830,""closeyest""),"""")"),6250.0)</f>
        <v>6250</v>
      </c>
      <c r="V830" s="23">
        <f>IFERROR(__xludf.DUMMYFUNCTION("IFERROR(GOOGLEFINANCE(A830,""changepct""),"""")"),1.6)</f>
        <v>1.6</v>
      </c>
      <c r="W830" s="22">
        <f>IFERROR(__xludf.DUMMYFUNCTION("IFERROR(GOOGLEFINANCE(A830,""priceopen""),"""")"),6275.0)</f>
        <v>6275</v>
      </c>
      <c r="X830" s="22">
        <f>IFERROR(__xludf.DUMMYFUNCTION("IFERROR(GOOGLEFINANCE(A830,""high""),"""")"),6450.0)</f>
        <v>6450</v>
      </c>
      <c r="Y830" s="22">
        <f>IFERROR(__xludf.DUMMYFUNCTION("IFERROR(GOOGLEFINANCE(A830,""low""),"""")"),6175.0)</f>
        <v>6175</v>
      </c>
      <c r="Z830" s="22">
        <f>IFERROR(__xludf.DUMMYFUNCTION("IFERROR(GOOGLEFINANCE(A830,""volume""),"""")"),1.39841E7)</f>
        <v>13984100</v>
      </c>
      <c r="AA830" s="24" t="str">
        <f>VLOOKUP(A830,Metrik!$C$2:$Y$959,5,0)</f>
        <v>Processed Foods</v>
      </c>
      <c r="AB830" s="24" t="str">
        <f>VLOOKUP(A830,Metrik!$C$2:$Y$959,3,0)</f>
        <v>Consumer Non-Cyclicals</v>
      </c>
    </row>
    <row r="831">
      <c r="A831" s="14" t="s">
        <v>464</v>
      </c>
      <c r="B831" s="14" t="str">
        <f t="array" ref="B831">VLOOKUP(A831,{Metrik!$C$2:$C$998,Metrik!$B$2:$B$998},2,0)</f>
        <v>Indofood CBP Sukses Makmur Tbk.</v>
      </c>
      <c r="C831" s="15">
        <f>IFERROR(__xludf.DUMMYFUNCTION("GOOGLEFINANCE(""IDX:""&amp;A831,""price"")"),6350.0)</f>
        <v>6350</v>
      </c>
      <c r="D831" s="16" t="str">
        <f>IFERROR(__xludf.DUMMYFUNCTION("IF(A831="""","""",
SPARKLINE(
INDEX(
GOOGLEFINANCE(""IDX:""&amp;A831,""close"",TODAY()-365,TODAY()),
,2
),
{""linewidth"",1}
))
"),"#N/A")</f>
        <v>#N/A</v>
      </c>
      <c r="E831" s="14" t="s">
        <v>55</v>
      </c>
      <c r="F831" s="25">
        <v>46356.0</v>
      </c>
      <c r="G831" s="24">
        <f t="shared" si="6"/>
        <v>16</v>
      </c>
      <c r="H831" s="19">
        <f>VLOOKUP(A831,Metrik!$C$2:$Y$959,8,0)</f>
        <v>9.1</v>
      </c>
      <c r="I831" s="20">
        <f>VLOOKUP(A831,Metrik!$C$2:$Y$959,9,0)</f>
        <v>1.1</v>
      </c>
      <c r="J831" s="20">
        <f>VLOOKUP(A831,Metrik!$C$2:$Y$959,10,0)</f>
        <v>11.9</v>
      </c>
      <c r="K831" s="20">
        <f>VLOOKUP(A831,Metrik!$C$2:$Y$959,11,0)</f>
        <v>6.5</v>
      </c>
      <c r="L831" s="20">
        <f>VLOOKUP(A831,Metrik!$C$2:$Y$959,12,0)</f>
        <v>0.82</v>
      </c>
      <c r="M831" s="20">
        <f>VLOOKUP(A831,Metrik!$C$2:$Y$959,19,0)</f>
        <v>42.1</v>
      </c>
      <c r="N831" s="21"/>
      <c r="O831" s="21"/>
      <c r="P831" s="21"/>
      <c r="Q831" s="21"/>
      <c r="R831" s="21"/>
      <c r="S831" s="21"/>
      <c r="T831" s="21"/>
      <c r="U831" s="22">
        <f>IFERROR(__xludf.DUMMYFUNCTION("IFERROR(GOOGLEFINANCE(A831,""closeyest""),"""")"),6250.0)</f>
        <v>6250</v>
      </c>
      <c r="V831" s="23">
        <f>IFERROR(__xludf.DUMMYFUNCTION("IFERROR(GOOGLEFINANCE(A831,""changepct""),"""")"),1.6)</f>
        <v>1.6</v>
      </c>
      <c r="W831" s="22">
        <f>IFERROR(__xludf.DUMMYFUNCTION("IFERROR(GOOGLEFINANCE(A831,""priceopen""),"""")"),6275.0)</f>
        <v>6275</v>
      </c>
      <c r="X831" s="22">
        <f>IFERROR(__xludf.DUMMYFUNCTION("IFERROR(GOOGLEFINANCE(A831,""high""),"""")"),6450.0)</f>
        <v>6450</v>
      </c>
      <c r="Y831" s="22">
        <f>IFERROR(__xludf.DUMMYFUNCTION("IFERROR(GOOGLEFINANCE(A831,""low""),"""")"),6175.0)</f>
        <v>6175</v>
      </c>
      <c r="Z831" s="22">
        <f>IFERROR(__xludf.DUMMYFUNCTION("IFERROR(GOOGLEFINANCE(A831,""volume""),"""")"),1.39841E7)</f>
        <v>13984100</v>
      </c>
      <c r="AA831" s="24" t="str">
        <f>VLOOKUP(A831,Metrik!$C$2:$Y$959,5,0)</f>
        <v>Processed Foods</v>
      </c>
      <c r="AB831" s="24" t="str">
        <f>VLOOKUP(A831,Metrik!$C$2:$Y$959,3,0)</f>
        <v>Consumer Non-Cyclicals</v>
      </c>
    </row>
    <row r="832">
      <c r="A832" s="14" t="s">
        <v>464</v>
      </c>
      <c r="B832" s="14" t="str">
        <f t="array" ref="B832">VLOOKUP(A832,{Metrik!$C$2:$C$998,Metrik!$B$2:$B$998},2,0)</f>
        <v>Indofood CBP Sukses Makmur Tbk.</v>
      </c>
      <c r="C832" s="15">
        <f>IFERROR(__xludf.DUMMYFUNCTION("GOOGLEFINANCE(""IDX:""&amp;A832,""price"")"),6350.0)</f>
        <v>6350</v>
      </c>
      <c r="D832" s="16" t="str">
        <f>IFERROR(__xludf.DUMMYFUNCTION("IF(A832="""","""",
SPARKLINE(
INDEX(
GOOGLEFINANCE(""IDX:""&amp;A832,""close"",TODAY()-365,TODAY()),
,2
),
{""linewidth"",1}
))
"),"#N/A")</f>
        <v>#N/A</v>
      </c>
      <c r="E832" s="14" t="s">
        <v>68</v>
      </c>
      <c r="F832" s="14" t="s">
        <v>34</v>
      </c>
      <c r="G832" s="24">
        <f t="shared" si="6"/>
        <v>16</v>
      </c>
      <c r="H832" s="19">
        <f>VLOOKUP(A832,Metrik!$C$2:$Y$959,8,0)</f>
        <v>9.1</v>
      </c>
      <c r="I832" s="20">
        <f>VLOOKUP(A832,Metrik!$C$2:$Y$959,9,0)</f>
        <v>1.1</v>
      </c>
      <c r="J832" s="20">
        <f>VLOOKUP(A832,Metrik!$C$2:$Y$959,10,0)</f>
        <v>11.9</v>
      </c>
      <c r="K832" s="20">
        <f>VLOOKUP(A832,Metrik!$C$2:$Y$959,11,0)</f>
        <v>6.5</v>
      </c>
      <c r="L832" s="20">
        <f>VLOOKUP(A832,Metrik!$C$2:$Y$959,12,0)</f>
        <v>0.82</v>
      </c>
      <c r="M832" s="20">
        <f>VLOOKUP(A832,Metrik!$C$2:$Y$959,19,0)</f>
        <v>42.1</v>
      </c>
      <c r="N832" s="21"/>
      <c r="O832" s="21"/>
      <c r="P832" s="21"/>
      <c r="Q832" s="21"/>
      <c r="R832" s="21"/>
      <c r="S832" s="21"/>
      <c r="T832" s="21"/>
      <c r="U832" s="22">
        <f>IFERROR(__xludf.DUMMYFUNCTION("IFERROR(GOOGLEFINANCE(A832,""closeyest""),"""")"),6250.0)</f>
        <v>6250</v>
      </c>
      <c r="V832" s="23">
        <f>IFERROR(__xludf.DUMMYFUNCTION("IFERROR(GOOGLEFINANCE(A832,""changepct""),"""")"),1.6)</f>
        <v>1.6</v>
      </c>
      <c r="W832" s="22">
        <f>IFERROR(__xludf.DUMMYFUNCTION("IFERROR(GOOGLEFINANCE(A832,""priceopen""),"""")"),6275.0)</f>
        <v>6275</v>
      </c>
      <c r="X832" s="22">
        <f>IFERROR(__xludf.DUMMYFUNCTION("IFERROR(GOOGLEFINANCE(A832,""high""),"""")"),6450.0)</f>
        <v>6450</v>
      </c>
      <c r="Y832" s="22">
        <f>IFERROR(__xludf.DUMMYFUNCTION("IFERROR(GOOGLEFINANCE(A832,""low""),"""")"),6175.0)</f>
        <v>6175</v>
      </c>
      <c r="Z832" s="22">
        <f>IFERROR(__xludf.DUMMYFUNCTION("IFERROR(GOOGLEFINANCE(A832,""volume""),"""")"),1.39841E7)</f>
        <v>13984100</v>
      </c>
      <c r="AA832" s="24" t="str">
        <f>VLOOKUP(A832,Metrik!$C$2:$Y$959,5,0)</f>
        <v>Processed Foods</v>
      </c>
      <c r="AB832" s="24" t="str">
        <f>VLOOKUP(A832,Metrik!$C$2:$Y$959,3,0)</f>
        <v>Consumer Non-Cyclicals</v>
      </c>
    </row>
    <row r="833">
      <c r="A833" s="14" t="s">
        <v>464</v>
      </c>
      <c r="B833" s="14" t="str">
        <f t="array" ref="B833">VLOOKUP(A833,{Metrik!$C$2:$C$998,Metrik!$B$2:$B$998},2,0)</f>
        <v>Indofood CBP Sukses Makmur Tbk.</v>
      </c>
      <c r="C833" s="15">
        <f>IFERROR(__xludf.DUMMYFUNCTION("GOOGLEFINANCE(""IDX:""&amp;A833,""price"")"),6350.0)</f>
        <v>6350</v>
      </c>
      <c r="D833" s="16" t="str">
        <f>IFERROR(__xludf.DUMMYFUNCTION("IF(A833="""","""",
SPARKLINE(
INDEX(
GOOGLEFINANCE(""IDX:""&amp;A833,""close"",TODAY()-365,TODAY()),
,2
),
{""linewidth"",1}
))
"),"#N/A")</f>
        <v>#N/A</v>
      </c>
      <c r="E833" s="14" t="s">
        <v>32</v>
      </c>
      <c r="F833" s="14" t="s">
        <v>29</v>
      </c>
      <c r="G833" s="24">
        <f t="shared" si="6"/>
        <v>16</v>
      </c>
      <c r="H833" s="19">
        <f>VLOOKUP(A833,Metrik!$C$2:$Y$959,8,0)</f>
        <v>9.1</v>
      </c>
      <c r="I833" s="20">
        <f>VLOOKUP(A833,Metrik!$C$2:$Y$959,9,0)</f>
        <v>1.1</v>
      </c>
      <c r="J833" s="20">
        <f>VLOOKUP(A833,Metrik!$C$2:$Y$959,10,0)</f>
        <v>11.9</v>
      </c>
      <c r="K833" s="20">
        <f>VLOOKUP(A833,Metrik!$C$2:$Y$959,11,0)</f>
        <v>6.5</v>
      </c>
      <c r="L833" s="20">
        <f>VLOOKUP(A833,Metrik!$C$2:$Y$959,12,0)</f>
        <v>0.82</v>
      </c>
      <c r="M833" s="20">
        <f>VLOOKUP(A833,Metrik!$C$2:$Y$959,19,0)</f>
        <v>42.1</v>
      </c>
      <c r="N833" s="21"/>
      <c r="O833" s="21"/>
      <c r="P833" s="21"/>
      <c r="Q833" s="21"/>
      <c r="R833" s="21"/>
      <c r="S833" s="21"/>
      <c r="T833" s="21"/>
      <c r="U833" s="22">
        <f>IFERROR(__xludf.DUMMYFUNCTION("IFERROR(GOOGLEFINANCE(A833,""closeyest""),"""")"),6250.0)</f>
        <v>6250</v>
      </c>
      <c r="V833" s="23">
        <f>IFERROR(__xludf.DUMMYFUNCTION("IFERROR(GOOGLEFINANCE(A833,""changepct""),"""")"),1.6)</f>
        <v>1.6</v>
      </c>
      <c r="W833" s="22">
        <f>IFERROR(__xludf.DUMMYFUNCTION("IFERROR(GOOGLEFINANCE(A833,""priceopen""),"""")"),6275.0)</f>
        <v>6275</v>
      </c>
      <c r="X833" s="22">
        <f>IFERROR(__xludf.DUMMYFUNCTION("IFERROR(GOOGLEFINANCE(A833,""high""),"""")"),6450.0)</f>
        <v>6450</v>
      </c>
      <c r="Y833" s="22">
        <f>IFERROR(__xludf.DUMMYFUNCTION("IFERROR(GOOGLEFINANCE(A833,""low""),"""")"),6175.0)</f>
        <v>6175</v>
      </c>
      <c r="Z833" s="22">
        <f>IFERROR(__xludf.DUMMYFUNCTION("IFERROR(GOOGLEFINANCE(A833,""volume""),"""")"),1.39841E7)</f>
        <v>13984100</v>
      </c>
      <c r="AA833" s="24" t="str">
        <f>VLOOKUP(A833,Metrik!$C$2:$Y$959,5,0)</f>
        <v>Processed Foods</v>
      </c>
      <c r="AB833" s="24" t="str">
        <f>VLOOKUP(A833,Metrik!$C$2:$Y$959,3,0)</f>
        <v>Consumer Non-Cyclicals</v>
      </c>
    </row>
    <row r="834">
      <c r="A834" s="14" t="s">
        <v>464</v>
      </c>
      <c r="B834" s="14" t="str">
        <f t="array" ref="B834">VLOOKUP(A834,{Metrik!$C$2:$C$998,Metrik!$B$2:$B$998},2,0)</f>
        <v>Indofood CBP Sukses Makmur Tbk.</v>
      </c>
      <c r="C834" s="15">
        <f>IFERROR(__xludf.DUMMYFUNCTION("GOOGLEFINANCE(""IDX:""&amp;A834,""price"")"),6350.0)</f>
        <v>6350</v>
      </c>
      <c r="D834" s="16" t="str">
        <f>IFERROR(__xludf.DUMMYFUNCTION("IF(A834="""","""",
SPARKLINE(
INDEX(
GOOGLEFINANCE(""IDX:""&amp;A834,""close"",TODAY()-365,TODAY()),
,2
),
{""linewidth"",1}
))
"),"#N/A")</f>
        <v>#N/A</v>
      </c>
      <c r="E834" s="14" t="s">
        <v>84</v>
      </c>
      <c r="F834" s="17" t="s">
        <v>51</v>
      </c>
      <c r="G834" s="24">
        <f t="shared" si="6"/>
        <v>16</v>
      </c>
      <c r="H834" s="19">
        <f>VLOOKUP(A834,Metrik!$C$2:$Y$959,8,0)</f>
        <v>9.1</v>
      </c>
      <c r="I834" s="20">
        <f>VLOOKUP(A834,Metrik!$C$2:$Y$959,9,0)</f>
        <v>1.1</v>
      </c>
      <c r="J834" s="20">
        <f>VLOOKUP(A834,Metrik!$C$2:$Y$959,10,0)</f>
        <v>11.9</v>
      </c>
      <c r="K834" s="20">
        <f>VLOOKUP(A834,Metrik!$C$2:$Y$959,11,0)</f>
        <v>6.5</v>
      </c>
      <c r="L834" s="20">
        <f>VLOOKUP(A834,Metrik!$C$2:$Y$959,12,0)</f>
        <v>0.82</v>
      </c>
      <c r="M834" s="20">
        <f>VLOOKUP(A834,Metrik!$C$2:$Y$959,19,0)</f>
        <v>42.1</v>
      </c>
      <c r="N834" s="21"/>
      <c r="O834" s="21"/>
      <c r="P834" s="21"/>
      <c r="Q834" s="21"/>
      <c r="R834" s="21"/>
      <c r="S834" s="21"/>
      <c r="T834" s="21"/>
      <c r="U834" s="22">
        <f>IFERROR(__xludf.DUMMYFUNCTION("IFERROR(GOOGLEFINANCE(A834,""closeyest""),"""")"),6250.0)</f>
        <v>6250</v>
      </c>
      <c r="V834" s="23">
        <f>IFERROR(__xludf.DUMMYFUNCTION("IFERROR(GOOGLEFINANCE(A834,""changepct""),"""")"),1.6)</f>
        <v>1.6</v>
      </c>
      <c r="W834" s="22">
        <f>IFERROR(__xludf.DUMMYFUNCTION("IFERROR(GOOGLEFINANCE(A834,""priceopen""),"""")"),6275.0)</f>
        <v>6275</v>
      </c>
      <c r="X834" s="22">
        <f>IFERROR(__xludf.DUMMYFUNCTION("IFERROR(GOOGLEFINANCE(A834,""high""),"""")"),6450.0)</f>
        <v>6450</v>
      </c>
      <c r="Y834" s="22">
        <f>IFERROR(__xludf.DUMMYFUNCTION("IFERROR(GOOGLEFINANCE(A834,""low""),"""")"),6175.0)</f>
        <v>6175</v>
      </c>
      <c r="Z834" s="22">
        <f>IFERROR(__xludf.DUMMYFUNCTION("IFERROR(GOOGLEFINANCE(A834,""volume""),"""")"),1.39841E7)</f>
        <v>13984100</v>
      </c>
      <c r="AA834" s="24" t="str">
        <f>VLOOKUP(A834,Metrik!$C$2:$Y$959,5,0)</f>
        <v>Processed Foods</v>
      </c>
      <c r="AB834" s="24" t="str">
        <f>VLOOKUP(A834,Metrik!$C$2:$Y$959,3,0)</f>
        <v>Consumer Non-Cyclicals</v>
      </c>
    </row>
    <row r="835">
      <c r="A835" s="14" t="s">
        <v>464</v>
      </c>
      <c r="B835" s="14" t="str">
        <f t="array" ref="B835">VLOOKUP(A835,{Metrik!$C$2:$C$998,Metrik!$B$2:$B$998},2,0)</f>
        <v>Indofood CBP Sukses Makmur Tbk.</v>
      </c>
      <c r="C835" s="15">
        <f>IFERROR(__xludf.DUMMYFUNCTION("GOOGLEFINANCE(""IDX:""&amp;A835,""price"")"),6350.0)</f>
        <v>6350</v>
      </c>
      <c r="D835" s="16" t="str">
        <f>IFERROR(__xludf.DUMMYFUNCTION("IF(A835="""","""",
SPARKLINE(
INDEX(
GOOGLEFINANCE(""IDX:""&amp;A835,""close"",TODAY()-365,TODAY()),
,2
),
{""linewidth"",1}
))
"),"#N/A")</f>
        <v>#N/A</v>
      </c>
      <c r="E835" s="14" t="s">
        <v>102</v>
      </c>
      <c r="F835" s="27" t="s">
        <v>53</v>
      </c>
      <c r="G835" s="24">
        <f t="shared" si="6"/>
        <v>16</v>
      </c>
      <c r="H835" s="19">
        <f>VLOOKUP(A835,Metrik!$C$2:$Y$959,8,0)</f>
        <v>9.1</v>
      </c>
      <c r="I835" s="20">
        <f>VLOOKUP(A835,Metrik!$C$2:$Y$959,9,0)</f>
        <v>1.1</v>
      </c>
      <c r="J835" s="20">
        <f>VLOOKUP(A835,Metrik!$C$2:$Y$959,10,0)</f>
        <v>11.9</v>
      </c>
      <c r="K835" s="20">
        <f>VLOOKUP(A835,Metrik!$C$2:$Y$959,11,0)</f>
        <v>6.5</v>
      </c>
      <c r="L835" s="20">
        <f>VLOOKUP(A835,Metrik!$C$2:$Y$959,12,0)</f>
        <v>0.82</v>
      </c>
      <c r="M835" s="20">
        <f>VLOOKUP(A835,Metrik!$C$2:$Y$959,19,0)</f>
        <v>42.1</v>
      </c>
      <c r="N835" s="21"/>
      <c r="O835" s="21"/>
      <c r="P835" s="21"/>
      <c r="Q835" s="21"/>
      <c r="R835" s="21"/>
      <c r="S835" s="21"/>
      <c r="T835" s="21"/>
      <c r="U835" s="22">
        <f>IFERROR(__xludf.DUMMYFUNCTION("IFERROR(GOOGLEFINANCE(A835,""closeyest""),"""")"),6250.0)</f>
        <v>6250</v>
      </c>
      <c r="V835" s="23">
        <f>IFERROR(__xludf.DUMMYFUNCTION("IFERROR(GOOGLEFINANCE(A835,""changepct""),"""")"),1.6)</f>
        <v>1.6</v>
      </c>
      <c r="W835" s="22">
        <f>IFERROR(__xludf.DUMMYFUNCTION("IFERROR(GOOGLEFINANCE(A835,""priceopen""),"""")"),6275.0)</f>
        <v>6275</v>
      </c>
      <c r="X835" s="22">
        <f>IFERROR(__xludf.DUMMYFUNCTION("IFERROR(GOOGLEFINANCE(A835,""high""),"""")"),6450.0)</f>
        <v>6450</v>
      </c>
      <c r="Y835" s="22">
        <f>IFERROR(__xludf.DUMMYFUNCTION("IFERROR(GOOGLEFINANCE(A835,""low""),"""")"),6175.0)</f>
        <v>6175</v>
      </c>
      <c r="Z835" s="22">
        <f>IFERROR(__xludf.DUMMYFUNCTION("IFERROR(GOOGLEFINANCE(A835,""volume""),"""")"),1.39841E7)</f>
        <v>13984100</v>
      </c>
      <c r="AA835" s="24" t="str">
        <f>VLOOKUP(A835,Metrik!$C$2:$Y$959,5,0)</f>
        <v>Processed Foods</v>
      </c>
      <c r="AB835" s="24" t="str">
        <f>VLOOKUP(A835,Metrik!$C$2:$Y$959,3,0)</f>
        <v>Consumer Non-Cyclicals</v>
      </c>
    </row>
    <row r="836">
      <c r="A836" s="14" t="s">
        <v>464</v>
      </c>
      <c r="B836" s="14" t="str">
        <f t="array" ref="B836">VLOOKUP(A836,{Metrik!$C$2:$C$998,Metrik!$B$2:$B$998},2,0)</f>
        <v>Indofood CBP Sukses Makmur Tbk.</v>
      </c>
      <c r="C836" s="15">
        <f>IFERROR(__xludf.DUMMYFUNCTION("GOOGLEFINANCE(""IDX:""&amp;A836,""price"")"),6350.0)</f>
        <v>6350</v>
      </c>
      <c r="D836" s="16" t="str">
        <f>IFERROR(__xludf.DUMMYFUNCTION("IF(A836="""","""",
SPARKLINE(
INDEX(
GOOGLEFINANCE(""IDX:""&amp;A836,""close"",TODAY()-365,TODAY()),
,2
),
{""linewidth"",1}
))
"),"#N/A")</f>
        <v>#N/A</v>
      </c>
      <c r="E836" s="14" t="s">
        <v>30</v>
      </c>
      <c r="F836" s="17" t="s">
        <v>29</v>
      </c>
      <c r="G836" s="24">
        <f t="shared" si="6"/>
        <v>16</v>
      </c>
      <c r="H836" s="19">
        <f>VLOOKUP(A836,Metrik!$C$2:$Y$959,8,0)</f>
        <v>9.1</v>
      </c>
      <c r="I836" s="20">
        <f>VLOOKUP(A836,Metrik!$C$2:$Y$959,9,0)</f>
        <v>1.1</v>
      </c>
      <c r="J836" s="20">
        <f>VLOOKUP(A836,Metrik!$C$2:$Y$959,10,0)</f>
        <v>11.9</v>
      </c>
      <c r="K836" s="20">
        <f>VLOOKUP(A836,Metrik!$C$2:$Y$959,11,0)</f>
        <v>6.5</v>
      </c>
      <c r="L836" s="20">
        <f>VLOOKUP(A836,Metrik!$C$2:$Y$959,12,0)</f>
        <v>0.82</v>
      </c>
      <c r="M836" s="20">
        <f>VLOOKUP(A836,Metrik!$C$2:$Y$959,19,0)</f>
        <v>42.1</v>
      </c>
      <c r="N836" s="21"/>
      <c r="O836" s="21"/>
      <c r="P836" s="21"/>
      <c r="Q836" s="21"/>
      <c r="R836" s="21"/>
      <c r="S836" s="21"/>
      <c r="T836" s="21"/>
      <c r="U836" s="22">
        <f>IFERROR(__xludf.DUMMYFUNCTION("IFERROR(GOOGLEFINANCE(A836,""closeyest""),"""")"),6250.0)</f>
        <v>6250</v>
      </c>
      <c r="V836" s="23">
        <f>IFERROR(__xludf.DUMMYFUNCTION("IFERROR(GOOGLEFINANCE(A836,""changepct""),"""")"),1.6)</f>
        <v>1.6</v>
      </c>
      <c r="W836" s="22">
        <f>IFERROR(__xludf.DUMMYFUNCTION("IFERROR(GOOGLEFINANCE(A836,""priceopen""),"""")"),6275.0)</f>
        <v>6275</v>
      </c>
      <c r="X836" s="22">
        <f>IFERROR(__xludf.DUMMYFUNCTION("IFERROR(GOOGLEFINANCE(A836,""high""),"""")"),6450.0)</f>
        <v>6450</v>
      </c>
      <c r="Y836" s="22">
        <f>IFERROR(__xludf.DUMMYFUNCTION("IFERROR(GOOGLEFINANCE(A836,""low""),"""")"),6175.0)</f>
        <v>6175</v>
      </c>
      <c r="Z836" s="22">
        <f>IFERROR(__xludf.DUMMYFUNCTION("IFERROR(GOOGLEFINANCE(A836,""volume""),"""")"),1.39841E7)</f>
        <v>13984100</v>
      </c>
      <c r="AA836" s="24" t="str">
        <f>VLOOKUP(A836,Metrik!$C$2:$Y$959,5,0)</f>
        <v>Processed Foods</v>
      </c>
      <c r="AB836" s="24" t="str">
        <f>VLOOKUP(A836,Metrik!$C$2:$Y$959,3,0)</f>
        <v>Consumer Non-Cyclicals</v>
      </c>
    </row>
    <row r="837">
      <c r="A837" s="14" t="s">
        <v>464</v>
      </c>
      <c r="B837" s="14" t="str">
        <f t="array" ref="B837">VLOOKUP(A837,{Metrik!$C$2:$C$998,Metrik!$B$2:$B$998},2,0)</f>
        <v>Indofood CBP Sukses Makmur Tbk.</v>
      </c>
      <c r="C837" s="15">
        <f>IFERROR(__xludf.DUMMYFUNCTION("GOOGLEFINANCE(""IDX:""&amp;A837,""price"")"),6350.0)</f>
        <v>6350</v>
      </c>
      <c r="D837" s="16" t="str">
        <f>IFERROR(__xludf.DUMMYFUNCTION("IF(A837="""","""",
SPARKLINE(
INDEX(
GOOGLEFINANCE(""IDX:""&amp;A837,""close"",TODAY()-365,TODAY()),
,2
),
{""linewidth"",1}
))
"),"#N/A")</f>
        <v>#N/A</v>
      </c>
      <c r="E837" s="14" t="s">
        <v>31</v>
      </c>
      <c r="F837" s="17" t="s">
        <v>29</v>
      </c>
      <c r="G837" s="24">
        <f t="shared" si="6"/>
        <v>16</v>
      </c>
      <c r="H837" s="19">
        <f>VLOOKUP(A837,Metrik!$C$2:$Y$959,8,0)</f>
        <v>9.1</v>
      </c>
      <c r="I837" s="20">
        <f>VLOOKUP(A837,Metrik!$C$2:$Y$959,9,0)</f>
        <v>1.1</v>
      </c>
      <c r="J837" s="20">
        <f>VLOOKUP(A837,Metrik!$C$2:$Y$959,10,0)</f>
        <v>11.9</v>
      </c>
      <c r="K837" s="20">
        <f>VLOOKUP(A837,Metrik!$C$2:$Y$959,11,0)</f>
        <v>6.5</v>
      </c>
      <c r="L837" s="20">
        <f>VLOOKUP(A837,Metrik!$C$2:$Y$959,12,0)</f>
        <v>0.82</v>
      </c>
      <c r="M837" s="20">
        <f>VLOOKUP(A837,Metrik!$C$2:$Y$959,19,0)</f>
        <v>42.1</v>
      </c>
      <c r="N837" s="21"/>
      <c r="O837" s="21"/>
      <c r="P837" s="21"/>
      <c r="Q837" s="21"/>
      <c r="R837" s="21"/>
      <c r="S837" s="21"/>
      <c r="T837" s="21"/>
      <c r="U837" s="22">
        <f>IFERROR(__xludf.DUMMYFUNCTION("IFERROR(GOOGLEFINANCE(A837,""closeyest""),"""")"),6250.0)</f>
        <v>6250</v>
      </c>
      <c r="V837" s="23">
        <f>IFERROR(__xludf.DUMMYFUNCTION("IFERROR(GOOGLEFINANCE(A837,""changepct""),"""")"),1.6)</f>
        <v>1.6</v>
      </c>
      <c r="W837" s="22">
        <f>IFERROR(__xludf.DUMMYFUNCTION("IFERROR(GOOGLEFINANCE(A837,""priceopen""),"""")"),6275.0)</f>
        <v>6275</v>
      </c>
      <c r="X837" s="22">
        <f>IFERROR(__xludf.DUMMYFUNCTION("IFERROR(GOOGLEFINANCE(A837,""high""),"""")"),6450.0)</f>
        <v>6450</v>
      </c>
      <c r="Y837" s="22">
        <f>IFERROR(__xludf.DUMMYFUNCTION("IFERROR(GOOGLEFINANCE(A837,""low""),"""")"),6175.0)</f>
        <v>6175</v>
      </c>
      <c r="Z837" s="22">
        <f>IFERROR(__xludf.DUMMYFUNCTION("IFERROR(GOOGLEFINANCE(A837,""volume""),"""")"),1.39841E7)</f>
        <v>13984100</v>
      </c>
      <c r="AA837" s="24" t="str">
        <f>VLOOKUP(A837,Metrik!$C$2:$Y$959,5,0)</f>
        <v>Processed Foods</v>
      </c>
      <c r="AB837" s="24" t="str">
        <f>VLOOKUP(A837,Metrik!$C$2:$Y$959,3,0)</f>
        <v>Consumer Non-Cyclicals</v>
      </c>
    </row>
    <row r="838">
      <c r="A838" s="14" t="s">
        <v>464</v>
      </c>
      <c r="B838" s="14" t="str">
        <f t="array" ref="B838">VLOOKUP(A838,{Metrik!$C$2:$C$998,Metrik!$B$2:$B$998},2,0)</f>
        <v>Indofood CBP Sukses Makmur Tbk.</v>
      </c>
      <c r="C838" s="15">
        <f>IFERROR(__xludf.DUMMYFUNCTION("GOOGLEFINANCE(""IDX:""&amp;A838,""price"")"),6350.0)</f>
        <v>6350</v>
      </c>
      <c r="D838" s="16" t="str">
        <f>IFERROR(__xludf.DUMMYFUNCTION("IF(A838="""","""",
SPARKLINE(
INDEX(
GOOGLEFINANCE(""IDX:""&amp;A838,""close"",TODAY()-365,TODAY()),
,2
),
{""linewidth"",1}
))
"),"#N/A")</f>
        <v>#N/A</v>
      </c>
      <c r="E838" s="14" t="s">
        <v>28</v>
      </c>
      <c r="F838" s="17" t="s">
        <v>29</v>
      </c>
      <c r="G838" s="24">
        <f t="shared" si="6"/>
        <v>16</v>
      </c>
      <c r="H838" s="19">
        <f>VLOOKUP(A838,Metrik!$C$2:$Y$959,8,0)</f>
        <v>9.1</v>
      </c>
      <c r="I838" s="20">
        <f>VLOOKUP(A838,Metrik!$C$2:$Y$959,9,0)</f>
        <v>1.1</v>
      </c>
      <c r="J838" s="20">
        <f>VLOOKUP(A838,Metrik!$C$2:$Y$959,10,0)</f>
        <v>11.9</v>
      </c>
      <c r="K838" s="20">
        <f>VLOOKUP(A838,Metrik!$C$2:$Y$959,11,0)</f>
        <v>6.5</v>
      </c>
      <c r="L838" s="20">
        <f>VLOOKUP(A838,Metrik!$C$2:$Y$959,12,0)</f>
        <v>0.82</v>
      </c>
      <c r="M838" s="20">
        <f>VLOOKUP(A838,Metrik!$C$2:$Y$959,19,0)</f>
        <v>42.1</v>
      </c>
      <c r="N838" s="21"/>
      <c r="O838" s="21"/>
      <c r="P838" s="21"/>
      <c r="Q838" s="21"/>
      <c r="R838" s="21"/>
      <c r="S838" s="21"/>
      <c r="T838" s="21"/>
      <c r="U838" s="22">
        <f>IFERROR(__xludf.DUMMYFUNCTION("IFERROR(GOOGLEFINANCE(A838,""closeyest""),"""")"),6250.0)</f>
        <v>6250</v>
      </c>
      <c r="V838" s="23">
        <f>IFERROR(__xludf.DUMMYFUNCTION("IFERROR(GOOGLEFINANCE(A838,""changepct""),"""")"),1.6)</f>
        <v>1.6</v>
      </c>
      <c r="W838" s="22">
        <f>IFERROR(__xludf.DUMMYFUNCTION("IFERROR(GOOGLEFINANCE(A838,""priceopen""),"""")"),6275.0)</f>
        <v>6275</v>
      </c>
      <c r="X838" s="22">
        <f>IFERROR(__xludf.DUMMYFUNCTION("IFERROR(GOOGLEFINANCE(A838,""high""),"""")"),6450.0)</f>
        <v>6450</v>
      </c>
      <c r="Y838" s="22">
        <f>IFERROR(__xludf.DUMMYFUNCTION("IFERROR(GOOGLEFINANCE(A838,""low""),"""")"),6175.0)</f>
        <v>6175</v>
      </c>
      <c r="Z838" s="22">
        <f>IFERROR(__xludf.DUMMYFUNCTION("IFERROR(GOOGLEFINANCE(A838,""volume""),"""")"),1.39841E7)</f>
        <v>13984100</v>
      </c>
      <c r="AA838" s="24" t="str">
        <f>VLOOKUP(A838,Metrik!$C$2:$Y$959,5,0)</f>
        <v>Processed Foods</v>
      </c>
      <c r="AB838" s="24" t="str">
        <f>VLOOKUP(A838,Metrik!$C$2:$Y$959,3,0)</f>
        <v>Consumer Non-Cyclicals</v>
      </c>
    </row>
    <row r="839">
      <c r="A839" s="17" t="s">
        <v>464</v>
      </c>
      <c r="B839" s="14" t="str">
        <f t="array" ref="B839">VLOOKUP(A839,{Metrik!$C$2:$C$998,Metrik!$B$2:$B$998},2,0)</f>
        <v>Indofood CBP Sukses Makmur Tbk.</v>
      </c>
      <c r="C839" s="15">
        <f>IFERROR(__xludf.DUMMYFUNCTION("GOOGLEFINANCE(""IDX:""&amp;A839,""price"")"),6350.0)</f>
        <v>6350</v>
      </c>
      <c r="D839" s="16" t="str">
        <f>IFERROR(__xludf.DUMMYFUNCTION("IF(A839="""","""",
SPARKLINE(
INDEX(
GOOGLEFINANCE(""IDX:""&amp;A839,""close"",TODAY()-365,TODAY()),
,2
),
{""linewidth"",1}
))
"),"#N/A")</f>
        <v>#N/A</v>
      </c>
      <c r="E839" s="14" t="s">
        <v>67</v>
      </c>
      <c r="F839" s="17" t="s">
        <v>51</v>
      </c>
      <c r="G839" s="38">
        <f>COUNTIFS($B$2:$B$1933,B839,$E$2:$E$1933,"&lt;&gt;")</f>
        <v>16</v>
      </c>
      <c r="H839" s="19">
        <f>VLOOKUP(A839,Metrik!$C$2:$Y$959,8,0)</f>
        <v>9.1</v>
      </c>
      <c r="I839" s="20">
        <f>VLOOKUP(A839,Metrik!$C$2:$Y$959,9,0)</f>
        <v>1.1</v>
      </c>
      <c r="J839" s="20">
        <f>VLOOKUP(A839,Metrik!$C$2:$Y$959,10,0)</f>
        <v>11.9</v>
      </c>
      <c r="K839" s="20">
        <f>VLOOKUP(A839,Metrik!$C$2:$Y$959,11,0)</f>
        <v>6.5</v>
      </c>
      <c r="L839" s="20">
        <f>VLOOKUP(A839,Metrik!$C$2:$Y$959,12,0)</f>
        <v>0.82</v>
      </c>
      <c r="M839" s="20">
        <f>VLOOKUP(A839,Metrik!$C$2:$Y$959,19,0)</f>
        <v>42.1</v>
      </c>
      <c r="N839" s="46"/>
      <c r="O839" s="46"/>
      <c r="P839" s="46"/>
      <c r="Q839" s="46"/>
      <c r="R839" s="46"/>
      <c r="S839" s="46"/>
      <c r="T839" s="46"/>
      <c r="U839" s="22">
        <f>IFERROR(__xludf.DUMMYFUNCTION("IFERROR(GOOGLEFINANCE(A839,""closeyest""),"""")"),6250.0)</f>
        <v>6250</v>
      </c>
      <c r="V839" s="23">
        <f>IFERROR(__xludf.DUMMYFUNCTION("IFERROR(GOOGLEFINANCE(A839,""changepct""),"""")"),1.6)</f>
        <v>1.6</v>
      </c>
      <c r="W839" s="22">
        <f>IFERROR(__xludf.DUMMYFUNCTION("IFERROR(GOOGLEFINANCE(A839,""priceopen""),"""")"),6275.0)</f>
        <v>6275</v>
      </c>
      <c r="X839" s="22">
        <f>IFERROR(__xludf.DUMMYFUNCTION("IFERROR(GOOGLEFINANCE(A839,""high""),"""")"),6450.0)</f>
        <v>6450</v>
      </c>
      <c r="Y839" s="22">
        <f>IFERROR(__xludf.DUMMYFUNCTION("IFERROR(GOOGLEFINANCE(A839,""low""),"""")"),6175.0)</f>
        <v>6175</v>
      </c>
      <c r="Z839" s="22">
        <f>IFERROR(__xludf.DUMMYFUNCTION("IFERROR(GOOGLEFINANCE(A839,""volume""),"""")"),1.39841E7)</f>
        <v>13984100</v>
      </c>
      <c r="AA839" s="24" t="str">
        <f>VLOOKUP(A839,Metrik!$C$2:$Y$959,5,0)</f>
        <v>Processed Foods</v>
      </c>
      <c r="AB839" s="24" t="str">
        <f>VLOOKUP(A839,Metrik!$C$2:$Y$959,3,0)</f>
        <v>Consumer Non-Cyclicals</v>
      </c>
    </row>
    <row r="840">
      <c r="A840" s="48" t="s">
        <v>464</v>
      </c>
      <c r="B840" s="14" t="str">
        <f t="array" ref="B840">VLOOKUP(A840,{Metrik!$C$2:$C$998,Metrik!$B$2:$B$998},2,0)</f>
        <v>Indofood CBP Sukses Makmur Tbk.</v>
      </c>
      <c r="C840" s="15">
        <f>IFERROR(__xludf.DUMMYFUNCTION("GOOGLEFINANCE(""IDX:""&amp;A840,""price"")"),6350.0)</f>
        <v>6350</v>
      </c>
      <c r="D840" s="16" t="str">
        <f>IFERROR(__xludf.DUMMYFUNCTION("IF(A840="""","""",
SPARKLINE(
INDEX(
GOOGLEFINANCE(""IDX:""&amp;A840,""close"",TODAY()-365,TODAY()),
,2
),
{""linewidth"",1}
))
"),"#N/A")</f>
        <v>#N/A</v>
      </c>
      <c r="E840" s="17" t="s">
        <v>69</v>
      </c>
      <c r="F840" s="17" t="s">
        <v>70</v>
      </c>
      <c r="G840" s="24">
        <f t="shared" ref="G840:G1161" si="7">COUNTIFS($B$2:$B$1937,B840,$E$2:$E$1937,"&lt;&gt;")</f>
        <v>16</v>
      </c>
      <c r="H840" s="19">
        <f>VLOOKUP(A840,Metrik!$C$2:$Y$959,8,0)</f>
        <v>9.1</v>
      </c>
      <c r="I840" s="20">
        <f>VLOOKUP(A840,Metrik!$C$2:$Y$959,9,0)</f>
        <v>1.1</v>
      </c>
      <c r="J840" s="20">
        <f>VLOOKUP(A840,Metrik!$C$2:$Y$959,10,0)</f>
        <v>11.9</v>
      </c>
      <c r="K840" s="20">
        <f>VLOOKUP(A840,Metrik!$C$2:$Y$959,11,0)</f>
        <v>6.5</v>
      </c>
      <c r="L840" s="20">
        <f>VLOOKUP(A840,Metrik!$C$2:$Y$959,12,0)</f>
        <v>0.82</v>
      </c>
      <c r="M840" s="20">
        <f>VLOOKUP(A840,Metrik!$C$2:$Y$959,19,0)</f>
        <v>42.1</v>
      </c>
      <c r="N840" s="21"/>
      <c r="O840" s="21"/>
      <c r="P840" s="21"/>
      <c r="Q840" s="21"/>
      <c r="R840" s="21"/>
      <c r="S840" s="21"/>
      <c r="T840" s="21"/>
      <c r="U840" s="22">
        <f>IFERROR(__xludf.DUMMYFUNCTION("IFERROR(GOOGLEFINANCE(A840,""closeyest""),"""")"),6250.0)</f>
        <v>6250</v>
      </c>
      <c r="V840" s="23">
        <f>IFERROR(__xludf.DUMMYFUNCTION("IFERROR(GOOGLEFINANCE(A840,""changepct""),"""")"),1.6)</f>
        <v>1.6</v>
      </c>
      <c r="W840" s="22">
        <f>IFERROR(__xludf.DUMMYFUNCTION("IFERROR(GOOGLEFINANCE(A840,""priceopen""),"""")"),6275.0)</f>
        <v>6275</v>
      </c>
      <c r="X840" s="22">
        <f>IFERROR(__xludf.DUMMYFUNCTION("IFERROR(GOOGLEFINANCE(A840,""high""),"""")"),6450.0)</f>
        <v>6450</v>
      </c>
      <c r="Y840" s="22">
        <f>IFERROR(__xludf.DUMMYFUNCTION("IFERROR(GOOGLEFINANCE(A840,""low""),"""")"),6175.0)</f>
        <v>6175</v>
      </c>
      <c r="Z840" s="22">
        <f>IFERROR(__xludf.DUMMYFUNCTION("IFERROR(GOOGLEFINANCE(A840,""volume""),"""")"),1.39841E7)</f>
        <v>13984100</v>
      </c>
      <c r="AA840" s="24" t="str">
        <f>VLOOKUP(A840,Metrik!$C$2:$Y$959,5,0)</f>
        <v>Processed Foods</v>
      </c>
      <c r="AB840" s="24" t="str">
        <f>VLOOKUP(A840,Metrik!$C$2:$Y$959,3,0)</f>
        <v>Consumer Non-Cyclicals</v>
      </c>
    </row>
    <row r="841">
      <c r="A841" s="14" t="s">
        <v>464</v>
      </c>
      <c r="B841" s="14" t="str">
        <f t="array" ref="B841">VLOOKUP(A841,{Metrik!$C$2:$C$998,Metrik!$B$2:$B$998},2,0)</f>
        <v>Indofood CBP Sukses Makmur Tbk.</v>
      </c>
      <c r="C841" s="15">
        <f>IFERROR(__xludf.DUMMYFUNCTION("GOOGLEFINANCE(""IDX:""&amp;A841,""price"")"),6350.0)</f>
        <v>6350</v>
      </c>
      <c r="D841" s="16" t="str">
        <f>IFERROR(__xludf.DUMMYFUNCTION("IF(A841="""","""",
SPARKLINE(
INDEX(
GOOGLEFINANCE(""IDX:""&amp;A841,""close"",TODAY()-365,TODAY()),
,2
),
{""linewidth"",1}
))
"),"#N/A")</f>
        <v>#N/A</v>
      </c>
      <c r="E841" s="14" t="s">
        <v>86</v>
      </c>
      <c r="F841" s="25">
        <v>46356.0</v>
      </c>
      <c r="G841" s="24">
        <f t="shared" si="7"/>
        <v>16</v>
      </c>
      <c r="H841" s="19">
        <f>VLOOKUP(A841,Metrik!$C$2:$Y$959,8,0)</f>
        <v>9.1</v>
      </c>
      <c r="I841" s="20">
        <f>VLOOKUP(A841,Metrik!$C$2:$Y$959,9,0)</f>
        <v>1.1</v>
      </c>
      <c r="J841" s="20">
        <f>VLOOKUP(A841,Metrik!$C$2:$Y$959,10,0)</f>
        <v>11.9</v>
      </c>
      <c r="K841" s="20">
        <f>VLOOKUP(A841,Metrik!$C$2:$Y$959,11,0)</f>
        <v>6.5</v>
      </c>
      <c r="L841" s="20">
        <f>VLOOKUP(A841,Metrik!$C$2:$Y$959,12,0)</f>
        <v>0.82</v>
      </c>
      <c r="M841" s="20">
        <f>VLOOKUP(A841,Metrik!$C$2:$Y$959,19,0)</f>
        <v>42.1</v>
      </c>
      <c r="N841" s="21"/>
      <c r="O841" s="21"/>
      <c r="P841" s="21"/>
      <c r="Q841" s="21"/>
      <c r="R841" s="21"/>
      <c r="S841" s="21"/>
      <c r="T841" s="21"/>
      <c r="U841" s="22">
        <f>IFERROR(__xludf.DUMMYFUNCTION("IFERROR(GOOGLEFINANCE(A841,""closeyest""),"""")"),6250.0)</f>
        <v>6250</v>
      </c>
      <c r="V841" s="23">
        <f>IFERROR(__xludf.DUMMYFUNCTION("IFERROR(GOOGLEFINANCE(A841,""changepct""),"""")"),1.6)</f>
        <v>1.6</v>
      </c>
      <c r="W841" s="22">
        <f>IFERROR(__xludf.DUMMYFUNCTION("IFERROR(GOOGLEFINANCE(A841,""priceopen""),"""")"),6275.0)</f>
        <v>6275</v>
      </c>
      <c r="X841" s="22">
        <f>IFERROR(__xludf.DUMMYFUNCTION("IFERROR(GOOGLEFINANCE(A841,""high""),"""")"),6450.0)</f>
        <v>6450</v>
      </c>
      <c r="Y841" s="22">
        <f>IFERROR(__xludf.DUMMYFUNCTION("IFERROR(GOOGLEFINANCE(A841,""low""),"""")"),6175.0)</f>
        <v>6175</v>
      </c>
      <c r="Z841" s="22">
        <f>IFERROR(__xludf.DUMMYFUNCTION("IFERROR(GOOGLEFINANCE(A841,""volume""),"""")"),1.39841E7)</f>
        <v>13984100</v>
      </c>
      <c r="AA841" s="24" t="str">
        <f>VLOOKUP(A841,Metrik!$C$2:$Y$959,5,0)</f>
        <v>Processed Foods</v>
      </c>
      <c r="AB841" s="24" t="str">
        <f>VLOOKUP(A841,Metrik!$C$2:$Y$959,3,0)</f>
        <v>Consumer Non-Cyclicals</v>
      </c>
    </row>
    <row r="842">
      <c r="A842" s="14" t="s">
        <v>464</v>
      </c>
      <c r="B842" s="14" t="str">
        <f t="array" ref="B842">VLOOKUP(A842,{Metrik!$C$2:$C$998,Metrik!$B$2:$B$998},2,0)</f>
        <v>Indofood CBP Sukses Makmur Tbk.</v>
      </c>
      <c r="C842" s="15">
        <f>IFERROR(__xludf.DUMMYFUNCTION("GOOGLEFINANCE(""IDX:""&amp;A842,""price"")"),6350.0)</f>
        <v>6350</v>
      </c>
      <c r="D842" s="16" t="str">
        <f>IFERROR(__xludf.DUMMYFUNCTION("IF(A842="""","""",
SPARKLINE(
INDEX(
GOOGLEFINANCE(""IDX:""&amp;A842,""close"",TODAY()-365,TODAY()),
,2
),
{""linewidth"",1}
))
"),"#N/A")</f>
        <v>#N/A</v>
      </c>
      <c r="E842" s="14" t="s">
        <v>42</v>
      </c>
      <c r="F842" s="25">
        <v>46356.0</v>
      </c>
      <c r="G842" s="24">
        <f t="shared" si="7"/>
        <v>16</v>
      </c>
      <c r="H842" s="19">
        <f>VLOOKUP(A842,Metrik!$C$2:$Y$959,8,0)</f>
        <v>9.1</v>
      </c>
      <c r="I842" s="20">
        <f>VLOOKUP(A842,Metrik!$C$2:$Y$959,9,0)</f>
        <v>1.1</v>
      </c>
      <c r="J842" s="20">
        <f>VLOOKUP(A842,Metrik!$C$2:$Y$959,10,0)</f>
        <v>11.9</v>
      </c>
      <c r="K842" s="20">
        <f>VLOOKUP(A842,Metrik!$C$2:$Y$959,11,0)</f>
        <v>6.5</v>
      </c>
      <c r="L842" s="20">
        <f>VLOOKUP(A842,Metrik!$C$2:$Y$959,12,0)</f>
        <v>0.82</v>
      </c>
      <c r="M842" s="20">
        <f>VLOOKUP(A842,Metrik!$C$2:$Y$959,19,0)</f>
        <v>42.1</v>
      </c>
      <c r="N842" s="21"/>
      <c r="O842" s="21"/>
      <c r="P842" s="21"/>
      <c r="Q842" s="21"/>
      <c r="R842" s="21"/>
      <c r="S842" s="21"/>
      <c r="T842" s="21"/>
      <c r="U842" s="22">
        <f>IFERROR(__xludf.DUMMYFUNCTION("IFERROR(GOOGLEFINANCE(A842,""closeyest""),"""")"),6250.0)</f>
        <v>6250</v>
      </c>
      <c r="V842" s="23">
        <f>IFERROR(__xludf.DUMMYFUNCTION("IFERROR(GOOGLEFINANCE(A842,""changepct""),"""")"),1.6)</f>
        <v>1.6</v>
      </c>
      <c r="W842" s="22">
        <f>IFERROR(__xludf.DUMMYFUNCTION("IFERROR(GOOGLEFINANCE(A842,""priceopen""),"""")"),6275.0)</f>
        <v>6275</v>
      </c>
      <c r="X842" s="22">
        <f>IFERROR(__xludf.DUMMYFUNCTION("IFERROR(GOOGLEFINANCE(A842,""high""),"""")"),6450.0)</f>
        <v>6450</v>
      </c>
      <c r="Y842" s="22">
        <f>IFERROR(__xludf.DUMMYFUNCTION("IFERROR(GOOGLEFINANCE(A842,""low""),"""")"),6175.0)</f>
        <v>6175</v>
      </c>
      <c r="Z842" s="22">
        <f>IFERROR(__xludf.DUMMYFUNCTION("IFERROR(GOOGLEFINANCE(A842,""volume""),"""")"),1.39841E7)</f>
        <v>13984100</v>
      </c>
      <c r="AA842" s="24" t="str">
        <f>VLOOKUP(A842,Metrik!$C$2:$Y$959,5,0)</f>
        <v>Processed Foods</v>
      </c>
      <c r="AB842" s="24" t="str">
        <f>VLOOKUP(A842,Metrik!$C$2:$Y$959,3,0)</f>
        <v>Consumer Non-Cyclicals</v>
      </c>
    </row>
    <row r="843">
      <c r="A843" s="14" t="s">
        <v>464</v>
      </c>
      <c r="B843" s="14" t="str">
        <f t="array" ref="B843">VLOOKUP(A843,{Metrik!$C$2:$C$998,Metrik!$B$2:$B$998},2,0)</f>
        <v>Indofood CBP Sukses Makmur Tbk.</v>
      </c>
      <c r="C843" s="15">
        <f>IFERROR(__xludf.DUMMYFUNCTION("GOOGLEFINANCE(""IDX:""&amp;A843,""price"")"),6350.0)</f>
        <v>6350</v>
      </c>
      <c r="D843" s="16" t="str">
        <f>IFERROR(__xludf.DUMMYFUNCTION("IF(A843="""","""",
SPARKLINE(
INDEX(
GOOGLEFINANCE(""IDX:""&amp;A843,""close"",TODAY()-365,TODAY()),
,2
),
{""linewidth"",1}
))
"),"#N/A")</f>
        <v>#N/A</v>
      </c>
      <c r="E843" s="14" t="s">
        <v>38</v>
      </c>
      <c r="F843" s="25">
        <v>46356.0</v>
      </c>
      <c r="G843" s="24">
        <f t="shared" si="7"/>
        <v>16</v>
      </c>
      <c r="H843" s="19">
        <f>VLOOKUP(A843,Metrik!$C$2:$Y$959,8,0)</f>
        <v>9.1</v>
      </c>
      <c r="I843" s="20">
        <f>VLOOKUP(A843,Metrik!$C$2:$Y$959,9,0)</f>
        <v>1.1</v>
      </c>
      <c r="J843" s="20">
        <f>VLOOKUP(A843,Metrik!$C$2:$Y$959,10,0)</f>
        <v>11.9</v>
      </c>
      <c r="K843" s="20">
        <f>VLOOKUP(A843,Metrik!$C$2:$Y$959,11,0)</f>
        <v>6.5</v>
      </c>
      <c r="L843" s="20">
        <f>VLOOKUP(A843,Metrik!$C$2:$Y$959,12,0)</f>
        <v>0.82</v>
      </c>
      <c r="M843" s="20">
        <f>VLOOKUP(A843,Metrik!$C$2:$Y$959,19,0)</f>
        <v>42.1</v>
      </c>
      <c r="N843" s="21"/>
      <c r="O843" s="21"/>
      <c r="P843" s="21"/>
      <c r="Q843" s="21"/>
      <c r="R843" s="21"/>
      <c r="S843" s="21"/>
      <c r="T843" s="21"/>
      <c r="U843" s="22">
        <f>IFERROR(__xludf.DUMMYFUNCTION("IFERROR(GOOGLEFINANCE(A843,""closeyest""),"""")"),6250.0)</f>
        <v>6250</v>
      </c>
      <c r="V843" s="23">
        <f>IFERROR(__xludf.DUMMYFUNCTION("IFERROR(GOOGLEFINANCE(A843,""changepct""),"""")"),1.6)</f>
        <v>1.6</v>
      </c>
      <c r="W843" s="22">
        <f>IFERROR(__xludf.DUMMYFUNCTION("IFERROR(GOOGLEFINANCE(A843,""priceopen""),"""")"),6275.0)</f>
        <v>6275</v>
      </c>
      <c r="X843" s="22">
        <f>IFERROR(__xludf.DUMMYFUNCTION("IFERROR(GOOGLEFINANCE(A843,""high""),"""")"),6450.0)</f>
        <v>6450</v>
      </c>
      <c r="Y843" s="22">
        <f>IFERROR(__xludf.DUMMYFUNCTION("IFERROR(GOOGLEFINANCE(A843,""low""),"""")"),6175.0)</f>
        <v>6175</v>
      </c>
      <c r="Z843" s="22">
        <f>IFERROR(__xludf.DUMMYFUNCTION("IFERROR(GOOGLEFINANCE(A843,""volume""),"""")"),1.39841E7)</f>
        <v>13984100</v>
      </c>
      <c r="AA843" s="24" t="str">
        <f>VLOOKUP(A843,Metrik!$C$2:$Y$959,5,0)</f>
        <v>Processed Foods</v>
      </c>
      <c r="AB843" s="24" t="str">
        <f>VLOOKUP(A843,Metrik!$C$2:$Y$959,3,0)</f>
        <v>Consumer Non-Cyclicals</v>
      </c>
    </row>
    <row r="844">
      <c r="A844" s="14" t="s">
        <v>464</v>
      </c>
      <c r="B844" s="14" t="str">
        <f t="array" ref="B844">VLOOKUP(A844,{Metrik!$C$2:$C$998,Metrik!$B$2:$B$998},2,0)</f>
        <v>Indofood CBP Sukses Makmur Tbk.</v>
      </c>
      <c r="C844" s="15">
        <f>IFERROR(__xludf.DUMMYFUNCTION("GOOGLEFINANCE(""IDX:""&amp;A844,""price"")"),6350.0)</f>
        <v>6350</v>
      </c>
      <c r="D844" s="16" t="str">
        <f>IFERROR(__xludf.DUMMYFUNCTION("IF(A844="""","""",
SPARKLINE(
INDEX(
GOOGLEFINANCE(""IDX:""&amp;A844,""close"",TODAY()-365,TODAY()),
,2
),
{""linewidth"",1}
))
"),"#N/A")</f>
        <v>#N/A</v>
      </c>
      <c r="E844" s="14" t="s">
        <v>39</v>
      </c>
      <c r="F844" s="25">
        <v>46356.0</v>
      </c>
      <c r="G844" s="24">
        <f t="shared" si="7"/>
        <v>16</v>
      </c>
      <c r="H844" s="19">
        <f>VLOOKUP(A844,Metrik!$C$2:$Y$959,8,0)</f>
        <v>9.1</v>
      </c>
      <c r="I844" s="20">
        <f>VLOOKUP(A844,Metrik!$C$2:$Y$959,9,0)</f>
        <v>1.1</v>
      </c>
      <c r="J844" s="20">
        <f>VLOOKUP(A844,Metrik!$C$2:$Y$959,10,0)</f>
        <v>11.9</v>
      </c>
      <c r="K844" s="20">
        <f>VLOOKUP(A844,Metrik!$C$2:$Y$959,11,0)</f>
        <v>6.5</v>
      </c>
      <c r="L844" s="20">
        <f>VLOOKUP(A844,Metrik!$C$2:$Y$959,12,0)</f>
        <v>0.82</v>
      </c>
      <c r="M844" s="20">
        <f>VLOOKUP(A844,Metrik!$C$2:$Y$959,19,0)</f>
        <v>42.1</v>
      </c>
      <c r="N844" s="21"/>
      <c r="O844" s="21"/>
      <c r="P844" s="21"/>
      <c r="Q844" s="21"/>
      <c r="R844" s="21"/>
      <c r="S844" s="21"/>
      <c r="T844" s="21"/>
      <c r="U844" s="22">
        <f>IFERROR(__xludf.DUMMYFUNCTION("IFERROR(GOOGLEFINANCE(A844,""closeyest""),"""")"),6250.0)</f>
        <v>6250</v>
      </c>
      <c r="V844" s="23">
        <f>IFERROR(__xludf.DUMMYFUNCTION("IFERROR(GOOGLEFINANCE(A844,""changepct""),"""")"),1.6)</f>
        <v>1.6</v>
      </c>
      <c r="W844" s="22">
        <f>IFERROR(__xludf.DUMMYFUNCTION("IFERROR(GOOGLEFINANCE(A844,""priceopen""),"""")"),6275.0)</f>
        <v>6275</v>
      </c>
      <c r="X844" s="22">
        <f>IFERROR(__xludf.DUMMYFUNCTION("IFERROR(GOOGLEFINANCE(A844,""high""),"""")"),6450.0)</f>
        <v>6450</v>
      </c>
      <c r="Y844" s="22">
        <f>IFERROR(__xludf.DUMMYFUNCTION("IFERROR(GOOGLEFINANCE(A844,""low""),"""")"),6175.0)</f>
        <v>6175</v>
      </c>
      <c r="Z844" s="22">
        <f>IFERROR(__xludf.DUMMYFUNCTION("IFERROR(GOOGLEFINANCE(A844,""volume""),"""")"),1.39841E7)</f>
        <v>13984100</v>
      </c>
      <c r="AA844" s="24" t="str">
        <f>VLOOKUP(A844,Metrik!$C$2:$Y$959,5,0)</f>
        <v>Processed Foods</v>
      </c>
      <c r="AB844" s="24" t="str">
        <f>VLOOKUP(A844,Metrik!$C$2:$Y$959,3,0)</f>
        <v>Consumer Non-Cyclicals</v>
      </c>
    </row>
    <row r="845">
      <c r="A845" s="14" t="s">
        <v>465</v>
      </c>
      <c r="B845" s="14" t="str">
        <f t="array" ref="B845">VLOOKUP(A845,{Metrik!$C$2:$C$998,Metrik!$B$2:$B$998},2,0)</f>
        <v>Island Concepts Indonesia Tbk.</v>
      </c>
      <c r="C845" s="15" t="str">
        <f>IFERROR(__xludf.DUMMYFUNCTION("GOOGLEFINANCE(""IDX:""&amp;A845,""price"")"),"#N/A")</f>
        <v>#N/A</v>
      </c>
      <c r="D845" s="16" t="str">
        <f>IFERROR(__xludf.DUMMYFUNCTION("IF(A845="""","""",
SPARKLINE(
INDEX(
GOOGLEFINANCE(""IDX:""&amp;A845,""close"",TODAY()-365,TODAY()),
,2
),
{""linewidth"",1}
))
"),"#N/A")</f>
        <v>#N/A</v>
      </c>
      <c r="E845" s="26"/>
      <c r="F845" s="26"/>
      <c r="G845" s="24">
        <f t="shared" si="7"/>
        <v>0</v>
      </c>
      <c r="H845" s="19">
        <f>VLOOKUP(A845,Metrik!$C$2:$Y$959,8,0)</f>
        <v>30</v>
      </c>
      <c r="I845" s="20">
        <f>VLOOKUP(A845,Metrik!$C$2:$Y$959,9,0)</f>
        <v>0.51</v>
      </c>
      <c r="J845" s="20">
        <f>VLOOKUP(A845,Metrik!$C$2:$Y$959,10,0)</f>
        <v>1.7</v>
      </c>
      <c r="K845" s="20">
        <f>VLOOKUP(A845,Metrik!$C$2:$Y$959,11,0)</f>
        <v>1</v>
      </c>
      <c r="L845" s="20">
        <f>VLOOKUP(A845,Metrik!$C$2:$Y$959,12,0)</f>
        <v>0.65</v>
      </c>
      <c r="M845" s="20">
        <f>VLOOKUP(A845,Metrik!$C$2:$Y$959,19,0)</f>
        <v>6.4</v>
      </c>
      <c r="N845" s="21"/>
      <c r="O845" s="21"/>
      <c r="P845" s="21"/>
      <c r="Q845" s="21"/>
      <c r="R845" s="21"/>
      <c r="S845" s="21"/>
      <c r="T845" s="21"/>
      <c r="U845" s="22">
        <f>IFERROR(__xludf.DUMMYFUNCTION("IFERROR(GOOGLEFINANCE(A845,""closeyest""),"""")"),0.91)</f>
        <v>0.91</v>
      </c>
      <c r="V845" s="23">
        <f>IFERROR(__xludf.DUMMYFUNCTION("IFERROR(GOOGLEFINANCE(A845,""changepct""),"""")"),2.74)</f>
        <v>2.74</v>
      </c>
      <c r="W845" s="22">
        <f>IFERROR(__xludf.DUMMYFUNCTION("IFERROR(GOOGLEFINANCE(A845,""priceopen""),"""")"),0.86)</f>
        <v>0.86</v>
      </c>
      <c r="X845" s="22">
        <f>IFERROR(__xludf.DUMMYFUNCTION("IFERROR(GOOGLEFINANCE(A845,""high""),"""")"),0.97)</f>
        <v>0.97</v>
      </c>
      <c r="Y845" s="22">
        <f>IFERROR(__xludf.DUMMYFUNCTION("IFERROR(GOOGLEFINANCE(A845,""low""),"""")"),0.86)</f>
        <v>0.86</v>
      </c>
      <c r="Z845" s="22">
        <f>IFERROR(__xludf.DUMMYFUNCTION("IFERROR(GOOGLEFINANCE(A845,""volume""),"""")"),220743.0)</f>
        <v>220743</v>
      </c>
      <c r="AA845" s="24" t="str">
        <f>VLOOKUP(A845,Metrik!$C$2:$Y$959,5,0)</f>
        <v>Commercial Services</v>
      </c>
      <c r="AB845" s="24" t="str">
        <f>VLOOKUP(A845,Metrik!$C$2:$Y$959,3,0)</f>
        <v>Industrials</v>
      </c>
    </row>
    <row r="846">
      <c r="A846" s="14" t="s">
        <v>466</v>
      </c>
      <c r="B846" s="14" t="str">
        <f t="array" ref="B846">VLOOKUP(A846,{Metrik!$C$2:$C$998,Metrik!$B$2:$B$998},2,0)</f>
        <v>Idea Indonesia Akademi Tbk.</v>
      </c>
      <c r="C846" s="15">
        <f>IFERROR(__xludf.DUMMYFUNCTION("GOOGLEFINANCE(""IDX:""&amp;A846,""price"")"),64.0)</f>
        <v>64</v>
      </c>
      <c r="D846" s="16" t="str">
        <f>IFERROR(__xludf.DUMMYFUNCTION("IF(A846="""","""",
SPARKLINE(
INDEX(
GOOGLEFINANCE(""IDX:""&amp;A846,""close"",TODAY()-365,TODAY()),
,2
),
{""linewidth"",1}
))
"),"#N/A")</f>
        <v>#N/A</v>
      </c>
      <c r="E846" s="26"/>
      <c r="F846" s="26"/>
      <c r="G846" s="24">
        <f t="shared" si="7"/>
        <v>0</v>
      </c>
      <c r="H846" s="19">
        <f>VLOOKUP(A846,Metrik!$C$2:$Y$959,8,0)</f>
        <v>25.3</v>
      </c>
      <c r="I846" s="20">
        <f>VLOOKUP(A846,Metrik!$C$2:$Y$959,9,0)</f>
        <v>1.1</v>
      </c>
      <c r="J846" s="20">
        <f>VLOOKUP(A846,Metrik!$C$2:$Y$959,10,0)</f>
        <v>4.4</v>
      </c>
      <c r="K846" s="20">
        <f>VLOOKUP(A846,Metrik!$C$2:$Y$959,11,0)</f>
        <v>3.6</v>
      </c>
      <c r="L846" s="20">
        <f>VLOOKUP(A846,Metrik!$C$2:$Y$959,12,0)</f>
        <v>0.21</v>
      </c>
      <c r="M846" s="20">
        <f>VLOOKUP(A846,Metrik!$C$2:$Y$959,19,0)</f>
        <v>10.9</v>
      </c>
      <c r="N846" s="21"/>
      <c r="O846" s="21"/>
      <c r="P846" s="21"/>
      <c r="Q846" s="21"/>
      <c r="R846" s="21"/>
      <c r="S846" s="21"/>
      <c r="T846" s="21"/>
      <c r="U846" s="22">
        <f>IFERROR(__xludf.DUMMYFUNCTION("IFERROR(GOOGLEFINANCE(A846,""closeyest""),"""")"),0.03)</f>
        <v>0.03</v>
      </c>
      <c r="V846" s="23">
        <f>IFERROR(__xludf.DUMMYFUNCTION("IFERROR(GOOGLEFINANCE(A846,""changepct""),"""")"),0.0)</f>
        <v>0</v>
      </c>
      <c r="W846" s="22" t="str">
        <f>IFERROR(__xludf.DUMMYFUNCTION("IFERROR(GOOGLEFINANCE(A846,""priceopen""),"""")"),"")</f>
        <v/>
      </c>
      <c r="X846" s="22" t="str">
        <f>IFERROR(__xludf.DUMMYFUNCTION("IFERROR(GOOGLEFINANCE(A846,""high""),"""")"),"")</f>
        <v/>
      </c>
      <c r="Y846" s="22" t="str">
        <f>IFERROR(__xludf.DUMMYFUNCTION("IFERROR(GOOGLEFINANCE(A846,""low""),"""")"),"")</f>
        <v/>
      </c>
      <c r="Z846" s="22">
        <f>IFERROR(__xludf.DUMMYFUNCTION("IFERROR(GOOGLEFINANCE(A846,""volume""),"""")"),15.0)</f>
        <v>15</v>
      </c>
      <c r="AA846" s="24" t="str">
        <f>VLOOKUP(A846,Metrik!$C$2:$Y$959,5,0)</f>
        <v>Education &amp; Support Services</v>
      </c>
      <c r="AB846" s="24" t="str">
        <f>VLOOKUP(A846,Metrik!$C$2:$Y$959,3,0)</f>
        <v>Consumer Cyclicals</v>
      </c>
    </row>
    <row r="847">
      <c r="A847" s="14" t="s">
        <v>467</v>
      </c>
      <c r="B847" s="14" t="str">
        <f t="array" ref="B847">VLOOKUP(A847,{Metrik!$C$2:$C$998,Metrik!$B$2:$B$998},2,0)</f>
        <v>PT Indonesia Pondasi Raya Tbk.</v>
      </c>
      <c r="C847" s="15">
        <f>IFERROR(__xludf.DUMMYFUNCTION("GOOGLEFINANCE(""IDX:""&amp;A847,""price"")"),296.0)</f>
        <v>296</v>
      </c>
      <c r="D847" s="16" t="str">
        <f>IFERROR(__xludf.DUMMYFUNCTION("IF(A847="""","""",
SPARKLINE(
INDEX(
GOOGLEFINANCE(""IDX:""&amp;A847,""close"",TODAY()-365,TODAY()),
,2
),
{""linewidth"",1}
))
"),"#N/A")</f>
        <v>#N/A</v>
      </c>
      <c r="E847" s="26"/>
      <c r="F847" s="26"/>
      <c r="G847" s="24">
        <f t="shared" si="7"/>
        <v>0</v>
      </c>
      <c r="H847" s="19">
        <f>VLOOKUP(A847,Metrik!$C$2:$Y$959,8,0)</f>
        <v>20.2</v>
      </c>
      <c r="I847" s="20">
        <f>VLOOKUP(A847,Metrik!$C$2:$Y$959,9,0)</f>
        <v>0.86</v>
      </c>
      <c r="J847" s="20">
        <f>VLOOKUP(A847,Metrik!$C$2:$Y$959,10,0)</f>
        <v>4.2</v>
      </c>
      <c r="K847" s="20">
        <f>VLOOKUP(A847,Metrik!$C$2:$Y$959,11,0)</f>
        <v>1.7</v>
      </c>
      <c r="L847" s="20">
        <f>VLOOKUP(A847,Metrik!$C$2:$Y$959,12,0)</f>
        <v>1.5</v>
      </c>
      <c r="M847" s="20">
        <f>VLOOKUP(A847,Metrik!$C$2:$Y$959,19,0)</f>
        <v>7.4</v>
      </c>
      <c r="N847" s="21"/>
      <c r="O847" s="21"/>
      <c r="P847" s="21"/>
      <c r="Q847" s="21"/>
      <c r="R847" s="21"/>
      <c r="S847" s="21"/>
      <c r="T847" s="21"/>
      <c r="U847" s="22" t="str">
        <f>IFERROR(__xludf.DUMMYFUNCTION("IFERROR(GOOGLEFINANCE(A847,""closeyest""),"""")"),"")</f>
        <v/>
      </c>
      <c r="V847" s="23">
        <f>IFERROR(__xludf.DUMMYFUNCTION("IFERROR(GOOGLEFINANCE(A847,""changepct""),"""")"),-0.67)</f>
        <v>-0.67</v>
      </c>
      <c r="W847" s="22">
        <f>IFERROR(__xludf.DUMMYFUNCTION("IFERROR(GOOGLEFINANCE(A847,""priceopen""),"""")"),296.0)</f>
        <v>296</v>
      </c>
      <c r="X847" s="22">
        <f>IFERROR(__xludf.DUMMYFUNCTION("IFERROR(GOOGLEFINANCE(A847,""high""),"""")"),300.0)</f>
        <v>300</v>
      </c>
      <c r="Y847" s="22">
        <f>IFERROR(__xludf.DUMMYFUNCTION("IFERROR(GOOGLEFINANCE(A847,""low""),"""")"),296.0)</f>
        <v>296</v>
      </c>
      <c r="Z847" s="22">
        <f>IFERROR(__xludf.DUMMYFUNCTION("IFERROR(GOOGLEFINANCE(A847,""volume""),"""")"),147000.0)</f>
        <v>147000</v>
      </c>
      <c r="AA847" s="24" t="str">
        <f>VLOOKUP(A847,Metrik!$C$2:$Y$959,5,0)</f>
        <v>Heavy Constructions &amp; Civil Engineering</v>
      </c>
      <c r="AB847" s="24" t="str">
        <f>VLOOKUP(A847,Metrik!$C$2:$Y$959,3,0)</f>
        <v>Infrastructures</v>
      </c>
    </row>
    <row r="848">
      <c r="A848" s="14" t="s">
        <v>468</v>
      </c>
      <c r="B848" s="14" t="str">
        <f t="array" ref="B848">VLOOKUP(A848,{Metrik!$C$2:$C$998,Metrik!$B$2:$B$998},2,0)</f>
        <v>Indonesia Fibreboard Industry Tbk.</v>
      </c>
      <c r="C848" s="15">
        <f>IFERROR(__xludf.DUMMYFUNCTION("GOOGLEFINANCE(""IDX:""&amp;A848,""price"")"),222.0)</f>
        <v>222</v>
      </c>
      <c r="D848" s="16" t="str">
        <f>IFERROR(__xludf.DUMMYFUNCTION("IF(A848="""","""",
SPARKLINE(
INDEX(
GOOGLEFINANCE(""IDX:""&amp;A848,""close"",TODAY()-365,TODAY()),
,2
),
{""linewidth"",1}
))
"),"#N/A")</f>
        <v>#N/A</v>
      </c>
      <c r="E848" s="26"/>
      <c r="F848" s="26"/>
      <c r="G848" s="18">
        <f t="shared" si="7"/>
        <v>0</v>
      </c>
      <c r="H848" s="19">
        <f>VLOOKUP(A848,Metrik!$C$2:$Y$959,8,0)</f>
        <v>14.1</v>
      </c>
      <c r="I848" s="20">
        <f>VLOOKUP(A848,Metrik!$C$2:$Y$959,9,0)</f>
        <v>1.5</v>
      </c>
      <c r="J848" s="20">
        <f>VLOOKUP(A848,Metrik!$C$2:$Y$959,10,0)</f>
        <v>10.6</v>
      </c>
      <c r="K848" s="20">
        <f>VLOOKUP(A848,Metrik!$C$2:$Y$959,11,0)</f>
        <v>8.5</v>
      </c>
      <c r="L848" s="20">
        <f>VLOOKUP(A848,Metrik!$C$2:$Y$959,12,0)</f>
        <v>0.24</v>
      </c>
      <c r="M848" s="20">
        <f>VLOOKUP(A848,Metrik!$C$2:$Y$959,19,0)</f>
        <v>45.6</v>
      </c>
      <c r="N848" s="21"/>
      <c r="O848" s="21"/>
      <c r="P848" s="21"/>
      <c r="Q848" s="21"/>
      <c r="R848" s="21"/>
      <c r="S848" s="21"/>
      <c r="T848" s="21"/>
      <c r="U848" s="22">
        <f>IFERROR(__xludf.DUMMYFUNCTION("IFERROR(GOOGLEFINANCE(A848,""closeyest""),"""")"),224.0)</f>
        <v>224</v>
      </c>
      <c r="V848" s="23">
        <f>IFERROR(__xludf.DUMMYFUNCTION("IFERROR(GOOGLEFINANCE(A848,""changepct""),"""")"),-0.89)</f>
        <v>-0.89</v>
      </c>
      <c r="W848" s="22">
        <f>IFERROR(__xludf.DUMMYFUNCTION("IFERROR(GOOGLEFINANCE(A848,""priceopen""),"""")"),224.0)</f>
        <v>224</v>
      </c>
      <c r="X848" s="22">
        <f>IFERROR(__xludf.DUMMYFUNCTION("IFERROR(GOOGLEFINANCE(A848,""high""),"""")"),224.0)</f>
        <v>224</v>
      </c>
      <c r="Y848" s="22">
        <f>IFERROR(__xludf.DUMMYFUNCTION("IFERROR(GOOGLEFINANCE(A848,""low""),"""")"),218.0)</f>
        <v>218</v>
      </c>
      <c r="Z848" s="22">
        <f>IFERROR(__xludf.DUMMYFUNCTION("IFERROR(GOOGLEFINANCE(A848,""volume""),"""")"),39400.0)</f>
        <v>39400</v>
      </c>
      <c r="AA848" s="24" t="str">
        <f>VLOOKUP(A848,Metrik!$C$2:$Y$959,5,0)</f>
        <v>Forestry &amp; Paper</v>
      </c>
      <c r="AB848" s="24" t="str">
        <f>VLOOKUP(A848,Metrik!$C$2:$Y$959,3,0)</f>
        <v>Basic Materials</v>
      </c>
    </row>
    <row r="849">
      <c r="A849" s="14" t="s">
        <v>469</v>
      </c>
      <c r="B849" s="14" t="str">
        <f t="array" ref="B849">VLOOKUP(A849,{Metrik!$C$2:$C$998,Metrik!$B$2:$B$998},2,0)</f>
        <v>Ifishdeco Tbk.</v>
      </c>
      <c r="C849" s="15">
        <f>IFERROR(__xludf.DUMMYFUNCTION("GOOGLEFINANCE(""IDX:""&amp;A849,""price"")"),1075.0)</f>
        <v>1075</v>
      </c>
      <c r="D849" s="16" t="str">
        <f>IFERROR(__xludf.DUMMYFUNCTION("IF(A849="""","""",
SPARKLINE(
INDEX(
GOOGLEFINANCE(""IDX:""&amp;A849,""close"",TODAY()-365,TODAY()),
,2
),
{""linewidth"",1}
))
"),"#N/A")</f>
        <v>#N/A</v>
      </c>
      <c r="E849" s="26"/>
      <c r="F849" s="26"/>
      <c r="G849" s="24">
        <f t="shared" si="7"/>
        <v>0</v>
      </c>
      <c r="H849" s="19">
        <f>VLOOKUP(A849,Metrik!$C$2:$Y$959,8,0)</f>
        <v>51.9</v>
      </c>
      <c r="I849" s="20">
        <f>VLOOKUP(A849,Metrik!$C$2:$Y$959,9,0)</f>
        <v>3.4</v>
      </c>
      <c r="J849" s="20">
        <f>VLOOKUP(A849,Metrik!$C$2:$Y$959,10,0)</f>
        <v>6.6</v>
      </c>
      <c r="K849" s="20">
        <f>VLOOKUP(A849,Metrik!$C$2:$Y$959,11,0)</f>
        <v>5.5</v>
      </c>
      <c r="L849" s="20">
        <f>VLOOKUP(A849,Metrik!$C$2:$Y$959,12,0)</f>
        <v>0.19</v>
      </c>
      <c r="M849" s="20">
        <f>VLOOKUP(A849,Metrik!$C$2:$Y$959,19,0)</f>
        <v>20</v>
      </c>
      <c r="N849" s="21"/>
      <c r="O849" s="21"/>
      <c r="P849" s="21"/>
      <c r="Q849" s="21"/>
      <c r="R849" s="21"/>
      <c r="S849" s="21"/>
      <c r="T849" s="21"/>
      <c r="U849" s="22">
        <f>IFERROR(__xludf.DUMMYFUNCTION("IFERROR(GOOGLEFINANCE(A849,""closeyest""),"""")"),980.0)</f>
        <v>980</v>
      </c>
      <c r="V849" s="23">
        <f>IFERROR(__xludf.DUMMYFUNCTION("IFERROR(GOOGLEFINANCE(A849,""changepct""),"""")"),9.69)</f>
        <v>9.69</v>
      </c>
      <c r="W849" s="22">
        <f>IFERROR(__xludf.DUMMYFUNCTION("IFERROR(GOOGLEFINANCE(A849,""priceopen""),"""")"),1075.0)</f>
        <v>1075</v>
      </c>
      <c r="X849" s="22">
        <f>IFERROR(__xludf.DUMMYFUNCTION("IFERROR(GOOGLEFINANCE(A849,""high""),"""")"),1075.0)</f>
        <v>1075</v>
      </c>
      <c r="Y849" s="22">
        <f>IFERROR(__xludf.DUMMYFUNCTION("IFERROR(GOOGLEFINANCE(A849,""low""),"""")"),1075.0)</f>
        <v>1075</v>
      </c>
      <c r="Z849" s="22">
        <f>IFERROR(__xludf.DUMMYFUNCTION("IFERROR(GOOGLEFINANCE(A849,""volume""),"""")"),44800.0)</f>
        <v>44800</v>
      </c>
      <c r="AA849" s="24" t="str">
        <f>VLOOKUP(A849,Metrik!$C$2:$Y$959,5,0)</f>
        <v>Metals &amp; Minerals</v>
      </c>
      <c r="AB849" s="24" t="str">
        <f>VLOOKUP(A849,Metrik!$C$2:$Y$959,3,0)</f>
        <v>Basic Materials</v>
      </c>
    </row>
    <row r="850">
      <c r="A850" s="14" t="s">
        <v>470</v>
      </c>
      <c r="B850" s="14" t="str">
        <f t="array" ref="B850">VLOOKUP(A850,{Metrik!$C$2:$C$998,Metrik!$B$2:$B$998},2,0)</f>
        <v>Champion Pacific Indonesia Tbk.</v>
      </c>
      <c r="C850" s="15" t="str">
        <f>IFERROR(__xludf.DUMMYFUNCTION("GOOGLEFINANCE(""IDX:""&amp;A850,""price"")"),"#N/A")</f>
        <v>#N/A</v>
      </c>
      <c r="D850" s="16" t="str">
        <f>IFERROR(__xludf.DUMMYFUNCTION("IF(A850="""","""",
SPARKLINE(
INDEX(
GOOGLEFINANCE(""IDX:""&amp;A850,""close"",TODAY()-365,TODAY()),
,2
),
{""linewidth"",1}
))
"),"#N/A")</f>
        <v>#N/A</v>
      </c>
      <c r="E850" s="26"/>
      <c r="F850" s="26"/>
      <c r="G850" s="24">
        <f t="shared" si="7"/>
        <v>0</v>
      </c>
      <c r="H850" s="19">
        <f>VLOOKUP(A850,Metrik!$C$2:$Y$959,8,0)</f>
        <v>7.3</v>
      </c>
      <c r="I850" s="20">
        <f>VLOOKUP(A850,Metrik!$C$2:$Y$959,9,0)</f>
        <v>0.45</v>
      </c>
      <c r="J850" s="20">
        <f>VLOOKUP(A850,Metrik!$C$2:$Y$959,10,0)</f>
        <v>6.2</v>
      </c>
      <c r="K850" s="20">
        <f>VLOOKUP(A850,Metrik!$C$2:$Y$959,11,0)</f>
        <v>5.4</v>
      </c>
      <c r="L850" s="20">
        <f>VLOOKUP(A850,Metrik!$C$2:$Y$959,12,0)</f>
        <v>0.15</v>
      </c>
      <c r="M850" s="20">
        <f>VLOOKUP(A850,Metrik!$C$2:$Y$959,19,0)</f>
        <v>26.9</v>
      </c>
      <c r="N850" s="21"/>
      <c r="O850" s="21"/>
      <c r="P850" s="21"/>
      <c r="Q850" s="21"/>
      <c r="R850" s="21"/>
      <c r="S850" s="21"/>
      <c r="T850" s="21"/>
      <c r="U850" s="22">
        <f>IFERROR(__xludf.DUMMYFUNCTION("IFERROR(GOOGLEFINANCE(A850,""closeyest""),"""")"),416.0)</f>
        <v>416</v>
      </c>
      <c r="V850" s="23">
        <f>IFERROR(__xludf.DUMMYFUNCTION("IFERROR(GOOGLEFINANCE(A850,""changepct""),"""")"),1.92)</f>
        <v>1.92</v>
      </c>
      <c r="W850" s="22">
        <f>IFERROR(__xludf.DUMMYFUNCTION("IFERROR(GOOGLEFINANCE(A850,""priceopen""),"""")"),426.0)</f>
        <v>426</v>
      </c>
      <c r="X850" s="22">
        <f>IFERROR(__xludf.DUMMYFUNCTION("IFERROR(GOOGLEFINANCE(A850,""high""),"""")"),426.0)</f>
        <v>426</v>
      </c>
      <c r="Y850" s="22">
        <f>IFERROR(__xludf.DUMMYFUNCTION("IFERROR(GOOGLEFINANCE(A850,""low""),"""")"),416.0)</f>
        <v>416</v>
      </c>
      <c r="Z850" s="22">
        <f>IFERROR(__xludf.DUMMYFUNCTION("IFERROR(GOOGLEFINANCE(A850,""volume""),"""")"),5300.0)</f>
        <v>5300</v>
      </c>
      <c r="AA850" s="24" t="str">
        <f>VLOOKUP(A850,Metrik!$C$2:$Y$959,5,0)</f>
        <v>Containers &amp; Packaging</v>
      </c>
      <c r="AB850" s="24" t="str">
        <f>VLOOKUP(A850,Metrik!$C$2:$Y$959,3,0)</f>
        <v>Basic Materials</v>
      </c>
    </row>
    <row r="851">
      <c r="A851" s="14" t="s">
        <v>471</v>
      </c>
      <c r="B851" s="14" t="str">
        <f t="array" ref="B851">VLOOKUP(A851,{Metrik!$C$2:$C$998,Metrik!$B$2:$B$998},2,0)</f>
        <v>Inti Agri Resources Tbk</v>
      </c>
      <c r="C851" s="15">
        <f>IFERROR(__xludf.DUMMYFUNCTION("GOOGLEFINANCE(""IDX:""&amp;A851,""price"")"),50.0)</f>
        <v>50</v>
      </c>
      <c r="D851" s="16" t="str">
        <f>IFERROR(__xludf.DUMMYFUNCTION("IF(A851="""","""",
SPARKLINE(
INDEX(
GOOGLEFINANCE(""IDX:""&amp;A851,""close"",TODAY()-365,TODAY()),
,2
),
{""linewidth"",1}
))
"),"#N/A")</f>
        <v>#N/A</v>
      </c>
      <c r="E851" s="26"/>
      <c r="F851" s="26"/>
      <c r="G851" s="24">
        <f t="shared" si="7"/>
        <v>0</v>
      </c>
      <c r="H851" s="19">
        <f>VLOOKUP(A851,Metrik!$C$2:$Y$959,8,0)</f>
        <v>-150</v>
      </c>
      <c r="I851" s="20">
        <f>VLOOKUP(A851,Metrik!$C$2:$Y$959,9,0)</f>
        <v>10.7</v>
      </c>
      <c r="J851" s="20">
        <f>VLOOKUP(A851,Metrik!$C$2:$Y$959,10,0)</f>
        <v>-7.4</v>
      </c>
      <c r="K851" s="20">
        <f>VLOOKUP(A851,Metrik!$C$2:$Y$959,11,0)</f>
        <v>-6.4</v>
      </c>
      <c r="L851" s="20">
        <f>VLOOKUP(A851,Metrik!$C$2:$Y$959,12,0)</f>
        <v>0.14</v>
      </c>
      <c r="M851" s="20">
        <f>VLOOKUP(A851,Metrik!$C$2:$Y$959,19,0)</f>
        <v>-46000</v>
      </c>
      <c r="N851" s="21"/>
      <c r="O851" s="21"/>
      <c r="P851" s="21"/>
      <c r="Q851" s="21"/>
      <c r="R851" s="21"/>
      <c r="S851" s="21"/>
      <c r="T851" s="21"/>
      <c r="U851" s="22">
        <f>IFERROR(__xludf.DUMMYFUNCTION("IFERROR(GOOGLEFINANCE(A851,""closeyest""),"""")"),50.0)</f>
        <v>50</v>
      </c>
      <c r="V851" s="23">
        <f>IFERROR(__xludf.DUMMYFUNCTION("IFERROR(GOOGLEFINANCE(A851,""changepct""),"""")"),0.0)</f>
        <v>0</v>
      </c>
      <c r="W851" s="22" t="str">
        <f>IFERROR(__xludf.DUMMYFUNCTION("IFERROR(GOOGLEFINANCE(A851,""priceopen""),"""")"),"")</f>
        <v/>
      </c>
      <c r="X851" s="22" t="str">
        <f>IFERROR(__xludf.DUMMYFUNCTION("IFERROR(GOOGLEFINANCE(A851,""high""),"""")"),"")</f>
        <v/>
      </c>
      <c r="Y851" s="22" t="str">
        <f>IFERROR(__xludf.DUMMYFUNCTION("IFERROR(GOOGLEFINANCE(A851,""low""),"""")"),"")</f>
        <v/>
      </c>
      <c r="Z851" s="22">
        <f>IFERROR(__xludf.DUMMYFUNCTION("IFERROR(GOOGLEFINANCE(A851,""volume""),"""")"),0.0)</f>
        <v>0</v>
      </c>
      <c r="AA851" s="24" t="str">
        <f>VLOOKUP(A851,Metrik!$C$2:$Y$959,5,0)</f>
        <v>Sport Equipment &amp; Hobbies Goods</v>
      </c>
      <c r="AB851" s="24" t="str">
        <f>VLOOKUP(A851,Metrik!$C$2:$Y$959,3,0)</f>
        <v>Consumer Cyclicals</v>
      </c>
    </row>
    <row r="852">
      <c r="A852" s="14" t="s">
        <v>472</v>
      </c>
      <c r="B852" s="14" t="str">
        <f t="array" ref="B852">VLOOKUP(A852,{Metrik!$C$2:$C$998,Metrik!$B$2:$B$998},2,0)</f>
        <v>Intikeramik Alamasri Industri Tbk.</v>
      </c>
      <c r="C852" s="15">
        <f>IFERROR(__xludf.DUMMYFUNCTION("GOOGLEFINANCE(""IDX:""&amp;A852,""price"")"),20.0)</f>
        <v>20</v>
      </c>
      <c r="D852" s="16" t="str">
        <f>IFERROR(__xludf.DUMMYFUNCTION("IF(A852="""","""",
SPARKLINE(
INDEX(
GOOGLEFINANCE(""IDX:""&amp;A852,""close"",TODAY()-365,TODAY()),
,2
),
{""linewidth"",1}
))
"),"#N/A")</f>
        <v>#N/A</v>
      </c>
      <c r="E852" s="26"/>
      <c r="F852" s="26"/>
      <c r="G852" s="24">
        <f t="shared" si="7"/>
        <v>0</v>
      </c>
      <c r="H852" s="19">
        <f>VLOOKUP(A852,Metrik!$C$2:$Y$959,8,0)</f>
        <v>-5.2</v>
      </c>
      <c r="I852" s="20">
        <f>VLOOKUP(A852,Metrik!$C$2:$Y$959,9,0)</f>
        <v>0.46</v>
      </c>
      <c r="J852" s="20">
        <f>VLOOKUP(A852,Metrik!$C$2:$Y$959,10,0)</f>
        <v>-8.9</v>
      </c>
      <c r="K852" s="20">
        <f>VLOOKUP(A852,Metrik!$C$2:$Y$959,11,0)</f>
        <v>-5</v>
      </c>
      <c r="L852" s="20">
        <f>VLOOKUP(A852,Metrik!$C$2:$Y$959,12,0)</f>
        <v>0.78</v>
      </c>
      <c r="M852" s="20">
        <f>VLOOKUP(A852,Metrik!$C$2:$Y$959,19,0)</f>
        <v>-180</v>
      </c>
      <c r="N852" s="21"/>
      <c r="O852" s="21"/>
      <c r="P852" s="21"/>
      <c r="Q852" s="21"/>
      <c r="R852" s="21"/>
      <c r="S852" s="21"/>
      <c r="T852" s="21"/>
      <c r="U852" s="22">
        <f>IFERROR(__xludf.DUMMYFUNCTION("IFERROR(GOOGLEFINANCE(A852,""closeyest""),"""")"),19.0)</f>
        <v>19</v>
      </c>
      <c r="V852" s="23">
        <f>IFERROR(__xludf.DUMMYFUNCTION("IFERROR(GOOGLEFINANCE(A852,""changepct""),"""")"),5.26)</f>
        <v>5.26</v>
      </c>
      <c r="W852" s="22" t="str">
        <f>IFERROR(__xludf.DUMMYFUNCTION("IFERROR(GOOGLEFINANCE(A852,""priceopen""),"""")"),"")</f>
        <v/>
      </c>
      <c r="X852" s="22">
        <f>IFERROR(__xludf.DUMMYFUNCTION("IFERROR(GOOGLEFINANCE(A852,""high""),"""")"),20.0)</f>
        <v>20</v>
      </c>
      <c r="Y852" s="22">
        <f>IFERROR(__xludf.DUMMYFUNCTION("IFERROR(GOOGLEFINANCE(A852,""low""),"""")"),20.0)</f>
        <v>20</v>
      </c>
      <c r="Z852" s="22">
        <f>IFERROR(__xludf.DUMMYFUNCTION("IFERROR(GOOGLEFINANCE(A852,""volume""),"""")"),6312100.0)</f>
        <v>6312100</v>
      </c>
      <c r="AA852" s="24" t="str">
        <f>VLOOKUP(A852,Metrik!$C$2:$Y$959,5,0)</f>
        <v>Building Products &amp; Fixtures</v>
      </c>
      <c r="AB852" s="24" t="str">
        <f>VLOOKUP(A852,Metrik!$C$2:$Y$959,3,0)</f>
        <v>Industrials</v>
      </c>
    </row>
    <row r="853">
      <c r="A853" s="14" t="s">
        <v>473</v>
      </c>
      <c r="B853" s="14" t="str">
        <f t="array" ref="B853">VLOOKUP(A853,{Metrik!$C$2:$C$998,Metrik!$B$2:$B$998},2,0)</f>
        <v>Era Mandiri Cemerlang Tbk.</v>
      </c>
      <c r="C853" s="15">
        <f>IFERROR(__xludf.DUMMYFUNCTION("GOOGLEFINANCE(""IDX:""&amp;A853,""price"")"),72.0)</f>
        <v>72</v>
      </c>
      <c r="D853" s="16" t="str">
        <f>IFERROR(__xludf.DUMMYFUNCTION("IF(A853="""","""",
SPARKLINE(
INDEX(
GOOGLEFINANCE(""IDX:""&amp;A853,""close"",TODAY()-365,TODAY()),
,2
),
{""linewidth"",1}
))
"),"#N/A")</f>
        <v>#N/A</v>
      </c>
      <c r="E853" s="26"/>
      <c r="F853" s="26"/>
      <c r="G853" s="24">
        <f t="shared" si="7"/>
        <v>0</v>
      </c>
      <c r="H853" s="19">
        <f>VLOOKUP(A853,Metrik!$C$2:$Y$959,8,0)</f>
        <v>-170</v>
      </c>
      <c r="I853" s="20">
        <f>VLOOKUP(A853,Metrik!$C$2:$Y$959,9,0)</f>
        <v>0.93</v>
      </c>
      <c r="J853" s="20">
        <f>VLOOKUP(A853,Metrik!$C$2:$Y$959,10,0)</f>
        <v>-0.55</v>
      </c>
      <c r="K853" s="20">
        <f>VLOOKUP(A853,Metrik!$C$2:$Y$959,11,0)</f>
        <v>-0.32</v>
      </c>
      <c r="L853" s="20">
        <f>VLOOKUP(A853,Metrik!$C$2:$Y$959,12,0)</f>
        <v>0.74</v>
      </c>
      <c r="M853" s="20">
        <f>VLOOKUP(A853,Metrik!$C$2:$Y$959,19,0)</f>
        <v>-1.4</v>
      </c>
      <c r="N853" s="21"/>
      <c r="O853" s="21"/>
      <c r="P853" s="21"/>
      <c r="Q853" s="21"/>
      <c r="R853" s="21"/>
      <c r="S853" s="21"/>
      <c r="T853" s="21"/>
      <c r="U853" s="22">
        <f>IFERROR(__xludf.DUMMYFUNCTION("IFERROR(GOOGLEFINANCE(A853,""closeyest""),"""")"),69.0)</f>
        <v>69</v>
      </c>
      <c r="V853" s="23">
        <f>IFERROR(__xludf.DUMMYFUNCTION("IFERROR(GOOGLEFINANCE(A853,""changepct""),"""")"),4.35)</f>
        <v>4.35</v>
      </c>
      <c r="W853" s="22">
        <f>IFERROR(__xludf.DUMMYFUNCTION("IFERROR(GOOGLEFINANCE(A853,""priceopen""),"""")"),69.0)</f>
        <v>69</v>
      </c>
      <c r="X853" s="22">
        <f>IFERROR(__xludf.DUMMYFUNCTION("IFERROR(GOOGLEFINANCE(A853,""high""),"""")"),75.0)</f>
        <v>75</v>
      </c>
      <c r="Y853" s="22">
        <f>IFERROR(__xludf.DUMMYFUNCTION("IFERROR(GOOGLEFINANCE(A853,""low""),"""")"),69.0)</f>
        <v>69</v>
      </c>
      <c r="Z853" s="22">
        <f>IFERROR(__xludf.DUMMYFUNCTION("IFERROR(GOOGLEFINANCE(A853,""volume""),"""")"),1.23526E7)</f>
        <v>12352600</v>
      </c>
      <c r="AA853" s="24" t="str">
        <f>VLOOKUP(A853,Metrik!$C$2:$Y$959,5,0)</f>
        <v>Agricultural Products</v>
      </c>
      <c r="AB853" s="24" t="str">
        <f>VLOOKUP(A853,Metrik!$C$2:$Y$959,3,0)</f>
        <v>Consumer Non-Cyclicals</v>
      </c>
    </row>
    <row r="854">
      <c r="A854" s="14" t="s">
        <v>474</v>
      </c>
      <c r="B854" s="14" t="str">
        <f t="array" ref="B854">VLOOKUP(A854,{Metrik!$C$2:$C$998,Metrik!$B$2:$B$998},2,0)</f>
        <v>Sumi Indo Kabel Tbk.</v>
      </c>
      <c r="C854" s="15">
        <f>IFERROR(__xludf.DUMMYFUNCTION("GOOGLEFINANCE(""IDX:""&amp;A854,""price"")"),515.0)</f>
        <v>515</v>
      </c>
      <c r="D854" s="16" t="str">
        <f>IFERROR(__xludf.DUMMYFUNCTION("IF(A854="""","""",
SPARKLINE(
INDEX(
GOOGLEFINANCE(""IDX:""&amp;A854,""close"",TODAY()-365,TODAY()),
,2
),
{""linewidth"",1}
))
"),"#N/A")</f>
        <v>#N/A</v>
      </c>
      <c r="E854" s="26"/>
      <c r="F854" s="26"/>
      <c r="G854" s="24">
        <f t="shared" si="7"/>
        <v>0</v>
      </c>
      <c r="H854" s="19">
        <f>VLOOKUP(A854,Metrik!$C$2:$Y$959,8,0)</f>
        <v>4.1</v>
      </c>
      <c r="I854" s="20">
        <f>VLOOKUP(A854,Metrik!$C$2:$Y$959,9,0)</f>
        <v>0.43</v>
      </c>
      <c r="J854" s="20">
        <f>VLOOKUP(A854,Metrik!$C$2:$Y$959,10,0)</f>
        <v>10.6</v>
      </c>
      <c r="K854" s="20">
        <f>VLOOKUP(A854,Metrik!$C$2:$Y$959,11,0)</f>
        <v>8.2</v>
      </c>
      <c r="L854" s="20">
        <f>VLOOKUP(A854,Metrik!$C$2:$Y$959,12,0)</f>
        <v>0.3</v>
      </c>
      <c r="M854" s="20">
        <f>VLOOKUP(A854,Metrik!$C$2:$Y$959,19,0)</f>
        <v>5</v>
      </c>
      <c r="N854" s="21"/>
      <c r="O854" s="21"/>
      <c r="P854" s="21"/>
      <c r="Q854" s="21"/>
      <c r="R854" s="21"/>
      <c r="S854" s="21"/>
      <c r="T854" s="21"/>
      <c r="U854" s="22">
        <f>IFERROR(__xludf.DUMMYFUNCTION("IFERROR(GOOGLEFINANCE(A854,""closeyest""),"""")"),500.0)</f>
        <v>500</v>
      </c>
      <c r="V854" s="23">
        <f>IFERROR(__xludf.DUMMYFUNCTION("IFERROR(GOOGLEFINANCE(A854,""changepct""),"""")"),3.0)</f>
        <v>3</v>
      </c>
      <c r="W854" s="22">
        <f>IFERROR(__xludf.DUMMYFUNCTION("IFERROR(GOOGLEFINANCE(A854,""priceopen""),"""")"),498.0)</f>
        <v>498</v>
      </c>
      <c r="X854" s="22">
        <f>IFERROR(__xludf.DUMMYFUNCTION("IFERROR(GOOGLEFINANCE(A854,""high""),"""")"),520.0)</f>
        <v>520</v>
      </c>
      <c r="Y854" s="22">
        <f>IFERROR(__xludf.DUMMYFUNCTION("IFERROR(GOOGLEFINANCE(A854,""low""),"""")"),494.0)</f>
        <v>494</v>
      </c>
      <c r="Z854" s="22">
        <f>IFERROR(__xludf.DUMMYFUNCTION("IFERROR(GOOGLEFINANCE(A854,""volume""),"""")"),30500.0)</f>
        <v>30500</v>
      </c>
      <c r="AA854" s="24" t="str">
        <f>VLOOKUP(A854,Metrik!$C$2:$Y$959,5,0)</f>
        <v>Electrical</v>
      </c>
      <c r="AB854" s="24" t="str">
        <f>VLOOKUP(A854,Metrik!$C$2:$Y$959,3,0)</f>
        <v>Industrials</v>
      </c>
    </row>
    <row r="855">
      <c r="A855" s="14" t="s">
        <v>475</v>
      </c>
      <c r="B855" s="14" t="str">
        <f t="array" ref="B855">VLOOKUP(A855,{Metrik!$C$2:$C$998,Metrik!$B$2:$B$998},2,0)</f>
        <v>Ikapharmindo Putramas Tbk.</v>
      </c>
      <c r="C855" s="15">
        <f>IFERROR(__xludf.DUMMYFUNCTION("GOOGLEFINANCE(""IDX:""&amp;A855,""price"")"),181.0)</f>
        <v>181</v>
      </c>
      <c r="D855" s="16" t="str">
        <f>IFERROR(__xludf.DUMMYFUNCTION("IF(A855="""","""",
SPARKLINE(
INDEX(
GOOGLEFINANCE(""IDX:""&amp;A855,""close"",TODAY()-365,TODAY()),
,2
),
{""linewidth"",1}
))
"),"#N/A")</f>
        <v>#N/A</v>
      </c>
      <c r="E855" s="26"/>
      <c r="F855" s="26"/>
      <c r="G855" s="24">
        <f t="shared" si="7"/>
        <v>0</v>
      </c>
      <c r="H855" s="19">
        <f>VLOOKUP(A855,Metrik!$C$2:$Y$959,8,0)</f>
        <v>-11.8</v>
      </c>
      <c r="I855" s="20">
        <f>VLOOKUP(A855,Metrik!$C$2:$Y$959,9,0)</f>
        <v>1.4</v>
      </c>
      <c r="J855" s="20">
        <f>VLOOKUP(A855,Metrik!$C$2:$Y$959,10,0)</f>
        <v>-12.1</v>
      </c>
      <c r="K855" s="20">
        <f>VLOOKUP(A855,Metrik!$C$2:$Y$959,11,0)</f>
        <v>-5.6</v>
      </c>
      <c r="L855" s="20">
        <f>VLOOKUP(A855,Metrik!$C$2:$Y$959,12,0)</f>
        <v>1.2</v>
      </c>
      <c r="M855" s="20">
        <f>VLOOKUP(A855,Metrik!$C$2:$Y$959,19,0)</f>
        <v>-25.5</v>
      </c>
      <c r="N855" s="21"/>
      <c r="O855" s="21"/>
      <c r="P855" s="21"/>
      <c r="Q855" s="21"/>
      <c r="R855" s="21"/>
      <c r="S855" s="21"/>
      <c r="T855" s="21"/>
      <c r="U855" s="22">
        <f>IFERROR(__xludf.DUMMYFUNCTION("IFERROR(GOOGLEFINANCE(A855,""closeyest""),"""")"),175.0)</f>
        <v>175</v>
      </c>
      <c r="V855" s="23">
        <f>IFERROR(__xludf.DUMMYFUNCTION("IFERROR(GOOGLEFINANCE(A855,""changepct""),"""")"),3.43)</f>
        <v>3.43</v>
      </c>
      <c r="W855" s="22">
        <f>IFERROR(__xludf.DUMMYFUNCTION("IFERROR(GOOGLEFINANCE(A855,""priceopen""),"""")"),175.0)</f>
        <v>175</v>
      </c>
      <c r="X855" s="22">
        <f>IFERROR(__xludf.DUMMYFUNCTION("IFERROR(GOOGLEFINANCE(A855,""high""),"""")"),181.0)</f>
        <v>181</v>
      </c>
      <c r="Y855" s="22">
        <f>IFERROR(__xludf.DUMMYFUNCTION("IFERROR(GOOGLEFINANCE(A855,""low""),"""")"),172.0)</f>
        <v>172</v>
      </c>
      <c r="Z855" s="22">
        <f>IFERROR(__xludf.DUMMYFUNCTION("IFERROR(GOOGLEFINANCE(A855,""volume""),"""")"),27600.0)</f>
        <v>27600</v>
      </c>
      <c r="AA855" s="24" t="str">
        <f>VLOOKUP(A855,Metrik!$C$2:$Y$959,5,0)</f>
        <v>Pharmaceuticals</v>
      </c>
      <c r="AB855" s="24" t="str">
        <f>VLOOKUP(A855,Metrik!$C$2:$Y$959,3,0)</f>
        <v>Healthcare</v>
      </c>
    </row>
    <row r="856">
      <c r="A856" s="14" t="s">
        <v>476</v>
      </c>
      <c r="B856" s="14" t="str">
        <f t="array" ref="B856">VLOOKUP(A856,{Metrik!$C$2:$C$998,Metrik!$B$2:$B$998},2,0)</f>
        <v>Indomobil Sukses Internasional Tbk</v>
      </c>
      <c r="C856" s="15">
        <f>IFERROR(__xludf.DUMMYFUNCTION("GOOGLEFINANCE(""IDX:""&amp;A856,""price"")"),885.0)</f>
        <v>885</v>
      </c>
      <c r="D856" s="16" t="str">
        <f>IFERROR(__xludf.DUMMYFUNCTION("IF(A856="""","""",
SPARKLINE(
INDEX(
GOOGLEFINANCE(""IDX:""&amp;A856,""close"",TODAY()-365,TODAY()),
,2
),
{""linewidth"",1}
))
"),"#N/A")</f>
        <v>#N/A</v>
      </c>
      <c r="E856" s="26"/>
      <c r="F856" s="26"/>
      <c r="G856" s="24">
        <f t="shared" si="7"/>
        <v>0</v>
      </c>
      <c r="H856" s="19">
        <f>VLOOKUP(A856,Metrik!$C$2:$Y$959,8,0)</f>
        <v>28.7</v>
      </c>
      <c r="I856" s="20">
        <f>VLOOKUP(A856,Metrik!$C$2:$Y$959,9,0)</f>
        <v>0.23</v>
      </c>
      <c r="J856" s="20">
        <f>VLOOKUP(A856,Metrik!$C$2:$Y$959,10,0)</f>
        <v>0.79</v>
      </c>
      <c r="K856" s="20">
        <f>VLOOKUP(A856,Metrik!$C$2:$Y$959,11,0)</f>
        <v>0.16</v>
      </c>
      <c r="L856" s="20">
        <f>VLOOKUP(A856,Metrik!$C$2:$Y$959,12,0)</f>
        <v>4</v>
      </c>
      <c r="M856" s="20">
        <f>VLOOKUP(A856,Metrik!$C$2:$Y$959,19,0)</f>
        <v>1.5</v>
      </c>
      <c r="N856" s="21"/>
      <c r="O856" s="21"/>
      <c r="P856" s="21"/>
      <c r="Q856" s="21"/>
      <c r="R856" s="21"/>
      <c r="S856" s="21"/>
      <c r="T856" s="21"/>
      <c r="U856" s="22">
        <f>IFERROR(__xludf.DUMMYFUNCTION("IFERROR(GOOGLEFINANCE(A856,""closeyest""),"""")"),850.0)</f>
        <v>850</v>
      </c>
      <c r="V856" s="23">
        <f>IFERROR(__xludf.DUMMYFUNCTION("IFERROR(GOOGLEFINANCE(A856,""changepct""),"""")"),4.12)</f>
        <v>4.12</v>
      </c>
      <c r="W856" s="22">
        <f>IFERROR(__xludf.DUMMYFUNCTION("IFERROR(GOOGLEFINANCE(A856,""priceopen""),"""")"),850.0)</f>
        <v>850</v>
      </c>
      <c r="X856" s="22">
        <f>IFERROR(__xludf.DUMMYFUNCTION("IFERROR(GOOGLEFINANCE(A856,""high""),"""")"),900.0)</f>
        <v>900</v>
      </c>
      <c r="Y856" s="22">
        <f>IFERROR(__xludf.DUMMYFUNCTION("IFERROR(GOOGLEFINANCE(A856,""low""),"""")"),825.0)</f>
        <v>825</v>
      </c>
      <c r="Z856" s="22">
        <f>IFERROR(__xludf.DUMMYFUNCTION("IFERROR(GOOGLEFINANCE(A856,""volume""),"""")"),785500.0)</f>
        <v>785500</v>
      </c>
      <c r="AA856" s="24" t="str">
        <f>VLOOKUP(A856,Metrik!$C$2:$Y$959,5,0)</f>
        <v>Specialty Retail</v>
      </c>
      <c r="AB856" s="24" t="str">
        <f>VLOOKUP(A856,Metrik!$C$2:$Y$959,3,0)</f>
        <v>Consumer Cyclicals</v>
      </c>
    </row>
    <row r="857">
      <c r="A857" s="14" t="s">
        <v>477</v>
      </c>
      <c r="B857" s="14" t="str">
        <f t="array" ref="B857">VLOOKUP(A857,{Metrik!$C$2:$C$998,Metrik!$B$2:$B$998},2,0)</f>
        <v>Indomobil Multi Jasa Tbk.</v>
      </c>
      <c r="C857" s="15">
        <f>IFERROR(__xludf.DUMMYFUNCTION("GOOGLEFINANCE(""IDX:""&amp;A857,""price"")"),140.0)</f>
        <v>140</v>
      </c>
      <c r="D857" s="16" t="str">
        <f>IFERROR(__xludf.DUMMYFUNCTION("IF(A857="""","""",
SPARKLINE(
INDEX(
GOOGLEFINANCE(""IDX:""&amp;A857,""close"",TODAY()-365,TODAY()),
,2
),
{""linewidth"",1}
))
"),"#N/A")</f>
        <v>#N/A</v>
      </c>
      <c r="E857" s="26"/>
      <c r="F857" s="26"/>
      <c r="G857" s="24">
        <f t="shared" si="7"/>
        <v>0</v>
      </c>
      <c r="H857" s="19">
        <f>VLOOKUP(A857,Metrik!$C$2:$Y$959,8,0)</f>
        <v>10.4</v>
      </c>
      <c r="I857" s="20">
        <f>VLOOKUP(A857,Metrik!$C$2:$Y$959,9,0)</f>
        <v>0.31</v>
      </c>
      <c r="J857" s="20">
        <f>VLOOKUP(A857,Metrik!$C$2:$Y$959,10,0)</f>
        <v>3</v>
      </c>
      <c r="K857" s="20">
        <f>VLOOKUP(A857,Metrik!$C$2:$Y$959,11,0)</f>
        <v>0.48</v>
      </c>
      <c r="L857" s="20">
        <f>VLOOKUP(A857,Metrik!$C$2:$Y$959,12,0)</f>
        <v>5.3</v>
      </c>
      <c r="M857" s="20">
        <f>VLOOKUP(A857,Metrik!$C$2:$Y$959,19,0)</f>
        <v>9.8</v>
      </c>
      <c r="N857" s="21"/>
      <c r="O857" s="21"/>
      <c r="P857" s="21"/>
      <c r="Q857" s="21"/>
      <c r="R857" s="21"/>
      <c r="S857" s="21"/>
      <c r="T857" s="21"/>
      <c r="U857" s="22">
        <f>IFERROR(__xludf.DUMMYFUNCTION("IFERROR(GOOGLEFINANCE(A857,""closeyest""),"""")"),135.0)</f>
        <v>135</v>
      </c>
      <c r="V857" s="23">
        <f>IFERROR(__xludf.DUMMYFUNCTION("IFERROR(GOOGLEFINANCE(A857,""changepct""),"""")"),3.7)</f>
        <v>3.7</v>
      </c>
      <c r="W857" s="22" t="str">
        <f>IFERROR(__xludf.DUMMYFUNCTION("IFERROR(GOOGLEFINANCE(A857,""priceopen""),"""")"),"")</f>
        <v/>
      </c>
      <c r="X857" s="22">
        <f>IFERROR(__xludf.DUMMYFUNCTION("IFERROR(GOOGLEFINANCE(A857,""high""),"""")"),144.0)</f>
        <v>144</v>
      </c>
      <c r="Y857" s="22" t="str">
        <f>IFERROR(__xludf.DUMMYFUNCTION("IFERROR(GOOGLEFINANCE(A857,""low""),"""")"),"")</f>
        <v/>
      </c>
      <c r="Z857" s="22">
        <f>IFERROR(__xludf.DUMMYFUNCTION("IFERROR(GOOGLEFINANCE(A857,""volume""),"""")"),3619900.0)</f>
        <v>3619900</v>
      </c>
      <c r="AA857" s="24" t="str">
        <f>VLOOKUP(A857,Metrik!$C$2:$Y$959,5,0)</f>
        <v>Passenger Land Transportation</v>
      </c>
      <c r="AB857" s="24" t="str">
        <f>VLOOKUP(A857,Metrik!$C$2:$Y$959,3,0)</f>
        <v>Transportation &amp; Logistic</v>
      </c>
    </row>
    <row r="858">
      <c r="A858" s="14" t="s">
        <v>478</v>
      </c>
      <c r="B858" s="14" t="str">
        <f t="array" ref="B858">VLOOKUP(A858,{Metrik!$C$2:$C$998,Metrik!$B$2:$B$998},2,0)</f>
        <v>Impack Pratama Industri Tbk.</v>
      </c>
      <c r="C858" s="15">
        <f>IFERROR(__xludf.DUMMYFUNCTION("GOOGLEFINANCE(""IDX:""&amp;A858,""price"")"),1665.0)</f>
        <v>1665</v>
      </c>
      <c r="D858" s="16" t="str">
        <f>IFERROR(__xludf.DUMMYFUNCTION("IF(A858="""","""",
SPARKLINE(
INDEX(
GOOGLEFINANCE(""IDX:""&amp;A858,""close"",TODAY()-365,TODAY()),
,2
),
{""linewidth"",1}
))
"),"#N/A")</f>
        <v>#N/A</v>
      </c>
      <c r="E858" s="14" t="s">
        <v>32</v>
      </c>
      <c r="F858" s="14" t="s">
        <v>29</v>
      </c>
      <c r="G858" s="24">
        <f t="shared" si="7"/>
        <v>2</v>
      </c>
      <c r="H858" s="19">
        <f>VLOOKUP(A858,Metrik!$C$2:$Y$959,8,0)</f>
        <v>150</v>
      </c>
      <c r="I858" s="20">
        <f>VLOOKUP(A858,Metrik!$C$2:$Y$959,9,0)</f>
        <v>30.9</v>
      </c>
      <c r="J858" s="20">
        <f>VLOOKUP(A858,Metrik!$C$2:$Y$959,10,0)</f>
        <v>20.7</v>
      </c>
      <c r="K858" s="20">
        <f>VLOOKUP(A858,Metrik!$C$2:$Y$959,11,0)</f>
        <v>13</v>
      </c>
      <c r="L858" s="20">
        <f>VLOOKUP(A858,Metrik!$C$2:$Y$959,12,0)</f>
        <v>0.6</v>
      </c>
      <c r="M858" s="20">
        <f>VLOOKUP(A858,Metrik!$C$2:$Y$959,19,0)</f>
        <v>57</v>
      </c>
      <c r="N858" s="21"/>
      <c r="O858" s="21"/>
      <c r="P858" s="21"/>
      <c r="Q858" s="21"/>
      <c r="R858" s="21"/>
      <c r="S858" s="21"/>
      <c r="T858" s="21"/>
      <c r="U858" s="22">
        <f>IFERROR(__xludf.DUMMYFUNCTION("IFERROR(GOOGLEFINANCE(A858,""closeyest""),"""")"),1600.0)</f>
        <v>1600</v>
      </c>
      <c r="V858" s="23">
        <f>IFERROR(__xludf.DUMMYFUNCTION("IFERROR(GOOGLEFINANCE(A858,""changepct""),"""")"),4.06)</f>
        <v>4.06</v>
      </c>
      <c r="W858" s="22">
        <f>IFERROR(__xludf.DUMMYFUNCTION("IFERROR(GOOGLEFINANCE(A858,""priceopen""),"""")"),1635.0)</f>
        <v>1635</v>
      </c>
      <c r="X858" s="22">
        <f>IFERROR(__xludf.DUMMYFUNCTION("IFERROR(GOOGLEFINANCE(A858,""high""),"""")"),1745.0)</f>
        <v>1745</v>
      </c>
      <c r="Y858" s="22">
        <f>IFERROR(__xludf.DUMMYFUNCTION("IFERROR(GOOGLEFINANCE(A858,""low""),"""")"),1610.0)</f>
        <v>1610</v>
      </c>
      <c r="Z858" s="22">
        <f>IFERROR(__xludf.DUMMYFUNCTION("IFERROR(GOOGLEFINANCE(A858,""volume""),"""")"),4.41874E7)</f>
        <v>44187400</v>
      </c>
      <c r="AA858" s="24" t="str">
        <f>VLOOKUP(A858,Metrik!$C$2:$Y$959,5,0)</f>
        <v>Building Products &amp; Fixtures</v>
      </c>
      <c r="AB858" s="24" t="str">
        <f>VLOOKUP(A858,Metrik!$C$2:$Y$959,3,0)</f>
        <v>Industrials</v>
      </c>
    </row>
    <row r="859">
      <c r="A859" s="17" t="s">
        <v>478</v>
      </c>
      <c r="B859" s="14" t="str">
        <f t="array" ref="B859">VLOOKUP(A859,{Metrik!$C$2:$C$998,Metrik!$B$2:$B$998},2,0)</f>
        <v>Impack Pratama Industri Tbk.</v>
      </c>
      <c r="C859" s="15">
        <f>IFERROR(__xludf.DUMMYFUNCTION("GOOGLEFINANCE(""IDX:""&amp;A859,""price"")"),1665.0)</f>
        <v>1665</v>
      </c>
      <c r="D859" s="16" t="str">
        <f>IFERROR(__xludf.DUMMYFUNCTION("IF(A859="""","""",
SPARKLINE(
INDEX(
GOOGLEFINANCE(""IDX:""&amp;A859,""close"",TODAY()-365,TODAY()),
,2
),
{""linewidth"",1}
))
"),"#N/A")</f>
        <v>#N/A</v>
      </c>
      <c r="E859" s="14" t="s">
        <v>39</v>
      </c>
      <c r="F859" s="25">
        <v>46356.0</v>
      </c>
      <c r="G859" s="18">
        <f t="shared" si="7"/>
        <v>2</v>
      </c>
      <c r="H859" s="19">
        <f>VLOOKUP(A859,Metrik!$C$2:$Y$959,8,0)</f>
        <v>150</v>
      </c>
      <c r="I859" s="20">
        <f>VLOOKUP(A859,Metrik!$C$2:$Y$959,9,0)</f>
        <v>30.9</v>
      </c>
      <c r="J859" s="20">
        <f>VLOOKUP(A859,Metrik!$C$2:$Y$959,10,0)</f>
        <v>20.7</v>
      </c>
      <c r="K859" s="20">
        <f>VLOOKUP(A859,Metrik!$C$2:$Y$959,11,0)</f>
        <v>13</v>
      </c>
      <c r="L859" s="20">
        <f>VLOOKUP(A859,Metrik!$C$2:$Y$959,12,0)</f>
        <v>0.6</v>
      </c>
      <c r="M859" s="20">
        <f>VLOOKUP(A859,Metrik!$C$2:$Y$959,19,0)</f>
        <v>57</v>
      </c>
      <c r="N859" s="21"/>
      <c r="O859" s="21"/>
      <c r="P859" s="21"/>
      <c r="Q859" s="21"/>
      <c r="R859" s="21"/>
      <c r="S859" s="21"/>
      <c r="T859" s="21"/>
      <c r="U859" s="22">
        <f>IFERROR(__xludf.DUMMYFUNCTION("IFERROR(GOOGLEFINANCE(A859,""closeyest""),"""")"),1600.0)</f>
        <v>1600</v>
      </c>
      <c r="V859" s="23">
        <f>IFERROR(__xludf.DUMMYFUNCTION("IFERROR(GOOGLEFINANCE(A859,""changepct""),"""")"),4.06)</f>
        <v>4.06</v>
      </c>
      <c r="W859" s="22">
        <f>IFERROR(__xludf.DUMMYFUNCTION("IFERROR(GOOGLEFINANCE(A859,""priceopen""),"""")"),1635.0)</f>
        <v>1635</v>
      </c>
      <c r="X859" s="22">
        <f>IFERROR(__xludf.DUMMYFUNCTION("IFERROR(GOOGLEFINANCE(A859,""high""),"""")"),1745.0)</f>
        <v>1745</v>
      </c>
      <c r="Y859" s="22">
        <f>IFERROR(__xludf.DUMMYFUNCTION("IFERROR(GOOGLEFINANCE(A859,""low""),"""")"),1610.0)</f>
        <v>1610</v>
      </c>
      <c r="Z859" s="22">
        <f>IFERROR(__xludf.DUMMYFUNCTION("IFERROR(GOOGLEFINANCE(A859,""volume""),"""")"),4.41874E7)</f>
        <v>44187400</v>
      </c>
      <c r="AA859" s="24" t="str">
        <f>VLOOKUP(A859,Metrik!$C$2:$Y$959,5,0)</f>
        <v>Building Products &amp; Fixtures</v>
      </c>
      <c r="AB859" s="24" t="str">
        <f>VLOOKUP(A859,Metrik!$C$2:$Y$959,3,0)</f>
        <v>Industrials</v>
      </c>
    </row>
    <row r="860">
      <c r="A860" s="14" t="s">
        <v>479</v>
      </c>
      <c r="B860" s="14" t="str">
        <f t="array" ref="B860">VLOOKUP(A860,{Metrik!$C$2:$C$998,Metrik!$B$2:$B$998},2,0)</f>
        <v>Indofarma Tbk.</v>
      </c>
      <c r="C860" s="15">
        <f>IFERROR(__xludf.DUMMYFUNCTION("GOOGLEFINANCE(""IDX:""&amp;A860,""price"")"),126.0)</f>
        <v>126</v>
      </c>
      <c r="D860" s="16" t="str">
        <f>IFERROR(__xludf.DUMMYFUNCTION("IF(A860="""","""",
SPARKLINE(
INDEX(
GOOGLEFINANCE(""IDX:""&amp;A860,""close"",TODAY()-365,TODAY()),
,2
),
{""linewidth"",1}
))
"),"#N/A")</f>
        <v>#N/A</v>
      </c>
      <c r="E860" s="26"/>
      <c r="F860" s="26"/>
      <c r="G860" s="24">
        <f t="shared" si="7"/>
        <v>0</v>
      </c>
      <c r="H860" s="19">
        <f>VLOOKUP(A860,Metrik!$C$2:$Y$959,8,0)</f>
        <v>-5</v>
      </c>
      <c r="I860" s="20">
        <f>VLOOKUP(A860,Metrik!$C$2:$Y$959,9,0)</f>
        <v>-0.55</v>
      </c>
      <c r="J860" s="20">
        <f>VLOOKUP(A860,Metrik!$C$2:$Y$959,10,0)</f>
        <v>0</v>
      </c>
      <c r="K860" s="20">
        <f>VLOOKUP(A860,Metrik!$C$2:$Y$959,11,0)</f>
        <v>-14.6</v>
      </c>
      <c r="L860" s="20">
        <f>VLOOKUP(A860,Metrik!$C$2:$Y$959,12,0)</f>
        <v>-1.8</v>
      </c>
      <c r="M860" s="20">
        <f>VLOOKUP(A860,Metrik!$C$2:$Y$959,19,0)</f>
        <v>-51.5</v>
      </c>
      <c r="N860" s="21"/>
      <c r="O860" s="21"/>
      <c r="P860" s="21"/>
      <c r="Q860" s="21"/>
      <c r="R860" s="21"/>
      <c r="S860" s="21"/>
      <c r="T860" s="21"/>
      <c r="U860" s="22">
        <f>IFERROR(__xludf.DUMMYFUNCTION("IFERROR(GOOGLEFINANCE(A860,""closeyest""),"""")"),126.0)</f>
        <v>126</v>
      </c>
      <c r="V860" s="23">
        <f>IFERROR(__xludf.DUMMYFUNCTION("IFERROR(GOOGLEFINANCE(A860,""changepct""),"""")"),0.0)</f>
        <v>0</v>
      </c>
      <c r="W860" s="22" t="str">
        <f>IFERROR(__xludf.DUMMYFUNCTION("IFERROR(GOOGLEFINANCE(A860,""priceopen""),"""")"),"")</f>
        <v/>
      </c>
      <c r="X860" s="22" t="str">
        <f>IFERROR(__xludf.DUMMYFUNCTION("IFERROR(GOOGLEFINANCE(A860,""high""),"""")"),"")</f>
        <v/>
      </c>
      <c r="Y860" s="22" t="str">
        <f>IFERROR(__xludf.DUMMYFUNCTION("IFERROR(GOOGLEFINANCE(A860,""low""),"""")"),"")</f>
        <v/>
      </c>
      <c r="Z860" s="22">
        <f>IFERROR(__xludf.DUMMYFUNCTION("IFERROR(GOOGLEFINANCE(A860,""volume""),"""")"),0.0)</f>
        <v>0</v>
      </c>
      <c r="AA860" s="24" t="str">
        <f>VLOOKUP(A860,Metrik!$C$2:$Y$959,5,0)</f>
        <v>Pharmaceuticals</v>
      </c>
      <c r="AB860" s="24" t="str">
        <f>VLOOKUP(A860,Metrik!$C$2:$Y$959,3,0)</f>
        <v>Healthcare</v>
      </c>
    </row>
    <row r="861">
      <c r="A861" s="14" t="s">
        <v>480</v>
      </c>
      <c r="B861" s="14" t="str">
        <f t="array" ref="B861">VLOOKUP(A861,{Metrik!$C$2:$C$998,Metrik!$B$2:$B$998},2,0)</f>
        <v>Indal Aluminium Industry Tbk.</v>
      </c>
      <c r="C861" s="15">
        <f>IFERROR(__xludf.DUMMYFUNCTION("GOOGLEFINANCE(""IDX:""&amp;A861,""price"")"),128.0)</f>
        <v>128</v>
      </c>
      <c r="D861" s="16" t="str">
        <f>IFERROR(__xludf.DUMMYFUNCTION("IF(A861="""","""",
SPARKLINE(
INDEX(
GOOGLEFINANCE(""IDX:""&amp;A861,""close"",TODAY()-365,TODAY()),
,2
),
{""linewidth"",1}
))
"),"#N/A")</f>
        <v>#N/A</v>
      </c>
      <c r="E861" s="26"/>
      <c r="F861" s="26"/>
      <c r="G861" s="24">
        <f t="shared" si="7"/>
        <v>0</v>
      </c>
      <c r="H861" s="19">
        <f>VLOOKUP(A861,Metrik!$C$2:$Y$959,8,0)</f>
        <v>-1</v>
      </c>
      <c r="I861" s="20">
        <f>VLOOKUP(A861,Metrik!$C$2:$Y$959,9,0)</f>
        <v>1.5</v>
      </c>
      <c r="J861" s="20">
        <f>VLOOKUP(A861,Metrik!$C$2:$Y$959,10,0)</f>
        <v>-150</v>
      </c>
      <c r="K861" s="20">
        <f>VLOOKUP(A861,Metrik!$C$2:$Y$959,11,0)</f>
        <v>-9</v>
      </c>
      <c r="L861" s="20">
        <f>VLOOKUP(A861,Metrik!$C$2:$Y$959,12,0)</f>
        <v>15.7</v>
      </c>
      <c r="M861" s="20">
        <f>VLOOKUP(A861,Metrik!$C$2:$Y$959,19,0)</f>
        <v>-59.4</v>
      </c>
      <c r="N861" s="21"/>
      <c r="O861" s="21"/>
      <c r="P861" s="21"/>
      <c r="Q861" s="21"/>
      <c r="R861" s="21"/>
      <c r="S861" s="21"/>
      <c r="T861" s="21"/>
      <c r="U861" s="22">
        <f>IFERROR(__xludf.DUMMYFUNCTION("IFERROR(GOOGLEFINANCE(A861,""closeyest""),"""")"),50.01)</f>
        <v>50.01</v>
      </c>
      <c r="V861" s="23">
        <f>IFERROR(__xludf.DUMMYFUNCTION("IFERROR(GOOGLEFINANCE(A861,""changepct""),"""")"),0.62)</f>
        <v>0.62</v>
      </c>
      <c r="W861" s="22">
        <f>IFERROR(__xludf.DUMMYFUNCTION("IFERROR(GOOGLEFINANCE(A861,""priceopen""),"""")"),49.7)</f>
        <v>49.7</v>
      </c>
      <c r="X861" s="22">
        <f>IFERROR(__xludf.DUMMYFUNCTION("IFERROR(GOOGLEFINANCE(A861,""high""),"""")"),50.61)</f>
        <v>50.61</v>
      </c>
      <c r="Y861" s="22">
        <f>IFERROR(__xludf.DUMMYFUNCTION("IFERROR(GOOGLEFINANCE(A861,""low""),"""")"),49.63)</f>
        <v>49.63</v>
      </c>
      <c r="Z861" s="22">
        <f>IFERROR(__xludf.DUMMYFUNCTION("IFERROR(GOOGLEFINANCE(A861,""volume""),"""")"),2736.0)</f>
        <v>2736</v>
      </c>
      <c r="AA861" s="24" t="str">
        <f>VLOOKUP(A861,Metrik!$C$2:$Y$959,5,0)</f>
        <v>Metals &amp; Minerals</v>
      </c>
      <c r="AB861" s="24" t="str">
        <f>VLOOKUP(A861,Metrik!$C$2:$Y$959,3,0)</f>
        <v>Basic Materials</v>
      </c>
    </row>
    <row r="862">
      <c r="A862" s="14" t="s">
        <v>481</v>
      </c>
      <c r="B862" s="14" t="str">
        <f t="array" ref="B862">VLOOKUP(A862,{Metrik!$C$2:$C$998,Metrik!$B$2:$B$998},2,0)</f>
        <v>PT Indo Komoditi Korpora Tbk</v>
      </c>
      <c r="C862" s="15">
        <f>IFERROR(__xludf.DUMMYFUNCTION("GOOGLEFINANCE(""IDX:""&amp;A862,""price"")"),50.0)</f>
        <v>50</v>
      </c>
      <c r="D862" s="16" t="str">
        <f>IFERROR(__xludf.DUMMYFUNCTION("IF(A862="""","""",
SPARKLINE(
INDEX(
GOOGLEFINANCE(""IDX:""&amp;A862,""close"",TODAY()-365,TODAY()),
,2
),
{""linewidth"",1}
))
"),"#N/A")</f>
        <v>#N/A</v>
      </c>
      <c r="E862" s="26"/>
      <c r="F862" s="26"/>
      <c r="G862" s="24">
        <f t="shared" si="7"/>
        <v>0</v>
      </c>
      <c r="H862" s="19">
        <f>VLOOKUP(A862,Metrik!$C$2:$Y$959,8,0)</f>
        <v>-85.2</v>
      </c>
      <c r="I862" s="20">
        <f>VLOOKUP(A862,Metrik!$C$2:$Y$959,9,0)</f>
        <v>0.48</v>
      </c>
      <c r="J862" s="20">
        <f>VLOOKUP(A862,Metrik!$C$2:$Y$959,10,0)</f>
        <v>-0.56</v>
      </c>
      <c r="K862" s="20">
        <f>VLOOKUP(A862,Metrik!$C$2:$Y$959,11,0)</f>
        <v>-0.2</v>
      </c>
      <c r="L862" s="20">
        <f>VLOOKUP(A862,Metrik!$C$2:$Y$959,12,0)</f>
        <v>1.8</v>
      </c>
      <c r="M862" s="20">
        <f>VLOOKUP(A862,Metrik!$C$2:$Y$959,19,0)</f>
        <v>-0.79</v>
      </c>
      <c r="N862" s="21"/>
      <c r="O862" s="21"/>
      <c r="P862" s="21"/>
      <c r="Q862" s="21"/>
      <c r="R862" s="21"/>
      <c r="S862" s="21"/>
      <c r="T862" s="21"/>
      <c r="U862" s="22">
        <f>IFERROR(__xludf.DUMMYFUNCTION("IFERROR(GOOGLEFINANCE(A862,""closeyest""),"""")"),50.0)</f>
        <v>50</v>
      </c>
      <c r="V862" s="23">
        <f>IFERROR(__xludf.DUMMYFUNCTION("IFERROR(GOOGLEFINANCE(A862,""changepct""),"""")"),0.0)</f>
        <v>0</v>
      </c>
      <c r="W862" s="22">
        <f>IFERROR(__xludf.DUMMYFUNCTION("IFERROR(GOOGLEFINANCE(A862,""priceopen""),"""")"),50.0)</f>
        <v>50</v>
      </c>
      <c r="X862" s="22">
        <f>IFERROR(__xludf.DUMMYFUNCTION("IFERROR(GOOGLEFINANCE(A862,""high""),"""")"),50.0)</f>
        <v>50</v>
      </c>
      <c r="Y862" s="22">
        <f>IFERROR(__xludf.DUMMYFUNCTION("IFERROR(GOOGLEFINANCE(A862,""low""),"""")"),50.0)</f>
        <v>50</v>
      </c>
      <c r="Z862" s="22">
        <f>IFERROR(__xludf.DUMMYFUNCTION("IFERROR(GOOGLEFINANCE(A862,""volume""),"""")"),329200.0)</f>
        <v>329200</v>
      </c>
      <c r="AA862" s="24" t="str">
        <f>VLOOKUP(A862,Metrik!$C$2:$Y$959,5,0)</f>
        <v/>
      </c>
      <c r="AB862" s="24" t="str">
        <f>VLOOKUP(A862,Metrik!$C$2:$Y$959,3,0)</f>
        <v>BASIC INDUSTRY AND CHEMICALS</v>
      </c>
    </row>
    <row r="863">
      <c r="A863" s="14" t="s">
        <v>482</v>
      </c>
      <c r="B863" s="14" t="str">
        <f t="array" ref="B863">VLOOKUP(A863,{Metrik!$C$2:$C$998,Metrik!$B$2:$B$998},2,0)</f>
        <v>Intanwijaya Internasional Tbk</v>
      </c>
      <c r="C863" s="15">
        <f>IFERROR(__xludf.DUMMYFUNCTION("GOOGLEFINANCE(""IDX:""&amp;A863,""price"")"),635.0)</f>
        <v>635</v>
      </c>
      <c r="D863" s="16" t="str">
        <f>IFERROR(__xludf.DUMMYFUNCTION("IF(A863="""","""",
SPARKLINE(
INDEX(
GOOGLEFINANCE(""IDX:""&amp;A863,""close"",TODAY()-365,TODAY()),
,2
),
{""linewidth"",1}
))
"),"#N/A")</f>
        <v>#N/A</v>
      </c>
      <c r="E863" s="26"/>
      <c r="F863" s="26"/>
      <c r="G863" s="24">
        <f t="shared" si="7"/>
        <v>0</v>
      </c>
      <c r="H863" s="19">
        <f>VLOOKUP(A863,Metrik!$C$2:$Y$959,8,0)</f>
        <v>5.1</v>
      </c>
      <c r="I863" s="20">
        <f>VLOOKUP(A863,Metrik!$C$2:$Y$959,9,0)</f>
        <v>0.28</v>
      </c>
      <c r="J863" s="20">
        <f>VLOOKUP(A863,Metrik!$C$2:$Y$959,10,0)</f>
        <v>5.6</v>
      </c>
      <c r="K863" s="20">
        <f>VLOOKUP(A863,Metrik!$C$2:$Y$959,11,0)</f>
        <v>4.8</v>
      </c>
      <c r="L863" s="20">
        <f>VLOOKUP(A863,Metrik!$C$2:$Y$959,12,0)</f>
        <v>0.17</v>
      </c>
      <c r="M863" s="20">
        <f>VLOOKUP(A863,Metrik!$C$2:$Y$959,19,0)</f>
        <v>30</v>
      </c>
      <c r="N863" s="21"/>
      <c r="O863" s="21"/>
      <c r="P863" s="21"/>
      <c r="Q863" s="21"/>
      <c r="R863" s="21"/>
      <c r="S863" s="21"/>
      <c r="T863" s="21"/>
      <c r="U863" s="22">
        <f>IFERROR(__xludf.DUMMYFUNCTION("IFERROR(GOOGLEFINANCE(A863,""closeyest""),"""")"),610.0)</f>
        <v>610</v>
      </c>
      <c r="V863" s="23">
        <f>IFERROR(__xludf.DUMMYFUNCTION("IFERROR(GOOGLEFINANCE(A863,""changepct""),"""")"),4.1)</f>
        <v>4.1</v>
      </c>
      <c r="W863" s="22">
        <f>IFERROR(__xludf.DUMMYFUNCTION("IFERROR(GOOGLEFINANCE(A863,""priceopen""),"""")"),615.0)</f>
        <v>615</v>
      </c>
      <c r="X863" s="22">
        <f>IFERROR(__xludf.DUMMYFUNCTION("IFERROR(GOOGLEFINANCE(A863,""high""),"""")"),715.0)</f>
        <v>715</v>
      </c>
      <c r="Y863" s="22">
        <f>IFERROR(__xludf.DUMMYFUNCTION("IFERROR(GOOGLEFINANCE(A863,""low""),"""")"),615.0)</f>
        <v>615</v>
      </c>
      <c r="Z863" s="22">
        <f>IFERROR(__xludf.DUMMYFUNCTION("IFERROR(GOOGLEFINANCE(A863,""volume""),"""")"),154000.0)</f>
        <v>154000</v>
      </c>
      <c r="AA863" s="24" t="str">
        <f>VLOOKUP(A863,Metrik!$C$2:$Y$959,5,0)</f>
        <v>Chemicals</v>
      </c>
      <c r="AB863" s="24" t="str">
        <f>VLOOKUP(A863,Metrik!$C$2:$Y$959,3,0)</f>
        <v>Basic Materials</v>
      </c>
    </row>
    <row r="864">
      <c r="A864" s="14" t="s">
        <v>483</v>
      </c>
      <c r="B864" s="14" t="str">
        <f t="array" ref="B864">VLOOKUP(A864,{Metrik!$C$2:$C$998,Metrik!$B$2:$B$998},2,0)</f>
        <v>Vale Indonesia Tbk.</v>
      </c>
      <c r="C864" s="15">
        <f>IFERROR(__xludf.DUMMYFUNCTION("GOOGLEFINANCE(""IDX:""&amp;A864,""price"")"),4710.0)</f>
        <v>4710</v>
      </c>
      <c r="D864" s="16" t="str">
        <f>IFERROR(__xludf.DUMMYFUNCTION("IF(A864="""","""",
SPARKLINE(
INDEX(
GOOGLEFINANCE(""IDX:""&amp;A864,""close"",TODAY()-365,TODAY()),
,2
),
{""linewidth"",1}
))
"),"#N/A")</f>
        <v>#N/A</v>
      </c>
      <c r="E864" s="14" t="s">
        <v>47</v>
      </c>
      <c r="F864" s="25">
        <v>46356.0</v>
      </c>
      <c r="G864" s="24">
        <f t="shared" si="7"/>
        <v>14</v>
      </c>
      <c r="H864" s="19">
        <f>VLOOKUP(A864,Metrik!$C$2:$Y$959,8,0)</f>
        <v>30.1</v>
      </c>
      <c r="I864" s="20">
        <f>VLOOKUP(A864,Metrik!$C$2:$Y$959,9,0)</f>
        <v>1</v>
      </c>
      <c r="J864" s="20">
        <f>VLOOKUP(A864,Metrik!$C$2:$Y$959,10,0)</f>
        <v>3.5</v>
      </c>
      <c r="K864" s="20">
        <f>VLOOKUP(A864,Metrik!$C$2:$Y$959,11,0)</f>
        <v>2.9</v>
      </c>
      <c r="L864" s="20">
        <f>VLOOKUP(A864,Metrik!$C$2:$Y$959,12,0)</f>
        <v>0.19</v>
      </c>
      <c r="M864" s="20">
        <f>VLOOKUP(A864,Metrik!$C$2:$Y$959,19,0)</f>
        <v>38.6</v>
      </c>
      <c r="N864" s="21"/>
      <c r="O864" s="21"/>
      <c r="P864" s="21"/>
      <c r="Q864" s="21"/>
      <c r="R864" s="21"/>
      <c r="S864" s="21"/>
      <c r="T864" s="21"/>
      <c r="U864" s="22">
        <f>IFERROR(__xludf.DUMMYFUNCTION("IFERROR(GOOGLEFINANCE(A864,""closeyest""),"""")"),57.53)</f>
        <v>57.53</v>
      </c>
      <c r="V864" s="23">
        <f>IFERROR(__xludf.DUMMYFUNCTION("IFERROR(GOOGLEFINANCE(A864,""changepct""),"""")"),0.26)</f>
        <v>0.26</v>
      </c>
      <c r="W864" s="22">
        <f>IFERROR(__xludf.DUMMYFUNCTION("IFERROR(GOOGLEFINANCE(A864,""priceopen""),"""")"),57.97)</f>
        <v>57.97</v>
      </c>
      <c r="X864" s="22">
        <f>IFERROR(__xludf.DUMMYFUNCTION("IFERROR(GOOGLEFINANCE(A864,""high""),"""")"),58.06)</f>
        <v>58.06</v>
      </c>
      <c r="Y864" s="22">
        <f>IFERROR(__xludf.DUMMYFUNCTION("IFERROR(GOOGLEFINANCE(A864,""low""),"""")"),57.68)</f>
        <v>57.68</v>
      </c>
      <c r="Z864" s="22">
        <f>IFERROR(__xludf.DUMMYFUNCTION("IFERROR(GOOGLEFINANCE(A864,""volume""),"""")"),5034.0)</f>
        <v>5034</v>
      </c>
      <c r="AA864" s="24" t="str">
        <f>VLOOKUP(A864,Metrik!$C$2:$Y$959,5,0)</f>
        <v>Metals &amp; Minerals</v>
      </c>
      <c r="AB864" s="24" t="str">
        <f>VLOOKUP(A864,Metrik!$C$2:$Y$959,3,0)</f>
        <v>Basic Materials</v>
      </c>
    </row>
    <row r="865">
      <c r="A865" s="14" t="s">
        <v>483</v>
      </c>
      <c r="B865" s="14" t="str">
        <f t="array" ref="B865">VLOOKUP(A865,{Metrik!$C$2:$C$998,Metrik!$B$2:$B$998},2,0)</f>
        <v>Vale Indonesia Tbk.</v>
      </c>
      <c r="C865" s="15">
        <f>IFERROR(__xludf.DUMMYFUNCTION("GOOGLEFINANCE(""IDX:""&amp;A865,""price"")"),4710.0)</f>
        <v>4710</v>
      </c>
      <c r="D865" s="16" t="str">
        <f>IFERROR(__xludf.DUMMYFUNCTION("IF(A865="""","""",
SPARKLINE(
INDEX(
GOOGLEFINANCE(""IDX:""&amp;A865,""close"",TODAY()-365,TODAY()),
,2
),
{""linewidth"",1}
))
"),"#N/A")</f>
        <v>#N/A</v>
      </c>
      <c r="E865" s="14" t="s">
        <v>55</v>
      </c>
      <c r="F865" s="25">
        <v>46356.0</v>
      </c>
      <c r="G865" s="24">
        <f t="shared" si="7"/>
        <v>14</v>
      </c>
      <c r="H865" s="19">
        <f>VLOOKUP(A865,Metrik!$C$2:$Y$959,8,0)</f>
        <v>30.1</v>
      </c>
      <c r="I865" s="20">
        <f>VLOOKUP(A865,Metrik!$C$2:$Y$959,9,0)</f>
        <v>1</v>
      </c>
      <c r="J865" s="20">
        <f>VLOOKUP(A865,Metrik!$C$2:$Y$959,10,0)</f>
        <v>3.5</v>
      </c>
      <c r="K865" s="20">
        <f>VLOOKUP(A865,Metrik!$C$2:$Y$959,11,0)</f>
        <v>2.9</v>
      </c>
      <c r="L865" s="20">
        <f>VLOOKUP(A865,Metrik!$C$2:$Y$959,12,0)</f>
        <v>0.19</v>
      </c>
      <c r="M865" s="20">
        <f>VLOOKUP(A865,Metrik!$C$2:$Y$959,19,0)</f>
        <v>38.6</v>
      </c>
      <c r="N865" s="21"/>
      <c r="O865" s="21"/>
      <c r="P865" s="21"/>
      <c r="Q865" s="21"/>
      <c r="R865" s="21"/>
      <c r="S865" s="21"/>
      <c r="T865" s="21"/>
      <c r="U865" s="22">
        <f>IFERROR(__xludf.DUMMYFUNCTION("IFERROR(GOOGLEFINANCE(A865,""closeyest""),"""")"),57.53)</f>
        <v>57.53</v>
      </c>
      <c r="V865" s="23">
        <f>IFERROR(__xludf.DUMMYFUNCTION("IFERROR(GOOGLEFINANCE(A865,""changepct""),"""")"),0.26)</f>
        <v>0.26</v>
      </c>
      <c r="W865" s="22">
        <f>IFERROR(__xludf.DUMMYFUNCTION("IFERROR(GOOGLEFINANCE(A865,""priceopen""),"""")"),57.97)</f>
        <v>57.97</v>
      </c>
      <c r="X865" s="22">
        <f>IFERROR(__xludf.DUMMYFUNCTION("IFERROR(GOOGLEFINANCE(A865,""high""),"""")"),58.06)</f>
        <v>58.06</v>
      </c>
      <c r="Y865" s="22">
        <f>IFERROR(__xludf.DUMMYFUNCTION("IFERROR(GOOGLEFINANCE(A865,""low""),"""")"),57.68)</f>
        <v>57.68</v>
      </c>
      <c r="Z865" s="22">
        <f>IFERROR(__xludf.DUMMYFUNCTION("IFERROR(GOOGLEFINANCE(A865,""volume""),"""")"),5034.0)</f>
        <v>5034</v>
      </c>
      <c r="AA865" s="24" t="str">
        <f>VLOOKUP(A865,Metrik!$C$2:$Y$959,5,0)</f>
        <v>Metals &amp; Minerals</v>
      </c>
      <c r="AB865" s="24" t="str">
        <f>VLOOKUP(A865,Metrik!$C$2:$Y$959,3,0)</f>
        <v>Basic Materials</v>
      </c>
    </row>
    <row r="866">
      <c r="A866" s="17" t="s">
        <v>483</v>
      </c>
      <c r="B866" s="14" t="str">
        <f t="array" ref="B866">VLOOKUP(A866,{Metrik!$C$2:$C$998,Metrik!$B$2:$B$998},2,0)</f>
        <v>Vale Indonesia Tbk.</v>
      </c>
      <c r="C866" s="15">
        <f>IFERROR(__xludf.DUMMYFUNCTION("GOOGLEFINANCE(""IDX:""&amp;A866,""price"")"),4710.0)</f>
        <v>4710</v>
      </c>
      <c r="D866" s="16" t="str">
        <f>IFERROR(__xludf.DUMMYFUNCTION("IF(A866="""","""",
SPARKLINE(
INDEX(
GOOGLEFINANCE(""IDX:""&amp;A866,""close"",TODAY()-365,TODAY()),
,2
),
{""linewidth"",1}
))
"),"#N/A")</f>
        <v>#N/A</v>
      </c>
      <c r="E866" s="14" t="s">
        <v>50</v>
      </c>
      <c r="F866" s="17" t="s">
        <v>51</v>
      </c>
      <c r="G866" s="24">
        <f t="shared" si="7"/>
        <v>14</v>
      </c>
      <c r="H866" s="19">
        <f>VLOOKUP(A866,Metrik!$C$2:$Y$959,8,0)</f>
        <v>30.1</v>
      </c>
      <c r="I866" s="20">
        <f>VLOOKUP(A866,Metrik!$C$2:$Y$959,9,0)</f>
        <v>1</v>
      </c>
      <c r="J866" s="20">
        <f>VLOOKUP(A866,Metrik!$C$2:$Y$959,10,0)</f>
        <v>3.5</v>
      </c>
      <c r="K866" s="20">
        <f>VLOOKUP(A866,Metrik!$C$2:$Y$959,11,0)</f>
        <v>2.9</v>
      </c>
      <c r="L866" s="20">
        <f>VLOOKUP(A866,Metrik!$C$2:$Y$959,12,0)</f>
        <v>0.19</v>
      </c>
      <c r="M866" s="20">
        <f>VLOOKUP(A866,Metrik!$C$2:$Y$959,19,0)</f>
        <v>38.6</v>
      </c>
      <c r="N866" s="21"/>
      <c r="O866" s="21"/>
      <c r="P866" s="21"/>
      <c r="Q866" s="21"/>
      <c r="R866" s="21"/>
      <c r="S866" s="21"/>
      <c r="T866" s="21"/>
      <c r="U866" s="22">
        <f>IFERROR(__xludf.DUMMYFUNCTION("IFERROR(GOOGLEFINANCE(A866,""closeyest""),"""")"),57.53)</f>
        <v>57.53</v>
      </c>
      <c r="V866" s="23">
        <f>IFERROR(__xludf.DUMMYFUNCTION("IFERROR(GOOGLEFINANCE(A866,""changepct""),"""")"),0.26)</f>
        <v>0.26</v>
      </c>
      <c r="W866" s="22">
        <f>IFERROR(__xludf.DUMMYFUNCTION("IFERROR(GOOGLEFINANCE(A866,""priceopen""),"""")"),57.97)</f>
        <v>57.97</v>
      </c>
      <c r="X866" s="22">
        <f>IFERROR(__xludf.DUMMYFUNCTION("IFERROR(GOOGLEFINANCE(A866,""high""),"""")"),58.06)</f>
        <v>58.06</v>
      </c>
      <c r="Y866" s="22">
        <f>IFERROR(__xludf.DUMMYFUNCTION("IFERROR(GOOGLEFINANCE(A866,""low""),"""")"),57.68)</f>
        <v>57.68</v>
      </c>
      <c r="Z866" s="22">
        <f>IFERROR(__xludf.DUMMYFUNCTION("IFERROR(GOOGLEFINANCE(A866,""volume""),"""")"),5034.0)</f>
        <v>5034</v>
      </c>
      <c r="AA866" s="24" t="str">
        <f>VLOOKUP(A866,Metrik!$C$2:$Y$959,5,0)</f>
        <v>Metals &amp; Minerals</v>
      </c>
      <c r="AB866" s="24" t="str">
        <f>VLOOKUP(A866,Metrik!$C$2:$Y$959,3,0)</f>
        <v>Basic Materials</v>
      </c>
    </row>
    <row r="867">
      <c r="A867" s="14" t="s">
        <v>483</v>
      </c>
      <c r="B867" s="14" t="str">
        <f t="array" ref="B867">VLOOKUP(A867,{Metrik!$C$2:$C$998,Metrik!$B$2:$B$998},2,0)</f>
        <v>Vale Indonesia Tbk.</v>
      </c>
      <c r="C867" s="15">
        <f>IFERROR(__xludf.DUMMYFUNCTION("GOOGLEFINANCE(""IDX:""&amp;A867,""price"")"),4710.0)</f>
        <v>4710</v>
      </c>
      <c r="D867" s="16" t="str">
        <f>IFERROR(__xludf.DUMMYFUNCTION("IF(A867="""","""",
SPARKLINE(
INDEX(
GOOGLEFINANCE(""IDX:""&amp;A867,""close"",TODAY()-365,TODAY()),
,2
),
{""linewidth"",1}
))
"),"#N/A")</f>
        <v>#N/A</v>
      </c>
      <c r="E867" s="14" t="s">
        <v>68</v>
      </c>
      <c r="F867" s="14" t="s">
        <v>34</v>
      </c>
      <c r="G867" s="24">
        <f t="shared" si="7"/>
        <v>14</v>
      </c>
      <c r="H867" s="19">
        <f>VLOOKUP(A867,Metrik!$C$2:$Y$959,8,0)</f>
        <v>30.1</v>
      </c>
      <c r="I867" s="20">
        <f>VLOOKUP(A867,Metrik!$C$2:$Y$959,9,0)</f>
        <v>1</v>
      </c>
      <c r="J867" s="20">
        <f>VLOOKUP(A867,Metrik!$C$2:$Y$959,10,0)</f>
        <v>3.5</v>
      </c>
      <c r="K867" s="20">
        <f>VLOOKUP(A867,Metrik!$C$2:$Y$959,11,0)</f>
        <v>2.9</v>
      </c>
      <c r="L867" s="20">
        <f>VLOOKUP(A867,Metrik!$C$2:$Y$959,12,0)</f>
        <v>0.19</v>
      </c>
      <c r="M867" s="20">
        <f>VLOOKUP(A867,Metrik!$C$2:$Y$959,19,0)</f>
        <v>38.6</v>
      </c>
      <c r="N867" s="21"/>
      <c r="O867" s="21"/>
      <c r="P867" s="21"/>
      <c r="Q867" s="21"/>
      <c r="R867" s="21"/>
      <c r="S867" s="21"/>
      <c r="T867" s="21"/>
      <c r="U867" s="22">
        <f>IFERROR(__xludf.DUMMYFUNCTION("IFERROR(GOOGLEFINANCE(A867,""closeyest""),"""")"),57.53)</f>
        <v>57.53</v>
      </c>
      <c r="V867" s="23">
        <f>IFERROR(__xludf.DUMMYFUNCTION("IFERROR(GOOGLEFINANCE(A867,""changepct""),"""")"),0.26)</f>
        <v>0.26</v>
      </c>
      <c r="W867" s="22">
        <f>IFERROR(__xludf.DUMMYFUNCTION("IFERROR(GOOGLEFINANCE(A867,""priceopen""),"""")"),57.97)</f>
        <v>57.97</v>
      </c>
      <c r="X867" s="22">
        <f>IFERROR(__xludf.DUMMYFUNCTION("IFERROR(GOOGLEFINANCE(A867,""high""),"""")"),58.06)</f>
        <v>58.06</v>
      </c>
      <c r="Y867" s="22">
        <f>IFERROR(__xludf.DUMMYFUNCTION("IFERROR(GOOGLEFINANCE(A867,""low""),"""")"),57.68)</f>
        <v>57.68</v>
      </c>
      <c r="Z867" s="22">
        <f>IFERROR(__xludf.DUMMYFUNCTION("IFERROR(GOOGLEFINANCE(A867,""volume""),"""")"),5034.0)</f>
        <v>5034</v>
      </c>
      <c r="AA867" s="24" t="str">
        <f>VLOOKUP(A867,Metrik!$C$2:$Y$959,5,0)</f>
        <v>Metals &amp; Minerals</v>
      </c>
      <c r="AB867" s="24" t="str">
        <f>VLOOKUP(A867,Metrik!$C$2:$Y$959,3,0)</f>
        <v>Basic Materials</v>
      </c>
    </row>
    <row r="868">
      <c r="A868" s="14" t="s">
        <v>483</v>
      </c>
      <c r="B868" s="14" t="str">
        <f t="array" ref="B868">VLOOKUP(A868,{Metrik!$C$2:$C$998,Metrik!$B$2:$B$998},2,0)</f>
        <v>Vale Indonesia Tbk.</v>
      </c>
      <c r="C868" s="15">
        <f>IFERROR(__xludf.DUMMYFUNCTION("GOOGLEFINANCE(""IDX:""&amp;A868,""price"")"),4710.0)</f>
        <v>4710</v>
      </c>
      <c r="D868" s="16" t="str">
        <f>IFERROR(__xludf.DUMMYFUNCTION("IF(A868="""","""",
SPARKLINE(
INDEX(
GOOGLEFINANCE(""IDX:""&amp;A868,""close"",TODAY()-365,TODAY()),
,2
),
{""linewidth"",1}
))
"),"#N/A")</f>
        <v>#N/A</v>
      </c>
      <c r="E868" s="14" t="s">
        <v>52</v>
      </c>
      <c r="F868" s="27" t="s">
        <v>53</v>
      </c>
      <c r="G868" s="24">
        <f t="shared" si="7"/>
        <v>14</v>
      </c>
      <c r="H868" s="19">
        <f>VLOOKUP(A868,Metrik!$C$2:$Y$959,8,0)</f>
        <v>30.1</v>
      </c>
      <c r="I868" s="20">
        <f>VLOOKUP(A868,Metrik!$C$2:$Y$959,9,0)</f>
        <v>1</v>
      </c>
      <c r="J868" s="20">
        <f>VLOOKUP(A868,Metrik!$C$2:$Y$959,10,0)</f>
        <v>3.5</v>
      </c>
      <c r="K868" s="20">
        <f>VLOOKUP(A868,Metrik!$C$2:$Y$959,11,0)</f>
        <v>2.9</v>
      </c>
      <c r="L868" s="20">
        <f>VLOOKUP(A868,Metrik!$C$2:$Y$959,12,0)</f>
        <v>0.19</v>
      </c>
      <c r="M868" s="20">
        <f>VLOOKUP(A868,Metrik!$C$2:$Y$959,19,0)</f>
        <v>38.6</v>
      </c>
      <c r="N868" s="21"/>
      <c r="O868" s="21"/>
      <c r="P868" s="21"/>
      <c r="Q868" s="21"/>
      <c r="R868" s="21"/>
      <c r="S868" s="21"/>
      <c r="T868" s="21"/>
      <c r="U868" s="22">
        <f>IFERROR(__xludf.DUMMYFUNCTION("IFERROR(GOOGLEFINANCE(A868,""closeyest""),"""")"),57.53)</f>
        <v>57.53</v>
      </c>
      <c r="V868" s="23">
        <f>IFERROR(__xludf.DUMMYFUNCTION("IFERROR(GOOGLEFINANCE(A868,""changepct""),"""")"),0.26)</f>
        <v>0.26</v>
      </c>
      <c r="W868" s="22">
        <f>IFERROR(__xludf.DUMMYFUNCTION("IFERROR(GOOGLEFINANCE(A868,""priceopen""),"""")"),57.97)</f>
        <v>57.97</v>
      </c>
      <c r="X868" s="22">
        <f>IFERROR(__xludf.DUMMYFUNCTION("IFERROR(GOOGLEFINANCE(A868,""high""),"""")"),58.06)</f>
        <v>58.06</v>
      </c>
      <c r="Y868" s="22">
        <f>IFERROR(__xludf.DUMMYFUNCTION("IFERROR(GOOGLEFINANCE(A868,""low""),"""")"),57.68)</f>
        <v>57.68</v>
      </c>
      <c r="Z868" s="22">
        <f>IFERROR(__xludf.DUMMYFUNCTION("IFERROR(GOOGLEFINANCE(A868,""volume""),"""")"),5034.0)</f>
        <v>5034</v>
      </c>
      <c r="AA868" s="24" t="str">
        <f>VLOOKUP(A868,Metrik!$C$2:$Y$959,5,0)</f>
        <v>Metals &amp; Minerals</v>
      </c>
      <c r="AB868" s="24" t="str">
        <f>VLOOKUP(A868,Metrik!$C$2:$Y$959,3,0)</f>
        <v>Basic Materials</v>
      </c>
    </row>
    <row r="869">
      <c r="A869" s="14" t="s">
        <v>483</v>
      </c>
      <c r="B869" s="14" t="str">
        <f t="array" ref="B869">VLOOKUP(A869,{Metrik!$C$2:$C$998,Metrik!$B$2:$B$998},2,0)</f>
        <v>Vale Indonesia Tbk.</v>
      </c>
      <c r="C869" s="15">
        <f>IFERROR(__xludf.DUMMYFUNCTION("GOOGLEFINANCE(""IDX:""&amp;A869,""price"")"),4710.0)</f>
        <v>4710</v>
      </c>
      <c r="D869" s="16" t="str">
        <f>IFERROR(__xludf.DUMMYFUNCTION("IF(A869="""","""",
SPARKLINE(
INDEX(
GOOGLEFINANCE(""IDX:""&amp;A869,""close"",TODAY()-365,TODAY()),
,2
),
{""linewidth"",1}
))
"),"#N/A")</f>
        <v>#N/A</v>
      </c>
      <c r="E869" s="14" t="s">
        <v>32</v>
      </c>
      <c r="F869" s="14" t="s">
        <v>29</v>
      </c>
      <c r="G869" s="24">
        <f t="shared" si="7"/>
        <v>14</v>
      </c>
      <c r="H869" s="19">
        <f>VLOOKUP(A869,Metrik!$C$2:$Y$959,8,0)</f>
        <v>30.1</v>
      </c>
      <c r="I869" s="20">
        <f>VLOOKUP(A869,Metrik!$C$2:$Y$959,9,0)</f>
        <v>1</v>
      </c>
      <c r="J869" s="20">
        <f>VLOOKUP(A869,Metrik!$C$2:$Y$959,10,0)</f>
        <v>3.5</v>
      </c>
      <c r="K869" s="20">
        <f>VLOOKUP(A869,Metrik!$C$2:$Y$959,11,0)</f>
        <v>2.9</v>
      </c>
      <c r="L869" s="20">
        <f>VLOOKUP(A869,Metrik!$C$2:$Y$959,12,0)</f>
        <v>0.19</v>
      </c>
      <c r="M869" s="20">
        <f>VLOOKUP(A869,Metrik!$C$2:$Y$959,19,0)</f>
        <v>38.6</v>
      </c>
      <c r="N869" s="21"/>
      <c r="O869" s="21"/>
      <c r="P869" s="21"/>
      <c r="Q869" s="21"/>
      <c r="R869" s="21"/>
      <c r="S869" s="21"/>
      <c r="T869" s="21"/>
      <c r="U869" s="22">
        <f>IFERROR(__xludf.DUMMYFUNCTION("IFERROR(GOOGLEFINANCE(A869,""closeyest""),"""")"),57.53)</f>
        <v>57.53</v>
      </c>
      <c r="V869" s="23">
        <f>IFERROR(__xludf.DUMMYFUNCTION("IFERROR(GOOGLEFINANCE(A869,""changepct""),"""")"),0.26)</f>
        <v>0.26</v>
      </c>
      <c r="W869" s="22">
        <f>IFERROR(__xludf.DUMMYFUNCTION("IFERROR(GOOGLEFINANCE(A869,""priceopen""),"""")"),57.97)</f>
        <v>57.97</v>
      </c>
      <c r="X869" s="22">
        <f>IFERROR(__xludf.DUMMYFUNCTION("IFERROR(GOOGLEFINANCE(A869,""high""),"""")"),58.06)</f>
        <v>58.06</v>
      </c>
      <c r="Y869" s="22">
        <f>IFERROR(__xludf.DUMMYFUNCTION("IFERROR(GOOGLEFINANCE(A869,""low""),"""")"),57.68)</f>
        <v>57.68</v>
      </c>
      <c r="Z869" s="22">
        <f>IFERROR(__xludf.DUMMYFUNCTION("IFERROR(GOOGLEFINANCE(A869,""volume""),"""")"),5034.0)</f>
        <v>5034</v>
      </c>
      <c r="AA869" s="24" t="str">
        <f>VLOOKUP(A869,Metrik!$C$2:$Y$959,5,0)</f>
        <v>Metals &amp; Minerals</v>
      </c>
      <c r="AB869" s="24" t="str">
        <f>VLOOKUP(A869,Metrik!$C$2:$Y$959,3,0)</f>
        <v>Basic Materials</v>
      </c>
    </row>
    <row r="870">
      <c r="A870" s="14" t="s">
        <v>483</v>
      </c>
      <c r="B870" s="14" t="str">
        <f t="array" ref="B870">VLOOKUP(A870,{Metrik!$C$2:$C$998,Metrik!$B$2:$B$998},2,0)</f>
        <v>Vale Indonesia Tbk.</v>
      </c>
      <c r="C870" s="15">
        <f>IFERROR(__xludf.DUMMYFUNCTION("GOOGLEFINANCE(""IDX:""&amp;A870,""price"")"),4710.0)</f>
        <v>4710</v>
      </c>
      <c r="D870" s="16" t="str">
        <f>IFERROR(__xludf.DUMMYFUNCTION("IF(A870="""","""",
SPARKLINE(
INDEX(
GOOGLEFINANCE(""IDX:""&amp;A870,""close"",TODAY()-365,TODAY()),
,2
),
{""linewidth"",1}
))
"),"#N/A")</f>
        <v>#N/A</v>
      </c>
      <c r="E870" s="14" t="s">
        <v>31</v>
      </c>
      <c r="F870" s="17" t="s">
        <v>29</v>
      </c>
      <c r="G870" s="24">
        <f t="shared" si="7"/>
        <v>14</v>
      </c>
      <c r="H870" s="19">
        <f>VLOOKUP(A870,Metrik!$C$2:$Y$959,8,0)</f>
        <v>30.1</v>
      </c>
      <c r="I870" s="20">
        <f>VLOOKUP(A870,Metrik!$C$2:$Y$959,9,0)</f>
        <v>1</v>
      </c>
      <c r="J870" s="20">
        <f>VLOOKUP(A870,Metrik!$C$2:$Y$959,10,0)</f>
        <v>3.5</v>
      </c>
      <c r="K870" s="20">
        <f>VLOOKUP(A870,Metrik!$C$2:$Y$959,11,0)</f>
        <v>2.9</v>
      </c>
      <c r="L870" s="20">
        <f>VLOOKUP(A870,Metrik!$C$2:$Y$959,12,0)</f>
        <v>0.19</v>
      </c>
      <c r="M870" s="20">
        <f>VLOOKUP(A870,Metrik!$C$2:$Y$959,19,0)</f>
        <v>38.6</v>
      </c>
      <c r="N870" s="21"/>
      <c r="O870" s="21"/>
      <c r="P870" s="21"/>
      <c r="Q870" s="21"/>
      <c r="R870" s="21"/>
      <c r="S870" s="21"/>
      <c r="T870" s="21"/>
      <c r="U870" s="22">
        <f>IFERROR(__xludf.DUMMYFUNCTION("IFERROR(GOOGLEFINANCE(A870,""closeyest""),"""")"),57.53)</f>
        <v>57.53</v>
      </c>
      <c r="V870" s="23">
        <f>IFERROR(__xludf.DUMMYFUNCTION("IFERROR(GOOGLEFINANCE(A870,""changepct""),"""")"),0.26)</f>
        <v>0.26</v>
      </c>
      <c r="W870" s="22">
        <f>IFERROR(__xludf.DUMMYFUNCTION("IFERROR(GOOGLEFINANCE(A870,""priceopen""),"""")"),57.97)</f>
        <v>57.97</v>
      </c>
      <c r="X870" s="22">
        <f>IFERROR(__xludf.DUMMYFUNCTION("IFERROR(GOOGLEFINANCE(A870,""high""),"""")"),58.06)</f>
        <v>58.06</v>
      </c>
      <c r="Y870" s="22">
        <f>IFERROR(__xludf.DUMMYFUNCTION("IFERROR(GOOGLEFINANCE(A870,""low""),"""")"),57.68)</f>
        <v>57.68</v>
      </c>
      <c r="Z870" s="22">
        <f>IFERROR(__xludf.DUMMYFUNCTION("IFERROR(GOOGLEFINANCE(A870,""volume""),"""")"),5034.0)</f>
        <v>5034</v>
      </c>
      <c r="AA870" s="24" t="str">
        <f>VLOOKUP(A870,Metrik!$C$2:$Y$959,5,0)</f>
        <v>Metals &amp; Minerals</v>
      </c>
      <c r="AB870" s="24" t="str">
        <f>VLOOKUP(A870,Metrik!$C$2:$Y$959,3,0)</f>
        <v>Basic Materials</v>
      </c>
    </row>
    <row r="871">
      <c r="A871" s="14" t="s">
        <v>483</v>
      </c>
      <c r="B871" s="14" t="str">
        <f t="array" ref="B871">VLOOKUP(A871,{Metrik!$C$2:$C$998,Metrik!$B$2:$B$998},2,0)</f>
        <v>Vale Indonesia Tbk.</v>
      </c>
      <c r="C871" s="15">
        <f>IFERROR(__xludf.DUMMYFUNCTION("GOOGLEFINANCE(""IDX:""&amp;A871,""price"")"),4710.0)</f>
        <v>4710</v>
      </c>
      <c r="D871" s="16" t="str">
        <f>IFERROR(__xludf.DUMMYFUNCTION("IF(A871="""","""",
SPARKLINE(
INDEX(
GOOGLEFINANCE(""IDX:""&amp;A871,""close"",TODAY()-365,TODAY()),
,2
),
{""linewidth"",1}
))
"),"#N/A")</f>
        <v>#N/A</v>
      </c>
      <c r="E871" s="14" t="s">
        <v>28</v>
      </c>
      <c r="F871" s="17" t="s">
        <v>29</v>
      </c>
      <c r="G871" s="24">
        <f t="shared" si="7"/>
        <v>14</v>
      </c>
      <c r="H871" s="19">
        <f>VLOOKUP(A871,Metrik!$C$2:$Y$959,8,0)</f>
        <v>30.1</v>
      </c>
      <c r="I871" s="20">
        <f>VLOOKUP(A871,Metrik!$C$2:$Y$959,9,0)</f>
        <v>1</v>
      </c>
      <c r="J871" s="20">
        <f>VLOOKUP(A871,Metrik!$C$2:$Y$959,10,0)</f>
        <v>3.5</v>
      </c>
      <c r="K871" s="20">
        <f>VLOOKUP(A871,Metrik!$C$2:$Y$959,11,0)</f>
        <v>2.9</v>
      </c>
      <c r="L871" s="20">
        <f>VLOOKUP(A871,Metrik!$C$2:$Y$959,12,0)</f>
        <v>0.19</v>
      </c>
      <c r="M871" s="20">
        <f>VLOOKUP(A871,Metrik!$C$2:$Y$959,19,0)</f>
        <v>38.6</v>
      </c>
      <c r="N871" s="21"/>
      <c r="O871" s="21"/>
      <c r="P871" s="21"/>
      <c r="Q871" s="21"/>
      <c r="R871" s="21"/>
      <c r="S871" s="21"/>
      <c r="T871" s="21"/>
      <c r="U871" s="22">
        <f>IFERROR(__xludf.DUMMYFUNCTION("IFERROR(GOOGLEFINANCE(A871,""closeyest""),"""")"),57.53)</f>
        <v>57.53</v>
      </c>
      <c r="V871" s="23">
        <f>IFERROR(__xludf.DUMMYFUNCTION("IFERROR(GOOGLEFINANCE(A871,""changepct""),"""")"),0.26)</f>
        <v>0.26</v>
      </c>
      <c r="W871" s="22">
        <f>IFERROR(__xludf.DUMMYFUNCTION("IFERROR(GOOGLEFINANCE(A871,""priceopen""),"""")"),57.97)</f>
        <v>57.97</v>
      </c>
      <c r="X871" s="22">
        <f>IFERROR(__xludf.DUMMYFUNCTION("IFERROR(GOOGLEFINANCE(A871,""high""),"""")"),58.06)</f>
        <v>58.06</v>
      </c>
      <c r="Y871" s="22">
        <f>IFERROR(__xludf.DUMMYFUNCTION("IFERROR(GOOGLEFINANCE(A871,""low""),"""")"),57.68)</f>
        <v>57.68</v>
      </c>
      <c r="Z871" s="22">
        <f>IFERROR(__xludf.DUMMYFUNCTION("IFERROR(GOOGLEFINANCE(A871,""volume""),"""")"),5034.0)</f>
        <v>5034</v>
      </c>
      <c r="AA871" s="24" t="str">
        <f>VLOOKUP(A871,Metrik!$C$2:$Y$959,5,0)</f>
        <v>Metals &amp; Minerals</v>
      </c>
      <c r="AB871" s="24" t="str">
        <f>VLOOKUP(A871,Metrik!$C$2:$Y$959,3,0)</f>
        <v>Basic Materials</v>
      </c>
    </row>
    <row r="872">
      <c r="A872" s="14" t="s">
        <v>483</v>
      </c>
      <c r="B872" s="14" t="str">
        <f t="array" ref="B872">VLOOKUP(A872,{Metrik!$C$2:$C$998,Metrik!$B$2:$B$998},2,0)</f>
        <v>Vale Indonesia Tbk.</v>
      </c>
      <c r="C872" s="15">
        <f>IFERROR(__xludf.DUMMYFUNCTION("GOOGLEFINANCE(""IDX:""&amp;A872,""price"")"),4710.0)</f>
        <v>4710</v>
      </c>
      <c r="D872" s="16" t="str">
        <f>IFERROR(__xludf.DUMMYFUNCTION("IF(A872="""","""",
SPARKLINE(
INDEX(
GOOGLEFINANCE(""IDX:""&amp;A872,""close"",TODAY()-365,TODAY()),
,2
),
{""linewidth"",1}
))
"),"#N/A")</f>
        <v>#N/A</v>
      </c>
      <c r="E872" s="14" t="s">
        <v>30</v>
      </c>
      <c r="F872" s="17" t="s">
        <v>29</v>
      </c>
      <c r="G872" s="24">
        <f t="shared" si="7"/>
        <v>14</v>
      </c>
      <c r="H872" s="19">
        <f>VLOOKUP(A872,Metrik!$C$2:$Y$959,8,0)</f>
        <v>30.1</v>
      </c>
      <c r="I872" s="20">
        <f>VLOOKUP(A872,Metrik!$C$2:$Y$959,9,0)</f>
        <v>1</v>
      </c>
      <c r="J872" s="20">
        <f>VLOOKUP(A872,Metrik!$C$2:$Y$959,10,0)</f>
        <v>3.5</v>
      </c>
      <c r="K872" s="20">
        <f>VLOOKUP(A872,Metrik!$C$2:$Y$959,11,0)</f>
        <v>2.9</v>
      </c>
      <c r="L872" s="20">
        <f>VLOOKUP(A872,Metrik!$C$2:$Y$959,12,0)</f>
        <v>0.19</v>
      </c>
      <c r="M872" s="20">
        <f>VLOOKUP(A872,Metrik!$C$2:$Y$959,19,0)</f>
        <v>38.6</v>
      </c>
      <c r="N872" s="21"/>
      <c r="O872" s="21"/>
      <c r="P872" s="21"/>
      <c r="Q872" s="21"/>
      <c r="R872" s="21"/>
      <c r="S872" s="21"/>
      <c r="T872" s="21"/>
      <c r="U872" s="22">
        <f>IFERROR(__xludf.DUMMYFUNCTION("IFERROR(GOOGLEFINANCE(A872,""closeyest""),"""")"),57.53)</f>
        <v>57.53</v>
      </c>
      <c r="V872" s="23">
        <f>IFERROR(__xludf.DUMMYFUNCTION("IFERROR(GOOGLEFINANCE(A872,""changepct""),"""")"),0.26)</f>
        <v>0.26</v>
      </c>
      <c r="W872" s="22">
        <f>IFERROR(__xludf.DUMMYFUNCTION("IFERROR(GOOGLEFINANCE(A872,""priceopen""),"""")"),57.97)</f>
        <v>57.97</v>
      </c>
      <c r="X872" s="22">
        <f>IFERROR(__xludf.DUMMYFUNCTION("IFERROR(GOOGLEFINANCE(A872,""high""),"""")"),58.06)</f>
        <v>58.06</v>
      </c>
      <c r="Y872" s="22">
        <f>IFERROR(__xludf.DUMMYFUNCTION("IFERROR(GOOGLEFINANCE(A872,""low""),"""")"),57.68)</f>
        <v>57.68</v>
      </c>
      <c r="Z872" s="22">
        <f>IFERROR(__xludf.DUMMYFUNCTION("IFERROR(GOOGLEFINANCE(A872,""volume""),"""")"),5034.0)</f>
        <v>5034</v>
      </c>
      <c r="AA872" s="24" t="str">
        <f>VLOOKUP(A872,Metrik!$C$2:$Y$959,5,0)</f>
        <v>Metals &amp; Minerals</v>
      </c>
      <c r="AB872" s="24" t="str">
        <f>VLOOKUP(A872,Metrik!$C$2:$Y$959,3,0)</f>
        <v>Basic Materials</v>
      </c>
    </row>
    <row r="873">
      <c r="A873" s="14" t="s">
        <v>483</v>
      </c>
      <c r="B873" s="14" t="str">
        <f t="array" ref="B873">VLOOKUP(A873,{Metrik!$C$2:$C$998,Metrik!$B$2:$B$998},2,0)</f>
        <v>Vale Indonesia Tbk.</v>
      </c>
      <c r="C873" s="15">
        <f>IFERROR(__xludf.DUMMYFUNCTION("GOOGLEFINANCE(""IDX:""&amp;A873,""price"")"),4710.0)</f>
        <v>4710</v>
      </c>
      <c r="D873" s="16" t="str">
        <f>IFERROR(__xludf.DUMMYFUNCTION("IF(A873="""","""",
SPARKLINE(
INDEX(
GOOGLEFINANCE(""IDX:""&amp;A873,""close"",TODAY()-365,TODAY()),
,2
),
{""linewidth"",1}
))
"),"#N/A")</f>
        <v>#N/A</v>
      </c>
      <c r="E873" s="14" t="s">
        <v>67</v>
      </c>
      <c r="F873" s="17" t="s">
        <v>51</v>
      </c>
      <c r="G873" s="24">
        <f t="shared" si="7"/>
        <v>14</v>
      </c>
      <c r="H873" s="19">
        <f>VLOOKUP(A873,Metrik!$C$2:$Y$959,8,0)</f>
        <v>30.1</v>
      </c>
      <c r="I873" s="20">
        <f>VLOOKUP(A873,Metrik!$C$2:$Y$959,9,0)</f>
        <v>1</v>
      </c>
      <c r="J873" s="20">
        <f>VLOOKUP(A873,Metrik!$C$2:$Y$959,10,0)</f>
        <v>3.5</v>
      </c>
      <c r="K873" s="20">
        <f>VLOOKUP(A873,Metrik!$C$2:$Y$959,11,0)</f>
        <v>2.9</v>
      </c>
      <c r="L873" s="20">
        <f>VLOOKUP(A873,Metrik!$C$2:$Y$959,12,0)</f>
        <v>0.19</v>
      </c>
      <c r="M873" s="20">
        <f>VLOOKUP(A873,Metrik!$C$2:$Y$959,19,0)</f>
        <v>38.6</v>
      </c>
      <c r="N873" s="21"/>
      <c r="O873" s="21"/>
      <c r="P873" s="21"/>
      <c r="Q873" s="21"/>
      <c r="R873" s="21"/>
      <c r="S873" s="21"/>
      <c r="T873" s="21"/>
      <c r="U873" s="22">
        <f>IFERROR(__xludf.DUMMYFUNCTION("IFERROR(GOOGLEFINANCE(A873,""closeyest""),"""")"),57.53)</f>
        <v>57.53</v>
      </c>
      <c r="V873" s="23">
        <f>IFERROR(__xludf.DUMMYFUNCTION("IFERROR(GOOGLEFINANCE(A873,""changepct""),"""")"),0.26)</f>
        <v>0.26</v>
      </c>
      <c r="W873" s="22">
        <f>IFERROR(__xludf.DUMMYFUNCTION("IFERROR(GOOGLEFINANCE(A873,""priceopen""),"""")"),57.97)</f>
        <v>57.97</v>
      </c>
      <c r="X873" s="22">
        <f>IFERROR(__xludf.DUMMYFUNCTION("IFERROR(GOOGLEFINANCE(A873,""high""),"""")"),58.06)</f>
        <v>58.06</v>
      </c>
      <c r="Y873" s="22">
        <f>IFERROR(__xludf.DUMMYFUNCTION("IFERROR(GOOGLEFINANCE(A873,""low""),"""")"),57.68)</f>
        <v>57.68</v>
      </c>
      <c r="Z873" s="22">
        <f>IFERROR(__xludf.DUMMYFUNCTION("IFERROR(GOOGLEFINANCE(A873,""volume""),"""")"),5034.0)</f>
        <v>5034</v>
      </c>
      <c r="AA873" s="24" t="str">
        <f>VLOOKUP(A873,Metrik!$C$2:$Y$959,5,0)</f>
        <v>Metals &amp; Minerals</v>
      </c>
      <c r="AB873" s="24" t="str">
        <f>VLOOKUP(A873,Metrik!$C$2:$Y$959,3,0)</f>
        <v>Basic Materials</v>
      </c>
    </row>
    <row r="874">
      <c r="A874" s="14" t="s">
        <v>483</v>
      </c>
      <c r="B874" s="14" t="str">
        <f t="array" ref="B874">VLOOKUP(A874,{Metrik!$C$2:$C$998,Metrik!$B$2:$B$998},2,0)</f>
        <v>Vale Indonesia Tbk.</v>
      </c>
      <c r="C874" s="15">
        <f>IFERROR(__xludf.DUMMYFUNCTION("GOOGLEFINANCE(""IDX:""&amp;A874,""price"")"),4710.0)</f>
        <v>4710</v>
      </c>
      <c r="D874" s="16" t="str">
        <f>IFERROR(__xludf.DUMMYFUNCTION("IF(A874="""","""",
SPARKLINE(
INDEX(
GOOGLEFINANCE(""IDX:""&amp;A874,""close"",TODAY()-365,TODAY()),
,2
),
{""linewidth"",1}
))
"),"#N/A")</f>
        <v>#N/A</v>
      </c>
      <c r="E874" s="14" t="s">
        <v>84</v>
      </c>
      <c r="F874" s="17" t="s">
        <v>51</v>
      </c>
      <c r="G874" s="24">
        <f t="shared" si="7"/>
        <v>14</v>
      </c>
      <c r="H874" s="19">
        <f>VLOOKUP(A874,Metrik!$C$2:$Y$959,8,0)</f>
        <v>30.1</v>
      </c>
      <c r="I874" s="20">
        <f>VLOOKUP(A874,Metrik!$C$2:$Y$959,9,0)</f>
        <v>1</v>
      </c>
      <c r="J874" s="20">
        <f>VLOOKUP(A874,Metrik!$C$2:$Y$959,10,0)</f>
        <v>3.5</v>
      </c>
      <c r="K874" s="20">
        <f>VLOOKUP(A874,Metrik!$C$2:$Y$959,11,0)</f>
        <v>2.9</v>
      </c>
      <c r="L874" s="20">
        <f>VLOOKUP(A874,Metrik!$C$2:$Y$959,12,0)</f>
        <v>0.19</v>
      </c>
      <c r="M874" s="20">
        <f>VLOOKUP(A874,Metrik!$C$2:$Y$959,19,0)</f>
        <v>38.6</v>
      </c>
      <c r="N874" s="21"/>
      <c r="O874" s="21"/>
      <c r="P874" s="21"/>
      <c r="Q874" s="21"/>
      <c r="R874" s="21"/>
      <c r="S874" s="21"/>
      <c r="T874" s="21"/>
      <c r="U874" s="22">
        <f>IFERROR(__xludf.DUMMYFUNCTION("IFERROR(GOOGLEFINANCE(A874,""closeyest""),"""")"),57.53)</f>
        <v>57.53</v>
      </c>
      <c r="V874" s="23">
        <f>IFERROR(__xludf.DUMMYFUNCTION("IFERROR(GOOGLEFINANCE(A874,""changepct""),"""")"),0.26)</f>
        <v>0.26</v>
      </c>
      <c r="W874" s="22">
        <f>IFERROR(__xludf.DUMMYFUNCTION("IFERROR(GOOGLEFINANCE(A874,""priceopen""),"""")"),57.97)</f>
        <v>57.97</v>
      </c>
      <c r="X874" s="22">
        <f>IFERROR(__xludf.DUMMYFUNCTION("IFERROR(GOOGLEFINANCE(A874,""high""),"""")"),58.06)</f>
        <v>58.06</v>
      </c>
      <c r="Y874" s="22">
        <f>IFERROR(__xludf.DUMMYFUNCTION("IFERROR(GOOGLEFINANCE(A874,""low""),"""")"),57.68)</f>
        <v>57.68</v>
      </c>
      <c r="Z874" s="22">
        <f>IFERROR(__xludf.DUMMYFUNCTION("IFERROR(GOOGLEFINANCE(A874,""volume""),"""")"),5034.0)</f>
        <v>5034</v>
      </c>
      <c r="AA874" s="24" t="str">
        <f>VLOOKUP(A874,Metrik!$C$2:$Y$959,5,0)</f>
        <v>Metals &amp; Minerals</v>
      </c>
      <c r="AB874" s="24" t="str">
        <f>VLOOKUP(A874,Metrik!$C$2:$Y$959,3,0)</f>
        <v>Basic Materials</v>
      </c>
    </row>
    <row r="875">
      <c r="A875" s="48" t="s">
        <v>483</v>
      </c>
      <c r="B875" s="14" t="str">
        <f t="array" ref="B875">VLOOKUP(A875,{Metrik!$C$2:$C$998,Metrik!$B$2:$B$998},2,0)</f>
        <v>Vale Indonesia Tbk.</v>
      </c>
      <c r="C875" s="15">
        <f>IFERROR(__xludf.DUMMYFUNCTION("GOOGLEFINANCE(""IDX:""&amp;A875,""price"")"),4710.0)</f>
        <v>4710</v>
      </c>
      <c r="D875" s="16" t="str">
        <f>IFERROR(__xludf.DUMMYFUNCTION("IF(A875="""","""",
SPARKLINE(
INDEX(
GOOGLEFINANCE(""IDX:""&amp;A875,""close"",TODAY()-365,TODAY()),
,2
),
{""linewidth"",1}
))
"),"#N/A")</f>
        <v>#N/A</v>
      </c>
      <c r="E875" s="17" t="s">
        <v>69</v>
      </c>
      <c r="F875" s="17" t="s">
        <v>70</v>
      </c>
      <c r="G875" s="24">
        <f t="shared" si="7"/>
        <v>14</v>
      </c>
      <c r="H875" s="19">
        <f>VLOOKUP(A875,Metrik!$C$2:$Y$959,8,0)</f>
        <v>30.1</v>
      </c>
      <c r="I875" s="20">
        <f>VLOOKUP(A875,Metrik!$C$2:$Y$959,9,0)</f>
        <v>1</v>
      </c>
      <c r="J875" s="20">
        <f>VLOOKUP(A875,Metrik!$C$2:$Y$959,10,0)</f>
        <v>3.5</v>
      </c>
      <c r="K875" s="20">
        <f>VLOOKUP(A875,Metrik!$C$2:$Y$959,11,0)</f>
        <v>2.9</v>
      </c>
      <c r="L875" s="20">
        <f>VLOOKUP(A875,Metrik!$C$2:$Y$959,12,0)</f>
        <v>0.19</v>
      </c>
      <c r="M875" s="20">
        <f>VLOOKUP(A875,Metrik!$C$2:$Y$959,19,0)</f>
        <v>38.6</v>
      </c>
      <c r="N875" s="21"/>
      <c r="O875" s="21"/>
      <c r="P875" s="21"/>
      <c r="Q875" s="21"/>
      <c r="R875" s="21"/>
      <c r="S875" s="21"/>
      <c r="T875" s="21"/>
      <c r="U875" s="22">
        <f>IFERROR(__xludf.DUMMYFUNCTION("IFERROR(GOOGLEFINANCE(A875,""closeyest""),"""")"),57.53)</f>
        <v>57.53</v>
      </c>
      <c r="V875" s="23">
        <f>IFERROR(__xludf.DUMMYFUNCTION("IFERROR(GOOGLEFINANCE(A875,""changepct""),"""")"),0.26)</f>
        <v>0.26</v>
      </c>
      <c r="W875" s="22">
        <f>IFERROR(__xludf.DUMMYFUNCTION("IFERROR(GOOGLEFINANCE(A875,""priceopen""),"""")"),57.97)</f>
        <v>57.97</v>
      </c>
      <c r="X875" s="22">
        <f>IFERROR(__xludf.DUMMYFUNCTION("IFERROR(GOOGLEFINANCE(A875,""high""),"""")"),58.06)</f>
        <v>58.06</v>
      </c>
      <c r="Y875" s="22">
        <f>IFERROR(__xludf.DUMMYFUNCTION("IFERROR(GOOGLEFINANCE(A875,""low""),"""")"),57.68)</f>
        <v>57.68</v>
      </c>
      <c r="Z875" s="22">
        <f>IFERROR(__xludf.DUMMYFUNCTION("IFERROR(GOOGLEFINANCE(A875,""volume""),"""")"),5034.0)</f>
        <v>5034</v>
      </c>
      <c r="AA875" s="24" t="str">
        <f>VLOOKUP(A875,Metrik!$C$2:$Y$959,5,0)</f>
        <v>Metals &amp; Minerals</v>
      </c>
      <c r="AB875" s="24" t="str">
        <f>VLOOKUP(A875,Metrik!$C$2:$Y$959,3,0)</f>
        <v>Basic Materials</v>
      </c>
    </row>
    <row r="876">
      <c r="A876" s="17" t="s">
        <v>483</v>
      </c>
      <c r="B876" s="14" t="str">
        <f t="array" ref="B876">VLOOKUP(A876,{Metrik!$C$2:$C$998,Metrik!$B$2:$B$998},2,0)</f>
        <v>Vale Indonesia Tbk.</v>
      </c>
      <c r="C876" s="15">
        <f>IFERROR(__xludf.DUMMYFUNCTION("GOOGLEFINANCE(""IDX:""&amp;A876,""price"")"),4710.0)</f>
        <v>4710</v>
      </c>
      <c r="D876" s="16" t="str">
        <f>IFERROR(__xludf.DUMMYFUNCTION("IF(A876="""","""",
SPARKLINE(
INDEX(
GOOGLEFINANCE(""IDX:""&amp;A876,""close"",TODAY()-365,TODAY()),
,2
),
{""linewidth"",1}
))
"),"#N/A")</f>
        <v>#N/A</v>
      </c>
      <c r="E876" s="14" t="s">
        <v>35</v>
      </c>
      <c r="F876" s="17" t="s">
        <v>36</v>
      </c>
      <c r="G876" s="38">
        <f t="shared" si="7"/>
        <v>14</v>
      </c>
      <c r="H876" s="34">
        <f>VLOOKUP(A876,Metrik!$C$2:$Y$959,8,0)</f>
        <v>30.1</v>
      </c>
      <c r="I876" s="34">
        <f>VLOOKUP(A876,Metrik!$C$2:$Y$959,9,0)</f>
        <v>1</v>
      </c>
      <c r="J876" s="34">
        <f>VLOOKUP(A876,Metrik!$C$2:$Y$959,10,0)</f>
        <v>3.5</v>
      </c>
      <c r="K876" s="34">
        <f>VLOOKUP(A876,Metrik!$C$2:$Y$959,11,0)</f>
        <v>2.9</v>
      </c>
      <c r="L876" s="34">
        <f>VLOOKUP(A876,Metrik!$C$2:$Y$959,12,0)</f>
        <v>0.19</v>
      </c>
      <c r="M876" s="34">
        <f>VLOOKUP(A876,Metrik!$C$2:$Y$959,19,0)</f>
        <v>38.6</v>
      </c>
      <c r="N876" s="26"/>
      <c r="O876" s="26"/>
      <c r="P876" s="26"/>
      <c r="Q876" s="26"/>
      <c r="R876" s="26"/>
      <c r="S876" s="26"/>
      <c r="T876" s="26"/>
      <c r="U876" s="35">
        <f>IFERROR(__xludf.DUMMYFUNCTION("IFERROR(GOOGLEFINANCE(A876,""closeyest""),"""")"),57.53)</f>
        <v>57.53</v>
      </c>
      <c r="V876" s="36">
        <f>IFERROR(__xludf.DUMMYFUNCTION("IFERROR(GOOGLEFINANCE(A876,""changepct""),"""")"),0.26)</f>
        <v>0.26</v>
      </c>
      <c r="W876" s="35">
        <f>IFERROR(__xludf.DUMMYFUNCTION("IFERROR(GOOGLEFINANCE(A876,""priceopen""),"""")"),57.97)</f>
        <v>57.97</v>
      </c>
      <c r="X876" s="35">
        <f>IFERROR(__xludf.DUMMYFUNCTION("IFERROR(GOOGLEFINANCE(A876,""high""),"""")"),58.06)</f>
        <v>58.06</v>
      </c>
      <c r="Y876" s="35">
        <f>IFERROR(__xludf.DUMMYFUNCTION("IFERROR(GOOGLEFINANCE(A876,""low""),"""")"),57.68)</f>
        <v>57.68</v>
      </c>
      <c r="Z876" s="35">
        <f>IFERROR(__xludf.DUMMYFUNCTION("IFERROR(GOOGLEFINANCE(A876,""volume""),"""")"),5034.0)</f>
        <v>5034</v>
      </c>
      <c r="AA876" s="14" t="str">
        <f>VLOOKUP(A876,Metrik!$C$2:$Y$959,5,0)</f>
        <v>Metals &amp; Minerals</v>
      </c>
      <c r="AB876" s="14" t="str">
        <f>VLOOKUP(A876,Metrik!$C$2:$Y$959,3,0)</f>
        <v>Basic Materials</v>
      </c>
    </row>
    <row r="877">
      <c r="A877" s="14" t="s">
        <v>483</v>
      </c>
      <c r="B877" s="14" t="str">
        <f t="array" ref="B877">VLOOKUP(A877,{Metrik!$C$2:$C$998,Metrik!$B$2:$B$998},2,0)</f>
        <v>Vale Indonesia Tbk.</v>
      </c>
      <c r="C877" s="15">
        <f>IFERROR(__xludf.DUMMYFUNCTION("GOOGLEFINANCE(""IDX:""&amp;A877,""price"")"),4710.0)</f>
        <v>4710</v>
      </c>
      <c r="D877" s="16" t="str">
        <f>IFERROR(__xludf.DUMMYFUNCTION("IF(A877="""","""",
SPARKLINE(
INDEX(
GOOGLEFINANCE(""IDX:""&amp;A877,""close"",TODAY()-365,TODAY()),
,2
),
{""linewidth"",1}
))
"),"#N/A")</f>
        <v>#N/A</v>
      </c>
      <c r="E877" s="14" t="s">
        <v>42</v>
      </c>
      <c r="F877" s="25">
        <v>46356.0</v>
      </c>
      <c r="G877" s="24">
        <f t="shared" si="7"/>
        <v>14</v>
      </c>
      <c r="H877" s="19">
        <f>VLOOKUP(A877,Metrik!$C$2:$Y$959,8,0)</f>
        <v>30.1</v>
      </c>
      <c r="I877" s="20">
        <f>VLOOKUP(A877,Metrik!$C$2:$Y$959,9,0)</f>
        <v>1</v>
      </c>
      <c r="J877" s="20">
        <f>VLOOKUP(A877,Metrik!$C$2:$Y$959,10,0)</f>
        <v>3.5</v>
      </c>
      <c r="K877" s="20">
        <f>VLOOKUP(A877,Metrik!$C$2:$Y$959,11,0)</f>
        <v>2.9</v>
      </c>
      <c r="L877" s="20">
        <f>VLOOKUP(A877,Metrik!$C$2:$Y$959,12,0)</f>
        <v>0.19</v>
      </c>
      <c r="M877" s="20">
        <f>VLOOKUP(A877,Metrik!$C$2:$Y$959,19,0)</f>
        <v>38.6</v>
      </c>
      <c r="N877" s="21"/>
      <c r="O877" s="21"/>
      <c r="P877" s="21"/>
      <c r="Q877" s="21"/>
      <c r="R877" s="21"/>
      <c r="S877" s="21"/>
      <c r="T877" s="21"/>
      <c r="U877" s="22">
        <f>IFERROR(__xludf.DUMMYFUNCTION("IFERROR(GOOGLEFINANCE(A877,""closeyest""),"""")"),57.53)</f>
        <v>57.53</v>
      </c>
      <c r="V877" s="23">
        <f>IFERROR(__xludf.DUMMYFUNCTION("IFERROR(GOOGLEFINANCE(A877,""changepct""),"""")"),0.26)</f>
        <v>0.26</v>
      </c>
      <c r="W877" s="22">
        <f>IFERROR(__xludf.DUMMYFUNCTION("IFERROR(GOOGLEFINANCE(A877,""priceopen""),"""")"),57.97)</f>
        <v>57.97</v>
      </c>
      <c r="X877" s="22">
        <f>IFERROR(__xludf.DUMMYFUNCTION("IFERROR(GOOGLEFINANCE(A877,""high""),"""")"),58.06)</f>
        <v>58.06</v>
      </c>
      <c r="Y877" s="22">
        <f>IFERROR(__xludf.DUMMYFUNCTION("IFERROR(GOOGLEFINANCE(A877,""low""),"""")"),57.68)</f>
        <v>57.68</v>
      </c>
      <c r="Z877" s="22">
        <f>IFERROR(__xludf.DUMMYFUNCTION("IFERROR(GOOGLEFINANCE(A877,""volume""),"""")"),5034.0)</f>
        <v>5034</v>
      </c>
      <c r="AA877" s="24" t="str">
        <f>VLOOKUP(A877,Metrik!$C$2:$Y$959,5,0)</f>
        <v>Metals &amp; Minerals</v>
      </c>
      <c r="AB877" s="24" t="str">
        <f>VLOOKUP(A877,Metrik!$C$2:$Y$959,3,0)</f>
        <v>Basic Materials</v>
      </c>
    </row>
    <row r="878">
      <c r="A878" s="14" t="s">
        <v>484</v>
      </c>
      <c r="B878" s="14" t="str">
        <f t="array" ref="B878">VLOOKUP(A878,{Metrik!$C$2:$C$998,Metrik!$B$2:$B$998},2,0)</f>
        <v>Indofood Sukses Makmur Tbk.</v>
      </c>
      <c r="C878" s="15">
        <f>IFERROR(__xludf.DUMMYFUNCTION("GOOGLEFINANCE(""IDX:""&amp;A878,""price"")"),6425.0)</f>
        <v>6425</v>
      </c>
      <c r="D878" s="16" t="str">
        <f>IFERROR(__xludf.DUMMYFUNCTION("IF(A878="""","""",
SPARKLINE(
INDEX(
GOOGLEFINANCE(""IDX:""&amp;A878,""close"",TODAY()-365,TODAY()),
,2
),
{""linewidth"",1}
))
"),"#N/A")</f>
        <v>#N/A</v>
      </c>
      <c r="E878" s="14" t="s">
        <v>47</v>
      </c>
      <c r="F878" s="25">
        <v>46356.0</v>
      </c>
      <c r="G878" s="24">
        <f t="shared" si="7"/>
        <v>18</v>
      </c>
      <c r="H878" s="19">
        <f>VLOOKUP(A878,Metrik!$C$2:$Y$959,8,0)</f>
        <v>5.6</v>
      </c>
      <c r="I878" s="20">
        <f>VLOOKUP(A878,Metrik!$C$2:$Y$959,9,0)</f>
        <v>0.48</v>
      </c>
      <c r="J878" s="20">
        <f>VLOOKUP(A878,Metrik!$C$2:$Y$959,10,0)</f>
        <v>8.7</v>
      </c>
      <c r="K878" s="20">
        <f>VLOOKUP(A878,Metrik!$C$2:$Y$959,11,0)</f>
        <v>4.8</v>
      </c>
      <c r="L878" s="20">
        <f>VLOOKUP(A878,Metrik!$C$2:$Y$959,12,0)</f>
        <v>0.8</v>
      </c>
      <c r="M878" s="20">
        <f>VLOOKUP(A878,Metrik!$C$2:$Y$959,19,0)</f>
        <v>32.2</v>
      </c>
      <c r="N878" s="21"/>
      <c r="O878" s="21"/>
      <c r="P878" s="21"/>
      <c r="Q878" s="21"/>
      <c r="R878" s="21"/>
      <c r="S878" s="21"/>
      <c r="T878" s="21"/>
      <c r="U878" s="22">
        <f>IFERROR(__xludf.DUMMYFUNCTION("IFERROR(GOOGLEFINANCE(A878,""closeyest""),"""")"),6225.0)</f>
        <v>6225</v>
      </c>
      <c r="V878" s="23">
        <f>IFERROR(__xludf.DUMMYFUNCTION("IFERROR(GOOGLEFINANCE(A878,""changepct""),"""")"),3.21)</f>
        <v>3.21</v>
      </c>
      <c r="W878" s="22">
        <f>IFERROR(__xludf.DUMMYFUNCTION("IFERROR(GOOGLEFINANCE(A878,""priceopen""),"""")"),6275.0)</f>
        <v>6275</v>
      </c>
      <c r="X878" s="22">
        <f>IFERROR(__xludf.DUMMYFUNCTION("IFERROR(GOOGLEFINANCE(A878,""high""),"""")"),6675.0)</f>
        <v>6675</v>
      </c>
      <c r="Y878" s="22">
        <f>IFERROR(__xludf.DUMMYFUNCTION("IFERROR(GOOGLEFINANCE(A878,""low""),"""")"),6275.0)</f>
        <v>6275</v>
      </c>
      <c r="Z878" s="22">
        <f>IFERROR(__xludf.DUMMYFUNCTION("IFERROR(GOOGLEFINANCE(A878,""volume""),"""")"),1.19916E7)</f>
        <v>11991600</v>
      </c>
      <c r="AA878" s="24" t="str">
        <f>VLOOKUP(A878,Metrik!$C$2:$Y$959,5,0)</f>
        <v>Processed Foods</v>
      </c>
      <c r="AB878" s="24" t="str">
        <f>VLOOKUP(A878,Metrik!$C$2:$Y$959,3,0)</f>
        <v>Consumer Non-Cyclicals</v>
      </c>
    </row>
    <row r="879">
      <c r="A879" s="14" t="s">
        <v>484</v>
      </c>
      <c r="B879" s="14" t="str">
        <f t="array" ref="B879">VLOOKUP(A879,{Metrik!$C$2:$C$998,Metrik!$B$2:$B$998},2,0)</f>
        <v>Indofood Sukses Makmur Tbk.</v>
      </c>
      <c r="C879" s="15">
        <f>IFERROR(__xludf.DUMMYFUNCTION("GOOGLEFINANCE(""IDX:""&amp;A879,""price"")"),6425.0)</f>
        <v>6425</v>
      </c>
      <c r="D879" s="16" t="str">
        <f>IFERROR(__xludf.DUMMYFUNCTION("IF(A879="""","""",
SPARKLINE(
INDEX(
GOOGLEFINANCE(""IDX:""&amp;A879,""close"",TODAY()-365,TODAY()),
,2
),
{""linewidth"",1}
))
"),"#N/A")</f>
        <v>#N/A</v>
      </c>
      <c r="E879" s="14" t="s">
        <v>65</v>
      </c>
      <c r="F879" s="25">
        <v>46356.0</v>
      </c>
      <c r="G879" s="24">
        <f t="shared" si="7"/>
        <v>18</v>
      </c>
      <c r="H879" s="19">
        <f>VLOOKUP(A879,Metrik!$C$2:$Y$959,8,0)</f>
        <v>5.6</v>
      </c>
      <c r="I879" s="20">
        <f>VLOOKUP(A879,Metrik!$C$2:$Y$959,9,0)</f>
        <v>0.48</v>
      </c>
      <c r="J879" s="20">
        <f>VLOOKUP(A879,Metrik!$C$2:$Y$959,10,0)</f>
        <v>8.7</v>
      </c>
      <c r="K879" s="20">
        <f>VLOOKUP(A879,Metrik!$C$2:$Y$959,11,0)</f>
        <v>4.8</v>
      </c>
      <c r="L879" s="20">
        <f>VLOOKUP(A879,Metrik!$C$2:$Y$959,12,0)</f>
        <v>0.8</v>
      </c>
      <c r="M879" s="20">
        <f>VLOOKUP(A879,Metrik!$C$2:$Y$959,19,0)</f>
        <v>32.2</v>
      </c>
      <c r="N879" s="21"/>
      <c r="O879" s="21"/>
      <c r="P879" s="21"/>
      <c r="Q879" s="21"/>
      <c r="R879" s="21"/>
      <c r="S879" s="21"/>
      <c r="T879" s="21"/>
      <c r="U879" s="22">
        <f>IFERROR(__xludf.DUMMYFUNCTION("IFERROR(GOOGLEFINANCE(A879,""closeyest""),"""")"),6225.0)</f>
        <v>6225</v>
      </c>
      <c r="V879" s="23">
        <f>IFERROR(__xludf.DUMMYFUNCTION("IFERROR(GOOGLEFINANCE(A879,""changepct""),"""")"),3.21)</f>
        <v>3.21</v>
      </c>
      <c r="W879" s="22">
        <f>IFERROR(__xludf.DUMMYFUNCTION("IFERROR(GOOGLEFINANCE(A879,""priceopen""),"""")"),6275.0)</f>
        <v>6275</v>
      </c>
      <c r="X879" s="22">
        <f>IFERROR(__xludf.DUMMYFUNCTION("IFERROR(GOOGLEFINANCE(A879,""high""),"""")"),6675.0)</f>
        <v>6675</v>
      </c>
      <c r="Y879" s="22">
        <f>IFERROR(__xludf.DUMMYFUNCTION("IFERROR(GOOGLEFINANCE(A879,""low""),"""")"),6275.0)</f>
        <v>6275</v>
      </c>
      <c r="Z879" s="22">
        <f>IFERROR(__xludf.DUMMYFUNCTION("IFERROR(GOOGLEFINANCE(A879,""volume""),"""")"),1.19916E7)</f>
        <v>11991600</v>
      </c>
      <c r="AA879" s="24" t="str">
        <f>VLOOKUP(A879,Metrik!$C$2:$Y$959,5,0)</f>
        <v>Processed Foods</v>
      </c>
      <c r="AB879" s="24" t="str">
        <f>VLOOKUP(A879,Metrik!$C$2:$Y$959,3,0)</f>
        <v>Consumer Non-Cyclicals</v>
      </c>
    </row>
    <row r="880">
      <c r="A880" s="14" t="s">
        <v>484</v>
      </c>
      <c r="B880" s="14" t="str">
        <f t="array" ref="B880">VLOOKUP(A880,{Metrik!$C$2:$C$998,Metrik!$B$2:$B$998},2,0)</f>
        <v>Indofood Sukses Makmur Tbk.</v>
      </c>
      <c r="C880" s="15">
        <f>IFERROR(__xludf.DUMMYFUNCTION("GOOGLEFINANCE(""IDX:""&amp;A880,""price"")"),6425.0)</f>
        <v>6425</v>
      </c>
      <c r="D880" s="16" t="str">
        <f>IFERROR(__xludf.DUMMYFUNCTION("IF(A880="""","""",
SPARKLINE(
INDEX(
GOOGLEFINANCE(""IDX:""&amp;A880,""close"",TODAY()-365,TODAY()),
,2
),
{""linewidth"",1}
))
"),"#N/A")</f>
        <v>#N/A</v>
      </c>
      <c r="E880" s="14" t="s">
        <v>55</v>
      </c>
      <c r="F880" s="25">
        <v>46356.0</v>
      </c>
      <c r="G880" s="24">
        <f t="shared" si="7"/>
        <v>18</v>
      </c>
      <c r="H880" s="19">
        <f>VLOOKUP(A880,Metrik!$C$2:$Y$959,8,0)</f>
        <v>5.6</v>
      </c>
      <c r="I880" s="20">
        <f>VLOOKUP(A880,Metrik!$C$2:$Y$959,9,0)</f>
        <v>0.48</v>
      </c>
      <c r="J880" s="20">
        <f>VLOOKUP(A880,Metrik!$C$2:$Y$959,10,0)</f>
        <v>8.7</v>
      </c>
      <c r="K880" s="20">
        <f>VLOOKUP(A880,Metrik!$C$2:$Y$959,11,0)</f>
        <v>4.8</v>
      </c>
      <c r="L880" s="20">
        <f>VLOOKUP(A880,Metrik!$C$2:$Y$959,12,0)</f>
        <v>0.8</v>
      </c>
      <c r="M880" s="20">
        <f>VLOOKUP(A880,Metrik!$C$2:$Y$959,19,0)</f>
        <v>32.2</v>
      </c>
      <c r="N880" s="21"/>
      <c r="O880" s="21"/>
      <c r="P880" s="21"/>
      <c r="Q880" s="21"/>
      <c r="R880" s="21"/>
      <c r="S880" s="21"/>
      <c r="T880" s="21"/>
      <c r="U880" s="22">
        <f>IFERROR(__xludf.DUMMYFUNCTION("IFERROR(GOOGLEFINANCE(A880,""closeyest""),"""")"),6225.0)</f>
        <v>6225</v>
      </c>
      <c r="V880" s="23">
        <f>IFERROR(__xludf.DUMMYFUNCTION("IFERROR(GOOGLEFINANCE(A880,""changepct""),"""")"),3.21)</f>
        <v>3.21</v>
      </c>
      <c r="W880" s="22">
        <f>IFERROR(__xludf.DUMMYFUNCTION("IFERROR(GOOGLEFINANCE(A880,""priceopen""),"""")"),6275.0)</f>
        <v>6275</v>
      </c>
      <c r="X880" s="22">
        <f>IFERROR(__xludf.DUMMYFUNCTION("IFERROR(GOOGLEFINANCE(A880,""high""),"""")"),6675.0)</f>
        <v>6675</v>
      </c>
      <c r="Y880" s="22">
        <f>IFERROR(__xludf.DUMMYFUNCTION("IFERROR(GOOGLEFINANCE(A880,""low""),"""")"),6275.0)</f>
        <v>6275</v>
      </c>
      <c r="Z880" s="22">
        <f>IFERROR(__xludf.DUMMYFUNCTION("IFERROR(GOOGLEFINANCE(A880,""volume""),"""")"),1.19916E7)</f>
        <v>11991600</v>
      </c>
      <c r="AA880" s="24" t="str">
        <f>VLOOKUP(A880,Metrik!$C$2:$Y$959,5,0)</f>
        <v>Processed Foods</v>
      </c>
      <c r="AB880" s="24" t="str">
        <f>VLOOKUP(A880,Metrik!$C$2:$Y$959,3,0)</f>
        <v>Consumer Non-Cyclicals</v>
      </c>
    </row>
    <row r="881">
      <c r="A881" s="14" t="s">
        <v>484</v>
      </c>
      <c r="B881" s="14" t="str">
        <f t="array" ref="B881">VLOOKUP(A881,{Metrik!$C$2:$C$998,Metrik!$B$2:$B$998},2,0)</f>
        <v>Indofood Sukses Makmur Tbk.</v>
      </c>
      <c r="C881" s="15">
        <f>IFERROR(__xludf.DUMMYFUNCTION("GOOGLEFINANCE(""IDX:""&amp;A881,""price"")"),6425.0)</f>
        <v>6425</v>
      </c>
      <c r="D881" s="16" t="str">
        <f>IFERROR(__xludf.DUMMYFUNCTION("IF(A881="""","""",
SPARKLINE(
INDEX(
GOOGLEFINANCE(""IDX:""&amp;A881,""close"",TODAY()-365,TODAY()),
,2
),
{""linewidth"",1}
))
"),"#N/A")</f>
        <v>#N/A</v>
      </c>
      <c r="E881" s="14" t="s">
        <v>33</v>
      </c>
      <c r="F881" s="14" t="s">
        <v>34</v>
      </c>
      <c r="G881" s="24">
        <f t="shared" si="7"/>
        <v>18</v>
      </c>
      <c r="H881" s="19">
        <f>VLOOKUP(A881,Metrik!$C$2:$Y$959,8,0)</f>
        <v>5.6</v>
      </c>
      <c r="I881" s="20">
        <f>VLOOKUP(A881,Metrik!$C$2:$Y$959,9,0)</f>
        <v>0.48</v>
      </c>
      <c r="J881" s="20">
        <f>VLOOKUP(A881,Metrik!$C$2:$Y$959,10,0)</f>
        <v>8.7</v>
      </c>
      <c r="K881" s="20">
        <f>VLOOKUP(A881,Metrik!$C$2:$Y$959,11,0)</f>
        <v>4.8</v>
      </c>
      <c r="L881" s="20">
        <f>VLOOKUP(A881,Metrik!$C$2:$Y$959,12,0)</f>
        <v>0.8</v>
      </c>
      <c r="M881" s="20">
        <f>VLOOKUP(A881,Metrik!$C$2:$Y$959,19,0)</f>
        <v>32.2</v>
      </c>
      <c r="N881" s="21"/>
      <c r="O881" s="21"/>
      <c r="P881" s="21"/>
      <c r="Q881" s="21"/>
      <c r="R881" s="21"/>
      <c r="S881" s="21"/>
      <c r="T881" s="21"/>
      <c r="U881" s="22">
        <f>IFERROR(__xludf.DUMMYFUNCTION("IFERROR(GOOGLEFINANCE(A881,""closeyest""),"""")"),6225.0)</f>
        <v>6225</v>
      </c>
      <c r="V881" s="23">
        <f>IFERROR(__xludf.DUMMYFUNCTION("IFERROR(GOOGLEFINANCE(A881,""changepct""),"""")"),3.21)</f>
        <v>3.21</v>
      </c>
      <c r="W881" s="22">
        <f>IFERROR(__xludf.DUMMYFUNCTION("IFERROR(GOOGLEFINANCE(A881,""priceopen""),"""")"),6275.0)</f>
        <v>6275</v>
      </c>
      <c r="X881" s="22">
        <f>IFERROR(__xludf.DUMMYFUNCTION("IFERROR(GOOGLEFINANCE(A881,""high""),"""")"),6675.0)</f>
        <v>6675</v>
      </c>
      <c r="Y881" s="22">
        <f>IFERROR(__xludf.DUMMYFUNCTION("IFERROR(GOOGLEFINANCE(A881,""low""),"""")"),6275.0)</f>
        <v>6275</v>
      </c>
      <c r="Z881" s="22">
        <f>IFERROR(__xludf.DUMMYFUNCTION("IFERROR(GOOGLEFINANCE(A881,""volume""),"""")"),1.19916E7)</f>
        <v>11991600</v>
      </c>
      <c r="AA881" s="24" t="str">
        <f>VLOOKUP(A881,Metrik!$C$2:$Y$959,5,0)</f>
        <v>Processed Foods</v>
      </c>
      <c r="AB881" s="24" t="str">
        <f>VLOOKUP(A881,Metrik!$C$2:$Y$959,3,0)</f>
        <v>Consumer Non-Cyclicals</v>
      </c>
    </row>
    <row r="882">
      <c r="A882" s="14" t="s">
        <v>484</v>
      </c>
      <c r="B882" s="14" t="str">
        <f t="array" ref="B882">VLOOKUP(A882,{Metrik!$C$2:$C$998,Metrik!$B$2:$B$998},2,0)</f>
        <v>Indofood Sukses Makmur Tbk.</v>
      </c>
      <c r="C882" s="15">
        <f>IFERROR(__xludf.DUMMYFUNCTION("GOOGLEFINANCE(""IDX:""&amp;A882,""price"")"),6425.0)</f>
        <v>6425</v>
      </c>
      <c r="D882" s="16" t="str">
        <f>IFERROR(__xludf.DUMMYFUNCTION("IF(A882="""","""",
SPARKLINE(
INDEX(
GOOGLEFINANCE(""IDX:""&amp;A882,""close"",TODAY()-365,TODAY()),
,2
),
{""linewidth"",1}
))
"),"#N/A")</f>
        <v>#N/A</v>
      </c>
      <c r="E882" s="14" t="s">
        <v>68</v>
      </c>
      <c r="F882" s="14" t="s">
        <v>34</v>
      </c>
      <c r="G882" s="24">
        <f t="shared" si="7"/>
        <v>18</v>
      </c>
      <c r="H882" s="19">
        <f>VLOOKUP(A882,Metrik!$C$2:$Y$959,8,0)</f>
        <v>5.6</v>
      </c>
      <c r="I882" s="20">
        <f>VLOOKUP(A882,Metrik!$C$2:$Y$959,9,0)</f>
        <v>0.48</v>
      </c>
      <c r="J882" s="20">
        <f>VLOOKUP(A882,Metrik!$C$2:$Y$959,10,0)</f>
        <v>8.7</v>
      </c>
      <c r="K882" s="20">
        <f>VLOOKUP(A882,Metrik!$C$2:$Y$959,11,0)</f>
        <v>4.8</v>
      </c>
      <c r="L882" s="20">
        <f>VLOOKUP(A882,Metrik!$C$2:$Y$959,12,0)</f>
        <v>0.8</v>
      </c>
      <c r="M882" s="20">
        <f>VLOOKUP(A882,Metrik!$C$2:$Y$959,19,0)</f>
        <v>32.2</v>
      </c>
      <c r="N882" s="21"/>
      <c r="O882" s="21"/>
      <c r="P882" s="21"/>
      <c r="Q882" s="21"/>
      <c r="R882" s="21"/>
      <c r="S882" s="21"/>
      <c r="T882" s="21"/>
      <c r="U882" s="22">
        <f>IFERROR(__xludf.DUMMYFUNCTION("IFERROR(GOOGLEFINANCE(A882,""closeyest""),"""")"),6225.0)</f>
        <v>6225</v>
      </c>
      <c r="V882" s="23">
        <f>IFERROR(__xludf.DUMMYFUNCTION("IFERROR(GOOGLEFINANCE(A882,""changepct""),"""")"),3.21)</f>
        <v>3.21</v>
      </c>
      <c r="W882" s="22">
        <f>IFERROR(__xludf.DUMMYFUNCTION("IFERROR(GOOGLEFINANCE(A882,""priceopen""),"""")"),6275.0)</f>
        <v>6275</v>
      </c>
      <c r="X882" s="22">
        <f>IFERROR(__xludf.DUMMYFUNCTION("IFERROR(GOOGLEFINANCE(A882,""high""),"""")"),6675.0)</f>
        <v>6675</v>
      </c>
      <c r="Y882" s="22">
        <f>IFERROR(__xludf.DUMMYFUNCTION("IFERROR(GOOGLEFINANCE(A882,""low""),"""")"),6275.0)</f>
        <v>6275</v>
      </c>
      <c r="Z882" s="22">
        <f>IFERROR(__xludf.DUMMYFUNCTION("IFERROR(GOOGLEFINANCE(A882,""volume""),"""")"),1.19916E7)</f>
        <v>11991600</v>
      </c>
      <c r="AA882" s="24" t="str">
        <f>VLOOKUP(A882,Metrik!$C$2:$Y$959,5,0)</f>
        <v>Processed Foods</v>
      </c>
      <c r="AB882" s="24" t="str">
        <f>VLOOKUP(A882,Metrik!$C$2:$Y$959,3,0)</f>
        <v>Consumer Non-Cyclicals</v>
      </c>
    </row>
    <row r="883">
      <c r="A883" s="14" t="s">
        <v>484</v>
      </c>
      <c r="B883" s="14" t="str">
        <f t="array" ref="B883">VLOOKUP(A883,{Metrik!$C$2:$C$998,Metrik!$B$2:$B$998},2,0)</f>
        <v>Indofood Sukses Makmur Tbk.</v>
      </c>
      <c r="C883" s="15">
        <f>IFERROR(__xludf.DUMMYFUNCTION("GOOGLEFINANCE(""IDX:""&amp;A883,""price"")"),6425.0)</f>
        <v>6425</v>
      </c>
      <c r="D883" s="16" t="str">
        <f>IFERROR(__xludf.DUMMYFUNCTION("IF(A883="""","""",
SPARKLINE(
INDEX(
GOOGLEFINANCE(""IDX:""&amp;A883,""close"",TODAY()-365,TODAY()),
,2
),
{""linewidth"",1}
))
"),"#N/A")</f>
        <v>#N/A</v>
      </c>
      <c r="E883" s="14" t="s">
        <v>31</v>
      </c>
      <c r="F883" s="17" t="s">
        <v>29</v>
      </c>
      <c r="G883" s="24">
        <f t="shared" si="7"/>
        <v>18</v>
      </c>
      <c r="H883" s="19">
        <f>VLOOKUP(A883,Metrik!$C$2:$Y$959,8,0)</f>
        <v>5.6</v>
      </c>
      <c r="I883" s="20">
        <f>VLOOKUP(A883,Metrik!$C$2:$Y$959,9,0)</f>
        <v>0.48</v>
      </c>
      <c r="J883" s="20">
        <f>VLOOKUP(A883,Metrik!$C$2:$Y$959,10,0)</f>
        <v>8.7</v>
      </c>
      <c r="K883" s="20">
        <f>VLOOKUP(A883,Metrik!$C$2:$Y$959,11,0)</f>
        <v>4.8</v>
      </c>
      <c r="L883" s="20">
        <f>VLOOKUP(A883,Metrik!$C$2:$Y$959,12,0)</f>
        <v>0.8</v>
      </c>
      <c r="M883" s="20">
        <f>VLOOKUP(A883,Metrik!$C$2:$Y$959,19,0)</f>
        <v>32.2</v>
      </c>
      <c r="N883" s="21"/>
      <c r="O883" s="21"/>
      <c r="P883" s="21"/>
      <c r="Q883" s="21"/>
      <c r="R883" s="21"/>
      <c r="S883" s="21"/>
      <c r="T883" s="21"/>
      <c r="U883" s="22">
        <f>IFERROR(__xludf.DUMMYFUNCTION("IFERROR(GOOGLEFINANCE(A883,""closeyest""),"""")"),6225.0)</f>
        <v>6225</v>
      </c>
      <c r="V883" s="23">
        <f>IFERROR(__xludf.DUMMYFUNCTION("IFERROR(GOOGLEFINANCE(A883,""changepct""),"""")"),3.21)</f>
        <v>3.21</v>
      </c>
      <c r="W883" s="22">
        <f>IFERROR(__xludf.DUMMYFUNCTION("IFERROR(GOOGLEFINANCE(A883,""priceopen""),"""")"),6275.0)</f>
        <v>6275</v>
      </c>
      <c r="X883" s="22">
        <f>IFERROR(__xludf.DUMMYFUNCTION("IFERROR(GOOGLEFINANCE(A883,""high""),"""")"),6675.0)</f>
        <v>6675</v>
      </c>
      <c r="Y883" s="22">
        <f>IFERROR(__xludf.DUMMYFUNCTION("IFERROR(GOOGLEFINANCE(A883,""low""),"""")"),6275.0)</f>
        <v>6275</v>
      </c>
      <c r="Z883" s="22">
        <f>IFERROR(__xludf.DUMMYFUNCTION("IFERROR(GOOGLEFINANCE(A883,""volume""),"""")"),1.19916E7)</f>
        <v>11991600</v>
      </c>
      <c r="AA883" s="24" t="str">
        <f>VLOOKUP(A883,Metrik!$C$2:$Y$959,5,0)</f>
        <v>Processed Foods</v>
      </c>
      <c r="AB883" s="24" t="str">
        <f>VLOOKUP(A883,Metrik!$C$2:$Y$959,3,0)</f>
        <v>Consumer Non-Cyclicals</v>
      </c>
    </row>
    <row r="884">
      <c r="A884" s="14" t="s">
        <v>484</v>
      </c>
      <c r="B884" s="14" t="str">
        <f t="array" ref="B884">VLOOKUP(A884,{Metrik!$C$2:$C$998,Metrik!$B$2:$B$998},2,0)</f>
        <v>Indofood Sukses Makmur Tbk.</v>
      </c>
      <c r="C884" s="15">
        <f>IFERROR(__xludf.DUMMYFUNCTION("GOOGLEFINANCE(""IDX:""&amp;A884,""price"")"),6425.0)</f>
        <v>6425</v>
      </c>
      <c r="D884" s="16" t="str">
        <f>IFERROR(__xludf.DUMMYFUNCTION("IF(A884="""","""",
SPARKLINE(
INDEX(
GOOGLEFINANCE(""IDX:""&amp;A884,""close"",TODAY()-365,TODAY()),
,2
),
{""linewidth"",1}
))
"),"#N/A")</f>
        <v>#N/A</v>
      </c>
      <c r="E884" s="14" t="s">
        <v>28</v>
      </c>
      <c r="F884" s="17" t="s">
        <v>29</v>
      </c>
      <c r="G884" s="24">
        <f t="shared" si="7"/>
        <v>18</v>
      </c>
      <c r="H884" s="19">
        <f>VLOOKUP(A884,Metrik!$C$2:$Y$959,8,0)</f>
        <v>5.6</v>
      </c>
      <c r="I884" s="20">
        <f>VLOOKUP(A884,Metrik!$C$2:$Y$959,9,0)</f>
        <v>0.48</v>
      </c>
      <c r="J884" s="20">
        <f>VLOOKUP(A884,Metrik!$C$2:$Y$959,10,0)</f>
        <v>8.7</v>
      </c>
      <c r="K884" s="20">
        <f>VLOOKUP(A884,Metrik!$C$2:$Y$959,11,0)</f>
        <v>4.8</v>
      </c>
      <c r="L884" s="20">
        <f>VLOOKUP(A884,Metrik!$C$2:$Y$959,12,0)</f>
        <v>0.8</v>
      </c>
      <c r="M884" s="20">
        <f>VLOOKUP(A884,Metrik!$C$2:$Y$959,19,0)</f>
        <v>32.2</v>
      </c>
      <c r="N884" s="21"/>
      <c r="O884" s="21"/>
      <c r="P884" s="21"/>
      <c r="Q884" s="21"/>
      <c r="R884" s="21"/>
      <c r="S884" s="21"/>
      <c r="T884" s="21"/>
      <c r="U884" s="22">
        <f>IFERROR(__xludf.DUMMYFUNCTION("IFERROR(GOOGLEFINANCE(A884,""closeyest""),"""")"),6225.0)</f>
        <v>6225</v>
      </c>
      <c r="V884" s="23">
        <f>IFERROR(__xludf.DUMMYFUNCTION("IFERROR(GOOGLEFINANCE(A884,""changepct""),"""")"),3.21)</f>
        <v>3.21</v>
      </c>
      <c r="W884" s="22">
        <f>IFERROR(__xludf.DUMMYFUNCTION("IFERROR(GOOGLEFINANCE(A884,""priceopen""),"""")"),6275.0)</f>
        <v>6275</v>
      </c>
      <c r="X884" s="22">
        <f>IFERROR(__xludf.DUMMYFUNCTION("IFERROR(GOOGLEFINANCE(A884,""high""),"""")"),6675.0)</f>
        <v>6675</v>
      </c>
      <c r="Y884" s="22">
        <f>IFERROR(__xludf.DUMMYFUNCTION("IFERROR(GOOGLEFINANCE(A884,""low""),"""")"),6275.0)</f>
        <v>6275</v>
      </c>
      <c r="Z884" s="22">
        <f>IFERROR(__xludf.DUMMYFUNCTION("IFERROR(GOOGLEFINANCE(A884,""volume""),"""")"),1.19916E7)</f>
        <v>11991600</v>
      </c>
      <c r="AA884" s="24" t="str">
        <f>VLOOKUP(A884,Metrik!$C$2:$Y$959,5,0)</f>
        <v>Processed Foods</v>
      </c>
      <c r="AB884" s="24" t="str">
        <f>VLOOKUP(A884,Metrik!$C$2:$Y$959,3,0)</f>
        <v>Consumer Non-Cyclicals</v>
      </c>
    </row>
    <row r="885">
      <c r="A885" s="14" t="s">
        <v>484</v>
      </c>
      <c r="B885" s="14" t="str">
        <f t="array" ref="B885">VLOOKUP(A885,{Metrik!$C$2:$C$998,Metrik!$B$2:$B$998},2,0)</f>
        <v>Indofood Sukses Makmur Tbk.</v>
      </c>
      <c r="C885" s="15">
        <f>IFERROR(__xludf.DUMMYFUNCTION("GOOGLEFINANCE(""IDX:""&amp;A885,""price"")"),6425.0)</f>
        <v>6425</v>
      </c>
      <c r="D885" s="16" t="str">
        <f>IFERROR(__xludf.DUMMYFUNCTION("IF(A885="""","""",
SPARKLINE(
INDEX(
GOOGLEFINANCE(""IDX:""&amp;A885,""close"",TODAY()-365,TODAY()),
,2
),
{""linewidth"",1}
))
"),"#N/A")</f>
        <v>#N/A</v>
      </c>
      <c r="E885" s="14" t="s">
        <v>48</v>
      </c>
      <c r="F885" s="14" t="s">
        <v>49</v>
      </c>
      <c r="G885" s="24">
        <f t="shared" si="7"/>
        <v>18</v>
      </c>
      <c r="H885" s="19">
        <f>VLOOKUP(A885,Metrik!$C$2:$Y$959,8,0)</f>
        <v>5.6</v>
      </c>
      <c r="I885" s="20">
        <f>VLOOKUP(A885,Metrik!$C$2:$Y$959,9,0)</f>
        <v>0.48</v>
      </c>
      <c r="J885" s="20">
        <f>VLOOKUP(A885,Metrik!$C$2:$Y$959,10,0)</f>
        <v>8.7</v>
      </c>
      <c r="K885" s="20">
        <f>VLOOKUP(A885,Metrik!$C$2:$Y$959,11,0)</f>
        <v>4.8</v>
      </c>
      <c r="L885" s="20">
        <f>VLOOKUP(A885,Metrik!$C$2:$Y$959,12,0)</f>
        <v>0.8</v>
      </c>
      <c r="M885" s="20">
        <f>VLOOKUP(A885,Metrik!$C$2:$Y$959,19,0)</f>
        <v>32.2</v>
      </c>
      <c r="N885" s="21"/>
      <c r="O885" s="21"/>
      <c r="P885" s="21"/>
      <c r="Q885" s="21"/>
      <c r="R885" s="21"/>
      <c r="S885" s="21"/>
      <c r="T885" s="21"/>
      <c r="U885" s="22">
        <f>IFERROR(__xludf.DUMMYFUNCTION("IFERROR(GOOGLEFINANCE(A885,""closeyest""),"""")"),6225.0)</f>
        <v>6225</v>
      </c>
      <c r="V885" s="23">
        <f>IFERROR(__xludf.DUMMYFUNCTION("IFERROR(GOOGLEFINANCE(A885,""changepct""),"""")"),3.21)</f>
        <v>3.21</v>
      </c>
      <c r="W885" s="22">
        <f>IFERROR(__xludf.DUMMYFUNCTION("IFERROR(GOOGLEFINANCE(A885,""priceopen""),"""")"),6275.0)</f>
        <v>6275</v>
      </c>
      <c r="X885" s="22">
        <f>IFERROR(__xludf.DUMMYFUNCTION("IFERROR(GOOGLEFINANCE(A885,""high""),"""")"),6675.0)</f>
        <v>6675</v>
      </c>
      <c r="Y885" s="22">
        <f>IFERROR(__xludf.DUMMYFUNCTION("IFERROR(GOOGLEFINANCE(A885,""low""),"""")"),6275.0)</f>
        <v>6275</v>
      </c>
      <c r="Z885" s="22">
        <f>IFERROR(__xludf.DUMMYFUNCTION("IFERROR(GOOGLEFINANCE(A885,""volume""),"""")"),1.19916E7)</f>
        <v>11991600</v>
      </c>
      <c r="AA885" s="24" t="str">
        <f>VLOOKUP(A885,Metrik!$C$2:$Y$959,5,0)</f>
        <v>Processed Foods</v>
      </c>
      <c r="AB885" s="24" t="str">
        <f>VLOOKUP(A885,Metrik!$C$2:$Y$959,3,0)</f>
        <v>Consumer Non-Cyclicals</v>
      </c>
    </row>
    <row r="886">
      <c r="A886" s="14" t="s">
        <v>484</v>
      </c>
      <c r="B886" s="14" t="str">
        <f t="array" ref="B886">VLOOKUP(A886,{Metrik!$C$2:$C$998,Metrik!$B$2:$B$998},2,0)</f>
        <v>Indofood Sukses Makmur Tbk.</v>
      </c>
      <c r="C886" s="15">
        <f>IFERROR(__xludf.DUMMYFUNCTION("GOOGLEFINANCE(""IDX:""&amp;A886,""price"")"),6425.0)</f>
        <v>6425</v>
      </c>
      <c r="D886" s="16" t="str">
        <f>IFERROR(__xludf.DUMMYFUNCTION("IF(A886="""","""",
SPARKLINE(
INDEX(
GOOGLEFINANCE(""IDX:""&amp;A886,""close"",TODAY()-365,TODAY()),
,2
),
{""linewidth"",1}
))
"),"#N/A")</f>
        <v>#N/A</v>
      </c>
      <c r="E886" s="14" t="s">
        <v>30</v>
      </c>
      <c r="F886" s="17" t="s">
        <v>29</v>
      </c>
      <c r="G886" s="24">
        <f t="shared" si="7"/>
        <v>18</v>
      </c>
      <c r="H886" s="19">
        <f>VLOOKUP(A886,Metrik!$C$2:$Y$959,8,0)</f>
        <v>5.6</v>
      </c>
      <c r="I886" s="20">
        <f>VLOOKUP(A886,Metrik!$C$2:$Y$959,9,0)</f>
        <v>0.48</v>
      </c>
      <c r="J886" s="20">
        <f>VLOOKUP(A886,Metrik!$C$2:$Y$959,10,0)</f>
        <v>8.7</v>
      </c>
      <c r="K886" s="20">
        <f>VLOOKUP(A886,Metrik!$C$2:$Y$959,11,0)</f>
        <v>4.8</v>
      </c>
      <c r="L886" s="20">
        <f>VLOOKUP(A886,Metrik!$C$2:$Y$959,12,0)</f>
        <v>0.8</v>
      </c>
      <c r="M886" s="20">
        <f>VLOOKUP(A886,Metrik!$C$2:$Y$959,19,0)</f>
        <v>32.2</v>
      </c>
      <c r="N886" s="21"/>
      <c r="O886" s="21"/>
      <c r="P886" s="21"/>
      <c r="Q886" s="21"/>
      <c r="R886" s="21"/>
      <c r="S886" s="21"/>
      <c r="T886" s="21"/>
      <c r="U886" s="22">
        <f>IFERROR(__xludf.DUMMYFUNCTION("IFERROR(GOOGLEFINANCE(A886,""closeyest""),"""")"),6225.0)</f>
        <v>6225</v>
      </c>
      <c r="V886" s="23">
        <f>IFERROR(__xludf.DUMMYFUNCTION("IFERROR(GOOGLEFINANCE(A886,""changepct""),"""")"),3.21)</f>
        <v>3.21</v>
      </c>
      <c r="W886" s="22">
        <f>IFERROR(__xludf.DUMMYFUNCTION("IFERROR(GOOGLEFINANCE(A886,""priceopen""),"""")"),6275.0)</f>
        <v>6275</v>
      </c>
      <c r="X886" s="22">
        <f>IFERROR(__xludf.DUMMYFUNCTION("IFERROR(GOOGLEFINANCE(A886,""high""),"""")"),6675.0)</f>
        <v>6675</v>
      </c>
      <c r="Y886" s="22">
        <f>IFERROR(__xludf.DUMMYFUNCTION("IFERROR(GOOGLEFINANCE(A886,""low""),"""")"),6275.0)</f>
        <v>6275</v>
      </c>
      <c r="Z886" s="22">
        <f>IFERROR(__xludf.DUMMYFUNCTION("IFERROR(GOOGLEFINANCE(A886,""volume""),"""")"),1.19916E7)</f>
        <v>11991600</v>
      </c>
      <c r="AA886" s="24" t="str">
        <f>VLOOKUP(A886,Metrik!$C$2:$Y$959,5,0)</f>
        <v>Processed Foods</v>
      </c>
      <c r="AB886" s="24" t="str">
        <f>VLOOKUP(A886,Metrik!$C$2:$Y$959,3,0)</f>
        <v>Consumer Non-Cyclicals</v>
      </c>
    </row>
    <row r="887">
      <c r="A887" s="14" t="s">
        <v>484</v>
      </c>
      <c r="B887" s="14" t="str">
        <f t="array" ref="B887">VLOOKUP(A887,{Metrik!$C$2:$C$998,Metrik!$B$2:$B$998},2,0)</f>
        <v>Indofood Sukses Makmur Tbk.</v>
      </c>
      <c r="C887" s="15">
        <f>IFERROR(__xludf.DUMMYFUNCTION("GOOGLEFINANCE(""IDX:""&amp;A887,""price"")"),6425.0)</f>
        <v>6425</v>
      </c>
      <c r="D887" s="16" t="str">
        <f>IFERROR(__xludf.DUMMYFUNCTION("IF(A887="""","""",
SPARKLINE(
INDEX(
GOOGLEFINANCE(""IDX:""&amp;A887,""close"",TODAY()-365,TODAY()),
,2
),
{""linewidth"",1}
))
"),"#N/A")</f>
        <v>#N/A</v>
      </c>
      <c r="E887" s="14" t="s">
        <v>32</v>
      </c>
      <c r="F887" s="14" t="s">
        <v>29</v>
      </c>
      <c r="G887" s="24">
        <f t="shared" si="7"/>
        <v>18</v>
      </c>
      <c r="H887" s="19">
        <f>VLOOKUP(A887,Metrik!$C$2:$Y$959,8,0)</f>
        <v>5.6</v>
      </c>
      <c r="I887" s="20">
        <f>VLOOKUP(A887,Metrik!$C$2:$Y$959,9,0)</f>
        <v>0.48</v>
      </c>
      <c r="J887" s="20">
        <f>VLOOKUP(A887,Metrik!$C$2:$Y$959,10,0)</f>
        <v>8.7</v>
      </c>
      <c r="K887" s="20">
        <f>VLOOKUP(A887,Metrik!$C$2:$Y$959,11,0)</f>
        <v>4.8</v>
      </c>
      <c r="L887" s="20">
        <f>VLOOKUP(A887,Metrik!$C$2:$Y$959,12,0)</f>
        <v>0.8</v>
      </c>
      <c r="M887" s="20">
        <f>VLOOKUP(A887,Metrik!$C$2:$Y$959,19,0)</f>
        <v>32.2</v>
      </c>
      <c r="N887" s="21"/>
      <c r="O887" s="21"/>
      <c r="P887" s="21"/>
      <c r="Q887" s="21"/>
      <c r="R887" s="21"/>
      <c r="S887" s="21"/>
      <c r="T887" s="21"/>
      <c r="U887" s="22">
        <f>IFERROR(__xludf.DUMMYFUNCTION("IFERROR(GOOGLEFINANCE(A887,""closeyest""),"""")"),6225.0)</f>
        <v>6225</v>
      </c>
      <c r="V887" s="23">
        <f>IFERROR(__xludf.DUMMYFUNCTION("IFERROR(GOOGLEFINANCE(A887,""changepct""),"""")"),3.21)</f>
        <v>3.21</v>
      </c>
      <c r="W887" s="22">
        <f>IFERROR(__xludf.DUMMYFUNCTION("IFERROR(GOOGLEFINANCE(A887,""priceopen""),"""")"),6275.0)</f>
        <v>6275</v>
      </c>
      <c r="X887" s="22">
        <f>IFERROR(__xludf.DUMMYFUNCTION("IFERROR(GOOGLEFINANCE(A887,""high""),"""")"),6675.0)</f>
        <v>6675</v>
      </c>
      <c r="Y887" s="22">
        <f>IFERROR(__xludf.DUMMYFUNCTION("IFERROR(GOOGLEFINANCE(A887,""low""),"""")"),6275.0)</f>
        <v>6275</v>
      </c>
      <c r="Z887" s="22">
        <f>IFERROR(__xludf.DUMMYFUNCTION("IFERROR(GOOGLEFINANCE(A887,""volume""),"""")"),1.19916E7)</f>
        <v>11991600</v>
      </c>
      <c r="AA887" s="24" t="str">
        <f>VLOOKUP(A887,Metrik!$C$2:$Y$959,5,0)</f>
        <v>Processed Foods</v>
      </c>
      <c r="AB887" s="24" t="str">
        <f>VLOOKUP(A887,Metrik!$C$2:$Y$959,3,0)</f>
        <v>Consumer Non-Cyclicals</v>
      </c>
    </row>
    <row r="888">
      <c r="A888" s="14" t="s">
        <v>484</v>
      </c>
      <c r="B888" s="14" t="str">
        <f t="array" ref="B888">VLOOKUP(A888,{Metrik!$C$2:$C$998,Metrik!$B$2:$B$998},2,0)</f>
        <v>Indofood Sukses Makmur Tbk.</v>
      </c>
      <c r="C888" s="15">
        <f>IFERROR(__xludf.DUMMYFUNCTION("GOOGLEFINANCE(""IDX:""&amp;A888,""price"")"),6425.0)</f>
        <v>6425</v>
      </c>
      <c r="D888" s="16" t="str">
        <f>IFERROR(__xludf.DUMMYFUNCTION("IF(A888="""","""",
SPARKLINE(
INDEX(
GOOGLEFINANCE(""IDX:""&amp;A888,""close"",TODAY()-365,TODAY()),
,2
),
{""linewidth"",1}
))
"),"#N/A")</f>
        <v>#N/A</v>
      </c>
      <c r="E888" s="14" t="s">
        <v>84</v>
      </c>
      <c r="F888" s="17" t="s">
        <v>51</v>
      </c>
      <c r="G888" s="24">
        <f t="shared" si="7"/>
        <v>18</v>
      </c>
      <c r="H888" s="19">
        <f>VLOOKUP(A888,Metrik!$C$2:$Y$959,8,0)</f>
        <v>5.6</v>
      </c>
      <c r="I888" s="20">
        <f>VLOOKUP(A888,Metrik!$C$2:$Y$959,9,0)</f>
        <v>0.48</v>
      </c>
      <c r="J888" s="20">
        <f>VLOOKUP(A888,Metrik!$C$2:$Y$959,10,0)</f>
        <v>8.7</v>
      </c>
      <c r="K888" s="20">
        <f>VLOOKUP(A888,Metrik!$C$2:$Y$959,11,0)</f>
        <v>4.8</v>
      </c>
      <c r="L888" s="20">
        <f>VLOOKUP(A888,Metrik!$C$2:$Y$959,12,0)</f>
        <v>0.8</v>
      </c>
      <c r="M888" s="20">
        <f>VLOOKUP(A888,Metrik!$C$2:$Y$959,19,0)</f>
        <v>32.2</v>
      </c>
      <c r="N888" s="21"/>
      <c r="O888" s="21"/>
      <c r="P888" s="21"/>
      <c r="Q888" s="21"/>
      <c r="R888" s="21"/>
      <c r="S888" s="21"/>
      <c r="T888" s="21"/>
      <c r="U888" s="22">
        <f>IFERROR(__xludf.DUMMYFUNCTION("IFERROR(GOOGLEFINANCE(A888,""closeyest""),"""")"),6225.0)</f>
        <v>6225</v>
      </c>
      <c r="V888" s="23">
        <f>IFERROR(__xludf.DUMMYFUNCTION("IFERROR(GOOGLEFINANCE(A888,""changepct""),"""")"),3.21)</f>
        <v>3.21</v>
      </c>
      <c r="W888" s="22">
        <f>IFERROR(__xludf.DUMMYFUNCTION("IFERROR(GOOGLEFINANCE(A888,""priceopen""),"""")"),6275.0)</f>
        <v>6275</v>
      </c>
      <c r="X888" s="22">
        <f>IFERROR(__xludf.DUMMYFUNCTION("IFERROR(GOOGLEFINANCE(A888,""high""),"""")"),6675.0)</f>
        <v>6675</v>
      </c>
      <c r="Y888" s="22">
        <f>IFERROR(__xludf.DUMMYFUNCTION("IFERROR(GOOGLEFINANCE(A888,""low""),"""")"),6275.0)</f>
        <v>6275</v>
      </c>
      <c r="Z888" s="22">
        <f>IFERROR(__xludf.DUMMYFUNCTION("IFERROR(GOOGLEFINANCE(A888,""volume""),"""")"),1.19916E7)</f>
        <v>11991600</v>
      </c>
      <c r="AA888" s="24" t="str">
        <f>VLOOKUP(A888,Metrik!$C$2:$Y$959,5,0)</f>
        <v>Processed Foods</v>
      </c>
      <c r="AB888" s="24" t="str">
        <f>VLOOKUP(A888,Metrik!$C$2:$Y$959,3,0)</f>
        <v>Consumer Non-Cyclicals</v>
      </c>
    </row>
    <row r="889">
      <c r="A889" s="14" t="s">
        <v>484</v>
      </c>
      <c r="B889" s="14" t="str">
        <f t="array" ref="B889">VLOOKUP(A889,{Metrik!$C$2:$C$998,Metrik!$B$2:$B$998},2,0)</f>
        <v>Indofood Sukses Makmur Tbk.</v>
      </c>
      <c r="C889" s="15">
        <f>IFERROR(__xludf.DUMMYFUNCTION("GOOGLEFINANCE(""IDX:""&amp;A889,""price"")"),6425.0)</f>
        <v>6425</v>
      </c>
      <c r="D889" s="16" t="str">
        <f>IFERROR(__xludf.DUMMYFUNCTION("IF(A889="""","""",
SPARKLINE(
INDEX(
GOOGLEFINANCE(""IDX:""&amp;A889,""close"",TODAY()-365,TODAY()),
,2
),
{""linewidth"",1}
))
"),"#N/A")</f>
        <v>#N/A</v>
      </c>
      <c r="E889" s="14" t="s">
        <v>102</v>
      </c>
      <c r="F889" s="27" t="s">
        <v>53</v>
      </c>
      <c r="G889" s="24">
        <f t="shared" si="7"/>
        <v>18</v>
      </c>
      <c r="H889" s="19">
        <f>VLOOKUP(A889,Metrik!$C$2:$Y$959,8,0)</f>
        <v>5.6</v>
      </c>
      <c r="I889" s="20">
        <f>VLOOKUP(A889,Metrik!$C$2:$Y$959,9,0)</f>
        <v>0.48</v>
      </c>
      <c r="J889" s="20">
        <f>VLOOKUP(A889,Metrik!$C$2:$Y$959,10,0)</f>
        <v>8.7</v>
      </c>
      <c r="K889" s="20">
        <f>VLOOKUP(A889,Metrik!$C$2:$Y$959,11,0)</f>
        <v>4.8</v>
      </c>
      <c r="L889" s="20">
        <f>VLOOKUP(A889,Metrik!$C$2:$Y$959,12,0)</f>
        <v>0.8</v>
      </c>
      <c r="M889" s="20">
        <f>VLOOKUP(A889,Metrik!$C$2:$Y$959,19,0)</f>
        <v>32.2</v>
      </c>
      <c r="N889" s="21"/>
      <c r="O889" s="21"/>
      <c r="P889" s="21"/>
      <c r="Q889" s="21"/>
      <c r="R889" s="21"/>
      <c r="S889" s="21"/>
      <c r="T889" s="21"/>
      <c r="U889" s="22">
        <f>IFERROR(__xludf.DUMMYFUNCTION("IFERROR(GOOGLEFINANCE(A889,""closeyest""),"""")"),6225.0)</f>
        <v>6225</v>
      </c>
      <c r="V889" s="23">
        <f>IFERROR(__xludf.DUMMYFUNCTION("IFERROR(GOOGLEFINANCE(A889,""changepct""),"""")"),3.21)</f>
        <v>3.21</v>
      </c>
      <c r="W889" s="22">
        <f>IFERROR(__xludf.DUMMYFUNCTION("IFERROR(GOOGLEFINANCE(A889,""priceopen""),"""")"),6275.0)</f>
        <v>6275</v>
      </c>
      <c r="X889" s="22">
        <f>IFERROR(__xludf.DUMMYFUNCTION("IFERROR(GOOGLEFINANCE(A889,""high""),"""")"),6675.0)</f>
        <v>6675</v>
      </c>
      <c r="Y889" s="22">
        <f>IFERROR(__xludf.DUMMYFUNCTION("IFERROR(GOOGLEFINANCE(A889,""low""),"""")"),6275.0)</f>
        <v>6275</v>
      </c>
      <c r="Z889" s="22">
        <f>IFERROR(__xludf.DUMMYFUNCTION("IFERROR(GOOGLEFINANCE(A889,""volume""),"""")"),1.19916E7)</f>
        <v>11991600</v>
      </c>
      <c r="AA889" s="24" t="str">
        <f>VLOOKUP(A889,Metrik!$C$2:$Y$959,5,0)</f>
        <v>Processed Foods</v>
      </c>
      <c r="AB889" s="24" t="str">
        <f>VLOOKUP(A889,Metrik!$C$2:$Y$959,3,0)</f>
        <v>Consumer Non-Cyclicals</v>
      </c>
    </row>
    <row r="890">
      <c r="A890" s="48" t="s">
        <v>484</v>
      </c>
      <c r="B890" s="14" t="str">
        <f t="array" ref="B890">VLOOKUP(A890,{Metrik!$C$2:$C$998,Metrik!$B$2:$B$998},2,0)</f>
        <v>Indofood Sukses Makmur Tbk.</v>
      </c>
      <c r="C890" s="15">
        <f>IFERROR(__xludf.DUMMYFUNCTION("GOOGLEFINANCE(""IDX:""&amp;A890,""price"")"),6425.0)</f>
        <v>6425</v>
      </c>
      <c r="D890" s="16" t="str">
        <f>IFERROR(__xludf.DUMMYFUNCTION("IF(A890="""","""",
SPARKLINE(
INDEX(
GOOGLEFINANCE(""IDX:""&amp;A890,""close"",TODAY()-365,TODAY()),
,2
),
{""linewidth"",1}
))
"),"#N/A")</f>
        <v>#N/A</v>
      </c>
      <c r="E890" s="17" t="s">
        <v>69</v>
      </c>
      <c r="F890" s="17" t="s">
        <v>70</v>
      </c>
      <c r="G890" s="24">
        <f t="shared" si="7"/>
        <v>18</v>
      </c>
      <c r="H890" s="19">
        <f>VLOOKUP(A890,Metrik!$C$2:$Y$959,8,0)</f>
        <v>5.6</v>
      </c>
      <c r="I890" s="20">
        <f>VLOOKUP(A890,Metrik!$C$2:$Y$959,9,0)</f>
        <v>0.48</v>
      </c>
      <c r="J890" s="20">
        <f>VLOOKUP(A890,Metrik!$C$2:$Y$959,10,0)</f>
        <v>8.7</v>
      </c>
      <c r="K890" s="20">
        <f>VLOOKUP(A890,Metrik!$C$2:$Y$959,11,0)</f>
        <v>4.8</v>
      </c>
      <c r="L890" s="20">
        <f>VLOOKUP(A890,Metrik!$C$2:$Y$959,12,0)</f>
        <v>0.8</v>
      </c>
      <c r="M890" s="20">
        <f>VLOOKUP(A890,Metrik!$C$2:$Y$959,19,0)</f>
        <v>32.2</v>
      </c>
      <c r="N890" s="21"/>
      <c r="O890" s="21"/>
      <c r="P890" s="21"/>
      <c r="Q890" s="21"/>
      <c r="R890" s="21"/>
      <c r="S890" s="21"/>
      <c r="T890" s="21"/>
      <c r="U890" s="22">
        <f>IFERROR(__xludf.DUMMYFUNCTION("IFERROR(GOOGLEFINANCE(A890,""closeyest""),"""")"),6225.0)</f>
        <v>6225</v>
      </c>
      <c r="V890" s="23">
        <f>IFERROR(__xludf.DUMMYFUNCTION("IFERROR(GOOGLEFINANCE(A890,""changepct""),"""")"),3.21)</f>
        <v>3.21</v>
      </c>
      <c r="W890" s="22">
        <f>IFERROR(__xludf.DUMMYFUNCTION("IFERROR(GOOGLEFINANCE(A890,""priceopen""),"""")"),6275.0)</f>
        <v>6275</v>
      </c>
      <c r="X890" s="22">
        <f>IFERROR(__xludf.DUMMYFUNCTION("IFERROR(GOOGLEFINANCE(A890,""high""),"""")"),6675.0)</f>
        <v>6675</v>
      </c>
      <c r="Y890" s="22">
        <f>IFERROR(__xludf.DUMMYFUNCTION("IFERROR(GOOGLEFINANCE(A890,""low""),"""")"),6275.0)</f>
        <v>6275</v>
      </c>
      <c r="Z890" s="22">
        <f>IFERROR(__xludf.DUMMYFUNCTION("IFERROR(GOOGLEFINANCE(A890,""volume""),"""")"),1.19916E7)</f>
        <v>11991600</v>
      </c>
      <c r="AA890" s="24" t="str">
        <f>VLOOKUP(A890,Metrik!$C$2:$Y$959,5,0)</f>
        <v>Processed Foods</v>
      </c>
      <c r="AB890" s="24" t="str">
        <f>VLOOKUP(A890,Metrik!$C$2:$Y$959,3,0)</f>
        <v>Consumer Non-Cyclicals</v>
      </c>
    </row>
    <row r="891">
      <c r="A891" s="17" t="s">
        <v>484</v>
      </c>
      <c r="B891" s="14" t="str">
        <f t="array" ref="B891">VLOOKUP(A891,{Metrik!$C$2:$C$998,Metrik!$B$2:$B$998},2,0)</f>
        <v>Indofood Sukses Makmur Tbk.</v>
      </c>
      <c r="C891" s="15">
        <f>IFERROR(__xludf.DUMMYFUNCTION("GOOGLEFINANCE(""IDX:""&amp;A891,""price"")"),6425.0)</f>
        <v>6425</v>
      </c>
      <c r="D891" s="16" t="str">
        <f>IFERROR(__xludf.DUMMYFUNCTION("IF(A891="""","""",
SPARKLINE(
INDEX(
GOOGLEFINANCE(""IDX:""&amp;A891,""close"",TODAY()-365,TODAY()),
,2
),
{""linewidth"",1}
))
"),"#N/A")</f>
        <v>#N/A</v>
      </c>
      <c r="E891" s="14" t="s">
        <v>35</v>
      </c>
      <c r="F891" s="17" t="s">
        <v>36</v>
      </c>
      <c r="G891" s="38">
        <f t="shared" si="7"/>
        <v>18</v>
      </c>
      <c r="H891" s="34">
        <f>VLOOKUP(A891,Metrik!$C$2:$Y$959,8,0)</f>
        <v>5.6</v>
      </c>
      <c r="I891" s="34">
        <f>VLOOKUP(A891,Metrik!$C$2:$Y$959,9,0)</f>
        <v>0.48</v>
      </c>
      <c r="J891" s="34">
        <f>VLOOKUP(A891,Metrik!$C$2:$Y$959,10,0)</f>
        <v>8.7</v>
      </c>
      <c r="K891" s="34">
        <f>VLOOKUP(A891,Metrik!$C$2:$Y$959,11,0)</f>
        <v>4.8</v>
      </c>
      <c r="L891" s="34">
        <f>VLOOKUP(A891,Metrik!$C$2:$Y$959,12,0)</f>
        <v>0.8</v>
      </c>
      <c r="M891" s="34">
        <f>VLOOKUP(A891,Metrik!$C$2:$Y$959,19,0)</f>
        <v>32.2</v>
      </c>
      <c r="N891" s="26"/>
      <c r="O891" s="26"/>
      <c r="P891" s="26"/>
      <c r="Q891" s="26"/>
      <c r="R891" s="26"/>
      <c r="S891" s="26"/>
      <c r="T891" s="26"/>
      <c r="U891" s="35">
        <f>IFERROR(__xludf.DUMMYFUNCTION("IFERROR(GOOGLEFINANCE(A891,""closeyest""),"""")"),6225.0)</f>
        <v>6225</v>
      </c>
      <c r="V891" s="36">
        <f>IFERROR(__xludf.DUMMYFUNCTION("IFERROR(GOOGLEFINANCE(A891,""changepct""),"""")"),3.21)</f>
        <v>3.21</v>
      </c>
      <c r="W891" s="49">
        <f>IFERROR(__xludf.DUMMYFUNCTION("IFERROR(GOOGLEFINANCE(A891,""priceopen""),"""")"),6275.0)</f>
        <v>6275</v>
      </c>
      <c r="X891" s="35">
        <f>IFERROR(__xludf.DUMMYFUNCTION("IFERROR(GOOGLEFINANCE(A891,""high""),"""")"),6675.0)</f>
        <v>6675</v>
      </c>
      <c r="Y891" s="35">
        <f>IFERROR(__xludf.DUMMYFUNCTION("IFERROR(GOOGLEFINANCE(A891,""low""),"""")"),6275.0)</f>
        <v>6275</v>
      </c>
      <c r="Z891" s="35">
        <f>IFERROR(__xludf.DUMMYFUNCTION("IFERROR(GOOGLEFINANCE(A891,""volume""),"""")"),1.19916E7)</f>
        <v>11991600</v>
      </c>
      <c r="AA891" s="14" t="str">
        <f>VLOOKUP(A891,Metrik!$C$2:$Y$959,5,0)</f>
        <v>Processed Foods</v>
      </c>
      <c r="AB891" s="14" t="str">
        <f>VLOOKUP(A891,Metrik!$C$2:$Y$959,3,0)</f>
        <v>Consumer Non-Cyclicals</v>
      </c>
    </row>
    <row r="892">
      <c r="A892" s="14" t="s">
        <v>484</v>
      </c>
      <c r="B892" s="14" t="str">
        <f t="array" ref="B892">VLOOKUP(A892,{Metrik!$C$2:$C$998,Metrik!$B$2:$B$998},2,0)</f>
        <v>Indofood Sukses Makmur Tbk.</v>
      </c>
      <c r="C892" s="15">
        <f>IFERROR(__xludf.DUMMYFUNCTION("GOOGLEFINANCE(""IDX:""&amp;A892,""price"")"),6425.0)</f>
        <v>6425</v>
      </c>
      <c r="D892" s="16" t="str">
        <f>IFERROR(__xludf.DUMMYFUNCTION("IF(A892="""","""",
SPARKLINE(
INDEX(
GOOGLEFINANCE(""IDX:""&amp;A892,""close"",TODAY()-365,TODAY()),
,2
),
{""linewidth"",1}
))
"),"#N/A")</f>
        <v>#N/A</v>
      </c>
      <c r="E892" s="14" t="s">
        <v>86</v>
      </c>
      <c r="F892" s="25">
        <v>46356.0</v>
      </c>
      <c r="G892" s="24">
        <f t="shared" si="7"/>
        <v>18</v>
      </c>
      <c r="H892" s="19">
        <f>VLOOKUP(A892,Metrik!$C$2:$Y$959,8,0)</f>
        <v>5.6</v>
      </c>
      <c r="I892" s="20">
        <f>VLOOKUP(A892,Metrik!$C$2:$Y$959,9,0)</f>
        <v>0.48</v>
      </c>
      <c r="J892" s="20">
        <f>VLOOKUP(A892,Metrik!$C$2:$Y$959,10,0)</f>
        <v>8.7</v>
      </c>
      <c r="K892" s="20">
        <f>VLOOKUP(A892,Metrik!$C$2:$Y$959,11,0)</f>
        <v>4.8</v>
      </c>
      <c r="L892" s="20">
        <f>VLOOKUP(A892,Metrik!$C$2:$Y$959,12,0)</f>
        <v>0.8</v>
      </c>
      <c r="M892" s="20">
        <f>VLOOKUP(A892,Metrik!$C$2:$Y$959,19,0)</f>
        <v>32.2</v>
      </c>
      <c r="N892" s="21"/>
      <c r="O892" s="21"/>
      <c r="P892" s="21"/>
      <c r="Q892" s="21"/>
      <c r="R892" s="21"/>
      <c r="S892" s="21"/>
      <c r="T892" s="21"/>
      <c r="U892" s="22">
        <f>IFERROR(__xludf.DUMMYFUNCTION("IFERROR(GOOGLEFINANCE(A892,""closeyest""),"""")"),6225.0)</f>
        <v>6225</v>
      </c>
      <c r="V892" s="23">
        <f>IFERROR(__xludf.DUMMYFUNCTION("IFERROR(GOOGLEFINANCE(A892,""changepct""),"""")"),3.21)</f>
        <v>3.21</v>
      </c>
      <c r="W892" s="22">
        <f>IFERROR(__xludf.DUMMYFUNCTION("IFERROR(GOOGLEFINANCE(A892,""priceopen""),"""")"),6275.0)</f>
        <v>6275</v>
      </c>
      <c r="X892" s="22">
        <f>IFERROR(__xludf.DUMMYFUNCTION("IFERROR(GOOGLEFINANCE(A892,""high""),"""")"),6675.0)</f>
        <v>6675</v>
      </c>
      <c r="Y892" s="22">
        <f>IFERROR(__xludf.DUMMYFUNCTION("IFERROR(GOOGLEFINANCE(A892,""low""),"""")"),6275.0)</f>
        <v>6275</v>
      </c>
      <c r="Z892" s="22">
        <f>IFERROR(__xludf.DUMMYFUNCTION("IFERROR(GOOGLEFINANCE(A892,""volume""),"""")"),1.19916E7)</f>
        <v>11991600</v>
      </c>
      <c r="AA892" s="24" t="str">
        <f>VLOOKUP(A892,Metrik!$C$2:$Y$959,5,0)</f>
        <v>Processed Foods</v>
      </c>
      <c r="AB892" s="24" t="str">
        <f>VLOOKUP(A892,Metrik!$C$2:$Y$959,3,0)</f>
        <v>Consumer Non-Cyclicals</v>
      </c>
    </row>
    <row r="893">
      <c r="A893" s="14" t="s">
        <v>484</v>
      </c>
      <c r="B893" s="14" t="str">
        <f t="array" ref="B893">VLOOKUP(A893,{Metrik!$C$2:$C$998,Metrik!$B$2:$B$998},2,0)</f>
        <v>Indofood Sukses Makmur Tbk.</v>
      </c>
      <c r="C893" s="15">
        <f>IFERROR(__xludf.DUMMYFUNCTION("GOOGLEFINANCE(""IDX:""&amp;A893,""price"")"),6425.0)</f>
        <v>6425</v>
      </c>
      <c r="D893" s="16" t="str">
        <f>IFERROR(__xludf.DUMMYFUNCTION("IF(A893="""","""",
SPARKLINE(
INDEX(
GOOGLEFINANCE(""IDX:""&amp;A893,""close"",TODAY()-365,TODAY()),
,2
),
{""linewidth"",1}
))
"),"#N/A")</f>
        <v>#N/A</v>
      </c>
      <c r="E893" s="14" t="s">
        <v>42</v>
      </c>
      <c r="F893" s="25">
        <v>46356.0</v>
      </c>
      <c r="G893" s="24">
        <f t="shared" si="7"/>
        <v>18</v>
      </c>
      <c r="H893" s="19">
        <f>VLOOKUP(A893,Metrik!$C$2:$Y$959,8,0)</f>
        <v>5.6</v>
      </c>
      <c r="I893" s="20">
        <f>VLOOKUP(A893,Metrik!$C$2:$Y$959,9,0)</f>
        <v>0.48</v>
      </c>
      <c r="J893" s="20">
        <f>VLOOKUP(A893,Metrik!$C$2:$Y$959,10,0)</f>
        <v>8.7</v>
      </c>
      <c r="K893" s="20">
        <f>VLOOKUP(A893,Metrik!$C$2:$Y$959,11,0)</f>
        <v>4.8</v>
      </c>
      <c r="L893" s="20">
        <f>VLOOKUP(A893,Metrik!$C$2:$Y$959,12,0)</f>
        <v>0.8</v>
      </c>
      <c r="M893" s="20">
        <f>VLOOKUP(A893,Metrik!$C$2:$Y$959,19,0)</f>
        <v>32.2</v>
      </c>
      <c r="N893" s="21"/>
      <c r="O893" s="21"/>
      <c r="P893" s="21"/>
      <c r="Q893" s="21"/>
      <c r="R893" s="21"/>
      <c r="S893" s="21"/>
      <c r="T893" s="21"/>
      <c r="U893" s="22">
        <f>IFERROR(__xludf.DUMMYFUNCTION("IFERROR(GOOGLEFINANCE(A893,""closeyest""),"""")"),6225.0)</f>
        <v>6225</v>
      </c>
      <c r="V893" s="23">
        <f>IFERROR(__xludf.DUMMYFUNCTION("IFERROR(GOOGLEFINANCE(A893,""changepct""),"""")"),3.21)</f>
        <v>3.21</v>
      </c>
      <c r="W893" s="22">
        <f>IFERROR(__xludf.DUMMYFUNCTION("IFERROR(GOOGLEFINANCE(A893,""priceopen""),"""")"),6275.0)</f>
        <v>6275</v>
      </c>
      <c r="X893" s="22">
        <f>IFERROR(__xludf.DUMMYFUNCTION("IFERROR(GOOGLEFINANCE(A893,""high""),"""")"),6675.0)</f>
        <v>6675</v>
      </c>
      <c r="Y893" s="22">
        <f>IFERROR(__xludf.DUMMYFUNCTION("IFERROR(GOOGLEFINANCE(A893,""low""),"""")"),6275.0)</f>
        <v>6275</v>
      </c>
      <c r="Z893" s="22">
        <f>IFERROR(__xludf.DUMMYFUNCTION("IFERROR(GOOGLEFINANCE(A893,""volume""),"""")"),1.19916E7)</f>
        <v>11991600</v>
      </c>
      <c r="AA893" s="24" t="str">
        <f>VLOOKUP(A893,Metrik!$C$2:$Y$959,5,0)</f>
        <v>Processed Foods</v>
      </c>
      <c r="AB893" s="24" t="str">
        <f>VLOOKUP(A893,Metrik!$C$2:$Y$959,3,0)</f>
        <v>Consumer Non-Cyclicals</v>
      </c>
    </row>
    <row r="894">
      <c r="A894" s="14" t="s">
        <v>484</v>
      </c>
      <c r="B894" s="14" t="str">
        <f t="array" ref="B894">VLOOKUP(A894,{Metrik!$C$2:$C$998,Metrik!$B$2:$B$998},2,0)</f>
        <v>Indofood Sukses Makmur Tbk.</v>
      </c>
      <c r="C894" s="15">
        <f>IFERROR(__xludf.DUMMYFUNCTION("GOOGLEFINANCE(""IDX:""&amp;A894,""price"")"),6425.0)</f>
        <v>6425</v>
      </c>
      <c r="D894" s="16" t="str">
        <f>IFERROR(__xludf.DUMMYFUNCTION("IF(A894="""","""",
SPARKLINE(
INDEX(
GOOGLEFINANCE(""IDX:""&amp;A894,""close"",TODAY()-365,TODAY()),
,2
),
{""linewidth"",1}
))
"),"#N/A")</f>
        <v>#N/A</v>
      </c>
      <c r="E894" s="14" t="s">
        <v>38</v>
      </c>
      <c r="F894" s="25">
        <v>46356.0</v>
      </c>
      <c r="G894" s="24">
        <f t="shared" si="7"/>
        <v>18</v>
      </c>
      <c r="H894" s="19">
        <f>VLOOKUP(A894,Metrik!$C$2:$Y$959,8,0)</f>
        <v>5.6</v>
      </c>
      <c r="I894" s="20">
        <f>VLOOKUP(A894,Metrik!$C$2:$Y$959,9,0)</f>
        <v>0.48</v>
      </c>
      <c r="J894" s="20">
        <f>VLOOKUP(A894,Metrik!$C$2:$Y$959,10,0)</f>
        <v>8.7</v>
      </c>
      <c r="K894" s="20">
        <f>VLOOKUP(A894,Metrik!$C$2:$Y$959,11,0)</f>
        <v>4.8</v>
      </c>
      <c r="L894" s="20">
        <f>VLOOKUP(A894,Metrik!$C$2:$Y$959,12,0)</f>
        <v>0.8</v>
      </c>
      <c r="M894" s="20">
        <f>VLOOKUP(A894,Metrik!$C$2:$Y$959,19,0)</f>
        <v>32.2</v>
      </c>
      <c r="N894" s="21"/>
      <c r="O894" s="21"/>
      <c r="P894" s="21"/>
      <c r="Q894" s="21"/>
      <c r="R894" s="21"/>
      <c r="S894" s="21"/>
      <c r="T894" s="21"/>
      <c r="U894" s="22">
        <f>IFERROR(__xludf.DUMMYFUNCTION("IFERROR(GOOGLEFINANCE(A894,""closeyest""),"""")"),6225.0)</f>
        <v>6225</v>
      </c>
      <c r="V894" s="23">
        <f>IFERROR(__xludf.DUMMYFUNCTION("IFERROR(GOOGLEFINANCE(A894,""changepct""),"""")"),3.21)</f>
        <v>3.21</v>
      </c>
      <c r="W894" s="22">
        <f>IFERROR(__xludf.DUMMYFUNCTION("IFERROR(GOOGLEFINANCE(A894,""priceopen""),"""")"),6275.0)</f>
        <v>6275</v>
      </c>
      <c r="X894" s="22">
        <f>IFERROR(__xludf.DUMMYFUNCTION("IFERROR(GOOGLEFINANCE(A894,""high""),"""")"),6675.0)</f>
        <v>6675</v>
      </c>
      <c r="Y894" s="22">
        <f>IFERROR(__xludf.DUMMYFUNCTION("IFERROR(GOOGLEFINANCE(A894,""low""),"""")"),6275.0)</f>
        <v>6275</v>
      </c>
      <c r="Z894" s="22">
        <f>IFERROR(__xludf.DUMMYFUNCTION("IFERROR(GOOGLEFINANCE(A894,""volume""),"""")"),1.19916E7)</f>
        <v>11991600</v>
      </c>
      <c r="AA894" s="24" t="str">
        <f>VLOOKUP(A894,Metrik!$C$2:$Y$959,5,0)</f>
        <v>Processed Foods</v>
      </c>
      <c r="AB894" s="24" t="str">
        <f>VLOOKUP(A894,Metrik!$C$2:$Y$959,3,0)</f>
        <v>Consumer Non-Cyclicals</v>
      </c>
    </row>
    <row r="895">
      <c r="A895" s="14" t="s">
        <v>484</v>
      </c>
      <c r="B895" s="14" t="str">
        <f t="array" ref="B895">VLOOKUP(A895,{Metrik!$C$2:$C$998,Metrik!$B$2:$B$998},2,0)</f>
        <v>Indofood Sukses Makmur Tbk.</v>
      </c>
      <c r="C895" s="15">
        <f>IFERROR(__xludf.DUMMYFUNCTION("GOOGLEFINANCE(""IDX:""&amp;A895,""price"")"),6425.0)</f>
        <v>6425</v>
      </c>
      <c r="D895" s="16" t="str">
        <f>IFERROR(__xludf.DUMMYFUNCTION("IF(A895="""","""",
SPARKLINE(
INDEX(
GOOGLEFINANCE(""IDX:""&amp;A895,""close"",TODAY()-365,TODAY()),
,2
),
{""linewidth"",1}
))
"),"#N/A")</f>
        <v>#N/A</v>
      </c>
      <c r="E895" s="14" t="s">
        <v>39</v>
      </c>
      <c r="F895" s="25">
        <v>46356.0</v>
      </c>
      <c r="G895" s="24">
        <f t="shared" si="7"/>
        <v>18</v>
      </c>
      <c r="H895" s="19">
        <f>VLOOKUP(A895,Metrik!$C$2:$Y$959,8,0)</f>
        <v>5.6</v>
      </c>
      <c r="I895" s="20">
        <f>VLOOKUP(A895,Metrik!$C$2:$Y$959,9,0)</f>
        <v>0.48</v>
      </c>
      <c r="J895" s="20">
        <f>VLOOKUP(A895,Metrik!$C$2:$Y$959,10,0)</f>
        <v>8.7</v>
      </c>
      <c r="K895" s="20">
        <f>VLOOKUP(A895,Metrik!$C$2:$Y$959,11,0)</f>
        <v>4.8</v>
      </c>
      <c r="L895" s="20">
        <f>VLOOKUP(A895,Metrik!$C$2:$Y$959,12,0)</f>
        <v>0.8</v>
      </c>
      <c r="M895" s="20">
        <f>VLOOKUP(A895,Metrik!$C$2:$Y$959,19,0)</f>
        <v>32.2</v>
      </c>
      <c r="N895" s="21"/>
      <c r="O895" s="21"/>
      <c r="P895" s="21"/>
      <c r="Q895" s="21"/>
      <c r="R895" s="21"/>
      <c r="S895" s="21"/>
      <c r="T895" s="21"/>
      <c r="U895" s="22">
        <f>IFERROR(__xludf.DUMMYFUNCTION("IFERROR(GOOGLEFINANCE(A895,""closeyest""),"""")"),6225.0)</f>
        <v>6225</v>
      </c>
      <c r="V895" s="23">
        <f>IFERROR(__xludf.DUMMYFUNCTION("IFERROR(GOOGLEFINANCE(A895,""changepct""),"""")"),3.21)</f>
        <v>3.21</v>
      </c>
      <c r="W895" s="22">
        <f>IFERROR(__xludf.DUMMYFUNCTION("IFERROR(GOOGLEFINANCE(A895,""priceopen""),"""")"),6275.0)</f>
        <v>6275</v>
      </c>
      <c r="X895" s="22">
        <f>IFERROR(__xludf.DUMMYFUNCTION("IFERROR(GOOGLEFINANCE(A895,""high""),"""")"),6675.0)</f>
        <v>6675</v>
      </c>
      <c r="Y895" s="22">
        <f>IFERROR(__xludf.DUMMYFUNCTION("IFERROR(GOOGLEFINANCE(A895,""low""),"""")"),6275.0)</f>
        <v>6275</v>
      </c>
      <c r="Z895" s="22">
        <f>IFERROR(__xludf.DUMMYFUNCTION("IFERROR(GOOGLEFINANCE(A895,""volume""),"""")"),1.19916E7)</f>
        <v>11991600</v>
      </c>
      <c r="AA895" s="24" t="str">
        <f>VLOOKUP(A895,Metrik!$C$2:$Y$959,5,0)</f>
        <v>Processed Foods</v>
      </c>
      <c r="AB895" s="24" t="str">
        <f>VLOOKUP(A895,Metrik!$C$2:$Y$959,3,0)</f>
        <v>Consumer Non-Cyclicals</v>
      </c>
    </row>
    <row r="896">
      <c r="A896" s="14" t="s">
        <v>485</v>
      </c>
      <c r="B896" s="14" t="str">
        <f t="array" ref="B896">VLOOKUP(A896,{Metrik!$C$2:$C$998,Metrik!$B$2:$B$998},2,0)</f>
        <v>Royalindo Investa Wijaya Tbk.</v>
      </c>
      <c r="C896" s="15">
        <f>IFERROR(__xludf.DUMMYFUNCTION("GOOGLEFINANCE(""IDX:""&amp;A896,""price"")"),167.0)</f>
        <v>167</v>
      </c>
      <c r="D896" s="16" t="str">
        <f>IFERROR(__xludf.DUMMYFUNCTION("IF(A896="""","""",
SPARKLINE(
INDEX(
GOOGLEFINANCE(""IDX:""&amp;A896,""close"",TODAY()-365,TODAY()),
,2
),
{""linewidth"",1}
))
"),"#N/A")</f>
        <v>#N/A</v>
      </c>
      <c r="E896" s="26"/>
      <c r="F896" s="26"/>
      <c r="G896" s="24">
        <f t="shared" si="7"/>
        <v>0</v>
      </c>
      <c r="H896" s="19">
        <f>VLOOKUP(A896,Metrik!$C$2:$Y$959,8,0)</f>
        <v>22.1</v>
      </c>
      <c r="I896" s="20">
        <f>VLOOKUP(A896,Metrik!$C$2:$Y$959,9,0)</f>
        <v>0.63</v>
      </c>
      <c r="J896" s="20">
        <f>VLOOKUP(A896,Metrik!$C$2:$Y$959,10,0)</f>
        <v>2.9</v>
      </c>
      <c r="K896" s="20">
        <f>VLOOKUP(A896,Metrik!$C$2:$Y$959,11,0)</f>
        <v>2.8</v>
      </c>
      <c r="L896" s="20">
        <f>VLOOKUP(A896,Metrik!$C$2:$Y$959,12,0)</f>
        <v>0.01</v>
      </c>
      <c r="M896" s="20">
        <f>VLOOKUP(A896,Metrik!$C$2:$Y$959,19,0)</f>
        <v>480</v>
      </c>
      <c r="N896" s="21"/>
      <c r="O896" s="21"/>
      <c r="P896" s="21"/>
      <c r="Q896" s="21"/>
      <c r="R896" s="21"/>
      <c r="S896" s="21"/>
      <c r="T896" s="21"/>
      <c r="U896" s="22">
        <f>IFERROR(__xludf.DUMMYFUNCTION("IFERROR(GOOGLEFINANCE(A896,""closeyest""),"""")"),2.69)</f>
        <v>2.69</v>
      </c>
      <c r="V896" s="23">
        <f>IFERROR(__xludf.DUMMYFUNCTION("IFERROR(GOOGLEFINANCE(A896,""changepct""),"""")"),-2.97)</f>
        <v>-2.97</v>
      </c>
      <c r="W896" s="22">
        <f>IFERROR(__xludf.DUMMYFUNCTION("IFERROR(GOOGLEFINANCE(A896,""priceopen""),"""")"),2.68)</f>
        <v>2.68</v>
      </c>
      <c r="X896" s="22">
        <f>IFERROR(__xludf.DUMMYFUNCTION("IFERROR(GOOGLEFINANCE(A896,""high""),"""")"),2.75)</f>
        <v>2.75</v>
      </c>
      <c r="Y896" s="22">
        <f>IFERROR(__xludf.DUMMYFUNCTION("IFERROR(GOOGLEFINANCE(A896,""low""),"""")"),2.58)</f>
        <v>2.58</v>
      </c>
      <c r="Z896" s="22">
        <f>IFERROR(__xludf.DUMMYFUNCTION("IFERROR(GOOGLEFINANCE(A896,""volume""),"""")"),642345.0)</f>
        <v>642345</v>
      </c>
      <c r="AA896" s="24" t="str">
        <f>VLOOKUP(A896,Metrik!$C$2:$Y$959,5,0)</f>
        <v>Real Estate Management &amp; Development</v>
      </c>
      <c r="AB896" s="24" t="str">
        <f>VLOOKUP(A896,Metrik!$C$2:$Y$959,3,0)</f>
        <v>Properties &amp; Real Estate</v>
      </c>
    </row>
    <row r="897">
      <c r="A897" s="14" t="s">
        <v>486</v>
      </c>
      <c r="B897" s="14" t="str">
        <f t="array" ref="B897">VLOOKUP(A897,{Metrik!$C$2:$C$998,Metrik!$B$2:$B$998},2,0)</f>
        <v>Indorama Synthetics Tbk</v>
      </c>
      <c r="C897" s="15">
        <f>IFERROR(__xludf.DUMMYFUNCTION("GOOGLEFINANCE(""IDX:""&amp;A897,""price"")"),1805.0)</f>
        <v>1805</v>
      </c>
      <c r="D897" s="16" t="str">
        <f>IFERROR(__xludf.DUMMYFUNCTION("IF(A897="""","""",
SPARKLINE(
INDEX(
GOOGLEFINANCE(""IDX:""&amp;A897,""close"",TODAY()-365,TODAY()),
,2
),
{""linewidth"",1}
))
"),"#N/A")</f>
        <v>#N/A</v>
      </c>
      <c r="E897" s="26"/>
      <c r="F897" s="26"/>
      <c r="G897" s="24">
        <f t="shared" si="7"/>
        <v>0</v>
      </c>
      <c r="H897" s="19">
        <f>VLOOKUP(A897,Metrik!$C$2:$Y$959,8,0)</f>
        <v>-4.6</v>
      </c>
      <c r="I897" s="20">
        <f>VLOOKUP(A897,Metrik!$C$2:$Y$959,9,0)</f>
        <v>0.22</v>
      </c>
      <c r="J897" s="20">
        <f>VLOOKUP(A897,Metrik!$C$2:$Y$959,10,0)</f>
        <v>-4.9</v>
      </c>
      <c r="K897" s="20">
        <f>VLOOKUP(A897,Metrik!$C$2:$Y$959,11,0)</f>
        <v>-2.4</v>
      </c>
      <c r="L897" s="20">
        <f>VLOOKUP(A897,Metrik!$C$2:$Y$959,12,0)</f>
        <v>1.1</v>
      </c>
      <c r="M897" s="20">
        <f>VLOOKUP(A897,Metrik!$C$2:$Y$959,19,0)</f>
        <v>-9.5</v>
      </c>
      <c r="N897" s="21"/>
      <c r="O897" s="21"/>
      <c r="P897" s="21"/>
      <c r="Q897" s="21"/>
      <c r="R897" s="21"/>
      <c r="S897" s="21"/>
      <c r="T897" s="21"/>
      <c r="U897" s="22">
        <f>IFERROR(__xludf.DUMMYFUNCTION("IFERROR(GOOGLEFINANCE(A897,""closeyest""),"""")"),0.0)</f>
        <v>0</v>
      </c>
      <c r="V897" s="23">
        <f>IFERROR(__xludf.DUMMYFUNCTION("IFERROR(GOOGLEFINANCE(A897,""changepct""),"""")"),0.0)</f>
        <v>0</v>
      </c>
      <c r="W897" s="22" t="str">
        <f>IFERROR(__xludf.DUMMYFUNCTION("IFERROR(GOOGLEFINANCE(A897,""priceopen""),"""")"),"")</f>
        <v/>
      </c>
      <c r="X897" s="22" t="str">
        <f>IFERROR(__xludf.DUMMYFUNCTION("IFERROR(GOOGLEFINANCE(A897,""high""),"""")"),"")</f>
        <v/>
      </c>
      <c r="Y897" s="22" t="str">
        <f>IFERROR(__xludf.DUMMYFUNCTION("IFERROR(GOOGLEFINANCE(A897,""low""),"""")"),"")</f>
        <v/>
      </c>
      <c r="Z897" s="22">
        <f>IFERROR(__xludf.DUMMYFUNCTION("IFERROR(GOOGLEFINANCE(A897,""volume""),"""")"),0.0)</f>
        <v>0</v>
      </c>
      <c r="AA897" s="24" t="str">
        <f>VLOOKUP(A897,Metrik!$C$2:$Y$959,5,0)</f>
        <v>Apparel &amp; Luxury Goods</v>
      </c>
      <c r="AB897" s="24" t="str">
        <f>VLOOKUP(A897,Metrik!$C$2:$Y$959,3,0)</f>
        <v>Consumer Cyclicals</v>
      </c>
    </row>
    <row r="898">
      <c r="A898" s="14" t="s">
        <v>487</v>
      </c>
      <c r="B898" s="14" t="str">
        <f t="array" ref="B898">VLOOKUP(A898,{Metrik!$C$2:$C$998,Metrik!$B$2:$B$998},2,0)</f>
        <v>Indospring Tbk.</v>
      </c>
      <c r="C898" s="15">
        <f>IFERROR(__xludf.DUMMYFUNCTION("GOOGLEFINANCE(""IDX:""&amp;A898,""price"")"),272.0)</f>
        <v>272</v>
      </c>
      <c r="D898" s="16" t="str">
        <f>IFERROR(__xludf.DUMMYFUNCTION("IF(A898="""","""",
SPARKLINE(
INDEX(
GOOGLEFINANCE(""IDX:""&amp;A898,""close"",TODAY()-365,TODAY()),
,2
),
{""linewidth"",1}
))
"),"#N/A")</f>
        <v>#N/A</v>
      </c>
      <c r="E898" s="26"/>
      <c r="F898" s="26"/>
      <c r="G898" s="24">
        <f t="shared" si="7"/>
        <v>0</v>
      </c>
      <c r="H898" s="19">
        <f>VLOOKUP(A898,Metrik!$C$2:$Y$959,8,0)</f>
        <v>34.5</v>
      </c>
      <c r="I898" s="20">
        <f>VLOOKUP(A898,Metrik!$C$2:$Y$959,9,0)</f>
        <v>0.53</v>
      </c>
      <c r="J898" s="20">
        <f>VLOOKUP(A898,Metrik!$C$2:$Y$959,10,0)</f>
        <v>1.5</v>
      </c>
      <c r="K898" s="20">
        <f>VLOOKUP(A898,Metrik!$C$2:$Y$959,11,0)</f>
        <v>1.2</v>
      </c>
      <c r="L898" s="20">
        <f>VLOOKUP(A898,Metrik!$C$2:$Y$959,12,0)</f>
        <v>0.25</v>
      </c>
      <c r="M898" s="20">
        <f>VLOOKUP(A898,Metrik!$C$2:$Y$959,19,0)</f>
        <v>6.5</v>
      </c>
      <c r="N898" s="21"/>
      <c r="O898" s="21"/>
      <c r="P898" s="21"/>
      <c r="Q898" s="21"/>
      <c r="R898" s="21"/>
      <c r="S898" s="21"/>
      <c r="T898" s="21"/>
      <c r="U898" s="22">
        <f>IFERROR(__xludf.DUMMYFUNCTION("IFERROR(GOOGLEFINANCE(A898,""closeyest""),"""")"),40.84)</f>
        <v>40.84</v>
      </c>
      <c r="V898" s="23">
        <f>IFERROR(__xludf.DUMMYFUNCTION("IFERROR(GOOGLEFINANCE(A898,""changepct""),"""")"),0.22)</f>
        <v>0.22</v>
      </c>
      <c r="W898" s="22">
        <f>IFERROR(__xludf.DUMMYFUNCTION("IFERROR(GOOGLEFINANCE(A898,""priceopen""),"""")"),40.77)</f>
        <v>40.77</v>
      </c>
      <c r="X898" s="22">
        <f>IFERROR(__xludf.DUMMYFUNCTION("IFERROR(GOOGLEFINANCE(A898,""high""),"""")"),40.93)</f>
        <v>40.93</v>
      </c>
      <c r="Y898" s="22">
        <f>IFERROR(__xludf.DUMMYFUNCTION("IFERROR(GOOGLEFINANCE(A898,""low""),"""")"),40.77)</f>
        <v>40.77</v>
      </c>
      <c r="Z898" s="22" t="str">
        <f>IFERROR(__xludf.DUMMYFUNCTION("IFERROR(GOOGLEFINANCE(A898,""volume""),"""")"),"")</f>
        <v/>
      </c>
      <c r="AA898" s="24" t="str">
        <f>VLOOKUP(A898,Metrik!$C$2:$Y$959,5,0)</f>
        <v>Auto Components</v>
      </c>
      <c r="AB898" s="24" t="str">
        <f>VLOOKUP(A898,Metrik!$C$2:$Y$959,3,0)</f>
        <v>Consumer Cyclicals</v>
      </c>
    </row>
    <row r="899">
      <c r="A899" s="14" t="s">
        <v>488</v>
      </c>
      <c r="B899" s="14" t="str">
        <f t="array" ref="B899">VLOOKUP(A899,{Metrik!$C$2:$C$998,Metrik!$B$2:$B$998},2,0)</f>
        <v>Tanah Laut Tbk</v>
      </c>
      <c r="C899" s="15">
        <f>IFERROR(__xludf.DUMMYFUNCTION("GOOGLEFINANCE(""IDX:""&amp;A899,""price"")"),65.0)</f>
        <v>65</v>
      </c>
      <c r="D899" s="16" t="str">
        <f>IFERROR(__xludf.DUMMYFUNCTION("IF(A899="""","""",
SPARKLINE(
INDEX(
GOOGLEFINANCE(""IDX:""&amp;A899,""close"",TODAY()-365,TODAY()),
,2
),
{""linewidth"",1}
))
"),"#N/A")</f>
        <v>#N/A</v>
      </c>
      <c r="E899" s="26"/>
      <c r="F899" s="26"/>
      <c r="G899" s="24">
        <f t="shared" si="7"/>
        <v>0</v>
      </c>
      <c r="H899" s="19">
        <f>VLOOKUP(A899,Metrik!$C$2:$Y$959,8,0)</f>
        <v>-4.2</v>
      </c>
      <c r="I899" s="20">
        <f>VLOOKUP(A899,Metrik!$C$2:$Y$959,9,0)</f>
        <v>1.6</v>
      </c>
      <c r="J899" s="20">
        <f>VLOOKUP(A899,Metrik!$C$2:$Y$959,10,0)</f>
        <v>-37.4</v>
      </c>
      <c r="K899" s="20">
        <f>VLOOKUP(A899,Metrik!$C$2:$Y$959,11,0)</f>
        <v>-18.7</v>
      </c>
      <c r="L899" s="20">
        <f>VLOOKUP(A899,Metrik!$C$2:$Y$959,12,0)</f>
        <v>1</v>
      </c>
      <c r="M899" s="20">
        <f>VLOOKUP(A899,Metrik!$C$2:$Y$959,19,0)</f>
        <v>-4500</v>
      </c>
      <c r="N899" s="21"/>
      <c r="O899" s="21"/>
      <c r="P899" s="21"/>
      <c r="Q899" s="21"/>
      <c r="R899" s="21"/>
      <c r="S899" s="21"/>
      <c r="T899" s="21"/>
      <c r="U899" s="22">
        <f>IFERROR(__xludf.DUMMYFUNCTION("IFERROR(GOOGLEFINANCE(A899,""closeyest""),"""")"),60.0)</f>
        <v>60</v>
      </c>
      <c r="V899" s="23">
        <f>IFERROR(__xludf.DUMMYFUNCTION("IFERROR(GOOGLEFINANCE(A899,""changepct""),"""")"),8.33)</f>
        <v>8.33</v>
      </c>
      <c r="W899" s="22">
        <f>IFERROR(__xludf.DUMMYFUNCTION("IFERROR(GOOGLEFINANCE(A899,""priceopen""),"""")"),60.0)</f>
        <v>60</v>
      </c>
      <c r="X899" s="22">
        <f>IFERROR(__xludf.DUMMYFUNCTION("IFERROR(GOOGLEFINANCE(A899,""high""),"""")"),72.0)</f>
        <v>72</v>
      </c>
      <c r="Y899" s="22">
        <f>IFERROR(__xludf.DUMMYFUNCTION("IFERROR(GOOGLEFINANCE(A899,""low""),"""")"),59.0)</f>
        <v>59</v>
      </c>
      <c r="Z899" s="22">
        <f>IFERROR(__xludf.DUMMYFUNCTION("IFERROR(GOOGLEFINANCE(A899,""volume""),"""")"),1.15684E7)</f>
        <v>11568400</v>
      </c>
      <c r="AA899" s="24" t="str">
        <f>VLOOKUP(A899,Metrik!$C$2:$Y$959,5,0)</f>
        <v>Professional Services</v>
      </c>
      <c r="AB899" s="24" t="str">
        <f>VLOOKUP(A899,Metrik!$C$2:$Y$959,3,0)</f>
        <v>Industrials</v>
      </c>
    </row>
    <row r="900">
      <c r="A900" s="14" t="s">
        <v>489</v>
      </c>
      <c r="B900" s="14" t="str">
        <f t="array" ref="B900">VLOOKUP(A900,{Metrik!$C$2:$C$998,Metrik!$B$2:$B$998},2,0)</f>
        <v>Indika Energy Tbk.</v>
      </c>
      <c r="C900" s="15">
        <f>IFERROR(__xludf.DUMMYFUNCTION("GOOGLEFINANCE(""IDX:""&amp;A900,""price"")"),2260.0)</f>
        <v>2260</v>
      </c>
      <c r="D900" s="16" t="str">
        <f>IFERROR(__xludf.DUMMYFUNCTION("IF(A900="""","""",
SPARKLINE(
INDEX(
GOOGLEFINANCE(""IDX:""&amp;A900,""close"",TODAY()-365,TODAY()),
,2
),
{""linewidth"",1}
))
"),"#N/A")</f>
        <v>#N/A</v>
      </c>
      <c r="E900" s="14" t="s">
        <v>32</v>
      </c>
      <c r="F900" s="14" t="s">
        <v>29</v>
      </c>
      <c r="G900" s="24">
        <f t="shared" si="7"/>
        <v>4</v>
      </c>
      <c r="H900" s="19">
        <f>VLOOKUP(A900,Metrik!$C$2:$Y$959,8,0)</f>
        <v>68.9</v>
      </c>
      <c r="I900" s="20">
        <f>VLOOKUP(A900,Metrik!$C$2:$Y$959,9,0)</f>
        <v>0.52</v>
      </c>
      <c r="J900" s="20">
        <f>VLOOKUP(A900,Metrik!$C$2:$Y$959,10,0)</f>
        <v>0.75</v>
      </c>
      <c r="K900" s="20">
        <f>VLOOKUP(A900,Metrik!$C$2:$Y$959,11,0)</f>
        <v>0.34</v>
      </c>
      <c r="L900" s="20">
        <f>VLOOKUP(A900,Metrik!$C$2:$Y$959,12,0)</f>
        <v>1.2</v>
      </c>
      <c r="M900" s="20">
        <f>VLOOKUP(A900,Metrik!$C$2:$Y$959,19,0)</f>
        <v>2.1</v>
      </c>
      <c r="N900" s="21"/>
      <c r="O900" s="21"/>
      <c r="P900" s="21"/>
      <c r="Q900" s="21"/>
      <c r="R900" s="21"/>
      <c r="S900" s="21"/>
      <c r="T900" s="21"/>
      <c r="U900" s="22">
        <f>IFERROR(__xludf.DUMMYFUNCTION("IFERROR(GOOGLEFINANCE(A900,""closeyest""),"""")"),42.23)</f>
        <v>42.23</v>
      </c>
      <c r="V900" s="23">
        <f>IFERROR(__xludf.DUMMYFUNCTION("IFERROR(GOOGLEFINANCE(A900,""changepct""),"""")"),1.11)</f>
        <v>1.11</v>
      </c>
      <c r="W900" s="22">
        <f>IFERROR(__xludf.DUMMYFUNCTION("IFERROR(GOOGLEFINANCE(A900,""priceopen""),"""")"),42.69)</f>
        <v>42.69</v>
      </c>
      <c r="X900" s="22">
        <f>IFERROR(__xludf.DUMMYFUNCTION("IFERROR(GOOGLEFINANCE(A900,""high""),"""")"),42.9)</f>
        <v>42.9</v>
      </c>
      <c r="Y900" s="22">
        <f>IFERROR(__xludf.DUMMYFUNCTION("IFERROR(GOOGLEFINANCE(A900,""low""),"""")"),42.58)</f>
        <v>42.58</v>
      </c>
      <c r="Z900" s="22">
        <f>IFERROR(__xludf.DUMMYFUNCTION("IFERROR(GOOGLEFINANCE(A900,""volume""),"""")"),229335.0)</f>
        <v>229335</v>
      </c>
      <c r="AA900" s="24" t="str">
        <f>VLOOKUP(A900,Metrik!$C$2:$Y$959,5,0)</f>
        <v>Coal</v>
      </c>
      <c r="AB900" s="24" t="str">
        <f>VLOOKUP(A900,Metrik!$C$2:$Y$959,3,0)</f>
        <v>Energy</v>
      </c>
    </row>
    <row r="901">
      <c r="A901" s="14" t="s">
        <v>489</v>
      </c>
      <c r="B901" s="14" t="str">
        <f t="array" ref="B901">VLOOKUP(A901,{Metrik!$C$2:$C$998,Metrik!$B$2:$B$998},2,0)</f>
        <v>Indika Energy Tbk.</v>
      </c>
      <c r="C901" s="15">
        <f>IFERROR(__xludf.DUMMYFUNCTION("GOOGLEFINANCE(""IDX:""&amp;A901,""price"")"),2260.0)</f>
        <v>2260</v>
      </c>
      <c r="D901" s="16" t="str">
        <f>IFERROR(__xludf.DUMMYFUNCTION("IF(A901="""","""",
SPARKLINE(
INDEX(
GOOGLEFINANCE(""IDX:""&amp;A901,""close"",TODAY()-365,TODAY()),
,2
),
{""linewidth"",1}
))
"),"#N/A")</f>
        <v>#N/A</v>
      </c>
      <c r="E901" s="14" t="s">
        <v>28</v>
      </c>
      <c r="F901" s="17" t="s">
        <v>29</v>
      </c>
      <c r="G901" s="24">
        <f t="shared" si="7"/>
        <v>4</v>
      </c>
      <c r="H901" s="19">
        <f>VLOOKUP(A901,Metrik!$C$2:$Y$959,8,0)</f>
        <v>68.9</v>
      </c>
      <c r="I901" s="20">
        <f>VLOOKUP(A901,Metrik!$C$2:$Y$959,9,0)</f>
        <v>0.52</v>
      </c>
      <c r="J901" s="20">
        <f>VLOOKUP(A901,Metrik!$C$2:$Y$959,10,0)</f>
        <v>0.75</v>
      </c>
      <c r="K901" s="20">
        <f>VLOOKUP(A901,Metrik!$C$2:$Y$959,11,0)</f>
        <v>0.34</v>
      </c>
      <c r="L901" s="20">
        <f>VLOOKUP(A901,Metrik!$C$2:$Y$959,12,0)</f>
        <v>1.2</v>
      </c>
      <c r="M901" s="20">
        <f>VLOOKUP(A901,Metrik!$C$2:$Y$959,19,0)</f>
        <v>2.1</v>
      </c>
      <c r="N901" s="21"/>
      <c r="O901" s="21"/>
      <c r="P901" s="21"/>
      <c r="Q901" s="21"/>
      <c r="R901" s="21"/>
      <c r="S901" s="21"/>
      <c r="T901" s="21"/>
      <c r="U901" s="22">
        <f>IFERROR(__xludf.DUMMYFUNCTION("IFERROR(GOOGLEFINANCE(A901,""closeyest""),"""")"),42.23)</f>
        <v>42.23</v>
      </c>
      <c r="V901" s="23">
        <f>IFERROR(__xludf.DUMMYFUNCTION("IFERROR(GOOGLEFINANCE(A901,""changepct""),"""")"),1.11)</f>
        <v>1.11</v>
      </c>
      <c r="W901" s="22">
        <f>IFERROR(__xludf.DUMMYFUNCTION("IFERROR(GOOGLEFINANCE(A901,""priceopen""),"""")"),42.69)</f>
        <v>42.69</v>
      </c>
      <c r="X901" s="22">
        <f>IFERROR(__xludf.DUMMYFUNCTION("IFERROR(GOOGLEFINANCE(A901,""high""),"""")"),42.9)</f>
        <v>42.9</v>
      </c>
      <c r="Y901" s="22">
        <f>IFERROR(__xludf.DUMMYFUNCTION("IFERROR(GOOGLEFINANCE(A901,""low""),"""")"),42.58)</f>
        <v>42.58</v>
      </c>
      <c r="Z901" s="22">
        <f>IFERROR(__xludf.DUMMYFUNCTION("IFERROR(GOOGLEFINANCE(A901,""volume""),"""")"),229335.0)</f>
        <v>229335</v>
      </c>
      <c r="AA901" s="24" t="str">
        <f>VLOOKUP(A901,Metrik!$C$2:$Y$959,5,0)</f>
        <v>Coal</v>
      </c>
      <c r="AB901" s="24" t="str">
        <f>VLOOKUP(A901,Metrik!$C$2:$Y$959,3,0)</f>
        <v>Energy</v>
      </c>
    </row>
    <row r="902">
      <c r="A902" s="14" t="s">
        <v>489</v>
      </c>
      <c r="B902" s="14" t="str">
        <f t="array" ref="B902">VLOOKUP(A902,{Metrik!$C$2:$C$998,Metrik!$B$2:$B$998},2,0)</f>
        <v>Indika Energy Tbk.</v>
      </c>
      <c r="C902" s="15">
        <f>IFERROR(__xludf.DUMMYFUNCTION("GOOGLEFINANCE(""IDX:""&amp;A902,""price"")"),2260.0)</f>
        <v>2260</v>
      </c>
      <c r="D902" s="16" t="str">
        <f>IFERROR(__xludf.DUMMYFUNCTION("IF(A902="""","""",
SPARKLINE(
INDEX(
GOOGLEFINANCE(""IDX:""&amp;A902,""close"",TODAY()-365,TODAY()),
,2
),
{""linewidth"",1}
))
"),"#N/A")</f>
        <v>#N/A</v>
      </c>
      <c r="E902" s="14" t="s">
        <v>41</v>
      </c>
      <c r="F902" s="14" t="s">
        <v>34</v>
      </c>
      <c r="G902" s="24">
        <f t="shared" si="7"/>
        <v>4</v>
      </c>
      <c r="H902" s="19">
        <f>VLOOKUP(A902,Metrik!$C$2:$Y$959,8,0)</f>
        <v>68.9</v>
      </c>
      <c r="I902" s="20">
        <f>VLOOKUP(A902,Metrik!$C$2:$Y$959,9,0)</f>
        <v>0.52</v>
      </c>
      <c r="J902" s="20">
        <f>VLOOKUP(A902,Metrik!$C$2:$Y$959,10,0)</f>
        <v>0.75</v>
      </c>
      <c r="K902" s="20">
        <f>VLOOKUP(A902,Metrik!$C$2:$Y$959,11,0)</f>
        <v>0.34</v>
      </c>
      <c r="L902" s="20">
        <f>VLOOKUP(A902,Metrik!$C$2:$Y$959,12,0)</f>
        <v>1.2</v>
      </c>
      <c r="M902" s="20">
        <f>VLOOKUP(A902,Metrik!$C$2:$Y$959,19,0)</f>
        <v>2.1</v>
      </c>
      <c r="N902" s="21"/>
      <c r="O902" s="21"/>
      <c r="P902" s="21"/>
      <c r="Q902" s="21"/>
      <c r="R902" s="21"/>
      <c r="S902" s="21"/>
      <c r="T902" s="21"/>
      <c r="U902" s="22">
        <f>IFERROR(__xludf.DUMMYFUNCTION("IFERROR(GOOGLEFINANCE(A902,""closeyest""),"""")"),42.23)</f>
        <v>42.23</v>
      </c>
      <c r="V902" s="23">
        <f>IFERROR(__xludf.DUMMYFUNCTION("IFERROR(GOOGLEFINANCE(A902,""changepct""),"""")"),1.11)</f>
        <v>1.11</v>
      </c>
      <c r="W902" s="22">
        <f>IFERROR(__xludf.DUMMYFUNCTION("IFERROR(GOOGLEFINANCE(A902,""priceopen""),"""")"),42.69)</f>
        <v>42.69</v>
      </c>
      <c r="X902" s="22">
        <f>IFERROR(__xludf.DUMMYFUNCTION("IFERROR(GOOGLEFINANCE(A902,""high""),"""")"),42.9)</f>
        <v>42.9</v>
      </c>
      <c r="Y902" s="22">
        <f>IFERROR(__xludf.DUMMYFUNCTION("IFERROR(GOOGLEFINANCE(A902,""low""),"""")"),42.58)</f>
        <v>42.58</v>
      </c>
      <c r="Z902" s="22">
        <f>IFERROR(__xludf.DUMMYFUNCTION("IFERROR(GOOGLEFINANCE(A902,""volume""),"""")"),229335.0)</f>
        <v>229335</v>
      </c>
      <c r="AA902" s="24" t="str">
        <f>VLOOKUP(A902,Metrik!$C$2:$Y$959,5,0)</f>
        <v>Coal</v>
      </c>
      <c r="AB902" s="24" t="str">
        <f>VLOOKUP(A902,Metrik!$C$2:$Y$959,3,0)</f>
        <v>Energy</v>
      </c>
    </row>
    <row r="903">
      <c r="A903" s="14" t="s">
        <v>489</v>
      </c>
      <c r="B903" s="14" t="str">
        <f t="array" ref="B903">VLOOKUP(A903,{Metrik!$C$2:$C$998,Metrik!$B$2:$B$998},2,0)</f>
        <v>Indika Energy Tbk.</v>
      </c>
      <c r="C903" s="15">
        <f>IFERROR(__xludf.DUMMYFUNCTION("GOOGLEFINANCE(""IDX:""&amp;A903,""price"")"),2260.0)</f>
        <v>2260</v>
      </c>
      <c r="D903" s="16" t="str">
        <f>IFERROR(__xludf.DUMMYFUNCTION("IF(A903="""","""",
SPARKLINE(
INDEX(
GOOGLEFINANCE(""IDX:""&amp;A903,""close"",TODAY()-365,TODAY()),
,2
),
{""linewidth"",1}
))
"),"#N/A")</f>
        <v>#N/A</v>
      </c>
      <c r="E903" s="14" t="s">
        <v>39</v>
      </c>
      <c r="F903" s="25">
        <v>46356.0</v>
      </c>
      <c r="G903" s="24">
        <f t="shared" si="7"/>
        <v>4</v>
      </c>
      <c r="H903" s="19">
        <f>VLOOKUP(A903,Metrik!$C$2:$Y$959,8,0)</f>
        <v>68.9</v>
      </c>
      <c r="I903" s="20">
        <f>VLOOKUP(A903,Metrik!$C$2:$Y$959,9,0)</f>
        <v>0.52</v>
      </c>
      <c r="J903" s="20">
        <f>VLOOKUP(A903,Metrik!$C$2:$Y$959,10,0)</f>
        <v>0.75</v>
      </c>
      <c r="K903" s="20">
        <f>VLOOKUP(A903,Metrik!$C$2:$Y$959,11,0)</f>
        <v>0.34</v>
      </c>
      <c r="L903" s="20">
        <f>VLOOKUP(A903,Metrik!$C$2:$Y$959,12,0)</f>
        <v>1.2</v>
      </c>
      <c r="M903" s="20">
        <f>VLOOKUP(A903,Metrik!$C$2:$Y$959,19,0)</f>
        <v>2.1</v>
      </c>
      <c r="N903" s="21"/>
      <c r="O903" s="21"/>
      <c r="P903" s="21"/>
      <c r="Q903" s="21"/>
      <c r="R903" s="21"/>
      <c r="S903" s="21"/>
      <c r="T903" s="21"/>
      <c r="U903" s="22">
        <f>IFERROR(__xludf.DUMMYFUNCTION("IFERROR(GOOGLEFINANCE(A903,""closeyest""),"""")"),42.23)</f>
        <v>42.23</v>
      </c>
      <c r="V903" s="23">
        <f>IFERROR(__xludf.DUMMYFUNCTION("IFERROR(GOOGLEFINANCE(A903,""changepct""),"""")"),1.11)</f>
        <v>1.11</v>
      </c>
      <c r="W903" s="22">
        <f>IFERROR(__xludf.DUMMYFUNCTION("IFERROR(GOOGLEFINANCE(A903,""priceopen""),"""")"),42.69)</f>
        <v>42.69</v>
      </c>
      <c r="X903" s="22">
        <f>IFERROR(__xludf.DUMMYFUNCTION("IFERROR(GOOGLEFINANCE(A903,""high""),"""")"),42.9)</f>
        <v>42.9</v>
      </c>
      <c r="Y903" s="22">
        <f>IFERROR(__xludf.DUMMYFUNCTION("IFERROR(GOOGLEFINANCE(A903,""low""),"""")"),42.58)</f>
        <v>42.58</v>
      </c>
      <c r="Z903" s="22">
        <f>IFERROR(__xludf.DUMMYFUNCTION("IFERROR(GOOGLEFINANCE(A903,""volume""),"""")"),229335.0)</f>
        <v>229335</v>
      </c>
      <c r="AA903" s="24" t="str">
        <f>VLOOKUP(A903,Metrik!$C$2:$Y$959,5,0)</f>
        <v>Coal</v>
      </c>
      <c r="AB903" s="24" t="str">
        <f>VLOOKUP(A903,Metrik!$C$2:$Y$959,3,0)</f>
        <v>Energy</v>
      </c>
    </row>
    <row r="904">
      <c r="A904" s="14" t="s">
        <v>490</v>
      </c>
      <c r="B904" s="14" t="str">
        <f t="array" ref="B904">VLOOKUP(A904,{Metrik!$C$2:$C$998,Metrik!$B$2:$B$998},2,0)</f>
        <v>PT Sinergi Inti Andalan Prima Tbk.</v>
      </c>
      <c r="C904" s="15">
        <f>IFERROR(__xludf.DUMMYFUNCTION("GOOGLEFINANCE(""IDX:""&amp;A904,""price"")"),199.0)</f>
        <v>199</v>
      </c>
      <c r="D904" s="16" t="str">
        <f>IFERROR(__xludf.DUMMYFUNCTION("IF(A904="""","""",
SPARKLINE(
INDEX(
GOOGLEFINANCE(""IDX:""&amp;A904,""close"",TODAY()-365,TODAY()),
,2
),
{""linewidth"",1}
))
"),"#N/A")</f>
        <v>#N/A</v>
      </c>
      <c r="E904" s="14" t="s">
        <v>32</v>
      </c>
      <c r="F904" s="14" t="s">
        <v>29</v>
      </c>
      <c r="G904" s="24">
        <f t="shared" si="7"/>
        <v>2</v>
      </c>
      <c r="H904" s="19">
        <f>VLOOKUP(A904,Metrik!$C$2:$Y$959,8,0)</f>
        <v>140</v>
      </c>
      <c r="I904" s="20">
        <f>VLOOKUP(A904,Metrik!$C$2:$Y$959,9,0)</f>
        <v>1.4</v>
      </c>
      <c r="J904" s="20">
        <f>VLOOKUP(A904,Metrik!$C$2:$Y$959,10,0)</f>
        <v>0.98</v>
      </c>
      <c r="K904" s="20">
        <f>VLOOKUP(A904,Metrik!$C$2:$Y$959,11,0)</f>
        <v>0.64</v>
      </c>
      <c r="L904" s="20">
        <f>VLOOKUP(A904,Metrik!$C$2:$Y$959,12,0)</f>
        <v>0.52</v>
      </c>
      <c r="M904" s="20">
        <f>VLOOKUP(A904,Metrik!$C$2:$Y$959,19,0)</f>
        <v>9.5</v>
      </c>
      <c r="N904" s="21"/>
      <c r="O904" s="21"/>
      <c r="P904" s="21"/>
      <c r="Q904" s="21"/>
      <c r="R904" s="21"/>
      <c r="S904" s="21"/>
      <c r="T904" s="21"/>
      <c r="U904" s="22" t="str">
        <f>IFERROR(__xludf.DUMMYFUNCTION("IFERROR(GOOGLEFINANCE(A904,""closeyest""),"""")"),"")</f>
        <v/>
      </c>
      <c r="V904" s="23" t="str">
        <f>IFERROR(__xludf.DUMMYFUNCTION("IFERROR(GOOGLEFINANCE(A904,""changepct""),"""")"),"")</f>
        <v/>
      </c>
      <c r="W904" s="22" t="str">
        <f>IFERROR(__xludf.DUMMYFUNCTION("IFERROR(GOOGLEFINANCE(A904,""priceopen""),"""")"),"")</f>
        <v/>
      </c>
      <c r="X904" s="22" t="str">
        <f>IFERROR(__xludf.DUMMYFUNCTION("IFERROR(GOOGLEFINANCE(A904,""high""),"""")"),"")</f>
        <v/>
      </c>
      <c r="Y904" s="22" t="str">
        <f>IFERROR(__xludf.DUMMYFUNCTION("IFERROR(GOOGLEFINANCE(A904,""low""),"""")"),"")</f>
        <v/>
      </c>
      <c r="Z904" s="22" t="str">
        <f>IFERROR(__xludf.DUMMYFUNCTION("IFERROR(GOOGLEFINANCE(A904,""volume""),"""")"),"")</f>
        <v/>
      </c>
      <c r="AA904" s="24" t="str">
        <f>VLOOKUP(A904,Metrik!$C$2:$Y$959,5,0)</f>
        <v>Telecommunication Service</v>
      </c>
      <c r="AB904" s="24" t="str">
        <f>VLOOKUP(A904,Metrik!$C$2:$Y$959,3,0)</f>
        <v>Infrastructures</v>
      </c>
    </row>
    <row r="905">
      <c r="A905" s="14" t="s">
        <v>490</v>
      </c>
      <c r="B905" s="14" t="str">
        <f t="array" ref="B905">VLOOKUP(A905,{Metrik!$C$2:$C$998,Metrik!$B$2:$B$998},2,0)</f>
        <v>PT Sinergi Inti Andalan Prima Tbk.</v>
      </c>
      <c r="C905" s="15">
        <f>IFERROR(__xludf.DUMMYFUNCTION("GOOGLEFINANCE(""IDX:""&amp;A905,""price"")"),199.0)</f>
        <v>199</v>
      </c>
      <c r="D905" s="16" t="str">
        <f>IFERROR(__xludf.DUMMYFUNCTION("IF(A905="""","""",
SPARKLINE(
INDEX(
GOOGLEFINANCE(""IDX:""&amp;A905,""close"",TODAY()-365,TODAY()),
,2
),
{""linewidth"",1}
))
"),"#N/A")</f>
        <v>#N/A</v>
      </c>
      <c r="E905" s="14" t="s">
        <v>41</v>
      </c>
      <c r="F905" s="14" t="s">
        <v>34</v>
      </c>
      <c r="G905" s="24">
        <f t="shared" si="7"/>
        <v>2</v>
      </c>
      <c r="H905" s="19">
        <f>VLOOKUP(A905,Metrik!$C$2:$Y$959,8,0)</f>
        <v>140</v>
      </c>
      <c r="I905" s="20">
        <f>VLOOKUP(A905,Metrik!$C$2:$Y$959,9,0)</f>
        <v>1.4</v>
      </c>
      <c r="J905" s="20">
        <f>VLOOKUP(A905,Metrik!$C$2:$Y$959,10,0)</f>
        <v>0.98</v>
      </c>
      <c r="K905" s="20">
        <f>VLOOKUP(A905,Metrik!$C$2:$Y$959,11,0)</f>
        <v>0.64</v>
      </c>
      <c r="L905" s="20">
        <f>VLOOKUP(A905,Metrik!$C$2:$Y$959,12,0)</f>
        <v>0.52</v>
      </c>
      <c r="M905" s="20">
        <f>VLOOKUP(A905,Metrik!$C$2:$Y$959,19,0)</f>
        <v>9.5</v>
      </c>
      <c r="N905" s="21"/>
      <c r="O905" s="21"/>
      <c r="P905" s="21"/>
      <c r="Q905" s="21"/>
      <c r="R905" s="21"/>
      <c r="S905" s="21"/>
      <c r="T905" s="21"/>
      <c r="U905" s="22" t="str">
        <f>IFERROR(__xludf.DUMMYFUNCTION("IFERROR(GOOGLEFINANCE(A905,""closeyest""),"""")"),"")</f>
        <v/>
      </c>
      <c r="V905" s="23" t="str">
        <f>IFERROR(__xludf.DUMMYFUNCTION("IFERROR(GOOGLEFINANCE(A905,""changepct""),"""")"),"")</f>
        <v/>
      </c>
      <c r="W905" s="22" t="str">
        <f>IFERROR(__xludf.DUMMYFUNCTION("IFERROR(GOOGLEFINANCE(A905,""priceopen""),"""")"),"")</f>
        <v/>
      </c>
      <c r="X905" s="22" t="str">
        <f>IFERROR(__xludf.DUMMYFUNCTION("IFERROR(GOOGLEFINANCE(A905,""high""),"""")"),"")</f>
        <v/>
      </c>
      <c r="Y905" s="22" t="str">
        <f>IFERROR(__xludf.DUMMYFUNCTION("IFERROR(GOOGLEFINANCE(A905,""low""),"""")"),"")</f>
        <v/>
      </c>
      <c r="Z905" s="22" t="str">
        <f>IFERROR(__xludf.DUMMYFUNCTION("IFERROR(GOOGLEFINANCE(A905,""volume""),"""")"),"")</f>
        <v/>
      </c>
      <c r="AA905" s="24" t="str">
        <f>VLOOKUP(A905,Metrik!$C$2:$Y$959,5,0)</f>
        <v>Telecommunication Service</v>
      </c>
      <c r="AB905" s="24" t="str">
        <f>VLOOKUP(A905,Metrik!$C$2:$Y$959,3,0)</f>
        <v>Infrastructures</v>
      </c>
    </row>
    <row r="906">
      <c r="A906" s="14" t="s">
        <v>491</v>
      </c>
      <c r="B906" s="14" t="str">
        <f t="array" ref="B906">VLOOKUP(A906,{Metrik!$C$2:$C$998,Metrik!$B$2:$B$998},2,0)</f>
        <v>Indah Kiat Pulp &amp; Paper Tbk.</v>
      </c>
      <c r="C906" s="15">
        <f>IFERROR(__xludf.DUMMYFUNCTION("GOOGLEFINANCE(""IDX:""&amp;A906,""price"")"),7700.0)</f>
        <v>7700</v>
      </c>
      <c r="D906" s="16" t="str">
        <f>IFERROR(__xludf.DUMMYFUNCTION("IF(A906="""","""",
SPARKLINE(
INDEX(
GOOGLEFINANCE(""IDX:""&amp;A906,""close"",TODAY()-365,TODAY()),
,2
),
{""linewidth"",1}
))
"),"#N/A")</f>
        <v>#N/A</v>
      </c>
      <c r="E906" s="14" t="s">
        <v>65</v>
      </c>
      <c r="F906" s="25">
        <v>46356.0</v>
      </c>
      <c r="G906" s="24">
        <f t="shared" si="7"/>
        <v>16</v>
      </c>
      <c r="H906" s="19">
        <f>VLOOKUP(A906,Metrik!$C$2:$Y$959,8,0)</f>
        <v>5.3</v>
      </c>
      <c r="I906" s="20">
        <f>VLOOKUP(A906,Metrik!$C$2:$Y$959,9,0)</f>
        <v>0.35</v>
      </c>
      <c r="J906" s="20">
        <f>VLOOKUP(A906,Metrik!$C$2:$Y$959,10,0)</f>
        <v>6.7</v>
      </c>
      <c r="K906" s="20">
        <f>VLOOKUP(A906,Metrik!$C$2:$Y$959,11,0)</f>
        <v>3.7</v>
      </c>
      <c r="L906" s="20">
        <f>VLOOKUP(A906,Metrik!$C$2:$Y$959,12,0)</f>
        <v>0.81</v>
      </c>
      <c r="M906" s="20">
        <f>VLOOKUP(A906,Metrik!$C$2:$Y$959,19,0)</f>
        <v>57.2</v>
      </c>
      <c r="N906" s="21"/>
      <c r="O906" s="21"/>
      <c r="P906" s="21"/>
      <c r="Q906" s="21"/>
      <c r="R906" s="21"/>
      <c r="S906" s="21"/>
      <c r="T906" s="21"/>
      <c r="U906" s="22">
        <f>IFERROR(__xludf.DUMMYFUNCTION("IFERROR(GOOGLEFINANCE(A906,""closeyest""),"""")"),7550.0)</f>
        <v>7550</v>
      </c>
      <c r="V906" s="23">
        <f>IFERROR(__xludf.DUMMYFUNCTION("IFERROR(GOOGLEFINANCE(A906,""changepct""),"""")"),1.99)</f>
        <v>1.99</v>
      </c>
      <c r="W906" s="22">
        <f>IFERROR(__xludf.DUMMYFUNCTION("IFERROR(GOOGLEFINANCE(A906,""priceopen""),"""")"),7625.0)</f>
        <v>7625</v>
      </c>
      <c r="X906" s="22">
        <f>IFERROR(__xludf.DUMMYFUNCTION("IFERROR(GOOGLEFINANCE(A906,""high""),"""")"),7800.0)</f>
        <v>7800</v>
      </c>
      <c r="Y906" s="22">
        <f>IFERROR(__xludf.DUMMYFUNCTION("IFERROR(GOOGLEFINANCE(A906,""low""),"""")"),7575.0)</f>
        <v>7575</v>
      </c>
      <c r="Z906" s="22">
        <f>IFERROR(__xludf.DUMMYFUNCTION("IFERROR(GOOGLEFINANCE(A906,""volume""),"""")"),5343300.0)</f>
        <v>5343300</v>
      </c>
      <c r="AA906" s="24" t="str">
        <f>VLOOKUP(A906,Metrik!$C$2:$Y$959,5,0)</f>
        <v>Forestry &amp; Paper</v>
      </c>
      <c r="AB906" s="24" t="str">
        <f>VLOOKUP(A906,Metrik!$C$2:$Y$959,3,0)</f>
        <v>Basic Materials</v>
      </c>
    </row>
    <row r="907">
      <c r="A907" s="14" t="s">
        <v>491</v>
      </c>
      <c r="B907" s="14" t="str">
        <f t="array" ref="B907">VLOOKUP(A907,{Metrik!$C$2:$C$998,Metrik!$B$2:$B$998},2,0)</f>
        <v>Indah Kiat Pulp &amp; Paper Tbk.</v>
      </c>
      <c r="C907" s="15">
        <f>IFERROR(__xludf.DUMMYFUNCTION("GOOGLEFINANCE(""IDX:""&amp;A907,""price"")"),7700.0)</f>
        <v>7700</v>
      </c>
      <c r="D907" s="16" t="str">
        <f>IFERROR(__xludf.DUMMYFUNCTION("IF(A907="""","""",
SPARKLINE(
INDEX(
GOOGLEFINANCE(""IDX:""&amp;A907,""close"",TODAY()-365,TODAY()),
,2
),
{""linewidth"",1}
))
"),"#N/A")</f>
        <v>#N/A</v>
      </c>
      <c r="E907" s="14" t="s">
        <v>68</v>
      </c>
      <c r="F907" s="14" t="s">
        <v>34</v>
      </c>
      <c r="G907" s="24">
        <f t="shared" si="7"/>
        <v>16</v>
      </c>
      <c r="H907" s="19">
        <f>VLOOKUP(A907,Metrik!$C$2:$Y$959,8,0)</f>
        <v>5.3</v>
      </c>
      <c r="I907" s="20">
        <f>VLOOKUP(A907,Metrik!$C$2:$Y$959,9,0)</f>
        <v>0.35</v>
      </c>
      <c r="J907" s="20">
        <f>VLOOKUP(A907,Metrik!$C$2:$Y$959,10,0)</f>
        <v>6.7</v>
      </c>
      <c r="K907" s="20">
        <f>VLOOKUP(A907,Metrik!$C$2:$Y$959,11,0)</f>
        <v>3.7</v>
      </c>
      <c r="L907" s="20">
        <f>VLOOKUP(A907,Metrik!$C$2:$Y$959,12,0)</f>
        <v>0.81</v>
      </c>
      <c r="M907" s="20">
        <f>VLOOKUP(A907,Metrik!$C$2:$Y$959,19,0)</f>
        <v>57.2</v>
      </c>
      <c r="N907" s="21"/>
      <c r="O907" s="21"/>
      <c r="P907" s="21"/>
      <c r="Q907" s="21"/>
      <c r="R907" s="21"/>
      <c r="S907" s="21"/>
      <c r="T907" s="21"/>
      <c r="U907" s="22">
        <f>IFERROR(__xludf.DUMMYFUNCTION("IFERROR(GOOGLEFINANCE(A907,""closeyest""),"""")"),7550.0)</f>
        <v>7550</v>
      </c>
      <c r="V907" s="23">
        <f>IFERROR(__xludf.DUMMYFUNCTION("IFERROR(GOOGLEFINANCE(A907,""changepct""),"""")"),1.99)</f>
        <v>1.99</v>
      </c>
      <c r="W907" s="22">
        <f>IFERROR(__xludf.DUMMYFUNCTION("IFERROR(GOOGLEFINANCE(A907,""priceopen""),"""")"),7625.0)</f>
        <v>7625</v>
      </c>
      <c r="X907" s="22">
        <f>IFERROR(__xludf.DUMMYFUNCTION("IFERROR(GOOGLEFINANCE(A907,""high""),"""")"),7800.0)</f>
        <v>7800</v>
      </c>
      <c r="Y907" s="22">
        <f>IFERROR(__xludf.DUMMYFUNCTION("IFERROR(GOOGLEFINANCE(A907,""low""),"""")"),7575.0)</f>
        <v>7575</v>
      </c>
      <c r="Z907" s="22">
        <f>IFERROR(__xludf.DUMMYFUNCTION("IFERROR(GOOGLEFINANCE(A907,""volume""),"""")"),5343300.0)</f>
        <v>5343300</v>
      </c>
      <c r="AA907" s="24" t="str">
        <f>VLOOKUP(A907,Metrik!$C$2:$Y$959,5,0)</f>
        <v>Forestry &amp; Paper</v>
      </c>
      <c r="AB907" s="24" t="str">
        <f>VLOOKUP(A907,Metrik!$C$2:$Y$959,3,0)</f>
        <v>Basic Materials</v>
      </c>
    </row>
    <row r="908">
      <c r="A908" s="14" t="s">
        <v>491</v>
      </c>
      <c r="B908" s="14" t="str">
        <f t="array" ref="B908">VLOOKUP(A908,{Metrik!$C$2:$C$998,Metrik!$B$2:$B$998},2,0)</f>
        <v>Indah Kiat Pulp &amp; Paper Tbk.</v>
      </c>
      <c r="C908" s="15">
        <f>IFERROR(__xludf.DUMMYFUNCTION("GOOGLEFINANCE(""IDX:""&amp;A908,""price"")"),7700.0)</f>
        <v>7700</v>
      </c>
      <c r="D908" s="16" t="str">
        <f>IFERROR(__xludf.DUMMYFUNCTION("IF(A908="""","""",
SPARKLINE(
INDEX(
GOOGLEFINANCE(""IDX:""&amp;A908,""close"",TODAY()-365,TODAY()),
,2
),
{""linewidth"",1}
))
"),"#N/A")</f>
        <v>#N/A</v>
      </c>
      <c r="E908" s="14" t="s">
        <v>33</v>
      </c>
      <c r="F908" s="14" t="s">
        <v>34</v>
      </c>
      <c r="G908" s="24">
        <f t="shared" si="7"/>
        <v>16</v>
      </c>
      <c r="H908" s="19">
        <f>VLOOKUP(A908,Metrik!$C$2:$Y$959,8,0)</f>
        <v>5.3</v>
      </c>
      <c r="I908" s="20">
        <f>VLOOKUP(A908,Metrik!$C$2:$Y$959,9,0)</f>
        <v>0.35</v>
      </c>
      <c r="J908" s="20">
        <f>VLOOKUP(A908,Metrik!$C$2:$Y$959,10,0)</f>
        <v>6.7</v>
      </c>
      <c r="K908" s="20">
        <f>VLOOKUP(A908,Metrik!$C$2:$Y$959,11,0)</f>
        <v>3.7</v>
      </c>
      <c r="L908" s="20">
        <f>VLOOKUP(A908,Metrik!$C$2:$Y$959,12,0)</f>
        <v>0.81</v>
      </c>
      <c r="M908" s="20">
        <f>VLOOKUP(A908,Metrik!$C$2:$Y$959,19,0)</f>
        <v>57.2</v>
      </c>
      <c r="N908" s="21"/>
      <c r="O908" s="21"/>
      <c r="P908" s="21"/>
      <c r="Q908" s="21"/>
      <c r="R908" s="21"/>
      <c r="S908" s="21"/>
      <c r="T908" s="21"/>
      <c r="U908" s="22">
        <f>IFERROR(__xludf.DUMMYFUNCTION("IFERROR(GOOGLEFINANCE(A908,""closeyest""),"""")"),7550.0)</f>
        <v>7550</v>
      </c>
      <c r="V908" s="23">
        <f>IFERROR(__xludf.DUMMYFUNCTION("IFERROR(GOOGLEFINANCE(A908,""changepct""),"""")"),1.99)</f>
        <v>1.99</v>
      </c>
      <c r="W908" s="22">
        <f>IFERROR(__xludf.DUMMYFUNCTION("IFERROR(GOOGLEFINANCE(A908,""priceopen""),"""")"),7625.0)</f>
        <v>7625</v>
      </c>
      <c r="X908" s="22">
        <f>IFERROR(__xludf.DUMMYFUNCTION("IFERROR(GOOGLEFINANCE(A908,""high""),"""")"),7800.0)</f>
        <v>7800</v>
      </c>
      <c r="Y908" s="22">
        <f>IFERROR(__xludf.DUMMYFUNCTION("IFERROR(GOOGLEFINANCE(A908,""low""),"""")"),7575.0)</f>
        <v>7575</v>
      </c>
      <c r="Z908" s="22">
        <f>IFERROR(__xludf.DUMMYFUNCTION("IFERROR(GOOGLEFINANCE(A908,""volume""),"""")"),5343300.0)</f>
        <v>5343300</v>
      </c>
      <c r="AA908" s="24" t="str">
        <f>VLOOKUP(A908,Metrik!$C$2:$Y$959,5,0)</f>
        <v>Forestry &amp; Paper</v>
      </c>
      <c r="AB908" s="24" t="str">
        <f>VLOOKUP(A908,Metrik!$C$2:$Y$959,3,0)</f>
        <v>Basic Materials</v>
      </c>
    </row>
    <row r="909">
      <c r="A909" s="14" t="s">
        <v>491</v>
      </c>
      <c r="B909" s="14" t="str">
        <f t="array" ref="B909">VLOOKUP(A909,{Metrik!$C$2:$C$998,Metrik!$B$2:$B$998},2,0)</f>
        <v>Indah Kiat Pulp &amp; Paper Tbk.</v>
      </c>
      <c r="C909" s="15">
        <f>IFERROR(__xludf.DUMMYFUNCTION("GOOGLEFINANCE(""IDX:""&amp;A909,""price"")"),7700.0)</f>
        <v>7700</v>
      </c>
      <c r="D909" s="16" t="str">
        <f>IFERROR(__xludf.DUMMYFUNCTION("IF(A909="""","""",
SPARKLINE(
INDEX(
GOOGLEFINANCE(""IDX:""&amp;A909,""close"",TODAY()-365,TODAY()),
,2
),
{""linewidth"",1}
))
"),"#N/A")</f>
        <v>#N/A</v>
      </c>
      <c r="E909" s="14" t="s">
        <v>52</v>
      </c>
      <c r="F909" s="27" t="s">
        <v>53</v>
      </c>
      <c r="G909" s="24">
        <f t="shared" si="7"/>
        <v>16</v>
      </c>
      <c r="H909" s="19">
        <f>VLOOKUP(A909,Metrik!$C$2:$Y$959,8,0)</f>
        <v>5.3</v>
      </c>
      <c r="I909" s="20">
        <f>VLOOKUP(A909,Metrik!$C$2:$Y$959,9,0)</f>
        <v>0.35</v>
      </c>
      <c r="J909" s="20">
        <f>VLOOKUP(A909,Metrik!$C$2:$Y$959,10,0)</f>
        <v>6.7</v>
      </c>
      <c r="K909" s="20">
        <f>VLOOKUP(A909,Metrik!$C$2:$Y$959,11,0)</f>
        <v>3.7</v>
      </c>
      <c r="L909" s="20">
        <f>VLOOKUP(A909,Metrik!$C$2:$Y$959,12,0)</f>
        <v>0.81</v>
      </c>
      <c r="M909" s="20">
        <f>VLOOKUP(A909,Metrik!$C$2:$Y$959,19,0)</f>
        <v>57.2</v>
      </c>
      <c r="N909" s="21"/>
      <c r="O909" s="21"/>
      <c r="P909" s="21"/>
      <c r="Q909" s="21"/>
      <c r="R909" s="21"/>
      <c r="S909" s="21"/>
      <c r="T909" s="21"/>
      <c r="U909" s="22">
        <f>IFERROR(__xludf.DUMMYFUNCTION("IFERROR(GOOGLEFINANCE(A909,""closeyest""),"""")"),7550.0)</f>
        <v>7550</v>
      </c>
      <c r="V909" s="23">
        <f>IFERROR(__xludf.DUMMYFUNCTION("IFERROR(GOOGLEFINANCE(A909,""changepct""),"""")"),1.99)</f>
        <v>1.99</v>
      </c>
      <c r="W909" s="22">
        <f>IFERROR(__xludf.DUMMYFUNCTION("IFERROR(GOOGLEFINANCE(A909,""priceopen""),"""")"),7625.0)</f>
        <v>7625</v>
      </c>
      <c r="X909" s="22">
        <f>IFERROR(__xludf.DUMMYFUNCTION("IFERROR(GOOGLEFINANCE(A909,""high""),"""")"),7800.0)</f>
        <v>7800</v>
      </c>
      <c r="Y909" s="22">
        <f>IFERROR(__xludf.DUMMYFUNCTION("IFERROR(GOOGLEFINANCE(A909,""low""),"""")"),7575.0)</f>
        <v>7575</v>
      </c>
      <c r="Z909" s="22">
        <f>IFERROR(__xludf.DUMMYFUNCTION("IFERROR(GOOGLEFINANCE(A909,""volume""),"""")"),5343300.0)</f>
        <v>5343300</v>
      </c>
      <c r="AA909" s="24" t="str">
        <f>VLOOKUP(A909,Metrik!$C$2:$Y$959,5,0)</f>
        <v>Forestry &amp; Paper</v>
      </c>
      <c r="AB909" s="24" t="str">
        <f>VLOOKUP(A909,Metrik!$C$2:$Y$959,3,0)</f>
        <v>Basic Materials</v>
      </c>
    </row>
    <row r="910">
      <c r="A910" s="14" t="s">
        <v>491</v>
      </c>
      <c r="B910" s="14" t="str">
        <f t="array" ref="B910">VLOOKUP(A910,{Metrik!$C$2:$C$998,Metrik!$B$2:$B$998},2,0)</f>
        <v>Indah Kiat Pulp &amp; Paper Tbk.</v>
      </c>
      <c r="C910" s="15">
        <f>IFERROR(__xludf.DUMMYFUNCTION("GOOGLEFINANCE(""IDX:""&amp;A910,""price"")"),7700.0)</f>
        <v>7700</v>
      </c>
      <c r="D910" s="16" t="str">
        <f>IFERROR(__xludf.DUMMYFUNCTION("IF(A910="""","""",
SPARKLINE(
INDEX(
GOOGLEFINANCE(""IDX:""&amp;A910,""close"",TODAY()-365,TODAY()),
,2
),
{""linewidth"",1}
))
"),"#N/A")</f>
        <v>#N/A</v>
      </c>
      <c r="E910" s="14" t="s">
        <v>161</v>
      </c>
      <c r="F910" s="14" t="s">
        <v>76</v>
      </c>
      <c r="G910" s="24">
        <f t="shared" si="7"/>
        <v>16</v>
      </c>
      <c r="H910" s="19">
        <f>VLOOKUP(A910,Metrik!$C$2:$Y$959,8,0)</f>
        <v>5.3</v>
      </c>
      <c r="I910" s="20">
        <f>VLOOKUP(A910,Metrik!$C$2:$Y$959,9,0)</f>
        <v>0.35</v>
      </c>
      <c r="J910" s="20">
        <f>VLOOKUP(A910,Metrik!$C$2:$Y$959,10,0)</f>
        <v>6.7</v>
      </c>
      <c r="K910" s="20">
        <f>VLOOKUP(A910,Metrik!$C$2:$Y$959,11,0)</f>
        <v>3.7</v>
      </c>
      <c r="L910" s="20">
        <f>VLOOKUP(A910,Metrik!$C$2:$Y$959,12,0)</f>
        <v>0.81</v>
      </c>
      <c r="M910" s="20">
        <f>VLOOKUP(A910,Metrik!$C$2:$Y$959,19,0)</f>
        <v>57.2</v>
      </c>
      <c r="N910" s="21"/>
      <c r="O910" s="21"/>
      <c r="P910" s="21"/>
      <c r="Q910" s="21"/>
      <c r="R910" s="21"/>
      <c r="S910" s="21"/>
      <c r="T910" s="21"/>
      <c r="U910" s="22">
        <f>IFERROR(__xludf.DUMMYFUNCTION("IFERROR(GOOGLEFINANCE(A910,""closeyest""),"""")"),7550.0)</f>
        <v>7550</v>
      </c>
      <c r="V910" s="23">
        <f>IFERROR(__xludf.DUMMYFUNCTION("IFERROR(GOOGLEFINANCE(A910,""changepct""),"""")"),1.99)</f>
        <v>1.99</v>
      </c>
      <c r="W910" s="22">
        <f>IFERROR(__xludf.DUMMYFUNCTION("IFERROR(GOOGLEFINANCE(A910,""priceopen""),"""")"),7625.0)</f>
        <v>7625</v>
      </c>
      <c r="X910" s="22">
        <f>IFERROR(__xludf.DUMMYFUNCTION("IFERROR(GOOGLEFINANCE(A910,""high""),"""")"),7800.0)</f>
        <v>7800</v>
      </c>
      <c r="Y910" s="22">
        <f>IFERROR(__xludf.DUMMYFUNCTION("IFERROR(GOOGLEFINANCE(A910,""low""),"""")"),7575.0)</f>
        <v>7575</v>
      </c>
      <c r="Z910" s="22">
        <f>IFERROR(__xludf.DUMMYFUNCTION("IFERROR(GOOGLEFINANCE(A910,""volume""),"""")"),5343300.0)</f>
        <v>5343300</v>
      </c>
      <c r="AA910" s="24" t="str">
        <f>VLOOKUP(A910,Metrik!$C$2:$Y$959,5,0)</f>
        <v>Forestry &amp; Paper</v>
      </c>
      <c r="AB910" s="24" t="str">
        <f>VLOOKUP(A910,Metrik!$C$2:$Y$959,3,0)</f>
        <v>Basic Materials</v>
      </c>
    </row>
    <row r="911">
      <c r="A911" s="14" t="s">
        <v>491</v>
      </c>
      <c r="B911" s="14" t="str">
        <f t="array" ref="B911">VLOOKUP(A911,{Metrik!$C$2:$C$998,Metrik!$B$2:$B$998},2,0)</f>
        <v>Indah Kiat Pulp &amp; Paper Tbk.</v>
      </c>
      <c r="C911" s="15">
        <f>IFERROR(__xludf.DUMMYFUNCTION("GOOGLEFINANCE(""IDX:""&amp;A911,""price"")"),7700.0)</f>
        <v>7700</v>
      </c>
      <c r="D911" s="16" t="str">
        <f>IFERROR(__xludf.DUMMYFUNCTION("IF(A911="""","""",
SPARKLINE(
INDEX(
GOOGLEFINANCE(""IDX:""&amp;A911,""close"",TODAY()-365,TODAY()),
,2
),
{""linewidth"",1}
))
"),"#N/A")</f>
        <v>#N/A</v>
      </c>
      <c r="E911" s="14" t="s">
        <v>67</v>
      </c>
      <c r="F911" s="17" t="s">
        <v>51</v>
      </c>
      <c r="G911" s="24">
        <f t="shared" si="7"/>
        <v>16</v>
      </c>
      <c r="H911" s="19">
        <f>VLOOKUP(A911,Metrik!$C$2:$Y$959,8,0)</f>
        <v>5.3</v>
      </c>
      <c r="I911" s="20">
        <f>VLOOKUP(A911,Metrik!$C$2:$Y$959,9,0)</f>
        <v>0.35</v>
      </c>
      <c r="J911" s="20">
        <f>VLOOKUP(A911,Metrik!$C$2:$Y$959,10,0)</f>
        <v>6.7</v>
      </c>
      <c r="K911" s="20">
        <f>VLOOKUP(A911,Metrik!$C$2:$Y$959,11,0)</f>
        <v>3.7</v>
      </c>
      <c r="L911" s="20">
        <f>VLOOKUP(A911,Metrik!$C$2:$Y$959,12,0)</f>
        <v>0.81</v>
      </c>
      <c r="M911" s="20">
        <f>VLOOKUP(A911,Metrik!$C$2:$Y$959,19,0)</f>
        <v>57.2</v>
      </c>
      <c r="N911" s="21"/>
      <c r="O911" s="21"/>
      <c r="P911" s="21"/>
      <c r="Q911" s="21"/>
      <c r="R911" s="21"/>
      <c r="S911" s="21"/>
      <c r="T911" s="21"/>
      <c r="U911" s="22">
        <f>IFERROR(__xludf.DUMMYFUNCTION("IFERROR(GOOGLEFINANCE(A911,""closeyest""),"""")"),7550.0)</f>
        <v>7550</v>
      </c>
      <c r="V911" s="23">
        <f>IFERROR(__xludf.DUMMYFUNCTION("IFERROR(GOOGLEFINANCE(A911,""changepct""),"""")"),1.99)</f>
        <v>1.99</v>
      </c>
      <c r="W911" s="22">
        <f>IFERROR(__xludf.DUMMYFUNCTION("IFERROR(GOOGLEFINANCE(A911,""priceopen""),"""")"),7625.0)</f>
        <v>7625</v>
      </c>
      <c r="X911" s="22">
        <f>IFERROR(__xludf.DUMMYFUNCTION("IFERROR(GOOGLEFINANCE(A911,""high""),"""")"),7800.0)</f>
        <v>7800</v>
      </c>
      <c r="Y911" s="22">
        <f>IFERROR(__xludf.DUMMYFUNCTION("IFERROR(GOOGLEFINANCE(A911,""low""),"""")"),7575.0)</f>
        <v>7575</v>
      </c>
      <c r="Z911" s="22">
        <f>IFERROR(__xludf.DUMMYFUNCTION("IFERROR(GOOGLEFINANCE(A911,""volume""),"""")"),5343300.0)</f>
        <v>5343300</v>
      </c>
      <c r="AA911" s="24" t="str">
        <f>VLOOKUP(A911,Metrik!$C$2:$Y$959,5,0)</f>
        <v>Forestry &amp; Paper</v>
      </c>
      <c r="AB911" s="24" t="str">
        <f>VLOOKUP(A911,Metrik!$C$2:$Y$959,3,0)</f>
        <v>Basic Materials</v>
      </c>
    </row>
    <row r="912">
      <c r="A912" s="14" t="s">
        <v>491</v>
      </c>
      <c r="B912" s="14" t="str">
        <f t="array" ref="B912">VLOOKUP(A912,{Metrik!$C$2:$C$998,Metrik!$B$2:$B$998},2,0)</f>
        <v>Indah Kiat Pulp &amp; Paper Tbk.</v>
      </c>
      <c r="C912" s="15">
        <f>IFERROR(__xludf.DUMMYFUNCTION("GOOGLEFINANCE(""IDX:""&amp;A912,""price"")"),7700.0)</f>
        <v>7700</v>
      </c>
      <c r="D912" s="16" t="str">
        <f>IFERROR(__xludf.DUMMYFUNCTION("IF(A912="""","""",
SPARKLINE(
INDEX(
GOOGLEFINANCE(""IDX:""&amp;A912,""close"",TODAY()-365,TODAY()),
,2
),
{""linewidth"",1}
))
"),"#N/A")</f>
        <v>#N/A</v>
      </c>
      <c r="E912" s="14" t="s">
        <v>31</v>
      </c>
      <c r="F912" s="17" t="s">
        <v>29</v>
      </c>
      <c r="G912" s="24">
        <f t="shared" si="7"/>
        <v>16</v>
      </c>
      <c r="H912" s="19">
        <f>VLOOKUP(A912,Metrik!$C$2:$Y$959,8,0)</f>
        <v>5.3</v>
      </c>
      <c r="I912" s="20">
        <f>VLOOKUP(A912,Metrik!$C$2:$Y$959,9,0)</f>
        <v>0.35</v>
      </c>
      <c r="J912" s="20">
        <f>VLOOKUP(A912,Metrik!$C$2:$Y$959,10,0)</f>
        <v>6.7</v>
      </c>
      <c r="K912" s="20">
        <f>VLOOKUP(A912,Metrik!$C$2:$Y$959,11,0)</f>
        <v>3.7</v>
      </c>
      <c r="L912" s="20">
        <f>VLOOKUP(A912,Metrik!$C$2:$Y$959,12,0)</f>
        <v>0.81</v>
      </c>
      <c r="M912" s="20">
        <f>VLOOKUP(A912,Metrik!$C$2:$Y$959,19,0)</f>
        <v>57.2</v>
      </c>
      <c r="N912" s="21"/>
      <c r="O912" s="21"/>
      <c r="P912" s="21"/>
      <c r="Q912" s="21"/>
      <c r="R912" s="21"/>
      <c r="S912" s="21"/>
      <c r="T912" s="21"/>
      <c r="U912" s="22">
        <f>IFERROR(__xludf.DUMMYFUNCTION("IFERROR(GOOGLEFINANCE(A912,""closeyest""),"""")"),7550.0)</f>
        <v>7550</v>
      </c>
      <c r="V912" s="23">
        <f>IFERROR(__xludf.DUMMYFUNCTION("IFERROR(GOOGLEFINANCE(A912,""changepct""),"""")"),1.99)</f>
        <v>1.99</v>
      </c>
      <c r="W912" s="22">
        <f>IFERROR(__xludf.DUMMYFUNCTION("IFERROR(GOOGLEFINANCE(A912,""priceopen""),"""")"),7625.0)</f>
        <v>7625</v>
      </c>
      <c r="X912" s="22">
        <f>IFERROR(__xludf.DUMMYFUNCTION("IFERROR(GOOGLEFINANCE(A912,""high""),"""")"),7800.0)</f>
        <v>7800</v>
      </c>
      <c r="Y912" s="22">
        <f>IFERROR(__xludf.DUMMYFUNCTION("IFERROR(GOOGLEFINANCE(A912,""low""),"""")"),7575.0)</f>
        <v>7575</v>
      </c>
      <c r="Z912" s="22">
        <f>IFERROR(__xludf.DUMMYFUNCTION("IFERROR(GOOGLEFINANCE(A912,""volume""),"""")"),5343300.0)</f>
        <v>5343300</v>
      </c>
      <c r="AA912" s="24" t="str">
        <f>VLOOKUP(A912,Metrik!$C$2:$Y$959,5,0)</f>
        <v>Forestry &amp; Paper</v>
      </c>
      <c r="AB912" s="24" t="str">
        <f>VLOOKUP(A912,Metrik!$C$2:$Y$959,3,0)</f>
        <v>Basic Materials</v>
      </c>
    </row>
    <row r="913">
      <c r="A913" s="14" t="s">
        <v>491</v>
      </c>
      <c r="B913" s="14" t="str">
        <f t="array" ref="B913">VLOOKUP(A913,{Metrik!$C$2:$C$998,Metrik!$B$2:$B$998},2,0)</f>
        <v>Indah Kiat Pulp &amp; Paper Tbk.</v>
      </c>
      <c r="C913" s="15">
        <f>IFERROR(__xludf.DUMMYFUNCTION("GOOGLEFINANCE(""IDX:""&amp;A913,""price"")"),7700.0)</f>
        <v>7700</v>
      </c>
      <c r="D913" s="16" t="str">
        <f>IFERROR(__xludf.DUMMYFUNCTION("IF(A913="""","""",
SPARKLINE(
INDEX(
GOOGLEFINANCE(""IDX:""&amp;A913,""close"",TODAY()-365,TODAY()),
,2
),
{""linewidth"",1}
))
"),"#N/A")</f>
        <v>#N/A</v>
      </c>
      <c r="E913" s="14" t="s">
        <v>28</v>
      </c>
      <c r="F913" s="17" t="s">
        <v>29</v>
      </c>
      <c r="G913" s="24">
        <f t="shared" si="7"/>
        <v>16</v>
      </c>
      <c r="H913" s="19">
        <f>VLOOKUP(A913,Metrik!$C$2:$Y$959,8,0)</f>
        <v>5.3</v>
      </c>
      <c r="I913" s="20">
        <f>VLOOKUP(A913,Metrik!$C$2:$Y$959,9,0)</f>
        <v>0.35</v>
      </c>
      <c r="J913" s="20">
        <f>VLOOKUP(A913,Metrik!$C$2:$Y$959,10,0)</f>
        <v>6.7</v>
      </c>
      <c r="K913" s="20">
        <f>VLOOKUP(A913,Metrik!$C$2:$Y$959,11,0)</f>
        <v>3.7</v>
      </c>
      <c r="L913" s="20">
        <f>VLOOKUP(A913,Metrik!$C$2:$Y$959,12,0)</f>
        <v>0.81</v>
      </c>
      <c r="M913" s="20">
        <f>VLOOKUP(A913,Metrik!$C$2:$Y$959,19,0)</f>
        <v>57.2</v>
      </c>
      <c r="N913" s="21"/>
      <c r="O913" s="21"/>
      <c r="P913" s="21"/>
      <c r="Q913" s="21"/>
      <c r="R913" s="21"/>
      <c r="S913" s="21"/>
      <c r="T913" s="21"/>
      <c r="U913" s="22">
        <f>IFERROR(__xludf.DUMMYFUNCTION("IFERROR(GOOGLEFINANCE(A913,""closeyest""),"""")"),7550.0)</f>
        <v>7550</v>
      </c>
      <c r="V913" s="23">
        <f>IFERROR(__xludf.DUMMYFUNCTION("IFERROR(GOOGLEFINANCE(A913,""changepct""),"""")"),1.99)</f>
        <v>1.99</v>
      </c>
      <c r="W913" s="22">
        <f>IFERROR(__xludf.DUMMYFUNCTION("IFERROR(GOOGLEFINANCE(A913,""priceopen""),"""")"),7625.0)</f>
        <v>7625</v>
      </c>
      <c r="X913" s="22">
        <f>IFERROR(__xludf.DUMMYFUNCTION("IFERROR(GOOGLEFINANCE(A913,""high""),"""")"),7800.0)</f>
        <v>7800</v>
      </c>
      <c r="Y913" s="22">
        <f>IFERROR(__xludf.DUMMYFUNCTION("IFERROR(GOOGLEFINANCE(A913,""low""),"""")"),7575.0)</f>
        <v>7575</v>
      </c>
      <c r="Z913" s="22">
        <f>IFERROR(__xludf.DUMMYFUNCTION("IFERROR(GOOGLEFINANCE(A913,""volume""),"""")"),5343300.0)</f>
        <v>5343300</v>
      </c>
      <c r="AA913" s="24" t="str">
        <f>VLOOKUP(A913,Metrik!$C$2:$Y$959,5,0)</f>
        <v>Forestry &amp; Paper</v>
      </c>
      <c r="AB913" s="24" t="str">
        <f>VLOOKUP(A913,Metrik!$C$2:$Y$959,3,0)</f>
        <v>Basic Materials</v>
      </c>
    </row>
    <row r="914">
      <c r="A914" s="14" t="s">
        <v>491</v>
      </c>
      <c r="B914" s="14" t="str">
        <f t="array" ref="B914">VLOOKUP(A914,{Metrik!$C$2:$C$998,Metrik!$B$2:$B$998},2,0)</f>
        <v>Indah Kiat Pulp &amp; Paper Tbk.</v>
      </c>
      <c r="C914" s="15">
        <f>IFERROR(__xludf.DUMMYFUNCTION("GOOGLEFINANCE(""IDX:""&amp;A914,""price"")"),7700.0)</f>
        <v>7700</v>
      </c>
      <c r="D914" s="16" t="str">
        <f>IFERROR(__xludf.DUMMYFUNCTION("IF(A914="""","""",
SPARKLINE(
INDEX(
GOOGLEFINANCE(""IDX:""&amp;A914,""close"",TODAY()-365,TODAY()),
,2
),
{""linewidth"",1}
))
"),"#N/A")</f>
        <v>#N/A</v>
      </c>
      <c r="E914" s="14" t="s">
        <v>102</v>
      </c>
      <c r="F914" s="27" t="s">
        <v>53</v>
      </c>
      <c r="G914" s="24">
        <f t="shared" si="7"/>
        <v>16</v>
      </c>
      <c r="H914" s="19">
        <f>VLOOKUP(A914,Metrik!$C$2:$Y$959,8,0)</f>
        <v>5.3</v>
      </c>
      <c r="I914" s="20">
        <f>VLOOKUP(A914,Metrik!$C$2:$Y$959,9,0)</f>
        <v>0.35</v>
      </c>
      <c r="J914" s="20">
        <f>VLOOKUP(A914,Metrik!$C$2:$Y$959,10,0)</f>
        <v>6.7</v>
      </c>
      <c r="K914" s="20">
        <f>VLOOKUP(A914,Metrik!$C$2:$Y$959,11,0)</f>
        <v>3.7</v>
      </c>
      <c r="L914" s="20">
        <f>VLOOKUP(A914,Metrik!$C$2:$Y$959,12,0)</f>
        <v>0.81</v>
      </c>
      <c r="M914" s="20">
        <f>VLOOKUP(A914,Metrik!$C$2:$Y$959,19,0)</f>
        <v>57.2</v>
      </c>
      <c r="N914" s="21"/>
      <c r="O914" s="21"/>
      <c r="P914" s="21"/>
      <c r="Q914" s="21"/>
      <c r="R914" s="21"/>
      <c r="S914" s="21"/>
      <c r="T914" s="21"/>
      <c r="U914" s="22">
        <f>IFERROR(__xludf.DUMMYFUNCTION("IFERROR(GOOGLEFINANCE(A914,""closeyest""),"""")"),7550.0)</f>
        <v>7550</v>
      </c>
      <c r="V914" s="23">
        <f>IFERROR(__xludf.DUMMYFUNCTION("IFERROR(GOOGLEFINANCE(A914,""changepct""),"""")"),1.99)</f>
        <v>1.99</v>
      </c>
      <c r="W914" s="22">
        <f>IFERROR(__xludf.DUMMYFUNCTION("IFERROR(GOOGLEFINANCE(A914,""priceopen""),"""")"),7625.0)</f>
        <v>7625</v>
      </c>
      <c r="X914" s="22">
        <f>IFERROR(__xludf.DUMMYFUNCTION("IFERROR(GOOGLEFINANCE(A914,""high""),"""")"),7800.0)</f>
        <v>7800</v>
      </c>
      <c r="Y914" s="22">
        <f>IFERROR(__xludf.DUMMYFUNCTION("IFERROR(GOOGLEFINANCE(A914,""low""),"""")"),7575.0)</f>
        <v>7575</v>
      </c>
      <c r="Z914" s="22">
        <f>IFERROR(__xludf.DUMMYFUNCTION("IFERROR(GOOGLEFINANCE(A914,""volume""),"""")"),5343300.0)</f>
        <v>5343300</v>
      </c>
      <c r="AA914" s="24" t="str">
        <f>VLOOKUP(A914,Metrik!$C$2:$Y$959,5,0)</f>
        <v>Forestry &amp; Paper</v>
      </c>
      <c r="AB914" s="24" t="str">
        <f>VLOOKUP(A914,Metrik!$C$2:$Y$959,3,0)</f>
        <v>Basic Materials</v>
      </c>
    </row>
    <row r="915">
      <c r="A915" s="14" t="s">
        <v>491</v>
      </c>
      <c r="B915" s="14" t="str">
        <f t="array" ref="B915">VLOOKUP(A915,{Metrik!$C$2:$C$998,Metrik!$B$2:$B$998},2,0)</f>
        <v>Indah Kiat Pulp &amp; Paper Tbk.</v>
      </c>
      <c r="C915" s="15">
        <f>IFERROR(__xludf.DUMMYFUNCTION("GOOGLEFINANCE(""IDX:""&amp;A915,""price"")"),7700.0)</f>
        <v>7700</v>
      </c>
      <c r="D915" s="16" t="str">
        <f>IFERROR(__xludf.DUMMYFUNCTION("IF(A915="""","""",
SPARKLINE(
INDEX(
GOOGLEFINANCE(""IDX:""&amp;A915,""close"",TODAY()-365,TODAY()),
,2
),
{""linewidth"",1}
))
"),"#N/A")</f>
        <v>#N/A</v>
      </c>
      <c r="E915" s="14" t="s">
        <v>32</v>
      </c>
      <c r="F915" s="14" t="s">
        <v>29</v>
      </c>
      <c r="G915" s="24">
        <f t="shared" si="7"/>
        <v>16</v>
      </c>
      <c r="H915" s="19">
        <f>VLOOKUP(A915,Metrik!$C$2:$Y$959,8,0)</f>
        <v>5.3</v>
      </c>
      <c r="I915" s="20">
        <f>VLOOKUP(A915,Metrik!$C$2:$Y$959,9,0)</f>
        <v>0.35</v>
      </c>
      <c r="J915" s="20">
        <f>VLOOKUP(A915,Metrik!$C$2:$Y$959,10,0)</f>
        <v>6.7</v>
      </c>
      <c r="K915" s="20">
        <f>VLOOKUP(A915,Metrik!$C$2:$Y$959,11,0)</f>
        <v>3.7</v>
      </c>
      <c r="L915" s="20">
        <f>VLOOKUP(A915,Metrik!$C$2:$Y$959,12,0)</f>
        <v>0.81</v>
      </c>
      <c r="M915" s="20">
        <f>VLOOKUP(A915,Metrik!$C$2:$Y$959,19,0)</f>
        <v>57.2</v>
      </c>
      <c r="N915" s="21"/>
      <c r="O915" s="21"/>
      <c r="P915" s="21"/>
      <c r="Q915" s="21"/>
      <c r="R915" s="21"/>
      <c r="S915" s="21"/>
      <c r="T915" s="21"/>
      <c r="U915" s="22">
        <f>IFERROR(__xludf.DUMMYFUNCTION("IFERROR(GOOGLEFINANCE(A915,""closeyest""),"""")"),7550.0)</f>
        <v>7550</v>
      </c>
      <c r="V915" s="23">
        <f>IFERROR(__xludf.DUMMYFUNCTION("IFERROR(GOOGLEFINANCE(A915,""changepct""),"""")"),1.99)</f>
        <v>1.99</v>
      </c>
      <c r="W915" s="22">
        <f>IFERROR(__xludf.DUMMYFUNCTION("IFERROR(GOOGLEFINANCE(A915,""priceopen""),"""")"),7625.0)</f>
        <v>7625</v>
      </c>
      <c r="X915" s="22">
        <f>IFERROR(__xludf.DUMMYFUNCTION("IFERROR(GOOGLEFINANCE(A915,""high""),"""")"),7800.0)</f>
        <v>7800</v>
      </c>
      <c r="Y915" s="22">
        <f>IFERROR(__xludf.DUMMYFUNCTION("IFERROR(GOOGLEFINANCE(A915,""low""),"""")"),7575.0)</f>
        <v>7575</v>
      </c>
      <c r="Z915" s="22">
        <f>IFERROR(__xludf.DUMMYFUNCTION("IFERROR(GOOGLEFINANCE(A915,""volume""),"""")"),5343300.0)</f>
        <v>5343300</v>
      </c>
      <c r="AA915" s="24" t="str">
        <f>VLOOKUP(A915,Metrik!$C$2:$Y$959,5,0)</f>
        <v>Forestry &amp; Paper</v>
      </c>
      <c r="AB915" s="24" t="str">
        <f>VLOOKUP(A915,Metrik!$C$2:$Y$959,3,0)</f>
        <v>Basic Materials</v>
      </c>
    </row>
    <row r="916">
      <c r="A916" s="14" t="s">
        <v>491</v>
      </c>
      <c r="B916" s="14" t="str">
        <f t="array" ref="B916">VLOOKUP(A916,{Metrik!$C$2:$C$998,Metrik!$B$2:$B$998},2,0)</f>
        <v>Indah Kiat Pulp &amp; Paper Tbk.</v>
      </c>
      <c r="C916" s="15">
        <f>IFERROR(__xludf.DUMMYFUNCTION("GOOGLEFINANCE(""IDX:""&amp;A916,""price"")"),7700.0)</f>
        <v>7700</v>
      </c>
      <c r="D916" s="16" t="str">
        <f>IFERROR(__xludf.DUMMYFUNCTION("IF(A916="""","""",
SPARKLINE(
INDEX(
GOOGLEFINANCE(""IDX:""&amp;A916,""close"",TODAY()-365,TODAY()),
,2
),
{""linewidth"",1}
))
"),"#N/A")</f>
        <v>#N/A</v>
      </c>
      <c r="E916" s="14" t="s">
        <v>30</v>
      </c>
      <c r="F916" s="17" t="s">
        <v>29</v>
      </c>
      <c r="G916" s="24">
        <f t="shared" si="7"/>
        <v>16</v>
      </c>
      <c r="H916" s="19">
        <f>VLOOKUP(A916,Metrik!$C$2:$Y$959,8,0)</f>
        <v>5.3</v>
      </c>
      <c r="I916" s="20">
        <f>VLOOKUP(A916,Metrik!$C$2:$Y$959,9,0)</f>
        <v>0.35</v>
      </c>
      <c r="J916" s="20">
        <f>VLOOKUP(A916,Metrik!$C$2:$Y$959,10,0)</f>
        <v>6.7</v>
      </c>
      <c r="K916" s="20">
        <f>VLOOKUP(A916,Metrik!$C$2:$Y$959,11,0)</f>
        <v>3.7</v>
      </c>
      <c r="L916" s="20">
        <f>VLOOKUP(A916,Metrik!$C$2:$Y$959,12,0)</f>
        <v>0.81</v>
      </c>
      <c r="M916" s="20">
        <f>VLOOKUP(A916,Metrik!$C$2:$Y$959,19,0)</f>
        <v>57.2</v>
      </c>
      <c r="N916" s="21"/>
      <c r="O916" s="21"/>
      <c r="P916" s="21"/>
      <c r="Q916" s="21"/>
      <c r="R916" s="21"/>
      <c r="S916" s="21"/>
      <c r="T916" s="21"/>
      <c r="U916" s="22">
        <f>IFERROR(__xludf.DUMMYFUNCTION("IFERROR(GOOGLEFINANCE(A916,""closeyest""),"""")"),7550.0)</f>
        <v>7550</v>
      </c>
      <c r="V916" s="23">
        <f>IFERROR(__xludf.DUMMYFUNCTION("IFERROR(GOOGLEFINANCE(A916,""changepct""),"""")"),1.99)</f>
        <v>1.99</v>
      </c>
      <c r="W916" s="22">
        <f>IFERROR(__xludf.DUMMYFUNCTION("IFERROR(GOOGLEFINANCE(A916,""priceopen""),"""")"),7625.0)</f>
        <v>7625</v>
      </c>
      <c r="X916" s="22">
        <f>IFERROR(__xludf.DUMMYFUNCTION("IFERROR(GOOGLEFINANCE(A916,""high""),"""")"),7800.0)</f>
        <v>7800</v>
      </c>
      <c r="Y916" s="22">
        <f>IFERROR(__xludf.DUMMYFUNCTION("IFERROR(GOOGLEFINANCE(A916,""low""),"""")"),7575.0)</f>
        <v>7575</v>
      </c>
      <c r="Z916" s="22">
        <f>IFERROR(__xludf.DUMMYFUNCTION("IFERROR(GOOGLEFINANCE(A916,""volume""),"""")"),5343300.0)</f>
        <v>5343300</v>
      </c>
      <c r="AA916" s="24" t="str">
        <f>VLOOKUP(A916,Metrik!$C$2:$Y$959,5,0)</f>
        <v>Forestry &amp; Paper</v>
      </c>
      <c r="AB916" s="24" t="str">
        <f>VLOOKUP(A916,Metrik!$C$2:$Y$959,3,0)</f>
        <v>Basic Materials</v>
      </c>
    </row>
    <row r="917">
      <c r="A917" s="14" t="s">
        <v>491</v>
      </c>
      <c r="B917" s="14" t="str">
        <f t="array" ref="B917">VLOOKUP(A917,{Metrik!$C$2:$C$998,Metrik!$B$2:$B$998},2,0)</f>
        <v>Indah Kiat Pulp &amp; Paper Tbk.</v>
      </c>
      <c r="C917" s="15">
        <f>IFERROR(__xludf.DUMMYFUNCTION("GOOGLEFINANCE(""IDX:""&amp;A917,""price"")"),7700.0)</f>
        <v>7700</v>
      </c>
      <c r="D917" s="16" t="str">
        <f>IFERROR(__xludf.DUMMYFUNCTION("IF(A917="""","""",
SPARKLINE(
INDEX(
GOOGLEFINANCE(""IDX:""&amp;A917,""close"",TODAY()-365,TODAY()),
,2
),
{""linewidth"",1}
))
"),"#N/A")</f>
        <v>#N/A</v>
      </c>
      <c r="E917" s="14" t="s">
        <v>84</v>
      </c>
      <c r="F917" s="17" t="s">
        <v>51</v>
      </c>
      <c r="G917" s="24">
        <f t="shared" si="7"/>
        <v>16</v>
      </c>
      <c r="H917" s="19">
        <f>VLOOKUP(A917,Metrik!$C$2:$Y$959,8,0)</f>
        <v>5.3</v>
      </c>
      <c r="I917" s="20">
        <f>VLOOKUP(A917,Metrik!$C$2:$Y$959,9,0)</f>
        <v>0.35</v>
      </c>
      <c r="J917" s="20">
        <f>VLOOKUP(A917,Metrik!$C$2:$Y$959,10,0)</f>
        <v>6.7</v>
      </c>
      <c r="K917" s="20">
        <f>VLOOKUP(A917,Metrik!$C$2:$Y$959,11,0)</f>
        <v>3.7</v>
      </c>
      <c r="L917" s="20">
        <f>VLOOKUP(A917,Metrik!$C$2:$Y$959,12,0)</f>
        <v>0.81</v>
      </c>
      <c r="M917" s="20">
        <f>VLOOKUP(A917,Metrik!$C$2:$Y$959,19,0)</f>
        <v>57.2</v>
      </c>
      <c r="N917" s="21"/>
      <c r="O917" s="21"/>
      <c r="P917" s="21"/>
      <c r="Q917" s="21"/>
      <c r="R917" s="21"/>
      <c r="S917" s="21"/>
      <c r="T917" s="21"/>
      <c r="U917" s="22">
        <f>IFERROR(__xludf.DUMMYFUNCTION("IFERROR(GOOGLEFINANCE(A917,""closeyest""),"""")"),7550.0)</f>
        <v>7550</v>
      </c>
      <c r="V917" s="23">
        <f>IFERROR(__xludf.DUMMYFUNCTION("IFERROR(GOOGLEFINANCE(A917,""changepct""),"""")"),1.99)</f>
        <v>1.99</v>
      </c>
      <c r="W917" s="22">
        <f>IFERROR(__xludf.DUMMYFUNCTION("IFERROR(GOOGLEFINANCE(A917,""priceopen""),"""")"),7625.0)</f>
        <v>7625</v>
      </c>
      <c r="X917" s="22">
        <f>IFERROR(__xludf.DUMMYFUNCTION("IFERROR(GOOGLEFINANCE(A917,""high""),"""")"),7800.0)</f>
        <v>7800</v>
      </c>
      <c r="Y917" s="22">
        <f>IFERROR(__xludf.DUMMYFUNCTION("IFERROR(GOOGLEFINANCE(A917,""low""),"""")"),7575.0)</f>
        <v>7575</v>
      </c>
      <c r="Z917" s="22">
        <f>IFERROR(__xludf.DUMMYFUNCTION("IFERROR(GOOGLEFINANCE(A917,""volume""),"""")"),5343300.0)</f>
        <v>5343300</v>
      </c>
      <c r="AA917" s="24" t="str">
        <f>VLOOKUP(A917,Metrik!$C$2:$Y$959,5,0)</f>
        <v>Forestry &amp; Paper</v>
      </c>
      <c r="AB917" s="24" t="str">
        <f>VLOOKUP(A917,Metrik!$C$2:$Y$959,3,0)</f>
        <v>Basic Materials</v>
      </c>
    </row>
    <row r="918">
      <c r="A918" s="48" t="s">
        <v>491</v>
      </c>
      <c r="B918" s="14" t="str">
        <f t="array" ref="B918">VLOOKUP(A918,{Metrik!$C$2:$C$998,Metrik!$B$2:$B$998},2,0)</f>
        <v>Indah Kiat Pulp &amp; Paper Tbk.</v>
      </c>
      <c r="C918" s="15">
        <f>IFERROR(__xludf.DUMMYFUNCTION("GOOGLEFINANCE(""IDX:""&amp;A918,""price"")"),7700.0)</f>
        <v>7700</v>
      </c>
      <c r="D918" s="16" t="str">
        <f>IFERROR(__xludf.DUMMYFUNCTION("IF(A918="""","""",
SPARKLINE(
INDEX(
GOOGLEFINANCE(""IDX:""&amp;A918,""close"",TODAY()-365,TODAY()),
,2
),
{""linewidth"",1}
))
"),"#N/A")</f>
        <v>#N/A</v>
      </c>
      <c r="E918" s="17" t="s">
        <v>69</v>
      </c>
      <c r="F918" s="17" t="s">
        <v>70</v>
      </c>
      <c r="G918" s="24">
        <f t="shared" si="7"/>
        <v>16</v>
      </c>
      <c r="H918" s="19">
        <f>VLOOKUP(A918,Metrik!$C$2:$Y$959,8,0)</f>
        <v>5.3</v>
      </c>
      <c r="I918" s="20">
        <f>VLOOKUP(A918,Metrik!$C$2:$Y$959,9,0)</f>
        <v>0.35</v>
      </c>
      <c r="J918" s="20">
        <f>VLOOKUP(A918,Metrik!$C$2:$Y$959,10,0)</f>
        <v>6.7</v>
      </c>
      <c r="K918" s="20">
        <f>VLOOKUP(A918,Metrik!$C$2:$Y$959,11,0)</f>
        <v>3.7</v>
      </c>
      <c r="L918" s="20">
        <f>VLOOKUP(A918,Metrik!$C$2:$Y$959,12,0)</f>
        <v>0.81</v>
      </c>
      <c r="M918" s="20">
        <f>VLOOKUP(A918,Metrik!$C$2:$Y$959,19,0)</f>
        <v>57.2</v>
      </c>
      <c r="N918" s="21"/>
      <c r="O918" s="21"/>
      <c r="P918" s="21"/>
      <c r="Q918" s="21"/>
      <c r="R918" s="21"/>
      <c r="S918" s="21"/>
      <c r="T918" s="21"/>
      <c r="U918" s="22">
        <f>IFERROR(__xludf.DUMMYFUNCTION("IFERROR(GOOGLEFINANCE(A918,""closeyest""),"""")"),7550.0)</f>
        <v>7550</v>
      </c>
      <c r="V918" s="23">
        <f>IFERROR(__xludf.DUMMYFUNCTION("IFERROR(GOOGLEFINANCE(A918,""changepct""),"""")"),1.99)</f>
        <v>1.99</v>
      </c>
      <c r="W918" s="22">
        <f>IFERROR(__xludf.DUMMYFUNCTION("IFERROR(GOOGLEFINANCE(A918,""priceopen""),"""")"),7625.0)</f>
        <v>7625</v>
      </c>
      <c r="X918" s="22">
        <f>IFERROR(__xludf.DUMMYFUNCTION("IFERROR(GOOGLEFINANCE(A918,""high""),"""")"),7800.0)</f>
        <v>7800</v>
      </c>
      <c r="Y918" s="22">
        <f>IFERROR(__xludf.DUMMYFUNCTION("IFERROR(GOOGLEFINANCE(A918,""low""),"""")"),7575.0)</f>
        <v>7575</v>
      </c>
      <c r="Z918" s="22">
        <f>IFERROR(__xludf.DUMMYFUNCTION("IFERROR(GOOGLEFINANCE(A918,""volume""),"""")"),5343300.0)</f>
        <v>5343300</v>
      </c>
      <c r="AA918" s="24" t="str">
        <f>VLOOKUP(A918,Metrik!$C$2:$Y$959,5,0)</f>
        <v>Forestry &amp; Paper</v>
      </c>
      <c r="AB918" s="24" t="str">
        <f>VLOOKUP(A918,Metrik!$C$2:$Y$959,3,0)</f>
        <v>Basic Materials</v>
      </c>
    </row>
    <row r="919">
      <c r="A919" s="17" t="s">
        <v>491</v>
      </c>
      <c r="B919" s="14" t="str">
        <f t="array" ref="B919">VLOOKUP(A919,{Metrik!$C$2:$C$998,Metrik!$B$2:$B$998},2,0)</f>
        <v>Indah Kiat Pulp &amp; Paper Tbk.</v>
      </c>
      <c r="C919" s="15">
        <f>IFERROR(__xludf.DUMMYFUNCTION("GOOGLEFINANCE(""IDX:""&amp;A919,""price"")"),7700.0)</f>
        <v>7700</v>
      </c>
      <c r="D919" s="16" t="str">
        <f>IFERROR(__xludf.DUMMYFUNCTION("IF(A919="""","""",
SPARKLINE(
INDEX(
GOOGLEFINANCE(""IDX:""&amp;A919,""close"",TODAY()-365,TODAY()),
,2
),
{""linewidth"",1}
))
"),"#N/A")</f>
        <v>#N/A</v>
      </c>
      <c r="E919" s="14" t="s">
        <v>35</v>
      </c>
      <c r="F919" s="17" t="s">
        <v>36</v>
      </c>
      <c r="G919" s="38">
        <f t="shared" si="7"/>
        <v>16</v>
      </c>
      <c r="H919" s="34">
        <f>VLOOKUP(A919,Metrik!$C$2:$Y$959,8,0)</f>
        <v>5.3</v>
      </c>
      <c r="I919" s="34">
        <f>VLOOKUP(A919,Metrik!$C$2:$Y$959,9,0)</f>
        <v>0.35</v>
      </c>
      <c r="J919" s="34">
        <f>VLOOKUP(A919,Metrik!$C$2:$Y$959,10,0)</f>
        <v>6.7</v>
      </c>
      <c r="K919" s="34">
        <f>VLOOKUP(A919,Metrik!$C$2:$Y$959,11,0)</f>
        <v>3.7</v>
      </c>
      <c r="L919" s="34">
        <f>VLOOKUP(A919,Metrik!$C$2:$Y$959,12,0)</f>
        <v>0.81</v>
      </c>
      <c r="M919" s="34">
        <f>VLOOKUP(A919,Metrik!$C$2:$Y$959,19,0)</f>
        <v>57.2</v>
      </c>
      <c r="N919" s="26"/>
      <c r="O919" s="26"/>
      <c r="P919" s="26"/>
      <c r="Q919" s="26"/>
      <c r="R919" s="26"/>
      <c r="S919" s="26"/>
      <c r="T919" s="26"/>
      <c r="U919" s="35">
        <f>IFERROR(__xludf.DUMMYFUNCTION("IFERROR(GOOGLEFINANCE(A919,""closeyest""),"""")"),7550.0)</f>
        <v>7550</v>
      </c>
      <c r="V919" s="36">
        <f>IFERROR(__xludf.DUMMYFUNCTION("IFERROR(GOOGLEFINANCE(A919,""changepct""),"""")"),1.99)</f>
        <v>1.99</v>
      </c>
      <c r="W919" s="35">
        <f>IFERROR(__xludf.DUMMYFUNCTION("IFERROR(GOOGLEFINANCE(A919,""priceopen""),"""")"),7625.0)</f>
        <v>7625</v>
      </c>
      <c r="X919" s="35">
        <f>IFERROR(__xludf.DUMMYFUNCTION("IFERROR(GOOGLEFINANCE(A919,""high""),"""")"),7800.0)</f>
        <v>7800</v>
      </c>
      <c r="Y919" s="35">
        <f>IFERROR(__xludf.DUMMYFUNCTION("IFERROR(GOOGLEFINANCE(A919,""low""),"""")"),7575.0)</f>
        <v>7575</v>
      </c>
      <c r="Z919" s="35">
        <f>IFERROR(__xludf.DUMMYFUNCTION("IFERROR(GOOGLEFINANCE(A919,""volume""),"""")"),5343300.0)</f>
        <v>5343300</v>
      </c>
      <c r="AA919" s="14" t="str">
        <f>VLOOKUP(A919,Metrik!$C$2:$Y$959,5,0)</f>
        <v>Forestry &amp; Paper</v>
      </c>
      <c r="AB919" s="14" t="str">
        <f>VLOOKUP(A919,Metrik!$C$2:$Y$959,3,0)</f>
        <v>Basic Materials</v>
      </c>
    </row>
    <row r="920">
      <c r="A920" s="14" t="s">
        <v>491</v>
      </c>
      <c r="B920" s="14" t="str">
        <f t="array" ref="B920">VLOOKUP(A920,{Metrik!$C$2:$C$998,Metrik!$B$2:$B$998},2,0)</f>
        <v>Indah Kiat Pulp &amp; Paper Tbk.</v>
      </c>
      <c r="C920" s="15">
        <f>IFERROR(__xludf.DUMMYFUNCTION("GOOGLEFINANCE(""IDX:""&amp;A920,""price"")"),7700.0)</f>
        <v>7700</v>
      </c>
      <c r="D920" s="16" t="str">
        <f>IFERROR(__xludf.DUMMYFUNCTION("IF(A920="""","""",
SPARKLINE(
INDEX(
GOOGLEFINANCE(""IDX:""&amp;A920,""close"",TODAY()-365,TODAY()),
,2
),
{""linewidth"",1}
))
"),"#N/A")</f>
        <v>#N/A</v>
      </c>
      <c r="E920" s="14" t="s">
        <v>38</v>
      </c>
      <c r="F920" s="25">
        <v>46356.0</v>
      </c>
      <c r="G920" s="24">
        <f t="shared" si="7"/>
        <v>16</v>
      </c>
      <c r="H920" s="19">
        <f>VLOOKUP(A920,Metrik!$C$2:$Y$959,8,0)</f>
        <v>5.3</v>
      </c>
      <c r="I920" s="20">
        <f>VLOOKUP(A920,Metrik!$C$2:$Y$959,9,0)</f>
        <v>0.35</v>
      </c>
      <c r="J920" s="20">
        <f>VLOOKUP(A920,Metrik!$C$2:$Y$959,10,0)</f>
        <v>6.7</v>
      </c>
      <c r="K920" s="20">
        <f>VLOOKUP(A920,Metrik!$C$2:$Y$959,11,0)</f>
        <v>3.7</v>
      </c>
      <c r="L920" s="20">
        <f>VLOOKUP(A920,Metrik!$C$2:$Y$959,12,0)</f>
        <v>0.81</v>
      </c>
      <c r="M920" s="20">
        <f>VLOOKUP(A920,Metrik!$C$2:$Y$959,19,0)</f>
        <v>57.2</v>
      </c>
      <c r="N920" s="21"/>
      <c r="O920" s="21"/>
      <c r="P920" s="21"/>
      <c r="Q920" s="21"/>
      <c r="R920" s="21"/>
      <c r="S920" s="21"/>
      <c r="T920" s="21"/>
      <c r="U920" s="22">
        <f>IFERROR(__xludf.DUMMYFUNCTION("IFERROR(GOOGLEFINANCE(A920,""closeyest""),"""")"),7550.0)</f>
        <v>7550</v>
      </c>
      <c r="V920" s="23">
        <f>IFERROR(__xludf.DUMMYFUNCTION("IFERROR(GOOGLEFINANCE(A920,""changepct""),"""")"),1.99)</f>
        <v>1.99</v>
      </c>
      <c r="W920" s="22">
        <f>IFERROR(__xludf.DUMMYFUNCTION("IFERROR(GOOGLEFINANCE(A920,""priceopen""),"""")"),7625.0)</f>
        <v>7625</v>
      </c>
      <c r="X920" s="22">
        <f>IFERROR(__xludf.DUMMYFUNCTION("IFERROR(GOOGLEFINANCE(A920,""high""),"""")"),7800.0)</f>
        <v>7800</v>
      </c>
      <c r="Y920" s="22">
        <f>IFERROR(__xludf.DUMMYFUNCTION("IFERROR(GOOGLEFINANCE(A920,""low""),"""")"),7575.0)</f>
        <v>7575</v>
      </c>
      <c r="Z920" s="22">
        <f>IFERROR(__xludf.DUMMYFUNCTION("IFERROR(GOOGLEFINANCE(A920,""volume""),"""")"),5343300.0)</f>
        <v>5343300</v>
      </c>
      <c r="AA920" s="24" t="str">
        <f>VLOOKUP(A920,Metrik!$C$2:$Y$959,5,0)</f>
        <v>Forestry &amp; Paper</v>
      </c>
      <c r="AB920" s="24" t="str">
        <f>VLOOKUP(A920,Metrik!$C$2:$Y$959,3,0)</f>
        <v>Basic Materials</v>
      </c>
    </row>
    <row r="921">
      <c r="A921" s="14" t="s">
        <v>491</v>
      </c>
      <c r="B921" s="14" t="str">
        <f t="array" ref="B921">VLOOKUP(A921,{Metrik!$C$2:$C$998,Metrik!$B$2:$B$998},2,0)</f>
        <v>Indah Kiat Pulp &amp; Paper Tbk.</v>
      </c>
      <c r="C921" s="15">
        <f>IFERROR(__xludf.DUMMYFUNCTION("GOOGLEFINANCE(""IDX:""&amp;A921,""price"")"),7700.0)</f>
        <v>7700</v>
      </c>
      <c r="D921" s="16" t="str">
        <f>IFERROR(__xludf.DUMMYFUNCTION("IF(A921="""","""",
SPARKLINE(
INDEX(
GOOGLEFINANCE(""IDX:""&amp;A921,""close"",TODAY()-365,TODAY()),
,2
),
{""linewidth"",1}
))
"),"#N/A")</f>
        <v>#N/A</v>
      </c>
      <c r="E921" s="14" t="s">
        <v>39</v>
      </c>
      <c r="F921" s="25">
        <v>46356.0</v>
      </c>
      <c r="G921" s="24">
        <f t="shared" si="7"/>
        <v>16</v>
      </c>
      <c r="H921" s="19">
        <f>VLOOKUP(A921,Metrik!$C$2:$Y$959,8,0)</f>
        <v>5.3</v>
      </c>
      <c r="I921" s="20">
        <f>VLOOKUP(A921,Metrik!$C$2:$Y$959,9,0)</f>
        <v>0.35</v>
      </c>
      <c r="J921" s="20">
        <f>VLOOKUP(A921,Metrik!$C$2:$Y$959,10,0)</f>
        <v>6.7</v>
      </c>
      <c r="K921" s="20">
        <f>VLOOKUP(A921,Metrik!$C$2:$Y$959,11,0)</f>
        <v>3.7</v>
      </c>
      <c r="L921" s="20">
        <f>VLOOKUP(A921,Metrik!$C$2:$Y$959,12,0)</f>
        <v>0.81</v>
      </c>
      <c r="M921" s="20">
        <f>VLOOKUP(A921,Metrik!$C$2:$Y$959,19,0)</f>
        <v>57.2</v>
      </c>
      <c r="N921" s="21"/>
      <c r="O921" s="21"/>
      <c r="P921" s="21"/>
      <c r="Q921" s="21"/>
      <c r="R921" s="21"/>
      <c r="S921" s="21"/>
      <c r="T921" s="21"/>
      <c r="U921" s="22">
        <f>IFERROR(__xludf.DUMMYFUNCTION("IFERROR(GOOGLEFINANCE(A921,""closeyest""),"""")"),7550.0)</f>
        <v>7550</v>
      </c>
      <c r="V921" s="23">
        <f>IFERROR(__xludf.DUMMYFUNCTION("IFERROR(GOOGLEFINANCE(A921,""changepct""),"""")"),1.99)</f>
        <v>1.99</v>
      </c>
      <c r="W921" s="22">
        <f>IFERROR(__xludf.DUMMYFUNCTION("IFERROR(GOOGLEFINANCE(A921,""priceopen""),"""")"),7625.0)</f>
        <v>7625</v>
      </c>
      <c r="X921" s="22">
        <f>IFERROR(__xludf.DUMMYFUNCTION("IFERROR(GOOGLEFINANCE(A921,""high""),"""")"),7800.0)</f>
        <v>7800</v>
      </c>
      <c r="Y921" s="22">
        <f>IFERROR(__xludf.DUMMYFUNCTION("IFERROR(GOOGLEFINANCE(A921,""low""),"""")"),7575.0)</f>
        <v>7575</v>
      </c>
      <c r="Z921" s="22">
        <f>IFERROR(__xludf.DUMMYFUNCTION("IFERROR(GOOGLEFINANCE(A921,""volume""),"""")"),5343300.0)</f>
        <v>5343300</v>
      </c>
      <c r="AA921" s="24" t="str">
        <f>VLOOKUP(A921,Metrik!$C$2:$Y$959,5,0)</f>
        <v>Forestry &amp; Paper</v>
      </c>
      <c r="AB921" s="24" t="str">
        <f>VLOOKUP(A921,Metrik!$C$2:$Y$959,3,0)</f>
        <v>Basic Materials</v>
      </c>
    </row>
    <row r="922">
      <c r="A922" s="14" t="s">
        <v>492</v>
      </c>
      <c r="B922" s="14" t="str">
        <f t="array" ref="B922">VLOOKUP(A922,{Metrik!$C$2:$C$998,Metrik!$B$2:$B$998},2,0)</f>
        <v>Inocycle Technology Group Tbk.</v>
      </c>
      <c r="C922" s="15">
        <f>IFERROR(__xludf.DUMMYFUNCTION("GOOGLEFINANCE(""IDX:""&amp;A922,""price"")"),112.0)</f>
        <v>112</v>
      </c>
      <c r="D922" s="16" t="str">
        <f>IFERROR(__xludf.DUMMYFUNCTION("IF(A922="""","""",
SPARKLINE(
INDEX(
GOOGLEFINANCE(""IDX:""&amp;A922,""close"",TODAY()-365,TODAY()),
,2
),
{""linewidth"",1}
))
"),"#N/A")</f>
        <v>#N/A</v>
      </c>
      <c r="E922" s="26"/>
      <c r="F922" s="26"/>
      <c r="G922" s="24">
        <f t="shared" si="7"/>
        <v>0</v>
      </c>
      <c r="H922" s="19">
        <f>VLOOKUP(A922,Metrik!$C$2:$Y$959,8,0)</f>
        <v>4.9</v>
      </c>
      <c r="I922" s="20">
        <f>VLOOKUP(A922,Metrik!$C$2:$Y$959,9,0)</f>
        <v>0.66</v>
      </c>
      <c r="J922" s="20">
        <f>VLOOKUP(A922,Metrik!$C$2:$Y$959,10,0)</f>
        <v>13.6</v>
      </c>
      <c r="K922" s="20">
        <f>VLOOKUP(A922,Metrik!$C$2:$Y$959,11,0)</f>
        <v>4.6</v>
      </c>
      <c r="L922" s="20">
        <f>VLOOKUP(A922,Metrik!$C$2:$Y$959,12,0)</f>
        <v>2</v>
      </c>
      <c r="M922" s="20">
        <f>VLOOKUP(A922,Metrik!$C$2:$Y$959,19,0)</f>
        <v>26.2</v>
      </c>
      <c r="N922" s="21"/>
      <c r="O922" s="21"/>
      <c r="P922" s="21"/>
      <c r="Q922" s="21"/>
      <c r="R922" s="21"/>
      <c r="S922" s="21"/>
      <c r="T922" s="21"/>
      <c r="U922" s="22" t="str">
        <f>IFERROR(__xludf.DUMMYFUNCTION("IFERROR(GOOGLEFINANCE(A922,""closeyest""),"""")"),"")</f>
        <v/>
      </c>
      <c r="V922" s="23">
        <f>IFERROR(__xludf.DUMMYFUNCTION("IFERROR(GOOGLEFINANCE(A922,""changepct""),"""")"),1.57)</f>
        <v>1.57</v>
      </c>
      <c r="W922" s="22">
        <f>IFERROR(__xludf.DUMMYFUNCTION("IFERROR(GOOGLEFINANCE(A922,""priceopen""),"""")"),36.49)</f>
        <v>36.49</v>
      </c>
      <c r="X922" s="22">
        <f>IFERROR(__xludf.DUMMYFUNCTION("IFERROR(GOOGLEFINANCE(A922,""high""),"""")"),36.6)</f>
        <v>36.6</v>
      </c>
      <c r="Y922" s="22">
        <f>IFERROR(__xludf.DUMMYFUNCTION("IFERROR(GOOGLEFINANCE(A922,""low""),"""")"),36.49)</f>
        <v>36.49</v>
      </c>
      <c r="Z922" s="22">
        <f>IFERROR(__xludf.DUMMYFUNCTION("IFERROR(GOOGLEFINANCE(A922,""volume""),"""")"),175.0)</f>
        <v>175</v>
      </c>
      <c r="AA922" s="24" t="str">
        <f>VLOOKUP(A922,Metrik!$C$2:$Y$959,5,0)</f>
        <v>Apparel &amp; Luxury Goods</v>
      </c>
      <c r="AB922" s="24" t="str">
        <f>VLOOKUP(A922,Metrik!$C$2:$Y$959,3,0)</f>
        <v>Consumer Cyclicals</v>
      </c>
    </row>
    <row r="923">
      <c r="A923" s="14" t="s">
        <v>493</v>
      </c>
      <c r="B923" s="14" t="str">
        <f t="array" ref="B923">VLOOKUP(A923,{Metrik!$C$2:$C$998,Metrik!$B$2:$B$998},2,0)</f>
        <v>Bank Artha Graha Internasional Tbk</v>
      </c>
      <c r="C923" s="15">
        <f>IFERROR(__xludf.DUMMYFUNCTION("GOOGLEFINANCE(""IDX:""&amp;A923,""price"")"),132.0)</f>
        <v>132</v>
      </c>
      <c r="D923" s="16" t="str">
        <f>IFERROR(__xludf.DUMMYFUNCTION("IF(A923="""","""",
SPARKLINE(
INDEX(
GOOGLEFINANCE(""IDX:""&amp;A923,""close"",TODAY()-365,TODAY()),
,2
),
{""linewidth"",1}
))
"),"#N/A")</f>
        <v>#N/A</v>
      </c>
      <c r="E923" s="26"/>
      <c r="F923" s="26"/>
      <c r="G923" s="24">
        <f t="shared" si="7"/>
        <v>0</v>
      </c>
      <c r="H923" s="19">
        <f>VLOOKUP(A923,Metrik!$C$2:$Y$959,8,0)</f>
        <v>-5.3</v>
      </c>
      <c r="I923" s="20">
        <f>VLOOKUP(A923,Metrik!$C$2:$Y$959,9,0)</f>
        <v>0.73</v>
      </c>
      <c r="J923" s="20">
        <f>VLOOKUP(A923,Metrik!$C$2:$Y$959,10,0)</f>
        <v>-13.8</v>
      </c>
      <c r="K923" s="20">
        <f>VLOOKUP(A923,Metrik!$C$2:$Y$959,11,0)</f>
        <v>-1.7</v>
      </c>
      <c r="L923" s="20">
        <f>VLOOKUP(A923,Metrik!$C$2:$Y$959,12,0)</f>
        <v>6.9</v>
      </c>
      <c r="M923" s="20">
        <f>VLOOKUP(A923,Metrik!$C$2:$Y$959,19,0)</f>
        <v>-130</v>
      </c>
      <c r="N923" s="32">
        <v>2.78</v>
      </c>
      <c r="O923" s="32">
        <v>18.15</v>
      </c>
      <c r="P923" s="32">
        <v>43.23</v>
      </c>
      <c r="Q923" s="32">
        <v>0.85</v>
      </c>
      <c r="R923" s="32">
        <v>124.31</v>
      </c>
      <c r="S923" s="32">
        <v>95.12</v>
      </c>
      <c r="T923" s="32">
        <v>12.45</v>
      </c>
      <c r="U923" s="22">
        <f>IFERROR(__xludf.DUMMYFUNCTION("IFERROR(GOOGLEFINANCE(A923,""closeyest""),"""")"),130.0)</f>
        <v>130</v>
      </c>
      <c r="V923" s="23">
        <f>IFERROR(__xludf.DUMMYFUNCTION("IFERROR(GOOGLEFINANCE(A923,""changepct""),"""")"),1.54)</f>
        <v>1.54</v>
      </c>
      <c r="W923" s="22">
        <f>IFERROR(__xludf.DUMMYFUNCTION("IFERROR(GOOGLEFINANCE(A923,""priceopen""),"""")"),130.0)</f>
        <v>130</v>
      </c>
      <c r="X923" s="22">
        <f>IFERROR(__xludf.DUMMYFUNCTION("IFERROR(GOOGLEFINANCE(A923,""high""),"""")"),135.0)</f>
        <v>135</v>
      </c>
      <c r="Y923" s="22">
        <f>IFERROR(__xludf.DUMMYFUNCTION("IFERROR(GOOGLEFINANCE(A923,""low""),"""")"),130.0)</f>
        <v>130</v>
      </c>
      <c r="Z923" s="22">
        <f>IFERROR(__xludf.DUMMYFUNCTION("IFERROR(GOOGLEFINANCE(A923,""volume""),"""")"),2306700.0)</f>
        <v>2306700</v>
      </c>
      <c r="AA923" s="24" t="str">
        <f>VLOOKUP(A923,Metrik!$C$2:$Y$959,5,0)</f>
        <v>Banks</v>
      </c>
      <c r="AB923" s="24" t="str">
        <f>VLOOKUP(A923,Metrik!$C$2:$Y$959,3,0)</f>
        <v>Financials</v>
      </c>
    </row>
    <row r="924">
      <c r="A924" s="14" t="s">
        <v>494</v>
      </c>
      <c r="B924" s="14" t="str">
        <f t="array" ref="B924">VLOOKUP(A924,{Metrik!$C$2:$C$998,Metrik!$B$2:$B$998},2,0)</f>
        <v>Indonesian Paradise Property Tbk.</v>
      </c>
      <c r="C924" s="15" t="str">
        <f>IFERROR(__xludf.DUMMYFUNCTION("GOOGLEFINANCE(""IDX:""&amp;A924,""price"")"),"#N/A")</f>
        <v>#N/A</v>
      </c>
      <c r="D924" s="16" t="str">
        <f>IFERROR(__xludf.DUMMYFUNCTION("IF(A924="""","""",
SPARKLINE(
INDEX(
GOOGLEFINANCE(""IDX:""&amp;A924,""close"",TODAY()-365,TODAY()),
,2
),
{""linewidth"",1}
))
"),"#N/A")</f>
        <v>#N/A</v>
      </c>
      <c r="E924" s="26"/>
      <c r="F924" s="26"/>
      <c r="G924" s="24">
        <f t="shared" si="7"/>
        <v>0</v>
      </c>
      <c r="H924" s="19">
        <f>VLOOKUP(A924,Metrik!$C$2:$Y$959,8,0)</f>
        <v>-19.7</v>
      </c>
      <c r="I924" s="20">
        <f>VLOOKUP(A924,Metrik!$C$2:$Y$959,9,0)</f>
        <v>1.3</v>
      </c>
      <c r="J924" s="20">
        <f>VLOOKUP(A924,Metrik!$C$2:$Y$959,10,0)</f>
        <v>-6.6</v>
      </c>
      <c r="K924" s="20">
        <f>VLOOKUP(A924,Metrik!$C$2:$Y$959,11,0)</f>
        <v>-4.4</v>
      </c>
      <c r="L924" s="20">
        <f>VLOOKUP(A924,Metrik!$C$2:$Y$959,12,0)</f>
        <v>0.51</v>
      </c>
      <c r="M924" s="20">
        <f>VLOOKUP(A924,Metrik!$C$2:$Y$959,19,0)</f>
        <v>-140</v>
      </c>
      <c r="N924" s="21"/>
      <c r="O924" s="21"/>
      <c r="P924" s="21"/>
      <c r="Q924" s="21"/>
      <c r="R924" s="21"/>
      <c r="S924" s="21"/>
      <c r="T924" s="21"/>
      <c r="U924" s="22">
        <f>IFERROR(__xludf.DUMMYFUNCTION("IFERROR(GOOGLEFINANCE(A924,""closeyest""),"""")"),137.2)</f>
        <v>137.2</v>
      </c>
      <c r="V924" s="23">
        <f>IFERROR(__xludf.DUMMYFUNCTION("IFERROR(GOOGLEFINANCE(A924,""changepct""),"""")"),1.17)</f>
        <v>1.17</v>
      </c>
      <c r="W924" s="22">
        <f>IFERROR(__xludf.DUMMYFUNCTION("IFERROR(GOOGLEFINANCE(A924,""priceopen""),"""")"),138.6)</f>
        <v>138.6</v>
      </c>
      <c r="X924" s="22">
        <f>IFERROR(__xludf.DUMMYFUNCTION("IFERROR(GOOGLEFINANCE(A924,""high""),"""")"),140.2)</f>
        <v>140.2</v>
      </c>
      <c r="Y924" s="22">
        <f>IFERROR(__xludf.DUMMYFUNCTION("IFERROR(GOOGLEFINANCE(A924,""low""),"""")"),137.92)</f>
        <v>137.92</v>
      </c>
      <c r="Z924" s="22">
        <f>IFERROR(__xludf.DUMMYFUNCTION("IFERROR(GOOGLEFINANCE(A924,""volume""),"""")"),2656290.0)</f>
        <v>2656290</v>
      </c>
      <c r="AA924" s="24" t="str">
        <f>VLOOKUP(A924,Metrik!$C$2:$Y$959,5,0)</f>
        <v>Real Estate Management &amp; Development</v>
      </c>
      <c r="AB924" s="24" t="str">
        <f>VLOOKUP(A924,Metrik!$C$2:$Y$959,3,0)</f>
        <v>Properties &amp; Real Estate</v>
      </c>
    </row>
    <row r="925">
      <c r="A925" s="14" t="s">
        <v>495</v>
      </c>
      <c r="B925" s="14" t="str">
        <f t="array" ref="B925">VLOOKUP(A925,{Metrik!$C$2:$C$998,Metrik!$B$2:$B$998},2,0)</f>
        <v>Indah Prakasa Sentosa Tbk.</v>
      </c>
      <c r="C925" s="15">
        <f>IFERROR(__xludf.DUMMYFUNCTION("GOOGLEFINANCE(""IDX:""&amp;A925,""price"")"),700.0)</f>
        <v>700</v>
      </c>
      <c r="D925" s="16" t="str">
        <f>IFERROR(__xludf.DUMMYFUNCTION("IF(A925="""","""",
SPARKLINE(
INDEX(
GOOGLEFINANCE(""IDX:""&amp;A925,""close"",TODAY()-365,TODAY()),
,2
),
{""linewidth"",1}
))
"),"#N/A")</f>
        <v>#N/A</v>
      </c>
      <c r="E925" s="26"/>
      <c r="F925" s="26"/>
      <c r="G925" s="24">
        <f t="shared" si="7"/>
        <v>0</v>
      </c>
      <c r="H925" s="19">
        <f>VLOOKUP(A925,Metrik!$C$2:$Y$959,8,0)</f>
        <v>-20.3</v>
      </c>
      <c r="I925" s="20">
        <f>VLOOKUP(A925,Metrik!$C$2:$Y$959,9,0)</f>
        <v>-9.1</v>
      </c>
      <c r="J925" s="20">
        <f>VLOOKUP(A925,Metrik!$C$2:$Y$959,10,0)</f>
        <v>0</v>
      </c>
      <c r="K925" s="20">
        <f>VLOOKUP(A925,Metrik!$C$2:$Y$959,11,0)</f>
        <v>-14</v>
      </c>
      <c r="L925" s="20">
        <f>VLOOKUP(A925,Metrik!$C$2:$Y$959,12,0)</f>
        <v>-4.2</v>
      </c>
      <c r="M925" s="20">
        <f>VLOOKUP(A925,Metrik!$C$2:$Y$959,19,0)</f>
        <v>-32.8</v>
      </c>
      <c r="N925" s="21"/>
      <c r="O925" s="21"/>
      <c r="P925" s="21"/>
      <c r="Q925" s="21"/>
      <c r="R925" s="21"/>
      <c r="S925" s="21"/>
      <c r="T925" s="21"/>
      <c r="U925" s="22">
        <f>IFERROR(__xludf.DUMMYFUNCTION("IFERROR(GOOGLEFINANCE(A925,""closeyest""),"""")"),650.0)</f>
        <v>650</v>
      </c>
      <c r="V925" s="23">
        <f>IFERROR(__xludf.DUMMYFUNCTION("IFERROR(GOOGLEFINANCE(A925,""changepct""),"""")"),7.69)</f>
        <v>7.69</v>
      </c>
      <c r="W925" s="22" t="str">
        <f>IFERROR(__xludf.DUMMYFUNCTION("IFERROR(GOOGLEFINANCE(A925,""priceopen""),"""")"),"")</f>
        <v/>
      </c>
      <c r="X925" s="22">
        <f>IFERROR(__xludf.DUMMYFUNCTION("IFERROR(GOOGLEFINANCE(A925,""high""),"""")"),700.0)</f>
        <v>700</v>
      </c>
      <c r="Y925" s="22">
        <f>IFERROR(__xludf.DUMMYFUNCTION("IFERROR(GOOGLEFINANCE(A925,""low""),"""")"),645.0)</f>
        <v>645</v>
      </c>
      <c r="Z925" s="22">
        <f>IFERROR(__xludf.DUMMYFUNCTION("IFERROR(GOOGLEFINANCE(A925,""volume""),"""")"),194000.0)</f>
        <v>194000</v>
      </c>
      <c r="AA925" s="24" t="str">
        <f>VLOOKUP(A925,Metrik!$C$2:$Y$959,5,0)</f>
        <v>Oil &amp; Gas</v>
      </c>
      <c r="AB925" s="24" t="str">
        <f>VLOOKUP(A925,Metrik!$C$2:$Y$959,3,0)</f>
        <v>Energy</v>
      </c>
    </row>
    <row r="926">
      <c r="A926" s="14" t="s">
        <v>496</v>
      </c>
      <c r="B926" s="14" t="str">
        <f t="array" ref="B926">VLOOKUP(A926,{Metrik!$C$2:$C$998,Metrik!$B$2:$B$998},2,0)</f>
        <v>Intraco Penta Tbk.</v>
      </c>
      <c r="C926" s="15">
        <f>IFERROR(__xludf.DUMMYFUNCTION("GOOGLEFINANCE(""IDX:""&amp;A926,""price"")"),63.0)</f>
        <v>63</v>
      </c>
      <c r="D926" s="16" t="str">
        <f>IFERROR(__xludf.DUMMYFUNCTION("IF(A926="""","""",
SPARKLINE(
INDEX(
GOOGLEFINANCE(""IDX:""&amp;A926,""close"",TODAY()-365,TODAY()),
,2
),
{""linewidth"",1}
))
"),"#N/A")</f>
        <v>#N/A</v>
      </c>
      <c r="E926" s="26"/>
      <c r="F926" s="26"/>
      <c r="G926" s="24">
        <f t="shared" si="7"/>
        <v>0</v>
      </c>
      <c r="H926" s="19">
        <f>VLOOKUP(A926,Metrik!$C$2:$Y$959,8,0)</f>
        <v>-3</v>
      </c>
      <c r="I926" s="20">
        <f>VLOOKUP(A926,Metrik!$C$2:$Y$959,9,0)</f>
        <v>-0.11</v>
      </c>
      <c r="J926" s="20">
        <f>VLOOKUP(A926,Metrik!$C$2:$Y$959,10,0)</f>
        <v>0</v>
      </c>
      <c r="K926" s="20">
        <f>VLOOKUP(A926,Metrik!$C$2:$Y$959,11,0)</f>
        <v>-3.6</v>
      </c>
      <c r="L926" s="20">
        <f>VLOOKUP(A926,Metrik!$C$2:$Y$959,12,0)</f>
        <v>-2.1</v>
      </c>
      <c r="M926" s="20">
        <f>VLOOKUP(A926,Metrik!$C$2:$Y$959,19,0)</f>
        <v>-38.3</v>
      </c>
      <c r="N926" s="21"/>
      <c r="O926" s="21"/>
      <c r="P926" s="21"/>
      <c r="Q926" s="21"/>
      <c r="R926" s="21"/>
      <c r="S926" s="21"/>
      <c r="T926" s="21"/>
      <c r="U926" s="22">
        <f>IFERROR(__xludf.DUMMYFUNCTION("IFERROR(GOOGLEFINANCE(A926,""closeyest""),"""")"),23.2)</f>
        <v>23.2</v>
      </c>
      <c r="V926" s="23">
        <f>IFERROR(__xludf.DUMMYFUNCTION("IFERROR(GOOGLEFINANCE(A926,""changepct""),"""")"),3.02)</f>
        <v>3.02</v>
      </c>
      <c r="W926" s="22">
        <f>IFERROR(__xludf.DUMMYFUNCTION("IFERROR(GOOGLEFINANCE(A926,""priceopen""),"""")"),23.2)</f>
        <v>23.2</v>
      </c>
      <c r="X926" s="22">
        <f>IFERROR(__xludf.DUMMYFUNCTION("IFERROR(GOOGLEFINANCE(A926,""high""),"""")"),24.18)</f>
        <v>24.18</v>
      </c>
      <c r="Y926" s="22">
        <f>IFERROR(__xludf.DUMMYFUNCTION("IFERROR(GOOGLEFINANCE(A926,""low""),"""")"),22.3)</f>
        <v>22.3</v>
      </c>
      <c r="Z926" s="22">
        <f>IFERROR(__xludf.DUMMYFUNCTION("IFERROR(GOOGLEFINANCE(A926,""volume""),"""")"),943795.0)</f>
        <v>943795</v>
      </c>
      <c r="AA926" s="24" t="str">
        <f>VLOOKUP(A926,Metrik!$C$2:$Y$959,5,0)</f>
        <v>Machinery</v>
      </c>
      <c r="AB926" s="24" t="str">
        <f>VLOOKUP(A926,Metrik!$C$2:$Y$959,3,0)</f>
        <v>Industrials</v>
      </c>
    </row>
    <row r="927">
      <c r="A927" s="14" t="s">
        <v>497</v>
      </c>
      <c r="B927" s="14" t="str">
        <f t="array" ref="B927">VLOOKUP(A927,{Metrik!$C$2:$C$998,Metrik!$B$2:$B$998},2,0)</f>
        <v>Inter Delta Tbk</v>
      </c>
      <c r="C927" s="15">
        <f>IFERROR(__xludf.DUMMYFUNCTION("GOOGLEFINANCE(""IDX:""&amp;A927,""price"")"),234.0)</f>
        <v>234</v>
      </c>
      <c r="D927" s="16" t="str">
        <f>IFERROR(__xludf.DUMMYFUNCTION("IF(A927="""","""",
SPARKLINE(
INDEX(
GOOGLEFINANCE(""IDX:""&amp;A927,""close"",TODAY()-365,TODAY()),
,2
),
{""linewidth"",1}
))
"),"#N/A")</f>
        <v>#N/A</v>
      </c>
      <c r="E927" s="26"/>
      <c r="F927" s="26"/>
      <c r="G927" s="24">
        <f t="shared" si="7"/>
        <v>0</v>
      </c>
      <c r="H927" s="19">
        <f>VLOOKUP(A927,Metrik!$C$2:$Y$959,8,0)</f>
        <v>-51.9</v>
      </c>
      <c r="I927" s="20">
        <f>VLOOKUP(A927,Metrik!$C$2:$Y$959,9,0)</f>
        <v>4.2</v>
      </c>
      <c r="J927" s="20">
        <f>VLOOKUP(A927,Metrik!$C$2:$Y$959,10,0)</f>
        <v>-8.1</v>
      </c>
      <c r="K927" s="20">
        <f>VLOOKUP(A927,Metrik!$C$2:$Y$959,11,0)</f>
        <v>-7.5</v>
      </c>
      <c r="L927" s="20">
        <f>VLOOKUP(A927,Metrik!$C$2:$Y$959,12,0)</f>
        <v>0.07</v>
      </c>
      <c r="M927" s="20">
        <f>VLOOKUP(A927,Metrik!$C$2:$Y$959,19,0)</f>
        <v>-32.1</v>
      </c>
      <c r="N927" s="21"/>
      <c r="O927" s="21"/>
      <c r="P927" s="21"/>
      <c r="Q927" s="21"/>
      <c r="R927" s="21"/>
      <c r="S927" s="21"/>
      <c r="T927" s="21"/>
      <c r="U927" s="22">
        <f>IFERROR(__xludf.DUMMYFUNCTION("IFERROR(GOOGLEFINANCE(A927,""closeyest""),"""")"),224.0)</f>
        <v>224</v>
      </c>
      <c r="V927" s="23">
        <f>IFERROR(__xludf.DUMMYFUNCTION("IFERROR(GOOGLEFINANCE(A927,""changepct""),"""")"),4.46)</f>
        <v>4.46</v>
      </c>
      <c r="W927" s="22">
        <f>IFERROR(__xludf.DUMMYFUNCTION("IFERROR(GOOGLEFINANCE(A927,""priceopen""),"""")"),250.0)</f>
        <v>250</v>
      </c>
      <c r="X927" s="22">
        <f>IFERROR(__xludf.DUMMYFUNCTION("IFERROR(GOOGLEFINANCE(A927,""high""),"""")"),258.0)</f>
        <v>258</v>
      </c>
      <c r="Y927" s="22">
        <f>IFERROR(__xludf.DUMMYFUNCTION("IFERROR(GOOGLEFINANCE(A927,""low""),"""")"),228.0)</f>
        <v>228</v>
      </c>
      <c r="Z927" s="22">
        <f>IFERROR(__xludf.DUMMYFUNCTION("IFERROR(GOOGLEFINANCE(A927,""volume""),"""")"),78600.0)</f>
        <v>78600</v>
      </c>
      <c r="AA927" s="24" t="str">
        <f>VLOOKUP(A927,Metrik!$C$2:$Y$959,5,0)</f>
        <v>Forestry &amp; Paper</v>
      </c>
      <c r="AB927" s="24" t="str">
        <f>VLOOKUP(A927,Metrik!$C$2:$Y$959,3,0)</f>
        <v>Basic Materials</v>
      </c>
    </row>
    <row r="928">
      <c r="A928" s="14" t="s">
        <v>498</v>
      </c>
      <c r="B928" s="14" t="str">
        <f t="array" ref="B928">VLOOKUP(A928,{Metrik!$C$2:$C$998,Metrik!$B$2:$B$998},2,0)</f>
        <v>Indocement Tunggal Prakarsa Tbk.</v>
      </c>
      <c r="C928" s="15">
        <f>IFERROR(__xludf.DUMMYFUNCTION("GOOGLEFINANCE(""IDX:""&amp;A928,""price"")"),4110.0)</f>
        <v>4110</v>
      </c>
      <c r="D928" s="16" t="str">
        <f>IFERROR(__xludf.DUMMYFUNCTION("IF(A928="""","""",
SPARKLINE(
INDEX(
GOOGLEFINANCE(""IDX:""&amp;A928,""close"",TODAY()-365,TODAY()),
,2
),
{""linewidth"",1}
))
"),"#N/A")</f>
        <v>#N/A</v>
      </c>
      <c r="E928" s="14" t="s">
        <v>47</v>
      </c>
      <c r="F928" s="25">
        <v>46356.0</v>
      </c>
      <c r="G928" s="24">
        <f t="shared" si="7"/>
        <v>13</v>
      </c>
      <c r="H928" s="19">
        <f>VLOOKUP(A928,Metrik!$C$2:$Y$959,8,0)</f>
        <v>7.6</v>
      </c>
      <c r="I928" s="20">
        <f>VLOOKUP(A928,Metrik!$C$2:$Y$959,9,0)</f>
        <v>0.74</v>
      </c>
      <c r="J928" s="20">
        <f>VLOOKUP(A928,Metrik!$C$2:$Y$959,10,0)</f>
        <v>9.7</v>
      </c>
      <c r="K928" s="20">
        <f>VLOOKUP(A928,Metrik!$C$2:$Y$959,11,0)</f>
        <v>7.2</v>
      </c>
      <c r="L928" s="20">
        <f>VLOOKUP(A928,Metrik!$C$2:$Y$959,12,0)</f>
        <v>0.34</v>
      </c>
      <c r="M928" s="20">
        <f>VLOOKUP(A928,Metrik!$C$2:$Y$959,19,0)</f>
        <v>58.6</v>
      </c>
      <c r="N928" s="21"/>
      <c r="O928" s="21"/>
      <c r="P928" s="21"/>
      <c r="Q928" s="21"/>
      <c r="R928" s="21"/>
      <c r="S928" s="21"/>
      <c r="T928" s="21"/>
      <c r="U928" s="22">
        <f>IFERROR(__xludf.DUMMYFUNCTION("IFERROR(GOOGLEFINANCE(A928,""closeyest""),"""")"),4160.0)</f>
        <v>4160</v>
      </c>
      <c r="V928" s="23" t="str">
        <f>IFERROR(__xludf.DUMMYFUNCTION("IFERROR(GOOGLEFINANCE(A928,""changepct""),"""")"),"")</f>
        <v/>
      </c>
      <c r="W928" s="22">
        <f>IFERROR(__xludf.DUMMYFUNCTION("IFERROR(GOOGLEFINANCE(A928,""priceopen""),"""")"),4190.0)</f>
        <v>4190</v>
      </c>
      <c r="X928" s="22">
        <f>IFERROR(__xludf.DUMMYFUNCTION("IFERROR(GOOGLEFINANCE(A928,""high""),"""")"),4240.0)</f>
        <v>4240</v>
      </c>
      <c r="Y928" s="22">
        <f>IFERROR(__xludf.DUMMYFUNCTION("IFERROR(GOOGLEFINANCE(A928,""low""),"""")"),4090.0)</f>
        <v>4090</v>
      </c>
      <c r="Z928" s="22">
        <f>IFERROR(__xludf.DUMMYFUNCTION("IFERROR(GOOGLEFINANCE(A928,""volume""),"""")"),2337500.0)</f>
        <v>2337500</v>
      </c>
      <c r="AA928" s="24" t="str">
        <f>VLOOKUP(A928,Metrik!$C$2:$Y$959,5,0)</f>
        <v>Construction Materials</v>
      </c>
      <c r="AB928" s="24" t="str">
        <f>VLOOKUP(A928,Metrik!$C$2:$Y$959,3,0)</f>
        <v>Basic Materials</v>
      </c>
    </row>
    <row r="929">
      <c r="A929" s="14" t="s">
        <v>498</v>
      </c>
      <c r="B929" s="14" t="str">
        <f t="array" ref="B929">VLOOKUP(A929,{Metrik!$C$2:$C$998,Metrik!$B$2:$B$998},2,0)</f>
        <v>Indocement Tunggal Prakarsa Tbk.</v>
      </c>
      <c r="C929" s="15">
        <f>IFERROR(__xludf.DUMMYFUNCTION("GOOGLEFINANCE(""IDX:""&amp;A929,""price"")"),4110.0)</f>
        <v>4110</v>
      </c>
      <c r="D929" s="16" t="str">
        <f>IFERROR(__xludf.DUMMYFUNCTION("IF(A929="""","""",
SPARKLINE(
INDEX(
GOOGLEFINANCE(""IDX:""&amp;A929,""close"",TODAY()-365,TODAY()),
,2
),
{""linewidth"",1}
))
"),"#N/A")</f>
        <v>#N/A</v>
      </c>
      <c r="E929" s="14" t="s">
        <v>55</v>
      </c>
      <c r="F929" s="25">
        <v>46356.0</v>
      </c>
      <c r="G929" s="24">
        <f t="shared" si="7"/>
        <v>13</v>
      </c>
      <c r="H929" s="19">
        <f>VLOOKUP(A929,Metrik!$C$2:$Y$959,8,0)</f>
        <v>7.6</v>
      </c>
      <c r="I929" s="20">
        <f>VLOOKUP(A929,Metrik!$C$2:$Y$959,9,0)</f>
        <v>0.74</v>
      </c>
      <c r="J929" s="20">
        <f>VLOOKUP(A929,Metrik!$C$2:$Y$959,10,0)</f>
        <v>9.7</v>
      </c>
      <c r="K929" s="20">
        <f>VLOOKUP(A929,Metrik!$C$2:$Y$959,11,0)</f>
        <v>7.2</v>
      </c>
      <c r="L929" s="20">
        <f>VLOOKUP(A929,Metrik!$C$2:$Y$959,12,0)</f>
        <v>0.34</v>
      </c>
      <c r="M929" s="20">
        <f>VLOOKUP(A929,Metrik!$C$2:$Y$959,19,0)</f>
        <v>58.6</v>
      </c>
      <c r="N929" s="21"/>
      <c r="O929" s="21"/>
      <c r="P929" s="21"/>
      <c r="Q929" s="21"/>
      <c r="R929" s="21"/>
      <c r="S929" s="21"/>
      <c r="T929" s="21"/>
      <c r="U929" s="22">
        <f>IFERROR(__xludf.DUMMYFUNCTION("IFERROR(GOOGLEFINANCE(A929,""closeyest""),"""")"),4160.0)</f>
        <v>4160</v>
      </c>
      <c r="V929" s="23" t="str">
        <f>IFERROR(__xludf.DUMMYFUNCTION("IFERROR(GOOGLEFINANCE(A929,""changepct""),"""")"),"")</f>
        <v/>
      </c>
      <c r="W929" s="22">
        <f>IFERROR(__xludf.DUMMYFUNCTION("IFERROR(GOOGLEFINANCE(A929,""priceopen""),"""")"),4190.0)</f>
        <v>4190</v>
      </c>
      <c r="X929" s="22">
        <f>IFERROR(__xludf.DUMMYFUNCTION("IFERROR(GOOGLEFINANCE(A929,""high""),"""")"),4240.0)</f>
        <v>4240</v>
      </c>
      <c r="Y929" s="22">
        <f>IFERROR(__xludf.DUMMYFUNCTION("IFERROR(GOOGLEFINANCE(A929,""low""),"""")"),4090.0)</f>
        <v>4090</v>
      </c>
      <c r="Z929" s="22">
        <f>IFERROR(__xludf.DUMMYFUNCTION("IFERROR(GOOGLEFINANCE(A929,""volume""),"""")"),2337500.0)</f>
        <v>2337500</v>
      </c>
      <c r="AA929" s="24" t="str">
        <f>VLOOKUP(A929,Metrik!$C$2:$Y$959,5,0)</f>
        <v>Construction Materials</v>
      </c>
      <c r="AB929" s="24" t="str">
        <f>VLOOKUP(A929,Metrik!$C$2:$Y$959,3,0)</f>
        <v>Basic Materials</v>
      </c>
    </row>
    <row r="930">
      <c r="A930" s="14" t="s">
        <v>498</v>
      </c>
      <c r="B930" s="14" t="str">
        <f t="array" ref="B930">VLOOKUP(A930,{Metrik!$C$2:$C$998,Metrik!$B$2:$B$998},2,0)</f>
        <v>Indocement Tunggal Prakarsa Tbk.</v>
      </c>
      <c r="C930" s="15">
        <f>IFERROR(__xludf.DUMMYFUNCTION("GOOGLEFINANCE(""IDX:""&amp;A930,""price"")"),4110.0)</f>
        <v>4110</v>
      </c>
      <c r="D930" s="16" t="str">
        <f>IFERROR(__xludf.DUMMYFUNCTION("IF(A930="""","""",
SPARKLINE(
INDEX(
GOOGLEFINANCE(""IDX:""&amp;A930,""close"",TODAY()-365,TODAY()),
,2
),
{""linewidth"",1}
))
"),"#N/A")</f>
        <v>#N/A</v>
      </c>
      <c r="E930" s="14" t="s">
        <v>54</v>
      </c>
      <c r="F930" s="14" t="s">
        <v>34</v>
      </c>
      <c r="G930" s="24">
        <f t="shared" si="7"/>
        <v>13</v>
      </c>
      <c r="H930" s="19">
        <f>VLOOKUP(A930,Metrik!$C$2:$Y$959,8,0)</f>
        <v>7.6</v>
      </c>
      <c r="I930" s="20">
        <f>VLOOKUP(A930,Metrik!$C$2:$Y$959,9,0)</f>
        <v>0.74</v>
      </c>
      <c r="J930" s="20">
        <f>VLOOKUP(A930,Metrik!$C$2:$Y$959,10,0)</f>
        <v>9.7</v>
      </c>
      <c r="K930" s="20">
        <f>VLOOKUP(A930,Metrik!$C$2:$Y$959,11,0)</f>
        <v>7.2</v>
      </c>
      <c r="L930" s="20">
        <f>VLOOKUP(A930,Metrik!$C$2:$Y$959,12,0)</f>
        <v>0.34</v>
      </c>
      <c r="M930" s="20">
        <f>VLOOKUP(A930,Metrik!$C$2:$Y$959,19,0)</f>
        <v>58.6</v>
      </c>
      <c r="N930" s="21"/>
      <c r="O930" s="21"/>
      <c r="P930" s="21"/>
      <c r="Q930" s="21"/>
      <c r="R930" s="21"/>
      <c r="S930" s="21"/>
      <c r="T930" s="21"/>
      <c r="U930" s="22">
        <f>IFERROR(__xludf.DUMMYFUNCTION("IFERROR(GOOGLEFINANCE(A930,""closeyest""),"""")"),4160.0)</f>
        <v>4160</v>
      </c>
      <c r="V930" s="23" t="str">
        <f>IFERROR(__xludf.DUMMYFUNCTION("IFERROR(GOOGLEFINANCE(A930,""changepct""),"""")"),"")</f>
        <v/>
      </c>
      <c r="W930" s="22">
        <f>IFERROR(__xludf.DUMMYFUNCTION("IFERROR(GOOGLEFINANCE(A930,""priceopen""),"""")"),4190.0)</f>
        <v>4190</v>
      </c>
      <c r="X930" s="22">
        <f>IFERROR(__xludf.DUMMYFUNCTION("IFERROR(GOOGLEFINANCE(A930,""high""),"""")"),4240.0)</f>
        <v>4240</v>
      </c>
      <c r="Y930" s="22">
        <f>IFERROR(__xludf.DUMMYFUNCTION("IFERROR(GOOGLEFINANCE(A930,""low""),"""")"),4090.0)</f>
        <v>4090</v>
      </c>
      <c r="Z930" s="22">
        <f>IFERROR(__xludf.DUMMYFUNCTION("IFERROR(GOOGLEFINANCE(A930,""volume""),"""")"),2337500.0)</f>
        <v>2337500</v>
      </c>
      <c r="AA930" s="24" t="str">
        <f>VLOOKUP(A930,Metrik!$C$2:$Y$959,5,0)</f>
        <v>Construction Materials</v>
      </c>
      <c r="AB930" s="24" t="str">
        <f>VLOOKUP(A930,Metrik!$C$2:$Y$959,3,0)</f>
        <v>Basic Materials</v>
      </c>
    </row>
    <row r="931">
      <c r="A931" s="14" t="s">
        <v>498</v>
      </c>
      <c r="B931" s="14" t="str">
        <f t="array" ref="B931">VLOOKUP(A931,{Metrik!$C$2:$C$998,Metrik!$B$2:$B$998},2,0)</f>
        <v>Indocement Tunggal Prakarsa Tbk.</v>
      </c>
      <c r="C931" s="15">
        <f>IFERROR(__xludf.DUMMYFUNCTION("GOOGLEFINANCE(""IDX:""&amp;A931,""price"")"),4110.0)</f>
        <v>4110</v>
      </c>
      <c r="D931" s="16" t="str">
        <f>IFERROR(__xludf.DUMMYFUNCTION("IF(A931="""","""",
SPARKLINE(
INDEX(
GOOGLEFINANCE(""IDX:""&amp;A931,""close"",TODAY()-365,TODAY()),
,2
),
{""linewidth"",1}
))
"),"#N/A")</f>
        <v>#N/A</v>
      </c>
      <c r="E931" s="14" t="s">
        <v>33</v>
      </c>
      <c r="F931" s="14" t="s">
        <v>34</v>
      </c>
      <c r="G931" s="24">
        <f t="shared" si="7"/>
        <v>13</v>
      </c>
      <c r="H931" s="19">
        <f>VLOOKUP(A931,Metrik!$C$2:$Y$959,8,0)</f>
        <v>7.6</v>
      </c>
      <c r="I931" s="20">
        <f>VLOOKUP(A931,Metrik!$C$2:$Y$959,9,0)</f>
        <v>0.74</v>
      </c>
      <c r="J931" s="20">
        <f>VLOOKUP(A931,Metrik!$C$2:$Y$959,10,0)</f>
        <v>9.7</v>
      </c>
      <c r="K931" s="20">
        <f>VLOOKUP(A931,Metrik!$C$2:$Y$959,11,0)</f>
        <v>7.2</v>
      </c>
      <c r="L931" s="20">
        <f>VLOOKUP(A931,Metrik!$C$2:$Y$959,12,0)</f>
        <v>0.34</v>
      </c>
      <c r="M931" s="20">
        <f>VLOOKUP(A931,Metrik!$C$2:$Y$959,19,0)</f>
        <v>58.6</v>
      </c>
      <c r="N931" s="21"/>
      <c r="O931" s="21"/>
      <c r="P931" s="21"/>
      <c r="Q931" s="21"/>
      <c r="R931" s="21"/>
      <c r="S931" s="21"/>
      <c r="T931" s="21"/>
      <c r="U931" s="22">
        <f>IFERROR(__xludf.DUMMYFUNCTION("IFERROR(GOOGLEFINANCE(A931,""closeyest""),"""")"),4160.0)</f>
        <v>4160</v>
      </c>
      <c r="V931" s="23" t="str">
        <f>IFERROR(__xludf.DUMMYFUNCTION("IFERROR(GOOGLEFINANCE(A931,""changepct""),"""")"),"")</f>
        <v/>
      </c>
      <c r="W931" s="22">
        <f>IFERROR(__xludf.DUMMYFUNCTION("IFERROR(GOOGLEFINANCE(A931,""priceopen""),"""")"),4190.0)</f>
        <v>4190</v>
      </c>
      <c r="X931" s="22">
        <f>IFERROR(__xludf.DUMMYFUNCTION("IFERROR(GOOGLEFINANCE(A931,""high""),"""")"),4240.0)</f>
        <v>4240</v>
      </c>
      <c r="Y931" s="22">
        <f>IFERROR(__xludf.DUMMYFUNCTION("IFERROR(GOOGLEFINANCE(A931,""low""),"""")"),4090.0)</f>
        <v>4090</v>
      </c>
      <c r="Z931" s="22">
        <f>IFERROR(__xludf.DUMMYFUNCTION("IFERROR(GOOGLEFINANCE(A931,""volume""),"""")"),2337500.0)</f>
        <v>2337500</v>
      </c>
      <c r="AA931" s="24" t="str">
        <f>VLOOKUP(A931,Metrik!$C$2:$Y$959,5,0)</f>
        <v>Construction Materials</v>
      </c>
      <c r="AB931" s="24" t="str">
        <f>VLOOKUP(A931,Metrik!$C$2:$Y$959,3,0)</f>
        <v>Basic Materials</v>
      </c>
    </row>
    <row r="932">
      <c r="A932" s="14" t="s">
        <v>498</v>
      </c>
      <c r="B932" s="14" t="str">
        <f t="array" ref="B932">VLOOKUP(A932,{Metrik!$C$2:$C$998,Metrik!$B$2:$B$998},2,0)</f>
        <v>Indocement Tunggal Prakarsa Tbk.</v>
      </c>
      <c r="C932" s="15">
        <f>IFERROR(__xludf.DUMMYFUNCTION("GOOGLEFINANCE(""IDX:""&amp;A932,""price"")"),4110.0)</f>
        <v>4110</v>
      </c>
      <c r="D932" s="16" t="str">
        <f>IFERROR(__xludf.DUMMYFUNCTION("IF(A932="""","""",
SPARKLINE(
INDEX(
GOOGLEFINANCE(""IDX:""&amp;A932,""close"",TODAY()-365,TODAY()),
,2
),
{""linewidth"",1}
))
"),"#N/A")</f>
        <v>#N/A</v>
      </c>
      <c r="E932" s="14" t="s">
        <v>28</v>
      </c>
      <c r="F932" s="17" t="s">
        <v>29</v>
      </c>
      <c r="G932" s="24">
        <f t="shared" si="7"/>
        <v>13</v>
      </c>
      <c r="H932" s="19">
        <f>VLOOKUP(A932,Metrik!$C$2:$Y$959,8,0)</f>
        <v>7.6</v>
      </c>
      <c r="I932" s="20">
        <f>VLOOKUP(A932,Metrik!$C$2:$Y$959,9,0)</f>
        <v>0.74</v>
      </c>
      <c r="J932" s="20">
        <f>VLOOKUP(A932,Metrik!$C$2:$Y$959,10,0)</f>
        <v>9.7</v>
      </c>
      <c r="K932" s="20">
        <f>VLOOKUP(A932,Metrik!$C$2:$Y$959,11,0)</f>
        <v>7.2</v>
      </c>
      <c r="L932" s="20">
        <f>VLOOKUP(A932,Metrik!$C$2:$Y$959,12,0)</f>
        <v>0.34</v>
      </c>
      <c r="M932" s="20">
        <f>VLOOKUP(A932,Metrik!$C$2:$Y$959,19,0)</f>
        <v>58.6</v>
      </c>
      <c r="N932" s="21"/>
      <c r="O932" s="21"/>
      <c r="P932" s="21"/>
      <c r="Q932" s="21"/>
      <c r="R932" s="21"/>
      <c r="S932" s="21"/>
      <c r="T932" s="21"/>
      <c r="U932" s="22">
        <f>IFERROR(__xludf.DUMMYFUNCTION("IFERROR(GOOGLEFINANCE(A932,""closeyest""),"""")"),4160.0)</f>
        <v>4160</v>
      </c>
      <c r="V932" s="23" t="str">
        <f>IFERROR(__xludf.DUMMYFUNCTION("IFERROR(GOOGLEFINANCE(A932,""changepct""),"""")"),"")</f>
        <v/>
      </c>
      <c r="W932" s="22">
        <f>IFERROR(__xludf.DUMMYFUNCTION("IFERROR(GOOGLEFINANCE(A932,""priceopen""),"""")"),4190.0)</f>
        <v>4190</v>
      </c>
      <c r="X932" s="22">
        <f>IFERROR(__xludf.DUMMYFUNCTION("IFERROR(GOOGLEFINANCE(A932,""high""),"""")"),4240.0)</f>
        <v>4240</v>
      </c>
      <c r="Y932" s="22">
        <f>IFERROR(__xludf.DUMMYFUNCTION("IFERROR(GOOGLEFINANCE(A932,""low""),"""")"),4090.0)</f>
        <v>4090</v>
      </c>
      <c r="Z932" s="22">
        <f>IFERROR(__xludf.DUMMYFUNCTION("IFERROR(GOOGLEFINANCE(A932,""volume""),"""")"),2337500.0)</f>
        <v>2337500</v>
      </c>
      <c r="AA932" s="24" t="str">
        <f>VLOOKUP(A932,Metrik!$C$2:$Y$959,5,0)</f>
        <v>Construction Materials</v>
      </c>
      <c r="AB932" s="24" t="str">
        <f>VLOOKUP(A932,Metrik!$C$2:$Y$959,3,0)</f>
        <v>Basic Materials</v>
      </c>
    </row>
    <row r="933">
      <c r="A933" s="14" t="s">
        <v>498</v>
      </c>
      <c r="B933" s="14" t="str">
        <f t="array" ref="B933">VLOOKUP(A933,{Metrik!$C$2:$C$998,Metrik!$B$2:$B$998},2,0)</f>
        <v>Indocement Tunggal Prakarsa Tbk.</v>
      </c>
      <c r="C933" s="15">
        <f>IFERROR(__xludf.DUMMYFUNCTION("GOOGLEFINANCE(""IDX:""&amp;A933,""price"")"),4110.0)</f>
        <v>4110</v>
      </c>
      <c r="D933" s="16" t="str">
        <f>IFERROR(__xludf.DUMMYFUNCTION("IF(A933="""","""",
SPARKLINE(
INDEX(
GOOGLEFINANCE(""IDX:""&amp;A933,""close"",TODAY()-365,TODAY()),
,2
),
{""linewidth"",1}
))
"),"#N/A")</f>
        <v>#N/A</v>
      </c>
      <c r="E933" s="14" t="s">
        <v>32</v>
      </c>
      <c r="F933" s="14" t="s">
        <v>29</v>
      </c>
      <c r="G933" s="24">
        <f t="shared" si="7"/>
        <v>13</v>
      </c>
      <c r="H933" s="19">
        <f>VLOOKUP(A933,Metrik!$C$2:$Y$959,8,0)</f>
        <v>7.6</v>
      </c>
      <c r="I933" s="20">
        <f>VLOOKUP(A933,Metrik!$C$2:$Y$959,9,0)</f>
        <v>0.74</v>
      </c>
      <c r="J933" s="20">
        <f>VLOOKUP(A933,Metrik!$C$2:$Y$959,10,0)</f>
        <v>9.7</v>
      </c>
      <c r="K933" s="20">
        <f>VLOOKUP(A933,Metrik!$C$2:$Y$959,11,0)</f>
        <v>7.2</v>
      </c>
      <c r="L933" s="20">
        <f>VLOOKUP(A933,Metrik!$C$2:$Y$959,12,0)</f>
        <v>0.34</v>
      </c>
      <c r="M933" s="20">
        <f>VLOOKUP(A933,Metrik!$C$2:$Y$959,19,0)</f>
        <v>58.6</v>
      </c>
      <c r="N933" s="21"/>
      <c r="O933" s="21"/>
      <c r="P933" s="21"/>
      <c r="Q933" s="21"/>
      <c r="R933" s="21"/>
      <c r="S933" s="21"/>
      <c r="T933" s="21"/>
      <c r="U933" s="22">
        <f>IFERROR(__xludf.DUMMYFUNCTION("IFERROR(GOOGLEFINANCE(A933,""closeyest""),"""")"),4160.0)</f>
        <v>4160</v>
      </c>
      <c r="V933" s="23" t="str">
        <f>IFERROR(__xludf.DUMMYFUNCTION("IFERROR(GOOGLEFINANCE(A933,""changepct""),"""")"),"")</f>
        <v/>
      </c>
      <c r="W933" s="22">
        <f>IFERROR(__xludf.DUMMYFUNCTION("IFERROR(GOOGLEFINANCE(A933,""priceopen""),"""")"),4190.0)</f>
        <v>4190</v>
      </c>
      <c r="X933" s="22">
        <f>IFERROR(__xludf.DUMMYFUNCTION("IFERROR(GOOGLEFINANCE(A933,""high""),"""")"),4240.0)</f>
        <v>4240</v>
      </c>
      <c r="Y933" s="22">
        <f>IFERROR(__xludf.DUMMYFUNCTION("IFERROR(GOOGLEFINANCE(A933,""low""),"""")"),4090.0)</f>
        <v>4090</v>
      </c>
      <c r="Z933" s="22">
        <f>IFERROR(__xludf.DUMMYFUNCTION("IFERROR(GOOGLEFINANCE(A933,""volume""),"""")"),2337500.0)</f>
        <v>2337500</v>
      </c>
      <c r="AA933" s="24" t="str">
        <f>VLOOKUP(A933,Metrik!$C$2:$Y$959,5,0)</f>
        <v>Construction Materials</v>
      </c>
      <c r="AB933" s="24" t="str">
        <f>VLOOKUP(A933,Metrik!$C$2:$Y$959,3,0)</f>
        <v>Basic Materials</v>
      </c>
    </row>
    <row r="934">
      <c r="A934" s="14" t="s">
        <v>498</v>
      </c>
      <c r="B934" s="14" t="str">
        <f t="array" ref="B934">VLOOKUP(A934,{Metrik!$C$2:$C$998,Metrik!$B$2:$B$998},2,0)</f>
        <v>Indocement Tunggal Prakarsa Tbk.</v>
      </c>
      <c r="C934" s="15">
        <f>IFERROR(__xludf.DUMMYFUNCTION("GOOGLEFINANCE(""IDX:""&amp;A934,""price"")"),4110.0)</f>
        <v>4110</v>
      </c>
      <c r="D934" s="16" t="str">
        <f>IFERROR(__xludf.DUMMYFUNCTION("IF(A934="""","""",
SPARKLINE(
INDEX(
GOOGLEFINANCE(""IDX:""&amp;A934,""close"",TODAY()-365,TODAY()),
,2
),
{""linewidth"",1}
))
"),"#N/A")</f>
        <v>#N/A</v>
      </c>
      <c r="E934" s="14" t="s">
        <v>85</v>
      </c>
      <c r="F934" s="17" t="s">
        <v>51</v>
      </c>
      <c r="G934" s="24">
        <f t="shared" si="7"/>
        <v>13</v>
      </c>
      <c r="H934" s="19">
        <f>VLOOKUP(A934,Metrik!$C$2:$Y$959,8,0)</f>
        <v>7.6</v>
      </c>
      <c r="I934" s="20">
        <f>VLOOKUP(A934,Metrik!$C$2:$Y$959,9,0)</f>
        <v>0.74</v>
      </c>
      <c r="J934" s="20">
        <f>VLOOKUP(A934,Metrik!$C$2:$Y$959,10,0)</f>
        <v>9.7</v>
      </c>
      <c r="K934" s="20">
        <f>VLOOKUP(A934,Metrik!$C$2:$Y$959,11,0)</f>
        <v>7.2</v>
      </c>
      <c r="L934" s="20">
        <f>VLOOKUP(A934,Metrik!$C$2:$Y$959,12,0)</f>
        <v>0.34</v>
      </c>
      <c r="M934" s="20">
        <f>VLOOKUP(A934,Metrik!$C$2:$Y$959,19,0)</f>
        <v>58.6</v>
      </c>
      <c r="N934" s="21"/>
      <c r="O934" s="21"/>
      <c r="P934" s="21"/>
      <c r="Q934" s="21"/>
      <c r="R934" s="21"/>
      <c r="S934" s="21"/>
      <c r="T934" s="21"/>
      <c r="U934" s="22">
        <f>IFERROR(__xludf.DUMMYFUNCTION("IFERROR(GOOGLEFINANCE(A934,""closeyest""),"""")"),4160.0)</f>
        <v>4160</v>
      </c>
      <c r="V934" s="23" t="str">
        <f>IFERROR(__xludf.DUMMYFUNCTION("IFERROR(GOOGLEFINANCE(A934,""changepct""),"""")"),"")</f>
        <v/>
      </c>
      <c r="W934" s="22">
        <f>IFERROR(__xludf.DUMMYFUNCTION("IFERROR(GOOGLEFINANCE(A934,""priceopen""),"""")"),4190.0)</f>
        <v>4190</v>
      </c>
      <c r="X934" s="22">
        <f>IFERROR(__xludf.DUMMYFUNCTION("IFERROR(GOOGLEFINANCE(A934,""high""),"""")"),4240.0)</f>
        <v>4240</v>
      </c>
      <c r="Y934" s="22">
        <f>IFERROR(__xludf.DUMMYFUNCTION("IFERROR(GOOGLEFINANCE(A934,""low""),"""")"),4090.0)</f>
        <v>4090</v>
      </c>
      <c r="Z934" s="22">
        <f>IFERROR(__xludf.DUMMYFUNCTION("IFERROR(GOOGLEFINANCE(A934,""volume""),"""")"),2337500.0)</f>
        <v>2337500</v>
      </c>
      <c r="AA934" s="24" t="str">
        <f>VLOOKUP(A934,Metrik!$C$2:$Y$959,5,0)</f>
        <v>Construction Materials</v>
      </c>
      <c r="AB934" s="24" t="str">
        <f>VLOOKUP(A934,Metrik!$C$2:$Y$959,3,0)</f>
        <v>Basic Materials</v>
      </c>
    </row>
    <row r="935">
      <c r="A935" s="14" t="s">
        <v>498</v>
      </c>
      <c r="B935" s="14" t="str">
        <f t="array" ref="B935">VLOOKUP(A935,{Metrik!$C$2:$C$998,Metrik!$B$2:$B$998},2,0)</f>
        <v>Indocement Tunggal Prakarsa Tbk.</v>
      </c>
      <c r="C935" s="15">
        <f>IFERROR(__xludf.DUMMYFUNCTION("GOOGLEFINANCE(""IDX:""&amp;A935,""price"")"),4110.0)</f>
        <v>4110</v>
      </c>
      <c r="D935" s="16" t="str">
        <f>IFERROR(__xludf.DUMMYFUNCTION("IF(A935="""","""",
SPARKLINE(
INDEX(
GOOGLEFINANCE(""IDX:""&amp;A935,""close"",TODAY()-365,TODAY()),
,2
),
{""linewidth"",1}
))
"),"#N/A")</f>
        <v>#N/A</v>
      </c>
      <c r="E935" s="14" t="s">
        <v>41</v>
      </c>
      <c r="F935" s="14" t="s">
        <v>34</v>
      </c>
      <c r="G935" s="24">
        <f t="shared" si="7"/>
        <v>13</v>
      </c>
      <c r="H935" s="19">
        <f>VLOOKUP(A935,Metrik!$C$2:$Y$959,8,0)</f>
        <v>7.6</v>
      </c>
      <c r="I935" s="20">
        <f>VLOOKUP(A935,Metrik!$C$2:$Y$959,9,0)</f>
        <v>0.74</v>
      </c>
      <c r="J935" s="20">
        <f>VLOOKUP(A935,Metrik!$C$2:$Y$959,10,0)</f>
        <v>9.7</v>
      </c>
      <c r="K935" s="20">
        <f>VLOOKUP(A935,Metrik!$C$2:$Y$959,11,0)</f>
        <v>7.2</v>
      </c>
      <c r="L935" s="20">
        <f>VLOOKUP(A935,Metrik!$C$2:$Y$959,12,0)</f>
        <v>0.34</v>
      </c>
      <c r="M935" s="20">
        <f>VLOOKUP(A935,Metrik!$C$2:$Y$959,19,0)</f>
        <v>58.6</v>
      </c>
      <c r="N935" s="21"/>
      <c r="O935" s="21"/>
      <c r="P935" s="21"/>
      <c r="Q935" s="21"/>
      <c r="R935" s="21"/>
      <c r="S935" s="21"/>
      <c r="T935" s="21"/>
      <c r="U935" s="22">
        <f>IFERROR(__xludf.DUMMYFUNCTION("IFERROR(GOOGLEFINANCE(A935,""closeyest""),"""")"),4160.0)</f>
        <v>4160</v>
      </c>
      <c r="V935" s="23" t="str">
        <f>IFERROR(__xludf.DUMMYFUNCTION("IFERROR(GOOGLEFINANCE(A935,""changepct""),"""")"),"")</f>
        <v/>
      </c>
      <c r="W935" s="22">
        <f>IFERROR(__xludf.DUMMYFUNCTION("IFERROR(GOOGLEFINANCE(A935,""priceopen""),"""")"),4190.0)</f>
        <v>4190</v>
      </c>
      <c r="X935" s="22">
        <f>IFERROR(__xludf.DUMMYFUNCTION("IFERROR(GOOGLEFINANCE(A935,""high""),"""")"),4240.0)</f>
        <v>4240</v>
      </c>
      <c r="Y935" s="22">
        <f>IFERROR(__xludf.DUMMYFUNCTION("IFERROR(GOOGLEFINANCE(A935,""low""),"""")"),4090.0)</f>
        <v>4090</v>
      </c>
      <c r="Z935" s="22">
        <f>IFERROR(__xludf.DUMMYFUNCTION("IFERROR(GOOGLEFINANCE(A935,""volume""),"""")"),2337500.0)</f>
        <v>2337500</v>
      </c>
      <c r="AA935" s="24" t="str">
        <f>VLOOKUP(A935,Metrik!$C$2:$Y$959,5,0)</f>
        <v>Construction Materials</v>
      </c>
      <c r="AB935" s="24" t="str">
        <f>VLOOKUP(A935,Metrik!$C$2:$Y$959,3,0)</f>
        <v>Basic Materials</v>
      </c>
    </row>
    <row r="936">
      <c r="A936" s="48" t="s">
        <v>498</v>
      </c>
      <c r="B936" s="14" t="str">
        <f t="array" ref="B936">VLOOKUP(A936,{Metrik!$C$2:$C$998,Metrik!$B$2:$B$998},2,0)</f>
        <v>Indocement Tunggal Prakarsa Tbk.</v>
      </c>
      <c r="C936" s="15">
        <f>IFERROR(__xludf.DUMMYFUNCTION("GOOGLEFINANCE(""IDX:""&amp;A936,""price"")"),4110.0)</f>
        <v>4110</v>
      </c>
      <c r="D936" s="16" t="str">
        <f>IFERROR(__xludf.DUMMYFUNCTION("IF(A936="""","""",
SPARKLINE(
INDEX(
GOOGLEFINANCE(""IDX:""&amp;A936,""close"",TODAY()-365,TODAY()),
,2
),
{""linewidth"",1}
))
"),"#N/A")</f>
        <v>#N/A</v>
      </c>
      <c r="E936" s="17" t="s">
        <v>69</v>
      </c>
      <c r="F936" s="17" t="s">
        <v>70</v>
      </c>
      <c r="G936" s="24">
        <f t="shared" si="7"/>
        <v>13</v>
      </c>
      <c r="H936" s="19">
        <f>VLOOKUP(A936,Metrik!$C$2:$Y$959,8,0)</f>
        <v>7.6</v>
      </c>
      <c r="I936" s="20">
        <f>VLOOKUP(A936,Metrik!$C$2:$Y$959,9,0)</f>
        <v>0.74</v>
      </c>
      <c r="J936" s="20">
        <f>VLOOKUP(A936,Metrik!$C$2:$Y$959,10,0)</f>
        <v>9.7</v>
      </c>
      <c r="K936" s="20">
        <f>VLOOKUP(A936,Metrik!$C$2:$Y$959,11,0)</f>
        <v>7.2</v>
      </c>
      <c r="L936" s="20">
        <f>VLOOKUP(A936,Metrik!$C$2:$Y$959,12,0)</f>
        <v>0.34</v>
      </c>
      <c r="M936" s="20">
        <f>VLOOKUP(A936,Metrik!$C$2:$Y$959,19,0)</f>
        <v>58.6</v>
      </c>
      <c r="N936" s="21"/>
      <c r="O936" s="21"/>
      <c r="P936" s="21"/>
      <c r="Q936" s="21"/>
      <c r="R936" s="21"/>
      <c r="S936" s="21"/>
      <c r="T936" s="21"/>
      <c r="U936" s="22">
        <f>IFERROR(__xludf.DUMMYFUNCTION("IFERROR(GOOGLEFINANCE(A936,""closeyest""),"""")"),4160.0)</f>
        <v>4160</v>
      </c>
      <c r="V936" s="23" t="str">
        <f>IFERROR(__xludf.DUMMYFUNCTION("IFERROR(GOOGLEFINANCE(A936,""changepct""),"""")"),"")</f>
        <v/>
      </c>
      <c r="W936" s="22">
        <f>IFERROR(__xludf.DUMMYFUNCTION("IFERROR(GOOGLEFINANCE(A936,""priceopen""),"""")"),4190.0)</f>
        <v>4190</v>
      </c>
      <c r="X936" s="22">
        <f>IFERROR(__xludf.DUMMYFUNCTION("IFERROR(GOOGLEFINANCE(A936,""high""),"""")"),4240.0)</f>
        <v>4240</v>
      </c>
      <c r="Y936" s="22">
        <f>IFERROR(__xludf.DUMMYFUNCTION("IFERROR(GOOGLEFINANCE(A936,""low""),"""")"),4090.0)</f>
        <v>4090</v>
      </c>
      <c r="Z936" s="22">
        <f>IFERROR(__xludf.DUMMYFUNCTION("IFERROR(GOOGLEFINANCE(A936,""volume""),"""")"),2337500.0)</f>
        <v>2337500</v>
      </c>
      <c r="AA936" s="24" t="str">
        <f>VLOOKUP(A936,Metrik!$C$2:$Y$959,5,0)</f>
        <v>Construction Materials</v>
      </c>
      <c r="AB936" s="24" t="str">
        <f>VLOOKUP(A936,Metrik!$C$2:$Y$959,3,0)</f>
        <v>Basic Materials</v>
      </c>
    </row>
    <row r="937">
      <c r="A937" s="17" t="s">
        <v>498</v>
      </c>
      <c r="B937" s="14" t="str">
        <f t="array" ref="B937">VLOOKUP(A937,{Metrik!$C$2:$C$998,Metrik!$B$2:$B$998},2,0)</f>
        <v>Indocement Tunggal Prakarsa Tbk.</v>
      </c>
      <c r="C937" s="15">
        <f>IFERROR(__xludf.DUMMYFUNCTION("GOOGLEFINANCE(""IDX:""&amp;A937,""price"")"),4110.0)</f>
        <v>4110</v>
      </c>
      <c r="D937" s="16" t="str">
        <f>IFERROR(__xludf.DUMMYFUNCTION("IF(A937="""","""",
SPARKLINE(
INDEX(
GOOGLEFINANCE(""IDX:""&amp;A937,""close"",TODAY()-365,TODAY()),
,2
),
{""linewidth"",1}
))
"),"#N/A")</f>
        <v>#N/A</v>
      </c>
      <c r="E937" s="14" t="s">
        <v>35</v>
      </c>
      <c r="F937" s="17" t="s">
        <v>36</v>
      </c>
      <c r="G937" s="38">
        <f t="shared" si="7"/>
        <v>13</v>
      </c>
      <c r="H937" s="34">
        <f>VLOOKUP(A937,Metrik!$C$2:$Y$959,8,0)</f>
        <v>7.6</v>
      </c>
      <c r="I937" s="34">
        <f>VLOOKUP(A937,Metrik!$C$2:$Y$959,9,0)</f>
        <v>0.74</v>
      </c>
      <c r="J937" s="34">
        <f>VLOOKUP(A937,Metrik!$C$2:$Y$959,10,0)</f>
        <v>9.7</v>
      </c>
      <c r="K937" s="34">
        <f>VLOOKUP(A937,Metrik!$C$2:$Y$959,11,0)</f>
        <v>7.2</v>
      </c>
      <c r="L937" s="34">
        <f>VLOOKUP(A937,Metrik!$C$2:$Y$959,12,0)</f>
        <v>0.34</v>
      </c>
      <c r="M937" s="34">
        <f>VLOOKUP(A937,Metrik!$C$2:$Y$959,19,0)</f>
        <v>58.6</v>
      </c>
      <c r="N937" s="45">
        <v>5.4</v>
      </c>
      <c r="O937" s="45">
        <v>23.2</v>
      </c>
      <c r="P937" s="45">
        <v>83.0</v>
      </c>
      <c r="Q937" s="45">
        <v>1.9</v>
      </c>
      <c r="R937" s="45">
        <v>65.9</v>
      </c>
      <c r="S937" s="45">
        <v>42.4</v>
      </c>
      <c r="T937" s="45">
        <v>5.9</v>
      </c>
      <c r="U937" s="35">
        <f>IFERROR(__xludf.DUMMYFUNCTION("IFERROR(GOOGLEFINANCE(A937,""closeyest""),"""")"),4160.0)</f>
        <v>4160</v>
      </c>
      <c r="V937" s="36" t="str">
        <f>IFERROR(__xludf.DUMMYFUNCTION("IFERROR(GOOGLEFINANCE(A937,""changepct""),"""")"),"")</f>
        <v/>
      </c>
      <c r="W937" s="49">
        <f>IFERROR(__xludf.DUMMYFUNCTION("IFERROR(GOOGLEFINANCE(A937,""priceopen""),"""")"),4190.0)</f>
        <v>4190</v>
      </c>
      <c r="X937" s="35">
        <f>IFERROR(__xludf.DUMMYFUNCTION("IFERROR(GOOGLEFINANCE(A937,""high""),"""")"),4240.0)</f>
        <v>4240</v>
      </c>
      <c r="Y937" s="35">
        <f>IFERROR(__xludf.DUMMYFUNCTION("IFERROR(GOOGLEFINANCE(A937,""low""),"""")"),4090.0)</f>
        <v>4090</v>
      </c>
      <c r="Z937" s="35">
        <f>IFERROR(__xludf.DUMMYFUNCTION("IFERROR(GOOGLEFINANCE(A937,""volume""),"""")"),2337500.0)</f>
        <v>2337500</v>
      </c>
      <c r="AA937" s="14" t="str">
        <f>VLOOKUP(A937,Metrik!$C$2:$Y$959,5,0)</f>
        <v>Construction Materials</v>
      </c>
      <c r="AB937" s="14" t="str">
        <f>VLOOKUP(A937,Metrik!$C$2:$Y$959,3,0)</f>
        <v>Basic Materials</v>
      </c>
    </row>
    <row r="938">
      <c r="A938" s="14" t="s">
        <v>498</v>
      </c>
      <c r="B938" s="14" t="str">
        <f t="array" ref="B938">VLOOKUP(A938,{Metrik!$C$2:$C$998,Metrik!$B$2:$B$998},2,0)</f>
        <v>Indocement Tunggal Prakarsa Tbk.</v>
      </c>
      <c r="C938" s="15">
        <f>IFERROR(__xludf.DUMMYFUNCTION("GOOGLEFINANCE(""IDX:""&amp;A938,""price"")"),4110.0)</f>
        <v>4110</v>
      </c>
      <c r="D938" s="16" t="str">
        <f>IFERROR(__xludf.DUMMYFUNCTION("IF(A938="""","""",
SPARKLINE(
INDEX(
GOOGLEFINANCE(""IDX:""&amp;A938,""close"",TODAY()-365,TODAY()),
,2
),
{""linewidth"",1}
))
"),"#N/A")</f>
        <v>#N/A</v>
      </c>
      <c r="E938" s="14" t="s">
        <v>86</v>
      </c>
      <c r="F938" s="25">
        <v>46356.0</v>
      </c>
      <c r="G938" s="24">
        <f t="shared" si="7"/>
        <v>13</v>
      </c>
      <c r="H938" s="19">
        <f>VLOOKUP(A938,Metrik!$C$2:$Y$959,8,0)</f>
        <v>7.6</v>
      </c>
      <c r="I938" s="20">
        <f>VLOOKUP(A938,Metrik!$C$2:$Y$959,9,0)</f>
        <v>0.74</v>
      </c>
      <c r="J938" s="20">
        <f>VLOOKUP(A938,Metrik!$C$2:$Y$959,10,0)</f>
        <v>9.7</v>
      </c>
      <c r="K938" s="20">
        <f>VLOOKUP(A938,Metrik!$C$2:$Y$959,11,0)</f>
        <v>7.2</v>
      </c>
      <c r="L938" s="20">
        <f>VLOOKUP(A938,Metrik!$C$2:$Y$959,12,0)</f>
        <v>0.34</v>
      </c>
      <c r="M938" s="20">
        <f>VLOOKUP(A938,Metrik!$C$2:$Y$959,19,0)</f>
        <v>58.6</v>
      </c>
      <c r="N938" s="21"/>
      <c r="O938" s="21"/>
      <c r="P938" s="21"/>
      <c r="Q938" s="21"/>
      <c r="R938" s="21"/>
      <c r="S938" s="21"/>
      <c r="T938" s="21"/>
      <c r="U938" s="22">
        <f>IFERROR(__xludf.DUMMYFUNCTION("IFERROR(GOOGLEFINANCE(A938,""closeyest""),"""")"),4160.0)</f>
        <v>4160</v>
      </c>
      <c r="V938" s="23" t="str">
        <f>IFERROR(__xludf.DUMMYFUNCTION("IFERROR(GOOGLEFINANCE(A938,""changepct""),"""")"),"")</f>
        <v/>
      </c>
      <c r="W938" s="22">
        <f>IFERROR(__xludf.DUMMYFUNCTION("IFERROR(GOOGLEFINANCE(A938,""priceopen""),"""")"),4190.0)</f>
        <v>4190</v>
      </c>
      <c r="X938" s="22">
        <f>IFERROR(__xludf.DUMMYFUNCTION("IFERROR(GOOGLEFINANCE(A938,""high""),"""")"),4240.0)</f>
        <v>4240</v>
      </c>
      <c r="Y938" s="22">
        <f>IFERROR(__xludf.DUMMYFUNCTION("IFERROR(GOOGLEFINANCE(A938,""low""),"""")"),4090.0)</f>
        <v>4090</v>
      </c>
      <c r="Z938" s="22">
        <f>IFERROR(__xludf.DUMMYFUNCTION("IFERROR(GOOGLEFINANCE(A938,""volume""),"""")"),2337500.0)</f>
        <v>2337500</v>
      </c>
      <c r="AA938" s="24" t="str">
        <f>VLOOKUP(A938,Metrik!$C$2:$Y$959,5,0)</f>
        <v>Construction Materials</v>
      </c>
      <c r="AB938" s="24" t="str">
        <f>VLOOKUP(A938,Metrik!$C$2:$Y$959,3,0)</f>
        <v>Basic Materials</v>
      </c>
    </row>
    <row r="939">
      <c r="A939" s="14" t="s">
        <v>498</v>
      </c>
      <c r="B939" s="14" t="str">
        <f t="array" ref="B939">VLOOKUP(A939,{Metrik!$C$2:$C$998,Metrik!$B$2:$B$998},2,0)</f>
        <v>Indocement Tunggal Prakarsa Tbk.</v>
      </c>
      <c r="C939" s="15">
        <f>IFERROR(__xludf.DUMMYFUNCTION("GOOGLEFINANCE(""IDX:""&amp;A939,""price"")"),4110.0)</f>
        <v>4110</v>
      </c>
      <c r="D939" s="16" t="str">
        <f>IFERROR(__xludf.DUMMYFUNCTION("IF(A939="""","""",
SPARKLINE(
INDEX(
GOOGLEFINANCE(""IDX:""&amp;A939,""close"",TODAY()-365,TODAY()),
,2
),
{""linewidth"",1}
))
"),"#N/A")</f>
        <v>#N/A</v>
      </c>
      <c r="E939" s="14" t="s">
        <v>42</v>
      </c>
      <c r="F939" s="25">
        <v>46356.0</v>
      </c>
      <c r="G939" s="24">
        <f t="shared" si="7"/>
        <v>13</v>
      </c>
      <c r="H939" s="19">
        <f>VLOOKUP(A939,Metrik!$C$2:$Y$959,8,0)</f>
        <v>7.6</v>
      </c>
      <c r="I939" s="20">
        <f>VLOOKUP(A939,Metrik!$C$2:$Y$959,9,0)</f>
        <v>0.74</v>
      </c>
      <c r="J939" s="20">
        <f>VLOOKUP(A939,Metrik!$C$2:$Y$959,10,0)</f>
        <v>9.7</v>
      </c>
      <c r="K939" s="20">
        <f>VLOOKUP(A939,Metrik!$C$2:$Y$959,11,0)</f>
        <v>7.2</v>
      </c>
      <c r="L939" s="20">
        <f>VLOOKUP(A939,Metrik!$C$2:$Y$959,12,0)</f>
        <v>0.34</v>
      </c>
      <c r="M939" s="20">
        <f>VLOOKUP(A939,Metrik!$C$2:$Y$959,19,0)</f>
        <v>58.6</v>
      </c>
      <c r="N939" s="21"/>
      <c r="O939" s="21"/>
      <c r="P939" s="21"/>
      <c r="Q939" s="21"/>
      <c r="R939" s="21"/>
      <c r="S939" s="21"/>
      <c r="T939" s="21"/>
      <c r="U939" s="22">
        <f>IFERROR(__xludf.DUMMYFUNCTION("IFERROR(GOOGLEFINANCE(A939,""closeyest""),"""")"),4160.0)</f>
        <v>4160</v>
      </c>
      <c r="V939" s="23" t="str">
        <f>IFERROR(__xludf.DUMMYFUNCTION("IFERROR(GOOGLEFINANCE(A939,""changepct""),"""")"),"")</f>
        <v/>
      </c>
      <c r="W939" s="22">
        <f>IFERROR(__xludf.DUMMYFUNCTION("IFERROR(GOOGLEFINANCE(A939,""priceopen""),"""")"),4190.0)</f>
        <v>4190</v>
      </c>
      <c r="X939" s="22">
        <f>IFERROR(__xludf.DUMMYFUNCTION("IFERROR(GOOGLEFINANCE(A939,""high""),"""")"),4240.0)</f>
        <v>4240</v>
      </c>
      <c r="Y939" s="22">
        <f>IFERROR(__xludf.DUMMYFUNCTION("IFERROR(GOOGLEFINANCE(A939,""low""),"""")"),4090.0)</f>
        <v>4090</v>
      </c>
      <c r="Z939" s="22">
        <f>IFERROR(__xludf.DUMMYFUNCTION("IFERROR(GOOGLEFINANCE(A939,""volume""),"""")"),2337500.0)</f>
        <v>2337500</v>
      </c>
      <c r="AA939" s="24" t="str">
        <f>VLOOKUP(A939,Metrik!$C$2:$Y$959,5,0)</f>
        <v>Construction Materials</v>
      </c>
      <c r="AB939" s="24" t="str">
        <f>VLOOKUP(A939,Metrik!$C$2:$Y$959,3,0)</f>
        <v>Basic Materials</v>
      </c>
    </row>
    <row r="940">
      <c r="A940" s="14" t="s">
        <v>498</v>
      </c>
      <c r="B940" s="14" t="str">
        <f t="array" ref="B940">VLOOKUP(A940,{Metrik!$C$2:$C$998,Metrik!$B$2:$B$998},2,0)</f>
        <v>Indocement Tunggal Prakarsa Tbk.</v>
      </c>
      <c r="C940" s="15">
        <f>IFERROR(__xludf.DUMMYFUNCTION("GOOGLEFINANCE(""IDX:""&amp;A940,""price"")"),4110.0)</f>
        <v>4110</v>
      </c>
      <c r="D940" s="16" t="str">
        <f>IFERROR(__xludf.DUMMYFUNCTION("IF(A940="""","""",
SPARKLINE(
INDEX(
GOOGLEFINANCE(""IDX:""&amp;A940,""close"",TODAY()-365,TODAY()),
,2
),
{""linewidth"",1}
))
"),"#N/A")</f>
        <v>#N/A</v>
      </c>
      <c r="E940" s="14" t="s">
        <v>39</v>
      </c>
      <c r="F940" s="25">
        <v>46356.0</v>
      </c>
      <c r="G940" s="24">
        <f t="shared" si="7"/>
        <v>13</v>
      </c>
      <c r="H940" s="19">
        <f>VLOOKUP(A940,Metrik!$C$2:$Y$959,8,0)</f>
        <v>7.6</v>
      </c>
      <c r="I940" s="20">
        <f>VLOOKUP(A940,Metrik!$C$2:$Y$959,9,0)</f>
        <v>0.74</v>
      </c>
      <c r="J940" s="20">
        <f>VLOOKUP(A940,Metrik!$C$2:$Y$959,10,0)</f>
        <v>9.7</v>
      </c>
      <c r="K940" s="20">
        <f>VLOOKUP(A940,Metrik!$C$2:$Y$959,11,0)</f>
        <v>7.2</v>
      </c>
      <c r="L940" s="20">
        <f>VLOOKUP(A940,Metrik!$C$2:$Y$959,12,0)</f>
        <v>0.34</v>
      </c>
      <c r="M940" s="20">
        <f>VLOOKUP(A940,Metrik!$C$2:$Y$959,19,0)</f>
        <v>58.6</v>
      </c>
      <c r="N940" s="21"/>
      <c r="O940" s="21"/>
      <c r="P940" s="21"/>
      <c r="Q940" s="21"/>
      <c r="R940" s="21"/>
      <c r="S940" s="21"/>
      <c r="T940" s="21"/>
      <c r="U940" s="22">
        <f>IFERROR(__xludf.DUMMYFUNCTION("IFERROR(GOOGLEFINANCE(A940,""closeyest""),"""")"),4160.0)</f>
        <v>4160</v>
      </c>
      <c r="V940" s="23" t="str">
        <f>IFERROR(__xludf.DUMMYFUNCTION("IFERROR(GOOGLEFINANCE(A940,""changepct""),"""")"),"")</f>
        <v/>
      </c>
      <c r="W940" s="22">
        <f>IFERROR(__xludf.DUMMYFUNCTION("IFERROR(GOOGLEFINANCE(A940,""priceopen""),"""")"),4190.0)</f>
        <v>4190</v>
      </c>
      <c r="X940" s="22">
        <f>IFERROR(__xludf.DUMMYFUNCTION("IFERROR(GOOGLEFINANCE(A940,""high""),"""")"),4240.0)</f>
        <v>4240</v>
      </c>
      <c r="Y940" s="22">
        <f>IFERROR(__xludf.DUMMYFUNCTION("IFERROR(GOOGLEFINANCE(A940,""low""),"""")"),4090.0)</f>
        <v>4090</v>
      </c>
      <c r="Z940" s="22">
        <f>IFERROR(__xludf.DUMMYFUNCTION("IFERROR(GOOGLEFINANCE(A940,""volume""),"""")"),2337500.0)</f>
        <v>2337500</v>
      </c>
      <c r="AA940" s="24" t="str">
        <f>VLOOKUP(A940,Metrik!$C$2:$Y$959,5,0)</f>
        <v>Construction Materials</v>
      </c>
      <c r="AB940" s="24" t="str">
        <f>VLOOKUP(A940,Metrik!$C$2:$Y$959,3,0)</f>
        <v>Basic Materials</v>
      </c>
    </row>
    <row r="941">
      <c r="A941" s="14" t="s">
        <v>499</v>
      </c>
      <c r="B941" s="14" t="str">
        <f t="array" ref="B941">VLOOKUP(A941,{Metrik!$C$2:$C$998,Metrik!$B$2:$B$998},2,0)</f>
        <v>PT Sumber Sinergi Makmur Tbk</v>
      </c>
      <c r="C941" s="15">
        <f>IFERROR(__xludf.DUMMYFUNCTION("GOOGLEFINANCE(""IDX:""&amp;A941,""price"")"),52.0)</f>
        <v>52</v>
      </c>
      <c r="D941" s="16" t="str">
        <f>IFERROR(__xludf.DUMMYFUNCTION("IF(A941="""","""",
SPARKLINE(
INDEX(
GOOGLEFINANCE(""IDX:""&amp;A941,""close"",TODAY()-365,TODAY()),
,2
),
{""linewidth"",1}
))
"),"#N/A")</f>
        <v>#N/A</v>
      </c>
      <c r="E941" s="26"/>
      <c r="F941" s="26"/>
      <c r="G941" s="24">
        <f t="shared" si="7"/>
        <v>0</v>
      </c>
      <c r="H941" s="19">
        <f>VLOOKUP(A941,Metrik!$C$2:$Y$959,8,0)</f>
        <v>770</v>
      </c>
      <c r="I941" s="20">
        <f>VLOOKUP(A941,Metrik!$C$2:$Y$959,9,0)</f>
        <v>1.9</v>
      </c>
      <c r="J941" s="20">
        <f>VLOOKUP(A941,Metrik!$C$2:$Y$959,10,0)</f>
        <v>0.25</v>
      </c>
      <c r="K941" s="20">
        <f>VLOOKUP(A941,Metrik!$C$2:$Y$959,11,0)</f>
        <v>0.22</v>
      </c>
      <c r="L941" s="20">
        <f>VLOOKUP(A941,Metrik!$C$2:$Y$959,12,0)</f>
        <v>0.11</v>
      </c>
      <c r="M941" s="20">
        <f>VLOOKUP(A941,Metrik!$C$2:$Y$959,19,0)</f>
        <v>2.4</v>
      </c>
      <c r="N941" s="21"/>
      <c r="O941" s="21"/>
      <c r="P941" s="21"/>
      <c r="Q941" s="21"/>
      <c r="R941" s="21"/>
      <c r="S941" s="21"/>
      <c r="T941" s="21"/>
      <c r="U941" s="22">
        <f>IFERROR(__xludf.DUMMYFUNCTION("IFERROR(GOOGLEFINANCE(A941,""closeyest""),"""")"),52.0)</f>
        <v>52</v>
      </c>
      <c r="V941" s="23">
        <f>IFERROR(__xludf.DUMMYFUNCTION("IFERROR(GOOGLEFINANCE(A941,""changepct""),"""")"),0.0)</f>
        <v>0</v>
      </c>
      <c r="W941" s="22">
        <f>IFERROR(__xludf.DUMMYFUNCTION("IFERROR(GOOGLEFINANCE(A941,""priceopen""),"""")"),53.0)</f>
        <v>53</v>
      </c>
      <c r="X941" s="22">
        <f>IFERROR(__xludf.DUMMYFUNCTION("IFERROR(GOOGLEFINANCE(A941,""high""),"""")"),54.0)</f>
        <v>54</v>
      </c>
      <c r="Y941" s="22">
        <f>IFERROR(__xludf.DUMMYFUNCTION("IFERROR(GOOGLEFINANCE(A941,""low""),"""")"),52.0)</f>
        <v>52</v>
      </c>
      <c r="Z941" s="22">
        <f>IFERROR(__xludf.DUMMYFUNCTION("IFERROR(GOOGLEFINANCE(A941,""volume""),"""")"),8438000.0)</f>
        <v>8438000</v>
      </c>
      <c r="AA941" s="24" t="str">
        <f>VLOOKUP(A941,Metrik!$C$2:$Y$959,5,0)</f>
        <v>Electronic Equipment, Instruments &amp; Components</v>
      </c>
      <c r="AB941" s="24" t="str">
        <f>VLOOKUP(A941,Metrik!$C$2:$Y$959,3,0)</f>
        <v>Technology</v>
      </c>
    </row>
    <row r="942">
      <c r="A942" s="14" t="s">
        <v>500</v>
      </c>
      <c r="B942" s="14" t="str">
        <f t="array" ref="B942">VLOOKUP(A942,{Metrik!$C$2:$C$998,Metrik!$B$2:$B$998},2,0)</f>
        <v>Era Graharealty Tbk.</v>
      </c>
      <c r="C942" s="15">
        <f>IFERROR(__xludf.DUMMYFUNCTION("GOOGLEFINANCE(""IDX:""&amp;A942,""price"")"),160.0)</f>
        <v>160</v>
      </c>
      <c r="D942" s="16" t="str">
        <f>IFERROR(__xludf.DUMMYFUNCTION("IF(A942="""","""",
SPARKLINE(
INDEX(
GOOGLEFINANCE(""IDX:""&amp;A942,""close"",TODAY()-365,TODAY()),
,2
),
{""linewidth"",1}
))
"),"#N/A")</f>
        <v>#N/A</v>
      </c>
      <c r="E942" s="26"/>
      <c r="F942" s="26"/>
      <c r="G942" s="24">
        <f t="shared" si="7"/>
        <v>0</v>
      </c>
      <c r="H942" s="19">
        <f>VLOOKUP(A942,Metrik!$C$2:$Y$959,8,0)</f>
        <v>110</v>
      </c>
      <c r="I942" s="20">
        <f>VLOOKUP(A942,Metrik!$C$2:$Y$959,9,0)</f>
        <v>3.4</v>
      </c>
      <c r="J942" s="20">
        <f>VLOOKUP(A942,Metrik!$C$2:$Y$959,10,0)</f>
        <v>3</v>
      </c>
      <c r="K942" s="20">
        <f>VLOOKUP(A942,Metrik!$C$2:$Y$959,11,0)</f>
        <v>2.2</v>
      </c>
      <c r="L942" s="20">
        <f>VLOOKUP(A942,Metrik!$C$2:$Y$959,12,0)</f>
        <v>0.37</v>
      </c>
      <c r="M942" s="20">
        <f>VLOOKUP(A942,Metrik!$C$2:$Y$959,19,0)</f>
        <v>9.1</v>
      </c>
      <c r="N942" s="21"/>
      <c r="O942" s="21"/>
      <c r="P942" s="21"/>
      <c r="Q942" s="21"/>
      <c r="R942" s="21"/>
      <c r="S942" s="21"/>
      <c r="T942" s="21"/>
      <c r="U942" s="22">
        <f>IFERROR(__xludf.DUMMYFUNCTION("IFERROR(GOOGLEFINANCE(A942,""closeyest""),"""")"),82.03)</f>
        <v>82.03</v>
      </c>
      <c r="V942" s="23">
        <f>IFERROR(__xludf.DUMMYFUNCTION("IFERROR(GOOGLEFINANCE(A942,""changepct""),"""")"),0.55)</f>
        <v>0.55</v>
      </c>
      <c r="W942" s="22">
        <f>IFERROR(__xludf.DUMMYFUNCTION("IFERROR(GOOGLEFINANCE(A942,""priceopen""),"""")"),82.18)</f>
        <v>82.18</v>
      </c>
      <c r="X942" s="22">
        <f>IFERROR(__xludf.DUMMYFUNCTION("IFERROR(GOOGLEFINANCE(A942,""high""),"""")"),82.6)</f>
        <v>82.6</v>
      </c>
      <c r="Y942" s="22">
        <f>IFERROR(__xludf.DUMMYFUNCTION("IFERROR(GOOGLEFINANCE(A942,""low""),"""")"),82.02)</f>
        <v>82.02</v>
      </c>
      <c r="Z942" s="22">
        <f>IFERROR(__xludf.DUMMYFUNCTION("IFERROR(GOOGLEFINANCE(A942,""volume""),"""")"),6584.0)</f>
        <v>6584</v>
      </c>
      <c r="AA942" s="24" t="str">
        <f>VLOOKUP(A942,Metrik!$C$2:$Y$959,5,0)</f>
        <v>Real Estate Management &amp; Development</v>
      </c>
      <c r="AB942" s="24" t="str">
        <f>VLOOKUP(A942,Metrik!$C$2:$Y$959,3,0)</f>
        <v>Properties &amp; Real Estate</v>
      </c>
    </row>
    <row r="943">
      <c r="A943" s="17" t="s">
        <v>501</v>
      </c>
      <c r="B943" s="14" t="str">
        <f t="array" ref="B943">VLOOKUP(A943,{Metrik!$C$2:$C$998,Metrik!$B$2:$B$998},2,0)</f>
        <v>Indonesia Kendaraan Terminal Tbk.</v>
      </c>
      <c r="C943" s="15">
        <f>IFERROR(__xludf.DUMMYFUNCTION("GOOGLEFINANCE(""IDX:""&amp;A943,""price"")"),1215.0)</f>
        <v>1215</v>
      </c>
      <c r="D943" s="16" t="str">
        <f>IFERROR(__xludf.DUMMYFUNCTION("IF(A943="""","""",
SPARKLINE(
INDEX(
GOOGLEFINANCE(""IDX:""&amp;A943,""close"",TODAY()-365,TODAY()),
,2
),
{""linewidth"",1}
))
"),"#N/A")</f>
        <v>#N/A</v>
      </c>
      <c r="E943" s="14"/>
      <c r="F943" s="17"/>
      <c r="G943" s="18">
        <f t="shared" si="7"/>
        <v>0</v>
      </c>
      <c r="H943" s="19">
        <f>VLOOKUP(A943,Metrik!$C$2:$Y$959,8,0)</f>
        <v>8.5</v>
      </c>
      <c r="I943" s="20">
        <f>VLOOKUP(A943,Metrik!$C$2:$Y$959,9,0)</f>
        <v>1.6</v>
      </c>
      <c r="J943" s="20">
        <f>VLOOKUP(A943,Metrik!$C$2:$Y$959,10,0)</f>
        <v>18.3</v>
      </c>
      <c r="K943" s="20">
        <f>VLOOKUP(A943,Metrik!$C$2:$Y$959,11,0)</f>
        <v>12.7</v>
      </c>
      <c r="L943" s="20">
        <f>VLOOKUP(A943,Metrik!$C$2:$Y$959,12,0)</f>
        <v>0.44</v>
      </c>
      <c r="M943" s="20">
        <f>VLOOKUP(A943,Metrik!$C$2:$Y$959,19,0)</f>
        <v>130</v>
      </c>
      <c r="N943" s="21"/>
      <c r="O943" s="21"/>
      <c r="P943" s="21"/>
      <c r="Q943" s="21"/>
      <c r="R943" s="21"/>
      <c r="S943" s="21"/>
      <c r="T943" s="21"/>
      <c r="U943" s="22">
        <f>IFERROR(__xludf.DUMMYFUNCTION("IFERROR(GOOGLEFINANCE(A943,""closeyest""),"""")"),1205.0)</f>
        <v>1205</v>
      </c>
      <c r="V943" s="23">
        <f>IFERROR(__xludf.DUMMYFUNCTION("IFERROR(GOOGLEFINANCE(A943,""changepct""),"""")"),0.83)</f>
        <v>0.83</v>
      </c>
      <c r="W943" s="22">
        <f>IFERROR(__xludf.DUMMYFUNCTION("IFERROR(GOOGLEFINANCE(A943,""priceopen""),"""")"),1205.0)</f>
        <v>1205</v>
      </c>
      <c r="X943" s="22">
        <f>IFERROR(__xludf.DUMMYFUNCTION("IFERROR(GOOGLEFINANCE(A943,""high""),"""")"),1215.0)</f>
        <v>1215</v>
      </c>
      <c r="Y943" s="22">
        <f>IFERROR(__xludf.DUMMYFUNCTION("IFERROR(GOOGLEFINANCE(A943,""low""),"""")"),1195.0)</f>
        <v>1195</v>
      </c>
      <c r="Z943" s="22">
        <f>IFERROR(__xludf.DUMMYFUNCTION("IFERROR(GOOGLEFINANCE(A943,""volume""),"""")"),1892300.0)</f>
        <v>1892300</v>
      </c>
      <c r="AA943" s="24" t="str">
        <f>VLOOKUP(A943,Metrik!$C$2:$Y$959,5,0)</f>
        <v>Transport Infrastructure Operator</v>
      </c>
      <c r="AB943" s="24" t="str">
        <f>VLOOKUP(A943,Metrik!$C$2:$Y$959,3,0)</f>
        <v>Infrastructures</v>
      </c>
    </row>
    <row r="944">
      <c r="A944" s="17" t="s">
        <v>502</v>
      </c>
      <c r="B944" s="14" t="str">
        <f t="array" ref="B944">VLOOKUP(A944,{Metrik!$C$2:$C$998,Metrik!$B$2:$B$998},2,0)</f>
        <v>PT Jasa Armada Indonesia Tbk.</v>
      </c>
      <c r="C944" s="15">
        <f>IFERROR(__xludf.DUMMYFUNCTION("GOOGLEFINANCE(""IDX:""&amp;A944,""price"")"),316.0)</f>
        <v>316</v>
      </c>
      <c r="D944" s="16" t="str">
        <f>IFERROR(__xludf.DUMMYFUNCTION("IF(A944="""","""",
SPARKLINE(
INDEX(
GOOGLEFINANCE(""IDX:""&amp;A944,""close"",TODAY()-365,TODAY()),
,2
),
{""linewidth"",1}
))
"),"#N/A")</f>
        <v>#N/A</v>
      </c>
      <c r="E944" s="14" t="s">
        <v>106</v>
      </c>
      <c r="F944" s="25">
        <v>46356.0</v>
      </c>
      <c r="G944" s="24">
        <f t="shared" si="7"/>
        <v>1</v>
      </c>
      <c r="H944" s="19">
        <f>VLOOKUP(A944,Metrik!$C$2:$Y$959,8,0)</f>
        <v>8.7</v>
      </c>
      <c r="I944" s="20">
        <f>VLOOKUP(A944,Metrik!$C$2:$Y$959,9,0)</f>
        <v>1.2</v>
      </c>
      <c r="J944" s="20">
        <f>VLOOKUP(A944,Metrik!$C$2:$Y$959,10,0)</f>
        <v>14.1</v>
      </c>
      <c r="K944" s="20">
        <f>VLOOKUP(A944,Metrik!$C$2:$Y$959,11,0)</f>
        <v>11.1</v>
      </c>
      <c r="L944" s="20">
        <f>VLOOKUP(A944,Metrik!$C$2:$Y$959,12,0)</f>
        <v>0.27</v>
      </c>
      <c r="M944" s="20">
        <f>VLOOKUP(A944,Metrik!$C$2:$Y$959,19,0)</f>
        <v>57</v>
      </c>
      <c r="N944" s="21"/>
      <c r="O944" s="21"/>
      <c r="P944" s="21"/>
      <c r="Q944" s="21"/>
      <c r="R944" s="21"/>
      <c r="S944" s="21"/>
      <c r="T944" s="21"/>
      <c r="U944" s="22">
        <f>IFERROR(__xludf.DUMMYFUNCTION("IFERROR(GOOGLEFINANCE(A944,""closeyest""),"""")"),314.0)</f>
        <v>314</v>
      </c>
      <c r="V944" s="23">
        <f>IFERROR(__xludf.DUMMYFUNCTION("IFERROR(GOOGLEFINANCE(A944,""changepct""),"""")"),0.64)</f>
        <v>0.64</v>
      </c>
      <c r="W944" s="22">
        <f>IFERROR(__xludf.DUMMYFUNCTION("IFERROR(GOOGLEFINANCE(A944,""priceopen""),"""")"),314.0)</f>
        <v>314</v>
      </c>
      <c r="X944" s="22">
        <f>IFERROR(__xludf.DUMMYFUNCTION("IFERROR(GOOGLEFINANCE(A944,""high""),"""")"),316.0)</f>
        <v>316</v>
      </c>
      <c r="Y944" s="22">
        <f>IFERROR(__xludf.DUMMYFUNCTION("IFERROR(GOOGLEFINANCE(A944,""low""),"""")"),312.0)</f>
        <v>312</v>
      </c>
      <c r="Z944" s="22">
        <f>IFERROR(__xludf.DUMMYFUNCTION("IFERROR(GOOGLEFINANCE(A944,""volume""),"""")"),467600.0)</f>
        <v>467600</v>
      </c>
      <c r="AA944" s="24" t="str">
        <f>VLOOKUP(A944,Metrik!$C$2:$Y$959,5,0)</f>
        <v>Transport Infrastructure Operator</v>
      </c>
      <c r="AB944" s="24" t="str">
        <f>VLOOKUP(A944,Metrik!$C$2:$Y$959,3,0)</f>
        <v>Infrastructures</v>
      </c>
    </row>
    <row r="945">
      <c r="A945" s="14" t="s">
        <v>503</v>
      </c>
      <c r="B945" s="14" t="str">
        <f t="array" ref="B945">VLOOKUP(A945,{Metrik!$C$2:$C$998,Metrik!$B$2:$B$998},2,0)</f>
        <v>Indopoly Swakarsa Industry Tbk.</v>
      </c>
      <c r="C945" s="15">
        <f>IFERROR(__xludf.DUMMYFUNCTION("GOOGLEFINANCE(""IDX:""&amp;A945,""price"")"),107.0)</f>
        <v>107</v>
      </c>
      <c r="D945" s="16" t="str">
        <f>IFERROR(__xludf.DUMMYFUNCTION("IF(A945="""","""",
SPARKLINE(
INDEX(
GOOGLEFINANCE(""IDX:""&amp;A945,""close"",TODAY()-365,TODAY()),
,2
),
{""linewidth"",1}
))
"),"#N/A")</f>
        <v>#N/A</v>
      </c>
      <c r="E945" s="26"/>
      <c r="F945" s="26"/>
      <c r="G945" s="24">
        <f t="shared" si="7"/>
        <v>0</v>
      </c>
      <c r="H945" s="19">
        <f>VLOOKUP(A945,Metrik!$C$2:$Y$959,8,0)</f>
        <v>42.2</v>
      </c>
      <c r="I945" s="20">
        <f>VLOOKUP(A945,Metrik!$C$2:$Y$959,9,0)</f>
        <v>0.25</v>
      </c>
      <c r="J945" s="20">
        <f>VLOOKUP(A945,Metrik!$C$2:$Y$959,10,0)</f>
        <v>0.58</v>
      </c>
      <c r="K945" s="20">
        <f>VLOOKUP(A945,Metrik!$C$2:$Y$959,11,0)</f>
        <v>0.28</v>
      </c>
      <c r="L945" s="20">
        <f>VLOOKUP(A945,Metrik!$C$2:$Y$959,12,0)</f>
        <v>1.1</v>
      </c>
      <c r="M945" s="20">
        <f>VLOOKUP(A945,Metrik!$C$2:$Y$959,19,0)</f>
        <v>1.7</v>
      </c>
      <c r="N945" s="21"/>
      <c r="O945" s="21"/>
      <c r="P945" s="21"/>
      <c r="Q945" s="21"/>
      <c r="R945" s="21"/>
      <c r="S945" s="21"/>
      <c r="T945" s="21"/>
      <c r="U945" s="22">
        <f>IFERROR(__xludf.DUMMYFUNCTION("IFERROR(GOOGLEFINANCE(A945,""closeyest""),"""")"),37.1)</f>
        <v>37.1</v>
      </c>
      <c r="V945" s="23">
        <f>IFERROR(__xludf.DUMMYFUNCTION("IFERROR(GOOGLEFINANCE(A945,""changepct""),"""")"),3.54)</f>
        <v>3.54</v>
      </c>
      <c r="W945" s="22">
        <f>IFERROR(__xludf.DUMMYFUNCTION("IFERROR(GOOGLEFINANCE(A945,""priceopen""),"""")"),37.76)</f>
        <v>37.76</v>
      </c>
      <c r="X945" s="22">
        <f>IFERROR(__xludf.DUMMYFUNCTION("IFERROR(GOOGLEFINANCE(A945,""high""),"""")"),38.49)</f>
        <v>38.49</v>
      </c>
      <c r="Y945" s="22">
        <f>IFERROR(__xludf.DUMMYFUNCTION("IFERROR(GOOGLEFINANCE(A945,""low""),"""")"),37.46)</f>
        <v>37.46</v>
      </c>
      <c r="Z945" s="22">
        <f>IFERROR(__xludf.DUMMYFUNCTION("IFERROR(GOOGLEFINANCE(A945,""volume""),"""")"),20837.0)</f>
        <v>20837</v>
      </c>
      <c r="AA945" s="24" t="str">
        <f>VLOOKUP(A945,Metrik!$C$2:$Y$959,5,0)</f>
        <v>Containers &amp; Packaging</v>
      </c>
      <c r="AB945" s="24" t="str">
        <f>VLOOKUP(A945,Metrik!$C$2:$Y$959,3,0)</f>
        <v>Basic Materials</v>
      </c>
    </row>
    <row r="946">
      <c r="A946" s="14" t="s">
        <v>504</v>
      </c>
      <c r="B946" s="14" t="str">
        <f t="array" ref="B946">VLOOKUP(A946,{Metrik!$C$2:$C$998,Metrik!$B$2:$B$998},2,0)</f>
        <v>Indo Pureco Pratama Tbk.</v>
      </c>
      <c r="C946" s="15">
        <f>IFERROR(__xludf.DUMMYFUNCTION("GOOGLEFINANCE(""IDX:""&amp;A946,""price"")"),14.0)</f>
        <v>14</v>
      </c>
      <c r="D946" s="16" t="str">
        <f>IFERROR(__xludf.DUMMYFUNCTION("IF(A946="""","""",
SPARKLINE(
INDEX(
GOOGLEFINANCE(""IDX:""&amp;A946,""close"",TODAY()-365,TODAY()),
,2
),
{""linewidth"",1}
))
"),"#N/A")</f>
        <v>#N/A</v>
      </c>
      <c r="E946" s="26"/>
      <c r="F946" s="26"/>
      <c r="G946" s="24">
        <f t="shared" si="7"/>
        <v>0</v>
      </c>
      <c r="H946" s="19">
        <f>VLOOKUP(A946,Metrik!$C$2:$Y$959,8,0)</f>
        <v>0</v>
      </c>
      <c r="I946" s="20">
        <f>VLOOKUP(A946,Metrik!$C$2:$Y$959,9,0)</f>
        <v>0.22</v>
      </c>
      <c r="J946" s="20">
        <f>VLOOKUP(A946,Metrik!$C$2:$Y$959,10,0)</f>
        <v>0.64</v>
      </c>
      <c r="K946" s="20">
        <f>VLOOKUP(A946,Metrik!$C$2:$Y$959,11,0)</f>
        <v>0.61</v>
      </c>
      <c r="L946" s="20">
        <f>VLOOKUP(A946,Metrik!$C$2:$Y$959,12,0)</f>
        <v>0.05</v>
      </c>
      <c r="M946" s="20">
        <f>VLOOKUP(A946,Metrik!$C$2:$Y$959,19,0)</f>
        <v>9</v>
      </c>
      <c r="N946" s="21"/>
      <c r="O946" s="21"/>
      <c r="P946" s="21"/>
      <c r="Q946" s="21"/>
      <c r="R946" s="21"/>
      <c r="S946" s="21"/>
      <c r="T946" s="21"/>
      <c r="U946" s="22">
        <f>IFERROR(__xludf.DUMMYFUNCTION("IFERROR(GOOGLEFINANCE(A946,""closeyest""),"""")"),14.0)</f>
        <v>14</v>
      </c>
      <c r="V946" s="23">
        <f>IFERROR(__xludf.DUMMYFUNCTION("IFERROR(GOOGLEFINANCE(A946,""changepct""),"""")"),0.0)</f>
        <v>0</v>
      </c>
      <c r="W946" s="22" t="str">
        <f>IFERROR(__xludf.DUMMYFUNCTION("IFERROR(GOOGLEFINANCE(A946,""priceopen""),"""")"),"")</f>
        <v/>
      </c>
      <c r="X946" s="22" t="str">
        <f>IFERROR(__xludf.DUMMYFUNCTION("IFERROR(GOOGLEFINANCE(A946,""high""),"""")"),"")</f>
        <v/>
      </c>
      <c r="Y946" s="22" t="str">
        <f>IFERROR(__xludf.DUMMYFUNCTION("IFERROR(GOOGLEFINANCE(A946,""low""),"""")"),"")</f>
        <v/>
      </c>
      <c r="Z946" s="22">
        <f>IFERROR(__xludf.DUMMYFUNCTION("IFERROR(GOOGLEFINANCE(A946,""volume""),"""")"),0.0)</f>
        <v>0</v>
      </c>
      <c r="AA946" s="24" t="str">
        <f>VLOOKUP(A946,Metrik!$C$2:$Y$959,5,0)</f>
        <v>Agricultural Products</v>
      </c>
      <c r="AB946" s="24" t="str">
        <f>VLOOKUP(A946,Metrik!$C$2:$Y$959,3,0)</f>
        <v>Consumer Non-Cyclicals</v>
      </c>
    </row>
    <row r="947">
      <c r="A947" s="14" t="s">
        <v>505</v>
      </c>
      <c r="B947" s="14" t="str">
        <f t="array" ref="B947">VLOOKUP(A947,{Metrik!$C$2:$C$998,Metrik!$B$2:$B$998},2,0)</f>
        <v>MNC Vision Networks Tbk.</v>
      </c>
      <c r="C947" s="15">
        <f>IFERROR(__xludf.DUMMYFUNCTION("GOOGLEFINANCE(""IDX:""&amp;A947,""price"")"),28.0)</f>
        <v>28</v>
      </c>
      <c r="D947" s="16" t="str">
        <f>IFERROR(__xludf.DUMMYFUNCTION("IF(A947="""","""",
SPARKLINE(
INDEX(
GOOGLEFINANCE(""IDX:""&amp;A947,""close"",TODAY()-365,TODAY()),
,2
),
{""linewidth"",1}
))
"),"#N/A")</f>
        <v>#N/A</v>
      </c>
      <c r="E947" s="26"/>
      <c r="F947" s="26"/>
      <c r="G947" s="24">
        <f t="shared" si="7"/>
        <v>0</v>
      </c>
      <c r="H947" s="19">
        <f>VLOOKUP(A947,Metrik!$C$2:$Y$959,8,0)</f>
        <v>-8.6</v>
      </c>
      <c r="I947" s="20">
        <f>VLOOKUP(A947,Metrik!$C$2:$Y$959,9,0)</f>
        <v>0.24</v>
      </c>
      <c r="J947" s="20">
        <f>VLOOKUP(A947,Metrik!$C$2:$Y$959,10,0)</f>
        <v>-2.9</v>
      </c>
      <c r="K947" s="20">
        <f>VLOOKUP(A947,Metrik!$C$2:$Y$959,11,0)</f>
        <v>-2.5</v>
      </c>
      <c r="L947" s="20">
        <f>VLOOKUP(A947,Metrik!$C$2:$Y$959,12,0)</f>
        <v>0.16</v>
      </c>
      <c r="M947" s="20">
        <f>VLOOKUP(A947,Metrik!$C$2:$Y$959,19,0)</f>
        <v>-43.8</v>
      </c>
      <c r="N947" s="21"/>
      <c r="O947" s="21"/>
      <c r="P947" s="21"/>
      <c r="Q947" s="21"/>
      <c r="R947" s="21"/>
      <c r="S947" s="21"/>
      <c r="T947" s="21"/>
      <c r="U947" s="22">
        <f>IFERROR(__xludf.DUMMYFUNCTION("IFERROR(GOOGLEFINANCE(A947,""closeyest""),"""")"),30.0)</f>
        <v>30</v>
      </c>
      <c r="V947" s="23">
        <f>IFERROR(__xludf.DUMMYFUNCTION("IFERROR(GOOGLEFINANCE(A947,""changepct""),"""")"),-6.67)</f>
        <v>-6.67</v>
      </c>
      <c r="W947" s="22">
        <f>IFERROR(__xludf.DUMMYFUNCTION("IFERROR(GOOGLEFINANCE(A947,""priceopen""),"""")"),29.0)</f>
        <v>29</v>
      </c>
      <c r="X947" s="22">
        <f>IFERROR(__xludf.DUMMYFUNCTION("IFERROR(GOOGLEFINANCE(A947,""high""),"""")"),29.0)</f>
        <v>29</v>
      </c>
      <c r="Y947" s="22">
        <f>IFERROR(__xludf.DUMMYFUNCTION("IFERROR(GOOGLEFINANCE(A947,""low""),"""")"),27.0)</f>
        <v>27</v>
      </c>
      <c r="Z947" s="22">
        <f>IFERROR(__xludf.DUMMYFUNCTION("IFERROR(GOOGLEFINANCE(A947,""volume""),"""")"),2.93492E7)</f>
        <v>29349200</v>
      </c>
      <c r="AA947" s="24" t="str">
        <f>VLOOKUP(A947,Metrik!$C$2:$Y$959,5,0)</f>
        <v>Media</v>
      </c>
      <c r="AB947" s="24" t="str">
        <f>VLOOKUP(A947,Metrik!$C$2:$Y$959,3,0)</f>
        <v>Consumer Cyclicals</v>
      </c>
    </row>
    <row r="948">
      <c r="A948" s="14" t="s">
        <v>506</v>
      </c>
      <c r="B948" s="14" t="str">
        <f t="array" ref="B948">VLOOKUP(A948,{Metrik!$C$2:$C$998,Metrik!$B$2:$B$998},2,0)</f>
        <v>Itama Ranoraya Tbk.</v>
      </c>
      <c r="C948" s="15">
        <f>IFERROR(__xludf.DUMMYFUNCTION("GOOGLEFINANCE(""IDX:""&amp;A948,""price"")"),352.0)</f>
        <v>352</v>
      </c>
      <c r="D948" s="16" t="str">
        <f>IFERROR(__xludf.DUMMYFUNCTION("IF(A948="""","""",
SPARKLINE(
INDEX(
GOOGLEFINANCE(""IDX:""&amp;A948,""close"",TODAY()-365,TODAY()),
,2
),
{""linewidth"",1}
))
"),"#N/A")</f>
        <v>#N/A</v>
      </c>
      <c r="E948" s="26"/>
      <c r="F948" s="26"/>
      <c r="G948" s="24">
        <f t="shared" si="7"/>
        <v>0</v>
      </c>
      <c r="H948" s="19">
        <f>VLOOKUP(A948,Metrik!$C$2:$Y$959,8,0)</f>
        <v>9.2</v>
      </c>
      <c r="I948" s="20">
        <f>VLOOKUP(A948,Metrik!$C$2:$Y$959,9,0)</f>
        <v>1</v>
      </c>
      <c r="J948" s="20">
        <f>VLOOKUP(A948,Metrik!$C$2:$Y$959,10,0)</f>
        <v>11.2</v>
      </c>
      <c r="K948" s="20">
        <f>VLOOKUP(A948,Metrik!$C$2:$Y$959,11,0)</f>
        <v>2.6</v>
      </c>
      <c r="L948" s="20">
        <f>VLOOKUP(A948,Metrik!$C$2:$Y$959,12,0)</f>
        <v>3.4</v>
      </c>
      <c r="M948" s="20">
        <f>VLOOKUP(A948,Metrik!$C$2:$Y$959,19,0)</f>
        <v>27.1</v>
      </c>
      <c r="N948" s="21"/>
      <c r="O948" s="21"/>
      <c r="P948" s="21"/>
      <c r="Q948" s="21"/>
      <c r="R948" s="21"/>
      <c r="S948" s="21"/>
      <c r="T948" s="21"/>
      <c r="U948" s="22">
        <f>IFERROR(__xludf.DUMMYFUNCTION("IFERROR(GOOGLEFINANCE(A948,""closeyest""),"""")"),344.0)</f>
        <v>344</v>
      </c>
      <c r="V948" s="23">
        <f>IFERROR(__xludf.DUMMYFUNCTION("IFERROR(GOOGLEFINANCE(A948,""changepct""),"""")"),2.33)</f>
        <v>2.33</v>
      </c>
      <c r="W948" s="22">
        <f>IFERROR(__xludf.DUMMYFUNCTION("IFERROR(GOOGLEFINANCE(A948,""priceopen""),"""")"),344.0)</f>
        <v>344</v>
      </c>
      <c r="X948" s="22">
        <f>IFERROR(__xludf.DUMMYFUNCTION("IFERROR(GOOGLEFINANCE(A948,""high""),"""")"),358.0)</f>
        <v>358</v>
      </c>
      <c r="Y948" s="22">
        <f>IFERROR(__xludf.DUMMYFUNCTION("IFERROR(GOOGLEFINANCE(A948,""low""),"""")"),340.0)</f>
        <v>340</v>
      </c>
      <c r="Z948" s="22">
        <f>IFERROR(__xludf.DUMMYFUNCTION("IFERROR(GOOGLEFINANCE(A948,""volume""),"""")"),1441200.0)</f>
        <v>1441200</v>
      </c>
      <c r="AA948" s="24" t="str">
        <f>VLOOKUP(A948,Metrik!$C$2:$Y$959,5,0)</f>
        <v>Healthcare Equipment &amp; Supplies</v>
      </c>
      <c r="AB948" s="24" t="str">
        <f>VLOOKUP(A948,Metrik!$C$2:$Y$959,3,0)</f>
        <v>Healthcare</v>
      </c>
    </row>
    <row r="949">
      <c r="A949" s="14" t="s">
        <v>507</v>
      </c>
      <c r="B949" s="14" t="str">
        <f t="array" ref="B949">VLOOKUP(A949,{Metrik!$C$2:$C$998,Metrik!$B$2:$B$998},2,0)</f>
        <v>Folago Global Nusantara Tbk.</v>
      </c>
      <c r="C949" s="15">
        <f>IFERROR(__xludf.DUMMYFUNCTION("GOOGLEFINANCE(""IDX:""&amp;A949,""price"")"),294.0)</f>
        <v>294</v>
      </c>
      <c r="D949" s="16" t="str">
        <f>IFERROR(__xludf.DUMMYFUNCTION("IF(A949="""","""",
SPARKLINE(
INDEX(
GOOGLEFINANCE(""IDX:""&amp;A949,""close"",TODAY()-365,TODAY()),
,2
),
{""linewidth"",1}
))
"),"#N/A")</f>
        <v>#N/A</v>
      </c>
      <c r="E949" s="26"/>
      <c r="F949" s="26"/>
      <c r="G949" s="24">
        <f t="shared" si="7"/>
        <v>0</v>
      </c>
      <c r="H949" s="19">
        <f>VLOOKUP(A949,Metrik!$C$2:$Y$959,8,0)</f>
        <v>79.4</v>
      </c>
      <c r="I949" s="20">
        <f>VLOOKUP(A949,Metrik!$C$2:$Y$959,9,0)</f>
        <v>7.3</v>
      </c>
      <c r="J949" s="20">
        <f>VLOOKUP(A949,Metrik!$C$2:$Y$959,10,0)</f>
        <v>9.2</v>
      </c>
      <c r="K949" s="20">
        <f>VLOOKUP(A949,Metrik!$C$2:$Y$959,11,0)</f>
        <v>7.9</v>
      </c>
      <c r="L949" s="20">
        <f>VLOOKUP(A949,Metrik!$C$2:$Y$959,12,0)</f>
        <v>0.17</v>
      </c>
      <c r="M949" s="20">
        <f>VLOOKUP(A949,Metrik!$C$2:$Y$959,19,0)</f>
        <v>17.1</v>
      </c>
      <c r="N949" s="21"/>
      <c r="O949" s="21"/>
      <c r="P949" s="21"/>
      <c r="Q949" s="21"/>
      <c r="R949" s="21"/>
      <c r="S949" s="21"/>
      <c r="T949" s="21"/>
      <c r="U949" s="22">
        <f>IFERROR(__xludf.DUMMYFUNCTION("IFERROR(GOOGLEFINANCE(A949,""closeyest""),"""")"),282.0)</f>
        <v>282</v>
      </c>
      <c r="V949" s="23">
        <f>IFERROR(__xludf.DUMMYFUNCTION("IFERROR(GOOGLEFINANCE(A949,""changepct""),"""")"),4.26)</f>
        <v>4.26</v>
      </c>
      <c r="W949" s="22">
        <f>IFERROR(__xludf.DUMMYFUNCTION("IFERROR(GOOGLEFINANCE(A949,""priceopen""),"""")"),284.0)</f>
        <v>284</v>
      </c>
      <c r="X949" s="22">
        <f>IFERROR(__xludf.DUMMYFUNCTION("IFERROR(GOOGLEFINANCE(A949,""high""),"""")"),326.0)</f>
        <v>326</v>
      </c>
      <c r="Y949" s="22">
        <f>IFERROR(__xludf.DUMMYFUNCTION("IFERROR(GOOGLEFINANCE(A949,""low""),"""")"),284.0)</f>
        <v>284</v>
      </c>
      <c r="Z949" s="22">
        <f>IFERROR(__xludf.DUMMYFUNCTION("IFERROR(GOOGLEFINANCE(A949,""volume""),"""")"),8.61078E7)</f>
        <v>86107800</v>
      </c>
      <c r="AA949" s="24" t="str">
        <f>VLOOKUP(A949,Metrik!$C$2:$Y$959,5,0)</f>
        <v>Software</v>
      </c>
      <c r="AB949" s="24" t="str">
        <f>VLOOKUP(A949,Metrik!$C$2:$Y$959,3,0)</f>
        <v>Technology</v>
      </c>
    </row>
    <row r="950">
      <c r="A950" s="14" t="s">
        <v>508</v>
      </c>
      <c r="B950" s="14" t="str">
        <f t="array" ref="B950">VLOOKUP(A950,{Metrik!$C$2:$C$998,Metrik!$B$2:$B$998},2,0)</f>
        <v>Isra Presisi Indonesia Tbk.</v>
      </c>
      <c r="C950" s="15">
        <f>IFERROR(__xludf.DUMMYFUNCTION("GOOGLEFINANCE(""IDX:""&amp;A950,""price"")"),25.0)</f>
        <v>25</v>
      </c>
      <c r="D950" s="16" t="str">
        <f>IFERROR(__xludf.DUMMYFUNCTION("IF(A950="""","""",
SPARKLINE(
INDEX(
GOOGLEFINANCE(""IDX:""&amp;A950,""close"",TODAY()-365,TODAY()),
,2
),
{""linewidth"",1}
))
"),"#N/A")</f>
        <v>#N/A</v>
      </c>
      <c r="E950" s="26"/>
      <c r="F950" s="26"/>
      <c r="G950" s="24">
        <f t="shared" si="7"/>
        <v>0</v>
      </c>
      <c r="H950" s="19">
        <f>VLOOKUP(A950,Metrik!$C$2:$Y$959,8,0)</f>
        <v>64.5</v>
      </c>
      <c r="I950" s="20">
        <f>VLOOKUP(A950,Metrik!$C$2:$Y$959,9,0)</f>
        <v>0.61</v>
      </c>
      <c r="J950" s="20">
        <f>VLOOKUP(A950,Metrik!$C$2:$Y$959,10,0)</f>
        <v>0.94</v>
      </c>
      <c r="K950" s="20">
        <f>VLOOKUP(A950,Metrik!$C$2:$Y$959,11,0)</f>
        <v>0.89</v>
      </c>
      <c r="L950" s="20">
        <f>VLOOKUP(A950,Metrik!$C$2:$Y$959,12,0)</f>
        <v>0.05</v>
      </c>
      <c r="M950" s="20">
        <f>VLOOKUP(A950,Metrik!$C$2:$Y$959,19,0)</f>
        <v>6.7</v>
      </c>
      <c r="N950" s="21"/>
      <c r="O950" s="21"/>
      <c r="P950" s="21"/>
      <c r="Q950" s="21"/>
      <c r="R950" s="21"/>
      <c r="S950" s="21"/>
      <c r="T950" s="21"/>
      <c r="U950" s="22">
        <f>IFERROR(__xludf.DUMMYFUNCTION("IFERROR(GOOGLEFINANCE(A950,""closeyest""),"""")"),23.0)</f>
        <v>23</v>
      </c>
      <c r="V950" s="23">
        <f>IFERROR(__xludf.DUMMYFUNCTION("IFERROR(GOOGLEFINANCE(A950,""changepct""),"""")"),8.7)</f>
        <v>8.7</v>
      </c>
      <c r="W950" s="22">
        <f>IFERROR(__xludf.DUMMYFUNCTION("IFERROR(GOOGLEFINANCE(A950,""priceopen""),"""")"),24.0)</f>
        <v>24</v>
      </c>
      <c r="X950" s="22">
        <f>IFERROR(__xludf.DUMMYFUNCTION("IFERROR(GOOGLEFINANCE(A950,""high""),"""")"),25.0)</f>
        <v>25</v>
      </c>
      <c r="Y950" s="22">
        <f>IFERROR(__xludf.DUMMYFUNCTION("IFERROR(GOOGLEFINANCE(A950,""low""),"""")"),23.0)</f>
        <v>23</v>
      </c>
      <c r="Z950" s="22">
        <f>IFERROR(__xludf.DUMMYFUNCTION("IFERROR(GOOGLEFINANCE(A950,""volume""),"""")"),1.90384E7)</f>
        <v>19038400</v>
      </c>
      <c r="AA950" s="24" t="str">
        <f>VLOOKUP(A950,Metrik!$C$2:$Y$959,5,0)</f>
        <v>Auto Components</v>
      </c>
      <c r="AB950" s="24" t="str">
        <f>VLOOKUP(A950,Metrik!$C$2:$Y$959,3,0)</f>
        <v>Consumer Cyclicals</v>
      </c>
    </row>
    <row r="951">
      <c r="A951" s="17" t="s">
        <v>509</v>
      </c>
      <c r="B951" s="14" t="str">
        <f t="array" ref="B951">VLOOKUP(A951,{Metrik!$C$2:$C$998,Metrik!$B$2:$B$998},2,0)</f>
        <v>PT Indosat Tbk</v>
      </c>
      <c r="C951" s="15">
        <f>IFERROR(__xludf.DUMMYFUNCTION("GOOGLEFINANCE(""IDX:""&amp;A951,""price"")"),1855.0)</f>
        <v>1855</v>
      </c>
      <c r="D951" s="16" t="str">
        <f>IFERROR(__xludf.DUMMYFUNCTION("IF(A951="""","""",
SPARKLINE(
INDEX(
GOOGLEFINANCE(""IDX:""&amp;A951,""close"",TODAY()-365,TODAY()),
,2
),
{""linewidth"",1}
))
"),"#N/A")</f>
        <v>#N/A</v>
      </c>
      <c r="E951" s="14" t="s">
        <v>47</v>
      </c>
      <c r="F951" s="25">
        <v>46356.0</v>
      </c>
      <c r="G951" s="18">
        <f t="shared" si="7"/>
        <v>13</v>
      </c>
      <c r="H951" s="19">
        <f>VLOOKUP(A951,Metrik!$C$2:$Y$959,8,0)</f>
        <v>12.2</v>
      </c>
      <c r="I951" s="20">
        <f>VLOOKUP(A951,Metrik!$C$2:$Y$959,9,0)</f>
        <v>1.7</v>
      </c>
      <c r="J951" s="20">
        <f>VLOOKUP(A951,Metrik!$C$2:$Y$959,10,0)</f>
        <v>13.9</v>
      </c>
      <c r="K951" s="20">
        <f>VLOOKUP(A951,Metrik!$C$2:$Y$959,11,0)</f>
        <v>4.7</v>
      </c>
      <c r="L951" s="20">
        <f>VLOOKUP(A951,Metrik!$C$2:$Y$959,12,0)</f>
        <v>2</v>
      </c>
      <c r="M951" s="20">
        <f>VLOOKUP(A951,Metrik!$C$2:$Y$959,19,0)</f>
        <v>37.4</v>
      </c>
      <c r="N951" s="21"/>
      <c r="O951" s="21"/>
      <c r="P951" s="21"/>
      <c r="Q951" s="21"/>
      <c r="R951" s="21"/>
      <c r="S951" s="21"/>
      <c r="T951" s="21"/>
      <c r="U951" s="22">
        <f>IFERROR(__xludf.DUMMYFUNCTION("IFERROR(GOOGLEFINANCE(A951,""closeyest""),"""")"),1895.0)</f>
        <v>1895</v>
      </c>
      <c r="V951" s="23">
        <f>IFERROR(__xludf.DUMMYFUNCTION("IFERROR(GOOGLEFINANCE(A951,""changepct""),"""")"),-2.11)</f>
        <v>-2.11</v>
      </c>
      <c r="W951" s="22">
        <f>IFERROR(__xludf.DUMMYFUNCTION("IFERROR(GOOGLEFINANCE(A951,""priceopen""),"""")"),1905.0)</f>
        <v>1905</v>
      </c>
      <c r="X951" s="22">
        <f>IFERROR(__xludf.DUMMYFUNCTION("IFERROR(GOOGLEFINANCE(A951,""high""),"""")"),1915.0)</f>
        <v>1915</v>
      </c>
      <c r="Y951" s="22">
        <f>IFERROR(__xludf.DUMMYFUNCTION("IFERROR(GOOGLEFINANCE(A951,""low""),"""")"),1830.0)</f>
        <v>1830</v>
      </c>
      <c r="Z951" s="22">
        <f>IFERROR(__xludf.DUMMYFUNCTION("IFERROR(GOOGLEFINANCE(A951,""volume""),"""")"),3.08968E7)</f>
        <v>30896800</v>
      </c>
      <c r="AA951" s="24" t="str">
        <f>VLOOKUP(A951,Metrik!$C$2:$Y$959,5,0)</f>
        <v>Wireless Telecommunication Services</v>
      </c>
      <c r="AB951" s="24" t="str">
        <f>VLOOKUP(A951,Metrik!$C$2:$Y$959,3,0)</f>
        <v>Infrastructures</v>
      </c>
    </row>
    <row r="952">
      <c r="A952" s="14" t="s">
        <v>509</v>
      </c>
      <c r="B952" s="14" t="str">
        <f t="array" ref="B952">VLOOKUP(A952,{Metrik!$C$2:$C$998,Metrik!$B$2:$B$998},2,0)</f>
        <v>PT Indosat Tbk</v>
      </c>
      <c r="C952" s="15">
        <f>IFERROR(__xludf.DUMMYFUNCTION("GOOGLEFINANCE(""IDX:""&amp;A952,""price"")"),1855.0)</f>
        <v>1855</v>
      </c>
      <c r="D952" s="16" t="str">
        <f>IFERROR(__xludf.DUMMYFUNCTION("IF(A952="""","""",
SPARKLINE(
INDEX(
GOOGLEFINANCE(""IDX:""&amp;A952,""close"",TODAY()-365,TODAY()),
,2
),
{""linewidth"",1}
))
"),"#N/A")</f>
        <v>#N/A</v>
      </c>
      <c r="E952" s="14" t="s">
        <v>65</v>
      </c>
      <c r="F952" s="25">
        <v>46356.0</v>
      </c>
      <c r="G952" s="24">
        <f t="shared" si="7"/>
        <v>13</v>
      </c>
      <c r="H952" s="19">
        <f>VLOOKUP(A952,Metrik!$C$2:$Y$959,8,0)</f>
        <v>12.2</v>
      </c>
      <c r="I952" s="20">
        <f>VLOOKUP(A952,Metrik!$C$2:$Y$959,9,0)</f>
        <v>1.7</v>
      </c>
      <c r="J952" s="20">
        <f>VLOOKUP(A952,Metrik!$C$2:$Y$959,10,0)</f>
        <v>13.9</v>
      </c>
      <c r="K952" s="20">
        <f>VLOOKUP(A952,Metrik!$C$2:$Y$959,11,0)</f>
        <v>4.7</v>
      </c>
      <c r="L952" s="20">
        <f>VLOOKUP(A952,Metrik!$C$2:$Y$959,12,0)</f>
        <v>2</v>
      </c>
      <c r="M952" s="20">
        <f>VLOOKUP(A952,Metrik!$C$2:$Y$959,19,0)</f>
        <v>37.4</v>
      </c>
      <c r="N952" s="21"/>
      <c r="O952" s="21"/>
      <c r="P952" s="21"/>
      <c r="Q952" s="21"/>
      <c r="R952" s="21"/>
      <c r="S952" s="21"/>
      <c r="T952" s="21"/>
      <c r="U952" s="22">
        <f>IFERROR(__xludf.DUMMYFUNCTION("IFERROR(GOOGLEFINANCE(A952,""closeyest""),"""")"),1895.0)</f>
        <v>1895</v>
      </c>
      <c r="V952" s="23">
        <f>IFERROR(__xludf.DUMMYFUNCTION("IFERROR(GOOGLEFINANCE(A952,""changepct""),"""")"),-2.11)</f>
        <v>-2.11</v>
      </c>
      <c r="W952" s="22">
        <f>IFERROR(__xludf.DUMMYFUNCTION("IFERROR(GOOGLEFINANCE(A952,""priceopen""),"""")"),1905.0)</f>
        <v>1905</v>
      </c>
      <c r="X952" s="22">
        <f>IFERROR(__xludf.DUMMYFUNCTION("IFERROR(GOOGLEFINANCE(A952,""high""),"""")"),1915.0)</f>
        <v>1915</v>
      </c>
      <c r="Y952" s="22">
        <f>IFERROR(__xludf.DUMMYFUNCTION("IFERROR(GOOGLEFINANCE(A952,""low""),"""")"),1830.0)</f>
        <v>1830</v>
      </c>
      <c r="Z952" s="22">
        <f>IFERROR(__xludf.DUMMYFUNCTION("IFERROR(GOOGLEFINANCE(A952,""volume""),"""")"),3.08968E7)</f>
        <v>30896800</v>
      </c>
      <c r="AA952" s="24" t="str">
        <f>VLOOKUP(A952,Metrik!$C$2:$Y$959,5,0)</f>
        <v>Wireless Telecommunication Services</v>
      </c>
      <c r="AB952" s="24" t="str">
        <f>VLOOKUP(A952,Metrik!$C$2:$Y$959,3,0)</f>
        <v>Infrastructures</v>
      </c>
    </row>
    <row r="953">
      <c r="A953" s="17" t="s">
        <v>509</v>
      </c>
      <c r="B953" s="14" t="str">
        <f t="array" ref="B953">VLOOKUP(A953,{Metrik!$C$2:$C$998,Metrik!$B$2:$B$998},2,0)</f>
        <v>PT Indosat Tbk</v>
      </c>
      <c r="C953" s="15">
        <f>IFERROR(__xludf.DUMMYFUNCTION("GOOGLEFINANCE(""IDX:""&amp;A953,""price"")"),1855.0)</f>
        <v>1855</v>
      </c>
      <c r="D953" s="16" t="str">
        <f>IFERROR(__xludf.DUMMYFUNCTION("IF(A953="""","""",
SPARKLINE(
INDEX(
GOOGLEFINANCE(""IDX:""&amp;A953,""close"",TODAY()-365,TODAY()),
,2
),
{""linewidth"",1}
))
"),"#N/A")</f>
        <v>#N/A</v>
      </c>
      <c r="E953" s="14" t="s">
        <v>55</v>
      </c>
      <c r="F953" s="25">
        <v>46356.0</v>
      </c>
      <c r="G953" s="18">
        <f t="shared" si="7"/>
        <v>13</v>
      </c>
      <c r="H953" s="19">
        <f>VLOOKUP(A953,Metrik!$C$2:$Y$959,8,0)</f>
        <v>12.2</v>
      </c>
      <c r="I953" s="20">
        <f>VLOOKUP(A953,Metrik!$C$2:$Y$959,9,0)</f>
        <v>1.7</v>
      </c>
      <c r="J953" s="20">
        <f>VLOOKUP(A953,Metrik!$C$2:$Y$959,10,0)</f>
        <v>13.9</v>
      </c>
      <c r="K953" s="20">
        <f>VLOOKUP(A953,Metrik!$C$2:$Y$959,11,0)</f>
        <v>4.7</v>
      </c>
      <c r="L953" s="20">
        <f>VLOOKUP(A953,Metrik!$C$2:$Y$959,12,0)</f>
        <v>2</v>
      </c>
      <c r="M953" s="20">
        <f>VLOOKUP(A953,Metrik!$C$2:$Y$959,19,0)</f>
        <v>37.4</v>
      </c>
      <c r="N953" s="21"/>
      <c r="O953" s="21"/>
      <c r="P953" s="21"/>
      <c r="Q953" s="21"/>
      <c r="R953" s="21"/>
      <c r="S953" s="21"/>
      <c r="T953" s="21"/>
      <c r="U953" s="22">
        <f>IFERROR(__xludf.DUMMYFUNCTION("IFERROR(GOOGLEFINANCE(A953,""closeyest""),"""")"),1895.0)</f>
        <v>1895</v>
      </c>
      <c r="V953" s="23">
        <f>IFERROR(__xludf.DUMMYFUNCTION("IFERROR(GOOGLEFINANCE(A953,""changepct""),"""")"),-2.11)</f>
        <v>-2.11</v>
      </c>
      <c r="W953" s="22">
        <f>IFERROR(__xludf.DUMMYFUNCTION("IFERROR(GOOGLEFINANCE(A953,""priceopen""),"""")"),1905.0)</f>
        <v>1905</v>
      </c>
      <c r="X953" s="22">
        <f>IFERROR(__xludf.DUMMYFUNCTION("IFERROR(GOOGLEFINANCE(A953,""high""),"""")"),1915.0)</f>
        <v>1915</v>
      </c>
      <c r="Y953" s="22">
        <f>IFERROR(__xludf.DUMMYFUNCTION("IFERROR(GOOGLEFINANCE(A953,""low""),"""")"),1830.0)</f>
        <v>1830</v>
      </c>
      <c r="Z953" s="22">
        <f>IFERROR(__xludf.DUMMYFUNCTION("IFERROR(GOOGLEFINANCE(A953,""volume""),"""")"),3.08968E7)</f>
        <v>30896800</v>
      </c>
      <c r="AA953" s="24" t="str">
        <f>VLOOKUP(A953,Metrik!$C$2:$Y$959,5,0)</f>
        <v>Wireless Telecommunication Services</v>
      </c>
      <c r="AB953" s="24" t="str">
        <f>VLOOKUP(A953,Metrik!$C$2:$Y$959,3,0)</f>
        <v>Infrastructures</v>
      </c>
    </row>
    <row r="954">
      <c r="A954" s="14" t="s">
        <v>509</v>
      </c>
      <c r="B954" s="14" t="str">
        <f t="array" ref="B954">VLOOKUP(A954,{Metrik!$C$2:$C$998,Metrik!$B$2:$B$998},2,0)</f>
        <v>PT Indosat Tbk</v>
      </c>
      <c r="C954" s="15">
        <f>IFERROR(__xludf.DUMMYFUNCTION("GOOGLEFINANCE(""IDX:""&amp;A954,""price"")"),1855.0)</f>
        <v>1855</v>
      </c>
      <c r="D954" s="16" t="str">
        <f>IFERROR(__xludf.DUMMYFUNCTION("IF(A954="""","""",
SPARKLINE(
INDEX(
GOOGLEFINANCE(""IDX:""&amp;A954,""close"",TODAY()-365,TODAY()),
,2
),
{""linewidth"",1}
))
"),"#N/A")</f>
        <v>#N/A</v>
      </c>
      <c r="E954" s="14" t="s">
        <v>68</v>
      </c>
      <c r="F954" s="14" t="s">
        <v>34</v>
      </c>
      <c r="G954" s="24">
        <f t="shared" si="7"/>
        <v>13</v>
      </c>
      <c r="H954" s="19">
        <f>VLOOKUP(A954,Metrik!$C$2:$Y$959,8,0)</f>
        <v>12.2</v>
      </c>
      <c r="I954" s="20">
        <f>VLOOKUP(A954,Metrik!$C$2:$Y$959,9,0)</f>
        <v>1.7</v>
      </c>
      <c r="J954" s="20">
        <f>VLOOKUP(A954,Metrik!$C$2:$Y$959,10,0)</f>
        <v>13.9</v>
      </c>
      <c r="K954" s="20">
        <f>VLOOKUP(A954,Metrik!$C$2:$Y$959,11,0)</f>
        <v>4.7</v>
      </c>
      <c r="L954" s="20">
        <f>VLOOKUP(A954,Metrik!$C$2:$Y$959,12,0)</f>
        <v>2</v>
      </c>
      <c r="M954" s="20">
        <f>VLOOKUP(A954,Metrik!$C$2:$Y$959,19,0)</f>
        <v>37.4</v>
      </c>
      <c r="N954" s="21"/>
      <c r="O954" s="21"/>
      <c r="P954" s="21"/>
      <c r="Q954" s="21"/>
      <c r="R954" s="21"/>
      <c r="S954" s="21"/>
      <c r="T954" s="21"/>
      <c r="U954" s="22">
        <f>IFERROR(__xludf.DUMMYFUNCTION("IFERROR(GOOGLEFINANCE(A954,""closeyest""),"""")"),1895.0)</f>
        <v>1895</v>
      </c>
      <c r="V954" s="23">
        <f>IFERROR(__xludf.DUMMYFUNCTION("IFERROR(GOOGLEFINANCE(A954,""changepct""),"""")"),-2.11)</f>
        <v>-2.11</v>
      </c>
      <c r="W954" s="22">
        <f>IFERROR(__xludf.DUMMYFUNCTION("IFERROR(GOOGLEFINANCE(A954,""priceopen""),"""")"),1905.0)</f>
        <v>1905</v>
      </c>
      <c r="X954" s="22">
        <f>IFERROR(__xludf.DUMMYFUNCTION("IFERROR(GOOGLEFINANCE(A954,""high""),"""")"),1915.0)</f>
        <v>1915</v>
      </c>
      <c r="Y954" s="22">
        <f>IFERROR(__xludf.DUMMYFUNCTION("IFERROR(GOOGLEFINANCE(A954,""low""),"""")"),1830.0)</f>
        <v>1830</v>
      </c>
      <c r="Z954" s="22">
        <f>IFERROR(__xludf.DUMMYFUNCTION("IFERROR(GOOGLEFINANCE(A954,""volume""),"""")"),3.08968E7)</f>
        <v>30896800</v>
      </c>
      <c r="AA954" s="24" t="str">
        <f>VLOOKUP(A954,Metrik!$C$2:$Y$959,5,0)</f>
        <v>Wireless Telecommunication Services</v>
      </c>
      <c r="AB954" s="24" t="str">
        <f>VLOOKUP(A954,Metrik!$C$2:$Y$959,3,0)</f>
        <v>Infrastructures</v>
      </c>
    </row>
    <row r="955">
      <c r="A955" s="14" t="s">
        <v>509</v>
      </c>
      <c r="B955" s="14" t="str">
        <f t="array" ref="B955">VLOOKUP(A955,{Metrik!$C$2:$C$998,Metrik!$B$2:$B$998},2,0)</f>
        <v>PT Indosat Tbk</v>
      </c>
      <c r="C955" s="15">
        <f>IFERROR(__xludf.DUMMYFUNCTION("GOOGLEFINANCE(""IDX:""&amp;A955,""price"")"),1855.0)</f>
        <v>1855</v>
      </c>
      <c r="D955" s="16" t="str">
        <f>IFERROR(__xludf.DUMMYFUNCTION("IF(A955="""","""",
SPARKLINE(
INDEX(
GOOGLEFINANCE(""IDX:""&amp;A955,""close"",TODAY()-365,TODAY()),
,2
),
{""linewidth"",1}
))
"),"#N/A")</f>
        <v>#N/A</v>
      </c>
      <c r="E955" s="14" t="s">
        <v>161</v>
      </c>
      <c r="F955" s="14" t="s">
        <v>76</v>
      </c>
      <c r="G955" s="24">
        <f t="shared" si="7"/>
        <v>13</v>
      </c>
      <c r="H955" s="19">
        <f>VLOOKUP(A955,Metrik!$C$2:$Y$959,8,0)</f>
        <v>12.2</v>
      </c>
      <c r="I955" s="20">
        <f>VLOOKUP(A955,Metrik!$C$2:$Y$959,9,0)</f>
        <v>1.7</v>
      </c>
      <c r="J955" s="20">
        <f>VLOOKUP(A955,Metrik!$C$2:$Y$959,10,0)</f>
        <v>13.9</v>
      </c>
      <c r="K955" s="20">
        <f>VLOOKUP(A955,Metrik!$C$2:$Y$959,11,0)</f>
        <v>4.7</v>
      </c>
      <c r="L955" s="20">
        <f>VLOOKUP(A955,Metrik!$C$2:$Y$959,12,0)</f>
        <v>2</v>
      </c>
      <c r="M955" s="20">
        <f>VLOOKUP(A955,Metrik!$C$2:$Y$959,19,0)</f>
        <v>37.4</v>
      </c>
      <c r="N955" s="21"/>
      <c r="O955" s="21"/>
      <c r="P955" s="21"/>
      <c r="Q955" s="21"/>
      <c r="R955" s="21"/>
      <c r="S955" s="21"/>
      <c r="T955" s="21"/>
      <c r="U955" s="22">
        <f>IFERROR(__xludf.DUMMYFUNCTION("IFERROR(GOOGLEFINANCE(A955,""closeyest""),"""")"),1895.0)</f>
        <v>1895</v>
      </c>
      <c r="V955" s="23">
        <f>IFERROR(__xludf.DUMMYFUNCTION("IFERROR(GOOGLEFINANCE(A955,""changepct""),"""")"),-2.11)</f>
        <v>-2.11</v>
      </c>
      <c r="W955" s="22">
        <f>IFERROR(__xludf.DUMMYFUNCTION("IFERROR(GOOGLEFINANCE(A955,""priceopen""),"""")"),1905.0)</f>
        <v>1905</v>
      </c>
      <c r="X955" s="22">
        <f>IFERROR(__xludf.DUMMYFUNCTION("IFERROR(GOOGLEFINANCE(A955,""high""),"""")"),1915.0)</f>
        <v>1915</v>
      </c>
      <c r="Y955" s="22">
        <f>IFERROR(__xludf.DUMMYFUNCTION("IFERROR(GOOGLEFINANCE(A955,""low""),"""")"),1830.0)</f>
        <v>1830</v>
      </c>
      <c r="Z955" s="22">
        <f>IFERROR(__xludf.DUMMYFUNCTION("IFERROR(GOOGLEFINANCE(A955,""volume""),"""")"),3.08968E7)</f>
        <v>30896800</v>
      </c>
      <c r="AA955" s="24" t="str">
        <f>VLOOKUP(A955,Metrik!$C$2:$Y$959,5,0)</f>
        <v>Wireless Telecommunication Services</v>
      </c>
      <c r="AB955" s="24" t="str">
        <f>VLOOKUP(A955,Metrik!$C$2:$Y$959,3,0)</f>
        <v>Infrastructures</v>
      </c>
    </row>
    <row r="956">
      <c r="A956" s="14" t="s">
        <v>509</v>
      </c>
      <c r="B956" s="14" t="str">
        <f t="array" ref="B956">VLOOKUP(A956,{Metrik!$C$2:$C$998,Metrik!$B$2:$B$998},2,0)</f>
        <v>PT Indosat Tbk</v>
      </c>
      <c r="C956" s="15">
        <f>IFERROR(__xludf.DUMMYFUNCTION("GOOGLEFINANCE(""IDX:""&amp;A956,""price"")"),1855.0)</f>
        <v>1855</v>
      </c>
      <c r="D956" s="16" t="str">
        <f>IFERROR(__xludf.DUMMYFUNCTION("IF(A956="""","""",
SPARKLINE(
INDEX(
GOOGLEFINANCE(""IDX:""&amp;A956,""close"",TODAY()-365,TODAY()),
,2
),
{""linewidth"",1}
))
"),"#N/A")</f>
        <v>#N/A</v>
      </c>
      <c r="E956" s="14" t="s">
        <v>31</v>
      </c>
      <c r="F956" s="17" t="s">
        <v>29</v>
      </c>
      <c r="G956" s="24">
        <f t="shared" si="7"/>
        <v>13</v>
      </c>
      <c r="H956" s="19">
        <f>VLOOKUP(A956,Metrik!$C$2:$Y$959,8,0)</f>
        <v>12.2</v>
      </c>
      <c r="I956" s="20">
        <f>VLOOKUP(A956,Metrik!$C$2:$Y$959,9,0)</f>
        <v>1.7</v>
      </c>
      <c r="J956" s="20">
        <f>VLOOKUP(A956,Metrik!$C$2:$Y$959,10,0)</f>
        <v>13.9</v>
      </c>
      <c r="K956" s="20">
        <f>VLOOKUP(A956,Metrik!$C$2:$Y$959,11,0)</f>
        <v>4.7</v>
      </c>
      <c r="L956" s="20">
        <f>VLOOKUP(A956,Metrik!$C$2:$Y$959,12,0)</f>
        <v>2</v>
      </c>
      <c r="M956" s="20">
        <f>VLOOKUP(A956,Metrik!$C$2:$Y$959,19,0)</f>
        <v>37.4</v>
      </c>
      <c r="N956" s="21"/>
      <c r="O956" s="21"/>
      <c r="P956" s="21"/>
      <c r="Q956" s="21"/>
      <c r="R956" s="21"/>
      <c r="S956" s="21"/>
      <c r="T956" s="21"/>
      <c r="U956" s="22">
        <f>IFERROR(__xludf.DUMMYFUNCTION("IFERROR(GOOGLEFINANCE(A956,""closeyest""),"""")"),1895.0)</f>
        <v>1895</v>
      </c>
      <c r="V956" s="23">
        <f>IFERROR(__xludf.DUMMYFUNCTION("IFERROR(GOOGLEFINANCE(A956,""changepct""),"""")"),-2.11)</f>
        <v>-2.11</v>
      </c>
      <c r="W956" s="22">
        <f>IFERROR(__xludf.DUMMYFUNCTION("IFERROR(GOOGLEFINANCE(A956,""priceopen""),"""")"),1905.0)</f>
        <v>1905</v>
      </c>
      <c r="X956" s="22">
        <f>IFERROR(__xludf.DUMMYFUNCTION("IFERROR(GOOGLEFINANCE(A956,""high""),"""")"),1915.0)</f>
        <v>1915</v>
      </c>
      <c r="Y956" s="22">
        <f>IFERROR(__xludf.DUMMYFUNCTION("IFERROR(GOOGLEFINANCE(A956,""low""),"""")"),1830.0)</f>
        <v>1830</v>
      </c>
      <c r="Z956" s="22">
        <f>IFERROR(__xludf.DUMMYFUNCTION("IFERROR(GOOGLEFINANCE(A956,""volume""),"""")"),3.08968E7)</f>
        <v>30896800</v>
      </c>
      <c r="AA956" s="24" t="str">
        <f>VLOOKUP(A956,Metrik!$C$2:$Y$959,5,0)</f>
        <v>Wireless Telecommunication Services</v>
      </c>
      <c r="AB956" s="24" t="str">
        <f>VLOOKUP(A956,Metrik!$C$2:$Y$959,3,0)</f>
        <v>Infrastructures</v>
      </c>
    </row>
    <row r="957">
      <c r="A957" s="14" t="s">
        <v>509</v>
      </c>
      <c r="B957" s="14" t="str">
        <f t="array" ref="B957">VLOOKUP(A957,{Metrik!$C$2:$C$998,Metrik!$B$2:$B$998},2,0)</f>
        <v>PT Indosat Tbk</v>
      </c>
      <c r="C957" s="15">
        <f>IFERROR(__xludf.DUMMYFUNCTION("GOOGLEFINANCE(""IDX:""&amp;A957,""price"")"),1855.0)</f>
        <v>1855</v>
      </c>
      <c r="D957" s="16" t="str">
        <f>IFERROR(__xludf.DUMMYFUNCTION("IF(A957="""","""",
SPARKLINE(
INDEX(
GOOGLEFINANCE(""IDX:""&amp;A957,""close"",TODAY()-365,TODAY()),
,2
),
{""linewidth"",1}
))
"),"#N/A")</f>
        <v>#N/A</v>
      </c>
      <c r="E957" s="14" t="s">
        <v>32</v>
      </c>
      <c r="F957" s="14" t="s">
        <v>29</v>
      </c>
      <c r="G957" s="24">
        <f t="shared" si="7"/>
        <v>13</v>
      </c>
      <c r="H957" s="19">
        <f>VLOOKUP(A957,Metrik!$C$2:$Y$959,8,0)</f>
        <v>12.2</v>
      </c>
      <c r="I957" s="20">
        <f>VLOOKUP(A957,Metrik!$C$2:$Y$959,9,0)</f>
        <v>1.7</v>
      </c>
      <c r="J957" s="20">
        <f>VLOOKUP(A957,Metrik!$C$2:$Y$959,10,0)</f>
        <v>13.9</v>
      </c>
      <c r="K957" s="20">
        <f>VLOOKUP(A957,Metrik!$C$2:$Y$959,11,0)</f>
        <v>4.7</v>
      </c>
      <c r="L957" s="20">
        <f>VLOOKUP(A957,Metrik!$C$2:$Y$959,12,0)</f>
        <v>2</v>
      </c>
      <c r="M957" s="20">
        <f>VLOOKUP(A957,Metrik!$C$2:$Y$959,19,0)</f>
        <v>37.4</v>
      </c>
      <c r="N957" s="21"/>
      <c r="O957" s="21"/>
      <c r="P957" s="21"/>
      <c r="Q957" s="21"/>
      <c r="R957" s="21"/>
      <c r="S957" s="21"/>
      <c r="T957" s="21"/>
      <c r="U957" s="22">
        <f>IFERROR(__xludf.DUMMYFUNCTION("IFERROR(GOOGLEFINANCE(A957,""closeyest""),"""")"),1895.0)</f>
        <v>1895</v>
      </c>
      <c r="V957" s="23">
        <f>IFERROR(__xludf.DUMMYFUNCTION("IFERROR(GOOGLEFINANCE(A957,""changepct""),"""")"),-2.11)</f>
        <v>-2.11</v>
      </c>
      <c r="W957" s="22">
        <f>IFERROR(__xludf.DUMMYFUNCTION("IFERROR(GOOGLEFINANCE(A957,""priceopen""),"""")"),1905.0)</f>
        <v>1905</v>
      </c>
      <c r="X957" s="22">
        <f>IFERROR(__xludf.DUMMYFUNCTION("IFERROR(GOOGLEFINANCE(A957,""high""),"""")"),1915.0)</f>
        <v>1915</v>
      </c>
      <c r="Y957" s="22">
        <f>IFERROR(__xludf.DUMMYFUNCTION("IFERROR(GOOGLEFINANCE(A957,""low""),"""")"),1830.0)</f>
        <v>1830</v>
      </c>
      <c r="Z957" s="22">
        <f>IFERROR(__xludf.DUMMYFUNCTION("IFERROR(GOOGLEFINANCE(A957,""volume""),"""")"),3.08968E7)</f>
        <v>30896800</v>
      </c>
      <c r="AA957" s="24" t="str">
        <f>VLOOKUP(A957,Metrik!$C$2:$Y$959,5,0)</f>
        <v>Wireless Telecommunication Services</v>
      </c>
      <c r="AB957" s="24" t="str">
        <f>VLOOKUP(A957,Metrik!$C$2:$Y$959,3,0)</f>
        <v>Infrastructures</v>
      </c>
    </row>
    <row r="958">
      <c r="A958" s="14" t="s">
        <v>509</v>
      </c>
      <c r="B958" s="14" t="str">
        <f t="array" ref="B958">VLOOKUP(A958,{Metrik!$C$2:$C$998,Metrik!$B$2:$B$998},2,0)</f>
        <v>PT Indosat Tbk</v>
      </c>
      <c r="C958" s="15">
        <f>IFERROR(__xludf.DUMMYFUNCTION("GOOGLEFINANCE(""IDX:""&amp;A958,""price"")"),1855.0)</f>
        <v>1855</v>
      </c>
      <c r="D958" s="16" t="str">
        <f>IFERROR(__xludf.DUMMYFUNCTION("IF(A958="""","""",
SPARKLINE(
INDEX(
GOOGLEFINANCE(""IDX:""&amp;A958,""close"",TODAY()-365,TODAY()),
,2
),
{""linewidth"",1}
))
"),"#N/A")</f>
        <v>#N/A</v>
      </c>
      <c r="E958" s="14" t="s">
        <v>28</v>
      </c>
      <c r="F958" s="17" t="s">
        <v>29</v>
      </c>
      <c r="G958" s="24">
        <f t="shared" si="7"/>
        <v>13</v>
      </c>
      <c r="H958" s="19">
        <f>VLOOKUP(A958,Metrik!$C$2:$Y$959,8,0)</f>
        <v>12.2</v>
      </c>
      <c r="I958" s="20">
        <f>VLOOKUP(A958,Metrik!$C$2:$Y$959,9,0)</f>
        <v>1.7</v>
      </c>
      <c r="J958" s="20">
        <f>VLOOKUP(A958,Metrik!$C$2:$Y$959,10,0)</f>
        <v>13.9</v>
      </c>
      <c r="K958" s="20">
        <f>VLOOKUP(A958,Metrik!$C$2:$Y$959,11,0)</f>
        <v>4.7</v>
      </c>
      <c r="L958" s="20">
        <f>VLOOKUP(A958,Metrik!$C$2:$Y$959,12,0)</f>
        <v>2</v>
      </c>
      <c r="M958" s="20">
        <f>VLOOKUP(A958,Metrik!$C$2:$Y$959,19,0)</f>
        <v>37.4</v>
      </c>
      <c r="N958" s="21"/>
      <c r="O958" s="21"/>
      <c r="P958" s="21"/>
      <c r="Q958" s="21"/>
      <c r="R958" s="21"/>
      <c r="S958" s="21"/>
      <c r="T958" s="21"/>
      <c r="U958" s="22">
        <f>IFERROR(__xludf.DUMMYFUNCTION("IFERROR(GOOGLEFINANCE(A958,""closeyest""),"""")"),1895.0)</f>
        <v>1895</v>
      </c>
      <c r="V958" s="23">
        <f>IFERROR(__xludf.DUMMYFUNCTION("IFERROR(GOOGLEFINANCE(A958,""changepct""),"""")"),-2.11)</f>
        <v>-2.11</v>
      </c>
      <c r="W958" s="22">
        <f>IFERROR(__xludf.DUMMYFUNCTION("IFERROR(GOOGLEFINANCE(A958,""priceopen""),"""")"),1905.0)</f>
        <v>1905</v>
      </c>
      <c r="X958" s="22">
        <f>IFERROR(__xludf.DUMMYFUNCTION("IFERROR(GOOGLEFINANCE(A958,""high""),"""")"),1915.0)</f>
        <v>1915</v>
      </c>
      <c r="Y958" s="22">
        <f>IFERROR(__xludf.DUMMYFUNCTION("IFERROR(GOOGLEFINANCE(A958,""low""),"""")"),1830.0)</f>
        <v>1830</v>
      </c>
      <c r="Z958" s="22">
        <f>IFERROR(__xludf.DUMMYFUNCTION("IFERROR(GOOGLEFINANCE(A958,""volume""),"""")"),3.08968E7)</f>
        <v>30896800</v>
      </c>
      <c r="AA958" s="24" t="str">
        <f>VLOOKUP(A958,Metrik!$C$2:$Y$959,5,0)</f>
        <v>Wireless Telecommunication Services</v>
      </c>
      <c r="AB958" s="24" t="str">
        <f>VLOOKUP(A958,Metrik!$C$2:$Y$959,3,0)</f>
        <v>Infrastructures</v>
      </c>
    </row>
    <row r="959">
      <c r="A959" s="14" t="s">
        <v>509</v>
      </c>
      <c r="B959" s="14" t="str">
        <f t="array" ref="B959">VLOOKUP(A959,{Metrik!$C$2:$C$998,Metrik!$B$2:$B$998},2,0)</f>
        <v>PT Indosat Tbk</v>
      </c>
      <c r="C959" s="15">
        <f>IFERROR(__xludf.DUMMYFUNCTION("GOOGLEFINANCE(""IDX:""&amp;A959,""price"")"),1855.0)</f>
        <v>1855</v>
      </c>
      <c r="D959" s="16" t="str">
        <f>IFERROR(__xludf.DUMMYFUNCTION("IF(A959="""","""",
SPARKLINE(
INDEX(
GOOGLEFINANCE(""IDX:""&amp;A959,""close"",TODAY()-365,TODAY()),
,2
),
{""linewidth"",1}
))
"),"#N/A")</f>
        <v>#N/A</v>
      </c>
      <c r="E959" s="14" t="s">
        <v>85</v>
      </c>
      <c r="F959" s="17" t="s">
        <v>51</v>
      </c>
      <c r="G959" s="24">
        <f t="shared" si="7"/>
        <v>13</v>
      </c>
      <c r="H959" s="19">
        <f>VLOOKUP(A959,Metrik!$C$2:$Y$959,8,0)</f>
        <v>12.2</v>
      </c>
      <c r="I959" s="20">
        <f>VLOOKUP(A959,Metrik!$C$2:$Y$959,9,0)</f>
        <v>1.7</v>
      </c>
      <c r="J959" s="20">
        <f>VLOOKUP(A959,Metrik!$C$2:$Y$959,10,0)</f>
        <v>13.9</v>
      </c>
      <c r="K959" s="20">
        <f>VLOOKUP(A959,Metrik!$C$2:$Y$959,11,0)</f>
        <v>4.7</v>
      </c>
      <c r="L959" s="20">
        <f>VLOOKUP(A959,Metrik!$C$2:$Y$959,12,0)</f>
        <v>2</v>
      </c>
      <c r="M959" s="20">
        <f>VLOOKUP(A959,Metrik!$C$2:$Y$959,19,0)</f>
        <v>37.4</v>
      </c>
      <c r="N959" s="21"/>
      <c r="O959" s="21"/>
      <c r="P959" s="21"/>
      <c r="Q959" s="21"/>
      <c r="R959" s="21"/>
      <c r="S959" s="21"/>
      <c r="T959" s="21"/>
      <c r="U959" s="22">
        <f>IFERROR(__xludf.DUMMYFUNCTION("IFERROR(GOOGLEFINANCE(A959,""closeyest""),"""")"),1895.0)</f>
        <v>1895</v>
      </c>
      <c r="V959" s="23">
        <f>IFERROR(__xludf.DUMMYFUNCTION("IFERROR(GOOGLEFINANCE(A959,""changepct""),"""")"),-2.11)</f>
        <v>-2.11</v>
      </c>
      <c r="W959" s="22">
        <f>IFERROR(__xludf.DUMMYFUNCTION("IFERROR(GOOGLEFINANCE(A959,""priceopen""),"""")"),1905.0)</f>
        <v>1905</v>
      </c>
      <c r="X959" s="22">
        <f>IFERROR(__xludf.DUMMYFUNCTION("IFERROR(GOOGLEFINANCE(A959,""high""),"""")"),1915.0)</f>
        <v>1915</v>
      </c>
      <c r="Y959" s="22">
        <f>IFERROR(__xludf.DUMMYFUNCTION("IFERROR(GOOGLEFINANCE(A959,""low""),"""")"),1830.0)</f>
        <v>1830</v>
      </c>
      <c r="Z959" s="22">
        <f>IFERROR(__xludf.DUMMYFUNCTION("IFERROR(GOOGLEFINANCE(A959,""volume""),"""")"),3.08968E7)</f>
        <v>30896800</v>
      </c>
      <c r="AA959" s="24" t="str">
        <f>VLOOKUP(A959,Metrik!$C$2:$Y$959,5,0)</f>
        <v>Wireless Telecommunication Services</v>
      </c>
      <c r="AB959" s="24" t="str">
        <f>VLOOKUP(A959,Metrik!$C$2:$Y$959,3,0)</f>
        <v>Infrastructures</v>
      </c>
    </row>
    <row r="960">
      <c r="A960" s="14" t="s">
        <v>509</v>
      </c>
      <c r="B960" s="14" t="str">
        <f t="array" ref="B960">VLOOKUP(A960,{Metrik!$C$2:$C$998,Metrik!$B$2:$B$998},2,0)</f>
        <v>PT Indosat Tbk</v>
      </c>
      <c r="C960" s="15">
        <f>IFERROR(__xludf.DUMMYFUNCTION("GOOGLEFINANCE(""IDX:""&amp;A960,""price"")"),1855.0)</f>
        <v>1855</v>
      </c>
      <c r="D960" s="16" t="str">
        <f>IFERROR(__xludf.DUMMYFUNCTION("IF(A960="""","""",
SPARKLINE(
INDEX(
GOOGLEFINANCE(""IDX:""&amp;A960,""close"",TODAY()-365,TODAY()),
,2
),
{""linewidth"",1}
))
"),"#N/A")</f>
        <v>#N/A</v>
      </c>
      <c r="E960" s="14" t="s">
        <v>102</v>
      </c>
      <c r="F960" s="27" t="s">
        <v>53</v>
      </c>
      <c r="G960" s="24">
        <f t="shared" si="7"/>
        <v>13</v>
      </c>
      <c r="H960" s="19">
        <f>VLOOKUP(A960,Metrik!$C$2:$Y$959,8,0)</f>
        <v>12.2</v>
      </c>
      <c r="I960" s="20">
        <f>VLOOKUP(A960,Metrik!$C$2:$Y$959,9,0)</f>
        <v>1.7</v>
      </c>
      <c r="J960" s="20">
        <f>VLOOKUP(A960,Metrik!$C$2:$Y$959,10,0)</f>
        <v>13.9</v>
      </c>
      <c r="K960" s="20">
        <f>VLOOKUP(A960,Metrik!$C$2:$Y$959,11,0)</f>
        <v>4.7</v>
      </c>
      <c r="L960" s="20">
        <f>VLOOKUP(A960,Metrik!$C$2:$Y$959,12,0)</f>
        <v>2</v>
      </c>
      <c r="M960" s="20">
        <f>VLOOKUP(A960,Metrik!$C$2:$Y$959,19,0)</f>
        <v>37.4</v>
      </c>
      <c r="N960" s="21"/>
      <c r="O960" s="21"/>
      <c r="P960" s="21"/>
      <c r="Q960" s="21"/>
      <c r="R960" s="21"/>
      <c r="S960" s="21"/>
      <c r="T960" s="21"/>
      <c r="U960" s="22">
        <f>IFERROR(__xludf.DUMMYFUNCTION("IFERROR(GOOGLEFINANCE(A960,""closeyest""),"""")"),1895.0)</f>
        <v>1895</v>
      </c>
      <c r="V960" s="23">
        <f>IFERROR(__xludf.DUMMYFUNCTION("IFERROR(GOOGLEFINANCE(A960,""changepct""),"""")"),-2.11)</f>
        <v>-2.11</v>
      </c>
      <c r="W960" s="22">
        <f>IFERROR(__xludf.DUMMYFUNCTION("IFERROR(GOOGLEFINANCE(A960,""priceopen""),"""")"),1905.0)</f>
        <v>1905</v>
      </c>
      <c r="X960" s="22">
        <f>IFERROR(__xludf.DUMMYFUNCTION("IFERROR(GOOGLEFINANCE(A960,""high""),"""")"),1915.0)</f>
        <v>1915</v>
      </c>
      <c r="Y960" s="22">
        <f>IFERROR(__xludf.DUMMYFUNCTION("IFERROR(GOOGLEFINANCE(A960,""low""),"""")"),1830.0)</f>
        <v>1830</v>
      </c>
      <c r="Z960" s="22">
        <f>IFERROR(__xludf.DUMMYFUNCTION("IFERROR(GOOGLEFINANCE(A960,""volume""),"""")"),3.08968E7)</f>
        <v>30896800</v>
      </c>
      <c r="AA960" s="24" t="str">
        <f>VLOOKUP(A960,Metrik!$C$2:$Y$959,5,0)</f>
        <v>Wireless Telecommunication Services</v>
      </c>
      <c r="AB960" s="24" t="str">
        <f>VLOOKUP(A960,Metrik!$C$2:$Y$959,3,0)</f>
        <v>Infrastructures</v>
      </c>
    </row>
    <row r="961">
      <c r="A961" s="48" t="s">
        <v>509</v>
      </c>
      <c r="B961" s="14" t="str">
        <f t="array" ref="B961">VLOOKUP(A961,{Metrik!$C$2:$C$998,Metrik!$B$2:$B$998},2,0)</f>
        <v>PT Indosat Tbk</v>
      </c>
      <c r="C961" s="15">
        <f>IFERROR(__xludf.DUMMYFUNCTION("GOOGLEFINANCE(""IDX:""&amp;A961,""price"")"),1855.0)</f>
        <v>1855</v>
      </c>
      <c r="D961" s="16" t="str">
        <f>IFERROR(__xludf.DUMMYFUNCTION("IF(A961="""","""",
SPARKLINE(
INDEX(
GOOGLEFINANCE(""IDX:""&amp;A961,""close"",TODAY()-365,TODAY()),
,2
),
{""linewidth"",1}
))
"),"#N/A")</f>
        <v>#N/A</v>
      </c>
      <c r="E961" s="17" t="s">
        <v>69</v>
      </c>
      <c r="F961" s="17" t="s">
        <v>70</v>
      </c>
      <c r="G961" s="24">
        <f t="shared" si="7"/>
        <v>13</v>
      </c>
      <c r="H961" s="19">
        <f>VLOOKUP(A961,Metrik!$C$2:$Y$959,8,0)</f>
        <v>12.2</v>
      </c>
      <c r="I961" s="20">
        <f>VLOOKUP(A961,Metrik!$C$2:$Y$959,9,0)</f>
        <v>1.7</v>
      </c>
      <c r="J961" s="20">
        <f>VLOOKUP(A961,Metrik!$C$2:$Y$959,10,0)</f>
        <v>13.9</v>
      </c>
      <c r="K961" s="20">
        <f>VLOOKUP(A961,Metrik!$C$2:$Y$959,11,0)</f>
        <v>4.7</v>
      </c>
      <c r="L961" s="20">
        <f>VLOOKUP(A961,Metrik!$C$2:$Y$959,12,0)</f>
        <v>2</v>
      </c>
      <c r="M961" s="20">
        <f>VLOOKUP(A961,Metrik!$C$2:$Y$959,19,0)</f>
        <v>37.4</v>
      </c>
      <c r="N961" s="21"/>
      <c r="O961" s="21"/>
      <c r="P961" s="21"/>
      <c r="Q961" s="21"/>
      <c r="R961" s="21"/>
      <c r="S961" s="21"/>
      <c r="T961" s="21"/>
      <c r="U961" s="22">
        <f>IFERROR(__xludf.DUMMYFUNCTION("IFERROR(GOOGLEFINANCE(A961,""closeyest""),"""")"),1895.0)</f>
        <v>1895</v>
      </c>
      <c r="V961" s="23">
        <f>IFERROR(__xludf.DUMMYFUNCTION("IFERROR(GOOGLEFINANCE(A961,""changepct""),"""")"),-2.11)</f>
        <v>-2.11</v>
      </c>
      <c r="W961" s="22">
        <f>IFERROR(__xludf.DUMMYFUNCTION("IFERROR(GOOGLEFINANCE(A961,""priceopen""),"""")"),1905.0)</f>
        <v>1905</v>
      </c>
      <c r="X961" s="22">
        <f>IFERROR(__xludf.DUMMYFUNCTION("IFERROR(GOOGLEFINANCE(A961,""high""),"""")"),1915.0)</f>
        <v>1915</v>
      </c>
      <c r="Y961" s="22">
        <f>IFERROR(__xludf.DUMMYFUNCTION("IFERROR(GOOGLEFINANCE(A961,""low""),"""")"),1830.0)</f>
        <v>1830</v>
      </c>
      <c r="Z961" s="22">
        <f>IFERROR(__xludf.DUMMYFUNCTION("IFERROR(GOOGLEFINANCE(A961,""volume""),"""")"),3.08968E7)</f>
        <v>30896800</v>
      </c>
      <c r="AA961" s="24" t="str">
        <f>VLOOKUP(A961,Metrik!$C$2:$Y$959,5,0)</f>
        <v>Wireless Telecommunication Services</v>
      </c>
      <c r="AB961" s="24" t="str">
        <f>VLOOKUP(A961,Metrik!$C$2:$Y$959,3,0)</f>
        <v>Infrastructures</v>
      </c>
    </row>
    <row r="962">
      <c r="A962" s="17" t="s">
        <v>509</v>
      </c>
      <c r="B962" s="14" t="str">
        <f t="array" ref="B962">VLOOKUP(A962,{Metrik!$C$2:$C$998,Metrik!$B$2:$B$998},2,0)</f>
        <v>PT Indosat Tbk</v>
      </c>
      <c r="C962" s="15">
        <f>IFERROR(__xludf.DUMMYFUNCTION("GOOGLEFINANCE(""IDX:""&amp;A962,""price"")"),1855.0)</f>
        <v>1855</v>
      </c>
      <c r="D962" s="16" t="str">
        <f>IFERROR(__xludf.DUMMYFUNCTION("IF(A962="""","""",
SPARKLINE(
INDEX(
GOOGLEFINANCE(""IDX:""&amp;A962,""close"",TODAY()-365,TODAY()),
,2
),
{""linewidth"",1}
))
"),"#N/A")</f>
        <v>#N/A</v>
      </c>
      <c r="E962" s="14" t="s">
        <v>86</v>
      </c>
      <c r="F962" s="25">
        <v>46356.0</v>
      </c>
      <c r="G962" s="33">
        <f t="shared" si="7"/>
        <v>13</v>
      </c>
      <c r="H962" s="34">
        <f>VLOOKUP(A962,Metrik!$C$2:$Y$959,8,0)</f>
        <v>12.2</v>
      </c>
      <c r="I962" s="34">
        <f>VLOOKUP(A962,Metrik!$C$2:$Y$959,9,0)</f>
        <v>1.7</v>
      </c>
      <c r="J962" s="34">
        <f>VLOOKUP(A962,Metrik!$C$2:$Y$959,10,0)</f>
        <v>13.9</v>
      </c>
      <c r="K962" s="34">
        <f>VLOOKUP(A962,Metrik!$C$2:$Y$959,11,0)</f>
        <v>4.7</v>
      </c>
      <c r="L962" s="34">
        <f>VLOOKUP(A962,Metrik!$C$2:$Y$959,12,0)</f>
        <v>2</v>
      </c>
      <c r="M962" s="34">
        <f>VLOOKUP(A962,Metrik!$C$2:$Y$959,19,0)</f>
        <v>37.4</v>
      </c>
      <c r="N962" s="26"/>
      <c r="O962" s="26"/>
      <c r="P962" s="26"/>
      <c r="Q962" s="26"/>
      <c r="R962" s="26"/>
      <c r="S962" s="26"/>
      <c r="T962" s="26"/>
      <c r="U962" s="35">
        <f>IFERROR(__xludf.DUMMYFUNCTION("IFERROR(GOOGLEFINANCE(A962,""closeyest""),"""")"),1895.0)</f>
        <v>1895</v>
      </c>
      <c r="V962" s="36">
        <f>IFERROR(__xludf.DUMMYFUNCTION("IFERROR(GOOGLEFINANCE(A962,""changepct""),"""")"),-2.11)</f>
        <v>-2.11</v>
      </c>
      <c r="W962" s="35">
        <f>IFERROR(__xludf.DUMMYFUNCTION("IFERROR(GOOGLEFINANCE(A962,""priceopen""),"""")"),1905.0)</f>
        <v>1905</v>
      </c>
      <c r="X962" s="35">
        <f>IFERROR(__xludf.DUMMYFUNCTION("IFERROR(GOOGLEFINANCE(A962,""high""),"""")"),1915.0)</f>
        <v>1915</v>
      </c>
      <c r="Y962" s="35">
        <f>IFERROR(__xludf.DUMMYFUNCTION("IFERROR(GOOGLEFINANCE(A962,""low""),"""")"),1830.0)</f>
        <v>1830</v>
      </c>
      <c r="Z962" s="35">
        <f>IFERROR(__xludf.DUMMYFUNCTION("IFERROR(GOOGLEFINANCE(A962,""volume""),"""")"),3.08968E7)</f>
        <v>30896800</v>
      </c>
      <c r="AA962" s="14" t="str">
        <f>VLOOKUP(A962,Metrik!$C$2:$Y$959,5,0)</f>
        <v>Wireless Telecommunication Services</v>
      </c>
      <c r="AB962" s="14" t="str">
        <f>VLOOKUP(A962,Metrik!$C$2:$Y$959,3,0)</f>
        <v>Infrastructures</v>
      </c>
    </row>
    <row r="963">
      <c r="A963" s="14" t="s">
        <v>509</v>
      </c>
      <c r="B963" s="14" t="str">
        <f t="array" ref="B963">VLOOKUP(A963,{Metrik!$C$2:$C$998,Metrik!$B$2:$B$998},2,0)</f>
        <v>PT Indosat Tbk</v>
      </c>
      <c r="C963" s="15">
        <f>IFERROR(__xludf.DUMMYFUNCTION("GOOGLEFINANCE(""IDX:""&amp;A963,""price"")"),1855.0)</f>
        <v>1855</v>
      </c>
      <c r="D963" s="16" t="str">
        <f>IFERROR(__xludf.DUMMYFUNCTION("IF(A963="""","""",
SPARKLINE(
INDEX(
GOOGLEFINANCE(""IDX:""&amp;A963,""close"",TODAY()-365,TODAY()),
,2
),
{""linewidth"",1}
))
"),"#N/A")</f>
        <v>#N/A</v>
      </c>
      <c r="E963" s="14" t="s">
        <v>39</v>
      </c>
      <c r="F963" s="25">
        <v>46356.0</v>
      </c>
      <c r="G963" s="24">
        <f t="shared" si="7"/>
        <v>13</v>
      </c>
      <c r="H963" s="19">
        <f>VLOOKUP(A963,Metrik!$C$2:$Y$959,8,0)</f>
        <v>12.2</v>
      </c>
      <c r="I963" s="20">
        <f>VLOOKUP(A963,Metrik!$C$2:$Y$959,9,0)</f>
        <v>1.7</v>
      </c>
      <c r="J963" s="20">
        <f>VLOOKUP(A963,Metrik!$C$2:$Y$959,10,0)</f>
        <v>13.9</v>
      </c>
      <c r="K963" s="20">
        <f>VLOOKUP(A963,Metrik!$C$2:$Y$959,11,0)</f>
        <v>4.7</v>
      </c>
      <c r="L963" s="20">
        <f>VLOOKUP(A963,Metrik!$C$2:$Y$959,12,0)</f>
        <v>2</v>
      </c>
      <c r="M963" s="20">
        <f>VLOOKUP(A963,Metrik!$C$2:$Y$959,19,0)</f>
        <v>37.4</v>
      </c>
      <c r="N963" s="21"/>
      <c r="O963" s="21"/>
      <c r="P963" s="21"/>
      <c r="Q963" s="21"/>
      <c r="R963" s="21"/>
      <c r="S963" s="21"/>
      <c r="T963" s="21"/>
      <c r="U963" s="22">
        <f>IFERROR(__xludf.DUMMYFUNCTION("IFERROR(GOOGLEFINANCE(A963,""closeyest""),"""")"),1895.0)</f>
        <v>1895</v>
      </c>
      <c r="V963" s="23">
        <f>IFERROR(__xludf.DUMMYFUNCTION("IFERROR(GOOGLEFINANCE(A963,""changepct""),"""")"),-2.11)</f>
        <v>-2.11</v>
      </c>
      <c r="W963" s="22">
        <f>IFERROR(__xludf.DUMMYFUNCTION("IFERROR(GOOGLEFINANCE(A963,""priceopen""),"""")"),1905.0)</f>
        <v>1905</v>
      </c>
      <c r="X963" s="22">
        <f>IFERROR(__xludf.DUMMYFUNCTION("IFERROR(GOOGLEFINANCE(A963,""high""),"""")"),1915.0)</f>
        <v>1915</v>
      </c>
      <c r="Y963" s="22">
        <f>IFERROR(__xludf.DUMMYFUNCTION("IFERROR(GOOGLEFINANCE(A963,""low""),"""")"),1830.0)</f>
        <v>1830</v>
      </c>
      <c r="Z963" s="22">
        <f>IFERROR(__xludf.DUMMYFUNCTION("IFERROR(GOOGLEFINANCE(A963,""volume""),"""")"),3.08968E7)</f>
        <v>30896800</v>
      </c>
      <c r="AA963" s="24" t="str">
        <f>VLOOKUP(A963,Metrik!$C$2:$Y$959,5,0)</f>
        <v>Wireless Telecommunication Services</v>
      </c>
      <c r="AB963" s="24" t="str">
        <f>VLOOKUP(A963,Metrik!$C$2:$Y$959,3,0)</f>
        <v>Infrastructures</v>
      </c>
    </row>
    <row r="964">
      <c r="A964" s="14" t="s">
        <v>510</v>
      </c>
      <c r="B964" s="14" t="str">
        <f t="array" ref="B964">VLOOKUP(A964,{Metrik!$C$2:$C$998,Metrik!$B$2:$B$998},2,0)</f>
        <v>Indo American Seafoods Tbk.</v>
      </c>
      <c r="C964" s="15">
        <f>IFERROR(__xludf.DUMMYFUNCTION("GOOGLEFINANCE(""IDX:""&amp;A964,""price"")"),65.0)</f>
        <v>65</v>
      </c>
      <c r="D964" s="16" t="str">
        <f>IFERROR(__xludf.DUMMYFUNCTION("IF(A964="""","""",
SPARKLINE(
INDEX(
GOOGLEFINANCE(""IDX:""&amp;A964,""close"",TODAY()-365,TODAY()),
,2
),
{""linewidth"",1}
))
"),"#N/A")</f>
        <v>#N/A</v>
      </c>
      <c r="E964" s="26"/>
      <c r="F964" s="26"/>
      <c r="G964" s="24">
        <f t="shared" si="7"/>
        <v>0</v>
      </c>
      <c r="H964" s="19">
        <f>VLOOKUP(A964,Metrik!$C$2:$Y$959,8,0)</f>
        <v>7.6</v>
      </c>
      <c r="I964" s="20">
        <f>VLOOKUP(A964,Metrik!$C$2:$Y$959,9,0)</f>
        <v>0.52</v>
      </c>
      <c r="J964" s="20">
        <f>VLOOKUP(A964,Metrik!$C$2:$Y$959,10,0)</f>
        <v>6.9</v>
      </c>
      <c r="K964" s="20">
        <f>VLOOKUP(A964,Metrik!$C$2:$Y$959,11,0)</f>
        <v>2.9</v>
      </c>
      <c r="L964" s="20">
        <f>VLOOKUP(A964,Metrik!$C$2:$Y$959,12,0)</f>
        <v>1.3</v>
      </c>
      <c r="M964" s="20">
        <f>VLOOKUP(A964,Metrik!$C$2:$Y$959,19,0)</f>
        <v>7.1</v>
      </c>
      <c r="N964" s="21"/>
      <c r="O964" s="21"/>
      <c r="P964" s="21"/>
      <c r="Q964" s="21"/>
      <c r="R964" s="21"/>
      <c r="S964" s="21"/>
      <c r="T964" s="21"/>
      <c r="U964" s="22">
        <f>IFERROR(__xludf.DUMMYFUNCTION("IFERROR(GOOGLEFINANCE(A964,""closeyest""),"""")"),63.0)</f>
        <v>63</v>
      </c>
      <c r="V964" s="23">
        <f>IFERROR(__xludf.DUMMYFUNCTION("IFERROR(GOOGLEFINANCE(A964,""changepct""),"""")"),3.17)</f>
        <v>3.17</v>
      </c>
      <c r="W964" s="22">
        <f>IFERROR(__xludf.DUMMYFUNCTION("IFERROR(GOOGLEFINANCE(A964,""priceopen""),"""")"),63.0)</f>
        <v>63</v>
      </c>
      <c r="X964" s="22">
        <f>IFERROR(__xludf.DUMMYFUNCTION("IFERROR(GOOGLEFINANCE(A964,""high""),"""")"),66.0)</f>
        <v>66</v>
      </c>
      <c r="Y964" s="22">
        <f>IFERROR(__xludf.DUMMYFUNCTION("IFERROR(GOOGLEFINANCE(A964,""low""),"""")"),62.0)</f>
        <v>62</v>
      </c>
      <c r="Z964" s="22">
        <f>IFERROR(__xludf.DUMMYFUNCTION("IFERROR(GOOGLEFINANCE(A964,""volume""),"""")"),1613200.0)</f>
        <v>1613200</v>
      </c>
      <c r="AA964" s="24" t="str">
        <f>VLOOKUP(A964,Metrik!$C$2:$Y$959,5,0)</f>
        <v>Agricultural Products</v>
      </c>
      <c r="AB964" s="24" t="str">
        <f>VLOOKUP(A964,Metrik!$C$2:$Y$959,3,0)</f>
        <v>Consumer Non-Cyclicals</v>
      </c>
    </row>
    <row r="965">
      <c r="A965" s="14" t="s">
        <v>511</v>
      </c>
      <c r="B965" s="14" t="str">
        <f t="array" ref="B965">VLOOKUP(A965,{Metrik!$C$2:$C$998,Metrik!$B$2:$B$998},2,0)</f>
        <v>Steel Pipe Industry of Indonesia Tbk.</v>
      </c>
      <c r="C965" s="15">
        <f>IFERROR(__xludf.DUMMYFUNCTION("GOOGLEFINANCE(""IDX:""&amp;A965,""price"")"),398.0)</f>
        <v>398</v>
      </c>
      <c r="D965" s="16" t="str">
        <f>IFERROR(__xludf.DUMMYFUNCTION("IF(A965="""","""",
SPARKLINE(
INDEX(
GOOGLEFINANCE(""IDX:""&amp;A965,""close"",TODAY()-365,TODAY()),
,2
),
{""linewidth"",1}
))
"),"#N/A")</f>
        <v>#N/A</v>
      </c>
      <c r="E965" s="26"/>
      <c r="F965" s="26"/>
      <c r="G965" s="24">
        <f t="shared" si="7"/>
        <v>0</v>
      </c>
      <c r="H965" s="19">
        <f>VLOOKUP(A965,Metrik!$C$2:$Y$959,8,0)</f>
        <v>5.8</v>
      </c>
      <c r="I965" s="20">
        <f>VLOOKUP(A965,Metrik!$C$2:$Y$959,9,0)</f>
        <v>0.53</v>
      </c>
      <c r="J965" s="20">
        <f>VLOOKUP(A965,Metrik!$C$2:$Y$959,10,0)</f>
        <v>9.2</v>
      </c>
      <c r="K965" s="20">
        <f>VLOOKUP(A965,Metrik!$C$2:$Y$959,11,0)</f>
        <v>5.9</v>
      </c>
      <c r="L965" s="20">
        <f>VLOOKUP(A965,Metrik!$C$2:$Y$959,12,0)</f>
        <v>0.56</v>
      </c>
      <c r="M965" s="20">
        <f>VLOOKUP(A965,Metrik!$C$2:$Y$959,19,0)</f>
        <v>43.1</v>
      </c>
      <c r="N965" s="21"/>
      <c r="O965" s="21"/>
      <c r="P965" s="21"/>
      <c r="Q965" s="21"/>
      <c r="R965" s="21"/>
      <c r="S965" s="21"/>
      <c r="T965" s="21"/>
      <c r="U965" s="22" t="str">
        <f>IFERROR(__xludf.DUMMYFUNCTION("IFERROR(GOOGLEFINANCE(A965,""closeyest""),"""")"),"")</f>
        <v/>
      </c>
      <c r="V965" s="23">
        <f>IFERROR(__xludf.DUMMYFUNCTION("IFERROR(GOOGLEFINANCE(A965,""changepct""),"""")"),0.0)</f>
        <v>0</v>
      </c>
      <c r="W965" s="22">
        <f>IFERROR(__xludf.DUMMYFUNCTION("IFERROR(GOOGLEFINANCE(A965,""priceopen""),"""")"),400.0)</f>
        <v>400</v>
      </c>
      <c r="X965" s="22">
        <f>IFERROR(__xludf.DUMMYFUNCTION("IFERROR(GOOGLEFINANCE(A965,""high""),"""")"),404.0)</f>
        <v>404</v>
      </c>
      <c r="Y965" s="22">
        <f>IFERROR(__xludf.DUMMYFUNCTION("IFERROR(GOOGLEFINANCE(A965,""low""),"""")"),390.0)</f>
        <v>390</v>
      </c>
      <c r="Z965" s="22">
        <f>IFERROR(__xludf.DUMMYFUNCTION("IFERROR(GOOGLEFINANCE(A965,""volume""),"""")"),3069300.0)</f>
        <v>3069300</v>
      </c>
      <c r="AA965" s="24" t="str">
        <f>VLOOKUP(A965,Metrik!$C$2:$Y$959,5,0)</f>
        <v>Metals &amp; Minerals</v>
      </c>
      <c r="AB965" s="24" t="str">
        <f>VLOOKUP(A965,Metrik!$C$2:$Y$959,3,0)</f>
        <v>Basic Materials</v>
      </c>
    </row>
    <row r="966">
      <c r="A966" s="14" t="s">
        <v>512</v>
      </c>
      <c r="B966" s="14" t="str">
        <f t="array" ref="B966">VLOOKUP(A966,{Metrik!$C$2:$C$998,Metrik!$B$2:$B$998},2,0)</f>
        <v>Indonesian Tobacco Tbk.</v>
      </c>
      <c r="C966" s="15">
        <f>IFERROR(__xludf.DUMMYFUNCTION("GOOGLEFINANCE(""IDX:""&amp;A966,""price"")"),195.0)</f>
        <v>195</v>
      </c>
      <c r="D966" s="16" t="str">
        <f>IFERROR(__xludf.DUMMYFUNCTION("IF(A966="""","""",
SPARKLINE(
INDEX(
GOOGLEFINANCE(""IDX:""&amp;A966,""close"",TODAY()-365,TODAY()),
,2
),
{""linewidth"",1}
))
"),"#N/A")</f>
        <v>#N/A</v>
      </c>
      <c r="E966" s="26"/>
      <c r="F966" s="26"/>
      <c r="G966" s="24">
        <f t="shared" si="7"/>
        <v>0</v>
      </c>
      <c r="H966" s="19">
        <f>VLOOKUP(A966,Metrik!$C$2:$Y$959,8,0)</f>
        <v>9.9</v>
      </c>
      <c r="I966" s="20">
        <f>VLOOKUP(A966,Metrik!$C$2:$Y$959,9,0)</f>
        <v>0.42</v>
      </c>
      <c r="J966" s="20">
        <f>VLOOKUP(A966,Metrik!$C$2:$Y$959,10,0)</f>
        <v>4.3</v>
      </c>
      <c r="K966" s="20">
        <f>VLOOKUP(A966,Metrik!$C$2:$Y$959,11,0)</f>
        <v>3.2</v>
      </c>
      <c r="L966" s="20">
        <f>VLOOKUP(A966,Metrik!$C$2:$Y$959,12,0)</f>
        <v>0.34</v>
      </c>
      <c r="M966" s="20">
        <f>VLOOKUP(A966,Metrik!$C$2:$Y$959,19,0)</f>
        <v>30.4</v>
      </c>
      <c r="N966" s="21"/>
      <c r="O966" s="21"/>
      <c r="P966" s="21"/>
      <c r="Q966" s="21"/>
      <c r="R966" s="21"/>
      <c r="S966" s="21"/>
      <c r="T966" s="21"/>
      <c r="U966" s="22">
        <f>IFERROR(__xludf.DUMMYFUNCTION("IFERROR(GOOGLEFINANCE(A966,""closeyest""),"""")"),250.16)</f>
        <v>250.16</v>
      </c>
      <c r="V966" s="23">
        <f>IFERROR(__xludf.DUMMYFUNCTION("IFERROR(GOOGLEFINANCE(A966,""changepct""),"""")"),1.42)</f>
        <v>1.42</v>
      </c>
      <c r="W966" s="22">
        <f>IFERROR(__xludf.DUMMYFUNCTION("IFERROR(GOOGLEFINANCE(A966,""priceopen""),"""")"),252.47)</f>
        <v>252.47</v>
      </c>
      <c r="X966" s="22">
        <f>IFERROR(__xludf.DUMMYFUNCTION("IFERROR(GOOGLEFINANCE(A966,""high""),"""")"),256.15)</f>
        <v>256.15</v>
      </c>
      <c r="Y966" s="22">
        <f>IFERROR(__xludf.DUMMYFUNCTION("IFERROR(GOOGLEFINANCE(A966,""low""),"""")"),252.47)</f>
        <v>252.47</v>
      </c>
      <c r="Z966" s="22">
        <f>IFERROR(__xludf.DUMMYFUNCTION("IFERROR(GOOGLEFINANCE(A966,""volume""),"""")"),50251.0)</f>
        <v>50251</v>
      </c>
      <c r="AA966" s="24" t="str">
        <f>VLOOKUP(A966,Metrik!$C$2:$Y$959,5,0)</f>
        <v>Tobacco</v>
      </c>
      <c r="AB966" s="24" t="str">
        <f>VLOOKUP(A966,Metrik!$C$2:$Y$959,3,0)</f>
        <v>Consumer Non-Cyclicals</v>
      </c>
    </row>
    <row r="967">
      <c r="A967" s="14" t="s">
        <v>513</v>
      </c>
      <c r="B967" s="14" t="str">
        <f t="array" ref="B967">VLOOKUP(A967,{Metrik!$C$2:$C$998,Metrik!$B$2:$B$998},2,0)</f>
        <v>SUMBER ENERGI ANDALAN Tbk</v>
      </c>
      <c r="C967" s="15">
        <f>IFERROR(__xludf.DUMMYFUNCTION("GOOGLEFINANCE(""IDX:""&amp;A967,""price"")"),1480.0)</f>
        <v>1480</v>
      </c>
      <c r="D967" s="16" t="str">
        <f>IFERROR(__xludf.DUMMYFUNCTION("IF(A967="""","""",
SPARKLINE(
INDEX(
GOOGLEFINANCE(""IDX:""&amp;A967,""close"",TODAY()-365,TODAY()),
,2
),
{""linewidth"",1}
))
"),"#N/A")</f>
        <v>#N/A</v>
      </c>
      <c r="E967" s="26"/>
      <c r="F967" s="26"/>
      <c r="G967" s="24">
        <f t="shared" si="7"/>
        <v>0</v>
      </c>
      <c r="H967" s="19">
        <f>VLOOKUP(A967,Metrik!$C$2:$Y$959,8,0)</f>
        <v>45.6</v>
      </c>
      <c r="I967" s="20">
        <f>VLOOKUP(A967,Metrik!$C$2:$Y$959,9,0)</f>
        <v>0.47</v>
      </c>
      <c r="J967" s="20">
        <f>VLOOKUP(A967,Metrik!$C$2:$Y$959,10,0)</f>
        <v>1</v>
      </c>
      <c r="K967" s="20">
        <f>VLOOKUP(A967,Metrik!$C$2:$Y$959,11,0)</f>
        <v>0.86</v>
      </c>
      <c r="L967" s="20">
        <f>VLOOKUP(A967,Metrik!$C$2:$Y$959,12,0)</f>
        <v>0.2</v>
      </c>
      <c r="M967" s="20">
        <f>VLOOKUP(A967,Metrik!$C$2:$Y$959,19,0)</f>
        <v>300</v>
      </c>
      <c r="N967" s="21"/>
      <c r="O967" s="21"/>
      <c r="P967" s="21"/>
      <c r="Q967" s="21"/>
      <c r="R967" s="21"/>
      <c r="S967" s="21"/>
      <c r="T967" s="21"/>
      <c r="U967" s="22">
        <f>IFERROR(__xludf.DUMMYFUNCTION("IFERROR(GOOGLEFINANCE(A967,""closeyest""),"""")"),1480.0)</f>
        <v>1480</v>
      </c>
      <c r="V967" s="23">
        <f>IFERROR(__xludf.DUMMYFUNCTION("IFERROR(GOOGLEFINANCE(A967,""changepct""),"""")"),0.0)</f>
        <v>0</v>
      </c>
      <c r="W967" s="22">
        <f>IFERROR(__xludf.DUMMYFUNCTION("IFERROR(GOOGLEFINANCE(A967,""priceopen""),"""")"),1475.0)</f>
        <v>1475</v>
      </c>
      <c r="X967" s="22">
        <f>IFERROR(__xludf.DUMMYFUNCTION("IFERROR(GOOGLEFINANCE(A967,""high""),"""")"),1500.0)</f>
        <v>1500</v>
      </c>
      <c r="Y967" s="22">
        <f>IFERROR(__xludf.DUMMYFUNCTION("IFERROR(GOOGLEFINANCE(A967,""low""),"""")"),1450.0)</f>
        <v>1450</v>
      </c>
      <c r="Z967" s="22">
        <f>IFERROR(__xludf.DUMMYFUNCTION("IFERROR(GOOGLEFINANCE(A967,""volume""),"""")"),101300.0)</f>
        <v>101300</v>
      </c>
      <c r="AA967" s="24" t="str">
        <f>VLOOKUP(A967,Metrik!$C$2:$Y$959,5,0)</f>
        <v>Oil, Gas &amp; Coal Supports</v>
      </c>
      <c r="AB967" s="24" t="str">
        <f>VLOOKUP(A967,Metrik!$C$2:$Y$959,3,0)</f>
        <v>Energy</v>
      </c>
    </row>
    <row r="968">
      <c r="A968" s="14" t="s">
        <v>514</v>
      </c>
      <c r="B968" s="14" t="str">
        <f t="array" ref="B968">VLOOKUP(A968,{Metrik!$C$2:$C$998,Metrik!$B$2:$B$998},2,0)</f>
        <v>Indo Tambangraya Megah Tbk.</v>
      </c>
      <c r="C968" s="15">
        <f>IFERROR(__xludf.DUMMYFUNCTION("GOOGLEFINANCE(""IDX:""&amp;A968,""price"")"),23475.0)</f>
        <v>23475</v>
      </c>
      <c r="D968" s="16" t="str">
        <f>IFERROR(__xludf.DUMMYFUNCTION("IF(A968="""","""",
SPARKLINE(
INDEX(
GOOGLEFINANCE(""IDX:""&amp;A968,""close"",TODAY()-365,TODAY()),
,2
),
{""linewidth"",1}
))
"),"#N/A")</f>
        <v>#N/A</v>
      </c>
      <c r="E968" s="14" t="s">
        <v>65</v>
      </c>
      <c r="F968" s="25">
        <v>46356.0</v>
      </c>
      <c r="G968" s="28">
        <f t="shared" si="7"/>
        <v>12</v>
      </c>
      <c r="H968" s="19">
        <f>VLOOKUP(A968,Metrik!$C$2:$Y$959,8,0)</f>
        <v>8.2</v>
      </c>
      <c r="I968" s="20">
        <f>VLOOKUP(A968,Metrik!$C$2:$Y$959,9,0)</f>
        <v>0.76</v>
      </c>
      <c r="J968" s="20">
        <f>VLOOKUP(A968,Metrik!$C$2:$Y$959,10,0)</f>
        <v>9.3</v>
      </c>
      <c r="K968" s="20">
        <f>VLOOKUP(A968,Metrik!$C$2:$Y$959,11,0)</f>
        <v>7.5</v>
      </c>
      <c r="L968" s="20">
        <f>VLOOKUP(A968,Metrik!$C$2:$Y$959,12,0)</f>
        <v>0.25</v>
      </c>
      <c r="M968" s="20">
        <f>VLOOKUP(A968,Metrik!$C$2:$Y$959,19,0)</f>
        <v>36.2</v>
      </c>
      <c r="N968" s="21"/>
      <c r="O968" s="21"/>
      <c r="P968" s="21"/>
      <c r="Q968" s="21"/>
      <c r="R968" s="21"/>
      <c r="S968" s="21"/>
      <c r="T968" s="21"/>
      <c r="U968" s="22">
        <f>IFERROR(__xludf.DUMMYFUNCTION("IFERROR(GOOGLEFINANCE(A968,""closeyest""),"""")"),22350.0)</f>
        <v>22350</v>
      </c>
      <c r="V968" s="23">
        <f>IFERROR(__xludf.DUMMYFUNCTION("IFERROR(GOOGLEFINANCE(A968,""changepct""),"""")"),5.03)</f>
        <v>5.03</v>
      </c>
      <c r="W968" s="22">
        <f>IFERROR(__xludf.DUMMYFUNCTION("IFERROR(GOOGLEFINANCE(A968,""priceopen""),"""")"),22375.0)</f>
        <v>22375</v>
      </c>
      <c r="X968" s="22">
        <f>IFERROR(__xludf.DUMMYFUNCTION("IFERROR(GOOGLEFINANCE(A968,""high""),"""")"),23775.0)</f>
        <v>23775</v>
      </c>
      <c r="Y968" s="22">
        <f>IFERROR(__xludf.DUMMYFUNCTION("IFERROR(GOOGLEFINANCE(A968,""low""),"""")"),22375.0)</f>
        <v>22375</v>
      </c>
      <c r="Z968" s="22">
        <f>IFERROR(__xludf.DUMMYFUNCTION("IFERROR(GOOGLEFINANCE(A968,""volume""),"""")"),2791300.0)</f>
        <v>2791300</v>
      </c>
      <c r="AA968" s="24" t="str">
        <f>VLOOKUP(A968,Metrik!$C$2:$Y$959,5,0)</f>
        <v>Coal</v>
      </c>
      <c r="AB968" s="24" t="str">
        <f>VLOOKUP(A968,Metrik!$C$2:$Y$959,3,0)</f>
        <v>Energy</v>
      </c>
    </row>
    <row r="969">
      <c r="A969" s="14" t="s">
        <v>514</v>
      </c>
      <c r="B969" s="14" t="str">
        <f t="array" ref="B969">VLOOKUP(A969,{Metrik!$C$2:$C$998,Metrik!$B$2:$B$998},2,0)</f>
        <v>Indo Tambangraya Megah Tbk.</v>
      </c>
      <c r="C969" s="15">
        <f>IFERROR(__xludf.DUMMYFUNCTION("GOOGLEFINANCE(""IDX:""&amp;A969,""price"")"),23475.0)</f>
        <v>23475</v>
      </c>
      <c r="D969" s="16" t="str">
        <f>IFERROR(__xludf.DUMMYFUNCTION("IF(A969="""","""",
SPARKLINE(
INDEX(
GOOGLEFINANCE(""IDX:""&amp;A969,""close"",TODAY()-365,TODAY()),
,2
),
{""linewidth"",1}
))
"),"#N/A")</f>
        <v>#N/A</v>
      </c>
      <c r="E969" s="14" t="s">
        <v>42</v>
      </c>
      <c r="F969" s="25">
        <v>46356.0</v>
      </c>
      <c r="G969" s="28">
        <f t="shared" si="7"/>
        <v>12</v>
      </c>
      <c r="H969" s="19">
        <f>VLOOKUP(A969,Metrik!$C$2:$Y$959,8,0)</f>
        <v>8.2</v>
      </c>
      <c r="I969" s="20">
        <f>VLOOKUP(A969,Metrik!$C$2:$Y$959,9,0)</f>
        <v>0.76</v>
      </c>
      <c r="J969" s="20">
        <f>VLOOKUP(A969,Metrik!$C$2:$Y$959,10,0)</f>
        <v>9.3</v>
      </c>
      <c r="K969" s="20">
        <f>VLOOKUP(A969,Metrik!$C$2:$Y$959,11,0)</f>
        <v>7.5</v>
      </c>
      <c r="L969" s="20">
        <f>VLOOKUP(A969,Metrik!$C$2:$Y$959,12,0)</f>
        <v>0.25</v>
      </c>
      <c r="M969" s="20">
        <f>VLOOKUP(A969,Metrik!$C$2:$Y$959,19,0)</f>
        <v>36.2</v>
      </c>
      <c r="N969" s="21"/>
      <c r="O969" s="21"/>
      <c r="P969" s="21"/>
      <c r="Q969" s="21"/>
      <c r="R969" s="21"/>
      <c r="S969" s="21"/>
      <c r="T969" s="21"/>
      <c r="U969" s="22">
        <f>IFERROR(__xludf.DUMMYFUNCTION("IFERROR(GOOGLEFINANCE(A969,""closeyest""),"""")"),22350.0)</f>
        <v>22350</v>
      </c>
      <c r="V969" s="23">
        <f>IFERROR(__xludf.DUMMYFUNCTION("IFERROR(GOOGLEFINANCE(A969,""changepct""),"""")"),5.03)</f>
        <v>5.03</v>
      </c>
      <c r="W969" s="22">
        <f>IFERROR(__xludf.DUMMYFUNCTION("IFERROR(GOOGLEFINANCE(A969,""priceopen""),"""")"),22375.0)</f>
        <v>22375</v>
      </c>
      <c r="X969" s="22">
        <f>IFERROR(__xludf.DUMMYFUNCTION("IFERROR(GOOGLEFINANCE(A969,""high""),"""")"),23775.0)</f>
        <v>23775</v>
      </c>
      <c r="Y969" s="22">
        <f>IFERROR(__xludf.DUMMYFUNCTION("IFERROR(GOOGLEFINANCE(A969,""low""),"""")"),22375.0)</f>
        <v>22375</v>
      </c>
      <c r="Z969" s="22">
        <f>IFERROR(__xludf.DUMMYFUNCTION("IFERROR(GOOGLEFINANCE(A969,""volume""),"""")"),2791300.0)</f>
        <v>2791300</v>
      </c>
      <c r="AA969" s="24" t="str">
        <f>VLOOKUP(A969,Metrik!$C$2:$Y$959,5,0)</f>
        <v>Coal</v>
      </c>
      <c r="AB969" s="24" t="str">
        <f>VLOOKUP(A969,Metrik!$C$2:$Y$959,3,0)</f>
        <v>Energy</v>
      </c>
    </row>
    <row r="970">
      <c r="A970" s="14" t="s">
        <v>514</v>
      </c>
      <c r="B970" s="14" t="str">
        <f t="array" ref="B970">VLOOKUP(A970,{Metrik!$C$2:$C$998,Metrik!$B$2:$B$998},2,0)</f>
        <v>Indo Tambangraya Megah Tbk.</v>
      </c>
      <c r="C970" s="15">
        <f>IFERROR(__xludf.DUMMYFUNCTION("GOOGLEFINANCE(""IDX:""&amp;A970,""price"")"),23475.0)</f>
        <v>23475</v>
      </c>
      <c r="D970" s="16" t="str">
        <f>IFERROR(__xludf.DUMMYFUNCTION("IF(A970="""","""",
SPARKLINE(
INDEX(
GOOGLEFINANCE(""IDX:""&amp;A970,""close"",TODAY()-365,TODAY()),
,2
),
{""linewidth"",1}
))
"),"#N/A")</f>
        <v>#N/A</v>
      </c>
      <c r="E970" s="14" t="s">
        <v>68</v>
      </c>
      <c r="F970" s="14" t="s">
        <v>34</v>
      </c>
      <c r="G970" s="28">
        <f t="shared" si="7"/>
        <v>12</v>
      </c>
      <c r="H970" s="19">
        <f>VLOOKUP(A970,Metrik!$C$2:$Y$959,8,0)</f>
        <v>8.2</v>
      </c>
      <c r="I970" s="20">
        <f>VLOOKUP(A970,Metrik!$C$2:$Y$959,9,0)</f>
        <v>0.76</v>
      </c>
      <c r="J970" s="20">
        <f>VLOOKUP(A970,Metrik!$C$2:$Y$959,10,0)</f>
        <v>9.3</v>
      </c>
      <c r="K970" s="20">
        <f>VLOOKUP(A970,Metrik!$C$2:$Y$959,11,0)</f>
        <v>7.5</v>
      </c>
      <c r="L970" s="20">
        <f>VLOOKUP(A970,Metrik!$C$2:$Y$959,12,0)</f>
        <v>0.25</v>
      </c>
      <c r="M970" s="20">
        <f>VLOOKUP(A970,Metrik!$C$2:$Y$959,19,0)</f>
        <v>36.2</v>
      </c>
      <c r="N970" s="21"/>
      <c r="O970" s="21"/>
      <c r="P970" s="21"/>
      <c r="Q970" s="21"/>
      <c r="R970" s="21"/>
      <c r="S970" s="21"/>
      <c r="T970" s="21"/>
      <c r="U970" s="22">
        <f>IFERROR(__xludf.DUMMYFUNCTION("IFERROR(GOOGLEFINANCE(A970,""closeyest""),"""")"),22350.0)</f>
        <v>22350</v>
      </c>
      <c r="V970" s="23">
        <f>IFERROR(__xludf.DUMMYFUNCTION("IFERROR(GOOGLEFINANCE(A970,""changepct""),"""")"),5.03)</f>
        <v>5.03</v>
      </c>
      <c r="W970" s="22">
        <f>IFERROR(__xludf.DUMMYFUNCTION("IFERROR(GOOGLEFINANCE(A970,""priceopen""),"""")"),22375.0)</f>
        <v>22375</v>
      </c>
      <c r="X970" s="22">
        <f>IFERROR(__xludf.DUMMYFUNCTION("IFERROR(GOOGLEFINANCE(A970,""high""),"""")"),23775.0)</f>
        <v>23775</v>
      </c>
      <c r="Y970" s="22">
        <f>IFERROR(__xludf.DUMMYFUNCTION("IFERROR(GOOGLEFINANCE(A970,""low""),"""")"),22375.0)</f>
        <v>22375</v>
      </c>
      <c r="Z970" s="22">
        <f>IFERROR(__xludf.DUMMYFUNCTION("IFERROR(GOOGLEFINANCE(A970,""volume""),"""")"),2791300.0)</f>
        <v>2791300</v>
      </c>
      <c r="AA970" s="24" t="str">
        <f>VLOOKUP(A970,Metrik!$C$2:$Y$959,5,0)</f>
        <v>Coal</v>
      </c>
      <c r="AB970" s="24" t="str">
        <f>VLOOKUP(A970,Metrik!$C$2:$Y$959,3,0)</f>
        <v>Energy</v>
      </c>
    </row>
    <row r="971">
      <c r="A971" s="14" t="s">
        <v>514</v>
      </c>
      <c r="B971" s="14" t="str">
        <f t="array" ref="B971">VLOOKUP(A971,{Metrik!$C$2:$C$998,Metrik!$B$2:$B$998},2,0)</f>
        <v>Indo Tambangraya Megah Tbk.</v>
      </c>
      <c r="C971" s="15">
        <f>IFERROR(__xludf.DUMMYFUNCTION("GOOGLEFINANCE(""IDX:""&amp;A971,""price"")"),23475.0)</f>
        <v>23475</v>
      </c>
      <c r="D971" s="16" t="str">
        <f>IFERROR(__xludf.DUMMYFUNCTION("IF(A971="""","""",
SPARKLINE(
INDEX(
GOOGLEFINANCE(""IDX:""&amp;A971,""close"",TODAY()-365,TODAY()),
,2
),
{""linewidth"",1}
))
"),"#N/A")</f>
        <v>#N/A</v>
      </c>
      <c r="E971" s="14" t="s">
        <v>28</v>
      </c>
      <c r="F971" s="17" t="s">
        <v>29</v>
      </c>
      <c r="G971" s="28">
        <f t="shared" si="7"/>
        <v>12</v>
      </c>
      <c r="H971" s="19">
        <f>VLOOKUP(A971,Metrik!$C$2:$Y$959,8,0)</f>
        <v>8.2</v>
      </c>
      <c r="I971" s="20">
        <f>VLOOKUP(A971,Metrik!$C$2:$Y$959,9,0)</f>
        <v>0.76</v>
      </c>
      <c r="J971" s="20">
        <f>VLOOKUP(A971,Metrik!$C$2:$Y$959,10,0)</f>
        <v>9.3</v>
      </c>
      <c r="K971" s="20">
        <f>VLOOKUP(A971,Metrik!$C$2:$Y$959,11,0)</f>
        <v>7.5</v>
      </c>
      <c r="L971" s="20">
        <f>VLOOKUP(A971,Metrik!$C$2:$Y$959,12,0)</f>
        <v>0.25</v>
      </c>
      <c r="M971" s="20">
        <f>VLOOKUP(A971,Metrik!$C$2:$Y$959,19,0)</f>
        <v>36.2</v>
      </c>
      <c r="N971" s="21"/>
      <c r="O971" s="21"/>
      <c r="P971" s="21"/>
      <c r="Q971" s="21"/>
      <c r="R971" s="21"/>
      <c r="S971" s="21"/>
      <c r="T971" s="21"/>
      <c r="U971" s="22">
        <f>IFERROR(__xludf.DUMMYFUNCTION("IFERROR(GOOGLEFINANCE(A971,""closeyest""),"""")"),22350.0)</f>
        <v>22350</v>
      </c>
      <c r="V971" s="23">
        <f>IFERROR(__xludf.DUMMYFUNCTION("IFERROR(GOOGLEFINANCE(A971,""changepct""),"""")"),5.03)</f>
        <v>5.03</v>
      </c>
      <c r="W971" s="22">
        <f>IFERROR(__xludf.DUMMYFUNCTION("IFERROR(GOOGLEFINANCE(A971,""priceopen""),"""")"),22375.0)</f>
        <v>22375</v>
      </c>
      <c r="X971" s="22">
        <f>IFERROR(__xludf.DUMMYFUNCTION("IFERROR(GOOGLEFINANCE(A971,""high""),"""")"),23775.0)</f>
        <v>23775</v>
      </c>
      <c r="Y971" s="22">
        <f>IFERROR(__xludf.DUMMYFUNCTION("IFERROR(GOOGLEFINANCE(A971,""low""),"""")"),22375.0)</f>
        <v>22375</v>
      </c>
      <c r="Z971" s="22">
        <f>IFERROR(__xludf.DUMMYFUNCTION("IFERROR(GOOGLEFINANCE(A971,""volume""),"""")"),2791300.0)</f>
        <v>2791300</v>
      </c>
      <c r="AA971" s="24" t="str">
        <f>VLOOKUP(A971,Metrik!$C$2:$Y$959,5,0)</f>
        <v>Coal</v>
      </c>
      <c r="AB971" s="24" t="str">
        <f>VLOOKUP(A971,Metrik!$C$2:$Y$959,3,0)</f>
        <v>Energy</v>
      </c>
    </row>
    <row r="972">
      <c r="A972" s="14" t="s">
        <v>514</v>
      </c>
      <c r="B972" s="14" t="str">
        <f t="array" ref="B972">VLOOKUP(A972,{Metrik!$C$2:$C$998,Metrik!$B$2:$B$998},2,0)</f>
        <v>Indo Tambangraya Megah Tbk.</v>
      </c>
      <c r="C972" s="15">
        <f>IFERROR(__xludf.DUMMYFUNCTION("GOOGLEFINANCE(""IDX:""&amp;A972,""price"")"),23475.0)</f>
        <v>23475</v>
      </c>
      <c r="D972" s="16" t="str">
        <f>IFERROR(__xludf.DUMMYFUNCTION("IF(A972="""","""",
SPARKLINE(
INDEX(
GOOGLEFINANCE(""IDX:""&amp;A972,""close"",TODAY()-365,TODAY()),
,2
),
{""linewidth"",1}
))
"),"#N/A")</f>
        <v>#N/A</v>
      </c>
      <c r="E972" s="14" t="s">
        <v>48</v>
      </c>
      <c r="F972" s="14" t="s">
        <v>49</v>
      </c>
      <c r="G972" s="28">
        <f t="shared" si="7"/>
        <v>12</v>
      </c>
      <c r="H972" s="19">
        <f>VLOOKUP(A972,Metrik!$C$2:$Y$959,8,0)</f>
        <v>8.2</v>
      </c>
      <c r="I972" s="20">
        <f>VLOOKUP(A972,Metrik!$C$2:$Y$959,9,0)</f>
        <v>0.76</v>
      </c>
      <c r="J972" s="20">
        <f>VLOOKUP(A972,Metrik!$C$2:$Y$959,10,0)</f>
        <v>9.3</v>
      </c>
      <c r="K972" s="20">
        <f>VLOOKUP(A972,Metrik!$C$2:$Y$959,11,0)</f>
        <v>7.5</v>
      </c>
      <c r="L972" s="20">
        <f>VLOOKUP(A972,Metrik!$C$2:$Y$959,12,0)</f>
        <v>0.25</v>
      </c>
      <c r="M972" s="20">
        <f>VLOOKUP(A972,Metrik!$C$2:$Y$959,19,0)</f>
        <v>36.2</v>
      </c>
      <c r="N972" s="21"/>
      <c r="O972" s="21"/>
      <c r="P972" s="21"/>
      <c r="Q972" s="21"/>
      <c r="R972" s="21"/>
      <c r="S972" s="21"/>
      <c r="T972" s="21"/>
      <c r="U972" s="22">
        <f>IFERROR(__xludf.DUMMYFUNCTION("IFERROR(GOOGLEFINANCE(A972,""closeyest""),"""")"),22350.0)</f>
        <v>22350</v>
      </c>
      <c r="V972" s="23">
        <f>IFERROR(__xludf.DUMMYFUNCTION("IFERROR(GOOGLEFINANCE(A972,""changepct""),"""")"),5.03)</f>
        <v>5.03</v>
      </c>
      <c r="W972" s="22">
        <f>IFERROR(__xludf.DUMMYFUNCTION("IFERROR(GOOGLEFINANCE(A972,""priceopen""),"""")"),22375.0)</f>
        <v>22375</v>
      </c>
      <c r="X972" s="22">
        <f>IFERROR(__xludf.DUMMYFUNCTION("IFERROR(GOOGLEFINANCE(A972,""high""),"""")"),23775.0)</f>
        <v>23775</v>
      </c>
      <c r="Y972" s="22">
        <f>IFERROR(__xludf.DUMMYFUNCTION("IFERROR(GOOGLEFINANCE(A972,""low""),"""")"),22375.0)</f>
        <v>22375</v>
      </c>
      <c r="Z972" s="22">
        <f>IFERROR(__xludf.DUMMYFUNCTION("IFERROR(GOOGLEFINANCE(A972,""volume""),"""")"),2791300.0)</f>
        <v>2791300</v>
      </c>
      <c r="AA972" s="24" t="str">
        <f>VLOOKUP(A972,Metrik!$C$2:$Y$959,5,0)</f>
        <v>Coal</v>
      </c>
      <c r="AB972" s="24" t="str">
        <f>VLOOKUP(A972,Metrik!$C$2:$Y$959,3,0)</f>
        <v>Energy</v>
      </c>
    </row>
    <row r="973">
      <c r="A973" s="14" t="s">
        <v>514</v>
      </c>
      <c r="B973" s="14" t="str">
        <f t="array" ref="B973">VLOOKUP(A973,{Metrik!$C$2:$C$998,Metrik!$B$2:$B$998},2,0)</f>
        <v>Indo Tambangraya Megah Tbk.</v>
      </c>
      <c r="C973" s="15">
        <f>IFERROR(__xludf.DUMMYFUNCTION("GOOGLEFINANCE(""IDX:""&amp;A973,""price"")"),23475.0)</f>
        <v>23475</v>
      </c>
      <c r="D973" s="16" t="str">
        <f>IFERROR(__xludf.DUMMYFUNCTION("IF(A973="""","""",
SPARKLINE(
INDEX(
GOOGLEFINANCE(""IDX:""&amp;A973,""close"",TODAY()-365,TODAY()),
,2
),
{""linewidth"",1}
))
"),"#N/A")</f>
        <v>#N/A</v>
      </c>
      <c r="E973" s="14" t="s">
        <v>102</v>
      </c>
      <c r="F973" s="27" t="s">
        <v>53</v>
      </c>
      <c r="G973" s="28">
        <f t="shared" si="7"/>
        <v>12</v>
      </c>
      <c r="H973" s="19">
        <f>VLOOKUP(A973,Metrik!$C$2:$Y$959,8,0)</f>
        <v>8.2</v>
      </c>
      <c r="I973" s="20">
        <f>VLOOKUP(A973,Metrik!$C$2:$Y$959,9,0)</f>
        <v>0.76</v>
      </c>
      <c r="J973" s="20">
        <f>VLOOKUP(A973,Metrik!$C$2:$Y$959,10,0)</f>
        <v>9.3</v>
      </c>
      <c r="K973" s="20">
        <f>VLOOKUP(A973,Metrik!$C$2:$Y$959,11,0)</f>
        <v>7.5</v>
      </c>
      <c r="L973" s="20">
        <f>VLOOKUP(A973,Metrik!$C$2:$Y$959,12,0)</f>
        <v>0.25</v>
      </c>
      <c r="M973" s="20">
        <f>VLOOKUP(A973,Metrik!$C$2:$Y$959,19,0)</f>
        <v>36.2</v>
      </c>
      <c r="N973" s="21"/>
      <c r="O973" s="21"/>
      <c r="P973" s="21"/>
      <c r="Q973" s="21"/>
      <c r="R973" s="21"/>
      <c r="S973" s="21"/>
      <c r="T973" s="21"/>
      <c r="U973" s="22">
        <f>IFERROR(__xludf.DUMMYFUNCTION("IFERROR(GOOGLEFINANCE(A973,""closeyest""),"""")"),22350.0)</f>
        <v>22350</v>
      </c>
      <c r="V973" s="23">
        <f>IFERROR(__xludf.DUMMYFUNCTION("IFERROR(GOOGLEFINANCE(A973,""changepct""),"""")"),5.03)</f>
        <v>5.03</v>
      </c>
      <c r="W973" s="22">
        <f>IFERROR(__xludf.DUMMYFUNCTION("IFERROR(GOOGLEFINANCE(A973,""priceopen""),"""")"),22375.0)</f>
        <v>22375</v>
      </c>
      <c r="X973" s="22">
        <f>IFERROR(__xludf.DUMMYFUNCTION("IFERROR(GOOGLEFINANCE(A973,""high""),"""")"),23775.0)</f>
        <v>23775</v>
      </c>
      <c r="Y973" s="22">
        <f>IFERROR(__xludf.DUMMYFUNCTION("IFERROR(GOOGLEFINANCE(A973,""low""),"""")"),22375.0)</f>
        <v>22375</v>
      </c>
      <c r="Z973" s="22">
        <f>IFERROR(__xludf.DUMMYFUNCTION("IFERROR(GOOGLEFINANCE(A973,""volume""),"""")"),2791300.0)</f>
        <v>2791300</v>
      </c>
      <c r="AA973" s="24" t="str">
        <f>VLOOKUP(A973,Metrik!$C$2:$Y$959,5,0)</f>
        <v>Coal</v>
      </c>
      <c r="AB973" s="24" t="str">
        <f>VLOOKUP(A973,Metrik!$C$2:$Y$959,3,0)</f>
        <v>Energy</v>
      </c>
    </row>
    <row r="974">
      <c r="A974" s="14" t="s">
        <v>514</v>
      </c>
      <c r="B974" s="14" t="str">
        <f t="array" ref="B974">VLOOKUP(A974,{Metrik!$C$2:$C$998,Metrik!$B$2:$B$998},2,0)</f>
        <v>Indo Tambangraya Megah Tbk.</v>
      </c>
      <c r="C974" s="15">
        <f>IFERROR(__xludf.DUMMYFUNCTION("GOOGLEFINANCE(""IDX:""&amp;A974,""price"")"),23475.0)</f>
        <v>23475</v>
      </c>
      <c r="D974" s="16" t="str">
        <f>IFERROR(__xludf.DUMMYFUNCTION("IF(A974="""","""",
SPARKLINE(
INDEX(
GOOGLEFINANCE(""IDX:""&amp;A974,""close"",TODAY()-365,TODAY()),
,2
),
{""linewidth"",1}
))
"),"#N/A")</f>
        <v>#N/A</v>
      </c>
      <c r="E974" s="14" t="s">
        <v>31</v>
      </c>
      <c r="F974" s="17" t="s">
        <v>29</v>
      </c>
      <c r="G974" s="28">
        <f t="shared" si="7"/>
        <v>12</v>
      </c>
      <c r="H974" s="19">
        <f>VLOOKUP(A974,Metrik!$C$2:$Y$959,8,0)</f>
        <v>8.2</v>
      </c>
      <c r="I974" s="20">
        <f>VLOOKUP(A974,Metrik!$C$2:$Y$959,9,0)</f>
        <v>0.76</v>
      </c>
      <c r="J974" s="20">
        <f>VLOOKUP(A974,Metrik!$C$2:$Y$959,10,0)</f>
        <v>9.3</v>
      </c>
      <c r="K974" s="20">
        <f>VLOOKUP(A974,Metrik!$C$2:$Y$959,11,0)</f>
        <v>7.5</v>
      </c>
      <c r="L974" s="20">
        <f>VLOOKUP(A974,Metrik!$C$2:$Y$959,12,0)</f>
        <v>0.25</v>
      </c>
      <c r="M974" s="20">
        <f>VLOOKUP(A974,Metrik!$C$2:$Y$959,19,0)</f>
        <v>36.2</v>
      </c>
      <c r="N974" s="21"/>
      <c r="O974" s="21"/>
      <c r="P974" s="21"/>
      <c r="Q974" s="21"/>
      <c r="R974" s="21"/>
      <c r="S974" s="21"/>
      <c r="T974" s="21"/>
      <c r="U974" s="22">
        <f>IFERROR(__xludf.DUMMYFUNCTION("IFERROR(GOOGLEFINANCE(A974,""closeyest""),"""")"),22350.0)</f>
        <v>22350</v>
      </c>
      <c r="V974" s="23">
        <f>IFERROR(__xludf.DUMMYFUNCTION("IFERROR(GOOGLEFINANCE(A974,""changepct""),"""")"),5.03)</f>
        <v>5.03</v>
      </c>
      <c r="W974" s="22">
        <f>IFERROR(__xludf.DUMMYFUNCTION("IFERROR(GOOGLEFINANCE(A974,""priceopen""),"""")"),22375.0)</f>
        <v>22375</v>
      </c>
      <c r="X974" s="22">
        <f>IFERROR(__xludf.DUMMYFUNCTION("IFERROR(GOOGLEFINANCE(A974,""high""),"""")"),23775.0)</f>
        <v>23775</v>
      </c>
      <c r="Y974" s="22">
        <f>IFERROR(__xludf.DUMMYFUNCTION("IFERROR(GOOGLEFINANCE(A974,""low""),"""")"),22375.0)</f>
        <v>22375</v>
      </c>
      <c r="Z974" s="22">
        <f>IFERROR(__xludf.DUMMYFUNCTION("IFERROR(GOOGLEFINANCE(A974,""volume""),"""")"),2791300.0)</f>
        <v>2791300</v>
      </c>
      <c r="AA974" s="24" t="str">
        <f>VLOOKUP(A974,Metrik!$C$2:$Y$959,5,0)</f>
        <v>Coal</v>
      </c>
      <c r="AB974" s="24" t="str">
        <f>VLOOKUP(A974,Metrik!$C$2:$Y$959,3,0)</f>
        <v>Energy</v>
      </c>
    </row>
    <row r="975">
      <c r="A975" s="14" t="s">
        <v>514</v>
      </c>
      <c r="B975" s="14" t="str">
        <f t="array" ref="B975">VLOOKUP(A975,{Metrik!$C$2:$C$998,Metrik!$B$2:$B$998},2,0)</f>
        <v>Indo Tambangraya Megah Tbk.</v>
      </c>
      <c r="C975" s="15">
        <f>IFERROR(__xludf.DUMMYFUNCTION("GOOGLEFINANCE(""IDX:""&amp;A975,""price"")"),23475.0)</f>
        <v>23475</v>
      </c>
      <c r="D975" s="16" t="str">
        <f>IFERROR(__xludf.DUMMYFUNCTION("IF(A975="""","""",
SPARKLINE(
INDEX(
GOOGLEFINANCE(""IDX:""&amp;A975,""close"",TODAY()-365,TODAY()),
,2
),
{""linewidth"",1}
))
"),"#N/A")</f>
        <v>#N/A</v>
      </c>
      <c r="E975" s="14" t="s">
        <v>32</v>
      </c>
      <c r="F975" s="14" t="s">
        <v>29</v>
      </c>
      <c r="G975" s="28">
        <f t="shared" si="7"/>
        <v>12</v>
      </c>
      <c r="H975" s="19">
        <f>VLOOKUP(A975,Metrik!$C$2:$Y$959,8,0)</f>
        <v>8.2</v>
      </c>
      <c r="I975" s="20">
        <f>VLOOKUP(A975,Metrik!$C$2:$Y$959,9,0)</f>
        <v>0.76</v>
      </c>
      <c r="J975" s="20">
        <f>VLOOKUP(A975,Metrik!$C$2:$Y$959,10,0)</f>
        <v>9.3</v>
      </c>
      <c r="K975" s="20">
        <f>VLOOKUP(A975,Metrik!$C$2:$Y$959,11,0)</f>
        <v>7.5</v>
      </c>
      <c r="L975" s="20">
        <f>VLOOKUP(A975,Metrik!$C$2:$Y$959,12,0)</f>
        <v>0.25</v>
      </c>
      <c r="M975" s="20">
        <f>VLOOKUP(A975,Metrik!$C$2:$Y$959,19,0)</f>
        <v>36.2</v>
      </c>
      <c r="N975" s="21"/>
      <c r="O975" s="21"/>
      <c r="P975" s="21"/>
      <c r="Q975" s="21"/>
      <c r="R975" s="21"/>
      <c r="S975" s="21"/>
      <c r="T975" s="21"/>
      <c r="U975" s="22">
        <f>IFERROR(__xludf.DUMMYFUNCTION("IFERROR(GOOGLEFINANCE(A975,""closeyest""),"""")"),22350.0)</f>
        <v>22350</v>
      </c>
      <c r="V975" s="23">
        <f>IFERROR(__xludf.DUMMYFUNCTION("IFERROR(GOOGLEFINANCE(A975,""changepct""),"""")"),5.03)</f>
        <v>5.03</v>
      </c>
      <c r="W975" s="22">
        <f>IFERROR(__xludf.DUMMYFUNCTION("IFERROR(GOOGLEFINANCE(A975,""priceopen""),"""")"),22375.0)</f>
        <v>22375</v>
      </c>
      <c r="X975" s="22">
        <f>IFERROR(__xludf.DUMMYFUNCTION("IFERROR(GOOGLEFINANCE(A975,""high""),"""")"),23775.0)</f>
        <v>23775</v>
      </c>
      <c r="Y975" s="22">
        <f>IFERROR(__xludf.DUMMYFUNCTION("IFERROR(GOOGLEFINANCE(A975,""low""),"""")"),22375.0)</f>
        <v>22375</v>
      </c>
      <c r="Z975" s="22">
        <f>IFERROR(__xludf.DUMMYFUNCTION("IFERROR(GOOGLEFINANCE(A975,""volume""),"""")"),2791300.0)</f>
        <v>2791300</v>
      </c>
      <c r="AA975" s="24" t="str">
        <f>VLOOKUP(A975,Metrik!$C$2:$Y$959,5,0)</f>
        <v>Coal</v>
      </c>
      <c r="AB975" s="24" t="str">
        <f>VLOOKUP(A975,Metrik!$C$2:$Y$959,3,0)</f>
        <v>Energy</v>
      </c>
    </row>
    <row r="976">
      <c r="A976" s="14" t="s">
        <v>514</v>
      </c>
      <c r="B976" s="14" t="str">
        <f t="array" ref="B976">VLOOKUP(A976,{Metrik!$C$2:$C$998,Metrik!$B$2:$B$998},2,0)</f>
        <v>Indo Tambangraya Megah Tbk.</v>
      </c>
      <c r="C976" s="15">
        <f>IFERROR(__xludf.DUMMYFUNCTION("GOOGLEFINANCE(""IDX:""&amp;A976,""price"")"),23475.0)</f>
        <v>23475</v>
      </c>
      <c r="D976" s="16" t="str">
        <f>IFERROR(__xludf.DUMMYFUNCTION("IF(A976="""","""",
SPARKLINE(
INDEX(
GOOGLEFINANCE(""IDX:""&amp;A976,""close"",TODAY()-365,TODAY()),
,2
),
{""linewidth"",1}
))
"),"#N/A")</f>
        <v>#N/A</v>
      </c>
      <c r="E976" s="14" t="s">
        <v>33</v>
      </c>
      <c r="F976" s="14" t="s">
        <v>34</v>
      </c>
      <c r="G976" s="28">
        <f t="shared" si="7"/>
        <v>12</v>
      </c>
      <c r="H976" s="19">
        <f>VLOOKUP(A976,Metrik!$C$2:$Y$959,8,0)</f>
        <v>8.2</v>
      </c>
      <c r="I976" s="20">
        <f>VLOOKUP(A976,Metrik!$C$2:$Y$959,9,0)</f>
        <v>0.76</v>
      </c>
      <c r="J976" s="20">
        <f>VLOOKUP(A976,Metrik!$C$2:$Y$959,10,0)</f>
        <v>9.3</v>
      </c>
      <c r="K976" s="20">
        <f>VLOOKUP(A976,Metrik!$C$2:$Y$959,11,0)</f>
        <v>7.5</v>
      </c>
      <c r="L976" s="20">
        <f>VLOOKUP(A976,Metrik!$C$2:$Y$959,12,0)</f>
        <v>0.25</v>
      </c>
      <c r="M976" s="20">
        <f>VLOOKUP(A976,Metrik!$C$2:$Y$959,19,0)</f>
        <v>36.2</v>
      </c>
      <c r="N976" s="21"/>
      <c r="O976" s="21"/>
      <c r="P976" s="21"/>
      <c r="Q976" s="21"/>
      <c r="R976" s="21"/>
      <c r="S976" s="21"/>
      <c r="T976" s="21"/>
      <c r="U976" s="22">
        <f>IFERROR(__xludf.DUMMYFUNCTION("IFERROR(GOOGLEFINANCE(A976,""closeyest""),"""")"),22350.0)</f>
        <v>22350</v>
      </c>
      <c r="V976" s="23">
        <f>IFERROR(__xludf.DUMMYFUNCTION("IFERROR(GOOGLEFINANCE(A976,""changepct""),"""")"),5.03)</f>
        <v>5.03</v>
      </c>
      <c r="W976" s="22">
        <f>IFERROR(__xludf.DUMMYFUNCTION("IFERROR(GOOGLEFINANCE(A976,""priceopen""),"""")"),22375.0)</f>
        <v>22375</v>
      </c>
      <c r="X976" s="22">
        <f>IFERROR(__xludf.DUMMYFUNCTION("IFERROR(GOOGLEFINANCE(A976,""high""),"""")"),23775.0)</f>
        <v>23775</v>
      </c>
      <c r="Y976" s="22">
        <f>IFERROR(__xludf.DUMMYFUNCTION("IFERROR(GOOGLEFINANCE(A976,""low""),"""")"),22375.0)</f>
        <v>22375</v>
      </c>
      <c r="Z976" s="22">
        <f>IFERROR(__xludf.DUMMYFUNCTION("IFERROR(GOOGLEFINANCE(A976,""volume""),"""")"),2791300.0)</f>
        <v>2791300</v>
      </c>
      <c r="AA976" s="24" t="str">
        <f>VLOOKUP(A976,Metrik!$C$2:$Y$959,5,0)</f>
        <v>Coal</v>
      </c>
      <c r="AB976" s="24" t="str">
        <f>VLOOKUP(A976,Metrik!$C$2:$Y$959,3,0)</f>
        <v>Energy</v>
      </c>
    </row>
    <row r="977">
      <c r="A977" s="14" t="s">
        <v>514</v>
      </c>
      <c r="B977" s="14" t="str">
        <f t="array" ref="B977">VLOOKUP(A977,{Metrik!$C$2:$C$998,Metrik!$B$2:$B$998},2,0)</f>
        <v>Indo Tambangraya Megah Tbk.</v>
      </c>
      <c r="C977" s="15">
        <f>IFERROR(__xludf.DUMMYFUNCTION("GOOGLEFINANCE(""IDX:""&amp;A977,""price"")"),23475.0)</f>
        <v>23475</v>
      </c>
      <c r="D977" s="16" t="str">
        <f>IFERROR(__xludf.DUMMYFUNCTION("IF(A977="""","""",
SPARKLINE(
INDEX(
GOOGLEFINANCE(""IDX:""&amp;A977,""close"",TODAY()-365,TODAY()),
,2
),
{""linewidth"",1}
))
"),"#N/A")</f>
        <v>#N/A</v>
      </c>
      <c r="E977" s="14" t="s">
        <v>41</v>
      </c>
      <c r="F977" s="14" t="s">
        <v>34</v>
      </c>
      <c r="G977" s="28">
        <f t="shared" si="7"/>
        <v>12</v>
      </c>
      <c r="H977" s="19">
        <f>VLOOKUP(A977,Metrik!$C$2:$Y$959,8,0)</f>
        <v>8.2</v>
      </c>
      <c r="I977" s="20">
        <f>VLOOKUP(A977,Metrik!$C$2:$Y$959,9,0)</f>
        <v>0.76</v>
      </c>
      <c r="J977" s="20">
        <f>VLOOKUP(A977,Metrik!$C$2:$Y$959,10,0)</f>
        <v>9.3</v>
      </c>
      <c r="K977" s="20">
        <f>VLOOKUP(A977,Metrik!$C$2:$Y$959,11,0)</f>
        <v>7.5</v>
      </c>
      <c r="L977" s="20">
        <f>VLOOKUP(A977,Metrik!$C$2:$Y$959,12,0)</f>
        <v>0.25</v>
      </c>
      <c r="M977" s="20">
        <f>VLOOKUP(A977,Metrik!$C$2:$Y$959,19,0)</f>
        <v>36.2</v>
      </c>
      <c r="N977" s="21"/>
      <c r="O977" s="21"/>
      <c r="P977" s="21"/>
      <c r="Q977" s="21"/>
      <c r="R977" s="21"/>
      <c r="S977" s="21"/>
      <c r="T977" s="21"/>
      <c r="U977" s="22">
        <f>IFERROR(__xludf.DUMMYFUNCTION("IFERROR(GOOGLEFINANCE(A977,""closeyest""),"""")"),22350.0)</f>
        <v>22350</v>
      </c>
      <c r="V977" s="23">
        <f>IFERROR(__xludf.DUMMYFUNCTION("IFERROR(GOOGLEFINANCE(A977,""changepct""),"""")"),5.03)</f>
        <v>5.03</v>
      </c>
      <c r="W977" s="22">
        <f>IFERROR(__xludf.DUMMYFUNCTION("IFERROR(GOOGLEFINANCE(A977,""priceopen""),"""")"),22375.0)</f>
        <v>22375</v>
      </c>
      <c r="X977" s="22">
        <f>IFERROR(__xludf.DUMMYFUNCTION("IFERROR(GOOGLEFINANCE(A977,""high""),"""")"),23775.0)</f>
        <v>23775</v>
      </c>
      <c r="Y977" s="22">
        <f>IFERROR(__xludf.DUMMYFUNCTION("IFERROR(GOOGLEFINANCE(A977,""low""),"""")"),22375.0)</f>
        <v>22375</v>
      </c>
      <c r="Z977" s="22">
        <f>IFERROR(__xludf.DUMMYFUNCTION("IFERROR(GOOGLEFINANCE(A977,""volume""),"""")"),2791300.0)</f>
        <v>2791300</v>
      </c>
      <c r="AA977" s="24" t="str">
        <f>VLOOKUP(A977,Metrik!$C$2:$Y$959,5,0)</f>
        <v>Coal</v>
      </c>
      <c r="AB977" s="24" t="str">
        <f>VLOOKUP(A977,Metrik!$C$2:$Y$959,3,0)</f>
        <v>Energy</v>
      </c>
    </row>
    <row r="978">
      <c r="A978" s="17" t="s">
        <v>514</v>
      </c>
      <c r="B978" s="14" t="str">
        <f t="array" ref="B978">VLOOKUP(A978,{Metrik!$C$2:$C$998,Metrik!$B$2:$B$998},2,0)</f>
        <v>Indo Tambangraya Megah Tbk.</v>
      </c>
      <c r="C978" s="15">
        <f>IFERROR(__xludf.DUMMYFUNCTION("GOOGLEFINANCE(""IDX:""&amp;A978,""price"")"),23475.0)</f>
        <v>23475</v>
      </c>
      <c r="D978" s="16" t="str">
        <f>IFERROR(__xludf.DUMMYFUNCTION("IF(A978="""","""",
SPARKLINE(
INDEX(
GOOGLEFINANCE(""IDX:""&amp;A978,""close"",TODAY()-365,TODAY()),
,2
),
{""linewidth"",1}
))
"),"#N/A")</f>
        <v>#N/A</v>
      </c>
      <c r="E978" s="14" t="s">
        <v>35</v>
      </c>
      <c r="F978" s="17" t="s">
        <v>36</v>
      </c>
      <c r="G978" s="38">
        <f t="shared" si="7"/>
        <v>12</v>
      </c>
      <c r="H978" s="34">
        <f>VLOOKUP(A978,Metrik!$C$2:$Y$959,8,0)</f>
        <v>8.2</v>
      </c>
      <c r="I978" s="34">
        <f>VLOOKUP(A978,Metrik!$C$2:$Y$959,9,0)</f>
        <v>0.76</v>
      </c>
      <c r="J978" s="34">
        <f>VLOOKUP(A978,Metrik!$C$2:$Y$959,10,0)</f>
        <v>9.3</v>
      </c>
      <c r="K978" s="34">
        <f>VLOOKUP(A978,Metrik!$C$2:$Y$959,11,0)</f>
        <v>7.5</v>
      </c>
      <c r="L978" s="34">
        <f>VLOOKUP(A978,Metrik!$C$2:$Y$959,12,0)</f>
        <v>0.25</v>
      </c>
      <c r="M978" s="34">
        <f>VLOOKUP(A978,Metrik!$C$2:$Y$959,19,0)</f>
        <v>36.2</v>
      </c>
      <c r="N978" s="26"/>
      <c r="O978" s="26"/>
      <c r="P978" s="26"/>
      <c r="Q978" s="26"/>
      <c r="R978" s="26"/>
      <c r="S978" s="26"/>
      <c r="T978" s="26"/>
      <c r="U978" s="35">
        <f>IFERROR(__xludf.DUMMYFUNCTION("IFERROR(GOOGLEFINANCE(A978,""closeyest""),"""")"),22350.0)</f>
        <v>22350</v>
      </c>
      <c r="V978" s="36">
        <f>IFERROR(__xludf.DUMMYFUNCTION("IFERROR(GOOGLEFINANCE(A978,""changepct""),"""")"),5.03)</f>
        <v>5.03</v>
      </c>
      <c r="W978" s="35">
        <f>IFERROR(__xludf.DUMMYFUNCTION("IFERROR(GOOGLEFINANCE(A978,""priceopen""),"""")"),22375.0)</f>
        <v>22375</v>
      </c>
      <c r="X978" s="35">
        <f>IFERROR(__xludf.DUMMYFUNCTION("IFERROR(GOOGLEFINANCE(A978,""high""),"""")"),23775.0)</f>
        <v>23775</v>
      </c>
      <c r="Y978" s="35">
        <f>IFERROR(__xludf.DUMMYFUNCTION("IFERROR(GOOGLEFINANCE(A978,""low""),"""")"),22375.0)</f>
        <v>22375</v>
      </c>
      <c r="Z978" s="35">
        <f>IFERROR(__xludf.DUMMYFUNCTION("IFERROR(GOOGLEFINANCE(A978,""volume""),"""")"),2791300.0)</f>
        <v>2791300</v>
      </c>
      <c r="AA978" s="14" t="str">
        <f>VLOOKUP(A978,Metrik!$C$2:$Y$959,5,0)</f>
        <v>Coal</v>
      </c>
      <c r="AB978" s="14" t="str">
        <f>VLOOKUP(A978,Metrik!$C$2:$Y$959,3,0)</f>
        <v>Energy</v>
      </c>
    </row>
    <row r="979">
      <c r="A979" s="14" t="s">
        <v>514</v>
      </c>
      <c r="B979" s="14" t="str">
        <f t="array" ref="B979">VLOOKUP(A979,{Metrik!$C$2:$C$998,Metrik!$B$2:$B$998},2,0)</f>
        <v>Indo Tambangraya Megah Tbk.</v>
      </c>
      <c r="C979" s="15">
        <f>IFERROR(__xludf.DUMMYFUNCTION("GOOGLEFINANCE(""IDX:""&amp;A979,""price"")"),23475.0)</f>
        <v>23475</v>
      </c>
      <c r="D979" s="16" t="str">
        <f>IFERROR(__xludf.DUMMYFUNCTION("IF(A979="""","""",
SPARKLINE(
INDEX(
GOOGLEFINANCE(""IDX:""&amp;A979,""close"",TODAY()-365,TODAY()),
,2
),
{""linewidth"",1}
))
"),"#N/A")</f>
        <v>#N/A</v>
      </c>
      <c r="E979" s="14" t="s">
        <v>39</v>
      </c>
      <c r="F979" s="25">
        <v>46356.0</v>
      </c>
      <c r="G979" s="28">
        <f t="shared" si="7"/>
        <v>12</v>
      </c>
      <c r="H979" s="19">
        <f>VLOOKUP(A979,Metrik!$C$2:$Y$959,8,0)</f>
        <v>8.2</v>
      </c>
      <c r="I979" s="20">
        <f>VLOOKUP(A979,Metrik!$C$2:$Y$959,9,0)</f>
        <v>0.76</v>
      </c>
      <c r="J979" s="20">
        <f>VLOOKUP(A979,Metrik!$C$2:$Y$959,10,0)</f>
        <v>9.3</v>
      </c>
      <c r="K979" s="20">
        <f>VLOOKUP(A979,Metrik!$C$2:$Y$959,11,0)</f>
        <v>7.5</v>
      </c>
      <c r="L979" s="20">
        <f>VLOOKUP(A979,Metrik!$C$2:$Y$959,12,0)</f>
        <v>0.25</v>
      </c>
      <c r="M979" s="20">
        <f>VLOOKUP(A979,Metrik!$C$2:$Y$959,19,0)</f>
        <v>36.2</v>
      </c>
      <c r="N979" s="21"/>
      <c r="O979" s="21"/>
      <c r="P979" s="21"/>
      <c r="Q979" s="21"/>
      <c r="R979" s="21"/>
      <c r="S979" s="21"/>
      <c r="T979" s="21"/>
      <c r="U979" s="22">
        <f>IFERROR(__xludf.DUMMYFUNCTION("IFERROR(GOOGLEFINANCE(A979,""closeyest""),"""")"),22350.0)</f>
        <v>22350</v>
      </c>
      <c r="V979" s="23">
        <f>IFERROR(__xludf.DUMMYFUNCTION("IFERROR(GOOGLEFINANCE(A979,""changepct""),"""")"),5.03)</f>
        <v>5.03</v>
      </c>
      <c r="W979" s="22">
        <f>IFERROR(__xludf.DUMMYFUNCTION("IFERROR(GOOGLEFINANCE(A979,""priceopen""),"""")"),22375.0)</f>
        <v>22375</v>
      </c>
      <c r="X979" s="22">
        <f>IFERROR(__xludf.DUMMYFUNCTION("IFERROR(GOOGLEFINANCE(A979,""high""),"""")"),23775.0)</f>
        <v>23775</v>
      </c>
      <c r="Y979" s="22">
        <f>IFERROR(__xludf.DUMMYFUNCTION("IFERROR(GOOGLEFINANCE(A979,""low""),"""")"),22375.0)</f>
        <v>22375</v>
      </c>
      <c r="Z979" s="22">
        <f>IFERROR(__xludf.DUMMYFUNCTION("IFERROR(GOOGLEFINANCE(A979,""volume""),"""")"),2791300.0)</f>
        <v>2791300</v>
      </c>
      <c r="AA979" s="24" t="str">
        <f>VLOOKUP(A979,Metrik!$C$2:$Y$959,5,0)</f>
        <v>Coal</v>
      </c>
      <c r="AB979" s="24" t="str">
        <f>VLOOKUP(A979,Metrik!$C$2:$Y$959,3,0)</f>
        <v>Energy</v>
      </c>
    </row>
    <row r="980">
      <c r="A980" s="14" t="s">
        <v>515</v>
      </c>
      <c r="B980" s="14" t="str">
        <f t="array" ref="B980">VLOOKUP(A980,{Metrik!$C$2:$C$998,Metrik!$B$2:$B$998},2,0)</f>
        <v>Jhonlin Agro Raya Tbk.</v>
      </c>
      <c r="C980" s="15">
        <f>IFERROR(__xludf.DUMMYFUNCTION("GOOGLEFINANCE(""IDX:""&amp;A980,""price"")"),1610.0)</f>
        <v>1610</v>
      </c>
      <c r="D980" s="16" t="str">
        <f>IFERROR(__xludf.DUMMYFUNCTION("IF(A980="""","""",
SPARKLINE(
INDEX(
GOOGLEFINANCE(""IDX:""&amp;A980,""close"",TODAY()-365,TODAY()),
,2
),
{""linewidth"",1}
))
"),"#N/A")</f>
        <v>#N/A</v>
      </c>
      <c r="E980" s="26"/>
      <c r="F980" s="26"/>
      <c r="G980" s="24">
        <f t="shared" si="7"/>
        <v>0</v>
      </c>
      <c r="H980" s="19">
        <f>VLOOKUP(A980,Metrik!$C$2:$Y$959,8,0)</f>
        <v>59.6</v>
      </c>
      <c r="I980" s="20">
        <f>VLOOKUP(A980,Metrik!$C$2:$Y$959,9,0)</f>
        <v>7.6</v>
      </c>
      <c r="J980" s="20">
        <f>VLOOKUP(A980,Metrik!$C$2:$Y$959,10,0)</f>
        <v>12.8</v>
      </c>
      <c r="K980" s="20">
        <f>VLOOKUP(A980,Metrik!$C$2:$Y$959,11,0)</f>
        <v>6.3</v>
      </c>
      <c r="L980" s="20">
        <f>VLOOKUP(A980,Metrik!$C$2:$Y$959,12,0)</f>
        <v>1</v>
      </c>
      <c r="M980" s="20">
        <f>VLOOKUP(A980,Metrik!$C$2:$Y$959,19,0)</f>
        <v>32.2</v>
      </c>
      <c r="N980" s="21"/>
      <c r="O980" s="21"/>
      <c r="P980" s="21"/>
      <c r="Q980" s="21"/>
      <c r="R980" s="21"/>
      <c r="S980" s="21"/>
      <c r="T980" s="21"/>
      <c r="U980" s="22">
        <f>IFERROR(__xludf.DUMMYFUNCTION("IFERROR(GOOGLEFINANCE(A980,""closeyest""),"""")"),1515.0)</f>
        <v>1515</v>
      </c>
      <c r="V980" s="23" t="str">
        <f>IFERROR(__xludf.DUMMYFUNCTION("IFERROR(GOOGLEFINANCE(A980,""changepct""),"""")"),"")</f>
        <v/>
      </c>
      <c r="W980" s="22">
        <f>IFERROR(__xludf.DUMMYFUNCTION("IFERROR(GOOGLEFINANCE(A980,""priceopen""),"""")"),1520.0)</f>
        <v>1520</v>
      </c>
      <c r="X980" s="22">
        <f>IFERROR(__xludf.DUMMYFUNCTION("IFERROR(GOOGLEFINANCE(A980,""high""),"""")"),1675.0)</f>
        <v>1675</v>
      </c>
      <c r="Y980" s="22" t="str">
        <f>IFERROR(__xludf.DUMMYFUNCTION("IFERROR(GOOGLEFINANCE(A980,""low""),"""")"),"")</f>
        <v/>
      </c>
      <c r="Z980" s="22">
        <f>IFERROR(__xludf.DUMMYFUNCTION("IFERROR(GOOGLEFINANCE(A980,""volume""),"""")"),1607200.0)</f>
        <v>1607200</v>
      </c>
      <c r="AA980" s="24" t="str">
        <f>VLOOKUP(A980,Metrik!$C$2:$Y$959,5,0)</f>
        <v>Agricultural Products</v>
      </c>
      <c r="AB980" s="24" t="str">
        <f>VLOOKUP(A980,Metrik!$C$2:$Y$959,3,0)</f>
        <v>Consumer Non-Cyclicals</v>
      </c>
    </row>
    <row r="981">
      <c r="A981" s="14" t="s">
        <v>516</v>
      </c>
      <c r="B981" s="14" t="str">
        <f t="array" ref="B981">VLOOKUP(A981,{Metrik!$C$2:$C$998,Metrik!$B$2:$B$998},2,0)</f>
        <v>Jasnita Telekomindo Tbk.</v>
      </c>
      <c r="C981" s="15">
        <f>IFERROR(__xludf.DUMMYFUNCTION("GOOGLEFINANCE(""IDX:""&amp;A981,""price"")"),80.0)</f>
        <v>80</v>
      </c>
      <c r="D981" s="16" t="str">
        <f>IFERROR(__xludf.DUMMYFUNCTION("IF(A981="""","""",
SPARKLINE(
INDEX(
GOOGLEFINANCE(""IDX:""&amp;A981,""close"",TODAY()-365,TODAY()),
,2
),
{""linewidth"",1}
))
"),"#N/A")</f>
        <v>#N/A</v>
      </c>
      <c r="E981" s="26"/>
      <c r="F981" s="26"/>
      <c r="G981" s="24">
        <f t="shared" si="7"/>
        <v>0</v>
      </c>
      <c r="H981" s="19">
        <f>VLOOKUP(A981,Metrik!$C$2:$Y$959,8,0)</f>
        <v>-26.2</v>
      </c>
      <c r="I981" s="20">
        <f>VLOOKUP(A981,Metrik!$C$2:$Y$959,9,0)</f>
        <v>1</v>
      </c>
      <c r="J981" s="20">
        <f>VLOOKUP(A981,Metrik!$C$2:$Y$959,10,0)</f>
        <v>-3.8</v>
      </c>
      <c r="K981" s="20">
        <f>VLOOKUP(A981,Metrik!$C$2:$Y$959,11,0)</f>
        <v>-2</v>
      </c>
      <c r="L981" s="20">
        <f>VLOOKUP(A981,Metrik!$C$2:$Y$959,12,0)</f>
        <v>0.9</v>
      </c>
      <c r="M981" s="20">
        <f>VLOOKUP(A981,Metrik!$C$2:$Y$959,19,0)</f>
        <v>-6.3</v>
      </c>
      <c r="N981" s="21"/>
      <c r="O981" s="21"/>
      <c r="P981" s="21"/>
      <c r="Q981" s="21"/>
      <c r="R981" s="21"/>
      <c r="S981" s="21"/>
      <c r="T981" s="21"/>
      <c r="U981" s="22">
        <f>IFERROR(__xludf.DUMMYFUNCTION("IFERROR(GOOGLEFINANCE(A981,""closeyest""),"""")"),73.0)</f>
        <v>73</v>
      </c>
      <c r="V981" s="23">
        <f>IFERROR(__xludf.DUMMYFUNCTION("IFERROR(GOOGLEFINANCE(A981,""changepct""),"""")"),9.59)</f>
        <v>9.59</v>
      </c>
      <c r="W981" s="22">
        <f>IFERROR(__xludf.DUMMYFUNCTION("IFERROR(GOOGLEFINANCE(A981,""priceopen""),"""")"),73.0)</f>
        <v>73</v>
      </c>
      <c r="X981" s="22">
        <f>IFERROR(__xludf.DUMMYFUNCTION("IFERROR(GOOGLEFINANCE(A981,""high""),"""")"),81.0)</f>
        <v>81</v>
      </c>
      <c r="Y981" s="22">
        <f>IFERROR(__xludf.DUMMYFUNCTION("IFERROR(GOOGLEFINANCE(A981,""low""),"""")"),73.0)</f>
        <v>73</v>
      </c>
      <c r="Z981" s="22">
        <f>IFERROR(__xludf.DUMMYFUNCTION("IFERROR(GOOGLEFINANCE(A981,""volume""),"""")"),1.04917E7)</f>
        <v>10491700</v>
      </c>
      <c r="AA981" s="24" t="str">
        <f>VLOOKUP(A981,Metrik!$C$2:$Y$959,5,0)</f>
        <v>Telecommunication Service</v>
      </c>
      <c r="AB981" s="24" t="str">
        <f>VLOOKUP(A981,Metrik!$C$2:$Y$959,3,0)</f>
        <v>Infrastructures</v>
      </c>
    </row>
    <row r="982">
      <c r="A982" s="14" t="s">
        <v>517</v>
      </c>
      <c r="B982" s="14" t="str">
        <f t="array" ref="B982">VLOOKUP(A982,{Metrik!$C$2:$C$998,Metrik!$B$2:$B$998},2,0)</f>
        <v>PT Informasi Teknologi Indonesia Tbk.</v>
      </c>
      <c r="C982" s="15">
        <f>IFERROR(__xludf.DUMMYFUNCTION("GOOGLEFINANCE(""IDX:""&amp;A982,""price"")"),95.0)</f>
        <v>95</v>
      </c>
      <c r="D982" s="16" t="str">
        <f>IFERROR(__xludf.DUMMYFUNCTION("IF(A982="""","""",
SPARKLINE(
INDEX(
GOOGLEFINANCE(""IDX:""&amp;A982,""close"",TODAY()-365,TODAY()),
,2
),
{""linewidth"",1}
))
"),"#N/A")</f>
        <v>#N/A</v>
      </c>
      <c r="E982" s="26"/>
      <c r="F982" s="26"/>
      <c r="G982" s="24">
        <f t="shared" si="7"/>
        <v>0</v>
      </c>
      <c r="H982" s="19">
        <f>VLOOKUP(A982,Metrik!$C$2:$Y$959,8,0)</f>
        <v>18.2</v>
      </c>
      <c r="I982" s="20">
        <f>VLOOKUP(A982,Metrik!$C$2:$Y$959,9,0)</f>
        <v>1.9</v>
      </c>
      <c r="J982" s="20">
        <f>VLOOKUP(A982,Metrik!$C$2:$Y$959,10,0)</f>
        <v>10.2</v>
      </c>
      <c r="K982" s="20">
        <f>VLOOKUP(A982,Metrik!$C$2:$Y$959,11,0)</f>
        <v>3.8</v>
      </c>
      <c r="L982" s="20">
        <f>VLOOKUP(A982,Metrik!$C$2:$Y$959,12,0)</f>
        <v>1.7</v>
      </c>
      <c r="M982" s="20">
        <f>VLOOKUP(A982,Metrik!$C$2:$Y$959,19,0)</f>
        <v>10.5</v>
      </c>
      <c r="N982" s="21"/>
      <c r="O982" s="21"/>
      <c r="P982" s="21"/>
      <c r="Q982" s="21"/>
      <c r="R982" s="21"/>
      <c r="S982" s="21"/>
      <c r="T982" s="21"/>
      <c r="U982" s="22">
        <f>IFERROR(__xludf.DUMMYFUNCTION("IFERROR(GOOGLEFINANCE(A982,""closeyest""),"""")"),90.0)</f>
        <v>90</v>
      </c>
      <c r="V982" s="23">
        <f>IFERROR(__xludf.DUMMYFUNCTION("IFERROR(GOOGLEFINANCE(A982,""changepct""),"""")"),5.56)</f>
        <v>5.56</v>
      </c>
      <c r="W982" s="22">
        <f>IFERROR(__xludf.DUMMYFUNCTION("IFERROR(GOOGLEFINANCE(A982,""priceopen""),"""")"),92.0)</f>
        <v>92</v>
      </c>
      <c r="X982" s="22">
        <f>IFERROR(__xludf.DUMMYFUNCTION("IFERROR(GOOGLEFINANCE(A982,""high""),"""")"),97.0)</f>
        <v>97</v>
      </c>
      <c r="Y982" s="22">
        <f>IFERROR(__xludf.DUMMYFUNCTION("IFERROR(GOOGLEFINANCE(A982,""low""),"""")"),91.0)</f>
        <v>91</v>
      </c>
      <c r="Z982" s="22">
        <f>IFERROR(__xludf.DUMMYFUNCTION("IFERROR(GOOGLEFINANCE(A982,""volume""),"""")"),5213600.0)</f>
        <v>5213600</v>
      </c>
      <c r="AA982" s="24" t="str">
        <f>VLOOKUP(A982,Metrik!$C$2:$Y$959,5,0)</f>
        <v>Online Applications &amp; Services</v>
      </c>
      <c r="AB982" s="24" t="str">
        <f>VLOOKUP(A982,Metrik!$C$2:$Y$959,3,0)</f>
        <v>Technology</v>
      </c>
    </row>
    <row r="983">
      <c r="A983" s="14" t="s">
        <v>518</v>
      </c>
      <c r="B983" s="14" t="str">
        <f t="array" ref="B983">VLOOKUP(A983,{Metrik!$C$2:$C$998,Metrik!$B$2:$B$998},2,0)</f>
        <v>Jaya Agra Wattie Tbk</v>
      </c>
      <c r="C983" s="15">
        <f>IFERROR(__xludf.DUMMYFUNCTION("GOOGLEFINANCE(""IDX:""&amp;A983,""price"")"),118.0)</f>
        <v>118</v>
      </c>
      <c r="D983" s="16" t="str">
        <f>IFERROR(__xludf.DUMMYFUNCTION("IF(A983="""","""",
SPARKLINE(
INDEX(
GOOGLEFINANCE(""IDX:""&amp;A983,""close"",TODAY()-365,TODAY()),
,2
),
{""linewidth"",1}
))
"),"#N/A")</f>
        <v>#N/A</v>
      </c>
      <c r="E983" s="26"/>
      <c r="F983" s="26"/>
      <c r="G983" s="24">
        <f t="shared" si="7"/>
        <v>0</v>
      </c>
      <c r="H983" s="19">
        <f>VLOOKUP(A983,Metrik!$C$2:$Y$959,8,0)</f>
        <v>-28.7</v>
      </c>
      <c r="I983" s="20">
        <f>VLOOKUP(A983,Metrik!$C$2:$Y$959,9,0)</f>
        <v>1.6</v>
      </c>
      <c r="J983" s="20">
        <f>VLOOKUP(A983,Metrik!$C$2:$Y$959,10,0)</f>
        <v>-5.6</v>
      </c>
      <c r="K983" s="20">
        <f>VLOOKUP(A983,Metrik!$C$2:$Y$959,11,0)</f>
        <v>-1.9</v>
      </c>
      <c r="L983" s="20">
        <f>VLOOKUP(A983,Metrik!$C$2:$Y$959,12,0)</f>
        <v>2</v>
      </c>
      <c r="M983" s="20">
        <f>VLOOKUP(A983,Metrik!$C$2:$Y$959,19,0)</f>
        <v>-21.1</v>
      </c>
      <c r="N983" s="21"/>
      <c r="O983" s="21"/>
      <c r="P983" s="21"/>
      <c r="Q983" s="21"/>
      <c r="R983" s="21"/>
      <c r="S983" s="21"/>
      <c r="T983" s="21"/>
      <c r="U983" s="22">
        <f>IFERROR(__xludf.DUMMYFUNCTION("IFERROR(GOOGLEFINANCE(A983,""closeyest""),"""")"),117.0)</f>
        <v>117</v>
      </c>
      <c r="V983" s="23">
        <f>IFERROR(__xludf.DUMMYFUNCTION("IFERROR(GOOGLEFINANCE(A983,""changepct""),"""")"),0.85)</f>
        <v>0.85</v>
      </c>
      <c r="W983" s="22">
        <f>IFERROR(__xludf.DUMMYFUNCTION("IFERROR(GOOGLEFINANCE(A983,""priceopen""),"""")"),117.0)</f>
        <v>117</v>
      </c>
      <c r="X983" s="22">
        <f>IFERROR(__xludf.DUMMYFUNCTION("IFERROR(GOOGLEFINANCE(A983,""high""),"""")"),120.0)</f>
        <v>120</v>
      </c>
      <c r="Y983" s="22">
        <f>IFERROR(__xludf.DUMMYFUNCTION("IFERROR(GOOGLEFINANCE(A983,""low""),"""")"),113.0)</f>
        <v>113</v>
      </c>
      <c r="Z983" s="22">
        <f>IFERROR(__xludf.DUMMYFUNCTION("IFERROR(GOOGLEFINANCE(A983,""volume""),"""")"),1123400.0)</f>
        <v>1123400</v>
      </c>
      <c r="AA983" s="24" t="str">
        <f>VLOOKUP(A983,Metrik!$C$2:$Y$959,5,0)</f>
        <v>Agricultural Products</v>
      </c>
      <c r="AB983" s="24" t="str">
        <f>VLOOKUP(A983,Metrik!$C$2:$Y$959,3,0)</f>
        <v>Consumer Non-Cyclicals</v>
      </c>
    </row>
    <row r="984">
      <c r="A984" s="14" t="s">
        <v>519</v>
      </c>
      <c r="B984" s="14" t="str">
        <f t="array" ref="B984">VLOOKUP(A984,{Metrik!$C$2:$C$998,Metrik!$B$2:$B$998},2,0)</f>
        <v>Armada Berjaya Trans Tbk.</v>
      </c>
      <c r="C984" s="15">
        <f>IFERROR(__xludf.DUMMYFUNCTION("GOOGLEFINANCE(""IDX:""&amp;A984,""price"")"),121.0)</f>
        <v>121</v>
      </c>
      <c r="D984" s="16" t="str">
        <f>IFERROR(__xludf.DUMMYFUNCTION("IF(A984="""","""",
SPARKLINE(
INDEX(
GOOGLEFINANCE(""IDX:""&amp;A984,""close"",TODAY()-365,TODAY()),
,2
),
{""linewidth"",1}
))
"),"#N/A")</f>
        <v>#N/A</v>
      </c>
      <c r="E984" s="26"/>
      <c r="F984" s="26"/>
      <c r="G984" s="24">
        <f t="shared" si="7"/>
        <v>0</v>
      </c>
      <c r="H984" s="19">
        <f>VLOOKUP(A984,Metrik!$C$2:$Y$959,8,0)</f>
        <v>15.7</v>
      </c>
      <c r="I984" s="20">
        <f>VLOOKUP(A984,Metrik!$C$2:$Y$959,9,0)</f>
        <v>0.81</v>
      </c>
      <c r="J984" s="20">
        <f>VLOOKUP(A984,Metrik!$C$2:$Y$959,10,0)</f>
        <v>5.2</v>
      </c>
      <c r="K984" s="20">
        <f>VLOOKUP(A984,Metrik!$C$2:$Y$959,11,0)</f>
        <v>1.6</v>
      </c>
      <c r="L984" s="20">
        <f>VLOOKUP(A984,Metrik!$C$2:$Y$959,12,0)</f>
        <v>2.3</v>
      </c>
      <c r="M984" s="20">
        <f>VLOOKUP(A984,Metrik!$C$2:$Y$959,19,0)</f>
        <v>24.3</v>
      </c>
      <c r="N984" s="21"/>
      <c r="O984" s="21"/>
      <c r="P984" s="21"/>
      <c r="Q984" s="21"/>
      <c r="R984" s="21"/>
      <c r="S984" s="21"/>
      <c r="T984" s="21"/>
      <c r="U984" s="22">
        <f>IFERROR(__xludf.DUMMYFUNCTION("IFERROR(GOOGLEFINANCE(A984,""closeyest""),"""")"),118.0)</f>
        <v>118</v>
      </c>
      <c r="V984" s="23">
        <f>IFERROR(__xludf.DUMMYFUNCTION("IFERROR(GOOGLEFINANCE(A984,""changepct""),"""")"),2.54)</f>
        <v>2.54</v>
      </c>
      <c r="W984" s="22">
        <f>IFERROR(__xludf.DUMMYFUNCTION("IFERROR(GOOGLEFINANCE(A984,""priceopen""),"""")"),121.0)</f>
        <v>121</v>
      </c>
      <c r="X984" s="22">
        <f>IFERROR(__xludf.DUMMYFUNCTION("IFERROR(GOOGLEFINANCE(A984,""high""),"""")"),125.0)</f>
        <v>125</v>
      </c>
      <c r="Y984" s="22">
        <f>IFERROR(__xludf.DUMMYFUNCTION("IFERROR(GOOGLEFINANCE(A984,""low""),"""")"),118.0)</f>
        <v>118</v>
      </c>
      <c r="Z984" s="22">
        <f>IFERROR(__xludf.DUMMYFUNCTION("IFERROR(GOOGLEFINANCE(A984,""volume""),"""")"),1372800.0)</f>
        <v>1372800</v>
      </c>
      <c r="AA984" s="24" t="str">
        <f>VLOOKUP(A984,Metrik!$C$2:$Y$959,5,0)</f>
        <v>Logistics &amp; Deliveries</v>
      </c>
      <c r="AB984" s="24" t="str">
        <f>VLOOKUP(A984,Metrik!$C$2:$Y$959,3,0)</f>
        <v>Transportation &amp; Logistic</v>
      </c>
    </row>
    <row r="985">
      <c r="A985" s="14" t="s">
        <v>520</v>
      </c>
      <c r="B985" s="14" t="str">
        <f t="array" ref="B985">VLOOKUP(A985,{Metrik!$C$2:$C$998,Metrik!$B$2:$B$998},2,0)</f>
        <v>Jembo Cable Company Tbk.</v>
      </c>
      <c r="C985" s="15">
        <f>IFERROR(__xludf.DUMMYFUNCTION("GOOGLEFINANCE(""IDX:""&amp;A985,""price"")"),570.0)</f>
        <v>570</v>
      </c>
      <c r="D985" s="16" t="str">
        <f>IFERROR(__xludf.DUMMYFUNCTION("IF(A985="""","""",
SPARKLINE(
INDEX(
GOOGLEFINANCE(""IDX:""&amp;A985,""close"",TODAY()-365,TODAY()),
,2
),
{""linewidth"",1}
))
"),"#N/A")</f>
        <v>#N/A</v>
      </c>
      <c r="E985" s="26"/>
      <c r="F985" s="26"/>
      <c r="G985" s="24">
        <f t="shared" si="7"/>
        <v>0</v>
      </c>
      <c r="H985" s="19">
        <f>VLOOKUP(A985,Metrik!$C$2:$Y$959,8,0)</f>
        <v>5.9</v>
      </c>
      <c r="I985" s="20">
        <f>VLOOKUP(A985,Metrik!$C$2:$Y$959,9,0)</f>
        <v>0.44</v>
      </c>
      <c r="J985" s="20">
        <f>VLOOKUP(A985,Metrik!$C$2:$Y$959,10,0)</f>
        <v>7.4</v>
      </c>
      <c r="K985" s="20">
        <f>VLOOKUP(A985,Metrik!$C$2:$Y$959,11,0)</f>
        <v>2.7</v>
      </c>
      <c r="L985" s="20">
        <f>VLOOKUP(A985,Metrik!$C$2:$Y$959,12,0)</f>
        <v>1.8</v>
      </c>
      <c r="M985" s="20">
        <f>VLOOKUP(A985,Metrik!$C$2:$Y$959,19,0)</f>
        <v>7.8</v>
      </c>
      <c r="N985" s="21"/>
      <c r="O985" s="21"/>
      <c r="P985" s="21"/>
      <c r="Q985" s="21"/>
      <c r="R985" s="21"/>
      <c r="S985" s="21"/>
      <c r="T985" s="21"/>
      <c r="U985" s="22">
        <f>IFERROR(__xludf.DUMMYFUNCTION("IFERROR(GOOGLEFINANCE(A985,""closeyest""),"""")"),570.0)</f>
        <v>570</v>
      </c>
      <c r="V985" s="23">
        <f>IFERROR(__xludf.DUMMYFUNCTION("IFERROR(GOOGLEFINANCE(A985,""changepct""),"""")"),0.0)</f>
        <v>0</v>
      </c>
      <c r="W985" s="22">
        <f>IFERROR(__xludf.DUMMYFUNCTION("IFERROR(GOOGLEFINANCE(A985,""priceopen""),"""")"),570.0)</f>
        <v>570</v>
      </c>
      <c r="X985" s="22">
        <f>IFERROR(__xludf.DUMMYFUNCTION("IFERROR(GOOGLEFINANCE(A985,""high""),"""")"),570.0)</f>
        <v>570</v>
      </c>
      <c r="Y985" s="22">
        <f>IFERROR(__xludf.DUMMYFUNCTION("IFERROR(GOOGLEFINANCE(A985,""low""),"""")"),570.0)</f>
        <v>570</v>
      </c>
      <c r="Z985" s="22">
        <f>IFERROR(__xludf.DUMMYFUNCTION("IFERROR(GOOGLEFINANCE(A985,""volume""),"""")"),7100.0)</f>
        <v>7100</v>
      </c>
      <c r="AA985" s="24" t="str">
        <f>VLOOKUP(A985,Metrik!$C$2:$Y$959,5,0)</f>
        <v>Electrical</v>
      </c>
      <c r="AB985" s="24" t="str">
        <f>VLOOKUP(A985,Metrik!$C$2:$Y$959,3,0)</f>
        <v>Industrials</v>
      </c>
    </row>
    <row r="986">
      <c r="A986" s="14" t="s">
        <v>521</v>
      </c>
      <c r="B986" s="14" t="str">
        <f t="array" ref="B986">VLOOKUP(A986,{Metrik!$C$2:$C$998,Metrik!$B$2:$B$998},2,0)</f>
        <v>Graha Andrasentra Propertindo Tbk.</v>
      </c>
      <c r="C986" s="15">
        <f>IFERROR(__xludf.DUMMYFUNCTION("GOOGLEFINANCE(""IDX:""&amp;A986,""price"")"),57.0)</f>
        <v>57</v>
      </c>
      <c r="D986" s="16" t="str">
        <f>IFERROR(__xludf.DUMMYFUNCTION("IF(A986="""","""",
SPARKLINE(
INDEX(
GOOGLEFINANCE(""IDX:""&amp;A986,""close"",TODAY()-365,TODAY()),
,2
),
{""linewidth"",1}
))
"),"#N/A")</f>
        <v>#N/A</v>
      </c>
      <c r="E986" s="26"/>
      <c r="F986" s="26"/>
      <c r="G986" s="24">
        <f t="shared" si="7"/>
        <v>0</v>
      </c>
      <c r="H986" s="19">
        <f>VLOOKUP(A986,Metrik!$C$2:$Y$959,8,0)</f>
        <v>-35.4</v>
      </c>
      <c r="I986" s="20">
        <f>VLOOKUP(A986,Metrik!$C$2:$Y$959,9,0)</f>
        <v>1.3</v>
      </c>
      <c r="J986" s="20">
        <f>VLOOKUP(A986,Metrik!$C$2:$Y$959,10,0)</f>
        <v>-3.6</v>
      </c>
      <c r="K986" s="20">
        <f>VLOOKUP(A986,Metrik!$C$2:$Y$959,11,0)</f>
        <v>-2.6</v>
      </c>
      <c r="L986" s="20">
        <f>VLOOKUP(A986,Metrik!$C$2:$Y$959,12,0)</f>
        <v>0.4</v>
      </c>
      <c r="M986" s="20">
        <f>VLOOKUP(A986,Metrik!$C$2:$Y$959,19,0)</f>
        <v>-140</v>
      </c>
      <c r="N986" s="21"/>
      <c r="O986" s="21"/>
      <c r="P986" s="21"/>
      <c r="Q986" s="21"/>
      <c r="R986" s="21"/>
      <c r="S986" s="21"/>
      <c r="T986" s="21"/>
      <c r="U986" s="22">
        <f>IFERROR(__xludf.DUMMYFUNCTION("IFERROR(GOOGLEFINANCE(A986,""closeyest""),"""")"),53.0)</f>
        <v>53</v>
      </c>
      <c r="V986" s="23">
        <f>IFERROR(__xludf.DUMMYFUNCTION("IFERROR(GOOGLEFINANCE(A986,""changepct""),"""")"),7.55)</f>
        <v>7.55</v>
      </c>
      <c r="W986" s="22">
        <f>IFERROR(__xludf.DUMMYFUNCTION("IFERROR(GOOGLEFINANCE(A986,""priceopen""),"""")"),54.0)</f>
        <v>54</v>
      </c>
      <c r="X986" s="22">
        <f>IFERROR(__xludf.DUMMYFUNCTION("IFERROR(GOOGLEFINANCE(A986,""high""),"""")"),62.0)</f>
        <v>62</v>
      </c>
      <c r="Y986" s="22">
        <f>IFERROR(__xludf.DUMMYFUNCTION("IFERROR(GOOGLEFINANCE(A986,""low""),"""")"),53.0)</f>
        <v>53</v>
      </c>
      <c r="Z986" s="22">
        <f>IFERROR(__xludf.DUMMYFUNCTION("IFERROR(GOOGLEFINANCE(A986,""volume""),"""")"),7.930155E8)</f>
        <v>793015500</v>
      </c>
      <c r="AA986" s="24" t="str">
        <f>VLOOKUP(A986,Metrik!$C$2:$Y$959,5,0)</f>
        <v>Tourism &amp; Recreation</v>
      </c>
      <c r="AB986" s="24" t="str">
        <f>VLOOKUP(A986,Metrik!$C$2:$Y$959,3,0)</f>
        <v>Consumer Cyclicals</v>
      </c>
    </row>
    <row r="987">
      <c r="A987" s="14" t="s">
        <v>522</v>
      </c>
      <c r="B987" s="14" t="str">
        <f t="array" ref="B987">VLOOKUP(A987,{Metrik!$C$2:$C$998,Metrik!$B$2:$B$998},2,0)</f>
        <v>Jakarta International Hotels &amp; Development Tbk.</v>
      </c>
      <c r="C987" s="15">
        <f>IFERROR(__xludf.DUMMYFUNCTION("GOOGLEFINANCE(""IDX:""&amp;A987,""price"")"),408.0)</f>
        <v>408</v>
      </c>
      <c r="D987" s="16" t="str">
        <f>IFERROR(__xludf.DUMMYFUNCTION("IF(A987="""","""",
SPARKLINE(
INDEX(
GOOGLEFINANCE(""IDX:""&amp;A987,""close"",TODAY()-365,TODAY()),
,2
),
{""linewidth"",1}
))
"),"#N/A")</f>
        <v>#N/A</v>
      </c>
      <c r="E987" s="26"/>
      <c r="F987" s="26"/>
      <c r="G987" s="24">
        <f t="shared" si="7"/>
        <v>0</v>
      </c>
      <c r="H987" s="19">
        <f>VLOOKUP(A987,Metrik!$C$2:$Y$959,8,0)</f>
        <v>-5</v>
      </c>
      <c r="I987" s="20">
        <f>VLOOKUP(A987,Metrik!$C$2:$Y$959,9,0)</f>
        <v>0.22</v>
      </c>
      <c r="J987" s="20">
        <f>VLOOKUP(A987,Metrik!$C$2:$Y$959,10,0)</f>
        <v>-4.5</v>
      </c>
      <c r="K987" s="20">
        <f>VLOOKUP(A987,Metrik!$C$2:$Y$959,11,0)</f>
        <v>-2.9</v>
      </c>
      <c r="L987" s="20">
        <f>VLOOKUP(A987,Metrik!$C$2:$Y$959,12,0)</f>
        <v>0.53</v>
      </c>
      <c r="M987" s="20">
        <f>VLOOKUP(A987,Metrik!$C$2:$Y$959,19,0)</f>
        <v>-52.7</v>
      </c>
      <c r="N987" s="21"/>
      <c r="O987" s="21"/>
      <c r="P987" s="21"/>
      <c r="Q987" s="21"/>
      <c r="R987" s="21"/>
      <c r="S987" s="21"/>
      <c r="T987" s="21"/>
      <c r="U987" s="22">
        <f>IFERROR(__xludf.DUMMYFUNCTION("IFERROR(GOOGLEFINANCE(A987,""closeyest""),"""")"),388.0)</f>
        <v>388</v>
      </c>
      <c r="V987" s="23">
        <f>IFERROR(__xludf.DUMMYFUNCTION("IFERROR(GOOGLEFINANCE(A987,""changepct""),"""")"),5.15)</f>
        <v>5.15</v>
      </c>
      <c r="W987" s="22">
        <f>IFERROR(__xludf.DUMMYFUNCTION("IFERROR(GOOGLEFINANCE(A987,""priceopen""),"""")"),402.0)</f>
        <v>402</v>
      </c>
      <c r="X987" s="22">
        <f>IFERROR(__xludf.DUMMYFUNCTION("IFERROR(GOOGLEFINANCE(A987,""high""),"""")"),416.0)</f>
        <v>416</v>
      </c>
      <c r="Y987" s="22">
        <f>IFERROR(__xludf.DUMMYFUNCTION("IFERROR(GOOGLEFINANCE(A987,""low""),"""")"),390.0)</f>
        <v>390</v>
      </c>
      <c r="Z987" s="22">
        <f>IFERROR(__xludf.DUMMYFUNCTION("IFERROR(GOOGLEFINANCE(A987,""volume""),"""")"),650800.0)</f>
        <v>650800</v>
      </c>
      <c r="AA987" s="24" t="str">
        <f>VLOOKUP(A987,Metrik!$C$2:$Y$959,5,0)</f>
        <v>Tourism &amp; Recreation</v>
      </c>
      <c r="AB987" s="24" t="str">
        <f>VLOOKUP(A987,Metrik!$C$2:$Y$959,3,0)</f>
        <v>Consumer Cyclicals</v>
      </c>
    </row>
    <row r="988">
      <c r="A988" s="14" t="s">
        <v>523</v>
      </c>
      <c r="B988" s="14" t="str">
        <f t="array" ref="B988">VLOOKUP(A988,{Metrik!$C$2:$C$998,Metrik!$B$2:$B$998},2,0)</f>
        <v>Jaya Konstruksi Manggala Pratama Tbk</v>
      </c>
      <c r="C988" s="15">
        <f>IFERROR(__xludf.DUMMYFUNCTION("GOOGLEFINANCE(""IDX:""&amp;A988,""price"")"),68.0)</f>
        <v>68</v>
      </c>
      <c r="D988" s="16" t="str">
        <f>IFERROR(__xludf.DUMMYFUNCTION("IF(A988="""","""",
SPARKLINE(
INDEX(
GOOGLEFINANCE(""IDX:""&amp;A988,""close"",TODAY()-365,TODAY()),
,2
),
{""linewidth"",1}
))
"),"#N/A")</f>
        <v>#N/A</v>
      </c>
      <c r="E988" s="14" t="s">
        <v>106</v>
      </c>
      <c r="F988" s="25">
        <v>46356.0</v>
      </c>
      <c r="G988" s="24">
        <f t="shared" si="7"/>
        <v>1</v>
      </c>
      <c r="H988" s="19">
        <f>VLOOKUP(A988,Metrik!$C$2:$Y$959,8,0)</f>
        <v>8</v>
      </c>
      <c r="I988" s="20">
        <f>VLOOKUP(A988,Metrik!$C$2:$Y$959,9,0)</f>
        <v>0.35</v>
      </c>
      <c r="J988" s="20">
        <f>VLOOKUP(A988,Metrik!$C$2:$Y$959,10,0)</f>
        <v>4.4</v>
      </c>
      <c r="K988" s="20">
        <f>VLOOKUP(A988,Metrik!$C$2:$Y$959,11,0)</f>
        <v>3.3</v>
      </c>
      <c r="L988" s="20">
        <f>VLOOKUP(A988,Metrik!$C$2:$Y$959,12,0)</f>
        <v>0.34</v>
      </c>
      <c r="M988" s="20">
        <f>VLOOKUP(A988,Metrik!$C$2:$Y$959,19,0)</f>
        <v>15.6</v>
      </c>
      <c r="N988" s="21"/>
      <c r="O988" s="21"/>
      <c r="P988" s="21"/>
      <c r="Q988" s="21"/>
      <c r="R988" s="21"/>
      <c r="S988" s="21"/>
      <c r="T988" s="21"/>
      <c r="U988" s="22">
        <f>IFERROR(__xludf.DUMMYFUNCTION("IFERROR(GOOGLEFINANCE(A988,""closeyest""),"""")"),65.0)</f>
        <v>65</v>
      </c>
      <c r="V988" s="23">
        <f>IFERROR(__xludf.DUMMYFUNCTION("IFERROR(GOOGLEFINANCE(A988,""changepct""),"""")"),4.62)</f>
        <v>4.62</v>
      </c>
      <c r="W988" s="22">
        <f>IFERROR(__xludf.DUMMYFUNCTION("IFERROR(GOOGLEFINANCE(A988,""priceopen""),"""")"),67.0)</f>
        <v>67</v>
      </c>
      <c r="X988" s="22">
        <f>IFERROR(__xludf.DUMMYFUNCTION("IFERROR(GOOGLEFINANCE(A988,""high""),"""")"),69.0)</f>
        <v>69</v>
      </c>
      <c r="Y988" s="22">
        <f>IFERROR(__xludf.DUMMYFUNCTION("IFERROR(GOOGLEFINANCE(A988,""low""),"""")"),65.0)</f>
        <v>65</v>
      </c>
      <c r="Z988" s="22">
        <f>IFERROR(__xludf.DUMMYFUNCTION("IFERROR(GOOGLEFINANCE(A988,""volume""),"""")"),3213600.0)</f>
        <v>3213600</v>
      </c>
      <c r="AA988" s="24" t="str">
        <f>VLOOKUP(A988,Metrik!$C$2:$Y$959,5,0)</f>
        <v>Heavy Constructions &amp; Civil Engineering</v>
      </c>
      <c r="AB988" s="24" t="str">
        <f>VLOOKUP(A988,Metrik!$C$2:$Y$959,3,0)</f>
        <v>Infrastructures</v>
      </c>
    </row>
    <row r="989">
      <c r="A989" s="14" t="s">
        <v>524</v>
      </c>
      <c r="B989" s="14" t="str">
        <f t="array" ref="B989">VLOOKUP(A989,{Metrik!$C$2:$C$998,Metrik!$B$2:$B$998},2,0)</f>
        <v>Asuransi Jiwa Syariah Jasa Mitra Abadi Tbk.</v>
      </c>
      <c r="C989" s="15">
        <f>IFERROR(__xludf.DUMMYFUNCTION("GOOGLEFINANCE(""IDX:""&amp;A989,""price"")"),242.0)</f>
        <v>242</v>
      </c>
      <c r="D989" s="16" t="str">
        <f>IFERROR(__xludf.DUMMYFUNCTION("IF(A989="""","""",
SPARKLINE(
INDEX(
GOOGLEFINANCE(""IDX:""&amp;A989,""close"",TODAY()-365,TODAY()),
,2
),
{""linewidth"",1}
))
"),"#N/A")</f>
        <v>#N/A</v>
      </c>
      <c r="E989" s="26"/>
      <c r="F989" s="26"/>
      <c r="G989" s="24">
        <f t="shared" si="7"/>
        <v>0</v>
      </c>
      <c r="H989" s="19">
        <f>VLOOKUP(A989,Metrik!$C$2:$Y$959,8,0)</f>
        <v>57.8</v>
      </c>
      <c r="I989" s="20">
        <f>VLOOKUP(A989,Metrik!$C$2:$Y$959,9,0)</f>
        <v>2.2</v>
      </c>
      <c r="J989" s="20">
        <f>VLOOKUP(A989,Metrik!$C$2:$Y$959,10,0)</f>
        <v>3.8</v>
      </c>
      <c r="K989" s="20">
        <f>VLOOKUP(A989,Metrik!$C$2:$Y$959,11,0)</f>
        <v>1.2</v>
      </c>
      <c r="L989" s="20">
        <f>VLOOKUP(A989,Metrik!$C$2:$Y$959,12,0)</f>
        <v>2.6</v>
      </c>
      <c r="M989" s="20">
        <f>VLOOKUP(A989,Metrik!$C$2:$Y$959,19,0)</f>
        <v>8</v>
      </c>
      <c r="N989" s="21"/>
      <c r="O989" s="21"/>
      <c r="P989" s="21"/>
      <c r="Q989" s="21"/>
      <c r="R989" s="21"/>
      <c r="S989" s="21"/>
      <c r="T989" s="21"/>
      <c r="U989" s="22">
        <f>IFERROR(__xludf.DUMMYFUNCTION("IFERROR(GOOGLEFINANCE(A989,""closeyest""),"""")"),252.0)</f>
        <v>252</v>
      </c>
      <c r="V989" s="23">
        <f>IFERROR(__xludf.DUMMYFUNCTION("IFERROR(GOOGLEFINANCE(A989,""changepct""),"""")"),-3.97)</f>
        <v>-3.97</v>
      </c>
      <c r="W989" s="22">
        <f>IFERROR(__xludf.DUMMYFUNCTION("IFERROR(GOOGLEFINANCE(A989,""priceopen""),"""")"),242.0)</f>
        <v>242</v>
      </c>
      <c r="X989" s="22">
        <f>IFERROR(__xludf.DUMMYFUNCTION("IFERROR(GOOGLEFINANCE(A989,""high""),"""")"),250.0)</f>
        <v>250</v>
      </c>
      <c r="Y989" s="22">
        <f>IFERROR(__xludf.DUMMYFUNCTION("IFERROR(GOOGLEFINANCE(A989,""low""),"""")"),238.0)</f>
        <v>238</v>
      </c>
      <c r="Z989" s="22">
        <f>IFERROR(__xludf.DUMMYFUNCTION("IFERROR(GOOGLEFINANCE(A989,""volume""),"""")"),6198700.0)</f>
        <v>6198700</v>
      </c>
      <c r="AA989" s="24" t="str">
        <f>VLOOKUP(A989,Metrik!$C$2:$Y$959,5,0)</f>
        <v>Insurance</v>
      </c>
      <c r="AB989" s="24" t="str">
        <f>VLOOKUP(A989,Metrik!$C$2:$Y$959,3,0)</f>
        <v>Financials</v>
      </c>
    </row>
    <row r="990">
      <c r="A990" s="14" t="s">
        <v>525</v>
      </c>
      <c r="B990" s="14" t="str">
        <f t="array" ref="B990">VLOOKUP(A990,{Metrik!$C$2:$C$998,Metrik!$B$2:$B$998},2,0)</f>
        <v>Japfa Comfeed Indonesia Tbk.</v>
      </c>
      <c r="C990" s="15">
        <f>IFERROR(__xludf.DUMMYFUNCTION("GOOGLEFINANCE(""IDX:""&amp;A990,""price"")"),1905.0)</f>
        <v>1905</v>
      </c>
      <c r="D990" s="16" t="str">
        <f>IFERROR(__xludf.DUMMYFUNCTION("IF(A990="""","""",
SPARKLINE(
INDEX(
GOOGLEFINANCE(""IDX:""&amp;A990,""close"",TODAY()-365,TODAY()),
,2
),
{""linewidth"",1}
))
"),"#N/A")</f>
        <v>#N/A</v>
      </c>
      <c r="E990" s="14" t="s">
        <v>31</v>
      </c>
      <c r="F990" s="17" t="s">
        <v>29</v>
      </c>
      <c r="G990" s="18">
        <f t="shared" si="7"/>
        <v>13</v>
      </c>
      <c r="H990" s="19">
        <f>VLOOKUP(A990,Metrik!$C$2:$Y$959,8,0)</f>
        <v>5.6</v>
      </c>
      <c r="I990" s="20">
        <f>VLOOKUP(A990,Metrik!$C$2:$Y$959,9,0)</f>
        <v>1.3</v>
      </c>
      <c r="J990" s="20">
        <f>VLOOKUP(A990,Metrik!$C$2:$Y$959,10,0)</f>
        <v>23.3</v>
      </c>
      <c r="K990" s="20">
        <f>VLOOKUP(A990,Metrik!$C$2:$Y$959,11,0)</f>
        <v>13.1</v>
      </c>
      <c r="L990" s="20">
        <f>VLOOKUP(A990,Metrik!$C$2:$Y$959,12,0)</f>
        <v>0.79</v>
      </c>
      <c r="M990" s="20">
        <f>VLOOKUP(A990,Metrik!$C$2:$Y$959,19,0)</f>
        <v>29</v>
      </c>
      <c r="N990" s="21"/>
      <c r="O990" s="21"/>
      <c r="P990" s="21"/>
      <c r="Q990" s="21"/>
      <c r="R990" s="21"/>
      <c r="S990" s="21"/>
      <c r="T990" s="21"/>
      <c r="U990" s="22">
        <f>IFERROR(__xludf.DUMMYFUNCTION("IFERROR(GOOGLEFINANCE(A990,""closeyest""),"""")"),1860.0)</f>
        <v>1860</v>
      </c>
      <c r="V990" s="23">
        <f>IFERROR(__xludf.DUMMYFUNCTION("IFERROR(GOOGLEFINANCE(A990,""changepct""),"""")"),2.42)</f>
        <v>2.42</v>
      </c>
      <c r="W990" s="22">
        <f>IFERROR(__xludf.DUMMYFUNCTION("IFERROR(GOOGLEFINANCE(A990,""priceopen""),"""")"),1865.0)</f>
        <v>1865</v>
      </c>
      <c r="X990" s="22">
        <f>IFERROR(__xludf.DUMMYFUNCTION("IFERROR(GOOGLEFINANCE(A990,""high""),"""")"),1930.0)</f>
        <v>1930</v>
      </c>
      <c r="Y990" s="22">
        <f>IFERROR(__xludf.DUMMYFUNCTION("IFERROR(GOOGLEFINANCE(A990,""low""),"""")"),1840.0)</f>
        <v>1840</v>
      </c>
      <c r="Z990" s="22">
        <f>IFERROR(__xludf.DUMMYFUNCTION("IFERROR(GOOGLEFINANCE(A990,""volume""),"""")"),3.02073E7)</f>
        <v>30207300</v>
      </c>
      <c r="AA990" s="24" t="str">
        <f>VLOOKUP(A990,Metrik!$C$2:$Y$959,5,0)</f>
        <v>Agricultural Products</v>
      </c>
      <c r="AB990" s="24" t="str">
        <f>VLOOKUP(A990,Metrik!$C$2:$Y$959,3,0)</f>
        <v>Consumer Non-Cyclicals</v>
      </c>
    </row>
    <row r="991">
      <c r="A991" s="14" t="s">
        <v>525</v>
      </c>
      <c r="B991" s="14" t="str">
        <f t="array" ref="B991">VLOOKUP(A991,{Metrik!$C$2:$C$998,Metrik!$B$2:$B$998},2,0)</f>
        <v>Japfa Comfeed Indonesia Tbk.</v>
      </c>
      <c r="C991" s="15">
        <f>IFERROR(__xludf.DUMMYFUNCTION("GOOGLEFINANCE(""IDX:""&amp;A991,""price"")"),1905.0)</f>
        <v>1905</v>
      </c>
      <c r="D991" s="16" t="str">
        <f>IFERROR(__xludf.DUMMYFUNCTION("IF(A991="""","""",
SPARKLINE(
INDEX(
GOOGLEFINANCE(""IDX:""&amp;A991,""close"",TODAY()-365,TODAY()),
,2
),
{""linewidth"",1}
))
"),"#N/A")</f>
        <v>#N/A</v>
      </c>
      <c r="E991" s="14" t="s">
        <v>30</v>
      </c>
      <c r="F991" s="17" t="s">
        <v>29</v>
      </c>
      <c r="G991" s="18">
        <f t="shared" si="7"/>
        <v>13</v>
      </c>
      <c r="H991" s="19">
        <f>VLOOKUP(A991,Metrik!$C$2:$Y$959,8,0)</f>
        <v>5.6</v>
      </c>
      <c r="I991" s="20">
        <f>VLOOKUP(A991,Metrik!$C$2:$Y$959,9,0)</f>
        <v>1.3</v>
      </c>
      <c r="J991" s="20">
        <f>VLOOKUP(A991,Metrik!$C$2:$Y$959,10,0)</f>
        <v>23.3</v>
      </c>
      <c r="K991" s="20">
        <f>VLOOKUP(A991,Metrik!$C$2:$Y$959,11,0)</f>
        <v>13.1</v>
      </c>
      <c r="L991" s="20">
        <f>VLOOKUP(A991,Metrik!$C$2:$Y$959,12,0)</f>
        <v>0.79</v>
      </c>
      <c r="M991" s="20">
        <f>VLOOKUP(A991,Metrik!$C$2:$Y$959,19,0)</f>
        <v>29</v>
      </c>
      <c r="N991" s="21"/>
      <c r="O991" s="21"/>
      <c r="P991" s="21"/>
      <c r="Q991" s="21"/>
      <c r="R991" s="21"/>
      <c r="S991" s="21"/>
      <c r="T991" s="21"/>
      <c r="U991" s="22">
        <f>IFERROR(__xludf.DUMMYFUNCTION("IFERROR(GOOGLEFINANCE(A991,""closeyest""),"""")"),1860.0)</f>
        <v>1860</v>
      </c>
      <c r="V991" s="23">
        <f>IFERROR(__xludf.DUMMYFUNCTION("IFERROR(GOOGLEFINANCE(A991,""changepct""),"""")"),2.42)</f>
        <v>2.42</v>
      </c>
      <c r="W991" s="22">
        <f>IFERROR(__xludf.DUMMYFUNCTION("IFERROR(GOOGLEFINANCE(A991,""priceopen""),"""")"),1865.0)</f>
        <v>1865</v>
      </c>
      <c r="X991" s="22">
        <f>IFERROR(__xludf.DUMMYFUNCTION("IFERROR(GOOGLEFINANCE(A991,""high""),"""")"),1930.0)</f>
        <v>1930</v>
      </c>
      <c r="Y991" s="22">
        <f>IFERROR(__xludf.DUMMYFUNCTION("IFERROR(GOOGLEFINANCE(A991,""low""),"""")"),1840.0)</f>
        <v>1840</v>
      </c>
      <c r="Z991" s="22">
        <f>IFERROR(__xludf.DUMMYFUNCTION("IFERROR(GOOGLEFINANCE(A991,""volume""),"""")"),3.02073E7)</f>
        <v>30207300</v>
      </c>
      <c r="AA991" s="24" t="str">
        <f>VLOOKUP(A991,Metrik!$C$2:$Y$959,5,0)</f>
        <v>Agricultural Products</v>
      </c>
      <c r="AB991" s="24" t="str">
        <f>VLOOKUP(A991,Metrik!$C$2:$Y$959,3,0)</f>
        <v>Consumer Non-Cyclicals</v>
      </c>
    </row>
    <row r="992">
      <c r="A992" s="14" t="s">
        <v>525</v>
      </c>
      <c r="B992" s="14" t="str">
        <f t="array" ref="B992">VLOOKUP(A992,{Metrik!$C$2:$C$998,Metrik!$B$2:$B$998},2,0)</f>
        <v>Japfa Comfeed Indonesia Tbk.</v>
      </c>
      <c r="C992" s="15">
        <f>IFERROR(__xludf.DUMMYFUNCTION("GOOGLEFINANCE(""IDX:""&amp;A992,""price"")"),1905.0)</f>
        <v>1905</v>
      </c>
      <c r="D992" s="16" t="str">
        <f>IFERROR(__xludf.DUMMYFUNCTION("IF(A992="""","""",
SPARKLINE(
INDEX(
GOOGLEFINANCE(""IDX:""&amp;A992,""close"",TODAY()-365,TODAY()),
,2
),
{""linewidth"",1}
))
"),"#N/A")</f>
        <v>#N/A</v>
      </c>
      <c r="E992" s="14" t="s">
        <v>28</v>
      </c>
      <c r="F992" s="17" t="s">
        <v>29</v>
      </c>
      <c r="G992" s="18">
        <f t="shared" si="7"/>
        <v>13</v>
      </c>
      <c r="H992" s="19">
        <f>VLOOKUP(A992,Metrik!$C$2:$Y$959,8,0)</f>
        <v>5.6</v>
      </c>
      <c r="I992" s="20">
        <f>VLOOKUP(A992,Metrik!$C$2:$Y$959,9,0)</f>
        <v>1.3</v>
      </c>
      <c r="J992" s="20">
        <f>VLOOKUP(A992,Metrik!$C$2:$Y$959,10,0)</f>
        <v>23.3</v>
      </c>
      <c r="K992" s="20">
        <f>VLOOKUP(A992,Metrik!$C$2:$Y$959,11,0)</f>
        <v>13.1</v>
      </c>
      <c r="L992" s="20">
        <f>VLOOKUP(A992,Metrik!$C$2:$Y$959,12,0)</f>
        <v>0.79</v>
      </c>
      <c r="M992" s="20">
        <f>VLOOKUP(A992,Metrik!$C$2:$Y$959,19,0)</f>
        <v>29</v>
      </c>
      <c r="N992" s="21"/>
      <c r="O992" s="21"/>
      <c r="P992" s="21"/>
      <c r="Q992" s="21"/>
      <c r="R992" s="21"/>
      <c r="S992" s="21"/>
      <c r="T992" s="21"/>
      <c r="U992" s="22">
        <f>IFERROR(__xludf.DUMMYFUNCTION("IFERROR(GOOGLEFINANCE(A992,""closeyest""),"""")"),1860.0)</f>
        <v>1860</v>
      </c>
      <c r="V992" s="23">
        <f>IFERROR(__xludf.DUMMYFUNCTION("IFERROR(GOOGLEFINANCE(A992,""changepct""),"""")"),2.42)</f>
        <v>2.42</v>
      </c>
      <c r="W992" s="22">
        <f>IFERROR(__xludf.DUMMYFUNCTION("IFERROR(GOOGLEFINANCE(A992,""priceopen""),"""")"),1865.0)</f>
        <v>1865</v>
      </c>
      <c r="X992" s="22">
        <f>IFERROR(__xludf.DUMMYFUNCTION("IFERROR(GOOGLEFINANCE(A992,""high""),"""")"),1930.0)</f>
        <v>1930</v>
      </c>
      <c r="Y992" s="22">
        <f>IFERROR(__xludf.DUMMYFUNCTION("IFERROR(GOOGLEFINANCE(A992,""low""),"""")"),1840.0)</f>
        <v>1840</v>
      </c>
      <c r="Z992" s="22">
        <f>IFERROR(__xludf.DUMMYFUNCTION("IFERROR(GOOGLEFINANCE(A992,""volume""),"""")"),3.02073E7)</f>
        <v>30207300</v>
      </c>
      <c r="AA992" s="24" t="str">
        <f>VLOOKUP(A992,Metrik!$C$2:$Y$959,5,0)</f>
        <v>Agricultural Products</v>
      </c>
      <c r="AB992" s="24" t="str">
        <f>VLOOKUP(A992,Metrik!$C$2:$Y$959,3,0)</f>
        <v>Consumer Non-Cyclicals</v>
      </c>
    </row>
    <row r="993">
      <c r="A993" s="14" t="s">
        <v>525</v>
      </c>
      <c r="B993" s="14" t="str">
        <f t="array" ref="B993">VLOOKUP(A993,{Metrik!$C$2:$C$998,Metrik!$B$2:$B$998},2,0)</f>
        <v>Japfa Comfeed Indonesia Tbk.</v>
      </c>
      <c r="C993" s="15">
        <f>IFERROR(__xludf.DUMMYFUNCTION("GOOGLEFINANCE(""IDX:""&amp;A993,""price"")"),1905.0)</f>
        <v>1905</v>
      </c>
      <c r="D993" s="16" t="str">
        <f>IFERROR(__xludf.DUMMYFUNCTION("IF(A993="""","""",
SPARKLINE(
INDEX(
GOOGLEFINANCE(""IDX:""&amp;A993,""close"",TODAY()-365,TODAY()),
,2
),
{""linewidth"",1}
))
"),"#N/A")</f>
        <v>#N/A</v>
      </c>
      <c r="E993" s="14" t="s">
        <v>67</v>
      </c>
      <c r="F993" s="17" t="s">
        <v>51</v>
      </c>
      <c r="G993" s="18">
        <f t="shared" si="7"/>
        <v>13</v>
      </c>
      <c r="H993" s="19">
        <f>VLOOKUP(A993,Metrik!$C$2:$Y$959,8,0)</f>
        <v>5.6</v>
      </c>
      <c r="I993" s="20">
        <f>VLOOKUP(A993,Metrik!$C$2:$Y$959,9,0)</f>
        <v>1.3</v>
      </c>
      <c r="J993" s="20">
        <f>VLOOKUP(A993,Metrik!$C$2:$Y$959,10,0)</f>
        <v>23.3</v>
      </c>
      <c r="K993" s="20">
        <f>VLOOKUP(A993,Metrik!$C$2:$Y$959,11,0)</f>
        <v>13.1</v>
      </c>
      <c r="L993" s="20">
        <f>VLOOKUP(A993,Metrik!$C$2:$Y$959,12,0)</f>
        <v>0.79</v>
      </c>
      <c r="M993" s="20">
        <f>VLOOKUP(A993,Metrik!$C$2:$Y$959,19,0)</f>
        <v>29</v>
      </c>
      <c r="N993" s="21"/>
      <c r="O993" s="21"/>
      <c r="P993" s="21"/>
      <c r="Q993" s="21"/>
      <c r="R993" s="21"/>
      <c r="S993" s="21"/>
      <c r="T993" s="21"/>
      <c r="U993" s="22">
        <f>IFERROR(__xludf.DUMMYFUNCTION("IFERROR(GOOGLEFINANCE(A993,""closeyest""),"""")"),1860.0)</f>
        <v>1860</v>
      </c>
      <c r="V993" s="23">
        <f>IFERROR(__xludf.DUMMYFUNCTION("IFERROR(GOOGLEFINANCE(A993,""changepct""),"""")"),2.42)</f>
        <v>2.42</v>
      </c>
      <c r="W993" s="22">
        <f>IFERROR(__xludf.DUMMYFUNCTION("IFERROR(GOOGLEFINANCE(A993,""priceopen""),"""")"),1865.0)</f>
        <v>1865</v>
      </c>
      <c r="X993" s="22">
        <f>IFERROR(__xludf.DUMMYFUNCTION("IFERROR(GOOGLEFINANCE(A993,""high""),"""")"),1930.0)</f>
        <v>1930</v>
      </c>
      <c r="Y993" s="22">
        <f>IFERROR(__xludf.DUMMYFUNCTION("IFERROR(GOOGLEFINANCE(A993,""low""),"""")"),1840.0)</f>
        <v>1840</v>
      </c>
      <c r="Z993" s="22">
        <f>IFERROR(__xludf.DUMMYFUNCTION("IFERROR(GOOGLEFINANCE(A993,""volume""),"""")"),3.02073E7)</f>
        <v>30207300</v>
      </c>
      <c r="AA993" s="24" t="str">
        <f>VLOOKUP(A993,Metrik!$C$2:$Y$959,5,0)</f>
        <v>Agricultural Products</v>
      </c>
      <c r="AB993" s="24" t="str">
        <f>VLOOKUP(A993,Metrik!$C$2:$Y$959,3,0)</f>
        <v>Consumer Non-Cyclicals</v>
      </c>
    </row>
    <row r="994">
      <c r="A994" s="14" t="s">
        <v>525</v>
      </c>
      <c r="B994" s="14" t="str">
        <f t="array" ref="B994">VLOOKUP(A994,{Metrik!$C$2:$C$998,Metrik!$B$2:$B$998},2,0)</f>
        <v>Japfa Comfeed Indonesia Tbk.</v>
      </c>
      <c r="C994" s="15">
        <f>IFERROR(__xludf.DUMMYFUNCTION("GOOGLEFINANCE(""IDX:""&amp;A994,""price"")"),1905.0)</f>
        <v>1905</v>
      </c>
      <c r="D994" s="16" t="str">
        <f>IFERROR(__xludf.DUMMYFUNCTION("IF(A994="""","""",
SPARKLINE(
INDEX(
GOOGLEFINANCE(""IDX:""&amp;A994,""close"",TODAY()-365,TODAY()),
,2
),
{""linewidth"",1}
))
"),"#N/A")</f>
        <v>#N/A</v>
      </c>
      <c r="E994" s="14" t="s">
        <v>84</v>
      </c>
      <c r="F994" s="17" t="s">
        <v>51</v>
      </c>
      <c r="G994" s="18">
        <f t="shared" si="7"/>
        <v>13</v>
      </c>
      <c r="H994" s="19">
        <f>VLOOKUP(A994,Metrik!$C$2:$Y$959,8,0)</f>
        <v>5.6</v>
      </c>
      <c r="I994" s="20">
        <f>VLOOKUP(A994,Metrik!$C$2:$Y$959,9,0)</f>
        <v>1.3</v>
      </c>
      <c r="J994" s="20">
        <f>VLOOKUP(A994,Metrik!$C$2:$Y$959,10,0)</f>
        <v>23.3</v>
      </c>
      <c r="K994" s="20">
        <f>VLOOKUP(A994,Metrik!$C$2:$Y$959,11,0)</f>
        <v>13.1</v>
      </c>
      <c r="L994" s="20">
        <f>VLOOKUP(A994,Metrik!$C$2:$Y$959,12,0)</f>
        <v>0.79</v>
      </c>
      <c r="M994" s="20">
        <f>VLOOKUP(A994,Metrik!$C$2:$Y$959,19,0)</f>
        <v>29</v>
      </c>
      <c r="N994" s="21"/>
      <c r="O994" s="21"/>
      <c r="P994" s="21"/>
      <c r="Q994" s="21"/>
      <c r="R994" s="21"/>
      <c r="S994" s="21"/>
      <c r="T994" s="21"/>
      <c r="U994" s="22">
        <f>IFERROR(__xludf.DUMMYFUNCTION("IFERROR(GOOGLEFINANCE(A994,""closeyest""),"""")"),1860.0)</f>
        <v>1860</v>
      </c>
      <c r="V994" s="23">
        <f>IFERROR(__xludf.DUMMYFUNCTION("IFERROR(GOOGLEFINANCE(A994,""changepct""),"""")"),2.42)</f>
        <v>2.42</v>
      </c>
      <c r="W994" s="22">
        <f>IFERROR(__xludf.DUMMYFUNCTION("IFERROR(GOOGLEFINANCE(A994,""priceopen""),"""")"),1865.0)</f>
        <v>1865</v>
      </c>
      <c r="X994" s="22">
        <f>IFERROR(__xludf.DUMMYFUNCTION("IFERROR(GOOGLEFINANCE(A994,""high""),"""")"),1930.0)</f>
        <v>1930</v>
      </c>
      <c r="Y994" s="22">
        <f>IFERROR(__xludf.DUMMYFUNCTION("IFERROR(GOOGLEFINANCE(A994,""low""),"""")"),1840.0)</f>
        <v>1840</v>
      </c>
      <c r="Z994" s="22">
        <f>IFERROR(__xludf.DUMMYFUNCTION("IFERROR(GOOGLEFINANCE(A994,""volume""),"""")"),3.02073E7)</f>
        <v>30207300</v>
      </c>
      <c r="AA994" s="24" t="str">
        <f>VLOOKUP(A994,Metrik!$C$2:$Y$959,5,0)</f>
        <v>Agricultural Products</v>
      </c>
      <c r="AB994" s="24" t="str">
        <f>VLOOKUP(A994,Metrik!$C$2:$Y$959,3,0)</f>
        <v>Consumer Non-Cyclicals</v>
      </c>
    </row>
    <row r="995">
      <c r="A995" s="14" t="s">
        <v>525</v>
      </c>
      <c r="B995" s="14" t="str">
        <f t="array" ref="B995">VLOOKUP(A995,{Metrik!$C$2:$C$998,Metrik!$B$2:$B$998},2,0)</f>
        <v>Japfa Comfeed Indonesia Tbk.</v>
      </c>
      <c r="C995" s="15">
        <f>IFERROR(__xludf.DUMMYFUNCTION("GOOGLEFINANCE(""IDX:""&amp;A995,""price"")"),1905.0)</f>
        <v>1905</v>
      </c>
      <c r="D995" s="16" t="str">
        <f>IFERROR(__xludf.DUMMYFUNCTION("IF(A995="""","""",
SPARKLINE(
INDEX(
GOOGLEFINANCE(""IDX:""&amp;A995,""close"",TODAY()-365,TODAY()),
,2
),
{""linewidth"",1}
))
"),"#N/A")</f>
        <v>#N/A</v>
      </c>
      <c r="E995" s="14" t="s">
        <v>102</v>
      </c>
      <c r="F995" s="27" t="s">
        <v>53</v>
      </c>
      <c r="G995" s="18">
        <f t="shared" si="7"/>
        <v>13</v>
      </c>
      <c r="H995" s="19">
        <f>VLOOKUP(A995,Metrik!$C$2:$Y$959,8,0)</f>
        <v>5.6</v>
      </c>
      <c r="I995" s="20">
        <f>VLOOKUP(A995,Metrik!$C$2:$Y$959,9,0)</f>
        <v>1.3</v>
      </c>
      <c r="J995" s="20">
        <f>VLOOKUP(A995,Metrik!$C$2:$Y$959,10,0)</f>
        <v>23.3</v>
      </c>
      <c r="K995" s="20">
        <f>VLOOKUP(A995,Metrik!$C$2:$Y$959,11,0)</f>
        <v>13.1</v>
      </c>
      <c r="L995" s="20">
        <f>VLOOKUP(A995,Metrik!$C$2:$Y$959,12,0)</f>
        <v>0.79</v>
      </c>
      <c r="M995" s="20">
        <f>VLOOKUP(A995,Metrik!$C$2:$Y$959,19,0)</f>
        <v>29</v>
      </c>
      <c r="N995" s="21"/>
      <c r="O995" s="21"/>
      <c r="P995" s="21"/>
      <c r="Q995" s="21"/>
      <c r="R995" s="21"/>
      <c r="S995" s="21"/>
      <c r="T995" s="21"/>
      <c r="U995" s="22">
        <f>IFERROR(__xludf.DUMMYFUNCTION("IFERROR(GOOGLEFINANCE(A995,""closeyest""),"""")"),1860.0)</f>
        <v>1860</v>
      </c>
      <c r="V995" s="23">
        <f>IFERROR(__xludf.DUMMYFUNCTION("IFERROR(GOOGLEFINANCE(A995,""changepct""),"""")"),2.42)</f>
        <v>2.42</v>
      </c>
      <c r="W995" s="22">
        <f>IFERROR(__xludf.DUMMYFUNCTION("IFERROR(GOOGLEFINANCE(A995,""priceopen""),"""")"),1865.0)</f>
        <v>1865</v>
      </c>
      <c r="X995" s="22">
        <f>IFERROR(__xludf.DUMMYFUNCTION("IFERROR(GOOGLEFINANCE(A995,""high""),"""")"),1930.0)</f>
        <v>1930</v>
      </c>
      <c r="Y995" s="22">
        <f>IFERROR(__xludf.DUMMYFUNCTION("IFERROR(GOOGLEFINANCE(A995,""low""),"""")"),1840.0)</f>
        <v>1840</v>
      </c>
      <c r="Z995" s="22">
        <f>IFERROR(__xludf.DUMMYFUNCTION("IFERROR(GOOGLEFINANCE(A995,""volume""),"""")"),3.02073E7)</f>
        <v>30207300</v>
      </c>
      <c r="AA995" s="24" t="str">
        <f>VLOOKUP(A995,Metrik!$C$2:$Y$959,5,0)</f>
        <v>Agricultural Products</v>
      </c>
      <c r="AB995" s="24" t="str">
        <f>VLOOKUP(A995,Metrik!$C$2:$Y$959,3,0)</f>
        <v>Consumer Non-Cyclicals</v>
      </c>
    </row>
    <row r="996">
      <c r="A996" s="14" t="s">
        <v>525</v>
      </c>
      <c r="B996" s="14" t="str">
        <f t="array" ref="B996">VLOOKUP(A996,{Metrik!$C$2:$C$998,Metrik!$B$2:$B$998},2,0)</f>
        <v>Japfa Comfeed Indonesia Tbk.</v>
      </c>
      <c r="C996" s="15">
        <f>IFERROR(__xludf.DUMMYFUNCTION("GOOGLEFINANCE(""IDX:""&amp;A996,""price"")"),1905.0)</f>
        <v>1905</v>
      </c>
      <c r="D996" s="16" t="str">
        <f>IFERROR(__xludf.DUMMYFUNCTION("IF(A996="""","""",
SPARKLINE(
INDEX(
GOOGLEFINANCE(""IDX:""&amp;A996,""close"",TODAY()-365,TODAY()),
,2
),
{""linewidth"",1}
))
"),"#N/A")</f>
        <v>#N/A</v>
      </c>
      <c r="E996" s="14" t="s">
        <v>32</v>
      </c>
      <c r="F996" s="14" t="s">
        <v>29</v>
      </c>
      <c r="G996" s="18">
        <f t="shared" si="7"/>
        <v>13</v>
      </c>
      <c r="H996" s="19">
        <f>VLOOKUP(A996,Metrik!$C$2:$Y$959,8,0)</f>
        <v>5.6</v>
      </c>
      <c r="I996" s="20">
        <f>VLOOKUP(A996,Metrik!$C$2:$Y$959,9,0)</f>
        <v>1.3</v>
      </c>
      <c r="J996" s="20">
        <f>VLOOKUP(A996,Metrik!$C$2:$Y$959,10,0)</f>
        <v>23.3</v>
      </c>
      <c r="K996" s="20">
        <f>VLOOKUP(A996,Metrik!$C$2:$Y$959,11,0)</f>
        <v>13.1</v>
      </c>
      <c r="L996" s="20">
        <f>VLOOKUP(A996,Metrik!$C$2:$Y$959,12,0)</f>
        <v>0.79</v>
      </c>
      <c r="M996" s="20">
        <f>VLOOKUP(A996,Metrik!$C$2:$Y$959,19,0)</f>
        <v>29</v>
      </c>
      <c r="N996" s="21"/>
      <c r="O996" s="21"/>
      <c r="P996" s="21"/>
      <c r="Q996" s="21"/>
      <c r="R996" s="21"/>
      <c r="S996" s="21"/>
      <c r="T996" s="21"/>
      <c r="U996" s="22">
        <f>IFERROR(__xludf.DUMMYFUNCTION("IFERROR(GOOGLEFINANCE(A996,""closeyest""),"""")"),1860.0)</f>
        <v>1860</v>
      </c>
      <c r="V996" s="23">
        <f>IFERROR(__xludf.DUMMYFUNCTION("IFERROR(GOOGLEFINANCE(A996,""changepct""),"""")"),2.42)</f>
        <v>2.42</v>
      </c>
      <c r="W996" s="22">
        <f>IFERROR(__xludf.DUMMYFUNCTION("IFERROR(GOOGLEFINANCE(A996,""priceopen""),"""")"),1865.0)</f>
        <v>1865</v>
      </c>
      <c r="X996" s="22">
        <f>IFERROR(__xludf.DUMMYFUNCTION("IFERROR(GOOGLEFINANCE(A996,""high""),"""")"),1930.0)</f>
        <v>1930</v>
      </c>
      <c r="Y996" s="22">
        <f>IFERROR(__xludf.DUMMYFUNCTION("IFERROR(GOOGLEFINANCE(A996,""low""),"""")"),1840.0)</f>
        <v>1840</v>
      </c>
      <c r="Z996" s="22">
        <f>IFERROR(__xludf.DUMMYFUNCTION("IFERROR(GOOGLEFINANCE(A996,""volume""),"""")"),3.02073E7)</f>
        <v>30207300</v>
      </c>
      <c r="AA996" s="24" t="str">
        <f>VLOOKUP(A996,Metrik!$C$2:$Y$959,5,0)</f>
        <v>Agricultural Products</v>
      </c>
      <c r="AB996" s="24" t="str">
        <f>VLOOKUP(A996,Metrik!$C$2:$Y$959,3,0)</f>
        <v>Consumer Non-Cyclicals</v>
      </c>
    </row>
    <row r="997">
      <c r="A997" s="14" t="s">
        <v>525</v>
      </c>
      <c r="B997" s="14" t="str">
        <f t="array" ref="B997">VLOOKUP(A997,{Metrik!$C$2:$C$998,Metrik!$B$2:$B$998},2,0)</f>
        <v>Japfa Comfeed Indonesia Tbk.</v>
      </c>
      <c r="C997" s="15">
        <f>IFERROR(__xludf.DUMMYFUNCTION("GOOGLEFINANCE(""IDX:""&amp;A997,""price"")"),1905.0)</f>
        <v>1905</v>
      </c>
      <c r="D997" s="16" t="str">
        <f>IFERROR(__xludf.DUMMYFUNCTION("IF(A997="""","""",
SPARKLINE(
INDEX(
GOOGLEFINANCE(""IDX:""&amp;A997,""close"",TODAY()-365,TODAY()),
,2
),
{""linewidth"",1}
))
"),"#N/A")</f>
        <v>#N/A</v>
      </c>
      <c r="E997" s="14" t="s">
        <v>54</v>
      </c>
      <c r="F997" s="14" t="s">
        <v>34</v>
      </c>
      <c r="G997" s="18">
        <f t="shared" si="7"/>
        <v>13</v>
      </c>
      <c r="H997" s="19">
        <f>VLOOKUP(A997,Metrik!$C$2:$Y$959,8,0)</f>
        <v>5.6</v>
      </c>
      <c r="I997" s="20">
        <f>VLOOKUP(A997,Metrik!$C$2:$Y$959,9,0)</f>
        <v>1.3</v>
      </c>
      <c r="J997" s="20">
        <f>VLOOKUP(A997,Metrik!$C$2:$Y$959,10,0)</f>
        <v>23.3</v>
      </c>
      <c r="K997" s="20">
        <f>VLOOKUP(A997,Metrik!$C$2:$Y$959,11,0)</f>
        <v>13.1</v>
      </c>
      <c r="L997" s="20">
        <f>VLOOKUP(A997,Metrik!$C$2:$Y$959,12,0)</f>
        <v>0.79</v>
      </c>
      <c r="M997" s="20">
        <f>VLOOKUP(A997,Metrik!$C$2:$Y$959,19,0)</f>
        <v>29</v>
      </c>
      <c r="N997" s="21"/>
      <c r="O997" s="21"/>
      <c r="P997" s="21"/>
      <c r="Q997" s="21"/>
      <c r="R997" s="21"/>
      <c r="S997" s="21"/>
      <c r="T997" s="21"/>
      <c r="U997" s="22">
        <f>IFERROR(__xludf.DUMMYFUNCTION("IFERROR(GOOGLEFINANCE(A997,""closeyest""),"""")"),1860.0)</f>
        <v>1860</v>
      </c>
      <c r="V997" s="23">
        <f>IFERROR(__xludf.DUMMYFUNCTION("IFERROR(GOOGLEFINANCE(A997,""changepct""),"""")"),2.42)</f>
        <v>2.42</v>
      </c>
      <c r="W997" s="22">
        <f>IFERROR(__xludf.DUMMYFUNCTION("IFERROR(GOOGLEFINANCE(A997,""priceopen""),"""")"),1865.0)</f>
        <v>1865</v>
      </c>
      <c r="X997" s="22">
        <f>IFERROR(__xludf.DUMMYFUNCTION("IFERROR(GOOGLEFINANCE(A997,""high""),"""")"),1930.0)</f>
        <v>1930</v>
      </c>
      <c r="Y997" s="22">
        <f>IFERROR(__xludf.DUMMYFUNCTION("IFERROR(GOOGLEFINANCE(A997,""low""),"""")"),1840.0)</f>
        <v>1840</v>
      </c>
      <c r="Z997" s="22">
        <f>IFERROR(__xludf.DUMMYFUNCTION("IFERROR(GOOGLEFINANCE(A997,""volume""),"""")"),3.02073E7)</f>
        <v>30207300</v>
      </c>
      <c r="AA997" s="24" t="str">
        <f>VLOOKUP(A997,Metrik!$C$2:$Y$959,5,0)</f>
        <v>Agricultural Products</v>
      </c>
      <c r="AB997" s="24" t="str">
        <f>VLOOKUP(A997,Metrik!$C$2:$Y$959,3,0)</f>
        <v>Consumer Non-Cyclicals</v>
      </c>
    </row>
    <row r="998">
      <c r="A998" s="14" t="s">
        <v>525</v>
      </c>
      <c r="B998" s="14" t="str">
        <f t="array" ref="B998">VLOOKUP(A998,{Metrik!$C$2:$C$998,Metrik!$B$2:$B$998},2,0)</f>
        <v>Japfa Comfeed Indonesia Tbk.</v>
      </c>
      <c r="C998" s="15">
        <f>IFERROR(__xludf.DUMMYFUNCTION("GOOGLEFINANCE(""IDX:""&amp;A998,""price"")"),1905.0)</f>
        <v>1905</v>
      </c>
      <c r="D998" s="16" t="str">
        <f>IFERROR(__xludf.DUMMYFUNCTION("IF(A998="""","""",
SPARKLINE(
INDEX(
GOOGLEFINANCE(""IDX:""&amp;A998,""close"",TODAY()-365,TODAY()),
,2
),
{""linewidth"",1}
))
"),"#N/A")</f>
        <v>#N/A</v>
      </c>
      <c r="E998" s="14" t="s">
        <v>68</v>
      </c>
      <c r="F998" s="14" t="s">
        <v>34</v>
      </c>
      <c r="G998" s="18">
        <f t="shared" si="7"/>
        <v>13</v>
      </c>
      <c r="H998" s="19">
        <f>VLOOKUP(A998,Metrik!$C$2:$Y$959,8,0)</f>
        <v>5.6</v>
      </c>
      <c r="I998" s="20">
        <f>VLOOKUP(A998,Metrik!$C$2:$Y$959,9,0)</f>
        <v>1.3</v>
      </c>
      <c r="J998" s="20">
        <f>VLOOKUP(A998,Metrik!$C$2:$Y$959,10,0)</f>
        <v>23.3</v>
      </c>
      <c r="K998" s="20">
        <f>VLOOKUP(A998,Metrik!$C$2:$Y$959,11,0)</f>
        <v>13.1</v>
      </c>
      <c r="L998" s="20">
        <f>VLOOKUP(A998,Metrik!$C$2:$Y$959,12,0)</f>
        <v>0.79</v>
      </c>
      <c r="M998" s="20">
        <f>VLOOKUP(A998,Metrik!$C$2:$Y$959,19,0)</f>
        <v>29</v>
      </c>
      <c r="N998" s="21"/>
      <c r="O998" s="21"/>
      <c r="P998" s="21"/>
      <c r="Q998" s="21"/>
      <c r="R998" s="21"/>
      <c r="S998" s="21"/>
      <c r="T998" s="21"/>
      <c r="U998" s="22">
        <f>IFERROR(__xludf.DUMMYFUNCTION("IFERROR(GOOGLEFINANCE(A998,""closeyest""),"""")"),1860.0)</f>
        <v>1860</v>
      </c>
      <c r="V998" s="23">
        <f>IFERROR(__xludf.DUMMYFUNCTION("IFERROR(GOOGLEFINANCE(A998,""changepct""),"""")"),2.42)</f>
        <v>2.42</v>
      </c>
      <c r="W998" s="22">
        <f>IFERROR(__xludf.DUMMYFUNCTION("IFERROR(GOOGLEFINANCE(A998,""priceopen""),"""")"),1865.0)</f>
        <v>1865</v>
      </c>
      <c r="X998" s="22">
        <f>IFERROR(__xludf.DUMMYFUNCTION("IFERROR(GOOGLEFINANCE(A998,""high""),"""")"),1930.0)</f>
        <v>1930</v>
      </c>
      <c r="Y998" s="22">
        <f>IFERROR(__xludf.DUMMYFUNCTION("IFERROR(GOOGLEFINANCE(A998,""low""),"""")"),1840.0)</f>
        <v>1840</v>
      </c>
      <c r="Z998" s="22">
        <f>IFERROR(__xludf.DUMMYFUNCTION("IFERROR(GOOGLEFINANCE(A998,""volume""),"""")"),3.02073E7)</f>
        <v>30207300</v>
      </c>
      <c r="AA998" s="24" t="str">
        <f>VLOOKUP(A998,Metrik!$C$2:$Y$959,5,0)</f>
        <v>Agricultural Products</v>
      </c>
      <c r="AB998" s="24" t="str">
        <f>VLOOKUP(A998,Metrik!$C$2:$Y$959,3,0)</f>
        <v>Consumer Non-Cyclicals</v>
      </c>
    </row>
    <row r="999">
      <c r="A999" s="14" t="s">
        <v>525</v>
      </c>
      <c r="B999" s="14" t="str">
        <f t="array" ref="B999">VLOOKUP(A999,{Metrik!$C$2:$C$998,Metrik!$B$2:$B$998},2,0)</f>
        <v>Japfa Comfeed Indonesia Tbk.</v>
      </c>
      <c r="C999" s="15">
        <f>IFERROR(__xludf.DUMMYFUNCTION("GOOGLEFINANCE(""IDX:""&amp;A999,""price"")"),1905.0)</f>
        <v>1905</v>
      </c>
      <c r="D999" s="16" t="str">
        <f>IFERROR(__xludf.DUMMYFUNCTION("IF(A999="""","""",
SPARKLINE(
INDEX(
GOOGLEFINANCE(""IDX:""&amp;A999,""close"",TODAY()-365,TODAY()),
,2
),
{""linewidth"",1}
))
"),"#N/A")</f>
        <v>#N/A</v>
      </c>
      <c r="E999" s="14" t="s">
        <v>41</v>
      </c>
      <c r="F999" s="14" t="s">
        <v>34</v>
      </c>
      <c r="G999" s="18">
        <f t="shared" si="7"/>
        <v>13</v>
      </c>
      <c r="H999" s="19">
        <f>VLOOKUP(A999,Metrik!$C$2:$Y$959,8,0)</f>
        <v>5.6</v>
      </c>
      <c r="I999" s="20">
        <f>VLOOKUP(A999,Metrik!$C$2:$Y$959,9,0)</f>
        <v>1.3</v>
      </c>
      <c r="J999" s="20">
        <f>VLOOKUP(A999,Metrik!$C$2:$Y$959,10,0)</f>
        <v>23.3</v>
      </c>
      <c r="K999" s="20">
        <f>VLOOKUP(A999,Metrik!$C$2:$Y$959,11,0)</f>
        <v>13.1</v>
      </c>
      <c r="L999" s="20">
        <f>VLOOKUP(A999,Metrik!$C$2:$Y$959,12,0)</f>
        <v>0.79</v>
      </c>
      <c r="M999" s="20">
        <f>VLOOKUP(A999,Metrik!$C$2:$Y$959,19,0)</f>
        <v>29</v>
      </c>
      <c r="N999" s="21"/>
      <c r="O999" s="21"/>
      <c r="P999" s="21"/>
      <c r="Q999" s="21"/>
      <c r="R999" s="21"/>
      <c r="S999" s="21"/>
      <c r="T999" s="21"/>
      <c r="U999" s="22">
        <f>IFERROR(__xludf.DUMMYFUNCTION("IFERROR(GOOGLEFINANCE(A999,""closeyest""),"""")"),1860.0)</f>
        <v>1860</v>
      </c>
      <c r="V999" s="23">
        <f>IFERROR(__xludf.DUMMYFUNCTION("IFERROR(GOOGLEFINANCE(A999,""changepct""),"""")"),2.42)</f>
        <v>2.42</v>
      </c>
      <c r="W999" s="22">
        <f>IFERROR(__xludf.DUMMYFUNCTION("IFERROR(GOOGLEFINANCE(A999,""priceopen""),"""")"),1865.0)</f>
        <v>1865</v>
      </c>
      <c r="X999" s="22">
        <f>IFERROR(__xludf.DUMMYFUNCTION("IFERROR(GOOGLEFINANCE(A999,""high""),"""")"),1930.0)</f>
        <v>1930</v>
      </c>
      <c r="Y999" s="22">
        <f>IFERROR(__xludf.DUMMYFUNCTION("IFERROR(GOOGLEFINANCE(A999,""low""),"""")"),1840.0)</f>
        <v>1840</v>
      </c>
      <c r="Z999" s="22">
        <f>IFERROR(__xludf.DUMMYFUNCTION("IFERROR(GOOGLEFINANCE(A999,""volume""),"""")"),3.02073E7)</f>
        <v>30207300</v>
      </c>
      <c r="AA999" s="24" t="str">
        <f>VLOOKUP(A999,Metrik!$C$2:$Y$959,5,0)</f>
        <v>Agricultural Products</v>
      </c>
      <c r="AB999" s="24" t="str">
        <f>VLOOKUP(A999,Metrik!$C$2:$Y$959,3,0)</f>
        <v>Consumer Non-Cyclicals</v>
      </c>
    </row>
    <row r="1000">
      <c r="A1000" s="17" t="s">
        <v>525</v>
      </c>
      <c r="B1000" s="14" t="str">
        <f t="array" ref="B1000">VLOOKUP(A1000,{Metrik!$C$2:$C$998,Metrik!$B$2:$B$998},2,0)</f>
        <v>Japfa Comfeed Indonesia Tbk.</v>
      </c>
      <c r="C1000" s="15">
        <f>IFERROR(__xludf.DUMMYFUNCTION("GOOGLEFINANCE(""IDX:""&amp;A1000,""price"")"),1905.0)</f>
        <v>1905</v>
      </c>
      <c r="D1000" s="16" t="str">
        <f>IFERROR(__xludf.DUMMYFUNCTION("IF(A1000="""","""",
SPARKLINE(
INDEX(
GOOGLEFINANCE(""IDX:""&amp;A1000,""close"",TODAY()-365,TODAY()),
,2
),
{""linewidth"",1}
))
"),"#N/A")</f>
        <v>#N/A</v>
      </c>
      <c r="E1000" s="14" t="s">
        <v>35</v>
      </c>
      <c r="F1000" s="17" t="s">
        <v>36</v>
      </c>
      <c r="G1000" s="33">
        <f t="shared" si="7"/>
        <v>13</v>
      </c>
      <c r="H1000" s="34">
        <f>VLOOKUP(A1000,Metrik!$C$2:$Y$959,8,0)</f>
        <v>5.6</v>
      </c>
      <c r="I1000" s="34">
        <f>VLOOKUP(A1000,Metrik!$C$2:$Y$959,9,0)</f>
        <v>1.3</v>
      </c>
      <c r="J1000" s="34">
        <f>VLOOKUP(A1000,Metrik!$C$2:$Y$959,10,0)</f>
        <v>23.3</v>
      </c>
      <c r="K1000" s="34">
        <f>VLOOKUP(A1000,Metrik!$C$2:$Y$959,11,0)</f>
        <v>13.1</v>
      </c>
      <c r="L1000" s="34">
        <f>VLOOKUP(A1000,Metrik!$C$2:$Y$959,12,0)</f>
        <v>0.79</v>
      </c>
      <c r="M1000" s="34">
        <f>VLOOKUP(A1000,Metrik!$C$2:$Y$959,19,0)</f>
        <v>29</v>
      </c>
      <c r="N1000" s="26"/>
      <c r="O1000" s="26"/>
      <c r="P1000" s="26"/>
      <c r="Q1000" s="26"/>
      <c r="R1000" s="26"/>
      <c r="S1000" s="26"/>
      <c r="T1000" s="26"/>
      <c r="U1000" s="35">
        <f>IFERROR(__xludf.DUMMYFUNCTION("IFERROR(GOOGLEFINANCE(A1000,""closeyest""),"""")"),1860.0)</f>
        <v>1860</v>
      </c>
      <c r="V1000" s="36">
        <f>IFERROR(__xludf.DUMMYFUNCTION("IFERROR(GOOGLEFINANCE(A1000,""changepct""),"""")"),2.42)</f>
        <v>2.42</v>
      </c>
      <c r="W1000" s="35">
        <f>IFERROR(__xludf.DUMMYFUNCTION("IFERROR(GOOGLEFINANCE(A1000,""priceopen""),"""")"),1865.0)</f>
        <v>1865</v>
      </c>
      <c r="X1000" s="35">
        <f>IFERROR(__xludf.DUMMYFUNCTION("IFERROR(GOOGLEFINANCE(A1000,""high""),"""")"),1930.0)</f>
        <v>1930</v>
      </c>
      <c r="Y1000" s="35">
        <f>IFERROR(__xludf.DUMMYFUNCTION("IFERROR(GOOGLEFINANCE(A1000,""low""),"""")"),1840.0)</f>
        <v>1840</v>
      </c>
      <c r="Z1000" s="35">
        <f>IFERROR(__xludf.DUMMYFUNCTION("IFERROR(GOOGLEFINANCE(A1000,""volume""),"""")"),3.02073E7)</f>
        <v>30207300</v>
      </c>
      <c r="AA1000" s="14" t="str">
        <f>VLOOKUP(A1000,Metrik!$C$2:$Y$959,5,0)</f>
        <v>Agricultural Products</v>
      </c>
      <c r="AB1000" s="14" t="str">
        <f>VLOOKUP(A1000,Metrik!$C$2:$Y$959,3,0)</f>
        <v>Consumer Non-Cyclicals</v>
      </c>
    </row>
    <row r="1001">
      <c r="A1001" s="14" t="s">
        <v>525</v>
      </c>
      <c r="B1001" s="14" t="str">
        <f t="array" ref="B1001">VLOOKUP(A1001,{Metrik!$C$2:$C$998,Metrik!$B$2:$B$998},2,0)</f>
        <v>Japfa Comfeed Indonesia Tbk.</v>
      </c>
      <c r="C1001" s="15">
        <f>IFERROR(__xludf.DUMMYFUNCTION("GOOGLEFINANCE(""IDX:""&amp;A1001,""price"")"),1905.0)</f>
        <v>1905</v>
      </c>
      <c r="D1001" s="16" t="str">
        <f>IFERROR(__xludf.DUMMYFUNCTION("IF(A1001="""","""",
SPARKLINE(
INDEX(
GOOGLEFINANCE(""IDX:""&amp;A1001,""close"",TODAY()-365,TODAY()),
,2
),
{""linewidth"",1}
))
"),"#N/A")</f>
        <v>#N/A</v>
      </c>
      <c r="E1001" s="14" t="s">
        <v>38</v>
      </c>
      <c r="F1001" s="25">
        <v>46356.0</v>
      </c>
      <c r="G1001" s="18">
        <f t="shared" si="7"/>
        <v>13</v>
      </c>
      <c r="H1001" s="19">
        <f>VLOOKUP(A1001,Metrik!$C$2:$Y$959,8,0)</f>
        <v>5.6</v>
      </c>
      <c r="I1001" s="20">
        <f>VLOOKUP(A1001,Metrik!$C$2:$Y$959,9,0)</f>
        <v>1.3</v>
      </c>
      <c r="J1001" s="20">
        <f>VLOOKUP(A1001,Metrik!$C$2:$Y$959,10,0)</f>
        <v>23.3</v>
      </c>
      <c r="K1001" s="20">
        <f>VLOOKUP(A1001,Metrik!$C$2:$Y$959,11,0)</f>
        <v>13.1</v>
      </c>
      <c r="L1001" s="20">
        <f>VLOOKUP(A1001,Metrik!$C$2:$Y$959,12,0)</f>
        <v>0.79</v>
      </c>
      <c r="M1001" s="20">
        <f>VLOOKUP(A1001,Metrik!$C$2:$Y$959,19,0)</f>
        <v>29</v>
      </c>
      <c r="N1001" s="21"/>
      <c r="O1001" s="21"/>
      <c r="P1001" s="21"/>
      <c r="Q1001" s="21"/>
      <c r="R1001" s="21"/>
      <c r="S1001" s="21"/>
      <c r="T1001" s="21"/>
      <c r="U1001" s="22">
        <f>IFERROR(__xludf.DUMMYFUNCTION("IFERROR(GOOGLEFINANCE(A1001,""closeyest""),"""")"),1860.0)</f>
        <v>1860</v>
      </c>
      <c r="V1001" s="23">
        <f>IFERROR(__xludf.DUMMYFUNCTION("IFERROR(GOOGLEFINANCE(A1001,""changepct""),"""")"),2.42)</f>
        <v>2.42</v>
      </c>
      <c r="W1001" s="22">
        <f>IFERROR(__xludf.DUMMYFUNCTION("IFERROR(GOOGLEFINANCE(A1001,""priceopen""),"""")"),1865.0)</f>
        <v>1865</v>
      </c>
      <c r="X1001" s="22">
        <f>IFERROR(__xludf.DUMMYFUNCTION("IFERROR(GOOGLEFINANCE(A1001,""high""),"""")"),1930.0)</f>
        <v>1930</v>
      </c>
      <c r="Y1001" s="22">
        <f>IFERROR(__xludf.DUMMYFUNCTION("IFERROR(GOOGLEFINANCE(A1001,""low""),"""")"),1840.0)</f>
        <v>1840</v>
      </c>
      <c r="Z1001" s="22">
        <f>IFERROR(__xludf.DUMMYFUNCTION("IFERROR(GOOGLEFINANCE(A1001,""volume""),"""")"),3.02073E7)</f>
        <v>30207300</v>
      </c>
      <c r="AA1001" s="24" t="str">
        <f>VLOOKUP(A1001,Metrik!$C$2:$Y$959,5,0)</f>
        <v>Agricultural Products</v>
      </c>
      <c r="AB1001" s="24" t="str">
        <f>VLOOKUP(A1001,Metrik!$C$2:$Y$959,3,0)</f>
        <v>Consumer Non-Cyclicals</v>
      </c>
    </row>
    <row r="1002">
      <c r="A1002" s="14" t="s">
        <v>525</v>
      </c>
      <c r="B1002" s="14" t="str">
        <f t="array" ref="B1002">VLOOKUP(A1002,{Metrik!$C$2:$C$998,Metrik!$B$2:$B$998},2,0)</f>
        <v>Japfa Comfeed Indonesia Tbk.</v>
      </c>
      <c r="C1002" s="15">
        <f>IFERROR(__xludf.DUMMYFUNCTION("GOOGLEFINANCE(""IDX:""&amp;A1002,""price"")"),1905.0)</f>
        <v>1905</v>
      </c>
      <c r="D1002" s="16" t="str">
        <f>IFERROR(__xludf.DUMMYFUNCTION("IF(A1002="""","""",
SPARKLINE(
INDEX(
GOOGLEFINANCE(""IDX:""&amp;A1002,""close"",TODAY()-365,TODAY()),
,2
),
{""linewidth"",1}
))
"),"#N/A")</f>
        <v>#N/A</v>
      </c>
      <c r="E1002" s="14" t="s">
        <v>39</v>
      </c>
      <c r="F1002" s="25">
        <v>46356.0</v>
      </c>
      <c r="G1002" s="18">
        <f t="shared" si="7"/>
        <v>13</v>
      </c>
      <c r="H1002" s="19">
        <f>VLOOKUP(A1002,Metrik!$C$2:$Y$959,8,0)</f>
        <v>5.6</v>
      </c>
      <c r="I1002" s="20">
        <f>VLOOKUP(A1002,Metrik!$C$2:$Y$959,9,0)</f>
        <v>1.3</v>
      </c>
      <c r="J1002" s="20">
        <f>VLOOKUP(A1002,Metrik!$C$2:$Y$959,10,0)</f>
        <v>23.3</v>
      </c>
      <c r="K1002" s="20">
        <f>VLOOKUP(A1002,Metrik!$C$2:$Y$959,11,0)</f>
        <v>13.1</v>
      </c>
      <c r="L1002" s="20">
        <f>VLOOKUP(A1002,Metrik!$C$2:$Y$959,12,0)</f>
        <v>0.79</v>
      </c>
      <c r="M1002" s="20">
        <f>VLOOKUP(A1002,Metrik!$C$2:$Y$959,19,0)</f>
        <v>29</v>
      </c>
      <c r="N1002" s="21"/>
      <c r="O1002" s="21"/>
      <c r="P1002" s="21"/>
      <c r="Q1002" s="21"/>
      <c r="R1002" s="21"/>
      <c r="S1002" s="21"/>
      <c r="T1002" s="21"/>
      <c r="U1002" s="22">
        <f>IFERROR(__xludf.DUMMYFUNCTION("IFERROR(GOOGLEFINANCE(A1002,""closeyest""),"""")"),1860.0)</f>
        <v>1860</v>
      </c>
      <c r="V1002" s="23">
        <f>IFERROR(__xludf.DUMMYFUNCTION("IFERROR(GOOGLEFINANCE(A1002,""changepct""),"""")"),2.42)</f>
        <v>2.42</v>
      </c>
      <c r="W1002" s="22">
        <f>IFERROR(__xludf.DUMMYFUNCTION("IFERROR(GOOGLEFINANCE(A1002,""priceopen""),"""")"),1865.0)</f>
        <v>1865</v>
      </c>
      <c r="X1002" s="22">
        <f>IFERROR(__xludf.DUMMYFUNCTION("IFERROR(GOOGLEFINANCE(A1002,""high""),"""")"),1930.0)</f>
        <v>1930</v>
      </c>
      <c r="Y1002" s="22">
        <f>IFERROR(__xludf.DUMMYFUNCTION("IFERROR(GOOGLEFINANCE(A1002,""low""),"""")"),1840.0)</f>
        <v>1840</v>
      </c>
      <c r="Z1002" s="22">
        <f>IFERROR(__xludf.DUMMYFUNCTION("IFERROR(GOOGLEFINANCE(A1002,""volume""),"""")"),3.02073E7)</f>
        <v>30207300</v>
      </c>
      <c r="AA1002" s="24" t="str">
        <f>VLOOKUP(A1002,Metrik!$C$2:$Y$959,5,0)</f>
        <v>Agricultural Products</v>
      </c>
      <c r="AB1002" s="24" t="str">
        <f>VLOOKUP(A1002,Metrik!$C$2:$Y$959,3,0)</f>
        <v>Consumer Non-Cyclicals</v>
      </c>
    </row>
    <row r="1003">
      <c r="A1003" s="14" t="s">
        <v>526</v>
      </c>
      <c r="B1003" s="14" t="str">
        <f t="array" ref="B1003">VLOOKUP(A1003,{Metrik!$C$2:$C$998,Metrik!$B$2:$B$998},2,0)</f>
        <v>Jaya Real Property Tbk.</v>
      </c>
      <c r="C1003" s="15">
        <f>IFERROR(__xludf.DUMMYFUNCTION("GOOGLEFINANCE(""IDX:""&amp;A1003,""price"")"),1080.0)</f>
        <v>1080</v>
      </c>
      <c r="D1003" s="16" t="str">
        <f>IFERROR(__xludf.DUMMYFUNCTION("IF(A1003="""","""",
SPARKLINE(
INDEX(
GOOGLEFINANCE(""IDX:""&amp;A1003,""close"",TODAY()-365,TODAY()),
,2
),
{""linewidth"",1}
))
"),"#N/A")</f>
        <v>#N/A</v>
      </c>
      <c r="E1003" s="14" t="s">
        <v>106</v>
      </c>
      <c r="F1003" s="25">
        <v>46356.0</v>
      </c>
      <c r="G1003" s="24">
        <f t="shared" si="7"/>
        <v>1</v>
      </c>
      <c r="H1003" s="19">
        <f>VLOOKUP(A1003,Metrik!$C$2:$Y$959,8,0)</f>
        <v>10.6</v>
      </c>
      <c r="I1003" s="20">
        <f>VLOOKUP(A1003,Metrik!$C$2:$Y$959,9,0)</f>
        <v>1.3</v>
      </c>
      <c r="J1003" s="20">
        <f>VLOOKUP(A1003,Metrik!$C$2:$Y$959,10,0)</f>
        <v>11.9</v>
      </c>
      <c r="K1003" s="20">
        <f>VLOOKUP(A1003,Metrik!$C$2:$Y$959,11,0)</f>
        <v>8.7</v>
      </c>
      <c r="L1003" s="20">
        <f>VLOOKUP(A1003,Metrik!$C$2:$Y$959,12,0)</f>
        <v>0.36</v>
      </c>
      <c r="M1003" s="20">
        <f>VLOOKUP(A1003,Metrik!$C$2:$Y$959,19,0)</f>
        <v>180</v>
      </c>
      <c r="N1003" s="21"/>
      <c r="O1003" s="21"/>
      <c r="P1003" s="21"/>
      <c r="Q1003" s="21"/>
      <c r="R1003" s="21"/>
      <c r="S1003" s="21"/>
      <c r="T1003" s="21"/>
      <c r="U1003" s="22">
        <f>IFERROR(__xludf.DUMMYFUNCTION("IFERROR(GOOGLEFINANCE(A1003,""closeyest""),"""")"),1080.0)</f>
        <v>1080</v>
      </c>
      <c r="V1003" s="23">
        <f>IFERROR(__xludf.DUMMYFUNCTION("IFERROR(GOOGLEFINANCE(A1003,""changepct""),"""")"),0.0)</f>
        <v>0</v>
      </c>
      <c r="W1003" s="22">
        <f>IFERROR(__xludf.DUMMYFUNCTION("IFERROR(GOOGLEFINANCE(A1003,""priceopen""),"""")"),1080.0)</f>
        <v>1080</v>
      </c>
      <c r="X1003" s="22">
        <f>IFERROR(__xludf.DUMMYFUNCTION("IFERROR(GOOGLEFINANCE(A1003,""high""),"""")"),1085.0)</f>
        <v>1085</v>
      </c>
      <c r="Y1003" s="22">
        <f>IFERROR(__xludf.DUMMYFUNCTION("IFERROR(GOOGLEFINANCE(A1003,""low""),"""")"),1070.0)</f>
        <v>1070</v>
      </c>
      <c r="Z1003" s="22">
        <f>IFERROR(__xludf.DUMMYFUNCTION("IFERROR(GOOGLEFINANCE(A1003,""volume""),"""")"),365600.0)</f>
        <v>365600</v>
      </c>
      <c r="AA1003" s="24" t="str">
        <f>VLOOKUP(A1003,Metrik!$C$2:$Y$959,5,0)</f>
        <v>Real Estate Management &amp; Development</v>
      </c>
      <c r="AB1003" s="24" t="str">
        <f>VLOOKUP(A1003,Metrik!$C$2:$Y$959,3,0)</f>
        <v>Properties &amp; Real Estate</v>
      </c>
    </row>
    <row r="1004">
      <c r="A1004" s="14" t="s">
        <v>527</v>
      </c>
      <c r="B1004" s="14" t="str">
        <f t="array" ref="B1004">VLOOKUP(A1004,{Metrik!$C$2:$C$998,Metrik!$B$2:$B$998},2,0)</f>
        <v>Sky Energy Indonesia Tbk.</v>
      </c>
      <c r="C1004" s="15">
        <f>IFERROR(__xludf.DUMMYFUNCTION("GOOGLEFINANCE(""IDX:""&amp;A1004,""price"")"),52.0)</f>
        <v>52</v>
      </c>
      <c r="D1004" s="16" t="str">
        <f>IFERROR(__xludf.DUMMYFUNCTION("IF(A1004="""","""",
SPARKLINE(
INDEX(
GOOGLEFINANCE(""IDX:""&amp;A1004,""close"",TODAY()-365,TODAY()),
,2
),
{""linewidth"",1}
))
"),"#N/A")</f>
        <v>#N/A</v>
      </c>
      <c r="E1004" s="26"/>
      <c r="F1004" s="26"/>
      <c r="G1004" s="24">
        <f t="shared" si="7"/>
        <v>0</v>
      </c>
      <c r="H1004" s="19">
        <f>VLOOKUP(A1004,Metrik!$C$2:$Y$959,8,0)</f>
        <v>0</v>
      </c>
      <c r="I1004" s="20">
        <f>VLOOKUP(A1004,Metrik!$C$2:$Y$959,9,0)</f>
        <v>-7.8</v>
      </c>
      <c r="J1004" s="20">
        <f>VLOOKUP(A1004,Metrik!$C$2:$Y$959,10,0)</f>
        <v>0</v>
      </c>
      <c r="K1004" s="20">
        <f>VLOOKUP(A1004,Metrik!$C$2:$Y$959,11,0)</f>
        <v>-50.3</v>
      </c>
      <c r="L1004" s="20">
        <f>VLOOKUP(A1004,Metrik!$C$2:$Y$959,12,0)</f>
        <v>-19.1</v>
      </c>
      <c r="M1004" s="20">
        <f>VLOOKUP(A1004,Metrik!$C$2:$Y$959,19,0)</f>
        <v>-150</v>
      </c>
      <c r="N1004" s="21"/>
      <c r="O1004" s="21"/>
      <c r="P1004" s="21"/>
      <c r="Q1004" s="21"/>
      <c r="R1004" s="21"/>
      <c r="S1004" s="21"/>
      <c r="T1004" s="21"/>
      <c r="U1004" s="22">
        <f>IFERROR(__xludf.DUMMYFUNCTION("IFERROR(GOOGLEFINANCE(A1004,""closeyest""),"""")"),52.0)</f>
        <v>52</v>
      </c>
      <c r="V1004" s="23">
        <f>IFERROR(__xludf.DUMMYFUNCTION("IFERROR(GOOGLEFINANCE(A1004,""changepct""),"""")"),0.0)</f>
        <v>0</v>
      </c>
      <c r="W1004" s="22" t="str">
        <f>IFERROR(__xludf.DUMMYFUNCTION("IFERROR(GOOGLEFINANCE(A1004,""priceopen""),"""")"),"")</f>
        <v/>
      </c>
      <c r="X1004" s="22" t="str">
        <f>IFERROR(__xludf.DUMMYFUNCTION("IFERROR(GOOGLEFINANCE(A1004,""high""),"""")"),"")</f>
        <v/>
      </c>
      <c r="Y1004" s="22" t="str">
        <f>IFERROR(__xludf.DUMMYFUNCTION("IFERROR(GOOGLEFINANCE(A1004,""low""),"""")"),"")</f>
        <v/>
      </c>
      <c r="Z1004" s="22">
        <f>IFERROR(__xludf.DUMMYFUNCTION("IFERROR(GOOGLEFINANCE(A1004,""volume""),"""")"),0.0)</f>
        <v>0</v>
      </c>
      <c r="AA1004" s="24" t="str">
        <f>VLOOKUP(A1004,Metrik!$C$2:$Y$959,5,0)</f>
        <v>Alternative Energy Equipment</v>
      </c>
      <c r="AB1004" s="24" t="str">
        <f>VLOOKUP(A1004,Metrik!$C$2:$Y$959,3,0)</f>
        <v>Energy</v>
      </c>
    </row>
    <row r="1005">
      <c r="A1005" s="14" t="s">
        <v>528</v>
      </c>
      <c r="B1005" s="14" t="str">
        <f t="array" ref="B1005">VLOOKUP(A1005,{Metrik!$C$2:$C$998,Metrik!$B$2:$B$998},2,0)</f>
        <v>Jasa Marga (Persero) Tbk.</v>
      </c>
      <c r="C1005" s="15">
        <f>IFERROR(__xludf.DUMMYFUNCTION("GOOGLEFINANCE(""IDX:""&amp;A1005,""price"")"),2600.0)</f>
        <v>2600</v>
      </c>
      <c r="D1005" s="16" t="str">
        <f>IFERROR(__xludf.DUMMYFUNCTION("IF(A1005="""","""",
SPARKLINE(
INDEX(
GOOGLEFINANCE(""IDX:""&amp;A1005,""close"",TODAY()-365,TODAY()),
,2
),
{""linewidth"",1}
))
"),"#N/A")</f>
        <v>#N/A</v>
      </c>
      <c r="E1005" s="14" t="s">
        <v>47</v>
      </c>
      <c r="F1005" s="25">
        <v>46356.0</v>
      </c>
      <c r="G1005" s="24">
        <f t="shared" si="7"/>
        <v>17</v>
      </c>
      <c r="H1005" s="19">
        <f>VLOOKUP(A1005,Metrik!$C$2:$Y$959,8,0)</f>
        <v>6.2</v>
      </c>
      <c r="I1005" s="20">
        <f>VLOOKUP(A1005,Metrik!$C$2:$Y$959,9,0)</f>
        <v>0.34</v>
      </c>
      <c r="J1005" s="20">
        <f>VLOOKUP(A1005,Metrik!$C$2:$Y$959,10,0)</f>
        <v>5.5</v>
      </c>
      <c r="K1005" s="20">
        <f>VLOOKUP(A1005,Metrik!$C$2:$Y$959,11,0)</f>
        <v>2.2</v>
      </c>
      <c r="L1005" s="20">
        <f>VLOOKUP(A1005,Metrik!$C$2:$Y$959,12,0)</f>
        <v>1.5</v>
      </c>
      <c r="M1005" s="20">
        <f>VLOOKUP(A1005,Metrik!$C$2:$Y$959,19,0)</f>
        <v>54.4</v>
      </c>
      <c r="N1005" s="21"/>
      <c r="O1005" s="21"/>
      <c r="P1005" s="21"/>
      <c r="Q1005" s="21"/>
      <c r="R1005" s="21"/>
      <c r="S1005" s="21"/>
      <c r="T1005" s="21"/>
      <c r="U1005" s="22">
        <f>IFERROR(__xludf.DUMMYFUNCTION("IFERROR(GOOGLEFINANCE(A1005,""closeyest""),"""")"),2620.0)</f>
        <v>2620</v>
      </c>
      <c r="V1005" s="23">
        <f>IFERROR(__xludf.DUMMYFUNCTION("IFERROR(GOOGLEFINANCE(A1005,""changepct""),"""")"),-0.76)</f>
        <v>-0.76</v>
      </c>
      <c r="W1005" s="22">
        <f>IFERROR(__xludf.DUMMYFUNCTION("IFERROR(GOOGLEFINANCE(A1005,""priceopen""),"""")"),2630.0)</f>
        <v>2630</v>
      </c>
      <c r="X1005" s="22">
        <f>IFERROR(__xludf.DUMMYFUNCTION("IFERROR(GOOGLEFINANCE(A1005,""high""),"""")"),2650.0)</f>
        <v>2650</v>
      </c>
      <c r="Y1005" s="22">
        <f>IFERROR(__xludf.DUMMYFUNCTION("IFERROR(GOOGLEFINANCE(A1005,""low""),"""")"),2600.0)</f>
        <v>2600</v>
      </c>
      <c r="Z1005" s="22">
        <f>IFERROR(__xludf.DUMMYFUNCTION("IFERROR(GOOGLEFINANCE(A1005,""volume""),"""")"),9670400.0)</f>
        <v>9670400</v>
      </c>
      <c r="AA1005" s="24" t="str">
        <f>VLOOKUP(A1005,Metrik!$C$2:$Y$959,5,0)</f>
        <v>Transport Infrastructure Operator</v>
      </c>
      <c r="AB1005" s="24" t="str">
        <f>VLOOKUP(A1005,Metrik!$C$2:$Y$959,3,0)</f>
        <v>Infrastructures</v>
      </c>
    </row>
    <row r="1006">
      <c r="A1006" s="14" t="s">
        <v>528</v>
      </c>
      <c r="B1006" s="14" t="str">
        <f t="array" ref="B1006">VLOOKUP(A1006,{Metrik!$C$2:$C$998,Metrik!$B$2:$B$998},2,0)</f>
        <v>Jasa Marga (Persero) Tbk.</v>
      </c>
      <c r="C1006" s="15">
        <f>IFERROR(__xludf.DUMMYFUNCTION("GOOGLEFINANCE(""IDX:""&amp;A1006,""price"")"),2600.0)</f>
        <v>2600</v>
      </c>
      <c r="D1006" s="16" t="str">
        <f>IFERROR(__xludf.DUMMYFUNCTION("IF(A1006="""","""",
SPARKLINE(
INDEX(
GOOGLEFINANCE(""IDX:""&amp;A1006,""close"",TODAY()-365,TODAY()),
,2
),
{""linewidth"",1}
))
"),"#N/A")</f>
        <v>#N/A</v>
      </c>
      <c r="E1006" s="14" t="s">
        <v>106</v>
      </c>
      <c r="F1006" s="25">
        <v>46356.0</v>
      </c>
      <c r="G1006" s="24">
        <f t="shared" si="7"/>
        <v>17</v>
      </c>
      <c r="H1006" s="19">
        <f>VLOOKUP(A1006,Metrik!$C$2:$Y$959,8,0)</f>
        <v>6.2</v>
      </c>
      <c r="I1006" s="20">
        <f>VLOOKUP(A1006,Metrik!$C$2:$Y$959,9,0)</f>
        <v>0.34</v>
      </c>
      <c r="J1006" s="20">
        <f>VLOOKUP(A1006,Metrik!$C$2:$Y$959,10,0)</f>
        <v>5.5</v>
      </c>
      <c r="K1006" s="20">
        <f>VLOOKUP(A1006,Metrik!$C$2:$Y$959,11,0)</f>
        <v>2.2</v>
      </c>
      <c r="L1006" s="20">
        <f>VLOOKUP(A1006,Metrik!$C$2:$Y$959,12,0)</f>
        <v>1.5</v>
      </c>
      <c r="M1006" s="20">
        <f>VLOOKUP(A1006,Metrik!$C$2:$Y$959,19,0)</f>
        <v>54.4</v>
      </c>
      <c r="N1006" s="21"/>
      <c r="O1006" s="21"/>
      <c r="P1006" s="21"/>
      <c r="Q1006" s="21"/>
      <c r="R1006" s="21"/>
      <c r="S1006" s="21"/>
      <c r="T1006" s="21"/>
      <c r="U1006" s="22">
        <f>IFERROR(__xludf.DUMMYFUNCTION("IFERROR(GOOGLEFINANCE(A1006,""closeyest""),"""")"),2620.0)</f>
        <v>2620</v>
      </c>
      <c r="V1006" s="23">
        <f>IFERROR(__xludf.DUMMYFUNCTION("IFERROR(GOOGLEFINANCE(A1006,""changepct""),"""")"),-0.76)</f>
        <v>-0.76</v>
      </c>
      <c r="W1006" s="22">
        <f>IFERROR(__xludf.DUMMYFUNCTION("IFERROR(GOOGLEFINANCE(A1006,""priceopen""),"""")"),2630.0)</f>
        <v>2630</v>
      </c>
      <c r="X1006" s="22">
        <f>IFERROR(__xludf.DUMMYFUNCTION("IFERROR(GOOGLEFINANCE(A1006,""high""),"""")"),2650.0)</f>
        <v>2650</v>
      </c>
      <c r="Y1006" s="22">
        <f>IFERROR(__xludf.DUMMYFUNCTION("IFERROR(GOOGLEFINANCE(A1006,""low""),"""")"),2600.0)</f>
        <v>2600</v>
      </c>
      <c r="Z1006" s="22">
        <f>IFERROR(__xludf.DUMMYFUNCTION("IFERROR(GOOGLEFINANCE(A1006,""volume""),"""")"),9670400.0)</f>
        <v>9670400</v>
      </c>
      <c r="AA1006" s="24" t="str">
        <f>VLOOKUP(A1006,Metrik!$C$2:$Y$959,5,0)</f>
        <v>Transport Infrastructure Operator</v>
      </c>
      <c r="AB1006" s="24" t="str">
        <f>VLOOKUP(A1006,Metrik!$C$2:$Y$959,3,0)</f>
        <v>Infrastructures</v>
      </c>
    </row>
    <row r="1007">
      <c r="A1007" s="14" t="s">
        <v>528</v>
      </c>
      <c r="B1007" s="14" t="str">
        <f t="array" ref="B1007">VLOOKUP(A1007,{Metrik!$C$2:$C$998,Metrik!$B$2:$B$998},2,0)</f>
        <v>Jasa Marga (Persero) Tbk.</v>
      </c>
      <c r="C1007" s="15">
        <f>IFERROR(__xludf.DUMMYFUNCTION("GOOGLEFINANCE(""IDX:""&amp;A1007,""price"")"),2600.0)</f>
        <v>2600</v>
      </c>
      <c r="D1007" s="16" t="str">
        <f>IFERROR(__xludf.DUMMYFUNCTION("IF(A1007="""","""",
SPARKLINE(
INDEX(
GOOGLEFINANCE(""IDX:""&amp;A1007,""close"",TODAY()-365,TODAY()),
,2
),
{""linewidth"",1}
))
"),"#N/A")</f>
        <v>#N/A</v>
      </c>
      <c r="E1007" s="14" t="s">
        <v>42</v>
      </c>
      <c r="F1007" s="25">
        <v>46356.0</v>
      </c>
      <c r="G1007" s="24">
        <f t="shared" si="7"/>
        <v>17</v>
      </c>
      <c r="H1007" s="19">
        <f>VLOOKUP(A1007,Metrik!$C$2:$Y$959,8,0)</f>
        <v>6.2</v>
      </c>
      <c r="I1007" s="20">
        <f>VLOOKUP(A1007,Metrik!$C$2:$Y$959,9,0)</f>
        <v>0.34</v>
      </c>
      <c r="J1007" s="20">
        <f>VLOOKUP(A1007,Metrik!$C$2:$Y$959,10,0)</f>
        <v>5.5</v>
      </c>
      <c r="K1007" s="20">
        <f>VLOOKUP(A1007,Metrik!$C$2:$Y$959,11,0)</f>
        <v>2.2</v>
      </c>
      <c r="L1007" s="20">
        <f>VLOOKUP(A1007,Metrik!$C$2:$Y$959,12,0)</f>
        <v>1.5</v>
      </c>
      <c r="M1007" s="20">
        <f>VLOOKUP(A1007,Metrik!$C$2:$Y$959,19,0)</f>
        <v>54.4</v>
      </c>
      <c r="N1007" s="21"/>
      <c r="O1007" s="21"/>
      <c r="P1007" s="21"/>
      <c r="Q1007" s="21"/>
      <c r="R1007" s="21"/>
      <c r="S1007" s="21"/>
      <c r="T1007" s="21"/>
      <c r="U1007" s="22">
        <f>IFERROR(__xludf.DUMMYFUNCTION("IFERROR(GOOGLEFINANCE(A1007,""closeyest""),"""")"),2620.0)</f>
        <v>2620</v>
      </c>
      <c r="V1007" s="23">
        <f>IFERROR(__xludf.DUMMYFUNCTION("IFERROR(GOOGLEFINANCE(A1007,""changepct""),"""")"),-0.76)</f>
        <v>-0.76</v>
      </c>
      <c r="W1007" s="22">
        <f>IFERROR(__xludf.DUMMYFUNCTION("IFERROR(GOOGLEFINANCE(A1007,""priceopen""),"""")"),2630.0)</f>
        <v>2630</v>
      </c>
      <c r="X1007" s="22">
        <f>IFERROR(__xludf.DUMMYFUNCTION("IFERROR(GOOGLEFINANCE(A1007,""high""),"""")"),2650.0)</f>
        <v>2650</v>
      </c>
      <c r="Y1007" s="22">
        <f>IFERROR(__xludf.DUMMYFUNCTION("IFERROR(GOOGLEFINANCE(A1007,""low""),"""")"),2600.0)</f>
        <v>2600</v>
      </c>
      <c r="Z1007" s="22">
        <f>IFERROR(__xludf.DUMMYFUNCTION("IFERROR(GOOGLEFINANCE(A1007,""volume""),"""")"),9670400.0)</f>
        <v>9670400</v>
      </c>
      <c r="AA1007" s="24" t="str">
        <f>VLOOKUP(A1007,Metrik!$C$2:$Y$959,5,0)</f>
        <v>Transport Infrastructure Operator</v>
      </c>
      <c r="AB1007" s="24" t="str">
        <f>VLOOKUP(A1007,Metrik!$C$2:$Y$959,3,0)</f>
        <v>Infrastructures</v>
      </c>
    </row>
    <row r="1008">
      <c r="A1008" s="14" t="s">
        <v>528</v>
      </c>
      <c r="B1008" s="14" t="str">
        <f t="array" ref="B1008">VLOOKUP(A1008,{Metrik!$C$2:$C$998,Metrik!$B$2:$B$998},2,0)</f>
        <v>Jasa Marga (Persero) Tbk.</v>
      </c>
      <c r="C1008" s="15">
        <f>IFERROR(__xludf.DUMMYFUNCTION("GOOGLEFINANCE(""IDX:""&amp;A1008,""price"")"),2600.0)</f>
        <v>2600</v>
      </c>
      <c r="D1008" s="16" t="str">
        <f>IFERROR(__xludf.DUMMYFUNCTION("IF(A1008="""","""",
SPARKLINE(
INDEX(
GOOGLEFINANCE(""IDX:""&amp;A1008,""close"",TODAY()-365,TODAY()),
,2
),
{""linewidth"",1}
))
"),"#N/A")</f>
        <v>#N/A</v>
      </c>
      <c r="E1008" s="14" t="s">
        <v>55</v>
      </c>
      <c r="F1008" s="25">
        <v>46356.0</v>
      </c>
      <c r="G1008" s="24">
        <f t="shared" si="7"/>
        <v>17</v>
      </c>
      <c r="H1008" s="19">
        <f>VLOOKUP(A1008,Metrik!$C$2:$Y$959,8,0)</f>
        <v>6.2</v>
      </c>
      <c r="I1008" s="20">
        <f>VLOOKUP(A1008,Metrik!$C$2:$Y$959,9,0)</f>
        <v>0.34</v>
      </c>
      <c r="J1008" s="20">
        <f>VLOOKUP(A1008,Metrik!$C$2:$Y$959,10,0)</f>
        <v>5.5</v>
      </c>
      <c r="K1008" s="20">
        <f>VLOOKUP(A1008,Metrik!$C$2:$Y$959,11,0)</f>
        <v>2.2</v>
      </c>
      <c r="L1008" s="20">
        <f>VLOOKUP(A1008,Metrik!$C$2:$Y$959,12,0)</f>
        <v>1.5</v>
      </c>
      <c r="M1008" s="20">
        <f>VLOOKUP(A1008,Metrik!$C$2:$Y$959,19,0)</f>
        <v>54.4</v>
      </c>
      <c r="N1008" s="21"/>
      <c r="O1008" s="21"/>
      <c r="P1008" s="21"/>
      <c r="Q1008" s="21"/>
      <c r="R1008" s="21"/>
      <c r="S1008" s="21"/>
      <c r="T1008" s="21"/>
      <c r="U1008" s="22">
        <f>IFERROR(__xludf.DUMMYFUNCTION("IFERROR(GOOGLEFINANCE(A1008,""closeyest""),"""")"),2620.0)</f>
        <v>2620</v>
      </c>
      <c r="V1008" s="23">
        <f>IFERROR(__xludf.DUMMYFUNCTION("IFERROR(GOOGLEFINANCE(A1008,""changepct""),"""")"),-0.76)</f>
        <v>-0.76</v>
      </c>
      <c r="W1008" s="22">
        <f>IFERROR(__xludf.DUMMYFUNCTION("IFERROR(GOOGLEFINANCE(A1008,""priceopen""),"""")"),2630.0)</f>
        <v>2630</v>
      </c>
      <c r="X1008" s="22">
        <f>IFERROR(__xludf.DUMMYFUNCTION("IFERROR(GOOGLEFINANCE(A1008,""high""),"""")"),2650.0)</f>
        <v>2650</v>
      </c>
      <c r="Y1008" s="22">
        <f>IFERROR(__xludf.DUMMYFUNCTION("IFERROR(GOOGLEFINANCE(A1008,""low""),"""")"),2600.0)</f>
        <v>2600</v>
      </c>
      <c r="Z1008" s="22">
        <f>IFERROR(__xludf.DUMMYFUNCTION("IFERROR(GOOGLEFINANCE(A1008,""volume""),"""")"),9670400.0)</f>
        <v>9670400</v>
      </c>
      <c r="AA1008" s="24" t="str">
        <f>VLOOKUP(A1008,Metrik!$C$2:$Y$959,5,0)</f>
        <v>Transport Infrastructure Operator</v>
      </c>
      <c r="AB1008" s="24" t="str">
        <f>VLOOKUP(A1008,Metrik!$C$2:$Y$959,3,0)</f>
        <v>Infrastructures</v>
      </c>
    </row>
    <row r="1009">
      <c r="A1009" s="14" t="s">
        <v>528</v>
      </c>
      <c r="B1009" s="14" t="str">
        <f t="array" ref="B1009">VLOOKUP(A1009,{Metrik!$C$2:$C$998,Metrik!$B$2:$B$998},2,0)</f>
        <v>Jasa Marga (Persero) Tbk.</v>
      </c>
      <c r="C1009" s="15">
        <f>IFERROR(__xludf.DUMMYFUNCTION("GOOGLEFINANCE(""IDX:""&amp;A1009,""price"")"),2600.0)</f>
        <v>2600</v>
      </c>
      <c r="D1009" s="16" t="str">
        <f>IFERROR(__xludf.DUMMYFUNCTION("IF(A1009="""","""",
SPARKLINE(
INDEX(
GOOGLEFINANCE(""IDX:""&amp;A1009,""close"",TODAY()-365,TODAY()),
,2
),
{""linewidth"",1}
))
"),"#N/A")</f>
        <v>#N/A</v>
      </c>
      <c r="E1009" s="14" t="s">
        <v>161</v>
      </c>
      <c r="F1009" s="14" t="s">
        <v>76</v>
      </c>
      <c r="G1009" s="24">
        <f t="shared" si="7"/>
        <v>17</v>
      </c>
      <c r="H1009" s="19">
        <f>VLOOKUP(A1009,Metrik!$C$2:$Y$959,8,0)</f>
        <v>6.2</v>
      </c>
      <c r="I1009" s="20">
        <f>VLOOKUP(A1009,Metrik!$C$2:$Y$959,9,0)</f>
        <v>0.34</v>
      </c>
      <c r="J1009" s="20">
        <f>VLOOKUP(A1009,Metrik!$C$2:$Y$959,10,0)</f>
        <v>5.5</v>
      </c>
      <c r="K1009" s="20">
        <f>VLOOKUP(A1009,Metrik!$C$2:$Y$959,11,0)</f>
        <v>2.2</v>
      </c>
      <c r="L1009" s="20">
        <f>VLOOKUP(A1009,Metrik!$C$2:$Y$959,12,0)</f>
        <v>1.5</v>
      </c>
      <c r="M1009" s="20">
        <f>VLOOKUP(A1009,Metrik!$C$2:$Y$959,19,0)</f>
        <v>54.4</v>
      </c>
      <c r="N1009" s="21"/>
      <c r="O1009" s="21"/>
      <c r="P1009" s="21"/>
      <c r="Q1009" s="21"/>
      <c r="R1009" s="21"/>
      <c r="S1009" s="21"/>
      <c r="T1009" s="21"/>
      <c r="U1009" s="22">
        <f>IFERROR(__xludf.DUMMYFUNCTION("IFERROR(GOOGLEFINANCE(A1009,""closeyest""),"""")"),2620.0)</f>
        <v>2620</v>
      </c>
      <c r="V1009" s="23">
        <f>IFERROR(__xludf.DUMMYFUNCTION("IFERROR(GOOGLEFINANCE(A1009,""changepct""),"""")"),-0.76)</f>
        <v>-0.76</v>
      </c>
      <c r="W1009" s="22">
        <f>IFERROR(__xludf.DUMMYFUNCTION("IFERROR(GOOGLEFINANCE(A1009,""priceopen""),"""")"),2630.0)</f>
        <v>2630</v>
      </c>
      <c r="X1009" s="22">
        <f>IFERROR(__xludf.DUMMYFUNCTION("IFERROR(GOOGLEFINANCE(A1009,""high""),"""")"),2650.0)</f>
        <v>2650</v>
      </c>
      <c r="Y1009" s="22">
        <f>IFERROR(__xludf.DUMMYFUNCTION("IFERROR(GOOGLEFINANCE(A1009,""low""),"""")"),2600.0)</f>
        <v>2600</v>
      </c>
      <c r="Z1009" s="22">
        <f>IFERROR(__xludf.DUMMYFUNCTION("IFERROR(GOOGLEFINANCE(A1009,""volume""),"""")"),9670400.0)</f>
        <v>9670400</v>
      </c>
      <c r="AA1009" s="24" t="str">
        <f>VLOOKUP(A1009,Metrik!$C$2:$Y$959,5,0)</f>
        <v>Transport Infrastructure Operator</v>
      </c>
      <c r="AB1009" s="24" t="str">
        <f>VLOOKUP(A1009,Metrik!$C$2:$Y$959,3,0)</f>
        <v>Infrastructures</v>
      </c>
    </row>
    <row r="1010">
      <c r="A1010" s="14" t="s">
        <v>528</v>
      </c>
      <c r="B1010" s="14" t="str">
        <f t="array" ref="B1010">VLOOKUP(A1010,{Metrik!$C$2:$C$998,Metrik!$B$2:$B$998},2,0)</f>
        <v>Jasa Marga (Persero) Tbk.</v>
      </c>
      <c r="C1010" s="15">
        <f>IFERROR(__xludf.DUMMYFUNCTION("GOOGLEFINANCE(""IDX:""&amp;A1010,""price"")"),2600.0)</f>
        <v>2600</v>
      </c>
      <c r="D1010" s="16" t="str">
        <f>IFERROR(__xludf.DUMMYFUNCTION("IF(A1010="""","""",
SPARKLINE(
INDEX(
GOOGLEFINANCE(""IDX:""&amp;A1010,""close"",TODAY()-365,TODAY()),
,2
),
{""linewidth"",1}
))
"),"#N/A")</f>
        <v>#N/A</v>
      </c>
      <c r="E1010" s="14" t="s">
        <v>61</v>
      </c>
      <c r="F1010" s="14" t="s">
        <v>34</v>
      </c>
      <c r="G1010" s="24">
        <f t="shared" si="7"/>
        <v>17</v>
      </c>
      <c r="H1010" s="19">
        <f>VLOOKUP(A1010,Metrik!$C$2:$Y$959,8,0)</f>
        <v>6.2</v>
      </c>
      <c r="I1010" s="20">
        <f>VLOOKUP(A1010,Metrik!$C$2:$Y$959,9,0)</f>
        <v>0.34</v>
      </c>
      <c r="J1010" s="20">
        <f>VLOOKUP(A1010,Metrik!$C$2:$Y$959,10,0)</f>
        <v>5.5</v>
      </c>
      <c r="K1010" s="20">
        <f>VLOOKUP(A1010,Metrik!$C$2:$Y$959,11,0)</f>
        <v>2.2</v>
      </c>
      <c r="L1010" s="20">
        <f>VLOOKUP(A1010,Metrik!$C$2:$Y$959,12,0)</f>
        <v>1.5</v>
      </c>
      <c r="M1010" s="20">
        <f>VLOOKUP(A1010,Metrik!$C$2:$Y$959,19,0)</f>
        <v>54.4</v>
      </c>
      <c r="N1010" s="21"/>
      <c r="O1010" s="21"/>
      <c r="P1010" s="21"/>
      <c r="Q1010" s="21"/>
      <c r="R1010" s="21"/>
      <c r="S1010" s="21"/>
      <c r="T1010" s="21"/>
      <c r="U1010" s="22">
        <f>IFERROR(__xludf.DUMMYFUNCTION("IFERROR(GOOGLEFINANCE(A1010,""closeyest""),"""")"),2620.0)</f>
        <v>2620</v>
      </c>
      <c r="V1010" s="23">
        <f>IFERROR(__xludf.DUMMYFUNCTION("IFERROR(GOOGLEFINANCE(A1010,""changepct""),"""")"),-0.76)</f>
        <v>-0.76</v>
      </c>
      <c r="W1010" s="22">
        <f>IFERROR(__xludf.DUMMYFUNCTION("IFERROR(GOOGLEFINANCE(A1010,""priceopen""),"""")"),2630.0)</f>
        <v>2630</v>
      </c>
      <c r="X1010" s="22">
        <f>IFERROR(__xludf.DUMMYFUNCTION("IFERROR(GOOGLEFINANCE(A1010,""high""),"""")"),2650.0)</f>
        <v>2650</v>
      </c>
      <c r="Y1010" s="22">
        <f>IFERROR(__xludf.DUMMYFUNCTION("IFERROR(GOOGLEFINANCE(A1010,""low""),"""")"),2600.0)</f>
        <v>2600</v>
      </c>
      <c r="Z1010" s="22">
        <f>IFERROR(__xludf.DUMMYFUNCTION("IFERROR(GOOGLEFINANCE(A1010,""volume""),"""")"),9670400.0)</f>
        <v>9670400</v>
      </c>
      <c r="AA1010" s="24" t="str">
        <f>VLOOKUP(A1010,Metrik!$C$2:$Y$959,5,0)</f>
        <v>Transport Infrastructure Operator</v>
      </c>
      <c r="AB1010" s="24" t="str">
        <f>VLOOKUP(A1010,Metrik!$C$2:$Y$959,3,0)</f>
        <v>Infrastructures</v>
      </c>
    </row>
    <row r="1011">
      <c r="A1011" s="14" t="s">
        <v>528</v>
      </c>
      <c r="B1011" s="14" t="str">
        <f t="array" ref="B1011">VLOOKUP(A1011,{Metrik!$C$2:$C$998,Metrik!$B$2:$B$998},2,0)</f>
        <v>Jasa Marga (Persero) Tbk.</v>
      </c>
      <c r="C1011" s="15">
        <f>IFERROR(__xludf.DUMMYFUNCTION("GOOGLEFINANCE(""IDX:""&amp;A1011,""price"")"),2600.0)</f>
        <v>2600</v>
      </c>
      <c r="D1011" s="16" t="str">
        <f>IFERROR(__xludf.DUMMYFUNCTION("IF(A1011="""","""",
SPARKLINE(
INDEX(
GOOGLEFINANCE(""IDX:""&amp;A1011,""close"",TODAY()-365,TODAY()),
,2
),
{""linewidth"",1}
))
"),"#N/A")</f>
        <v>#N/A</v>
      </c>
      <c r="E1011" s="14" t="s">
        <v>32</v>
      </c>
      <c r="F1011" s="14" t="s">
        <v>29</v>
      </c>
      <c r="G1011" s="24">
        <f t="shared" si="7"/>
        <v>17</v>
      </c>
      <c r="H1011" s="19">
        <f>VLOOKUP(A1011,Metrik!$C$2:$Y$959,8,0)</f>
        <v>6.2</v>
      </c>
      <c r="I1011" s="20">
        <f>VLOOKUP(A1011,Metrik!$C$2:$Y$959,9,0)</f>
        <v>0.34</v>
      </c>
      <c r="J1011" s="20">
        <f>VLOOKUP(A1011,Metrik!$C$2:$Y$959,10,0)</f>
        <v>5.5</v>
      </c>
      <c r="K1011" s="20">
        <f>VLOOKUP(A1011,Metrik!$C$2:$Y$959,11,0)</f>
        <v>2.2</v>
      </c>
      <c r="L1011" s="20">
        <f>VLOOKUP(A1011,Metrik!$C$2:$Y$959,12,0)</f>
        <v>1.5</v>
      </c>
      <c r="M1011" s="20">
        <f>VLOOKUP(A1011,Metrik!$C$2:$Y$959,19,0)</f>
        <v>54.4</v>
      </c>
      <c r="N1011" s="21"/>
      <c r="O1011" s="21"/>
      <c r="P1011" s="21"/>
      <c r="Q1011" s="21"/>
      <c r="R1011" s="21"/>
      <c r="S1011" s="21"/>
      <c r="T1011" s="21"/>
      <c r="U1011" s="22">
        <f>IFERROR(__xludf.DUMMYFUNCTION("IFERROR(GOOGLEFINANCE(A1011,""closeyest""),"""")"),2620.0)</f>
        <v>2620</v>
      </c>
      <c r="V1011" s="23">
        <f>IFERROR(__xludf.DUMMYFUNCTION("IFERROR(GOOGLEFINANCE(A1011,""changepct""),"""")"),-0.76)</f>
        <v>-0.76</v>
      </c>
      <c r="W1011" s="22">
        <f>IFERROR(__xludf.DUMMYFUNCTION("IFERROR(GOOGLEFINANCE(A1011,""priceopen""),"""")"),2630.0)</f>
        <v>2630</v>
      </c>
      <c r="X1011" s="22">
        <f>IFERROR(__xludf.DUMMYFUNCTION("IFERROR(GOOGLEFINANCE(A1011,""high""),"""")"),2650.0)</f>
        <v>2650</v>
      </c>
      <c r="Y1011" s="22">
        <f>IFERROR(__xludf.DUMMYFUNCTION("IFERROR(GOOGLEFINANCE(A1011,""low""),"""")"),2600.0)</f>
        <v>2600</v>
      </c>
      <c r="Z1011" s="22">
        <f>IFERROR(__xludf.DUMMYFUNCTION("IFERROR(GOOGLEFINANCE(A1011,""volume""),"""")"),9670400.0)</f>
        <v>9670400</v>
      </c>
      <c r="AA1011" s="24" t="str">
        <f>VLOOKUP(A1011,Metrik!$C$2:$Y$959,5,0)</f>
        <v>Transport Infrastructure Operator</v>
      </c>
      <c r="AB1011" s="24" t="str">
        <f>VLOOKUP(A1011,Metrik!$C$2:$Y$959,3,0)</f>
        <v>Infrastructures</v>
      </c>
    </row>
    <row r="1012">
      <c r="A1012" s="14" t="s">
        <v>528</v>
      </c>
      <c r="B1012" s="14" t="str">
        <f t="array" ref="B1012">VLOOKUP(A1012,{Metrik!$C$2:$C$998,Metrik!$B$2:$B$998},2,0)</f>
        <v>Jasa Marga (Persero) Tbk.</v>
      </c>
      <c r="C1012" s="15">
        <f>IFERROR(__xludf.DUMMYFUNCTION("GOOGLEFINANCE(""IDX:""&amp;A1012,""price"")"),2600.0)</f>
        <v>2600</v>
      </c>
      <c r="D1012" s="16" t="str">
        <f>IFERROR(__xludf.DUMMYFUNCTION("IF(A1012="""","""",
SPARKLINE(
INDEX(
GOOGLEFINANCE(""IDX:""&amp;A1012,""close"",TODAY()-365,TODAY()),
,2
),
{""linewidth"",1}
))
"),"#N/A")</f>
        <v>#N/A</v>
      </c>
      <c r="E1012" s="14" t="s">
        <v>28</v>
      </c>
      <c r="F1012" s="17" t="s">
        <v>29</v>
      </c>
      <c r="G1012" s="24">
        <f t="shared" si="7"/>
        <v>17</v>
      </c>
      <c r="H1012" s="19">
        <f>VLOOKUP(A1012,Metrik!$C$2:$Y$959,8,0)</f>
        <v>6.2</v>
      </c>
      <c r="I1012" s="20">
        <f>VLOOKUP(A1012,Metrik!$C$2:$Y$959,9,0)</f>
        <v>0.34</v>
      </c>
      <c r="J1012" s="20">
        <f>VLOOKUP(A1012,Metrik!$C$2:$Y$959,10,0)</f>
        <v>5.5</v>
      </c>
      <c r="K1012" s="20">
        <f>VLOOKUP(A1012,Metrik!$C$2:$Y$959,11,0)</f>
        <v>2.2</v>
      </c>
      <c r="L1012" s="20">
        <f>VLOOKUP(A1012,Metrik!$C$2:$Y$959,12,0)</f>
        <v>1.5</v>
      </c>
      <c r="M1012" s="20">
        <f>VLOOKUP(A1012,Metrik!$C$2:$Y$959,19,0)</f>
        <v>54.4</v>
      </c>
      <c r="N1012" s="21"/>
      <c r="O1012" s="21"/>
      <c r="P1012" s="21"/>
      <c r="Q1012" s="21"/>
      <c r="R1012" s="21"/>
      <c r="S1012" s="21"/>
      <c r="T1012" s="21"/>
      <c r="U1012" s="22">
        <f>IFERROR(__xludf.DUMMYFUNCTION("IFERROR(GOOGLEFINANCE(A1012,""closeyest""),"""")"),2620.0)</f>
        <v>2620</v>
      </c>
      <c r="V1012" s="23">
        <f>IFERROR(__xludf.DUMMYFUNCTION("IFERROR(GOOGLEFINANCE(A1012,""changepct""),"""")"),-0.76)</f>
        <v>-0.76</v>
      </c>
      <c r="W1012" s="22">
        <f>IFERROR(__xludf.DUMMYFUNCTION("IFERROR(GOOGLEFINANCE(A1012,""priceopen""),"""")"),2630.0)</f>
        <v>2630</v>
      </c>
      <c r="X1012" s="22">
        <f>IFERROR(__xludf.DUMMYFUNCTION("IFERROR(GOOGLEFINANCE(A1012,""high""),"""")"),2650.0)</f>
        <v>2650</v>
      </c>
      <c r="Y1012" s="22">
        <f>IFERROR(__xludf.DUMMYFUNCTION("IFERROR(GOOGLEFINANCE(A1012,""low""),"""")"),2600.0)</f>
        <v>2600</v>
      </c>
      <c r="Z1012" s="22">
        <f>IFERROR(__xludf.DUMMYFUNCTION("IFERROR(GOOGLEFINANCE(A1012,""volume""),"""")"),9670400.0)</f>
        <v>9670400</v>
      </c>
      <c r="AA1012" s="24" t="str">
        <f>VLOOKUP(A1012,Metrik!$C$2:$Y$959,5,0)</f>
        <v>Transport Infrastructure Operator</v>
      </c>
      <c r="AB1012" s="24" t="str">
        <f>VLOOKUP(A1012,Metrik!$C$2:$Y$959,3,0)</f>
        <v>Infrastructures</v>
      </c>
    </row>
    <row r="1013">
      <c r="A1013" s="14" t="s">
        <v>528</v>
      </c>
      <c r="B1013" s="14" t="str">
        <f t="array" ref="B1013">VLOOKUP(A1013,{Metrik!$C$2:$C$998,Metrik!$B$2:$B$998},2,0)</f>
        <v>Jasa Marga (Persero) Tbk.</v>
      </c>
      <c r="C1013" s="15">
        <f>IFERROR(__xludf.DUMMYFUNCTION("GOOGLEFINANCE(""IDX:""&amp;A1013,""price"")"),2600.0)</f>
        <v>2600</v>
      </c>
      <c r="D1013" s="16" t="str">
        <f>IFERROR(__xludf.DUMMYFUNCTION("IF(A1013="""","""",
SPARKLINE(
INDEX(
GOOGLEFINANCE(""IDX:""&amp;A1013,""close"",TODAY()-365,TODAY()),
,2
),
{""linewidth"",1}
))
"),"#N/A")</f>
        <v>#N/A</v>
      </c>
      <c r="E1013" s="14" t="s">
        <v>85</v>
      </c>
      <c r="F1013" s="17" t="s">
        <v>51</v>
      </c>
      <c r="G1013" s="24">
        <f t="shared" si="7"/>
        <v>17</v>
      </c>
      <c r="H1013" s="19">
        <f>VLOOKUP(A1013,Metrik!$C$2:$Y$959,8,0)</f>
        <v>6.2</v>
      </c>
      <c r="I1013" s="20">
        <f>VLOOKUP(A1013,Metrik!$C$2:$Y$959,9,0)</f>
        <v>0.34</v>
      </c>
      <c r="J1013" s="20">
        <f>VLOOKUP(A1013,Metrik!$C$2:$Y$959,10,0)</f>
        <v>5.5</v>
      </c>
      <c r="K1013" s="20">
        <f>VLOOKUP(A1013,Metrik!$C$2:$Y$959,11,0)</f>
        <v>2.2</v>
      </c>
      <c r="L1013" s="20">
        <f>VLOOKUP(A1013,Metrik!$C$2:$Y$959,12,0)</f>
        <v>1.5</v>
      </c>
      <c r="M1013" s="20">
        <f>VLOOKUP(A1013,Metrik!$C$2:$Y$959,19,0)</f>
        <v>54.4</v>
      </c>
      <c r="N1013" s="21"/>
      <c r="O1013" s="21"/>
      <c r="P1013" s="21"/>
      <c r="Q1013" s="21"/>
      <c r="R1013" s="21"/>
      <c r="S1013" s="21"/>
      <c r="T1013" s="21"/>
      <c r="U1013" s="22">
        <f>IFERROR(__xludf.DUMMYFUNCTION("IFERROR(GOOGLEFINANCE(A1013,""closeyest""),"""")"),2620.0)</f>
        <v>2620</v>
      </c>
      <c r="V1013" s="23">
        <f>IFERROR(__xludf.DUMMYFUNCTION("IFERROR(GOOGLEFINANCE(A1013,""changepct""),"""")"),-0.76)</f>
        <v>-0.76</v>
      </c>
      <c r="W1013" s="22">
        <f>IFERROR(__xludf.DUMMYFUNCTION("IFERROR(GOOGLEFINANCE(A1013,""priceopen""),"""")"),2630.0)</f>
        <v>2630</v>
      </c>
      <c r="X1013" s="22">
        <f>IFERROR(__xludf.DUMMYFUNCTION("IFERROR(GOOGLEFINANCE(A1013,""high""),"""")"),2650.0)</f>
        <v>2650</v>
      </c>
      <c r="Y1013" s="22">
        <f>IFERROR(__xludf.DUMMYFUNCTION("IFERROR(GOOGLEFINANCE(A1013,""low""),"""")"),2600.0)</f>
        <v>2600</v>
      </c>
      <c r="Z1013" s="22">
        <f>IFERROR(__xludf.DUMMYFUNCTION("IFERROR(GOOGLEFINANCE(A1013,""volume""),"""")"),9670400.0)</f>
        <v>9670400</v>
      </c>
      <c r="AA1013" s="24" t="str">
        <f>VLOOKUP(A1013,Metrik!$C$2:$Y$959,5,0)</f>
        <v>Transport Infrastructure Operator</v>
      </c>
      <c r="AB1013" s="24" t="str">
        <f>VLOOKUP(A1013,Metrik!$C$2:$Y$959,3,0)</f>
        <v>Infrastructures</v>
      </c>
    </row>
    <row r="1014">
      <c r="A1014" s="14" t="s">
        <v>528</v>
      </c>
      <c r="B1014" s="14" t="str">
        <f t="array" ref="B1014">VLOOKUP(A1014,{Metrik!$C$2:$C$998,Metrik!$B$2:$B$998},2,0)</f>
        <v>Jasa Marga (Persero) Tbk.</v>
      </c>
      <c r="C1014" s="15">
        <f>IFERROR(__xludf.DUMMYFUNCTION("GOOGLEFINANCE(""IDX:""&amp;A1014,""price"")"),2600.0)</f>
        <v>2600</v>
      </c>
      <c r="D1014" s="16" t="str">
        <f>IFERROR(__xludf.DUMMYFUNCTION("IF(A1014="""","""",
SPARKLINE(
INDEX(
GOOGLEFINANCE(""IDX:""&amp;A1014,""close"",TODAY()-365,TODAY()),
,2
),
{""linewidth"",1}
))
"),"#N/A")</f>
        <v>#N/A</v>
      </c>
      <c r="E1014" s="14" t="s">
        <v>50</v>
      </c>
      <c r="F1014" s="17" t="s">
        <v>51</v>
      </c>
      <c r="G1014" s="24">
        <f t="shared" si="7"/>
        <v>17</v>
      </c>
      <c r="H1014" s="19">
        <f>VLOOKUP(A1014,Metrik!$C$2:$Y$959,8,0)</f>
        <v>6.2</v>
      </c>
      <c r="I1014" s="20">
        <f>VLOOKUP(A1014,Metrik!$C$2:$Y$959,9,0)</f>
        <v>0.34</v>
      </c>
      <c r="J1014" s="20">
        <f>VLOOKUP(A1014,Metrik!$C$2:$Y$959,10,0)</f>
        <v>5.5</v>
      </c>
      <c r="K1014" s="20">
        <f>VLOOKUP(A1014,Metrik!$C$2:$Y$959,11,0)</f>
        <v>2.2</v>
      </c>
      <c r="L1014" s="20">
        <f>VLOOKUP(A1014,Metrik!$C$2:$Y$959,12,0)</f>
        <v>1.5</v>
      </c>
      <c r="M1014" s="20">
        <f>VLOOKUP(A1014,Metrik!$C$2:$Y$959,19,0)</f>
        <v>54.4</v>
      </c>
      <c r="N1014" s="21"/>
      <c r="O1014" s="21"/>
      <c r="P1014" s="21"/>
      <c r="Q1014" s="21"/>
      <c r="R1014" s="21"/>
      <c r="S1014" s="21"/>
      <c r="T1014" s="21"/>
      <c r="U1014" s="22">
        <f>IFERROR(__xludf.DUMMYFUNCTION("IFERROR(GOOGLEFINANCE(A1014,""closeyest""),"""")"),2620.0)</f>
        <v>2620</v>
      </c>
      <c r="V1014" s="23">
        <f>IFERROR(__xludf.DUMMYFUNCTION("IFERROR(GOOGLEFINANCE(A1014,""changepct""),"""")"),-0.76)</f>
        <v>-0.76</v>
      </c>
      <c r="W1014" s="22">
        <f>IFERROR(__xludf.DUMMYFUNCTION("IFERROR(GOOGLEFINANCE(A1014,""priceopen""),"""")"),2630.0)</f>
        <v>2630</v>
      </c>
      <c r="X1014" s="22">
        <f>IFERROR(__xludf.DUMMYFUNCTION("IFERROR(GOOGLEFINANCE(A1014,""high""),"""")"),2650.0)</f>
        <v>2650</v>
      </c>
      <c r="Y1014" s="22">
        <f>IFERROR(__xludf.DUMMYFUNCTION("IFERROR(GOOGLEFINANCE(A1014,""low""),"""")"),2600.0)</f>
        <v>2600</v>
      </c>
      <c r="Z1014" s="22">
        <f>IFERROR(__xludf.DUMMYFUNCTION("IFERROR(GOOGLEFINANCE(A1014,""volume""),"""")"),9670400.0)</f>
        <v>9670400</v>
      </c>
      <c r="AA1014" s="24" t="str">
        <f>VLOOKUP(A1014,Metrik!$C$2:$Y$959,5,0)</f>
        <v>Transport Infrastructure Operator</v>
      </c>
      <c r="AB1014" s="24" t="str">
        <f>VLOOKUP(A1014,Metrik!$C$2:$Y$959,3,0)</f>
        <v>Infrastructures</v>
      </c>
    </row>
    <row r="1015">
      <c r="A1015" s="14" t="s">
        <v>528</v>
      </c>
      <c r="B1015" s="14" t="str">
        <f t="array" ref="B1015">VLOOKUP(A1015,{Metrik!$C$2:$C$998,Metrik!$B$2:$B$998},2,0)</f>
        <v>Jasa Marga (Persero) Tbk.</v>
      </c>
      <c r="C1015" s="15">
        <f>IFERROR(__xludf.DUMMYFUNCTION("GOOGLEFINANCE(""IDX:""&amp;A1015,""price"")"),2600.0)</f>
        <v>2600</v>
      </c>
      <c r="D1015" s="16" t="str">
        <f>IFERROR(__xludf.DUMMYFUNCTION("IF(A1015="""","""",
SPARKLINE(
INDEX(
GOOGLEFINANCE(""IDX:""&amp;A1015,""close"",TODAY()-365,TODAY()),
,2
),
{""linewidth"",1}
))
"),"#N/A")</f>
        <v>#N/A</v>
      </c>
      <c r="E1015" s="14" t="s">
        <v>33</v>
      </c>
      <c r="F1015" s="14" t="s">
        <v>34</v>
      </c>
      <c r="G1015" s="24">
        <f t="shared" si="7"/>
        <v>17</v>
      </c>
      <c r="H1015" s="19">
        <f>VLOOKUP(A1015,Metrik!$C$2:$Y$959,8,0)</f>
        <v>6.2</v>
      </c>
      <c r="I1015" s="20">
        <f>VLOOKUP(A1015,Metrik!$C$2:$Y$959,9,0)</f>
        <v>0.34</v>
      </c>
      <c r="J1015" s="20">
        <f>VLOOKUP(A1015,Metrik!$C$2:$Y$959,10,0)</f>
        <v>5.5</v>
      </c>
      <c r="K1015" s="20">
        <f>VLOOKUP(A1015,Metrik!$C$2:$Y$959,11,0)</f>
        <v>2.2</v>
      </c>
      <c r="L1015" s="20">
        <f>VLOOKUP(A1015,Metrik!$C$2:$Y$959,12,0)</f>
        <v>1.5</v>
      </c>
      <c r="M1015" s="20">
        <f>VLOOKUP(A1015,Metrik!$C$2:$Y$959,19,0)</f>
        <v>54.4</v>
      </c>
      <c r="N1015" s="21"/>
      <c r="O1015" s="21"/>
      <c r="P1015" s="21"/>
      <c r="Q1015" s="21"/>
      <c r="R1015" s="21"/>
      <c r="S1015" s="21"/>
      <c r="T1015" s="21"/>
      <c r="U1015" s="22">
        <f>IFERROR(__xludf.DUMMYFUNCTION("IFERROR(GOOGLEFINANCE(A1015,""closeyest""),"""")"),2620.0)</f>
        <v>2620</v>
      </c>
      <c r="V1015" s="23">
        <f>IFERROR(__xludf.DUMMYFUNCTION("IFERROR(GOOGLEFINANCE(A1015,""changepct""),"""")"),-0.76)</f>
        <v>-0.76</v>
      </c>
      <c r="W1015" s="22">
        <f>IFERROR(__xludf.DUMMYFUNCTION("IFERROR(GOOGLEFINANCE(A1015,""priceopen""),"""")"),2630.0)</f>
        <v>2630</v>
      </c>
      <c r="X1015" s="22">
        <f>IFERROR(__xludf.DUMMYFUNCTION("IFERROR(GOOGLEFINANCE(A1015,""high""),"""")"),2650.0)</f>
        <v>2650</v>
      </c>
      <c r="Y1015" s="22">
        <f>IFERROR(__xludf.DUMMYFUNCTION("IFERROR(GOOGLEFINANCE(A1015,""low""),"""")"),2600.0)</f>
        <v>2600</v>
      </c>
      <c r="Z1015" s="22">
        <f>IFERROR(__xludf.DUMMYFUNCTION("IFERROR(GOOGLEFINANCE(A1015,""volume""),"""")"),9670400.0)</f>
        <v>9670400</v>
      </c>
      <c r="AA1015" s="24" t="str">
        <f>VLOOKUP(A1015,Metrik!$C$2:$Y$959,5,0)</f>
        <v>Transport Infrastructure Operator</v>
      </c>
      <c r="AB1015" s="24" t="str">
        <f>VLOOKUP(A1015,Metrik!$C$2:$Y$959,3,0)</f>
        <v>Infrastructures</v>
      </c>
    </row>
    <row r="1016">
      <c r="A1016" s="14" t="s">
        <v>528</v>
      </c>
      <c r="B1016" s="14" t="str">
        <f t="array" ref="B1016">VLOOKUP(A1016,{Metrik!$C$2:$C$998,Metrik!$B$2:$B$998},2,0)</f>
        <v>Jasa Marga (Persero) Tbk.</v>
      </c>
      <c r="C1016" s="15">
        <f>IFERROR(__xludf.DUMMYFUNCTION("GOOGLEFINANCE(""IDX:""&amp;A1016,""price"")"),2600.0)</f>
        <v>2600</v>
      </c>
      <c r="D1016" s="16" t="str">
        <f>IFERROR(__xludf.DUMMYFUNCTION("IF(A1016="""","""",
SPARKLINE(
INDEX(
GOOGLEFINANCE(""IDX:""&amp;A1016,""close"",TODAY()-365,TODAY()),
,2
),
{""linewidth"",1}
))
"),"#N/A")</f>
        <v>#N/A</v>
      </c>
      <c r="E1016" s="14" t="s">
        <v>102</v>
      </c>
      <c r="F1016" s="27" t="s">
        <v>53</v>
      </c>
      <c r="G1016" s="24">
        <f t="shared" si="7"/>
        <v>17</v>
      </c>
      <c r="H1016" s="19">
        <f>VLOOKUP(A1016,Metrik!$C$2:$Y$959,8,0)</f>
        <v>6.2</v>
      </c>
      <c r="I1016" s="20">
        <f>VLOOKUP(A1016,Metrik!$C$2:$Y$959,9,0)</f>
        <v>0.34</v>
      </c>
      <c r="J1016" s="20">
        <f>VLOOKUP(A1016,Metrik!$C$2:$Y$959,10,0)</f>
        <v>5.5</v>
      </c>
      <c r="K1016" s="20">
        <f>VLOOKUP(A1016,Metrik!$C$2:$Y$959,11,0)</f>
        <v>2.2</v>
      </c>
      <c r="L1016" s="20">
        <f>VLOOKUP(A1016,Metrik!$C$2:$Y$959,12,0)</f>
        <v>1.5</v>
      </c>
      <c r="M1016" s="20">
        <f>VLOOKUP(A1016,Metrik!$C$2:$Y$959,19,0)</f>
        <v>54.4</v>
      </c>
      <c r="N1016" s="21"/>
      <c r="O1016" s="21"/>
      <c r="P1016" s="21"/>
      <c r="Q1016" s="21"/>
      <c r="R1016" s="21"/>
      <c r="S1016" s="21"/>
      <c r="T1016" s="21"/>
      <c r="U1016" s="22">
        <f>IFERROR(__xludf.DUMMYFUNCTION("IFERROR(GOOGLEFINANCE(A1016,""closeyest""),"""")"),2620.0)</f>
        <v>2620</v>
      </c>
      <c r="V1016" s="23">
        <f>IFERROR(__xludf.DUMMYFUNCTION("IFERROR(GOOGLEFINANCE(A1016,""changepct""),"""")"),-0.76)</f>
        <v>-0.76</v>
      </c>
      <c r="W1016" s="22">
        <f>IFERROR(__xludf.DUMMYFUNCTION("IFERROR(GOOGLEFINANCE(A1016,""priceopen""),"""")"),2630.0)</f>
        <v>2630</v>
      </c>
      <c r="X1016" s="22">
        <f>IFERROR(__xludf.DUMMYFUNCTION("IFERROR(GOOGLEFINANCE(A1016,""high""),"""")"),2650.0)</f>
        <v>2650</v>
      </c>
      <c r="Y1016" s="22">
        <f>IFERROR(__xludf.DUMMYFUNCTION("IFERROR(GOOGLEFINANCE(A1016,""low""),"""")"),2600.0)</f>
        <v>2600</v>
      </c>
      <c r="Z1016" s="22">
        <f>IFERROR(__xludf.DUMMYFUNCTION("IFERROR(GOOGLEFINANCE(A1016,""volume""),"""")"),9670400.0)</f>
        <v>9670400</v>
      </c>
      <c r="AA1016" s="24" t="str">
        <f>VLOOKUP(A1016,Metrik!$C$2:$Y$959,5,0)</f>
        <v>Transport Infrastructure Operator</v>
      </c>
      <c r="AB1016" s="24" t="str">
        <f>VLOOKUP(A1016,Metrik!$C$2:$Y$959,3,0)</f>
        <v>Infrastructures</v>
      </c>
    </row>
    <row r="1017">
      <c r="A1017" s="14" t="s">
        <v>528</v>
      </c>
      <c r="B1017" s="14" t="str">
        <f t="array" ref="B1017">VLOOKUP(A1017,{Metrik!$C$2:$C$998,Metrik!$B$2:$B$998},2,0)</f>
        <v>Jasa Marga (Persero) Tbk.</v>
      </c>
      <c r="C1017" s="15">
        <f>IFERROR(__xludf.DUMMYFUNCTION("GOOGLEFINANCE(""IDX:""&amp;A1017,""price"")"),2600.0)</f>
        <v>2600</v>
      </c>
      <c r="D1017" s="16" t="str">
        <f>IFERROR(__xludf.DUMMYFUNCTION("IF(A1017="""","""",
SPARKLINE(
INDEX(
GOOGLEFINANCE(""IDX:""&amp;A1017,""close"",TODAY()-365,TODAY()),
,2
),
{""linewidth"",1}
))
"),"#N/A")</f>
        <v>#N/A</v>
      </c>
      <c r="E1017" s="14" t="s">
        <v>41</v>
      </c>
      <c r="F1017" s="14" t="s">
        <v>34</v>
      </c>
      <c r="G1017" s="24">
        <f t="shared" si="7"/>
        <v>17</v>
      </c>
      <c r="H1017" s="19">
        <f>VLOOKUP(A1017,Metrik!$C$2:$Y$959,8,0)</f>
        <v>6.2</v>
      </c>
      <c r="I1017" s="20">
        <f>VLOOKUP(A1017,Metrik!$C$2:$Y$959,9,0)</f>
        <v>0.34</v>
      </c>
      <c r="J1017" s="20">
        <f>VLOOKUP(A1017,Metrik!$C$2:$Y$959,10,0)</f>
        <v>5.5</v>
      </c>
      <c r="K1017" s="20">
        <f>VLOOKUP(A1017,Metrik!$C$2:$Y$959,11,0)</f>
        <v>2.2</v>
      </c>
      <c r="L1017" s="20">
        <f>VLOOKUP(A1017,Metrik!$C$2:$Y$959,12,0)</f>
        <v>1.5</v>
      </c>
      <c r="M1017" s="20">
        <f>VLOOKUP(A1017,Metrik!$C$2:$Y$959,19,0)</f>
        <v>54.4</v>
      </c>
      <c r="N1017" s="21"/>
      <c r="O1017" s="21"/>
      <c r="P1017" s="21"/>
      <c r="Q1017" s="21"/>
      <c r="R1017" s="21"/>
      <c r="S1017" s="21"/>
      <c r="T1017" s="21"/>
      <c r="U1017" s="22">
        <f>IFERROR(__xludf.DUMMYFUNCTION("IFERROR(GOOGLEFINANCE(A1017,""closeyest""),"""")"),2620.0)</f>
        <v>2620</v>
      </c>
      <c r="V1017" s="23">
        <f>IFERROR(__xludf.DUMMYFUNCTION("IFERROR(GOOGLEFINANCE(A1017,""changepct""),"""")"),-0.76)</f>
        <v>-0.76</v>
      </c>
      <c r="W1017" s="22">
        <f>IFERROR(__xludf.DUMMYFUNCTION("IFERROR(GOOGLEFINANCE(A1017,""priceopen""),"""")"),2630.0)</f>
        <v>2630</v>
      </c>
      <c r="X1017" s="22">
        <f>IFERROR(__xludf.DUMMYFUNCTION("IFERROR(GOOGLEFINANCE(A1017,""high""),"""")"),2650.0)</f>
        <v>2650</v>
      </c>
      <c r="Y1017" s="22">
        <f>IFERROR(__xludf.DUMMYFUNCTION("IFERROR(GOOGLEFINANCE(A1017,""low""),"""")"),2600.0)</f>
        <v>2600</v>
      </c>
      <c r="Z1017" s="22">
        <f>IFERROR(__xludf.DUMMYFUNCTION("IFERROR(GOOGLEFINANCE(A1017,""volume""),"""")"),9670400.0)</f>
        <v>9670400</v>
      </c>
      <c r="AA1017" s="24" t="str">
        <f>VLOOKUP(A1017,Metrik!$C$2:$Y$959,5,0)</f>
        <v>Transport Infrastructure Operator</v>
      </c>
      <c r="AB1017" s="24" t="str">
        <f>VLOOKUP(A1017,Metrik!$C$2:$Y$959,3,0)</f>
        <v>Infrastructures</v>
      </c>
    </row>
    <row r="1018">
      <c r="A1018" s="48" t="s">
        <v>528</v>
      </c>
      <c r="B1018" s="14" t="str">
        <f t="array" ref="B1018">VLOOKUP(A1018,{Metrik!$C$2:$C$998,Metrik!$B$2:$B$998},2,0)</f>
        <v>Jasa Marga (Persero) Tbk.</v>
      </c>
      <c r="C1018" s="15">
        <f>IFERROR(__xludf.DUMMYFUNCTION("GOOGLEFINANCE(""IDX:""&amp;A1018,""price"")"),2600.0)</f>
        <v>2600</v>
      </c>
      <c r="D1018" s="16" t="str">
        <f>IFERROR(__xludf.DUMMYFUNCTION("IF(A1018="""","""",
SPARKLINE(
INDEX(
GOOGLEFINANCE(""IDX:""&amp;A1018,""close"",TODAY()-365,TODAY()),
,2
),
{""linewidth"",1}
))
"),"#N/A")</f>
        <v>#N/A</v>
      </c>
      <c r="E1018" s="17" t="s">
        <v>69</v>
      </c>
      <c r="F1018" s="17" t="s">
        <v>70</v>
      </c>
      <c r="G1018" s="24">
        <f t="shared" si="7"/>
        <v>17</v>
      </c>
      <c r="H1018" s="19">
        <f>VLOOKUP(A1018,Metrik!$C$2:$Y$959,8,0)</f>
        <v>6.2</v>
      </c>
      <c r="I1018" s="20">
        <f>VLOOKUP(A1018,Metrik!$C$2:$Y$959,9,0)</f>
        <v>0.34</v>
      </c>
      <c r="J1018" s="20">
        <f>VLOOKUP(A1018,Metrik!$C$2:$Y$959,10,0)</f>
        <v>5.5</v>
      </c>
      <c r="K1018" s="20">
        <f>VLOOKUP(A1018,Metrik!$C$2:$Y$959,11,0)</f>
        <v>2.2</v>
      </c>
      <c r="L1018" s="20">
        <f>VLOOKUP(A1018,Metrik!$C$2:$Y$959,12,0)</f>
        <v>1.5</v>
      </c>
      <c r="M1018" s="20">
        <f>VLOOKUP(A1018,Metrik!$C$2:$Y$959,19,0)</f>
        <v>54.4</v>
      </c>
      <c r="N1018" s="21"/>
      <c r="O1018" s="21"/>
      <c r="P1018" s="21"/>
      <c r="Q1018" s="21"/>
      <c r="R1018" s="21"/>
      <c r="S1018" s="21"/>
      <c r="T1018" s="21"/>
      <c r="U1018" s="22">
        <f>IFERROR(__xludf.DUMMYFUNCTION("IFERROR(GOOGLEFINANCE(A1018,""closeyest""),"""")"),2620.0)</f>
        <v>2620</v>
      </c>
      <c r="V1018" s="23">
        <f>IFERROR(__xludf.DUMMYFUNCTION("IFERROR(GOOGLEFINANCE(A1018,""changepct""),"""")"),-0.76)</f>
        <v>-0.76</v>
      </c>
      <c r="W1018" s="22">
        <f>IFERROR(__xludf.DUMMYFUNCTION("IFERROR(GOOGLEFINANCE(A1018,""priceopen""),"""")"),2630.0)</f>
        <v>2630</v>
      </c>
      <c r="X1018" s="22">
        <f>IFERROR(__xludf.DUMMYFUNCTION("IFERROR(GOOGLEFINANCE(A1018,""high""),"""")"),2650.0)</f>
        <v>2650</v>
      </c>
      <c r="Y1018" s="22">
        <f>IFERROR(__xludf.DUMMYFUNCTION("IFERROR(GOOGLEFINANCE(A1018,""low""),"""")"),2600.0)</f>
        <v>2600</v>
      </c>
      <c r="Z1018" s="22">
        <f>IFERROR(__xludf.DUMMYFUNCTION("IFERROR(GOOGLEFINANCE(A1018,""volume""),"""")"),9670400.0)</f>
        <v>9670400</v>
      </c>
      <c r="AA1018" s="24" t="str">
        <f>VLOOKUP(A1018,Metrik!$C$2:$Y$959,5,0)</f>
        <v>Transport Infrastructure Operator</v>
      </c>
      <c r="AB1018" s="24" t="str">
        <f>VLOOKUP(A1018,Metrik!$C$2:$Y$959,3,0)</f>
        <v>Infrastructures</v>
      </c>
    </row>
    <row r="1019">
      <c r="A1019" s="17" t="s">
        <v>528</v>
      </c>
      <c r="B1019" s="14" t="str">
        <f t="array" ref="B1019">VLOOKUP(A1019,{Metrik!$C$2:$C$998,Metrik!$B$2:$B$998},2,0)</f>
        <v>Jasa Marga (Persero) Tbk.</v>
      </c>
      <c r="C1019" s="15">
        <f>IFERROR(__xludf.DUMMYFUNCTION("GOOGLEFINANCE(""IDX:""&amp;A1019,""price"")"),2600.0)</f>
        <v>2600</v>
      </c>
      <c r="D1019" s="16" t="str">
        <f>IFERROR(__xludf.DUMMYFUNCTION("IF(A1019="""","""",
SPARKLINE(
INDEX(
GOOGLEFINANCE(""IDX:""&amp;A1019,""close"",TODAY()-365,TODAY()),
,2
),
{""linewidth"",1}
))
"),"#N/A")</f>
        <v>#N/A</v>
      </c>
      <c r="E1019" s="14" t="s">
        <v>35</v>
      </c>
      <c r="F1019" s="17" t="s">
        <v>36</v>
      </c>
      <c r="G1019" s="33">
        <f t="shared" si="7"/>
        <v>17</v>
      </c>
      <c r="H1019" s="34">
        <f>VLOOKUP(A1019,Metrik!$C$2:$Y$959,8,0)</f>
        <v>6.2</v>
      </c>
      <c r="I1019" s="34">
        <f>VLOOKUP(A1019,Metrik!$C$2:$Y$959,9,0)</f>
        <v>0.34</v>
      </c>
      <c r="J1019" s="34">
        <f>VLOOKUP(A1019,Metrik!$C$2:$Y$959,10,0)</f>
        <v>5.5</v>
      </c>
      <c r="K1019" s="34">
        <f>VLOOKUP(A1019,Metrik!$C$2:$Y$959,11,0)</f>
        <v>2.2</v>
      </c>
      <c r="L1019" s="34">
        <f>VLOOKUP(A1019,Metrik!$C$2:$Y$959,12,0)</f>
        <v>1.5</v>
      </c>
      <c r="M1019" s="34">
        <f>VLOOKUP(A1019,Metrik!$C$2:$Y$959,19,0)</f>
        <v>54.4</v>
      </c>
      <c r="N1019" s="26"/>
      <c r="O1019" s="26"/>
      <c r="P1019" s="26"/>
      <c r="Q1019" s="26"/>
      <c r="R1019" s="26"/>
      <c r="S1019" s="26"/>
      <c r="T1019" s="26"/>
      <c r="U1019" s="35">
        <f>IFERROR(__xludf.DUMMYFUNCTION("IFERROR(GOOGLEFINANCE(A1019,""closeyest""),"""")"),2620.0)</f>
        <v>2620</v>
      </c>
      <c r="V1019" s="36">
        <f>IFERROR(__xludf.DUMMYFUNCTION("IFERROR(GOOGLEFINANCE(A1019,""changepct""),"""")"),-0.76)</f>
        <v>-0.76</v>
      </c>
      <c r="W1019" s="35">
        <f>IFERROR(__xludf.DUMMYFUNCTION("IFERROR(GOOGLEFINANCE(A1019,""priceopen""),"""")"),2630.0)</f>
        <v>2630</v>
      </c>
      <c r="X1019" s="49">
        <f>IFERROR(__xludf.DUMMYFUNCTION("IFERROR(GOOGLEFINANCE(A1019,""high""),"""")"),2650.0)</f>
        <v>2650</v>
      </c>
      <c r="Y1019" s="35">
        <f>IFERROR(__xludf.DUMMYFUNCTION("IFERROR(GOOGLEFINANCE(A1019,""low""),"""")"),2600.0)</f>
        <v>2600</v>
      </c>
      <c r="Z1019" s="35">
        <f>IFERROR(__xludf.DUMMYFUNCTION("IFERROR(GOOGLEFINANCE(A1019,""volume""),"""")"),9670400.0)</f>
        <v>9670400</v>
      </c>
      <c r="AA1019" s="14" t="str">
        <f>VLOOKUP(A1019,Metrik!$C$2:$Y$959,5,0)</f>
        <v>Transport Infrastructure Operator</v>
      </c>
      <c r="AB1019" s="14" t="str">
        <f>VLOOKUP(A1019,Metrik!$C$2:$Y$959,3,0)</f>
        <v>Infrastructures</v>
      </c>
    </row>
    <row r="1020">
      <c r="A1020" s="14" t="s">
        <v>528</v>
      </c>
      <c r="B1020" s="14" t="str">
        <f t="array" ref="B1020">VLOOKUP(A1020,{Metrik!$C$2:$C$998,Metrik!$B$2:$B$998},2,0)</f>
        <v>Jasa Marga (Persero) Tbk.</v>
      </c>
      <c r="C1020" s="15">
        <f>IFERROR(__xludf.DUMMYFUNCTION("GOOGLEFINANCE(""IDX:""&amp;A1020,""price"")"),2600.0)</f>
        <v>2600</v>
      </c>
      <c r="D1020" s="16" t="str">
        <f>IFERROR(__xludf.DUMMYFUNCTION("IF(A1020="""","""",
SPARKLINE(
INDEX(
GOOGLEFINANCE(""IDX:""&amp;A1020,""close"",TODAY()-365,TODAY()),
,2
),
{""linewidth"",1}
))
"),"#N/A")</f>
        <v>#N/A</v>
      </c>
      <c r="E1020" s="14" t="s">
        <v>86</v>
      </c>
      <c r="F1020" s="25">
        <v>46356.0</v>
      </c>
      <c r="G1020" s="24">
        <f t="shared" si="7"/>
        <v>17</v>
      </c>
      <c r="H1020" s="19">
        <f>VLOOKUP(A1020,Metrik!$C$2:$Y$959,8,0)</f>
        <v>6.2</v>
      </c>
      <c r="I1020" s="20">
        <f>VLOOKUP(A1020,Metrik!$C$2:$Y$959,9,0)</f>
        <v>0.34</v>
      </c>
      <c r="J1020" s="20">
        <f>VLOOKUP(A1020,Metrik!$C$2:$Y$959,10,0)</f>
        <v>5.5</v>
      </c>
      <c r="K1020" s="20">
        <f>VLOOKUP(A1020,Metrik!$C$2:$Y$959,11,0)</f>
        <v>2.2</v>
      </c>
      <c r="L1020" s="20">
        <f>VLOOKUP(A1020,Metrik!$C$2:$Y$959,12,0)</f>
        <v>1.5</v>
      </c>
      <c r="M1020" s="20">
        <f>VLOOKUP(A1020,Metrik!$C$2:$Y$959,19,0)</f>
        <v>54.4</v>
      </c>
      <c r="N1020" s="21"/>
      <c r="O1020" s="21"/>
      <c r="P1020" s="21"/>
      <c r="Q1020" s="21"/>
      <c r="R1020" s="21"/>
      <c r="S1020" s="21"/>
      <c r="T1020" s="21"/>
      <c r="U1020" s="22">
        <f>IFERROR(__xludf.DUMMYFUNCTION("IFERROR(GOOGLEFINANCE(A1020,""closeyest""),"""")"),2620.0)</f>
        <v>2620</v>
      </c>
      <c r="V1020" s="23">
        <f>IFERROR(__xludf.DUMMYFUNCTION("IFERROR(GOOGLEFINANCE(A1020,""changepct""),"""")"),-0.76)</f>
        <v>-0.76</v>
      </c>
      <c r="W1020" s="22">
        <f>IFERROR(__xludf.DUMMYFUNCTION("IFERROR(GOOGLEFINANCE(A1020,""priceopen""),"""")"),2630.0)</f>
        <v>2630</v>
      </c>
      <c r="X1020" s="22">
        <f>IFERROR(__xludf.DUMMYFUNCTION("IFERROR(GOOGLEFINANCE(A1020,""high""),"""")"),2650.0)</f>
        <v>2650</v>
      </c>
      <c r="Y1020" s="22">
        <f>IFERROR(__xludf.DUMMYFUNCTION("IFERROR(GOOGLEFINANCE(A1020,""low""),"""")"),2600.0)</f>
        <v>2600</v>
      </c>
      <c r="Z1020" s="22">
        <f>IFERROR(__xludf.DUMMYFUNCTION("IFERROR(GOOGLEFINANCE(A1020,""volume""),"""")"),9670400.0)</f>
        <v>9670400</v>
      </c>
      <c r="AA1020" s="24" t="str">
        <f>VLOOKUP(A1020,Metrik!$C$2:$Y$959,5,0)</f>
        <v>Transport Infrastructure Operator</v>
      </c>
      <c r="AB1020" s="24" t="str">
        <f>VLOOKUP(A1020,Metrik!$C$2:$Y$959,3,0)</f>
        <v>Infrastructures</v>
      </c>
    </row>
    <row r="1021">
      <c r="A1021" s="14" t="s">
        <v>528</v>
      </c>
      <c r="B1021" s="14" t="str">
        <f t="array" ref="B1021">VLOOKUP(A1021,{Metrik!$C$2:$C$998,Metrik!$B$2:$B$998},2,0)</f>
        <v>Jasa Marga (Persero) Tbk.</v>
      </c>
      <c r="C1021" s="15">
        <f>IFERROR(__xludf.DUMMYFUNCTION("GOOGLEFINANCE(""IDX:""&amp;A1021,""price"")"),2600.0)</f>
        <v>2600</v>
      </c>
      <c r="D1021" s="16" t="str">
        <f>IFERROR(__xludf.DUMMYFUNCTION("IF(A1021="""","""",
SPARKLINE(
INDEX(
GOOGLEFINANCE(""IDX:""&amp;A1021,""close"",TODAY()-365,TODAY()),
,2
),
{""linewidth"",1}
))
"),"#N/A")</f>
        <v>#N/A</v>
      </c>
      <c r="E1021" s="14" t="s">
        <v>39</v>
      </c>
      <c r="F1021" s="25">
        <v>46356.0</v>
      </c>
      <c r="G1021" s="24">
        <f t="shared" si="7"/>
        <v>17</v>
      </c>
      <c r="H1021" s="19">
        <f>VLOOKUP(A1021,Metrik!$C$2:$Y$959,8,0)</f>
        <v>6.2</v>
      </c>
      <c r="I1021" s="20">
        <f>VLOOKUP(A1021,Metrik!$C$2:$Y$959,9,0)</f>
        <v>0.34</v>
      </c>
      <c r="J1021" s="20">
        <f>VLOOKUP(A1021,Metrik!$C$2:$Y$959,10,0)</f>
        <v>5.5</v>
      </c>
      <c r="K1021" s="20">
        <f>VLOOKUP(A1021,Metrik!$C$2:$Y$959,11,0)</f>
        <v>2.2</v>
      </c>
      <c r="L1021" s="20">
        <f>VLOOKUP(A1021,Metrik!$C$2:$Y$959,12,0)</f>
        <v>1.5</v>
      </c>
      <c r="M1021" s="20">
        <f>VLOOKUP(A1021,Metrik!$C$2:$Y$959,19,0)</f>
        <v>54.4</v>
      </c>
      <c r="N1021" s="21"/>
      <c r="O1021" s="21"/>
      <c r="P1021" s="21"/>
      <c r="Q1021" s="21"/>
      <c r="R1021" s="21"/>
      <c r="S1021" s="21"/>
      <c r="T1021" s="21"/>
      <c r="U1021" s="22">
        <f>IFERROR(__xludf.DUMMYFUNCTION("IFERROR(GOOGLEFINANCE(A1021,""closeyest""),"""")"),2620.0)</f>
        <v>2620</v>
      </c>
      <c r="V1021" s="23">
        <f>IFERROR(__xludf.DUMMYFUNCTION("IFERROR(GOOGLEFINANCE(A1021,""changepct""),"""")"),-0.76)</f>
        <v>-0.76</v>
      </c>
      <c r="W1021" s="22">
        <f>IFERROR(__xludf.DUMMYFUNCTION("IFERROR(GOOGLEFINANCE(A1021,""priceopen""),"""")"),2630.0)</f>
        <v>2630</v>
      </c>
      <c r="X1021" s="22">
        <f>IFERROR(__xludf.DUMMYFUNCTION("IFERROR(GOOGLEFINANCE(A1021,""high""),"""")"),2650.0)</f>
        <v>2650</v>
      </c>
      <c r="Y1021" s="22">
        <f>IFERROR(__xludf.DUMMYFUNCTION("IFERROR(GOOGLEFINANCE(A1021,""low""),"""")"),2600.0)</f>
        <v>2600</v>
      </c>
      <c r="Z1021" s="22">
        <f>IFERROR(__xludf.DUMMYFUNCTION("IFERROR(GOOGLEFINANCE(A1021,""volume""),"""")"),9670400.0)</f>
        <v>9670400</v>
      </c>
      <c r="AA1021" s="24" t="str">
        <f>VLOOKUP(A1021,Metrik!$C$2:$Y$959,5,0)</f>
        <v>Transport Infrastructure Operator</v>
      </c>
      <c r="AB1021" s="24" t="str">
        <f>VLOOKUP(A1021,Metrik!$C$2:$Y$959,3,0)</f>
        <v>Infrastructures</v>
      </c>
    </row>
    <row r="1022">
      <c r="A1022" s="14" t="s">
        <v>529</v>
      </c>
      <c r="B1022" s="14" t="str">
        <f t="array" ref="B1022">VLOOKUP(A1022,{Metrik!$C$2:$C$998,Metrik!$B$2:$B$998},2,0)</f>
        <v>Jakarta Setiabudi Internasional Tbk.</v>
      </c>
      <c r="C1022" s="15">
        <f>IFERROR(__xludf.DUMMYFUNCTION("GOOGLEFINANCE(""IDX:""&amp;A1022,""price"")"),1170.0)</f>
        <v>1170</v>
      </c>
      <c r="D1022" s="16" t="str">
        <f>IFERROR(__xludf.DUMMYFUNCTION("IF(A1022="""","""",
SPARKLINE(
INDEX(
GOOGLEFINANCE(""IDX:""&amp;A1022,""close"",TODAY()-365,TODAY()),
,2
),
{""linewidth"",1}
))
"),"#N/A")</f>
        <v>#N/A</v>
      </c>
      <c r="E1022" s="26"/>
      <c r="F1022" s="26"/>
      <c r="G1022" s="24">
        <f t="shared" si="7"/>
        <v>0</v>
      </c>
      <c r="H1022" s="19">
        <f>VLOOKUP(A1022,Metrik!$C$2:$Y$959,8,0)</f>
        <v>7.7</v>
      </c>
      <c r="I1022" s="20">
        <f>VLOOKUP(A1022,Metrik!$C$2:$Y$959,9,0)</f>
        <v>0.88</v>
      </c>
      <c r="J1022" s="20">
        <f>VLOOKUP(A1022,Metrik!$C$2:$Y$959,10,0)</f>
        <v>11.4</v>
      </c>
      <c r="K1022" s="20">
        <f>VLOOKUP(A1022,Metrik!$C$2:$Y$959,11,0)</f>
        <v>5.8</v>
      </c>
      <c r="L1022" s="20">
        <f>VLOOKUP(A1022,Metrik!$C$2:$Y$959,12,0)</f>
        <v>0.98</v>
      </c>
      <c r="M1022" s="20">
        <f>VLOOKUP(A1022,Metrik!$C$2:$Y$959,19,0)</f>
        <v>55.8</v>
      </c>
      <c r="N1022" s="21"/>
      <c r="O1022" s="21"/>
      <c r="P1022" s="21"/>
      <c r="Q1022" s="21"/>
      <c r="R1022" s="21"/>
      <c r="S1022" s="21"/>
      <c r="T1022" s="21"/>
      <c r="U1022" s="22">
        <f>IFERROR(__xludf.DUMMYFUNCTION("IFERROR(GOOGLEFINANCE(A1022,""closeyest""),"""")"),1145.0)</f>
        <v>1145</v>
      </c>
      <c r="V1022" s="23">
        <f>IFERROR(__xludf.DUMMYFUNCTION("IFERROR(GOOGLEFINANCE(A1022,""changepct""),"""")"),2.18)</f>
        <v>2.18</v>
      </c>
      <c r="W1022" s="22">
        <f>IFERROR(__xludf.DUMMYFUNCTION("IFERROR(GOOGLEFINANCE(A1022,""priceopen""),"""")"),1165.0)</f>
        <v>1165</v>
      </c>
      <c r="X1022" s="22">
        <f>IFERROR(__xludf.DUMMYFUNCTION("IFERROR(GOOGLEFINANCE(A1022,""high""),"""")"),1365.0)</f>
        <v>1365</v>
      </c>
      <c r="Y1022" s="22">
        <f>IFERROR(__xludf.DUMMYFUNCTION("IFERROR(GOOGLEFINANCE(A1022,""low""),"""")"),1130.0)</f>
        <v>1130</v>
      </c>
      <c r="Z1022" s="22">
        <f>IFERROR(__xludf.DUMMYFUNCTION("IFERROR(GOOGLEFINANCE(A1022,""volume""),"""")"),44000.0)</f>
        <v>44000</v>
      </c>
      <c r="AA1022" s="24" t="str">
        <f>VLOOKUP(A1022,Metrik!$C$2:$Y$959,5,0)</f>
        <v>Tourism &amp; Recreation</v>
      </c>
      <c r="AB1022" s="24" t="str">
        <f>VLOOKUP(A1022,Metrik!$C$2:$Y$959,3,0)</f>
        <v>Consumer Cyclicals</v>
      </c>
    </row>
    <row r="1023">
      <c r="A1023" s="14" t="s">
        <v>530</v>
      </c>
      <c r="B1023" s="14" t="str">
        <f t="array" ref="B1023">VLOOKUP(A1023,{Metrik!$C$2:$C$998,Metrik!$B$2:$B$998},2,0)</f>
        <v>Jasuindo Tiga Perkasa Tbk.</v>
      </c>
      <c r="C1023" s="15">
        <f>IFERROR(__xludf.DUMMYFUNCTION("GOOGLEFINANCE(""IDX:""&amp;A1023,""price"")"),605.0)</f>
        <v>605</v>
      </c>
      <c r="D1023" s="16" t="str">
        <f>IFERROR(__xludf.DUMMYFUNCTION("IF(A1023="""","""",
SPARKLINE(
INDEX(
GOOGLEFINANCE(""IDX:""&amp;A1023,""close"",TODAY()-365,TODAY()),
,2
),
{""linewidth"",1}
))
"),"#N/A")</f>
        <v>#N/A</v>
      </c>
      <c r="E1023" s="26"/>
      <c r="F1023" s="26"/>
      <c r="G1023" s="28">
        <f t="shared" si="7"/>
        <v>0</v>
      </c>
      <c r="H1023" s="19">
        <f>VLOOKUP(A1023,Metrik!$C$2:$Y$959,8,0)</f>
        <v>13.5</v>
      </c>
      <c r="I1023" s="20">
        <f>VLOOKUP(A1023,Metrik!$C$2:$Y$959,9,0)</f>
        <v>2.9</v>
      </c>
      <c r="J1023" s="20">
        <f>VLOOKUP(A1023,Metrik!$C$2:$Y$959,10,0)</f>
        <v>21.6</v>
      </c>
      <c r="K1023" s="20">
        <f>VLOOKUP(A1023,Metrik!$C$2:$Y$959,11,0)</f>
        <v>12.4</v>
      </c>
      <c r="L1023" s="20">
        <f>VLOOKUP(A1023,Metrik!$C$2:$Y$959,12,0)</f>
        <v>0.74</v>
      </c>
      <c r="M1023" s="20">
        <f>VLOOKUP(A1023,Metrik!$C$2:$Y$959,19,0)</f>
        <v>120</v>
      </c>
      <c r="N1023" s="21"/>
      <c r="O1023" s="21"/>
      <c r="P1023" s="21"/>
      <c r="Q1023" s="21"/>
      <c r="R1023" s="21"/>
      <c r="S1023" s="21"/>
      <c r="T1023" s="21"/>
      <c r="U1023" s="22">
        <f>IFERROR(__xludf.DUMMYFUNCTION("IFERROR(GOOGLEFINANCE(A1023,""closeyest""),"""")"),585.0)</f>
        <v>585</v>
      </c>
      <c r="V1023" s="23">
        <f>IFERROR(__xludf.DUMMYFUNCTION("IFERROR(GOOGLEFINANCE(A1023,""changepct""),"""")"),3.42)</f>
        <v>3.42</v>
      </c>
      <c r="W1023" s="22">
        <f>IFERROR(__xludf.DUMMYFUNCTION("IFERROR(GOOGLEFINANCE(A1023,""priceopen""),"""")"),580.0)</f>
        <v>580</v>
      </c>
      <c r="X1023" s="22">
        <f>IFERROR(__xludf.DUMMYFUNCTION("IFERROR(GOOGLEFINANCE(A1023,""high""),"""")"),605.0)</f>
        <v>605</v>
      </c>
      <c r="Y1023" s="22">
        <f>IFERROR(__xludf.DUMMYFUNCTION("IFERROR(GOOGLEFINANCE(A1023,""low""),"""")"),580.0)</f>
        <v>580</v>
      </c>
      <c r="Z1023" s="22">
        <f>IFERROR(__xludf.DUMMYFUNCTION("IFERROR(GOOGLEFINANCE(A1023,""volume""),"""")"),3171100.0)</f>
        <v>3171100</v>
      </c>
      <c r="AA1023" s="24" t="str">
        <f>VLOOKUP(A1023,Metrik!$C$2:$Y$959,5,0)</f>
        <v>Commercial Services</v>
      </c>
      <c r="AB1023" s="24" t="str">
        <f>VLOOKUP(A1023,Metrik!$C$2:$Y$959,3,0)</f>
        <v>Industrials</v>
      </c>
    </row>
    <row r="1024">
      <c r="A1024" s="14" t="s">
        <v>531</v>
      </c>
      <c r="B1024" s="14" t="str">
        <f t="array" ref="B1024">VLOOKUP(A1024,{Metrik!$C$2:$C$998,Metrik!$B$2:$B$998},2,0)</f>
        <v>Kimia Farma Tbk.</v>
      </c>
      <c r="C1024" s="15">
        <f>IFERROR(__xludf.DUMMYFUNCTION("GOOGLEFINANCE(""IDX:""&amp;A1024,""price"")"),444.0)</f>
        <v>444</v>
      </c>
      <c r="D1024" s="16" t="str">
        <f>IFERROR(__xludf.DUMMYFUNCTION("IF(A1024="""","""",
SPARKLINE(
INDEX(
GOOGLEFINANCE(""IDX:""&amp;A1024,""close"",TODAY()-365,TODAY()),
,2
),
{""linewidth"",1}
))
"),"#N/A")</f>
        <v>#N/A</v>
      </c>
      <c r="E1024" s="26"/>
      <c r="F1024" s="26"/>
      <c r="G1024" s="24">
        <f t="shared" si="7"/>
        <v>0</v>
      </c>
      <c r="H1024" s="19">
        <f>VLOOKUP(A1024,Metrik!$C$2:$Y$959,8,0)</f>
        <v>-16.9</v>
      </c>
      <c r="I1024" s="20">
        <f>VLOOKUP(A1024,Metrik!$C$2:$Y$959,9,0)</f>
        <v>0.93</v>
      </c>
      <c r="J1024" s="20">
        <f>VLOOKUP(A1024,Metrik!$C$2:$Y$959,10,0)</f>
        <v>-5.5</v>
      </c>
      <c r="K1024" s="20">
        <f>VLOOKUP(A1024,Metrik!$C$2:$Y$959,11,0)</f>
        <v>-1.1</v>
      </c>
      <c r="L1024" s="20">
        <f>VLOOKUP(A1024,Metrik!$C$2:$Y$959,12,0)</f>
        <v>4</v>
      </c>
      <c r="M1024" s="20">
        <f>VLOOKUP(A1024,Metrik!$C$2:$Y$959,19,0)</f>
        <v>-7.8</v>
      </c>
      <c r="N1024" s="21"/>
      <c r="O1024" s="21"/>
      <c r="P1024" s="21"/>
      <c r="Q1024" s="21"/>
      <c r="R1024" s="21"/>
      <c r="S1024" s="21"/>
      <c r="T1024" s="21"/>
      <c r="U1024" s="22">
        <f>IFERROR(__xludf.DUMMYFUNCTION("IFERROR(GOOGLEFINANCE(A1024,""closeyest""),"""")"),426.0)</f>
        <v>426</v>
      </c>
      <c r="V1024" s="23">
        <f>IFERROR(__xludf.DUMMYFUNCTION("IFERROR(GOOGLEFINANCE(A1024,""changepct""),"""")"),4.23)</f>
        <v>4.23</v>
      </c>
      <c r="W1024" s="22">
        <f>IFERROR(__xludf.DUMMYFUNCTION("IFERROR(GOOGLEFINANCE(A1024,""priceopen""),"""")"),428.0)</f>
        <v>428</v>
      </c>
      <c r="X1024" s="22">
        <f>IFERROR(__xludf.DUMMYFUNCTION("IFERROR(GOOGLEFINANCE(A1024,""high""),"""")"),446.0)</f>
        <v>446</v>
      </c>
      <c r="Y1024" s="22">
        <f>IFERROR(__xludf.DUMMYFUNCTION("IFERROR(GOOGLEFINANCE(A1024,""low""),"""")"),426.0)</f>
        <v>426</v>
      </c>
      <c r="Z1024" s="22">
        <f>IFERROR(__xludf.DUMMYFUNCTION("IFERROR(GOOGLEFINANCE(A1024,""volume""),"""")"),531500.0)</f>
        <v>531500</v>
      </c>
      <c r="AA1024" s="24" t="str">
        <f>VLOOKUP(A1024,Metrik!$C$2:$Y$959,5,0)</f>
        <v>Pharmaceuticals</v>
      </c>
      <c r="AB1024" s="24" t="str">
        <f>VLOOKUP(A1024,Metrik!$C$2:$Y$959,3,0)</f>
        <v>Healthcare</v>
      </c>
    </row>
    <row r="1025">
      <c r="A1025" s="14" t="s">
        <v>532</v>
      </c>
      <c r="B1025" s="14" t="str">
        <f t="array" ref="B1025">VLOOKUP(A1025,{Metrik!$C$2:$C$998,Metrik!$B$2:$B$998},2,0)</f>
        <v>Jantra Grupo Indonesia Tbk.</v>
      </c>
      <c r="C1025" s="15">
        <f>IFERROR(__xludf.DUMMYFUNCTION("GOOGLEFINANCE(""IDX:""&amp;A1025,""price"")"),91.0)</f>
        <v>91</v>
      </c>
      <c r="D1025" s="16" t="str">
        <f>IFERROR(__xludf.DUMMYFUNCTION("IF(A1025="""","""",
SPARKLINE(
INDEX(
GOOGLEFINANCE(""IDX:""&amp;A1025,""close"",TODAY()-365,TODAY()),
,2
),
{""linewidth"",1}
))
"),"#N/A")</f>
        <v>#N/A</v>
      </c>
      <c r="E1025" s="26"/>
      <c r="F1025" s="26"/>
      <c r="G1025" s="24">
        <f t="shared" si="7"/>
        <v>0</v>
      </c>
      <c r="H1025" s="19">
        <f>VLOOKUP(A1025,Metrik!$C$2:$Y$959,8,0)</f>
        <v>15.9</v>
      </c>
      <c r="I1025" s="20">
        <f>VLOOKUP(A1025,Metrik!$C$2:$Y$959,9,0)</f>
        <v>1.6</v>
      </c>
      <c r="J1025" s="20">
        <f>VLOOKUP(A1025,Metrik!$C$2:$Y$959,10,0)</f>
        <v>9.9</v>
      </c>
      <c r="K1025" s="20">
        <f>VLOOKUP(A1025,Metrik!$C$2:$Y$959,11,0)</f>
        <v>8.6</v>
      </c>
      <c r="L1025" s="20">
        <f>VLOOKUP(A1025,Metrik!$C$2:$Y$959,12,0)</f>
        <v>0.15</v>
      </c>
      <c r="M1025" s="20">
        <f>VLOOKUP(A1025,Metrik!$C$2:$Y$959,19,0)</f>
        <v>66.4</v>
      </c>
      <c r="N1025" s="21"/>
      <c r="O1025" s="21"/>
      <c r="P1025" s="21"/>
      <c r="Q1025" s="21"/>
      <c r="R1025" s="21"/>
      <c r="S1025" s="21"/>
      <c r="T1025" s="21"/>
      <c r="U1025" s="22">
        <f>IFERROR(__xludf.DUMMYFUNCTION("IFERROR(GOOGLEFINANCE(A1025,""closeyest""),"""")"),89.0)</f>
        <v>89</v>
      </c>
      <c r="V1025" s="23">
        <f>IFERROR(__xludf.DUMMYFUNCTION("IFERROR(GOOGLEFINANCE(A1025,""changepct""),"""")"),2.25)</f>
        <v>2.25</v>
      </c>
      <c r="W1025" s="22">
        <f>IFERROR(__xludf.DUMMYFUNCTION("IFERROR(GOOGLEFINANCE(A1025,""priceopen""),"""")"),89.0)</f>
        <v>89</v>
      </c>
      <c r="X1025" s="22">
        <f>IFERROR(__xludf.DUMMYFUNCTION("IFERROR(GOOGLEFINANCE(A1025,""high""),"""")"),95.0)</f>
        <v>95</v>
      </c>
      <c r="Y1025" s="22">
        <f>IFERROR(__xludf.DUMMYFUNCTION("IFERROR(GOOGLEFINANCE(A1025,""low""),"""")"),89.0)</f>
        <v>89</v>
      </c>
      <c r="Z1025" s="22">
        <f>IFERROR(__xludf.DUMMYFUNCTION("IFERROR(GOOGLEFINANCE(A1025,""volume""),"""")"),7.85515E7)</f>
        <v>78551500</v>
      </c>
      <c r="AA1025" s="24" t="str">
        <f>VLOOKUP(A1025,Metrik!$C$2:$Y$959,5,0)</f>
        <v>Auto Components</v>
      </c>
      <c r="AB1025" s="24" t="str">
        <f>VLOOKUP(A1025,Metrik!$C$2:$Y$959,3,0)</f>
        <v>Consumer Cyclicals</v>
      </c>
    </row>
    <row r="1026">
      <c r="A1026" s="14" t="s">
        <v>533</v>
      </c>
      <c r="B1026" s="14" t="str">
        <f t="array" ref="B1026">VLOOKUP(A1026,{Metrik!$C$2:$C$998,Metrik!$B$2:$B$998},2,0)</f>
        <v>Meratus Jasa Prima Tbk.</v>
      </c>
      <c r="C1026" s="15">
        <f>IFERROR(__xludf.DUMMYFUNCTION("GOOGLEFINANCE(""IDX:""&amp;A1026,""price"")"),274.0)</f>
        <v>274</v>
      </c>
      <c r="D1026" s="16" t="str">
        <f>IFERROR(__xludf.DUMMYFUNCTION("IF(A1026="""","""",
SPARKLINE(
INDEX(
GOOGLEFINANCE(""IDX:""&amp;A1026,""close"",TODAY()-365,TODAY()),
,2
),
{""linewidth"",1}
))
"),"#N/A")</f>
        <v>#N/A</v>
      </c>
      <c r="E1026" s="26"/>
      <c r="F1026" s="26"/>
      <c r="G1026" s="24">
        <f t="shared" si="7"/>
        <v>0</v>
      </c>
      <c r="H1026" s="19">
        <f>VLOOKUP(A1026,Metrik!$C$2:$Y$959,8,0)</f>
        <v>-64.5</v>
      </c>
      <c r="I1026" s="20">
        <f>VLOOKUP(A1026,Metrik!$C$2:$Y$959,9,0)</f>
        <v>-0.29</v>
      </c>
      <c r="J1026" s="20">
        <f>VLOOKUP(A1026,Metrik!$C$2:$Y$959,10,0)</f>
        <v>0</v>
      </c>
      <c r="K1026" s="20">
        <f>VLOOKUP(A1026,Metrik!$C$2:$Y$959,11,0)</f>
        <v>-1.1</v>
      </c>
      <c r="L1026" s="20">
        <f>VLOOKUP(A1026,Metrik!$C$2:$Y$959,12,0)</f>
        <v>-1.4</v>
      </c>
      <c r="M1026" s="20">
        <f>VLOOKUP(A1026,Metrik!$C$2:$Y$959,19,0)</f>
        <v>-10.9</v>
      </c>
      <c r="N1026" s="21"/>
      <c r="O1026" s="21"/>
      <c r="P1026" s="21"/>
      <c r="Q1026" s="21"/>
      <c r="R1026" s="21"/>
      <c r="S1026" s="21"/>
      <c r="T1026" s="21"/>
      <c r="U1026" s="22">
        <f>IFERROR(__xludf.DUMMYFUNCTION("IFERROR(GOOGLEFINANCE(A1026,""closeyest""),"""")"),250.0)</f>
        <v>250</v>
      </c>
      <c r="V1026" s="23">
        <f>IFERROR(__xludf.DUMMYFUNCTION("IFERROR(GOOGLEFINANCE(A1026,""changepct""),"""")"),9.6)</f>
        <v>9.6</v>
      </c>
      <c r="W1026" s="22">
        <f>IFERROR(__xludf.DUMMYFUNCTION("IFERROR(GOOGLEFINANCE(A1026,""priceopen""),"""")"),274.0)</f>
        <v>274</v>
      </c>
      <c r="X1026" s="22">
        <f>IFERROR(__xludf.DUMMYFUNCTION("IFERROR(GOOGLEFINANCE(A1026,""high""),"""")"),274.0)</f>
        <v>274</v>
      </c>
      <c r="Y1026" s="22">
        <f>IFERROR(__xludf.DUMMYFUNCTION("IFERROR(GOOGLEFINANCE(A1026,""low""),"""")"),274.0)</f>
        <v>274</v>
      </c>
      <c r="Z1026" s="22">
        <f>IFERROR(__xludf.DUMMYFUNCTION("IFERROR(GOOGLEFINANCE(A1026,""volume""),"""")"),315100.0)</f>
        <v>315100</v>
      </c>
      <c r="AA1026" s="24" t="str">
        <f>VLOOKUP(A1026,Metrik!$C$2:$Y$959,5,0)</f>
        <v>Transport Infrastructure Operator</v>
      </c>
      <c r="AB1026" s="24" t="str">
        <f>VLOOKUP(A1026,Metrik!$C$2:$Y$959,3,0)</f>
        <v>Infrastructures</v>
      </c>
    </row>
    <row r="1027">
      <c r="A1027" s="14" t="s">
        <v>534</v>
      </c>
      <c r="B1027" s="14" t="str">
        <f t="array" ref="B1027">VLOOKUP(A1027,{Metrik!$C$2:$C$998,Metrik!$B$2:$B$998},2,0)</f>
        <v>Darmi Bersaudara Tbk.</v>
      </c>
      <c r="C1027" s="15">
        <f>IFERROR(__xludf.DUMMYFUNCTION("GOOGLEFINANCE(""IDX:""&amp;A1027,""price"")"),18.0)</f>
        <v>18</v>
      </c>
      <c r="D1027" s="16" t="str">
        <f>IFERROR(__xludf.DUMMYFUNCTION("IF(A1027="""","""",
SPARKLINE(
INDEX(
GOOGLEFINANCE(""IDX:""&amp;A1027,""close"",TODAY()-365,TODAY()),
,2
),
{""linewidth"",1}
))
"),"#N/A")</f>
        <v>#N/A</v>
      </c>
      <c r="E1027" s="26"/>
      <c r="F1027" s="26"/>
      <c r="G1027" s="24">
        <f t="shared" si="7"/>
        <v>0</v>
      </c>
      <c r="H1027" s="19">
        <f>VLOOKUP(A1027,Metrik!$C$2:$Y$959,8,0)</f>
        <v>0</v>
      </c>
      <c r="I1027" s="20">
        <f>VLOOKUP(A1027,Metrik!$C$2:$Y$959,9,0)</f>
        <v>0.15</v>
      </c>
      <c r="J1027" s="20">
        <f>VLOOKUP(A1027,Metrik!$C$2:$Y$959,10,0)</f>
        <v>0.99</v>
      </c>
      <c r="K1027" s="20">
        <f>VLOOKUP(A1027,Metrik!$C$2:$Y$959,11,0)</f>
        <v>0.82</v>
      </c>
      <c r="L1027" s="20">
        <f>VLOOKUP(A1027,Metrik!$C$2:$Y$959,12,0)</f>
        <v>0.22</v>
      </c>
      <c r="M1027" s="20">
        <f>VLOOKUP(A1027,Metrik!$C$2:$Y$959,19,0)</f>
        <v>12</v>
      </c>
      <c r="N1027" s="21"/>
      <c r="O1027" s="21"/>
      <c r="P1027" s="21"/>
      <c r="Q1027" s="21"/>
      <c r="R1027" s="21"/>
      <c r="S1027" s="21"/>
      <c r="T1027" s="21"/>
      <c r="U1027" s="22">
        <f>IFERROR(__xludf.DUMMYFUNCTION("IFERROR(GOOGLEFINANCE(A1027,""closeyest""),"""")"),18.0)</f>
        <v>18</v>
      </c>
      <c r="V1027" s="23">
        <f>IFERROR(__xludf.DUMMYFUNCTION("IFERROR(GOOGLEFINANCE(A1027,""changepct""),"""")"),0.0)</f>
        <v>0</v>
      </c>
      <c r="W1027" s="22" t="str">
        <f>IFERROR(__xludf.DUMMYFUNCTION("IFERROR(GOOGLEFINANCE(A1027,""priceopen""),"""")"),"")</f>
        <v/>
      </c>
      <c r="X1027" s="22" t="str">
        <f>IFERROR(__xludf.DUMMYFUNCTION("IFERROR(GOOGLEFINANCE(A1027,""high""),"""")"),"")</f>
        <v/>
      </c>
      <c r="Y1027" s="22" t="str">
        <f>IFERROR(__xludf.DUMMYFUNCTION("IFERROR(GOOGLEFINANCE(A1027,""low""),"""")"),"")</f>
        <v/>
      </c>
      <c r="Z1027" s="22">
        <f>IFERROR(__xludf.DUMMYFUNCTION("IFERROR(GOOGLEFINANCE(A1027,""volume""),"""")"),0.0)</f>
        <v>0</v>
      </c>
      <c r="AA1027" s="24" t="str">
        <f>VLOOKUP(A1027,Metrik!$C$2:$Y$959,5,0)</f>
        <v>Forestry &amp; Paper</v>
      </c>
      <c r="AB1027" s="24" t="str">
        <f>VLOOKUP(A1027,Metrik!$C$2:$Y$959,3,0)</f>
        <v>Basic Materials</v>
      </c>
    </row>
    <row r="1028">
      <c r="A1028" s="14" t="s">
        <v>535</v>
      </c>
      <c r="B1028" s="14" t="str">
        <f t="array" ref="B1028">VLOOKUP(A1028,{Metrik!$C$2:$C$998,Metrik!$B$2:$B$998},2,0)</f>
        <v>Karya Bersama Anugerah Tbk.</v>
      </c>
      <c r="C1028" s="15">
        <f>IFERROR(__xludf.DUMMYFUNCTION("GOOGLEFINANCE(""IDX:""&amp;A1028,""price"")"),38.0)</f>
        <v>38</v>
      </c>
      <c r="D1028" s="16" t="str">
        <f>IFERROR(__xludf.DUMMYFUNCTION("IF(A1028="""","""",
SPARKLINE(
INDEX(
GOOGLEFINANCE(""IDX:""&amp;A1028,""close"",TODAY()-365,TODAY()),
,2
),
{""linewidth"",1}
))
"),"#N/A")</f>
        <v>#N/A</v>
      </c>
      <c r="E1028" s="26"/>
      <c r="F1028" s="26"/>
      <c r="G1028" s="24">
        <f t="shared" si="7"/>
        <v>0</v>
      </c>
      <c r="H1028" s="19">
        <f>VLOOKUP(A1028,Metrik!$C$2:$Y$959,8,0)</f>
        <v>-36.9</v>
      </c>
      <c r="I1028" s="20">
        <f>VLOOKUP(A1028,Metrik!$C$2:$Y$959,9,0)</f>
        <v>0.85</v>
      </c>
      <c r="J1028" s="20">
        <f>VLOOKUP(A1028,Metrik!$C$2:$Y$959,10,0)</f>
        <v>-2.3</v>
      </c>
      <c r="K1028" s="20">
        <f>VLOOKUP(A1028,Metrik!$C$2:$Y$959,11,0)</f>
        <v>-2</v>
      </c>
      <c r="L1028" s="20">
        <f>VLOOKUP(A1028,Metrik!$C$2:$Y$959,12,0)</f>
        <v>0.17</v>
      </c>
      <c r="M1028" s="20">
        <f>VLOOKUP(A1028,Metrik!$C$2:$Y$959,19,0)</f>
        <v>-380</v>
      </c>
      <c r="N1028" s="21"/>
      <c r="O1028" s="21"/>
      <c r="P1028" s="21"/>
      <c r="Q1028" s="21"/>
      <c r="R1028" s="21"/>
      <c r="S1028" s="21"/>
      <c r="T1028" s="21"/>
      <c r="U1028" s="22">
        <f>IFERROR(__xludf.DUMMYFUNCTION("IFERROR(GOOGLEFINANCE(A1028,""closeyest""),"""")"),38.0)</f>
        <v>38</v>
      </c>
      <c r="V1028" s="23">
        <f>IFERROR(__xludf.DUMMYFUNCTION("IFERROR(GOOGLEFINANCE(A1028,""changepct""),"""")"),0.0)</f>
        <v>0</v>
      </c>
      <c r="W1028" s="22">
        <f>IFERROR(__xludf.DUMMYFUNCTION("IFERROR(GOOGLEFINANCE(A1028,""priceopen""),"""")"),38.0)</f>
        <v>38</v>
      </c>
      <c r="X1028" s="22">
        <f>IFERROR(__xludf.DUMMYFUNCTION("IFERROR(GOOGLEFINANCE(A1028,""high""),"""")"),38.0)</f>
        <v>38</v>
      </c>
      <c r="Y1028" s="22">
        <f>IFERROR(__xludf.DUMMYFUNCTION("IFERROR(GOOGLEFINANCE(A1028,""low""),"""")"),38.0)</f>
        <v>38</v>
      </c>
      <c r="Z1028" s="22">
        <f>IFERROR(__xludf.DUMMYFUNCTION("IFERROR(GOOGLEFINANCE(A1028,""volume""),"""")"),1.03014E7)</f>
        <v>10301400</v>
      </c>
      <c r="AA1028" s="24" t="str">
        <f>VLOOKUP(A1028,Metrik!$C$2:$Y$959,5,0)</f>
        <v>Real Estate Management &amp; Development</v>
      </c>
      <c r="AB1028" s="24" t="str">
        <f>VLOOKUP(A1028,Metrik!$C$2:$Y$959,3,0)</f>
        <v>Properties &amp; Real Estate</v>
      </c>
    </row>
    <row r="1029">
      <c r="A1029" s="14" t="s">
        <v>536</v>
      </c>
      <c r="B1029" s="14" t="str">
        <f t="array" ref="B1029">VLOOKUP(A1029,{Metrik!$C$2:$C$998,Metrik!$B$2:$B$998},2,0)</f>
        <v>KMI Wire &amp; Cable Tbk.</v>
      </c>
      <c r="C1029" s="15">
        <f>IFERROR(__xludf.DUMMYFUNCTION("GOOGLEFINANCE(""IDX:""&amp;A1029,""price"")"),318.0)</f>
        <v>318</v>
      </c>
      <c r="D1029" s="16" t="str">
        <f>IFERROR(__xludf.DUMMYFUNCTION("IF(A1029="""","""",
SPARKLINE(
INDEX(
GOOGLEFINANCE(""IDX:""&amp;A1029,""close"",TODAY()-365,TODAY()),
,2
),
{""linewidth"",1}
))
"),"#N/A")</f>
        <v>#N/A</v>
      </c>
      <c r="E1029" s="26"/>
      <c r="F1029" s="26"/>
      <c r="G1029" s="24">
        <f t="shared" si="7"/>
        <v>0</v>
      </c>
      <c r="H1029" s="19">
        <f>VLOOKUP(A1029,Metrik!$C$2:$Y$959,8,0)</f>
        <v>6.5</v>
      </c>
      <c r="I1029" s="20">
        <f>VLOOKUP(A1029,Metrik!$C$2:$Y$959,9,0)</f>
        <v>0.43</v>
      </c>
      <c r="J1029" s="20">
        <f>VLOOKUP(A1029,Metrik!$C$2:$Y$959,10,0)</f>
        <v>6.6</v>
      </c>
      <c r="K1029" s="20">
        <f>VLOOKUP(A1029,Metrik!$C$2:$Y$959,11,0)</f>
        <v>5.7</v>
      </c>
      <c r="L1029" s="20">
        <f>VLOOKUP(A1029,Metrik!$C$2:$Y$959,12,0)</f>
        <v>0.17</v>
      </c>
      <c r="M1029" s="20">
        <f>VLOOKUP(A1029,Metrik!$C$2:$Y$959,19,0)</f>
        <v>22.7</v>
      </c>
      <c r="N1029" s="21"/>
      <c r="O1029" s="21"/>
      <c r="P1029" s="21"/>
      <c r="Q1029" s="21"/>
      <c r="R1029" s="21"/>
      <c r="S1029" s="21"/>
      <c r="T1029" s="21"/>
      <c r="U1029" s="22">
        <f>IFERROR(__xludf.DUMMYFUNCTION("IFERROR(GOOGLEFINANCE(A1029,""closeyest""),"""")"),312.0)</f>
        <v>312</v>
      </c>
      <c r="V1029" s="23">
        <f>IFERROR(__xludf.DUMMYFUNCTION("IFERROR(GOOGLEFINANCE(A1029,""changepct""),"""")"),1.92)</f>
        <v>1.92</v>
      </c>
      <c r="W1029" s="22">
        <f>IFERROR(__xludf.DUMMYFUNCTION("IFERROR(GOOGLEFINANCE(A1029,""priceopen""),"""")"),316.0)</f>
        <v>316</v>
      </c>
      <c r="X1029" s="22">
        <f>IFERROR(__xludf.DUMMYFUNCTION("IFERROR(GOOGLEFINANCE(A1029,""high""),"""")"),328.0)</f>
        <v>328</v>
      </c>
      <c r="Y1029" s="22">
        <f>IFERROR(__xludf.DUMMYFUNCTION("IFERROR(GOOGLEFINANCE(A1029,""low""),"""")"),316.0)</f>
        <v>316</v>
      </c>
      <c r="Z1029" s="22">
        <f>IFERROR(__xludf.DUMMYFUNCTION("IFERROR(GOOGLEFINANCE(A1029,""volume""),"""")"),530100.0)</f>
        <v>530100</v>
      </c>
      <c r="AA1029" s="24" t="str">
        <f>VLOOKUP(A1029,Metrik!$C$2:$Y$959,5,0)</f>
        <v>Electrical</v>
      </c>
      <c r="AB1029" s="24" t="str">
        <f>VLOOKUP(A1029,Metrik!$C$2:$Y$959,3,0)</f>
        <v>Industrials</v>
      </c>
    </row>
    <row r="1030">
      <c r="A1030" s="14" t="s">
        <v>537</v>
      </c>
      <c r="B1030" s="14" t="str">
        <f t="array" ref="B1030">VLOOKUP(A1030,{Metrik!$C$2:$C$998,Metrik!$B$2:$B$998},2,0)</f>
        <v>Kabelindo Murni Tbk.</v>
      </c>
      <c r="C1030" s="15">
        <f>IFERROR(__xludf.DUMMYFUNCTION("GOOGLEFINANCE(""IDX:""&amp;A1030,""price"")"),288.0)</f>
        <v>288</v>
      </c>
      <c r="D1030" s="16" t="str">
        <f>IFERROR(__xludf.DUMMYFUNCTION("IF(A1030="""","""",
SPARKLINE(
INDEX(
GOOGLEFINANCE(""IDX:""&amp;A1030,""close"",TODAY()-365,TODAY()),
,2
),
{""linewidth"",1}
))
"),"#N/A")</f>
        <v>#N/A</v>
      </c>
      <c r="E1030" s="26"/>
      <c r="F1030" s="26"/>
      <c r="G1030" s="24">
        <f t="shared" si="7"/>
        <v>0</v>
      </c>
      <c r="H1030" s="19">
        <f>VLOOKUP(A1030,Metrik!$C$2:$Y$959,8,0)</f>
        <v>18</v>
      </c>
      <c r="I1030" s="20">
        <f>VLOOKUP(A1030,Metrik!$C$2:$Y$959,9,0)</f>
        <v>0.23</v>
      </c>
      <c r="J1030" s="20">
        <f>VLOOKUP(A1030,Metrik!$C$2:$Y$959,10,0)</f>
        <v>1.3</v>
      </c>
      <c r="K1030" s="20">
        <f>VLOOKUP(A1030,Metrik!$C$2:$Y$959,11,0)</f>
        <v>0.95</v>
      </c>
      <c r="L1030" s="20">
        <f>VLOOKUP(A1030,Metrik!$C$2:$Y$959,12,0)</f>
        <v>0.36</v>
      </c>
      <c r="M1030" s="20">
        <f>VLOOKUP(A1030,Metrik!$C$2:$Y$959,19,0)</f>
        <v>2.7</v>
      </c>
      <c r="N1030" s="21"/>
      <c r="O1030" s="21"/>
      <c r="P1030" s="21"/>
      <c r="Q1030" s="21"/>
      <c r="R1030" s="21"/>
      <c r="S1030" s="21"/>
      <c r="T1030" s="21"/>
      <c r="U1030" s="22">
        <f>IFERROR(__xludf.DUMMYFUNCTION("IFERROR(GOOGLEFINANCE(A1030,""closeyest""),"""")"),278.0)</f>
        <v>278</v>
      </c>
      <c r="V1030" s="23">
        <f>IFERROR(__xludf.DUMMYFUNCTION("IFERROR(GOOGLEFINANCE(A1030,""changepct""),"""")"),3.6)</f>
        <v>3.6</v>
      </c>
      <c r="W1030" s="22">
        <f>IFERROR(__xludf.DUMMYFUNCTION("IFERROR(GOOGLEFINANCE(A1030,""priceopen""),"""")"),288.0)</f>
        <v>288</v>
      </c>
      <c r="X1030" s="22">
        <f>IFERROR(__xludf.DUMMYFUNCTION("IFERROR(GOOGLEFINANCE(A1030,""high""),"""")"),292.0)</f>
        <v>292</v>
      </c>
      <c r="Y1030" s="22">
        <f>IFERROR(__xludf.DUMMYFUNCTION("IFERROR(GOOGLEFINANCE(A1030,""low""),"""")"),288.0)</f>
        <v>288</v>
      </c>
      <c r="Z1030" s="22">
        <f>IFERROR(__xludf.DUMMYFUNCTION("IFERROR(GOOGLEFINANCE(A1030,""volume""),"""")"),50900.0)</f>
        <v>50900</v>
      </c>
      <c r="AA1030" s="24" t="str">
        <f>VLOOKUP(A1030,Metrik!$C$2:$Y$959,5,0)</f>
        <v>Electrical</v>
      </c>
      <c r="AB1030" s="24" t="str">
        <f>VLOOKUP(A1030,Metrik!$C$2:$Y$959,3,0)</f>
        <v>Industrials</v>
      </c>
    </row>
    <row r="1031">
      <c r="A1031" s="14" t="s">
        <v>538</v>
      </c>
      <c r="B1031" s="14" t="str">
        <f t="array" ref="B1031">VLOOKUP(A1031,{Metrik!$C$2:$C$998,Metrik!$B$2:$B$998},2,0)</f>
        <v>First Media Tbk.</v>
      </c>
      <c r="C1031" s="15">
        <f>IFERROR(__xludf.DUMMYFUNCTION("GOOGLEFINANCE(""IDX:""&amp;A1031,""price"")"),97.0)</f>
        <v>97</v>
      </c>
      <c r="D1031" s="16" t="str">
        <f>IFERROR(__xludf.DUMMYFUNCTION("IF(A1031="""","""",
SPARKLINE(
INDEX(
GOOGLEFINANCE(""IDX:""&amp;A1031,""close"",TODAY()-365,TODAY()),
,2
),
{""linewidth"",1}
))
"),"#N/A")</f>
        <v>#N/A</v>
      </c>
      <c r="E1031" s="26"/>
      <c r="F1031" s="26"/>
      <c r="G1031" s="24">
        <f t="shared" si="7"/>
        <v>0</v>
      </c>
      <c r="H1031" s="19">
        <f>VLOOKUP(A1031,Metrik!$C$2:$Y$959,8,0)</f>
        <v>61.7</v>
      </c>
      <c r="I1031" s="20">
        <f>VLOOKUP(A1031,Metrik!$C$2:$Y$959,9,0)</f>
        <v>0.33</v>
      </c>
      <c r="J1031" s="20">
        <f>VLOOKUP(A1031,Metrik!$C$2:$Y$959,10,0)</f>
        <v>0.54</v>
      </c>
      <c r="K1031" s="20">
        <f>VLOOKUP(A1031,Metrik!$C$2:$Y$959,11,0)</f>
        <v>0.14</v>
      </c>
      <c r="L1031" s="20">
        <f>VLOOKUP(A1031,Metrik!$C$2:$Y$959,12,0)</f>
        <v>3</v>
      </c>
      <c r="M1031" s="20">
        <f>VLOOKUP(A1031,Metrik!$C$2:$Y$959,19,0)</f>
        <v>1370</v>
      </c>
      <c r="N1031" s="21"/>
      <c r="O1031" s="21"/>
      <c r="P1031" s="21"/>
      <c r="Q1031" s="21"/>
      <c r="R1031" s="21"/>
      <c r="S1031" s="21"/>
      <c r="T1031" s="21"/>
      <c r="U1031" s="22">
        <f>IFERROR(__xludf.DUMMYFUNCTION("IFERROR(GOOGLEFINANCE(A1031,""closeyest""),"""")"),102.0)</f>
        <v>102</v>
      </c>
      <c r="V1031" s="23">
        <f>IFERROR(__xludf.DUMMYFUNCTION("IFERROR(GOOGLEFINANCE(A1031,""changepct""),"""")"),-4.9)</f>
        <v>-4.9</v>
      </c>
      <c r="W1031" s="22">
        <f>IFERROR(__xludf.DUMMYFUNCTION("IFERROR(GOOGLEFINANCE(A1031,""priceopen""),"""")"),102.0)</f>
        <v>102</v>
      </c>
      <c r="X1031" s="22">
        <f>IFERROR(__xludf.DUMMYFUNCTION("IFERROR(GOOGLEFINANCE(A1031,""high""),"""")"),104.0)</f>
        <v>104</v>
      </c>
      <c r="Y1031" s="22">
        <f>IFERROR(__xludf.DUMMYFUNCTION("IFERROR(GOOGLEFINANCE(A1031,""low""),"""")"),93.0)</f>
        <v>93</v>
      </c>
      <c r="Z1031" s="22">
        <f>IFERROR(__xludf.DUMMYFUNCTION("IFERROR(GOOGLEFINANCE(A1031,""volume""),"""")"),2.30299E7)</f>
        <v>23029900</v>
      </c>
      <c r="AA1031" s="24" t="str">
        <f>VLOOKUP(A1031,Metrik!$C$2:$Y$959,5,0)</f>
        <v>Telecommunication Service</v>
      </c>
      <c r="AB1031" s="24" t="str">
        <f>VLOOKUP(A1031,Metrik!$C$2:$Y$959,3,0)</f>
        <v>Infrastructures</v>
      </c>
    </row>
    <row r="1032">
      <c r="A1032" s="14" t="s">
        <v>539</v>
      </c>
      <c r="B1032" s="14" t="str">
        <f t="array" ref="B1032">VLOOKUP(A1032,{Metrik!$C$2:$C$998,Metrik!$B$2:$B$998},2,0)</f>
        <v>Kertas Basuki Rachmat Indonesia Tbk.</v>
      </c>
      <c r="C1032" s="15">
        <f>IFERROR(__xludf.DUMMYFUNCTION("GOOGLEFINANCE(""IDX:""&amp;A1032,""price"")"),50.0)</f>
        <v>50</v>
      </c>
      <c r="D1032" s="16" t="str">
        <f>IFERROR(__xludf.DUMMYFUNCTION("IF(A1032="""","""",
SPARKLINE(
INDEX(
GOOGLEFINANCE(""IDX:""&amp;A1032,""close"",TODAY()-365,TODAY()),
,2
),
{""linewidth"",1}
))
"),"#N/A")</f>
        <v>#N/A</v>
      </c>
      <c r="E1032" s="26"/>
      <c r="F1032" s="26"/>
      <c r="G1032" s="24">
        <f t="shared" si="7"/>
        <v>0</v>
      </c>
      <c r="H1032" s="19">
        <f>VLOOKUP(A1032,Metrik!$C$2:$Y$959,8,0)</f>
        <v>0</v>
      </c>
      <c r="I1032" s="20">
        <f>VLOOKUP(A1032,Metrik!$C$2:$Y$959,9,0)</f>
        <v>3.2</v>
      </c>
      <c r="J1032" s="20">
        <f>VLOOKUP(A1032,Metrik!$C$2:$Y$959,10,0)</f>
        <v>-25.2</v>
      </c>
      <c r="K1032" s="20">
        <f>VLOOKUP(A1032,Metrik!$C$2:$Y$959,11,0)</f>
        <v>-3.4</v>
      </c>
      <c r="L1032" s="20">
        <f>VLOOKUP(A1032,Metrik!$C$2:$Y$959,12,0)</f>
        <v>6.5</v>
      </c>
      <c r="M1032" s="20">
        <f>VLOOKUP(A1032,Metrik!$C$2:$Y$959,19,0)</f>
        <v>-8950</v>
      </c>
      <c r="N1032" s="21"/>
      <c r="O1032" s="21"/>
      <c r="P1032" s="21"/>
      <c r="Q1032" s="21"/>
      <c r="R1032" s="21"/>
      <c r="S1032" s="21"/>
      <c r="T1032" s="21"/>
      <c r="U1032" s="22">
        <f>IFERROR(__xludf.DUMMYFUNCTION("IFERROR(GOOGLEFINANCE(A1032,""closeyest""),"""")"),50.0)</f>
        <v>50</v>
      </c>
      <c r="V1032" s="23">
        <f>IFERROR(__xludf.DUMMYFUNCTION("IFERROR(GOOGLEFINANCE(A1032,""changepct""),"""")"),0.0)</f>
        <v>0</v>
      </c>
      <c r="W1032" s="22" t="str">
        <f>IFERROR(__xludf.DUMMYFUNCTION("IFERROR(GOOGLEFINANCE(A1032,""priceopen""),"""")"),"")</f>
        <v/>
      </c>
      <c r="X1032" s="22" t="str">
        <f>IFERROR(__xludf.DUMMYFUNCTION("IFERROR(GOOGLEFINANCE(A1032,""high""),"""")"),"")</f>
        <v/>
      </c>
      <c r="Y1032" s="22" t="str">
        <f>IFERROR(__xludf.DUMMYFUNCTION("IFERROR(GOOGLEFINANCE(A1032,""low""),"""")"),"")</f>
        <v/>
      </c>
      <c r="Z1032" s="22">
        <f>IFERROR(__xludf.DUMMYFUNCTION("IFERROR(GOOGLEFINANCE(A1032,""volume""),"""")"),0.0)</f>
        <v>0</v>
      </c>
      <c r="AA1032" s="24" t="str">
        <f>VLOOKUP(A1032,Metrik!$C$2:$Y$959,5,0)</f>
        <v>Forestry &amp; Paper</v>
      </c>
      <c r="AB1032" s="24" t="str">
        <f>VLOOKUP(A1032,Metrik!$C$2:$Y$959,3,0)</f>
        <v>Basic Materials</v>
      </c>
    </row>
    <row r="1033">
      <c r="A1033" s="14" t="s">
        <v>540</v>
      </c>
      <c r="B1033" s="14" t="str">
        <f t="array" ref="B1033">VLOOKUP(A1033,{Metrik!$C$2:$C$998,Metrik!$B$2:$B$998},2,0)</f>
        <v>Kedawung Setia Industrial Tbk.</v>
      </c>
      <c r="C1033" s="15">
        <f>IFERROR(__xludf.DUMMYFUNCTION("GOOGLEFINANCE(""IDX:""&amp;A1033,""price"")"),444.0)</f>
        <v>444</v>
      </c>
      <c r="D1033" s="16" t="str">
        <f>IFERROR(__xludf.DUMMYFUNCTION("IF(A1033="""","""",
SPARKLINE(
INDEX(
GOOGLEFINANCE(""IDX:""&amp;A1033,""close"",TODAY()-365,TODAY()),
,2
),
{""linewidth"",1}
))
"),"#N/A")</f>
        <v>#N/A</v>
      </c>
      <c r="E1033" s="26"/>
      <c r="F1033" s="26"/>
      <c r="G1033" s="24">
        <f t="shared" si="7"/>
        <v>0</v>
      </c>
      <c r="H1033" s="19">
        <f>VLOOKUP(A1033,Metrik!$C$2:$Y$959,8,0)</f>
        <v>24.6</v>
      </c>
      <c r="I1033" s="20">
        <f>VLOOKUP(A1033,Metrik!$C$2:$Y$959,9,0)</f>
        <v>0.91</v>
      </c>
      <c r="J1033" s="20">
        <f>VLOOKUP(A1033,Metrik!$C$2:$Y$959,10,0)</f>
        <v>3.7</v>
      </c>
      <c r="K1033" s="20">
        <f>VLOOKUP(A1033,Metrik!$C$2:$Y$959,11,0)</f>
        <v>2.5</v>
      </c>
      <c r="L1033" s="20">
        <f>VLOOKUP(A1033,Metrik!$C$2:$Y$959,12,0)</f>
        <v>0.49</v>
      </c>
      <c r="M1033" s="20">
        <f>VLOOKUP(A1033,Metrik!$C$2:$Y$959,19,0)</f>
        <v>6.2</v>
      </c>
      <c r="N1033" s="21"/>
      <c r="O1033" s="21"/>
      <c r="P1033" s="21"/>
      <c r="Q1033" s="21"/>
      <c r="R1033" s="21"/>
      <c r="S1033" s="21"/>
      <c r="T1033" s="21"/>
      <c r="U1033" s="22">
        <f>IFERROR(__xludf.DUMMYFUNCTION("IFERROR(GOOGLEFINANCE(A1033,""closeyest""),"""")"),432.0)</f>
        <v>432</v>
      </c>
      <c r="V1033" s="23">
        <f>IFERROR(__xludf.DUMMYFUNCTION("IFERROR(GOOGLEFINANCE(A1033,""changepct""),"""")"),2.78)</f>
        <v>2.78</v>
      </c>
      <c r="W1033" s="22">
        <f>IFERROR(__xludf.DUMMYFUNCTION("IFERROR(GOOGLEFINANCE(A1033,""priceopen""),"""")"),432.0)</f>
        <v>432</v>
      </c>
      <c r="X1033" s="22">
        <f>IFERROR(__xludf.DUMMYFUNCTION("IFERROR(GOOGLEFINANCE(A1033,""high""),"""")"),446.0)</f>
        <v>446</v>
      </c>
      <c r="Y1033" s="22">
        <f>IFERROR(__xludf.DUMMYFUNCTION("IFERROR(GOOGLEFINANCE(A1033,""low""),"""")"),410.0)</f>
        <v>410</v>
      </c>
      <c r="Z1033" s="22">
        <f>IFERROR(__xludf.DUMMYFUNCTION("IFERROR(GOOGLEFINANCE(A1033,""volume""),"""")"),27400.0)</f>
        <v>27400</v>
      </c>
      <c r="AA1033" s="24" t="str">
        <f>VLOOKUP(A1033,Metrik!$C$2:$Y$959,5,0)</f>
        <v>Containers &amp; Packaging</v>
      </c>
      <c r="AB1033" s="24" t="str">
        <f>VLOOKUP(A1033,Metrik!$C$2:$Y$959,3,0)</f>
        <v>Basic Materials</v>
      </c>
    </row>
    <row r="1034">
      <c r="A1034" s="14" t="s">
        <v>541</v>
      </c>
      <c r="B1034" s="14" t="str">
        <f t="array" ref="B1034">VLOOKUP(A1034,{Metrik!$C$2:$C$998,Metrik!$B$2:$B$998},2,0)</f>
        <v>Puri Sentul Permai Tbk.</v>
      </c>
      <c r="C1034" s="15">
        <f>IFERROR(__xludf.DUMMYFUNCTION("GOOGLEFINANCE(""IDX:""&amp;A1034,""price"")"),740.0)</f>
        <v>740</v>
      </c>
      <c r="D1034" s="16" t="str">
        <f>IFERROR(__xludf.DUMMYFUNCTION("IF(A1034="""","""",
SPARKLINE(
INDEX(
GOOGLEFINANCE(""IDX:""&amp;A1034,""close"",TODAY()-365,TODAY()),
,2
),
{""linewidth"",1}
))
"),"#N/A")</f>
        <v>#N/A</v>
      </c>
      <c r="E1034" s="26"/>
      <c r="F1034" s="26"/>
      <c r="G1034" s="24">
        <f t="shared" si="7"/>
        <v>0</v>
      </c>
      <c r="H1034" s="19">
        <f>VLOOKUP(A1034,Metrik!$C$2:$Y$959,8,0)</f>
        <v>420</v>
      </c>
      <c r="I1034" s="20">
        <f>VLOOKUP(A1034,Metrik!$C$2:$Y$959,9,0)</f>
        <v>15.5</v>
      </c>
      <c r="J1034" s="20">
        <f>VLOOKUP(A1034,Metrik!$C$2:$Y$959,10,0)</f>
        <v>3.7</v>
      </c>
      <c r="K1034" s="20">
        <f>VLOOKUP(A1034,Metrik!$C$2:$Y$959,11,0)</f>
        <v>3.1</v>
      </c>
      <c r="L1034" s="20">
        <f>VLOOKUP(A1034,Metrik!$C$2:$Y$959,12,0)</f>
        <v>0.19</v>
      </c>
      <c r="M1034" s="20">
        <f>VLOOKUP(A1034,Metrik!$C$2:$Y$959,19,0)</f>
        <v>27.6</v>
      </c>
      <c r="N1034" s="21"/>
      <c r="O1034" s="21"/>
      <c r="P1034" s="21"/>
      <c r="Q1034" s="21"/>
      <c r="R1034" s="21"/>
      <c r="S1034" s="21"/>
      <c r="T1034" s="21"/>
      <c r="U1034" s="22">
        <f>IFERROR(__xludf.DUMMYFUNCTION("IFERROR(GOOGLEFINANCE(A1034,""closeyest""),"""")"),735.0)</f>
        <v>735</v>
      </c>
      <c r="V1034" s="23">
        <f>IFERROR(__xludf.DUMMYFUNCTION("IFERROR(GOOGLEFINANCE(A1034,""changepct""),"""")"),0.68)</f>
        <v>0.68</v>
      </c>
      <c r="W1034" s="22">
        <f>IFERROR(__xludf.DUMMYFUNCTION("IFERROR(GOOGLEFINANCE(A1034,""priceopen""),"""")"),725.0)</f>
        <v>725</v>
      </c>
      <c r="X1034" s="22" t="str">
        <f>IFERROR(__xludf.DUMMYFUNCTION("IFERROR(GOOGLEFINANCE(A1034,""high""),"""")"),"")</f>
        <v/>
      </c>
      <c r="Y1034" s="22">
        <f>IFERROR(__xludf.DUMMYFUNCTION("IFERROR(GOOGLEFINANCE(A1034,""low""),"""")"),720.0)</f>
        <v>720</v>
      </c>
      <c r="Z1034" s="22">
        <f>IFERROR(__xludf.DUMMYFUNCTION("IFERROR(GOOGLEFINANCE(A1034,""volume""),"""")"),354300.0)</f>
        <v>354300</v>
      </c>
      <c r="AA1034" s="24" t="str">
        <f>VLOOKUP(A1034,Metrik!$C$2:$Y$959,5,0)</f>
        <v>Tourism &amp; Recreation</v>
      </c>
      <c r="AB1034" s="24" t="str">
        <f>VLOOKUP(A1034,Metrik!$C$2:$Y$959,3,0)</f>
        <v>Consumer Cyclicals</v>
      </c>
    </row>
    <row r="1035">
      <c r="A1035" s="17" t="s">
        <v>542</v>
      </c>
      <c r="B1035" s="14" t="str">
        <f t="array" ref="B1035">VLOOKUP(A1035,{Metrik!$C$2:$C$998,Metrik!$B$2:$B$998},2,0)</f>
        <v>Kencana Energi Lestari Tbk.</v>
      </c>
      <c r="C1035" s="15">
        <f>IFERROR(__xludf.DUMMYFUNCTION("GOOGLEFINANCE(""IDX:""&amp;A1035,""price"")"),845.0)</f>
        <v>845</v>
      </c>
      <c r="D1035" s="16" t="str">
        <f>IFERROR(__xludf.DUMMYFUNCTION("IF(A1035="""","""",
SPARKLINE(
INDEX(
GOOGLEFINANCE(""IDX:""&amp;A1035,""close"",TODAY()-365,TODAY()),
,2
),
{""linewidth"",1}
))
"),"#N/A")</f>
        <v>#N/A</v>
      </c>
      <c r="E1035" s="17" t="s">
        <v>175</v>
      </c>
      <c r="F1035" s="14" t="s">
        <v>34</v>
      </c>
      <c r="G1035" s="18">
        <f t="shared" si="7"/>
        <v>1</v>
      </c>
      <c r="H1035" s="19">
        <f>VLOOKUP(A1035,Metrik!$C$2:$Y$959,8,0)</f>
        <v>25.1</v>
      </c>
      <c r="I1035" s="20">
        <f>VLOOKUP(A1035,Metrik!$C$2:$Y$959,9,0)</f>
        <v>0.91</v>
      </c>
      <c r="J1035" s="20">
        <f>VLOOKUP(A1035,Metrik!$C$2:$Y$959,10,0)</f>
        <v>3.6</v>
      </c>
      <c r="K1035" s="20">
        <f>VLOOKUP(A1035,Metrik!$C$2:$Y$959,11,0)</f>
        <v>2</v>
      </c>
      <c r="L1035" s="20">
        <f>VLOOKUP(A1035,Metrik!$C$2:$Y$959,12,0)</f>
        <v>0.77</v>
      </c>
      <c r="M1035" s="20">
        <f>VLOOKUP(A1035,Metrik!$C$2:$Y$959,19,0)</f>
        <v>82.1</v>
      </c>
      <c r="N1035" s="21"/>
      <c r="O1035" s="21"/>
      <c r="P1035" s="21"/>
      <c r="Q1035" s="21"/>
      <c r="R1035" s="21"/>
      <c r="S1035" s="21"/>
      <c r="T1035" s="21"/>
      <c r="U1035" s="22">
        <f>IFERROR(__xludf.DUMMYFUNCTION("IFERROR(GOOGLEFINANCE(A1035,""closeyest""),"""")"),810.0)</f>
        <v>810</v>
      </c>
      <c r="V1035" s="23">
        <f>IFERROR(__xludf.DUMMYFUNCTION("IFERROR(GOOGLEFINANCE(A1035,""changepct""),"""")"),4.32)</f>
        <v>4.32</v>
      </c>
      <c r="W1035" s="22">
        <f>IFERROR(__xludf.DUMMYFUNCTION("IFERROR(GOOGLEFINANCE(A1035,""priceopen""),"""")"),810.0)</f>
        <v>810</v>
      </c>
      <c r="X1035" s="22">
        <f>IFERROR(__xludf.DUMMYFUNCTION("IFERROR(GOOGLEFINANCE(A1035,""high""),"""")"),855.0)</f>
        <v>855</v>
      </c>
      <c r="Y1035" s="22">
        <f>IFERROR(__xludf.DUMMYFUNCTION("IFERROR(GOOGLEFINANCE(A1035,""low""),"""")"),810.0)</f>
        <v>810</v>
      </c>
      <c r="Z1035" s="22">
        <f>IFERROR(__xludf.DUMMYFUNCTION("IFERROR(GOOGLEFINANCE(A1035,""volume""),"""")"),1.11651E7)</f>
        <v>11165100</v>
      </c>
      <c r="AA1035" s="24" t="str">
        <f>VLOOKUP(A1035,Metrik!$C$2:$Y$959,5,0)</f>
        <v>Electric Utilities</v>
      </c>
      <c r="AB1035" s="24" t="str">
        <f>VLOOKUP(A1035,Metrik!$C$2:$Y$959,3,0)</f>
        <v>Infrastructures</v>
      </c>
    </row>
    <row r="1036">
      <c r="A1036" s="14" t="s">
        <v>543</v>
      </c>
      <c r="B1036" s="14" t="str">
        <f t="array" ref="B1036">VLOOKUP(A1036,{Metrik!$C$2:$C$998,Metrik!$B$2:$B$998},2,0)</f>
        <v>Mulia Boga Raya Tbk.</v>
      </c>
      <c r="C1036" s="15">
        <f>IFERROR(__xludf.DUMMYFUNCTION("GOOGLEFINANCE(""IDX:""&amp;A1036,""price"")"),600.0)</f>
        <v>600</v>
      </c>
      <c r="D1036" s="16" t="str">
        <f>IFERROR(__xludf.DUMMYFUNCTION("IF(A1036="""","""",
SPARKLINE(
INDEX(
GOOGLEFINANCE(""IDX:""&amp;A1036,""close"",TODAY()-365,TODAY()),
,2
),
{""linewidth"",1}
))
"),"#N/A")</f>
        <v>#N/A</v>
      </c>
      <c r="E1036" s="26"/>
      <c r="F1036" s="26"/>
      <c r="G1036" s="24">
        <f t="shared" si="7"/>
        <v>0</v>
      </c>
      <c r="H1036" s="19">
        <f>VLOOKUP(A1036,Metrik!$C$2:$Y$959,8,0)</f>
        <v>18.8</v>
      </c>
      <c r="I1036" s="20">
        <f>VLOOKUP(A1036,Metrik!$C$2:$Y$959,9,0)</f>
        <v>3.8</v>
      </c>
      <c r="J1036" s="20">
        <f>VLOOKUP(A1036,Metrik!$C$2:$Y$959,10,0)</f>
        <v>20</v>
      </c>
      <c r="K1036" s="20">
        <f>VLOOKUP(A1036,Metrik!$C$2:$Y$959,11,0)</f>
        <v>13.5</v>
      </c>
      <c r="L1036" s="20">
        <f>VLOOKUP(A1036,Metrik!$C$2:$Y$959,12,0)</f>
        <v>0.48</v>
      </c>
      <c r="M1036" s="20">
        <f>VLOOKUP(A1036,Metrik!$C$2:$Y$959,19,0)</f>
        <v>37.8</v>
      </c>
      <c r="N1036" s="21"/>
      <c r="O1036" s="21"/>
      <c r="P1036" s="21"/>
      <c r="Q1036" s="21"/>
      <c r="R1036" s="21"/>
      <c r="S1036" s="21"/>
      <c r="T1036" s="21"/>
      <c r="U1036" s="22">
        <f>IFERROR(__xludf.DUMMYFUNCTION("IFERROR(GOOGLEFINANCE(A1036,""closeyest""),"""")"),605.0)</f>
        <v>605</v>
      </c>
      <c r="V1036" s="23">
        <f>IFERROR(__xludf.DUMMYFUNCTION("IFERROR(GOOGLEFINANCE(A1036,""changepct""),"""")"),-0.83)</f>
        <v>-0.83</v>
      </c>
      <c r="W1036" s="22">
        <f>IFERROR(__xludf.DUMMYFUNCTION("IFERROR(GOOGLEFINANCE(A1036,""priceopen""),"""")"),605.0)</f>
        <v>605</v>
      </c>
      <c r="X1036" s="22">
        <f>IFERROR(__xludf.DUMMYFUNCTION("IFERROR(GOOGLEFINANCE(A1036,""high""),"""")"),615.0)</f>
        <v>615</v>
      </c>
      <c r="Y1036" s="22">
        <f>IFERROR(__xludf.DUMMYFUNCTION("IFERROR(GOOGLEFINANCE(A1036,""low""),"""")"),600.0)</f>
        <v>600</v>
      </c>
      <c r="Z1036" s="22">
        <f>IFERROR(__xludf.DUMMYFUNCTION("IFERROR(GOOGLEFINANCE(A1036,""volume""),"""")"),246000.0)</f>
        <v>246000</v>
      </c>
      <c r="AA1036" s="24" t="str">
        <f>VLOOKUP(A1036,Metrik!$C$2:$Y$959,5,0)</f>
        <v>Processed Foods</v>
      </c>
      <c r="AB1036" s="24" t="str">
        <f>VLOOKUP(A1036,Metrik!$C$2:$Y$959,3,0)</f>
        <v>Consumer Non-Cyclicals</v>
      </c>
    </row>
    <row r="1037">
      <c r="A1037" s="14" t="s">
        <v>544</v>
      </c>
      <c r="B1037" s="14" t="str">
        <f t="array" ref="B1037">VLOOKUP(A1037,{Metrik!$C$2:$C$998,Metrik!$B$2:$B$998},2,0)</f>
        <v>Kedaung Indah Can Tbk</v>
      </c>
      <c r="C1037" s="15">
        <f>IFERROR(__xludf.DUMMYFUNCTION("GOOGLEFINANCE(""IDX:""&amp;A1037,""price"")"),173.0)</f>
        <v>173</v>
      </c>
      <c r="D1037" s="16" t="str">
        <f>IFERROR(__xludf.DUMMYFUNCTION("IF(A1037="""","""",
SPARKLINE(
INDEX(
GOOGLEFINANCE(""IDX:""&amp;A1037,""close"",TODAY()-365,TODAY()),
,2
),
{""linewidth"",1}
))
"),"#N/A")</f>
        <v>#N/A</v>
      </c>
      <c r="E1037" s="26"/>
      <c r="F1037" s="26"/>
      <c r="G1037" s="24">
        <f t="shared" si="7"/>
        <v>0</v>
      </c>
      <c r="H1037" s="19">
        <f>VLOOKUP(A1037,Metrik!$C$2:$Y$959,8,0)</f>
        <v>-9.1</v>
      </c>
      <c r="I1037" s="20">
        <f>VLOOKUP(A1037,Metrik!$C$2:$Y$959,9,0)</f>
        <v>0.5</v>
      </c>
      <c r="J1037" s="20">
        <f>VLOOKUP(A1037,Metrik!$C$2:$Y$959,10,0)</f>
        <v>-5.5</v>
      </c>
      <c r="K1037" s="20">
        <f>VLOOKUP(A1037,Metrik!$C$2:$Y$959,11,0)</f>
        <v>-2.8</v>
      </c>
      <c r="L1037" s="20">
        <f>VLOOKUP(A1037,Metrik!$C$2:$Y$959,12,0)</f>
        <v>0.93</v>
      </c>
      <c r="M1037" s="20">
        <f>VLOOKUP(A1037,Metrik!$C$2:$Y$959,19,0)</f>
        <v>-28.7</v>
      </c>
      <c r="N1037" s="21"/>
      <c r="O1037" s="21"/>
      <c r="P1037" s="21"/>
      <c r="Q1037" s="21"/>
      <c r="R1037" s="21"/>
      <c r="S1037" s="21"/>
      <c r="T1037" s="21"/>
      <c r="U1037" s="22">
        <f>IFERROR(__xludf.DUMMYFUNCTION("IFERROR(GOOGLEFINANCE(A1037,""closeyest""),"""")"),169.0)</f>
        <v>169</v>
      </c>
      <c r="V1037" s="23">
        <f>IFERROR(__xludf.DUMMYFUNCTION("IFERROR(GOOGLEFINANCE(A1037,""changepct""),"""")"),2.37)</f>
        <v>2.37</v>
      </c>
      <c r="W1037" s="22">
        <f>IFERROR(__xludf.DUMMYFUNCTION("IFERROR(GOOGLEFINANCE(A1037,""priceopen""),"""")"),165.0)</f>
        <v>165</v>
      </c>
      <c r="X1037" s="22">
        <f>IFERROR(__xludf.DUMMYFUNCTION("IFERROR(GOOGLEFINANCE(A1037,""high""),"""")"),176.0)</f>
        <v>176</v>
      </c>
      <c r="Y1037" s="22">
        <f>IFERROR(__xludf.DUMMYFUNCTION("IFERROR(GOOGLEFINANCE(A1037,""low""),"""")"),160.0)</f>
        <v>160</v>
      </c>
      <c r="Z1037" s="22">
        <f>IFERROR(__xludf.DUMMYFUNCTION("IFERROR(GOOGLEFINANCE(A1037,""volume""),"""")"),111700.0)</f>
        <v>111700</v>
      </c>
      <c r="AA1037" s="24" t="str">
        <f>VLOOKUP(A1037,Metrik!$C$2:$Y$959,5,0)</f>
        <v>Household Goods</v>
      </c>
      <c r="AB1037" s="24" t="str">
        <f>VLOOKUP(A1037,Metrik!$C$2:$Y$959,3,0)</f>
        <v>Consumer Cyclicals</v>
      </c>
    </row>
    <row r="1038">
      <c r="A1038" s="14" t="s">
        <v>545</v>
      </c>
      <c r="B1038" s="14" t="str">
        <f t="array" ref="B1038">VLOOKUP(A1038,{Metrik!$C$2:$C$998,Metrik!$B$2:$B$998},2,0)</f>
        <v>Kawasan Industri Jababeka Tbk.</v>
      </c>
      <c r="C1038" s="15">
        <f>IFERROR(__xludf.DUMMYFUNCTION("GOOGLEFINANCE(""IDX:""&amp;A1038,""price"")"),116.0)</f>
        <v>116</v>
      </c>
      <c r="D1038" s="16" t="str">
        <f>IFERROR(__xludf.DUMMYFUNCTION("IF(A1038="""","""",
SPARKLINE(
INDEX(
GOOGLEFINANCE(""IDX:""&amp;A1038,""close"",TODAY()-365,TODAY()),
,2
),
{""linewidth"",1}
))
"),"#N/A")</f>
        <v>#N/A</v>
      </c>
      <c r="E1038" s="14" t="s">
        <v>68</v>
      </c>
      <c r="F1038" s="14" t="s">
        <v>34</v>
      </c>
      <c r="G1038" s="24">
        <f t="shared" si="7"/>
        <v>5</v>
      </c>
      <c r="H1038" s="19">
        <f>VLOOKUP(A1038,Metrik!$C$2:$Y$959,8,0)</f>
        <v>5.9</v>
      </c>
      <c r="I1038" s="20">
        <f>VLOOKUP(A1038,Metrik!$C$2:$Y$959,9,0)</f>
        <v>0.31</v>
      </c>
      <c r="J1038" s="20">
        <f>VLOOKUP(A1038,Metrik!$C$2:$Y$959,10,0)</f>
        <v>5.3</v>
      </c>
      <c r="K1038" s="20">
        <f>VLOOKUP(A1038,Metrik!$C$2:$Y$959,11,0)</f>
        <v>2.9</v>
      </c>
      <c r="L1038" s="20">
        <f>VLOOKUP(A1038,Metrik!$C$2:$Y$959,12,0)</f>
        <v>0.85</v>
      </c>
      <c r="M1038" s="20">
        <f>VLOOKUP(A1038,Metrik!$C$2:$Y$959,19,0)</f>
        <v>36.7</v>
      </c>
      <c r="N1038" s="21"/>
      <c r="O1038" s="21"/>
      <c r="P1038" s="21"/>
      <c r="Q1038" s="21"/>
      <c r="R1038" s="21"/>
      <c r="S1038" s="21"/>
      <c r="T1038" s="21"/>
      <c r="U1038" s="22">
        <f>IFERROR(__xludf.DUMMYFUNCTION("IFERROR(GOOGLEFINANCE(A1038,""closeyest""),"""")"),114.0)</f>
        <v>114</v>
      </c>
      <c r="V1038" s="23">
        <f>IFERROR(__xludf.DUMMYFUNCTION("IFERROR(GOOGLEFINANCE(A1038,""changepct""),"""")"),1.75)</f>
        <v>1.75</v>
      </c>
      <c r="W1038" s="22">
        <f>IFERROR(__xludf.DUMMYFUNCTION("IFERROR(GOOGLEFINANCE(A1038,""priceopen""),"""")"),115.0)</f>
        <v>115</v>
      </c>
      <c r="X1038" s="22">
        <f>IFERROR(__xludf.DUMMYFUNCTION("IFERROR(GOOGLEFINANCE(A1038,""high""),"""")"),117.0)</f>
        <v>117</v>
      </c>
      <c r="Y1038" s="22">
        <f>IFERROR(__xludf.DUMMYFUNCTION("IFERROR(GOOGLEFINANCE(A1038,""low""),"""")"),114.0)</f>
        <v>114</v>
      </c>
      <c r="Z1038" s="22">
        <f>IFERROR(__xludf.DUMMYFUNCTION("IFERROR(GOOGLEFINANCE(A1038,""volume""),"""")"),7.49258E7)</f>
        <v>74925800</v>
      </c>
      <c r="AA1038" s="24" t="str">
        <f>VLOOKUP(A1038,Metrik!$C$2:$Y$959,5,0)</f>
        <v>Real Estate Management &amp; Development</v>
      </c>
      <c r="AB1038" s="24" t="str">
        <f>VLOOKUP(A1038,Metrik!$C$2:$Y$959,3,0)</f>
        <v>Properties &amp; Real Estate</v>
      </c>
    </row>
    <row r="1039">
      <c r="A1039" s="14" t="s">
        <v>545</v>
      </c>
      <c r="B1039" s="14" t="str">
        <f t="array" ref="B1039">VLOOKUP(A1039,{Metrik!$C$2:$C$998,Metrik!$B$2:$B$998},2,0)</f>
        <v>Kawasan Industri Jababeka Tbk.</v>
      </c>
      <c r="C1039" s="15">
        <f>IFERROR(__xludf.DUMMYFUNCTION("GOOGLEFINANCE(""IDX:""&amp;A1039,""price"")"),116.0)</f>
        <v>116</v>
      </c>
      <c r="D1039" s="16" t="str">
        <f>IFERROR(__xludf.DUMMYFUNCTION("IF(A1039="""","""",
SPARKLINE(
INDEX(
GOOGLEFINANCE(""IDX:""&amp;A1039,""close"",TODAY()-365,TODAY()),
,2
),
{""linewidth"",1}
))
"),"#N/A")</f>
        <v>#N/A</v>
      </c>
      <c r="E1039" s="14" t="s">
        <v>28</v>
      </c>
      <c r="F1039" s="17" t="s">
        <v>29</v>
      </c>
      <c r="G1039" s="24">
        <f t="shared" si="7"/>
        <v>5</v>
      </c>
      <c r="H1039" s="19">
        <f>VLOOKUP(A1039,Metrik!$C$2:$Y$959,8,0)</f>
        <v>5.9</v>
      </c>
      <c r="I1039" s="20">
        <f>VLOOKUP(A1039,Metrik!$C$2:$Y$959,9,0)</f>
        <v>0.31</v>
      </c>
      <c r="J1039" s="20">
        <f>VLOOKUP(A1039,Metrik!$C$2:$Y$959,10,0)</f>
        <v>5.3</v>
      </c>
      <c r="K1039" s="20">
        <f>VLOOKUP(A1039,Metrik!$C$2:$Y$959,11,0)</f>
        <v>2.9</v>
      </c>
      <c r="L1039" s="20">
        <f>VLOOKUP(A1039,Metrik!$C$2:$Y$959,12,0)</f>
        <v>0.85</v>
      </c>
      <c r="M1039" s="20">
        <f>VLOOKUP(A1039,Metrik!$C$2:$Y$959,19,0)</f>
        <v>36.7</v>
      </c>
      <c r="N1039" s="21"/>
      <c r="O1039" s="21"/>
      <c r="P1039" s="21"/>
      <c r="Q1039" s="21"/>
      <c r="R1039" s="21"/>
      <c r="S1039" s="21"/>
      <c r="T1039" s="21"/>
      <c r="U1039" s="22">
        <f>IFERROR(__xludf.DUMMYFUNCTION("IFERROR(GOOGLEFINANCE(A1039,""closeyest""),"""")"),114.0)</f>
        <v>114</v>
      </c>
      <c r="V1039" s="23">
        <f>IFERROR(__xludf.DUMMYFUNCTION("IFERROR(GOOGLEFINANCE(A1039,""changepct""),"""")"),1.75)</f>
        <v>1.75</v>
      </c>
      <c r="W1039" s="22">
        <f>IFERROR(__xludf.DUMMYFUNCTION("IFERROR(GOOGLEFINANCE(A1039,""priceopen""),"""")"),115.0)</f>
        <v>115</v>
      </c>
      <c r="X1039" s="22">
        <f>IFERROR(__xludf.DUMMYFUNCTION("IFERROR(GOOGLEFINANCE(A1039,""high""),"""")"),117.0)</f>
        <v>117</v>
      </c>
      <c r="Y1039" s="22">
        <f>IFERROR(__xludf.DUMMYFUNCTION("IFERROR(GOOGLEFINANCE(A1039,""low""),"""")"),114.0)</f>
        <v>114</v>
      </c>
      <c r="Z1039" s="22">
        <f>IFERROR(__xludf.DUMMYFUNCTION("IFERROR(GOOGLEFINANCE(A1039,""volume""),"""")"),7.49258E7)</f>
        <v>74925800</v>
      </c>
      <c r="AA1039" s="24" t="str">
        <f>VLOOKUP(A1039,Metrik!$C$2:$Y$959,5,0)</f>
        <v>Real Estate Management &amp; Development</v>
      </c>
      <c r="AB1039" s="24" t="str">
        <f>VLOOKUP(A1039,Metrik!$C$2:$Y$959,3,0)</f>
        <v>Properties &amp; Real Estate</v>
      </c>
    </row>
    <row r="1040">
      <c r="A1040" s="14" t="s">
        <v>545</v>
      </c>
      <c r="B1040" s="14" t="str">
        <f t="array" ref="B1040">VLOOKUP(A1040,{Metrik!$C$2:$C$998,Metrik!$B$2:$B$998},2,0)</f>
        <v>Kawasan Industri Jababeka Tbk.</v>
      </c>
      <c r="C1040" s="15">
        <f>IFERROR(__xludf.DUMMYFUNCTION("GOOGLEFINANCE(""IDX:""&amp;A1040,""price"")"),116.0)</f>
        <v>116</v>
      </c>
      <c r="D1040" s="16" t="str">
        <f>IFERROR(__xludf.DUMMYFUNCTION("IF(A1040="""","""",
SPARKLINE(
INDEX(
GOOGLEFINANCE(""IDX:""&amp;A1040,""close"",TODAY()-365,TODAY()),
,2
),
{""linewidth"",1}
))
"),"#N/A")</f>
        <v>#N/A</v>
      </c>
      <c r="E1040" s="14" t="s">
        <v>32</v>
      </c>
      <c r="F1040" s="14" t="s">
        <v>29</v>
      </c>
      <c r="G1040" s="24">
        <f t="shared" si="7"/>
        <v>5</v>
      </c>
      <c r="H1040" s="19">
        <f>VLOOKUP(A1040,Metrik!$C$2:$Y$959,8,0)</f>
        <v>5.9</v>
      </c>
      <c r="I1040" s="20">
        <f>VLOOKUP(A1040,Metrik!$C$2:$Y$959,9,0)</f>
        <v>0.31</v>
      </c>
      <c r="J1040" s="20">
        <f>VLOOKUP(A1040,Metrik!$C$2:$Y$959,10,0)</f>
        <v>5.3</v>
      </c>
      <c r="K1040" s="20">
        <f>VLOOKUP(A1040,Metrik!$C$2:$Y$959,11,0)</f>
        <v>2.9</v>
      </c>
      <c r="L1040" s="20">
        <f>VLOOKUP(A1040,Metrik!$C$2:$Y$959,12,0)</f>
        <v>0.85</v>
      </c>
      <c r="M1040" s="20">
        <f>VLOOKUP(A1040,Metrik!$C$2:$Y$959,19,0)</f>
        <v>36.7</v>
      </c>
      <c r="N1040" s="21"/>
      <c r="O1040" s="21"/>
      <c r="P1040" s="21"/>
      <c r="Q1040" s="21"/>
      <c r="R1040" s="21"/>
      <c r="S1040" s="21"/>
      <c r="T1040" s="21"/>
      <c r="U1040" s="22">
        <f>IFERROR(__xludf.DUMMYFUNCTION("IFERROR(GOOGLEFINANCE(A1040,""closeyest""),"""")"),114.0)</f>
        <v>114</v>
      </c>
      <c r="V1040" s="23">
        <f>IFERROR(__xludf.DUMMYFUNCTION("IFERROR(GOOGLEFINANCE(A1040,""changepct""),"""")"),1.75)</f>
        <v>1.75</v>
      </c>
      <c r="W1040" s="22">
        <f>IFERROR(__xludf.DUMMYFUNCTION("IFERROR(GOOGLEFINANCE(A1040,""priceopen""),"""")"),115.0)</f>
        <v>115</v>
      </c>
      <c r="X1040" s="22">
        <f>IFERROR(__xludf.DUMMYFUNCTION("IFERROR(GOOGLEFINANCE(A1040,""high""),"""")"),117.0)</f>
        <v>117</v>
      </c>
      <c r="Y1040" s="22">
        <f>IFERROR(__xludf.DUMMYFUNCTION("IFERROR(GOOGLEFINANCE(A1040,""low""),"""")"),114.0)</f>
        <v>114</v>
      </c>
      <c r="Z1040" s="22">
        <f>IFERROR(__xludf.DUMMYFUNCTION("IFERROR(GOOGLEFINANCE(A1040,""volume""),"""")"),7.49258E7)</f>
        <v>74925800</v>
      </c>
      <c r="AA1040" s="24" t="str">
        <f>VLOOKUP(A1040,Metrik!$C$2:$Y$959,5,0)</f>
        <v>Real Estate Management &amp; Development</v>
      </c>
      <c r="AB1040" s="24" t="str">
        <f>VLOOKUP(A1040,Metrik!$C$2:$Y$959,3,0)</f>
        <v>Properties &amp; Real Estate</v>
      </c>
    </row>
    <row r="1041">
      <c r="A1041" s="14" t="s">
        <v>545</v>
      </c>
      <c r="B1041" s="14" t="str">
        <f t="array" ref="B1041">VLOOKUP(A1041,{Metrik!$C$2:$C$998,Metrik!$B$2:$B$998},2,0)</f>
        <v>Kawasan Industri Jababeka Tbk.</v>
      </c>
      <c r="C1041" s="15">
        <f>IFERROR(__xludf.DUMMYFUNCTION("GOOGLEFINANCE(""IDX:""&amp;A1041,""price"")"),116.0)</f>
        <v>116</v>
      </c>
      <c r="D1041" s="16" t="str">
        <f>IFERROR(__xludf.DUMMYFUNCTION("IF(A1041="""","""",
SPARKLINE(
INDEX(
GOOGLEFINANCE(""IDX:""&amp;A1041,""close"",TODAY()-365,TODAY()),
,2
),
{""linewidth"",1}
))
"),"#N/A")</f>
        <v>#N/A</v>
      </c>
      <c r="E1041" s="14" t="s">
        <v>50</v>
      </c>
      <c r="F1041" s="17" t="s">
        <v>51</v>
      </c>
      <c r="G1041" s="24">
        <f t="shared" si="7"/>
        <v>5</v>
      </c>
      <c r="H1041" s="19">
        <f>VLOOKUP(A1041,Metrik!$C$2:$Y$959,8,0)</f>
        <v>5.9</v>
      </c>
      <c r="I1041" s="20">
        <f>VLOOKUP(A1041,Metrik!$C$2:$Y$959,9,0)</f>
        <v>0.31</v>
      </c>
      <c r="J1041" s="20">
        <f>VLOOKUP(A1041,Metrik!$C$2:$Y$959,10,0)</f>
        <v>5.3</v>
      </c>
      <c r="K1041" s="20">
        <f>VLOOKUP(A1041,Metrik!$C$2:$Y$959,11,0)</f>
        <v>2.9</v>
      </c>
      <c r="L1041" s="20">
        <f>VLOOKUP(A1041,Metrik!$C$2:$Y$959,12,0)</f>
        <v>0.85</v>
      </c>
      <c r="M1041" s="20">
        <f>VLOOKUP(A1041,Metrik!$C$2:$Y$959,19,0)</f>
        <v>36.7</v>
      </c>
      <c r="N1041" s="21"/>
      <c r="O1041" s="21"/>
      <c r="P1041" s="21"/>
      <c r="Q1041" s="21"/>
      <c r="R1041" s="21"/>
      <c r="S1041" s="21"/>
      <c r="T1041" s="21"/>
      <c r="U1041" s="22">
        <f>IFERROR(__xludf.DUMMYFUNCTION("IFERROR(GOOGLEFINANCE(A1041,""closeyest""),"""")"),114.0)</f>
        <v>114</v>
      </c>
      <c r="V1041" s="23">
        <f>IFERROR(__xludf.DUMMYFUNCTION("IFERROR(GOOGLEFINANCE(A1041,""changepct""),"""")"),1.75)</f>
        <v>1.75</v>
      </c>
      <c r="W1041" s="22">
        <f>IFERROR(__xludf.DUMMYFUNCTION("IFERROR(GOOGLEFINANCE(A1041,""priceopen""),"""")"),115.0)</f>
        <v>115</v>
      </c>
      <c r="X1041" s="22">
        <f>IFERROR(__xludf.DUMMYFUNCTION("IFERROR(GOOGLEFINANCE(A1041,""high""),"""")"),117.0)</f>
        <v>117</v>
      </c>
      <c r="Y1041" s="22">
        <f>IFERROR(__xludf.DUMMYFUNCTION("IFERROR(GOOGLEFINANCE(A1041,""low""),"""")"),114.0)</f>
        <v>114</v>
      </c>
      <c r="Z1041" s="22">
        <f>IFERROR(__xludf.DUMMYFUNCTION("IFERROR(GOOGLEFINANCE(A1041,""volume""),"""")"),7.49258E7)</f>
        <v>74925800</v>
      </c>
      <c r="AA1041" s="24" t="str">
        <f>VLOOKUP(A1041,Metrik!$C$2:$Y$959,5,0)</f>
        <v>Real Estate Management &amp; Development</v>
      </c>
      <c r="AB1041" s="24" t="str">
        <f>VLOOKUP(A1041,Metrik!$C$2:$Y$959,3,0)</f>
        <v>Properties &amp; Real Estate</v>
      </c>
    </row>
    <row r="1042">
      <c r="A1042" s="14" t="s">
        <v>545</v>
      </c>
      <c r="B1042" s="14" t="str">
        <f t="array" ref="B1042">VLOOKUP(A1042,{Metrik!$C$2:$C$998,Metrik!$B$2:$B$998},2,0)</f>
        <v>Kawasan Industri Jababeka Tbk.</v>
      </c>
      <c r="C1042" s="15">
        <f>IFERROR(__xludf.DUMMYFUNCTION("GOOGLEFINANCE(""IDX:""&amp;A1042,""price"")"),116.0)</f>
        <v>116</v>
      </c>
      <c r="D1042" s="16" t="str">
        <f>IFERROR(__xludf.DUMMYFUNCTION("IF(A1042="""","""",
SPARKLINE(
INDEX(
GOOGLEFINANCE(""IDX:""&amp;A1042,""close"",TODAY()-365,TODAY()),
,2
),
{""linewidth"",1}
))
"),"#N/A")</f>
        <v>#N/A</v>
      </c>
      <c r="E1042" s="14" t="s">
        <v>39</v>
      </c>
      <c r="F1042" s="25">
        <v>46356.0</v>
      </c>
      <c r="G1042" s="24">
        <f t="shared" si="7"/>
        <v>5</v>
      </c>
      <c r="H1042" s="19">
        <f>VLOOKUP(A1042,Metrik!$C$2:$Y$959,8,0)</f>
        <v>5.9</v>
      </c>
      <c r="I1042" s="20">
        <f>VLOOKUP(A1042,Metrik!$C$2:$Y$959,9,0)</f>
        <v>0.31</v>
      </c>
      <c r="J1042" s="20">
        <f>VLOOKUP(A1042,Metrik!$C$2:$Y$959,10,0)</f>
        <v>5.3</v>
      </c>
      <c r="K1042" s="20">
        <f>VLOOKUP(A1042,Metrik!$C$2:$Y$959,11,0)</f>
        <v>2.9</v>
      </c>
      <c r="L1042" s="20">
        <f>VLOOKUP(A1042,Metrik!$C$2:$Y$959,12,0)</f>
        <v>0.85</v>
      </c>
      <c r="M1042" s="20">
        <f>VLOOKUP(A1042,Metrik!$C$2:$Y$959,19,0)</f>
        <v>36.7</v>
      </c>
      <c r="N1042" s="21"/>
      <c r="O1042" s="21"/>
      <c r="P1042" s="21"/>
      <c r="Q1042" s="21"/>
      <c r="R1042" s="21"/>
      <c r="S1042" s="21"/>
      <c r="T1042" s="21"/>
      <c r="U1042" s="22">
        <f>IFERROR(__xludf.DUMMYFUNCTION("IFERROR(GOOGLEFINANCE(A1042,""closeyest""),"""")"),114.0)</f>
        <v>114</v>
      </c>
      <c r="V1042" s="23">
        <f>IFERROR(__xludf.DUMMYFUNCTION("IFERROR(GOOGLEFINANCE(A1042,""changepct""),"""")"),1.75)</f>
        <v>1.75</v>
      </c>
      <c r="W1042" s="22">
        <f>IFERROR(__xludf.DUMMYFUNCTION("IFERROR(GOOGLEFINANCE(A1042,""priceopen""),"""")"),115.0)</f>
        <v>115</v>
      </c>
      <c r="X1042" s="22">
        <f>IFERROR(__xludf.DUMMYFUNCTION("IFERROR(GOOGLEFINANCE(A1042,""high""),"""")"),117.0)</f>
        <v>117</v>
      </c>
      <c r="Y1042" s="22">
        <f>IFERROR(__xludf.DUMMYFUNCTION("IFERROR(GOOGLEFINANCE(A1042,""low""),"""")"),114.0)</f>
        <v>114</v>
      </c>
      <c r="Z1042" s="22">
        <f>IFERROR(__xludf.DUMMYFUNCTION("IFERROR(GOOGLEFINANCE(A1042,""volume""),"""")"),7.49258E7)</f>
        <v>74925800</v>
      </c>
      <c r="AA1042" s="24" t="str">
        <f>VLOOKUP(A1042,Metrik!$C$2:$Y$959,5,0)</f>
        <v>Real Estate Management &amp; Development</v>
      </c>
      <c r="AB1042" s="24" t="str">
        <f>VLOOKUP(A1042,Metrik!$C$2:$Y$959,3,0)</f>
        <v>Properties &amp; Real Estate</v>
      </c>
    </row>
    <row r="1043">
      <c r="A1043" s="14" t="s">
        <v>546</v>
      </c>
      <c r="B1043" s="14" t="str">
        <f t="array" ref="B1043">VLOOKUP(A1043,{Metrik!$C$2:$C$998,Metrik!$B$2:$B$998},2,0)</f>
        <v>PT Hoffmen Cleanindo Tbk</v>
      </c>
      <c r="C1043" s="15">
        <f>IFERROR(__xludf.DUMMYFUNCTION("GOOGLEFINANCE(""IDX:""&amp;A1043,""price"")"),460.0)</f>
        <v>460</v>
      </c>
      <c r="D1043" s="16" t="str">
        <f>IFERROR(__xludf.DUMMYFUNCTION("IF(A1043="""","""",
SPARKLINE(
INDEX(
GOOGLEFINANCE(""IDX:""&amp;A1043,""close"",TODAY()-365,TODAY()),
,2
),
{""linewidth"",1}
))
"),"#N/A")</f>
        <v>#N/A</v>
      </c>
      <c r="E1043" s="26"/>
      <c r="F1043" s="26"/>
      <c r="G1043" s="24">
        <f t="shared" si="7"/>
        <v>0</v>
      </c>
      <c r="H1043" s="19">
        <f>VLOOKUP(A1043,Metrik!$C$2:$Y$959,8,0)</f>
        <v>260</v>
      </c>
      <c r="I1043" s="20">
        <f>VLOOKUP(A1043,Metrik!$C$2:$Y$959,9,0)</f>
        <v>21.4</v>
      </c>
      <c r="J1043" s="20">
        <f>VLOOKUP(A1043,Metrik!$C$2:$Y$959,10,0)</f>
        <v>8.2</v>
      </c>
      <c r="K1043" s="20">
        <f>VLOOKUP(A1043,Metrik!$C$2:$Y$959,11,0)</f>
        <v>4</v>
      </c>
      <c r="L1043" s="20">
        <f>VLOOKUP(A1043,Metrik!$C$2:$Y$959,12,0)</f>
        <v>1</v>
      </c>
      <c r="M1043" s="20">
        <f>VLOOKUP(A1043,Metrik!$C$2:$Y$959,19,0)</f>
        <v>4.6</v>
      </c>
      <c r="N1043" s="21"/>
      <c r="O1043" s="21"/>
      <c r="P1043" s="21"/>
      <c r="Q1043" s="21"/>
      <c r="R1043" s="21"/>
      <c r="S1043" s="21"/>
      <c r="T1043" s="21"/>
      <c r="U1043" s="22">
        <f>IFERROR(__xludf.DUMMYFUNCTION("IFERROR(GOOGLEFINANCE(A1043,""closeyest""),"""")"),0.52)</f>
        <v>0.52</v>
      </c>
      <c r="V1043" s="23">
        <f>IFERROR(__xludf.DUMMYFUNCTION("IFERROR(GOOGLEFINANCE(A1043,""changepct""),"""")"),5.77)</f>
        <v>5.77</v>
      </c>
      <c r="W1043" s="22">
        <f>IFERROR(__xludf.DUMMYFUNCTION("IFERROR(GOOGLEFINANCE(A1043,""priceopen""),"""")"),0.54)</f>
        <v>0.54</v>
      </c>
      <c r="X1043" s="22" t="str">
        <f>IFERROR(__xludf.DUMMYFUNCTION("IFERROR(GOOGLEFINANCE(A1043,""high""),"""")"),"")</f>
        <v/>
      </c>
      <c r="Y1043" s="22">
        <f>IFERROR(__xludf.DUMMYFUNCTION("IFERROR(GOOGLEFINANCE(A1043,""low""),"""")"),0.54)</f>
        <v>0.54</v>
      </c>
      <c r="Z1043" s="22">
        <f>IFERROR(__xludf.DUMMYFUNCTION("IFERROR(GOOGLEFINANCE(A1043,""volume""),"""")"),13500.0)</f>
        <v>13500</v>
      </c>
      <c r="AA1043" s="24" t="str">
        <f>VLOOKUP(A1043,Metrik!$C$2:$Y$959,5,0)</f>
        <v>Professional Services</v>
      </c>
      <c r="AB1043" s="24" t="str">
        <f>VLOOKUP(A1043,Metrik!$C$2:$Y$959,3,0)</f>
        <v>Industrials</v>
      </c>
    </row>
    <row r="1044">
      <c r="A1044" s="14" t="s">
        <v>547</v>
      </c>
      <c r="B1044" s="14" t="str">
        <f t="array" ref="B1044">VLOOKUP(A1044,{Metrik!$C$2:$C$998,Metrik!$B$2:$B$998},2,0)</f>
        <v>PT Kino Indonesia Tbk</v>
      </c>
      <c r="C1044" s="15">
        <f>IFERROR(__xludf.DUMMYFUNCTION("GOOGLEFINANCE(""IDX:""&amp;A1044,""price"")"),1115.0)</f>
        <v>1115</v>
      </c>
      <c r="D1044" s="16" t="str">
        <f>IFERROR(__xludf.DUMMYFUNCTION("IF(A1044="""","""",
SPARKLINE(
INDEX(
GOOGLEFINANCE(""IDX:""&amp;A1044,""close"",TODAY()-365,TODAY()),
,2
),
{""linewidth"",1}
))
"),"#N/A")</f>
        <v>#N/A</v>
      </c>
      <c r="E1044" s="26"/>
      <c r="F1044" s="26"/>
      <c r="G1044" s="24">
        <f t="shared" si="7"/>
        <v>0</v>
      </c>
      <c r="H1044" s="19">
        <f>VLOOKUP(A1044,Metrik!$C$2:$Y$959,8,0)</f>
        <v>11.1</v>
      </c>
      <c r="I1044" s="20">
        <f>VLOOKUP(A1044,Metrik!$C$2:$Y$959,9,0)</f>
        <v>0.91</v>
      </c>
      <c r="J1044" s="20">
        <f>VLOOKUP(A1044,Metrik!$C$2:$Y$959,10,0)</f>
        <v>8.2</v>
      </c>
      <c r="K1044" s="20">
        <f>VLOOKUP(A1044,Metrik!$C$2:$Y$959,11,0)</f>
        <v>3.2</v>
      </c>
      <c r="L1044" s="20">
        <f>VLOOKUP(A1044,Metrik!$C$2:$Y$959,12,0)</f>
        <v>1.6</v>
      </c>
      <c r="M1044" s="20">
        <f>VLOOKUP(A1044,Metrik!$C$2:$Y$959,19,0)</f>
        <v>11.8</v>
      </c>
      <c r="N1044" s="21"/>
      <c r="O1044" s="21"/>
      <c r="P1044" s="21"/>
      <c r="Q1044" s="21"/>
      <c r="R1044" s="21"/>
      <c r="S1044" s="21"/>
      <c r="T1044" s="21"/>
      <c r="U1044" s="22">
        <f>IFERROR(__xludf.DUMMYFUNCTION("IFERROR(GOOGLEFINANCE(A1044,""closeyest""),"""")"),1110.0)</f>
        <v>1110</v>
      </c>
      <c r="V1044" s="23">
        <f>IFERROR(__xludf.DUMMYFUNCTION("IFERROR(GOOGLEFINANCE(A1044,""changepct""),"""")"),0.45)</f>
        <v>0.45</v>
      </c>
      <c r="W1044" s="22">
        <f>IFERROR(__xludf.DUMMYFUNCTION("IFERROR(GOOGLEFINANCE(A1044,""priceopen""),"""")"),1105.0)</f>
        <v>1105</v>
      </c>
      <c r="X1044" s="22">
        <f>IFERROR(__xludf.DUMMYFUNCTION("IFERROR(GOOGLEFINANCE(A1044,""high""),"""")"),1120.0)</f>
        <v>1120</v>
      </c>
      <c r="Y1044" s="22">
        <f>IFERROR(__xludf.DUMMYFUNCTION("IFERROR(GOOGLEFINANCE(A1044,""low""),"""")"),1105.0)</f>
        <v>1105</v>
      </c>
      <c r="Z1044" s="22">
        <f>IFERROR(__xludf.DUMMYFUNCTION("IFERROR(GOOGLEFINANCE(A1044,""volume""),"""")"),700.0)</f>
        <v>700</v>
      </c>
      <c r="AA1044" s="24" t="str">
        <f>VLOOKUP(A1044,Metrik!$C$2:$Y$959,5,0)</f>
        <v>Personal Care Products</v>
      </c>
      <c r="AB1044" s="24" t="str">
        <f>VLOOKUP(A1044,Metrik!$C$2:$Y$959,3,0)</f>
        <v>Consumer Non-Cyclicals</v>
      </c>
    </row>
    <row r="1045">
      <c r="A1045" s="14" t="s">
        <v>548</v>
      </c>
      <c r="B1045" s="14" t="str">
        <f t="array" ref="B1045">VLOOKUP(A1045,{Metrik!$C$2:$C$998,Metrik!$B$2:$B$998},2,0)</f>
        <v>Kioson Komersial Indonesia Tbk.</v>
      </c>
      <c r="C1045" s="15">
        <f>IFERROR(__xludf.DUMMYFUNCTION("GOOGLEFINANCE(""IDX:""&amp;A1045,""price"")"),91.0)</f>
        <v>91</v>
      </c>
      <c r="D1045" s="16" t="str">
        <f>IFERROR(__xludf.DUMMYFUNCTION("IF(A1045="""","""",
SPARKLINE(
INDEX(
GOOGLEFINANCE(""IDX:""&amp;A1045,""close"",TODAY()-365,TODAY()),
,2
),
{""linewidth"",1}
))
"),"#N/A")</f>
        <v>#N/A</v>
      </c>
      <c r="E1045" s="26"/>
      <c r="F1045" s="26"/>
      <c r="G1045" s="24">
        <f t="shared" si="7"/>
        <v>0</v>
      </c>
      <c r="H1045" s="19">
        <f>VLOOKUP(A1045,Metrik!$C$2:$Y$959,8,0)</f>
        <v>74.3</v>
      </c>
      <c r="I1045" s="20">
        <f>VLOOKUP(A1045,Metrik!$C$2:$Y$959,9,0)</f>
        <v>0.66</v>
      </c>
      <c r="J1045" s="20">
        <f>VLOOKUP(A1045,Metrik!$C$2:$Y$959,10,0)</f>
        <v>0.89</v>
      </c>
      <c r="K1045" s="20">
        <f>VLOOKUP(A1045,Metrik!$C$2:$Y$959,11,0)</f>
        <v>0.82</v>
      </c>
      <c r="L1045" s="20">
        <f>VLOOKUP(A1045,Metrik!$C$2:$Y$959,12,0)</f>
        <v>0.08</v>
      </c>
      <c r="M1045" s="20">
        <f>VLOOKUP(A1045,Metrik!$C$2:$Y$959,19,0)</f>
        <v>66.1</v>
      </c>
      <c r="N1045" s="21"/>
      <c r="O1045" s="21"/>
      <c r="P1045" s="21"/>
      <c r="Q1045" s="21"/>
      <c r="R1045" s="21"/>
      <c r="S1045" s="21"/>
      <c r="T1045" s="21"/>
      <c r="U1045" s="22">
        <f>IFERROR(__xludf.DUMMYFUNCTION("IFERROR(GOOGLEFINANCE(A1045,""closeyest""),"""")"),68.0)</f>
        <v>68</v>
      </c>
      <c r="V1045" s="23">
        <f>IFERROR(__xludf.DUMMYFUNCTION("IFERROR(GOOGLEFINANCE(A1045,""changepct""),"""")"),33.82)</f>
        <v>33.82</v>
      </c>
      <c r="W1045" s="22">
        <f>IFERROR(__xludf.DUMMYFUNCTION("IFERROR(GOOGLEFINANCE(A1045,""priceopen""),"""")"),68.0)</f>
        <v>68</v>
      </c>
      <c r="X1045" s="22">
        <f>IFERROR(__xludf.DUMMYFUNCTION("IFERROR(GOOGLEFINANCE(A1045,""high""),"""")"),91.0)</f>
        <v>91</v>
      </c>
      <c r="Y1045" s="22">
        <f>IFERROR(__xludf.DUMMYFUNCTION("IFERROR(GOOGLEFINANCE(A1045,""low""),"""")"),67.0)</f>
        <v>67</v>
      </c>
      <c r="Z1045" s="22">
        <f>IFERROR(__xludf.DUMMYFUNCTION("IFERROR(GOOGLEFINANCE(A1045,""volume""),"""")"),4.91683E7)</f>
        <v>49168300</v>
      </c>
      <c r="AA1045" s="24" t="str">
        <f>VLOOKUP(A1045,Metrik!$C$2:$Y$959,5,0)</f>
        <v>Online Applications &amp; Services</v>
      </c>
      <c r="AB1045" s="24" t="str">
        <f>VLOOKUP(A1045,Metrik!$C$2:$Y$959,3,0)</f>
        <v>Technology</v>
      </c>
    </row>
    <row r="1046">
      <c r="A1046" s="14" t="s">
        <v>549</v>
      </c>
      <c r="B1046" s="14" t="str">
        <f t="array" ref="B1046">VLOOKUP(A1046,{Metrik!$C$2:$C$998,Metrik!$B$2:$B$998},2,0)</f>
        <v>Krida Jaringan Nusantara Tbk.</v>
      </c>
      <c r="C1046" s="15">
        <f>IFERROR(__xludf.DUMMYFUNCTION("GOOGLEFINANCE(""IDX:""&amp;A1046,""price"")"),115.0)</f>
        <v>115</v>
      </c>
      <c r="D1046" s="16" t="str">
        <f>IFERROR(__xludf.DUMMYFUNCTION("IF(A1046="""","""",
SPARKLINE(
INDEX(
GOOGLEFINANCE(""IDX:""&amp;A1046,""close"",TODAY()-365,TODAY()),
,2
),
{""linewidth"",1}
))
"),"#N/A")</f>
        <v>#N/A</v>
      </c>
      <c r="E1046" s="26"/>
      <c r="F1046" s="26"/>
      <c r="G1046" s="24">
        <f t="shared" si="7"/>
        <v>0</v>
      </c>
      <c r="H1046" s="19">
        <f>VLOOKUP(A1046,Metrik!$C$2:$Y$959,8,0)</f>
        <v>5920</v>
      </c>
      <c r="I1046" s="20">
        <f>VLOOKUP(A1046,Metrik!$C$2:$Y$959,9,0)</f>
        <v>1.7</v>
      </c>
      <c r="J1046" s="20">
        <f>VLOOKUP(A1046,Metrik!$C$2:$Y$959,10,0)</f>
        <v>0.03</v>
      </c>
      <c r="K1046" s="20">
        <f>VLOOKUP(A1046,Metrik!$C$2:$Y$959,11,0)</f>
        <v>0.03</v>
      </c>
      <c r="L1046" s="20">
        <f>VLOOKUP(A1046,Metrik!$C$2:$Y$959,12,0)</f>
        <v>0.07</v>
      </c>
      <c r="M1046" s="20">
        <f>VLOOKUP(A1046,Metrik!$C$2:$Y$959,19,0)</f>
        <v>1.8</v>
      </c>
      <c r="N1046" s="21"/>
      <c r="O1046" s="21"/>
      <c r="P1046" s="21"/>
      <c r="Q1046" s="21"/>
      <c r="R1046" s="21"/>
      <c r="S1046" s="21"/>
      <c r="T1046" s="21"/>
      <c r="U1046" s="22">
        <f>IFERROR(__xludf.DUMMYFUNCTION("IFERROR(GOOGLEFINANCE(A1046,""closeyest""),"""")"),115.0)</f>
        <v>115</v>
      </c>
      <c r="V1046" s="23">
        <f>IFERROR(__xludf.DUMMYFUNCTION("IFERROR(GOOGLEFINANCE(A1046,""changepct""),"""")"),0.0)</f>
        <v>0</v>
      </c>
      <c r="W1046" s="22">
        <f>IFERROR(__xludf.DUMMYFUNCTION("IFERROR(GOOGLEFINANCE(A1046,""priceopen""),"""")"),115.0)</f>
        <v>115</v>
      </c>
      <c r="X1046" s="22">
        <f>IFERROR(__xludf.DUMMYFUNCTION("IFERROR(GOOGLEFINANCE(A1046,""high""),"""")"),119.0)</f>
        <v>119</v>
      </c>
      <c r="Y1046" s="22">
        <f>IFERROR(__xludf.DUMMYFUNCTION("IFERROR(GOOGLEFINANCE(A1046,""low""),"""")"),114.0)</f>
        <v>114</v>
      </c>
      <c r="Z1046" s="22">
        <f>IFERROR(__xludf.DUMMYFUNCTION("IFERROR(GOOGLEFINANCE(A1046,""volume""),"""")"),6240800.0)</f>
        <v>6240800</v>
      </c>
      <c r="AA1046" s="24" t="str">
        <f>VLOOKUP(A1046,Metrik!$C$2:$Y$959,5,0)</f>
        <v>Logistics &amp; Deliveries</v>
      </c>
      <c r="AB1046" s="24" t="str">
        <f>VLOOKUP(A1046,Metrik!$C$2:$Y$959,3,0)</f>
        <v>Transportation &amp; Logistic</v>
      </c>
    </row>
    <row r="1047">
      <c r="A1047" s="14" t="s">
        <v>550</v>
      </c>
      <c r="B1047" s="14" t="str">
        <f t="array" ref="B1047">VLOOKUP(A1047,{Metrik!$C$2:$C$998,Metrik!$B$2:$B$998},2,0)</f>
        <v>Kusuma Kemindo Sentosa Tbk.</v>
      </c>
      <c r="C1047" s="15">
        <f>IFERROR(__xludf.DUMMYFUNCTION("GOOGLEFINANCE(""IDX:""&amp;A1047,""price"")"),44.0)</f>
        <v>44</v>
      </c>
      <c r="D1047" s="16" t="str">
        <f>IFERROR(__xludf.DUMMYFUNCTION("IF(A1047="""","""",
SPARKLINE(
INDEX(
GOOGLEFINANCE(""IDX:""&amp;A1047,""close"",TODAY()-365,TODAY()),
,2
),
{""linewidth"",1}
))
"),"#N/A")</f>
        <v>#N/A</v>
      </c>
      <c r="E1047" s="26"/>
      <c r="F1047" s="26"/>
      <c r="G1047" s="24">
        <f t="shared" si="7"/>
        <v>0</v>
      </c>
      <c r="H1047" s="19">
        <f>VLOOKUP(A1047,Metrik!$C$2:$Y$959,8,0)</f>
        <v>-42.5</v>
      </c>
      <c r="I1047" s="20">
        <f>VLOOKUP(A1047,Metrik!$C$2:$Y$959,9,0)</f>
        <v>1.1</v>
      </c>
      <c r="J1047" s="20">
        <f>VLOOKUP(A1047,Metrik!$C$2:$Y$959,10,0)</f>
        <v>-2.6</v>
      </c>
      <c r="K1047" s="20">
        <f>VLOOKUP(A1047,Metrik!$C$2:$Y$959,11,0)</f>
        <v>-1.2</v>
      </c>
      <c r="L1047" s="20">
        <f>VLOOKUP(A1047,Metrik!$C$2:$Y$959,12,0)</f>
        <v>1.2</v>
      </c>
      <c r="M1047" s="20">
        <f>VLOOKUP(A1047,Metrik!$C$2:$Y$959,19,0)</f>
        <v>-3.1</v>
      </c>
      <c r="N1047" s="21"/>
      <c r="O1047" s="21"/>
      <c r="P1047" s="21"/>
      <c r="Q1047" s="21"/>
      <c r="R1047" s="21"/>
      <c r="S1047" s="21"/>
      <c r="T1047" s="21"/>
      <c r="U1047" s="22">
        <f>IFERROR(__xludf.DUMMYFUNCTION("IFERROR(GOOGLEFINANCE(A1047,""closeyest""),"""")"),42.0)</f>
        <v>42</v>
      </c>
      <c r="V1047" s="23">
        <f>IFERROR(__xludf.DUMMYFUNCTION("IFERROR(GOOGLEFINANCE(A1047,""changepct""),"""")"),4.76)</f>
        <v>4.76</v>
      </c>
      <c r="W1047" s="22">
        <f>IFERROR(__xludf.DUMMYFUNCTION("IFERROR(GOOGLEFINANCE(A1047,""priceopen""),"""")"),42.0)</f>
        <v>42</v>
      </c>
      <c r="X1047" s="22">
        <f>IFERROR(__xludf.DUMMYFUNCTION("IFERROR(GOOGLEFINANCE(A1047,""high""),"""")"),44.0)</f>
        <v>44</v>
      </c>
      <c r="Y1047" s="22">
        <f>IFERROR(__xludf.DUMMYFUNCTION("IFERROR(GOOGLEFINANCE(A1047,""low""),"""")"),42.0)</f>
        <v>42</v>
      </c>
      <c r="Z1047" s="22">
        <f>IFERROR(__xludf.DUMMYFUNCTION("IFERROR(GOOGLEFINANCE(A1047,""volume""),"""")"),2966800.0)</f>
        <v>2966800</v>
      </c>
      <c r="AA1047" s="24" t="str">
        <f>VLOOKUP(A1047,Metrik!$C$2:$Y$959,5,0)</f>
        <v>Chemicals</v>
      </c>
      <c r="AB1047" s="24" t="str">
        <f>VLOOKUP(A1047,Metrik!$C$2:$Y$959,3,0)</f>
        <v>Basic Materials</v>
      </c>
    </row>
    <row r="1048">
      <c r="A1048" s="14" t="s">
        <v>551</v>
      </c>
      <c r="B1048" s="14" t="str">
        <f t="array" ref="B1048">VLOOKUP(A1048,{Metrik!$C$2:$C$998,Metrik!$B$2:$B$998},2,0)</f>
        <v>Resource Alam Indonesia Tbk.</v>
      </c>
      <c r="C1048" s="15">
        <f>IFERROR(__xludf.DUMMYFUNCTION("GOOGLEFINANCE(""IDX:""&amp;A1048,""price"")"),280.0)</f>
        <v>280</v>
      </c>
      <c r="D1048" s="16" t="str">
        <f>IFERROR(__xludf.DUMMYFUNCTION("IF(A1048="""","""",
SPARKLINE(
INDEX(
GOOGLEFINANCE(""IDX:""&amp;A1048,""close"",TODAY()-365,TODAY()),
,2
),
{""linewidth"",1}
))
"),"#N/A")</f>
        <v>#N/A</v>
      </c>
      <c r="E1048" s="26"/>
      <c r="F1048" s="26"/>
      <c r="G1048" s="24">
        <f t="shared" si="7"/>
        <v>0</v>
      </c>
      <c r="H1048" s="19">
        <f>VLOOKUP(A1048,Metrik!$C$2:$Y$959,8,0)</f>
        <v>31.1</v>
      </c>
      <c r="I1048" s="20">
        <f>VLOOKUP(A1048,Metrik!$C$2:$Y$959,9,0)</f>
        <v>0.56</v>
      </c>
      <c r="J1048" s="20">
        <f>VLOOKUP(A1048,Metrik!$C$2:$Y$959,10,0)</f>
        <v>1.8</v>
      </c>
      <c r="K1048" s="20">
        <f>VLOOKUP(A1048,Metrik!$C$2:$Y$959,11,0)</f>
        <v>1.5</v>
      </c>
      <c r="L1048" s="20">
        <f>VLOOKUP(A1048,Metrik!$C$2:$Y$959,12,0)</f>
        <v>0.17</v>
      </c>
      <c r="M1048" s="20">
        <f>VLOOKUP(A1048,Metrik!$C$2:$Y$959,19,0)</f>
        <v>8.6</v>
      </c>
      <c r="N1048" s="21"/>
      <c r="O1048" s="21"/>
      <c r="P1048" s="21"/>
      <c r="Q1048" s="21"/>
      <c r="R1048" s="21"/>
      <c r="S1048" s="21"/>
      <c r="T1048" s="21"/>
      <c r="U1048" s="22">
        <f>IFERROR(__xludf.DUMMYFUNCTION("IFERROR(GOOGLEFINANCE(A1048,""closeyest""),"""")"),264.0)</f>
        <v>264</v>
      </c>
      <c r="V1048" s="23">
        <f>IFERROR(__xludf.DUMMYFUNCTION("IFERROR(GOOGLEFINANCE(A1048,""changepct""),"""")"),6.06)</f>
        <v>6.06</v>
      </c>
      <c r="W1048" s="22">
        <f>IFERROR(__xludf.DUMMYFUNCTION("IFERROR(GOOGLEFINANCE(A1048,""priceopen""),"""")"),266.0)</f>
        <v>266</v>
      </c>
      <c r="X1048" s="22">
        <f>IFERROR(__xludf.DUMMYFUNCTION("IFERROR(GOOGLEFINANCE(A1048,""high""),"""")"),284.0)</f>
        <v>284</v>
      </c>
      <c r="Y1048" s="22">
        <f>IFERROR(__xludf.DUMMYFUNCTION("IFERROR(GOOGLEFINANCE(A1048,""low""),"""")"),264.0)</f>
        <v>264</v>
      </c>
      <c r="Z1048" s="22">
        <f>IFERROR(__xludf.DUMMYFUNCTION("IFERROR(GOOGLEFINANCE(A1048,""volume""),"""")"),1952600.0)</f>
        <v>1952600</v>
      </c>
      <c r="AA1048" s="24" t="str">
        <f>VLOOKUP(A1048,Metrik!$C$2:$Y$959,5,0)</f>
        <v>Coal</v>
      </c>
      <c r="AB1048" s="24" t="str">
        <f>VLOOKUP(A1048,Metrik!$C$2:$Y$959,3,0)</f>
        <v>Energy</v>
      </c>
    </row>
    <row r="1049">
      <c r="A1049" s="14" t="s">
        <v>552</v>
      </c>
      <c r="B1049" s="14" t="str">
        <f t="array" ref="B1049">VLOOKUP(A1049,{Metrik!$C$2:$C$998,Metrik!$B$2:$B$998},2,0)</f>
        <v>PT Pelayaran Kurnia Lautan Semesta Tbk</v>
      </c>
      <c r="C1049" s="15">
        <f>IFERROR(__xludf.DUMMYFUNCTION("GOOGLEFINANCE(""IDX:""&amp;A1049,""price"")"),68.0)</f>
        <v>68</v>
      </c>
      <c r="D1049" s="16" t="str">
        <f>IFERROR(__xludf.DUMMYFUNCTION("IF(A1049="""","""",
SPARKLINE(
INDEX(
GOOGLEFINANCE(""IDX:""&amp;A1049,""close"",TODAY()-365,TODAY()),
,2
),
{""linewidth"",1}
))
"),"#N/A")</f>
        <v>#N/A</v>
      </c>
      <c r="E1049" s="26"/>
      <c r="F1049" s="26"/>
      <c r="G1049" s="18">
        <f t="shared" si="7"/>
        <v>0</v>
      </c>
      <c r="H1049" s="19">
        <f>VLOOKUP(A1049,Metrik!$C$2:$Y$959,8,0)</f>
        <v>12.4</v>
      </c>
      <c r="I1049" s="20">
        <f>VLOOKUP(A1049,Metrik!$C$2:$Y$959,9,0)</f>
        <v>0.96</v>
      </c>
      <c r="J1049" s="20">
        <f>VLOOKUP(A1049,Metrik!$C$2:$Y$959,10,0)</f>
        <v>7.7</v>
      </c>
      <c r="K1049" s="20">
        <f>VLOOKUP(A1049,Metrik!$C$2:$Y$959,11,0)</f>
        <v>4.6</v>
      </c>
      <c r="L1049" s="20">
        <f>VLOOKUP(A1049,Metrik!$C$2:$Y$959,12,0)</f>
        <v>0.7</v>
      </c>
      <c r="M1049" s="20">
        <f>VLOOKUP(A1049,Metrik!$C$2:$Y$959,19,0)</f>
        <v>46.7</v>
      </c>
      <c r="N1049" s="21"/>
      <c r="O1049" s="21"/>
      <c r="P1049" s="21"/>
      <c r="Q1049" s="21"/>
      <c r="R1049" s="21"/>
      <c r="S1049" s="21"/>
      <c r="T1049" s="21"/>
      <c r="U1049" s="22">
        <f>IFERROR(__xludf.DUMMYFUNCTION("IFERROR(GOOGLEFINANCE(A1049,""closeyest""),"""")"),66.0)</f>
        <v>66</v>
      </c>
      <c r="V1049" s="23">
        <f>IFERROR(__xludf.DUMMYFUNCTION("IFERROR(GOOGLEFINANCE(A1049,""changepct""),"""")"),3.03)</f>
        <v>3.03</v>
      </c>
      <c r="W1049" s="22">
        <f>IFERROR(__xludf.DUMMYFUNCTION("IFERROR(GOOGLEFINANCE(A1049,""priceopen""),"""")"),67.0)</f>
        <v>67</v>
      </c>
      <c r="X1049" s="22">
        <f>IFERROR(__xludf.DUMMYFUNCTION("IFERROR(GOOGLEFINANCE(A1049,""high""),"""")"),70.0)</f>
        <v>70</v>
      </c>
      <c r="Y1049" s="22">
        <f>IFERROR(__xludf.DUMMYFUNCTION("IFERROR(GOOGLEFINANCE(A1049,""low""),"""")"),66.0)</f>
        <v>66</v>
      </c>
      <c r="Z1049" s="22">
        <f>IFERROR(__xludf.DUMMYFUNCTION("IFERROR(GOOGLEFINANCE(A1049,""volume""),"""")"),1.01755E7)</f>
        <v>10175500</v>
      </c>
      <c r="AA1049" s="24" t="str">
        <f>VLOOKUP(A1049,Metrik!$C$2:$Y$959,5,0)</f>
        <v>Logistics &amp; Deliveries</v>
      </c>
      <c r="AB1049" s="24" t="str">
        <f>VLOOKUP(A1049,Metrik!$C$2:$Y$959,3,0)</f>
        <v>Transportation &amp; Logistic</v>
      </c>
    </row>
    <row r="1050">
      <c r="A1050" s="14" t="s">
        <v>553</v>
      </c>
      <c r="B1050" s="14" t="str">
        <f t="array" ref="B1050">VLOOKUP(A1050,{Metrik!$C$2:$C$998,Metrik!$B$2:$B$998},2,0)</f>
        <v>Kalbe Farma Tbk.</v>
      </c>
      <c r="C1050" s="15">
        <f>IFERROR(__xludf.DUMMYFUNCTION("GOOGLEFINANCE(""IDX:""&amp;A1050,""price"")"),740.0)</f>
        <v>740</v>
      </c>
      <c r="D1050" s="16" t="str">
        <f>IFERROR(__xludf.DUMMYFUNCTION("IF(A1050="""","""",
SPARKLINE(
INDEX(
GOOGLEFINANCE(""IDX:""&amp;A1050,""close"",TODAY()-365,TODAY()),
,2
),
{""linewidth"",1}
))
"),"#N/A")</f>
        <v>#N/A</v>
      </c>
      <c r="E1050" s="14" t="s">
        <v>47</v>
      </c>
      <c r="F1050" s="25">
        <v>46356.0</v>
      </c>
      <c r="G1050" s="18">
        <f t="shared" si="7"/>
        <v>17</v>
      </c>
      <c r="H1050" s="19">
        <f>VLOOKUP(A1050,Metrik!$C$2:$Y$959,8,0)</f>
        <v>10</v>
      </c>
      <c r="I1050" s="20">
        <f>VLOOKUP(A1050,Metrik!$C$2:$Y$959,9,0)</f>
        <v>1.4</v>
      </c>
      <c r="J1050" s="20">
        <f>VLOOKUP(A1050,Metrik!$C$2:$Y$959,10,0)</f>
        <v>14.1</v>
      </c>
      <c r="K1050" s="20">
        <f>VLOOKUP(A1050,Metrik!$C$2:$Y$959,11,0)</f>
        <v>11.3</v>
      </c>
      <c r="L1050" s="20">
        <f>VLOOKUP(A1050,Metrik!$C$2:$Y$959,12,0)</f>
        <v>0.24</v>
      </c>
      <c r="M1050" s="20">
        <f>VLOOKUP(A1050,Metrik!$C$2:$Y$959,19,0)</f>
        <v>37.4</v>
      </c>
      <c r="N1050" s="21"/>
      <c r="O1050" s="21"/>
      <c r="P1050" s="21"/>
      <c r="Q1050" s="21"/>
      <c r="R1050" s="21"/>
      <c r="S1050" s="21"/>
      <c r="T1050" s="21"/>
      <c r="U1050" s="22">
        <f>IFERROR(__xludf.DUMMYFUNCTION("IFERROR(GOOGLEFINANCE(A1050,""closeyest""),"""")"),725.0)</f>
        <v>725</v>
      </c>
      <c r="V1050" s="23">
        <f>IFERROR(__xludf.DUMMYFUNCTION("IFERROR(GOOGLEFINANCE(A1050,""changepct""),"""")"),2.07)</f>
        <v>2.07</v>
      </c>
      <c r="W1050" s="22">
        <f>IFERROR(__xludf.DUMMYFUNCTION("IFERROR(GOOGLEFINANCE(A1050,""priceopen""),"""")"),760.0)</f>
        <v>760</v>
      </c>
      <c r="X1050" s="22">
        <f>IFERROR(__xludf.DUMMYFUNCTION("IFERROR(GOOGLEFINANCE(A1050,""high""),"""")"),760.0)</f>
        <v>760</v>
      </c>
      <c r="Y1050" s="22">
        <f>IFERROR(__xludf.DUMMYFUNCTION("IFERROR(GOOGLEFINANCE(A1050,""low""),"""")"),715.0)</f>
        <v>715</v>
      </c>
      <c r="Z1050" s="22">
        <f>IFERROR(__xludf.DUMMYFUNCTION("IFERROR(GOOGLEFINANCE(A1050,""volume""),"""")"),9.27412E7)</f>
        <v>92741200</v>
      </c>
      <c r="AA1050" s="24" t="str">
        <f>VLOOKUP(A1050,Metrik!$C$2:$Y$959,5,0)</f>
        <v>Pharmaceuticals</v>
      </c>
      <c r="AB1050" s="24" t="str">
        <f>VLOOKUP(A1050,Metrik!$C$2:$Y$959,3,0)</f>
        <v>Healthcare</v>
      </c>
    </row>
    <row r="1051">
      <c r="A1051" s="17" t="s">
        <v>553</v>
      </c>
      <c r="B1051" s="14" t="str">
        <f t="array" ref="B1051">VLOOKUP(A1051,{Metrik!$C$2:$C$998,Metrik!$B$2:$B$998},2,0)</f>
        <v>Kalbe Farma Tbk.</v>
      </c>
      <c r="C1051" s="15">
        <f>IFERROR(__xludf.DUMMYFUNCTION("GOOGLEFINANCE(""IDX:""&amp;A1051,""price"")"),740.0)</f>
        <v>740</v>
      </c>
      <c r="D1051" s="16" t="str">
        <f>IFERROR(__xludf.DUMMYFUNCTION("IF(A1051="""","""",
SPARKLINE(
INDEX(
GOOGLEFINANCE(""IDX:""&amp;A1051,""close"",TODAY()-365,TODAY()),
,2
),
{""linewidth"",1}
))
"),"#N/A")</f>
        <v>#N/A</v>
      </c>
      <c r="E1051" s="14" t="s">
        <v>65</v>
      </c>
      <c r="F1051" s="37">
        <v>46356.0</v>
      </c>
      <c r="G1051" s="38">
        <f t="shared" si="7"/>
        <v>17</v>
      </c>
      <c r="H1051" s="34">
        <f>VLOOKUP(A1051,Metrik!$C$2:$Y$959,8,0)</f>
        <v>10</v>
      </c>
      <c r="I1051" s="34">
        <f>VLOOKUP(A1051,Metrik!$C$2:$Y$959,9,0)</f>
        <v>1.4</v>
      </c>
      <c r="J1051" s="34">
        <f>VLOOKUP(A1051,Metrik!$C$2:$Y$959,10,0)</f>
        <v>14.1</v>
      </c>
      <c r="K1051" s="34">
        <f>VLOOKUP(A1051,Metrik!$C$2:$Y$959,11,0)</f>
        <v>11.3</v>
      </c>
      <c r="L1051" s="34">
        <f>VLOOKUP(A1051,Metrik!$C$2:$Y$959,12,0)</f>
        <v>0.24</v>
      </c>
      <c r="M1051" s="34">
        <f>VLOOKUP(A1051,Metrik!$C$2:$Y$959,19,0)</f>
        <v>37.4</v>
      </c>
      <c r="N1051" s="26"/>
      <c r="O1051" s="26"/>
      <c r="P1051" s="26"/>
      <c r="Q1051" s="26"/>
      <c r="R1051" s="26"/>
      <c r="S1051" s="26"/>
      <c r="T1051" s="26"/>
      <c r="U1051" s="35">
        <f>IFERROR(__xludf.DUMMYFUNCTION("IFERROR(GOOGLEFINANCE(A1051,""closeyest""),"""")"),725.0)</f>
        <v>725</v>
      </c>
      <c r="V1051" s="36">
        <f>IFERROR(__xludf.DUMMYFUNCTION("IFERROR(GOOGLEFINANCE(A1051,""changepct""),"""")"),2.07)</f>
        <v>2.07</v>
      </c>
      <c r="W1051" s="35">
        <f>IFERROR(__xludf.DUMMYFUNCTION("IFERROR(GOOGLEFINANCE(A1051,""priceopen""),"""")"),760.0)</f>
        <v>760</v>
      </c>
      <c r="X1051" s="35">
        <f>IFERROR(__xludf.DUMMYFUNCTION("IFERROR(GOOGLEFINANCE(A1051,""high""),"""")"),760.0)</f>
        <v>760</v>
      </c>
      <c r="Y1051" s="35">
        <f>IFERROR(__xludf.DUMMYFUNCTION("IFERROR(GOOGLEFINANCE(A1051,""low""),"""")"),715.0)</f>
        <v>715</v>
      </c>
      <c r="Z1051" s="35">
        <f>IFERROR(__xludf.DUMMYFUNCTION("IFERROR(GOOGLEFINANCE(A1051,""volume""),"""")"),9.27412E7)</f>
        <v>92741200</v>
      </c>
      <c r="AA1051" s="14" t="str">
        <f>VLOOKUP(A1051,Metrik!$C$2:$Y$959,5,0)</f>
        <v>Pharmaceuticals</v>
      </c>
      <c r="AB1051" s="14" t="str">
        <f>VLOOKUP(A1051,Metrik!$C$2:$Y$959,3,0)</f>
        <v>Healthcare</v>
      </c>
    </row>
    <row r="1052">
      <c r="A1052" s="14" t="s">
        <v>553</v>
      </c>
      <c r="B1052" s="14" t="str">
        <f t="array" ref="B1052">VLOOKUP(A1052,{Metrik!$C$2:$C$998,Metrik!$B$2:$B$998},2,0)</f>
        <v>Kalbe Farma Tbk.</v>
      </c>
      <c r="C1052" s="15">
        <f>IFERROR(__xludf.DUMMYFUNCTION("GOOGLEFINANCE(""IDX:""&amp;A1052,""price"")"),740.0)</f>
        <v>740</v>
      </c>
      <c r="D1052" s="16" t="str">
        <f>IFERROR(__xludf.DUMMYFUNCTION("IF(A1052="""","""",
SPARKLINE(
INDEX(
GOOGLEFINANCE(""IDX:""&amp;A1052,""close"",TODAY()-365,TODAY()),
,2
),
{""linewidth"",1}
))
"),"#N/A")</f>
        <v>#N/A</v>
      </c>
      <c r="E1052" s="14" t="s">
        <v>42</v>
      </c>
      <c r="F1052" s="25">
        <v>46356.0</v>
      </c>
      <c r="G1052" s="18">
        <f t="shared" si="7"/>
        <v>17</v>
      </c>
      <c r="H1052" s="19">
        <f>VLOOKUP(A1052,Metrik!$C$2:$Y$959,8,0)</f>
        <v>10</v>
      </c>
      <c r="I1052" s="20">
        <f>VLOOKUP(A1052,Metrik!$C$2:$Y$959,9,0)</f>
        <v>1.4</v>
      </c>
      <c r="J1052" s="20">
        <f>VLOOKUP(A1052,Metrik!$C$2:$Y$959,10,0)</f>
        <v>14.1</v>
      </c>
      <c r="K1052" s="20">
        <f>VLOOKUP(A1052,Metrik!$C$2:$Y$959,11,0)</f>
        <v>11.3</v>
      </c>
      <c r="L1052" s="20">
        <f>VLOOKUP(A1052,Metrik!$C$2:$Y$959,12,0)</f>
        <v>0.24</v>
      </c>
      <c r="M1052" s="20">
        <f>VLOOKUP(A1052,Metrik!$C$2:$Y$959,19,0)</f>
        <v>37.4</v>
      </c>
      <c r="N1052" s="21"/>
      <c r="O1052" s="21"/>
      <c r="P1052" s="21"/>
      <c r="Q1052" s="21"/>
      <c r="R1052" s="21"/>
      <c r="S1052" s="21"/>
      <c r="T1052" s="21"/>
      <c r="U1052" s="22">
        <f>IFERROR(__xludf.DUMMYFUNCTION("IFERROR(GOOGLEFINANCE(A1052,""closeyest""),"""")"),725.0)</f>
        <v>725</v>
      </c>
      <c r="V1052" s="23">
        <f>IFERROR(__xludf.DUMMYFUNCTION("IFERROR(GOOGLEFINANCE(A1052,""changepct""),"""")"),2.07)</f>
        <v>2.07</v>
      </c>
      <c r="W1052" s="22">
        <f>IFERROR(__xludf.DUMMYFUNCTION("IFERROR(GOOGLEFINANCE(A1052,""priceopen""),"""")"),760.0)</f>
        <v>760</v>
      </c>
      <c r="X1052" s="22">
        <f>IFERROR(__xludf.DUMMYFUNCTION("IFERROR(GOOGLEFINANCE(A1052,""high""),"""")"),760.0)</f>
        <v>760</v>
      </c>
      <c r="Y1052" s="22">
        <f>IFERROR(__xludf.DUMMYFUNCTION("IFERROR(GOOGLEFINANCE(A1052,""low""),"""")"),715.0)</f>
        <v>715</v>
      </c>
      <c r="Z1052" s="22">
        <f>IFERROR(__xludf.DUMMYFUNCTION("IFERROR(GOOGLEFINANCE(A1052,""volume""),"""")"),9.27412E7)</f>
        <v>92741200</v>
      </c>
      <c r="AA1052" s="24" t="str">
        <f>VLOOKUP(A1052,Metrik!$C$2:$Y$959,5,0)</f>
        <v>Pharmaceuticals</v>
      </c>
      <c r="AB1052" s="24" t="str">
        <f>VLOOKUP(A1052,Metrik!$C$2:$Y$959,3,0)</f>
        <v>Healthcare</v>
      </c>
    </row>
    <row r="1053">
      <c r="A1053" s="14" t="s">
        <v>553</v>
      </c>
      <c r="B1053" s="14" t="str">
        <f t="array" ref="B1053">VLOOKUP(A1053,{Metrik!$C$2:$C$998,Metrik!$B$2:$B$998},2,0)</f>
        <v>Kalbe Farma Tbk.</v>
      </c>
      <c r="C1053" s="15">
        <f>IFERROR(__xludf.DUMMYFUNCTION("GOOGLEFINANCE(""IDX:""&amp;A1053,""price"")"),740.0)</f>
        <v>740</v>
      </c>
      <c r="D1053" s="16" t="str">
        <f>IFERROR(__xludf.DUMMYFUNCTION("IF(A1053="""","""",
SPARKLINE(
INDEX(
GOOGLEFINANCE(""IDX:""&amp;A1053,""close"",TODAY()-365,TODAY()),
,2
),
{""linewidth"",1}
))
"),"#N/A")</f>
        <v>#N/A</v>
      </c>
      <c r="E1053" s="14" t="s">
        <v>55</v>
      </c>
      <c r="F1053" s="25">
        <v>46356.0</v>
      </c>
      <c r="G1053" s="18">
        <f t="shared" si="7"/>
        <v>17</v>
      </c>
      <c r="H1053" s="19">
        <f>VLOOKUP(A1053,Metrik!$C$2:$Y$959,8,0)</f>
        <v>10</v>
      </c>
      <c r="I1053" s="20">
        <f>VLOOKUP(A1053,Metrik!$C$2:$Y$959,9,0)</f>
        <v>1.4</v>
      </c>
      <c r="J1053" s="20">
        <f>VLOOKUP(A1053,Metrik!$C$2:$Y$959,10,0)</f>
        <v>14.1</v>
      </c>
      <c r="K1053" s="20">
        <f>VLOOKUP(A1053,Metrik!$C$2:$Y$959,11,0)</f>
        <v>11.3</v>
      </c>
      <c r="L1053" s="20">
        <f>VLOOKUP(A1053,Metrik!$C$2:$Y$959,12,0)</f>
        <v>0.24</v>
      </c>
      <c r="M1053" s="20">
        <f>VLOOKUP(A1053,Metrik!$C$2:$Y$959,19,0)</f>
        <v>37.4</v>
      </c>
      <c r="N1053" s="21"/>
      <c r="O1053" s="21"/>
      <c r="P1053" s="21"/>
      <c r="Q1053" s="21"/>
      <c r="R1053" s="21"/>
      <c r="S1053" s="21"/>
      <c r="T1053" s="21"/>
      <c r="U1053" s="22">
        <f>IFERROR(__xludf.DUMMYFUNCTION("IFERROR(GOOGLEFINANCE(A1053,""closeyest""),"""")"),725.0)</f>
        <v>725</v>
      </c>
      <c r="V1053" s="23">
        <f>IFERROR(__xludf.DUMMYFUNCTION("IFERROR(GOOGLEFINANCE(A1053,""changepct""),"""")"),2.07)</f>
        <v>2.07</v>
      </c>
      <c r="W1053" s="22">
        <f>IFERROR(__xludf.DUMMYFUNCTION("IFERROR(GOOGLEFINANCE(A1053,""priceopen""),"""")"),760.0)</f>
        <v>760</v>
      </c>
      <c r="X1053" s="22">
        <f>IFERROR(__xludf.DUMMYFUNCTION("IFERROR(GOOGLEFINANCE(A1053,""high""),"""")"),760.0)</f>
        <v>760</v>
      </c>
      <c r="Y1053" s="22">
        <f>IFERROR(__xludf.DUMMYFUNCTION("IFERROR(GOOGLEFINANCE(A1053,""low""),"""")"),715.0)</f>
        <v>715</v>
      </c>
      <c r="Z1053" s="22">
        <f>IFERROR(__xludf.DUMMYFUNCTION("IFERROR(GOOGLEFINANCE(A1053,""volume""),"""")"),9.27412E7)</f>
        <v>92741200</v>
      </c>
      <c r="AA1053" s="24" t="str">
        <f>VLOOKUP(A1053,Metrik!$C$2:$Y$959,5,0)</f>
        <v>Pharmaceuticals</v>
      </c>
      <c r="AB1053" s="24" t="str">
        <f>VLOOKUP(A1053,Metrik!$C$2:$Y$959,3,0)</f>
        <v>Healthcare</v>
      </c>
    </row>
    <row r="1054">
      <c r="A1054" s="14" t="s">
        <v>553</v>
      </c>
      <c r="B1054" s="14" t="str">
        <f t="array" ref="B1054">VLOOKUP(A1054,{Metrik!$C$2:$C$998,Metrik!$B$2:$B$998},2,0)</f>
        <v>Kalbe Farma Tbk.</v>
      </c>
      <c r="C1054" s="15">
        <f>IFERROR(__xludf.DUMMYFUNCTION("GOOGLEFINANCE(""IDX:""&amp;A1054,""price"")"),740.0)</f>
        <v>740</v>
      </c>
      <c r="D1054" s="16" t="str">
        <f>IFERROR(__xludf.DUMMYFUNCTION("IF(A1054="""","""",
SPARKLINE(
INDEX(
GOOGLEFINANCE(""IDX:""&amp;A1054,""close"",TODAY()-365,TODAY()),
,2
),
{""linewidth"",1}
))
"),"#N/A")</f>
        <v>#N/A</v>
      </c>
      <c r="E1054" s="14" t="s">
        <v>31</v>
      </c>
      <c r="F1054" s="17" t="s">
        <v>29</v>
      </c>
      <c r="G1054" s="18">
        <f t="shared" si="7"/>
        <v>17</v>
      </c>
      <c r="H1054" s="19">
        <f>VLOOKUP(A1054,Metrik!$C$2:$Y$959,8,0)</f>
        <v>10</v>
      </c>
      <c r="I1054" s="20">
        <f>VLOOKUP(A1054,Metrik!$C$2:$Y$959,9,0)</f>
        <v>1.4</v>
      </c>
      <c r="J1054" s="20">
        <f>VLOOKUP(A1054,Metrik!$C$2:$Y$959,10,0)</f>
        <v>14.1</v>
      </c>
      <c r="K1054" s="20">
        <f>VLOOKUP(A1054,Metrik!$C$2:$Y$959,11,0)</f>
        <v>11.3</v>
      </c>
      <c r="L1054" s="20">
        <f>VLOOKUP(A1054,Metrik!$C$2:$Y$959,12,0)</f>
        <v>0.24</v>
      </c>
      <c r="M1054" s="20">
        <f>VLOOKUP(A1054,Metrik!$C$2:$Y$959,19,0)</f>
        <v>37.4</v>
      </c>
      <c r="N1054" s="21"/>
      <c r="O1054" s="21"/>
      <c r="P1054" s="21"/>
      <c r="Q1054" s="21"/>
      <c r="R1054" s="21"/>
      <c r="S1054" s="21"/>
      <c r="T1054" s="21"/>
      <c r="U1054" s="22">
        <f>IFERROR(__xludf.DUMMYFUNCTION("IFERROR(GOOGLEFINANCE(A1054,""closeyest""),"""")"),725.0)</f>
        <v>725</v>
      </c>
      <c r="V1054" s="23">
        <f>IFERROR(__xludf.DUMMYFUNCTION("IFERROR(GOOGLEFINANCE(A1054,""changepct""),"""")"),2.07)</f>
        <v>2.07</v>
      </c>
      <c r="W1054" s="22">
        <f>IFERROR(__xludf.DUMMYFUNCTION("IFERROR(GOOGLEFINANCE(A1054,""priceopen""),"""")"),760.0)</f>
        <v>760</v>
      </c>
      <c r="X1054" s="22">
        <f>IFERROR(__xludf.DUMMYFUNCTION("IFERROR(GOOGLEFINANCE(A1054,""high""),"""")"),760.0)</f>
        <v>760</v>
      </c>
      <c r="Y1054" s="22">
        <f>IFERROR(__xludf.DUMMYFUNCTION("IFERROR(GOOGLEFINANCE(A1054,""low""),"""")"),715.0)</f>
        <v>715</v>
      </c>
      <c r="Z1054" s="22">
        <f>IFERROR(__xludf.DUMMYFUNCTION("IFERROR(GOOGLEFINANCE(A1054,""volume""),"""")"),9.27412E7)</f>
        <v>92741200</v>
      </c>
      <c r="AA1054" s="24" t="str">
        <f>VLOOKUP(A1054,Metrik!$C$2:$Y$959,5,0)</f>
        <v>Pharmaceuticals</v>
      </c>
      <c r="AB1054" s="24" t="str">
        <f>VLOOKUP(A1054,Metrik!$C$2:$Y$959,3,0)</f>
        <v>Healthcare</v>
      </c>
    </row>
    <row r="1055">
      <c r="A1055" s="14" t="s">
        <v>553</v>
      </c>
      <c r="B1055" s="14" t="str">
        <f t="array" ref="B1055">VLOOKUP(A1055,{Metrik!$C$2:$C$998,Metrik!$B$2:$B$998},2,0)</f>
        <v>Kalbe Farma Tbk.</v>
      </c>
      <c r="C1055" s="15">
        <f>IFERROR(__xludf.DUMMYFUNCTION("GOOGLEFINANCE(""IDX:""&amp;A1055,""price"")"),740.0)</f>
        <v>740</v>
      </c>
      <c r="D1055" s="16" t="str">
        <f>IFERROR(__xludf.DUMMYFUNCTION("IF(A1055="""","""",
SPARKLINE(
INDEX(
GOOGLEFINANCE(""IDX:""&amp;A1055,""close"",TODAY()-365,TODAY()),
,2
),
{""linewidth"",1}
))
"),"#N/A")</f>
        <v>#N/A</v>
      </c>
      <c r="E1055" s="14" t="s">
        <v>84</v>
      </c>
      <c r="F1055" s="17" t="s">
        <v>51</v>
      </c>
      <c r="G1055" s="18">
        <f t="shared" si="7"/>
        <v>17</v>
      </c>
      <c r="H1055" s="19">
        <f>VLOOKUP(A1055,Metrik!$C$2:$Y$959,8,0)</f>
        <v>10</v>
      </c>
      <c r="I1055" s="20">
        <f>VLOOKUP(A1055,Metrik!$C$2:$Y$959,9,0)</f>
        <v>1.4</v>
      </c>
      <c r="J1055" s="20">
        <f>VLOOKUP(A1055,Metrik!$C$2:$Y$959,10,0)</f>
        <v>14.1</v>
      </c>
      <c r="K1055" s="20">
        <f>VLOOKUP(A1055,Metrik!$C$2:$Y$959,11,0)</f>
        <v>11.3</v>
      </c>
      <c r="L1055" s="20">
        <f>VLOOKUP(A1055,Metrik!$C$2:$Y$959,12,0)</f>
        <v>0.24</v>
      </c>
      <c r="M1055" s="20">
        <f>VLOOKUP(A1055,Metrik!$C$2:$Y$959,19,0)</f>
        <v>37.4</v>
      </c>
      <c r="N1055" s="21"/>
      <c r="O1055" s="21"/>
      <c r="P1055" s="21"/>
      <c r="Q1055" s="21"/>
      <c r="R1055" s="21"/>
      <c r="S1055" s="21"/>
      <c r="T1055" s="21"/>
      <c r="U1055" s="22">
        <f>IFERROR(__xludf.DUMMYFUNCTION("IFERROR(GOOGLEFINANCE(A1055,""closeyest""),"""")"),725.0)</f>
        <v>725</v>
      </c>
      <c r="V1055" s="23">
        <f>IFERROR(__xludf.DUMMYFUNCTION("IFERROR(GOOGLEFINANCE(A1055,""changepct""),"""")"),2.07)</f>
        <v>2.07</v>
      </c>
      <c r="W1055" s="22">
        <f>IFERROR(__xludf.DUMMYFUNCTION("IFERROR(GOOGLEFINANCE(A1055,""priceopen""),"""")"),760.0)</f>
        <v>760</v>
      </c>
      <c r="X1055" s="22">
        <f>IFERROR(__xludf.DUMMYFUNCTION("IFERROR(GOOGLEFINANCE(A1055,""high""),"""")"),760.0)</f>
        <v>760</v>
      </c>
      <c r="Y1055" s="22">
        <f>IFERROR(__xludf.DUMMYFUNCTION("IFERROR(GOOGLEFINANCE(A1055,""low""),"""")"),715.0)</f>
        <v>715</v>
      </c>
      <c r="Z1055" s="22">
        <f>IFERROR(__xludf.DUMMYFUNCTION("IFERROR(GOOGLEFINANCE(A1055,""volume""),"""")"),9.27412E7)</f>
        <v>92741200</v>
      </c>
      <c r="AA1055" s="24" t="str">
        <f>VLOOKUP(A1055,Metrik!$C$2:$Y$959,5,0)</f>
        <v>Pharmaceuticals</v>
      </c>
      <c r="AB1055" s="24" t="str">
        <f>VLOOKUP(A1055,Metrik!$C$2:$Y$959,3,0)</f>
        <v>Healthcare</v>
      </c>
    </row>
    <row r="1056">
      <c r="A1056" s="14" t="s">
        <v>553</v>
      </c>
      <c r="B1056" s="14" t="str">
        <f t="array" ref="B1056">VLOOKUP(A1056,{Metrik!$C$2:$C$998,Metrik!$B$2:$B$998},2,0)</f>
        <v>Kalbe Farma Tbk.</v>
      </c>
      <c r="C1056" s="15">
        <f>IFERROR(__xludf.DUMMYFUNCTION("GOOGLEFINANCE(""IDX:""&amp;A1056,""price"")"),740.0)</f>
        <v>740</v>
      </c>
      <c r="D1056" s="16" t="str">
        <f>IFERROR(__xludf.DUMMYFUNCTION("IF(A1056="""","""",
SPARKLINE(
INDEX(
GOOGLEFINANCE(""IDX:""&amp;A1056,""close"",TODAY()-365,TODAY()),
,2
),
{""linewidth"",1}
))
"),"#N/A")</f>
        <v>#N/A</v>
      </c>
      <c r="E1056" s="14" t="s">
        <v>30</v>
      </c>
      <c r="F1056" s="17" t="s">
        <v>29</v>
      </c>
      <c r="G1056" s="18">
        <f t="shared" si="7"/>
        <v>17</v>
      </c>
      <c r="H1056" s="19">
        <f>VLOOKUP(A1056,Metrik!$C$2:$Y$959,8,0)</f>
        <v>10</v>
      </c>
      <c r="I1056" s="20">
        <f>VLOOKUP(A1056,Metrik!$C$2:$Y$959,9,0)</f>
        <v>1.4</v>
      </c>
      <c r="J1056" s="20">
        <f>VLOOKUP(A1056,Metrik!$C$2:$Y$959,10,0)</f>
        <v>14.1</v>
      </c>
      <c r="K1056" s="20">
        <f>VLOOKUP(A1056,Metrik!$C$2:$Y$959,11,0)</f>
        <v>11.3</v>
      </c>
      <c r="L1056" s="20">
        <f>VLOOKUP(A1056,Metrik!$C$2:$Y$959,12,0)</f>
        <v>0.24</v>
      </c>
      <c r="M1056" s="20">
        <f>VLOOKUP(A1056,Metrik!$C$2:$Y$959,19,0)</f>
        <v>37.4</v>
      </c>
      <c r="N1056" s="21"/>
      <c r="O1056" s="21"/>
      <c r="P1056" s="21"/>
      <c r="Q1056" s="21"/>
      <c r="R1056" s="21"/>
      <c r="S1056" s="21"/>
      <c r="T1056" s="21"/>
      <c r="U1056" s="22">
        <f>IFERROR(__xludf.DUMMYFUNCTION("IFERROR(GOOGLEFINANCE(A1056,""closeyest""),"""")"),725.0)</f>
        <v>725</v>
      </c>
      <c r="V1056" s="23">
        <f>IFERROR(__xludf.DUMMYFUNCTION("IFERROR(GOOGLEFINANCE(A1056,""changepct""),"""")"),2.07)</f>
        <v>2.07</v>
      </c>
      <c r="W1056" s="22">
        <f>IFERROR(__xludf.DUMMYFUNCTION("IFERROR(GOOGLEFINANCE(A1056,""priceopen""),"""")"),760.0)</f>
        <v>760</v>
      </c>
      <c r="X1056" s="22">
        <f>IFERROR(__xludf.DUMMYFUNCTION("IFERROR(GOOGLEFINANCE(A1056,""high""),"""")"),760.0)</f>
        <v>760</v>
      </c>
      <c r="Y1056" s="22">
        <f>IFERROR(__xludf.DUMMYFUNCTION("IFERROR(GOOGLEFINANCE(A1056,""low""),"""")"),715.0)</f>
        <v>715</v>
      </c>
      <c r="Z1056" s="22">
        <f>IFERROR(__xludf.DUMMYFUNCTION("IFERROR(GOOGLEFINANCE(A1056,""volume""),"""")"),9.27412E7)</f>
        <v>92741200</v>
      </c>
      <c r="AA1056" s="24" t="str">
        <f>VLOOKUP(A1056,Metrik!$C$2:$Y$959,5,0)</f>
        <v>Pharmaceuticals</v>
      </c>
      <c r="AB1056" s="24" t="str">
        <f>VLOOKUP(A1056,Metrik!$C$2:$Y$959,3,0)</f>
        <v>Healthcare</v>
      </c>
    </row>
    <row r="1057">
      <c r="A1057" s="14" t="s">
        <v>553</v>
      </c>
      <c r="B1057" s="14" t="str">
        <f t="array" ref="B1057">VLOOKUP(A1057,{Metrik!$C$2:$C$998,Metrik!$B$2:$B$998},2,0)</f>
        <v>Kalbe Farma Tbk.</v>
      </c>
      <c r="C1057" s="15">
        <f>IFERROR(__xludf.DUMMYFUNCTION("GOOGLEFINANCE(""IDX:""&amp;A1057,""price"")"),740.0)</f>
        <v>740</v>
      </c>
      <c r="D1057" s="16" t="str">
        <f>IFERROR(__xludf.DUMMYFUNCTION("IF(A1057="""","""",
SPARKLINE(
INDEX(
GOOGLEFINANCE(""IDX:""&amp;A1057,""close"",TODAY()-365,TODAY()),
,2
),
{""linewidth"",1}
))
"),"#N/A")</f>
        <v>#N/A</v>
      </c>
      <c r="E1057" s="14" t="s">
        <v>28</v>
      </c>
      <c r="F1057" s="17" t="s">
        <v>29</v>
      </c>
      <c r="G1057" s="18">
        <f t="shared" si="7"/>
        <v>17</v>
      </c>
      <c r="H1057" s="19">
        <f>VLOOKUP(A1057,Metrik!$C$2:$Y$959,8,0)</f>
        <v>10</v>
      </c>
      <c r="I1057" s="20">
        <f>VLOOKUP(A1057,Metrik!$C$2:$Y$959,9,0)</f>
        <v>1.4</v>
      </c>
      <c r="J1057" s="20">
        <f>VLOOKUP(A1057,Metrik!$C$2:$Y$959,10,0)</f>
        <v>14.1</v>
      </c>
      <c r="K1057" s="20">
        <f>VLOOKUP(A1057,Metrik!$C$2:$Y$959,11,0)</f>
        <v>11.3</v>
      </c>
      <c r="L1057" s="20">
        <f>VLOOKUP(A1057,Metrik!$C$2:$Y$959,12,0)</f>
        <v>0.24</v>
      </c>
      <c r="M1057" s="20">
        <f>VLOOKUP(A1057,Metrik!$C$2:$Y$959,19,0)</f>
        <v>37.4</v>
      </c>
      <c r="N1057" s="21"/>
      <c r="O1057" s="21"/>
      <c r="P1057" s="21"/>
      <c r="Q1057" s="21"/>
      <c r="R1057" s="21"/>
      <c r="S1057" s="21"/>
      <c r="T1057" s="21"/>
      <c r="U1057" s="22">
        <f>IFERROR(__xludf.DUMMYFUNCTION("IFERROR(GOOGLEFINANCE(A1057,""closeyest""),"""")"),725.0)</f>
        <v>725</v>
      </c>
      <c r="V1057" s="23">
        <f>IFERROR(__xludf.DUMMYFUNCTION("IFERROR(GOOGLEFINANCE(A1057,""changepct""),"""")"),2.07)</f>
        <v>2.07</v>
      </c>
      <c r="W1057" s="22">
        <f>IFERROR(__xludf.DUMMYFUNCTION("IFERROR(GOOGLEFINANCE(A1057,""priceopen""),"""")"),760.0)</f>
        <v>760</v>
      </c>
      <c r="X1057" s="22">
        <f>IFERROR(__xludf.DUMMYFUNCTION("IFERROR(GOOGLEFINANCE(A1057,""high""),"""")"),760.0)</f>
        <v>760</v>
      </c>
      <c r="Y1057" s="22">
        <f>IFERROR(__xludf.DUMMYFUNCTION("IFERROR(GOOGLEFINANCE(A1057,""low""),"""")"),715.0)</f>
        <v>715</v>
      </c>
      <c r="Z1057" s="22">
        <f>IFERROR(__xludf.DUMMYFUNCTION("IFERROR(GOOGLEFINANCE(A1057,""volume""),"""")"),9.27412E7)</f>
        <v>92741200</v>
      </c>
      <c r="AA1057" s="24" t="str">
        <f>VLOOKUP(A1057,Metrik!$C$2:$Y$959,5,0)</f>
        <v>Pharmaceuticals</v>
      </c>
      <c r="AB1057" s="24" t="str">
        <f>VLOOKUP(A1057,Metrik!$C$2:$Y$959,3,0)</f>
        <v>Healthcare</v>
      </c>
    </row>
    <row r="1058">
      <c r="A1058" s="14" t="s">
        <v>553</v>
      </c>
      <c r="B1058" s="14" t="str">
        <f t="array" ref="B1058">VLOOKUP(A1058,{Metrik!$C$2:$C$998,Metrik!$B$2:$B$998},2,0)</f>
        <v>Kalbe Farma Tbk.</v>
      </c>
      <c r="C1058" s="15">
        <f>IFERROR(__xludf.DUMMYFUNCTION("GOOGLEFINANCE(""IDX:""&amp;A1058,""price"")"),740.0)</f>
        <v>740</v>
      </c>
      <c r="D1058" s="16" t="str">
        <f>IFERROR(__xludf.DUMMYFUNCTION("IF(A1058="""","""",
SPARKLINE(
INDEX(
GOOGLEFINANCE(""IDX:""&amp;A1058,""close"",TODAY()-365,TODAY()),
,2
),
{""linewidth"",1}
))
"),"#N/A")</f>
        <v>#N/A</v>
      </c>
      <c r="E1058" s="14" t="s">
        <v>67</v>
      </c>
      <c r="F1058" s="17" t="s">
        <v>51</v>
      </c>
      <c r="G1058" s="18">
        <f t="shared" si="7"/>
        <v>17</v>
      </c>
      <c r="H1058" s="19">
        <f>VLOOKUP(A1058,Metrik!$C$2:$Y$959,8,0)</f>
        <v>10</v>
      </c>
      <c r="I1058" s="20">
        <f>VLOOKUP(A1058,Metrik!$C$2:$Y$959,9,0)</f>
        <v>1.4</v>
      </c>
      <c r="J1058" s="20">
        <f>VLOOKUP(A1058,Metrik!$C$2:$Y$959,10,0)</f>
        <v>14.1</v>
      </c>
      <c r="K1058" s="20">
        <f>VLOOKUP(A1058,Metrik!$C$2:$Y$959,11,0)</f>
        <v>11.3</v>
      </c>
      <c r="L1058" s="20">
        <f>VLOOKUP(A1058,Metrik!$C$2:$Y$959,12,0)</f>
        <v>0.24</v>
      </c>
      <c r="M1058" s="20">
        <f>VLOOKUP(A1058,Metrik!$C$2:$Y$959,19,0)</f>
        <v>37.4</v>
      </c>
      <c r="N1058" s="21"/>
      <c r="O1058" s="21"/>
      <c r="P1058" s="21"/>
      <c r="Q1058" s="21"/>
      <c r="R1058" s="21"/>
      <c r="S1058" s="21"/>
      <c r="T1058" s="21"/>
      <c r="U1058" s="22">
        <f>IFERROR(__xludf.DUMMYFUNCTION("IFERROR(GOOGLEFINANCE(A1058,""closeyest""),"""")"),725.0)</f>
        <v>725</v>
      </c>
      <c r="V1058" s="23">
        <f>IFERROR(__xludf.DUMMYFUNCTION("IFERROR(GOOGLEFINANCE(A1058,""changepct""),"""")"),2.07)</f>
        <v>2.07</v>
      </c>
      <c r="W1058" s="22">
        <f>IFERROR(__xludf.DUMMYFUNCTION("IFERROR(GOOGLEFINANCE(A1058,""priceopen""),"""")"),760.0)</f>
        <v>760</v>
      </c>
      <c r="X1058" s="22">
        <f>IFERROR(__xludf.DUMMYFUNCTION("IFERROR(GOOGLEFINANCE(A1058,""high""),"""")"),760.0)</f>
        <v>760</v>
      </c>
      <c r="Y1058" s="22">
        <f>IFERROR(__xludf.DUMMYFUNCTION("IFERROR(GOOGLEFINANCE(A1058,""low""),"""")"),715.0)</f>
        <v>715</v>
      </c>
      <c r="Z1058" s="22">
        <f>IFERROR(__xludf.DUMMYFUNCTION("IFERROR(GOOGLEFINANCE(A1058,""volume""),"""")"),9.27412E7)</f>
        <v>92741200</v>
      </c>
      <c r="AA1058" s="24" t="str">
        <f>VLOOKUP(A1058,Metrik!$C$2:$Y$959,5,0)</f>
        <v>Pharmaceuticals</v>
      </c>
      <c r="AB1058" s="24" t="str">
        <f>VLOOKUP(A1058,Metrik!$C$2:$Y$959,3,0)</f>
        <v>Healthcare</v>
      </c>
    </row>
    <row r="1059">
      <c r="A1059" s="14" t="s">
        <v>553</v>
      </c>
      <c r="B1059" s="14" t="str">
        <f t="array" ref="B1059">VLOOKUP(A1059,{Metrik!$C$2:$C$998,Metrik!$B$2:$B$998},2,0)</f>
        <v>Kalbe Farma Tbk.</v>
      </c>
      <c r="C1059" s="15">
        <f>IFERROR(__xludf.DUMMYFUNCTION("GOOGLEFINANCE(""IDX:""&amp;A1059,""price"")"),740.0)</f>
        <v>740</v>
      </c>
      <c r="D1059" s="16" t="str">
        <f>IFERROR(__xludf.DUMMYFUNCTION("IF(A1059="""","""",
SPARKLINE(
INDEX(
GOOGLEFINANCE(""IDX:""&amp;A1059,""close"",TODAY()-365,TODAY()),
,2
),
{""linewidth"",1}
))
"),"#N/A")</f>
        <v>#N/A</v>
      </c>
      <c r="E1059" s="14" t="s">
        <v>102</v>
      </c>
      <c r="F1059" s="27" t="s">
        <v>53</v>
      </c>
      <c r="G1059" s="18">
        <f t="shared" si="7"/>
        <v>17</v>
      </c>
      <c r="H1059" s="19">
        <f>VLOOKUP(A1059,Metrik!$C$2:$Y$959,8,0)</f>
        <v>10</v>
      </c>
      <c r="I1059" s="20">
        <f>VLOOKUP(A1059,Metrik!$C$2:$Y$959,9,0)</f>
        <v>1.4</v>
      </c>
      <c r="J1059" s="20">
        <f>VLOOKUP(A1059,Metrik!$C$2:$Y$959,10,0)</f>
        <v>14.1</v>
      </c>
      <c r="K1059" s="20">
        <f>VLOOKUP(A1059,Metrik!$C$2:$Y$959,11,0)</f>
        <v>11.3</v>
      </c>
      <c r="L1059" s="20">
        <f>VLOOKUP(A1059,Metrik!$C$2:$Y$959,12,0)</f>
        <v>0.24</v>
      </c>
      <c r="M1059" s="20">
        <f>VLOOKUP(A1059,Metrik!$C$2:$Y$959,19,0)</f>
        <v>37.4</v>
      </c>
      <c r="N1059" s="21"/>
      <c r="O1059" s="21"/>
      <c r="P1059" s="21"/>
      <c r="Q1059" s="21"/>
      <c r="R1059" s="21"/>
      <c r="S1059" s="21"/>
      <c r="T1059" s="21"/>
      <c r="U1059" s="22">
        <f>IFERROR(__xludf.DUMMYFUNCTION("IFERROR(GOOGLEFINANCE(A1059,""closeyest""),"""")"),725.0)</f>
        <v>725</v>
      </c>
      <c r="V1059" s="23">
        <f>IFERROR(__xludf.DUMMYFUNCTION("IFERROR(GOOGLEFINANCE(A1059,""changepct""),"""")"),2.07)</f>
        <v>2.07</v>
      </c>
      <c r="W1059" s="22">
        <f>IFERROR(__xludf.DUMMYFUNCTION("IFERROR(GOOGLEFINANCE(A1059,""priceopen""),"""")"),760.0)</f>
        <v>760</v>
      </c>
      <c r="X1059" s="22">
        <f>IFERROR(__xludf.DUMMYFUNCTION("IFERROR(GOOGLEFINANCE(A1059,""high""),"""")"),760.0)</f>
        <v>760</v>
      </c>
      <c r="Y1059" s="22">
        <f>IFERROR(__xludf.DUMMYFUNCTION("IFERROR(GOOGLEFINANCE(A1059,""low""),"""")"),715.0)</f>
        <v>715</v>
      </c>
      <c r="Z1059" s="22">
        <f>IFERROR(__xludf.DUMMYFUNCTION("IFERROR(GOOGLEFINANCE(A1059,""volume""),"""")"),9.27412E7)</f>
        <v>92741200</v>
      </c>
      <c r="AA1059" s="24" t="str">
        <f>VLOOKUP(A1059,Metrik!$C$2:$Y$959,5,0)</f>
        <v>Pharmaceuticals</v>
      </c>
      <c r="AB1059" s="24" t="str">
        <f>VLOOKUP(A1059,Metrik!$C$2:$Y$959,3,0)</f>
        <v>Healthcare</v>
      </c>
    </row>
    <row r="1060">
      <c r="A1060" s="14" t="s">
        <v>553</v>
      </c>
      <c r="B1060" s="14" t="str">
        <f t="array" ref="B1060">VLOOKUP(A1060,{Metrik!$C$2:$C$998,Metrik!$B$2:$B$998},2,0)</f>
        <v>Kalbe Farma Tbk.</v>
      </c>
      <c r="C1060" s="15">
        <f>IFERROR(__xludf.DUMMYFUNCTION("GOOGLEFINANCE(""IDX:""&amp;A1060,""price"")"),740.0)</f>
        <v>740</v>
      </c>
      <c r="D1060" s="16" t="str">
        <f>IFERROR(__xludf.DUMMYFUNCTION("IF(A1060="""","""",
SPARKLINE(
INDEX(
GOOGLEFINANCE(""IDX:""&amp;A1060,""close"",TODAY()-365,TODAY()),
,2
),
{""linewidth"",1}
))
"),"#N/A")</f>
        <v>#N/A</v>
      </c>
      <c r="E1060" s="14" t="s">
        <v>32</v>
      </c>
      <c r="F1060" s="14" t="s">
        <v>29</v>
      </c>
      <c r="G1060" s="18">
        <f t="shared" si="7"/>
        <v>17</v>
      </c>
      <c r="H1060" s="19">
        <f>VLOOKUP(A1060,Metrik!$C$2:$Y$959,8,0)</f>
        <v>10</v>
      </c>
      <c r="I1060" s="20">
        <f>VLOOKUP(A1060,Metrik!$C$2:$Y$959,9,0)</f>
        <v>1.4</v>
      </c>
      <c r="J1060" s="20">
        <f>VLOOKUP(A1060,Metrik!$C$2:$Y$959,10,0)</f>
        <v>14.1</v>
      </c>
      <c r="K1060" s="20">
        <f>VLOOKUP(A1060,Metrik!$C$2:$Y$959,11,0)</f>
        <v>11.3</v>
      </c>
      <c r="L1060" s="20">
        <f>VLOOKUP(A1060,Metrik!$C$2:$Y$959,12,0)</f>
        <v>0.24</v>
      </c>
      <c r="M1060" s="20">
        <f>VLOOKUP(A1060,Metrik!$C$2:$Y$959,19,0)</f>
        <v>37.4</v>
      </c>
      <c r="N1060" s="21"/>
      <c r="O1060" s="21"/>
      <c r="P1060" s="21"/>
      <c r="Q1060" s="21"/>
      <c r="R1060" s="21"/>
      <c r="S1060" s="21"/>
      <c r="T1060" s="21"/>
      <c r="U1060" s="22">
        <f>IFERROR(__xludf.DUMMYFUNCTION("IFERROR(GOOGLEFINANCE(A1060,""closeyest""),"""")"),725.0)</f>
        <v>725</v>
      </c>
      <c r="V1060" s="23">
        <f>IFERROR(__xludf.DUMMYFUNCTION("IFERROR(GOOGLEFINANCE(A1060,""changepct""),"""")"),2.07)</f>
        <v>2.07</v>
      </c>
      <c r="W1060" s="22">
        <f>IFERROR(__xludf.DUMMYFUNCTION("IFERROR(GOOGLEFINANCE(A1060,""priceopen""),"""")"),760.0)</f>
        <v>760</v>
      </c>
      <c r="X1060" s="22">
        <f>IFERROR(__xludf.DUMMYFUNCTION("IFERROR(GOOGLEFINANCE(A1060,""high""),"""")"),760.0)</f>
        <v>760</v>
      </c>
      <c r="Y1060" s="22">
        <f>IFERROR(__xludf.DUMMYFUNCTION("IFERROR(GOOGLEFINANCE(A1060,""low""),"""")"),715.0)</f>
        <v>715</v>
      </c>
      <c r="Z1060" s="22">
        <f>IFERROR(__xludf.DUMMYFUNCTION("IFERROR(GOOGLEFINANCE(A1060,""volume""),"""")"),9.27412E7)</f>
        <v>92741200</v>
      </c>
      <c r="AA1060" s="24" t="str">
        <f>VLOOKUP(A1060,Metrik!$C$2:$Y$959,5,0)</f>
        <v>Pharmaceuticals</v>
      </c>
      <c r="AB1060" s="24" t="str">
        <f>VLOOKUP(A1060,Metrik!$C$2:$Y$959,3,0)</f>
        <v>Healthcare</v>
      </c>
    </row>
    <row r="1061">
      <c r="A1061" s="14" t="s">
        <v>553</v>
      </c>
      <c r="B1061" s="14" t="str">
        <f t="array" ref="B1061">VLOOKUP(A1061,{Metrik!$C$2:$C$998,Metrik!$B$2:$B$998},2,0)</f>
        <v>Kalbe Farma Tbk.</v>
      </c>
      <c r="C1061" s="15">
        <f>IFERROR(__xludf.DUMMYFUNCTION("GOOGLEFINANCE(""IDX:""&amp;A1061,""price"")"),740.0)</f>
        <v>740</v>
      </c>
      <c r="D1061" s="16" t="str">
        <f>IFERROR(__xludf.DUMMYFUNCTION("IF(A1061="""","""",
SPARKLINE(
INDEX(
GOOGLEFINANCE(""IDX:""&amp;A1061,""close"",TODAY()-365,TODAY()),
,2
),
{""linewidth"",1}
))
"),"#N/A")</f>
        <v>#N/A</v>
      </c>
      <c r="E1061" s="14" t="s">
        <v>54</v>
      </c>
      <c r="F1061" s="14" t="s">
        <v>34</v>
      </c>
      <c r="G1061" s="18">
        <f t="shared" si="7"/>
        <v>17</v>
      </c>
      <c r="H1061" s="19">
        <f>VLOOKUP(A1061,Metrik!$C$2:$Y$959,8,0)</f>
        <v>10</v>
      </c>
      <c r="I1061" s="20">
        <f>VLOOKUP(A1061,Metrik!$C$2:$Y$959,9,0)</f>
        <v>1.4</v>
      </c>
      <c r="J1061" s="20">
        <f>VLOOKUP(A1061,Metrik!$C$2:$Y$959,10,0)</f>
        <v>14.1</v>
      </c>
      <c r="K1061" s="20">
        <f>VLOOKUP(A1061,Metrik!$C$2:$Y$959,11,0)</f>
        <v>11.3</v>
      </c>
      <c r="L1061" s="20">
        <f>VLOOKUP(A1061,Metrik!$C$2:$Y$959,12,0)</f>
        <v>0.24</v>
      </c>
      <c r="M1061" s="20">
        <f>VLOOKUP(A1061,Metrik!$C$2:$Y$959,19,0)</f>
        <v>37.4</v>
      </c>
      <c r="N1061" s="21"/>
      <c r="O1061" s="21"/>
      <c r="P1061" s="21"/>
      <c r="Q1061" s="21"/>
      <c r="R1061" s="21"/>
      <c r="S1061" s="21"/>
      <c r="T1061" s="21"/>
      <c r="U1061" s="22">
        <f>IFERROR(__xludf.DUMMYFUNCTION("IFERROR(GOOGLEFINANCE(A1061,""closeyest""),"""")"),725.0)</f>
        <v>725</v>
      </c>
      <c r="V1061" s="23">
        <f>IFERROR(__xludf.DUMMYFUNCTION("IFERROR(GOOGLEFINANCE(A1061,""changepct""),"""")"),2.07)</f>
        <v>2.07</v>
      </c>
      <c r="W1061" s="22">
        <f>IFERROR(__xludf.DUMMYFUNCTION("IFERROR(GOOGLEFINANCE(A1061,""priceopen""),"""")"),760.0)</f>
        <v>760</v>
      </c>
      <c r="X1061" s="22">
        <f>IFERROR(__xludf.DUMMYFUNCTION("IFERROR(GOOGLEFINANCE(A1061,""high""),"""")"),760.0)</f>
        <v>760</v>
      </c>
      <c r="Y1061" s="22">
        <f>IFERROR(__xludf.DUMMYFUNCTION("IFERROR(GOOGLEFINANCE(A1061,""low""),"""")"),715.0)</f>
        <v>715</v>
      </c>
      <c r="Z1061" s="22">
        <f>IFERROR(__xludf.DUMMYFUNCTION("IFERROR(GOOGLEFINANCE(A1061,""volume""),"""")"),9.27412E7)</f>
        <v>92741200</v>
      </c>
      <c r="AA1061" s="24" t="str">
        <f>VLOOKUP(A1061,Metrik!$C$2:$Y$959,5,0)</f>
        <v>Pharmaceuticals</v>
      </c>
      <c r="AB1061" s="24" t="str">
        <f>VLOOKUP(A1061,Metrik!$C$2:$Y$959,3,0)</f>
        <v>Healthcare</v>
      </c>
    </row>
    <row r="1062">
      <c r="A1062" s="48" t="s">
        <v>553</v>
      </c>
      <c r="B1062" s="14" t="str">
        <f t="array" ref="B1062">VLOOKUP(A1062,{Metrik!$C$2:$C$998,Metrik!$B$2:$B$998},2,0)</f>
        <v>Kalbe Farma Tbk.</v>
      </c>
      <c r="C1062" s="15">
        <f>IFERROR(__xludf.DUMMYFUNCTION("GOOGLEFINANCE(""IDX:""&amp;A1062,""price"")"),740.0)</f>
        <v>740</v>
      </c>
      <c r="D1062" s="16" t="str">
        <f>IFERROR(__xludf.DUMMYFUNCTION("IF(A1062="""","""",
SPARKLINE(
INDEX(
GOOGLEFINANCE(""IDX:""&amp;A1062,""close"",TODAY()-365,TODAY()),
,2
),
{""linewidth"",1}
))
"),"#N/A")</f>
        <v>#N/A</v>
      </c>
      <c r="E1062" s="17" t="s">
        <v>69</v>
      </c>
      <c r="F1062" s="17" t="s">
        <v>70</v>
      </c>
      <c r="G1062" s="24">
        <f t="shared" si="7"/>
        <v>17</v>
      </c>
      <c r="H1062" s="19">
        <f>VLOOKUP(A1062,Metrik!$C$2:$Y$959,8,0)</f>
        <v>10</v>
      </c>
      <c r="I1062" s="20">
        <f>VLOOKUP(A1062,Metrik!$C$2:$Y$959,9,0)</f>
        <v>1.4</v>
      </c>
      <c r="J1062" s="20">
        <f>VLOOKUP(A1062,Metrik!$C$2:$Y$959,10,0)</f>
        <v>14.1</v>
      </c>
      <c r="K1062" s="20">
        <f>VLOOKUP(A1062,Metrik!$C$2:$Y$959,11,0)</f>
        <v>11.3</v>
      </c>
      <c r="L1062" s="20">
        <f>VLOOKUP(A1062,Metrik!$C$2:$Y$959,12,0)</f>
        <v>0.24</v>
      </c>
      <c r="M1062" s="20">
        <f>VLOOKUP(A1062,Metrik!$C$2:$Y$959,19,0)</f>
        <v>37.4</v>
      </c>
      <c r="N1062" s="21"/>
      <c r="O1062" s="21"/>
      <c r="P1062" s="21"/>
      <c r="Q1062" s="21"/>
      <c r="R1062" s="21"/>
      <c r="S1062" s="21"/>
      <c r="T1062" s="21"/>
      <c r="U1062" s="22">
        <f>IFERROR(__xludf.DUMMYFUNCTION("IFERROR(GOOGLEFINANCE(A1062,""closeyest""),"""")"),725.0)</f>
        <v>725</v>
      </c>
      <c r="V1062" s="23">
        <f>IFERROR(__xludf.DUMMYFUNCTION("IFERROR(GOOGLEFINANCE(A1062,""changepct""),"""")"),2.07)</f>
        <v>2.07</v>
      </c>
      <c r="W1062" s="22">
        <f>IFERROR(__xludf.DUMMYFUNCTION("IFERROR(GOOGLEFINANCE(A1062,""priceopen""),"""")"),760.0)</f>
        <v>760</v>
      </c>
      <c r="X1062" s="22">
        <f>IFERROR(__xludf.DUMMYFUNCTION("IFERROR(GOOGLEFINANCE(A1062,""high""),"""")"),760.0)</f>
        <v>760</v>
      </c>
      <c r="Y1062" s="22">
        <f>IFERROR(__xludf.DUMMYFUNCTION("IFERROR(GOOGLEFINANCE(A1062,""low""),"""")"),715.0)</f>
        <v>715</v>
      </c>
      <c r="Z1062" s="22">
        <f>IFERROR(__xludf.DUMMYFUNCTION("IFERROR(GOOGLEFINANCE(A1062,""volume""),"""")"),9.27412E7)</f>
        <v>92741200</v>
      </c>
      <c r="AA1062" s="24" t="str">
        <f>VLOOKUP(A1062,Metrik!$C$2:$Y$959,5,0)</f>
        <v>Pharmaceuticals</v>
      </c>
      <c r="AB1062" s="24" t="str">
        <f>VLOOKUP(A1062,Metrik!$C$2:$Y$959,3,0)</f>
        <v>Healthcare</v>
      </c>
    </row>
    <row r="1063">
      <c r="A1063" s="17" t="s">
        <v>553</v>
      </c>
      <c r="B1063" s="14" t="str">
        <f t="array" ref="B1063">VLOOKUP(A1063,{Metrik!$C$2:$C$998,Metrik!$B$2:$B$998},2,0)</f>
        <v>Kalbe Farma Tbk.</v>
      </c>
      <c r="C1063" s="15">
        <f>IFERROR(__xludf.DUMMYFUNCTION("GOOGLEFINANCE(""IDX:""&amp;A1063,""price"")"),740.0)</f>
        <v>740</v>
      </c>
      <c r="D1063" s="16" t="str">
        <f>IFERROR(__xludf.DUMMYFUNCTION("IF(A1063="""","""",
SPARKLINE(
INDEX(
GOOGLEFINANCE(""IDX:""&amp;A1063,""close"",TODAY()-365,TODAY()),
,2
),
{""linewidth"",1}
))
"),"#N/A")</f>
        <v>#N/A</v>
      </c>
      <c r="E1063" s="14" t="s">
        <v>35</v>
      </c>
      <c r="F1063" s="17" t="s">
        <v>36</v>
      </c>
      <c r="G1063" s="38">
        <f t="shared" si="7"/>
        <v>17</v>
      </c>
      <c r="H1063" s="34">
        <f>VLOOKUP(A1063,Metrik!$C$2:$Y$959,8,0)</f>
        <v>10</v>
      </c>
      <c r="I1063" s="34">
        <f>VLOOKUP(A1063,Metrik!$C$2:$Y$959,9,0)</f>
        <v>1.4</v>
      </c>
      <c r="J1063" s="34">
        <f>VLOOKUP(A1063,Metrik!$C$2:$Y$959,10,0)</f>
        <v>14.1</v>
      </c>
      <c r="K1063" s="34">
        <f>VLOOKUP(A1063,Metrik!$C$2:$Y$959,11,0)</f>
        <v>11.3</v>
      </c>
      <c r="L1063" s="34">
        <f>VLOOKUP(A1063,Metrik!$C$2:$Y$959,12,0)</f>
        <v>0.24</v>
      </c>
      <c r="M1063" s="34">
        <f>VLOOKUP(A1063,Metrik!$C$2:$Y$959,19,0)</f>
        <v>37.4</v>
      </c>
      <c r="N1063" s="45"/>
      <c r="O1063" s="45"/>
      <c r="P1063" s="45"/>
      <c r="Q1063" s="45"/>
      <c r="R1063" s="45"/>
      <c r="S1063" s="45"/>
      <c r="T1063" s="45"/>
      <c r="U1063" s="35">
        <f>IFERROR(__xludf.DUMMYFUNCTION("IFERROR(GOOGLEFINANCE(A1063,""closeyest""),"""")"),725.0)</f>
        <v>725</v>
      </c>
      <c r="V1063" s="36">
        <f>IFERROR(__xludf.DUMMYFUNCTION("IFERROR(GOOGLEFINANCE(A1063,""changepct""),"""")"),2.07)</f>
        <v>2.07</v>
      </c>
      <c r="W1063" s="35">
        <f>IFERROR(__xludf.DUMMYFUNCTION("IFERROR(GOOGLEFINANCE(A1063,""priceopen""),"""")"),760.0)</f>
        <v>760</v>
      </c>
      <c r="X1063" s="35">
        <f>IFERROR(__xludf.DUMMYFUNCTION("IFERROR(GOOGLEFINANCE(A1063,""high""),"""")"),760.0)</f>
        <v>760</v>
      </c>
      <c r="Y1063" s="35">
        <f>IFERROR(__xludf.DUMMYFUNCTION("IFERROR(GOOGLEFINANCE(A1063,""low""),"""")"),715.0)</f>
        <v>715</v>
      </c>
      <c r="Z1063" s="35">
        <f>IFERROR(__xludf.DUMMYFUNCTION("IFERROR(GOOGLEFINANCE(A1063,""volume""),"""")"),9.27412E7)</f>
        <v>92741200</v>
      </c>
      <c r="AA1063" s="14" t="str">
        <f>VLOOKUP(A1063,Metrik!$C$2:$Y$959,5,0)</f>
        <v>Pharmaceuticals</v>
      </c>
      <c r="AB1063" s="14" t="str">
        <f>VLOOKUP(A1063,Metrik!$C$2:$Y$959,3,0)</f>
        <v>Healthcare</v>
      </c>
    </row>
    <row r="1064">
      <c r="A1064" s="14" t="s">
        <v>553</v>
      </c>
      <c r="B1064" s="14" t="str">
        <f t="array" ref="B1064">VLOOKUP(A1064,{Metrik!$C$2:$C$998,Metrik!$B$2:$B$998},2,0)</f>
        <v>Kalbe Farma Tbk.</v>
      </c>
      <c r="C1064" s="15">
        <f>IFERROR(__xludf.DUMMYFUNCTION("GOOGLEFINANCE(""IDX:""&amp;A1064,""price"")"),740.0)</f>
        <v>740</v>
      </c>
      <c r="D1064" s="16" t="str">
        <f>IFERROR(__xludf.DUMMYFUNCTION("IF(A1064="""","""",
SPARKLINE(
INDEX(
GOOGLEFINANCE(""IDX:""&amp;A1064,""close"",TODAY()-365,TODAY()),
,2
),
{""linewidth"",1}
))
"),"#N/A")</f>
        <v>#N/A</v>
      </c>
      <c r="E1064" s="14" t="s">
        <v>86</v>
      </c>
      <c r="F1064" s="25">
        <v>46356.0</v>
      </c>
      <c r="G1064" s="18">
        <f t="shared" si="7"/>
        <v>17</v>
      </c>
      <c r="H1064" s="19">
        <f>VLOOKUP(A1064,Metrik!$C$2:$Y$959,8,0)</f>
        <v>10</v>
      </c>
      <c r="I1064" s="20">
        <f>VLOOKUP(A1064,Metrik!$C$2:$Y$959,9,0)</f>
        <v>1.4</v>
      </c>
      <c r="J1064" s="20">
        <f>VLOOKUP(A1064,Metrik!$C$2:$Y$959,10,0)</f>
        <v>14.1</v>
      </c>
      <c r="K1064" s="20">
        <f>VLOOKUP(A1064,Metrik!$C$2:$Y$959,11,0)</f>
        <v>11.3</v>
      </c>
      <c r="L1064" s="20">
        <f>VLOOKUP(A1064,Metrik!$C$2:$Y$959,12,0)</f>
        <v>0.24</v>
      </c>
      <c r="M1064" s="20">
        <f>VLOOKUP(A1064,Metrik!$C$2:$Y$959,19,0)</f>
        <v>37.4</v>
      </c>
      <c r="N1064" s="21"/>
      <c r="O1064" s="21"/>
      <c r="P1064" s="21"/>
      <c r="Q1064" s="21"/>
      <c r="R1064" s="21"/>
      <c r="S1064" s="21"/>
      <c r="T1064" s="21"/>
      <c r="U1064" s="22">
        <f>IFERROR(__xludf.DUMMYFUNCTION("IFERROR(GOOGLEFINANCE(A1064,""closeyest""),"""")"),725.0)</f>
        <v>725</v>
      </c>
      <c r="V1064" s="23">
        <f>IFERROR(__xludf.DUMMYFUNCTION("IFERROR(GOOGLEFINANCE(A1064,""changepct""),"""")"),2.07)</f>
        <v>2.07</v>
      </c>
      <c r="W1064" s="22">
        <f>IFERROR(__xludf.DUMMYFUNCTION("IFERROR(GOOGLEFINANCE(A1064,""priceopen""),"""")"),760.0)</f>
        <v>760</v>
      </c>
      <c r="X1064" s="22">
        <f>IFERROR(__xludf.DUMMYFUNCTION("IFERROR(GOOGLEFINANCE(A1064,""high""),"""")"),760.0)</f>
        <v>760</v>
      </c>
      <c r="Y1064" s="22">
        <f>IFERROR(__xludf.DUMMYFUNCTION("IFERROR(GOOGLEFINANCE(A1064,""low""),"""")"),715.0)</f>
        <v>715</v>
      </c>
      <c r="Z1064" s="22">
        <f>IFERROR(__xludf.DUMMYFUNCTION("IFERROR(GOOGLEFINANCE(A1064,""volume""),"""")"),9.27412E7)</f>
        <v>92741200</v>
      </c>
      <c r="AA1064" s="24" t="str">
        <f>VLOOKUP(A1064,Metrik!$C$2:$Y$959,5,0)</f>
        <v>Pharmaceuticals</v>
      </c>
      <c r="AB1064" s="24" t="str">
        <f>VLOOKUP(A1064,Metrik!$C$2:$Y$959,3,0)</f>
        <v>Healthcare</v>
      </c>
    </row>
    <row r="1065">
      <c r="A1065" s="14" t="s">
        <v>553</v>
      </c>
      <c r="B1065" s="14" t="str">
        <f t="array" ref="B1065">VLOOKUP(A1065,{Metrik!$C$2:$C$998,Metrik!$B$2:$B$998},2,0)</f>
        <v>Kalbe Farma Tbk.</v>
      </c>
      <c r="C1065" s="15">
        <f>IFERROR(__xludf.DUMMYFUNCTION("GOOGLEFINANCE(""IDX:""&amp;A1065,""price"")"),740.0)</f>
        <v>740</v>
      </c>
      <c r="D1065" s="16" t="str">
        <f>IFERROR(__xludf.DUMMYFUNCTION("IF(A1065="""","""",
SPARKLINE(
INDEX(
GOOGLEFINANCE(""IDX:""&amp;A1065,""close"",TODAY()-365,TODAY()),
,2
),
{""linewidth"",1}
))
"),"#N/A")</f>
        <v>#N/A</v>
      </c>
      <c r="E1065" s="14" t="s">
        <v>38</v>
      </c>
      <c r="F1065" s="25">
        <v>46356.0</v>
      </c>
      <c r="G1065" s="18">
        <f t="shared" si="7"/>
        <v>17</v>
      </c>
      <c r="H1065" s="19">
        <f>VLOOKUP(A1065,Metrik!$C$2:$Y$959,8,0)</f>
        <v>10</v>
      </c>
      <c r="I1065" s="20">
        <f>VLOOKUP(A1065,Metrik!$C$2:$Y$959,9,0)</f>
        <v>1.4</v>
      </c>
      <c r="J1065" s="20">
        <f>VLOOKUP(A1065,Metrik!$C$2:$Y$959,10,0)</f>
        <v>14.1</v>
      </c>
      <c r="K1065" s="20">
        <f>VLOOKUP(A1065,Metrik!$C$2:$Y$959,11,0)</f>
        <v>11.3</v>
      </c>
      <c r="L1065" s="20">
        <f>VLOOKUP(A1065,Metrik!$C$2:$Y$959,12,0)</f>
        <v>0.24</v>
      </c>
      <c r="M1065" s="20">
        <f>VLOOKUP(A1065,Metrik!$C$2:$Y$959,19,0)</f>
        <v>37.4</v>
      </c>
      <c r="N1065" s="21"/>
      <c r="O1065" s="21"/>
      <c r="P1065" s="21"/>
      <c r="Q1065" s="21"/>
      <c r="R1065" s="21"/>
      <c r="S1065" s="21"/>
      <c r="T1065" s="21"/>
      <c r="U1065" s="22">
        <f>IFERROR(__xludf.DUMMYFUNCTION("IFERROR(GOOGLEFINANCE(A1065,""closeyest""),"""")"),725.0)</f>
        <v>725</v>
      </c>
      <c r="V1065" s="23">
        <f>IFERROR(__xludf.DUMMYFUNCTION("IFERROR(GOOGLEFINANCE(A1065,""changepct""),"""")"),2.07)</f>
        <v>2.07</v>
      </c>
      <c r="W1065" s="22">
        <f>IFERROR(__xludf.DUMMYFUNCTION("IFERROR(GOOGLEFINANCE(A1065,""priceopen""),"""")"),760.0)</f>
        <v>760</v>
      </c>
      <c r="X1065" s="22">
        <f>IFERROR(__xludf.DUMMYFUNCTION("IFERROR(GOOGLEFINANCE(A1065,""high""),"""")"),760.0)</f>
        <v>760</v>
      </c>
      <c r="Y1065" s="22">
        <f>IFERROR(__xludf.DUMMYFUNCTION("IFERROR(GOOGLEFINANCE(A1065,""low""),"""")"),715.0)</f>
        <v>715</v>
      </c>
      <c r="Z1065" s="22">
        <f>IFERROR(__xludf.DUMMYFUNCTION("IFERROR(GOOGLEFINANCE(A1065,""volume""),"""")"),9.27412E7)</f>
        <v>92741200</v>
      </c>
      <c r="AA1065" s="24" t="str">
        <f>VLOOKUP(A1065,Metrik!$C$2:$Y$959,5,0)</f>
        <v>Pharmaceuticals</v>
      </c>
      <c r="AB1065" s="24" t="str">
        <f>VLOOKUP(A1065,Metrik!$C$2:$Y$959,3,0)</f>
        <v>Healthcare</v>
      </c>
    </row>
    <row r="1066">
      <c r="A1066" s="14" t="s">
        <v>553</v>
      </c>
      <c r="B1066" s="14" t="str">
        <f t="array" ref="B1066">VLOOKUP(A1066,{Metrik!$C$2:$C$998,Metrik!$B$2:$B$998},2,0)</f>
        <v>Kalbe Farma Tbk.</v>
      </c>
      <c r="C1066" s="15">
        <f>IFERROR(__xludf.DUMMYFUNCTION("GOOGLEFINANCE(""IDX:""&amp;A1066,""price"")"),740.0)</f>
        <v>740</v>
      </c>
      <c r="D1066" s="16" t="str">
        <f>IFERROR(__xludf.DUMMYFUNCTION("IF(A1066="""","""",
SPARKLINE(
INDEX(
GOOGLEFINANCE(""IDX:""&amp;A1066,""close"",TODAY()-365,TODAY()),
,2
),
{""linewidth"",1}
))
"),"#N/A")</f>
        <v>#N/A</v>
      </c>
      <c r="E1066" s="14" t="s">
        <v>39</v>
      </c>
      <c r="F1066" s="25">
        <v>46356.0</v>
      </c>
      <c r="G1066" s="18">
        <f t="shared" si="7"/>
        <v>17</v>
      </c>
      <c r="H1066" s="19">
        <f>VLOOKUP(A1066,Metrik!$C$2:$Y$959,8,0)</f>
        <v>10</v>
      </c>
      <c r="I1066" s="20">
        <f>VLOOKUP(A1066,Metrik!$C$2:$Y$959,9,0)</f>
        <v>1.4</v>
      </c>
      <c r="J1066" s="20">
        <f>VLOOKUP(A1066,Metrik!$C$2:$Y$959,10,0)</f>
        <v>14.1</v>
      </c>
      <c r="K1066" s="20">
        <f>VLOOKUP(A1066,Metrik!$C$2:$Y$959,11,0)</f>
        <v>11.3</v>
      </c>
      <c r="L1066" s="20">
        <f>VLOOKUP(A1066,Metrik!$C$2:$Y$959,12,0)</f>
        <v>0.24</v>
      </c>
      <c r="M1066" s="20">
        <f>VLOOKUP(A1066,Metrik!$C$2:$Y$959,19,0)</f>
        <v>37.4</v>
      </c>
      <c r="N1066" s="21"/>
      <c r="O1066" s="21"/>
      <c r="P1066" s="21"/>
      <c r="Q1066" s="21"/>
      <c r="R1066" s="21"/>
      <c r="S1066" s="21"/>
      <c r="T1066" s="21"/>
      <c r="U1066" s="22">
        <f>IFERROR(__xludf.DUMMYFUNCTION("IFERROR(GOOGLEFINANCE(A1066,""closeyest""),"""")"),725.0)</f>
        <v>725</v>
      </c>
      <c r="V1066" s="23">
        <f>IFERROR(__xludf.DUMMYFUNCTION("IFERROR(GOOGLEFINANCE(A1066,""changepct""),"""")"),2.07)</f>
        <v>2.07</v>
      </c>
      <c r="W1066" s="22">
        <f>IFERROR(__xludf.DUMMYFUNCTION("IFERROR(GOOGLEFINANCE(A1066,""priceopen""),"""")"),760.0)</f>
        <v>760</v>
      </c>
      <c r="X1066" s="22">
        <f>IFERROR(__xludf.DUMMYFUNCTION("IFERROR(GOOGLEFINANCE(A1066,""high""),"""")"),760.0)</f>
        <v>760</v>
      </c>
      <c r="Y1066" s="22">
        <f>IFERROR(__xludf.DUMMYFUNCTION("IFERROR(GOOGLEFINANCE(A1066,""low""),"""")"),715.0)</f>
        <v>715</v>
      </c>
      <c r="Z1066" s="22">
        <f>IFERROR(__xludf.DUMMYFUNCTION("IFERROR(GOOGLEFINANCE(A1066,""volume""),"""")"),9.27412E7)</f>
        <v>92741200</v>
      </c>
      <c r="AA1066" s="24" t="str">
        <f>VLOOKUP(A1066,Metrik!$C$2:$Y$959,5,0)</f>
        <v>Pharmaceuticals</v>
      </c>
      <c r="AB1066" s="24" t="str">
        <f>VLOOKUP(A1066,Metrik!$C$2:$Y$959,3,0)</f>
        <v>Healthcare</v>
      </c>
    </row>
    <row r="1067">
      <c r="A1067" s="14" t="s">
        <v>554</v>
      </c>
      <c r="B1067" s="14" t="str">
        <f t="array" ref="B1067">VLOOKUP(A1067,{Metrik!$C$2:$C$998,Metrik!$B$2:$B$998},2,0)</f>
        <v>Klinko Karya Imaji Tbk.</v>
      </c>
      <c r="C1067" s="15">
        <f>IFERROR(__xludf.DUMMYFUNCTION("GOOGLEFINANCE(""IDX:""&amp;A1067,""price"")"),102.0)</f>
        <v>102</v>
      </c>
      <c r="D1067" s="16" t="str">
        <f>IFERROR(__xludf.DUMMYFUNCTION("IF(A1067="""","""",
SPARKLINE(
INDEX(
GOOGLEFINANCE(""IDX:""&amp;A1067,""close"",TODAY()-365,TODAY()),
,2
),
{""linewidth"",1}
))
"),"#N/A")</f>
        <v>#N/A</v>
      </c>
      <c r="E1067" s="26"/>
      <c r="F1067" s="26"/>
      <c r="G1067" s="24">
        <f t="shared" si="7"/>
        <v>0</v>
      </c>
      <c r="H1067" s="19">
        <f>VLOOKUP(A1067,Metrik!$C$2:$Y$959,8,0)</f>
        <v>-35</v>
      </c>
      <c r="I1067" s="20">
        <f>VLOOKUP(A1067,Metrik!$C$2:$Y$959,9,0)</f>
        <v>5.2</v>
      </c>
      <c r="J1067" s="20">
        <f>VLOOKUP(A1067,Metrik!$C$2:$Y$959,10,0)</f>
        <v>-15</v>
      </c>
      <c r="K1067" s="20">
        <f>VLOOKUP(A1067,Metrik!$C$2:$Y$959,11,0)</f>
        <v>-14.2</v>
      </c>
      <c r="L1067" s="20">
        <f>VLOOKUP(A1067,Metrik!$C$2:$Y$959,12,0)</f>
        <v>0.05</v>
      </c>
      <c r="M1067" s="20">
        <f>VLOOKUP(A1067,Metrik!$C$2:$Y$959,19,0)</f>
        <v>-54.8</v>
      </c>
      <c r="N1067" s="21"/>
      <c r="O1067" s="21"/>
      <c r="P1067" s="21"/>
      <c r="Q1067" s="21"/>
      <c r="R1067" s="21"/>
      <c r="S1067" s="21"/>
      <c r="T1067" s="21"/>
      <c r="U1067" s="22">
        <f>IFERROR(__xludf.DUMMYFUNCTION("IFERROR(GOOGLEFINANCE(A1067,""closeyest""),"""")"),101.0)</f>
        <v>101</v>
      </c>
      <c r="V1067" s="23">
        <f>IFERROR(__xludf.DUMMYFUNCTION("IFERROR(GOOGLEFINANCE(A1067,""changepct""),"""")"),0.99)</f>
        <v>0.99</v>
      </c>
      <c r="W1067" s="22">
        <f>IFERROR(__xludf.DUMMYFUNCTION("IFERROR(GOOGLEFINANCE(A1067,""priceopen""),"""")"),102.0)</f>
        <v>102</v>
      </c>
      <c r="X1067" s="22">
        <f>IFERROR(__xludf.DUMMYFUNCTION("IFERROR(GOOGLEFINANCE(A1067,""high""),"""")"),103.0)</f>
        <v>103</v>
      </c>
      <c r="Y1067" s="22">
        <f>IFERROR(__xludf.DUMMYFUNCTION("IFERROR(GOOGLEFINANCE(A1067,""low""),"""")"),100.0)</f>
        <v>100</v>
      </c>
      <c r="Z1067" s="22">
        <f>IFERROR(__xludf.DUMMYFUNCTION("IFERROR(GOOGLEFINANCE(A1067,""volume""),"""")"),16400.0)</f>
        <v>16400</v>
      </c>
      <c r="AA1067" s="24" t="str">
        <f>VLOOKUP(A1067,Metrik!$C$2:$Y$959,5,0)</f>
        <v>Specialty Retail</v>
      </c>
      <c r="AB1067" s="24" t="str">
        <f>VLOOKUP(A1067,Metrik!$C$2:$Y$959,3,0)</f>
        <v>Consumer Cyclicals</v>
      </c>
    </row>
    <row r="1068">
      <c r="A1068" s="14" t="s">
        <v>555</v>
      </c>
      <c r="B1068" s="14" t="str">
        <f t="array" ref="B1068">VLOOKUP(A1068,{Metrik!$C$2:$C$998,Metrik!$B$2:$B$998},2,0)</f>
        <v>Kurniamitra Duta Sentosa Tbk.</v>
      </c>
      <c r="C1068" s="15">
        <f>IFERROR(__xludf.DUMMYFUNCTION("GOOGLEFINANCE(""IDX:""&amp;A1068,""price"")"),525.0)</f>
        <v>525</v>
      </c>
      <c r="D1068" s="16" t="str">
        <f>IFERROR(__xludf.DUMMYFUNCTION("IF(A1068="""","""",
SPARKLINE(
INDEX(
GOOGLEFINANCE(""IDX:""&amp;A1068,""close"",TODAY()-365,TODAY()),
,2
),
{""linewidth"",1}
))
"),"#N/A")</f>
        <v>#N/A</v>
      </c>
      <c r="E1068" s="26"/>
      <c r="F1068" s="26"/>
      <c r="G1068" s="18">
        <f t="shared" si="7"/>
        <v>0</v>
      </c>
      <c r="H1068" s="19">
        <f>VLOOKUP(A1068,Metrik!$C$2:$Y$959,8,0)</f>
        <v>8.2</v>
      </c>
      <c r="I1068" s="20">
        <f>VLOOKUP(A1068,Metrik!$C$2:$Y$959,9,0)</f>
        <v>1.7</v>
      </c>
      <c r="J1068" s="20">
        <f>VLOOKUP(A1068,Metrik!$C$2:$Y$959,10,0)</f>
        <v>20.3</v>
      </c>
      <c r="K1068" s="20">
        <f>VLOOKUP(A1068,Metrik!$C$2:$Y$959,11,0)</f>
        <v>16.6</v>
      </c>
      <c r="L1068" s="20">
        <f>VLOOKUP(A1068,Metrik!$C$2:$Y$959,12,0)</f>
        <v>0.22</v>
      </c>
      <c r="M1068" s="20">
        <f>VLOOKUP(A1068,Metrik!$C$2:$Y$959,19,0)</f>
        <v>50</v>
      </c>
      <c r="N1068" s="21"/>
      <c r="O1068" s="21"/>
      <c r="P1068" s="21"/>
      <c r="Q1068" s="21"/>
      <c r="R1068" s="21"/>
      <c r="S1068" s="21"/>
      <c r="T1068" s="21"/>
      <c r="U1068" s="22">
        <f>IFERROR(__xludf.DUMMYFUNCTION("IFERROR(GOOGLEFINANCE(A1068,""closeyest""),"""")"),525.0)</f>
        <v>525</v>
      </c>
      <c r="V1068" s="23">
        <f>IFERROR(__xludf.DUMMYFUNCTION("IFERROR(GOOGLEFINANCE(A1068,""changepct""),"""")"),0.0)</f>
        <v>0</v>
      </c>
      <c r="W1068" s="22">
        <f>IFERROR(__xludf.DUMMYFUNCTION("IFERROR(GOOGLEFINANCE(A1068,""priceopen""),"""")"),530.0)</f>
        <v>530</v>
      </c>
      <c r="X1068" s="22">
        <f>IFERROR(__xludf.DUMMYFUNCTION("IFERROR(GOOGLEFINANCE(A1068,""high""),"""")"),530.0)</f>
        <v>530</v>
      </c>
      <c r="Y1068" s="22">
        <f>IFERROR(__xludf.DUMMYFUNCTION("IFERROR(GOOGLEFINANCE(A1068,""low""),"""")"),510.0)</f>
        <v>510</v>
      </c>
      <c r="Z1068" s="22">
        <f>IFERROR(__xludf.DUMMYFUNCTION("IFERROR(GOOGLEFINANCE(A1068,""volume""),"""")"),51200.0)</f>
        <v>51200</v>
      </c>
      <c r="AA1068" s="24" t="str">
        <f>VLOOKUP(A1068,Metrik!$C$2:$Y$959,5,0)</f>
        <v>Food &amp; Staples Retailing</v>
      </c>
      <c r="AB1068" s="24" t="str">
        <f>VLOOKUP(A1068,Metrik!$C$2:$Y$959,3,0)</f>
        <v>Consumer Non-Cyclicals</v>
      </c>
    </row>
    <row r="1069">
      <c r="A1069" s="14" t="s">
        <v>556</v>
      </c>
      <c r="B1069" s="14" t="str">
        <f t="array" ref="B1069">VLOOKUP(A1069,{Metrik!$C$2:$C$998,Metrik!$B$2:$B$998},2,0)</f>
        <v>PT Kirana Megatara Tbk.</v>
      </c>
      <c r="C1069" s="15">
        <f>IFERROR(__xludf.DUMMYFUNCTION("GOOGLEFINANCE(""IDX:""&amp;A1069,""price"")"),230.0)</f>
        <v>230</v>
      </c>
      <c r="D1069" s="16" t="str">
        <f>IFERROR(__xludf.DUMMYFUNCTION("IF(A1069="""","""",
SPARKLINE(
INDEX(
GOOGLEFINANCE(""IDX:""&amp;A1069,""close"",TODAY()-365,TODAY()),
,2
),
{""linewidth"",1}
))
"),"#N/A")</f>
        <v>#N/A</v>
      </c>
      <c r="E1069" s="26"/>
      <c r="F1069" s="26"/>
      <c r="G1069" s="24">
        <f t="shared" si="7"/>
        <v>0</v>
      </c>
      <c r="H1069" s="19">
        <f>VLOOKUP(A1069,Metrik!$C$2:$Y$959,8,0)</f>
        <v>30.8</v>
      </c>
      <c r="I1069" s="20">
        <f>VLOOKUP(A1069,Metrik!$C$2:$Y$959,9,0)</f>
        <v>0.83</v>
      </c>
      <c r="J1069" s="20">
        <f>VLOOKUP(A1069,Metrik!$C$2:$Y$959,10,0)</f>
        <v>2.7</v>
      </c>
      <c r="K1069" s="20">
        <f>VLOOKUP(A1069,Metrik!$C$2:$Y$959,11,0)</f>
        <v>1.1</v>
      </c>
      <c r="L1069" s="20">
        <f>VLOOKUP(A1069,Metrik!$C$2:$Y$959,12,0)</f>
        <v>1.4</v>
      </c>
      <c r="M1069" s="20">
        <f>VLOOKUP(A1069,Metrik!$C$2:$Y$959,19,0)</f>
        <v>2.1</v>
      </c>
      <c r="N1069" s="21"/>
      <c r="O1069" s="21"/>
      <c r="P1069" s="21"/>
      <c r="Q1069" s="21"/>
      <c r="R1069" s="21"/>
      <c r="S1069" s="21"/>
      <c r="T1069" s="21"/>
      <c r="U1069" s="22">
        <f>IFERROR(__xludf.DUMMYFUNCTION("IFERROR(GOOGLEFINANCE(A1069,""closeyest""),"""")"),226.0)</f>
        <v>226</v>
      </c>
      <c r="V1069" s="23">
        <f>IFERROR(__xludf.DUMMYFUNCTION("IFERROR(GOOGLEFINANCE(A1069,""changepct""),"""")"),1.77)</f>
        <v>1.77</v>
      </c>
      <c r="W1069" s="22">
        <f>IFERROR(__xludf.DUMMYFUNCTION("IFERROR(GOOGLEFINANCE(A1069,""priceopen""),"""")"),226.0)</f>
        <v>226</v>
      </c>
      <c r="X1069" s="22">
        <f>IFERROR(__xludf.DUMMYFUNCTION("IFERROR(GOOGLEFINANCE(A1069,""high""),"""")"),238.0)</f>
        <v>238</v>
      </c>
      <c r="Y1069" s="22">
        <f>IFERROR(__xludf.DUMMYFUNCTION("IFERROR(GOOGLEFINANCE(A1069,""low""),"""")"),226.0)</f>
        <v>226</v>
      </c>
      <c r="Z1069" s="22">
        <f>IFERROR(__xludf.DUMMYFUNCTION("IFERROR(GOOGLEFINANCE(A1069,""volume""),"""")"),27500.0)</f>
        <v>27500</v>
      </c>
      <c r="AA1069" s="24" t="str">
        <f>VLOOKUP(A1069,Metrik!$C$2:$Y$959,5,0)</f>
        <v>Forestry &amp; Paper</v>
      </c>
      <c r="AB1069" s="24" t="str">
        <f>VLOOKUP(A1069,Metrik!$C$2:$Y$959,3,0)</f>
        <v>Basic Materials</v>
      </c>
    </row>
    <row r="1070">
      <c r="A1070" s="14" t="s">
        <v>557</v>
      </c>
      <c r="B1070" s="14" t="str">
        <f t="array" ref="B1070">VLOOKUP(A1070,{Metrik!$C$2:$C$998,Metrik!$B$2:$B$998},2,0)</f>
        <v>Kobexindo Tractors Tbk.</v>
      </c>
      <c r="C1070" s="15">
        <f>IFERROR(__xludf.DUMMYFUNCTION("GOOGLEFINANCE(""IDX:""&amp;A1070,""price"")"),142.0)</f>
        <v>142</v>
      </c>
      <c r="D1070" s="16" t="str">
        <f>IFERROR(__xludf.DUMMYFUNCTION("IF(A1070="""","""",
SPARKLINE(
INDEX(
GOOGLEFINANCE(""IDX:""&amp;A1070,""close"",TODAY()-365,TODAY()),
,2
),
{""linewidth"",1}
))
"),"#N/A")</f>
        <v>#N/A</v>
      </c>
      <c r="E1070" s="26"/>
      <c r="F1070" s="26"/>
      <c r="G1070" s="24">
        <f t="shared" si="7"/>
        <v>0</v>
      </c>
      <c r="H1070" s="19">
        <f>VLOOKUP(A1070,Metrik!$C$2:$Y$959,8,0)</f>
        <v>-2.8</v>
      </c>
      <c r="I1070" s="20">
        <f>VLOOKUP(A1070,Metrik!$C$2:$Y$959,9,0)</f>
        <v>0.67</v>
      </c>
      <c r="J1070" s="20">
        <f>VLOOKUP(A1070,Metrik!$C$2:$Y$959,10,0)</f>
        <v>-23.9</v>
      </c>
      <c r="K1070" s="20">
        <f>VLOOKUP(A1070,Metrik!$C$2:$Y$959,11,0)</f>
        <v>-3.8</v>
      </c>
      <c r="L1070" s="20">
        <f>VLOOKUP(A1070,Metrik!$C$2:$Y$959,12,0)</f>
        <v>5.3</v>
      </c>
      <c r="M1070" s="20">
        <f>VLOOKUP(A1070,Metrik!$C$2:$Y$959,19,0)</f>
        <v>-28.3</v>
      </c>
      <c r="N1070" s="21"/>
      <c r="O1070" s="21"/>
      <c r="P1070" s="21"/>
      <c r="Q1070" s="21"/>
      <c r="R1070" s="21"/>
      <c r="S1070" s="21"/>
      <c r="T1070" s="21"/>
      <c r="U1070" s="22">
        <f>IFERROR(__xludf.DUMMYFUNCTION("IFERROR(GOOGLEFINANCE(A1070,""closeyest""),"""")"),141.0)</f>
        <v>141</v>
      </c>
      <c r="V1070" s="23">
        <f>IFERROR(__xludf.DUMMYFUNCTION("IFERROR(GOOGLEFINANCE(A1070,""changepct""),"""")"),0.71)</f>
        <v>0.71</v>
      </c>
      <c r="W1070" s="22">
        <f>IFERROR(__xludf.DUMMYFUNCTION("IFERROR(GOOGLEFINANCE(A1070,""priceopen""),"""")"),141.0)</f>
        <v>141</v>
      </c>
      <c r="X1070" s="22">
        <f>IFERROR(__xludf.DUMMYFUNCTION("IFERROR(GOOGLEFINANCE(A1070,""high""),"""")"),147.0)</f>
        <v>147</v>
      </c>
      <c r="Y1070" s="22">
        <f>IFERROR(__xludf.DUMMYFUNCTION("IFERROR(GOOGLEFINANCE(A1070,""low""),"""")"),141.0)</f>
        <v>141</v>
      </c>
      <c r="Z1070" s="22">
        <f>IFERROR(__xludf.DUMMYFUNCTION("IFERROR(GOOGLEFINANCE(A1070,""volume""),"""")"),2294600.0)</f>
        <v>2294600</v>
      </c>
      <c r="AA1070" s="24" t="str">
        <f>VLOOKUP(A1070,Metrik!$C$2:$Y$959,5,0)</f>
        <v>Machinery</v>
      </c>
      <c r="AB1070" s="24" t="str">
        <f>VLOOKUP(A1070,Metrik!$C$2:$Y$959,3,0)</f>
        <v>Industrials</v>
      </c>
    </row>
    <row r="1071">
      <c r="A1071" s="14" t="s">
        <v>558</v>
      </c>
      <c r="B1071" s="14" t="str">
        <f t="array" ref="B1071">VLOOKUP(A1071,{Metrik!$C$2:$C$998,Metrik!$B$2:$B$998},2,0)</f>
        <v>PT Kokoh Exa Nusantara</v>
      </c>
      <c r="C1071" s="15">
        <f>IFERROR(__xludf.DUMMYFUNCTION("GOOGLEFINANCE(""IDX:""&amp;A1071,""price"")"),88.0)</f>
        <v>88</v>
      </c>
      <c r="D1071" s="16" t="str">
        <f>IFERROR(__xludf.DUMMYFUNCTION("IF(A1071="""","""",
SPARKLINE(
INDEX(
GOOGLEFINANCE(""IDX:""&amp;A1071,""close"",TODAY()-365,TODAY()),
,2
),
{""linewidth"",1}
))
"),"#N/A")</f>
        <v>#N/A</v>
      </c>
      <c r="E1071" s="26"/>
      <c r="F1071" s="26"/>
      <c r="G1071" s="24">
        <f t="shared" si="7"/>
        <v>0</v>
      </c>
      <c r="H1071" s="19">
        <f>VLOOKUP(A1071,Metrik!$C$2:$Y$959,8,0)</f>
        <v>30.6</v>
      </c>
      <c r="I1071" s="20">
        <f>VLOOKUP(A1071,Metrik!$C$2:$Y$959,9,0)</f>
        <v>3.1</v>
      </c>
      <c r="J1071" s="20">
        <f>VLOOKUP(A1071,Metrik!$C$2:$Y$959,10,0)</f>
        <v>10</v>
      </c>
      <c r="K1071" s="20">
        <f>VLOOKUP(A1071,Metrik!$C$2:$Y$959,11,0)</f>
        <v>9.3</v>
      </c>
      <c r="L1071" s="20">
        <f>VLOOKUP(A1071,Metrik!$C$2:$Y$959,12,0)</f>
        <v>0.07</v>
      </c>
      <c r="M1071" s="20">
        <f>VLOOKUP(A1071,Metrik!$C$2:$Y$959,19,0)</f>
        <v>150</v>
      </c>
      <c r="N1071" s="21"/>
      <c r="O1071" s="21"/>
      <c r="P1071" s="21"/>
      <c r="Q1071" s="21"/>
      <c r="R1071" s="21"/>
      <c r="S1071" s="21"/>
      <c r="T1071" s="21"/>
      <c r="U1071" s="22">
        <f>IFERROR(__xludf.DUMMYFUNCTION("IFERROR(GOOGLEFINANCE(A1071,""closeyest""),"""")"),81.0)</f>
        <v>81</v>
      </c>
      <c r="V1071" s="23" t="str">
        <f>IFERROR(__xludf.DUMMYFUNCTION("IFERROR(GOOGLEFINANCE(A1071,""changepct""),"""")"),"")</f>
        <v/>
      </c>
      <c r="W1071" s="22">
        <f>IFERROR(__xludf.DUMMYFUNCTION("IFERROR(GOOGLEFINANCE(A1071,""priceopen""),"""")"),81.0)</f>
        <v>81</v>
      </c>
      <c r="X1071" s="22">
        <f>IFERROR(__xludf.DUMMYFUNCTION("IFERROR(GOOGLEFINANCE(A1071,""high""),"""")"),97.0)</f>
        <v>97</v>
      </c>
      <c r="Y1071" s="22">
        <f>IFERROR(__xludf.DUMMYFUNCTION("IFERROR(GOOGLEFINANCE(A1071,""low""),"""")"),81.0)</f>
        <v>81</v>
      </c>
      <c r="Z1071" s="22">
        <f>IFERROR(__xludf.DUMMYFUNCTION("IFERROR(GOOGLEFINANCE(A1071,""volume""),"""")"),2.90694E7)</f>
        <v>29069400</v>
      </c>
      <c r="AA1071" s="24" t="str">
        <f>VLOOKUP(A1071,Metrik!$C$2:$Y$959,5,0)</f>
        <v>Real Estate Management &amp; Development</v>
      </c>
      <c r="AB1071" s="24" t="str">
        <f>VLOOKUP(A1071,Metrik!$C$2:$Y$959,3,0)</f>
        <v>Properties &amp; Real Estate</v>
      </c>
    </row>
    <row r="1072">
      <c r="A1072" s="14" t="s">
        <v>559</v>
      </c>
      <c r="B1072" s="14" t="str">
        <f t="array" ref="B1072">VLOOKUP(A1072,{Metrik!$C$2:$C$998,Metrik!$B$2:$B$998},2,0)</f>
        <v>Kokoh Inti Arebama Tbk</v>
      </c>
      <c r="C1072" s="15">
        <f>IFERROR(__xludf.DUMMYFUNCTION("GOOGLEFINANCE(""IDX:""&amp;A1072,""price"")"),74.0)</f>
        <v>74</v>
      </c>
      <c r="D1072" s="16" t="str">
        <f>IFERROR(__xludf.DUMMYFUNCTION("IF(A1072="""","""",
SPARKLINE(
INDEX(
GOOGLEFINANCE(""IDX:""&amp;A1072,""close"",TODAY()-365,TODAY()),
,2
),
{""linewidth"",1}
))
"),"#N/A")</f>
        <v>#N/A</v>
      </c>
      <c r="E1072" s="26"/>
      <c r="F1072" s="26"/>
      <c r="G1072" s="24">
        <f t="shared" si="7"/>
        <v>0</v>
      </c>
      <c r="H1072" s="19">
        <f>VLOOKUP(A1072,Metrik!$C$2:$Y$959,8,0)</f>
        <v>-14</v>
      </c>
      <c r="I1072" s="20">
        <f>VLOOKUP(A1072,Metrik!$C$2:$Y$959,9,0)</f>
        <v>-0.8</v>
      </c>
      <c r="J1072" s="20">
        <f>VLOOKUP(A1072,Metrik!$C$2:$Y$959,10,0)</f>
        <v>0</v>
      </c>
      <c r="K1072" s="20">
        <f>VLOOKUP(A1072,Metrik!$C$2:$Y$959,11,0)</f>
        <v>-0.72</v>
      </c>
      <c r="L1072" s="20">
        <f>VLOOKUP(A1072,Metrik!$C$2:$Y$959,12,0)</f>
        <v>-8.9</v>
      </c>
      <c r="M1072" s="20">
        <f>VLOOKUP(A1072,Metrik!$C$2:$Y$959,19,0)</f>
        <v>-0.79</v>
      </c>
      <c r="N1072" s="21"/>
      <c r="O1072" s="21"/>
      <c r="P1072" s="21"/>
      <c r="Q1072" s="21"/>
      <c r="R1072" s="21"/>
      <c r="S1072" s="21"/>
      <c r="T1072" s="21"/>
      <c r="U1072" s="22">
        <f>IFERROR(__xludf.DUMMYFUNCTION("IFERROR(GOOGLEFINANCE(A1072,""closeyest""),"""")"),74.0)</f>
        <v>74</v>
      </c>
      <c r="V1072" s="23">
        <f>IFERROR(__xludf.DUMMYFUNCTION("IFERROR(GOOGLEFINANCE(A1072,""changepct""),"""")"),0.0)</f>
        <v>0</v>
      </c>
      <c r="W1072" s="22">
        <f>IFERROR(__xludf.DUMMYFUNCTION("IFERROR(GOOGLEFINANCE(A1072,""priceopen""),"""")"),74.0)</f>
        <v>74</v>
      </c>
      <c r="X1072" s="22">
        <f>IFERROR(__xludf.DUMMYFUNCTION("IFERROR(GOOGLEFINANCE(A1072,""high""),"""")"),74.0)</f>
        <v>74</v>
      </c>
      <c r="Y1072" s="22">
        <f>IFERROR(__xludf.DUMMYFUNCTION("IFERROR(GOOGLEFINANCE(A1072,""low""),"""")"),74.0)</f>
        <v>74</v>
      </c>
      <c r="Z1072" s="22">
        <f>IFERROR(__xludf.DUMMYFUNCTION("IFERROR(GOOGLEFINANCE(A1072,""volume""),"""")"),73600.0)</f>
        <v>73600</v>
      </c>
      <c r="AA1072" s="24" t="str">
        <f>VLOOKUP(A1072,Metrik!$C$2:$Y$959,5,0)</f>
        <v>Building Products &amp; Fixtures</v>
      </c>
      <c r="AB1072" s="24" t="str">
        <f>VLOOKUP(A1072,Metrik!$C$2:$Y$959,3,0)</f>
        <v>Industrials</v>
      </c>
    </row>
    <row r="1073">
      <c r="A1073" s="14" t="s">
        <v>560</v>
      </c>
      <c r="B1073" s="14" t="str">
        <f t="array" ref="B1073">VLOOKUP(A1073,{Metrik!$C$2:$C$998,Metrik!$B$2:$B$998},2,0)</f>
        <v>PT Koka Indonesia Tbk.</v>
      </c>
      <c r="C1073" s="15">
        <f>IFERROR(__xludf.DUMMYFUNCTION("GOOGLEFINANCE(""IDX:""&amp;A1073,""price"")"),94.0)</f>
        <v>94</v>
      </c>
      <c r="D1073" s="16" t="str">
        <f>IFERROR(__xludf.DUMMYFUNCTION("IF(A1073="""","""",
SPARKLINE(
INDEX(
GOOGLEFINANCE(""IDX:""&amp;A1073,""close"",TODAY()-365,TODAY()),
,2
),
{""linewidth"",1}
))
"),"#N/A")</f>
        <v>#N/A</v>
      </c>
      <c r="E1073" s="26"/>
      <c r="F1073" s="26"/>
      <c r="G1073" s="24">
        <f t="shared" si="7"/>
        <v>0</v>
      </c>
      <c r="H1073" s="19">
        <f>VLOOKUP(A1073,Metrik!$C$2:$Y$959,8,0)</f>
        <v>-11.6</v>
      </c>
      <c r="I1073" s="20">
        <f>VLOOKUP(A1073,Metrik!$C$2:$Y$959,9,0)</f>
        <v>2.2</v>
      </c>
      <c r="J1073" s="20">
        <f>VLOOKUP(A1073,Metrik!$C$2:$Y$959,10,0)</f>
        <v>-18.6</v>
      </c>
      <c r="K1073" s="20">
        <f>VLOOKUP(A1073,Metrik!$C$2:$Y$959,11,0)</f>
        <v>-15.7</v>
      </c>
      <c r="L1073" s="20">
        <f>VLOOKUP(A1073,Metrik!$C$2:$Y$959,12,0)</f>
        <v>0.19</v>
      </c>
      <c r="M1073" s="20">
        <f>VLOOKUP(A1073,Metrik!$C$2:$Y$959,19,0)</f>
        <v>-960</v>
      </c>
      <c r="N1073" s="21"/>
      <c r="O1073" s="21"/>
      <c r="P1073" s="21"/>
      <c r="Q1073" s="21"/>
      <c r="R1073" s="21"/>
      <c r="S1073" s="21"/>
      <c r="T1073" s="21"/>
      <c r="U1073" s="22">
        <f>IFERROR(__xludf.DUMMYFUNCTION("IFERROR(GOOGLEFINANCE(A1073,""closeyest""),"""")"),89.0)</f>
        <v>89</v>
      </c>
      <c r="V1073" s="23">
        <f>IFERROR(__xludf.DUMMYFUNCTION("IFERROR(GOOGLEFINANCE(A1073,""changepct""),"""")"),5.62)</f>
        <v>5.62</v>
      </c>
      <c r="W1073" s="22">
        <f>IFERROR(__xludf.DUMMYFUNCTION("IFERROR(GOOGLEFINANCE(A1073,""priceopen""),"""")"),98.0)</f>
        <v>98</v>
      </c>
      <c r="X1073" s="22">
        <f>IFERROR(__xludf.DUMMYFUNCTION("IFERROR(GOOGLEFINANCE(A1073,""high""),"""")"),100.0)</f>
        <v>100</v>
      </c>
      <c r="Y1073" s="22">
        <f>IFERROR(__xludf.DUMMYFUNCTION("IFERROR(GOOGLEFINANCE(A1073,""low""),"""")"),88.0)</f>
        <v>88</v>
      </c>
      <c r="Z1073" s="22">
        <f>IFERROR(__xludf.DUMMYFUNCTION("IFERROR(GOOGLEFINANCE(A1073,""volume""),"""")"),3.49418E7)</f>
        <v>34941800</v>
      </c>
      <c r="AA1073" s="24" t="str">
        <f>VLOOKUP(A1073,Metrik!$C$2:$Y$959,5,0)</f>
        <v>Heavy Constructions &amp; Civil Engineering</v>
      </c>
      <c r="AB1073" s="24" t="str">
        <f>VLOOKUP(A1073,Metrik!$C$2:$Y$959,3,0)</f>
        <v>Infrastructures</v>
      </c>
    </row>
    <row r="1074">
      <c r="A1074" s="14" t="s">
        <v>561</v>
      </c>
      <c r="B1074" s="14" t="str">
        <f t="array" ref="B1074">VLOOKUP(A1074,{Metrik!$C$2:$C$998,Metrik!$B$2:$B$998},2,0)</f>
        <v>Perdana Bangun Pusaka Tbk</v>
      </c>
      <c r="C1074" s="15">
        <f>IFERROR(__xludf.DUMMYFUNCTION("GOOGLEFINANCE(""IDX:""&amp;A1074,""price"")"),2320.0)</f>
        <v>2320</v>
      </c>
      <c r="D1074" s="16" t="str">
        <f>IFERROR(__xludf.DUMMYFUNCTION("IF(A1074="""","""",
SPARKLINE(
INDEX(
GOOGLEFINANCE(""IDX:""&amp;A1074,""close"",TODAY()-365,TODAY()),
,2
),
{""linewidth"",1}
))
"),"#N/A")</f>
        <v>#N/A</v>
      </c>
      <c r="E1074" s="26"/>
      <c r="F1074" s="26"/>
      <c r="G1074" s="24">
        <f t="shared" si="7"/>
        <v>0</v>
      </c>
      <c r="H1074" s="19">
        <f>VLOOKUP(A1074,Metrik!$C$2:$Y$959,8,0)</f>
        <v>37.7</v>
      </c>
      <c r="I1074" s="20">
        <f>VLOOKUP(A1074,Metrik!$C$2:$Y$959,9,0)</f>
        <v>4.2</v>
      </c>
      <c r="J1074" s="20">
        <f>VLOOKUP(A1074,Metrik!$C$2:$Y$959,10,0)</f>
        <v>11.3</v>
      </c>
      <c r="K1074" s="20">
        <f>VLOOKUP(A1074,Metrik!$C$2:$Y$959,11,0)</f>
        <v>10.3</v>
      </c>
      <c r="L1074" s="20">
        <f>VLOOKUP(A1074,Metrik!$C$2:$Y$959,12,0)</f>
        <v>0.09</v>
      </c>
      <c r="M1074" s="20">
        <f>VLOOKUP(A1074,Metrik!$C$2:$Y$959,19,0)</f>
        <v>30.2</v>
      </c>
      <c r="N1074" s="21"/>
      <c r="O1074" s="21"/>
      <c r="P1074" s="21"/>
      <c r="Q1074" s="21"/>
      <c r="R1074" s="21"/>
      <c r="S1074" s="21"/>
      <c r="T1074" s="21"/>
      <c r="U1074" s="22">
        <f>IFERROR(__xludf.DUMMYFUNCTION("IFERROR(GOOGLEFINANCE(A1074,""closeyest""),"""")"),2280.0)</f>
        <v>2280</v>
      </c>
      <c r="V1074" s="23">
        <f>IFERROR(__xludf.DUMMYFUNCTION("IFERROR(GOOGLEFINANCE(A1074,""changepct""),"""")"),1.75)</f>
        <v>1.75</v>
      </c>
      <c r="W1074" s="22">
        <f>IFERROR(__xludf.DUMMYFUNCTION("IFERROR(GOOGLEFINANCE(A1074,""priceopen""),"""")"),2280.0)</f>
        <v>2280</v>
      </c>
      <c r="X1074" s="22">
        <f>IFERROR(__xludf.DUMMYFUNCTION("IFERROR(GOOGLEFINANCE(A1074,""high""),"""")"),2450.0)</f>
        <v>2450</v>
      </c>
      <c r="Y1074" s="22">
        <f>IFERROR(__xludf.DUMMYFUNCTION("IFERROR(GOOGLEFINANCE(A1074,""low""),"""")"),2200.0)</f>
        <v>2200</v>
      </c>
      <c r="Z1074" s="22">
        <f>IFERROR(__xludf.DUMMYFUNCTION("IFERROR(GOOGLEFINANCE(A1074,""volume""),"""")"),59200.0)</f>
        <v>59200</v>
      </c>
      <c r="AA1074" s="24" t="str">
        <f>VLOOKUP(A1074,Metrik!$C$2:$Y$959,5,0)</f>
        <v>Commercial Services</v>
      </c>
      <c r="AB1074" s="24" t="str">
        <f>VLOOKUP(A1074,Metrik!$C$2:$Y$959,3,0)</f>
        <v>Industrials</v>
      </c>
    </row>
    <row r="1075">
      <c r="A1075" s="14" t="s">
        <v>562</v>
      </c>
      <c r="B1075" s="14" t="str">
        <f t="array" ref="B1075">VLOOKUP(A1075,{Metrik!$C$2:$C$998,Metrik!$B$2:$B$998},2,0)</f>
        <v>Mitra Energi Persada Tbk.</v>
      </c>
      <c r="C1075" s="15">
        <f>IFERROR(__xludf.DUMMYFUNCTION("GOOGLEFINANCE(""IDX:""&amp;A1075,""price"")"),187.0)</f>
        <v>187</v>
      </c>
      <c r="D1075" s="16" t="str">
        <f>IFERROR(__xludf.DUMMYFUNCTION("IF(A1075="""","""",
SPARKLINE(
INDEX(
GOOGLEFINANCE(""IDX:""&amp;A1075,""close"",TODAY()-365,TODAY()),
,2
),
{""linewidth"",1}
))
"),"#N/A")</f>
        <v>#N/A</v>
      </c>
      <c r="E1075" s="26"/>
      <c r="F1075" s="26"/>
      <c r="G1075" s="24">
        <f t="shared" si="7"/>
        <v>0</v>
      </c>
      <c r="H1075" s="19">
        <f>VLOOKUP(A1075,Metrik!$C$2:$Y$959,8,0)</f>
        <v>120</v>
      </c>
      <c r="I1075" s="20">
        <f>VLOOKUP(A1075,Metrik!$C$2:$Y$959,9,0)</f>
        <v>1.8</v>
      </c>
      <c r="J1075" s="20">
        <f>VLOOKUP(A1075,Metrik!$C$2:$Y$959,10,0)</f>
        <v>1.5</v>
      </c>
      <c r="K1075" s="20">
        <f>VLOOKUP(A1075,Metrik!$C$2:$Y$959,11,0)</f>
        <v>0.4</v>
      </c>
      <c r="L1075" s="20">
        <f>VLOOKUP(A1075,Metrik!$C$2:$Y$959,12,0)</f>
        <v>2.8</v>
      </c>
      <c r="M1075" s="20">
        <f>VLOOKUP(A1075,Metrik!$C$2:$Y$959,19,0)</f>
        <v>1.6</v>
      </c>
      <c r="N1075" s="21"/>
      <c r="O1075" s="21"/>
      <c r="P1075" s="21"/>
      <c r="Q1075" s="21"/>
      <c r="R1075" s="21"/>
      <c r="S1075" s="21"/>
      <c r="T1075" s="21"/>
      <c r="U1075" s="22">
        <f>IFERROR(__xludf.DUMMYFUNCTION("IFERROR(GOOGLEFINANCE(A1075,""closeyest""),"""")"),202.0)</f>
        <v>202</v>
      </c>
      <c r="V1075" s="23">
        <f>IFERROR(__xludf.DUMMYFUNCTION("IFERROR(GOOGLEFINANCE(A1075,""changepct""),"""")"),-7.43)</f>
        <v>-7.43</v>
      </c>
      <c r="W1075" s="22">
        <f>IFERROR(__xludf.DUMMYFUNCTION("IFERROR(GOOGLEFINANCE(A1075,""priceopen""),"""")"),216.0)</f>
        <v>216</v>
      </c>
      <c r="X1075" s="22">
        <f>IFERROR(__xludf.DUMMYFUNCTION("IFERROR(GOOGLEFINANCE(A1075,""high""),"""")"),240.0)</f>
        <v>240</v>
      </c>
      <c r="Y1075" s="22">
        <f>IFERROR(__xludf.DUMMYFUNCTION("IFERROR(GOOGLEFINANCE(A1075,""low""),"""")"),180.0)</f>
        <v>180</v>
      </c>
      <c r="Z1075" s="22">
        <f>IFERROR(__xludf.DUMMYFUNCTION("IFERROR(GOOGLEFINANCE(A1075,""volume""),"""")"),5035400.0)</f>
        <v>5035400</v>
      </c>
      <c r="AA1075" s="24" t="str">
        <f>VLOOKUP(A1075,Metrik!$C$2:$Y$959,5,0)</f>
        <v>Oil &amp; Gas</v>
      </c>
      <c r="AB1075" s="24" t="str">
        <f>VLOOKUP(A1075,Metrik!$C$2:$Y$959,3,0)</f>
        <v>Energy</v>
      </c>
    </row>
    <row r="1076">
      <c r="A1076" s="14" t="s">
        <v>563</v>
      </c>
      <c r="B1076" s="14" t="str">
        <f t="array" ref="B1076">VLOOKUP(A1076,{Metrik!$C$2:$C$998,Metrik!$B$2:$B$998},2,0)</f>
        <v>DMS Propertindo Tbk.</v>
      </c>
      <c r="C1076" s="15">
        <f>IFERROR(__xludf.DUMMYFUNCTION("GOOGLEFINANCE(""IDX:""&amp;A1076,""price"")"),89.0)</f>
        <v>89</v>
      </c>
      <c r="D1076" s="16" t="str">
        <f>IFERROR(__xludf.DUMMYFUNCTION("IF(A1076="""","""",
SPARKLINE(
INDEX(
GOOGLEFINANCE(""IDX:""&amp;A1076,""close"",TODAY()-365,TODAY()),
,2
),
{""linewidth"",1}
))
"),"#N/A")</f>
        <v>#N/A</v>
      </c>
      <c r="E1076" s="26"/>
      <c r="F1076" s="26"/>
      <c r="G1076" s="24">
        <f t="shared" si="7"/>
        <v>0</v>
      </c>
      <c r="H1076" s="19">
        <f>VLOOKUP(A1076,Metrik!$C$2:$Y$959,8,0)</f>
        <v>22</v>
      </c>
      <c r="I1076" s="20">
        <f>VLOOKUP(A1076,Metrik!$C$2:$Y$959,9,0)</f>
        <v>0.93</v>
      </c>
      <c r="J1076" s="20">
        <f>VLOOKUP(A1076,Metrik!$C$2:$Y$959,10,0)</f>
        <v>4.3</v>
      </c>
      <c r="K1076" s="20">
        <f>VLOOKUP(A1076,Metrik!$C$2:$Y$959,11,0)</f>
        <v>2.8</v>
      </c>
      <c r="L1076" s="20">
        <f>VLOOKUP(A1076,Metrik!$C$2:$Y$959,12,0)</f>
        <v>0.52</v>
      </c>
      <c r="M1076" s="20">
        <f>VLOOKUP(A1076,Metrik!$C$2:$Y$959,19,0)</f>
        <v>160</v>
      </c>
      <c r="N1076" s="21"/>
      <c r="O1076" s="21"/>
      <c r="P1076" s="21"/>
      <c r="Q1076" s="21"/>
      <c r="R1076" s="21"/>
      <c r="S1076" s="21"/>
      <c r="T1076" s="21"/>
      <c r="U1076" s="22">
        <f>IFERROR(__xludf.DUMMYFUNCTION("IFERROR(GOOGLEFINANCE(A1076,""closeyest""),"""")"),82.0)</f>
        <v>82</v>
      </c>
      <c r="V1076" s="23">
        <f>IFERROR(__xludf.DUMMYFUNCTION("IFERROR(GOOGLEFINANCE(A1076,""changepct""),"""")"),8.54)</f>
        <v>8.54</v>
      </c>
      <c r="W1076" s="22">
        <f>IFERROR(__xludf.DUMMYFUNCTION("IFERROR(GOOGLEFINANCE(A1076,""priceopen""),"""")"),83.0)</f>
        <v>83</v>
      </c>
      <c r="X1076" s="22">
        <f>IFERROR(__xludf.DUMMYFUNCTION("IFERROR(GOOGLEFINANCE(A1076,""high""),"""")"),96.0)</f>
        <v>96</v>
      </c>
      <c r="Y1076" s="22">
        <f>IFERROR(__xludf.DUMMYFUNCTION("IFERROR(GOOGLEFINANCE(A1076,""low""),"""")"),83.0)</f>
        <v>83</v>
      </c>
      <c r="Z1076" s="22">
        <f>IFERROR(__xludf.DUMMYFUNCTION("IFERROR(GOOGLEFINANCE(A1076,""volume""),"""")"),2.736528E8)</f>
        <v>273652800</v>
      </c>
      <c r="AA1076" s="24" t="str">
        <f>VLOOKUP(A1076,Metrik!$C$2:$Y$959,5,0)</f>
        <v>Tourism &amp; Recreation</v>
      </c>
      <c r="AB1076" s="24" t="str">
        <f>VLOOKUP(A1076,Metrik!$C$2:$Y$959,3,0)</f>
        <v>Consumer Cyclicals</v>
      </c>
    </row>
    <row r="1077">
      <c r="A1077" s="14" t="s">
        <v>564</v>
      </c>
      <c r="B1077" s="14" t="str">
        <f t="array" ref="B1077">VLOOKUP(A1077,{Metrik!$C$2:$C$998,Metrik!$B$2:$B$998},2,0)</f>
        <v>MNC Tourism Indonesia Tbk.</v>
      </c>
      <c r="C1077" s="15">
        <f>IFERROR(__xludf.DUMMYFUNCTION("GOOGLEFINANCE(""IDX:""&amp;A1077,""price"")"),85.0)</f>
        <v>85</v>
      </c>
      <c r="D1077" s="16" t="str">
        <f>IFERROR(__xludf.DUMMYFUNCTION("IF(A1077="""","""",
SPARKLINE(
INDEX(
GOOGLEFINANCE(""IDX:""&amp;A1077,""close"",TODAY()-365,TODAY()),
,2
),
{""linewidth"",1}
))
"),"#N/A")</f>
        <v>#N/A</v>
      </c>
      <c r="E1077" s="14" t="s">
        <v>28</v>
      </c>
      <c r="F1077" s="17" t="s">
        <v>29</v>
      </c>
      <c r="G1077" s="24">
        <f t="shared" si="7"/>
        <v>6</v>
      </c>
      <c r="H1077" s="19">
        <f>VLOOKUP(A1077,Metrik!$C$2:$Y$959,8,0)</f>
        <v>12.4</v>
      </c>
      <c r="I1077" s="20">
        <f>VLOOKUP(A1077,Metrik!$C$2:$Y$959,9,0)</f>
        <v>0.32</v>
      </c>
      <c r="J1077" s="20">
        <f>VLOOKUP(A1077,Metrik!$C$2:$Y$959,10,0)</f>
        <v>2.6</v>
      </c>
      <c r="K1077" s="20">
        <f>VLOOKUP(A1077,Metrik!$C$2:$Y$959,11,0)</f>
        <v>2.1</v>
      </c>
      <c r="L1077" s="20">
        <f>VLOOKUP(A1077,Metrik!$C$2:$Y$959,12,0)</f>
        <v>0.24</v>
      </c>
      <c r="M1077" s="20">
        <f>VLOOKUP(A1077,Metrik!$C$2:$Y$959,19,0)</f>
        <v>130</v>
      </c>
      <c r="N1077" s="21"/>
      <c r="O1077" s="21"/>
      <c r="P1077" s="21"/>
      <c r="Q1077" s="21"/>
      <c r="R1077" s="21"/>
      <c r="S1077" s="21"/>
      <c r="T1077" s="21"/>
      <c r="U1077" s="22">
        <f>IFERROR(__xludf.DUMMYFUNCTION("IFERROR(GOOGLEFINANCE(A1077,""closeyest""),"""")"),83.0)</f>
        <v>83</v>
      </c>
      <c r="V1077" s="23">
        <f>IFERROR(__xludf.DUMMYFUNCTION("IFERROR(GOOGLEFINANCE(A1077,""changepct""),"""")"),2.41)</f>
        <v>2.41</v>
      </c>
      <c r="W1077" s="22">
        <f>IFERROR(__xludf.DUMMYFUNCTION("IFERROR(GOOGLEFINANCE(A1077,""priceopen""),"""")"),83.0)</f>
        <v>83</v>
      </c>
      <c r="X1077" s="22">
        <f>IFERROR(__xludf.DUMMYFUNCTION("IFERROR(GOOGLEFINANCE(A1077,""high""),"""")"),86.0)</f>
        <v>86</v>
      </c>
      <c r="Y1077" s="22">
        <f>IFERROR(__xludf.DUMMYFUNCTION("IFERROR(GOOGLEFINANCE(A1077,""low""),"""")"),82.0)</f>
        <v>82</v>
      </c>
      <c r="Z1077" s="22">
        <f>IFERROR(__xludf.DUMMYFUNCTION("IFERROR(GOOGLEFINANCE(A1077,""volume""),"""")"),6.49875E7)</f>
        <v>64987500</v>
      </c>
      <c r="AA1077" s="24" t="str">
        <f>VLOOKUP(A1077,Metrik!$C$2:$Y$959,5,0)</f>
        <v>Tourism &amp; Recreation</v>
      </c>
      <c r="AB1077" s="24" t="str">
        <f>VLOOKUP(A1077,Metrik!$C$2:$Y$959,3,0)</f>
        <v>Consumer Cyclicals</v>
      </c>
    </row>
    <row r="1078">
      <c r="A1078" s="14" t="s">
        <v>564</v>
      </c>
      <c r="B1078" s="14" t="str">
        <f t="array" ref="B1078">VLOOKUP(A1078,{Metrik!$C$2:$C$998,Metrik!$B$2:$B$998},2,0)</f>
        <v>MNC Tourism Indonesia Tbk.</v>
      </c>
      <c r="C1078" s="15">
        <f>IFERROR(__xludf.DUMMYFUNCTION("GOOGLEFINANCE(""IDX:""&amp;A1078,""price"")"),85.0)</f>
        <v>85</v>
      </c>
      <c r="D1078" s="16" t="str">
        <f>IFERROR(__xludf.DUMMYFUNCTION("IF(A1078="""","""",
SPARKLINE(
INDEX(
GOOGLEFINANCE(""IDX:""&amp;A1078,""close"",TODAY()-365,TODAY()),
,2
),
{""linewidth"",1}
))
"),"#N/A")</f>
        <v>#N/A</v>
      </c>
      <c r="E1078" s="14" t="s">
        <v>32</v>
      </c>
      <c r="F1078" s="14" t="s">
        <v>29</v>
      </c>
      <c r="G1078" s="24">
        <f t="shared" si="7"/>
        <v>6</v>
      </c>
      <c r="H1078" s="19">
        <f>VLOOKUP(A1078,Metrik!$C$2:$Y$959,8,0)</f>
        <v>12.4</v>
      </c>
      <c r="I1078" s="20">
        <f>VLOOKUP(A1078,Metrik!$C$2:$Y$959,9,0)</f>
        <v>0.32</v>
      </c>
      <c r="J1078" s="20">
        <f>VLOOKUP(A1078,Metrik!$C$2:$Y$959,10,0)</f>
        <v>2.6</v>
      </c>
      <c r="K1078" s="20">
        <f>VLOOKUP(A1078,Metrik!$C$2:$Y$959,11,0)</f>
        <v>2.1</v>
      </c>
      <c r="L1078" s="20">
        <f>VLOOKUP(A1078,Metrik!$C$2:$Y$959,12,0)</f>
        <v>0.24</v>
      </c>
      <c r="M1078" s="20">
        <f>VLOOKUP(A1078,Metrik!$C$2:$Y$959,19,0)</f>
        <v>130</v>
      </c>
      <c r="N1078" s="21"/>
      <c r="O1078" s="21"/>
      <c r="P1078" s="21"/>
      <c r="Q1078" s="21"/>
      <c r="R1078" s="21"/>
      <c r="S1078" s="21"/>
      <c r="T1078" s="21"/>
      <c r="U1078" s="22">
        <f>IFERROR(__xludf.DUMMYFUNCTION("IFERROR(GOOGLEFINANCE(A1078,""closeyest""),"""")"),83.0)</f>
        <v>83</v>
      </c>
      <c r="V1078" s="23">
        <f>IFERROR(__xludf.DUMMYFUNCTION("IFERROR(GOOGLEFINANCE(A1078,""changepct""),"""")"),2.41)</f>
        <v>2.41</v>
      </c>
      <c r="W1078" s="22">
        <f>IFERROR(__xludf.DUMMYFUNCTION("IFERROR(GOOGLEFINANCE(A1078,""priceopen""),"""")"),83.0)</f>
        <v>83</v>
      </c>
      <c r="X1078" s="22">
        <f>IFERROR(__xludf.DUMMYFUNCTION("IFERROR(GOOGLEFINANCE(A1078,""high""),"""")"),86.0)</f>
        <v>86</v>
      </c>
      <c r="Y1078" s="22">
        <f>IFERROR(__xludf.DUMMYFUNCTION("IFERROR(GOOGLEFINANCE(A1078,""low""),"""")"),82.0)</f>
        <v>82</v>
      </c>
      <c r="Z1078" s="22">
        <f>IFERROR(__xludf.DUMMYFUNCTION("IFERROR(GOOGLEFINANCE(A1078,""volume""),"""")"),6.49875E7)</f>
        <v>64987500</v>
      </c>
      <c r="AA1078" s="24" t="str">
        <f>VLOOKUP(A1078,Metrik!$C$2:$Y$959,5,0)</f>
        <v>Tourism &amp; Recreation</v>
      </c>
      <c r="AB1078" s="24" t="str">
        <f>VLOOKUP(A1078,Metrik!$C$2:$Y$959,3,0)</f>
        <v>Consumer Cyclicals</v>
      </c>
    </row>
    <row r="1079">
      <c r="A1079" s="14" t="s">
        <v>564</v>
      </c>
      <c r="B1079" s="14" t="str">
        <f t="array" ref="B1079">VLOOKUP(A1079,{Metrik!$C$2:$C$998,Metrik!$B$2:$B$998},2,0)</f>
        <v>MNC Tourism Indonesia Tbk.</v>
      </c>
      <c r="C1079" s="15">
        <f>IFERROR(__xludf.DUMMYFUNCTION("GOOGLEFINANCE(""IDX:""&amp;A1079,""price"")"),85.0)</f>
        <v>85</v>
      </c>
      <c r="D1079" s="16" t="str">
        <f>IFERROR(__xludf.DUMMYFUNCTION("IF(A1079="""","""",
SPARKLINE(
INDEX(
GOOGLEFINANCE(""IDX:""&amp;A1079,""close"",TODAY()-365,TODAY()),
,2
),
{""linewidth"",1}
))
"),"#N/A")</f>
        <v>#N/A</v>
      </c>
      <c r="E1079" s="14" t="s">
        <v>33</v>
      </c>
      <c r="F1079" s="14" t="s">
        <v>34</v>
      </c>
      <c r="G1079" s="24">
        <f t="shared" si="7"/>
        <v>6</v>
      </c>
      <c r="H1079" s="19">
        <f>VLOOKUP(A1079,Metrik!$C$2:$Y$959,8,0)</f>
        <v>12.4</v>
      </c>
      <c r="I1079" s="20">
        <f>VLOOKUP(A1079,Metrik!$C$2:$Y$959,9,0)</f>
        <v>0.32</v>
      </c>
      <c r="J1079" s="20">
        <f>VLOOKUP(A1079,Metrik!$C$2:$Y$959,10,0)</f>
        <v>2.6</v>
      </c>
      <c r="K1079" s="20">
        <f>VLOOKUP(A1079,Metrik!$C$2:$Y$959,11,0)</f>
        <v>2.1</v>
      </c>
      <c r="L1079" s="20">
        <f>VLOOKUP(A1079,Metrik!$C$2:$Y$959,12,0)</f>
        <v>0.24</v>
      </c>
      <c r="M1079" s="20">
        <f>VLOOKUP(A1079,Metrik!$C$2:$Y$959,19,0)</f>
        <v>130</v>
      </c>
      <c r="N1079" s="21"/>
      <c r="O1079" s="21"/>
      <c r="P1079" s="21"/>
      <c r="Q1079" s="21"/>
      <c r="R1079" s="21"/>
      <c r="S1079" s="21"/>
      <c r="T1079" s="21"/>
      <c r="U1079" s="22">
        <f>IFERROR(__xludf.DUMMYFUNCTION("IFERROR(GOOGLEFINANCE(A1079,""closeyest""),"""")"),83.0)</f>
        <v>83</v>
      </c>
      <c r="V1079" s="23">
        <f>IFERROR(__xludf.DUMMYFUNCTION("IFERROR(GOOGLEFINANCE(A1079,""changepct""),"""")"),2.41)</f>
        <v>2.41</v>
      </c>
      <c r="W1079" s="22">
        <f>IFERROR(__xludf.DUMMYFUNCTION("IFERROR(GOOGLEFINANCE(A1079,""priceopen""),"""")"),83.0)</f>
        <v>83</v>
      </c>
      <c r="X1079" s="22">
        <f>IFERROR(__xludf.DUMMYFUNCTION("IFERROR(GOOGLEFINANCE(A1079,""high""),"""")"),86.0)</f>
        <v>86</v>
      </c>
      <c r="Y1079" s="22">
        <f>IFERROR(__xludf.DUMMYFUNCTION("IFERROR(GOOGLEFINANCE(A1079,""low""),"""")"),82.0)</f>
        <v>82</v>
      </c>
      <c r="Z1079" s="22">
        <f>IFERROR(__xludf.DUMMYFUNCTION("IFERROR(GOOGLEFINANCE(A1079,""volume""),"""")"),6.49875E7)</f>
        <v>64987500</v>
      </c>
      <c r="AA1079" s="24" t="str">
        <f>VLOOKUP(A1079,Metrik!$C$2:$Y$959,5,0)</f>
        <v>Tourism &amp; Recreation</v>
      </c>
      <c r="AB1079" s="24" t="str">
        <f>VLOOKUP(A1079,Metrik!$C$2:$Y$959,3,0)</f>
        <v>Consumer Cyclicals</v>
      </c>
    </row>
    <row r="1080">
      <c r="A1080" s="17" t="s">
        <v>564</v>
      </c>
      <c r="B1080" s="14" t="str">
        <f t="array" ref="B1080">VLOOKUP(A1080,{Metrik!$C$2:$C$998,Metrik!$B$2:$B$998},2,0)</f>
        <v>MNC Tourism Indonesia Tbk.</v>
      </c>
      <c r="C1080" s="15">
        <f>IFERROR(__xludf.DUMMYFUNCTION("GOOGLEFINANCE(""IDX:""&amp;A1080,""price"")"),85.0)</f>
        <v>85</v>
      </c>
      <c r="D1080" s="16" t="str">
        <f>IFERROR(__xludf.DUMMYFUNCTION("IF(A1080="""","""",
SPARKLINE(
INDEX(
GOOGLEFINANCE(""IDX:""&amp;A1080,""close"",TODAY()-365,TODAY()),
,2
),
{""linewidth"",1}
))
"),"#N/A")</f>
        <v>#N/A</v>
      </c>
      <c r="E1080" s="14" t="s">
        <v>50</v>
      </c>
      <c r="F1080" s="17" t="s">
        <v>51</v>
      </c>
      <c r="G1080" s="24">
        <f t="shared" si="7"/>
        <v>6</v>
      </c>
      <c r="H1080" s="19">
        <f>VLOOKUP(A1080,Metrik!$C$2:$Y$959,8,0)</f>
        <v>12.4</v>
      </c>
      <c r="I1080" s="20">
        <f>VLOOKUP(A1080,Metrik!$C$2:$Y$959,9,0)</f>
        <v>0.32</v>
      </c>
      <c r="J1080" s="20">
        <f>VLOOKUP(A1080,Metrik!$C$2:$Y$959,10,0)</f>
        <v>2.6</v>
      </c>
      <c r="K1080" s="20">
        <f>VLOOKUP(A1080,Metrik!$C$2:$Y$959,11,0)</f>
        <v>2.1</v>
      </c>
      <c r="L1080" s="20">
        <f>VLOOKUP(A1080,Metrik!$C$2:$Y$959,12,0)</f>
        <v>0.24</v>
      </c>
      <c r="M1080" s="20">
        <f>VLOOKUP(A1080,Metrik!$C$2:$Y$959,19,0)</f>
        <v>130</v>
      </c>
      <c r="N1080" s="21"/>
      <c r="O1080" s="21"/>
      <c r="P1080" s="21"/>
      <c r="Q1080" s="21"/>
      <c r="R1080" s="21"/>
      <c r="S1080" s="21"/>
      <c r="T1080" s="21"/>
      <c r="U1080" s="22">
        <f>IFERROR(__xludf.DUMMYFUNCTION("IFERROR(GOOGLEFINANCE(A1080,""closeyest""),"""")"),83.0)</f>
        <v>83</v>
      </c>
      <c r="V1080" s="23">
        <f>IFERROR(__xludf.DUMMYFUNCTION("IFERROR(GOOGLEFINANCE(A1080,""changepct""),"""")"),2.41)</f>
        <v>2.41</v>
      </c>
      <c r="W1080" s="22">
        <f>IFERROR(__xludf.DUMMYFUNCTION("IFERROR(GOOGLEFINANCE(A1080,""priceopen""),"""")"),83.0)</f>
        <v>83</v>
      </c>
      <c r="X1080" s="22">
        <f>IFERROR(__xludf.DUMMYFUNCTION("IFERROR(GOOGLEFINANCE(A1080,""high""),"""")"),86.0)</f>
        <v>86</v>
      </c>
      <c r="Y1080" s="22">
        <f>IFERROR(__xludf.DUMMYFUNCTION("IFERROR(GOOGLEFINANCE(A1080,""low""),"""")"),82.0)</f>
        <v>82</v>
      </c>
      <c r="Z1080" s="22">
        <f>IFERROR(__xludf.DUMMYFUNCTION("IFERROR(GOOGLEFINANCE(A1080,""volume""),"""")"),6.49875E7)</f>
        <v>64987500</v>
      </c>
      <c r="AA1080" s="24" t="str">
        <f>VLOOKUP(A1080,Metrik!$C$2:$Y$959,5,0)</f>
        <v>Tourism &amp; Recreation</v>
      </c>
      <c r="AB1080" s="24" t="str">
        <f>VLOOKUP(A1080,Metrik!$C$2:$Y$959,3,0)</f>
        <v>Consumer Cyclicals</v>
      </c>
    </row>
    <row r="1081">
      <c r="A1081" s="17" t="s">
        <v>564</v>
      </c>
      <c r="B1081" s="14" t="str">
        <f t="array" ref="B1081">VLOOKUP(A1081,{Metrik!$C$2:$C$998,Metrik!$B$2:$B$998},2,0)</f>
        <v>MNC Tourism Indonesia Tbk.</v>
      </c>
      <c r="C1081" s="15">
        <f>IFERROR(__xludf.DUMMYFUNCTION("GOOGLEFINANCE(""IDX:""&amp;A1081,""price"")"),85.0)</f>
        <v>85</v>
      </c>
      <c r="D1081" s="16" t="str">
        <f>IFERROR(__xludf.DUMMYFUNCTION("IF(A1081="""","""",
SPARKLINE(
INDEX(
GOOGLEFINANCE(""IDX:""&amp;A1081,""close"",TODAY()-365,TODAY()),
,2
),
{""linewidth"",1}
))
"),"#N/A")</f>
        <v>#N/A</v>
      </c>
      <c r="E1081" s="14" t="s">
        <v>35</v>
      </c>
      <c r="F1081" s="17" t="s">
        <v>36</v>
      </c>
      <c r="G1081" s="38">
        <f t="shared" si="7"/>
        <v>6</v>
      </c>
      <c r="H1081" s="34">
        <f>VLOOKUP(A1081,Metrik!$C$2:$Y$959,8,0)</f>
        <v>12.4</v>
      </c>
      <c r="I1081" s="34">
        <f>VLOOKUP(A1081,Metrik!$C$2:$Y$959,9,0)</f>
        <v>0.32</v>
      </c>
      <c r="J1081" s="34">
        <f>VLOOKUP(A1081,Metrik!$C$2:$Y$959,10,0)</f>
        <v>2.6</v>
      </c>
      <c r="K1081" s="34">
        <f>VLOOKUP(A1081,Metrik!$C$2:$Y$959,11,0)</f>
        <v>2.1</v>
      </c>
      <c r="L1081" s="34">
        <f>VLOOKUP(A1081,Metrik!$C$2:$Y$959,12,0)</f>
        <v>0.24</v>
      </c>
      <c r="M1081" s="34">
        <f>VLOOKUP(A1081,Metrik!$C$2:$Y$959,19,0)</f>
        <v>130</v>
      </c>
      <c r="N1081" s="26"/>
      <c r="O1081" s="26"/>
      <c r="P1081" s="26"/>
      <c r="Q1081" s="26"/>
      <c r="R1081" s="26"/>
      <c r="S1081" s="26"/>
      <c r="T1081" s="26"/>
      <c r="U1081" s="35">
        <f>IFERROR(__xludf.DUMMYFUNCTION("IFERROR(GOOGLEFINANCE(A1081,""closeyest""),"""")"),83.0)</f>
        <v>83</v>
      </c>
      <c r="V1081" s="36">
        <f>IFERROR(__xludf.DUMMYFUNCTION("IFERROR(GOOGLEFINANCE(A1081,""changepct""),"""")"),2.41)</f>
        <v>2.41</v>
      </c>
      <c r="W1081" s="35">
        <f>IFERROR(__xludf.DUMMYFUNCTION("IFERROR(GOOGLEFINANCE(A1081,""priceopen""),"""")"),83.0)</f>
        <v>83</v>
      </c>
      <c r="X1081" s="35">
        <f>IFERROR(__xludf.DUMMYFUNCTION("IFERROR(GOOGLEFINANCE(A1081,""high""),"""")"),86.0)</f>
        <v>86</v>
      </c>
      <c r="Y1081" s="35">
        <f>IFERROR(__xludf.DUMMYFUNCTION("IFERROR(GOOGLEFINANCE(A1081,""low""),"""")"),82.0)</f>
        <v>82</v>
      </c>
      <c r="Z1081" s="35">
        <f>IFERROR(__xludf.DUMMYFUNCTION("IFERROR(GOOGLEFINANCE(A1081,""volume""),"""")"),6.49875E7)</f>
        <v>64987500</v>
      </c>
      <c r="AA1081" s="14" t="str">
        <f>VLOOKUP(A1081,Metrik!$C$2:$Y$959,5,0)</f>
        <v>Tourism &amp; Recreation</v>
      </c>
      <c r="AB1081" s="14" t="str">
        <f>VLOOKUP(A1081,Metrik!$C$2:$Y$959,3,0)</f>
        <v>Consumer Cyclicals</v>
      </c>
    </row>
    <row r="1082">
      <c r="A1082" s="14" t="s">
        <v>564</v>
      </c>
      <c r="B1082" s="14" t="str">
        <f t="array" ref="B1082">VLOOKUP(A1082,{Metrik!$C$2:$C$998,Metrik!$B$2:$B$998},2,0)</f>
        <v>MNC Tourism Indonesia Tbk.</v>
      </c>
      <c r="C1082" s="15">
        <f>IFERROR(__xludf.DUMMYFUNCTION("GOOGLEFINANCE(""IDX:""&amp;A1082,""price"")"),85.0)</f>
        <v>85</v>
      </c>
      <c r="D1082" s="16" t="str">
        <f>IFERROR(__xludf.DUMMYFUNCTION("IF(A1082="""","""",
SPARKLINE(
INDEX(
GOOGLEFINANCE(""IDX:""&amp;A1082,""close"",TODAY()-365,TODAY()),
,2
),
{""linewidth"",1}
))
"),"#N/A")</f>
        <v>#N/A</v>
      </c>
      <c r="E1082" s="14" t="s">
        <v>39</v>
      </c>
      <c r="F1082" s="25">
        <v>46356.0</v>
      </c>
      <c r="G1082" s="24">
        <f t="shared" si="7"/>
        <v>6</v>
      </c>
      <c r="H1082" s="19">
        <f>VLOOKUP(A1082,Metrik!$C$2:$Y$959,8,0)</f>
        <v>12.4</v>
      </c>
      <c r="I1082" s="20">
        <f>VLOOKUP(A1082,Metrik!$C$2:$Y$959,9,0)</f>
        <v>0.32</v>
      </c>
      <c r="J1082" s="20">
        <f>VLOOKUP(A1082,Metrik!$C$2:$Y$959,10,0)</f>
        <v>2.6</v>
      </c>
      <c r="K1082" s="20">
        <f>VLOOKUP(A1082,Metrik!$C$2:$Y$959,11,0)</f>
        <v>2.1</v>
      </c>
      <c r="L1082" s="20">
        <f>VLOOKUP(A1082,Metrik!$C$2:$Y$959,12,0)</f>
        <v>0.24</v>
      </c>
      <c r="M1082" s="20">
        <f>VLOOKUP(A1082,Metrik!$C$2:$Y$959,19,0)</f>
        <v>130</v>
      </c>
      <c r="N1082" s="21"/>
      <c r="O1082" s="21"/>
      <c r="P1082" s="21"/>
      <c r="Q1082" s="21"/>
      <c r="R1082" s="21"/>
      <c r="S1082" s="21"/>
      <c r="T1082" s="21"/>
      <c r="U1082" s="22">
        <f>IFERROR(__xludf.DUMMYFUNCTION("IFERROR(GOOGLEFINANCE(A1082,""closeyest""),"""")"),83.0)</f>
        <v>83</v>
      </c>
      <c r="V1082" s="23">
        <f>IFERROR(__xludf.DUMMYFUNCTION("IFERROR(GOOGLEFINANCE(A1082,""changepct""),"""")"),2.41)</f>
        <v>2.41</v>
      </c>
      <c r="W1082" s="22">
        <f>IFERROR(__xludf.DUMMYFUNCTION("IFERROR(GOOGLEFINANCE(A1082,""priceopen""),"""")"),83.0)</f>
        <v>83</v>
      </c>
      <c r="X1082" s="22">
        <f>IFERROR(__xludf.DUMMYFUNCTION("IFERROR(GOOGLEFINANCE(A1082,""high""),"""")"),86.0)</f>
        <v>86</v>
      </c>
      <c r="Y1082" s="22">
        <f>IFERROR(__xludf.DUMMYFUNCTION("IFERROR(GOOGLEFINANCE(A1082,""low""),"""")"),82.0)</f>
        <v>82</v>
      </c>
      <c r="Z1082" s="22">
        <f>IFERROR(__xludf.DUMMYFUNCTION("IFERROR(GOOGLEFINANCE(A1082,""volume""),"""")"),6.49875E7)</f>
        <v>64987500</v>
      </c>
      <c r="AA1082" s="24" t="str">
        <f>VLOOKUP(A1082,Metrik!$C$2:$Y$959,5,0)</f>
        <v>Tourism &amp; Recreation</v>
      </c>
      <c r="AB1082" s="24" t="str">
        <f>VLOOKUP(A1082,Metrik!$C$2:$Y$959,3,0)</f>
        <v>Consumer Cyclicals</v>
      </c>
    </row>
    <row r="1083">
      <c r="A1083" s="14" t="s">
        <v>565</v>
      </c>
      <c r="B1083" s="14" t="str">
        <f t="array" ref="B1083">VLOOKUP(A1083,{Metrik!$C$2:$C$998,Metrik!$B$2:$B$998},2,0)</f>
        <v>Krakatau Steel (Persero) Tbk.</v>
      </c>
      <c r="C1083" s="15">
        <f>IFERROR(__xludf.DUMMYFUNCTION("GOOGLEFINANCE(""IDX:""&amp;A1083,""price"")"),195.0)</f>
        <v>195</v>
      </c>
      <c r="D1083" s="16" t="str">
        <f>IFERROR(__xludf.DUMMYFUNCTION("IF(A1083="""","""",
SPARKLINE(
INDEX(
GOOGLEFINANCE(""IDX:""&amp;A1083,""close"",TODAY()-365,TODAY()),
,2
),
{""linewidth"",1}
))
"),"#N/A")</f>
        <v>#N/A</v>
      </c>
      <c r="E1083" s="26"/>
      <c r="F1083" s="26"/>
      <c r="G1083" s="24">
        <f t="shared" si="7"/>
        <v>0</v>
      </c>
      <c r="H1083" s="19">
        <f>VLOOKUP(A1083,Metrik!$C$2:$Y$959,8,0)</f>
        <v>0.66</v>
      </c>
      <c r="I1083" s="20">
        <f>VLOOKUP(A1083,Metrik!$C$2:$Y$959,9,0)</f>
        <v>0.33</v>
      </c>
      <c r="J1083" s="20">
        <f>VLOOKUP(A1083,Metrik!$C$2:$Y$959,10,0)</f>
        <v>49.6</v>
      </c>
      <c r="K1083" s="20">
        <f>VLOOKUP(A1083,Metrik!$C$2:$Y$959,11,0)</f>
        <v>12.7</v>
      </c>
      <c r="L1083" s="20">
        <f>VLOOKUP(A1083,Metrik!$C$2:$Y$959,12,0)</f>
        <v>2.9</v>
      </c>
      <c r="M1083" s="20">
        <f>VLOOKUP(A1083,Metrik!$C$2:$Y$959,19,0)</f>
        <v>140</v>
      </c>
      <c r="N1083" s="21"/>
      <c r="O1083" s="21"/>
      <c r="P1083" s="21"/>
      <c r="Q1083" s="21"/>
      <c r="R1083" s="21"/>
      <c r="S1083" s="21"/>
      <c r="T1083" s="21"/>
      <c r="U1083" s="22">
        <f>IFERROR(__xludf.DUMMYFUNCTION("IFERROR(GOOGLEFINANCE(A1083,""closeyest""),"""")"),195.0)</f>
        <v>195</v>
      </c>
      <c r="V1083" s="23">
        <f>IFERROR(__xludf.DUMMYFUNCTION("IFERROR(GOOGLEFINANCE(A1083,""changepct""),"""")"),0.0)</f>
        <v>0</v>
      </c>
      <c r="W1083" s="22">
        <f>IFERROR(__xludf.DUMMYFUNCTION("IFERROR(GOOGLEFINANCE(A1083,""priceopen""),"""")"),195.0)</f>
        <v>195</v>
      </c>
      <c r="X1083" s="22">
        <f>IFERROR(__xludf.DUMMYFUNCTION("IFERROR(GOOGLEFINANCE(A1083,""high""),"""")"),202.0)</f>
        <v>202</v>
      </c>
      <c r="Y1083" s="22">
        <f>IFERROR(__xludf.DUMMYFUNCTION("IFERROR(GOOGLEFINANCE(A1083,""low""),"""")"),192.0)</f>
        <v>192</v>
      </c>
      <c r="Z1083" s="22">
        <f>IFERROR(__xludf.DUMMYFUNCTION("IFERROR(GOOGLEFINANCE(A1083,""volume""),"""")"),1.12653E7)</f>
        <v>11265300</v>
      </c>
      <c r="AA1083" s="24" t="str">
        <f>VLOOKUP(A1083,Metrik!$C$2:$Y$959,5,0)</f>
        <v>Metals &amp; Minerals</v>
      </c>
      <c r="AB1083" s="24" t="str">
        <f>VLOOKUP(A1083,Metrik!$C$2:$Y$959,3,0)</f>
        <v>Basic Materials</v>
      </c>
    </row>
    <row r="1084">
      <c r="A1084" s="14" t="s">
        <v>566</v>
      </c>
      <c r="B1084" s="14" t="str">
        <f t="array" ref="B1084">VLOOKUP(A1084,{Metrik!$C$2:$C$998,Metrik!$B$2:$B$998},2,0)</f>
        <v>Quantum Clovera Investama Tbk.</v>
      </c>
      <c r="C1084" s="15">
        <f>IFERROR(__xludf.DUMMYFUNCTION("GOOGLEFINANCE(""IDX:""&amp;A1084,""price"")"),13.0)</f>
        <v>13</v>
      </c>
      <c r="D1084" s="16" t="str">
        <f>IFERROR(__xludf.DUMMYFUNCTION("IF(A1084="""","""",
SPARKLINE(
INDEX(
GOOGLEFINANCE(""IDX:""&amp;A1084,""close"",TODAY()-365,TODAY()),
,2
),
{""linewidth"",1}
))
"),"#N/A")</f>
        <v>#N/A</v>
      </c>
      <c r="E1084" s="26"/>
      <c r="F1084" s="26"/>
      <c r="G1084" s="24">
        <f t="shared" si="7"/>
        <v>0</v>
      </c>
      <c r="H1084" s="19">
        <f>VLOOKUP(A1084,Metrik!$C$2:$Y$959,8,0)</f>
        <v>-1.9</v>
      </c>
      <c r="I1084" s="20">
        <f>VLOOKUP(A1084,Metrik!$C$2:$Y$959,9,0)</f>
        <v>0.16</v>
      </c>
      <c r="J1084" s="20">
        <f>VLOOKUP(A1084,Metrik!$C$2:$Y$959,10,0)</f>
        <v>-8.7</v>
      </c>
      <c r="K1084" s="20">
        <f>VLOOKUP(A1084,Metrik!$C$2:$Y$959,11,0)</f>
        <v>-6</v>
      </c>
      <c r="L1084" s="20">
        <f>VLOOKUP(A1084,Metrik!$C$2:$Y$959,12,0)</f>
        <v>0.45</v>
      </c>
      <c r="M1084" s="20">
        <f>VLOOKUP(A1084,Metrik!$C$2:$Y$959,19,0)</f>
        <v>-19.4</v>
      </c>
      <c r="N1084" s="21"/>
      <c r="O1084" s="21"/>
      <c r="P1084" s="21"/>
      <c r="Q1084" s="21"/>
      <c r="R1084" s="21"/>
      <c r="S1084" s="21"/>
      <c r="T1084" s="21"/>
      <c r="U1084" s="22">
        <f>IFERROR(__xludf.DUMMYFUNCTION("IFERROR(GOOGLEFINANCE(A1084,""closeyest""),"""")"),12.0)</f>
        <v>12</v>
      </c>
      <c r="V1084" s="23">
        <f>IFERROR(__xludf.DUMMYFUNCTION("IFERROR(GOOGLEFINANCE(A1084,""changepct""),"""")"),8.33)</f>
        <v>8.33</v>
      </c>
      <c r="W1084" s="22">
        <f>IFERROR(__xludf.DUMMYFUNCTION("IFERROR(GOOGLEFINANCE(A1084,""priceopen""),"""")"),13.0)</f>
        <v>13</v>
      </c>
      <c r="X1084" s="22">
        <f>IFERROR(__xludf.DUMMYFUNCTION("IFERROR(GOOGLEFINANCE(A1084,""high""),"""")"),13.0)</f>
        <v>13</v>
      </c>
      <c r="Y1084" s="22">
        <f>IFERROR(__xludf.DUMMYFUNCTION("IFERROR(GOOGLEFINANCE(A1084,""low""),"""")"),13.0)</f>
        <v>13</v>
      </c>
      <c r="Z1084" s="22">
        <f>IFERROR(__xludf.DUMMYFUNCTION("IFERROR(GOOGLEFINANCE(A1084,""volume""),"""")"),2.38087E7)</f>
        <v>23808700</v>
      </c>
      <c r="AA1084" s="24" t="str">
        <f>VLOOKUP(A1084,Metrik!$C$2:$Y$959,5,0)</f>
        <v>Online Applications &amp; Services</v>
      </c>
      <c r="AB1084" s="24" t="str">
        <f>VLOOKUP(A1084,Metrik!$C$2:$Y$959,3,0)</f>
        <v>Technology</v>
      </c>
    </row>
    <row r="1085">
      <c r="A1085" s="14" t="s">
        <v>567</v>
      </c>
      <c r="B1085" s="14" t="str">
        <f t="array" ref="B1085">VLOOKUP(A1085,{Metrik!$C$2:$C$998,Metrik!$B$2:$B$998},2,0)</f>
        <v>Bangun Karya Perkasa Jaya Tbk.</v>
      </c>
      <c r="C1085" s="15">
        <f>IFERROR(__xludf.DUMMYFUNCTION("GOOGLEFINANCE(""IDX:""&amp;A1085,""price"")"),59.0)</f>
        <v>59</v>
      </c>
      <c r="D1085" s="16" t="str">
        <f>IFERROR(__xludf.DUMMYFUNCTION("IF(A1085="""","""",
SPARKLINE(
INDEX(
GOOGLEFINANCE(""IDX:""&amp;A1085,""close"",TODAY()-365,TODAY()),
,2
),
{""linewidth"",1}
))
"),"#N/A")</f>
        <v>#N/A</v>
      </c>
      <c r="E1085" s="26"/>
      <c r="F1085" s="26"/>
      <c r="G1085" s="24">
        <f t="shared" si="7"/>
        <v>0</v>
      </c>
      <c r="H1085" s="19">
        <f>VLOOKUP(A1085,Metrik!$C$2:$Y$959,8,0)</f>
        <v>-1.4</v>
      </c>
      <c r="I1085" s="20">
        <f>VLOOKUP(A1085,Metrik!$C$2:$Y$959,9,0)</f>
        <v>3.1</v>
      </c>
      <c r="J1085" s="20">
        <f>VLOOKUP(A1085,Metrik!$C$2:$Y$959,10,0)</f>
        <v>-220</v>
      </c>
      <c r="K1085" s="20">
        <f>VLOOKUP(A1085,Metrik!$C$2:$Y$959,11,0)</f>
        <v>-55.1</v>
      </c>
      <c r="L1085" s="20">
        <f>VLOOKUP(A1085,Metrik!$C$2:$Y$959,12,0)</f>
        <v>3</v>
      </c>
      <c r="M1085" s="20">
        <f>VLOOKUP(A1085,Metrik!$C$2:$Y$959,19,0)</f>
        <v>-89.1</v>
      </c>
      <c r="N1085" s="21"/>
      <c r="O1085" s="21"/>
      <c r="P1085" s="21"/>
      <c r="Q1085" s="21"/>
      <c r="R1085" s="21"/>
      <c r="S1085" s="21"/>
      <c r="T1085" s="21"/>
      <c r="U1085" s="22">
        <f>IFERROR(__xludf.DUMMYFUNCTION("IFERROR(GOOGLEFINANCE(A1085,""closeyest""),"""")"),56.0)</f>
        <v>56</v>
      </c>
      <c r="V1085" s="23">
        <f>IFERROR(__xludf.DUMMYFUNCTION("IFERROR(GOOGLEFINANCE(A1085,""changepct""),"""")"),5.36)</f>
        <v>5.36</v>
      </c>
      <c r="W1085" s="22">
        <f>IFERROR(__xludf.DUMMYFUNCTION("IFERROR(GOOGLEFINANCE(A1085,""priceopen""),"""")"),56.0)</f>
        <v>56</v>
      </c>
      <c r="X1085" s="22">
        <f>IFERROR(__xludf.DUMMYFUNCTION("IFERROR(GOOGLEFINANCE(A1085,""high""),"""")"),60.0)</f>
        <v>60</v>
      </c>
      <c r="Y1085" s="22">
        <f>IFERROR(__xludf.DUMMYFUNCTION("IFERROR(GOOGLEFINANCE(A1085,""low""),"""")"),56.0)</f>
        <v>56</v>
      </c>
      <c r="Z1085" s="22">
        <f>IFERROR(__xludf.DUMMYFUNCTION("IFERROR(GOOGLEFINANCE(A1085,""volume""),"""")"),1.96445E7)</f>
        <v>19644500</v>
      </c>
      <c r="AA1085" s="24" t="str">
        <f>VLOOKUP(A1085,Metrik!$C$2:$Y$959,5,0)</f>
        <v>Heavy Constructions &amp; Civil Engineering</v>
      </c>
      <c r="AB1085" s="24" t="str">
        <f>VLOOKUP(A1085,Metrik!$C$2:$Y$959,3,0)</f>
        <v>Infrastructures</v>
      </c>
    </row>
    <row r="1086">
      <c r="A1086" s="14" t="s">
        <v>568</v>
      </c>
      <c r="B1086" s="14" t="str">
        <f t="array" ref="B1086">VLOOKUP(A1086,{Metrik!$C$2:$C$998,Metrik!$B$2:$B$998},2,0)</f>
        <v>Kentanix Supra International Tbk.</v>
      </c>
      <c r="C1086" s="15">
        <f>IFERROR(__xludf.DUMMYFUNCTION("GOOGLEFINANCE(""IDX:""&amp;A1086,""price"")"),354.0)</f>
        <v>354</v>
      </c>
      <c r="D1086" s="16" t="str">
        <f>IFERROR(__xludf.DUMMYFUNCTION("IF(A1086="""","""",
SPARKLINE(
INDEX(
GOOGLEFINANCE(""IDX:""&amp;A1086,""close"",TODAY()-365,TODAY()),
,2
),
{""linewidth"",1}
))
"),"#N/A")</f>
        <v>#N/A</v>
      </c>
      <c r="E1086" s="26"/>
      <c r="F1086" s="26"/>
      <c r="G1086" s="24">
        <f t="shared" si="7"/>
        <v>0</v>
      </c>
      <c r="H1086" s="19">
        <f>VLOOKUP(A1086,Metrik!$C$2:$Y$959,8,0)</f>
        <v>61</v>
      </c>
      <c r="I1086" s="20">
        <f>VLOOKUP(A1086,Metrik!$C$2:$Y$959,9,0)</f>
        <v>0.53</v>
      </c>
      <c r="J1086" s="20">
        <f>VLOOKUP(A1086,Metrik!$C$2:$Y$959,10,0)</f>
        <v>0.87</v>
      </c>
      <c r="K1086" s="20">
        <f>VLOOKUP(A1086,Metrik!$C$2:$Y$959,11,0)</f>
        <v>0.86</v>
      </c>
      <c r="L1086" s="20">
        <f>VLOOKUP(A1086,Metrik!$C$2:$Y$959,12,0)</f>
        <v>0.01</v>
      </c>
      <c r="M1086" s="20">
        <f>VLOOKUP(A1086,Metrik!$C$2:$Y$959,19,0)</f>
        <v>110</v>
      </c>
      <c r="N1086" s="21"/>
      <c r="O1086" s="21"/>
      <c r="P1086" s="21"/>
      <c r="Q1086" s="21"/>
      <c r="R1086" s="21"/>
      <c r="S1086" s="21"/>
      <c r="T1086" s="21"/>
      <c r="U1086" s="22">
        <f>IFERROR(__xludf.DUMMYFUNCTION("IFERROR(GOOGLEFINANCE(A1086,""closeyest""),"""")"),338.0)</f>
        <v>338</v>
      </c>
      <c r="V1086" s="23">
        <f>IFERROR(__xludf.DUMMYFUNCTION("IFERROR(GOOGLEFINANCE(A1086,""changepct""),"""")"),4.73)</f>
        <v>4.73</v>
      </c>
      <c r="W1086" s="22">
        <f>IFERROR(__xludf.DUMMYFUNCTION("IFERROR(GOOGLEFINANCE(A1086,""priceopen""),"""")"),334.0)</f>
        <v>334</v>
      </c>
      <c r="X1086" s="22">
        <f>IFERROR(__xludf.DUMMYFUNCTION("IFERROR(GOOGLEFINANCE(A1086,""high""),"""")"),354.0)</f>
        <v>354</v>
      </c>
      <c r="Y1086" s="22">
        <f>IFERROR(__xludf.DUMMYFUNCTION("IFERROR(GOOGLEFINANCE(A1086,""low""),"""")"),328.0)</f>
        <v>328</v>
      </c>
      <c r="Z1086" s="22">
        <f>IFERROR(__xludf.DUMMYFUNCTION("IFERROR(GOOGLEFINANCE(A1086,""volume""),"""")"),69600.0)</f>
        <v>69600</v>
      </c>
      <c r="AA1086" s="24" t="str">
        <f>VLOOKUP(A1086,Metrik!$C$2:$Y$959,5,0)</f>
        <v>Real Estate Management &amp; Development</v>
      </c>
      <c r="AB1086" s="24" t="str">
        <f>VLOOKUP(A1086,Metrik!$C$2:$Y$959,3,0)</f>
        <v>Properties &amp; Real Estate</v>
      </c>
    </row>
    <row r="1087">
      <c r="A1087" s="14" t="s">
        <v>569</v>
      </c>
      <c r="B1087" s="14" t="str">
        <f t="array" ref="B1087">VLOOKUP(A1087,{Metrik!$C$2:$C$998,Metrik!$B$2:$B$998},2,0)</f>
        <v>Ace Oldfields Tbk.</v>
      </c>
      <c r="C1087" s="15">
        <f>IFERROR(__xludf.DUMMYFUNCTION("GOOGLEFINANCE(""IDX:""&amp;A1087,""price"")"),93.0)</f>
        <v>93</v>
      </c>
      <c r="D1087" s="16" t="str">
        <f>IFERROR(__xludf.DUMMYFUNCTION("IF(A1087="""","""",
SPARKLINE(
INDEX(
GOOGLEFINANCE(""IDX:""&amp;A1087,""close"",TODAY()-365,TODAY()),
,2
),
{""linewidth"",1}
))
"),"#N/A")</f>
        <v>#N/A</v>
      </c>
      <c r="E1087" s="26"/>
      <c r="F1087" s="26"/>
      <c r="G1087" s="24">
        <f t="shared" si="7"/>
        <v>0</v>
      </c>
      <c r="H1087" s="19">
        <f>VLOOKUP(A1087,Metrik!$C$2:$Y$959,8,0)</f>
        <v>12.1</v>
      </c>
      <c r="I1087" s="20">
        <f>VLOOKUP(A1087,Metrik!$C$2:$Y$959,9,0)</f>
        <v>0.69</v>
      </c>
      <c r="J1087" s="20">
        <f>VLOOKUP(A1087,Metrik!$C$2:$Y$959,10,0)</f>
        <v>5.7</v>
      </c>
      <c r="K1087" s="20">
        <f>VLOOKUP(A1087,Metrik!$C$2:$Y$959,11,0)</f>
        <v>3.2</v>
      </c>
      <c r="L1087" s="20">
        <f>VLOOKUP(A1087,Metrik!$C$2:$Y$959,12,0)</f>
        <v>0.81</v>
      </c>
      <c r="M1087" s="20">
        <f>VLOOKUP(A1087,Metrik!$C$2:$Y$959,19,0)</f>
        <v>37.4</v>
      </c>
      <c r="N1087" s="21"/>
      <c r="O1087" s="21"/>
      <c r="P1087" s="21"/>
      <c r="Q1087" s="21"/>
      <c r="R1087" s="21"/>
      <c r="S1087" s="21"/>
      <c r="T1087" s="21"/>
      <c r="U1087" s="22">
        <f>IFERROR(__xludf.DUMMYFUNCTION("IFERROR(GOOGLEFINANCE(A1087,""closeyest""),"""")"),91.0)</f>
        <v>91</v>
      </c>
      <c r="V1087" s="23">
        <f>IFERROR(__xludf.DUMMYFUNCTION("IFERROR(GOOGLEFINANCE(A1087,""changepct""),"""")"),2.2)</f>
        <v>2.2</v>
      </c>
      <c r="W1087" s="22">
        <f>IFERROR(__xludf.DUMMYFUNCTION("IFERROR(GOOGLEFINANCE(A1087,""priceopen""),"""")"),93.0)</f>
        <v>93</v>
      </c>
      <c r="X1087" s="22">
        <f>IFERROR(__xludf.DUMMYFUNCTION("IFERROR(GOOGLEFINANCE(A1087,""high""),"""")"),96.0)</f>
        <v>96</v>
      </c>
      <c r="Y1087" s="22">
        <f>IFERROR(__xludf.DUMMYFUNCTION("IFERROR(GOOGLEFINANCE(A1087,""low""),"""")"),90.0)</f>
        <v>90</v>
      </c>
      <c r="Z1087" s="22">
        <f>IFERROR(__xludf.DUMMYFUNCTION("IFERROR(GOOGLEFINANCE(A1087,""volume""),"""")"),4.79996E7)</f>
        <v>47999600</v>
      </c>
      <c r="AA1087" s="24" t="str">
        <f>VLOOKUP(A1087,Metrik!$C$2:$Y$959,5,0)</f>
        <v>Building Products &amp; Fixtures</v>
      </c>
      <c r="AB1087" s="24" t="str">
        <f>VLOOKUP(A1087,Metrik!$C$2:$Y$959,3,0)</f>
        <v>Industrials</v>
      </c>
    </row>
    <row r="1088">
      <c r="A1088" s="14" t="s">
        <v>570</v>
      </c>
      <c r="B1088" s="14" t="str">
        <f t="array" ref="B1088">VLOOKUP(A1088,{Metrik!$C$2:$C$998,Metrik!$B$2:$B$998},2,0)</f>
        <v>Green Power Group Tbk.</v>
      </c>
      <c r="C1088" s="15">
        <f>IFERROR(__xludf.DUMMYFUNCTION("GOOGLEFINANCE(""IDX:""&amp;A1088,""price"")"),86.0)</f>
        <v>86</v>
      </c>
      <c r="D1088" s="16" t="str">
        <f>IFERROR(__xludf.DUMMYFUNCTION("IF(A1088="""","""",
SPARKLINE(
INDEX(
GOOGLEFINANCE(""IDX:""&amp;A1088,""close"",TODAY()-365,TODAY()),
,2
),
{""linewidth"",1}
))
"),"#N/A")</f>
        <v>#N/A</v>
      </c>
      <c r="E1088" s="26"/>
      <c r="F1088" s="26"/>
      <c r="G1088" s="24">
        <f t="shared" si="7"/>
        <v>0</v>
      </c>
      <c r="H1088" s="19">
        <f>VLOOKUP(A1088,Metrik!$C$2:$Y$959,8,0)</f>
        <v>450</v>
      </c>
      <c r="I1088" s="20">
        <f>VLOOKUP(A1088,Metrik!$C$2:$Y$959,9,0)</f>
        <v>0.88</v>
      </c>
      <c r="J1088" s="20">
        <f>VLOOKUP(A1088,Metrik!$C$2:$Y$959,10,0)</f>
        <v>0.2</v>
      </c>
      <c r="K1088" s="20">
        <f>VLOOKUP(A1088,Metrik!$C$2:$Y$959,11,0)</f>
        <v>0.15</v>
      </c>
      <c r="L1088" s="20">
        <f>VLOOKUP(A1088,Metrik!$C$2:$Y$959,12,0)</f>
        <v>0.34</v>
      </c>
      <c r="M1088" s="20">
        <f>VLOOKUP(A1088,Metrik!$C$2:$Y$959,19,0)</f>
        <v>0.74</v>
      </c>
      <c r="N1088" s="21"/>
      <c r="O1088" s="21"/>
      <c r="P1088" s="21"/>
      <c r="Q1088" s="21"/>
      <c r="R1088" s="21"/>
      <c r="S1088" s="21"/>
      <c r="T1088" s="21"/>
      <c r="U1088" s="22">
        <f>IFERROR(__xludf.DUMMYFUNCTION("IFERROR(GOOGLEFINANCE(A1088,""closeyest""),"""")"),82.0)</f>
        <v>82</v>
      </c>
      <c r="V1088" s="23">
        <f>IFERROR(__xludf.DUMMYFUNCTION("IFERROR(GOOGLEFINANCE(A1088,""changepct""),"""")"),4.88)</f>
        <v>4.88</v>
      </c>
      <c r="W1088" s="22">
        <f>IFERROR(__xludf.DUMMYFUNCTION("IFERROR(GOOGLEFINANCE(A1088,""priceopen""),"""")"),83.0)</f>
        <v>83</v>
      </c>
      <c r="X1088" s="22">
        <f>IFERROR(__xludf.DUMMYFUNCTION("IFERROR(GOOGLEFINANCE(A1088,""high""),"""")"),90.0)</f>
        <v>90</v>
      </c>
      <c r="Y1088" s="22">
        <f>IFERROR(__xludf.DUMMYFUNCTION("IFERROR(GOOGLEFINANCE(A1088,""low""),"""")"),82.0)</f>
        <v>82</v>
      </c>
      <c r="Z1088" s="22">
        <f>IFERROR(__xludf.DUMMYFUNCTION("IFERROR(GOOGLEFINANCE(A1088,""volume""),"""")"),9498400.0)</f>
        <v>9498400</v>
      </c>
      <c r="AA1088" s="24" t="str">
        <f>VLOOKUP(A1088,Metrik!$C$2:$Y$959,5,0)</f>
        <v>Machinery</v>
      </c>
      <c r="AB1088" s="24" t="str">
        <f>VLOOKUP(A1088,Metrik!$C$2:$Y$959,3,0)</f>
        <v>Industrials</v>
      </c>
    </row>
    <row r="1089">
      <c r="A1089" s="14" t="s">
        <v>571</v>
      </c>
      <c r="B1089" s="14" t="str">
        <f t="array" ref="B1089">VLOOKUP(A1089,{Metrik!$C$2:$C$998,Metrik!$B$2:$B$998},2,0)</f>
        <v>UBC Medical Indonesia Tbk.</v>
      </c>
      <c r="C1089" s="15">
        <f>IFERROR(__xludf.DUMMYFUNCTION("GOOGLEFINANCE(""IDX:""&amp;A1089,""price"")"),140.0)</f>
        <v>140</v>
      </c>
      <c r="D1089" s="16" t="str">
        <f>IFERROR(__xludf.DUMMYFUNCTION("IF(A1089="""","""",
SPARKLINE(
INDEX(
GOOGLEFINANCE(""IDX:""&amp;A1089,""close"",TODAY()-365,TODAY()),
,2
),
{""linewidth"",1}
))
"),"#N/A")</f>
        <v>#N/A</v>
      </c>
      <c r="E1089" s="26"/>
      <c r="F1089" s="26"/>
      <c r="G1089" s="24">
        <f t="shared" si="7"/>
        <v>0</v>
      </c>
      <c r="H1089" s="19">
        <f>VLOOKUP(A1089,Metrik!$C$2:$Y$959,8,0)</f>
        <v>44.8</v>
      </c>
      <c r="I1089" s="20">
        <f>VLOOKUP(A1089,Metrik!$C$2:$Y$959,9,0)</f>
        <v>3.5</v>
      </c>
      <c r="J1089" s="20">
        <f>VLOOKUP(A1089,Metrik!$C$2:$Y$959,10,0)</f>
        <v>7.9</v>
      </c>
      <c r="K1089" s="20">
        <f>VLOOKUP(A1089,Metrik!$C$2:$Y$959,11,0)</f>
        <v>5.5</v>
      </c>
      <c r="L1089" s="20">
        <f>VLOOKUP(A1089,Metrik!$C$2:$Y$959,12,0)</f>
        <v>0.43</v>
      </c>
      <c r="M1089" s="20">
        <f>VLOOKUP(A1089,Metrik!$C$2:$Y$959,19,0)</f>
        <v>30.2</v>
      </c>
      <c r="N1089" s="21"/>
      <c r="O1089" s="21"/>
      <c r="P1089" s="21"/>
      <c r="Q1089" s="21"/>
      <c r="R1089" s="21"/>
      <c r="S1089" s="21"/>
      <c r="T1089" s="21"/>
      <c r="U1089" s="22">
        <f>IFERROR(__xludf.DUMMYFUNCTION("IFERROR(GOOGLEFINANCE(A1089,""closeyest""),"""")"),0.07)</f>
        <v>0.07</v>
      </c>
      <c r="V1089" s="23">
        <f>IFERROR(__xludf.DUMMYFUNCTION("IFERROR(GOOGLEFINANCE(A1089,""changepct""),"""")"),7.14)</f>
        <v>7.14</v>
      </c>
      <c r="W1089" s="22">
        <f>IFERROR(__xludf.DUMMYFUNCTION("IFERROR(GOOGLEFINANCE(A1089,""priceopen""),"""")"),0.08)</f>
        <v>0.08</v>
      </c>
      <c r="X1089" s="22">
        <f>IFERROR(__xludf.DUMMYFUNCTION("IFERROR(GOOGLEFINANCE(A1089,""high""),"""")"),0.08)</f>
        <v>0.08</v>
      </c>
      <c r="Y1089" s="22">
        <f>IFERROR(__xludf.DUMMYFUNCTION("IFERROR(GOOGLEFINANCE(A1089,""low""),"""")"),0.07)</f>
        <v>0.07</v>
      </c>
      <c r="Z1089" s="22">
        <f>IFERROR(__xludf.DUMMYFUNCTION("IFERROR(GOOGLEFINANCE(A1089,""volume""),"""")"),76864.0)</f>
        <v>76864</v>
      </c>
      <c r="AA1089" s="24" t="str">
        <f>VLOOKUP(A1089,Metrik!$C$2:$Y$959,5,0)</f>
        <v>Healthcare Equipment &amp; Supplies</v>
      </c>
      <c r="AB1089" s="24" t="str">
        <f>VLOOKUP(A1089,Metrik!$C$2:$Y$959,3,0)</f>
        <v>Healthcare</v>
      </c>
    </row>
    <row r="1090">
      <c r="A1090" s="14" t="s">
        <v>572</v>
      </c>
      <c r="B1090" s="14" t="str">
        <f t="array" ref="B1090">VLOOKUP(A1090,{Metrik!$C$2:$C$998,Metrik!$B$2:$B$998},2,0)</f>
        <v>PT Jasa Berdikari Logistics Tbk</v>
      </c>
      <c r="C1090" s="15">
        <f>IFERROR(__xludf.DUMMYFUNCTION("GOOGLEFINANCE(""IDX:""&amp;A1090,""price"")"),59.0)</f>
        <v>59</v>
      </c>
      <c r="D1090" s="16" t="str">
        <f>IFERROR(__xludf.DUMMYFUNCTION("IF(A1090="""","""",
SPARKLINE(
INDEX(
GOOGLEFINANCE(""IDX:""&amp;A1090,""close"",TODAY()-365,TODAY()),
,2
),
{""linewidth"",1}
))
"),"#N/A")</f>
        <v>#N/A</v>
      </c>
      <c r="E1090" s="26"/>
      <c r="F1090" s="26"/>
      <c r="G1090" s="24">
        <f t="shared" si="7"/>
        <v>0</v>
      </c>
      <c r="H1090" s="19">
        <f>VLOOKUP(A1090,Metrik!$C$2:$Y$959,8,0)</f>
        <v>16.9</v>
      </c>
      <c r="I1090" s="20">
        <f>VLOOKUP(A1090,Metrik!$C$2:$Y$959,9,0)</f>
        <v>1.1</v>
      </c>
      <c r="J1090" s="20">
        <f>VLOOKUP(A1090,Metrik!$C$2:$Y$959,10,0)</f>
        <v>6.5</v>
      </c>
      <c r="K1090" s="20">
        <f>VLOOKUP(A1090,Metrik!$C$2:$Y$959,11,0)</f>
        <v>3.6</v>
      </c>
      <c r="L1090" s="20">
        <f>VLOOKUP(A1090,Metrik!$C$2:$Y$959,12,0)</f>
        <v>0.78</v>
      </c>
      <c r="M1090" s="20">
        <f>VLOOKUP(A1090,Metrik!$C$2:$Y$959,19,0)</f>
        <v>18.2</v>
      </c>
      <c r="N1090" s="21"/>
      <c r="O1090" s="21"/>
      <c r="P1090" s="21"/>
      <c r="Q1090" s="21"/>
      <c r="R1090" s="21"/>
      <c r="S1090" s="21"/>
      <c r="T1090" s="21"/>
      <c r="U1090" s="22">
        <f>IFERROR(__xludf.DUMMYFUNCTION("IFERROR(GOOGLEFINANCE(A1090,""closeyest""),"""")"),56.0)</f>
        <v>56</v>
      </c>
      <c r="V1090" s="23">
        <f>IFERROR(__xludf.DUMMYFUNCTION("IFERROR(GOOGLEFINANCE(A1090,""changepct""),"""")"),5.36)</f>
        <v>5.36</v>
      </c>
      <c r="W1090" s="22">
        <f>IFERROR(__xludf.DUMMYFUNCTION("IFERROR(GOOGLEFINANCE(A1090,""priceopen""),"""")"),55.0)</f>
        <v>55</v>
      </c>
      <c r="X1090" s="22">
        <f>IFERROR(__xludf.DUMMYFUNCTION("IFERROR(GOOGLEFINANCE(A1090,""high""),"""")"),61.0)</f>
        <v>61</v>
      </c>
      <c r="Y1090" s="22">
        <f>IFERROR(__xludf.DUMMYFUNCTION("IFERROR(GOOGLEFINANCE(A1090,""low""),"""")"),55.0)</f>
        <v>55</v>
      </c>
      <c r="Z1090" s="22">
        <f>IFERROR(__xludf.DUMMYFUNCTION("IFERROR(GOOGLEFINANCE(A1090,""volume""),"""")"),2.48022E7)</f>
        <v>24802200</v>
      </c>
      <c r="AA1090" s="24" t="str">
        <f>VLOOKUP(A1090,Metrik!$C$2:$Y$959,5,0)</f>
        <v>Logistics &amp; Deliveries</v>
      </c>
      <c r="AB1090" s="24" t="str">
        <f>VLOOKUP(A1090,Metrik!$C$2:$Y$959,3,0)</f>
        <v>Transportation &amp; Logistic</v>
      </c>
    </row>
    <row r="1091">
      <c r="A1091" s="14" t="s">
        <v>573</v>
      </c>
      <c r="B1091" s="14" t="str">
        <f t="array" ref="B1091">VLOOKUP(A1091,{Metrik!$C$2:$C$998,Metrik!$B$2:$B$998},2,0)</f>
        <v>Trimitra Propertindo Tbk.</v>
      </c>
      <c r="C1091" s="15">
        <f>IFERROR(__xludf.DUMMYFUNCTION("GOOGLEFINANCE(""IDX:""&amp;A1091,""price"")"),55.0)</f>
        <v>55</v>
      </c>
      <c r="D1091" s="16" t="str">
        <f>IFERROR(__xludf.DUMMYFUNCTION("IF(A1091="""","""",
SPARKLINE(
INDEX(
GOOGLEFINANCE(""IDX:""&amp;A1091,""close"",TODAY()-365,TODAY()),
,2
),
{""linewidth"",1}
))
"),"#N/A")</f>
        <v>#N/A</v>
      </c>
      <c r="E1091" s="26"/>
      <c r="F1091" s="26"/>
      <c r="G1091" s="24">
        <f t="shared" si="7"/>
        <v>0</v>
      </c>
      <c r="H1091" s="19">
        <f>VLOOKUP(A1091,Metrik!$C$2:$Y$959,8,0)</f>
        <v>83.8</v>
      </c>
      <c r="I1091" s="20">
        <f>VLOOKUP(A1091,Metrik!$C$2:$Y$959,9,0)</f>
        <v>0.38</v>
      </c>
      <c r="J1091" s="20">
        <f>VLOOKUP(A1091,Metrik!$C$2:$Y$959,10,0)</f>
        <v>0.45</v>
      </c>
      <c r="K1091" s="20">
        <f>VLOOKUP(A1091,Metrik!$C$2:$Y$959,11,0)</f>
        <v>0.25</v>
      </c>
      <c r="L1091" s="20">
        <f>VLOOKUP(A1091,Metrik!$C$2:$Y$959,12,0)</f>
        <v>0.77</v>
      </c>
      <c r="M1091" s="20">
        <f>VLOOKUP(A1091,Metrik!$C$2:$Y$959,19,0)</f>
        <v>21.1</v>
      </c>
      <c r="N1091" s="21"/>
      <c r="O1091" s="21"/>
      <c r="P1091" s="21"/>
      <c r="Q1091" s="21"/>
      <c r="R1091" s="21"/>
      <c r="S1091" s="21"/>
      <c r="T1091" s="21"/>
      <c r="U1091" s="22">
        <f>IFERROR(__xludf.DUMMYFUNCTION("IFERROR(GOOGLEFINANCE(A1091,""closeyest""),"""")"),9.0)</f>
        <v>9</v>
      </c>
      <c r="V1091" s="23">
        <f>IFERROR(__xludf.DUMMYFUNCTION("IFERROR(GOOGLEFINANCE(A1091,""changepct""),"""")"),-0.44)</f>
        <v>-0.44</v>
      </c>
      <c r="W1091" s="22">
        <f>IFERROR(__xludf.DUMMYFUNCTION("IFERROR(GOOGLEFINANCE(A1091,""priceopen""),"""")"),9.06)</f>
        <v>9.06</v>
      </c>
      <c r="X1091" s="22">
        <f>IFERROR(__xludf.DUMMYFUNCTION("IFERROR(GOOGLEFINANCE(A1091,""high""),"""")"),9.09)</f>
        <v>9.09</v>
      </c>
      <c r="Y1091" s="22">
        <f>IFERROR(__xludf.DUMMYFUNCTION("IFERROR(GOOGLEFINANCE(A1091,""low""),"""")"),8.93)</f>
        <v>8.93</v>
      </c>
      <c r="Z1091" s="22">
        <f>IFERROR(__xludf.DUMMYFUNCTION("IFERROR(GOOGLEFINANCE(A1091,""volume""),"""")"),690627.0)</f>
        <v>690627</v>
      </c>
      <c r="AA1091" s="24" t="str">
        <f>VLOOKUP(A1091,Metrik!$C$2:$Y$959,5,0)</f>
        <v>Real Estate Management &amp; Development</v>
      </c>
      <c r="AB1091" s="24" t="str">
        <f>VLOOKUP(A1091,Metrik!$C$2:$Y$959,3,0)</f>
        <v>Properties &amp; Real Estate</v>
      </c>
    </row>
    <row r="1092">
      <c r="A1092" s="14" t="s">
        <v>574</v>
      </c>
      <c r="B1092" s="14" t="str">
        <f t="array" ref="B1092">VLOOKUP(A1092,{Metrik!$C$2:$C$998,Metrik!$B$2:$B$998},2,0)</f>
        <v>Leyand International Tbk.</v>
      </c>
      <c r="C1092" s="15">
        <f>IFERROR(__xludf.DUMMYFUNCTION("GOOGLEFINANCE(""IDX:""&amp;A1092,""price"")"),61.0)</f>
        <v>61</v>
      </c>
      <c r="D1092" s="16" t="str">
        <f>IFERROR(__xludf.DUMMYFUNCTION("IF(A1092="""","""",
SPARKLINE(
INDEX(
GOOGLEFINANCE(""IDX:""&amp;A1092,""close"",TODAY()-365,TODAY()),
,2
),
{""linewidth"",1}
))
"),"#N/A")</f>
        <v>#N/A</v>
      </c>
      <c r="E1092" s="26"/>
      <c r="F1092" s="26"/>
      <c r="G1092" s="24">
        <f t="shared" si="7"/>
        <v>0</v>
      </c>
      <c r="H1092" s="19">
        <f>VLOOKUP(A1092,Metrik!$C$2:$Y$959,8,0)</f>
        <v>-40.8</v>
      </c>
      <c r="I1092" s="20">
        <f>VLOOKUP(A1092,Metrik!$C$2:$Y$959,9,0)</f>
        <v>15.1</v>
      </c>
      <c r="J1092" s="20">
        <f>VLOOKUP(A1092,Metrik!$C$2:$Y$959,10,0)</f>
        <v>-37.1</v>
      </c>
      <c r="K1092" s="20">
        <f>VLOOKUP(A1092,Metrik!$C$2:$Y$959,11,0)</f>
        <v>-5</v>
      </c>
      <c r="L1092" s="20">
        <f>VLOOKUP(A1092,Metrik!$C$2:$Y$959,12,0)</f>
        <v>6.4</v>
      </c>
      <c r="M1092" s="20">
        <f>VLOOKUP(A1092,Metrik!$C$2:$Y$959,19,0)</f>
        <v>-430</v>
      </c>
      <c r="N1092" s="21"/>
      <c r="O1092" s="21"/>
      <c r="P1092" s="21"/>
      <c r="Q1092" s="21"/>
      <c r="R1092" s="21"/>
      <c r="S1092" s="21"/>
      <c r="T1092" s="21"/>
      <c r="U1092" s="22">
        <f>IFERROR(__xludf.DUMMYFUNCTION("IFERROR(GOOGLEFINANCE(A1092,""closeyest""),"""")"),65.0)</f>
        <v>65</v>
      </c>
      <c r="V1092" s="23">
        <f>IFERROR(__xludf.DUMMYFUNCTION("IFERROR(GOOGLEFINANCE(A1092,""changepct""),"""")"),-6.15)</f>
        <v>-6.15</v>
      </c>
      <c r="W1092" s="22">
        <f>IFERROR(__xludf.DUMMYFUNCTION("IFERROR(GOOGLEFINANCE(A1092,""priceopen""),"""")"),65.0)</f>
        <v>65</v>
      </c>
      <c r="X1092" s="22">
        <f>IFERROR(__xludf.DUMMYFUNCTION("IFERROR(GOOGLEFINANCE(A1092,""high""),"""")"),66.0)</f>
        <v>66</v>
      </c>
      <c r="Y1092" s="22">
        <f>IFERROR(__xludf.DUMMYFUNCTION("IFERROR(GOOGLEFINANCE(A1092,""low""),"""")"),60.0)</f>
        <v>60</v>
      </c>
      <c r="Z1092" s="22">
        <f>IFERROR(__xludf.DUMMYFUNCTION("IFERROR(GOOGLEFINANCE(A1092,""volume""),"""")"),4.45771E7)</f>
        <v>44577100</v>
      </c>
      <c r="AA1092" s="24" t="str">
        <f>VLOOKUP(A1092,Metrik!$C$2:$Y$959,5,0)</f>
        <v>Food &amp; Staples Retailing</v>
      </c>
      <c r="AB1092" s="24" t="str">
        <f>VLOOKUP(A1092,Metrik!$C$2:$Y$959,3,0)</f>
        <v>Consumer Non-Cyclicals</v>
      </c>
    </row>
    <row r="1093">
      <c r="A1093" s="14" t="s">
        <v>575</v>
      </c>
      <c r="B1093" s="14" t="str">
        <f t="array" ref="B1093">VLOOKUP(A1093,{Metrik!$C$2:$C$998,Metrik!$B$2:$B$998},2,0)</f>
        <v>Eureka Prima Jakarta Tbk.</v>
      </c>
      <c r="C1093" s="15">
        <f>IFERROR(__xludf.DUMMYFUNCTION("GOOGLEFINANCE(""IDX:""&amp;A1093,""price"")"),114.0)</f>
        <v>114</v>
      </c>
      <c r="D1093" s="16" t="str">
        <f>IFERROR(__xludf.DUMMYFUNCTION("IF(A1093="""","""",
SPARKLINE(
INDEX(
GOOGLEFINANCE(""IDX:""&amp;A1093,""close"",TODAY()-365,TODAY()),
,2
),
{""linewidth"",1}
))
"),"#N/A")</f>
        <v>#N/A</v>
      </c>
      <c r="E1093" s="26"/>
      <c r="F1093" s="26"/>
      <c r="G1093" s="24">
        <f t="shared" si="7"/>
        <v>0</v>
      </c>
      <c r="H1093" s="19">
        <f>VLOOKUP(A1093,Metrik!$C$2:$Y$959,8,0)</f>
        <v>0</v>
      </c>
      <c r="I1093" s="20">
        <f>VLOOKUP(A1093,Metrik!$C$2:$Y$959,9,0)</f>
        <v>0.4</v>
      </c>
      <c r="J1093" s="20">
        <f>VLOOKUP(A1093,Metrik!$C$2:$Y$959,10,0)</f>
        <v>0.02</v>
      </c>
      <c r="K1093" s="20">
        <f>VLOOKUP(A1093,Metrik!$C$2:$Y$959,11,0)</f>
        <v>0.02</v>
      </c>
      <c r="L1093" s="20">
        <f>VLOOKUP(A1093,Metrik!$C$2:$Y$959,12,0)</f>
        <v>0.03</v>
      </c>
      <c r="M1093" s="20">
        <f>VLOOKUP(A1093,Metrik!$C$2:$Y$959,19,0)</f>
        <v>19.5</v>
      </c>
      <c r="N1093" s="21"/>
      <c r="O1093" s="21"/>
      <c r="P1093" s="21"/>
      <c r="Q1093" s="21"/>
      <c r="R1093" s="21"/>
      <c r="S1093" s="21"/>
      <c r="T1093" s="21"/>
      <c r="U1093" s="22">
        <f>IFERROR(__xludf.DUMMYFUNCTION("IFERROR(GOOGLEFINANCE(A1093,""closeyest""),"""")"),114.0)</f>
        <v>114</v>
      </c>
      <c r="V1093" s="23">
        <f>IFERROR(__xludf.DUMMYFUNCTION("IFERROR(GOOGLEFINANCE(A1093,""changepct""),"""")"),0.0)</f>
        <v>0</v>
      </c>
      <c r="W1093" s="22" t="str">
        <f>IFERROR(__xludf.DUMMYFUNCTION("IFERROR(GOOGLEFINANCE(A1093,""priceopen""),"""")"),"")</f>
        <v/>
      </c>
      <c r="X1093" s="22" t="str">
        <f>IFERROR(__xludf.DUMMYFUNCTION("IFERROR(GOOGLEFINANCE(A1093,""high""),"""")"),"")</f>
        <v/>
      </c>
      <c r="Y1093" s="22" t="str">
        <f>IFERROR(__xludf.DUMMYFUNCTION("IFERROR(GOOGLEFINANCE(A1093,""low""),"""")"),"")</f>
        <v/>
      </c>
      <c r="Z1093" s="22">
        <f>IFERROR(__xludf.DUMMYFUNCTION("IFERROR(GOOGLEFINANCE(A1093,""volume""),"""")"),0.0)</f>
        <v>0</v>
      </c>
      <c r="AA1093" s="24" t="str">
        <f>VLOOKUP(A1093,Metrik!$C$2:$Y$959,5,0)</f>
        <v>Real Estate Management &amp; Development</v>
      </c>
      <c r="AB1093" s="24" t="str">
        <f>VLOOKUP(A1093,Metrik!$C$2:$Y$959,3,0)</f>
        <v>Properties &amp; Real Estate</v>
      </c>
    </row>
    <row r="1094">
      <c r="A1094" s="14" t="s">
        <v>576</v>
      </c>
      <c r="B1094" s="14" t="str">
        <f t="array" ref="B1094">VLOOKUP(A1094,{Metrik!$C$2:$C$998,Metrik!$B$2:$B$998},2,0)</f>
        <v>LCK Global Kedaton Tbk.</v>
      </c>
      <c r="C1094" s="15">
        <f>IFERROR(__xludf.DUMMYFUNCTION("GOOGLEFINANCE(""IDX:""&amp;A1094,""price"")"),131.0)</f>
        <v>131</v>
      </c>
      <c r="D1094" s="16" t="str">
        <f>IFERROR(__xludf.DUMMYFUNCTION("IF(A1094="""","""",
SPARKLINE(
INDEX(
GOOGLEFINANCE(""IDX:""&amp;A1094,""close"",TODAY()-365,TODAY()),
,2
),
{""linewidth"",1}
))
"),"#N/A")</f>
        <v>#N/A</v>
      </c>
      <c r="E1094" s="26"/>
      <c r="F1094" s="26"/>
      <c r="G1094" s="24">
        <f t="shared" si="7"/>
        <v>0</v>
      </c>
      <c r="H1094" s="19">
        <f>VLOOKUP(A1094,Metrik!$C$2:$Y$959,8,0)</f>
        <v>48</v>
      </c>
      <c r="I1094" s="20">
        <f>VLOOKUP(A1094,Metrik!$C$2:$Y$959,9,0)</f>
        <v>0.79</v>
      </c>
      <c r="J1094" s="20">
        <f>VLOOKUP(A1094,Metrik!$C$2:$Y$959,10,0)</f>
        <v>1.7</v>
      </c>
      <c r="K1094" s="20">
        <f>VLOOKUP(A1094,Metrik!$C$2:$Y$959,11,0)</f>
        <v>1.6</v>
      </c>
      <c r="L1094" s="20">
        <f>VLOOKUP(A1094,Metrik!$C$2:$Y$959,12,0)</f>
        <v>0.05</v>
      </c>
      <c r="M1094" s="20">
        <f>VLOOKUP(A1094,Metrik!$C$2:$Y$959,19,0)</f>
        <v>720</v>
      </c>
      <c r="N1094" s="21"/>
      <c r="O1094" s="21"/>
      <c r="P1094" s="21"/>
      <c r="Q1094" s="21"/>
      <c r="R1094" s="21"/>
      <c r="S1094" s="21"/>
      <c r="T1094" s="21"/>
      <c r="U1094" s="22">
        <f>IFERROR(__xludf.DUMMYFUNCTION("IFERROR(GOOGLEFINANCE(A1094,""closeyest""),"""")"),153.0)</f>
        <v>153</v>
      </c>
      <c r="V1094" s="23">
        <f>IFERROR(__xludf.DUMMYFUNCTION("IFERROR(GOOGLEFINANCE(A1094,""changepct""),"""")"),-14.38)</f>
        <v>-14.38</v>
      </c>
      <c r="W1094" s="22">
        <f>IFERROR(__xludf.DUMMYFUNCTION("IFERROR(GOOGLEFINANCE(A1094,""priceopen""),"""")"),153.0)</f>
        <v>153</v>
      </c>
      <c r="X1094" s="22">
        <f>IFERROR(__xludf.DUMMYFUNCTION("IFERROR(GOOGLEFINANCE(A1094,""high""),"""")"),163.0)</f>
        <v>163</v>
      </c>
      <c r="Y1094" s="22">
        <f>IFERROR(__xludf.DUMMYFUNCTION("IFERROR(GOOGLEFINANCE(A1094,""low""),"""")"),131.0)</f>
        <v>131</v>
      </c>
      <c r="Z1094" s="22">
        <f>IFERROR(__xludf.DUMMYFUNCTION("IFERROR(GOOGLEFINANCE(A1094,""volume""),"""")"),4.411753E8)</f>
        <v>441175300</v>
      </c>
      <c r="AA1094" s="24" t="str">
        <f>VLOOKUP(A1094,Metrik!$C$2:$Y$959,5,0)</f>
        <v>Wireless Telecommunication Services</v>
      </c>
      <c r="AB1094" s="24" t="str">
        <f>VLOOKUP(A1094,Metrik!$C$2:$Y$959,3,0)</f>
        <v>Infrastructures</v>
      </c>
    </row>
    <row r="1095">
      <c r="A1095" s="14" t="s">
        <v>577</v>
      </c>
      <c r="B1095" s="14" t="str">
        <f t="array" ref="B1095">VLOOKUP(A1095,{Metrik!$C$2:$C$998,Metrik!$B$2:$B$998},2,0)</f>
        <v>Logindo Samudramakmur Tbk.</v>
      </c>
      <c r="C1095" s="15">
        <f>IFERROR(__xludf.DUMMYFUNCTION("GOOGLEFINANCE(""IDX:""&amp;A1095,""price"")"),97.0)</f>
        <v>97</v>
      </c>
      <c r="D1095" s="16" t="str">
        <f>IFERROR(__xludf.DUMMYFUNCTION("IF(A1095="""","""",
SPARKLINE(
INDEX(
GOOGLEFINANCE(""IDX:""&amp;A1095,""close"",TODAY()-365,TODAY()),
,2
),
{""linewidth"",1}
))
"),"#N/A")</f>
        <v>#N/A</v>
      </c>
      <c r="E1095" s="26"/>
      <c r="F1095" s="26"/>
      <c r="G1095" s="24">
        <f t="shared" si="7"/>
        <v>0</v>
      </c>
      <c r="H1095" s="19">
        <f>VLOOKUP(A1095,Metrik!$C$2:$Y$959,8,0)</f>
        <v>3.1</v>
      </c>
      <c r="I1095" s="20">
        <f>VLOOKUP(A1095,Metrik!$C$2:$Y$959,9,0)</f>
        <v>0.62</v>
      </c>
      <c r="J1095" s="20">
        <f>VLOOKUP(A1095,Metrik!$C$2:$Y$959,10,0)</f>
        <v>20.1</v>
      </c>
      <c r="K1095" s="20">
        <f>VLOOKUP(A1095,Metrik!$C$2:$Y$959,11,0)</f>
        <v>10.8</v>
      </c>
      <c r="L1095" s="20">
        <f>VLOOKUP(A1095,Metrik!$C$2:$Y$959,12,0)</f>
        <v>0.87</v>
      </c>
      <c r="M1095" s="20">
        <f>VLOOKUP(A1095,Metrik!$C$2:$Y$959,19,0)</f>
        <v>150</v>
      </c>
      <c r="N1095" s="21"/>
      <c r="O1095" s="21"/>
      <c r="P1095" s="21"/>
      <c r="Q1095" s="21"/>
      <c r="R1095" s="21"/>
      <c r="S1095" s="21"/>
      <c r="T1095" s="21"/>
      <c r="U1095" s="22">
        <f>IFERROR(__xludf.DUMMYFUNCTION("IFERROR(GOOGLEFINANCE(A1095,""closeyest""),"""")"),20.61)</f>
        <v>20.61</v>
      </c>
      <c r="V1095" s="23">
        <f>IFERROR(__xludf.DUMMYFUNCTION("IFERROR(GOOGLEFINANCE(A1095,""changepct""),"""")"),-1.89)</f>
        <v>-1.89</v>
      </c>
      <c r="W1095" s="22" t="str">
        <f>IFERROR(__xludf.DUMMYFUNCTION("IFERROR(GOOGLEFINANCE(A1095,""priceopen""),"""")"),"")</f>
        <v/>
      </c>
      <c r="X1095" s="22" t="str">
        <f>IFERROR(__xludf.DUMMYFUNCTION("IFERROR(GOOGLEFINANCE(A1095,""high""),"""")"),"")</f>
        <v/>
      </c>
      <c r="Y1095" s="22" t="str">
        <f>IFERROR(__xludf.DUMMYFUNCTION("IFERROR(GOOGLEFINANCE(A1095,""low""),"""")"),"")</f>
        <v/>
      </c>
      <c r="Z1095" s="22">
        <f>IFERROR(__xludf.DUMMYFUNCTION("IFERROR(GOOGLEFINANCE(A1095,""volume""),"""")"),0.0)</f>
        <v>0</v>
      </c>
      <c r="AA1095" s="24" t="str">
        <f>VLOOKUP(A1095,Metrik!$C$2:$Y$959,5,0)</f>
        <v>Oil &amp; Gas</v>
      </c>
      <c r="AB1095" s="24" t="str">
        <f>VLOOKUP(A1095,Metrik!$C$2:$Y$959,3,0)</f>
        <v>Energy</v>
      </c>
    </row>
    <row r="1096">
      <c r="A1096" s="14" t="s">
        <v>578</v>
      </c>
      <c r="B1096" s="14" t="str">
        <f t="array" ref="B1096">VLOOKUP(A1096,{Metrik!$C$2:$C$998,Metrik!$B$2:$B$998},2,0)</f>
        <v>Imago Mulia Persada Tbk.</v>
      </c>
      <c r="C1096" s="15">
        <f>IFERROR(__xludf.DUMMYFUNCTION("GOOGLEFINANCE(""IDX:""&amp;A1096,""price"")"),498.0)</f>
        <v>498</v>
      </c>
      <c r="D1096" s="16" t="str">
        <f>IFERROR(__xludf.DUMMYFUNCTION("IF(A1096="""","""",
SPARKLINE(
INDEX(
GOOGLEFINANCE(""IDX:""&amp;A1096,""close"",TODAY()-365,TODAY()),
,2
),
{""linewidth"",1}
))
"),"#N/A")</f>
        <v>#N/A</v>
      </c>
      <c r="E1096" s="26"/>
      <c r="F1096" s="26"/>
      <c r="G1096" s="24">
        <f t="shared" si="7"/>
        <v>0</v>
      </c>
      <c r="H1096" s="19">
        <f>VLOOKUP(A1096,Metrik!$C$2:$Y$959,8,0)</f>
        <v>31.6</v>
      </c>
      <c r="I1096" s="20">
        <f>VLOOKUP(A1096,Metrik!$C$2:$Y$959,9,0)</f>
        <v>7.7</v>
      </c>
      <c r="J1096" s="20">
        <f>VLOOKUP(A1096,Metrik!$C$2:$Y$959,10,0)</f>
        <v>24.3</v>
      </c>
      <c r="K1096" s="20">
        <f>VLOOKUP(A1096,Metrik!$C$2:$Y$959,11,0)</f>
        <v>11.5</v>
      </c>
      <c r="L1096" s="20">
        <f>VLOOKUP(A1096,Metrik!$C$2:$Y$959,12,0)</f>
        <v>1.1</v>
      </c>
      <c r="M1096" s="20">
        <f>VLOOKUP(A1096,Metrik!$C$2:$Y$959,19,0)</f>
        <v>12.2</v>
      </c>
      <c r="N1096" s="21"/>
      <c r="O1096" s="21"/>
      <c r="P1096" s="21"/>
      <c r="Q1096" s="21"/>
      <c r="R1096" s="21"/>
      <c r="S1096" s="21"/>
      <c r="T1096" s="21"/>
      <c r="U1096" s="22">
        <f>IFERROR(__xludf.DUMMYFUNCTION("IFERROR(GOOGLEFINANCE(A1096,""closeyest""),"""")"),468.0)</f>
        <v>468</v>
      </c>
      <c r="V1096" s="23">
        <f>IFERROR(__xludf.DUMMYFUNCTION("IFERROR(GOOGLEFINANCE(A1096,""changepct""),"""")"),6.41)</f>
        <v>6.41</v>
      </c>
      <c r="W1096" s="22">
        <f>IFERROR(__xludf.DUMMYFUNCTION("IFERROR(GOOGLEFINANCE(A1096,""priceopen""),"""")"),468.0)</f>
        <v>468</v>
      </c>
      <c r="X1096" s="22">
        <f>IFERROR(__xludf.DUMMYFUNCTION("IFERROR(GOOGLEFINANCE(A1096,""high""),"""")"),498.0)</f>
        <v>498</v>
      </c>
      <c r="Y1096" s="22">
        <f>IFERROR(__xludf.DUMMYFUNCTION("IFERROR(GOOGLEFINANCE(A1096,""low""),"""")"),450.0)</f>
        <v>450</v>
      </c>
      <c r="Z1096" s="22">
        <f>IFERROR(__xludf.DUMMYFUNCTION("IFERROR(GOOGLEFINANCE(A1096,""volume""),"""")"),20700.0)</f>
        <v>20700</v>
      </c>
      <c r="AA1096" s="24" t="str">
        <f>VLOOKUP(A1096,Metrik!$C$2:$Y$959,5,0)</f>
        <v>Household Goods</v>
      </c>
      <c r="AB1096" s="24" t="str">
        <f>VLOOKUP(A1096,Metrik!$C$2:$Y$959,3,0)</f>
        <v>Consumer Cyclicals</v>
      </c>
    </row>
    <row r="1097">
      <c r="A1097" s="14" t="s">
        <v>579</v>
      </c>
      <c r="B1097" s="14" t="str">
        <f t="array" ref="B1097">VLOOKUP(A1097,{Metrik!$C$2:$C$998,Metrik!$B$2:$B$998},2,0)</f>
        <v>MSIG Life Insurance Indonesia Tbk.</v>
      </c>
      <c r="C1097" s="15">
        <f>IFERROR(__xludf.DUMMYFUNCTION("GOOGLEFINANCE(""IDX:""&amp;A1097,""price"")"),5700.0)</f>
        <v>5700</v>
      </c>
      <c r="D1097" s="16" t="str">
        <f>IFERROR(__xludf.DUMMYFUNCTION("IF(A1097="""","""",
SPARKLINE(
INDEX(
GOOGLEFINANCE(""IDX:""&amp;A1097,""close"",TODAY()-365,TODAY()),
,2
),
{""linewidth"",1}
))
"),"#N/A")</f>
        <v>#N/A</v>
      </c>
      <c r="E1097" s="26"/>
      <c r="F1097" s="26"/>
      <c r="G1097" s="24">
        <f t="shared" si="7"/>
        <v>0</v>
      </c>
      <c r="H1097" s="19">
        <f>VLOOKUP(A1097,Metrik!$C$2:$Y$959,8,0)</f>
        <v>47</v>
      </c>
      <c r="I1097" s="20">
        <f>VLOOKUP(A1097,Metrik!$C$2:$Y$959,9,0)</f>
        <v>1.5</v>
      </c>
      <c r="J1097" s="20">
        <f>VLOOKUP(A1097,Metrik!$C$2:$Y$959,10,0)</f>
        <v>3.2</v>
      </c>
      <c r="K1097" s="20">
        <f>VLOOKUP(A1097,Metrik!$C$2:$Y$959,11,0)</f>
        <v>1.7</v>
      </c>
      <c r="L1097" s="20">
        <f>VLOOKUP(A1097,Metrik!$C$2:$Y$959,12,0)</f>
        <v>0.86</v>
      </c>
      <c r="M1097" s="20">
        <f>VLOOKUP(A1097,Metrik!$C$2:$Y$959,19,0)</f>
        <v>47.9</v>
      </c>
      <c r="N1097" s="21"/>
      <c r="O1097" s="21"/>
      <c r="P1097" s="21"/>
      <c r="Q1097" s="21"/>
      <c r="R1097" s="21"/>
      <c r="S1097" s="21"/>
      <c r="T1097" s="21"/>
      <c r="U1097" s="22">
        <f>IFERROR(__xludf.DUMMYFUNCTION("IFERROR(GOOGLEFINANCE(A1097,""closeyest""),"""")"),17.18)</f>
        <v>17.18</v>
      </c>
      <c r="V1097" s="23">
        <f>IFERROR(__xludf.DUMMYFUNCTION("IFERROR(GOOGLEFINANCE(A1097,""changepct""),"""")"),-9.14)</f>
        <v>-9.14</v>
      </c>
      <c r="W1097" s="22">
        <f>IFERROR(__xludf.DUMMYFUNCTION("IFERROR(GOOGLEFINANCE(A1097,""priceopen""),"""")"),17.12)</f>
        <v>17.12</v>
      </c>
      <c r="X1097" s="22">
        <f>IFERROR(__xludf.DUMMYFUNCTION("IFERROR(GOOGLEFINANCE(A1097,""high""),"""")"),17.2)</f>
        <v>17.2</v>
      </c>
      <c r="Y1097" s="22">
        <f>IFERROR(__xludf.DUMMYFUNCTION("IFERROR(GOOGLEFINANCE(A1097,""low""),"""")"),15.33)</f>
        <v>15.33</v>
      </c>
      <c r="Z1097" s="22">
        <f>IFERROR(__xludf.DUMMYFUNCTION("IFERROR(GOOGLEFINANCE(A1097,""volume""),"""")"),786152.0)</f>
        <v>786152</v>
      </c>
      <c r="AA1097" s="24" t="str">
        <f>VLOOKUP(A1097,Metrik!$C$2:$Y$959,5,0)</f>
        <v>Insurance</v>
      </c>
      <c r="AB1097" s="24" t="str">
        <f>VLOOKUP(A1097,Metrik!$C$2:$Y$959,3,0)</f>
        <v>Financials</v>
      </c>
    </row>
    <row r="1098">
      <c r="A1098" s="14" t="s">
        <v>580</v>
      </c>
      <c r="B1098" s="14" t="str">
        <f t="array" ref="B1098">VLOOKUP(A1098,{Metrik!$C$2:$C$998,Metrik!$B$2:$B$998},2,0)</f>
        <v>Link Net Tbk.</v>
      </c>
      <c r="C1098" s="15">
        <f>IFERROR(__xludf.DUMMYFUNCTION("GOOGLEFINANCE(""IDX:""&amp;A1098,""price"")"),1330.0)</f>
        <v>1330</v>
      </c>
      <c r="D1098" s="16" t="str">
        <f>IFERROR(__xludf.DUMMYFUNCTION("IF(A1098="""","""",
SPARKLINE(
INDEX(
GOOGLEFINANCE(""IDX:""&amp;A1098,""close"",TODAY()-365,TODAY()),
,2
),
{""linewidth"",1}
))
"),"#N/A")</f>
        <v>#N/A</v>
      </c>
      <c r="E1098" s="26"/>
      <c r="F1098" s="26"/>
      <c r="G1098" s="24">
        <f t="shared" si="7"/>
        <v>0</v>
      </c>
      <c r="H1098" s="19">
        <f>VLOOKUP(A1098,Metrik!$C$2:$Y$959,8,0)</f>
        <v>-2.1</v>
      </c>
      <c r="I1098" s="20">
        <f>VLOOKUP(A1098,Metrik!$C$2:$Y$959,9,0)</f>
        <v>1</v>
      </c>
      <c r="J1098" s="20">
        <f>VLOOKUP(A1098,Metrik!$C$2:$Y$959,10,0)</f>
        <v>-48.8</v>
      </c>
      <c r="K1098" s="20">
        <f>VLOOKUP(A1098,Metrik!$C$2:$Y$959,11,0)</f>
        <v>-11.2</v>
      </c>
      <c r="L1098" s="20">
        <f>VLOOKUP(A1098,Metrik!$C$2:$Y$959,12,0)</f>
        <v>3.4</v>
      </c>
      <c r="M1098" s="20">
        <f>VLOOKUP(A1098,Metrik!$C$2:$Y$959,19,0)</f>
        <v>-230</v>
      </c>
      <c r="N1098" s="21"/>
      <c r="O1098" s="21"/>
      <c r="P1098" s="21"/>
      <c r="Q1098" s="21"/>
      <c r="R1098" s="21"/>
      <c r="S1098" s="21"/>
      <c r="T1098" s="21"/>
      <c r="U1098" s="22">
        <f>IFERROR(__xludf.DUMMYFUNCTION("IFERROR(GOOGLEFINANCE(A1098,""closeyest""),"""")"),4.47)</f>
        <v>4.47</v>
      </c>
      <c r="V1098" s="23">
        <f>IFERROR(__xludf.DUMMYFUNCTION("IFERROR(GOOGLEFINANCE(A1098,""changepct""),"""")"),-1.79)</f>
        <v>-1.79</v>
      </c>
      <c r="W1098" s="22">
        <f>IFERROR(__xludf.DUMMYFUNCTION("IFERROR(GOOGLEFINANCE(A1098,""priceopen""),"""")"),4.46)</f>
        <v>4.46</v>
      </c>
      <c r="X1098" s="22">
        <f>IFERROR(__xludf.DUMMYFUNCTION("IFERROR(GOOGLEFINANCE(A1098,""high""),"""")"),4.53)</f>
        <v>4.53</v>
      </c>
      <c r="Y1098" s="22">
        <f>IFERROR(__xludf.DUMMYFUNCTION("IFERROR(GOOGLEFINANCE(A1098,""low""),"""")"),4.32)</f>
        <v>4.32</v>
      </c>
      <c r="Z1098" s="22">
        <f>IFERROR(__xludf.DUMMYFUNCTION("IFERROR(GOOGLEFINANCE(A1098,""volume""),"""")"),8511.0)</f>
        <v>8511</v>
      </c>
      <c r="AA1098" s="24" t="str">
        <f>VLOOKUP(A1098,Metrik!$C$2:$Y$959,5,0)</f>
        <v>Telecommunication Service</v>
      </c>
      <c r="AB1098" s="24" t="str">
        <f>VLOOKUP(A1098,Metrik!$C$2:$Y$959,3,0)</f>
        <v>Infrastructures</v>
      </c>
    </row>
    <row r="1099">
      <c r="A1099" s="14" t="s">
        <v>581</v>
      </c>
      <c r="B1099" s="14" t="str">
        <f t="array" ref="B1099">VLOOKUP(A1099,{Metrik!$C$2:$C$998,Metrik!$B$2:$B$998},2,0)</f>
        <v>Lion Metal Works Tbk.</v>
      </c>
      <c r="C1099" s="15">
        <f>IFERROR(__xludf.DUMMYFUNCTION("GOOGLEFINANCE(""IDX:""&amp;A1099,""price"")"),330.0)</f>
        <v>330</v>
      </c>
      <c r="D1099" s="16" t="str">
        <f>IFERROR(__xludf.DUMMYFUNCTION("IF(A1099="""","""",
SPARKLINE(
INDEX(
GOOGLEFINANCE(""IDX:""&amp;A1099,""close"",TODAY()-365,TODAY()),
,2
),
{""linewidth"",1}
))
"),"#N/A")</f>
        <v>#N/A</v>
      </c>
      <c r="E1099" s="26"/>
      <c r="F1099" s="26"/>
      <c r="G1099" s="24">
        <f t="shared" si="7"/>
        <v>0</v>
      </c>
      <c r="H1099" s="19">
        <f>VLOOKUP(A1099,Metrik!$C$2:$Y$959,8,0)</f>
        <v>-8.6</v>
      </c>
      <c r="I1099" s="20">
        <f>VLOOKUP(A1099,Metrik!$C$2:$Y$959,9,0)</f>
        <v>0.43</v>
      </c>
      <c r="J1099" s="20">
        <f>VLOOKUP(A1099,Metrik!$C$2:$Y$959,10,0)</f>
        <v>-5</v>
      </c>
      <c r="K1099" s="20">
        <f>VLOOKUP(A1099,Metrik!$C$2:$Y$959,11,0)</f>
        <v>-3.8</v>
      </c>
      <c r="L1099" s="20">
        <f>VLOOKUP(A1099,Metrik!$C$2:$Y$959,12,0)</f>
        <v>0.31</v>
      </c>
      <c r="M1099" s="20">
        <f>VLOOKUP(A1099,Metrik!$C$2:$Y$959,19,0)</f>
        <v>-34.4</v>
      </c>
      <c r="N1099" s="21"/>
      <c r="O1099" s="21"/>
      <c r="P1099" s="21"/>
      <c r="Q1099" s="21"/>
      <c r="R1099" s="21"/>
      <c r="S1099" s="21"/>
      <c r="T1099" s="21"/>
      <c r="U1099" s="22">
        <f>IFERROR(__xludf.DUMMYFUNCTION("IFERROR(GOOGLEFINANCE(A1099,""closeyest""),"""")"),13.92)</f>
        <v>13.92</v>
      </c>
      <c r="V1099" s="23">
        <f>IFERROR(__xludf.DUMMYFUNCTION("IFERROR(GOOGLEFINANCE(A1099,""changepct""),"""")"),2.87)</f>
        <v>2.87</v>
      </c>
      <c r="W1099" s="22">
        <f>IFERROR(__xludf.DUMMYFUNCTION("IFERROR(GOOGLEFINANCE(A1099,""priceopen""),"""")"),13.96)</f>
        <v>13.96</v>
      </c>
      <c r="X1099" s="22">
        <f>IFERROR(__xludf.DUMMYFUNCTION("IFERROR(GOOGLEFINANCE(A1099,""high""),"""")"),14.49)</f>
        <v>14.49</v>
      </c>
      <c r="Y1099" s="22">
        <f>IFERROR(__xludf.DUMMYFUNCTION("IFERROR(GOOGLEFINANCE(A1099,""low""),"""")"),13.62)</f>
        <v>13.62</v>
      </c>
      <c r="Z1099" s="22">
        <f>IFERROR(__xludf.DUMMYFUNCTION("IFERROR(GOOGLEFINANCE(A1099,""volume""),"""")"),3302163.0)</f>
        <v>3302163</v>
      </c>
      <c r="AA1099" s="24" t="str">
        <f>VLOOKUP(A1099,Metrik!$C$2:$Y$959,5,0)</f>
        <v>Commercial Services</v>
      </c>
      <c r="AB1099" s="24" t="str">
        <f>VLOOKUP(A1099,Metrik!$C$2:$Y$959,3,0)</f>
        <v>Industrials</v>
      </c>
    </row>
    <row r="1100">
      <c r="A1100" s="14" t="s">
        <v>582</v>
      </c>
      <c r="B1100" s="14" t="str">
        <f t="array" ref="B1100">VLOOKUP(A1100,{Metrik!$C$2:$C$998,Metrik!$B$2:$B$998},2,0)</f>
        <v>Homeco Victoria Makmur Tbk.</v>
      </c>
      <c r="C1100" s="15">
        <f>IFERROR(__xludf.DUMMYFUNCTION("GOOGLEFINANCE(""IDX:""&amp;A1100,""price"")"),250.0)</f>
        <v>250</v>
      </c>
      <c r="D1100" s="16" t="str">
        <f>IFERROR(__xludf.DUMMYFUNCTION("IF(A1100="""","""",
SPARKLINE(
INDEX(
GOOGLEFINANCE(""IDX:""&amp;A1100,""close"",TODAY()-365,TODAY()),
,2
),
{""linewidth"",1}
))
"),"#N/A")</f>
        <v>#N/A</v>
      </c>
      <c r="E1100" s="26"/>
      <c r="F1100" s="26"/>
      <c r="G1100" s="24">
        <f t="shared" si="7"/>
        <v>0</v>
      </c>
      <c r="H1100" s="19">
        <f>VLOOKUP(A1100,Metrik!$C$2:$Y$959,8,0)</f>
        <v>630</v>
      </c>
      <c r="I1100" s="20">
        <f>VLOOKUP(A1100,Metrik!$C$2:$Y$959,9,0)</f>
        <v>2.8</v>
      </c>
      <c r="J1100" s="20">
        <f>VLOOKUP(A1100,Metrik!$C$2:$Y$959,10,0)</f>
        <v>0.45</v>
      </c>
      <c r="K1100" s="20">
        <f>VLOOKUP(A1100,Metrik!$C$2:$Y$959,11,0)</f>
        <v>0.29</v>
      </c>
      <c r="L1100" s="20">
        <f>VLOOKUP(A1100,Metrik!$C$2:$Y$959,12,0)</f>
        <v>0.56</v>
      </c>
      <c r="M1100" s="20">
        <f>VLOOKUP(A1100,Metrik!$C$2:$Y$959,19,0)</f>
        <v>3.3</v>
      </c>
      <c r="N1100" s="21"/>
      <c r="O1100" s="21"/>
      <c r="P1100" s="21"/>
      <c r="Q1100" s="21"/>
      <c r="R1100" s="21"/>
      <c r="S1100" s="21"/>
      <c r="T1100" s="21"/>
      <c r="U1100" s="22">
        <f>IFERROR(__xludf.DUMMYFUNCTION("IFERROR(GOOGLEFINANCE(A1100,""closeyest""),"""")"),9.45)</f>
        <v>9.45</v>
      </c>
      <c r="V1100" s="23">
        <f>IFERROR(__xludf.DUMMYFUNCTION("IFERROR(GOOGLEFINANCE(A1100,""changepct""),"""")"),4.82)</f>
        <v>4.82</v>
      </c>
      <c r="W1100" s="22">
        <f>IFERROR(__xludf.DUMMYFUNCTION("IFERROR(GOOGLEFINANCE(A1100,""priceopen""),"""")"),9.25)</f>
        <v>9.25</v>
      </c>
      <c r="X1100" s="22">
        <f>IFERROR(__xludf.DUMMYFUNCTION("IFERROR(GOOGLEFINANCE(A1100,""high""),"""")"),9.9)</f>
        <v>9.9</v>
      </c>
      <c r="Y1100" s="22">
        <f>IFERROR(__xludf.DUMMYFUNCTION("IFERROR(GOOGLEFINANCE(A1100,""low""),"""")"),9.18)</f>
        <v>9.18</v>
      </c>
      <c r="Z1100" s="22">
        <f>IFERROR(__xludf.DUMMYFUNCTION("IFERROR(GOOGLEFINANCE(A1100,""volume""),"""")"),7282.0)</f>
        <v>7282</v>
      </c>
      <c r="AA1100" s="24" t="str">
        <f>VLOOKUP(A1100,Metrik!$C$2:$Y$959,5,0)</f>
        <v>Household Goods</v>
      </c>
      <c r="AB1100" s="24" t="str">
        <f>VLOOKUP(A1100,Metrik!$C$2:$Y$959,3,0)</f>
        <v>Consumer Cyclicals</v>
      </c>
    </row>
    <row r="1101">
      <c r="A1101" s="14" t="s">
        <v>583</v>
      </c>
      <c r="B1101" s="14" t="str">
        <f t="array" ref="B1101">VLOOKUP(A1101,{Metrik!$C$2:$C$998,Metrik!$B$2:$B$998},2,0)</f>
        <v>Limas Indonesia Makmur Tbk</v>
      </c>
      <c r="C1101" s="15">
        <f>IFERROR(__xludf.DUMMYFUNCTION("GOOGLEFINANCE(""IDX:""&amp;A1101,""price"")"),50.0)</f>
        <v>50</v>
      </c>
      <c r="D1101" s="16" t="str">
        <f>IFERROR(__xludf.DUMMYFUNCTION("IF(A1101="""","""",
SPARKLINE(
INDEX(
GOOGLEFINANCE(""IDX:""&amp;A1101,""close"",TODAY()-365,TODAY()),
,2
),
{""linewidth"",1}
))
"),"#N/A")</f>
        <v>#N/A</v>
      </c>
      <c r="E1101" s="26"/>
      <c r="F1101" s="26"/>
      <c r="G1101" s="24">
        <f t="shared" si="7"/>
        <v>0</v>
      </c>
      <c r="H1101" s="19">
        <f>VLOOKUP(A1101,Metrik!$C$2:$Y$959,8,0)</f>
        <v>0</v>
      </c>
      <c r="I1101" s="20">
        <f>VLOOKUP(A1101,Metrik!$C$2:$Y$959,9,0)</f>
        <v>0.32</v>
      </c>
      <c r="J1101" s="20">
        <f>VLOOKUP(A1101,Metrik!$C$2:$Y$959,10,0)</f>
        <v>1.6</v>
      </c>
      <c r="K1101" s="20">
        <f>VLOOKUP(A1101,Metrik!$C$2:$Y$959,11,0)</f>
        <v>0.59</v>
      </c>
      <c r="L1101" s="20">
        <f>VLOOKUP(A1101,Metrik!$C$2:$Y$959,12,0)</f>
        <v>1.8</v>
      </c>
      <c r="M1101" s="20">
        <f>VLOOKUP(A1101,Metrik!$C$2:$Y$959,19,0)</f>
        <v>6.4</v>
      </c>
      <c r="N1101" s="21"/>
      <c r="O1101" s="21"/>
      <c r="P1101" s="21"/>
      <c r="Q1101" s="21"/>
      <c r="R1101" s="21"/>
      <c r="S1101" s="21"/>
      <c r="T1101" s="21"/>
      <c r="U1101" s="22">
        <f>IFERROR(__xludf.DUMMYFUNCTION("IFERROR(GOOGLEFINANCE(A1101,""closeyest""),"""")"),50.0)</f>
        <v>50</v>
      </c>
      <c r="V1101" s="23">
        <f>IFERROR(__xludf.DUMMYFUNCTION("IFERROR(GOOGLEFINANCE(A1101,""changepct""),"""")"),0.0)</f>
        <v>0</v>
      </c>
      <c r="W1101" s="22" t="str">
        <f>IFERROR(__xludf.DUMMYFUNCTION("IFERROR(GOOGLEFINANCE(A1101,""priceopen""),"""")"),"")</f>
        <v/>
      </c>
      <c r="X1101" s="22" t="str">
        <f>IFERROR(__xludf.DUMMYFUNCTION("IFERROR(GOOGLEFINANCE(A1101,""high""),"""")"),"")</f>
        <v/>
      </c>
      <c r="Y1101" s="22" t="str">
        <f>IFERROR(__xludf.DUMMYFUNCTION("IFERROR(GOOGLEFINANCE(A1101,""low""),"""")"),"")</f>
        <v/>
      </c>
      <c r="Z1101" s="22">
        <f>IFERROR(__xludf.DUMMYFUNCTION("IFERROR(GOOGLEFINANCE(A1101,""volume""),"""")"),0.0)</f>
        <v>0</v>
      </c>
      <c r="AA1101" s="24" t="str">
        <f>VLOOKUP(A1101,Metrik!$C$2:$Y$959,5,0)</f>
        <v>IT Services &amp; Consulting</v>
      </c>
      <c r="AB1101" s="24" t="str">
        <f>VLOOKUP(A1101,Metrik!$C$2:$Y$959,3,0)</f>
        <v>Technology</v>
      </c>
    </row>
    <row r="1102">
      <c r="A1102" s="14" t="s">
        <v>584</v>
      </c>
      <c r="B1102" s="14" t="str">
        <f t="array" ref="B1102">VLOOKUP(A1102,{Metrik!$C$2:$C$998,Metrik!$B$2:$B$998},2,0)</f>
        <v>PT Lupromax Pelumas Indonesia Tbk.</v>
      </c>
      <c r="C1102" s="15">
        <f>IFERROR(__xludf.DUMMYFUNCTION("GOOGLEFINANCE(""IDX:""&amp;A1102,""price"")"),81.0)</f>
        <v>81</v>
      </c>
      <c r="D1102" s="16" t="str">
        <f>IFERROR(__xludf.DUMMYFUNCTION("IF(A1102="""","""",
SPARKLINE(
INDEX(
GOOGLEFINANCE(""IDX:""&amp;A1102,""close"",TODAY()-365,TODAY()),
,2
),
{""linewidth"",1}
))
"),"#N/A")</f>
        <v>#N/A</v>
      </c>
      <c r="E1102" s="26"/>
      <c r="F1102" s="26"/>
      <c r="G1102" s="24">
        <f t="shared" si="7"/>
        <v>0</v>
      </c>
      <c r="H1102" s="19">
        <f>VLOOKUP(A1102,Metrik!$C$2:$Y$959,8,0)</f>
        <v>100</v>
      </c>
      <c r="I1102" s="20">
        <f>VLOOKUP(A1102,Metrik!$C$2:$Y$959,9,0)</f>
        <v>1.5</v>
      </c>
      <c r="J1102" s="20">
        <f>VLOOKUP(A1102,Metrik!$C$2:$Y$959,10,0)</f>
        <v>1.4</v>
      </c>
      <c r="K1102" s="20">
        <f>VLOOKUP(A1102,Metrik!$C$2:$Y$959,11,0)</f>
        <v>1</v>
      </c>
      <c r="L1102" s="20">
        <f>VLOOKUP(A1102,Metrik!$C$2:$Y$959,12,0)</f>
        <v>0.38</v>
      </c>
      <c r="M1102" s="20">
        <f>VLOOKUP(A1102,Metrik!$C$2:$Y$959,19,0)</f>
        <v>1.1</v>
      </c>
      <c r="N1102" s="21"/>
      <c r="O1102" s="21"/>
      <c r="P1102" s="21"/>
      <c r="Q1102" s="21"/>
      <c r="R1102" s="21"/>
      <c r="S1102" s="21"/>
      <c r="T1102" s="21"/>
      <c r="U1102" s="22">
        <f>IFERROR(__xludf.DUMMYFUNCTION("IFERROR(GOOGLEFINANCE(A1102,""closeyest""),"""")"),13.36)</f>
        <v>13.36</v>
      </c>
      <c r="V1102" s="23">
        <f>IFERROR(__xludf.DUMMYFUNCTION("IFERROR(GOOGLEFINANCE(A1102,""changepct""),"""")"),0.22)</f>
        <v>0.22</v>
      </c>
      <c r="W1102" s="22">
        <f>IFERROR(__xludf.DUMMYFUNCTION("IFERROR(GOOGLEFINANCE(A1102,""priceopen""),"""")"),13.45)</f>
        <v>13.45</v>
      </c>
      <c r="X1102" s="22">
        <f>IFERROR(__xludf.DUMMYFUNCTION("IFERROR(GOOGLEFINANCE(A1102,""high""),"""")"),13.45)</f>
        <v>13.45</v>
      </c>
      <c r="Y1102" s="22">
        <f>IFERROR(__xludf.DUMMYFUNCTION("IFERROR(GOOGLEFINANCE(A1102,""low""),"""")"),13.35)</f>
        <v>13.35</v>
      </c>
      <c r="Z1102" s="22">
        <f>IFERROR(__xludf.DUMMYFUNCTION("IFERROR(GOOGLEFINANCE(A1102,""volume""),"""")"),40825.0)</f>
        <v>40825</v>
      </c>
      <c r="AA1102" s="24" t="str">
        <f>VLOOKUP(A1102,Metrik!$C$2:$Y$959,5,0)</f>
        <v>Auto Components</v>
      </c>
      <c r="AB1102" s="24" t="str">
        <f>VLOOKUP(A1102,Metrik!$C$2:$Y$959,3,0)</f>
        <v>Consumer Cyclicals</v>
      </c>
    </row>
    <row r="1103">
      <c r="A1103" s="14" t="s">
        <v>585</v>
      </c>
      <c r="B1103" s="14" t="str">
        <f t="array" ref="B1103">VLOOKUP(A1103,{Metrik!$C$2:$C$998,Metrik!$B$2:$B$998},2,0)</f>
        <v>Langgeng Makmur Industri Tbk</v>
      </c>
      <c r="C1103" s="15">
        <f>IFERROR(__xludf.DUMMYFUNCTION("GOOGLEFINANCE(""IDX:""&amp;A1103,""price"")"),137.0)</f>
        <v>137</v>
      </c>
      <c r="D1103" s="16" t="str">
        <f>IFERROR(__xludf.DUMMYFUNCTION("IF(A1103="""","""",
SPARKLINE(
INDEX(
GOOGLEFINANCE(""IDX:""&amp;A1103,""close"",TODAY()-365,TODAY()),
,2
),
{""linewidth"",1}
))
"),"#N/A")</f>
        <v>#N/A</v>
      </c>
      <c r="E1103" s="26"/>
      <c r="F1103" s="26"/>
      <c r="G1103" s="24">
        <f t="shared" si="7"/>
        <v>0</v>
      </c>
      <c r="H1103" s="19">
        <f>VLOOKUP(A1103,Metrik!$C$2:$Y$959,8,0)</f>
        <v>-1.7</v>
      </c>
      <c r="I1103" s="20">
        <f>VLOOKUP(A1103,Metrik!$C$2:$Y$959,9,0)</f>
        <v>4.1</v>
      </c>
      <c r="J1103" s="20">
        <f>VLOOKUP(A1103,Metrik!$C$2:$Y$959,10,0)</f>
        <v>-250</v>
      </c>
      <c r="K1103" s="20">
        <f>VLOOKUP(A1103,Metrik!$C$2:$Y$959,11,0)</f>
        <v>-15.1</v>
      </c>
      <c r="L1103" s="20">
        <f>VLOOKUP(A1103,Metrik!$C$2:$Y$959,12,0)</f>
        <v>15.4</v>
      </c>
      <c r="M1103" s="20">
        <f>VLOOKUP(A1103,Metrik!$C$2:$Y$959,19,0)</f>
        <v>-130</v>
      </c>
      <c r="N1103" s="21"/>
      <c r="O1103" s="21"/>
      <c r="P1103" s="21"/>
      <c r="Q1103" s="21"/>
      <c r="R1103" s="21"/>
      <c r="S1103" s="21"/>
      <c r="T1103" s="21"/>
      <c r="U1103" s="22">
        <f>IFERROR(__xludf.DUMMYFUNCTION("IFERROR(GOOGLEFINANCE(A1103,""closeyest""),"""")"),130.0)</f>
        <v>130</v>
      </c>
      <c r="V1103" s="23">
        <f>IFERROR(__xludf.DUMMYFUNCTION("IFERROR(GOOGLEFINANCE(A1103,""changepct""),"""")"),5.38)</f>
        <v>5.38</v>
      </c>
      <c r="W1103" s="22">
        <f>IFERROR(__xludf.DUMMYFUNCTION("IFERROR(GOOGLEFINANCE(A1103,""priceopen""),"""")"),129.0)</f>
        <v>129</v>
      </c>
      <c r="X1103" s="22">
        <f>IFERROR(__xludf.DUMMYFUNCTION("IFERROR(GOOGLEFINANCE(A1103,""high""),"""")"),137.0)</f>
        <v>137</v>
      </c>
      <c r="Y1103" s="22">
        <f>IFERROR(__xludf.DUMMYFUNCTION("IFERROR(GOOGLEFINANCE(A1103,""low""),"""")"),129.0)</f>
        <v>129</v>
      </c>
      <c r="Z1103" s="22">
        <f>IFERROR(__xludf.DUMMYFUNCTION("IFERROR(GOOGLEFINANCE(A1103,""volume""),"""")"),175100.0)</f>
        <v>175100</v>
      </c>
      <c r="AA1103" s="24" t="str">
        <f>VLOOKUP(A1103,Metrik!$C$2:$Y$959,5,0)</f>
        <v>Household Goods</v>
      </c>
      <c r="AB1103" s="24" t="str">
        <f>VLOOKUP(A1103,Metrik!$C$2:$Y$959,3,0)</f>
        <v>Consumer Cyclicals</v>
      </c>
    </row>
    <row r="1104">
      <c r="A1104" s="14" t="s">
        <v>586</v>
      </c>
      <c r="B1104" s="14" t="str">
        <f t="array" ref="B1104">VLOOKUP(A1104,{Metrik!$C$2:$C$998,Metrik!$B$2:$B$998},2,0)</f>
        <v>Lionmesh Prima Tbk.</v>
      </c>
      <c r="C1104" s="15">
        <f>IFERROR(__xludf.DUMMYFUNCTION("GOOGLEFINANCE(""IDX:""&amp;A1104,""price"")"),256.0)</f>
        <v>256</v>
      </c>
      <c r="D1104" s="16" t="str">
        <f>IFERROR(__xludf.DUMMYFUNCTION("IF(A1104="""","""",
SPARKLINE(
INDEX(
GOOGLEFINANCE(""IDX:""&amp;A1104,""close"",TODAY()-365,TODAY()),
,2
),
{""linewidth"",1}
))
"),"#N/A")</f>
        <v>#N/A</v>
      </c>
      <c r="E1104" s="26"/>
      <c r="F1104" s="26"/>
      <c r="G1104" s="24">
        <f t="shared" si="7"/>
        <v>0</v>
      </c>
      <c r="H1104" s="19">
        <f>VLOOKUP(A1104,Metrik!$C$2:$Y$959,8,0)</f>
        <v>-5.1</v>
      </c>
      <c r="I1104" s="20">
        <f>VLOOKUP(A1104,Metrik!$C$2:$Y$959,9,0)</f>
        <v>0.27</v>
      </c>
      <c r="J1104" s="20">
        <f>VLOOKUP(A1104,Metrik!$C$2:$Y$959,10,0)</f>
        <v>-5.3</v>
      </c>
      <c r="K1104" s="20">
        <f>VLOOKUP(A1104,Metrik!$C$2:$Y$959,11,0)</f>
        <v>-4.4</v>
      </c>
      <c r="L1104" s="20">
        <f>VLOOKUP(A1104,Metrik!$C$2:$Y$959,12,0)</f>
        <v>0.18</v>
      </c>
      <c r="M1104" s="20">
        <f>VLOOKUP(A1104,Metrik!$C$2:$Y$959,19,0)</f>
        <v>-27.9</v>
      </c>
      <c r="N1104" s="21"/>
      <c r="O1104" s="21"/>
      <c r="P1104" s="21"/>
      <c r="Q1104" s="21"/>
      <c r="R1104" s="21"/>
      <c r="S1104" s="21"/>
      <c r="T1104" s="21"/>
      <c r="U1104" s="22">
        <f>IFERROR(__xludf.DUMMYFUNCTION("IFERROR(GOOGLEFINANCE(A1104,""closeyest""),"""")"),256.0)</f>
        <v>256</v>
      </c>
      <c r="V1104" s="23">
        <f>IFERROR(__xludf.DUMMYFUNCTION("IFERROR(GOOGLEFINANCE(A1104,""changepct""),"""")"),0.0)</f>
        <v>0</v>
      </c>
      <c r="W1104" s="22" t="str">
        <f>IFERROR(__xludf.DUMMYFUNCTION("IFERROR(GOOGLEFINANCE(A1104,""priceopen""),"""")"),"")</f>
        <v/>
      </c>
      <c r="X1104" s="22" t="str">
        <f>IFERROR(__xludf.DUMMYFUNCTION("IFERROR(GOOGLEFINANCE(A1104,""high""),"""")"),"")</f>
        <v/>
      </c>
      <c r="Y1104" s="22" t="str">
        <f>IFERROR(__xludf.DUMMYFUNCTION("IFERROR(GOOGLEFINANCE(A1104,""low""),"""")"),"")</f>
        <v/>
      </c>
      <c r="Z1104" s="22">
        <f>IFERROR(__xludf.DUMMYFUNCTION("IFERROR(GOOGLEFINANCE(A1104,""volume""),"""")"),0.0)</f>
        <v>0</v>
      </c>
      <c r="AA1104" s="24" t="str">
        <f>VLOOKUP(A1104,Metrik!$C$2:$Y$959,5,0)</f>
        <v>Metals &amp; Minerals</v>
      </c>
      <c r="AB1104" s="24" t="str">
        <f>VLOOKUP(A1104,Metrik!$C$2:$Y$959,3,0)</f>
        <v>Basic Materials</v>
      </c>
    </row>
    <row r="1105">
      <c r="A1105" s="14" t="s">
        <v>587</v>
      </c>
      <c r="B1105" s="14" t="str">
        <f t="array" ref="B1105">VLOOKUP(A1105,{Metrik!$C$2:$C$998,Metrik!$B$2:$B$998},2,0)</f>
        <v>PT Logisticsplus International Tbk</v>
      </c>
      <c r="C1105" s="15">
        <f>IFERROR(__xludf.DUMMYFUNCTION("GOOGLEFINANCE(""IDX:""&amp;A1105,""price"")"),62.0)</f>
        <v>62</v>
      </c>
      <c r="D1105" s="16" t="str">
        <f>IFERROR(__xludf.DUMMYFUNCTION("IF(A1105="""","""",
SPARKLINE(
INDEX(
GOOGLEFINANCE(""IDX:""&amp;A1105,""close"",TODAY()-365,TODAY()),
,2
),
{""linewidth"",1}
))
"),"#N/A")</f>
        <v>#N/A</v>
      </c>
      <c r="E1105" s="26"/>
      <c r="F1105" s="26"/>
      <c r="G1105" s="24">
        <f t="shared" si="7"/>
        <v>0</v>
      </c>
      <c r="H1105" s="19">
        <f>VLOOKUP(A1105,Metrik!$C$2:$Y$959,8,0)</f>
        <v>31.3</v>
      </c>
      <c r="I1105" s="20">
        <f>VLOOKUP(A1105,Metrik!$C$2:$Y$959,9,0)</f>
        <v>1.8</v>
      </c>
      <c r="J1105" s="20">
        <f>VLOOKUP(A1105,Metrik!$C$2:$Y$959,10,0)</f>
        <v>5.6</v>
      </c>
      <c r="K1105" s="20">
        <f>VLOOKUP(A1105,Metrik!$C$2:$Y$959,11,0)</f>
        <v>3.3</v>
      </c>
      <c r="L1105" s="20">
        <f>VLOOKUP(A1105,Metrik!$C$2:$Y$959,12,0)</f>
        <v>0.73</v>
      </c>
      <c r="M1105" s="20">
        <f>VLOOKUP(A1105,Metrik!$C$2:$Y$959,19,0)</f>
        <v>2.7</v>
      </c>
      <c r="N1105" s="21"/>
      <c r="O1105" s="21"/>
      <c r="P1105" s="21"/>
      <c r="Q1105" s="21"/>
      <c r="R1105" s="21"/>
      <c r="S1105" s="21"/>
      <c r="T1105" s="21"/>
      <c r="U1105" s="22">
        <f>IFERROR(__xludf.DUMMYFUNCTION("IFERROR(GOOGLEFINANCE(A1105,""closeyest""),"""")"),60.0)</f>
        <v>60</v>
      </c>
      <c r="V1105" s="23">
        <f>IFERROR(__xludf.DUMMYFUNCTION("IFERROR(GOOGLEFINANCE(A1105,""changepct""),"""")"),3.33)</f>
        <v>3.33</v>
      </c>
      <c r="W1105" s="22">
        <f>IFERROR(__xludf.DUMMYFUNCTION("IFERROR(GOOGLEFINANCE(A1105,""priceopen""),"""")"),62.0)</f>
        <v>62</v>
      </c>
      <c r="X1105" s="22">
        <f>IFERROR(__xludf.DUMMYFUNCTION("IFERROR(GOOGLEFINANCE(A1105,""high""),"""")"),65.0)</f>
        <v>65</v>
      </c>
      <c r="Y1105" s="22">
        <f>IFERROR(__xludf.DUMMYFUNCTION("IFERROR(GOOGLEFINANCE(A1105,""low""),"""")"),58.0)</f>
        <v>58</v>
      </c>
      <c r="Z1105" s="22">
        <f>IFERROR(__xludf.DUMMYFUNCTION("IFERROR(GOOGLEFINANCE(A1105,""volume""),"""")"),2177100.0)</f>
        <v>2177100</v>
      </c>
      <c r="AA1105" s="24" t="str">
        <f>VLOOKUP(A1105,Metrik!$C$2:$Y$959,5,0)</f>
        <v>Logistics &amp; Deliveries</v>
      </c>
      <c r="AB1105" s="24" t="str">
        <f>VLOOKUP(A1105,Metrik!$C$2:$Y$959,3,0)</f>
        <v>Transportation &amp; Logistic</v>
      </c>
    </row>
    <row r="1106">
      <c r="A1106" s="14" t="s">
        <v>588</v>
      </c>
      <c r="B1106" s="14" t="str">
        <f t="array" ref="B1106">VLOOKUP(A1106,{Metrik!$C$2:$C$998,Metrik!$B$2:$B$998},2,0)</f>
        <v>Lippo Cikarang Tbk</v>
      </c>
      <c r="C1106" s="15">
        <f>IFERROR(__xludf.DUMMYFUNCTION("GOOGLEFINANCE(""IDX:""&amp;A1106,""price"")"),520.0)</f>
        <v>520</v>
      </c>
      <c r="D1106" s="16" t="str">
        <f>IFERROR(__xludf.DUMMYFUNCTION("IF(A1106="""","""",
SPARKLINE(
INDEX(
GOOGLEFINANCE(""IDX:""&amp;A1106,""close"",TODAY()-365,TODAY()),
,2
),
{""linewidth"",1}
))
"),"#N/A")</f>
        <v>#N/A</v>
      </c>
      <c r="E1106" s="26"/>
      <c r="F1106" s="26"/>
      <c r="G1106" s="24">
        <f t="shared" si="7"/>
        <v>0</v>
      </c>
      <c r="H1106" s="19">
        <f>VLOOKUP(A1106,Metrik!$C$2:$Y$959,8,0)</f>
        <v>16.9</v>
      </c>
      <c r="I1106" s="20">
        <f>VLOOKUP(A1106,Metrik!$C$2:$Y$959,9,0)</f>
        <v>0.38</v>
      </c>
      <c r="J1106" s="20">
        <f>VLOOKUP(A1106,Metrik!$C$2:$Y$959,10,0)</f>
        <v>2.3</v>
      </c>
      <c r="K1106" s="20">
        <f>VLOOKUP(A1106,Metrik!$C$2:$Y$959,11,0)</f>
        <v>1.4</v>
      </c>
      <c r="L1106" s="20">
        <f>VLOOKUP(A1106,Metrik!$C$2:$Y$959,12,0)</f>
        <v>0.65</v>
      </c>
      <c r="M1106" s="20">
        <f>VLOOKUP(A1106,Metrik!$C$2:$Y$959,19,0)</f>
        <v>20</v>
      </c>
      <c r="N1106" s="21"/>
      <c r="O1106" s="21"/>
      <c r="P1106" s="21"/>
      <c r="Q1106" s="21"/>
      <c r="R1106" s="21"/>
      <c r="S1106" s="21"/>
      <c r="T1106" s="21"/>
      <c r="U1106" s="22">
        <f>IFERROR(__xludf.DUMMYFUNCTION("IFERROR(GOOGLEFINANCE(A1106,""closeyest""),"""")"),520.0)</f>
        <v>520</v>
      </c>
      <c r="V1106" s="23">
        <f>IFERROR(__xludf.DUMMYFUNCTION("IFERROR(GOOGLEFINANCE(A1106,""changepct""),"""")"),0.0)</f>
        <v>0</v>
      </c>
      <c r="W1106" s="22">
        <f>IFERROR(__xludf.DUMMYFUNCTION("IFERROR(GOOGLEFINANCE(A1106,""priceopen""),"""")"),550.0)</f>
        <v>550</v>
      </c>
      <c r="X1106" s="22">
        <f>IFERROR(__xludf.DUMMYFUNCTION("IFERROR(GOOGLEFINANCE(A1106,""high""),"""")"),550.0)</f>
        <v>550</v>
      </c>
      <c r="Y1106" s="22" t="str">
        <f>IFERROR(__xludf.DUMMYFUNCTION("IFERROR(GOOGLEFINANCE(A1106,""low""),"""")"),"")</f>
        <v/>
      </c>
      <c r="Z1106" s="22">
        <f>IFERROR(__xludf.DUMMYFUNCTION("IFERROR(GOOGLEFINANCE(A1106,""volume""),"""")"),332300.0)</f>
        <v>332300</v>
      </c>
      <c r="AA1106" s="24" t="str">
        <f>VLOOKUP(A1106,Metrik!$C$2:$Y$959,5,0)</f>
        <v>Real Estate Management &amp; Development</v>
      </c>
      <c r="AB1106" s="24" t="str">
        <f>VLOOKUP(A1106,Metrik!$C$2:$Y$959,3,0)</f>
        <v>Properties &amp; Real Estate</v>
      </c>
    </row>
    <row r="1107">
      <c r="A1107" s="14" t="s">
        <v>589</v>
      </c>
      <c r="B1107" s="14" t="str">
        <f t="array" ref="B1107">VLOOKUP(A1107,{Metrik!$C$2:$C$998,Metrik!$B$2:$B$998},2,0)</f>
        <v>Lippo General Insurance Tbk.</v>
      </c>
      <c r="C1107" s="15">
        <f>IFERROR(__xludf.DUMMYFUNCTION("GOOGLEFINANCE(""IDX:""&amp;A1107,""price"")"),660.0)</f>
        <v>660</v>
      </c>
      <c r="D1107" s="16" t="str">
        <f>IFERROR(__xludf.DUMMYFUNCTION("IF(A1107="""","""",
SPARKLINE(
INDEX(
GOOGLEFINANCE(""IDX:""&amp;A1107,""close"",TODAY()-365,TODAY()),
,2
),
{""linewidth"",1}
))
"),"#N/A")</f>
        <v>#N/A</v>
      </c>
      <c r="E1107" s="26"/>
      <c r="F1107" s="26"/>
      <c r="G1107" s="24">
        <f t="shared" si="7"/>
        <v>0</v>
      </c>
      <c r="H1107" s="19">
        <f>VLOOKUP(A1107,Metrik!$C$2:$Y$959,8,0)</f>
        <v>14</v>
      </c>
      <c r="I1107" s="20">
        <f>VLOOKUP(A1107,Metrik!$C$2:$Y$959,9,0)</f>
        <v>2</v>
      </c>
      <c r="J1107" s="20">
        <f>VLOOKUP(A1107,Metrik!$C$2:$Y$959,10,0)</f>
        <v>14</v>
      </c>
      <c r="K1107" s="20">
        <f>VLOOKUP(A1107,Metrik!$C$2:$Y$959,11,0)</f>
        <v>4.2</v>
      </c>
      <c r="L1107" s="20">
        <f>VLOOKUP(A1107,Metrik!$C$2:$Y$959,12,0)</f>
        <v>2.3</v>
      </c>
      <c r="M1107" s="20">
        <f>VLOOKUP(A1107,Metrik!$C$2:$Y$959,19,0)</f>
        <v>13</v>
      </c>
      <c r="N1107" s="21"/>
      <c r="O1107" s="21"/>
      <c r="P1107" s="21"/>
      <c r="Q1107" s="21"/>
      <c r="R1107" s="21"/>
      <c r="S1107" s="21"/>
      <c r="T1107" s="21"/>
      <c r="U1107" s="22">
        <f>IFERROR(__xludf.DUMMYFUNCTION("IFERROR(GOOGLEFINANCE(A1107,""closeyest""),"""")"),660.0)</f>
        <v>660</v>
      </c>
      <c r="V1107" s="23">
        <f>IFERROR(__xludf.DUMMYFUNCTION("IFERROR(GOOGLEFINANCE(A1107,""changepct""),"""")"),0.0)</f>
        <v>0</v>
      </c>
      <c r="W1107" s="22">
        <f>IFERROR(__xludf.DUMMYFUNCTION("IFERROR(GOOGLEFINANCE(A1107,""priceopen""),"""")"),675.0)</f>
        <v>675</v>
      </c>
      <c r="X1107" s="22">
        <f>IFERROR(__xludf.DUMMYFUNCTION("IFERROR(GOOGLEFINANCE(A1107,""high""),"""")"),675.0)</f>
        <v>675</v>
      </c>
      <c r="Y1107" s="22">
        <f>IFERROR(__xludf.DUMMYFUNCTION("IFERROR(GOOGLEFINANCE(A1107,""low""),"""")"),605.0)</f>
        <v>605</v>
      </c>
      <c r="Z1107" s="22">
        <f>IFERROR(__xludf.DUMMYFUNCTION("IFERROR(GOOGLEFINANCE(A1107,""volume""),"""")"),8300.0)</f>
        <v>8300</v>
      </c>
      <c r="AA1107" s="24" t="str">
        <f>VLOOKUP(A1107,Metrik!$C$2:$Y$959,5,0)</f>
        <v>Insurance</v>
      </c>
      <c r="AB1107" s="24" t="str">
        <f>VLOOKUP(A1107,Metrik!$C$2:$Y$959,3,0)</f>
        <v>Financials</v>
      </c>
    </row>
    <row r="1108">
      <c r="A1108" s="14" t="s">
        <v>590</v>
      </c>
      <c r="B1108" s="14" t="str">
        <f t="array" ref="B1108">VLOOKUP(A1108,{Metrik!$C$2:$C$998,Metrik!$B$2:$B$998},2,0)</f>
        <v>Multi Prima Sejahtera Tbk</v>
      </c>
      <c r="C1108" s="15">
        <f>IFERROR(__xludf.DUMMYFUNCTION("GOOGLEFINANCE(""IDX:""&amp;A1108,""price"")"),396.0)</f>
        <v>396</v>
      </c>
      <c r="D1108" s="16" t="str">
        <f>IFERROR(__xludf.DUMMYFUNCTION("IF(A1108="""","""",
SPARKLINE(
INDEX(
GOOGLEFINANCE(""IDX:""&amp;A1108,""close"",TODAY()-365,TODAY()),
,2
),
{""linewidth"",1}
))
"),"#N/A")</f>
        <v>#N/A</v>
      </c>
      <c r="E1108" s="26"/>
      <c r="F1108" s="26"/>
      <c r="G1108" s="24">
        <f t="shared" si="7"/>
        <v>0</v>
      </c>
      <c r="H1108" s="19">
        <f>VLOOKUP(A1108,Metrik!$C$2:$Y$959,8,0)</f>
        <v>5.3</v>
      </c>
      <c r="I1108" s="20">
        <f>VLOOKUP(A1108,Metrik!$C$2:$Y$959,9,0)</f>
        <v>0.47</v>
      </c>
      <c r="J1108" s="20">
        <f>VLOOKUP(A1108,Metrik!$C$2:$Y$959,10,0)</f>
        <v>9</v>
      </c>
      <c r="K1108" s="20">
        <f>VLOOKUP(A1108,Metrik!$C$2:$Y$959,11,0)</f>
        <v>8.3</v>
      </c>
      <c r="L1108" s="20">
        <f>VLOOKUP(A1108,Metrik!$C$2:$Y$959,12,0)</f>
        <v>0.09</v>
      </c>
      <c r="M1108" s="20">
        <f>VLOOKUP(A1108,Metrik!$C$2:$Y$959,19,0)</f>
        <v>77</v>
      </c>
      <c r="N1108" s="21"/>
      <c r="O1108" s="21"/>
      <c r="P1108" s="21"/>
      <c r="Q1108" s="21"/>
      <c r="R1108" s="21"/>
      <c r="S1108" s="21"/>
      <c r="T1108" s="21"/>
      <c r="U1108" s="22">
        <f>IFERROR(__xludf.DUMMYFUNCTION("IFERROR(GOOGLEFINANCE(A1108,""closeyest""),"""")"),390.0)</f>
        <v>390</v>
      </c>
      <c r="V1108" s="23">
        <f>IFERROR(__xludf.DUMMYFUNCTION("IFERROR(GOOGLEFINANCE(A1108,""changepct""),"""")"),1.54)</f>
        <v>1.54</v>
      </c>
      <c r="W1108" s="22">
        <f>IFERROR(__xludf.DUMMYFUNCTION("IFERROR(GOOGLEFINANCE(A1108,""priceopen""),"""")"),390.0)</f>
        <v>390</v>
      </c>
      <c r="X1108" s="22">
        <f>IFERROR(__xludf.DUMMYFUNCTION("IFERROR(GOOGLEFINANCE(A1108,""high""),"""")"),396.0)</f>
        <v>396</v>
      </c>
      <c r="Y1108" s="22">
        <f>IFERROR(__xludf.DUMMYFUNCTION("IFERROR(GOOGLEFINANCE(A1108,""low""),"""")"),390.0)</f>
        <v>390</v>
      </c>
      <c r="Z1108" s="22">
        <f>IFERROR(__xludf.DUMMYFUNCTION("IFERROR(GOOGLEFINANCE(A1108,""volume""),"""")"),31700.0)</f>
        <v>31700</v>
      </c>
      <c r="AA1108" s="24" t="str">
        <f>VLOOKUP(A1108,Metrik!$C$2:$Y$959,5,0)</f>
        <v>Auto Components</v>
      </c>
      <c r="AB1108" s="24" t="str">
        <f>VLOOKUP(A1108,Metrik!$C$2:$Y$959,3,0)</f>
        <v>Consumer Cyclicals</v>
      </c>
    </row>
    <row r="1109">
      <c r="A1109" s="14" t="s">
        <v>591</v>
      </c>
      <c r="B1109" s="14" t="str">
        <f t="array" ref="B1109">VLOOKUP(A1109,{Metrik!$C$2:$C$998,Metrik!$B$2:$B$998},2,0)</f>
        <v>Lippo Karawaci Tbk.</v>
      </c>
      <c r="C1109" s="15">
        <f>IFERROR(__xludf.DUMMYFUNCTION("GOOGLEFINANCE(""IDX:""&amp;A1109,""price"")"),64.0)</f>
        <v>64</v>
      </c>
      <c r="D1109" s="16" t="str">
        <f>IFERROR(__xludf.DUMMYFUNCTION("IF(A1109="""","""",
SPARKLINE(
INDEX(
GOOGLEFINANCE(""IDX:""&amp;A1109,""close"",TODAY()-365,TODAY()),
,2
),
{""linewidth"",1}
))
"),"#N/A")</f>
        <v>#N/A</v>
      </c>
      <c r="E1109" s="26"/>
      <c r="F1109" s="26"/>
      <c r="G1109" s="24">
        <f t="shared" si="7"/>
        <v>0</v>
      </c>
      <c r="H1109" s="19">
        <f>VLOOKUP(A1109,Metrik!$C$2:$Y$959,8,0)</f>
        <v>12</v>
      </c>
      <c r="I1109" s="20">
        <f>VLOOKUP(A1109,Metrik!$C$2:$Y$959,9,0)</f>
        <v>0.16</v>
      </c>
      <c r="J1109" s="20">
        <f>VLOOKUP(A1109,Metrik!$C$2:$Y$959,10,0)</f>
        <v>1.3</v>
      </c>
      <c r="K1109" s="20">
        <f>VLOOKUP(A1109,Metrik!$C$2:$Y$959,11,0)</f>
        <v>0.84</v>
      </c>
      <c r="L1109" s="20">
        <f>VLOOKUP(A1109,Metrik!$C$2:$Y$959,12,0)</f>
        <v>0.59</v>
      </c>
      <c r="M1109" s="20">
        <f>VLOOKUP(A1109,Metrik!$C$2:$Y$959,19,0)</f>
        <v>22.6</v>
      </c>
      <c r="N1109" s="21"/>
      <c r="O1109" s="21"/>
      <c r="P1109" s="21"/>
      <c r="Q1109" s="21"/>
      <c r="R1109" s="21"/>
      <c r="S1109" s="21"/>
      <c r="T1109" s="21"/>
      <c r="U1109" s="22">
        <f>IFERROR(__xludf.DUMMYFUNCTION("IFERROR(GOOGLEFINANCE(A1109,""closeyest""),"""")"),61.0)</f>
        <v>61</v>
      </c>
      <c r="V1109" s="23">
        <f>IFERROR(__xludf.DUMMYFUNCTION("IFERROR(GOOGLEFINANCE(A1109,""changepct""),"""")"),4.92)</f>
        <v>4.92</v>
      </c>
      <c r="W1109" s="22" t="str">
        <f>IFERROR(__xludf.DUMMYFUNCTION("IFERROR(GOOGLEFINANCE(A1109,""priceopen""),"""")"),"")</f>
        <v/>
      </c>
      <c r="X1109" s="22">
        <f>IFERROR(__xludf.DUMMYFUNCTION("IFERROR(GOOGLEFINANCE(A1109,""high""),"""")"),65.0)</f>
        <v>65</v>
      </c>
      <c r="Y1109" s="22">
        <f>IFERROR(__xludf.DUMMYFUNCTION("IFERROR(GOOGLEFINANCE(A1109,""low""),"""")"),62.0)</f>
        <v>62</v>
      </c>
      <c r="Z1109" s="22">
        <f>IFERROR(__xludf.DUMMYFUNCTION("IFERROR(GOOGLEFINANCE(A1109,""volume""),"""")"),7.68738E7)</f>
        <v>76873800</v>
      </c>
      <c r="AA1109" s="24" t="str">
        <f>VLOOKUP(A1109,Metrik!$C$2:$Y$959,5,0)</f>
        <v>Real Estate Management &amp; Development</v>
      </c>
      <c r="AB1109" s="24" t="str">
        <f>VLOOKUP(A1109,Metrik!$C$2:$Y$959,3,0)</f>
        <v>Properties &amp; Real Estate</v>
      </c>
    </row>
    <row r="1110">
      <c r="A1110" s="14" t="s">
        <v>592</v>
      </c>
      <c r="B1110" s="14" t="str">
        <f t="array" ref="B1110">VLOOKUP(A1110,{Metrik!$C$2:$C$998,Metrik!$B$2:$B$998},2,0)</f>
        <v>Star Pacific Tbk</v>
      </c>
      <c r="C1110" s="15">
        <f>IFERROR(__xludf.DUMMYFUNCTION("GOOGLEFINANCE(""IDX:""&amp;A1110,""price"")"),246.0)</f>
        <v>246</v>
      </c>
      <c r="D1110" s="16" t="str">
        <f>IFERROR(__xludf.DUMMYFUNCTION("IF(A1110="""","""",
SPARKLINE(
INDEX(
GOOGLEFINANCE(""IDX:""&amp;A1110,""close"",TODAY()-365,TODAY()),
,2
),
{""linewidth"",1}
))
"),"#N/A")</f>
        <v>#N/A</v>
      </c>
      <c r="E1110" s="26"/>
      <c r="F1110" s="26"/>
      <c r="G1110" s="24">
        <f t="shared" si="7"/>
        <v>0</v>
      </c>
      <c r="H1110" s="19">
        <f>VLOOKUP(A1110,Metrik!$C$2:$Y$959,8,0)</f>
        <v>0.34</v>
      </c>
      <c r="I1110" s="20">
        <f>VLOOKUP(A1110,Metrik!$C$2:$Y$959,9,0)</f>
        <v>0.15</v>
      </c>
      <c r="J1110" s="20">
        <f>VLOOKUP(A1110,Metrik!$C$2:$Y$959,10,0)</f>
        <v>44.1</v>
      </c>
      <c r="K1110" s="20">
        <f>VLOOKUP(A1110,Metrik!$C$2:$Y$959,11,0)</f>
        <v>43.6</v>
      </c>
      <c r="L1110" s="20">
        <f>VLOOKUP(A1110,Metrik!$C$2:$Y$959,12,0)</f>
        <v>0.01</v>
      </c>
      <c r="M1110" s="20">
        <f>VLOOKUP(A1110,Metrik!$C$2:$Y$959,19,0)</f>
        <v>34000</v>
      </c>
      <c r="N1110" s="21"/>
      <c r="O1110" s="21"/>
      <c r="P1110" s="21"/>
      <c r="Q1110" s="21"/>
      <c r="R1110" s="21"/>
      <c r="S1110" s="21"/>
      <c r="T1110" s="21"/>
      <c r="U1110" s="22">
        <f>IFERROR(__xludf.DUMMYFUNCTION("IFERROR(GOOGLEFINANCE(A1110,""closeyest""),"""")"),240.0)</f>
        <v>240</v>
      </c>
      <c r="V1110" s="23">
        <f>IFERROR(__xludf.DUMMYFUNCTION("IFERROR(GOOGLEFINANCE(A1110,""changepct""),"""")"),2.5)</f>
        <v>2.5</v>
      </c>
      <c r="W1110" s="22" t="str">
        <f>IFERROR(__xludf.DUMMYFUNCTION("IFERROR(GOOGLEFINANCE(A1110,""priceopen""),"""")"),"")</f>
        <v/>
      </c>
      <c r="X1110" s="22">
        <f>IFERROR(__xludf.DUMMYFUNCTION("IFERROR(GOOGLEFINANCE(A1110,""high""),"""")"),246.0)</f>
        <v>246</v>
      </c>
      <c r="Y1110" s="22">
        <f>IFERROR(__xludf.DUMMYFUNCTION("IFERROR(GOOGLEFINANCE(A1110,""low""),"""")"),224.0)</f>
        <v>224</v>
      </c>
      <c r="Z1110" s="22">
        <f>IFERROR(__xludf.DUMMYFUNCTION("IFERROR(GOOGLEFINANCE(A1110,""volume""),"""")"),83400.0)</f>
        <v>83400</v>
      </c>
      <c r="AA1110" s="24" t="str">
        <f>VLOOKUP(A1110,Metrik!$C$2:$Y$959,5,0)</f>
        <v>Real Estate Management &amp; Development</v>
      </c>
      <c r="AB1110" s="24" t="str">
        <f>VLOOKUP(A1110,Metrik!$C$2:$Y$959,3,0)</f>
        <v>Properties &amp; Real Estate</v>
      </c>
    </row>
    <row r="1111">
      <c r="A1111" s="14" t="s">
        <v>593</v>
      </c>
      <c r="B1111" s="14" t="str">
        <f t="array" ref="B1111">VLOOKUP(A1111,{Metrik!$C$2:$C$998,Metrik!$B$2:$B$998},2,0)</f>
        <v>MDS Retailing Tbk.</v>
      </c>
      <c r="C1111" s="15">
        <f>IFERROR(__xludf.DUMMYFUNCTION("GOOGLEFINANCE(""IDX:""&amp;A1111,""price"")"),1595.0)</f>
        <v>1595</v>
      </c>
      <c r="D1111" s="16" t="str">
        <f>IFERROR(__xludf.DUMMYFUNCTION("IF(A1111="""","""",
SPARKLINE(
INDEX(
GOOGLEFINANCE(""IDX:""&amp;A1111,""close"",TODAY()-365,TODAY()),
,2
),
{""linewidth"",1}
))
"),"#N/A")</f>
        <v>#N/A</v>
      </c>
      <c r="E1111" s="26"/>
      <c r="F1111" s="26"/>
      <c r="G1111" s="24">
        <f t="shared" si="7"/>
        <v>0</v>
      </c>
      <c r="H1111" s="19">
        <f>VLOOKUP(A1111,Metrik!$C$2:$Y$959,8,0)</f>
        <v>4.7</v>
      </c>
      <c r="I1111" s="20">
        <f>VLOOKUP(A1111,Metrik!$C$2:$Y$959,9,0)</f>
        <v>3.6</v>
      </c>
      <c r="J1111" s="20">
        <f>VLOOKUP(A1111,Metrik!$C$2:$Y$959,10,0)</f>
        <v>76.8</v>
      </c>
      <c r="K1111" s="20">
        <f>VLOOKUP(A1111,Metrik!$C$2:$Y$959,11,0)</f>
        <v>11.3</v>
      </c>
      <c r="L1111" s="20">
        <f>VLOOKUP(A1111,Metrik!$C$2:$Y$959,12,0)</f>
        <v>5.8</v>
      </c>
      <c r="M1111" s="20">
        <f>VLOOKUP(A1111,Metrik!$C$2:$Y$959,19,0)</f>
        <v>31.1</v>
      </c>
      <c r="N1111" s="21"/>
      <c r="O1111" s="21"/>
      <c r="P1111" s="21"/>
      <c r="Q1111" s="21"/>
      <c r="R1111" s="21"/>
      <c r="S1111" s="21"/>
      <c r="T1111" s="21"/>
      <c r="U1111" s="22">
        <f>IFERROR(__xludf.DUMMYFUNCTION("IFERROR(GOOGLEFINANCE(A1111,""closeyest""),"""")"),1540.0)</f>
        <v>1540</v>
      </c>
      <c r="V1111" s="23">
        <f>IFERROR(__xludf.DUMMYFUNCTION("IFERROR(GOOGLEFINANCE(A1111,""changepct""),"""")"),3.57)</f>
        <v>3.57</v>
      </c>
      <c r="W1111" s="22">
        <f>IFERROR(__xludf.DUMMYFUNCTION("IFERROR(GOOGLEFINANCE(A1111,""priceopen""),"""")"),1540.0)</f>
        <v>1540</v>
      </c>
      <c r="X1111" s="22">
        <f>IFERROR(__xludf.DUMMYFUNCTION("IFERROR(GOOGLEFINANCE(A1111,""high""),"""")"),1595.0)</f>
        <v>1595</v>
      </c>
      <c r="Y1111" s="22">
        <f>IFERROR(__xludf.DUMMYFUNCTION("IFERROR(GOOGLEFINANCE(A1111,""low""),"""")"),1540.0)</f>
        <v>1540</v>
      </c>
      <c r="Z1111" s="22">
        <f>IFERROR(__xludf.DUMMYFUNCTION("IFERROR(GOOGLEFINANCE(A1111,""volume""),"""")"),1279900.0)</f>
        <v>1279900</v>
      </c>
      <c r="AA1111" s="24" t="str">
        <f>VLOOKUP(A1111,Metrik!$C$2:$Y$959,5,0)</f>
        <v>Department Stores</v>
      </c>
      <c r="AB1111" s="24" t="str">
        <f>VLOOKUP(A1111,Metrik!$C$2:$Y$959,3,0)</f>
        <v>Consumer Cyclicals</v>
      </c>
    </row>
    <row r="1112">
      <c r="A1112" s="14" t="s">
        <v>594</v>
      </c>
      <c r="B1112" s="14" t="str">
        <f t="array" ref="B1112">VLOOKUP(A1112,{Metrik!$C$2:$C$998,Metrik!$B$2:$B$998},2,0)</f>
        <v>PT Lenox Pasifik Investama Tbk</v>
      </c>
      <c r="C1112" s="15">
        <f>IFERROR(__xludf.DUMMYFUNCTION("GOOGLEFINANCE(""IDX:""&amp;A1112,""price"")"),68.0)</f>
        <v>68</v>
      </c>
      <c r="D1112" s="16" t="str">
        <f>IFERROR(__xludf.DUMMYFUNCTION("IF(A1112="""","""",
SPARKLINE(
INDEX(
GOOGLEFINANCE(""IDX:""&amp;A1112,""close"",TODAY()-365,TODAY()),
,2
),
{""linewidth"",1}
))
"),"#N/A")</f>
        <v>#N/A</v>
      </c>
      <c r="E1112" s="26"/>
      <c r="F1112" s="26"/>
      <c r="G1112" s="18">
        <f t="shared" si="7"/>
        <v>0</v>
      </c>
      <c r="H1112" s="19">
        <f>VLOOKUP(A1112,Metrik!$C$2:$Y$959,8,0)</f>
        <v>13.1</v>
      </c>
      <c r="I1112" s="20">
        <f>VLOOKUP(A1112,Metrik!$C$2:$Y$959,9,0)</f>
        <v>0.26</v>
      </c>
      <c r="J1112" s="20">
        <f>VLOOKUP(A1112,Metrik!$C$2:$Y$959,10,0)</f>
        <v>2</v>
      </c>
      <c r="K1112" s="20">
        <f>VLOOKUP(A1112,Metrik!$C$2:$Y$959,11,0)</f>
        <v>2</v>
      </c>
      <c r="L1112" s="20">
        <f>VLOOKUP(A1112,Metrik!$C$2:$Y$959,12,0)</f>
        <v>0</v>
      </c>
      <c r="M1112" s="20">
        <f>VLOOKUP(A1112,Metrik!$C$2:$Y$959,19,0)</f>
        <v>16000</v>
      </c>
      <c r="N1112" s="21"/>
      <c r="O1112" s="21"/>
      <c r="P1112" s="21"/>
      <c r="Q1112" s="21"/>
      <c r="R1112" s="21"/>
      <c r="S1112" s="21"/>
      <c r="T1112" s="21"/>
      <c r="U1112" s="22">
        <f>IFERROR(__xludf.DUMMYFUNCTION("IFERROR(GOOGLEFINANCE(A1112,""closeyest""),"""")"),66.0)</f>
        <v>66</v>
      </c>
      <c r="V1112" s="23">
        <f>IFERROR(__xludf.DUMMYFUNCTION("IFERROR(GOOGLEFINANCE(A1112,""changepct""),"""")"),3.03)</f>
        <v>3.03</v>
      </c>
      <c r="W1112" s="22">
        <f>IFERROR(__xludf.DUMMYFUNCTION("IFERROR(GOOGLEFINANCE(A1112,""priceopen""),"""")"),67.0)</f>
        <v>67</v>
      </c>
      <c r="X1112" s="22">
        <f>IFERROR(__xludf.DUMMYFUNCTION("IFERROR(GOOGLEFINANCE(A1112,""high""),"""")"),71.0)</f>
        <v>71</v>
      </c>
      <c r="Y1112" s="22">
        <f>IFERROR(__xludf.DUMMYFUNCTION("IFERROR(GOOGLEFINANCE(A1112,""low""),"""")"),67.0)</f>
        <v>67</v>
      </c>
      <c r="Z1112" s="22">
        <f>IFERROR(__xludf.DUMMYFUNCTION("IFERROR(GOOGLEFINANCE(A1112,""volume""),"""")"),1177900.0)</f>
        <v>1177900</v>
      </c>
      <c r="AA1112" s="24" t="str">
        <f>VLOOKUP(A1112,Metrik!$C$2:$Y$959,5,0)</f>
        <v>Holding &amp; Investment Companies</v>
      </c>
      <c r="AB1112" s="24" t="str">
        <f>VLOOKUP(A1112,Metrik!$C$2:$Y$959,3,0)</f>
        <v>Financials</v>
      </c>
    </row>
    <row r="1113">
      <c r="A1113" s="14" t="s">
        <v>595</v>
      </c>
      <c r="B1113" s="14" t="str">
        <f t="array" ref="B1113">VLOOKUP(A1113,{Metrik!$C$2:$C$998,Metrik!$B$2:$B$998},2,0)</f>
        <v>PT Eka Sari Lorena Transport Tbk.</v>
      </c>
      <c r="C1113" s="15">
        <f>IFERROR(__xludf.DUMMYFUNCTION("GOOGLEFINANCE(""IDX:""&amp;A1113,""price"")"),181.0)</f>
        <v>181</v>
      </c>
      <c r="D1113" s="16" t="str">
        <f>IFERROR(__xludf.DUMMYFUNCTION("IF(A1113="""","""",
SPARKLINE(
INDEX(
GOOGLEFINANCE(""IDX:""&amp;A1113,""close"",TODAY()-365,TODAY()),
,2
),
{""linewidth"",1}
))
"),"#N/A")</f>
        <v>#N/A</v>
      </c>
      <c r="E1113" s="26"/>
      <c r="F1113" s="26"/>
      <c r="G1113" s="24">
        <f t="shared" si="7"/>
        <v>0</v>
      </c>
      <c r="H1113" s="19">
        <f>VLOOKUP(A1113,Metrik!$C$2:$Y$959,8,0)</f>
        <v>-2.9</v>
      </c>
      <c r="I1113" s="20">
        <f>VLOOKUP(A1113,Metrik!$C$2:$Y$959,9,0)</f>
        <v>0.26</v>
      </c>
      <c r="J1113" s="20">
        <f>VLOOKUP(A1113,Metrik!$C$2:$Y$959,10,0)</f>
        <v>-8.8</v>
      </c>
      <c r="K1113" s="20">
        <f>VLOOKUP(A1113,Metrik!$C$2:$Y$959,11,0)</f>
        <v>-7.7</v>
      </c>
      <c r="L1113" s="20">
        <f>VLOOKUP(A1113,Metrik!$C$2:$Y$959,12,0)</f>
        <v>0.14</v>
      </c>
      <c r="M1113" s="20">
        <f>VLOOKUP(A1113,Metrik!$C$2:$Y$959,19,0)</f>
        <v>-160</v>
      </c>
      <c r="N1113" s="21"/>
      <c r="O1113" s="21"/>
      <c r="P1113" s="21"/>
      <c r="Q1113" s="21"/>
      <c r="R1113" s="21"/>
      <c r="S1113" s="21"/>
      <c r="T1113" s="21"/>
      <c r="U1113" s="22">
        <f>IFERROR(__xludf.DUMMYFUNCTION("IFERROR(GOOGLEFINANCE(A1113,""closeyest""),"""")"),174.0)</f>
        <v>174</v>
      </c>
      <c r="V1113" s="23" t="str">
        <f>IFERROR(__xludf.DUMMYFUNCTION("IFERROR(GOOGLEFINANCE(A1113,""changepct""),"""")"),"")</f>
        <v/>
      </c>
      <c r="W1113" s="22">
        <f>IFERROR(__xludf.DUMMYFUNCTION("IFERROR(GOOGLEFINANCE(A1113,""priceopen""),"""")"),173.0)</f>
        <v>173</v>
      </c>
      <c r="X1113" s="22">
        <f>IFERROR(__xludf.DUMMYFUNCTION("IFERROR(GOOGLEFINANCE(A1113,""high""),"""")"),182.0)</f>
        <v>182</v>
      </c>
      <c r="Y1113" s="22">
        <f>IFERROR(__xludf.DUMMYFUNCTION("IFERROR(GOOGLEFINANCE(A1113,""low""),"""")"),173.0)</f>
        <v>173</v>
      </c>
      <c r="Z1113" s="22">
        <f>IFERROR(__xludf.DUMMYFUNCTION("IFERROR(GOOGLEFINANCE(A1113,""volume""),"""")"),264800.0)</f>
        <v>264800</v>
      </c>
      <c r="AA1113" s="24" t="str">
        <f>VLOOKUP(A1113,Metrik!$C$2:$Y$959,5,0)</f>
        <v>Passenger Land Transportation</v>
      </c>
      <c r="AB1113" s="24" t="str">
        <f>VLOOKUP(A1113,Metrik!$C$2:$Y$959,3,0)</f>
        <v>Transportation &amp; Logistic</v>
      </c>
    </row>
    <row r="1114">
      <c r="A1114" s="14" t="s">
        <v>596</v>
      </c>
      <c r="B1114" s="14" t="str">
        <f t="array" ref="B1114">VLOOKUP(A1114,{Metrik!$C$2:$C$998,Metrik!$B$2:$B$998},2,0)</f>
        <v>PP London Sumatra Indonesia Tbk</v>
      </c>
      <c r="C1114" s="15">
        <f>IFERROR(__xludf.DUMMYFUNCTION("GOOGLEFINANCE(""IDX:""&amp;A1114,""price"")"),1250.0)</f>
        <v>1250</v>
      </c>
      <c r="D1114" s="16" t="str">
        <f>IFERROR(__xludf.DUMMYFUNCTION("IF(A1114="""","""",
SPARKLINE(
INDEX(
GOOGLEFINANCE(""IDX:""&amp;A1114,""close"",TODAY()-365,TODAY()),
,2
),
{""linewidth"",1}
))
"),"#N/A")</f>
        <v>#N/A</v>
      </c>
      <c r="E1114" s="14" t="s">
        <v>65</v>
      </c>
      <c r="F1114" s="25">
        <v>46356.0</v>
      </c>
      <c r="G1114" s="18">
        <f t="shared" si="7"/>
        <v>5</v>
      </c>
      <c r="H1114" s="19">
        <f>VLOOKUP(A1114,Metrik!$C$2:$Y$959,8,0)</f>
        <v>4.7</v>
      </c>
      <c r="I1114" s="20">
        <f>VLOOKUP(A1114,Metrik!$C$2:$Y$959,9,0)</f>
        <v>0.61</v>
      </c>
      <c r="J1114" s="20">
        <f>VLOOKUP(A1114,Metrik!$C$2:$Y$959,10,0)</f>
        <v>13.1</v>
      </c>
      <c r="K1114" s="20">
        <f>VLOOKUP(A1114,Metrik!$C$2:$Y$959,11,0)</f>
        <v>12</v>
      </c>
      <c r="L1114" s="20">
        <f>VLOOKUP(A1114,Metrik!$C$2:$Y$959,12,0)</f>
        <v>0.1</v>
      </c>
      <c r="M1114" s="20">
        <f>VLOOKUP(A1114,Metrik!$C$2:$Y$959,19,0)</f>
        <v>140</v>
      </c>
      <c r="N1114" s="21"/>
      <c r="O1114" s="21"/>
      <c r="P1114" s="21"/>
      <c r="Q1114" s="21"/>
      <c r="R1114" s="21"/>
      <c r="S1114" s="21"/>
      <c r="T1114" s="21"/>
      <c r="U1114" s="22">
        <f>IFERROR(__xludf.DUMMYFUNCTION("IFERROR(GOOGLEFINANCE(A1114,""closeyest""),"""")"),1195.0)</f>
        <v>1195</v>
      </c>
      <c r="V1114" s="23">
        <f>IFERROR(__xludf.DUMMYFUNCTION("IFERROR(GOOGLEFINANCE(A1114,""changepct""),"""")"),4.6)</f>
        <v>4.6</v>
      </c>
      <c r="W1114" s="22">
        <f>IFERROR(__xludf.DUMMYFUNCTION("IFERROR(GOOGLEFINANCE(A1114,""priceopen""),"""")"),1200.0)</f>
        <v>1200</v>
      </c>
      <c r="X1114" s="22">
        <f>IFERROR(__xludf.DUMMYFUNCTION("IFERROR(GOOGLEFINANCE(A1114,""high""),"""")"),1285.0)</f>
        <v>1285</v>
      </c>
      <c r="Y1114" s="22">
        <f>IFERROR(__xludf.DUMMYFUNCTION("IFERROR(GOOGLEFINANCE(A1114,""low""),"""")"),1200.0)</f>
        <v>1200</v>
      </c>
      <c r="Z1114" s="22">
        <f>IFERROR(__xludf.DUMMYFUNCTION("IFERROR(GOOGLEFINANCE(A1114,""volume""),"""")"),1.92242E7)</f>
        <v>19224200</v>
      </c>
      <c r="AA1114" s="24" t="str">
        <f>VLOOKUP(A1114,Metrik!$C$2:$Y$959,5,0)</f>
        <v>Agricultural Products</v>
      </c>
      <c r="AB1114" s="24" t="str">
        <f>VLOOKUP(A1114,Metrik!$C$2:$Y$959,3,0)</f>
        <v>Consumer Non-Cyclicals</v>
      </c>
    </row>
    <row r="1115">
      <c r="A1115" s="14" t="s">
        <v>596</v>
      </c>
      <c r="B1115" s="14" t="str">
        <f t="array" ref="B1115">VLOOKUP(A1115,{Metrik!$C$2:$C$998,Metrik!$B$2:$B$998},2,0)</f>
        <v>PP London Sumatra Indonesia Tbk</v>
      </c>
      <c r="C1115" s="15">
        <f>IFERROR(__xludf.DUMMYFUNCTION("GOOGLEFINANCE(""IDX:""&amp;A1115,""price"")"),1250.0)</f>
        <v>1250</v>
      </c>
      <c r="D1115" s="16" t="str">
        <f>IFERROR(__xludf.DUMMYFUNCTION("IF(A1115="""","""",
SPARKLINE(
INDEX(
GOOGLEFINANCE(""IDX:""&amp;A1115,""close"",TODAY()-365,TODAY()),
,2
),
{""linewidth"",1}
))
"),"#N/A")</f>
        <v>#N/A</v>
      </c>
      <c r="E1115" s="14" t="s">
        <v>55</v>
      </c>
      <c r="F1115" s="25">
        <v>46356.0</v>
      </c>
      <c r="G1115" s="18">
        <f t="shared" si="7"/>
        <v>5</v>
      </c>
      <c r="H1115" s="19">
        <f>VLOOKUP(A1115,Metrik!$C$2:$Y$959,8,0)</f>
        <v>4.7</v>
      </c>
      <c r="I1115" s="20">
        <f>VLOOKUP(A1115,Metrik!$C$2:$Y$959,9,0)</f>
        <v>0.61</v>
      </c>
      <c r="J1115" s="20">
        <f>VLOOKUP(A1115,Metrik!$C$2:$Y$959,10,0)</f>
        <v>13.1</v>
      </c>
      <c r="K1115" s="20">
        <f>VLOOKUP(A1115,Metrik!$C$2:$Y$959,11,0)</f>
        <v>12</v>
      </c>
      <c r="L1115" s="20">
        <f>VLOOKUP(A1115,Metrik!$C$2:$Y$959,12,0)</f>
        <v>0.1</v>
      </c>
      <c r="M1115" s="20">
        <f>VLOOKUP(A1115,Metrik!$C$2:$Y$959,19,0)</f>
        <v>140</v>
      </c>
      <c r="N1115" s="21"/>
      <c r="O1115" s="21"/>
      <c r="P1115" s="21"/>
      <c r="Q1115" s="21"/>
      <c r="R1115" s="21"/>
      <c r="S1115" s="21"/>
      <c r="T1115" s="21"/>
      <c r="U1115" s="22">
        <f>IFERROR(__xludf.DUMMYFUNCTION("IFERROR(GOOGLEFINANCE(A1115,""closeyest""),"""")"),1195.0)</f>
        <v>1195</v>
      </c>
      <c r="V1115" s="23">
        <f>IFERROR(__xludf.DUMMYFUNCTION("IFERROR(GOOGLEFINANCE(A1115,""changepct""),"""")"),4.6)</f>
        <v>4.6</v>
      </c>
      <c r="W1115" s="22">
        <f>IFERROR(__xludf.DUMMYFUNCTION("IFERROR(GOOGLEFINANCE(A1115,""priceopen""),"""")"),1200.0)</f>
        <v>1200</v>
      </c>
      <c r="X1115" s="22">
        <f>IFERROR(__xludf.DUMMYFUNCTION("IFERROR(GOOGLEFINANCE(A1115,""high""),"""")"),1285.0)</f>
        <v>1285</v>
      </c>
      <c r="Y1115" s="22">
        <f>IFERROR(__xludf.DUMMYFUNCTION("IFERROR(GOOGLEFINANCE(A1115,""low""),"""")"),1200.0)</f>
        <v>1200</v>
      </c>
      <c r="Z1115" s="22">
        <f>IFERROR(__xludf.DUMMYFUNCTION("IFERROR(GOOGLEFINANCE(A1115,""volume""),"""")"),1.92242E7)</f>
        <v>19224200</v>
      </c>
      <c r="AA1115" s="24" t="str">
        <f>VLOOKUP(A1115,Metrik!$C$2:$Y$959,5,0)</f>
        <v>Agricultural Products</v>
      </c>
      <c r="AB1115" s="24" t="str">
        <f>VLOOKUP(A1115,Metrik!$C$2:$Y$959,3,0)</f>
        <v>Consumer Non-Cyclicals</v>
      </c>
    </row>
    <row r="1116">
      <c r="A1116" s="14" t="s">
        <v>596</v>
      </c>
      <c r="B1116" s="14" t="str">
        <f t="array" ref="B1116">VLOOKUP(A1116,{Metrik!$C$2:$C$998,Metrik!$B$2:$B$998},2,0)</f>
        <v>PP London Sumatra Indonesia Tbk</v>
      </c>
      <c r="C1116" s="15">
        <f>IFERROR(__xludf.DUMMYFUNCTION("GOOGLEFINANCE(""IDX:""&amp;A1116,""price"")"),1250.0)</f>
        <v>1250</v>
      </c>
      <c r="D1116" s="16" t="str">
        <f>IFERROR(__xludf.DUMMYFUNCTION("IF(A1116="""","""",
SPARKLINE(
INDEX(
GOOGLEFINANCE(""IDX:""&amp;A1116,""close"",TODAY()-365,TODAY()),
,2
),
{""linewidth"",1}
))
"),"#N/A")</f>
        <v>#N/A</v>
      </c>
      <c r="E1116" s="14" t="s">
        <v>102</v>
      </c>
      <c r="F1116" s="27" t="s">
        <v>53</v>
      </c>
      <c r="G1116" s="18">
        <f t="shared" si="7"/>
        <v>5</v>
      </c>
      <c r="H1116" s="19">
        <f>VLOOKUP(A1116,Metrik!$C$2:$Y$959,8,0)</f>
        <v>4.7</v>
      </c>
      <c r="I1116" s="20">
        <f>VLOOKUP(A1116,Metrik!$C$2:$Y$959,9,0)</f>
        <v>0.61</v>
      </c>
      <c r="J1116" s="20">
        <f>VLOOKUP(A1116,Metrik!$C$2:$Y$959,10,0)</f>
        <v>13.1</v>
      </c>
      <c r="K1116" s="20">
        <f>VLOOKUP(A1116,Metrik!$C$2:$Y$959,11,0)</f>
        <v>12</v>
      </c>
      <c r="L1116" s="20">
        <f>VLOOKUP(A1116,Metrik!$C$2:$Y$959,12,0)</f>
        <v>0.1</v>
      </c>
      <c r="M1116" s="20">
        <f>VLOOKUP(A1116,Metrik!$C$2:$Y$959,19,0)</f>
        <v>140</v>
      </c>
      <c r="N1116" s="21"/>
      <c r="O1116" s="21"/>
      <c r="P1116" s="21"/>
      <c r="Q1116" s="21"/>
      <c r="R1116" s="21"/>
      <c r="S1116" s="21"/>
      <c r="T1116" s="21"/>
      <c r="U1116" s="22">
        <f>IFERROR(__xludf.DUMMYFUNCTION("IFERROR(GOOGLEFINANCE(A1116,""closeyest""),"""")"),1195.0)</f>
        <v>1195</v>
      </c>
      <c r="V1116" s="23">
        <f>IFERROR(__xludf.DUMMYFUNCTION("IFERROR(GOOGLEFINANCE(A1116,""changepct""),"""")"),4.6)</f>
        <v>4.6</v>
      </c>
      <c r="W1116" s="22">
        <f>IFERROR(__xludf.DUMMYFUNCTION("IFERROR(GOOGLEFINANCE(A1116,""priceopen""),"""")"),1200.0)</f>
        <v>1200</v>
      </c>
      <c r="X1116" s="22">
        <f>IFERROR(__xludf.DUMMYFUNCTION("IFERROR(GOOGLEFINANCE(A1116,""high""),"""")"),1285.0)</f>
        <v>1285</v>
      </c>
      <c r="Y1116" s="22">
        <f>IFERROR(__xludf.DUMMYFUNCTION("IFERROR(GOOGLEFINANCE(A1116,""low""),"""")"),1200.0)</f>
        <v>1200</v>
      </c>
      <c r="Z1116" s="22">
        <f>IFERROR(__xludf.DUMMYFUNCTION("IFERROR(GOOGLEFINANCE(A1116,""volume""),"""")"),1.92242E7)</f>
        <v>19224200</v>
      </c>
      <c r="AA1116" s="24" t="str">
        <f>VLOOKUP(A1116,Metrik!$C$2:$Y$959,5,0)</f>
        <v>Agricultural Products</v>
      </c>
      <c r="AB1116" s="24" t="str">
        <f>VLOOKUP(A1116,Metrik!$C$2:$Y$959,3,0)</f>
        <v>Consumer Non-Cyclicals</v>
      </c>
    </row>
    <row r="1117">
      <c r="A1117" s="14" t="s">
        <v>596</v>
      </c>
      <c r="B1117" s="14" t="str">
        <f t="array" ref="B1117">VLOOKUP(A1117,{Metrik!$C$2:$C$998,Metrik!$B$2:$B$998},2,0)</f>
        <v>PP London Sumatra Indonesia Tbk</v>
      </c>
      <c r="C1117" s="15">
        <f>IFERROR(__xludf.DUMMYFUNCTION("GOOGLEFINANCE(""IDX:""&amp;A1117,""price"")"),1250.0)</f>
        <v>1250</v>
      </c>
      <c r="D1117" s="16" t="str">
        <f>IFERROR(__xludf.DUMMYFUNCTION("IF(A1117="""","""",
SPARKLINE(
INDEX(
GOOGLEFINANCE(""IDX:""&amp;A1117,""close"",TODAY()-365,TODAY()),
,2
),
{""linewidth"",1}
))
"),"#N/A")</f>
        <v>#N/A</v>
      </c>
      <c r="E1117" s="14" t="s">
        <v>41</v>
      </c>
      <c r="F1117" s="14" t="s">
        <v>34</v>
      </c>
      <c r="G1117" s="18">
        <f t="shared" si="7"/>
        <v>5</v>
      </c>
      <c r="H1117" s="19">
        <f>VLOOKUP(A1117,Metrik!$C$2:$Y$959,8,0)</f>
        <v>4.7</v>
      </c>
      <c r="I1117" s="20">
        <f>VLOOKUP(A1117,Metrik!$C$2:$Y$959,9,0)</f>
        <v>0.61</v>
      </c>
      <c r="J1117" s="20">
        <f>VLOOKUP(A1117,Metrik!$C$2:$Y$959,10,0)</f>
        <v>13.1</v>
      </c>
      <c r="K1117" s="20">
        <f>VLOOKUP(A1117,Metrik!$C$2:$Y$959,11,0)</f>
        <v>12</v>
      </c>
      <c r="L1117" s="20">
        <f>VLOOKUP(A1117,Metrik!$C$2:$Y$959,12,0)</f>
        <v>0.1</v>
      </c>
      <c r="M1117" s="20">
        <f>VLOOKUP(A1117,Metrik!$C$2:$Y$959,19,0)</f>
        <v>140</v>
      </c>
      <c r="N1117" s="21"/>
      <c r="O1117" s="21"/>
      <c r="P1117" s="21"/>
      <c r="Q1117" s="21"/>
      <c r="R1117" s="21"/>
      <c r="S1117" s="21"/>
      <c r="T1117" s="21"/>
      <c r="U1117" s="22">
        <f>IFERROR(__xludf.DUMMYFUNCTION("IFERROR(GOOGLEFINANCE(A1117,""closeyest""),"""")"),1195.0)</f>
        <v>1195</v>
      </c>
      <c r="V1117" s="23">
        <f>IFERROR(__xludf.DUMMYFUNCTION("IFERROR(GOOGLEFINANCE(A1117,""changepct""),"""")"),4.6)</f>
        <v>4.6</v>
      </c>
      <c r="W1117" s="22">
        <f>IFERROR(__xludf.DUMMYFUNCTION("IFERROR(GOOGLEFINANCE(A1117,""priceopen""),"""")"),1200.0)</f>
        <v>1200</v>
      </c>
      <c r="X1117" s="22">
        <f>IFERROR(__xludf.DUMMYFUNCTION("IFERROR(GOOGLEFINANCE(A1117,""high""),"""")"),1285.0)</f>
        <v>1285</v>
      </c>
      <c r="Y1117" s="22">
        <f>IFERROR(__xludf.DUMMYFUNCTION("IFERROR(GOOGLEFINANCE(A1117,""low""),"""")"),1200.0)</f>
        <v>1200</v>
      </c>
      <c r="Z1117" s="22">
        <f>IFERROR(__xludf.DUMMYFUNCTION("IFERROR(GOOGLEFINANCE(A1117,""volume""),"""")"),1.92242E7)</f>
        <v>19224200</v>
      </c>
      <c r="AA1117" s="24" t="str">
        <f>VLOOKUP(A1117,Metrik!$C$2:$Y$959,5,0)</f>
        <v>Agricultural Products</v>
      </c>
      <c r="AB1117" s="24" t="str">
        <f>VLOOKUP(A1117,Metrik!$C$2:$Y$959,3,0)</f>
        <v>Consumer Non-Cyclicals</v>
      </c>
    </row>
    <row r="1118">
      <c r="A1118" s="14" t="s">
        <v>596</v>
      </c>
      <c r="B1118" s="14" t="str">
        <f t="array" ref="B1118">VLOOKUP(A1118,{Metrik!$C$2:$C$998,Metrik!$B$2:$B$998},2,0)</f>
        <v>PP London Sumatra Indonesia Tbk</v>
      </c>
      <c r="C1118" s="15">
        <f>IFERROR(__xludf.DUMMYFUNCTION("GOOGLEFINANCE(""IDX:""&amp;A1118,""price"")"),1250.0)</f>
        <v>1250</v>
      </c>
      <c r="D1118" s="16" t="str">
        <f>IFERROR(__xludf.DUMMYFUNCTION("IF(A1118="""","""",
SPARKLINE(
INDEX(
GOOGLEFINANCE(""IDX:""&amp;A1118,""close"",TODAY()-365,TODAY()),
,2
),
{""linewidth"",1}
))
"),"#N/A")</f>
        <v>#N/A</v>
      </c>
      <c r="E1118" s="14" t="s">
        <v>39</v>
      </c>
      <c r="F1118" s="25">
        <v>46356.0</v>
      </c>
      <c r="G1118" s="18">
        <f t="shared" si="7"/>
        <v>5</v>
      </c>
      <c r="H1118" s="19">
        <f>VLOOKUP(A1118,Metrik!$C$2:$Y$959,8,0)</f>
        <v>4.7</v>
      </c>
      <c r="I1118" s="20">
        <f>VLOOKUP(A1118,Metrik!$C$2:$Y$959,9,0)</f>
        <v>0.61</v>
      </c>
      <c r="J1118" s="20">
        <f>VLOOKUP(A1118,Metrik!$C$2:$Y$959,10,0)</f>
        <v>13.1</v>
      </c>
      <c r="K1118" s="20">
        <f>VLOOKUP(A1118,Metrik!$C$2:$Y$959,11,0)</f>
        <v>12</v>
      </c>
      <c r="L1118" s="20">
        <f>VLOOKUP(A1118,Metrik!$C$2:$Y$959,12,0)</f>
        <v>0.1</v>
      </c>
      <c r="M1118" s="20">
        <f>VLOOKUP(A1118,Metrik!$C$2:$Y$959,19,0)</f>
        <v>140</v>
      </c>
      <c r="N1118" s="21"/>
      <c r="O1118" s="21"/>
      <c r="P1118" s="21"/>
      <c r="Q1118" s="21"/>
      <c r="R1118" s="21"/>
      <c r="S1118" s="21"/>
      <c r="T1118" s="21"/>
      <c r="U1118" s="22">
        <f>IFERROR(__xludf.DUMMYFUNCTION("IFERROR(GOOGLEFINANCE(A1118,""closeyest""),"""")"),1195.0)</f>
        <v>1195</v>
      </c>
      <c r="V1118" s="23">
        <f>IFERROR(__xludf.DUMMYFUNCTION("IFERROR(GOOGLEFINANCE(A1118,""changepct""),"""")"),4.6)</f>
        <v>4.6</v>
      </c>
      <c r="W1118" s="22">
        <f>IFERROR(__xludf.DUMMYFUNCTION("IFERROR(GOOGLEFINANCE(A1118,""priceopen""),"""")"),1200.0)</f>
        <v>1200</v>
      </c>
      <c r="X1118" s="22">
        <f>IFERROR(__xludf.DUMMYFUNCTION("IFERROR(GOOGLEFINANCE(A1118,""high""),"""")"),1285.0)</f>
        <v>1285</v>
      </c>
      <c r="Y1118" s="22">
        <f>IFERROR(__xludf.DUMMYFUNCTION("IFERROR(GOOGLEFINANCE(A1118,""low""),"""")"),1200.0)</f>
        <v>1200</v>
      </c>
      <c r="Z1118" s="22">
        <f>IFERROR(__xludf.DUMMYFUNCTION("IFERROR(GOOGLEFINANCE(A1118,""volume""),"""")"),1.92242E7)</f>
        <v>19224200</v>
      </c>
      <c r="AA1118" s="24" t="str">
        <f>VLOOKUP(A1118,Metrik!$C$2:$Y$959,5,0)</f>
        <v>Agricultural Products</v>
      </c>
      <c r="AB1118" s="24" t="str">
        <f>VLOOKUP(A1118,Metrik!$C$2:$Y$959,3,0)</f>
        <v>Consumer Non-Cyclicals</v>
      </c>
    </row>
    <row r="1119">
      <c r="A1119" s="14" t="s">
        <v>597</v>
      </c>
      <c r="B1119" s="14" t="str">
        <f t="array" ref="B1119">VLOOKUP(A1119,{Metrik!$C$2:$C$998,Metrik!$B$2:$B$998},2,0)</f>
        <v>Lautan Luas Tbk.</v>
      </c>
      <c r="C1119" s="15">
        <f>IFERROR(__xludf.DUMMYFUNCTION("GOOGLEFINANCE(""IDX:""&amp;A1119,""price"")"),715.0)</f>
        <v>715</v>
      </c>
      <c r="D1119" s="16" t="str">
        <f>IFERROR(__xludf.DUMMYFUNCTION("IF(A1119="""","""",
SPARKLINE(
INDEX(
GOOGLEFINANCE(""IDX:""&amp;A1119,""close"",TODAY()-365,TODAY()),
,2
),
{""linewidth"",1}
))
"),"#N/A")</f>
        <v>#N/A</v>
      </c>
      <c r="E1119" s="26"/>
      <c r="F1119" s="26"/>
      <c r="G1119" s="24">
        <f t="shared" si="7"/>
        <v>0</v>
      </c>
      <c r="H1119" s="19">
        <f>VLOOKUP(A1119,Metrik!$C$2:$Y$959,8,0)</f>
        <v>8.1</v>
      </c>
      <c r="I1119" s="20">
        <f>VLOOKUP(A1119,Metrik!$C$2:$Y$959,9,0)</f>
        <v>0.35</v>
      </c>
      <c r="J1119" s="20">
        <f>VLOOKUP(A1119,Metrik!$C$2:$Y$959,10,0)</f>
        <v>4.3</v>
      </c>
      <c r="K1119" s="20">
        <f>VLOOKUP(A1119,Metrik!$C$2:$Y$959,11,0)</f>
        <v>2.1</v>
      </c>
      <c r="L1119" s="20">
        <f>VLOOKUP(A1119,Metrik!$C$2:$Y$959,12,0)</f>
        <v>1</v>
      </c>
      <c r="M1119" s="20">
        <f>VLOOKUP(A1119,Metrik!$C$2:$Y$959,19,0)</f>
        <v>6.6</v>
      </c>
      <c r="N1119" s="21"/>
      <c r="O1119" s="21"/>
      <c r="P1119" s="21"/>
      <c r="Q1119" s="21"/>
      <c r="R1119" s="21"/>
      <c r="S1119" s="21"/>
      <c r="T1119" s="21"/>
      <c r="U1119" s="22">
        <f>IFERROR(__xludf.DUMMYFUNCTION("IFERROR(GOOGLEFINANCE(A1119,""closeyest""),"""")"),710.0)</f>
        <v>710</v>
      </c>
      <c r="V1119" s="23">
        <f>IFERROR(__xludf.DUMMYFUNCTION("IFERROR(GOOGLEFINANCE(A1119,""changepct""),"""")"),0.7)</f>
        <v>0.7</v>
      </c>
      <c r="W1119" s="22">
        <f>IFERROR(__xludf.DUMMYFUNCTION("IFERROR(GOOGLEFINANCE(A1119,""priceopen""),"""")"),710.0)</f>
        <v>710</v>
      </c>
      <c r="X1119" s="22">
        <f>IFERROR(__xludf.DUMMYFUNCTION("IFERROR(GOOGLEFINANCE(A1119,""high""),"""")"),760.0)</f>
        <v>760</v>
      </c>
      <c r="Y1119" s="22">
        <f>IFERROR(__xludf.DUMMYFUNCTION("IFERROR(GOOGLEFINANCE(A1119,""low""),"""")"),670.0)</f>
        <v>670</v>
      </c>
      <c r="Z1119" s="22">
        <f>IFERROR(__xludf.DUMMYFUNCTION("IFERROR(GOOGLEFINANCE(A1119,""volume""),"""")"),101400.0)</f>
        <v>101400</v>
      </c>
      <c r="AA1119" s="24" t="str">
        <f>VLOOKUP(A1119,Metrik!$C$2:$Y$959,5,0)</f>
        <v>Chemicals</v>
      </c>
      <c r="AB1119" s="24" t="str">
        <f>VLOOKUP(A1119,Metrik!$C$2:$Y$959,3,0)</f>
        <v>Basic Materials</v>
      </c>
    </row>
    <row r="1120">
      <c r="A1120" s="14" t="s">
        <v>598</v>
      </c>
      <c r="B1120" s="14" t="str">
        <f t="array" ref="B1120">VLOOKUP(A1120,{Metrik!$C$2:$C$998,Metrik!$B$2:$B$998},2,0)</f>
        <v>Sentral Mitra Informatika Tbk.</v>
      </c>
      <c r="C1120" s="15">
        <f>IFERROR(__xludf.DUMMYFUNCTION("GOOGLEFINANCE(""IDX:""&amp;A1120,""price"")"),101.0)</f>
        <v>101</v>
      </c>
      <c r="D1120" s="16" t="str">
        <f>IFERROR(__xludf.DUMMYFUNCTION("IF(A1120="""","""",
SPARKLINE(
INDEX(
GOOGLEFINANCE(""IDX:""&amp;A1120,""close"",TODAY()-365,TODAY()),
,2
),
{""linewidth"",1}
))
"),"#N/A")</f>
        <v>#N/A</v>
      </c>
      <c r="E1120" s="26"/>
      <c r="F1120" s="26"/>
      <c r="G1120" s="24">
        <f t="shared" si="7"/>
        <v>0</v>
      </c>
      <c r="H1120" s="19">
        <f>VLOOKUP(A1120,Metrik!$C$2:$Y$959,8,0)</f>
        <v>-5.9</v>
      </c>
      <c r="I1120" s="20">
        <f>VLOOKUP(A1120,Metrik!$C$2:$Y$959,9,0)</f>
        <v>0.69</v>
      </c>
      <c r="J1120" s="20">
        <f>VLOOKUP(A1120,Metrik!$C$2:$Y$959,10,0)</f>
        <v>-11.7</v>
      </c>
      <c r="K1120" s="20">
        <f>VLOOKUP(A1120,Metrik!$C$2:$Y$959,11,0)</f>
        <v>-9.2</v>
      </c>
      <c r="L1120" s="20">
        <f>VLOOKUP(A1120,Metrik!$C$2:$Y$959,12,0)</f>
        <v>0.27</v>
      </c>
      <c r="M1120" s="20">
        <f>VLOOKUP(A1120,Metrik!$C$2:$Y$959,19,0)</f>
        <v>-24</v>
      </c>
      <c r="N1120" s="21"/>
      <c r="O1120" s="21"/>
      <c r="P1120" s="21"/>
      <c r="Q1120" s="21"/>
      <c r="R1120" s="21"/>
      <c r="S1120" s="21"/>
      <c r="T1120" s="21"/>
      <c r="U1120" s="22">
        <f>IFERROR(__xludf.DUMMYFUNCTION("IFERROR(GOOGLEFINANCE(A1120,""closeyest""),"""")"),8.81)</f>
        <v>8.81</v>
      </c>
      <c r="V1120" s="23">
        <f>IFERROR(__xludf.DUMMYFUNCTION("IFERROR(GOOGLEFINANCE(A1120,""changepct""),"""")"),-0.57)</f>
        <v>-0.57</v>
      </c>
      <c r="W1120" s="22">
        <f>IFERROR(__xludf.DUMMYFUNCTION("IFERROR(GOOGLEFINANCE(A1120,""priceopen""),"""")"),8.8)</f>
        <v>8.8</v>
      </c>
      <c r="X1120" s="22">
        <f>IFERROR(__xludf.DUMMYFUNCTION("IFERROR(GOOGLEFINANCE(A1120,""high""),"""")"),9.01)</f>
        <v>9.01</v>
      </c>
      <c r="Y1120" s="22">
        <f>IFERROR(__xludf.DUMMYFUNCTION("IFERROR(GOOGLEFINANCE(A1120,""low""),"""")"),8.73)</f>
        <v>8.73</v>
      </c>
      <c r="Z1120" s="22">
        <f>IFERROR(__xludf.DUMMYFUNCTION("IFERROR(GOOGLEFINANCE(A1120,""volume""),"""")"),133776.0)</f>
        <v>133776</v>
      </c>
      <c r="AA1120" s="24" t="str">
        <f>VLOOKUP(A1120,Metrik!$C$2:$Y$959,5,0)</f>
        <v>Computer Hardware</v>
      </c>
      <c r="AB1120" s="24" t="str">
        <f>VLOOKUP(A1120,Metrik!$C$2:$Y$959,3,0)</f>
        <v>Technology</v>
      </c>
    </row>
    <row r="1121">
      <c r="A1121" s="14" t="s">
        <v>599</v>
      </c>
      <c r="B1121" s="14" t="str">
        <f t="array" ref="B1121">VLOOKUP(A1121,{Metrik!$C$2:$C$998,Metrik!$B$2:$B$998},2,0)</f>
        <v>Lima Dua Lima Tiga Tbk.</v>
      </c>
      <c r="C1121" s="15">
        <f>IFERROR(__xludf.DUMMYFUNCTION("GOOGLEFINANCE(""IDX:""&amp;A1121,""price"")"),1490.0)</f>
        <v>1490</v>
      </c>
      <c r="D1121" s="16" t="str">
        <f>IFERROR(__xludf.DUMMYFUNCTION("IF(A1121="""","""",
SPARKLINE(
INDEX(
GOOGLEFINANCE(""IDX:""&amp;A1121,""close"",TODAY()-365,TODAY()),
,2
),
{""linewidth"",1}
))
"),"#N/A")</f>
        <v>#N/A</v>
      </c>
      <c r="E1121" s="26"/>
      <c r="F1121" s="26"/>
      <c r="G1121" s="24">
        <f t="shared" si="7"/>
        <v>0</v>
      </c>
      <c r="H1121" s="19">
        <f>VLOOKUP(A1121,Metrik!$C$2:$Y$959,8,0)</f>
        <v>-35.8</v>
      </c>
      <c r="I1121" s="20">
        <f>VLOOKUP(A1121,Metrik!$C$2:$Y$959,9,0)</f>
        <v>60.1</v>
      </c>
      <c r="J1121" s="20">
        <f>VLOOKUP(A1121,Metrik!$C$2:$Y$959,10,0)</f>
        <v>-170</v>
      </c>
      <c r="K1121" s="20">
        <f>VLOOKUP(A1121,Metrik!$C$2:$Y$959,11,0)</f>
        <v>-51.8</v>
      </c>
      <c r="L1121" s="20">
        <f>VLOOKUP(A1121,Metrik!$C$2:$Y$959,12,0)</f>
        <v>2.2</v>
      </c>
      <c r="M1121" s="20">
        <f>VLOOKUP(A1121,Metrik!$C$2:$Y$959,19,0)</f>
        <v>-52.4</v>
      </c>
      <c r="N1121" s="21"/>
      <c r="O1121" s="21"/>
      <c r="P1121" s="21"/>
      <c r="Q1121" s="21"/>
      <c r="R1121" s="21"/>
      <c r="S1121" s="21"/>
      <c r="T1121" s="21"/>
      <c r="U1121" s="22">
        <f>IFERROR(__xludf.DUMMYFUNCTION("IFERROR(GOOGLEFINANCE(A1121,""closeyest""),"""")"),0.89)</f>
        <v>0.89</v>
      </c>
      <c r="V1121" s="23">
        <f>IFERROR(__xludf.DUMMYFUNCTION("IFERROR(GOOGLEFINANCE(A1121,""changepct""),"""")"),-2.1)</f>
        <v>-2.1</v>
      </c>
      <c r="W1121" s="22">
        <f>IFERROR(__xludf.DUMMYFUNCTION("IFERROR(GOOGLEFINANCE(A1121,""priceopen""),"""")"),0.88)</f>
        <v>0.88</v>
      </c>
      <c r="X1121" s="22">
        <f>IFERROR(__xludf.DUMMYFUNCTION("IFERROR(GOOGLEFINANCE(A1121,""high""),"""")"),0.92)</f>
        <v>0.92</v>
      </c>
      <c r="Y1121" s="22">
        <f>IFERROR(__xludf.DUMMYFUNCTION("IFERROR(GOOGLEFINANCE(A1121,""low""),"""")"),0.87)</f>
        <v>0.87</v>
      </c>
      <c r="Z1121" s="22">
        <f>IFERROR(__xludf.DUMMYFUNCTION("IFERROR(GOOGLEFINANCE(A1121,""volume""),"""")"),59685.0)</f>
        <v>59685</v>
      </c>
      <c r="AA1121" s="24" t="str">
        <f>VLOOKUP(A1121,Metrik!$C$2:$Y$959,5,0)</f>
        <v>Tourism &amp; Recreation</v>
      </c>
      <c r="AB1121" s="24" t="str">
        <f>VLOOKUP(A1121,Metrik!$C$2:$Y$959,3,0)</f>
        <v>Consumer Cyclicals</v>
      </c>
    </row>
    <row r="1122">
      <c r="A1122" s="14" t="s">
        <v>600</v>
      </c>
      <c r="B1122" s="14" t="str">
        <f t="array" ref="B1122">VLOOKUP(A1122,{Metrik!$C$2:$C$998,Metrik!$B$2:$B$998},2,0)</f>
        <v>Marga Abhinaya Abadi Tbk.</v>
      </c>
      <c r="C1122" s="15">
        <f>IFERROR(__xludf.DUMMYFUNCTION("GOOGLEFINANCE(""IDX:""&amp;A1122,""price"")"),50.0)</f>
        <v>50</v>
      </c>
      <c r="D1122" s="16" t="str">
        <f>IFERROR(__xludf.DUMMYFUNCTION("IF(A1122="""","""",
SPARKLINE(
INDEX(
GOOGLEFINANCE(""IDX:""&amp;A1122,""close"",TODAY()-365,TODAY()),
,2
),
{""linewidth"",1}
))
"),"#N/A")</f>
        <v>#N/A</v>
      </c>
      <c r="E1122" s="26"/>
      <c r="F1122" s="26"/>
      <c r="G1122" s="24">
        <f t="shared" si="7"/>
        <v>0</v>
      </c>
      <c r="H1122" s="19">
        <f>VLOOKUP(A1122,Metrik!$C$2:$Y$959,8,0)</f>
        <v>0</v>
      </c>
      <c r="I1122" s="20">
        <f>VLOOKUP(A1122,Metrik!$C$2:$Y$959,9,0)</f>
        <v>2.7</v>
      </c>
      <c r="J1122" s="20">
        <f>VLOOKUP(A1122,Metrik!$C$2:$Y$959,10,0)</f>
        <v>-92.1</v>
      </c>
      <c r="K1122" s="20">
        <f>VLOOKUP(A1122,Metrik!$C$2:$Y$959,11,0)</f>
        <v>-11.8</v>
      </c>
      <c r="L1122" s="20">
        <f>VLOOKUP(A1122,Metrik!$C$2:$Y$959,12,0)</f>
        <v>6.8</v>
      </c>
      <c r="M1122" s="20">
        <f>VLOOKUP(A1122,Metrik!$C$2:$Y$959,19,0)</f>
        <v>-580</v>
      </c>
      <c r="N1122" s="21"/>
      <c r="O1122" s="21"/>
      <c r="P1122" s="21"/>
      <c r="Q1122" s="21"/>
      <c r="R1122" s="21"/>
      <c r="S1122" s="21"/>
      <c r="T1122" s="21"/>
      <c r="U1122" s="22">
        <f>IFERROR(__xludf.DUMMYFUNCTION("IFERROR(GOOGLEFINANCE(A1122,""closeyest""),"""")"),50.0)</f>
        <v>50</v>
      </c>
      <c r="V1122" s="23">
        <f>IFERROR(__xludf.DUMMYFUNCTION("IFERROR(GOOGLEFINANCE(A1122,""changepct""),"""")"),0.0)</f>
        <v>0</v>
      </c>
      <c r="W1122" s="22" t="str">
        <f>IFERROR(__xludf.DUMMYFUNCTION("IFERROR(GOOGLEFINANCE(A1122,""priceopen""),"""")"),"")</f>
        <v/>
      </c>
      <c r="X1122" s="22" t="str">
        <f>IFERROR(__xludf.DUMMYFUNCTION("IFERROR(GOOGLEFINANCE(A1122,""high""),"""")"),"")</f>
        <v/>
      </c>
      <c r="Y1122" s="22" t="str">
        <f>IFERROR(__xludf.DUMMYFUNCTION("IFERROR(GOOGLEFINANCE(A1122,""low""),"""")"),"")</f>
        <v/>
      </c>
      <c r="Z1122" s="22">
        <f>IFERROR(__xludf.DUMMYFUNCTION("IFERROR(GOOGLEFINANCE(A1122,""volume""),"""")"),0.0)</f>
        <v>0</v>
      </c>
      <c r="AA1122" s="24" t="str">
        <f>VLOOKUP(A1122,Metrik!$C$2:$Y$959,5,0)</f>
        <v>Tourism &amp; Recreation</v>
      </c>
      <c r="AB1122" s="24" t="str">
        <f>VLOOKUP(A1122,Metrik!$C$2:$Y$959,3,0)</f>
        <v>Consumer Cyclicals</v>
      </c>
    </row>
    <row r="1123">
      <c r="A1123" s="14" t="s">
        <v>601</v>
      </c>
      <c r="B1123" s="14" t="str">
        <f t="array" ref="B1123">VLOOKUP(A1123,{Metrik!$C$2:$C$998,Metrik!$B$2:$B$998},2,0)</f>
        <v>Multi Agro Gemilang Plantation Tbk</v>
      </c>
      <c r="C1123" s="15">
        <f>IFERROR(__xludf.DUMMYFUNCTION("GOOGLEFINANCE(""IDX:""&amp;A1123,""price"")"),50.0)</f>
        <v>50</v>
      </c>
      <c r="D1123" s="16" t="str">
        <f>IFERROR(__xludf.DUMMYFUNCTION("IF(A1123="""","""",
SPARKLINE(
INDEX(
GOOGLEFINANCE(""IDX:""&amp;A1123,""close"",TODAY()-365,TODAY()),
,2
),
{""linewidth"",1}
))
"),"#N/A")</f>
        <v>#N/A</v>
      </c>
      <c r="E1123" s="26"/>
      <c r="F1123" s="26"/>
      <c r="G1123" s="24">
        <f t="shared" si="7"/>
        <v>0</v>
      </c>
      <c r="H1123" s="19">
        <f>VLOOKUP(A1123,Metrik!$C$2:$Y$959,8,0)</f>
        <v>0</v>
      </c>
      <c r="I1123" s="20">
        <f>VLOOKUP(A1123,Metrik!$C$2:$Y$959,9,0)</f>
        <v>5.9</v>
      </c>
      <c r="J1123" s="20">
        <f>VLOOKUP(A1123,Metrik!$C$2:$Y$959,10,0)</f>
        <v>-83.7</v>
      </c>
      <c r="K1123" s="20">
        <f>VLOOKUP(A1123,Metrik!$C$2:$Y$959,11,0)</f>
        <v>-7.6</v>
      </c>
      <c r="L1123" s="20">
        <f>VLOOKUP(A1123,Metrik!$C$2:$Y$959,12,0)</f>
        <v>10.1</v>
      </c>
      <c r="M1123" s="20">
        <f>VLOOKUP(A1123,Metrik!$C$2:$Y$959,19,0)</f>
        <v>-200</v>
      </c>
      <c r="N1123" s="21"/>
      <c r="O1123" s="21"/>
      <c r="P1123" s="21"/>
      <c r="Q1123" s="21"/>
      <c r="R1123" s="21"/>
      <c r="S1123" s="21"/>
      <c r="T1123" s="21"/>
      <c r="U1123" s="22">
        <f>IFERROR(__xludf.DUMMYFUNCTION("IFERROR(GOOGLEFINANCE(A1123,""closeyest""),"""")"),50.0)</f>
        <v>50</v>
      </c>
      <c r="V1123" s="23">
        <f>IFERROR(__xludf.DUMMYFUNCTION("IFERROR(GOOGLEFINANCE(A1123,""changepct""),"""")"),0.0)</f>
        <v>0</v>
      </c>
      <c r="W1123" s="22" t="str">
        <f>IFERROR(__xludf.DUMMYFUNCTION("IFERROR(GOOGLEFINANCE(A1123,""priceopen""),"""")"),"")</f>
        <v/>
      </c>
      <c r="X1123" s="22" t="str">
        <f>IFERROR(__xludf.DUMMYFUNCTION("IFERROR(GOOGLEFINANCE(A1123,""high""),"""")"),"")</f>
        <v/>
      </c>
      <c r="Y1123" s="22" t="str">
        <f>IFERROR(__xludf.DUMMYFUNCTION("IFERROR(GOOGLEFINANCE(A1123,""low""),"""")"),"")</f>
        <v/>
      </c>
      <c r="Z1123" s="22">
        <f>IFERROR(__xludf.DUMMYFUNCTION("IFERROR(GOOGLEFINANCE(A1123,""volume""),"""")"),0.0)</f>
        <v>0</v>
      </c>
      <c r="AA1123" s="24" t="str">
        <f>VLOOKUP(A1123,Metrik!$C$2:$Y$959,5,0)</f>
        <v>Agricultural Products</v>
      </c>
      <c r="AB1123" s="24" t="str">
        <f>VLOOKUP(A1123,Metrik!$C$2:$Y$959,3,0)</f>
        <v>Consumer Non-Cyclicals</v>
      </c>
    </row>
    <row r="1124">
      <c r="A1124" s="14" t="s">
        <v>602</v>
      </c>
      <c r="B1124" s="14" t="str">
        <f t="array" ref="B1124">VLOOKUP(A1124,{Metrik!$C$2:$C$998,Metrik!$B$2:$B$998},2,0)</f>
        <v>PT Mandiri Herindo Adiperkasa Tbk</v>
      </c>
      <c r="C1124" s="15">
        <f>IFERROR(__xludf.DUMMYFUNCTION("GOOGLEFINANCE(""IDX:""&amp;A1124,""price"")"),134.0)</f>
        <v>134</v>
      </c>
      <c r="D1124" s="16" t="str">
        <f>IFERROR(__xludf.DUMMYFUNCTION("IF(A1124="""","""",
SPARKLINE(
INDEX(
GOOGLEFINANCE(""IDX:""&amp;A1124,""close"",TODAY()-365,TODAY()),
,2
),
{""linewidth"",1}
))
"),"#N/A")</f>
        <v>#N/A</v>
      </c>
      <c r="E1124" s="26"/>
      <c r="F1124" s="26"/>
      <c r="G1124" s="24">
        <f t="shared" si="7"/>
        <v>0</v>
      </c>
      <c r="H1124" s="19">
        <f>VLOOKUP(A1124,Metrik!$C$2:$Y$959,8,0)</f>
        <v>7.6</v>
      </c>
      <c r="I1124" s="20">
        <f>VLOOKUP(A1124,Metrik!$C$2:$Y$959,9,0)</f>
        <v>1.2</v>
      </c>
      <c r="J1124" s="20">
        <f>VLOOKUP(A1124,Metrik!$C$2:$Y$959,10,0)</f>
        <v>16</v>
      </c>
      <c r="K1124" s="20">
        <f>VLOOKUP(A1124,Metrik!$C$2:$Y$959,11,0)</f>
        <v>10.6</v>
      </c>
      <c r="L1124" s="20">
        <f>VLOOKUP(A1124,Metrik!$C$2:$Y$959,12,0)</f>
        <v>0.52</v>
      </c>
      <c r="M1124" s="20">
        <f>VLOOKUP(A1124,Metrik!$C$2:$Y$959,19,0)</f>
        <v>44</v>
      </c>
      <c r="N1124" s="21"/>
      <c r="O1124" s="21"/>
      <c r="P1124" s="21"/>
      <c r="Q1124" s="21"/>
      <c r="R1124" s="21"/>
      <c r="S1124" s="21"/>
      <c r="T1124" s="21"/>
      <c r="U1124" s="22">
        <f>IFERROR(__xludf.DUMMYFUNCTION("IFERROR(GOOGLEFINANCE(A1124,""closeyest""),"""")"),129.0)</f>
        <v>129</v>
      </c>
      <c r="V1124" s="23">
        <f>IFERROR(__xludf.DUMMYFUNCTION("IFERROR(GOOGLEFINANCE(A1124,""changepct""),"""")"),3.88)</f>
        <v>3.88</v>
      </c>
      <c r="W1124" s="22">
        <f>IFERROR(__xludf.DUMMYFUNCTION("IFERROR(GOOGLEFINANCE(A1124,""priceopen""),"""")"),129.0)</f>
        <v>129</v>
      </c>
      <c r="X1124" s="22">
        <f>IFERROR(__xludf.DUMMYFUNCTION("IFERROR(GOOGLEFINANCE(A1124,""high""),"""")"),135.0)</f>
        <v>135</v>
      </c>
      <c r="Y1124" s="22">
        <f>IFERROR(__xludf.DUMMYFUNCTION("IFERROR(GOOGLEFINANCE(A1124,""low""),"""")"),128.0)</f>
        <v>128</v>
      </c>
      <c r="Z1124" s="22">
        <f>IFERROR(__xludf.DUMMYFUNCTION("IFERROR(GOOGLEFINANCE(A1124,""volume""),"""")"),1820200.0)</f>
        <v>1820200</v>
      </c>
      <c r="AA1124" s="24" t="str">
        <f>VLOOKUP(A1124,Metrik!$C$2:$Y$959,5,0)</f>
        <v>Coal</v>
      </c>
      <c r="AB1124" s="24" t="str">
        <f>VLOOKUP(A1124,Metrik!$C$2:$Y$959,3,0)</f>
        <v>Energy</v>
      </c>
    </row>
    <row r="1125">
      <c r="A1125" s="14" t="s">
        <v>603</v>
      </c>
      <c r="B1125" s="14" t="str">
        <f t="array" ref="B1125">VLOOKUP(A1125,{Metrik!$C$2:$C$998,Metrik!$B$2:$B$998},2,0)</f>
        <v>Malindo Feedmill Tbk.</v>
      </c>
      <c r="C1125" s="15">
        <f>IFERROR(__xludf.DUMMYFUNCTION("GOOGLEFINANCE(""IDX:""&amp;A1125,""price"")"),685.0)</f>
        <v>685</v>
      </c>
      <c r="D1125" s="16" t="str">
        <f>IFERROR(__xludf.DUMMYFUNCTION("IF(A1125="""","""",
SPARKLINE(
INDEX(
GOOGLEFINANCE(""IDX:""&amp;A1125,""close"",TODAY()-365,TODAY()),
,2
),
{""linewidth"",1}
))
"),"#N/A")</f>
        <v>#N/A</v>
      </c>
      <c r="E1125" s="26"/>
      <c r="F1125" s="26"/>
      <c r="G1125" s="24">
        <f t="shared" si="7"/>
        <v>0</v>
      </c>
      <c r="H1125" s="19">
        <f>VLOOKUP(A1125,Metrik!$C$2:$Y$959,8,0)</f>
        <v>4.1</v>
      </c>
      <c r="I1125" s="20">
        <f>VLOOKUP(A1125,Metrik!$C$2:$Y$959,9,0)</f>
        <v>0.62</v>
      </c>
      <c r="J1125" s="20">
        <f>VLOOKUP(A1125,Metrik!$C$2:$Y$959,10,0)</f>
        <v>15.1</v>
      </c>
      <c r="K1125" s="20">
        <f>VLOOKUP(A1125,Metrik!$C$2:$Y$959,11,0)</f>
        <v>7.4</v>
      </c>
      <c r="L1125" s="20">
        <f>VLOOKUP(A1125,Metrik!$C$2:$Y$959,12,0)</f>
        <v>1</v>
      </c>
      <c r="M1125" s="20">
        <f>VLOOKUP(A1125,Metrik!$C$2:$Y$959,19,0)</f>
        <v>12.3</v>
      </c>
      <c r="N1125" s="21"/>
      <c r="O1125" s="21"/>
      <c r="P1125" s="21"/>
      <c r="Q1125" s="21"/>
      <c r="R1125" s="21"/>
      <c r="S1125" s="21"/>
      <c r="T1125" s="21"/>
      <c r="U1125" s="22">
        <f>IFERROR(__xludf.DUMMYFUNCTION("IFERROR(GOOGLEFINANCE(A1125,""closeyest""),"""")"),51.74)</f>
        <v>51.74</v>
      </c>
      <c r="V1125" s="23">
        <f>IFERROR(__xludf.DUMMYFUNCTION("IFERROR(GOOGLEFINANCE(A1125,""changepct""),"""")"),0.54)</f>
        <v>0.54</v>
      </c>
      <c r="W1125" s="22">
        <f>IFERROR(__xludf.DUMMYFUNCTION("IFERROR(GOOGLEFINANCE(A1125,""priceopen""),"""")"),51.9)</f>
        <v>51.9</v>
      </c>
      <c r="X1125" s="22">
        <f>IFERROR(__xludf.DUMMYFUNCTION("IFERROR(GOOGLEFINANCE(A1125,""high""),"""")"),52.45)</f>
        <v>52.45</v>
      </c>
      <c r="Y1125" s="22">
        <f>IFERROR(__xludf.DUMMYFUNCTION("IFERROR(GOOGLEFINANCE(A1125,""low""),"""")"),51.5)</f>
        <v>51.5</v>
      </c>
      <c r="Z1125" s="22">
        <f>IFERROR(__xludf.DUMMYFUNCTION("IFERROR(GOOGLEFINANCE(A1125,""volume""),"""")"),385627.0)</f>
        <v>385627</v>
      </c>
      <c r="AA1125" s="24" t="str">
        <f>VLOOKUP(A1125,Metrik!$C$2:$Y$959,5,0)</f>
        <v>Agricultural Products</v>
      </c>
      <c r="AB1125" s="24" t="str">
        <f>VLOOKUP(A1125,Metrik!$C$2:$Y$959,3,0)</f>
        <v>Consumer Non-Cyclicals</v>
      </c>
    </row>
    <row r="1126">
      <c r="A1126" s="14" t="s">
        <v>604</v>
      </c>
      <c r="B1126" s="14" t="str">
        <f t="array" ref="B1126">VLOOKUP(A1126,{Metrik!$C$2:$C$998,Metrik!$B$2:$B$998},2,0)</f>
        <v>Manggung Polahraya Tbk.</v>
      </c>
      <c r="C1126" s="15">
        <f>IFERROR(__xludf.DUMMYFUNCTION("GOOGLEFINANCE(""IDX:""&amp;A1126,""price"")"),42.0)</f>
        <v>42</v>
      </c>
      <c r="D1126" s="16" t="str">
        <f>IFERROR(__xludf.DUMMYFUNCTION("IF(A1126="""","""",
SPARKLINE(
INDEX(
GOOGLEFINANCE(""IDX:""&amp;A1126,""close"",TODAY()-365,TODAY()),
,2
),
{""linewidth"",1}
))
"),"#N/A")</f>
        <v>#N/A</v>
      </c>
      <c r="E1126" s="26"/>
      <c r="F1126" s="26"/>
      <c r="G1126" s="24">
        <f t="shared" si="7"/>
        <v>0</v>
      </c>
      <c r="H1126" s="19">
        <f>VLOOKUP(A1126,Metrik!$C$2:$Y$959,8,0)</f>
        <v>-14.3</v>
      </c>
      <c r="I1126" s="20">
        <f>VLOOKUP(A1126,Metrik!$C$2:$Y$959,9,0)</f>
        <v>1.4</v>
      </c>
      <c r="J1126" s="20">
        <f>VLOOKUP(A1126,Metrik!$C$2:$Y$959,10,0)</f>
        <v>-9.5</v>
      </c>
      <c r="K1126" s="20">
        <f>VLOOKUP(A1126,Metrik!$C$2:$Y$959,11,0)</f>
        <v>-7.8</v>
      </c>
      <c r="L1126" s="20">
        <f>VLOOKUP(A1126,Metrik!$C$2:$Y$959,12,0)</f>
        <v>0.22</v>
      </c>
      <c r="M1126" s="20">
        <f>VLOOKUP(A1126,Metrik!$C$2:$Y$959,19,0)</f>
        <v>-390</v>
      </c>
      <c r="N1126" s="21"/>
      <c r="O1126" s="21"/>
      <c r="P1126" s="21"/>
      <c r="Q1126" s="21"/>
      <c r="R1126" s="21"/>
      <c r="S1126" s="21"/>
      <c r="T1126" s="21"/>
      <c r="U1126" s="22">
        <f>IFERROR(__xludf.DUMMYFUNCTION("IFERROR(GOOGLEFINANCE(A1126,""closeyest""),"""")"),42.0)</f>
        <v>42</v>
      </c>
      <c r="V1126" s="23">
        <f>IFERROR(__xludf.DUMMYFUNCTION("IFERROR(GOOGLEFINANCE(A1126,""changepct""),"""")"),0.0)</f>
        <v>0</v>
      </c>
      <c r="W1126" s="22">
        <f>IFERROR(__xludf.DUMMYFUNCTION("IFERROR(GOOGLEFINANCE(A1126,""priceopen""),"""")"),42.0)</f>
        <v>42</v>
      </c>
      <c r="X1126" s="22">
        <f>IFERROR(__xludf.DUMMYFUNCTION("IFERROR(GOOGLEFINANCE(A1126,""high""),"""")"),42.0)</f>
        <v>42</v>
      </c>
      <c r="Y1126" s="22">
        <f>IFERROR(__xludf.DUMMYFUNCTION("IFERROR(GOOGLEFINANCE(A1126,""low""),"""")"),41.0)</f>
        <v>41</v>
      </c>
      <c r="Z1126" s="22">
        <f>IFERROR(__xludf.DUMMYFUNCTION("IFERROR(GOOGLEFINANCE(A1126,""volume""),"""")"),5273100.0)</f>
        <v>5273100</v>
      </c>
      <c r="AA1126" s="24" t="str">
        <f>VLOOKUP(A1126,Metrik!$C$2:$Y$959,5,0)</f>
        <v>Heavy Constructions &amp; Civil Engineering</v>
      </c>
      <c r="AB1126" s="24" t="str">
        <f>VLOOKUP(A1126,Metrik!$C$2:$Y$959,3,0)</f>
        <v>Infrastructures</v>
      </c>
    </row>
    <row r="1127">
      <c r="A1127" s="14" t="s">
        <v>605</v>
      </c>
      <c r="B1127" s="14" t="str">
        <f t="array" ref="B1127">VLOOKUP(A1127,{Metrik!$C$2:$C$998,Metrik!$B$2:$B$998},2,0)</f>
        <v>Map Aktif Adiperkasa Tbk.</v>
      </c>
      <c r="C1127" s="15">
        <f>IFERROR(__xludf.DUMMYFUNCTION("GOOGLEFINANCE(""IDX:""&amp;A1127,""price"")"),565.0)</f>
        <v>565</v>
      </c>
      <c r="D1127" s="16" t="str">
        <f>IFERROR(__xludf.DUMMYFUNCTION("IF(A1127="""","""",
SPARKLINE(
INDEX(
GOOGLEFINANCE(""IDX:""&amp;A1127,""close"",TODAY()-365,TODAY()),
,2
),
{""linewidth"",1}
))
"),"#N/A")</f>
        <v>#N/A</v>
      </c>
      <c r="E1127" s="14" t="s">
        <v>65</v>
      </c>
      <c r="F1127" s="25">
        <v>46356.0</v>
      </c>
      <c r="G1127" s="18">
        <f t="shared" si="7"/>
        <v>9</v>
      </c>
      <c r="H1127" s="19">
        <f>VLOOKUP(A1127,Metrik!$C$2:$Y$959,8,0)</f>
        <v>9.9</v>
      </c>
      <c r="I1127" s="20">
        <f>VLOOKUP(A1127,Metrik!$C$2:$Y$959,9,0)</f>
        <v>2</v>
      </c>
      <c r="J1127" s="20">
        <f>VLOOKUP(A1127,Metrik!$C$2:$Y$959,10,0)</f>
        <v>20</v>
      </c>
      <c r="K1127" s="20">
        <f>VLOOKUP(A1127,Metrik!$C$2:$Y$959,11,0)</f>
        <v>12.7</v>
      </c>
      <c r="L1127" s="20">
        <f>VLOOKUP(A1127,Metrik!$C$2:$Y$959,12,0)</f>
        <v>0.57</v>
      </c>
      <c r="M1127" s="20">
        <f>VLOOKUP(A1127,Metrik!$C$2:$Y$959,19,0)</f>
        <v>37.4</v>
      </c>
      <c r="N1127" s="21"/>
      <c r="O1127" s="21"/>
      <c r="P1127" s="21"/>
      <c r="Q1127" s="21"/>
      <c r="R1127" s="21"/>
      <c r="S1127" s="21"/>
      <c r="T1127" s="21"/>
      <c r="U1127" s="22">
        <f>IFERROR(__xludf.DUMMYFUNCTION("IFERROR(GOOGLEFINANCE(A1127,""closeyest""),"""")"),565.0)</f>
        <v>565</v>
      </c>
      <c r="V1127" s="23">
        <f>IFERROR(__xludf.DUMMYFUNCTION("IFERROR(GOOGLEFINANCE(A1127,""changepct""),"""")"),0.0)</f>
        <v>0</v>
      </c>
      <c r="W1127" s="22">
        <f>IFERROR(__xludf.DUMMYFUNCTION("IFERROR(GOOGLEFINANCE(A1127,""priceopen""),"""")"),565.0)</f>
        <v>565</v>
      </c>
      <c r="X1127" s="22">
        <f>IFERROR(__xludf.DUMMYFUNCTION("IFERROR(GOOGLEFINANCE(A1127,""high""),"""")"),570.0)</f>
        <v>570</v>
      </c>
      <c r="Y1127" s="22">
        <f>IFERROR(__xludf.DUMMYFUNCTION("IFERROR(GOOGLEFINANCE(A1127,""low""),"""")"),545.0)</f>
        <v>545</v>
      </c>
      <c r="Z1127" s="22">
        <f>IFERROR(__xludf.DUMMYFUNCTION("IFERROR(GOOGLEFINANCE(A1127,""volume""),"""")"),2.25304E7)</f>
        <v>22530400</v>
      </c>
      <c r="AA1127" s="24" t="str">
        <f>VLOOKUP(A1127,Metrik!$C$2:$Y$959,5,0)</f>
        <v>Specialty Retail</v>
      </c>
      <c r="AB1127" s="24" t="str">
        <f>VLOOKUP(A1127,Metrik!$C$2:$Y$959,3,0)</f>
        <v>Consumer Cyclicals</v>
      </c>
    </row>
    <row r="1128">
      <c r="A1128" s="14" t="s">
        <v>605</v>
      </c>
      <c r="B1128" s="14" t="str">
        <f t="array" ref="B1128">VLOOKUP(A1128,{Metrik!$C$2:$C$998,Metrik!$B$2:$B$998},2,0)</f>
        <v>Map Aktif Adiperkasa Tbk.</v>
      </c>
      <c r="C1128" s="15">
        <f>IFERROR(__xludf.DUMMYFUNCTION("GOOGLEFINANCE(""IDX:""&amp;A1128,""price"")"),565.0)</f>
        <v>565</v>
      </c>
      <c r="D1128" s="16" t="str">
        <f>IFERROR(__xludf.DUMMYFUNCTION("IF(A1128="""","""",
SPARKLINE(
INDEX(
GOOGLEFINANCE(""IDX:""&amp;A1128,""close"",TODAY()-365,TODAY()),
,2
),
{""linewidth"",1}
))
"),"#N/A")</f>
        <v>#N/A</v>
      </c>
      <c r="E1128" s="14" t="s">
        <v>50</v>
      </c>
      <c r="F1128" s="17" t="s">
        <v>51</v>
      </c>
      <c r="G1128" s="18">
        <f t="shared" si="7"/>
        <v>9</v>
      </c>
      <c r="H1128" s="19">
        <f>VLOOKUP(A1128,Metrik!$C$2:$Y$959,8,0)</f>
        <v>9.9</v>
      </c>
      <c r="I1128" s="20">
        <f>VLOOKUP(A1128,Metrik!$C$2:$Y$959,9,0)</f>
        <v>2</v>
      </c>
      <c r="J1128" s="20">
        <f>VLOOKUP(A1128,Metrik!$C$2:$Y$959,10,0)</f>
        <v>20</v>
      </c>
      <c r="K1128" s="20">
        <f>VLOOKUP(A1128,Metrik!$C$2:$Y$959,11,0)</f>
        <v>12.7</v>
      </c>
      <c r="L1128" s="20">
        <f>VLOOKUP(A1128,Metrik!$C$2:$Y$959,12,0)</f>
        <v>0.57</v>
      </c>
      <c r="M1128" s="20">
        <f>VLOOKUP(A1128,Metrik!$C$2:$Y$959,19,0)</f>
        <v>37.4</v>
      </c>
      <c r="N1128" s="21"/>
      <c r="O1128" s="21"/>
      <c r="P1128" s="21"/>
      <c r="Q1128" s="21"/>
      <c r="R1128" s="21"/>
      <c r="S1128" s="21"/>
      <c r="T1128" s="21"/>
      <c r="U1128" s="22">
        <f>IFERROR(__xludf.DUMMYFUNCTION("IFERROR(GOOGLEFINANCE(A1128,""closeyest""),"""")"),565.0)</f>
        <v>565</v>
      </c>
      <c r="V1128" s="23">
        <f>IFERROR(__xludf.DUMMYFUNCTION("IFERROR(GOOGLEFINANCE(A1128,""changepct""),"""")"),0.0)</f>
        <v>0</v>
      </c>
      <c r="W1128" s="22">
        <f>IFERROR(__xludf.DUMMYFUNCTION("IFERROR(GOOGLEFINANCE(A1128,""priceopen""),"""")"),565.0)</f>
        <v>565</v>
      </c>
      <c r="X1128" s="22">
        <f>IFERROR(__xludf.DUMMYFUNCTION("IFERROR(GOOGLEFINANCE(A1128,""high""),"""")"),570.0)</f>
        <v>570</v>
      </c>
      <c r="Y1128" s="22">
        <f>IFERROR(__xludf.DUMMYFUNCTION("IFERROR(GOOGLEFINANCE(A1128,""low""),"""")"),545.0)</f>
        <v>545</v>
      </c>
      <c r="Z1128" s="22">
        <f>IFERROR(__xludf.DUMMYFUNCTION("IFERROR(GOOGLEFINANCE(A1128,""volume""),"""")"),2.25304E7)</f>
        <v>22530400</v>
      </c>
      <c r="AA1128" s="24" t="str">
        <f>VLOOKUP(A1128,Metrik!$C$2:$Y$959,5,0)</f>
        <v>Specialty Retail</v>
      </c>
      <c r="AB1128" s="24" t="str">
        <f>VLOOKUP(A1128,Metrik!$C$2:$Y$959,3,0)</f>
        <v>Consumer Cyclicals</v>
      </c>
    </row>
    <row r="1129">
      <c r="A1129" s="14" t="s">
        <v>605</v>
      </c>
      <c r="B1129" s="14" t="str">
        <f t="array" ref="B1129">VLOOKUP(A1129,{Metrik!$C$2:$C$998,Metrik!$B$2:$B$998},2,0)</f>
        <v>Map Aktif Adiperkasa Tbk.</v>
      </c>
      <c r="C1129" s="15">
        <f>IFERROR(__xludf.DUMMYFUNCTION("GOOGLEFINANCE(""IDX:""&amp;A1129,""price"")"),565.0)</f>
        <v>565</v>
      </c>
      <c r="D1129" s="16" t="str">
        <f>IFERROR(__xludf.DUMMYFUNCTION("IF(A1129="""","""",
SPARKLINE(
INDEX(
GOOGLEFINANCE(""IDX:""&amp;A1129,""close"",TODAY()-365,TODAY()),
,2
),
{""linewidth"",1}
))
"),"#N/A")</f>
        <v>#N/A</v>
      </c>
      <c r="E1129" s="14" t="s">
        <v>28</v>
      </c>
      <c r="F1129" s="17" t="s">
        <v>29</v>
      </c>
      <c r="G1129" s="18">
        <f t="shared" si="7"/>
        <v>9</v>
      </c>
      <c r="H1129" s="19">
        <f>VLOOKUP(A1129,Metrik!$C$2:$Y$959,8,0)</f>
        <v>9.9</v>
      </c>
      <c r="I1129" s="20">
        <f>VLOOKUP(A1129,Metrik!$C$2:$Y$959,9,0)</f>
        <v>2</v>
      </c>
      <c r="J1129" s="20">
        <f>VLOOKUP(A1129,Metrik!$C$2:$Y$959,10,0)</f>
        <v>20</v>
      </c>
      <c r="K1129" s="20">
        <f>VLOOKUP(A1129,Metrik!$C$2:$Y$959,11,0)</f>
        <v>12.7</v>
      </c>
      <c r="L1129" s="20">
        <f>VLOOKUP(A1129,Metrik!$C$2:$Y$959,12,0)</f>
        <v>0.57</v>
      </c>
      <c r="M1129" s="20">
        <f>VLOOKUP(A1129,Metrik!$C$2:$Y$959,19,0)</f>
        <v>37.4</v>
      </c>
      <c r="N1129" s="21"/>
      <c r="O1129" s="21"/>
      <c r="P1129" s="21"/>
      <c r="Q1129" s="21"/>
      <c r="R1129" s="21"/>
      <c r="S1129" s="21"/>
      <c r="T1129" s="21"/>
      <c r="U1129" s="22">
        <f>IFERROR(__xludf.DUMMYFUNCTION("IFERROR(GOOGLEFINANCE(A1129,""closeyest""),"""")"),565.0)</f>
        <v>565</v>
      </c>
      <c r="V1129" s="23">
        <f>IFERROR(__xludf.DUMMYFUNCTION("IFERROR(GOOGLEFINANCE(A1129,""changepct""),"""")"),0.0)</f>
        <v>0</v>
      </c>
      <c r="W1129" s="22">
        <f>IFERROR(__xludf.DUMMYFUNCTION("IFERROR(GOOGLEFINANCE(A1129,""priceopen""),"""")"),565.0)</f>
        <v>565</v>
      </c>
      <c r="X1129" s="22">
        <f>IFERROR(__xludf.DUMMYFUNCTION("IFERROR(GOOGLEFINANCE(A1129,""high""),"""")"),570.0)</f>
        <v>570</v>
      </c>
      <c r="Y1129" s="22">
        <f>IFERROR(__xludf.DUMMYFUNCTION("IFERROR(GOOGLEFINANCE(A1129,""low""),"""")"),545.0)</f>
        <v>545</v>
      </c>
      <c r="Z1129" s="22">
        <f>IFERROR(__xludf.DUMMYFUNCTION("IFERROR(GOOGLEFINANCE(A1129,""volume""),"""")"),2.25304E7)</f>
        <v>22530400</v>
      </c>
      <c r="AA1129" s="24" t="str">
        <f>VLOOKUP(A1129,Metrik!$C$2:$Y$959,5,0)</f>
        <v>Specialty Retail</v>
      </c>
      <c r="AB1129" s="24" t="str">
        <f>VLOOKUP(A1129,Metrik!$C$2:$Y$959,3,0)</f>
        <v>Consumer Cyclicals</v>
      </c>
    </row>
    <row r="1130">
      <c r="A1130" s="14" t="s">
        <v>605</v>
      </c>
      <c r="B1130" s="14" t="str">
        <f t="array" ref="B1130">VLOOKUP(A1130,{Metrik!$C$2:$C$998,Metrik!$B$2:$B$998},2,0)</f>
        <v>Map Aktif Adiperkasa Tbk.</v>
      </c>
      <c r="C1130" s="15">
        <f>IFERROR(__xludf.DUMMYFUNCTION("GOOGLEFINANCE(""IDX:""&amp;A1130,""price"")"),565.0)</f>
        <v>565</v>
      </c>
      <c r="D1130" s="16" t="str">
        <f>IFERROR(__xludf.DUMMYFUNCTION("IF(A1130="""","""",
SPARKLINE(
INDEX(
GOOGLEFINANCE(""IDX:""&amp;A1130,""close"",TODAY()-365,TODAY()),
,2
),
{""linewidth"",1}
))
"),"#N/A")</f>
        <v>#N/A</v>
      </c>
      <c r="E1130" s="14" t="s">
        <v>52</v>
      </c>
      <c r="F1130" s="27" t="s">
        <v>53</v>
      </c>
      <c r="G1130" s="18">
        <f t="shared" si="7"/>
        <v>9</v>
      </c>
      <c r="H1130" s="19">
        <f>VLOOKUP(A1130,Metrik!$C$2:$Y$959,8,0)</f>
        <v>9.9</v>
      </c>
      <c r="I1130" s="20">
        <f>VLOOKUP(A1130,Metrik!$C$2:$Y$959,9,0)</f>
        <v>2</v>
      </c>
      <c r="J1130" s="20">
        <f>VLOOKUP(A1130,Metrik!$C$2:$Y$959,10,0)</f>
        <v>20</v>
      </c>
      <c r="K1130" s="20">
        <f>VLOOKUP(A1130,Metrik!$C$2:$Y$959,11,0)</f>
        <v>12.7</v>
      </c>
      <c r="L1130" s="20">
        <f>VLOOKUP(A1130,Metrik!$C$2:$Y$959,12,0)</f>
        <v>0.57</v>
      </c>
      <c r="M1130" s="20">
        <f>VLOOKUP(A1130,Metrik!$C$2:$Y$959,19,0)</f>
        <v>37.4</v>
      </c>
      <c r="N1130" s="21"/>
      <c r="O1130" s="21"/>
      <c r="P1130" s="21"/>
      <c r="Q1130" s="21"/>
      <c r="R1130" s="21"/>
      <c r="S1130" s="21"/>
      <c r="T1130" s="21"/>
      <c r="U1130" s="22">
        <f>IFERROR(__xludf.DUMMYFUNCTION("IFERROR(GOOGLEFINANCE(A1130,""closeyest""),"""")"),565.0)</f>
        <v>565</v>
      </c>
      <c r="V1130" s="23">
        <f>IFERROR(__xludf.DUMMYFUNCTION("IFERROR(GOOGLEFINANCE(A1130,""changepct""),"""")"),0.0)</f>
        <v>0</v>
      </c>
      <c r="W1130" s="22">
        <f>IFERROR(__xludf.DUMMYFUNCTION("IFERROR(GOOGLEFINANCE(A1130,""priceopen""),"""")"),565.0)</f>
        <v>565</v>
      </c>
      <c r="X1130" s="22">
        <f>IFERROR(__xludf.DUMMYFUNCTION("IFERROR(GOOGLEFINANCE(A1130,""high""),"""")"),570.0)</f>
        <v>570</v>
      </c>
      <c r="Y1130" s="22">
        <f>IFERROR(__xludf.DUMMYFUNCTION("IFERROR(GOOGLEFINANCE(A1130,""low""),"""")"),545.0)</f>
        <v>545</v>
      </c>
      <c r="Z1130" s="22">
        <f>IFERROR(__xludf.DUMMYFUNCTION("IFERROR(GOOGLEFINANCE(A1130,""volume""),"""")"),2.25304E7)</f>
        <v>22530400</v>
      </c>
      <c r="AA1130" s="24" t="str">
        <f>VLOOKUP(A1130,Metrik!$C$2:$Y$959,5,0)</f>
        <v>Specialty Retail</v>
      </c>
      <c r="AB1130" s="24" t="str">
        <f>VLOOKUP(A1130,Metrik!$C$2:$Y$959,3,0)</f>
        <v>Consumer Cyclicals</v>
      </c>
    </row>
    <row r="1131">
      <c r="A1131" s="14" t="s">
        <v>605</v>
      </c>
      <c r="B1131" s="14" t="str">
        <f t="array" ref="B1131">VLOOKUP(A1131,{Metrik!$C$2:$C$998,Metrik!$B$2:$B$998},2,0)</f>
        <v>Map Aktif Adiperkasa Tbk.</v>
      </c>
      <c r="C1131" s="15">
        <f>IFERROR(__xludf.DUMMYFUNCTION("GOOGLEFINANCE(""IDX:""&amp;A1131,""price"")"),565.0)</f>
        <v>565</v>
      </c>
      <c r="D1131" s="16" t="str">
        <f>IFERROR(__xludf.DUMMYFUNCTION("IF(A1131="""","""",
SPARKLINE(
INDEX(
GOOGLEFINANCE(""IDX:""&amp;A1131,""close"",TODAY()-365,TODAY()),
,2
),
{""linewidth"",1}
))
"),"#N/A")</f>
        <v>#N/A</v>
      </c>
      <c r="E1131" s="14" t="s">
        <v>32</v>
      </c>
      <c r="F1131" s="14" t="s">
        <v>29</v>
      </c>
      <c r="G1131" s="18">
        <f t="shared" si="7"/>
        <v>9</v>
      </c>
      <c r="H1131" s="19">
        <f>VLOOKUP(A1131,Metrik!$C$2:$Y$959,8,0)</f>
        <v>9.9</v>
      </c>
      <c r="I1131" s="20">
        <f>VLOOKUP(A1131,Metrik!$C$2:$Y$959,9,0)</f>
        <v>2</v>
      </c>
      <c r="J1131" s="20">
        <f>VLOOKUP(A1131,Metrik!$C$2:$Y$959,10,0)</f>
        <v>20</v>
      </c>
      <c r="K1131" s="20">
        <f>VLOOKUP(A1131,Metrik!$C$2:$Y$959,11,0)</f>
        <v>12.7</v>
      </c>
      <c r="L1131" s="20">
        <f>VLOOKUP(A1131,Metrik!$C$2:$Y$959,12,0)</f>
        <v>0.57</v>
      </c>
      <c r="M1131" s="20">
        <f>VLOOKUP(A1131,Metrik!$C$2:$Y$959,19,0)</f>
        <v>37.4</v>
      </c>
      <c r="N1131" s="21"/>
      <c r="O1131" s="21"/>
      <c r="P1131" s="21"/>
      <c r="Q1131" s="21"/>
      <c r="R1131" s="21"/>
      <c r="S1131" s="21"/>
      <c r="T1131" s="21"/>
      <c r="U1131" s="22">
        <f>IFERROR(__xludf.DUMMYFUNCTION("IFERROR(GOOGLEFINANCE(A1131,""closeyest""),"""")"),565.0)</f>
        <v>565</v>
      </c>
      <c r="V1131" s="23">
        <f>IFERROR(__xludf.DUMMYFUNCTION("IFERROR(GOOGLEFINANCE(A1131,""changepct""),"""")"),0.0)</f>
        <v>0</v>
      </c>
      <c r="W1131" s="22">
        <f>IFERROR(__xludf.DUMMYFUNCTION("IFERROR(GOOGLEFINANCE(A1131,""priceopen""),"""")"),565.0)</f>
        <v>565</v>
      </c>
      <c r="X1131" s="22">
        <f>IFERROR(__xludf.DUMMYFUNCTION("IFERROR(GOOGLEFINANCE(A1131,""high""),"""")"),570.0)</f>
        <v>570</v>
      </c>
      <c r="Y1131" s="22">
        <f>IFERROR(__xludf.DUMMYFUNCTION("IFERROR(GOOGLEFINANCE(A1131,""low""),"""")"),545.0)</f>
        <v>545</v>
      </c>
      <c r="Z1131" s="22">
        <f>IFERROR(__xludf.DUMMYFUNCTION("IFERROR(GOOGLEFINANCE(A1131,""volume""),"""")"),2.25304E7)</f>
        <v>22530400</v>
      </c>
      <c r="AA1131" s="24" t="str">
        <f>VLOOKUP(A1131,Metrik!$C$2:$Y$959,5,0)</f>
        <v>Specialty Retail</v>
      </c>
      <c r="AB1131" s="24" t="str">
        <f>VLOOKUP(A1131,Metrik!$C$2:$Y$959,3,0)</f>
        <v>Consumer Cyclicals</v>
      </c>
    </row>
    <row r="1132">
      <c r="A1132" s="14" t="s">
        <v>605</v>
      </c>
      <c r="B1132" s="14" t="str">
        <f t="array" ref="B1132">VLOOKUP(A1132,{Metrik!$C$2:$C$998,Metrik!$B$2:$B$998},2,0)</f>
        <v>Map Aktif Adiperkasa Tbk.</v>
      </c>
      <c r="C1132" s="15">
        <f>IFERROR(__xludf.DUMMYFUNCTION("GOOGLEFINANCE(""IDX:""&amp;A1132,""price"")"),565.0)</f>
        <v>565</v>
      </c>
      <c r="D1132" s="16" t="str">
        <f>IFERROR(__xludf.DUMMYFUNCTION("IF(A1132="""","""",
SPARKLINE(
INDEX(
GOOGLEFINANCE(""IDX:""&amp;A1132,""close"",TODAY()-365,TODAY()),
,2
),
{""linewidth"",1}
))
"),"#N/A")</f>
        <v>#N/A</v>
      </c>
      <c r="E1132" s="14" t="s">
        <v>68</v>
      </c>
      <c r="F1132" s="14" t="s">
        <v>34</v>
      </c>
      <c r="G1132" s="18">
        <f t="shared" si="7"/>
        <v>9</v>
      </c>
      <c r="H1132" s="19">
        <f>VLOOKUP(A1132,Metrik!$C$2:$Y$959,8,0)</f>
        <v>9.9</v>
      </c>
      <c r="I1132" s="20">
        <f>VLOOKUP(A1132,Metrik!$C$2:$Y$959,9,0)</f>
        <v>2</v>
      </c>
      <c r="J1132" s="20">
        <f>VLOOKUP(A1132,Metrik!$C$2:$Y$959,10,0)</f>
        <v>20</v>
      </c>
      <c r="K1132" s="20">
        <f>VLOOKUP(A1132,Metrik!$C$2:$Y$959,11,0)</f>
        <v>12.7</v>
      </c>
      <c r="L1132" s="20">
        <f>VLOOKUP(A1132,Metrik!$C$2:$Y$959,12,0)</f>
        <v>0.57</v>
      </c>
      <c r="M1132" s="20">
        <f>VLOOKUP(A1132,Metrik!$C$2:$Y$959,19,0)</f>
        <v>37.4</v>
      </c>
      <c r="N1132" s="21"/>
      <c r="O1132" s="21"/>
      <c r="P1132" s="21"/>
      <c r="Q1132" s="21"/>
      <c r="R1132" s="21"/>
      <c r="S1132" s="21"/>
      <c r="T1132" s="21"/>
      <c r="U1132" s="22">
        <f>IFERROR(__xludf.DUMMYFUNCTION("IFERROR(GOOGLEFINANCE(A1132,""closeyest""),"""")"),565.0)</f>
        <v>565</v>
      </c>
      <c r="V1132" s="23">
        <f>IFERROR(__xludf.DUMMYFUNCTION("IFERROR(GOOGLEFINANCE(A1132,""changepct""),"""")"),0.0)</f>
        <v>0</v>
      </c>
      <c r="W1132" s="22">
        <f>IFERROR(__xludf.DUMMYFUNCTION("IFERROR(GOOGLEFINANCE(A1132,""priceopen""),"""")"),565.0)</f>
        <v>565</v>
      </c>
      <c r="X1132" s="22">
        <f>IFERROR(__xludf.DUMMYFUNCTION("IFERROR(GOOGLEFINANCE(A1132,""high""),"""")"),570.0)</f>
        <v>570</v>
      </c>
      <c r="Y1132" s="22">
        <f>IFERROR(__xludf.DUMMYFUNCTION("IFERROR(GOOGLEFINANCE(A1132,""low""),"""")"),545.0)</f>
        <v>545</v>
      </c>
      <c r="Z1132" s="22">
        <f>IFERROR(__xludf.DUMMYFUNCTION("IFERROR(GOOGLEFINANCE(A1132,""volume""),"""")"),2.25304E7)</f>
        <v>22530400</v>
      </c>
      <c r="AA1132" s="24" t="str">
        <f>VLOOKUP(A1132,Metrik!$C$2:$Y$959,5,0)</f>
        <v>Specialty Retail</v>
      </c>
      <c r="AB1132" s="24" t="str">
        <f>VLOOKUP(A1132,Metrik!$C$2:$Y$959,3,0)</f>
        <v>Consumer Cyclicals</v>
      </c>
    </row>
    <row r="1133">
      <c r="A1133" s="14" t="s">
        <v>605</v>
      </c>
      <c r="B1133" s="14" t="str">
        <f t="array" ref="B1133">VLOOKUP(A1133,{Metrik!$C$2:$C$998,Metrik!$B$2:$B$998},2,0)</f>
        <v>Map Aktif Adiperkasa Tbk.</v>
      </c>
      <c r="C1133" s="15">
        <f>IFERROR(__xludf.DUMMYFUNCTION("GOOGLEFINANCE(""IDX:""&amp;A1133,""price"")"),565.0)</f>
        <v>565</v>
      </c>
      <c r="D1133" s="16" t="str">
        <f>IFERROR(__xludf.DUMMYFUNCTION("IF(A1133="""","""",
SPARKLINE(
INDEX(
GOOGLEFINANCE(""IDX:""&amp;A1133,""close"",TODAY()-365,TODAY()),
,2
),
{""linewidth"",1}
))
"),"#N/A")</f>
        <v>#N/A</v>
      </c>
      <c r="E1133" s="14" t="s">
        <v>41</v>
      </c>
      <c r="F1133" s="14" t="s">
        <v>34</v>
      </c>
      <c r="G1133" s="18">
        <f t="shared" si="7"/>
        <v>9</v>
      </c>
      <c r="H1133" s="19">
        <f>VLOOKUP(A1133,Metrik!$C$2:$Y$959,8,0)</f>
        <v>9.9</v>
      </c>
      <c r="I1133" s="20">
        <f>VLOOKUP(A1133,Metrik!$C$2:$Y$959,9,0)</f>
        <v>2</v>
      </c>
      <c r="J1133" s="20">
        <f>VLOOKUP(A1133,Metrik!$C$2:$Y$959,10,0)</f>
        <v>20</v>
      </c>
      <c r="K1133" s="20">
        <f>VLOOKUP(A1133,Metrik!$C$2:$Y$959,11,0)</f>
        <v>12.7</v>
      </c>
      <c r="L1133" s="20">
        <f>VLOOKUP(A1133,Metrik!$C$2:$Y$959,12,0)</f>
        <v>0.57</v>
      </c>
      <c r="M1133" s="20">
        <f>VLOOKUP(A1133,Metrik!$C$2:$Y$959,19,0)</f>
        <v>37.4</v>
      </c>
      <c r="N1133" s="21"/>
      <c r="O1133" s="21"/>
      <c r="P1133" s="21"/>
      <c r="Q1133" s="21"/>
      <c r="R1133" s="21"/>
      <c r="S1133" s="21"/>
      <c r="T1133" s="21"/>
      <c r="U1133" s="22">
        <f>IFERROR(__xludf.DUMMYFUNCTION("IFERROR(GOOGLEFINANCE(A1133,""closeyest""),"""")"),565.0)</f>
        <v>565</v>
      </c>
      <c r="V1133" s="23">
        <f>IFERROR(__xludf.DUMMYFUNCTION("IFERROR(GOOGLEFINANCE(A1133,""changepct""),"""")"),0.0)</f>
        <v>0</v>
      </c>
      <c r="W1133" s="22">
        <f>IFERROR(__xludf.DUMMYFUNCTION("IFERROR(GOOGLEFINANCE(A1133,""priceopen""),"""")"),565.0)</f>
        <v>565</v>
      </c>
      <c r="X1133" s="22">
        <f>IFERROR(__xludf.DUMMYFUNCTION("IFERROR(GOOGLEFINANCE(A1133,""high""),"""")"),570.0)</f>
        <v>570</v>
      </c>
      <c r="Y1133" s="22">
        <f>IFERROR(__xludf.DUMMYFUNCTION("IFERROR(GOOGLEFINANCE(A1133,""low""),"""")"),545.0)</f>
        <v>545</v>
      </c>
      <c r="Z1133" s="22">
        <f>IFERROR(__xludf.DUMMYFUNCTION("IFERROR(GOOGLEFINANCE(A1133,""volume""),"""")"),2.25304E7)</f>
        <v>22530400</v>
      </c>
      <c r="AA1133" s="24" t="str">
        <f>VLOOKUP(A1133,Metrik!$C$2:$Y$959,5,0)</f>
        <v>Specialty Retail</v>
      </c>
      <c r="AB1133" s="24" t="str">
        <f>VLOOKUP(A1133,Metrik!$C$2:$Y$959,3,0)</f>
        <v>Consumer Cyclicals</v>
      </c>
    </row>
    <row r="1134">
      <c r="A1134" s="17" t="s">
        <v>605</v>
      </c>
      <c r="B1134" s="14" t="str">
        <f t="array" ref="B1134">VLOOKUP(A1134,{Metrik!$C$2:$C$998,Metrik!$B$2:$B$998},2,0)</f>
        <v>Map Aktif Adiperkasa Tbk.</v>
      </c>
      <c r="C1134" s="15">
        <f>IFERROR(__xludf.DUMMYFUNCTION("GOOGLEFINANCE(""IDX:""&amp;A1134,""price"")"),565.0)</f>
        <v>565</v>
      </c>
      <c r="D1134" s="16" t="str">
        <f>IFERROR(__xludf.DUMMYFUNCTION("IF(A1134="""","""",
SPARKLINE(
INDEX(
GOOGLEFINANCE(""IDX:""&amp;A1134,""close"",TODAY()-365,TODAY()),
,2
),
{""linewidth"",1}
))
"),"#N/A")</f>
        <v>#N/A</v>
      </c>
      <c r="E1134" s="14" t="s">
        <v>35</v>
      </c>
      <c r="F1134" s="17" t="s">
        <v>36</v>
      </c>
      <c r="G1134" s="38">
        <f t="shared" si="7"/>
        <v>9</v>
      </c>
      <c r="H1134" s="34">
        <f>VLOOKUP(A1134,Metrik!$C$2:$Y$959,8,0)</f>
        <v>9.9</v>
      </c>
      <c r="I1134" s="34">
        <f>VLOOKUP(A1134,Metrik!$C$2:$Y$959,9,0)</f>
        <v>2</v>
      </c>
      <c r="J1134" s="34">
        <f>VLOOKUP(A1134,Metrik!$C$2:$Y$959,10,0)</f>
        <v>20</v>
      </c>
      <c r="K1134" s="34">
        <f>VLOOKUP(A1134,Metrik!$C$2:$Y$959,11,0)</f>
        <v>12.7</v>
      </c>
      <c r="L1134" s="34">
        <f>VLOOKUP(A1134,Metrik!$C$2:$Y$959,12,0)</f>
        <v>0.57</v>
      </c>
      <c r="M1134" s="34">
        <f>VLOOKUP(A1134,Metrik!$C$2:$Y$959,19,0)</f>
        <v>37.4</v>
      </c>
      <c r="N1134" s="26"/>
      <c r="O1134" s="26"/>
      <c r="P1134" s="26"/>
      <c r="Q1134" s="26"/>
      <c r="R1134" s="26"/>
      <c r="S1134" s="26"/>
      <c r="T1134" s="26"/>
      <c r="U1134" s="35">
        <f>IFERROR(__xludf.DUMMYFUNCTION("IFERROR(GOOGLEFINANCE(A1134,""closeyest""),"""")"),565.0)</f>
        <v>565</v>
      </c>
      <c r="V1134" s="36">
        <f>IFERROR(__xludf.DUMMYFUNCTION("IFERROR(GOOGLEFINANCE(A1134,""changepct""),"""")"),0.0)</f>
        <v>0</v>
      </c>
      <c r="W1134" s="35">
        <f>IFERROR(__xludf.DUMMYFUNCTION("IFERROR(GOOGLEFINANCE(A1134,""priceopen""),"""")"),565.0)</f>
        <v>565</v>
      </c>
      <c r="X1134" s="35">
        <f>IFERROR(__xludf.DUMMYFUNCTION("IFERROR(GOOGLEFINANCE(A1134,""high""),"""")"),570.0)</f>
        <v>570</v>
      </c>
      <c r="Y1134" s="35">
        <f>IFERROR(__xludf.DUMMYFUNCTION("IFERROR(GOOGLEFINANCE(A1134,""low""),"""")"),545.0)</f>
        <v>545</v>
      </c>
      <c r="Z1134" s="35">
        <f>IFERROR(__xludf.DUMMYFUNCTION("IFERROR(GOOGLEFINANCE(A1134,""volume""),"""")"),2.25304E7)</f>
        <v>22530400</v>
      </c>
      <c r="AA1134" s="14" t="str">
        <f>VLOOKUP(A1134,Metrik!$C$2:$Y$959,5,0)</f>
        <v>Specialty Retail</v>
      </c>
      <c r="AB1134" s="14" t="str">
        <f>VLOOKUP(A1134,Metrik!$C$2:$Y$959,3,0)</f>
        <v>Consumer Cyclicals</v>
      </c>
    </row>
    <row r="1135">
      <c r="A1135" s="14" t="s">
        <v>605</v>
      </c>
      <c r="B1135" s="14" t="str">
        <f t="array" ref="B1135">VLOOKUP(A1135,{Metrik!$C$2:$C$998,Metrik!$B$2:$B$998},2,0)</f>
        <v>Map Aktif Adiperkasa Tbk.</v>
      </c>
      <c r="C1135" s="15">
        <f>IFERROR(__xludf.DUMMYFUNCTION("GOOGLEFINANCE(""IDX:""&amp;A1135,""price"")"),565.0)</f>
        <v>565</v>
      </c>
      <c r="D1135" s="16" t="str">
        <f>IFERROR(__xludf.DUMMYFUNCTION("IF(A1135="""","""",
SPARKLINE(
INDEX(
GOOGLEFINANCE(""IDX:""&amp;A1135,""close"",TODAY()-365,TODAY()),
,2
),
{""linewidth"",1}
))
"),"#N/A")</f>
        <v>#N/A</v>
      </c>
      <c r="E1135" s="14" t="s">
        <v>39</v>
      </c>
      <c r="F1135" s="25">
        <v>46356.0</v>
      </c>
      <c r="G1135" s="18">
        <f t="shared" si="7"/>
        <v>9</v>
      </c>
      <c r="H1135" s="19">
        <f>VLOOKUP(A1135,Metrik!$C$2:$Y$959,8,0)</f>
        <v>9.9</v>
      </c>
      <c r="I1135" s="20">
        <f>VLOOKUP(A1135,Metrik!$C$2:$Y$959,9,0)</f>
        <v>2</v>
      </c>
      <c r="J1135" s="20">
        <f>VLOOKUP(A1135,Metrik!$C$2:$Y$959,10,0)</f>
        <v>20</v>
      </c>
      <c r="K1135" s="20">
        <f>VLOOKUP(A1135,Metrik!$C$2:$Y$959,11,0)</f>
        <v>12.7</v>
      </c>
      <c r="L1135" s="20">
        <f>VLOOKUP(A1135,Metrik!$C$2:$Y$959,12,0)</f>
        <v>0.57</v>
      </c>
      <c r="M1135" s="20">
        <f>VLOOKUP(A1135,Metrik!$C$2:$Y$959,19,0)</f>
        <v>37.4</v>
      </c>
      <c r="N1135" s="21"/>
      <c r="O1135" s="21"/>
      <c r="P1135" s="21"/>
      <c r="Q1135" s="21"/>
      <c r="R1135" s="21"/>
      <c r="S1135" s="21"/>
      <c r="T1135" s="21"/>
      <c r="U1135" s="22">
        <f>IFERROR(__xludf.DUMMYFUNCTION("IFERROR(GOOGLEFINANCE(A1135,""closeyest""),"""")"),565.0)</f>
        <v>565</v>
      </c>
      <c r="V1135" s="23">
        <f>IFERROR(__xludf.DUMMYFUNCTION("IFERROR(GOOGLEFINANCE(A1135,""changepct""),"""")"),0.0)</f>
        <v>0</v>
      </c>
      <c r="W1135" s="22">
        <f>IFERROR(__xludf.DUMMYFUNCTION("IFERROR(GOOGLEFINANCE(A1135,""priceopen""),"""")"),565.0)</f>
        <v>565</v>
      </c>
      <c r="X1135" s="22">
        <f>IFERROR(__xludf.DUMMYFUNCTION("IFERROR(GOOGLEFINANCE(A1135,""high""),"""")"),570.0)</f>
        <v>570</v>
      </c>
      <c r="Y1135" s="22">
        <f>IFERROR(__xludf.DUMMYFUNCTION("IFERROR(GOOGLEFINANCE(A1135,""low""),"""")"),545.0)</f>
        <v>545</v>
      </c>
      <c r="Z1135" s="22">
        <f>IFERROR(__xludf.DUMMYFUNCTION("IFERROR(GOOGLEFINANCE(A1135,""volume""),"""")"),2.25304E7)</f>
        <v>22530400</v>
      </c>
      <c r="AA1135" s="24" t="str">
        <f>VLOOKUP(A1135,Metrik!$C$2:$Y$959,5,0)</f>
        <v>Specialty Retail</v>
      </c>
      <c r="AB1135" s="24" t="str">
        <f>VLOOKUP(A1135,Metrik!$C$2:$Y$959,3,0)</f>
        <v>Consumer Cyclicals</v>
      </c>
    </row>
    <row r="1136">
      <c r="A1136" s="14" t="s">
        <v>606</v>
      </c>
      <c r="B1136" s="14" t="str">
        <f t="array" ref="B1136">VLOOKUP(A1136,{Metrik!$C$2:$C$998,Metrik!$B$2:$B$998},2,0)</f>
        <v>MAP Boga Adiperkasa Tbk.</v>
      </c>
      <c r="C1136" s="15">
        <f>IFERROR(__xludf.DUMMYFUNCTION("GOOGLEFINANCE(""IDX:""&amp;A1136,""price"")"),1150.0)</f>
        <v>1150</v>
      </c>
      <c r="D1136" s="16" t="str">
        <f>IFERROR(__xludf.DUMMYFUNCTION("IF(A1136="""","""",
SPARKLINE(
INDEX(
GOOGLEFINANCE(""IDX:""&amp;A1136,""close"",TODAY()-365,TODAY()),
,2
),
{""linewidth"",1}
))
"),"#N/A")</f>
        <v>#N/A</v>
      </c>
      <c r="E1136" s="26"/>
      <c r="F1136" s="26"/>
      <c r="G1136" s="24">
        <f t="shared" si="7"/>
        <v>0</v>
      </c>
      <c r="H1136" s="19">
        <f>VLOOKUP(A1136,Metrik!$C$2:$Y$959,8,0)</f>
        <v>-23.6</v>
      </c>
      <c r="I1136" s="20">
        <f>VLOOKUP(A1136,Metrik!$C$2:$Y$959,9,0)</f>
        <v>2.6</v>
      </c>
      <c r="J1136" s="20">
        <f>VLOOKUP(A1136,Metrik!$C$2:$Y$959,10,0)</f>
        <v>-11.1</v>
      </c>
      <c r="K1136" s="20">
        <f>VLOOKUP(A1136,Metrik!$C$2:$Y$959,11,0)</f>
        <v>-5.5</v>
      </c>
      <c r="L1136" s="20">
        <f>VLOOKUP(A1136,Metrik!$C$2:$Y$959,12,0)</f>
        <v>1</v>
      </c>
      <c r="M1136" s="20">
        <f>VLOOKUP(A1136,Metrik!$C$2:$Y$959,19,0)</f>
        <v>-18.5</v>
      </c>
      <c r="N1136" s="21"/>
      <c r="O1136" s="21"/>
      <c r="P1136" s="21"/>
      <c r="Q1136" s="21"/>
      <c r="R1136" s="21"/>
      <c r="S1136" s="21"/>
      <c r="T1136" s="21"/>
      <c r="U1136" s="22">
        <f>IFERROR(__xludf.DUMMYFUNCTION("IFERROR(GOOGLEFINANCE(A1136,""closeyest""),"""")"),1200.0)</f>
        <v>1200</v>
      </c>
      <c r="V1136" s="23">
        <f>IFERROR(__xludf.DUMMYFUNCTION("IFERROR(GOOGLEFINANCE(A1136,""changepct""),"""")"),-4.17)</f>
        <v>-4.17</v>
      </c>
      <c r="W1136" s="22">
        <f>IFERROR(__xludf.DUMMYFUNCTION("IFERROR(GOOGLEFINANCE(A1136,""priceopen""),"""")"),1205.0)</f>
        <v>1205</v>
      </c>
      <c r="X1136" s="22">
        <f>IFERROR(__xludf.DUMMYFUNCTION("IFERROR(GOOGLEFINANCE(A1136,""high""),"""")"),1205.0)</f>
        <v>1205</v>
      </c>
      <c r="Y1136" s="22">
        <f>IFERROR(__xludf.DUMMYFUNCTION("IFERROR(GOOGLEFINANCE(A1136,""low""),"""")"),1150.0)</f>
        <v>1150</v>
      </c>
      <c r="Z1136" s="22">
        <f>IFERROR(__xludf.DUMMYFUNCTION("IFERROR(GOOGLEFINANCE(A1136,""volume""),"""")"),2100.0)</f>
        <v>2100</v>
      </c>
      <c r="AA1136" s="24" t="str">
        <f>VLOOKUP(A1136,Metrik!$C$2:$Y$959,5,0)</f>
        <v>Tourism &amp; Recreation</v>
      </c>
      <c r="AB1136" s="24" t="str">
        <f>VLOOKUP(A1136,Metrik!$C$2:$Y$959,3,0)</f>
        <v>Consumer Cyclicals</v>
      </c>
    </row>
    <row r="1137">
      <c r="A1137" s="14" t="s">
        <v>607</v>
      </c>
      <c r="B1137" s="14" t="str">
        <f t="array" ref="B1137">VLOOKUP(A1137,{Metrik!$C$2:$C$998,Metrik!$B$2:$B$998},2,0)</f>
        <v>Mitra Adiperkasa Tbk.</v>
      </c>
      <c r="C1137" s="15">
        <f>IFERROR(__xludf.DUMMYFUNCTION("GOOGLEFINANCE(""IDX:""&amp;A1137,""price"")"),1490.0)</f>
        <v>1490</v>
      </c>
      <c r="D1137" s="16" t="str">
        <f>IFERROR(__xludf.DUMMYFUNCTION("IF(A1137="""","""",
SPARKLINE(
INDEX(
GOOGLEFINANCE(""IDX:""&amp;A1137,""close"",TODAY()-365,TODAY()),
,2
),
{""linewidth"",1}
))
"),"#N/A")</f>
        <v>#N/A</v>
      </c>
      <c r="E1137" s="14" t="s">
        <v>55</v>
      </c>
      <c r="F1137" s="25">
        <v>46356.0</v>
      </c>
      <c r="G1137" s="24">
        <f t="shared" si="7"/>
        <v>12</v>
      </c>
      <c r="H1137" s="19">
        <f>VLOOKUP(A1137,Metrik!$C$2:$Y$959,8,0)</f>
        <v>10.4</v>
      </c>
      <c r="I1137" s="20">
        <f>VLOOKUP(A1137,Metrik!$C$2:$Y$959,9,0)</f>
        <v>1.4</v>
      </c>
      <c r="J1137" s="20">
        <f>VLOOKUP(A1137,Metrik!$C$2:$Y$959,10,0)</f>
        <v>13.3</v>
      </c>
      <c r="K1137" s="20">
        <f>VLOOKUP(A1137,Metrik!$C$2:$Y$959,11,0)</f>
        <v>7</v>
      </c>
      <c r="L1137" s="20">
        <f>VLOOKUP(A1137,Metrik!$C$2:$Y$959,12,0)</f>
        <v>0.9</v>
      </c>
      <c r="M1137" s="20">
        <f>VLOOKUP(A1137,Metrik!$C$2:$Y$959,19,0)</f>
        <v>19.4</v>
      </c>
      <c r="N1137" s="21"/>
      <c r="O1137" s="21"/>
      <c r="P1137" s="21"/>
      <c r="Q1137" s="21"/>
      <c r="R1137" s="21"/>
      <c r="S1137" s="21"/>
      <c r="T1137" s="21"/>
      <c r="U1137" s="22">
        <f>IFERROR(__xludf.DUMMYFUNCTION("IFERROR(GOOGLEFINANCE(A1137,""closeyest""),"""")"),1485.0)</f>
        <v>1485</v>
      </c>
      <c r="V1137" s="23">
        <f>IFERROR(__xludf.DUMMYFUNCTION("IFERROR(GOOGLEFINANCE(A1137,""changepct""),"""")"),0.34)</f>
        <v>0.34</v>
      </c>
      <c r="W1137" s="22">
        <f>IFERROR(__xludf.DUMMYFUNCTION("IFERROR(GOOGLEFINANCE(A1137,""priceopen""),"""")"),1485.0)</f>
        <v>1485</v>
      </c>
      <c r="X1137" s="22">
        <f>IFERROR(__xludf.DUMMYFUNCTION("IFERROR(GOOGLEFINANCE(A1137,""high""),"""")"),1490.0)</f>
        <v>1490</v>
      </c>
      <c r="Y1137" s="22">
        <f>IFERROR(__xludf.DUMMYFUNCTION("IFERROR(GOOGLEFINANCE(A1137,""low""),"""")"),1485.0)</f>
        <v>1485</v>
      </c>
      <c r="Z1137" s="22">
        <f>IFERROR(__xludf.DUMMYFUNCTION("IFERROR(GOOGLEFINANCE(A1137,""volume""),"""")"),7.35949E7)</f>
        <v>73594900</v>
      </c>
      <c r="AA1137" s="24" t="str">
        <f>VLOOKUP(A1137,Metrik!$C$2:$Y$959,5,0)</f>
        <v>Specialty Retail</v>
      </c>
      <c r="AB1137" s="24" t="str">
        <f>VLOOKUP(A1137,Metrik!$C$2:$Y$959,3,0)</f>
        <v>Consumer Cyclicals</v>
      </c>
    </row>
    <row r="1138">
      <c r="A1138" s="14" t="s">
        <v>607</v>
      </c>
      <c r="B1138" s="14" t="str">
        <f t="array" ref="B1138">VLOOKUP(A1138,{Metrik!$C$2:$C$998,Metrik!$B$2:$B$998},2,0)</f>
        <v>Mitra Adiperkasa Tbk.</v>
      </c>
      <c r="C1138" s="15">
        <f>IFERROR(__xludf.DUMMYFUNCTION("GOOGLEFINANCE(""IDX:""&amp;A1138,""price"")"),1490.0)</f>
        <v>1490</v>
      </c>
      <c r="D1138" s="16" t="str">
        <f>IFERROR(__xludf.DUMMYFUNCTION("IF(A1138="""","""",
SPARKLINE(
INDEX(
GOOGLEFINANCE(""IDX:""&amp;A1138,""close"",TODAY()-365,TODAY()),
,2
),
{""linewidth"",1}
))
"),"#N/A")</f>
        <v>#N/A</v>
      </c>
      <c r="E1138" s="14" t="s">
        <v>52</v>
      </c>
      <c r="F1138" s="27" t="s">
        <v>53</v>
      </c>
      <c r="G1138" s="24">
        <f t="shared" si="7"/>
        <v>12</v>
      </c>
      <c r="H1138" s="19">
        <f>VLOOKUP(A1138,Metrik!$C$2:$Y$959,8,0)</f>
        <v>10.4</v>
      </c>
      <c r="I1138" s="20">
        <f>VLOOKUP(A1138,Metrik!$C$2:$Y$959,9,0)</f>
        <v>1.4</v>
      </c>
      <c r="J1138" s="20">
        <f>VLOOKUP(A1138,Metrik!$C$2:$Y$959,10,0)</f>
        <v>13.3</v>
      </c>
      <c r="K1138" s="20">
        <f>VLOOKUP(A1138,Metrik!$C$2:$Y$959,11,0)</f>
        <v>7</v>
      </c>
      <c r="L1138" s="20">
        <f>VLOOKUP(A1138,Metrik!$C$2:$Y$959,12,0)</f>
        <v>0.9</v>
      </c>
      <c r="M1138" s="20">
        <f>VLOOKUP(A1138,Metrik!$C$2:$Y$959,19,0)</f>
        <v>19.4</v>
      </c>
      <c r="N1138" s="21"/>
      <c r="O1138" s="21"/>
      <c r="P1138" s="21"/>
      <c r="Q1138" s="21"/>
      <c r="R1138" s="21"/>
      <c r="S1138" s="21"/>
      <c r="T1138" s="21"/>
      <c r="U1138" s="22">
        <f>IFERROR(__xludf.DUMMYFUNCTION("IFERROR(GOOGLEFINANCE(A1138,""closeyest""),"""")"),1485.0)</f>
        <v>1485</v>
      </c>
      <c r="V1138" s="23">
        <f>IFERROR(__xludf.DUMMYFUNCTION("IFERROR(GOOGLEFINANCE(A1138,""changepct""),"""")"),0.34)</f>
        <v>0.34</v>
      </c>
      <c r="W1138" s="22">
        <f>IFERROR(__xludf.DUMMYFUNCTION("IFERROR(GOOGLEFINANCE(A1138,""priceopen""),"""")"),1485.0)</f>
        <v>1485</v>
      </c>
      <c r="X1138" s="22">
        <f>IFERROR(__xludf.DUMMYFUNCTION("IFERROR(GOOGLEFINANCE(A1138,""high""),"""")"),1490.0)</f>
        <v>1490</v>
      </c>
      <c r="Y1138" s="22">
        <f>IFERROR(__xludf.DUMMYFUNCTION("IFERROR(GOOGLEFINANCE(A1138,""low""),"""")"),1485.0)</f>
        <v>1485</v>
      </c>
      <c r="Z1138" s="22">
        <f>IFERROR(__xludf.DUMMYFUNCTION("IFERROR(GOOGLEFINANCE(A1138,""volume""),"""")"),7.35949E7)</f>
        <v>73594900</v>
      </c>
      <c r="AA1138" s="24" t="str">
        <f>VLOOKUP(A1138,Metrik!$C$2:$Y$959,5,0)</f>
        <v>Specialty Retail</v>
      </c>
      <c r="AB1138" s="24" t="str">
        <f>VLOOKUP(A1138,Metrik!$C$2:$Y$959,3,0)</f>
        <v>Consumer Cyclicals</v>
      </c>
    </row>
    <row r="1139">
      <c r="A1139" s="14" t="s">
        <v>607</v>
      </c>
      <c r="B1139" s="14" t="str">
        <f t="array" ref="B1139">VLOOKUP(A1139,{Metrik!$C$2:$C$998,Metrik!$B$2:$B$998},2,0)</f>
        <v>Mitra Adiperkasa Tbk.</v>
      </c>
      <c r="C1139" s="15">
        <f>IFERROR(__xludf.DUMMYFUNCTION("GOOGLEFINANCE(""IDX:""&amp;A1139,""price"")"),1490.0)</f>
        <v>1490</v>
      </c>
      <c r="D1139" s="16" t="str">
        <f>IFERROR(__xludf.DUMMYFUNCTION("IF(A1139="""","""",
SPARKLINE(
INDEX(
GOOGLEFINANCE(""IDX:""&amp;A1139,""close"",TODAY()-365,TODAY()),
,2
),
{""linewidth"",1}
))
"),"#N/A")</f>
        <v>#N/A</v>
      </c>
      <c r="E1139" s="14" t="s">
        <v>28</v>
      </c>
      <c r="F1139" s="17" t="s">
        <v>29</v>
      </c>
      <c r="G1139" s="24">
        <f t="shared" si="7"/>
        <v>12</v>
      </c>
      <c r="H1139" s="19">
        <f>VLOOKUP(A1139,Metrik!$C$2:$Y$959,8,0)</f>
        <v>10.4</v>
      </c>
      <c r="I1139" s="20">
        <f>VLOOKUP(A1139,Metrik!$C$2:$Y$959,9,0)</f>
        <v>1.4</v>
      </c>
      <c r="J1139" s="20">
        <f>VLOOKUP(A1139,Metrik!$C$2:$Y$959,10,0)</f>
        <v>13.3</v>
      </c>
      <c r="K1139" s="20">
        <f>VLOOKUP(A1139,Metrik!$C$2:$Y$959,11,0)</f>
        <v>7</v>
      </c>
      <c r="L1139" s="20">
        <f>VLOOKUP(A1139,Metrik!$C$2:$Y$959,12,0)</f>
        <v>0.9</v>
      </c>
      <c r="M1139" s="20">
        <f>VLOOKUP(A1139,Metrik!$C$2:$Y$959,19,0)</f>
        <v>19.4</v>
      </c>
      <c r="N1139" s="21"/>
      <c r="O1139" s="21"/>
      <c r="P1139" s="21"/>
      <c r="Q1139" s="21"/>
      <c r="R1139" s="21"/>
      <c r="S1139" s="21"/>
      <c r="T1139" s="21"/>
      <c r="U1139" s="22">
        <f>IFERROR(__xludf.DUMMYFUNCTION("IFERROR(GOOGLEFINANCE(A1139,""closeyest""),"""")"),1485.0)</f>
        <v>1485</v>
      </c>
      <c r="V1139" s="23">
        <f>IFERROR(__xludf.DUMMYFUNCTION("IFERROR(GOOGLEFINANCE(A1139,""changepct""),"""")"),0.34)</f>
        <v>0.34</v>
      </c>
      <c r="W1139" s="22">
        <f>IFERROR(__xludf.DUMMYFUNCTION("IFERROR(GOOGLEFINANCE(A1139,""priceopen""),"""")"),1485.0)</f>
        <v>1485</v>
      </c>
      <c r="X1139" s="22">
        <f>IFERROR(__xludf.DUMMYFUNCTION("IFERROR(GOOGLEFINANCE(A1139,""high""),"""")"),1490.0)</f>
        <v>1490</v>
      </c>
      <c r="Y1139" s="22">
        <f>IFERROR(__xludf.DUMMYFUNCTION("IFERROR(GOOGLEFINANCE(A1139,""low""),"""")"),1485.0)</f>
        <v>1485</v>
      </c>
      <c r="Z1139" s="22">
        <f>IFERROR(__xludf.DUMMYFUNCTION("IFERROR(GOOGLEFINANCE(A1139,""volume""),"""")"),7.35949E7)</f>
        <v>73594900</v>
      </c>
      <c r="AA1139" s="24" t="str">
        <f>VLOOKUP(A1139,Metrik!$C$2:$Y$959,5,0)</f>
        <v>Specialty Retail</v>
      </c>
      <c r="AB1139" s="24" t="str">
        <f>VLOOKUP(A1139,Metrik!$C$2:$Y$959,3,0)</f>
        <v>Consumer Cyclicals</v>
      </c>
    </row>
    <row r="1140">
      <c r="A1140" s="14" t="s">
        <v>607</v>
      </c>
      <c r="B1140" s="14" t="str">
        <f t="array" ref="B1140">VLOOKUP(A1140,{Metrik!$C$2:$C$998,Metrik!$B$2:$B$998},2,0)</f>
        <v>Mitra Adiperkasa Tbk.</v>
      </c>
      <c r="C1140" s="15">
        <f>IFERROR(__xludf.DUMMYFUNCTION("GOOGLEFINANCE(""IDX:""&amp;A1140,""price"")"),1490.0)</f>
        <v>1490</v>
      </c>
      <c r="D1140" s="16" t="str">
        <f>IFERROR(__xludf.DUMMYFUNCTION("IF(A1140="""","""",
SPARKLINE(
INDEX(
GOOGLEFINANCE(""IDX:""&amp;A1140,""close"",TODAY()-365,TODAY()),
,2
),
{""linewidth"",1}
))
"),"#N/A")</f>
        <v>#N/A</v>
      </c>
      <c r="E1140" s="14" t="s">
        <v>31</v>
      </c>
      <c r="F1140" s="17" t="s">
        <v>29</v>
      </c>
      <c r="G1140" s="24">
        <f t="shared" si="7"/>
        <v>12</v>
      </c>
      <c r="H1140" s="19">
        <f>VLOOKUP(A1140,Metrik!$C$2:$Y$959,8,0)</f>
        <v>10.4</v>
      </c>
      <c r="I1140" s="20">
        <f>VLOOKUP(A1140,Metrik!$C$2:$Y$959,9,0)</f>
        <v>1.4</v>
      </c>
      <c r="J1140" s="20">
        <f>VLOOKUP(A1140,Metrik!$C$2:$Y$959,10,0)</f>
        <v>13.3</v>
      </c>
      <c r="K1140" s="20">
        <f>VLOOKUP(A1140,Metrik!$C$2:$Y$959,11,0)</f>
        <v>7</v>
      </c>
      <c r="L1140" s="20">
        <f>VLOOKUP(A1140,Metrik!$C$2:$Y$959,12,0)</f>
        <v>0.9</v>
      </c>
      <c r="M1140" s="20">
        <f>VLOOKUP(A1140,Metrik!$C$2:$Y$959,19,0)</f>
        <v>19.4</v>
      </c>
      <c r="N1140" s="21"/>
      <c r="O1140" s="21"/>
      <c r="P1140" s="21"/>
      <c r="Q1140" s="21"/>
      <c r="R1140" s="21"/>
      <c r="S1140" s="21"/>
      <c r="T1140" s="21"/>
      <c r="U1140" s="22">
        <f>IFERROR(__xludf.DUMMYFUNCTION("IFERROR(GOOGLEFINANCE(A1140,""closeyest""),"""")"),1485.0)</f>
        <v>1485</v>
      </c>
      <c r="V1140" s="23">
        <f>IFERROR(__xludf.DUMMYFUNCTION("IFERROR(GOOGLEFINANCE(A1140,""changepct""),"""")"),0.34)</f>
        <v>0.34</v>
      </c>
      <c r="W1140" s="22">
        <f>IFERROR(__xludf.DUMMYFUNCTION("IFERROR(GOOGLEFINANCE(A1140,""priceopen""),"""")"),1485.0)</f>
        <v>1485</v>
      </c>
      <c r="X1140" s="22">
        <f>IFERROR(__xludf.DUMMYFUNCTION("IFERROR(GOOGLEFINANCE(A1140,""high""),"""")"),1490.0)</f>
        <v>1490</v>
      </c>
      <c r="Y1140" s="22">
        <f>IFERROR(__xludf.DUMMYFUNCTION("IFERROR(GOOGLEFINANCE(A1140,""low""),"""")"),1485.0)</f>
        <v>1485</v>
      </c>
      <c r="Z1140" s="22">
        <f>IFERROR(__xludf.DUMMYFUNCTION("IFERROR(GOOGLEFINANCE(A1140,""volume""),"""")"),7.35949E7)</f>
        <v>73594900</v>
      </c>
      <c r="AA1140" s="24" t="str">
        <f>VLOOKUP(A1140,Metrik!$C$2:$Y$959,5,0)</f>
        <v>Specialty Retail</v>
      </c>
      <c r="AB1140" s="24" t="str">
        <f>VLOOKUP(A1140,Metrik!$C$2:$Y$959,3,0)</f>
        <v>Consumer Cyclicals</v>
      </c>
    </row>
    <row r="1141">
      <c r="A1141" s="14" t="s">
        <v>607</v>
      </c>
      <c r="B1141" s="14" t="str">
        <f t="array" ref="B1141">VLOOKUP(A1141,{Metrik!$C$2:$C$998,Metrik!$B$2:$B$998},2,0)</f>
        <v>Mitra Adiperkasa Tbk.</v>
      </c>
      <c r="C1141" s="15">
        <f>IFERROR(__xludf.DUMMYFUNCTION("GOOGLEFINANCE(""IDX:""&amp;A1141,""price"")"),1490.0)</f>
        <v>1490</v>
      </c>
      <c r="D1141" s="16" t="str">
        <f>IFERROR(__xludf.DUMMYFUNCTION("IF(A1141="""","""",
SPARKLINE(
INDEX(
GOOGLEFINANCE(""IDX:""&amp;A1141,""close"",TODAY()-365,TODAY()),
,2
),
{""linewidth"",1}
))
"),"#N/A")</f>
        <v>#N/A</v>
      </c>
      <c r="E1141" s="14" t="s">
        <v>32</v>
      </c>
      <c r="F1141" s="14" t="s">
        <v>29</v>
      </c>
      <c r="G1141" s="24">
        <f t="shared" si="7"/>
        <v>12</v>
      </c>
      <c r="H1141" s="19">
        <f>VLOOKUP(A1141,Metrik!$C$2:$Y$959,8,0)</f>
        <v>10.4</v>
      </c>
      <c r="I1141" s="20">
        <f>VLOOKUP(A1141,Metrik!$C$2:$Y$959,9,0)</f>
        <v>1.4</v>
      </c>
      <c r="J1141" s="20">
        <f>VLOOKUP(A1141,Metrik!$C$2:$Y$959,10,0)</f>
        <v>13.3</v>
      </c>
      <c r="K1141" s="20">
        <f>VLOOKUP(A1141,Metrik!$C$2:$Y$959,11,0)</f>
        <v>7</v>
      </c>
      <c r="L1141" s="20">
        <f>VLOOKUP(A1141,Metrik!$C$2:$Y$959,12,0)</f>
        <v>0.9</v>
      </c>
      <c r="M1141" s="20">
        <f>VLOOKUP(A1141,Metrik!$C$2:$Y$959,19,0)</f>
        <v>19.4</v>
      </c>
      <c r="N1141" s="21"/>
      <c r="O1141" s="21"/>
      <c r="P1141" s="21"/>
      <c r="Q1141" s="21"/>
      <c r="R1141" s="21"/>
      <c r="S1141" s="21"/>
      <c r="T1141" s="21"/>
      <c r="U1141" s="22">
        <f>IFERROR(__xludf.DUMMYFUNCTION("IFERROR(GOOGLEFINANCE(A1141,""closeyest""),"""")"),1485.0)</f>
        <v>1485</v>
      </c>
      <c r="V1141" s="23">
        <f>IFERROR(__xludf.DUMMYFUNCTION("IFERROR(GOOGLEFINANCE(A1141,""changepct""),"""")"),0.34)</f>
        <v>0.34</v>
      </c>
      <c r="W1141" s="22">
        <f>IFERROR(__xludf.DUMMYFUNCTION("IFERROR(GOOGLEFINANCE(A1141,""priceopen""),"""")"),1485.0)</f>
        <v>1485</v>
      </c>
      <c r="X1141" s="22">
        <f>IFERROR(__xludf.DUMMYFUNCTION("IFERROR(GOOGLEFINANCE(A1141,""high""),"""")"),1490.0)</f>
        <v>1490</v>
      </c>
      <c r="Y1141" s="22">
        <f>IFERROR(__xludf.DUMMYFUNCTION("IFERROR(GOOGLEFINANCE(A1141,""low""),"""")"),1485.0)</f>
        <v>1485</v>
      </c>
      <c r="Z1141" s="22">
        <f>IFERROR(__xludf.DUMMYFUNCTION("IFERROR(GOOGLEFINANCE(A1141,""volume""),"""")"),7.35949E7)</f>
        <v>73594900</v>
      </c>
      <c r="AA1141" s="24" t="str">
        <f>VLOOKUP(A1141,Metrik!$C$2:$Y$959,5,0)</f>
        <v>Specialty Retail</v>
      </c>
      <c r="AB1141" s="24" t="str">
        <f>VLOOKUP(A1141,Metrik!$C$2:$Y$959,3,0)</f>
        <v>Consumer Cyclicals</v>
      </c>
    </row>
    <row r="1142">
      <c r="A1142" s="14" t="s">
        <v>607</v>
      </c>
      <c r="B1142" s="14" t="str">
        <f t="array" ref="B1142">VLOOKUP(A1142,{Metrik!$C$2:$C$998,Metrik!$B$2:$B$998},2,0)</f>
        <v>Mitra Adiperkasa Tbk.</v>
      </c>
      <c r="C1142" s="15">
        <f>IFERROR(__xludf.DUMMYFUNCTION("GOOGLEFINANCE(""IDX:""&amp;A1142,""price"")"),1490.0)</f>
        <v>1490</v>
      </c>
      <c r="D1142" s="16" t="str">
        <f>IFERROR(__xludf.DUMMYFUNCTION("IF(A1142="""","""",
SPARKLINE(
INDEX(
GOOGLEFINANCE(""IDX:""&amp;A1142,""close"",TODAY()-365,TODAY()),
,2
),
{""linewidth"",1}
))
"),"#N/A")</f>
        <v>#N/A</v>
      </c>
      <c r="E1142" s="14" t="s">
        <v>67</v>
      </c>
      <c r="F1142" s="17" t="s">
        <v>51</v>
      </c>
      <c r="G1142" s="24">
        <f t="shared" si="7"/>
        <v>12</v>
      </c>
      <c r="H1142" s="19">
        <f>VLOOKUP(A1142,Metrik!$C$2:$Y$959,8,0)</f>
        <v>10.4</v>
      </c>
      <c r="I1142" s="20">
        <f>VLOOKUP(A1142,Metrik!$C$2:$Y$959,9,0)</f>
        <v>1.4</v>
      </c>
      <c r="J1142" s="20">
        <f>VLOOKUP(A1142,Metrik!$C$2:$Y$959,10,0)</f>
        <v>13.3</v>
      </c>
      <c r="K1142" s="20">
        <f>VLOOKUP(A1142,Metrik!$C$2:$Y$959,11,0)</f>
        <v>7</v>
      </c>
      <c r="L1142" s="20">
        <f>VLOOKUP(A1142,Metrik!$C$2:$Y$959,12,0)</f>
        <v>0.9</v>
      </c>
      <c r="M1142" s="20">
        <f>VLOOKUP(A1142,Metrik!$C$2:$Y$959,19,0)</f>
        <v>19.4</v>
      </c>
      <c r="N1142" s="21"/>
      <c r="O1142" s="21"/>
      <c r="P1142" s="21"/>
      <c r="Q1142" s="21"/>
      <c r="R1142" s="21"/>
      <c r="S1142" s="21"/>
      <c r="T1142" s="21"/>
      <c r="U1142" s="22">
        <f>IFERROR(__xludf.DUMMYFUNCTION("IFERROR(GOOGLEFINANCE(A1142,""closeyest""),"""")"),1485.0)</f>
        <v>1485</v>
      </c>
      <c r="V1142" s="23">
        <f>IFERROR(__xludf.DUMMYFUNCTION("IFERROR(GOOGLEFINANCE(A1142,""changepct""),"""")"),0.34)</f>
        <v>0.34</v>
      </c>
      <c r="W1142" s="22">
        <f>IFERROR(__xludf.DUMMYFUNCTION("IFERROR(GOOGLEFINANCE(A1142,""priceopen""),"""")"),1485.0)</f>
        <v>1485</v>
      </c>
      <c r="X1142" s="22">
        <f>IFERROR(__xludf.DUMMYFUNCTION("IFERROR(GOOGLEFINANCE(A1142,""high""),"""")"),1490.0)</f>
        <v>1490</v>
      </c>
      <c r="Y1142" s="22">
        <f>IFERROR(__xludf.DUMMYFUNCTION("IFERROR(GOOGLEFINANCE(A1142,""low""),"""")"),1485.0)</f>
        <v>1485</v>
      </c>
      <c r="Z1142" s="22">
        <f>IFERROR(__xludf.DUMMYFUNCTION("IFERROR(GOOGLEFINANCE(A1142,""volume""),"""")"),7.35949E7)</f>
        <v>73594900</v>
      </c>
      <c r="AA1142" s="24" t="str">
        <f>VLOOKUP(A1142,Metrik!$C$2:$Y$959,5,0)</f>
        <v>Specialty Retail</v>
      </c>
      <c r="AB1142" s="24" t="str">
        <f>VLOOKUP(A1142,Metrik!$C$2:$Y$959,3,0)</f>
        <v>Consumer Cyclicals</v>
      </c>
    </row>
    <row r="1143">
      <c r="A1143" s="14" t="s">
        <v>607</v>
      </c>
      <c r="B1143" s="14" t="str">
        <f t="array" ref="B1143">VLOOKUP(A1143,{Metrik!$C$2:$C$998,Metrik!$B$2:$B$998},2,0)</f>
        <v>Mitra Adiperkasa Tbk.</v>
      </c>
      <c r="C1143" s="15">
        <f>IFERROR(__xludf.DUMMYFUNCTION("GOOGLEFINANCE(""IDX:""&amp;A1143,""price"")"),1490.0)</f>
        <v>1490</v>
      </c>
      <c r="D1143" s="16" t="str">
        <f>IFERROR(__xludf.DUMMYFUNCTION("IF(A1143="""","""",
SPARKLINE(
INDEX(
GOOGLEFINANCE(""IDX:""&amp;A1143,""close"",TODAY()-365,TODAY()),
,2
),
{""linewidth"",1}
))
"),"#N/A")</f>
        <v>#N/A</v>
      </c>
      <c r="E1143" s="14" t="s">
        <v>84</v>
      </c>
      <c r="F1143" s="17" t="s">
        <v>51</v>
      </c>
      <c r="G1143" s="24">
        <f t="shared" si="7"/>
        <v>12</v>
      </c>
      <c r="H1143" s="19">
        <f>VLOOKUP(A1143,Metrik!$C$2:$Y$959,8,0)</f>
        <v>10.4</v>
      </c>
      <c r="I1143" s="20">
        <f>VLOOKUP(A1143,Metrik!$C$2:$Y$959,9,0)</f>
        <v>1.4</v>
      </c>
      <c r="J1143" s="20">
        <f>VLOOKUP(A1143,Metrik!$C$2:$Y$959,10,0)</f>
        <v>13.3</v>
      </c>
      <c r="K1143" s="20">
        <f>VLOOKUP(A1143,Metrik!$C$2:$Y$959,11,0)</f>
        <v>7</v>
      </c>
      <c r="L1143" s="20">
        <f>VLOOKUP(A1143,Metrik!$C$2:$Y$959,12,0)</f>
        <v>0.9</v>
      </c>
      <c r="M1143" s="20">
        <f>VLOOKUP(A1143,Metrik!$C$2:$Y$959,19,0)</f>
        <v>19.4</v>
      </c>
      <c r="N1143" s="21"/>
      <c r="O1143" s="21"/>
      <c r="P1143" s="21"/>
      <c r="Q1143" s="21"/>
      <c r="R1143" s="21"/>
      <c r="S1143" s="21"/>
      <c r="T1143" s="21"/>
      <c r="U1143" s="22">
        <f>IFERROR(__xludf.DUMMYFUNCTION("IFERROR(GOOGLEFINANCE(A1143,""closeyest""),"""")"),1485.0)</f>
        <v>1485</v>
      </c>
      <c r="V1143" s="23">
        <f>IFERROR(__xludf.DUMMYFUNCTION("IFERROR(GOOGLEFINANCE(A1143,""changepct""),"""")"),0.34)</f>
        <v>0.34</v>
      </c>
      <c r="W1143" s="22">
        <f>IFERROR(__xludf.DUMMYFUNCTION("IFERROR(GOOGLEFINANCE(A1143,""priceopen""),"""")"),1485.0)</f>
        <v>1485</v>
      </c>
      <c r="X1143" s="22">
        <f>IFERROR(__xludf.DUMMYFUNCTION("IFERROR(GOOGLEFINANCE(A1143,""high""),"""")"),1490.0)</f>
        <v>1490</v>
      </c>
      <c r="Y1143" s="22">
        <f>IFERROR(__xludf.DUMMYFUNCTION("IFERROR(GOOGLEFINANCE(A1143,""low""),"""")"),1485.0)</f>
        <v>1485</v>
      </c>
      <c r="Z1143" s="22">
        <f>IFERROR(__xludf.DUMMYFUNCTION("IFERROR(GOOGLEFINANCE(A1143,""volume""),"""")"),7.35949E7)</f>
        <v>73594900</v>
      </c>
      <c r="AA1143" s="24" t="str">
        <f>VLOOKUP(A1143,Metrik!$C$2:$Y$959,5,0)</f>
        <v>Specialty Retail</v>
      </c>
      <c r="AB1143" s="24" t="str">
        <f>VLOOKUP(A1143,Metrik!$C$2:$Y$959,3,0)</f>
        <v>Consumer Cyclicals</v>
      </c>
    </row>
    <row r="1144">
      <c r="A1144" s="14" t="s">
        <v>607</v>
      </c>
      <c r="B1144" s="14" t="str">
        <f t="array" ref="B1144">VLOOKUP(A1144,{Metrik!$C$2:$C$998,Metrik!$B$2:$B$998},2,0)</f>
        <v>Mitra Adiperkasa Tbk.</v>
      </c>
      <c r="C1144" s="15">
        <f>IFERROR(__xludf.DUMMYFUNCTION("GOOGLEFINANCE(""IDX:""&amp;A1144,""price"")"),1490.0)</f>
        <v>1490</v>
      </c>
      <c r="D1144" s="16" t="str">
        <f>IFERROR(__xludf.DUMMYFUNCTION("IF(A1144="""","""",
SPARKLINE(
INDEX(
GOOGLEFINANCE(""IDX:""&amp;A1144,""close"",TODAY()-365,TODAY()),
,2
),
{""linewidth"",1}
))
"),"#N/A")</f>
        <v>#N/A</v>
      </c>
      <c r="E1144" s="14" t="s">
        <v>50</v>
      </c>
      <c r="F1144" s="17" t="s">
        <v>51</v>
      </c>
      <c r="G1144" s="24">
        <f t="shared" si="7"/>
        <v>12</v>
      </c>
      <c r="H1144" s="19">
        <f>VLOOKUP(A1144,Metrik!$C$2:$Y$959,8,0)</f>
        <v>10.4</v>
      </c>
      <c r="I1144" s="20">
        <f>VLOOKUP(A1144,Metrik!$C$2:$Y$959,9,0)</f>
        <v>1.4</v>
      </c>
      <c r="J1144" s="20">
        <f>VLOOKUP(A1144,Metrik!$C$2:$Y$959,10,0)</f>
        <v>13.3</v>
      </c>
      <c r="K1144" s="20">
        <f>VLOOKUP(A1144,Metrik!$C$2:$Y$959,11,0)</f>
        <v>7</v>
      </c>
      <c r="L1144" s="20">
        <f>VLOOKUP(A1144,Metrik!$C$2:$Y$959,12,0)</f>
        <v>0.9</v>
      </c>
      <c r="M1144" s="20">
        <f>VLOOKUP(A1144,Metrik!$C$2:$Y$959,19,0)</f>
        <v>19.4</v>
      </c>
      <c r="N1144" s="21"/>
      <c r="O1144" s="21"/>
      <c r="P1144" s="21"/>
      <c r="Q1144" s="21"/>
      <c r="R1144" s="21"/>
      <c r="S1144" s="21"/>
      <c r="T1144" s="21"/>
      <c r="U1144" s="22">
        <f>IFERROR(__xludf.DUMMYFUNCTION("IFERROR(GOOGLEFINANCE(A1144,""closeyest""),"""")"),1485.0)</f>
        <v>1485</v>
      </c>
      <c r="V1144" s="23">
        <f>IFERROR(__xludf.DUMMYFUNCTION("IFERROR(GOOGLEFINANCE(A1144,""changepct""),"""")"),0.34)</f>
        <v>0.34</v>
      </c>
      <c r="W1144" s="22">
        <f>IFERROR(__xludf.DUMMYFUNCTION("IFERROR(GOOGLEFINANCE(A1144,""priceopen""),"""")"),1485.0)</f>
        <v>1485</v>
      </c>
      <c r="X1144" s="22">
        <f>IFERROR(__xludf.DUMMYFUNCTION("IFERROR(GOOGLEFINANCE(A1144,""high""),"""")"),1490.0)</f>
        <v>1490</v>
      </c>
      <c r="Y1144" s="22">
        <f>IFERROR(__xludf.DUMMYFUNCTION("IFERROR(GOOGLEFINANCE(A1144,""low""),"""")"),1485.0)</f>
        <v>1485</v>
      </c>
      <c r="Z1144" s="22">
        <f>IFERROR(__xludf.DUMMYFUNCTION("IFERROR(GOOGLEFINANCE(A1144,""volume""),"""")"),7.35949E7)</f>
        <v>73594900</v>
      </c>
      <c r="AA1144" s="24" t="str">
        <f>VLOOKUP(A1144,Metrik!$C$2:$Y$959,5,0)</f>
        <v>Specialty Retail</v>
      </c>
      <c r="AB1144" s="24" t="str">
        <f>VLOOKUP(A1144,Metrik!$C$2:$Y$959,3,0)</f>
        <v>Consumer Cyclicals</v>
      </c>
    </row>
    <row r="1145">
      <c r="A1145" s="14" t="s">
        <v>607</v>
      </c>
      <c r="B1145" s="14" t="str">
        <f t="array" ref="B1145">VLOOKUP(A1145,{Metrik!$C$2:$C$998,Metrik!$B$2:$B$998},2,0)</f>
        <v>Mitra Adiperkasa Tbk.</v>
      </c>
      <c r="C1145" s="15">
        <f>IFERROR(__xludf.DUMMYFUNCTION("GOOGLEFINANCE(""IDX:""&amp;A1145,""price"")"),1490.0)</f>
        <v>1490</v>
      </c>
      <c r="D1145" s="16" t="str">
        <f>IFERROR(__xludf.DUMMYFUNCTION("IF(A1145="""","""",
SPARKLINE(
INDEX(
GOOGLEFINANCE(""IDX:""&amp;A1145,""close"",TODAY()-365,TODAY()),
,2
),
{""linewidth"",1}
))
"),"#N/A")</f>
        <v>#N/A</v>
      </c>
      <c r="E1145" s="14" t="s">
        <v>33</v>
      </c>
      <c r="F1145" s="14" t="s">
        <v>34</v>
      </c>
      <c r="G1145" s="24">
        <f t="shared" si="7"/>
        <v>12</v>
      </c>
      <c r="H1145" s="19">
        <f>VLOOKUP(A1145,Metrik!$C$2:$Y$959,8,0)</f>
        <v>10.4</v>
      </c>
      <c r="I1145" s="20">
        <f>VLOOKUP(A1145,Metrik!$C$2:$Y$959,9,0)</f>
        <v>1.4</v>
      </c>
      <c r="J1145" s="20">
        <f>VLOOKUP(A1145,Metrik!$C$2:$Y$959,10,0)</f>
        <v>13.3</v>
      </c>
      <c r="K1145" s="20">
        <f>VLOOKUP(A1145,Metrik!$C$2:$Y$959,11,0)</f>
        <v>7</v>
      </c>
      <c r="L1145" s="20">
        <f>VLOOKUP(A1145,Metrik!$C$2:$Y$959,12,0)</f>
        <v>0.9</v>
      </c>
      <c r="M1145" s="20">
        <f>VLOOKUP(A1145,Metrik!$C$2:$Y$959,19,0)</f>
        <v>19.4</v>
      </c>
      <c r="N1145" s="21"/>
      <c r="O1145" s="21"/>
      <c r="P1145" s="21"/>
      <c r="Q1145" s="21"/>
      <c r="R1145" s="21"/>
      <c r="S1145" s="21"/>
      <c r="T1145" s="21"/>
      <c r="U1145" s="22">
        <f>IFERROR(__xludf.DUMMYFUNCTION("IFERROR(GOOGLEFINANCE(A1145,""closeyest""),"""")"),1485.0)</f>
        <v>1485</v>
      </c>
      <c r="V1145" s="23">
        <f>IFERROR(__xludf.DUMMYFUNCTION("IFERROR(GOOGLEFINANCE(A1145,""changepct""),"""")"),0.34)</f>
        <v>0.34</v>
      </c>
      <c r="W1145" s="22">
        <f>IFERROR(__xludf.DUMMYFUNCTION("IFERROR(GOOGLEFINANCE(A1145,""priceopen""),"""")"),1485.0)</f>
        <v>1485</v>
      </c>
      <c r="X1145" s="22">
        <f>IFERROR(__xludf.DUMMYFUNCTION("IFERROR(GOOGLEFINANCE(A1145,""high""),"""")"),1490.0)</f>
        <v>1490</v>
      </c>
      <c r="Y1145" s="22">
        <f>IFERROR(__xludf.DUMMYFUNCTION("IFERROR(GOOGLEFINANCE(A1145,""low""),"""")"),1485.0)</f>
        <v>1485</v>
      </c>
      <c r="Z1145" s="22">
        <f>IFERROR(__xludf.DUMMYFUNCTION("IFERROR(GOOGLEFINANCE(A1145,""volume""),"""")"),7.35949E7)</f>
        <v>73594900</v>
      </c>
      <c r="AA1145" s="24" t="str">
        <f>VLOOKUP(A1145,Metrik!$C$2:$Y$959,5,0)</f>
        <v>Specialty Retail</v>
      </c>
      <c r="AB1145" s="24" t="str">
        <f>VLOOKUP(A1145,Metrik!$C$2:$Y$959,3,0)</f>
        <v>Consumer Cyclicals</v>
      </c>
    </row>
    <row r="1146">
      <c r="A1146" s="14" t="s">
        <v>607</v>
      </c>
      <c r="B1146" s="14" t="str">
        <f t="array" ref="B1146">VLOOKUP(A1146,{Metrik!$C$2:$C$998,Metrik!$B$2:$B$998},2,0)</f>
        <v>Mitra Adiperkasa Tbk.</v>
      </c>
      <c r="C1146" s="15">
        <f>IFERROR(__xludf.DUMMYFUNCTION("GOOGLEFINANCE(""IDX:""&amp;A1146,""price"")"),1490.0)</f>
        <v>1490</v>
      </c>
      <c r="D1146" s="16" t="str">
        <f>IFERROR(__xludf.DUMMYFUNCTION("IF(A1146="""","""",
SPARKLINE(
INDEX(
GOOGLEFINANCE(""IDX:""&amp;A1146,""close"",TODAY()-365,TODAY()),
,2
),
{""linewidth"",1}
))
"),"#N/A")</f>
        <v>#N/A</v>
      </c>
      <c r="E1146" s="14" t="s">
        <v>41</v>
      </c>
      <c r="F1146" s="14" t="s">
        <v>34</v>
      </c>
      <c r="G1146" s="24">
        <f t="shared" si="7"/>
        <v>12</v>
      </c>
      <c r="H1146" s="19">
        <f>VLOOKUP(A1146,Metrik!$C$2:$Y$959,8,0)</f>
        <v>10.4</v>
      </c>
      <c r="I1146" s="20">
        <f>VLOOKUP(A1146,Metrik!$C$2:$Y$959,9,0)</f>
        <v>1.4</v>
      </c>
      <c r="J1146" s="20">
        <f>VLOOKUP(A1146,Metrik!$C$2:$Y$959,10,0)</f>
        <v>13.3</v>
      </c>
      <c r="K1146" s="20">
        <f>VLOOKUP(A1146,Metrik!$C$2:$Y$959,11,0)</f>
        <v>7</v>
      </c>
      <c r="L1146" s="20">
        <f>VLOOKUP(A1146,Metrik!$C$2:$Y$959,12,0)</f>
        <v>0.9</v>
      </c>
      <c r="M1146" s="20">
        <f>VLOOKUP(A1146,Metrik!$C$2:$Y$959,19,0)</f>
        <v>19.4</v>
      </c>
      <c r="N1146" s="21"/>
      <c r="O1146" s="21"/>
      <c r="P1146" s="21"/>
      <c r="Q1146" s="21"/>
      <c r="R1146" s="21"/>
      <c r="S1146" s="21"/>
      <c r="T1146" s="21"/>
      <c r="U1146" s="22">
        <f>IFERROR(__xludf.DUMMYFUNCTION("IFERROR(GOOGLEFINANCE(A1146,""closeyest""),"""")"),1485.0)</f>
        <v>1485</v>
      </c>
      <c r="V1146" s="23">
        <f>IFERROR(__xludf.DUMMYFUNCTION("IFERROR(GOOGLEFINANCE(A1146,""changepct""),"""")"),0.34)</f>
        <v>0.34</v>
      </c>
      <c r="W1146" s="22">
        <f>IFERROR(__xludf.DUMMYFUNCTION("IFERROR(GOOGLEFINANCE(A1146,""priceopen""),"""")"),1485.0)</f>
        <v>1485</v>
      </c>
      <c r="X1146" s="22">
        <f>IFERROR(__xludf.DUMMYFUNCTION("IFERROR(GOOGLEFINANCE(A1146,""high""),"""")"),1490.0)</f>
        <v>1490</v>
      </c>
      <c r="Y1146" s="22">
        <f>IFERROR(__xludf.DUMMYFUNCTION("IFERROR(GOOGLEFINANCE(A1146,""low""),"""")"),1485.0)</f>
        <v>1485</v>
      </c>
      <c r="Z1146" s="22">
        <f>IFERROR(__xludf.DUMMYFUNCTION("IFERROR(GOOGLEFINANCE(A1146,""volume""),"""")"),7.35949E7)</f>
        <v>73594900</v>
      </c>
      <c r="AA1146" s="24" t="str">
        <f>VLOOKUP(A1146,Metrik!$C$2:$Y$959,5,0)</f>
        <v>Specialty Retail</v>
      </c>
      <c r="AB1146" s="24" t="str">
        <f>VLOOKUP(A1146,Metrik!$C$2:$Y$959,3,0)</f>
        <v>Consumer Cyclicals</v>
      </c>
    </row>
    <row r="1147">
      <c r="A1147" s="17" t="s">
        <v>607</v>
      </c>
      <c r="B1147" s="14" t="str">
        <f t="array" ref="B1147">VLOOKUP(A1147,{Metrik!$C$2:$C$998,Metrik!$B$2:$B$998},2,0)</f>
        <v>Mitra Adiperkasa Tbk.</v>
      </c>
      <c r="C1147" s="15">
        <f>IFERROR(__xludf.DUMMYFUNCTION("GOOGLEFINANCE(""IDX:""&amp;A1147,""price"")"),1490.0)</f>
        <v>1490</v>
      </c>
      <c r="D1147" s="16" t="str">
        <f>IFERROR(__xludf.DUMMYFUNCTION("IF(A1147="""","""",
SPARKLINE(
INDEX(
GOOGLEFINANCE(""IDX:""&amp;A1147,""close"",TODAY()-365,TODAY()),
,2
),
{""linewidth"",1}
))
"),"#N/A")</f>
        <v>#N/A</v>
      </c>
      <c r="E1147" s="14" t="s">
        <v>35</v>
      </c>
      <c r="F1147" s="17" t="s">
        <v>36</v>
      </c>
      <c r="G1147" s="38">
        <f t="shared" si="7"/>
        <v>12</v>
      </c>
      <c r="H1147" s="34">
        <f>VLOOKUP(A1147,Metrik!$C$2:$Y$959,8,0)</f>
        <v>10.4</v>
      </c>
      <c r="I1147" s="34">
        <f>VLOOKUP(A1147,Metrik!$C$2:$Y$959,9,0)</f>
        <v>1.4</v>
      </c>
      <c r="J1147" s="34">
        <f>VLOOKUP(A1147,Metrik!$C$2:$Y$959,10,0)</f>
        <v>13.3</v>
      </c>
      <c r="K1147" s="34">
        <f>VLOOKUP(A1147,Metrik!$C$2:$Y$959,11,0)</f>
        <v>7</v>
      </c>
      <c r="L1147" s="34">
        <f>VLOOKUP(A1147,Metrik!$C$2:$Y$959,12,0)</f>
        <v>0.9</v>
      </c>
      <c r="M1147" s="34">
        <f>VLOOKUP(A1147,Metrik!$C$2:$Y$959,19,0)</f>
        <v>19.4</v>
      </c>
      <c r="N1147" s="26"/>
      <c r="O1147" s="26"/>
      <c r="P1147" s="26"/>
      <c r="Q1147" s="26"/>
      <c r="R1147" s="26"/>
      <c r="S1147" s="26"/>
      <c r="T1147" s="26"/>
      <c r="U1147" s="35">
        <f>IFERROR(__xludf.DUMMYFUNCTION("IFERROR(GOOGLEFINANCE(A1147,""closeyest""),"""")"),1485.0)</f>
        <v>1485</v>
      </c>
      <c r="V1147" s="36">
        <f>IFERROR(__xludf.DUMMYFUNCTION("IFERROR(GOOGLEFINANCE(A1147,""changepct""),"""")"),0.34)</f>
        <v>0.34</v>
      </c>
      <c r="W1147" s="49">
        <f>IFERROR(__xludf.DUMMYFUNCTION("IFERROR(GOOGLEFINANCE(A1147,""priceopen""),"""")"),1485.0)</f>
        <v>1485</v>
      </c>
      <c r="X1147" s="35">
        <f>IFERROR(__xludf.DUMMYFUNCTION("IFERROR(GOOGLEFINANCE(A1147,""high""),"""")"),1490.0)</f>
        <v>1490</v>
      </c>
      <c r="Y1147" s="35">
        <f>IFERROR(__xludf.DUMMYFUNCTION("IFERROR(GOOGLEFINANCE(A1147,""low""),"""")"),1485.0)</f>
        <v>1485</v>
      </c>
      <c r="Z1147" s="35">
        <f>IFERROR(__xludf.DUMMYFUNCTION("IFERROR(GOOGLEFINANCE(A1147,""volume""),"""")"),7.35949E7)</f>
        <v>73594900</v>
      </c>
      <c r="AA1147" s="14" t="str">
        <f>VLOOKUP(A1147,Metrik!$C$2:$Y$959,5,0)</f>
        <v>Specialty Retail</v>
      </c>
      <c r="AB1147" s="14" t="str">
        <f>VLOOKUP(A1147,Metrik!$C$2:$Y$959,3,0)</f>
        <v>Consumer Cyclicals</v>
      </c>
    </row>
    <row r="1148">
      <c r="A1148" s="14" t="s">
        <v>607</v>
      </c>
      <c r="B1148" s="14" t="str">
        <f t="array" ref="B1148">VLOOKUP(A1148,{Metrik!$C$2:$C$998,Metrik!$B$2:$B$998},2,0)</f>
        <v>Mitra Adiperkasa Tbk.</v>
      </c>
      <c r="C1148" s="15">
        <f>IFERROR(__xludf.DUMMYFUNCTION("GOOGLEFINANCE(""IDX:""&amp;A1148,""price"")"),1490.0)</f>
        <v>1490</v>
      </c>
      <c r="D1148" s="16" t="str">
        <f>IFERROR(__xludf.DUMMYFUNCTION("IF(A1148="""","""",
SPARKLINE(
INDEX(
GOOGLEFINANCE(""IDX:""&amp;A1148,""close"",TODAY()-365,TODAY()),
,2
),
{""linewidth"",1}
))
"),"#N/A")</f>
        <v>#N/A</v>
      </c>
      <c r="E1148" s="14" t="s">
        <v>39</v>
      </c>
      <c r="F1148" s="25">
        <v>46356.0</v>
      </c>
      <c r="G1148" s="24">
        <f t="shared" si="7"/>
        <v>12</v>
      </c>
      <c r="H1148" s="19">
        <f>VLOOKUP(A1148,Metrik!$C$2:$Y$959,8,0)</f>
        <v>10.4</v>
      </c>
      <c r="I1148" s="20">
        <f>VLOOKUP(A1148,Metrik!$C$2:$Y$959,9,0)</f>
        <v>1.4</v>
      </c>
      <c r="J1148" s="20">
        <f>VLOOKUP(A1148,Metrik!$C$2:$Y$959,10,0)</f>
        <v>13.3</v>
      </c>
      <c r="K1148" s="20">
        <f>VLOOKUP(A1148,Metrik!$C$2:$Y$959,11,0)</f>
        <v>7</v>
      </c>
      <c r="L1148" s="20">
        <f>VLOOKUP(A1148,Metrik!$C$2:$Y$959,12,0)</f>
        <v>0.9</v>
      </c>
      <c r="M1148" s="20">
        <f>VLOOKUP(A1148,Metrik!$C$2:$Y$959,19,0)</f>
        <v>19.4</v>
      </c>
      <c r="N1148" s="21"/>
      <c r="O1148" s="21"/>
      <c r="P1148" s="21"/>
      <c r="Q1148" s="21"/>
      <c r="R1148" s="21"/>
      <c r="S1148" s="21"/>
      <c r="T1148" s="21"/>
      <c r="U1148" s="22">
        <f>IFERROR(__xludf.DUMMYFUNCTION("IFERROR(GOOGLEFINANCE(A1148,""closeyest""),"""")"),1485.0)</f>
        <v>1485</v>
      </c>
      <c r="V1148" s="23">
        <f>IFERROR(__xludf.DUMMYFUNCTION("IFERROR(GOOGLEFINANCE(A1148,""changepct""),"""")"),0.34)</f>
        <v>0.34</v>
      </c>
      <c r="W1148" s="22">
        <f>IFERROR(__xludf.DUMMYFUNCTION("IFERROR(GOOGLEFINANCE(A1148,""priceopen""),"""")"),1485.0)</f>
        <v>1485</v>
      </c>
      <c r="X1148" s="22">
        <f>IFERROR(__xludf.DUMMYFUNCTION("IFERROR(GOOGLEFINANCE(A1148,""high""),"""")"),1490.0)</f>
        <v>1490</v>
      </c>
      <c r="Y1148" s="22">
        <f>IFERROR(__xludf.DUMMYFUNCTION("IFERROR(GOOGLEFINANCE(A1148,""low""),"""")"),1485.0)</f>
        <v>1485</v>
      </c>
      <c r="Z1148" s="22">
        <f>IFERROR(__xludf.DUMMYFUNCTION("IFERROR(GOOGLEFINANCE(A1148,""volume""),"""")"),7.35949E7)</f>
        <v>73594900</v>
      </c>
      <c r="AA1148" s="24" t="str">
        <f>VLOOKUP(A1148,Metrik!$C$2:$Y$959,5,0)</f>
        <v>Specialty Retail</v>
      </c>
      <c r="AB1148" s="24" t="str">
        <f>VLOOKUP(A1148,Metrik!$C$2:$Y$959,3,0)</f>
        <v>Consumer Cyclicals</v>
      </c>
    </row>
    <row r="1149">
      <c r="A1149" s="14" t="s">
        <v>608</v>
      </c>
      <c r="B1149" s="14" t="str">
        <f t="array" ref="B1149">VLOOKUP(A1149,{Metrik!$C$2:$C$998,Metrik!$B$2:$B$998},2,0)</f>
        <v>Mahaka Radio Integra Tbk.</v>
      </c>
      <c r="C1149" s="15">
        <f>IFERROR(__xludf.DUMMYFUNCTION("GOOGLEFINANCE(""IDX:""&amp;A1149,""price"")"),23.0)</f>
        <v>23</v>
      </c>
      <c r="D1149" s="16" t="str">
        <f>IFERROR(__xludf.DUMMYFUNCTION("IF(A1149="""","""",
SPARKLINE(
INDEX(
GOOGLEFINANCE(""IDX:""&amp;A1149,""close"",TODAY()-365,TODAY()),
,2
),
{""linewidth"",1}
))
"),"#N/A")</f>
        <v>#N/A</v>
      </c>
      <c r="E1149" s="26"/>
      <c r="F1149" s="26"/>
      <c r="G1149" s="24">
        <f t="shared" si="7"/>
        <v>0</v>
      </c>
      <c r="H1149" s="19">
        <f>VLOOKUP(A1149,Metrik!$C$2:$Y$959,8,0)</f>
        <v>-4.7</v>
      </c>
      <c r="I1149" s="20">
        <f>VLOOKUP(A1149,Metrik!$C$2:$Y$959,9,0)</f>
        <v>-1.3</v>
      </c>
      <c r="J1149" s="20">
        <f>VLOOKUP(A1149,Metrik!$C$2:$Y$959,10,0)</f>
        <v>0</v>
      </c>
      <c r="K1149" s="20">
        <f>VLOOKUP(A1149,Metrik!$C$2:$Y$959,11,0)</f>
        <v>-9.3</v>
      </c>
      <c r="L1149" s="20">
        <f>VLOOKUP(A1149,Metrik!$C$2:$Y$959,12,0)</f>
        <v>-3.9</v>
      </c>
      <c r="M1149" s="20">
        <f>VLOOKUP(A1149,Metrik!$C$2:$Y$959,19,0)</f>
        <v>-83</v>
      </c>
      <c r="N1149" s="21"/>
      <c r="O1149" s="21"/>
      <c r="P1149" s="21"/>
      <c r="Q1149" s="21"/>
      <c r="R1149" s="21"/>
      <c r="S1149" s="21"/>
      <c r="T1149" s="21"/>
      <c r="U1149" s="22">
        <f>IFERROR(__xludf.DUMMYFUNCTION("IFERROR(GOOGLEFINANCE(A1149,""closeyest""),"""")"),8.01)</f>
        <v>8.01</v>
      </c>
      <c r="V1149" s="23">
        <f>IFERROR(__xludf.DUMMYFUNCTION("IFERROR(GOOGLEFINANCE(A1149,""changepct""),"""")"),-0.25)</f>
        <v>-0.25</v>
      </c>
      <c r="W1149" s="22">
        <f>IFERROR(__xludf.DUMMYFUNCTION("IFERROR(GOOGLEFINANCE(A1149,""priceopen""),"""")"),8.18)</f>
        <v>8.18</v>
      </c>
      <c r="X1149" s="22">
        <f>IFERROR(__xludf.DUMMYFUNCTION("IFERROR(GOOGLEFINANCE(A1149,""high""),"""")"),8.25)</f>
        <v>8.25</v>
      </c>
      <c r="Y1149" s="22">
        <f>IFERROR(__xludf.DUMMYFUNCTION("IFERROR(GOOGLEFINANCE(A1149,""low""),"""")"),7.9)</f>
        <v>7.9</v>
      </c>
      <c r="Z1149" s="22">
        <f>IFERROR(__xludf.DUMMYFUNCTION("IFERROR(GOOGLEFINANCE(A1149,""volume""),"""")"),108227.0)</f>
        <v>108227</v>
      </c>
      <c r="AA1149" s="24" t="str">
        <f>VLOOKUP(A1149,Metrik!$C$2:$Y$959,5,0)</f>
        <v>Media</v>
      </c>
      <c r="AB1149" s="24" t="str">
        <f>VLOOKUP(A1149,Metrik!$C$2:$Y$959,3,0)</f>
        <v>Consumer Cyclicals</v>
      </c>
    </row>
    <row r="1150">
      <c r="A1150" s="14" t="s">
        <v>609</v>
      </c>
      <c r="B1150" s="14" t="str">
        <f t="array" ref="B1150">VLOOKUP(A1150,{Metrik!$C$2:$C$998,Metrik!$B$2:$B$998},2,0)</f>
        <v>PT Mark Dynamics Indonesia Tbk.</v>
      </c>
      <c r="C1150" s="15">
        <f>IFERROR(__xludf.DUMMYFUNCTION("GOOGLEFINANCE(""IDX:""&amp;A1150,""price"")"),850.0)</f>
        <v>850</v>
      </c>
      <c r="D1150" s="16" t="str">
        <f>IFERROR(__xludf.DUMMYFUNCTION("IF(A1150="""","""",
SPARKLINE(
INDEX(
GOOGLEFINANCE(""IDX:""&amp;A1150,""close"",TODAY()-365,TODAY()),
,2
),
{""linewidth"",1}
))
"),"#N/A")</f>
        <v>#N/A</v>
      </c>
      <c r="E1150" s="14" t="s">
        <v>39</v>
      </c>
      <c r="F1150" s="25">
        <v>46356.0</v>
      </c>
      <c r="G1150" s="24">
        <f t="shared" si="7"/>
        <v>1</v>
      </c>
      <c r="H1150" s="19">
        <f>VLOOKUP(A1150,Metrik!$C$2:$Y$959,8,0)</f>
        <v>10.2</v>
      </c>
      <c r="I1150" s="20">
        <f>VLOOKUP(A1150,Metrik!$C$2:$Y$959,9,0)</f>
        <v>3.1</v>
      </c>
      <c r="J1150" s="20">
        <f>VLOOKUP(A1150,Metrik!$C$2:$Y$959,10,0)</f>
        <v>30.2</v>
      </c>
      <c r="K1150" s="20">
        <f>VLOOKUP(A1150,Metrik!$C$2:$Y$959,11,0)</f>
        <v>27.6</v>
      </c>
      <c r="L1150" s="20">
        <f>VLOOKUP(A1150,Metrik!$C$2:$Y$959,12,0)</f>
        <v>0.1</v>
      </c>
      <c r="M1150" s="20">
        <f>VLOOKUP(A1150,Metrik!$C$2:$Y$959,19,0)</f>
        <v>120</v>
      </c>
      <c r="N1150" s="21"/>
      <c r="O1150" s="21"/>
      <c r="P1150" s="21"/>
      <c r="Q1150" s="21"/>
      <c r="R1150" s="21"/>
      <c r="S1150" s="21"/>
      <c r="T1150" s="21"/>
      <c r="U1150" s="22">
        <f>IFERROR(__xludf.DUMMYFUNCTION("IFERROR(GOOGLEFINANCE(A1150,""closeyest""),"""")"),0.0)</f>
        <v>0</v>
      </c>
      <c r="V1150" s="23">
        <f>IFERROR(__xludf.DUMMYFUNCTION("IFERROR(GOOGLEFINANCE(A1150,""changepct""),"""")"),42.86)</f>
        <v>42.86</v>
      </c>
      <c r="W1150" s="22">
        <f>IFERROR(__xludf.DUMMYFUNCTION("IFERROR(GOOGLEFINANCE(A1150,""priceopen""),"""")"),0.0)</f>
        <v>0</v>
      </c>
      <c r="X1150" s="22">
        <f>IFERROR(__xludf.DUMMYFUNCTION("IFERROR(GOOGLEFINANCE(A1150,""high""),"""")"),0.0)</f>
        <v>0</v>
      </c>
      <c r="Y1150" s="22">
        <f>IFERROR(__xludf.DUMMYFUNCTION("IFERROR(GOOGLEFINANCE(A1150,""low""),"""")"),0.0)</f>
        <v>0</v>
      </c>
      <c r="Z1150" s="22">
        <f>IFERROR(__xludf.DUMMYFUNCTION("IFERROR(GOOGLEFINANCE(A1150,""volume""),"""")"),4687.0)</f>
        <v>4687</v>
      </c>
      <c r="AA1150" s="24" t="str">
        <f>VLOOKUP(A1150,Metrik!$C$2:$Y$959,5,0)</f>
        <v>Machinery</v>
      </c>
      <c r="AB1150" s="24" t="str">
        <f>VLOOKUP(A1150,Metrik!$C$2:$Y$959,3,0)</f>
        <v>Industrials</v>
      </c>
    </row>
    <row r="1151">
      <c r="A1151" s="14" t="s">
        <v>610</v>
      </c>
      <c r="B1151" s="14" t="str">
        <f t="array" ref="B1151">VLOOKUP(A1151,{Metrik!$C$2:$C$998,Metrik!$B$2:$B$998},2,0)</f>
        <v>Bank Multiarta Sentosa Tbk.</v>
      </c>
      <c r="C1151" s="15">
        <f>IFERROR(__xludf.DUMMYFUNCTION("GOOGLEFINANCE(""IDX:""&amp;A1151,""price"")"),3380.0)</f>
        <v>3380</v>
      </c>
      <c r="D1151" s="16" t="str">
        <f>IFERROR(__xludf.DUMMYFUNCTION("IF(A1151="""","""",
SPARKLINE(
INDEX(
GOOGLEFINANCE(""IDX:""&amp;A1151,""close"",TODAY()-365,TODAY()),
,2
),
{""linewidth"",1}
))
"),"#N/A")</f>
        <v>#N/A</v>
      </c>
      <c r="E1151" s="26"/>
      <c r="F1151" s="26"/>
      <c r="G1151" s="24">
        <f t="shared" si="7"/>
        <v>0</v>
      </c>
      <c r="H1151" s="19">
        <f>VLOOKUP(A1151,Metrik!$C$2:$Y$959,8,0)</f>
        <v>22.6</v>
      </c>
      <c r="I1151" s="20">
        <f>VLOOKUP(A1151,Metrik!$C$2:$Y$959,9,0)</f>
        <v>1.1</v>
      </c>
      <c r="J1151" s="20">
        <f>VLOOKUP(A1151,Metrik!$C$2:$Y$959,10,0)</f>
        <v>5.1</v>
      </c>
      <c r="K1151" s="20">
        <f>VLOOKUP(A1151,Metrik!$C$2:$Y$959,11,0)</f>
        <v>0.61</v>
      </c>
      <c r="L1151" s="20">
        <f>VLOOKUP(A1151,Metrik!$C$2:$Y$959,12,0)</f>
        <v>7.3</v>
      </c>
      <c r="M1151" s="20">
        <f>VLOOKUP(A1151,Metrik!$C$2:$Y$959,19,0)</f>
        <v>41.3</v>
      </c>
      <c r="N1151" s="32">
        <v>3.45</v>
      </c>
      <c r="O1151" s="32">
        <v>28.12</v>
      </c>
      <c r="P1151" s="32">
        <v>81.15</v>
      </c>
      <c r="Q1151" s="32">
        <v>1.98</v>
      </c>
      <c r="R1151" s="32">
        <v>83.12</v>
      </c>
      <c r="S1151" s="32">
        <v>54.15</v>
      </c>
      <c r="T1151" s="32">
        <v>6.12</v>
      </c>
      <c r="U1151" s="22">
        <f>IFERROR(__xludf.DUMMYFUNCTION("IFERROR(GOOGLEFINANCE(A1151,""closeyest""),"""")"),3350.0)</f>
        <v>3350</v>
      </c>
      <c r="V1151" s="23">
        <f>IFERROR(__xludf.DUMMYFUNCTION("IFERROR(GOOGLEFINANCE(A1151,""changepct""),"""")"),0.9)</f>
        <v>0.9</v>
      </c>
      <c r="W1151" s="22">
        <f>IFERROR(__xludf.DUMMYFUNCTION("IFERROR(GOOGLEFINANCE(A1151,""priceopen""),"""")"),3450.0)</f>
        <v>3450</v>
      </c>
      <c r="X1151" s="22">
        <f>IFERROR(__xludf.DUMMYFUNCTION("IFERROR(GOOGLEFINANCE(A1151,""high""),"""")"),3450.0)</f>
        <v>3450</v>
      </c>
      <c r="Y1151" s="22">
        <f>IFERROR(__xludf.DUMMYFUNCTION("IFERROR(GOOGLEFINANCE(A1151,""low""),"""")"),3370.0)</f>
        <v>3370</v>
      </c>
      <c r="Z1151" s="22">
        <f>IFERROR(__xludf.DUMMYFUNCTION("IFERROR(GOOGLEFINANCE(A1151,""volume""),"""")"),9100.0)</f>
        <v>9100</v>
      </c>
      <c r="AA1151" s="24" t="str">
        <f>VLOOKUP(A1151,Metrik!$C$2:$Y$959,5,0)</f>
        <v>Banks</v>
      </c>
      <c r="AB1151" s="24" t="str">
        <f>VLOOKUP(A1151,Metrik!$C$2:$Y$959,3,0)</f>
        <v>Financials</v>
      </c>
    </row>
    <row r="1152">
      <c r="A1152" s="14" t="s">
        <v>611</v>
      </c>
      <c r="B1152" s="14" t="str">
        <f t="array" ref="B1152">VLOOKUP(A1152,{Metrik!$C$2:$C$998,Metrik!$B$2:$B$998},2,0)</f>
        <v>PT Maxindo Karya Anugerah Tbk</v>
      </c>
      <c r="C1152" s="15">
        <f>IFERROR(__xludf.DUMMYFUNCTION("GOOGLEFINANCE(""IDX:""&amp;A1152,""price"")"),50.0)</f>
        <v>50</v>
      </c>
      <c r="D1152" s="16" t="str">
        <f>IFERROR(__xludf.DUMMYFUNCTION("IF(A1152="""","""",
SPARKLINE(
INDEX(
GOOGLEFINANCE(""IDX:""&amp;A1152,""close"",TODAY()-365,TODAY()),
,2
),
{""linewidth"",1}
))
"),"#N/A")</f>
        <v>#N/A</v>
      </c>
      <c r="E1152" s="26"/>
      <c r="F1152" s="26"/>
      <c r="G1152" s="24">
        <f t="shared" si="7"/>
        <v>0</v>
      </c>
      <c r="H1152" s="19">
        <f>VLOOKUP(A1152,Metrik!$C$2:$Y$959,8,0)</f>
        <v>-49.6</v>
      </c>
      <c r="I1152" s="20">
        <f>VLOOKUP(A1152,Metrik!$C$2:$Y$959,9,0)</f>
        <v>3.5</v>
      </c>
      <c r="J1152" s="20">
        <f>VLOOKUP(A1152,Metrik!$C$2:$Y$959,10,0)</f>
        <v>-7</v>
      </c>
      <c r="K1152" s="20">
        <f>VLOOKUP(A1152,Metrik!$C$2:$Y$959,11,0)</f>
        <v>-3.3</v>
      </c>
      <c r="L1152" s="20">
        <f>VLOOKUP(A1152,Metrik!$C$2:$Y$959,12,0)</f>
        <v>1.2</v>
      </c>
      <c r="M1152" s="20">
        <f>VLOOKUP(A1152,Metrik!$C$2:$Y$959,19,0)</f>
        <v>-26.5</v>
      </c>
      <c r="N1152" s="21"/>
      <c r="O1152" s="21"/>
      <c r="P1152" s="21"/>
      <c r="Q1152" s="21"/>
      <c r="R1152" s="21"/>
      <c r="S1152" s="21"/>
      <c r="T1152" s="21"/>
      <c r="U1152" s="22">
        <f>IFERROR(__xludf.DUMMYFUNCTION("IFERROR(GOOGLEFINANCE(A1152,""closeyest""),"""")"),9.0)</f>
        <v>9</v>
      </c>
      <c r="V1152" s="23">
        <f>IFERROR(__xludf.DUMMYFUNCTION("IFERROR(GOOGLEFINANCE(A1152,""changepct""),"""")"),-0.33)</f>
        <v>-0.33</v>
      </c>
      <c r="W1152" s="22">
        <f>IFERROR(__xludf.DUMMYFUNCTION("IFERROR(GOOGLEFINANCE(A1152,""priceopen""),"""")"),9.1)</f>
        <v>9.1</v>
      </c>
      <c r="X1152" s="22">
        <f>IFERROR(__xludf.DUMMYFUNCTION("IFERROR(GOOGLEFINANCE(A1152,""high""),"""")"),9.1)</f>
        <v>9.1</v>
      </c>
      <c r="Y1152" s="22">
        <f>IFERROR(__xludf.DUMMYFUNCTION("IFERROR(GOOGLEFINANCE(A1152,""low""),"""")"),8.9)</f>
        <v>8.9</v>
      </c>
      <c r="Z1152" s="22">
        <f>IFERROR(__xludf.DUMMYFUNCTION("IFERROR(GOOGLEFINANCE(A1152,""volume""),"""")"),15140.0)</f>
        <v>15140</v>
      </c>
      <c r="AA1152" s="24" t="str">
        <f>VLOOKUP(A1152,Metrik!$C$2:$Y$959,5,0)</f>
        <v>Processed Foods</v>
      </c>
      <c r="AB1152" s="24" t="str">
        <f>VLOOKUP(A1152,Metrik!$C$2:$Y$959,3,0)</f>
        <v>Consumer Non-Cyclicals</v>
      </c>
    </row>
    <row r="1153">
      <c r="A1153" s="17" t="s">
        <v>612</v>
      </c>
      <c r="B1153" s="14" t="str">
        <f t="array" ref="B1153">VLOOKUP(A1153,{Metrik!$C$2:$C$998,Metrik!$B$2:$B$998},2,0)</f>
        <v>PT Bank Mayapada Internasional Tbk</v>
      </c>
      <c r="C1153" s="15">
        <f>IFERROR(__xludf.DUMMYFUNCTION("GOOGLEFINANCE(""IDX:""&amp;A1153,""price"")"),186.0)</f>
        <v>186</v>
      </c>
      <c r="D1153" s="16" t="str">
        <f>IFERROR(__xludf.DUMMYFUNCTION("IF(A1153="""","""",
SPARKLINE(
INDEX(
GOOGLEFINANCE(""IDX:""&amp;A1153,""close"",TODAY()-365,TODAY()),
,2
),
{""linewidth"",1}
))
"),"#N/A")</f>
        <v>#N/A</v>
      </c>
      <c r="E1153" s="14"/>
      <c r="F1153" s="17"/>
      <c r="G1153" s="18">
        <f t="shared" si="7"/>
        <v>0</v>
      </c>
      <c r="H1153" s="19">
        <f>VLOOKUP(A1153,Metrik!$C$2:$Y$959,8,0)</f>
        <v>87.6</v>
      </c>
      <c r="I1153" s="20">
        <f>VLOOKUP(A1153,Metrik!$C$2:$Y$959,9,0)</f>
        <v>0.26</v>
      </c>
      <c r="J1153" s="20">
        <f>VLOOKUP(A1153,Metrik!$C$2:$Y$959,10,0)</f>
        <v>0.29</v>
      </c>
      <c r="K1153" s="20">
        <f>VLOOKUP(A1153,Metrik!$C$2:$Y$959,11,0)</f>
        <v>0.03</v>
      </c>
      <c r="L1153" s="20">
        <f>VLOOKUP(A1153,Metrik!$C$2:$Y$959,12,0)</f>
        <v>7.9</v>
      </c>
      <c r="M1153" s="20">
        <f>VLOOKUP(A1153,Metrik!$C$2:$Y$959,19,0)</f>
        <v>1.8</v>
      </c>
      <c r="N1153" s="32">
        <v>3.67</v>
      </c>
      <c r="O1153" s="32">
        <v>10.1</v>
      </c>
      <c r="P1153" s="32">
        <v>77.93</v>
      </c>
      <c r="Q1153" s="32">
        <v>3.47</v>
      </c>
      <c r="R1153" s="32">
        <v>99.15</v>
      </c>
      <c r="S1153" s="32">
        <v>85.12</v>
      </c>
      <c r="T1153" s="32">
        <v>11.4</v>
      </c>
      <c r="U1153" s="22">
        <f>IFERROR(__xludf.DUMMYFUNCTION("IFERROR(GOOGLEFINANCE(A1153,""closeyest""),"""")"),180.0)</f>
        <v>180</v>
      </c>
      <c r="V1153" s="23" t="str">
        <f>IFERROR(__xludf.DUMMYFUNCTION("IFERROR(GOOGLEFINANCE(A1153,""changepct""),"""")"),"")</f>
        <v/>
      </c>
      <c r="W1153" s="22">
        <f>IFERROR(__xludf.DUMMYFUNCTION("IFERROR(GOOGLEFINANCE(A1153,""priceopen""),"""")"),181.0)</f>
        <v>181</v>
      </c>
      <c r="X1153" s="22">
        <f>IFERROR(__xludf.DUMMYFUNCTION("IFERROR(GOOGLEFINANCE(A1153,""high""),"""")"),193.0)</f>
        <v>193</v>
      </c>
      <c r="Y1153" s="22">
        <f>IFERROR(__xludf.DUMMYFUNCTION("IFERROR(GOOGLEFINANCE(A1153,""low""),"""")"),181.0)</f>
        <v>181</v>
      </c>
      <c r="Z1153" s="22">
        <f>IFERROR(__xludf.DUMMYFUNCTION("IFERROR(GOOGLEFINANCE(A1153,""volume""),"""")"),2247500.0)</f>
        <v>2247500</v>
      </c>
      <c r="AA1153" s="24" t="str">
        <f>VLOOKUP(A1153,Metrik!$C$2:$Y$959,5,0)</f>
        <v>Banks</v>
      </c>
      <c r="AB1153" s="24" t="str">
        <f>VLOOKUP(A1153,Metrik!$C$2:$Y$959,3,0)</f>
        <v>Financials</v>
      </c>
    </row>
    <row r="1154">
      <c r="A1154" s="14" t="s">
        <v>613</v>
      </c>
      <c r="B1154" s="14" t="str">
        <f t="array" ref="B1154">VLOOKUP(A1154,{Metrik!$C$2:$C$998,Metrik!$B$2:$B$998},2,0)</f>
        <v>Mitrabara Adiperdana Tbk.</v>
      </c>
      <c r="C1154" s="15">
        <f>IFERROR(__xludf.DUMMYFUNCTION("GOOGLEFINANCE(""IDX:""&amp;A1154,""price"")"),1450.0)</f>
        <v>1450</v>
      </c>
      <c r="D1154" s="16" t="str">
        <f>IFERROR(__xludf.DUMMYFUNCTION("IF(A1154="""","""",
SPARKLINE(
INDEX(
GOOGLEFINANCE(""IDX:""&amp;A1154,""close"",TODAY()-365,TODAY()),
,2
),
{""linewidth"",1}
))
"),"#N/A")</f>
        <v>#N/A</v>
      </c>
      <c r="E1154" s="26"/>
      <c r="F1154" s="26"/>
      <c r="G1154" s="24">
        <f t="shared" si="7"/>
        <v>0</v>
      </c>
      <c r="H1154" s="19">
        <f>VLOOKUP(A1154,Metrik!$C$2:$Y$959,8,0)</f>
        <v>63.5</v>
      </c>
      <c r="I1154" s="20">
        <f>VLOOKUP(A1154,Metrik!$C$2:$Y$959,9,0)</f>
        <v>0.59</v>
      </c>
      <c r="J1154" s="20">
        <f>VLOOKUP(A1154,Metrik!$C$2:$Y$959,10,0)</f>
        <v>0.92</v>
      </c>
      <c r="K1154" s="20">
        <f>VLOOKUP(A1154,Metrik!$C$2:$Y$959,11,0)</f>
        <v>0.67</v>
      </c>
      <c r="L1154" s="20">
        <f>VLOOKUP(A1154,Metrik!$C$2:$Y$959,12,0)</f>
        <v>0.37</v>
      </c>
      <c r="M1154" s="20">
        <f>VLOOKUP(A1154,Metrik!$C$2:$Y$959,19,0)</f>
        <v>3.7</v>
      </c>
      <c r="N1154" s="21"/>
      <c r="O1154" s="21"/>
      <c r="P1154" s="21"/>
      <c r="Q1154" s="21"/>
      <c r="R1154" s="21"/>
      <c r="S1154" s="21"/>
      <c r="T1154" s="21"/>
      <c r="U1154" s="22">
        <f>IFERROR(__xludf.DUMMYFUNCTION("IFERROR(GOOGLEFINANCE(A1154,""closeyest""),"""")"),10.3)</f>
        <v>10.3</v>
      </c>
      <c r="V1154" s="23">
        <f>IFERROR(__xludf.DUMMYFUNCTION("IFERROR(GOOGLEFINANCE(A1154,""changepct""),"""")"),0.58)</f>
        <v>0.58</v>
      </c>
      <c r="W1154" s="22">
        <f>IFERROR(__xludf.DUMMYFUNCTION("IFERROR(GOOGLEFINANCE(A1154,""priceopen""),"""")"),10.36)</f>
        <v>10.36</v>
      </c>
      <c r="X1154" s="22">
        <f>IFERROR(__xludf.DUMMYFUNCTION("IFERROR(GOOGLEFINANCE(A1154,""high""),"""")"),10.47)</f>
        <v>10.47</v>
      </c>
      <c r="Y1154" s="22">
        <f>IFERROR(__xludf.DUMMYFUNCTION("IFERROR(GOOGLEFINANCE(A1154,""low""),"""")"),10.36)</f>
        <v>10.36</v>
      </c>
      <c r="Z1154" s="22">
        <f>IFERROR(__xludf.DUMMYFUNCTION("IFERROR(GOOGLEFINANCE(A1154,""volume""),"""")"),7100.0)</f>
        <v>7100</v>
      </c>
      <c r="AA1154" s="24" t="str">
        <f>VLOOKUP(A1154,Metrik!$C$2:$Y$959,5,0)</f>
        <v>Coal</v>
      </c>
      <c r="AB1154" s="24" t="str">
        <f>VLOOKUP(A1154,Metrik!$C$2:$Y$959,3,0)</f>
        <v>Energy</v>
      </c>
    </row>
    <row r="1155">
      <c r="A1155" s="17" t="s">
        <v>614</v>
      </c>
      <c r="B1155" s="14" t="str">
        <f t="array" ref="B1155">VLOOKUP(A1155,{Metrik!$C$2:$C$998,Metrik!$B$2:$B$998},2,0)</f>
        <v>PT Merdeka Battery Materials Tbk</v>
      </c>
      <c r="C1155" s="15">
        <f>IFERROR(__xludf.DUMMYFUNCTION("GOOGLEFINANCE(""IDX:""&amp;A1155,""price"")"),482.0)</f>
        <v>482</v>
      </c>
      <c r="D1155" s="16" t="str">
        <f>IFERROR(__xludf.DUMMYFUNCTION("IF(A1155="""","""",
SPARKLINE(
INDEX(
GOOGLEFINANCE(""IDX:""&amp;A1155,""close"",TODAY()-365,TODAY()),
,2
),
{""linewidth"",1}
))
"),"#N/A")</f>
        <v>#N/A</v>
      </c>
      <c r="E1155" s="14" t="s">
        <v>55</v>
      </c>
      <c r="F1155" s="25">
        <v>46356.0</v>
      </c>
      <c r="G1155" s="18">
        <f t="shared" si="7"/>
        <v>10</v>
      </c>
      <c r="H1155" s="19">
        <f>VLOOKUP(A1155,Metrik!$C$2:$Y$959,8,0)</f>
        <v>100</v>
      </c>
      <c r="I1155" s="20">
        <f>VLOOKUP(A1155,Metrik!$C$2:$Y$959,9,0)</f>
        <v>1.3</v>
      </c>
      <c r="J1155" s="20">
        <f>VLOOKUP(A1155,Metrik!$C$2:$Y$959,10,0)</f>
        <v>1.3</v>
      </c>
      <c r="K1155" s="20">
        <f>VLOOKUP(A1155,Metrik!$C$2:$Y$959,11,0)</f>
        <v>0.79</v>
      </c>
      <c r="L1155" s="20">
        <f>VLOOKUP(A1155,Metrik!$C$2:$Y$959,12,0)</f>
        <v>0.59</v>
      </c>
      <c r="M1155" s="20">
        <f>VLOOKUP(A1155,Metrik!$C$2:$Y$959,19,0)</f>
        <v>2.1</v>
      </c>
      <c r="N1155" s="21"/>
      <c r="O1155" s="21"/>
      <c r="P1155" s="21"/>
      <c r="Q1155" s="21"/>
      <c r="R1155" s="21"/>
      <c r="S1155" s="21"/>
      <c r="T1155" s="21"/>
      <c r="U1155" s="22">
        <f>IFERROR(__xludf.DUMMYFUNCTION("IFERROR(GOOGLEFINANCE(A1155,""closeyest""),"""")"),448.0)</f>
        <v>448</v>
      </c>
      <c r="V1155" s="23">
        <f>IFERROR(__xludf.DUMMYFUNCTION("IFERROR(GOOGLEFINANCE(A1155,""changepct""),"""")"),7.59)</f>
        <v>7.59</v>
      </c>
      <c r="W1155" s="22">
        <f>IFERROR(__xludf.DUMMYFUNCTION("IFERROR(GOOGLEFINANCE(A1155,""priceopen""),"""")"),452.0)</f>
        <v>452</v>
      </c>
      <c r="X1155" s="22">
        <f>IFERROR(__xludf.DUMMYFUNCTION("IFERROR(GOOGLEFINANCE(A1155,""high""),"""")"),486.0)</f>
        <v>486</v>
      </c>
      <c r="Y1155" s="22">
        <f>IFERROR(__xludf.DUMMYFUNCTION("IFERROR(GOOGLEFINANCE(A1155,""low""),"""")"),452.0)</f>
        <v>452</v>
      </c>
      <c r="Z1155" s="22">
        <f>IFERROR(__xludf.DUMMYFUNCTION("IFERROR(GOOGLEFINANCE(A1155,""volume""),"""")"),2.026719E8)</f>
        <v>202671900</v>
      </c>
      <c r="AA1155" s="24" t="str">
        <f>VLOOKUP(A1155,Metrik!$C$2:$Y$959,5,0)</f>
        <v>Metals &amp; Minerals</v>
      </c>
      <c r="AB1155" s="24" t="str">
        <f>VLOOKUP(A1155,Metrik!$C$2:$Y$959,3,0)</f>
        <v>Basic Materials</v>
      </c>
    </row>
    <row r="1156">
      <c r="A1156" s="14" t="s">
        <v>614</v>
      </c>
      <c r="B1156" s="14" t="str">
        <f t="array" ref="B1156">VLOOKUP(A1156,{Metrik!$C$2:$C$998,Metrik!$B$2:$B$998},2,0)</f>
        <v>PT Merdeka Battery Materials Tbk</v>
      </c>
      <c r="C1156" s="15">
        <f>IFERROR(__xludf.DUMMYFUNCTION("GOOGLEFINANCE(""IDX:""&amp;A1156,""price"")"),482.0)</f>
        <v>482</v>
      </c>
      <c r="D1156" s="16" t="str">
        <f>IFERROR(__xludf.DUMMYFUNCTION("IF(A1156="""","""",
SPARKLINE(
INDEX(
GOOGLEFINANCE(""IDX:""&amp;A1156,""close"",TODAY()-365,TODAY()),
,2
),
{""linewidth"",1}
))
"),"#N/A")</f>
        <v>#N/A</v>
      </c>
      <c r="E1156" s="14" t="s">
        <v>161</v>
      </c>
      <c r="F1156" s="14" t="s">
        <v>76</v>
      </c>
      <c r="G1156" s="24">
        <f t="shared" si="7"/>
        <v>10</v>
      </c>
      <c r="H1156" s="19">
        <f>VLOOKUP(A1156,Metrik!$C$2:$Y$959,8,0)</f>
        <v>100</v>
      </c>
      <c r="I1156" s="20">
        <f>VLOOKUP(A1156,Metrik!$C$2:$Y$959,9,0)</f>
        <v>1.3</v>
      </c>
      <c r="J1156" s="20">
        <f>VLOOKUP(A1156,Metrik!$C$2:$Y$959,10,0)</f>
        <v>1.3</v>
      </c>
      <c r="K1156" s="20">
        <f>VLOOKUP(A1156,Metrik!$C$2:$Y$959,11,0)</f>
        <v>0.79</v>
      </c>
      <c r="L1156" s="20">
        <f>VLOOKUP(A1156,Metrik!$C$2:$Y$959,12,0)</f>
        <v>0.59</v>
      </c>
      <c r="M1156" s="20">
        <f>VLOOKUP(A1156,Metrik!$C$2:$Y$959,19,0)</f>
        <v>2.1</v>
      </c>
      <c r="N1156" s="21"/>
      <c r="O1156" s="21"/>
      <c r="P1156" s="21"/>
      <c r="Q1156" s="21"/>
      <c r="R1156" s="21"/>
      <c r="S1156" s="21"/>
      <c r="T1156" s="21"/>
      <c r="U1156" s="22">
        <f>IFERROR(__xludf.DUMMYFUNCTION("IFERROR(GOOGLEFINANCE(A1156,""closeyest""),"""")"),448.0)</f>
        <v>448</v>
      </c>
      <c r="V1156" s="23">
        <f>IFERROR(__xludf.DUMMYFUNCTION("IFERROR(GOOGLEFINANCE(A1156,""changepct""),"""")"),7.59)</f>
        <v>7.59</v>
      </c>
      <c r="W1156" s="22">
        <f>IFERROR(__xludf.DUMMYFUNCTION("IFERROR(GOOGLEFINANCE(A1156,""priceopen""),"""")"),452.0)</f>
        <v>452</v>
      </c>
      <c r="X1156" s="22">
        <f>IFERROR(__xludf.DUMMYFUNCTION("IFERROR(GOOGLEFINANCE(A1156,""high""),"""")"),486.0)</f>
        <v>486</v>
      </c>
      <c r="Y1156" s="22">
        <f>IFERROR(__xludf.DUMMYFUNCTION("IFERROR(GOOGLEFINANCE(A1156,""low""),"""")"),452.0)</f>
        <v>452</v>
      </c>
      <c r="Z1156" s="22">
        <f>IFERROR(__xludf.DUMMYFUNCTION("IFERROR(GOOGLEFINANCE(A1156,""volume""),"""")"),2.026719E8)</f>
        <v>202671900</v>
      </c>
      <c r="AA1156" s="24" t="str">
        <f>VLOOKUP(A1156,Metrik!$C$2:$Y$959,5,0)</f>
        <v>Metals &amp; Minerals</v>
      </c>
      <c r="AB1156" s="24" t="str">
        <f>VLOOKUP(A1156,Metrik!$C$2:$Y$959,3,0)</f>
        <v>Basic Materials</v>
      </c>
    </row>
    <row r="1157">
      <c r="A1157" s="14" t="s">
        <v>614</v>
      </c>
      <c r="B1157" s="14" t="str">
        <f t="array" ref="B1157">VLOOKUP(A1157,{Metrik!$C$2:$C$998,Metrik!$B$2:$B$998},2,0)</f>
        <v>PT Merdeka Battery Materials Tbk</v>
      </c>
      <c r="C1157" s="15">
        <f>IFERROR(__xludf.DUMMYFUNCTION("GOOGLEFINANCE(""IDX:""&amp;A1157,""price"")"),482.0)</f>
        <v>482</v>
      </c>
      <c r="D1157" s="16" t="str">
        <f>IFERROR(__xludf.DUMMYFUNCTION("IF(A1157="""","""",
SPARKLINE(
INDEX(
GOOGLEFINANCE(""IDX:""&amp;A1157,""close"",TODAY()-365,TODAY()),
,2
),
{""linewidth"",1}
))
"),"#N/A")</f>
        <v>#N/A</v>
      </c>
      <c r="E1157" s="14" t="s">
        <v>28</v>
      </c>
      <c r="F1157" s="17" t="s">
        <v>29</v>
      </c>
      <c r="G1157" s="24">
        <f t="shared" si="7"/>
        <v>10</v>
      </c>
      <c r="H1157" s="19">
        <f>VLOOKUP(A1157,Metrik!$C$2:$Y$959,8,0)</f>
        <v>100</v>
      </c>
      <c r="I1157" s="20">
        <f>VLOOKUP(A1157,Metrik!$C$2:$Y$959,9,0)</f>
        <v>1.3</v>
      </c>
      <c r="J1157" s="20">
        <f>VLOOKUP(A1157,Metrik!$C$2:$Y$959,10,0)</f>
        <v>1.3</v>
      </c>
      <c r="K1157" s="20">
        <f>VLOOKUP(A1157,Metrik!$C$2:$Y$959,11,0)</f>
        <v>0.79</v>
      </c>
      <c r="L1157" s="20">
        <f>VLOOKUP(A1157,Metrik!$C$2:$Y$959,12,0)</f>
        <v>0.59</v>
      </c>
      <c r="M1157" s="20">
        <f>VLOOKUP(A1157,Metrik!$C$2:$Y$959,19,0)</f>
        <v>2.1</v>
      </c>
      <c r="N1157" s="21"/>
      <c r="O1157" s="21"/>
      <c r="P1157" s="21"/>
      <c r="Q1157" s="21"/>
      <c r="R1157" s="21"/>
      <c r="S1157" s="21"/>
      <c r="T1157" s="21"/>
      <c r="U1157" s="22">
        <f>IFERROR(__xludf.DUMMYFUNCTION("IFERROR(GOOGLEFINANCE(A1157,""closeyest""),"""")"),448.0)</f>
        <v>448</v>
      </c>
      <c r="V1157" s="23">
        <f>IFERROR(__xludf.DUMMYFUNCTION("IFERROR(GOOGLEFINANCE(A1157,""changepct""),"""")"),7.59)</f>
        <v>7.59</v>
      </c>
      <c r="W1157" s="22">
        <f>IFERROR(__xludf.DUMMYFUNCTION("IFERROR(GOOGLEFINANCE(A1157,""priceopen""),"""")"),452.0)</f>
        <v>452</v>
      </c>
      <c r="X1157" s="22">
        <f>IFERROR(__xludf.DUMMYFUNCTION("IFERROR(GOOGLEFINANCE(A1157,""high""),"""")"),486.0)</f>
        <v>486</v>
      </c>
      <c r="Y1157" s="22">
        <f>IFERROR(__xludf.DUMMYFUNCTION("IFERROR(GOOGLEFINANCE(A1157,""low""),"""")"),452.0)</f>
        <v>452</v>
      </c>
      <c r="Z1157" s="22">
        <f>IFERROR(__xludf.DUMMYFUNCTION("IFERROR(GOOGLEFINANCE(A1157,""volume""),"""")"),2.026719E8)</f>
        <v>202671900</v>
      </c>
      <c r="AA1157" s="24" t="str">
        <f>VLOOKUP(A1157,Metrik!$C$2:$Y$959,5,0)</f>
        <v>Metals &amp; Minerals</v>
      </c>
      <c r="AB1157" s="24" t="str">
        <f>VLOOKUP(A1157,Metrik!$C$2:$Y$959,3,0)</f>
        <v>Basic Materials</v>
      </c>
    </row>
    <row r="1158">
      <c r="A1158" s="14" t="s">
        <v>614</v>
      </c>
      <c r="B1158" s="14" t="str">
        <f t="array" ref="B1158">VLOOKUP(A1158,{Metrik!$C$2:$C$998,Metrik!$B$2:$B$998},2,0)</f>
        <v>PT Merdeka Battery Materials Tbk</v>
      </c>
      <c r="C1158" s="15">
        <f>IFERROR(__xludf.DUMMYFUNCTION("GOOGLEFINANCE(""IDX:""&amp;A1158,""price"")"),482.0)</f>
        <v>482</v>
      </c>
      <c r="D1158" s="16" t="str">
        <f>IFERROR(__xludf.DUMMYFUNCTION("IF(A1158="""","""",
SPARKLINE(
INDEX(
GOOGLEFINANCE(""IDX:""&amp;A1158,""close"",TODAY()-365,TODAY()),
,2
),
{""linewidth"",1}
))
"),"#N/A")</f>
        <v>#N/A</v>
      </c>
      <c r="E1158" s="14" t="s">
        <v>30</v>
      </c>
      <c r="F1158" s="17" t="s">
        <v>29</v>
      </c>
      <c r="G1158" s="24">
        <f t="shared" si="7"/>
        <v>10</v>
      </c>
      <c r="H1158" s="19">
        <f>VLOOKUP(A1158,Metrik!$C$2:$Y$959,8,0)</f>
        <v>100</v>
      </c>
      <c r="I1158" s="20">
        <f>VLOOKUP(A1158,Metrik!$C$2:$Y$959,9,0)</f>
        <v>1.3</v>
      </c>
      <c r="J1158" s="20">
        <f>VLOOKUP(A1158,Metrik!$C$2:$Y$959,10,0)</f>
        <v>1.3</v>
      </c>
      <c r="K1158" s="20">
        <f>VLOOKUP(A1158,Metrik!$C$2:$Y$959,11,0)</f>
        <v>0.79</v>
      </c>
      <c r="L1158" s="20">
        <f>VLOOKUP(A1158,Metrik!$C$2:$Y$959,12,0)</f>
        <v>0.59</v>
      </c>
      <c r="M1158" s="20">
        <f>VLOOKUP(A1158,Metrik!$C$2:$Y$959,19,0)</f>
        <v>2.1</v>
      </c>
      <c r="N1158" s="21"/>
      <c r="O1158" s="21"/>
      <c r="P1158" s="21"/>
      <c r="Q1158" s="21"/>
      <c r="R1158" s="21"/>
      <c r="S1158" s="21"/>
      <c r="T1158" s="21"/>
      <c r="U1158" s="22">
        <f>IFERROR(__xludf.DUMMYFUNCTION("IFERROR(GOOGLEFINANCE(A1158,""closeyest""),"""")"),448.0)</f>
        <v>448</v>
      </c>
      <c r="V1158" s="23">
        <f>IFERROR(__xludf.DUMMYFUNCTION("IFERROR(GOOGLEFINANCE(A1158,""changepct""),"""")"),7.59)</f>
        <v>7.59</v>
      </c>
      <c r="W1158" s="22">
        <f>IFERROR(__xludf.DUMMYFUNCTION("IFERROR(GOOGLEFINANCE(A1158,""priceopen""),"""")"),452.0)</f>
        <v>452</v>
      </c>
      <c r="X1158" s="22">
        <f>IFERROR(__xludf.DUMMYFUNCTION("IFERROR(GOOGLEFINANCE(A1158,""high""),"""")"),486.0)</f>
        <v>486</v>
      </c>
      <c r="Y1158" s="22">
        <f>IFERROR(__xludf.DUMMYFUNCTION("IFERROR(GOOGLEFINANCE(A1158,""low""),"""")"),452.0)</f>
        <v>452</v>
      </c>
      <c r="Z1158" s="22">
        <f>IFERROR(__xludf.DUMMYFUNCTION("IFERROR(GOOGLEFINANCE(A1158,""volume""),"""")"),2.026719E8)</f>
        <v>202671900</v>
      </c>
      <c r="AA1158" s="24" t="str">
        <f>VLOOKUP(A1158,Metrik!$C$2:$Y$959,5,0)</f>
        <v>Metals &amp; Minerals</v>
      </c>
      <c r="AB1158" s="24" t="str">
        <f>VLOOKUP(A1158,Metrik!$C$2:$Y$959,3,0)</f>
        <v>Basic Materials</v>
      </c>
    </row>
    <row r="1159">
      <c r="A1159" s="14" t="s">
        <v>614</v>
      </c>
      <c r="B1159" s="14" t="str">
        <f t="array" ref="B1159">VLOOKUP(A1159,{Metrik!$C$2:$C$998,Metrik!$B$2:$B$998},2,0)</f>
        <v>PT Merdeka Battery Materials Tbk</v>
      </c>
      <c r="C1159" s="15">
        <f>IFERROR(__xludf.DUMMYFUNCTION("GOOGLEFINANCE(""IDX:""&amp;A1159,""price"")"),482.0)</f>
        <v>482</v>
      </c>
      <c r="D1159" s="16" t="str">
        <f>IFERROR(__xludf.DUMMYFUNCTION("IF(A1159="""","""",
SPARKLINE(
INDEX(
GOOGLEFINANCE(""IDX:""&amp;A1159,""close"",TODAY()-365,TODAY()),
,2
),
{""linewidth"",1}
))
"),"#N/A")</f>
        <v>#N/A</v>
      </c>
      <c r="E1159" s="14" t="s">
        <v>31</v>
      </c>
      <c r="F1159" s="17" t="s">
        <v>29</v>
      </c>
      <c r="G1159" s="24">
        <f t="shared" si="7"/>
        <v>10</v>
      </c>
      <c r="H1159" s="19">
        <f>VLOOKUP(A1159,Metrik!$C$2:$Y$959,8,0)</f>
        <v>100</v>
      </c>
      <c r="I1159" s="20">
        <f>VLOOKUP(A1159,Metrik!$C$2:$Y$959,9,0)</f>
        <v>1.3</v>
      </c>
      <c r="J1159" s="20">
        <f>VLOOKUP(A1159,Metrik!$C$2:$Y$959,10,0)</f>
        <v>1.3</v>
      </c>
      <c r="K1159" s="20">
        <f>VLOOKUP(A1159,Metrik!$C$2:$Y$959,11,0)</f>
        <v>0.79</v>
      </c>
      <c r="L1159" s="20">
        <f>VLOOKUP(A1159,Metrik!$C$2:$Y$959,12,0)</f>
        <v>0.59</v>
      </c>
      <c r="M1159" s="20">
        <f>VLOOKUP(A1159,Metrik!$C$2:$Y$959,19,0)</f>
        <v>2.1</v>
      </c>
      <c r="N1159" s="21"/>
      <c r="O1159" s="21"/>
      <c r="P1159" s="21"/>
      <c r="Q1159" s="21"/>
      <c r="R1159" s="21"/>
      <c r="S1159" s="21"/>
      <c r="T1159" s="21"/>
      <c r="U1159" s="22">
        <f>IFERROR(__xludf.DUMMYFUNCTION("IFERROR(GOOGLEFINANCE(A1159,""closeyest""),"""")"),448.0)</f>
        <v>448</v>
      </c>
      <c r="V1159" s="23">
        <f>IFERROR(__xludf.DUMMYFUNCTION("IFERROR(GOOGLEFINANCE(A1159,""changepct""),"""")"),7.59)</f>
        <v>7.59</v>
      </c>
      <c r="W1159" s="22">
        <f>IFERROR(__xludf.DUMMYFUNCTION("IFERROR(GOOGLEFINANCE(A1159,""priceopen""),"""")"),452.0)</f>
        <v>452</v>
      </c>
      <c r="X1159" s="22">
        <f>IFERROR(__xludf.DUMMYFUNCTION("IFERROR(GOOGLEFINANCE(A1159,""high""),"""")"),486.0)</f>
        <v>486</v>
      </c>
      <c r="Y1159" s="22">
        <f>IFERROR(__xludf.DUMMYFUNCTION("IFERROR(GOOGLEFINANCE(A1159,""low""),"""")"),452.0)</f>
        <v>452</v>
      </c>
      <c r="Z1159" s="22">
        <f>IFERROR(__xludf.DUMMYFUNCTION("IFERROR(GOOGLEFINANCE(A1159,""volume""),"""")"),2.026719E8)</f>
        <v>202671900</v>
      </c>
      <c r="AA1159" s="24" t="str">
        <f>VLOOKUP(A1159,Metrik!$C$2:$Y$959,5,0)</f>
        <v>Metals &amp; Minerals</v>
      </c>
      <c r="AB1159" s="24" t="str">
        <f>VLOOKUP(A1159,Metrik!$C$2:$Y$959,3,0)</f>
        <v>Basic Materials</v>
      </c>
    </row>
    <row r="1160">
      <c r="A1160" s="14" t="s">
        <v>614</v>
      </c>
      <c r="B1160" s="14" t="str">
        <f t="array" ref="B1160">VLOOKUP(A1160,{Metrik!$C$2:$C$998,Metrik!$B$2:$B$998},2,0)</f>
        <v>PT Merdeka Battery Materials Tbk</v>
      </c>
      <c r="C1160" s="15">
        <f>IFERROR(__xludf.DUMMYFUNCTION("GOOGLEFINANCE(""IDX:""&amp;A1160,""price"")"),482.0)</f>
        <v>482</v>
      </c>
      <c r="D1160" s="16" t="str">
        <f>IFERROR(__xludf.DUMMYFUNCTION("IF(A1160="""","""",
SPARKLINE(
INDEX(
GOOGLEFINANCE(""IDX:""&amp;A1160,""close"",TODAY()-365,TODAY()),
,2
),
{""linewidth"",1}
))
"),"#N/A")</f>
        <v>#N/A</v>
      </c>
      <c r="E1160" s="14" t="s">
        <v>32</v>
      </c>
      <c r="F1160" s="14" t="s">
        <v>29</v>
      </c>
      <c r="G1160" s="24">
        <f t="shared" si="7"/>
        <v>10</v>
      </c>
      <c r="H1160" s="19">
        <f>VLOOKUP(A1160,Metrik!$C$2:$Y$959,8,0)</f>
        <v>100</v>
      </c>
      <c r="I1160" s="20">
        <f>VLOOKUP(A1160,Metrik!$C$2:$Y$959,9,0)</f>
        <v>1.3</v>
      </c>
      <c r="J1160" s="20">
        <f>VLOOKUP(A1160,Metrik!$C$2:$Y$959,10,0)</f>
        <v>1.3</v>
      </c>
      <c r="K1160" s="20">
        <f>VLOOKUP(A1160,Metrik!$C$2:$Y$959,11,0)</f>
        <v>0.79</v>
      </c>
      <c r="L1160" s="20">
        <f>VLOOKUP(A1160,Metrik!$C$2:$Y$959,12,0)</f>
        <v>0.59</v>
      </c>
      <c r="M1160" s="20">
        <f>VLOOKUP(A1160,Metrik!$C$2:$Y$959,19,0)</f>
        <v>2.1</v>
      </c>
      <c r="N1160" s="21"/>
      <c r="O1160" s="21"/>
      <c r="P1160" s="21"/>
      <c r="Q1160" s="21"/>
      <c r="R1160" s="21"/>
      <c r="S1160" s="21"/>
      <c r="T1160" s="21"/>
      <c r="U1160" s="22">
        <f>IFERROR(__xludf.DUMMYFUNCTION("IFERROR(GOOGLEFINANCE(A1160,""closeyest""),"""")"),448.0)</f>
        <v>448</v>
      </c>
      <c r="V1160" s="23">
        <f>IFERROR(__xludf.DUMMYFUNCTION("IFERROR(GOOGLEFINANCE(A1160,""changepct""),"""")"),7.59)</f>
        <v>7.59</v>
      </c>
      <c r="W1160" s="22">
        <f>IFERROR(__xludf.DUMMYFUNCTION("IFERROR(GOOGLEFINANCE(A1160,""priceopen""),"""")"),452.0)</f>
        <v>452</v>
      </c>
      <c r="X1160" s="22">
        <f>IFERROR(__xludf.DUMMYFUNCTION("IFERROR(GOOGLEFINANCE(A1160,""high""),"""")"),486.0)</f>
        <v>486</v>
      </c>
      <c r="Y1160" s="22">
        <f>IFERROR(__xludf.DUMMYFUNCTION("IFERROR(GOOGLEFINANCE(A1160,""low""),"""")"),452.0)</f>
        <v>452</v>
      </c>
      <c r="Z1160" s="22">
        <f>IFERROR(__xludf.DUMMYFUNCTION("IFERROR(GOOGLEFINANCE(A1160,""volume""),"""")"),2.026719E8)</f>
        <v>202671900</v>
      </c>
      <c r="AA1160" s="24" t="str">
        <f>VLOOKUP(A1160,Metrik!$C$2:$Y$959,5,0)</f>
        <v>Metals &amp; Minerals</v>
      </c>
      <c r="AB1160" s="24" t="str">
        <f>VLOOKUP(A1160,Metrik!$C$2:$Y$959,3,0)</f>
        <v>Basic Materials</v>
      </c>
    </row>
    <row r="1161">
      <c r="A1161" s="14" t="s">
        <v>614</v>
      </c>
      <c r="B1161" s="14" t="str">
        <f t="array" ref="B1161">VLOOKUP(A1161,{Metrik!$C$2:$C$998,Metrik!$B$2:$B$998},2,0)</f>
        <v>PT Merdeka Battery Materials Tbk</v>
      </c>
      <c r="C1161" s="15">
        <f>IFERROR(__xludf.DUMMYFUNCTION("GOOGLEFINANCE(""IDX:""&amp;A1161,""price"")"),482.0)</f>
        <v>482</v>
      </c>
      <c r="D1161" s="16" t="str">
        <f>IFERROR(__xludf.DUMMYFUNCTION("IF(A1161="""","""",
SPARKLINE(
INDEX(
GOOGLEFINANCE(""IDX:""&amp;A1161,""close"",TODAY()-365,TODAY()),
,2
),
{""linewidth"",1}
))
"),"#N/A")</f>
        <v>#N/A</v>
      </c>
      <c r="E1161" s="14" t="s">
        <v>52</v>
      </c>
      <c r="F1161" s="27" t="s">
        <v>53</v>
      </c>
      <c r="G1161" s="24">
        <f t="shared" si="7"/>
        <v>10</v>
      </c>
      <c r="H1161" s="19">
        <f>VLOOKUP(A1161,Metrik!$C$2:$Y$959,8,0)</f>
        <v>100</v>
      </c>
      <c r="I1161" s="20">
        <f>VLOOKUP(A1161,Metrik!$C$2:$Y$959,9,0)</f>
        <v>1.3</v>
      </c>
      <c r="J1161" s="20">
        <f>VLOOKUP(A1161,Metrik!$C$2:$Y$959,10,0)</f>
        <v>1.3</v>
      </c>
      <c r="K1161" s="20">
        <f>VLOOKUP(A1161,Metrik!$C$2:$Y$959,11,0)</f>
        <v>0.79</v>
      </c>
      <c r="L1161" s="20">
        <f>VLOOKUP(A1161,Metrik!$C$2:$Y$959,12,0)</f>
        <v>0.59</v>
      </c>
      <c r="M1161" s="20">
        <f>VLOOKUP(A1161,Metrik!$C$2:$Y$959,19,0)</f>
        <v>2.1</v>
      </c>
      <c r="N1161" s="21"/>
      <c r="O1161" s="21"/>
      <c r="P1161" s="21"/>
      <c r="Q1161" s="21"/>
      <c r="R1161" s="21"/>
      <c r="S1161" s="21"/>
      <c r="T1161" s="21"/>
      <c r="U1161" s="22">
        <f>IFERROR(__xludf.DUMMYFUNCTION("IFERROR(GOOGLEFINANCE(A1161,""closeyest""),"""")"),448.0)</f>
        <v>448</v>
      </c>
      <c r="V1161" s="23">
        <f>IFERROR(__xludf.DUMMYFUNCTION("IFERROR(GOOGLEFINANCE(A1161,""changepct""),"""")"),7.59)</f>
        <v>7.59</v>
      </c>
      <c r="W1161" s="22">
        <f>IFERROR(__xludf.DUMMYFUNCTION("IFERROR(GOOGLEFINANCE(A1161,""priceopen""),"""")"),452.0)</f>
        <v>452</v>
      </c>
      <c r="X1161" s="22">
        <f>IFERROR(__xludf.DUMMYFUNCTION("IFERROR(GOOGLEFINANCE(A1161,""high""),"""")"),486.0)</f>
        <v>486</v>
      </c>
      <c r="Y1161" s="22">
        <f>IFERROR(__xludf.DUMMYFUNCTION("IFERROR(GOOGLEFINANCE(A1161,""low""),"""")"),452.0)</f>
        <v>452</v>
      </c>
      <c r="Z1161" s="22">
        <f>IFERROR(__xludf.DUMMYFUNCTION("IFERROR(GOOGLEFINANCE(A1161,""volume""),"""")"),2.026719E8)</f>
        <v>202671900</v>
      </c>
      <c r="AA1161" s="24" t="str">
        <f>VLOOKUP(A1161,Metrik!$C$2:$Y$959,5,0)</f>
        <v>Metals &amp; Minerals</v>
      </c>
      <c r="AB1161" s="24" t="str">
        <f>VLOOKUP(A1161,Metrik!$C$2:$Y$959,3,0)</f>
        <v>Basic Materials</v>
      </c>
    </row>
    <row r="1162">
      <c r="A1162" s="17" t="s">
        <v>614</v>
      </c>
      <c r="B1162" s="14" t="str">
        <f t="array" ref="B1162">VLOOKUP(A1162,{Metrik!$C$2:$C$998,Metrik!$B$2:$B$998},2,0)</f>
        <v>PT Merdeka Battery Materials Tbk</v>
      </c>
      <c r="C1162" s="15">
        <f>IFERROR(__xludf.DUMMYFUNCTION("GOOGLEFINANCE(""IDX:""&amp;A1162,""price"")"),482.0)</f>
        <v>482</v>
      </c>
      <c r="D1162" s="16" t="str">
        <f>IFERROR(__xludf.DUMMYFUNCTION("IF(A1162="""","""",
SPARKLINE(
INDEX(
GOOGLEFINANCE(""IDX:""&amp;A1162,""close"",TODAY()-365,TODAY()),
,2
),
{""linewidth"",1}
))
"),"#N/A")</f>
        <v>#N/A</v>
      </c>
      <c r="E1162" s="14" t="s">
        <v>67</v>
      </c>
      <c r="F1162" s="17" t="s">
        <v>51</v>
      </c>
      <c r="G1162" s="38">
        <f>COUNTIFS($B$2:$B$1932,B1162,$E$2:$E$1932,"&lt;&gt;")</f>
        <v>10</v>
      </c>
      <c r="H1162" s="19">
        <f>VLOOKUP(A1162,Metrik!$C$2:$Y$959,8,0)</f>
        <v>100</v>
      </c>
      <c r="I1162" s="20">
        <f>VLOOKUP(A1162,Metrik!$C$2:$Y$959,9,0)</f>
        <v>1.3</v>
      </c>
      <c r="J1162" s="20">
        <f>VLOOKUP(A1162,Metrik!$C$2:$Y$959,10,0)</f>
        <v>1.3</v>
      </c>
      <c r="K1162" s="20">
        <f>VLOOKUP(A1162,Metrik!$C$2:$Y$959,11,0)</f>
        <v>0.79</v>
      </c>
      <c r="L1162" s="20">
        <f>VLOOKUP(A1162,Metrik!$C$2:$Y$959,12,0)</f>
        <v>0.59</v>
      </c>
      <c r="M1162" s="20">
        <f>VLOOKUP(A1162,Metrik!$C$2:$Y$959,19,0)</f>
        <v>2.1</v>
      </c>
      <c r="N1162" s="46"/>
      <c r="O1162" s="46"/>
      <c r="P1162" s="46"/>
      <c r="Q1162" s="46"/>
      <c r="R1162" s="46"/>
      <c r="S1162" s="46"/>
      <c r="T1162" s="46"/>
      <c r="U1162" s="22">
        <f>IFERROR(__xludf.DUMMYFUNCTION("IFERROR(GOOGLEFINANCE(A1162,""closeyest""),"""")"),448.0)</f>
        <v>448</v>
      </c>
      <c r="V1162" s="23">
        <f>IFERROR(__xludf.DUMMYFUNCTION("IFERROR(GOOGLEFINANCE(A1162,""changepct""),"""")"),7.59)</f>
        <v>7.59</v>
      </c>
      <c r="W1162" s="22">
        <f>IFERROR(__xludf.DUMMYFUNCTION("IFERROR(GOOGLEFINANCE(A1162,""priceopen""),"""")"),452.0)</f>
        <v>452</v>
      </c>
      <c r="X1162" s="22">
        <f>IFERROR(__xludf.DUMMYFUNCTION("IFERROR(GOOGLEFINANCE(A1162,""high""),"""")"),486.0)</f>
        <v>486</v>
      </c>
      <c r="Y1162" s="22">
        <f>IFERROR(__xludf.DUMMYFUNCTION("IFERROR(GOOGLEFINANCE(A1162,""low""),"""")"),452.0)</f>
        <v>452</v>
      </c>
      <c r="Z1162" s="22">
        <f>IFERROR(__xludf.DUMMYFUNCTION("IFERROR(GOOGLEFINANCE(A1162,""volume""),"""")"),2.026719E8)</f>
        <v>202671900</v>
      </c>
      <c r="AA1162" s="24" t="str">
        <f>VLOOKUP(A1162,Metrik!$C$2:$Y$959,5,0)</f>
        <v>Metals &amp; Minerals</v>
      </c>
      <c r="AB1162" s="24" t="str">
        <f>VLOOKUP(A1162,Metrik!$C$2:$Y$959,3,0)</f>
        <v>Basic Materials</v>
      </c>
    </row>
    <row r="1163">
      <c r="A1163" s="14" t="s">
        <v>614</v>
      </c>
      <c r="B1163" s="14" t="str">
        <f t="array" ref="B1163">VLOOKUP(A1163,{Metrik!$C$2:$C$998,Metrik!$B$2:$B$998},2,0)</f>
        <v>PT Merdeka Battery Materials Tbk</v>
      </c>
      <c r="C1163" s="15">
        <f>IFERROR(__xludf.DUMMYFUNCTION("GOOGLEFINANCE(""IDX:""&amp;A1163,""price"")"),482.0)</f>
        <v>482</v>
      </c>
      <c r="D1163" s="16" t="str">
        <f>IFERROR(__xludf.DUMMYFUNCTION("IF(A1163="""","""",
SPARKLINE(
INDEX(
GOOGLEFINANCE(""IDX:""&amp;A1163,""close"",TODAY()-365,TODAY()),
,2
),
{""linewidth"",1}
))
"),"#N/A")</f>
        <v>#N/A</v>
      </c>
      <c r="E1163" s="14" t="s">
        <v>38</v>
      </c>
      <c r="F1163" s="25">
        <v>46356.0</v>
      </c>
      <c r="G1163" s="24">
        <f t="shared" ref="G1163:G1368" si="8">COUNTIFS($B$2:$B$1937,B1163,$E$2:$E$1937,"&lt;&gt;")</f>
        <v>10</v>
      </c>
      <c r="H1163" s="19">
        <f>VLOOKUP(A1163,Metrik!$C$2:$Y$959,8,0)</f>
        <v>100</v>
      </c>
      <c r="I1163" s="20">
        <f>VLOOKUP(A1163,Metrik!$C$2:$Y$959,9,0)</f>
        <v>1.3</v>
      </c>
      <c r="J1163" s="20">
        <f>VLOOKUP(A1163,Metrik!$C$2:$Y$959,10,0)</f>
        <v>1.3</v>
      </c>
      <c r="K1163" s="20">
        <f>VLOOKUP(A1163,Metrik!$C$2:$Y$959,11,0)</f>
        <v>0.79</v>
      </c>
      <c r="L1163" s="20">
        <f>VLOOKUP(A1163,Metrik!$C$2:$Y$959,12,0)</f>
        <v>0.59</v>
      </c>
      <c r="M1163" s="20">
        <f>VLOOKUP(A1163,Metrik!$C$2:$Y$959,19,0)</f>
        <v>2.1</v>
      </c>
      <c r="N1163" s="21"/>
      <c r="O1163" s="21"/>
      <c r="P1163" s="21"/>
      <c r="Q1163" s="21"/>
      <c r="R1163" s="21"/>
      <c r="S1163" s="21"/>
      <c r="T1163" s="21"/>
      <c r="U1163" s="22">
        <f>IFERROR(__xludf.DUMMYFUNCTION("IFERROR(GOOGLEFINANCE(A1163,""closeyest""),"""")"),448.0)</f>
        <v>448</v>
      </c>
      <c r="V1163" s="23">
        <f>IFERROR(__xludf.DUMMYFUNCTION("IFERROR(GOOGLEFINANCE(A1163,""changepct""),"""")"),7.59)</f>
        <v>7.59</v>
      </c>
      <c r="W1163" s="22">
        <f>IFERROR(__xludf.DUMMYFUNCTION("IFERROR(GOOGLEFINANCE(A1163,""priceopen""),"""")"),452.0)</f>
        <v>452</v>
      </c>
      <c r="X1163" s="22">
        <f>IFERROR(__xludf.DUMMYFUNCTION("IFERROR(GOOGLEFINANCE(A1163,""high""),"""")"),486.0)</f>
        <v>486</v>
      </c>
      <c r="Y1163" s="22">
        <f>IFERROR(__xludf.DUMMYFUNCTION("IFERROR(GOOGLEFINANCE(A1163,""low""),"""")"),452.0)</f>
        <v>452</v>
      </c>
      <c r="Z1163" s="22">
        <f>IFERROR(__xludf.DUMMYFUNCTION("IFERROR(GOOGLEFINANCE(A1163,""volume""),"""")"),2.026719E8)</f>
        <v>202671900</v>
      </c>
      <c r="AA1163" s="24" t="str">
        <f>VLOOKUP(A1163,Metrik!$C$2:$Y$959,5,0)</f>
        <v>Metals &amp; Minerals</v>
      </c>
      <c r="AB1163" s="24" t="str">
        <f>VLOOKUP(A1163,Metrik!$C$2:$Y$959,3,0)</f>
        <v>Basic Materials</v>
      </c>
    </row>
    <row r="1164">
      <c r="A1164" s="14" t="s">
        <v>614</v>
      </c>
      <c r="B1164" s="14" t="str">
        <f t="array" ref="B1164">VLOOKUP(A1164,{Metrik!$C$2:$C$998,Metrik!$B$2:$B$998},2,0)</f>
        <v>PT Merdeka Battery Materials Tbk</v>
      </c>
      <c r="C1164" s="15">
        <f>IFERROR(__xludf.DUMMYFUNCTION("GOOGLEFINANCE(""IDX:""&amp;A1164,""price"")"),482.0)</f>
        <v>482</v>
      </c>
      <c r="D1164" s="16" t="str">
        <f>IFERROR(__xludf.DUMMYFUNCTION("IF(A1164="""","""",
SPARKLINE(
INDEX(
GOOGLEFINANCE(""IDX:""&amp;A1164,""close"",TODAY()-365,TODAY()),
,2
),
{""linewidth"",1}
))
"),"#N/A")</f>
        <v>#N/A</v>
      </c>
      <c r="E1164" s="14" t="s">
        <v>39</v>
      </c>
      <c r="F1164" s="25">
        <v>46356.0</v>
      </c>
      <c r="G1164" s="24">
        <f t="shared" si="8"/>
        <v>10</v>
      </c>
      <c r="H1164" s="19">
        <f>VLOOKUP(A1164,Metrik!$C$2:$Y$959,8,0)</f>
        <v>100</v>
      </c>
      <c r="I1164" s="20">
        <f>VLOOKUP(A1164,Metrik!$C$2:$Y$959,9,0)</f>
        <v>1.3</v>
      </c>
      <c r="J1164" s="20">
        <f>VLOOKUP(A1164,Metrik!$C$2:$Y$959,10,0)</f>
        <v>1.3</v>
      </c>
      <c r="K1164" s="20">
        <f>VLOOKUP(A1164,Metrik!$C$2:$Y$959,11,0)</f>
        <v>0.79</v>
      </c>
      <c r="L1164" s="20">
        <f>VLOOKUP(A1164,Metrik!$C$2:$Y$959,12,0)</f>
        <v>0.59</v>
      </c>
      <c r="M1164" s="20">
        <f>VLOOKUP(A1164,Metrik!$C$2:$Y$959,19,0)</f>
        <v>2.1</v>
      </c>
      <c r="N1164" s="21"/>
      <c r="O1164" s="21"/>
      <c r="P1164" s="21"/>
      <c r="Q1164" s="21"/>
      <c r="R1164" s="21"/>
      <c r="S1164" s="21"/>
      <c r="T1164" s="21"/>
      <c r="U1164" s="22">
        <f>IFERROR(__xludf.DUMMYFUNCTION("IFERROR(GOOGLEFINANCE(A1164,""closeyest""),"""")"),448.0)</f>
        <v>448</v>
      </c>
      <c r="V1164" s="23">
        <f>IFERROR(__xludf.DUMMYFUNCTION("IFERROR(GOOGLEFINANCE(A1164,""changepct""),"""")"),7.59)</f>
        <v>7.59</v>
      </c>
      <c r="W1164" s="22">
        <f>IFERROR(__xludf.DUMMYFUNCTION("IFERROR(GOOGLEFINANCE(A1164,""priceopen""),"""")"),452.0)</f>
        <v>452</v>
      </c>
      <c r="X1164" s="22">
        <f>IFERROR(__xludf.DUMMYFUNCTION("IFERROR(GOOGLEFINANCE(A1164,""high""),"""")"),486.0)</f>
        <v>486</v>
      </c>
      <c r="Y1164" s="22">
        <f>IFERROR(__xludf.DUMMYFUNCTION("IFERROR(GOOGLEFINANCE(A1164,""low""),"""")"),452.0)</f>
        <v>452</v>
      </c>
      <c r="Z1164" s="22">
        <f>IFERROR(__xludf.DUMMYFUNCTION("IFERROR(GOOGLEFINANCE(A1164,""volume""),"""")"),2.026719E8)</f>
        <v>202671900</v>
      </c>
      <c r="AA1164" s="24" t="str">
        <f>VLOOKUP(A1164,Metrik!$C$2:$Y$959,5,0)</f>
        <v>Metals &amp; Minerals</v>
      </c>
      <c r="AB1164" s="24" t="str">
        <f>VLOOKUP(A1164,Metrik!$C$2:$Y$959,3,0)</f>
        <v>Basic Materials</v>
      </c>
    </row>
    <row r="1165">
      <c r="A1165" s="14" t="s">
        <v>615</v>
      </c>
      <c r="B1165" s="14" t="str">
        <f t="array" ref="B1165">VLOOKUP(A1165,{Metrik!$C$2:$C$998,Metrik!$B$2:$B$998},2,0)</f>
        <v>Mitrabahtera Segara Sejati Tbk.</v>
      </c>
      <c r="C1165" s="15" t="str">
        <f>IFERROR(__xludf.DUMMYFUNCTION("GOOGLEFINANCE(""IDX:""&amp;A1165,""price"")"),"#N/A")</f>
        <v>#N/A</v>
      </c>
      <c r="D1165" s="16" t="str">
        <f>IFERROR(__xludf.DUMMYFUNCTION("IF(A1165="""","""",
SPARKLINE(
INDEX(
GOOGLEFINANCE(""IDX:""&amp;A1165,""close"",TODAY()-365,TODAY()),
,2
),
{""linewidth"",1}
))
"),"#N/A")</f>
        <v>#N/A</v>
      </c>
      <c r="E1165" s="26"/>
      <c r="F1165" s="26"/>
      <c r="G1165" s="24">
        <f t="shared" si="8"/>
        <v>0</v>
      </c>
      <c r="H1165" s="19">
        <f>VLOOKUP(A1165,Metrik!$C$2:$Y$959,8,0)</f>
        <v>17</v>
      </c>
      <c r="I1165" s="20">
        <f>VLOOKUP(A1165,Metrik!$C$2:$Y$959,9,0)</f>
        <v>1.1</v>
      </c>
      <c r="J1165" s="20">
        <f>VLOOKUP(A1165,Metrik!$C$2:$Y$959,10,0)</f>
        <v>6.4</v>
      </c>
      <c r="K1165" s="20">
        <f>VLOOKUP(A1165,Metrik!$C$2:$Y$959,11,0)</f>
        <v>5.9</v>
      </c>
      <c r="L1165" s="20">
        <f>VLOOKUP(A1165,Metrik!$C$2:$Y$959,12,0)</f>
        <v>0.09</v>
      </c>
      <c r="M1165" s="20">
        <f>VLOOKUP(A1165,Metrik!$C$2:$Y$959,19,0)</f>
        <v>140</v>
      </c>
      <c r="N1165" s="21"/>
      <c r="O1165" s="21"/>
      <c r="P1165" s="21"/>
      <c r="Q1165" s="21"/>
      <c r="R1165" s="21"/>
      <c r="S1165" s="21"/>
      <c r="T1165" s="21"/>
      <c r="U1165" s="22">
        <f>IFERROR(__xludf.DUMMYFUNCTION("IFERROR(GOOGLEFINANCE(A1165,""closeyest""),"""")"),2390.0)</f>
        <v>2390</v>
      </c>
      <c r="V1165" s="23">
        <f>IFERROR(__xludf.DUMMYFUNCTION("IFERROR(GOOGLEFINANCE(A1165,""changepct""),"""")"),6.28)</f>
        <v>6.28</v>
      </c>
      <c r="W1165" s="22" t="str">
        <f>IFERROR(__xludf.DUMMYFUNCTION("IFERROR(GOOGLEFINANCE(A1165,""priceopen""),"""")"),"")</f>
        <v/>
      </c>
      <c r="X1165" s="22">
        <f>IFERROR(__xludf.DUMMYFUNCTION("IFERROR(GOOGLEFINANCE(A1165,""high""),"""")"),2600.0)</f>
        <v>2600</v>
      </c>
      <c r="Y1165" s="22">
        <f>IFERROR(__xludf.DUMMYFUNCTION("IFERROR(GOOGLEFINANCE(A1165,""low""),"""")"),2340.0)</f>
        <v>2340</v>
      </c>
      <c r="Z1165" s="22">
        <f>IFERROR(__xludf.DUMMYFUNCTION("IFERROR(GOOGLEFINANCE(A1165,""volume""),"""")"),4192000.0)</f>
        <v>4192000</v>
      </c>
      <c r="AA1165" s="24" t="str">
        <f>VLOOKUP(A1165,Metrik!$C$2:$Y$959,5,0)</f>
        <v>Coal</v>
      </c>
      <c r="AB1165" s="24" t="str">
        <f>VLOOKUP(A1165,Metrik!$C$2:$Y$959,3,0)</f>
        <v>Energy</v>
      </c>
    </row>
    <row r="1166">
      <c r="A1166" s="14" t="s">
        <v>616</v>
      </c>
      <c r="B1166" s="14" t="str">
        <f t="array" ref="B1166">VLOOKUP(A1166,{Metrik!$C$2:$C$998,Metrik!$B$2:$B$998},2,0)</f>
        <v>Martina Berto Tbk</v>
      </c>
      <c r="C1166" s="15">
        <f>IFERROR(__xludf.DUMMYFUNCTION("GOOGLEFINANCE(""IDX:""&amp;A1166,""price"")"),115.0)</f>
        <v>115</v>
      </c>
      <c r="D1166" s="16" t="str">
        <f>IFERROR(__xludf.DUMMYFUNCTION("IF(A1166="""","""",
SPARKLINE(
INDEX(
GOOGLEFINANCE(""IDX:""&amp;A1166,""close"",TODAY()-365,TODAY()),
,2
),
{""linewidth"",1}
))
"),"#N/A")</f>
        <v>#N/A</v>
      </c>
      <c r="E1166" s="26"/>
      <c r="F1166" s="26"/>
      <c r="G1166" s="24">
        <f t="shared" si="8"/>
        <v>0</v>
      </c>
      <c r="H1166" s="19">
        <f>VLOOKUP(A1166,Metrik!$C$2:$Y$959,8,0)</f>
        <v>-9.1</v>
      </c>
      <c r="I1166" s="20">
        <f>VLOOKUP(A1166,Metrik!$C$2:$Y$959,9,0)</f>
        <v>0.35</v>
      </c>
      <c r="J1166" s="20">
        <f>VLOOKUP(A1166,Metrik!$C$2:$Y$959,10,0)</f>
        <v>-3.8</v>
      </c>
      <c r="K1166" s="20">
        <f>VLOOKUP(A1166,Metrik!$C$2:$Y$959,11,0)</f>
        <v>-2</v>
      </c>
      <c r="L1166" s="20">
        <f>VLOOKUP(A1166,Metrik!$C$2:$Y$959,12,0)</f>
        <v>0.9</v>
      </c>
      <c r="M1166" s="20">
        <f>VLOOKUP(A1166,Metrik!$C$2:$Y$959,19,0)</f>
        <v>-11.7</v>
      </c>
      <c r="N1166" s="21"/>
      <c r="O1166" s="21"/>
      <c r="P1166" s="21"/>
      <c r="Q1166" s="21"/>
      <c r="R1166" s="21"/>
      <c r="S1166" s="21"/>
      <c r="T1166" s="21"/>
      <c r="U1166" s="22">
        <f>IFERROR(__xludf.DUMMYFUNCTION("IFERROR(GOOGLEFINANCE(A1166,""closeyest""),"""")"),103.0)</f>
        <v>103</v>
      </c>
      <c r="V1166" s="23">
        <f>IFERROR(__xludf.DUMMYFUNCTION("IFERROR(GOOGLEFINANCE(A1166,""changepct""),"""")"),11.65)</f>
        <v>11.65</v>
      </c>
      <c r="W1166" s="22">
        <f>IFERROR(__xludf.DUMMYFUNCTION("IFERROR(GOOGLEFINANCE(A1166,""priceopen""),"""")"),101.0)</f>
        <v>101</v>
      </c>
      <c r="X1166" s="22">
        <f>IFERROR(__xludf.DUMMYFUNCTION("IFERROR(GOOGLEFINANCE(A1166,""high""),"""")"),128.0)</f>
        <v>128</v>
      </c>
      <c r="Y1166" s="22">
        <f>IFERROR(__xludf.DUMMYFUNCTION("IFERROR(GOOGLEFINANCE(A1166,""low""),"""")"),101.0)</f>
        <v>101</v>
      </c>
      <c r="Z1166" s="22">
        <f>IFERROR(__xludf.DUMMYFUNCTION("IFERROR(GOOGLEFINANCE(A1166,""volume""),"""")"),2516600.0)</f>
        <v>2516600</v>
      </c>
      <c r="AA1166" s="24" t="str">
        <f>VLOOKUP(A1166,Metrik!$C$2:$Y$959,5,0)</f>
        <v>Personal Care Products</v>
      </c>
      <c r="AB1166" s="24" t="str">
        <f>VLOOKUP(A1166,Metrik!$C$2:$Y$959,3,0)</f>
        <v>Consumer Non-Cyclicals</v>
      </c>
    </row>
    <row r="1167">
      <c r="A1167" s="14" t="s">
        <v>617</v>
      </c>
      <c r="B1167" s="14" t="str">
        <f t="array" ref="B1167">VLOOKUP(A1167,{Metrik!$C$2:$C$998,Metrik!$B$2:$B$998},2,0)</f>
        <v>M Cash Integrasi Tbk.</v>
      </c>
      <c r="C1167" s="15">
        <f>IFERROR(__xludf.DUMMYFUNCTION("GOOGLEFINANCE(""IDX:""&amp;A1167,""price"")"),194.0)</f>
        <v>194</v>
      </c>
      <c r="D1167" s="16" t="str">
        <f>IFERROR(__xludf.DUMMYFUNCTION("IF(A1167="""","""",
SPARKLINE(
INDEX(
GOOGLEFINANCE(""IDX:""&amp;A1167,""close"",TODAY()-365,TODAY()),
,2
),
{""linewidth"",1}
))
"),"#N/A")</f>
        <v>#N/A</v>
      </c>
      <c r="E1167" s="26"/>
      <c r="F1167" s="26"/>
      <c r="G1167" s="24">
        <f t="shared" si="8"/>
        <v>0</v>
      </c>
      <c r="H1167" s="19">
        <f>VLOOKUP(A1167,Metrik!$C$2:$Y$959,8,0)</f>
        <v>-4.9</v>
      </c>
      <c r="I1167" s="20">
        <f>VLOOKUP(A1167,Metrik!$C$2:$Y$959,9,0)</f>
        <v>0.2</v>
      </c>
      <c r="J1167" s="20">
        <f>VLOOKUP(A1167,Metrik!$C$2:$Y$959,10,0)</f>
        <v>-4.2</v>
      </c>
      <c r="K1167" s="20">
        <f>VLOOKUP(A1167,Metrik!$C$2:$Y$959,11,0)</f>
        <v>-2.4</v>
      </c>
      <c r="L1167" s="20">
        <f>VLOOKUP(A1167,Metrik!$C$2:$Y$959,12,0)</f>
        <v>0.75</v>
      </c>
      <c r="M1167" s="20">
        <f>VLOOKUP(A1167,Metrik!$C$2:$Y$959,19,0)</f>
        <v>-5.3</v>
      </c>
      <c r="N1167" s="21"/>
      <c r="O1167" s="21"/>
      <c r="P1167" s="21"/>
      <c r="Q1167" s="21"/>
      <c r="R1167" s="21"/>
      <c r="S1167" s="21"/>
      <c r="T1167" s="21"/>
      <c r="U1167" s="22">
        <f>IFERROR(__xludf.DUMMYFUNCTION("IFERROR(GOOGLEFINANCE(A1167,""closeyest""),"""")"),180.0)</f>
        <v>180</v>
      </c>
      <c r="V1167" s="23">
        <f>IFERROR(__xludf.DUMMYFUNCTION("IFERROR(GOOGLEFINANCE(A1167,""changepct""),"""")"),7.78)</f>
        <v>7.78</v>
      </c>
      <c r="W1167" s="22">
        <f>IFERROR(__xludf.DUMMYFUNCTION("IFERROR(GOOGLEFINANCE(A1167,""priceopen""),"""")"),180.0)</f>
        <v>180</v>
      </c>
      <c r="X1167" s="22">
        <f>IFERROR(__xludf.DUMMYFUNCTION("IFERROR(GOOGLEFINANCE(A1167,""high""),"""")"),195.0)</f>
        <v>195</v>
      </c>
      <c r="Y1167" s="22">
        <f>IFERROR(__xludf.DUMMYFUNCTION("IFERROR(GOOGLEFINANCE(A1167,""low""),"""")"),179.0)</f>
        <v>179</v>
      </c>
      <c r="Z1167" s="22">
        <f>IFERROR(__xludf.DUMMYFUNCTION("IFERROR(GOOGLEFINANCE(A1167,""volume""),"""")"),512000.0)</f>
        <v>512000</v>
      </c>
      <c r="AA1167" s="24" t="str">
        <f>VLOOKUP(A1167,Metrik!$C$2:$Y$959,5,0)</f>
        <v>Online Applications &amp; Services</v>
      </c>
      <c r="AB1167" s="24" t="str">
        <f>VLOOKUP(A1167,Metrik!$C$2:$Y$959,3,0)</f>
        <v>Technology</v>
      </c>
    </row>
    <row r="1168">
      <c r="A1168" s="14" t="s">
        <v>618</v>
      </c>
      <c r="B1168" s="14" t="str">
        <f t="array" ref="B1168">VLOOKUP(A1168,{Metrik!$C$2:$C$998,Metrik!$B$2:$B$998},2,0)</f>
        <v>Prima Andalan Mandiri Tbk.</v>
      </c>
      <c r="C1168" s="15">
        <f>IFERROR(__xludf.DUMMYFUNCTION("GOOGLEFINANCE(""IDX:""&amp;A1168,""price"")"),3650.0)</f>
        <v>3650</v>
      </c>
      <c r="D1168" s="16" t="str">
        <f>IFERROR(__xludf.DUMMYFUNCTION("IF(A1168="""","""",
SPARKLINE(
INDEX(
GOOGLEFINANCE(""IDX:""&amp;A1168,""close"",TODAY()-365,TODAY()),
,2
),
{""linewidth"",1}
))
"),"#N/A")</f>
        <v>#N/A</v>
      </c>
      <c r="E1168" s="26"/>
      <c r="F1168" s="26"/>
      <c r="G1168" s="24">
        <f t="shared" si="8"/>
        <v>0</v>
      </c>
      <c r="H1168" s="19">
        <f>VLOOKUP(A1168,Metrik!$C$2:$Y$959,8,0)</f>
        <v>10</v>
      </c>
      <c r="I1168" s="20">
        <f>VLOOKUP(A1168,Metrik!$C$2:$Y$959,9,0)</f>
        <v>1.3</v>
      </c>
      <c r="J1168" s="20">
        <f>VLOOKUP(A1168,Metrik!$C$2:$Y$959,10,0)</f>
        <v>12.6</v>
      </c>
      <c r="K1168" s="20">
        <f>VLOOKUP(A1168,Metrik!$C$2:$Y$959,11,0)</f>
        <v>10.1</v>
      </c>
      <c r="L1168" s="20">
        <f>VLOOKUP(A1168,Metrik!$C$2:$Y$959,12,0)</f>
        <v>0.25</v>
      </c>
      <c r="M1168" s="20">
        <f>VLOOKUP(A1168,Metrik!$C$2:$Y$959,19,0)</f>
        <v>46.6</v>
      </c>
      <c r="N1168" s="21"/>
      <c r="O1168" s="21"/>
      <c r="P1168" s="21"/>
      <c r="Q1168" s="21"/>
      <c r="R1168" s="21"/>
      <c r="S1168" s="21"/>
      <c r="T1168" s="21"/>
      <c r="U1168" s="22">
        <f>IFERROR(__xludf.DUMMYFUNCTION("IFERROR(GOOGLEFINANCE(A1168,""closeyest""),"""")"),3290.0)</f>
        <v>3290</v>
      </c>
      <c r="V1168" s="23">
        <f>IFERROR(__xludf.DUMMYFUNCTION("IFERROR(GOOGLEFINANCE(A1168,""changepct""),"""")"),10.94)</f>
        <v>10.94</v>
      </c>
      <c r="W1168" s="22">
        <f>IFERROR(__xludf.DUMMYFUNCTION("IFERROR(GOOGLEFINANCE(A1168,""priceopen""),"""")"),3290.0)</f>
        <v>3290</v>
      </c>
      <c r="X1168" s="22">
        <f>IFERROR(__xludf.DUMMYFUNCTION("IFERROR(GOOGLEFINANCE(A1168,""high""),"""")"),3670.0)</f>
        <v>3670</v>
      </c>
      <c r="Y1168" s="22">
        <f>IFERROR(__xludf.DUMMYFUNCTION("IFERROR(GOOGLEFINANCE(A1168,""low""),"""")"),3290.0)</f>
        <v>3290</v>
      </c>
      <c r="Z1168" s="22">
        <f>IFERROR(__xludf.DUMMYFUNCTION("IFERROR(GOOGLEFINANCE(A1168,""volume""),"""")"),100900.0)</f>
        <v>100900</v>
      </c>
      <c r="AA1168" s="24" t="str">
        <f>VLOOKUP(A1168,Metrik!$C$2:$Y$959,5,0)</f>
        <v>Coal</v>
      </c>
      <c r="AB1168" s="24" t="str">
        <f>VLOOKUP(A1168,Metrik!$C$2:$Y$959,3,0)</f>
        <v>Energy</v>
      </c>
    </row>
    <row r="1169">
      <c r="A1169" s="14" t="s">
        <v>619</v>
      </c>
      <c r="B1169" s="14" t="str">
        <f t="array" ref="B1169">VLOOKUP(A1169,{Metrik!$C$2:$C$998,Metrik!$B$2:$B$998},2,0)</f>
        <v>PT Bank China Construction Bank Indonesia Tbk</v>
      </c>
      <c r="C1169" s="15">
        <f>IFERROR(__xludf.DUMMYFUNCTION("GOOGLEFINANCE(""IDX:""&amp;A1169,""price"")"),64.0)</f>
        <v>64</v>
      </c>
      <c r="D1169" s="16" t="str">
        <f>IFERROR(__xludf.DUMMYFUNCTION("IF(A1169="""","""",
SPARKLINE(
INDEX(
GOOGLEFINANCE(""IDX:""&amp;A1169,""close"",TODAY()-365,TODAY()),
,2
),
{""linewidth"",1}
))
"),"#N/A")</f>
        <v>#N/A</v>
      </c>
      <c r="E1169" s="26"/>
      <c r="F1169" s="26"/>
      <c r="G1169" s="24">
        <f t="shared" si="8"/>
        <v>0</v>
      </c>
      <c r="H1169" s="19">
        <f>VLOOKUP(A1169,Metrik!$C$2:$Y$959,8,0)</f>
        <v>8.7</v>
      </c>
      <c r="I1169" s="20">
        <f>VLOOKUP(A1169,Metrik!$C$2:$Y$959,9,0)</f>
        <v>0.36</v>
      </c>
      <c r="J1169" s="20">
        <f>VLOOKUP(A1169,Metrik!$C$2:$Y$959,10,0)</f>
        <v>4.2</v>
      </c>
      <c r="K1169" s="20">
        <f>VLOOKUP(A1169,Metrik!$C$2:$Y$959,11,0)</f>
        <v>0.81</v>
      </c>
      <c r="L1169" s="20">
        <f>VLOOKUP(A1169,Metrik!$C$2:$Y$959,12,0)</f>
        <v>4.1</v>
      </c>
      <c r="M1169" s="20">
        <f>VLOOKUP(A1169,Metrik!$C$2:$Y$959,19,0)</f>
        <v>54.2</v>
      </c>
      <c r="N1169" s="32">
        <v>2.98</v>
      </c>
      <c r="O1169" s="32">
        <v>29.48</v>
      </c>
      <c r="P1169" s="32">
        <v>84.15</v>
      </c>
      <c r="Q1169" s="32">
        <v>2.11</v>
      </c>
      <c r="R1169" s="32">
        <v>88.4</v>
      </c>
      <c r="S1169" s="32">
        <v>52.15</v>
      </c>
      <c r="T1169" s="32">
        <v>7.12</v>
      </c>
      <c r="U1169" s="22" t="str">
        <f>IFERROR(__xludf.DUMMYFUNCTION("IFERROR(GOOGLEFINANCE(A1169,""closeyest""),"""")"),"")</f>
        <v/>
      </c>
      <c r="V1169" s="23">
        <f>IFERROR(__xludf.DUMMYFUNCTION("IFERROR(GOOGLEFINANCE(A1169,""changepct""),"""")"),-0.4)</f>
        <v>-0.4</v>
      </c>
      <c r="W1169" s="22" t="str">
        <f>IFERROR(__xludf.DUMMYFUNCTION("IFERROR(GOOGLEFINANCE(A1169,""priceopen""),"""")"),"")</f>
        <v/>
      </c>
      <c r="X1169" s="22" t="str">
        <f>IFERROR(__xludf.DUMMYFUNCTION("IFERROR(GOOGLEFINANCE(A1169,""high""),"""")"),"")</f>
        <v/>
      </c>
      <c r="Y1169" s="22" t="str">
        <f>IFERROR(__xludf.DUMMYFUNCTION("IFERROR(GOOGLEFINANCE(A1169,""low""),"""")"),"")</f>
        <v/>
      </c>
      <c r="Z1169" s="22" t="str">
        <f>IFERROR(__xludf.DUMMYFUNCTION("IFERROR(GOOGLEFINANCE(A1169,""volume""),"""")"),"")</f>
        <v/>
      </c>
      <c r="AA1169" s="24" t="str">
        <f>VLOOKUP(A1169,Metrik!$C$2:$Y$959,5,0)</f>
        <v>Banks</v>
      </c>
      <c r="AB1169" s="24" t="str">
        <f>VLOOKUP(A1169,Metrik!$C$2:$Y$959,3,0)</f>
        <v>Financials</v>
      </c>
    </row>
    <row r="1170">
      <c r="A1170" s="14" t="s">
        <v>620</v>
      </c>
      <c r="B1170" s="14" t="str">
        <f t="array" ref="B1170">VLOOKUP(A1170,{Metrik!$C$2:$C$998,Metrik!$B$2:$B$998},2,0)</f>
        <v>Intermedia Capital Tbk.</v>
      </c>
      <c r="C1170" s="15">
        <f>IFERROR(__xludf.DUMMYFUNCTION("GOOGLEFINANCE(""IDX:""&amp;A1170,""price"")"),72.0)</f>
        <v>72</v>
      </c>
      <c r="D1170" s="16" t="str">
        <f>IFERROR(__xludf.DUMMYFUNCTION("IF(A1170="""","""",
SPARKLINE(
INDEX(
GOOGLEFINANCE(""IDX:""&amp;A1170,""close"",TODAY()-365,TODAY()),
,2
),
{""linewidth"",1}
))
"),"#N/A")</f>
        <v>#N/A</v>
      </c>
      <c r="E1170" s="26"/>
      <c r="F1170" s="26"/>
      <c r="G1170" s="24">
        <f t="shared" si="8"/>
        <v>0</v>
      </c>
      <c r="H1170" s="19">
        <f>VLOOKUP(A1170,Metrik!$C$2:$Y$959,8,0)</f>
        <v>-72</v>
      </c>
      <c r="I1170" s="20">
        <f>VLOOKUP(A1170,Metrik!$C$2:$Y$959,9,0)</f>
        <v>3.6</v>
      </c>
      <c r="J1170" s="20">
        <f>VLOOKUP(A1170,Metrik!$C$2:$Y$959,10,0)</f>
        <v>-5</v>
      </c>
      <c r="K1170" s="20">
        <f>VLOOKUP(A1170,Metrik!$C$2:$Y$959,11,0)</f>
        <v>-1.4</v>
      </c>
      <c r="L1170" s="20">
        <f>VLOOKUP(A1170,Metrik!$C$2:$Y$959,12,0)</f>
        <v>2.5</v>
      </c>
      <c r="M1170" s="20">
        <f>VLOOKUP(A1170,Metrik!$C$2:$Y$959,19,0)</f>
        <v>-7.8</v>
      </c>
      <c r="N1170" s="21"/>
      <c r="O1170" s="21"/>
      <c r="P1170" s="21"/>
      <c r="Q1170" s="21"/>
      <c r="R1170" s="21"/>
      <c r="S1170" s="21"/>
      <c r="T1170" s="21"/>
      <c r="U1170" s="22">
        <f>IFERROR(__xludf.DUMMYFUNCTION("IFERROR(GOOGLEFINANCE(A1170,""closeyest""),"""")"),0.82)</f>
        <v>0.82</v>
      </c>
      <c r="V1170" s="23">
        <f>IFERROR(__xludf.DUMMYFUNCTION("IFERROR(GOOGLEFINANCE(A1170,""changepct""),"""")"),-8.7)</f>
        <v>-8.7</v>
      </c>
      <c r="W1170" s="22">
        <f>IFERROR(__xludf.DUMMYFUNCTION("IFERROR(GOOGLEFINANCE(A1170,""priceopen""),"""")"),0.8)</f>
        <v>0.8</v>
      </c>
      <c r="X1170" s="22">
        <f>IFERROR(__xludf.DUMMYFUNCTION("IFERROR(GOOGLEFINANCE(A1170,""high""),"""")"),0.86)</f>
        <v>0.86</v>
      </c>
      <c r="Y1170" s="22">
        <f>IFERROR(__xludf.DUMMYFUNCTION("IFERROR(GOOGLEFINANCE(A1170,""low""),"""")"),0.73)</f>
        <v>0.73</v>
      </c>
      <c r="Z1170" s="22">
        <f>IFERROR(__xludf.DUMMYFUNCTION("IFERROR(GOOGLEFINANCE(A1170,""volume""),"""")"),175450.0)</f>
        <v>175450</v>
      </c>
      <c r="AA1170" s="24" t="str">
        <f>VLOOKUP(A1170,Metrik!$C$2:$Y$959,5,0)</f>
        <v>Media</v>
      </c>
      <c r="AB1170" s="24" t="str">
        <f>VLOOKUP(A1170,Metrik!$C$2:$Y$959,3,0)</f>
        <v>Consumer Cyclicals</v>
      </c>
    </row>
    <row r="1171">
      <c r="A1171" s="14" t="s">
        <v>621</v>
      </c>
      <c r="B1171" s="14" t="str">
        <f t="array" ref="B1171">VLOOKUP(A1171,{Metrik!$C$2:$C$998,Metrik!$B$2:$B$998},2,0)</f>
        <v>Daya Intiguna Yasa Tbk.</v>
      </c>
      <c r="C1171" s="15">
        <f>IFERROR(__xludf.DUMMYFUNCTION("GOOGLEFINANCE(""IDX:""&amp;A1171,""price"")"),850.0)</f>
        <v>850</v>
      </c>
      <c r="D1171" s="16" t="str">
        <f>IFERROR(__xludf.DUMMYFUNCTION("IF(A1171="""","""",
SPARKLINE(
INDEX(
GOOGLEFINANCE(""IDX:""&amp;A1171,""close"",TODAY()-365,TODAY()),
,2
),
{""linewidth"",1}
))
"),"#N/A")</f>
        <v>#N/A</v>
      </c>
      <c r="E1171" s="26"/>
      <c r="F1171" s="26"/>
      <c r="G1171" s="24">
        <f t="shared" si="8"/>
        <v>0</v>
      </c>
      <c r="H1171" s="19">
        <f>VLOOKUP(A1171,Metrik!$C$2:$Y$959,8,0)</f>
        <v>18.7</v>
      </c>
      <c r="I1171" s="20">
        <f>VLOOKUP(A1171,Metrik!$C$2:$Y$959,9,0)</f>
        <v>4.9</v>
      </c>
      <c r="J1171" s="20">
        <f>VLOOKUP(A1171,Metrik!$C$2:$Y$959,10,0)</f>
        <v>26.3</v>
      </c>
      <c r="K1171" s="20">
        <f>VLOOKUP(A1171,Metrik!$C$2:$Y$959,11,0)</f>
        <v>15.4</v>
      </c>
      <c r="L1171" s="20">
        <f>VLOOKUP(A1171,Metrik!$C$2:$Y$959,12,0)</f>
        <v>0.7</v>
      </c>
      <c r="M1171" s="20">
        <f>VLOOKUP(A1171,Metrik!$C$2:$Y$959,19,0)</f>
        <v>50.3</v>
      </c>
      <c r="N1171" s="21"/>
      <c r="O1171" s="21"/>
      <c r="P1171" s="21"/>
      <c r="Q1171" s="21"/>
      <c r="R1171" s="21"/>
      <c r="S1171" s="21"/>
      <c r="T1171" s="21"/>
      <c r="U1171" s="22">
        <f>IFERROR(__xludf.DUMMYFUNCTION("IFERROR(GOOGLEFINANCE(A1171,""closeyest""),"""")"),850.0)</f>
        <v>850</v>
      </c>
      <c r="V1171" s="23">
        <f>IFERROR(__xludf.DUMMYFUNCTION("IFERROR(GOOGLEFINANCE(A1171,""changepct""),"""")"),0.0)</f>
        <v>0</v>
      </c>
      <c r="W1171" s="22">
        <f>IFERROR(__xludf.DUMMYFUNCTION("IFERROR(GOOGLEFINANCE(A1171,""priceopen""),"""")"),850.0)</f>
        <v>850</v>
      </c>
      <c r="X1171" s="22">
        <f>IFERROR(__xludf.DUMMYFUNCTION("IFERROR(GOOGLEFINANCE(A1171,""high""),"""")"),885.0)</f>
        <v>885</v>
      </c>
      <c r="Y1171" s="22">
        <f>IFERROR(__xludf.DUMMYFUNCTION("IFERROR(GOOGLEFINANCE(A1171,""low""),"""")"),830.0)</f>
        <v>830</v>
      </c>
      <c r="Z1171" s="22">
        <f>IFERROR(__xludf.DUMMYFUNCTION("IFERROR(GOOGLEFINANCE(A1171,""volume""),"""")"),3173900.0)</f>
        <v>3173900</v>
      </c>
      <c r="AA1171" s="24" t="str">
        <f>VLOOKUP(A1171,Metrik!$C$2:$Y$959,5,0)</f>
        <v>Specialty Retail</v>
      </c>
      <c r="AB1171" s="24" t="str">
        <f>VLOOKUP(A1171,Metrik!$C$2:$Y$959,3,0)</f>
        <v>Consumer Cyclicals</v>
      </c>
    </row>
    <row r="1172">
      <c r="A1172" s="14" t="s">
        <v>622</v>
      </c>
      <c r="B1172" s="14" t="str">
        <f t="array" ref="B1172">VLOOKUP(A1172,{Metrik!$C$2:$C$998,Metrik!$B$2:$B$998},2,0)</f>
        <v>Merdeka Copper Gold Tbk.</v>
      </c>
      <c r="C1172" s="15">
        <f>IFERROR(__xludf.DUMMYFUNCTION("GOOGLEFINANCE(""IDX:""&amp;A1172,""price"")"),2540.0)</f>
        <v>2540</v>
      </c>
      <c r="D1172" s="16" t="str">
        <f>IFERROR(__xludf.DUMMYFUNCTION("IF(A1172="""","""",
SPARKLINE(
INDEX(
GOOGLEFINANCE(""IDX:""&amp;A1172,""close"",TODAY()-365,TODAY()),
,2
),
{""linewidth"",1}
))
"),"#N/A")</f>
        <v>#N/A</v>
      </c>
      <c r="E1172" s="14" t="s">
        <v>38</v>
      </c>
      <c r="F1172" s="25">
        <v>46356.0</v>
      </c>
      <c r="G1172" s="24">
        <f t="shared" si="8"/>
        <v>11</v>
      </c>
      <c r="H1172" s="19">
        <f>VLOOKUP(A1172,Metrik!$C$2:$Y$959,8,0)</f>
        <v>-60.9</v>
      </c>
      <c r="I1172" s="20">
        <f>VLOOKUP(A1172,Metrik!$C$2:$Y$959,9,0)</f>
        <v>1.3</v>
      </c>
      <c r="J1172" s="20">
        <f>VLOOKUP(A1172,Metrik!$C$2:$Y$959,10,0)</f>
        <v>-2.1</v>
      </c>
      <c r="K1172" s="20">
        <f>VLOOKUP(A1172,Metrik!$C$2:$Y$959,11,0)</f>
        <v>-1.1</v>
      </c>
      <c r="L1172" s="20">
        <f>VLOOKUP(A1172,Metrik!$C$2:$Y$959,12,0)</f>
        <v>0.95</v>
      </c>
      <c r="M1172" s="20">
        <f>VLOOKUP(A1172,Metrik!$C$2:$Y$959,19,0)</f>
        <v>-3.3</v>
      </c>
      <c r="N1172" s="21"/>
      <c r="O1172" s="21"/>
      <c r="P1172" s="21"/>
      <c r="Q1172" s="21"/>
      <c r="R1172" s="21"/>
      <c r="S1172" s="21"/>
      <c r="T1172" s="21"/>
      <c r="U1172" s="22">
        <f>IFERROR(__xludf.DUMMYFUNCTION("IFERROR(GOOGLEFINANCE(A1172,""closeyest""),"""")"),2470.0)</f>
        <v>2470</v>
      </c>
      <c r="V1172" s="23" t="str">
        <f>IFERROR(__xludf.DUMMYFUNCTION("IFERROR(GOOGLEFINANCE(A1172,""changepct""),"""")"),"")</f>
        <v/>
      </c>
      <c r="W1172" s="22">
        <f>IFERROR(__xludf.DUMMYFUNCTION("IFERROR(GOOGLEFINANCE(A1172,""priceopen""),"""")"),2520.0)</f>
        <v>2520</v>
      </c>
      <c r="X1172" s="22" t="str">
        <f>IFERROR(__xludf.DUMMYFUNCTION("IFERROR(GOOGLEFINANCE(A1172,""high""),"""")"),"")</f>
        <v/>
      </c>
      <c r="Y1172" s="22">
        <f>IFERROR(__xludf.DUMMYFUNCTION("IFERROR(GOOGLEFINANCE(A1172,""low""),"""")"),2520.0)</f>
        <v>2520</v>
      </c>
      <c r="Z1172" s="22" t="str">
        <f>IFERROR(__xludf.DUMMYFUNCTION("IFERROR(GOOGLEFINANCE(A1172,""volume""),"""")"),"")</f>
        <v/>
      </c>
      <c r="AA1172" s="24" t="str">
        <f>VLOOKUP(A1172,Metrik!$C$2:$Y$959,5,0)</f>
        <v>Metals &amp; Minerals</v>
      </c>
      <c r="AB1172" s="24" t="str">
        <f>VLOOKUP(A1172,Metrik!$C$2:$Y$959,3,0)</f>
        <v>Basic Materials</v>
      </c>
    </row>
    <row r="1173">
      <c r="A1173" s="14" t="s">
        <v>622</v>
      </c>
      <c r="B1173" s="14" t="str">
        <f t="array" ref="B1173">VLOOKUP(A1173,{Metrik!$C$2:$C$998,Metrik!$B$2:$B$998},2,0)</f>
        <v>Merdeka Copper Gold Tbk.</v>
      </c>
      <c r="C1173" s="15">
        <f>IFERROR(__xludf.DUMMYFUNCTION("GOOGLEFINANCE(""IDX:""&amp;A1173,""price"")"),2540.0)</f>
        <v>2540</v>
      </c>
      <c r="D1173" s="16" t="str">
        <f>IFERROR(__xludf.DUMMYFUNCTION("IF(A1173="""","""",
SPARKLINE(
INDEX(
GOOGLEFINANCE(""IDX:""&amp;A1173,""close"",TODAY()-365,TODAY()),
,2
),
{""linewidth"",1}
))
"),"#N/A")</f>
        <v>#N/A</v>
      </c>
      <c r="E1173" s="14" t="s">
        <v>161</v>
      </c>
      <c r="F1173" s="14" t="s">
        <v>76</v>
      </c>
      <c r="G1173" s="24">
        <f t="shared" si="8"/>
        <v>11</v>
      </c>
      <c r="H1173" s="19">
        <f>VLOOKUP(A1173,Metrik!$C$2:$Y$959,8,0)</f>
        <v>-60.9</v>
      </c>
      <c r="I1173" s="20">
        <f>VLOOKUP(A1173,Metrik!$C$2:$Y$959,9,0)</f>
        <v>1.3</v>
      </c>
      <c r="J1173" s="20">
        <f>VLOOKUP(A1173,Metrik!$C$2:$Y$959,10,0)</f>
        <v>-2.1</v>
      </c>
      <c r="K1173" s="20">
        <f>VLOOKUP(A1173,Metrik!$C$2:$Y$959,11,0)</f>
        <v>-1.1</v>
      </c>
      <c r="L1173" s="20">
        <f>VLOOKUP(A1173,Metrik!$C$2:$Y$959,12,0)</f>
        <v>0.95</v>
      </c>
      <c r="M1173" s="20">
        <f>VLOOKUP(A1173,Metrik!$C$2:$Y$959,19,0)</f>
        <v>-3.3</v>
      </c>
      <c r="N1173" s="21"/>
      <c r="O1173" s="21"/>
      <c r="P1173" s="21"/>
      <c r="Q1173" s="21"/>
      <c r="R1173" s="21"/>
      <c r="S1173" s="21"/>
      <c r="T1173" s="21"/>
      <c r="U1173" s="22">
        <f>IFERROR(__xludf.DUMMYFUNCTION("IFERROR(GOOGLEFINANCE(A1173,""closeyest""),"""")"),2470.0)</f>
        <v>2470</v>
      </c>
      <c r="V1173" s="23" t="str">
        <f>IFERROR(__xludf.DUMMYFUNCTION("IFERROR(GOOGLEFINANCE(A1173,""changepct""),"""")"),"")</f>
        <v/>
      </c>
      <c r="W1173" s="22">
        <f>IFERROR(__xludf.DUMMYFUNCTION("IFERROR(GOOGLEFINANCE(A1173,""priceopen""),"""")"),2520.0)</f>
        <v>2520</v>
      </c>
      <c r="X1173" s="22" t="str">
        <f>IFERROR(__xludf.DUMMYFUNCTION("IFERROR(GOOGLEFINANCE(A1173,""high""),"""")"),"")</f>
        <v/>
      </c>
      <c r="Y1173" s="22">
        <f>IFERROR(__xludf.DUMMYFUNCTION("IFERROR(GOOGLEFINANCE(A1173,""low""),"""")"),2520.0)</f>
        <v>2520</v>
      </c>
      <c r="Z1173" s="22" t="str">
        <f>IFERROR(__xludf.DUMMYFUNCTION("IFERROR(GOOGLEFINANCE(A1173,""volume""),"""")"),"")</f>
        <v/>
      </c>
      <c r="AA1173" s="24" t="str">
        <f>VLOOKUP(A1173,Metrik!$C$2:$Y$959,5,0)</f>
        <v>Metals &amp; Minerals</v>
      </c>
      <c r="AB1173" s="24" t="str">
        <f>VLOOKUP(A1173,Metrik!$C$2:$Y$959,3,0)</f>
        <v>Basic Materials</v>
      </c>
    </row>
    <row r="1174">
      <c r="A1174" s="14" t="s">
        <v>622</v>
      </c>
      <c r="B1174" s="14" t="str">
        <f t="array" ref="B1174">VLOOKUP(A1174,{Metrik!$C$2:$C$998,Metrik!$B$2:$B$998},2,0)</f>
        <v>Merdeka Copper Gold Tbk.</v>
      </c>
      <c r="C1174" s="15">
        <f>IFERROR(__xludf.DUMMYFUNCTION("GOOGLEFINANCE(""IDX:""&amp;A1174,""price"")"),2540.0)</f>
        <v>2540</v>
      </c>
      <c r="D1174" s="16" t="str">
        <f>IFERROR(__xludf.DUMMYFUNCTION("IF(A1174="""","""",
SPARKLINE(
INDEX(
GOOGLEFINANCE(""IDX:""&amp;A1174,""close"",TODAY()-365,TODAY()),
,2
),
{""linewidth"",1}
))
"),"#N/A")</f>
        <v>#N/A</v>
      </c>
      <c r="E1174" s="14" t="s">
        <v>31</v>
      </c>
      <c r="F1174" s="17" t="s">
        <v>29</v>
      </c>
      <c r="G1174" s="24">
        <f t="shared" si="8"/>
        <v>11</v>
      </c>
      <c r="H1174" s="19">
        <f>VLOOKUP(A1174,Metrik!$C$2:$Y$959,8,0)</f>
        <v>-60.9</v>
      </c>
      <c r="I1174" s="20">
        <f>VLOOKUP(A1174,Metrik!$C$2:$Y$959,9,0)</f>
        <v>1.3</v>
      </c>
      <c r="J1174" s="20">
        <f>VLOOKUP(A1174,Metrik!$C$2:$Y$959,10,0)</f>
        <v>-2.1</v>
      </c>
      <c r="K1174" s="20">
        <f>VLOOKUP(A1174,Metrik!$C$2:$Y$959,11,0)</f>
        <v>-1.1</v>
      </c>
      <c r="L1174" s="20">
        <f>VLOOKUP(A1174,Metrik!$C$2:$Y$959,12,0)</f>
        <v>0.95</v>
      </c>
      <c r="M1174" s="20">
        <f>VLOOKUP(A1174,Metrik!$C$2:$Y$959,19,0)</f>
        <v>-3.3</v>
      </c>
      <c r="N1174" s="21"/>
      <c r="O1174" s="21"/>
      <c r="P1174" s="21"/>
      <c r="Q1174" s="21"/>
      <c r="R1174" s="21"/>
      <c r="S1174" s="21"/>
      <c r="T1174" s="21"/>
      <c r="U1174" s="22">
        <f>IFERROR(__xludf.DUMMYFUNCTION("IFERROR(GOOGLEFINANCE(A1174,""closeyest""),"""")"),2470.0)</f>
        <v>2470</v>
      </c>
      <c r="V1174" s="23" t="str">
        <f>IFERROR(__xludf.DUMMYFUNCTION("IFERROR(GOOGLEFINANCE(A1174,""changepct""),"""")"),"")</f>
        <v/>
      </c>
      <c r="W1174" s="22">
        <f>IFERROR(__xludf.DUMMYFUNCTION("IFERROR(GOOGLEFINANCE(A1174,""priceopen""),"""")"),2520.0)</f>
        <v>2520</v>
      </c>
      <c r="X1174" s="22" t="str">
        <f>IFERROR(__xludf.DUMMYFUNCTION("IFERROR(GOOGLEFINANCE(A1174,""high""),"""")"),"")</f>
        <v/>
      </c>
      <c r="Y1174" s="22">
        <f>IFERROR(__xludf.DUMMYFUNCTION("IFERROR(GOOGLEFINANCE(A1174,""low""),"""")"),2520.0)</f>
        <v>2520</v>
      </c>
      <c r="Z1174" s="22" t="str">
        <f>IFERROR(__xludf.DUMMYFUNCTION("IFERROR(GOOGLEFINANCE(A1174,""volume""),"""")"),"")</f>
        <v/>
      </c>
      <c r="AA1174" s="24" t="str">
        <f>VLOOKUP(A1174,Metrik!$C$2:$Y$959,5,0)</f>
        <v>Metals &amp; Minerals</v>
      </c>
      <c r="AB1174" s="24" t="str">
        <f>VLOOKUP(A1174,Metrik!$C$2:$Y$959,3,0)</f>
        <v>Basic Materials</v>
      </c>
    </row>
    <row r="1175">
      <c r="A1175" s="14" t="s">
        <v>622</v>
      </c>
      <c r="B1175" s="14" t="str">
        <f t="array" ref="B1175">VLOOKUP(A1175,{Metrik!$C$2:$C$998,Metrik!$B$2:$B$998},2,0)</f>
        <v>Merdeka Copper Gold Tbk.</v>
      </c>
      <c r="C1175" s="15">
        <f>IFERROR(__xludf.DUMMYFUNCTION("GOOGLEFINANCE(""IDX:""&amp;A1175,""price"")"),2540.0)</f>
        <v>2540</v>
      </c>
      <c r="D1175" s="16" t="str">
        <f>IFERROR(__xludf.DUMMYFUNCTION("IF(A1175="""","""",
SPARKLINE(
INDEX(
GOOGLEFINANCE(""IDX:""&amp;A1175,""close"",TODAY()-365,TODAY()),
,2
),
{""linewidth"",1}
))
"),"#N/A")</f>
        <v>#N/A</v>
      </c>
      <c r="E1175" s="14" t="s">
        <v>28</v>
      </c>
      <c r="F1175" s="17" t="s">
        <v>29</v>
      </c>
      <c r="G1175" s="24">
        <f t="shared" si="8"/>
        <v>11</v>
      </c>
      <c r="H1175" s="19">
        <f>VLOOKUP(A1175,Metrik!$C$2:$Y$959,8,0)</f>
        <v>-60.9</v>
      </c>
      <c r="I1175" s="20">
        <f>VLOOKUP(A1175,Metrik!$C$2:$Y$959,9,0)</f>
        <v>1.3</v>
      </c>
      <c r="J1175" s="20">
        <f>VLOOKUP(A1175,Metrik!$C$2:$Y$959,10,0)</f>
        <v>-2.1</v>
      </c>
      <c r="K1175" s="20">
        <f>VLOOKUP(A1175,Metrik!$C$2:$Y$959,11,0)</f>
        <v>-1.1</v>
      </c>
      <c r="L1175" s="20">
        <f>VLOOKUP(A1175,Metrik!$C$2:$Y$959,12,0)</f>
        <v>0.95</v>
      </c>
      <c r="M1175" s="20">
        <f>VLOOKUP(A1175,Metrik!$C$2:$Y$959,19,0)</f>
        <v>-3.3</v>
      </c>
      <c r="N1175" s="21"/>
      <c r="O1175" s="21"/>
      <c r="P1175" s="21"/>
      <c r="Q1175" s="21"/>
      <c r="R1175" s="21"/>
      <c r="S1175" s="21"/>
      <c r="T1175" s="21"/>
      <c r="U1175" s="22">
        <f>IFERROR(__xludf.DUMMYFUNCTION("IFERROR(GOOGLEFINANCE(A1175,""closeyest""),"""")"),2470.0)</f>
        <v>2470</v>
      </c>
      <c r="V1175" s="23" t="str">
        <f>IFERROR(__xludf.DUMMYFUNCTION("IFERROR(GOOGLEFINANCE(A1175,""changepct""),"""")"),"")</f>
        <v/>
      </c>
      <c r="W1175" s="22">
        <f>IFERROR(__xludf.DUMMYFUNCTION("IFERROR(GOOGLEFINANCE(A1175,""priceopen""),"""")"),2520.0)</f>
        <v>2520</v>
      </c>
      <c r="X1175" s="22" t="str">
        <f>IFERROR(__xludf.DUMMYFUNCTION("IFERROR(GOOGLEFINANCE(A1175,""high""),"""")"),"")</f>
        <v/>
      </c>
      <c r="Y1175" s="22">
        <f>IFERROR(__xludf.DUMMYFUNCTION("IFERROR(GOOGLEFINANCE(A1175,""low""),"""")"),2520.0)</f>
        <v>2520</v>
      </c>
      <c r="Z1175" s="22" t="str">
        <f>IFERROR(__xludf.DUMMYFUNCTION("IFERROR(GOOGLEFINANCE(A1175,""volume""),"""")"),"")</f>
        <v/>
      </c>
      <c r="AA1175" s="24" t="str">
        <f>VLOOKUP(A1175,Metrik!$C$2:$Y$959,5,0)</f>
        <v>Metals &amp; Minerals</v>
      </c>
      <c r="AB1175" s="24" t="str">
        <f>VLOOKUP(A1175,Metrik!$C$2:$Y$959,3,0)</f>
        <v>Basic Materials</v>
      </c>
    </row>
    <row r="1176">
      <c r="A1176" s="14" t="s">
        <v>622</v>
      </c>
      <c r="B1176" s="14" t="str">
        <f t="array" ref="B1176">VLOOKUP(A1176,{Metrik!$C$2:$C$998,Metrik!$B$2:$B$998},2,0)</f>
        <v>Merdeka Copper Gold Tbk.</v>
      </c>
      <c r="C1176" s="15">
        <f>IFERROR(__xludf.DUMMYFUNCTION("GOOGLEFINANCE(""IDX:""&amp;A1176,""price"")"),2540.0)</f>
        <v>2540</v>
      </c>
      <c r="D1176" s="16" t="str">
        <f>IFERROR(__xludf.DUMMYFUNCTION("IF(A1176="""","""",
SPARKLINE(
INDEX(
GOOGLEFINANCE(""IDX:""&amp;A1176,""close"",TODAY()-365,TODAY()),
,2
),
{""linewidth"",1}
))
"),"#N/A")</f>
        <v>#N/A</v>
      </c>
      <c r="E1176" s="14" t="s">
        <v>84</v>
      </c>
      <c r="F1176" s="17" t="s">
        <v>51</v>
      </c>
      <c r="G1176" s="24">
        <f t="shared" si="8"/>
        <v>11</v>
      </c>
      <c r="H1176" s="19">
        <f>VLOOKUP(A1176,Metrik!$C$2:$Y$959,8,0)</f>
        <v>-60.9</v>
      </c>
      <c r="I1176" s="20">
        <f>VLOOKUP(A1176,Metrik!$C$2:$Y$959,9,0)</f>
        <v>1.3</v>
      </c>
      <c r="J1176" s="20">
        <f>VLOOKUP(A1176,Metrik!$C$2:$Y$959,10,0)</f>
        <v>-2.1</v>
      </c>
      <c r="K1176" s="20">
        <f>VLOOKUP(A1176,Metrik!$C$2:$Y$959,11,0)</f>
        <v>-1.1</v>
      </c>
      <c r="L1176" s="20">
        <f>VLOOKUP(A1176,Metrik!$C$2:$Y$959,12,0)</f>
        <v>0.95</v>
      </c>
      <c r="M1176" s="20">
        <f>VLOOKUP(A1176,Metrik!$C$2:$Y$959,19,0)</f>
        <v>-3.3</v>
      </c>
      <c r="N1176" s="21"/>
      <c r="O1176" s="21"/>
      <c r="P1176" s="21"/>
      <c r="Q1176" s="21"/>
      <c r="R1176" s="21"/>
      <c r="S1176" s="21"/>
      <c r="T1176" s="21"/>
      <c r="U1176" s="22">
        <f>IFERROR(__xludf.DUMMYFUNCTION("IFERROR(GOOGLEFINANCE(A1176,""closeyest""),"""")"),2470.0)</f>
        <v>2470</v>
      </c>
      <c r="V1176" s="23" t="str">
        <f>IFERROR(__xludf.DUMMYFUNCTION("IFERROR(GOOGLEFINANCE(A1176,""changepct""),"""")"),"")</f>
        <v/>
      </c>
      <c r="W1176" s="22">
        <f>IFERROR(__xludf.DUMMYFUNCTION("IFERROR(GOOGLEFINANCE(A1176,""priceopen""),"""")"),2520.0)</f>
        <v>2520</v>
      </c>
      <c r="X1176" s="22" t="str">
        <f>IFERROR(__xludf.DUMMYFUNCTION("IFERROR(GOOGLEFINANCE(A1176,""high""),"""")"),"")</f>
        <v/>
      </c>
      <c r="Y1176" s="22">
        <f>IFERROR(__xludf.DUMMYFUNCTION("IFERROR(GOOGLEFINANCE(A1176,""low""),"""")"),2520.0)</f>
        <v>2520</v>
      </c>
      <c r="Z1176" s="22" t="str">
        <f>IFERROR(__xludf.DUMMYFUNCTION("IFERROR(GOOGLEFINANCE(A1176,""volume""),"""")"),"")</f>
        <v/>
      </c>
      <c r="AA1176" s="24" t="str">
        <f>VLOOKUP(A1176,Metrik!$C$2:$Y$959,5,0)</f>
        <v>Metals &amp; Minerals</v>
      </c>
      <c r="AB1176" s="24" t="str">
        <f>VLOOKUP(A1176,Metrik!$C$2:$Y$959,3,0)</f>
        <v>Basic Materials</v>
      </c>
    </row>
    <row r="1177">
      <c r="A1177" s="14" t="s">
        <v>622</v>
      </c>
      <c r="B1177" s="14" t="str">
        <f t="array" ref="B1177">VLOOKUP(A1177,{Metrik!$C$2:$C$998,Metrik!$B$2:$B$998},2,0)</f>
        <v>Merdeka Copper Gold Tbk.</v>
      </c>
      <c r="C1177" s="15">
        <f>IFERROR(__xludf.DUMMYFUNCTION("GOOGLEFINANCE(""IDX:""&amp;A1177,""price"")"),2540.0)</f>
        <v>2540</v>
      </c>
      <c r="D1177" s="16" t="str">
        <f>IFERROR(__xludf.DUMMYFUNCTION("IF(A1177="""","""",
SPARKLINE(
INDEX(
GOOGLEFINANCE(""IDX:""&amp;A1177,""close"",TODAY()-365,TODAY()),
,2
),
{""linewidth"",1}
))
"),"#N/A")</f>
        <v>#N/A</v>
      </c>
      <c r="E1177" s="14" t="s">
        <v>32</v>
      </c>
      <c r="F1177" s="14" t="s">
        <v>29</v>
      </c>
      <c r="G1177" s="24">
        <f t="shared" si="8"/>
        <v>11</v>
      </c>
      <c r="H1177" s="19">
        <f>VLOOKUP(A1177,Metrik!$C$2:$Y$959,8,0)</f>
        <v>-60.9</v>
      </c>
      <c r="I1177" s="20">
        <f>VLOOKUP(A1177,Metrik!$C$2:$Y$959,9,0)</f>
        <v>1.3</v>
      </c>
      <c r="J1177" s="20">
        <f>VLOOKUP(A1177,Metrik!$C$2:$Y$959,10,0)</f>
        <v>-2.1</v>
      </c>
      <c r="K1177" s="20">
        <f>VLOOKUP(A1177,Metrik!$C$2:$Y$959,11,0)</f>
        <v>-1.1</v>
      </c>
      <c r="L1177" s="20">
        <f>VLOOKUP(A1177,Metrik!$C$2:$Y$959,12,0)</f>
        <v>0.95</v>
      </c>
      <c r="M1177" s="20">
        <f>VLOOKUP(A1177,Metrik!$C$2:$Y$959,19,0)</f>
        <v>-3.3</v>
      </c>
      <c r="N1177" s="21"/>
      <c r="O1177" s="21"/>
      <c r="P1177" s="21"/>
      <c r="Q1177" s="21"/>
      <c r="R1177" s="21"/>
      <c r="S1177" s="21"/>
      <c r="T1177" s="21"/>
      <c r="U1177" s="22">
        <f>IFERROR(__xludf.DUMMYFUNCTION("IFERROR(GOOGLEFINANCE(A1177,""closeyest""),"""")"),2470.0)</f>
        <v>2470</v>
      </c>
      <c r="V1177" s="23" t="str">
        <f>IFERROR(__xludf.DUMMYFUNCTION("IFERROR(GOOGLEFINANCE(A1177,""changepct""),"""")"),"")</f>
        <v/>
      </c>
      <c r="W1177" s="22">
        <f>IFERROR(__xludf.DUMMYFUNCTION("IFERROR(GOOGLEFINANCE(A1177,""priceopen""),"""")"),2520.0)</f>
        <v>2520</v>
      </c>
      <c r="X1177" s="22" t="str">
        <f>IFERROR(__xludf.DUMMYFUNCTION("IFERROR(GOOGLEFINANCE(A1177,""high""),"""")"),"")</f>
        <v/>
      </c>
      <c r="Y1177" s="22">
        <f>IFERROR(__xludf.DUMMYFUNCTION("IFERROR(GOOGLEFINANCE(A1177,""low""),"""")"),2520.0)</f>
        <v>2520</v>
      </c>
      <c r="Z1177" s="22" t="str">
        <f>IFERROR(__xludf.DUMMYFUNCTION("IFERROR(GOOGLEFINANCE(A1177,""volume""),"""")"),"")</f>
        <v/>
      </c>
      <c r="AA1177" s="24" t="str">
        <f>VLOOKUP(A1177,Metrik!$C$2:$Y$959,5,0)</f>
        <v>Metals &amp; Minerals</v>
      </c>
      <c r="AB1177" s="24" t="str">
        <f>VLOOKUP(A1177,Metrik!$C$2:$Y$959,3,0)</f>
        <v>Basic Materials</v>
      </c>
    </row>
    <row r="1178">
      <c r="A1178" s="14" t="s">
        <v>622</v>
      </c>
      <c r="B1178" s="14" t="str">
        <f t="array" ref="B1178">VLOOKUP(A1178,{Metrik!$C$2:$C$998,Metrik!$B$2:$B$998},2,0)</f>
        <v>Merdeka Copper Gold Tbk.</v>
      </c>
      <c r="C1178" s="15">
        <f>IFERROR(__xludf.DUMMYFUNCTION("GOOGLEFINANCE(""IDX:""&amp;A1178,""price"")"),2540.0)</f>
        <v>2540</v>
      </c>
      <c r="D1178" s="16" t="str">
        <f>IFERROR(__xludf.DUMMYFUNCTION("IF(A1178="""","""",
SPARKLINE(
INDEX(
GOOGLEFINANCE(""IDX:""&amp;A1178,""close"",TODAY()-365,TODAY()),
,2
),
{""linewidth"",1}
))
"),"#N/A")</f>
        <v>#N/A</v>
      </c>
      <c r="E1178" s="14" t="s">
        <v>30</v>
      </c>
      <c r="F1178" s="17" t="s">
        <v>29</v>
      </c>
      <c r="G1178" s="24">
        <f t="shared" si="8"/>
        <v>11</v>
      </c>
      <c r="H1178" s="19">
        <f>VLOOKUP(A1178,Metrik!$C$2:$Y$959,8,0)</f>
        <v>-60.9</v>
      </c>
      <c r="I1178" s="20">
        <f>VLOOKUP(A1178,Metrik!$C$2:$Y$959,9,0)</f>
        <v>1.3</v>
      </c>
      <c r="J1178" s="20">
        <f>VLOOKUP(A1178,Metrik!$C$2:$Y$959,10,0)</f>
        <v>-2.1</v>
      </c>
      <c r="K1178" s="20">
        <f>VLOOKUP(A1178,Metrik!$C$2:$Y$959,11,0)</f>
        <v>-1.1</v>
      </c>
      <c r="L1178" s="20">
        <f>VLOOKUP(A1178,Metrik!$C$2:$Y$959,12,0)</f>
        <v>0.95</v>
      </c>
      <c r="M1178" s="20">
        <f>VLOOKUP(A1178,Metrik!$C$2:$Y$959,19,0)</f>
        <v>-3.3</v>
      </c>
      <c r="N1178" s="21"/>
      <c r="O1178" s="21"/>
      <c r="P1178" s="21"/>
      <c r="Q1178" s="21"/>
      <c r="R1178" s="21"/>
      <c r="S1178" s="21"/>
      <c r="T1178" s="21"/>
      <c r="U1178" s="22">
        <f>IFERROR(__xludf.DUMMYFUNCTION("IFERROR(GOOGLEFINANCE(A1178,""closeyest""),"""")"),2470.0)</f>
        <v>2470</v>
      </c>
      <c r="V1178" s="23" t="str">
        <f>IFERROR(__xludf.DUMMYFUNCTION("IFERROR(GOOGLEFINANCE(A1178,""changepct""),"""")"),"")</f>
        <v/>
      </c>
      <c r="W1178" s="22">
        <f>IFERROR(__xludf.DUMMYFUNCTION("IFERROR(GOOGLEFINANCE(A1178,""priceopen""),"""")"),2520.0)</f>
        <v>2520</v>
      </c>
      <c r="X1178" s="22" t="str">
        <f>IFERROR(__xludf.DUMMYFUNCTION("IFERROR(GOOGLEFINANCE(A1178,""high""),"""")"),"")</f>
        <v/>
      </c>
      <c r="Y1178" s="22">
        <f>IFERROR(__xludf.DUMMYFUNCTION("IFERROR(GOOGLEFINANCE(A1178,""low""),"""")"),2520.0)</f>
        <v>2520</v>
      </c>
      <c r="Z1178" s="22" t="str">
        <f>IFERROR(__xludf.DUMMYFUNCTION("IFERROR(GOOGLEFINANCE(A1178,""volume""),"""")"),"")</f>
        <v/>
      </c>
      <c r="AA1178" s="24" t="str">
        <f>VLOOKUP(A1178,Metrik!$C$2:$Y$959,5,0)</f>
        <v>Metals &amp; Minerals</v>
      </c>
      <c r="AB1178" s="24" t="str">
        <f>VLOOKUP(A1178,Metrik!$C$2:$Y$959,3,0)</f>
        <v>Basic Materials</v>
      </c>
    </row>
    <row r="1179">
      <c r="A1179" s="14" t="s">
        <v>622</v>
      </c>
      <c r="B1179" s="14" t="str">
        <f t="array" ref="B1179">VLOOKUP(A1179,{Metrik!$C$2:$C$998,Metrik!$B$2:$B$998},2,0)</f>
        <v>Merdeka Copper Gold Tbk.</v>
      </c>
      <c r="C1179" s="15">
        <f>IFERROR(__xludf.DUMMYFUNCTION("GOOGLEFINANCE(""IDX:""&amp;A1179,""price"")"),2540.0)</f>
        <v>2540</v>
      </c>
      <c r="D1179" s="16" t="str">
        <f>IFERROR(__xludf.DUMMYFUNCTION("IF(A1179="""","""",
SPARKLINE(
INDEX(
GOOGLEFINANCE(""IDX:""&amp;A1179,""close"",TODAY()-365,TODAY()),
,2
),
{""linewidth"",1}
))
"),"#N/A")</f>
        <v>#N/A</v>
      </c>
      <c r="E1179" s="14" t="s">
        <v>52</v>
      </c>
      <c r="F1179" s="27" t="s">
        <v>53</v>
      </c>
      <c r="G1179" s="24">
        <f t="shared" si="8"/>
        <v>11</v>
      </c>
      <c r="H1179" s="19">
        <f>VLOOKUP(A1179,Metrik!$C$2:$Y$959,8,0)</f>
        <v>-60.9</v>
      </c>
      <c r="I1179" s="20">
        <f>VLOOKUP(A1179,Metrik!$C$2:$Y$959,9,0)</f>
        <v>1.3</v>
      </c>
      <c r="J1179" s="20">
        <f>VLOOKUP(A1179,Metrik!$C$2:$Y$959,10,0)</f>
        <v>-2.1</v>
      </c>
      <c r="K1179" s="20">
        <f>VLOOKUP(A1179,Metrik!$C$2:$Y$959,11,0)</f>
        <v>-1.1</v>
      </c>
      <c r="L1179" s="20">
        <f>VLOOKUP(A1179,Metrik!$C$2:$Y$959,12,0)</f>
        <v>0.95</v>
      </c>
      <c r="M1179" s="20">
        <f>VLOOKUP(A1179,Metrik!$C$2:$Y$959,19,0)</f>
        <v>-3.3</v>
      </c>
      <c r="N1179" s="21"/>
      <c r="O1179" s="21"/>
      <c r="P1179" s="21"/>
      <c r="Q1179" s="21"/>
      <c r="R1179" s="21"/>
      <c r="S1179" s="21"/>
      <c r="T1179" s="21"/>
      <c r="U1179" s="22">
        <f>IFERROR(__xludf.DUMMYFUNCTION("IFERROR(GOOGLEFINANCE(A1179,""closeyest""),"""")"),2470.0)</f>
        <v>2470</v>
      </c>
      <c r="V1179" s="23" t="str">
        <f>IFERROR(__xludf.DUMMYFUNCTION("IFERROR(GOOGLEFINANCE(A1179,""changepct""),"""")"),"")</f>
        <v/>
      </c>
      <c r="W1179" s="22">
        <f>IFERROR(__xludf.DUMMYFUNCTION("IFERROR(GOOGLEFINANCE(A1179,""priceopen""),"""")"),2520.0)</f>
        <v>2520</v>
      </c>
      <c r="X1179" s="22" t="str">
        <f>IFERROR(__xludf.DUMMYFUNCTION("IFERROR(GOOGLEFINANCE(A1179,""high""),"""")"),"")</f>
        <v/>
      </c>
      <c r="Y1179" s="22">
        <f>IFERROR(__xludf.DUMMYFUNCTION("IFERROR(GOOGLEFINANCE(A1179,""low""),"""")"),2520.0)</f>
        <v>2520</v>
      </c>
      <c r="Z1179" s="22" t="str">
        <f>IFERROR(__xludf.DUMMYFUNCTION("IFERROR(GOOGLEFINANCE(A1179,""volume""),"""")"),"")</f>
        <v/>
      </c>
      <c r="AA1179" s="24" t="str">
        <f>VLOOKUP(A1179,Metrik!$C$2:$Y$959,5,0)</f>
        <v>Metals &amp; Minerals</v>
      </c>
      <c r="AB1179" s="24" t="str">
        <f>VLOOKUP(A1179,Metrik!$C$2:$Y$959,3,0)</f>
        <v>Basic Materials</v>
      </c>
    </row>
    <row r="1180">
      <c r="A1180" s="48" t="s">
        <v>622</v>
      </c>
      <c r="B1180" s="14" t="str">
        <f t="array" ref="B1180">VLOOKUP(A1180,{Metrik!$C$2:$C$998,Metrik!$B$2:$B$998},2,0)</f>
        <v>Merdeka Copper Gold Tbk.</v>
      </c>
      <c r="C1180" s="15">
        <f>IFERROR(__xludf.DUMMYFUNCTION("GOOGLEFINANCE(""IDX:""&amp;A1180,""price"")"),2540.0)</f>
        <v>2540</v>
      </c>
      <c r="D1180" s="16" t="str">
        <f>IFERROR(__xludf.DUMMYFUNCTION("IF(A1180="""","""",
SPARKLINE(
INDEX(
GOOGLEFINANCE(""IDX:""&amp;A1180,""close"",TODAY()-365,TODAY()),
,2
),
{""linewidth"",1}
))
"),"#N/A")</f>
        <v>#N/A</v>
      </c>
      <c r="E1180" s="17" t="s">
        <v>69</v>
      </c>
      <c r="F1180" s="17" t="s">
        <v>70</v>
      </c>
      <c r="G1180" s="24">
        <f t="shared" si="8"/>
        <v>11</v>
      </c>
      <c r="H1180" s="19">
        <f>VLOOKUP(A1180,Metrik!$C$2:$Y$959,8,0)</f>
        <v>-60.9</v>
      </c>
      <c r="I1180" s="20">
        <f>VLOOKUP(A1180,Metrik!$C$2:$Y$959,9,0)</f>
        <v>1.3</v>
      </c>
      <c r="J1180" s="20">
        <f>VLOOKUP(A1180,Metrik!$C$2:$Y$959,10,0)</f>
        <v>-2.1</v>
      </c>
      <c r="K1180" s="20">
        <f>VLOOKUP(A1180,Metrik!$C$2:$Y$959,11,0)</f>
        <v>-1.1</v>
      </c>
      <c r="L1180" s="20">
        <f>VLOOKUP(A1180,Metrik!$C$2:$Y$959,12,0)</f>
        <v>0.95</v>
      </c>
      <c r="M1180" s="20">
        <f>VLOOKUP(A1180,Metrik!$C$2:$Y$959,19,0)</f>
        <v>-3.3</v>
      </c>
      <c r="N1180" s="21"/>
      <c r="O1180" s="21"/>
      <c r="P1180" s="21"/>
      <c r="Q1180" s="21"/>
      <c r="R1180" s="21"/>
      <c r="S1180" s="21"/>
      <c r="T1180" s="21"/>
      <c r="U1180" s="22">
        <f>IFERROR(__xludf.DUMMYFUNCTION("IFERROR(GOOGLEFINANCE(A1180,""closeyest""),"""")"),2470.0)</f>
        <v>2470</v>
      </c>
      <c r="V1180" s="23" t="str">
        <f>IFERROR(__xludf.DUMMYFUNCTION("IFERROR(GOOGLEFINANCE(A1180,""changepct""),"""")"),"")</f>
        <v/>
      </c>
      <c r="W1180" s="22">
        <f>IFERROR(__xludf.DUMMYFUNCTION("IFERROR(GOOGLEFINANCE(A1180,""priceopen""),"""")"),2520.0)</f>
        <v>2520</v>
      </c>
      <c r="X1180" s="22" t="str">
        <f>IFERROR(__xludf.DUMMYFUNCTION("IFERROR(GOOGLEFINANCE(A1180,""high""),"""")"),"")</f>
        <v/>
      </c>
      <c r="Y1180" s="22">
        <f>IFERROR(__xludf.DUMMYFUNCTION("IFERROR(GOOGLEFINANCE(A1180,""low""),"""")"),2520.0)</f>
        <v>2520</v>
      </c>
      <c r="Z1180" s="22" t="str">
        <f>IFERROR(__xludf.DUMMYFUNCTION("IFERROR(GOOGLEFINANCE(A1180,""volume""),"""")"),"")</f>
        <v/>
      </c>
      <c r="AA1180" s="24" t="str">
        <f>VLOOKUP(A1180,Metrik!$C$2:$Y$959,5,0)</f>
        <v>Metals &amp; Minerals</v>
      </c>
      <c r="AB1180" s="24" t="str">
        <f>VLOOKUP(A1180,Metrik!$C$2:$Y$959,3,0)</f>
        <v>Basic Materials</v>
      </c>
    </row>
    <row r="1181">
      <c r="A1181" s="17" t="s">
        <v>622</v>
      </c>
      <c r="B1181" s="14" t="str">
        <f t="array" ref="B1181">VLOOKUP(A1181,{Metrik!$C$2:$C$998,Metrik!$B$2:$B$998},2,0)</f>
        <v>Merdeka Copper Gold Tbk.</v>
      </c>
      <c r="C1181" s="15">
        <f>IFERROR(__xludf.DUMMYFUNCTION("GOOGLEFINANCE(""IDX:""&amp;A1181,""price"")"),2540.0)</f>
        <v>2540</v>
      </c>
      <c r="D1181" s="16" t="str">
        <f>IFERROR(__xludf.DUMMYFUNCTION("IF(A1181="""","""",
SPARKLINE(
INDEX(
GOOGLEFINANCE(""IDX:""&amp;A1181,""close"",TODAY()-365,TODAY()),
,2
),
{""linewidth"",1}
))
"),"#N/A")</f>
        <v>#N/A</v>
      </c>
      <c r="E1181" s="14" t="s">
        <v>35</v>
      </c>
      <c r="F1181" s="17" t="s">
        <v>36</v>
      </c>
      <c r="G1181" s="38">
        <f t="shared" si="8"/>
        <v>11</v>
      </c>
      <c r="H1181" s="34">
        <f>VLOOKUP(A1181,Metrik!$C$2:$Y$959,8,0)</f>
        <v>-60.9</v>
      </c>
      <c r="I1181" s="34">
        <f>VLOOKUP(A1181,Metrik!$C$2:$Y$959,9,0)</f>
        <v>1.3</v>
      </c>
      <c r="J1181" s="34">
        <f>VLOOKUP(A1181,Metrik!$C$2:$Y$959,10,0)</f>
        <v>-2.1</v>
      </c>
      <c r="K1181" s="34">
        <f>VLOOKUP(A1181,Metrik!$C$2:$Y$959,11,0)</f>
        <v>-1.1</v>
      </c>
      <c r="L1181" s="34">
        <f>VLOOKUP(A1181,Metrik!$C$2:$Y$959,12,0)</f>
        <v>0.95</v>
      </c>
      <c r="M1181" s="34">
        <f>VLOOKUP(A1181,Metrik!$C$2:$Y$959,19,0)</f>
        <v>-3.3</v>
      </c>
      <c r="N1181" s="26"/>
      <c r="O1181" s="26"/>
      <c r="P1181" s="26"/>
      <c r="Q1181" s="26"/>
      <c r="R1181" s="26"/>
      <c r="S1181" s="26"/>
      <c r="T1181" s="26"/>
      <c r="U1181" s="35">
        <f>IFERROR(__xludf.DUMMYFUNCTION("IFERROR(GOOGLEFINANCE(A1181,""closeyest""),"""")"),2470.0)</f>
        <v>2470</v>
      </c>
      <c r="V1181" s="36" t="str">
        <f>IFERROR(__xludf.DUMMYFUNCTION("IFERROR(GOOGLEFINANCE(A1181,""changepct""),"""")"),"")</f>
        <v/>
      </c>
      <c r="W1181" s="35">
        <f>IFERROR(__xludf.DUMMYFUNCTION("IFERROR(GOOGLEFINANCE(A1181,""priceopen""),"""")"),2520.0)</f>
        <v>2520</v>
      </c>
      <c r="X1181" s="35" t="str">
        <f>IFERROR(__xludf.DUMMYFUNCTION("IFERROR(GOOGLEFINANCE(A1181,""high""),"""")"),"")</f>
        <v/>
      </c>
      <c r="Y1181" s="35">
        <f>IFERROR(__xludf.DUMMYFUNCTION("IFERROR(GOOGLEFINANCE(A1181,""low""),"""")"),2520.0)</f>
        <v>2520</v>
      </c>
      <c r="Z1181" s="35" t="str">
        <f>IFERROR(__xludf.DUMMYFUNCTION("IFERROR(GOOGLEFINANCE(A1181,""volume""),"""")"),"")</f>
        <v/>
      </c>
      <c r="AA1181" s="14" t="str">
        <f>VLOOKUP(A1181,Metrik!$C$2:$Y$959,5,0)</f>
        <v>Metals &amp; Minerals</v>
      </c>
      <c r="AB1181" s="14" t="str">
        <f>VLOOKUP(A1181,Metrik!$C$2:$Y$959,3,0)</f>
        <v>Basic Materials</v>
      </c>
    </row>
    <row r="1182">
      <c r="A1182" s="14" t="s">
        <v>622</v>
      </c>
      <c r="B1182" s="14" t="str">
        <f t="array" ref="B1182">VLOOKUP(A1182,{Metrik!$C$2:$C$998,Metrik!$B$2:$B$998},2,0)</f>
        <v>Merdeka Copper Gold Tbk.</v>
      </c>
      <c r="C1182" s="15">
        <f>IFERROR(__xludf.DUMMYFUNCTION("GOOGLEFINANCE(""IDX:""&amp;A1182,""price"")"),2540.0)</f>
        <v>2540</v>
      </c>
      <c r="D1182" s="16" t="str">
        <f>IFERROR(__xludf.DUMMYFUNCTION("IF(A1182="""","""",
SPARKLINE(
INDEX(
GOOGLEFINANCE(""IDX:""&amp;A1182,""close"",TODAY()-365,TODAY()),
,2
),
{""linewidth"",1}
))
"),"#N/A")</f>
        <v>#N/A</v>
      </c>
      <c r="E1182" s="14" t="s">
        <v>39</v>
      </c>
      <c r="F1182" s="25">
        <v>46356.0</v>
      </c>
      <c r="G1182" s="24">
        <f t="shared" si="8"/>
        <v>11</v>
      </c>
      <c r="H1182" s="19">
        <f>VLOOKUP(A1182,Metrik!$C$2:$Y$959,8,0)</f>
        <v>-60.9</v>
      </c>
      <c r="I1182" s="20">
        <f>VLOOKUP(A1182,Metrik!$C$2:$Y$959,9,0)</f>
        <v>1.3</v>
      </c>
      <c r="J1182" s="20">
        <f>VLOOKUP(A1182,Metrik!$C$2:$Y$959,10,0)</f>
        <v>-2.1</v>
      </c>
      <c r="K1182" s="20">
        <f>VLOOKUP(A1182,Metrik!$C$2:$Y$959,11,0)</f>
        <v>-1.1</v>
      </c>
      <c r="L1182" s="20">
        <f>VLOOKUP(A1182,Metrik!$C$2:$Y$959,12,0)</f>
        <v>0.95</v>
      </c>
      <c r="M1182" s="20">
        <f>VLOOKUP(A1182,Metrik!$C$2:$Y$959,19,0)</f>
        <v>-3.3</v>
      </c>
      <c r="N1182" s="21"/>
      <c r="O1182" s="21"/>
      <c r="P1182" s="21"/>
      <c r="Q1182" s="21"/>
      <c r="R1182" s="21"/>
      <c r="S1182" s="21"/>
      <c r="T1182" s="21"/>
      <c r="U1182" s="22">
        <f>IFERROR(__xludf.DUMMYFUNCTION("IFERROR(GOOGLEFINANCE(A1182,""closeyest""),"""")"),2470.0)</f>
        <v>2470</v>
      </c>
      <c r="V1182" s="23" t="str">
        <f>IFERROR(__xludf.DUMMYFUNCTION("IFERROR(GOOGLEFINANCE(A1182,""changepct""),"""")"),"")</f>
        <v/>
      </c>
      <c r="W1182" s="22">
        <f>IFERROR(__xludf.DUMMYFUNCTION("IFERROR(GOOGLEFINANCE(A1182,""priceopen""),"""")"),2520.0)</f>
        <v>2520</v>
      </c>
      <c r="X1182" s="22" t="str">
        <f>IFERROR(__xludf.DUMMYFUNCTION("IFERROR(GOOGLEFINANCE(A1182,""high""),"""")"),"")</f>
        <v/>
      </c>
      <c r="Y1182" s="22">
        <f>IFERROR(__xludf.DUMMYFUNCTION("IFERROR(GOOGLEFINANCE(A1182,""low""),"""")"),2520.0)</f>
        <v>2520</v>
      </c>
      <c r="Z1182" s="22" t="str">
        <f>IFERROR(__xludf.DUMMYFUNCTION("IFERROR(GOOGLEFINANCE(A1182,""volume""),"""")"),"")</f>
        <v/>
      </c>
      <c r="AA1182" s="24" t="str">
        <f>VLOOKUP(A1182,Metrik!$C$2:$Y$959,5,0)</f>
        <v>Metals &amp; Minerals</v>
      </c>
      <c r="AB1182" s="24" t="str">
        <f>VLOOKUP(A1182,Metrik!$C$2:$Y$959,3,0)</f>
        <v>Basic Materials</v>
      </c>
    </row>
    <row r="1183">
      <c r="A1183" s="14" t="s">
        <v>623</v>
      </c>
      <c r="B1183" s="14" t="str">
        <f t="array" ref="B1183">VLOOKUP(A1183,{Metrik!$C$2:$C$998,Metrik!$B$2:$B$998},2,0)</f>
        <v>Emdeki Utama Tbk.</v>
      </c>
      <c r="C1183" s="15">
        <f>IFERROR(__xludf.DUMMYFUNCTION("GOOGLEFINANCE(""IDX:""&amp;A1183,""price"")"),178.0)</f>
        <v>178</v>
      </c>
      <c r="D1183" s="16" t="str">
        <f>IFERROR(__xludf.DUMMYFUNCTION("IF(A1183="""","""",
SPARKLINE(
INDEX(
GOOGLEFINANCE(""IDX:""&amp;A1183,""close"",TODAY()-365,TODAY()),
,2
),
{""linewidth"",1}
))
"),"#N/A")</f>
        <v>#N/A</v>
      </c>
      <c r="E1183" s="26"/>
      <c r="F1183" s="26"/>
      <c r="G1183" s="24">
        <f t="shared" si="8"/>
        <v>0</v>
      </c>
      <c r="H1183" s="19">
        <f>VLOOKUP(A1183,Metrik!$C$2:$Y$959,8,0)</f>
        <v>15.4</v>
      </c>
      <c r="I1183" s="20">
        <f>VLOOKUP(A1183,Metrik!$C$2:$Y$959,9,0)</f>
        <v>0.47</v>
      </c>
      <c r="J1183" s="20">
        <f>VLOOKUP(A1183,Metrik!$C$2:$Y$959,10,0)</f>
        <v>3.1</v>
      </c>
      <c r="K1183" s="20">
        <f>VLOOKUP(A1183,Metrik!$C$2:$Y$959,11,0)</f>
        <v>2.9</v>
      </c>
      <c r="L1183" s="20">
        <f>VLOOKUP(A1183,Metrik!$C$2:$Y$959,12,0)</f>
        <v>0.07</v>
      </c>
      <c r="M1183" s="20">
        <f>VLOOKUP(A1183,Metrik!$C$2:$Y$959,19,0)</f>
        <v>42.9</v>
      </c>
      <c r="N1183" s="21"/>
      <c r="O1183" s="21"/>
      <c r="P1183" s="21"/>
      <c r="Q1183" s="21"/>
      <c r="R1183" s="21"/>
      <c r="S1183" s="21"/>
      <c r="T1183" s="21"/>
      <c r="U1183" s="22">
        <f>IFERROR(__xludf.DUMMYFUNCTION("IFERROR(GOOGLEFINANCE(A1183,""closeyest""),"""")"),173.0)</f>
        <v>173</v>
      </c>
      <c r="V1183" s="23">
        <f>IFERROR(__xludf.DUMMYFUNCTION("IFERROR(GOOGLEFINANCE(A1183,""changepct""),"""")"),2.89)</f>
        <v>2.89</v>
      </c>
      <c r="W1183" s="22">
        <f>IFERROR(__xludf.DUMMYFUNCTION("IFERROR(GOOGLEFINANCE(A1183,""priceopen""),"""")"),171.0)</f>
        <v>171</v>
      </c>
      <c r="X1183" s="22">
        <f>IFERROR(__xludf.DUMMYFUNCTION("IFERROR(GOOGLEFINANCE(A1183,""high""),"""")"),178.0)</f>
        <v>178</v>
      </c>
      <c r="Y1183" s="22">
        <f>IFERROR(__xludf.DUMMYFUNCTION("IFERROR(GOOGLEFINANCE(A1183,""low""),"""")"),171.0)</f>
        <v>171</v>
      </c>
      <c r="Z1183" s="22">
        <f>IFERROR(__xludf.DUMMYFUNCTION("IFERROR(GOOGLEFINANCE(A1183,""volume""),"""")"),90200.0)</f>
        <v>90200</v>
      </c>
      <c r="AA1183" s="24" t="str">
        <f>VLOOKUP(A1183,Metrik!$C$2:$Y$959,5,0)</f>
        <v>Chemicals</v>
      </c>
      <c r="AB1183" s="24" t="str">
        <f>VLOOKUP(A1183,Metrik!$C$2:$Y$959,3,0)</f>
        <v>Basic Materials</v>
      </c>
    </row>
    <row r="1184">
      <c r="A1184" s="14" t="s">
        <v>624</v>
      </c>
      <c r="B1184" s="14" t="str">
        <f t="array" ref="B1184">VLOOKUP(A1184,{Metrik!$C$2:$C$998,Metrik!$B$2:$B$998},2,0)</f>
        <v>Medela Potentia Tbk.</v>
      </c>
      <c r="C1184" s="15">
        <f>IFERROR(__xludf.DUMMYFUNCTION("GOOGLEFINANCE(""IDX:""&amp;A1184,""price"")"),200.0)</f>
        <v>200</v>
      </c>
      <c r="D1184" s="16" t="str">
        <f>IFERROR(__xludf.DUMMYFUNCTION("IF(A1184="""","""",
SPARKLINE(
INDEX(
GOOGLEFINANCE(""IDX:""&amp;A1184,""close"",TODAY()-365,TODAY()),
,2
),
{""linewidth"",1}
))
"),"#N/A")</f>
        <v>#N/A</v>
      </c>
      <c r="E1184" s="26"/>
      <c r="F1184" s="26"/>
      <c r="G1184" s="24">
        <f t="shared" si="8"/>
        <v>0</v>
      </c>
      <c r="H1184" s="19">
        <f>VLOOKUP(A1184,Metrik!$C$2:$Y$959,8,0)</f>
        <v>7.2</v>
      </c>
      <c r="I1184" s="20">
        <f>VLOOKUP(A1184,Metrik!$C$2:$Y$959,9,0)</f>
        <v>0.89</v>
      </c>
      <c r="J1184" s="20">
        <f>VLOOKUP(A1184,Metrik!$C$2:$Y$959,10,0)</f>
        <v>12.4</v>
      </c>
      <c r="K1184" s="20">
        <f>VLOOKUP(A1184,Metrik!$C$2:$Y$959,11,0)</f>
        <v>5.8</v>
      </c>
      <c r="L1184" s="20">
        <f>VLOOKUP(A1184,Metrik!$C$2:$Y$959,12,0)</f>
        <v>1.1</v>
      </c>
      <c r="M1184" s="20">
        <f>VLOOKUP(A1184,Metrik!$C$2:$Y$959,19,0)</f>
        <v>9.9</v>
      </c>
      <c r="N1184" s="21"/>
      <c r="O1184" s="21"/>
      <c r="P1184" s="21"/>
      <c r="Q1184" s="21"/>
      <c r="R1184" s="21"/>
      <c r="S1184" s="21"/>
      <c r="T1184" s="21"/>
      <c r="U1184" s="22">
        <f>IFERROR(__xludf.DUMMYFUNCTION("IFERROR(GOOGLEFINANCE(A1184,""closeyest""),"""")"),196.0)</f>
        <v>196</v>
      </c>
      <c r="V1184" s="23">
        <f>IFERROR(__xludf.DUMMYFUNCTION("IFERROR(GOOGLEFINANCE(A1184,""changepct""),"""")"),2.04)</f>
        <v>2.04</v>
      </c>
      <c r="W1184" s="22">
        <f>IFERROR(__xludf.DUMMYFUNCTION("IFERROR(GOOGLEFINANCE(A1184,""priceopen""),"""")"),197.0)</f>
        <v>197</v>
      </c>
      <c r="X1184" s="22">
        <f>IFERROR(__xludf.DUMMYFUNCTION("IFERROR(GOOGLEFINANCE(A1184,""high""),"""")"),202.0)</f>
        <v>202</v>
      </c>
      <c r="Y1184" s="22">
        <f>IFERROR(__xludf.DUMMYFUNCTION("IFERROR(GOOGLEFINANCE(A1184,""low""),"""")"),197.0)</f>
        <v>197</v>
      </c>
      <c r="Z1184" s="22">
        <f>IFERROR(__xludf.DUMMYFUNCTION("IFERROR(GOOGLEFINANCE(A1184,""volume""),"""")"),2800100.0)</f>
        <v>2800100</v>
      </c>
      <c r="AA1184" s="24" t="str">
        <f>VLOOKUP(A1184,Metrik!$C$2:$Y$959,5,0)</f>
        <v>Pharmaceuticals</v>
      </c>
      <c r="AB1184" s="24" t="str">
        <f>VLOOKUP(A1184,Metrik!$C$2:$Y$959,3,0)</f>
        <v>Healthcare</v>
      </c>
    </row>
    <row r="1185">
      <c r="A1185" s="14" t="s">
        <v>625</v>
      </c>
      <c r="B1185" s="14" t="str">
        <f t="array" ref="B1185">VLOOKUP(A1185,{Metrik!$C$2:$C$998,Metrik!$B$2:$B$998},2,0)</f>
        <v>Modernland Realty Tbk.</v>
      </c>
      <c r="C1185" s="15">
        <f>IFERROR(__xludf.DUMMYFUNCTION("GOOGLEFINANCE(""IDX:""&amp;A1185,""price"")"),52.0)</f>
        <v>52</v>
      </c>
      <c r="D1185" s="16" t="str">
        <f>IFERROR(__xludf.DUMMYFUNCTION("IF(A1185="""","""",
SPARKLINE(
INDEX(
GOOGLEFINANCE(""IDX:""&amp;A1185,""close"",TODAY()-365,TODAY()),
,2
),
{""linewidth"",1}
))
"),"#N/A")</f>
        <v>#N/A</v>
      </c>
      <c r="E1185" s="26"/>
      <c r="F1185" s="26"/>
      <c r="G1185" s="24">
        <f t="shared" si="8"/>
        <v>0</v>
      </c>
      <c r="H1185" s="19">
        <f>VLOOKUP(A1185,Metrik!$C$2:$Y$959,8,0)</f>
        <v>-0.84</v>
      </c>
      <c r="I1185" s="20">
        <f>VLOOKUP(A1185,Metrik!$C$2:$Y$959,9,0)</f>
        <v>0.18</v>
      </c>
      <c r="J1185" s="20">
        <f>VLOOKUP(A1185,Metrik!$C$2:$Y$959,10,0)</f>
        <v>-21.6</v>
      </c>
      <c r="K1185" s="20">
        <f>VLOOKUP(A1185,Metrik!$C$2:$Y$959,11,0)</f>
        <v>-5.7</v>
      </c>
      <c r="L1185" s="20">
        <f>VLOOKUP(A1185,Metrik!$C$2:$Y$959,12,0)</f>
        <v>2.8</v>
      </c>
      <c r="M1185" s="20">
        <f>VLOOKUP(A1185,Metrik!$C$2:$Y$959,19,0)</f>
        <v>-530</v>
      </c>
      <c r="N1185" s="21"/>
      <c r="O1185" s="21"/>
      <c r="P1185" s="21"/>
      <c r="Q1185" s="21"/>
      <c r="R1185" s="21"/>
      <c r="S1185" s="21"/>
      <c r="T1185" s="21"/>
      <c r="U1185" s="22">
        <f>IFERROR(__xludf.DUMMYFUNCTION("IFERROR(GOOGLEFINANCE(A1185,""closeyest""),"""")"),37.13)</f>
        <v>37.13</v>
      </c>
      <c r="V1185" s="23">
        <f>IFERROR(__xludf.DUMMYFUNCTION("IFERROR(GOOGLEFINANCE(A1185,""changepct""),"""")"),-1.4)</f>
        <v>-1.4</v>
      </c>
      <c r="W1185" s="22">
        <f>IFERROR(__xludf.DUMMYFUNCTION("IFERROR(GOOGLEFINANCE(A1185,""priceopen""),"""")"),35.94)</f>
        <v>35.94</v>
      </c>
      <c r="X1185" s="22">
        <f>IFERROR(__xludf.DUMMYFUNCTION("IFERROR(GOOGLEFINANCE(A1185,""high""),"""")"),36.74)</f>
        <v>36.74</v>
      </c>
      <c r="Y1185" s="22">
        <f>IFERROR(__xludf.DUMMYFUNCTION("IFERROR(GOOGLEFINANCE(A1185,""low""),"""")"),34.95)</f>
        <v>34.95</v>
      </c>
      <c r="Z1185" s="22">
        <f>IFERROR(__xludf.DUMMYFUNCTION("IFERROR(GOOGLEFINANCE(A1185,""volume""),"""")"),1.2484668E7)</f>
        <v>12484668</v>
      </c>
      <c r="AA1185" s="24" t="str">
        <f>VLOOKUP(A1185,Metrik!$C$2:$Y$959,5,0)</f>
        <v>Real Estate Management &amp; Development</v>
      </c>
      <c r="AB1185" s="24" t="str">
        <f>VLOOKUP(A1185,Metrik!$C$2:$Y$959,3,0)</f>
        <v>Properties &amp; Real Estate</v>
      </c>
    </row>
    <row r="1186">
      <c r="A1186" s="14" t="s">
        <v>626</v>
      </c>
      <c r="B1186" s="14" t="str">
        <f t="array" ref="B1186">VLOOKUP(A1186,{Metrik!$C$2:$C$998,Metrik!$B$2:$B$998},2,0)</f>
        <v>Modern Internasional Tbk.</v>
      </c>
      <c r="C1186" s="15">
        <f>IFERROR(__xludf.DUMMYFUNCTION("GOOGLEFINANCE(""IDX:""&amp;A1186,""price"")"),29.0)</f>
        <v>29</v>
      </c>
      <c r="D1186" s="16" t="str">
        <f>IFERROR(__xludf.DUMMYFUNCTION("IF(A1186="""","""",
SPARKLINE(
INDEX(
GOOGLEFINANCE(""IDX:""&amp;A1186,""close"",TODAY()-365,TODAY()),
,2
),
{""linewidth"",1}
))
"),"#N/A")</f>
        <v>#N/A</v>
      </c>
      <c r="E1186" s="26"/>
      <c r="F1186" s="26"/>
      <c r="G1186" s="24">
        <f t="shared" si="8"/>
        <v>0</v>
      </c>
      <c r="H1186" s="19">
        <f>VLOOKUP(A1186,Metrik!$C$2:$Y$959,8,0)</f>
        <v>2.4</v>
      </c>
      <c r="I1186" s="20">
        <f>VLOOKUP(A1186,Metrik!$C$2:$Y$959,9,0)</f>
        <v>-1.2</v>
      </c>
      <c r="J1186" s="20">
        <f>VLOOKUP(A1186,Metrik!$C$2:$Y$959,10,0)</f>
        <v>0</v>
      </c>
      <c r="K1186" s="20">
        <f>VLOOKUP(A1186,Metrik!$C$2:$Y$959,11,0)</f>
        <v>59.1</v>
      </c>
      <c r="L1186" s="20">
        <f>VLOOKUP(A1186,Metrik!$C$2:$Y$959,12,0)</f>
        <v>-1.9</v>
      </c>
      <c r="M1186" s="20">
        <f>VLOOKUP(A1186,Metrik!$C$2:$Y$959,19,0)</f>
        <v>1330</v>
      </c>
      <c r="N1186" s="21"/>
      <c r="O1186" s="21"/>
      <c r="P1186" s="21"/>
      <c r="Q1186" s="21"/>
      <c r="R1186" s="21"/>
      <c r="S1186" s="21"/>
      <c r="T1186" s="21"/>
      <c r="U1186" s="22">
        <f>IFERROR(__xludf.DUMMYFUNCTION("IFERROR(GOOGLEFINANCE(A1186,""closeyest""),"""")"),29.0)</f>
        <v>29</v>
      </c>
      <c r="V1186" s="23">
        <f>IFERROR(__xludf.DUMMYFUNCTION("IFERROR(GOOGLEFINANCE(A1186,""changepct""),"""")"),0.0)</f>
        <v>0</v>
      </c>
      <c r="W1186" s="22">
        <f>IFERROR(__xludf.DUMMYFUNCTION("IFERROR(GOOGLEFINANCE(A1186,""priceopen""),"""")"),28.0)</f>
        <v>28</v>
      </c>
      <c r="X1186" s="22">
        <f>IFERROR(__xludf.DUMMYFUNCTION("IFERROR(GOOGLEFINANCE(A1186,""high""),"""")"),29.0)</f>
        <v>29</v>
      </c>
      <c r="Y1186" s="22">
        <f>IFERROR(__xludf.DUMMYFUNCTION("IFERROR(GOOGLEFINANCE(A1186,""low""),"""")"),28.0)</f>
        <v>28</v>
      </c>
      <c r="Z1186" s="22">
        <f>IFERROR(__xludf.DUMMYFUNCTION("IFERROR(GOOGLEFINANCE(A1186,""volume""),"""")"),2861800.0)</f>
        <v>2861800</v>
      </c>
      <c r="AA1186" s="24" t="str">
        <f>VLOOKUP(A1186,Metrik!$C$2:$Y$959,5,0)</f>
        <v>Commercial Services</v>
      </c>
      <c r="AB1186" s="24" t="str">
        <f>VLOOKUP(A1186,Metrik!$C$2:$Y$959,3,0)</f>
        <v>Industrials</v>
      </c>
    </row>
    <row r="1187">
      <c r="A1187" s="14" t="s">
        <v>627</v>
      </c>
      <c r="B1187" s="14" t="str">
        <f t="array" ref="B1187">VLOOKUP(A1187,{Metrik!$C$2:$C$998,Metrik!$B$2:$B$998},2,0)</f>
        <v>Medco Energi Internasional Tbk.</v>
      </c>
      <c r="C1187" s="15">
        <f>IFERROR(__xludf.DUMMYFUNCTION("GOOGLEFINANCE(""IDX:""&amp;A1187,""price"")"),1225.0)</f>
        <v>1225</v>
      </c>
      <c r="D1187" s="16" t="str">
        <f>IFERROR(__xludf.DUMMYFUNCTION("IF(A1187="""","""",
SPARKLINE(
INDEX(
GOOGLEFINANCE(""IDX:""&amp;A1187,""close"",TODAY()-365,TODAY()),
,2
),
{""linewidth"",1}
))
"),"#N/A")</f>
        <v>#N/A</v>
      </c>
      <c r="E1187" s="14" t="s">
        <v>47</v>
      </c>
      <c r="F1187" s="25">
        <v>46356.0</v>
      </c>
      <c r="G1187" s="24">
        <f t="shared" si="8"/>
        <v>17</v>
      </c>
      <c r="H1187" s="19">
        <f>VLOOKUP(A1187,Metrik!$C$2:$Y$959,8,0)</f>
        <v>11.9</v>
      </c>
      <c r="I1187" s="20">
        <f>VLOOKUP(A1187,Metrik!$C$2:$Y$959,9,0)</f>
        <v>0.74</v>
      </c>
      <c r="J1187" s="20">
        <f>VLOOKUP(A1187,Metrik!$C$2:$Y$959,10,0)</f>
        <v>6.2</v>
      </c>
      <c r="K1187" s="20">
        <f>VLOOKUP(A1187,Metrik!$C$2:$Y$959,11,0)</f>
        <v>1.8</v>
      </c>
      <c r="L1187" s="20">
        <f>VLOOKUP(A1187,Metrik!$C$2:$Y$959,12,0)</f>
        <v>2.4</v>
      </c>
      <c r="M1187" s="20">
        <f>VLOOKUP(A1187,Metrik!$C$2:$Y$959,19,0)</f>
        <v>22.4</v>
      </c>
      <c r="N1187" s="21"/>
      <c r="O1187" s="21"/>
      <c r="P1187" s="21"/>
      <c r="Q1187" s="21"/>
      <c r="R1187" s="21"/>
      <c r="S1187" s="21"/>
      <c r="T1187" s="21"/>
      <c r="U1187" s="22">
        <f>IFERROR(__xludf.DUMMYFUNCTION("IFERROR(GOOGLEFINANCE(A1187,""closeyest""),"""")"),1215.0)</f>
        <v>1215</v>
      </c>
      <c r="V1187" s="23" t="str">
        <f>IFERROR(__xludf.DUMMYFUNCTION("IFERROR(GOOGLEFINANCE(A1187,""changepct""),"""")"),"")</f>
        <v/>
      </c>
      <c r="W1187" s="22">
        <f>IFERROR(__xludf.DUMMYFUNCTION("IFERROR(GOOGLEFINANCE(A1187,""priceopen""),"""")"),1185.0)</f>
        <v>1185</v>
      </c>
      <c r="X1187" s="22">
        <f>IFERROR(__xludf.DUMMYFUNCTION("IFERROR(GOOGLEFINANCE(A1187,""high""),"""")"),1265.0)</f>
        <v>1265</v>
      </c>
      <c r="Y1187" s="22">
        <f>IFERROR(__xludf.DUMMYFUNCTION("IFERROR(GOOGLEFINANCE(A1187,""low""),"""")"),1185.0)</f>
        <v>1185</v>
      </c>
      <c r="Z1187" s="22">
        <f>IFERROR(__xludf.DUMMYFUNCTION("IFERROR(GOOGLEFINANCE(A1187,""volume""),"""")"),9.68519E7)</f>
        <v>96851900</v>
      </c>
      <c r="AA1187" s="24" t="str">
        <f>VLOOKUP(A1187,Metrik!$C$2:$Y$959,5,0)</f>
        <v>Oil &amp; Gas</v>
      </c>
      <c r="AB1187" s="24" t="str">
        <f>VLOOKUP(A1187,Metrik!$C$2:$Y$959,3,0)</f>
        <v>Energy</v>
      </c>
    </row>
    <row r="1188">
      <c r="A1188" s="14" t="s">
        <v>627</v>
      </c>
      <c r="B1188" s="14" t="str">
        <f t="array" ref="B1188">VLOOKUP(A1188,{Metrik!$C$2:$C$998,Metrik!$B$2:$B$998},2,0)</f>
        <v>Medco Energi Internasional Tbk.</v>
      </c>
      <c r="C1188" s="15">
        <f>IFERROR(__xludf.DUMMYFUNCTION("GOOGLEFINANCE(""IDX:""&amp;A1188,""price"")"),1225.0)</f>
        <v>1225</v>
      </c>
      <c r="D1188" s="16" t="str">
        <f>IFERROR(__xludf.DUMMYFUNCTION("IF(A1188="""","""",
SPARKLINE(
INDEX(
GOOGLEFINANCE(""IDX:""&amp;A1188,""close"",TODAY()-365,TODAY()),
,2
),
{""linewidth"",1}
))
"),"#N/A")</f>
        <v>#N/A</v>
      </c>
      <c r="E1188" s="14" t="s">
        <v>65</v>
      </c>
      <c r="F1188" s="25">
        <v>46356.0</v>
      </c>
      <c r="G1188" s="24">
        <f t="shared" si="8"/>
        <v>17</v>
      </c>
      <c r="H1188" s="19">
        <f>VLOOKUP(A1188,Metrik!$C$2:$Y$959,8,0)</f>
        <v>11.9</v>
      </c>
      <c r="I1188" s="20">
        <f>VLOOKUP(A1188,Metrik!$C$2:$Y$959,9,0)</f>
        <v>0.74</v>
      </c>
      <c r="J1188" s="20">
        <f>VLOOKUP(A1188,Metrik!$C$2:$Y$959,10,0)</f>
        <v>6.2</v>
      </c>
      <c r="K1188" s="20">
        <f>VLOOKUP(A1188,Metrik!$C$2:$Y$959,11,0)</f>
        <v>1.8</v>
      </c>
      <c r="L1188" s="20">
        <f>VLOOKUP(A1188,Metrik!$C$2:$Y$959,12,0)</f>
        <v>2.4</v>
      </c>
      <c r="M1188" s="20">
        <f>VLOOKUP(A1188,Metrik!$C$2:$Y$959,19,0)</f>
        <v>22.4</v>
      </c>
      <c r="N1188" s="21"/>
      <c r="O1188" s="21"/>
      <c r="P1188" s="21"/>
      <c r="Q1188" s="21"/>
      <c r="R1188" s="21"/>
      <c r="S1188" s="21"/>
      <c r="T1188" s="21"/>
      <c r="U1188" s="22">
        <f>IFERROR(__xludf.DUMMYFUNCTION("IFERROR(GOOGLEFINANCE(A1188,""closeyest""),"""")"),1215.0)</f>
        <v>1215</v>
      </c>
      <c r="V1188" s="23" t="str">
        <f>IFERROR(__xludf.DUMMYFUNCTION("IFERROR(GOOGLEFINANCE(A1188,""changepct""),"""")"),"")</f>
        <v/>
      </c>
      <c r="W1188" s="22">
        <f>IFERROR(__xludf.DUMMYFUNCTION("IFERROR(GOOGLEFINANCE(A1188,""priceopen""),"""")"),1185.0)</f>
        <v>1185</v>
      </c>
      <c r="X1188" s="22">
        <f>IFERROR(__xludf.DUMMYFUNCTION("IFERROR(GOOGLEFINANCE(A1188,""high""),"""")"),1265.0)</f>
        <v>1265</v>
      </c>
      <c r="Y1188" s="22">
        <f>IFERROR(__xludf.DUMMYFUNCTION("IFERROR(GOOGLEFINANCE(A1188,""low""),"""")"),1185.0)</f>
        <v>1185</v>
      </c>
      <c r="Z1188" s="22">
        <f>IFERROR(__xludf.DUMMYFUNCTION("IFERROR(GOOGLEFINANCE(A1188,""volume""),"""")"),9.68519E7)</f>
        <v>96851900</v>
      </c>
      <c r="AA1188" s="24" t="str">
        <f>VLOOKUP(A1188,Metrik!$C$2:$Y$959,5,0)</f>
        <v>Oil &amp; Gas</v>
      </c>
      <c r="AB1188" s="24" t="str">
        <f>VLOOKUP(A1188,Metrik!$C$2:$Y$959,3,0)</f>
        <v>Energy</v>
      </c>
    </row>
    <row r="1189">
      <c r="A1189" s="14" t="s">
        <v>627</v>
      </c>
      <c r="B1189" s="14" t="str">
        <f t="array" ref="B1189">VLOOKUP(A1189,{Metrik!$C$2:$C$998,Metrik!$B$2:$B$998},2,0)</f>
        <v>Medco Energi Internasional Tbk.</v>
      </c>
      <c r="C1189" s="15">
        <f>IFERROR(__xludf.DUMMYFUNCTION("GOOGLEFINANCE(""IDX:""&amp;A1189,""price"")"),1225.0)</f>
        <v>1225</v>
      </c>
      <c r="D1189" s="16" t="str">
        <f>IFERROR(__xludf.DUMMYFUNCTION("IF(A1189="""","""",
SPARKLINE(
INDEX(
GOOGLEFINANCE(""IDX:""&amp;A1189,""close"",TODAY()-365,TODAY()),
,2
),
{""linewidth"",1}
))
"),"#N/A")</f>
        <v>#N/A</v>
      </c>
      <c r="E1189" s="14" t="s">
        <v>38</v>
      </c>
      <c r="F1189" s="25">
        <v>46356.0</v>
      </c>
      <c r="G1189" s="24">
        <f t="shared" si="8"/>
        <v>17</v>
      </c>
      <c r="H1189" s="19">
        <f>VLOOKUP(A1189,Metrik!$C$2:$Y$959,8,0)</f>
        <v>11.9</v>
      </c>
      <c r="I1189" s="20">
        <f>VLOOKUP(A1189,Metrik!$C$2:$Y$959,9,0)</f>
        <v>0.74</v>
      </c>
      <c r="J1189" s="20">
        <f>VLOOKUP(A1189,Metrik!$C$2:$Y$959,10,0)</f>
        <v>6.2</v>
      </c>
      <c r="K1189" s="20">
        <f>VLOOKUP(A1189,Metrik!$C$2:$Y$959,11,0)</f>
        <v>1.8</v>
      </c>
      <c r="L1189" s="20">
        <f>VLOOKUP(A1189,Metrik!$C$2:$Y$959,12,0)</f>
        <v>2.4</v>
      </c>
      <c r="M1189" s="20">
        <f>VLOOKUP(A1189,Metrik!$C$2:$Y$959,19,0)</f>
        <v>22.4</v>
      </c>
      <c r="N1189" s="21"/>
      <c r="O1189" s="21"/>
      <c r="P1189" s="21"/>
      <c r="Q1189" s="21"/>
      <c r="R1189" s="21"/>
      <c r="S1189" s="21"/>
      <c r="T1189" s="21"/>
      <c r="U1189" s="22">
        <f>IFERROR(__xludf.DUMMYFUNCTION("IFERROR(GOOGLEFINANCE(A1189,""closeyest""),"""")"),1215.0)</f>
        <v>1215</v>
      </c>
      <c r="V1189" s="23" t="str">
        <f>IFERROR(__xludf.DUMMYFUNCTION("IFERROR(GOOGLEFINANCE(A1189,""changepct""),"""")"),"")</f>
        <v/>
      </c>
      <c r="W1189" s="22">
        <f>IFERROR(__xludf.DUMMYFUNCTION("IFERROR(GOOGLEFINANCE(A1189,""priceopen""),"""")"),1185.0)</f>
        <v>1185</v>
      </c>
      <c r="X1189" s="22">
        <f>IFERROR(__xludf.DUMMYFUNCTION("IFERROR(GOOGLEFINANCE(A1189,""high""),"""")"),1265.0)</f>
        <v>1265</v>
      </c>
      <c r="Y1189" s="22">
        <f>IFERROR(__xludf.DUMMYFUNCTION("IFERROR(GOOGLEFINANCE(A1189,""low""),"""")"),1185.0)</f>
        <v>1185</v>
      </c>
      <c r="Z1189" s="22">
        <f>IFERROR(__xludf.DUMMYFUNCTION("IFERROR(GOOGLEFINANCE(A1189,""volume""),"""")"),9.68519E7)</f>
        <v>96851900</v>
      </c>
      <c r="AA1189" s="24" t="str">
        <f>VLOOKUP(A1189,Metrik!$C$2:$Y$959,5,0)</f>
        <v>Oil &amp; Gas</v>
      </c>
      <c r="AB1189" s="24" t="str">
        <f>VLOOKUP(A1189,Metrik!$C$2:$Y$959,3,0)</f>
        <v>Energy</v>
      </c>
    </row>
    <row r="1190">
      <c r="A1190" s="14" t="s">
        <v>627</v>
      </c>
      <c r="B1190" s="14" t="str">
        <f t="array" ref="B1190">VLOOKUP(A1190,{Metrik!$C$2:$C$998,Metrik!$B$2:$B$998},2,0)</f>
        <v>Medco Energi Internasional Tbk.</v>
      </c>
      <c r="C1190" s="15">
        <f>IFERROR(__xludf.DUMMYFUNCTION("GOOGLEFINANCE(""IDX:""&amp;A1190,""price"")"),1225.0)</f>
        <v>1225</v>
      </c>
      <c r="D1190" s="16" t="str">
        <f>IFERROR(__xludf.DUMMYFUNCTION("IF(A1190="""","""",
SPARKLINE(
INDEX(
GOOGLEFINANCE(""IDX:""&amp;A1190,""close"",TODAY()-365,TODAY()),
,2
),
{""linewidth"",1}
))
"),"#N/A")</f>
        <v>#N/A</v>
      </c>
      <c r="E1190" s="14" t="s">
        <v>55</v>
      </c>
      <c r="F1190" s="25">
        <v>46356.0</v>
      </c>
      <c r="G1190" s="24">
        <f t="shared" si="8"/>
        <v>17</v>
      </c>
      <c r="H1190" s="19">
        <f>VLOOKUP(A1190,Metrik!$C$2:$Y$959,8,0)</f>
        <v>11.9</v>
      </c>
      <c r="I1190" s="20">
        <f>VLOOKUP(A1190,Metrik!$C$2:$Y$959,9,0)</f>
        <v>0.74</v>
      </c>
      <c r="J1190" s="20">
        <f>VLOOKUP(A1190,Metrik!$C$2:$Y$959,10,0)</f>
        <v>6.2</v>
      </c>
      <c r="K1190" s="20">
        <f>VLOOKUP(A1190,Metrik!$C$2:$Y$959,11,0)</f>
        <v>1.8</v>
      </c>
      <c r="L1190" s="20">
        <f>VLOOKUP(A1190,Metrik!$C$2:$Y$959,12,0)</f>
        <v>2.4</v>
      </c>
      <c r="M1190" s="20">
        <f>VLOOKUP(A1190,Metrik!$C$2:$Y$959,19,0)</f>
        <v>22.4</v>
      </c>
      <c r="N1190" s="21"/>
      <c r="O1190" s="21"/>
      <c r="P1190" s="21"/>
      <c r="Q1190" s="21"/>
      <c r="R1190" s="21"/>
      <c r="S1190" s="21"/>
      <c r="T1190" s="21"/>
      <c r="U1190" s="22">
        <f>IFERROR(__xludf.DUMMYFUNCTION("IFERROR(GOOGLEFINANCE(A1190,""closeyest""),"""")"),1215.0)</f>
        <v>1215</v>
      </c>
      <c r="V1190" s="23" t="str">
        <f>IFERROR(__xludf.DUMMYFUNCTION("IFERROR(GOOGLEFINANCE(A1190,""changepct""),"""")"),"")</f>
        <v/>
      </c>
      <c r="W1190" s="22">
        <f>IFERROR(__xludf.DUMMYFUNCTION("IFERROR(GOOGLEFINANCE(A1190,""priceopen""),"""")"),1185.0)</f>
        <v>1185</v>
      </c>
      <c r="X1190" s="22">
        <f>IFERROR(__xludf.DUMMYFUNCTION("IFERROR(GOOGLEFINANCE(A1190,""high""),"""")"),1265.0)</f>
        <v>1265</v>
      </c>
      <c r="Y1190" s="22">
        <f>IFERROR(__xludf.DUMMYFUNCTION("IFERROR(GOOGLEFINANCE(A1190,""low""),"""")"),1185.0)</f>
        <v>1185</v>
      </c>
      <c r="Z1190" s="22">
        <f>IFERROR(__xludf.DUMMYFUNCTION("IFERROR(GOOGLEFINANCE(A1190,""volume""),"""")"),9.68519E7)</f>
        <v>96851900</v>
      </c>
      <c r="AA1190" s="24" t="str">
        <f>VLOOKUP(A1190,Metrik!$C$2:$Y$959,5,0)</f>
        <v>Oil &amp; Gas</v>
      </c>
      <c r="AB1190" s="24" t="str">
        <f>VLOOKUP(A1190,Metrik!$C$2:$Y$959,3,0)</f>
        <v>Energy</v>
      </c>
    </row>
    <row r="1191">
      <c r="A1191" s="14" t="s">
        <v>627</v>
      </c>
      <c r="B1191" s="14" t="str">
        <f t="array" ref="B1191">VLOOKUP(A1191,{Metrik!$C$2:$C$998,Metrik!$B$2:$B$998},2,0)</f>
        <v>Medco Energi Internasional Tbk.</v>
      </c>
      <c r="C1191" s="15">
        <f>IFERROR(__xludf.DUMMYFUNCTION("GOOGLEFINANCE(""IDX:""&amp;A1191,""price"")"),1225.0)</f>
        <v>1225</v>
      </c>
      <c r="D1191" s="16" t="str">
        <f>IFERROR(__xludf.DUMMYFUNCTION("IF(A1191="""","""",
SPARKLINE(
INDEX(
GOOGLEFINANCE(""IDX:""&amp;A1191,""close"",TODAY()-365,TODAY()),
,2
),
{""linewidth"",1}
))
"),"#N/A")</f>
        <v>#N/A</v>
      </c>
      <c r="E1191" s="14" t="s">
        <v>68</v>
      </c>
      <c r="F1191" s="14" t="s">
        <v>34</v>
      </c>
      <c r="G1191" s="24">
        <f t="shared" si="8"/>
        <v>17</v>
      </c>
      <c r="H1191" s="19">
        <f>VLOOKUP(A1191,Metrik!$C$2:$Y$959,8,0)</f>
        <v>11.9</v>
      </c>
      <c r="I1191" s="20">
        <f>VLOOKUP(A1191,Metrik!$C$2:$Y$959,9,0)</f>
        <v>0.74</v>
      </c>
      <c r="J1191" s="20">
        <f>VLOOKUP(A1191,Metrik!$C$2:$Y$959,10,0)</f>
        <v>6.2</v>
      </c>
      <c r="K1191" s="20">
        <f>VLOOKUP(A1191,Metrik!$C$2:$Y$959,11,0)</f>
        <v>1.8</v>
      </c>
      <c r="L1191" s="20">
        <f>VLOOKUP(A1191,Metrik!$C$2:$Y$959,12,0)</f>
        <v>2.4</v>
      </c>
      <c r="M1191" s="20">
        <f>VLOOKUP(A1191,Metrik!$C$2:$Y$959,19,0)</f>
        <v>22.4</v>
      </c>
      <c r="N1191" s="21"/>
      <c r="O1191" s="21"/>
      <c r="P1191" s="21"/>
      <c r="Q1191" s="21"/>
      <c r="R1191" s="21"/>
      <c r="S1191" s="21"/>
      <c r="T1191" s="21"/>
      <c r="U1191" s="22">
        <f>IFERROR(__xludf.DUMMYFUNCTION("IFERROR(GOOGLEFINANCE(A1191,""closeyest""),"""")"),1215.0)</f>
        <v>1215</v>
      </c>
      <c r="V1191" s="23" t="str">
        <f>IFERROR(__xludf.DUMMYFUNCTION("IFERROR(GOOGLEFINANCE(A1191,""changepct""),"""")"),"")</f>
        <v/>
      </c>
      <c r="W1191" s="22">
        <f>IFERROR(__xludf.DUMMYFUNCTION("IFERROR(GOOGLEFINANCE(A1191,""priceopen""),"""")"),1185.0)</f>
        <v>1185</v>
      </c>
      <c r="X1191" s="22">
        <f>IFERROR(__xludf.DUMMYFUNCTION("IFERROR(GOOGLEFINANCE(A1191,""high""),"""")"),1265.0)</f>
        <v>1265</v>
      </c>
      <c r="Y1191" s="22">
        <f>IFERROR(__xludf.DUMMYFUNCTION("IFERROR(GOOGLEFINANCE(A1191,""low""),"""")"),1185.0)</f>
        <v>1185</v>
      </c>
      <c r="Z1191" s="22">
        <f>IFERROR(__xludf.DUMMYFUNCTION("IFERROR(GOOGLEFINANCE(A1191,""volume""),"""")"),9.68519E7)</f>
        <v>96851900</v>
      </c>
      <c r="AA1191" s="24" t="str">
        <f>VLOOKUP(A1191,Metrik!$C$2:$Y$959,5,0)</f>
        <v>Oil &amp; Gas</v>
      </c>
      <c r="AB1191" s="24" t="str">
        <f>VLOOKUP(A1191,Metrik!$C$2:$Y$959,3,0)</f>
        <v>Energy</v>
      </c>
    </row>
    <row r="1192">
      <c r="A1192" s="14" t="s">
        <v>627</v>
      </c>
      <c r="B1192" s="14" t="str">
        <f t="array" ref="B1192">VLOOKUP(A1192,{Metrik!$C$2:$C$998,Metrik!$B$2:$B$998},2,0)</f>
        <v>Medco Energi Internasional Tbk.</v>
      </c>
      <c r="C1192" s="15">
        <f>IFERROR(__xludf.DUMMYFUNCTION("GOOGLEFINANCE(""IDX:""&amp;A1192,""price"")"),1225.0)</f>
        <v>1225</v>
      </c>
      <c r="D1192" s="16" t="str">
        <f>IFERROR(__xludf.DUMMYFUNCTION("IF(A1192="""","""",
SPARKLINE(
INDEX(
GOOGLEFINANCE(""IDX:""&amp;A1192,""close"",TODAY()-365,TODAY()),
,2
),
{""linewidth"",1}
))
"),"#N/A")</f>
        <v>#N/A</v>
      </c>
      <c r="E1192" s="14" t="s">
        <v>161</v>
      </c>
      <c r="F1192" s="14" t="s">
        <v>76</v>
      </c>
      <c r="G1192" s="24">
        <f t="shared" si="8"/>
        <v>17</v>
      </c>
      <c r="H1192" s="19">
        <f>VLOOKUP(A1192,Metrik!$C$2:$Y$959,8,0)</f>
        <v>11.9</v>
      </c>
      <c r="I1192" s="20">
        <f>VLOOKUP(A1192,Metrik!$C$2:$Y$959,9,0)</f>
        <v>0.74</v>
      </c>
      <c r="J1192" s="20">
        <f>VLOOKUP(A1192,Metrik!$C$2:$Y$959,10,0)</f>
        <v>6.2</v>
      </c>
      <c r="K1192" s="20">
        <f>VLOOKUP(A1192,Metrik!$C$2:$Y$959,11,0)</f>
        <v>1.8</v>
      </c>
      <c r="L1192" s="20">
        <f>VLOOKUP(A1192,Metrik!$C$2:$Y$959,12,0)</f>
        <v>2.4</v>
      </c>
      <c r="M1192" s="20">
        <f>VLOOKUP(A1192,Metrik!$C$2:$Y$959,19,0)</f>
        <v>22.4</v>
      </c>
      <c r="N1192" s="21"/>
      <c r="O1192" s="21"/>
      <c r="P1192" s="21"/>
      <c r="Q1192" s="21"/>
      <c r="R1192" s="21"/>
      <c r="S1192" s="21"/>
      <c r="T1192" s="21"/>
      <c r="U1192" s="22">
        <f>IFERROR(__xludf.DUMMYFUNCTION("IFERROR(GOOGLEFINANCE(A1192,""closeyest""),"""")"),1215.0)</f>
        <v>1215</v>
      </c>
      <c r="V1192" s="23" t="str">
        <f>IFERROR(__xludf.DUMMYFUNCTION("IFERROR(GOOGLEFINANCE(A1192,""changepct""),"""")"),"")</f>
        <v/>
      </c>
      <c r="W1192" s="22">
        <f>IFERROR(__xludf.DUMMYFUNCTION("IFERROR(GOOGLEFINANCE(A1192,""priceopen""),"""")"),1185.0)</f>
        <v>1185</v>
      </c>
      <c r="X1192" s="22">
        <f>IFERROR(__xludf.DUMMYFUNCTION("IFERROR(GOOGLEFINANCE(A1192,""high""),"""")"),1265.0)</f>
        <v>1265</v>
      </c>
      <c r="Y1192" s="22">
        <f>IFERROR(__xludf.DUMMYFUNCTION("IFERROR(GOOGLEFINANCE(A1192,""low""),"""")"),1185.0)</f>
        <v>1185</v>
      </c>
      <c r="Z1192" s="22">
        <f>IFERROR(__xludf.DUMMYFUNCTION("IFERROR(GOOGLEFINANCE(A1192,""volume""),"""")"),9.68519E7)</f>
        <v>96851900</v>
      </c>
      <c r="AA1192" s="24" t="str">
        <f>VLOOKUP(A1192,Metrik!$C$2:$Y$959,5,0)</f>
        <v>Oil &amp; Gas</v>
      </c>
      <c r="AB1192" s="24" t="str">
        <f>VLOOKUP(A1192,Metrik!$C$2:$Y$959,3,0)</f>
        <v>Energy</v>
      </c>
    </row>
    <row r="1193">
      <c r="A1193" s="14" t="s">
        <v>627</v>
      </c>
      <c r="B1193" s="14" t="str">
        <f t="array" ref="B1193">VLOOKUP(A1193,{Metrik!$C$2:$C$998,Metrik!$B$2:$B$998},2,0)</f>
        <v>Medco Energi Internasional Tbk.</v>
      </c>
      <c r="C1193" s="15">
        <f>IFERROR(__xludf.DUMMYFUNCTION("GOOGLEFINANCE(""IDX:""&amp;A1193,""price"")"),1225.0)</f>
        <v>1225</v>
      </c>
      <c r="D1193" s="16" t="str">
        <f>IFERROR(__xludf.DUMMYFUNCTION("IF(A1193="""","""",
SPARKLINE(
INDEX(
GOOGLEFINANCE(""IDX:""&amp;A1193,""close"",TODAY()-365,TODAY()),
,2
),
{""linewidth"",1}
))
"),"#N/A")</f>
        <v>#N/A</v>
      </c>
      <c r="E1193" s="14" t="s">
        <v>31</v>
      </c>
      <c r="F1193" s="17" t="s">
        <v>29</v>
      </c>
      <c r="G1193" s="24">
        <f t="shared" si="8"/>
        <v>17</v>
      </c>
      <c r="H1193" s="19">
        <f>VLOOKUP(A1193,Metrik!$C$2:$Y$959,8,0)</f>
        <v>11.9</v>
      </c>
      <c r="I1193" s="20">
        <f>VLOOKUP(A1193,Metrik!$C$2:$Y$959,9,0)</f>
        <v>0.74</v>
      </c>
      <c r="J1193" s="20">
        <f>VLOOKUP(A1193,Metrik!$C$2:$Y$959,10,0)</f>
        <v>6.2</v>
      </c>
      <c r="K1193" s="20">
        <f>VLOOKUP(A1193,Metrik!$C$2:$Y$959,11,0)</f>
        <v>1.8</v>
      </c>
      <c r="L1193" s="20">
        <f>VLOOKUP(A1193,Metrik!$C$2:$Y$959,12,0)</f>
        <v>2.4</v>
      </c>
      <c r="M1193" s="20">
        <f>VLOOKUP(A1193,Metrik!$C$2:$Y$959,19,0)</f>
        <v>22.4</v>
      </c>
      <c r="N1193" s="21"/>
      <c r="O1193" s="21"/>
      <c r="P1193" s="21"/>
      <c r="Q1193" s="21"/>
      <c r="R1193" s="21"/>
      <c r="S1193" s="21"/>
      <c r="T1193" s="21"/>
      <c r="U1193" s="22">
        <f>IFERROR(__xludf.DUMMYFUNCTION("IFERROR(GOOGLEFINANCE(A1193,""closeyest""),"""")"),1215.0)</f>
        <v>1215</v>
      </c>
      <c r="V1193" s="23" t="str">
        <f>IFERROR(__xludf.DUMMYFUNCTION("IFERROR(GOOGLEFINANCE(A1193,""changepct""),"""")"),"")</f>
        <v/>
      </c>
      <c r="W1193" s="22">
        <f>IFERROR(__xludf.DUMMYFUNCTION("IFERROR(GOOGLEFINANCE(A1193,""priceopen""),"""")"),1185.0)</f>
        <v>1185</v>
      </c>
      <c r="X1193" s="22">
        <f>IFERROR(__xludf.DUMMYFUNCTION("IFERROR(GOOGLEFINANCE(A1193,""high""),"""")"),1265.0)</f>
        <v>1265</v>
      </c>
      <c r="Y1193" s="22">
        <f>IFERROR(__xludf.DUMMYFUNCTION("IFERROR(GOOGLEFINANCE(A1193,""low""),"""")"),1185.0)</f>
        <v>1185</v>
      </c>
      <c r="Z1193" s="22">
        <f>IFERROR(__xludf.DUMMYFUNCTION("IFERROR(GOOGLEFINANCE(A1193,""volume""),"""")"),9.68519E7)</f>
        <v>96851900</v>
      </c>
      <c r="AA1193" s="24" t="str">
        <f>VLOOKUP(A1193,Metrik!$C$2:$Y$959,5,0)</f>
        <v>Oil &amp; Gas</v>
      </c>
      <c r="AB1193" s="24" t="str">
        <f>VLOOKUP(A1193,Metrik!$C$2:$Y$959,3,0)</f>
        <v>Energy</v>
      </c>
    </row>
    <row r="1194">
      <c r="A1194" s="14" t="s">
        <v>627</v>
      </c>
      <c r="B1194" s="14" t="str">
        <f t="array" ref="B1194">VLOOKUP(A1194,{Metrik!$C$2:$C$998,Metrik!$B$2:$B$998},2,0)</f>
        <v>Medco Energi Internasional Tbk.</v>
      </c>
      <c r="C1194" s="15">
        <f>IFERROR(__xludf.DUMMYFUNCTION("GOOGLEFINANCE(""IDX:""&amp;A1194,""price"")"),1225.0)</f>
        <v>1225</v>
      </c>
      <c r="D1194" s="16" t="str">
        <f>IFERROR(__xludf.DUMMYFUNCTION("IF(A1194="""","""",
SPARKLINE(
INDEX(
GOOGLEFINANCE(""IDX:""&amp;A1194,""close"",TODAY()-365,TODAY()),
,2
),
{""linewidth"",1}
))
"),"#N/A")</f>
        <v>#N/A</v>
      </c>
      <c r="E1194" s="14" t="s">
        <v>28</v>
      </c>
      <c r="F1194" s="17" t="s">
        <v>29</v>
      </c>
      <c r="G1194" s="24">
        <f t="shared" si="8"/>
        <v>17</v>
      </c>
      <c r="H1194" s="19">
        <f>VLOOKUP(A1194,Metrik!$C$2:$Y$959,8,0)</f>
        <v>11.9</v>
      </c>
      <c r="I1194" s="20">
        <f>VLOOKUP(A1194,Metrik!$C$2:$Y$959,9,0)</f>
        <v>0.74</v>
      </c>
      <c r="J1194" s="20">
        <f>VLOOKUP(A1194,Metrik!$C$2:$Y$959,10,0)</f>
        <v>6.2</v>
      </c>
      <c r="K1194" s="20">
        <f>VLOOKUP(A1194,Metrik!$C$2:$Y$959,11,0)</f>
        <v>1.8</v>
      </c>
      <c r="L1194" s="20">
        <f>VLOOKUP(A1194,Metrik!$C$2:$Y$959,12,0)</f>
        <v>2.4</v>
      </c>
      <c r="M1194" s="20">
        <f>VLOOKUP(A1194,Metrik!$C$2:$Y$959,19,0)</f>
        <v>22.4</v>
      </c>
      <c r="N1194" s="21"/>
      <c r="O1194" s="21"/>
      <c r="P1194" s="21"/>
      <c r="Q1194" s="21"/>
      <c r="R1194" s="21"/>
      <c r="S1194" s="21"/>
      <c r="T1194" s="21"/>
      <c r="U1194" s="22">
        <f>IFERROR(__xludf.DUMMYFUNCTION("IFERROR(GOOGLEFINANCE(A1194,""closeyest""),"""")"),1215.0)</f>
        <v>1215</v>
      </c>
      <c r="V1194" s="23" t="str">
        <f>IFERROR(__xludf.DUMMYFUNCTION("IFERROR(GOOGLEFINANCE(A1194,""changepct""),"""")"),"")</f>
        <v/>
      </c>
      <c r="W1194" s="22">
        <f>IFERROR(__xludf.DUMMYFUNCTION("IFERROR(GOOGLEFINANCE(A1194,""priceopen""),"""")"),1185.0)</f>
        <v>1185</v>
      </c>
      <c r="X1194" s="22">
        <f>IFERROR(__xludf.DUMMYFUNCTION("IFERROR(GOOGLEFINANCE(A1194,""high""),"""")"),1265.0)</f>
        <v>1265</v>
      </c>
      <c r="Y1194" s="22">
        <f>IFERROR(__xludf.DUMMYFUNCTION("IFERROR(GOOGLEFINANCE(A1194,""low""),"""")"),1185.0)</f>
        <v>1185</v>
      </c>
      <c r="Z1194" s="22">
        <f>IFERROR(__xludf.DUMMYFUNCTION("IFERROR(GOOGLEFINANCE(A1194,""volume""),"""")"),9.68519E7)</f>
        <v>96851900</v>
      </c>
      <c r="AA1194" s="24" t="str">
        <f>VLOOKUP(A1194,Metrik!$C$2:$Y$959,5,0)</f>
        <v>Oil &amp; Gas</v>
      </c>
      <c r="AB1194" s="24" t="str">
        <f>VLOOKUP(A1194,Metrik!$C$2:$Y$959,3,0)</f>
        <v>Energy</v>
      </c>
    </row>
    <row r="1195">
      <c r="A1195" s="14" t="s">
        <v>627</v>
      </c>
      <c r="B1195" s="14" t="str">
        <f t="array" ref="B1195">VLOOKUP(A1195,{Metrik!$C$2:$C$998,Metrik!$B$2:$B$998},2,0)</f>
        <v>Medco Energi Internasional Tbk.</v>
      </c>
      <c r="C1195" s="15">
        <f>IFERROR(__xludf.DUMMYFUNCTION("GOOGLEFINANCE(""IDX:""&amp;A1195,""price"")"),1225.0)</f>
        <v>1225</v>
      </c>
      <c r="D1195" s="16" t="str">
        <f>IFERROR(__xludf.DUMMYFUNCTION("IF(A1195="""","""",
SPARKLINE(
INDEX(
GOOGLEFINANCE(""IDX:""&amp;A1195,""close"",TODAY()-365,TODAY()),
,2
),
{""linewidth"",1}
))
"),"#N/A")</f>
        <v>#N/A</v>
      </c>
      <c r="E1195" s="14" t="s">
        <v>102</v>
      </c>
      <c r="F1195" s="27" t="s">
        <v>53</v>
      </c>
      <c r="G1195" s="24">
        <f t="shared" si="8"/>
        <v>17</v>
      </c>
      <c r="H1195" s="19">
        <f>VLOOKUP(A1195,Metrik!$C$2:$Y$959,8,0)</f>
        <v>11.9</v>
      </c>
      <c r="I1195" s="20">
        <f>VLOOKUP(A1195,Metrik!$C$2:$Y$959,9,0)</f>
        <v>0.74</v>
      </c>
      <c r="J1195" s="20">
        <f>VLOOKUP(A1195,Metrik!$C$2:$Y$959,10,0)</f>
        <v>6.2</v>
      </c>
      <c r="K1195" s="20">
        <f>VLOOKUP(A1195,Metrik!$C$2:$Y$959,11,0)</f>
        <v>1.8</v>
      </c>
      <c r="L1195" s="20">
        <f>VLOOKUP(A1195,Metrik!$C$2:$Y$959,12,0)</f>
        <v>2.4</v>
      </c>
      <c r="M1195" s="20">
        <f>VLOOKUP(A1195,Metrik!$C$2:$Y$959,19,0)</f>
        <v>22.4</v>
      </c>
      <c r="N1195" s="21"/>
      <c r="O1195" s="21"/>
      <c r="P1195" s="21"/>
      <c r="Q1195" s="21"/>
      <c r="R1195" s="21"/>
      <c r="S1195" s="21"/>
      <c r="T1195" s="21"/>
      <c r="U1195" s="22">
        <f>IFERROR(__xludf.DUMMYFUNCTION("IFERROR(GOOGLEFINANCE(A1195,""closeyest""),"""")"),1215.0)</f>
        <v>1215</v>
      </c>
      <c r="V1195" s="23" t="str">
        <f>IFERROR(__xludf.DUMMYFUNCTION("IFERROR(GOOGLEFINANCE(A1195,""changepct""),"""")"),"")</f>
        <v/>
      </c>
      <c r="W1195" s="22">
        <f>IFERROR(__xludf.DUMMYFUNCTION("IFERROR(GOOGLEFINANCE(A1195,""priceopen""),"""")"),1185.0)</f>
        <v>1185</v>
      </c>
      <c r="X1195" s="22">
        <f>IFERROR(__xludf.DUMMYFUNCTION("IFERROR(GOOGLEFINANCE(A1195,""high""),"""")"),1265.0)</f>
        <v>1265</v>
      </c>
      <c r="Y1195" s="22">
        <f>IFERROR(__xludf.DUMMYFUNCTION("IFERROR(GOOGLEFINANCE(A1195,""low""),"""")"),1185.0)</f>
        <v>1185</v>
      </c>
      <c r="Z1195" s="22">
        <f>IFERROR(__xludf.DUMMYFUNCTION("IFERROR(GOOGLEFINANCE(A1195,""volume""),"""")"),9.68519E7)</f>
        <v>96851900</v>
      </c>
      <c r="AA1195" s="24" t="str">
        <f>VLOOKUP(A1195,Metrik!$C$2:$Y$959,5,0)</f>
        <v>Oil &amp; Gas</v>
      </c>
      <c r="AB1195" s="24" t="str">
        <f>VLOOKUP(A1195,Metrik!$C$2:$Y$959,3,0)</f>
        <v>Energy</v>
      </c>
    </row>
    <row r="1196">
      <c r="A1196" s="14" t="s">
        <v>627</v>
      </c>
      <c r="B1196" s="14" t="str">
        <f t="array" ref="B1196">VLOOKUP(A1196,{Metrik!$C$2:$C$998,Metrik!$B$2:$B$998},2,0)</f>
        <v>Medco Energi Internasional Tbk.</v>
      </c>
      <c r="C1196" s="15">
        <f>IFERROR(__xludf.DUMMYFUNCTION("GOOGLEFINANCE(""IDX:""&amp;A1196,""price"")"),1225.0)</f>
        <v>1225</v>
      </c>
      <c r="D1196" s="16" t="str">
        <f>IFERROR(__xludf.DUMMYFUNCTION("IF(A1196="""","""",
SPARKLINE(
INDEX(
GOOGLEFINANCE(""IDX:""&amp;A1196,""close"",TODAY()-365,TODAY()),
,2
),
{""linewidth"",1}
))
"),"#N/A")</f>
        <v>#N/A</v>
      </c>
      <c r="E1196" s="14" t="s">
        <v>85</v>
      </c>
      <c r="F1196" s="17" t="s">
        <v>51</v>
      </c>
      <c r="G1196" s="24">
        <f t="shared" si="8"/>
        <v>17</v>
      </c>
      <c r="H1196" s="19">
        <f>VLOOKUP(A1196,Metrik!$C$2:$Y$959,8,0)</f>
        <v>11.9</v>
      </c>
      <c r="I1196" s="20">
        <f>VLOOKUP(A1196,Metrik!$C$2:$Y$959,9,0)</f>
        <v>0.74</v>
      </c>
      <c r="J1196" s="20">
        <f>VLOOKUP(A1196,Metrik!$C$2:$Y$959,10,0)</f>
        <v>6.2</v>
      </c>
      <c r="K1196" s="20">
        <f>VLOOKUP(A1196,Metrik!$C$2:$Y$959,11,0)</f>
        <v>1.8</v>
      </c>
      <c r="L1196" s="20">
        <f>VLOOKUP(A1196,Metrik!$C$2:$Y$959,12,0)</f>
        <v>2.4</v>
      </c>
      <c r="M1196" s="20">
        <f>VLOOKUP(A1196,Metrik!$C$2:$Y$959,19,0)</f>
        <v>22.4</v>
      </c>
      <c r="N1196" s="21"/>
      <c r="O1196" s="21"/>
      <c r="P1196" s="21"/>
      <c r="Q1196" s="21"/>
      <c r="R1196" s="21"/>
      <c r="S1196" s="21"/>
      <c r="T1196" s="21"/>
      <c r="U1196" s="22">
        <f>IFERROR(__xludf.DUMMYFUNCTION("IFERROR(GOOGLEFINANCE(A1196,""closeyest""),"""")"),1215.0)</f>
        <v>1215</v>
      </c>
      <c r="V1196" s="23" t="str">
        <f>IFERROR(__xludf.DUMMYFUNCTION("IFERROR(GOOGLEFINANCE(A1196,""changepct""),"""")"),"")</f>
        <v/>
      </c>
      <c r="W1196" s="22">
        <f>IFERROR(__xludf.DUMMYFUNCTION("IFERROR(GOOGLEFINANCE(A1196,""priceopen""),"""")"),1185.0)</f>
        <v>1185</v>
      </c>
      <c r="X1196" s="22">
        <f>IFERROR(__xludf.DUMMYFUNCTION("IFERROR(GOOGLEFINANCE(A1196,""high""),"""")"),1265.0)</f>
        <v>1265</v>
      </c>
      <c r="Y1196" s="22">
        <f>IFERROR(__xludf.DUMMYFUNCTION("IFERROR(GOOGLEFINANCE(A1196,""low""),"""")"),1185.0)</f>
        <v>1185</v>
      </c>
      <c r="Z1196" s="22">
        <f>IFERROR(__xludf.DUMMYFUNCTION("IFERROR(GOOGLEFINANCE(A1196,""volume""),"""")"),9.68519E7)</f>
        <v>96851900</v>
      </c>
      <c r="AA1196" s="24" t="str">
        <f>VLOOKUP(A1196,Metrik!$C$2:$Y$959,5,0)</f>
        <v>Oil &amp; Gas</v>
      </c>
      <c r="AB1196" s="24" t="str">
        <f>VLOOKUP(A1196,Metrik!$C$2:$Y$959,3,0)</f>
        <v>Energy</v>
      </c>
    </row>
    <row r="1197">
      <c r="A1197" s="14" t="s">
        <v>627</v>
      </c>
      <c r="B1197" s="14" t="str">
        <f t="array" ref="B1197">VLOOKUP(A1197,{Metrik!$C$2:$C$998,Metrik!$B$2:$B$998},2,0)</f>
        <v>Medco Energi Internasional Tbk.</v>
      </c>
      <c r="C1197" s="15">
        <f>IFERROR(__xludf.DUMMYFUNCTION("GOOGLEFINANCE(""IDX:""&amp;A1197,""price"")"),1225.0)</f>
        <v>1225</v>
      </c>
      <c r="D1197" s="16" t="str">
        <f>IFERROR(__xludf.DUMMYFUNCTION("IF(A1197="""","""",
SPARKLINE(
INDEX(
GOOGLEFINANCE(""IDX:""&amp;A1197,""close"",TODAY()-365,TODAY()),
,2
),
{""linewidth"",1}
))
"),"#N/A")</f>
        <v>#N/A</v>
      </c>
      <c r="E1197" s="14" t="s">
        <v>30</v>
      </c>
      <c r="F1197" s="17" t="s">
        <v>29</v>
      </c>
      <c r="G1197" s="24">
        <f t="shared" si="8"/>
        <v>17</v>
      </c>
      <c r="H1197" s="19">
        <f>VLOOKUP(A1197,Metrik!$C$2:$Y$959,8,0)</f>
        <v>11.9</v>
      </c>
      <c r="I1197" s="20">
        <f>VLOOKUP(A1197,Metrik!$C$2:$Y$959,9,0)</f>
        <v>0.74</v>
      </c>
      <c r="J1197" s="20">
        <f>VLOOKUP(A1197,Metrik!$C$2:$Y$959,10,0)</f>
        <v>6.2</v>
      </c>
      <c r="K1197" s="20">
        <f>VLOOKUP(A1197,Metrik!$C$2:$Y$959,11,0)</f>
        <v>1.8</v>
      </c>
      <c r="L1197" s="20">
        <f>VLOOKUP(A1197,Metrik!$C$2:$Y$959,12,0)</f>
        <v>2.4</v>
      </c>
      <c r="M1197" s="20">
        <f>VLOOKUP(A1197,Metrik!$C$2:$Y$959,19,0)</f>
        <v>22.4</v>
      </c>
      <c r="N1197" s="21"/>
      <c r="O1197" s="21"/>
      <c r="P1197" s="21"/>
      <c r="Q1197" s="21"/>
      <c r="R1197" s="21"/>
      <c r="S1197" s="21"/>
      <c r="T1197" s="21"/>
      <c r="U1197" s="22">
        <f>IFERROR(__xludf.DUMMYFUNCTION("IFERROR(GOOGLEFINANCE(A1197,""closeyest""),"""")"),1215.0)</f>
        <v>1215</v>
      </c>
      <c r="V1197" s="23" t="str">
        <f>IFERROR(__xludf.DUMMYFUNCTION("IFERROR(GOOGLEFINANCE(A1197,""changepct""),"""")"),"")</f>
        <v/>
      </c>
      <c r="W1197" s="22">
        <f>IFERROR(__xludf.DUMMYFUNCTION("IFERROR(GOOGLEFINANCE(A1197,""priceopen""),"""")"),1185.0)</f>
        <v>1185</v>
      </c>
      <c r="X1197" s="22">
        <f>IFERROR(__xludf.DUMMYFUNCTION("IFERROR(GOOGLEFINANCE(A1197,""high""),"""")"),1265.0)</f>
        <v>1265</v>
      </c>
      <c r="Y1197" s="22">
        <f>IFERROR(__xludf.DUMMYFUNCTION("IFERROR(GOOGLEFINANCE(A1197,""low""),"""")"),1185.0)</f>
        <v>1185</v>
      </c>
      <c r="Z1197" s="22">
        <f>IFERROR(__xludf.DUMMYFUNCTION("IFERROR(GOOGLEFINANCE(A1197,""volume""),"""")"),9.68519E7)</f>
        <v>96851900</v>
      </c>
      <c r="AA1197" s="24" t="str">
        <f>VLOOKUP(A1197,Metrik!$C$2:$Y$959,5,0)</f>
        <v>Oil &amp; Gas</v>
      </c>
      <c r="AB1197" s="24" t="str">
        <f>VLOOKUP(A1197,Metrik!$C$2:$Y$959,3,0)</f>
        <v>Energy</v>
      </c>
    </row>
    <row r="1198">
      <c r="A1198" s="14" t="s">
        <v>627</v>
      </c>
      <c r="B1198" s="14" t="str">
        <f t="array" ref="B1198">VLOOKUP(A1198,{Metrik!$C$2:$C$998,Metrik!$B$2:$B$998},2,0)</f>
        <v>Medco Energi Internasional Tbk.</v>
      </c>
      <c r="C1198" s="15">
        <f>IFERROR(__xludf.DUMMYFUNCTION("GOOGLEFINANCE(""IDX:""&amp;A1198,""price"")"),1225.0)</f>
        <v>1225</v>
      </c>
      <c r="D1198" s="16" t="str">
        <f>IFERROR(__xludf.DUMMYFUNCTION("IF(A1198="""","""",
SPARKLINE(
INDEX(
GOOGLEFINANCE(""IDX:""&amp;A1198,""close"",TODAY()-365,TODAY()),
,2
),
{""linewidth"",1}
))
"),"#N/A")</f>
        <v>#N/A</v>
      </c>
      <c r="E1198" s="14" t="s">
        <v>32</v>
      </c>
      <c r="F1198" s="14" t="s">
        <v>29</v>
      </c>
      <c r="G1198" s="24">
        <f t="shared" si="8"/>
        <v>17</v>
      </c>
      <c r="H1198" s="19">
        <f>VLOOKUP(A1198,Metrik!$C$2:$Y$959,8,0)</f>
        <v>11.9</v>
      </c>
      <c r="I1198" s="20">
        <f>VLOOKUP(A1198,Metrik!$C$2:$Y$959,9,0)</f>
        <v>0.74</v>
      </c>
      <c r="J1198" s="20">
        <f>VLOOKUP(A1198,Metrik!$C$2:$Y$959,10,0)</f>
        <v>6.2</v>
      </c>
      <c r="K1198" s="20">
        <f>VLOOKUP(A1198,Metrik!$C$2:$Y$959,11,0)</f>
        <v>1.8</v>
      </c>
      <c r="L1198" s="20">
        <f>VLOOKUP(A1198,Metrik!$C$2:$Y$959,12,0)</f>
        <v>2.4</v>
      </c>
      <c r="M1198" s="20">
        <f>VLOOKUP(A1198,Metrik!$C$2:$Y$959,19,0)</f>
        <v>22.4</v>
      </c>
      <c r="N1198" s="21"/>
      <c r="O1198" s="21"/>
      <c r="P1198" s="21"/>
      <c r="Q1198" s="21"/>
      <c r="R1198" s="21"/>
      <c r="S1198" s="21"/>
      <c r="T1198" s="21"/>
      <c r="U1198" s="22">
        <f>IFERROR(__xludf.DUMMYFUNCTION("IFERROR(GOOGLEFINANCE(A1198,""closeyest""),"""")"),1215.0)</f>
        <v>1215</v>
      </c>
      <c r="V1198" s="23" t="str">
        <f>IFERROR(__xludf.DUMMYFUNCTION("IFERROR(GOOGLEFINANCE(A1198,""changepct""),"""")"),"")</f>
        <v/>
      </c>
      <c r="W1198" s="22">
        <f>IFERROR(__xludf.DUMMYFUNCTION("IFERROR(GOOGLEFINANCE(A1198,""priceopen""),"""")"),1185.0)</f>
        <v>1185</v>
      </c>
      <c r="X1198" s="22">
        <f>IFERROR(__xludf.DUMMYFUNCTION("IFERROR(GOOGLEFINANCE(A1198,""high""),"""")"),1265.0)</f>
        <v>1265</v>
      </c>
      <c r="Y1198" s="22">
        <f>IFERROR(__xludf.DUMMYFUNCTION("IFERROR(GOOGLEFINANCE(A1198,""low""),"""")"),1185.0)</f>
        <v>1185</v>
      </c>
      <c r="Z1198" s="22">
        <f>IFERROR(__xludf.DUMMYFUNCTION("IFERROR(GOOGLEFINANCE(A1198,""volume""),"""")"),9.68519E7)</f>
        <v>96851900</v>
      </c>
      <c r="AA1198" s="24" t="str">
        <f>VLOOKUP(A1198,Metrik!$C$2:$Y$959,5,0)</f>
        <v>Oil &amp; Gas</v>
      </c>
      <c r="AB1198" s="24" t="str">
        <f>VLOOKUP(A1198,Metrik!$C$2:$Y$959,3,0)</f>
        <v>Energy</v>
      </c>
    </row>
    <row r="1199">
      <c r="A1199" s="14" t="s">
        <v>627</v>
      </c>
      <c r="B1199" s="14" t="str">
        <f t="array" ref="B1199">VLOOKUP(A1199,{Metrik!$C$2:$C$998,Metrik!$B$2:$B$998},2,0)</f>
        <v>Medco Energi Internasional Tbk.</v>
      </c>
      <c r="C1199" s="15">
        <f>IFERROR(__xludf.DUMMYFUNCTION("GOOGLEFINANCE(""IDX:""&amp;A1199,""price"")"),1225.0)</f>
        <v>1225</v>
      </c>
      <c r="D1199" s="16" t="str">
        <f>IFERROR(__xludf.DUMMYFUNCTION("IF(A1199="""","""",
SPARKLINE(
INDEX(
GOOGLEFINANCE(""IDX:""&amp;A1199,""close"",TODAY()-365,TODAY()),
,2
),
{""linewidth"",1}
))
"),"#N/A")</f>
        <v>#N/A</v>
      </c>
      <c r="E1199" s="14" t="s">
        <v>67</v>
      </c>
      <c r="F1199" s="17" t="s">
        <v>51</v>
      </c>
      <c r="G1199" s="24">
        <f t="shared" si="8"/>
        <v>17</v>
      </c>
      <c r="H1199" s="19">
        <f>VLOOKUP(A1199,Metrik!$C$2:$Y$959,8,0)</f>
        <v>11.9</v>
      </c>
      <c r="I1199" s="20">
        <f>VLOOKUP(A1199,Metrik!$C$2:$Y$959,9,0)</f>
        <v>0.74</v>
      </c>
      <c r="J1199" s="20">
        <f>VLOOKUP(A1199,Metrik!$C$2:$Y$959,10,0)</f>
        <v>6.2</v>
      </c>
      <c r="K1199" s="20">
        <f>VLOOKUP(A1199,Metrik!$C$2:$Y$959,11,0)</f>
        <v>1.8</v>
      </c>
      <c r="L1199" s="20">
        <f>VLOOKUP(A1199,Metrik!$C$2:$Y$959,12,0)</f>
        <v>2.4</v>
      </c>
      <c r="M1199" s="20">
        <f>VLOOKUP(A1199,Metrik!$C$2:$Y$959,19,0)</f>
        <v>22.4</v>
      </c>
      <c r="N1199" s="21"/>
      <c r="O1199" s="21"/>
      <c r="P1199" s="21"/>
      <c r="Q1199" s="21"/>
      <c r="R1199" s="21"/>
      <c r="S1199" s="21"/>
      <c r="T1199" s="21"/>
      <c r="U1199" s="22">
        <f>IFERROR(__xludf.DUMMYFUNCTION("IFERROR(GOOGLEFINANCE(A1199,""closeyest""),"""")"),1215.0)</f>
        <v>1215</v>
      </c>
      <c r="V1199" s="23" t="str">
        <f>IFERROR(__xludf.DUMMYFUNCTION("IFERROR(GOOGLEFINANCE(A1199,""changepct""),"""")"),"")</f>
        <v/>
      </c>
      <c r="W1199" s="22">
        <f>IFERROR(__xludf.DUMMYFUNCTION("IFERROR(GOOGLEFINANCE(A1199,""priceopen""),"""")"),1185.0)</f>
        <v>1185</v>
      </c>
      <c r="X1199" s="22">
        <f>IFERROR(__xludf.DUMMYFUNCTION("IFERROR(GOOGLEFINANCE(A1199,""high""),"""")"),1265.0)</f>
        <v>1265</v>
      </c>
      <c r="Y1199" s="22">
        <f>IFERROR(__xludf.DUMMYFUNCTION("IFERROR(GOOGLEFINANCE(A1199,""low""),"""")"),1185.0)</f>
        <v>1185</v>
      </c>
      <c r="Z1199" s="22">
        <f>IFERROR(__xludf.DUMMYFUNCTION("IFERROR(GOOGLEFINANCE(A1199,""volume""),"""")"),9.68519E7)</f>
        <v>96851900</v>
      </c>
      <c r="AA1199" s="24" t="str">
        <f>VLOOKUP(A1199,Metrik!$C$2:$Y$959,5,0)</f>
        <v>Oil &amp; Gas</v>
      </c>
      <c r="AB1199" s="24" t="str">
        <f>VLOOKUP(A1199,Metrik!$C$2:$Y$959,3,0)</f>
        <v>Energy</v>
      </c>
    </row>
    <row r="1200">
      <c r="A1200" s="14" t="s">
        <v>627</v>
      </c>
      <c r="B1200" s="14" t="str">
        <f t="array" ref="B1200">VLOOKUP(A1200,{Metrik!$C$2:$C$998,Metrik!$B$2:$B$998},2,0)</f>
        <v>Medco Energi Internasional Tbk.</v>
      </c>
      <c r="C1200" s="15">
        <f>IFERROR(__xludf.DUMMYFUNCTION("GOOGLEFINANCE(""IDX:""&amp;A1200,""price"")"),1225.0)</f>
        <v>1225</v>
      </c>
      <c r="D1200" s="16" t="str">
        <f>IFERROR(__xludf.DUMMYFUNCTION("IF(A1200="""","""",
SPARKLINE(
INDEX(
GOOGLEFINANCE(""IDX:""&amp;A1200,""close"",TODAY()-365,TODAY()),
,2
),
{""linewidth"",1}
))
"),"#N/A")</f>
        <v>#N/A</v>
      </c>
      <c r="E1200" s="14" t="s">
        <v>33</v>
      </c>
      <c r="F1200" s="14" t="s">
        <v>34</v>
      </c>
      <c r="G1200" s="24">
        <f t="shared" si="8"/>
        <v>17</v>
      </c>
      <c r="H1200" s="19">
        <f>VLOOKUP(A1200,Metrik!$C$2:$Y$959,8,0)</f>
        <v>11.9</v>
      </c>
      <c r="I1200" s="20">
        <f>VLOOKUP(A1200,Metrik!$C$2:$Y$959,9,0)</f>
        <v>0.74</v>
      </c>
      <c r="J1200" s="20">
        <f>VLOOKUP(A1200,Metrik!$C$2:$Y$959,10,0)</f>
        <v>6.2</v>
      </c>
      <c r="K1200" s="20">
        <f>VLOOKUP(A1200,Metrik!$C$2:$Y$959,11,0)</f>
        <v>1.8</v>
      </c>
      <c r="L1200" s="20">
        <f>VLOOKUP(A1200,Metrik!$C$2:$Y$959,12,0)</f>
        <v>2.4</v>
      </c>
      <c r="M1200" s="20">
        <f>VLOOKUP(A1200,Metrik!$C$2:$Y$959,19,0)</f>
        <v>22.4</v>
      </c>
      <c r="N1200" s="21"/>
      <c r="O1200" s="21"/>
      <c r="P1200" s="21"/>
      <c r="Q1200" s="21"/>
      <c r="R1200" s="21"/>
      <c r="S1200" s="21"/>
      <c r="T1200" s="21"/>
      <c r="U1200" s="22">
        <f>IFERROR(__xludf.DUMMYFUNCTION("IFERROR(GOOGLEFINANCE(A1200,""closeyest""),"""")"),1215.0)</f>
        <v>1215</v>
      </c>
      <c r="V1200" s="23" t="str">
        <f>IFERROR(__xludf.DUMMYFUNCTION("IFERROR(GOOGLEFINANCE(A1200,""changepct""),"""")"),"")</f>
        <v/>
      </c>
      <c r="W1200" s="22">
        <f>IFERROR(__xludf.DUMMYFUNCTION("IFERROR(GOOGLEFINANCE(A1200,""priceopen""),"""")"),1185.0)</f>
        <v>1185</v>
      </c>
      <c r="X1200" s="22">
        <f>IFERROR(__xludf.DUMMYFUNCTION("IFERROR(GOOGLEFINANCE(A1200,""high""),"""")"),1265.0)</f>
        <v>1265</v>
      </c>
      <c r="Y1200" s="22">
        <f>IFERROR(__xludf.DUMMYFUNCTION("IFERROR(GOOGLEFINANCE(A1200,""low""),"""")"),1185.0)</f>
        <v>1185</v>
      </c>
      <c r="Z1200" s="22">
        <f>IFERROR(__xludf.DUMMYFUNCTION("IFERROR(GOOGLEFINANCE(A1200,""volume""),"""")"),9.68519E7)</f>
        <v>96851900</v>
      </c>
      <c r="AA1200" s="24" t="str">
        <f>VLOOKUP(A1200,Metrik!$C$2:$Y$959,5,0)</f>
        <v>Oil &amp; Gas</v>
      </c>
      <c r="AB1200" s="24" t="str">
        <f>VLOOKUP(A1200,Metrik!$C$2:$Y$959,3,0)</f>
        <v>Energy</v>
      </c>
    </row>
    <row r="1201">
      <c r="A1201" s="14" t="s">
        <v>627</v>
      </c>
      <c r="B1201" s="14" t="str">
        <f t="array" ref="B1201">VLOOKUP(A1201,{Metrik!$C$2:$C$998,Metrik!$B$2:$B$998},2,0)</f>
        <v>Medco Energi Internasional Tbk.</v>
      </c>
      <c r="C1201" s="15">
        <f>IFERROR(__xludf.DUMMYFUNCTION("GOOGLEFINANCE(""IDX:""&amp;A1201,""price"")"),1225.0)</f>
        <v>1225</v>
      </c>
      <c r="D1201" s="16" t="str">
        <f>IFERROR(__xludf.DUMMYFUNCTION("IF(A1201="""","""",
SPARKLINE(
INDEX(
GOOGLEFINANCE(""IDX:""&amp;A1201,""close"",TODAY()-365,TODAY()),
,2
),
{""linewidth"",1}
))
"),"#N/A")</f>
        <v>#N/A</v>
      </c>
      <c r="E1201" s="14" t="s">
        <v>41</v>
      </c>
      <c r="F1201" s="14" t="s">
        <v>34</v>
      </c>
      <c r="G1201" s="24">
        <f t="shared" si="8"/>
        <v>17</v>
      </c>
      <c r="H1201" s="19">
        <f>VLOOKUP(A1201,Metrik!$C$2:$Y$959,8,0)</f>
        <v>11.9</v>
      </c>
      <c r="I1201" s="20">
        <f>VLOOKUP(A1201,Metrik!$C$2:$Y$959,9,0)</f>
        <v>0.74</v>
      </c>
      <c r="J1201" s="20">
        <f>VLOOKUP(A1201,Metrik!$C$2:$Y$959,10,0)</f>
        <v>6.2</v>
      </c>
      <c r="K1201" s="20">
        <f>VLOOKUP(A1201,Metrik!$C$2:$Y$959,11,0)</f>
        <v>1.8</v>
      </c>
      <c r="L1201" s="20">
        <f>VLOOKUP(A1201,Metrik!$C$2:$Y$959,12,0)</f>
        <v>2.4</v>
      </c>
      <c r="M1201" s="20">
        <f>VLOOKUP(A1201,Metrik!$C$2:$Y$959,19,0)</f>
        <v>22.4</v>
      </c>
      <c r="N1201" s="21"/>
      <c r="O1201" s="21"/>
      <c r="P1201" s="21"/>
      <c r="Q1201" s="21"/>
      <c r="R1201" s="21"/>
      <c r="S1201" s="21"/>
      <c r="T1201" s="21"/>
      <c r="U1201" s="22">
        <f>IFERROR(__xludf.DUMMYFUNCTION("IFERROR(GOOGLEFINANCE(A1201,""closeyest""),"""")"),1215.0)</f>
        <v>1215</v>
      </c>
      <c r="V1201" s="23" t="str">
        <f>IFERROR(__xludf.DUMMYFUNCTION("IFERROR(GOOGLEFINANCE(A1201,""changepct""),"""")"),"")</f>
        <v/>
      </c>
      <c r="W1201" s="22">
        <f>IFERROR(__xludf.DUMMYFUNCTION("IFERROR(GOOGLEFINANCE(A1201,""priceopen""),"""")"),1185.0)</f>
        <v>1185</v>
      </c>
      <c r="X1201" s="22">
        <f>IFERROR(__xludf.DUMMYFUNCTION("IFERROR(GOOGLEFINANCE(A1201,""high""),"""")"),1265.0)</f>
        <v>1265</v>
      </c>
      <c r="Y1201" s="22">
        <f>IFERROR(__xludf.DUMMYFUNCTION("IFERROR(GOOGLEFINANCE(A1201,""low""),"""")"),1185.0)</f>
        <v>1185</v>
      </c>
      <c r="Z1201" s="22">
        <f>IFERROR(__xludf.DUMMYFUNCTION("IFERROR(GOOGLEFINANCE(A1201,""volume""),"""")"),9.68519E7)</f>
        <v>96851900</v>
      </c>
      <c r="AA1201" s="24" t="str">
        <f>VLOOKUP(A1201,Metrik!$C$2:$Y$959,5,0)</f>
        <v>Oil &amp; Gas</v>
      </c>
      <c r="AB1201" s="24" t="str">
        <f>VLOOKUP(A1201,Metrik!$C$2:$Y$959,3,0)</f>
        <v>Energy</v>
      </c>
    </row>
    <row r="1202">
      <c r="A1202" s="17" t="s">
        <v>627</v>
      </c>
      <c r="B1202" s="14" t="str">
        <f t="array" ref="B1202">VLOOKUP(A1202,{Metrik!$C$2:$C$998,Metrik!$B$2:$B$998},2,0)</f>
        <v>Medco Energi Internasional Tbk.</v>
      </c>
      <c r="C1202" s="15">
        <f>IFERROR(__xludf.DUMMYFUNCTION("GOOGLEFINANCE(""IDX:""&amp;A1202,""price"")"),1225.0)</f>
        <v>1225</v>
      </c>
      <c r="D1202" s="16" t="str">
        <f>IFERROR(__xludf.DUMMYFUNCTION("IF(A1202="""","""",
SPARKLINE(
INDEX(
GOOGLEFINANCE(""IDX:""&amp;A1202,""close"",TODAY()-365,TODAY()),
,2
),
{""linewidth"",1}
))
"),"#N/A")</f>
        <v>#N/A</v>
      </c>
      <c r="E1202" s="14" t="s">
        <v>35</v>
      </c>
      <c r="F1202" s="17" t="s">
        <v>36</v>
      </c>
      <c r="G1202" s="38">
        <f t="shared" si="8"/>
        <v>17</v>
      </c>
      <c r="H1202" s="34">
        <f>VLOOKUP(A1202,Metrik!$C$2:$Y$959,8,0)</f>
        <v>11.9</v>
      </c>
      <c r="I1202" s="34">
        <f>VLOOKUP(A1202,Metrik!$C$2:$Y$959,9,0)</f>
        <v>0.74</v>
      </c>
      <c r="J1202" s="34">
        <f>VLOOKUP(A1202,Metrik!$C$2:$Y$959,10,0)</f>
        <v>6.2</v>
      </c>
      <c r="K1202" s="34">
        <f>VLOOKUP(A1202,Metrik!$C$2:$Y$959,11,0)</f>
        <v>1.8</v>
      </c>
      <c r="L1202" s="34">
        <f>VLOOKUP(A1202,Metrik!$C$2:$Y$959,12,0)</f>
        <v>2.4</v>
      </c>
      <c r="M1202" s="34">
        <f>VLOOKUP(A1202,Metrik!$C$2:$Y$959,19,0)</f>
        <v>22.4</v>
      </c>
      <c r="N1202" s="26"/>
      <c r="O1202" s="26"/>
      <c r="P1202" s="26"/>
      <c r="Q1202" s="26"/>
      <c r="R1202" s="26"/>
      <c r="S1202" s="26"/>
      <c r="T1202" s="26"/>
      <c r="U1202" s="35">
        <f>IFERROR(__xludf.DUMMYFUNCTION("IFERROR(GOOGLEFINANCE(A1202,""closeyest""),"""")"),1215.0)</f>
        <v>1215</v>
      </c>
      <c r="V1202" s="36" t="str">
        <f>IFERROR(__xludf.DUMMYFUNCTION("IFERROR(GOOGLEFINANCE(A1202,""changepct""),"""")"),"")</f>
        <v/>
      </c>
      <c r="W1202" s="35">
        <f>IFERROR(__xludf.DUMMYFUNCTION("IFERROR(GOOGLEFINANCE(A1202,""priceopen""),"""")"),1185.0)</f>
        <v>1185</v>
      </c>
      <c r="X1202" s="35">
        <f>IFERROR(__xludf.DUMMYFUNCTION("IFERROR(GOOGLEFINANCE(A1202,""high""),"""")"),1265.0)</f>
        <v>1265</v>
      </c>
      <c r="Y1202" s="35">
        <f>IFERROR(__xludf.DUMMYFUNCTION("IFERROR(GOOGLEFINANCE(A1202,""low""),"""")"),1185.0)</f>
        <v>1185</v>
      </c>
      <c r="Z1202" s="35">
        <f>IFERROR(__xludf.DUMMYFUNCTION("IFERROR(GOOGLEFINANCE(A1202,""volume""),"""")"),9.68519E7)</f>
        <v>96851900</v>
      </c>
      <c r="AA1202" s="14" t="str">
        <f>VLOOKUP(A1202,Metrik!$C$2:$Y$959,5,0)</f>
        <v>Oil &amp; Gas</v>
      </c>
      <c r="AB1202" s="14" t="str">
        <f>VLOOKUP(A1202,Metrik!$C$2:$Y$959,3,0)</f>
        <v>Energy</v>
      </c>
    </row>
    <row r="1203">
      <c r="A1203" s="14" t="s">
        <v>627</v>
      </c>
      <c r="B1203" s="14" t="str">
        <f t="array" ref="B1203">VLOOKUP(A1203,{Metrik!$C$2:$C$998,Metrik!$B$2:$B$998},2,0)</f>
        <v>Medco Energi Internasional Tbk.</v>
      </c>
      <c r="C1203" s="15">
        <f>IFERROR(__xludf.DUMMYFUNCTION("GOOGLEFINANCE(""IDX:""&amp;A1203,""price"")"),1225.0)</f>
        <v>1225</v>
      </c>
      <c r="D1203" s="16" t="str">
        <f>IFERROR(__xludf.DUMMYFUNCTION("IF(A1203="""","""",
SPARKLINE(
INDEX(
GOOGLEFINANCE(""IDX:""&amp;A1203,""close"",TODAY()-365,TODAY()),
,2
),
{""linewidth"",1}
))
"),"#N/A")</f>
        <v>#N/A</v>
      </c>
      <c r="E1203" s="14" t="s">
        <v>39</v>
      </c>
      <c r="F1203" s="25">
        <v>46356.0</v>
      </c>
      <c r="G1203" s="24">
        <f t="shared" si="8"/>
        <v>17</v>
      </c>
      <c r="H1203" s="19">
        <f>VLOOKUP(A1203,Metrik!$C$2:$Y$959,8,0)</f>
        <v>11.9</v>
      </c>
      <c r="I1203" s="20">
        <f>VLOOKUP(A1203,Metrik!$C$2:$Y$959,9,0)</f>
        <v>0.74</v>
      </c>
      <c r="J1203" s="20">
        <f>VLOOKUP(A1203,Metrik!$C$2:$Y$959,10,0)</f>
        <v>6.2</v>
      </c>
      <c r="K1203" s="20">
        <f>VLOOKUP(A1203,Metrik!$C$2:$Y$959,11,0)</f>
        <v>1.8</v>
      </c>
      <c r="L1203" s="20">
        <f>VLOOKUP(A1203,Metrik!$C$2:$Y$959,12,0)</f>
        <v>2.4</v>
      </c>
      <c r="M1203" s="20">
        <f>VLOOKUP(A1203,Metrik!$C$2:$Y$959,19,0)</f>
        <v>22.4</v>
      </c>
      <c r="N1203" s="21"/>
      <c r="O1203" s="21"/>
      <c r="P1203" s="21"/>
      <c r="Q1203" s="21"/>
      <c r="R1203" s="21"/>
      <c r="S1203" s="21"/>
      <c r="T1203" s="21"/>
      <c r="U1203" s="22">
        <f>IFERROR(__xludf.DUMMYFUNCTION("IFERROR(GOOGLEFINANCE(A1203,""closeyest""),"""")"),1215.0)</f>
        <v>1215</v>
      </c>
      <c r="V1203" s="23" t="str">
        <f>IFERROR(__xludf.DUMMYFUNCTION("IFERROR(GOOGLEFINANCE(A1203,""changepct""),"""")"),"")</f>
        <v/>
      </c>
      <c r="W1203" s="22">
        <f>IFERROR(__xludf.DUMMYFUNCTION("IFERROR(GOOGLEFINANCE(A1203,""priceopen""),"""")"),1185.0)</f>
        <v>1185</v>
      </c>
      <c r="X1203" s="22">
        <f>IFERROR(__xludf.DUMMYFUNCTION("IFERROR(GOOGLEFINANCE(A1203,""high""),"""")"),1265.0)</f>
        <v>1265</v>
      </c>
      <c r="Y1203" s="22">
        <f>IFERROR(__xludf.DUMMYFUNCTION("IFERROR(GOOGLEFINANCE(A1203,""low""),"""")"),1185.0)</f>
        <v>1185</v>
      </c>
      <c r="Z1203" s="22">
        <f>IFERROR(__xludf.DUMMYFUNCTION("IFERROR(GOOGLEFINANCE(A1203,""volume""),"""")"),9.68519E7)</f>
        <v>96851900</v>
      </c>
      <c r="AA1203" s="24" t="str">
        <f>VLOOKUP(A1203,Metrik!$C$2:$Y$959,5,0)</f>
        <v>Oil &amp; Gas</v>
      </c>
      <c r="AB1203" s="24" t="str">
        <f>VLOOKUP(A1203,Metrik!$C$2:$Y$959,3,0)</f>
        <v>Energy</v>
      </c>
    </row>
    <row r="1204">
      <c r="A1204" s="14" t="s">
        <v>628</v>
      </c>
      <c r="B1204" s="14" t="str">
        <f t="array" ref="B1204">VLOOKUP(A1204,{Metrik!$C$2:$C$998,Metrik!$B$2:$B$998},2,0)</f>
        <v>Hetzer Medical Indonesia Tbk.</v>
      </c>
      <c r="C1204" s="15">
        <f>IFERROR(__xludf.DUMMYFUNCTION("GOOGLEFINANCE(""IDX:""&amp;A1204,""price"")"),73.0)</f>
        <v>73</v>
      </c>
      <c r="D1204" s="16" t="str">
        <f>IFERROR(__xludf.DUMMYFUNCTION("IF(A1204="""","""",
SPARKLINE(
INDEX(
GOOGLEFINANCE(""IDX:""&amp;A1204,""close"",TODAY()-365,TODAY()),
,2
),
{""linewidth"",1}
))
"),"#N/A")</f>
        <v>#N/A</v>
      </c>
      <c r="E1204" s="26"/>
      <c r="F1204" s="26"/>
      <c r="G1204" s="24">
        <f t="shared" si="8"/>
        <v>0</v>
      </c>
      <c r="H1204" s="19">
        <f>VLOOKUP(A1204,Metrik!$C$2:$Y$959,8,0)</f>
        <v>-22.5</v>
      </c>
      <c r="I1204" s="20">
        <f>VLOOKUP(A1204,Metrik!$C$2:$Y$959,9,0)</f>
        <v>2.9</v>
      </c>
      <c r="J1204" s="20">
        <f>VLOOKUP(A1204,Metrik!$C$2:$Y$959,10,0)</f>
        <v>-12.8</v>
      </c>
      <c r="K1204" s="20">
        <f>VLOOKUP(A1204,Metrik!$C$2:$Y$959,11,0)</f>
        <v>-9.8</v>
      </c>
      <c r="L1204" s="20">
        <f>VLOOKUP(A1204,Metrik!$C$2:$Y$959,12,0)</f>
        <v>0.31</v>
      </c>
      <c r="M1204" s="20">
        <f>VLOOKUP(A1204,Metrik!$C$2:$Y$959,19,0)</f>
        <v>-130</v>
      </c>
      <c r="N1204" s="21"/>
      <c r="O1204" s="21"/>
      <c r="P1204" s="21"/>
      <c r="Q1204" s="21"/>
      <c r="R1204" s="21"/>
      <c r="S1204" s="21"/>
      <c r="T1204" s="21"/>
      <c r="U1204" s="22">
        <f>IFERROR(__xludf.DUMMYFUNCTION("IFERROR(GOOGLEFINANCE(A1204,""closeyest""),"""")"),69.0)</f>
        <v>69</v>
      </c>
      <c r="V1204" s="23">
        <f>IFERROR(__xludf.DUMMYFUNCTION("IFERROR(GOOGLEFINANCE(A1204,""changepct""),"""")"),5.8)</f>
        <v>5.8</v>
      </c>
      <c r="W1204" s="22">
        <f>IFERROR(__xludf.DUMMYFUNCTION("IFERROR(GOOGLEFINANCE(A1204,""priceopen""),"""")"),69.0)</f>
        <v>69</v>
      </c>
      <c r="X1204" s="22">
        <f>IFERROR(__xludf.DUMMYFUNCTION("IFERROR(GOOGLEFINANCE(A1204,""high""),"""")"),74.0)</f>
        <v>74</v>
      </c>
      <c r="Y1204" s="22">
        <f>IFERROR(__xludf.DUMMYFUNCTION("IFERROR(GOOGLEFINANCE(A1204,""low""),"""")"),68.0)</f>
        <v>68</v>
      </c>
      <c r="Z1204" s="22">
        <f>IFERROR(__xludf.DUMMYFUNCTION("IFERROR(GOOGLEFINANCE(A1204,""volume""),"""")"),3.2076E7)</f>
        <v>32076000</v>
      </c>
      <c r="AA1204" s="24" t="str">
        <f>VLOOKUP(A1204,Metrik!$C$2:$Y$959,5,0)</f>
        <v>Healthcare Equipment &amp; Supplies</v>
      </c>
      <c r="AB1204" s="24" t="str">
        <f>VLOOKUP(A1204,Metrik!$C$2:$Y$959,3,0)</f>
        <v>Healthcare</v>
      </c>
    </row>
    <row r="1205">
      <c r="A1205" s="14" t="s">
        <v>629</v>
      </c>
      <c r="B1205" s="14" t="str">
        <f t="array" ref="B1205">VLOOKUP(A1205,{Metrik!$C$2:$C$998,Metrik!$B$2:$B$998},2,0)</f>
        <v>Bank Mega Tbk</v>
      </c>
      <c r="C1205" s="15">
        <f>IFERROR(__xludf.DUMMYFUNCTION("GOOGLEFINANCE(""IDX:""&amp;A1205,""price"")"),2010.0)</f>
        <v>2010</v>
      </c>
      <c r="D1205" s="16" t="str">
        <f>IFERROR(__xludf.DUMMYFUNCTION("IF(A1205="""","""",
SPARKLINE(
INDEX(
GOOGLEFINANCE(""IDX:""&amp;A1205,""close"",TODAY()-365,TODAY()),
,2
),
{""linewidth"",1}
))
"),"#N/A")</f>
        <v>#N/A</v>
      </c>
      <c r="E1205" s="26"/>
      <c r="F1205" s="26"/>
      <c r="G1205" s="24">
        <f t="shared" si="8"/>
        <v>0</v>
      </c>
      <c r="H1205" s="19">
        <f>VLOOKUP(A1205,Metrik!$C$2:$Y$959,8,0)</f>
        <v>12.1</v>
      </c>
      <c r="I1205" s="20">
        <f>VLOOKUP(A1205,Metrik!$C$2:$Y$959,9,0)</f>
        <v>1.7</v>
      </c>
      <c r="J1205" s="20">
        <f>VLOOKUP(A1205,Metrik!$C$2:$Y$959,10,0)</f>
        <v>14.3</v>
      </c>
      <c r="K1205" s="20">
        <f>VLOOKUP(A1205,Metrik!$C$2:$Y$959,11,0)</f>
        <v>2.6</v>
      </c>
      <c r="L1205" s="20">
        <f>VLOOKUP(A1205,Metrik!$C$2:$Y$959,12,0)</f>
        <v>4.5</v>
      </c>
      <c r="M1205" s="20">
        <f>VLOOKUP(A1205,Metrik!$C$2:$Y$959,19,0)</f>
        <v>130</v>
      </c>
      <c r="N1205" s="32">
        <v>5.12</v>
      </c>
      <c r="O1205" s="32">
        <v>26.85</v>
      </c>
      <c r="P1205" s="32">
        <v>68.4</v>
      </c>
      <c r="Q1205" s="32">
        <v>1.62</v>
      </c>
      <c r="R1205" s="32">
        <v>69.58</v>
      </c>
      <c r="S1205" s="32">
        <v>43.22</v>
      </c>
      <c r="T1205" s="32">
        <v>6.15</v>
      </c>
      <c r="U1205" s="22">
        <f>IFERROR(__xludf.DUMMYFUNCTION("IFERROR(GOOGLEFINANCE(A1205,""closeyest""),"""")"),0.37)</f>
        <v>0.37</v>
      </c>
      <c r="V1205" s="23">
        <f>IFERROR(__xludf.DUMMYFUNCTION("IFERROR(GOOGLEFINANCE(A1205,""changepct""),"""")"),0.0)</f>
        <v>0</v>
      </c>
      <c r="W1205" s="22" t="str">
        <f>IFERROR(__xludf.DUMMYFUNCTION("IFERROR(GOOGLEFINANCE(A1205,""priceopen""),"""")"),"")</f>
        <v/>
      </c>
      <c r="X1205" s="22" t="str">
        <f>IFERROR(__xludf.DUMMYFUNCTION("IFERROR(GOOGLEFINANCE(A1205,""high""),"""")"),"")</f>
        <v/>
      </c>
      <c r="Y1205" s="22" t="str">
        <f>IFERROR(__xludf.DUMMYFUNCTION("IFERROR(GOOGLEFINANCE(A1205,""low""),"""")"),"")</f>
        <v/>
      </c>
      <c r="Z1205" s="22">
        <f>IFERROR(__xludf.DUMMYFUNCTION("IFERROR(GOOGLEFINANCE(A1205,""volume""),"""")"),0.0)</f>
        <v>0</v>
      </c>
      <c r="AA1205" s="24" t="str">
        <f>VLOOKUP(A1205,Metrik!$C$2:$Y$959,5,0)</f>
        <v>Banks</v>
      </c>
      <c r="AB1205" s="24" t="str">
        <f>VLOOKUP(A1205,Metrik!$C$2:$Y$959,3,0)</f>
        <v>Financials</v>
      </c>
    </row>
    <row r="1206">
      <c r="A1206" s="14" t="s">
        <v>630</v>
      </c>
      <c r="B1206" s="14" t="str">
        <f t="array" ref="B1206">VLOOKUP(A1206,{Metrik!$C$2:$C$998,Metrik!$B$2:$B$998},2,0)</f>
        <v>Harta Djaya Karya Tbk.</v>
      </c>
      <c r="C1206" s="15">
        <f>IFERROR(__xludf.DUMMYFUNCTION("GOOGLEFINANCE(""IDX:""&amp;A1206,""price"")"),80.0)</f>
        <v>80</v>
      </c>
      <c r="D1206" s="16" t="str">
        <f>IFERROR(__xludf.DUMMYFUNCTION("IF(A1206="""","""",
SPARKLINE(
INDEX(
GOOGLEFINANCE(""IDX:""&amp;A1206,""close"",TODAY()-365,TODAY()),
,2
),
{""linewidth"",1}
))
"),"#N/A")</f>
        <v>#N/A</v>
      </c>
      <c r="E1206" s="26"/>
      <c r="F1206" s="26"/>
      <c r="G1206" s="24">
        <f t="shared" si="8"/>
        <v>0</v>
      </c>
      <c r="H1206" s="19">
        <f>VLOOKUP(A1206,Metrik!$C$2:$Y$959,8,0)</f>
        <v>-11.3</v>
      </c>
      <c r="I1206" s="20">
        <f>VLOOKUP(A1206,Metrik!$C$2:$Y$959,9,0)</f>
        <v>3.9</v>
      </c>
      <c r="J1206" s="20">
        <f>VLOOKUP(A1206,Metrik!$C$2:$Y$959,10,0)</f>
        <v>-34</v>
      </c>
      <c r="K1206" s="20">
        <f>VLOOKUP(A1206,Metrik!$C$2:$Y$959,11,0)</f>
        <v>-24.4</v>
      </c>
      <c r="L1206" s="20">
        <f>VLOOKUP(A1206,Metrik!$C$2:$Y$959,12,0)</f>
        <v>0.4</v>
      </c>
      <c r="M1206" s="20">
        <f>VLOOKUP(A1206,Metrik!$C$2:$Y$959,19,0)</f>
        <v>-77</v>
      </c>
      <c r="N1206" s="21"/>
      <c r="O1206" s="21"/>
      <c r="P1206" s="21"/>
      <c r="Q1206" s="21"/>
      <c r="R1206" s="21"/>
      <c r="S1206" s="21"/>
      <c r="T1206" s="21"/>
      <c r="U1206" s="22">
        <f>IFERROR(__xludf.DUMMYFUNCTION("IFERROR(GOOGLEFINANCE(A1206,""closeyest""),"""")"),79.0)</f>
        <v>79</v>
      </c>
      <c r="V1206" s="23">
        <f>IFERROR(__xludf.DUMMYFUNCTION("IFERROR(GOOGLEFINANCE(A1206,""changepct""),"""")"),1.27)</f>
        <v>1.27</v>
      </c>
      <c r="W1206" s="22">
        <f>IFERROR(__xludf.DUMMYFUNCTION("IFERROR(GOOGLEFINANCE(A1206,""priceopen""),"""")"),80.0)</f>
        <v>80</v>
      </c>
      <c r="X1206" s="22">
        <f>IFERROR(__xludf.DUMMYFUNCTION("IFERROR(GOOGLEFINANCE(A1206,""high""),"""")"),82.0)</f>
        <v>82</v>
      </c>
      <c r="Y1206" s="22">
        <f>IFERROR(__xludf.DUMMYFUNCTION("IFERROR(GOOGLEFINANCE(A1206,""low""),"""")"),77.0)</f>
        <v>77</v>
      </c>
      <c r="Z1206" s="22">
        <f>IFERROR(__xludf.DUMMYFUNCTION("IFERROR(GOOGLEFINANCE(A1206,""volume""),"""")"),1.41574E7)</f>
        <v>14157400</v>
      </c>
      <c r="AA1206" s="24" t="str">
        <f>VLOOKUP(A1206,Metrik!$C$2:$Y$959,5,0)</f>
        <v>Household Goods</v>
      </c>
      <c r="AB1206" s="24" t="str">
        <f>VLOOKUP(A1206,Metrik!$C$2:$Y$959,3,0)</f>
        <v>Consumer Cyclicals</v>
      </c>
    </row>
    <row r="1207">
      <c r="A1207" s="14" t="s">
        <v>631</v>
      </c>
      <c r="B1207" s="14" t="str">
        <f t="array" ref="B1207">VLOOKUP(A1207,{Metrik!$C$2:$C$998,Metrik!$B$2:$B$998},2,0)</f>
        <v>PT Menn Teknologi Indonesia Tbk.</v>
      </c>
      <c r="C1207" s="15">
        <f>IFERROR(__xludf.DUMMYFUNCTION("GOOGLEFINANCE(""IDX:""&amp;A1207,""price"")"),53.0)</f>
        <v>53</v>
      </c>
      <c r="D1207" s="16" t="str">
        <f>IFERROR(__xludf.DUMMYFUNCTION("IF(A1207="""","""",
SPARKLINE(
INDEX(
GOOGLEFINANCE(""IDX:""&amp;A1207,""close"",TODAY()-365,TODAY()),
,2
),
{""linewidth"",1}
))
"),"#N/A")</f>
        <v>#N/A</v>
      </c>
      <c r="E1207" s="26"/>
      <c r="F1207" s="26"/>
      <c r="G1207" s="24">
        <f t="shared" si="8"/>
        <v>0</v>
      </c>
      <c r="H1207" s="19">
        <f>VLOOKUP(A1207,Metrik!$C$2:$Y$959,8,0)</f>
        <v>-20.2</v>
      </c>
      <c r="I1207" s="20">
        <f>VLOOKUP(A1207,Metrik!$C$2:$Y$959,9,0)</f>
        <v>1.9</v>
      </c>
      <c r="J1207" s="20">
        <f>VLOOKUP(A1207,Metrik!$C$2:$Y$959,10,0)</f>
        <v>-9.6</v>
      </c>
      <c r="K1207" s="20">
        <f>VLOOKUP(A1207,Metrik!$C$2:$Y$959,11,0)</f>
        <v>-9.6</v>
      </c>
      <c r="L1207" s="20">
        <f>VLOOKUP(A1207,Metrik!$C$2:$Y$959,12,0)</f>
        <v>0</v>
      </c>
      <c r="M1207" s="20">
        <f>VLOOKUP(A1207,Metrik!$C$2:$Y$959,19,0)</f>
        <v>-520</v>
      </c>
      <c r="N1207" s="21"/>
      <c r="O1207" s="21"/>
      <c r="P1207" s="21"/>
      <c r="Q1207" s="21"/>
      <c r="R1207" s="21"/>
      <c r="S1207" s="21"/>
      <c r="T1207" s="21"/>
      <c r="U1207" s="22">
        <f>IFERROR(__xludf.DUMMYFUNCTION("IFERROR(GOOGLEFINANCE(A1207,""closeyest""),"""")"),53.0)</f>
        <v>53</v>
      </c>
      <c r="V1207" s="23">
        <f>IFERROR(__xludf.DUMMYFUNCTION("IFERROR(GOOGLEFINANCE(A1207,""changepct""),"""")"),0.0)</f>
        <v>0</v>
      </c>
      <c r="W1207" s="22" t="str">
        <f>IFERROR(__xludf.DUMMYFUNCTION("IFERROR(GOOGLEFINANCE(A1207,""priceopen""),"""")"),"")</f>
        <v/>
      </c>
      <c r="X1207" s="22" t="str">
        <f>IFERROR(__xludf.DUMMYFUNCTION("IFERROR(GOOGLEFINANCE(A1207,""high""),"""")"),"")</f>
        <v/>
      </c>
      <c r="Y1207" s="22" t="str">
        <f>IFERROR(__xludf.DUMMYFUNCTION("IFERROR(GOOGLEFINANCE(A1207,""low""),"""")"),"")</f>
        <v/>
      </c>
      <c r="Z1207" s="22">
        <f>IFERROR(__xludf.DUMMYFUNCTION("IFERROR(GOOGLEFINANCE(A1207,""volume""),"""")"),0.0)</f>
        <v>0</v>
      </c>
      <c r="AA1207" s="24" t="str">
        <f>VLOOKUP(A1207,Metrik!$C$2:$Y$959,5,0)</f>
        <v>Electronic Equipment, Instruments &amp; Components</v>
      </c>
      <c r="AB1207" s="24" t="str">
        <f>VLOOKUP(A1207,Metrik!$C$2:$Y$959,3,0)</f>
        <v>Technology</v>
      </c>
    </row>
    <row r="1208">
      <c r="A1208" s="14" t="s">
        <v>632</v>
      </c>
      <c r="B1208" s="14" t="str">
        <f t="array" ref="B1208">VLOOKUP(A1208,{Metrik!$C$2:$C$998,Metrik!$B$2:$B$998},2,0)</f>
        <v>Merry Riana Edukasi Tbk.</v>
      </c>
      <c r="C1208" s="15">
        <f>IFERROR(__xludf.DUMMYFUNCTION("GOOGLEFINANCE(""IDX:""&amp;A1208,""price"")"),109.0)</f>
        <v>109</v>
      </c>
      <c r="D1208" s="16" t="str">
        <f>IFERROR(__xludf.DUMMYFUNCTION("IF(A1208="""","""",
SPARKLINE(
INDEX(
GOOGLEFINANCE(""IDX:""&amp;A1208,""close"",TODAY()-365,TODAY()),
,2
),
{""linewidth"",1}
))
"),"#N/A")</f>
        <v>#N/A</v>
      </c>
      <c r="E1208" s="26"/>
      <c r="F1208" s="26"/>
      <c r="G1208" s="24">
        <f t="shared" si="8"/>
        <v>0</v>
      </c>
      <c r="H1208" s="19">
        <f>VLOOKUP(A1208,Metrik!$C$2:$Y$959,8,0)</f>
        <v>44.2</v>
      </c>
      <c r="I1208" s="20">
        <f>VLOOKUP(A1208,Metrik!$C$2:$Y$959,9,0)</f>
        <v>2.9</v>
      </c>
      <c r="J1208" s="20">
        <f>VLOOKUP(A1208,Metrik!$C$2:$Y$959,10,0)</f>
        <v>6.5</v>
      </c>
      <c r="K1208" s="20">
        <f>VLOOKUP(A1208,Metrik!$C$2:$Y$959,11,0)</f>
        <v>5.2</v>
      </c>
      <c r="L1208" s="20">
        <f>VLOOKUP(A1208,Metrik!$C$2:$Y$959,12,0)</f>
        <v>0.25</v>
      </c>
      <c r="M1208" s="20">
        <f>VLOOKUP(A1208,Metrik!$C$2:$Y$959,19,0)</f>
        <v>29</v>
      </c>
      <c r="N1208" s="21"/>
      <c r="O1208" s="21"/>
      <c r="P1208" s="21"/>
      <c r="Q1208" s="21"/>
      <c r="R1208" s="21"/>
      <c r="S1208" s="21"/>
      <c r="T1208" s="21"/>
      <c r="U1208" s="22">
        <f>IFERROR(__xludf.DUMMYFUNCTION("IFERROR(GOOGLEFINANCE(A1208,""closeyest""),"""")"),107.0)</f>
        <v>107</v>
      </c>
      <c r="V1208" s="23">
        <f>IFERROR(__xludf.DUMMYFUNCTION("IFERROR(GOOGLEFINANCE(A1208,""changepct""),"""")"),1.87)</f>
        <v>1.87</v>
      </c>
      <c r="W1208" s="22">
        <f>IFERROR(__xludf.DUMMYFUNCTION("IFERROR(GOOGLEFINANCE(A1208,""priceopen""),"""")"),108.0)</f>
        <v>108</v>
      </c>
      <c r="X1208" s="22">
        <f>IFERROR(__xludf.DUMMYFUNCTION("IFERROR(GOOGLEFINANCE(A1208,""high""),"""")"),115.0)</f>
        <v>115</v>
      </c>
      <c r="Y1208" s="22">
        <f>IFERROR(__xludf.DUMMYFUNCTION("IFERROR(GOOGLEFINANCE(A1208,""low""),"""")"),108.0)</f>
        <v>108</v>
      </c>
      <c r="Z1208" s="22">
        <f>IFERROR(__xludf.DUMMYFUNCTION("IFERROR(GOOGLEFINANCE(A1208,""volume""),"""")"),568700.0)</f>
        <v>568700</v>
      </c>
      <c r="AA1208" s="24" t="str">
        <f>VLOOKUP(A1208,Metrik!$C$2:$Y$959,5,0)</f>
        <v>Education &amp; Support Services</v>
      </c>
      <c r="AB1208" s="24" t="str">
        <f>VLOOKUP(A1208,Metrik!$C$2:$Y$959,3,0)</f>
        <v>Consumer Cyclicals</v>
      </c>
    </row>
    <row r="1209">
      <c r="A1209" s="14" t="s">
        <v>633</v>
      </c>
      <c r="B1209" s="14" t="str">
        <f t="array" ref="B1209">VLOOKUP(A1209,{Metrik!$C$2:$C$998,Metrik!$B$2:$B$998},2,0)</f>
        <v>Merck Tbk.</v>
      </c>
      <c r="C1209" s="15">
        <f>IFERROR(__xludf.DUMMYFUNCTION("GOOGLEFINANCE(""IDX:""&amp;A1209,""price"")"),3500.0)</f>
        <v>3500</v>
      </c>
      <c r="D1209" s="16" t="str">
        <f>IFERROR(__xludf.DUMMYFUNCTION("IF(A1209="""","""",
SPARKLINE(
INDEX(
GOOGLEFINANCE(""IDX:""&amp;A1209,""close"",TODAY()-365,TODAY()),
,2
),
{""linewidth"",1}
))
"),"#N/A")</f>
        <v>#N/A</v>
      </c>
      <c r="E1209" s="26"/>
      <c r="F1209" s="26"/>
      <c r="G1209" s="18">
        <f t="shared" si="8"/>
        <v>0</v>
      </c>
      <c r="H1209" s="19">
        <f>VLOOKUP(A1209,Metrik!$C$2:$Y$959,8,0)</f>
        <v>5.9</v>
      </c>
      <c r="I1209" s="20">
        <f>VLOOKUP(A1209,Metrik!$C$2:$Y$959,9,0)</f>
        <v>1.7</v>
      </c>
      <c r="J1209" s="20">
        <f>VLOOKUP(A1209,Metrik!$C$2:$Y$959,10,0)</f>
        <v>28.4</v>
      </c>
      <c r="K1209" s="20">
        <f>VLOOKUP(A1209,Metrik!$C$2:$Y$959,11,0)</f>
        <v>22.4</v>
      </c>
      <c r="L1209" s="20">
        <f>VLOOKUP(A1209,Metrik!$C$2:$Y$959,12,0)</f>
        <v>0.27</v>
      </c>
      <c r="M1209" s="20">
        <f>VLOOKUP(A1209,Metrik!$C$2:$Y$959,19,0)</f>
        <v>100</v>
      </c>
      <c r="N1209" s="21"/>
      <c r="O1209" s="21"/>
      <c r="P1209" s="21"/>
      <c r="Q1209" s="21"/>
      <c r="R1209" s="21"/>
      <c r="S1209" s="21"/>
      <c r="T1209" s="21"/>
      <c r="U1209" s="22">
        <f>IFERROR(__xludf.DUMMYFUNCTION("IFERROR(GOOGLEFINANCE(A1209,""closeyest""),"""")"),3420.0)</f>
        <v>3420</v>
      </c>
      <c r="V1209" s="23">
        <f>IFERROR(__xludf.DUMMYFUNCTION("IFERROR(GOOGLEFINANCE(A1209,""changepct""),"""")"),2.34)</f>
        <v>2.34</v>
      </c>
      <c r="W1209" s="22">
        <f>IFERROR(__xludf.DUMMYFUNCTION("IFERROR(GOOGLEFINANCE(A1209,""priceopen""),"""")"),3420.0)</f>
        <v>3420</v>
      </c>
      <c r="X1209" s="22">
        <f>IFERROR(__xludf.DUMMYFUNCTION("IFERROR(GOOGLEFINANCE(A1209,""high""),"""")"),3590.0)</f>
        <v>3590</v>
      </c>
      <c r="Y1209" s="22">
        <f>IFERROR(__xludf.DUMMYFUNCTION("IFERROR(GOOGLEFINANCE(A1209,""low""),"""")"),3390.0)</f>
        <v>3390</v>
      </c>
      <c r="Z1209" s="22">
        <f>IFERROR(__xludf.DUMMYFUNCTION("IFERROR(GOOGLEFINANCE(A1209,""volume""),"""")"),90000.0)</f>
        <v>90000</v>
      </c>
      <c r="AA1209" s="24" t="str">
        <f>VLOOKUP(A1209,Metrik!$C$2:$Y$959,5,0)</f>
        <v>Pharmaceuticals</v>
      </c>
      <c r="AB1209" s="24" t="str">
        <f>VLOOKUP(A1209,Metrik!$C$2:$Y$959,3,0)</f>
        <v>Healthcare</v>
      </c>
    </row>
    <row r="1210">
      <c r="A1210" s="14" t="s">
        <v>634</v>
      </c>
      <c r="B1210" s="14" t="str">
        <f t="array" ref="B1210">VLOOKUP(A1210,{Metrik!$C$2:$C$998,Metrik!$B$2:$B$998},2,0)</f>
        <v>Nusantara Infrastructure Tbk.</v>
      </c>
      <c r="C1210" s="15">
        <f>IFERROR(__xludf.DUMMYFUNCTION("GOOGLEFINANCE(""IDX:""&amp;A1210,""price"")"),238.0)</f>
        <v>238</v>
      </c>
      <c r="D1210" s="16" t="str">
        <f>IFERROR(__xludf.DUMMYFUNCTION("IF(A1210="""","""",
SPARKLINE(
INDEX(
GOOGLEFINANCE(""IDX:""&amp;A1210,""close"",TODAY()-365,TODAY()),
,2
),
{""linewidth"",1}
))
"),"#N/A")</f>
        <v>#N/A</v>
      </c>
      <c r="E1210" s="26"/>
      <c r="F1210" s="26"/>
      <c r="G1210" s="24">
        <f t="shared" si="8"/>
        <v>0</v>
      </c>
      <c r="H1210" s="19">
        <f>VLOOKUP(A1210,Metrik!$C$2:$Y$959,8,0)</f>
        <v>44.7</v>
      </c>
      <c r="I1210" s="20">
        <f>VLOOKUP(A1210,Metrik!$C$2:$Y$959,9,0)</f>
        <v>1</v>
      </c>
      <c r="J1210" s="20">
        <f>VLOOKUP(A1210,Metrik!$C$2:$Y$959,10,0)</f>
        <v>2.3</v>
      </c>
      <c r="K1210" s="20">
        <f>VLOOKUP(A1210,Metrik!$C$2:$Y$959,11,0)</f>
        <v>2.1</v>
      </c>
      <c r="L1210" s="20">
        <f>VLOOKUP(A1210,Metrik!$C$2:$Y$959,12,0)</f>
        <v>0.12</v>
      </c>
      <c r="M1210" s="20">
        <f>VLOOKUP(A1210,Metrik!$C$2:$Y$959,19,0)</f>
        <v>150</v>
      </c>
      <c r="N1210" s="21"/>
      <c r="O1210" s="21"/>
      <c r="P1210" s="21"/>
      <c r="Q1210" s="21"/>
      <c r="R1210" s="21"/>
      <c r="S1210" s="21"/>
      <c r="T1210" s="21"/>
      <c r="U1210" s="22">
        <f>IFERROR(__xludf.DUMMYFUNCTION("IFERROR(GOOGLEFINANCE(A1210,""closeyest""),"""")"),568.43)</f>
        <v>568.43</v>
      </c>
      <c r="V1210" s="23">
        <f>IFERROR(__xludf.DUMMYFUNCTION("IFERROR(GOOGLEFINANCE(A1210,""changepct""),"""")"),-0.26)</f>
        <v>-0.26</v>
      </c>
      <c r="W1210" s="22">
        <f>IFERROR(__xludf.DUMMYFUNCTION("IFERROR(GOOGLEFINANCE(A1210,""priceopen""),"""")"),572.95)</f>
        <v>572.95</v>
      </c>
      <c r="X1210" s="22">
        <f>IFERROR(__xludf.DUMMYFUNCTION("IFERROR(GOOGLEFINANCE(A1210,""high""),"""")"),576.07)</f>
        <v>576.07</v>
      </c>
      <c r="Y1210" s="22">
        <f>IFERROR(__xludf.DUMMYFUNCTION("IFERROR(GOOGLEFINANCE(A1210,""low""),"""")"),560.9)</f>
        <v>560.9</v>
      </c>
      <c r="Z1210" s="22">
        <f>IFERROR(__xludf.DUMMYFUNCTION("IFERROR(GOOGLEFINANCE(A1210,""volume""),"""")"),1.4347769E7)</f>
        <v>14347769</v>
      </c>
      <c r="AA1210" s="24" t="str">
        <f>VLOOKUP(A1210,Metrik!$C$2:$Y$959,5,0)</f>
        <v>Transport Infrastructure Operator</v>
      </c>
      <c r="AB1210" s="24" t="str">
        <f>VLOOKUP(A1210,Metrik!$C$2:$Y$959,3,0)</f>
        <v>Infrastructures</v>
      </c>
    </row>
    <row r="1211">
      <c r="A1211" s="14" t="s">
        <v>635</v>
      </c>
      <c r="B1211" s="14" t="str">
        <f t="array" ref="B1211">VLOOKUP(A1211,{Metrik!$C$2:$C$998,Metrik!$B$2:$B$998},2,0)</f>
        <v>Multifiling Mitra Indonesia Tbk.</v>
      </c>
      <c r="C1211" s="15">
        <f>IFERROR(__xludf.DUMMYFUNCTION("GOOGLEFINANCE(""IDX:""&amp;A1211,""price"")"),1300.0)</f>
        <v>1300</v>
      </c>
      <c r="D1211" s="16" t="str">
        <f>IFERROR(__xludf.DUMMYFUNCTION("IF(A1211="""","""",
SPARKLINE(
INDEX(
GOOGLEFINANCE(""IDX:""&amp;A1211,""close"",TODAY()-365,TODAY()),
,2
),
{""linewidth"",1}
))
"),"#N/A")</f>
        <v>#N/A</v>
      </c>
      <c r="E1211" s="26"/>
      <c r="F1211" s="26"/>
      <c r="G1211" s="24">
        <f t="shared" si="8"/>
        <v>0</v>
      </c>
      <c r="H1211" s="19">
        <f>VLOOKUP(A1211,Metrik!$C$2:$Y$959,8,0)</f>
        <v>48.2</v>
      </c>
      <c r="I1211" s="20">
        <f>VLOOKUP(A1211,Metrik!$C$2:$Y$959,9,0)</f>
        <v>7.7</v>
      </c>
      <c r="J1211" s="20">
        <f>VLOOKUP(A1211,Metrik!$C$2:$Y$959,10,0)</f>
        <v>15.9</v>
      </c>
      <c r="K1211" s="20">
        <f>VLOOKUP(A1211,Metrik!$C$2:$Y$959,11,0)</f>
        <v>4.6</v>
      </c>
      <c r="L1211" s="20">
        <f>VLOOKUP(A1211,Metrik!$C$2:$Y$959,12,0)</f>
        <v>2.5</v>
      </c>
      <c r="M1211" s="20">
        <f>VLOOKUP(A1211,Metrik!$C$2:$Y$959,19,0)</f>
        <v>47.1</v>
      </c>
      <c r="N1211" s="21"/>
      <c r="O1211" s="21"/>
      <c r="P1211" s="21"/>
      <c r="Q1211" s="21"/>
      <c r="R1211" s="21"/>
      <c r="S1211" s="21"/>
      <c r="T1211" s="21"/>
      <c r="U1211" s="22">
        <f>IFERROR(__xludf.DUMMYFUNCTION("IFERROR(GOOGLEFINANCE(A1211,""closeyest""),"""")"),1300.0)</f>
        <v>1300</v>
      </c>
      <c r="V1211" s="23">
        <f>IFERROR(__xludf.DUMMYFUNCTION("IFERROR(GOOGLEFINANCE(A1211,""changepct""),"""")"),0.0)</f>
        <v>0</v>
      </c>
      <c r="W1211" s="22" t="str">
        <f>IFERROR(__xludf.DUMMYFUNCTION("IFERROR(GOOGLEFINANCE(A1211,""priceopen""),"""")"),"")</f>
        <v/>
      </c>
      <c r="X1211" s="22" t="str">
        <f>IFERROR(__xludf.DUMMYFUNCTION("IFERROR(GOOGLEFINANCE(A1211,""high""),"""")"),"")</f>
        <v/>
      </c>
      <c r="Y1211" s="22" t="str">
        <f>IFERROR(__xludf.DUMMYFUNCTION("IFERROR(GOOGLEFINANCE(A1211,""low""),"""")"),"")</f>
        <v/>
      </c>
      <c r="Z1211" s="22">
        <f>IFERROR(__xludf.DUMMYFUNCTION("IFERROR(GOOGLEFINANCE(A1211,""volume""),"""")"),0.0)</f>
        <v>0</v>
      </c>
      <c r="AA1211" s="24" t="str">
        <f>VLOOKUP(A1211,Metrik!$C$2:$Y$959,5,0)</f>
        <v>Commercial Services</v>
      </c>
      <c r="AB1211" s="24" t="str">
        <f>VLOOKUP(A1211,Metrik!$C$2:$Y$959,3,0)</f>
        <v>Industrials</v>
      </c>
    </row>
    <row r="1212">
      <c r="A1212" s="14" t="s">
        <v>636</v>
      </c>
      <c r="B1212" s="14" t="str">
        <f t="array" ref="B1212">VLOOKUP(A1212,{Metrik!$C$2:$C$998,Metrik!$B$2:$B$998},2,0)</f>
        <v>Panca Anugrah Wisesa Tbk.</v>
      </c>
      <c r="C1212" s="15">
        <f>IFERROR(__xludf.DUMMYFUNCTION("GOOGLEFINANCE(""IDX:""&amp;A1212,""price"")"),8500.0)</f>
        <v>8500</v>
      </c>
      <c r="D1212" s="16" t="str">
        <f>IFERROR(__xludf.DUMMYFUNCTION("IF(A1212="""","""",
SPARKLINE(
INDEX(
GOOGLEFINANCE(""IDX:""&amp;A1212,""close"",TODAY()-365,TODAY()),
,2
),
{""linewidth"",1}
))
"),"#N/A")</f>
        <v>#N/A</v>
      </c>
      <c r="E1212" s="26"/>
      <c r="F1212" s="26"/>
      <c r="G1212" s="24">
        <f t="shared" si="8"/>
        <v>0</v>
      </c>
      <c r="H1212" s="19">
        <f>VLOOKUP(A1212,Metrik!$C$2:$Y$959,8,0)</f>
        <v>-1420</v>
      </c>
      <c r="I1212" s="20">
        <f>VLOOKUP(A1212,Metrik!$C$2:$Y$959,9,0)</f>
        <v>100</v>
      </c>
      <c r="J1212" s="20">
        <f>VLOOKUP(A1212,Metrik!$C$2:$Y$959,10,0)</f>
        <v>-7</v>
      </c>
      <c r="K1212" s="20">
        <f>VLOOKUP(A1212,Metrik!$C$2:$Y$959,11,0)</f>
        <v>-4.8</v>
      </c>
      <c r="L1212" s="20">
        <f>VLOOKUP(A1212,Metrik!$C$2:$Y$959,12,0)</f>
        <v>0.47</v>
      </c>
      <c r="M1212" s="20">
        <f>VLOOKUP(A1212,Metrik!$C$2:$Y$959,19,0)</f>
        <v>-7.1</v>
      </c>
      <c r="N1212" s="21"/>
      <c r="O1212" s="21"/>
      <c r="P1212" s="21"/>
      <c r="Q1212" s="21"/>
      <c r="R1212" s="21"/>
      <c r="S1212" s="21"/>
      <c r="T1212" s="21"/>
      <c r="U1212" s="22">
        <f>IFERROR(__xludf.DUMMYFUNCTION("IFERROR(GOOGLEFINANCE(A1212,""closeyest""),"""")"),8350.0)</f>
        <v>8350</v>
      </c>
      <c r="V1212" s="23">
        <f>IFERROR(__xludf.DUMMYFUNCTION("IFERROR(GOOGLEFINANCE(A1212,""changepct""),"""")"),1.8)</f>
        <v>1.8</v>
      </c>
      <c r="W1212" s="22">
        <f>IFERROR(__xludf.DUMMYFUNCTION("IFERROR(GOOGLEFINANCE(A1212,""priceopen""),"""")"),8100.0)</f>
        <v>8100</v>
      </c>
      <c r="X1212" s="22">
        <f>IFERROR(__xludf.DUMMYFUNCTION("IFERROR(GOOGLEFINANCE(A1212,""high""),"""")"),8600.0)</f>
        <v>8600</v>
      </c>
      <c r="Y1212" s="22">
        <f>IFERROR(__xludf.DUMMYFUNCTION("IFERROR(GOOGLEFINANCE(A1212,""low""),"""")"),8100.0)</f>
        <v>8100</v>
      </c>
      <c r="Z1212" s="22">
        <f>IFERROR(__xludf.DUMMYFUNCTION("IFERROR(GOOGLEFINANCE(A1212,""volume""),"""")"),132400.0)</f>
        <v>132400</v>
      </c>
      <c r="AA1212" s="24" t="str">
        <f>VLOOKUP(A1212,Metrik!$C$2:$Y$959,5,0)</f>
        <v>Household Goods</v>
      </c>
      <c r="AB1212" s="24" t="str">
        <f>VLOOKUP(A1212,Metrik!$C$2:$Y$959,3,0)</f>
        <v>Consumer Cyclicals</v>
      </c>
    </row>
    <row r="1213">
      <c r="A1213" s="14" t="s">
        <v>637</v>
      </c>
      <c r="B1213" s="14" t="str">
        <f t="array" ref="B1213">VLOOKUP(A1213,{Metrik!$C$2:$C$998,Metrik!$B$2:$B$998},2,0)</f>
        <v>PT Magna Investama Mandiri Tbk</v>
      </c>
      <c r="C1213" s="15">
        <f>IFERROR(__xludf.DUMMYFUNCTION("GOOGLEFINANCE(""IDX:""&amp;A1213,""price"")"),77.0)</f>
        <v>77</v>
      </c>
      <c r="D1213" s="16" t="str">
        <f>IFERROR(__xludf.DUMMYFUNCTION("IF(A1213="""","""",
SPARKLINE(
INDEX(
GOOGLEFINANCE(""IDX:""&amp;A1213,""close"",TODAY()-365,TODAY()),
,2
),
{""linewidth"",1}
))
"),"#N/A")</f>
        <v>#N/A</v>
      </c>
      <c r="E1213" s="26"/>
      <c r="F1213" s="26"/>
      <c r="G1213" s="24">
        <f t="shared" si="8"/>
        <v>0</v>
      </c>
      <c r="H1213" s="19">
        <f>VLOOKUP(A1213,Metrik!$C$2:$Y$959,8,0)</f>
        <v>240</v>
      </c>
      <c r="I1213" s="20">
        <f>VLOOKUP(A1213,Metrik!$C$2:$Y$959,9,0)</f>
        <v>8.2</v>
      </c>
      <c r="J1213" s="20">
        <f>VLOOKUP(A1213,Metrik!$C$2:$Y$959,10,0)</f>
        <v>3.5</v>
      </c>
      <c r="K1213" s="20">
        <f>VLOOKUP(A1213,Metrik!$C$2:$Y$959,11,0)</f>
        <v>1.2</v>
      </c>
      <c r="L1213" s="20">
        <f>VLOOKUP(A1213,Metrik!$C$2:$Y$959,12,0)</f>
        <v>2</v>
      </c>
      <c r="M1213" s="20">
        <f>VLOOKUP(A1213,Metrik!$C$2:$Y$959,19,0)</f>
        <v>2.9</v>
      </c>
      <c r="N1213" s="21"/>
      <c r="O1213" s="21"/>
      <c r="P1213" s="21"/>
      <c r="Q1213" s="21"/>
      <c r="R1213" s="21"/>
      <c r="S1213" s="21"/>
      <c r="T1213" s="21"/>
      <c r="U1213" s="22">
        <f>IFERROR(__xludf.DUMMYFUNCTION("IFERROR(GOOGLEFINANCE(A1213,""closeyest""),"""")"),73.0)</f>
        <v>73</v>
      </c>
      <c r="V1213" s="23">
        <f>IFERROR(__xludf.DUMMYFUNCTION("IFERROR(GOOGLEFINANCE(A1213,""changepct""),"""")"),5.48)</f>
        <v>5.48</v>
      </c>
      <c r="W1213" s="22">
        <f>IFERROR(__xludf.DUMMYFUNCTION("IFERROR(GOOGLEFINANCE(A1213,""priceopen""),"""")"),73.0)</f>
        <v>73</v>
      </c>
      <c r="X1213" s="22">
        <f>IFERROR(__xludf.DUMMYFUNCTION("IFERROR(GOOGLEFINANCE(A1213,""high""),"""")"),79.0)</f>
        <v>79</v>
      </c>
      <c r="Y1213" s="22">
        <f>IFERROR(__xludf.DUMMYFUNCTION("IFERROR(GOOGLEFINANCE(A1213,""low""),"""")"),73.0)</f>
        <v>73</v>
      </c>
      <c r="Z1213" s="22">
        <f>IFERROR(__xludf.DUMMYFUNCTION("IFERROR(GOOGLEFINANCE(A1213,""volume""),"""")"),920500.0)</f>
        <v>920500</v>
      </c>
      <c r="AA1213" s="24" t="str">
        <f>VLOOKUP(A1213,Metrik!$C$2:$Y$959,5,0)</f>
        <v>Holding &amp; Investment Companies</v>
      </c>
      <c r="AB1213" s="24" t="str">
        <f>VLOOKUP(A1213,Metrik!$C$2:$Y$959,3,0)</f>
        <v>Financials</v>
      </c>
    </row>
    <row r="1214">
      <c r="A1214" s="14" t="s">
        <v>638</v>
      </c>
      <c r="B1214" s="14" t="str">
        <f t="array" ref="B1214">VLOOKUP(A1214,{Metrik!$C$2:$C$998,Metrik!$B$2:$B$998},2,0)</f>
        <v>Mahkota Group Tbk.</v>
      </c>
      <c r="C1214" s="15">
        <f>IFERROR(__xludf.DUMMYFUNCTION("GOOGLEFINANCE(""IDX:""&amp;A1214,""price"")"),685.0)</f>
        <v>685</v>
      </c>
      <c r="D1214" s="16" t="str">
        <f>IFERROR(__xludf.DUMMYFUNCTION("IF(A1214="""","""",
SPARKLINE(
INDEX(
GOOGLEFINANCE(""IDX:""&amp;A1214,""close"",TODAY()-365,TODAY()),
,2
),
{""linewidth"",1}
))
"),"#N/A")</f>
        <v>#N/A</v>
      </c>
      <c r="E1214" s="26"/>
      <c r="F1214" s="26"/>
      <c r="G1214" s="24">
        <f t="shared" si="8"/>
        <v>0</v>
      </c>
      <c r="H1214" s="19">
        <f>VLOOKUP(A1214,Metrik!$C$2:$Y$959,8,0)</f>
        <v>-47.3</v>
      </c>
      <c r="I1214" s="20">
        <f>VLOOKUP(A1214,Metrik!$C$2:$Y$959,9,0)</f>
        <v>5.8</v>
      </c>
      <c r="J1214" s="20">
        <f>VLOOKUP(A1214,Metrik!$C$2:$Y$959,10,0)</f>
        <v>-12.2</v>
      </c>
      <c r="K1214" s="20">
        <f>VLOOKUP(A1214,Metrik!$C$2:$Y$959,11,0)</f>
        <v>-1.8</v>
      </c>
      <c r="L1214" s="20">
        <f>VLOOKUP(A1214,Metrik!$C$2:$Y$959,12,0)</f>
        <v>5.8</v>
      </c>
      <c r="M1214" s="20">
        <f>VLOOKUP(A1214,Metrik!$C$2:$Y$959,19,0)</f>
        <v>-3.1</v>
      </c>
      <c r="N1214" s="21"/>
      <c r="O1214" s="21"/>
      <c r="P1214" s="21"/>
      <c r="Q1214" s="21"/>
      <c r="R1214" s="21"/>
      <c r="S1214" s="21"/>
      <c r="T1214" s="21"/>
      <c r="U1214" s="22">
        <f>IFERROR(__xludf.DUMMYFUNCTION("IFERROR(GOOGLEFINANCE(A1214,""closeyest""),"""")"),0.49)</f>
        <v>0.49</v>
      </c>
      <c r="V1214" s="23">
        <f>IFERROR(__xludf.DUMMYFUNCTION("IFERROR(GOOGLEFINANCE(A1214,""changepct""),"""")"),1.03)</f>
        <v>1.03</v>
      </c>
      <c r="W1214" s="22">
        <f>IFERROR(__xludf.DUMMYFUNCTION("IFERROR(GOOGLEFINANCE(A1214,""priceopen""),"""")"),0.49)</f>
        <v>0.49</v>
      </c>
      <c r="X1214" s="22">
        <f>IFERROR(__xludf.DUMMYFUNCTION("IFERROR(GOOGLEFINANCE(A1214,""high""),"""")"),0.49)</f>
        <v>0.49</v>
      </c>
      <c r="Y1214" s="22">
        <f>IFERROR(__xludf.DUMMYFUNCTION("IFERROR(GOOGLEFINANCE(A1214,""low""),"""")"),0.46)</f>
        <v>0.46</v>
      </c>
      <c r="Z1214" s="22">
        <f>IFERROR(__xludf.DUMMYFUNCTION("IFERROR(GOOGLEFINANCE(A1214,""volume""),"""")"),18814.0)</f>
        <v>18814</v>
      </c>
      <c r="AA1214" s="24" t="str">
        <f>VLOOKUP(A1214,Metrik!$C$2:$Y$959,5,0)</f>
        <v>Agricultural Products</v>
      </c>
      <c r="AB1214" s="24" t="str">
        <f>VLOOKUP(A1214,Metrik!$C$2:$Y$959,3,0)</f>
        <v>Consumer Non-Cyclicals</v>
      </c>
    </row>
    <row r="1215">
      <c r="A1215" s="14" t="s">
        <v>639</v>
      </c>
      <c r="B1215" s="14" t="str">
        <f t="array" ref="B1215">VLOOKUP(A1215,{Metrik!$C$2:$C$998,Metrik!$B$2:$B$998},2,0)</f>
        <v>Multi Hanna Kreasindo Tbk.</v>
      </c>
      <c r="C1215" s="15">
        <f>IFERROR(__xludf.DUMMYFUNCTION("GOOGLEFINANCE(""IDX:""&amp;A1215,""price"")"),121.0)</f>
        <v>121</v>
      </c>
      <c r="D1215" s="16" t="str">
        <f>IFERROR(__xludf.DUMMYFUNCTION("IF(A1215="""","""",
SPARKLINE(
INDEX(
GOOGLEFINANCE(""IDX:""&amp;A1215,""close"",TODAY()-365,TODAY()),
,2
),
{""linewidth"",1}
))
"),"#N/A")</f>
        <v>#N/A</v>
      </c>
      <c r="E1215" s="26"/>
      <c r="F1215" s="26"/>
      <c r="G1215" s="24">
        <f t="shared" si="8"/>
        <v>0</v>
      </c>
      <c r="H1215" s="19">
        <f>VLOOKUP(A1215,Metrik!$C$2:$Y$959,8,0)</f>
        <v>15</v>
      </c>
      <c r="I1215" s="20">
        <f>VLOOKUP(A1215,Metrik!$C$2:$Y$959,9,0)</f>
        <v>1</v>
      </c>
      <c r="J1215" s="20">
        <f>VLOOKUP(A1215,Metrik!$C$2:$Y$959,10,0)</f>
        <v>6.7</v>
      </c>
      <c r="K1215" s="20">
        <f>VLOOKUP(A1215,Metrik!$C$2:$Y$959,11,0)</f>
        <v>6.4</v>
      </c>
      <c r="L1215" s="20">
        <f>VLOOKUP(A1215,Metrik!$C$2:$Y$959,12,0)</f>
        <v>0.05</v>
      </c>
      <c r="M1215" s="20">
        <f>VLOOKUP(A1215,Metrik!$C$2:$Y$959,19,0)</f>
        <v>93.6</v>
      </c>
      <c r="N1215" s="21"/>
      <c r="O1215" s="21"/>
      <c r="P1215" s="21"/>
      <c r="Q1215" s="21"/>
      <c r="R1215" s="21"/>
      <c r="S1215" s="21"/>
      <c r="T1215" s="21"/>
      <c r="U1215" s="22" t="str">
        <f>IFERROR(__xludf.DUMMYFUNCTION("IFERROR(GOOGLEFINANCE(A1215,""closeyest""),"""")"),"")</f>
        <v/>
      </c>
      <c r="V1215" s="23">
        <f>IFERROR(__xludf.DUMMYFUNCTION("IFERROR(GOOGLEFINANCE(A1215,""changepct""),"""")"),1.68)</f>
        <v>1.68</v>
      </c>
      <c r="W1215" s="22">
        <f>IFERROR(__xludf.DUMMYFUNCTION("IFERROR(GOOGLEFINANCE(A1215,""priceopen""),"""")"),119.0)</f>
        <v>119</v>
      </c>
      <c r="X1215" s="22">
        <f>IFERROR(__xludf.DUMMYFUNCTION("IFERROR(GOOGLEFINANCE(A1215,""high""),"""")"),128.0)</f>
        <v>128</v>
      </c>
      <c r="Y1215" s="22">
        <f>IFERROR(__xludf.DUMMYFUNCTION("IFERROR(GOOGLEFINANCE(A1215,""low""),"""")"),119.0)</f>
        <v>119</v>
      </c>
      <c r="Z1215" s="22">
        <f>IFERROR(__xludf.DUMMYFUNCTION("IFERROR(GOOGLEFINANCE(A1215,""volume""),"""")"),6067000.0)</f>
        <v>6067000</v>
      </c>
      <c r="AA1215" s="24" t="str">
        <f>VLOOKUP(A1215,Metrik!$C$2:$Y$959,5,0)</f>
        <v>Commercial Services</v>
      </c>
      <c r="AB1215" s="24" t="str">
        <f>VLOOKUP(A1215,Metrik!$C$2:$Y$959,3,0)</f>
        <v>Industrials</v>
      </c>
    </row>
    <row r="1216">
      <c r="A1216" s="14" t="s">
        <v>640</v>
      </c>
      <c r="B1216" s="14" t="str">
        <f t="array" ref="B1216">VLOOKUP(A1216,{Metrik!$C$2:$C$998,Metrik!$B$2:$B$998},2,0)</f>
        <v>Multi Indocitra Tbk</v>
      </c>
      <c r="C1216" s="15">
        <f>IFERROR(__xludf.DUMMYFUNCTION("GOOGLEFINANCE(""IDX:""&amp;A1216,""price"")"),498.0)</f>
        <v>498</v>
      </c>
      <c r="D1216" s="16" t="str">
        <f>IFERROR(__xludf.DUMMYFUNCTION("IF(A1216="""","""",
SPARKLINE(
INDEX(
GOOGLEFINANCE(""IDX:""&amp;A1216,""close"",TODAY()-365,TODAY()),
,2
),
{""linewidth"",1}
))
"),"#N/A")</f>
        <v>#N/A</v>
      </c>
      <c r="E1216" s="26"/>
      <c r="F1216" s="26"/>
      <c r="G1216" s="24">
        <f t="shared" si="8"/>
        <v>0</v>
      </c>
      <c r="H1216" s="19">
        <f>VLOOKUP(A1216,Metrik!$C$2:$Y$959,8,0)</f>
        <v>7.5</v>
      </c>
      <c r="I1216" s="20">
        <f>VLOOKUP(A1216,Metrik!$C$2:$Y$959,9,0)</f>
        <v>0.31</v>
      </c>
      <c r="J1216" s="20">
        <f>VLOOKUP(A1216,Metrik!$C$2:$Y$959,10,0)</f>
        <v>4.2</v>
      </c>
      <c r="K1216" s="20">
        <f>VLOOKUP(A1216,Metrik!$C$2:$Y$959,11,0)</f>
        <v>2.7</v>
      </c>
      <c r="L1216" s="20">
        <f>VLOOKUP(A1216,Metrik!$C$2:$Y$959,12,0)</f>
        <v>0.53</v>
      </c>
      <c r="M1216" s="20">
        <f>VLOOKUP(A1216,Metrik!$C$2:$Y$959,19,0)</f>
        <v>12.3</v>
      </c>
      <c r="N1216" s="21"/>
      <c r="O1216" s="21"/>
      <c r="P1216" s="21"/>
      <c r="Q1216" s="21"/>
      <c r="R1216" s="21"/>
      <c r="S1216" s="21"/>
      <c r="T1216" s="21"/>
      <c r="U1216" s="22">
        <f>IFERROR(__xludf.DUMMYFUNCTION("IFERROR(GOOGLEFINANCE(A1216,""closeyest""),"""")"),498.0)</f>
        <v>498</v>
      </c>
      <c r="V1216" s="23">
        <f>IFERROR(__xludf.DUMMYFUNCTION("IFERROR(GOOGLEFINANCE(A1216,""changepct""),"""")"),0.0)</f>
        <v>0</v>
      </c>
      <c r="W1216" s="22">
        <f>IFERROR(__xludf.DUMMYFUNCTION("IFERROR(GOOGLEFINANCE(A1216,""priceopen""),"""")"),496.0)</f>
        <v>496</v>
      </c>
      <c r="X1216" s="22">
        <f>IFERROR(__xludf.DUMMYFUNCTION("IFERROR(GOOGLEFINANCE(A1216,""high""),"""")"),498.0)</f>
        <v>498</v>
      </c>
      <c r="Y1216" s="22">
        <f>IFERROR(__xludf.DUMMYFUNCTION("IFERROR(GOOGLEFINANCE(A1216,""low""),"""")"),496.0)</f>
        <v>496</v>
      </c>
      <c r="Z1216" s="22">
        <f>IFERROR(__xludf.DUMMYFUNCTION("IFERROR(GOOGLEFINANCE(A1216,""volume""),"""")"),1800.0)</f>
        <v>1800</v>
      </c>
      <c r="AA1216" s="24" t="str">
        <f>VLOOKUP(A1216,Metrik!$C$2:$Y$959,5,0)</f>
        <v>Household Goods</v>
      </c>
      <c r="AB1216" s="24" t="str">
        <f>VLOOKUP(A1216,Metrik!$C$2:$Y$959,3,0)</f>
        <v>Consumer Cyclicals</v>
      </c>
    </row>
    <row r="1217">
      <c r="A1217" s="17" t="s">
        <v>641</v>
      </c>
      <c r="B1217" s="14" t="str">
        <f t="array" ref="B1217">VLOOKUP(A1217,{Metrik!$C$2:$C$998,Metrik!$B$2:$B$998},2,0)</f>
        <v>Midi Utama Indonesia Tbk</v>
      </c>
      <c r="C1217" s="15">
        <f>IFERROR(__xludf.DUMMYFUNCTION("GOOGLEFINANCE(""IDX:""&amp;A1217,""price"")"),300.0)</f>
        <v>300</v>
      </c>
      <c r="D1217" s="16" t="str">
        <f>IFERROR(__xludf.DUMMYFUNCTION("IF(A1217="""","""",
SPARKLINE(
INDEX(
GOOGLEFINANCE(""IDX:""&amp;A1217,""close"",TODAY()-365,TODAY()),
,2
),
{""linewidth"",1}
))
"),"#N/A")</f>
        <v>#N/A</v>
      </c>
      <c r="E1217" s="17" t="s">
        <v>175</v>
      </c>
      <c r="F1217" s="14" t="s">
        <v>34</v>
      </c>
      <c r="G1217" s="18">
        <f t="shared" si="8"/>
        <v>2</v>
      </c>
      <c r="H1217" s="19">
        <f>VLOOKUP(A1217,Metrik!$C$2:$Y$959,8,0)</f>
        <v>10.6</v>
      </c>
      <c r="I1217" s="20">
        <f>VLOOKUP(A1217,Metrik!$C$2:$Y$959,9,0)</f>
        <v>1.9</v>
      </c>
      <c r="J1217" s="20">
        <f>VLOOKUP(A1217,Metrik!$C$2:$Y$959,10,0)</f>
        <v>18.1</v>
      </c>
      <c r="K1217" s="20">
        <f>VLOOKUP(A1217,Metrik!$C$2:$Y$959,11,0)</f>
        <v>9</v>
      </c>
      <c r="L1217" s="20">
        <f>VLOOKUP(A1217,Metrik!$C$2:$Y$959,12,0)</f>
        <v>1</v>
      </c>
      <c r="M1217" s="20">
        <f>VLOOKUP(A1217,Metrik!$C$2:$Y$959,19,0)</f>
        <v>14.8</v>
      </c>
      <c r="N1217" s="21"/>
      <c r="O1217" s="21"/>
      <c r="P1217" s="21"/>
      <c r="Q1217" s="21"/>
      <c r="R1217" s="21"/>
      <c r="S1217" s="21"/>
      <c r="T1217" s="21"/>
      <c r="U1217" s="22">
        <f>IFERROR(__xludf.DUMMYFUNCTION("IFERROR(GOOGLEFINANCE(A1217,""closeyest""),"""")"),296.0)</f>
        <v>296</v>
      </c>
      <c r="V1217" s="23">
        <f>IFERROR(__xludf.DUMMYFUNCTION("IFERROR(GOOGLEFINANCE(A1217,""changepct""),"""")"),1.35)</f>
        <v>1.35</v>
      </c>
      <c r="W1217" s="22">
        <f>IFERROR(__xludf.DUMMYFUNCTION("IFERROR(GOOGLEFINANCE(A1217,""priceopen""),"""")"),300.0)</f>
        <v>300</v>
      </c>
      <c r="X1217" s="22">
        <f>IFERROR(__xludf.DUMMYFUNCTION("IFERROR(GOOGLEFINANCE(A1217,""high""),"""")"),302.0)</f>
        <v>302</v>
      </c>
      <c r="Y1217" s="22">
        <f>IFERROR(__xludf.DUMMYFUNCTION("IFERROR(GOOGLEFINANCE(A1217,""low""),"""")"),290.0)</f>
        <v>290</v>
      </c>
      <c r="Z1217" s="22">
        <f>IFERROR(__xludf.DUMMYFUNCTION("IFERROR(GOOGLEFINANCE(A1217,""volume""),"""")"),1.07133E7)</f>
        <v>10713300</v>
      </c>
      <c r="AA1217" s="24" t="str">
        <f>VLOOKUP(A1217,Metrik!$C$2:$Y$959,5,0)</f>
        <v>Food &amp; Staples Retailing</v>
      </c>
      <c r="AB1217" s="24" t="str">
        <f>VLOOKUP(A1217,Metrik!$C$2:$Y$959,3,0)</f>
        <v>Consumer Non-Cyclicals</v>
      </c>
    </row>
    <row r="1218">
      <c r="A1218" s="14" t="s">
        <v>641</v>
      </c>
      <c r="B1218" s="14" t="str">
        <f t="array" ref="B1218">VLOOKUP(A1218,{Metrik!$C$2:$C$998,Metrik!$B$2:$B$998},2,0)</f>
        <v>Midi Utama Indonesia Tbk</v>
      </c>
      <c r="C1218" s="15">
        <f>IFERROR(__xludf.DUMMYFUNCTION("GOOGLEFINANCE(""IDX:""&amp;A1218,""price"")"),300.0)</f>
        <v>300</v>
      </c>
      <c r="D1218" s="16" t="str">
        <f>IFERROR(__xludf.DUMMYFUNCTION("IF(A1218="""","""",
SPARKLINE(
INDEX(
GOOGLEFINANCE(""IDX:""&amp;A1218,""close"",TODAY()-365,TODAY()),
,2
),
{""linewidth"",1}
))
"),"#N/A")</f>
        <v>#N/A</v>
      </c>
      <c r="E1218" s="14" t="s">
        <v>41</v>
      </c>
      <c r="F1218" s="14" t="s">
        <v>34</v>
      </c>
      <c r="G1218" s="24">
        <f t="shared" si="8"/>
        <v>2</v>
      </c>
      <c r="H1218" s="19">
        <f>VLOOKUP(A1218,Metrik!$C$2:$Y$959,8,0)</f>
        <v>10.6</v>
      </c>
      <c r="I1218" s="20">
        <f>VLOOKUP(A1218,Metrik!$C$2:$Y$959,9,0)</f>
        <v>1.9</v>
      </c>
      <c r="J1218" s="20">
        <f>VLOOKUP(A1218,Metrik!$C$2:$Y$959,10,0)</f>
        <v>18.1</v>
      </c>
      <c r="K1218" s="20">
        <f>VLOOKUP(A1218,Metrik!$C$2:$Y$959,11,0)</f>
        <v>9</v>
      </c>
      <c r="L1218" s="20">
        <f>VLOOKUP(A1218,Metrik!$C$2:$Y$959,12,0)</f>
        <v>1</v>
      </c>
      <c r="M1218" s="20">
        <f>VLOOKUP(A1218,Metrik!$C$2:$Y$959,19,0)</f>
        <v>14.8</v>
      </c>
      <c r="N1218" s="21"/>
      <c r="O1218" s="21"/>
      <c r="P1218" s="21"/>
      <c r="Q1218" s="21"/>
      <c r="R1218" s="21"/>
      <c r="S1218" s="21"/>
      <c r="T1218" s="21"/>
      <c r="U1218" s="22">
        <f>IFERROR(__xludf.DUMMYFUNCTION("IFERROR(GOOGLEFINANCE(A1218,""closeyest""),"""")"),296.0)</f>
        <v>296</v>
      </c>
      <c r="V1218" s="23">
        <f>IFERROR(__xludf.DUMMYFUNCTION("IFERROR(GOOGLEFINANCE(A1218,""changepct""),"""")"),1.35)</f>
        <v>1.35</v>
      </c>
      <c r="W1218" s="22">
        <f>IFERROR(__xludf.DUMMYFUNCTION("IFERROR(GOOGLEFINANCE(A1218,""priceopen""),"""")"),300.0)</f>
        <v>300</v>
      </c>
      <c r="X1218" s="22">
        <f>IFERROR(__xludf.DUMMYFUNCTION("IFERROR(GOOGLEFINANCE(A1218,""high""),"""")"),302.0)</f>
        <v>302</v>
      </c>
      <c r="Y1218" s="22">
        <f>IFERROR(__xludf.DUMMYFUNCTION("IFERROR(GOOGLEFINANCE(A1218,""low""),"""")"),290.0)</f>
        <v>290</v>
      </c>
      <c r="Z1218" s="22">
        <f>IFERROR(__xludf.DUMMYFUNCTION("IFERROR(GOOGLEFINANCE(A1218,""volume""),"""")"),1.07133E7)</f>
        <v>10713300</v>
      </c>
      <c r="AA1218" s="24" t="str">
        <f>VLOOKUP(A1218,Metrik!$C$2:$Y$959,5,0)</f>
        <v>Food &amp; Staples Retailing</v>
      </c>
      <c r="AB1218" s="24" t="str">
        <f>VLOOKUP(A1218,Metrik!$C$2:$Y$959,3,0)</f>
        <v>Consumer Non-Cyclicals</v>
      </c>
    </row>
    <row r="1219">
      <c r="A1219" s="14" t="s">
        <v>642</v>
      </c>
      <c r="B1219" s="14" t="str">
        <f t="array" ref="B1219">VLOOKUP(A1219,{Metrik!$C$2:$C$998,Metrik!$B$2:$B$998},2,0)</f>
        <v>PT Mitra Keluarga Karyasehat Tbk.</v>
      </c>
      <c r="C1219" s="15">
        <f>IFERROR(__xludf.DUMMYFUNCTION("GOOGLEFINANCE(""IDX:""&amp;A1219,""price"")"),1530.0)</f>
        <v>1530</v>
      </c>
      <c r="D1219" s="16" t="str">
        <f>IFERROR(__xludf.DUMMYFUNCTION("IF(A1219="""","""",
SPARKLINE(
INDEX(
GOOGLEFINANCE(""IDX:""&amp;A1219,""close"",TODAY()-365,TODAY()),
,2
),
{""linewidth"",1}
))
"),"#N/A")</f>
        <v>#N/A</v>
      </c>
      <c r="E1219" s="14" t="s">
        <v>54</v>
      </c>
      <c r="F1219" s="14" t="s">
        <v>34</v>
      </c>
      <c r="G1219" s="24">
        <f t="shared" si="8"/>
        <v>10</v>
      </c>
      <c r="H1219" s="19">
        <f>VLOOKUP(A1219,Metrik!$C$2:$Y$959,8,0)</f>
        <v>16.3</v>
      </c>
      <c r="I1219" s="20">
        <f>VLOOKUP(A1219,Metrik!$C$2:$Y$959,9,0)</f>
        <v>2.7</v>
      </c>
      <c r="J1219" s="20">
        <f>VLOOKUP(A1219,Metrik!$C$2:$Y$959,10,0)</f>
        <v>16.2</v>
      </c>
      <c r="K1219" s="20">
        <f>VLOOKUP(A1219,Metrik!$C$2:$Y$959,11,0)</f>
        <v>14.3</v>
      </c>
      <c r="L1219" s="20">
        <f>VLOOKUP(A1219,Metrik!$C$2:$Y$959,12,0)</f>
        <v>0.13</v>
      </c>
      <c r="M1219" s="20">
        <f>VLOOKUP(A1219,Metrik!$C$2:$Y$959,19,0)</f>
        <v>100</v>
      </c>
      <c r="N1219" s="21"/>
      <c r="O1219" s="21"/>
      <c r="P1219" s="21"/>
      <c r="Q1219" s="21"/>
      <c r="R1219" s="21"/>
      <c r="S1219" s="21"/>
      <c r="T1219" s="21"/>
      <c r="U1219" s="22">
        <f>IFERROR(__xludf.DUMMYFUNCTION("IFERROR(GOOGLEFINANCE(A1219,""closeyest""),"""")"),1500.0)</f>
        <v>1500</v>
      </c>
      <c r="V1219" s="23">
        <f>IFERROR(__xludf.DUMMYFUNCTION("IFERROR(GOOGLEFINANCE(A1219,""changepct""),"""")"),2.0)</f>
        <v>2</v>
      </c>
      <c r="W1219" s="22">
        <f>IFERROR(__xludf.DUMMYFUNCTION("IFERROR(GOOGLEFINANCE(A1219,""priceopen""),"""")"),1500.0)</f>
        <v>1500</v>
      </c>
      <c r="X1219" s="22">
        <f>IFERROR(__xludf.DUMMYFUNCTION("IFERROR(GOOGLEFINANCE(A1219,""high""),"""")"),1570.0)</f>
        <v>1570</v>
      </c>
      <c r="Y1219" s="22">
        <f>IFERROR(__xludf.DUMMYFUNCTION("IFERROR(GOOGLEFINANCE(A1219,""low""),"""")"),1500.0)</f>
        <v>1500</v>
      </c>
      <c r="Z1219" s="22">
        <f>IFERROR(__xludf.DUMMYFUNCTION("IFERROR(GOOGLEFINANCE(A1219,""volume""),"""")"),3752200.0)</f>
        <v>3752200</v>
      </c>
      <c r="AA1219" s="24" t="str">
        <f>VLOOKUP(A1219,Metrik!$C$2:$Y$959,5,0)</f>
        <v>Healthcare Providers</v>
      </c>
      <c r="AB1219" s="24" t="str">
        <f>VLOOKUP(A1219,Metrik!$C$2:$Y$959,3,0)</f>
        <v>Healthcare</v>
      </c>
    </row>
    <row r="1220">
      <c r="A1220" s="14" t="s">
        <v>642</v>
      </c>
      <c r="B1220" s="14" t="str">
        <f t="array" ref="B1220">VLOOKUP(A1220,{Metrik!$C$2:$C$998,Metrik!$B$2:$B$998},2,0)</f>
        <v>PT Mitra Keluarga Karyasehat Tbk.</v>
      </c>
      <c r="C1220" s="15">
        <f>IFERROR(__xludf.DUMMYFUNCTION("GOOGLEFINANCE(""IDX:""&amp;A1220,""price"")"),1530.0)</f>
        <v>1530</v>
      </c>
      <c r="D1220" s="16" t="str">
        <f>IFERROR(__xludf.DUMMYFUNCTION("IF(A1220="""","""",
SPARKLINE(
INDEX(
GOOGLEFINANCE(""IDX:""&amp;A1220,""close"",TODAY()-365,TODAY()),
,2
),
{""linewidth"",1}
))
"),"#N/A")</f>
        <v>#N/A</v>
      </c>
      <c r="E1220" s="14" t="s">
        <v>32</v>
      </c>
      <c r="F1220" s="14" t="s">
        <v>29</v>
      </c>
      <c r="G1220" s="24">
        <f t="shared" si="8"/>
        <v>10</v>
      </c>
      <c r="H1220" s="19">
        <f>VLOOKUP(A1220,Metrik!$C$2:$Y$959,8,0)</f>
        <v>16.3</v>
      </c>
      <c r="I1220" s="20">
        <f>VLOOKUP(A1220,Metrik!$C$2:$Y$959,9,0)</f>
        <v>2.7</v>
      </c>
      <c r="J1220" s="20">
        <f>VLOOKUP(A1220,Metrik!$C$2:$Y$959,10,0)</f>
        <v>16.2</v>
      </c>
      <c r="K1220" s="20">
        <f>VLOOKUP(A1220,Metrik!$C$2:$Y$959,11,0)</f>
        <v>14.3</v>
      </c>
      <c r="L1220" s="20">
        <f>VLOOKUP(A1220,Metrik!$C$2:$Y$959,12,0)</f>
        <v>0.13</v>
      </c>
      <c r="M1220" s="20">
        <f>VLOOKUP(A1220,Metrik!$C$2:$Y$959,19,0)</f>
        <v>100</v>
      </c>
      <c r="N1220" s="21"/>
      <c r="O1220" s="21"/>
      <c r="P1220" s="21"/>
      <c r="Q1220" s="21"/>
      <c r="R1220" s="21"/>
      <c r="S1220" s="21"/>
      <c r="T1220" s="21"/>
      <c r="U1220" s="22">
        <f>IFERROR(__xludf.DUMMYFUNCTION("IFERROR(GOOGLEFINANCE(A1220,""closeyest""),"""")"),1500.0)</f>
        <v>1500</v>
      </c>
      <c r="V1220" s="23">
        <f>IFERROR(__xludf.DUMMYFUNCTION("IFERROR(GOOGLEFINANCE(A1220,""changepct""),"""")"),2.0)</f>
        <v>2</v>
      </c>
      <c r="W1220" s="22">
        <f>IFERROR(__xludf.DUMMYFUNCTION("IFERROR(GOOGLEFINANCE(A1220,""priceopen""),"""")"),1500.0)</f>
        <v>1500</v>
      </c>
      <c r="X1220" s="22">
        <f>IFERROR(__xludf.DUMMYFUNCTION("IFERROR(GOOGLEFINANCE(A1220,""high""),"""")"),1570.0)</f>
        <v>1570</v>
      </c>
      <c r="Y1220" s="22">
        <f>IFERROR(__xludf.DUMMYFUNCTION("IFERROR(GOOGLEFINANCE(A1220,""low""),"""")"),1500.0)</f>
        <v>1500</v>
      </c>
      <c r="Z1220" s="22">
        <f>IFERROR(__xludf.DUMMYFUNCTION("IFERROR(GOOGLEFINANCE(A1220,""volume""),"""")"),3752200.0)</f>
        <v>3752200</v>
      </c>
      <c r="AA1220" s="24" t="str">
        <f>VLOOKUP(A1220,Metrik!$C$2:$Y$959,5,0)</f>
        <v>Healthcare Providers</v>
      </c>
      <c r="AB1220" s="24" t="str">
        <f>VLOOKUP(A1220,Metrik!$C$2:$Y$959,3,0)</f>
        <v>Healthcare</v>
      </c>
    </row>
    <row r="1221">
      <c r="A1221" s="14" t="s">
        <v>642</v>
      </c>
      <c r="B1221" s="14" t="str">
        <f t="array" ref="B1221">VLOOKUP(A1221,{Metrik!$C$2:$C$998,Metrik!$B$2:$B$998},2,0)</f>
        <v>PT Mitra Keluarga Karyasehat Tbk.</v>
      </c>
      <c r="C1221" s="15">
        <f>IFERROR(__xludf.DUMMYFUNCTION("GOOGLEFINANCE(""IDX:""&amp;A1221,""price"")"),1530.0)</f>
        <v>1530</v>
      </c>
      <c r="D1221" s="16" t="str">
        <f>IFERROR(__xludf.DUMMYFUNCTION("IF(A1221="""","""",
SPARKLINE(
INDEX(
GOOGLEFINANCE(""IDX:""&amp;A1221,""close"",TODAY()-365,TODAY()),
,2
),
{""linewidth"",1}
))
"),"#N/A")</f>
        <v>#N/A</v>
      </c>
      <c r="E1221" s="14" t="s">
        <v>102</v>
      </c>
      <c r="F1221" s="27" t="s">
        <v>53</v>
      </c>
      <c r="G1221" s="24">
        <f t="shared" si="8"/>
        <v>10</v>
      </c>
      <c r="H1221" s="19">
        <f>VLOOKUP(A1221,Metrik!$C$2:$Y$959,8,0)</f>
        <v>16.3</v>
      </c>
      <c r="I1221" s="20">
        <f>VLOOKUP(A1221,Metrik!$C$2:$Y$959,9,0)</f>
        <v>2.7</v>
      </c>
      <c r="J1221" s="20">
        <f>VLOOKUP(A1221,Metrik!$C$2:$Y$959,10,0)</f>
        <v>16.2</v>
      </c>
      <c r="K1221" s="20">
        <f>VLOOKUP(A1221,Metrik!$C$2:$Y$959,11,0)</f>
        <v>14.3</v>
      </c>
      <c r="L1221" s="20">
        <f>VLOOKUP(A1221,Metrik!$C$2:$Y$959,12,0)</f>
        <v>0.13</v>
      </c>
      <c r="M1221" s="20">
        <f>VLOOKUP(A1221,Metrik!$C$2:$Y$959,19,0)</f>
        <v>100</v>
      </c>
      <c r="N1221" s="21"/>
      <c r="O1221" s="21"/>
      <c r="P1221" s="21"/>
      <c r="Q1221" s="21"/>
      <c r="R1221" s="21"/>
      <c r="S1221" s="21"/>
      <c r="T1221" s="21"/>
      <c r="U1221" s="22">
        <f>IFERROR(__xludf.DUMMYFUNCTION("IFERROR(GOOGLEFINANCE(A1221,""closeyest""),"""")"),1500.0)</f>
        <v>1500</v>
      </c>
      <c r="V1221" s="23">
        <f>IFERROR(__xludf.DUMMYFUNCTION("IFERROR(GOOGLEFINANCE(A1221,""changepct""),"""")"),2.0)</f>
        <v>2</v>
      </c>
      <c r="W1221" s="22">
        <f>IFERROR(__xludf.DUMMYFUNCTION("IFERROR(GOOGLEFINANCE(A1221,""priceopen""),"""")"),1500.0)</f>
        <v>1500</v>
      </c>
      <c r="X1221" s="22">
        <f>IFERROR(__xludf.DUMMYFUNCTION("IFERROR(GOOGLEFINANCE(A1221,""high""),"""")"),1570.0)</f>
        <v>1570</v>
      </c>
      <c r="Y1221" s="22">
        <f>IFERROR(__xludf.DUMMYFUNCTION("IFERROR(GOOGLEFINANCE(A1221,""low""),"""")"),1500.0)</f>
        <v>1500</v>
      </c>
      <c r="Z1221" s="22">
        <f>IFERROR(__xludf.DUMMYFUNCTION("IFERROR(GOOGLEFINANCE(A1221,""volume""),"""")"),3752200.0)</f>
        <v>3752200</v>
      </c>
      <c r="AA1221" s="24" t="str">
        <f>VLOOKUP(A1221,Metrik!$C$2:$Y$959,5,0)</f>
        <v>Healthcare Providers</v>
      </c>
      <c r="AB1221" s="24" t="str">
        <f>VLOOKUP(A1221,Metrik!$C$2:$Y$959,3,0)</f>
        <v>Healthcare</v>
      </c>
    </row>
    <row r="1222">
      <c r="A1222" s="14" t="s">
        <v>642</v>
      </c>
      <c r="B1222" s="14" t="str">
        <f t="array" ref="B1222">VLOOKUP(A1222,{Metrik!$C$2:$C$998,Metrik!$B$2:$B$998},2,0)</f>
        <v>PT Mitra Keluarga Karyasehat Tbk.</v>
      </c>
      <c r="C1222" s="15">
        <f>IFERROR(__xludf.DUMMYFUNCTION("GOOGLEFINANCE(""IDX:""&amp;A1222,""price"")"),1530.0)</f>
        <v>1530</v>
      </c>
      <c r="D1222" s="16" t="str">
        <f>IFERROR(__xludf.DUMMYFUNCTION("IF(A1222="""","""",
SPARKLINE(
INDEX(
GOOGLEFINANCE(""IDX:""&amp;A1222,""close"",TODAY()-365,TODAY()),
,2
),
{""linewidth"",1}
))
"),"#N/A")</f>
        <v>#N/A</v>
      </c>
      <c r="E1222" s="14" t="s">
        <v>84</v>
      </c>
      <c r="F1222" s="17" t="s">
        <v>51</v>
      </c>
      <c r="G1222" s="24">
        <f t="shared" si="8"/>
        <v>10</v>
      </c>
      <c r="H1222" s="19">
        <f>VLOOKUP(A1222,Metrik!$C$2:$Y$959,8,0)</f>
        <v>16.3</v>
      </c>
      <c r="I1222" s="20">
        <f>VLOOKUP(A1222,Metrik!$C$2:$Y$959,9,0)</f>
        <v>2.7</v>
      </c>
      <c r="J1222" s="20">
        <f>VLOOKUP(A1222,Metrik!$C$2:$Y$959,10,0)</f>
        <v>16.2</v>
      </c>
      <c r="K1222" s="20">
        <f>VLOOKUP(A1222,Metrik!$C$2:$Y$959,11,0)</f>
        <v>14.3</v>
      </c>
      <c r="L1222" s="20">
        <f>VLOOKUP(A1222,Metrik!$C$2:$Y$959,12,0)</f>
        <v>0.13</v>
      </c>
      <c r="M1222" s="20">
        <f>VLOOKUP(A1222,Metrik!$C$2:$Y$959,19,0)</f>
        <v>100</v>
      </c>
      <c r="N1222" s="21"/>
      <c r="O1222" s="21"/>
      <c r="P1222" s="21"/>
      <c r="Q1222" s="21"/>
      <c r="R1222" s="21"/>
      <c r="S1222" s="21"/>
      <c r="T1222" s="21"/>
      <c r="U1222" s="22">
        <f>IFERROR(__xludf.DUMMYFUNCTION("IFERROR(GOOGLEFINANCE(A1222,""closeyest""),"""")"),1500.0)</f>
        <v>1500</v>
      </c>
      <c r="V1222" s="23">
        <f>IFERROR(__xludf.DUMMYFUNCTION("IFERROR(GOOGLEFINANCE(A1222,""changepct""),"""")"),2.0)</f>
        <v>2</v>
      </c>
      <c r="W1222" s="22">
        <f>IFERROR(__xludf.DUMMYFUNCTION("IFERROR(GOOGLEFINANCE(A1222,""priceopen""),"""")"),1500.0)</f>
        <v>1500</v>
      </c>
      <c r="X1222" s="22">
        <f>IFERROR(__xludf.DUMMYFUNCTION("IFERROR(GOOGLEFINANCE(A1222,""high""),"""")"),1570.0)</f>
        <v>1570</v>
      </c>
      <c r="Y1222" s="22">
        <f>IFERROR(__xludf.DUMMYFUNCTION("IFERROR(GOOGLEFINANCE(A1222,""low""),"""")"),1500.0)</f>
        <v>1500</v>
      </c>
      <c r="Z1222" s="22">
        <f>IFERROR(__xludf.DUMMYFUNCTION("IFERROR(GOOGLEFINANCE(A1222,""volume""),"""")"),3752200.0)</f>
        <v>3752200</v>
      </c>
      <c r="AA1222" s="24" t="str">
        <f>VLOOKUP(A1222,Metrik!$C$2:$Y$959,5,0)</f>
        <v>Healthcare Providers</v>
      </c>
      <c r="AB1222" s="24" t="str">
        <f>VLOOKUP(A1222,Metrik!$C$2:$Y$959,3,0)</f>
        <v>Healthcare</v>
      </c>
    </row>
    <row r="1223">
      <c r="A1223" s="14" t="s">
        <v>642</v>
      </c>
      <c r="B1223" s="14" t="str">
        <f t="array" ref="B1223">VLOOKUP(A1223,{Metrik!$C$2:$C$998,Metrik!$B$2:$B$998},2,0)</f>
        <v>PT Mitra Keluarga Karyasehat Tbk.</v>
      </c>
      <c r="C1223" s="15">
        <f>IFERROR(__xludf.DUMMYFUNCTION("GOOGLEFINANCE(""IDX:""&amp;A1223,""price"")"),1530.0)</f>
        <v>1530</v>
      </c>
      <c r="D1223" s="16" t="str">
        <f>IFERROR(__xludf.DUMMYFUNCTION("IF(A1223="""","""",
SPARKLINE(
INDEX(
GOOGLEFINANCE(""IDX:""&amp;A1223,""close"",TODAY()-365,TODAY()),
,2
),
{""linewidth"",1}
))
"),"#N/A")</f>
        <v>#N/A</v>
      </c>
      <c r="E1223" s="14" t="s">
        <v>28</v>
      </c>
      <c r="F1223" s="17" t="s">
        <v>29</v>
      </c>
      <c r="G1223" s="24">
        <f t="shared" si="8"/>
        <v>10</v>
      </c>
      <c r="H1223" s="19">
        <f>VLOOKUP(A1223,Metrik!$C$2:$Y$959,8,0)</f>
        <v>16.3</v>
      </c>
      <c r="I1223" s="20">
        <f>VLOOKUP(A1223,Metrik!$C$2:$Y$959,9,0)</f>
        <v>2.7</v>
      </c>
      <c r="J1223" s="20">
        <f>VLOOKUP(A1223,Metrik!$C$2:$Y$959,10,0)</f>
        <v>16.2</v>
      </c>
      <c r="K1223" s="20">
        <f>VLOOKUP(A1223,Metrik!$C$2:$Y$959,11,0)</f>
        <v>14.3</v>
      </c>
      <c r="L1223" s="20">
        <f>VLOOKUP(A1223,Metrik!$C$2:$Y$959,12,0)</f>
        <v>0.13</v>
      </c>
      <c r="M1223" s="20">
        <f>VLOOKUP(A1223,Metrik!$C$2:$Y$959,19,0)</f>
        <v>100</v>
      </c>
      <c r="N1223" s="21"/>
      <c r="O1223" s="21"/>
      <c r="P1223" s="21"/>
      <c r="Q1223" s="21"/>
      <c r="R1223" s="21"/>
      <c r="S1223" s="21"/>
      <c r="T1223" s="21"/>
      <c r="U1223" s="22">
        <f>IFERROR(__xludf.DUMMYFUNCTION("IFERROR(GOOGLEFINANCE(A1223,""closeyest""),"""")"),1500.0)</f>
        <v>1500</v>
      </c>
      <c r="V1223" s="23">
        <f>IFERROR(__xludf.DUMMYFUNCTION("IFERROR(GOOGLEFINANCE(A1223,""changepct""),"""")"),2.0)</f>
        <v>2</v>
      </c>
      <c r="W1223" s="22">
        <f>IFERROR(__xludf.DUMMYFUNCTION("IFERROR(GOOGLEFINANCE(A1223,""priceopen""),"""")"),1500.0)</f>
        <v>1500</v>
      </c>
      <c r="X1223" s="22">
        <f>IFERROR(__xludf.DUMMYFUNCTION("IFERROR(GOOGLEFINANCE(A1223,""high""),"""")"),1570.0)</f>
        <v>1570</v>
      </c>
      <c r="Y1223" s="22">
        <f>IFERROR(__xludf.DUMMYFUNCTION("IFERROR(GOOGLEFINANCE(A1223,""low""),"""")"),1500.0)</f>
        <v>1500</v>
      </c>
      <c r="Z1223" s="22">
        <f>IFERROR(__xludf.DUMMYFUNCTION("IFERROR(GOOGLEFINANCE(A1223,""volume""),"""")"),3752200.0)</f>
        <v>3752200</v>
      </c>
      <c r="AA1223" s="24" t="str">
        <f>VLOOKUP(A1223,Metrik!$C$2:$Y$959,5,0)</f>
        <v>Healthcare Providers</v>
      </c>
      <c r="AB1223" s="24" t="str">
        <f>VLOOKUP(A1223,Metrik!$C$2:$Y$959,3,0)</f>
        <v>Healthcare</v>
      </c>
    </row>
    <row r="1224">
      <c r="A1224" s="14" t="s">
        <v>642</v>
      </c>
      <c r="B1224" s="14" t="str">
        <f t="array" ref="B1224">VLOOKUP(A1224,{Metrik!$C$2:$C$998,Metrik!$B$2:$B$998},2,0)</f>
        <v>PT Mitra Keluarga Karyasehat Tbk.</v>
      </c>
      <c r="C1224" s="15">
        <f>IFERROR(__xludf.DUMMYFUNCTION("GOOGLEFINANCE(""IDX:""&amp;A1224,""price"")"),1530.0)</f>
        <v>1530</v>
      </c>
      <c r="D1224" s="16" t="str">
        <f>IFERROR(__xludf.DUMMYFUNCTION("IF(A1224="""","""",
SPARKLINE(
INDEX(
GOOGLEFINANCE(""IDX:""&amp;A1224,""close"",TODAY()-365,TODAY()),
,2
),
{""linewidth"",1}
))
"),"#N/A")</f>
        <v>#N/A</v>
      </c>
      <c r="E1224" s="14" t="s">
        <v>67</v>
      </c>
      <c r="F1224" s="17" t="s">
        <v>51</v>
      </c>
      <c r="G1224" s="24">
        <f t="shared" si="8"/>
        <v>10</v>
      </c>
      <c r="H1224" s="19">
        <f>VLOOKUP(A1224,Metrik!$C$2:$Y$959,8,0)</f>
        <v>16.3</v>
      </c>
      <c r="I1224" s="20">
        <f>VLOOKUP(A1224,Metrik!$C$2:$Y$959,9,0)</f>
        <v>2.7</v>
      </c>
      <c r="J1224" s="20">
        <f>VLOOKUP(A1224,Metrik!$C$2:$Y$959,10,0)</f>
        <v>16.2</v>
      </c>
      <c r="K1224" s="20">
        <f>VLOOKUP(A1224,Metrik!$C$2:$Y$959,11,0)</f>
        <v>14.3</v>
      </c>
      <c r="L1224" s="20">
        <f>VLOOKUP(A1224,Metrik!$C$2:$Y$959,12,0)</f>
        <v>0.13</v>
      </c>
      <c r="M1224" s="20">
        <f>VLOOKUP(A1224,Metrik!$C$2:$Y$959,19,0)</f>
        <v>100</v>
      </c>
      <c r="N1224" s="21"/>
      <c r="O1224" s="21"/>
      <c r="P1224" s="21"/>
      <c r="Q1224" s="21"/>
      <c r="R1224" s="21"/>
      <c r="S1224" s="21"/>
      <c r="T1224" s="21"/>
      <c r="U1224" s="22">
        <f>IFERROR(__xludf.DUMMYFUNCTION("IFERROR(GOOGLEFINANCE(A1224,""closeyest""),"""")"),1500.0)</f>
        <v>1500</v>
      </c>
      <c r="V1224" s="23">
        <f>IFERROR(__xludf.DUMMYFUNCTION("IFERROR(GOOGLEFINANCE(A1224,""changepct""),"""")"),2.0)</f>
        <v>2</v>
      </c>
      <c r="W1224" s="22">
        <f>IFERROR(__xludf.DUMMYFUNCTION("IFERROR(GOOGLEFINANCE(A1224,""priceopen""),"""")"),1500.0)</f>
        <v>1500</v>
      </c>
      <c r="X1224" s="22">
        <f>IFERROR(__xludf.DUMMYFUNCTION("IFERROR(GOOGLEFINANCE(A1224,""high""),"""")"),1570.0)</f>
        <v>1570</v>
      </c>
      <c r="Y1224" s="22">
        <f>IFERROR(__xludf.DUMMYFUNCTION("IFERROR(GOOGLEFINANCE(A1224,""low""),"""")"),1500.0)</f>
        <v>1500</v>
      </c>
      <c r="Z1224" s="22">
        <f>IFERROR(__xludf.DUMMYFUNCTION("IFERROR(GOOGLEFINANCE(A1224,""volume""),"""")"),3752200.0)</f>
        <v>3752200</v>
      </c>
      <c r="AA1224" s="24" t="str">
        <f>VLOOKUP(A1224,Metrik!$C$2:$Y$959,5,0)</f>
        <v>Healthcare Providers</v>
      </c>
      <c r="AB1224" s="24" t="str">
        <f>VLOOKUP(A1224,Metrik!$C$2:$Y$959,3,0)</f>
        <v>Healthcare</v>
      </c>
    </row>
    <row r="1225">
      <c r="A1225" s="14" t="s">
        <v>642</v>
      </c>
      <c r="B1225" s="14" t="str">
        <f t="array" ref="B1225">VLOOKUP(A1225,{Metrik!$C$2:$C$998,Metrik!$B$2:$B$998},2,0)</f>
        <v>PT Mitra Keluarga Karyasehat Tbk.</v>
      </c>
      <c r="C1225" s="15">
        <f>IFERROR(__xludf.DUMMYFUNCTION("GOOGLEFINANCE(""IDX:""&amp;A1225,""price"")"),1530.0)</f>
        <v>1530</v>
      </c>
      <c r="D1225" s="16" t="str">
        <f>IFERROR(__xludf.DUMMYFUNCTION("IF(A1225="""","""",
SPARKLINE(
INDEX(
GOOGLEFINANCE(""IDX:""&amp;A1225,""close"",TODAY()-365,TODAY()),
,2
),
{""linewidth"",1}
))
"),"#N/A")</f>
        <v>#N/A</v>
      </c>
      <c r="E1225" s="14" t="s">
        <v>50</v>
      </c>
      <c r="F1225" s="17" t="s">
        <v>51</v>
      </c>
      <c r="G1225" s="24">
        <f t="shared" si="8"/>
        <v>10</v>
      </c>
      <c r="H1225" s="19">
        <f>VLOOKUP(A1225,Metrik!$C$2:$Y$959,8,0)</f>
        <v>16.3</v>
      </c>
      <c r="I1225" s="20">
        <f>VLOOKUP(A1225,Metrik!$C$2:$Y$959,9,0)</f>
        <v>2.7</v>
      </c>
      <c r="J1225" s="20">
        <f>VLOOKUP(A1225,Metrik!$C$2:$Y$959,10,0)</f>
        <v>16.2</v>
      </c>
      <c r="K1225" s="20">
        <f>VLOOKUP(A1225,Metrik!$C$2:$Y$959,11,0)</f>
        <v>14.3</v>
      </c>
      <c r="L1225" s="20">
        <f>VLOOKUP(A1225,Metrik!$C$2:$Y$959,12,0)</f>
        <v>0.13</v>
      </c>
      <c r="M1225" s="20">
        <f>VLOOKUP(A1225,Metrik!$C$2:$Y$959,19,0)</f>
        <v>100</v>
      </c>
      <c r="N1225" s="21"/>
      <c r="O1225" s="21"/>
      <c r="P1225" s="21"/>
      <c r="Q1225" s="21"/>
      <c r="R1225" s="21"/>
      <c r="S1225" s="21"/>
      <c r="T1225" s="21"/>
      <c r="U1225" s="22">
        <f>IFERROR(__xludf.DUMMYFUNCTION("IFERROR(GOOGLEFINANCE(A1225,""closeyest""),"""")"),1500.0)</f>
        <v>1500</v>
      </c>
      <c r="V1225" s="23">
        <f>IFERROR(__xludf.DUMMYFUNCTION("IFERROR(GOOGLEFINANCE(A1225,""changepct""),"""")"),2.0)</f>
        <v>2</v>
      </c>
      <c r="W1225" s="22">
        <f>IFERROR(__xludf.DUMMYFUNCTION("IFERROR(GOOGLEFINANCE(A1225,""priceopen""),"""")"),1500.0)</f>
        <v>1500</v>
      </c>
      <c r="X1225" s="22">
        <f>IFERROR(__xludf.DUMMYFUNCTION("IFERROR(GOOGLEFINANCE(A1225,""high""),"""")"),1570.0)</f>
        <v>1570</v>
      </c>
      <c r="Y1225" s="22">
        <f>IFERROR(__xludf.DUMMYFUNCTION("IFERROR(GOOGLEFINANCE(A1225,""low""),"""")"),1500.0)</f>
        <v>1500</v>
      </c>
      <c r="Z1225" s="22">
        <f>IFERROR(__xludf.DUMMYFUNCTION("IFERROR(GOOGLEFINANCE(A1225,""volume""),"""")"),3752200.0)</f>
        <v>3752200</v>
      </c>
      <c r="AA1225" s="24" t="str">
        <f>VLOOKUP(A1225,Metrik!$C$2:$Y$959,5,0)</f>
        <v>Healthcare Providers</v>
      </c>
      <c r="AB1225" s="24" t="str">
        <f>VLOOKUP(A1225,Metrik!$C$2:$Y$959,3,0)</f>
        <v>Healthcare</v>
      </c>
    </row>
    <row r="1226">
      <c r="A1226" s="14" t="s">
        <v>642</v>
      </c>
      <c r="B1226" s="14" t="str">
        <f t="array" ref="B1226">VLOOKUP(A1226,{Metrik!$C$2:$C$998,Metrik!$B$2:$B$998},2,0)</f>
        <v>PT Mitra Keluarga Karyasehat Tbk.</v>
      </c>
      <c r="C1226" s="15">
        <f>IFERROR(__xludf.DUMMYFUNCTION("GOOGLEFINANCE(""IDX:""&amp;A1226,""price"")"),1530.0)</f>
        <v>1530</v>
      </c>
      <c r="D1226" s="16" t="str">
        <f>IFERROR(__xludf.DUMMYFUNCTION("IF(A1226="""","""",
SPARKLINE(
INDEX(
GOOGLEFINANCE(""IDX:""&amp;A1226,""close"",TODAY()-365,TODAY()),
,2
),
{""linewidth"",1}
))
"),"#N/A")</f>
        <v>#N/A</v>
      </c>
      <c r="E1226" s="14" t="s">
        <v>41</v>
      </c>
      <c r="F1226" s="14" t="s">
        <v>34</v>
      </c>
      <c r="G1226" s="24">
        <f t="shared" si="8"/>
        <v>10</v>
      </c>
      <c r="H1226" s="19">
        <f>VLOOKUP(A1226,Metrik!$C$2:$Y$959,8,0)</f>
        <v>16.3</v>
      </c>
      <c r="I1226" s="20">
        <f>VLOOKUP(A1226,Metrik!$C$2:$Y$959,9,0)</f>
        <v>2.7</v>
      </c>
      <c r="J1226" s="20">
        <f>VLOOKUP(A1226,Metrik!$C$2:$Y$959,10,0)</f>
        <v>16.2</v>
      </c>
      <c r="K1226" s="20">
        <f>VLOOKUP(A1226,Metrik!$C$2:$Y$959,11,0)</f>
        <v>14.3</v>
      </c>
      <c r="L1226" s="20">
        <f>VLOOKUP(A1226,Metrik!$C$2:$Y$959,12,0)</f>
        <v>0.13</v>
      </c>
      <c r="M1226" s="20">
        <f>VLOOKUP(A1226,Metrik!$C$2:$Y$959,19,0)</f>
        <v>100</v>
      </c>
      <c r="N1226" s="21"/>
      <c r="O1226" s="21"/>
      <c r="P1226" s="21"/>
      <c r="Q1226" s="21"/>
      <c r="R1226" s="21"/>
      <c r="S1226" s="21"/>
      <c r="T1226" s="21"/>
      <c r="U1226" s="22">
        <f>IFERROR(__xludf.DUMMYFUNCTION("IFERROR(GOOGLEFINANCE(A1226,""closeyest""),"""")"),1500.0)</f>
        <v>1500</v>
      </c>
      <c r="V1226" s="23">
        <f>IFERROR(__xludf.DUMMYFUNCTION("IFERROR(GOOGLEFINANCE(A1226,""changepct""),"""")"),2.0)</f>
        <v>2</v>
      </c>
      <c r="W1226" s="22">
        <f>IFERROR(__xludf.DUMMYFUNCTION("IFERROR(GOOGLEFINANCE(A1226,""priceopen""),"""")"),1500.0)</f>
        <v>1500</v>
      </c>
      <c r="X1226" s="22">
        <f>IFERROR(__xludf.DUMMYFUNCTION("IFERROR(GOOGLEFINANCE(A1226,""high""),"""")"),1570.0)</f>
        <v>1570</v>
      </c>
      <c r="Y1226" s="22">
        <f>IFERROR(__xludf.DUMMYFUNCTION("IFERROR(GOOGLEFINANCE(A1226,""low""),"""")"),1500.0)</f>
        <v>1500</v>
      </c>
      <c r="Z1226" s="22">
        <f>IFERROR(__xludf.DUMMYFUNCTION("IFERROR(GOOGLEFINANCE(A1226,""volume""),"""")"),3752200.0)</f>
        <v>3752200</v>
      </c>
      <c r="AA1226" s="24" t="str">
        <f>VLOOKUP(A1226,Metrik!$C$2:$Y$959,5,0)</f>
        <v>Healthcare Providers</v>
      </c>
      <c r="AB1226" s="24" t="str">
        <f>VLOOKUP(A1226,Metrik!$C$2:$Y$959,3,0)</f>
        <v>Healthcare</v>
      </c>
    </row>
    <row r="1227">
      <c r="A1227" s="17" t="s">
        <v>642</v>
      </c>
      <c r="B1227" s="14" t="str">
        <f t="array" ref="B1227">VLOOKUP(A1227,{Metrik!$C$2:$C$998,Metrik!$B$2:$B$998},2,0)</f>
        <v>PT Mitra Keluarga Karyasehat Tbk.</v>
      </c>
      <c r="C1227" s="15">
        <f>IFERROR(__xludf.DUMMYFUNCTION("GOOGLEFINANCE(""IDX:""&amp;A1227,""price"")"),1530.0)</f>
        <v>1530</v>
      </c>
      <c r="D1227" s="16" t="str">
        <f>IFERROR(__xludf.DUMMYFUNCTION("IF(A1227="""","""",
SPARKLINE(
INDEX(
GOOGLEFINANCE(""IDX:""&amp;A1227,""close"",TODAY()-365,TODAY()),
,2
),
{""linewidth"",1}
))
"),"#N/A")</f>
        <v>#N/A</v>
      </c>
      <c r="E1227" s="14" t="s">
        <v>85</v>
      </c>
      <c r="F1227" s="17" t="s">
        <v>51</v>
      </c>
      <c r="G1227" s="24">
        <f t="shared" si="8"/>
        <v>10</v>
      </c>
      <c r="H1227" s="19">
        <f>VLOOKUP(A1227,Metrik!$C$2:$Y$959,8,0)</f>
        <v>16.3</v>
      </c>
      <c r="I1227" s="20">
        <f>VLOOKUP(A1227,Metrik!$C$2:$Y$959,9,0)</f>
        <v>2.7</v>
      </c>
      <c r="J1227" s="20">
        <f>VLOOKUP(A1227,Metrik!$C$2:$Y$959,10,0)</f>
        <v>16.2</v>
      </c>
      <c r="K1227" s="20">
        <f>VLOOKUP(A1227,Metrik!$C$2:$Y$959,11,0)</f>
        <v>14.3</v>
      </c>
      <c r="L1227" s="20">
        <f>VLOOKUP(A1227,Metrik!$C$2:$Y$959,12,0)</f>
        <v>0.13</v>
      </c>
      <c r="M1227" s="20">
        <f>VLOOKUP(A1227,Metrik!$C$2:$Y$959,19,0)</f>
        <v>100</v>
      </c>
      <c r="N1227" s="21"/>
      <c r="O1227" s="21"/>
      <c r="P1227" s="21"/>
      <c r="Q1227" s="21"/>
      <c r="R1227" s="21"/>
      <c r="S1227" s="21"/>
      <c r="T1227" s="21"/>
      <c r="U1227" s="22">
        <f>IFERROR(__xludf.DUMMYFUNCTION("IFERROR(GOOGLEFINANCE(A1227,""closeyest""),"""")"),1500.0)</f>
        <v>1500</v>
      </c>
      <c r="V1227" s="23">
        <f>IFERROR(__xludf.DUMMYFUNCTION("IFERROR(GOOGLEFINANCE(A1227,""changepct""),"""")"),2.0)</f>
        <v>2</v>
      </c>
      <c r="W1227" s="22">
        <f>IFERROR(__xludf.DUMMYFUNCTION("IFERROR(GOOGLEFINANCE(A1227,""priceopen""),"""")"),1500.0)</f>
        <v>1500</v>
      </c>
      <c r="X1227" s="22">
        <f>IFERROR(__xludf.DUMMYFUNCTION("IFERROR(GOOGLEFINANCE(A1227,""high""),"""")"),1570.0)</f>
        <v>1570</v>
      </c>
      <c r="Y1227" s="22">
        <f>IFERROR(__xludf.DUMMYFUNCTION("IFERROR(GOOGLEFINANCE(A1227,""low""),"""")"),1500.0)</f>
        <v>1500</v>
      </c>
      <c r="Z1227" s="22">
        <f>IFERROR(__xludf.DUMMYFUNCTION("IFERROR(GOOGLEFINANCE(A1227,""volume""),"""")"),3752200.0)</f>
        <v>3752200</v>
      </c>
      <c r="AA1227" s="24" t="str">
        <f>VLOOKUP(A1227,Metrik!$C$2:$Y$959,5,0)</f>
        <v>Healthcare Providers</v>
      </c>
      <c r="AB1227" s="24" t="str">
        <f>VLOOKUP(A1227,Metrik!$C$2:$Y$959,3,0)</f>
        <v>Healthcare</v>
      </c>
    </row>
    <row r="1228">
      <c r="A1228" s="14" t="s">
        <v>642</v>
      </c>
      <c r="B1228" s="14" t="str">
        <f t="array" ref="B1228">VLOOKUP(A1228,{Metrik!$C$2:$C$998,Metrik!$B$2:$B$998},2,0)</f>
        <v>PT Mitra Keluarga Karyasehat Tbk.</v>
      </c>
      <c r="C1228" s="15">
        <f>IFERROR(__xludf.DUMMYFUNCTION("GOOGLEFINANCE(""IDX:""&amp;A1228,""price"")"),1530.0)</f>
        <v>1530</v>
      </c>
      <c r="D1228" s="16" t="str">
        <f>IFERROR(__xludf.DUMMYFUNCTION("IF(A1228="""","""",
SPARKLINE(
INDEX(
GOOGLEFINANCE(""IDX:""&amp;A1228,""close"",TODAY()-365,TODAY()),
,2
),
{""linewidth"",1}
))
"),"#N/A")</f>
        <v>#N/A</v>
      </c>
      <c r="E1228" s="14" t="s">
        <v>39</v>
      </c>
      <c r="F1228" s="25">
        <v>46356.0</v>
      </c>
      <c r="G1228" s="24">
        <f t="shared" si="8"/>
        <v>10</v>
      </c>
      <c r="H1228" s="19">
        <f>VLOOKUP(A1228,Metrik!$C$2:$Y$959,8,0)</f>
        <v>16.3</v>
      </c>
      <c r="I1228" s="20">
        <f>VLOOKUP(A1228,Metrik!$C$2:$Y$959,9,0)</f>
        <v>2.7</v>
      </c>
      <c r="J1228" s="20">
        <f>VLOOKUP(A1228,Metrik!$C$2:$Y$959,10,0)</f>
        <v>16.2</v>
      </c>
      <c r="K1228" s="20">
        <f>VLOOKUP(A1228,Metrik!$C$2:$Y$959,11,0)</f>
        <v>14.3</v>
      </c>
      <c r="L1228" s="20">
        <f>VLOOKUP(A1228,Metrik!$C$2:$Y$959,12,0)</f>
        <v>0.13</v>
      </c>
      <c r="M1228" s="20">
        <f>VLOOKUP(A1228,Metrik!$C$2:$Y$959,19,0)</f>
        <v>100</v>
      </c>
      <c r="N1228" s="21"/>
      <c r="O1228" s="21"/>
      <c r="P1228" s="21"/>
      <c r="Q1228" s="21"/>
      <c r="R1228" s="21"/>
      <c r="S1228" s="21"/>
      <c r="T1228" s="21"/>
      <c r="U1228" s="22">
        <f>IFERROR(__xludf.DUMMYFUNCTION("IFERROR(GOOGLEFINANCE(A1228,""closeyest""),"""")"),1500.0)</f>
        <v>1500</v>
      </c>
      <c r="V1228" s="23">
        <f>IFERROR(__xludf.DUMMYFUNCTION("IFERROR(GOOGLEFINANCE(A1228,""changepct""),"""")"),2.0)</f>
        <v>2</v>
      </c>
      <c r="W1228" s="22">
        <f>IFERROR(__xludf.DUMMYFUNCTION("IFERROR(GOOGLEFINANCE(A1228,""priceopen""),"""")"),1500.0)</f>
        <v>1500</v>
      </c>
      <c r="X1228" s="22">
        <f>IFERROR(__xludf.DUMMYFUNCTION("IFERROR(GOOGLEFINANCE(A1228,""high""),"""")"),1570.0)</f>
        <v>1570</v>
      </c>
      <c r="Y1228" s="22">
        <f>IFERROR(__xludf.DUMMYFUNCTION("IFERROR(GOOGLEFINANCE(A1228,""low""),"""")"),1500.0)</f>
        <v>1500</v>
      </c>
      <c r="Z1228" s="22">
        <f>IFERROR(__xludf.DUMMYFUNCTION("IFERROR(GOOGLEFINANCE(A1228,""volume""),"""")"),3752200.0)</f>
        <v>3752200</v>
      </c>
      <c r="AA1228" s="24" t="str">
        <f>VLOOKUP(A1228,Metrik!$C$2:$Y$959,5,0)</f>
        <v>Healthcare Providers</v>
      </c>
      <c r="AB1228" s="24" t="str">
        <f>VLOOKUP(A1228,Metrik!$C$2:$Y$959,3,0)</f>
        <v>Healthcare</v>
      </c>
    </row>
    <row r="1229">
      <c r="A1229" s="14" t="s">
        <v>643</v>
      </c>
      <c r="B1229" s="14" t="str">
        <f t="array" ref="B1229">VLOOKUP(A1229,{Metrik!$C$2:$C$998,Metrik!$B$2:$B$998},2,0)</f>
        <v>Sanurhasta Mitra Tbk.</v>
      </c>
      <c r="C1229" s="15">
        <f>IFERROR(__xludf.DUMMYFUNCTION("GOOGLEFINANCE(""IDX:""&amp;A1229,""price"")"),288.0)</f>
        <v>288</v>
      </c>
      <c r="D1229" s="16" t="str">
        <f>IFERROR(__xludf.DUMMYFUNCTION("IF(A1229="""","""",
SPARKLINE(
INDEX(
GOOGLEFINANCE(""IDX:""&amp;A1229,""close"",TODAY()-365,TODAY()),
,2
),
{""linewidth"",1}
))
"),"#N/A")</f>
        <v>#N/A</v>
      </c>
      <c r="E1229" s="26"/>
      <c r="F1229" s="26"/>
      <c r="G1229" s="24">
        <f t="shared" si="8"/>
        <v>0</v>
      </c>
      <c r="H1229" s="19">
        <f>VLOOKUP(A1229,Metrik!$C$2:$Y$959,8,0)</f>
        <v>-2030</v>
      </c>
      <c r="I1229" s="20">
        <f>VLOOKUP(A1229,Metrik!$C$2:$Y$959,9,0)</f>
        <v>13.2</v>
      </c>
      <c r="J1229" s="20">
        <f>VLOOKUP(A1229,Metrik!$C$2:$Y$959,10,0)</f>
        <v>-0.65</v>
      </c>
      <c r="K1229" s="20">
        <f>VLOOKUP(A1229,Metrik!$C$2:$Y$959,11,0)</f>
        <v>-0.64</v>
      </c>
      <c r="L1229" s="20">
        <f>VLOOKUP(A1229,Metrik!$C$2:$Y$959,12,0)</f>
        <v>0.01</v>
      </c>
      <c r="M1229" s="20">
        <f>VLOOKUP(A1229,Metrik!$C$2:$Y$959,19,0)</f>
        <v>-86.9</v>
      </c>
      <c r="N1229" s="21"/>
      <c r="O1229" s="21"/>
      <c r="P1229" s="21"/>
      <c r="Q1229" s="21"/>
      <c r="R1229" s="21"/>
      <c r="S1229" s="21"/>
      <c r="T1229" s="21"/>
      <c r="U1229" s="22" t="str">
        <f>IFERROR(__xludf.DUMMYFUNCTION("IFERROR(GOOGLEFINANCE(A1229,""closeyest""),"""")"),"")</f>
        <v/>
      </c>
      <c r="V1229" s="23" t="str">
        <f>IFERROR(__xludf.DUMMYFUNCTION("IFERROR(GOOGLEFINANCE(A1229,""changepct""),"""")"),"")</f>
        <v/>
      </c>
      <c r="W1229" s="22" t="str">
        <f>IFERROR(__xludf.DUMMYFUNCTION("IFERROR(GOOGLEFINANCE(A1229,""priceopen""),"""")"),"")</f>
        <v/>
      </c>
      <c r="X1229" s="22" t="str">
        <f>IFERROR(__xludf.DUMMYFUNCTION("IFERROR(GOOGLEFINANCE(A1229,""high""),"""")"),"")</f>
        <v/>
      </c>
      <c r="Y1229" s="22" t="str">
        <f>IFERROR(__xludf.DUMMYFUNCTION("IFERROR(GOOGLEFINANCE(A1229,""low""),"""")"),"")</f>
        <v/>
      </c>
      <c r="Z1229" s="22">
        <f>IFERROR(__xludf.DUMMYFUNCTION("IFERROR(GOOGLEFINANCE(A1229,""volume""),"""")"),0.0)</f>
        <v>0</v>
      </c>
      <c r="AA1229" s="24" t="str">
        <f>VLOOKUP(A1229,Metrik!$C$2:$Y$959,5,0)</f>
        <v>Tourism &amp; Recreation</v>
      </c>
      <c r="AB1229" s="24" t="str">
        <f>VLOOKUP(A1229,Metrik!$C$2:$Y$959,3,0)</f>
        <v>Consumer Cyclicals</v>
      </c>
    </row>
    <row r="1230">
      <c r="A1230" s="14" t="s">
        <v>644</v>
      </c>
      <c r="B1230" s="14" t="str">
        <f t="array" ref="B1230">VLOOKUP(A1230,{Metrik!$C$2:$C$998,Metrik!$B$2:$B$998},2,0)</f>
        <v>Sinar Terang Mandiri Tbk.</v>
      </c>
      <c r="C1230" s="15">
        <f>IFERROR(__xludf.DUMMYFUNCTION("GOOGLEFINANCE(""IDX:""&amp;A1230,""price"")"),216.0)</f>
        <v>216</v>
      </c>
      <c r="D1230" s="16" t="str">
        <f>IFERROR(__xludf.DUMMYFUNCTION("IF(A1230="""","""",
SPARKLINE(
INDEX(
GOOGLEFINANCE(""IDX:""&amp;A1230,""close"",TODAY()-365,TODAY()),
,2
),
{""linewidth"",1}
))
"),"#N/A")</f>
        <v>#N/A</v>
      </c>
      <c r="E1230" s="26"/>
      <c r="F1230" s="26"/>
      <c r="G1230" s="18">
        <f t="shared" si="8"/>
        <v>0</v>
      </c>
      <c r="H1230" s="19">
        <f>VLOOKUP(A1230,Metrik!$C$2:$Y$959,8,0)</f>
        <v>4.9</v>
      </c>
      <c r="I1230" s="20">
        <f>VLOOKUP(A1230,Metrik!$C$2:$Y$959,9,0)</f>
        <v>0.99</v>
      </c>
      <c r="J1230" s="20">
        <f>VLOOKUP(A1230,Metrik!$C$2:$Y$959,10,0)</f>
        <v>20.2</v>
      </c>
      <c r="K1230" s="20">
        <f>VLOOKUP(A1230,Metrik!$C$2:$Y$959,11,0)</f>
        <v>10.2</v>
      </c>
      <c r="L1230" s="20">
        <f>VLOOKUP(A1230,Metrik!$C$2:$Y$959,12,0)</f>
        <v>0.99</v>
      </c>
      <c r="M1230" s="20">
        <f>VLOOKUP(A1230,Metrik!$C$2:$Y$959,19,0)</f>
        <v>29.8</v>
      </c>
      <c r="N1230" s="21"/>
      <c r="O1230" s="21"/>
      <c r="P1230" s="21"/>
      <c r="Q1230" s="21"/>
      <c r="R1230" s="21"/>
      <c r="S1230" s="21"/>
      <c r="T1230" s="21"/>
      <c r="U1230" s="22">
        <f>IFERROR(__xludf.DUMMYFUNCTION("IFERROR(GOOGLEFINANCE(A1230,""closeyest""),"""")"),2.69)</f>
        <v>2.69</v>
      </c>
      <c r="V1230" s="23">
        <f>IFERROR(__xludf.DUMMYFUNCTION("IFERROR(GOOGLEFINANCE(A1230,""changepct""),"""")"),-1.49)</f>
        <v>-1.49</v>
      </c>
      <c r="W1230" s="22">
        <f>IFERROR(__xludf.DUMMYFUNCTION("IFERROR(GOOGLEFINANCE(A1230,""priceopen""),"""")"),2.66)</f>
        <v>2.66</v>
      </c>
      <c r="X1230" s="22">
        <f>IFERROR(__xludf.DUMMYFUNCTION("IFERROR(GOOGLEFINANCE(A1230,""high""),"""")"),2.75)</f>
        <v>2.75</v>
      </c>
      <c r="Y1230" s="22">
        <f>IFERROR(__xludf.DUMMYFUNCTION("IFERROR(GOOGLEFINANCE(A1230,""low""),"""")"),2.62)</f>
        <v>2.62</v>
      </c>
      <c r="Z1230" s="22">
        <f>IFERROR(__xludf.DUMMYFUNCTION("IFERROR(GOOGLEFINANCE(A1230,""volume""),"""")"),54396.0)</f>
        <v>54396</v>
      </c>
      <c r="AA1230" s="24" t="str">
        <f>VLOOKUP(A1230,Metrik!$C$2:$Y$959,5,0)</f>
        <v>Metals &amp; Minerals</v>
      </c>
      <c r="AB1230" s="24" t="str">
        <f>VLOOKUP(A1230,Metrik!$C$2:$Y$959,3,0)</f>
        <v>Basic Materials</v>
      </c>
    </row>
    <row r="1231">
      <c r="A1231" s="14" t="s">
        <v>645</v>
      </c>
      <c r="B1231" s="14" t="str">
        <f t="array" ref="B1231">VLOOKUP(A1231,{Metrik!$C$2:$C$998,Metrik!$B$2:$B$998},2,0)</f>
        <v>Mitra International Resources Tbk</v>
      </c>
      <c r="C1231" s="15">
        <f>IFERROR(__xludf.DUMMYFUNCTION("GOOGLEFINANCE(""IDX:""&amp;A1231,""price"")"),22.0)</f>
        <v>22</v>
      </c>
      <c r="D1231" s="16" t="str">
        <f>IFERROR(__xludf.DUMMYFUNCTION("IF(A1231="""","""",
SPARKLINE(
INDEX(
GOOGLEFINANCE(""IDX:""&amp;A1231,""close"",TODAY()-365,TODAY()),
,2
),
{""linewidth"",1}
))
"),"#N/A")</f>
        <v>#N/A</v>
      </c>
      <c r="E1231" s="26"/>
      <c r="F1231" s="26"/>
      <c r="G1231" s="24">
        <f t="shared" si="8"/>
        <v>0</v>
      </c>
      <c r="H1231" s="19">
        <f>VLOOKUP(A1231,Metrik!$C$2:$Y$959,8,0)</f>
        <v>-10.5</v>
      </c>
      <c r="I1231" s="20">
        <f>VLOOKUP(A1231,Metrik!$C$2:$Y$959,9,0)</f>
        <v>0.55</v>
      </c>
      <c r="J1231" s="20">
        <f>VLOOKUP(A1231,Metrik!$C$2:$Y$959,10,0)</f>
        <v>-5.3</v>
      </c>
      <c r="K1231" s="20">
        <f>VLOOKUP(A1231,Metrik!$C$2:$Y$959,11,0)</f>
        <v>-3.3</v>
      </c>
      <c r="L1231" s="20">
        <f>VLOOKUP(A1231,Metrik!$C$2:$Y$959,12,0)</f>
        <v>0.6</v>
      </c>
      <c r="M1231" s="20">
        <f>VLOOKUP(A1231,Metrik!$C$2:$Y$959,19,0)</f>
        <v>-56.3</v>
      </c>
      <c r="N1231" s="21"/>
      <c r="O1231" s="21"/>
      <c r="P1231" s="21"/>
      <c r="Q1231" s="21"/>
      <c r="R1231" s="21"/>
      <c r="S1231" s="21"/>
      <c r="T1231" s="21"/>
      <c r="U1231" s="22">
        <f>IFERROR(__xludf.DUMMYFUNCTION("IFERROR(GOOGLEFINANCE(A1231,""closeyest""),"""")"),0.96)</f>
        <v>0.96</v>
      </c>
      <c r="V1231" s="23">
        <f>IFERROR(__xludf.DUMMYFUNCTION("IFERROR(GOOGLEFINANCE(A1231,""changepct""),"""")"),-2.08)</f>
        <v>-2.08</v>
      </c>
      <c r="W1231" s="22">
        <f>IFERROR(__xludf.DUMMYFUNCTION("IFERROR(GOOGLEFINANCE(A1231,""priceopen""),"""")"),0.96)</f>
        <v>0.96</v>
      </c>
      <c r="X1231" s="22">
        <f>IFERROR(__xludf.DUMMYFUNCTION("IFERROR(GOOGLEFINANCE(A1231,""high""),"""")"),0.98)</f>
        <v>0.98</v>
      </c>
      <c r="Y1231" s="22">
        <f>IFERROR(__xludf.DUMMYFUNCTION("IFERROR(GOOGLEFINANCE(A1231,""low""),"""")"),0.94)</f>
        <v>0.94</v>
      </c>
      <c r="Z1231" s="22" t="str">
        <f>IFERROR(__xludf.DUMMYFUNCTION("IFERROR(GOOGLEFINANCE(A1231,""volume""),"""")"),"")</f>
        <v/>
      </c>
      <c r="AA1231" s="24" t="str">
        <f>VLOOKUP(A1231,Metrik!$C$2:$Y$959,5,0)</f>
        <v>Logistics &amp; Deliveries</v>
      </c>
      <c r="AB1231" s="24" t="str">
        <f>VLOOKUP(A1231,Metrik!$C$2:$Y$959,3,0)</f>
        <v>Transportation &amp; Logistic</v>
      </c>
    </row>
    <row r="1232">
      <c r="A1232" s="14" t="s">
        <v>646</v>
      </c>
      <c r="B1232" s="14" t="str">
        <f t="array" ref="B1232">VLOOKUP(A1232,{Metrik!$C$2:$C$998,Metrik!$B$2:$B$998},2,0)</f>
        <v>Mitra Investindo Tbk.</v>
      </c>
      <c r="C1232" s="15">
        <f>IFERROR(__xludf.DUMMYFUNCTION("GOOGLEFINANCE(""IDX:""&amp;A1232,""price"")"),166.0)</f>
        <v>166</v>
      </c>
      <c r="D1232" s="16" t="str">
        <f>IFERROR(__xludf.DUMMYFUNCTION("IF(A1232="""","""",
SPARKLINE(
INDEX(
GOOGLEFINANCE(""IDX:""&amp;A1232,""close"",TODAY()-365,TODAY()),
,2
),
{""linewidth"",1}
))
"),"#N/A")</f>
        <v>#N/A</v>
      </c>
      <c r="E1232" s="26"/>
      <c r="F1232" s="26"/>
      <c r="G1232" s="24">
        <f t="shared" si="8"/>
        <v>0</v>
      </c>
      <c r="H1232" s="19">
        <f>VLOOKUP(A1232,Metrik!$C$2:$Y$959,8,0)</f>
        <v>55.1</v>
      </c>
      <c r="I1232" s="20">
        <f>VLOOKUP(A1232,Metrik!$C$2:$Y$959,9,0)</f>
        <v>1.4</v>
      </c>
      <c r="J1232" s="20">
        <f>VLOOKUP(A1232,Metrik!$C$2:$Y$959,10,0)</f>
        <v>2.5</v>
      </c>
      <c r="K1232" s="20">
        <f>VLOOKUP(A1232,Metrik!$C$2:$Y$959,11,0)</f>
        <v>2.2</v>
      </c>
      <c r="L1232" s="20">
        <f>VLOOKUP(A1232,Metrik!$C$2:$Y$959,12,0)</f>
        <v>0.16</v>
      </c>
      <c r="M1232" s="20">
        <f>VLOOKUP(A1232,Metrik!$C$2:$Y$959,19,0)</f>
        <v>30.6</v>
      </c>
      <c r="N1232" s="21"/>
      <c r="O1232" s="21"/>
      <c r="P1232" s="21"/>
      <c r="Q1232" s="21"/>
      <c r="R1232" s="21"/>
      <c r="S1232" s="21"/>
      <c r="T1232" s="21"/>
      <c r="U1232" s="22">
        <f>IFERROR(__xludf.DUMMYFUNCTION("IFERROR(GOOGLEFINANCE(A1232,""closeyest""),"""")"),0.09)</f>
        <v>0.09</v>
      </c>
      <c r="V1232" s="23">
        <f>IFERROR(__xludf.DUMMYFUNCTION("IFERROR(GOOGLEFINANCE(A1232,""changepct""),"""")"),-9.09)</f>
        <v>-9.09</v>
      </c>
      <c r="W1232" s="22">
        <f>IFERROR(__xludf.DUMMYFUNCTION("IFERROR(GOOGLEFINANCE(A1232,""priceopen""),"""")"),0.07)</f>
        <v>0.07</v>
      </c>
      <c r="X1232" s="22">
        <f>IFERROR(__xludf.DUMMYFUNCTION("IFERROR(GOOGLEFINANCE(A1232,""high""),"""")"),0.09)</f>
        <v>0.09</v>
      </c>
      <c r="Y1232" s="22">
        <f>IFERROR(__xludf.DUMMYFUNCTION("IFERROR(GOOGLEFINANCE(A1232,""low""),"""")"),0.06)</f>
        <v>0.06</v>
      </c>
      <c r="Z1232" s="22">
        <f>IFERROR(__xludf.DUMMYFUNCTION("IFERROR(GOOGLEFINANCE(A1232,""volume""),"""")"),52830.0)</f>
        <v>52830</v>
      </c>
      <c r="AA1232" s="24" t="str">
        <f>VLOOKUP(A1232,Metrik!$C$2:$Y$959,5,0)</f>
        <v>Logistics &amp; Deliveries</v>
      </c>
      <c r="AB1232" s="24" t="str">
        <f>VLOOKUP(A1232,Metrik!$C$2:$Y$959,3,0)</f>
        <v>Transportation &amp; Logistic</v>
      </c>
    </row>
    <row r="1233">
      <c r="A1233" s="14" t="s">
        <v>647</v>
      </c>
      <c r="B1233" s="14" t="str">
        <f t="array" ref="B1233">VLOOKUP(A1233,{Metrik!$C$2:$C$998,Metrik!$B$2:$B$998},2,0)</f>
        <v>Multikarya Asia Pasifik Raya Tbk.</v>
      </c>
      <c r="C1233" s="15">
        <f>IFERROR(__xludf.DUMMYFUNCTION("GOOGLEFINANCE(""IDX:""&amp;A1233,""price"")"),1045.0)</f>
        <v>1045</v>
      </c>
      <c r="D1233" s="16" t="str">
        <f>IFERROR(__xludf.DUMMYFUNCTION("IF(A1233="""","""",
SPARKLINE(
INDEX(
GOOGLEFINANCE(""IDX:""&amp;A1233,""close"",TODAY()-365,TODAY()),
,2
),
{""linewidth"",1}
))
"),"#N/A")</f>
        <v>#N/A</v>
      </c>
      <c r="E1233" s="26"/>
      <c r="F1233" s="26"/>
      <c r="G1233" s="24">
        <f t="shared" si="8"/>
        <v>0</v>
      </c>
      <c r="H1233" s="19">
        <f>VLOOKUP(A1233,Metrik!$C$2:$Y$959,8,0)</f>
        <v>81.1</v>
      </c>
      <c r="I1233" s="20">
        <f>VLOOKUP(A1233,Metrik!$C$2:$Y$959,9,0)</f>
        <v>10.6</v>
      </c>
      <c r="J1233" s="20">
        <f>VLOOKUP(A1233,Metrik!$C$2:$Y$959,10,0)</f>
        <v>13</v>
      </c>
      <c r="K1233" s="20">
        <f>VLOOKUP(A1233,Metrik!$C$2:$Y$959,11,0)</f>
        <v>8</v>
      </c>
      <c r="L1233" s="20">
        <f>VLOOKUP(A1233,Metrik!$C$2:$Y$959,12,0)</f>
        <v>0.62</v>
      </c>
      <c r="M1233" s="20">
        <f>VLOOKUP(A1233,Metrik!$C$2:$Y$959,19,0)</f>
        <v>47.7</v>
      </c>
      <c r="N1233" s="21"/>
      <c r="O1233" s="21"/>
      <c r="P1233" s="21"/>
      <c r="Q1233" s="21"/>
      <c r="R1233" s="21"/>
      <c r="S1233" s="21"/>
      <c r="T1233" s="21"/>
      <c r="U1233" s="22">
        <f>IFERROR(__xludf.DUMMYFUNCTION("IFERROR(GOOGLEFINANCE(A1233,""closeyest""),"""")"),1050.0)</f>
        <v>1050</v>
      </c>
      <c r="V1233" s="23">
        <f>IFERROR(__xludf.DUMMYFUNCTION("IFERROR(GOOGLEFINANCE(A1233,""changepct""),"""")"),-0.48)</f>
        <v>-0.48</v>
      </c>
      <c r="W1233" s="22">
        <f>IFERROR(__xludf.DUMMYFUNCTION("IFERROR(GOOGLEFINANCE(A1233,""priceopen""),"""")"),1045.0)</f>
        <v>1045</v>
      </c>
      <c r="X1233" s="22">
        <f>IFERROR(__xludf.DUMMYFUNCTION("IFERROR(GOOGLEFINANCE(A1233,""high""),"""")"),1050.0)</f>
        <v>1050</v>
      </c>
      <c r="Y1233" s="22">
        <f>IFERROR(__xludf.DUMMYFUNCTION("IFERROR(GOOGLEFINANCE(A1233,""low""),"""")"),1045.0)</f>
        <v>1045</v>
      </c>
      <c r="Z1233" s="22">
        <f>IFERROR(__xludf.DUMMYFUNCTION("IFERROR(GOOGLEFINANCE(A1233,""volume""),"""")"),170300.0)</f>
        <v>170300</v>
      </c>
      <c r="AA1233" s="24" t="str">
        <f>VLOOKUP(A1233,Metrik!$C$2:$Y$959,5,0)</f>
        <v>Oil, Gas &amp; Coal Supports</v>
      </c>
      <c r="AB1233" s="24" t="str">
        <f>VLOOKUP(A1233,Metrik!$C$2:$Y$959,3,0)</f>
        <v>Energy</v>
      </c>
    </row>
    <row r="1234">
      <c r="A1234" s="14" t="s">
        <v>648</v>
      </c>
      <c r="B1234" s="14" t="str">
        <f t="array" ref="B1234">VLOOKUP(A1234,{Metrik!$C$2:$C$998,Metrik!$B$2:$B$998},2,0)</f>
        <v>Mitra Komunikasi Nusantara Tbk.</v>
      </c>
      <c r="C1234" s="15">
        <f>IFERROR(__xludf.DUMMYFUNCTION("GOOGLEFINANCE(""IDX:""&amp;A1234,""price"")"),1.0)</f>
        <v>1</v>
      </c>
      <c r="D1234" s="16" t="str">
        <f>IFERROR(__xludf.DUMMYFUNCTION("IF(A1234="""","""",
SPARKLINE(
INDEX(
GOOGLEFINANCE(""IDX:""&amp;A1234,""close"",TODAY()-365,TODAY()),
,2
),
{""linewidth"",1}
))
"),"#N/A")</f>
        <v>#N/A</v>
      </c>
      <c r="E1234" s="26"/>
      <c r="F1234" s="26"/>
      <c r="G1234" s="24">
        <f t="shared" si="8"/>
        <v>0</v>
      </c>
      <c r="H1234" s="19">
        <f>VLOOKUP(A1234,Metrik!$C$2:$Y$959,8,0)</f>
        <v>-3.6</v>
      </c>
      <c r="I1234" s="20">
        <f>VLOOKUP(A1234,Metrik!$C$2:$Y$959,9,0)</f>
        <v>-0.75</v>
      </c>
      <c r="J1234" s="20">
        <f>VLOOKUP(A1234,Metrik!$C$2:$Y$959,10,0)</f>
        <v>0</v>
      </c>
      <c r="K1234" s="20">
        <f>VLOOKUP(A1234,Metrik!$C$2:$Y$959,11,0)</f>
        <v>-0.19</v>
      </c>
      <c r="L1234" s="20">
        <f>VLOOKUP(A1234,Metrik!$C$2:$Y$959,12,0)</f>
        <v>-110</v>
      </c>
      <c r="M1234" s="20">
        <f>VLOOKUP(A1234,Metrik!$C$2:$Y$959,19,0)</f>
        <v>-41.6</v>
      </c>
      <c r="N1234" s="21"/>
      <c r="O1234" s="21"/>
      <c r="P1234" s="21"/>
      <c r="Q1234" s="21"/>
      <c r="R1234" s="21"/>
      <c r="S1234" s="21"/>
      <c r="T1234" s="21"/>
      <c r="U1234" s="22">
        <f>IFERROR(__xludf.DUMMYFUNCTION("IFERROR(GOOGLEFINANCE(A1234,""closeyest""),"""")"),1.0)</f>
        <v>1</v>
      </c>
      <c r="V1234" s="23">
        <f>IFERROR(__xludf.DUMMYFUNCTION("IFERROR(GOOGLEFINANCE(A1234,""changepct""),"""")"),0.0)</f>
        <v>0</v>
      </c>
      <c r="W1234" s="22" t="str">
        <f>IFERROR(__xludf.DUMMYFUNCTION("IFERROR(GOOGLEFINANCE(A1234,""priceopen""),"""")"),"")</f>
        <v/>
      </c>
      <c r="X1234" s="22" t="str">
        <f>IFERROR(__xludf.DUMMYFUNCTION("IFERROR(GOOGLEFINANCE(A1234,""high""),"""")"),"")</f>
        <v/>
      </c>
      <c r="Y1234" s="22" t="str">
        <f>IFERROR(__xludf.DUMMYFUNCTION("IFERROR(GOOGLEFINANCE(A1234,""low""),"""")"),"")</f>
        <v/>
      </c>
      <c r="Z1234" s="22">
        <f>IFERROR(__xludf.DUMMYFUNCTION("IFERROR(GOOGLEFINANCE(A1234,""volume""),"""")"),0.0)</f>
        <v>0</v>
      </c>
      <c r="AA1234" s="24" t="str">
        <f>VLOOKUP(A1234,Metrik!$C$2:$Y$959,5,0)</f>
        <v>Consumer Distributors</v>
      </c>
      <c r="AB1234" s="24" t="str">
        <f>VLOOKUP(A1234,Metrik!$C$2:$Y$959,3,0)</f>
        <v>Consumer Cyclicals</v>
      </c>
    </row>
    <row r="1235">
      <c r="A1235" s="14" t="s">
        <v>649</v>
      </c>
      <c r="B1235" s="14" t="str">
        <f t="array" ref="B1235">VLOOKUP(A1235,{Metrik!$C$2:$C$998,Metrik!$B$2:$B$998},2,0)</f>
        <v>Metropolitan Kentjana Tbk.</v>
      </c>
      <c r="C1235" s="15">
        <f>IFERROR(__xludf.DUMMYFUNCTION("GOOGLEFINANCE(""IDX:""&amp;A1235,""price"")"),21850.0)</f>
        <v>21850</v>
      </c>
      <c r="D1235" s="16" t="str">
        <f>IFERROR(__xludf.DUMMYFUNCTION("IF(A1235="""","""",
SPARKLINE(
INDEX(
GOOGLEFINANCE(""IDX:""&amp;A1235,""close"",TODAY()-365,TODAY()),
,2
),
{""linewidth"",1}
))
"),"#N/A")</f>
        <v>#N/A</v>
      </c>
      <c r="E1235" s="26"/>
      <c r="F1235" s="26"/>
      <c r="G1235" s="24">
        <f t="shared" si="8"/>
        <v>0</v>
      </c>
      <c r="H1235" s="19">
        <f>VLOOKUP(A1235,Metrik!$C$2:$Y$959,8,0)</f>
        <v>17.8</v>
      </c>
      <c r="I1235" s="20">
        <f>VLOOKUP(A1235,Metrik!$C$2:$Y$959,9,0)</f>
        <v>2.6</v>
      </c>
      <c r="J1235" s="20">
        <f>VLOOKUP(A1235,Metrik!$C$2:$Y$959,10,0)</f>
        <v>14.5</v>
      </c>
      <c r="K1235" s="20">
        <f>VLOOKUP(A1235,Metrik!$C$2:$Y$959,11,0)</f>
        <v>11.8</v>
      </c>
      <c r="L1235" s="20">
        <f>VLOOKUP(A1235,Metrik!$C$2:$Y$959,12,0)</f>
        <v>0.23</v>
      </c>
      <c r="M1235" s="20">
        <f>VLOOKUP(A1235,Metrik!$C$2:$Y$959,19,0)</f>
        <v>170</v>
      </c>
      <c r="N1235" s="21"/>
      <c r="O1235" s="21"/>
      <c r="P1235" s="21"/>
      <c r="Q1235" s="21"/>
      <c r="R1235" s="21"/>
      <c r="S1235" s="21"/>
      <c r="T1235" s="21"/>
      <c r="U1235" s="22">
        <f>IFERROR(__xludf.DUMMYFUNCTION("IFERROR(GOOGLEFINANCE(A1235,""closeyest""),"""")"),21825.0)</f>
        <v>21825</v>
      </c>
      <c r="V1235" s="23">
        <f>IFERROR(__xludf.DUMMYFUNCTION("IFERROR(GOOGLEFINANCE(A1235,""changepct""),"""")"),0.11)</f>
        <v>0.11</v>
      </c>
      <c r="W1235" s="22">
        <f>IFERROR(__xludf.DUMMYFUNCTION("IFERROR(GOOGLEFINANCE(A1235,""priceopen""),"""")"),21750.0)</f>
        <v>21750</v>
      </c>
      <c r="X1235" s="22">
        <f>IFERROR(__xludf.DUMMYFUNCTION("IFERROR(GOOGLEFINANCE(A1235,""high""),"""")"),21850.0)</f>
        <v>21850</v>
      </c>
      <c r="Y1235" s="22">
        <f>IFERROR(__xludf.DUMMYFUNCTION("IFERROR(GOOGLEFINANCE(A1235,""low""),"""")"),21750.0)</f>
        <v>21750</v>
      </c>
      <c r="Z1235" s="22">
        <f>IFERROR(__xludf.DUMMYFUNCTION("IFERROR(GOOGLEFINANCE(A1235,""volume""),"""")"),41000.0)</f>
        <v>41000</v>
      </c>
      <c r="AA1235" s="24" t="str">
        <f>VLOOKUP(A1235,Metrik!$C$2:$Y$959,5,0)</f>
        <v>Real Estate Management &amp; Development</v>
      </c>
      <c r="AB1235" s="24" t="str">
        <f>VLOOKUP(A1235,Metrik!$C$2:$Y$959,3,0)</f>
        <v>Properties &amp; Real Estate</v>
      </c>
    </row>
    <row r="1236">
      <c r="A1236" s="14" t="s">
        <v>650</v>
      </c>
      <c r="B1236" s="14" t="str">
        <f t="array" ref="B1236">VLOOKUP(A1236,{Metrik!$C$2:$C$998,Metrik!$B$2:$B$998},2,0)</f>
        <v>Menthobi Karyatama Raya Tbk.</v>
      </c>
      <c r="C1236" s="15">
        <f>IFERROR(__xludf.DUMMYFUNCTION("GOOGLEFINANCE(""IDX:""&amp;A1236,""price"")"),123.0)</f>
        <v>123</v>
      </c>
      <c r="D1236" s="16" t="str">
        <f>IFERROR(__xludf.DUMMYFUNCTION("IF(A1236="""","""",
SPARKLINE(
INDEX(
GOOGLEFINANCE(""IDX:""&amp;A1236,""close"",TODAY()-365,TODAY()),
,2
),
{""linewidth"",1}
))
"),"#N/A")</f>
        <v>#N/A</v>
      </c>
      <c r="E1236" s="26"/>
      <c r="F1236" s="26"/>
      <c r="G1236" s="24">
        <f t="shared" si="8"/>
        <v>0</v>
      </c>
      <c r="H1236" s="19">
        <f>VLOOKUP(A1236,Metrik!$C$2:$Y$959,8,0)</f>
        <v>26.3</v>
      </c>
      <c r="I1236" s="20">
        <f>VLOOKUP(A1236,Metrik!$C$2:$Y$959,9,0)</f>
        <v>2.2</v>
      </c>
      <c r="J1236" s="20">
        <f>VLOOKUP(A1236,Metrik!$C$2:$Y$959,10,0)</f>
        <v>8.5</v>
      </c>
      <c r="K1236" s="20">
        <f>VLOOKUP(A1236,Metrik!$C$2:$Y$959,11,0)</f>
        <v>3.8</v>
      </c>
      <c r="L1236" s="20">
        <f>VLOOKUP(A1236,Metrik!$C$2:$Y$959,12,0)</f>
        <v>1.3</v>
      </c>
      <c r="M1236" s="20">
        <f>VLOOKUP(A1236,Metrik!$C$2:$Y$959,19,0)</f>
        <v>17.8</v>
      </c>
      <c r="N1236" s="21"/>
      <c r="O1236" s="21"/>
      <c r="P1236" s="21"/>
      <c r="Q1236" s="21"/>
      <c r="R1236" s="21"/>
      <c r="S1236" s="21"/>
      <c r="T1236" s="21"/>
      <c r="U1236" s="22">
        <f>IFERROR(__xludf.DUMMYFUNCTION("IFERROR(GOOGLEFINANCE(A1236,""closeyest""),"""")"),123.0)</f>
        <v>123</v>
      </c>
      <c r="V1236" s="23">
        <f>IFERROR(__xludf.DUMMYFUNCTION("IFERROR(GOOGLEFINANCE(A1236,""changepct""),"""")"),0.0)</f>
        <v>0</v>
      </c>
      <c r="W1236" s="22">
        <f>IFERROR(__xludf.DUMMYFUNCTION("IFERROR(GOOGLEFINANCE(A1236,""priceopen""),"""")"),125.0)</f>
        <v>125</v>
      </c>
      <c r="X1236" s="22">
        <f>IFERROR(__xludf.DUMMYFUNCTION("IFERROR(GOOGLEFINANCE(A1236,""high""),"""")"),125.0)</f>
        <v>125</v>
      </c>
      <c r="Y1236" s="22">
        <f>IFERROR(__xludf.DUMMYFUNCTION("IFERROR(GOOGLEFINANCE(A1236,""low""),"""")"),114.0)</f>
        <v>114</v>
      </c>
      <c r="Z1236" s="22">
        <f>IFERROR(__xludf.DUMMYFUNCTION("IFERROR(GOOGLEFINANCE(A1236,""volume""),"""")"),175000.0)</f>
        <v>175000</v>
      </c>
      <c r="AA1236" s="24" t="str">
        <f>VLOOKUP(A1236,Metrik!$C$2:$Y$959,5,0)</f>
        <v>Agricultural Products</v>
      </c>
      <c r="AB1236" s="24" t="str">
        <f>VLOOKUP(A1236,Metrik!$C$2:$Y$959,3,0)</f>
        <v>Consumer Non-Cyclicals</v>
      </c>
    </row>
    <row r="1237">
      <c r="A1237" s="17" t="s">
        <v>651</v>
      </c>
      <c r="B1237" s="14" t="str">
        <f t="array" ref="B1237">VLOOKUP(A1237,{Metrik!$C$2:$C$998,Metrik!$B$2:$B$998},2,0)</f>
        <v>Multi Bintang Indonesia Tbk.</v>
      </c>
      <c r="C1237" s="15">
        <f>IFERROR(__xludf.DUMMYFUNCTION("GOOGLEFINANCE(""IDX:""&amp;A1237,""price"")"),6000.0)</f>
        <v>6000</v>
      </c>
      <c r="D1237" s="16" t="str">
        <f>IFERROR(__xludf.DUMMYFUNCTION("IF(A1237="""","""",
SPARKLINE(
INDEX(
GOOGLEFINANCE(""IDX:""&amp;A1237,""close"",TODAY()-365,TODAY()),
,2
),
{""linewidth"",1}
))
"),"#N/A")</f>
        <v>#N/A</v>
      </c>
      <c r="E1237" s="17" t="s">
        <v>175</v>
      </c>
      <c r="F1237" s="14" t="s">
        <v>34</v>
      </c>
      <c r="G1237" s="18">
        <f t="shared" si="8"/>
        <v>1</v>
      </c>
      <c r="H1237" s="19">
        <f>VLOOKUP(A1237,Metrik!$C$2:$Y$959,8,0)</f>
        <v>10.4</v>
      </c>
      <c r="I1237" s="20">
        <f>VLOOKUP(A1237,Metrik!$C$2:$Y$959,9,0)</f>
        <v>8</v>
      </c>
      <c r="J1237" s="20">
        <f>VLOOKUP(A1237,Metrik!$C$2:$Y$959,10,0)</f>
        <v>76.7</v>
      </c>
      <c r="K1237" s="20">
        <f>VLOOKUP(A1237,Metrik!$C$2:$Y$959,11,0)</f>
        <v>33.6</v>
      </c>
      <c r="L1237" s="20">
        <f>VLOOKUP(A1237,Metrik!$C$2:$Y$959,12,0)</f>
        <v>1.3</v>
      </c>
      <c r="M1237" s="20">
        <f>VLOOKUP(A1237,Metrik!$C$2:$Y$959,19,0)</f>
        <v>160</v>
      </c>
      <c r="N1237" s="21"/>
      <c r="O1237" s="21"/>
      <c r="P1237" s="21"/>
      <c r="Q1237" s="21"/>
      <c r="R1237" s="21"/>
      <c r="S1237" s="21"/>
      <c r="T1237" s="21"/>
      <c r="U1237" s="22">
        <f>IFERROR(__xludf.DUMMYFUNCTION("IFERROR(GOOGLEFINANCE(A1237,""closeyest""),"""")"),6000.0)</f>
        <v>6000</v>
      </c>
      <c r="V1237" s="23">
        <f>IFERROR(__xludf.DUMMYFUNCTION("IFERROR(GOOGLEFINANCE(A1237,""changepct""),"""")"),0.0)</f>
        <v>0</v>
      </c>
      <c r="W1237" s="22">
        <f>IFERROR(__xludf.DUMMYFUNCTION("IFERROR(GOOGLEFINANCE(A1237,""priceopen""),"""")"),6000.0)</f>
        <v>6000</v>
      </c>
      <c r="X1237" s="22">
        <f>IFERROR(__xludf.DUMMYFUNCTION("IFERROR(GOOGLEFINANCE(A1237,""high""),"""")"),6025.0)</f>
        <v>6025</v>
      </c>
      <c r="Y1237" s="22">
        <f>IFERROR(__xludf.DUMMYFUNCTION("IFERROR(GOOGLEFINANCE(A1237,""low""),"""")"),5975.0)</f>
        <v>5975</v>
      </c>
      <c r="Z1237" s="22">
        <f>IFERROR(__xludf.DUMMYFUNCTION("IFERROR(GOOGLEFINANCE(A1237,""volume""),"""")"),162700.0)</f>
        <v>162700</v>
      </c>
      <c r="AA1237" s="24" t="str">
        <f>VLOOKUP(A1237,Metrik!$C$2:$Y$959,5,0)</f>
        <v>Beverages</v>
      </c>
      <c r="AB1237" s="24" t="str">
        <f>VLOOKUP(A1237,Metrik!$C$2:$Y$959,3,0)</f>
        <v>Consumer Non-Cyclicals</v>
      </c>
    </row>
    <row r="1238">
      <c r="A1238" s="14" t="s">
        <v>652</v>
      </c>
      <c r="B1238" s="14" t="str">
        <f t="array" ref="B1238">VLOOKUP(A1238,{Metrik!$C$2:$C$998,Metrik!$B$2:$B$998},2,0)</f>
        <v>Mulia Industrindo Tbk</v>
      </c>
      <c r="C1238" s="15">
        <f>IFERROR(__xludf.DUMMYFUNCTION("GOOGLEFINANCE(""IDX:""&amp;A1238,""price"")"),236.0)</f>
        <v>236</v>
      </c>
      <c r="D1238" s="16" t="str">
        <f>IFERROR(__xludf.DUMMYFUNCTION("IF(A1238="""","""",
SPARKLINE(
INDEX(
GOOGLEFINANCE(""IDX:""&amp;A1238,""close"",TODAY()-365,TODAY()),
,2
),
{""linewidth"",1}
))
"),"#N/A")</f>
        <v>#N/A</v>
      </c>
      <c r="E1238" s="26"/>
      <c r="F1238" s="26"/>
      <c r="G1238" s="24">
        <f t="shared" si="8"/>
        <v>0</v>
      </c>
      <c r="H1238" s="19">
        <f>VLOOKUP(A1238,Metrik!$C$2:$Y$959,8,0)</f>
        <v>-20.9</v>
      </c>
      <c r="I1238" s="20">
        <f>VLOOKUP(A1238,Metrik!$C$2:$Y$959,9,0)</f>
        <v>0.31</v>
      </c>
      <c r="J1238" s="20">
        <f>VLOOKUP(A1238,Metrik!$C$2:$Y$959,10,0)</f>
        <v>-1.5</v>
      </c>
      <c r="K1238" s="20">
        <f>VLOOKUP(A1238,Metrik!$C$2:$Y$959,11,0)</f>
        <v>-1.1</v>
      </c>
      <c r="L1238" s="20">
        <f>VLOOKUP(A1238,Metrik!$C$2:$Y$959,12,0)</f>
        <v>0.38</v>
      </c>
      <c r="M1238" s="20">
        <f>VLOOKUP(A1238,Metrik!$C$2:$Y$959,19,0)</f>
        <v>-8.9</v>
      </c>
      <c r="N1238" s="21"/>
      <c r="O1238" s="21"/>
      <c r="P1238" s="21"/>
      <c r="Q1238" s="21"/>
      <c r="R1238" s="21"/>
      <c r="S1238" s="21"/>
      <c r="T1238" s="21"/>
      <c r="U1238" s="22">
        <f>IFERROR(__xludf.DUMMYFUNCTION("IFERROR(GOOGLEFINANCE(A1238,""closeyest""),"""")"),236.0)</f>
        <v>236</v>
      </c>
      <c r="V1238" s="23">
        <f>IFERROR(__xludf.DUMMYFUNCTION("IFERROR(GOOGLEFINANCE(A1238,""changepct""),"""")"),0.0)</f>
        <v>0</v>
      </c>
      <c r="W1238" s="22">
        <f>IFERROR(__xludf.DUMMYFUNCTION("IFERROR(GOOGLEFINANCE(A1238,""priceopen""),"""")"),236.0)</f>
        <v>236</v>
      </c>
      <c r="X1238" s="22">
        <f>IFERROR(__xludf.DUMMYFUNCTION("IFERROR(GOOGLEFINANCE(A1238,""high""),"""")"),236.0)</f>
        <v>236</v>
      </c>
      <c r="Y1238" s="22">
        <f>IFERROR(__xludf.DUMMYFUNCTION("IFERROR(GOOGLEFINANCE(A1238,""low""),"""")"),234.0)</f>
        <v>234</v>
      </c>
      <c r="Z1238" s="22" t="str">
        <f>IFERROR(__xludf.DUMMYFUNCTION("IFERROR(GOOGLEFINANCE(A1238,""volume""),"""")"),"")</f>
        <v/>
      </c>
      <c r="AA1238" s="24" t="str">
        <f>VLOOKUP(A1238,Metrik!$C$2:$Y$959,5,0)</f>
        <v>Building Products &amp; Fixtures</v>
      </c>
      <c r="AB1238" s="24" t="str">
        <f>VLOOKUP(A1238,Metrik!$C$2:$Y$959,3,0)</f>
        <v>Industrials</v>
      </c>
    </row>
    <row r="1239">
      <c r="A1239" s="14" t="s">
        <v>653</v>
      </c>
      <c r="B1239" s="14" t="str">
        <f t="array" ref="B1239">VLOOKUP(A1239,{Metrik!$C$2:$C$998,Metrik!$B$2:$B$998},2,0)</f>
        <v>Multipolar Tbk</v>
      </c>
      <c r="C1239" s="15">
        <f>IFERROR(__xludf.DUMMYFUNCTION("GOOGLEFINANCE(""IDX:""&amp;A1239,""price"")"),80.0)</f>
        <v>80</v>
      </c>
      <c r="D1239" s="16" t="str">
        <f>IFERROR(__xludf.DUMMYFUNCTION("IF(A1239="""","""",
SPARKLINE(
INDEX(
GOOGLEFINANCE(""IDX:""&amp;A1239,""close"",TODAY()-365,TODAY()),
,2
),
{""linewidth"",1}
))
"),"#N/A")</f>
        <v>#N/A</v>
      </c>
      <c r="E1239" s="26"/>
      <c r="F1239" s="26"/>
      <c r="G1239" s="24">
        <f t="shared" si="8"/>
        <v>0</v>
      </c>
      <c r="H1239" s="19">
        <f>VLOOKUP(A1239,Metrik!$C$2:$Y$959,8,0)</f>
        <v>-27.6</v>
      </c>
      <c r="I1239" s="20">
        <f>VLOOKUP(A1239,Metrik!$C$2:$Y$959,9,0)</f>
        <v>0.25</v>
      </c>
      <c r="J1239" s="20">
        <f>VLOOKUP(A1239,Metrik!$C$2:$Y$959,10,0)</f>
        <v>-0.92</v>
      </c>
      <c r="K1239" s="20">
        <f>VLOOKUP(A1239,Metrik!$C$2:$Y$959,11,0)</f>
        <v>-0.34</v>
      </c>
      <c r="L1239" s="20">
        <f>VLOOKUP(A1239,Metrik!$C$2:$Y$959,12,0)</f>
        <v>1.7</v>
      </c>
      <c r="M1239" s="20">
        <f>VLOOKUP(A1239,Metrik!$C$2:$Y$959,19,0)</f>
        <v>-1.5</v>
      </c>
      <c r="N1239" s="21"/>
      <c r="O1239" s="21"/>
      <c r="P1239" s="21"/>
      <c r="Q1239" s="21"/>
      <c r="R1239" s="21"/>
      <c r="S1239" s="21"/>
      <c r="T1239" s="21"/>
      <c r="U1239" s="22">
        <f>IFERROR(__xludf.DUMMYFUNCTION("IFERROR(GOOGLEFINANCE(A1239,""closeyest""),"""")"),77.0)</f>
        <v>77</v>
      </c>
      <c r="V1239" s="23">
        <f>IFERROR(__xludf.DUMMYFUNCTION("IFERROR(GOOGLEFINANCE(A1239,""changepct""),"""")"),3.9)</f>
        <v>3.9</v>
      </c>
      <c r="W1239" s="22">
        <f>IFERROR(__xludf.DUMMYFUNCTION("IFERROR(GOOGLEFINANCE(A1239,""priceopen""),"""")"),80.0)</f>
        <v>80</v>
      </c>
      <c r="X1239" s="22">
        <f>IFERROR(__xludf.DUMMYFUNCTION("IFERROR(GOOGLEFINANCE(A1239,""high""),"""")"),81.0)</f>
        <v>81</v>
      </c>
      <c r="Y1239" s="22">
        <f>IFERROR(__xludf.DUMMYFUNCTION("IFERROR(GOOGLEFINANCE(A1239,""low""),"""")"),79.0)</f>
        <v>79</v>
      </c>
      <c r="Z1239" s="22">
        <f>IFERROR(__xludf.DUMMYFUNCTION("IFERROR(GOOGLEFINANCE(A1239,""volume""),"""")"),1.30549E7)</f>
        <v>13054900</v>
      </c>
      <c r="AA1239" s="24" t="str">
        <f>VLOOKUP(A1239,Metrik!$C$2:$Y$959,5,0)</f>
        <v>Multi-sector Holdings</v>
      </c>
      <c r="AB1239" s="24" t="str">
        <f>VLOOKUP(A1239,Metrik!$C$2:$Y$959,3,0)</f>
        <v>Industrials</v>
      </c>
    </row>
    <row r="1240">
      <c r="A1240" s="14" t="s">
        <v>654</v>
      </c>
      <c r="B1240" s="14" t="str">
        <f t="array" ref="B1240">VLOOKUP(A1240,{Metrik!$C$2:$C$998,Metrik!$B$2:$B$998},2,0)</f>
        <v>Multipolar Technology Tbk.</v>
      </c>
      <c r="C1240" s="15">
        <f>IFERROR(__xludf.DUMMYFUNCTION("GOOGLEFINANCE(""IDX:""&amp;A1240,""price"")"),20200.0)</f>
        <v>20200</v>
      </c>
      <c r="D1240" s="16" t="str">
        <f>IFERROR(__xludf.DUMMYFUNCTION("IF(A1240="""","""",
SPARKLINE(
INDEX(
GOOGLEFINANCE(""IDX:""&amp;A1240,""close"",TODAY()-365,TODAY()),
,2
),
{""linewidth"",1}
))
"),"#N/A")</f>
        <v>#N/A</v>
      </c>
      <c r="E1240" s="26"/>
      <c r="F1240" s="26"/>
      <c r="G1240" s="24">
        <f t="shared" si="8"/>
        <v>0</v>
      </c>
      <c r="H1240" s="19">
        <f>VLOOKUP(A1240,Metrik!$C$2:$Y$959,8,0)</f>
        <v>120</v>
      </c>
      <c r="I1240" s="20">
        <f>VLOOKUP(A1240,Metrik!$C$2:$Y$959,9,0)</f>
        <v>45.2</v>
      </c>
      <c r="J1240" s="20">
        <f>VLOOKUP(A1240,Metrik!$C$2:$Y$959,10,0)</f>
        <v>38.4</v>
      </c>
      <c r="K1240" s="20">
        <f>VLOOKUP(A1240,Metrik!$C$2:$Y$959,11,0)</f>
        <v>7.8</v>
      </c>
      <c r="L1240" s="20">
        <f>VLOOKUP(A1240,Metrik!$C$2:$Y$959,12,0)</f>
        <v>3.9</v>
      </c>
      <c r="M1240" s="20">
        <f>VLOOKUP(A1240,Metrik!$C$2:$Y$959,19,0)</f>
        <v>36.1</v>
      </c>
      <c r="N1240" s="21"/>
      <c r="O1240" s="21"/>
      <c r="P1240" s="21"/>
      <c r="Q1240" s="21"/>
      <c r="R1240" s="21"/>
      <c r="S1240" s="21"/>
      <c r="T1240" s="21"/>
      <c r="U1240" s="22">
        <f>IFERROR(__xludf.DUMMYFUNCTION("IFERROR(GOOGLEFINANCE(A1240,""closeyest""),"""")"),20400.0)</f>
        <v>20400</v>
      </c>
      <c r="V1240" s="23">
        <f>IFERROR(__xludf.DUMMYFUNCTION("IFERROR(GOOGLEFINANCE(A1240,""changepct""),"""")"),-0.98)</f>
        <v>-0.98</v>
      </c>
      <c r="W1240" s="22" t="str">
        <f>IFERROR(__xludf.DUMMYFUNCTION("IFERROR(GOOGLEFINANCE(A1240,""priceopen""),"""")"),"")</f>
        <v/>
      </c>
      <c r="X1240" s="22">
        <f>IFERROR(__xludf.DUMMYFUNCTION("IFERROR(GOOGLEFINANCE(A1240,""high""),"""")"),22175.0)</f>
        <v>22175</v>
      </c>
      <c r="Y1240" s="22">
        <f>IFERROR(__xludf.DUMMYFUNCTION("IFERROR(GOOGLEFINANCE(A1240,""low""),"""")"),20175.0)</f>
        <v>20175</v>
      </c>
      <c r="Z1240" s="22">
        <f>IFERROR(__xludf.DUMMYFUNCTION("IFERROR(GOOGLEFINANCE(A1240,""volume""),"""")"),74800.0)</f>
        <v>74800</v>
      </c>
      <c r="AA1240" s="24" t="str">
        <f>VLOOKUP(A1240,Metrik!$C$2:$Y$959,5,0)</f>
        <v>IT Services &amp; Consulting</v>
      </c>
      <c r="AB1240" s="24" t="str">
        <f>VLOOKUP(A1240,Metrik!$C$2:$Y$959,3,0)</f>
        <v>Technology</v>
      </c>
    </row>
    <row r="1241">
      <c r="A1241" s="14" t="s">
        <v>655</v>
      </c>
      <c r="B1241" s="14" t="str">
        <f t="array" ref="B1241">VLOOKUP(A1241,{Metrik!$C$2:$C$998,Metrik!$B$2:$B$998},2,0)</f>
        <v>PT Multi Medika Internasional Tbk</v>
      </c>
      <c r="C1241" s="15" t="str">
        <f>IFERROR(__xludf.DUMMYFUNCTION("GOOGLEFINANCE(""IDX:""&amp;A1241,""price"")"),"#N/A")</f>
        <v>#N/A</v>
      </c>
      <c r="D1241" s="16" t="str">
        <f>IFERROR(__xludf.DUMMYFUNCTION("IF(A1241="""","""",
SPARKLINE(
INDEX(
GOOGLEFINANCE(""IDX:""&amp;A1241,""close"",TODAY()-365,TODAY()),
,2
),
{""linewidth"",1}
))
"),"#N/A")</f>
        <v>#N/A</v>
      </c>
      <c r="E1241" s="26"/>
      <c r="F1241" s="26"/>
      <c r="G1241" s="24">
        <f t="shared" si="8"/>
        <v>0</v>
      </c>
      <c r="H1241" s="19">
        <f>VLOOKUP(A1241,Metrik!$C$2:$Y$959,8,0)</f>
        <v>370</v>
      </c>
      <c r="I1241" s="20">
        <f>VLOOKUP(A1241,Metrik!$C$2:$Y$959,9,0)</f>
        <v>10.8</v>
      </c>
      <c r="J1241" s="20">
        <f>VLOOKUP(A1241,Metrik!$C$2:$Y$959,10,0)</f>
        <v>2.9</v>
      </c>
      <c r="K1241" s="20">
        <f>VLOOKUP(A1241,Metrik!$C$2:$Y$959,11,0)</f>
        <v>1.3</v>
      </c>
      <c r="L1241" s="20">
        <f>VLOOKUP(A1241,Metrik!$C$2:$Y$959,12,0)</f>
        <v>1.3</v>
      </c>
      <c r="M1241" s="20">
        <f>VLOOKUP(A1241,Metrik!$C$2:$Y$959,19,0)</f>
        <v>11</v>
      </c>
      <c r="N1241" s="21"/>
      <c r="O1241" s="21"/>
      <c r="P1241" s="21"/>
      <c r="Q1241" s="21"/>
      <c r="R1241" s="21"/>
      <c r="S1241" s="21"/>
      <c r="T1241" s="21"/>
      <c r="U1241" s="22">
        <f>IFERROR(__xludf.DUMMYFUNCTION("IFERROR(GOOGLEFINANCE(A1241,""closeyest""),"""")"),750.0)</f>
        <v>750</v>
      </c>
      <c r="V1241" s="23">
        <f>IFERROR(__xludf.DUMMYFUNCTION("IFERROR(GOOGLEFINANCE(A1241,""changepct""),"""")"),0.0)</f>
        <v>0</v>
      </c>
      <c r="W1241" s="22" t="str">
        <f>IFERROR(__xludf.DUMMYFUNCTION("IFERROR(GOOGLEFINANCE(A1241,""priceopen""),"""")"),"")</f>
        <v/>
      </c>
      <c r="X1241" s="22" t="str">
        <f>IFERROR(__xludf.DUMMYFUNCTION("IFERROR(GOOGLEFINANCE(A1241,""high""),"""")"),"")</f>
        <v/>
      </c>
      <c r="Y1241" s="22" t="str">
        <f>IFERROR(__xludf.DUMMYFUNCTION("IFERROR(GOOGLEFINANCE(A1241,""low""),"""")"),"")</f>
        <v/>
      </c>
      <c r="Z1241" s="22">
        <f>IFERROR(__xludf.DUMMYFUNCTION("IFERROR(GOOGLEFINANCE(A1241,""volume""),"""")"),0.0)</f>
        <v>0</v>
      </c>
      <c r="AA1241" s="24" t="str">
        <f>VLOOKUP(A1241,Metrik!$C$2:$Y$959,5,0)</f>
        <v>Healthcare Equipment &amp; Supplies</v>
      </c>
      <c r="AB1241" s="24" t="str">
        <f>VLOOKUP(A1241,Metrik!$C$2:$Y$959,3,0)</f>
        <v>Healthcare</v>
      </c>
    </row>
    <row r="1242">
      <c r="A1242" s="17" t="s">
        <v>656</v>
      </c>
      <c r="B1242" s="14" t="str">
        <f t="array" ref="B1242">VLOOKUP(A1242,{Metrik!$C$2:$C$998,Metrik!$B$2:$B$998},2,0)</f>
        <v>Mega Manunggal Property Tbk.</v>
      </c>
      <c r="C1242" s="15">
        <f>IFERROR(__xludf.DUMMYFUNCTION("GOOGLEFINANCE(""IDX:""&amp;A1242,""price"")"),308.0)</f>
        <v>308</v>
      </c>
      <c r="D1242" s="16" t="str">
        <f>IFERROR(__xludf.DUMMYFUNCTION("IF(A1242="""","""",
SPARKLINE(
INDEX(
GOOGLEFINANCE(""IDX:""&amp;A1242,""close"",TODAY()-365,TODAY()),
,2
),
{""linewidth"",1}
))
"),"#N/A")</f>
        <v>#N/A</v>
      </c>
      <c r="E1242" s="14"/>
      <c r="F1242" s="17"/>
      <c r="G1242" s="18">
        <f t="shared" si="8"/>
        <v>0</v>
      </c>
      <c r="H1242" s="19">
        <f>VLOOKUP(A1242,Metrik!$C$2:$Y$959,8,0)</f>
        <v>25.1</v>
      </c>
      <c r="I1242" s="20">
        <f>VLOOKUP(A1242,Metrik!$C$2:$Y$959,9,0)</f>
        <v>0.45</v>
      </c>
      <c r="J1242" s="20">
        <f>VLOOKUP(A1242,Metrik!$C$2:$Y$959,10,0)</f>
        <v>1.8</v>
      </c>
      <c r="K1242" s="20">
        <f>VLOOKUP(A1242,Metrik!$C$2:$Y$959,11,0)</f>
        <v>1.3</v>
      </c>
      <c r="L1242" s="20">
        <f>VLOOKUP(A1242,Metrik!$C$2:$Y$959,12,0)</f>
        <v>0.38</v>
      </c>
      <c r="M1242" s="20">
        <f>VLOOKUP(A1242,Metrik!$C$2:$Y$959,19,0)</f>
        <v>92.8</v>
      </c>
      <c r="N1242" s="21"/>
      <c r="O1242" s="21"/>
      <c r="P1242" s="21"/>
      <c r="Q1242" s="21"/>
      <c r="R1242" s="21"/>
      <c r="S1242" s="21"/>
      <c r="T1242" s="21"/>
      <c r="U1242" s="22">
        <f>IFERROR(__xludf.DUMMYFUNCTION("IFERROR(GOOGLEFINANCE(A1242,""closeyest""),"""")"),2.94)</f>
        <v>2.94</v>
      </c>
      <c r="V1242" s="23">
        <f>IFERROR(__xludf.DUMMYFUNCTION("IFERROR(GOOGLEFINANCE(A1242,""changepct""),"""")"),-8.67)</f>
        <v>-8.67</v>
      </c>
      <c r="W1242" s="22">
        <f>IFERROR(__xludf.DUMMYFUNCTION("IFERROR(GOOGLEFINANCE(A1242,""priceopen""),"""")"),2.92)</f>
        <v>2.92</v>
      </c>
      <c r="X1242" s="22">
        <f>IFERROR(__xludf.DUMMYFUNCTION("IFERROR(GOOGLEFINANCE(A1242,""high""),"""")"),2.97)</f>
        <v>2.97</v>
      </c>
      <c r="Y1242" s="22" t="str">
        <f>IFERROR(__xludf.DUMMYFUNCTION("IFERROR(GOOGLEFINANCE(A1242,""low""),"""")"),"")</f>
        <v/>
      </c>
      <c r="Z1242" s="22">
        <f>IFERROR(__xludf.DUMMYFUNCTION("IFERROR(GOOGLEFINANCE(A1242,""volume""),"""")"),70569.0)</f>
        <v>70569</v>
      </c>
      <c r="AA1242" s="24" t="str">
        <f>VLOOKUP(A1242,Metrik!$C$2:$Y$959,5,0)</f>
        <v>Real Estate Management &amp; Development</v>
      </c>
      <c r="AB1242" s="24" t="str">
        <f>VLOOKUP(A1242,Metrik!$C$2:$Y$959,3,0)</f>
        <v>Properties &amp; Real Estate</v>
      </c>
    </row>
    <row r="1243">
      <c r="A1243" s="14" t="s">
        <v>657</v>
      </c>
      <c r="B1243" s="14" t="str">
        <f t="array" ref="B1243">VLOOKUP(A1243,{Metrik!$C$2:$C$998,Metrik!$B$2:$B$998},2,0)</f>
        <v>Media Nusantara Citra Tbk.</v>
      </c>
      <c r="C1243" s="15">
        <f>IFERROR(__xludf.DUMMYFUNCTION("GOOGLEFINANCE(""IDX:""&amp;A1243,""price"")"),214.0)</f>
        <v>214</v>
      </c>
      <c r="D1243" s="16" t="str">
        <f>IFERROR(__xludf.DUMMYFUNCTION("IF(A1243="""","""",
SPARKLINE(
INDEX(
GOOGLEFINANCE(""IDX:""&amp;A1243,""close"",TODAY()-365,TODAY()),
,2
),
{""linewidth"",1}
))
"),"#N/A")</f>
        <v>#N/A</v>
      </c>
      <c r="E1243" s="14" t="s">
        <v>84</v>
      </c>
      <c r="F1243" s="17" t="s">
        <v>51</v>
      </c>
      <c r="G1243" s="24">
        <f t="shared" si="8"/>
        <v>2</v>
      </c>
      <c r="H1243" s="19">
        <f>VLOOKUP(A1243,Metrik!$C$2:$Y$959,8,0)</f>
        <v>2.5</v>
      </c>
      <c r="I1243" s="20">
        <f>VLOOKUP(A1243,Metrik!$C$2:$Y$959,9,0)</f>
        <v>0.14</v>
      </c>
      <c r="J1243" s="20">
        <f>VLOOKUP(A1243,Metrik!$C$2:$Y$959,10,0)</f>
        <v>5.4</v>
      </c>
      <c r="K1243" s="20">
        <f>VLOOKUP(A1243,Metrik!$C$2:$Y$959,11,0)</f>
        <v>5</v>
      </c>
      <c r="L1243" s="20">
        <f>VLOOKUP(A1243,Metrik!$C$2:$Y$959,12,0)</f>
        <v>0.08</v>
      </c>
      <c r="M1243" s="20">
        <f>VLOOKUP(A1243,Metrik!$C$2:$Y$959,19,0)</f>
        <v>67.4</v>
      </c>
      <c r="N1243" s="21"/>
      <c r="O1243" s="21"/>
      <c r="P1243" s="21"/>
      <c r="Q1243" s="21"/>
      <c r="R1243" s="21"/>
      <c r="S1243" s="21"/>
      <c r="T1243" s="21"/>
      <c r="U1243" s="22">
        <f>IFERROR(__xludf.DUMMYFUNCTION("IFERROR(GOOGLEFINANCE(A1243,""closeyest""),"""")"),210.0)</f>
        <v>210</v>
      </c>
      <c r="V1243" s="23">
        <f>IFERROR(__xludf.DUMMYFUNCTION("IFERROR(GOOGLEFINANCE(A1243,""changepct""),"""")"),1.9)</f>
        <v>1.9</v>
      </c>
      <c r="W1243" s="22">
        <f>IFERROR(__xludf.DUMMYFUNCTION("IFERROR(GOOGLEFINANCE(A1243,""priceopen""),"""")"),212.0)</f>
        <v>212</v>
      </c>
      <c r="X1243" s="22">
        <f>IFERROR(__xludf.DUMMYFUNCTION("IFERROR(GOOGLEFINANCE(A1243,""high""),"""")"),216.0)</f>
        <v>216</v>
      </c>
      <c r="Y1243" s="22">
        <f>IFERROR(__xludf.DUMMYFUNCTION("IFERROR(GOOGLEFINANCE(A1243,""low""),"""")"),210.0)</f>
        <v>210</v>
      </c>
      <c r="Z1243" s="22">
        <f>IFERROR(__xludf.DUMMYFUNCTION("IFERROR(GOOGLEFINANCE(A1243,""volume""),"""")"),1.66235E7)</f>
        <v>16623500</v>
      </c>
      <c r="AA1243" s="24" t="str">
        <f>VLOOKUP(A1243,Metrik!$C$2:$Y$959,5,0)</f>
        <v>Media</v>
      </c>
      <c r="AB1243" s="24" t="str">
        <f>VLOOKUP(A1243,Metrik!$C$2:$Y$959,3,0)</f>
        <v>Consumer Cyclicals</v>
      </c>
    </row>
    <row r="1244">
      <c r="A1244" s="14" t="s">
        <v>657</v>
      </c>
      <c r="B1244" s="14" t="str">
        <f t="array" ref="B1244">VLOOKUP(A1244,{Metrik!$C$2:$C$998,Metrik!$B$2:$B$998},2,0)</f>
        <v>Media Nusantara Citra Tbk.</v>
      </c>
      <c r="C1244" s="15">
        <f>IFERROR(__xludf.DUMMYFUNCTION("GOOGLEFINANCE(""IDX:""&amp;A1244,""price"")"),214.0)</f>
        <v>214</v>
      </c>
      <c r="D1244" s="16" t="str">
        <f>IFERROR(__xludf.DUMMYFUNCTION("IF(A1244="""","""",
SPARKLINE(
INDEX(
GOOGLEFINANCE(""IDX:""&amp;A1244,""close"",TODAY()-365,TODAY()),
,2
),
{""linewidth"",1}
))
"),"#N/A")</f>
        <v>#N/A</v>
      </c>
      <c r="E1244" s="14" t="s">
        <v>41</v>
      </c>
      <c r="F1244" s="14" t="s">
        <v>34</v>
      </c>
      <c r="G1244" s="24">
        <f t="shared" si="8"/>
        <v>2</v>
      </c>
      <c r="H1244" s="19">
        <f>VLOOKUP(A1244,Metrik!$C$2:$Y$959,8,0)</f>
        <v>2.5</v>
      </c>
      <c r="I1244" s="20">
        <f>VLOOKUP(A1244,Metrik!$C$2:$Y$959,9,0)</f>
        <v>0.14</v>
      </c>
      <c r="J1244" s="20">
        <f>VLOOKUP(A1244,Metrik!$C$2:$Y$959,10,0)</f>
        <v>5.4</v>
      </c>
      <c r="K1244" s="20">
        <f>VLOOKUP(A1244,Metrik!$C$2:$Y$959,11,0)</f>
        <v>5</v>
      </c>
      <c r="L1244" s="20">
        <f>VLOOKUP(A1244,Metrik!$C$2:$Y$959,12,0)</f>
        <v>0.08</v>
      </c>
      <c r="M1244" s="20">
        <f>VLOOKUP(A1244,Metrik!$C$2:$Y$959,19,0)</f>
        <v>67.4</v>
      </c>
      <c r="N1244" s="21"/>
      <c r="O1244" s="21"/>
      <c r="P1244" s="21"/>
      <c r="Q1244" s="21"/>
      <c r="R1244" s="21"/>
      <c r="S1244" s="21"/>
      <c r="T1244" s="21"/>
      <c r="U1244" s="22">
        <f>IFERROR(__xludf.DUMMYFUNCTION("IFERROR(GOOGLEFINANCE(A1244,""closeyest""),"""")"),210.0)</f>
        <v>210</v>
      </c>
      <c r="V1244" s="23">
        <f>IFERROR(__xludf.DUMMYFUNCTION("IFERROR(GOOGLEFINANCE(A1244,""changepct""),"""")"),1.9)</f>
        <v>1.9</v>
      </c>
      <c r="W1244" s="22">
        <f>IFERROR(__xludf.DUMMYFUNCTION("IFERROR(GOOGLEFINANCE(A1244,""priceopen""),"""")"),212.0)</f>
        <v>212</v>
      </c>
      <c r="X1244" s="22">
        <f>IFERROR(__xludf.DUMMYFUNCTION("IFERROR(GOOGLEFINANCE(A1244,""high""),"""")"),216.0)</f>
        <v>216</v>
      </c>
      <c r="Y1244" s="22">
        <f>IFERROR(__xludf.DUMMYFUNCTION("IFERROR(GOOGLEFINANCE(A1244,""low""),"""")"),210.0)</f>
        <v>210</v>
      </c>
      <c r="Z1244" s="22">
        <f>IFERROR(__xludf.DUMMYFUNCTION("IFERROR(GOOGLEFINANCE(A1244,""volume""),"""")"),1.66235E7)</f>
        <v>16623500</v>
      </c>
      <c r="AA1244" s="24" t="str">
        <f>VLOOKUP(A1244,Metrik!$C$2:$Y$959,5,0)</f>
        <v>Media</v>
      </c>
      <c r="AB1244" s="24" t="str">
        <f>VLOOKUP(A1244,Metrik!$C$2:$Y$959,3,0)</f>
        <v>Consumer Cyclicals</v>
      </c>
    </row>
    <row r="1245">
      <c r="A1245" s="14" t="s">
        <v>658</v>
      </c>
      <c r="B1245" s="14" t="str">
        <f t="array" ref="B1245">VLOOKUP(A1245,{Metrik!$C$2:$C$998,Metrik!$B$2:$B$998},2,0)</f>
        <v>Madusari Murni Indah Tbk.</v>
      </c>
      <c r="C1245" s="15">
        <f>IFERROR(__xludf.DUMMYFUNCTION("GOOGLEFINANCE(""IDX:""&amp;A1245,""price"")"),234.0)</f>
        <v>234</v>
      </c>
      <c r="D1245" s="16" t="str">
        <f>IFERROR(__xludf.DUMMYFUNCTION("IF(A1245="""","""",
SPARKLINE(
INDEX(
GOOGLEFINANCE(""IDX:""&amp;A1245,""close"",TODAY()-365,TODAY()),
,2
),
{""linewidth"",1}
))
"),"#N/A")</f>
        <v>#N/A</v>
      </c>
      <c r="E1245" s="26"/>
      <c r="F1245" s="26"/>
      <c r="G1245" s="24">
        <f t="shared" si="8"/>
        <v>0</v>
      </c>
      <c r="H1245" s="19">
        <f>VLOOKUP(A1245,Metrik!$C$2:$Y$959,8,0)</f>
        <v>6.3</v>
      </c>
      <c r="I1245" s="20">
        <f>VLOOKUP(A1245,Metrik!$C$2:$Y$959,9,0)</f>
        <v>0.41</v>
      </c>
      <c r="J1245" s="20">
        <f>VLOOKUP(A1245,Metrik!$C$2:$Y$959,10,0)</f>
        <v>6.6</v>
      </c>
      <c r="K1245" s="20">
        <f>VLOOKUP(A1245,Metrik!$C$2:$Y$959,11,0)</f>
        <v>5.9</v>
      </c>
      <c r="L1245" s="20">
        <f>VLOOKUP(A1245,Metrik!$C$2:$Y$959,12,0)</f>
        <v>0.11</v>
      </c>
      <c r="M1245" s="20">
        <f>VLOOKUP(A1245,Metrik!$C$2:$Y$959,19,0)</f>
        <v>30.3</v>
      </c>
      <c r="N1245" s="21"/>
      <c r="O1245" s="21"/>
      <c r="P1245" s="21"/>
      <c r="Q1245" s="21"/>
      <c r="R1245" s="21"/>
      <c r="S1245" s="21"/>
      <c r="T1245" s="21"/>
      <c r="U1245" s="22">
        <f>IFERROR(__xludf.DUMMYFUNCTION("IFERROR(GOOGLEFINANCE(A1245,""closeyest""),"""")"),2805.0)</f>
        <v>2805</v>
      </c>
      <c r="V1245" s="23">
        <f>IFERROR(__xludf.DUMMYFUNCTION("IFERROR(GOOGLEFINANCE(A1245,""changepct""),"""")"),-4.46)</f>
        <v>-4.46</v>
      </c>
      <c r="W1245" s="22">
        <f>IFERROR(__xludf.DUMMYFUNCTION("IFERROR(GOOGLEFINANCE(A1245,""priceopen""),"""")"),2850.0)</f>
        <v>2850</v>
      </c>
      <c r="X1245" s="22">
        <f>IFERROR(__xludf.DUMMYFUNCTION("IFERROR(GOOGLEFINANCE(A1245,""high""),"""")"),2850.0)</f>
        <v>2850</v>
      </c>
      <c r="Y1245" s="22">
        <f>IFERROR(__xludf.DUMMYFUNCTION("IFERROR(GOOGLEFINANCE(A1245,""low""),"""")"),2610.0)</f>
        <v>2610</v>
      </c>
      <c r="Z1245" s="22">
        <f>IFERROR(__xludf.DUMMYFUNCTION("IFERROR(GOOGLEFINANCE(A1245,""volume""),"""")"),26414.0)</f>
        <v>26414</v>
      </c>
      <c r="AA1245" s="24" t="str">
        <f>VLOOKUP(A1245,Metrik!$C$2:$Y$959,5,0)</f>
        <v>Chemicals</v>
      </c>
      <c r="AB1245" s="24" t="str">
        <f>VLOOKUP(A1245,Metrik!$C$2:$Y$959,3,0)</f>
        <v>Basic Materials</v>
      </c>
    </row>
    <row r="1246">
      <c r="A1246" s="14" t="s">
        <v>659</v>
      </c>
      <c r="B1246" s="14" t="str">
        <f t="array" ref="B1246">VLOOKUP(A1246,{Metrik!$C$2:$C$998,Metrik!$B$2:$B$998},2,0)</f>
        <v>Ekamas Mora Republik Tbk.</v>
      </c>
      <c r="C1246" s="15">
        <f>IFERROR(__xludf.DUMMYFUNCTION("GOOGLEFINANCE(""IDX:""&amp;A1246,""price"")"),6325.0)</f>
        <v>6325</v>
      </c>
      <c r="D1246" s="16" t="str">
        <f>IFERROR(__xludf.DUMMYFUNCTION("IF(A1246="""","""",
SPARKLINE(
INDEX(
GOOGLEFINANCE(""IDX:""&amp;A1246,""close"",TODAY()-365,TODAY()),
,2
),
{""linewidth"",1}
))
"),"#N/A")</f>
        <v>#N/A</v>
      </c>
      <c r="E1246" s="26"/>
      <c r="F1246" s="26"/>
      <c r="G1246" s="24">
        <f t="shared" si="8"/>
        <v>0</v>
      </c>
      <c r="H1246" s="19">
        <f>VLOOKUP(A1246,Metrik!$C$2:$Y$959,8,0)</f>
        <v>700</v>
      </c>
      <c r="I1246" s="20">
        <f>VLOOKUP(A1246,Metrik!$C$2:$Y$959,9,0)</f>
        <v>40.9</v>
      </c>
      <c r="J1246" s="20">
        <f>VLOOKUP(A1246,Metrik!$C$2:$Y$959,10,0)</f>
        <v>5.9</v>
      </c>
      <c r="K1246" s="20">
        <f>VLOOKUP(A1246,Metrik!$C$2:$Y$959,11,0)</f>
        <v>3.2</v>
      </c>
      <c r="L1246" s="20">
        <f>VLOOKUP(A1246,Metrik!$C$2:$Y$959,12,0)</f>
        <v>0.85</v>
      </c>
      <c r="M1246" s="20">
        <f>VLOOKUP(A1246,Metrik!$C$2:$Y$959,19,0)</f>
        <v>49.1</v>
      </c>
      <c r="N1246" s="21"/>
      <c r="O1246" s="21"/>
      <c r="P1246" s="21"/>
      <c r="Q1246" s="21"/>
      <c r="R1246" s="21"/>
      <c r="S1246" s="21"/>
      <c r="T1246" s="21"/>
      <c r="U1246" s="22">
        <f>IFERROR(__xludf.DUMMYFUNCTION("IFERROR(GOOGLEFINANCE(A1246,""closeyest""),"""")"),6325.0)</f>
        <v>6325</v>
      </c>
      <c r="V1246" s="23">
        <f>IFERROR(__xludf.DUMMYFUNCTION("IFERROR(GOOGLEFINANCE(A1246,""changepct""),"""")"),0.0)</f>
        <v>0</v>
      </c>
      <c r="W1246" s="22">
        <f>IFERROR(__xludf.DUMMYFUNCTION("IFERROR(GOOGLEFINANCE(A1246,""priceopen""),"""")"),6350.0)</f>
        <v>6350</v>
      </c>
      <c r="X1246" s="22">
        <f>IFERROR(__xludf.DUMMYFUNCTION("IFERROR(GOOGLEFINANCE(A1246,""high""),"""")"),6575.0)</f>
        <v>6575</v>
      </c>
      <c r="Y1246" s="22">
        <f>IFERROR(__xludf.DUMMYFUNCTION("IFERROR(GOOGLEFINANCE(A1246,""low""),"""")"),6150.0)</f>
        <v>6150</v>
      </c>
      <c r="Z1246" s="22">
        <f>IFERROR(__xludf.DUMMYFUNCTION("IFERROR(GOOGLEFINANCE(A1246,""volume""),"""")"),347600.0)</f>
        <v>347600</v>
      </c>
      <c r="AA1246" s="24" t="str">
        <f>VLOOKUP(A1246,Metrik!$C$2:$Y$959,5,0)</f>
        <v>Telecommunication Service</v>
      </c>
      <c r="AB1246" s="24" t="str">
        <f>VLOOKUP(A1246,Metrik!$C$2:$Y$959,3,0)</f>
        <v>Infrastructures</v>
      </c>
    </row>
    <row r="1247">
      <c r="A1247" s="14" t="s">
        <v>660</v>
      </c>
      <c r="B1247" s="14" t="str">
        <f t="array" ref="B1247">VLOOKUP(A1247,{Metrik!$C$2:$C$998,Metrik!$B$2:$B$998},2,0)</f>
        <v>Mitra Pedagang Indonesia Tbk.</v>
      </c>
      <c r="C1247" s="15">
        <f>IFERROR(__xludf.DUMMYFUNCTION("GOOGLEFINANCE(""IDX:""&amp;A1247,""price"")"),85.0)</f>
        <v>85</v>
      </c>
      <c r="D1247" s="16" t="str">
        <f>IFERROR(__xludf.DUMMYFUNCTION("IF(A1247="""","""",
SPARKLINE(
INDEX(
GOOGLEFINANCE(""IDX:""&amp;A1247,""close"",TODAY()-365,TODAY()),
,2
),
{""linewidth"",1}
))
"),"#N/A")</f>
        <v>#N/A</v>
      </c>
      <c r="E1247" s="26"/>
      <c r="F1247" s="26"/>
      <c r="G1247" s="24">
        <f t="shared" si="8"/>
        <v>0</v>
      </c>
      <c r="H1247" s="19">
        <f>VLOOKUP(A1247,Metrik!$C$2:$Y$959,8,0)</f>
        <v>15.1</v>
      </c>
      <c r="I1247" s="20">
        <f>VLOOKUP(A1247,Metrik!$C$2:$Y$959,9,0)</f>
        <v>0.84</v>
      </c>
      <c r="J1247" s="20">
        <f>VLOOKUP(A1247,Metrik!$C$2:$Y$959,10,0)</f>
        <v>5.6</v>
      </c>
      <c r="K1247" s="20">
        <f>VLOOKUP(A1247,Metrik!$C$2:$Y$959,11,0)</f>
        <v>5.1</v>
      </c>
      <c r="L1247" s="20">
        <f>VLOOKUP(A1247,Metrik!$C$2:$Y$959,12,0)</f>
        <v>0.1</v>
      </c>
      <c r="M1247" s="20">
        <f>VLOOKUP(A1247,Metrik!$C$2:$Y$959,19,0)</f>
        <v>1.6</v>
      </c>
      <c r="N1247" s="21"/>
      <c r="O1247" s="21"/>
      <c r="P1247" s="21"/>
      <c r="Q1247" s="21"/>
      <c r="R1247" s="21"/>
      <c r="S1247" s="21"/>
      <c r="T1247" s="21"/>
      <c r="U1247" s="22">
        <f>IFERROR(__xludf.DUMMYFUNCTION("IFERROR(GOOGLEFINANCE(A1247,""closeyest""),"""")"),82.0)</f>
        <v>82</v>
      </c>
      <c r="V1247" s="23">
        <f>IFERROR(__xludf.DUMMYFUNCTION("IFERROR(GOOGLEFINANCE(A1247,""changepct""),"""")"),3.66)</f>
        <v>3.66</v>
      </c>
      <c r="W1247" s="22">
        <f>IFERROR(__xludf.DUMMYFUNCTION("IFERROR(GOOGLEFINANCE(A1247,""priceopen""),"""")"),82.0)</f>
        <v>82</v>
      </c>
      <c r="X1247" s="22">
        <f>IFERROR(__xludf.DUMMYFUNCTION("IFERROR(GOOGLEFINANCE(A1247,""high""),"""")"),85.0)</f>
        <v>85</v>
      </c>
      <c r="Y1247" s="22">
        <f>IFERROR(__xludf.DUMMYFUNCTION("IFERROR(GOOGLEFINANCE(A1247,""low""),"""")"),82.0)</f>
        <v>82</v>
      </c>
      <c r="Z1247" s="22">
        <f>IFERROR(__xludf.DUMMYFUNCTION("IFERROR(GOOGLEFINANCE(A1247,""volume""),"""")"),3165000.0)</f>
        <v>3165000</v>
      </c>
      <c r="AA1247" s="24" t="str">
        <f>VLOOKUP(A1247,Metrik!$C$2:$Y$959,5,0)</f>
        <v>Online Applications &amp; Services</v>
      </c>
      <c r="AB1247" s="24" t="str">
        <f>VLOOKUP(A1247,Metrik!$C$2:$Y$959,3,0)</f>
        <v>Technology</v>
      </c>
    </row>
    <row r="1248">
      <c r="A1248" s="17" t="s">
        <v>661</v>
      </c>
      <c r="B1248" s="14" t="str">
        <f t="array" ref="B1248">VLOOKUP(A1248,{Metrik!$C$2:$C$998,Metrik!$B$2:$B$998},2,0)</f>
        <v>PT Mitra Pinasthika Mustika Tbk.</v>
      </c>
      <c r="C1248" s="15">
        <f>IFERROR(__xludf.DUMMYFUNCTION("GOOGLEFINANCE(""IDX:""&amp;A1248,""price"")"),945.0)</f>
        <v>945</v>
      </c>
      <c r="D1248" s="16" t="str">
        <f>IFERROR(__xludf.DUMMYFUNCTION("IF(A1248="""","""",
SPARKLINE(
INDEX(
GOOGLEFINANCE(""IDX:""&amp;A1248,""close"",TODAY()-365,TODAY()),
,2
),
{""linewidth"",1}
))
"),"#N/A")</f>
        <v>#N/A</v>
      </c>
      <c r="E1248" s="14"/>
      <c r="F1248" s="17"/>
      <c r="G1248" s="18">
        <f t="shared" si="8"/>
        <v>0</v>
      </c>
      <c r="H1248" s="19">
        <f>VLOOKUP(A1248,Metrik!$C$2:$Y$959,8,0)</f>
        <v>10.3</v>
      </c>
      <c r="I1248" s="20">
        <f>VLOOKUP(A1248,Metrik!$C$2:$Y$959,9,0)</f>
        <v>0.81</v>
      </c>
      <c r="J1248" s="20">
        <f>VLOOKUP(A1248,Metrik!$C$2:$Y$959,10,0)</f>
        <v>7.8</v>
      </c>
      <c r="K1248" s="20">
        <f>VLOOKUP(A1248,Metrik!$C$2:$Y$959,11,0)</f>
        <v>5.8</v>
      </c>
      <c r="L1248" s="20">
        <f>VLOOKUP(A1248,Metrik!$C$2:$Y$959,12,0)</f>
        <v>0.35</v>
      </c>
      <c r="M1248" s="20">
        <f>VLOOKUP(A1248,Metrik!$C$2:$Y$959,19,0)</f>
        <v>12</v>
      </c>
      <c r="N1248" s="21"/>
      <c r="O1248" s="21"/>
      <c r="P1248" s="21"/>
      <c r="Q1248" s="21"/>
      <c r="R1248" s="21"/>
      <c r="S1248" s="21"/>
      <c r="T1248" s="21"/>
      <c r="U1248" s="22">
        <f>IFERROR(__xludf.DUMMYFUNCTION("IFERROR(GOOGLEFINANCE(A1248,""closeyest""),"""")"),925.0)</f>
        <v>925</v>
      </c>
      <c r="V1248" s="23">
        <f>IFERROR(__xludf.DUMMYFUNCTION("IFERROR(GOOGLEFINANCE(A1248,""changepct""),"""")"),2.16)</f>
        <v>2.16</v>
      </c>
      <c r="W1248" s="22">
        <f>IFERROR(__xludf.DUMMYFUNCTION("IFERROR(GOOGLEFINANCE(A1248,""priceopen""),"""")"),925.0)</f>
        <v>925</v>
      </c>
      <c r="X1248" s="22">
        <f>IFERROR(__xludf.DUMMYFUNCTION("IFERROR(GOOGLEFINANCE(A1248,""high""),"""")"),945.0)</f>
        <v>945</v>
      </c>
      <c r="Y1248" s="22">
        <f>IFERROR(__xludf.DUMMYFUNCTION("IFERROR(GOOGLEFINANCE(A1248,""low""),"""")"),925.0)</f>
        <v>925</v>
      </c>
      <c r="Z1248" s="22">
        <f>IFERROR(__xludf.DUMMYFUNCTION("IFERROR(GOOGLEFINANCE(A1248,""volume""),"""")"),7391800.0)</f>
        <v>7391800</v>
      </c>
      <c r="AA1248" s="24" t="str">
        <f>VLOOKUP(A1248,Metrik!$C$2:$Y$959,5,0)</f>
        <v>Specialty Retail</v>
      </c>
      <c r="AB1248" s="24" t="str">
        <f>VLOOKUP(A1248,Metrik!$C$2:$Y$959,3,0)</f>
        <v>Consumer Cyclicals</v>
      </c>
    </row>
    <row r="1249">
      <c r="A1249" s="14" t="s">
        <v>662</v>
      </c>
      <c r="B1249" s="14" t="str">
        <f t="array" ref="B1249">VLOOKUP(A1249,{Metrik!$C$2:$C$998,Metrik!$B$2:$B$998},2,0)</f>
        <v>Megapower Makmur Tbk.</v>
      </c>
      <c r="C1249" s="15">
        <f>IFERROR(__xludf.DUMMYFUNCTION("GOOGLEFINANCE(""IDX:""&amp;A1249,""price"")"),97.0)</f>
        <v>97</v>
      </c>
      <c r="D1249" s="16" t="str">
        <f>IFERROR(__xludf.DUMMYFUNCTION("IF(A1249="""","""",
SPARKLINE(
INDEX(
GOOGLEFINANCE(""IDX:""&amp;A1249,""close"",TODAY()-365,TODAY()),
,2
),
{""linewidth"",1}
))
"),"#N/A")</f>
        <v>#N/A</v>
      </c>
      <c r="E1249" s="26"/>
      <c r="F1249" s="26"/>
      <c r="G1249" s="24">
        <f t="shared" si="8"/>
        <v>0</v>
      </c>
      <c r="H1249" s="19">
        <f>VLOOKUP(A1249,Metrik!$C$2:$Y$959,8,0)</f>
        <v>-6.7</v>
      </c>
      <c r="I1249" s="20">
        <f>VLOOKUP(A1249,Metrik!$C$2:$Y$959,9,0)</f>
        <v>0.93</v>
      </c>
      <c r="J1249" s="20">
        <f>VLOOKUP(A1249,Metrik!$C$2:$Y$959,10,0)</f>
        <v>-14</v>
      </c>
      <c r="K1249" s="20">
        <f>VLOOKUP(A1249,Metrik!$C$2:$Y$959,11,0)</f>
        <v>-10.4</v>
      </c>
      <c r="L1249" s="20">
        <f>VLOOKUP(A1249,Metrik!$C$2:$Y$959,12,0)</f>
        <v>0.35</v>
      </c>
      <c r="M1249" s="20">
        <f>VLOOKUP(A1249,Metrik!$C$2:$Y$959,19,0)</f>
        <v>-400</v>
      </c>
      <c r="N1249" s="21"/>
      <c r="O1249" s="21"/>
      <c r="P1249" s="21"/>
      <c r="Q1249" s="21"/>
      <c r="R1249" s="21"/>
      <c r="S1249" s="21"/>
      <c r="T1249" s="21"/>
      <c r="U1249" s="22">
        <f>IFERROR(__xludf.DUMMYFUNCTION("IFERROR(GOOGLEFINANCE(A1249,""closeyest""),"""")"),96.0)</f>
        <v>96</v>
      </c>
      <c r="V1249" s="23">
        <f>IFERROR(__xludf.DUMMYFUNCTION("IFERROR(GOOGLEFINANCE(A1249,""changepct""),"""")"),1.04)</f>
        <v>1.04</v>
      </c>
      <c r="W1249" s="22">
        <f>IFERROR(__xludf.DUMMYFUNCTION("IFERROR(GOOGLEFINANCE(A1249,""priceopen""),"""")"),94.0)</f>
        <v>94</v>
      </c>
      <c r="X1249" s="22">
        <f>IFERROR(__xludf.DUMMYFUNCTION("IFERROR(GOOGLEFINANCE(A1249,""high""),"""")"),100.0)</f>
        <v>100</v>
      </c>
      <c r="Y1249" s="22">
        <f>IFERROR(__xludf.DUMMYFUNCTION("IFERROR(GOOGLEFINANCE(A1249,""low""),"""")"),94.0)</f>
        <v>94</v>
      </c>
      <c r="Z1249" s="22">
        <f>IFERROR(__xludf.DUMMYFUNCTION("IFERROR(GOOGLEFINANCE(A1249,""volume""),"""")"),5406200.0)</f>
        <v>5406200</v>
      </c>
      <c r="AA1249" s="24" t="str">
        <f>VLOOKUP(A1249,Metrik!$C$2:$Y$959,5,0)</f>
        <v>Electric Utilities</v>
      </c>
      <c r="AB1249" s="24" t="str">
        <f>VLOOKUP(A1249,Metrik!$C$2:$Y$959,3,0)</f>
        <v>Infrastructures</v>
      </c>
    </row>
    <row r="1250">
      <c r="A1250" s="14" t="s">
        <v>663</v>
      </c>
      <c r="B1250" s="14" t="str">
        <f t="array" ref="B1250">VLOOKUP(A1250,{Metrik!$C$2:$C$998,Metrik!$B$2:$B$998},2,0)</f>
        <v>Matahari Putra Prima Tbk</v>
      </c>
      <c r="C1250" s="15">
        <f>IFERROR(__xludf.DUMMYFUNCTION("GOOGLEFINANCE(""IDX:""&amp;A1250,""price"")"),41.0)</f>
        <v>41</v>
      </c>
      <c r="D1250" s="16" t="str">
        <f>IFERROR(__xludf.DUMMYFUNCTION("IF(A1250="""","""",
SPARKLINE(
INDEX(
GOOGLEFINANCE(""IDX:""&amp;A1250,""close"",TODAY()-365,TODAY()),
,2
),
{""linewidth"",1}
))
"),"#N/A")</f>
        <v>#N/A</v>
      </c>
      <c r="E1250" s="26"/>
      <c r="F1250" s="26"/>
      <c r="G1250" s="24">
        <f t="shared" si="8"/>
        <v>0</v>
      </c>
      <c r="H1250" s="19">
        <f>VLOOKUP(A1250,Metrik!$C$2:$Y$959,8,0)</f>
        <v>-4.9</v>
      </c>
      <c r="I1250" s="20">
        <f>VLOOKUP(A1250,Metrik!$C$2:$Y$959,9,0)</f>
        <v>-1040</v>
      </c>
      <c r="J1250" s="20">
        <f>VLOOKUP(A1250,Metrik!$C$2:$Y$959,10,0)</f>
        <v>0</v>
      </c>
      <c r="K1250" s="20">
        <f>VLOOKUP(A1250,Metrik!$C$2:$Y$959,11,0)</f>
        <v>-4</v>
      </c>
      <c r="L1250" s="20">
        <f>VLOOKUP(A1250,Metrik!$C$2:$Y$959,12,0)</f>
        <v>-5380</v>
      </c>
      <c r="M1250" s="20">
        <f>VLOOKUP(A1250,Metrik!$C$2:$Y$959,19,0)</f>
        <v>-5.8</v>
      </c>
      <c r="N1250" s="21"/>
      <c r="O1250" s="21"/>
      <c r="P1250" s="21"/>
      <c r="Q1250" s="21"/>
      <c r="R1250" s="21"/>
      <c r="S1250" s="21"/>
      <c r="T1250" s="21"/>
      <c r="U1250" s="22">
        <f>IFERROR(__xludf.DUMMYFUNCTION("IFERROR(GOOGLEFINANCE(A1250,""closeyest""),"""")"),40.0)</f>
        <v>40</v>
      </c>
      <c r="V1250" s="23">
        <f>IFERROR(__xludf.DUMMYFUNCTION("IFERROR(GOOGLEFINANCE(A1250,""changepct""),"""")"),2.5)</f>
        <v>2.5</v>
      </c>
      <c r="W1250" s="22">
        <f>IFERROR(__xludf.DUMMYFUNCTION("IFERROR(GOOGLEFINANCE(A1250,""priceopen""),"""")"),39.0)</f>
        <v>39</v>
      </c>
      <c r="X1250" s="22">
        <f>IFERROR(__xludf.DUMMYFUNCTION("IFERROR(GOOGLEFINANCE(A1250,""high""),"""")"),41.0)</f>
        <v>41</v>
      </c>
      <c r="Y1250" s="22">
        <f>IFERROR(__xludf.DUMMYFUNCTION("IFERROR(GOOGLEFINANCE(A1250,""low""),"""")"),39.0)</f>
        <v>39</v>
      </c>
      <c r="Z1250" s="22">
        <f>IFERROR(__xludf.DUMMYFUNCTION("IFERROR(GOOGLEFINANCE(A1250,""volume""),"""")"),2.82772E7)</f>
        <v>28277200</v>
      </c>
      <c r="AA1250" s="24" t="str">
        <f>VLOOKUP(A1250,Metrik!$C$2:$Y$959,5,0)</f>
        <v>Food &amp; Staples Retailing</v>
      </c>
      <c r="AB1250" s="24" t="str">
        <f>VLOOKUP(A1250,Metrik!$C$2:$Y$959,3,0)</f>
        <v>Consumer Non-Cyclicals</v>
      </c>
    </row>
    <row r="1251">
      <c r="A1251" s="14" t="s">
        <v>664</v>
      </c>
      <c r="B1251" s="14" t="str">
        <f t="array" ref="B1251">VLOOKUP(A1251,{Metrik!$C$2:$C$998,Metrik!$B$2:$B$998},2,0)</f>
        <v>Maha Properti Indonesia Tbk.</v>
      </c>
      <c r="C1251" s="15">
        <f>IFERROR(__xludf.DUMMYFUNCTION("GOOGLEFINANCE(""IDX:""&amp;A1251,""price"")"),7000.0)</f>
        <v>7000</v>
      </c>
      <c r="D1251" s="16" t="str">
        <f>IFERROR(__xludf.DUMMYFUNCTION("IF(A1251="""","""",
SPARKLINE(
INDEX(
GOOGLEFINANCE(""IDX:""&amp;A1251,""close"",TODAY()-365,TODAY()),
,2
),
{""linewidth"",1}
))
"),"#N/A")</f>
        <v>#N/A</v>
      </c>
      <c r="E1251" s="26"/>
      <c r="F1251" s="26"/>
      <c r="G1251" s="24">
        <f t="shared" si="8"/>
        <v>0</v>
      </c>
      <c r="H1251" s="19">
        <f>VLOOKUP(A1251,Metrik!$C$2:$Y$959,8,0)</f>
        <v>-1510</v>
      </c>
      <c r="I1251" s="20">
        <f>VLOOKUP(A1251,Metrik!$C$2:$Y$959,9,0)</f>
        <v>76</v>
      </c>
      <c r="J1251" s="20">
        <f>VLOOKUP(A1251,Metrik!$C$2:$Y$959,10,0)</f>
        <v>-5</v>
      </c>
      <c r="K1251" s="20">
        <f>VLOOKUP(A1251,Metrik!$C$2:$Y$959,11,0)</f>
        <v>-3.5</v>
      </c>
      <c r="L1251" s="20">
        <f>VLOOKUP(A1251,Metrik!$C$2:$Y$959,12,0)</f>
        <v>0.42</v>
      </c>
      <c r="M1251" s="20">
        <f>VLOOKUP(A1251,Metrik!$C$2:$Y$959,19,0)</f>
        <v>-5390</v>
      </c>
      <c r="N1251" s="21"/>
      <c r="O1251" s="21"/>
      <c r="P1251" s="21"/>
      <c r="Q1251" s="21"/>
      <c r="R1251" s="21"/>
      <c r="S1251" s="21"/>
      <c r="T1251" s="21"/>
      <c r="U1251" s="22">
        <f>IFERROR(__xludf.DUMMYFUNCTION("IFERROR(GOOGLEFINANCE(A1251,""closeyest""),"""")"),32.64)</f>
        <v>32.64</v>
      </c>
      <c r="V1251" s="23">
        <f>IFERROR(__xludf.DUMMYFUNCTION("IFERROR(GOOGLEFINANCE(A1251,""changepct""),"""")"),0.07)</f>
        <v>0.07</v>
      </c>
      <c r="W1251" s="22">
        <f>IFERROR(__xludf.DUMMYFUNCTION("IFERROR(GOOGLEFINANCE(A1251,""priceopen""),"""")"),32.64)</f>
        <v>32.64</v>
      </c>
      <c r="X1251" s="22">
        <f>IFERROR(__xludf.DUMMYFUNCTION("IFERROR(GOOGLEFINANCE(A1251,""high""),"""")"),32.66)</f>
        <v>32.66</v>
      </c>
      <c r="Y1251" s="22">
        <f>IFERROR(__xludf.DUMMYFUNCTION("IFERROR(GOOGLEFINANCE(A1251,""low""),"""")"),32.64)</f>
        <v>32.64</v>
      </c>
      <c r="Z1251" s="22">
        <f>IFERROR(__xludf.DUMMYFUNCTION("IFERROR(GOOGLEFINANCE(A1251,""volume""),"""")"),43.0)</f>
        <v>43</v>
      </c>
      <c r="AA1251" s="24" t="str">
        <f>VLOOKUP(A1251,Metrik!$C$2:$Y$959,5,0)</f>
        <v>Real Estate Management &amp; Development</v>
      </c>
      <c r="AB1251" s="24" t="str">
        <f>VLOOKUP(A1251,Metrik!$C$2:$Y$959,3,0)</f>
        <v>Properties &amp; Real Estate</v>
      </c>
    </row>
    <row r="1252">
      <c r="A1252" s="14" t="s">
        <v>665</v>
      </c>
      <c r="B1252" s="14" t="str">
        <f t="array" ref="B1252">VLOOKUP(A1252,{Metrik!$C$2:$C$998,Metrik!$B$2:$B$998},2,0)</f>
        <v>PT MPX Logistics International Tbk</v>
      </c>
      <c r="C1252" s="15">
        <f>IFERROR(__xludf.DUMMYFUNCTION("GOOGLEFINANCE(""IDX:""&amp;A1252,""price"")"),145.0)</f>
        <v>145</v>
      </c>
      <c r="D1252" s="16" t="str">
        <f>IFERROR(__xludf.DUMMYFUNCTION("IF(A1252="""","""",
SPARKLINE(
INDEX(
GOOGLEFINANCE(""IDX:""&amp;A1252,""close"",TODAY()-365,TODAY()),
,2
),
{""linewidth"",1}
))
"),"#N/A")</f>
        <v>#N/A</v>
      </c>
      <c r="E1252" s="26"/>
      <c r="F1252" s="26"/>
      <c r="G1252" s="24">
        <f t="shared" si="8"/>
        <v>0</v>
      </c>
      <c r="H1252" s="19">
        <f>VLOOKUP(A1252,Metrik!$C$2:$Y$959,8,0)</f>
        <v>-40.9</v>
      </c>
      <c r="I1252" s="20">
        <f>VLOOKUP(A1252,Metrik!$C$2:$Y$959,9,0)</f>
        <v>3.4</v>
      </c>
      <c r="J1252" s="20">
        <f>VLOOKUP(A1252,Metrik!$C$2:$Y$959,10,0)</f>
        <v>-8.3</v>
      </c>
      <c r="K1252" s="20">
        <f>VLOOKUP(A1252,Metrik!$C$2:$Y$959,11,0)</f>
        <v>-3.7</v>
      </c>
      <c r="L1252" s="20">
        <f>VLOOKUP(A1252,Metrik!$C$2:$Y$959,12,0)</f>
        <v>1.2</v>
      </c>
      <c r="M1252" s="20">
        <f>VLOOKUP(A1252,Metrik!$C$2:$Y$959,19,0)</f>
        <v>-21</v>
      </c>
      <c r="N1252" s="21"/>
      <c r="O1252" s="21"/>
      <c r="P1252" s="21"/>
      <c r="Q1252" s="21"/>
      <c r="R1252" s="21"/>
      <c r="S1252" s="21"/>
      <c r="T1252" s="21"/>
      <c r="U1252" s="22">
        <f>IFERROR(__xludf.DUMMYFUNCTION("IFERROR(GOOGLEFINANCE(A1252,""closeyest""),"""")"),145.0)</f>
        <v>145</v>
      </c>
      <c r="V1252" s="23">
        <f>IFERROR(__xludf.DUMMYFUNCTION("IFERROR(GOOGLEFINANCE(A1252,""changepct""),"""")"),0.0)</f>
        <v>0</v>
      </c>
      <c r="W1252" s="22">
        <f>IFERROR(__xludf.DUMMYFUNCTION("IFERROR(GOOGLEFINANCE(A1252,""priceopen""),"""")"),145.0)</f>
        <v>145</v>
      </c>
      <c r="X1252" s="22">
        <f>IFERROR(__xludf.DUMMYFUNCTION("IFERROR(GOOGLEFINANCE(A1252,""high""),"""")"),150.0)</f>
        <v>150</v>
      </c>
      <c r="Y1252" s="22">
        <f>IFERROR(__xludf.DUMMYFUNCTION("IFERROR(GOOGLEFINANCE(A1252,""low""),"""")"),139.0)</f>
        <v>139</v>
      </c>
      <c r="Z1252" s="22">
        <f>IFERROR(__xludf.DUMMYFUNCTION("IFERROR(GOOGLEFINANCE(A1252,""volume""),"""")"),478600.0)</f>
        <v>478600</v>
      </c>
      <c r="AA1252" s="24" t="str">
        <f>VLOOKUP(A1252,Metrik!$C$2:$Y$959,5,0)</f>
        <v>Logistics &amp; Deliveries</v>
      </c>
      <c r="AB1252" s="24" t="str">
        <f>VLOOKUP(A1252,Metrik!$C$2:$Y$959,3,0)</f>
        <v>Transportation &amp; Logistic</v>
      </c>
    </row>
    <row r="1253">
      <c r="A1253" s="14" t="s">
        <v>666</v>
      </c>
      <c r="B1253" s="14" t="str">
        <f t="array" ref="B1253">VLOOKUP(A1253,{Metrik!$C$2:$C$998,Metrik!$B$2:$B$998},2,0)</f>
        <v>Mustika Ratu Tbk</v>
      </c>
      <c r="C1253" s="15">
        <f>IFERROR(__xludf.DUMMYFUNCTION("GOOGLEFINANCE(""IDX:""&amp;A1253,""price"")"),450.0)</f>
        <v>450</v>
      </c>
      <c r="D1253" s="16" t="str">
        <f>IFERROR(__xludf.DUMMYFUNCTION("IF(A1253="""","""",
SPARKLINE(
INDEX(
GOOGLEFINANCE(""IDX:""&amp;A1253,""close"",TODAY()-365,TODAY()),
,2
),
{""linewidth"",1}
))
"),"#N/A")</f>
        <v>#N/A</v>
      </c>
      <c r="E1253" s="26"/>
      <c r="F1253" s="26"/>
      <c r="G1253" s="24">
        <f t="shared" si="8"/>
        <v>0</v>
      </c>
      <c r="H1253" s="19">
        <f>VLOOKUP(A1253,Metrik!$C$2:$Y$959,8,0)</f>
        <v>150</v>
      </c>
      <c r="I1253" s="20">
        <f>VLOOKUP(A1253,Metrik!$C$2:$Y$959,9,0)</f>
        <v>0.3</v>
      </c>
      <c r="J1253" s="20">
        <f>VLOOKUP(A1253,Metrik!$C$2:$Y$959,10,0)</f>
        <v>0.2</v>
      </c>
      <c r="K1253" s="20">
        <f>VLOOKUP(A1253,Metrik!$C$2:$Y$959,11,0)</f>
        <v>0.15</v>
      </c>
      <c r="L1253" s="20">
        <f>VLOOKUP(A1253,Metrik!$C$2:$Y$959,12,0)</f>
        <v>0.37</v>
      </c>
      <c r="M1253" s="20">
        <f>VLOOKUP(A1253,Metrik!$C$2:$Y$959,19,0)</f>
        <v>1</v>
      </c>
      <c r="N1253" s="21"/>
      <c r="O1253" s="21"/>
      <c r="P1253" s="21"/>
      <c r="Q1253" s="21"/>
      <c r="R1253" s="21"/>
      <c r="S1253" s="21"/>
      <c r="T1253" s="21"/>
      <c r="U1253" s="22">
        <f>IFERROR(__xludf.DUMMYFUNCTION("IFERROR(GOOGLEFINANCE(A1253,""closeyest""),"""")"),430.0)</f>
        <v>430</v>
      </c>
      <c r="V1253" s="23">
        <f>IFERROR(__xludf.DUMMYFUNCTION("IFERROR(GOOGLEFINANCE(A1253,""changepct""),"""")"),4.65)</f>
        <v>4.65</v>
      </c>
      <c r="W1253" s="22">
        <f>IFERROR(__xludf.DUMMYFUNCTION("IFERROR(GOOGLEFINANCE(A1253,""priceopen""),"""")"),440.0)</f>
        <v>440</v>
      </c>
      <c r="X1253" s="22">
        <f>IFERROR(__xludf.DUMMYFUNCTION("IFERROR(GOOGLEFINANCE(A1253,""high""),"""")"),450.0)</f>
        <v>450</v>
      </c>
      <c r="Y1253" s="22">
        <f>IFERROR(__xludf.DUMMYFUNCTION("IFERROR(GOOGLEFINANCE(A1253,""low""),"""")"),430.0)</f>
        <v>430</v>
      </c>
      <c r="Z1253" s="22">
        <f>IFERROR(__xludf.DUMMYFUNCTION("IFERROR(GOOGLEFINANCE(A1253,""volume""),"""")"),294300.0)</f>
        <v>294300</v>
      </c>
      <c r="AA1253" s="24" t="str">
        <f>VLOOKUP(A1253,Metrik!$C$2:$Y$959,5,0)</f>
        <v>Personal Care Products</v>
      </c>
      <c r="AB1253" s="24" t="str">
        <f>VLOOKUP(A1253,Metrik!$C$2:$Y$959,3,0)</f>
        <v>Consumer Non-Cyclicals</v>
      </c>
    </row>
    <row r="1254">
      <c r="A1254" s="14" t="s">
        <v>667</v>
      </c>
      <c r="B1254" s="14" t="str">
        <f t="array" ref="B1254">VLOOKUP(A1254,{Metrik!$C$2:$C$998,Metrik!$B$2:$B$998},2,0)</f>
        <v>Maskapai Reasuransi Indonesia Tbk</v>
      </c>
      <c r="C1254" s="15">
        <f>IFERROR(__xludf.DUMMYFUNCTION("GOOGLEFINANCE(""IDX:""&amp;A1254,""price"")"),985.0)</f>
        <v>985</v>
      </c>
      <c r="D1254" s="16" t="str">
        <f>IFERROR(__xludf.DUMMYFUNCTION("IF(A1254="""","""",
SPARKLINE(
INDEX(
GOOGLEFINANCE(""IDX:""&amp;A1254,""close"",TODAY()-365,TODAY()),
,2
),
{""linewidth"",1}
))
"),"#N/A")</f>
        <v>#N/A</v>
      </c>
      <c r="E1254" s="26"/>
      <c r="F1254" s="26"/>
      <c r="G1254" s="24">
        <f t="shared" si="8"/>
        <v>0</v>
      </c>
      <c r="H1254" s="19">
        <f>VLOOKUP(A1254,Metrik!$C$2:$Y$959,8,0)</f>
        <v>5.5</v>
      </c>
      <c r="I1254" s="20">
        <f>VLOOKUP(A1254,Metrik!$C$2:$Y$959,9,0)</f>
        <v>0.31</v>
      </c>
      <c r="J1254" s="20">
        <f>VLOOKUP(A1254,Metrik!$C$2:$Y$959,10,0)</f>
        <v>5.6</v>
      </c>
      <c r="K1254" s="20">
        <f>VLOOKUP(A1254,Metrik!$C$2:$Y$959,11,0)</f>
        <v>1.7</v>
      </c>
      <c r="L1254" s="20">
        <f>VLOOKUP(A1254,Metrik!$C$2:$Y$959,12,0)</f>
        <v>2.3</v>
      </c>
      <c r="M1254" s="20">
        <f>VLOOKUP(A1254,Metrik!$C$2:$Y$959,19,0)</f>
        <v>3.1</v>
      </c>
      <c r="N1254" s="21"/>
      <c r="O1254" s="21"/>
      <c r="P1254" s="21"/>
      <c r="Q1254" s="21"/>
      <c r="R1254" s="21"/>
      <c r="S1254" s="21"/>
      <c r="T1254" s="21"/>
      <c r="U1254" s="22">
        <f>IFERROR(__xludf.DUMMYFUNCTION("IFERROR(GOOGLEFINANCE(A1254,""closeyest""),"""")"),970.0)</f>
        <v>970</v>
      </c>
      <c r="V1254" s="23">
        <f>IFERROR(__xludf.DUMMYFUNCTION("IFERROR(GOOGLEFINANCE(A1254,""changepct""),"""")"),1.55)</f>
        <v>1.55</v>
      </c>
      <c r="W1254" s="22">
        <f>IFERROR(__xludf.DUMMYFUNCTION("IFERROR(GOOGLEFINANCE(A1254,""priceopen""),"""")"),1000.0)</f>
        <v>1000</v>
      </c>
      <c r="X1254" s="22">
        <f>IFERROR(__xludf.DUMMYFUNCTION("IFERROR(GOOGLEFINANCE(A1254,""high""),"""")"),1000.0)</f>
        <v>1000</v>
      </c>
      <c r="Y1254" s="22">
        <f>IFERROR(__xludf.DUMMYFUNCTION("IFERROR(GOOGLEFINANCE(A1254,""low""),"""")"),965.0)</f>
        <v>965</v>
      </c>
      <c r="Z1254" s="22">
        <f>IFERROR(__xludf.DUMMYFUNCTION("IFERROR(GOOGLEFINANCE(A1254,""volume""),"""")"),40800.0)</f>
        <v>40800</v>
      </c>
      <c r="AA1254" s="24" t="str">
        <f>VLOOKUP(A1254,Metrik!$C$2:$Y$959,5,0)</f>
        <v>Insurance</v>
      </c>
      <c r="AB1254" s="24" t="str">
        <f>VLOOKUP(A1254,Metrik!$C$2:$Y$959,3,0)</f>
        <v>Financials</v>
      </c>
    </row>
    <row r="1255">
      <c r="A1255" s="14" t="s">
        <v>668</v>
      </c>
      <c r="B1255" s="14" t="str">
        <f t="array" ref="B1255">VLOOKUP(A1255,{Metrik!$C$2:$C$998,Metrik!$B$2:$B$998},2,0)</f>
        <v>PT Multisarana Intan Eduka Tbk</v>
      </c>
      <c r="C1255" s="15">
        <f>IFERROR(__xludf.DUMMYFUNCTION("GOOGLEFINANCE(""IDX:""&amp;A1255,""price"")"),97.0)</f>
        <v>97</v>
      </c>
      <c r="D1255" s="16" t="str">
        <f>IFERROR(__xludf.DUMMYFUNCTION("IF(A1255="""","""",
SPARKLINE(
INDEX(
GOOGLEFINANCE(""IDX:""&amp;A1255,""close"",TODAY()-365,TODAY()),
,2
),
{""linewidth"",1}
))
"),"#N/A")</f>
        <v>#N/A</v>
      </c>
      <c r="E1255" s="26"/>
      <c r="F1255" s="26"/>
      <c r="G1255" s="24">
        <f t="shared" si="8"/>
        <v>0</v>
      </c>
      <c r="H1255" s="19">
        <f>VLOOKUP(A1255,Metrik!$C$2:$Y$959,8,0)</f>
        <v>310</v>
      </c>
      <c r="I1255" s="20">
        <f>VLOOKUP(A1255,Metrik!$C$2:$Y$959,9,0)</f>
        <v>1.9</v>
      </c>
      <c r="J1255" s="20">
        <f>VLOOKUP(A1255,Metrik!$C$2:$Y$959,10,0)</f>
        <v>0.61</v>
      </c>
      <c r="K1255" s="20">
        <f>VLOOKUP(A1255,Metrik!$C$2:$Y$959,11,0)</f>
        <v>0.55</v>
      </c>
      <c r="L1255" s="20">
        <f>VLOOKUP(A1255,Metrik!$C$2:$Y$959,12,0)</f>
        <v>0.1</v>
      </c>
      <c r="M1255" s="20">
        <f>VLOOKUP(A1255,Metrik!$C$2:$Y$959,19,0)</f>
        <v>38.6</v>
      </c>
      <c r="N1255" s="21"/>
      <c r="O1255" s="21"/>
      <c r="P1255" s="21"/>
      <c r="Q1255" s="21"/>
      <c r="R1255" s="21"/>
      <c r="S1255" s="21"/>
      <c r="T1255" s="21"/>
      <c r="U1255" s="22">
        <f>IFERROR(__xludf.DUMMYFUNCTION("IFERROR(GOOGLEFINANCE(A1255,""closeyest""),"""")"),89.0)</f>
        <v>89</v>
      </c>
      <c r="V1255" s="23">
        <f>IFERROR(__xludf.DUMMYFUNCTION("IFERROR(GOOGLEFINANCE(A1255,""changepct""),"""")"),8.99)</f>
        <v>8.99</v>
      </c>
      <c r="W1255" s="22">
        <f>IFERROR(__xludf.DUMMYFUNCTION("IFERROR(GOOGLEFINANCE(A1255,""priceopen""),"""")"),82.0)</f>
        <v>82</v>
      </c>
      <c r="X1255" s="22">
        <f>IFERROR(__xludf.DUMMYFUNCTION("IFERROR(GOOGLEFINANCE(A1255,""high""),"""")"),97.0)</f>
        <v>97</v>
      </c>
      <c r="Y1255" s="22">
        <f>IFERROR(__xludf.DUMMYFUNCTION("IFERROR(GOOGLEFINANCE(A1255,""low""),"""")"),81.0)</f>
        <v>81</v>
      </c>
      <c r="Z1255" s="22">
        <f>IFERROR(__xludf.DUMMYFUNCTION("IFERROR(GOOGLEFINANCE(A1255,""volume""),"""")"),1.89444E7)</f>
        <v>18944400</v>
      </c>
      <c r="AA1255" s="24" t="str">
        <f>VLOOKUP(A1255,Metrik!$C$2:$Y$959,5,0)</f>
        <v>Real Estate Management &amp; Development</v>
      </c>
      <c r="AB1255" s="24" t="str">
        <f>VLOOKUP(A1255,Metrik!$C$2:$Y$959,3,0)</f>
        <v>Properties &amp; Real Estate</v>
      </c>
    </row>
    <row r="1256">
      <c r="A1256" s="14" t="s">
        <v>669</v>
      </c>
      <c r="B1256" s="14" t="str">
        <f t="array" ref="B1256">VLOOKUP(A1256,{Metrik!$C$2:$C$998,Metrik!$B$2:$B$998},2,0)</f>
        <v>MNC Digital Entertainment Tbk.</v>
      </c>
      <c r="C1256" s="15">
        <f>IFERROR(__xludf.DUMMYFUNCTION("GOOGLEFINANCE(""IDX:""&amp;A1256,""price"")"),530.0)</f>
        <v>530</v>
      </c>
      <c r="D1256" s="16" t="str">
        <f>IFERROR(__xludf.DUMMYFUNCTION("IF(A1256="""","""",
SPARKLINE(
INDEX(
GOOGLEFINANCE(""IDX:""&amp;A1256,""close"",TODAY()-365,TODAY()),
,2
),
{""linewidth"",1}
))
"),"#N/A")</f>
        <v>#N/A</v>
      </c>
      <c r="E1256" s="14" t="s">
        <v>84</v>
      </c>
      <c r="F1256" s="17" t="s">
        <v>51</v>
      </c>
      <c r="G1256" s="24">
        <f t="shared" si="8"/>
        <v>1</v>
      </c>
      <c r="H1256" s="19">
        <f>VLOOKUP(A1256,Metrik!$C$2:$Y$959,8,0)</f>
        <v>24.5</v>
      </c>
      <c r="I1256" s="20">
        <f>VLOOKUP(A1256,Metrik!$C$2:$Y$959,9,0)</f>
        <v>3.6</v>
      </c>
      <c r="J1256" s="20">
        <f>VLOOKUP(A1256,Metrik!$C$2:$Y$959,10,0)</f>
        <v>14.5</v>
      </c>
      <c r="K1256" s="20">
        <f>VLOOKUP(A1256,Metrik!$C$2:$Y$959,11,0)</f>
        <v>12.1</v>
      </c>
      <c r="L1256" s="20">
        <f>VLOOKUP(A1256,Metrik!$C$2:$Y$959,12,0)</f>
        <v>0.2</v>
      </c>
      <c r="M1256" s="20">
        <f>VLOOKUP(A1256,Metrik!$C$2:$Y$959,19,0)</f>
        <v>95.3</v>
      </c>
      <c r="N1256" s="21"/>
      <c r="O1256" s="21"/>
      <c r="P1256" s="21"/>
      <c r="Q1256" s="21"/>
      <c r="R1256" s="21"/>
      <c r="S1256" s="21"/>
      <c r="T1256" s="21"/>
      <c r="U1256" s="22">
        <f>IFERROR(__xludf.DUMMYFUNCTION("IFERROR(GOOGLEFINANCE(A1256,""closeyest""),"""")"),510.0)</f>
        <v>510</v>
      </c>
      <c r="V1256" s="23">
        <f>IFERROR(__xludf.DUMMYFUNCTION("IFERROR(GOOGLEFINANCE(A1256,""changepct""),"""")"),3.92)</f>
        <v>3.92</v>
      </c>
      <c r="W1256" s="22">
        <f>IFERROR(__xludf.DUMMYFUNCTION("IFERROR(GOOGLEFINANCE(A1256,""priceopen""),"""")"),510.0)</f>
        <v>510</v>
      </c>
      <c r="X1256" s="22">
        <f>IFERROR(__xludf.DUMMYFUNCTION("IFERROR(GOOGLEFINANCE(A1256,""high""),"""")"),530.0)</f>
        <v>530</v>
      </c>
      <c r="Y1256" s="22">
        <f>IFERROR(__xludf.DUMMYFUNCTION("IFERROR(GOOGLEFINANCE(A1256,""low""),"""")"),500.0)</f>
        <v>500</v>
      </c>
      <c r="Z1256" s="22">
        <f>IFERROR(__xludf.DUMMYFUNCTION("IFERROR(GOOGLEFINANCE(A1256,""volume""),"""")"),2.47986E7)</f>
        <v>24798600</v>
      </c>
      <c r="AA1256" s="24" t="str">
        <f>VLOOKUP(A1256,Metrik!$C$2:$Y$959,5,0)</f>
        <v>Entertainment &amp; Movie Production</v>
      </c>
      <c r="AB1256" s="24" t="str">
        <f>VLOOKUP(A1256,Metrik!$C$2:$Y$959,3,0)</f>
        <v>Consumer Cyclicals</v>
      </c>
    </row>
    <row r="1257">
      <c r="A1257" s="14" t="s">
        <v>670</v>
      </c>
      <c r="B1257" s="14" t="str">
        <f t="array" ref="B1257">VLOOKUP(A1257,{Metrik!$C$2:$C$998,Metrik!$B$2:$B$998},2,0)</f>
        <v>Multi Spunindo Jaya Tbk.</v>
      </c>
      <c r="C1257" s="15">
        <f>IFERROR(__xludf.DUMMYFUNCTION("GOOGLEFINANCE(""IDX:""&amp;A1257,""price"")"),414.0)</f>
        <v>414</v>
      </c>
      <c r="D1257" s="16" t="str">
        <f>IFERROR(__xludf.DUMMYFUNCTION("IF(A1257="""","""",
SPARKLINE(
INDEX(
GOOGLEFINANCE(""IDX:""&amp;A1257,""close"",TODAY()-365,TODAY()),
,2
),
{""linewidth"",1}
))
"),"#N/A")</f>
        <v>#N/A</v>
      </c>
      <c r="E1257" s="26"/>
      <c r="F1257" s="26"/>
      <c r="G1257" s="24">
        <f t="shared" si="8"/>
        <v>0</v>
      </c>
      <c r="H1257" s="19">
        <f>VLOOKUP(A1257,Metrik!$C$2:$Y$959,8,0)</f>
        <v>22.1</v>
      </c>
      <c r="I1257" s="20">
        <f>VLOOKUP(A1257,Metrik!$C$2:$Y$959,9,0)</f>
        <v>1.6</v>
      </c>
      <c r="J1257" s="20">
        <f>VLOOKUP(A1257,Metrik!$C$2:$Y$959,10,0)</f>
        <v>7.3</v>
      </c>
      <c r="K1257" s="20">
        <f>VLOOKUP(A1257,Metrik!$C$2:$Y$959,11,0)</f>
        <v>5.9</v>
      </c>
      <c r="L1257" s="20">
        <f>VLOOKUP(A1257,Metrik!$C$2:$Y$959,12,0)</f>
        <v>0.24</v>
      </c>
      <c r="M1257" s="20">
        <f>VLOOKUP(A1257,Metrik!$C$2:$Y$959,19,0)</f>
        <v>41.9</v>
      </c>
      <c r="N1257" s="21"/>
      <c r="O1257" s="21"/>
      <c r="P1257" s="21"/>
      <c r="Q1257" s="21"/>
      <c r="R1257" s="21"/>
      <c r="S1257" s="21"/>
      <c r="T1257" s="21"/>
      <c r="U1257" s="22">
        <f>IFERROR(__xludf.DUMMYFUNCTION("IFERROR(GOOGLEFINANCE(A1257,""closeyest""),"""")"),398.0)</f>
        <v>398</v>
      </c>
      <c r="V1257" s="23">
        <f>IFERROR(__xludf.DUMMYFUNCTION("IFERROR(GOOGLEFINANCE(A1257,""changepct""),"""")"),4.02)</f>
        <v>4.02</v>
      </c>
      <c r="W1257" s="22">
        <f>IFERROR(__xludf.DUMMYFUNCTION("IFERROR(GOOGLEFINANCE(A1257,""priceopen""),"""")"),392.0)</f>
        <v>392</v>
      </c>
      <c r="X1257" s="22">
        <f>IFERROR(__xludf.DUMMYFUNCTION("IFERROR(GOOGLEFINANCE(A1257,""high""),"""")"),436.0)</f>
        <v>436</v>
      </c>
      <c r="Y1257" s="22">
        <f>IFERROR(__xludf.DUMMYFUNCTION("IFERROR(GOOGLEFINANCE(A1257,""low""),"""")"),390.0)</f>
        <v>390</v>
      </c>
      <c r="Z1257" s="22" t="str">
        <f>IFERROR(__xludf.DUMMYFUNCTION("IFERROR(GOOGLEFINANCE(A1257,""volume""),"""")"),"")</f>
        <v/>
      </c>
      <c r="AA1257" s="24" t="str">
        <f>VLOOKUP(A1257,Metrik!$C$2:$Y$959,5,0)</f>
        <v>Personal Care Products</v>
      </c>
      <c r="AB1257" s="24" t="str">
        <f>VLOOKUP(A1257,Metrik!$C$2:$Y$959,3,0)</f>
        <v>Consumer Non-Cyclicals</v>
      </c>
    </row>
    <row r="1258">
      <c r="A1258" s="14" t="s">
        <v>671</v>
      </c>
      <c r="B1258" s="14" t="str">
        <f t="array" ref="B1258">VLOOKUP(A1258,{Metrik!$C$2:$C$998,Metrik!$B$2:$B$998},2,0)</f>
        <v>MNC Sky Vision Tbk.</v>
      </c>
      <c r="C1258" s="15">
        <f>IFERROR(__xludf.DUMMYFUNCTION("GOOGLEFINANCE(""IDX:""&amp;A1258,""price"")"),62.0)</f>
        <v>62</v>
      </c>
      <c r="D1258" s="16" t="str">
        <f>IFERROR(__xludf.DUMMYFUNCTION("IF(A1258="""","""",
SPARKLINE(
INDEX(
GOOGLEFINANCE(""IDX:""&amp;A1258,""close"",TODAY()-365,TODAY()),
,2
),
{""linewidth"",1}
))
"),"#N/A")</f>
        <v>#N/A</v>
      </c>
      <c r="E1258" s="26"/>
      <c r="F1258" s="26"/>
      <c r="G1258" s="24">
        <f t="shared" si="8"/>
        <v>0</v>
      </c>
      <c r="H1258" s="19">
        <f>VLOOKUP(A1258,Metrik!$C$2:$Y$959,8,0)</f>
        <v>-3.9</v>
      </c>
      <c r="I1258" s="20">
        <f>VLOOKUP(A1258,Metrik!$C$2:$Y$959,9,0)</f>
        <v>0.16</v>
      </c>
      <c r="J1258" s="20">
        <f>VLOOKUP(A1258,Metrik!$C$2:$Y$959,10,0)</f>
        <v>-4.2</v>
      </c>
      <c r="K1258" s="20">
        <f>VLOOKUP(A1258,Metrik!$C$2:$Y$959,11,0)</f>
        <v>-2.6</v>
      </c>
      <c r="L1258" s="20">
        <f>VLOOKUP(A1258,Metrik!$C$2:$Y$959,12,0)</f>
        <v>0.64</v>
      </c>
      <c r="M1258" s="20">
        <f>VLOOKUP(A1258,Metrik!$C$2:$Y$959,19,0)</f>
        <v>-49.5</v>
      </c>
      <c r="N1258" s="21"/>
      <c r="O1258" s="21"/>
      <c r="P1258" s="21"/>
      <c r="Q1258" s="21"/>
      <c r="R1258" s="21"/>
      <c r="S1258" s="21"/>
      <c r="T1258" s="21"/>
      <c r="U1258" s="22">
        <f>IFERROR(__xludf.DUMMYFUNCTION("IFERROR(GOOGLEFINANCE(A1258,""closeyest""),"""")"),62.0)</f>
        <v>62</v>
      </c>
      <c r="V1258" s="23">
        <f>IFERROR(__xludf.DUMMYFUNCTION("IFERROR(GOOGLEFINANCE(A1258,""changepct""),"""")"),0.0)</f>
        <v>0</v>
      </c>
      <c r="W1258" s="22">
        <f>IFERROR(__xludf.DUMMYFUNCTION("IFERROR(GOOGLEFINANCE(A1258,""priceopen""),"""")"),62.0)</f>
        <v>62</v>
      </c>
      <c r="X1258" s="22">
        <f>IFERROR(__xludf.DUMMYFUNCTION("IFERROR(GOOGLEFINANCE(A1258,""high""),"""")"),65.0)</f>
        <v>65</v>
      </c>
      <c r="Y1258" s="22">
        <f>IFERROR(__xludf.DUMMYFUNCTION("IFERROR(GOOGLEFINANCE(A1258,""low""),"""")"),62.0)</f>
        <v>62</v>
      </c>
      <c r="Z1258" s="22">
        <f>IFERROR(__xludf.DUMMYFUNCTION("IFERROR(GOOGLEFINANCE(A1258,""volume""),"""")"),7739000.0)</f>
        <v>7739000</v>
      </c>
      <c r="AA1258" s="24" t="str">
        <f>VLOOKUP(A1258,Metrik!$C$2:$Y$959,5,0)</f>
        <v>Media</v>
      </c>
      <c r="AB1258" s="24" t="str">
        <f>VLOOKUP(A1258,Metrik!$C$2:$Y$959,3,0)</f>
        <v>Consumer Cyclicals</v>
      </c>
    </row>
    <row r="1259">
      <c r="A1259" s="17" t="s">
        <v>672</v>
      </c>
      <c r="B1259" s="14" t="str">
        <f t="array" ref="B1259">VLOOKUP(A1259,{Metrik!$C$2:$C$998,Metrik!$B$2:$B$998},2,0)</f>
        <v>Mastersystem Infotama Tbk.</v>
      </c>
      <c r="C1259" s="15">
        <f>IFERROR(__xludf.DUMMYFUNCTION("GOOGLEFINANCE(""IDX:""&amp;A1259,""price"")"),1210.0)</f>
        <v>1210</v>
      </c>
      <c r="D1259" s="16" t="str">
        <f>IFERROR(__xludf.DUMMYFUNCTION("IF(A1259="""","""",
SPARKLINE(
INDEX(
GOOGLEFINANCE(""IDX:""&amp;A1259,""close"",TODAY()-365,TODAY()),
,2
),
{""linewidth"",1}
))
"),"#N/A")</f>
        <v>#N/A</v>
      </c>
      <c r="E1259" s="14"/>
      <c r="F1259" s="17"/>
      <c r="G1259" s="18">
        <f t="shared" si="8"/>
        <v>0</v>
      </c>
      <c r="H1259" s="19">
        <f>VLOOKUP(A1259,Metrik!$C$2:$Y$959,8,0)</f>
        <v>7.9</v>
      </c>
      <c r="I1259" s="20">
        <f>VLOOKUP(A1259,Metrik!$C$2:$Y$959,9,0)</f>
        <v>1.8</v>
      </c>
      <c r="J1259" s="20">
        <f>VLOOKUP(A1259,Metrik!$C$2:$Y$959,10,0)</f>
        <v>22.5</v>
      </c>
      <c r="K1259" s="20">
        <f>VLOOKUP(A1259,Metrik!$C$2:$Y$959,11,0)</f>
        <v>15.9</v>
      </c>
      <c r="L1259" s="20">
        <f>VLOOKUP(A1259,Metrik!$C$2:$Y$959,12,0)</f>
        <v>0.42</v>
      </c>
      <c r="M1259" s="20">
        <f>VLOOKUP(A1259,Metrik!$C$2:$Y$959,19,0)</f>
        <v>49.3</v>
      </c>
      <c r="N1259" s="21"/>
      <c r="O1259" s="21"/>
      <c r="P1259" s="21"/>
      <c r="Q1259" s="21"/>
      <c r="R1259" s="21"/>
      <c r="S1259" s="21"/>
      <c r="T1259" s="21"/>
      <c r="U1259" s="22">
        <f>IFERROR(__xludf.DUMMYFUNCTION("IFERROR(GOOGLEFINANCE(A1259,""closeyest""),"""")"),20.24)</f>
        <v>20.24</v>
      </c>
      <c r="V1259" s="23">
        <f>IFERROR(__xludf.DUMMYFUNCTION("IFERROR(GOOGLEFINANCE(A1259,""changepct""),"""")"),0.25)</f>
        <v>0.25</v>
      </c>
      <c r="W1259" s="22">
        <f>IFERROR(__xludf.DUMMYFUNCTION("IFERROR(GOOGLEFINANCE(A1259,""priceopen""),"""")"),20.28)</f>
        <v>20.28</v>
      </c>
      <c r="X1259" s="22">
        <f>IFERROR(__xludf.DUMMYFUNCTION("IFERROR(GOOGLEFINANCE(A1259,""high""),"""")"),20.29)</f>
        <v>20.29</v>
      </c>
      <c r="Y1259" s="22">
        <f>IFERROR(__xludf.DUMMYFUNCTION("IFERROR(GOOGLEFINANCE(A1259,""low""),"""")"),20.16)</f>
        <v>20.16</v>
      </c>
      <c r="Z1259" s="22">
        <f>IFERROR(__xludf.DUMMYFUNCTION("IFERROR(GOOGLEFINANCE(A1259,""volume""),"""")"),1411.0)</f>
        <v>1411</v>
      </c>
      <c r="AA1259" s="24" t="str">
        <f>VLOOKUP(A1259,Metrik!$C$2:$Y$959,5,0)</f>
        <v>Networking Equipment</v>
      </c>
      <c r="AB1259" s="24" t="str">
        <f>VLOOKUP(A1259,Metrik!$C$2:$Y$959,3,0)</f>
        <v>Technology</v>
      </c>
    </row>
    <row r="1260">
      <c r="A1260" s="17" t="s">
        <v>673</v>
      </c>
      <c r="B1260" s="14" t="str">
        <f t="array" ref="B1260">VLOOKUP(A1260,{Metrik!$C$2:$C$998,Metrik!$B$2:$B$998},2,0)</f>
        <v>Metrodata Electronics Tbk.</v>
      </c>
      <c r="C1260" s="15">
        <f>IFERROR(__xludf.DUMMYFUNCTION("GOOGLEFINANCE(""IDX:""&amp;A1260,""price"")"),535.0)</f>
        <v>535</v>
      </c>
      <c r="D1260" s="16" t="str">
        <f>IFERROR(__xludf.DUMMYFUNCTION("IF(A1260="""","""",
SPARKLINE(
INDEX(
GOOGLEFINANCE(""IDX:""&amp;A1260,""close"",TODAY()-365,TODAY()),
,2
),
{""linewidth"",1}
))
"),"#N/A")</f>
        <v>#N/A</v>
      </c>
      <c r="E1260" s="14"/>
      <c r="F1260" s="17"/>
      <c r="G1260" s="18">
        <f t="shared" si="8"/>
        <v>0</v>
      </c>
      <c r="H1260" s="19">
        <f>VLOOKUP(A1260,Metrik!$C$2:$Y$959,8,0)</f>
        <v>8</v>
      </c>
      <c r="I1260" s="20">
        <f>VLOOKUP(A1260,Metrik!$C$2:$Y$959,9,0)</f>
        <v>1</v>
      </c>
      <c r="J1260" s="20">
        <f>VLOOKUP(A1260,Metrik!$C$2:$Y$959,10,0)</f>
        <v>12.5</v>
      </c>
      <c r="K1260" s="20">
        <f>VLOOKUP(A1260,Metrik!$C$2:$Y$959,11,0)</f>
        <v>5.6</v>
      </c>
      <c r="L1260" s="20">
        <f>VLOOKUP(A1260,Metrik!$C$2:$Y$959,12,0)</f>
        <v>1.2</v>
      </c>
      <c r="M1260" s="20">
        <f>VLOOKUP(A1260,Metrik!$C$2:$Y$959,19,0)</f>
        <v>12.2</v>
      </c>
      <c r="N1260" s="21"/>
      <c r="O1260" s="21"/>
      <c r="P1260" s="21"/>
      <c r="Q1260" s="21"/>
      <c r="R1260" s="21"/>
      <c r="S1260" s="21"/>
      <c r="T1260" s="21"/>
      <c r="U1260" s="22">
        <f>IFERROR(__xludf.DUMMYFUNCTION("IFERROR(GOOGLEFINANCE(A1260,""closeyest""),"""")"),510.0)</f>
        <v>510</v>
      </c>
      <c r="V1260" s="23">
        <f>IFERROR(__xludf.DUMMYFUNCTION("IFERROR(GOOGLEFINANCE(A1260,""changepct""),"""")"),4.9)</f>
        <v>4.9</v>
      </c>
      <c r="W1260" s="22">
        <f>IFERROR(__xludf.DUMMYFUNCTION("IFERROR(GOOGLEFINANCE(A1260,""priceopen""),"""")"),510.0)</f>
        <v>510</v>
      </c>
      <c r="X1260" s="22">
        <f>IFERROR(__xludf.DUMMYFUNCTION("IFERROR(GOOGLEFINANCE(A1260,""high""),"""")"),550.0)</f>
        <v>550</v>
      </c>
      <c r="Y1260" s="22">
        <f>IFERROR(__xludf.DUMMYFUNCTION("IFERROR(GOOGLEFINANCE(A1260,""low""),"""")"),510.0)</f>
        <v>510</v>
      </c>
      <c r="Z1260" s="22">
        <f>IFERROR(__xludf.DUMMYFUNCTION("IFERROR(GOOGLEFINANCE(A1260,""volume""),"""")"),3419300.0)</f>
        <v>3419300</v>
      </c>
      <c r="AA1260" s="24" t="str">
        <f>VLOOKUP(A1260,Metrik!$C$2:$Y$959,5,0)</f>
        <v>Computer Hardware</v>
      </c>
      <c r="AB1260" s="24" t="str">
        <f>VLOOKUP(A1260,Metrik!$C$2:$Y$959,3,0)</f>
        <v>Technology</v>
      </c>
    </row>
    <row r="1261">
      <c r="A1261" s="14" t="s">
        <v>674</v>
      </c>
      <c r="B1261" s="14" t="str">
        <f t="array" ref="B1261">VLOOKUP(A1261,{Metrik!$C$2:$C$998,Metrik!$B$2:$B$998},2,0)</f>
        <v>Dayamitra Telekomunikasi Tbk.</v>
      </c>
      <c r="C1261" s="15">
        <f>IFERROR(__xludf.DUMMYFUNCTION("GOOGLEFINANCE(""IDX:""&amp;A1261,""price"")"),498.0)</f>
        <v>498</v>
      </c>
      <c r="D1261" s="16" t="str">
        <f>IFERROR(__xludf.DUMMYFUNCTION("IF(A1261="""","""",
SPARKLINE(
INDEX(
GOOGLEFINANCE(""IDX:""&amp;A1261,""close"",TODAY()-365,TODAY()),
,2
),
{""linewidth"",1}
))
"),"#N/A")</f>
        <v>#N/A</v>
      </c>
      <c r="E1261" s="14" t="s">
        <v>47</v>
      </c>
      <c r="F1261" s="25">
        <v>46356.0</v>
      </c>
      <c r="G1261" s="24">
        <f t="shared" si="8"/>
        <v>10</v>
      </c>
      <c r="H1261" s="19">
        <f>VLOOKUP(A1261,Metrik!$C$2:$Y$959,8,0)</f>
        <v>20.3</v>
      </c>
      <c r="I1261" s="20">
        <f>VLOOKUP(A1261,Metrik!$C$2:$Y$959,9,0)</f>
        <v>1.3</v>
      </c>
      <c r="J1261" s="20">
        <f>VLOOKUP(A1261,Metrik!$C$2:$Y$959,10,0)</f>
        <v>6.4</v>
      </c>
      <c r="K1261" s="20">
        <f>VLOOKUP(A1261,Metrik!$C$2:$Y$959,11,0)</f>
        <v>3.5</v>
      </c>
      <c r="L1261" s="20">
        <f>VLOOKUP(A1261,Metrik!$C$2:$Y$959,12,0)</f>
        <v>0.8</v>
      </c>
      <c r="M1261" s="20">
        <f>VLOOKUP(A1261,Metrik!$C$2:$Y$959,19,0)</f>
        <v>93.2</v>
      </c>
      <c r="N1261" s="21"/>
      <c r="O1261" s="21"/>
      <c r="P1261" s="21"/>
      <c r="Q1261" s="21"/>
      <c r="R1261" s="21"/>
      <c r="S1261" s="21"/>
      <c r="T1261" s="21"/>
      <c r="U1261" s="22">
        <f>IFERROR(__xludf.DUMMYFUNCTION("IFERROR(GOOGLEFINANCE(A1261,""closeyest""),"""")"),500.0)</f>
        <v>500</v>
      </c>
      <c r="V1261" s="23">
        <f>IFERROR(__xludf.DUMMYFUNCTION("IFERROR(GOOGLEFINANCE(A1261,""changepct""),"""")"),-0.4)</f>
        <v>-0.4</v>
      </c>
      <c r="W1261" s="22">
        <f>IFERROR(__xludf.DUMMYFUNCTION("IFERROR(GOOGLEFINANCE(A1261,""priceopen""),"""")"),498.0)</f>
        <v>498</v>
      </c>
      <c r="X1261" s="22">
        <f>IFERROR(__xludf.DUMMYFUNCTION("IFERROR(GOOGLEFINANCE(A1261,""high""),"""")"),500.0)</f>
        <v>500</v>
      </c>
      <c r="Y1261" s="22">
        <f>IFERROR(__xludf.DUMMYFUNCTION("IFERROR(GOOGLEFINANCE(A1261,""low""),"""")"),492.0)</f>
        <v>492</v>
      </c>
      <c r="Z1261" s="22">
        <f>IFERROR(__xludf.DUMMYFUNCTION("IFERROR(GOOGLEFINANCE(A1261,""volume""),"""")"),3.27236E7)</f>
        <v>32723600</v>
      </c>
      <c r="AA1261" s="24" t="str">
        <f>VLOOKUP(A1261,Metrik!$C$2:$Y$959,5,0)</f>
        <v>Wireless Telecommunication Services</v>
      </c>
      <c r="AB1261" s="24" t="str">
        <f>VLOOKUP(A1261,Metrik!$C$2:$Y$959,3,0)</f>
        <v>Infrastructures</v>
      </c>
    </row>
    <row r="1262">
      <c r="A1262" s="14" t="s">
        <v>674</v>
      </c>
      <c r="B1262" s="14" t="str">
        <f t="array" ref="B1262">VLOOKUP(A1262,{Metrik!$C$2:$C$998,Metrik!$B$2:$B$998},2,0)</f>
        <v>Dayamitra Telekomunikasi Tbk.</v>
      </c>
      <c r="C1262" s="15">
        <f>IFERROR(__xludf.DUMMYFUNCTION("GOOGLEFINANCE(""IDX:""&amp;A1262,""price"")"),498.0)</f>
        <v>498</v>
      </c>
      <c r="D1262" s="16" t="str">
        <f>IFERROR(__xludf.DUMMYFUNCTION("IF(A1262="""","""",
SPARKLINE(
INDEX(
GOOGLEFINANCE(""IDX:""&amp;A1262,""close"",TODAY()-365,TODAY()),
,2
),
{""linewidth"",1}
))
"),"#N/A")</f>
        <v>#N/A</v>
      </c>
      <c r="E1262" s="14" t="s">
        <v>106</v>
      </c>
      <c r="F1262" s="25">
        <v>46356.0</v>
      </c>
      <c r="G1262" s="24">
        <f t="shared" si="8"/>
        <v>10</v>
      </c>
      <c r="H1262" s="19">
        <f>VLOOKUP(A1262,Metrik!$C$2:$Y$959,8,0)</f>
        <v>20.3</v>
      </c>
      <c r="I1262" s="20">
        <f>VLOOKUP(A1262,Metrik!$C$2:$Y$959,9,0)</f>
        <v>1.3</v>
      </c>
      <c r="J1262" s="20">
        <f>VLOOKUP(A1262,Metrik!$C$2:$Y$959,10,0)</f>
        <v>6.4</v>
      </c>
      <c r="K1262" s="20">
        <f>VLOOKUP(A1262,Metrik!$C$2:$Y$959,11,0)</f>
        <v>3.5</v>
      </c>
      <c r="L1262" s="20">
        <f>VLOOKUP(A1262,Metrik!$C$2:$Y$959,12,0)</f>
        <v>0.8</v>
      </c>
      <c r="M1262" s="20">
        <f>VLOOKUP(A1262,Metrik!$C$2:$Y$959,19,0)</f>
        <v>93.2</v>
      </c>
      <c r="N1262" s="21"/>
      <c r="O1262" s="21"/>
      <c r="P1262" s="21"/>
      <c r="Q1262" s="21"/>
      <c r="R1262" s="21"/>
      <c r="S1262" s="21"/>
      <c r="T1262" s="21"/>
      <c r="U1262" s="22">
        <f>IFERROR(__xludf.DUMMYFUNCTION("IFERROR(GOOGLEFINANCE(A1262,""closeyest""),"""")"),500.0)</f>
        <v>500</v>
      </c>
      <c r="V1262" s="23">
        <f>IFERROR(__xludf.DUMMYFUNCTION("IFERROR(GOOGLEFINANCE(A1262,""changepct""),"""")"),-0.4)</f>
        <v>-0.4</v>
      </c>
      <c r="W1262" s="22">
        <f>IFERROR(__xludf.DUMMYFUNCTION("IFERROR(GOOGLEFINANCE(A1262,""priceopen""),"""")"),498.0)</f>
        <v>498</v>
      </c>
      <c r="X1262" s="22">
        <f>IFERROR(__xludf.DUMMYFUNCTION("IFERROR(GOOGLEFINANCE(A1262,""high""),"""")"),500.0)</f>
        <v>500</v>
      </c>
      <c r="Y1262" s="22">
        <f>IFERROR(__xludf.DUMMYFUNCTION("IFERROR(GOOGLEFINANCE(A1262,""low""),"""")"),492.0)</f>
        <v>492</v>
      </c>
      <c r="Z1262" s="22">
        <f>IFERROR(__xludf.DUMMYFUNCTION("IFERROR(GOOGLEFINANCE(A1262,""volume""),"""")"),3.27236E7)</f>
        <v>32723600</v>
      </c>
      <c r="AA1262" s="24" t="str">
        <f>VLOOKUP(A1262,Metrik!$C$2:$Y$959,5,0)</f>
        <v>Wireless Telecommunication Services</v>
      </c>
      <c r="AB1262" s="24" t="str">
        <f>VLOOKUP(A1262,Metrik!$C$2:$Y$959,3,0)</f>
        <v>Infrastructures</v>
      </c>
    </row>
    <row r="1263">
      <c r="A1263" s="14" t="s">
        <v>674</v>
      </c>
      <c r="B1263" s="14" t="str">
        <f t="array" ref="B1263">VLOOKUP(A1263,{Metrik!$C$2:$C$998,Metrik!$B$2:$B$998},2,0)</f>
        <v>Dayamitra Telekomunikasi Tbk.</v>
      </c>
      <c r="C1263" s="15">
        <f>IFERROR(__xludf.DUMMYFUNCTION("GOOGLEFINANCE(""IDX:""&amp;A1263,""price"")"),498.0)</f>
        <v>498</v>
      </c>
      <c r="D1263" s="16" t="str">
        <f>IFERROR(__xludf.DUMMYFUNCTION("IF(A1263="""","""",
SPARKLINE(
INDEX(
GOOGLEFINANCE(""IDX:""&amp;A1263,""close"",TODAY()-365,TODAY()),
,2
),
{""linewidth"",1}
))
"),"#N/A")</f>
        <v>#N/A</v>
      </c>
      <c r="E1263" s="14" t="s">
        <v>55</v>
      </c>
      <c r="F1263" s="25">
        <v>46356.0</v>
      </c>
      <c r="G1263" s="24">
        <f t="shared" si="8"/>
        <v>10</v>
      </c>
      <c r="H1263" s="19">
        <f>VLOOKUP(A1263,Metrik!$C$2:$Y$959,8,0)</f>
        <v>20.3</v>
      </c>
      <c r="I1263" s="20">
        <f>VLOOKUP(A1263,Metrik!$C$2:$Y$959,9,0)</f>
        <v>1.3</v>
      </c>
      <c r="J1263" s="20">
        <f>VLOOKUP(A1263,Metrik!$C$2:$Y$959,10,0)</f>
        <v>6.4</v>
      </c>
      <c r="K1263" s="20">
        <f>VLOOKUP(A1263,Metrik!$C$2:$Y$959,11,0)</f>
        <v>3.5</v>
      </c>
      <c r="L1263" s="20">
        <f>VLOOKUP(A1263,Metrik!$C$2:$Y$959,12,0)</f>
        <v>0.8</v>
      </c>
      <c r="M1263" s="20">
        <f>VLOOKUP(A1263,Metrik!$C$2:$Y$959,19,0)</f>
        <v>93.2</v>
      </c>
      <c r="N1263" s="21"/>
      <c r="O1263" s="21"/>
      <c r="P1263" s="21"/>
      <c r="Q1263" s="21"/>
      <c r="R1263" s="21"/>
      <c r="S1263" s="21"/>
      <c r="T1263" s="21"/>
      <c r="U1263" s="22">
        <f>IFERROR(__xludf.DUMMYFUNCTION("IFERROR(GOOGLEFINANCE(A1263,""closeyest""),"""")"),500.0)</f>
        <v>500</v>
      </c>
      <c r="V1263" s="23">
        <f>IFERROR(__xludf.DUMMYFUNCTION("IFERROR(GOOGLEFINANCE(A1263,""changepct""),"""")"),-0.4)</f>
        <v>-0.4</v>
      </c>
      <c r="W1263" s="22">
        <f>IFERROR(__xludf.DUMMYFUNCTION("IFERROR(GOOGLEFINANCE(A1263,""priceopen""),"""")"),498.0)</f>
        <v>498</v>
      </c>
      <c r="X1263" s="22">
        <f>IFERROR(__xludf.DUMMYFUNCTION("IFERROR(GOOGLEFINANCE(A1263,""high""),"""")"),500.0)</f>
        <v>500</v>
      </c>
      <c r="Y1263" s="22">
        <f>IFERROR(__xludf.DUMMYFUNCTION("IFERROR(GOOGLEFINANCE(A1263,""low""),"""")"),492.0)</f>
        <v>492</v>
      </c>
      <c r="Z1263" s="22">
        <f>IFERROR(__xludf.DUMMYFUNCTION("IFERROR(GOOGLEFINANCE(A1263,""volume""),"""")"),3.27236E7)</f>
        <v>32723600</v>
      </c>
      <c r="AA1263" s="24" t="str">
        <f>VLOOKUP(A1263,Metrik!$C$2:$Y$959,5,0)</f>
        <v>Wireless Telecommunication Services</v>
      </c>
      <c r="AB1263" s="24" t="str">
        <f>VLOOKUP(A1263,Metrik!$C$2:$Y$959,3,0)</f>
        <v>Infrastructures</v>
      </c>
    </row>
    <row r="1264">
      <c r="A1264" s="14" t="s">
        <v>674</v>
      </c>
      <c r="B1264" s="14" t="str">
        <f t="array" ref="B1264">VLOOKUP(A1264,{Metrik!$C$2:$C$998,Metrik!$B$2:$B$998},2,0)</f>
        <v>Dayamitra Telekomunikasi Tbk.</v>
      </c>
      <c r="C1264" s="15">
        <f>IFERROR(__xludf.DUMMYFUNCTION("GOOGLEFINANCE(""IDX:""&amp;A1264,""price"")"),498.0)</f>
        <v>498</v>
      </c>
      <c r="D1264" s="16" t="str">
        <f>IFERROR(__xludf.DUMMYFUNCTION("IF(A1264="""","""",
SPARKLINE(
INDEX(
GOOGLEFINANCE(""IDX:""&amp;A1264,""close"",TODAY()-365,TODAY()),
,2
),
{""linewidth"",1}
))
"),"#N/A")</f>
        <v>#N/A</v>
      </c>
      <c r="E1264" s="14" t="s">
        <v>61</v>
      </c>
      <c r="F1264" s="14" t="s">
        <v>34</v>
      </c>
      <c r="G1264" s="24">
        <f t="shared" si="8"/>
        <v>10</v>
      </c>
      <c r="H1264" s="19">
        <f>VLOOKUP(A1264,Metrik!$C$2:$Y$959,8,0)</f>
        <v>20.3</v>
      </c>
      <c r="I1264" s="20">
        <f>VLOOKUP(A1264,Metrik!$C$2:$Y$959,9,0)</f>
        <v>1.3</v>
      </c>
      <c r="J1264" s="20">
        <f>VLOOKUP(A1264,Metrik!$C$2:$Y$959,10,0)</f>
        <v>6.4</v>
      </c>
      <c r="K1264" s="20">
        <f>VLOOKUP(A1264,Metrik!$C$2:$Y$959,11,0)</f>
        <v>3.5</v>
      </c>
      <c r="L1264" s="20">
        <f>VLOOKUP(A1264,Metrik!$C$2:$Y$959,12,0)</f>
        <v>0.8</v>
      </c>
      <c r="M1264" s="20">
        <f>VLOOKUP(A1264,Metrik!$C$2:$Y$959,19,0)</f>
        <v>93.2</v>
      </c>
      <c r="N1264" s="21"/>
      <c r="O1264" s="21"/>
      <c r="P1264" s="21"/>
      <c r="Q1264" s="21"/>
      <c r="R1264" s="21"/>
      <c r="S1264" s="21"/>
      <c r="T1264" s="21"/>
      <c r="U1264" s="22">
        <f>IFERROR(__xludf.DUMMYFUNCTION("IFERROR(GOOGLEFINANCE(A1264,""closeyest""),"""")"),500.0)</f>
        <v>500</v>
      </c>
      <c r="V1264" s="23">
        <f>IFERROR(__xludf.DUMMYFUNCTION("IFERROR(GOOGLEFINANCE(A1264,""changepct""),"""")"),-0.4)</f>
        <v>-0.4</v>
      </c>
      <c r="W1264" s="22">
        <f>IFERROR(__xludf.DUMMYFUNCTION("IFERROR(GOOGLEFINANCE(A1264,""priceopen""),"""")"),498.0)</f>
        <v>498</v>
      </c>
      <c r="X1264" s="22">
        <f>IFERROR(__xludf.DUMMYFUNCTION("IFERROR(GOOGLEFINANCE(A1264,""high""),"""")"),500.0)</f>
        <v>500</v>
      </c>
      <c r="Y1264" s="22">
        <f>IFERROR(__xludf.DUMMYFUNCTION("IFERROR(GOOGLEFINANCE(A1264,""low""),"""")"),492.0)</f>
        <v>492</v>
      </c>
      <c r="Z1264" s="22">
        <f>IFERROR(__xludf.DUMMYFUNCTION("IFERROR(GOOGLEFINANCE(A1264,""volume""),"""")"),3.27236E7)</f>
        <v>32723600</v>
      </c>
      <c r="AA1264" s="24" t="str">
        <f>VLOOKUP(A1264,Metrik!$C$2:$Y$959,5,0)</f>
        <v>Wireless Telecommunication Services</v>
      </c>
      <c r="AB1264" s="24" t="str">
        <f>VLOOKUP(A1264,Metrik!$C$2:$Y$959,3,0)</f>
        <v>Infrastructures</v>
      </c>
    </row>
    <row r="1265">
      <c r="A1265" s="14" t="s">
        <v>674</v>
      </c>
      <c r="B1265" s="14" t="str">
        <f t="array" ref="B1265">VLOOKUP(A1265,{Metrik!$C$2:$C$998,Metrik!$B$2:$B$998},2,0)</f>
        <v>Dayamitra Telekomunikasi Tbk.</v>
      </c>
      <c r="C1265" s="15">
        <f>IFERROR(__xludf.DUMMYFUNCTION("GOOGLEFINANCE(""IDX:""&amp;A1265,""price"")"),498.0)</f>
        <v>498</v>
      </c>
      <c r="D1265" s="16" t="str">
        <f>IFERROR(__xludf.DUMMYFUNCTION("IF(A1265="""","""",
SPARKLINE(
INDEX(
GOOGLEFINANCE(""IDX:""&amp;A1265,""close"",TODAY()-365,TODAY()),
,2
),
{""linewidth"",1}
))
"),"#N/A")</f>
        <v>#N/A</v>
      </c>
      <c r="E1265" s="14" t="s">
        <v>84</v>
      </c>
      <c r="F1265" s="17" t="s">
        <v>51</v>
      </c>
      <c r="G1265" s="24">
        <f t="shared" si="8"/>
        <v>10</v>
      </c>
      <c r="H1265" s="19">
        <f>VLOOKUP(A1265,Metrik!$C$2:$Y$959,8,0)</f>
        <v>20.3</v>
      </c>
      <c r="I1265" s="20">
        <f>VLOOKUP(A1265,Metrik!$C$2:$Y$959,9,0)</f>
        <v>1.3</v>
      </c>
      <c r="J1265" s="20">
        <f>VLOOKUP(A1265,Metrik!$C$2:$Y$959,10,0)</f>
        <v>6.4</v>
      </c>
      <c r="K1265" s="20">
        <f>VLOOKUP(A1265,Metrik!$C$2:$Y$959,11,0)</f>
        <v>3.5</v>
      </c>
      <c r="L1265" s="20">
        <f>VLOOKUP(A1265,Metrik!$C$2:$Y$959,12,0)</f>
        <v>0.8</v>
      </c>
      <c r="M1265" s="20">
        <f>VLOOKUP(A1265,Metrik!$C$2:$Y$959,19,0)</f>
        <v>93.2</v>
      </c>
      <c r="N1265" s="21"/>
      <c r="O1265" s="21"/>
      <c r="P1265" s="21"/>
      <c r="Q1265" s="21"/>
      <c r="R1265" s="21"/>
      <c r="S1265" s="21"/>
      <c r="T1265" s="21"/>
      <c r="U1265" s="22">
        <f>IFERROR(__xludf.DUMMYFUNCTION("IFERROR(GOOGLEFINANCE(A1265,""closeyest""),"""")"),500.0)</f>
        <v>500</v>
      </c>
      <c r="V1265" s="23">
        <f>IFERROR(__xludf.DUMMYFUNCTION("IFERROR(GOOGLEFINANCE(A1265,""changepct""),"""")"),-0.4)</f>
        <v>-0.4</v>
      </c>
      <c r="W1265" s="22">
        <f>IFERROR(__xludf.DUMMYFUNCTION("IFERROR(GOOGLEFINANCE(A1265,""priceopen""),"""")"),498.0)</f>
        <v>498</v>
      </c>
      <c r="X1265" s="22">
        <f>IFERROR(__xludf.DUMMYFUNCTION("IFERROR(GOOGLEFINANCE(A1265,""high""),"""")"),500.0)</f>
        <v>500</v>
      </c>
      <c r="Y1265" s="22">
        <f>IFERROR(__xludf.DUMMYFUNCTION("IFERROR(GOOGLEFINANCE(A1265,""low""),"""")"),492.0)</f>
        <v>492</v>
      </c>
      <c r="Z1265" s="22">
        <f>IFERROR(__xludf.DUMMYFUNCTION("IFERROR(GOOGLEFINANCE(A1265,""volume""),"""")"),3.27236E7)</f>
        <v>32723600</v>
      </c>
      <c r="AA1265" s="24" t="str">
        <f>VLOOKUP(A1265,Metrik!$C$2:$Y$959,5,0)</f>
        <v>Wireless Telecommunication Services</v>
      </c>
      <c r="AB1265" s="24" t="str">
        <f>VLOOKUP(A1265,Metrik!$C$2:$Y$959,3,0)</f>
        <v>Infrastructures</v>
      </c>
    </row>
    <row r="1266">
      <c r="A1266" s="14" t="s">
        <v>674</v>
      </c>
      <c r="B1266" s="14" t="str">
        <f t="array" ref="B1266">VLOOKUP(A1266,{Metrik!$C$2:$C$998,Metrik!$B$2:$B$998},2,0)</f>
        <v>Dayamitra Telekomunikasi Tbk.</v>
      </c>
      <c r="C1266" s="15">
        <f>IFERROR(__xludf.DUMMYFUNCTION("GOOGLEFINANCE(""IDX:""&amp;A1266,""price"")"),498.0)</f>
        <v>498</v>
      </c>
      <c r="D1266" s="16" t="str">
        <f>IFERROR(__xludf.DUMMYFUNCTION("IF(A1266="""","""",
SPARKLINE(
INDEX(
GOOGLEFINANCE(""IDX:""&amp;A1266,""close"",TODAY()-365,TODAY()),
,2
),
{""linewidth"",1}
))
"),"#N/A")</f>
        <v>#N/A</v>
      </c>
      <c r="E1266" s="14" t="s">
        <v>32</v>
      </c>
      <c r="F1266" s="14" t="s">
        <v>29</v>
      </c>
      <c r="G1266" s="24">
        <f t="shared" si="8"/>
        <v>10</v>
      </c>
      <c r="H1266" s="19">
        <f>VLOOKUP(A1266,Metrik!$C$2:$Y$959,8,0)</f>
        <v>20.3</v>
      </c>
      <c r="I1266" s="20">
        <f>VLOOKUP(A1266,Metrik!$C$2:$Y$959,9,0)</f>
        <v>1.3</v>
      </c>
      <c r="J1266" s="20">
        <f>VLOOKUP(A1266,Metrik!$C$2:$Y$959,10,0)</f>
        <v>6.4</v>
      </c>
      <c r="K1266" s="20">
        <f>VLOOKUP(A1266,Metrik!$C$2:$Y$959,11,0)</f>
        <v>3.5</v>
      </c>
      <c r="L1266" s="20">
        <f>VLOOKUP(A1266,Metrik!$C$2:$Y$959,12,0)</f>
        <v>0.8</v>
      </c>
      <c r="M1266" s="20">
        <f>VLOOKUP(A1266,Metrik!$C$2:$Y$959,19,0)</f>
        <v>93.2</v>
      </c>
      <c r="N1266" s="21"/>
      <c r="O1266" s="21"/>
      <c r="P1266" s="21"/>
      <c r="Q1266" s="21"/>
      <c r="R1266" s="21"/>
      <c r="S1266" s="21"/>
      <c r="T1266" s="21"/>
      <c r="U1266" s="22">
        <f>IFERROR(__xludf.DUMMYFUNCTION("IFERROR(GOOGLEFINANCE(A1266,""closeyest""),"""")"),500.0)</f>
        <v>500</v>
      </c>
      <c r="V1266" s="23">
        <f>IFERROR(__xludf.DUMMYFUNCTION("IFERROR(GOOGLEFINANCE(A1266,""changepct""),"""")"),-0.4)</f>
        <v>-0.4</v>
      </c>
      <c r="W1266" s="22">
        <f>IFERROR(__xludf.DUMMYFUNCTION("IFERROR(GOOGLEFINANCE(A1266,""priceopen""),"""")"),498.0)</f>
        <v>498</v>
      </c>
      <c r="X1266" s="22">
        <f>IFERROR(__xludf.DUMMYFUNCTION("IFERROR(GOOGLEFINANCE(A1266,""high""),"""")"),500.0)</f>
        <v>500</v>
      </c>
      <c r="Y1266" s="22">
        <f>IFERROR(__xludf.DUMMYFUNCTION("IFERROR(GOOGLEFINANCE(A1266,""low""),"""")"),492.0)</f>
        <v>492</v>
      </c>
      <c r="Z1266" s="22">
        <f>IFERROR(__xludf.DUMMYFUNCTION("IFERROR(GOOGLEFINANCE(A1266,""volume""),"""")"),3.27236E7)</f>
        <v>32723600</v>
      </c>
      <c r="AA1266" s="24" t="str">
        <f>VLOOKUP(A1266,Metrik!$C$2:$Y$959,5,0)</f>
        <v>Wireless Telecommunication Services</v>
      </c>
      <c r="AB1266" s="24" t="str">
        <f>VLOOKUP(A1266,Metrik!$C$2:$Y$959,3,0)</f>
        <v>Infrastructures</v>
      </c>
    </row>
    <row r="1267">
      <c r="A1267" s="48" t="s">
        <v>674</v>
      </c>
      <c r="B1267" s="14" t="str">
        <f t="array" ref="B1267">VLOOKUP(A1267,{Metrik!$C$2:$C$998,Metrik!$B$2:$B$998},2,0)</f>
        <v>Dayamitra Telekomunikasi Tbk.</v>
      </c>
      <c r="C1267" s="15">
        <f>IFERROR(__xludf.DUMMYFUNCTION("GOOGLEFINANCE(""IDX:""&amp;A1267,""price"")"),498.0)</f>
        <v>498</v>
      </c>
      <c r="D1267" s="16" t="str">
        <f>IFERROR(__xludf.DUMMYFUNCTION("IF(A1267="""","""",
SPARKLINE(
INDEX(
GOOGLEFINANCE(""IDX:""&amp;A1267,""close"",TODAY()-365,TODAY()),
,2
),
{""linewidth"",1}
))
"),"#N/A")</f>
        <v>#N/A</v>
      </c>
      <c r="E1267" s="17" t="s">
        <v>69</v>
      </c>
      <c r="F1267" s="17" t="s">
        <v>70</v>
      </c>
      <c r="G1267" s="24">
        <f t="shared" si="8"/>
        <v>10</v>
      </c>
      <c r="H1267" s="19">
        <f>VLOOKUP(A1267,Metrik!$C$2:$Y$959,8,0)</f>
        <v>20.3</v>
      </c>
      <c r="I1267" s="20">
        <f>VLOOKUP(A1267,Metrik!$C$2:$Y$959,9,0)</f>
        <v>1.3</v>
      </c>
      <c r="J1267" s="20">
        <f>VLOOKUP(A1267,Metrik!$C$2:$Y$959,10,0)</f>
        <v>6.4</v>
      </c>
      <c r="K1267" s="20">
        <f>VLOOKUP(A1267,Metrik!$C$2:$Y$959,11,0)</f>
        <v>3.5</v>
      </c>
      <c r="L1267" s="20">
        <f>VLOOKUP(A1267,Metrik!$C$2:$Y$959,12,0)</f>
        <v>0.8</v>
      </c>
      <c r="M1267" s="20">
        <f>VLOOKUP(A1267,Metrik!$C$2:$Y$959,19,0)</f>
        <v>93.2</v>
      </c>
      <c r="N1267" s="21"/>
      <c r="O1267" s="21"/>
      <c r="P1267" s="21"/>
      <c r="Q1267" s="21"/>
      <c r="R1267" s="21"/>
      <c r="S1267" s="21"/>
      <c r="T1267" s="21"/>
      <c r="U1267" s="22">
        <f>IFERROR(__xludf.DUMMYFUNCTION("IFERROR(GOOGLEFINANCE(A1267,""closeyest""),"""")"),500.0)</f>
        <v>500</v>
      </c>
      <c r="V1267" s="23">
        <f>IFERROR(__xludf.DUMMYFUNCTION("IFERROR(GOOGLEFINANCE(A1267,""changepct""),"""")"),-0.4)</f>
        <v>-0.4</v>
      </c>
      <c r="W1267" s="22">
        <f>IFERROR(__xludf.DUMMYFUNCTION("IFERROR(GOOGLEFINANCE(A1267,""priceopen""),"""")"),498.0)</f>
        <v>498</v>
      </c>
      <c r="X1267" s="22">
        <f>IFERROR(__xludf.DUMMYFUNCTION("IFERROR(GOOGLEFINANCE(A1267,""high""),"""")"),500.0)</f>
        <v>500</v>
      </c>
      <c r="Y1267" s="22">
        <f>IFERROR(__xludf.DUMMYFUNCTION("IFERROR(GOOGLEFINANCE(A1267,""low""),"""")"),492.0)</f>
        <v>492</v>
      </c>
      <c r="Z1267" s="22">
        <f>IFERROR(__xludf.DUMMYFUNCTION("IFERROR(GOOGLEFINANCE(A1267,""volume""),"""")"),3.27236E7)</f>
        <v>32723600</v>
      </c>
      <c r="AA1267" s="24" t="str">
        <f>VLOOKUP(A1267,Metrik!$C$2:$Y$959,5,0)</f>
        <v>Wireless Telecommunication Services</v>
      </c>
      <c r="AB1267" s="24" t="str">
        <f>VLOOKUP(A1267,Metrik!$C$2:$Y$959,3,0)</f>
        <v>Infrastructures</v>
      </c>
    </row>
    <row r="1268">
      <c r="A1268" s="17" t="s">
        <v>674</v>
      </c>
      <c r="B1268" s="14" t="str">
        <f t="array" ref="B1268">VLOOKUP(A1268,{Metrik!$C$2:$C$998,Metrik!$B$2:$B$998},2,0)</f>
        <v>Dayamitra Telekomunikasi Tbk.</v>
      </c>
      <c r="C1268" s="15">
        <f>IFERROR(__xludf.DUMMYFUNCTION("GOOGLEFINANCE(""IDX:""&amp;A1268,""price"")"),498.0)</f>
        <v>498</v>
      </c>
      <c r="D1268" s="16" t="str">
        <f>IFERROR(__xludf.DUMMYFUNCTION("IF(A1268="""","""",
SPARKLINE(
INDEX(
GOOGLEFINANCE(""IDX:""&amp;A1268,""close"",TODAY()-365,TODAY()),
,2
),
{""linewidth"",1}
))
"),"#N/A")</f>
        <v>#N/A</v>
      </c>
      <c r="E1268" s="14" t="s">
        <v>35</v>
      </c>
      <c r="F1268" s="17" t="s">
        <v>36</v>
      </c>
      <c r="G1268" s="38">
        <f t="shared" si="8"/>
        <v>10</v>
      </c>
      <c r="H1268" s="34">
        <f>VLOOKUP(A1268,Metrik!$C$2:$Y$959,8,0)</f>
        <v>20.3</v>
      </c>
      <c r="I1268" s="34">
        <f>VLOOKUP(A1268,Metrik!$C$2:$Y$959,9,0)</f>
        <v>1.3</v>
      </c>
      <c r="J1268" s="34">
        <f>VLOOKUP(A1268,Metrik!$C$2:$Y$959,10,0)</f>
        <v>6.4</v>
      </c>
      <c r="K1268" s="34">
        <f>VLOOKUP(A1268,Metrik!$C$2:$Y$959,11,0)</f>
        <v>3.5</v>
      </c>
      <c r="L1268" s="34">
        <f>VLOOKUP(A1268,Metrik!$C$2:$Y$959,12,0)</f>
        <v>0.8</v>
      </c>
      <c r="M1268" s="34">
        <f>VLOOKUP(A1268,Metrik!$C$2:$Y$959,19,0)</f>
        <v>93.2</v>
      </c>
      <c r="N1268" s="26"/>
      <c r="O1268" s="26"/>
      <c r="P1268" s="26"/>
      <c r="Q1268" s="26"/>
      <c r="R1268" s="26"/>
      <c r="S1268" s="26"/>
      <c r="T1268" s="26"/>
      <c r="U1268" s="35">
        <f>IFERROR(__xludf.DUMMYFUNCTION("IFERROR(GOOGLEFINANCE(A1268,""closeyest""),"""")"),500.0)</f>
        <v>500</v>
      </c>
      <c r="V1268" s="36">
        <f>IFERROR(__xludf.DUMMYFUNCTION("IFERROR(GOOGLEFINANCE(A1268,""changepct""),"""")"),-0.4)</f>
        <v>-0.4</v>
      </c>
      <c r="W1268" s="35">
        <f>IFERROR(__xludf.DUMMYFUNCTION("IFERROR(GOOGLEFINANCE(A1268,""priceopen""),"""")"),498.0)</f>
        <v>498</v>
      </c>
      <c r="X1268" s="35">
        <f>IFERROR(__xludf.DUMMYFUNCTION("IFERROR(GOOGLEFINANCE(A1268,""high""),"""")"),500.0)</f>
        <v>500</v>
      </c>
      <c r="Y1268" s="35">
        <f>IFERROR(__xludf.DUMMYFUNCTION("IFERROR(GOOGLEFINANCE(A1268,""low""),"""")"),492.0)</f>
        <v>492</v>
      </c>
      <c r="Z1268" s="35">
        <f>IFERROR(__xludf.DUMMYFUNCTION("IFERROR(GOOGLEFINANCE(A1268,""volume""),"""")"),3.27236E7)</f>
        <v>32723600</v>
      </c>
      <c r="AA1268" s="14" t="str">
        <f>VLOOKUP(A1268,Metrik!$C$2:$Y$959,5,0)</f>
        <v>Wireless Telecommunication Services</v>
      </c>
      <c r="AB1268" s="14" t="str">
        <f>VLOOKUP(A1268,Metrik!$C$2:$Y$959,3,0)</f>
        <v>Infrastructures</v>
      </c>
    </row>
    <row r="1269">
      <c r="A1269" s="14" t="s">
        <v>674</v>
      </c>
      <c r="B1269" s="14" t="str">
        <f t="array" ref="B1269">VLOOKUP(A1269,{Metrik!$C$2:$C$998,Metrik!$B$2:$B$998},2,0)</f>
        <v>Dayamitra Telekomunikasi Tbk.</v>
      </c>
      <c r="C1269" s="15">
        <f>IFERROR(__xludf.DUMMYFUNCTION("GOOGLEFINANCE(""IDX:""&amp;A1269,""price"")"),498.0)</f>
        <v>498</v>
      </c>
      <c r="D1269" s="16" t="str">
        <f>IFERROR(__xludf.DUMMYFUNCTION("IF(A1269="""","""",
SPARKLINE(
INDEX(
GOOGLEFINANCE(""IDX:""&amp;A1269,""close"",TODAY()-365,TODAY()),
,2
),
{""linewidth"",1}
))
"),"#N/A")</f>
        <v>#N/A</v>
      </c>
      <c r="E1269" s="14" t="s">
        <v>86</v>
      </c>
      <c r="F1269" s="25">
        <v>46356.0</v>
      </c>
      <c r="G1269" s="24">
        <f t="shared" si="8"/>
        <v>10</v>
      </c>
      <c r="H1269" s="19">
        <f>VLOOKUP(A1269,Metrik!$C$2:$Y$959,8,0)</f>
        <v>20.3</v>
      </c>
      <c r="I1269" s="20">
        <f>VLOOKUP(A1269,Metrik!$C$2:$Y$959,9,0)</f>
        <v>1.3</v>
      </c>
      <c r="J1269" s="20">
        <f>VLOOKUP(A1269,Metrik!$C$2:$Y$959,10,0)</f>
        <v>6.4</v>
      </c>
      <c r="K1269" s="20">
        <f>VLOOKUP(A1269,Metrik!$C$2:$Y$959,11,0)</f>
        <v>3.5</v>
      </c>
      <c r="L1269" s="20">
        <f>VLOOKUP(A1269,Metrik!$C$2:$Y$959,12,0)</f>
        <v>0.8</v>
      </c>
      <c r="M1269" s="20">
        <f>VLOOKUP(A1269,Metrik!$C$2:$Y$959,19,0)</f>
        <v>93.2</v>
      </c>
      <c r="N1269" s="21"/>
      <c r="O1269" s="21"/>
      <c r="P1269" s="21"/>
      <c r="Q1269" s="21"/>
      <c r="R1269" s="21"/>
      <c r="S1269" s="21"/>
      <c r="T1269" s="21"/>
      <c r="U1269" s="22">
        <f>IFERROR(__xludf.DUMMYFUNCTION("IFERROR(GOOGLEFINANCE(A1269,""closeyest""),"""")"),500.0)</f>
        <v>500</v>
      </c>
      <c r="V1269" s="23">
        <f>IFERROR(__xludf.DUMMYFUNCTION("IFERROR(GOOGLEFINANCE(A1269,""changepct""),"""")"),-0.4)</f>
        <v>-0.4</v>
      </c>
      <c r="W1269" s="22">
        <f>IFERROR(__xludf.DUMMYFUNCTION("IFERROR(GOOGLEFINANCE(A1269,""priceopen""),"""")"),498.0)</f>
        <v>498</v>
      </c>
      <c r="X1269" s="22">
        <f>IFERROR(__xludf.DUMMYFUNCTION("IFERROR(GOOGLEFINANCE(A1269,""high""),"""")"),500.0)</f>
        <v>500</v>
      </c>
      <c r="Y1269" s="22">
        <f>IFERROR(__xludf.DUMMYFUNCTION("IFERROR(GOOGLEFINANCE(A1269,""low""),"""")"),492.0)</f>
        <v>492</v>
      </c>
      <c r="Z1269" s="22">
        <f>IFERROR(__xludf.DUMMYFUNCTION("IFERROR(GOOGLEFINANCE(A1269,""volume""),"""")"),3.27236E7)</f>
        <v>32723600</v>
      </c>
      <c r="AA1269" s="24" t="str">
        <f>VLOOKUP(A1269,Metrik!$C$2:$Y$959,5,0)</f>
        <v>Wireless Telecommunication Services</v>
      </c>
      <c r="AB1269" s="24" t="str">
        <f>VLOOKUP(A1269,Metrik!$C$2:$Y$959,3,0)</f>
        <v>Infrastructures</v>
      </c>
    </row>
    <row r="1270">
      <c r="A1270" s="14" t="s">
        <v>674</v>
      </c>
      <c r="B1270" s="14" t="str">
        <f t="array" ref="B1270">VLOOKUP(A1270,{Metrik!$C$2:$C$998,Metrik!$B$2:$B$998},2,0)</f>
        <v>Dayamitra Telekomunikasi Tbk.</v>
      </c>
      <c r="C1270" s="15">
        <f>IFERROR(__xludf.DUMMYFUNCTION("GOOGLEFINANCE(""IDX:""&amp;A1270,""price"")"),498.0)</f>
        <v>498</v>
      </c>
      <c r="D1270" s="16" t="str">
        <f>IFERROR(__xludf.DUMMYFUNCTION("IF(A1270="""","""",
SPARKLINE(
INDEX(
GOOGLEFINANCE(""IDX:""&amp;A1270,""close"",TODAY()-365,TODAY()),
,2
),
{""linewidth"",1}
))
"),"#N/A")</f>
        <v>#N/A</v>
      </c>
      <c r="E1270" s="14" t="s">
        <v>39</v>
      </c>
      <c r="F1270" s="25">
        <v>46356.0</v>
      </c>
      <c r="G1270" s="24">
        <f t="shared" si="8"/>
        <v>10</v>
      </c>
      <c r="H1270" s="19">
        <f>VLOOKUP(A1270,Metrik!$C$2:$Y$959,8,0)</f>
        <v>20.3</v>
      </c>
      <c r="I1270" s="20">
        <f>VLOOKUP(A1270,Metrik!$C$2:$Y$959,9,0)</f>
        <v>1.3</v>
      </c>
      <c r="J1270" s="20">
        <f>VLOOKUP(A1270,Metrik!$C$2:$Y$959,10,0)</f>
        <v>6.4</v>
      </c>
      <c r="K1270" s="20">
        <f>VLOOKUP(A1270,Metrik!$C$2:$Y$959,11,0)</f>
        <v>3.5</v>
      </c>
      <c r="L1270" s="20">
        <f>VLOOKUP(A1270,Metrik!$C$2:$Y$959,12,0)</f>
        <v>0.8</v>
      </c>
      <c r="M1270" s="20">
        <f>VLOOKUP(A1270,Metrik!$C$2:$Y$959,19,0)</f>
        <v>93.2</v>
      </c>
      <c r="N1270" s="21"/>
      <c r="O1270" s="21"/>
      <c r="P1270" s="21"/>
      <c r="Q1270" s="21"/>
      <c r="R1270" s="21"/>
      <c r="S1270" s="21"/>
      <c r="T1270" s="21"/>
      <c r="U1270" s="22">
        <f>IFERROR(__xludf.DUMMYFUNCTION("IFERROR(GOOGLEFINANCE(A1270,""closeyest""),"""")"),500.0)</f>
        <v>500</v>
      </c>
      <c r="V1270" s="23">
        <f>IFERROR(__xludf.DUMMYFUNCTION("IFERROR(GOOGLEFINANCE(A1270,""changepct""),"""")"),-0.4)</f>
        <v>-0.4</v>
      </c>
      <c r="W1270" s="22">
        <f>IFERROR(__xludf.DUMMYFUNCTION("IFERROR(GOOGLEFINANCE(A1270,""priceopen""),"""")"),498.0)</f>
        <v>498</v>
      </c>
      <c r="X1270" s="22">
        <f>IFERROR(__xludf.DUMMYFUNCTION("IFERROR(GOOGLEFINANCE(A1270,""high""),"""")"),500.0)</f>
        <v>500</v>
      </c>
      <c r="Y1270" s="22">
        <f>IFERROR(__xludf.DUMMYFUNCTION("IFERROR(GOOGLEFINANCE(A1270,""low""),"""")"),492.0)</f>
        <v>492</v>
      </c>
      <c r="Z1270" s="22">
        <f>IFERROR(__xludf.DUMMYFUNCTION("IFERROR(GOOGLEFINANCE(A1270,""volume""),"""")"),3.27236E7)</f>
        <v>32723600</v>
      </c>
      <c r="AA1270" s="24" t="str">
        <f>VLOOKUP(A1270,Metrik!$C$2:$Y$959,5,0)</f>
        <v>Wireless Telecommunication Services</v>
      </c>
      <c r="AB1270" s="24" t="str">
        <f>VLOOKUP(A1270,Metrik!$C$2:$Y$959,3,0)</f>
        <v>Infrastructures</v>
      </c>
    </row>
    <row r="1271">
      <c r="A1271" s="14" t="s">
        <v>675</v>
      </c>
      <c r="B1271" s="14" t="str">
        <f t="array" ref="B1271">VLOOKUP(A1271,{Metrik!$C$2:$C$998,Metrik!$B$2:$B$998},2,0)</f>
        <v>Capitalinc Investment Tbk.</v>
      </c>
      <c r="C1271" s="15">
        <f>IFERROR(__xludf.DUMMYFUNCTION("GOOGLEFINANCE(""IDX:""&amp;A1271,""price"")"),15.0)</f>
        <v>15</v>
      </c>
      <c r="D1271" s="16" t="str">
        <f>IFERROR(__xludf.DUMMYFUNCTION("IF(A1271="""","""",
SPARKLINE(
INDEX(
GOOGLEFINANCE(""IDX:""&amp;A1271,""close"",TODAY()-365,TODAY()),
,2
),
{""linewidth"",1}
))
"),"#N/A")</f>
        <v>#N/A</v>
      </c>
      <c r="E1271" s="26"/>
      <c r="F1271" s="26"/>
      <c r="G1271" s="24">
        <f t="shared" si="8"/>
        <v>0</v>
      </c>
      <c r="H1271" s="19">
        <f>VLOOKUP(A1271,Metrik!$C$2:$Y$959,8,0)</f>
        <v>-6.9</v>
      </c>
      <c r="I1271" s="20">
        <f>VLOOKUP(A1271,Metrik!$C$2:$Y$959,9,0)</f>
        <v>-1.1</v>
      </c>
      <c r="J1271" s="20">
        <f>VLOOKUP(A1271,Metrik!$C$2:$Y$959,10,0)</f>
        <v>0</v>
      </c>
      <c r="K1271" s="20">
        <f>VLOOKUP(A1271,Metrik!$C$2:$Y$959,11,0)</f>
        <v>-16.1</v>
      </c>
      <c r="L1271" s="20">
        <f>VLOOKUP(A1271,Metrik!$C$2:$Y$959,12,0)</f>
        <v>-2</v>
      </c>
      <c r="M1271" s="20">
        <f>VLOOKUP(A1271,Metrik!$C$2:$Y$959,19,0)</f>
        <v>-20.4</v>
      </c>
      <c r="N1271" s="21"/>
      <c r="O1271" s="21"/>
      <c r="P1271" s="21"/>
      <c r="Q1271" s="21"/>
      <c r="R1271" s="21"/>
      <c r="S1271" s="21"/>
      <c r="T1271" s="21"/>
      <c r="U1271" s="22">
        <f>IFERROR(__xludf.DUMMYFUNCTION("IFERROR(GOOGLEFINANCE(A1271,""closeyest""),"""")"),14.0)</f>
        <v>14</v>
      </c>
      <c r="V1271" s="23">
        <f>IFERROR(__xludf.DUMMYFUNCTION("IFERROR(GOOGLEFINANCE(A1271,""changepct""),"""")"),7.14)</f>
        <v>7.14</v>
      </c>
      <c r="W1271" s="22">
        <f>IFERROR(__xludf.DUMMYFUNCTION("IFERROR(GOOGLEFINANCE(A1271,""priceopen""),"""")"),15.0)</f>
        <v>15</v>
      </c>
      <c r="X1271" s="22">
        <f>IFERROR(__xludf.DUMMYFUNCTION("IFERROR(GOOGLEFINANCE(A1271,""high""),"""")"),15.0)</f>
        <v>15</v>
      </c>
      <c r="Y1271" s="22">
        <f>IFERROR(__xludf.DUMMYFUNCTION("IFERROR(GOOGLEFINANCE(A1271,""low""),"""")"),15.0)</f>
        <v>15</v>
      </c>
      <c r="Z1271" s="22">
        <f>IFERROR(__xludf.DUMMYFUNCTION("IFERROR(GOOGLEFINANCE(A1271,""volume""),"""")"),1.63752E7)</f>
        <v>16375200</v>
      </c>
      <c r="AA1271" s="24" t="str">
        <f>VLOOKUP(A1271,Metrik!$C$2:$Y$959,5,0)</f>
        <v>Oil &amp; Gas</v>
      </c>
      <c r="AB1271" s="24" t="str">
        <f>VLOOKUP(A1271,Metrik!$C$2:$Y$959,3,0)</f>
        <v>Energy</v>
      </c>
    </row>
    <row r="1272">
      <c r="A1272" s="14" t="s">
        <v>676</v>
      </c>
      <c r="B1272" s="14" t="str">
        <f t="array" ref="B1272">VLOOKUP(A1272,{Metrik!$C$2:$C$998,Metrik!$B$2:$B$998},2,0)</f>
        <v>Metropolitan Land Tbk.</v>
      </c>
      <c r="C1272" s="15">
        <f>IFERROR(__xludf.DUMMYFUNCTION("GOOGLEFINANCE(""IDX:""&amp;A1272,""price"")"),488.0)</f>
        <v>488</v>
      </c>
      <c r="D1272" s="16" t="str">
        <f>IFERROR(__xludf.DUMMYFUNCTION("IF(A1272="""","""",
SPARKLINE(
INDEX(
GOOGLEFINANCE(""IDX:""&amp;A1272,""close"",TODAY()-365,TODAY()),
,2
),
{""linewidth"",1}
))
"),"#N/A")</f>
        <v>#N/A</v>
      </c>
      <c r="E1272" s="26"/>
      <c r="F1272" s="26"/>
      <c r="G1272" s="24">
        <f t="shared" si="8"/>
        <v>0</v>
      </c>
      <c r="H1272" s="19">
        <f>VLOOKUP(A1272,Metrik!$C$2:$Y$959,8,0)</f>
        <v>9.8</v>
      </c>
      <c r="I1272" s="20">
        <f>VLOOKUP(A1272,Metrik!$C$2:$Y$959,9,0)</f>
        <v>0.64</v>
      </c>
      <c r="J1272" s="20">
        <f>VLOOKUP(A1272,Metrik!$C$2:$Y$959,10,0)</f>
        <v>6.6</v>
      </c>
      <c r="K1272" s="20">
        <f>VLOOKUP(A1272,Metrik!$C$2:$Y$959,11,0)</f>
        <v>4.9</v>
      </c>
      <c r="L1272" s="20">
        <f>VLOOKUP(A1272,Metrik!$C$2:$Y$959,12,0)</f>
        <v>0.35</v>
      </c>
      <c r="M1272" s="20">
        <f>VLOOKUP(A1272,Metrik!$C$2:$Y$959,19,0)</f>
        <v>110</v>
      </c>
      <c r="N1272" s="21"/>
      <c r="O1272" s="21"/>
      <c r="P1272" s="21"/>
      <c r="Q1272" s="21"/>
      <c r="R1272" s="21"/>
      <c r="S1272" s="21"/>
      <c r="T1272" s="21"/>
      <c r="U1272" s="22">
        <f>IFERROR(__xludf.DUMMYFUNCTION("IFERROR(GOOGLEFINANCE(A1272,""closeyest""),"""")"),353.5)</f>
        <v>353.5</v>
      </c>
      <c r="V1272" s="23">
        <f>IFERROR(__xludf.DUMMYFUNCTION("IFERROR(GOOGLEFINANCE(A1272,""changepct""),"""")"),-0.76)</f>
        <v>-0.76</v>
      </c>
      <c r="W1272" s="22">
        <f>IFERROR(__xludf.DUMMYFUNCTION("IFERROR(GOOGLEFINANCE(A1272,""priceopen""),"""")"),355.9)</f>
        <v>355.9</v>
      </c>
      <c r="X1272" s="22">
        <f>IFERROR(__xludf.DUMMYFUNCTION("IFERROR(GOOGLEFINANCE(A1272,""high""),"""")"),355.9)</f>
        <v>355.9</v>
      </c>
      <c r="Y1272" s="22">
        <f>IFERROR(__xludf.DUMMYFUNCTION("IFERROR(GOOGLEFINANCE(A1272,""low""),"""")"),350.8)</f>
        <v>350.8</v>
      </c>
      <c r="Z1272" s="22">
        <f>IFERROR(__xludf.DUMMYFUNCTION("IFERROR(GOOGLEFINANCE(A1272,""volume""),"""")"),1.0)</f>
        <v>1</v>
      </c>
      <c r="AA1272" s="24" t="str">
        <f>VLOOKUP(A1272,Metrik!$C$2:$Y$959,5,0)</f>
        <v>Real Estate Management &amp; Development</v>
      </c>
      <c r="AB1272" s="24" t="str">
        <f>VLOOKUP(A1272,Metrik!$C$2:$Y$959,3,0)</f>
        <v>Properties &amp; Real Estate</v>
      </c>
    </row>
    <row r="1273">
      <c r="A1273" s="14" t="s">
        <v>677</v>
      </c>
      <c r="B1273" s="14" t="str">
        <f t="array" ref="B1273">VLOOKUP(A1273,{Metrik!$C$2:$C$998,Metrik!$B$2:$B$998},2,0)</f>
        <v>Murni Sadar Tbk.</v>
      </c>
      <c r="C1273" s="15">
        <f>IFERROR(__xludf.DUMMYFUNCTION("GOOGLEFINANCE(""IDX:""&amp;A1273,""price"")"),985.0)</f>
        <v>985</v>
      </c>
      <c r="D1273" s="16" t="str">
        <f>IFERROR(__xludf.DUMMYFUNCTION("IF(A1273="""","""",
SPARKLINE(
INDEX(
GOOGLEFINANCE(""IDX:""&amp;A1273,""close"",TODAY()-365,TODAY()),
,2
),
{""linewidth"",1}
))
"),"#N/A")</f>
        <v>#N/A</v>
      </c>
      <c r="E1273" s="26"/>
      <c r="F1273" s="26"/>
      <c r="G1273" s="24">
        <f t="shared" si="8"/>
        <v>0</v>
      </c>
      <c r="H1273" s="19">
        <f>VLOOKUP(A1273,Metrik!$C$2:$Y$959,8,0)</f>
        <v>48.1</v>
      </c>
      <c r="I1273" s="20">
        <f>VLOOKUP(A1273,Metrik!$C$2:$Y$959,9,0)</f>
        <v>1.3</v>
      </c>
      <c r="J1273" s="20">
        <f>VLOOKUP(A1273,Metrik!$C$2:$Y$959,10,0)</f>
        <v>2.6</v>
      </c>
      <c r="K1273" s="20">
        <f>VLOOKUP(A1273,Metrik!$C$2:$Y$959,11,0)</f>
        <v>1.5</v>
      </c>
      <c r="L1273" s="20">
        <f>VLOOKUP(A1273,Metrik!$C$2:$Y$959,12,0)</f>
        <v>0.79</v>
      </c>
      <c r="M1273" s="20">
        <f>VLOOKUP(A1273,Metrik!$C$2:$Y$959,19,0)</f>
        <v>10.7</v>
      </c>
      <c r="N1273" s="21"/>
      <c r="O1273" s="21"/>
      <c r="P1273" s="21"/>
      <c r="Q1273" s="21"/>
      <c r="R1273" s="21"/>
      <c r="S1273" s="21"/>
      <c r="T1273" s="21"/>
      <c r="U1273" s="22">
        <f>IFERROR(__xludf.DUMMYFUNCTION("IFERROR(GOOGLEFINANCE(A1273,""closeyest""),"""")"),930.0)</f>
        <v>930</v>
      </c>
      <c r="V1273" s="23">
        <f>IFERROR(__xludf.DUMMYFUNCTION("IFERROR(GOOGLEFINANCE(A1273,""changepct""),"""")"),5.91)</f>
        <v>5.91</v>
      </c>
      <c r="W1273" s="22">
        <f>IFERROR(__xludf.DUMMYFUNCTION("IFERROR(GOOGLEFINANCE(A1273,""priceopen""),"""")"),935.0)</f>
        <v>935</v>
      </c>
      <c r="X1273" s="22">
        <f>IFERROR(__xludf.DUMMYFUNCTION("IFERROR(GOOGLEFINANCE(A1273,""high""),"""")"),1000.0)</f>
        <v>1000</v>
      </c>
      <c r="Y1273" s="22" t="str">
        <f>IFERROR(__xludf.DUMMYFUNCTION("IFERROR(GOOGLEFINANCE(A1273,""low""),"""")"),"")</f>
        <v/>
      </c>
      <c r="Z1273" s="22">
        <f>IFERROR(__xludf.DUMMYFUNCTION("IFERROR(GOOGLEFINANCE(A1273,""volume""),"""")"),5000.0)</f>
        <v>5000</v>
      </c>
      <c r="AA1273" s="24" t="str">
        <f>VLOOKUP(A1273,Metrik!$C$2:$Y$959,5,0)</f>
        <v>Healthcare Providers</v>
      </c>
      <c r="AB1273" s="24" t="str">
        <f>VLOOKUP(A1273,Metrik!$C$2:$Y$959,3,0)</f>
        <v>Healthcare</v>
      </c>
    </row>
    <row r="1274">
      <c r="A1274" s="14" t="s">
        <v>678</v>
      </c>
      <c r="B1274" s="14" t="str">
        <f t="array" ref="B1274">VLOOKUP(A1274,{Metrik!$C$2:$C$998,Metrik!$B$2:$B$998},2,0)</f>
        <v>Meta Epsi Tbk.</v>
      </c>
      <c r="C1274" s="15">
        <f>IFERROR(__xludf.DUMMYFUNCTION("GOOGLEFINANCE(""IDX:""&amp;A1274,""price"")"),81.0)</f>
        <v>81</v>
      </c>
      <c r="D1274" s="16" t="str">
        <f>IFERROR(__xludf.DUMMYFUNCTION("IF(A1274="""","""",
SPARKLINE(
INDEX(
GOOGLEFINANCE(""IDX:""&amp;A1274,""close"",TODAY()-365,TODAY()),
,2
),
{""linewidth"",1}
))
"),"#N/A")</f>
        <v>#N/A</v>
      </c>
      <c r="E1274" s="26"/>
      <c r="F1274" s="26"/>
      <c r="G1274" s="24">
        <f t="shared" si="8"/>
        <v>0</v>
      </c>
      <c r="H1274" s="19">
        <f>VLOOKUP(A1274,Metrik!$C$2:$Y$959,8,0)</f>
        <v>-55.8</v>
      </c>
      <c r="I1274" s="20">
        <f>VLOOKUP(A1274,Metrik!$C$2:$Y$959,9,0)</f>
        <v>4.3</v>
      </c>
      <c r="J1274" s="20">
        <f>VLOOKUP(A1274,Metrik!$C$2:$Y$959,10,0)</f>
        <v>-7.6</v>
      </c>
      <c r="K1274" s="20">
        <f>VLOOKUP(A1274,Metrik!$C$2:$Y$959,11,0)</f>
        <v>-3.8</v>
      </c>
      <c r="L1274" s="20">
        <f>VLOOKUP(A1274,Metrik!$C$2:$Y$959,12,0)</f>
        <v>0.99</v>
      </c>
      <c r="M1274" s="20">
        <f>VLOOKUP(A1274,Metrik!$C$2:$Y$959,19,0)</f>
        <v>0</v>
      </c>
      <c r="N1274" s="21"/>
      <c r="O1274" s="21"/>
      <c r="P1274" s="21"/>
      <c r="Q1274" s="21"/>
      <c r="R1274" s="21"/>
      <c r="S1274" s="21"/>
      <c r="T1274" s="21"/>
      <c r="U1274" s="22">
        <f>IFERROR(__xludf.DUMMYFUNCTION("IFERROR(GOOGLEFINANCE(A1274,""closeyest""),"""")"),81.0)</f>
        <v>81</v>
      </c>
      <c r="V1274" s="23">
        <f>IFERROR(__xludf.DUMMYFUNCTION("IFERROR(GOOGLEFINANCE(A1274,""changepct""),"""")"),0.0)</f>
        <v>0</v>
      </c>
      <c r="W1274" s="22" t="str">
        <f>IFERROR(__xludf.DUMMYFUNCTION("IFERROR(GOOGLEFINANCE(A1274,""priceopen""),"""")"),"")</f>
        <v/>
      </c>
      <c r="X1274" s="22" t="str">
        <f>IFERROR(__xludf.DUMMYFUNCTION("IFERROR(GOOGLEFINANCE(A1274,""high""),"""")"),"")</f>
        <v/>
      </c>
      <c r="Y1274" s="22" t="str">
        <f>IFERROR(__xludf.DUMMYFUNCTION("IFERROR(GOOGLEFINANCE(A1274,""low""),"""")"),"")</f>
        <v/>
      </c>
      <c r="Z1274" s="22">
        <f>IFERROR(__xludf.DUMMYFUNCTION("IFERROR(GOOGLEFINANCE(A1274,""volume""),"""")"),0.0)</f>
        <v>0</v>
      </c>
      <c r="AA1274" s="24" t="str">
        <f>VLOOKUP(A1274,Metrik!$C$2:$Y$959,5,0)</f>
        <v>Heavy Constructions &amp; Civil Engineering</v>
      </c>
      <c r="AB1274" s="24" t="str">
        <f>VLOOKUP(A1274,Metrik!$C$2:$Y$959,3,0)</f>
        <v>Infrastructures</v>
      </c>
    </row>
    <row r="1275">
      <c r="A1275" s="14" t="s">
        <v>679</v>
      </c>
      <c r="B1275" s="14" t="str">
        <f t="array" ref="B1275">VLOOKUP(A1275,{Metrik!$C$2:$C$998,Metrik!$B$2:$B$998},2,0)</f>
        <v>PT Mitra Pemuda Tbk.</v>
      </c>
      <c r="C1275" s="15">
        <f>IFERROR(__xludf.DUMMYFUNCTION("GOOGLEFINANCE(""IDX:""&amp;A1275,""price"")"),244.0)</f>
        <v>244</v>
      </c>
      <c r="D1275" s="16" t="str">
        <f>IFERROR(__xludf.DUMMYFUNCTION("IF(A1275="""","""",
SPARKLINE(
INDEX(
GOOGLEFINANCE(""IDX:""&amp;A1275,""close"",TODAY()-365,TODAY()),
,2
),
{""linewidth"",1}
))
"),"#N/A")</f>
        <v>#N/A</v>
      </c>
      <c r="E1275" s="26"/>
      <c r="F1275" s="26"/>
      <c r="G1275" s="24">
        <f t="shared" si="8"/>
        <v>0</v>
      </c>
      <c r="H1275" s="19">
        <f>VLOOKUP(A1275,Metrik!$C$2:$Y$959,8,0)</f>
        <v>0</v>
      </c>
      <c r="I1275" s="20">
        <f>VLOOKUP(A1275,Metrik!$C$2:$Y$959,9,0)</f>
        <v>-2.6</v>
      </c>
      <c r="J1275" s="20">
        <f>VLOOKUP(A1275,Metrik!$C$2:$Y$959,10,0)</f>
        <v>0</v>
      </c>
      <c r="K1275" s="20">
        <f>VLOOKUP(A1275,Metrik!$C$2:$Y$959,11,0)</f>
        <v>-56.6</v>
      </c>
      <c r="L1275" s="20">
        <f>VLOOKUP(A1275,Metrik!$C$2:$Y$959,12,0)</f>
        <v>-2.9</v>
      </c>
      <c r="M1275" s="20">
        <f>VLOOKUP(A1275,Metrik!$C$2:$Y$959,19,0)</f>
        <v>-1460</v>
      </c>
      <c r="N1275" s="21"/>
      <c r="O1275" s="21"/>
      <c r="P1275" s="21"/>
      <c r="Q1275" s="21"/>
      <c r="R1275" s="21"/>
      <c r="S1275" s="21"/>
      <c r="T1275" s="21"/>
      <c r="U1275" s="22">
        <f>IFERROR(__xludf.DUMMYFUNCTION("IFERROR(GOOGLEFINANCE(A1275,""closeyest""),"""")"),26.4)</f>
        <v>26.4</v>
      </c>
      <c r="V1275" s="23">
        <f>IFERROR(__xludf.DUMMYFUNCTION("IFERROR(GOOGLEFINANCE(A1275,""changepct""),"""")"),0.36)</f>
        <v>0.36</v>
      </c>
      <c r="W1275" s="22">
        <f>IFERROR(__xludf.DUMMYFUNCTION("IFERROR(GOOGLEFINANCE(A1275,""priceopen""),"""")"),26.4)</f>
        <v>26.4</v>
      </c>
      <c r="X1275" s="22">
        <f>IFERROR(__xludf.DUMMYFUNCTION("IFERROR(GOOGLEFINANCE(A1275,""high""),"""")"),26.49)</f>
        <v>26.49</v>
      </c>
      <c r="Y1275" s="22">
        <f>IFERROR(__xludf.DUMMYFUNCTION("IFERROR(GOOGLEFINANCE(A1275,""low""),"""")"),26.4)</f>
        <v>26.4</v>
      </c>
      <c r="Z1275" s="22">
        <f>IFERROR(__xludf.DUMMYFUNCTION("IFERROR(GOOGLEFINANCE(A1275,""volume""),"""")"),38.0)</f>
        <v>38</v>
      </c>
      <c r="AA1275" s="24" t="str">
        <f>VLOOKUP(A1275,Metrik!$C$2:$Y$959,5,0)</f>
        <v>Heavy Constructions &amp; Civil Engineering</v>
      </c>
      <c r="AB1275" s="24" t="str">
        <f>VLOOKUP(A1275,Metrik!$C$2:$Y$959,3,0)</f>
        <v>Infrastructures</v>
      </c>
    </row>
    <row r="1276">
      <c r="A1276" s="14" t="s">
        <v>680</v>
      </c>
      <c r="B1276" s="14" t="str">
        <f t="array" ref="B1276">VLOOKUP(A1276,{Metrik!$C$2:$C$998,Metrik!$B$2:$B$998},2,0)</f>
        <v>Metro Realty Tbk.</v>
      </c>
      <c r="C1276" s="15">
        <f>IFERROR(__xludf.DUMMYFUNCTION("GOOGLEFINANCE(""IDX:""&amp;A1276,""price"")"),500.0)</f>
        <v>500</v>
      </c>
      <c r="D1276" s="16" t="str">
        <f>IFERROR(__xludf.DUMMYFUNCTION("IF(A1276="""","""",
SPARKLINE(
INDEX(
GOOGLEFINANCE(""IDX:""&amp;A1276,""close"",TODAY()-365,TODAY()),
,2
),
{""linewidth"",1}
))
"),"#N/A")</f>
        <v>#N/A</v>
      </c>
      <c r="E1276" s="26"/>
      <c r="F1276" s="26"/>
      <c r="G1276" s="24">
        <f t="shared" si="8"/>
        <v>0</v>
      </c>
      <c r="H1276" s="19">
        <f>VLOOKUP(A1276,Metrik!$C$2:$Y$959,8,0)</f>
        <v>-1970</v>
      </c>
      <c r="I1276" s="20">
        <f>VLOOKUP(A1276,Metrik!$C$2:$Y$959,9,0)</f>
        <v>4.1</v>
      </c>
      <c r="J1276" s="20">
        <f>VLOOKUP(A1276,Metrik!$C$2:$Y$959,10,0)</f>
        <v>-0.21</v>
      </c>
      <c r="K1276" s="20">
        <f>VLOOKUP(A1276,Metrik!$C$2:$Y$959,11,0)</f>
        <v>-0.13</v>
      </c>
      <c r="L1276" s="20">
        <f>VLOOKUP(A1276,Metrik!$C$2:$Y$959,12,0)</f>
        <v>0.62</v>
      </c>
      <c r="M1276" s="20">
        <f>VLOOKUP(A1276,Metrik!$C$2:$Y$959,19,0)</f>
        <v>-0.18</v>
      </c>
      <c r="N1276" s="21"/>
      <c r="O1276" s="21"/>
      <c r="P1276" s="21"/>
      <c r="Q1276" s="21"/>
      <c r="R1276" s="21"/>
      <c r="S1276" s="21"/>
      <c r="T1276" s="21"/>
      <c r="U1276" s="22">
        <f>IFERROR(__xludf.DUMMYFUNCTION("IFERROR(GOOGLEFINANCE(A1276,""closeyest""),"""")"),500.0)</f>
        <v>500</v>
      </c>
      <c r="V1276" s="23">
        <f>IFERROR(__xludf.DUMMYFUNCTION("IFERROR(GOOGLEFINANCE(A1276,""changepct""),"""")"),0.0)</f>
        <v>0</v>
      </c>
      <c r="W1276" s="22" t="str">
        <f>IFERROR(__xludf.DUMMYFUNCTION("IFERROR(GOOGLEFINANCE(A1276,""priceopen""),"""")"),"")</f>
        <v/>
      </c>
      <c r="X1276" s="22" t="str">
        <f>IFERROR(__xludf.DUMMYFUNCTION("IFERROR(GOOGLEFINANCE(A1276,""high""),"""")"),"")</f>
        <v/>
      </c>
      <c r="Y1276" s="22" t="str">
        <f>IFERROR(__xludf.DUMMYFUNCTION("IFERROR(GOOGLEFINANCE(A1276,""low""),"""")"),"")</f>
        <v/>
      </c>
      <c r="Z1276" s="22">
        <f>IFERROR(__xludf.DUMMYFUNCTION("IFERROR(GOOGLEFINANCE(A1276,""volume""),"""")"),0.0)</f>
        <v>0</v>
      </c>
      <c r="AA1276" s="24" t="str">
        <f>VLOOKUP(A1276,Metrik!$C$2:$Y$959,5,0)</f>
        <v>Real Estate Management &amp; Development</v>
      </c>
      <c r="AB1276" s="24" t="str">
        <f>VLOOKUP(A1276,Metrik!$C$2:$Y$959,3,0)</f>
        <v>Properties &amp; Real Estate</v>
      </c>
    </row>
    <row r="1277">
      <c r="A1277" s="14" t="s">
        <v>681</v>
      </c>
      <c r="B1277" s="14" t="str">
        <f t="array" ref="B1277">VLOOKUP(A1277,{Metrik!$C$2:$C$998,Metrik!$B$2:$B$998},2,0)</f>
        <v>Malacca Trust Wuwungan Insurance Tbk.</v>
      </c>
      <c r="C1277" s="15">
        <f>IFERROR(__xludf.DUMMYFUNCTION("GOOGLEFINANCE(""IDX:""&amp;A1277,""price"")"),266.0)</f>
        <v>266</v>
      </c>
      <c r="D1277" s="16" t="str">
        <f>IFERROR(__xludf.DUMMYFUNCTION("IF(A1277="""","""",
SPARKLINE(
INDEX(
GOOGLEFINANCE(""IDX:""&amp;A1277,""close"",TODAY()-365,TODAY()),
,2
),
{""linewidth"",1}
))
"),"#N/A")</f>
        <v>#N/A</v>
      </c>
      <c r="E1277" s="26"/>
      <c r="F1277" s="26"/>
      <c r="G1277" s="24">
        <f t="shared" si="8"/>
        <v>0</v>
      </c>
      <c r="H1277" s="19">
        <f>VLOOKUP(A1277,Metrik!$C$2:$Y$959,8,0)</f>
        <v>15.3</v>
      </c>
      <c r="I1277" s="20">
        <f>VLOOKUP(A1277,Metrik!$C$2:$Y$959,9,0)</f>
        <v>1.9</v>
      </c>
      <c r="J1277" s="20">
        <f>VLOOKUP(A1277,Metrik!$C$2:$Y$959,10,0)</f>
        <v>12.3</v>
      </c>
      <c r="K1277" s="20">
        <f>VLOOKUP(A1277,Metrik!$C$2:$Y$959,11,0)</f>
        <v>1.5</v>
      </c>
      <c r="L1277" s="20">
        <f>VLOOKUP(A1277,Metrik!$C$2:$Y$959,12,0)</f>
        <v>7</v>
      </c>
      <c r="M1277" s="20">
        <f>VLOOKUP(A1277,Metrik!$C$2:$Y$959,19,0)</f>
        <v>10.4</v>
      </c>
      <c r="N1277" s="21"/>
      <c r="O1277" s="21"/>
      <c r="P1277" s="21"/>
      <c r="Q1277" s="21"/>
      <c r="R1277" s="21"/>
      <c r="S1277" s="21"/>
      <c r="T1277" s="21"/>
      <c r="U1277" s="22">
        <f>IFERROR(__xludf.DUMMYFUNCTION("IFERROR(GOOGLEFINANCE(A1277,""closeyest""),"""")"),257.86)</f>
        <v>257.86</v>
      </c>
      <c r="V1277" s="23">
        <f>IFERROR(__xludf.DUMMYFUNCTION("IFERROR(GOOGLEFINANCE(A1277,""changepct""),"""")"),3.16)</f>
        <v>3.16</v>
      </c>
      <c r="W1277" s="22">
        <f>IFERROR(__xludf.DUMMYFUNCTION("IFERROR(GOOGLEFINANCE(A1277,""priceopen""),"""")"),258.0)</f>
        <v>258</v>
      </c>
      <c r="X1277" s="22">
        <f>IFERROR(__xludf.DUMMYFUNCTION("IFERROR(GOOGLEFINANCE(A1277,""high""),"""")"),266.0)</f>
        <v>266</v>
      </c>
      <c r="Y1277" s="22">
        <f>IFERROR(__xludf.DUMMYFUNCTION("IFERROR(GOOGLEFINANCE(A1277,""low""),"""")"),246.0)</f>
        <v>246</v>
      </c>
      <c r="Z1277" s="22">
        <f>IFERROR(__xludf.DUMMYFUNCTION("IFERROR(GOOGLEFINANCE(A1277,""volume""),"""")"),15900.0)</f>
        <v>15900</v>
      </c>
      <c r="AA1277" s="24" t="str">
        <f>VLOOKUP(A1277,Metrik!$C$2:$Y$959,5,0)</f>
        <v>Insurance</v>
      </c>
      <c r="AB1277" s="24" t="str">
        <f>VLOOKUP(A1277,Metrik!$C$2:$Y$959,3,0)</f>
        <v>Financials</v>
      </c>
    </row>
    <row r="1278">
      <c r="A1278" s="14" t="s">
        <v>682</v>
      </c>
      <c r="B1278" s="14" t="str">
        <f t="array" ref="B1278">VLOOKUP(A1278,{Metrik!$C$2:$C$998,Metrik!$B$2:$B$998},2,0)</f>
        <v>PT Mutuagung Lestari Tbk</v>
      </c>
      <c r="C1278" s="15">
        <f>IFERROR(__xludf.DUMMYFUNCTION("GOOGLEFINANCE(""IDX:""&amp;A1278,""price"")"),105.0)</f>
        <v>105</v>
      </c>
      <c r="D1278" s="16" t="str">
        <f>IFERROR(__xludf.DUMMYFUNCTION("IF(A1278="""","""",
SPARKLINE(
INDEX(
GOOGLEFINANCE(""IDX:""&amp;A1278,""close"",TODAY()-365,TODAY()),
,2
),
{""linewidth"",1}
))
"),"#N/A")</f>
        <v>#N/A</v>
      </c>
      <c r="E1278" s="26"/>
      <c r="F1278" s="26"/>
      <c r="G1278" s="24">
        <f t="shared" si="8"/>
        <v>0</v>
      </c>
      <c r="H1278" s="19">
        <f>VLOOKUP(A1278,Metrik!$C$2:$Y$959,8,0)</f>
        <v>14.2</v>
      </c>
      <c r="I1278" s="20">
        <f>VLOOKUP(A1278,Metrik!$C$2:$Y$959,9,0)</f>
        <v>1.4</v>
      </c>
      <c r="J1278" s="20">
        <f>VLOOKUP(A1278,Metrik!$C$2:$Y$959,10,0)</f>
        <v>9.8</v>
      </c>
      <c r="K1278" s="20">
        <f>VLOOKUP(A1278,Metrik!$C$2:$Y$959,11,0)</f>
        <v>7</v>
      </c>
      <c r="L1278" s="20">
        <f>VLOOKUP(A1278,Metrik!$C$2:$Y$959,12,0)</f>
        <v>0.39</v>
      </c>
      <c r="M1278" s="20">
        <f>VLOOKUP(A1278,Metrik!$C$2:$Y$959,19,0)</f>
        <v>34</v>
      </c>
      <c r="N1278" s="21"/>
      <c r="O1278" s="21"/>
      <c r="P1278" s="21"/>
      <c r="Q1278" s="21"/>
      <c r="R1278" s="21"/>
      <c r="S1278" s="21"/>
      <c r="T1278" s="21"/>
      <c r="U1278" s="22">
        <f>IFERROR(__xludf.DUMMYFUNCTION("IFERROR(GOOGLEFINANCE(A1278,""closeyest""),"""")"),105.0)</f>
        <v>105</v>
      </c>
      <c r="V1278" s="23">
        <f>IFERROR(__xludf.DUMMYFUNCTION("IFERROR(GOOGLEFINANCE(A1278,""changepct""),"""")"),0.0)</f>
        <v>0</v>
      </c>
      <c r="W1278" s="22">
        <f>IFERROR(__xludf.DUMMYFUNCTION("IFERROR(GOOGLEFINANCE(A1278,""priceopen""),"""")"),107.0)</f>
        <v>107</v>
      </c>
      <c r="X1278" s="22">
        <f>IFERROR(__xludf.DUMMYFUNCTION("IFERROR(GOOGLEFINANCE(A1278,""high""),"""")"),110.0)</f>
        <v>110</v>
      </c>
      <c r="Y1278" s="22">
        <f>IFERROR(__xludf.DUMMYFUNCTION("IFERROR(GOOGLEFINANCE(A1278,""low""),"""")"),105.0)</f>
        <v>105</v>
      </c>
      <c r="Z1278" s="22">
        <f>IFERROR(__xludf.DUMMYFUNCTION("IFERROR(GOOGLEFINANCE(A1278,""volume""),"""")"),9337400.0)</f>
        <v>9337400</v>
      </c>
      <c r="AA1278" s="24" t="str">
        <f>VLOOKUP(A1278,Metrik!$C$2:$Y$959,5,0)</f>
        <v>Professional Services</v>
      </c>
      <c r="AB1278" s="24" t="str">
        <f>VLOOKUP(A1278,Metrik!$C$2:$Y$959,3,0)</f>
        <v>Industrials</v>
      </c>
    </row>
    <row r="1279">
      <c r="A1279" s="14" t="s">
        <v>683</v>
      </c>
      <c r="B1279" s="14" t="str">
        <f t="array" ref="B1279">VLOOKUP(A1279,{Metrik!$C$2:$C$998,Metrik!$B$2:$B$998},2,0)</f>
        <v>Samindo Resources Tbk</v>
      </c>
      <c r="C1279" s="15">
        <f>IFERROR(__xludf.DUMMYFUNCTION("GOOGLEFINANCE(""IDX:""&amp;A1279,""price"")"),1020.0)</f>
        <v>1020</v>
      </c>
      <c r="D1279" s="16" t="str">
        <f>IFERROR(__xludf.DUMMYFUNCTION("IF(A1279="""","""",
SPARKLINE(
INDEX(
GOOGLEFINANCE(""IDX:""&amp;A1279,""close"",TODAY()-365,TODAY()),
,2
),
{""linewidth"",1}
))
"),"#N/A")</f>
        <v>#N/A</v>
      </c>
      <c r="E1279" s="26"/>
      <c r="F1279" s="26"/>
      <c r="G1279" s="24">
        <f t="shared" si="8"/>
        <v>0</v>
      </c>
      <c r="H1279" s="19">
        <f>VLOOKUP(A1279,Metrik!$C$2:$Y$959,8,0)</f>
        <v>10.3</v>
      </c>
      <c r="I1279" s="20">
        <f>VLOOKUP(A1279,Metrik!$C$2:$Y$959,9,0)</f>
        <v>0.82</v>
      </c>
      <c r="J1279" s="20">
        <f>VLOOKUP(A1279,Metrik!$C$2:$Y$959,10,0)</f>
        <v>8</v>
      </c>
      <c r="K1279" s="20">
        <f>VLOOKUP(A1279,Metrik!$C$2:$Y$959,11,0)</f>
        <v>6.7</v>
      </c>
      <c r="L1279" s="20">
        <f>VLOOKUP(A1279,Metrik!$C$2:$Y$959,12,0)</f>
        <v>0.21</v>
      </c>
      <c r="M1279" s="20">
        <f>VLOOKUP(A1279,Metrik!$C$2:$Y$959,19,0)</f>
        <v>36.2</v>
      </c>
      <c r="N1279" s="21"/>
      <c r="O1279" s="21"/>
      <c r="P1279" s="21"/>
      <c r="Q1279" s="21"/>
      <c r="R1279" s="21"/>
      <c r="S1279" s="21"/>
      <c r="T1279" s="21"/>
      <c r="U1279" s="22">
        <f>IFERROR(__xludf.DUMMYFUNCTION("IFERROR(GOOGLEFINANCE(A1279,""closeyest""),"""")"),1050.0)</f>
        <v>1050</v>
      </c>
      <c r="V1279" s="23">
        <f>IFERROR(__xludf.DUMMYFUNCTION("IFERROR(GOOGLEFINANCE(A1279,""changepct""),"""")"),-2.86)</f>
        <v>-2.86</v>
      </c>
      <c r="W1279" s="22">
        <f>IFERROR(__xludf.DUMMYFUNCTION("IFERROR(GOOGLEFINANCE(A1279,""priceopen""),"""")"),1050.0)</f>
        <v>1050</v>
      </c>
      <c r="X1279" s="22">
        <f>IFERROR(__xludf.DUMMYFUNCTION("IFERROR(GOOGLEFINANCE(A1279,""high""),"""")"),1080.0)</f>
        <v>1080</v>
      </c>
      <c r="Y1279" s="22">
        <f>IFERROR(__xludf.DUMMYFUNCTION("IFERROR(GOOGLEFINANCE(A1279,""low""),"""")"),980.0)</f>
        <v>980</v>
      </c>
      <c r="Z1279" s="22">
        <f>IFERROR(__xludf.DUMMYFUNCTION("IFERROR(GOOGLEFINANCE(A1279,""volume""),"""")"),63200.0)</f>
        <v>63200</v>
      </c>
      <c r="AA1279" s="24" t="str">
        <f>VLOOKUP(A1279,Metrik!$C$2:$Y$959,5,0)</f>
        <v>Oil, Gas &amp; Coal Supports</v>
      </c>
      <c r="AB1279" s="24" t="str">
        <f>VLOOKUP(A1279,Metrik!$C$2:$Y$959,3,0)</f>
        <v>Energy</v>
      </c>
    </row>
    <row r="1280">
      <c r="A1280" s="17" t="s">
        <v>684</v>
      </c>
      <c r="B1280" s="14" t="str">
        <f t="array" ref="B1280">VLOOKUP(A1280,{Metrik!$C$2:$C$998,Metrik!$B$2:$B$998},2,0)</f>
        <v>Mayora Indah Tbk.</v>
      </c>
      <c r="C1280" s="15">
        <f>IFERROR(__xludf.DUMMYFUNCTION("GOOGLEFINANCE(""IDX:""&amp;A1280,""price"")"),1700.0)</f>
        <v>1700</v>
      </c>
      <c r="D1280" s="16" t="str">
        <f>IFERROR(__xludf.DUMMYFUNCTION("IF(A1280="""","""",
SPARKLINE(
INDEX(
GOOGLEFINANCE(""IDX:""&amp;A1280,""close"",TODAY()-365,TODAY()),
,2
),
{""linewidth"",1}
))
"),"#N/A")</f>
        <v>#N/A</v>
      </c>
      <c r="E1280" s="14" t="s">
        <v>47</v>
      </c>
      <c r="F1280" s="25">
        <v>46356.0</v>
      </c>
      <c r="G1280" s="18">
        <f t="shared" si="8"/>
        <v>10</v>
      </c>
      <c r="H1280" s="19">
        <f>VLOOKUP(A1280,Metrik!$C$2:$Y$959,8,0)</f>
        <v>13.2</v>
      </c>
      <c r="I1280" s="20">
        <f>VLOOKUP(A1280,Metrik!$C$2:$Y$959,9,0)</f>
        <v>2.1</v>
      </c>
      <c r="J1280" s="20">
        <f>VLOOKUP(A1280,Metrik!$C$2:$Y$959,10,0)</f>
        <v>16.3</v>
      </c>
      <c r="K1280" s="20">
        <f>VLOOKUP(A1280,Metrik!$C$2:$Y$959,11,0)</f>
        <v>10.9</v>
      </c>
      <c r="L1280" s="20">
        <f>VLOOKUP(A1280,Metrik!$C$2:$Y$959,12,0)</f>
        <v>0.49</v>
      </c>
      <c r="M1280" s="20">
        <f>VLOOKUP(A1280,Metrik!$C$2:$Y$959,19,0)</f>
        <v>33.2</v>
      </c>
      <c r="N1280" s="21"/>
      <c r="O1280" s="21"/>
      <c r="P1280" s="21"/>
      <c r="Q1280" s="21"/>
      <c r="R1280" s="21"/>
      <c r="S1280" s="21"/>
      <c r="T1280" s="21"/>
      <c r="U1280" s="22">
        <f>IFERROR(__xludf.DUMMYFUNCTION("IFERROR(GOOGLEFINANCE(A1280,""closeyest""),"""")"),1645.0)</f>
        <v>1645</v>
      </c>
      <c r="V1280" s="23">
        <f>IFERROR(__xludf.DUMMYFUNCTION("IFERROR(GOOGLEFINANCE(A1280,""changepct""),"""")"),3.34)</f>
        <v>3.34</v>
      </c>
      <c r="W1280" s="22">
        <f>IFERROR(__xludf.DUMMYFUNCTION("IFERROR(GOOGLEFINANCE(A1280,""priceopen""),"""")"),1645.0)</f>
        <v>1645</v>
      </c>
      <c r="X1280" s="22">
        <f>IFERROR(__xludf.DUMMYFUNCTION("IFERROR(GOOGLEFINANCE(A1280,""high""),"""")"),1700.0)</f>
        <v>1700</v>
      </c>
      <c r="Y1280" s="22">
        <f>IFERROR(__xludf.DUMMYFUNCTION("IFERROR(GOOGLEFINANCE(A1280,""low""),"""")"),1630.0)</f>
        <v>1630</v>
      </c>
      <c r="Z1280" s="22">
        <f>IFERROR(__xludf.DUMMYFUNCTION("IFERROR(GOOGLEFINANCE(A1280,""volume""),"""")"),7817400.0)</f>
        <v>7817400</v>
      </c>
      <c r="AA1280" s="24" t="str">
        <f>VLOOKUP(A1280,Metrik!$C$2:$Y$959,5,0)</f>
        <v>Processed Foods</v>
      </c>
      <c r="AB1280" s="24" t="str">
        <f>VLOOKUP(A1280,Metrik!$C$2:$Y$959,3,0)</f>
        <v>Consumer Non-Cyclicals</v>
      </c>
    </row>
    <row r="1281">
      <c r="A1281" s="14" t="s">
        <v>684</v>
      </c>
      <c r="B1281" s="14" t="str">
        <f t="array" ref="B1281">VLOOKUP(A1281,{Metrik!$C$2:$C$998,Metrik!$B$2:$B$998},2,0)</f>
        <v>Mayora Indah Tbk.</v>
      </c>
      <c r="C1281" s="15">
        <f>IFERROR(__xludf.DUMMYFUNCTION("GOOGLEFINANCE(""IDX:""&amp;A1281,""price"")"),1700.0)</f>
        <v>1700</v>
      </c>
      <c r="D1281" s="16" t="str">
        <f>IFERROR(__xludf.DUMMYFUNCTION("IF(A1281="""","""",
SPARKLINE(
INDEX(
GOOGLEFINANCE(""IDX:""&amp;A1281,""close"",TODAY()-365,TODAY()),
,2
),
{""linewidth"",1}
))
"),"#N/A")</f>
        <v>#N/A</v>
      </c>
      <c r="E1281" s="14" t="s">
        <v>42</v>
      </c>
      <c r="F1281" s="25">
        <v>46356.0</v>
      </c>
      <c r="G1281" s="24">
        <f t="shared" si="8"/>
        <v>10</v>
      </c>
      <c r="H1281" s="19">
        <f>VLOOKUP(A1281,Metrik!$C$2:$Y$959,8,0)</f>
        <v>13.2</v>
      </c>
      <c r="I1281" s="20">
        <f>VLOOKUP(A1281,Metrik!$C$2:$Y$959,9,0)</f>
        <v>2.1</v>
      </c>
      <c r="J1281" s="20">
        <f>VLOOKUP(A1281,Metrik!$C$2:$Y$959,10,0)</f>
        <v>16.3</v>
      </c>
      <c r="K1281" s="20">
        <f>VLOOKUP(A1281,Metrik!$C$2:$Y$959,11,0)</f>
        <v>10.9</v>
      </c>
      <c r="L1281" s="20">
        <f>VLOOKUP(A1281,Metrik!$C$2:$Y$959,12,0)</f>
        <v>0.49</v>
      </c>
      <c r="M1281" s="20">
        <f>VLOOKUP(A1281,Metrik!$C$2:$Y$959,19,0)</f>
        <v>33.2</v>
      </c>
      <c r="N1281" s="21"/>
      <c r="O1281" s="21"/>
      <c r="P1281" s="21"/>
      <c r="Q1281" s="21"/>
      <c r="R1281" s="21"/>
      <c r="S1281" s="21"/>
      <c r="T1281" s="21"/>
      <c r="U1281" s="22">
        <f>IFERROR(__xludf.DUMMYFUNCTION("IFERROR(GOOGLEFINANCE(A1281,""closeyest""),"""")"),1645.0)</f>
        <v>1645</v>
      </c>
      <c r="V1281" s="23">
        <f>IFERROR(__xludf.DUMMYFUNCTION("IFERROR(GOOGLEFINANCE(A1281,""changepct""),"""")"),3.34)</f>
        <v>3.34</v>
      </c>
      <c r="W1281" s="22">
        <f>IFERROR(__xludf.DUMMYFUNCTION("IFERROR(GOOGLEFINANCE(A1281,""priceopen""),"""")"),1645.0)</f>
        <v>1645</v>
      </c>
      <c r="X1281" s="22">
        <f>IFERROR(__xludf.DUMMYFUNCTION("IFERROR(GOOGLEFINANCE(A1281,""high""),"""")"),1700.0)</f>
        <v>1700</v>
      </c>
      <c r="Y1281" s="22">
        <f>IFERROR(__xludf.DUMMYFUNCTION("IFERROR(GOOGLEFINANCE(A1281,""low""),"""")"),1630.0)</f>
        <v>1630</v>
      </c>
      <c r="Z1281" s="22">
        <f>IFERROR(__xludf.DUMMYFUNCTION("IFERROR(GOOGLEFINANCE(A1281,""volume""),"""")"),7817400.0)</f>
        <v>7817400</v>
      </c>
      <c r="AA1281" s="24" t="str">
        <f>VLOOKUP(A1281,Metrik!$C$2:$Y$959,5,0)</f>
        <v>Processed Foods</v>
      </c>
      <c r="AB1281" s="24" t="str">
        <f>VLOOKUP(A1281,Metrik!$C$2:$Y$959,3,0)</f>
        <v>Consumer Non-Cyclicals</v>
      </c>
    </row>
    <row r="1282">
      <c r="A1282" s="14" t="s">
        <v>684</v>
      </c>
      <c r="B1282" s="14" t="str">
        <f t="array" ref="B1282">VLOOKUP(A1282,{Metrik!$C$2:$C$998,Metrik!$B$2:$B$998},2,0)</f>
        <v>Mayora Indah Tbk.</v>
      </c>
      <c r="C1282" s="15">
        <f>IFERROR(__xludf.DUMMYFUNCTION("GOOGLEFINANCE(""IDX:""&amp;A1282,""price"")"),1700.0)</f>
        <v>1700</v>
      </c>
      <c r="D1282" s="16" t="str">
        <f>IFERROR(__xludf.DUMMYFUNCTION("IF(A1282="""","""",
SPARKLINE(
INDEX(
GOOGLEFINANCE(""IDX:""&amp;A1282,""close"",TODAY()-365,TODAY()),
,2
),
{""linewidth"",1}
))
"),"#N/A")</f>
        <v>#N/A</v>
      </c>
      <c r="E1282" s="14" t="s">
        <v>54</v>
      </c>
      <c r="F1282" s="14" t="s">
        <v>34</v>
      </c>
      <c r="G1282" s="24">
        <f t="shared" si="8"/>
        <v>10</v>
      </c>
      <c r="H1282" s="19">
        <f>VLOOKUP(A1282,Metrik!$C$2:$Y$959,8,0)</f>
        <v>13.2</v>
      </c>
      <c r="I1282" s="20">
        <f>VLOOKUP(A1282,Metrik!$C$2:$Y$959,9,0)</f>
        <v>2.1</v>
      </c>
      <c r="J1282" s="20">
        <f>VLOOKUP(A1282,Metrik!$C$2:$Y$959,10,0)</f>
        <v>16.3</v>
      </c>
      <c r="K1282" s="20">
        <f>VLOOKUP(A1282,Metrik!$C$2:$Y$959,11,0)</f>
        <v>10.9</v>
      </c>
      <c r="L1282" s="20">
        <f>VLOOKUP(A1282,Metrik!$C$2:$Y$959,12,0)</f>
        <v>0.49</v>
      </c>
      <c r="M1282" s="20">
        <f>VLOOKUP(A1282,Metrik!$C$2:$Y$959,19,0)</f>
        <v>33.2</v>
      </c>
      <c r="N1282" s="21"/>
      <c r="O1282" s="21"/>
      <c r="P1282" s="21"/>
      <c r="Q1282" s="21"/>
      <c r="R1282" s="21"/>
      <c r="S1282" s="21"/>
      <c r="T1282" s="21"/>
      <c r="U1282" s="22">
        <f>IFERROR(__xludf.DUMMYFUNCTION("IFERROR(GOOGLEFINANCE(A1282,""closeyest""),"""")"),1645.0)</f>
        <v>1645</v>
      </c>
      <c r="V1282" s="23">
        <f>IFERROR(__xludf.DUMMYFUNCTION("IFERROR(GOOGLEFINANCE(A1282,""changepct""),"""")"),3.34)</f>
        <v>3.34</v>
      </c>
      <c r="W1282" s="22">
        <f>IFERROR(__xludf.DUMMYFUNCTION("IFERROR(GOOGLEFINANCE(A1282,""priceopen""),"""")"),1645.0)</f>
        <v>1645</v>
      </c>
      <c r="X1282" s="22">
        <f>IFERROR(__xludf.DUMMYFUNCTION("IFERROR(GOOGLEFINANCE(A1282,""high""),"""")"),1700.0)</f>
        <v>1700</v>
      </c>
      <c r="Y1282" s="22">
        <f>IFERROR(__xludf.DUMMYFUNCTION("IFERROR(GOOGLEFINANCE(A1282,""low""),"""")"),1630.0)</f>
        <v>1630</v>
      </c>
      <c r="Z1282" s="22">
        <f>IFERROR(__xludf.DUMMYFUNCTION("IFERROR(GOOGLEFINANCE(A1282,""volume""),"""")"),7817400.0)</f>
        <v>7817400</v>
      </c>
      <c r="AA1282" s="24" t="str">
        <f>VLOOKUP(A1282,Metrik!$C$2:$Y$959,5,0)</f>
        <v>Processed Foods</v>
      </c>
      <c r="AB1282" s="24" t="str">
        <f>VLOOKUP(A1282,Metrik!$C$2:$Y$959,3,0)</f>
        <v>Consumer Non-Cyclicals</v>
      </c>
    </row>
    <row r="1283">
      <c r="A1283" s="14" t="s">
        <v>684</v>
      </c>
      <c r="B1283" s="14" t="str">
        <f t="array" ref="B1283">VLOOKUP(A1283,{Metrik!$C$2:$C$998,Metrik!$B$2:$B$998},2,0)</f>
        <v>Mayora Indah Tbk.</v>
      </c>
      <c r="C1283" s="15">
        <f>IFERROR(__xludf.DUMMYFUNCTION("GOOGLEFINANCE(""IDX:""&amp;A1283,""price"")"),1700.0)</f>
        <v>1700</v>
      </c>
      <c r="D1283" s="16" t="str">
        <f>IFERROR(__xludf.DUMMYFUNCTION("IF(A1283="""","""",
SPARKLINE(
INDEX(
GOOGLEFINANCE(""IDX:""&amp;A1283,""close"",TODAY()-365,TODAY()),
,2
),
{""linewidth"",1}
))
"),"#N/A")</f>
        <v>#N/A</v>
      </c>
      <c r="E1283" s="14" t="s">
        <v>161</v>
      </c>
      <c r="F1283" s="14" t="s">
        <v>76</v>
      </c>
      <c r="G1283" s="24">
        <f t="shared" si="8"/>
        <v>10</v>
      </c>
      <c r="H1283" s="19">
        <f>VLOOKUP(A1283,Metrik!$C$2:$Y$959,8,0)</f>
        <v>13.2</v>
      </c>
      <c r="I1283" s="20">
        <f>VLOOKUP(A1283,Metrik!$C$2:$Y$959,9,0)</f>
        <v>2.1</v>
      </c>
      <c r="J1283" s="20">
        <f>VLOOKUP(A1283,Metrik!$C$2:$Y$959,10,0)</f>
        <v>16.3</v>
      </c>
      <c r="K1283" s="20">
        <f>VLOOKUP(A1283,Metrik!$C$2:$Y$959,11,0)</f>
        <v>10.9</v>
      </c>
      <c r="L1283" s="20">
        <f>VLOOKUP(A1283,Metrik!$C$2:$Y$959,12,0)</f>
        <v>0.49</v>
      </c>
      <c r="M1283" s="20">
        <f>VLOOKUP(A1283,Metrik!$C$2:$Y$959,19,0)</f>
        <v>33.2</v>
      </c>
      <c r="N1283" s="21"/>
      <c r="O1283" s="21"/>
      <c r="P1283" s="21"/>
      <c r="Q1283" s="21"/>
      <c r="R1283" s="21"/>
      <c r="S1283" s="21"/>
      <c r="T1283" s="21"/>
      <c r="U1283" s="22">
        <f>IFERROR(__xludf.DUMMYFUNCTION("IFERROR(GOOGLEFINANCE(A1283,""closeyest""),"""")"),1645.0)</f>
        <v>1645</v>
      </c>
      <c r="V1283" s="23">
        <f>IFERROR(__xludf.DUMMYFUNCTION("IFERROR(GOOGLEFINANCE(A1283,""changepct""),"""")"),3.34)</f>
        <v>3.34</v>
      </c>
      <c r="W1283" s="22">
        <f>IFERROR(__xludf.DUMMYFUNCTION("IFERROR(GOOGLEFINANCE(A1283,""priceopen""),"""")"),1645.0)</f>
        <v>1645</v>
      </c>
      <c r="X1283" s="22">
        <f>IFERROR(__xludf.DUMMYFUNCTION("IFERROR(GOOGLEFINANCE(A1283,""high""),"""")"),1700.0)</f>
        <v>1700</v>
      </c>
      <c r="Y1283" s="22">
        <f>IFERROR(__xludf.DUMMYFUNCTION("IFERROR(GOOGLEFINANCE(A1283,""low""),"""")"),1630.0)</f>
        <v>1630</v>
      </c>
      <c r="Z1283" s="22">
        <f>IFERROR(__xludf.DUMMYFUNCTION("IFERROR(GOOGLEFINANCE(A1283,""volume""),"""")"),7817400.0)</f>
        <v>7817400</v>
      </c>
      <c r="AA1283" s="24" t="str">
        <f>VLOOKUP(A1283,Metrik!$C$2:$Y$959,5,0)</f>
        <v>Processed Foods</v>
      </c>
      <c r="AB1283" s="24" t="str">
        <f>VLOOKUP(A1283,Metrik!$C$2:$Y$959,3,0)</f>
        <v>Consumer Non-Cyclicals</v>
      </c>
    </row>
    <row r="1284">
      <c r="A1284" s="14" t="s">
        <v>684</v>
      </c>
      <c r="B1284" s="14" t="str">
        <f t="array" ref="B1284">VLOOKUP(A1284,{Metrik!$C$2:$C$998,Metrik!$B$2:$B$998},2,0)</f>
        <v>Mayora Indah Tbk.</v>
      </c>
      <c r="C1284" s="15">
        <f>IFERROR(__xludf.DUMMYFUNCTION("GOOGLEFINANCE(""IDX:""&amp;A1284,""price"")"),1700.0)</f>
        <v>1700</v>
      </c>
      <c r="D1284" s="16" t="str">
        <f>IFERROR(__xludf.DUMMYFUNCTION("IF(A1284="""","""",
SPARKLINE(
INDEX(
GOOGLEFINANCE(""IDX:""&amp;A1284,""close"",TODAY()-365,TODAY()),
,2
),
{""linewidth"",1}
))
"),"#N/A")</f>
        <v>#N/A</v>
      </c>
      <c r="E1284" s="14" t="s">
        <v>28</v>
      </c>
      <c r="F1284" s="17" t="s">
        <v>29</v>
      </c>
      <c r="G1284" s="24">
        <f t="shared" si="8"/>
        <v>10</v>
      </c>
      <c r="H1284" s="19">
        <f>VLOOKUP(A1284,Metrik!$C$2:$Y$959,8,0)</f>
        <v>13.2</v>
      </c>
      <c r="I1284" s="20">
        <f>VLOOKUP(A1284,Metrik!$C$2:$Y$959,9,0)</f>
        <v>2.1</v>
      </c>
      <c r="J1284" s="20">
        <f>VLOOKUP(A1284,Metrik!$C$2:$Y$959,10,0)</f>
        <v>16.3</v>
      </c>
      <c r="K1284" s="20">
        <f>VLOOKUP(A1284,Metrik!$C$2:$Y$959,11,0)</f>
        <v>10.9</v>
      </c>
      <c r="L1284" s="20">
        <f>VLOOKUP(A1284,Metrik!$C$2:$Y$959,12,0)</f>
        <v>0.49</v>
      </c>
      <c r="M1284" s="20">
        <f>VLOOKUP(A1284,Metrik!$C$2:$Y$959,19,0)</f>
        <v>33.2</v>
      </c>
      <c r="N1284" s="21"/>
      <c r="O1284" s="21"/>
      <c r="P1284" s="21"/>
      <c r="Q1284" s="21"/>
      <c r="R1284" s="21"/>
      <c r="S1284" s="21"/>
      <c r="T1284" s="21"/>
      <c r="U1284" s="22">
        <f>IFERROR(__xludf.DUMMYFUNCTION("IFERROR(GOOGLEFINANCE(A1284,""closeyest""),"""")"),1645.0)</f>
        <v>1645</v>
      </c>
      <c r="V1284" s="23">
        <f>IFERROR(__xludf.DUMMYFUNCTION("IFERROR(GOOGLEFINANCE(A1284,""changepct""),"""")"),3.34)</f>
        <v>3.34</v>
      </c>
      <c r="W1284" s="22">
        <f>IFERROR(__xludf.DUMMYFUNCTION("IFERROR(GOOGLEFINANCE(A1284,""priceopen""),"""")"),1645.0)</f>
        <v>1645</v>
      </c>
      <c r="X1284" s="22">
        <f>IFERROR(__xludf.DUMMYFUNCTION("IFERROR(GOOGLEFINANCE(A1284,""high""),"""")"),1700.0)</f>
        <v>1700</v>
      </c>
      <c r="Y1284" s="22">
        <f>IFERROR(__xludf.DUMMYFUNCTION("IFERROR(GOOGLEFINANCE(A1284,""low""),"""")"),1630.0)</f>
        <v>1630</v>
      </c>
      <c r="Z1284" s="22">
        <f>IFERROR(__xludf.DUMMYFUNCTION("IFERROR(GOOGLEFINANCE(A1284,""volume""),"""")"),7817400.0)</f>
        <v>7817400</v>
      </c>
      <c r="AA1284" s="24" t="str">
        <f>VLOOKUP(A1284,Metrik!$C$2:$Y$959,5,0)</f>
        <v>Processed Foods</v>
      </c>
      <c r="AB1284" s="24" t="str">
        <f>VLOOKUP(A1284,Metrik!$C$2:$Y$959,3,0)</f>
        <v>Consumer Non-Cyclicals</v>
      </c>
    </row>
    <row r="1285">
      <c r="A1285" s="14" t="s">
        <v>684</v>
      </c>
      <c r="B1285" s="14" t="str">
        <f t="array" ref="B1285">VLOOKUP(A1285,{Metrik!$C$2:$C$998,Metrik!$B$2:$B$998},2,0)</f>
        <v>Mayora Indah Tbk.</v>
      </c>
      <c r="C1285" s="15">
        <f>IFERROR(__xludf.DUMMYFUNCTION("GOOGLEFINANCE(""IDX:""&amp;A1285,""price"")"),1700.0)</f>
        <v>1700</v>
      </c>
      <c r="D1285" s="16" t="str">
        <f>IFERROR(__xludf.DUMMYFUNCTION("IF(A1285="""","""",
SPARKLINE(
INDEX(
GOOGLEFINANCE(""IDX:""&amp;A1285,""close"",TODAY()-365,TODAY()),
,2
),
{""linewidth"",1}
))
"),"#N/A")</f>
        <v>#N/A</v>
      </c>
      <c r="E1285" s="14" t="s">
        <v>84</v>
      </c>
      <c r="F1285" s="17" t="s">
        <v>51</v>
      </c>
      <c r="G1285" s="24">
        <f t="shared" si="8"/>
        <v>10</v>
      </c>
      <c r="H1285" s="19">
        <f>VLOOKUP(A1285,Metrik!$C$2:$Y$959,8,0)</f>
        <v>13.2</v>
      </c>
      <c r="I1285" s="20">
        <f>VLOOKUP(A1285,Metrik!$C$2:$Y$959,9,0)</f>
        <v>2.1</v>
      </c>
      <c r="J1285" s="20">
        <f>VLOOKUP(A1285,Metrik!$C$2:$Y$959,10,0)</f>
        <v>16.3</v>
      </c>
      <c r="K1285" s="20">
        <f>VLOOKUP(A1285,Metrik!$C$2:$Y$959,11,0)</f>
        <v>10.9</v>
      </c>
      <c r="L1285" s="20">
        <f>VLOOKUP(A1285,Metrik!$C$2:$Y$959,12,0)</f>
        <v>0.49</v>
      </c>
      <c r="M1285" s="20">
        <f>VLOOKUP(A1285,Metrik!$C$2:$Y$959,19,0)</f>
        <v>33.2</v>
      </c>
      <c r="N1285" s="21"/>
      <c r="O1285" s="21"/>
      <c r="P1285" s="21"/>
      <c r="Q1285" s="21"/>
      <c r="R1285" s="21"/>
      <c r="S1285" s="21"/>
      <c r="T1285" s="21"/>
      <c r="U1285" s="22">
        <f>IFERROR(__xludf.DUMMYFUNCTION("IFERROR(GOOGLEFINANCE(A1285,""closeyest""),"""")"),1645.0)</f>
        <v>1645</v>
      </c>
      <c r="V1285" s="23">
        <f>IFERROR(__xludf.DUMMYFUNCTION("IFERROR(GOOGLEFINANCE(A1285,""changepct""),"""")"),3.34)</f>
        <v>3.34</v>
      </c>
      <c r="W1285" s="22">
        <f>IFERROR(__xludf.DUMMYFUNCTION("IFERROR(GOOGLEFINANCE(A1285,""priceopen""),"""")"),1645.0)</f>
        <v>1645</v>
      </c>
      <c r="X1285" s="22">
        <f>IFERROR(__xludf.DUMMYFUNCTION("IFERROR(GOOGLEFINANCE(A1285,""high""),"""")"),1700.0)</f>
        <v>1700</v>
      </c>
      <c r="Y1285" s="22">
        <f>IFERROR(__xludf.DUMMYFUNCTION("IFERROR(GOOGLEFINANCE(A1285,""low""),"""")"),1630.0)</f>
        <v>1630</v>
      </c>
      <c r="Z1285" s="22">
        <f>IFERROR(__xludf.DUMMYFUNCTION("IFERROR(GOOGLEFINANCE(A1285,""volume""),"""")"),7817400.0)</f>
        <v>7817400</v>
      </c>
      <c r="AA1285" s="24" t="str">
        <f>VLOOKUP(A1285,Metrik!$C$2:$Y$959,5,0)</f>
        <v>Processed Foods</v>
      </c>
      <c r="AB1285" s="24" t="str">
        <f>VLOOKUP(A1285,Metrik!$C$2:$Y$959,3,0)</f>
        <v>Consumer Non-Cyclicals</v>
      </c>
    </row>
    <row r="1286">
      <c r="A1286" s="14" t="s">
        <v>684</v>
      </c>
      <c r="B1286" s="14" t="str">
        <f t="array" ref="B1286">VLOOKUP(A1286,{Metrik!$C$2:$C$998,Metrik!$B$2:$B$998},2,0)</f>
        <v>Mayora Indah Tbk.</v>
      </c>
      <c r="C1286" s="15">
        <f>IFERROR(__xludf.DUMMYFUNCTION("GOOGLEFINANCE(""IDX:""&amp;A1286,""price"")"),1700.0)</f>
        <v>1700</v>
      </c>
      <c r="D1286" s="16" t="str">
        <f>IFERROR(__xludf.DUMMYFUNCTION("IF(A1286="""","""",
SPARKLINE(
INDEX(
GOOGLEFINANCE(""IDX:""&amp;A1286,""close"",TODAY()-365,TODAY()),
,2
),
{""linewidth"",1}
))
"),"#N/A")</f>
        <v>#N/A</v>
      </c>
      <c r="E1286" s="14" t="s">
        <v>32</v>
      </c>
      <c r="F1286" s="14" t="s">
        <v>29</v>
      </c>
      <c r="G1286" s="24">
        <f t="shared" si="8"/>
        <v>10</v>
      </c>
      <c r="H1286" s="19">
        <f>VLOOKUP(A1286,Metrik!$C$2:$Y$959,8,0)</f>
        <v>13.2</v>
      </c>
      <c r="I1286" s="20">
        <f>VLOOKUP(A1286,Metrik!$C$2:$Y$959,9,0)</f>
        <v>2.1</v>
      </c>
      <c r="J1286" s="20">
        <f>VLOOKUP(A1286,Metrik!$C$2:$Y$959,10,0)</f>
        <v>16.3</v>
      </c>
      <c r="K1286" s="20">
        <f>VLOOKUP(A1286,Metrik!$C$2:$Y$959,11,0)</f>
        <v>10.9</v>
      </c>
      <c r="L1286" s="20">
        <f>VLOOKUP(A1286,Metrik!$C$2:$Y$959,12,0)</f>
        <v>0.49</v>
      </c>
      <c r="M1286" s="20">
        <f>VLOOKUP(A1286,Metrik!$C$2:$Y$959,19,0)</f>
        <v>33.2</v>
      </c>
      <c r="N1286" s="21"/>
      <c r="O1286" s="21"/>
      <c r="P1286" s="21"/>
      <c r="Q1286" s="21"/>
      <c r="R1286" s="21"/>
      <c r="S1286" s="21"/>
      <c r="T1286" s="21"/>
      <c r="U1286" s="22">
        <f>IFERROR(__xludf.DUMMYFUNCTION("IFERROR(GOOGLEFINANCE(A1286,""closeyest""),"""")"),1645.0)</f>
        <v>1645</v>
      </c>
      <c r="V1286" s="23">
        <f>IFERROR(__xludf.DUMMYFUNCTION("IFERROR(GOOGLEFINANCE(A1286,""changepct""),"""")"),3.34)</f>
        <v>3.34</v>
      </c>
      <c r="W1286" s="22">
        <f>IFERROR(__xludf.DUMMYFUNCTION("IFERROR(GOOGLEFINANCE(A1286,""priceopen""),"""")"),1645.0)</f>
        <v>1645</v>
      </c>
      <c r="X1286" s="22">
        <f>IFERROR(__xludf.DUMMYFUNCTION("IFERROR(GOOGLEFINANCE(A1286,""high""),"""")"),1700.0)</f>
        <v>1700</v>
      </c>
      <c r="Y1286" s="22">
        <f>IFERROR(__xludf.DUMMYFUNCTION("IFERROR(GOOGLEFINANCE(A1286,""low""),"""")"),1630.0)</f>
        <v>1630</v>
      </c>
      <c r="Z1286" s="22">
        <f>IFERROR(__xludf.DUMMYFUNCTION("IFERROR(GOOGLEFINANCE(A1286,""volume""),"""")"),7817400.0)</f>
        <v>7817400</v>
      </c>
      <c r="AA1286" s="24" t="str">
        <f>VLOOKUP(A1286,Metrik!$C$2:$Y$959,5,0)</f>
        <v>Processed Foods</v>
      </c>
      <c r="AB1286" s="24" t="str">
        <f>VLOOKUP(A1286,Metrik!$C$2:$Y$959,3,0)</f>
        <v>Consumer Non-Cyclicals</v>
      </c>
    </row>
    <row r="1287">
      <c r="A1287" s="14" t="s">
        <v>684</v>
      </c>
      <c r="B1287" s="14" t="str">
        <f t="array" ref="B1287">VLOOKUP(A1287,{Metrik!$C$2:$C$998,Metrik!$B$2:$B$998},2,0)</f>
        <v>Mayora Indah Tbk.</v>
      </c>
      <c r="C1287" s="15">
        <f>IFERROR(__xludf.DUMMYFUNCTION("GOOGLEFINANCE(""IDX:""&amp;A1287,""price"")"),1700.0)</f>
        <v>1700</v>
      </c>
      <c r="D1287" s="16" t="str">
        <f>IFERROR(__xludf.DUMMYFUNCTION("IF(A1287="""","""",
SPARKLINE(
INDEX(
GOOGLEFINANCE(""IDX:""&amp;A1287,""close"",TODAY()-365,TODAY()),
,2
),
{""linewidth"",1}
))
"),"#N/A")</f>
        <v>#N/A</v>
      </c>
      <c r="E1287" s="14" t="s">
        <v>41</v>
      </c>
      <c r="F1287" s="14" t="s">
        <v>34</v>
      </c>
      <c r="G1287" s="24">
        <f t="shared" si="8"/>
        <v>10</v>
      </c>
      <c r="H1287" s="19">
        <f>VLOOKUP(A1287,Metrik!$C$2:$Y$959,8,0)</f>
        <v>13.2</v>
      </c>
      <c r="I1287" s="20">
        <f>VLOOKUP(A1287,Metrik!$C$2:$Y$959,9,0)</f>
        <v>2.1</v>
      </c>
      <c r="J1287" s="20">
        <f>VLOOKUP(A1287,Metrik!$C$2:$Y$959,10,0)</f>
        <v>16.3</v>
      </c>
      <c r="K1287" s="20">
        <f>VLOOKUP(A1287,Metrik!$C$2:$Y$959,11,0)</f>
        <v>10.9</v>
      </c>
      <c r="L1287" s="20">
        <f>VLOOKUP(A1287,Metrik!$C$2:$Y$959,12,0)</f>
        <v>0.49</v>
      </c>
      <c r="M1287" s="20">
        <f>VLOOKUP(A1287,Metrik!$C$2:$Y$959,19,0)</f>
        <v>33.2</v>
      </c>
      <c r="N1287" s="21"/>
      <c r="O1287" s="21"/>
      <c r="P1287" s="21"/>
      <c r="Q1287" s="21"/>
      <c r="R1287" s="21"/>
      <c r="S1287" s="21"/>
      <c r="T1287" s="21"/>
      <c r="U1287" s="22">
        <f>IFERROR(__xludf.DUMMYFUNCTION("IFERROR(GOOGLEFINANCE(A1287,""closeyest""),"""")"),1645.0)</f>
        <v>1645</v>
      </c>
      <c r="V1287" s="23">
        <f>IFERROR(__xludf.DUMMYFUNCTION("IFERROR(GOOGLEFINANCE(A1287,""changepct""),"""")"),3.34)</f>
        <v>3.34</v>
      </c>
      <c r="W1287" s="22">
        <f>IFERROR(__xludf.DUMMYFUNCTION("IFERROR(GOOGLEFINANCE(A1287,""priceopen""),"""")"),1645.0)</f>
        <v>1645</v>
      </c>
      <c r="X1287" s="22">
        <f>IFERROR(__xludf.DUMMYFUNCTION("IFERROR(GOOGLEFINANCE(A1287,""high""),"""")"),1700.0)</f>
        <v>1700</v>
      </c>
      <c r="Y1287" s="22">
        <f>IFERROR(__xludf.DUMMYFUNCTION("IFERROR(GOOGLEFINANCE(A1287,""low""),"""")"),1630.0)</f>
        <v>1630</v>
      </c>
      <c r="Z1287" s="22">
        <f>IFERROR(__xludf.DUMMYFUNCTION("IFERROR(GOOGLEFINANCE(A1287,""volume""),"""")"),7817400.0)</f>
        <v>7817400</v>
      </c>
      <c r="AA1287" s="24" t="str">
        <f>VLOOKUP(A1287,Metrik!$C$2:$Y$959,5,0)</f>
        <v>Processed Foods</v>
      </c>
      <c r="AB1287" s="24" t="str">
        <f>VLOOKUP(A1287,Metrik!$C$2:$Y$959,3,0)</f>
        <v>Consumer Non-Cyclicals</v>
      </c>
    </row>
    <row r="1288">
      <c r="A1288" s="48" t="s">
        <v>684</v>
      </c>
      <c r="B1288" s="14" t="str">
        <f t="array" ref="B1288">VLOOKUP(A1288,{Metrik!$C$2:$C$998,Metrik!$B$2:$B$998},2,0)</f>
        <v>Mayora Indah Tbk.</v>
      </c>
      <c r="C1288" s="15">
        <f>IFERROR(__xludf.DUMMYFUNCTION("GOOGLEFINANCE(""IDX:""&amp;A1288,""price"")"),1700.0)</f>
        <v>1700</v>
      </c>
      <c r="D1288" s="16" t="str">
        <f>IFERROR(__xludf.DUMMYFUNCTION("IF(A1288="""","""",
SPARKLINE(
INDEX(
GOOGLEFINANCE(""IDX:""&amp;A1288,""close"",TODAY()-365,TODAY()),
,2
),
{""linewidth"",1}
))
"),"#N/A")</f>
        <v>#N/A</v>
      </c>
      <c r="E1288" s="17" t="s">
        <v>69</v>
      </c>
      <c r="F1288" s="17" t="s">
        <v>70</v>
      </c>
      <c r="G1288" s="24">
        <f t="shared" si="8"/>
        <v>10</v>
      </c>
      <c r="H1288" s="19">
        <f>VLOOKUP(A1288,Metrik!$C$2:$Y$959,8,0)</f>
        <v>13.2</v>
      </c>
      <c r="I1288" s="20">
        <f>VLOOKUP(A1288,Metrik!$C$2:$Y$959,9,0)</f>
        <v>2.1</v>
      </c>
      <c r="J1288" s="20">
        <f>VLOOKUP(A1288,Metrik!$C$2:$Y$959,10,0)</f>
        <v>16.3</v>
      </c>
      <c r="K1288" s="20">
        <f>VLOOKUP(A1288,Metrik!$C$2:$Y$959,11,0)</f>
        <v>10.9</v>
      </c>
      <c r="L1288" s="20">
        <f>VLOOKUP(A1288,Metrik!$C$2:$Y$959,12,0)</f>
        <v>0.49</v>
      </c>
      <c r="M1288" s="20">
        <f>VLOOKUP(A1288,Metrik!$C$2:$Y$959,19,0)</f>
        <v>33.2</v>
      </c>
      <c r="N1288" s="21"/>
      <c r="O1288" s="21"/>
      <c r="P1288" s="21"/>
      <c r="Q1288" s="21"/>
      <c r="R1288" s="21"/>
      <c r="S1288" s="21"/>
      <c r="T1288" s="21"/>
      <c r="U1288" s="22">
        <f>IFERROR(__xludf.DUMMYFUNCTION("IFERROR(GOOGLEFINANCE(A1288,""closeyest""),"""")"),1645.0)</f>
        <v>1645</v>
      </c>
      <c r="V1288" s="23">
        <f>IFERROR(__xludf.DUMMYFUNCTION("IFERROR(GOOGLEFINANCE(A1288,""changepct""),"""")"),3.34)</f>
        <v>3.34</v>
      </c>
      <c r="W1288" s="22">
        <f>IFERROR(__xludf.DUMMYFUNCTION("IFERROR(GOOGLEFINANCE(A1288,""priceopen""),"""")"),1645.0)</f>
        <v>1645</v>
      </c>
      <c r="X1288" s="22">
        <f>IFERROR(__xludf.DUMMYFUNCTION("IFERROR(GOOGLEFINANCE(A1288,""high""),"""")"),1700.0)</f>
        <v>1700</v>
      </c>
      <c r="Y1288" s="22">
        <f>IFERROR(__xludf.DUMMYFUNCTION("IFERROR(GOOGLEFINANCE(A1288,""low""),"""")"),1630.0)</f>
        <v>1630</v>
      </c>
      <c r="Z1288" s="22">
        <f>IFERROR(__xludf.DUMMYFUNCTION("IFERROR(GOOGLEFINANCE(A1288,""volume""),"""")"),7817400.0)</f>
        <v>7817400</v>
      </c>
      <c r="AA1288" s="24" t="str">
        <f>VLOOKUP(A1288,Metrik!$C$2:$Y$959,5,0)</f>
        <v>Processed Foods</v>
      </c>
      <c r="AB1288" s="24" t="str">
        <f>VLOOKUP(A1288,Metrik!$C$2:$Y$959,3,0)</f>
        <v>Consumer Non-Cyclicals</v>
      </c>
    </row>
    <row r="1289">
      <c r="A1289" s="14" t="s">
        <v>684</v>
      </c>
      <c r="B1289" s="14" t="str">
        <f t="array" ref="B1289">VLOOKUP(A1289,{Metrik!$C$2:$C$998,Metrik!$B$2:$B$998},2,0)</f>
        <v>Mayora Indah Tbk.</v>
      </c>
      <c r="C1289" s="15">
        <f>IFERROR(__xludf.DUMMYFUNCTION("GOOGLEFINANCE(""IDX:""&amp;A1289,""price"")"),1700.0)</f>
        <v>1700</v>
      </c>
      <c r="D1289" s="16" t="str">
        <f>IFERROR(__xludf.DUMMYFUNCTION("IF(A1289="""","""",
SPARKLINE(
INDEX(
GOOGLEFINANCE(""IDX:""&amp;A1289,""close"",TODAY()-365,TODAY()),
,2
),
{""linewidth"",1}
))
"),"#N/A")</f>
        <v>#N/A</v>
      </c>
      <c r="E1289" s="14" t="s">
        <v>39</v>
      </c>
      <c r="F1289" s="25">
        <v>46356.0</v>
      </c>
      <c r="G1289" s="24">
        <f t="shared" si="8"/>
        <v>10</v>
      </c>
      <c r="H1289" s="19">
        <f>VLOOKUP(A1289,Metrik!$C$2:$Y$959,8,0)</f>
        <v>13.2</v>
      </c>
      <c r="I1289" s="20">
        <f>VLOOKUP(A1289,Metrik!$C$2:$Y$959,9,0)</f>
        <v>2.1</v>
      </c>
      <c r="J1289" s="20">
        <f>VLOOKUP(A1289,Metrik!$C$2:$Y$959,10,0)</f>
        <v>16.3</v>
      </c>
      <c r="K1289" s="20">
        <f>VLOOKUP(A1289,Metrik!$C$2:$Y$959,11,0)</f>
        <v>10.9</v>
      </c>
      <c r="L1289" s="20">
        <f>VLOOKUP(A1289,Metrik!$C$2:$Y$959,12,0)</f>
        <v>0.49</v>
      </c>
      <c r="M1289" s="20">
        <f>VLOOKUP(A1289,Metrik!$C$2:$Y$959,19,0)</f>
        <v>33.2</v>
      </c>
      <c r="N1289" s="21"/>
      <c r="O1289" s="21"/>
      <c r="P1289" s="21"/>
      <c r="Q1289" s="21"/>
      <c r="R1289" s="21"/>
      <c r="S1289" s="21"/>
      <c r="T1289" s="21"/>
      <c r="U1289" s="22">
        <f>IFERROR(__xludf.DUMMYFUNCTION("IFERROR(GOOGLEFINANCE(A1289,""closeyest""),"""")"),1645.0)</f>
        <v>1645</v>
      </c>
      <c r="V1289" s="23">
        <f>IFERROR(__xludf.DUMMYFUNCTION("IFERROR(GOOGLEFINANCE(A1289,""changepct""),"""")"),3.34)</f>
        <v>3.34</v>
      </c>
      <c r="W1289" s="22">
        <f>IFERROR(__xludf.DUMMYFUNCTION("IFERROR(GOOGLEFINANCE(A1289,""priceopen""),"""")"),1645.0)</f>
        <v>1645</v>
      </c>
      <c r="X1289" s="22">
        <f>IFERROR(__xludf.DUMMYFUNCTION("IFERROR(GOOGLEFINANCE(A1289,""high""),"""")"),1700.0)</f>
        <v>1700</v>
      </c>
      <c r="Y1289" s="22">
        <f>IFERROR(__xludf.DUMMYFUNCTION("IFERROR(GOOGLEFINANCE(A1289,""low""),"""")"),1630.0)</f>
        <v>1630</v>
      </c>
      <c r="Z1289" s="22">
        <f>IFERROR(__xludf.DUMMYFUNCTION("IFERROR(GOOGLEFINANCE(A1289,""volume""),"""")"),7817400.0)</f>
        <v>7817400</v>
      </c>
      <c r="AA1289" s="24" t="str">
        <f>VLOOKUP(A1289,Metrik!$C$2:$Y$959,5,0)</f>
        <v>Processed Foods</v>
      </c>
      <c r="AB1289" s="24" t="str">
        <f>VLOOKUP(A1289,Metrik!$C$2:$Y$959,3,0)</f>
        <v>Consumer Non-Cyclicals</v>
      </c>
    </row>
    <row r="1290">
      <c r="A1290" s="14" t="s">
        <v>685</v>
      </c>
      <c r="B1290" s="14" t="str">
        <f t="array" ref="B1290">VLOOKUP(A1290,{Metrik!$C$2:$C$998,Metrik!$B$2:$B$998},2,0)</f>
        <v>PT Asia Pacific Investama Tbk.</v>
      </c>
      <c r="C1290" s="15" t="str">
        <f>IFERROR(__xludf.DUMMYFUNCTION("GOOGLEFINANCE(""IDX:""&amp;A1290,""price"")"),"#N/A")</f>
        <v>#N/A</v>
      </c>
      <c r="D1290" s="16" t="str">
        <f>IFERROR(__xludf.DUMMYFUNCTION("IF(A1290="""","""",
SPARKLINE(
INDEX(
GOOGLEFINANCE(""IDX:""&amp;A1290,""close"",TODAY()-365,TODAY()),
,2
),
{""linewidth"",1}
))
"),"#N/A")</f>
        <v>#N/A</v>
      </c>
      <c r="E1290" s="26"/>
      <c r="F1290" s="26"/>
      <c r="G1290" s="24">
        <f t="shared" si="8"/>
        <v>0</v>
      </c>
      <c r="H1290" s="19">
        <f>VLOOKUP(A1290,Metrik!$C$2:$Y$959,8,0)</f>
        <v>-38.8</v>
      </c>
      <c r="I1290" s="20">
        <f>VLOOKUP(A1290,Metrik!$C$2:$Y$959,9,0)</f>
        <v>-0.62</v>
      </c>
      <c r="J1290" s="20">
        <f>VLOOKUP(A1290,Metrik!$C$2:$Y$959,10,0)</f>
        <v>0</v>
      </c>
      <c r="K1290" s="20">
        <f>VLOOKUP(A1290,Metrik!$C$2:$Y$959,11,0)</f>
        <v>-0.29</v>
      </c>
      <c r="L1290" s="20">
        <f>VLOOKUP(A1290,Metrik!$C$2:$Y$959,12,0)</f>
        <v>-6.6</v>
      </c>
      <c r="M1290" s="20">
        <f>VLOOKUP(A1290,Metrik!$C$2:$Y$959,19,0)</f>
        <v>-4.4</v>
      </c>
      <c r="N1290" s="21"/>
      <c r="O1290" s="21"/>
      <c r="P1290" s="21"/>
      <c r="Q1290" s="21"/>
      <c r="R1290" s="21"/>
      <c r="S1290" s="21"/>
      <c r="T1290" s="21"/>
      <c r="U1290" s="22">
        <f>IFERROR(__xludf.DUMMYFUNCTION("IFERROR(GOOGLEFINANCE(A1290,""closeyest""),"""")"),49.0)</f>
        <v>49</v>
      </c>
      <c r="V1290" s="23">
        <f>IFERROR(__xludf.DUMMYFUNCTION("IFERROR(GOOGLEFINANCE(A1290,""changepct""),"""")"),0.0)</f>
        <v>0</v>
      </c>
      <c r="W1290" s="22">
        <f>IFERROR(__xludf.DUMMYFUNCTION("IFERROR(GOOGLEFINANCE(A1290,""priceopen""),"""")"),48.0)</f>
        <v>48</v>
      </c>
      <c r="X1290" s="22">
        <f>IFERROR(__xludf.DUMMYFUNCTION("IFERROR(GOOGLEFINANCE(A1290,""high""),"""")"),49.0)</f>
        <v>49</v>
      </c>
      <c r="Y1290" s="22">
        <f>IFERROR(__xludf.DUMMYFUNCTION("IFERROR(GOOGLEFINANCE(A1290,""low""),"""")"),48.0)</f>
        <v>48</v>
      </c>
      <c r="Z1290" s="22">
        <f>IFERROR(__xludf.DUMMYFUNCTION("IFERROR(GOOGLEFINANCE(A1290,""volume""),"""")"),48700.0)</f>
        <v>48700</v>
      </c>
      <c r="AA1290" s="24" t="str">
        <f>VLOOKUP(A1290,Metrik!$C$2:$Y$959,5,0)</f>
        <v>Apparel &amp; Luxury Goods</v>
      </c>
      <c r="AB1290" s="24" t="str">
        <f>VLOOKUP(A1290,Metrik!$C$2:$Y$959,3,0)</f>
        <v>Consumer Cyclicals</v>
      </c>
    </row>
    <row r="1291">
      <c r="A1291" s="14" t="s">
        <v>686</v>
      </c>
      <c r="B1291" s="14" t="str">
        <f t="array" ref="B1291">VLOOKUP(A1291,{Metrik!$C$2:$C$998,Metrik!$B$2:$B$998},2,0)</f>
        <v>Adiwarna Anugerah Abadi Tbk.</v>
      </c>
      <c r="C1291" s="15">
        <f>IFERROR(__xludf.DUMMYFUNCTION("GOOGLEFINANCE(""IDX:""&amp;A1291,""price"")"),82.0)</f>
        <v>82</v>
      </c>
      <c r="D1291" s="16" t="str">
        <f>IFERROR(__xludf.DUMMYFUNCTION("IF(A1291="""","""",
SPARKLINE(
INDEX(
GOOGLEFINANCE(""IDX:""&amp;A1291,""close"",TODAY()-365,TODAY()),
,2
),
{""linewidth"",1}
))
"),"#N/A")</f>
        <v>#N/A</v>
      </c>
      <c r="E1291" s="26"/>
      <c r="F1291" s="26"/>
      <c r="G1291" s="18">
        <f t="shared" si="8"/>
        <v>0</v>
      </c>
      <c r="H1291" s="19">
        <f>VLOOKUP(A1291,Metrik!$C$2:$Y$959,8,0)</f>
        <v>9.5</v>
      </c>
      <c r="I1291" s="20">
        <f>VLOOKUP(A1291,Metrik!$C$2:$Y$959,9,0)</f>
        <v>1.4</v>
      </c>
      <c r="J1291" s="20">
        <f>VLOOKUP(A1291,Metrik!$C$2:$Y$959,10,0)</f>
        <v>14.4</v>
      </c>
      <c r="K1291" s="20">
        <f>VLOOKUP(A1291,Metrik!$C$2:$Y$959,11,0)</f>
        <v>12</v>
      </c>
      <c r="L1291" s="20">
        <f>VLOOKUP(A1291,Metrik!$C$2:$Y$959,12,0)</f>
        <v>0.2</v>
      </c>
      <c r="M1291" s="20">
        <f>VLOOKUP(A1291,Metrik!$C$2:$Y$959,19,0)</f>
        <v>47.5</v>
      </c>
      <c r="N1291" s="21"/>
      <c r="O1291" s="21"/>
      <c r="P1291" s="21"/>
      <c r="Q1291" s="21"/>
      <c r="R1291" s="21"/>
      <c r="S1291" s="21"/>
      <c r="T1291" s="21"/>
      <c r="U1291" s="22">
        <f>IFERROR(__xludf.DUMMYFUNCTION("IFERROR(GOOGLEFINANCE(A1291,""closeyest""),"""")"),79.0)</f>
        <v>79</v>
      </c>
      <c r="V1291" s="23">
        <f>IFERROR(__xludf.DUMMYFUNCTION("IFERROR(GOOGLEFINANCE(A1291,""changepct""),"""")"),3.8)</f>
        <v>3.8</v>
      </c>
      <c r="W1291" s="22">
        <f>IFERROR(__xludf.DUMMYFUNCTION("IFERROR(GOOGLEFINANCE(A1291,""priceopen""),"""")"),79.0)</f>
        <v>79</v>
      </c>
      <c r="X1291" s="22">
        <f>IFERROR(__xludf.DUMMYFUNCTION("IFERROR(GOOGLEFINANCE(A1291,""high""),"""")"),84.0)</f>
        <v>84</v>
      </c>
      <c r="Y1291" s="22">
        <f>IFERROR(__xludf.DUMMYFUNCTION("IFERROR(GOOGLEFINANCE(A1291,""low""),"""")"),79.0)</f>
        <v>79</v>
      </c>
      <c r="Z1291" s="22">
        <f>IFERROR(__xludf.DUMMYFUNCTION("IFERROR(GOOGLEFINANCE(A1291,""volume""),"""")"),2504800.0)</f>
        <v>2504800</v>
      </c>
      <c r="AA1291" s="24" t="str">
        <f>VLOOKUP(A1291,Metrik!$C$2:$Y$959,5,0)</f>
        <v>Diversified Industrial Trading</v>
      </c>
      <c r="AB1291" s="24" t="str">
        <f>VLOOKUP(A1291,Metrik!$C$2:$Y$959,3,0)</f>
        <v>Industrials</v>
      </c>
    </row>
    <row r="1292">
      <c r="A1292" s="14" t="s">
        <v>687</v>
      </c>
      <c r="B1292" s="14" t="str">
        <f t="array" ref="B1292">VLOOKUP(A1292,{Metrik!$C$2:$C$998,Metrik!$B$2:$B$998},2,0)</f>
        <v>Nanotech Indonesia Global Tbk.</v>
      </c>
      <c r="C1292" s="15" t="str">
        <f>IFERROR(__xludf.DUMMYFUNCTION("GOOGLEFINANCE(""IDX:""&amp;A1292,""price"")"),"#N/A")</f>
        <v>#N/A</v>
      </c>
      <c r="D1292" s="16" t="str">
        <f>IFERROR(__xludf.DUMMYFUNCTION("IF(A1292="""","""",
SPARKLINE(
INDEX(
GOOGLEFINANCE(""IDX:""&amp;A1292,""close"",TODAY()-365,TODAY()),
,2
),
{""linewidth"",1}
))
"),"#N/A")</f>
        <v>#N/A</v>
      </c>
      <c r="E1292" s="26"/>
      <c r="F1292" s="26"/>
      <c r="G1292" s="24">
        <f t="shared" si="8"/>
        <v>0</v>
      </c>
      <c r="H1292" s="19">
        <f>VLOOKUP(A1292,Metrik!$C$2:$Y$959,8,0)</f>
        <v>54.2</v>
      </c>
      <c r="I1292" s="20">
        <f>VLOOKUP(A1292,Metrik!$C$2:$Y$959,9,0)</f>
        <v>0.65</v>
      </c>
      <c r="J1292" s="20">
        <f>VLOOKUP(A1292,Metrik!$C$2:$Y$959,10,0)</f>
        <v>1.2</v>
      </c>
      <c r="K1292" s="20">
        <f>VLOOKUP(A1292,Metrik!$C$2:$Y$959,11,0)</f>
        <v>0.98</v>
      </c>
      <c r="L1292" s="20">
        <f>VLOOKUP(A1292,Metrik!$C$2:$Y$959,12,0)</f>
        <v>0.21</v>
      </c>
      <c r="M1292" s="20">
        <f>VLOOKUP(A1292,Metrik!$C$2:$Y$959,19,0)</f>
        <v>2.9</v>
      </c>
      <c r="N1292" s="21"/>
      <c r="O1292" s="21"/>
      <c r="P1292" s="21"/>
      <c r="Q1292" s="21"/>
      <c r="R1292" s="21"/>
      <c r="S1292" s="21"/>
      <c r="T1292" s="21"/>
      <c r="U1292" s="22">
        <f>IFERROR(__xludf.DUMMYFUNCTION("IFERROR(GOOGLEFINANCE(A1292,""closeyest""),"""")"),2.2)</f>
        <v>2.2</v>
      </c>
      <c r="V1292" s="23">
        <f>IFERROR(__xludf.DUMMYFUNCTION("IFERROR(GOOGLEFINANCE(A1292,""changepct""),"""")"),36.36)</f>
        <v>36.36</v>
      </c>
      <c r="W1292" s="22">
        <f>IFERROR(__xludf.DUMMYFUNCTION("IFERROR(GOOGLEFINANCE(A1292,""priceopen""),"""")"),2.3)</f>
        <v>2.3</v>
      </c>
      <c r="X1292" s="22">
        <f>IFERROR(__xludf.DUMMYFUNCTION("IFERROR(GOOGLEFINANCE(A1292,""high""),"""")"),3.0)</f>
        <v>3</v>
      </c>
      <c r="Y1292" s="22">
        <f>IFERROR(__xludf.DUMMYFUNCTION("IFERROR(GOOGLEFINANCE(A1292,""low""),"""")"),2.24)</f>
        <v>2.24</v>
      </c>
      <c r="Z1292" s="22">
        <f>IFERROR(__xludf.DUMMYFUNCTION("IFERROR(GOOGLEFINANCE(A1292,""volume""),"""")"),5679787.0)</f>
        <v>5679787</v>
      </c>
      <c r="AA1292" s="24" t="str">
        <f>VLOOKUP(A1292,Metrik!$C$2:$Y$959,5,0)</f>
        <v>Personal Care Products</v>
      </c>
      <c r="AB1292" s="24" t="str">
        <f>VLOOKUP(A1292,Metrik!$C$2:$Y$959,3,0)</f>
        <v>Consumer Non-Cyclicals</v>
      </c>
    </row>
    <row r="1293">
      <c r="A1293" s="14" t="s">
        <v>688</v>
      </c>
      <c r="B1293" s="14" t="str">
        <f t="array" ref="B1293">VLOOKUP(A1293,{Metrik!$C$2:$C$998,Metrik!$B$2:$B$998},2,0)</f>
        <v>Andalan Perkasa Abadi Tbk.</v>
      </c>
      <c r="C1293" s="15">
        <f>IFERROR(__xludf.DUMMYFUNCTION("GOOGLEFINANCE(""IDX:""&amp;A1293,""price"")"),34.0)</f>
        <v>34</v>
      </c>
      <c r="D1293" s="16" t="str">
        <f>IFERROR(__xludf.DUMMYFUNCTION("IF(A1293="""","""",
SPARKLINE(
INDEX(
GOOGLEFINANCE(""IDX:""&amp;A1293,""close"",TODAY()-365,TODAY()),
,2
),
{""linewidth"",1}
))
"),"#N/A")</f>
        <v>#N/A</v>
      </c>
      <c r="E1293" s="26"/>
      <c r="F1293" s="26"/>
      <c r="G1293" s="24">
        <f t="shared" si="8"/>
        <v>0</v>
      </c>
      <c r="H1293" s="19">
        <f>VLOOKUP(A1293,Metrik!$C$2:$Y$959,8,0)</f>
        <v>220</v>
      </c>
      <c r="I1293" s="20">
        <f>VLOOKUP(A1293,Metrik!$C$2:$Y$959,9,0)</f>
        <v>0.37</v>
      </c>
      <c r="J1293" s="20">
        <f>VLOOKUP(A1293,Metrik!$C$2:$Y$959,10,0)</f>
        <v>0.17</v>
      </c>
      <c r="K1293" s="20">
        <f>VLOOKUP(A1293,Metrik!$C$2:$Y$959,11,0)</f>
        <v>0.16</v>
      </c>
      <c r="L1293" s="20">
        <f>VLOOKUP(A1293,Metrik!$C$2:$Y$959,12,0)</f>
        <v>0.02</v>
      </c>
      <c r="M1293" s="20">
        <f>VLOOKUP(A1293,Metrik!$C$2:$Y$959,19,0)</f>
        <v>240</v>
      </c>
      <c r="N1293" s="21"/>
      <c r="O1293" s="21"/>
      <c r="P1293" s="21"/>
      <c r="Q1293" s="21"/>
      <c r="R1293" s="21"/>
      <c r="S1293" s="21"/>
      <c r="T1293" s="21"/>
      <c r="U1293" s="22">
        <f>IFERROR(__xludf.DUMMYFUNCTION("IFERROR(GOOGLEFINANCE(A1293,""closeyest""),"""")"),35.24)</f>
        <v>35.24</v>
      </c>
      <c r="V1293" s="23">
        <f>IFERROR(__xludf.DUMMYFUNCTION("IFERROR(GOOGLEFINANCE(A1293,""changepct""),"""")"),-9.39)</f>
        <v>-9.39</v>
      </c>
      <c r="W1293" s="22">
        <f>IFERROR(__xludf.DUMMYFUNCTION("IFERROR(GOOGLEFINANCE(A1293,""priceopen""),"""")"),35.23)</f>
        <v>35.23</v>
      </c>
      <c r="X1293" s="22">
        <f>IFERROR(__xludf.DUMMYFUNCTION("IFERROR(GOOGLEFINANCE(A1293,""high""),"""")"),35.26)</f>
        <v>35.26</v>
      </c>
      <c r="Y1293" s="22">
        <f>IFERROR(__xludf.DUMMYFUNCTION("IFERROR(GOOGLEFINANCE(A1293,""low""),"""")"),31.41)</f>
        <v>31.41</v>
      </c>
      <c r="Z1293" s="22">
        <f>IFERROR(__xludf.DUMMYFUNCTION("IFERROR(GOOGLEFINANCE(A1293,""volume""),"""")"),6998039.0)</f>
        <v>6998039</v>
      </c>
      <c r="AA1293" s="24" t="str">
        <f>VLOOKUP(A1293,Metrik!$C$2:$Y$959,5,0)</f>
        <v>Real Estate Management &amp; Development</v>
      </c>
      <c r="AB1293" s="24" t="str">
        <f>VLOOKUP(A1293,Metrik!$C$2:$Y$959,3,0)</f>
        <v>Properties &amp; Real Estate</v>
      </c>
    </row>
    <row r="1294">
      <c r="A1294" s="14" t="s">
        <v>689</v>
      </c>
      <c r="B1294" s="14" t="str">
        <f t="array" ref="B1294">VLOOKUP(A1294,{Metrik!$C$2:$C$998,Metrik!$B$2:$B$998},2,0)</f>
        <v>Wahana Inti Makmur Tbk.</v>
      </c>
      <c r="C1294" s="15">
        <f>IFERROR(__xludf.DUMMYFUNCTION("GOOGLEFINANCE(""IDX:""&amp;A1294,""price"")"),104.0)</f>
        <v>104</v>
      </c>
      <c r="D1294" s="16" t="str">
        <f>IFERROR(__xludf.DUMMYFUNCTION("IF(A1294="""","""",
SPARKLINE(
INDEX(
GOOGLEFINANCE(""IDX:""&amp;A1294,""close"",TODAY()-365,TODAY()),
,2
),
{""linewidth"",1}
))
"),"#N/A")</f>
        <v>#N/A</v>
      </c>
      <c r="E1294" s="26"/>
      <c r="F1294" s="26"/>
      <c r="G1294" s="24">
        <f t="shared" si="8"/>
        <v>0</v>
      </c>
      <c r="H1294" s="19">
        <f>VLOOKUP(A1294,Metrik!$C$2:$Y$959,8,0)</f>
        <v>-22.9</v>
      </c>
      <c r="I1294" s="20">
        <f>VLOOKUP(A1294,Metrik!$C$2:$Y$959,9,0)</f>
        <v>1.8</v>
      </c>
      <c r="J1294" s="20">
        <f>VLOOKUP(A1294,Metrik!$C$2:$Y$959,10,0)</f>
        <v>-7.9</v>
      </c>
      <c r="K1294" s="20">
        <f>VLOOKUP(A1294,Metrik!$C$2:$Y$959,11,0)</f>
        <v>-6.6</v>
      </c>
      <c r="L1294" s="20">
        <f>VLOOKUP(A1294,Metrik!$C$2:$Y$959,12,0)</f>
        <v>0.2</v>
      </c>
      <c r="M1294" s="20">
        <f>VLOOKUP(A1294,Metrik!$C$2:$Y$959,19,0)</f>
        <v>-51.1</v>
      </c>
      <c r="N1294" s="21"/>
      <c r="O1294" s="21"/>
      <c r="P1294" s="21"/>
      <c r="Q1294" s="21"/>
      <c r="R1294" s="21"/>
      <c r="S1294" s="21"/>
      <c r="T1294" s="21"/>
      <c r="U1294" s="22">
        <f>IFERROR(__xludf.DUMMYFUNCTION("IFERROR(GOOGLEFINANCE(A1294,""closeyest""),"""")"),99.0)</f>
        <v>99</v>
      </c>
      <c r="V1294" s="23">
        <f>IFERROR(__xludf.DUMMYFUNCTION("IFERROR(GOOGLEFINANCE(A1294,""changepct""),"""")"),5.05)</f>
        <v>5.05</v>
      </c>
      <c r="W1294" s="22">
        <f>IFERROR(__xludf.DUMMYFUNCTION("IFERROR(GOOGLEFINANCE(A1294,""priceopen""),"""")"),100.0)</f>
        <v>100</v>
      </c>
      <c r="X1294" s="22">
        <f>IFERROR(__xludf.DUMMYFUNCTION("IFERROR(GOOGLEFINANCE(A1294,""high""),"""")"),105.0)</f>
        <v>105</v>
      </c>
      <c r="Y1294" s="22">
        <f>IFERROR(__xludf.DUMMYFUNCTION("IFERROR(GOOGLEFINANCE(A1294,""low""),"""")"),99.0)</f>
        <v>99</v>
      </c>
      <c r="Z1294" s="22">
        <f>IFERROR(__xludf.DUMMYFUNCTION("IFERROR(GOOGLEFINANCE(A1294,""volume""),"""")"),1918500.0)</f>
        <v>1918500</v>
      </c>
      <c r="AA1294" s="24" t="str">
        <f>VLOOKUP(A1294,Metrik!$C$2:$Y$959,5,0)</f>
        <v>Processed Foods</v>
      </c>
      <c r="AB1294" s="24" t="str">
        <f>VLOOKUP(A1294,Metrik!$C$2:$Y$959,3,0)</f>
        <v>Consumer Non-Cyclicals</v>
      </c>
    </row>
    <row r="1295">
      <c r="A1295" s="14" t="s">
        <v>690</v>
      </c>
      <c r="B1295" s="14" t="str">
        <f t="array" ref="B1295">VLOOKUP(A1295,{Metrik!$C$2:$C$998,Metrik!$B$2:$B$998},2,0)</f>
        <v>Olympus Strategic Indonesia Tbk.</v>
      </c>
      <c r="C1295" s="15">
        <f>IFERROR(__xludf.DUMMYFUNCTION("GOOGLEFINANCE(""IDX:""&amp;A1295,""price"")"),590.0)</f>
        <v>590</v>
      </c>
      <c r="D1295" s="16" t="str">
        <f>IFERROR(__xludf.DUMMYFUNCTION("IF(A1295="""","""",
SPARKLINE(
INDEX(
GOOGLEFINANCE(""IDX:""&amp;A1295,""close"",TODAY()-365,TODAY()),
,2
),
{""linewidth"",1}
))
"),"#N/A")</f>
        <v>#N/A</v>
      </c>
      <c r="E1295" s="26"/>
      <c r="F1295" s="26"/>
      <c r="G1295" s="24">
        <f t="shared" si="8"/>
        <v>0</v>
      </c>
      <c r="H1295" s="19">
        <f>VLOOKUP(A1295,Metrik!$C$2:$Y$959,8,0)</f>
        <v>-57.1</v>
      </c>
      <c r="I1295" s="20">
        <f>VLOOKUP(A1295,Metrik!$C$2:$Y$959,9,0)</f>
        <v>2.4</v>
      </c>
      <c r="J1295" s="20">
        <f>VLOOKUP(A1295,Metrik!$C$2:$Y$959,10,0)</f>
        <v>-4.2</v>
      </c>
      <c r="K1295" s="20">
        <f>VLOOKUP(A1295,Metrik!$C$2:$Y$959,11,0)</f>
        <v>-1.9</v>
      </c>
      <c r="L1295" s="20">
        <f>VLOOKUP(A1295,Metrik!$C$2:$Y$959,12,0)</f>
        <v>1.2</v>
      </c>
      <c r="M1295" s="20">
        <f>VLOOKUP(A1295,Metrik!$C$2:$Y$959,19,0)</f>
        <v>-24.2</v>
      </c>
      <c r="N1295" s="21"/>
      <c r="O1295" s="21"/>
      <c r="P1295" s="21"/>
      <c r="Q1295" s="21"/>
      <c r="R1295" s="21"/>
      <c r="S1295" s="21"/>
      <c r="T1295" s="21"/>
      <c r="U1295" s="22">
        <f>IFERROR(__xludf.DUMMYFUNCTION("IFERROR(GOOGLEFINANCE(A1295,""closeyest""),"""")"),40.04)</f>
        <v>40.04</v>
      </c>
      <c r="V1295" s="23" t="str">
        <f>IFERROR(__xludf.DUMMYFUNCTION("IFERROR(GOOGLEFINANCE(A1295,""changepct""),"""")"),"")</f>
        <v/>
      </c>
      <c r="W1295" s="22">
        <f>IFERROR(__xludf.DUMMYFUNCTION("IFERROR(GOOGLEFINANCE(A1295,""priceopen""),"""")"),40.11)</f>
        <v>40.11</v>
      </c>
      <c r="X1295" s="22">
        <f>IFERROR(__xludf.DUMMYFUNCTION("IFERROR(GOOGLEFINANCE(A1295,""high""),"""")"),40.11)</f>
        <v>40.11</v>
      </c>
      <c r="Y1295" s="22">
        <f>IFERROR(__xludf.DUMMYFUNCTION("IFERROR(GOOGLEFINANCE(A1295,""low""),"""")"),39.8)</f>
        <v>39.8</v>
      </c>
      <c r="Z1295" s="22">
        <f>IFERROR(__xludf.DUMMYFUNCTION("IFERROR(GOOGLEFINANCE(A1295,""volume""),"""")"),16896.0)</f>
        <v>16896</v>
      </c>
      <c r="AA1295" s="24" t="str">
        <f>VLOOKUP(A1295,Metrik!$C$2:$Y$959,5,0)</f>
        <v>Tourism &amp; Recreation</v>
      </c>
      <c r="AB1295" s="24" t="str">
        <f>VLOOKUP(A1295,Metrik!$C$2:$Y$959,3,0)</f>
        <v>Consumer Cyclicals</v>
      </c>
    </row>
    <row r="1296">
      <c r="A1296" s="14" t="s">
        <v>691</v>
      </c>
      <c r="B1296" s="14" t="str">
        <f t="array" ref="B1296">VLOOKUP(A1296,{Metrik!$C$2:$C$998,Metrik!$B$2:$B$998},2,0)</f>
        <v>PT Hassana Boga Sejahtera Tbk</v>
      </c>
      <c r="C1296" s="15">
        <f>IFERROR(__xludf.DUMMYFUNCTION("GOOGLEFINANCE(""IDX:""&amp;A1296,""price"")"),55.0)</f>
        <v>55</v>
      </c>
      <c r="D1296" s="16" t="str">
        <f>IFERROR(__xludf.DUMMYFUNCTION("IF(A1296="""","""",
SPARKLINE(
INDEX(
GOOGLEFINANCE(""IDX:""&amp;A1296,""close"",TODAY()-365,TODAY()),
,2
),
{""linewidth"",1}
))
"),"#N/A")</f>
        <v>#N/A</v>
      </c>
      <c r="E1296" s="26"/>
      <c r="F1296" s="26"/>
      <c r="G1296" s="24">
        <f t="shared" si="8"/>
        <v>0</v>
      </c>
      <c r="H1296" s="19">
        <f>VLOOKUP(A1296,Metrik!$C$2:$Y$959,8,0)</f>
        <v>-30.3</v>
      </c>
      <c r="I1296" s="20">
        <f>VLOOKUP(A1296,Metrik!$C$2:$Y$959,9,0)</f>
        <v>2</v>
      </c>
      <c r="J1296" s="20">
        <f>VLOOKUP(A1296,Metrik!$C$2:$Y$959,10,0)</f>
        <v>-6.5</v>
      </c>
      <c r="K1296" s="20">
        <f>VLOOKUP(A1296,Metrik!$C$2:$Y$959,11,0)</f>
        <v>-6.3</v>
      </c>
      <c r="L1296" s="20">
        <f>VLOOKUP(A1296,Metrik!$C$2:$Y$959,12,0)</f>
        <v>0.04</v>
      </c>
      <c r="M1296" s="20">
        <f>VLOOKUP(A1296,Metrik!$C$2:$Y$959,19,0)</f>
        <v>-18</v>
      </c>
      <c r="N1296" s="21"/>
      <c r="O1296" s="21"/>
      <c r="P1296" s="21"/>
      <c r="Q1296" s="21"/>
      <c r="R1296" s="21"/>
      <c r="S1296" s="21"/>
      <c r="T1296" s="21"/>
      <c r="U1296" s="22">
        <f>IFERROR(__xludf.DUMMYFUNCTION("IFERROR(GOOGLEFINANCE(A1296,""closeyest""),"""")"),57.0)</f>
        <v>57</v>
      </c>
      <c r="V1296" s="23">
        <f>IFERROR(__xludf.DUMMYFUNCTION("IFERROR(GOOGLEFINANCE(A1296,""changepct""),"""")"),-3.51)</f>
        <v>-3.51</v>
      </c>
      <c r="W1296" s="22">
        <f>IFERROR(__xludf.DUMMYFUNCTION("IFERROR(GOOGLEFINANCE(A1296,""priceopen""),"""")"),57.0)</f>
        <v>57</v>
      </c>
      <c r="X1296" s="22">
        <f>IFERROR(__xludf.DUMMYFUNCTION("IFERROR(GOOGLEFINANCE(A1296,""high""),"""")"),58.0)</f>
        <v>58</v>
      </c>
      <c r="Y1296" s="22">
        <f>IFERROR(__xludf.DUMMYFUNCTION("IFERROR(GOOGLEFINANCE(A1296,""low""),"""")"),54.0)</f>
        <v>54</v>
      </c>
      <c r="Z1296" s="22">
        <f>IFERROR(__xludf.DUMMYFUNCTION("IFERROR(GOOGLEFINANCE(A1296,""volume""),"""")"),1.38311E7)</f>
        <v>13831100</v>
      </c>
      <c r="AA1296" s="24" t="str">
        <f>VLOOKUP(A1296,Metrik!$C$2:$Y$959,5,0)</f>
        <v>Processed Foods</v>
      </c>
      <c r="AB1296" s="24" t="str">
        <f>VLOOKUP(A1296,Metrik!$C$2:$Y$959,3,0)</f>
        <v>Consumer Non-Cyclicals</v>
      </c>
    </row>
    <row r="1297">
      <c r="A1297" s="14" t="s">
        <v>692</v>
      </c>
      <c r="B1297" s="14" t="str">
        <f t="array" ref="B1297">VLOOKUP(A1297,{Metrik!$C$2:$C$998,Metrik!$B$2:$B$998},2,0)</f>
        <v>PT Trimegah Bangun Persada Tbk.</v>
      </c>
      <c r="C1297" s="15">
        <f>IFERROR(__xludf.DUMMYFUNCTION("GOOGLEFINANCE(""IDX:""&amp;A1297,""price"")"),890.0)</f>
        <v>890</v>
      </c>
      <c r="D1297" s="16" t="str">
        <f>IFERROR(__xludf.DUMMYFUNCTION("IF(A1297="""","""",
SPARKLINE(
INDEX(
GOOGLEFINANCE(""IDX:""&amp;A1297,""close"",TODAY()-365,TODAY()),
,2
),
{""linewidth"",1}
))
"),"#N/A")</f>
        <v>#N/A</v>
      </c>
      <c r="E1297" s="14" t="s">
        <v>32</v>
      </c>
      <c r="F1297" s="14" t="s">
        <v>29</v>
      </c>
      <c r="G1297" s="18">
        <f t="shared" si="8"/>
        <v>4</v>
      </c>
      <c r="H1297" s="19">
        <f>VLOOKUP(A1297,Metrik!$C$2:$Y$959,8,0)</f>
        <v>5.6</v>
      </c>
      <c r="I1297" s="20">
        <f>VLOOKUP(A1297,Metrik!$C$2:$Y$959,9,0)</f>
        <v>1.1</v>
      </c>
      <c r="J1297" s="20">
        <f>VLOOKUP(A1297,Metrik!$C$2:$Y$959,10,0)</f>
        <v>20</v>
      </c>
      <c r="K1297" s="20">
        <f>VLOOKUP(A1297,Metrik!$C$2:$Y$959,11,0)</f>
        <v>15.4</v>
      </c>
      <c r="L1297" s="20">
        <f>VLOOKUP(A1297,Metrik!$C$2:$Y$959,12,0)</f>
        <v>0.3</v>
      </c>
      <c r="M1297" s="20">
        <f>VLOOKUP(A1297,Metrik!$C$2:$Y$959,19,0)</f>
        <v>150</v>
      </c>
      <c r="N1297" s="21"/>
      <c r="O1297" s="21"/>
      <c r="P1297" s="21"/>
      <c r="Q1297" s="21"/>
      <c r="R1297" s="21"/>
      <c r="S1297" s="21"/>
      <c r="T1297" s="21"/>
      <c r="U1297" s="22">
        <f>IFERROR(__xludf.DUMMYFUNCTION("IFERROR(GOOGLEFINANCE(A1297,""closeyest""),"""")"),785.0)</f>
        <v>785</v>
      </c>
      <c r="V1297" s="23">
        <f>IFERROR(__xludf.DUMMYFUNCTION("IFERROR(GOOGLEFINANCE(A1297,""changepct""),"""")"),13.38)</f>
        <v>13.38</v>
      </c>
      <c r="W1297" s="22">
        <f>IFERROR(__xludf.DUMMYFUNCTION("IFERROR(GOOGLEFINANCE(A1297,""priceopen""),"""")"),790.0)</f>
        <v>790</v>
      </c>
      <c r="X1297" s="22">
        <f>IFERROR(__xludf.DUMMYFUNCTION("IFERROR(GOOGLEFINANCE(A1297,""high""),"""")"),890.0)</f>
        <v>890</v>
      </c>
      <c r="Y1297" s="22">
        <f>IFERROR(__xludf.DUMMYFUNCTION("IFERROR(GOOGLEFINANCE(A1297,""low""),"""")"),790.0)</f>
        <v>790</v>
      </c>
      <c r="Z1297" s="22">
        <f>IFERROR(__xludf.DUMMYFUNCTION("IFERROR(GOOGLEFINANCE(A1297,""volume""),"""")"),6.33863E7)</f>
        <v>63386300</v>
      </c>
      <c r="AA1297" s="24" t="str">
        <f>VLOOKUP(A1297,Metrik!$C$2:$Y$959,5,0)</f>
        <v>Metals &amp; Minerals</v>
      </c>
      <c r="AB1297" s="24" t="str">
        <f>VLOOKUP(A1297,Metrik!$C$2:$Y$959,3,0)</f>
        <v>Basic Materials</v>
      </c>
    </row>
    <row r="1298">
      <c r="A1298" s="14" t="s">
        <v>692</v>
      </c>
      <c r="B1298" s="14" t="str">
        <f t="array" ref="B1298">VLOOKUP(A1298,{Metrik!$C$2:$C$998,Metrik!$B$2:$B$998},2,0)</f>
        <v>PT Trimegah Bangun Persada Tbk.</v>
      </c>
      <c r="C1298" s="15">
        <f>IFERROR(__xludf.DUMMYFUNCTION("GOOGLEFINANCE(""IDX:""&amp;A1298,""price"")"),890.0)</f>
        <v>890</v>
      </c>
      <c r="D1298" s="16" t="str">
        <f>IFERROR(__xludf.DUMMYFUNCTION("IF(A1298="""","""",
SPARKLINE(
INDEX(
GOOGLEFINANCE(""IDX:""&amp;A1298,""close"",TODAY()-365,TODAY()),
,2
),
{""linewidth"",1}
))
"),"#N/A")</f>
        <v>#N/A</v>
      </c>
      <c r="E1298" s="14" t="s">
        <v>54</v>
      </c>
      <c r="F1298" s="14" t="s">
        <v>34</v>
      </c>
      <c r="G1298" s="18">
        <f t="shared" si="8"/>
        <v>4</v>
      </c>
      <c r="H1298" s="19">
        <f>VLOOKUP(A1298,Metrik!$C$2:$Y$959,8,0)</f>
        <v>5.6</v>
      </c>
      <c r="I1298" s="20">
        <f>VLOOKUP(A1298,Metrik!$C$2:$Y$959,9,0)</f>
        <v>1.1</v>
      </c>
      <c r="J1298" s="20">
        <f>VLOOKUP(A1298,Metrik!$C$2:$Y$959,10,0)</f>
        <v>20</v>
      </c>
      <c r="K1298" s="20">
        <f>VLOOKUP(A1298,Metrik!$C$2:$Y$959,11,0)</f>
        <v>15.4</v>
      </c>
      <c r="L1298" s="20">
        <f>VLOOKUP(A1298,Metrik!$C$2:$Y$959,12,0)</f>
        <v>0.3</v>
      </c>
      <c r="M1298" s="20">
        <f>VLOOKUP(A1298,Metrik!$C$2:$Y$959,19,0)</f>
        <v>150</v>
      </c>
      <c r="N1298" s="21"/>
      <c r="O1298" s="21"/>
      <c r="P1298" s="21"/>
      <c r="Q1298" s="21"/>
      <c r="R1298" s="21"/>
      <c r="S1298" s="21"/>
      <c r="T1298" s="21"/>
      <c r="U1298" s="22">
        <f>IFERROR(__xludf.DUMMYFUNCTION("IFERROR(GOOGLEFINANCE(A1298,""closeyest""),"""")"),785.0)</f>
        <v>785</v>
      </c>
      <c r="V1298" s="23">
        <f>IFERROR(__xludf.DUMMYFUNCTION("IFERROR(GOOGLEFINANCE(A1298,""changepct""),"""")"),13.38)</f>
        <v>13.38</v>
      </c>
      <c r="W1298" s="22">
        <f>IFERROR(__xludf.DUMMYFUNCTION("IFERROR(GOOGLEFINANCE(A1298,""priceopen""),"""")"),790.0)</f>
        <v>790</v>
      </c>
      <c r="X1298" s="22">
        <f>IFERROR(__xludf.DUMMYFUNCTION("IFERROR(GOOGLEFINANCE(A1298,""high""),"""")"),890.0)</f>
        <v>890</v>
      </c>
      <c r="Y1298" s="22">
        <f>IFERROR(__xludf.DUMMYFUNCTION("IFERROR(GOOGLEFINANCE(A1298,""low""),"""")"),790.0)</f>
        <v>790</v>
      </c>
      <c r="Z1298" s="22">
        <f>IFERROR(__xludf.DUMMYFUNCTION("IFERROR(GOOGLEFINANCE(A1298,""volume""),"""")"),6.33863E7)</f>
        <v>63386300</v>
      </c>
      <c r="AA1298" s="24" t="str">
        <f>VLOOKUP(A1298,Metrik!$C$2:$Y$959,5,0)</f>
        <v>Metals &amp; Minerals</v>
      </c>
      <c r="AB1298" s="24" t="str">
        <f>VLOOKUP(A1298,Metrik!$C$2:$Y$959,3,0)</f>
        <v>Basic Materials</v>
      </c>
    </row>
    <row r="1299">
      <c r="A1299" s="14" t="s">
        <v>692</v>
      </c>
      <c r="B1299" s="14" t="str">
        <f t="array" ref="B1299">VLOOKUP(A1299,{Metrik!$C$2:$C$998,Metrik!$B$2:$B$998},2,0)</f>
        <v>PT Trimegah Bangun Persada Tbk.</v>
      </c>
      <c r="C1299" s="15">
        <f>IFERROR(__xludf.DUMMYFUNCTION("GOOGLEFINANCE(""IDX:""&amp;A1299,""price"")"),890.0)</f>
        <v>890</v>
      </c>
      <c r="D1299" s="16" t="str">
        <f>IFERROR(__xludf.DUMMYFUNCTION("IF(A1299="""","""",
SPARKLINE(
INDEX(
GOOGLEFINANCE(""IDX:""&amp;A1299,""close"",TODAY()-365,TODAY()),
,2
),
{""linewidth"",1}
))
"),"#N/A")</f>
        <v>#N/A</v>
      </c>
      <c r="E1299" s="14" t="s">
        <v>33</v>
      </c>
      <c r="F1299" s="14" t="s">
        <v>34</v>
      </c>
      <c r="G1299" s="18">
        <f t="shared" si="8"/>
        <v>4</v>
      </c>
      <c r="H1299" s="19">
        <f>VLOOKUP(A1299,Metrik!$C$2:$Y$959,8,0)</f>
        <v>5.6</v>
      </c>
      <c r="I1299" s="20">
        <f>VLOOKUP(A1299,Metrik!$C$2:$Y$959,9,0)</f>
        <v>1.1</v>
      </c>
      <c r="J1299" s="20">
        <f>VLOOKUP(A1299,Metrik!$C$2:$Y$959,10,0)</f>
        <v>20</v>
      </c>
      <c r="K1299" s="20">
        <f>VLOOKUP(A1299,Metrik!$C$2:$Y$959,11,0)</f>
        <v>15.4</v>
      </c>
      <c r="L1299" s="20">
        <f>VLOOKUP(A1299,Metrik!$C$2:$Y$959,12,0)</f>
        <v>0.3</v>
      </c>
      <c r="M1299" s="20">
        <f>VLOOKUP(A1299,Metrik!$C$2:$Y$959,19,0)</f>
        <v>150</v>
      </c>
      <c r="N1299" s="21"/>
      <c r="O1299" s="21"/>
      <c r="P1299" s="21"/>
      <c r="Q1299" s="21"/>
      <c r="R1299" s="21"/>
      <c r="S1299" s="21"/>
      <c r="T1299" s="21"/>
      <c r="U1299" s="22">
        <f>IFERROR(__xludf.DUMMYFUNCTION("IFERROR(GOOGLEFINANCE(A1299,""closeyest""),"""")"),785.0)</f>
        <v>785</v>
      </c>
      <c r="V1299" s="23">
        <f>IFERROR(__xludf.DUMMYFUNCTION("IFERROR(GOOGLEFINANCE(A1299,""changepct""),"""")"),13.38)</f>
        <v>13.38</v>
      </c>
      <c r="W1299" s="22">
        <f>IFERROR(__xludf.DUMMYFUNCTION("IFERROR(GOOGLEFINANCE(A1299,""priceopen""),"""")"),790.0)</f>
        <v>790</v>
      </c>
      <c r="X1299" s="22">
        <f>IFERROR(__xludf.DUMMYFUNCTION("IFERROR(GOOGLEFINANCE(A1299,""high""),"""")"),890.0)</f>
        <v>890</v>
      </c>
      <c r="Y1299" s="22">
        <f>IFERROR(__xludf.DUMMYFUNCTION("IFERROR(GOOGLEFINANCE(A1299,""low""),"""")"),790.0)</f>
        <v>790</v>
      </c>
      <c r="Z1299" s="22">
        <f>IFERROR(__xludf.DUMMYFUNCTION("IFERROR(GOOGLEFINANCE(A1299,""volume""),"""")"),6.33863E7)</f>
        <v>63386300</v>
      </c>
      <c r="AA1299" s="24" t="str">
        <f>VLOOKUP(A1299,Metrik!$C$2:$Y$959,5,0)</f>
        <v>Metals &amp; Minerals</v>
      </c>
      <c r="AB1299" s="24" t="str">
        <f>VLOOKUP(A1299,Metrik!$C$2:$Y$959,3,0)</f>
        <v>Basic Materials</v>
      </c>
    </row>
    <row r="1300">
      <c r="A1300" s="48" t="s">
        <v>692</v>
      </c>
      <c r="B1300" s="14" t="str">
        <f t="array" ref="B1300">VLOOKUP(A1300,{Metrik!$C$2:$C$998,Metrik!$B$2:$B$998},2,0)</f>
        <v>PT Trimegah Bangun Persada Tbk.</v>
      </c>
      <c r="C1300" s="15">
        <f>IFERROR(__xludf.DUMMYFUNCTION("GOOGLEFINANCE(""IDX:""&amp;A1300,""price"")"),890.0)</f>
        <v>890</v>
      </c>
      <c r="D1300" s="16" t="str">
        <f>IFERROR(__xludf.DUMMYFUNCTION("IF(A1300="""","""",
SPARKLINE(
INDEX(
GOOGLEFINANCE(""IDX:""&amp;A1300,""close"",TODAY()-365,TODAY()),
,2
),
{""linewidth"",1}
))
"),"#N/A")</f>
        <v>#N/A</v>
      </c>
      <c r="E1300" s="17" t="s">
        <v>69</v>
      </c>
      <c r="F1300" s="17" t="s">
        <v>70</v>
      </c>
      <c r="G1300" s="24">
        <f t="shared" si="8"/>
        <v>4</v>
      </c>
      <c r="H1300" s="19">
        <f>VLOOKUP(A1300,Metrik!$C$2:$Y$959,8,0)</f>
        <v>5.6</v>
      </c>
      <c r="I1300" s="20">
        <f>VLOOKUP(A1300,Metrik!$C$2:$Y$959,9,0)</f>
        <v>1.1</v>
      </c>
      <c r="J1300" s="20">
        <f>VLOOKUP(A1300,Metrik!$C$2:$Y$959,10,0)</f>
        <v>20</v>
      </c>
      <c r="K1300" s="20">
        <f>VLOOKUP(A1300,Metrik!$C$2:$Y$959,11,0)</f>
        <v>15.4</v>
      </c>
      <c r="L1300" s="20">
        <f>VLOOKUP(A1300,Metrik!$C$2:$Y$959,12,0)</f>
        <v>0.3</v>
      </c>
      <c r="M1300" s="20">
        <f>VLOOKUP(A1300,Metrik!$C$2:$Y$959,19,0)</f>
        <v>150</v>
      </c>
      <c r="N1300" s="21"/>
      <c r="O1300" s="21"/>
      <c r="P1300" s="21"/>
      <c r="Q1300" s="21"/>
      <c r="R1300" s="21"/>
      <c r="S1300" s="21"/>
      <c r="T1300" s="21"/>
      <c r="U1300" s="22">
        <f>IFERROR(__xludf.DUMMYFUNCTION("IFERROR(GOOGLEFINANCE(A1300,""closeyest""),"""")"),785.0)</f>
        <v>785</v>
      </c>
      <c r="V1300" s="23">
        <f>IFERROR(__xludf.DUMMYFUNCTION("IFERROR(GOOGLEFINANCE(A1300,""changepct""),"""")"),13.38)</f>
        <v>13.38</v>
      </c>
      <c r="W1300" s="22">
        <f>IFERROR(__xludf.DUMMYFUNCTION("IFERROR(GOOGLEFINANCE(A1300,""priceopen""),"""")"),790.0)</f>
        <v>790</v>
      </c>
      <c r="X1300" s="22">
        <f>IFERROR(__xludf.DUMMYFUNCTION("IFERROR(GOOGLEFINANCE(A1300,""high""),"""")"),890.0)</f>
        <v>890</v>
      </c>
      <c r="Y1300" s="22">
        <f>IFERROR(__xludf.DUMMYFUNCTION("IFERROR(GOOGLEFINANCE(A1300,""low""),"""")"),790.0)</f>
        <v>790</v>
      </c>
      <c r="Z1300" s="22">
        <f>IFERROR(__xludf.DUMMYFUNCTION("IFERROR(GOOGLEFINANCE(A1300,""volume""),"""")"),6.33863E7)</f>
        <v>63386300</v>
      </c>
      <c r="AA1300" s="24" t="str">
        <f>VLOOKUP(A1300,Metrik!$C$2:$Y$959,5,0)</f>
        <v>Metals &amp; Minerals</v>
      </c>
      <c r="AB1300" s="24" t="str">
        <f>VLOOKUP(A1300,Metrik!$C$2:$Y$959,3,0)</f>
        <v>Basic Materials</v>
      </c>
    </row>
    <row r="1301">
      <c r="A1301" s="14" t="s">
        <v>693</v>
      </c>
      <c r="B1301" s="14" t="str">
        <f t="array" ref="B1301">VLOOKUP(A1301,{Metrik!$C$2:$C$998,Metrik!$B$2:$B$998},2,0)</f>
        <v>Pelayaran Nelly Dwi Putri Tbk</v>
      </c>
      <c r="C1301" s="15">
        <f>IFERROR(__xludf.DUMMYFUNCTION("GOOGLEFINANCE(""IDX:""&amp;A1301,""price"")"),195.0)</f>
        <v>195</v>
      </c>
      <c r="D1301" s="16" t="str">
        <f>IFERROR(__xludf.DUMMYFUNCTION("IF(A1301="""","""",
SPARKLINE(
INDEX(
GOOGLEFINANCE(""IDX:""&amp;A1301,""close"",TODAY()-365,TODAY()),
,2
),
{""linewidth"",1}
))
"),"#N/A")</f>
        <v>#N/A</v>
      </c>
      <c r="E1301" s="26"/>
      <c r="F1301" s="26"/>
      <c r="G1301" s="24">
        <f t="shared" si="8"/>
        <v>0</v>
      </c>
      <c r="H1301" s="19">
        <f>VLOOKUP(A1301,Metrik!$C$2:$Y$959,8,0)</f>
        <v>-77</v>
      </c>
      <c r="I1301" s="20">
        <f>VLOOKUP(A1301,Metrik!$C$2:$Y$959,9,0)</f>
        <v>0.61</v>
      </c>
      <c r="J1301" s="20">
        <f>VLOOKUP(A1301,Metrik!$C$2:$Y$959,10,0)</f>
        <v>-0.79</v>
      </c>
      <c r="K1301" s="20">
        <f>VLOOKUP(A1301,Metrik!$C$2:$Y$959,11,0)</f>
        <v>-0.61</v>
      </c>
      <c r="L1301" s="20">
        <f>VLOOKUP(A1301,Metrik!$C$2:$Y$959,12,0)</f>
        <v>0.28</v>
      </c>
      <c r="M1301" s="20">
        <f>VLOOKUP(A1301,Metrik!$C$2:$Y$959,19,0)</f>
        <v>-15.7</v>
      </c>
      <c r="N1301" s="21"/>
      <c r="O1301" s="21"/>
      <c r="P1301" s="21"/>
      <c r="Q1301" s="21"/>
      <c r="R1301" s="21"/>
      <c r="S1301" s="21"/>
      <c r="T1301" s="21"/>
      <c r="U1301" s="22">
        <f>IFERROR(__xludf.DUMMYFUNCTION("IFERROR(GOOGLEFINANCE(A1301,""closeyest""),"""")"),175.0)</f>
        <v>175</v>
      </c>
      <c r="V1301" s="23" t="str">
        <f>IFERROR(__xludf.DUMMYFUNCTION("IFERROR(GOOGLEFINANCE(A1301,""changepct""),"""")"),"")</f>
        <v/>
      </c>
      <c r="W1301" s="22">
        <f>IFERROR(__xludf.DUMMYFUNCTION("IFERROR(GOOGLEFINANCE(A1301,""priceopen""),"""")"),178.0)</f>
        <v>178</v>
      </c>
      <c r="X1301" s="22">
        <f>IFERROR(__xludf.DUMMYFUNCTION("IFERROR(GOOGLEFINANCE(A1301,""high""),"""")"),230.0)</f>
        <v>230</v>
      </c>
      <c r="Y1301" s="22">
        <f>IFERROR(__xludf.DUMMYFUNCTION("IFERROR(GOOGLEFINANCE(A1301,""low""),"""")"),174.0)</f>
        <v>174</v>
      </c>
      <c r="Z1301" s="22">
        <f>IFERROR(__xludf.DUMMYFUNCTION("IFERROR(GOOGLEFINANCE(A1301,""volume""),"""")"),7056100.0)</f>
        <v>7056100</v>
      </c>
      <c r="AA1301" s="24" t="str">
        <f>VLOOKUP(A1301,Metrik!$C$2:$Y$959,5,0)</f>
        <v>Logistics &amp; Deliveries</v>
      </c>
      <c r="AB1301" s="24" t="str">
        <f>VLOOKUP(A1301,Metrik!$C$2:$Y$959,3,0)</f>
        <v>Transportation &amp; Logistic</v>
      </c>
    </row>
    <row r="1302">
      <c r="A1302" s="14" t="s">
        <v>694</v>
      </c>
      <c r="B1302" s="14" t="str">
        <f t="array" ref="B1302">VLOOKUP(A1302,{Metrik!$C$2:$C$998,Metrik!$B$2:$B$998},2,0)</f>
        <v>Esta Indonesia Tbk.</v>
      </c>
      <c r="C1302" s="15">
        <f>IFERROR(__xludf.DUMMYFUNCTION("GOOGLEFINANCE(""IDX:""&amp;A1302,""price"")"),560.0)</f>
        <v>560</v>
      </c>
      <c r="D1302" s="16" t="str">
        <f>IFERROR(__xludf.DUMMYFUNCTION("IF(A1302="""","""",
SPARKLINE(
INDEX(
GOOGLEFINANCE(""IDX:""&amp;A1302,""close"",TODAY()-365,TODAY()),
,2
),
{""linewidth"",1}
))
"),"#N/A")</f>
        <v>#N/A</v>
      </c>
      <c r="E1302" s="26"/>
      <c r="F1302" s="26"/>
      <c r="G1302" s="24">
        <f t="shared" si="8"/>
        <v>0</v>
      </c>
      <c r="H1302" s="19">
        <f>VLOOKUP(A1302,Metrik!$C$2:$Y$959,8,0)</f>
        <v>84.3</v>
      </c>
      <c r="I1302" s="20">
        <f>VLOOKUP(A1302,Metrik!$C$2:$Y$959,9,0)</f>
        <v>5.6</v>
      </c>
      <c r="J1302" s="20">
        <f>VLOOKUP(A1302,Metrik!$C$2:$Y$959,10,0)</f>
        <v>6.6</v>
      </c>
      <c r="K1302" s="20">
        <f>VLOOKUP(A1302,Metrik!$C$2:$Y$959,11,0)</f>
        <v>6</v>
      </c>
      <c r="L1302" s="20">
        <f>VLOOKUP(A1302,Metrik!$C$2:$Y$959,12,0)</f>
        <v>0.09</v>
      </c>
      <c r="M1302" s="20">
        <f>VLOOKUP(A1302,Metrik!$C$2:$Y$959,19,0)</f>
        <v>26.3</v>
      </c>
      <c r="N1302" s="21"/>
      <c r="O1302" s="21"/>
      <c r="P1302" s="21"/>
      <c r="Q1302" s="21"/>
      <c r="R1302" s="21"/>
      <c r="S1302" s="21"/>
      <c r="T1302" s="21"/>
      <c r="U1302" s="22">
        <f>IFERROR(__xludf.DUMMYFUNCTION("IFERROR(GOOGLEFINANCE(A1302,""closeyest""),"""")"),520.0)</f>
        <v>520</v>
      </c>
      <c r="V1302" s="23">
        <f>IFERROR(__xludf.DUMMYFUNCTION("IFERROR(GOOGLEFINANCE(A1302,""changepct""),"""")"),7.69)</f>
        <v>7.69</v>
      </c>
      <c r="W1302" s="22">
        <f>IFERROR(__xludf.DUMMYFUNCTION("IFERROR(GOOGLEFINANCE(A1302,""priceopen""),"""")"),520.0)</f>
        <v>520</v>
      </c>
      <c r="X1302" s="22">
        <f>IFERROR(__xludf.DUMMYFUNCTION("IFERROR(GOOGLEFINANCE(A1302,""high""),"""")"),565.0)</f>
        <v>565</v>
      </c>
      <c r="Y1302" s="22">
        <f>IFERROR(__xludf.DUMMYFUNCTION("IFERROR(GOOGLEFINANCE(A1302,""low""),"""")"),515.0)</f>
        <v>515</v>
      </c>
      <c r="Z1302" s="22" t="str">
        <f>IFERROR(__xludf.DUMMYFUNCTION("IFERROR(GOOGLEFINANCE(A1302,""volume""),"""")"),"")</f>
        <v/>
      </c>
      <c r="AA1302" s="24" t="str">
        <f>VLOOKUP(A1302,Metrik!$C$2:$Y$959,5,0)</f>
        <v>Agricultural Products</v>
      </c>
      <c r="AB1302" s="24" t="str">
        <f>VLOOKUP(A1302,Metrik!$C$2:$Y$959,3,0)</f>
        <v>Consumer Non-Cyclicals</v>
      </c>
    </row>
    <row r="1303">
      <c r="A1303" s="14" t="s">
        <v>695</v>
      </c>
      <c r="B1303" s="14" t="str">
        <f t="array" ref="B1303">VLOOKUP(A1303,{Metrik!$C$2:$C$998,Metrik!$B$2:$B$998},2,0)</f>
        <v>MDTV Media Technologies Tbk.</v>
      </c>
      <c r="C1303" s="15">
        <f>IFERROR(__xludf.DUMMYFUNCTION("GOOGLEFINANCE(""IDX:""&amp;A1303,""price"")"),55.0)</f>
        <v>55</v>
      </c>
      <c r="D1303" s="16" t="str">
        <f>IFERROR(__xludf.DUMMYFUNCTION("IF(A1303="""","""",
SPARKLINE(
INDEX(
GOOGLEFINANCE(""IDX:""&amp;A1303,""close"",TODAY()-365,TODAY()),
,2
),
{""linewidth"",1}
))
"),"#N/A")</f>
        <v>#N/A</v>
      </c>
      <c r="E1303" s="26"/>
      <c r="F1303" s="26"/>
      <c r="G1303" s="24">
        <f t="shared" si="8"/>
        <v>0</v>
      </c>
      <c r="H1303" s="19">
        <f>VLOOKUP(A1303,Metrik!$C$2:$Y$959,8,0)</f>
        <v>-10.6</v>
      </c>
      <c r="I1303" s="20">
        <f>VLOOKUP(A1303,Metrik!$C$2:$Y$959,9,0)</f>
        <v>7.5</v>
      </c>
      <c r="J1303" s="20">
        <f>VLOOKUP(A1303,Metrik!$C$2:$Y$959,10,0)</f>
        <v>-71</v>
      </c>
      <c r="K1303" s="20">
        <f>VLOOKUP(A1303,Metrik!$C$2:$Y$959,11,0)</f>
        <v>-30.6</v>
      </c>
      <c r="L1303" s="20">
        <f>VLOOKUP(A1303,Metrik!$C$2:$Y$959,12,0)</f>
        <v>1.3</v>
      </c>
      <c r="M1303" s="20">
        <f>VLOOKUP(A1303,Metrik!$C$2:$Y$959,19,0)</f>
        <v>-980</v>
      </c>
      <c r="N1303" s="21"/>
      <c r="O1303" s="21"/>
      <c r="P1303" s="21"/>
      <c r="Q1303" s="21"/>
      <c r="R1303" s="21"/>
      <c r="S1303" s="21"/>
      <c r="T1303" s="21"/>
      <c r="U1303" s="22">
        <f>IFERROR(__xludf.DUMMYFUNCTION("IFERROR(GOOGLEFINANCE(A1303,""closeyest""),"""")"),54.0)</f>
        <v>54</v>
      </c>
      <c r="V1303" s="23">
        <f>IFERROR(__xludf.DUMMYFUNCTION("IFERROR(GOOGLEFINANCE(A1303,""changepct""),"""")"),1.85)</f>
        <v>1.85</v>
      </c>
      <c r="W1303" s="22">
        <f>IFERROR(__xludf.DUMMYFUNCTION("IFERROR(GOOGLEFINANCE(A1303,""priceopen""),"""")"),53.0)</f>
        <v>53</v>
      </c>
      <c r="X1303" s="22">
        <f>IFERROR(__xludf.DUMMYFUNCTION("IFERROR(GOOGLEFINANCE(A1303,""high""),"""")"),58.0)</f>
        <v>58</v>
      </c>
      <c r="Y1303" s="22">
        <f>IFERROR(__xludf.DUMMYFUNCTION("IFERROR(GOOGLEFINANCE(A1303,""low""),"""")"),53.0)</f>
        <v>53</v>
      </c>
      <c r="Z1303" s="22">
        <f>IFERROR(__xludf.DUMMYFUNCTION("IFERROR(GOOGLEFINANCE(A1303,""volume""),"""")"),3.7046E7)</f>
        <v>37046000</v>
      </c>
      <c r="AA1303" s="24" t="str">
        <f>VLOOKUP(A1303,Metrik!$C$2:$Y$959,5,0)</f>
        <v>Media</v>
      </c>
      <c r="AB1303" s="24" t="str">
        <f>VLOOKUP(A1303,Metrik!$C$2:$Y$959,3,0)</f>
        <v>Consumer Cyclicals</v>
      </c>
    </row>
    <row r="1304">
      <c r="A1304" s="14" t="s">
        <v>696</v>
      </c>
      <c r="B1304" s="14" t="str">
        <f t="array" ref="B1304">VLOOKUP(A1304,{Metrik!$C$2:$C$998,Metrik!$B$2:$B$998},2,0)</f>
        <v>NFC Indonesia Tbk.</v>
      </c>
      <c r="C1304" s="15">
        <f>IFERROR(__xludf.DUMMYFUNCTION("GOOGLEFINANCE(""IDX:""&amp;A1304,""price"")"),1685.0)</f>
        <v>1685</v>
      </c>
      <c r="D1304" s="16" t="str">
        <f>IFERROR(__xludf.DUMMYFUNCTION("IF(A1304="""","""",
SPARKLINE(
INDEX(
GOOGLEFINANCE(""IDX:""&amp;A1304,""close"",TODAY()-365,TODAY()),
,2
),
{""linewidth"",1}
))
"),"#N/A")</f>
        <v>#N/A</v>
      </c>
      <c r="E1304" s="26"/>
      <c r="F1304" s="26"/>
      <c r="G1304" s="24">
        <f t="shared" si="8"/>
        <v>0</v>
      </c>
      <c r="H1304" s="19">
        <f>VLOOKUP(A1304,Metrik!$C$2:$Y$959,8,0)</f>
        <v>-1790</v>
      </c>
      <c r="I1304" s="20">
        <f>VLOOKUP(A1304,Metrik!$C$2:$Y$959,9,0)</f>
        <v>1.6</v>
      </c>
      <c r="J1304" s="20">
        <f>VLOOKUP(A1304,Metrik!$C$2:$Y$959,10,0)</f>
        <v>-0.09</v>
      </c>
      <c r="K1304" s="20">
        <f>VLOOKUP(A1304,Metrik!$C$2:$Y$959,11,0)</f>
        <v>-0.04</v>
      </c>
      <c r="L1304" s="20">
        <f>VLOOKUP(A1304,Metrik!$C$2:$Y$959,12,0)</f>
        <v>0.93</v>
      </c>
      <c r="M1304" s="20">
        <f>VLOOKUP(A1304,Metrik!$C$2:$Y$959,19,0)</f>
        <v>-0.09</v>
      </c>
      <c r="N1304" s="21"/>
      <c r="O1304" s="21"/>
      <c r="P1304" s="21"/>
      <c r="Q1304" s="21"/>
      <c r="R1304" s="21"/>
      <c r="S1304" s="21"/>
      <c r="T1304" s="21"/>
      <c r="U1304" s="22">
        <f>IFERROR(__xludf.DUMMYFUNCTION("IFERROR(GOOGLEFINANCE(A1304,""closeyest""),"""")"),1685.0)</f>
        <v>1685</v>
      </c>
      <c r="V1304" s="23">
        <f>IFERROR(__xludf.DUMMYFUNCTION("IFERROR(GOOGLEFINANCE(A1304,""changepct""),"""")"),0.0)</f>
        <v>0</v>
      </c>
      <c r="W1304" s="22">
        <f>IFERROR(__xludf.DUMMYFUNCTION("IFERROR(GOOGLEFINANCE(A1304,""priceopen""),"""")"),1585.0)</f>
        <v>1585</v>
      </c>
      <c r="X1304" s="22">
        <f>IFERROR(__xludf.DUMMYFUNCTION("IFERROR(GOOGLEFINANCE(A1304,""high""),"""")"),1685.0)</f>
        <v>1685</v>
      </c>
      <c r="Y1304" s="22">
        <f>IFERROR(__xludf.DUMMYFUNCTION("IFERROR(GOOGLEFINANCE(A1304,""low""),"""")"),1585.0)</f>
        <v>1585</v>
      </c>
      <c r="Z1304" s="22">
        <f>IFERROR(__xludf.DUMMYFUNCTION("IFERROR(GOOGLEFINANCE(A1304,""volume""),"""")"),14000.0)</f>
        <v>14000</v>
      </c>
      <c r="AA1304" s="24" t="str">
        <f>VLOOKUP(A1304,Metrik!$C$2:$Y$959,5,0)</f>
        <v>Online Applications &amp; Services</v>
      </c>
      <c r="AB1304" s="24" t="str">
        <f>VLOOKUP(A1304,Metrik!$C$2:$Y$959,3,0)</f>
        <v>Technology</v>
      </c>
    </row>
    <row r="1305">
      <c r="A1305" s="14" t="s">
        <v>697</v>
      </c>
      <c r="B1305" s="14" t="str">
        <f t="array" ref="B1305">VLOOKUP(A1305,{Metrik!$C$2:$C$998,Metrik!$B$2:$B$998},2,0)</f>
        <v>Adhi Kartiko Pratama Tbk.</v>
      </c>
      <c r="C1305" s="15">
        <f>IFERROR(__xludf.DUMMYFUNCTION("GOOGLEFINANCE(""IDX:""&amp;A1305,""price"")"),274.0)</f>
        <v>274</v>
      </c>
      <c r="D1305" s="16" t="str">
        <f>IFERROR(__xludf.DUMMYFUNCTION("IF(A1305="""","""",
SPARKLINE(
INDEX(
GOOGLEFINANCE(""IDX:""&amp;A1305,""close"",TODAY()-365,TODAY()),
,2
),
{""linewidth"",1}
))
"),"#N/A")</f>
        <v>#N/A</v>
      </c>
      <c r="E1305" s="26"/>
      <c r="F1305" s="26"/>
      <c r="G1305" s="24">
        <f t="shared" si="8"/>
        <v>0</v>
      </c>
      <c r="H1305" s="19">
        <f>VLOOKUP(A1305,Metrik!$C$2:$Y$959,8,0)</f>
        <v>-90.7</v>
      </c>
      <c r="I1305" s="20">
        <f>VLOOKUP(A1305,Metrik!$C$2:$Y$959,9,0)</f>
        <v>8.3</v>
      </c>
      <c r="J1305" s="20">
        <f>VLOOKUP(A1305,Metrik!$C$2:$Y$959,10,0)</f>
        <v>-9.1</v>
      </c>
      <c r="K1305" s="20">
        <f>VLOOKUP(A1305,Metrik!$C$2:$Y$959,11,0)</f>
        <v>-2.4</v>
      </c>
      <c r="L1305" s="20">
        <f>VLOOKUP(A1305,Metrik!$C$2:$Y$959,12,0)</f>
        <v>2.9</v>
      </c>
      <c r="M1305" s="20">
        <f>VLOOKUP(A1305,Metrik!$C$2:$Y$959,19,0)</f>
        <v>-5</v>
      </c>
      <c r="N1305" s="21"/>
      <c r="O1305" s="21"/>
      <c r="P1305" s="21"/>
      <c r="Q1305" s="21"/>
      <c r="R1305" s="21"/>
      <c r="S1305" s="21"/>
      <c r="T1305" s="21"/>
      <c r="U1305" s="22">
        <f>IFERROR(__xludf.DUMMYFUNCTION("IFERROR(GOOGLEFINANCE(A1305,""closeyest""),"""")"),88.08)</f>
        <v>88.08</v>
      </c>
      <c r="V1305" s="23">
        <f>IFERROR(__xludf.DUMMYFUNCTION("IFERROR(GOOGLEFINANCE(A1305,""changepct""),"""")"),0.72)</f>
        <v>0.72</v>
      </c>
      <c r="W1305" s="22">
        <f>IFERROR(__xludf.DUMMYFUNCTION("IFERROR(GOOGLEFINANCE(A1305,""priceopen""),"""")"),87.24)</f>
        <v>87.24</v>
      </c>
      <c r="X1305" s="22">
        <f>IFERROR(__xludf.DUMMYFUNCTION("IFERROR(GOOGLEFINANCE(A1305,""high""),"""")"),88.97)</f>
        <v>88.97</v>
      </c>
      <c r="Y1305" s="22">
        <f>IFERROR(__xludf.DUMMYFUNCTION("IFERROR(GOOGLEFINANCE(A1305,""low""),"""")"),85.8)</f>
        <v>85.8</v>
      </c>
      <c r="Z1305" s="22">
        <f>IFERROR(__xludf.DUMMYFUNCTION("IFERROR(GOOGLEFINANCE(A1305,""volume""),"""")"),735364.0)</f>
        <v>735364</v>
      </c>
      <c r="AA1305" s="24" t="str">
        <f>VLOOKUP(A1305,Metrik!$C$2:$Y$959,5,0)</f>
        <v>Metals &amp; Minerals</v>
      </c>
      <c r="AB1305" s="24" t="str">
        <f>VLOOKUP(A1305,Metrik!$C$2:$Y$959,3,0)</f>
        <v>Basic Materials</v>
      </c>
    </row>
    <row r="1306">
      <c r="A1306" s="14" t="s">
        <v>698</v>
      </c>
      <c r="B1306" s="14" t="str">
        <f t="array" ref="B1306">VLOOKUP(A1306,{Metrik!$C$2:$C$998,Metrik!$B$2:$B$998},2,0)</f>
        <v>Charnic Capital Tbk.</v>
      </c>
      <c r="C1306" s="15">
        <f>IFERROR(__xludf.DUMMYFUNCTION("GOOGLEFINANCE(""IDX:""&amp;A1306,""price"")"),1040.0)</f>
        <v>1040</v>
      </c>
      <c r="D1306" s="16" t="str">
        <f>IFERROR(__xludf.DUMMYFUNCTION("IF(A1306="""","""",
SPARKLINE(
INDEX(
GOOGLEFINANCE(""IDX:""&amp;A1306,""close"",TODAY()-365,TODAY()),
,2
),
{""linewidth"",1}
))
"),"#N/A")</f>
        <v>#N/A</v>
      </c>
      <c r="E1306" s="26"/>
      <c r="F1306" s="26"/>
      <c r="G1306" s="18">
        <f t="shared" si="8"/>
        <v>0</v>
      </c>
      <c r="H1306" s="19">
        <f>VLOOKUP(A1306,Metrik!$C$2:$Y$959,8,0)</f>
        <v>8</v>
      </c>
      <c r="I1306" s="20">
        <f>VLOOKUP(A1306,Metrik!$C$2:$Y$959,9,0)</f>
        <v>2.4</v>
      </c>
      <c r="J1306" s="20">
        <f>VLOOKUP(A1306,Metrik!$C$2:$Y$959,10,0)</f>
        <v>29.5</v>
      </c>
      <c r="K1306" s="20">
        <f>VLOOKUP(A1306,Metrik!$C$2:$Y$959,11,0)</f>
        <v>29.1</v>
      </c>
      <c r="L1306" s="20">
        <f>VLOOKUP(A1306,Metrik!$C$2:$Y$959,12,0)</f>
        <v>0.01</v>
      </c>
      <c r="M1306" s="20">
        <f>VLOOKUP(A1306,Metrik!$C$2:$Y$959,19,0)</f>
        <v>0</v>
      </c>
      <c r="N1306" s="21"/>
      <c r="O1306" s="21"/>
      <c r="P1306" s="21"/>
      <c r="Q1306" s="21"/>
      <c r="R1306" s="21"/>
      <c r="S1306" s="21"/>
      <c r="T1306" s="21"/>
      <c r="U1306" s="22">
        <f>IFERROR(__xludf.DUMMYFUNCTION("IFERROR(GOOGLEFINANCE(A1306,""closeyest""),"""")"),1020.0)</f>
        <v>1020</v>
      </c>
      <c r="V1306" s="23">
        <f>IFERROR(__xludf.DUMMYFUNCTION("IFERROR(GOOGLEFINANCE(A1306,""changepct""),"""")"),1.96)</f>
        <v>1.96</v>
      </c>
      <c r="W1306" s="22">
        <f>IFERROR(__xludf.DUMMYFUNCTION("IFERROR(GOOGLEFINANCE(A1306,""priceopen""),"""")"),1070.0)</f>
        <v>1070</v>
      </c>
      <c r="X1306" s="22" t="str">
        <f>IFERROR(__xludf.DUMMYFUNCTION("IFERROR(GOOGLEFINANCE(A1306,""high""),"""")"),"")</f>
        <v/>
      </c>
      <c r="Y1306" s="22">
        <f>IFERROR(__xludf.DUMMYFUNCTION("IFERROR(GOOGLEFINANCE(A1306,""low""),"""")"),1040.0)</f>
        <v>1040</v>
      </c>
      <c r="Z1306" s="22">
        <f>IFERROR(__xludf.DUMMYFUNCTION("IFERROR(GOOGLEFINANCE(A1306,""volume""),"""")"),200.0)</f>
        <v>200</v>
      </c>
      <c r="AA1306" s="24" t="str">
        <f>VLOOKUP(A1306,Metrik!$C$2:$Y$959,5,0)</f>
        <v>Holding &amp; Investment Companies</v>
      </c>
      <c r="AB1306" s="24" t="str">
        <f>VLOOKUP(A1306,Metrik!$C$2:$Y$959,3,0)</f>
        <v>Financials</v>
      </c>
    </row>
    <row r="1307">
      <c r="A1307" s="14" t="s">
        <v>699</v>
      </c>
      <c r="B1307" s="14" t="str">
        <f t="array" ref="B1307">VLOOKUP(A1307,{Metrik!$C$2:$C$998,Metrik!$B$2:$B$998},2,0)</f>
        <v>PAM Mineral Tbk.</v>
      </c>
      <c r="C1307" s="15">
        <f>IFERROR(__xludf.DUMMYFUNCTION("GOOGLEFINANCE(""IDX:""&amp;A1307,""price"")"),610.0)</f>
        <v>610</v>
      </c>
      <c r="D1307" s="16" t="str">
        <f>IFERROR(__xludf.DUMMYFUNCTION("IF(A1307="""","""",
SPARKLINE(
INDEX(
GOOGLEFINANCE(""IDX:""&amp;A1307,""close"",TODAY()-365,TODAY()),
,2
),
{""linewidth"",1}
))
"),"#N/A")</f>
        <v>#N/A</v>
      </c>
      <c r="E1307" s="26"/>
      <c r="F1307" s="26"/>
      <c r="G1307" s="24">
        <f t="shared" si="8"/>
        <v>0</v>
      </c>
      <c r="H1307" s="19">
        <f>VLOOKUP(A1307,Metrik!$C$2:$Y$959,8,0)</f>
        <v>22.4</v>
      </c>
      <c r="I1307" s="20">
        <f>VLOOKUP(A1307,Metrik!$C$2:$Y$959,9,0)</f>
        <v>6.8</v>
      </c>
      <c r="J1307" s="20">
        <f>VLOOKUP(A1307,Metrik!$C$2:$Y$959,10,0)</f>
        <v>30.2</v>
      </c>
      <c r="K1307" s="20">
        <f>VLOOKUP(A1307,Metrik!$C$2:$Y$959,11,0)</f>
        <v>25.3</v>
      </c>
      <c r="L1307" s="20">
        <f>VLOOKUP(A1307,Metrik!$C$2:$Y$959,12,0)</f>
        <v>0.19</v>
      </c>
      <c r="M1307" s="20">
        <f>VLOOKUP(A1307,Metrik!$C$2:$Y$959,19,0)</f>
        <v>91.6</v>
      </c>
      <c r="N1307" s="21"/>
      <c r="O1307" s="21"/>
      <c r="P1307" s="21"/>
      <c r="Q1307" s="21"/>
      <c r="R1307" s="21"/>
      <c r="S1307" s="21"/>
      <c r="T1307" s="21"/>
      <c r="U1307" s="22">
        <f>IFERROR(__xludf.DUMMYFUNCTION("IFERROR(GOOGLEFINANCE(A1307,""closeyest""),"""")"),970.0)</f>
        <v>970</v>
      </c>
      <c r="V1307" s="23">
        <f>IFERROR(__xludf.DUMMYFUNCTION("IFERROR(GOOGLEFINANCE(A1307,""changepct""),"""")"),1.65)</f>
        <v>1.65</v>
      </c>
      <c r="W1307" s="22">
        <f>IFERROR(__xludf.DUMMYFUNCTION("IFERROR(GOOGLEFINANCE(A1307,""priceopen""),"""")"),976.0)</f>
        <v>976</v>
      </c>
      <c r="X1307" s="22">
        <f>IFERROR(__xludf.DUMMYFUNCTION("IFERROR(GOOGLEFINANCE(A1307,""high""),"""")"),986.0)</f>
        <v>986</v>
      </c>
      <c r="Y1307" s="22" t="str">
        <f>IFERROR(__xludf.DUMMYFUNCTION("IFERROR(GOOGLEFINANCE(A1307,""low""),"""")"),"")</f>
        <v/>
      </c>
      <c r="Z1307" s="22">
        <f>IFERROR(__xludf.DUMMYFUNCTION("IFERROR(GOOGLEFINANCE(A1307,""volume""),"""")"),44888.0)</f>
        <v>44888</v>
      </c>
      <c r="AA1307" s="24" t="str">
        <f>VLOOKUP(A1307,Metrik!$C$2:$Y$959,5,0)</f>
        <v>Metals &amp; Minerals</v>
      </c>
      <c r="AB1307" s="24" t="str">
        <f>VLOOKUP(A1307,Metrik!$C$2:$Y$959,3,0)</f>
        <v>Basic Materials</v>
      </c>
    </row>
    <row r="1308">
      <c r="A1308" s="17" t="s">
        <v>700</v>
      </c>
      <c r="B1308" s="14" t="str">
        <f t="array" ref="B1308">VLOOKUP(A1308,{Metrik!$C$2:$C$998,Metrik!$B$2:$B$998},2,0)</f>
        <v>Pelat Timah Nusantara Tbk.</v>
      </c>
      <c r="C1308" s="15">
        <f>IFERROR(__xludf.DUMMYFUNCTION("GOOGLEFINANCE(""IDX:""&amp;A1308,""price"")"),192.0)</f>
        <v>192</v>
      </c>
      <c r="D1308" s="16" t="str">
        <f>IFERROR(__xludf.DUMMYFUNCTION("IF(A1308="""","""",
SPARKLINE(
INDEX(
GOOGLEFINANCE(""IDX:""&amp;A1308,""close"",TODAY()-365,TODAY()),
,2
),
{""linewidth"",1}
))
"),"#N/A")</f>
        <v>#N/A</v>
      </c>
      <c r="E1308" s="14" t="s">
        <v>106</v>
      </c>
      <c r="F1308" s="25">
        <v>46356.0</v>
      </c>
      <c r="G1308" s="18">
        <f t="shared" si="8"/>
        <v>1</v>
      </c>
      <c r="H1308" s="19">
        <f>VLOOKUP(A1308,Metrik!$C$2:$Y$959,8,0)</f>
        <v>22.1</v>
      </c>
      <c r="I1308" s="20">
        <f>VLOOKUP(A1308,Metrik!$C$2:$Y$959,9,0)</f>
        <v>0.65</v>
      </c>
      <c r="J1308" s="20">
        <f>VLOOKUP(A1308,Metrik!$C$2:$Y$959,10,0)</f>
        <v>2.9</v>
      </c>
      <c r="K1308" s="20">
        <f>VLOOKUP(A1308,Metrik!$C$2:$Y$959,11,0)</f>
        <v>1.5</v>
      </c>
      <c r="L1308" s="20">
        <f>VLOOKUP(A1308,Metrik!$C$2:$Y$959,12,0)</f>
        <v>0.92</v>
      </c>
      <c r="M1308" s="20">
        <f>VLOOKUP(A1308,Metrik!$C$2:$Y$959,19,0)</f>
        <v>5.1</v>
      </c>
      <c r="N1308" s="21"/>
      <c r="O1308" s="21"/>
      <c r="P1308" s="21"/>
      <c r="Q1308" s="21"/>
      <c r="R1308" s="21"/>
      <c r="S1308" s="21"/>
      <c r="T1308" s="21"/>
      <c r="U1308" s="22">
        <f>IFERROR(__xludf.DUMMYFUNCTION("IFERROR(GOOGLEFINANCE(A1308,""closeyest""),"""")"),13.82)</f>
        <v>13.82</v>
      </c>
      <c r="V1308" s="23">
        <f>IFERROR(__xludf.DUMMYFUNCTION("IFERROR(GOOGLEFINANCE(A1308,""changepct""),"""")"),2.68)</f>
        <v>2.68</v>
      </c>
      <c r="W1308" s="22">
        <f>IFERROR(__xludf.DUMMYFUNCTION("IFERROR(GOOGLEFINANCE(A1308,""priceopen""),"""")"),14.08)</f>
        <v>14.08</v>
      </c>
      <c r="X1308" s="22">
        <f>IFERROR(__xludf.DUMMYFUNCTION("IFERROR(GOOGLEFINANCE(A1308,""high""),"""")"),14.32)</f>
        <v>14.32</v>
      </c>
      <c r="Y1308" s="22">
        <f>IFERROR(__xludf.DUMMYFUNCTION("IFERROR(GOOGLEFINANCE(A1308,""low""),"""")"),14.02)</f>
        <v>14.02</v>
      </c>
      <c r="Z1308" s="22">
        <f>IFERROR(__xludf.DUMMYFUNCTION("IFERROR(GOOGLEFINANCE(A1308,""volume""),"""")"),42526.0)</f>
        <v>42526</v>
      </c>
      <c r="AA1308" s="24" t="str">
        <f>VLOOKUP(A1308,Metrik!$C$2:$Y$959,5,0)</f>
        <v>Metals &amp; Minerals</v>
      </c>
      <c r="AB1308" s="24" t="str">
        <f>VLOOKUP(A1308,Metrik!$C$2:$Y$959,3,0)</f>
        <v>Basic Materials</v>
      </c>
    </row>
    <row r="1309">
      <c r="A1309" s="14" t="s">
        <v>701</v>
      </c>
      <c r="B1309" s="14" t="str">
        <f t="array" ref="B1309">VLOOKUP(A1309,{Metrik!$C$2:$C$998,Metrik!$B$2:$B$998},2,0)</f>
        <v>PT Techno9 Indonesia Tbk</v>
      </c>
      <c r="C1309" s="15">
        <f>IFERROR(__xludf.DUMMYFUNCTION("GOOGLEFINANCE(""IDX:""&amp;A1309,""price"")"),81.0)</f>
        <v>81</v>
      </c>
      <c r="D1309" s="16" t="str">
        <f>IFERROR(__xludf.DUMMYFUNCTION("IF(A1309="""","""",
SPARKLINE(
INDEX(
GOOGLEFINANCE(""IDX:""&amp;A1309,""close"",TODAY()-365,TODAY()),
,2
),
{""linewidth"",1}
))
"),"#N/A")</f>
        <v>#N/A</v>
      </c>
      <c r="E1309" s="26"/>
      <c r="F1309" s="26"/>
      <c r="G1309" s="24">
        <f t="shared" si="8"/>
        <v>0</v>
      </c>
      <c r="H1309" s="19">
        <f>VLOOKUP(A1309,Metrik!$C$2:$Y$959,8,0)</f>
        <v>-32.5</v>
      </c>
      <c r="I1309" s="20">
        <f>VLOOKUP(A1309,Metrik!$C$2:$Y$959,9,0)</f>
        <v>6.6</v>
      </c>
      <c r="J1309" s="20">
        <f>VLOOKUP(A1309,Metrik!$C$2:$Y$959,10,0)</f>
        <v>-20.3</v>
      </c>
      <c r="K1309" s="20">
        <f>VLOOKUP(A1309,Metrik!$C$2:$Y$959,11,0)</f>
        <v>-18.6</v>
      </c>
      <c r="L1309" s="20">
        <f>VLOOKUP(A1309,Metrik!$C$2:$Y$959,12,0)</f>
        <v>0.09</v>
      </c>
      <c r="M1309" s="20">
        <f>VLOOKUP(A1309,Metrik!$C$2:$Y$959,19,0)</f>
        <v>-560</v>
      </c>
      <c r="N1309" s="21"/>
      <c r="O1309" s="21"/>
      <c r="P1309" s="21"/>
      <c r="Q1309" s="21"/>
      <c r="R1309" s="21"/>
      <c r="S1309" s="21"/>
      <c r="T1309" s="21"/>
      <c r="U1309" s="22">
        <f>IFERROR(__xludf.DUMMYFUNCTION("IFERROR(GOOGLEFINANCE(A1309,""closeyest""),"""")"),9.92)</f>
        <v>9.92</v>
      </c>
      <c r="V1309" s="23">
        <f>IFERROR(__xludf.DUMMYFUNCTION("IFERROR(GOOGLEFINANCE(A1309,""changepct""),"""")"),4.94)</f>
        <v>4.94</v>
      </c>
      <c r="W1309" s="22">
        <f>IFERROR(__xludf.DUMMYFUNCTION("IFERROR(GOOGLEFINANCE(A1309,""priceopen""),"""")"),10.02)</f>
        <v>10.02</v>
      </c>
      <c r="X1309" s="22">
        <f>IFERROR(__xludf.DUMMYFUNCTION("IFERROR(GOOGLEFINANCE(A1309,""high""),"""")"),10.55)</f>
        <v>10.55</v>
      </c>
      <c r="Y1309" s="22">
        <f>IFERROR(__xludf.DUMMYFUNCTION("IFERROR(GOOGLEFINANCE(A1309,""low""),"""")"),10.02)</f>
        <v>10.02</v>
      </c>
      <c r="Z1309" s="22">
        <f>IFERROR(__xludf.DUMMYFUNCTION("IFERROR(GOOGLEFINANCE(A1309,""volume""),"""")"),48874.0)</f>
        <v>48874</v>
      </c>
      <c r="AA1309" s="24" t="str">
        <f>VLOOKUP(A1309,Metrik!$C$2:$Y$959,5,0)</f>
        <v>Computer Hardware</v>
      </c>
      <c r="AB1309" s="24" t="str">
        <f>VLOOKUP(A1309,Metrik!$C$2:$Y$959,3,0)</f>
        <v>Technology</v>
      </c>
    </row>
    <row r="1310">
      <c r="A1310" s="14" t="s">
        <v>702</v>
      </c>
      <c r="B1310" s="14" t="str">
        <f t="array" ref="B1310">VLOOKUP(A1310,{Metrik!$C$2:$C$998,Metrik!$B$2:$B$998},2,0)</f>
        <v>City Retail Developments Tbk.</v>
      </c>
      <c r="C1310" s="15">
        <f>IFERROR(__xludf.DUMMYFUNCTION("GOOGLEFINANCE(""IDX:""&amp;A1310,""price"")"),151.0)</f>
        <v>151</v>
      </c>
      <c r="D1310" s="16" t="str">
        <f>IFERROR(__xludf.DUMMYFUNCTION("IF(A1310="""","""",
SPARKLINE(
INDEX(
GOOGLEFINANCE(""IDX:""&amp;A1310,""close"",TODAY()-365,TODAY()),
,2
),
{""linewidth"",1}
))
"),"#N/A")</f>
        <v>#N/A</v>
      </c>
      <c r="E1310" s="26"/>
      <c r="F1310" s="26"/>
      <c r="G1310" s="24">
        <f t="shared" si="8"/>
        <v>0</v>
      </c>
      <c r="H1310" s="19">
        <f>VLOOKUP(A1310,Metrik!$C$2:$Y$959,8,0)</f>
        <v>-18.6</v>
      </c>
      <c r="I1310" s="20">
        <f>VLOOKUP(A1310,Metrik!$C$2:$Y$959,9,0)</f>
        <v>0.77</v>
      </c>
      <c r="J1310" s="20">
        <f>VLOOKUP(A1310,Metrik!$C$2:$Y$959,10,0)</f>
        <v>-4.1</v>
      </c>
      <c r="K1310" s="20">
        <f>VLOOKUP(A1310,Metrik!$C$2:$Y$959,11,0)</f>
        <v>-1.4</v>
      </c>
      <c r="L1310" s="20">
        <f>VLOOKUP(A1310,Metrik!$C$2:$Y$959,12,0)</f>
        <v>2.1</v>
      </c>
      <c r="M1310" s="20">
        <f>VLOOKUP(A1310,Metrik!$C$2:$Y$959,19,0)</f>
        <v>-47.2</v>
      </c>
      <c r="N1310" s="21"/>
      <c r="O1310" s="21"/>
      <c r="P1310" s="21"/>
      <c r="Q1310" s="21"/>
      <c r="R1310" s="21"/>
      <c r="S1310" s="21"/>
      <c r="T1310" s="21"/>
      <c r="U1310" s="22">
        <f>IFERROR(__xludf.DUMMYFUNCTION("IFERROR(GOOGLEFINANCE(A1310,""closeyest""),"""")"),148.0)</f>
        <v>148</v>
      </c>
      <c r="V1310" s="23">
        <f>IFERROR(__xludf.DUMMYFUNCTION("IFERROR(GOOGLEFINANCE(A1310,""changepct""),"""")"),2.03)</f>
        <v>2.03</v>
      </c>
      <c r="W1310" s="22">
        <f>IFERROR(__xludf.DUMMYFUNCTION("IFERROR(GOOGLEFINANCE(A1310,""priceopen""),"""")"),146.0)</f>
        <v>146</v>
      </c>
      <c r="X1310" s="22">
        <f>IFERROR(__xludf.DUMMYFUNCTION("IFERROR(GOOGLEFINANCE(A1310,""high""),"""")"),160.0)</f>
        <v>160</v>
      </c>
      <c r="Y1310" s="22">
        <f>IFERROR(__xludf.DUMMYFUNCTION("IFERROR(GOOGLEFINANCE(A1310,""low""),"""")"),142.0)</f>
        <v>142</v>
      </c>
      <c r="Z1310" s="22">
        <f>IFERROR(__xludf.DUMMYFUNCTION("IFERROR(GOOGLEFINANCE(A1310,""volume""),"""")"),740700.0)</f>
        <v>740700</v>
      </c>
      <c r="AA1310" s="24" t="str">
        <f>VLOOKUP(A1310,Metrik!$C$2:$Y$959,5,0)</f>
        <v>Real Estate Management &amp; Development</v>
      </c>
      <c r="AB1310" s="24" t="str">
        <f>VLOOKUP(A1310,Metrik!$C$2:$Y$959,3,0)</f>
        <v>Properties &amp; Real Estate</v>
      </c>
    </row>
    <row r="1311">
      <c r="A1311" s="14" t="s">
        <v>703</v>
      </c>
      <c r="B1311" s="14" t="str">
        <f t="array" ref="B1311">VLOOKUP(A1311,{Metrik!$C$2:$C$998,Metrik!$B$2:$B$998},2,0)</f>
        <v>PT Bank OCBC NISP Tbk</v>
      </c>
      <c r="C1311" s="15">
        <f>IFERROR(__xludf.DUMMYFUNCTION("GOOGLEFINANCE(""IDX:""&amp;A1311,""price"")"),1230.0)</f>
        <v>1230</v>
      </c>
      <c r="D1311" s="16" t="str">
        <f>IFERROR(__xludf.DUMMYFUNCTION("IF(A1311="""","""",
SPARKLINE(
INDEX(
GOOGLEFINANCE(""IDX:""&amp;A1311,""close"",TODAY()-365,TODAY()),
,2
),
{""linewidth"",1}
))
"),"#N/A")</f>
        <v>#N/A</v>
      </c>
      <c r="E1311" s="14" t="s">
        <v>47</v>
      </c>
      <c r="F1311" s="25">
        <v>46356.0</v>
      </c>
      <c r="G1311" s="24">
        <f t="shared" si="8"/>
        <v>4</v>
      </c>
      <c r="H1311" s="19">
        <f>VLOOKUP(A1311,Metrik!$C$2:$Y$959,8,0)</f>
        <v>5.8</v>
      </c>
      <c r="I1311" s="20">
        <f>VLOOKUP(A1311,Metrik!$C$2:$Y$959,9,0)</f>
        <v>0.67</v>
      </c>
      <c r="J1311" s="20">
        <f>VLOOKUP(A1311,Metrik!$C$2:$Y$959,10,0)</f>
        <v>11.5</v>
      </c>
      <c r="K1311" s="20">
        <f>VLOOKUP(A1311,Metrik!$C$2:$Y$959,11,0)</f>
        <v>1.6</v>
      </c>
      <c r="L1311" s="20">
        <f>VLOOKUP(A1311,Metrik!$C$2:$Y$959,12,0)</f>
        <v>6</v>
      </c>
      <c r="M1311" s="20">
        <f>VLOOKUP(A1311,Metrik!$C$2:$Y$959,19,0)</f>
        <v>100</v>
      </c>
      <c r="N1311" s="29">
        <v>5.4</v>
      </c>
      <c r="O1311" s="29">
        <v>23.2</v>
      </c>
      <c r="P1311" s="29">
        <v>83.0</v>
      </c>
      <c r="Q1311" s="29">
        <v>1.9</v>
      </c>
      <c r="R1311" s="29">
        <v>65.9</v>
      </c>
      <c r="S1311" s="29">
        <v>42.4</v>
      </c>
      <c r="T1311" s="29">
        <v>5.9</v>
      </c>
      <c r="U1311" s="22">
        <f>IFERROR(__xludf.DUMMYFUNCTION("IFERROR(GOOGLEFINANCE(A1311,""closeyest""),"""")"),1195.0)</f>
        <v>1195</v>
      </c>
      <c r="V1311" s="23">
        <f>IFERROR(__xludf.DUMMYFUNCTION("IFERROR(GOOGLEFINANCE(A1311,""changepct""),"""")"),2.93)</f>
        <v>2.93</v>
      </c>
      <c r="W1311" s="22">
        <f>IFERROR(__xludf.DUMMYFUNCTION("IFERROR(GOOGLEFINANCE(A1311,""priceopen""),"""")"),1200.0)</f>
        <v>1200</v>
      </c>
      <c r="X1311" s="22">
        <f>IFERROR(__xludf.DUMMYFUNCTION("IFERROR(GOOGLEFINANCE(A1311,""high""),"""")"),1235.0)</f>
        <v>1235</v>
      </c>
      <c r="Y1311" s="22">
        <f>IFERROR(__xludf.DUMMYFUNCTION("IFERROR(GOOGLEFINANCE(A1311,""low""),"""")"),1190.0)</f>
        <v>1190</v>
      </c>
      <c r="Z1311" s="22">
        <f>IFERROR(__xludf.DUMMYFUNCTION("IFERROR(GOOGLEFINANCE(A1311,""volume""),"""")"),4781000.0)</f>
        <v>4781000</v>
      </c>
      <c r="AA1311" s="24" t="str">
        <f>VLOOKUP(A1311,Metrik!$C$2:$Y$959,5,0)</f>
        <v>Banks</v>
      </c>
      <c r="AB1311" s="24" t="str">
        <f>VLOOKUP(A1311,Metrik!$C$2:$Y$959,3,0)</f>
        <v>Financials</v>
      </c>
    </row>
    <row r="1312">
      <c r="A1312" s="14" t="s">
        <v>703</v>
      </c>
      <c r="B1312" s="14" t="str">
        <f t="array" ref="B1312">VLOOKUP(A1312,{Metrik!$C$2:$C$998,Metrik!$B$2:$B$998},2,0)</f>
        <v>PT Bank OCBC NISP Tbk</v>
      </c>
      <c r="C1312" s="15">
        <f>IFERROR(__xludf.DUMMYFUNCTION("GOOGLEFINANCE(""IDX:""&amp;A1312,""price"")"),1230.0)</f>
        <v>1230</v>
      </c>
      <c r="D1312" s="16" t="str">
        <f>IFERROR(__xludf.DUMMYFUNCTION("IF(A1312="""","""",
SPARKLINE(
INDEX(
GOOGLEFINANCE(""IDX:""&amp;A1312,""close"",TODAY()-365,TODAY()),
,2
),
{""linewidth"",1}
))
"),"#N/A")</f>
        <v>#N/A</v>
      </c>
      <c r="E1312" s="14" t="s">
        <v>55</v>
      </c>
      <c r="F1312" s="25">
        <v>46356.0</v>
      </c>
      <c r="G1312" s="24">
        <f t="shared" si="8"/>
        <v>4</v>
      </c>
      <c r="H1312" s="19">
        <f>VLOOKUP(A1312,Metrik!$C$2:$Y$959,8,0)</f>
        <v>5.8</v>
      </c>
      <c r="I1312" s="20">
        <f>VLOOKUP(A1312,Metrik!$C$2:$Y$959,9,0)</f>
        <v>0.67</v>
      </c>
      <c r="J1312" s="20">
        <f>VLOOKUP(A1312,Metrik!$C$2:$Y$959,10,0)</f>
        <v>11.5</v>
      </c>
      <c r="K1312" s="20">
        <f>VLOOKUP(A1312,Metrik!$C$2:$Y$959,11,0)</f>
        <v>1.6</v>
      </c>
      <c r="L1312" s="20">
        <f>VLOOKUP(A1312,Metrik!$C$2:$Y$959,12,0)</f>
        <v>6</v>
      </c>
      <c r="M1312" s="20">
        <f>VLOOKUP(A1312,Metrik!$C$2:$Y$959,19,0)</f>
        <v>100</v>
      </c>
      <c r="N1312" s="29">
        <v>5.4</v>
      </c>
      <c r="O1312" s="29">
        <v>23.2</v>
      </c>
      <c r="P1312" s="29">
        <v>83.0</v>
      </c>
      <c r="Q1312" s="29">
        <v>1.9</v>
      </c>
      <c r="R1312" s="29">
        <v>65.9</v>
      </c>
      <c r="S1312" s="29">
        <v>42.4</v>
      </c>
      <c r="T1312" s="29">
        <v>5.9</v>
      </c>
      <c r="U1312" s="22">
        <f>IFERROR(__xludf.DUMMYFUNCTION("IFERROR(GOOGLEFINANCE(A1312,""closeyest""),"""")"),1195.0)</f>
        <v>1195</v>
      </c>
      <c r="V1312" s="23">
        <f>IFERROR(__xludf.DUMMYFUNCTION("IFERROR(GOOGLEFINANCE(A1312,""changepct""),"""")"),2.93)</f>
        <v>2.93</v>
      </c>
      <c r="W1312" s="22">
        <f>IFERROR(__xludf.DUMMYFUNCTION("IFERROR(GOOGLEFINANCE(A1312,""priceopen""),"""")"),1200.0)</f>
        <v>1200</v>
      </c>
      <c r="X1312" s="22">
        <f>IFERROR(__xludf.DUMMYFUNCTION("IFERROR(GOOGLEFINANCE(A1312,""high""),"""")"),1235.0)</f>
        <v>1235</v>
      </c>
      <c r="Y1312" s="22">
        <f>IFERROR(__xludf.DUMMYFUNCTION("IFERROR(GOOGLEFINANCE(A1312,""low""),"""")"),1190.0)</f>
        <v>1190</v>
      </c>
      <c r="Z1312" s="22">
        <f>IFERROR(__xludf.DUMMYFUNCTION("IFERROR(GOOGLEFINANCE(A1312,""volume""),"""")"),4781000.0)</f>
        <v>4781000</v>
      </c>
      <c r="AA1312" s="24" t="str">
        <f>VLOOKUP(A1312,Metrik!$C$2:$Y$959,5,0)</f>
        <v>Banks</v>
      </c>
      <c r="AB1312" s="24" t="str">
        <f>VLOOKUP(A1312,Metrik!$C$2:$Y$959,3,0)</f>
        <v>Financials</v>
      </c>
    </row>
    <row r="1313">
      <c r="A1313" s="14" t="s">
        <v>703</v>
      </c>
      <c r="B1313" s="14" t="str">
        <f t="array" ref="B1313">VLOOKUP(A1313,{Metrik!$C$2:$C$998,Metrik!$B$2:$B$998},2,0)</f>
        <v>PT Bank OCBC NISP Tbk</v>
      </c>
      <c r="C1313" s="15">
        <f>IFERROR(__xludf.DUMMYFUNCTION("GOOGLEFINANCE(""IDX:""&amp;A1313,""price"")"),1230.0)</f>
        <v>1230</v>
      </c>
      <c r="D1313" s="16" t="str">
        <f>IFERROR(__xludf.DUMMYFUNCTION("IF(A1313="""","""",
SPARKLINE(
INDEX(
GOOGLEFINANCE(""IDX:""&amp;A1313,""close"",TODAY()-365,TODAY()),
,2
),
{""linewidth"",1}
))
"),"#N/A")</f>
        <v>#N/A</v>
      </c>
      <c r="E1313" s="14" t="s">
        <v>102</v>
      </c>
      <c r="F1313" s="27" t="s">
        <v>53</v>
      </c>
      <c r="G1313" s="24">
        <f t="shared" si="8"/>
        <v>4</v>
      </c>
      <c r="H1313" s="19">
        <f>VLOOKUP(A1313,Metrik!$C$2:$Y$959,8,0)</f>
        <v>5.8</v>
      </c>
      <c r="I1313" s="20">
        <f>VLOOKUP(A1313,Metrik!$C$2:$Y$959,9,0)</f>
        <v>0.67</v>
      </c>
      <c r="J1313" s="20">
        <f>VLOOKUP(A1313,Metrik!$C$2:$Y$959,10,0)</f>
        <v>11.5</v>
      </c>
      <c r="K1313" s="20">
        <f>VLOOKUP(A1313,Metrik!$C$2:$Y$959,11,0)</f>
        <v>1.6</v>
      </c>
      <c r="L1313" s="20">
        <f>VLOOKUP(A1313,Metrik!$C$2:$Y$959,12,0)</f>
        <v>6</v>
      </c>
      <c r="M1313" s="20">
        <f>VLOOKUP(A1313,Metrik!$C$2:$Y$959,19,0)</f>
        <v>100</v>
      </c>
      <c r="N1313" s="29">
        <v>5.4</v>
      </c>
      <c r="O1313" s="29">
        <v>23.2</v>
      </c>
      <c r="P1313" s="29">
        <v>83.0</v>
      </c>
      <c r="Q1313" s="29">
        <v>1.9</v>
      </c>
      <c r="R1313" s="29">
        <v>65.9</v>
      </c>
      <c r="S1313" s="29">
        <v>42.4</v>
      </c>
      <c r="T1313" s="29">
        <v>5.9</v>
      </c>
      <c r="U1313" s="22">
        <f>IFERROR(__xludf.DUMMYFUNCTION("IFERROR(GOOGLEFINANCE(A1313,""closeyest""),"""")"),1195.0)</f>
        <v>1195</v>
      </c>
      <c r="V1313" s="23">
        <f>IFERROR(__xludf.DUMMYFUNCTION("IFERROR(GOOGLEFINANCE(A1313,""changepct""),"""")"),2.93)</f>
        <v>2.93</v>
      </c>
      <c r="W1313" s="22">
        <f>IFERROR(__xludf.DUMMYFUNCTION("IFERROR(GOOGLEFINANCE(A1313,""priceopen""),"""")"),1200.0)</f>
        <v>1200</v>
      </c>
      <c r="X1313" s="22">
        <f>IFERROR(__xludf.DUMMYFUNCTION("IFERROR(GOOGLEFINANCE(A1313,""high""),"""")"),1235.0)</f>
        <v>1235</v>
      </c>
      <c r="Y1313" s="22">
        <f>IFERROR(__xludf.DUMMYFUNCTION("IFERROR(GOOGLEFINANCE(A1313,""low""),"""")"),1190.0)</f>
        <v>1190</v>
      </c>
      <c r="Z1313" s="22">
        <f>IFERROR(__xludf.DUMMYFUNCTION("IFERROR(GOOGLEFINANCE(A1313,""volume""),"""")"),4781000.0)</f>
        <v>4781000</v>
      </c>
      <c r="AA1313" s="24" t="str">
        <f>VLOOKUP(A1313,Metrik!$C$2:$Y$959,5,0)</f>
        <v>Banks</v>
      </c>
      <c r="AB1313" s="24" t="str">
        <f>VLOOKUP(A1313,Metrik!$C$2:$Y$959,3,0)</f>
        <v>Financials</v>
      </c>
    </row>
    <row r="1314">
      <c r="A1314" s="14" t="s">
        <v>703</v>
      </c>
      <c r="B1314" s="14" t="str">
        <f t="array" ref="B1314">VLOOKUP(A1314,{Metrik!$C$2:$C$998,Metrik!$B$2:$B$998},2,0)</f>
        <v>PT Bank OCBC NISP Tbk</v>
      </c>
      <c r="C1314" s="15">
        <f>IFERROR(__xludf.DUMMYFUNCTION("GOOGLEFINANCE(""IDX:""&amp;A1314,""price"")"),1230.0)</f>
        <v>1230</v>
      </c>
      <c r="D1314" s="16" t="str">
        <f>IFERROR(__xludf.DUMMYFUNCTION("IF(A1314="""","""",
SPARKLINE(
INDEX(
GOOGLEFINANCE(""IDX:""&amp;A1314,""close"",TODAY()-365,TODAY()),
,2
),
{""linewidth"",1}
))
"),"#N/A")</f>
        <v>#N/A</v>
      </c>
      <c r="E1314" s="14" t="s">
        <v>75</v>
      </c>
      <c r="F1314" s="14" t="s">
        <v>76</v>
      </c>
      <c r="G1314" s="24">
        <f t="shared" si="8"/>
        <v>4</v>
      </c>
      <c r="H1314" s="19">
        <f>VLOOKUP(A1314,Metrik!$C$2:$Y$959,8,0)</f>
        <v>5.8</v>
      </c>
      <c r="I1314" s="20">
        <f>VLOOKUP(A1314,Metrik!$C$2:$Y$959,9,0)</f>
        <v>0.67</v>
      </c>
      <c r="J1314" s="20">
        <f>VLOOKUP(A1314,Metrik!$C$2:$Y$959,10,0)</f>
        <v>11.5</v>
      </c>
      <c r="K1314" s="20">
        <f>VLOOKUP(A1314,Metrik!$C$2:$Y$959,11,0)</f>
        <v>1.6</v>
      </c>
      <c r="L1314" s="20">
        <f>VLOOKUP(A1314,Metrik!$C$2:$Y$959,12,0)</f>
        <v>6</v>
      </c>
      <c r="M1314" s="20">
        <f>VLOOKUP(A1314,Metrik!$C$2:$Y$959,19,0)</f>
        <v>100</v>
      </c>
      <c r="N1314" s="29">
        <v>5.4</v>
      </c>
      <c r="O1314" s="29">
        <v>23.2</v>
      </c>
      <c r="P1314" s="29">
        <v>83.0</v>
      </c>
      <c r="Q1314" s="29">
        <v>1.9</v>
      </c>
      <c r="R1314" s="29">
        <v>65.9</v>
      </c>
      <c r="S1314" s="29">
        <v>42.4</v>
      </c>
      <c r="T1314" s="29">
        <v>5.9</v>
      </c>
      <c r="U1314" s="22">
        <f>IFERROR(__xludf.DUMMYFUNCTION("IFERROR(GOOGLEFINANCE(A1314,""closeyest""),"""")"),1195.0)</f>
        <v>1195</v>
      </c>
      <c r="V1314" s="23">
        <f>IFERROR(__xludf.DUMMYFUNCTION("IFERROR(GOOGLEFINANCE(A1314,""changepct""),"""")"),2.93)</f>
        <v>2.93</v>
      </c>
      <c r="W1314" s="22">
        <f>IFERROR(__xludf.DUMMYFUNCTION("IFERROR(GOOGLEFINANCE(A1314,""priceopen""),"""")"),1200.0)</f>
        <v>1200</v>
      </c>
      <c r="X1314" s="22">
        <f>IFERROR(__xludf.DUMMYFUNCTION("IFERROR(GOOGLEFINANCE(A1314,""high""),"""")"),1235.0)</f>
        <v>1235</v>
      </c>
      <c r="Y1314" s="22">
        <f>IFERROR(__xludf.DUMMYFUNCTION("IFERROR(GOOGLEFINANCE(A1314,""low""),"""")"),1190.0)</f>
        <v>1190</v>
      </c>
      <c r="Z1314" s="22">
        <f>IFERROR(__xludf.DUMMYFUNCTION("IFERROR(GOOGLEFINANCE(A1314,""volume""),"""")"),4781000.0)</f>
        <v>4781000</v>
      </c>
      <c r="AA1314" s="24" t="str">
        <f>VLOOKUP(A1314,Metrik!$C$2:$Y$959,5,0)</f>
        <v>Banks</v>
      </c>
      <c r="AB1314" s="24" t="str">
        <f>VLOOKUP(A1314,Metrik!$C$2:$Y$959,3,0)</f>
        <v>Financials</v>
      </c>
    </row>
    <row r="1315">
      <c r="A1315" s="14" t="s">
        <v>704</v>
      </c>
      <c r="B1315" s="14" t="str">
        <f t="array" ref="B1315">VLOOKUP(A1315,{Metrik!$C$2:$C$998,Metrik!$B$2:$B$998},2,0)</f>
        <v>PT Bank Nationalnobu Tbk.</v>
      </c>
      <c r="C1315" s="15">
        <f>IFERROR(__xludf.DUMMYFUNCTION("GOOGLEFINANCE(""IDX:""&amp;A1315,""price"")"),440.0)</f>
        <v>440</v>
      </c>
      <c r="D1315" s="16" t="str">
        <f>IFERROR(__xludf.DUMMYFUNCTION("IF(A1315="""","""",
SPARKLINE(
INDEX(
GOOGLEFINANCE(""IDX:""&amp;A1315,""close"",TODAY()-365,TODAY()),
,2
),
{""linewidth"",1}
))
"),"#N/A")</f>
        <v>#N/A</v>
      </c>
      <c r="E1315" s="26"/>
      <c r="F1315" s="26"/>
      <c r="G1315" s="24">
        <f t="shared" si="8"/>
        <v>0</v>
      </c>
      <c r="H1315" s="19">
        <f>VLOOKUP(A1315,Metrik!$C$2:$Y$959,8,0)</f>
        <v>6.6</v>
      </c>
      <c r="I1315" s="20">
        <f>VLOOKUP(A1315,Metrik!$C$2:$Y$959,9,0)</f>
        <v>0.8</v>
      </c>
      <c r="J1315" s="20">
        <f>VLOOKUP(A1315,Metrik!$C$2:$Y$959,10,0)</f>
        <v>12.2</v>
      </c>
      <c r="K1315" s="20">
        <f>VLOOKUP(A1315,Metrik!$C$2:$Y$959,11,0)</f>
        <v>1.3</v>
      </c>
      <c r="L1315" s="20">
        <f>VLOOKUP(A1315,Metrik!$C$2:$Y$959,12,0)</f>
        <v>8.8</v>
      </c>
      <c r="M1315" s="20">
        <f>VLOOKUP(A1315,Metrik!$C$2:$Y$959,19,0)</f>
        <v>63.3</v>
      </c>
      <c r="N1315" s="41"/>
      <c r="O1315" s="32">
        <v>23.84</v>
      </c>
      <c r="P1315" s="41"/>
      <c r="Q1315" s="41"/>
      <c r="R1315" s="41"/>
      <c r="S1315" s="41"/>
      <c r="T1315" s="41"/>
      <c r="U1315" s="22">
        <f>IFERROR(__xludf.DUMMYFUNCTION("IFERROR(GOOGLEFINANCE(A1315,""closeyest""),"""")"),426.0)</f>
        <v>426</v>
      </c>
      <c r="V1315" s="23">
        <f>IFERROR(__xludf.DUMMYFUNCTION("IFERROR(GOOGLEFINANCE(A1315,""changepct""),"""")"),3.29)</f>
        <v>3.29</v>
      </c>
      <c r="W1315" s="22">
        <f>IFERROR(__xludf.DUMMYFUNCTION("IFERROR(GOOGLEFINANCE(A1315,""priceopen""),"""")"),430.0)</f>
        <v>430</v>
      </c>
      <c r="X1315" s="22">
        <f>IFERROR(__xludf.DUMMYFUNCTION("IFERROR(GOOGLEFINANCE(A1315,""high""),"""")"),454.0)</f>
        <v>454</v>
      </c>
      <c r="Y1315" s="22">
        <f>IFERROR(__xludf.DUMMYFUNCTION("IFERROR(GOOGLEFINANCE(A1315,""low""),"""")"),430.0)</f>
        <v>430</v>
      </c>
      <c r="Z1315" s="22">
        <f>IFERROR(__xludf.DUMMYFUNCTION("IFERROR(GOOGLEFINANCE(A1315,""volume""),"""")"),1907900.0)</f>
        <v>1907900</v>
      </c>
      <c r="AA1315" s="24" t="str">
        <f>VLOOKUP(A1315,Metrik!$C$2:$Y$959,5,0)</f>
        <v>Banks</v>
      </c>
      <c r="AB1315" s="24" t="str">
        <f>VLOOKUP(A1315,Metrik!$C$2:$Y$959,3,0)</f>
        <v>Financials</v>
      </c>
    </row>
    <row r="1316">
      <c r="A1316" s="14" t="s">
        <v>705</v>
      </c>
      <c r="B1316" s="14" t="str">
        <f t="array" ref="B1316">VLOOKUP(A1316,{Metrik!$C$2:$C$998,Metrik!$B$2:$B$998},2,0)</f>
        <v>Nusa Palapa Gemilang Tbk.</v>
      </c>
      <c r="C1316" s="15">
        <f>IFERROR(__xludf.DUMMYFUNCTION("GOOGLEFINANCE(""IDX:""&amp;A1316,""price"")"),61.0)</f>
        <v>61</v>
      </c>
      <c r="D1316" s="16" t="str">
        <f>IFERROR(__xludf.DUMMYFUNCTION("IF(A1316="""","""",
SPARKLINE(
INDEX(
GOOGLEFINANCE(""IDX:""&amp;A1316,""close"",TODAY()-365,TODAY()),
,2
),
{""linewidth"",1}
))
"),"#N/A")</f>
        <v>#N/A</v>
      </c>
      <c r="E1316" s="26"/>
      <c r="F1316" s="26"/>
      <c r="G1316" s="24">
        <f t="shared" si="8"/>
        <v>0</v>
      </c>
      <c r="H1316" s="19">
        <f>VLOOKUP(A1316,Metrik!$C$2:$Y$959,8,0)</f>
        <v>54.1</v>
      </c>
      <c r="I1316" s="20">
        <f>VLOOKUP(A1316,Metrik!$C$2:$Y$959,9,0)</f>
        <v>0.83</v>
      </c>
      <c r="J1316" s="20">
        <f>VLOOKUP(A1316,Metrik!$C$2:$Y$959,10,0)</f>
        <v>1.5</v>
      </c>
      <c r="K1316" s="20">
        <f>VLOOKUP(A1316,Metrik!$C$2:$Y$959,11,0)</f>
        <v>1.1</v>
      </c>
      <c r="L1316" s="20">
        <f>VLOOKUP(A1316,Metrik!$C$2:$Y$959,12,0)</f>
        <v>0.38</v>
      </c>
      <c r="M1316" s="20">
        <f>VLOOKUP(A1316,Metrik!$C$2:$Y$959,19,0)</f>
        <v>2.8</v>
      </c>
      <c r="N1316" s="21"/>
      <c r="O1316" s="21"/>
      <c r="P1316" s="21"/>
      <c r="Q1316" s="21"/>
      <c r="R1316" s="21"/>
      <c r="S1316" s="21"/>
      <c r="T1316" s="21"/>
      <c r="U1316" s="22">
        <f>IFERROR(__xludf.DUMMYFUNCTION("IFERROR(GOOGLEFINANCE(A1316,""closeyest""),"""")"),65.0)</f>
        <v>65</v>
      </c>
      <c r="V1316" s="23">
        <f>IFERROR(__xludf.DUMMYFUNCTION("IFERROR(GOOGLEFINANCE(A1316,""changepct""),"""")"),-6.15)</f>
        <v>-6.15</v>
      </c>
      <c r="W1316" s="22">
        <f>IFERROR(__xludf.DUMMYFUNCTION("IFERROR(GOOGLEFINANCE(A1316,""priceopen""),"""")"),67.0)</f>
        <v>67</v>
      </c>
      <c r="X1316" s="22">
        <f>IFERROR(__xludf.DUMMYFUNCTION("IFERROR(GOOGLEFINANCE(A1316,""high""),"""")"),69.0)</f>
        <v>69</v>
      </c>
      <c r="Y1316" s="22">
        <f>IFERROR(__xludf.DUMMYFUNCTION("IFERROR(GOOGLEFINANCE(A1316,""low""),"""")"),61.0)</f>
        <v>61</v>
      </c>
      <c r="Z1316" s="22">
        <f>IFERROR(__xludf.DUMMYFUNCTION("IFERROR(GOOGLEFINANCE(A1316,""volume""),"""")"),4.26308E7)</f>
        <v>42630800</v>
      </c>
      <c r="AA1316" s="24" t="str">
        <f>VLOOKUP(A1316,Metrik!$C$2:$Y$959,5,0)</f>
        <v>Chemicals</v>
      </c>
      <c r="AB1316" s="24" t="str">
        <f>VLOOKUP(A1316,Metrik!$C$2:$Y$959,3,0)</f>
        <v>Basic Materials</v>
      </c>
    </row>
    <row r="1317">
      <c r="A1317" s="14" t="s">
        <v>706</v>
      </c>
      <c r="B1317" s="14" t="str">
        <f t="array" ref="B1317">VLOOKUP(A1317,{Metrik!$C$2:$C$998,Metrik!$B$2:$B$998},2,0)</f>
        <v>PT Nusa Raya Cipta Tbk.</v>
      </c>
      <c r="C1317" s="15" t="str">
        <f>IFERROR(__xludf.DUMMYFUNCTION("GOOGLEFINANCE(""IDX:""&amp;A1317,""price"")"),"#N/A")</f>
        <v>#N/A</v>
      </c>
      <c r="D1317" s="16" t="str">
        <f>IFERROR(__xludf.DUMMYFUNCTION("IF(A1317="""","""",
SPARKLINE(
INDEX(
GOOGLEFINANCE(""IDX:""&amp;A1317,""close"",TODAY()-365,TODAY()),
,2
),
{""linewidth"",1}
))
"),"#N/A")</f>
        <v>#N/A</v>
      </c>
      <c r="E1317" s="26"/>
      <c r="F1317" s="26"/>
      <c r="G1317" s="24">
        <f t="shared" si="8"/>
        <v>0</v>
      </c>
      <c r="H1317" s="19">
        <f>VLOOKUP(A1317,Metrik!$C$2:$Y$959,8,0)</f>
        <v>7.1</v>
      </c>
      <c r="I1317" s="20">
        <f>VLOOKUP(A1317,Metrik!$C$2:$Y$959,9,0)</f>
        <v>0.87</v>
      </c>
      <c r="J1317" s="20">
        <f>VLOOKUP(A1317,Metrik!$C$2:$Y$959,10,0)</f>
        <v>12.3</v>
      </c>
      <c r="K1317" s="20">
        <f>VLOOKUP(A1317,Metrik!$C$2:$Y$959,11,0)</f>
        <v>5.9</v>
      </c>
      <c r="L1317" s="20">
        <f>VLOOKUP(A1317,Metrik!$C$2:$Y$959,12,0)</f>
        <v>1.1</v>
      </c>
      <c r="M1317" s="20">
        <f>VLOOKUP(A1317,Metrik!$C$2:$Y$959,19,0)</f>
        <v>20.7</v>
      </c>
      <c r="N1317" s="21"/>
      <c r="O1317" s="21"/>
      <c r="P1317" s="21"/>
      <c r="Q1317" s="21"/>
      <c r="R1317" s="21"/>
      <c r="S1317" s="21"/>
      <c r="T1317" s="21"/>
      <c r="U1317" s="22">
        <f>IFERROR(__xludf.DUMMYFUNCTION("IFERROR(GOOGLEFINANCE(A1317,""closeyest""),"""")"),400.0)</f>
        <v>400</v>
      </c>
      <c r="V1317" s="23">
        <f>IFERROR(__xludf.DUMMYFUNCTION("IFERROR(GOOGLEFINANCE(A1317,""changepct""),"""")"),3.5)</f>
        <v>3.5</v>
      </c>
      <c r="W1317" s="22">
        <f>IFERROR(__xludf.DUMMYFUNCTION("IFERROR(GOOGLEFINANCE(A1317,""priceopen""),"""")"),400.0)</f>
        <v>400</v>
      </c>
      <c r="X1317" s="22">
        <f>IFERROR(__xludf.DUMMYFUNCTION("IFERROR(GOOGLEFINANCE(A1317,""high""),"""")"),422.0)</f>
        <v>422</v>
      </c>
      <c r="Y1317" s="22">
        <f>IFERROR(__xludf.DUMMYFUNCTION("IFERROR(GOOGLEFINANCE(A1317,""low""),"""")"),400.0)</f>
        <v>400</v>
      </c>
      <c r="Z1317" s="22">
        <f>IFERROR(__xludf.DUMMYFUNCTION("IFERROR(GOOGLEFINANCE(A1317,""volume""),"""")"),4115900.0)</f>
        <v>4115900</v>
      </c>
      <c r="AA1317" s="24" t="str">
        <f>VLOOKUP(A1317,Metrik!$C$2:$Y$959,5,0)</f>
        <v>Heavy Constructions &amp; Civil Engineering</v>
      </c>
      <c r="AB1317" s="24" t="str">
        <f>VLOOKUP(A1317,Metrik!$C$2:$Y$959,3,0)</f>
        <v>Infrastructures</v>
      </c>
    </row>
    <row r="1318">
      <c r="A1318" s="14" t="s">
        <v>707</v>
      </c>
      <c r="B1318" s="14" t="str">
        <f t="array" ref="B1318">VLOOKUP(A1318,{Metrik!$C$2:$C$998,Metrik!$B$2:$B$998},2,0)</f>
        <v>PT Nusantara Sawit Sejahtera Tbk</v>
      </c>
      <c r="C1318" s="15">
        <f>IFERROR(__xludf.DUMMYFUNCTION("GOOGLEFINANCE(""IDX:""&amp;A1318,""price"")"),442.0)</f>
        <v>442</v>
      </c>
      <c r="D1318" s="16" t="str">
        <f>IFERROR(__xludf.DUMMYFUNCTION("IF(A1318="""","""",
SPARKLINE(
INDEX(
GOOGLEFINANCE(""IDX:""&amp;A1318,""close"",TODAY()-365,TODAY()),
,2
),
{""linewidth"",1}
))
"),"#N/A")</f>
        <v>#N/A</v>
      </c>
      <c r="E1318" s="26"/>
      <c r="F1318" s="26"/>
      <c r="G1318" s="24">
        <f t="shared" si="8"/>
        <v>0</v>
      </c>
      <c r="H1318" s="19">
        <f>VLOOKUP(A1318,Metrik!$C$2:$Y$959,8,0)</f>
        <v>17.5</v>
      </c>
      <c r="I1318" s="20">
        <f>VLOOKUP(A1318,Metrik!$C$2:$Y$959,9,0)</f>
        <v>5.3</v>
      </c>
      <c r="J1318" s="20">
        <f>VLOOKUP(A1318,Metrik!$C$2:$Y$959,10,0)</f>
        <v>30.1</v>
      </c>
      <c r="K1318" s="20">
        <f>VLOOKUP(A1318,Metrik!$C$2:$Y$959,11,0)</f>
        <v>14.8</v>
      </c>
      <c r="L1318" s="20">
        <f>VLOOKUP(A1318,Metrik!$C$2:$Y$959,12,0)</f>
        <v>1</v>
      </c>
      <c r="M1318" s="20">
        <f>VLOOKUP(A1318,Metrik!$C$2:$Y$959,19,0)</f>
        <v>120</v>
      </c>
      <c r="N1318" s="21"/>
      <c r="O1318" s="21"/>
      <c r="P1318" s="21"/>
      <c r="Q1318" s="21"/>
      <c r="R1318" s="21"/>
      <c r="S1318" s="21"/>
      <c r="T1318" s="21"/>
      <c r="U1318" s="22">
        <f>IFERROR(__xludf.DUMMYFUNCTION("IFERROR(GOOGLEFINANCE(A1318,""closeyest""),"""")"),366.0)</f>
        <v>366</v>
      </c>
      <c r="V1318" s="23">
        <f>IFERROR(__xludf.DUMMYFUNCTION("IFERROR(GOOGLEFINANCE(A1318,""changepct""),"""")"),20.77)</f>
        <v>20.77</v>
      </c>
      <c r="W1318" s="22">
        <f>IFERROR(__xludf.DUMMYFUNCTION("IFERROR(GOOGLEFINANCE(A1318,""priceopen""),"""")"),370.0)</f>
        <v>370</v>
      </c>
      <c r="X1318" s="22">
        <f>IFERROR(__xludf.DUMMYFUNCTION("IFERROR(GOOGLEFINANCE(A1318,""high""),"""")"),454.0)</f>
        <v>454</v>
      </c>
      <c r="Y1318" s="22">
        <f>IFERROR(__xludf.DUMMYFUNCTION("IFERROR(GOOGLEFINANCE(A1318,""low""),"""")"),370.0)</f>
        <v>370</v>
      </c>
      <c r="Z1318" s="22">
        <f>IFERROR(__xludf.DUMMYFUNCTION("IFERROR(GOOGLEFINANCE(A1318,""volume""),"""")"),2.78514E7)</f>
        <v>27851400</v>
      </c>
      <c r="AA1318" s="24" t="str">
        <f>VLOOKUP(A1318,Metrik!$C$2:$Y$959,5,0)</f>
        <v>Agricultural Products</v>
      </c>
      <c r="AB1318" s="24" t="str">
        <f>VLOOKUP(A1318,Metrik!$C$2:$Y$959,3,0)</f>
        <v>Consumer Non-Cyclicals</v>
      </c>
    </row>
    <row r="1319">
      <c r="A1319" s="14" t="s">
        <v>708</v>
      </c>
      <c r="B1319" s="14" t="str">
        <f t="array" ref="B1319">VLOOKUP(A1319,{Metrik!$C$2:$C$998,Metrik!$B$2:$B$998},2,0)</f>
        <v>Nusatama Berkah Tbk.</v>
      </c>
      <c r="C1319" s="15" t="str">
        <f>IFERROR(__xludf.DUMMYFUNCTION("GOOGLEFINANCE(""IDX:""&amp;A1319,""price"")"),"#N/A")</f>
        <v>#N/A</v>
      </c>
      <c r="D1319" s="16" t="str">
        <f>IFERROR(__xludf.DUMMYFUNCTION("IF(A1319="""","""",
SPARKLINE(
INDEX(
GOOGLEFINANCE(""IDX:""&amp;A1319,""close"",TODAY()-365,TODAY()),
,2
),
{""linewidth"",1}
))
"),"#N/A")</f>
        <v>#N/A</v>
      </c>
      <c r="E1319" s="26"/>
      <c r="F1319" s="26"/>
      <c r="G1319" s="24">
        <f t="shared" si="8"/>
        <v>0</v>
      </c>
      <c r="H1319" s="19">
        <f>VLOOKUP(A1319,Metrik!$C$2:$Y$959,8,0)</f>
        <v>-170</v>
      </c>
      <c r="I1319" s="20">
        <f>VLOOKUP(A1319,Metrik!$C$2:$Y$959,9,0)</f>
        <v>2.2</v>
      </c>
      <c r="J1319" s="20">
        <f>VLOOKUP(A1319,Metrik!$C$2:$Y$959,10,0)</f>
        <v>-1.3</v>
      </c>
      <c r="K1319" s="20">
        <f>VLOOKUP(A1319,Metrik!$C$2:$Y$959,11,0)</f>
        <v>-0.79</v>
      </c>
      <c r="L1319" s="20">
        <f>VLOOKUP(A1319,Metrik!$C$2:$Y$959,12,0)</f>
        <v>0.63</v>
      </c>
      <c r="M1319" s="20">
        <f>VLOOKUP(A1319,Metrik!$C$2:$Y$959,19,0)</f>
        <v>-7.7</v>
      </c>
      <c r="N1319" s="21"/>
      <c r="O1319" s="21"/>
      <c r="P1319" s="21"/>
      <c r="Q1319" s="21"/>
      <c r="R1319" s="21"/>
      <c r="S1319" s="21"/>
      <c r="T1319" s="21"/>
      <c r="U1319" s="22">
        <f>IFERROR(__xludf.DUMMYFUNCTION("IFERROR(GOOGLEFINANCE(A1319,""closeyest""),"""")"),55.0)</f>
        <v>55</v>
      </c>
      <c r="V1319" s="23">
        <f>IFERROR(__xludf.DUMMYFUNCTION("IFERROR(GOOGLEFINANCE(A1319,""changepct""),"""")"),7.27)</f>
        <v>7.27</v>
      </c>
      <c r="W1319" s="22">
        <f>IFERROR(__xludf.DUMMYFUNCTION("IFERROR(GOOGLEFINANCE(A1319,""priceopen""),"""")"),56.0)</f>
        <v>56</v>
      </c>
      <c r="X1319" s="22">
        <f>IFERROR(__xludf.DUMMYFUNCTION("IFERROR(GOOGLEFINANCE(A1319,""high""),"""")"),63.0)</f>
        <v>63</v>
      </c>
      <c r="Y1319" s="22">
        <f>IFERROR(__xludf.DUMMYFUNCTION("IFERROR(GOOGLEFINANCE(A1319,""low""),"""")"),56.0)</f>
        <v>56</v>
      </c>
      <c r="Z1319" s="22">
        <f>IFERROR(__xludf.DUMMYFUNCTION("IFERROR(GOOGLEFINANCE(A1319,""volume""),"""")"),4.63036E7)</f>
        <v>46303600</v>
      </c>
      <c r="AA1319" s="24" t="str">
        <f>VLOOKUP(A1319,Metrik!$C$2:$Y$959,5,0)</f>
        <v>Machinery</v>
      </c>
      <c r="AB1319" s="24" t="str">
        <f>VLOOKUP(A1319,Metrik!$C$2:$Y$959,3,0)</f>
        <v>Industrials</v>
      </c>
    </row>
    <row r="1320">
      <c r="A1320" s="14" t="s">
        <v>709</v>
      </c>
      <c r="B1320" s="14" t="str">
        <f t="array" ref="B1320">VLOOKUP(A1320,{Metrik!$C$2:$C$998,Metrik!$B$2:$B$998},2,0)</f>
        <v>Sinergi Megah Internusa Tbk.</v>
      </c>
      <c r="C1320" s="15">
        <f>IFERROR(__xludf.DUMMYFUNCTION("GOOGLEFINANCE(""IDX:""&amp;A1320,""price"")"),50.0)</f>
        <v>50</v>
      </c>
      <c r="D1320" s="16" t="str">
        <f>IFERROR(__xludf.DUMMYFUNCTION("IF(A1320="""","""",
SPARKLINE(
INDEX(
GOOGLEFINANCE(""IDX:""&amp;A1320,""close"",TODAY()-365,TODAY()),
,2
),
{""linewidth"",1}
))
"),"#N/A")</f>
        <v>#N/A</v>
      </c>
      <c r="E1320" s="26"/>
      <c r="F1320" s="26"/>
      <c r="G1320" s="24">
        <f t="shared" si="8"/>
        <v>0</v>
      </c>
      <c r="H1320" s="19">
        <f>VLOOKUP(A1320,Metrik!$C$2:$Y$959,8,0)</f>
        <v>0</v>
      </c>
      <c r="I1320" s="20">
        <f>VLOOKUP(A1320,Metrik!$C$2:$Y$959,9,0)</f>
        <v>0.51</v>
      </c>
      <c r="J1320" s="20">
        <f>VLOOKUP(A1320,Metrik!$C$2:$Y$959,10,0)</f>
        <v>-1.6</v>
      </c>
      <c r="K1320" s="20">
        <f>VLOOKUP(A1320,Metrik!$C$2:$Y$959,11,0)</f>
        <v>-1.4</v>
      </c>
      <c r="L1320" s="20">
        <f>VLOOKUP(A1320,Metrik!$C$2:$Y$959,12,0)</f>
        <v>0.09</v>
      </c>
      <c r="M1320" s="20">
        <f>VLOOKUP(A1320,Metrik!$C$2:$Y$959,19,0)</f>
        <v>-130</v>
      </c>
      <c r="N1320" s="21"/>
      <c r="O1320" s="21"/>
      <c r="P1320" s="21"/>
      <c r="Q1320" s="21"/>
      <c r="R1320" s="21"/>
      <c r="S1320" s="21"/>
      <c r="T1320" s="21"/>
      <c r="U1320" s="22">
        <f>IFERROR(__xludf.DUMMYFUNCTION("IFERROR(GOOGLEFINANCE(A1320,""closeyest""),"""")"),23.16)</f>
        <v>23.16</v>
      </c>
      <c r="V1320" s="23">
        <f>IFERROR(__xludf.DUMMYFUNCTION("IFERROR(GOOGLEFINANCE(A1320,""changepct""),"""")"),-0.06)</f>
        <v>-0.06</v>
      </c>
      <c r="W1320" s="22">
        <f>IFERROR(__xludf.DUMMYFUNCTION("IFERROR(GOOGLEFINANCE(A1320,""priceopen""),"""")"),23.14)</f>
        <v>23.14</v>
      </c>
      <c r="X1320" s="22">
        <f>IFERROR(__xludf.DUMMYFUNCTION("IFERROR(GOOGLEFINANCE(A1320,""high""),"""")"),23.15)</f>
        <v>23.15</v>
      </c>
      <c r="Y1320" s="22" t="str">
        <f>IFERROR(__xludf.DUMMYFUNCTION("IFERROR(GOOGLEFINANCE(A1320,""low""),"""")"),"")</f>
        <v/>
      </c>
      <c r="Z1320" s="22">
        <f>IFERROR(__xludf.DUMMYFUNCTION("IFERROR(GOOGLEFINANCE(A1320,""volume""),"""")"),101.0)</f>
        <v>101</v>
      </c>
      <c r="AA1320" s="24" t="str">
        <f>VLOOKUP(A1320,Metrik!$C$2:$Y$959,5,0)</f>
        <v>Tourism &amp; Recreation</v>
      </c>
      <c r="AB1320" s="24" t="str">
        <f>VLOOKUP(A1320,Metrik!$C$2:$Y$959,3,0)</f>
        <v>Consumer Cyclicals</v>
      </c>
    </row>
    <row r="1321">
      <c r="A1321" s="14" t="s">
        <v>710</v>
      </c>
      <c r="B1321" s="14" t="str">
        <f t="array" ref="B1321">VLOOKUP(A1321,{Metrik!$C$2:$C$998,Metrik!$B$2:$B$998},2,0)</f>
        <v>Nusantara Almazia Tbk.</v>
      </c>
      <c r="C1321" s="15">
        <f>IFERROR(__xludf.DUMMYFUNCTION("GOOGLEFINANCE(""IDX:""&amp;A1321,""price"")"),177.0)</f>
        <v>177</v>
      </c>
      <c r="D1321" s="16" t="str">
        <f>IFERROR(__xludf.DUMMYFUNCTION("IF(A1321="""","""",
SPARKLINE(
INDEX(
GOOGLEFINANCE(""IDX:""&amp;A1321,""close"",TODAY()-365,TODAY()),
,2
),
{""linewidth"",1}
))
"),"#N/A")</f>
        <v>#N/A</v>
      </c>
      <c r="E1321" s="26"/>
      <c r="F1321" s="26"/>
      <c r="G1321" s="24">
        <f t="shared" si="8"/>
        <v>0</v>
      </c>
      <c r="H1321" s="19">
        <f>VLOOKUP(A1321,Metrik!$C$2:$Y$959,8,0)</f>
        <v>-21.2</v>
      </c>
      <c r="I1321" s="20">
        <f>VLOOKUP(A1321,Metrik!$C$2:$Y$959,9,0)</f>
        <v>0.61</v>
      </c>
      <c r="J1321" s="20">
        <f>VLOOKUP(A1321,Metrik!$C$2:$Y$959,10,0)</f>
        <v>-2.9</v>
      </c>
      <c r="K1321" s="20">
        <f>VLOOKUP(A1321,Metrik!$C$2:$Y$959,11,0)</f>
        <v>-2.5</v>
      </c>
      <c r="L1321" s="20">
        <f>VLOOKUP(A1321,Metrik!$C$2:$Y$959,12,0)</f>
        <v>0.17</v>
      </c>
      <c r="M1321" s="20">
        <f>VLOOKUP(A1321,Metrik!$C$2:$Y$959,19,0)</f>
        <v>-310</v>
      </c>
      <c r="N1321" s="21"/>
      <c r="O1321" s="21"/>
      <c r="P1321" s="21"/>
      <c r="Q1321" s="21"/>
      <c r="R1321" s="21"/>
      <c r="S1321" s="21"/>
      <c r="T1321" s="21"/>
      <c r="U1321" s="22">
        <f>IFERROR(__xludf.DUMMYFUNCTION("IFERROR(GOOGLEFINANCE(A1321,""closeyest""),"""")"),168.0)</f>
        <v>168</v>
      </c>
      <c r="V1321" s="23">
        <f>IFERROR(__xludf.DUMMYFUNCTION("IFERROR(GOOGLEFINANCE(A1321,""changepct""),"""")"),5.36)</f>
        <v>5.36</v>
      </c>
      <c r="W1321" s="22">
        <f>IFERROR(__xludf.DUMMYFUNCTION("IFERROR(GOOGLEFINANCE(A1321,""priceopen""),"""")"),170.0)</f>
        <v>170</v>
      </c>
      <c r="X1321" s="22">
        <f>IFERROR(__xludf.DUMMYFUNCTION("IFERROR(GOOGLEFINANCE(A1321,""high""),"""")"),183.0)</f>
        <v>183</v>
      </c>
      <c r="Y1321" s="22" t="str">
        <f>IFERROR(__xludf.DUMMYFUNCTION("IFERROR(GOOGLEFINANCE(A1321,""low""),"""")"),"")</f>
        <v/>
      </c>
      <c r="Z1321" s="22">
        <f>IFERROR(__xludf.DUMMYFUNCTION("IFERROR(GOOGLEFINANCE(A1321,""volume""),"""")"),1.2398E7)</f>
        <v>12398000</v>
      </c>
      <c r="AA1321" s="24" t="str">
        <f>VLOOKUP(A1321,Metrik!$C$2:$Y$959,5,0)</f>
        <v>Real Estate Management &amp; Development</v>
      </c>
      <c r="AB1321" s="24" t="str">
        <f>VLOOKUP(A1321,Metrik!$C$2:$Y$959,3,0)</f>
        <v>Properties &amp; Real Estate</v>
      </c>
    </row>
    <row r="1322">
      <c r="A1322" s="14" t="s">
        <v>711</v>
      </c>
      <c r="B1322" s="14" t="str">
        <f t="array" ref="B1322">VLOOKUP(A1322,{Metrik!$C$2:$C$998,Metrik!$B$2:$B$998},2,0)</f>
        <v>PT Protech Mitra Perkasa Tbk</v>
      </c>
      <c r="C1322" s="15">
        <f>IFERROR(__xludf.DUMMYFUNCTION("GOOGLEFINANCE(""IDX:""&amp;A1322,""price"")"),260.0)</f>
        <v>260</v>
      </c>
      <c r="D1322" s="16" t="str">
        <f>IFERROR(__xludf.DUMMYFUNCTION("IF(A1322="""","""",
SPARKLINE(
INDEX(
GOOGLEFINANCE(""IDX:""&amp;A1322,""close"",TODAY()-365,TODAY()),
,2
),
{""linewidth"",1}
))
"),"#N/A")</f>
        <v>#N/A</v>
      </c>
      <c r="E1322" s="26"/>
      <c r="F1322" s="26"/>
      <c r="G1322" s="24">
        <f t="shared" si="8"/>
        <v>0</v>
      </c>
      <c r="H1322" s="19">
        <f>VLOOKUP(A1322,Metrik!$C$2:$Y$959,8,0)</f>
        <v>-29.1</v>
      </c>
      <c r="I1322" s="20">
        <f>VLOOKUP(A1322,Metrik!$C$2:$Y$959,9,0)</f>
        <v>3.8</v>
      </c>
      <c r="J1322" s="20">
        <f>VLOOKUP(A1322,Metrik!$C$2:$Y$959,10,0)</f>
        <v>-13</v>
      </c>
      <c r="K1322" s="20">
        <f>VLOOKUP(A1322,Metrik!$C$2:$Y$959,11,0)</f>
        <v>-11.5</v>
      </c>
      <c r="L1322" s="20">
        <f>VLOOKUP(A1322,Metrik!$C$2:$Y$959,12,0)</f>
        <v>0.13</v>
      </c>
      <c r="M1322" s="20">
        <f>VLOOKUP(A1322,Metrik!$C$2:$Y$959,19,0)</f>
        <v>-250</v>
      </c>
      <c r="N1322" s="21"/>
      <c r="O1322" s="21"/>
      <c r="P1322" s="21"/>
      <c r="Q1322" s="21"/>
      <c r="R1322" s="21"/>
      <c r="S1322" s="21"/>
      <c r="T1322" s="21"/>
      <c r="U1322" s="22">
        <f>IFERROR(__xludf.DUMMYFUNCTION("IFERROR(GOOGLEFINANCE(A1322,""closeyest""),"""")"),236.0)</f>
        <v>236</v>
      </c>
      <c r="V1322" s="23">
        <f>IFERROR(__xludf.DUMMYFUNCTION("IFERROR(GOOGLEFINANCE(A1322,""changepct""),"""")"),10.17)</f>
        <v>10.17</v>
      </c>
      <c r="W1322" s="22">
        <f>IFERROR(__xludf.DUMMYFUNCTION("IFERROR(GOOGLEFINANCE(A1322,""priceopen""),"""")"),240.0)</f>
        <v>240</v>
      </c>
      <c r="X1322" s="22">
        <f>IFERROR(__xludf.DUMMYFUNCTION("IFERROR(GOOGLEFINANCE(A1322,""high""),"""")"),262.0)</f>
        <v>262</v>
      </c>
      <c r="Y1322" s="22">
        <f>IFERROR(__xludf.DUMMYFUNCTION("IFERROR(GOOGLEFINANCE(A1322,""low""),"""")"),240.0)</f>
        <v>240</v>
      </c>
      <c r="Z1322" s="22">
        <f>IFERROR(__xludf.DUMMYFUNCTION("IFERROR(GOOGLEFINANCE(A1322,""volume""),"""")"),4.55852E7)</f>
        <v>45585200</v>
      </c>
      <c r="AA1322" s="24" t="str">
        <f>VLOOKUP(A1322,Metrik!$C$2:$Y$959,5,0)</f>
        <v>Wireless Telecommunication Services</v>
      </c>
      <c r="AB1322" s="24" t="str">
        <f>VLOOKUP(A1322,Metrik!$C$2:$Y$959,3,0)</f>
        <v>Infrastructures</v>
      </c>
    </row>
    <row r="1323">
      <c r="A1323" s="14" t="s">
        <v>712</v>
      </c>
      <c r="B1323" s="14" t="str">
        <f t="array" ref="B1323">VLOOKUP(A1323,{Metrik!$C$2:$C$998,Metrik!$B$2:$B$998},2,0)</f>
        <v>Brigit Biofarmaka Teknologi Tbk.</v>
      </c>
      <c r="C1323" s="15">
        <f>IFERROR(__xludf.DUMMYFUNCTION("GOOGLEFINANCE(""IDX:""&amp;A1323,""price"")"),234.0)</f>
        <v>234</v>
      </c>
      <c r="D1323" s="16" t="str">
        <f>IFERROR(__xludf.DUMMYFUNCTION("IF(A1323="""","""",
SPARKLINE(
INDEX(
GOOGLEFINANCE(""IDX:""&amp;A1323,""close"",TODAY()-365,TODAY()),
,2
),
{""linewidth"",1}
))
"),"#N/A")</f>
        <v>#N/A</v>
      </c>
      <c r="E1323" s="26"/>
      <c r="F1323" s="26"/>
      <c r="G1323" s="18">
        <f t="shared" si="8"/>
        <v>0</v>
      </c>
      <c r="H1323" s="19">
        <f>VLOOKUP(A1323,Metrik!$C$2:$Y$959,8,0)</f>
        <v>10</v>
      </c>
      <c r="I1323" s="20">
        <f>VLOOKUP(A1323,Metrik!$C$2:$Y$959,9,0)</f>
        <v>1.3</v>
      </c>
      <c r="J1323" s="20">
        <f>VLOOKUP(A1323,Metrik!$C$2:$Y$959,10,0)</f>
        <v>13.2</v>
      </c>
      <c r="K1323" s="20">
        <f>VLOOKUP(A1323,Metrik!$C$2:$Y$959,11,0)</f>
        <v>11.3</v>
      </c>
      <c r="L1323" s="20">
        <f>VLOOKUP(A1323,Metrik!$C$2:$Y$959,12,0)</f>
        <v>0.17</v>
      </c>
      <c r="M1323" s="20">
        <f>VLOOKUP(A1323,Metrik!$C$2:$Y$959,19,0)</f>
        <v>43</v>
      </c>
      <c r="N1323" s="21"/>
      <c r="O1323" s="21"/>
      <c r="P1323" s="21"/>
      <c r="Q1323" s="21"/>
      <c r="R1323" s="21"/>
      <c r="S1323" s="21"/>
      <c r="T1323" s="21"/>
      <c r="U1323" s="22">
        <f>IFERROR(__xludf.DUMMYFUNCTION("IFERROR(GOOGLEFINANCE(A1323,""closeyest""),"""")"),230.0)</f>
        <v>230</v>
      </c>
      <c r="V1323" s="23">
        <f>IFERROR(__xludf.DUMMYFUNCTION("IFERROR(GOOGLEFINANCE(A1323,""changepct""),"""")"),1.74)</f>
        <v>1.74</v>
      </c>
      <c r="W1323" s="22">
        <f>IFERROR(__xludf.DUMMYFUNCTION("IFERROR(GOOGLEFINANCE(A1323,""priceopen""),"""")"),230.0)</f>
        <v>230</v>
      </c>
      <c r="X1323" s="22">
        <f>IFERROR(__xludf.DUMMYFUNCTION("IFERROR(GOOGLEFINANCE(A1323,""high""),"""")"),244.0)</f>
        <v>244</v>
      </c>
      <c r="Y1323" s="22">
        <f>IFERROR(__xludf.DUMMYFUNCTION("IFERROR(GOOGLEFINANCE(A1323,""low""),"""")"),228.0)</f>
        <v>228</v>
      </c>
      <c r="Z1323" s="22">
        <f>IFERROR(__xludf.DUMMYFUNCTION("IFERROR(GOOGLEFINANCE(A1323,""volume""),"""")"),244500.0)</f>
        <v>244500</v>
      </c>
      <c r="AA1323" s="24" t="str">
        <f>VLOOKUP(A1323,Metrik!$C$2:$Y$959,5,0)</f>
        <v>Pharmaceuticals</v>
      </c>
      <c r="AB1323" s="24" t="str">
        <f>VLOOKUP(A1323,Metrik!$C$2:$Y$959,3,0)</f>
        <v>Healthcare</v>
      </c>
    </row>
    <row r="1324">
      <c r="A1324" s="14" t="s">
        <v>713</v>
      </c>
      <c r="B1324" s="14" t="str">
        <f t="array" ref="B1324">VLOOKUP(A1324,{Metrik!$C$2:$C$998,Metrik!$B$2:$B$998},2,0)</f>
        <v>OBM Drilchem Tbk.</v>
      </c>
      <c r="C1324" s="15">
        <f>IFERROR(__xludf.DUMMYFUNCTION("GOOGLEFINANCE(""IDX:""&amp;A1324,""price"")"),164.0)</f>
        <v>164</v>
      </c>
      <c r="D1324" s="16" t="str">
        <f>IFERROR(__xludf.DUMMYFUNCTION("IF(A1324="""","""",
SPARKLINE(
INDEX(
GOOGLEFINANCE(""IDX:""&amp;A1324,""close"",TODAY()-365,TODAY()),
,2
),
{""linewidth"",1}
))
"),"#N/A")</f>
        <v>#N/A</v>
      </c>
      <c r="E1324" s="26"/>
      <c r="F1324" s="26"/>
      <c r="G1324" s="18">
        <f t="shared" si="8"/>
        <v>0</v>
      </c>
      <c r="H1324" s="19">
        <f>VLOOKUP(A1324,Metrik!$C$2:$Y$959,8,0)</f>
        <v>4.9</v>
      </c>
      <c r="I1324" s="20">
        <f>VLOOKUP(A1324,Metrik!$C$2:$Y$959,9,0)</f>
        <v>0.8</v>
      </c>
      <c r="J1324" s="20">
        <f>VLOOKUP(A1324,Metrik!$C$2:$Y$959,10,0)</f>
        <v>16.3</v>
      </c>
      <c r="K1324" s="20">
        <f>VLOOKUP(A1324,Metrik!$C$2:$Y$959,11,0)</f>
        <v>14.8</v>
      </c>
      <c r="L1324" s="20">
        <f>VLOOKUP(A1324,Metrik!$C$2:$Y$959,12,0)</f>
        <v>0.1</v>
      </c>
      <c r="M1324" s="20">
        <f>VLOOKUP(A1324,Metrik!$C$2:$Y$959,19,0)</f>
        <v>19.7</v>
      </c>
      <c r="N1324" s="21"/>
      <c r="O1324" s="21"/>
      <c r="P1324" s="21"/>
      <c r="Q1324" s="21"/>
      <c r="R1324" s="21"/>
      <c r="S1324" s="21"/>
      <c r="T1324" s="21"/>
      <c r="U1324" s="22">
        <f>IFERROR(__xludf.DUMMYFUNCTION("IFERROR(GOOGLEFINANCE(A1324,""closeyest""),"""")"),164.0)</f>
        <v>164</v>
      </c>
      <c r="V1324" s="23">
        <f>IFERROR(__xludf.DUMMYFUNCTION("IFERROR(GOOGLEFINANCE(A1324,""changepct""),"""")"),0.0)</f>
        <v>0</v>
      </c>
      <c r="W1324" s="22">
        <f>IFERROR(__xludf.DUMMYFUNCTION("IFERROR(GOOGLEFINANCE(A1324,""priceopen""),"""")"),164.0)</f>
        <v>164</v>
      </c>
      <c r="X1324" s="22">
        <f>IFERROR(__xludf.DUMMYFUNCTION("IFERROR(GOOGLEFINANCE(A1324,""high""),"""")"),167.0)</f>
        <v>167</v>
      </c>
      <c r="Y1324" s="22">
        <f>IFERROR(__xludf.DUMMYFUNCTION("IFERROR(GOOGLEFINANCE(A1324,""low""),"""")"),152.0)</f>
        <v>152</v>
      </c>
      <c r="Z1324" s="22">
        <f>IFERROR(__xludf.DUMMYFUNCTION("IFERROR(GOOGLEFINANCE(A1324,""volume""),"""")"),956400.0)</f>
        <v>956400</v>
      </c>
      <c r="AA1324" s="24" t="str">
        <f>VLOOKUP(A1324,Metrik!$C$2:$Y$959,5,0)</f>
        <v>Chemicals</v>
      </c>
      <c r="AB1324" s="24" t="str">
        <f>VLOOKUP(A1324,Metrik!$C$2:$Y$959,3,0)</f>
        <v>Basic Materials</v>
      </c>
    </row>
    <row r="1325">
      <c r="A1325" s="14" t="s">
        <v>714</v>
      </c>
      <c r="B1325" s="14" t="str">
        <f t="array" ref="B1325">VLOOKUP(A1325,{Metrik!$C$2:$C$998,Metrik!$B$2:$B$998},2,0)</f>
        <v>Onix Capital Tbk.</v>
      </c>
      <c r="C1325" s="15">
        <f>IFERROR(__xludf.DUMMYFUNCTION("GOOGLEFINANCE(""IDX:""&amp;A1325,""price"")"),159.0)</f>
        <v>159</v>
      </c>
      <c r="D1325" s="16" t="str">
        <f>IFERROR(__xludf.DUMMYFUNCTION("IF(A1325="""","""",
SPARKLINE(
INDEX(
GOOGLEFINANCE(""IDX:""&amp;A1325,""close"",TODAY()-365,TODAY()),
,2
),
{""linewidth"",1}
))
"),"#N/A")</f>
        <v>#N/A</v>
      </c>
      <c r="E1325" s="26"/>
      <c r="F1325" s="26"/>
      <c r="G1325" s="24">
        <f t="shared" si="8"/>
        <v>0</v>
      </c>
      <c r="H1325" s="19">
        <f>VLOOKUP(A1325,Metrik!$C$2:$Y$959,8,0)</f>
        <v>-1.9</v>
      </c>
      <c r="I1325" s="20">
        <f>VLOOKUP(A1325,Metrik!$C$2:$Y$959,9,0)</f>
        <v>-0.15</v>
      </c>
      <c r="J1325" s="20">
        <f>VLOOKUP(A1325,Metrik!$C$2:$Y$959,10,0)</f>
        <v>0</v>
      </c>
      <c r="K1325" s="20">
        <f>VLOOKUP(A1325,Metrik!$C$2:$Y$959,11,0)</f>
        <v>-280</v>
      </c>
      <c r="L1325" s="20">
        <f>VLOOKUP(A1325,Metrik!$C$2:$Y$959,12,0)</f>
        <v>-1</v>
      </c>
      <c r="M1325" s="20">
        <f>VLOOKUP(A1325,Metrik!$C$2:$Y$959,19,0)</f>
        <v>0</v>
      </c>
      <c r="N1325" s="21"/>
      <c r="O1325" s="21"/>
      <c r="P1325" s="21"/>
      <c r="Q1325" s="21"/>
      <c r="R1325" s="21"/>
      <c r="S1325" s="21"/>
      <c r="T1325" s="21"/>
      <c r="U1325" s="22">
        <f>IFERROR(__xludf.DUMMYFUNCTION("IFERROR(GOOGLEFINANCE(A1325,""closeyest""),"""")"),159.0)</f>
        <v>159</v>
      </c>
      <c r="V1325" s="23">
        <f>IFERROR(__xludf.DUMMYFUNCTION("IFERROR(GOOGLEFINANCE(A1325,""changepct""),"""")"),0.0)</f>
        <v>0</v>
      </c>
      <c r="W1325" s="22" t="str">
        <f>IFERROR(__xludf.DUMMYFUNCTION("IFERROR(GOOGLEFINANCE(A1325,""priceopen""),"""")"),"")</f>
        <v/>
      </c>
      <c r="X1325" s="22" t="str">
        <f>IFERROR(__xludf.DUMMYFUNCTION("IFERROR(GOOGLEFINANCE(A1325,""high""),"""")"),"")</f>
        <v/>
      </c>
      <c r="Y1325" s="22" t="str">
        <f>IFERROR(__xludf.DUMMYFUNCTION("IFERROR(GOOGLEFINANCE(A1325,""low""),"""")"),"")</f>
        <v/>
      </c>
      <c r="Z1325" s="22">
        <f>IFERROR(__xludf.DUMMYFUNCTION("IFERROR(GOOGLEFINANCE(A1325,""volume""),"""")"),0.0)</f>
        <v>0</v>
      </c>
      <c r="AA1325" s="24" t="str">
        <f>VLOOKUP(A1325,Metrik!$C$2:$Y$959,5,0)</f>
        <v>Holding &amp; Investment Companies</v>
      </c>
      <c r="AB1325" s="24" t="str">
        <f>VLOOKUP(A1325,Metrik!$C$2:$Y$959,3,0)</f>
        <v>Financials</v>
      </c>
    </row>
    <row r="1326">
      <c r="A1326" s="14" t="s">
        <v>715</v>
      </c>
      <c r="B1326" s="14" t="str">
        <f t="array" ref="B1326">VLOOKUP(A1326,{Metrik!$C$2:$C$998,Metrik!$B$2:$B$998},2,0)</f>
        <v>Indo Oil Perkasa Tbk.</v>
      </c>
      <c r="C1326" s="15">
        <f>IFERROR(__xludf.DUMMYFUNCTION("GOOGLEFINANCE(""IDX:""&amp;A1326,""price"")"),202.0)</f>
        <v>202</v>
      </c>
      <c r="D1326" s="16" t="str">
        <f>IFERROR(__xludf.DUMMYFUNCTION("IF(A1326="""","""",
SPARKLINE(
INDEX(
GOOGLEFINANCE(""IDX:""&amp;A1326,""close"",TODAY()-365,TODAY()),
,2
),
{""linewidth"",1}
))
"),"#N/A")</f>
        <v>#N/A</v>
      </c>
      <c r="E1326" s="26"/>
      <c r="F1326" s="26"/>
      <c r="G1326" s="24">
        <f t="shared" si="8"/>
        <v>0</v>
      </c>
      <c r="H1326" s="19">
        <f>VLOOKUP(A1326,Metrik!$C$2:$Y$959,8,0)</f>
        <v>8.2</v>
      </c>
      <c r="I1326" s="20">
        <f>VLOOKUP(A1326,Metrik!$C$2:$Y$959,9,0)</f>
        <v>0.84</v>
      </c>
      <c r="J1326" s="20">
        <f>VLOOKUP(A1326,Metrik!$C$2:$Y$959,10,0)</f>
        <v>10.2</v>
      </c>
      <c r="K1326" s="20">
        <f>VLOOKUP(A1326,Metrik!$C$2:$Y$959,11,0)</f>
        <v>3.4</v>
      </c>
      <c r="L1326" s="20">
        <f>VLOOKUP(A1326,Metrik!$C$2:$Y$959,12,0)</f>
        <v>2</v>
      </c>
      <c r="M1326" s="20">
        <f>VLOOKUP(A1326,Metrik!$C$2:$Y$959,19,0)</f>
        <v>3.5</v>
      </c>
      <c r="N1326" s="21"/>
      <c r="O1326" s="21"/>
      <c r="P1326" s="21"/>
      <c r="Q1326" s="21"/>
      <c r="R1326" s="21"/>
      <c r="S1326" s="21"/>
      <c r="T1326" s="21"/>
      <c r="U1326" s="22">
        <f>IFERROR(__xludf.DUMMYFUNCTION("IFERROR(GOOGLEFINANCE(A1326,""closeyest""),"""")"),0.05)</f>
        <v>0.05</v>
      </c>
      <c r="V1326" s="23">
        <f>IFERROR(__xludf.DUMMYFUNCTION("IFERROR(GOOGLEFINANCE(A1326,""changepct""),"""")"),0.0)</f>
        <v>0</v>
      </c>
      <c r="W1326" s="22">
        <f>IFERROR(__xludf.DUMMYFUNCTION("IFERROR(GOOGLEFINANCE(A1326,""priceopen""),"""")"),0.05)</f>
        <v>0.05</v>
      </c>
      <c r="X1326" s="22">
        <f>IFERROR(__xludf.DUMMYFUNCTION("IFERROR(GOOGLEFINANCE(A1326,""high""),"""")"),0.05)</f>
        <v>0.05</v>
      </c>
      <c r="Y1326" s="22">
        <f>IFERROR(__xludf.DUMMYFUNCTION("IFERROR(GOOGLEFINANCE(A1326,""low""),"""")"),0.05)</f>
        <v>0.05</v>
      </c>
      <c r="Z1326" s="22">
        <f>IFERROR(__xludf.DUMMYFUNCTION("IFERROR(GOOGLEFINANCE(A1326,""volume""),"""")"),12000.0)</f>
        <v>12000</v>
      </c>
      <c r="AA1326" s="24" t="str">
        <f>VLOOKUP(A1326,Metrik!$C$2:$Y$959,5,0)</f>
        <v>Agricultural Products</v>
      </c>
      <c r="AB1326" s="24" t="str">
        <f>VLOOKUP(A1326,Metrik!$C$2:$Y$959,3,0)</f>
        <v>Consumer Non-Cyclicals</v>
      </c>
    </row>
    <row r="1327">
      <c r="A1327" s="14" t="s">
        <v>716</v>
      </c>
      <c r="B1327" s="14" t="str">
        <f t="array" ref="B1327">VLOOKUP(A1327,{Metrik!$C$2:$C$998,Metrik!$B$2:$B$998},2,0)</f>
        <v>Ancora Indonesia Resources Tbk.</v>
      </c>
      <c r="C1327" s="15">
        <f>IFERROR(__xludf.DUMMYFUNCTION("GOOGLEFINANCE(""IDX:""&amp;A1327,""price"")"),95.0)</f>
        <v>95</v>
      </c>
      <c r="D1327" s="16" t="str">
        <f>IFERROR(__xludf.DUMMYFUNCTION("IF(A1327="""","""",
SPARKLINE(
INDEX(
GOOGLEFINANCE(""IDX:""&amp;A1327,""close"",TODAY()-365,TODAY()),
,2
),
{""linewidth"",1}
))
"),"#N/A")</f>
        <v>#N/A</v>
      </c>
      <c r="E1327" s="26"/>
      <c r="F1327" s="26"/>
      <c r="G1327" s="24">
        <f t="shared" si="8"/>
        <v>0</v>
      </c>
      <c r="H1327" s="19">
        <f>VLOOKUP(A1327,Metrik!$C$2:$Y$959,8,0)</f>
        <v>-3.7</v>
      </c>
      <c r="I1327" s="20">
        <f>VLOOKUP(A1327,Metrik!$C$2:$Y$959,9,0)</f>
        <v>0.26</v>
      </c>
      <c r="J1327" s="20">
        <f>VLOOKUP(A1327,Metrik!$C$2:$Y$959,10,0)</f>
        <v>-6.9</v>
      </c>
      <c r="K1327" s="20">
        <f>VLOOKUP(A1327,Metrik!$C$2:$Y$959,11,0)</f>
        <v>-2.5</v>
      </c>
      <c r="L1327" s="20">
        <f>VLOOKUP(A1327,Metrik!$C$2:$Y$959,12,0)</f>
        <v>1.8</v>
      </c>
      <c r="M1327" s="20">
        <f>VLOOKUP(A1327,Metrik!$C$2:$Y$959,19,0)</f>
        <v>-10.6</v>
      </c>
      <c r="N1327" s="21"/>
      <c r="O1327" s="21"/>
      <c r="P1327" s="21"/>
      <c r="Q1327" s="21"/>
      <c r="R1327" s="21"/>
      <c r="S1327" s="21"/>
      <c r="T1327" s="21"/>
      <c r="U1327" s="22">
        <f>IFERROR(__xludf.DUMMYFUNCTION("IFERROR(GOOGLEFINANCE(A1327,""closeyest""),"""")"),90.0)</f>
        <v>90</v>
      </c>
      <c r="V1327" s="23">
        <f>IFERROR(__xludf.DUMMYFUNCTION("IFERROR(GOOGLEFINANCE(A1327,""changepct""),"""")"),5.56)</f>
        <v>5.56</v>
      </c>
      <c r="W1327" s="22">
        <f>IFERROR(__xludf.DUMMYFUNCTION("IFERROR(GOOGLEFINANCE(A1327,""priceopen""),"""")"),90.0)</f>
        <v>90</v>
      </c>
      <c r="X1327" s="22">
        <f>IFERROR(__xludf.DUMMYFUNCTION("IFERROR(GOOGLEFINANCE(A1327,""high""),"""")"),97.0)</f>
        <v>97</v>
      </c>
      <c r="Y1327" s="22">
        <f>IFERROR(__xludf.DUMMYFUNCTION("IFERROR(GOOGLEFINANCE(A1327,""low""),"""")"),90.0)</f>
        <v>90</v>
      </c>
      <c r="Z1327" s="22">
        <f>IFERROR(__xludf.DUMMYFUNCTION("IFERROR(GOOGLEFINANCE(A1327,""volume""),"""")"),2631100.0)</f>
        <v>2631100</v>
      </c>
      <c r="AA1327" s="24" t="str">
        <f>VLOOKUP(A1327,Metrik!$C$2:$Y$959,5,0)</f>
        <v>Chemicals</v>
      </c>
      <c r="AB1327" s="24" t="str">
        <f>VLOOKUP(A1327,Metrik!$C$2:$Y$959,3,0)</f>
        <v>Basic Materials</v>
      </c>
    </row>
    <row r="1328">
      <c r="A1328" s="14" t="s">
        <v>717</v>
      </c>
      <c r="B1328" s="14" t="str">
        <f t="array" ref="B1328">VLOOKUP(A1328,{Metrik!$C$2:$C$998,Metrik!$B$2:$B$998},2,0)</f>
        <v>Oscar Mitra Sukses Sejahtera Tbk.</v>
      </c>
      <c r="C1328" s="15">
        <f>IFERROR(__xludf.DUMMYFUNCTION("GOOGLEFINANCE(""IDX:""&amp;A1328,""price"")"),51.0)</f>
        <v>51</v>
      </c>
      <c r="D1328" s="16" t="str">
        <f>IFERROR(__xludf.DUMMYFUNCTION("IF(A1328="""","""",
SPARKLINE(
INDEX(
GOOGLEFINANCE(""IDX:""&amp;A1328,""close"",TODAY()-365,TODAY()),
,2
),
{""linewidth"",1}
))
"),"#N/A")</f>
        <v>#N/A</v>
      </c>
      <c r="E1328" s="26"/>
      <c r="F1328" s="26"/>
      <c r="G1328" s="24">
        <f t="shared" si="8"/>
        <v>0</v>
      </c>
      <c r="H1328" s="19">
        <f>VLOOKUP(A1328,Metrik!$C$2:$Y$959,8,0)</f>
        <v>-12.4</v>
      </c>
      <c r="I1328" s="20">
        <f>VLOOKUP(A1328,Metrik!$C$2:$Y$959,9,0)</f>
        <v>2.8</v>
      </c>
      <c r="J1328" s="20">
        <f>VLOOKUP(A1328,Metrik!$C$2:$Y$959,10,0)</f>
        <v>-22.2</v>
      </c>
      <c r="K1328" s="20">
        <f>VLOOKUP(A1328,Metrik!$C$2:$Y$959,11,0)</f>
        <v>-20.2</v>
      </c>
      <c r="L1328" s="20">
        <f>VLOOKUP(A1328,Metrik!$C$2:$Y$959,12,0)</f>
        <v>0.1</v>
      </c>
      <c r="M1328" s="20">
        <f>VLOOKUP(A1328,Metrik!$C$2:$Y$959,19,0)</f>
        <v>-81.1</v>
      </c>
      <c r="N1328" s="21"/>
      <c r="O1328" s="21"/>
      <c r="P1328" s="21"/>
      <c r="Q1328" s="21"/>
      <c r="R1328" s="21"/>
      <c r="S1328" s="21"/>
      <c r="T1328" s="21"/>
      <c r="U1328" s="22">
        <f>IFERROR(__xludf.DUMMYFUNCTION("IFERROR(GOOGLEFINANCE(A1328,""closeyest""),"""")"),52.0)</f>
        <v>52</v>
      </c>
      <c r="V1328" s="23">
        <f>IFERROR(__xludf.DUMMYFUNCTION("IFERROR(GOOGLEFINANCE(A1328,""changepct""),"""")"),-1.92)</f>
        <v>-1.92</v>
      </c>
      <c r="W1328" s="22">
        <f>IFERROR(__xludf.DUMMYFUNCTION("IFERROR(GOOGLEFINANCE(A1328,""priceopen""),"""")"),57.0)</f>
        <v>57</v>
      </c>
      <c r="X1328" s="22">
        <f>IFERROR(__xludf.DUMMYFUNCTION("IFERROR(GOOGLEFINANCE(A1328,""high""),"""")"),57.0)</f>
        <v>57</v>
      </c>
      <c r="Y1328" s="22">
        <f>IFERROR(__xludf.DUMMYFUNCTION("IFERROR(GOOGLEFINANCE(A1328,""low""),"""")"),50.0)</f>
        <v>50</v>
      </c>
      <c r="Z1328" s="22">
        <f>IFERROR(__xludf.DUMMYFUNCTION("IFERROR(GOOGLEFINANCE(A1328,""volume""),"""")"),3746200.0)</f>
        <v>3746200</v>
      </c>
      <c r="AA1328" s="24" t="str">
        <f>VLOOKUP(A1328,Metrik!$C$2:$Y$959,5,0)</f>
        <v>Household Goods</v>
      </c>
      <c r="AB1328" s="24" t="str">
        <f>VLOOKUP(A1328,Metrik!$C$2:$Y$959,3,0)</f>
        <v>Consumer Cyclicals</v>
      </c>
    </row>
    <row r="1329">
      <c r="A1329" s="14" t="s">
        <v>718</v>
      </c>
      <c r="B1329" s="14" t="str">
        <f t="array" ref="B1329">VLOOKUP(A1329,{Metrik!$C$2:$C$998,Metrik!$B$2:$B$998},2,0)</f>
        <v>Jayamas Medica Industri Tbk.</v>
      </c>
      <c r="C1329" s="15">
        <f>IFERROR(__xludf.DUMMYFUNCTION("GOOGLEFINANCE(""IDX:""&amp;A1329,""price"")"),196.0)</f>
        <v>196</v>
      </c>
      <c r="D1329" s="16" t="str">
        <f>IFERROR(__xludf.DUMMYFUNCTION("IF(A1329="""","""",
SPARKLINE(
INDEX(
GOOGLEFINANCE(""IDX:""&amp;A1329,""close"",TODAY()-365,TODAY()),
,2
),
{""linewidth"",1}
))
"),"#N/A")</f>
        <v>#N/A</v>
      </c>
      <c r="E1329" s="26"/>
      <c r="F1329" s="26"/>
      <c r="G1329" s="24">
        <f t="shared" si="8"/>
        <v>0</v>
      </c>
      <c r="H1329" s="19">
        <f>VLOOKUP(A1329,Metrik!$C$2:$Y$959,8,0)</f>
        <v>15.9</v>
      </c>
      <c r="I1329" s="20">
        <f>VLOOKUP(A1329,Metrik!$C$2:$Y$959,9,0)</f>
        <v>2.2</v>
      </c>
      <c r="J1329" s="20">
        <f>VLOOKUP(A1329,Metrik!$C$2:$Y$959,10,0)</f>
        <v>13.8</v>
      </c>
      <c r="K1329" s="20">
        <f>VLOOKUP(A1329,Metrik!$C$2:$Y$959,11,0)</f>
        <v>11.8</v>
      </c>
      <c r="L1329" s="20">
        <f>VLOOKUP(A1329,Metrik!$C$2:$Y$959,12,0)</f>
        <v>0.16</v>
      </c>
      <c r="M1329" s="20">
        <f>VLOOKUP(A1329,Metrik!$C$2:$Y$959,19,0)</f>
        <v>68.6</v>
      </c>
      <c r="N1329" s="21"/>
      <c r="O1329" s="21"/>
      <c r="P1329" s="21"/>
      <c r="Q1329" s="21"/>
      <c r="R1329" s="21"/>
      <c r="S1329" s="21"/>
      <c r="T1329" s="21"/>
      <c r="U1329" s="22">
        <f>IFERROR(__xludf.DUMMYFUNCTION("IFERROR(GOOGLEFINANCE(A1329,""closeyest""),"""")"),196.0)</f>
        <v>196</v>
      </c>
      <c r="V1329" s="23">
        <f>IFERROR(__xludf.DUMMYFUNCTION("IFERROR(GOOGLEFINANCE(A1329,""changepct""),"""")"),0.0)</f>
        <v>0</v>
      </c>
      <c r="W1329" s="22">
        <f>IFERROR(__xludf.DUMMYFUNCTION("IFERROR(GOOGLEFINANCE(A1329,""priceopen""),"""")"),200.0)</f>
        <v>200</v>
      </c>
      <c r="X1329" s="22">
        <f>IFERROR(__xludf.DUMMYFUNCTION("IFERROR(GOOGLEFINANCE(A1329,""high""),"""")"),206.0)</f>
        <v>206</v>
      </c>
      <c r="Y1329" s="22">
        <f>IFERROR(__xludf.DUMMYFUNCTION("IFERROR(GOOGLEFINANCE(A1329,""low""),"""")"),195.0)</f>
        <v>195</v>
      </c>
      <c r="Z1329" s="22">
        <f>IFERROR(__xludf.DUMMYFUNCTION("IFERROR(GOOGLEFINANCE(A1329,""volume""),"""")"),4.45154E7)</f>
        <v>44515400</v>
      </c>
      <c r="AA1329" s="24" t="str">
        <f>VLOOKUP(A1329,Metrik!$C$2:$Y$959,5,0)</f>
        <v>Healthcare Equipment &amp; Supplies</v>
      </c>
      <c r="AB1329" s="24" t="str">
        <f>VLOOKUP(A1329,Metrik!$C$2:$Y$959,3,0)</f>
        <v>Healthcare</v>
      </c>
    </row>
    <row r="1330">
      <c r="A1330" s="14" t="s">
        <v>719</v>
      </c>
      <c r="B1330" s="14" t="str">
        <f t="array" ref="B1330">VLOOKUP(A1330,{Metrik!$C$2:$C$998,Metrik!$B$2:$B$998},2,0)</f>
        <v>Indonesia Prima Property Tbk</v>
      </c>
      <c r="C1330" s="15">
        <f>IFERROR(__xludf.DUMMYFUNCTION("GOOGLEFINANCE(""IDX:""&amp;A1330,""price"")"),1075.0)</f>
        <v>1075</v>
      </c>
      <c r="D1330" s="16" t="str">
        <f>IFERROR(__xludf.DUMMYFUNCTION("IF(A1330="""","""",
SPARKLINE(
INDEX(
GOOGLEFINANCE(""IDX:""&amp;A1330,""close"",TODAY()-365,TODAY()),
,2
),
{""linewidth"",1}
))
"),"#N/A")</f>
        <v>#N/A</v>
      </c>
      <c r="E1330" s="26"/>
      <c r="F1330" s="26"/>
      <c r="G1330" s="24">
        <f t="shared" si="8"/>
        <v>0</v>
      </c>
      <c r="H1330" s="19">
        <f>VLOOKUP(A1330,Metrik!$C$2:$Y$959,8,0)</f>
        <v>-16.8</v>
      </c>
      <c r="I1330" s="20">
        <f>VLOOKUP(A1330,Metrik!$C$2:$Y$959,9,0)</f>
        <v>0.94</v>
      </c>
      <c r="J1330" s="20">
        <f>VLOOKUP(A1330,Metrik!$C$2:$Y$959,10,0)</f>
        <v>-5.6</v>
      </c>
      <c r="K1330" s="20">
        <f>VLOOKUP(A1330,Metrik!$C$2:$Y$959,11,0)</f>
        <v>-4.6</v>
      </c>
      <c r="L1330" s="20">
        <f>VLOOKUP(A1330,Metrik!$C$2:$Y$959,12,0)</f>
        <v>0.22</v>
      </c>
      <c r="M1330" s="20">
        <f>VLOOKUP(A1330,Metrik!$C$2:$Y$959,19,0)</f>
        <v>-1870</v>
      </c>
      <c r="N1330" s="21"/>
      <c r="O1330" s="21"/>
      <c r="P1330" s="21"/>
      <c r="Q1330" s="21"/>
      <c r="R1330" s="21"/>
      <c r="S1330" s="21"/>
      <c r="T1330" s="21"/>
      <c r="U1330" s="22">
        <f>IFERROR(__xludf.DUMMYFUNCTION("IFERROR(GOOGLEFINANCE(A1330,""closeyest""),"""")"),995.0)</f>
        <v>995</v>
      </c>
      <c r="V1330" s="23">
        <f>IFERROR(__xludf.DUMMYFUNCTION("IFERROR(GOOGLEFINANCE(A1330,""changepct""),"""")"),8.04)</f>
        <v>8.04</v>
      </c>
      <c r="W1330" s="22">
        <f>IFERROR(__xludf.DUMMYFUNCTION("IFERROR(GOOGLEFINANCE(A1330,""priceopen""),"""")"),995.0)</f>
        <v>995</v>
      </c>
      <c r="X1330" s="22">
        <f>IFERROR(__xludf.DUMMYFUNCTION("IFERROR(GOOGLEFINANCE(A1330,""high""),"""")"),1080.0)</f>
        <v>1080</v>
      </c>
      <c r="Y1330" s="22">
        <f>IFERROR(__xludf.DUMMYFUNCTION("IFERROR(GOOGLEFINANCE(A1330,""low""),"""")"),995.0)</f>
        <v>995</v>
      </c>
      <c r="Z1330" s="22">
        <f>IFERROR(__xludf.DUMMYFUNCTION("IFERROR(GOOGLEFINANCE(A1330,""volume""),"""")"),3100.0)</f>
        <v>3100</v>
      </c>
      <c r="AA1330" s="24" t="str">
        <f>VLOOKUP(A1330,Metrik!$C$2:$Y$959,5,0)</f>
        <v>Real Estate Management &amp; Development</v>
      </c>
      <c r="AB1330" s="24" t="str">
        <f>VLOOKUP(A1330,Metrik!$C$2:$Y$959,3,0)</f>
        <v>Properties &amp; Real Estate</v>
      </c>
    </row>
    <row r="1331">
      <c r="A1331" s="14" t="s">
        <v>720</v>
      </c>
      <c r="B1331" s="14" t="str">
        <f t="array" ref="B1331">VLOOKUP(A1331,{Metrik!$C$2:$C$998,Metrik!$B$2:$B$998},2,0)</f>
        <v>Optima Prima Metal Sinergi Tbk.</v>
      </c>
      <c r="C1331" s="15">
        <f>IFERROR(__xludf.DUMMYFUNCTION("GOOGLEFINANCE(""IDX:""&amp;A1331,""price"")"),91.0)</f>
        <v>91</v>
      </c>
      <c r="D1331" s="16" t="str">
        <f>IFERROR(__xludf.DUMMYFUNCTION("IF(A1331="""","""",
SPARKLINE(
INDEX(
GOOGLEFINANCE(""IDX:""&amp;A1331,""close"",TODAY()-365,TODAY()),
,2
),
{""linewidth"",1}
))
"),"#N/A")</f>
        <v>#N/A</v>
      </c>
      <c r="E1331" s="26"/>
      <c r="F1331" s="26"/>
      <c r="G1331" s="24">
        <f t="shared" si="8"/>
        <v>0</v>
      </c>
      <c r="H1331" s="19">
        <f>VLOOKUP(A1331,Metrik!$C$2:$Y$959,8,0)</f>
        <v>-16.9</v>
      </c>
      <c r="I1331" s="20">
        <f>VLOOKUP(A1331,Metrik!$C$2:$Y$959,9,0)</f>
        <v>1.5</v>
      </c>
      <c r="J1331" s="20">
        <f>VLOOKUP(A1331,Metrik!$C$2:$Y$959,10,0)</f>
        <v>-8.9</v>
      </c>
      <c r="K1331" s="20">
        <f>VLOOKUP(A1331,Metrik!$C$2:$Y$959,11,0)</f>
        <v>-8.7</v>
      </c>
      <c r="L1331" s="20">
        <f>VLOOKUP(A1331,Metrik!$C$2:$Y$959,12,0)</f>
        <v>0.02</v>
      </c>
      <c r="M1331" s="20">
        <f>VLOOKUP(A1331,Metrik!$C$2:$Y$959,19,0)</f>
        <v>-620</v>
      </c>
      <c r="N1331" s="21"/>
      <c r="O1331" s="21"/>
      <c r="P1331" s="21"/>
      <c r="Q1331" s="21"/>
      <c r="R1331" s="21"/>
      <c r="S1331" s="21"/>
      <c r="T1331" s="21"/>
      <c r="U1331" s="22">
        <f>IFERROR(__xludf.DUMMYFUNCTION("IFERROR(GOOGLEFINANCE(A1331,""closeyest""),"""")"),91.0)</f>
        <v>91</v>
      </c>
      <c r="V1331" s="23">
        <f>IFERROR(__xludf.DUMMYFUNCTION("IFERROR(GOOGLEFINANCE(A1331,""changepct""),"""")"),0.0)</f>
        <v>0</v>
      </c>
      <c r="W1331" s="22">
        <f>IFERROR(__xludf.DUMMYFUNCTION("IFERROR(GOOGLEFINANCE(A1331,""priceopen""),"""")"),96.0)</f>
        <v>96</v>
      </c>
      <c r="X1331" s="22">
        <f>IFERROR(__xludf.DUMMYFUNCTION("IFERROR(GOOGLEFINANCE(A1331,""high""),"""")"),96.0)</f>
        <v>96</v>
      </c>
      <c r="Y1331" s="22">
        <f>IFERROR(__xludf.DUMMYFUNCTION("IFERROR(GOOGLEFINANCE(A1331,""low""),"""")"),86.0)</f>
        <v>86</v>
      </c>
      <c r="Z1331" s="22">
        <f>IFERROR(__xludf.DUMMYFUNCTION("IFERROR(GOOGLEFINANCE(A1331,""volume""),"""")"),4196800.0)</f>
        <v>4196800</v>
      </c>
      <c r="AA1331" s="24" t="str">
        <f>VLOOKUP(A1331,Metrik!$C$2:$Y$959,5,0)</f>
        <v>Metals &amp; Minerals</v>
      </c>
      <c r="AB1331" s="24" t="str">
        <f>VLOOKUP(A1331,Metrik!$C$2:$Y$959,3,0)</f>
        <v>Basic Materials</v>
      </c>
    </row>
    <row r="1332">
      <c r="A1332" s="14" t="s">
        <v>721</v>
      </c>
      <c r="B1332" s="14" t="str">
        <f t="array" ref="B1332">VLOOKUP(A1332,{Metrik!$C$2:$C$998,Metrik!$B$2:$B$998},2,0)</f>
        <v>Abadi Nusantara Hijau Investama Tbk.</v>
      </c>
      <c r="C1332" s="15">
        <f>IFERROR(__xludf.DUMMYFUNCTION("GOOGLEFINANCE(""IDX:""&amp;A1332,""price"")"),252.0)</f>
        <v>252</v>
      </c>
      <c r="D1332" s="16" t="str">
        <f>IFERROR(__xludf.DUMMYFUNCTION("IF(A1332="""","""",
SPARKLINE(
INDEX(
GOOGLEFINANCE(""IDX:""&amp;A1332,""close"",TODAY()-365,TODAY()),
,2
),
{""linewidth"",1}
))
"),"#N/A")</f>
        <v>#N/A</v>
      </c>
      <c r="E1332" s="26"/>
      <c r="F1332" s="26"/>
      <c r="G1332" s="24">
        <f t="shared" si="8"/>
        <v>0</v>
      </c>
      <c r="H1332" s="19">
        <f>VLOOKUP(A1332,Metrik!$C$2:$Y$959,8,0)</f>
        <v>350</v>
      </c>
      <c r="I1332" s="20">
        <f>VLOOKUP(A1332,Metrik!$C$2:$Y$959,9,0)</f>
        <v>94.5</v>
      </c>
      <c r="J1332" s="20">
        <f>VLOOKUP(A1332,Metrik!$C$2:$Y$959,10,0)</f>
        <v>27.1</v>
      </c>
      <c r="K1332" s="20">
        <f>VLOOKUP(A1332,Metrik!$C$2:$Y$959,11,0)</f>
        <v>0.95</v>
      </c>
      <c r="L1332" s="20">
        <f>VLOOKUP(A1332,Metrik!$C$2:$Y$959,12,0)</f>
        <v>27.4</v>
      </c>
      <c r="M1332" s="20">
        <f>VLOOKUP(A1332,Metrik!$C$2:$Y$959,19,0)</f>
        <v>13.2</v>
      </c>
      <c r="N1332" s="21"/>
      <c r="O1332" s="21"/>
      <c r="P1332" s="21"/>
      <c r="Q1332" s="21"/>
      <c r="R1332" s="21"/>
      <c r="S1332" s="21"/>
      <c r="T1332" s="21"/>
      <c r="U1332" s="22">
        <f>IFERROR(__xludf.DUMMYFUNCTION("IFERROR(GOOGLEFINANCE(A1332,""closeyest""),"""")"),7.14)</f>
        <v>7.14</v>
      </c>
      <c r="V1332" s="23">
        <f>IFERROR(__xludf.DUMMYFUNCTION("IFERROR(GOOGLEFINANCE(A1332,""changepct""),"""")"),2.24)</f>
        <v>2.24</v>
      </c>
      <c r="W1332" s="22">
        <f>IFERROR(__xludf.DUMMYFUNCTION("IFERROR(GOOGLEFINANCE(A1332,""priceopen""),"""")"),7.23)</f>
        <v>7.23</v>
      </c>
      <c r="X1332" s="22">
        <f>IFERROR(__xludf.DUMMYFUNCTION("IFERROR(GOOGLEFINANCE(A1332,""high""),"""")"),7.4)</f>
        <v>7.4</v>
      </c>
      <c r="Y1332" s="22">
        <f>IFERROR(__xludf.DUMMYFUNCTION("IFERROR(GOOGLEFINANCE(A1332,""low""),"""")"),7.13)</f>
        <v>7.13</v>
      </c>
      <c r="Z1332" s="22">
        <f>IFERROR(__xludf.DUMMYFUNCTION("IFERROR(GOOGLEFINANCE(A1332,""volume""),"""")"),450320.0)</f>
        <v>450320</v>
      </c>
      <c r="AA1332" s="24" t="str">
        <f>VLOOKUP(A1332,Metrik!$C$2:$Y$959,5,0)</f>
        <v>Containers &amp; Packaging</v>
      </c>
      <c r="AB1332" s="24" t="str">
        <f>VLOOKUP(A1332,Metrik!$C$2:$Y$959,3,0)</f>
        <v>Basic Materials</v>
      </c>
    </row>
    <row r="1333">
      <c r="A1333" s="14" t="s">
        <v>722</v>
      </c>
      <c r="B1333" s="14" t="str">
        <f t="array" ref="B1333">VLOOKUP(A1333,{Metrik!$C$2:$C$998,Metrik!$B$2:$B$998},2,0)</f>
        <v>PT Personel Alih Daya Tbk</v>
      </c>
      <c r="C1333" s="15">
        <f>IFERROR(__xludf.DUMMYFUNCTION("GOOGLEFINANCE(""IDX:""&amp;A1333,""price"")"),127.0)</f>
        <v>127</v>
      </c>
      <c r="D1333" s="16" t="str">
        <f>IFERROR(__xludf.DUMMYFUNCTION("IF(A1333="""","""",
SPARKLINE(
INDEX(
GOOGLEFINANCE(""IDX:""&amp;A1333,""close"",TODAY()-365,TODAY()),
,2
),
{""linewidth"",1}
))
"),"#N/A")</f>
        <v>#N/A</v>
      </c>
      <c r="E1333" s="26"/>
      <c r="F1333" s="26"/>
      <c r="G1333" s="24">
        <f t="shared" si="8"/>
        <v>0</v>
      </c>
      <c r="H1333" s="19">
        <f>VLOOKUP(A1333,Metrik!$C$2:$Y$959,8,0)</f>
        <v>84.3</v>
      </c>
      <c r="I1333" s="20">
        <f>VLOOKUP(A1333,Metrik!$C$2:$Y$959,9,0)</f>
        <v>3.6</v>
      </c>
      <c r="J1333" s="20">
        <f>VLOOKUP(A1333,Metrik!$C$2:$Y$959,10,0)</f>
        <v>4.2</v>
      </c>
      <c r="K1333" s="20">
        <f>VLOOKUP(A1333,Metrik!$C$2:$Y$959,11,0)</f>
        <v>1.5</v>
      </c>
      <c r="L1333" s="20">
        <f>VLOOKUP(A1333,Metrik!$C$2:$Y$959,12,0)</f>
        <v>1.9</v>
      </c>
      <c r="M1333" s="20">
        <f>VLOOKUP(A1333,Metrik!$C$2:$Y$959,19,0)</f>
        <v>1.1</v>
      </c>
      <c r="N1333" s="21"/>
      <c r="O1333" s="21"/>
      <c r="P1333" s="21"/>
      <c r="Q1333" s="21"/>
      <c r="R1333" s="21"/>
      <c r="S1333" s="21"/>
      <c r="T1333" s="21"/>
      <c r="U1333" s="22">
        <f>IFERROR(__xludf.DUMMYFUNCTION("IFERROR(GOOGLEFINANCE(A1333,""closeyest""),"""")"),108.0)</f>
        <v>108</v>
      </c>
      <c r="V1333" s="23">
        <f>IFERROR(__xludf.DUMMYFUNCTION("IFERROR(GOOGLEFINANCE(A1333,""changepct""),"""")"),17.59)</f>
        <v>17.59</v>
      </c>
      <c r="W1333" s="22">
        <f>IFERROR(__xludf.DUMMYFUNCTION("IFERROR(GOOGLEFINANCE(A1333,""priceopen""),"""")"),110.0)</f>
        <v>110</v>
      </c>
      <c r="X1333" s="22">
        <f>IFERROR(__xludf.DUMMYFUNCTION("IFERROR(GOOGLEFINANCE(A1333,""high""),"""")"),143.0)</f>
        <v>143</v>
      </c>
      <c r="Y1333" s="22">
        <f>IFERROR(__xludf.DUMMYFUNCTION("IFERROR(GOOGLEFINANCE(A1333,""low""),"""")"),110.0)</f>
        <v>110</v>
      </c>
      <c r="Z1333" s="22">
        <f>IFERROR(__xludf.DUMMYFUNCTION("IFERROR(GOOGLEFINANCE(A1333,""volume""),"""")"),6.79645E7)</f>
        <v>67964500</v>
      </c>
      <c r="AA1333" s="24" t="str">
        <f>VLOOKUP(A1333,Metrik!$C$2:$Y$959,5,0)</f>
        <v>Professional Services</v>
      </c>
      <c r="AB1333" s="24" t="str">
        <f>VLOOKUP(A1333,Metrik!$C$2:$Y$959,3,0)</f>
        <v>Industrials</v>
      </c>
    </row>
    <row r="1334">
      <c r="A1334" s="14" t="s">
        <v>723</v>
      </c>
      <c r="B1334" s="14" t="str">
        <f t="array" ref="B1334">VLOOKUP(A1334,{Metrik!$C$2:$C$998,Metrik!$B$2:$B$998},2,0)</f>
        <v>Minna Padi Investama Sekuritas Tbk.</v>
      </c>
      <c r="C1334" s="15">
        <f>IFERROR(__xludf.DUMMYFUNCTION("GOOGLEFINANCE(""IDX:""&amp;A1334,""price"")"),74.0)</f>
        <v>74</v>
      </c>
      <c r="D1334" s="16" t="str">
        <f>IFERROR(__xludf.DUMMYFUNCTION("IF(A1334="""","""",
SPARKLINE(
INDEX(
GOOGLEFINANCE(""IDX:""&amp;A1334,""close"",TODAY()-365,TODAY()),
,2
),
{""linewidth"",1}
))
"),"#N/A")</f>
        <v>#N/A</v>
      </c>
      <c r="E1334" s="26"/>
      <c r="F1334" s="26"/>
      <c r="G1334" s="24">
        <f t="shared" si="8"/>
        <v>0</v>
      </c>
      <c r="H1334" s="19">
        <f>VLOOKUP(A1334,Metrik!$C$2:$Y$959,8,0)</f>
        <v>110</v>
      </c>
      <c r="I1334" s="20">
        <f>VLOOKUP(A1334,Metrik!$C$2:$Y$959,9,0)</f>
        <v>6.3</v>
      </c>
      <c r="J1334" s="20">
        <f>VLOOKUP(A1334,Metrik!$C$2:$Y$959,10,0)</f>
        <v>5.7</v>
      </c>
      <c r="K1334" s="20">
        <f>VLOOKUP(A1334,Metrik!$C$2:$Y$959,11,0)</f>
        <v>4.4</v>
      </c>
      <c r="L1334" s="20">
        <f>VLOOKUP(A1334,Metrik!$C$2:$Y$959,12,0)</f>
        <v>0.29</v>
      </c>
      <c r="M1334" s="20">
        <f>VLOOKUP(A1334,Metrik!$C$2:$Y$959,19,0)</f>
        <v>67.6</v>
      </c>
      <c r="N1334" s="21"/>
      <c r="O1334" s="21"/>
      <c r="P1334" s="21"/>
      <c r="Q1334" s="21"/>
      <c r="R1334" s="21"/>
      <c r="S1334" s="21"/>
      <c r="T1334" s="21"/>
      <c r="U1334" s="22">
        <f>IFERROR(__xludf.DUMMYFUNCTION("IFERROR(GOOGLEFINANCE(A1334,""closeyest""),"""")"),68.0)</f>
        <v>68</v>
      </c>
      <c r="V1334" s="23">
        <f>IFERROR(__xludf.DUMMYFUNCTION("IFERROR(GOOGLEFINANCE(A1334,""changepct""),"""")"),8.82)</f>
        <v>8.82</v>
      </c>
      <c r="W1334" s="22">
        <f>IFERROR(__xludf.DUMMYFUNCTION("IFERROR(GOOGLEFINANCE(A1334,""priceopen""),"""")"),69.0)</f>
        <v>69</v>
      </c>
      <c r="X1334" s="22">
        <f>IFERROR(__xludf.DUMMYFUNCTION("IFERROR(GOOGLEFINANCE(A1334,""high""),"""")"),78.0)</f>
        <v>78</v>
      </c>
      <c r="Y1334" s="22">
        <f>IFERROR(__xludf.DUMMYFUNCTION("IFERROR(GOOGLEFINANCE(A1334,""low""),"""")"),68.0)</f>
        <v>68</v>
      </c>
      <c r="Z1334" s="22">
        <f>IFERROR(__xludf.DUMMYFUNCTION("IFERROR(GOOGLEFINANCE(A1334,""volume""),"""")"),2.60888E8)</f>
        <v>260888000</v>
      </c>
      <c r="AA1334" s="24" t="str">
        <f>VLOOKUP(A1334,Metrik!$C$2:$Y$959,5,0)</f>
        <v>Investment Services</v>
      </c>
      <c r="AB1334" s="24" t="str">
        <f>VLOOKUP(A1334,Metrik!$C$2:$Y$959,3,0)</f>
        <v>Financials</v>
      </c>
    </row>
    <row r="1335">
      <c r="A1335" s="14" t="s">
        <v>724</v>
      </c>
      <c r="B1335" s="14" t="str">
        <f t="array" ref="B1335">VLOOKUP(A1335,{Metrik!$C$2:$C$998,Metrik!$B$2:$B$998},2,0)</f>
        <v>PT Provident Investasi Bersama Tbk</v>
      </c>
      <c r="C1335" s="15">
        <f>IFERROR(__xludf.DUMMYFUNCTION("GOOGLEFINANCE(""IDX:""&amp;A1335,""price"")"),328.0)</f>
        <v>328</v>
      </c>
      <c r="D1335" s="16" t="str">
        <f>IFERROR(__xludf.DUMMYFUNCTION("IF(A1335="""","""",
SPARKLINE(
INDEX(
GOOGLEFINANCE(""IDX:""&amp;A1335,""close"",TODAY()-365,TODAY()),
,2
),
{""linewidth"",1}
))
"),"#N/A")</f>
        <v>#N/A</v>
      </c>
      <c r="E1335" s="26"/>
      <c r="F1335" s="26"/>
      <c r="G1335" s="24">
        <f t="shared" si="8"/>
        <v>0</v>
      </c>
      <c r="H1335" s="19">
        <f>VLOOKUP(A1335,Metrik!$C$2:$Y$959,8,0)</f>
        <v>0.96</v>
      </c>
      <c r="I1335" s="20">
        <f>VLOOKUP(A1335,Metrik!$C$2:$Y$959,9,0)</f>
        <v>0.65</v>
      </c>
      <c r="J1335" s="20">
        <f>VLOOKUP(A1335,Metrik!$C$2:$Y$959,10,0)</f>
        <v>67.7</v>
      </c>
      <c r="K1335" s="20">
        <f>VLOOKUP(A1335,Metrik!$C$2:$Y$959,11,0)</f>
        <v>48.5</v>
      </c>
      <c r="L1335" s="20">
        <f>VLOOKUP(A1335,Metrik!$C$2:$Y$959,12,0)</f>
        <v>0.4</v>
      </c>
      <c r="M1335" s="20">
        <f>VLOOKUP(A1335,Metrik!$C$2:$Y$959,19,0)</f>
        <v>140000</v>
      </c>
      <c r="N1335" s="21"/>
      <c r="O1335" s="21"/>
      <c r="P1335" s="21"/>
      <c r="Q1335" s="21"/>
      <c r="R1335" s="21"/>
      <c r="S1335" s="21"/>
      <c r="T1335" s="21"/>
      <c r="U1335" s="22">
        <f>IFERROR(__xludf.DUMMYFUNCTION("IFERROR(GOOGLEFINANCE(A1335,""closeyest""),"""")"),155.0)</f>
        <v>155</v>
      </c>
      <c r="V1335" s="23">
        <f>IFERROR(__xludf.DUMMYFUNCTION("IFERROR(GOOGLEFINANCE(A1335,""changepct""),"""")"),-0.65)</f>
        <v>-0.65</v>
      </c>
      <c r="W1335" s="22">
        <f>IFERROR(__xludf.DUMMYFUNCTION("IFERROR(GOOGLEFINANCE(A1335,""priceopen""),"""")"),165.0)</f>
        <v>165</v>
      </c>
      <c r="X1335" s="22">
        <f>IFERROR(__xludf.DUMMYFUNCTION("IFERROR(GOOGLEFINANCE(A1335,""high""),"""")"),165.0)</f>
        <v>165</v>
      </c>
      <c r="Y1335" s="22">
        <f>IFERROR(__xludf.DUMMYFUNCTION("IFERROR(GOOGLEFINANCE(A1335,""low""),"""")"),145.0)</f>
        <v>145</v>
      </c>
      <c r="Z1335" s="22">
        <f>IFERROR(__xludf.DUMMYFUNCTION("IFERROR(GOOGLEFINANCE(A1335,""volume""),"""")"),75433.0)</f>
        <v>75433</v>
      </c>
      <c r="AA1335" s="24" t="str">
        <f>VLOOKUP(A1335,Metrik!$C$2:$Y$959,5,0)</f>
        <v>Agricultural Products</v>
      </c>
      <c r="AB1335" s="24" t="str">
        <f>VLOOKUP(A1335,Metrik!$C$2:$Y$959,3,0)</f>
        <v>Consumer Non-Cyclicals</v>
      </c>
    </row>
    <row r="1336">
      <c r="A1336" s="14" t="s">
        <v>725</v>
      </c>
      <c r="B1336" s="14" t="str">
        <f t="array" ref="B1336">VLOOKUP(A1336,{Metrik!$C$2:$C$998,Metrik!$B$2:$B$998},2,0)</f>
        <v>Bima Sakti Pertiwi Tbk.</v>
      </c>
      <c r="C1336" s="15">
        <f>IFERROR(__xludf.DUMMYFUNCTION("GOOGLEFINANCE(""IDX:""&amp;A1336,""price"")"),51.0)</f>
        <v>51</v>
      </c>
      <c r="D1336" s="16" t="str">
        <f>IFERROR(__xludf.DUMMYFUNCTION("IF(A1336="""","""",
SPARKLINE(
INDEX(
GOOGLEFINANCE(""IDX:""&amp;A1336,""close"",TODAY()-365,TODAY()),
,2
),
{""linewidth"",1}
))
"),"#N/A")</f>
        <v>#N/A</v>
      </c>
      <c r="E1336" s="26"/>
      <c r="F1336" s="26"/>
      <c r="G1336" s="24">
        <f t="shared" si="8"/>
        <v>0</v>
      </c>
      <c r="H1336" s="19">
        <f>VLOOKUP(A1336,Metrik!$C$2:$Y$959,8,0)</f>
        <v>-340</v>
      </c>
      <c r="I1336" s="20">
        <f>VLOOKUP(A1336,Metrik!$C$2:$Y$959,9,0)</f>
        <v>0.38</v>
      </c>
      <c r="J1336" s="20">
        <f>VLOOKUP(A1336,Metrik!$C$2:$Y$959,10,0)</f>
        <v>-0.11</v>
      </c>
      <c r="K1336" s="20">
        <f>VLOOKUP(A1336,Metrik!$C$2:$Y$959,11,0)</f>
        <v>-0.08</v>
      </c>
      <c r="L1336" s="20">
        <f>VLOOKUP(A1336,Metrik!$C$2:$Y$959,12,0)</f>
        <v>0.38</v>
      </c>
      <c r="M1336" s="20">
        <f>VLOOKUP(A1336,Metrik!$C$2:$Y$959,19,0)</f>
        <v>-4.2</v>
      </c>
      <c r="N1336" s="21"/>
      <c r="O1336" s="21"/>
      <c r="P1336" s="21"/>
      <c r="Q1336" s="21"/>
      <c r="R1336" s="21"/>
      <c r="S1336" s="21"/>
      <c r="T1336" s="21"/>
      <c r="U1336" s="22">
        <f>IFERROR(__xludf.DUMMYFUNCTION("IFERROR(GOOGLEFINANCE(A1336,""closeyest""),"""")"),50.0)</f>
        <v>50</v>
      </c>
      <c r="V1336" s="23">
        <f>IFERROR(__xludf.DUMMYFUNCTION("IFERROR(GOOGLEFINANCE(A1336,""changepct""),"""")"),2.0)</f>
        <v>2</v>
      </c>
      <c r="W1336" s="22">
        <f>IFERROR(__xludf.DUMMYFUNCTION("IFERROR(GOOGLEFINANCE(A1336,""priceopen""),"""")"),50.0)</f>
        <v>50</v>
      </c>
      <c r="X1336" s="22">
        <f>IFERROR(__xludf.DUMMYFUNCTION("IFERROR(GOOGLEFINANCE(A1336,""high""),"""")"),53.0)</f>
        <v>53</v>
      </c>
      <c r="Y1336" s="22">
        <f>IFERROR(__xludf.DUMMYFUNCTION("IFERROR(GOOGLEFINANCE(A1336,""low""),"""")"),50.0)</f>
        <v>50</v>
      </c>
      <c r="Z1336" s="22">
        <f>IFERROR(__xludf.DUMMYFUNCTION("IFERROR(GOOGLEFINANCE(A1336,""volume""),"""")"),6881100.0)</f>
        <v>6881100</v>
      </c>
      <c r="AA1336" s="24" t="str">
        <f>VLOOKUP(A1336,Metrik!$C$2:$Y$959,5,0)</f>
        <v>Real Estate Management &amp; Development</v>
      </c>
      <c r="AB1336" s="24" t="str">
        <f>VLOOKUP(A1336,Metrik!$C$2:$Y$959,3,0)</f>
        <v>Properties &amp; Real Estate</v>
      </c>
    </row>
    <row r="1337">
      <c r="A1337" s="14" t="s">
        <v>726</v>
      </c>
      <c r="B1337" s="14" t="str">
        <f t="array" ref="B1337">VLOOKUP(A1337,{Metrik!$C$2:$C$998,Metrik!$B$2:$B$998},2,0)</f>
        <v>Pantai Indah Kapuk Dua Tbk.</v>
      </c>
      <c r="C1337" s="15">
        <f>IFERROR(__xludf.DUMMYFUNCTION("GOOGLEFINANCE(""IDX:""&amp;A1337,""price"")"),6850.0)</f>
        <v>6850</v>
      </c>
      <c r="D1337" s="16" t="str">
        <f>IFERROR(__xludf.DUMMYFUNCTION("IF(A1337="""","""",
SPARKLINE(
INDEX(
GOOGLEFINANCE(""IDX:""&amp;A1337,""close"",TODAY()-365,TODAY()),
,2
),
{""linewidth"",1}
))
"),"#N/A")</f>
        <v>#N/A</v>
      </c>
      <c r="E1337" s="14" t="s">
        <v>52</v>
      </c>
      <c r="F1337" s="27" t="s">
        <v>53</v>
      </c>
      <c r="G1337" s="24">
        <f t="shared" si="8"/>
        <v>3</v>
      </c>
      <c r="H1337" s="19">
        <f>VLOOKUP(A1337,Metrik!$C$2:$Y$959,8,0)</f>
        <v>79.7</v>
      </c>
      <c r="I1337" s="20">
        <f>VLOOKUP(A1337,Metrik!$C$2:$Y$959,9,0)</f>
        <v>4.2</v>
      </c>
      <c r="J1337" s="20">
        <f>VLOOKUP(A1337,Metrik!$C$2:$Y$959,10,0)</f>
        <v>5.2</v>
      </c>
      <c r="K1337" s="20">
        <f>VLOOKUP(A1337,Metrik!$C$2:$Y$959,11,0)</f>
        <v>3.3</v>
      </c>
      <c r="L1337" s="20">
        <f>VLOOKUP(A1337,Metrik!$C$2:$Y$959,12,0)</f>
        <v>0.57</v>
      </c>
      <c r="M1337" s="20">
        <f>VLOOKUP(A1337,Metrik!$C$2:$Y$959,19,0)</f>
        <v>150</v>
      </c>
      <c r="N1337" s="21"/>
      <c r="O1337" s="21"/>
      <c r="P1337" s="21"/>
      <c r="Q1337" s="21"/>
      <c r="R1337" s="21"/>
      <c r="S1337" s="21"/>
      <c r="T1337" s="21"/>
      <c r="U1337" s="22">
        <f>IFERROR(__xludf.DUMMYFUNCTION("IFERROR(GOOGLEFINANCE(A1337,""closeyest""),"""")"),6275.0)</f>
        <v>6275</v>
      </c>
      <c r="V1337" s="23">
        <f>IFERROR(__xludf.DUMMYFUNCTION("IFERROR(GOOGLEFINANCE(A1337,""changepct""),"""")"),9.16)</f>
        <v>9.16</v>
      </c>
      <c r="W1337" s="22" t="str">
        <f>IFERROR(__xludf.DUMMYFUNCTION("IFERROR(GOOGLEFINANCE(A1337,""priceopen""),"""")"),"")</f>
        <v/>
      </c>
      <c r="X1337" s="22">
        <f>IFERROR(__xludf.DUMMYFUNCTION("IFERROR(GOOGLEFINANCE(A1337,""high""),"""")"),6850.0)</f>
        <v>6850</v>
      </c>
      <c r="Y1337" s="22">
        <f>IFERROR(__xludf.DUMMYFUNCTION("IFERROR(GOOGLEFINANCE(A1337,""low""),"""")"),6300.0)</f>
        <v>6300</v>
      </c>
      <c r="Z1337" s="22">
        <f>IFERROR(__xludf.DUMMYFUNCTION("IFERROR(GOOGLEFINANCE(A1337,""volume""),"""")"),5972800.0)</f>
        <v>5972800</v>
      </c>
      <c r="AA1337" s="24" t="str">
        <f>VLOOKUP(A1337,Metrik!$C$2:$Y$959,5,0)</f>
        <v>Real Estate Management &amp; Development</v>
      </c>
      <c r="AB1337" s="24" t="str">
        <f>VLOOKUP(A1337,Metrik!$C$2:$Y$959,3,0)</f>
        <v>Properties &amp; Real Estate</v>
      </c>
    </row>
    <row r="1338">
      <c r="A1338" s="14" t="s">
        <v>726</v>
      </c>
      <c r="B1338" s="14" t="str">
        <f t="array" ref="B1338">VLOOKUP(A1338,{Metrik!$C$2:$C$998,Metrik!$B$2:$B$998},2,0)</f>
        <v>Pantai Indah Kapuk Dua Tbk.</v>
      </c>
      <c r="C1338" s="15">
        <f>IFERROR(__xludf.DUMMYFUNCTION("GOOGLEFINANCE(""IDX:""&amp;A1338,""price"")"),6850.0)</f>
        <v>6850</v>
      </c>
      <c r="D1338" s="16" t="str">
        <f>IFERROR(__xludf.DUMMYFUNCTION("IF(A1338="""","""",
SPARKLINE(
INDEX(
GOOGLEFINANCE(""IDX:""&amp;A1338,""close"",TODAY()-365,TODAY()),
,2
),
{""linewidth"",1}
))
"),"#N/A")</f>
        <v>#N/A</v>
      </c>
      <c r="E1338" s="14" t="s">
        <v>32</v>
      </c>
      <c r="F1338" s="14" t="s">
        <v>29</v>
      </c>
      <c r="G1338" s="24">
        <f t="shared" si="8"/>
        <v>3</v>
      </c>
      <c r="H1338" s="19">
        <f>VLOOKUP(A1338,Metrik!$C$2:$Y$959,8,0)</f>
        <v>79.7</v>
      </c>
      <c r="I1338" s="20">
        <f>VLOOKUP(A1338,Metrik!$C$2:$Y$959,9,0)</f>
        <v>4.2</v>
      </c>
      <c r="J1338" s="20">
        <f>VLOOKUP(A1338,Metrik!$C$2:$Y$959,10,0)</f>
        <v>5.2</v>
      </c>
      <c r="K1338" s="20">
        <f>VLOOKUP(A1338,Metrik!$C$2:$Y$959,11,0)</f>
        <v>3.3</v>
      </c>
      <c r="L1338" s="20">
        <f>VLOOKUP(A1338,Metrik!$C$2:$Y$959,12,0)</f>
        <v>0.57</v>
      </c>
      <c r="M1338" s="20">
        <f>VLOOKUP(A1338,Metrik!$C$2:$Y$959,19,0)</f>
        <v>150</v>
      </c>
      <c r="N1338" s="21"/>
      <c r="O1338" s="21"/>
      <c r="P1338" s="21"/>
      <c r="Q1338" s="21"/>
      <c r="R1338" s="21"/>
      <c r="S1338" s="21"/>
      <c r="T1338" s="21"/>
      <c r="U1338" s="22">
        <f>IFERROR(__xludf.DUMMYFUNCTION("IFERROR(GOOGLEFINANCE(A1338,""closeyest""),"""")"),6275.0)</f>
        <v>6275</v>
      </c>
      <c r="V1338" s="23">
        <f>IFERROR(__xludf.DUMMYFUNCTION("IFERROR(GOOGLEFINANCE(A1338,""changepct""),"""")"),9.16)</f>
        <v>9.16</v>
      </c>
      <c r="W1338" s="22" t="str">
        <f>IFERROR(__xludf.DUMMYFUNCTION("IFERROR(GOOGLEFINANCE(A1338,""priceopen""),"""")"),"")</f>
        <v/>
      </c>
      <c r="X1338" s="22">
        <f>IFERROR(__xludf.DUMMYFUNCTION("IFERROR(GOOGLEFINANCE(A1338,""high""),"""")"),6850.0)</f>
        <v>6850</v>
      </c>
      <c r="Y1338" s="22">
        <f>IFERROR(__xludf.DUMMYFUNCTION("IFERROR(GOOGLEFINANCE(A1338,""low""),"""")"),6300.0)</f>
        <v>6300</v>
      </c>
      <c r="Z1338" s="22">
        <f>IFERROR(__xludf.DUMMYFUNCTION("IFERROR(GOOGLEFINANCE(A1338,""volume""),"""")"),5972800.0)</f>
        <v>5972800</v>
      </c>
      <c r="AA1338" s="24" t="str">
        <f>VLOOKUP(A1338,Metrik!$C$2:$Y$959,5,0)</f>
        <v>Real Estate Management &amp; Development</v>
      </c>
      <c r="AB1338" s="24" t="str">
        <f>VLOOKUP(A1338,Metrik!$C$2:$Y$959,3,0)</f>
        <v>Properties &amp; Real Estate</v>
      </c>
    </row>
    <row r="1339">
      <c r="A1339" s="14" t="s">
        <v>726</v>
      </c>
      <c r="B1339" s="14" t="str">
        <f t="array" ref="B1339">VLOOKUP(A1339,{Metrik!$C$2:$C$998,Metrik!$B$2:$B$998},2,0)</f>
        <v>Pantai Indah Kapuk Dua Tbk.</v>
      </c>
      <c r="C1339" s="15">
        <f>IFERROR(__xludf.DUMMYFUNCTION("GOOGLEFINANCE(""IDX:""&amp;A1339,""price"")"),6850.0)</f>
        <v>6850</v>
      </c>
      <c r="D1339" s="16" t="str">
        <f>IFERROR(__xludf.DUMMYFUNCTION("IF(A1339="""","""",
SPARKLINE(
INDEX(
GOOGLEFINANCE(""IDX:""&amp;A1339,""close"",TODAY()-365,TODAY()),
,2
),
{""linewidth"",1}
))
"),"#N/A")</f>
        <v>#N/A</v>
      </c>
      <c r="E1339" s="14" t="s">
        <v>28</v>
      </c>
      <c r="F1339" s="17" t="s">
        <v>29</v>
      </c>
      <c r="G1339" s="24">
        <f t="shared" si="8"/>
        <v>3</v>
      </c>
      <c r="H1339" s="19">
        <f>VLOOKUP(A1339,Metrik!$C$2:$Y$959,8,0)</f>
        <v>79.7</v>
      </c>
      <c r="I1339" s="20">
        <f>VLOOKUP(A1339,Metrik!$C$2:$Y$959,9,0)</f>
        <v>4.2</v>
      </c>
      <c r="J1339" s="20">
        <f>VLOOKUP(A1339,Metrik!$C$2:$Y$959,10,0)</f>
        <v>5.2</v>
      </c>
      <c r="K1339" s="20">
        <f>VLOOKUP(A1339,Metrik!$C$2:$Y$959,11,0)</f>
        <v>3.3</v>
      </c>
      <c r="L1339" s="20">
        <f>VLOOKUP(A1339,Metrik!$C$2:$Y$959,12,0)</f>
        <v>0.57</v>
      </c>
      <c r="M1339" s="20">
        <f>VLOOKUP(A1339,Metrik!$C$2:$Y$959,19,0)</f>
        <v>150</v>
      </c>
      <c r="N1339" s="21"/>
      <c r="O1339" s="21"/>
      <c r="P1339" s="21"/>
      <c r="Q1339" s="21"/>
      <c r="R1339" s="21"/>
      <c r="S1339" s="21"/>
      <c r="T1339" s="21"/>
      <c r="U1339" s="22">
        <f>IFERROR(__xludf.DUMMYFUNCTION("IFERROR(GOOGLEFINANCE(A1339,""closeyest""),"""")"),6275.0)</f>
        <v>6275</v>
      </c>
      <c r="V1339" s="23">
        <f>IFERROR(__xludf.DUMMYFUNCTION("IFERROR(GOOGLEFINANCE(A1339,""changepct""),"""")"),9.16)</f>
        <v>9.16</v>
      </c>
      <c r="W1339" s="22" t="str">
        <f>IFERROR(__xludf.DUMMYFUNCTION("IFERROR(GOOGLEFINANCE(A1339,""priceopen""),"""")"),"")</f>
        <v/>
      </c>
      <c r="X1339" s="22">
        <f>IFERROR(__xludf.DUMMYFUNCTION("IFERROR(GOOGLEFINANCE(A1339,""high""),"""")"),6850.0)</f>
        <v>6850</v>
      </c>
      <c r="Y1339" s="22">
        <f>IFERROR(__xludf.DUMMYFUNCTION("IFERROR(GOOGLEFINANCE(A1339,""low""),"""")"),6300.0)</f>
        <v>6300</v>
      </c>
      <c r="Z1339" s="22">
        <f>IFERROR(__xludf.DUMMYFUNCTION("IFERROR(GOOGLEFINANCE(A1339,""volume""),"""")"),5972800.0)</f>
        <v>5972800</v>
      </c>
      <c r="AA1339" s="24" t="str">
        <f>VLOOKUP(A1339,Metrik!$C$2:$Y$959,5,0)</f>
        <v>Real Estate Management &amp; Development</v>
      </c>
      <c r="AB1339" s="24" t="str">
        <f>VLOOKUP(A1339,Metrik!$C$2:$Y$959,3,0)</f>
        <v>Properties &amp; Real Estate</v>
      </c>
    </row>
    <row r="1340">
      <c r="A1340" s="14" t="s">
        <v>727</v>
      </c>
      <c r="B1340" s="14" t="str">
        <f t="array" ref="B1340">VLOOKUP(A1340,{Metrik!$C$2:$C$998,Metrik!$B$2:$B$998},2,0)</f>
        <v>Panorama Sentrawisata Tbk.</v>
      </c>
      <c r="C1340" s="15">
        <f>IFERROR(__xludf.DUMMYFUNCTION("GOOGLEFINANCE(""IDX:""&amp;A1340,""price"")"),450.0)</f>
        <v>450</v>
      </c>
      <c r="D1340" s="16" t="str">
        <f>IFERROR(__xludf.DUMMYFUNCTION("IF(A1340="""","""",
SPARKLINE(
INDEX(
GOOGLEFINANCE(""IDX:""&amp;A1340,""close"",TODAY()-365,TODAY()),
,2
),
{""linewidth"",1}
))
"),"#N/A")</f>
        <v>#N/A</v>
      </c>
      <c r="E1340" s="26"/>
      <c r="F1340" s="26"/>
      <c r="G1340" s="18">
        <f t="shared" si="8"/>
        <v>0</v>
      </c>
      <c r="H1340" s="19">
        <f>VLOOKUP(A1340,Metrik!$C$2:$Y$959,8,0)</f>
        <v>7.4</v>
      </c>
      <c r="I1340" s="20">
        <f>VLOOKUP(A1340,Metrik!$C$2:$Y$959,9,0)</f>
        <v>0.52</v>
      </c>
      <c r="J1340" s="20">
        <f>VLOOKUP(A1340,Metrik!$C$2:$Y$959,10,0)</f>
        <v>7</v>
      </c>
      <c r="K1340" s="20">
        <f>VLOOKUP(A1340,Metrik!$C$2:$Y$959,11,0)</f>
        <v>4.4</v>
      </c>
      <c r="L1340" s="20">
        <f>VLOOKUP(A1340,Metrik!$C$2:$Y$959,12,0)</f>
        <v>0.59</v>
      </c>
      <c r="M1340" s="20">
        <f>VLOOKUP(A1340,Metrik!$C$2:$Y$959,19,0)</f>
        <v>9</v>
      </c>
      <c r="N1340" s="21"/>
      <c r="O1340" s="21"/>
      <c r="P1340" s="21"/>
      <c r="Q1340" s="21"/>
      <c r="R1340" s="21"/>
      <c r="S1340" s="21"/>
      <c r="T1340" s="21"/>
      <c r="U1340" s="22">
        <f>IFERROR(__xludf.DUMMYFUNCTION("IFERROR(GOOGLEFINANCE(A1340,""closeyest""),"""")"),16.12)</f>
        <v>16.12</v>
      </c>
      <c r="V1340" s="23">
        <f>IFERROR(__xludf.DUMMYFUNCTION("IFERROR(GOOGLEFINANCE(A1340,""changepct""),"""")"),-1.92)</f>
        <v>-1.92</v>
      </c>
      <c r="W1340" s="22">
        <f>IFERROR(__xludf.DUMMYFUNCTION("IFERROR(GOOGLEFINANCE(A1340,""priceopen""),"""")"),15.75)</f>
        <v>15.75</v>
      </c>
      <c r="X1340" s="22">
        <f>IFERROR(__xludf.DUMMYFUNCTION("IFERROR(GOOGLEFINANCE(A1340,""high""),"""")"),16.15)</f>
        <v>16.15</v>
      </c>
      <c r="Y1340" s="22">
        <f>IFERROR(__xludf.DUMMYFUNCTION("IFERROR(GOOGLEFINANCE(A1340,""low""),"""")"),14.79)</f>
        <v>14.79</v>
      </c>
      <c r="Z1340" s="22">
        <f>IFERROR(__xludf.DUMMYFUNCTION("IFERROR(GOOGLEFINANCE(A1340,""volume""),"""")"),4730612.0)</f>
        <v>4730612</v>
      </c>
      <c r="AA1340" s="24" t="str">
        <f>VLOOKUP(A1340,Metrik!$C$2:$Y$959,5,0)</f>
        <v>Tourism &amp; Recreation</v>
      </c>
      <c r="AB1340" s="24" t="str">
        <f>VLOOKUP(A1340,Metrik!$C$2:$Y$959,3,0)</f>
        <v>Consumer Cyclicals</v>
      </c>
    </row>
    <row r="1341">
      <c r="A1341" s="14" t="s">
        <v>728</v>
      </c>
      <c r="B1341" s="14" t="str">
        <f t="array" ref="B1341">VLOOKUP(A1341,{Metrik!$C$2:$C$998,Metrik!$B$2:$B$998},2,0)</f>
        <v>Panin Sekuritas Tbk.</v>
      </c>
      <c r="C1341" s="15">
        <f>IFERROR(__xludf.DUMMYFUNCTION("GOOGLEFINANCE(""IDX:""&amp;A1341,""price"")"),1675.0)</f>
        <v>1675</v>
      </c>
      <c r="D1341" s="16" t="str">
        <f>IFERROR(__xludf.DUMMYFUNCTION("IF(A1341="""","""",
SPARKLINE(
INDEX(
GOOGLEFINANCE(""IDX:""&amp;A1341,""close"",TODAY()-365,TODAY()),
,2
),
{""linewidth"",1}
))
"),"#N/A")</f>
        <v>#N/A</v>
      </c>
      <c r="E1341" s="26"/>
      <c r="F1341" s="26"/>
      <c r="G1341" s="24">
        <f t="shared" si="8"/>
        <v>0</v>
      </c>
      <c r="H1341" s="19">
        <f>VLOOKUP(A1341,Metrik!$C$2:$Y$959,8,0)</f>
        <v>5.7</v>
      </c>
      <c r="I1341" s="20">
        <f>VLOOKUP(A1341,Metrik!$C$2:$Y$959,9,0)</f>
        <v>0.75</v>
      </c>
      <c r="J1341" s="20">
        <f>VLOOKUP(A1341,Metrik!$C$2:$Y$959,10,0)</f>
        <v>13.3</v>
      </c>
      <c r="K1341" s="20">
        <f>VLOOKUP(A1341,Metrik!$C$2:$Y$959,11,0)</f>
        <v>9.1</v>
      </c>
      <c r="L1341" s="20">
        <f>VLOOKUP(A1341,Metrik!$C$2:$Y$959,12,0)</f>
        <v>0.45</v>
      </c>
      <c r="M1341" s="20">
        <f>VLOOKUP(A1341,Metrik!$C$2:$Y$959,19,0)</f>
        <v>250</v>
      </c>
      <c r="N1341" s="21"/>
      <c r="O1341" s="21"/>
      <c r="P1341" s="21"/>
      <c r="Q1341" s="21"/>
      <c r="R1341" s="21"/>
      <c r="S1341" s="21"/>
      <c r="T1341" s="21"/>
      <c r="U1341" s="22">
        <f>IFERROR(__xludf.DUMMYFUNCTION("IFERROR(GOOGLEFINANCE(A1341,""closeyest""),"""")"),1650.0)</f>
        <v>1650</v>
      </c>
      <c r="V1341" s="23">
        <f>IFERROR(__xludf.DUMMYFUNCTION("IFERROR(GOOGLEFINANCE(A1341,""changepct""),"""")"),1.52)</f>
        <v>1.52</v>
      </c>
      <c r="W1341" s="22">
        <f>IFERROR(__xludf.DUMMYFUNCTION("IFERROR(GOOGLEFINANCE(A1341,""priceopen""),"""")"),1645.0)</f>
        <v>1645</v>
      </c>
      <c r="X1341" s="22">
        <f>IFERROR(__xludf.DUMMYFUNCTION("IFERROR(GOOGLEFINANCE(A1341,""high""),"""")"),1710.0)</f>
        <v>1710</v>
      </c>
      <c r="Y1341" s="22">
        <f>IFERROR(__xludf.DUMMYFUNCTION("IFERROR(GOOGLEFINANCE(A1341,""low""),"""")"),1645.0)</f>
        <v>1645</v>
      </c>
      <c r="Z1341" s="22">
        <f>IFERROR(__xludf.DUMMYFUNCTION("IFERROR(GOOGLEFINANCE(A1341,""volume""),"""")"),159100.0)</f>
        <v>159100</v>
      </c>
      <c r="AA1341" s="24" t="str">
        <f>VLOOKUP(A1341,Metrik!$C$2:$Y$959,5,0)</f>
        <v>Investment Services</v>
      </c>
      <c r="AB1341" s="24" t="str">
        <f>VLOOKUP(A1341,Metrik!$C$2:$Y$959,3,0)</f>
        <v>Financials</v>
      </c>
    </row>
    <row r="1342">
      <c r="A1342" s="14" t="s">
        <v>729</v>
      </c>
      <c r="B1342" s="14" t="str">
        <f t="array" ref="B1342">VLOOKUP(A1342,{Metrik!$C$2:$C$998,Metrik!$B$2:$B$998},2,0)</f>
        <v>Cipta Perdana Lancar Tbk.</v>
      </c>
      <c r="C1342" s="15">
        <f>IFERROR(__xludf.DUMMYFUNCTION("GOOGLEFINANCE(""IDX:""&amp;A1342,""price"")"),100.0)</f>
        <v>100</v>
      </c>
      <c r="D1342" s="16" t="str">
        <f>IFERROR(__xludf.DUMMYFUNCTION("IF(A1342="""","""",
SPARKLINE(
INDEX(
GOOGLEFINANCE(""IDX:""&amp;A1342,""close"",TODAY()-365,TODAY()),
,2
),
{""linewidth"",1}
))
"),"#N/A")</f>
        <v>#N/A</v>
      </c>
      <c r="E1342" s="26"/>
      <c r="F1342" s="26"/>
      <c r="G1342" s="28">
        <f t="shared" si="8"/>
        <v>0</v>
      </c>
      <c r="H1342" s="19">
        <f>VLOOKUP(A1342,Metrik!$C$2:$Y$959,8,0)</f>
        <v>9</v>
      </c>
      <c r="I1342" s="20">
        <f>VLOOKUP(A1342,Metrik!$C$2:$Y$959,9,0)</f>
        <v>1.4</v>
      </c>
      <c r="J1342" s="20">
        <f>VLOOKUP(A1342,Metrik!$C$2:$Y$959,10,0)</f>
        <v>15.4</v>
      </c>
      <c r="K1342" s="20">
        <f>VLOOKUP(A1342,Metrik!$C$2:$Y$959,11,0)</f>
        <v>7.6</v>
      </c>
      <c r="L1342" s="20">
        <f>VLOOKUP(A1342,Metrik!$C$2:$Y$959,12,0)</f>
        <v>1</v>
      </c>
      <c r="M1342" s="20">
        <f>VLOOKUP(A1342,Metrik!$C$2:$Y$959,19,0)</f>
        <v>32.3</v>
      </c>
      <c r="N1342" s="21"/>
      <c r="O1342" s="21"/>
      <c r="P1342" s="21"/>
      <c r="Q1342" s="21"/>
      <c r="R1342" s="21"/>
      <c r="S1342" s="21"/>
      <c r="T1342" s="21"/>
      <c r="U1342" s="22">
        <f>IFERROR(__xludf.DUMMYFUNCTION("IFERROR(GOOGLEFINANCE(A1342,""closeyest""),"""")"),80.0)</f>
        <v>80</v>
      </c>
      <c r="V1342" s="23">
        <f>IFERROR(__xludf.DUMMYFUNCTION("IFERROR(GOOGLEFINANCE(A1342,""changepct""),"""")"),25.0)</f>
        <v>25</v>
      </c>
      <c r="W1342" s="22">
        <f>IFERROR(__xludf.DUMMYFUNCTION("IFERROR(GOOGLEFINANCE(A1342,""priceopen""),"""")"),83.0)</f>
        <v>83</v>
      </c>
      <c r="X1342" s="22">
        <f>IFERROR(__xludf.DUMMYFUNCTION("IFERROR(GOOGLEFINANCE(A1342,""high""),"""")"),104.0)</f>
        <v>104</v>
      </c>
      <c r="Y1342" s="22">
        <f>IFERROR(__xludf.DUMMYFUNCTION("IFERROR(GOOGLEFINANCE(A1342,""low""),"""")"),80.0)</f>
        <v>80</v>
      </c>
      <c r="Z1342" s="22">
        <f>IFERROR(__xludf.DUMMYFUNCTION("IFERROR(GOOGLEFINANCE(A1342,""volume""),"""")"),2.75423E7)</f>
        <v>27542300</v>
      </c>
      <c r="AA1342" s="24" t="str">
        <f>VLOOKUP(A1342,Metrik!$C$2:$Y$959,5,0)</f>
        <v>Auto Components</v>
      </c>
      <c r="AB1342" s="24" t="str">
        <f>VLOOKUP(A1342,Metrik!$C$2:$Y$959,3,0)</f>
        <v>Consumer Cyclicals</v>
      </c>
    </row>
    <row r="1343">
      <c r="A1343" s="14" t="s">
        <v>730</v>
      </c>
      <c r="B1343" s="14" t="str">
        <f t="array" ref="B1343">VLOOKUP(A1343,{Metrik!$C$2:$C$998,Metrik!$B$2:$B$998},2,0)</f>
        <v>Panca Budi Idaman Tbk.</v>
      </c>
      <c r="C1343" s="15">
        <f>IFERROR(__xludf.DUMMYFUNCTION("GOOGLEFINANCE(""IDX:""&amp;A1343,""price"")"),476.0)</f>
        <v>476</v>
      </c>
      <c r="D1343" s="16" t="str">
        <f>IFERROR(__xludf.DUMMYFUNCTION("IF(A1343="""","""",
SPARKLINE(
INDEX(
GOOGLEFINANCE(""IDX:""&amp;A1343,""close"",TODAY()-365,TODAY()),
,2
),
{""linewidth"",1}
))
"),"#N/A")</f>
        <v>#N/A</v>
      </c>
      <c r="E1343" s="26"/>
      <c r="F1343" s="26"/>
      <c r="G1343" s="18">
        <f t="shared" si="8"/>
        <v>0</v>
      </c>
      <c r="H1343" s="19">
        <f>VLOOKUP(A1343,Metrik!$C$2:$Y$959,8,0)</f>
        <v>8.8</v>
      </c>
      <c r="I1343" s="20">
        <f>VLOOKUP(A1343,Metrik!$C$2:$Y$959,9,0)</f>
        <v>1.2</v>
      </c>
      <c r="J1343" s="20">
        <f>VLOOKUP(A1343,Metrik!$C$2:$Y$959,10,0)</f>
        <v>13.8</v>
      </c>
      <c r="K1343" s="20">
        <f>VLOOKUP(A1343,Metrik!$C$2:$Y$959,11,0)</f>
        <v>11.6</v>
      </c>
      <c r="L1343" s="20">
        <f>VLOOKUP(A1343,Metrik!$C$2:$Y$959,12,0)</f>
        <v>0.19</v>
      </c>
      <c r="M1343" s="20">
        <f>VLOOKUP(A1343,Metrik!$C$2:$Y$959,19,0)</f>
        <v>32.8</v>
      </c>
      <c r="N1343" s="21"/>
      <c r="O1343" s="21"/>
      <c r="P1343" s="21"/>
      <c r="Q1343" s="21"/>
      <c r="R1343" s="21"/>
      <c r="S1343" s="21"/>
      <c r="T1343" s="21"/>
      <c r="U1343" s="22">
        <f>IFERROR(__xludf.DUMMYFUNCTION("IFERROR(GOOGLEFINANCE(A1343,""closeyest""),"""")"),472.0)</f>
        <v>472</v>
      </c>
      <c r="V1343" s="23">
        <f>IFERROR(__xludf.DUMMYFUNCTION("IFERROR(GOOGLEFINANCE(A1343,""changepct""),"""")"),0.85)</f>
        <v>0.85</v>
      </c>
      <c r="W1343" s="22">
        <f>IFERROR(__xludf.DUMMYFUNCTION("IFERROR(GOOGLEFINANCE(A1343,""priceopen""),"""")"),472.0)</f>
        <v>472</v>
      </c>
      <c r="X1343" s="22">
        <f>IFERROR(__xludf.DUMMYFUNCTION("IFERROR(GOOGLEFINANCE(A1343,""high""),"""")"),478.0)</f>
        <v>478</v>
      </c>
      <c r="Y1343" s="22">
        <f>IFERROR(__xludf.DUMMYFUNCTION("IFERROR(GOOGLEFINANCE(A1343,""low""),"""")"),468.0)</f>
        <v>468</v>
      </c>
      <c r="Z1343" s="22">
        <f>IFERROR(__xludf.DUMMYFUNCTION("IFERROR(GOOGLEFINANCE(A1343,""volume""),"""")"),388900.0)</f>
        <v>388900</v>
      </c>
      <c r="AA1343" s="24" t="str">
        <f>VLOOKUP(A1343,Metrik!$C$2:$Y$959,5,0)</f>
        <v>Containers &amp; Packaging</v>
      </c>
      <c r="AB1343" s="24" t="str">
        <f>VLOOKUP(A1343,Metrik!$C$2:$Y$959,3,0)</f>
        <v>Basic Materials</v>
      </c>
    </row>
    <row r="1344">
      <c r="A1344" s="14" t="s">
        <v>731</v>
      </c>
      <c r="B1344" s="14" t="str">
        <f t="array" ref="B1344">VLOOKUP(A1344,{Metrik!$C$2:$C$998,Metrik!$B$2:$B$998},2,0)</f>
        <v>Pan Brothers Tbk.</v>
      </c>
      <c r="C1344" s="15">
        <f>IFERROR(__xludf.DUMMYFUNCTION("GOOGLEFINANCE(""IDX:""&amp;A1344,""price"")"),29.0)</f>
        <v>29</v>
      </c>
      <c r="D1344" s="16" t="str">
        <f>IFERROR(__xludf.DUMMYFUNCTION("IF(A1344="""","""",
SPARKLINE(
INDEX(
GOOGLEFINANCE(""IDX:""&amp;A1344,""close"",TODAY()-365,TODAY()),
,2
),
{""linewidth"",1}
))
"),"#N/A")</f>
        <v>#N/A</v>
      </c>
      <c r="E1344" s="26"/>
      <c r="F1344" s="26"/>
      <c r="G1344" s="18">
        <f t="shared" si="8"/>
        <v>0</v>
      </c>
      <c r="H1344" s="19">
        <f>VLOOKUP(A1344,Metrik!$C$2:$Y$959,8,0)</f>
        <v>-0.56</v>
      </c>
      <c r="I1344" s="20">
        <f>VLOOKUP(A1344,Metrik!$C$2:$Y$959,9,0)</f>
        <v>0.65</v>
      </c>
      <c r="J1344" s="20">
        <f>VLOOKUP(A1344,Metrik!$C$2:$Y$959,10,0)</f>
        <v>-120</v>
      </c>
      <c r="K1344" s="20">
        <f>VLOOKUP(A1344,Metrik!$C$2:$Y$959,11,0)</f>
        <v>-31.9</v>
      </c>
      <c r="L1344" s="20">
        <f>VLOOKUP(A1344,Metrik!$C$2:$Y$959,12,0)</f>
        <v>2.7</v>
      </c>
      <c r="M1344" s="20">
        <f>VLOOKUP(A1344,Metrik!$C$2:$Y$959,19,0)</f>
        <v>-120</v>
      </c>
      <c r="N1344" s="21"/>
      <c r="O1344" s="21"/>
      <c r="P1344" s="21"/>
      <c r="Q1344" s="21"/>
      <c r="R1344" s="21"/>
      <c r="S1344" s="21"/>
      <c r="T1344" s="21"/>
      <c r="U1344" s="22">
        <f>IFERROR(__xludf.DUMMYFUNCTION("IFERROR(GOOGLEFINANCE(A1344,""closeyest""),"""")"),27.0)</f>
        <v>27</v>
      </c>
      <c r="V1344" s="23">
        <f>IFERROR(__xludf.DUMMYFUNCTION("IFERROR(GOOGLEFINANCE(A1344,""changepct""),"""")"),7.41)</f>
        <v>7.41</v>
      </c>
      <c r="W1344" s="22">
        <f>IFERROR(__xludf.DUMMYFUNCTION("IFERROR(GOOGLEFINANCE(A1344,""priceopen""),"""")"),28.0)</f>
        <v>28</v>
      </c>
      <c r="X1344" s="22">
        <f>IFERROR(__xludf.DUMMYFUNCTION("IFERROR(GOOGLEFINANCE(A1344,""high""),"""")"),29.0)</f>
        <v>29</v>
      </c>
      <c r="Y1344" s="22">
        <f>IFERROR(__xludf.DUMMYFUNCTION("IFERROR(GOOGLEFINANCE(A1344,""low""),"""")"),28.0)</f>
        <v>28</v>
      </c>
      <c r="Z1344" s="22">
        <f>IFERROR(__xludf.DUMMYFUNCTION("IFERROR(GOOGLEFINANCE(A1344,""volume""),"""")"),2795700.0)</f>
        <v>2795700</v>
      </c>
      <c r="AA1344" s="24" t="str">
        <f>VLOOKUP(A1344,Metrik!$C$2:$Y$959,5,0)</f>
        <v>Apparel &amp; Luxury Goods</v>
      </c>
      <c r="AB1344" s="24" t="str">
        <f>VLOOKUP(A1344,Metrik!$C$2:$Y$959,3,0)</f>
        <v>Consumer Cyclicals</v>
      </c>
    </row>
    <row r="1345">
      <c r="A1345" s="14" t="s">
        <v>732</v>
      </c>
      <c r="B1345" s="14" t="str">
        <f t="array" ref="B1345">VLOOKUP(A1345,{Metrik!$C$2:$C$998,Metrik!$B$2:$B$998},2,0)</f>
        <v>PT Paramita Bangun Sarana Tbk</v>
      </c>
      <c r="C1345" s="15">
        <f>IFERROR(__xludf.DUMMYFUNCTION("GOOGLEFINANCE(""IDX:""&amp;A1345,""price"")"),710.0)</f>
        <v>710</v>
      </c>
      <c r="D1345" s="16" t="str">
        <f>IFERROR(__xludf.DUMMYFUNCTION("IF(A1345="""","""",
SPARKLINE(
INDEX(
GOOGLEFINANCE(""IDX:""&amp;A1345,""close"",TODAY()-365,TODAY()),
,2
),
{""linewidth"",1}
))
"),"#N/A")</f>
        <v>#N/A</v>
      </c>
      <c r="E1345" s="26"/>
      <c r="F1345" s="26"/>
      <c r="G1345" s="24">
        <f t="shared" si="8"/>
        <v>0</v>
      </c>
      <c r="H1345" s="19">
        <f>VLOOKUP(A1345,Metrik!$C$2:$Y$959,8,0)</f>
        <v>8.8</v>
      </c>
      <c r="I1345" s="20">
        <f>VLOOKUP(A1345,Metrik!$C$2:$Y$959,9,0)</f>
        <v>2.9</v>
      </c>
      <c r="J1345" s="20">
        <f>VLOOKUP(A1345,Metrik!$C$2:$Y$959,10,0)</f>
        <v>32.4</v>
      </c>
      <c r="K1345" s="20">
        <f>VLOOKUP(A1345,Metrik!$C$2:$Y$959,11,0)</f>
        <v>21.1</v>
      </c>
      <c r="L1345" s="20">
        <f>VLOOKUP(A1345,Metrik!$C$2:$Y$959,12,0)</f>
        <v>0.54</v>
      </c>
      <c r="M1345" s="20">
        <f>VLOOKUP(A1345,Metrik!$C$2:$Y$959,19,0)</f>
        <v>72</v>
      </c>
      <c r="N1345" s="21"/>
      <c r="O1345" s="21"/>
      <c r="P1345" s="21"/>
      <c r="Q1345" s="21"/>
      <c r="R1345" s="21"/>
      <c r="S1345" s="21"/>
      <c r="T1345" s="21"/>
      <c r="U1345" s="22">
        <f>IFERROR(__xludf.DUMMYFUNCTION("IFERROR(GOOGLEFINANCE(A1345,""closeyest""),"""")"),695.0)</f>
        <v>695</v>
      </c>
      <c r="V1345" s="23">
        <f>IFERROR(__xludf.DUMMYFUNCTION("IFERROR(GOOGLEFINANCE(A1345,""changepct""),"""")"),2.16)</f>
        <v>2.16</v>
      </c>
      <c r="W1345" s="22">
        <f>IFERROR(__xludf.DUMMYFUNCTION("IFERROR(GOOGLEFINANCE(A1345,""priceopen""),"""")"),695.0)</f>
        <v>695</v>
      </c>
      <c r="X1345" s="22">
        <f>IFERROR(__xludf.DUMMYFUNCTION("IFERROR(GOOGLEFINANCE(A1345,""high""),"""")"),750.0)</f>
        <v>750</v>
      </c>
      <c r="Y1345" s="22">
        <f>IFERROR(__xludf.DUMMYFUNCTION("IFERROR(GOOGLEFINANCE(A1345,""low""),"""")"),695.0)</f>
        <v>695</v>
      </c>
      <c r="Z1345" s="22">
        <f>IFERROR(__xludf.DUMMYFUNCTION("IFERROR(GOOGLEFINANCE(A1345,""volume""),"""")"),501800.0)</f>
        <v>501800</v>
      </c>
      <c r="AA1345" s="24" t="str">
        <f>VLOOKUP(A1345,Metrik!$C$2:$Y$959,5,0)</f>
        <v>Heavy Constructions &amp; Civil Engineering</v>
      </c>
      <c r="AB1345" s="24" t="str">
        <f>VLOOKUP(A1345,Metrik!$C$2:$Y$959,3,0)</f>
        <v>Infrastructures</v>
      </c>
    </row>
    <row r="1346">
      <c r="A1346" s="14" t="s">
        <v>733</v>
      </c>
      <c r="B1346" s="14" t="str">
        <f t="array" ref="B1346">VLOOKUP(A1346,{Metrik!$C$2:$C$998,Metrik!$B$2:$B$998},2,0)</f>
        <v>Prima Cakrawala Abadi Tbk.</v>
      </c>
      <c r="C1346" s="15">
        <f>IFERROR(__xludf.DUMMYFUNCTION("GOOGLEFINANCE(""IDX:""&amp;A1346,""price"")"),39.0)</f>
        <v>39</v>
      </c>
      <c r="D1346" s="16" t="str">
        <f>IFERROR(__xludf.DUMMYFUNCTION("IF(A1346="""","""",
SPARKLINE(
INDEX(
GOOGLEFINANCE(""IDX:""&amp;A1346,""close"",TODAY()-365,TODAY()),
,2
),
{""linewidth"",1}
))
"),"#N/A")</f>
        <v>#N/A</v>
      </c>
      <c r="E1346" s="26"/>
      <c r="F1346" s="26"/>
      <c r="G1346" s="24">
        <f t="shared" si="8"/>
        <v>0</v>
      </c>
      <c r="H1346" s="19">
        <f>VLOOKUP(A1346,Metrik!$C$2:$Y$959,8,0)</f>
        <v>-3.6</v>
      </c>
      <c r="I1346" s="20">
        <f>VLOOKUP(A1346,Metrik!$C$2:$Y$959,9,0)</f>
        <v>0.74</v>
      </c>
      <c r="J1346" s="20">
        <f>VLOOKUP(A1346,Metrik!$C$2:$Y$959,10,0)</f>
        <v>-20.7</v>
      </c>
      <c r="K1346" s="20">
        <f>VLOOKUP(A1346,Metrik!$C$2:$Y$959,11,0)</f>
        <v>-13.9</v>
      </c>
      <c r="L1346" s="20">
        <f>VLOOKUP(A1346,Metrik!$C$2:$Y$959,12,0)</f>
        <v>0.49</v>
      </c>
      <c r="M1346" s="20">
        <f>VLOOKUP(A1346,Metrik!$C$2:$Y$959,19,0)</f>
        <v>-21</v>
      </c>
      <c r="N1346" s="21"/>
      <c r="O1346" s="21"/>
      <c r="P1346" s="21"/>
      <c r="Q1346" s="21"/>
      <c r="R1346" s="21"/>
      <c r="S1346" s="21"/>
      <c r="T1346" s="21"/>
      <c r="U1346" s="22">
        <f>IFERROR(__xludf.DUMMYFUNCTION("IFERROR(GOOGLEFINANCE(A1346,""closeyest""),"""")"),117.58)</f>
        <v>117.58</v>
      </c>
      <c r="V1346" s="23">
        <f>IFERROR(__xludf.DUMMYFUNCTION("IFERROR(GOOGLEFINANCE(A1346,""changepct""),"""")"),0.8)</f>
        <v>0.8</v>
      </c>
      <c r="W1346" s="22">
        <f>IFERROR(__xludf.DUMMYFUNCTION("IFERROR(GOOGLEFINANCE(A1346,""priceopen""),"""")"),118.25)</f>
        <v>118.25</v>
      </c>
      <c r="X1346" s="22">
        <f>IFERROR(__xludf.DUMMYFUNCTION("IFERROR(GOOGLEFINANCE(A1346,""high""),"""")"),119.1)</f>
        <v>119.1</v>
      </c>
      <c r="Y1346" s="22">
        <f>IFERROR(__xludf.DUMMYFUNCTION("IFERROR(GOOGLEFINANCE(A1346,""low""),"""")"),117.0)</f>
        <v>117</v>
      </c>
      <c r="Z1346" s="22">
        <f>IFERROR(__xludf.DUMMYFUNCTION("IFERROR(GOOGLEFINANCE(A1346,""volume""),"""")"),2618234.0)</f>
        <v>2618234</v>
      </c>
      <c r="AA1346" s="24" t="str">
        <f>VLOOKUP(A1346,Metrik!$C$2:$Y$959,5,0)</f>
        <v>Food &amp; Staples Retailing</v>
      </c>
      <c r="AB1346" s="24" t="str">
        <f>VLOOKUP(A1346,Metrik!$C$2:$Y$959,3,0)</f>
        <v>Consumer Non-Cyclicals</v>
      </c>
    </row>
    <row r="1347">
      <c r="A1347" s="14" t="s">
        <v>734</v>
      </c>
      <c r="B1347" s="14" t="str">
        <f t="array" ref="B1347">VLOOKUP(A1347,{Metrik!$C$2:$C$998,Metrik!$B$2:$B$998},2,0)</f>
        <v>Destinasi Tirta Nusantara Tbk</v>
      </c>
      <c r="C1347" s="15">
        <f>IFERROR(__xludf.DUMMYFUNCTION("GOOGLEFINANCE(""IDX:""&amp;A1347,""price"")"),510.0)</f>
        <v>510</v>
      </c>
      <c r="D1347" s="16" t="str">
        <f>IFERROR(__xludf.DUMMYFUNCTION("IF(A1347="""","""",
SPARKLINE(
INDEX(
GOOGLEFINANCE(""IDX:""&amp;A1347,""close"",TODAY()-365,TODAY()),
,2
),
{""linewidth"",1}
))
"),"#N/A")</f>
        <v>#N/A</v>
      </c>
      <c r="E1347" s="26"/>
      <c r="F1347" s="26"/>
      <c r="G1347" s="24">
        <f t="shared" si="8"/>
        <v>0</v>
      </c>
      <c r="H1347" s="19">
        <f>VLOOKUP(A1347,Metrik!$C$2:$Y$959,8,0)</f>
        <v>11.3</v>
      </c>
      <c r="I1347" s="20">
        <f>VLOOKUP(A1347,Metrik!$C$2:$Y$959,9,0)</f>
        <v>2.9</v>
      </c>
      <c r="J1347" s="20">
        <f>VLOOKUP(A1347,Metrik!$C$2:$Y$959,10,0)</f>
        <v>25.7</v>
      </c>
      <c r="K1347" s="20">
        <f>VLOOKUP(A1347,Metrik!$C$2:$Y$959,11,0)</f>
        <v>9</v>
      </c>
      <c r="L1347" s="20">
        <f>VLOOKUP(A1347,Metrik!$C$2:$Y$959,12,0)</f>
        <v>1.9</v>
      </c>
      <c r="M1347" s="20">
        <f>VLOOKUP(A1347,Metrik!$C$2:$Y$959,19,0)</f>
        <v>15.5</v>
      </c>
      <c r="N1347" s="21"/>
      <c r="O1347" s="21"/>
      <c r="P1347" s="21"/>
      <c r="Q1347" s="21"/>
      <c r="R1347" s="21"/>
      <c r="S1347" s="21"/>
      <c r="T1347" s="21"/>
      <c r="U1347" s="22">
        <f>IFERROR(__xludf.DUMMYFUNCTION("IFERROR(GOOGLEFINANCE(A1347,""closeyest""),"""")"),505.0)</f>
        <v>505</v>
      </c>
      <c r="V1347" s="23">
        <f>IFERROR(__xludf.DUMMYFUNCTION("IFERROR(GOOGLEFINANCE(A1347,""changepct""),"""")"),0.99)</f>
        <v>0.99</v>
      </c>
      <c r="W1347" s="22">
        <f>IFERROR(__xludf.DUMMYFUNCTION("IFERROR(GOOGLEFINANCE(A1347,""priceopen""),"""")"),505.0)</f>
        <v>505</v>
      </c>
      <c r="X1347" s="22">
        <f>IFERROR(__xludf.DUMMYFUNCTION("IFERROR(GOOGLEFINANCE(A1347,""high""),"""")"),510.0)</f>
        <v>510</v>
      </c>
      <c r="Y1347" s="22">
        <f>IFERROR(__xludf.DUMMYFUNCTION("IFERROR(GOOGLEFINANCE(A1347,""low""),"""")"),505.0)</f>
        <v>505</v>
      </c>
      <c r="Z1347" s="22">
        <f>IFERROR(__xludf.DUMMYFUNCTION("IFERROR(GOOGLEFINANCE(A1347,""volume""),"""")"),2900.0)</f>
        <v>2900</v>
      </c>
      <c r="AA1347" s="24" t="str">
        <f>VLOOKUP(A1347,Metrik!$C$2:$Y$959,5,0)</f>
        <v>Tourism &amp; Recreation</v>
      </c>
      <c r="AB1347" s="24" t="str">
        <f>VLOOKUP(A1347,Metrik!$C$2:$Y$959,3,0)</f>
        <v>Consumer Cyclicals</v>
      </c>
    </row>
    <row r="1348">
      <c r="A1348" s="14" t="s">
        <v>735</v>
      </c>
      <c r="B1348" s="14" t="str">
        <f t="array" ref="B1348">VLOOKUP(A1348,{Metrik!$C$2:$C$998,Metrik!$B$2:$B$998},2,0)</f>
        <v>Primadaya Plastisindo Tbk.</v>
      </c>
      <c r="C1348" s="15">
        <f>IFERROR(__xludf.DUMMYFUNCTION("GOOGLEFINANCE(""IDX:""&amp;A1348,""price"")"),254.0)</f>
        <v>254</v>
      </c>
      <c r="D1348" s="16" t="str">
        <f>IFERROR(__xludf.DUMMYFUNCTION("IF(A1348="""","""",
SPARKLINE(
INDEX(
GOOGLEFINANCE(""IDX:""&amp;A1348,""close"",TODAY()-365,TODAY()),
,2
),
{""linewidth"",1}
))
"),"#N/A")</f>
        <v>#N/A</v>
      </c>
      <c r="E1348" s="26"/>
      <c r="F1348" s="26"/>
      <c r="G1348" s="24">
        <f t="shared" si="8"/>
        <v>0</v>
      </c>
      <c r="H1348" s="19">
        <f>VLOOKUP(A1348,Metrik!$C$2:$Y$959,8,0)</f>
        <v>20.3</v>
      </c>
      <c r="I1348" s="20">
        <f>VLOOKUP(A1348,Metrik!$C$2:$Y$959,9,0)</f>
        <v>1.9</v>
      </c>
      <c r="J1348" s="20">
        <f>VLOOKUP(A1348,Metrik!$C$2:$Y$959,10,0)</f>
        <v>9.5</v>
      </c>
      <c r="K1348" s="20">
        <f>VLOOKUP(A1348,Metrik!$C$2:$Y$959,11,0)</f>
        <v>6.5</v>
      </c>
      <c r="L1348" s="20">
        <f>VLOOKUP(A1348,Metrik!$C$2:$Y$959,12,0)</f>
        <v>0.46</v>
      </c>
      <c r="M1348" s="20">
        <f>VLOOKUP(A1348,Metrik!$C$2:$Y$959,19,0)</f>
        <v>25.1</v>
      </c>
      <c r="N1348" s="21"/>
      <c r="O1348" s="21"/>
      <c r="P1348" s="21"/>
      <c r="Q1348" s="21"/>
      <c r="R1348" s="21"/>
      <c r="S1348" s="21"/>
      <c r="T1348" s="21"/>
      <c r="U1348" s="22">
        <f>IFERROR(__xludf.DUMMYFUNCTION("IFERROR(GOOGLEFINANCE(A1348,""closeyest""),"""")"),244.0)</f>
        <v>244</v>
      </c>
      <c r="V1348" s="23">
        <f>IFERROR(__xludf.DUMMYFUNCTION("IFERROR(GOOGLEFINANCE(A1348,""changepct""),"""")"),4.1)</f>
        <v>4.1</v>
      </c>
      <c r="W1348" s="22">
        <f>IFERROR(__xludf.DUMMYFUNCTION("IFERROR(GOOGLEFINANCE(A1348,""priceopen""),"""")"),268.0)</f>
        <v>268</v>
      </c>
      <c r="X1348" s="22">
        <f>IFERROR(__xludf.DUMMYFUNCTION("IFERROR(GOOGLEFINANCE(A1348,""high""),"""")"),268.0)</f>
        <v>268</v>
      </c>
      <c r="Y1348" s="22">
        <f>IFERROR(__xludf.DUMMYFUNCTION("IFERROR(GOOGLEFINANCE(A1348,""low""),"""")"),242.0)</f>
        <v>242</v>
      </c>
      <c r="Z1348" s="22">
        <f>IFERROR(__xludf.DUMMYFUNCTION("IFERROR(GOOGLEFINANCE(A1348,""volume""),"""")"),192700.0)</f>
        <v>192700</v>
      </c>
      <c r="AA1348" s="24" t="str">
        <f>VLOOKUP(A1348,Metrik!$C$2:$Y$959,5,0)</f>
        <v>Containers &amp; Packaging</v>
      </c>
      <c r="AB1348" s="24" t="str">
        <f>VLOOKUP(A1348,Metrik!$C$2:$Y$959,3,0)</f>
        <v>Basic Materials</v>
      </c>
    </row>
    <row r="1349">
      <c r="A1349" s="14" t="s">
        <v>736</v>
      </c>
      <c r="B1349" s="14" t="str">
        <f t="array" ref="B1349">VLOOKUP(A1349,{Metrik!$C$2:$C$998,Metrik!$B$2:$B$998},2,0)</f>
        <v>Panca Global Kapital Tbk.</v>
      </c>
      <c r="C1349" s="15">
        <f>IFERROR(__xludf.DUMMYFUNCTION("GOOGLEFINANCE(""IDX:""&amp;A1349,""price"")"),105.0)</f>
        <v>105</v>
      </c>
      <c r="D1349" s="16" t="str">
        <f>IFERROR(__xludf.DUMMYFUNCTION("IF(A1349="""","""",
SPARKLINE(
INDEX(
GOOGLEFINANCE(""IDX:""&amp;A1349,""close"",TODAY()-365,TODAY()),
,2
),
{""linewidth"",1}
))
"),"#N/A")</f>
        <v>#N/A</v>
      </c>
      <c r="E1349" s="26"/>
      <c r="F1349" s="26"/>
      <c r="G1349" s="24">
        <f t="shared" si="8"/>
        <v>0</v>
      </c>
      <c r="H1349" s="19">
        <f>VLOOKUP(A1349,Metrik!$C$2:$Y$959,8,0)</f>
        <v>-6.5</v>
      </c>
      <c r="I1349" s="20">
        <f>VLOOKUP(A1349,Metrik!$C$2:$Y$959,9,0)</f>
        <v>2.3</v>
      </c>
      <c r="J1349" s="20">
        <f>VLOOKUP(A1349,Metrik!$C$2:$Y$959,10,0)</f>
        <v>-35.7</v>
      </c>
      <c r="K1349" s="20">
        <f>VLOOKUP(A1349,Metrik!$C$2:$Y$959,11,0)</f>
        <v>-30.6</v>
      </c>
      <c r="L1349" s="20">
        <f>VLOOKUP(A1349,Metrik!$C$2:$Y$959,12,0)</f>
        <v>0.17</v>
      </c>
      <c r="M1349" s="20">
        <f>VLOOKUP(A1349,Metrik!$C$2:$Y$959,19,0)</f>
        <v>0</v>
      </c>
      <c r="N1349" s="21"/>
      <c r="O1349" s="21"/>
      <c r="P1349" s="21"/>
      <c r="Q1349" s="21"/>
      <c r="R1349" s="21"/>
      <c r="S1349" s="21"/>
      <c r="T1349" s="21"/>
      <c r="U1349" s="22">
        <f>IFERROR(__xludf.DUMMYFUNCTION("IFERROR(GOOGLEFINANCE(A1349,""closeyest""),"""")"),100.0)</f>
        <v>100</v>
      </c>
      <c r="V1349" s="23">
        <f>IFERROR(__xludf.DUMMYFUNCTION("IFERROR(GOOGLEFINANCE(A1349,""changepct""),"""")"),5.0)</f>
        <v>5</v>
      </c>
      <c r="W1349" s="22">
        <f>IFERROR(__xludf.DUMMYFUNCTION("IFERROR(GOOGLEFINANCE(A1349,""priceopen""),"""")"),98.0)</f>
        <v>98</v>
      </c>
      <c r="X1349" s="22">
        <f>IFERROR(__xludf.DUMMYFUNCTION("IFERROR(GOOGLEFINANCE(A1349,""high""),"""")"),114.0)</f>
        <v>114</v>
      </c>
      <c r="Y1349" s="22">
        <f>IFERROR(__xludf.DUMMYFUNCTION("IFERROR(GOOGLEFINANCE(A1349,""low""),"""")"),98.0)</f>
        <v>98</v>
      </c>
      <c r="Z1349" s="22">
        <f>IFERROR(__xludf.DUMMYFUNCTION("IFERROR(GOOGLEFINANCE(A1349,""volume""),"""")"),1424100.0)</f>
        <v>1424100</v>
      </c>
      <c r="AA1349" s="24" t="str">
        <f>VLOOKUP(A1349,Metrik!$C$2:$Y$959,5,0)</f>
        <v>Holding &amp; Investment Companies</v>
      </c>
      <c r="AB1349" s="24" t="str">
        <f>VLOOKUP(A1349,Metrik!$C$2:$Y$959,3,0)</f>
        <v>Financials</v>
      </c>
    </row>
    <row r="1350">
      <c r="A1350" s="14" t="s">
        <v>737</v>
      </c>
      <c r="B1350" s="14" t="str">
        <f t="array" ref="B1350">VLOOKUP(A1350,{Metrik!$C$2:$C$998,Metrik!$B$2:$B$998},2,0)</f>
        <v>Phapros Tbk.</v>
      </c>
      <c r="C1350" s="15">
        <f>IFERROR(__xludf.DUMMYFUNCTION("GOOGLEFINANCE(""IDX:""&amp;A1350,""price"")"),244.0)</f>
        <v>244</v>
      </c>
      <c r="D1350" s="16" t="str">
        <f>IFERROR(__xludf.DUMMYFUNCTION("IF(A1350="""","""",
SPARKLINE(
INDEX(
GOOGLEFINANCE(""IDX:""&amp;A1350,""close"",TODAY()-365,TODAY()),
,2
),
{""linewidth"",1}
))
"),"#N/A")</f>
        <v>#N/A</v>
      </c>
      <c r="E1350" s="26"/>
      <c r="F1350" s="26"/>
      <c r="G1350" s="24">
        <f t="shared" si="8"/>
        <v>0</v>
      </c>
      <c r="H1350" s="19">
        <f>VLOOKUP(A1350,Metrik!$C$2:$Y$959,8,0)</f>
        <v>6.5</v>
      </c>
      <c r="I1350" s="20">
        <f>VLOOKUP(A1350,Metrik!$C$2:$Y$959,9,0)</f>
        <v>0.54</v>
      </c>
      <c r="J1350" s="20">
        <f>VLOOKUP(A1350,Metrik!$C$2:$Y$959,10,0)</f>
        <v>8.3</v>
      </c>
      <c r="K1350" s="20">
        <f>VLOOKUP(A1350,Metrik!$C$2:$Y$959,11,0)</f>
        <v>2.5</v>
      </c>
      <c r="L1350" s="20">
        <f>VLOOKUP(A1350,Metrik!$C$2:$Y$959,12,0)</f>
        <v>2.3</v>
      </c>
      <c r="M1350" s="20">
        <f>VLOOKUP(A1350,Metrik!$C$2:$Y$959,19,0)</f>
        <v>16</v>
      </c>
      <c r="N1350" s="21"/>
      <c r="O1350" s="21"/>
      <c r="P1350" s="21"/>
      <c r="Q1350" s="21"/>
      <c r="R1350" s="21"/>
      <c r="S1350" s="21"/>
      <c r="T1350" s="21"/>
      <c r="U1350" s="22">
        <f>IFERROR(__xludf.DUMMYFUNCTION("IFERROR(GOOGLEFINANCE(A1350,""closeyest""),"""")"),230.0)</f>
        <v>230</v>
      </c>
      <c r="V1350" s="23">
        <f>IFERROR(__xludf.DUMMYFUNCTION("IFERROR(GOOGLEFINANCE(A1350,""changepct""),"""")"),6.09)</f>
        <v>6.09</v>
      </c>
      <c r="W1350" s="22">
        <f>IFERROR(__xludf.DUMMYFUNCTION("IFERROR(GOOGLEFINANCE(A1350,""priceopen""),"""")"),238.0)</f>
        <v>238</v>
      </c>
      <c r="X1350" s="22">
        <f>IFERROR(__xludf.DUMMYFUNCTION("IFERROR(GOOGLEFINANCE(A1350,""high""),"""")"),264.0)</f>
        <v>264</v>
      </c>
      <c r="Y1350" s="22">
        <f>IFERROR(__xludf.DUMMYFUNCTION("IFERROR(GOOGLEFINANCE(A1350,""low""),"""")"),234.0)</f>
        <v>234</v>
      </c>
      <c r="Z1350" s="22">
        <f>IFERROR(__xludf.DUMMYFUNCTION("IFERROR(GOOGLEFINANCE(A1350,""volume""),"""")"),361100.0)</f>
        <v>361100</v>
      </c>
      <c r="AA1350" s="24" t="str">
        <f>VLOOKUP(A1350,Metrik!$C$2:$Y$959,5,0)</f>
        <v>Pharmaceuticals</v>
      </c>
      <c r="AB1350" s="24" t="str">
        <f>VLOOKUP(A1350,Metrik!$C$2:$Y$959,3,0)</f>
        <v>Healthcare</v>
      </c>
    </row>
    <row r="1351">
      <c r="A1351" s="14" t="s">
        <v>738</v>
      </c>
      <c r="B1351" s="14" t="str">
        <f t="array" ref="B1351">VLOOKUP(A1351,{Metrik!$C$2:$C$998,Metrik!$B$2:$B$998},2,0)</f>
        <v>PT Penta Valent Tbk</v>
      </c>
      <c r="C1351" s="15">
        <f>IFERROR(__xludf.DUMMYFUNCTION("GOOGLEFINANCE(""IDX:""&amp;A1351,""price"")"),312.0)</f>
        <v>312</v>
      </c>
      <c r="D1351" s="16" t="str">
        <f>IFERROR(__xludf.DUMMYFUNCTION("IF(A1351="""","""",
SPARKLINE(
INDEX(
GOOGLEFINANCE(""IDX:""&amp;A1351,""close"",TODAY()-365,TODAY()),
,2
),
{""linewidth"",1}
))
"),"#N/A")</f>
        <v>#N/A</v>
      </c>
      <c r="E1351" s="26"/>
      <c r="F1351" s="26"/>
      <c r="G1351" s="24">
        <f t="shared" si="8"/>
        <v>0</v>
      </c>
      <c r="H1351" s="19">
        <f>VLOOKUP(A1351,Metrik!$C$2:$Y$959,8,0)</f>
        <v>10.5</v>
      </c>
      <c r="I1351" s="20">
        <f>VLOOKUP(A1351,Metrik!$C$2:$Y$959,9,0)</f>
        <v>1.6</v>
      </c>
      <c r="J1351" s="20">
        <f>VLOOKUP(A1351,Metrik!$C$2:$Y$959,10,0)</f>
        <v>15.5</v>
      </c>
      <c r="K1351" s="20">
        <f>VLOOKUP(A1351,Metrik!$C$2:$Y$959,11,0)</f>
        <v>4.1</v>
      </c>
      <c r="L1351" s="20">
        <f>VLOOKUP(A1351,Metrik!$C$2:$Y$959,12,0)</f>
        <v>2.8</v>
      </c>
      <c r="M1351" s="20">
        <f>VLOOKUP(A1351,Metrik!$C$2:$Y$959,19,0)</f>
        <v>6.4</v>
      </c>
      <c r="N1351" s="21"/>
      <c r="O1351" s="21"/>
      <c r="P1351" s="21"/>
      <c r="Q1351" s="21"/>
      <c r="R1351" s="21"/>
      <c r="S1351" s="21"/>
      <c r="T1351" s="21"/>
      <c r="U1351" s="22">
        <f>IFERROR(__xludf.DUMMYFUNCTION("IFERROR(GOOGLEFINANCE(A1351,""closeyest""),"""")"),300.0)</f>
        <v>300</v>
      </c>
      <c r="V1351" s="23">
        <f>IFERROR(__xludf.DUMMYFUNCTION("IFERROR(GOOGLEFINANCE(A1351,""changepct""),"""")"),4.0)</f>
        <v>4</v>
      </c>
      <c r="W1351" s="22">
        <f>IFERROR(__xludf.DUMMYFUNCTION("IFERROR(GOOGLEFINANCE(A1351,""priceopen""),"""")"),290.0)</f>
        <v>290</v>
      </c>
      <c r="X1351" s="22">
        <f>IFERROR(__xludf.DUMMYFUNCTION("IFERROR(GOOGLEFINANCE(A1351,""high""),"""")"),318.0)</f>
        <v>318</v>
      </c>
      <c r="Y1351" s="22">
        <f>IFERROR(__xludf.DUMMYFUNCTION("IFERROR(GOOGLEFINANCE(A1351,""low""),"""")"),290.0)</f>
        <v>290</v>
      </c>
      <c r="Z1351" s="22">
        <f>IFERROR(__xludf.DUMMYFUNCTION("IFERROR(GOOGLEFINANCE(A1351,""volume""),"""")"),13700.0)</f>
        <v>13700</v>
      </c>
      <c r="AA1351" s="24" t="str">
        <f>VLOOKUP(A1351,Metrik!$C$2:$Y$959,5,0)</f>
        <v>Pharmaceuticals</v>
      </c>
      <c r="AB1351" s="24" t="str">
        <f>VLOOKUP(A1351,Metrik!$C$2:$Y$959,3,0)</f>
        <v>Healthcare</v>
      </c>
    </row>
    <row r="1352">
      <c r="A1352" s="14" t="s">
        <v>739</v>
      </c>
      <c r="B1352" s="14" t="str">
        <f t="array" ref="B1352">VLOOKUP(A1352,{Metrik!$C$2:$C$998,Metrik!$B$2:$B$998},2,0)</f>
        <v>Perusahaan Gas Negara (Persero) Tbk.</v>
      </c>
      <c r="C1352" s="15">
        <f>IFERROR(__xludf.DUMMYFUNCTION("GOOGLEFINANCE(""IDX:""&amp;A1352,""price"")"),1530.0)</f>
        <v>1530</v>
      </c>
      <c r="D1352" s="16" t="str">
        <f>IFERROR(__xludf.DUMMYFUNCTION("IF(A1352="""","""",
SPARKLINE(
INDEX(
GOOGLEFINANCE(""IDX:""&amp;A1352,""close"",TODAY()-365,TODAY()),
,2
),
{""linewidth"",1}
))
"),"#N/A")</f>
        <v>#N/A</v>
      </c>
      <c r="E1352" s="14" t="s">
        <v>47</v>
      </c>
      <c r="F1352" s="25">
        <v>46356.0</v>
      </c>
      <c r="G1352" s="24">
        <f t="shared" si="8"/>
        <v>22</v>
      </c>
      <c r="H1352" s="19">
        <f>VLOOKUP(A1352,Metrik!$C$2:$Y$959,8,0)</f>
        <v>10.7</v>
      </c>
      <c r="I1352" s="20">
        <f>VLOOKUP(A1352,Metrik!$C$2:$Y$959,9,0)</f>
        <v>0.7</v>
      </c>
      <c r="J1352" s="20">
        <f>VLOOKUP(A1352,Metrik!$C$2:$Y$959,10,0)</f>
        <v>6.5</v>
      </c>
      <c r="K1352" s="20">
        <f>VLOOKUP(A1352,Metrik!$C$2:$Y$959,11,0)</f>
        <v>3.9</v>
      </c>
      <c r="L1352" s="20">
        <f>VLOOKUP(A1352,Metrik!$C$2:$Y$959,12,0)</f>
        <v>0.66</v>
      </c>
      <c r="M1352" s="20">
        <f>VLOOKUP(A1352,Metrik!$C$2:$Y$959,19,0)</f>
        <v>26.1</v>
      </c>
      <c r="N1352" s="21"/>
      <c r="O1352" s="21"/>
      <c r="P1352" s="21"/>
      <c r="Q1352" s="21"/>
      <c r="R1352" s="21"/>
      <c r="S1352" s="21"/>
      <c r="T1352" s="21"/>
      <c r="U1352" s="22">
        <f>IFERROR(__xludf.DUMMYFUNCTION("IFERROR(GOOGLEFINANCE(A1352,""closeyest""),"""")"),1500.0)</f>
        <v>1500</v>
      </c>
      <c r="V1352" s="23">
        <f>IFERROR(__xludf.DUMMYFUNCTION("IFERROR(GOOGLEFINANCE(A1352,""changepct""),"""")"),2.0)</f>
        <v>2</v>
      </c>
      <c r="W1352" s="22">
        <f>IFERROR(__xludf.DUMMYFUNCTION("IFERROR(GOOGLEFINANCE(A1352,""priceopen""),"""")"),1550.0)</f>
        <v>1550</v>
      </c>
      <c r="X1352" s="22">
        <f>IFERROR(__xludf.DUMMYFUNCTION("IFERROR(GOOGLEFINANCE(A1352,""high""),"""")"),1560.0)</f>
        <v>1560</v>
      </c>
      <c r="Y1352" s="22">
        <f>IFERROR(__xludf.DUMMYFUNCTION("IFERROR(GOOGLEFINANCE(A1352,""low""),"""")"),1510.0)</f>
        <v>1510</v>
      </c>
      <c r="Z1352" s="22" t="str">
        <f>IFERROR(__xludf.DUMMYFUNCTION("IFERROR(GOOGLEFINANCE(A1352,""volume""),"""")"),"")</f>
        <v/>
      </c>
      <c r="AA1352" s="24" t="str">
        <f>VLOOKUP(A1352,Metrik!$C$2:$Y$959,5,0)</f>
        <v>Oil &amp; Gas</v>
      </c>
      <c r="AB1352" s="24" t="str">
        <f>VLOOKUP(A1352,Metrik!$C$2:$Y$959,3,0)</f>
        <v>Energy</v>
      </c>
    </row>
    <row r="1353">
      <c r="A1353" s="14" t="s">
        <v>739</v>
      </c>
      <c r="B1353" s="14" t="str">
        <f t="array" ref="B1353">VLOOKUP(A1353,{Metrik!$C$2:$C$998,Metrik!$B$2:$B$998},2,0)</f>
        <v>Perusahaan Gas Negara (Persero) Tbk.</v>
      </c>
      <c r="C1353" s="15">
        <f>IFERROR(__xludf.DUMMYFUNCTION("GOOGLEFINANCE(""IDX:""&amp;A1353,""price"")"),1530.0)</f>
        <v>1530</v>
      </c>
      <c r="D1353" s="16" t="str">
        <f>IFERROR(__xludf.DUMMYFUNCTION("IF(A1353="""","""",
SPARKLINE(
INDEX(
GOOGLEFINANCE(""IDX:""&amp;A1353,""close"",TODAY()-365,TODAY()),
,2
),
{""linewidth"",1}
))
"),"#N/A")</f>
        <v>#N/A</v>
      </c>
      <c r="E1353" s="14" t="s">
        <v>106</v>
      </c>
      <c r="F1353" s="25">
        <v>46356.0</v>
      </c>
      <c r="G1353" s="24">
        <f t="shared" si="8"/>
        <v>22</v>
      </c>
      <c r="H1353" s="19">
        <f>VLOOKUP(A1353,Metrik!$C$2:$Y$959,8,0)</f>
        <v>10.7</v>
      </c>
      <c r="I1353" s="20">
        <f>VLOOKUP(A1353,Metrik!$C$2:$Y$959,9,0)</f>
        <v>0.7</v>
      </c>
      <c r="J1353" s="20">
        <f>VLOOKUP(A1353,Metrik!$C$2:$Y$959,10,0)</f>
        <v>6.5</v>
      </c>
      <c r="K1353" s="20">
        <f>VLOOKUP(A1353,Metrik!$C$2:$Y$959,11,0)</f>
        <v>3.9</v>
      </c>
      <c r="L1353" s="20">
        <f>VLOOKUP(A1353,Metrik!$C$2:$Y$959,12,0)</f>
        <v>0.66</v>
      </c>
      <c r="M1353" s="20">
        <f>VLOOKUP(A1353,Metrik!$C$2:$Y$959,19,0)</f>
        <v>26.1</v>
      </c>
      <c r="N1353" s="21"/>
      <c r="O1353" s="21"/>
      <c r="P1353" s="21"/>
      <c r="Q1353" s="21"/>
      <c r="R1353" s="21"/>
      <c r="S1353" s="21"/>
      <c r="T1353" s="21"/>
      <c r="U1353" s="22">
        <f>IFERROR(__xludf.DUMMYFUNCTION("IFERROR(GOOGLEFINANCE(A1353,""closeyest""),"""")"),1500.0)</f>
        <v>1500</v>
      </c>
      <c r="V1353" s="23">
        <f>IFERROR(__xludf.DUMMYFUNCTION("IFERROR(GOOGLEFINANCE(A1353,""changepct""),"""")"),2.0)</f>
        <v>2</v>
      </c>
      <c r="W1353" s="22">
        <f>IFERROR(__xludf.DUMMYFUNCTION("IFERROR(GOOGLEFINANCE(A1353,""priceopen""),"""")"),1550.0)</f>
        <v>1550</v>
      </c>
      <c r="X1353" s="22">
        <f>IFERROR(__xludf.DUMMYFUNCTION("IFERROR(GOOGLEFINANCE(A1353,""high""),"""")"),1560.0)</f>
        <v>1560</v>
      </c>
      <c r="Y1353" s="22">
        <f>IFERROR(__xludf.DUMMYFUNCTION("IFERROR(GOOGLEFINANCE(A1353,""low""),"""")"),1510.0)</f>
        <v>1510</v>
      </c>
      <c r="Z1353" s="22" t="str">
        <f>IFERROR(__xludf.DUMMYFUNCTION("IFERROR(GOOGLEFINANCE(A1353,""volume""),"""")"),"")</f>
        <v/>
      </c>
      <c r="AA1353" s="24" t="str">
        <f>VLOOKUP(A1353,Metrik!$C$2:$Y$959,5,0)</f>
        <v>Oil &amp; Gas</v>
      </c>
      <c r="AB1353" s="24" t="str">
        <f>VLOOKUP(A1353,Metrik!$C$2:$Y$959,3,0)</f>
        <v>Energy</v>
      </c>
    </row>
    <row r="1354">
      <c r="A1354" s="14" t="s">
        <v>739</v>
      </c>
      <c r="B1354" s="14" t="str">
        <f t="array" ref="B1354">VLOOKUP(A1354,{Metrik!$C$2:$C$998,Metrik!$B$2:$B$998},2,0)</f>
        <v>Perusahaan Gas Negara (Persero) Tbk.</v>
      </c>
      <c r="C1354" s="15">
        <f>IFERROR(__xludf.DUMMYFUNCTION("GOOGLEFINANCE(""IDX:""&amp;A1354,""price"")"),1530.0)</f>
        <v>1530</v>
      </c>
      <c r="D1354" s="16" t="str">
        <f>IFERROR(__xludf.DUMMYFUNCTION("IF(A1354="""","""",
SPARKLINE(
INDEX(
GOOGLEFINANCE(""IDX:""&amp;A1354,""close"",TODAY()-365,TODAY()),
,2
),
{""linewidth"",1}
))
"),"#N/A")</f>
        <v>#N/A</v>
      </c>
      <c r="E1354" s="14" t="s">
        <v>65</v>
      </c>
      <c r="F1354" s="25">
        <v>46356.0</v>
      </c>
      <c r="G1354" s="24">
        <f t="shared" si="8"/>
        <v>22</v>
      </c>
      <c r="H1354" s="19">
        <f>VLOOKUP(A1354,Metrik!$C$2:$Y$959,8,0)</f>
        <v>10.7</v>
      </c>
      <c r="I1354" s="20">
        <f>VLOOKUP(A1354,Metrik!$C$2:$Y$959,9,0)</f>
        <v>0.7</v>
      </c>
      <c r="J1354" s="20">
        <f>VLOOKUP(A1354,Metrik!$C$2:$Y$959,10,0)</f>
        <v>6.5</v>
      </c>
      <c r="K1354" s="20">
        <f>VLOOKUP(A1354,Metrik!$C$2:$Y$959,11,0)</f>
        <v>3.9</v>
      </c>
      <c r="L1354" s="20">
        <f>VLOOKUP(A1354,Metrik!$C$2:$Y$959,12,0)</f>
        <v>0.66</v>
      </c>
      <c r="M1354" s="20">
        <f>VLOOKUP(A1354,Metrik!$C$2:$Y$959,19,0)</f>
        <v>26.1</v>
      </c>
      <c r="N1354" s="21"/>
      <c r="O1354" s="21"/>
      <c r="P1354" s="21"/>
      <c r="Q1354" s="21"/>
      <c r="R1354" s="21"/>
      <c r="S1354" s="21"/>
      <c r="T1354" s="21"/>
      <c r="U1354" s="22">
        <f>IFERROR(__xludf.DUMMYFUNCTION("IFERROR(GOOGLEFINANCE(A1354,""closeyest""),"""")"),1500.0)</f>
        <v>1500</v>
      </c>
      <c r="V1354" s="23">
        <f>IFERROR(__xludf.DUMMYFUNCTION("IFERROR(GOOGLEFINANCE(A1354,""changepct""),"""")"),2.0)</f>
        <v>2</v>
      </c>
      <c r="W1354" s="22">
        <f>IFERROR(__xludf.DUMMYFUNCTION("IFERROR(GOOGLEFINANCE(A1354,""priceopen""),"""")"),1550.0)</f>
        <v>1550</v>
      </c>
      <c r="X1354" s="22">
        <f>IFERROR(__xludf.DUMMYFUNCTION("IFERROR(GOOGLEFINANCE(A1354,""high""),"""")"),1560.0)</f>
        <v>1560</v>
      </c>
      <c r="Y1354" s="22">
        <f>IFERROR(__xludf.DUMMYFUNCTION("IFERROR(GOOGLEFINANCE(A1354,""low""),"""")"),1510.0)</f>
        <v>1510</v>
      </c>
      <c r="Z1354" s="22" t="str">
        <f>IFERROR(__xludf.DUMMYFUNCTION("IFERROR(GOOGLEFINANCE(A1354,""volume""),"""")"),"")</f>
        <v/>
      </c>
      <c r="AA1354" s="24" t="str">
        <f>VLOOKUP(A1354,Metrik!$C$2:$Y$959,5,0)</f>
        <v>Oil &amp; Gas</v>
      </c>
      <c r="AB1354" s="24" t="str">
        <f>VLOOKUP(A1354,Metrik!$C$2:$Y$959,3,0)</f>
        <v>Energy</v>
      </c>
    </row>
    <row r="1355">
      <c r="A1355" s="14" t="s">
        <v>739</v>
      </c>
      <c r="B1355" s="14" t="str">
        <f t="array" ref="B1355">VLOOKUP(A1355,{Metrik!$C$2:$C$998,Metrik!$B$2:$B$998},2,0)</f>
        <v>Perusahaan Gas Negara (Persero) Tbk.</v>
      </c>
      <c r="C1355" s="15">
        <f>IFERROR(__xludf.DUMMYFUNCTION("GOOGLEFINANCE(""IDX:""&amp;A1355,""price"")"),1530.0)</f>
        <v>1530</v>
      </c>
      <c r="D1355" s="16" t="str">
        <f>IFERROR(__xludf.DUMMYFUNCTION("IF(A1355="""","""",
SPARKLINE(
INDEX(
GOOGLEFINANCE(""IDX:""&amp;A1355,""close"",TODAY()-365,TODAY()),
,2
),
{""linewidth"",1}
))
"),"#N/A")</f>
        <v>#N/A</v>
      </c>
      <c r="E1355" s="14" t="s">
        <v>42</v>
      </c>
      <c r="F1355" s="25">
        <v>46356.0</v>
      </c>
      <c r="G1355" s="24">
        <f t="shared" si="8"/>
        <v>22</v>
      </c>
      <c r="H1355" s="19">
        <f>VLOOKUP(A1355,Metrik!$C$2:$Y$959,8,0)</f>
        <v>10.7</v>
      </c>
      <c r="I1355" s="20">
        <f>VLOOKUP(A1355,Metrik!$C$2:$Y$959,9,0)</f>
        <v>0.7</v>
      </c>
      <c r="J1355" s="20">
        <f>VLOOKUP(A1355,Metrik!$C$2:$Y$959,10,0)</f>
        <v>6.5</v>
      </c>
      <c r="K1355" s="20">
        <f>VLOOKUP(A1355,Metrik!$C$2:$Y$959,11,0)</f>
        <v>3.9</v>
      </c>
      <c r="L1355" s="20">
        <f>VLOOKUP(A1355,Metrik!$C$2:$Y$959,12,0)</f>
        <v>0.66</v>
      </c>
      <c r="M1355" s="20">
        <f>VLOOKUP(A1355,Metrik!$C$2:$Y$959,19,0)</f>
        <v>26.1</v>
      </c>
      <c r="N1355" s="21"/>
      <c r="O1355" s="21"/>
      <c r="P1355" s="21"/>
      <c r="Q1355" s="21"/>
      <c r="R1355" s="21"/>
      <c r="S1355" s="21"/>
      <c r="T1355" s="21"/>
      <c r="U1355" s="22">
        <f>IFERROR(__xludf.DUMMYFUNCTION("IFERROR(GOOGLEFINANCE(A1355,""closeyest""),"""")"),1500.0)</f>
        <v>1500</v>
      </c>
      <c r="V1355" s="23">
        <f>IFERROR(__xludf.DUMMYFUNCTION("IFERROR(GOOGLEFINANCE(A1355,""changepct""),"""")"),2.0)</f>
        <v>2</v>
      </c>
      <c r="W1355" s="22">
        <f>IFERROR(__xludf.DUMMYFUNCTION("IFERROR(GOOGLEFINANCE(A1355,""priceopen""),"""")"),1550.0)</f>
        <v>1550</v>
      </c>
      <c r="X1355" s="22">
        <f>IFERROR(__xludf.DUMMYFUNCTION("IFERROR(GOOGLEFINANCE(A1355,""high""),"""")"),1560.0)</f>
        <v>1560</v>
      </c>
      <c r="Y1355" s="22">
        <f>IFERROR(__xludf.DUMMYFUNCTION("IFERROR(GOOGLEFINANCE(A1355,""low""),"""")"),1510.0)</f>
        <v>1510</v>
      </c>
      <c r="Z1355" s="22" t="str">
        <f>IFERROR(__xludf.DUMMYFUNCTION("IFERROR(GOOGLEFINANCE(A1355,""volume""),"""")"),"")</f>
        <v/>
      </c>
      <c r="AA1355" s="24" t="str">
        <f>VLOOKUP(A1355,Metrik!$C$2:$Y$959,5,0)</f>
        <v>Oil &amp; Gas</v>
      </c>
      <c r="AB1355" s="24" t="str">
        <f>VLOOKUP(A1355,Metrik!$C$2:$Y$959,3,0)</f>
        <v>Energy</v>
      </c>
    </row>
    <row r="1356">
      <c r="A1356" s="14" t="s">
        <v>739</v>
      </c>
      <c r="B1356" s="14" t="str">
        <f t="array" ref="B1356">VLOOKUP(A1356,{Metrik!$C$2:$C$998,Metrik!$B$2:$B$998},2,0)</f>
        <v>Perusahaan Gas Negara (Persero) Tbk.</v>
      </c>
      <c r="C1356" s="15">
        <f>IFERROR(__xludf.DUMMYFUNCTION("GOOGLEFINANCE(""IDX:""&amp;A1356,""price"")"),1530.0)</f>
        <v>1530</v>
      </c>
      <c r="D1356" s="16" t="str">
        <f>IFERROR(__xludf.DUMMYFUNCTION("IF(A1356="""","""",
SPARKLINE(
INDEX(
GOOGLEFINANCE(""IDX:""&amp;A1356,""close"",TODAY()-365,TODAY()),
,2
),
{""linewidth"",1}
))
"),"#N/A")</f>
        <v>#N/A</v>
      </c>
      <c r="E1356" s="14" t="s">
        <v>38</v>
      </c>
      <c r="F1356" s="25">
        <v>46356.0</v>
      </c>
      <c r="G1356" s="24">
        <f t="shared" si="8"/>
        <v>22</v>
      </c>
      <c r="H1356" s="19">
        <f>VLOOKUP(A1356,Metrik!$C$2:$Y$959,8,0)</f>
        <v>10.7</v>
      </c>
      <c r="I1356" s="20">
        <f>VLOOKUP(A1356,Metrik!$C$2:$Y$959,9,0)</f>
        <v>0.7</v>
      </c>
      <c r="J1356" s="20">
        <f>VLOOKUP(A1356,Metrik!$C$2:$Y$959,10,0)</f>
        <v>6.5</v>
      </c>
      <c r="K1356" s="20">
        <f>VLOOKUP(A1356,Metrik!$C$2:$Y$959,11,0)</f>
        <v>3.9</v>
      </c>
      <c r="L1356" s="20">
        <f>VLOOKUP(A1356,Metrik!$C$2:$Y$959,12,0)</f>
        <v>0.66</v>
      </c>
      <c r="M1356" s="20">
        <f>VLOOKUP(A1356,Metrik!$C$2:$Y$959,19,0)</f>
        <v>26.1</v>
      </c>
      <c r="N1356" s="21"/>
      <c r="O1356" s="21"/>
      <c r="P1356" s="21"/>
      <c r="Q1356" s="21"/>
      <c r="R1356" s="21"/>
      <c r="S1356" s="21"/>
      <c r="T1356" s="21"/>
      <c r="U1356" s="22">
        <f>IFERROR(__xludf.DUMMYFUNCTION("IFERROR(GOOGLEFINANCE(A1356,""closeyest""),"""")"),1500.0)</f>
        <v>1500</v>
      </c>
      <c r="V1356" s="23">
        <f>IFERROR(__xludf.DUMMYFUNCTION("IFERROR(GOOGLEFINANCE(A1356,""changepct""),"""")"),2.0)</f>
        <v>2</v>
      </c>
      <c r="W1356" s="22">
        <f>IFERROR(__xludf.DUMMYFUNCTION("IFERROR(GOOGLEFINANCE(A1356,""priceopen""),"""")"),1550.0)</f>
        <v>1550</v>
      </c>
      <c r="X1356" s="22">
        <f>IFERROR(__xludf.DUMMYFUNCTION("IFERROR(GOOGLEFINANCE(A1356,""high""),"""")"),1560.0)</f>
        <v>1560</v>
      </c>
      <c r="Y1356" s="22">
        <f>IFERROR(__xludf.DUMMYFUNCTION("IFERROR(GOOGLEFINANCE(A1356,""low""),"""")"),1510.0)</f>
        <v>1510</v>
      </c>
      <c r="Z1356" s="22" t="str">
        <f>IFERROR(__xludf.DUMMYFUNCTION("IFERROR(GOOGLEFINANCE(A1356,""volume""),"""")"),"")</f>
        <v/>
      </c>
      <c r="AA1356" s="24" t="str">
        <f>VLOOKUP(A1356,Metrik!$C$2:$Y$959,5,0)</f>
        <v>Oil &amp; Gas</v>
      </c>
      <c r="AB1356" s="24" t="str">
        <f>VLOOKUP(A1356,Metrik!$C$2:$Y$959,3,0)</f>
        <v>Energy</v>
      </c>
    </row>
    <row r="1357">
      <c r="A1357" s="14" t="s">
        <v>739</v>
      </c>
      <c r="B1357" s="14" t="str">
        <f t="array" ref="B1357">VLOOKUP(A1357,{Metrik!$C$2:$C$998,Metrik!$B$2:$B$998},2,0)</f>
        <v>Perusahaan Gas Negara (Persero) Tbk.</v>
      </c>
      <c r="C1357" s="15">
        <f>IFERROR(__xludf.DUMMYFUNCTION("GOOGLEFINANCE(""IDX:""&amp;A1357,""price"")"),1530.0)</f>
        <v>1530</v>
      </c>
      <c r="D1357" s="16" t="str">
        <f>IFERROR(__xludf.DUMMYFUNCTION("IF(A1357="""","""",
SPARKLINE(
INDEX(
GOOGLEFINANCE(""IDX:""&amp;A1357,""close"",TODAY()-365,TODAY()),
,2
),
{""linewidth"",1}
))
"),"#N/A")</f>
        <v>#N/A</v>
      </c>
      <c r="E1357" s="14" t="s">
        <v>55</v>
      </c>
      <c r="F1357" s="25">
        <v>46356.0</v>
      </c>
      <c r="G1357" s="24">
        <f t="shared" si="8"/>
        <v>22</v>
      </c>
      <c r="H1357" s="19">
        <f>VLOOKUP(A1357,Metrik!$C$2:$Y$959,8,0)</f>
        <v>10.7</v>
      </c>
      <c r="I1357" s="20">
        <f>VLOOKUP(A1357,Metrik!$C$2:$Y$959,9,0)</f>
        <v>0.7</v>
      </c>
      <c r="J1357" s="20">
        <f>VLOOKUP(A1357,Metrik!$C$2:$Y$959,10,0)</f>
        <v>6.5</v>
      </c>
      <c r="K1357" s="20">
        <f>VLOOKUP(A1357,Metrik!$C$2:$Y$959,11,0)</f>
        <v>3.9</v>
      </c>
      <c r="L1357" s="20">
        <f>VLOOKUP(A1357,Metrik!$C$2:$Y$959,12,0)</f>
        <v>0.66</v>
      </c>
      <c r="M1357" s="20">
        <f>VLOOKUP(A1357,Metrik!$C$2:$Y$959,19,0)</f>
        <v>26.1</v>
      </c>
      <c r="N1357" s="21"/>
      <c r="O1357" s="21"/>
      <c r="P1357" s="21"/>
      <c r="Q1357" s="21"/>
      <c r="R1357" s="21"/>
      <c r="S1357" s="21"/>
      <c r="T1357" s="21"/>
      <c r="U1357" s="22">
        <f>IFERROR(__xludf.DUMMYFUNCTION("IFERROR(GOOGLEFINANCE(A1357,""closeyest""),"""")"),1500.0)</f>
        <v>1500</v>
      </c>
      <c r="V1357" s="23">
        <f>IFERROR(__xludf.DUMMYFUNCTION("IFERROR(GOOGLEFINANCE(A1357,""changepct""),"""")"),2.0)</f>
        <v>2</v>
      </c>
      <c r="W1357" s="22">
        <f>IFERROR(__xludf.DUMMYFUNCTION("IFERROR(GOOGLEFINANCE(A1357,""priceopen""),"""")"),1550.0)</f>
        <v>1550</v>
      </c>
      <c r="X1357" s="22">
        <f>IFERROR(__xludf.DUMMYFUNCTION("IFERROR(GOOGLEFINANCE(A1357,""high""),"""")"),1560.0)</f>
        <v>1560</v>
      </c>
      <c r="Y1357" s="22">
        <f>IFERROR(__xludf.DUMMYFUNCTION("IFERROR(GOOGLEFINANCE(A1357,""low""),"""")"),1510.0)</f>
        <v>1510</v>
      </c>
      <c r="Z1357" s="22" t="str">
        <f>IFERROR(__xludf.DUMMYFUNCTION("IFERROR(GOOGLEFINANCE(A1357,""volume""),"""")"),"")</f>
        <v/>
      </c>
      <c r="AA1357" s="24" t="str">
        <f>VLOOKUP(A1357,Metrik!$C$2:$Y$959,5,0)</f>
        <v>Oil &amp; Gas</v>
      </c>
      <c r="AB1357" s="24" t="str">
        <f>VLOOKUP(A1357,Metrik!$C$2:$Y$959,3,0)</f>
        <v>Energy</v>
      </c>
    </row>
    <row r="1358">
      <c r="A1358" s="14" t="s">
        <v>739</v>
      </c>
      <c r="B1358" s="14" t="str">
        <f t="array" ref="B1358">VLOOKUP(A1358,{Metrik!$C$2:$C$998,Metrik!$B$2:$B$998},2,0)</f>
        <v>Perusahaan Gas Negara (Persero) Tbk.</v>
      </c>
      <c r="C1358" s="15">
        <f>IFERROR(__xludf.DUMMYFUNCTION("GOOGLEFINANCE(""IDX:""&amp;A1358,""price"")"),1530.0)</f>
        <v>1530</v>
      </c>
      <c r="D1358" s="16" t="str">
        <f>IFERROR(__xludf.DUMMYFUNCTION("IF(A1358="""","""",
SPARKLINE(
INDEX(
GOOGLEFINANCE(""IDX:""&amp;A1358,""close"",TODAY()-365,TODAY()),
,2
),
{""linewidth"",1}
))
"),"#N/A")</f>
        <v>#N/A</v>
      </c>
      <c r="E1358" s="14" t="s">
        <v>48</v>
      </c>
      <c r="F1358" s="14" t="s">
        <v>49</v>
      </c>
      <c r="G1358" s="24">
        <f t="shared" si="8"/>
        <v>22</v>
      </c>
      <c r="H1358" s="19">
        <f>VLOOKUP(A1358,Metrik!$C$2:$Y$959,8,0)</f>
        <v>10.7</v>
      </c>
      <c r="I1358" s="20">
        <f>VLOOKUP(A1358,Metrik!$C$2:$Y$959,9,0)</f>
        <v>0.7</v>
      </c>
      <c r="J1358" s="20">
        <f>VLOOKUP(A1358,Metrik!$C$2:$Y$959,10,0)</f>
        <v>6.5</v>
      </c>
      <c r="K1358" s="20">
        <f>VLOOKUP(A1358,Metrik!$C$2:$Y$959,11,0)</f>
        <v>3.9</v>
      </c>
      <c r="L1358" s="20">
        <f>VLOOKUP(A1358,Metrik!$C$2:$Y$959,12,0)</f>
        <v>0.66</v>
      </c>
      <c r="M1358" s="20">
        <f>VLOOKUP(A1358,Metrik!$C$2:$Y$959,19,0)</f>
        <v>26.1</v>
      </c>
      <c r="N1358" s="21"/>
      <c r="O1358" s="21"/>
      <c r="P1358" s="21"/>
      <c r="Q1358" s="21"/>
      <c r="R1358" s="21"/>
      <c r="S1358" s="21"/>
      <c r="T1358" s="21"/>
      <c r="U1358" s="22">
        <f>IFERROR(__xludf.DUMMYFUNCTION("IFERROR(GOOGLEFINANCE(A1358,""closeyest""),"""")"),1500.0)</f>
        <v>1500</v>
      </c>
      <c r="V1358" s="23">
        <f>IFERROR(__xludf.DUMMYFUNCTION("IFERROR(GOOGLEFINANCE(A1358,""changepct""),"""")"),2.0)</f>
        <v>2</v>
      </c>
      <c r="W1358" s="22">
        <f>IFERROR(__xludf.DUMMYFUNCTION("IFERROR(GOOGLEFINANCE(A1358,""priceopen""),"""")"),1550.0)</f>
        <v>1550</v>
      </c>
      <c r="X1358" s="22">
        <f>IFERROR(__xludf.DUMMYFUNCTION("IFERROR(GOOGLEFINANCE(A1358,""high""),"""")"),1560.0)</f>
        <v>1560</v>
      </c>
      <c r="Y1358" s="22">
        <f>IFERROR(__xludf.DUMMYFUNCTION("IFERROR(GOOGLEFINANCE(A1358,""low""),"""")"),1510.0)</f>
        <v>1510</v>
      </c>
      <c r="Z1358" s="22" t="str">
        <f>IFERROR(__xludf.DUMMYFUNCTION("IFERROR(GOOGLEFINANCE(A1358,""volume""),"""")"),"")</f>
        <v/>
      </c>
      <c r="AA1358" s="24" t="str">
        <f>VLOOKUP(A1358,Metrik!$C$2:$Y$959,5,0)</f>
        <v>Oil &amp; Gas</v>
      </c>
      <c r="AB1358" s="24" t="str">
        <f>VLOOKUP(A1358,Metrik!$C$2:$Y$959,3,0)</f>
        <v>Energy</v>
      </c>
    </row>
    <row r="1359">
      <c r="A1359" s="14" t="s">
        <v>739</v>
      </c>
      <c r="B1359" s="14" t="str">
        <f t="array" ref="B1359">VLOOKUP(A1359,{Metrik!$C$2:$C$998,Metrik!$B$2:$B$998},2,0)</f>
        <v>Perusahaan Gas Negara (Persero) Tbk.</v>
      </c>
      <c r="C1359" s="15">
        <f>IFERROR(__xludf.DUMMYFUNCTION("GOOGLEFINANCE(""IDX:""&amp;A1359,""price"")"),1530.0)</f>
        <v>1530</v>
      </c>
      <c r="D1359" s="16" t="str">
        <f>IFERROR(__xludf.DUMMYFUNCTION("IF(A1359="""","""",
SPARKLINE(
INDEX(
GOOGLEFINANCE(""IDX:""&amp;A1359,""close"",TODAY()-365,TODAY()),
,2
),
{""linewidth"",1}
))
"),"#N/A")</f>
        <v>#N/A</v>
      </c>
      <c r="E1359" s="14" t="s">
        <v>68</v>
      </c>
      <c r="F1359" s="14" t="s">
        <v>34</v>
      </c>
      <c r="G1359" s="24">
        <f t="shared" si="8"/>
        <v>22</v>
      </c>
      <c r="H1359" s="19">
        <f>VLOOKUP(A1359,Metrik!$C$2:$Y$959,8,0)</f>
        <v>10.7</v>
      </c>
      <c r="I1359" s="20">
        <f>VLOOKUP(A1359,Metrik!$C$2:$Y$959,9,0)</f>
        <v>0.7</v>
      </c>
      <c r="J1359" s="20">
        <f>VLOOKUP(A1359,Metrik!$C$2:$Y$959,10,0)</f>
        <v>6.5</v>
      </c>
      <c r="K1359" s="20">
        <f>VLOOKUP(A1359,Metrik!$C$2:$Y$959,11,0)</f>
        <v>3.9</v>
      </c>
      <c r="L1359" s="20">
        <f>VLOOKUP(A1359,Metrik!$C$2:$Y$959,12,0)</f>
        <v>0.66</v>
      </c>
      <c r="M1359" s="20">
        <f>VLOOKUP(A1359,Metrik!$C$2:$Y$959,19,0)</f>
        <v>26.1</v>
      </c>
      <c r="N1359" s="21"/>
      <c r="O1359" s="21"/>
      <c r="P1359" s="21"/>
      <c r="Q1359" s="21"/>
      <c r="R1359" s="21"/>
      <c r="S1359" s="21"/>
      <c r="T1359" s="21"/>
      <c r="U1359" s="22">
        <f>IFERROR(__xludf.DUMMYFUNCTION("IFERROR(GOOGLEFINANCE(A1359,""closeyest""),"""")"),1500.0)</f>
        <v>1500</v>
      </c>
      <c r="V1359" s="23">
        <f>IFERROR(__xludf.DUMMYFUNCTION("IFERROR(GOOGLEFINANCE(A1359,""changepct""),"""")"),2.0)</f>
        <v>2</v>
      </c>
      <c r="W1359" s="22">
        <f>IFERROR(__xludf.DUMMYFUNCTION("IFERROR(GOOGLEFINANCE(A1359,""priceopen""),"""")"),1550.0)</f>
        <v>1550</v>
      </c>
      <c r="X1359" s="22">
        <f>IFERROR(__xludf.DUMMYFUNCTION("IFERROR(GOOGLEFINANCE(A1359,""high""),"""")"),1560.0)</f>
        <v>1560</v>
      </c>
      <c r="Y1359" s="22">
        <f>IFERROR(__xludf.DUMMYFUNCTION("IFERROR(GOOGLEFINANCE(A1359,""low""),"""")"),1510.0)</f>
        <v>1510</v>
      </c>
      <c r="Z1359" s="22" t="str">
        <f>IFERROR(__xludf.DUMMYFUNCTION("IFERROR(GOOGLEFINANCE(A1359,""volume""),"""")"),"")</f>
        <v/>
      </c>
      <c r="AA1359" s="24" t="str">
        <f>VLOOKUP(A1359,Metrik!$C$2:$Y$959,5,0)</f>
        <v>Oil &amp; Gas</v>
      </c>
      <c r="AB1359" s="24" t="str">
        <f>VLOOKUP(A1359,Metrik!$C$2:$Y$959,3,0)</f>
        <v>Energy</v>
      </c>
    </row>
    <row r="1360">
      <c r="A1360" s="14" t="s">
        <v>739</v>
      </c>
      <c r="B1360" s="14" t="str">
        <f t="array" ref="B1360">VLOOKUP(A1360,{Metrik!$C$2:$C$998,Metrik!$B$2:$B$998},2,0)</f>
        <v>Perusahaan Gas Negara (Persero) Tbk.</v>
      </c>
      <c r="C1360" s="15">
        <f>IFERROR(__xludf.DUMMYFUNCTION("GOOGLEFINANCE(""IDX:""&amp;A1360,""price"")"),1530.0)</f>
        <v>1530</v>
      </c>
      <c r="D1360" s="16" t="str">
        <f>IFERROR(__xludf.DUMMYFUNCTION("IF(A1360="""","""",
SPARKLINE(
INDEX(
GOOGLEFINANCE(""IDX:""&amp;A1360,""close"",TODAY()-365,TODAY()),
,2
),
{""linewidth"",1}
))
"),"#N/A")</f>
        <v>#N/A</v>
      </c>
      <c r="E1360" s="14" t="s">
        <v>61</v>
      </c>
      <c r="F1360" s="14" t="s">
        <v>34</v>
      </c>
      <c r="G1360" s="24">
        <f t="shared" si="8"/>
        <v>22</v>
      </c>
      <c r="H1360" s="19">
        <f>VLOOKUP(A1360,Metrik!$C$2:$Y$959,8,0)</f>
        <v>10.7</v>
      </c>
      <c r="I1360" s="20">
        <f>VLOOKUP(A1360,Metrik!$C$2:$Y$959,9,0)</f>
        <v>0.7</v>
      </c>
      <c r="J1360" s="20">
        <f>VLOOKUP(A1360,Metrik!$C$2:$Y$959,10,0)</f>
        <v>6.5</v>
      </c>
      <c r="K1360" s="20">
        <f>VLOOKUP(A1360,Metrik!$C$2:$Y$959,11,0)</f>
        <v>3.9</v>
      </c>
      <c r="L1360" s="20">
        <f>VLOOKUP(A1360,Metrik!$C$2:$Y$959,12,0)</f>
        <v>0.66</v>
      </c>
      <c r="M1360" s="20">
        <f>VLOOKUP(A1360,Metrik!$C$2:$Y$959,19,0)</f>
        <v>26.1</v>
      </c>
      <c r="N1360" s="21"/>
      <c r="O1360" s="21"/>
      <c r="P1360" s="21"/>
      <c r="Q1360" s="21"/>
      <c r="R1360" s="21"/>
      <c r="S1360" s="21"/>
      <c r="T1360" s="21"/>
      <c r="U1360" s="22">
        <f>IFERROR(__xludf.DUMMYFUNCTION("IFERROR(GOOGLEFINANCE(A1360,""closeyest""),"""")"),1500.0)</f>
        <v>1500</v>
      </c>
      <c r="V1360" s="23">
        <f>IFERROR(__xludf.DUMMYFUNCTION("IFERROR(GOOGLEFINANCE(A1360,""changepct""),"""")"),2.0)</f>
        <v>2</v>
      </c>
      <c r="W1360" s="22">
        <f>IFERROR(__xludf.DUMMYFUNCTION("IFERROR(GOOGLEFINANCE(A1360,""priceopen""),"""")"),1550.0)</f>
        <v>1550</v>
      </c>
      <c r="X1360" s="22">
        <f>IFERROR(__xludf.DUMMYFUNCTION("IFERROR(GOOGLEFINANCE(A1360,""high""),"""")"),1560.0)</f>
        <v>1560</v>
      </c>
      <c r="Y1360" s="22">
        <f>IFERROR(__xludf.DUMMYFUNCTION("IFERROR(GOOGLEFINANCE(A1360,""low""),"""")"),1510.0)</f>
        <v>1510</v>
      </c>
      <c r="Z1360" s="22" t="str">
        <f>IFERROR(__xludf.DUMMYFUNCTION("IFERROR(GOOGLEFINANCE(A1360,""volume""),"""")"),"")</f>
        <v/>
      </c>
      <c r="AA1360" s="24" t="str">
        <f>VLOOKUP(A1360,Metrik!$C$2:$Y$959,5,0)</f>
        <v>Oil &amp; Gas</v>
      </c>
      <c r="AB1360" s="24" t="str">
        <f>VLOOKUP(A1360,Metrik!$C$2:$Y$959,3,0)</f>
        <v>Energy</v>
      </c>
    </row>
    <row r="1361">
      <c r="A1361" s="14" t="s">
        <v>739</v>
      </c>
      <c r="B1361" s="14" t="str">
        <f t="array" ref="B1361">VLOOKUP(A1361,{Metrik!$C$2:$C$998,Metrik!$B$2:$B$998},2,0)</f>
        <v>Perusahaan Gas Negara (Persero) Tbk.</v>
      </c>
      <c r="C1361" s="15">
        <f>IFERROR(__xludf.DUMMYFUNCTION("GOOGLEFINANCE(""IDX:""&amp;A1361,""price"")"),1530.0)</f>
        <v>1530</v>
      </c>
      <c r="D1361" s="16" t="str">
        <f>IFERROR(__xludf.DUMMYFUNCTION("IF(A1361="""","""",
SPARKLINE(
INDEX(
GOOGLEFINANCE(""IDX:""&amp;A1361,""close"",TODAY()-365,TODAY()),
,2
),
{""linewidth"",1}
))
"),"#N/A")</f>
        <v>#N/A</v>
      </c>
      <c r="E1361" s="14" t="s">
        <v>32</v>
      </c>
      <c r="F1361" s="14" t="s">
        <v>29</v>
      </c>
      <c r="G1361" s="24">
        <f t="shared" si="8"/>
        <v>22</v>
      </c>
      <c r="H1361" s="19">
        <f>VLOOKUP(A1361,Metrik!$C$2:$Y$959,8,0)</f>
        <v>10.7</v>
      </c>
      <c r="I1361" s="20">
        <f>VLOOKUP(A1361,Metrik!$C$2:$Y$959,9,0)</f>
        <v>0.7</v>
      </c>
      <c r="J1361" s="20">
        <f>VLOOKUP(A1361,Metrik!$C$2:$Y$959,10,0)</f>
        <v>6.5</v>
      </c>
      <c r="K1361" s="20">
        <f>VLOOKUP(A1361,Metrik!$C$2:$Y$959,11,0)</f>
        <v>3.9</v>
      </c>
      <c r="L1361" s="20">
        <f>VLOOKUP(A1361,Metrik!$C$2:$Y$959,12,0)</f>
        <v>0.66</v>
      </c>
      <c r="M1361" s="20">
        <f>VLOOKUP(A1361,Metrik!$C$2:$Y$959,19,0)</f>
        <v>26.1</v>
      </c>
      <c r="N1361" s="21"/>
      <c r="O1361" s="21"/>
      <c r="P1361" s="21"/>
      <c r="Q1361" s="21"/>
      <c r="R1361" s="21"/>
      <c r="S1361" s="21"/>
      <c r="T1361" s="21"/>
      <c r="U1361" s="22">
        <f>IFERROR(__xludf.DUMMYFUNCTION("IFERROR(GOOGLEFINANCE(A1361,""closeyest""),"""")"),1500.0)</f>
        <v>1500</v>
      </c>
      <c r="V1361" s="23">
        <f>IFERROR(__xludf.DUMMYFUNCTION("IFERROR(GOOGLEFINANCE(A1361,""changepct""),"""")"),2.0)</f>
        <v>2</v>
      </c>
      <c r="W1361" s="22">
        <f>IFERROR(__xludf.DUMMYFUNCTION("IFERROR(GOOGLEFINANCE(A1361,""priceopen""),"""")"),1550.0)</f>
        <v>1550</v>
      </c>
      <c r="X1361" s="22">
        <f>IFERROR(__xludf.DUMMYFUNCTION("IFERROR(GOOGLEFINANCE(A1361,""high""),"""")"),1560.0)</f>
        <v>1560</v>
      </c>
      <c r="Y1361" s="22">
        <f>IFERROR(__xludf.DUMMYFUNCTION("IFERROR(GOOGLEFINANCE(A1361,""low""),"""")"),1510.0)</f>
        <v>1510</v>
      </c>
      <c r="Z1361" s="22" t="str">
        <f>IFERROR(__xludf.DUMMYFUNCTION("IFERROR(GOOGLEFINANCE(A1361,""volume""),"""")"),"")</f>
        <v/>
      </c>
      <c r="AA1361" s="24" t="str">
        <f>VLOOKUP(A1361,Metrik!$C$2:$Y$959,5,0)</f>
        <v>Oil &amp; Gas</v>
      </c>
      <c r="AB1361" s="24" t="str">
        <f>VLOOKUP(A1361,Metrik!$C$2:$Y$959,3,0)</f>
        <v>Energy</v>
      </c>
    </row>
    <row r="1362">
      <c r="A1362" s="14" t="s">
        <v>739</v>
      </c>
      <c r="B1362" s="14" t="str">
        <f t="array" ref="B1362">VLOOKUP(A1362,{Metrik!$C$2:$C$998,Metrik!$B$2:$B$998},2,0)</f>
        <v>Perusahaan Gas Negara (Persero) Tbk.</v>
      </c>
      <c r="C1362" s="15">
        <f>IFERROR(__xludf.DUMMYFUNCTION("GOOGLEFINANCE(""IDX:""&amp;A1362,""price"")"),1530.0)</f>
        <v>1530</v>
      </c>
      <c r="D1362" s="16" t="str">
        <f>IFERROR(__xludf.DUMMYFUNCTION("IF(A1362="""","""",
SPARKLINE(
INDEX(
GOOGLEFINANCE(""IDX:""&amp;A1362,""close"",TODAY()-365,TODAY()),
,2
),
{""linewidth"",1}
))
"),"#N/A")</f>
        <v>#N/A</v>
      </c>
      <c r="E1362" s="14" t="s">
        <v>31</v>
      </c>
      <c r="F1362" s="17" t="s">
        <v>29</v>
      </c>
      <c r="G1362" s="24">
        <f t="shared" si="8"/>
        <v>22</v>
      </c>
      <c r="H1362" s="19">
        <f>VLOOKUP(A1362,Metrik!$C$2:$Y$959,8,0)</f>
        <v>10.7</v>
      </c>
      <c r="I1362" s="20">
        <f>VLOOKUP(A1362,Metrik!$C$2:$Y$959,9,0)</f>
        <v>0.7</v>
      </c>
      <c r="J1362" s="20">
        <f>VLOOKUP(A1362,Metrik!$C$2:$Y$959,10,0)</f>
        <v>6.5</v>
      </c>
      <c r="K1362" s="20">
        <f>VLOOKUP(A1362,Metrik!$C$2:$Y$959,11,0)</f>
        <v>3.9</v>
      </c>
      <c r="L1362" s="20">
        <f>VLOOKUP(A1362,Metrik!$C$2:$Y$959,12,0)</f>
        <v>0.66</v>
      </c>
      <c r="M1362" s="20">
        <f>VLOOKUP(A1362,Metrik!$C$2:$Y$959,19,0)</f>
        <v>26.1</v>
      </c>
      <c r="N1362" s="21"/>
      <c r="O1362" s="21"/>
      <c r="P1362" s="21"/>
      <c r="Q1362" s="21"/>
      <c r="R1362" s="21"/>
      <c r="S1362" s="21"/>
      <c r="T1362" s="21"/>
      <c r="U1362" s="22">
        <f>IFERROR(__xludf.DUMMYFUNCTION("IFERROR(GOOGLEFINANCE(A1362,""closeyest""),"""")"),1500.0)</f>
        <v>1500</v>
      </c>
      <c r="V1362" s="23">
        <f>IFERROR(__xludf.DUMMYFUNCTION("IFERROR(GOOGLEFINANCE(A1362,""changepct""),"""")"),2.0)</f>
        <v>2</v>
      </c>
      <c r="W1362" s="22">
        <f>IFERROR(__xludf.DUMMYFUNCTION("IFERROR(GOOGLEFINANCE(A1362,""priceopen""),"""")"),1550.0)</f>
        <v>1550</v>
      </c>
      <c r="X1362" s="22">
        <f>IFERROR(__xludf.DUMMYFUNCTION("IFERROR(GOOGLEFINANCE(A1362,""high""),"""")"),1560.0)</f>
        <v>1560</v>
      </c>
      <c r="Y1362" s="22">
        <f>IFERROR(__xludf.DUMMYFUNCTION("IFERROR(GOOGLEFINANCE(A1362,""low""),"""")"),1510.0)</f>
        <v>1510</v>
      </c>
      <c r="Z1362" s="22" t="str">
        <f>IFERROR(__xludf.DUMMYFUNCTION("IFERROR(GOOGLEFINANCE(A1362,""volume""),"""")"),"")</f>
        <v/>
      </c>
      <c r="AA1362" s="24" t="str">
        <f>VLOOKUP(A1362,Metrik!$C$2:$Y$959,5,0)</f>
        <v>Oil &amp; Gas</v>
      </c>
      <c r="AB1362" s="24" t="str">
        <f>VLOOKUP(A1362,Metrik!$C$2:$Y$959,3,0)</f>
        <v>Energy</v>
      </c>
    </row>
    <row r="1363">
      <c r="A1363" s="14" t="s">
        <v>739</v>
      </c>
      <c r="B1363" s="14" t="str">
        <f t="array" ref="B1363">VLOOKUP(A1363,{Metrik!$C$2:$C$998,Metrik!$B$2:$B$998},2,0)</f>
        <v>Perusahaan Gas Negara (Persero) Tbk.</v>
      </c>
      <c r="C1363" s="15">
        <f>IFERROR(__xludf.DUMMYFUNCTION("GOOGLEFINANCE(""IDX:""&amp;A1363,""price"")"),1530.0)</f>
        <v>1530</v>
      </c>
      <c r="D1363" s="16" t="str">
        <f>IFERROR(__xludf.DUMMYFUNCTION("IF(A1363="""","""",
SPARKLINE(
INDEX(
GOOGLEFINANCE(""IDX:""&amp;A1363,""close"",TODAY()-365,TODAY()),
,2
),
{""linewidth"",1}
))
"),"#N/A")</f>
        <v>#N/A</v>
      </c>
      <c r="E1363" s="14" t="s">
        <v>28</v>
      </c>
      <c r="F1363" s="17" t="s">
        <v>29</v>
      </c>
      <c r="G1363" s="24">
        <f t="shared" si="8"/>
        <v>22</v>
      </c>
      <c r="H1363" s="19">
        <f>VLOOKUP(A1363,Metrik!$C$2:$Y$959,8,0)</f>
        <v>10.7</v>
      </c>
      <c r="I1363" s="20">
        <f>VLOOKUP(A1363,Metrik!$C$2:$Y$959,9,0)</f>
        <v>0.7</v>
      </c>
      <c r="J1363" s="20">
        <f>VLOOKUP(A1363,Metrik!$C$2:$Y$959,10,0)</f>
        <v>6.5</v>
      </c>
      <c r="K1363" s="20">
        <f>VLOOKUP(A1363,Metrik!$C$2:$Y$959,11,0)</f>
        <v>3.9</v>
      </c>
      <c r="L1363" s="20">
        <f>VLOOKUP(A1363,Metrik!$C$2:$Y$959,12,0)</f>
        <v>0.66</v>
      </c>
      <c r="M1363" s="20">
        <f>VLOOKUP(A1363,Metrik!$C$2:$Y$959,19,0)</f>
        <v>26.1</v>
      </c>
      <c r="N1363" s="21"/>
      <c r="O1363" s="21"/>
      <c r="P1363" s="21"/>
      <c r="Q1363" s="21"/>
      <c r="R1363" s="21"/>
      <c r="S1363" s="21"/>
      <c r="T1363" s="21"/>
      <c r="U1363" s="22">
        <f>IFERROR(__xludf.DUMMYFUNCTION("IFERROR(GOOGLEFINANCE(A1363,""closeyest""),"""")"),1500.0)</f>
        <v>1500</v>
      </c>
      <c r="V1363" s="23">
        <f>IFERROR(__xludf.DUMMYFUNCTION("IFERROR(GOOGLEFINANCE(A1363,""changepct""),"""")"),2.0)</f>
        <v>2</v>
      </c>
      <c r="W1363" s="22">
        <f>IFERROR(__xludf.DUMMYFUNCTION("IFERROR(GOOGLEFINANCE(A1363,""priceopen""),"""")"),1550.0)</f>
        <v>1550</v>
      </c>
      <c r="X1363" s="22">
        <f>IFERROR(__xludf.DUMMYFUNCTION("IFERROR(GOOGLEFINANCE(A1363,""high""),"""")"),1560.0)</f>
        <v>1560</v>
      </c>
      <c r="Y1363" s="22">
        <f>IFERROR(__xludf.DUMMYFUNCTION("IFERROR(GOOGLEFINANCE(A1363,""low""),"""")"),1510.0)</f>
        <v>1510</v>
      </c>
      <c r="Z1363" s="22" t="str">
        <f>IFERROR(__xludf.DUMMYFUNCTION("IFERROR(GOOGLEFINANCE(A1363,""volume""),"""")"),"")</f>
        <v/>
      </c>
      <c r="AA1363" s="24" t="str">
        <f>VLOOKUP(A1363,Metrik!$C$2:$Y$959,5,0)</f>
        <v>Oil &amp; Gas</v>
      </c>
      <c r="AB1363" s="24" t="str">
        <f>VLOOKUP(A1363,Metrik!$C$2:$Y$959,3,0)</f>
        <v>Energy</v>
      </c>
    </row>
    <row r="1364">
      <c r="A1364" s="14" t="s">
        <v>739</v>
      </c>
      <c r="B1364" s="14" t="str">
        <f t="array" ref="B1364">VLOOKUP(A1364,{Metrik!$C$2:$C$998,Metrik!$B$2:$B$998},2,0)</f>
        <v>Perusahaan Gas Negara (Persero) Tbk.</v>
      </c>
      <c r="C1364" s="15">
        <f>IFERROR(__xludf.DUMMYFUNCTION("GOOGLEFINANCE(""IDX:""&amp;A1364,""price"")"),1530.0)</f>
        <v>1530</v>
      </c>
      <c r="D1364" s="16" t="str">
        <f>IFERROR(__xludf.DUMMYFUNCTION("IF(A1364="""","""",
SPARKLINE(
INDEX(
GOOGLEFINANCE(""IDX:""&amp;A1364,""close"",TODAY()-365,TODAY()),
,2
),
{""linewidth"",1}
))
"),"#N/A")</f>
        <v>#N/A</v>
      </c>
      <c r="E1364" s="14" t="s">
        <v>30</v>
      </c>
      <c r="F1364" s="17" t="s">
        <v>29</v>
      </c>
      <c r="G1364" s="24">
        <f t="shared" si="8"/>
        <v>22</v>
      </c>
      <c r="H1364" s="19">
        <f>VLOOKUP(A1364,Metrik!$C$2:$Y$959,8,0)</f>
        <v>10.7</v>
      </c>
      <c r="I1364" s="20">
        <f>VLOOKUP(A1364,Metrik!$C$2:$Y$959,9,0)</f>
        <v>0.7</v>
      </c>
      <c r="J1364" s="20">
        <f>VLOOKUP(A1364,Metrik!$C$2:$Y$959,10,0)</f>
        <v>6.5</v>
      </c>
      <c r="K1364" s="20">
        <f>VLOOKUP(A1364,Metrik!$C$2:$Y$959,11,0)</f>
        <v>3.9</v>
      </c>
      <c r="L1364" s="20">
        <f>VLOOKUP(A1364,Metrik!$C$2:$Y$959,12,0)</f>
        <v>0.66</v>
      </c>
      <c r="M1364" s="20">
        <f>VLOOKUP(A1364,Metrik!$C$2:$Y$959,19,0)</f>
        <v>26.1</v>
      </c>
      <c r="N1364" s="21"/>
      <c r="O1364" s="21"/>
      <c r="P1364" s="21"/>
      <c r="Q1364" s="21"/>
      <c r="R1364" s="21"/>
      <c r="S1364" s="21"/>
      <c r="T1364" s="21"/>
      <c r="U1364" s="22">
        <f>IFERROR(__xludf.DUMMYFUNCTION("IFERROR(GOOGLEFINANCE(A1364,""closeyest""),"""")"),1500.0)</f>
        <v>1500</v>
      </c>
      <c r="V1364" s="23">
        <f>IFERROR(__xludf.DUMMYFUNCTION("IFERROR(GOOGLEFINANCE(A1364,""changepct""),"""")"),2.0)</f>
        <v>2</v>
      </c>
      <c r="W1364" s="22">
        <f>IFERROR(__xludf.DUMMYFUNCTION("IFERROR(GOOGLEFINANCE(A1364,""priceopen""),"""")"),1550.0)</f>
        <v>1550</v>
      </c>
      <c r="X1364" s="22">
        <f>IFERROR(__xludf.DUMMYFUNCTION("IFERROR(GOOGLEFINANCE(A1364,""high""),"""")"),1560.0)</f>
        <v>1560</v>
      </c>
      <c r="Y1364" s="22">
        <f>IFERROR(__xludf.DUMMYFUNCTION("IFERROR(GOOGLEFINANCE(A1364,""low""),"""")"),1510.0)</f>
        <v>1510</v>
      </c>
      <c r="Z1364" s="22" t="str">
        <f>IFERROR(__xludf.DUMMYFUNCTION("IFERROR(GOOGLEFINANCE(A1364,""volume""),"""")"),"")</f>
        <v/>
      </c>
      <c r="AA1364" s="24" t="str">
        <f>VLOOKUP(A1364,Metrik!$C$2:$Y$959,5,0)</f>
        <v>Oil &amp; Gas</v>
      </c>
      <c r="AB1364" s="24" t="str">
        <f>VLOOKUP(A1364,Metrik!$C$2:$Y$959,3,0)</f>
        <v>Energy</v>
      </c>
    </row>
    <row r="1365">
      <c r="A1365" s="14" t="s">
        <v>739</v>
      </c>
      <c r="B1365" s="14" t="str">
        <f t="array" ref="B1365">VLOOKUP(A1365,{Metrik!$C$2:$C$998,Metrik!$B$2:$B$998},2,0)</f>
        <v>Perusahaan Gas Negara (Persero) Tbk.</v>
      </c>
      <c r="C1365" s="15">
        <f>IFERROR(__xludf.DUMMYFUNCTION("GOOGLEFINANCE(""IDX:""&amp;A1365,""price"")"),1530.0)</f>
        <v>1530</v>
      </c>
      <c r="D1365" s="16" t="str">
        <f>IFERROR(__xludf.DUMMYFUNCTION("IF(A1365="""","""",
SPARKLINE(
INDEX(
GOOGLEFINANCE(""IDX:""&amp;A1365,""close"",TODAY()-365,TODAY()),
,2
),
{""linewidth"",1}
))
"),"#N/A")</f>
        <v>#N/A</v>
      </c>
      <c r="E1365" s="14" t="s">
        <v>33</v>
      </c>
      <c r="F1365" s="14" t="s">
        <v>34</v>
      </c>
      <c r="G1365" s="24">
        <f t="shared" si="8"/>
        <v>22</v>
      </c>
      <c r="H1365" s="19">
        <f>VLOOKUP(A1365,Metrik!$C$2:$Y$959,8,0)</f>
        <v>10.7</v>
      </c>
      <c r="I1365" s="20">
        <f>VLOOKUP(A1365,Metrik!$C$2:$Y$959,9,0)</f>
        <v>0.7</v>
      </c>
      <c r="J1365" s="20">
        <f>VLOOKUP(A1365,Metrik!$C$2:$Y$959,10,0)</f>
        <v>6.5</v>
      </c>
      <c r="K1365" s="20">
        <f>VLOOKUP(A1365,Metrik!$C$2:$Y$959,11,0)</f>
        <v>3.9</v>
      </c>
      <c r="L1365" s="20">
        <f>VLOOKUP(A1365,Metrik!$C$2:$Y$959,12,0)</f>
        <v>0.66</v>
      </c>
      <c r="M1365" s="20">
        <f>VLOOKUP(A1365,Metrik!$C$2:$Y$959,19,0)</f>
        <v>26.1</v>
      </c>
      <c r="N1365" s="21"/>
      <c r="O1365" s="21"/>
      <c r="P1365" s="21"/>
      <c r="Q1365" s="21"/>
      <c r="R1365" s="21"/>
      <c r="S1365" s="21"/>
      <c r="T1365" s="21"/>
      <c r="U1365" s="22">
        <f>IFERROR(__xludf.DUMMYFUNCTION("IFERROR(GOOGLEFINANCE(A1365,""closeyest""),"""")"),1500.0)</f>
        <v>1500</v>
      </c>
      <c r="V1365" s="23">
        <f>IFERROR(__xludf.DUMMYFUNCTION("IFERROR(GOOGLEFINANCE(A1365,""changepct""),"""")"),2.0)</f>
        <v>2</v>
      </c>
      <c r="W1365" s="22">
        <f>IFERROR(__xludf.DUMMYFUNCTION("IFERROR(GOOGLEFINANCE(A1365,""priceopen""),"""")"),1550.0)</f>
        <v>1550</v>
      </c>
      <c r="X1365" s="22">
        <f>IFERROR(__xludf.DUMMYFUNCTION("IFERROR(GOOGLEFINANCE(A1365,""high""),"""")"),1560.0)</f>
        <v>1560</v>
      </c>
      <c r="Y1365" s="22">
        <f>IFERROR(__xludf.DUMMYFUNCTION("IFERROR(GOOGLEFINANCE(A1365,""low""),"""")"),1510.0)</f>
        <v>1510</v>
      </c>
      <c r="Z1365" s="22" t="str">
        <f>IFERROR(__xludf.DUMMYFUNCTION("IFERROR(GOOGLEFINANCE(A1365,""volume""),"""")"),"")</f>
        <v/>
      </c>
      <c r="AA1365" s="24" t="str">
        <f>VLOOKUP(A1365,Metrik!$C$2:$Y$959,5,0)</f>
        <v>Oil &amp; Gas</v>
      </c>
      <c r="AB1365" s="24" t="str">
        <f>VLOOKUP(A1365,Metrik!$C$2:$Y$959,3,0)</f>
        <v>Energy</v>
      </c>
    </row>
    <row r="1366">
      <c r="A1366" s="14" t="s">
        <v>739</v>
      </c>
      <c r="B1366" s="14" t="str">
        <f t="array" ref="B1366">VLOOKUP(A1366,{Metrik!$C$2:$C$998,Metrik!$B$2:$B$998},2,0)</f>
        <v>Perusahaan Gas Negara (Persero) Tbk.</v>
      </c>
      <c r="C1366" s="15">
        <f>IFERROR(__xludf.DUMMYFUNCTION("GOOGLEFINANCE(""IDX:""&amp;A1366,""price"")"),1530.0)</f>
        <v>1530</v>
      </c>
      <c r="D1366" s="16" t="str">
        <f>IFERROR(__xludf.DUMMYFUNCTION("IF(A1366="""","""",
SPARKLINE(
INDEX(
GOOGLEFINANCE(""IDX:""&amp;A1366,""close"",TODAY()-365,TODAY()),
,2
),
{""linewidth"",1}
))
"),"#N/A")</f>
        <v>#N/A</v>
      </c>
      <c r="E1366" s="14" t="s">
        <v>85</v>
      </c>
      <c r="F1366" s="17" t="s">
        <v>51</v>
      </c>
      <c r="G1366" s="24">
        <f t="shared" si="8"/>
        <v>22</v>
      </c>
      <c r="H1366" s="19">
        <f>VLOOKUP(A1366,Metrik!$C$2:$Y$959,8,0)</f>
        <v>10.7</v>
      </c>
      <c r="I1366" s="20">
        <f>VLOOKUP(A1366,Metrik!$C$2:$Y$959,9,0)</f>
        <v>0.7</v>
      </c>
      <c r="J1366" s="20">
        <f>VLOOKUP(A1366,Metrik!$C$2:$Y$959,10,0)</f>
        <v>6.5</v>
      </c>
      <c r="K1366" s="20">
        <f>VLOOKUP(A1366,Metrik!$C$2:$Y$959,11,0)</f>
        <v>3.9</v>
      </c>
      <c r="L1366" s="20">
        <f>VLOOKUP(A1366,Metrik!$C$2:$Y$959,12,0)</f>
        <v>0.66</v>
      </c>
      <c r="M1366" s="20">
        <f>VLOOKUP(A1366,Metrik!$C$2:$Y$959,19,0)</f>
        <v>26.1</v>
      </c>
      <c r="N1366" s="21"/>
      <c r="O1366" s="21"/>
      <c r="P1366" s="21"/>
      <c r="Q1366" s="21"/>
      <c r="R1366" s="21"/>
      <c r="S1366" s="21"/>
      <c r="T1366" s="21"/>
      <c r="U1366" s="22">
        <f>IFERROR(__xludf.DUMMYFUNCTION("IFERROR(GOOGLEFINANCE(A1366,""closeyest""),"""")"),1500.0)</f>
        <v>1500</v>
      </c>
      <c r="V1366" s="23">
        <f>IFERROR(__xludf.DUMMYFUNCTION("IFERROR(GOOGLEFINANCE(A1366,""changepct""),"""")"),2.0)</f>
        <v>2</v>
      </c>
      <c r="W1366" s="22">
        <f>IFERROR(__xludf.DUMMYFUNCTION("IFERROR(GOOGLEFINANCE(A1366,""priceopen""),"""")"),1550.0)</f>
        <v>1550</v>
      </c>
      <c r="X1366" s="22">
        <f>IFERROR(__xludf.DUMMYFUNCTION("IFERROR(GOOGLEFINANCE(A1366,""high""),"""")"),1560.0)</f>
        <v>1560</v>
      </c>
      <c r="Y1366" s="22">
        <f>IFERROR(__xludf.DUMMYFUNCTION("IFERROR(GOOGLEFINANCE(A1366,""low""),"""")"),1510.0)</f>
        <v>1510</v>
      </c>
      <c r="Z1366" s="22" t="str">
        <f>IFERROR(__xludf.DUMMYFUNCTION("IFERROR(GOOGLEFINANCE(A1366,""volume""),"""")"),"")</f>
        <v/>
      </c>
      <c r="AA1366" s="24" t="str">
        <f>VLOOKUP(A1366,Metrik!$C$2:$Y$959,5,0)</f>
        <v>Oil &amp; Gas</v>
      </c>
      <c r="AB1366" s="24" t="str">
        <f>VLOOKUP(A1366,Metrik!$C$2:$Y$959,3,0)</f>
        <v>Energy</v>
      </c>
    </row>
    <row r="1367">
      <c r="A1367" s="14" t="s">
        <v>739</v>
      </c>
      <c r="B1367" s="14" t="str">
        <f t="array" ref="B1367">VLOOKUP(A1367,{Metrik!$C$2:$C$998,Metrik!$B$2:$B$998},2,0)</f>
        <v>Perusahaan Gas Negara (Persero) Tbk.</v>
      </c>
      <c r="C1367" s="15">
        <f>IFERROR(__xludf.DUMMYFUNCTION("GOOGLEFINANCE(""IDX:""&amp;A1367,""price"")"),1530.0)</f>
        <v>1530</v>
      </c>
      <c r="D1367" s="16" t="str">
        <f>IFERROR(__xludf.DUMMYFUNCTION("IF(A1367="""","""",
SPARKLINE(
INDEX(
GOOGLEFINANCE(""IDX:""&amp;A1367,""close"",TODAY()-365,TODAY()),
,2
),
{""linewidth"",1}
))
"),"#N/A")</f>
        <v>#N/A</v>
      </c>
      <c r="E1367" s="14" t="s">
        <v>102</v>
      </c>
      <c r="F1367" s="27" t="s">
        <v>53</v>
      </c>
      <c r="G1367" s="24">
        <f t="shared" si="8"/>
        <v>22</v>
      </c>
      <c r="H1367" s="19">
        <f>VLOOKUP(A1367,Metrik!$C$2:$Y$959,8,0)</f>
        <v>10.7</v>
      </c>
      <c r="I1367" s="20">
        <f>VLOOKUP(A1367,Metrik!$C$2:$Y$959,9,0)</f>
        <v>0.7</v>
      </c>
      <c r="J1367" s="20">
        <f>VLOOKUP(A1367,Metrik!$C$2:$Y$959,10,0)</f>
        <v>6.5</v>
      </c>
      <c r="K1367" s="20">
        <f>VLOOKUP(A1367,Metrik!$C$2:$Y$959,11,0)</f>
        <v>3.9</v>
      </c>
      <c r="L1367" s="20">
        <f>VLOOKUP(A1367,Metrik!$C$2:$Y$959,12,0)</f>
        <v>0.66</v>
      </c>
      <c r="M1367" s="20">
        <f>VLOOKUP(A1367,Metrik!$C$2:$Y$959,19,0)</f>
        <v>26.1</v>
      </c>
      <c r="N1367" s="21"/>
      <c r="O1367" s="21"/>
      <c r="P1367" s="21"/>
      <c r="Q1367" s="21"/>
      <c r="R1367" s="21"/>
      <c r="S1367" s="21"/>
      <c r="T1367" s="21"/>
      <c r="U1367" s="22">
        <f>IFERROR(__xludf.DUMMYFUNCTION("IFERROR(GOOGLEFINANCE(A1367,""closeyest""),"""")"),1500.0)</f>
        <v>1500</v>
      </c>
      <c r="V1367" s="23">
        <f>IFERROR(__xludf.DUMMYFUNCTION("IFERROR(GOOGLEFINANCE(A1367,""changepct""),"""")"),2.0)</f>
        <v>2</v>
      </c>
      <c r="W1367" s="22">
        <f>IFERROR(__xludf.DUMMYFUNCTION("IFERROR(GOOGLEFINANCE(A1367,""priceopen""),"""")"),1550.0)</f>
        <v>1550</v>
      </c>
      <c r="X1367" s="22">
        <f>IFERROR(__xludf.DUMMYFUNCTION("IFERROR(GOOGLEFINANCE(A1367,""high""),"""")"),1560.0)</f>
        <v>1560</v>
      </c>
      <c r="Y1367" s="22">
        <f>IFERROR(__xludf.DUMMYFUNCTION("IFERROR(GOOGLEFINANCE(A1367,""low""),"""")"),1510.0)</f>
        <v>1510</v>
      </c>
      <c r="Z1367" s="22" t="str">
        <f>IFERROR(__xludf.DUMMYFUNCTION("IFERROR(GOOGLEFINANCE(A1367,""volume""),"""")"),"")</f>
        <v/>
      </c>
      <c r="AA1367" s="24" t="str">
        <f>VLOOKUP(A1367,Metrik!$C$2:$Y$959,5,0)</f>
        <v>Oil &amp; Gas</v>
      </c>
      <c r="AB1367" s="24" t="str">
        <f>VLOOKUP(A1367,Metrik!$C$2:$Y$959,3,0)</f>
        <v>Energy</v>
      </c>
    </row>
    <row r="1368">
      <c r="A1368" s="14" t="s">
        <v>739</v>
      </c>
      <c r="B1368" s="14" t="str">
        <f t="array" ref="B1368">VLOOKUP(A1368,{Metrik!$C$2:$C$998,Metrik!$B$2:$B$998},2,0)</f>
        <v>Perusahaan Gas Negara (Persero) Tbk.</v>
      </c>
      <c r="C1368" s="15">
        <f>IFERROR(__xludf.DUMMYFUNCTION("GOOGLEFINANCE(""IDX:""&amp;A1368,""price"")"),1530.0)</f>
        <v>1530</v>
      </c>
      <c r="D1368" s="16" t="str">
        <f>IFERROR(__xludf.DUMMYFUNCTION("IF(A1368="""","""",
SPARKLINE(
INDEX(
GOOGLEFINANCE(""IDX:""&amp;A1368,""close"",TODAY()-365,TODAY()),
,2
),
{""linewidth"",1}
))
"),"#N/A")</f>
        <v>#N/A</v>
      </c>
      <c r="E1368" s="14" t="s">
        <v>41</v>
      </c>
      <c r="F1368" s="14" t="s">
        <v>34</v>
      </c>
      <c r="G1368" s="24">
        <f t="shared" si="8"/>
        <v>22</v>
      </c>
      <c r="H1368" s="19">
        <f>VLOOKUP(A1368,Metrik!$C$2:$Y$959,8,0)</f>
        <v>10.7</v>
      </c>
      <c r="I1368" s="20">
        <f>VLOOKUP(A1368,Metrik!$C$2:$Y$959,9,0)</f>
        <v>0.7</v>
      </c>
      <c r="J1368" s="20">
        <f>VLOOKUP(A1368,Metrik!$C$2:$Y$959,10,0)</f>
        <v>6.5</v>
      </c>
      <c r="K1368" s="20">
        <f>VLOOKUP(A1368,Metrik!$C$2:$Y$959,11,0)</f>
        <v>3.9</v>
      </c>
      <c r="L1368" s="20">
        <f>VLOOKUP(A1368,Metrik!$C$2:$Y$959,12,0)</f>
        <v>0.66</v>
      </c>
      <c r="M1368" s="20">
        <f>VLOOKUP(A1368,Metrik!$C$2:$Y$959,19,0)</f>
        <v>26.1</v>
      </c>
      <c r="N1368" s="21"/>
      <c r="O1368" s="21"/>
      <c r="P1368" s="21"/>
      <c r="Q1368" s="21"/>
      <c r="R1368" s="21"/>
      <c r="S1368" s="21"/>
      <c r="T1368" s="21"/>
      <c r="U1368" s="22">
        <f>IFERROR(__xludf.DUMMYFUNCTION("IFERROR(GOOGLEFINANCE(A1368,""closeyest""),"""")"),1500.0)</f>
        <v>1500</v>
      </c>
      <c r="V1368" s="23">
        <f>IFERROR(__xludf.DUMMYFUNCTION("IFERROR(GOOGLEFINANCE(A1368,""changepct""),"""")"),2.0)</f>
        <v>2</v>
      </c>
      <c r="W1368" s="22">
        <f>IFERROR(__xludf.DUMMYFUNCTION("IFERROR(GOOGLEFINANCE(A1368,""priceopen""),"""")"),1550.0)</f>
        <v>1550</v>
      </c>
      <c r="X1368" s="22">
        <f>IFERROR(__xludf.DUMMYFUNCTION("IFERROR(GOOGLEFINANCE(A1368,""high""),"""")"),1560.0)</f>
        <v>1560</v>
      </c>
      <c r="Y1368" s="22">
        <f>IFERROR(__xludf.DUMMYFUNCTION("IFERROR(GOOGLEFINANCE(A1368,""low""),"""")"),1510.0)</f>
        <v>1510</v>
      </c>
      <c r="Z1368" s="22" t="str">
        <f>IFERROR(__xludf.DUMMYFUNCTION("IFERROR(GOOGLEFINANCE(A1368,""volume""),"""")"),"")</f>
        <v/>
      </c>
      <c r="AA1368" s="24" t="str">
        <f>VLOOKUP(A1368,Metrik!$C$2:$Y$959,5,0)</f>
        <v>Oil &amp; Gas</v>
      </c>
      <c r="AB1368" s="24" t="str">
        <f>VLOOKUP(A1368,Metrik!$C$2:$Y$959,3,0)</f>
        <v>Energy</v>
      </c>
    </row>
    <row r="1369">
      <c r="A1369" s="17" t="s">
        <v>739</v>
      </c>
      <c r="B1369" s="14" t="str">
        <f t="array" ref="B1369">VLOOKUP(A1369,{Metrik!$C$2:$C$998,Metrik!$B$2:$B$998},2,0)</f>
        <v>Perusahaan Gas Negara (Persero) Tbk.</v>
      </c>
      <c r="C1369" s="15">
        <f>IFERROR(__xludf.DUMMYFUNCTION("GOOGLEFINANCE(""IDX:""&amp;A1369,""price"")"),1530.0)</f>
        <v>1530</v>
      </c>
      <c r="D1369" s="16" t="str">
        <f>IFERROR(__xludf.DUMMYFUNCTION("IF(A1369="""","""",
SPARKLINE(
INDEX(
GOOGLEFINANCE(""IDX:""&amp;A1369,""close"",TODAY()-365,TODAY()),
,2
),
{""linewidth"",1}
))
"),"#N/A")</f>
        <v>#N/A</v>
      </c>
      <c r="E1369" s="14" t="s">
        <v>67</v>
      </c>
      <c r="F1369" s="17" t="s">
        <v>51</v>
      </c>
      <c r="G1369" s="33">
        <f>COUNTIFS($B$2:$B$1931,B1369,$E$2:$E$1931,"&lt;&gt;")</f>
        <v>22</v>
      </c>
      <c r="H1369" s="19">
        <f>VLOOKUP(A1369,Metrik!$C$2:$Y$959,8,0)</f>
        <v>10.7</v>
      </c>
      <c r="I1369" s="20">
        <f>VLOOKUP(A1369,Metrik!$C$2:$Y$959,9,0)</f>
        <v>0.7</v>
      </c>
      <c r="J1369" s="20">
        <f>VLOOKUP(A1369,Metrik!$C$2:$Y$959,10,0)</f>
        <v>6.5</v>
      </c>
      <c r="K1369" s="20">
        <f>VLOOKUP(A1369,Metrik!$C$2:$Y$959,11,0)</f>
        <v>3.9</v>
      </c>
      <c r="L1369" s="20">
        <f>VLOOKUP(A1369,Metrik!$C$2:$Y$959,12,0)</f>
        <v>0.66</v>
      </c>
      <c r="M1369" s="20">
        <f>VLOOKUP(A1369,Metrik!$C$2:$Y$959,19,0)</f>
        <v>26.1</v>
      </c>
      <c r="N1369" s="46"/>
      <c r="O1369" s="46"/>
      <c r="P1369" s="46"/>
      <c r="Q1369" s="46"/>
      <c r="R1369" s="46"/>
      <c r="S1369" s="46"/>
      <c r="T1369" s="46"/>
      <c r="U1369" s="22">
        <f>IFERROR(__xludf.DUMMYFUNCTION("IFERROR(GOOGLEFINANCE(A1369,""closeyest""),"""")"),1500.0)</f>
        <v>1500</v>
      </c>
      <c r="V1369" s="23">
        <f>IFERROR(__xludf.DUMMYFUNCTION("IFERROR(GOOGLEFINANCE(A1369,""changepct""),"""")"),2.0)</f>
        <v>2</v>
      </c>
      <c r="W1369" s="22">
        <f>IFERROR(__xludf.DUMMYFUNCTION("IFERROR(GOOGLEFINANCE(A1369,""priceopen""),"""")"),1550.0)</f>
        <v>1550</v>
      </c>
      <c r="X1369" s="22">
        <f>IFERROR(__xludf.DUMMYFUNCTION("IFERROR(GOOGLEFINANCE(A1369,""high""),"""")"),1560.0)</f>
        <v>1560</v>
      </c>
      <c r="Y1369" s="22">
        <f>IFERROR(__xludf.DUMMYFUNCTION("IFERROR(GOOGLEFINANCE(A1369,""low""),"""")"),1510.0)</f>
        <v>1510</v>
      </c>
      <c r="Z1369" s="22" t="str">
        <f>IFERROR(__xludf.DUMMYFUNCTION("IFERROR(GOOGLEFINANCE(A1369,""volume""),"""")"),"")</f>
        <v/>
      </c>
      <c r="AA1369" s="24" t="str">
        <f>VLOOKUP(A1369,Metrik!$C$2:$Y$959,5,0)</f>
        <v>Oil &amp; Gas</v>
      </c>
      <c r="AB1369" s="24" t="str">
        <f>VLOOKUP(A1369,Metrik!$C$2:$Y$959,3,0)</f>
        <v>Energy</v>
      </c>
    </row>
    <row r="1370">
      <c r="A1370" s="48" t="s">
        <v>739</v>
      </c>
      <c r="B1370" s="14" t="str">
        <f t="array" ref="B1370">VLOOKUP(A1370,{Metrik!$C$2:$C$998,Metrik!$B$2:$B$998},2,0)</f>
        <v>Perusahaan Gas Negara (Persero) Tbk.</v>
      </c>
      <c r="C1370" s="15">
        <f>IFERROR(__xludf.DUMMYFUNCTION("GOOGLEFINANCE(""IDX:""&amp;A1370,""price"")"),1530.0)</f>
        <v>1530</v>
      </c>
      <c r="D1370" s="16" t="str">
        <f>IFERROR(__xludf.DUMMYFUNCTION("IF(A1370="""","""",
SPARKLINE(
INDEX(
GOOGLEFINANCE(""IDX:""&amp;A1370,""close"",TODAY()-365,TODAY()),
,2
),
{""linewidth"",1}
))
"),"#N/A")</f>
        <v>#N/A</v>
      </c>
      <c r="E1370" s="17" t="s">
        <v>69</v>
      </c>
      <c r="F1370" s="17" t="s">
        <v>70</v>
      </c>
      <c r="G1370" s="24">
        <f t="shared" ref="G1370:G1673" si="9">COUNTIFS($B$2:$B$1937,B1370,$E$2:$E$1937,"&lt;&gt;")</f>
        <v>22</v>
      </c>
      <c r="H1370" s="19">
        <f>VLOOKUP(A1370,Metrik!$C$2:$Y$959,8,0)</f>
        <v>10.7</v>
      </c>
      <c r="I1370" s="20">
        <f>VLOOKUP(A1370,Metrik!$C$2:$Y$959,9,0)</f>
        <v>0.7</v>
      </c>
      <c r="J1370" s="20">
        <f>VLOOKUP(A1370,Metrik!$C$2:$Y$959,10,0)</f>
        <v>6.5</v>
      </c>
      <c r="K1370" s="20">
        <f>VLOOKUP(A1370,Metrik!$C$2:$Y$959,11,0)</f>
        <v>3.9</v>
      </c>
      <c r="L1370" s="20">
        <f>VLOOKUP(A1370,Metrik!$C$2:$Y$959,12,0)</f>
        <v>0.66</v>
      </c>
      <c r="M1370" s="20">
        <f>VLOOKUP(A1370,Metrik!$C$2:$Y$959,19,0)</f>
        <v>26.1</v>
      </c>
      <c r="N1370" s="21"/>
      <c r="O1370" s="21"/>
      <c r="P1370" s="21"/>
      <c r="Q1370" s="21"/>
      <c r="R1370" s="21"/>
      <c r="S1370" s="21"/>
      <c r="T1370" s="21"/>
      <c r="U1370" s="22">
        <f>IFERROR(__xludf.DUMMYFUNCTION("IFERROR(GOOGLEFINANCE(A1370,""closeyest""),"""")"),1500.0)</f>
        <v>1500</v>
      </c>
      <c r="V1370" s="23">
        <f>IFERROR(__xludf.DUMMYFUNCTION("IFERROR(GOOGLEFINANCE(A1370,""changepct""),"""")"),2.0)</f>
        <v>2</v>
      </c>
      <c r="W1370" s="22">
        <f>IFERROR(__xludf.DUMMYFUNCTION("IFERROR(GOOGLEFINANCE(A1370,""priceopen""),"""")"),1550.0)</f>
        <v>1550</v>
      </c>
      <c r="X1370" s="22">
        <f>IFERROR(__xludf.DUMMYFUNCTION("IFERROR(GOOGLEFINANCE(A1370,""high""),"""")"),1560.0)</f>
        <v>1560</v>
      </c>
      <c r="Y1370" s="22">
        <f>IFERROR(__xludf.DUMMYFUNCTION("IFERROR(GOOGLEFINANCE(A1370,""low""),"""")"),1510.0)</f>
        <v>1510</v>
      </c>
      <c r="Z1370" s="22" t="str">
        <f>IFERROR(__xludf.DUMMYFUNCTION("IFERROR(GOOGLEFINANCE(A1370,""volume""),"""")"),"")</f>
        <v/>
      </c>
      <c r="AA1370" s="24" t="str">
        <f>VLOOKUP(A1370,Metrik!$C$2:$Y$959,5,0)</f>
        <v>Oil &amp; Gas</v>
      </c>
      <c r="AB1370" s="24" t="str">
        <f>VLOOKUP(A1370,Metrik!$C$2:$Y$959,3,0)</f>
        <v>Energy</v>
      </c>
    </row>
    <row r="1371">
      <c r="A1371" s="17" t="s">
        <v>739</v>
      </c>
      <c r="B1371" s="14" t="str">
        <f t="array" ref="B1371">VLOOKUP(A1371,{Metrik!$C$2:$C$998,Metrik!$B$2:$B$998},2,0)</f>
        <v>Perusahaan Gas Negara (Persero) Tbk.</v>
      </c>
      <c r="C1371" s="15">
        <f>IFERROR(__xludf.DUMMYFUNCTION("GOOGLEFINANCE(""IDX:""&amp;A1371,""price"")"),1530.0)</f>
        <v>1530</v>
      </c>
      <c r="D1371" s="16" t="str">
        <f>IFERROR(__xludf.DUMMYFUNCTION("IF(A1371="""","""",
SPARKLINE(
INDEX(
GOOGLEFINANCE(""IDX:""&amp;A1371,""close"",TODAY()-365,TODAY()),
,2
),
{""linewidth"",1}
))
"),"#N/A")</f>
        <v>#N/A</v>
      </c>
      <c r="E1371" s="14" t="s">
        <v>35</v>
      </c>
      <c r="F1371" s="17" t="s">
        <v>36</v>
      </c>
      <c r="G1371" s="38">
        <f t="shared" si="9"/>
        <v>22</v>
      </c>
      <c r="H1371" s="34">
        <f>VLOOKUP(A1371,Metrik!$C$2:$Y$959,8,0)</f>
        <v>10.7</v>
      </c>
      <c r="I1371" s="34">
        <f>VLOOKUP(A1371,Metrik!$C$2:$Y$959,9,0)</f>
        <v>0.7</v>
      </c>
      <c r="J1371" s="34">
        <f>VLOOKUP(A1371,Metrik!$C$2:$Y$959,10,0)</f>
        <v>6.5</v>
      </c>
      <c r="K1371" s="34">
        <f>VLOOKUP(A1371,Metrik!$C$2:$Y$959,11,0)</f>
        <v>3.9</v>
      </c>
      <c r="L1371" s="34">
        <f>VLOOKUP(A1371,Metrik!$C$2:$Y$959,12,0)</f>
        <v>0.66</v>
      </c>
      <c r="M1371" s="34">
        <f>VLOOKUP(A1371,Metrik!$C$2:$Y$959,19,0)</f>
        <v>26.1</v>
      </c>
      <c r="N1371" s="45">
        <v>5.4</v>
      </c>
      <c r="O1371" s="45">
        <v>23.2</v>
      </c>
      <c r="P1371" s="45">
        <v>83.0</v>
      </c>
      <c r="Q1371" s="45">
        <v>1.9</v>
      </c>
      <c r="R1371" s="45">
        <v>65.9</v>
      </c>
      <c r="S1371" s="45">
        <v>42.4</v>
      </c>
      <c r="T1371" s="45">
        <v>5.9</v>
      </c>
      <c r="U1371" s="35">
        <f>IFERROR(__xludf.DUMMYFUNCTION("IFERROR(GOOGLEFINANCE(A1371,""closeyest""),"""")"),1500.0)</f>
        <v>1500</v>
      </c>
      <c r="V1371" s="36">
        <f>IFERROR(__xludf.DUMMYFUNCTION("IFERROR(GOOGLEFINANCE(A1371,""changepct""),"""")"),2.0)</f>
        <v>2</v>
      </c>
      <c r="W1371" s="49">
        <f>IFERROR(__xludf.DUMMYFUNCTION("IFERROR(GOOGLEFINANCE(A1371,""priceopen""),"""")"),1550.0)</f>
        <v>1550</v>
      </c>
      <c r="X1371" s="35">
        <f>IFERROR(__xludf.DUMMYFUNCTION("IFERROR(GOOGLEFINANCE(A1371,""high""),"""")"),1560.0)</f>
        <v>1560</v>
      </c>
      <c r="Y1371" s="35">
        <f>IFERROR(__xludf.DUMMYFUNCTION("IFERROR(GOOGLEFINANCE(A1371,""low""),"""")"),1510.0)</f>
        <v>1510</v>
      </c>
      <c r="Z1371" s="35" t="str">
        <f>IFERROR(__xludf.DUMMYFUNCTION("IFERROR(GOOGLEFINANCE(A1371,""volume""),"""")"),"")</f>
        <v/>
      </c>
      <c r="AA1371" s="14" t="str">
        <f>VLOOKUP(A1371,Metrik!$C$2:$Y$959,5,0)</f>
        <v>Oil &amp; Gas</v>
      </c>
      <c r="AB1371" s="14" t="str">
        <f>VLOOKUP(A1371,Metrik!$C$2:$Y$959,3,0)</f>
        <v>Energy</v>
      </c>
    </row>
    <row r="1372">
      <c r="A1372" s="14" t="s">
        <v>739</v>
      </c>
      <c r="B1372" s="14" t="str">
        <f t="array" ref="B1372">VLOOKUP(A1372,{Metrik!$C$2:$C$998,Metrik!$B$2:$B$998},2,0)</f>
        <v>Perusahaan Gas Negara (Persero) Tbk.</v>
      </c>
      <c r="C1372" s="15">
        <f>IFERROR(__xludf.DUMMYFUNCTION("GOOGLEFINANCE(""IDX:""&amp;A1372,""price"")"),1530.0)</f>
        <v>1530</v>
      </c>
      <c r="D1372" s="16" t="str">
        <f>IFERROR(__xludf.DUMMYFUNCTION("IF(A1372="""","""",
SPARKLINE(
INDEX(
GOOGLEFINANCE(""IDX:""&amp;A1372,""close"",TODAY()-365,TODAY()),
,2
),
{""linewidth"",1}
))
"),"#N/A")</f>
        <v>#N/A</v>
      </c>
      <c r="E1372" s="14" t="s">
        <v>86</v>
      </c>
      <c r="F1372" s="25">
        <v>46356.0</v>
      </c>
      <c r="G1372" s="24">
        <f t="shared" si="9"/>
        <v>22</v>
      </c>
      <c r="H1372" s="19">
        <f>VLOOKUP(A1372,Metrik!$C$2:$Y$959,8,0)</f>
        <v>10.7</v>
      </c>
      <c r="I1372" s="20">
        <f>VLOOKUP(A1372,Metrik!$C$2:$Y$959,9,0)</f>
        <v>0.7</v>
      </c>
      <c r="J1372" s="20">
        <f>VLOOKUP(A1372,Metrik!$C$2:$Y$959,10,0)</f>
        <v>6.5</v>
      </c>
      <c r="K1372" s="20">
        <f>VLOOKUP(A1372,Metrik!$C$2:$Y$959,11,0)</f>
        <v>3.9</v>
      </c>
      <c r="L1372" s="20">
        <f>VLOOKUP(A1372,Metrik!$C$2:$Y$959,12,0)</f>
        <v>0.66</v>
      </c>
      <c r="M1372" s="20">
        <f>VLOOKUP(A1372,Metrik!$C$2:$Y$959,19,0)</f>
        <v>26.1</v>
      </c>
      <c r="N1372" s="21"/>
      <c r="O1372" s="21"/>
      <c r="P1372" s="21"/>
      <c r="Q1372" s="21"/>
      <c r="R1372" s="21"/>
      <c r="S1372" s="21"/>
      <c r="T1372" s="21"/>
      <c r="U1372" s="22">
        <f>IFERROR(__xludf.DUMMYFUNCTION("IFERROR(GOOGLEFINANCE(A1372,""closeyest""),"""")"),1500.0)</f>
        <v>1500</v>
      </c>
      <c r="V1372" s="23">
        <f>IFERROR(__xludf.DUMMYFUNCTION("IFERROR(GOOGLEFINANCE(A1372,""changepct""),"""")"),2.0)</f>
        <v>2</v>
      </c>
      <c r="W1372" s="22">
        <f>IFERROR(__xludf.DUMMYFUNCTION("IFERROR(GOOGLEFINANCE(A1372,""priceopen""),"""")"),1550.0)</f>
        <v>1550</v>
      </c>
      <c r="X1372" s="22">
        <f>IFERROR(__xludf.DUMMYFUNCTION("IFERROR(GOOGLEFINANCE(A1372,""high""),"""")"),1560.0)</f>
        <v>1560</v>
      </c>
      <c r="Y1372" s="22">
        <f>IFERROR(__xludf.DUMMYFUNCTION("IFERROR(GOOGLEFINANCE(A1372,""low""),"""")"),1510.0)</f>
        <v>1510</v>
      </c>
      <c r="Z1372" s="22" t="str">
        <f>IFERROR(__xludf.DUMMYFUNCTION("IFERROR(GOOGLEFINANCE(A1372,""volume""),"""")"),"")</f>
        <v/>
      </c>
      <c r="AA1372" s="24" t="str">
        <f>VLOOKUP(A1372,Metrik!$C$2:$Y$959,5,0)</f>
        <v>Oil &amp; Gas</v>
      </c>
      <c r="AB1372" s="24" t="str">
        <f>VLOOKUP(A1372,Metrik!$C$2:$Y$959,3,0)</f>
        <v>Energy</v>
      </c>
    </row>
    <row r="1373">
      <c r="A1373" s="14" t="s">
        <v>739</v>
      </c>
      <c r="B1373" s="14" t="str">
        <f t="array" ref="B1373">VLOOKUP(A1373,{Metrik!$C$2:$C$998,Metrik!$B$2:$B$998},2,0)</f>
        <v>Perusahaan Gas Negara (Persero) Tbk.</v>
      </c>
      <c r="C1373" s="15">
        <f>IFERROR(__xludf.DUMMYFUNCTION("GOOGLEFINANCE(""IDX:""&amp;A1373,""price"")"),1530.0)</f>
        <v>1530</v>
      </c>
      <c r="D1373" s="16" t="str">
        <f>IFERROR(__xludf.DUMMYFUNCTION("IF(A1373="""","""",
SPARKLINE(
INDEX(
GOOGLEFINANCE(""IDX:""&amp;A1373,""close"",TODAY()-365,TODAY()),
,2
),
{""linewidth"",1}
))
"),"#N/A")</f>
        <v>#N/A</v>
      </c>
      <c r="E1373" s="14" t="s">
        <v>39</v>
      </c>
      <c r="F1373" s="25">
        <v>46356.0</v>
      </c>
      <c r="G1373" s="24">
        <f t="shared" si="9"/>
        <v>22</v>
      </c>
      <c r="H1373" s="19">
        <f>VLOOKUP(A1373,Metrik!$C$2:$Y$959,8,0)</f>
        <v>10.7</v>
      </c>
      <c r="I1373" s="20">
        <f>VLOOKUP(A1373,Metrik!$C$2:$Y$959,9,0)</f>
        <v>0.7</v>
      </c>
      <c r="J1373" s="20">
        <f>VLOOKUP(A1373,Metrik!$C$2:$Y$959,10,0)</f>
        <v>6.5</v>
      </c>
      <c r="K1373" s="20">
        <f>VLOOKUP(A1373,Metrik!$C$2:$Y$959,11,0)</f>
        <v>3.9</v>
      </c>
      <c r="L1373" s="20">
        <f>VLOOKUP(A1373,Metrik!$C$2:$Y$959,12,0)</f>
        <v>0.66</v>
      </c>
      <c r="M1373" s="20">
        <f>VLOOKUP(A1373,Metrik!$C$2:$Y$959,19,0)</f>
        <v>26.1</v>
      </c>
      <c r="N1373" s="21"/>
      <c r="O1373" s="21"/>
      <c r="P1373" s="21"/>
      <c r="Q1373" s="21"/>
      <c r="R1373" s="21"/>
      <c r="S1373" s="21"/>
      <c r="T1373" s="21"/>
      <c r="U1373" s="22">
        <f>IFERROR(__xludf.DUMMYFUNCTION("IFERROR(GOOGLEFINANCE(A1373,""closeyest""),"""")"),1500.0)</f>
        <v>1500</v>
      </c>
      <c r="V1373" s="23">
        <f>IFERROR(__xludf.DUMMYFUNCTION("IFERROR(GOOGLEFINANCE(A1373,""changepct""),"""")"),2.0)</f>
        <v>2</v>
      </c>
      <c r="W1373" s="22">
        <f>IFERROR(__xludf.DUMMYFUNCTION("IFERROR(GOOGLEFINANCE(A1373,""priceopen""),"""")"),1550.0)</f>
        <v>1550</v>
      </c>
      <c r="X1373" s="22">
        <f>IFERROR(__xludf.DUMMYFUNCTION("IFERROR(GOOGLEFINANCE(A1373,""high""),"""")"),1560.0)</f>
        <v>1560</v>
      </c>
      <c r="Y1373" s="22">
        <f>IFERROR(__xludf.DUMMYFUNCTION("IFERROR(GOOGLEFINANCE(A1373,""low""),"""")"),1510.0)</f>
        <v>1510</v>
      </c>
      <c r="Z1373" s="22" t="str">
        <f>IFERROR(__xludf.DUMMYFUNCTION("IFERROR(GOOGLEFINANCE(A1373,""volume""),"""")"),"")</f>
        <v/>
      </c>
      <c r="AA1373" s="24" t="str">
        <f>VLOOKUP(A1373,Metrik!$C$2:$Y$959,5,0)</f>
        <v>Oil &amp; Gas</v>
      </c>
      <c r="AB1373" s="24" t="str">
        <f>VLOOKUP(A1373,Metrik!$C$2:$Y$959,3,0)</f>
        <v>Energy</v>
      </c>
    </row>
    <row r="1374">
      <c r="A1374" s="14" t="s">
        <v>740</v>
      </c>
      <c r="B1374" s="14" t="str">
        <f t="array" ref="B1374">VLOOKUP(A1374,{Metrik!$C$2:$C$998,Metrik!$B$2:$B$998},2,0)</f>
        <v>PT Pertamina Geothermal Energy Tbk</v>
      </c>
      <c r="C1374" s="15">
        <f>IFERROR(__xludf.DUMMYFUNCTION("GOOGLEFINANCE(""IDX:""&amp;A1374,""price"")"),865.0)</f>
        <v>865</v>
      </c>
      <c r="D1374" s="16" t="str">
        <f>IFERROR(__xludf.DUMMYFUNCTION("IF(A1374="""","""",
SPARKLINE(
INDEX(
GOOGLEFINANCE(""IDX:""&amp;A1374,""close"",TODAY()-365,TODAY()),
,2
),
{""linewidth"",1}
))
"),"#N/A")</f>
        <v>#N/A</v>
      </c>
      <c r="E1374" s="14" t="s">
        <v>47</v>
      </c>
      <c r="F1374" s="25">
        <v>46356.0</v>
      </c>
      <c r="G1374" s="24">
        <f t="shared" si="9"/>
        <v>13</v>
      </c>
      <c r="H1374" s="19">
        <f>VLOOKUP(A1374,Metrik!$C$2:$Y$959,8,0)</f>
        <v>14.8</v>
      </c>
      <c r="I1374" s="20">
        <f>VLOOKUP(A1374,Metrik!$C$2:$Y$959,9,0)</f>
        <v>1.1</v>
      </c>
      <c r="J1374" s="20">
        <f>VLOOKUP(A1374,Metrik!$C$2:$Y$959,10,0)</f>
        <v>7.1</v>
      </c>
      <c r="K1374" s="20">
        <f>VLOOKUP(A1374,Metrik!$C$2:$Y$959,11,0)</f>
        <v>4.9</v>
      </c>
      <c r="L1374" s="20">
        <f>VLOOKUP(A1374,Metrik!$C$2:$Y$959,12,0)</f>
        <v>0.46</v>
      </c>
      <c r="M1374" s="20">
        <f>VLOOKUP(A1374,Metrik!$C$2:$Y$959,19,0)</f>
        <v>130</v>
      </c>
      <c r="N1374" s="21"/>
      <c r="O1374" s="21"/>
      <c r="P1374" s="21"/>
      <c r="Q1374" s="21"/>
      <c r="R1374" s="21"/>
      <c r="S1374" s="21"/>
      <c r="T1374" s="21"/>
      <c r="U1374" s="22">
        <f>IFERROR(__xludf.DUMMYFUNCTION("IFERROR(GOOGLEFINANCE(A1374,""closeyest""),"""")"),825.0)</f>
        <v>825</v>
      </c>
      <c r="V1374" s="23">
        <f>IFERROR(__xludf.DUMMYFUNCTION("IFERROR(GOOGLEFINANCE(A1374,""changepct""),"""")"),4.85)</f>
        <v>4.85</v>
      </c>
      <c r="W1374" s="22" t="str">
        <f>IFERROR(__xludf.DUMMYFUNCTION("IFERROR(GOOGLEFINANCE(A1374,""priceopen""),"""")"),"")</f>
        <v/>
      </c>
      <c r="X1374" s="22">
        <f>IFERROR(__xludf.DUMMYFUNCTION("IFERROR(GOOGLEFINANCE(A1374,""high""),"""")"),875.0)</f>
        <v>875</v>
      </c>
      <c r="Y1374" s="22">
        <f>IFERROR(__xludf.DUMMYFUNCTION("IFERROR(GOOGLEFINANCE(A1374,""low""),"""")"),840.0)</f>
        <v>840</v>
      </c>
      <c r="Z1374" s="22">
        <f>IFERROR(__xludf.DUMMYFUNCTION("IFERROR(GOOGLEFINANCE(A1374,""volume""),"""")"),1.15913E7)</f>
        <v>11591300</v>
      </c>
      <c r="AA1374" s="24" t="str">
        <f>VLOOKUP(A1374,Metrik!$C$2:$Y$959,5,0)</f>
        <v>Electric Utilities</v>
      </c>
      <c r="AB1374" s="24" t="str">
        <f>VLOOKUP(A1374,Metrik!$C$2:$Y$959,3,0)</f>
        <v>Infrastructures</v>
      </c>
    </row>
    <row r="1375">
      <c r="A1375" s="14" t="s">
        <v>740</v>
      </c>
      <c r="B1375" s="14" t="str">
        <f t="array" ref="B1375">VLOOKUP(A1375,{Metrik!$C$2:$C$998,Metrik!$B$2:$B$998},2,0)</f>
        <v>PT Pertamina Geothermal Energy Tbk</v>
      </c>
      <c r="C1375" s="15">
        <f>IFERROR(__xludf.DUMMYFUNCTION("GOOGLEFINANCE(""IDX:""&amp;A1375,""price"")"),865.0)</f>
        <v>865</v>
      </c>
      <c r="D1375" s="16" t="str">
        <f>IFERROR(__xludf.DUMMYFUNCTION("IF(A1375="""","""",
SPARKLINE(
INDEX(
GOOGLEFINANCE(""IDX:""&amp;A1375,""close"",TODAY()-365,TODAY()),
,2
),
{""linewidth"",1}
))
"),"#N/A")</f>
        <v>#N/A</v>
      </c>
      <c r="E1375" s="14" t="s">
        <v>55</v>
      </c>
      <c r="F1375" s="25">
        <v>46356.0</v>
      </c>
      <c r="G1375" s="24">
        <f t="shared" si="9"/>
        <v>13</v>
      </c>
      <c r="H1375" s="19">
        <f>VLOOKUP(A1375,Metrik!$C$2:$Y$959,8,0)</f>
        <v>14.8</v>
      </c>
      <c r="I1375" s="20">
        <f>VLOOKUP(A1375,Metrik!$C$2:$Y$959,9,0)</f>
        <v>1.1</v>
      </c>
      <c r="J1375" s="20">
        <f>VLOOKUP(A1375,Metrik!$C$2:$Y$959,10,0)</f>
        <v>7.1</v>
      </c>
      <c r="K1375" s="20">
        <f>VLOOKUP(A1375,Metrik!$C$2:$Y$959,11,0)</f>
        <v>4.9</v>
      </c>
      <c r="L1375" s="20">
        <f>VLOOKUP(A1375,Metrik!$C$2:$Y$959,12,0)</f>
        <v>0.46</v>
      </c>
      <c r="M1375" s="20">
        <f>VLOOKUP(A1375,Metrik!$C$2:$Y$959,19,0)</f>
        <v>130</v>
      </c>
      <c r="N1375" s="21"/>
      <c r="O1375" s="21"/>
      <c r="P1375" s="21"/>
      <c r="Q1375" s="21"/>
      <c r="R1375" s="21"/>
      <c r="S1375" s="21"/>
      <c r="T1375" s="21"/>
      <c r="U1375" s="22">
        <f>IFERROR(__xludf.DUMMYFUNCTION("IFERROR(GOOGLEFINANCE(A1375,""closeyest""),"""")"),825.0)</f>
        <v>825</v>
      </c>
      <c r="V1375" s="23">
        <f>IFERROR(__xludf.DUMMYFUNCTION("IFERROR(GOOGLEFINANCE(A1375,""changepct""),"""")"),4.85)</f>
        <v>4.85</v>
      </c>
      <c r="W1375" s="22" t="str">
        <f>IFERROR(__xludf.DUMMYFUNCTION("IFERROR(GOOGLEFINANCE(A1375,""priceopen""),"""")"),"")</f>
        <v/>
      </c>
      <c r="X1375" s="22">
        <f>IFERROR(__xludf.DUMMYFUNCTION("IFERROR(GOOGLEFINANCE(A1375,""high""),"""")"),875.0)</f>
        <v>875</v>
      </c>
      <c r="Y1375" s="22">
        <f>IFERROR(__xludf.DUMMYFUNCTION("IFERROR(GOOGLEFINANCE(A1375,""low""),"""")"),840.0)</f>
        <v>840</v>
      </c>
      <c r="Z1375" s="22">
        <f>IFERROR(__xludf.DUMMYFUNCTION("IFERROR(GOOGLEFINANCE(A1375,""volume""),"""")"),1.15913E7)</f>
        <v>11591300</v>
      </c>
      <c r="AA1375" s="24" t="str">
        <f>VLOOKUP(A1375,Metrik!$C$2:$Y$959,5,0)</f>
        <v>Electric Utilities</v>
      </c>
      <c r="AB1375" s="24" t="str">
        <f>VLOOKUP(A1375,Metrik!$C$2:$Y$959,3,0)</f>
        <v>Infrastructures</v>
      </c>
    </row>
    <row r="1376">
      <c r="A1376" s="14" t="s">
        <v>740</v>
      </c>
      <c r="B1376" s="14" t="str">
        <f t="array" ref="B1376">VLOOKUP(A1376,{Metrik!$C$2:$C$998,Metrik!$B$2:$B$998},2,0)</f>
        <v>PT Pertamina Geothermal Energy Tbk</v>
      </c>
      <c r="C1376" s="15">
        <f>IFERROR(__xludf.DUMMYFUNCTION("GOOGLEFINANCE(""IDX:""&amp;A1376,""price"")"),865.0)</f>
        <v>865</v>
      </c>
      <c r="D1376" s="16" t="str">
        <f>IFERROR(__xludf.DUMMYFUNCTION("IF(A1376="""","""",
SPARKLINE(
INDEX(
GOOGLEFINANCE(""IDX:""&amp;A1376,""close"",TODAY()-365,TODAY()),
,2
),
{""linewidth"",1}
))
"),"#N/A")</f>
        <v>#N/A</v>
      </c>
      <c r="E1376" s="14" t="s">
        <v>54</v>
      </c>
      <c r="F1376" s="14" t="s">
        <v>34</v>
      </c>
      <c r="G1376" s="24">
        <f t="shared" si="9"/>
        <v>13</v>
      </c>
      <c r="H1376" s="19">
        <f>VLOOKUP(A1376,Metrik!$C$2:$Y$959,8,0)</f>
        <v>14.8</v>
      </c>
      <c r="I1376" s="20">
        <f>VLOOKUP(A1376,Metrik!$C$2:$Y$959,9,0)</f>
        <v>1.1</v>
      </c>
      <c r="J1376" s="20">
        <f>VLOOKUP(A1376,Metrik!$C$2:$Y$959,10,0)</f>
        <v>7.1</v>
      </c>
      <c r="K1376" s="20">
        <f>VLOOKUP(A1376,Metrik!$C$2:$Y$959,11,0)</f>
        <v>4.9</v>
      </c>
      <c r="L1376" s="20">
        <f>VLOOKUP(A1376,Metrik!$C$2:$Y$959,12,0)</f>
        <v>0.46</v>
      </c>
      <c r="M1376" s="20">
        <f>VLOOKUP(A1376,Metrik!$C$2:$Y$959,19,0)</f>
        <v>130</v>
      </c>
      <c r="N1376" s="21"/>
      <c r="O1376" s="21"/>
      <c r="P1376" s="21"/>
      <c r="Q1376" s="21"/>
      <c r="R1376" s="21"/>
      <c r="S1376" s="21"/>
      <c r="T1376" s="21"/>
      <c r="U1376" s="22">
        <f>IFERROR(__xludf.DUMMYFUNCTION("IFERROR(GOOGLEFINANCE(A1376,""closeyest""),"""")"),825.0)</f>
        <v>825</v>
      </c>
      <c r="V1376" s="23">
        <f>IFERROR(__xludf.DUMMYFUNCTION("IFERROR(GOOGLEFINANCE(A1376,""changepct""),"""")"),4.85)</f>
        <v>4.85</v>
      </c>
      <c r="W1376" s="22" t="str">
        <f>IFERROR(__xludf.DUMMYFUNCTION("IFERROR(GOOGLEFINANCE(A1376,""priceopen""),"""")"),"")</f>
        <v/>
      </c>
      <c r="X1376" s="22">
        <f>IFERROR(__xludf.DUMMYFUNCTION("IFERROR(GOOGLEFINANCE(A1376,""high""),"""")"),875.0)</f>
        <v>875</v>
      </c>
      <c r="Y1376" s="22">
        <f>IFERROR(__xludf.DUMMYFUNCTION("IFERROR(GOOGLEFINANCE(A1376,""low""),"""")"),840.0)</f>
        <v>840</v>
      </c>
      <c r="Z1376" s="22">
        <f>IFERROR(__xludf.DUMMYFUNCTION("IFERROR(GOOGLEFINANCE(A1376,""volume""),"""")"),1.15913E7)</f>
        <v>11591300</v>
      </c>
      <c r="AA1376" s="24" t="str">
        <f>VLOOKUP(A1376,Metrik!$C$2:$Y$959,5,0)</f>
        <v>Electric Utilities</v>
      </c>
      <c r="AB1376" s="24" t="str">
        <f>VLOOKUP(A1376,Metrik!$C$2:$Y$959,3,0)</f>
        <v>Infrastructures</v>
      </c>
    </row>
    <row r="1377">
      <c r="A1377" s="14" t="s">
        <v>740</v>
      </c>
      <c r="B1377" s="14" t="str">
        <f t="array" ref="B1377">VLOOKUP(A1377,{Metrik!$C$2:$C$998,Metrik!$B$2:$B$998},2,0)</f>
        <v>PT Pertamina Geothermal Energy Tbk</v>
      </c>
      <c r="C1377" s="15">
        <f>IFERROR(__xludf.DUMMYFUNCTION("GOOGLEFINANCE(""IDX:""&amp;A1377,""price"")"),865.0)</f>
        <v>865</v>
      </c>
      <c r="D1377" s="16" t="str">
        <f>IFERROR(__xludf.DUMMYFUNCTION("IF(A1377="""","""",
SPARKLINE(
INDEX(
GOOGLEFINANCE(""IDX:""&amp;A1377,""close"",TODAY()-365,TODAY()),
,2
),
{""linewidth"",1}
))
"),"#N/A")</f>
        <v>#N/A</v>
      </c>
      <c r="E1377" s="14" t="s">
        <v>61</v>
      </c>
      <c r="F1377" s="14" t="s">
        <v>34</v>
      </c>
      <c r="G1377" s="24">
        <f t="shared" si="9"/>
        <v>13</v>
      </c>
      <c r="H1377" s="19">
        <f>VLOOKUP(A1377,Metrik!$C$2:$Y$959,8,0)</f>
        <v>14.8</v>
      </c>
      <c r="I1377" s="20">
        <f>VLOOKUP(A1377,Metrik!$C$2:$Y$959,9,0)</f>
        <v>1.1</v>
      </c>
      <c r="J1377" s="20">
        <f>VLOOKUP(A1377,Metrik!$C$2:$Y$959,10,0)</f>
        <v>7.1</v>
      </c>
      <c r="K1377" s="20">
        <f>VLOOKUP(A1377,Metrik!$C$2:$Y$959,11,0)</f>
        <v>4.9</v>
      </c>
      <c r="L1377" s="20">
        <f>VLOOKUP(A1377,Metrik!$C$2:$Y$959,12,0)</f>
        <v>0.46</v>
      </c>
      <c r="M1377" s="20">
        <f>VLOOKUP(A1377,Metrik!$C$2:$Y$959,19,0)</f>
        <v>130</v>
      </c>
      <c r="N1377" s="21"/>
      <c r="O1377" s="21"/>
      <c r="P1377" s="21"/>
      <c r="Q1377" s="21"/>
      <c r="R1377" s="21"/>
      <c r="S1377" s="21"/>
      <c r="T1377" s="21"/>
      <c r="U1377" s="22">
        <f>IFERROR(__xludf.DUMMYFUNCTION("IFERROR(GOOGLEFINANCE(A1377,""closeyest""),"""")"),825.0)</f>
        <v>825</v>
      </c>
      <c r="V1377" s="23">
        <f>IFERROR(__xludf.DUMMYFUNCTION("IFERROR(GOOGLEFINANCE(A1377,""changepct""),"""")"),4.85)</f>
        <v>4.85</v>
      </c>
      <c r="W1377" s="22" t="str">
        <f>IFERROR(__xludf.DUMMYFUNCTION("IFERROR(GOOGLEFINANCE(A1377,""priceopen""),"""")"),"")</f>
        <v/>
      </c>
      <c r="X1377" s="22">
        <f>IFERROR(__xludf.DUMMYFUNCTION("IFERROR(GOOGLEFINANCE(A1377,""high""),"""")"),875.0)</f>
        <v>875</v>
      </c>
      <c r="Y1377" s="22">
        <f>IFERROR(__xludf.DUMMYFUNCTION("IFERROR(GOOGLEFINANCE(A1377,""low""),"""")"),840.0)</f>
        <v>840</v>
      </c>
      <c r="Z1377" s="22">
        <f>IFERROR(__xludf.DUMMYFUNCTION("IFERROR(GOOGLEFINANCE(A1377,""volume""),"""")"),1.15913E7)</f>
        <v>11591300</v>
      </c>
      <c r="AA1377" s="24" t="str">
        <f>VLOOKUP(A1377,Metrik!$C$2:$Y$959,5,0)</f>
        <v>Electric Utilities</v>
      </c>
      <c r="AB1377" s="24" t="str">
        <f>VLOOKUP(A1377,Metrik!$C$2:$Y$959,3,0)</f>
        <v>Infrastructures</v>
      </c>
    </row>
    <row r="1378">
      <c r="A1378" s="14" t="s">
        <v>740</v>
      </c>
      <c r="B1378" s="14" t="str">
        <f t="array" ref="B1378">VLOOKUP(A1378,{Metrik!$C$2:$C$998,Metrik!$B$2:$B$998},2,0)</f>
        <v>PT Pertamina Geothermal Energy Tbk</v>
      </c>
      <c r="C1378" s="15">
        <f>IFERROR(__xludf.DUMMYFUNCTION("GOOGLEFINANCE(""IDX:""&amp;A1378,""price"")"),865.0)</f>
        <v>865</v>
      </c>
      <c r="D1378" s="16" t="str">
        <f>IFERROR(__xludf.DUMMYFUNCTION("IF(A1378="""","""",
SPARKLINE(
INDEX(
GOOGLEFINANCE(""IDX:""&amp;A1378,""close"",TODAY()-365,TODAY()),
,2
),
{""linewidth"",1}
))
"),"#N/A")</f>
        <v>#N/A</v>
      </c>
      <c r="E1378" s="14" t="s">
        <v>30</v>
      </c>
      <c r="F1378" s="17" t="s">
        <v>29</v>
      </c>
      <c r="G1378" s="24">
        <f t="shared" si="9"/>
        <v>13</v>
      </c>
      <c r="H1378" s="19">
        <f>VLOOKUP(A1378,Metrik!$C$2:$Y$959,8,0)</f>
        <v>14.8</v>
      </c>
      <c r="I1378" s="20">
        <f>VLOOKUP(A1378,Metrik!$C$2:$Y$959,9,0)</f>
        <v>1.1</v>
      </c>
      <c r="J1378" s="20">
        <f>VLOOKUP(A1378,Metrik!$C$2:$Y$959,10,0)</f>
        <v>7.1</v>
      </c>
      <c r="K1378" s="20">
        <f>VLOOKUP(A1378,Metrik!$C$2:$Y$959,11,0)</f>
        <v>4.9</v>
      </c>
      <c r="L1378" s="20">
        <f>VLOOKUP(A1378,Metrik!$C$2:$Y$959,12,0)</f>
        <v>0.46</v>
      </c>
      <c r="M1378" s="20">
        <f>VLOOKUP(A1378,Metrik!$C$2:$Y$959,19,0)</f>
        <v>130</v>
      </c>
      <c r="N1378" s="21"/>
      <c r="O1378" s="21"/>
      <c r="P1378" s="21"/>
      <c r="Q1378" s="21"/>
      <c r="R1378" s="21"/>
      <c r="S1378" s="21"/>
      <c r="T1378" s="21"/>
      <c r="U1378" s="22">
        <f>IFERROR(__xludf.DUMMYFUNCTION("IFERROR(GOOGLEFINANCE(A1378,""closeyest""),"""")"),825.0)</f>
        <v>825</v>
      </c>
      <c r="V1378" s="23">
        <f>IFERROR(__xludf.DUMMYFUNCTION("IFERROR(GOOGLEFINANCE(A1378,""changepct""),"""")"),4.85)</f>
        <v>4.85</v>
      </c>
      <c r="W1378" s="22" t="str">
        <f>IFERROR(__xludf.DUMMYFUNCTION("IFERROR(GOOGLEFINANCE(A1378,""priceopen""),"""")"),"")</f>
        <v/>
      </c>
      <c r="X1378" s="22">
        <f>IFERROR(__xludf.DUMMYFUNCTION("IFERROR(GOOGLEFINANCE(A1378,""high""),"""")"),875.0)</f>
        <v>875</v>
      </c>
      <c r="Y1378" s="22">
        <f>IFERROR(__xludf.DUMMYFUNCTION("IFERROR(GOOGLEFINANCE(A1378,""low""),"""")"),840.0)</f>
        <v>840</v>
      </c>
      <c r="Z1378" s="22">
        <f>IFERROR(__xludf.DUMMYFUNCTION("IFERROR(GOOGLEFINANCE(A1378,""volume""),"""")"),1.15913E7)</f>
        <v>11591300</v>
      </c>
      <c r="AA1378" s="24" t="str">
        <f>VLOOKUP(A1378,Metrik!$C$2:$Y$959,5,0)</f>
        <v>Electric Utilities</v>
      </c>
      <c r="AB1378" s="24" t="str">
        <f>VLOOKUP(A1378,Metrik!$C$2:$Y$959,3,0)</f>
        <v>Infrastructures</v>
      </c>
    </row>
    <row r="1379">
      <c r="A1379" s="14" t="s">
        <v>740</v>
      </c>
      <c r="B1379" s="14" t="str">
        <f t="array" ref="B1379">VLOOKUP(A1379,{Metrik!$C$2:$C$998,Metrik!$B$2:$B$998},2,0)</f>
        <v>PT Pertamina Geothermal Energy Tbk</v>
      </c>
      <c r="C1379" s="15">
        <f>IFERROR(__xludf.DUMMYFUNCTION("GOOGLEFINANCE(""IDX:""&amp;A1379,""price"")"),865.0)</f>
        <v>865</v>
      </c>
      <c r="D1379" s="16" t="str">
        <f>IFERROR(__xludf.DUMMYFUNCTION("IF(A1379="""","""",
SPARKLINE(
INDEX(
GOOGLEFINANCE(""IDX:""&amp;A1379,""close"",TODAY()-365,TODAY()),
,2
),
{""linewidth"",1}
))
"),"#N/A")</f>
        <v>#N/A</v>
      </c>
      <c r="E1379" s="14" t="s">
        <v>28</v>
      </c>
      <c r="F1379" s="17" t="s">
        <v>29</v>
      </c>
      <c r="G1379" s="24">
        <f t="shared" si="9"/>
        <v>13</v>
      </c>
      <c r="H1379" s="19">
        <f>VLOOKUP(A1379,Metrik!$C$2:$Y$959,8,0)</f>
        <v>14.8</v>
      </c>
      <c r="I1379" s="20">
        <f>VLOOKUP(A1379,Metrik!$C$2:$Y$959,9,0)</f>
        <v>1.1</v>
      </c>
      <c r="J1379" s="20">
        <f>VLOOKUP(A1379,Metrik!$C$2:$Y$959,10,0)</f>
        <v>7.1</v>
      </c>
      <c r="K1379" s="20">
        <f>VLOOKUP(A1379,Metrik!$C$2:$Y$959,11,0)</f>
        <v>4.9</v>
      </c>
      <c r="L1379" s="20">
        <f>VLOOKUP(A1379,Metrik!$C$2:$Y$959,12,0)</f>
        <v>0.46</v>
      </c>
      <c r="M1379" s="20">
        <f>VLOOKUP(A1379,Metrik!$C$2:$Y$959,19,0)</f>
        <v>130</v>
      </c>
      <c r="N1379" s="21"/>
      <c r="O1379" s="21"/>
      <c r="P1379" s="21"/>
      <c r="Q1379" s="21"/>
      <c r="R1379" s="21"/>
      <c r="S1379" s="21"/>
      <c r="T1379" s="21"/>
      <c r="U1379" s="22">
        <f>IFERROR(__xludf.DUMMYFUNCTION("IFERROR(GOOGLEFINANCE(A1379,""closeyest""),"""")"),825.0)</f>
        <v>825</v>
      </c>
      <c r="V1379" s="23">
        <f>IFERROR(__xludf.DUMMYFUNCTION("IFERROR(GOOGLEFINANCE(A1379,""changepct""),"""")"),4.85)</f>
        <v>4.85</v>
      </c>
      <c r="W1379" s="22" t="str">
        <f>IFERROR(__xludf.DUMMYFUNCTION("IFERROR(GOOGLEFINANCE(A1379,""priceopen""),"""")"),"")</f>
        <v/>
      </c>
      <c r="X1379" s="22">
        <f>IFERROR(__xludf.DUMMYFUNCTION("IFERROR(GOOGLEFINANCE(A1379,""high""),"""")"),875.0)</f>
        <v>875</v>
      </c>
      <c r="Y1379" s="22">
        <f>IFERROR(__xludf.DUMMYFUNCTION("IFERROR(GOOGLEFINANCE(A1379,""low""),"""")"),840.0)</f>
        <v>840</v>
      </c>
      <c r="Z1379" s="22">
        <f>IFERROR(__xludf.DUMMYFUNCTION("IFERROR(GOOGLEFINANCE(A1379,""volume""),"""")"),1.15913E7)</f>
        <v>11591300</v>
      </c>
      <c r="AA1379" s="24" t="str">
        <f>VLOOKUP(A1379,Metrik!$C$2:$Y$959,5,0)</f>
        <v>Electric Utilities</v>
      </c>
      <c r="AB1379" s="24" t="str">
        <f>VLOOKUP(A1379,Metrik!$C$2:$Y$959,3,0)</f>
        <v>Infrastructures</v>
      </c>
    </row>
    <row r="1380">
      <c r="A1380" s="14" t="s">
        <v>740</v>
      </c>
      <c r="B1380" s="14" t="str">
        <f t="array" ref="B1380">VLOOKUP(A1380,{Metrik!$C$2:$C$998,Metrik!$B$2:$B$998},2,0)</f>
        <v>PT Pertamina Geothermal Energy Tbk</v>
      </c>
      <c r="C1380" s="15">
        <f>IFERROR(__xludf.DUMMYFUNCTION("GOOGLEFINANCE(""IDX:""&amp;A1380,""price"")"),865.0)</f>
        <v>865</v>
      </c>
      <c r="D1380" s="16" t="str">
        <f>IFERROR(__xludf.DUMMYFUNCTION("IF(A1380="""","""",
SPARKLINE(
INDEX(
GOOGLEFINANCE(""IDX:""&amp;A1380,""close"",TODAY()-365,TODAY()),
,2
),
{""linewidth"",1}
))
"),"#N/A")</f>
        <v>#N/A</v>
      </c>
      <c r="E1380" s="14" t="s">
        <v>32</v>
      </c>
      <c r="F1380" s="14" t="s">
        <v>29</v>
      </c>
      <c r="G1380" s="24">
        <f t="shared" si="9"/>
        <v>13</v>
      </c>
      <c r="H1380" s="19">
        <f>VLOOKUP(A1380,Metrik!$C$2:$Y$959,8,0)</f>
        <v>14.8</v>
      </c>
      <c r="I1380" s="20">
        <f>VLOOKUP(A1380,Metrik!$C$2:$Y$959,9,0)</f>
        <v>1.1</v>
      </c>
      <c r="J1380" s="20">
        <f>VLOOKUP(A1380,Metrik!$C$2:$Y$959,10,0)</f>
        <v>7.1</v>
      </c>
      <c r="K1380" s="20">
        <f>VLOOKUP(A1380,Metrik!$C$2:$Y$959,11,0)</f>
        <v>4.9</v>
      </c>
      <c r="L1380" s="20">
        <f>VLOOKUP(A1380,Metrik!$C$2:$Y$959,12,0)</f>
        <v>0.46</v>
      </c>
      <c r="M1380" s="20">
        <f>VLOOKUP(A1380,Metrik!$C$2:$Y$959,19,0)</f>
        <v>130</v>
      </c>
      <c r="N1380" s="21"/>
      <c r="O1380" s="21"/>
      <c r="P1380" s="21"/>
      <c r="Q1380" s="21"/>
      <c r="R1380" s="21"/>
      <c r="S1380" s="21"/>
      <c r="T1380" s="21"/>
      <c r="U1380" s="22">
        <f>IFERROR(__xludf.DUMMYFUNCTION("IFERROR(GOOGLEFINANCE(A1380,""closeyest""),"""")"),825.0)</f>
        <v>825</v>
      </c>
      <c r="V1380" s="23">
        <f>IFERROR(__xludf.DUMMYFUNCTION("IFERROR(GOOGLEFINANCE(A1380,""changepct""),"""")"),4.85)</f>
        <v>4.85</v>
      </c>
      <c r="W1380" s="22" t="str">
        <f>IFERROR(__xludf.DUMMYFUNCTION("IFERROR(GOOGLEFINANCE(A1380,""priceopen""),"""")"),"")</f>
        <v/>
      </c>
      <c r="X1380" s="22">
        <f>IFERROR(__xludf.DUMMYFUNCTION("IFERROR(GOOGLEFINANCE(A1380,""high""),"""")"),875.0)</f>
        <v>875</v>
      </c>
      <c r="Y1380" s="22">
        <f>IFERROR(__xludf.DUMMYFUNCTION("IFERROR(GOOGLEFINANCE(A1380,""low""),"""")"),840.0)</f>
        <v>840</v>
      </c>
      <c r="Z1380" s="22">
        <f>IFERROR(__xludf.DUMMYFUNCTION("IFERROR(GOOGLEFINANCE(A1380,""volume""),"""")"),1.15913E7)</f>
        <v>11591300</v>
      </c>
      <c r="AA1380" s="24" t="str">
        <f>VLOOKUP(A1380,Metrik!$C$2:$Y$959,5,0)</f>
        <v>Electric Utilities</v>
      </c>
      <c r="AB1380" s="24" t="str">
        <f>VLOOKUP(A1380,Metrik!$C$2:$Y$959,3,0)</f>
        <v>Infrastructures</v>
      </c>
    </row>
    <row r="1381">
      <c r="A1381" s="14" t="s">
        <v>740</v>
      </c>
      <c r="B1381" s="14" t="str">
        <f t="array" ref="B1381">VLOOKUP(A1381,{Metrik!$C$2:$C$998,Metrik!$B$2:$B$998},2,0)</f>
        <v>PT Pertamina Geothermal Energy Tbk</v>
      </c>
      <c r="C1381" s="15">
        <f>IFERROR(__xludf.DUMMYFUNCTION("GOOGLEFINANCE(""IDX:""&amp;A1381,""price"")"),865.0)</f>
        <v>865</v>
      </c>
      <c r="D1381" s="16" t="str">
        <f>IFERROR(__xludf.DUMMYFUNCTION("IF(A1381="""","""",
SPARKLINE(
INDEX(
GOOGLEFINANCE(""IDX:""&amp;A1381,""close"",TODAY()-365,TODAY()),
,2
),
{""linewidth"",1}
))
"),"#N/A")</f>
        <v>#N/A</v>
      </c>
      <c r="E1381" s="14" t="s">
        <v>31</v>
      </c>
      <c r="F1381" s="17" t="s">
        <v>29</v>
      </c>
      <c r="G1381" s="24">
        <f t="shared" si="9"/>
        <v>13</v>
      </c>
      <c r="H1381" s="19">
        <f>VLOOKUP(A1381,Metrik!$C$2:$Y$959,8,0)</f>
        <v>14.8</v>
      </c>
      <c r="I1381" s="20">
        <f>VLOOKUP(A1381,Metrik!$C$2:$Y$959,9,0)</f>
        <v>1.1</v>
      </c>
      <c r="J1381" s="20">
        <f>VLOOKUP(A1381,Metrik!$C$2:$Y$959,10,0)</f>
        <v>7.1</v>
      </c>
      <c r="K1381" s="20">
        <f>VLOOKUP(A1381,Metrik!$C$2:$Y$959,11,0)</f>
        <v>4.9</v>
      </c>
      <c r="L1381" s="20">
        <f>VLOOKUP(A1381,Metrik!$C$2:$Y$959,12,0)</f>
        <v>0.46</v>
      </c>
      <c r="M1381" s="20">
        <f>VLOOKUP(A1381,Metrik!$C$2:$Y$959,19,0)</f>
        <v>130</v>
      </c>
      <c r="N1381" s="21"/>
      <c r="O1381" s="21"/>
      <c r="P1381" s="21"/>
      <c r="Q1381" s="21"/>
      <c r="R1381" s="21"/>
      <c r="S1381" s="21"/>
      <c r="T1381" s="21"/>
      <c r="U1381" s="22">
        <f>IFERROR(__xludf.DUMMYFUNCTION("IFERROR(GOOGLEFINANCE(A1381,""closeyest""),"""")"),825.0)</f>
        <v>825</v>
      </c>
      <c r="V1381" s="23">
        <f>IFERROR(__xludf.DUMMYFUNCTION("IFERROR(GOOGLEFINANCE(A1381,""changepct""),"""")"),4.85)</f>
        <v>4.85</v>
      </c>
      <c r="W1381" s="22" t="str">
        <f>IFERROR(__xludf.DUMMYFUNCTION("IFERROR(GOOGLEFINANCE(A1381,""priceopen""),"""")"),"")</f>
        <v/>
      </c>
      <c r="X1381" s="22">
        <f>IFERROR(__xludf.DUMMYFUNCTION("IFERROR(GOOGLEFINANCE(A1381,""high""),"""")"),875.0)</f>
        <v>875</v>
      </c>
      <c r="Y1381" s="22">
        <f>IFERROR(__xludf.DUMMYFUNCTION("IFERROR(GOOGLEFINANCE(A1381,""low""),"""")"),840.0)</f>
        <v>840</v>
      </c>
      <c r="Z1381" s="22">
        <f>IFERROR(__xludf.DUMMYFUNCTION("IFERROR(GOOGLEFINANCE(A1381,""volume""),"""")"),1.15913E7)</f>
        <v>11591300</v>
      </c>
      <c r="AA1381" s="24" t="str">
        <f>VLOOKUP(A1381,Metrik!$C$2:$Y$959,5,0)</f>
        <v>Electric Utilities</v>
      </c>
      <c r="AB1381" s="24" t="str">
        <f>VLOOKUP(A1381,Metrik!$C$2:$Y$959,3,0)</f>
        <v>Infrastructures</v>
      </c>
    </row>
    <row r="1382">
      <c r="A1382" s="14" t="s">
        <v>740</v>
      </c>
      <c r="B1382" s="14" t="str">
        <f t="array" ref="B1382">VLOOKUP(A1382,{Metrik!$C$2:$C$998,Metrik!$B$2:$B$998},2,0)</f>
        <v>PT Pertamina Geothermal Energy Tbk</v>
      </c>
      <c r="C1382" s="15">
        <f>IFERROR(__xludf.DUMMYFUNCTION("GOOGLEFINANCE(""IDX:""&amp;A1382,""price"")"),865.0)</f>
        <v>865</v>
      </c>
      <c r="D1382" s="16" t="str">
        <f>IFERROR(__xludf.DUMMYFUNCTION("IF(A1382="""","""",
SPARKLINE(
INDEX(
GOOGLEFINANCE(""IDX:""&amp;A1382,""close"",TODAY()-365,TODAY()),
,2
),
{""linewidth"",1}
))
"),"#N/A")</f>
        <v>#N/A</v>
      </c>
      <c r="E1382" s="14" t="s">
        <v>84</v>
      </c>
      <c r="F1382" s="17" t="s">
        <v>51</v>
      </c>
      <c r="G1382" s="24">
        <f t="shared" si="9"/>
        <v>13</v>
      </c>
      <c r="H1382" s="19">
        <f>VLOOKUP(A1382,Metrik!$C$2:$Y$959,8,0)</f>
        <v>14.8</v>
      </c>
      <c r="I1382" s="20">
        <f>VLOOKUP(A1382,Metrik!$C$2:$Y$959,9,0)</f>
        <v>1.1</v>
      </c>
      <c r="J1382" s="20">
        <f>VLOOKUP(A1382,Metrik!$C$2:$Y$959,10,0)</f>
        <v>7.1</v>
      </c>
      <c r="K1382" s="20">
        <f>VLOOKUP(A1382,Metrik!$C$2:$Y$959,11,0)</f>
        <v>4.9</v>
      </c>
      <c r="L1382" s="20">
        <f>VLOOKUP(A1382,Metrik!$C$2:$Y$959,12,0)</f>
        <v>0.46</v>
      </c>
      <c r="M1382" s="20">
        <f>VLOOKUP(A1382,Metrik!$C$2:$Y$959,19,0)</f>
        <v>130</v>
      </c>
      <c r="N1382" s="21"/>
      <c r="O1382" s="21"/>
      <c r="P1382" s="21"/>
      <c r="Q1382" s="21"/>
      <c r="R1382" s="21"/>
      <c r="S1382" s="21"/>
      <c r="T1382" s="21"/>
      <c r="U1382" s="22">
        <f>IFERROR(__xludf.DUMMYFUNCTION("IFERROR(GOOGLEFINANCE(A1382,""closeyest""),"""")"),825.0)</f>
        <v>825</v>
      </c>
      <c r="V1382" s="23">
        <f>IFERROR(__xludf.DUMMYFUNCTION("IFERROR(GOOGLEFINANCE(A1382,""changepct""),"""")"),4.85)</f>
        <v>4.85</v>
      </c>
      <c r="W1382" s="22" t="str">
        <f>IFERROR(__xludf.DUMMYFUNCTION("IFERROR(GOOGLEFINANCE(A1382,""priceopen""),"""")"),"")</f>
        <v/>
      </c>
      <c r="X1382" s="22">
        <f>IFERROR(__xludf.DUMMYFUNCTION("IFERROR(GOOGLEFINANCE(A1382,""high""),"""")"),875.0)</f>
        <v>875</v>
      </c>
      <c r="Y1382" s="22">
        <f>IFERROR(__xludf.DUMMYFUNCTION("IFERROR(GOOGLEFINANCE(A1382,""low""),"""")"),840.0)</f>
        <v>840</v>
      </c>
      <c r="Z1382" s="22">
        <f>IFERROR(__xludf.DUMMYFUNCTION("IFERROR(GOOGLEFINANCE(A1382,""volume""),"""")"),1.15913E7)</f>
        <v>11591300</v>
      </c>
      <c r="AA1382" s="24" t="str">
        <f>VLOOKUP(A1382,Metrik!$C$2:$Y$959,5,0)</f>
        <v>Electric Utilities</v>
      </c>
      <c r="AB1382" s="24" t="str">
        <f>VLOOKUP(A1382,Metrik!$C$2:$Y$959,3,0)</f>
        <v>Infrastructures</v>
      </c>
    </row>
    <row r="1383">
      <c r="A1383" s="14" t="s">
        <v>740</v>
      </c>
      <c r="B1383" s="14" t="str">
        <f t="array" ref="B1383">VLOOKUP(A1383,{Metrik!$C$2:$C$998,Metrik!$B$2:$B$998},2,0)</f>
        <v>PT Pertamina Geothermal Energy Tbk</v>
      </c>
      <c r="C1383" s="15">
        <f>IFERROR(__xludf.DUMMYFUNCTION("GOOGLEFINANCE(""IDX:""&amp;A1383,""price"")"),865.0)</f>
        <v>865</v>
      </c>
      <c r="D1383" s="16" t="str">
        <f>IFERROR(__xludf.DUMMYFUNCTION("IF(A1383="""","""",
SPARKLINE(
INDEX(
GOOGLEFINANCE(""IDX:""&amp;A1383,""close"",TODAY()-365,TODAY()),
,2
),
{""linewidth"",1}
))
"),"#N/A")</f>
        <v>#N/A</v>
      </c>
      <c r="E1383" s="14" t="s">
        <v>85</v>
      </c>
      <c r="F1383" s="17" t="s">
        <v>51</v>
      </c>
      <c r="G1383" s="24">
        <f t="shared" si="9"/>
        <v>13</v>
      </c>
      <c r="H1383" s="19">
        <f>VLOOKUP(A1383,Metrik!$C$2:$Y$959,8,0)</f>
        <v>14.8</v>
      </c>
      <c r="I1383" s="20">
        <f>VLOOKUP(A1383,Metrik!$C$2:$Y$959,9,0)</f>
        <v>1.1</v>
      </c>
      <c r="J1383" s="20">
        <f>VLOOKUP(A1383,Metrik!$C$2:$Y$959,10,0)</f>
        <v>7.1</v>
      </c>
      <c r="K1383" s="20">
        <f>VLOOKUP(A1383,Metrik!$C$2:$Y$959,11,0)</f>
        <v>4.9</v>
      </c>
      <c r="L1383" s="20">
        <f>VLOOKUP(A1383,Metrik!$C$2:$Y$959,12,0)</f>
        <v>0.46</v>
      </c>
      <c r="M1383" s="20">
        <f>VLOOKUP(A1383,Metrik!$C$2:$Y$959,19,0)</f>
        <v>130</v>
      </c>
      <c r="N1383" s="21"/>
      <c r="O1383" s="21"/>
      <c r="P1383" s="21"/>
      <c r="Q1383" s="21"/>
      <c r="R1383" s="21"/>
      <c r="S1383" s="21"/>
      <c r="T1383" s="21"/>
      <c r="U1383" s="22">
        <f>IFERROR(__xludf.DUMMYFUNCTION("IFERROR(GOOGLEFINANCE(A1383,""closeyest""),"""")"),825.0)</f>
        <v>825</v>
      </c>
      <c r="V1383" s="23">
        <f>IFERROR(__xludf.DUMMYFUNCTION("IFERROR(GOOGLEFINANCE(A1383,""changepct""),"""")"),4.85)</f>
        <v>4.85</v>
      </c>
      <c r="W1383" s="22" t="str">
        <f>IFERROR(__xludf.DUMMYFUNCTION("IFERROR(GOOGLEFINANCE(A1383,""priceopen""),"""")"),"")</f>
        <v/>
      </c>
      <c r="X1383" s="22">
        <f>IFERROR(__xludf.DUMMYFUNCTION("IFERROR(GOOGLEFINANCE(A1383,""high""),"""")"),875.0)</f>
        <v>875</v>
      </c>
      <c r="Y1383" s="22">
        <f>IFERROR(__xludf.DUMMYFUNCTION("IFERROR(GOOGLEFINANCE(A1383,""low""),"""")"),840.0)</f>
        <v>840</v>
      </c>
      <c r="Z1383" s="22">
        <f>IFERROR(__xludf.DUMMYFUNCTION("IFERROR(GOOGLEFINANCE(A1383,""volume""),"""")"),1.15913E7)</f>
        <v>11591300</v>
      </c>
      <c r="AA1383" s="24" t="str">
        <f>VLOOKUP(A1383,Metrik!$C$2:$Y$959,5,0)</f>
        <v>Electric Utilities</v>
      </c>
      <c r="AB1383" s="24" t="str">
        <f>VLOOKUP(A1383,Metrik!$C$2:$Y$959,3,0)</f>
        <v>Infrastructures</v>
      </c>
    </row>
    <row r="1384">
      <c r="A1384" s="14" t="s">
        <v>740</v>
      </c>
      <c r="B1384" s="14" t="str">
        <f t="array" ref="B1384">VLOOKUP(A1384,{Metrik!$C$2:$C$998,Metrik!$B$2:$B$998},2,0)</f>
        <v>PT Pertamina Geothermal Energy Tbk</v>
      </c>
      <c r="C1384" s="15">
        <f>IFERROR(__xludf.DUMMYFUNCTION("GOOGLEFINANCE(""IDX:""&amp;A1384,""price"")"),865.0)</f>
        <v>865</v>
      </c>
      <c r="D1384" s="16" t="str">
        <f>IFERROR(__xludf.DUMMYFUNCTION("IF(A1384="""","""",
SPARKLINE(
INDEX(
GOOGLEFINANCE(""IDX:""&amp;A1384,""close"",TODAY()-365,TODAY()),
,2
),
{""linewidth"",1}
))
"),"#N/A")</f>
        <v>#N/A</v>
      </c>
      <c r="E1384" s="14" t="s">
        <v>50</v>
      </c>
      <c r="F1384" s="17" t="s">
        <v>51</v>
      </c>
      <c r="G1384" s="24">
        <f t="shared" si="9"/>
        <v>13</v>
      </c>
      <c r="H1384" s="19">
        <f>VLOOKUP(A1384,Metrik!$C$2:$Y$959,8,0)</f>
        <v>14.8</v>
      </c>
      <c r="I1384" s="20">
        <f>VLOOKUP(A1384,Metrik!$C$2:$Y$959,9,0)</f>
        <v>1.1</v>
      </c>
      <c r="J1384" s="20">
        <f>VLOOKUP(A1384,Metrik!$C$2:$Y$959,10,0)</f>
        <v>7.1</v>
      </c>
      <c r="K1384" s="20">
        <f>VLOOKUP(A1384,Metrik!$C$2:$Y$959,11,0)</f>
        <v>4.9</v>
      </c>
      <c r="L1384" s="20">
        <f>VLOOKUP(A1384,Metrik!$C$2:$Y$959,12,0)</f>
        <v>0.46</v>
      </c>
      <c r="M1384" s="20">
        <f>VLOOKUP(A1384,Metrik!$C$2:$Y$959,19,0)</f>
        <v>130</v>
      </c>
      <c r="N1384" s="21"/>
      <c r="O1384" s="21"/>
      <c r="P1384" s="21"/>
      <c r="Q1384" s="21"/>
      <c r="R1384" s="21"/>
      <c r="S1384" s="21"/>
      <c r="T1384" s="21"/>
      <c r="U1384" s="22">
        <f>IFERROR(__xludf.DUMMYFUNCTION("IFERROR(GOOGLEFINANCE(A1384,""closeyest""),"""")"),825.0)</f>
        <v>825</v>
      </c>
      <c r="V1384" s="23">
        <f>IFERROR(__xludf.DUMMYFUNCTION("IFERROR(GOOGLEFINANCE(A1384,""changepct""),"""")"),4.85)</f>
        <v>4.85</v>
      </c>
      <c r="W1384" s="22" t="str">
        <f>IFERROR(__xludf.DUMMYFUNCTION("IFERROR(GOOGLEFINANCE(A1384,""priceopen""),"""")"),"")</f>
        <v/>
      </c>
      <c r="X1384" s="22">
        <f>IFERROR(__xludf.DUMMYFUNCTION("IFERROR(GOOGLEFINANCE(A1384,""high""),"""")"),875.0)</f>
        <v>875</v>
      </c>
      <c r="Y1384" s="22">
        <f>IFERROR(__xludf.DUMMYFUNCTION("IFERROR(GOOGLEFINANCE(A1384,""low""),"""")"),840.0)</f>
        <v>840</v>
      </c>
      <c r="Z1384" s="22">
        <f>IFERROR(__xludf.DUMMYFUNCTION("IFERROR(GOOGLEFINANCE(A1384,""volume""),"""")"),1.15913E7)</f>
        <v>11591300</v>
      </c>
      <c r="AA1384" s="24" t="str">
        <f>VLOOKUP(A1384,Metrik!$C$2:$Y$959,5,0)</f>
        <v>Electric Utilities</v>
      </c>
      <c r="AB1384" s="24" t="str">
        <f>VLOOKUP(A1384,Metrik!$C$2:$Y$959,3,0)</f>
        <v>Infrastructures</v>
      </c>
    </row>
    <row r="1385">
      <c r="A1385" s="14" t="s">
        <v>740</v>
      </c>
      <c r="B1385" s="14" t="str">
        <f t="array" ref="B1385">VLOOKUP(A1385,{Metrik!$C$2:$C$998,Metrik!$B$2:$B$998},2,0)</f>
        <v>PT Pertamina Geothermal Energy Tbk</v>
      </c>
      <c r="C1385" s="15">
        <f>IFERROR(__xludf.DUMMYFUNCTION("GOOGLEFINANCE(""IDX:""&amp;A1385,""price"")"),865.0)</f>
        <v>865</v>
      </c>
      <c r="D1385" s="16" t="str">
        <f>IFERROR(__xludf.DUMMYFUNCTION("IF(A1385="""","""",
SPARKLINE(
INDEX(
GOOGLEFINANCE(""IDX:""&amp;A1385,""close"",TODAY()-365,TODAY()),
,2
),
{""linewidth"",1}
))
"),"#N/A")</f>
        <v>#N/A</v>
      </c>
      <c r="E1385" s="14" t="s">
        <v>41</v>
      </c>
      <c r="F1385" s="14" t="s">
        <v>34</v>
      </c>
      <c r="G1385" s="24">
        <f t="shared" si="9"/>
        <v>13</v>
      </c>
      <c r="H1385" s="19">
        <f>VLOOKUP(A1385,Metrik!$C$2:$Y$959,8,0)</f>
        <v>14.8</v>
      </c>
      <c r="I1385" s="20">
        <f>VLOOKUP(A1385,Metrik!$C$2:$Y$959,9,0)</f>
        <v>1.1</v>
      </c>
      <c r="J1385" s="20">
        <f>VLOOKUP(A1385,Metrik!$C$2:$Y$959,10,0)</f>
        <v>7.1</v>
      </c>
      <c r="K1385" s="20">
        <f>VLOOKUP(A1385,Metrik!$C$2:$Y$959,11,0)</f>
        <v>4.9</v>
      </c>
      <c r="L1385" s="20">
        <f>VLOOKUP(A1385,Metrik!$C$2:$Y$959,12,0)</f>
        <v>0.46</v>
      </c>
      <c r="M1385" s="20">
        <f>VLOOKUP(A1385,Metrik!$C$2:$Y$959,19,0)</f>
        <v>130</v>
      </c>
      <c r="N1385" s="21"/>
      <c r="O1385" s="21"/>
      <c r="P1385" s="21"/>
      <c r="Q1385" s="21"/>
      <c r="R1385" s="21"/>
      <c r="S1385" s="21"/>
      <c r="T1385" s="21"/>
      <c r="U1385" s="22">
        <f>IFERROR(__xludf.DUMMYFUNCTION("IFERROR(GOOGLEFINANCE(A1385,""closeyest""),"""")"),825.0)</f>
        <v>825</v>
      </c>
      <c r="V1385" s="23">
        <f>IFERROR(__xludf.DUMMYFUNCTION("IFERROR(GOOGLEFINANCE(A1385,""changepct""),"""")"),4.85)</f>
        <v>4.85</v>
      </c>
      <c r="W1385" s="22" t="str">
        <f>IFERROR(__xludf.DUMMYFUNCTION("IFERROR(GOOGLEFINANCE(A1385,""priceopen""),"""")"),"")</f>
        <v/>
      </c>
      <c r="X1385" s="22">
        <f>IFERROR(__xludf.DUMMYFUNCTION("IFERROR(GOOGLEFINANCE(A1385,""high""),"""")"),875.0)</f>
        <v>875</v>
      </c>
      <c r="Y1385" s="22">
        <f>IFERROR(__xludf.DUMMYFUNCTION("IFERROR(GOOGLEFINANCE(A1385,""low""),"""")"),840.0)</f>
        <v>840</v>
      </c>
      <c r="Z1385" s="22">
        <f>IFERROR(__xludf.DUMMYFUNCTION("IFERROR(GOOGLEFINANCE(A1385,""volume""),"""")"),1.15913E7)</f>
        <v>11591300</v>
      </c>
      <c r="AA1385" s="24" t="str">
        <f>VLOOKUP(A1385,Metrik!$C$2:$Y$959,5,0)</f>
        <v>Electric Utilities</v>
      </c>
      <c r="AB1385" s="24" t="str">
        <f>VLOOKUP(A1385,Metrik!$C$2:$Y$959,3,0)</f>
        <v>Infrastructures</v>
      </c>
    </row>
    <row r="1386">
      <c r="A1386" s="14" t="s">
        <v>740</v>
      </c>
      <c r="B1386" s="14" t="str">
        <f t="array" ref="B1386">VLOOKUP(A1386,{Metrik!$C$2:$C$998,Metrik!$B$2:$B$998},2,0)</f>
        <v>PT Pertamina Geothermal Energy Tbk</v>
      </c>
      <c r="C1386" s="15">
        <f>IFERROR(__xludf.DUMMYFUNCTION("GOOGLEFINANCE(""IDX:""&amp;A1386,""price"")"),865.0)</f>
        <v>865</v>
      </c>
      <c r="D1386" s="16" t="str">
        <f>IFERROR(__xludf.DUMMYFUNCTION("IF(A1386="""","""",
SPARKLINE(
INDEX(
GOOGLEFINANCE(""IDX:""&amp;A1386,""close"",TODAY()-365,TODAY()),
,2
),
{""linewidth"",1}
))
"),"#N/A")</f>
        <v>#N/A</v>
      </c>
      <c r="E1386" s="14" t="s">
        <v>86</v>
      </c>
      <c r="F1386" s="25">
        <v>46356.0</v>
      </c>
      <c r="G1386" s="24">
        <f t="shared" si="9"/>
        <v>13</v>
      </c>
      <c r="H1386" s="19">
        <f>VLOOKUP(A1386,Metrik!$C$2:$Y$959,8,0)</f>
        <v>14.8</v>
      </c>
      <c r="I1386" s="20">
        <f>VLOOKUP(A1386,Metrik!$C$2:$Y$959,9,0)</f>
        <v>1.1</v>
      </c>
      <c r="J1386" s="20">
        <f>VLOOKUP(A1386,Metrik!$C$2:$Y$959,10,0)</f>
        <v>7.1</v>
      </c>
      <c r="K1386" s="20">
        <f>VLOOKUP(A1386,Metrik!$C$2:$Y$959,11,0)</f>
        <v>4.9</v>
      </c>
      <c r="L1386" s="20">
        <f>VLOOKUP(A1386,Metrik!$C$2:$Y$959,12,0)</f>
        <v>0.46</v>
      </c>
      <c r="M1386" s="20">
        <f>VLOOKUP(A1386,Metrik!$C$2:$Y$959,19,0)</f>
        <v>130</v>
      </c>
      <c r="N1386" s="21"/>
      <c r="O1386" s="21"/>
      <c r="P1386" s="21"/>
      <c r="Q1386" s="21"/>
      <c r="R1386" s="21"/>
      <c r="S1386" s="21"/>
      <c r="T1386" s="21"/>
      <c r="U1386" s="22">
        <f>IFERROR(__xludf.DUMMYFUNCTION("IFERROR(GOOGLEFINANCE(A1386,""closeyest""),"""")"),825.0)</f>
        <v>825</v>
      </c>
      <c r="V1386" s="23">
        <f>IFERROR(__xludf.DUMMYFUNCTION("IFERROR(GOOGLEFINANCE(A1386,""changepct""),"""")"),4.85)</f>
        <v>4.85</v>
      </c>
      <c r="W1386" s="22" t="str">
        <f>IFERROR(__xludf.DUMMYFUNCTION("IFERROR(GOOGLEFINANCE(A1386,""priceopen""),"""")"),"")</f>
        <v/>
      </c>
      <c r="X1386" s="22">
        <f>IFERROR(__xludf.DUMMYFUNCTION("IFERROR(GOOGLEFINANCE(A1386,""high""),"""")"),875.0)</f>
        <v>875</v>
      </c>
      <c r="Y1386" s="22">
        <f>IFERROR(__xludf.DUMMYFUNCTION("IFERROR(GOOGLEFINANCE(A1386,""low""),"""")"),840.0)</f>
        <v>840</v>
      </c>
      <c r="Z1386" s="22">
        <f>IFERROR(__xludf.DUMMYFUNCTION("IFERROR(GOOGLEFINANCE(A1386,""volume""),"""")"),1.15913E7)</f>
        <v>11591300</v>
      </c>
      <c r="AA1386" s="24" t="str">
        <f>VLOOKUP(A1386,Metrik!$C$2:$Y$959,5,0)</f>
        <v>Electric Utilities</v>
      </c>
      <c r="AB1386" s="24" t="str">
        <f>VLOOKUP(A1386,Metrik!$C$2:$Y$959,3,0)</f>
        <v>Infrastructures</v>
      </c>
    </row>
    <row r="1387">
      <c r="A1387" s="14" t="s">
        <v>741</v>
      </c>
      <c r="B1387" s="14" t="str">
        <f t="array" ref="B1387">VLOOKUP(A1387,{Metrik!$C$2:$C$998,Metrik!$B$2:$B$998},2,0)</f>
        <v>Bahtera Bumi Raya Tbk.</v>
      </c>
      <c r="C1387" s="15">
        <f>IFERROR(__xludf.DUMMYFUNCTION("GOOGLEFINANCE(""IDX:""&amp;A1387,""price"")"),790.0)</f>
        <v>790</v>
      </c>
      <c r="D1387" s="16" t="str">
        <f>IFERROR(__xludf.DUMMYFUNCTION("IF(A1387="""","""",
SPARKLINE(
INDEX(
GOOGLEFINANCE(""IDX:""&amp;A1387,""close"",TODAY()-365,TODAY()),
,2
),
{""linewidth"",1}
))
"),"#N/A")</f>
        <v>#N/A</v>
      </c>
      <c r="E1387" s="26"/>
      <c r="F1387" s="26"/>
      <c r="G1387" s="24">
        <f t="shared" si="9"/>
        <v>0</v>
      </c>
      <c r="H1387" s="19">
        <f>VLOOKUP(A1387,Metrik!$C$2:$Y$959,8,0)</f>
        <v>-100</v>
      </c>
      <c r="I1387" s="20">
        <f>VLOOKUP(A1387,Metrik!$C$2:$Y$959,9,0)</f>
        <v>-350</v>
      </c>
      <c r="J1387" s="20">
        <f>VLOOKUP(A1387,Metrik!$C$2:$Y$959,10,0)</f>
        <v>0</v>
      </c>
      <c r="K1387" s="20">
        <f>VLOOKUP(A1387,Metrik!$C$2:$Y$959,11,0)</f>
        <v>-22.4</v>
      </c>
      <c r="L1387" s="20">
        <f>VLOOKUP(A1387,Metrik!$C$2:$Y$959,12,0)</f>
        <v>-16.2</v>
      </c>
      <c r="M1387" s="20">
        <f>VLOOKUP(A1387,Metrik!$C$2:$Y$959,19,0)</f>
        <v>-24.3</v>
      </c>
      <c r="N1387" s="21"/>
      <c r="O1387" s="21"/>
      <c r="P1387" s="21"/>
      <c r="Q1387" s="21"/>
      <c r="R1387" s="21"/>
      <c r="S1387" s="21"/>
      <c r="T1387" s="21"/>
      <c r="U1387" s="22">
        <f>IFERROR(__xludf.DUMMYFUNCTION("IFERROR(GOOGLEFINANCE(A1387,""closeyest""),"""")"),795.0)</f>
        <v>795</v>
      </c>
      <c r="V1387" s="23">
        <f>IFERROR(__xludf.DUMMYFUNCTION("IFERROR(GOOGLEFINANCE(A1387,""changepct""),"""")"),-0.63)</f>
        <v>-0.63</v>
      </c>
      <c r="W1387" s="22">
        <f>IFERROR(__xludf.DUMMYFUNCTION("IFERROR(GOOGLEFINANCE(A1387,""priceopen""),"""")"),795.0)</f>
        <v>795</v>
      </c>
      <c r="X1387" s="22">
        <f>IFERROR(__xludf.DUMMYFUNCTION("IFERROR(GOOGLEFINANCE(A1387,""high""),"""")"),795.0)</f>
        <v>795</v>
      </c>
      <c r="Y1387" s="22">
        <f>IFERROR(__xludf.DUMMYFUNCTION("IFERROR(GOOGLEFINANCE(A1387,""low""),"""")"),790.0)</f>
        <v>790</v>
      </c>
      <c r="Z1387" s="22">
        <f>IFERROR(__xludf.DUMMYFUNCTION("IFERROR(GOOGLEFINANCE(A1387,""volume""),"""")"),155800.0)</f>
        <v>155800</v>
      </c>
      <c r="AA1387" s="24" t="str">
        <f>VLOOKUP(A1387,Metrik!$C$2:$Y$959,5,0)</f>
        <v>Online Applications &amp; Services</v>
      </c>
      <c r="AB1387" s="24" t="str">
        <f>VLOOKUP(A1387,Metrik!$C$2:$Y$959,3,0)</f>
        <v>Technology</v>
      </c>
    </row>
    <row r="1388">
      <c r="A1388" s="14" t="s">
        <v>742</v>
      </c>
      <c r="B1388" s="14" t="str">
        <f t="array" ref="B1388">VLOOKUP(A1388,{Metrik!$C$2:$C$998,Metrik!$B$2:$B$998},2,0)</f>
        <v>Pembangunan Graha Lestari Indah Tbk.</v>
      </c>
      <c r="C1388" s="15">
        <f>IFERROR(__xludf.DUMMYFUNCTION("GOOGLEFINANCE(""IDX:""&amp;A1388,""price"")"),186.0)</f>
        <v>186</v>
      </c>
      <c r="D1388" s="16" t="str">
        <f>IFERROR(__xludf.DUMMYFUNCTION("IF(A1388="""","""",
SPARKLINE(
INDEX(
GOOGLEFINANCE(""IDX:""&amp;A1388,""close"",TODAY()-365,TODAY()),
,2
),
{""linewidth"",1}
))
"),"#N/A")</f>
        <v>#N/A</v>
      </c>
      <c r="E1388" s="26"/>
      <c r="F1388" s="26"/>
      <c r="G1388" s="24">
        <f t="shared" si="9"/>
        <v>0</v>
      </c>
      <c r="H1388" s="19">
        <f>VLOOKUP(A1388,Metrik!$C$2:$Y$959,8,0)</f>
        <v>-32.3</v>
      </c>
      <c r="I1388" s="20">
        <f>VLOOKUP(A1388,Metrik!$C$2:$Y$959,9,0)</f>
        <v>6.8</v>
      </c>
      <c r="J1388" s="20">
        <f>VLOOKUP(A1388,Metrik!$C$2:$Y$959,10,0)</f>
        <v>-21</v>
      </c>
      <c r="K1388" s="20">
        <f>VLOOKUP(A1388,Metrik!$C$2:$Y$959,11,0)</f>
        <v>-7.6</v>
      </c>
      <c r="L1388" s="20">
        <f>VLOOKUP(A1388,Metrik!$C$2:$Y$959,12,0)</f>
        <v>1.8</v>
      </c>
      <c r="M1388" s="20">
        <f>VLOOKUP(A1388,Metrik!$C$2:$Y$959,19,0)</f>
        <v>-49</v>
      </c>
      <c r="N1388" s="21"/>
      <c r="O1388" s="21"/>
      <c r="P1388" s="21"/>
      <c r="Q1388" s="21"/>
      <c r="R1388" s="21"/>
      <c r="S1388" s="21"/>
      <c r="T1388" s="21"/>
      <c r="U1388" s="22">
        <f>IFERROR(__xludf.DUMMYFUNCTION("IFERROR(GOOGLEFINANCE(A1388,""closeyest""),"""")"),184.0)</f>
        <v>184</v>
      </c>
      <c r="V1388" s="23">
        <f>IFERROR(__xludf.DUMMYFUNCTION("IFERROR(GOOGLEFINANCE(A1388,""changepct""),"""")"),1.09)</f>
        <v>1.09</v>
      </c>
      <c r="W1388" s="22">
        <f>IFERROR(__xludf.DUMMYFUNCTION("IFERROR(GOOGLEFINANCE(A1388,""priceopen""),"""")"),190.0)</f>
        <v>190</v>
      </c>
      <c r="X1388" s="22">
        <f>IFERROR(__xludf.DUMMYFUNCTION("IFERROR(GOOGLEFINANCE(A1388,""high""),"""")"),190.0)</f>
        <v>190</v>
      </c>
      <c r="Y1388" s="22">
        <f>IFERROR(__xludf.DUMMYFUNCTION("IFERROR(GOOGLEFINANCE(A1388,""low""),"""")"),174.0)</f>
        <v>174</v>
      </c>
      <c r="Z1388" s="22">
        <f>IFERROR(__xludf.DUMMYFUNCTION("IFERROR(GOOGLEFINANCE(A1388,""volume""),"""")"),48700.0)</f>
        <v>48700</v>
      </c>
      <c r="AA1388" s="24" t="str">
        <f>VLOOKUP(A1388,Metrik!$C$2:$Y$959,5,0)</f>
        <v>Tourism &amp; Recreation</v>
      </c>
      <c r="AB1388" s="24" t="str">
        <f>VLOOKUP(A1388,Metrik!$C$2:$Y$959,3,0)</f>
        <v>Consumer Cyclicals</v>
      </c>
    </row>
    <row r="1389">
      <c r="A1389" s="14" t="s">
        <v>743</v>
      </c>
      <c r="B1389" s="14" t="str">
        <f t="array" ref="B1389">VLOOKUP(A1389,{Metrik!$C$2:$C$998,Metrik!$B$2:$B$998},2,0)</f>
        <v>Pradiksi Gunatama Tbk.</v>
      </c>
      <c r="C1389" s="15">
        <f>IFERROR(__xludf.DUMMYFUNCTION("GOOGLEFINANCE(""IDX:""&amp;A1389,""price"")"),7625.0)</f>
        <v>7625</v>
      </c>
      <c r="D1389" s="16" t="str">
        <f>IFERROR(__xludf.DUMMYFUNCTION("IF(A1389="""","""",
SPARKLINE(
INDEX(
GOOGLEFINANCE(""IDX:""&amp;A1389,""close"",TODAY()-365,TODAY()),
,2
),
{""linewidth"",1}
))
"),"#N/A")</f>
        <v>#N/A</v>
      </c>
      <c r="E1389" s="26"/>
      <c r="F1389" s="26"/>
      <c r="G1389" s="24">
        <f t="shared" si="9"/>
        <v>0</v>
      </c>
      <c r="H1389" s="19">
        <f>VLOOKUP(A1389,Metrik!$C$2:$Y$959,8,0)</f>
        <v>300</v>
      </c>
      <c r="I1389" s="20">
        <f>VLOOKUP(A1389,Metrik!$C$2:$Y$959,9,0)</f>
        <v>22.1</v>
      </c>
      <c r="J1389" s="20">
        <f>VLOOKUP(A1389,Metrik!$C$2:$Y$959,10,0)</f>
        <v>7.5</v>
      </c>
      <c r="K1389" s="20">
        <f>VLOOKUP(A1389,Metrik!$C$2:$Y$959,11,0)</f>
        <v>5.8</v>
      </c>
      <c r="L1389" s="20">
        <f>VLOOKUP(A1389,Metrik!$C$2:$Y$959,12,0)</f>
        <v>0.29</v>
      </c>
      <c r="M1389" s="20">
        <f>VLOOKUP(A1389,Metrik!$C$2:$Y$959,19,0)</f>
        <v>87.9</v>
      </c>
      <c r="N1389" s="21"/>
      <c r="O1389" s="21"/>
      <c r="P1389" s="21"/>
      <c r="Q1389" s="21"/>
      <c r="R1389" s="21"/>
      <c r="S1389" s="21"/>
      <c r="T1389" s="21"/>
      <c r="U1389" s="22">
        <f>IFERROR(__xludf.DUMMYFUNCTION("IFERROR(GOOGLEFINANCE(A1389,""closeyest""),"""")"),7350.0)</f>
        <v>7350</v>
      </c>
      <c r="V1389" s="23">
        <f>IFERROR(__xludf.DUMMYFUNCTION("IFERROR(GOOGLEFINANCE(A1389,""changepct""),"""")"),3.74)</f>
        <v>3.74</v>
      </c>
      <c r="W1389" s="22">
        <f>IFERROR(__xludf.DUMMYFUNCTION("IFERROR(GOOGLEFINANCE(A1389,""priceopen""),"""")"),7350.0)</f>
        <v>7350</v>
      </c>
      <c r="X1389" s="22">
        <f>IFERROR(__xludf.DUMMYFUNCTION("IFERROR(GOOGLEFINANCE(A1389,""high""),"""")"),8400.0)</f>
        <v>8400</v>
      </c>
      <c r="Y1389" s="22">
        <f>IFERROR(__xludf.DUMMYFUNCTION("IFERROR(GOOGLEFINANCE(A1389,""low""),"""")"),7350.0)</f>
        <v>7350</v>
      </c>
      <c r="Z1389" s="22">
        <f>IFERROR(__xludf.DUMMYFUNCTION("IFERROR(GOOGLEFINANCE(A1389,""volume""),"""")"),27100.0)</f>
        <v>27100</v>
      </c>
      <c r="AA1389" s="24" t="str">
        <f>VLOOKUP(A1389,Metrik!$C$2:$Y$959,5,0)</f>
        <v>Agricultural Products</v>
      </c>
      <c r="AB1389" s="24" t="str">
        <f>VLOOKUP(A1389,Metrik!$C$2:$Y$959,3,0)</f>
        <v>Consumer Non-Cyclicals</v>
      </c>
    </row>
    <row r="1390">
      <c r="A1390" s="14" t="s">
        <v>744</v>
      </c>
      <c r="B1390" s="14" t="str">
        <f t="array" ref="B1390">VLOOKUP(A1390,{Metrik!$C$2:$C$998,Metrik!$B$2:$B$998},2,0)</f>
        <v>Pelangi Indah Canindo Tbk</v>
      </c>
      <c r="C1390" s="15">
        <f>IFERROR(__xludf.DUMMYFUNCTION("GOOGLEFINANCE(""IDX:""&amp;A1390,""price"")"),126.0)</f>
        <v>126</v>
      </c>
      <c r="D1390" s="16" t="str">
        <f>IFERROR(__xludf.DUMMYFUNCTION("IF(A1390="""","""",
SPARKLINE(
INDEX(
GOOGLEFINANCE(""IDX:""&amp;A1390,""close"",TODAY()-365,TODAY()),
,2
),
{""linewidth"",1}
))
"),"#N/A")</f>
        <v>#N/A</v>
      </c>
      <c r="E1390" s="26"/>
      <c r="F1390" s="26"/>
      <c r="G1390" s="24">
        <f t="shared" si="9"/>
        <v>0</v>
      </c>
      <c r="H1390" s="19">
        <f>VLOOKUP(A1390,Metrik!$C$2:$Y$959,8,0)</f>
        <v>19.6</v>
      </c>
      <c r="I1390" s="20">
        <f>VLOOKUP(A1390,Metrik!$C$2:$Y$959,9,0)</f>
        <v>0.38</v>
      </c>
      <c r="J1390" s="20">
        <f>VLOOKUP(A1390,Metrik!$C$2:$Y$959,10,0)</f>
        <v>2</v>
      </c>
      <c r="K1390" s="20">
        <f>VLOOKUP(A1390,Metrik!$C$2:$Y$959,11,0)</f>
        <v>0.61</v>
      </c>
      <c r="L1390" s="20">
        <f>VLOOKUP(A1390,Metrik!$C$2:$Y$959,12,0)</f>
        <v>2.2</v>
      </c>
      <c r="M1390" s="20">
        <f>VLOOKUP(A1390,Metrik!$C$2:$Y$959,19,0)</f>
        <v>3</v>
      </c>
      <c r="N1390" s="21"/>
      <c r="O1390" s="21"/>
      <c r="P1390" s="21"/>
      <c r="Q1390" s="21"/>
      <c r="R1390" s="21"/>
      <c r="S1390" s="21"/>
      <c r="T1390" s="21"/>
      <c r="U1390" s="22" t="str">
        <f>IFERROR(__xludf.DUMMYFUNCTION("IFERROR(GOOGLEFINANCE(A1390,""closeyest""),"""")"),"")</f>
        <v/>
      </c>
      <c r="V1390" s="23" t="str">
        <f>IFERROR(__xludf.DUMMYFUNCTION("IFERROR(GOOGLEFINANCE(A1390,""changepct""),"""")"),"")</f>
        <v/>
      </c>
      <c r="W1390" s="22" t="str">
        <f>IFERROR(__xludf.DUMMYFUNCTION("IFERROR(GOOGLEFINANCE(A1390,""priceopen""),"""")"),"")</f>
        <v/>
      </c>
      <c r="X1390" s="22" t="str">
        <f>IFERROR(__xludf.DUMMYFUNCTION("IFERROR(GOOGLEFINANCE(A1390,""high""),"""")"),"")</f>
        <v/>
      </c>
      <c r="Y1390" s="22" t="str">
        <f>IFERROR(__xludf.DUMMYFUNCTION("IFERROR(GOOGLEFINANCE(A1390,""low""),"""")"),"")</f>
        <v/>
      </c>
      <c r="Z1390" s="22" t="str">
        <f>IFERROR(__xludf.DUMMYFUNCTION("IFERROR(GOOGLEFINANCE(A1390,""volume""),"""")"),"")</f>
        <v/>
      </c>
      <c r="AA1390" s="24" t="str">
        <f>VLOOKUP(A1390,Metrik!$C$2:$Y$959,5,0)</f>
        <v>Containers &amp; Packaging</v>
      </c>
      <c r="AB1390" s="24" t="str">
        <f>VLOOKUP(A1390,Metrik!$C$2:$Y$959,3,0)</f>
        <v>Basic Materials</v>
      </c>
    </row>
    <row r="1391">
      <c r="A1391" s="14" t="s">
        <v>745</v>
      </c>
      <c r="B1391" s="14" t="str">
        <f t="array" ref="B1391">VLOOKUP(A1391,{Metrik!$C$2:$C$998,Metrik!$B$2:$B$998},2,0)</f>
        <v>PT Multi Makmur Lemindo Tbk.</v>
      </c>
      <c r="C1391" s="15">
        <f>IFERROR(__xludf.DUMMYFUNCTION("GOOGLEFINANCE(""IDX:""&amp;A1391,""price"")"),111.0)</f>
        <v>111</v>
      </c>
      <c r="D1391" s="16" t="str">
        <f>IFERROR(__xludf.DUMMYFUNCTION("IF(A1391="""","""",
SPARKLINE(
INDEX(
GOOGLEFINANCE(""IDX:""&amp;A1391,""close"",TODAY()-365,TODAY()),
,2
),
{""linewidth"",1}
))
"),"#N/A")</f>
        <v>#N/A</v>
      </c>
      <c r="E1391" s="26"/>
      <c r="F1391" s="26"/>
      <c r="G1391" s="24">
        <f t="shared" si="9"/>
        <v>0</v>
      </c>
      <c r="H1391" s="19">
        <f>VLOOKUP(A1391,Metrik!$C$2:$Y$959,8,0)</f>
        <v>110</v>
      </c>
      <c r="I1391" s="20">
        <f>VLOOKUP(A1391,Metrik!$C$2:$Y$959,9,0)</f>
        <v>2.7</v>
      </c>
      <c r="J1391" s="20">
        <f>VLOOKUP(A1391,Metrik!$C$2:$Y$959,10,0)</f>
        <v>2.5</v>
      </c>
      <c r="K1391" s="20">
        <f>VLOOKUP(A1391,Metrik!$C$2:$Y$959,11,0)</f>
        <v>2.1</v>
      </c>
      <c r="L1391" s="20">
        <f>VLOOKUP(A1391,Metrik!$C$2:$Y$959,12,0)</f>
        <v>0.16</v>
      </c>
      <c r="M1391" s="20">
        <f>VLOOKUP(A1391,Metrik!$C$2:$Y$959,19,0)</f>
        <v>14.2</v>
      </c>
      <c r="N1391" s="21"/>
      <c r="O1391" s="21"/>
      <c r="P1391" s="21"/>
      <c r="Q1391" s="21"/>
      <c r="R1391" s="21"/>
      <c r="S1391" s="21"/>
      <c r="T1391" s="21"/>
      <c r="U1391" s="22">
        <f>IFERROR(__xludf.DUMMYFUNCTION("IFERROR(GOOGLEFINANCE(A1391,""closeyest""),"""")"),100.0)</f>
        <v>100</v>
      </c>
      <c r="V1391" s="23">
        <f>IFERROR(__xludf.DUMMYFUNCTION("IFERROR(GOOGLEFINANCE(A1391,""changepct""),"""")"),11.0)</f>
        <v>11</v>
      </c>
      <c r="W1391" s="22">
        <f>IFERROR(__xludf.DUMMYFUNCTION("IFERROR(GOOGLEFINANCE(A1391,""priceopen""),"""")"),97.0)</f>
        <v>97</v>
      </c>
      <c r="X1391" s="22">
        <f>IFERROR(__xludf.DUMMYFUNCTION("IFERROR(GOOGLEFINANCE(A1391,""high""),"""")"),113.0)</f>
        <v>113</v>
      </c>
      <c r="Y1391" s="22">
        <f>IFERROR(__xludf.DUMMYFUNCTION("IFERROR(GOOGLEFINANCE(A1391,""low""),"""")"),94.0)</f>
        <v>94</v>
      </c>
      <c r="Z1391" s="22">
        <f>IFERROR(__xludf.DUMMYFUNCTION("IFERROR(GOOGLEFINANCE(A1391,""volume""),"""")"),8.88907E7)</f>
        <v>88890700</v>
      </c>
      <c r="AA1391" s="24" t="str">
        <f>VLOOKUP(A1391,Metrik!$C$2:$Y$959,5,0)</f>
        <v>Building Products &amp; Fixtures</v>
      </c>
      <c r="AB1391" s="24" t="str">
        <f>VLOOKUP(A1391,Metrik!$C$2:$Y$959,3,0)</f>
        <v>Industrials</v>
      </c>
    </row>
    <row r="1392">
      <c r="A1392" s="14" t="s">
        <v>746</v>
      </c>
      <c r="B1392" s="14" t="str">
        <f t="array" ref="B1392">VLOOKUP(A1392,{Metrik!$C$2:$C$998,Metrik!$B$2:$B$998},2,0)</f>
        <v>Pembangunan Jaya Ancol Tbk.</v>
      </c>
      <c r="C1392" s="15">
        <f>IFERROR(__xludf.DUMMYFUNCTION("GOOGLEFINANCE(""IDX:""&amp;A1392,""price"")"),440.0)</f>
        <v>440</v>
      </c>
      <c r="D1392" s="16" t="str">
        <f>IFERROR(__xludf.DUMMYFUNCTION("IF(A1392="""","""",
SPARKLINE(
INDEX(
GOOGLEFINANCE(""IDX:""&amp;A1392,""close"",TODAY()-365,TODAY()),
,2
),
{""linewidth"",1}
))
"),"#N/A")</f>
        <v>#N/A</v>
      </c>
      <c r="E1392" s="26"/>
      <c r="F1392" s="26"/>
      <c r="G1392" s="24">
        <f t="shared" si="9"/>
        <v>0</v>
      </c>
      <c r="H1392" s="19">
        <f>VLOOKUP(A1392,Metrik!$C$2:$Y$959,8,0)</f>
        <v>5</v>
      </c>
      <c r="I1392" s="20">
        <f>VLOOKUP(A1392,Metrik!$C$2:$Y$959,9,0)</f>
        <v>0.42</v>
      </c>
      <c r="J1392" s="20">
        <f>VLOOKUP(A1392,Metrik!$C$2:$Y$959,10,0)</f>
        <v>8.4</v>
      </c>
      <c r="K1392" s="20">
        <f>VLOOKUP(A1392,Metrik!$C$2:$Y$959,11,0)</f>
        <v>4.3</v>
      </c>
      <c r="L1392" s="20">
        <f>VLOOKUP(A1392,Metrik!$C$2:$Y$959,12,0)</f>
        <v>0.94</v>
      </c>
      <c r="M1392" s="20">
        <f>VLOOKUP(A1392,Metrik!$C$2:$Y$959,19,0)</f>
        <v>73.5</v>
      </c>
      <c r="N1392" s="21"/>
      <c r="O1392" s="21"/>
      <c r="P1392" s="21"/>
      <c r="Q1392" s="21"/>
      <c r="R1392" s="21"/>
      <c r="S1392" s="21"/>
      <c r="T1392" s="21"/>
      <c r="U1392" s="22">
        <f>IFERROR(__xludf.DUMMYFUNCTION("IFERROR(GOOGLEFINANCE(A1392,""closeyest""),"""")"),428.0)</f>
        <v>428</v>
      </c>
      <c r="V1392" s="23">
        <f>IFERROR(__xludf.DUMMYFUNCTION("IFERROR(GOOGLEFINANCE(A1392,""changepct""),"""")"),2.8)</f>
        <v>2.8</v>
      </c>
      <c r="W1392" s="22">
        <f>IFERROR(__xludf.DUMMYFUNCTION("IFERROR(GOOGLEFINANCE(A1392,""priceopen""),"""")"),436.0)</f>
        <v>436</v>
      </c>
      <c r="X1392" s="22">
        <f>IFERROR(__xludf.DUMMYFUNCTION("IFERROR(GOOGLEFINANCE(A1392,""high""),"""")"),444.0)</f>
        <v>444</v>
      </c>
      <c r="Y1392" s="22">
        <f>IFERROR(__xludf.DUMMYFUNCTION("IFERROR(GOOGLEFINANCE(A1392,""low""),"""")"),434.0)</f>
        <v>434</v>
      </c>
      <c r="Z1392" s="22">
        <f>IFERROR(__xludf.DUMMYFUNCTION("IFERROR(GOOGLEFINANCE(A1392,""volume""),"""")"),18800.0)</f>
        <v>18800</v>
      </c>
      <c r="AA1392" s="24" t="str">
        <f>VLOOKUP(A1392,Metrik!$C$2:$Y$959,5,0)</f>
        <v>Tourism &amp; Recreation</v>
      </c>
      <c r="AB1392" s="24" t="str">
        <f>VLOOKUP(A1392,Metrik!$C$2:$Y$959,3,0)</f>
        <v>Consumer Cyclicals</v>
      </c>
    </row>
    <row r="1393">
      <c r="A1393" s="14" t="s">
        <v>747</v>
      </c>
      <c r="B1393" s="14" t="str">
        <f t="array" ref="B1393">VLOOKUP(A1393,{Metrik!$C$2:$C$998,Metrik!$B$2:$B$998},2,0)</f>
        <v>Pelayaran Jaya Hidup Baru Tbk.</v>
      </c>
      <c r="C1393" s="15">
        <f>IFERROR(__xludf.DUMMYFUNCTION("GOOGLEFINANCE(""IDX:""&amp;A1393,""price"")"),177.0)</f>
        <v>177</v>
      </c>
      <c r="D1393" s="16" t="str">
        <f>IFERROR(__xludf.DUMMYFUNCTION("IF(A1393="""","""",
SPARKLINE(
INDEX(
GOOGLEFINANCE(""IDX:""&amp;A1393,""close"",TODAY()-365,TODAY()),
,2
),
{""linewidth"",1}
))
"),"#N/A")</f>
        <v>#N/A</v>
      </c>
      <c r="E1393" s="26"/>
      <c r="F1393" s="26"/>
      <c r="G1393" s="24">
        <f t="shared" si="9"/>
        <v>0</v>
      </c>
      <c r="H1393" s="19">
        <f>VLOOKUP(A1393,Metrik!$C$2:$Y$959,8,0)</f>
        <v>28.7</v>
      </c>
      <c r="I1393" s="20">
        <f>VLOOKUP(A1393,Metrik!$C$2:$Y$959,9,0)</f>
        <v>1.1</v>
      </c>
      <c r="J1393" s="20">
        <f>VLOOKUP(A1393,Metrik!$C$2:$Y$959,10,0)</f>
        <v>3.9</v>
      </c>
      <c r="K1393" s="20">
        <f>VLOOKUP(A1393,Metrik!$C$2:$Y$959,11,0)</f>
        <v>0</v>
      </c>
      <c r="L1393" s="20">
        <f>VLOOKUP(A1393,Metrik!$C$2:$Y$959,12,0)</f>
        <v>0.05</v>
      </c>
      <c r="M1393" s="20">
        <f>VLOOKUP(A1393,Metrik!$C$2:$Y$959,19,0)</f>
        <v>74.4</v>
      </c>
      <c r="N1393" s="21"/>
      <c r="O1393" s="21"/>
      <c r="P1393" s="21"/>
      <c r="Q1393" s="21"/>
      <c r="R1393" s="21"/>
      <c r="S1393" s="21"/>
      <c r="T1393" s="21"/>
      <c r="U1393" s="22">
        <f>IFERROR(__xludf.DUMMYFUNCTION("IFERROR(GOOGLEFINANCE(A1393,""closeyest""),"""")"),172.0)</f>
        <v>172</v>
      </c>
      <c r="V1393" s="23">
        <f>IFERROR(__xludf.DUMMYFUNCTION("IFERROR(GOOGLEFINANCE(A1393,""changepct""),"""")"),2.91)</f>
        <v>2.91</v>
      </c>
      <c r="W1393" s="22">
        <f>IFERROR(__xludf.DUMMYFUNCTION("IFERROR(GOOGLEFINANCE(A1393,""priceopen""),"""")"),174.0)</f>
        <v>174</v>
      </c>
      <c r="X1393" s="22">
        <f>IFERROR(__xludf.DUMMYFUNCTION("IFERROR(GOOGLEFINANCE(A1393,""high""),"""")"),180.0)</f>
        <v>180</v>
      </c>
      <c r="Y1393" s="22">
        <f>IFERROR(__xludf.DUMMYFUNCTION("IFERROR(GOOGLEFINANCE(A1393,""low""),"""")"),173.0)</f>
        <v>173</v>
      </c>
      <c r="Z1393" s="22">
        <f>IFERROR(__xludf.DUMMYFUNCTION("IFERROR(GOOGLEFINANCE(A1393,""volume""),"""")"),3101300.0)</f>
        <v>3101300</v>
      </c>
      <c r="AA1393" s="24" t="str">
        <f>VLOOKUP(A1393,Metrik!$C$2:$Y$959,5,0)</f>
        <v>Logistics &amp; Deliveries</v>
      </c>
      <c r="AB1393" s="24" t="str">
        <f>VLOOKUP(A1393,Metrik!$C$2:$Y$959,3,0)</f>
        <v>Transportation &amp; Logistic</v>
      </c>
    </row>
    <row r="1394">
      <c r="A1394" s="14" t="s">
        <v>748</v>
      </c>
      <c r="B1394" s="14" t="str">
        <f t="array" ref="B1394">VLOOKUP(A1394,{Metrik!$C$2:$C$998,Metrik!$B$2:$B$998},2,0)</f>
        <v>Paragon Karya Perkasa Tbk.</v>
      </c>
      <c r="C1394" s="15">
        <f>IFERROR(__xludf.DUMMYFUNCTION("GOOGLEFINANCE(""IDX:""&amp;A1394,""price"")"),2670.0)</f>
        <v>2670</v>
      </c>
      <c r="D1394" s="16" t="str">
        <f>IFERROR(__xludf.DUMMYFUNCTION("IF(A1394="""","""",
SPARKLINE(
INDEX(
GOOGLEFINANCE(""IDX:""&amp;A1394,""close"",TODAY()-365,TODAY()),
,2
),
{""linewidth"",1}
))
"),"#N/A")</f>
        <v>#N/A</v>
      </c>
      <c r="E1394" s="26"/>
      <c r="F1394" s="26"/>
      <c r="G1394" s="24">
        <f t="shared" si="9"/>
        <v>0</v>
      </c>
      <c r="H1394" s="19">
        <f>VLOOKUP(A1394,Metrik!$C$2:$Y$959,8,0)</f>
        <v>63.5</v>
      </c>
      <c r="I1394" s="20">
        <f>VLOOKUP(A1394,Metrik!$C$2:$Y$959,9,0)</f>
        <v>10.5</v>
      </c>
      <c r="J1394" s="20">
        <f>VLOOKUP(A1394,Metrik!$C$2:$Y$959,10,0)</f>
        <v>16.5</v>
      </c>
      <c r="K1394" s="20">
        <f>VLOOKUP(A1394,Metrik!$C$2:$Y$959,11,0)</f>
        <v>7.9</v>
      </c>
      <c r="L1394" s="20">
        <f>VLOOKUP(A1394,Metrik!$C$2:$Y$959,12,0)</f>
        <v>1.1</v>
      </c>
      <c r="M1394" s="20">
        <f>VLOOKUP(A1394,Metrik!$C$2:$Y$959,19,0)</f>
        <v>28.4</v>
      </c>
      <c r="N1394" s="21"/>
      <c r="O1394" s="21"/>
      <c r="P1394" s="21"/>
      <c r="Q1394" s="21"/>
      <c r="R1394" s="21"/>
      <c r="S1394" s="21"/>
      <c r="T1394" s="21"/>
      <c r="U1394" s="22">
        <f>IFERROR(__xludf.DUMMYFUNCTION("IFERROR(GOOGLEFINANCE(A1394,""closeyest""),"""")"),2680.0)</f>
        <v>2680</v>
      </c>
      <c r="V1394" s="23">
        <f>IFERROR(__xludf.DUMMYFUNCTION("IFERROR(GOOGLEFINANCE(A1394,""changepct""),"""")"),-0.37)</f>
        <v>-0.37</v>
      </c>
      <c r="W1394" s="22">
        <f>IFERROR(__xludf.DUMMYFUNCTION("IFERROR(GOOGLEFINANCE(A1394,""priceopen""),"""")"),2600.0)</f>
        <v>2600</v>
      </c>
      <c r="X1394" s="22">
        <f>IFERROR(__xludf.DUMMYFUNCTION("IFERROR(GOOGLEFINANCE(A1394,""high""),"""")"),2760.0)</f>
        <v>2760</v>
      </c>
      <c r="Y1394" s="22" t="str">
        <f>IFERROR(__xludf.DUMMYFUNCTION("IFERROR(GOOGLEFINANCE(A1394,""low""),"""")"),"")</f>
        <v/>
      </c>
      <c r="Z1394" s="22">
        <f>IFERROR(__xludf.DUMMYFUNCTION("IFERROR(GOOGLEFINANCE(A1394,""volume""),"""")"),864700.0)</f>
        <v>864700</v>
      </c>
      <c r="AA1394" s="24" t="str">
        <f>VLOOKUP(A1394,Metrik!$C$2:$Y$959,5,0)</f>
        <v>Oil, Gas &amp; Coal Supports</v>
      </c>
      <c r="AB1394" s="24" t="str">
        <f>VLOOKUP(A1394,Metrik!$C$2:$Y$959,3,0)</f>
        <v>Energy</v>
      </c>
    </row>
    <row r="1395">
      <c r="A1395" s="14" t="s">
        <v>749</v>
      </c>
      <c r="B1395" s="14" t="str">
        <f t="array" ref="B1395">VLOOKUP(A1395,{Metrik!$C$2:$C$998,Metrik!$B$2:$B$998},2,0)</f>
        <v>Planet Properindo Jaya Tbk.</v>
      </c>
      <c r="C1395" s="15">
        <f>IFERROR(__xludf.DUMMYFUNCTION("GOOGLEFINANCE(""IDX:""&amp;A1395,""price"")"),39.0)</f>
        <v>39</v>
      </c>
      <c r="D1395" s="16" t="str">
        <f>IFERROR(__xludf.DUMMYFUNCTION("IF(A1395="""","""",
SPARKLINE(
INDEX(
GOOGLEFINANCE(""IDX:""&amp;A1395,""close"",TODAY()-365,TODAY()),
,2
),
{""linewidth"",1}
))
"),"#N/A")</f>
        <v>#N/A</v>
      </c>
      <c r="E1395" s="26"/>
      <c r="F1395" s="26"/>
      <c r="G1395" s="24">
        <f t="shared" si="9"/>
        <v>0</v>
      </c>
      <c r="H1395" s="19">
        <f>VLOOKUP(A1395,Metrik!$C$2:$Y$959,8,0)</f>
        <v>-6.7</v>
      </c>
      <c r="I1395" s="20">
        <f>VLOOKUP(A1395,Metrik!$C$2:$Y$959,9,0)</f>
        <v>0.67</v>
      </c>
      <c r="J1395" s="20">
        <f>VLOOKUP(A1395,Metrik!$C$2:$Y$959,10,0)</f>
        <v>-9.9</v>
      </c>
      <c r="K1395" s="20">
        <f>VLOOKUP(A1395,Metrik!$C$2:$Y$959,11,0)</f>
        <v>-6.7</v>
      </c>
      <c r="L1395" s="20">
        <f>VLOOKUP(A1395,Metrik!$C$2:$Y$959,12,0)</f>
        <v>0.48</v>
      </c>
      <c r="M1395" s="20">
        <f>VLOOKUP(A1395,Metrik!$C$2:$Y$959,19,0)</f>
        <v>-42.1</v>
      </c>
      <c r="N1395" s="21"/>
      <c r="O1395" s="21"/>
      <c r="P1395" s="21"/>
      <c r="Q1395" s="21"/>
      <c r="R1395" s="21"/>
      <c r="S1395" s="21"/>
      <c r="T1395" s="21"/>
      <c r="U1395" s="22">
        <f>IFERROR(__xludf.DUMMYFUNCTION("IFERROR(GOOGLEFINANCE(A1395,""closeyest""),"""")"),0.37)</f>
        <v>0.37</v>
      </c>
      <c r="V1395" s="23">
        <f>IFERROR(__xludf.DUMMYFUNCTION("IFERROR(GOOGLEFINANCE(A1395,""changepct""),"""")"),-5.41)</f>
        <v>-5.41</v>
      </c>
      <c r="W1395" s="22">
        <f>IFERROR(__xludf.DUMMYFUNCTION("IFERROR(GOOGLEFINANCE(A1395,""priceopen""),"""")"),0.35)</f>
        <v>0.35</v>
      </c>
      <c r="X1395" s="22">
        <f>IFERROR(__xludf.DUMMYFUNCTION("IFERROR(GOOGLEFINANCE(A1395,""high""),"""")"),0.35)</f>
        <v>0.35</v>
      </c>
      <c r="Y1395" s="22">
        <f>IFERROR(__xludf.DUMMYFUNCTION("IFERROR(GOOGLEFINANCE(A1395,""low""),"""")"),0.35)</f>
        <v>0.35</v>
      </c>
      <c r="Z1395" s="22">
        <f>IFERROR(__xludf.DUMMYFUNCTION("IFERROR(GOOGLEFINANCE(A1395,""volume""),"""")"),2375.0)</f>
        <v>2375</v>
      </c>
      <c r="AA1395" s="24" t="str">
        <f>VLOOKUP(A1395,Metrik!$C$2:$Y$959,5,0)</f>
        <v>Tourism &amp; Recreation</v>
      </c>
      <c r="AB1395" s="24" t="str">
        <f>VLOOKUP(A1395,Metrik!$C$2:$Y$959,3,0)</f>
        <v>Consumer Cyclicals</v>
      </c>
    </row>
    <row r="1396">
      <c r="A1396" s="14" t="s">
        <v>750</v>
      </c>
      <c r="B1396" s="14" t="str">
        <f t="array" ref="B1396">VLOOKUP(A1396,{Metrik!$C$2:$C$998,Metrik!$B$2:$B$998},2,0)</f>
        <v>Polaris Investama Tbk</v>
      </c>
      <c r="C1396" s="15">
        <f>IFERROR(__xludf.DUMMYFUNCTION("GOOGLEFINANCE(""IDX:""&amp;A1396,""price"")"),50.0)</f>
        <v>50</v>
      </c>
      <c r="D1396" s="16" t="str">
        <f>IFERROR(__xludf.DUMMYFUNCTION("IF(A1396="""","""",
SPARKLINE(
INDEX(
GOOGLEFINANCE(""IDX:""&amp;A1396,""close"",TODAY()-365,TODAY()),
,2
),
{""linewidth"",1}
))
"),"#N/A")</f>
        <v>#N/A</v>
      </c>
      <c r="E1396" s="26"/>
      <c r="F1396" s="26"/>
      <c r="G1396" s="24">
        <f t="shared" si="9"/>
        <v>0</v>
      </c>
      <c r="H1396" s="19">
        <f>VLOOKUP(A1396,Metrik!$C$2:$Y$959,8,0)</f>
        <v>0</v>
      </c>
      <c r="I1396" s="20">
        <f>VLOOKUP(A1396,Metrik!$C$2:$Y$959,9,0)</f>
        <v>0.38</v>
      </c>
      <c r="J1396" s="20">
        <f>VLOOKUP(A1396,Metrik!$C$2:$Y$959,10,0)</f>
        <v>-0.24</v>
      </c>
      <c r="K1396" s="20">
        <f>VLOOKUP(A1396,Metrik!$C$2:$Y$959,11,0)</f>
        <v>-0.2</v>
      </c>
      <c r="L1396" s="20">
        <f>VLOOKUP(A1396,Metrik!$C$2:$Y$959,12,0)</f>
        <v>0.2</v>
      </c>
      <c r="M1396" s="20">
        <f>VLOOKUP(A1396,Metrik!$C$2:$Y$959,19,0)</f>
        <v>-18.9</v>
      </c>
      <c r="N1396" s="21"/>
      <c r="O1396" s="21"/>
      <c r="P1396" s="21"/>
      <c r="Q1396" s="21"/>
      <c r="R1396" s="21"/>
      <c r="S1396" s="21"/>
      <c r="T1396" s="21"/>
      <c r="U1396" s="22">
        <f>IFERROR(__xludf.DUMMYFUNCTION("IFERROR(GOOGLEFINANCE(A1396,""closeyest""),"""")"),0.2)</f>
        <v>0.2</v>
      </c>
      <c r="V1396" s="23">
        <f>IFERROR(__xludf.DUMMYFUNCTION("IFERROR(GOOGLEFINANCE(A1396,""changepct""),"""")"),-2.5)</f>
        <v>-2.5</v>
      </c>
      <c r="W1396" s="22">
        <f>IFERROR(__xludf.DUMMYFUNCTION("IFERROR(GOOGLEFINANCE(A1396,""priceopen""),"""")"),0.19)</f>
        <v>0.19</v>
      </c>
      <c r="X1396" s="22">
        <f>IFERROR(__xludf.DUMMYFUNCTION("IFERROR(GOOGLEFINANCE(A1396,""high""),"""")"),0.21)</f>
        <v>0.21</v>
      </c>
      <c r="Y1396" s="22">
        <f>IFERROR(__xludf.DUMMYFUNCTION("IFERROR(GOOGLEFINANCE(A1396,""low""),"""")"),0.19)</f>
        <v>0.19</v>
      </c>
      <c r="Z1396" s="22">
        <f>IFERROR(__xludf.DUMMYFUNCTION("IFERROR(GOOGLEFINANCE(A1396,""volume""),"""")"),361526.0)</f>
        <v>361526</v>
      </c>
      <c r="AA1396" s="24" t="str">
        <f>VLOOKUP(A1396,Metrik!$C$2:$Y$959,5,0)</f>
        <v>Holding &amp; Investment Companies</v>
      </c>
      <c r="AB1396" s="24" t="str">
        <f>VLOOKUP(A1396,Metrik!$C$2:$Y$959,3,0)</f>
        <v>Financials</v>
      </c>
    </row>
    <row r="1397">
      <c r="A1397" s="14" t="s">
        <v>751</v>
      </c>
      <c r="B1397" s="14" t="str">
        <f t="array" ref="B1397">VLOOKUP(A1397,{Metrik!$C$2:$C$998,Metrik!$B$2:$B$998},2,0)</f>
        <v>Plaza Indonesia Realty Tbk.</v>
      </c>
      <c r="C1397" s="15">
        <f>IFERROR(__xludf.DUMMYFUNCTION("GOOGLEFINANCE(""IDX:""&amp;A1397,""price"")"),2510.0)</f>
        <v>2510</v>
      </c>
      <c r="D1397" s="16" t="str">
        <f>IFERROR(__xludf.DUMMYFUNCTION("IF(A1397="""","""",
SPARKLINE(
INDEX(
GOOGLEFINANCE(""IDX:""&amp;A1397,""close"",TODAY()-365,TODAY()),
,2
),
{""linewidth"",1}
))
"),"#N/A")</f>
        <v>#N/A</v>
      </c>
      <c r="E1397" s="26"/>
      <c r="F1397" s="26"/>
      <c r="G1397" s="24">
        <f t="shared" si="9"/>
        <v>0</v>
      </c>
      <c r="H1397" s="19">
        <f>VLOOKUP(A1397,Metrik!$C$2:$Y$959,8,0)</f>
        <v>13.6</v>
      </c>
      <c r="I1397" s="20">
        <f>VLOOKUP(A1397,Metrik!$C$2:$Y$959,9,0)</f>
        <v>0.77</v>
      </c>
      <c r="J1397" s="20">
        <f>VLOOKUP(A1397,Metrik!$C$2:$Y$959,10,0)</f>
        <v>5.7</v>
      </c>
      <c r="K1397" s="20">
        <f>VLOOKUP(A1397,Metrik!$C$2:$Y$959,11,0)</f>
        <v>5</v>
      </c>
      <c r="L1397" s="20">
        <f>VLOOKUP(A1397,Metrik!$C$2:$Y$959,12,0)</f>
        <v>0.13</v>
      </c>
      <c r="M1397" s="20">
        <f>VLOOKUP(A1397,Metrik!$C$2:$Y$959,19,0)</f>
        <v>180</v>
      </c>
      <c r="N1397" s="21"/>
      <c r="O1397" s="21"/>
      <c r="P1397" s="21"/>
      <c r="Q1397" s="21"/>
      <c r="R1397" s="21"/>
      <c r="S1397" s="21"/>
      <c r="T1397" s="21"/>
      <c r="U1397" s="22">
        <f>IFERROR(__xludf.DUMMYFUNCTION("IFERROR(GOOGLEFINANCE(A1397,""closeyest""),"""")"),2510.0)</f>
        <v>2510</v>
      </c>
      <c r="V1397" s="23">
        <f>IFERROR(__xludf.DUMMYFUNCTION("IFERROR(GOOGLEFINANCE(A1397,""changepct""),"""")"),0.0)</f>
        <v>0</v>
      </c>
      <c r="W1397" s="22" t="str">
        <f>IFERROR(__xludf.DUMMYFUNCTION("IFERROR(GOOGLEFINANCE(A1397,""priceopen""),"""")"),"")</f>
        <v/>
      </c>
      <c r="X1397" s="22" t="str">
        <f>IFERROR(__xludf.DUMMYFUNCTION("IFERROR(GOOGLEFINANCE(A1397,""high""),"""")"),"")</f>
        <v/>
      </c>
      <c r="Y1397" s="22" t="str">
        <f>IFERROR(__xludf.DUMMYFUNCTION("IFERROR(GOOGLEFINANCE(A1397,""low""),"""")"),"")</f>
        <v/>
      </c>
      <c r="Z1397" s="22">
        <f>IFERROR(__xludf.DUMMYFUNCTION("IFERROR(GOOGLEFINANCE(A1397,""volume""),"""")"),0.0)</f>
        <v>0</v>
      </c>
      <c r="AA1397" s="24" t="str">
        <f>VLOOKUP(A1397,Metrik!$C$2:$Y$959,5,0)</f>
        <v>Real Estate Management &amp; Development</v>
      </c>
      <c r="AB1397" s="24" t="str">
        <f>VLOOKUP(A1397,Metrik!$C$2:$Y$959,3,0)</f>
        <v>Properties &amp; Real Estate</v>
      </c>
    </row>
    <row r="1398">
      <c r="A1398" s="14" t="s">
        <v>752</v>
      </c>
      <c r="B1398" s="14" t="str">
        <f t="array" ref="B1398">VLOOKUP(A1398,{Metrik!$C$2:$C$998,Metrik!$B$2:$B$998},2,0)</f>
        <v>Putra Mandiri Jembar Tbk.</v>
      </c>
      <c r="C1398" s="15">
        <f>IFERROR(__xludf.DUMMYFUNCTION("GOOGLEFINANCE(""IDX:""&amp;A1398,""price"")"),106.0)</f>
        <v>106</v>
      </c>
      <c r="D1398" s="16" t="str">
        <f>IFERROR(__xludf.DUMMYFUNCTION("IF(A1398="""","""",
SPARKLINE(
INDEX(
GOOGLEFINANCE(""IDX:""&amp;A1398,""close"",TODAY()-365,TODAY()),
,2
),
{""linewidth"",1}
))
"),"#N/A")</f>
        <v>#N/A</v>
      </c>
      <c r="E1398" s="26"/>
      <c r="F1398" s="26"/>
      <c r="G1398" s="24">
        <f t="shared" si="9"/>
        <v>0</v>
      </c>
      <c r="H1398" s="19">
        <f>VLOOKUP(A1398,Metrik!$C$2:$Y$959,8,0)</f>
        <v>11.7</v>
      </c>
      <c r="I1398" s="20">
        <f>VLOOKUP(A1398,Metrik!$C$2:$Y$959,9,0)</f>
        <v>0.47</v>
      </c>
      <c r="J1398" s="20">
        <f>VLOOKUP(A1398,Metrik!$C$2:$Y$959,10,0)</f>
        <v>4.1</v>
      </c>
      <c r="K1398" s="20">
        <f>VLOOKUP(A1398,Metrik!$C$2:$Y$959,11,0)</f>
        <v>1.6</v>
      </c>
      <c r="L1398" s="20">
        <f>VLOOKUP(A1398,Metrik!$C$2:$Y$959,12,0)</f>
        <v>1.5</v>
      </c>
      <c r="M1398" s="20">
        <f>VLOOKUP(A1398,Metrik!$C$2:$Y$959,19,0)</f>
        <v>5.5</v>
      </c>
      <c r="N1398" s="21"/>
      <c r="O1398" s="21"/>
      <c r="P1398" s="21"/>
      <c r="Q1398" s="21"/>
      <c r="R1398" s="21"/>
      <c r="S1398" s="21"/>
      <c r="T1398" s="21"/>
      <c r="U1398" s="22">
        <f>IFERROR(__xludf.DUMMYFUNCTION("IFERROR(GOOGLEFINANCE(A1398,""closeyest""),"""")"),106.0)</f>
        <v>106</v>
      </c>
      <c r="V1398" s="23">
        <f>IFERROR(__xludf.DUMMYFUNCTION("IFERROR(GOOGLEFINANCE(A1398,""changepct""),"""")"),0.0)</f>
        <v>0</v>
      </c>
      <c r="W1398" s="22">
        <f>IFERROR(__xludf.DUMMYFUNCTION("IFERROR(GOOGLEFINANCE(A1398,""priceopen""),"""")"),106.0)</f>
        <v>106</v>
      </c>
      <c r="X1398" s="22">
        <f>IFERROR(__xludf.DUMMYFUNCTION("IFERROR(GOOGLEFINANCE(A1398,""high""),"""")"),112.0)</f>
        <v>112</v>
      </c>
      <c r="Y1398" s="22">
        <f>IFERROR(__xludf.DUMMYFUNCTION("IFERROR(GOOGLEFINANCE(A1398,""low""),"""")"),105.0)</f>
        <v>105</v>
      </c>
      <c r="Z1398" s="22">
        <f>IFERROR(__xludf.DUMMYFUNCTION("IFERROR(GOOGLEFINANCE(A1398,""volume""),"""")"),857400.0)</f>
        <v>857400</v>
      </c>
      <c r="AA1398" s="24" t="str">
        <f>VLOOKUP(A1398,Metrik!$C$2:$Y$959,5,0)</f>
        <v>Specialty Retail</v>
      </c>
      <c r="AB1398" s="24" t="str">
        <f>VLOOKUP(A1398,Metrik!$C$2:$Y$959,3,0)</f>
        <v>Consumer Cyclicals</v>
      </c>
    </row>
    <row r="1399">
      <c r="A1399" s="14" t="s">
        <v>753</v>
      </c>
      <c r="B1399" s="14" t="str">
        <f t="array" ref="B1399">VLOOKUP(A1399,{Metrik!$C$2:$C$998,Metrik!$B$2:$B$998},2,0)</f>
        <v>Panca Mitra Multiperdana Tbk.</v>
      </c>
      <c r="C1399" s="15">
        <f>IFERROR(__xludf.DUMMYFUNCTION("GOOGLEFINANCE(""IDX:""&amp;A1399,""price"")"),50.0)</f>
        <v>50</v>
      </c>
      <c r="D1399" s="16" t="str">
        <f>IFERROR(__xludf.DUMMYFUNCTION("IF(A1399="""","""",
SPARKLINE(
INDEX(
GOOGLEFINANCE(""IDX:""&amp;A1399,""close"",TODAY()-365,TODAY()),
,2
),
{""linewidth"",1}
))
"),"#N/A")</f>
        <v>#N/A</v>
      </c>
      <c r="E1399" s="26"/>
      <c r="F1399" s="26"/>
      <c r="G1399" s="24">
        <f t="shared" si="9"/>
        <v>0</v>
      </c>
      <c r="H1399" s="19">
        <f>VLOOKUP(A1399,Metrik!$C$2:$Y$959,8,0)</f>
        <v>-0.05</v>
      </c>
      <c r="I1399" s="20">
        <f>VLOOKUP(A1399,Metrik!$C$2:$Y$959,9,0)</f>
        <v>-0.1</v>
      </c>
      <c r="J1399" s="20">
        <f>VLOOKUP(A1399,Metrik!$C$2:$Y$959,10,0)</f>
        <v>0</v>
      </c>
      <c r="K1399" s="20">
        <f>VLOOKUP(A1399,Metrik!$C$2:$Y$959,11,0)</f>
        <v>-92.3</v>
      </c>
      <c r="L1399" s="20">
        <f>VLOOKUP(A1399,Metrik!$C$2:$Y$959,12,0)</f>
        <v>-3.1</v>
      </c>
      <c r="M1399" s="20">
        <f>VLOOKUP(A1399,Metrik!$C$2:$Y$959,19,0)</f>
        <v>-460</v>
      </c>
      <c r="N1399" s="21"/>
      <c r="O1399" s="21"/>
      <c r="P1399" s="21"/>
      <c r="Q1399" s="21"/>
      <c r="R1399" s="21"/>
      <c r="S1399" s="21"/>
      <c r="T1399" s="21"/>
      <c r="U1399" s="22">
        <f>IFERROR(__xludf.DUMMYFUNCTION("IFERROR(GOOGLEFINANCE(A1399,""closeyest""),"""")"),50.0)</f>
        <v>50</v>
      </c>
      <c r="V1399" s="23">
        <f>IFERROR(__xludf.DUMMYFUNCTION("IFERROR(GOOGLEFINANCE(A1399,""changepct""),"""")"),0.0)</f>
        <v>0</v>
      </c>
      <c r="W1399" s="22" t="str">
        <f>IFERROR(__xludf.DUMMYFUNCTION("IFERROR(GOOGLEFINANCE(A1399,""priceopen""),"""")"),"")</f>
        <v/>
      </c>
      <c r="X1399" s="22" t="str">
        <f>IFERROR(__xludf.DUMMYFUNCTION("IFERROR(GOOGLEFINANCE(A1399,""high""),"""")"),"")</f>
        <v/>
      </c>
      <c r="Y1399" s="22" t="str">
        <f>IFERROR(__xludf.DUMMYFUNCTION("IFERROR(GOOGLEFINANCE(A1399,""low""),"""")"),"")</f>
        <v/>
      </c>
      <c r="Z1399" s="22">
        <f>IFERROR(__xludf.DUMMYFUNCTION("IFERROR(GOOGLEFINANCE(A1399,""volume""),"""")"),0.0)</f>
        <v>0</v>
      </c>
      <c r="AA1399" s="24" t="str">
        <f>VLOOKUP(A1399,Metrik!$C$2:$Y$959,5,0)</f>
        <v>Processed Foods</v>
      </c>
      <c r="AB1399" s="24" t="str">
        <f>VLOOKUP(A1399,Metrik!$C$2:$Y$959,3,0)</f>
        <v>Consumer Non-Cyclicals</v>
      </c>
    </row>
    <row r="1400">
      <c r="A1400" s="14" t="s">
        <v>754</v>
      </c>
      <c r="B1400" s="14" t="str">
        <f t="array" ref="B1400">VLOOKUP(A1400,{Metrik!$C$2:$C$998,Metrik!$B$2:$B$998},2,0)</f>
        <v>Prima Multi Usaha Indonesia Tbk.</v>
      </c>
      <c r="C1400" s="15">
        <f>IFERROR(__xludf.DUMMYFUNCTION("GOOGLEFINANCE(""IDX:""&amp;A1400,""price"")"),68.0)</f>
        <v>68</v>
      </c>
      <c r="D1400" s="16" t="str">
        <f>IFERROR(__xludf.DUMMYFUNCTION("IF(A1400="""","""",
SPARKLINE(
INDEX(
GOOGLEFINANCE(""IDX:""&amp;A1400,""close"",TODAY()-365,TODAY()),
,2
),
{""linewidth"",1}
))
"),"#N/A")</f>
        <v>#N/A</v>
      </c>
      <c r="E1400" s="26"/>
      <c r="F1400" s="26"/>
      <c r="G1400" s="24">
        <f t="shared" si="9"/>
        <v>0</v>
      </c>
      <c r="H1400" s="19">
        <f>VLOOKUP(A1400,Metrik!$C$2:$Y$959,8,0)</f>
        <v>10.2</v>
      </c>
      <c r="I1400" s="20">
        <f>VLOOKUP(A1400,Metrik!$C$2:$Y$959,9,0)</f>
        <v>0.9</v>
      </c>
      <c r="J1400" s="20">
        <f>VLOOKUP(A1400,Metrik!$C$2:$Y$959,10,0)</f>
        <v>8.8</v>
      </c>
      <c r="K1400" s="20">
        <f>VLOOKUP(A1400,Metrik!$C$2:$Y$959,11,0)</f>
        <v>6.7</v>
      </c>
      <c r="L1400" s="20">
        <f>VLOOKUP(A1400,Metrik!$C$2:$Y$959,12,0)</f>
        <v>0.31</v>
      </c>
      <c r="M1400" s="20">
        <f>VLOOKUP(A1400,Metrik!$C$2:$Y$959,19,0)</f>
        <v>3.5</v>
      </c>
      <c r="N1400" s="21"/>
      <c r="O1400" s="21"/>
      <c r="P1400" s="21"/>
      <c r="Q1400" s="21"/>
      <c r="R1400" s="21"/>
      <c r="S1400" s="21"/>
      <c r="T1400" s="21"/>
      <c r="U1400" s="22">
        <f>IFERROR(__xludf.DUMMYFUNCTION("IFERROR(GOOGLEFINANCE(A1400,""closeyest""),"""")"),65.0)</f>
        <v>65</v>
      </c>
      <c r="V1400" s="23" t="str">
        <f>IFERROR(__xludf.DUMMYFUNCTION("IFERROR(GOOGLEFINANCE(A1400,""changepct""),"""")"),"")</f>
        <v/>
      </c>
      <c r="W1400" s="22" t="str">
        <f>IFERROR(__xludf.DUMMYFUNCTION("IFERROR(GOOGLEFINANCE(A1400,""priceopen""),"""")"),"")</f>
        <v/>
      </c>
      <c r="X1400" s="22">
        <f>IFERROR(__xludf.DUMMYFUNCTION("IFERROR(GOOGLEFINANCE(A1400,""high""),"""")"),70.0)</f>
        <v>70</v>
      </c>
      <c r="Y1400" s="22">
        <f>IFERROR(__xludf.DUMMYFUNCTION("IFERROR(GOOGLEFINANCE(A1400,""low""),"""")"),65.0)</f>
        <v>65</v>
      </c>
      <c r="Z1400" s="22">
        <f>IFERROR(__xludf.DUMMYFUNCTION("IFERROR(GOOGLEFINANCE(A1400,""volume""),"""")"),2309400.0)</f>
        <v>2309400</v>
      </c>
      <c r="AA1400" s="24" t="str">
        <f>VLOOKUP(A1400,Metrik!$C$2:$Y$959,5,0)</f>
        <v>Consumer Distributors</v>
      </c>
      <c r="AB1400" s="24" t="str">
        <f>VLOOKUP(A1400,Metrik!$C$2:$Y$959,3,0)</f>
        <v>Consumer Cyclicals</v>
      </c>
    </row>
    <row r="1401">
      <c r="A1401" s="14" t="s">
        <v>755</v>
      </c>
      <c r="B1401" s="14" t="str">
        <f t="array" ref="B1401">VLOOKUP(A1401,{Metrik!$C$2:$C$998,Metrik!$B$2:$B$998},2,0)</f>
        <v>Bank Pan Indonesia Tbk</v>
      </c>
      <c r="C1401" s="15" t="str">
        <f>IFERROR(__xludf.DUMMYFUNCTION("GOOGLEFINANCE(""IDX:""&amp;A1401,""price"")"),"#N/A")</f>
        <v>#N/A</v>
      </c>
      <c r="D1401" s="16" t="str">
        <f>IFERROR(__xludf.DUMMYFUNCTION("IF(A1401="""","""",
SPARKLINE(
INDEX(
GOOGLEFINANCE(""IDX:""&amp;A1401,""close"",TODAY()-365,TODAY()),
,2
),
{""linewidth"",1}
))
"),"#N/A")</f>
        <v>#N/A</v>
      </c>
      <c r="E1401" s="14" t="s">
        <v>75</v>
      </c>
      <c r="F1401" s="14" t="s">
        <v>76</v>
      </c>
      <c r="G1401" s="24">
        <f t="shared" si="9"/>
        <v>3</v>
      </c>
      <c r="H1401" s="19">
        <f>VLOOKUP(A1401,Metrik!$C$2:$Y$959,8,0)</f>
        <v>8.4</v>
      </c>
      <c r="I1401" s="20">
        <f>VLOOKUP(A1401,Metrik!$C$2:$Y$959,9,0)</f>
        <v>0.39</v>
      </c>
      <c r="J1401" s="20">
        <f>VLOOKUP(A1401,Metrik!$C$2:$Y$959,10,0)</f>
        <v>4.7</v>
      </c>
      <c r="K1401" s="20">
        <f>VLOOKUP(A1401,Metrik!$C$2:$Y$959,11,0)</f>
        <v>1.2</v>
      </c>
      <c r="L1401" s="20">
        <f>VLOOKUP(A1401,Metrik!$C$2:$Y$959,12,0)</f>
        <v>2.6</v>
      </c>
      <c r="M1401" s="20">
        <f>VLOOKUP(A1401,Metrik!$C$2:$Y$959,19,0)</f>
        <v>70.4</v>
      </c>
      <c r="N1401" s="44">
        <v>3.67</v>
      </c>
      <c r="O1401" s="44">
        <v>32.41</v>
      </c>
      <c r="P1401" s="44">
        <v>87.4</v>
      </c>
      <c r="Q1401" s="44">
        <v>3.03</v>
      </c>
      <c r="R1401" s="44">
        <v>81.11</v>
      </c>
      <c r="S1401" s="44">
        <v>50.49</v>
      </c>
      <c r="T1401" s="44">
        <v>9.47</v>
      </c>
      <c r="U1401" s="22">
        <f>IFERROR(__xludf.DUMMYFUNCTION("IFERROR(GOOGLEFINANCE(A1401,""closeyest""),"""")"),915.0)</f>
        <v>915</v>
      </c>
      <c r="V1401" s="23">
        <f>IFERROR(__xludf.DUMMYFUNCTION("IFERROR(GOOGLEFINANCE(A1401,""changepct""),"""")"),0.0)</f>
        <v>0</v>
      </c>
      <c r="W1401" s="22">
        <f>IFERROR(__xludf.DUMMYFUNCTION("IFERROR(GOOGLEFINANCE(A1401,""priceopen""),"""")"),930.0)</f>
        <v>930</v>
      </c>
      <c r="X1401" s="22">
        <f>IFERROR(__xludf.DUMMYFUNCTION("IFERROR(GOOGLEFINANCE(A1401,""high""),"""")"),940.0)</f>
        <v>940</v>
      </c>
      <c r="Y1401" s="22">
        <f>IFERROR(__xludf.DUMMYFUNCTION("IFERROR(GOOGLEFINANCE(A1401,""low""),"""")"),915.0)</f>
        <v>915</v>
      </c>
      <c r="Z1401" s="22">
        <f>IFERROR(__xludf.DUMMYFUNCTION("IFERROR(GOOGLEFINANCE(A1401,""volume""),"""")"),527900.0)</f>
        <v>527900</v>
      </c>
      <c r="AA1401" s="24" t="str">
        <f>VLOOKUP(A1401,Metrik!$C$2:$Y$959,5,0)</f>
        <v>Banks</v>
      </c>
      <c r="AB1401" s="24" t="str">
        <f>VLOOKUP(A1401,Metrik!$C$2:$Y$959,3,0)</f>
        <v>Financials</v>
      </c>
    </row>
    <row r="1402">
      <c r="A1402" s="14" t="s">
        <v>755</v>
      </c>
      <c r="B1402" s="14" t="str">
        <f t="array" ref="B1402">VLOOKUP(A1402,{Metrik!$C$2:$C$998,Metrik!$B$2:$B$998},2,0)</f>
        <v>Bank Pan Indonesia Tbk</v>
      </c>
      <c r="C1402" s="15" t="str">
        <f>IFERROR(__xludf.DUMMYFUNCTION("GOOGLEFINANCE(""IDX:""&amp;A1402,""price"")"),"#N/A")</f>
        <v>#N/A</v>
      </c>
      <c r="D1402" s="16" t="str">
        <f>IFERROR(__xludf.DUMMYFUNCTION("IF(A1402="""","""",
SPARKLINE(
INDEX(
GOOGLEFINANCE(""IDX:""&amp;A1402,""close"",TODAY()-365,TODAY()),
,2
),
{""linewidth"",1}
))
"),"#N/A")</f>
        <v>#N/A</v>
      </c>
      <c r="E1402" s="14" t="s">
        <v>161</v>
      </c>
      <c r="F1402" s="14" t="s">
        <v>76</v>
      </c>
      <c r="G1402" s="24">
        <f t="shared" si="9"/>
        <v>3</v>
      </c>
      <c r="H1402" s="19">
        <f>VLOOKUP(A1402,Metrik!$C$2:$Y$959,8,0)</f>
        <v>8.4</v>
      </c>
      <c r="I1402" s="20">
        <f>VLOOKUP(A1402,Metrik!$C$2:$Y$959,9,0)</f>
        <v>0.39</v>
      </c>
      <c r="J1402" s="20">
        <f>VLOOKUP(A1402,Metrik!$C$2:$Y$959,10,0)</f>
        <v>4.7</v>
      </c>
      <c r="K1402" s="20">
        <f>VLOOKUP(A1402,Metrik!$C$2:$Y$959,11,0)</f>
        <v>1.2</v>
      </c>
      <c r="L1402" s="20">
        <f>VLOOKUP(A1402,Metrik!$C$2:$Y$959,12,0)</f>
        <v>2.6</v>
      </c>
      <c r="M1402" s="20">
        <f>VLOOKUP(A1402,Metrik!$C$2:$Y$959,19,0)</f>
        <v>70.4</v>
      </c>
      <c r="N1402" s="44">
        <v>3.67</v>
      </c>
      <c r="O1402" s="44">
        <v>32.41</v>
      </c>
      <c r="P1402" s="44">
        <v>87.4</v>
      </c>
      <c r="Q1402" s="44">
        <v>3.03</v>
      </c>
      <c r="R1402" s="44">
        <v>81.11</v>
      </c>
      <c r="S1402" s="44">
        <v>50.49</v>
      </c>
      <c r="T1402" s="44">
        <v>9.47</v>
      </c>
      <c r="U1402" s="22">
        <f>IFERROR(__xludf.DUMMYFUNCTION("IFERROR(GOOGLEFINANCE(A1402,""closeyest""),"""")"),915.0)</f>
        <v>915</v>
      </c>
      <c r="V1402" s="23">
        <f>IFERROR(__xludf.DUMMYFUNCTION("IFERROR(GOOGLEFINANCE(A1402,""changepct""),"""")"),0.0)</f>
        <v>0</v>
      </c>
      <c r="W1402" s="22">
        <f>IFERROR(__xludf.DUMMYFUNCTION("IFERROR(GOOGLEFINANCE(A1402,""priceopen""),"""")"),930.0)</f>
        <v>930</v>
      </c>
      <c r="X1402" s="22">
        <f>IFERROR(__xludf.DUMMYFUNCTION("IFERROR(GOOGLEFINANCE(A1402,""high""),"""")"),940.0)</f>
        <v>940</v>
      </c>
      <c r="Y1402" s="22">
        <f>IFERROR(__xludf.DUMMYFUNCTION("IFERROR(GOOGLEFINANCE(A1402,""low""),"""")"),915.0)</f>
        <v>915</v>
      </c>
      <c r="Z1402" s="22">
        <f>IFERROR(__xludf.DUMMYFUNCTION("IFERROR(GOOGLEFINANCE(A1402,""volume""),"""")"),527900.0)</f>
        <v>527900</v>
      </c>
      <c r="AA1402" s="24" t="str">
        <f>VLOOKUP(A1402,Metrik!$C$2:$Y$959,5,0)</f>
        <v>Banks</v>
      </c>
      <c r="AB1402" s="24" t="str">
        <f>VLOOKUP(A1402,Metrik!$C$2:$Y$959,3,0)</f>
        <v>Financials</v>
      </c>
    </row>
    <row r="1403">
      <c r="A1403" s="14" t="s">
        <v>755</v>
      </c>
      <c r="B1403" s="14" t="str">
        <f t="array" ref="B1403">VLOOKUP(A1403,{Metrik!$C$2:$C$998,Metrik!$B$2:$B$998},2,0)</f>
        <v>Bank Pan Indonesia Tbk</v>
      </c>
      <c r="C1403" s="15" t="str">
        <f>IFERROR(__xludf.DUMMYFUNCTION("GOOGLEFINANCE(""IDX:""&amp;A1403,""price"")"),"#N/A")</f>
        <v>#N/A</v>
      </c>
      <c r="D1403" s="16" t="str">
        <f>IFERROR(__xludf.DUMMYFUNCTION("IF(A1403="""","""",
SPARKLINE(
INDEX(
GOOGLEFINANCE(""IDX:""&amp;A1403,""close"",TODAY()-365,TODAY()),
,2
),
{""linewidth"",1}
))
"),"#N/A")</f>
        <v>#N/A</v>
      </c>
      <c r="E1403" s="14" t="s">
        <v>162</v>
      </c>
      <c r="F1403" s="14" t="s">
        <v>76</v>
      </c>
      <c r="G1403" s="24">
        <f t="shared" si="9"/>
        <v>3</v>
      </c>
      <c r="H1403" s="19">
        <f>VLOOKUP(A1403,Metrik!$C$2:$Y$959,8,0)</f>
        <v>8.4</v>
      </c>
      <c r="I1403" s="20">
        <f>VLOOKUP(A1403,Metrik!$C$2:$Y$959,9,0)</f>
        <v>0.39</v>
      </c>
      <c r="J1403" s="20">
        <f>VLOOKUP(A1403,Metrik!$C$2:$Y$959,10,0)</f>
        <v>4.7</v>
      </c>
      <c r="K1403" s="20">
        <f>VLOOKUP(A1403,Metrik!$C$2:$Y$959,11,0)</f>
        <v>1.2</v>
      </c>
      <c r="L1403" s="20">
        <f>VLOOKUP(A1403,Metrik!$C$2:$Y$959,12,0)</f>
        <v>2.6</v>
      </c>
      <c r="M1403" s="20">
        <f>VLOOKUP(A1403,Metrik!$C$2:$Y$959,19,0)</f>
        <v>70.4</v>
      </c>
      <c r="N1403" s="44">
        <v>3.67</v>
      </c>
      <c r="O1403" s="44">
        <v>32.41</v>
      </c>
      <c r="P1403" s="44">
        <v>87.4</v>
      </c>
      <c r="Q1403" s="44">
        <v>3.03</v>
      </c>
      <c r="R1403" s="44">
        <v>81.11</v>
      </c>
      <c r="S1403" s="44">
        <v>50.49</v>
      </c>
      <c r="T1403" s="44">
        <v>9.47</v>
      </c>
      <c r="U1403" s="22">
        <f>IFERROR(__xludf.DUMMYFUNCTION("IFERROR(GOOGLEFINANCE(A1403,""closeyest""),"""")"),915.0)</f>
        <v>915</v>
      </c>
      <c r="V1403" s="23">
        <f>IFERROR(__xludf.DUMMYFUNCTION("IFERROR(GOOGLEFINANCE(A1403,""changepct""),"""")"),0.0)</f>
        <v>0</v>
      </c>
      <c r="W1403" s="22">
        <f>IFERROR(__xludf.DUMMYFUNCTION("IFERROR(GOOGLEFINANCE(A1403,""priceopen""),"""")"),930.0)</f>
        <v>930</v>
      </c>
      <c r="X1403" s="22">
        <f>IFERROR(__xludf.DUMMYFUNCTION("IFERROR(GOOGLEFINANCE(A1403,""high""),"""")"),940.0)</f>
        <v>940</v>
      </c>
      <c r="Y1403" s="22">
        <f>IFERROR(__xludf.DUMMYFUNCTION("IFERROR(GOOGLEFINANCE(A1403,""low""),"""")"),915.0)</f>
        <v>915</v>
      </c>
      <c r="Z1403" s="22">
        <f>IFERROR(__xludf.DUMMYFUNCTION("IFERROR(GOOGLEFINANCE(A1403,""volume""),"""")"),527900.0)</f>
        <v>527900</v>
      </c>
      <c r="AA1403" s="24" t="str">
        <f>VLOOKUP(A1403,Metrik!$C$2:$Y$959,5,0)</f>
        <v>Banks</v>
      </c>
      <c r="AB1403" s="24" t="str">
        <f>VLOOKUP(A1403,Metrik!$C$2:$Y$959,3,0)</f>
        <v>Financials</v>
      </c>
    </row>
    <row r="1404">
      <c r="A1404" s="14" t="s">
        <v>756</v>
      </c>
      <c r="B1404" s="14" t="str">
        <f t="array" ref="B1404">VLOOKUP(A1404,{Metrik!$C$2:$C$998,Metrik!$B$2:$B$998},2,0)</f>
        <v>PT Bank Panin Dubai Syariah Tbk.</v>
      </c>
      <c r="C1404" s="15">
        <f>IFERROR(__xludf.DUMMYFUNCTION("GOOGLEFINANCE(""IDX:""&amp;A1404,""price"")"),50.0)</f>
        <v>50</v>
      </c>
      <c r="D1404" s="16" t="str">
        <f>IFERROR(__xludf.DUMMYFUNCTION("IF(A1404="""","""",
SPARKLINE(
INDEX(
GOOGLEFINANCE(""IDX:""&amp;A1404,""close"",TODAY()-365,TODAY()),
,2
),
{""linewidth"",1}
))
"),"#N/A")</f>
        <v>#N/A</v>
      </c>
      <c r="E1404" s="26"/>
      <c r="F1404" s="26"/>
      <c r="G1404" s="24">
        <f t="shared" si="9"/>
        <v>0</v>
      </c>
      <c r="H1404" s="19">
        <f>VLOOKUP(A1404,Metrik!$C$2:$Y$959,8,0)</f>
        <v>34</v>
      </c>
      <c r="I1404" s="20">
        <f>VLOOKUP(A1404,Metrik!$C$2:$Y$959,9,0)</f>
        <v>0.65</v>
      </c>
      <c r="J1404" s="20">
        <f>VLOOKUP(A1404,Metrik!$C$2:$Y$959,10,0)</f>
        <v>1.9</v>
      </c>
      <c r="K1404" s="20">
        <f>VLOOKUP(A1404,Metrik!$C$2:$Y$959,11,0)</f>
        <v>0.29</v>
      </c>
      <c r="L1404" s="20">
        <f>VLOOKUP(A1404,Metrik!$C$2:$Y$959,12,0)</f>
        <v>0.39</v>
      </c>
      <c r="M1404" s="20">
        <f>VLOOKUP(A1404,Metrik!$C$2:$Y$959,19,0)</f>
        <v>39.7</v>
      </c>
      <c r="N1404" s="41"/>
      <c r="O1404" s="32">
        <v>21.94</v>
      </c>
      <c r="P1404" s="41"/>
      <c r="Q1404" s="32">
        <v>3.25</v>
      </c>
      <c r="R1404" s="41"/>
      <c r="S1404" s="41"/>
      <c r="T1404" s="41"/>
      <c r="U1404" s="22">
        <f>IFERROR(__xludf.DUMMYFUNCTION("IFERROR(GOOGLEFINANCE(A1404,""closeyest""),"""")"),50.0)</f>
        <v>50</v>
      </c>
      <c r="V1404" s="23">
        <f>IFERROR(__xludf.DUMMYFUNCTION("IFERROR(GOOGLEFINANCE(A1404,""changepct""),"""")"),0.0)</f>
        <v>0</v>
      </c>
      <c r="W1404" s="22">
        <f>IFERROR(__xludf.DUMMYFUNCTION("IFERROR(GOOGLEFINANCE(A1404,""priceopen""),"""")"),50.0)</f>
        <v>50</v>
      </c>
      <c r="X1404" s="22" t="str">
        <f>IFERROR(__xludf.DUMMYFUNCTION("IFERROR(GOOGLEFINANCE(A1404,""high""),"""")"),"")</f>
        <v/>
      </c>
      <c r="Y1404" s="22">
        <f>IFERROR(__xludf.DUMMYFUNCTION("IFERROR(GOOGLEFINANCE(A1404,""low""),"""")"),50.0)</f>
        <v>50</v>
      </c>
      <c r="Z1404" s="22">
        <f>IFERROR(__xludf.DUMMYFUNCTION("IFERROR(GOOGLEFINANCE(A1404,""volume""),"""")"),1.67367E7)</f>
        <v>16736700</v>
      </c>
      <c r="AA1404" s="24" t="str">
        <f>VLOOKUP(A1404,Metrik!$C$2:$Y$959,5,0)</f>
        <v>Banks</v>
      </c>
      <c r="AB1404" s="24" t="str">
        <f>VLOOKUP(A1404,Metrik!$C$2:$Y$959,3,0)</f>
        <v>Financials</v>
      </c>
    </row>
    <row r="1405">
      <c r="A1405" s="14" t="s">
        <v>757</v>
      </c>
      <c r="B1405" s="14" t="str">
        <f t="array" ref="B1405">VLOOKUP(A1405,{Metrik!$C$2:$C$998,Metrik!$B$2:$B$998},2,0)</f>
        <v>Pinago Utama Tbk.</v>
      </c>
      <c r="C1405" s="15" t="str">
        <f>IFERROR(__xludf.DUMMYFUNCTION("GOOGLEFINANCE(""IDX:""&amp;A1405,""price"")"),"#N/A")</f>
        <v>#N/A</v>
      </c>
      <c r="D1405" s="16" t="str">
        <f>IFERROR(__xludf.DUMMYFUNCTION("IF(A1405="""","""",
SPARKLINE(
INDEX(
GOOGLEFINANCE(""IDX:""&amp;A1405,""close"",TODAY()-365,TODAY()),
,2
),
{""linewidth"",1}
))
"),"#N/A")</f>
        <v>#N/A</v>
      </c>
      <c r="E1405" s="26"/>
      <c r="F1405" s="26"/>
      <c r="G1405" s="18">
        <f t="shared" si="9"/>
        <v>0</v>
      </c>
      <c r="H1405" s="19">
        <f>VLOOKUP(A1405,Metrik!$C$2:$Y$959,8,0)</f>
        <v>10</v>
      </c>
      <c r="I1405" s="20">
        <f>VLOOKUP(A1405,Metrik!$C$2:$Y$959,9,0)</f>
        <v>2.4</v>
      </c>
      <c r="J1405" s="20">
        <f>VLOOKUP(A1405,Metrik!$C$2:$Y$959,10,0)</f>
        <v>24</v>
      </c>
      <c r="K1405" s="20">
        <f>VLOOKUP(A1405,Metrik!$C$2:$Y$959,11,0)</f>
        <v>16.2</v>
      </c>
      <c r="L1405" s="20">
        <f>VLOOKUP(A1405,Metrik!$C$2:$Y$959,12,0)</f>
        <v>0.48</v>
      </c>
      <c r="M1405" s="20">
        <f>VLOOKUP(A1405,Metrik!$C$2:$Y$959,19,0)</f>
        <v>47.9</v>
      </c>
      <c r="N1405" s="21"/>
      <c r="O1405" s="21"/>
      <c r="P1405" s="21"/>
      <c r="Q1405" s="21"/>
      <c r="R1405" s="21"/>
      <c r="S1405" s="21"/>
      <c r="T1405" s="21"/>
      <c r="U1405" s="22">
        <f>IFERROR(__xludf.DUMMYFUNCTION("IFERROR(GOOGLEFINANCE(A1405,""closeyest""),"""")"),3410.0)</f>
        <v>3410</v>
      </c>
      <c r="V1405" s="23">
        <f>IFERROR(__xludf.DUMMYFUNCTION("IFERROR(GOOGLEFINANCE(A1405,""changepct""),"""")"),0.59)</f>
        <v>0.59</v>
      </c>
      <c r="W1405" s="22">
        <f>IFERROR(__xludf.DUMMYFUNCTION("IFERROR(GOOGLEFINANCE(A1405,""priceopen""),"""")"),3410.0)</f>
        <v>3410</v>
      </c>
      <c r="X1405" s="22">
        <f>IFERROR(__xludf.DUMMYFUNCTION("IFERROR(GOOGLEFINANCE(A1405,""high""),"""")"),3460.0)</f>
        <v>3460</v>
      </c>
      <c r="Y1405" s="22">
        <f>IFERROR(__xludf.DUMMYFUNCTION("IFERROR(GOOGLEFINANCE(A1405,""low""),"""")"),3410.0)</f>
        <v>3410</v>
      </c>
      <c r="Z1405" s="22">
        <f>IFERROR(__xludf.DUMMYFUNCTION("IFERROR(GOOGLEFINANCE(A1405,""volume""),"""")"),5700.0)</f>
        <v>5700</v>
      </c>
      <c r="AA1405" s="24" t="str">
        <f>VLOOKUP(A1405,Metrik!$C$2:$Y$959,5,0)</f>
        <v>Agricultural Products</v>
      </c>
      <c r="AB1405" s="24" t="str">
        <f>VLOOKUP(A1405,Metrik!$C$2:$Y$959,3,0)</f>
        <v>Consumer Non-Cyclicals</v>
      </c>
    </row>
    <row r="1406">
      <c r="A1406" s="14" t="s">
        <v>758</v>
      </c>
      <c r="B1406" s="14" t="str">
        <f t="array" ref="B1406">VLOOKUP(A1406,{Metrik!$C$2:$C$998,Metrik!$B$2:$B$998},2,0)</f>
        <v>Paninvest Tbk.</v>
      </c>
      <c r="C1406" s="15">
        <f>IFERROR(__xludf.DUMMYFUNCTION("GOOGLEFINANCE(""IDX:""&amp;A1406,""price"")"),710.0)</f>
        <v>710</v>
      </c>
      <c r="D1406" s="16" t="str">
        <f>IFERROR(__xludf.DUMMYFUNCTION("IF(A1406="""","""",
SPARKLINE(
INDEX(
GOOGLEFINANCE(""IDX:""&amp;A1406,""close"",TODAY()-365,TODAY()),
,2
),
{""linewidth"",1}
))
"),"#N/A")</f>
        <v>#N/A</v>
      </c>
      <c r="E1406" s="26"/>
      <c r="F1406" s="26"/>
      <c r="G1406" s="24">
        <f t="shared" si="9"/>
        <v>0</v>
      </c>
      <c r="H1406" s="19">
        <f>VLOOKUP(A1406,Metrik!$C$2:$Y$959,8,0)</f>
        <v>2.6</v>
      </c>
      <c r="I1406" s="20">
        <f>VLOOKUP(A1406,Metrik!$C$2:$Y$959,9,0)</f>
        <v>0.04</v>
      </c>
      <c r="J1406" s="20">
        <f>VLOOKUP(A1406,Metrik!$C$2:$Y$959,10,0)</f>
        <v>1.7</v>
      </c>
      <c r="K1406" s="20">
        <f>VLOOKUP(A1406,Metrik!$C$2:$Y$959,11,0)</f>
        <v>0.5</v>
      </c>
      <c r="L1406" s="20">
        <f>VLOOKUP(A1406,Metrik!$C$2:$Y$959,12,0)</f>
        <v>2.2</v>
      </c>
      <c r="M1406" s="20">
        <f>VLOOKUP(A1406,Metrik!$C$2:$Y$959,19,0)</f>
        <v>34.8</v>
      </c>
      <c r="N1406" s="21"/>
      <c r="O1406" s="21"/>
      <c r="P1406" s="21"/>
      <c r="Q1406" s="21"/>
      <c r="R1406" s="21"/>
      <c r="S1406" s="21"/>
      <c r="T1406" s="21"/>
      <c r="U1406" s="22">
        <f>IFERROR(__xludf.DUMMYFUNCTION("IFERROR(GOOGLEFINANCE(A1406,""closeyest""),"""")"),700.0)</f>
        <v>700</v>
      </c>
      <c r="V1406" s="23">
        <f>IFERROR(__xludf.DUMMYFUNCTION("IFERROR(GOOGLEFINANCE(A1406,""changepct""),"""")"),1.43)</f>
        <v>1.43</v>
      </c>
      <c r="W1406" s="22">
        <f>IFERROR(__xludf.DUMMYFUNCTION("IFERROR(GOOGLEFINANCE(A1406,""priceopen""),"""")"),695.0)</f>
        <v>695</v>
      </c>
      <c r="X1406" s="22">
        <f>IFERROR(__xludf.DUMMYFUNCTION("IFERROR(GOOGLEFINANCE(A1406,""high""),"""")"),715.0)</f>
        <v>715</v>
      </c>
      <c r="Y1406" s="22">
        <f>IFERROR(__xludf.DUMMYFUNCTION("IFERROR(GOOGLEFINANCE(A1406,""low""),"""")"),695.0)</f>
        <v>695</v>
      </c>
      <c r="Z1406" s="22" t="str">
        <f>IFERROR(__xludf.DUMMYFUNCTION("IFERROR(GOOGLEFINANCE(A1406,""volume""),"""")"),"")</f>
        <v/>
      </c>
      <c r="AA1406" s="24" t="str">
        <f>VLOOKUP(A1406,Metrik!$C$2:$Y$959,5,0)</f>
        <v>Insurance</v>
      </c>
      <c r="AB1406" s="24" t="str">
        <f>VLOOKUP(A1406,Metrik!$C$2:$Y$959,3,0)</f>
        <v>Financials</v>
      </c>
    </row>
    <row r="1407">
      <c r="A1407" s="14" t="s">
        <v>759</v>
      </c>
      <c r="B1407" s="14" t="str">
        <f t="array" ref="B1407">VLOOKUP(A1407,{Metrik!$C$2:$C$998,Metrik!$B$2:$B$998},2,0)</f>
        <v>Panin Financial Tbk.</v>
      </c>
      <c r="C1407" s="15" t="str">
        <f>IFERROR(__xludf.DUMMYFUNCTION("GOOGLEFINANCE(""IDX:""&amp;A1407,""price"")"),"#N/A")</f>
        <v>#N/A</v>
      </c>
      <c r="D1407" s="16" t="str">
        <f>IFERROR(__xludf.DUMMYFUNCTION("IF(A1407="""","""",
SPARKLINE(
INDEX(
GOOGLEFINANCE(""IDX:""&amp;A1407,""close"",TODAY()-365,TODAY()),
,2
),
{""linewidth"",1}
))
"),"#N/A")</f>
        <v>#N/A</v>
      </c>
      <c r="E1407" s="14" t="s">
        <v>52</v>
      </c>
      <c r="F1407" s="27" t="s">
        <v>53</v>
      </c>
      <c r="G1407" s="24">
        <f t="shared" si="9"/>
        <v>4</v>
      </c>
      <c r="H1407" s="19">
        <f>VLOOKUP(A1407,Metrik!$C$2:$Y$959,8,0)</f>
        <v>3.6</v>
      </c>
      <c r="I1407" s="20">
        <f>VLOOKUP(A1407,Metrik!$C$2:$Y$959,9,0)</f>
        <v>0.11</v>
      </c>
      <c r="J1407" s="20">
        <f>VLOOKUP(A1407,Metrik!$C$2:$Y$959,10,0)</f>
        <v>3.1</v>
      </c>
      <c r="K1407" s="20">
        <f>VLOOKUP(A1407,Metrik!$C$2:$Y$959,11,0)</f>
        <v>0.88</v>
      </c>
      <c r="L1407" s="20">
        <f>VLOOKUP(A1407,Metrik!$C$2:$Y$959,12,0)</f>
        <v>2.3</v>
      </c>
      <c r="M1407" s="20">
        <f>VLOOKUP(A1407,Metrik!$C$2:$Y$959,19,0)</f>
        <v>62.6</v>
      </c>
      <c r="N1407" s="21"/>
      <c r="O1407" s="21"/>
      <c r="P1407" s="21"/>
      <c r="Q1407" s="21"/>
      <c r="R1407" s="21"/>
      <c r="S1407" s="21"/>
      <c r="T1407" s="21"/>
      <c r="U1407" s="22">
        <f>IFERROR(__xludf.DUMMYFUNCTION("IFERROR(GOOGLEFINANCE(A1407,""closeyest""),"""")"),206.0)</f>
        <v>206</v>
      </c>
      <c r="V1407" s="23">
        <f>IFERROR(__xludf.DUMMYFUNCTION("IFERROR(GOOGLEFINANCE(A1407,""changepct""),"""")"),2.91)</f>
        <v>2.91</v>
      </c>
      <c r="W1407" s="22">
        <f>IFERROR(__xludf.DUMMYFUNCTION("IFERROR(GOOGLEFINANCE(A1407,""priceopen""),"""")"),208.0)</f>
        <v>208</v>
      </c>
      <c r="X1407" s="22">
        <f>IFERROR(__xludf.DUMMYFUNCTION("IFERROR(GOOGLEFINANCE(A1407,""high""),"""")"),216.0)</f>
        <v>216</v>
      </c>
      <c r="Y1407" s="22">
        <f>IFERROR(__xludf.DUMMYFUNCTION("IFERROR(GOOGLEFINANCE(A1407,""low""),"""")"),208.0)</f>
        <v>208</v>
      </c>
      <c r="Z1407" s="22">
        <f>IFERROR(__xludf.DUMMYFUNCTION("IFERROR(GOOGLEFINANCE(A1407,""volume""),"""")"),7.09446E7)</f>
        <v>70944600</v>
      </c>
      <c r="AA1407" s="24" t="str">
        <f>VLOOKUP(A1407,Metrik!$C$2:$Y$959,5,0)</f>
        <v>Insurance</v>
      </c>
      <c r="AB1407" s="24" t="str">
        <f>VLOOKUP(A1407,Metrik!$C$2:$Y$959,3,0)</f>
        <v>Financials</v>
      </c>
    </row>
    <row r="1408">
      <c r="A1408" s="14" t="s">
        <v>759</v>
      </c>
      <c r="B1408" s="14" t="str">
        <f t="array" ref="B1408">VLOOKUP(A1408,{Metrik!$C$2:$C$998,Metrik!$B$2:$B$998},2,0)</f>
        <v>Panin Financial Tbk.</v>
      </c>
      <c r="C1408" s="15" t="str">
        <f>IFERROR(__xludf.DUMMYFUNCTION("GOOGLEFINANCE(""IDX:""&amp;A1408,""price"")"),"#N/A")</f>
        <v>#N/A</v>
      </c>
      <c r="D1408" s="16" t="str">
        <f>IFERROR(__xludf.DUMMYFUNCTION("IF(A1408="""","""",
SPARKLINE(
INDEX(
GOOGLEFINANCE(""IDX:""&amp;A1408,""close"",TODAY()-365,TODAY()),
,2
),
{""linewidth"",1}
))
"),"#N/A")</f>
        <v>#N/A</v>
      </c>
      <c r="E1408" s="14" t="s">
        <v>33</v>
      </c>
      <c r="F1408" s="14" t="s">
        <v>34</v>
      </c>
      <c r="G1408" s="24">
        <f t="shared" si="9"/>
        <v>4</v>
      </c>
      <c r="H1408" s="19">
        <f>VLOOKUP(A1408,Metrik!$C$2:$Y$959,8,0)</f>
        <v>3.6</v>
      </c>
      <c r="I1408" s="20">
        <f>VLOOKUP(A1408,Metrik!$C$2:$Y$959,9,0)</f>
        <v>0.11</v>
      </c>
      <c r="J1408" s="20">
        <f>VLOOKUP(A1408,Metrik!$C$2:$Y$959,10,0)</f>
        <v>3.1</v>
      </c>
      <c r="K1408" s="20">
        <f>VLOOKUP(A1408,Metrik!$C$2:$Y$959,11,0)</f>
        <v>0.88</v>
      </c>
      <c r="L1408" s="20">
        <f>VLOOKUP(A1408,Metrik!$C$2:$Y$959,12,0)</f>
        <v>2.3</v>
      </c>
      <c r="M1408" s="20">
        <f>VLOOKUP(A1408,Metrik!$C$2:$Y$959,19,0)</f>
        <v>62.6</v>
      </c>
      <c r="N1408" s="21"/>
      <c r="O1408" s="21"/>
      <c r="P1408" s="21"/>
      <c r="Q1408" s="21"/>
      <c r="R1408" s="21"/>
      <c r="S1408" s="21"/>
      <c r="T1408" s="21"/>
      <c r="U1408" s="22">
        <f>IFERROR(__xludf.DUMMYFUNCTION("IFERROR(GOOGLEFINANCE(A1408,""closeyest""),"""")"),206.0)</f>
        <v>206</v>
      </c>
      <c r="V1408" s="23">
        <f>IFERROR(__xludf.DUMMYFUNCTION("IFERROR(GOOGLEFINANCE(A1408,""changepct""),"""")"),2.91)</f>
        <v>2.91</v>
      </c>
      <c r="W1408" s="22">
        <f>IFERROR(__xludf.DUMMYFUNCTION("IFERROR(GOOGLEFINANCE(A1408,""priceopen""),"""")"),208.0)</f>
        <v>208</v>
      </c>
      <c r="X1408" s="22">
        <f>IFERROR(__xludf.DUMMYFUNCTION("IFERROR(GOOGLEFINANCE(A1408,""high""),"""")"),216.0)</f>
        <v>216</v>
      </c>
      <c r="Y1408" s="22">
        <f>IFERROR(__xludf.DUMMYFUNCTION("IFERROR(GOOGLEFINANCE(A1408,""low""),"""")"),208.0)</f>
        <v>208</v>
      </c>
      <c r="Z1408" s="22">
        <f>IFERROR(__xludf.DUMMYFUNCTION("IFERROR(GOOGLEFINANCE(A1408,""volume""),"""")"),7.09446E7)</f>
        <v>70944600</v>
      </c>
      <c r="AA1408" s="24" t="str">
        <f>VLOOKUP(A1408,Metrik!$C$2:$Y$959,5,0)</f>
        <v>Insurance</v>
      </c>
      <c r="AB1408" s="24" t="str">
        <f>VLOOKUP(A1408,Metrik!$C$2:$Y$959,3,0)</f>
        <v>Financials</v>
      </c>
    </row>
    <row r="1409">
      <c r="A1409" s="14" t="s">
        <v>759</v>
      </c>
      <c r="B1409" s="14" t="str">
        <f t="array" ref="B1409">VLOOKUP(A1409,{Metrik!$C$2:$C$998,Metrik!$B$2:$B$998},2,0)</f>
        <v>Panin Financial Tbk.</v>
      </c>
      <c r="C1409" s="15" t="str">
        <f>IFERROR(__xludf.DUMMYFUNCTION("GOOGLEFINANCE(""IDX:""&amp;A1409,""price"")"),"#N/A")</f>
        <v>#N/A</v>
      </c>
      <c r="D1409" s="16" t="str">
        <f>IFERROR(__xludf.DUMMYFUNCTION("IF(A1409="""","""",
SPARKLINE(
INDEX(
GOOGLEFINANCE(""IDX:""&amp;A1409,""close"",TODAY()-365,TODAY()),
,2
),
{""linewidth"",1}
))
"),"#N/A")</f>
        <v>#N/A</v>
      </c>
      <c r="E1409" s="14" t="s">
        <v>28</v>
      </c>
      <c r="F1409" s="17" t="s">
        <v>29</v>
      </c>
      <c r="G1409" s="24">
        <f t="shared" si="9"/>
        <v>4</v>
      </c>
      <c r="H1409" s="19">
        <f>VLOOKUP(A1409,Metrik!$C$2:$Y$959,8,0)</f>
        <v>3.6</v>
      </c>
      <c r="I1409" s="20">
        <f>VLOOKUP(A1409,Metrik!$C$2:$Y$959,9,0)</f>
        <v>0.11</v>
      </c>
      <c r="J1409" s="20">
        <f>VLOOKUP(A1409,Metrik!$C$2:$Y$959,10,0)</f>
        <v>3.1</v>
      </c>
      <c r="K1409" s="20">
        <f>VLOOKUP(A1409,Metrik!$C$2:$Y$959,11,0)</f>
        <v>0.88</v>
      </c>
      <c r="L1409" s="20">
        <f>VLOOKUP(A1409,Metrik!$C$2:$Y$959,12,0)</f>
        <v>2.3</v>
      </c>
      <c r="M1409" s="20">
        <f>VLOOKUP(A1409,Metrik!$C$2:$Y$959,19,0)</f>
        <v>62.6</v>
      </c>
      <c r="N1409" s="21"/>
      <c r="O1409" s="21"/>
      <c r="P1409" s="21"/>
      <c r="Q1409" s="21"/>
      <c r="R1409" s="21"/>
      <c r="S1409" s="21"/>
      <c r="T1409" s="21"/>
      <c r="U1409" s="22">
        <f>IFERROR(__xludf.DUMMYFUNCTION("IFERROR(GOOGLEFINANCE(A1409,""closeyest""),"""")"),206.0)</f>
        <v>206</v>
      </c>
      <c r="V1409" s="23">
        <f>IFERROR(__xludf.DUMMYFUNCTION("IFERROR(GOOGLEFINANCE(A1409,""changepct""),"""")"),2.91)</f>
        <v>2.91</v>
      </c>
      <c r="W1409" s="22">
        <f>IFERROR(__xludf.DUMMYFUNCTION("IFERROR(GOOGLEFINANCE(A1409,""priceopen""),"""")"),208.0)</f>
        <v>208</v>
      </c>
      <c r="X1409" s="22">
        <f>IFERROR(__xludf.DUMMYFUNCTION("IFERROR(GOOGLEFINANCE(A1409,""high""),"""")"),216.0)</f>
        <v>216</v>
      </c>
      <c r="Y1409" s="22">
        <f>IFERROR(__xludf.DUMMYFUNCTION("IFERROR(GOOGLEFINANCE(A1409,""low""),"""")"),208.0)</f>
        <v>208</v>
      </c>
      <c r="Z1409" s="22">
        <f>IFERROR(__xludf.DUMMYFUNCTION("IFERROR(GOOGLEFINANCE(A1409,""volume""),"""")"),7.09446E7)</f>
        <v>70944600</v>
      </c>
      <c r="AA1409" s="24" t="str">
        <f>VLOOKUP(A1409,Metrik!$C$2:$Y$959,5,0)</f>
        <v>Insurance</v>
      </c>
      <c r="AB1409" s="24" t="str">
        <f>VLOOKUP(A1409,Metrik!$C$2:$Y$959,3,0)</f>
        <v>Financials</v>
      </c>
    </row>
    <row r="1410">
      <c r="A1410" s="14" t="s">
        <v>759</v>
      </c>
      <c r="B1410" s="14" t="str">
        <f t="array" ref="B1410">VLOOKUP(A1410,{Metrik!$C$2:$C$998,Metrik!$B$2:$B$998},2,0)</f>
        <v>Panin Financial Tbk.</v>
      </c>
      <c r="C1410" s="15" t="str">
        <f>IFERROR(__xludf.DUMMYFUNCTION("GOOGLEFINANCE(""IDX:""&amp;A1410,""price"")"),"#N/A")</f>
        <v>#N/A</v>
      </c>
      <c r="D1410" s="16" t="str">
        <f>IFERROR(__xludf.DUMMYFUNCTION("IF(A1410="""","""",
SPARKLINE(
INDEX(
GOOGLEFINANCE(""IDX:""&amp;A1410,""close"",TODAY()-365,TODAY()),
,2
),
{""linewidth"",1}
))
"),"#N/A")</f>
        <v>#N/A</v>
      </c>
      <c r="E1410" s="14" t="s">
        <v>32</v>
      </c>
      <c r="F1410" s="14" t="s">
        <v>29</v>
      </c>
      <c r="G1410" s="24">
        <f t="shared" si="9"/>
        <v>4</v>
      </c>
      <c r="H1410" s="19">
        <f>VLOOKUP(A1410,Metrik!$C$2:$Y$959,8,0)</f>
        <v>3.6</v>
      </c>
      <c r="I1410" s="20">
        <f>VLOOKUP(A1410,Metrik!$C$2:$Y$959,9,0)</f>
        <v>0.11</v>
      </c>
      <c r="J1410" s="20">
        <f>VLOOKUP(A1410,Metrik!$C$2:$Y$959,10,0)</f>
        <v>3.1</v>
      </c>
      <c r="K1410" s="20">
        <f>VLOOKUP(A1410,Metrik!$C$2:$Y$959,11,0)</f>
        <v>0.88</v>
      </c>
      <c r="L1410" s="20">
        <f>VLOOKUP(A1410,Metrik!$C$2:$Y$959,12,0)</f>
        <v>2.3</v>
      </c>
      <c r="M1410" s="20">
        <f>VLOOKUP(A1410,Metrik!$C$2:$Y$959,19,0)</f>
        <v>62.6</v>
      </c>
      <c r="N1410" s="21"/>
      <c r="O1410" s="21"/>
      <c r="P1410" s="21"/>
      <c r="Q1410" s="21"/>
      <c r="R1410" s="21"/>
      <c r="S1410" s="21"/>
      <c r="T1410" s="21"/>
      <c r="U1410" s="22">
        <f>IFERROR(__xludf.DUMMYFUNCTION("IFERROR(GOOGLEFINANCE(A1410,""closeyest""),"""")"),206.0)</f>
        <v>206</v>
      </c>
      <c r="V1410" s="23">
        <f>IFERROR(__xludf.DUMMYFUNCTION("IFERROR(GOOGLEFINANCE(A1410,""changepct""),"""")"),2.91)</f>
        <v>2.91</v>
      </c>
      <c r="W1410" s="22">
        <f>IFERROR(__xludf.DUMMYFUNCTION("IFERROR(GOOGLEFINANCE(A1410,""priceopen""),"""")"),208.0)</f>
        <v>208</v>
      </c>
      <c r="X1410" s="22">
        <f>IFERROR(__xludf.DUMMYFUNCTION("IFERROR(GOOGLEFINANCE(A1410,""high""),"""")"),216.0)</f>
        <v>216</v>
      </c>
      <c r="Y1410" s="22">
        <f>IFERROR(__xludf.DUMMYFUNCTION("IFERROR(GOOGLEFINANCE(A1410,""low""),"""")"),208.0)</f>
        <v>208</v>
      </c>
      <c r="Z1410" s="22">
        <f>IFERROR(__xludf.DUMMYFUNCTION("IFERROR(GOOGLEFINANCE(A1410,""volume""),"""")"),7.09446E7)</f>
        <v>70944600</v>
      </c>
      <c r="AA1410" s="24" t="str">
        <f>VLOOKUP(A1410,Metrik!$C$2:$Y$959,5,0)</f>
        <v>Insurance</v>
      </c>
      <c r="AB1410" s="24" t="str">
        <f>VLOOKUP(A1410,Metrik!$C$2:$Y$959,3,0)</f>
        <v>Financials</v>
      </c>
    </row>
    <row r="1411">
      <c r="A1411" s="14" t="s">
        <v>760</v>
      </c>
      <c r="B1411" s="14" t="str">
        <f t="array" ref="B1411">VLOOKUP(A1411,{Metrik!$C$2:$C$998,Metrik!$B$2:$B$998},2,0)</f>
        <v>Pudjiadi &amp; Sons Tbk.</v>
      </c>
      <c r="C1411" s="15">
        <f>IFERROR(__xludf.DUMMYFUNCTION("GOOGLEFINANCE(""IDX:""&amp;A1411,""price"")"),545.0)</f>
        <v>545</v>
      </c>
      <c r="D1411" s="16" t="str">
        <f>IFERROR(__xludf.DUMMYFUNCTION("IF(A1411="""","""",
SPARKLINE(
INDEX(
GOOGLEFINANCE(""IDX:""&amp;A1411,""close"",TODAY()-365,TODAY()),
,2
),
{""linewidth"",1}
))
"),"#N/A")</f>
        <v>#N/A</v>
      </c>
      <c r="E1411" s="26"/>
      <c r="F1411" s="26"/>
      <c r="G1411" s="24">
        <f t="shared" si="9"/>
        <v>0</v>
      </c>
      <c r="H1411" s="19">
        <f>VLOOKUP(A1411,Metrik!$C$2:$Y$959,8,0)</f>
        <v>-32.6</v>
      </c>
      <c r="I1411" s="20">
        <f>VLOOKUP(A1411,Metrik!$C$2:$Y$959,9,0)</f>
        <v>2.3</v>
      </c>
      <c r="J1411" s="20">
        <f>VLOOKUP(A1411,Metrik!$C$2:$Y$959,10,0)</f>
        <v>-6.9</v>
      </c>
      <c r="K1411" s="20">
        <f>VLOOKUP(A1411,Metrik!$C$2:$Y$959,11,0)</f>
        <v>-3.3</v>
      </c>
      <c r="L1411" s="20">
        <f>VLOOKUP(A1411,Metrik!$C$2:$Y$959,12,0)</f>
        <v>1.1</v>
      </c>
      <c r="M1411" s="20">
        <f>VLOOKUP(A1411,Metrik!$C$2:$Y$959,19,0)</f>
        <v>-30.3</v>
      </c>
      <c r="N1411" s="21"/>
      <c r="O1411" s="21"/>
      <c r="P1411" s="21"/>
      <c r="Q1411" s="21"/>
      <c r="R1411" s="21"/>
      <c r="S1411" s="21"/>
      <c r="T1411" s="21"/>
      <c r="U1411" s="22">
        <f>IFERROR(__xludf.DUMMYFUNCTION("IFERROR(GOOGLEFINANCE(A1411,""closeyest""),"""")"),515.0)</f>
        <v>515</v>
      </c>
      <c r="V1411" s="23">
        <f>IFERROR(__xludf.DUMMYFUNCTION("IFERROR(GOOGLEFINANCE(A1411,""changepct""),"""")"),5.83)</f>
        <v>5.83</v>
      </c>
      <c r="W1411" s="22">
        <f>IFERROR(__xludf.DUMMYFUNCTION("IFERROR(GOOGLEFINANCE(A1411,""priceopen""),"""")"),530.0)</f>
        <v>530</v>
      </c>
      <c r="X1411" s="22" t="str">
        <f>IFERROR(__xludf.DUMMYFUNCTION("IFERROR(GOOGLEFINANCE(A1411,""high""),"""")"),"")</f>
        <v/>
      </c>
      <c r="Y1411" s="22">
        <f>IFERROR(__xludf.DUMMYFUNCTION("IFERROR(GOOGLEFINANCE(A1411,""low""),"""")"),480.0)</f>
        <v>480</v>
      </c>
      <c r="Z1411" s="22">
        <f>IFERROR(__xludf.DUMMYFUNCTION("IFERROR(GOOGLEFINANCE(A1411,""volume""),"""")"),54900.0)</f>
        <v>54900</v>
      </c>
      <c r="AA1411" s="24" t="str">
        <f>VLOOKUP(A1411,Metrik!$C$2:$Y$959,5,0)</f>
        <v>Tourism &amp; Recreation</v>
      </c>
      <c r="AB1411" s="24" t="str">
        <f>VLOOKUP(A1411,Metrik!$C$2:$Y$959,3,0)</f>
        <v>Consumer Cyclicals</v>
      </c>
    </row>
    <row r="1412">
      <c r="A1412" s="14" t="s">
        <v>761</v>
      </c>
      <c r="B1412" s="14" t="str">
        <f t="array" ref="B1412">VLOOKUP(A1412,{Metrik!$C$2:$C$998,Metrik!$B$2:$B$998},2,0)</f>
        <v>Pool Advista Finance Tbk.</v>
      </c>
      <c r="C1412" s="15">
        <f>IFERROR(__xludf.DUMMYFUNCTION("GOOGLEFINANCE(""IDX:""&amp;A1412,""price"")"),55.0)</f>
        <v>55</v>
      </c>
      <c r="D1412" s="16" t="str">
        <f>IFERROR(__xludf.DUMMYFUNCTION("IF(A1412="""","""",
SPARKLINE(
INDEX(
GOOGLEFINANCE(""IDX:""&amp;A1412,""close"",TODAY()-365,TODAY()),
,2
),
{""linewidth"",1}
))
"),"#N/A")</f>
        <v>#N/A</v>
      </c>
      <c r="E1412" s="26"/>
      <c r="F1412" s="26"/>
      <c r="G1412" s="24">
        <f t="shared" si="9"/>
        <v>0</v>
      </c>
      <c r="H1412" s="19">
        <f>VLOOKUP(A1412,Metrik!$C$2:$Y$959,8,0)</f>
        <v>69.2</v>
      </c>
      <c r="I1412" s="20">
        <f>VLOOKUP(A1412,Metrik!$C$2:$Y$959,9,0)</f>
        <v>0.92</v>
      </c>
      <c r="J1412" s="20">
        <f>VLOOKUP(A1412,Metrik!$C$2:$Y$959,10,0)</f>
        <v>1.3</v>
      </c>
      <c r="K1412" s="20">
        <f>VLOOKUP(A1412,Metrik!$C$2:$Y$959,11,0)</f>
        <v>1.3</v>
      </c>
      <c r="L1412" s="20">
        <f>VLOOKUP(A1412,Metrik!$C$2:$Y$959,12,0)</f>
        <v>0.04</v>
      </c>
      <c r="M1412" s="20">
        <f>VLOOKUP(A1412,Metrik!$C$2:$Y$959,19,0)</f>
        <v>82.7</v>
      </c>
      <c r="N1412" s="21"/>
      <c r="O1412" s="21"/>
      <c r="P1412" s="21"/>
      <c r="Q1412" s="21"/>
      <c r="R1412" s="21"/>
      <c r="S1412" s="21"/>
      <c r="T1412" s="21"/>
      <c r="U1412" s="22">
        <f>IFERROR(__xludf.DUMMYFUNCTION("IFERROR(GOOGLEFINANCE(A1412,""closeyest""),"""")"),1.7)</f>
        <v>1.7</v>
      </c>
      <c r="V1412" s="23">
        <f>IFERROR(__xludf.DUMMYFUNCTION("IFERROR(GOOGLEFINANCE(A1412,""changepct""),"""")"),6.47)</f>
        <v>6.47</v>
      </c>
      <c r="W1412" s="22">
        <f>IFERROR(__xludf.DUMMYFUNCTION("IFERROR(GOOGLEFINANCE(A1412,""priceopen""),"""")"),1.73)</f>
        <v>1.73</v>
      </c>
      <c r="X1412" s="22">
        <f>IFERROR(__xludf.DUMMYFUNCTION("IFERROR(GOOGLEFINANCE(A1412,""high""),"""")"),1.9)</f>
        <v>1.9</v>
      </c>
      <c r="Y1412" s="22">
        <f>IFERROR(__xludf.DUMMYFUNCTION("IFERROR(GOOGLEFINANCE(A1412,""low""),"""")"),1.73)</f>
        <v>1.73</v>
      </c>
      <c r="Z1412" s="22">
        <f>IFERROR(__xludf.DUMMYFUNCTION("IFERROR(GOOGLEFINANCE(A1412,""volume""),"""")"),117120.0)</f>
        <v>117120</v>
      </c>
      <c r="AA1412" s="24" t="str">
        <f>VLOOKUP(A1412,Metrik!$C$2:$Y$959,5,0)</f>
        <v>Consumer Financing</v>
      </c>
      <c r="AB1412" s="24" t="str">
        <f>VLOOKUP(A1412,Metrik!$C$2:$Y$959,3,0)</f>
        <v>Financials</v>
      </c>
    </row>
    <row r="1413">
      <c r="A1413" s="14" t="s">
        <v>762</v>
      </c>
      <c r="B1413" s="14" t="str">
        <f t="array" ref="B1413">VLOOKUP(A1413,{Metrik!$C$2:$C$998,Metrik!$B$2:$B$998},2,0)</f>
        <v>Pollux Hotels Group Tbk.</v>
      </c>
      <c r="C1413" s="15">
        <f>IFERROR(__xludf.DUMMYFUNCTION("GOOGLEFINANCE(""IDX:""&amp;A1413,""price"")"),815.0)</f>
        <v>815</v>
      </c>
      <c r="D1413" s="16" t="str">
        <f>IFERROR(__xludf.DUMMYFUNCTION("IF(A1413="""","""",
SPARKLINE(
INDEX(
GOOGLEFINANCE(""IDX:""&amp;A1413,""close"",TODAY()-365,TODAY()),
,2
),
{""linewidth"",1}
))
"),"#N/A")</f>
        <v>#N/A</v>
      </c>
      <c r="E1413" s="26"/>
      <c r="F1413" s="26"/>
      <c r="G1413" s="24">
        <f t="shared" si="9"/>
        <v>0</v>
      </c>
      <c r="H1413" s="19">
        <f>VLOOKUP(A1413,Metrik!$C$2:$Y$959,8,0)</f>
        <v>26.3</v>
      </c>
      <c r="I1413" s="20">
        <f>VLOOKUP(A1413,Metrik!$C$2:$Y$959,9,0)</f>
        <v>0.84</v>
      </c>
      <c r="J1413" s="20">
        <f>VLOOKUP(A1413,Metrik!$C$2:$Y$959,10,0)</f>
        <v>3.2</v>
      </c>
      <c r="K1413" s="20">
        <f>VLOOKUP(A1413,Metrik!$C$2:$Y$959,11,0)</f>
        <v>1.6</v>
      </c>
      <c r="L1413" s="20">
        <f>VLOOKUP(A1413,Metrik!$C$2:$Y$959,12,0)</f>
        <v>0.98</v>
      </c>
      <c r="M1413" s="20">
        <f>VLOOKUP(A1413,Metrik!$C$2:$Y$959,19,0)</f>
        <v>59.7</v>
      </c>
      <c r="N1413" s="21"/>
      <c r="O1413" s="21"/>
      <c r="P1413" s="21"/>
      <c r="Q1413" s="21"/>
      <c r="R1413" s="21"/>
      <c r="S1413" s="21"/>
      <c r="T1413" s="21"/>
      <c r="U1413" s="22">
        <f>IFERROR(__xludf.DUMMYFUNCTION("IFERROR(GOOGLEFINANCE(A1413,""closeyest""),"""")"),825.0)</f>
        <v>825</v>
      </c>
      <c r="V1413" s="23">
        <f>IFERROR(__xludf.DUMMYFUNCTION("IFERROR(GOOGLEFINANCE(A1413,""changepct""),"""")"),-1.21)</f>
        <v>-1.21</v>
      </c>
      <c r="W1413" s="22">
        <f>IFERROR(__xludf.DUMMYFUNCTION("IFERROR(GOOGLEFINANCE(A1413,""priceopen""),"""")"),735.0)</f>
        <v>735</v>
      </c>
      <c r="X1413" s="22">
        <f>IFERROR(__xludf.DUMMYFUNCTION("IFERROR(GOOGLEFINANCE(A1413,""high""),"""")"),825.0)</f>
        <v>825</v>
      </c>
      <c r="Y1413" s="22">
        <f>IFERROR(__xludf.DUMMYFUNCTION("IFERROR(GOOGLEFINANCE(A1413,""low""),"""")"),730.0)</f>
        <v>730</v>
      </c>
      <c r="Z1413" s="22">
        <f>IFERROR(__xludf.DUMMYFUNCTION("IFERROR(GOOGLEFINANCE(A1413,""volume""),"""")"),3800.0)</f>
        <v>3800</v>
      </c>
      <c r="AA1413" s="24" t="str">
        <f>VLOOKUP(A1413,Metrik!$C$2:$Y$959,5,0)</f>
        <v>Real Estate Management &amp; Development</v>
      </c>
      <c r="AB1413" s="24" t="str">
        <f>VLOOKUP(A1413,Metrik!$C$2:$Y$959,3,0)</f>
        <v>Properties &amp; Real Estate</v>
      </c>
    </row>
    <row r="1414">
      <c r="A1414" s="14" t="s">
        <v>763</v>
      </c>
      <c r="B1414" s="14" t="str">
        <f t="array" ref="B1414">VLOOKUP(A1414,{Metrik!$C$2:$C$998,Metrik!$B$2:$B$998},2,0)</f>
        <v>Pollux Properties Indonesia Tbk.</v>
      </c>
      <c r="C1414" s="15">
        <f>IFERROR(__xludf.DUMMYFUNCTION("GOOGLEFINANCE(""IDX:""&amp;A1414,""price"")"),112.0)</f>
        <v>112</v>
      </c>
      <c r="D1414" s="16" t="str">
        <f>IFERROR(__xludf.DUMMYFUNCTION("IF(A1414="""","""",
SPARKLINE(
INDEX(
GOOGLEFINANCE(""IDX:""&amp;A1414,""close"",TODAY()-365,TODAY()),
,2
),
{""linewidth"",1}
))
"),"#N/A")</f>
        <v>#N/A</v>
      </c>
      <c r="E1414" s="26"/>
      <c r="F1414" s="26"/>
      <c r="G1414" s="24">
        <f t="shared" si="9"/>
        <v>0</v>
      </c>
      <c r="H1414" s="19">
        <f>VLOOKUP(A1414,Metrik!$C$2:$Y$959,8,0)</f>
        <v>20.9</v>
      </c>
      <c r="I1414" s="20">
        <f>VLOOKUP(A1414,Metrik!$C$2:$Y$959,9,0)</f>
        <v>0.49</v>
      </c>
      <c r="J1414" s="20">
        <f>VLOOKUP(A1414,Metrik!$C$2:$Y$959,10,0)</f>
        <v>2.3</v>
      </c>
      <c r="K1414" s="20">
        <f>VLOOKUP(A1414,Metrik!$C$2:$Y$959,11,0)</f>
        <v>0.92</v>
      </c>
      <c r="L1414" s="20">
        <f>VLOOKUP(A1414,Metrik!$C$2:$Y$959,12,0)</f>
        <v>0.32</v>
      </c>
      <c r="M1414" s="20">
        <f>VLOOKUP(A1414,Metrik!$C$2:$Y$959,19,0)</f>
        <v>20.7</v>
      </c>
      <c r="N1414" s="21"/>
      <c r="O1414" s="21"/>
      <c r="P1414" s="21"/>
      <c r="Q1414" s="21"/>
      <c r="R1414" s="21"/>
      <c r="S1414" s="21"/>
      <c r="T1414" s="21"/>
      <c r="U1414" s="22">
        <f>IFERROR(__xludf.DUMMYFUNCTION("IFERROR(GOOGLEFINANCE(A1414,""closeyest""),"""")"),290.0)</f>
        <v>290</v>
      </c>
      <c r="V1414" s="23">
        <f>IFERROR(__xludf.DUMMYFUNCTION("IFERROR(GOOGLEFINANCE(A1414,""changepct""),"""")"),0.0)</f>
        <v>0</v>
      </c>
      <c r="W1414" s="22">
        <f>IFERROR(__xludf.DUMMYFUNCTION("IFERROR(GOOGLEFINANCE(A1414,""priceopen""),"""")"),290.0)</f>
        <v>290</v>
      </c>
      <c r="X1414" s="22">
        <f>IFERROR(__xludf.DUMMYFUNCTION("IFERROR(GOOGLEFINANCE(A1414,""high""),"""")"),290.0)</f>
        <v>290</v>
      </c>
      <c r="Y1414" s="22">
        <f>IFERROR(__xludf.DUMMYFUNCTION("IFERROR(GOOGLEFINANCE(A1414,""low""),"""")"),290.0)</f>
        <v>290</v>
      </c>
      <c r="Z1414" s="22">
        <f>IFERROR(__xludf.DUMMYFUNCTION("IFERROR(GOOGLEFINANCE(A1414,""volume""),"""")"),6085.0)</f>
        <v>6085</v>
      </c>
      <c r="AA1414" s="24" t="str">
        <f>VLOOKUP(A1414,Metrik!$C$2:$Y$959,5,0)</f>
        <v>Real Estate Management &amp; Development</v>
      </c>
      <c r="AB1414" s="24" t="str">
        <f>VLOOKUP(A1414,Metrik!$C$2:$Y$959,3,0)</f>
        <v>Properties &amp; Real Estate</v>
      </c>
    </row>
    <row r="1415">
      <c r="A1415" s="14" t="s">
        <v>764</v>
      </c>
      <c r="B1415" s="14" t="str">
        <f t="array" ref="B1415">VLOOKUP(A1415,{Metrik!$C$2:$C$998,Metrik!$B$2:$B$998},2,0)</f>
        <v>Golden Flower Tbk.</v>
      </c>
      <c r="C1415" s="15">
        <f>IFERROR(__xludf.DUMMYFUNCTION("GOOGLEFINANCE(""IDX:""&amp;A1415,""price"")"),14025.0)</f>
        <v>14025</v>
      </c>
      <c r="D1415" s="16" t="str">
        <f>IFERROR(__xludf.DUMMYFUNCTION("IF(A1415="""","""",
SPARKLINE(
INDEX(
GOOGLEFINANCE(""IDX:""&amp;A1415,""close"",TODAY()-365,TODAY()),
,2
),
{""linewidth"",1}
))
"),"#N/A")</f>
        <v>#N/A</v>
      </c>
      <c r="E1415" s="26"/>
      <c r="F1415" s="26"/>
      <c r="G1415" s="24">
        <f t="shared" si="9"/>
        <v>0</v>
      </c>
      <c r="H1415" s="19">
        <f>VLOOKUP(A1415,Metrik!$C$2:$Y$959,8,0)</f>
        <v>-220</v>
      </c>
      <c r="I1415" s="20">
        <f>VLOOKUP(A1415,Metrik!$C$2:$Y$959,9,0)</f>
        <v>67</v>
      </c>
      <c r="J1415" s="20">
        <f>VLOOKUP(A1415,Metrik!$C$2:$Y$959,10,0)</f>
        <v>-30.1</v>
      </c>
      <c r="K1415" s="20">
        <f>VLOOKUP(A1415,Metrik!$C$2:$Y$959,11,0)</f>
        <v>-8.9</v>
      </c>
      <c r="L1415" s="20">
        <f>VLOOKUP(A1415,Metrik!$C$2:$Y$959,12,0)</f>
        <v>1.1</v>
      </c>
      <c r="M1415" s="20">
        <f>VLOOKUP(A1415,Metrik!$C$2:$Y$959,19,0)</f>
        <v>-22.6</v>
      </c>
      <c r="N1415" s="21"/>
      <c r="O1415" s="21"/>
      <c r="P1415" s="21"/>
      <c r="Q1415" s="21"/>
      <c r="R1415" s="21"/>
      <c r="S1415" s="21"/>
      <c r="T1415" s="21"/>
      <c r="U1415" s="22">
        <f>IFERROR(__xludf.DUMMYFUNCTION("IFERROR(GOOGLEFINANCE(A1415,""closeyest""),"""")"),11700.0)</f>
        <v>11700</v>
      </c>
      <c r="V1415" s="23">
        <f>IFERROR(__xludf.DUMMYFUNCTION("IFERROR(GOOGLEFINANCE(A1415,""changepct""),"""")"),19.87)</f>
        <v>19.87</v>
      </c>
      <c r="W1415" s="22">
        <f>IFERROR(__xludf.DUMMYFUNCTION("IFERROR(GOOGLEFINANCE(A1415,""priceopen""),"""")"),12125.0)</f>
        <v>12125</v>
      </c>
      <c r="X1415" s="22">
        <f>IFERROR(__xludf.DUMMYFUNCTION("IFERROR(GOOGLEFINANCE(A1415,""high""),"""")"),14025.0)</f>
        <v>14025</v>
      </c>
      <c r="Y1415" s="22">
        <f>IFERROR(__xludf.DUMMYFUNCTION("IFERROR(GOOGLEFINANCE(A1415,""low""),"""")"),12125.0)</f>
        <v>12125</v>
      </c>
      <c r="Z1415" s="22">
        <f>IFERROR(__xludf.DUMMYFUNCTION("IFERROR(GOOGLEFINANCE(A1415,""volume""),"""")"),29300.0)</f>
        <v>29300</v>
      </c>
      <c r="AA1415" s="24" t="str">
        <f>VLOOKUP(A1415,Metrik!$C$2:$Y$959,5,0)</f>
        <v>Apparel &amp; Luxury Goods</v>
      </c>
      <c r="AB1415" s="24" t="str">
        <f>VLOOKUP(A1415,Metrik!$C$2:$Y$959,3,0)</f>
        <v>Consumer Cyclicals</v>
      </c>
    </row>
    <row r="1416">
      <c r="A1416" s="14" t="s">
        <v>765</v>
      </c>
      <c r="B1416" s="14" t="str">
        <f t="array" ref="B1416">VLOOKUP(A1416,{Metrik!$C$2:$C$998,Metrik!$B$2:$B$998},2,0)</f>
        <v>Asia Pacific Fibers Tbk</v>
      </c>
      <c r="C1416" s="15">
        <f>IFERROR(__xludf.DUMMYFUNCTION("GOOGLEFINANCE(""IDX:""&amp;A1416,""price"")"),32.0)</f>
        <v>32</v>
      </c>
      <c r="D1416" s="16" t="str">
        <f>IFERROR(__xludf.DUMMYFUNCTION("IF(A1416="""","""",
SPARKLINE(
INDEX(
GOOGLEFINANCE(""IDX:""&amp;A1416,""close"",TODAY()-365,TODAY()),
,2
),
{""linewidth"",1}
))
"),"#N/A")</f>
        <v>#N/A</v>
      </c>
      <c r="E1416" s="26"/>
      <c r="F1416" s="26"/>
      <c r="G1416" s="24">
        <f t="shared" si="9"/>
        <v>0</v>
      </c>
      <c r="H1416" s="19">
        <f>VLOOKUP(A1416,Metrik!$C$2:$Y$959,8,0)</f>
        <v>-0.23</v>
      </c>
      <c r="I1416" s="20">
        <f>VLOOKUP(A1416,Metrik!$C$2:$Y$959,9,0)</f>
        <v>0</v>
      </c>
      <c r="J1416" s="20">
        <f>VLOOKUP(A1416,Metrik!$C$2:$Y$959,10,0)</f>
        <v>0</v>
      </c>
      <c r="K1416" s="20">
        <f>VLOOKUP(A1416,Metrik!$C$2:$Y$959,11,0)</f>
        <v>-26</v>
      </c>
      <c r="L1416" s="20">
        <f>VLOOKUP(A1416,Metrik!$C$2:$Y$959,12,0)</f>
        <v>-1.1</v>
      </c>
      <c r="M1416" s="20">
        <f>VLOOKUP(A1416,Metrik!$C$2:$Y$959,19,0)</f>
        <v>-200</v>
      </c>
      <c r="N1416" s="21"/>
      <c r="O1416" s="21"/>
      <c r="P1416" s="21"/>
      <c r="Q1416" s="21"/>
      <c r="R1416" s="21"/>
      <c r="S1416" s="21"/>
      <c r="T1416" s="21"/>
      <c r="U1416" s="22">
        <f>IFERROR(__xludf.DUMMYFUNCTION("IFERROR(GOOGLEFINANCE(A1416,""closeyest""),"""")"),0.79)</f>
        <v>0.79</v>
      </c>
      <c r="V1416" s="23">
        <f>IFERROR(__xludf.DUMMYFUNCTION("IFERROR(GOOGLEFINANCE(A1416,""changepct""),"""")"),1.92)</f>
        <v>1.92</v>
      </c>
      <c r="W1416" s="22">
        <f>IFERROR(__xludf.DUMMYFUNCTION("IFERROR(GOOGLEFINANCE(A1416,""priceopen""),"""")"),0.81)</f>
        <v>0.81</v>
      </c>
      <c r="X1416" s="22">
        <f>IFERROR(__xludf.DUMMYFUNCTION("IFERROR(GOOGLEFINANCE(A1416,""high""),"""")"),0.81)</f>
        <v>0.81</v>
      </c>
      <c r="Y1416" s="22">
        <f>IFERROR(__xludf.DUMMYFUNCTION("IFERROR(GOOGLEFINANCE(A1416,""low""),"""")"),0.81)</f>
        <v>0.81</v>
      </c>
      <c r="Z1416" s="22">
        <f>IFERROR(__xludf.DUMMYFUNCTION("IFERROR(GOOGLEFINANCE(A1416,""volume""),"""")"),1.0)</f>
        <v>1</v>
      </c>
      <c r="AA1416" s="24" t="str">
        <f>VLOOKUP(A1416,Metrik!$C$2:$Y$959,5,0)</f>
        <v>Apparel &amp; Luxury Goods</v>
      </c>
      <c r="AB1416" s="24" t="str">
        <f>VLOOKUP(A1416,Metrik!$C$2:$Y$959,3,0)</f>
        <v>Consumer Cyclicals</v>
      </c>
    </row>
    <row r="1417">
      <c r="A1417" s="14" t="s">
        <v>766</v>
      </c>
      <c r="B1417" s="14" t="str">
        <f t="array" ref="B1417">VLOOKUP(A1417,{Metrik!$C$2:$C$998,Metrik!$B$2:$B$998},2,0)</f>
        <v>Pool Advista Indonesia Tbk.</v>
      </c>
      <c r="C1417" s="15" t="str">
        <f>IFERROR(__xludf.DUMMYFUNCTION("GOOGLEFINANCE(""IDX:""&amp;A1417,""price"")"),"#N/A")</f>
        <v>#N/A</v>
      </c>
      <c r="D1417" s="16" t="str">
        <f>IFERROR(__xludf.DUMMYFUNCTION("IF(A1417="""","""",
SPARKLINE(
INDEX(
GOOGLEFINANCE(""IDX:""&amp;A1417,""close"",TODAY()-365,TODAY()),
,2
),
{""linewidth"",1}
))
"),"#N/A")</f>
        <v>#N/A</v>
      </c>
      <c r="E1417" s="26"/>
      <c r="F1417" s="26"/>
      <c r="G1417" s="24">
        <f t="shared" si="9"/>
        <v>0</v>
      </c>
      <c r="H1417" s="19">
        <f>VLOOKUP(A1417,Metrik!$C$2:$Y$959,8,0)</f>
        <v>0</v>
      </c>
      <c r="I1417" s="20">
        <f>VLOOKUP(A1417,Metrik!$C$2:$Y$959,9,0)</f>
        <v>0.28</v>
      </c>
      <c r="J1417" s="20">
        <f>VLOOKUP(A1417,Metrik!$C$2:$Y$959,10,0)</f>
        <v>-8.4</v>
      </c>
      <c r="K1417" s="20">
        <f>VLOOKUP(A1417,Metrik!$C$2:$Y$959,11,0)</f>
        <v>-8.2</v>
      </c>
      <c r="L1417" s="20">
        <f>VLOOKUP(A1417,Metrik!$C$2:$Y$959,12,0)</f>
        <v>0.03</v>
      </c>
      <c r="M1417" s="20">
        <f>VLOOKUP(A1417,Metrik!$C$2:$Y$959,19,0)</f>
        <v>-290</v>
      </c>
      <c r="N1417" s="21"/>
      <c r="O1417" s="21"/>
      <c r="P1417" s="21"/>
      <c r="Q1417" s="21"/>
      <c r="R1417" s="21"/>
      <c r="S1417" s="21"/>
      <c r="T1417" s="21"/>
      <c r="U1417" s="22">
        <f>IFERROR(__xludf.DUMMYFUNCTION("IFERROR(GOOGLEFINANCE(A1417,""closeyest""),"""")"),192.34)</f>
        <v>192.34</v>
      </c>
      <c r="V1417" s="23">
        <f>IFERROR(__xludf.DUMMYFUNCTION("IFERROR(GOOGLEFINANCE(A1417,""changepct""),"""")"),1.38)</f>
        <v>1.38</v>
      </c>
      <c r="W1417" s="22">
        <f>IFERROR(__xludf.DUMMYFUNCTION("IFERROR(GOOGLEFINANCE(A1417,""priceopen""),"""")"),191.93)</f>
        <v>191.93</v>
      </c>
      <c r="X1417" s="22">
        <f>IFERROR(__xludf.DUMMYFUNCTION("IFERROR(GOOGLEFINANCE(A1417,""high""),"""")"),197.21)</f>
        <v>197.21</v>
      </c>
      <c r="Y1417" s="22">
        <f>IFERROR(__xludf.DUMMYFUNCTION("IFERROR(GOOGLEFINANCE(A1417,""low""),"""")"),190.98)</f>
        <v>190.98</v>
      </c>
      <c r="Z1417" s="22">
        <f>IFERROR(__xludf.DUMMYFUNCTION("IFERROR(GOOGLEFINANCE(A1417,""volume""),"""")"),677414.0)</f>
        <v>677414</v>
      </c>
      <c r="AA1417" s="24" t="str">
        <f>VLOOKUP(A1417,Metrik!$C$2:$Y$959,5,0)</f>
        <v>Holding &amp; Investment Companies</v>
      </c>
      <c r="AB1417" s="24" t="str">
        <f>VLOOKUP(A1417,Metrik!$C$2:$Y$959,3,0)</f>
        <v>Financials</v>
      </c>
    </row>
    <row r="1418">
      <c r="A1418" s="14" t="s">
        <v>767</v>
      </c>
      <c r="B1418" s="14" t="str">
        <f t="array" ref="B1418">VLOOKUP(A1418,{Metrik!$C$2:$C$998,Metrik!$B$2:$B$998},2,0)</f>
        <v>PT Nusantara Pelabuhan Handal Tbk.</v>
      </c>
      <c r="C1418" s="15">
        <f>IFERROR(__xludf.DUMMYFUNCTION("GOOGLEFINANCE(""IDX:""&amp;A1418,""price"")"),890.0)</f>
        <v>890</v>
      </c>
      <c r="D1418" s="16" t="str">
        <f>IFERROR(__xludf.DUMMYFUNCTION("IF(A1418="""","""",
SPARKLINE(
INDEX(
GOOGLEFINANCE(""IDX:""&amp;A1418,""close"",TODAY()-365,TODAY()),
,2
),
{""linewidth"",1}
))
"),"#N/A")</f>
        <v>#N/A</v>
      </c>
      <c r="E1418" s="26"/>
      <c r="F1418" s="26"/>
      <c r="G1418" s="24">
        <f t="shared" si="9"/>
        <v>0</v>
      </c>
      <c r="H1418" s="19">
        <f>VLOOKUP(A1418,Metrik!$C$2:$Y$959,8,0)</f>
        <v>21.5</v>
      </c>
      <c r="I1418" s="20">
        <f>VLOOKUP(A1418,Metrik!$C$2:$Y$959,9,0)</f>
        <v>2.1</v>
      </c>
      <c r="J1418" s="20">
        <f>VLOOKUP(A1418,Metrik!$C$2:$Y$959,10,0)</f>
        <v>9.7</v>
      </c>
      <c r="K1418" s="20">
        <f>VLOOKUP(A1418,Metrik!$C$2:$Y$959,11,0)</f>
        <v>5.3</v>
      </c>
      <c r="L1418" s="20">
        <f>VLOOKUP(A1418,Metrik!$C$2:$Y$959,12,0)</f>
        <v>0.85</v>
      </c>
      <c r="M1418" s="20">
        <f>VLOOKUP(A1418,Metrik!$C$2:$Y$959,19,0)</f>
        <v>45.6</v>
      </c>
      <c r="N1418" s="21"/>
      <c r="O1418" s="21"/>
      <c r="P1418" s="21"/>
      <c r="Q1418" s="21"/>
      <c r="R1418" s="21"/>
      <c r="S1418" s="21"/>
      <c r="T1418" s="21"/>
      <c r="U1418" s="22" t="str">
        <f>IFERROR(__xludf.DUMMYFUNCTION("IFERROR(GOOGLEFINANCE(A1418,""closeyest""),"""")"),"")</f>
        <v/>
      </c>
      <c r="V1418" s="23" t="str">
        <f>IFERROR(__xludf.DUMMYFUNCTION("IFERROR(GOOGLEFINANCE(A1418,""changepct""),"""")"),"")</f>
        <v/>
      </c>
      <c r="W1418" s="22" t="str">
        <f>IFERROR(__xludf.DUMMYFUNCTION("IFERROR(GOOGLEFINANCE(A1418,""priceopen""),"""")"),"")</f>
        <v/>
      </c>
      <c r="X1418" s="22" t="str">
        <f>IFERROR(__xludf.DUMMYFUNCTION("IFERROR(GOOGLEFINANCE(A1418,""high""),"""")"),"")</f>
        <v/>
      </c>
      <c r="Y1418" s="22" t="str">
        <f>IFERROR(__xludf.DUMMYFUNCTION("IFERROR(GOOGLEFINANCE(A1418,""low""),"""")"),"")</f>
        <v/>
      </c>
      <c r="Z1418" s="22" t="str">
        <f>IFERROR(__xludf.DUMMYFUNCTION("IFERROR(GOOGLEFINANCE(A1418,""volume""),"""")"),"")</f>
        <v/>
      </c>
      <c r="AA1418" s="24" t="str">
        <f>VLOOKUP(A1418,Metrik!$C$2:$Y$959,5,0)</f>
        <v>Transport Infrastructure Operator</v>
      </c>
      <c r="AB1418" s="24" t="str">
        <f>VLOOKUP(A1418,Metrik!$C$2:$Y$959,3,0)</f>
        <v>Infrastructures</v>
      </c>
    </row>
    <row r="1419">
      <c r="A1419" s="14" t="s">
        <v>768</v>
      </c>
      <c r="B1419" s="14" t="str">
        <f t="array" ref="B1419">VLOOKUP(A1419,{Metrik!$C$2:$C$998,Metrik!$B$2:$B$998},2,0)</f>
        <v>Bliss Properti Indonesia Tbk.</v>
      </c>
      <c r="C1419" s="15">
        <f>IFERROR(__xludf.DUMMYFUNCTION("GOOGLEFINANCE(""IDX:""&amp;A1419,""price"")"),50.0)</f>
        <v>50</v>
      </c>
      <c r="D1419" s="16" t="str">
        <f>IFERROR(__xludf.DUMMYFUNCTION("IF(A1419="""","""",
SPARKLINE(
INDEX(
GOOGLEFINANCE(""IDX:""&amp;A1419,""close"",TODAY()-365,TODAY()),
,2
),
{""linewidth"",1}
))
"),"#N/A")</f>
        <v>#N/A</v>
      </c>
      <c r="E1419" s="26"/>
      <c r="F1419" s="26"/>
      <c r="G1419" s="24">
        <f t="shared" si="9"/>
        <v>0</v>
      </c>
      <c r="H1419" s="19">
        <f>VLOOKUP(A1419,Metrik!$C$2:$Y$959,8,0)</f>
        <v>-3.5</v>
      </c>
      <c r="I1419" s="20">
        <f>VLOOKUP(A1419,Metrik!$C$2:$Y$959,9,0)</f>
        <v>-0.77</v>
      </c>
      <c r="J1419" s="20">
        <f>VLOOKUP(A1419,Metrik!$C$2:$Y$959,10,0)</f>
        <v>0</v>
      </c>
      <c r="K1419" s="20">
        <f>VLOOKUP(A1419,Metrik!$C$2:$Y$959,11,0)</f>
        <v>-17.2</v>
      </c>
      <c r="L1419" s="20">
        <f>VLOOKUP(A1419,Metrik!$C$2:$Y$959,12,0)</f>
        <v>-2.3</v>
      </c>
      <c r="M1419" s="20">
        <f>VLOOKUP(A1419,Metrik!$C$2:$Y$959,19,0)</f>
        <v>-930</v>
      </c>
      <c r="N1419" s="21"/>
      <c r="O1419" s="21"/>
      <c r="P1419" s="21"/>
      <c r="Q1419" s="21"/>
      <c r="R1419" s="21"/>
      <c r="S1419" s="21"/>
      <c r="T1419" s="21"/>
      <c r="U1419" s="22">
        <f>IFERROR(__xludf.DUMMYFUNCTION("IFERROR(GOOGLEFINANCE(A1419,""closeyest""),"""")"),50.0)</f>
        <v>50</v>
      </c>
      <c r="V1419" s="23">
        <f>IFERROR(__xludf.DUMMYFUNCTION("IFERROR(GOOGLEFINANCE(A1419,""changepct""),"""")"),0.0)</f>
        <v>0</v>
      </c>
      <c r="W1419" s="22" t="str">
        <f>IFERROR(__xludf.DUMMYFUNCTION("IFERROR(GOOGLEFINANCE(A1419,""priceopen""),"""")"),"")</f>
        <v/>
      </c>
      <c r="X1419" s="22" t="str">
        <f>IFERROR(__xludf.DUMMYFUNCTION("IFERROR(GOOGLEFINANCE(A1419,""high""),"""")"),"")</f>
        <v/>
      </c>
      <c r="Y1419" s="22" t="str">
        <f>IFERROR(__xludf.DUMMYFUNCTION("IFERROR(GOOGLEFINANCE(A1419,""low""),"""")"),"")</f>
        <v/>
      </c>
      <c r="Z1419" s="22">
        <f>IFERROR(__xludf.DUMMYFUNCTION("IFERROR(GOOGLEFINANCE(A1419,""volume""),"""")"),0.0)</f>
        <v>0</v>
      </c>
      <c r="AA1419" s="24" t="str">
        <f>VLOOKUP(A1419,Metrik!$C$2:$Y$959,5,0)</f>
        <v>Real Estate Management &amp; Development</v>
      </c>
      <c r="AB1419" s="24" t="str">
        <f>VLOOKUP(A1419,Metrik!$C$2:$Y$959,3,0)</f>
        <v>Properties &amp; Real Estate</v>
      </c>
    </row>
    <row r="1420">
      <c r="A1420" s="14" t="s">
        <v>769</v>
      </c>
      <c r="B1420" s="14" t="str">
        <f t="array" ref="B1420">VLOOKUP(A1420,{Metrik!$C$2:$C$998,Metrik!$B$2:$B$998},2,0)</f>
        <v>Cikarang Listrindo Tbk.</v>
      </c>
      <c r="C1420" s="15">
        <f>IFERROR(__xludf.DUMMYFUNCTION("GOOGLEFINANCE(""IDX:""&amp;A1420,""price"")"),685.0)</f>
        <v>685</v>
      </c>
      <c r="D1420" s="16" t="str">
        <f>IFERROR(__xludf.DUMMYFUNCTION("IF(A1420="""","""",
SPARKLINE(
INDEX(
GOOGLEFINANCE(""IDX:""&amp;A1420,""close"",TODAY()-365,TODAY()),
,2
),
{""linewidth"",1}
))
"),"#N/A")</f>
        <v>#N/A</v>
      </c>
      <c r="E1420" s="14" t="s">
        <v>47</v>
      </c>
      <c r="F1420" s="25">
        <v>46356.0</v>
      </c>
      <c r="G1420" s="24">
        <f t="shared" si="9"/>
        <v>3</v>
      </c>
      <c r="H1420" s="19">
        <f>VLOOKUP(A1420,Metrik!$C$2:$Y$959,8,0)</f>
        <v>9.3</v>
      </c>
      <c r="I1420" s="20">
        <f>VLOOKUP(A1420,Metrik!$C$2:$Y$959,9,0)</f>
        <v>0.92</v>
      </c>
      <c r="J1420" s="20">
        <f>VLOOKUP(A1420,Metrik!$C$2:$Y$959,10,0)</f>
        <v>9.9</v>
      </c>
      <c r="K1420" s="20">
        <f>VLOOKUP(A1420,Metrik!$C$2:$Y$959,11,0)</f>
        <v>6</v>
      </c>
      <c r="L1420" s="20">
        <f>VLOOKUP(A1420,Metrik!$C$2:$Y$959,12,0)</f>
        <v>0.64</v>
      </c>
      <c r="M1420" s="20">
        <f>VLOOKUP(A1420,Metrik!$C$2:$Y$959,19,0)</f>
        <v>56.3</v>
      </c>
      <c r="N1420" s="21"/>
      <c r="O1420" s="21"/>
      <c r="P1420" s="21"/>
      <c r="Q1420" s="21"/>
      <c r="R1420" s="21"/>
      <c r="S1420" s="21"/>
      <c r="T1420" s="21"/>
      <c r="U1420" s="22">
        <f>IFERROR(__xludf.DUMMYFUNCTION("IFERROR(GOOGLEFINANCE(A1420,""closeyest""),"""")"),26.71)</f>
        <v>26.71</v>
      </c>
      <c r="V1420" s="23">
        <f>IFERROR(__xludf.DUMMYFUNCTION("IFERROR(GOOGLEFINANCE(A1420,""changepct""),"""")"),1.54)</f>
        <v>1.54</v>
      </c>
      <c r="W1420" s="22">
        <f>IFERROR(__xludf.DUMMYFUNCTION("IFERROR(GOOGLEFINANCE(A1420,""priceopen""),"""")"),26.87)</f>
        <v>26.87</v>
      </c>
      <c r="X1420" s="22" t="str">
        <f>IFERROR(__xludf.DUMMYFUNCTION("IFERROR(GOOGLEFINANCE(A1420,""high""),"""")"),"")</f>
        <v/>
      </c>
      <c r="Y1420" s="22">
        <f>IFERROR(__xludf.DUMMYFUNCTION("IFERROR(GOOGLEFINANCE(A1420,""low""),"""")"),26.87)</f>
        <v>26.87</v>
      </c>
      <c r="Z1420" s="22">
        <f>IFERROR(__xludf.DUMMYFUNCTION("IFERROR(GOOGLEFINANCE(A1420,""volume""),"""")"),11702.0)</f>
        <v>11702</v>
      </c>
      <c r="AA1420" s="24" t="str">
        <f>VLOOKUP(A1420,Metrik!$C$2:$Y$959,5,0)</f>
        <v>Electric Utilities</v>
      </c>
      <c r="AB1420" s="24" t="str">
        <f>VLOOKUP(A1420,Metrik!$C$2:$Y$959,3,0)</f>
        <v>Infrastructures</v>
      </c>
    </row>
    <row r="1421">
      <c r="A1421" s="14" t="s">
        <v>769</v>
      </c>
      <c r="B1421" s="14" t="str">
        <f t="array" ref="B1421">VLOOKUP(A1421,{Metrik!$C$2:$C$998,Metrik!$B$2:$B$998},2,0)</f>
        <v>Cikarang Listrindo Tbk.</v>
      </c>
      <c r="C1421" s="15">
        <f>IFERROR(__xludf.DUMMYFUNCTION("GOOGLEFINANCE(""IDX:""&amp;A1421,""price"")"),685.0)</f>
        <v>685</v>
      </c>
      <c r="D1421" s="16" t="str">
        <f>IFERROR(__xludf.DUMMYFUNCTION("IF(A1421="""","""",
SPARKLINE(
INDEX(
GOOGLEFINANCE(""IDX:""&amp;A1421,""close"",TODAY()-365,TODAY()),
,2
),
{""linewidth"",1}
))
"),"#N/A")</f>
        <v>#N/A</v>
      </c>
      <c r="E1421" s="14" t="s">
        <v>55</v>
      </c>
      <c r="F1421" s="25">
        <v>46356.0</v>
      </c>
      <c r="G1421" s="24">
        <f t="shared" si="9"/>
        <v>3</v>
      </c>
      <c r="H1421" s="19">
        <f>VLOOKUP(A1421,Metrik!$C$2:$Y$959,8,0)</f>
        <v>9.3</v>
      </c>
      <c r="I1421" s="20">
        <f>VLOOKUP(A1421,Metrik!$C$2:$Y$959,9,0)</f>
        <v>0.92</v>
      </c>
      <c r="J1421" s="20">
        <f>VLOOKUP(A1421,Metrik!$C$2:$Y$959,10,0)</f>
        <v>9.9</v>
      </c>
      <c r="K1421" s="20">
        <f>VLOOKUP(A1421,Metrik!$C$2:$Y$959,11,0)</f>
        <v>6</v>
      </c>
      <c r="L1421" s="20">
        <f>VLOOKUP(A1421,Metrik!$C$2:$Y$959,12,0)</f>
        <v>0.64</v>
      </c>
      <c r="M1421" s="20">
        <f>VLOOKUP(A1421,Metrik!$C$2:$Y$959,19,0)</f>
        <v>56.3</v>
      </c>
      <c r="N1421" s="21"/>
      <c r="O1421" s="21"/>
      <c r="P1421" s="21"/>
      <c r="Q1421" s="21"/>
      <c r="R1421" s="21"/>
      <c r="S1421" s="21"/>
      <c r="T1421" s="21"/>
      <c r="U1421" s="22">
        <f>IFERROR(__xludf.DUMMYFUNCTION("IFERROR(GOOGLEFINANCE(A1421,""closeyest""),"""")"),26.71)</f>
        <v>26.71</v>
      </c>
      <c r="V1421" s="23">
        <f>IFERROR(__xludf.DUMMYFUNCTION("IFERROR(GOOGLEFINANCE(A1421,""changepct""),"""")"),1.54)</f>
        <v>1.54</v>
      </c>
      <c r="W1421" s="22">
        <f>IFERROR(__xludf.DUMMYFUNCTION("IFERROR(GOOGLEFINANCE(A1421,""priceopen""),"""")"),26.87)</f>
        <v>26.87</v>
      </c>
      <c r="X1421" s="22" t="str">
        <f>IFERROR(__xludf.DUMMYFUNCTION("IFERROR(GOOGLEFINANCE(A1421,""high""),"""")"),"")</f>
        <v/>
      </c>
      <c r="Y1421" s="22">
        <f>IFERROR(__xludf.DUMMYFUNCTION("IFERROR(GOOGLEFINANCE(A1421,""low""),"""")"),26.87)</f>
        <v>26.87</v>
      </c>
      <c r="Z1421" s="22">
        <f>IFERROR(__xludf.DUMMYFUNCTION("IFERROR(GOOGLEFINANCE(A1421,""volume""),"""")"),11702.0)</f>
        <v>11702</v>
      </c>
      <c r="AA1421" s="24" t="str">
        <f>VLOOKUP(A1421,Metrik!$C$2:$Y$959,5,0)</f>
        <v>Electric Utilities</v>
      </c>
      <c r="AB1421" s="24" t="str">
        <f>VLOOKUP(A1421,Metrik!$C$2:$Y$959,3,0)</f>
        <v>Infrastructures</v>
      </c>
    </row>
    <row r="1422">
      <c r="A1422" s="14" t="s">
        <v>769</v>
      </c>
      <c r="B1422" s="14" t="str">
        <f t="array" ref="B1422">VLOOKUP(A1422,{Metrik!$C$2:$C$998,Metrik!$B$2:$B$998},2,0)</f>
        <v>Cikarang Listrindo Tbk.</v>
      </c>
      <c r="C1422" s="15">
        <f>IFERROR(__xludf.DUMMYFUNCTION("GOOGLEFINANCE(""IDX:""&amp;A1422,""price"")"),685.0)</f>
        <v>685</v>
      </c>
      <c r="D1422" s="16" t="str">
        <f>IFERROR(__xludf.DUMMYFUNCTION("IF(A1422="""","""",
SPARKLINE(
INDEX(
GOOGLEFINANCE(""IDX:""&amp;A1422,""close"",TODAY()-365,TODAY()),
,2
),
{""linewidth"",1}
))
"),"#N/A")</f>
        <v>#N/A</v>
      </c>
      <c r="E1422" s="14" t="s">
        <v>86</v>
      </c>
      <c r="F1422" s="25">
        <v>46356.0</v>
      </c>
      <c r="G1422" s="24">
        <f t="shared" si="9"/>
        <v>3</v>
      </c>
      <c r="H1422" s="19">
        <f>VLOOKUP(A1422,Metrik!$C$2:$Y$959,8,0)</f>
        <v>9.3</v>
      </c>
      <c r="I1422" s="20">
        <f>VLOOKUP(A1422,Metrik!$C$2:$Y$959,9,0)</f>
        <v>0.92</v>
      </c>
      <c r="J1422" s="20">
        <f>VLOOKUP(A1422,Metrik!$C$2:$Y$959,10,0)</f>
        <v>9.9</v>
      </c>
      <c r="K1422" s="20">
        <f>VLOOKUP(A1422,Metrik!$C$2:$Y$959,11,0)</f>
        <v>6</v>
      </c>
      <c r="L1422" s="20">
        <f>VLOOKUP(A1422,Metrik!$C$2:$Y$959,12,0)</f>
        <v>0.64</v>
      </c>
      <c r="M1422" s="20">
        <f>VLOOKUP(A1422,Metrik!$C$2:$Y$959,19,0)</f>
        <v>56.3</v>
      </c>
      <c r="N1422" s="21"/>
      <c r="O1422" s="21"/>
      <c r="P1422" s="21"/>
      <c r="Q1422" s="21"/>
      <c r="R1422" s="21"/>
      <c r="S1422" s="21"/>
      <c r="T1422" s="21"/>
      <c r="U1422" s="22">
        <f>IFERROR(__xludf.DUMMYFUNCTION("IFERROR(GOOGLEFINANCE(A1422,""closeyest""),"""")"),26.71)</f>
        <v>26.71</v>
      </c>
      <c r="V1422" s="23">
        <f>IFERROR(__xludf.DUMMYFUNCTION("IFERROR(GOOGLEFINANCE(A1422,""changepct""),"""")"),1.54)</f>
        <v>1.54</v>
      </c>
      <c r="W1422" s="22">
        <f>IFERROR(__xludf.DUMMYFUNCTION("IFERROR(GOOGLEFINANCE(A1422,""priceopen""),"""")"),26.87)</f>
        <v>26.87</v>
      </c>
      <c r="X1422" s="22" t="str">
        <f>IFERROR(__xludf.DUMMYFUNCTION("IFERROR(GOOGLEFINANCE(A1422,""high""),"""")"),"")</f>
        <v/>
      </c>
      <c r="Y1422" s="22">
        <f>IFERROR(__xludf.DUMMYFUNCTION("IFERROR(GOOGLEFINANCE(A1422,""low""),"""")"),26.87)</f>
        <v>26.87</v>
      </c>
      <c r="Z1422" s="22">
        <f>IFERROR(__xludf.DUMMYFUNCTION("IFERROR(GOOGLEFINANCE(A1422,""volume""),"""")"),11702.0)</f>
        <v>11702</v>
      </c>
      <c r="AA1422" s="24" t="str">
        <f>VLOOKUP(A1422,Metrik!$C$2:$Y$959,5,0)</f>
        <v>Electric Utilities</v>
      </c>
      <c r="AB1422" s="24" t="str">
        <f>VLOOKUP(A1422,Metrik!$C$2:$Y$959,3,0)</f>
        <v>Infrastructures</v>
      </c>
    </row>
    <row r="1423">
      <c r="A1423" s="14" t="s">
        <v>770</v>
      </c>
      <c r="B1423" s="14" t="str">
        <f t="array" ref="B1423">VLOOKUP(A1423,{Metrik!$C$2:$C$998,Metrik!$B$2:$B$998},2,0)</f>
        <v>Prima Globalindo Logistik Tbk.</v>
      </c>
      <c r="C1423" s="15">
        <f>IFERROR(__xludf.DUMMYFUNCTION("GOOGLEFINANCE(""IDX:""&amp;A1423,""price"")"),162.0)</f>
        <v>162</v>
      </c>
      <c r="D1423" s="16" t="str">
        <f>IFERROR(__xludf.DUMMYFUNCTION("IF(A1423="""","""",
SPARKLINE(
INDEX(
GOOGLEFINANCE(""IDX:""&amp;A1423,""close"",TODAY()-365,TODAY()),
,2
),
{""linewidth"",1}
))
"),"#N/A")</f>
        <v>#N/A</v>
      </c>
      <c r="E1423" s="26"/>
      <c r="F1423" s="26"/>
      <c r="G1423" s="24">
        <f t="shared" si="9"/>
        <v>0</v>
      </c>
      <c r="H1423" s="19">
        <f>VLOOKUP(A1423,Metrik!$C$2:$Y$959,8,0)</f>
        <v>27.1</v>
      </c>
      <c r="I1423" s="20">
        <f>VLOOKUP(A1423,Metrik!$C$2:$Y$959,9,0)</f>
        <v>1.3</v>
      </c>
      <c r="J1423" s="20">
        <f>VLOOKUP(A1423,Metrik!$C$2:$Y$959,10,0)</f>
        <v>4.9</v>
      </c>
      <c r="K1423" s="20">
        <f>VLOOKUP(A1423,Metrik!$C$2:$Y$959,11,0)</f>
        <v>1.7</v>
      </c>
      <c r="L1423" s="20">
        <f>VLOOKUP(A1423,Metrik!$C$2:$Y$959,12,0)</f>
        <v>1.9</v>
      </c>
      <c r="M1423" s="20">
        <f>VLOOKUP(A1423,Metrik!$C$2:$Y$959,19,0)</f>
        <v>4.1</v>
      </c>
      <c r="N1423" s="21"/>
      <c r="O1423" s="21"/>
      <c r="P1423" s="21"/>
      <c r="Q1423" s="21"/>
      <c r="R1423" s="21"/>
      <c r="S1423" s="21"/>
      <c r="T1423" s="21"/>
      <c r="U1423" s="22">
        <f>IFERROR(__xludf.DUMMYFUNCTION("IFERROR(GOOGLEFINANCE(A1423,""closeyest""),"""")"),156.0)</f>
        <v>156</v>
      </c>
      <c r="V1423" s="23">
        <f>IFERROR(__xludf.DUMMYFUNCTION("IFERROR(GOOGLEFINANCE(A1423,""changepct""),"""")"),3.85)</f>
        <v>3.85</v>
      </c>
      <c r="W1423" s="22">
        <f>IFERROR(__xludf.DUMMYFUNCTION("IFERROR(GOOGLEFINANCE(A1423,""priceopen""),"""")"),156.0)</f>
        <v>156</v>
      </c>
      <c r="X1423" s="22">
        <f>IFERROR(__xludf.DUMMYFUNCTION("IFERROR(GOOGLEFINANCE(A1423,""high""),"""")"),164.0)</f>
        <v>164</v>
      </c>
      <c r="Y1423" s="22">
        <f>IFERROR(__xludf.DUMMYFUNCTION("IFERROR(GOOGLEFINANCE(A1423,""low""),"""")"),154.0)</f>
        <v>154</v>
      </c>
      <c r="Z1423" s="22">
        <f>IFERROR(__xludf.DUMMYFUNCTION("IFERROR(GOOGLEFINANCE(A1423,""volume""),"""")"),1147900.0)</f>
        <v>1147900</v>
      </c>
      <c r="AA1423" s="24" t="str">
        <f>VLOOKUP(A1423,Metrik!$C$2:$Y$959,5,0)</f>
        <v>Logistics &amp; Deliveries</v>
      </c>
      <c r="AB1423" s="24" t="str">
        <f>VLOOKUP(A1423,Metrik!$C$2:$Y$959,3,0)</f>
        <v>Transportation &amp; Logistic</v>
      </c>
    </row>
    <row r="1424">
      <c r="A1424" s="14" t="s">
        <v>771</v>
      </c>
      <c r="B1424" s="14" t="str">
        <f t="array" ref="B1424">VLOOKUP(A1424,{Metrik!$C$2:$C$998,Metrik!$B$2:$B$998},2,0)</f>
        <v>PT PP Presisi Tbk.</v>
      </c>
      <c r="C1424" s="15">
        <f>IFERROR(__xludf.DUMMYFUNCTION("GOOGLEFINANCE(""IDX:""&amp;A1424,""price"")"),93.0)</f>
        <v>93</v>
      </c>
      <c r="D1424" s="16" t="str">
        <f>IFERROR(__xludf.DUMMYFUNCTION("IF(A1424="""","""",
SPARKLINE(
INDEX(
GOOGLEFINANCE(""IDX:""&amp;A1424,""close"",TODAY()-365,TODAY()),
,2
),
{""linewidth"",1}
))
"),"#N/A")</f>
        <v>#N/A</v>
      </c>
      <c r="E1424" s="26"/>
      <c r="F1424" s="26"/>
      <c r="G1424" s="24">
        <f t="shared" si="9"/>
        <v>0</v>
      </c>
      <c r="H1424" s="19">
        <f>VLOOKUP(A1424,Metrik!$C$2:$Y$959,8,0)</f>
        <v>-0.7</v>
      </c>
      <c r="I1424" s="20">
        <f>VLOOKUP(A1424,Metrik!$C$2:$Y$959,9,0)</f>
        <v>0.48</v>
      </c>
      <c r="J1424" s="20">
        <f>VLOOKUP(A1424,Metrik!$C$2:$Y$959,10,0)</f>
        <v>-69.3</v>
      </c>
      <c r="K1424" s="20">
        <f>VLOOKUP(A1424,Metrik!$C$2:$Y$959,11,0)</f>
        <v>-22.5</v>
      </c>
      <c r="L1424" s="20">
        <f>VLOOKUP(A1424,Metrik!$C$2:$Y$959,12,0)</f>
        <v>2.1</v>
      </c>
      <c r="M1424" s="20">
        <f>VLOOKUP(A1424,Metrik!$C$2:$Y$959,19,0)</f>
        <v>-130</v>
      </c>
      <c r="N1424" s="21"/>
      <c r="O1424" s="21"/>
      <c r="P1424" s="21"/>
      <c r="Q1424" s="21"/>
      <c r="R1424" s="21"/>
      <c r="S1424" s="21"/>
      <c r="T1424" s="21"/>
      <c r="U1424" s="22" t="str">
        <f>IFERROR(__xludf.DUMMYFUNCTION("IFERROR(GOOGLEFINANCE(A1424,""closeyest""),"""")"),"")</f>
        <v/>
      </c>
      <c r="V1424" s="23">
        <f>IFERROR(__xludf.DUMMYFUNCTION("IFERROR(GOOGLEFINANCE(A1424,""changepct""),"""")"),16.25)</f>
        <v>16.25</v>
      </c>
      <c r="W1424" s="22">
        <f>IFERROR(__xludf.DUMMYFUNCTION("IFERROR(GOOGLEFINANCE(A1424,""priceopen""),"""")"),82.0)</f>
        <v>82</v>
      </c>
      <c r="X1424" s="22">
        <f>IFERROR(__xludf.DUMMYFUNCTION("IFERROR(GOOGLEFINANCE(A1424,""high""),"""")"),108.0)</f>
        <v>108</v>
      </c>
      <c r="Y1424" s="22">
        <f>IFERROR(__xludf.DUMMYFUNCTION("IFERROR(GOOGLEFINANCE(A1424,""low""),"""")"),80.0)</f>
        <v>80</v>
      </c>
      <c r="Z1424" s="22">
        <f>IFERROR(__xludf.DUMMYFUNCTION("IFERROR(GOOGLEFINANCE(A1424,""volume""),"""")"),4.241985E8)</f>
        <v>424198500</v>
      </c>
      <c r="AA1424" s="24" t="str">
        <f>VLOOKUP(A1424,Metrik!$C$2:$Y$959,5,0)</f>
        <v>Heavy Constructions &amp; Civil Engineering</v>
      </c>
      <c r="AB1424" s="24" t="str">
        <f>VLOOKUP(A1424,Metrik!$C$2:$Y$959,3,0)</f>
        <v>Infrastructures</v>
      </c>
    </row>
    <row r="1425">
      <c r="A1425" s="14" t="s">
        <v>772</v>
      </c>
      <c r="B1425" s="14" t="str">
        <f t="array" ref="B1425">VLOOKUP(A1425,{Metrik!$C$2:$C$998,Metrik!$B$2:$B$998},2,0)</f>
        <v>PT Paperocks Indonesia Tbk.</v>
      </c>
      <c r="C1425" s="15">
        <f>IFERROR(__xludf.DUMMYFUNCTION("GOOGLEFINANCE(""IDX:""&amp;A1425,""price"")"),147.0)</f>
        <v>147</v>
      </c>
      <c r="D1425" s="16" t="str">
        <f>IFERROR(__xludf.DUMMYFUNCTION("IF(A1425="""","""",
SPARKLINE(
INDEX(
GOOGLEFINANCE(""IDX:""&amp;A1425,""close"",TODAY()-365,TODAY()),
,2
),
{""linewidth"",1}
))
"),"#N/A")</f>
        <v>#N/A</v>
      </c>
      <c r="E1425" s="26"/>
      <c r="F1425" s="26"/>
      <c r="G1425" s="24">
        <f t="shared" si="9"/>
        <v>0</v>
      </c>
      <c r="H1425" s="19">
        <f>VLOOKUP(A1425,Metrik!$C$2:$Y$959,8,0)</f>
        <v>69</v>
      </c>
      <c r="I1425" s="20">
        <f>VLOOKUP(A1425,Metrik!$C$2:$Y$959,9,0)</f>
        <v>1.6</v>
      </c>
      <c r="J1425" s="20">
        <f>VLOOKUP(A1425,Metrik!$C$2:$Y$959,10,0)</f>
        <v>2.4</v>
      </c>
      <c r="K1425" s="20">
        <f>VLOOKUP(A1425,Metrik!$C$2:$Y$959,11,0)</f>
        <v>1.9</v>
      </c>
      <c r="L1425" s="20">
        <f>VLOOKUP(A1425,Metrik!$C$2:$Y$959,12,0)</f>
        <v>0.27</v>
      </c>
      <c r="M1425" s="20">
        <f>VLOOKUP(A1425,Metrik!$C$2:$Y$959,19,0)</f>
        <v>7.1</v>
      </c>
      <c r="N1425" s="21"/>
      <c r="O1425" s="21"/>
      <c r="P1425" s="21"/>
      <c r="Q1425" s="21"/>
      <c r="R1425" s="21"/>
      <c r="S1425" s="21"/>
      <c r="T1425" s="21"/>
      <c r="U1425" s="22">
        <f>IFERROR(__xludf.DUMMYFUNCTION("IFERROR(GOOGLEFINANCE(A1425,""closeyest""),"""")"),140.0)</f>
        <v>140</v>
      </c>
      <c r="V1425" s="23">
        <f>IFERROR(__xludf.DUMMYFUNCTION("IFERROR(GOOGLEFINANCE(A1425,""changepct""),"""")"),5.0)</f>
        <v>5</v>
      </c>
      <c r="W1425" s="22">
        <f>IFERROR(__xludf.DUMMYFUNCTION("IFERROR(GOOGLEFINANCE(A1425,""priceopen""),"""")"),140.0)</f>
        <v>140</v>
      </c>
      <c r="X1425" s="22">
        <f>IFERROR(__xludf.DUMMYFUNCTION("IFERROR(GOOGLEFINANCE(A1425,""high""),"""")"),149.0)</f>
        <v>149</v>
      </c>
      <c r="Y1425" s="22">
        <f>IFERROR(__xludf.DUMMYFUNCTION("IFERROR(GOOGLEFINANCE(A1425,""low""),"""")"),140.0)</f>
        <v>140</v>
      </c>
      <c r="Z1425" s="22">
        <f>IFERROR(__xludf.DUMMYFUNCTION("IFERROR(GOOGLEFINANCE(A1425,""volume""),"""")"),1278600.0)</f>
        <v>1278600</v>
      </c>
      <c r="AA1425" s="24" t="str">
        <f>VLOOKUP(A1425,Metrik!$C$2:$Y$959,5,0)</f>
        <v>Containers &amp; Packaging</v>
      </c>
      <c r="AB1425" s="24" t="str">
        <f>VLOOKUP(A1425,Metrik!$C$2:$Y$959,3,0)</f>
        <v>Basic Materials</v>
      </c>
    </row>
    <row r="1426">
      <c r="A1426" s="14" t="s">
        <v>773</v>
      </c>
      <c r="B1426" s="14" t="str">
        <f t="array" ref="B1426">VLOOKUP(A1426,{Metrik!$C$2:$C$998,Metrik!$B$2:$B$998},2,0)</f>
        <v>PP Properti Tbk.</v>
      </c>
      <c r="C1426" s="15">
        <f>IFERROR(__xludf.DUMMYFUNCTION("GOOGLEFINANCE(""IDX:""&amp;A1426,""price"")"),14.0)</f>
        <v>14</v>
      </c>
      <c r="D1426" s="16" t="str">
        <f>IFERROR(__xludf.DUMMYFUNCTION("IF(A1426="""","""",
SPARKLINE(
INDEX(
GOOGLEFINANCE(""IDX:""&amp;A1426,""close"",TODAY()-365,TODAY()),
,2
),
{""linewidth"",1}
))
"),"#N/A")</f>
        <v>#N/A</v>
      </c>
      <c r="E1426" s="26"/>
      <c r="F1426" s="26"/>
      <c r="G1426" s="24">
        <f t="shared" si="9"/>
        <v>0</v>
      </c>
      <c r="H1426" s="19">
        <f>VLOOKUP(A1426,Metrik!$C$2:$Y$959,8,0)</f>
        <v>-0.18</v>
      </c>
      <c r="I1426" s="20">
        <f>VLOOKUP(A1426,Metrik!$C$2:$Y$959,9,0)</f>
        <v>0.15</v>
      </c>
      <c r="J1426" s="20">
        <f>VLOOKUP(A1426,Metrik!$C$2:$Y$959,10,0)</f>
        <v>-83.3</v>
      </c>
      <c r="K1426" s="20">
        <f>VLOOKUP(A1426,Metrik!$C$2:$Y$959,11,0)</f>
        <v>-47.8</v>
      </c>
      <c r="L1426" s="20">
        <f>VLOOKUP(A1426,Metrik!$C$2:$Y$959,12,0)</f>
        <v>0.74</v>
      </c>
      <c r="M1426" s="20">
        <f>VLOOKUP(A1426,Metrik!$C$2:$Y$959,19,0)</f>
        <v>-6420</v>
      </c>
      <c r="N1426" s="21"/>
      <c r="O1426" s="21"/>
      <c r="P1426" s="21"/>
      <c r="Q1426" s="21"/>
      <c r="R1426" s="21"/>
      <c r="S1426" s="21"/>
      <c r="T1426" s="21"/>
      <c r="U1426" s="22">
        <f>IFERROR(__xludf.DUMMYFUNCTION("IFERROR(GOOGLEFINANCE(A1426,""closeyest""),"""")"),13.0)</f>
        <v>13</v>
      </c>
      <c r="V1426" s="23">
        <f>IFERROR(__xludf.DUMMYFUNCTION("IFERROR(GOOGLEFINANCE(A1426,""changepct""),"""")"),7.69)</f>
        <v>7.69</v>
      </c>
      <c r="W1426" s="22">
        <f>IFERROR(__xludf.DUMMYFUNCTION("IFERROR(GOOGLEFINANCE(A1426,""priceopen""),"""")"),13.0)</f>
        <v>13</v>
      </c>
      <c r="X1426" s="22">
        <f>IFERROR(__xludf.DUMMYFUNCTION("IFERROR(GOOGLEFINANCE(A1426,""high""),"""")"),14.0)</f>
        <v>14</v>
      </c>
      <c r="Y1426" s="22">
        <f>IFERROR(__xludf.DUMMYFUNCTION("IFERROR(GOOGLEFINANCE(A1426,""low""),"""")"),13.0)</f>
        <v>13</v>
      </c>
      <c r="Z1426" s="22">
        <f>IFERROR(__xludf.DUMMYFUNCTION("IFERROR(GOOGLEFINANCE(A1426,""volume""),"""")"),4.31589E7)</f>
        <v>43158900</v>
      </c>
      <c r="AA1426" s="24" t="str">
        <f>VLOOKUP(A1426,Metrik!$C$2:$Y$959,5,0)</f>
        <v>Real Estate Management &amp; Development</v>
      </c>
      <c r="AB1426" s="24" t="str">
        <f>VLOOKUP(A1426,Metrik!$C$2:$Y$959,3,0)</f>
        <v>Properties &amp; Real Estate</v>
      </c>
    </row>
    <row r="1427">
      <c r="A1427" s="14" t="s">
        <v>774</v>
      </c>
      <c r="B1427" s="14" t="str">
        <f t="array" ref="B1427">VLOOKUP(A1427,{Metrik!$C$2:$C$998,Metrik!$B$2:$B$998},2,0)</f>
        <v>Famon Awal Bros Sedaya Tbk.</v>
      </c>
      <c r="C1427" s="15" t="str">
        <f>IFERROR(__xludf.DUMMYFUNCTION("GOOGLEFINANCE(""IDX:""&amp;A1427,""price"")"),"#N/A")</f>
        <v>#N/A</v>
      </c>
      <c r="D1427" s="16" t="str">
        <f>IFERROR(__xludf.DUMMYFUNCTION("IF(A1427="""","""",
SPARKLINE(
INDEX(
GOOGLEFINANCE(""IDX:""&amp;A1427,""close"",TODAY()-365,TODAY()),
,2
),
{""linewidth"",1}
))
"),"#N/A")</f>
        <v>#N/A</v>
      </c>
      <c r="E1427" s="26"/>
      <c r="F1427" s="26"/>
      <c r="G1427" s="24">
        <f t="shared" si="9"/>
        <v>0</v>
      </c>
      <c r="H1427" s="19">
        <f>VLOOKUP(A1427,Metrik!$C$2:$Y$959,8,0)</f>
        <v>52.6</v>
      </c>
      <c r="I1427" s="20">
        <f>VLOOKUP(A1427,Metrik!$C$2:$Y$959,9,0)</f>
        <v>2.9</v>
      </c>
      <c r="J1427" s="20">
        <f>VLOOKUP(A1427,Metrik!$C$2:$Y$959,10,0)</f>
        <v>5.5</v>
      </c>
      <c r="K1427" s="20">
        <f>VLOOKUP(A1427,Metrik!$C$2:$Y$959,11,0)</f>
        <v>3.1</v>
      </c>
      <c r="L1427" s="20">
        <f>VLOOKUP(A1427,Metrik!$C$2:$Y$959,12,0)</f>
        <v>0.77</v>
      </c>
      <c r="M1427" s="20">
        <f>VLOOKUP(A1427,Metrik!$C$2:$Y$959,19,0)</f>
        <v>27.9</v>
      </c>
      <c r="N1427" s="21"/>
      <c r="O1427" s="21"/>
      <c r="P1427" s="21"/>
      <c r="Q1427" s="21"/>
      <c r="R1427" s="21"/>
      <c r="S1427" s="21"/>
      <c r="T1427" s="21"/>
      <c r="U1427" s="22">
        <f>IFERROR(__xludf.DUMMYFUNCTION("IFERROR(GOOGLEFINANCE(A1427,""closeyest""),"""")"),35.45)</f>
        <v>35.45</v>
      </c>
      <c r="V1427" s="23">
        <f>IFERROR(__xludf.DUMMYFUNCTION("IFERROR(GOOGLEFINANCE(A1427,""changepct""),"""")"),0.59)</f>
        <v>0.59</v>
      </c>
      <c r="W1427" s="22">
        <f>IFERROR(__xludf.DUMMYFUNCTION("IFERROR(GOOGLEFINANCE(A1427,""priceopen""),"""")"),35.54)</f>
        <v>35.54</v>
      </c>
      <c r="X1427" s="22">
        <f>IFERROR(__xludf.DUMMYFUNCTION("IFERROR(GOOGLEFINANCE(A1427,""high""),"""")"),35.83)</f>
        <v>35.83</v>
      </c>
      <c r="Y1427" s="22">
        <f>IFERROR(__xludf.DUMMYFUNCTION("IFERROR(GOOGLEFINANCE(A1427,""low""),"""")"),35.54)</f>
        <v>35.54</v>
      </c>
      <c r="Z1427" s="22">
        <f>IFERROR(__xludf.DUMMYFUNCTION("IFERROR(GOOGLEFINANCE(A1427,""volume""),"""")"),868.0)</f>
        <v>868</v>
      </c>
      <c r="AA1427" s="24" t="str">
        <f>VLOOKUP(A1427,Metrik!$C$2:$Y$959,5,0)</f>
        <v>Healthcare Providers</v>
      </c>
      <c r="AB1427" s="24" t="str">
        <f>VLOOKUP(A1427,Metrik!$C$2:$Y$959,3,0)</f>
        <v>Healthcare</v>
      </c>
    </row>
    <row r="1428">
      <c r="A1428" s="17" t="s">
        <v>775</v>
      </c>
      <c r="B1428" s="14" t="str">
        <f t="array" ref="B1428">VLOOKUP(A1428,{Metrik!$C$2:$C$998,Metrik!$B$2:$B$998},2,0)</f>
        <v>PT Prodia Widyahusada Tbk.</v>
      </c>
      <c r="C1428" s="15">
        <f>IFERROR(__xludf.DUMMYFUNCTION("GOOGLEFINANCE(""IDX:""&amp;A1428,""price"")"),2440.0)</f>
        <v>2440</v>
      </c>
      <c r="D1428" s="16" t="str">
        <f>IFERROR(__xludf.DUMMYFUNCTION("IF(A1428="""","""",
SPARKLINE(
INDEX(
GOOGLEFINANCE(""IDX:""&amp;A1428,""close"",TODAY()-365,TODAY()),
,2
),
{""linewidth"",1}
))
"),"#N/A")</f>
        <v>#N/A</v>
      </c>
      <c r="E1428" s="14"/>
      <c r="F1428" s="17"/>
      <c r="G1428" s="18">
        <f t="shared" si="9"/>
        <v>0</v>
      </c>
      <c r="H1428" s="19">
        <f>VLOOKUP(A1428,Metrik!$C$2:$Y$959,8,0)</f>
        <v>10.9</v>
      </c>
      <c r="I1428" s="20">
        <f>VLOOKUP(A1428,Metrik!$C$2:$Y$959,9,0)</f>
        <v>0.98</v>
      </c>
      <c r="J1428" s="20">
        <f>VLOOKUP(A1428,Metrik!$C$2:$Y$959,10,0)</f>
        <v>9</v>
      </c>
      <c r="K1428" s="20">
        <f>VLOOKUP(A1428,Metrik!$C$2:$Y$959,11,0)</f>
        <v>8.1</v>
      </c>
      <c r="L1428" s="20">
        <f>VLOOKUP(A1428,Metrik!$C$2:$Y$959,12,0)</f>
        <v>0.11</v>
      </c>
      <c r="M1428" s="20">
        <f>VLOOKUP(A1428,Metrik!$C$2:$Y$959,19,0)</f>
        <v>43.3</v>
      </c>
      <c r="N1428" s="21"/>
      <c r="O1428" s="21"/>
      <c r="P1428" s="21"/>
      <c r="Q1428" s="21"/>
      <c r="R1428" s="21"/>
      <c r="S1428" s="21"/>
      <c r="T1428" s="21"/>
      <c r="U1428" s="22">
        <f>IFERROR(__xludf.DUMMYFUNCTION("IFERROR(GOOGLEFINANCE(A1428,""closeyest""),"""")"),2410.0)</f>
        <v>2410</v>
      </c>
      <c r="V1428" s="23">
        <f>IFERROR(__xludf.DUMMYFUNCTION("IFERROR(GOOGLEFINANCE(A1428,""changepct""),"""")"),1.24)</f>
        <v>1.24</v>
      </c>
      <c r="W1428" s="22">
        <f>IFERROR(__xludf.DUMMYFUNCTION("IFERROR(GOOGLEFINANCE(A1428,""priceopen""),"""")"),2410.0)</f>
        <v>2410</v>
      </c>
      <c r="X1428" s="22">
        <f>IFERROR(__xludf.DUMMYFUNCTION("IFERROR(GOOGLEFINANCE(A1428,""high""),"""")"),2440.0)</f>
        <v>2440</v>
      </c>
      <c r="Y1428" s="22">
        <f>IFERROR(__xludf.DUMMYFUNCTION("IFERROR(GOOGLEFINANCE(A1428,""low""),"""")"),2390.0)</f>
        <v>2390</v>
      </c>
      <c r="Z1428" s="22">
        <f>IFERROR(__xludf.DUMMYFUNCTION("IFERROR(GOOGLEFINANCE(A1428,""volume""),"""")"),120400.0)</f>
        <v>120400</v>
      </c>
      <c r="AA1428" s="24" t="str">
        <f>VLOOKUP(A1428,Metrik!$C$2:$Y$959,5,0)</f>
        <v>Healthcare Providers</v>
      </c>
      <c r="AB1428" s="24" t="str">
        <f>VLOOKUP(A1428,Metrik!$C$2:$Y$959,3,0)</f>
        <v>Healthcare</v>
      </c>
    </row>
    <row r="1429">
      <c r="A1429" s="14" t="s">
        <v>776</v>
      </c>
      <c r="B1429" s="14" t="str">
        <f t="array" ref="B1429">VLOOKUP(A1429,{Metrik!$C$2:$C$998,Metrik!$B$2:$B$998},2,0)</f>
        <v>Royal Prima Tbk.</v>
      </c>
      <c r="C1429" s="15">
        <f>IFERROR(__xludf.DUMMYFUNCTION("GOOGLEFINANCE(""IDX:""&amp;A1429,""price"")"),79.0)</f>
        <v>79</v>
      </c>
      <c r="D1429" s="16" t="str">
        <f>IFERROR(__xludf.DUMMYFUNCTION("IF(A1429="""","""",
SPARKLINE(
INDEX(
GOOGLEFINANCE(""IDX:""&amp;A1429,""close"",TODAY()-365,TODAY()),
,2
),
{""linewidth"",1}
))
"),"#N/A")</f>
        <v>#N/A</v>
      </c>
      <c r="E1429" s="26"/>
      <c r="F1429" s="26"/>
      <c r="G1429" s="24">
        <f t="shared" si="9"/>
        <v>0</v>
      </c>
      <c r="H1429" s="19">
        <f>VLOOKUP(A1429,Metrik!$C$2:$Y$959,8,0)</f>
        <v>-14.4</v>
      </c>
      <c r="I1429" s="20">
        <f>VLOOKUP(A1429,Metrik!$C$2:$Y$959,9,0)</f>
        <v>0.3</v>
      </c>
      <c r="J1429" s="20">
        <f>VLOOKUP(A1429,Metrik!$C$2:$Y$959,10,0)</f>
        <v>-2.1</v>
      </c>
      <c r="K1429" s="20">
        <f>VLOOKUP(A1429,Metrik!$C$2:$Y$959,11,0)</f>
        <v>-1.9</v>
      </c>
      <c r="L1429" s="20">
        <f>VLOOKUP(A1429,Metrik!$C$2:$Y$959,12,0)</f>
        <v>0.11</v>
      </c>
      <c r="M1429" s="20">
        <f>VLOOKUP(A1429,Metrik!$C$2:$Y$959,19,0)</f>
        <v>-27.2</v>
      </c>
      <c r="N1429" s="21"/>
      <c r="O1429" s="21"/>
      <c r="P1429" s="21"/>
      <c r="Q1429" s="21"/>
      <c r="R1429" s="21"/>
      <c r="S1429" s="21"/>
      <c r="T1429" s="21"/>
      <c r="U1429" s="22">
        <f>IFERROR(__xludf.DUMMYFUNCTION("IFERROR(GOOGLEFINANCE(A1429,""closeyest""),"""")"),94.5)</f>
        <v>94.5</v>
      </c>
      <c r="V1429" s="23">
        <f>IFERROR(__xludf.DUMMYFUNCTION("IFERROR(GOOGLEFINANCE(A1429,""changepct""),"""")"),4.39)</f>
        <v>4.39</v>
      </c>
      <c r="W1429" s="22">
        <f>IFERROR(__xludf.DUMMYFUNCTION("IFERROR(GOOGLEFINANCE(A1429,""priceopen""),"""")"),94.53)</f>
        <v>94.53</v>
      </c>
      <c r="X1429" s="22">
        <f>IFERROR(__xludf.DUMMYFUNCTION("IFERROR(GOOGLEFINANCE(A1429,""high""),"""")"),99.98)</f>
        <v>99.98</v>
      </c>
      <c r="Y1429" s="22">
        <f>IFERROR(__xludf.DUMMYFUNCTION("IFERROR(GOOGLEFINANCE(A1429,""low""),"""")"),93.2)</f>
        <v>93.2</v>
      </c>
      <c r="Z1429" s="22">
        <f>IFERROR(__xludf.DUMMYFUNCTION("IFERROR(GOOGLEFINANCE(A1429,""volume""),"""")"),1772391.0)</f>
        <v>1772391</v>
      </c>
      <c r="AA1429" s="24" t="str">
        <f>VLOOKUP(A1429,Metrik!$C$2:$Y$959,5,0)</f>
        <v>Healthcare Providers</v>
      </c>
      <c r="AB1429" s="24" t="str">
        <f>VLOOKUP(A1429,Metrik!$C$2:$Y$959,3,0)</f>
        <v>Healthcare</v>
      </c>
    </row>
    <row r="1430">
      <c r="A1430" s="14" t="s">
        <v>777</v>
      </c>
      <c r="B1430" s="14" t="str">
        <f t="array" ref="B1430">VLOOKUP(A1430,{Metrik!$C$2:$C$998,Metrik!$B$2:$B$998},2,0)</f>
        <v>J Resources Asia Pasifik Tbk.</v>
      </c>
      <c r="C1430" s="15">
        <f>IFERROR(__xludf.DUMMYFUNCTION("GOOGLEFINANCE(""IDX:""&amp;A1430,""price"")"),468.0)</f>
        <v>468</v>
      </c>
      <c r="D1430" s="16" t="str">
        <f>IFERROR(__xludf.DUMMYFUNCTION("IF(A1430="""","""",
SPARKLINE(
INDEX(
GOOGLEFINANCE(""IDX:""&amp;A1430,""close"",TODAY()-365,TODAY()),
,2
),
{""linewidth"",1}
))
"),"#N/A")</f>
        <v>#N/A</v>
      </c>
      <c r="E1430" s="14" t="s">
        <v>32</v>
      </c>
      <c r="F1430" s="14" t="s">
        <v>29</v>
      </c>
      <c r="G1430" s="24">
        <f t="shared" si="9"/>
        <v>1</v>
      </c>
      <c r="H1430" s="19">
        <f>VLOOKUP(A1430,Metrik!$C$2:$Y$959,8,0)</f>
        <v>20.7</v>
      </c>
      <c r="I1430" s="20">
        <f>VLOOKUP(A1430,Metrik!$C$2:$Y$959,9,0)</f>
        <v>1.7</v>
      </c>
      <c r="J1430" s="20">
        <f>VLOOKUP(A1430,Metrik!$C$2:$Y$959,10,0)</f>
        <v>8</v>
      </c>
      <c r="K1430" s="20">
        <f>VLOOKUP(A1430,Metrik!$C$2:$Y$959,11,0)</f>
        <v>4.4</v>
      </c>
      <c r="L1430" s="20">
        <f>VLOOKUP(A1430,Metrik!$C$2:$Y$959,12,0)</f>
        <v>0.81</v>
      </c>
      <c r="M1430" s="20">
        <f>VLOOKUP(A1430,Metrik!$C$2:$Y$959,19,0)</f>
        <v>12.6</v>
      </c>
      <c r="N1430" s="21"/>
      <c r="O1430" s="21"/>
      <c r="P1430" s="21"/>
      <c r="Q1430" s="21"/>
      <c r="R1430" s="21"/>
      <c r="S1430" s="21"/>
      <c r="T1430" s="21"/>
      <c r="U1430" s="22">
        <f>IFERROR(__xludf.DUMMYFUNCTION("IFERROR(GOOGLEFINANCE(A1430,""closeyest""),"""")"),445.0)</f>
        <v>445</v>
      </c>
      <c r="V1430" s="23">
        <f>IFERROR(__xludf.DUMMYFUNCTION("IFERROR(GOOGLEFINANCE(A1430,""changepct""),"""")"),5.17)</f>
        <v>5.17</v>
      </c>
      <c r="W1430" s="22">
        <f>IFERROR(__xludf.DUMMYFUNCTION("IFERROR(GOOGLEFINANCE(A1430,""priceopen""),"""")"),468.0)</f>
        <v>468</v>
      </c>
      <c r="X1430" s="22">
        <f>IFERROR(__xludf.DUMMYFUNCTION("IFERROR(GOOGLEFINANCE(A1430,""high""),"""")"),468.0)</f>
        <v>468</v>
      </c>
      <c r="Y1430" s="22" t="str">
        <f>IFERROR(__xludf.DUMMYFUNCTION("IFERROR(GOOGLEFINANCE(A1430,""low""),"""")"),"")</f>
        <v/>
      </c>
      <c r="Z1430" s="22">
        <f>IFERROR(__xludf.DUMMYFUNCTION("IFERROR(GOOGLEFINANCE(A1430,""volume""),"""")"),3.49898E7)</f>
        <v>34989800</v>
      </c>
      <c r="AA1430" s="24" t="str">
        <f>VLOOKUP(A1430,Metrik!$C$2:$Y$959,5,0)</f>
        <v>Metals &amp; Minerals</v>
      </c>
      <c r="AB1430" s="24" t="str">
        <f>VLOOKUP(A1430,Metrik!$C$2:$Y$959,3,0)</f>
        <v>Basic Materials</v>
      </c>
    </row>
    <row r="1431">
      <c r="A1431" s="14" t="s">
        <v>778</v>
      </c>
      <c r="B1431" s="14" t="str">
        <f t="array" ref="B1431">VLOOKUP(A1431,{Metrik!$C$2:$C$998,Metrik!$B$2:$B$998},2,0)</f>
        <v>Pancaran Samudera Transport Tbk.</v>
      </c>
      <c r="C1431" s="15">
        <f>IFERROR(__xludf.DUMMYFUNCTION("GOOGLEFINANCE(""IDX:""&amp;A1431,""price"")"),850.0)</f>
        <v>850</v>
      </c>
      <c r="D1431" s="16" t="str">
        <f>IFERROR(__xludf.DUMMYFUNCTION("IF(A1431="""","""",
SPARKLINE(
INDEX(
GOOGLEFINANCE(""IDX:""&amp;A1431,""close"",TODAY()-365,TODAY()),
,2
),
{""linewidth"",1}
))
"),"#N/A")</f>
        <v>#N/A</v>
      </c>
      <c r="E1431" s="26"/>
      <c r="F1431" s="26"/>
      <c r="G1431" s="24">
        <f t="shared" si="9"/>
        <v>0</v>
      </c>
      <c r="H1431" s="19">
        <f>VLOOKUP(A1431,Metrik!$C$2:$Y$959,8,0)</f>
        <v>-45</v>
      </c>
      <c r="I1431" s="20">
        <f>VLOOKUP(A1431,Metrik!$C$2:$Y$959,9,0)</f>
        <v>0.9</v>
      </c>
      <c r="J1431" s="20">
        <f>VLOOKUP(A1431,Metrik!$C$2:$Y$959,10,0)</f>
        <v>-2</v>
      </c>
      <c r="K1431" s="20">
        <f>VLOOKUP(A1431,Metrik!$C$2:$Y$959,11,0)</f>
        <v>-1.5</v>
      </c>
      <c r="L1431" s="20">
        <f>VLOOKUP(A1431,Metrik!$C$2:$Y$959,12,0)</f>
        <v>0.29</v>
      </c>
      <c r="M1431" s="20">
        <f>VLOOKUP(A1431,Metrik!$C$2:$Y$959,19,0)</f>
        <v>-13.8</v>
      </c>
      <c r="N1431" s="21"/>
      <c r="O1431" s="21"/>
      <c r="P1431" s="21"/>
      <c r="Q1431" s="21"/>
      <c r="R1431" s="21"/>
      <c r="S1431" s="21"/>
      <c r="T1431" s="21"/>
      <c r="U1431" s="22">
        <f>IFERROR(__xludf.DUMMYFUNCTION("IFERROR(GOOGLEFINANCE(A1431,""closeyest""),"""")"),850.0)</f>
        <v>850</v>
      </c>
      <c r="V1431" s="23">
        <f>IFERROR(__xludf.DUMMYFUNCTION("IFERROR(GOOGLEFINANCE(A1431,""changepct""),"""")"),0.0)</f>
        <v>0</v>
      </c>
      <c r="W1431" s="22">
        <f>IFERROR(__xludf.DUMMYFUNCTION("IFERROR(GOOGLEFINANCE(A1431,""priceopen""),"""")"),850.0)</f>
        <v>850</v>
      </c>
      <c r="X1431" s="22">
        <f>IFERROR(__xludf.DUMMYFUNCTION("IFERROR(GOOGLEFINANCE(A1431,""high""),"""")"),900.0)</f>
        <v>900</v>
      </c>
      <c r="Y1431" s="22">
        <f>IFERROR(__xludf.DUMMYFUNCTION("IFERROR(GOOGLEFINANCE(A1431,""low""),"""")"),800.0)</f>
        <v>800</v>
      </c>
      <c r="Z1431" s="22" t="str">
        <f>IFERROR(__xludf.DUMMYFUNCTION("IFERROR(GOOGLEFINANCE(A1431,""volume""),"""")"),"")</f>
        <v/>
      </c>
      <c r="AA1431" s="24" t="str">
        <f>VLOOKUP(A1431,Metrik!$C$2:$Y$959,5,0)</f>
        <v>Coal</v>
      </c>
      <c r="AB1431" s="24" t="str">
        <f>VLOOKUP(A1431,Metrik!$C$2:$Y$959,3,0)</f>
        <v>Energy</v>
      </c>
    </row>
    <row r="1432">
      <c r="A1432" s="14" t="s">
        <v>779</v>
      </c>
      <c r="B1432" s="14" t="str">
        <f t="array" ref="B1432">VLOOKUP(A1432,{Metrik!$C$2:$C$998,Metrik!$B$2:$B$998},2,0)</f>
        <v>Prasidha Aneka Niaga Tbk</v>
      </c>
      <c r="C1432" s="15" t="str">
        <f>IFERROR(__xludf.DUMMYFUNCTION("GOOGLEFINANCE(""IDX:""&amp;A1432,""price"")"),"#N/A")</f>
        <v>#N/A</v>
      </c>
      <c r="D1432" s="16" t="str">
        <f>IFERROR(__xludf.DUMMYFUNCTION("IF(A1432="""","""",
SPARKLINE(
INDEX(
GOOGLEFINANCE(""IDX:""&amp;A1432,""close"",TODAY()-365,TODAY()),
,2
),
{""linewidth"",1}
))
"),"#N/A")</f>
        <v>#N/A</v>
      </c>
      <c r="E1432" s="26"/>
      <c r="F1432" s="26"/>
      <c r="G1432" s="24">
        <f t="shared" si="9"/>
        <v>0</v>
      </c>
      <c r="H1432" s="19">
        <f>VLOOKUP(A1432,Metrik!$C$2:$Y$959,8,0)</f>
        <v>-6.8</v>
      </c>
      <c r="I1432" s="20">
        <f>VLOOKUP(A1432,Metrik!$C$2:$Y$959,9,0)</f>
        <v>13.4</v>
      </c>
      <c r="J1432" s="20">
        <f>VLOOKUP(A1432,Metrik!$C$2:$Y$959,10,0)</f>
        <v>-200</v>
      </c>
      <c r="K1432" s="20">
        <f>VLOOKUP(A1432,Metrik!$C$2:$Y$959,11,0)</f>
        <v>-20.3</v>
      </c>
      <c r="L1432" s="20">
        <f>VLOOKUP(A1432,Metrik!$C$2:$Y$959,12,0)</f>
        <v>8.7</v>
      </c>
      <c r="M1432" s="20">
        <f>VLOOKUP(A1432,Metrik!$C$2:$Y$959,19,0)</f>
        <v>-680</v>
      </c>
      <c r="N1432" s="21"/>
      <c r="O1432" s="21"/>
      <c r="P1432" s="21"/>
      <c r="Q1432" s="21"/>
      <c r="R1432" s="21"/>
      <c r="S1432" s="21"/>
      <c r="T1432" s="21"/>
      <c r="U1432" s="22">
        <f>IFERROR(__xludf.DUMMYFUNCTION("IFERROR(GOOGLEFINANCE(A1432,""closeyest""),"""")"),113.0)</f>
        <v>113</v>
      </c>
      <c r="V1432" s="23">
        <f>IFERROR(__xludf.DUMMYFUNCTION("IFERROR(GOOGLEFINANCE(A1432,""changepct""),"""")"),1.77)</f>
        <v>1.77</v>
      </c>
      <c r="W1432" s="22">
        <f>IFERROR(__xludf.DUMMYFUNCTION("IFERROR(GOOGLEFINANCE(A1432,""priceopen""),"""")"),112.0)</f>
        <v>112</v>
      </c>
      <c r="X1432" s="22">
        <f>IFERROR(__xludf.DUMMYFUNCTION("IFERROR(GOOGLEFINANCE(A1432,""high""),"""")"),126.0)</f>
        <v>126</v>
      </c>
      <c r="Y1432" s="22">
        <f>IFERROR(__xludf.DUMMYFUNCTION("IFERROR(GOOGLEFINANCE(A1432,""low""),"""")"),111.0)</f>
        <v>111</v>
      </c>
      <c r="Z1432" s="22">
        <f>IFERROR(__xludf.DUMMYFUNCTION("IFERROR(GOOGLEFINANCE(A1432,""volume""),"""")"),1.695E7)</f>
        <v>16950000</v>
      </c>
      <c r="AA1432" s="24" t="str">
        <f>VLOOKUP(A1432,Metrik!$C$2:$Y$959,5,0)</f>
        <v>Processed Foods</v>
      </c>
      <c r="AB1432" s="24" t="str">
        <f>VLOOKUP(A1432,Metrik!$C$2:$Y$959,3,0)</f>
        <v>Consumer Non-Cyclicals</v>
      </c>
    </row>
    <row r="1433">
      <c r="A1433" s="14" t="s">
        <v>780</v>
      </c>
      <c r="B1433" s="14" t="str">
        <f t="array" ref="B1433">VLOOKUP(A1433,{Metrik!$C$2:$C$998,Metrik!$B$2:$B$998},2,0)</f>
        <v>Palma Serasih Tbk.</v>
      </c>
      <c r="C1433" s="15">
        <f>IFERROR(__xludf.DUMMYFUNCTION("GOOGLEFINANCE(""IDX:""&amp;A1433,""price"")"),190.0)</f>
        <v>190</v>
      </c>
      <c r="D1433" s="16" t="str">
        <f>IFERROR(__xludf.DUMMYFUNCTION("IF(A1433="""","""",
SPARKLINE(
INDEX(
GOOGLEFINANCE(""IDX:""&amp;A1433,""close"",TODAY()-365,TODAY()),
,2
),
{""linewidth"",1}
))
"),"#N/A")</f>
        <v>#N/A</v>
      </c>
      <c r="E1433" s="26"/>
      <c r="F1433" s="26"/>
      <c r="G1433" s="18">
        <f t="shared" si="9"/>
        <v>0</v>
      </c>
      <c r="H1433" s="19">
        <f>VLOOKUP(A1433,Metrik!$C$2:$Y$959,8,0)</f>
        <v>8.4</v>
      </c>
      <c r="I1433" s="20">
        <f>VLOOKUP(A1433,Metrik!$C$2:$Y$959,9,0)</f>
        <v>1.3</v>
      </c>
      <c r="J1433" s="20">
        <f>VLOOKUP(A1433,Metrik!$C$2:$Y$959,10,0)</f>
        <v>15.3</v>
      </c>
      <c r="K1433" s="20">
        <f>VLOOKUP(A1433,Metrik!$C$2:$Y$959,11,0)</f>
        <v>13.2</v>
      </c>
      <c r="L1433" s="20">
        <f>VLOOKUP(A1433,Metrik!$C$2:$Y$959,12,0)</f>
        <v>0.16</v>
      </c>
      <c r="M1433" s="20">
        <f>VLOOKUP(A1433,Metrik!$C$2:$Y$959,19,0)</f>
        <v>81.4</v>
      </c>
      <c r="N1433" s="21"/>
      <c r="O1433" s="21"/>
      <c r="P1433" s="21"/>
      <c r="Q1433" s="21"/>
      <c r="R1433" s="21"/>
      <c r="S1433" s="21"/>
      <c r="T1433" s="21"/>
      <c r="U1433" s="22">
        <f>IFERROR(__xludf.DUMMYFUNCTION("IFERROR(GOOGLEFINANCE(A1433,""closeyest""),"""")"),190.0)</f>
        <v>190</v>
      </c>
      <c r="V1433" s="23">
        <f>IFERROR(__xludf.DUMMYFUNCTION("IFERROR(GOOGLEFINANCE(A1433,""changepct""),"""")"),0.0)</f>
        <v>0</v>
      </c>
      <c r="W1433" s="22">
        <f>IFERROR(__xludf.DUMMYFUNCTION("IFERROR(GOOGLEFINANCE(A1433,""priceopen""),"""")"),192.0)</f>
        <v>192</v>
      </c>
      <c r="X1433" s="22">
        <f>IFERROR(__xludf.DUMMYFUNCTION("IFERROR(GOOGLEFINANCE(A1433,""high""),"""")"),194.0)</f>
        <v>194</v>
      </c>
      <c r="Y1433" s="22">
        <f>IFERROR(__xludf.DUMMYFUNCTION("IFERROR(GOOGLEFINANCE(A1433,""low""),"""")"),190.0)</f>
        <v>190</v>
      </c>
      <c r="Z1433" s="22">
        <f>IFERROR(__xludf.DUMMYFUNCTION("IFERROR(GOOGLEFINANCE(A1433,""volume""),"""")"),338700.0)</f>
        <v>338700</v>
      </c>
      <c r="AA1433" s="24" t="str">
        <f>VLOOKUP(A1433,Metrik!$C$2:$Y$959,5,0)</f>
        <v>Agricultural Products</v>
      </c>
      <c r="AB1433" s="24" t="str">
        <f>VLOOKUP(A1433,Metrik!$C$2:$Y$959,3,0)</f>
        <v>Consumer Non-Cyclicals</v>
      </c>
    </row>
    <row r="1434">
      <c r="A1434" s="14" t="s">
        <v>781</v>
      </c>
      <c r="B1434" s="14" t="str">
        <f t="array" ref="B1434">VLOOKUP(A1434,{Metrik!$C$2:$C$998,Metrik!$B$2:$B$998},2,0)</f>
        <v>Red Planet Indonesia Tbk.</v>
      </c>
      <c r="C1434" s="15">
        <f>IFERROR(__xludf.DUMMYFUNCTION("GOOGLEFINANCE(""IDX:""&amp;A1434,""price"")"),189.0)</f>
        <v>189</v>
      </c>
      <c r="D1434" s="16" t="str">
        <f>IFERROR(__xludf.DUMMYFUNCTION("IF(A1434="""","""",
SPARKLINE(
INDEX(
GOOGLEFINANCE(""IDX:""&amp;A1434,""close"",TODAY()-365,TODAY()),
,2
),
{""linewidth"",1}
))
"),"#N/A")</f>
        <v>#N/A</v>
      </c>
      <c r="E1434" s="26"/>
      <c r="F1434" s="26"/>
      <c r="G1434" s="24">
        <f t="shared" si="9"/>
        <v>0</v>
      </c>
      <c r="H1434" s="19">
        <f>VLOOKUP(A1434,Metrik!$C$2:$Y$959,8,0)</f>
        <v>-200</v>
      </c>
      <c r="I1434" s="20">
        <f>VLOOKUP(A1434,Metrik!$C$2:$Y$959,9,0)</f>
        <v>7.2</v>
      </c>
      <c r="J1434" s="20">
        <f>VLOOKUP(A1434,Metrik!$C$2:$Y$959,10,0)</f>
        <v>-3.7</v>
      </c>
      <c r="K1434" s="20">
        <f>VLOOKUP(A1434,Metrik!$C$2:$Y$959,11,0)</f>
        <v>-3.2</v>
      </c>
      <c r="L1434" s="20">
        <f>VLOOKUP(A1434,Metrik!$C$2:$Y$959,12,0)</f>
        <v>0.14</v>
      </c>
      <c r="M1434" s="20">
        <f>VLOOKUP(A1434,Metrik!$C$2:$Y$959,19,0)</f>
        <v>-100</v>
      </c>
      <c r="N1434" s="21"/>
      <c r="O1434" s="21"/>
      <c r="P1434" s="21"/>
      <c r="Q1434" s="21"/>
      <c r="R1434" s="21"/>
      <c r="S1434" s="21"/>
      <c r="T1434" s="21"/>
      <c r="U1434" s="22">
        <f>IFERROR(__xludf.DUMMYFUNCTION("IFERROR(GOOGLEFINANCE(A1434,""closeyest""),"""")"),180.0)</f>
        <v>180</v>
      </c>
      <c r="V1434" s="23">
        <f>IFERROR(__xludf.DUMMYFUNCTION("IFERROR(GOOGLEFINANCE(A1434,""changepct""),"""")"),5.0)</f>
        <v>5</v>
      </c>
      <c r="W1434" s="22">
        <f>IFERROR(__xludf.DUMMYFUNCTION("IFERROR(GOOGLEFINANCE(A1434,""priceopen""),"""")"),181.0)</f>
        <v>181</v>
      </c>
      <c r="X1434" s="22">
        <f>IFERROR(__xludf.DUMMYFUNCTION("IFERROR(GOOGLEFINANCE(A1434,""high""),"""")"),194.0)</f>
        <v>194</v>
      </c>
      <c r="Y1434" s="22">
        <f>IFERROR(__xludf.DUMMYFUNCTION("IFERROR(GOOGLEFINANCE(A1434,""low""),"""")"),181.0)</f>
        <v>181</v>
      </c>
      <c r="Z1434" s="22">
        <f>IFERROR(__xludf.DUMMYFUNCTION("IFERROR(GOOGLEFINANCE(A1434,""volume""),"""")"),2.47477E7)</f>
        <v>24747700</v>
      </c>
      <c r="AA1434" s="24" t="str">
        <f>VLOOKUP(A1434,Metrik!$C$2:$Y$959,5,0)</f>
        <v>Tourism &amp; Recreation</v>
      </c>
      <c r="AB1434" s="24" t="str">
        <f>VLOOKUP(A1434,Metrik!$C$2:$Y$959,3,0)</f>
        <v>Consumer Cyclicals</v>
      </c>
    </row>
    <row r="1435">
      <c r="A1435" s="14" t="s">
        <v>782</v>
      </c>
      <c r="B1435" s="14" t="str">
        <f t="array" ref="B1435">VLOOKUP(A1435,{Metrik!$C$2:$C$998,Metrik!$B$2:$B$998},2,0)</f>
        <v>IMC Pelita Logistik Tbk.</v>
      </c>
      <c r="C1435" s="15">
        <f>IFERROR(__xludf.DUMMYFUNCTION("GOOGLEFINANCE(""IDX:""&amp;A1435,""price"")"),296.0)</f>
        <v>296</v>
      </c>
      <c r="D1435" s="16" t="str">
        <f>IFERROR(__xludf.DUMMYFUNCTION("IF(A1435="""","""",
SPARKLINE(
INDEX(
GOOGLEFINANCE(""IDX:""&amp;A1435,""close"",TODAY()-365,TODAY()),
,2
),
{""linewidth"",1}
))
"),"#N/A")</f>
        <v>#N/A</v>
      </c>
      <c r="E1435" s="26"/>
      <c r="F1435" s="26"/>
      <c r="G1435" s="24">
        <f t="shared" si="9"/>
        <v>0</v>
      </c>
      <c r="H1435" s="19">
        <f>VLOOKUP(A1435,Metrik!$C$2:$Y$959,8,0)</f>
        <v>-160</v>
      </c>
      <c r="I1435" s="20">
        <f>VLOOKUP(A1435,Metrik!$C$2:$Y$959,9,0)</f>
        <v>0.63</v>
      </c>
      <c r="J1435" s="20">
        <f>VLOOKUP(A1435,Metrik!$C$2:$Y$959,10,0)</f>
        <v>-0.39</v>
      </c>
      <c r="K1435" s="20">
        <f>VLOOKUP(A1435,Metrik!$C$2:$Y$959,11,0)</f>
        <v>-0.34</v>
      </c>
      <c r="L1435" s="20">
        <f>VLOOKUP(A1435,Metrik!$C$2:$Y$959,12,0)</f>
        <v>0.13</v>
      </c>
      <c r="M1435" s="20">
        <f>VLOOKUP(A1435,Metrik!$C$2:$Y$959,19,0)</f>
        <v>-5.5</v>
      </c>
      <c r="N1435" s="21"/>
      <c r="O1435" s="21"/>
      <c r="P1435" s="21"/>
      <c r="Q1435" s="21"/>
      <c r="R1435" s="21"/>
      <c r="S1435" s="21"/>
      <c r="T1435" s="21"/>
      <c r="U1435" s="22">
        <f>IFERROR(__xludf.DUMMYFUNCTION("IFERROR(GOOGLEFINANCE(A1435,""closeyest""),"""")"),290.0)</f>
        <v>290</v>
      </c>
      <c r="V1435" s="23">
        <f>IFERROR(__xludf.DUMMYFUNCTION("IFERROR(GOOGLEFINANCE(A1435,""changepct""),"""")"),2.07)</f>
        <v>2.07</v>
      </c>
      <c r="W1435" s="22">
        <f>IFERROR(__xludf.DUMMYFUNCTION("IFERROR(GOOGLEFINANCE(A1435,""priceopen""),"""")"),290.0)</f>
        <v>290</v>
      </c>
      <c r="X1435" s="22">
        <f>IFERROR(__xludf.DUMMYFUNCTION("IFERROR(GOOGLEFINANCE(A1435,""high""),"""")"),298.0)</f>
        <v>298</v>
      </c>
      <c r="Y1435" s="22">
        <f>IFERROR(__xludf.DUMMYFUNCTION("IFERROR(GOOGLEFINANCE(A1435,""low""),"""")"),286.0)</f>
        <v>286</v>
      </c>
      <c r="Z1435" s="22">
        <f>IFERROR(__xludf.DUMMYFUNCTION("IFERROR(GOOGLEFINANCE(A1435,""volume""),"""")"),61300.0)</f>
        <v>61300</v>
      </c>
      <c r="AA1435" s="24" t="str">
        <f>VLOOKUP(A1435,Metrik!$C$2:$Y$959,5,0)</f>
        <v>Coal</v>
      </c>
      <c r="AB1435" s="24" t="str">
        <f>VLOOKUP(A1435,Metrik!$C$2:$Y$959,3,0)</f>
        <v>Energy</v>
      </c>
    </row>
    <row r="1436">
      <c r="A1436" s="14" t="s">
        <v>783</v>
      </c>
      <c r="B1436" s="14" t="str">
        <f t="array" ref="B1436">VLOOKUP(A1436,{Metrik!$C$2:$C$998,Metrik!$B$2:$B$998},2,0)</f>
        <v>Bukit Asam (Persero) Tbk.</v>
      </c>
      <c r="C1436" s="15">
        <f>IFERROR(__xludf.DUMMYFUNCTION("GOOGLEFINANCE(""IDX:""&amp;A1436,""price"")"),2620.0)</f>
        <v>2620</v>
      </c>
      <c r="D1436" s="16" t="str">
        <f>IFERROR(__xludf.DUMMYFUNCTION("IF(A1436="""","""",
SPARKLINE(
INDEX(
GOOGLEFINANCE(""IDX:""&amp;A1436,""close"",TODAY()-365,TODAY()),
,2
),
{""linewidth"",1}
))
"),"#N/A")</f>
        <v>#N/A</v>
      </c>
      <c r="E1436" s="14" t="s">
        <v>106</v>
      </c>
      <c r="F1436" s="25">
        <v>46356.0</v>
      </c>
      <c r="G1436" s="18">
        <f t="shared" si="9"/>
        <v>18</v>
      </c>
      <c r="H1436" s="19">
        <f>VLOOKUP(A1436,Metrik!$C$2:$Y$959,8,0)</f>
        <v>9.6</v>
      </c>
      <c r="I1436" s="20">
        <f>VLOOKUP(A1436,Metrik!$C$2:$Y$959,9,0)</f>
        <v>1.4</v>
      </c>
      <c r="J1436" s="20">
        <f>VLOOKUP(A1436,Metrik!$C$2:$Y$959,10,0)</f>
        <v>14.1</v>
      </c>
      <c r="K1436" s="20">
        <f>VLOOKUP(A1436,Metrik!$C$2:$Y$959,11,0)</f>
        <v>7.7</v>
      </c>
      <c r="L1436" s="20">
        <f>VLOOKUP(A1436,Metrik!$C$2:$Y$959,12,0)</f>
        <v>0.83</v>
      </c>
      <c r="M1436" s="20">
        <f>VLOOKUP(A1436,Metrik!$C$2:$Y$959,19,0)</f>
        <v>33.6</v>
      </c>
      <c r="N1436" s="21"/>
      <c r="O1436" s="21"/>
      <c r="P1436" s="21"/>
      <c r="Q1436" s="21"/>
      <c r="R1436" s="21"/>
      <c r="S1436" s="21"/>
      <c r="T1436" s="21"/>
      <c r="U1436" s="22">
        <f>IFERROR(__xludf.DUMMYFUNCTION("IFERROR(GOOGLEFINANCE(A1436,""closeyest""),"""")"),2630.0)</f>
        <v>2630</v>
      </c>
      <c r="V1436" s="23">
        <f>IFERROR(__xludf.DUMMYFUNCTION("IFERROR(GOOGLEFINANCE(A1436,""changepct""),"""")"),-0.38)</f>
        <v>-0.38</v>
      </c>
      <c r="W1436" s="22">
        <f>IFERROR(__xludf.DUMMYFUNCTION("IFERROR(GOOGLEFINANCE(A1436,""priceopen""),"""")"),2600.0)</f>
        <v>2600</v>
      </c>
      <c r="X1436" s="22">
        <f>IFERROR(__xludf.DUMMYFUNCTION("IFERROR(GOOGLEFINANCE(A1436,""high""),"""")"),2670.0)</f>
        <v>2670</v>
      </c>
      <c r="Y1436" s="22">
        <f>IFERROR(__xludf.DUMMYFUNCTION("IFERROR(GOOGLEFINANCE(A1436,""low""),"""")"),2550.0)</f>
        <v>2550</v>
      </c>
      <c r="Z1436" s="22">
        <f>IFERROR(__xludf.DUMMYFUNCTION("IFERROR(GOOGLEFINANCE(A1436,""volume""),"""")"),4.6138E7)</f>
        <v>46138000</v>
      </c>
      <c r="AA1436" s="24" t="str">
        <f>VLOOKUP(A1436,Metrik!$C$2:$Y$959,5,0)</f>
        <v>Coal</v>
      </c>
      <c r="AB1436" s="24" t="str">
        <f>VLOOKUP(A1436,Metrik!$C$2:$Y$959,3,0)</f>
        <v>Energy</v>
      </c>
    </row>
    <row r="1437">
      <c r="A1437" s="14" t="s">
        <v>783</v>
      </c>
      <c r="B1437" s="14" t="str">
        <f t="array" ref="B1437">VLOOKUP(A1437,{Metrik!$C$2:$C$998,Metrik!$B$2:$B$998},2,0)</f>
        <v>Bukit Asam (Persero) Tbk.</v>
      </c>
      <c r="C1437" s="15">
        <f>IFERROR(__xludf.DUMMYFUNCTION("GOOGLEFINANCE(""IDX:""&amp;A1437,""price"")"),2620.0)</f>
        <v>2620</v>
      </c>
      <c r="D1437" s="16" t="str">
        <f>IFERROR(__xludf.DUMMYFUNCTION("IF(A1437="""","""",
SPARKLINE(
INDEX(
GOOGLEFINANCE(""IDX:""&amp;A1437,""close"",TODAY()-365,TODAY()),
,2
),
{""linewidth"",1}
))
"),"#N/A")</f>
        <v>#N/A</v>
      </c>
      <c r="E1437" s="14" t="s">
        <v>65</v>
      </c>
      <c r="F1437" s="25">
        <v>46356.0</v>
      </c>
      <c r="G1437" s="18">
        <f t="shared" si="9"/>
        <v>18</v>
      </c>
      <c r="H1437" s="19">
        <f>VLOOKUP(A1437,Metrik!$C$2:$Y$959,8,0)</f>
        <v>9.6</v>
      </c>
      <c r="I1437" s="20">
        <f>VLOOKUP(A1437,Metrik!$C$2:$Y$959,9,0)</f>
        <v>1.4</v>
      </c>
      <c r="J1437" s="20">
        <f>VLOOKUP(A1437,Metrik!$C$2:$Y$959,10,0)</f>
        <v>14.1</v>
      </c>
      <c r="K1437" s="20">
        <f>VLOOKUP(A1437,Metrik!$C$2:$Y$959,11,0)</f>
        <v>7.7</v>
      </c>
      <c r="L1437" s="20">
        <f>VLOOKUP(A1437,Metrik!$C$2:$Y$959,12,0)</f>
        <v>0.83</v>
      </c>
      <c r="M1437" s="20">
        <f>VLOOKUP(A1437,Metrik!$C$2:$Y$959,19,0)</f>
        <v>33.6</v>
      </c>
      <c r="N1437" s="21"/>
      <c r="O1437" s="21"/>
      <c r="P1437" s="21"/>
      <c r="Q1437" s="21"/>
      <c r="R1437" s="21"/>
      <c r="S1437" s="21"/>
      <c r="T1437" s="21"/>
      <c r="U1437" s="22">
        <f>IFERROR(__xludf.DUMMYFUNCTION("IFERROR(GOOGLEFINANCE(A1437,""closeyest""),"""")"),2630.0)</f>
        <v>2630</v>
      </c>
      <c r="V1437" s="23">
        <f>IFERROR(__xludf.DUMMYFUNCTION("IFERROR(GOOGLEFINANCE(A1437,""changepct""),"""")"),-0.38)</f>
        <v>-0.38</v>
      </c>
      <c r="W1437" s="22">
        <f>IFERROR(__xludf.DUMMYFUNCTION("IFERROR(GOOGLEFINANCE(A1437,""priceopen""),"""")"),2600.0)</f>
        <v>2600</v>
      </c>
      <c r="X1437" s="22">
        <f>IFERROR(__xludf.DUMMYFUNCTION("IFERROR(GOOGLEFINANCE(A1437,""high""),"""")"),2670.0)</f>
        <v>2670</v>
      </c>
      <c r="Y1437" s="22">
        <f>IFERROR(__xludf.DUMMYFUNCTION("IFERROR(GOOGLEFINANCE(A1437,""low""),"""")"),2550.0)</f>
        <v>2550</v>
      </c>
      <c r="Z1437" s="22">
        <f>IFERROR(__xludf.DUMMYFUNCTION("IFERROR(GOOGLEFINANCE(A1437,""volume""),"""")"),4.6138E7)</f>
        <v>46138000</v>
      </c>
      <c r="AA1437" s="24" t="str">
        <f>VLOOKUP(A1437,Metrik!$C$2:$Y$959,5,0)</f>
        <v>Coal</v>
      </c>
      <c r="AB1437" s="24" t="str">
        <f>VLOOKUP(A1437,Metrik!$C$2:$Y$959,3,0)</f>
        <v>Energy</v>
      </c>
    </row>
    <row r="1438">
      <c r="A1438" s="14" t="s">
        <v>783</v>
      </c>
      <c r="B1438" s="14" t="str">
        <f t="array" ref="B1438">VLOOKUP(A1438,{Metrik!$C$2:$C$998,Metrik!$B$2:$B$998},2,0)</f>
        <v>Bukit Asam (Persero) Tbk.</v>
      </c>
      <c r="C1438" s="15">
        <f>IFERROR(__xludf.DUMMYFUNCTION("GOOGLEFINANCE(""IDX:""&amp;A1438,""price"")"),2620.0)</f>
        <v>2620</v>
      </c>
      <c r="D1438" s="16" t="str">
        <f>IFERROR(__xludf.DUMMYFUNCTION("IF(A1438="""","""",
SPARKLINE(
INDEX(
GOOGLEFINANCE(""IDX:""&amp;A1438,""close"",TODAY()-365,TODAY()),
,2
),
{""linewidth"",1}
))
"),"#N/A")</f>
        <v>#N/A</v>
      </c>
      <c r="E1438" s="14" t="s">
        <v>42</v>
      </c>
      <c r="F1438" s="25">
        <v>46356.0</v>
      </c>
      <c r="G1438" s="18">
        <f t="shared" si="9"/>
        <v>18</v>
      </c>
      <c r="H1438" s="19">
        <f>VLOOKUP(A1438,Metrik!$C$2:$Y$959,8,0)</f>
        <v>9.6</v>
      </c>
      <c r="I1438" s="20">
        <f>VLOOKUP(A1438,Metrik!$C$2:$Y$959,9,0)</f>
        <v>1.4</v>
      </c>
      <c r="J1438" s="20">
        <f>VLOOKUP(A1438,Metrik!$C$2:$Y$959,10,0)</f>
        <v>14.1</v>
      </c>
      <c r="K1438" s="20">
        <f>VLOOKUP(A1438,Metrik!$C$2:$Y$959,11,0)</f>
        <v>7.7</v>
      </c>
      <c r="L1438" s="20">
        <f>VLOOKUP(A1438,Metrik!$C$2:$Y$959,12,0)</f>
        <v>0.83</v>
      </c>
      <c r="M1438" s="20">
        <f>VLOOKUP(A1438,Metrik!$C$2:$Y$959,19,0)</f>
        <v>33.6</v>
      </c>
      <c r="N1438" s="21"/>
      <c r="O1438" s="21"/>
      <c r="P1438" s="21"/>
      <c r="Q1438" s="21"/>
      <c r="R1438" s="21"/>
      <c r="S1438" s="21"/>
      <c r="T1438" s="21"/>
      <c r="U1438" s="22">
        <f>IFERROR(__xludf.DUMMYFUNCTION("IFERROR(GOOGLEFINANCE(A1438,""closeyest""),"""")"),2630.0)</f>
        <v>2630</v>
      </c>
      <c r="V1438" s="23">
        <f>IFERROR(__xludf.DUMMYFUNCTION("IFERROR(GOOGLEFINANCE(A1438,""changepct""),"""")"),-0.38)</f>
        <v>-0.38</v>
      </c>
      <c r="W1438" s="22">
        <f>IFERROR(__xludf.DUMMYFUNCTION("IFERROR(GOOGLEFINANCE(A1438,""priceopen""),"""")"),2600.0)</f>
        <v>2600</v>
      </c>
      <c r="X1438" s="22">
        <f>IFERROR(__xludf.DUMMYFUNCTION("IFERROR(GOOGLEFINANCE(A1438,""high""),"""")"),2670.0)</f>
        <v>2670</v>
      </c>
      <c r="Y1438" s="22">
        <f>IFERROR(__xludf.DUMMYFUNCTION("IFERROR(GOOGLEFINANCE(A1438,""low""),"""")"),2550.0)</f>
        <v>2550</v>
      </c>
      <c r="Z1438" s="22">
        <f>IFERROR(__xludf.DUMMYFUNCTION("IFERROR(GOOGLEFINANCE(A1438,""volume""),"""")"),4.6138E7)</f>
        <v>46138000</v>
      </c>
      <c r="AA1438" s="24" t="str">
        <f>VLOOKUP(A1438,Metrik!$C$2:$Y$959,5,0)</f>
        <v>Coal</v>
      </c>
      <c r="AB1438" s="24" t="str">
        <f>VLOOKUP(A1438,Metrik!$C$2:$Y$959,3,0)</f>
        <v>Energy</v>
      </c>
    </row>
    <row r="1439">
      <c r="A1439" s="14" t="s">
        <v>783</v>
      </c>
      <c r="B1439" s="14" t="str">
        <f t="array" ref="B1439">VLOOKUP(A1439,{Metrik!$C$2:$C$998,Metrik!$B$2:$B$998},2,0)</f>
        <v>Bukit Asam (Persero) Tbk.</v>
      </c>
      <c r="C1439" s="15">
        <f>IFERROR(__xludf.DUMMYFUNCTION("GOOGLEFINANCE(""IDX:""&amp;A1439,""price"")"),2620.0)</f>
        <v>2620</v>
      </c>
      <c r="D1439" s="16" t="str">
        <f>IFERROR(__xludf.DUMMYFUNCTION("IF(A1439="""","""",
SPARKLINE(
INDEX(
GOOGLEFINANCE(""IDX:""&amp;A1439,""close"",TODAY()-365,TODAY()),
,2
),
{""linewidth"",1}
))
"),"#N/A")</f>
        <v>#N/A</v>
      </c>
      <c r="E1439" s="14" t="s">
        <v>38</v>
      </c>
      <c r="F1439" s="25">
        <v>46356.0</v>
      </c>
      <c r="G1439" s="18">
        <f t="shared" si="9"/>
        <v>18</v>
      </c>
      <c r="H1439" s="19">
        <f>VLOOKUP(A1439,Metrik!$C$2:$Y$959,8,0)</f>
        <v>9.6</v>
      </c>
      <c r="I1439" s="20">
        <f>VLOOKUP(A1439,Metrik!$C$2:$Y$959,9,0)</f>
        <v>1.4</v>
      </c>
      <c r="J1439" s="20">
        <f>VLOOKUP(A1439,Metrik!$C$2:$Y$959,10,0)</f>
        <v>14.1</v>
      </c>
      <c r="K1439" s="20">
        <f>VLOOKUP(A1439,Metrik!$C$2:$Y$959,11,0)</f>
        <v>7.7</v>
      </c>
      <c r="L1439" s="20">
        <f>VLOOKUP(A1439,Metrik!$C$2:$Y$959,12,0)</f>
        <v>0.83</v>
      </c>
      <c r="M1439" s="20">
        <f>VLOOKUP(A1439,Metrik!$C$2:$Y$959,19,0)</f>
        <v>33.6</v>
      </c>
      <c r="N1439" s="21"/>
      <c r="O1439" s="21"/>
      <c r="P1439" s="21"/>
      <c r="Q1439" s="21"/>
      <c r="R1439" s="21"/>
      <c r="S1439" s="21"/>
      <c r="T1439" s="21"/>
      <c r="U1439" s="22">
        <f>IFERROR(__xludf.DUMMYFUNCTION("IFERROR(GOOGLEFINANCE(A1439,""closeyest""),"""")"),2630.0)</f>
        <v>2630</v>
      </c>
      <c r="V1439" s="23">
        <f>IFERROR(__xludf.DUMMYFUNCTION("IFERROR(GOOGLEFINANCE(A1439,""changepct""),"""")"),-0.38)</f>
        <v>-0.38</v>
      </c>
      <c r="W1439" s="22">
        <f>IFERROR(__xludf.DUMMYFUNCTION("IFERROR(GOOGLEFINANCE(A1439,""priceopen""),"""")"),2600.0)</f>
        <v>2600</v>
      </c>
      <c r="X1439" s="22">
        <f>IFERROR(__xludf.DUMMYFUNCTION("IFERROR(GOOGLEFINANCE(A1439,""high""),"""")"),2670.0)</f>
        <v>2670</v>
      </c>
      <c r="Y1439" s="22">
        <f>IFERROR(__xludf.DUMMYFUNCTION("IFERROR(GOOGLEFINANCE(A1439,""low""),"""")"),2550.0)</f>
        <v>2550</v>
      </c>
      <c r="Z1439" s="22">
        <f>IFERROR(__xludf.DUMMYFUNCTION("IFERROR(GOOGLEFINANCE(A1439,""volume""),"""")"),4.6138E7)</f>
        <v>46138000</v>
      </c>
      <c r="AA1439" s="24" t="str">
        <f>VLOOKUP(A1439,Metrik!$C$2:$Y$959,5,0)</f>
        <v>Coal</v>
      </c>
      <c r="AB1439" s="24" t="str">
        <f>VLOOKUP(A1439,Metrik!$C$2:$Y$959,3,0)</f>
        <v>Energy</v>
      </c>
    </row>
    <row r="1440">
      <c r="A1440" s="17" t="s">
        <v>783</v>
      </c>
      <c r="B1440" s="14" t="str">
        <f t="array" ref="B1440">VLOOKUP(A1440,{Metrik!$C$2:$C$998,Metrik!$B$2:$B$998},2,0)</f>
        <v>Bukit Asam (Persero) Tbk.</v>
      </c>
      <c r="C1440" s="15">
        <f>IFERROR(__xludf.DUMMYFUNCTION("GOOGLEFINANCE(""IDX:""&amp;A1440,""price"")"),2620.0)</f>
        <v>2620</v>
      </c>
      <c r="D1440" s="16" t="str">
        <f>IFERROR(__xludf.DUMMYFUNCTION("IF(A1440="""","""",
SPARKLINE(
INDEX(
GOOGLEFINANCE(""IDX:""&amp;A1440,""close"",TODAY()-365,TODAY()),
,2
),
{""linewidth"",1}
))
"),"#N/A")</f>
        <v>#N/A</v>
      </c>
      <c r="E1440" s="14" t="s">
        <v>84</v>
      </c>
      <c r="F1440" s="17" t="s">
        <v>51</v>
      </c>
      <c r="G1440" s="24">
        <f t="shared" si="9"/>
        <v>18</v>
      </c>
      <c r="H1440" s="19">
        <f>VLOOKUP(A1440,Metrik!$C$2:$Y$959,8,0)</f>
        <v>9.6</v>
      </c>
      <c r="I1440" s="20">
        <f>VLOOKUP(A1440,Metrik!$C$2:$Y$959,9,0)</f>
        <v>1.4</v>
      </c>
      <c r="J1440" s="20">
        <f>VLOOKUP(A1440,Metrik!$C$2:$Y$959,10,0)</f>
        <v>14.1</v>
      </c>
      <c r="K1440" s="20">
        <f>VLOOKUP(A1440,Metrik!$C$2:$Y$959,11,0)</f>
        <v>7.7</v>
      </c>
      <c r="L1440" s="20">
        <f>VLOOKUP(A1440,Metrik!$C$2:$Y$959,12,0)</f>
        <v>0.83</v>
      </c>
      <c r="M1440" s="20">
        <f>VLOOKUP(A1440,Metrik!$C$2:$Y$959,19,0)</f>
        <v>33.6</v>
      </c>
      <c r="N1440" s="21"/>
      <c r="O1440" s="21"/>
      <c r="P1440" s="21"/>
      <c r="Q1440" s="21"/>
      <c r="R1440" s="21"/>
      <c r="S1440" s="21"/>
      <c r="T1440" s="21"/>
      <c r="U1440" s="22">
        <f>IFERROR(__xludf.DUMMYFUNCTION("IFERROR(GOOGLEFINANCE(A1440,""closeyest""),"""")"),2630.0)</f>
        <v>2630</v>
      </c>
      <c r="V1440" s="23">
        <f>IFERROR(__xludf.DUMMYFUNCTION("IFERROR(GOOGLEFINANCE(A1440,""changepct""),"""")"),-0.38)</f>
        <v>-0.38</v>
      </c>
      <c r="W1440" s="22">
        <f>IFERROR(__xludf.DUMMYFUNCTION("IFERROR(GOOGLEFINANCE(A1440,""priceopen""),"""")"),2600.0)</f>
        <v>2600</v>
      </c>
      <c r="X1440" s="22">
        <f>IFERROR(__xludf.DUMMYFUNCTION("IFERROR(GOOGLEFINANCE(A1440,""high""),"""")"),2670.0)</f>
        <v>2670</v>
      </c>
      <c r="Y1440" s="22">
        <f>IFERROR(__xludf.DUMMYFUNCTION("IFERROR(GOOGLEFINANCE(A1440,""low""),"""")"),2550.0)</f>
        <v>2550</v>
      </c>
      <c r="Z1440" s="22">
        <f>IFERROR(__xludf.DUMMYFUNCTION("IFERROR(GOOGLEFINANCE(A1440,""volume""),"""")"),4.6138E7)</f>
        <v>46138000</v>
      </c>
      <c r="AA1440" s="24" t="str">
        <f>VLOOKUP(A1440,Metrik!$C$2:$Y$959,5,0)</f>
        <v>Coal</v>
      </c>
      <c r="AB1440" s="24" t="str">
        <f>VLOOKUP(A1440,Metrik!$C$2:$Y$959,3,0)</f>
        <v>Energy</v>
      </c>
    </row>
    <row r="1441">
      <c r="A1441" s="14" t="s">
        <v>783</v>
      </c>
      <c r="B1441" s="14" t="str">
        <f t="array" ref="B1441">VLOOKUP(A1441,{Metrik!$C$2:$C$998,Metrik!$B$2:$B$998},2,0)</f>
        <v>Bukit Asam (Persero) Tbk.</v>
      </c>
      <c r="C1441" s="15">
        <f>IFERROR(__xludf.DUMMYFUNCTION("GOOGLEFINANCE(""IDX:""&amp;A1441,""price"")"),2620.0)</f>
        <v>2620</v>
      </c>
      <c r="D1441" s="16" t="str">
        <f>IFERROR(__xludf.DUMMYFUNCTION("IF(A1441="""","""",
SPARKLINE(
INDEX(
GOOGLEFINANCE(""IDX:""&amp;A1441,""close"",TODAY()-365,TODAY()),
,2
),
{""linewidth"",1}
))
"),"#N/A")</f>
        <v>#N/A</v>
      </c>
      <c r="E1441" s="14" t="s">
        <v>48</v>
      </c>
      <c r="F1441" s="14" t="s">
        <v>49</v>
      </c>
      <c r="G1441" s="18">
        <f t="shared" si="9"/>
        <v>18</v>
      </c>
      <c r="H1441" s="19">
        <f>VLOOKUP(A1441,Metrik!$C$2:$Y$959,8,0)</f>
        <v>9.6</v>
      </c>
      <c r="I1441" s="20">
        <f>VLOOKUP(A1441,Metrik!$C$2:$Y$959,9,0)</f>
        <v>1.4</v>
      </c>
      <c r="J1441" s="20">
        <f>VLOOKUP(A1441,Metrik!$C$2:$Y$959,10,0)</f>
        <v>14.1</v>
      </c>
      <c r="K1441" s="20">
        <f>VLOOKUP(A1441,Metrik!$C$2:$Y$959,11,0)</f>
        <v>7.7</v>
      </c>
      <c r="L1441" s="20">
        <f>VLOOKUP(A1441,Metrik!$C$2:$Y$959,12,0)</f>
        <v>0.83</v>
      </c>
      <c r="M1441" s="20">
        <f>VLOOKUP(A1441,Metrik!$C$2:$Y$959,19,0)</f>
        <v>33.6</v>
      </c>
      <c r="N1441" s="21"/>
      <c r="O1441" s="21"/>
      <c r="P1441" s="21"/>
      <c r="Q1441" s="21"/>
      <c r="R1441" s="21"/>
      <c r="S1441" s="21"/>
      <c r="T1441" s="21"/>
      <c r="U1441" s="22">
        <f>IFERROR(__xludf.DUMMYFUNCTION("IFERROR(GOOGLEFINANCE(A1441,""closeyest""),"""")"),2630.0)</f>
        <v>2630</v>
      </c>
      <c r="V1441" s="23">
        <f>IFERROR(__xludf.DUMMYFUNCTION("IFERROR(GOOGLEFINANCE(A1441,""changepct""),"""")"),-0.38)</f>
        <v>-0.38</v>
      </c>
      <c r="W1441" s="22">
        <f>IFERROR(__xludf.DUMMYFUNCTION("IFERROR(GOOGLEFINANCE(A1441,""priceopen""),"""")"),2600.0)</f>
        <v>2600</v>
      </c>
      <c r="X1441" s="22">
        <f>IFERROR(__xludf.DUMMYFUNCTION("IFERROR(GOOGLEFINANCE(A1441,""high""),"""")"),2670.0)</f>
        <v>2670</v>
      </c>
      <c r="Y1441" s="22">
        <f>IFERROR(__xludf.DUMMYFUNCTION("IFERROR(GOOGLEFINANCE(A1441,""low""),"""")"),2550.0)</f>
        <v>2550</v>
      </c>
      <c r="Z1441" s="22">
        <f>IFERROR(__xludf.DUMMYFUNCTION("IFERROR(GOOGLEFINANCE(A1441,""volume""),"""")"),4.6138E7)</f>
        <v>46138000</v>
      </c>
      <c r="AA1441" s="24" t="str">
        <f>VLOOKUP(A1441,Metrik!$C$2:$Y$959,5,0)</f>
        <v>Coal</v>
      </c>
      <c r="AB1441" s="24" t="str">
        <f>VLOOKUP(A1441,Metrik!$C$2:$Y$959,3,0)</f>
        <v>Energy</v>
      </c>
    </row>
    <row r="1442">
      <c r="A1442" s="14" t="s">
        <v>783</v>
      </c>
      <c r="B1442" s="14" t="str">
        <f t="array" ref="B1442">VLOOKUP(A1442,{Metrik!$C$2:$C$998,Metrik!$B$2:$B$998},2,0)</f>
        <v>Bukit Asam (Persero) Tbk.</v>
      </c>
      <c r="C1442" s="15">
        <f>IFERROR(__xludf.DUMMYFUNCTION("GOOGLEFINANCE(""IDX:""&amp;A1442,""price"")"),2620.0)</f>
        <v>2620</v>
      </c>
      <c r="D1442" s="16" t="str">
        <f>IFERROR(__xludf.DUMMYFUNCTION("IF(A1442="""","""",
SPARKLINE(
INDEX(
GOOGLEFINANCE(""IDX:""&amp;A1442,""close"",TODAY()-365,TODAY()),
,2
),
{""linewidth"",1}
))
"),"#N/A")</f>
        <v>#N/A</v>
      </c>
      <c r="E1442" s="14" t="s">
        <v>28</v>
      </c>
      <c r="F1442" s="17" t="s">
        <v>29</v>
      </c>
      <c r="G1442" s="18">
        <f t="shared" si="9"/>
        <v>18</v>
      </c>
      <c r="H1442" s="19">
        <f>VLOOKUP(A1442,Metrik!$C$2:$Y$959,8,0)</f>
        <v>9.6</v>
      </c>
      <c r="I1442" s="20">
        <f>VLOOKUP(A1442,Metrik!$C$2:$Y$959,9,0)</f>
        <v>1.4</v>
      </c>
      <c r="J1442" s="20">
        <f>VLOOKUP(A1442,Metrik!$C$2:$Y$959,10,0)</f>
        <v>14.1</v>
      </c>
      <c r="K1442" s="20">
        <f>VLOOKUP(A1442,Metrik!$C$2:$Y$959,11,0)</f>
        <v>7.7</v>
      </c>
      <c r="L1442" s="20">
        <f>VLOOKUP(A1442,Metrik!$C$2:$Y$959,12,0)</f>
        <v>0.83</v>
      </c>
      <c r="M1442" s="20">
        <f>VLOOKUP(A1442,Metrik!$C$2:$Y$959,19,0)</f>
        <v>33.6</v>
      </c>
      <c r="N1442" s="21"/>
      <c r="O1442" s="21"/>
      <c r="P1442" s="21"/>
      <c r="Q1442" s="21"/>
      <c r="R1442" s="21"/>
      <c r="S1442" s="21"/>
      <c r="T1442" s="21"/>
      <c r="U1442" s="22">
        <f>IFERROR(__xludf.DUMMYFUNCTION("IFERROR(GOOGLEFINANCE(A1442,""closeyest""),"""")"),2630.0)</f>
        <v>2630</v>
      </c>
      <c r="V1442" s="23">
        <f>IFERROR(__xludf.DUMMYFUNCTION("IFERROR(GOOGLEFINANCE(A1442,""changepct""),"""")"),-0.38)</f>
        <v>-0.38</v>
      </c>
      <c r="W1442" s="22">
        <f>IFERROR(__xludf.DUMMYFUNCTION("IFERROR(GOOGLEFINANCE(A1442,""priceopen""),"""")"),2600.0)</f>
        <v>2600</v>
      </c>
      <c r="X1442" s="22">
        <f>IFERROR(__xludf.DUMMYFUNCTION("IFERROR(GOOGLEFINANCE(A1442,""high""),"""")"),2670.0)</f>
        <v>2670</v>
      </c>
      <c r="Y1442" s="22">
        <f>IFERROR(__xludf.DUMMYFUNCTION("IFERROR(GOOGLEFINANCE(A1442,""low""),"""")"),2550.0)</f>
        <v>2550</v>
      </c>
      <c r="Z1442" s="22">
        <f>IFERROR(__xludf.DUMMYFUNCTION("IFERROR(GOOGLEFINANCE(A1442,""volume""),"""")"),4.6138E7)</f>
        <v>46138000</v>
      </c>
      <c r="AA1442" s="24" t="str">
        <f>VLOOKUP(A1442,Metrik!$C$2:$Y$959,5,0)</f>
        <v>Coal</v>
      </c>
      <c r="AB1442" s="24" t="str">
        <f>VLOOKUP(A1442,Metrik!$C$2:$Y$959,3,0)</f>
        <v>Energy</v>
      </c>
    </row>
    <row r="1443">
      <c r="A1443" s="14" t="s">
        <v>783</v>
      </c>
      <c r="B1443" s="14" t="str">
        <f t="array" ref="B1443">VLOOKUP(A1443,{Metrik!$C$2:$C$998,Metrik!$B$2:$B$998},2,0)</f>
        <v>Bukit Asam (Persero) Tbk.</v>
      </c>
      <c r="C1443" s="15">
        <f>IFERROR(__xludf.DUMMYFUNCTION("GOOGLEFINANCE(""IDX:""&amp;A1443,""price"")"),2620.0)</f>
        <v>2620</v>
      </c>
      <c r="D1443" s="16" t="str">
        <f>IFERROR(__xludf.DUMMYFUNCTION("IF(A1443="""","""",
SPARKLINE(
INDEX(
GOOGLEFINANCE(""IDX:""&amp;A1443,""close"",TODAY()-365,TODAY()),
,2
),
{""linewidth"",1}
))
"),"#N/A")</f>
        <v>#N/A</v>
      </c>
      <c r="E1443" s="14" t="s">
        <v>30</v>
      </c>
      <c r="F1443" s="17" t="s">
        <v>29</v>
      </c>
      <c r="G1443" s="18">
        <f t="shared" si="9"/>
        <v>18</v>
      </c>
      <c r="H1443" s="19">
        <f>VLOOKUP(A1443,Metrik!$C$2:$Y$959,8,0)</f>
        <v>9.6</v>
      </c>
      <c r="I1443" s="20">
        <f>VLOOKUP(A1443,Metrik!$C$2:$Y$959,9,0)</f>
        <v>1.4</v>
      </c>
      <c r="J1443" s="20">
        <f>VLOOKUP(A1443,Metrik!$C$2:$Y$959,10,0)</f>
        <v>14.1</v>
      </c>
      <c r="K1443" s="20">
        <f>VLOOKUP(A1443,Metrik!$C$2:$Y$959,11,0)</f>
        <v>7.7</v>
      </c>
      <c r="L1443" s="20">
        <f>VLOOKUP(A1443,Metrik!$C$2:$Y$959,12,0)</f>
        <v>0.83</v>
      </c>
      <c r="M1443" s="20">
        <f>VLOOKUP(A1443,Metrik!$C$2:$Y$959,19,0)</f>
        <v>33.6</v>
      </c>
      <c r="N1443" s="21"/>
      <c r="O1443" s="21"/>
      <c r="P1443" s="21"/>
      <c r="Q1443" s="21"/>
      <c r="R1443" s="21"/>
      <c r="S1443" s="21"/>
      <c r="T1443" s="21"/>
      <c r="U1443" s="22">
        <f>IFERROR(__xludf.DUMMYFUNCTION("IFERROR(GOOGLEFINANCE(A1443,""closeyest""),"""")"),2630.0)</f>
        <v>2630</v>
      </c>
      <c r="V1443" s="23">
        <f>IFERROR(__xludf.DUMMYFUNCTION("IFERROR(GOOGLEFINANCE(A1443,""changepct""),"""")"),-0.38)</f>
        <v>-0.38</v>
      </c>
      <c r="W1443" s="22">
        <f>IFERROR(__xludf.DUMMYFUNCTION("IFERROR(GOOGLEFINANCE(A1443,""priceopen""),"""")"),2600.0)</f>
        <v>2600</v>
      </c>
      <c r="X1443" s="22">
        <f>IFERROR(__xludf.DUMMYFUNCTION("IFERROR(GOOGLEFINANCE(A1443,""high""),"""")"),2670.0)</f>
        <v>2670</v>
      </c>
      <c r="Y1443" s="22">
        <f>IFERROR(__xludf.DUMMYFUNCTION("IFERROR(GOOGLEFINANCE(A1443,""low""),"""")"),2550.0)</f>
        <v>2550</v>
      </c>
      <c r="Z1443" s="22">
        <f>IFERROR(__xludf.DUMMYFUNCTION("IFERROR(GOOGLEFINANCE(A1443,""volume""),"""")"),4.6138E7)</f>
        <v>46138000</v>
      </c>
      <c r="AA1443" s="24" t="str">
        <f>VLOOKUP(A1443,Metrik!$C$2:$Y$959,5,0)</f>
        <v>Coal</v>
      </c>
      <c r="AB1443" s="24" t="str">
        <f>VLOOKUP(A1443,Metrik!$C$2:$Y$959,3,0)</f>
        <v>Energy</v>
      </c>
    </row>
    <row r="1444">
      <c r="A1444" s="14" t="s">
        <v>783</v>
      </c>
      <c r="B1444" s="14" t="str">
        <f t="array" ref="B1444">VLOOKUP(A1444,{Metrik!$C$2:$C$998,Metrik!$B$2:$B$998},2,0)</f>
        <v>Bukit Asam (Persero) Tbk.</v>
      </c>
      <c r="C1444" s="15">
        <f>IFERROR(__xludf.DUMMYFUNCTION("GOOGLEFINANCE(""IDX:""&amp;A1444,""price"")"),2620.0)</f>
        <v>2620</v>
      </c>
      <c r="D1444" s="16" t="str">
        <f>IFERROR(__xludf.DUMMYFUNCTION("IF(A1444="""","""",
SPARKLINE(
INDEX(
GOOGLEFINANCE(""IDX:""&amp;A1444,""close"",TODAY()-365,TODAY()),
,2
),
{""linewidth"",1}
))
"),"#N/A")</f>
        <v>#N/A</v>
      </c>
      <c r="E1444" s="14" t="s">
        <v>31</v>
      </c>
      <c r="F1444" s="17" t="s">
        <v>29</v>
      </c>
      <c r="G1444" s="18">
        <f t="shared" si="9"/>
        <v>18</v>
      </c>
      <c r="H1444" s="19">
        <f>VLOOKUP(A1444,Metrik!$C$2:$Y$959,8,0)</f>
        <v>9.6</v>
      </c>
      <c r="I1444" s="20">
        <f>VLOOKUP(A1444,Metrik!$C$2:$Y$959,9,0)</f>
        <v>1.4</v>
      </c>
      <c r="J1444" s="20">
        <f>VLOOKUP(A1444,Metrik!$C$2:$Y$959,10,0)</f>
        <v>14.1</v>
      </c>
      <c r="K1444" s="20">
        <f>VLOOKUP(A1444,Metrik!$C$2:$Y$959,11,0)</f>
        <v>7.7</v>
      </c>
      <c r="L1444" s="20">
        <f>VLOOKUP(A1444,Metrik!$C$2:$Y$959,12,0)</f>
        <v>0.83</v>
      </c>
      <c r="M1444" s="20">
        <f>VLOOKUP(A1444,Metrik!$C$2:$Y$959,19,0)</f>
        <v>33.6</v>
      </c>
      <c r="N1444" s="21"/>
      <c r="O1444" s="21"/>
      <c r="P1444" s="21"/>
      <c r="Q1444" s="21"/>
      <c r="R1444" s="21"/>
      <c r="S1444" s="21"/>
      <c r="T1444" s="21"/>
      <c r="U1444" s="22">
        <f>IFERROR(__xludf.DUMMYFUNCTION("IFERROR(GOOGLEFINANCE(A1444,""closeyest""),"""")"),2630.0)</f>
        <v>2630</v>
      </c>
      <c r="V1444" s="23">
        <f>IFERROR(__xludf.DUMMYFUNCTION("IFERROR(GOOGLEFINANCE(A1444,""changepct""),"""")"),-0.38)</f>
        <v>-0.38</v>
      </c>
      <c r="W1444" s="22">
        <f>IFERROR(__xludf.DUMMYFUNCTION("IFERROR(GOOGLEFINANCE(A1444,""priceopen""),"""")"),2600.0)</f>
        <v>2600</v>
      </c>
      <c r="X1444" s="22">
        <f>IFERROR(__xludf.DUMMYFUNCTION("IFERROR(GOOGLEFINANCE(A1444,""high""),"""")"),2670.0)</f>
        <v>2670</v>
      </c>
      <c r="Y1444" s="22">
        <f>IFERROR(__xludf.DUMMYFUNCTION("IFERROR(GOOGLEFINANCE(A1444,""low""),"""")"),2550.0)</f>
        <v>2550</v>
      </c>
      <c r="Z1444" s="22">
        <f>IFERROR(__xludf.DUMMYFUNCTION("IFERROR(GOOGLEFINANCE(A1444,""volume""),"""")"),4.6138E7)</f>
        <v>46138000</v>
      </c>
      <c r="AA1444" s="24" t="str">
        <f>VLOOKUP(A1444,Metrik!$C$2:$Y$959,5,0)</f>
        <v>Coal</v>
      </c>
      <c r="AB1444" s="24" t="str">
        <f>VLOOKUP(A1444,Metrik!$C$2:$Y$959,3,0)</f>
        <v>Energy</v>
      </c>
    </row>
    <row r="1445">
      <c r="A1445" s="14" t="s">
        <v>783</v>
      </c>
      <c r="B1445" s="14" t="str">
        <f t="array" ref="B1445">VLOOKUP(A1445,{Metrik!$C$2:$C$998,Metrik!$B$2:$B$998},2,0)</f>
        <v>Bukit Asam (Persero) Tbk.</v>
      </c>
      <c r="C1445" s="15">
        <f>IFERROR(__xludf.DUMMYFUNCTION("GOOGLEFINANCE(""IDX:""&amp;A1445,""price"")"),2620.0)</f>
        <v>2620</v>
      </c>
      <c r="D1445" s="16" t="str">
        <f>IFERROR(__xludf.DUMMYFUNCTION("IF(A1445="""","""",
SPARKLINE(
INDEX(
GOOGLEFINANCE(""IDX:""&amp;A1445,""close"",TODAY()-365,TODAY()),
,2
),
{""linewidth"",1}
))
"),"#N/A")</f>
        <v>#N/A</v>
      </c>
      <c r="E1445" s="14" t="s">
        <v>67</v>
      </c>
      <c r="F1445" s="17" t="s">
        <v>51</v>
      </c>
      <c r="G1445" s="18">
        <f t="shared" si="9"/>
        <v>18</v>
      </c>
      <c r="H1445" s="19">
        <f>VLOOKUP(A1445,Metrik!$C$2:$Y$959,8,0)</f>
        <v>9.6</v>
      </c>
      <c r="I1445" s="20">
        <f>VLOOKUP(A1445,Metrik!$C$2:$Y$959,9,0)</f>
        <v>1.4</v>
      </c>
      <c r="J1445" s="20">
        <f>VLOOKUP(A1445,Metrik!$C$2:$Y$959,10,0)</f>
        <v>14.1</v>
      </c>
      <c r="K1445" s="20">
        <f>VLOOKUP(A1445,Metrik!$C$2:$Y$959,11,0)</f>
        <v>7.7</v>
      </c>
      <c r="L1445" s="20">
        <f>VLOOKUP(A1445,Metrik!$C$2:$Y$959,12,0)</f>
        <v>0.83</v>
      </c>
      <c r="M1445" s="20">
        <f>VLOOKUP(A1445,Metrik!$C$2:$Y$959,19,0)</f>
        <v>33.6</v>
      </c>
      <c r="N1445" s="21"/>
      <c r="O1445" s="21"/>
      <c r="P1445" s="21"/>
      <c r="Q1445" s="21"/>
      <c r="R1445" s="21"/>
      <c r="S1445" s="21"/>
      <c r="T1445" s="21"/>
      <c r="U1445" s="22">
        <f>IFERROR(__xludf.DUMMYFUNCTION("IFERROR(GOOGLEFINANCE(A1445,""closeyest""),"""")"),2630.0)</f>
        <v>2630</v>
      </c>
      <c r="V1445" s="23">
        <f>IFERROR(__xludf.DUMMYFUNCTION("IFERROR(GOOGLEFINANCE(A1445,""changepct""),"""")"),-0.38)</f>
        <v>-0.38</v>
      </c>
      <c r="W1445" s="22">
        <f>IFERROR(__xludf.DUMMYFUNCTION("IFERROR(GOOGLEFINANCE(A1445,""priceopen""),"""")"),2600.0)</f>
        <v>2600</v>
      </c>
      <c r="X1445" s="22">
        <f>IFERROR(__xludf.DUMMYFUNCTION("IFERROR(GOOGLEFINANCE(A1445,""high""),"""")"),2670.0)</f>
        <v>2670</v>
      </c>
      <c r="Y1445" s="22">
        <f>IFERROR(__xludf.DUMMYFUNCTION("IFERROR(GOOGLEFINANCE(A1445,""low""),"""")"),2550.0)</f>
        <v>2550</v>
      </c>
      <c r="Z1445" s="22">
        <f>IFERROR(__xludf.DUMMYFUNCTION("IFERROR(GOOGLEFINANCE(A1445,""volume""),"""")"),4.6138E7)</f>
        <v>46138000</v>
      </c>
      <c r="AA1445" s="24" t="str">
        <f>VLOOKUP(A1445,Metrik!$C$2:$Y$959,5,0)</f>
        <v>Coal</v>
      </c>
      <c r="AB1445" s="24" t="str">
        <f>VLOOKUP(A1445,Metrik!$C$2:$Y$959,3,0)</f>
        <v>Energy</v>
      </c>
    </row>
    <row r="1446">
      <c r="A1446" s="14" t="s">
        <v>783</v>
      </c>
      <c r="B1446" s="14" t="str">
        <f t="array" ref="B1446">VLOOKUP(A1446,{Metrik!$C$2:$C$998,Metrik!$B$2:$B$998},2,0)</f>
        <v>Bukit Asam (Persero) Tbk.</v>
      </c>
      <c r="C1446" s="15">
        <f>IFERROR(__xludf.DUMMYFUNCTION("GOOGLEFINANCE(""IDX:""&amp;A1446,""price"")"),2620.0)</f>
        <v>2620</v>
      </c>
      <c r="D1446" s="16" t="str">
        <f>IFERROR(__xludf.DUMMYFUNCTION("IF(A1446="""","""",
SPARKLINE(
INDEX(
GOOGLEFINANCE(""IDX:""&amp;A1446,""close"",TODAY()-365,TODAY()),
,2
),
{""linewidth"",1}
))
"),"#N/A")</f>
        <v>#N/A</v>
      </c>
      <c r="E1446" s="14" t="s">
        <v>32</v>
      </c>
      <c r="F1446" s="14" t="s">
        <v>29</v>
      </c>
      <c r="G1446" s="18">
        <f t="shared" si="9"/>
        <v>18</v>
      </c>
      <c r="H1446" s="19">
        <f>VLOOKUP(A1446,Metrik!$C$2:$Y$959,8,0)</f>
        <v>9.6</v>
      </c>
      <c r="I1446" s="20">
        <f>VLOOKUP(A1446,Metrik!$C$2:$Y$959,9,0)</f>
        <v>1.4</v>
      </c>
      <c r="J1446" s="20">
        <f>VLOOKUP(A1446,Metrik!$C$2:$Y$959,10,0)</f>
        <v>14.1</v>
      </c>
      <c r="K1446" s="20">
        <f>VLOOKUP(A1446,Metrik!$C$2:$Y$959,11,0)</f>
        <v>7.7</v>
      </c>
      <c r="L1446" s="20">
        <f>VLOOKUP(A1446,Metrik!$C$2:$Y$959,12,0)</f>
        <v>0.83</v>
      </c>
      <c r="M1446" s="20">
        <f>VLOOKUP(A1446,Metrik!$C$2:$Y$959,19,0)</f>
        <v>33.6</v>
      </c>
      <c r="N1446" s="21"/>
      <c r="O1446" s="21"/>
      <c r="P1446" s="21"/>
      <c r="Q1446" s="21"/>
      <c r="R1446" s="21"/>
      <c r="S1446" s="21"/>
      <c r="T1446" s="21"/>
      <c r="U1446" s="22">
        <f>IFERROR(__xludf.DUMMYFUNCTION("IFERROR(GOOGLEFINANCE(A1446,""closeyest""),"""")"),2630.0)</f>
        <v>2630</v>
      </c>
      <c r="V1446" s="23">
        <f>IFERROR(__xludf.DUMMYFUNCTION("IFERROR(GOOGLEFINANCE(A1446,""changepct""),"""")"),-0.38)</f>
        <v>-0.38</v>
      </c>
      <c r="W1446" s="22">
        <f>IFERROR(__xludf.DUMMYFUNCTION("IFERROR(GOOGLEFINANCE(A1446,""priceopen""),"""")"),2600.0)</f>
        <v>2600</v>
      </c>
      <c r="X1446" s="22">
        <f>IFERROR(__xludf.DUMMYFUNCTION("IFERROR(GOOGLEFINANCE(A1446,""high""),"""")"),2670.0)</f>
        <v>2670</v>
      </c>
      <c r="Y1446" s="22">
        <f>IFERROR(__xludf.DUMMYFUNCTION("IFERROR(GOOGLEFINANCE(A1446,""low""),"""")"),2550.0)</f>
        <v>2550</v>
      </c>
      <c r="Z1446" s="22">
        <f>IFERROR(__xludf.DUMMYFUNCTION("IFERROR(GOOGLEFINANCE(A1446,""volume""),"""")"),4.6138E7)</f>
        <v>46138000</v>
      </c>
      <c r="AA1446" s="24" t="str">
        <f>VLOOKUP(A1446,Metrik!$C$2:$Y$959,5,0)</f>
        <v>Coal</v>
      </c>
      <c r="AB1446" s="24" t="str">
        <f>VLOOKUP(A1446,Metrik!$C$2:$Y$959,3,0)</f>
        <v>Energy</v>
      </c>
    </row>
    <row r="1447">
      <c r="A1447" s="14" t="s">
        <v>783</v>
      </c>
      <c r="B1447" s="14" t="str">
        <f t="array" ref="B1447">VLOOKUP(A1447,{Metrik!$C$2:$C$998,Metrik!$B$2:$B$998},2,0)</f>
        <v>Bukit Asam (Persero) Tbk.</v>
      </c>
      <c r="C1447" s="15">
        <f>IFERROR(__xludf.DUMMYFUNCTION("GOOGLEFINANCE(""IDX:""&amp;A1447,""price"")"),2620.0)</f>
        <v>2620</v>
      </c>
      <c r="D1447" s="16" t="str">
        <f>IFERROR(__xludf.DUMMYFUNCTION("IF(A1447="""","""",
SPARKLINE(
INDEX(
GOOGLEFINANCE(""IDX:""&amp;A1447,""close"",TODAY()-365,TODAY()),
,2
),
{""linewidth"",1}
))
"),"#N/A")</f>
        <v>#N/A</v>
      </c>
      <c r="E1447" s="14" t="s">
        <v>54</v>
      </c>
      <c r="F1447" s="14" t="s">
        <v>34</v>
      </c>
      <c r="G1447" s="18">
        <f t="shared" si="9"/>
        <v>18</v>
      </c>
      <c r="H1447" s="19">
        <f>VLOOKUP(A1447,Metrik!$C$2:$Y$959,8,0)</f>
        <v>9.6</v>
      </c>
      <c r="I1447" s="20">
        <f>VLOOKUP(A1447,Metrik!$C$2:$Y$959,9,0)</f>
        <v>1.4</v>
      </c>
      <c r="J1447" s="20">
        <f>VLOOKUP(A1447,Metrik!$C$2:$Y$959,10,0)</f>
        <v>14.1</v>
      </c>
      <c r="K1447" s="20">
        <f>VLOOKUP(A1447,Metrik!$C$2:$Y$959,11,0)</f>
        <v>7.7</v>
      </c>
      <c r="L1447" s="20">
        <f>VLOOKUP(A1447,Metrik!$C$2:$Y$959,12,0)</f>
        <v>0.83</v>
      </c>
      <c r="M1447" s="20">
        <f>VLOOKUP(A1447,Metrik!$C$2:$Y$959,19,0)</f>
        <v>33.6</v>
      </c>
      <c r="N1447" s="21"/>
      <c r="O1447" s="21"/>
      <c r="P1447" s="21"/>
      <c r="Q1447" s="21"/>
      <c r="R1447" s="21"/>
      <c r="S1447" s="21"/>
      <c r="T1447" s="21"/>
      <c r="U1447" s="22">
        <f>IFERROR(__xludf.DUMMYFUNCTION("IFERROR(GOOGLEFINANCE(A1447,""closeyest""),"""")"),2630.0)</f>
        <v>2630</v>
      </c>
      <c r="V1447" s="23">
        <f>IFERROR(__xludf.DUMMYFUNCTION("IFERROR(GOOGLEFINANCE(A1447,""changepct""),"""")"),-0.38)</f>
        <v>-0.38</v>
      </c>
      <c r="W1447" s="22">
        <f>IFERROR(__xludf.DUMMYFUNCTION("IFERROR(GOOGLEFINANCE(A1447,""priceopen""),"""")"),2600.0)</f>
        <v>2600</v>
      </c>
      <c r="X1447" s="22">
        <f>IFERROR(__xludf.DUMMYFUNCTION("IFERROR(GOOGLEFINANCE(A1447,""high""),"""")"),2670.0)</f>
        <v>2670</v>
      </c>
      <c r="Y1447" s="22">
        <f>IFERROR(__xludf.DUMMYFUNCTION("IFERROR(GOOGLEFINANCE(A1447,""low""),"""")"),2550.0)</f>
        <v>2550</v>
      </c>
      <c r="Z1447" s="22">
        <f>IFERROR(__xludf.DUMMYFUNCTION("IFERROR(GOOGLEFINANCE(A1447,""volume""),"""")"),4.6138E7)</f>
        <v>46138000</v>
      </c>
      <c r="AA1447" s="24" t="str">
        <f>VLOOKUP(A1447,Metrik!$C$2:$Y$959,5,0)</f>
        <v>Coal</v>
      </c>
      <c r="AB1447" s="24" t="str">
        <f>VLOOKUP(A1447,Metrik!$C$2:$Y$959,3,0)</f>
        <v>Energy</v>
      </c>
    </row>
    <row r="1448">
      <c r="A1448" s="14" t="s">
        <v>783</v>
      </c>
      <c r="B1448" s="14" t="str">
        <f t="array" ref="B1448">VLOOKUP(A1448,{Metrik!$C$2:$C$998,Metrik!$B$2:$B$998},2,0)</f>
        <v>Bukit Asam (Persero) Tbk.</v>
      </c>
      <c r="C1448" s="15">
        <f>IFERROR(__xludf.DUMMYFUNCTION("GOOGLEFINANCE(""IDX:""&amp;A1448,""price"")"),2620.0)</f>
        <v>2620</v>
      </c>
      <c r="D1448" s="16" t="str">
        <f>IFERROR(__xludf.DUMMYFUNCTION("IF(A1448="""","""",
SPARKLINE(
INDEX(
GOOGLEFINANCE(""IDX:""&amp;A1448,""close"",TODAY()-365,TODAY()),
,2
),
{""linewidth"",1}
))
"),"#N/A")</f>
        <v>#N/A</v>
      </c>
      <c r="E1448" s="14" t="s">
        <v>61</v>
      </c>
      <c r="F1448" s="14" t="s">
        <v>34</v>
      </c>
      <c r="G1448" s="18">
        <f t="shared" si="9"/>
        <v>18</v>
      </c>
      <c r="H1448" s="19">
        <f>VLOOKUP(A1448,Metrik!$C$2:$Y$959,8,0)</f>
        <v>9.6</v>
      </c>
      <c r="I1448" s="20">
        <f>VLOOKUP(A1448,Metrik!$C$2:$Y$959,9,0)</f>
        <v>1.4</v>
      </c>
      <c r="J1448" s="20">
        <f>VLOOKUP(A1448,Metrik!$C$2:$Y$959,10,0)</f>
        <v>14.1</v>
      </c>
      <c r="K1448" s="20">
        <f>VLOOKUP(A1448,Metrik!$C$2:$Y$959,11,0)</f>
        <v>7.7</v>
      </c>
      <c r="L1448" s="20">
        <f>VLOOKUP(A1448,Metrik!$C$2:$Y$959,12,0)</f>
        <v>0.83</v>
      </c>
      <c r="M1448" s="20">
        <f>VLOOKUP(A1448,Metrik!$C$2:$Y$959,19,0)</f>
        <v>33.6</v>
      </c>
      <c r="N1448" s="21"/>
      <c r="O1448" s="21"/>
      <c r="P1448" s="21"/>
      <c r="Q1448" s="21"/>
      <c r="R1448" s="21"/>
      <c r="S1448" s="21"/>
      <c r="T1448" s="21"/>
      <c r="U1448" s="22">
        <f>IFERROR(__xludf.DUMMYFUNCTION("IFERROR(GOOGLEFINANCE(A1448,""closeyest""),"""")"),2630.0)</f>
        <v>2630</v>
      </c>
      <c r="V1448" s="23">
        <f>IFERROR(__xludf.DUMMYFUNCTION("IFERROR(GOOGLEFINANCE(A1448,""changepct""),"""")"),-0.38)</f>
        <v>-0.38</v>
      </c>
      <c r="W1448" s="22">
        <f>IFERROR(__xludf.DUMMYFUNCTION("IFERROR(GOOGLEFINANCE(A1448,""priceopen""),"""")"),2600.0)</f>
        <v>2600</v>
      </c>
      <c r="X1448" s="22">
        <f>IFERROR(__xludf.DUMMYFUNCTION("IFERROR(GOOGLEFINANCE(A1448,""high""),"""")"),2670.0)</f>
        <v>2670</v>
      </c>
      <c r="Y1448" s="22">
        <f>IFERROR(__xludf.DUMMYFUNCTION("IFERROR(GOOGLEFINANCE(A1448,""low""),"""")"),2550.0)</f>
        <v>2550</v>
      </c>
      <c r="Z1448" s="22">
        <f>IFERROR(__xludf.DUMMYFUNCTION("IFERROR(GOOGLEFINANCE(A1448,""volume""),"""")"),4.6138E7)</f>
        <v>46138000</v>
      </c>
      <c r="AA1448" s="24" t="str">
        <f>VLOOKUP(A1448,Metrik!$C$2:$Y$959,5,0)</f>
        <v>Coal</v>
      </c>
      <c r="AB1448" s="24" t="str">
        <f>VLOOKUP(A1448,Metrik!$C$2:$Y$959,3,0)</f>
        <v>Energy</v>
      </c>
    </row>
    <row r="1449">
      <c r="A1449" s="14" t="s">
        <v>783</v>
      </c>
      <c r="B1449" s="14" t="str">
        <f t="array" ref="B1449">VLOOKUP(A1449,{Metrik!$C$2:$C$998,Metrik!$B$2:$B$998},2,0)</f>
        <v>Bukit Asam (Persero) Tbk.</v>
      </c>
      <c r="C1449" s="15">
        <f>IFERROR(__xludf.DUMMYFUNCTION("GOOGLEFINANCE(""IDX:""&amp;A1449,""price"")"),2620.0)</f>
        <v>2620</v>
      </c>
      <c r="D1449" s="16" t="str">
        <f>IFERROR(__xludf.DUMMYFUNCTION("IF(A1449="""","""",
SPARKLINE(
INDEX(
GOOGLEFINANCE(""IDX:""&amp;A1449,""close"",TODAY()-365,TODAY()),
,2
),
{""linewidth"",1}
))
"),"#N/A")</f>
        <v>#N/A</v>
      </c>
      <c r="E1449" s="14" t="s">
        <v>33</v>
      </c>
      <c r="F1449" s="14" t="s">
        <v>34</v>
      </c>
      <c r="G1449" s="18">
        <f t="shared" si="9"/>
        <v>18</v>
      </c>
      <c r="H1449" s="19">
        <f>VLOOKUP(A1449,Metrik!$C$2:$Y$959,8,0)</f>
        <v>9.6</v>
      </c>
      <c r="I1449" s="20">
        <f>VLOOKUP(A1449,Metrik!$C$2:$Y$959,9,0)</f>
        <v>1.4</v>
      </c>
      <c r="J1449" s="20">
        <f>VLOOKUP(A1449,Metrik!$C$2:$Y$959,10,0)</f>
        <v>14.1</v>
      </c>
      <c r="K1449" s="20">
        <f>VLOOKUP(A1449,Metrik!$C$2:$Y$959,11,0)</f>
        <v>7.7</v>
      </c>
      <c r="L1449" s="20">
        <f>VLOOKUP(A1449,Metrik!$C$2:$Y$959,12,0)</f>
        <v>0.83</v>
      </c>
      <c r="M1449" s="20">
        <f>VLOOKUP(A1449,Metrik!$C$2:$Y$959,19,0)</f>
        <v>33.6</v>
      </c>
      <c r="N1449" s="21"/>
      <c r="O1449" s="21"/>
      <c r="P1449" s="21"/>
      <c r="Q1449" s="21"/>
      <c r="R1449" s="21"/>
      <c r="S1449" s="21"/>
      <c r="T1449" s="21"/>
      <c r="U1449" s="22">
        <f>IFERROR(__xludf.DUMMYFUNCTION("IFERROR(GOOGLEFINANCE(A1449,""closeyest""),"""")"),2630.0)</f>
        <v>2630</v>
      </c>
      <c r="V1449" s="23">
        <f>IFERROR(__xludf.DUMMYFUNCTION("IFERROR(GOOGLEFINANCE(A1449,""changepct""),"""")"),-0.38)</f>
        <v>-0.38</v>
      </c>
      <c r="W1449" s="22">
        <f>IFERROR(__xludf.DUMMYFUNCTION("IFERROR(GOOGLEFINANCE(A1449,""priceopen""),"""")"),2600.0)</f>
        <v>2600</v>
      </c>
      <c r="X1449" s="22">
        <f>IFERROR(__xludf.DUMMYFUNCTION("IFERROR(GOOGLEFINANCE(A1449,""high""),"""")"),2670.0)</f>
        <v>2670</v>
      </c>
      <c r="Y1449" s="22">
        <f>IFERROR(__xludf.DUMMYFUNCTION("IFERROR(GOOGLEFINANCE(A1449,""low""),"""")"),2550.0)</f>
        <v>2550</v>
      </c>
      <c r="Z1449" s="22">
        <f>IFERROR(__xludf.DUMMYFUNCTION("IFERROR(GOOGLEFINANCE(A1449,""volume""),"""")"),4.6138E7)</f>
        <v>46138000</v>
      </c>
      <c r="AA1449" s="24" t="str">
        <f>VLOOKUP(A1449,Metrik!$C$2:$Y$959,5,0)</f>
        <v>Coal</v>
      </c>
      <c r="AB1449" s="24" t="str">
        <f>VLOOKUP(A1449,Metrik!$C$2:$Y$959,3,0)</f>
        <v>Energy</v>
      </c>
    </row>
    <row r="1450">
      <c r="A1450" s="14" t="s">
        <v>783</v>
      </c>
      <c r="B1450" s="14" t="str">
        <f t="array" ref="B1450">VLOOKUP(A1450,{Metrik!$C$2:$C$998,Metrik!$B$2:$B$998},2,0)</f>
        <v>Bukit Asam (Persero) Tbk.</v>
      </c>
      <c r="C1450" s="15">
        <f>IFERROR(__xludf.DUMMYFUNCTION("GOOGLEFINANCE(""IDX:""&amp;A1450,""price"")"),2620.0)</f>
        <v>2620</v>
      </c>
      <c r="D1450" s="16" t="str">
        <f>IFERROR(__xludf.DUMMYFUNCTION("IF(A1450="""","""",
SPARKLINE(
INDEX(
GOOGLEFINANCE(""IDX:""&amp;A1450,""close"",TODAY()-365,TODAY()),
,2
),
{""linewidth"",1}
))
"),"#N/A")</f>
        <v>#N/A</v>
      </c>
      <c r="E1450" s="14" t="s">
        <v>41</v>
      </c>
      <c r="F1450" s="14" t="s">
        <v>34</v>
      </c>
      <c r="G1450" s="18">
        <f t="shared" si="9"/>
        <v>18</v>
      </c>
      <c r="H1450" s="19">
        <f>VLOOKUP(A1450,Metrik!$C$2:$Y$959,8,0)</f>
        <v>9.6</v>
      </c>
      <c r="I1450" s="20">
        <f>VLOOKUP(A1450,Metrik!$C$2:$Y$959,9,0)</f>
        <v>1.4</v>
      </c>
      <c r="J1450" s="20">
        <f>VLOOKUP(A1450,Metrik!$C$2:$Y$959,10,0)</f>
        <v>14.1</v>
      </c>
      <c r="K1450" s="20">
        <f>VLOOKUP(A1450,Metrik!$C$2:$Y$959,11,0)</f>
        <v>7.7</v>
      </c>
      <c r="L1450" s="20">
        <f>VLOOKUP(A1450,Metrik!$C$2:$Y$959,12,0)</f>
        <v>0.83</v>
      </c>
      <c r="M1450" s="20">
        <f>VLOOKUP(A1450,Metrik!$C$2:$Y$959,19,0)</f>
        <v>33.6</v>
      </c>
      <c r="N1450" s="21"/>
      <c r="O1450" s="21"/>
      <c r="P1450" s="21"/>
      <c r="Q1450" s="21"/>
      <c r="R1450" s="21"/>
      <c r="S1450" s="21"/>
      <c r="T1450" s="21"/>
      <c r="U1450" s="22">
        <f>IFERROR(__xludf.DUMMYFUNCTION("IFERROR(GOOGLEFINANCE(A1450,""closeyest""),"""")"),2630.0)</f>
        <v>2630</v>
      </c>
      <c r="V1450" s="23">
        <f>IFERROR(__xludf.DUMMYFUNCTION("IFERROR(GOOGLEFINANCE(A1450,""changepct""),"""")"),-0.38)</f>
        <v>-0.38</v>
      </c>
      <c r="W1450" s="22">
        <f>IFERROR(__xludf.DUMMYFUNCTION("IFERROR(GOOGLEFINANCE(A1450,""priceopen""),"""")"),2600.0)</f>
        <v>2600</v>
      </c>
      <c r="X1450" s="22">
        <f>IFERROR(__xludf.DUMMYFUNCTION("IFERROR(GOOGLEFINANCE(A1450,""high""),"""")"),2670.0)</f>
        <v>2670</v>
      </c>
      <c r="Y1450" s="22">
        <f>IFERROR(__xludf.DUMMYFUNCTION("IFERROR(GOOGLEFINANCE(A1450,""low""),"""")"),2550.0)</f>
        <v>2550</v>
      </c>
      <c r="Z1450" s="22">
        <f>IFERROR(__xludf.DUMMYFUNCTION("IFERROR(GOOGLEFINANCE(A1450,""volume""),"""")"),4.6138E7)</f>
        <v>46138000</v>
      </c>
      <c r="AA1450" s="24" t="str">
        <f>VLOOKUP(A1450,Metrik!$C$2:$Y$959,5,0)</f>
        <v>Coal</v>
      </c>
      <c r="AB1450" s="24" t="str">
        <f>VLOOKUP(A1450,Metrik!$C$2:$Y$959,3,0)</f>
        <v>Energy</v>
      </c>
    </row>
    <row r="1451">
      <c r="A1451" s="48" t="s">
        <v>783</v>
      </c>
      <c r="B1451" s="14" t="str">
        <f t="array" ref="B1451">VLOOKUP(A1451,{Metrik!$C$2:$C$998,Metrik!$B$2:$B$998},2,0)</f>
        <v>Bukit Asam (Persero) Tbk.</v>
      </c>
      <c r="C1451" s="15">
        <f>IFERROR(__xludf.DUMMYFUNCTION("GOOGLEFINANCE(""IDX:""&amp;A1451,""price"")"),2620.0)</f>
        <v>2620</v>
      </c>
      <c r="D1451" s="16" t="str">
        <f>IFERROR(__xludf.DUMMYFUNCTION("IF(A1451="""","""",
SPARKLINE(
INDEX(
GOOGLEFINANCE(""IDX:""&amp;A1451,""close"",TODAY()-365,TODAY()),
,2
),
{""linewidth"",1}
))
"),"#N/A")</f>
        <v>#N/A</v>
      </c>
      <c r="E1451" s="17" t="s">
        <v>69</v>
      </c>
      <c r="F1451" s="17" t="s">
        <v>70</v>
      </c>
      <c r="G1451" s="24">
        <f t="shared" si="9"/>
        <v>18</v>
      </c>
      <c r="H1451" s="19">
        <f>VLOOKUP(A1451,Metrik!$C$2:$Y$959,8,0)</f>
        <v>9.6</v>
      </c>
      <c r="I1451" s="20">
        <f>VLOOKUP(A1451,Metrik!$C$2:$Y$959,9,0)</f>
        <v>1.4</v>
      </c>
      <c r="J1451" s="20">
        <f>VLOOKUP(A1451,Metrik!$C$2:$Y$959,10,0)</f>
        <v>14.1</v>
      </c>
      <c r="K1451" s="20">
        <f>VLOOKUP(A1451,Metrik!$C$2:$Y$959,11,0)</f>
        <v>7.7</v>
      </c>
      <c r="L1451" s="20">
        <f>VLOOKUP(A1451,Metrik!$C$2:$Y$959,12,0)</f>
        <v>0.83</v>
      </c>
      <c r="M1451" s="20">
        <f>VLOOKUP(A1451,Metrik!$C$2:$Y$959,19,0)</f>
        <v>33.6</v>
      </c>
      <c r="N1451" s="21"/>
      <c r="O1451" s="21"/>
      <c r="P1451" s="21"/>
      <c r="Q1451" s="21"/>
      <c r="R1451" s="21"/>
      <c r="S1451" s="21"/>
      <c r="T1451" s="21"/>
      <c r="U1451" s="22">
        <f>IFERROR(__xludf.DUMMYFUNCTION("IFERROR(GOOGLEFINANCE(A1451,""closeyest""),"""")"),2630.0)</f>
        <v>2630</v>
      </c>
      <c r="V1451" s="23">
        <f>IFERROR(__xludf.DUMMYFUNCTION("IFERROR(GOOGLEFINANCE(A1451,""changepct""),"""")"),-0.38)</f>
        <v>-0.38</v>
      </c>
      <c r="W1451" s="22">
        <f>IFERROR(__xludf.DUMMYFUNCTION("IFERROR(GOOGLEFINANCE(A1451,""priceopen""),"""")"),2600.0)</f>
        <v>2600</v>
      </c>
      <c r="X1451" s="22">
        <f>IFERROR(__xludf.DUMMYFUNCTION("IFERROR(GOOGLEFINANCE(A1451,""high""),"""")"),2670.0)</f>
        <v>2670</v>
      </c>
      <c r="Y1451" s="22">
        <f>IFERROR(__xludf.DUMMYFUNCTION("IFERROR(GOOGLEFINANCE(A1451,""low""),"""")"),2550.0)</f>
        <v>2550</v>
      </c>
      <c r="Z1451" s="22">
        <f>IFERROR(__xludf.DUMMYFUNCTION("IFERROR(GOOGLEFINANCE(A1451,""volume""),"""")"),4.6138E7)</f>
        <v>46138000</v>
      </c>
      <c r="AA1451" s="24" t="str">
        <f>VLOOKUP(A1451,Metrik!$C$2:$Y$959,5,0)</f>
        <v>Coal</v>
      </c>
      <c r="AB1451" s="24" t="str">
        <f>VLOOKUP(A1451,Metrik!$C$2:$Y$959,3,0)</f>
        <v>Energy</v>
      </c>
    </row>
    <row r="1452">
      <c r="A1452" s="17" t="s">
        <v>783</v>
      </c>
      <c r="B1452" s="14" t="str">
        <f t="array" ref="B1452">VLOOKUP(A1452,{Metrik!$C$2:$C$998,Metrik!$B$2:$B$998},2,0)</f>
        <v>Bukit Asam (Persero) Tbk.</v>
      </c>
      <c r="C1452" s="15">
        <f>IFERROR(__xludf.DUMMYFUNCTION("GOOGLEFINANCE(""IDX:""&amp;A1452,""price"")"),2620.0)</f>
        <v>2620</v>
      </c>
      <c r="D1452" s="16" t="str">
        <f>IFERROR(__xludf.DUMMYFUNCTION("IF(A1452="""","""",
SPARKLINE(
INDEX(
GOOGLEFINANCE(""IDX:""&amp;A1452,""close"",TODAY()-365,TODAY()),
,2
),
{""linewidth"",1}
))
"),"#N/A")</f>
        <v>#N/A</v>
      </c>
      <c r="E1452" s="14" t="s">
        <v>35</v>
      </c>
      <c r="F1452" s="17" t="s">
        <v>36</v>
      </c>
      <c r="G1452" s="38">
        <f t="shared" si="9"/>
        <v>18</v>
      </c>
      <c r="H1452" s="34">
        <f>VLOOKUP(A1452,Metrik!$C$2:$Y$959,8,0)</f>
        <v>9.6</v>
      </c>
      <c r="I1452" s="34">
        <f>VLOOKUP(A1452,Metrik!$C$2:$Y$959,9,0)</f>
        <v>1.4</v>
      </c>
      <c r="J1452" s="34">
        <f>VLOOKUP(A1452,Metrik!$C$2:$Y$959,10,0)</f>
        <v>14.1</v>
      </c>
      <c r="K1452" s="34">
        <f>VLOOKUP(A1452,Metrik!$C$2:$Y$959,11,0)</f>
        <v>7.7</v>
      </c>
      <c r="L1452" s="34">
        <f>VLOOKUP(A1452,Metrik!$C$2:$Y$959,12,0)</f>
        <v>0.83</v>
      </c>
      <c r="M1452" s="34">
        <f>VLOOKUP(A1452,Metrik!$C$2:$Y$959,19,0)</f>
        <v>33.6</v>
      </c>
      <c r="N1452" s="26"/>
      <c r="O1452" s="26"/>
      <c r="P1452" s="26"/>
      <c r="Q1452" s="26"/>
      <c r="R1452" s="26"/>
      <c r="S1452" s="26"/>
      <c r="T1452" s="26"/>
      <c r="U1452" s="35">
        <f>IFERROR(__xludf.DUMMYFUNCTION("IFERROR(GOOGLEFINANCE(A1452,""closeyest""),"""")"),2630.0)</f>
        <v>2630</v>
      </c>
      <c r="V1452" s="36">
        <f>IFERROR(__xludf.DUMMYFUNCTION("IFERROR(GOOGLEFINANCE(A1452,""changepct""),"""")"),-0.38)</f>
        <v>-0.38</v>
      </c>
      <c r="W1452" s="35">
        <f>IFERROR(__xludf.DUMMYFUNCTION("IFERROR(GOOGLEFINANCE(A1452,""priceopen""),"""")"),2600.0)</f>
        <v>2600</v>
      </c>
      <c r="X1452" s="35">
        <f>IFERROR(__xludf.DUMMYFUNCTION("IFERROR(GOOGLEFINANCE(A1452,""high""),"""")"),2670.0)</f>
        <v>2670</v>
      </c>
      <c r="Y1452" s="35">
        <f>IFERROR(__xludf.DUMMYFUNCTION("IFERROR(GOOGLEFINANCE(A1452,""low""),"""")"),2550.0)</f>
        <v>2550</v>
      </c>
      <c r="Z1452" s="35">
        <f>IFERROR(__xludf.DUMMYFUNCTION("IFERROR(GOOGLEFINANCE(A1452,""volume""),"""")"),4.6138E7)</f>
        <v>46138000</v>
      </c>
      <c r="AA1452" s="14" t="str">
        <f>VLOOKUP(A1452,Metrik!$C$2:$Y$959,5,0)</f>
        <v>Coal</v>
      </c>
      <c r="AB1452" s="14" t="str">
        <f>VLOOKUP(A1452,Metrik!$C$2:$Y$959,3,0)</f>
        <v>Energy</v>
      </c>
    </row>
    <row r="1453">
      <c r="A1453" s="14" t="s">
        <v>783</v>
      </c>
      <c r="B1453" s="14" t="str">
        <f t="array" ref="B1453">VLOOKUP(A1453,{Metrik!$C$2:$C$998,Metrik!$B$2:$B$998},2,0)</f>
        <v>Bukit Asam (Persero) Tbk.</v>
      </c>
      <c r="C1453" s="15">
        <f>IFERROR(__xludf.DUMMYFUNCTION("GOOGLEFINANCE(""IDX:""&amp;A1453,""price"")"),2620.0)</f>
        <v>2620</v>
      </c>
      <c r="D1453" s="16" t="str">
        <f>IFERROR(__xludf.DUMMYFUNCTION("IF(A1453="""","""",
SPARKLINE(
INDEX(
GOOGLEFINANCE(""IDX:""&amp;A1453,""close"",TODAY()-365,TODAY()),
,2
),
{""linewidth"",1}
))
"),"#N/A")</f>
        <v>#N/A</v>
      </c>
      <c r="E1453" s="14" t="s">
        <v>39</v>
      </c>
      <c r="F1453" s="25">
        <v>46356.0</v>
      </c>
      <c r="G1453" s="18">
        <f t="shared" si="9"/>
        <v>18</v>
      </c>
      <c r="H1453" s="19">
        <f>VLOOKUP(A1453,Metrik!$C$2:$Y$959,8,0)</f>
        <v>9.6</v>
      </c>
      <c r="I1453" s="20">
        <f>VLOOKUP(A1453,Metrik!$C$2:$Y$959,9,0)</f>
        <v>1.4</v>
      </c>
      <c r="J1453" s="20">
        <f>VLOOKUP(A1453,Metrik!$C$2:$Y$959,10,0)</f>
        <v>14.1</v>
      </c>
      <c r="K1453" s="20">
        <f>VLOOKUP(A1453,Metrik!$C$2:$Y$959,11,0)</f>
        <v>7.7</v>
      </c>
      <c r="L1453" s="20">
        <f>VLOOKUP(A1453,Metrik!$C$2:$Y$959,12,0)</f>
        <v>0.83</v>
      </c>
      <c r="M1453" s="20">
        <f>VLOOKUP(A1453,Metrik!$C$2:$Y$959,19,0)</f>
        <v>33.6</v>
      </c>
      <c r="N1453" s="21"/>
      <c r="O1453" s="21"/>
      <c r="P1453" s="21"/>
      <c r="Q1453" s="21"/>
      <c r="R1453" s="21"/>
      <c r="S1453" s="21"/>
      <c r="T1453" s="21"/>
      <c r="U1453" s="22">
        <f>IFERROR(__xludf.DUMMYFUNCTION("IFERROR(GOOGLEFINANCE(A1453,""closeyest""),"""")"),2630.0)</f>
        <v>2630</v>
      </c>
      <c r="V1453" s="23">
        <f>IFERROR(__xludf.DUMMYFUNCTION("IFERROR(GOOGLEFINANCE(A1453,""changepct""),"""")"),-0.38)</f>
        <v>-0.38</v>
      </c>
      <c r="W1453" s="22">
        <f>IFERROR(__xludf.DUMMYFUNCTION("IFERROR(GOOGLEFINANCE(A1453,""priceopen""),"""")"),2600.0)</f>
        <v>2600</v>
      </c>
      <c r="X1453" s="22">
        <f>IFERROR(__xludf.DUMMYFUNCTION("IFERROR(GOOGLEFINANCE(A1453,""high""),"""")"),2670.0)</f>
        <v>2670</v>
      </c>
      <c r="Y1453" s="22">
        <f>IFERROR(__xludf.DUMMYFUNCTION("IFERROR(GOOGLEFINANCE(A1453,""low""),"""")"),2550.0)</f>
        <v>2550</v>
      </c>
      <c r="Z1453" s="22">
        <f>IFERROR(__xludf.DUMMYFUNCTION("IFERROR(GOOGLEFINANCE(A1453,""volume""),"""")"),4.6138E7)</f>
        <v>46138000</v>
      </c>
      <c r="AA1453" s="24" t="str">
        <f>VLOOKUP(A1453,Metrik!$C$2:$Y$959,5,0)</f>
        <v>Coal</v>
      </c>
      <c r="AB1453" s="24" t="str">
        <f>VLOOKUP(A1453,Metrik!$C$2:$Y$959,3,0)</f>
        <v>Energy</v>
      </c>
    </row>
    <row r="1454">
      <c r="A1454" s="14" t="s">
        <v>784</v>
      </c>
      <c r="B1454" s="14" t="str">
        <f t="array" ref="B1454">VLOOKUP(A1454,{Metrik!$C$2:$C$998,Metrik!$B$2:$B$998},2,0)</f>
        <v>Djasa Ubersakti Tbk.</v>
      </c>
      <c r="C1454" s="15">
        <f>IFERROR(__xludf.DUMMYFUNCTION("GOOGLEFINANCE(""IDX:""&amp;A1454,""price"")"),70.0)</f>
        <v>70</v>
      </c>
      <c r="D1454" s="16" t="str">
        <f>IFERROR(__xludf.DUMMYFUNCTION("IF(A1454="""","""",
SPARKLINE(
INDEX(
GOOGLEFINANCE(""IDX:""&amp;A1454,""close"",TODAY()-365,TODAY()),
,2
),
{""linewidth"",1}
))
"),"#N/A")</f>
        <v>#N/A</v>
      </c>
      <c r="E1454" s="26"/>
      <c r="F1454" s="26"/>
      <c r="G1454" s="24">
        <f t="shared" si="9"/>
        <v>0</v>
      </c>
      <c r="H1454" s="19">
        <f>VLOOKUP(A1454,Metrik!$C$2:$Y$959,8,0)</f>
        <v>-4.2</v>
      </c>
      <c r="I1454" s="20">
        <f>VLOOKUP(A1454,Metrik!$C$2:$Y$959,9,0)</f>
        <v>-13.5</v>
      </c>
      <c r="J1454" s="20">
        <f>VLOOKUP(A1454,Metrik!$C$2:$Y$959,10,0)</f>
        <v>0</v>
      </c>
      <c r="K1454" s="20">
        <f>VLOOKUP(A1454,Metrik!$C$2:$Y$959,11,0)</f>
        <v>-20.8</v>
      </c>
      <c r="L1454" s="20">
        <f>VLOOKUP(A1454,Metrik!$C$2:$Y$959,12,0)</f>
        <v>-16.7</v>
      </c>
      <c r="M1454" s="20">
        <f>VLOOKUP(A1454,Metrik!$C$2:$Y$959,19,0)</f>
        <v>-50.9</v>
      </c>
      <c r="N1454" s="21"/>
      <c r="O1454" s="21"/>
      <c r="P1454" s="21"/>
      <c r="Q1454" s="21"/>
      <c r="R1454" s="21"/>
      <c r="S1454" s="21"/>
      <c r="T1454" s="21"/>
      <c r="U1454" s="22">
        <f>IFERROR(__xludf.DUMMYFUNCTION("IFERROR(GOOGLEFINANCE(A1454,""closeyest""),"""")"),70.0)</f>
        <v>70</v>
      </c>
      <c r="V1454" s="23">
        <f>IFERROR(__xludf.DUMMYFUNCTION("IFERROR(GOOGLEFINANCE(A1454,""changepct""),"""")"),0.0)</f>
        <v>0</v>
      </c>
      <c r="W1454" s="22" t="str">
        <f>IFERROR(__xludf.DUMMYFUNCTION("IFERROR(GOOGLEFINANCE(A1454,""priceopen""),"""")"),"")</f>
        <v/>
      </c>
      <c r="X1454" s="22" t="str">
        <f>IFERROR(__xludf.DUMMYFUNCTION("IFERROR(GOOGLEFINANCE(A1454,""high""),"""")"),"")</f>
        <v/>
      </c>
      <c r="Y1454" s="22" t="str">
        <f>IFERROR(__xludf.DUMMYFUNCTION("IFERROR(GOOGLEFINANCE(A1454,""low""),"""")"),"")</f>
        <v/>
      </c>
      <c r="Z1454" s="22">
        <f>IFERROR(__xludf.DUMMYFUNCTION("IFERROR(GOOGLEFINANCE(A1454,""volume""),"""")"),0.0)</f>
        <v>0</v>
      </c>
      <c r="AA1454" s="24" t="str">
        <f>VLOOKUP(A1454,Metrik!$C$2:$Y$959,5,0)</f>
        <v>Heavy Constructions &amp; Civil Engineering</v>
      </c>
      <c r="AB1454" s="24" t="str">
        <f>VLOOKUP(A1454,Metrik!$C$2:$Y$959,3,0)</f>
        <v>Infrastructures</v>
      </c>
    </row>
    <row r="1455">
      <c r="A1455" s="14" t="s">
        <v>785</v>
      </c>
      <c r="B1455" s="14" t="str">
        <f t="array" ref="B1455">VLOOKUP(A1455,{Metrik!$C$2:$C$998,Metrik!$B$2:$B$998},2,0)</f>
        <v>Indo Straits Tbk.</v>
      </c>
      <c r="C1455" s="15">
        <f>IFERROR(__xludf.DUMMYFUNCTION("GOOGLEFINANCE(""IDX:""&amp;A1455,""price"")"),290.0)</f>
        <v>290</v>
      </c>
      <c r="D1455" s="16" t="str">
        <f>IFERROR(__xludf.DUMMYFUNCTION("IF(A1455="""","""",
SPARKLINE(
INDEX(
GOOGLEFINANCE(""IDX:""&amp;A1455,""close"",TODAY()-365,TODAY()),
,2
),
{""linewidth"",1}
))
"),"#N/A")</f>
        <v>#N/A</v>
      </c>
      <c r="E1455" s="26"/>
      <c r="F1455" s="26"/>
      <c r="G1455" s="24">
        <f t="shared" si="9"/>
        <v>0</v>
      </c>
      <c r="H1455" s="19">
        <f>VLOOKUP(A1455,Metrik!$C$2:$Y$959,8,0)</f>
        <v>-23.9</v>
      </c>
      <c r="I1455" s="20">
        <f>VLOOKUP(A1455,Metrik!$C$2:$Y$959,9,0)</f>
        <v>0.47</v>
      </c>
      <c r="J1455" s="20">
        <f>VLOOKUP(A1455,Metrik!$C$2:$Y$959,10,0)</f>
        <v>-2</v>
      </c>
      <c r="K1455" s="20">
        <f>VLOOKUP(A1455,Metrik!$C$2:$Y$959,11,0)</f>
        <v>-1.3</v>
      </c>
      <c r="L1455" s="20">
        <f>VLOOKUP(A1455,Metrik!$C$2:$Y$959,12,0)</f>
        <v>0.51</v>
      </c>
      <c r="M1455" s="20">
        <f>VLOOKUP(A1455,Metrik!$C$2:$Y$959,19,0)</f>
        <v>-13.7</v>
      </c>
      <c r="N1455" s="21"/>
      <c r="O1455" s="21"/>
      <c r="P1455" s="21"/>
      <c r="Q1455" s="21"/>
      <c r="R1455" s="21"/>
      <c r="S1455" s="21"/>
      <c r="T1455" s="21"/>
      <c r="U1455" s="22">
        <f>IFERROR(__xludf.DUMMYFUNCTION("IFERROR(GOOGLEFINANCE(A1455,""closeyest""),"""")"),290.0)</f>
        <v>290</v>
      </c>
      <c r="V1455" s="23">
        <f>IFERROR(__xludf.DUMMYFUNCTION("IFERROR(GOOGLEFINANCE(A1455,""changepct""),"""")"),0.0)</f>
        <v>0</v>
      </c>
      <c r="W1455" s="22">
        <f>IFERROR(__xludf.DUMMYFUNCTION("IFERROR(GOOGLEFINANCE(A1455,""priceopen""),"""")"),282.0)</f>
        <v>282</v>
      </c>
      <c r="X1455" s="22">
        <f>IFERROR(__xludf.DUMMYFUNCTION("IFERROR(GOOGLEFINANCE(A1455,""high""),"""")"),292.0)</f>
        <v>292</v>
      </c>
      <c r="Y1455" s="22">
        <f>IFERROR(__xludf.DUMMYFUNCTION("IFERROR(GOOGLEFINANCE(A1455,""low""),"""")"),280.0)</f>
        <v>280</v>
      </c>
      <c r="Z1455" s="22">
        <f>IFERROR(__xludf.DUMMYFUNCTION("IFERROR(GOOGLEFINANCE(A1455,""volume""),"""")"),50200.0)</f>
        <v>50200</v>
      </c>
      <c r="AA1455" s="24" t="str">
        <f>VLOOKUP(A1455,Metrik!$C$2:$Y$959,5,0)</f>
        <v>Coal</v>
      </c>
      <c r="AB1455" s="24" t="str">
        <f>VLOOKUP(A1455,Metrik!$C$2:$Y$959,3,0)</f>
        <v>Energy</v>
      </c>
    </row>
    <row r="1456">
      <c r="A1456" s="17" t="s">
        <v>786</v>
      </c>
      <c r="B1456" s="14" t="str">
        <f t="array" ref="B1456">VLOOKUP(A1456,{Metrik!$C$2:$C$998,Metrik!$B$2:$B$998},2,0)</f>
        <v>PT Mitra Pack Tbk.</v>
      </c>
      <c r="C1456" s="15">
        <f>IFERROR(__xludf.DUMMYFUNCTION("GOOGLEFINANCE(""IDX:""&amp;A1456,""price"")"),59.0)</f>
        <v>59</v>
      </c>
      <c r="D1456" s="16" t="str">
        <f>IFERROR(__xludf.DUMMYFUNCTION("IF(A1456="""","""",
SPARKLINE(
INDEX(
GOOGLEFINANCE(""IDX:""&amp;A1456,""close"",TODAY()-365,TODAY()),
,2
),
{""linewidth"",1}
))
"),"#N/A")</f>
        <v>#N/A</v>
      </c>
      <c r="E1456" s="14"/>
      <c r="F1456" s="17"/>
      <c r="G1456" s="18">
        <f t="shared" si="9"/>
        <v>0</v>
      </c>
      <c r="H1456" s="19">
        <f>VLOOKUP(A1456,Metrik!$C$2:$Y$959,8,0)</f>
        <v>-3.7</v>
      </c>
      <c r="I1456" s="20">
        <f>VLOOKUP(A1456,Metrik!$C$2:$Y$959,9,0)</f>
        <v>1.1</v>
      </c>
      <c r="J1456" s="20">
        <f>VLOOKUP(A1456,Metrik!$C$2:$Y$959,10,0)</f>
        <v>-30.2</v>
      </c>
      <c r="K1456" s="20">
        <f>VLOOKUP(A1456,Metrik!$C$2:$Y$959,11,0)</f>
        <v>-19.5</v>
      </c>
      <c r="L1456" s="20">
        <f>VLOOKUP(A1456,Metrik!$C$2:$Y$959,12,0)</f>
        <v>0.55</v>
      </c>
      <c r="M1456" s="20">
        <f>VLOOKUP(A1456,Metrik!$C$2:$Y$959,19,0)</f>
        <v>-120</v>
      </c>
      <c r="N1456" s="21"/>
      <c r="O1456" s="21"/>
      <c r="P1456" s="21"/>
      <c r="Q1456" s="21"/>
      <c r="R1456" s="21"/>
      <c r="S1456" s="21"/>
      <c r="T1456" s="21"/>
      <c r="U1456" s="22">
        <f>IFERROR(__xludf.DUMMYFUNCTION("IFERROR(GOOGLEFINANCE(A1456,""closeyest""),"""")"),55.0)</f>
        <v>55</v>
      </c>
      <c r="V1456" s="23">
        <f>IFERROR(__xludf.DUMMYFUNCTION("IFERROR(GOOGLEFINANCE(A1456,""changepct""),"""")"),7.27)</f>
        <v>7.27</v>
      </c>
      <c r="W1456" s="22">
        <f>IFERROR(__xludf.DUMMYFUNCTION("IFERROR(GOOGLEFINANCE(A1456,""priceopen""),"""")"),55.0)</f>
        <v>55</v>
      </c>
      <c r="X1456" s="22">
        <f>IFERROR(__xludf.DUMMYFUNCTION("IFERROR(GOOGLEFINANCE(A1456,""high""),"""")"),59.0)</f>
        <v>59</v>
      </c>
      <c r="Y1456" s="22">
        <f>IFERROR(__xludf.DUMMYFUNCTION("IFERROR(GOOGLEFINANCE(A1456,""low""),"""")"),54.0)</f>
        <v>54</v>
      </c>
      <c r="Z1456" s="22">
        <f>IFERROR(__xludf.DUMMYFUNCTION("IFERROR(GOOGLEFINANCE(A1456,""volume""),"""")"),4095400.0)</f>
        <v>4095400</v>
      </c>
      <c r="AA1456" s="24" t="str">
        <f>VLOOKUP(A1456,Metrik!$C$2:$Y$959,5,0)</f>
        <v>Machinery</v>
      </c>
      <c r="AB1456" s="24" t="str">
        <f>VLOOKUP(A1456,Metrik!$C$2:$Y$959,3,0)</f>
        <v>Industrials</v>
      </c>
    </row>
    <row r="1457">
      <c r="A1457" s="14" t="s">
        <v>787</v>
      </c>
      <c r="B1457" s="14" t="str">
        <f t="array" ref="B1457">VLOOKUP(A1457,{Metrik!$C$2:$C$998,Metrik!$B$2:$B$998},2,0)</f>
        <v>Master Print Tbk.</v>
      </c>
      <c r="C1457" s="15" t="str">
        <f>IFERROR(__xludf.DUMMYFUNCTION("GOOGLEFINANCE(""IDX:""&amp;A1457,""price"")"),"#N/A")</f>
        <v>#N/A</v>
      </c>
      <c r="D1457" s="16" t="str">
        <f>IFERROR(__xludf.DUMMYFUNCTION("IF(A1457="""","""",
SPARKLINE(
INDEX(
GOOGLEFINANCE(""IDX:""&amp;A1457,""close"",TODAY()-365,TODAY()),
,2
),
{""linewidth"",1}
))
"),"#N/A")</f>
        <v>#N/A</v>
      </c>
      <c r="E1457" s="26"/>
      <c r="F1457" s="26"/>
      <c r="G1457" s="24">
        <f t="shared" si="9"/>
        <v>0</v>
      </c>
      <c r="H1457" s="19">
        <f>VLOOKUP(A1457,Metrik!$C$2:$Y$959,8,0)</f>
        <v>-30.5</v>
      </c>
      <c r="I1457" s="20">
        <f>VLOOKUP(A1457,Metrik!$C$2:$Y$959,9,0)</f>
        <v>9.3</v>
      </c>
      <c r="J1457" s="20">
        <f>VLOOKUP(A1457,Metrik!$C$2:$Y$959,10,0)</f>
        <v>-30.4</v>
      </c>
      <c r="K1457" s="20">
        <f>VLOOKUP(A1457,Metrik!$C$2:$Y$959,11,0)</f>
        <v>0</v>
      </c>
      <c r="L1457" s="20">
        <f>VLOOKUP(A1457,Metrik!$C$2:$Y$959,12,0)</f>
        <v>0.59</v>
      </c>
      <c r="M1457" s="20">
        <f>VLOOKUP(A1457,Metrik!$C$2:$Y$959,19,0)</f>
        <v>-79.5</v>
      </c>
      <c r="N1457" s="21"/>
      <c r="O1457" s="21"/>
      <c r="P1457" s="21"/>
      <c r="Q1457" s="21"/>
      <c r="R1457" s="21"/>
      <c r="S1457" s="21"/>
      <c r="T1457" s="21"/>
      <c r="U1457" s="22">
        <f>IFERROR(__xludf.DUMMYFUNCTION("IFERROR(GOOGLEFINANCE(A1457,""closeyest""),"""")"),374.0)</f>
        <v>374</v>
      </c>
      <c r="V1457" s="23">
        <f>IFERROR(__xludf.DUMMYFUNCTION("IFERROR(GOOGLEFINANCE(A1457,""changepct""),"""")"),0.0)</f>
        <v>0</v>
      </c>
      <c r="W1457" s="22" t="str">
        <f>IFERROR(__xludf.DUMMYFUNCTION("IFERROR(GOOGLEFINANCE(A1457,""priceopen""),"""")"),"")</f>
        <v/>
      </c>
      <c r="X1457" s="22" t="str">
        <f>IFERROR(__xludf.DUMMYFUNCTION("IFERROR(GOOGLEFINANCE(A1457,""high""),"""")"),"")</f>
        <v/>
      </c>
      <c r="Y1457" s="22" t="str">
        <f>IFERROR(__xludf.DUMMYFUNCTION("IFERROR(GOOGLEFINANCE(A1457,""low""),"""")"),"")</f>
        <v/>
      </c>
      <c r="Z1457" s="22">
        <f>IFERROR(__xludf.DUMMYFUNCTION("IFERROR(GOOGLEFINANCE(A1457,""volume""),"""")"),0.0)</f>
        <v>0</v>
      </c>
      <c r="AA1457" s="24" t="str">
        <f>VLOOKUP(A1457,Metrik!$C$2:$Y$959,5,0)</f>
        <v>Containers &amp; Packaging</v>
      </c>
      <c r="AB1457" s="24" t="str">
        <f>VLOOKUP(A1457,Metrik!$C$2:$Y$959,3,0)</f>
        <v>Basic Materials</v>
      </c>
    </row>
    <row r="1458">
      <c r="A1458" s="14" t="s">
        <v>788</v>
      </c>
      <c r="B1458" s="14" t="str">
        <f t="array" ref="B1458">VLOOKUP(A1458,{Metrik!$C$2:$C$998,Metrik!$B$2:$B$998},2,0)</f>
        <v>PP (Persero) Tbk</v>
      </c>
      <c r="C1458" s="15">
        <f>IFERROR(__xludf.DUMMYFUNCTION("GOOGLEFINANCE(""IDX:""&amp;A1458,""price"")"),202.0)</f>
        <v>202</v>
      </c>
      <c r="D1458" s="16" t="str">
        <f>IFERROR(__xludf.DUMMYFUNCTION("IF(A1458="""","""",
SPARKLINE(
INDEX(
GOOGLEFINANCE(""IDX:""&amp;A1458,""close"",TODAY()-365,TODAY()),
,2
),
{""linewidth"",1}
))
"),"#N/A")</f>
        <v>#N/A</v>
      </c>
      <c r="E1458" s="14" t="s">
        <v>106</v>
      </c>
      <c r="F1458" s="25">
        <v>46356.0</v>
      </c>
      <c r="G1458" s="24">
        <f t="shared" si="9"/>
        <v>4</v>
      </c>
      <c r="H1458" s="19">
        <f>VLOOKUP(A1458,Metrik!$C$2:$Y$959,8,0)</f>
        <v>-0.21</v>
      </c>
      <c r="I1458" s="20">
        <f>VLOOKUP(A1458,Metrik!$C$2:$Y$959,9,0)</f>
        <v>0.29</v>
      </c>
      <c r="J1458" s="20">
        <f>VLOOKUP(A1458,Metrik!$C$2:$Y$959,10,0)</f>
        <v>-140</v>
      </c>
      <c r="K1458" s="20">
        <f>VLOOKUP(A1458,Metrik!$C$2:$Y$959,11,0)</f>
        <v>-14.5</v>
      </c>
      <c r="L1458" s="20">
        <f>VLOOKUP(A1458,Metrik!$C$2:$Y$959,12,0)</f>
        <v>8.7</v>
      </c>
      <c r="M1458" s="20">
        <f>VLOOKUP(A1458,Metrik!$C$2:$Y$959,19,0)</f>
        <v>-210</v>
      </c>
      <c r="N1458" s="21"/>
      <c r="O1458" s="21"/>
      <c r="P1458" s="21"/>
      <c r="Q1458" s="21"/>
      <c r="R1458" s="21"/>
      <c r="S1458" s="21"/>
      <c r="T1458" s="21"/>
      <c r="U1458" s="22">
        <f>IFERROR(__xludf.DUMMYFUNCTION("IFERROR(GOOGLEFINANCE(A1458,""closeyest""),"""")"),199.0)</f>
        <v>199</v>
      </c>
      <c r="V1458" s="23">
        <f>IFERROR(__xludf.DUMMYFUNCTION("IFERROR(GOOGLEFINANCE(A1458,""changepct""),"""")"),1.51)</f>
        <v>1.51</v>
      </c>
      <c r="W1458" s="22">
        <f>IFERROR(__xludf.DUMMYFUNCTION("IFERROR(GOOGLEFINANCE(A1458,""priceopen""),"""")"),200.0)</f>
        <v>200</v>
      </c>
      <c r="X1458" s="22">
        <f>IFERROR(__xludf.DUMMYFUNCTION("IFERROR(GOOGLEFINANCE(A1458,""high""),"""")"),206.0)</f>
        <v>206</v>
      </c>
      <c r="Y1458" s="22">
        <f>IFERROR(__xludf.DUMMYFUNCTION("IFERROR(GOOGLEFINANCE(A1458,""low""),"""")"),198.0)</f>
        <v>198</v>
      </c>
      <c r="Z1458" s="22">
        <f>IFERROR(__xludf.DUMMYFUNCTION("IFERROR(GOOGLEFINANCE(A1458,""volume""),"""")"),5378500.0)</f>
        <v>5378500</v>
      </c>
      <c r="AA1458" s="24" t="str">
        <f>VLOOKUP(A1458,Metrik!$C$2:$Y$959,5,0)</f>
        <v>Heavy Constructions &amp; Civil Engineering</v>
      </c>
      <c r="AB1458" s="24" t="str">
        <f>VLOOKUP(A1458,Metrik!$C$2:$Y$959,3,0)</f>
        <v>Infrastructures</v>
      </c>
    </row>
    <row r="1459">
      <c r="A1459" s="14" t="s">
        <v>788</v>
      </c>
      <c r="B1459" s="14" t="str">
        <f t="array" ref="B1459">VLOOKUP(A1459,{Metrik!$C$2:$C$998,Metrik!$B$2:$B$998},2,0)</f>
        <v>PP (Persero) Tbk</v>
      </c>
      <c r="C1459" s="15">
        <f>IFERROR(__xludf.DUMMYFUNCTION("GOOGLEFINANCE(""IDX:""&amp;A1459,""price"")"),202.0)</f>
        <v>202</v>
      </c>
      <c r="D1459" s="16" t="str">
        <f>IFERROR(__xludf.DUMMYFUNCTION("IF(A1459="""","""",
SPARKLINE(
INDEX(
GOOGLEFINANCE(""IDX:""&amp;A1459,""close"",TODAY()-365,TODAY()),
,2
),
{""linewidth"",1}
))
"),"#N/A")</f>
        <v>#N/A</v>
      </c>
      <c r="E1459" s="14" t="s">
        <v>55</v>
      </c>
      <c r="F1459" s="25">
        <v>46356.0</v>
      </c>
      <c r="G1459" s="24">
        <f t="shared" si="9"/>
        <v>4</v>
      </c>
      <c r="H1459" s="19">
        <f>VLOOKUP(A1459,Metrik!$C$2:$Y$959,8,0)</f>
        <v>-0.21</v>
      </c>
      <c r="I1459" s="20">
        <f>VLOOKUP(A1459,Metrik!$C$2:$Y$959,9,0)</f>
        <v>0.29</v>
      </c>
      <c r="J1459" s="20">
        <f>VLOOKUP(A1459,Metrik!$C$2:$Y$959,10,0)</f>
        <v>-140</v>
      </c>
      <c r="K1459" s="20">
        <f>VLOOKUP(A1459,Metrik!$C$2:$Y$959,11,0)</f>
        <v>-14.5</v>
      </c>
      <c r="L1459" s="20">
        <f>VLOOKUP(A1459,Metrik!$C$2:$Y$959,12,0)</f>
        <v>8.7</v>
      </c>
      <c r="M1459" s="20">
        <f>VLOOKUP(A1459,Metrik!$C$2:$Y$959,19,0)</f>
        <v>-210</v>
      </c>
      <c r="N1459" s="21"/>
      <c r="O1459" s="21"/>
      <c r="P1459" s="21"/>
      <c r="Q1459" s="21"/>
      <c r="R1459" s="21"/>
      <c r="S1459" s="21"/>
      <c r="T1459" s="21"/>
      <c r="U1459" s="22">
        <f>IFERROR(__xludf.DUMMYFUNCTION("IFERROR(GOOGLEFINANCE(A1459,""closeyest""),"""")"),199.0)</f>
        <v>199</v>
      </c>
      <c r="V1459" s="23">
        <f>IFERROR(__xludf.DUMMYFUNCTION("IFERROR(GOOGLEFINANCE(A1459,""changepct""),"""")"),1.51)</f>
        <v>1.51</v>
      </c>
      <c r="W1459" s="22">
        <f>IFERROR(__xludf.DUMMYFUNCTION("IFERROR(GOOGLEFINANCE(A1459,""priceopen""),"""")"),200.0)</f>
        <v>200</v>
      </c>
      <c r="X1459" s="22">
        <f>IFERROR(__xludf.DUMMYFUNCTION("IFERROR(GOOGLEFINANCE(A1459,""high""),"""")"),206.0)</f>
        <v>206</v>
      </c>
      <c r="Y1459" s="22">
        <f>IFERROR(__xludf.DUMMYFUNCTION("IFERROR(GOOGLEFINANCE(A1459,""low""),"""")"),198.0)</f>
        <v>198</v>
      </c>
      <c r="Z1459" s="22">
        <f>IFERROR(__xludf.DUMMYFUNCTION("IFERROR(GOOGLEFINANCE(A1459,""volume""),"""")"),5378500.0)</f>
        <v>5378500</v>
      </c>
      <c r="AA1459" s="24" t="str">
        <f>VLOOKUP(A1459,Metrik!$C$2:$Y$959,5,0)</f>
        <v>Heavy Constructions &amp; Civil Engineering</v>
      </c>
      <c r="AB1459" s="24" t="str">
        <f>VLOOKUP(A1459,Metrik!$C$2:$Y$959,3,0)</f>
        <v>Infrastructures</v>
      </c>
    </row>
    <row r="1460">
      <c r="A1460" s="14" t="s">
        <v>788</v>
      </c>
      <c r="B1460" s="14" t="str">
        <f t="array" ref="B1460">VLOOKUP(A1460,{Metrik!$C$2:$C$998,Metrik!$B$2:$B$998},2,0)</f>
        <v>PP (Persero) Tbk</v>
      </c>
      <c r="C1460" s="15">
        <f>IFERROR(__xludf.DUMMYFUNCTION("GOOGLEFINANCE(""IDX:""&amp;A1460,""price"")"),202.0)</f>
        <v>202</v>
      </c>
      <c r="D1460" s="16" t="str">
        <f>IFERROR(__xludf.DUMMYFUNCTION("IF(A1460="""","""",
SPARKLINE(
INDEX(
GOOGLEFINANCE(""IDX:""&amp;A1460,""close"",TODAY()-365,TODAY()),
,2
),
{""linewidth"",1}
))
"),"#N/A")</f>
        <v>#N/A</v>
      </c>
      <c r="E1460" s="14" t="s">
        <v>61</v>
      </c>
      <c r="F1460" s="14" t="s">
        <v>34</v>
      </c>
      <c r="G1460" s="24">
        <f t="shared" si="9"/>
        <v>4</v>
      </c>
      <c r="H1460" s="19">
        <f>VLOOKUP(A1460,Metrik!$C$2:$Y$959,8,0)</f>
        <v>-0.21</v>
      </c>
      <c r="I1460" s="20">
        <f>VLOOKUP(A1460,Metrik!$C$2:$Y$959,9,0)</f>
        <v>0.29</v>
      </c>
      <c r="J1460" s="20">
        <f>VLOOKUP(A1460,Metrik!$C$2:$Y$959,10,0)</f>
        <v>-140</v>
      </c>
      <c r="K1460" s="20">
        <f>VLOOKUP(A1460,Metrik!$C$2:$Y$959,11,0)</f>
        <v>-14.5</v>
      </c>
      <c r="L1460" s="20">
        <f>VLOOKUP(A1460,Metrik!$C$2:$Y$959,12,0)</f>
        <v>8.7</v>
      </c>
      <c r="M1460" s="20">
        <f>VLOOKUP(A1460,Metrik!$C$2:$Y$959,19,0)</f>
        <v>-210</v>
      </c>
      <c r="N1460" s="21"/>
      <c r="O1460" s="21"/>
      <c r="P1460" s="21"/>
      <c r="Q1460" s="21"/>
      <c r="R1460" s="21"/>
      <c r="S1460" s="21"/>
      <c r="T1460" s="21"/>
      <c r="U1460" s="22">
        <f>IFERROR(__xludf.DUMMYFUNCTION("IFERROR(GOOGLEFINANCE(A1460,""closeyest""),"""")"),199.0)</f>
        <v>199</v>
      </c>
      <c r="V1460" s="23">
        <f>IFERROR(__xludf.DUMMYFUNCTION("IFERROR(GOOGLEFINANCE(A1460,""changepct""),"""")"),1.51)</f>
        <v>1.51</v>
      </c>
      <c r="W1460" s="22">
        <f>IFERROR(__xludf.DUMMYFUNCTION("IFERROR(GOOGLEFINANCE(A1460,""priceopen""),"""")"),200.0)</f>
        <v>200</v>
      </c>
      <c r="X1460" s="22">
        <f>IFERROR(__xludf.DUMMYFUNCTION("IFERROR(GOOGLEFINANCE(A1460,""high""),"""")"),206.0)</f>
        <v>206</v>
      </c>
      <c r="Y1460" s="22">
        <f>IFERROR(__xludf.DUMMYFUNCTION("IFERROR(GOOGLEFINANCE(A1460,""low""),"""")"),198.0)</f>
        <v>198</v>
      </c>
      <c r="Z1460" s="22">
        <f>IFERROR(__xludf.DUMMYFUNCTION("IFERROR(GOOGLEFINANCE(A1460,""volume""),"""")"),5378500.0)</f>
        <v>5378500</v>
      </c>
      <c r="AA1460" s="24" t="str">
        <f>VLOOKUP(A1460,Metrik!$C$2:$Y$959,5,0)</f>
        <v>Heavy Constructions &amp; Civil Engineering</v>
      </c>
      <c r="AB1460" s="24" t="str">
        <f>VLOOKUP(A1460,Metrik!$C$2:$Y$959,3,0)</f>
        <v>Infrastructures</v>
      </c>
    </row>
    <row r="1461">
      <c r="A1461" s="14" t="s">
        <v>788</v>
      </c>
      <c r="B1461" s="14" t="str">
        <f t="array" ref="B1461">VLOOKUP(A1461,{Metrik!$C$2:$C$998,Metrik!$B$2:$B$998},2,0)</f>
        <v>PP (Persero) Tbk</v>
      </c>
      <c r="C1461" s="15">
        <f>IFERROR(__xludf.DUMMYFUNCTION("GOOGLEFINANCE(""IDX:""&amp;A1461,""price"")"),202.0)</f>
        <v>202</v>
      </c>
      <c r="D1461" s="16" t="str">
        <f>IFERROR(__xludf.DUMMYFUNCTION("IF(A1461="""","""",
SPARKLINE(
INDEX(
GOOGLEFINANCE(""IDX:""&amp;A1461,""close"",TODAY()-365,TODAY()),
,2
),
{""linewidth"",1}
))
"),"#N/A")</f>
        <v>#N/A</v>
      </c>
      <c r="E1461" s="14" t="s">
        <v>41</v>
      </c>
      <c r="F1461" s="14" t="s">
        <v>34</v>
      </c>
      <c r="G1461" s="24">
        <f t="shared" si="9"/>
        <v>4</v>
      </c>
      <c r="H1461" s="19">
        <f>VLOOKUP(A1461,Metrik!$C$2:$Y$959,8,0)</f>
        <v>-0.21</v>
      </c>
      <c r="I1461" s="20">
        <f>VLOOKUP(A1461,Metrik!$C$2:$Y$959,9,0)</f>
        <v>0.29</v>
      </c>
      <c r="J1461" s="20">
        <f>VLOOKUP(A1461,Metrik!$C$2:$Y$959,10,0)</f>
        <v>-140</v>
      </c>
      <c r="K1461" s="20">
        <f>VLOOKUP(A1461,Metrik!$C$2:$Y$959,11,0)</f>
        <v>-14.5</v>
      </c>
      <c r="L1461" s="20">
        <f>VLOOKUP(A1461,Metrik!$C$2:$Y$959,12,0)</f>
        <v>8.7</v>
      </c>
      <c r="M1461" s="20">
        <f>VLOOKUP(A1461,Metrik!$C$2:$Y$959,19,0)</f>
        <v>-210</v>
      </c>
      <c r="N1461" s="21"/>
      <c r="O1461" s="21"/>
      <c r="P1461" s="21"/>
      <c r="Q1461" s="21"/>
      <c r="R1461" s="21"/>
      <c r="S1461" s="21"/>
      <c r="T1461" s="21"/>
      <c r="U1461" s="22">
        <f>IFERROR(__xludf.DUMMYFUNCTION("IFERROR(GOOGLEFINANCE(A1461,""closeyest""),"""")"),199.0)</f>
        <v>199</v>
      </c>
      <c r="V1461" s="23">
        <f>IFERROR(__xludf.DUMMYFUNCTION("IFERROR(GOOGLEFINANCE(A1461,""changepct""),"""")"),1.51)</f>
        <v>1.51</v>
      </c>
      <c r="W1461" s="22">
        <f>IFERROR(__xludf.DUMMYFUNCTION("IFERROR(GOOGLEFINANCE(A1461,""priceopen""),"""")"),200.0)</f>
        <v>200</v>
      </c>
      <c r="X1461" s="22">
        <f>IFERROR(__xludf.DUMMYFUNCTION("IFERROR(GOOGLEFINANCE(A1461,""high""),"""")"),206.0)</f>
        <v>206</v>
      </c>
      <c r="Y1461" s="22">
        <f>IFERROR(__xludf.DUMMYFUNCTION("IFERROR(GOOGLEFINANCE(A1461,""low""),"""")"),198.0)</f>
        <v>198</v>
      </c>
      <c r="Z1461" s="22">
        <f>IFERROR(__xludf.DUMMYFUNCTION("IFERROR(GOOGLEFINANCE(A1461,""volume""),"""")"),5378500.0)</f>
        <v>5378500</v>
      </c>
      <c r="AA1461" s="24" t="str">
        <f>VLOOKUP(A1461,Metrik!$C$2:$Y$959,5,0)</f>
        <v>Heavy Constructions &amp; Civil Engineering</v>
      </c>
      <c r="AB1461" s="24" t="str">
        <f>VLOOKUP(A1461,Metrik!$C$2:$Y$959,3,0)</f>
        <v>Infrastructures</v>
      </c>
    </row>
    <row r="1462">
      <c r="A1462" s="14" t="s">
        <v>789</v>
      </c>
      <c r="B1462" s="14" t="str">
        <f t="array" ref="B1462">VLOOKUP(A1462,{Metrik!$C$2:$C$998,Metrik!$B$2:$B$998},2,0)</f>
        <v>PT Pulau Subur Tbk.</v>
      </c>
      <c r="C1462" s="15">
        <f>IFERROR(__xludf.DUMMYFUNCTION("GOOGLEFINANCE(""IDX:""&amp;A1462,""price"")"),113.0)</f>
        <v>113</v>
      </c>
      <c r="D1462" s="16" t="str">
        <f>IFERROR(__xludf.DUMMYFUNCTION("IF(A1462="""","""",
SPARKLINE(
INDEX(
GOOGLEFINANCE(""IDX:""&amp;A1462,""close"",TODAY()-365,TODAY()),
,2
),
{""linewidth"",1}
))
"),"#N/A")</f>
        <v>#N/A</v>
      </c>
      <c r="E1462" s="26"/>
      <c r="F1462" s="26"/>
      <c r="G1462" s="18">
        <f t="shared" si="9"/>
        <v>0</v>
      </c>
      <c r="H1462" s="19">
        <f>VLOOKUP(A1462,Metrik!$C$2:$Y$959,8,0)</f>
        <v>36.9</v>
      </c>
      <c r="I1462" s="20">
        <f>VLOOKUP(A1462,Metrik!$C$2:$Y$959,9,0)</f>
        <v>1.7</v>
      </c>
      <c r="J1462" s="20">
        <f>VLOOKUP(A1462,Metrik!$C$2:$Y$959,10,0)</f>
        <v>4.5</v>
      </c>
      <c r="K1462" s="20">
        <f>VLOOKUP(A1462,Metrik!$C$2:$Y$959,11,0)</f>
        <v>4.4</v>
      </c>
      <c r="L1462" s="20">
        <f>VLOOKUP(A1462,Metrik!$C$2:$Y$959,12,0)</f>
        <v>0.02</v>
      </c>
      <c r="M1462" s="20">
        <f>VLOOKUP(A1462,Metrik!$C$2:$Y$959,19,0)</f>
        <v>79.9</v>
      </c>
      <c r="N1462" s="21"/>
      <c r="O1462" s="21"/>
      <c r="P1462" s="21"/>
      <c r="Q1462" s="21"/>
      <c r="R1462" s="21"/>
      <c r="S1462" s="21"/>
      <c r="T1462" s="21"/>
      <c r="U1462" s="22">
        <f>IFERROR(__xludf.DUMMYFUNCTION("IFERROR(GOOGLEFINANCE(A1462,""closeyest""),"""")"),106.0)</f>
        <v>106</v>
      </c>
      <c r="V1462" s="23">
        <f>IFERROR(__xludf.DUMMYFUNCTION("IFERROR(GOOGLEFINANCE(A1462,""changepct""),"""")"),6.6)</f>
        <v>6.6</v>
      </c>
      <c r="W1462" s="22">
        <f>IFERROR(__xludf.DUMMYFUNCTION("IFERROR(GOOGLEFINANCE(A1462,""priceopen""),"""")"),107.0)</f>
        <v>107</v>
      </c>
      <c r="X1462" s="22">
        <f>IFERROR(__xludf.DUMMYFUNCTION("IFERROR(GOOGLEFINANCE(A1462,""high""),"""")"),120.0)</f>
        <v>120</v>
      </c>
      <c r="Y1462" s="22">
        <f>IFERROR(__xludf.DUMMYFUNCTION("IFERROR(GOOGLEFINANCE(A1462,""low""),"""")"),106.0)</f>
        <v>106</v>
      </c>
      <c r="Z1462" s="22">
        <f>IFERROR(__xludf.DUMMYFUNCTION("IFERROR(GOOGLEFINANCE(A1462,""volume""),"""")"),3531000.0)</f>
        <v>3531000</v>
      </c>
      <c r="AA1462" s="24" t="str">
        <f>VLOOKUP(A1462,Metrik!$C$2:$Y$959,5,0)</f>
        <v>Agricultural Products</v>
      </c>
      <c r="AB1462" s="24" t="str">
        <f>VLOOKUP(A1462,Metrik!$C$2:$Y$959,3,0)</f>
        <v>Consumer Non-Cyclicals</v>
      </c>
    </row>
    <row r="1463">
      <c r="A1463" s="14" t="s">
        <v>790</v>
      </c>
      <c r="B1463" s="14" t="str">
        <f t="array" ref="B1463">VLOOKUP(A1463,{Metrik!$C$2:$C$998,Metrik!$B$2:$B$998},2,0)</f>
        <v>Pratama Widya Tbk.</v>
      </c>
      <c r="C1463" s="15">
        <f>IFERROR(__xludf.DUMMYFUNCTION("GOOGLEFINANCE(""IDX:""&amp;A1463,""price"")"),940.0)</f>
        <v>940</v>
      </c>
      <c r="D1463" s="16" t="str">
        <f>IFERROR(__xludf.DUMMYFUNCTION("IF(A1463="""","""",
SPARKLINE(
INDEX(
GOOGLEFINANCE(""IDX:""&amp;A1463,""close"",TODAY()-365,TODAY()),
,2
),
{""linewidth"",1}
))
"),"#N/A")</f>
        <v>#N/A</v>
      </c>
      <c r="E1463" s="26"/>
      <c r="F1463" s="26"/>
      <c r="G1463" s="24">
        <f t="shared" si="9"/>
        <v>0</v>
      </c>
      <c r="H1463" s="19">
        <f>VLOOKUP(A1463,Metrik!$C$2:$Y$959,8,0)</f>
        <v>20.4</v>
      </c>
      <c r="I1463" s="20">
        <f>VLOOKUP(A1463,Metrik!$C$2:$Y$959,9,0)</f>
        <v>1.2</v>
      </c>
      <c r="J1463" s="20">
        <f>VLOOKUP(A1463,Metrik!$C$2:$Y$959,10,0)</f>
        <v>6</v>
      </c>
      <c r="K1463" s="20">
        <f>VLOOKUP(A1463,Metrik!$C$2:$Y$959,11,0)</f>
        <v>5.3</v>
      </c>
      <c r="L1463" s="20">
        <f>VLOOKUP(A1463,Metrik!$C$2:$Y$959,12,0)</f>
        <v>0.13</v>
      </c>
      <c r="M1463" s="20">
        <f>VLOOKUP(A1463,Metrik!$C$2:$Y$959,19,0)</f>
        <v>52.7</v>
      </c>
      <c r="N1463" s="21"/>
      <c r="O1463" s="21"/>
      <c r="P1463" s="21"/>
      <c r="Q1463" s="21"/>
      <c r="R1463" s="21"/>
      <c r="S1463" s="21"/>
      <c r="T1463" s="21"/>
      <c r="U1463" s="22">
        <f>IFERROR(__xludf.DUMMYFUNCTION("IFERROR(GOOGLEFINANCE(A1463,""closeyest""),"""")"),930.0)</f>
        <v>930</v>
      </c>
      <c r="V1463" s="23">
        <f>IFERROR(__xludf.DUMMYFUNCTION("IFERROR(GOOGLEFINANCE(A1463,""changepct""),"""")"),1.08)</f>
        <v>1.08</v>
      </c>
      <c r="W1463" s="22">
        <f>IFERROR(__xludf.DUMMYFUNCTION("IFERROR(GOOGLEFINANCE(A1463,""priceopen""),"""")"),935.0)</f>
        <v>935</v>
      </c>
      <c r="X1463" s="22">
        <f>IFERROR(__xludf.DUMMYFUNCTION("IFERROR(GOOGLEFINANCE(A1463,""high""),"""")"),940.0)</f>
        <v>940</v>
      </c>
      <c r="Y1463" s="22">
        <f>IFERROR(__xludf.DUMMYFUNCTION("IFERROR(GOOGLEFINANCE(A1463,""low""),"""")"),935.0)</f>
        <v>935</v>
      </c>
      <c r="Z1463" s="22">
        <f>IFERROR(__xludf.DUMMYFUNCTION("IFERROR(GOOGLEFINANCE(A1463,""volume""),"""")"),11800.0)</f>
        <v>11800</v>
      </c>
      <c r="AA1463" s="24" t="str">
        <f>VLOOKUP(A1463,Metrik!$C$2:$Y$959,5,0)</f>
        <v>Heavy Constructions &amp; Civil Engineering</v>
      </c>
      <c r="AB1463" s="24" t="str">
        <f>VLOOKUP(A1463,Metrik!$C$2:$Y$959,3,0)</f>
        <v>Infrastructures</v>
      </c>
    </row>
    <row r="1464">
      <c r="A1464" s="14" t="s">
        <v>791</v>
      </c>
      <c r="B1464" s="14" t="str">
        <f t="array" ref="B1464">VLOOKUP(A1464,{Metrik!$C$2:$C$998,Metrik!$B$2:$B$998},2,0)</f>
        <v>Petrosea Tbk</v>
      </c>
      <c r="C1464" s="15">
        <f>IFERROR(__xludf.DUMMYFUNCTION("GOOGLEFINANCE(""IDX:""&amp;A1464,""price"")"),4180.0)</f>
        <v>4180</v>
      </c>
      <c r="D1464" s="16" t="str">
        <f>IFERROR(__xludf.DUMMYFUNCTION("IF(A1464="""","""",
SPARKLINE(
INDEX(
GOOGLEFINANCE(""IDX:""&amp;A1464,""close"",TODAY()-365,TODAY()),
,2
),
{""linewidth"",1}
))
"),"#N/A")</f>
        <v>#N/A</v>
      </c>
      <c r="E1464" s="14" t="s">
        <v>161</v>
      </c>
      <c r="F1464" s="14" t="s">
        <v>76</v>
      </c>
      <c r="G1464" s="24">
        <f t="shared" si="9"/>
        <v>4</v>
      </c>
      <c r="H1464" s="19">
        <f>VLOOKUP(A1464,Metrik!$C$2:$Y$959,8,0)</f>
        <v>95.8</v>
      </c>
      <c r="I1464" s="20">
        <f>VLOOKUP(A1464,Metrik!$C$2:$Y$959,9,0)</f>
        <v>9</v>
      </c>
      <c r="J1464" s="20">
        <f>VLOOKUP(A1464,Metrik!$C$2:$Y$959,10,0)</f>
        <v>9.4</v>
      </c>
      <c r="K1464" s="20">
        <f>VLOOKUP(A1464,Metrik!$C$2:$Y$959,11,0)</f>
        <v>1.8</v>
      </c>
      <c r="L1464" s="20">
        <f>VLOOKUP(A1464,Metrik!$C$2:$Y$959,12,0)</f>
        <v>4.2</v>
      </c>
      <c r="M1464" s="20">
        <f>VLOOKUP(A1464,Metrik!$C$2:$Y$959,19,0)</f>
        <v>10.2</v>
      </c>
      <c r="N1464" s="21"/>
      <c r="O1464" s="21"/>
      <c r="P1464" s="21"/>
      <c r="Q1464" s="21"/>
      <c r="R1464" s="21"/>
      <c r="S1464" s="21"/>
      <c r="T1464" s="21"/>
      <c r="U1464" s="22">
        <f>IFERROR(__xludf.DUMMYFUNCTION("IFERROR(GOOGLEFINANCE(A1464,""closeyest""),"""")"),4010.0)</f>
        <v>4010</v>
      </c>
      <c r="V1464" s="23">
        <f>IFERROR(__xludf.DUMMYFUNCTION("IFERROR(GOOGLEFINANCE(A1464,""changepct""),"""")"),4.24)</f>
        <v>4.24</v>
      </c>
      <c r="W1464" s="22">
        <f>IFERROR(__xludf.DUMMYFUNCTION("IFERROR(GOOGLEFINANCE(A1464,""priceopen""),"""")"),4150.0)</f>
        <v>4150</v>
      </c>
      <c r="X1464" s="22">
        <f>IFERROR(__xludf.DUMMYFUNCTION("IFERROR(GOOGLEFINANCE(A1464,""high""),"""")"),4340.0)</f>
        <v>4340</v>
      </c>
      <c r="Y1464" s="22">
        <f>IFERROR(__xludf.DUMMYFUNCTION("IFERROR(GOOGLEFINANCE(A1464,""low""),"""")"),4150.0)</f>
        <v>4150</v>
      </c>
      <c r="Z1464" s="22">
        <f>IFERROR(__xludf.DUMMYFUNCTION("IFERROR(GOOGLEFINANCE(A1464,""volume""),"""")"),6.47057E7)</f>
        <v>64705700</v>
      </c>
      <c r="AA1464" s="24" t="str">
        <f>VLOOKUP(A1464,Metrik!$C$2:$Y$959,5,0)</f>
        <v>Oil, Gas &amp; Coal Supports</v>
      </c>
      <c r="AB1464" s="24" t="str">
        <f>VLOOKUP(A1464,Metrik!$C$2:$Y$959,3,0)</f>
        <v>Energy</v>
      </c>
    </row>
    <row r="1465">
      <c r="A1465" s="14" t="s">
        <v>791</v>
      </c>
      <c r="B1465" s="14" t="str">
        <f t="array" ref="B1465">VLOOKUP(A1465,{Metrik!$C$2:$C$998,Metrik!$B$2:$B$998},2,0)</f>
        <v>Petrosea Tbk</v>
      </c>
      <c r="C1465" s="15">
        <f>IFERROR(__xludf.DUMMYFUNCTION("GOOGLEFINANCE(""IDX:""&amp;A1465,""price"")"),4180.0)</f>
        <v>4180</v>
      </c>
      <c r="D1465" s="16" t="str">
        <f>IFERROR(__xludf.DUMMYFUNCTION("IF(A1465="""","""",
SPARKLINE(
INDEX(
GOOGLEFINANCE(""IDX:""&amp;A1465,""close"",TODAY()-365,TODAY()),
,2
),
{""linewidth"",1}
))
"),"#N/A")</f>
        <v>#N/A</v>
      </c>
      <c r="E1465" s="14" t="s">
        <v>28</v>
      </c>
      <c r="F1465" s="17" t="s">
        <v>29</v>
      </c>
      <c r="G1465" s="24">
        <f t="shared" si="9"/>
        <v>4</v>
      </c>
      <c r="H1465" s="19">
        <f>VLOOKUP(A1465,Metrik!$C$2:$Y$959,8,0)</f>
        <v>95.8</v>
      </c>
      <c r="I1465" s="20">
        <f>VLOOKUP(A1465,Metrik!$C$2:$Y$959,9,0)</f>
        <v>9</v>
      </c>
      <c r="J1465" s="20">
        <f>VLOOKUP(A1465,Metrik!$C$2:$Y$959,10,0)</f>
        <v>9.4</v>
      </c>
      <c r="K1465" s="20">
        <f>VLOOKUP(A1465,Metrik!$C$2:$Y$959,11,0)</f>
        <v>1.8</v>
      </c>
      <c r="L1465" s="20">
        <f>VLOOKUP(A1465,Metrik!$C$2:$Y$959,12,0)</f>
        <v>4.2</v>
      </c>
      <c r="M1465" s="20">
        <f>VLOOKUP(A1465,Metrik!$C$2:$Y$959,19,0)</f>
        <v>10.2</v>
      </c>
      <c r="N1465" s="21"/>
      <c r="O1465" s="21"/>
      <c r="P1465" s="21"/>
      <c r="Q1465" s="21"/>
      <c r="R1465" s="21"/>
      <c r="S1465" s="21"/>
      <c r="T1465" s="21"/>
      <c r="U1465" s="22">
        <f>IFERROR(__xludf.DUMMYFUNCTION("IFERROR(GOOGLEFINANCE(A1465,""closeyest""),"""")"),4010.0)</f>
        <v>4010</v>
      </c>
      <c r="V1465" s="23">
        <f>IFERROR(__xludf.DUMMYFUNCTION("IFERROR(GOOGLEFINANCE(A1465,""changepct""),"""")"),4.24)</f>
        <v>4.24</v>
      </c>
      <c r="W1465" s="22">
        <f>IFERROR(__xludf.DUMMYFUNCTION("IFERROR(GOOGLEFINANCE(A1465,""priceopen""),"""")"),4150.0)</f>
        <v>4150</v>
      </c>
      <c r="X1465" s="22">
        <f>IFERROR(__xludf.DUMMYFUNCTION("IFERROR(GOOGLEFINANCE(A1465,""high""),"""")"),4340.0)</f>
        <v>4340</v>
      </c>
      <c r="Y1465" s="22">
        <f>IFERROR(__xludf.DUMMYFUNCTION("IFERROR(GOOGLEFINANCE(A1465,""low""),"""")"),4150.0)</f>
        <v>4150</v>
      </c>
      <c r="Z1465" s="22">
        <f>IFERROR(__xludf.DUMMYFUNCTION("IFERROR(GOOGLEFINANCE(A1465,""volume""),"""")"),6.47057E7)</f>
        <v>64705700</v>
      </c>
      <c r="AA1465" s="24" t="str">
        <f>VLOOKUP(A1465,Metrik!$C$2:$Y$959,5,0)</f>
        <v>Oil, Gas &amp; Coal Supports</v>
      </c>
      <c r="AB1465" s="24" t="str">
        <f>VLOOKUP(A1465,Metrik!$C$2:$Y$959,3,0)</f>
        <v>Energy</v>
      </c>
    </row>
    <row r="1466">
      <c r="A1466" s="14" t="s">
        <v>791</v>
      </c>
      <c r="B1466" s="14" t="str">
        <f t="array" ref="B1466">VLOOKUP(A1466,{Metrik!$C$2:$C$998,Metrik!$B$2:$B$998},2,0)</f>
        <v>Petrosea Tbk</v>
      </c>
      <c r="C1466" s="15">
        <f>IFERROR(__xludf.DUMMYFUNCTION("GOOGLEFINANCE(""IDX:""&amp;A1466,""price"")"),4180.0)</f>
        <v>4180</v>
      </c>
      <c r="D1466" s="16" t="str">
        <f>IFERROR(__xludf.DUMMYFUNCTION("IF(A1466="""","""",
SPARKLINE(
INDEX(
GOOGLEFINANCE(""IDX:""&amp;A1466,""close"",TODAY()-365,TODAY()),
,2
),
{""linewidth"",1}
))
"),"#N/A")</f>
        <v>#N/A</v>
      </c>
      <c r="E1466" s="14" t="s">
        <v>32</v>
      </c>
      <c r="F1466" s="14" t="s">
        <v>29</v>
      </c>
      <c r="G1466" s="24">
        <f t="shared" si="9"/>
        <v>4</v>
      </c>
      <c r="H1466" s="19">
        <f>VLOOKUP(A1466,Metrik!$C$2:$Y$959,8,0)</f>
        <v>95.8</v>
      </c>
      <c r="I1466" s="20">
        <f>VLOOKUP(A1466,Metrik!$C$2:$Y$959,9,0)</f>
        <v>9</v>
      </c>
      <c r="J1466" s="20">
        <f>VLOOKUP(A1466,Metrik!$C$2:$Y$959,10,0)</f>
        <v>9.4</v>
      </c>
      <c r="K1466" s="20">
        <f>VLOOKUP(A1466,Metrik!$C$2:$Y$959,11,0)</f>
        <v>1.8</v>
      </c>
      <c r="L1466" s="20">
        <f>VLOOKUP(A1466,Metrik!$C$2:$Y$959,12,0)</f>
        <v>4.2</v>
      </c>
      <c r="M1466" s="20">
        <f>VLOOKUP(A1466,Metrik!$C$2:$Y$959,19,0)</f>
        <v>10.2</v>
      </c>
      <c r="N1466" s="21"/>
      <c r="O1466" s="21"/>
      <c r="P1466" s="21"/>
      <c r="Q1466" s="21"/>
      <c r="R1466" s="21"/>
      <c r="S1466" s="21"/>
      <c r="T1466" s="21"/>
      <c r="U1466" s="22">
        <f>IFERROR(__xludf.DUMMYFUNCTION("IFERROR(GOOGLEFINANCE(A1466,""closeyest""),"""")"),4010.0)</f>
        <v>4010</v>
      </c>
      <c r="V1466" s="23">
        <f>IFERROR(__xludf.DUMMYFUNCTION("IFERROR(GOOGLEFINANCE(A1466,""changepct""),"""")"),4.24)</f>
        <v>4.24</v>
      </c>
      <c r="W1466" s="22">
        <f>IFERROR(__xludf.DUMMYFUNCTION("IFERROR(GOOGLEFINANCE(A1466,""priceopen""),"""")"),4150.0)</f>
        <v>4150</v>
      </c>
      <c r="X1466" s="22">
        <f>IFERROR(__xludf.DUMMYFUNCTION("IFERROR(GOOGLEFINANCE(A1466,""high""),"""")"),4340.0)</f>
        <v>4340</v>
      </c>
      <c r="Y1466" s="22">
        <f>IFERROR(__xludf.DUMMYFUNCTION("IFERROR(GOOGLEFINANCE(A1466,""low""),"""")"),4150.0)</f>
        <v>4150</v>
      </c>
      <c r="Z1466" s="22">
        <f>IFERROR(__xludf.DUMMYFUNCTION("IFERROR(GOOGLEFINANCE(A1466,""volume""),"""")"),6.47057E7)</f>
        <v>64705700</v>
      </c>
      <c r="AA1466" s="24" t="str">
        <f>VLOOKUP(A1466,Metrik!$C$2:$Y$959,5,0)</f>
        <v>Oil, Gas &amp; Coal Supports</v>
      </c>
      <c r="AB1466" s="24" t="str">
        <f>VLOOKUP(A1466,Metrik!$C$2:$Y$959,3,0)</f>
        <v>Energy</v>
      </c>
    </row>
    <row r="1467">
      <c r="A1467" s="17" t="s">
        <v>791</v>
      </c>
      <c r="B1467" s="14" t="str">
        <f t="array" ref="B1467">VLOOKUP(A1467,{Metrik!$C$2:$C$998,Metrik!$B$2:$B$998},2,0)</f>
        <v>Petrosea Tbk</v>
      </c>
      <c r="C1467" s="15">
        <f>IFERROR(__xludf.DUMMYFUNCTION("GOOGLEFINANCE(""IDX:""&amp;A1467,""price"")"),4180.0)</f>
        <v>4180</v>
      </c>
      <c r="D1467" s="16" t="str">
        <f>IFERROR(__xludf.DUMMYFUNCTION("IF(A1467="""","""",
SPARKLINE(
INDEX(
GOOGLEFINANCE(""IDX:""&amp;A1467,""close"",TODAY()-365,TODAY()),
,2
),
{""linewidth"",1}
))
"),"#N/A")</f>
        <v>#N/A</v>
      </c>
      <c r="E1467" s="14" t="s">
        <v>35</v>
      </c>
      <c r="F1467" s="17" t="s">
        <v>36</v>
      </c>
      <c r="G1467" s="38">
        <f t="shared" si="9"/>
        <v>4</v>
      </c>
      <c r="H1467" s="34">
        <f>VLOOKUP(A1467,Metrik!$C$2:$Y$959,8,0)</f>
        <v>95.8</v>
      </c>
      <c r="I1467" s="34">
        <f>VLOOKUP(A1467,Metrik!$C$2:$Y$959,9,0)</f>
        <v>9</v>
      </c>
      <c r="J1467" s="34">
        <f>VLOOKUP(A1467,Metrik!$C$2:$Y$959,10,0)</f>
        <v>9.4</v>
      </c>
      <c r="K1467" s="34">
        <f>VLOOKUP(A1467,Metrik!$C$2:$Y$959,11,0)</f>
        <v>1.8</v>
      </c>
      <c r="L1467" s="34">
        <f>VLOOKUP(A1467,Metrik!$C$2:$Y$959,12,0)</f>
        <v>4.2</v>
      </c>
      <c r="M1467" s="34">
        <f>VLOOKUP(A1467,Metrik!$C$2:$Y$959,19,0)</f>
        <v>10.2</v>
      </c>
      <c r="N1467" s="26"/>
      <c r="O1467" s="26"/>
      <c r="P1467" s="26"/>
      <c r="Q1467" s="26"/>
      <c r="R1467" s="26"/>
      <c r="S1467" s="26"/>
      <c r="T1467" s="26"/>
      <c r="U1467" s="35">
        <f>IFERROR(__xludf.DUMMYFUNCTION("IFERROR(GOOGLEFINANCE(A1467,""closeyest""),"""")"),4010.0)</f>
        <v>4010</v>
      </c>
      <c r="V1467" s="36">
        <f>IFERROR(__xludf.DUMMYFUNCTION("IFERROR(GOOGLEFINANCE(A1467,""changepct""),"""")"),4.24)</f>
        <v>4.24</v>
      </c>
      <c r="W1467" s="49">
        <f>IFERROR(__xludf.DUMMYFUNCTION("IFERROR(GOOGLEFINANCE(A1467,""priceopen""),"""")"),4150.0)</f>
        <v>4150</v>
      </c>
      <c r="X1467" s="35">
        <f>IFERROR(__xludf.DUMMYFUNCTION("IFERROR(GOOGLEFINANCE(A1467,""high""),"""")"),4340.0)</f>
        <v>4340</v>
      </c>
      <c r="Y1467" s="35">
        <f>IFERROR(__xludf.DUMMYFUNCTION("IFERROR(GOOGLEFINANCE(A1467,""low""),"""")"),4150.0)</f>
        <v>4150</v>
      </c>
      <c r="Z1467" s="35">
        <f>IFERROR(__xludf.DUMMYFUNCTION("IFERROR(GOOGLEFINANCE(A1467,""volume""),"""")"),6.47057E7)</f>
        <v>64705700</v>
      </c>
      <c r="AA1467" s="14" t="str">
        <f>VLOOKUP(A1467,Metrik!$C$2:$Y$959,5,0)</f>
        <v>Oil, Gas &amp; Coal Supports</v>
      </c>
      <c r="AB1467" s="14" t="str">
        <f>VLOOKUP(A1467,Metrik!$C$2:$Y$959,3,0)</f>
        <v>Energy</v>
      </c>
    </row>
    <row r="1468">
      <c r="A1468" s="14" t="s">
        <v>792</v>
      </c>
      <c r="B1468" s="14" t="str">
        <f t="array" ref="B1468">VLOOKUP(A1468,{Metrik!$C$2:$C$998,Metrik!$B$2:$B$998},2,0)</f>
        <v>Sat Nusapersada Tbk</v>
      </c>
      <c r="C1468" s="15">
        <f>IFERROR(__xludf.DUMMYFUNCTION("GOOGLEFINANCE(""IDX:""&amp;A1468,""price"")"),228.0)</f>
        <v>228</v>
      </c>
      <c r="D1468" s="16" t="str">
        <f>IFERROR(__xludf.DUMMYFUNCTION("IF(A1468="""","""",
SPARKLINE(
INDEX(
GOOGLEFINANCE(""IDX:""&amp;A1468,""close"",TODAY()-365,TODAY()),
,2
),
{""linewidth"",1}
))
"),"#N/A")</f>
        <v>#N/A</v>
      </c>
      <c r="E1468" s="26"/>
      <c r="F1468" s="26"/>
      <c r="G1468" s="24">
        <f t="shared" si="9"/>
        <v>0</v>
      </c>
      <c r="H1468" s="19">
        <f>VLOOKUP(A1468,Metrik!$C$2:$Y$959,8,0)</f>
        <v>5.5</v>
      </c>
      <c r="I1468" s="20">
        <f>VLOOKUP(A1468,Metrik!$C$2:$Y$959,9,0)</f>
        <v>0.65</v>
      </c>
      <c r="J1468" s="20">
        <f>VLOOKUP(A1468,Metrik!$C$2:$Y$959,10,0)</f>
        <v>11.9</v>
      </c>
      <c r="K1468" s="20">
        <f>VLOOKUP(A1468,Metrik!$C$2:$Y$959,11,0)</f>
        <v>6.3</v>
      </c>
      <c r="L1468" s="20">
        <f>VLOOKUP(A1468,Metrik!$C$2:$Y$959,12,0)</f>
        <v>0.9</v>
      </c>
      <c r="M1468" s="20">
        <f>VLOOKUP(A1468,Metrik!$C$2:$Y$959,19,0)</f>
        <v>21.3</v>
      </c>
      <c r="N1468" s="21"/>
      <c r="O1468" s="21"/>
      <c r="P1468" s="21"/>
      <c r="Q1468" s="21"/>
      <c r="R1468" s="21"/>
      <c r="S1468" s="21"/>
      <c r="T1468" s="21"/>
      <c r="U1468" s="22">
        <f>IFERROR(__xludf.DUMMYFUNCTION("IFERROR(GOOGLEFINANCE(A1468,""closeyest""),"""")"),226.0)</f>
        <v>226</v>
      </c>
      <c r="V1468" s="23">
        <f>IFERROR(__xludf.DUMMYFUNCTION("IFERROR(GOOGLEFINANCE(A1468,""changepct""),"""")"),0.88)</f>
        <v>0.88</v>
      </c>
      <c r="W1468" s="22">
        <f>IFERROR(__xludf.DUMMYFUNCTION("IFERROR(GOOGLEFINANCE(A1468,""priceopen""),"""")"),234.0)</f>
        <v>234</v>
      </c>
      <c r="X1468" s="22">
        <f>IFERROR(__xludf.DUMMYFUNCTION("IFERROR(GOOGLEFINANCE(A1468,""high""),"""")"),238.0)</f>
        <v>238</v>
      </c>
      <c r="Y1468" s="22">
        <f>IFERROR(__xludf.DUMMYFUNCTION("IFERROR(GOOGLEFINANCE(A1468,""low""),"""")"),222.0)</f>
        <v>222</v>
      </c>
      <c r="Z1468" s="22">
        <f>IFERROR(__xludf.DUMMYFUNCTION("IFERROR(GOOGLEFINANCE(A1468,""volume""),"""")"),1168300.0)</f>
        <v>1168300</v>
      </c>
      <c r="AA1468" s="24" t="str">
        <f>VLOOKUP(A1468,Metrik!$C$2:$Y$959,5,0)</f>
        <v>Networking Equipment</v>
      </c>
      <c r="AB1468" s="24" t="str">
        <f>VLOOKUP(A1468,Metrik!$C$2:$Y$959,3,0)</f>
        <v>Technology</v>
      </c>
    </row>
    <row r="1469">
      <c r="A1469" s="14" t="s">
        <v>793</v>
      </c>
      <c r="B1469" s="14" t="str">
        <f t="array" ref="B1469">VLOOKUP(A1469,{Metrik!$C$2:$C$998,Metrik!$B$2:$B$998},2,0)</f>
        <v>Pioneerindo Gourmet International Tbk.</v>
      </c>
      <c r="C1469" s="15">
        <f>IFERROR(__xludf.DUMMYFUNCTION("GOOGLEFINANCE(""IDX:""&amp;A1469,""price"")"),900.0)</f>
        <v>900</v>
      </c>
      <c r="D1469" s="16" t="str">
        <f>IFERROR(__xludf.DUMMYFUNCTION("IF(A1469="""","""",
SPARKLINE(
INDEX(
GOOGLEFINANCE(""IDX:""&amp;A1469,""close"",TODAY()-365,TODAY()),
,2
),
{""linewidth"",1}
))
"),"#N/A")</f>
        <v>#N/A</v>
      </c>
      <c r="E1469" s="26"/>
      <c r="F1469" s="26"/>
      <c r="G1469" s="24">
        <f t="shared" si="9"/>
        <v>0</v>
      </c>
      <c r="H1469" s="19">
        <f>VLOOKUP(A1469,Metrik!$C$2:$Y$959,8,0)</f>
        <v>5.4</v>
      </c>
      <c r="I1469" s="20">
        <f>VLOOKUP(A1469,Metrik!$C$2:$Y$959,9,0)</f>
        <v>0.97</v>
      </c>
      <c r="J1469" s="20">
        <f>VLOOKUP(A1469,Metrik!$C$2:$Y$959,10,0)</f>
        <v>17.8</v>
      </c>
      <c r="K1469" s="20">
        <f>VLOOKUP(A1469,Metrik!$C$2:$Y$959,11,0)</f>
        <v>9.2</v>
      </c>
      <c r="L1469" s="20">
        <f>VLOOKUP(A1469,Metrik!$C$2:$Y$959,12,0)</f>
        <v>0.93</v>
      </c>
      <c r="M1469" s="20">
        <f>VLOOKUP(A1469,Metrik!$C$2:$Y$959,19,0)</f>
        <v>17.7</v>
      </c>
      <c r="N1469" s="21"/>
      <c r="O1469" s="21"/>
      <c r="P1469" s="21"/>
      <c r="Q1469" s="21"/>
      <c r="R1469" s="21"/>
      <c r="S1469" s="21"/>
      <c r="T1469" s="21"/>
      <c r="U1469" s="22">
        <f>IFERROR(__xludf.DUMMYFUNCTION("IFERROR(GOOGLEFINANCE(A1469,""closeyest""),"""")"),900.0)</f>
        <v>900</v>
      </c>
      <c r="V1469" s="23">
        <f>IFERROR(__xludf.DUMMYFUNCTION("IFERROR(GOOGLEFINANCE(A1469,""changepct""),"""")"),0.0)</f>
        <v>0</v>
      </c>
      <c r="W1469" s="22">
        <f>IFERROR(__xludf.DUMMYFUNCTION("IFERROR(GOOGLEFINANCE(A1469,""priceopen""),"""")"),900.0)</f>
        <v>900</v>
      </c>
      <c r="X1469" s="22">
        <f>IFERROR(__xludf.DUMMYFUNCTION("IFERROR(GOOGLEFINANCE(A1469,""high""),"""")"),920.0)</f>
        <v>920</v>
      </c>
      <c r="Y1469" s="22">
        <f>IFERROR(__xludf.DUMMYFUNCTION("IFERROR(GOOGLEFINANCE(A1469,""low""),"""")"),900.0)</f>
        <v>900</v>
      </c>
      <c r="Z1469" s="22" t="str">
        <f>IFERROR(__xludf.DUMMYFUNCTION("IFERROR(GOOGLEFINANCE(A1469,""volume""),"""")"),"")</f>
        <v/>
      </c>
      <c r="AA1469" s="24" t="str">
        <f>VLOOKUP(A1469,Metrik!$C$2:$Y$959,5,0)</f>
        <v>Tourism &amp; Recreation</v>
      </c>
      <c r="AB1469" s="24" t="str">
        <f>VLOOKUP(A1469,Metrik!$C$2:$Y$959,3,0)</f>
        <v>Consumer Cyclicals</v>
      </c>
    </row>
    <row r="1470">
      <c r="A1470" s="14" t="s">
        <v>794</v>
      </c>
      <c r="B1470" s="14" t="str">
        <f t="array" ref="B1470">VLOOKUP(A1470,{Metrik!$C$2:$C$998,Metrik!$B$2:$B$998},2,0)</f>
        <v>Pudjiadi Prestige Tbk.</v>
      </c>
      <c r="C1470" s="15">
        <f>IFERROR(__xludf.DUMMYFUNCTION("GOOGLEFINANCE(""IDX:""&amp;A1470,""price"")"),310.0)</f>
        <v>310</v>
      </c>
      <c r="D1470" s="16" t="str">
        <f>IFERROR(__xludf.DUMMYFUNCTION("IF(A1470="""","""",
SPARKLINE(
INDEX(
GOOGLEFINANCE(""IDX:""&amp;A1470,""close"",TODAY()-365,TODAY()),
,2
),
{""linewidth"",1}
))
"),"#N/A")</f>
        <v>#N/A</v>
      </c>
      <c r="E1470" s="26"/>
      <c r="F1470" s="26"/>
      <c r="G1470" s="24">
        <f t="shared" si="9"/>
        <v>0</v>
      </c>
      <c r="H1470" s="19">
        <f>VLOOKUP(A1470,Metrik!$C$2:$Y$959,8,0)</f>
        <v>390</v>
      </c>
      <c r="I1470" s="20">
        <f>VLOOKUP(A1470,Metrik!$C$2:$Y$959,9,0)</f>
        <v>0.46</v>
      </c>
      <c r="J1470" s="20">
        <f>VLOOKUP(A1470,Metrik!$C$2:$Y$959,10,0)</f>
        <v>0.12</v>
      </c>
      <c r="K1470" s="20">
        <f>VLOOKUP(A1470,Metrik!$C$2:$Y$959,11,0)</f>
        <v>0.11</v>
      </c>
      <c r="L1470" s="20">
        <f>VLOOKUP(A1470,Metrik!$C$2:$Y$959,12,0)</f>
        <v>0.07</v>
      </c>
      <c r="M1470" s="20">
        <f>VLOOKUP(A1470,Metrik!$C$2:$Y$959,19,0)</f>
        <v>6.2</v>
      </c>
      <c r="N1470" s="21"/>
      <c r="O1470" s="21"/>
      <c r="P1470" s="21"/>
      <c r="Q1470" s="21"/>
      <c r="R1470" s="21"/>
      <c r="S1470" s="21"/>
      <c r="T1470" s="21"/>
      <c r="U1470" s="22">
        <f>IFERROR(__xludf.DUMMYFUNCTION("IFERROR(GOOGLEFINANCE(A1470,""closeyest""),"""")"),284.0)</f>
        <v>284</v>
      </c>
      <c r="V1470" s="23">
        <f>IFERROR(__xludf.DUMMYFUNCTION("IFERROR(GOOGLEFINANCE(A1470,""changepct""),"""")"),9.15)</f>
        <v>9.15</v>
      </c>
      <c r="W1470" s="22">
        <f>IFERROR(__xludf.DUMMYFUNCTION("IFERROR(GOOGLEFINANCE(A1470,""priceopen""),"""")"),284.0)</f>
        <v>284</v>
      </c>
      <c r="X1470" s="22">
        <f>IFERROR(__xludf.DUMMYFUNCTION("IFERROR(GOOGLEFINANCE(A1470,""high""),"""")"),316.0)</f>
        <v>316</v>
      </c>
      <c r="Y1470" s="22">
        <f>IFERROR(__xludf.DUMMYFUNCTION("IFERROR(GOOGLEFINANCE(A1470,""low""),"""")"),284.0)</f>
        <v>284</v>
      </c>
      <c r="Z1470" s="22">
        <f>IFERROR(__xludf.DUMMYFUNCTION("IFERROR(GOOGLEFINANCE(A1470,""volume""),"""")"),361500.0)</f>
        <v>361500</v>
      </c>
      <c r="AA1470" s="24" t="str">
        <f>VLOOKUP(A1470,Metrik!$C$2:$Y$959,5,0)</f>
        <v>Real Estate Management &amp; Development</v>
      </c>
      <c r="AB1470" s="24" t="str">
        <f>VLOOKUP(A1470,Metrik!$C$2:$Y$959,3,0)</f>
        <v>Properties &amp; Real Estate</v>
      </c>
    </row>
    <row r="1471">
      <c r="A1471" s="14" t="s">
        <v>795</v>
      </c>
      <c r="B1471" s="14" t="str">
        <f t="array" ref="B1471">VLOOKUP(A1471,{Metrik!$C$2:$C$998,Metrik!$B$2:$B$998},2,0)</f>
        <v>Putra Rajawali Kencana Tbk.</v>
      </c>
      <c r="C1471" s="15">
        <f>IFERROR(__xludf.DUMMYFUNCTION("GOOGLEFINANCE(""IDX:""&amp;A1471,""price"")"),33.0)</f>
        <v>33</v>
      </c>
      <c r="D1471" s="16" t="str">
        <f>IFERROR(__xludf.DUMMYFUNCTION("IF(A1471="""","""",
SPARKLINE(
INDEX(
GOOGLEFINANCE(""IDX:""&amp;A1471,""close"",TODAY()-365,TODAY()),
,2
),
{""linewidth"",1}
))
"),"#N/A")</f>
        <v>#N/A</v>
      </c>
      <c r="E1471" s="26"/>
      <c r="F1471" s="26"/>
      <c r="G1471" s="24">
        <f t="shared" si="9"/>
        <v>0</v>
      </c>
      <c r="H1471" s="19">
        <f>VLOOKUP(A1471,Metrik!$C$2:$Y$959,8,0)</f>
        <v>32.5</v>
      </c>
      <c r="I1471" s="20">
        <f>VLOOKUP(A1471,Metrik!$C$2:$Y$959,9,0)</f>
        <v>0.47</v>
      </c>
      <c r="J1471" s="20">
        <f>VLOOKUP(A1471,Metrik!$C$2:$Y$959,10,0)</f>
        <v>1.4</v>
      </c>
      <c r="K1471" s="20">
        <f>VLOOKUP(A1471,Metrik!$C$2:$Y$959,11,0)</f>
        <v>1.1</v>
      </c>
      <c r="L1471" s="20">
        <f>VLOOKUP(A1471,Metrik!$C$2:$Y$959,12,0)</f>
        <v>0.25</v>
      </c>
      <c r="M1471" s="20">
        <f>VLOOKUP(A1471,Metrik!$C$2:$Y$959,19,0)</f>
        <v>6</v>
      </c>
      <c r="N1471" s="21"/>
      <c r="O1471" s="21"/>
      <c r="P1471" s="21"/>
      <c r="Q1471" s="21"/>
      <c r="R1471" s="21"/>
      <c r="S1471" s="21"/>
      <c r="T1471" s="21"/>
      <c r="U1471" s="22">
        <f>IFERROR(__xludf.DUMMYFUNCTION("IFERROR(GOOGLEFINANCE(A1471,""closeyest""),"""")"),0.0)</f>
        <v>0</v>
      </c>
      <c r="V1471" s="23">
        <f>IFERROR(__xludf.DUMMYFUNCTION("IFERROR(GOOGLEFINANCE(A1471,""changepct""),"""")"),0.0)</f>
        <v>0</v>
      </c>
      <c r="W1471" s="22">
        <f>IFERROR(__xludf.DUMMYFUNCTION("IFERROR(GOOGLEFINANCE(A1471,""priceopen""),"""")"),0.0)</f>
        <v>0</v>
      </c>
      <c r="X1471" s="22">
        <f>IFERROR(__xludf.DUMMYFUNCTION("IFERROR(GOOGLEFINANCE(A1471,""high""),"""")"),0.0)</f>
        <v>0</v>
      </c>
      <c r="Y1471" s="22">
        <f>IFERROR(__xludf.DUMMYFUNCTION("IFERROR(GOOGLEFINANCE(A1471,""low""),"""")"),0.0)</f>
        <v>0</v>
      </c>
      <c r="Z1471" s="22">
        <f>IFERROR(__xludf.DUMMYFUNCTION("IFERROR(GOOGLEFINANCE(A1471,""volume""),"""")"),76000.0)</f>
        <v>76000</v>
      </c>
      <c r="AA1471" s="24" t="str">
        <f>VLOOKUP(A1471,Metrik!$C$2:$Y$959,5,0)</f>
        <v>Logistics &amp; Deliveries</v>
      </c>
      <c r="AB1471" s="24" t="str">
        <f>VLOOKUP(A1471,Metrik!$C$2:$Y$959,3,0)</f>
        <v>Transportation &amp; Logistic</v>
      </c>
    </row>
    <row r="1472">
      <c r="A1472" s="14" t="s">
        <v>796</v>
      </c>
      <c r="B1472" s="14" t="str">
        <f t="array" ref="B1472">VLOOKUP(A1472,{Metrik!$C$2:$C$998,Metrik!$B$2:$B$998},2,0)</f>
        <v>Trinitan Metals and Minerals Tbk.</v>
      </c>
      <c r="C1472" s="15">
        <f>IFERROR(__xludf.DUMMYFUNCTION("GOOGLEFINANCE(""IDX:""&amp;A1472,""price"")"),51.0)</f>
        <v>51</v>
      </c>
      <c r="D1472" s="16" t="str">
        <f>IFERROR(__xludf.DUMMYFUNCTION("IF(A1472="""","""",
SPARKLINE(
INDEX(
GOOGLEFINANCE(""IDX:""&amp;A1472,""close"",TODAY()-365,TODAY()),
,2
),
{""linewidth"",1}
))
"),"#N/A")</f>
        <v>#N/A</v>
      </c>
      <c r="E1472" s="26"/>
      <c r="F1472" s="26"/>
      <c r="G1472" s="24">
        <f t="shared" si="9"/>
        <v>0</v>
      </c>
      <c r="H1472" s="19">
        <f>VLOOKUP(A1472,Metrik!$C$2:$Y$959,8,0)</f>
        <v>0</v>
      </c>
      <c r="I1472" s="20">
        <f>VLOOKUP(A1472,Metrik!$C$2:$Y$959,9,0)</f>
        <v>-0.53</v>
      </c>
      <c r="J1472" s="20">
        <f>VLOOKUP(A1472,Metrik!$C$2:$Y$959,10,0)</f>
        <v>0</v>
      </c>
      <c r="K1472" s="20">
        <f>VLOOKUP(A1472,Metrik!$C$2:$Y$959,11,0)</f>
        <v>-9.8</v>
      </c>
      <c r="L1472" s="20">
        <f>VLOOKUP(A1472,Metrik!$C$2:$Y$959,12,0)</f>
        <v>-6.6</v>
      </c>
      <c r="M1472" s="20">
        <f>VLOOKUP(A1472,Metrik!$C$2:$Y$959,19,0)</f>
        <v>-120</v>
      </c>
      <c r="N1472" s="21"/>
      <c r="O1472" s="21"/>
      <c r="P1472" s="21"/>
      <c r="Q1472" s="21"/>
      <c r="R1472" s="21"/>
      <c r="S1472" s="21"/>
      <c r="T1472" s="21"/>
      <c r="U1472" s="22">
        <f>IFERROR(__xludf.DUMMYFUNCTION("IFERROR(GOOGLEFINANCE(A1472,""closeyest""),"""")"),0.07)</f>
        <v>0.07</v>
      </c>
      <c r="V1472" s="23">
        <f>IFERROR(__xludf.DUMMYFUNCTION("IFERROR(GOOGLEFINANCE(A1472,""changepct""),"""")"),-6.43)</f>
        <v>-6.43</v>
      </c>
      <c r="W1472" s="22">
        <f>IFERROR(__xludf.DUMMYFUNCTION("IFERROR(GOOGLEFINANCE(A1472,""priceopen""),"""")"),0.06)</f>
        <v>0.06</v>
      </c>
      <c r="X1472" s="22">
        <f>IFERROR(__xludf.DUMMYFUNCTION("IFERROR(GOOGLEFINANCE(A1472,""high""),"""")"),0.07)</f>
        <v>0.07</v>
      </c>
      <c r="Y1472" s="22">
        <f>IFERROR(__xludf.DUMMYFUNCTION("IFERROR(GOOGLEFINANCE(A1472,""low""),"""")"),0.06)</f>
        <v>0.06</v>
      </c>
      <c r="Z1472" s="22">
        <f>IFERROR(__xludf.DUMMYFUNCTION("IFERROR(GOOGLEFINANCE(A1472,""volume""),"""")"),22864.0)</f>
        <v>22864</v>
      </c>
      <c r="AA1472" s="24" t="str">
        <f>VLOOKUP(A1472,Metrik!$C$2:$Y$959,5,0)</f>
        <v>Metals &amp; Minerals</v>
      </c>
      <c r="AB1472" s="24" t="str">
        <f>VLOOKUP(A1472,Metrik!$C$2:$Y$959,3,0)</f>
        <v>Basic Materials</v>
      </c>
    </row>
    <row r="1473">
      <c r="A1473" s="14" t="s">
        <v>797</v>
      </c>
      <c r="B1473" s="14" t="str">
        <f t="array" ref="B1473">VLOOKUP(A1473,{Metrik!$C$2:$C$998,Metrik!$B$2:$B$998},2,0)</f>
        <v>Puri Global Sukses Tbk.</v>
      </c>
      <c r="C1473" s="15">
        <f>IFERROR(__xludf.DUMMYFUNCTION("GOOGLEFINANCE(""IDX:""&amp;A1473,""price"")"),126.0)</f>
        <v>126</v>
      </c>
      <c r="D1473" s="16" t="str">
        <f>IFERROR(__xludf.DUMMYFUNCTION("IF(A1473="""","""",
SPARKLINE(
INDEX(
GOOGLEFINANCE(""IDX:""&amp;A1473,""close"",TODAY()-365,TODAY()),
,2
),
{""linewidth"",1}
))
"),"#N/A")</f>
        <v>#N/A</v>
      </c>
      <c r="E1473" s="26"/>
      <c r="F1473" s="26"/>
      <c r="G1473" s="24">
        <f t="shared" si="9"/>
        <v>0</v>
      </c>
      <c r="H1473" s="19">
        <f>VLOOKUP(A1473,Metrik!$C$2:$Y$959,8,0)</f>
        <v>-180</v>
      </c>
      <c r="I1473" s="20">
        <f>VLOOKUP(A1473,Metrik!$C$2:$Y$959,9,0)</f>
        <v>1.2</v>
      </c>
      <c r="J1473" s="20">
        <f>VLOOKUP(A1473,Metrik!$C$2:$Y$959,10,0)</f>
        <v>-0.66</v>
      </c>
      <c r="K1473" s="20">
        <f>VLOOKUP(A1473,Metrik!$C$2:$Y$959,11,0)</f>
        <v>-0.11</v>
      </c>
      <c r="L1473" s="20">
        <f>VLOOKUP(A1473,Metrik!$C$2:$Y$959,12,0)</f>
        <v>4.9</v>
      </c>
      <c r="M1473" s="20">
        <f>VLOOKUP(A1473,Metrik!$C$2:$Y$959,19,0)</f>
        <v>-4.9</v>
      </c>
      <c r="N1473" s="21"/>
      <c r="O1473" s="21"/>
      <c r="P1473" s="21"/>
      <c r="Q1473" s="21"/>
      <c r="R1473" s="21"/>
      <c r="S1473" s="21"/>
      <c r="T1473" s="21"/>
      <c r="U1473" s="22">
        <f>IFERROR(__xludf.DUMMYFUNCTION("IFERROR(GOOGLEFINANCE(A1473,""closeyest""),"""")"),127.0)</f>
        <v>127</v>
      </c>
      <c r="V1473" s="23">
        <f>IFERROR(__xludf.DUMMYFUNCTION("IFERROR(GOOGLEFINANCE(A1473,""changepct""),"""")"),-0.79)</f>
        <v>-0.79</v>
      </c>
      <c r="W1473" s="22">
        <f>IFERROR(__xludf.DUMMYFUNCTION("IFERROR(GOOGLEFINANCE(A1473,""priceopen""),"""")"),127.0)</f>
        <v>127</v>
      </c>
      <c r="X1473" s="22">
        <f>IFERROR(__xludf.DUMMYFUNCTION("IFERROR(GOOGLEFINANCE(A1473,""high""),"""")"),171.0)</f>
        <v>171</v>
      </c>
      <c r="Y1473" s="22">
        <f>IFERROR(__xludf.DUMMYFUNCTION("IFERROR(GOOGLEFINANCE(A1473,""low""),"""")"),124.0)</f>
        <v>124</v>
      </c>
      <c r="Z1473" s="22">
        <f>IFERROR(__xludf.DUMMYFUNCTION("IFERROR(GOOGLEFINANCE(A1473,""volume""),"""")"),9541500.0)</f>
        <v>9541500</v>
      </c>
      <c r="AA1473" s="24" t="str">
        <f>VLOOKUP(A1473,Metrik!$C$2:$Y$959,5,0)</f>
        <v>Real Estate Management &amp; Development</v>
      </c>
      <c r="AB1473" s="24" t="str">
        <f>VLOOKUP(A1473,Metrik!$C$2:$Y$959,3,0)</f>
        <v>Properties &amp; Real Estate</v>
      </c>
    </row>
    <row r="1474">
      <c r="A1474" s="14" t="s">
        <v>798</v>
      </c>
      <c r="B1474" s="14" t="str">
        <f t="array" ref="B1474">VLOOKUP(A1474,{Metrik!$C$2:$C$998,Metrik!$B$2:$B$998},2,0)</f>
        <v>Pakuwon Jati Tbk.</v>
      </c>
      <c r="C1474" s="15">
        <f>IFERROR(__xludf.DUMMYFUNCTION("GOOGLEFINANCE(""IDX:""&amp;A1474,""price"")"),262.0)</f>
        <v>262</v>
      </c>
      <c r="D1474" s="16" t="str">
        <f>IFERROR(__xludf.DUMMYFUNCTION("IF(A1474="""","""",
SPARKLINE(
INDEX(
GOOGLEFINANCE(""IDX:""&amp;A1474,""close"",TODAY()-365,TODAY()),
,2
),
{""linewidth"",1}
))
"),"#N/A")</f>
        <v>#N/A</v>
      </c>
      <c r="E1474" s="14" t="s">
        <v>47</v>
      </c>
      <c r="F1474" s="25">
        <v>46356.0</v>
      </c>
      <c r="G1474" s="24">
        <f t="shared" si="9"/>
        <v>12</v>
      </c>
      <c r="H1474" s="19">
        <f>VLOOKUP(A1474,Metrik!$C$2:$Y$959,8,0)</f>
        <v>5.7</v>
      </c>
      <c r="I1474" s="20">
        <f>VLOOKUP(A1474,Metrik!$C$2:$Y$959,9,0)</f>
        <v>0.52</v>
      </c>
      <c r="J1474" s="20">
        <f>VLOOKUP(A1474,Metrik!$C$2:$Y$959,10,0)</f>
        <v>9</v>
      </c>
      <c r="K1474" s="20">
        <f>VLOOKUP(A1474,Metrik!$C$2:$Y$959,11,0)</f>
        <v>6.6</v>
      </c>
      <c r="L1474" s="20">
        <f>VLOOKUP(A1474,Metrik!$C$2:$Y$959,12,0)</f>
        <v>0.37</v>
      </c>
      <c r="M1474" s="20">
        <f>VLOOKUP(A1474,Metrik!$C$2:$Y$959,19,0)</f>
        <v>150</v>
      </c>
      <c r="N1474" s="21"/>
      <c r="O1474" s="21"/>
      <c r="P1474" s="21"/>
      <c r="Q1474" s="21"/>
      <c r="R1474" s="21"/>
      <c r="S1474" s="21"/>
      <c r="T1474" s="21"/>
      <c r="U1474" s="22">
        <f>IFERROR(__xludf.DUMMYFUNCTION("IFERROR(GOOGLEFINANCE(A1474,""closeyest""),"""")"),256.0)</f>
        <v>256</v>
      </c>
      <c r="V1474" s="23">
        <f>IFERROR(__xludf.DUMMYFUNCTION("IFERROR(GOOGLEFINANCE(A1474,""changepct""),"""")"),2.34)</f>
        <v>2.34</v>
      </c>
      <c r="W1474" s="22">
        <f>IFERROR(__xludf.DUMMYFUNCTION("IFERROR(GOOGLEFINANCE(A1474,""priceopen""),"""")"),260.0)</f>
        <v>260</v>
      </c>
      <c r="X1474" s="22">
        <f>IFERROR(__xludf.DUMMYFUNCTION("IFERROR(GOOGLEFINANCE(A1474,""high""),"""")"),266.0)</f>
        <v>266</v>
      </c>
      <c r="Y1474" s="22">
        <f>IFERROR(__xludf.DUMMYFUNCTION("IFERROR(GOOGLEFINANCE(A1474,""low""),"""")"),258.0)</f>
        <v>258</v>
      </c>
      <c r="Z1474" s="22">
        <f>IFERROR(__xludf.DUMMYFUNCTION("IFERROR(GOOGLEFINANCE(A1474,""volume""),"""")"),4.69874E7)</f>
        <v>46987400</v>
      </c>
      <c r="AA1474" s="24" t="str">
        <f>VLOOKUP(A1474,Metrik!$C$2:$Y$959,5,0)</f>
        <v>Real Estate Management &amp; Development</v>
      </c>
      <c r="AB1474" s="24" t="str">
        <f>VLOOKUP(A1474,Metrik!$C$2:$Y$959,3,0)</f>
        <v>Properties &amp; Real Estate</v>
      </c>
    </row>
    <row r="1475">
      <c r="A1475" s="14" t="s">
        <v>798</v>
      </c>
      <c r="B1475" s="14" t="str">
        <f t="array" ref="B1475">VLOOKUP(A1475,{Metrik!$C$2:$C$998,Metrik!$B$2:$B$998},2,0)</f>
        <v>Pakuwon Jati Tbk.</v>
      </c>
      <c r="C1475" s="15">
        <f>IFERROR(__xludf.DUMMYFUNCTION("GOOGLEFINANCE(""IDX:""&amp;A1475,""price"")"),262.0)</f>
        <v>262</v>
      </c>
      <c r="D1475" s="16" t="str">
        <f>IFERROR(__xludf.DUMMYFUNCTION("IF(A1475="""","""",
SPARKLINE(
INDEX(
GOOGLEFINANCE(""IDX:""&amp;A1475,""close"",TODAY()-365,TODAY()),
,2
),
{""linewidth"",1}
))
"),"#N/A")</f>
        <v>#N/A</v>
      </c>
      <c r="E1475" s="14" t="s">
        <v>55</v>
      </c>
      <c r="F1475" s="25">
        <v>46356.0</v>
      </c>
      <c r="G1475" s="24">
        <f t="shared" si="9"/>
        <v>12</v>
      </c>
      <c r="H1475" s="19">
        <f>VLOOKUP(A1475,Metrik!$C$2:$Y$959,8,0)</f>
        <v>5.7</v>
      </c>
      <c r="I1475" s="20">
        <f>VLOOKUP(A1475,Metrik!$C$2:$Y$959,9,0)</f>
        <v>0.52</v>
      </c>
      <c r="J1475" s="20">
        <f>VLOOKUP(A1475,Metrik!$C$2:$Y$959,10,0)</f>
        <v>9</v>
      </c>
      <c r="K1475" s="20">
        <f>VLOOKUP(A1475,Metrik!$C$2:$Y$959,11,0)</f>
        <v>6.6</v>
      </c>
      <c r="L1475" s="20">
        <f>VLOOKUP(A1475,Metrik!$C$2:$Y$959,12,0)</f>
        <v>0.37</v>
      </c>
      <c r="M1475" s="20">
        <f>VLOOKUP(A1475,Metrik!$C$2:$Y$959,19,0)</f>
        <v>150</v>
      </c>
      <c r="N1475" s="21"/>
      <c r="O1475" s="21"/>
      <c r="P1475" s="21"/>
      <c r="Q1475" s="21"/>
      <c r="R1475" s="21"/>
      <c r="S1475" s="21"/>
      <c r="T1475" s="21"/>
      <c r="U1475" s="22">
        <f>IFERROR(__xludf.DUMMYFUNCTION("IFERROR(GOOGLEFINANCE(A1475,""closeyest""),"""")"),256.0)</f>
        <v>256</v>
      </c>
      <c r="V1475" s="23">
        <f>IFERROR(__xludf.DUMMYFUNCTION("IFERROR(GOOGLEFINANCE(A1475,""changepct""),"""")"),2.34)</f>
        <v>2.34</v>
      </c>
      <c r="W1475" s="22">
        <f>IFERROR(__xludf.DUMMYFUNCTION("IFERROR(GOOGLEFINANCE(A1475,""priceopen""),"""")"),260.0)</f>
        <v>260</v>
      </c>
      <c r="X1475" s="22">
        <f>IFERROR(__xludf.DUMMYFUNCTION("IFERROR(GOOGLEFINANCE(A1475,""high""),"""")"),266.0)</f>
        <v>266</v>
      </c>
      <c r="Y1475" s="22">
        <f>IFERROR(__xludf.DUMMYFUNCTION("IFERROR(GOOGLEFINANCE(A1475,""low""),"""")"),258.0)</f>
        <v>258</v>
      </c>
      <c r="Z1475" s="22">
        <f>IFERROR(__xludf.DUMMYFUNCTION("IFERROR(GOOGLEFINANCE(A1475,""volume""),"""")"),4.69874E7)</f>
        <v>46987400</v>
      </c>
      <c r="AA1475" s="24" t="str">
        <f>VLOOKUP(A1475,Metrik!$C$2:$Y$959,5,0)</f>
        <v>Real Estate Management &amp; Development</v>
      </c>
      <c r="AB1475" s="24" t="str">
        <f>VLOOKUP(A1475,Metrik!$C$2:$Y$959,3,0)</f>
        <v>Properties &amp; Real Estate</v>
      </c>
    </row>
    <row r="1476">
      <c r="A1476" s="14" t="s">
        <v>798</v>
      </c>
      <c r="B1476" s="14" t="str">
        <f t="array" ref="B1476">VLOOKUP(A1476,{Metrik!$C$2:$C$998,Metrik!$B$2:$B$998},2,0)</f>
        <v>Pakuwon Jati Tbk.</v>
      </c>
      <c r="C1476" s="15">
        <f>IFERROR(__xludf.DUMMYFUNCTION("GOOGLEFINANCE(""IDX:""&amp;A1476,""price"")"),262.0)</f>
        <v>262</v>
      </c>
      <c r="D1476" s="16" t="str">
        <f>IFERROR(__xludf.DUMMYFUNCTION("IF(A1476="""","""",
SPARKLINE(
INDEX(
GOOGLEFINANCE(""IDX:""&amp;A1476,""close"",TODAY()-365,TODAY()),
,2
),
{""linewidth"",1}
))
"),"#N/A")</f>
        <v>#N/A</v>
      </c>
      <c r="E1476" s="14" t="s">
        <v>54</v>
      </c>
      <c r="F1476" s="14" t="s">
        <v>34</v>
      </c>
      <c r="G1476" s="24">
        <f t="shared" si="9"/>
        <v>12</v>
      </c>
      <c r="H1476" s="19">
        <f>VLOOKUP(A1476,Metrik!$C$2:$Y$959,8,0)</f>
        <v>5.7</v>
      </c>
      <c r="I1476" s="20">
        <f>VLOOKUP(A1476,Metrik!$C$2:$Y$959,9,0)</f>
        <v>0.52</v>
      </c>
      <c r="J1476" s="20">
        <f>VLOOKUP(A1476,Metrik!$C$2:$Y$959,10,0)</f>
        <v>9</v>
      </c>
      <c r="K1476" s="20">
        <f>VLOOKUP(A1476,Metrik!$C$2:$Y$959,11,0)</f>
        <v>6.6</v>
      </c>
      <c r="L1476" s="20">
        <f>VLOOKUP(A1476,Metrik!$C$2:$Y$959,12,0)</f>
        <v>0.37</v>
      </c>
      <c r="M1476" s="20">
        <f>VLOOKUP(A1476,Metrik!$C$2:$Y$959,19,0)</f>
        <v>150</v>
      </c>
      <c r="N1476" s="21"/>
      <c r="O1476" s="21"/>
      <c r="P1476" s="21"/>
      <c r="Q1476" s="21"/>
      <c r="R1476" s="21"/>
      <c r="S1476" s="21"/>
      <c r="T1476" s="21"/>
      <c r="U1476" s="22">
        <f>IFERROR(__xludf.DUMMYFUNCTION("IFERROR(GOOGLEFINANCE(A1476,""closeyest""),"""")"),256.0)</f>
        <v>256</v>
      </c>
      <c r="V1476" s="23">
        <f>IFERROR(__xludf.DUMMYFUNCTION("IFERROR(GOOGLEFINANCE(A1476,""changepct""),"""")"),2.34)</f>
        <v>2.34</v>
      </c>
      <c r="W1476" s="22">
        <f>IFERROR(__xludf.DUMMYFUNCTION("IFERROR(GOOGLEFINANCE(A1476,""priceopen""),"""")"),260.0)</f>
        <v>260</v>
      </c>
      <c r="X1476" s="22">
        <f>IFERROR(__xludf.DUMMYFUNCTION("IFERROR(GOOGLEFINANCE(A1476,""high""),"""")"),266.0)</f>
        <v>266</v>
      </c>
      <c r="Y1476" s="22">
        <f>IFERROR(__xludf.DUMMYFUNCTION("IFERROR(GOOGLEFINANCE(A1476,""low""),"""")"),258.0)</f>
        <v>258</v>
      </c>
      <c r="Z1476" s="22">
        <f>IFERROR(__xludf.DUMMYFUNCTION("IFERROR(GOOGLEFINANCE(A1476,""volume""),"""")"),4.69874E7)</f>
        <v>46987400</v>
      </c>
      <c r="AA1476" s="24" t="str">
        <f>VLOOKUP(A1476,Metrik!$C$2:$Y$959,5,0)</f>
        <v>Real Estate Management &amp; Development</v>
      </c>
      <c r="AB1476" s="24" t="str">
        <f>VLOOKUP(A1476,Metrik!$C$2:$Y$959,3,0)</f>
        <v>Properties &amp; Real Estate</v>
      </c>
    </row>
    <row r="1477">
      <c r="A1477" s="14" t="s">
        <v>798</v>
      </c>
      <c r="B1477" s="14" t="str">
        <f t="array" ref="B1477">VLOOKUP(A1477,{Metrik!$C$2:$C$998,Metrik!$B$2:$B$998},2,0)</f>
        <v>Pakuwon Jati Tbk.</v>
      </c>
      <c r="C1477" s="15">
        <f>IFERROR(__xludf.DUMMYFUNCTION("GOOGLEFINANCE(""IDX:""&amp;A1477,""price"")"),262.0)</f>
        <v>262</v>
      </c>
      <c r="D1477" s="16" t="str">
        <f>IFERROR(__xludf.DUMMYFUNCTION("IF(A1477="""","""",
SPARKLINE(
INDEX(
GOOGLEFINANCE(""IDX:""&amp;A1477,""close"",TODAY()-365,TODAY()),
,2
),
{""linewidth"",1}
))
"),"#N/A")</f>
        <v>#N/A</v>
      </c>
      <c r="E1477" s="14" t="s">
        <v>32</v>
      </c>
      <c r="F1477" s="14" t="s">
        <v>29</v>
      </c>
      <c r="G1477" s="24">
        <f t="shared" si="9"/>
        <v>12</v>
      </c>
      <c r="H1477" s="19">
        <f>VLOOKUP(A1477,Metrik!$C$2:$Y$959,8,0)</f>
        <v>5.7</v>
      </c>
      <c r="I1477" s="20">
        <f>VLOOKUP(A1477,Metrik!$C$2:$Y$959,9,0)</f>
        <v>0.52</v>
      </c>
      <c r="J1477" s="20">
        <f>VLOOKUP(A1477,Metrik!$C$2:$Y$959,10,0)</f>
        <v>9</v>
      </c>
      <c r="K1477" s="20">
        <f>VLOOKUP(A1477,Metrik!$C$2:$Y$959,11,0)</f>
        <v>6.6</v>
      </c>
      <c r="L1477" s="20">
        <f>VLOOKUP(A1477,Metrik!$C$2:$Y$959,12,0)</f>
        <v>0.37</v>
      </c>
      <c r="M1477" s="20">
        <f>VLOOKUP(A1477,Metrik!$C$2:$Y$959,19,0)</f>
        <v>150</v>
      </c>
      <c r="N1477" s="21"/>
      <c r="O1477" s="21"/>
      <c r="P1477" s="21"/>
      <c r="Q1477" s="21"/>
      <c r="R1477" s="21"/>
      <c r="S1477" s="21"/>
      <c r="T1477" s="21"/>
      <c r="U1477" s="22">
        <f>IFERROR(__xludf.DUMMYFUNCTION("IFERROR(GOOGLEFINANCE(A1477,""closeyest""),"""")"),256.0)</f>
        <v>256</v>
      </c>
      <c r="V1477" s="23">
        <f>IFERROR(__xludf.DUMMYFUNCTION("IFERROR(GOOGLEFINANCE(A1477,""changepct""),"""")"),2.34)</f>
        <v>2.34</v>
      </c>
      <c r="W1477" s="22">
        <f>IFERROR(__xludf.DUMMYFUNCTION("IFERROR(GOOGLEFINANCE(A1477,""priceopen""),"""")"),260.0)</f>
        <v>260</v>
      </c>
      <c r="X1477" s="22">
        <f>IFERROR(__xludf.DUMMYFUNCTION("IFERROR(GOOGLEFINANCE(A1477,""high""),"""")"),266.0)</f>
        <v>266</v>
      </c>
      <c r="Y1477" s="22">
        <f>IFERROR(__xludf.DUMMYFUNCTION("IFERROR(GOOGLEFINANCE(A1477,""low""),"""")"),258.0)</f>
        <v>258</v>
      </c>
      <c r="Z1477" s="22">
        <f>IFERROR(__xludf.DUMMYFUNCTION("IFERROR(GOOGLEFINANCE(A1477,""volume""),"""")"),4.69874E7)</f>
        <v>46987400</v>
      </c>
      <c r="AA1477" s="24" t="str">
        <f>VLOOKUP(A1477,Metrik!$C$2:$Y$959,5,0)</f>
        <v>Real Estate Management &amp; Development</v>
      </c>
      <c r="AB1477" s="24" t="str">
        <f>VLOOKUP(A1477,Metrik!$C$2:$Y$959,3,0)</f>
        <v>Properties &amp; Real Estate</v>
      </c>
    </row>
    <row r="1478">
      <c r="A1478" s="14" t="s">
        <v>798</v>
      </c>
      <c r="B1478" s="14" t="str">
        <f t="array" ref="B1478">VLOOKUP(A1478,{Metrik!$C$2:$C$998,Metrik!$B$2:$B$998},2,0)</f>
        <v>Pakuwon Jati Tbk.</v>
      </c>
      <c r="C1478" s="15">
        <f>IFERROR(__xludf.DUMMYFUNCTION("GOOGLEFINANCE(""IDX:""&amp;A1478,""price"")"),262.0)</f>
        <v>262</v>
      </c>
      <c r="D1478" s="16" t="str">
        <f>IFERROR(__xludf.DUMMYFUNCTION("IF(A1478="""","""",
SPARKLINE(
INDEX(
GOOGLEFINANCE(""IDX:""&amp;A1478,""close"",TODAY()-365,TODAY()),
,2
),
{""linewidth"",1}
))
"),"#N/A")</f>
        <v>#N/A</v>
      </c>
      <c r="E1478" s="14" t="s">
        <v>52</v>
      </c>
      <c r="F1478" s="27" t="s">
        <v>53</v>
      </c>
      <c r="G1478" s="24">
        <f t="shared" si="9"/>
        <v>12</v>
      </c>
      <c r="H1478" s="19">
        <f>VLOOKUP(A1478,Metrik!$C$2:$Y$959,8,0)</f>
        <v>5.7</v>
      </c>
      <c r="I1478" s="20">
        <f>VLOOKUP(A1478,Metrik!$C$2:$Y$959,9,0)</f>
        <v>0.52</v>
      </c>
      <c r="J1478" s="20">
        <f>VLOOKUP(A1478,Metrik!$C$2:$Y$959,10,0)</f>
        <v>9</v>
      </c>
      <c r="K1478" s="20">
        <f>VLOOKUP(A1478,Metrik!$C$2:$Y$959,11,0)</f>
        <v>6.6</v>
      </c>
      <c r="L1478" s="20">
        <f>VLOOKUP(A1478,Metrik!$C$2:$Y$959,12,0)</f>
        <v>0.37</v>
      </c>
      <c r="M1478" s="20">
        <f>VLOOKUP(A1478,Metrik!$C$2:$Y$959,19,0)</f>
        <v>150</v>
      </c>
      <c r="N1478" s="21"/>
      <c r="O1478" s="21"/>
      <c r="P1478" s="21"/>
      <c r="Q1478" s="21"/>
      <c r="R1478" s="21"/>
      <c r="S1478" s="21"/>
      <c r="T1478" s="21"/>
      <c r="U1478" s="22">
        <f>IFERROR(__xludf.DUMMYFUNCTION("IFERROR(GOOGLEFINANCE(A1478,""closeyest""),"""")"),256.0)</f>
        <v>256</v>
      </c>
      <c r="V1478" s="23">
        <f>IFERROR(__xludf.DUMMYFUNCTION("IFERROR(GOOGLEFINANCE(A1478,""changepct""),"""")"),2.34)</f>
        <v>2.34</v>
      </c>
      <c r="W1478" s="22">
        <f>IFERROR(__xludf.DUMMYFUNCTION("IFERROR(GOOGLEFINANCE(A1478,""priceopen""),"""")"),260.0)</f>
        <v>260</v>
      </c>
      <c r="X1478" s="22">
        <f>IFERROR(__xludf.DUMMYFUNCTION("IFERROR(GOOGLEFINANCE(A1478,""high""),"""")"),266.0)</f>
        <v>266</v>
      </c>
      <c r="Y1478" s="22">
        <f>IFERROR(__xludf.DUMMYFUNCTION("IFERROR(GOOGLEFINANCE(A1478,""low""),"""")"),258.0)</f>
        <v>258</v>
      </c>
      <c r="Z1478" s="22">
        <f>IFERROR(__xludf.DUMMYFUNCTION("IFERROR(GOOGLEFINANCE(A1478,""volume""),"""")"),4.69874E7)</f>
        <v>46987400</v>
      </c>
      <c r="AA1478" s="24" t="str">
        <f>VLOOKUP(A1478,Metrik!$C$2:$Y$959,5,0)</f>
        <v>Real Estate Management &amp; Development</v>
      </c>
      <c r="AB1478" s="24" t="str">
        <f>VLOOKUP(A1478,Metrik!$C$2:$Y$959,3,0)</f>
        <v>Properties &amp; Real Estate</v>
      </c>
    </row>
    <row r="1479">
      <c r="A1479" s="14" t="s">
        <v>798</v>
      </c>
      <c r="B1479" s="14" t="str">
        <f t="array" ref="B1479">VLOOKUP(A1479,{Metrik!$C$2:$C$998,Metrik!$B$2:$B$998},2,0)</f>
        <v>Pakuwon Jati Tbk.</v>
      </c>
      <c r="C1479" s="15">
        <f>IFERROR(__xludf.DUMMYFUNCTION("GOOGLEFINANCE(""IDX:""&amp;A1479,""price"")"),262.0)</f>
        <v>262</v>
      </c>
      <c r="D1479" s="16" t="str">
        <f>IFERROR(__xludf.DUMMYFUNCTION("IF(A1479="""","""",
SPARKLINE(
INDEX(
GOOGLEFINANCE(""IDX:""&amp;A1479,""close"",TODAY()-365,TODAY()),
,2
),
{""linewidth"",1}
))
"),"#N/A")</f>
        <v>#N/A</v>
      </c>
      <c r="E1479" s="14" t="s">
        <v>28</v>
      </c>
      <c r="F1479" s="17" t="s">
        <v>29</v>
      </c>
      <c r="G1479" s="24">
        <f t="shared" si="9"/>
        <v>12</v>
      </c>
      <c r="H1479" s="19">
        <f>VLOOKUP(A1479,Metrik!$C$2:$Y$959,8,0)</f>
        <v>5.7</v>
      </c>
      <c r="I1479" s="20">
        <f>VLOOKUP(A1479,Metrik!$C$2:$Y$959,9,0)</f>
        <v>0.52</v>
      </c>
      <c r="J1479" s="20">
        <f>VLOOKUP(A1479,Metrik!$C$2:$Y$959,10,0)</f>
        <v>9</v>
      </c>
      <c r="K1479" s="20">
        <f>VLOOKUP(A1479,Metrik!$C$2:$Y$959,11,0)</f>
        <v>6.6</v>
      </c>
      <c r="L1479" s="20">
        <f>VLOOKUP(A1479,Metrik!$C$2:$Y$959,12,0)</f>
        <v>0.37</v>
      </c>
      <c r="M1479" s="20">
        <f>VLOOKUP(A1479,Metrik!$C$2:$Y$959,19,0)</f>
        <v>150</v>
      </c>
      <c r="N1479" s="21"/>
      <c r="O1479" s="21"/>
      <c r="P1479" s="21"/>
      <c r="Q1479" s="21"/>
      <c r="R1479" s="21"/>
      <c r="S1479" s="21"/>
      <c r="T1479" s="21"/>
      <c r="U1479" s="22">
        <f>IFERROR(__xludf.DUMMYFUNCTION("IFERROR(GOOGLEFINANCE(A1479,""closeyest""),"""")"),256.0)</f>
        <v>256</v>
      </c>
      <c r="V1479" s="23">
        <f>IFERROR(__xludf.DUMMYFUNCTION("IFERROR(GOOGLEFINANCE(A1479,""changepct""),"""")"),2.34)</f>
        <v>2.34</v>
      </c>
      <c r="W1479" s="22">
        <f>IFERROR(__xludf.DUMMYFUNCTION("IFERROR(GOOGLEFINANCE(A1479,""priceopen""),"""")"),260.0)</f>
        <v>260</v>
      </c>
      <c r="X1479" s="22">
        <f>IFERROR(__xludf.DUMMYFUNCTION("IFERROR(GOOGLEFINANCE(A1479,""high""),"""")"),266.0)</f>
        <v>266</v>
      </c>
      <c r="Y1479" s="22">
        <f>IFERROR(__xludf.DUMMYFUNCTION("IFERROR(GOOGLEFINANCE(A1479,""low""),"""")"),258.0)</f>
        <v>258</v>
      </c>
      <c r="Z1479" s="22">
        <f>IFERROR(__xludf.DUMMYFUNCTION("IFERROR(GOOGLEFINANCE(A1479,""volume""),"""")"),4.69874E7)</f>
        <v>46987400</v>
      </c>
      <c r="AA1479" s="24" t="str">
        <f>VLOOKUP(A1479,Metrik!$C$2:$Y$959,5,0)</f>
        <v>Real Estate Management &amp; Development</v>
      </c>
      <c r="AB1479" s="24" t="str">
        <f>VLOOKUP(A1479,Metrik!$C$2:$Y$959,3,0)</f>
        <v>Properties &amp; Real Estate</v>
      </c>
    </row>
    <row r="1480">
      <c r="A1480" s="14" t="s">
        <v>798</v>
      </c>
      <c r="B1480" s="14" t="str">
        <f t="array" ref="B1480">VLOOKUP(A1480,{Metrik!$C$2:$C$998,Metrik!$B$2:$B$998},2,0)</f>
        <v>Pakuwon Jati Tbk.</v>
      </c>
      <c r="C1480" s="15">
        <f>IFERROR(__xludf.DUMMYFUNCTION("GOOGLEFINANCE(""IDX:""&amp;A1480,""price"")"),262.0)</f>
        <v>262</v>
      </c>
      <c r="D1480" s="16" t="str">
        <f>IFERROR(__xludf.DUMMYFUNCTION("IF(A1480="""","""",
SPARKLINE(
INDEX(
GOOGLEFINANCE(""IDX:""&amp;A1480,""close"",TODAY()-365,TODAY()),
,2
),
{""linewidth"",1}
))
"),"#N/A")</f>
        <v>#N/A</v>
      </c>
      <c r="E1480" s="14" t="s">
        <v>84</v>
      </c>
      <c r="F1480" s="17" t="s">
        <v>51</v>
      </c>
      <c r="G1480" s="24">
        <f t="shared" si="9"/>
        <v>12</v>
      </c>
      <c r="H1480" s="19">
        <f>VLOOKUP(A1480,Metrik!$C$2:$Y$959,8,0)</f>
        <v>5.7</v>
      </c>
      <c r="I1480" s="20">
        <f>VLOOKUP(A1480,Metrik!$C$2:$Y$959,9,0)</f>
        <v>0.52</v>
      </c>
      <c r="J1480" s="20">
        <f>VLOOKUP(A1480,Metrik!$C$2:$Y$959,10,0)</f>
        <v>9</v>
      </c>
      <c r="K1480" s="20">
        <f>VLOOKUP(A1480,Metrik!$C$2:$Y$959,11,0)</f>
        <v>6.6</v>
      </c>
      <c r="L1480" s="20">
        <f>VLOOKUP(A1480,Metrik!$C$2:$Y$959,12,0)</f>
        <v>0.37</v>
      </c>
      <c r="M1480" s="20">
        <f>VLOOKUP(A1480,Metrik!$C$2:$Y$959,19,0)</f>
        <v>150</v>
      </c>
      <c r="N1480" s="21"/>
      <c r="O1480" s="21"/>
      <c r="P1480" s="21"/>
      <c r="Q1480" s="21"/>
      <c r="R1480" s="21"/>
      <c r="S1480" s="21"/>
      <c r="T1480" s="21"/>
      <c r="U1480" s="22">
        <f>IFERROR(__xludf.DUMMYFUNCTION("IFERROR(GOOGLEFINANCE(A1480,""closeyest""),"""")"),256.0)</f>
        <v>256</v>
      </c>
      <c r="V1480" s="23">
        <f>IFERROR(__xludf.DUMMYFUNCTION("IFERROR(GOOGLEFINANCE(A1480,""changepct""),"""")"),2.34)</f>
        <v>2.34</v>
      </c>
      <c r="W1480" s="22">
        <f>IFERROR(__xludf.DUMMYFUNCTION("IFERROR(GOOGLEFINANCE(A1480,""priceopen""),"""")"),260.0)</f>
        <v>260</v>
      </c>
      <c r="X1480" s="22">
        <f>IFERROR(__xludf.DUMMYFUNCTION("IFERROR(GOOGLEFINANCE(A1480,""high""),"""")"),266.0)</f>
        <v>266</v>
      </c>
      <c r="Y1480" s="22">
        <f>IFERROR(__xludf.DUMMYFUNCTION("IFERROR(GOOGLEFINANCE(A1480,""low""),"""")"),258.0)</f>
        <v>258</v>
      </c>
      <c r="Z1480" s="22">
        <f>IFERROR(__xludf.DUMMYFUNCTION("IFERROR(GOOGLEFINANCE(A1480,""volume""),"""")"),4.69874E7)</f>
        <v>46987400</v>
      </c>
      <c r="AA1480" s="24" t="str">
        <f>VLOOKUP(A1480,Metrik!$C$2:$Y$959,5,0)</f>
        <v>Real Estate Management &amp; Development</v>
      </c>
      <c r="AB1480" s="24" t="str">
        <f>VLOOKUP(A1480,Metrik!$C$2:$Y$959,3,0)</f>
        <v>Properties &amp; Real Estate</v>
      </c>
    </row>
    <row r="1481">
      <c r="A1481" s="14" t="s">
        <v>798</v>
      </c>
      <c r="B1481" s="14" t="str">
        <f t="array" ref="B1481">VLOOKUP(A1481,{Metrik!$C$2:$C$998,Metrik!$B$2:$B$998},2,0)</f>
        <v>Pakuwon Jati Tbk.</v>
      </c>
      <c r="C1481" s="15">
        <f>IFERROR(__xludf.DUMMYFUNCTION("GOOGLEFINANCE(""IDX:""&amp;A1481,""price"")"),262.0)</f>
        <v>262</v>
      </c>
      <c r="D1481" s="16" t="str">
        <f>IFERROR(__xludf.DUMMYFUNCTION("IF(A1481="""","""",
SPARKLINE(
INDEX(
GOOGLEFINANCE(""IDX:""&amp;A1481,""close"",TODAY()-365,TODAY()),
,2
),
{""linewidth"",1}
))
"),"#N/A")</f>
        <v>#N/A</v>
      </c>
      <c r="E1481" s="14" t="s">
        <v>50</v>
      </c>
      <c r="F1481" s="17" t="s">
        <v>51</v>
      </c>
      <c r="G1481" s="24">
        <f t="shared" si="9"/>
        <v>12</v>
      </c>
      <c r="H1481" s="19">
        <f>VLOOKUP(A1481,Metrik!$C$2:$Y$959,8,0)</f>
        <v>5.7</v>
      </c>
      <c r="I1481" s="20">
        <f>VLOOKUP(A1481,Metrik!$C$2:$Y$959,9,0)</f>
        <v>0.52</v>
      </c>
      <c r="J1481" s="20">
        <f>VLOOKUP(A1481,Metrik!$C$2:$Y$959,10,0)</f>
        <v>9</v>
      </c>
      <c r="K1481" s="20">
        <f>VLOOKUP(A1481,Metrik!$C$2:$Y$959,11,0)</f>
        <v>6.6</v>
      </c>
      <c r="L1481" s="20">
        <f>VLOOKUP(A1481,Metrik!$C$2:$Y$959,12,0)</f>
        <v>0.37</v>
      </c>
      <c r="M1481" s="20">
        <f>VLOOKUP(A1481,Metrik!$C$2:$Y$959,19,0)</f>
        <v>150</v>
      </c>
      <c r="N1481" s="21"/>
      <c r="O1481" s="21"/>
      <c r="P1481" s="21"/>
      <c r="Q1481" s="21"/>
      <c r="R1481" s="21"/>
      <c r="S1481" s="21"/>
      <c r="T1481" s="21"/>
      <c r="U1481" s="22">
        <f>IFERROR(__xludf.DUMMYFUNCTION("IFERROR(GOOGLEFINANCE(A1481,""closeyest""),"""")"),256.0)</f>
        <v>256</v>
      </c>
      <c r="V1481" s="23">
        <f>IFERROR(__xludf.DUMMYFUNCTION("IFERROR(GOOGLEFINANCE(A1481,""changepct""),"""")"),2.34)</f>
        <v>2.34</v>
      </c>
      <c r="W1481" s="22">
        <f>IFERROR(__xludf.DUMMYFUNCTION("IFERROR(GOOGLEFINANCE(A1481,""priceopen""),"""")"),260.0)</f>
        <v>260</v>
      </c>
      <c r="X1481" s="22">
        <f>IFERROR(__xludf.DUMMYFUNCTION("IFERROR(GOOGLEFINANCE(A1481,""high""),"""")"),266.0)</f>
        <v>266</v>
      </c>
      <c r="Y1481" s="22">
        <f>IFERROR(__xludf.DUMMYFUNCTION("IFERROR(GOOGLEFINANCE(A1481,""low""),"""")"),258.0)</f>
        <v>258</v>
      </c>
      <c r="Z1481" s="22">
        <f>IFERROR(__xludf.DUMMYFUNCTION("IFERROR(GOOGLEFINANCE(A1481,""volume""),"""")"),4.69874E7)</f>
        <v>46987400</v>
      </c>
      <c r="AA1481" s="24" t="str">
        <f>VLOOKUP(A1481,Metrik!$C$2:$Y$959,5,0)</f>
        <v>Real Estate Management &amp; Development</v>
      </c>
      <c r="AB1481" s="24" t="str">
        <f>VLOOKUP(A1481,Metrik!$C$2:$Y$959,3,0)</f>
        <v>Properties &amp; Real Estate</v>
      </c>
    </row>
    <row r="1482">
      <c r="A1482" s="14" t="s">
        <v>798</v>
      </c>
      <c r="B1482" s="14" t="str">
        <f t="array" ref="B1482">VLOOKUP(A1482,{Metrik!$C$2:$C$998,Metrik!$B$2:$B$998},2,0)</f>
        <v>Pakuwon Jati Tbk.</v>
      </c>
      <c r="C1482" s="15">
        <f>IFERROR(__xludf.DUMMYFUNCTION("GOOGLEFINANCE(""IDX:""&amp;A1482,""price"")"),262.0)</f>
        <v>262</v>
      </c>
      <c r="D1482" s="16" t="str">
        <f>IFERROR(__xludf.DUMMYFUNCTION("IF(A1482="""","""",
SPARKLINE(
INDEX(
GOOGLEFINANCE(""IDX:""&amp;A1482,""close"",TODAY()-365,TODAY()),
,2
),
{""linewidth"",1}
))
"),"#N/A")</f>
        <v>#N/A</v>
      </c>
      <c r="E1482" s="14" t="s">
        <v>33</v>
      </c>
      <c r="F1482" s="14" t="s">
        <v>34</v>
      </c>
      <c r="G1482" s="24">
        <f t="shared" si="9"/>
        <v>12</v>
      </c>
      <c r="H1482" s="19">
        <f>VLOOKUP(A1482,Metrik!$C$2:$Y$959,8,0)</f>
        <v>5.7</v>
      </c>
      <c r="I1482" s="20">
        <f>VLOOKUP(A1482,Metrik!$C$2:$Y$959,9,0)</f>
        <v>0.52</v>
      </c>
      <c r="J1482" s="20">
        <f>VLOOKUP(A1482,Metrik!$C$2:$Y$959,10,0)</f>
        <v>9</v>
      </c>
      <c r="K1482" s="20">
        <f>VLOOKUP(A1482,Metrik!$C$2:$Y$959,11,0)</f>
        <v>6.6</v>
      </c>
      <c r="L1482" s="20">
        <f>VLOOKUP(A1482,Metrik!$C$2:$Y$959,12,0)</f>
        <v>0.37</v>
      </c>
      <c r="M1482" s="20">
        <f>VLOOKUP(A1482,Metrik!$C$2:$Y$959,19,0)</f>
        <v>150</v>
      </c>
      <c r="N1482" s="21"/>
      <c r="O1482" s="21"/>
      <c r="P1482" s="21"/>
      <c r="Q1482" s="21"/>
      <c r="R1482" s="21"/>
      <c r="S1482" s="21"/>
      <c r="T1482" s="21"/>
      <c r="U1482" s="22">
        <f>IFERROR(__xludf.DUMMYFUNCTION("IFERROR(GOOGLEFINANCE(A1482,""closeyest""),"""")"),256.0)</f>
        <v>256</v>
      </c>
      <c r="V1482" s="23">
        <f>IFERROR(__xludf.DUMMYFUNCTION("IFERROR(GOOGLEFINANCE(A1482,""changepct""),"""")"),2.34)</f>
        <v>2.34</v>
      </c>
      <c r="W1482" s="22">
        <f>IFERROR(__xludf.DUMMYFUNCTION("IFERROR(GOOGLEFINANCE(A1482,""priceopen""),"""")"),260.0)</f>
        <v>260</v>
      </c>
      <c r="X1482" s="22">
        <f>IFERROR(__xludf.DUMMYFUNCTION("IFERROR(GOOGLEFINANCE(A1482,""high""),"""")"),266.0)</f>
        <v>266</v>
      </c>
      <c r="Y1482" s="22">
        <f>IFERROR(__xludf.DUMMYFUNCTION("IFERROR(GOOGLEFINANCE(A1482,""low""),"""")"),258.0)</f>
        <v>258</v>
      </c>
      <c r="Z1482" s="22">
        <f>IFERROR(__xludf.DUMMYFUNCTION("IFERROR(GOOGLEFINANCE(A1482,""volume""),"""")"),4.69874E7)</f>
        <v>46987400</v>
      </c>
      <c r="AA1482" s="24" t="str">
        <f>VLOOKUP(A1482,Metrik!$C$2:$Y$959,5,0)</f>
        <v>Real Estate Management &amp; Development</v>
      </c>
      <c r="AB1482" s="24" t="str">
        <f>VLOOKUP(A1482,Metrik!$C$2:$Y$959,3,0)</f>
        <v>Properties &amp; Real Estate</v>
      </c>
    </row>
    <row r="1483">
      <c r="A1483" s="14" t="s">
        <v>798</v>
      </c>
      <c r="B1483" s="14" t="str">
        <f t="array" ref="B1483">VLOOKUP(A1483,{Metrik!$C$2:$C$998,Metrik!$B$2:$B$998},2,0)</f>
        <v>Pakuwon Jati Tbk.</v>
      </c>
      <c r="C1483" s="15">
        <f>IFERROR(__xludf.DUMMYFUNCTION("GOOGLEFINANCE(""IDX:""&amp;A1483,""price"")"),262.0)</f>
        <v>262</v>
      </c>
      <c r="D1483" s="16" t="str">
        <f>IFERROR(__xludf.DUMMYFUNCTION("IF(A1483="""","""",
SPARKLINE(
INDEX(
GOOGLEFINANCE(""IDX:""&amp;A1483,""close"",TODAY()-365,TODAY()),
,2
),
{""linewidth"",1}
))
"),"#N/A")</f>
        <v>#N/A</v>
      </c>
      <c r="E1483" s="14" t="s">
        <v>41</v>
      </c>
      <c r="F1483" s="14" t="s">
        <v>34</v>
      </c>
      <c r="G1483" s="24">
        <f t="shared" si="9"/>
        <v>12</v>
      </c>
      <c r="H1483" s="19">
        <f>VLOOKUP(A1483,Metrik!$C$2:$Y$959,8,0)</f>
        <v>5.7</v>
      </c>
      <c r="I1483" s="20">
        <f>VLOOKUP(A1483,Metrik!$C$2:$Y$959,9,0)</f>
        <v>0.52</v>
      </c>
      <c r="J1483" s="20">
        <f>VLOOKUP(A1483,Metrik!$C$2:$Y$959,10,0)</f>
        <v>9</v>
      </c>
      <c r="K1483" s="20">
        <f>VLOOKUP(A1483,Metrik!$C$2:$Y$959,11,0)</f>
        <v>6.6</v>
      </c>
      <c r="L1483" s="20">
        <f>VLOOKUP(A1483,Metrik!$C$2:$Y$959,12,0)</f>
        <v>0.37</v>
      </c>
      <c r="M1483" s="20">
        <f>VLOOKUP(A1483,Metrik!$C$2:$Y$959,19,0)</f>
        <v>150</v>
      </c>
      <c r="N1483" s="21"/>
      <c r="O1483" s="21"/>
      <c r="P1483" s="21"/>
      <c r="Q1483" s="21"/>
      <c r="R1483" s="21"/>
      <c r="S1483" s="21"/>
      <c r="T1483" s="21"/>
      <c r="U1483" s="22">
        <f>IFERROR(__xludf.DUMMYFUNCTION("IFERROR(GOOGLEFINANCE(A1483,""closeyest""),"""")"),256.0)</f>
        <v>256</v>
      </c>
      <c r="V1483" s="23">
        <f>IFERROR(__xludf.DUMMYFUNCTION("IFERROR(GOOGLEFINANCE(A1483,""changepct""),"""")"),2.34)</f>
        <v>2.34</v>
      </c>
      <c r="W1483" s="22">
        <f>IFERROR(__xludf.DUMMYFUNCTION("IFERROR(GOOGLEFINANCE(A1483,""priceopen""),"""")"),260.0)</f>
        <v>260</v>
      </c>
      <c r="X1483" s="22">
        <f>IFERROR(__xludf.DUMMYFUNCTION("IFERROR(GOOGLEFINANCE(A1483,""high""),"""")"),266.0)</f>
        <v>266</v>
      </c>
      <c r="Y1483" s="22">
        <f>IFERROR(__xludf.DUMMYFUNCTION("IFERROR(GOOGLEFINANCE(A1483,""low""),"""")"),258.0)</f>
        <v>258</v>
      </c>
      <c r="Z1483" s="22">
        <f>IFERROR(__xludf.DUMMYFUNCTION("IFERROR(GOOGLEFINANCE(A1483,""volume""),"""")"),4.69874E7)</f>
        <v>46987400</v>
      </c>
      <c r="AA1483" s="24" t="str">
        <f>VLOOKUP(A1483,Metrik!$C$2:$Y$959,5,0)</f>
        <v>Real Estate Management &amp; Development</v>
      </c>
      <c r="AB1483" s="24" t="str">
        <f>VLOOKUP(A1483,Metrik!$C$2:$Y$959,3,0)</f>
        <v>Properties &amp; Real Estate</v>
      </c>
    </row>
    <row r="1484">
      <c r="A1484" s="17" t="s">
        <v>798</v>
      </c>
      <c r="B1484" s="14" t="str">
        <f t="array" ref="B1484">VLOOKUP(A1484,{Metrik!$C$2:$C$998,Metrik!$B$2:$B$998},2,0)</f>
        <v>Pakuwon Jati Tbk.</v>
      </c>
      <c r="C1484" s="15">
        <f>IFERROR(__xludf.DUMMYFUNCTION("GOOGLEFINANCE(""IDX:""&amp;A1484,""price"")"),262.0)</f>
        <v>262</v>
      </c>
      <c r="D1484" s="16" t="str">
        <f>IFERROR(__xludf.DUMMYFUNCTION("IF(A1484="""","""",
SPARKLINE(
INDEX(
GOOGLEFINANCE(""IDX:""&amp;A1484,""close"",TODAY()-365,TODAY()),
,2
),
{""linewidth"",1}
))
"),"#N/A")</f>
        <v>#N/A</v>
      </c>
      <c r="E1484" s="14" t="s">
        <v>35</v>
      </c>
      <c r="F1484" s="17" t="s">
        <v>36</v>
      </c>
      <c r="G1484" s="38">
        <f t="shared" si="9"/>
        <v>12</v>
      </c>
      <c r="H1484" s="34">
        <f>VLOOKUP(A1484,Metrik!$C$2:$Y$959,8,0)</f>
        <v>5.7</v>
      </c>
      <c r="I1484" s="34">
        <f>VLOOKUP(A1484,Metrik!$C$2:$Y$959,9,0)</f>
        <v>0.52</v>
      </c>
      <c r="J1484" s="34">
        <f>VLOOKUP(A1484,Metrik!$C$2:$Y$959,10,0)</f>
        <v>9</v>
      </c>
      <c r="K1484" s="34">
        <f>VLOOKUP(A1484,Metrik!$C$2:$Y$959,11,0)</f>
        <v>6.6</v>
      </c>
      <c r="L1484" s="34">
        <f>VLOOKUP(A1484,Metrik!$C$2:$Y$959,12,0)</f>
        <v>0.37</v>
      </c>
      <c r="M1484" s="34">
        <f>VLOOKUP(A1484,Metrik!$C$2:$Y$959,19,0)</f>
        <v>150</v>
      </c>
      <c r="N1484" s="26"/>
      <c r="O1484" s="26"/>
      <c r="P1484" s="26"/>
      <c r="Q1484" s="26"/>
      <c r="R1484" s="26"/>
      <c r="S1484" s="26"/>
      <c r="T1484" s="26"/>
      <c r="U1484" s="35">
        <f>IFERROR(__xludf.DUMMYFUNCTION("IFERROR(GOOGLEFINANCE(A1484,""closeyest""),"""")"),256.0)</f>
        <v>256</v>
      </c>
      <c r="V1484" s="36">
        <f>IFERROR(__xludf.DUMMYFUNCTION("IFERROR(GOOGLEFINANCE(A1484,""changepct""),"""")"),2.34)</f>
        <v>2.34</v>
      </c>
      <c r="W1484" s="35">
        <f>IFERROR(__xludf.DUMMYFUNCTION("IFERROR(GOOGLEFINANCE(A1484,""priceopen""),"""")"),260.0)</f>
        <v>260</v>
      </c>
      <c r="X1484" s="35">
        <f>IFERROR(__xludf.DUMMYFUNCTION("IFERROR(GOOGLEFINANCE(A1484,""high""),"""")"),266.0)</f>
        <v>266</v>
      </c>
      <c r="Y1484" s="35">
        <f>IFERROR(__xludf.DUMMYFUNCTION("IFERROR(GOOGLEFINANCE(A1484,""low""),"""")"),258.0)</f>
        <v>258</v>
      </c>
      <c r="Z1484" s="35">
        <f>IFERROR(__xludf.DUMMYFUNCTION("IFERROR(GOOGLEFINANCE(A1484,""volume""),"""")"),4.69874E7)</f>
        <v>46987400</v>
      </c>
      <c r="AA1484" s="14" t="str">
        <f>VLOOKUP(A1484,Metrik!$C$2:$Y$959,5,0)</f>
        <v>Real Estate Management &amp; Development</v>
      </c>
      <c r="AB1484" s="14" t="str">
        <f>VLOOKUP(A1484,Metrik!$C$2:$Y$959,3,0)</f>
        <v>Properties &amp; Real Estate</v>
      </c>
    </row>
    <row r="1485">
      <c r="A1485" s="14" t="s">
        <v>798</v>
      </c>
      <c r="B1485" s="14" t="str">
        <f t="array" ref="B1485">VLOOKUP(A1485,{Metrik!$C$2:$C$998,Metrik!$B$2:$B$998},2,0)</f>
        <v>Pakuwon Jati Tbk.</v>
      </c>
      <c r="C1485" s="15">
        <f>IFERROR(__xludf.DUMMYFUNCTION("GOOGLEFINANCE(""IDX:""&amp;A1485,""price"")"),262.0)</f>
        <v>262</v>
      </c>
      <c r="D1485" s="16" t="str">
        <f>IFERROR(__xludf.DUMMYFUNCTION("IF(A1485="""","""",
SPARKLINE(
INDEX(
GOOGLEFINANCE(""IDX:""&amp;A1485,""close"",TODAY()-365,TODAY()),
,2
),
{""linewidth"",1}
))
"),"#N/A")</f>
        <v>#N/A</v>
      </c>
      <c r="E1485" s="14" t="s">
        <v>86</v>
      </c>
      <c r="F1485" s="25">
        <v>46356.0</v>
      </c>
      <c r="G1485" s="24">
        <f t="shared" si="9"/>
        <v>12</v>
      </c>
      <c r="H1485" s="19">
        <f>VLOOKUP(A1485,Metrik!$C$2:$Y$959,8,0)</f>
        <v>5.7</v>
      </c>
      <c r="I1485" s="20">
        <f>VLOOKUP(A1485,Metrik!$C$2:$Y$959,9,0)</f>
        <v>0.52</v>
      </c>
      <c r="J1485" s="20">
        <f>VLOOKUP(A1485,Metrik!$C$2:$Y$959,10,0)</f>
        <v>9</v>
      </c>
      <c r="K1485" s="20">
        <f>VLOOKUP(A1485,Metrik!$C$2:$Y$959,11,0)</f>
        <v>6.6</v>
      </c>
      <c r="L1485" s="20">
        <f>VLOOKUP(A1485,Metrik!$C$2:$Y$959,12,0)</f>
        <v>0.37</v>
      </c>
      <c r="M1485" s="20">
        <f>VLOOKUP(A1485,Metrik!$C$2:$Y$959,19,0)</f>
        <v>150</v>
      </c>
      <c r="N1485" s="21"/>
      <c r="O1485" s="21"/>
      <c r="P1485" s="21"/>
      <c r="Q1485" s="21"/>
      <c r="R1485" s="21"/>
      <c r="S1485" s="21"/>
      <c r="T1485" s="21"/>
      <c r="U1485" s="22">
        <f>IFERROR(__xludf.DUMMYFUNCTION("IFERROR(GOOGLEFINANCE(A1485,""closeyest""),"""")"),256.0)</f>
        <v>256</v>
      </c>
      <c r="V1485" s="23">
        <f>IFERROR(__xludf.DUMMYFUNCTION("IFERROR(GOOGLEFINANCE(A1485,""changepct""),"""")"),2.34)</f>
        <v>2.34</v>
      </c>
      <c r="W1485" s="22">
        <f>IFERROR(__xludf.DUMMYFUNCTION("IFERROR(GOOGLEFINANCE(A1485,""priceopen""),"""")"),260.0)</f>
        <v>260</v>
      </c>
      <c r="X1485" s="22">
        <f>IFERROR(__xludf.DUMMYFUNCTION("IFERROR(GOOGLEFINANCE(A1485,""high""),"""")"),266.0)</f>
        <v>266</v>
      </c>
      <c r="Y1485" s="22">
        <f>IFERROR(__xludf.DUMMYFUNCTION("IFERROR(GOOGLEFINANCE(A1485,""low""),"""")"),258.0)</f>
        <v>258</v>
      </c>
      <c r="Z1485" s="22">
        <f>IFERROR(__xludf.DUMMYFUNCTION("IFERROR(GOOGLEFINANCE(A1485,""volume""),"""")"),4.69874E7)</f>
        <v>46987400</v>
      </c>
      <c r="AA1485" s="24" t="str">
        <f>VLOOKUP(A1485,Metrik!$C$2:$Y$959,5,0)</f>
        <v>Real Estate Management &amp; Development</v>
      </c>
      <c r="AB1485" s="24" t="str">
        <f>VLOOKUP(A1485,Metrik!$C$2:$Y$959,3,0)</f>
        <v>Properties &amp; Real Estate</v>
      </c>
    </row>
    <row r="1486">
      <c r="A1486" s="14" t="s">
        <v>799</v>
      </c>
      <c r="B1486" s="14" t="str">
        <f t="array" ref="B1486">VLOOKUP(A1486,{Metrik!$C$2:$C$998,Metrik!$B$2:$B$998},2,0)</f>
        <v>Pyridam Farma Tbk</v>
      </c>
      <c r="C1486" s="15">
        <f>IFERROR(__xludf.DUMMYFUNCTION("GOOGLEFINANCE(""IDX:""&amp;A1486,""price"")"),194.0)</f>
        <v>194</v>
      </c>
      <c r="D1486" s="16" t="str">
        <f>IFERROR(__xludf.DUMMYFUNCTION("IF(A1486="""","""",
SPARKLINE(
INDEX(
GOOGLEFINANCE(""IDX:""&amp;A1486,""close"",TODAY()-365,TODAY()),
,2
),
{""linewidth"",1}
))
"),"#N/A")</f>
        <v>#N/A</v>
      </c>
      <c r="E1486" s="26"/>
      <c r="F1486" s="26"/>
      <c r="G1486" s="24">
        <f t="shared" si="9"/>
        <v>0</v>
      </c>
      <c r="H1486" s="19">
        <f>VLOOKUP(A1486,Metrik!$C$2:$Y$959,8,0)</f>
        <v>-6.9</v>
      </c>
      <c r="I1486" s="20">
        <f>VLOOKUP(A1486,Metrik!$C$2:$Y$959,9,0)</f>
        <v>2.7</v>
      </c>
      <c r="J1486" s="20">
        <f>VLOOKUP(A1486,Metrik!$C$2:$Y$959,10,0)</f>
        <v>-38.5</v>
      </c>
      <c r="K1486" s="20">
        <f>VLOOKUP(A1486,Metrik!$C$2:$Y$959,11,0)</f>
        <v>-5.6</v>
      </c>
      <c r="L1486" s="20">
        <f>VLOOKUP(A1486,Metrik!$C$2:$Y$959,12,0)</f>
        <v>5.9</v>
      </c>
      <c r="M1486" s="20">
        <f>VLOOKUP(A1486,Metrik!$C$2:$Y$959,19,0)</f>
        <v>-13.8</v>
      </c>
      <c r="N1486" s="21"/>
      <c r="O1486" s="21"/>
      <c r="P1486" s="21"/>
      <c r="Q1486" s="21"/>
      <c r="R1486" s="21"/>
      <c r="S1486" s="21"/>
      <c r="T1486" s="21"/>
      <c r="U1486" s="22">
        <f>IFERROR(__xludf.DUMMYFUNCTION("IFERROR(GOOGLEFINANCE(A1486,""closeyest""),"""")"),193.0)</f>
        <v>193</v>
      </c>
      <c r="V1486" s="23">
        <f>IFERROR(__xludf.DUMMYFUNCTION("IFERROR(GOOGLEFINANCE(A1486,""changepct""),"""")"),0.52)</f>
        <v>0.52</v>
      </c>
      <c r="W1486" s="22">
        <f>IFERROR(__xludf.DUMMYFUNCTION("IFERROR(GOOGLEFINANCE(A1486,""priceopen""),"""")"),184.0)</f>
        <v>184</v>
      </c>
      <c r="X1486" s="22">
        <f>IFERROR(__xludf.DUMMYFUNCTION("IFERROR(GOOGLEFINANCE(A1486,""high""),"""")"),197.0)</f>
        <v>197</v>
      </c>
      <c r="Y1486" s="22">
        <f>IFERROR(__xludf.DUMMYFUNCTION("IFERROR(GOOGLEFINANCE(A1486,""low""),"""")"),176.0)</f>
        <v>176</v>
      </c>
      <c r="Z1486" s="22">
        <f>IFERROR(__xludf.DUMMYFUNCTION("IFERROR(GOOGLEFINANCE(A1486,""volume""),"""")"),2.64503E7)</f>
        <v>26450300</v>
      </c>
      <c r="AA1486" s="24" t="str">
        <f>VLOOKUP(A1486,Metrik!$C$2:$Y$959,5,0)</f>
        <v>Pharmaceuticals</v>
      </c>
      <c r="AB1486" s="24" t="str">
        <f>VLOOKUP(A1486,Metrik!$C$2:$Y$959,3,0)</f>
        <v>Healthcare</v>
      </c>
    </row>
    <row r="1487">
      <c r="A1487" s="14" t="s">
        <v>800</v>
      </c>
      <c r="B1487" s="14" t="str">
        <f t="array" ref="B1487">VLOOKUP(A1487,{Metrik!$C$2:$C$998,Metrik!$B$2:$B$998},2,0)</f>
        <v>Sarimelati Kencana Tbk.</v>
      </c>
      <c r="C1487" s="15">
        <f>IFERROR(__xludf.DUMMYFUNCTION("GOOGLEFINANCE(""IDX:""&amp;A1487,""price"")"),188.0)</f>
        <v>188</v>
      </c>
      <c r="D1487" s="16" t="str">
        <f>IFERROR(__xludf.DUMMYFUNCTION("IF(A1487="""","""",
SPARKLINE(
INDEX(
GOOGLEFINANCE(""IDX:""&amp;A1487,""close"",TODAY()-365,TODAY()),
,2
),
{""linewidth"",1}
))
"),"#N/A")</f>
        <v>#N/A</v>
      </c>
      <c r="E1487" s="26"/>
      <c r="F1487" s="26"/>
      <c r="G1487" s="24">
        <f t="shared" si="9"/>
        <v>0</v>
      </c>
      <c r="H1487" s="19">
        <f>VLOOKUP(A1487,Metrik!$C$2:$Y$959,8,0)</f>
        <v>18.9</v>
      </c>
      <c r="I1487" s="20">
        <f>VLOOKUP(A1487,Metrik!$C$2:$Y$959,9,0)</f>
        <v>0.55</v>
      </c>
      <c r="J1487" s="20">
        <f>VLOOKUP(A1487,Metrik!$C$2:$Y$959,10,0)</f>
        <v>2.9</v>
      </c>
      <c r="K1487" s="20">
        <f>VLOOKUP(A1487,Metrik!$C$2:$Y$959,11,0)</f>
        <v>1.6</v>
      </c>
      <c r="L1487" s="20">
        <f>VLOOKUP(A1487,Metrik!$C$2:$Y$959,12,0)</f>
        <v>0.82</v>
      </c>
      <c r="M1487" s="20">
        <f>VLOOKUP(A1487,Metrik!$C$2:$Y$959,19,0)</f>
        <v>4.2</v>
      </c>
      <c r="N1487" s="21"/>
      <c r="O1487" s="21"/>
      <c r="P1487" s="21"/>
      <c r="Q1487" s="21"/>
      <c r="R1487" s="21"/>
      <c r="S1487" s="21"/>
      <c r="T1487" s="21"/>
      <c r="U1487" s="22">
        <f>IFERROR(__xludf.DUMMYFUNCTION("IFERROR(GOOGLEFINANCE(A1487,""closeyest""),"""")"),32.34)</f>
        <v>32.34</v>
      </c>
      <c r="V1487" s="23">
        <f>IFERROR(__xludf.DUMMYFUNCTION("IFERROR(GOOGLEFINANCE(A1487,""changepct""),"""")"),0.8)</f>
        <v>0.8</v>
      </c>
      <c r="W1487" s="22">
        <f>IFERROR(__xludf.DUMMYFUNCTION("IFERROR(GOOGLEFINANCE(A1487,""priceopen""),"""")"),32.34)</f>
        <v>32.34</v>
      </c>
      <c r="X1487" s="22">
        <f>IFERROR(__xludf.DUMMYFUNCTION("IFERROR(GOOGLEFINANCE(A1487,""high""),"""")"),33.28)</f>
        <v>33.28</v>
      </c>
      <c r="Y1487" s="22">
        <f>IFERROR(__xludf.DUMMYFUNCTION("IFERROR(GOOGLEFINANCE(A1487,""low""),"""")"),32.12)</f>
        <v>32.12</v>
      </c>
      <c r="Z1487" s="22">
        <f>IFERROR(__xludf.DUMMYFUNCTION("IFERROR(GOOGLEFINANCE(A1487,""volume""),"""")"),827490.0)</f>
        <v>827490</v>
      </c>
      <c r="AA1487" s="24" t="str">
        <f>VLOOKUP(A1487,Metrik!$C$2:$Y$959,5,0)</f>
        <v>Tourism &amp; Recreation</v>
      </c>
      <c r="AB1487" s="24" t="str">
        <f>VLOOKUP(A1487,Metrik!$C$2:$Y$959,3,0)</f>
        <v>Consumer Cyclicals</v>
      </c>
    </row>
    <row r="1488">
      <c r="A1488" s="14" t="s">
        <v>801</v>
      </c>
      <c r="B1488" s="14" t="str">
        <f t="array" ref="B1488">VLOOKUP(A1488,{Metrik!$C$2:$C$998,Metrik!$B$2:$B$998},2,0)</f>
        <v>PT Tripar Multivision Plus Tbk.</v>
      </c>
      <c r="C1488" s="15">
        <f>IFERROR(__xludf.DUMMYFUNCTION("GOOGLEFINANCE(""IDX:""&amp;A1488,""price"")"),208.0)</f>
        <v>208</v>
      </c>
      <c r="D1488" s="16" t="str">
        <f>IFERROR(__xludf.DUMMYFUNCTION("IF(A1488="""","""",
SPARKLINE(
INDEX(
GOOGLEFINANCE(""IDX:""&amp;A1488,""close"",TODAY()-365,TODAY()),
,2
),
{""linewidth"",1}
))
"),"#N/A")</f>
        <v>#N/A</v>
      </c>
      <c r="E1488" s="26"/>
      <c r="F1488" s="26"/>
      <c r="G1488" s="24">
        <f t="shared" si="9"/>
        <v>0</v>
      </c>
      <c r="H1488" s="19">
        <f>VLOOKUP(A1488,Metrik!$C$2:$Y$959,8,0)</f>
        <v>-19</v>
      </c>
      <c r="I1488" s="20">
        <f>VLOOKUP(A1488,Metrik!$C$2:$Y$959,9,0)</f>
        <v>1</v>
      </c>
      <c r="J1488" s="20">
        <f>VLOOKUP(A1488,Metrik!$C$2:$Y$959,10,0)</f>
        <v>-5.4</v>
      </c>
      <c r="K1488" s="20">
        <f>VLOOKUP(A1488,Metrik!$C$2:$Y$959,11,0)</f>
        <v>-4.1</v>
      </c>
      <c r="L1488" s="20">
        <f>VLOOKUP(A1488,Metrik!$C$2:$Y$959,12,0)</f>
        <v>0.32</v>
      </c>
      <c r="M1488" s="20">
        <f>VLOOKUP(A1488,Metrik!$C$2:$Y$959,19,0)</f>
        <v>-150</v>
      </c>
      <c r="N1488" s="21"/>
      <c r="O1488" s="21"/>
      <c r="P1488" s="21"/>
      <c r="Q1488" s="21"/>
      <c r="R1488" s="21"/>
      <c r="S1488" s="21"/>
      <c r="T1488" s="21"/>
      <c r="U1488" s="22">
        <f>IFERROR(__xludf.DUMMYFUNCTION("IFERROR(GOOGLEFINANCE(A1488,""closeyest""),"""")"),214.0)</f>
        <v>214</v>
      </c>
      <c r="V1488" s="23">
        <f>IFERROR(__xludf.DUMMYFUNCTION("IFERROR(GOOGLEFINANCE(A1488,""changepct""),"""")"),-2.8)</f>
        <v>-2.8</v>
      </c>
      <c r="W1488" s="22">
        <f>IFERROR(__xludf.DUMMYFUNCTION("IFERROR(GOOGLEFINANCE(A1488,""priceopen""),"""")"),214.0)</f>
        <v>214</v>
      </c>
      <c r="X1488" s="22">
        <f>IFERROR(__xludf.DUMMYFUNCTION("IFERROR(GOOGLEFINANCE(A1488,""high""),"""")"),220.0)</f>
        <v>220</v>
      </c>
      <c r="Y1488" s="22">
        <f>IFERROR(__xludf.DUMMYFUNCTION("IFERROR(GOOGLEFINANCE(A1488,""low""),"""")"),206.0)</f>
        <v>206</v>
      </c>
      <c r="Z1488" s="22">
        <f>IFERROR(__xludf.DUMMYFUNCTION("IFERROR(GOOGLEFINANCE(A1488,""volume""),"""")"),862400.0)</f>
        <v>862400</v>
      </c>
      <c r="AA1488" s="24" t="str">
        <f>VLOOKUP(A1488,Metrik!$C$2:$Y$959,5,0)</f>
        <v>Entertainment &amp; Movie Production</v>
      </c>
      <c r="AB1488" s="24" t="str">
        <f>VLOOKUP(A1488,Metrik!$C$2:$Y$959,3,0)</f>
        <v>Consumer Cyclicals</v>
      </c>
    </row>
    <row r="1489">
      <c r="A1489" s="14" t="s">
        <v>802</v>
      </c>
      <c r="B1489" s="14" t="str">
        <f t="array" ref="B1489">VLOOKUP(A1489,{Metrik!$C$2:$C$998,Metrik!$B$2:$B$998},2,0)</f>
        <v>Sari Kreasi Boga Tbk.</v>
      </c>
      <c r="C1489" s="15">
        <f>IFERROR(__xludf.DUMMYFUNCTION("GOOGLEFINANCE(""IDX:""&amp;A1489,""price"")"),36.0)</f>
        <v>36</v>
      </c>
      <c r="D1489" s="16" t="str">
        <f>IFERROR(__xludf.DUMMYFUNCTION("IF(A1489="""","""",
SPARKLINE(
INDEX(
GOOGLEFINANCE(""IDX:""&amp;A1489,""close"",TODAY()-365,TODAY()),
,2
),
{""linewidth"",1}
))
"),"#N/A")</f>
        <v>#N/A</v>
      </c>
      <c r="E1489" s="26"/>
      <c r="F1489" s="26"/>
      <c r="G1489" s="24">
        <f t="shared" si="9"/>
        <v>0</v>
      </c>
      <c r="H1489" s="19">
        <f>VLOOKUP(A1489,Metrik!$C$2:$Y$959,8,0)</f>
        <v>-2.1</v>
      </c>
      <c r="I1489" s="20">
        <f>VLOOKUP(A1489,Metrik!$C$2:$Y$959,9,0)</f>
        <v>0.39</v>
      </c>
      <c r="J1489" s="20">
        <f>VLOOKUP(A1489,Metrik!$C$2:$Y$959,10,0)</f>
        <v>-18.6</v>
      </c>
      <c r="K1489" s="20">
        <f>VLOOKUP(A1489,Metrik!$C$2:$Y$959,11,0)</f>
        <v>-12.2</v>
      </c>
      <c r="L1489" s="20">
        <f>VLOOKUP(A1489,Metrik!$C$2:$Y$959,12,0)</f>
        <v>0.52</v>
      </c>
      <c r="M1489" s="20">
        <f>VLOOKUP(A1489,Metrik!$C$2:$Y$959,19,0)</f>
        <v>-39.9</v>
      </c>
      <c r="N1489" s="21"/>
      <c r="O1489" s="21"/>
      <c r="P1489" s="21"/>
      <c r="Q1489" s="21"/>
      <c r="R1489" s="21"/>
      <c r="S1489" s="21"/>
      <c r="T1489" s="21"/>
      <c r="U1489" s="22">
        <f>IFERROR(__xludf.DUMMYFUNCTION("IFERROR(GOOGLEFINANCE(A1489,""closeyest""),"""")"),4.16)</f>
        <v>4.16</v>
      </c>
      <c r="V1489" s="23">
        <f>IFERROR(__xludf.DUMMYFUNCTION("IFERROR(GOOGLEFINANCE(A1489,""changepct""),"""")"),-0.48)</f>
        <v>-0.48</v>
      </c>
      <c r="W1489" s="22">
        <f>IFERROR(__xludf.DUMMYFUNCTION("IFERROR(GOOGLEFINANCE(A1489,""priceopen""),"""")"),4.26)</f>
        <v>4.26</v>
      </c>
      <c r="X1489" s="22">
        <f>IFERROR(__xludf.DUMMYFUNCTION("IFERROR(GOOGLEFINANCE(A1489,""high""),"""")"),4.26)</f>
        <v>4.26</v>
      </c>
      <c r="Y1489" s="22">
        <f>IFERROR(__xludf.DUMMYFUNCTION("IFERROR(GOOGLEFINANCE(A1489,""low""),"""")"),4.14)</f>
        <v>4.14</v>
      </c>
      <c r="Z1489" s="22">
        <f>IFERROR(__xludf.DUMMYFUNCTION("IFERROR(GOOGLEFINANCE(A1489,""volume""),"""")"),2000.0)</f>
        <v>2000</v>
      </c>
      <c r="AA1489" s="24" t="str">
        <f>VLOOKUP(A1489,Metrik!$C$2:$Y$959,5,0)</f>
        <v>Tourism &amp; Recreation</v>
      </c>
      <c r="AB1489" s="24" t="str">
        <f>VLOOKUP(A1489,Metrik!$C$2:$Y$959,3,0)</f>
        <v>Consumer Cyclicals</v>
      </c>
    </row>
    <row r="1490">
      <c r="A1490" s="17" t="s">
        <v>803</v>
      </c>
      <c r="B1490" s="14" t="str">
        <f t="array" ref="B1490">VLOOKUP(A1490,{Metrik!$C$2:$C$998,Metrik!$B$2:$B$998},2,0)</f>
        <v>Rukun Raharja Tbk.</v>
      </c>
      <c r="C1490" s="15">
        <f>IFERROR(__xludf.DUMMYFUNCTION("GOOGLEFINANCE(""IDX:""&amp;A1490,""price"")"),3750.0)</f>
        <v>3750</v>
      </c>
      <c r="D1490" s="16" t="str">
        <f>IFERROR(__xludf.DUMMYFUNCTION("IF(A1490="""","""",
SPARKLINE(
INDEX(
GOOGLEFINANCE(""IDX:""&amp;A1490,""close"",TODAY()-365,TODAY()),
,2
),
{""linewidth"",1}
))
"),"#N/A")</f>
        <v>#N/A</v>
      </c>
      <c r="E1490" s="14" t="s">
        <v>38</v>
      </c>
      <c r="F1490" s="25">
        <v>46356.0</v>
      </c>
      <c r="G1490" s="18">
        <f t="shared" si="9"/>
        <v>6</v>
      </c>
      <c r="H1490" s="19">
        <f>VLOOKUP(A1490,Metrik!$C$2:$Y$959,8,0)</f>
        <v>32.1</v>
      </c>
      <c r="I1490" s="20">
        <f>VLOOKUP(A1490,Metrik!$C$2:$Y$959,9,0)</f>
        <v>3.6</v>
      </c>
      <c r="J1490" s="20">
        <f>VLOOKUP(A1490,Metrik!$C$2:$Y$959,10,0)</f>
        <v>11.2</v>
      </c>
      <c r="K1490" s="20">
        <f>VLOOKUP(A1490,Metrik!$C$2:$Y$959,11,0)</f>
        <v>5.6</v>
      </c>
      <c r="L1490" s="20">
        <f>VLOOKUP(A1490,Metrik!$C$2:$Y$959,12,0)</f>
        <v>0.99</v>
      </c>
      <c r="M1490" s="20">
        <f>VLOOKUP(A1490,Metrik!$C$2:$Y$959,19,0)</f>
        <v>52.4</v>
      </c>
      <c r="N1490" s="21"/>
      <c r="O1490" s="21"/>
      <c r="P1490" s="21"/>
      <c r="Q1490" s="21"/>
      <c r="R1490" s="21"/>
      <c r="S1490" s="21"/>
      <c r="T1490" s="21"/>
      <c r="U1490" s="22">
        <f>IFERROR(__xludf.DUMMYFUNCTION("IFERROR(GOOGLEFINANCE(A1490,""closeyest""),"""")"),3600.0)</f>
        <v>3600</v>
      </c>
      <c r="V1490" s="23">
        <f>IFERROR(__xludf.DUMMYFUNCTION("IFERROR(GOOGLEFINANCE(A1490,""changepct""),"""")"),4.17)</f>
        <v>4.17</v>
      </c>
      <c r="W1490" s="22">
        <f>IFERROR(__xludf.DUMMYFUNCTION("IFERROR(GOOGLEFINANCE(A1490,""priceopen""),"""")"),3670.0)</f>
        <v>3670</v>
      </c>
      <c r="X1490" s="22" t="str">
        <f>IFERROR(__xludf.DUMMYFUNCTION("IFERROR(GOOGLEFINANCE(A1490,""high""),"""")"),"")</f>
        <v/>
      </c>
      <c r="Y1490" s="22">
        <f>IFERROR(__xludf.DUMMYFUNCTION("IFERROR(GOOGLEFINANCE(A1490,""low""),"""")"),3660.0)</f>
        <v>3660</v>
      </c>
      <c r="Z1490" s="22">
        <f>IFERROR(__xludf.DUMMYFUNCTION("IFERROR(GOOGLEFINANCE(A1490,""volume""),"""")"),3.83466E7)</f>
        <v>38346600</v>
      </c>
      <c r="AA1490" s="24" t="str">
        <f>VLOOKUP(A1490,Metrik!$C$2:$Y$959,5,0)</f>
        <v>Oil &amp; Gas</v>
      </c>
      <c r="AB1490" s="24" t="str">
        <f>VLOOKUP(A1490,Metrik!$C$2:$Y$959,3,0)</f>
        <v>Energy</v>
      </c>
    </row>
    <row r="1491">
      <c r="A1491" s="17" t="s">
        <v>803</v>
      </c>
      <c r="B1491" s="14" t="str">
        <f t="array" ref="B1491">VLOOKUP(A1491,{Metrik!$C$2:$C$998,Metrik!$B$2:$B$998},2,0)</f>
        <v>Rukun Raharja Tbk.</v>
      </c>
      <c r="C1491" s="15">
        <f>IFERROR(__xludf.DUMMYFUNCTION("GOOGLEFINANCE(""IDX:""&amp;A1491,""price"")"),3750.0)</f>
        <v>3750</v>
      </c>
      <c r="D1491" s="16" t="str">
        <f>IFERROR(__xludf.DUMMYFUNCTION("IF(A1491="""","""",
SPARKLINE(
INDEX(
GOOGLEFINANCE(""IDX:""&amp;A1491,""close"",TODAY()-365,TODAY()),
,2
),
{""linewidth"",1}
))
"),"#N/A")</f>
        <v>#N/A</v>
      </c>
      <c r="E1491" s="14" t="s">
        <v>39</v>
      </c>
      <c r="F1491" s="25">
        <v>46356.0</v>
      </c>
      <c r="G1491" s="18">
        <f t="shared" si="9"/>
        <v>6</v>
      </c>
      <c r="H1491" s="19">
        <f>VLOOKUP(A1491,Metrik!$C$2:$Y$959,8,0)</f>
        <v>32.1</v>
      </c>
      <c r="I1491" s="20">
        <f>VLOOKUP(A1491,Metrik!$C$2:$Y$959,9,0)</f>
        <v>3.6</v>
      </c>
      <c r="J1491" s="20">
        <f>VLOOKUP(A1491,Metrik!$C$2:$Y$959,10,0)</f>
        <v>11.2</v>
      </c>
      <c r="K1491" s="20">
        <f>VLOOKUP(A1491,Metrik!$C$2:$Y$959,11,0)</f>
        <v>5.6</v>
      </c>
      <c r="L1491" s="20">
        <f>VLOOKUP(A1491,Metrik!$C$2:$Y$959,12,0)</f>
        <v>0.99</v>
      </c>
      <c r="M1491" s="20">
        <f>VLOOKUP(A1491,Metrik!$C$2:$Y$959,19,0)</f>
        <v>52.4</v>
      </c>
      <c r="N1491" s="21"/>
      <c r="O1491" s="21"/>
      <c r="P1491" s="21"/>
      <c r="Q1491" s="21"/>
      <c r="R1491" s="21"/>
      <c r="S1491" s="21"/>
      <c r="T1491" s="21"/>
      <c r="U1491" s="22">
        <f>IFERROR(__xludf.DUMMYFUNCTION("IFERROR(GOOGLEFINANCE(A1491,""closeyest""),"""")"),3600.0)</f>
        <v>3600</v>
      </c>
      <c r="V1491" s="23">
        <f>IFERROR(__xludf.DUMMYFUNCTION("IFERROR(GOOGLEFINANCE(A1491,""changepct""),"""")"),4.17)</f>
        <v>4.17</v>
      </c>
      <c r="W1491" s="22">
        <f>IFERROR(__xludf.DUMMYFUNCTION("IFERROR(GOOGLEFINANCE(A1491,""priceopen""),"""")"),3670.0)</f>
        <v>3670</v>
      </c>
      <c r="X1491" s="22" t="str">
        <f>IFERROR(__xludf.DUMMYFUNCTION("IFERROR(GOOGLEFINANCE(A1491,""high""),"""")"),"")</f>
        <v/>
      </c>
      <c r="Y1491" s="22">
        <f>IFERROR(__xludf.DUMMYFUNCTION("IFERROR(GOOGLEFINANCE(A1491,""low""),"""")"),3660.0)</f>
        <v>3660</v>
      </c>
      <c r="Z1491" s="22">
        <f>IFERROR(__xludf.DUMMYFUNCTION("IFERROR(GOOGLEFINANCE(A1491,""volume""),"""")"),3.83466E7)</f>
        <v>38346600</v>
      </c>
      <c r="AA1491" s="24" t="str">
        <f>VLOOKUP(A1491,Metrik!$C$2:$Y$959,5,0)</f>
        <v>Oil &amp; Gas</v>
      </c>
      <c r="AB1491" s="24" t="str">
        <f>VLOOKUP(A1491,Metrik!$C$2:$Y$959,3,0)</f>
        <v>Energy</v>
      </c>
    </row>
    <row r="1492">
      <c r="A1492" s="14" t="s">
        <v>803</v>
      </c>
      <c r="B1492" s="14" t="str">
        <f t="array" ref="B1492">VLOOKUP(A1492,{Metrik!$C$2:$C$998,Metrik!$B$2:$B$998},2,0)</f>
        <v>Rukun Raharja Tbk.</v>
      </c>
      <c r="C1492" s="15">
        <f>IFERROR(__xludf.DUMMYFUNCTION("GOOGLEFINANCE(""IDX:""&amp;A1492,""price"")"),3750.0)</f>
        <v>3750</v>
      </c>
      <c r="D1492" s="16" t="str">
        <f>IFERROR(__xludf.DUMMYFUNCTION("IF(A1492="""","""",
SPARKLINE(
INDEX(
GOOGLEFINANCE(""IDX:""&amp;A1492,""close"",TODAY()-365,TODAY()),
,2
),
{""linewidth"",1}
))
"),"#N/A")</f>
        <v>#N/A</v>
      </c>
      <c r="E1492" s="14" t="s">
        <v>68</v>
      </c>
      <c r="F1492" s="14" t="s">
        <v>34</v>
      </c>
      <c r="G1492" s="24">
        <f t="shared" si="9"/>
        <v>6</v>
      </c>
      <c r="H1492" s="19">
        <f>VLOOKUP(A1492,Metrik!$C$2:$Y$959,8,0)</f>
        <v>32.1</v>
      </c>
      <c r="I1492" s="20">
        <f>VLOOKUP(A1492,Metrik!$C$2:$Y$959,9,0)</f>
        <v>3.6</v>
      </c>
      <c r="J1492" s="20">
        <f>VLOOKUP(A1492,Metrik!$C$2:$Y$959,10,0)</f>
        <v>11.2</v>
      </c>
      <c r="K1492" s="20">
        <f>VLOOKUP(A1492,Metrik!$C$2:$Y$959,11,0)</f>
        <v>5.6</v>
      </c>
      <c r="L1492" s="20">
        <f>VLOOKUP(A1492,Metrik!$C$2:$Y$959,12,0)</f>
        <v>0.99</v>
      </c>
      <c r="M1492" s="20">
        <f>VLOOKUP(A1492,Metrik!$C$2:$Y$959,19,0)</f>
        <v>52.4</v>
      </c>
      <c r="N1492" s="21"/>
      <c r="O1492" s="21"/>
      <c r="P1492" s="21"/>
      <c r="Q1492" s="21"/>
      <c r="R1492" s="21"/>
      <c r="S1492" s="21"/>
      <c r="T1492" s="21"/>
      <c r="U1492" s="22">
        <f>IFERROR(__xludf.DUMMYFUNCTION("IFERROR(GOOGLEFINANCE(A1492,""closeyest""),"""")"),3600.0)</f>
        <v>3600</v>
      </c>
      <c r="V1492" s="23">
        <f>IFERROR(__xludf.DUMMYFUNCTION("IFERROR(GOOGLEFINANCE(A1492,""changepct""),"""")"),4.17)</f>
        <v>4.17</v>
      </c>
      <c r="W1492" s="22">
        <f>IFERROR(__xludf.DUMMYFUNCTION("IFERROR(GOOGLEFINANCE(A1492,""priceopen""),"""")"),3670.0)</f>
        <v>3670</v>
      </c>
      <c r="X1492" s="22" t="str">
        <f>IFERROR(__xludf.DUMMYFUNCTION("IFERROR(GOOGLEFINANCE(A1492,""high""),"""")"),"")</f>
        <v/>
      </c>
      <c r="Y1492" s="22">
        <f>IFERROR(__xludf.DUMMYFUNCTION("IFERROR(GOOGLEFINANCE(A1492,""low""),"""")"),3660.0)</f>
        <v>3660</v>
      </c>
      <c r="Z1492" s="22">
        <f>IFERROR(__xludf.DUMMYFUNCTION("IFERROR(GOOGLEFINANCE(A1492,""volume""),"""")"),3.83466E7)</f>
        <v>38346600</v>
      </c>
      <c r="AA1492" s="24" t="str">
        <f>VLOOKUP(A1492,Metrik!$C$2:$Y$959,5,0)</f>
        <v>Oil &amp; Gas</v>
      </c>
      <c r="AB1492" s="24" t="str">
        <f>VLOOKUP(A1492,Metrik!$C$2:$Y$959,3,0)</f>
        <v>Energy</v>
      </c>
    </row>
    <row r="1493">
      <c r="A1493" s="14" t="s">
        <v>803</v>
      </c>
      <c r="B1493" s="14" t="str">
        <f t="array" ref="B1493">VLOOKUP(A1493,{Metrik!$C$2:$C$998,Metrik!$B$2:$B$998},2,0)</f>
        <v>Rukun Raharja Tbk.</v>
      </c>
      <c r="C1493" s="15">
        <f>IFERROR(__xludf.DUMMYFUNCTION("GOOGLEFINANCE(""IDX:""&amp;A1493,""price"")"),3750.0)</f>
        <v>3750</v>
      </c>
      <c r="D1493" s="16" t="str">
        <f>IFERROR(__xludf.DUMMYFUNCTION("IF(A1493="""","""",
SPARKLINE(
INDEX(
GOOGLEFINANCE(""IDX:""&amp;A1493,""close"",TODAY()-365,TODAY()),
,2
),
{""linewidth"",1}
))
"),"#N/A")</f>
        <v>#N/A</v>
      </c>
      <c r="E1493" s="14" t="s">
        <v>32</v>
      </c>
      <c r="F1493" s="14" t="s">
        <v>29</v>
      </c>
      <c r="G1493" s="24">
        <f t="shared" si="9"/>
        <v>6</v>
      </c>
      <c r="H1493" s="19">
        <f>VLOOKUP(A1493,Metrik!$C$2:$Y$959,8,0)</f>
        <v>32.1</v>
      </c>
      <c r="I1493" s="20">
        <f>VLOOKUP(A1493,Metrik!$C$2:$Y$959,9,0)</f>
        <v>3.6</v>
      </c>
      <c r="J1493" s="20">
        <f>VLOOKUP(A1493,Metrik!$C$2:$Y$959,10,0)</f>
        <v>11.2</v>
      </c>
      <c r="K1493" s="20">
        <f>VLOOKUP(A1493,Metrik!$C$2:$Y$959,11,0)</f>
        <v>5.6</v>
      </c>
      <c r="L1493" s="20">
        <f>VLOOKUP(A1493,Metrik!$C$2:$Y$959,12,0)</f>
        <v>0.99</v>
      </c>
      <c r="M1493" s="20">
        <f>VLOOKUP(A1493,Metrik!$C$2:$Y$959,19,0)</f>
        <v>52.4</v>
      </c>
      <c r="N1493" s="21"/>
      <c r="O1493" s="21"/>
      <c r="P1493" s="21"/>
      <c r="Q1493" s="21"/>
      <c r="R1493" s="21"/>
      <c r="S1493" s="21"/>
      <c r="T1493" s="21"/>
      <c r="U1493" s="22">
        <f>IFERROR(__xludf.DUMMYFUNCTION("IFERROR(GOOGLEFINANCE(A1493,""closeyest""),"""")"),3600.0)</f>
        <v>3600</v>
      </c>
      <c r="V1493" s="23">
        <f>IFERROR(__xludf.DUMMYFUNCTION("IFERROR(GOOGLEFINANCE(A1493,""changepct""),"""")"),4.17)</f>
        <v>4.17</v>
      </c>
      <c r="W1493" s="22">
        <f>IFERROR(__xludf.DUMMYFUNCTION("IFERROR(GOOGLEFINANCE(A1493,""priceopen""),"""")"),3670.0)</f>
        <v>3670</v>
      </c>
      <c r="X1493" s="22" t="str">
        <f>IFERROR(__xludf.DUMMYFUNCTION("IFERROR(GOOGLEFINANCE(A1493,""high""),"""")"),"")</f>
        <v/>
      </c>
      <c r="Y1493" s="22">
        <f>IFERROR(__xludf.DUMMYFUNCTION("IFERROR(GOOGLEFINANCE(A1493,""low""),"""")"),3660.0)</f>
        <v>3660</v>
      </c>
      <c r="Z1493" s="22">
        <f>IFERROR(__xludf.DUMMYFUNCTION("IFERROR(GOOGLEFINANCE(A1493,""volume""),"""")"),3.83466E7)</f>
        <v>38346600</v>
      </c>
      <c r="AA1493" s="24" t="str">
        <f>VLOOKUP(A1493,Metrik!$C$2:$Y$959,5,0)</f>
        <v>Oil &amp; Gas</v>
      </c>
      <c r="AB1493" s="24" t="str">
        <f>VLOOKUP(A1493,Metrik!$C$2:$Y$959,3,0)</f>
        <v>Energy</v>
      </c>
    </row>
    <row r="1494">
      <c r="A1494" s="14" t="s">
        <v>803</v>
      </c>
      <c r="B1494" s="14" t="str">
        <f t="array" ref="B1494">VLOOKUP(A1494,{Metrik!$C$2:$C$998,Metrik!$B$2:$B$998},2,0)</f>
        <v>Rukun Raharja Tbk.</v>
      </c>
      <c r="C1494" s="15">
        <f>IFERROR(__xludf.DUMMYFUNCTION("GOOGLEFINANCE(""IDX:""&amp;A1494,""price"")"),3750.0)</f>
        <v>3750</v>
      </c>
      <c r="D1494" s="16" t="str">
        <f>IFERROR(__xludf.DUMMYFUNCTION("IF(A1494="""","""",
SPARKLINE(
INDEX(
GOOGLEFINANCE(""IDX:""&amp;A1494,""close"",TODAY()-365,TODAY()),
,2
),
{""linewidth"",1}
))
"),"#N/A")</f>
        <v>#N/A</v>
      </c>
      <c r="E1494" s="14" t="s">
        <v>28</v>
      </c>
      <c r="F1494" s="17" t="s">
        <v>29</v>
      </c>
      <c r="G1494" s="24">
        <f t="shared" si="9"/>
        <v>6</v>
      </c>
      <c r="H1494" s="19">
        <f>VLOOKUP(A1494,Metrik!$C$2:$Y$959,8,0)</f>
        <v>32.1</v>
      </c>
      <c r="I1494" s="20">
        <f>VLOOKUP(A1494,Metrik!$C$2:$Y$959,9,0)</f>
        <v>3.6</v>
      </c>
      <c r="J1494" s="20">
        <f>VLOOKUP(A1494,Metrik!$C$2:$Y$959,10,0)</f>
        <v>11.2</v>
      </c>
      <c r="K1494" s="20">
        <f>VLOOKUP(A1494,Metrik!$C$2:$Y$959,11,0)</f>
        <v>5.6</v>
      </c>
      <c r="L1494" s="20">
        <f>VLOOKUP(A1494,Metrik!$C$2:$Y$959,12,0)</f>
        <v>0.99</v>
      </c>
      <c r="M1494" s="20">
        <f>VLOOKUP(A1494,Metrik!$C$2:$Y$959,19,0)</f>
        <v>52.4</v>
      </c>
      <c r="N1494" s="21"/>
      <c r="O1494" s="21"/>
      <c r="P1494" s="21"/>
      <c r="Q1494" s="21"/>
      <c r="R1494" s="21"/>
      <c r="S1494" s="21"/>
      <c r="T1494" s="21"/>
      <c r="U1494" s="22">
        <f>IFERROR(__xludf.DUMMYFUNCTION("IFERROR(GOOGLEFINANCE(A1494,""closeyest""),"""")"),3600.0)</f>
        <v>3600</v>
      </c>
      <c r="V1494" s="23">
        <f>IFERROR(__xludf.DUMMYFUNCTION("IFERROR(GOOGLEFINANCE(A1494,""changepct""),"""")"),4.17)</f>
        <v>4.17</v>
      </c>
      <c r="W1494" s="22">
        <f>IFERROR(__xludf.DUMMYFUNCTION("IFERROR(GOOGLEFINANCE(A1494,""priceopen""),"""")"),3670.0)</f>
        <v>3670</v>
      </c>
      <c r="X1494" s="22" t="str">
        <f>IFERROR(__xludf.DUMMYFUNCTION("IFERROR(GOOGLEFINANCE(A1494,""high""),"""")"),"")</f>
        <v/>
      </c>
      <c r="Y1494" s="22">
        <f>IFERROR(__xludf.DUMMYFUNCTION("IFERROR(GOOGLEFINANCE(A1494,""low""),"""")"),3660.0)</f>
        <v>3660</v>
      </c>
      <c r="Z1494" s="22">
        <f>IFERROR(__xludf.DUMMYFUNCTION("IFERROR(GOOGLEFINANCE(A1494,""volume""),"""")"),3.83466E7)</f>
        <v>38346600</v>
      </c>
      <c r="AA1494" s="24" t="str">
        <f>VLOOKUP(A1494,Metrik!$C$2:$Y$959,5,0)</f>
        <v>Oil &amp; Gas</v>
      </c>
      <c r="AB1494" s="24" t="str">
        <f>VLOOKUP(A1494,Metrik!$C$2:$Y$959,3,0)</f>
        <v>Energy</v>
      </c>
    </row>
    <row r="1495">
      <c r="A1495" s="17" t="s">
        <v>803</v>
      </c>
      <c r="B1495" s="14" t="str">
        <f t="array" ref="B1495">VLOOKUP(A1495,{Metrik!$C$2:$C$998,Metrik!$B$2:$B$998},2,0)</f>
        <v>Rukun Raharja Tbk.</v>
      </c>
      <c r="C1495" s="15">
        <f>IFERROR(__xludf.DUMMYFUNCTION("GOOGLEFINANCE(""IDX:""&amp;A1495,""price"")"),3750.0)</f>
        <v>3750</v>
      </c>
      <c r="D1495" s="16" t="str">
        <f>IFERROR(__xludf.DUMMYFUNCTION("IF(A1495="""","""",
SPARKLINE(
INDEX(
GOOGLEFINANCE(""IDX:""&amp;A1495,""close"",TODAY()-365,TODAY()),
,2
),
{""linewidth"",1}
))
"),"#N/A")</f>
        <v>#N/A</v>
      </c>
      <c r="E1495" s="14" t="s">
        <v>35</v>
      </c>
      <c r="F1495" s="17" t="s">
        <v>36</v>
      </c>
      <c r="G1495" s="33">
        <f t="shared" si="9"/>
        <v>6</v>
      </c>
      <c r="H1495" s="34">
        <f>VLOOKUP(A1495,Metrik!$C$2:$Y$959,8,0)</f>
        <v>32.1</v>
      </c>
      <c r="I1495" s="34">
        <f>VLOOKUP(A1495,Metrik!$C$2:$Y$959,9,0)</f>
        <v>3.6</v>
      </c>
      <c r="J1495" s="34">
        <f>VLOOKUP(A1495,Metrik!$C$2:$Y$959,10,0)</f>
        <v>11.2</v>
      </c>
      <c r="K1495" s="34">
        <f>VLOOKUP(A1495,Metrik!$C$2:$Y$959,11,0)</f>
        <v>5.6</v>
      </c>
      <c r="L1495" s="34">
        <f>VLOOKUP(A1495,Metrik!$C$2:$Y$959,12,0)</f>
        <v>0.99</v>
      </c>
      <c r="M1495" s="34">
        <f>VLOOKUP(A1495,Metrik!$C$2:$Y$959,19,0)</f>
        <v>52.4</v>
      </c>
      <c r="N1495" s="26"/>
      <c r="O1495" s="26"/>
      <c r="P1495" s="26"/>
      <c r="Q1495" s="26"/>
      <c r="R1495" s="26"/>
      <c r="S1495" s="26"/>
      <c r="T1495" s="26"/>
      <c r="U1495" s="35">
        <f>IFERROR(__xludf.DUMMYFUNCTION("IFERROR(GOOGLEFINANCE(A1495,""closeyest""),"""")"),3600.0)</f>
        <v>3600</v>
      </c>
      <c r="V1495" s="36">
        <f>IFERROR(__xludf.DUMMYFUNCTION("IFERROR(GOOGLEFINANCE(A1495,""changepct""),"""")"),4.17)</f>
        <v>4.17</v>
      </c>
      <c r="W1495" s="35">
        <f>IFERROR(__xludf.DUMMYFUNCTION("IFERROR(GOOGLEFINANCE(A1495,""priceopen""),"""")"),3670.0)</f>
        <v>3670</v>
      </c>
      <c r="X1495" s="49" t="str">
        <f>IFERROR(__xludf.DUMMYFUNCTION("IFERROR(GOOGLEFINANCE(A1495,""high""),"""")"),"")</f>
        <v/>
      </c>
      <c r="Y1495" s="35">
        <f>IFERROR(__xludf.DUMMYFUNCTION("IFERROR(GOOGLEFINANCE(A1495,""low""),"""")"),3660.0)</f>
        <v>3660</v>
      </c>
      <c r="Z1495" s="35">
        <f>IFERROR(__xludf.DUMMYFUNCTION("IFERROR(GOOGLEFINANCE(A1495,""volume""),"""")"),3.83466E7)</f>
        <v>38346600</v>
      </c>
      <c r="AA1495" s="14" t="str">
        <f>VLOOKUP(A1495,Metrik!$C$2:$Y$959,5,0)</f>
        <v>Oil &amp; Gas</v>
      </c>
      <c r="AB1495" s="14" t="str">
        <f>VLOOKUP(A1495,Metrik!$C$2:$Y$959,3,0)</f>
        <v>Energy</v>
      </c>
    </row>
    <row r="1496">
      <c r="A1496" s="14" t="s">
        <v>804</v>
      </c>
      <c r="B1496" s="14" t="str">
        <f t="array" ref="B1496">VLOOKUP(A1496,{Metrik!$C$2:$C$998,Metrik!$B$2:$B$998},2,0)</f>
        <v>Ramayana Lestari Sentosa Tbk.</v>
      </c>
      <c r="C1496" s="15">
        <f>IFERROR(__xludf.DUMMYFUNCTION("GOOGLEFINANCE(""IDX:""&amp;A1496,""price"")"),382.0)</f>
        <v>382</v>
      </c>
      <c r="D1496" s="16" t="str">
        <f>IFERROR(__xludf.DUMMYFUNCTION("IF(A1496="""","""",
SPARKLINE(
INDEX(
GOOGLEFINANCE(""IDX:""&amp;A1496,""close"",TODAY()-365,TODAY()),
,2
),
{""linewidth"",1}
))
"),"#N/A")</f>
        <v>#N/A</v>
      </c>
      <c r="E1496" s="26"/>
      <c r="F1496" s="26"/>
      <c r="G1496" s="24">
        <f t="shared" si="9"/>
        <v>0</v>
      </c>
      <c r="H1496" s="19">
        <f>VLOOKUP(A1496,Metrik!$C$2:$Y$959,8,0)</f>
        <v>11.2</v>
      </c>
      <c r="I1496" s="20">
        <f>VLOOKUP(A1496,Metrik!$C$2:$Y$959,9,0)</f>
        <v>0.71</v>
      </c>
      <c r="J1496" s="20">
        <f>VLOOKUP(A1496,Metrik!$C$2:$Y$959,10,0)</f>
        <v>6.4</v>
      </c>
      <c r="K1496" s="20">
        <f>VLOOKUP(A1496,Metrik!$C$2:$Y$959,11,0)</f>
        <v>4.4</v>
      </c>
      <c r="L1496" s="20">
        <f>VLOOKUP(A1496,Metrik!$C$2:$Y$959,12,0)</f>
        <v>0.47</v>
      </c>
      <c r="M1496" s="20">
        <f>VLOOKUP(A1496,Metrik!$C$2:$Y$959,19,0)</f>
        <v>24.4</v>
      </c>
      <c r="N1496" s="21"/>
      <c r="O1496" s="21"/>
      <c r="P1496" s="21"/>
      <c r="Q1496" s="21"/>
      <c r="R1496" s="21"/>
      <c r="S1496" s="21"/>
      <c r="T1496" s="21"/>
      <c r="U1496" s="22">
        <f>IFERROR(__xludf.DUMMYFUNCTION("IFERROR(GOOGLEFINANCE(A1496,""closeyest""),"""")"),378.0)</f>
        <v>378</v>
      </c>
      <c r="V1496" s="23">
        <f>IFERROR(__xludf.DUMMYFUNCTION("IFERROR(GOOGLEFINANCE(A1496,""changepct""),"""")"),1.06)</f>
        <v>1.06</v>
      </c>
      <c r="W1496" s="22">
        <f>IFERROR(__xludf.DUMMYFUNCTION("IFERROR(GOOGLEFINANCE(A1496,""priceopen""),"""")"),378.0)</f>
        <v>378</v>
      </c>
      <c r="X1496" s="22">
        <f>IFERROR(__xludf.DUMMYFUNCTION("IFERROR(GOOGLEFINANCE(A1496,""high""),"""")"),388.0)</f>
        <v>388</v>
      </c>
      <c r="Y1496" s="22">
        <f>IFERROR(__xludf.DUMMYFUNCTION("IFERROR(GOOGLEFINANCE(A1496,""low""),"""")"),378.0)</f>
        <v>378</v>
      </c>
      <c r="Z1496" s="22">
        <f>IFERROR(__xludf.DUMMYFUNCTION("IFERROR(GOOGLEFINANCE(A1496,""volume""),"""")"),4739200.0)</f>
        <v>4739200</v>
      </c>
      <c r="AA1496" s="24" t="str">
        <f>VLOOKUP(A1496,Metrik!$C$2:$Y$959,5,0)</f>
        <v>Department Stores</v>
      </c>
      <c r="AB1496" s="24" t="str">
        <f>VLOOKUP(A1496,Metrik!$C$2:$Y$959,3,0)</f>
        <v>Consumer Cyclicals</v>
      </c>
    </row>
    <row r="1497">
      <c r="A1497" s="14" t="s">
        <v>805</v>
      </c>
      <c r="B1497" s="14" t="str">
        <f t="array" ref="B1497">VLOOKUP(A1497,{Metrik!$C$2:$C$998,Metrik!$B$2:$B$998},2,0)</f>
        <v>Supra Boga Lestari Tbk</v>
      </c>
      <c r="C1497" s="15">
        <f>IFERROR(__xludf.DUMMYFUNCTION("GOOGLEFINANCE(""IDX:""&amp;A1497,""price"")"),535.0)</f>
        <v>535</v>
      </c>
      <c r="D1497" s="16" t="str">
        <f>IFERROR(__xludf.DUMMYFUNCTION("IF(A1497="""","""",
SPARKLINE(
INDEX(
GOOGLEFINANCE(""IDX:""&amp;A1497,""close"",TODAY()-365,TODAY()),
,2
),
{""linewidth"",1}
))
"),"#N/A")</f>
        <v>#N/A</v>
      </c>
      <c r="E1497" s="26"/>
      <c r="F1497" s="26"/>
      <c r="G1497" s="24">
        <f t="shared" si="9"/>
        <v>0</v>
      </c>
      <c r="H1497" s="19">
        <f>VLOOKUP(A1497,Metrik!$C$2:$Y$959,8,0)</f>
        <v>-20.2</v>
      </c>
      <c r="I1497" s="20">
        <f>VLOOKUP(A1497,Metrik!$C$2:$Y$959,9,0)</f>
        <v>3</v>
      </c>
      <c r="J1497" s="20">
        <f>VLOOKUP(A1497,Metrik!$C$2:$Y$959,10,0)</f>
        <v>-14.9</v>
      </c>
      <c r="K1497" s="20">
        <f>VLOOKUP(A1497,Metrik!$C$2:$Y$959,11,0)</f>
        <v>-3.4</v>
      </c>
      <c r="L1497" s="20">
        <f>VLOOKUP(A1497,Metrik!$C$2:$Y$959,12,0)</f>
        <v>3.3</v>
      </c>
      <c r="M1497" s="20">
        <f>VLOOKUP(A1497,Metrik!$C$2:$Y$959,19,0)</f>
        <v>-4.9</v>
      </c>
      <c r="N1497" s="21"/>
      <c r="O1497" s="21"/>
      <c r="P1497" s="21"/>
      <c r="Q1497" s="21"/>
      <c r="R1497" s="21"/>
      <c r="S1497" s="21"/>
      <c r="T1497" s="21"/>
      <c r="U1497" s="22">
        <f>IFERROR(__xludf.DUMMYFUNCTION("IFERROR(GOOGLEFINANCE(A1497,""closeyest""),"""")"),510.0)</f>
        <v>510</v>
      </c>
      <c r="V1497" s="23">
        <f>IFERROR(__xludf.DUMMYFUNCTION("IFERROR(GOOGLEFINANCE(A1497,""changepct""),"""")"),4.9)</f>
        <v>4.9</v>
      </c>
      <c r="W1497" s="22">
        <f>IFERROR(__xludf.DUMMYFUNCTION("IFERROR(GOOGLEFINANCE(A1497,""priceopen""),"""")"),490.0)</f>
        <v>490</v>
      </c>
      <c r="X1497" s="22">
        <f>IFERROR(__xludf.DUMMYFUNCTION("IFERROR(GOOGLEFINANCE(A1497,""high""),"""")"),585.0)</f>
        <v>585</v>
      </c>
      <c r="Y1497" s="22">
        <f>IFERROR(__xludf.DUMMYFUNCTION("IFERROR(GOOGLEFINANCE(A1497,""low""),"""")"),490.0)</f>
        <v>490</v>
      </c>
      <c r="Z1497" s="22">
        <f>IFERROR(__xludf.DUMMYFUNCTION("IFERROR(GOOGLEFINANCE(A1497,""volume""),"""")"),21200.0)</f>
        <v>21200</v>
      </c>
      <c r="AA1497" s="24" t="str">
        <f>VLOOKUP(A1497,Metrik!$C$2:$Y$959,5,0)</f>
        <v>Food &amp; Staples Retailing</v>
      </c>
      <c r="AB1497" s="24" t="str">
        <f>VLOOKUP(A1497,Metrik!$C$2:$Y$959,3,0)</f>
        <v>Consumer Non-Cyclicals</v>
      </c>
    </row>
    <row r="1498">
      <c r="A1498" s="17" t="s">
        <v>806</v>
      </c>
      <c r="B1498" s="14" t="str">
        <f t="array" ref="B1498">VLOOKUP(A1498,{Metrik!$C$2:$C$998,Metrik!$B$2:$B$998},2,0)</f>
        <v>Raharja Energi Cepu Tbk.</v>
      </c>
      <c r="C1498" s="15">
        <f>IFERROR(__xludf.DUMMYFUNCTION("GOOGLEFINANCE(""IDX:""&amp;A1498,""price"")"),4710.0)</f>
        <v>4710</v>
      </c>
      <c r="D1498" s="16" t="str">
        <f>IFERROR(__xludf.DUMMYFUNCTION("IF(A1498="""","""",
SPARKLINE(
INDEX(
GOOGLEFINANCE(""IDX:""&amp;A1498,""close"",TODAY()-365,TODAY()),
,2
),
{""linewidth"",1}
))
"),"#N/A")</f>
        <v>#N/A</v>
      </c>
      <c r="E1498" s="14" t="s">
        <v>65</v>
      </c>
      <c r="F1498" s="37">
        <v>46356.0</v>
      </c>
      <c r="G1498" s="38">
        <f t="shared" si="9"/>
        <v>6</v>
      </c>
      <c r="H1498" s="34">
        <f>VLOOKUP(A1498,Metrik!$C$2:$Y$959,8,0)</f>
        <v>63.4</v>
      </c>
      <c r="I1498" s="34">
        <f>VLOOKUP(A1498,Metrik!$C$2:$Y$959,9,0)</f>
        <v>14</v>
      </c>
      <c r="J1498" s="34">
        <f>VLOOKUP(A1498,Metrik!$C$2:$Y$959,10,0)</f>
        <v>22</v>
      </c>
      <c r="K1498" s="34">
        <f>VLOOKUP(A1498,Metrik!$C$2:$Y$959,11,0)</f>
        <v>10.2</v>
      </c>
      <c r="L1498" s="34">
        <f>VLOOKUP(A1498,Metrik!$C$2:$Y$959,12,0)</f>
        <v>1.2</v>
      </c>
      <c r="M1498" s="34">
        <f>VLOOKUP(A1498,Metrik!$C$2:$Y$959,19,0)</f>
        <v>120</v>
      </c>
      <c r="N1498" s="26"/>
      <c r="O1498" s="26"/>
      <c r="P1498" s="26"/>
      <c r="Q1498" s="26"/>
      <c r="R1498" s="26"/>
      <c r="S1498" s="26"/>
      <c r="T1498" s="26"/>
      <c r="U1498" s="35">
        <f>IFERROR(__xludf.DUMMYFUNCTION("IFERROR(GOOGLEFINANCE(A1498,""closeyest""),"""")"),4540.0)</f>
        <v>4540</v>
      </c>
      <c r="V1498" s="36">
        <f>IFERROR(__xludf.DUMMYFUNCTION("IFERROR(GOOGLEFINANCE(A1498,""changepct""),"""")"),3.74)</f>
        <v>3.74</v>
      </c>
      <c r="W1498" s="35">
        <f>IFERROR(__xludf.DUMMYFUNCTION("IFERROR(GOOGLEFINANCE(A1498,""priceopen""),"""")"),4620.0)</f>
        <v>4620</v>
      </c>
      <c r="X1498" s="35">
        <f>IFERROR(__xludf.DUMMYFUNCTION("IFERROR(GOOGLEFINANCE(A1498,""high""),"""")"),4850.0)</f>
        <v>4850</v>
      </c>
      <c r="Y1498" s="35">
        <f>IFERROR(__xludf.DUMMYFUNCTION("IFERROR(GOOGLEFINANCE(A1498,""low""),"""")"),4620.0)</f>
        <v>4620</v>
      </c>
      <c r="Z1498" s="35">
        <f>IFERROR(__xludf.DUMMYFUNCTION("IFERROR(GOOGLEFINANCE(A1498,""volume""),"""")"),6294000.0)</f>
        <v>6294000</v>
      </c>
      <c r="AA1498" s="14" t="str">
        <f>VLOOKUP(A1498,Metrik!$C$2:$Y$959,5,0)</f>
        <v>Oil &amp; Gas</v>
      </c>
      <c r="AB1498" s="14" t="str">
        <f>VLOOKUP(A1498,Metrik!$C$2:$Y$959,3,0)</f>
        <v>Energy</v>
      </c>
    </row>
    <row r="1499">
      <c r="A1499" s="14" t="s">
        <v>806</v>
      </c>
      <c r="B1499" s="14" t="str">
        <f t="array" ref="B1499">VLOOKUP(A1499,{Metrik!$C$2:$C$998,Metrik!$B$2:$B$998},2,0)</f>
        <v>Raharja Energi Cepu Tbk.</v>
      </c>
      <c r="C1499" s="15">
        <f>IFERROR(__xludf.DUMMYFUNCTION("GOOGLEFINANCE(""IDX:""&amp;A1499,""price"")"),4710.0)</f>
        <v>4710</v>
      </c>
      <c r="D1499" s="16" t="str">
        <f>IFERROR(__xludf.DUMMYFUNCTION("IF(A1499="""","""",
SPARKLINE(
INDEX(
GOOGLEFINANCE(""IDX:""&amp;A1499,""close"",TODAY()-365,TODAY()),
,2
),
{""linewidth"",1}
))
"),"#N/A")</f>
        <v>#N/A</v>
      </c>
      <c r="E1499" s="14" t="s">
        <v>38</v>
      </c>
      <c r="F1499" s="25">
        <v>46356.0</v>
      </c>
      <c r="G1499" s="24">
        <f t="shared" si="9"/>
        <v>6</v>
      </c>
      <c r="H1499" s="19">
        <f>VLOOKUP(A1499,Metrik!$C$2:$Y$959,8,0)</f>
        <v>63.4</v>
      </c>
      <c r="I1499" s="20">
        <f>VLOOKUP(A1499,Metrik!$C$2:$Y$959,9,0)</f>
        <v>14</v>
      </c>
      <c r="J1499" s="20">
        <f>VLOOKUP(A1499,Metrik!$C$2:$Y$959,10,0)</f>
        <v>22</v>
      </c>
      <c r="K1499" s="20">
        <f>VLOOKUP(A1499,Metrik!$C$2:$Y$959,11,0)</f>
        <v>10.2</v>
      </c>
      <c r="L1499" s="20">
        <f>VLOOKUP(A1499,Metrik!$C$2:$Y$959,12,0)</f>
        <v>1.2</v>
      </c>
      <c r="M1499" s="20">
        <f>VLOOKUP(A1499,Metrik!$C$2:$Y$959,19,0)</f>
        <v>120</v>
      </c>
      <c r="N1499" s="21"/>
      <c r="O1499" s="21"/>
      <c r="P1499" s="21"/>
      <c r="Q1499" s="21"/>
      <c r="R1499" s="21"/>
      <c r="S1499" s="21"/>
      <c r="T1499" s="21"/>
      <c r="U1499" s="22">
        <f>IFERROR(__xludf.DUMMYFUNCTION("IFERROR(GOOGLEFINANCE(A1499,""closeyest""),"""")"),4540.0)</f>
        <v>4540</v>
      </c>
      <c r="V1499" s="23">
        <f>IFERROR(__xludf.DUMMYFUNCTION("IFERROR(GOOGLEFINANCE(A1499,""changepct""),"""")"),3.74)</f>
        <v>3.74</v>
      </c>
      <c r="W1499" s="22">
        <f>IFERROR(__xludf.DUMMYFUNCTION("IFERROR(GOOGLEFINANCE(A1499,""priceopen""),"""")"),4620.0)</f>
        <v>4620</v>
      </c>
      <c r="X1499" s="22">
        <f>IFERROR(__xludf.DUMMYFUNCTION("IFERROR(GOOGLEFINANCE(A1499,""high""),"""")"),4850.0)</f>
        <v>4850</v>
      </c>
      <c r="Y1499" s="22">
        <f>IFERROR(__xludf.DUMMYFUNCTION("IFERROR(GOOGLEFINANCE(A1499,""low""),"""")"),4620.0)</f>
        <v>4620</v>
      </c>
      <c r="Z1499" s="22">
        <f>IFERROR(__xludf.DUMMYFUNCTION("IFERROR(GOOGLEFINANCE(A1499,""volume""),"""")"),6294000.0)</f>
        <v>6294000</v>
      </c>
      <c r="AA1499" s="24" t="str">
        <f>VLOOKUP(A1499,Metrik!$C$2:$Y$959,5,0)</f>
        <v>Oil &amp; Gas</v>
      </c>
      <c r="AB1499" s="24" t="str">
        <f>VLOOKUP(A1499,Metrik!$C$2:$Y$959,3,0)</f>
        <v>Energy</v>
      </c>
    </row>
    <row r="1500">
      <c r="A1500" s="14" t="s">
        <v>806</v>
      </c>
      <c r="B1500" s="14" t="str">
        <f t="array" ref="B1500">VLOOKUP(A1500,{Metrik!$C$2:$C$998,Metrik!$B$2:$B$998},2,0)</f>
        <v>Raharja Energi Cepu Tbk.</v>
      </c>
      <c r="C1500" s="15">
        <f>IFERROR(__xludf.DUMMYFUNCTION("GOOGLEFINANCE(""IDX:""&amp;A1500,""price"")"),4710.0)</f>
        <v>4710</v>
      </c>
      <c r="D1500" s="16" t="str">
        <f>IFERROR(__xludf.DUMMYFUNCTION("IF(A1500="""","""",
SPARKLINE(
INDEX(
GOOGLEFINANCE(""IDX:""&amp;A1500,""close"",TODAY()-365,TODAY()),
,2
),
{""linewidth"",1}
))
"),"#N/A")</f>
        <v>#N/A</v>
      </c>
      <c r="E1500" s="14" t="s">
        <v>28</v>
      </c>
      <c r="F1500" s="17" t="s">
        <v>29</v>
      </c>
      <c r="G1500" s="24">
        <f t="shared" si="9"/>
        <v>6</v>
      </c>
      <c r="H1500" s="19">
        <f>VLOOKUP(A1500,Metrik!$C$2:$Y$959,8,0)</f>
        <v>63.4</v>
      </c>
      <c r="I1500" s="20">
        <f>VLOOKUP(A1500,Metrik!$C$2:$Y$959,9,0)</f>
        <v>14</v>
      </c>
      <c r="J1500" s="20">
        <f>VLOOKUP(A1500,Metrik!$C$2:$Y$959,10,0)</f>
        <v>22</v>
      </c>
      <c r="K1500" s="20">
        <f>VLOOKUP(A1500,Metrik!$C$2:$Y$959,11,0)</f>
        <v>10.2</v>
      </c>
      <c r="L1500" s="20">
        <f>VLOOKUP(A1500,Metrik!$C$2:$Y$959,12,0)</f>
        <v>1.2</v>
      </c>
      <c r="M1500" s="20">
        <f>VLOOKUP(A1500,Metrik!$C$2:$Y$959,19,0)</f>
        <v>120</v>
      </c>
      <c r="N1500" s="21"/>
      <c r="O1500" s="21"/>
      <c r="P1500" s="21"/>
      <c r="Q1500" s="21"/>
      <c r="R1500" s="21"/>
      <c r="S1500" s="21"/>
      <c r="T1500" s="21"/>
      <c r="U1500" s="22">
        <f>IFERROR(__xludf.DUMMYFUNCTION("IFERROR(GOOGLEFINANCE(A1500,""closeyest""),"""")"),4540.0)</f>
        <v>4540</v>
      </c>
      <c r="V1500" s="23">
        <f>IFERROR(__xludf.DUMMYFUNCTION("IFERROR(GOOGLEFINANCE(A1500,""changepct""),"""")"),3.74)</f>
        <v>3.74</v>
      </c>
      <c r="W1500" s="22">
        <f>IFERROR(__xludf.DUMMYFUNCTION("IFERROR(GOOGLEFINANCE(A1500,""priceopen""),"""")"),4620.0)</f>
        <v>4620</v>
      </c>
      <c r="X1500" s="22">
        <f>IFERROR(__xludf.DUMMYFUNCTION("IFERROR(GOOGLEFINANCE(A1500,""high""),"""")"),4850.0)</f>
        <v>4850</v>
      </c>
      <c r="Y1500" s="22">
        <f>IFERROR(__xludf.DUMMYFUNCTION("IFERROR(GOOGLEFINANCE(A1500,""low""),"""")"),4620.0)</f>
        <v>4620</v>
      </c>
      <c r="Z1500" s="22">
        <f>IFERROR(__xludf.DUMMYFUNCTION("IFERROR(GOOGLEFINANCE(A1500,""volume""),"""")"),6294000.0)</f>
        <v>6294000</v>
      </c>
      <c r="AA1500" s="24" t="str">
        <f>VLOOKUP(A1500,Metrik!$C$2:$Y$959,5,0)</f>
        <v>Oil &amp; Gas</v>
      </c>
      <c r="AB1500" s="24" t="str">
        <f>VLOOKUP(A1500,Metrik!$C$2:$Y$959,3,0)</f>
        <v>Energy</v>
      </c>
    </row>
    <row r="1501">
      <c r="A1501" s="14" t="s">
        <v>806</v>
      </c>
      <c r="B1501" s="14" t="str">
        <f t="array" ref="B1501">VLOOKUP(A1501,{Metrik!$C$2:$C$998,Metrik!$B$2:$B$998},2,0)</f>
        <v>Raharja Energi Cepu Tbk.</v>
      </c>
      <c r="C1501" s="15">
        <f>IFERROR(__xludf.DUMMYFUNCTION("GOOGLEFINANCE(""IDX:""&amp;A1501,""price"")"),4710.0)</f>
        <v>4710</v>
      </c>
      <c r="D1501" s="16" t="str">
        <f>IFERROR(__xludf.DUMMYFUNCTION("IF(A1501="""","""",
SPARKLINE(
INDEX(
GOOGLEFINANCE(""IDX:""&amp;A1501,""close"",TODAY()-365,TODAY()),
,2
),
{""linewidth"",1}
))
"),"#N/A")</f>
        <v>#N/A</v>
      </c>
      <c r="E1501" s="14" t="s">
        <v>32</v>
      </c>
      <c r="F1501" s="14" t="s">
        <v>29</v>
      </c>
      <c r="G1501" s="24">
        <f t="shared" si="9"/>
        <v>6</v>
      </c>
      <c r="H1501" s="19">
        <f>VLOOKUP(A1501,Metrik!$C$2:$Y$959,8,0)</f>
        <v>63.4</v>
      </c>
      <c r="I1501" s="20">
        <f>VLOOKUP(A1501,Metrik!$C$2:$Y$959,9,0)</f>
        <v>14</v>
      </c>
      <c r="J1501" s="20">
        <f>VLOOKUP(A1501,Metrik!$C$2:$Y$959,10,0)</f>
        <v>22</v>
      </c>
      <c r="K1501" s="20">
        <f>VLOOKUP(A1501,Metrik!$C$2:$Y$959,11,0)</f>
        <v>10.2</v>
      </c>
      <c r="L1501" s="20">
        <f>VLOOKUP(A1501,Metrik!$C$2:$Y$959,12,0)</f>
        <v>1.2</v>
      </c>
      <c r="M1501" s="20">
        <f>VLOOKUP(A1501,Metrik!$C$2:$Y$959,19,0)</f>
        <v>120</v>
      </c>
      <c r="N1501" s="21"/>
      <c r="O1501" s="21"/>
      <c r="P1501" s="21"/>
      <c r="Q1501" s="21"/>
      <c r="R1501" s="21"/>
      <c r="S1501" s="21"/>
      <c r="T1501" s="21"/>
      <c r="U1501" s="22">
        <f>IFERROR(__xludf.DUMMYFUNCTION("IFERROR(GOOGLEFINANCE(A1501,""closeyest""),"""")"),4540.0)</f>
        <v>4540</v>
      </c>
      <c r="V1501" s="23">
        <f>IFERROR(__xludf.DUMMYFUNCTION("IFERROR(GOOGLEFINANCE(A1501,""changepct""),"""")"),3.74)</f>
        <v>3.74</v>
      </c>
      <c r="W1501" s="22">
        <f>IFERROR(__xludf.DUMMYFUNCTION("IFERROR(GOOGLEFINANCE(A1501,""priceopen""),"""")"),4620.0)</f>
        <v>4620</v>
      </c>
      <c r="X1501" s="22">
        <f>IFERROR(__xludf.DUMMYFUNCTION("IFERROR(GOOGLEFINANCE(A1501,""high""),"""")"),4850.0)</f>
        <v>4850</v>
      </c>
      <c r="Y1501" s="22">
        <f>IFERROR(__xludf.DUMMYFUNCTION("IFERROR(GOOGLEFINANCE(A1501,""low""),"""")"),4620.0)</f>
        <v>4620</v>
      </c>
      <c r="Z1501" s="22">
        <f>IFERROR(__xludf.DUMMYFUNCTION("IFERROR(GOOGLEFINANCE(A1501,""volume""),"""")"),6294000.0)</f>
        <v>6294000</v>
      </c>
      <c r="AA1501" s="24" t="str">
        <f>VLOOKUP(A1501,Metrik!$C$2:$Y$959,5,0)</f>
        <v>Oil &amp; Gas</v>
      </c>
      <c r="AB1501" s="24" t="str">
        <f>VLOOKUP(A1501,Metrik!$C$2:$Y$959,3,0)</f>
        <v>Energy</v>
      </c>
    </row>
    <row r="1502">
      <c r="A1502" s="17" t="s">
        <v>806</v>
      </c>
      <c r="B1502" s="14" t="str">
        <f t="array" ref="B1502">VLOOKUP(A1502,{Metrik!$C$2:$C$998,Metrik!$B$2:$B$998},2,0)</f>
        <v>Raharja Energi Cepu Tbk.</v>
      </c>
      <c r="C1502" s="15">
        <f>IFERROR(__xludf.DUMMYFUNCTION("GOOGLEFINANCE(""IDX:""&amp;A1502,""price"")"),4710.0)</f>
        <v>4710</v>
      </c>
      <c r="D1502" s="16" t="str">
        <f>IFERROR(__xludf.DUMMYFUNCTION("IF(A1502="""","""",
SPARKLINE(
INDEX(
GOOGLEFINANCE(""IDX:""&amp;A1502,""close"",TODAY()-365,TODAY()),
,2
),
{""linewidth"",1}
))
"),"#N/A")</f>
        <v>#N/A</v>
      </c>
      <c r="E1502" s="14" t="s">
        <v>35</v>
      </c>
      <c r="F1502" s="17" t="s">
        <v>36</v>
      </c>
      <c r="G1502" s="33">
        <f t="shared" si="9"/>
        <v>6</v>
      </c>
      <c r="H1502" s="34">
        <f>VLOOKUP(A1502,Metrik!$C$2:$Y$959,8,0)</f>
        <v>63.4</v>
      </c>
      <c r="I1502" s="34">
        <f>VLOOKUP(A1502,Metrik!$C$2:$Y$959,9,0)</f>
        <v>14</v>
      </c>
      <c r="J1502" s="34">
        <f>VLOOKUP(A1502,Metrik!$C$2:$Y$959,10,0)</f>
        <v>22</v>
      </c>
      <c r="K1502" s="34">
        <f>VLOOKUP(A1502,Metrik!$C$2:$Y$959,11,0)</f>
        <v>10.2</v>
      </c>
      <c r="L1502" s="34">
        <f>VLOOKUP(A1502,Metrik!$C$2:$Y$959,12,0)</f>
        <v>1.2</v>
      </c>
      <c r="M1502" s="34">
        <f>VLOOKUP(A1502,Metrik!$C$2:$Y$959,19,0)</f>
        <v>120</v>
      </c>
      <c r="N1502" s="26"/>
      <c r="O1502" s="26"/>
      <c r="P1502" s="26"/>
      <c r="Q1502" s="26"/>
      <c r="R1502" s="26"/>
      <c r="S1502" s="26"/>
      <c r="T1502" s="26"/>
      <c r="U1502" s="35">
        <f>IFERROR(__xludf.DUMMYFUNCTION("IFERROR(GOOGLEFINANCE(A1502,""closeyest""),"""")"),4540.0)</f>
        <v>4540</v>
      </c>
      <c r="V1502" s="36">
        <f>IFERROR(__xludf.DUMMYFUNCTION("IFERROR(GOOGLEFINANCE(A1502,""changepct""),"""")"),3.74)</f>
        <v>3.74</v>
      </c>
      <c r="W1502" s="35">
        <f>IFERROR(__xludf.DUMMYFUNCTION("IFERROR(GOOGLEFINANCE(A1502,""priceopen""),"""")"),4620.0)</f>
        <v>4620</v>
      </c>
      <c r="X1502" s="35">
        <f>IFERROR(__xludf.DUMMYFUNCTION("IFERROR(GOOGLEFINANCE(A1502,""high""),"""")"),4850.0)</f>
        <v>4850</v>
      </c>
      <c r="Y1502" s="35">
        <f>IFERROR(__xludf.DUMMYFUNCTION("IFERROR(GOOGLEFINANCE(A1502,""low""),"""")"),4620.0)</f>
        <v>4620</v>
      </c>
      <c r="Z1502" s="35">
        <f>IFERROR(__xludf.DUMMYFUNCTION("IFERROR(GOOGLEFINANCE(A1502,""volume""),"""")"),6294000.0)</f>
        <v>6294000</v>
      </c>
      <c r="AA1502" s="14" t="str">
        <f>VLOOKUP(A1502,Metrik!$C$2:$Y$959,5,0)</f>
        <v>Oil &amp; Gas</v>
      </c>
      <c r="AB1502" s="14" t="str">
        <f>VLOOKUP(A1502,Metrik!$C$2:$Y$959,3,0)</f>
        <v>Energy</v>
      </c>
    </row>
    <row r="1503">
      <c r="A1503" s="14" t="s">
        <v>806</v>
      </c>
      <c r="B1503" s="14" t="str">
        <f t="array" ref="B1503">VLOOKUP(A1503,{Metrik!$C$2:$C$998,Metrik!$B$2:$B$998},2,0)</f>
        <v>Raharja Energi Cepu Tbk.</v>
      </c>
      <c r="C1503" s="15">
        <f>IFERROR(__xludf.DUMMYFUNCTION("GOOGLEFINANCE(""IDX:""&amp;A1503,""price"")"),4710.0)</f>
        <v>4710</v>
      </c>
      <c r="D1503" s="16" t="str">
        <f>IFERROR(__xludf.DUMMYFUNCTION("IF(A1503="""","""",
SPARKLINE(
INDEX(
GOOGLEFINANCE(""IDX:""&amp;A1503,""close"",TODAY()-365,TODAY()),
,2
),
{""linewidth"",1}
))
"),"#N/A")</f>
        <v>#N/A</v>
      </c>
      <c r="E1503" s="14" t="s">
        <v>39</v>
      </c>
      <c r="F1503" s="25">
        <v>46356.0</v>
      </c>
      <c r="G1503" s="24">
        <f t="shared" si="9"/>
        <v>6</v>
      </c>
      <c r="H1503" s="19">
        <f>VLOOKUP(A1503,Metrik!$C$2:$Y$959,8,0)</f>
        <v>63.4</v>
      </c>
      <c r="I1503" s="20">
        <f>VLOOKUP(A1503,Metrik!$C$2:$Y$959,9,0)</f>
        <v>14</v>
      </c>
      <c r="J1503" s="20">
        <f>VLOOKUP(A1503,Metrik!$C$2:$Y$959,10,0)</f>
        <v>22</v>
      </c>
      <c r="K1503" s="20">
        <f>VLOOKUP(A1503,Metrik!$C$2:$Y$959,11,0)</f>
        <v>10.2</v>
      </c>
      <c r="L1503" s="20">
        <f>VLOOKUP(A1503,Metrik!$C$2:$Y$959,12,0)</f>
        <v>1.2</v>
      </c>
      <c r="M1503" s="20">
        <f>VLOOKUP(A1503,Metrik!$C$2:$Y$959,19,0)</f>
        <v>120</v>
      </c>
      <c r="N1503" s="21"/>
      <c r="O1503" s="21"/>
      <c r="P1503" s="21"/>
      <c r="Q1503" s="21"/>
      <c r="R1503" s="21"/>
      <c r="S1503" s="21"/>
      <c r="T1503" s="21"/>
      <c r="U1503" s="22">
        <f>IFERROR(__xludf.DUMMYFUNCTION("IFERROR(GOOGLEFINANCE(A1503,""closeyest""),"""")"),4540.0)</f>
        <v>4540</v>
      </c>
      <c r="V1503" s="23">
        <f>IFERROR(__xludf.DUMMYFUNCTION("IFERROR(GOOGLEFINANCE(A1503,""changepct""),"""")"),3.74)</f>
        <v>3.74</v>
      </c>
      <c r="W1503" s="22">
        <f>IFERROR(__xludf.DUMMYFUNCTION("IFERROR(GOOGLEFINANCE(A1503,""priceopen""),"""")"),4620.0)</f>
        <v>4620</v>
      </c>
      <c r="X1503" s="22">
        <f>IFERROR(__xludf.DUMMYFUNCTION("IFERROR(GOOGLEFINANCE(A1503,""high""),"""")"),4850.0)</f>
        <v>4850</v>
      </c>
      <c r="Y1503" s="22">
        <f>IFERROR(__xludf.DUMMYFUNCTION("IFERROR(GOOGLEFINANCE(A1503,""low""),"""")"),4620.0)</f>
        <v>4620</v>
      </c>
      <c r="Z1503" s="22">
        <f>IFERROR(__xludf.DUMMYFUNCTION("IFERROR(GOOGLEFINANCE(A1503,""volume""),"""")"),6294000.0)</f>
        <v>6294000</v>
      </c>
      <c r="AA1503" s="24" t="str">
        <f>VLOOKUP(A1503,Metrik!$C$2:$Y$959,5,0)</f>
        <v>Oil &amp; Gas</v>
      </c>
      <c r="AB1503" s="24" t="str">
        <f>VLOOKUP(A1503,Metrik!$C$2:$Y$959,3,0)</f>
        <v>Energy</v>
      </c>
    </row>
    <row r="1504">
      <c r="A1504" s="14" t="s">
        <v>807</v>
      </c>
      <c r="B1504" s="14" t="str">
        <f t="array" ref="B1504">VLOOKUP(A1504,{Metrik!$C$2:$C$998,Metrik!$B$2:$B$998},2,0)</f>
        <v>Ristia Bintang Mahkotasejati Tbk.</v>
      </c>
      <c r="C1504" s="15">
        <f>IFERROR(__xludf.DUMMYFUNCTION("GOOGLEFINANCE(""IDX:""&amp;A1504,""price"")"),54.0)</f>
        <v>54</v>
      </c>
      <c r="D1504" s="16" t="str">
        <f>IFERROR(__xludf.DUMMYFUNCTION("IF(A1504="""","""",
SPARKLINE(
INDEX(
GOOGLEFINANCE(""IDX:""&amp;A1504,""close"",TODAY()-365,TODAY()),
,2
),
{""linewidth"",1}
))
"),"#N/A")</f>
        <v>#N/A</v>
      </c>
      <c r="E1504" s="26"/>
      <c r="F1504" s="26"/>
      <c r="G1504" s="24">
        <f t="shared" si="9"/>
        <v>0</v>
      </c>
      <c r="H1504" s="19">
        <f>VLOOKUP(A1504,Metrik!$C$2:$Y$959,8,0)</f>
        <v>33.2</v>
      </c>
      <c r="I1504" s="20">
        <f>VLOOKUP(A1504,Metrik!$C$2:$Y$959,9,0)</f>
        <v>0.34</v>
      </c>
      <c r="J1504" s="20">
        <f>VLOOKUP(A1504,Metrik!$C$2:$Y$959,10,0)</f>
        <v>1</v>
      </c>
      <c r="K1504" s="20">
        <f>VLOOKUP(A1504,Metrik!$C$2:$Y$959,11,0)</f>
        <v>0.66</v>
      </c>
      <c r="L1504" s="20">
        <f>VLOOKUP(A1504,Metrik!$C$2:$Y$959,12,0)</f>
        <v>0.56</v>
      </c>
      <c r="M1504" s="20">
        <f>VLOOKUP(A1504,Metrik!$C$2:$Y$959,19,0)</f>
        <v>12.4</v>
      </c>
      <c r="N1504" s="21"/>
      <c r="O1504" s="21"/>
      <c r="P1504" s="21"/>
      <c r="Q1504" s="21"/>
      <c r="R1504" s="21"/>
      <c r="S1504" s="21"/>
      <c r="T1504" s="21"/>
      <c r="U1504" s="22">
        <f>IFERROR(__xludf.DUMMYFUNCTION("IFERROR(GOOGLEFINANCE(A1504,""closeyest""),"""")"),53.0)</f>
        <v>53</v>
      </c>
      <c r="V1504" s="23">
        <f>IFERROR(__xludf.DUMMYFUNCTION("IFERROR(GOOGLEFINANCE(A1504,""changepct""),"""")"),1.89)</f>
        <v>1.89</v>
      </c>
      <c r="W1504" s="22">
        <f>IFERROR(__xludf.DUMMYFUNCTION("IFERROR(GOOGLEFINANCE(A1504,""priceopen""),"""")"),53.0)</f>
        <v>53</v>
      </c>
      <c r="X1504" s="22" t="str">
        <f>IFERROR(__xludf.DUMMYFUNCTION("IFERROR(GOOGLEFINANCE(A1504,""high""),"""")"),"")</f>
        <v/>
      </c>
      <c r="Y1504" s="22">
        <f>IFERROR(__xludf.DUMMYFUNCTION("IFERROR(GOOGLEFINANCE(A1504,""low""),"""")"),52.0)</f>
        <v>52</v>
      </c>
      <c r="Z1504" s="22">
        <f>IFERROR(__xludf.DUMMYFUNCTION("IFERROR(GOOGLEFINANCE(A1504,""volume""),"""")"),1.970338E8)</f>
        <v>197033800</v>
      </c>
      <c r="AA1504" s="24" t="str">
        <f>VLOOKUP(A1504,Metrik!$C$2:$Y$959,5,0)</f>
        <v>Real Estate Management &amp; Development</v>
      </c>
      <c r="AB1504" s="24" t="str">
        <f>VLOOKUP(A1504,Metrik!$C$2:$Y$959,3,0)</f>
        <v>Properties &amp; Real Estate</v>
      </c>
    </row>
    <row r="1505">
      <c r="A1505" s="14" t="s">
        <v>808</v>
      </c>
      <c r="B1505" s="14" t="str">
        <f t="array" ref="B1505">VLOOKUP(A1505,{Metrik!$C$2:$C$998,Metrik!$B$2:$B$998},2,0)</f>
        <v>Utama Radar Cahaya Tbk.</v>
      </c>
      <c r="C1505" s="15">
        <f>IFERROR(__xludf.DUMMYFUNCTION("GOOGLEFINANCE(""IDX:""&amp;A1505,""price"")"),80.0)</f>
        <v>80</v>
      </c>
      <c r="D1505" s="16" t="str">
        <f>IFERROR(__xludf.DUMMYFUNCTION("IF(A1505="""","""",
SPARKLINE(
INDEX(
GOOGLEFINANCE(""IDX:""&amp;A1505,""close"",TODAY()-365,TODAY()),
,2
),
{""linewidth"",1}
))
"),"#N/A")</f>
        <v>#N/A</v>
      </c>
      <c r="E1505" s="26"/>
      <c r="F1505" s="26"/>
      <c r="G1505" s="24">
        <f t="shared" si="9"/>
        <v>0</v>
      </c>
      <c r="H1505" s="19">
        <f>VLOOKUP(A1505,Metrik!$C$2:$Y$959,8,0)</f>
        <v>16.2</v>
      </c>
      <c r="I1505" s="20">
        <f>VLOOKUP(A1505,Metrik!$C$2:$Y$959,9,0)</f>
        <v>1.5</v>
      </c>
      <c r="J1505" s="20">
        <f>VLOOKUP(A1505,Metrik!$C$2:$Y$959,10,0)</f>
        <v>9.4</v>
      </c>
      <c r="K1505" s="20">
        <f>VLOOKUP(A1505,Metrik!$C$2:$Y$959,11,0)</f>
        <v>4.8</v>
      </c>
      <c r="L1505" s="20">
        <f>VLOOKUP(A1505,Metrik!$C$2:$Y$959,12,0)</f>
        <v>0.96</v>
      </c>
      <c r="M1505" s="20">
        <f>VLOOKUP(A1505,Metrik!$C$2:$Y$959,19,0)</f>
        <v>20.4</v>
      </c>
      <c r="N1505" s="21"/>
      <c r="O1505" s="21"/>
      <c r="P1505" s="21"/>
      <c r="Q1505" s="21"/>
      <c r="R1505" s="21"/>
      <c r="S1505" s="21"/>
      <c r="T1505" s="21"/>
      <c r="U1505" s="22">
        <f>IFERROR(__xludf.DUMMYFUNCTION("IFERROR(GOOGLEFINANCE(A1505,""closeyest""),"""")"),81.0)</f>
        <v>81</v>
      </c>
      <c r="V1505" s="23">
        <f>IFERROR(__xludf.DUMMYFUNCTION("IFERROR(GOOGLEFINANCE(A1505,""changepct""),"""")"),-1.23)</f>
        <v>-1.23</v>
      </c>
      <c r="W1505" s="22">
        <f>IFERROR(__xludf.DUMMYFUNCTION("IFERROR(GOOGLEFINANCE(A1505,""priceopen""),"""")"),81.0)</f>
        <v>81</v>
      </c>
      <c r="X1505" s="22">
        <f>IFERROR(__xludf.DUMMYFUNCTION("IFERROR(GOOGLEFINANCE(A1505,""high""),"""")"),82.0)</f>
        <v>82</v>
      </c>
      <c r="Y1505" s="22">
        <f>IFERROR(__xludf.DUMMYFUNCTION("IFERROR(GOOGLEFINANCE(A1505,""low""),"""")"),79.0)</f>
        <v>79</v>
      </c>
      <c r="Z1505" s="22">
        <f>IFERROR(__xludf.DUMMYFUNCTION("IFERROR(GOOGLEFINANCE(A1505,""volume""),"""")"),823200.0)</f>
        <v>823200</v>
      </c>
      <c r="AA1505" s="24" t="str">
        <f>VLOOKUP(A1505,Metrik!$C$2:$Y$959,5,0)</f>
        <v>Logistics &amp; Deliveries</v>
      </c>
      <c r="AB1505" s="24" t="str">
        <f>VLOOKUP(A1505,Metrik!$C$2:$Y$959,3,0)</f>
        <v>Transportation &amp; Logistic</v>
      </c>
    </row>
    <row r="1506">
      <c r="A1506" s="14" t="s">
        <v>809</v>
      </c>
      <c r="B1506" s="14" t="str">
        <f t="array" ref="B1506">VLOOKUP(A1506,{Metrik!$C$2:$C$998,Metrik!$B$2:$B$998},2,0)</f>
        <v>Roda Vivatex Tbk</v>
      </c>
      <c r="C1506" s="15">
        <f>IFERROR(__xludf.DUMMYFUNCTION("GOOGLEFINANCE(""IDX:""&amp;A1506,""price"")"),14300.0)</f>
        <v>14300</v>
      </c>
      <c r="D1506" s="16" t="str">
        <f>IFERROR(__xludf.DUMMYFUNCTION("IF(A1506="""","""",
SPARKLINE(
INDEX(
GOOGLEFINANCE(""IDX:""&amp;A1506,""close"",TODAY()-365,TODAY()),
,2
),
{""linewidth"",1}
))
"),"#N/A")</f>
        <v>#N/A</v>
      </c>
      <c r="E1506" s="26"/>
      <c r="F1506" s="26"/>
      <c r="G1506" s="24">
        <f t="shared" si="9"/>
        <v>0</v>
      </c>
      <c r="H1506" s="19">
        <f>VLOOKUP(A1506,Metrik!$C$2:$Y$959,8,0)</f>
        <v>12.1</v>
      </c>
      <c r="I1506" s="20">
        <f>VLOOKUP(A1506,Metrik!$C$2:$Y$959,9,0)</f>
        <v>1.4</v>
      </c>
      <c r="J1506" s="20">
        <f>VLOOKUP(A1506,Metrik!$C$2:$Y$959,10,0)</f>
        <v>11.1</v>
      </c>
      <c r="K1506" s="20">
        <f>VLOOKUP(A1506,Metrik!$C$2:$Y$959,11,0)</f>
        <v>9.9</v>
      </c>
      <c r="L1506" s="20">
        <f>VLOOKUP(A1506,Metrik!$C$2:$Y$959,12,0)</f>
        <v>0.12</v>
      </c>
      <c r="M1506" s="20">
        <f>VLOOKUP(A1506,Metrik!$C$2:$Y$959,19,0)</f>
        <v>260</v>
      </c>
      <c r="N1506" s="21"/>
      <c r="O1506" s="21"/>
      <c r="P1506" s="21"/>
      <c r="Q1506" s="21"/>
      <c r="R1506" s="21"/>
      <c r="S1506" s="21"/>
      <c r="T1506" s="21"/>
      <c r="U1506" s="22">
        <f>IFERROR(__xludf.DUMMYFUNCTION("IFERROR(GOOGLEFINANCE(A1506,""closeyest""),"""")"),14475.0)</f>
        <v>14475</v>
      </c>
      <c r="V1506" s="23">
        <f>IFERROR(__xludf.DUMMYFUNCTION("IFERROR(GOOGLEFINANCE(A1506,""changepct""),"""")"),-1.21)</f>
        <v>-1.21</v>
      </c>
      <c r="W1506" s="22">
        <f>IFERROR(__xludf.DUMMYFUNCTION("IFERROR(GOOGLEFINANCE(A1506,""priceopen""),"""")"),14300.0)</f>
        <v>14300</v>
      </c>
      <c r="X1506" s="22">
        <f>IFERROR(__xludf.DUMMYFUNCTION("IFERROR(GOOGLEFINANCE(A1506,""high""),"""")"),14300.0)</f>
        <v>14300</v>
      </c>
      <c r="Y1506" s="22">
        <f>IFERROR(__xludf.DUMMYFUNCTION("IFERROR(GOOGLEFINANCE(A1506,""low""),"""")"),14300.0)</f>
        <v>14300</v>
      </c>
      <c r="Z1506" s="22">
        <f>IFERROR(__xludf.DUMMYFUNCTION("IFERROR(GOOGLEFINANCE(A1506,""volume""),"""")"),3100.0)</f>
        <v>3100</v>
      </c>
      <c r="AA1506" s="24" t="str">
        <f>VLOOKUP(A1506,Metrik!$C$2:$Y$959,5,0)</f>
        <v>Real Estate Management &amp; Development</v>
      </c>
      <c r="AB1506" s="24" t="str">
        <f>VLOOKUP(A1506,Metrik!$C$2:$Y$959,3,0)</f>
        <v>Properties &amp; Real Estate</v>
      </c>
    </row>
    <row r="1507">
      <c r="A1507" s="14" t="s">
        <v>810</v>
      </c>
      <c r="B1507" s="14" t="str">
        <f t="array" ref="B1507">VLOOKUP(A1507,{Metrik!$C$2:$C$998,Metrik!$B$2:$B$998},2,0)</f>
        <v>Repower Asia Indonesia Tbk.</v>
      </c>
      <c r="C1507" s="15">
        <f>IFERROR(__xludf.DUMMYFUNCTION("GOOGLEFINANCE(""IDX:""&amp;A1507,""price"")"),50.0)</f>
        <v>50</v>
      </c>
      <c r="D1507" s="16" t="str">
        <f>IFERROR(__xludf.DUMMYFUNCTION("IF(A1507="""","""",
SPARKLINE(
INDEX(
GOOGLEFINANCE(""IDX:""&amp;A1507,""close"",TODAY()-365,TODAY()),
,2
),
{""linewidth"",1}
))
"),"#N/A")</f>
        <v>#N/A</v>
      </c>
      <c r="E1507" s="26"/>
      <c r="F1507" s="26"/>
      <c r="G1507" s="24">
        <f t="shared" si="9"/>
        <v>0</v>
      </c>
      <c r="H1507" s="19">
        <f>VLOOKUP(A1507,Metrik!$C$2:$Y$959,8,0)</f>
        <v>-130</v>
      </c>
      <c r="I1507" s="20">
        <f>VLOOKUP(A1507,Metrik!$C$2:$Y$959,9,0)</f>
        <v>0.91</v>
      </c>
      <c r="J1507" s="20">
        <f>VLOOKUP(A1507,Metrik!$C$2:$Y$959,10,0)</f>
        <v>-0.72</v>
      </c>
      <c r="K1507" s="20">
        <f>VLOOKUP(A1507,Metrik!$C$2:$Y$959,11,0)</f>
        <v>-0.71</v>
      </c>
      <c r="L1507" s="20">
        <f>VLOOKUP(A1507,Metrik!$C$2:$Y$959,12,0)</f>
        <v>0.01</v>
      </c>
      <c r="M1507" s="20">
        <f>VLOOKUP(A1507,Metrik!$C$2:$Y$959,19,0)</f>
        <v>-180</v>
      </c>
      <c r="N1507" s="21"/>
      <c r="O1507" s="21"/>
      <c r="P1507" s="21"/>
      <c r="Q1507" s="21"/>
      <c r="R1507" s="21"/>
      <c r="S1507" s="21"/>
      <c r="T1507" s="21"/>
      <c r="U1507" s="22">
        <f>IFERROR(__xludf.DUMMYFUNCTION("IFERROR(GOOGLEFINANCE(A1507,""closeyest""),"""")"),9.84)</f>
        <v>9.84</v>
      </c>
      <c r="V1507" s="23">
        <f>IFERROR(__xludf.DUMMYFUNCTION("IFERROR(GOOGLEFINANCE(A1507,""changepct""),"""")"),4.47)</f>
        <v>4.47</v>
      </c>
      <c r="W1507" s="22">
        <f>IFERROR(__xludf.DUMMYFUNCTION("IFERROR(GOOGLEFINANCE(A1507,""priceopen""),"""")"),9.95)</f>
        <v>9.95</v>
      </c>
      <c r="X1507" s="22">
        <f>IFERROR(__xludf.DUMMYFUNCTION("IFERROR(GOOGLEFINANCE(A1507,""high""),"""")"),10.3)</f>
        <v>10.3</v>
      </c>
      <c r="Y1507" s="22">
        <f>IFERROR(__xludf.DUMMYFUNCTION("IFERROR(GOOGLEFINANCE(A1507,""low""),"""")"),9.77)</f>
        <v>9.77</v>
      </c>
      <c r="Z1507" s="22">
        <f>IFERROR(__xludf.DUMMYFUNCTION("IFERROR(GOOGLEFINANCE(A1507,""volume""),"""")"),2233652.0)</f>
        <v>2233652</v>
      </c>
      <c r="AA1507" s="24" t="str">
        <f>VLOOKUP(A1507,Metrik!$C$2:$Y$959,5,0)</f>
        <v>Real Estate Management &amp; Development</v>
      </c>
      <c r="AB1507" s="24" t="str">
        <f>VLOOKUP(A1507,Metrik!$C$2:$Y$959,3,0)</f>
        <v>Properties &amp; Real Estate</v>
      </c>
    </row>
    <row r="1508">
      <c r="A1508" s="14" t="s">
        <v>811</v>
      </c>
      <c r="B1508" s="14" t="str">
        <f t="array" ref="B1508">VLOOKUP(A1508,{Metrik!$C$2:$C$998,Metrik!$B$2:$B$998},2,0)</f>
        <v>PT Graha Mitra Asia Tbk.</v>
      </c>
      <c r="C1508" s="15">
        <f>IFERROR(__xludf.DUMMYFUNCTION("GOOGLEFINANCE(""IDX:""&amp;A1508,""price"")"),34.0)</f>
        <v>34</v>
      </c>
      <c r="D1508" s="16" t="str">
        <f>IFERROR(__xludf.DUMMYFUNCTION("IF(A1508="""","""",
SPARKLINE(
INDEX(
GOOGLEFINANCE(""IDX:""&amp;A1508,""close"",TODAY()-365,TODAY()),
,2
),
{""linewidth"",1}
))
"),"#N/A")</f>
        <v>#N/A</v>
      </c>
      <c r="E1508" s="26"/>
      <c r="F1508" s="26"/>
      <c r="G1508" s="24">
        <f t="shared" si="9"/>
        <v>0</v>
      </c>
      <c r="H1508" s="19">
        <f>VLOOKUP(A1508,Metrik!$C$2:$Y$959,8,0)</f>
        <v>24.8</v>
      </c>
      <c r="I1508" s="20">
        <f>VLOOKUP(A1508,Metrik!$C$2:$Y$959,9,0)</f>
        <v>0.87</v>
      </c>
      <c r="J1508" s="20">
        <f>VLOOKUP(A1508,Metrik!$C$2:$Y$959,10,0)</f>
        <v>3.5</v>
      </c>
      <c r="K1508" s="20">
        <f>VLOOKUP(A1508,Metrik!$C$2:$Y$959,11,0)</f>
        <v>3</v>
      </c>
      <c r="L1508" s="20">
        <f>VLOOKUP(A1508,Metrik!$C$2:$Y$959,12,0)</f>
        <v>0.18</v>
      </c>
      <c r="M1508" s="20">
        <f>VLOOKUP(A1508,Metrik!$C$2:$Y$959,19,0)</f>
        <v>21.6</v>
      </c>
      <c r="N1508" s="21"/>
      <c r="O1508" s="21"/>
      <c r="P1508" s="21"/>
      <c r="Q1508" s="21"/>
      <c r="R1508" s="21"/>
      <c r="S1508" s="21"/>
      <c r="T1508" s="21"/>
      <c r="U1508" s="22">
        <f>IFERROR(__xludf.DUMMYFUNCTION("IFERROR(GOOGLEFINANCE(A1508,""closeyest""),"""")"),34.0)</f>
        <v>34</v>
      </c>
      <c r="V1508" s="23">
        <f>IFERROR(__xludf.DUMMYFUNCTION("IFERROR(GOOGLEFINANCE(A1508,""changepct""),"""")"),0.0)</f>
        <v>0</v>
      </c>
      <c r="W1508" s="22">
        <f>IFERROR(__xludf.DUMMYFUNCTION("IFERROR(GOOGLEFINANCE(A1508,""priceopen""),"""")"),33.0)</f>
        <v>33</v>
      </c>
      <c r="X1508" s="22">
        <f>IFERROR(__xludf.DUMMYFUNCTION("IFERROR(GOOGLEFINANCE(A1508,""high""),"""")"),34.0)</f>
        <v>34</v>
      </c>
      <c r="Y1508" s="22">
        <f>IFERROR(__xludf.DUMMYFUNCTION("IFERROR(GOOGLEFINANCE(A1508,""low""),"""")"),32.0)</f>
        <v>32</v>
      </c>
      <c r="Z1508" s="22">
        <f>IFERROR(__xludf.DUMMYFUNCTION("IFERROR(GOOGLEFINANCE(A1508,""volume""),"""")"),3292100.0)</f>
        <v>3292100</v>
      </c>
      <c r="AA1508" s="24" t="str">
        <f>VLOOKUP(A1508,Metrik!$C$2:$Y$959,5,0)</f>
        <v>Real Estate Management &amp; Development</v>
      </c>
      <c r="AB1508" s="24" t="str">
        <f>VLOOKUP(A1508,Metrik!$C$2:$Y$959,3,0)</f>
        <v>Properties &amp; Real Estate</v>
      </c>
    </row>
    <row r="1509">
      <c r="A1509" s="14" t="s">
        <v>812</v>
      </c>
      <c r="B1509" s="14" t="str">
        <f t="array" ref="B1509">VLOOKUP(A1509,{Metrik!$C$2:$C$998,Metrik!$B$2:$B$998},2,0)</f>
        <v>Reliance Sekuritas Indonesia Tbk.</v>
      </c>
      <c r="C1509" s="15">
        <f>IFERROR(__xludf.DUMMYFUNCTION("GOOGLEFINANCE(""IDX:""&amp;A1509,""price"")"),484.0)</f>
        <v>484</v>
      </c>
      <c r="D1509" s="16" t="str">
        <f>IFERROR(__xludf.DUMMYFUNCTION("IF(A1509="""","""",
SPARKLINE(
INDEX(
GOOGLEFINANCE(""IDX:""&amp;A1509,""close"",TODAY()-365,TODAY()),
,2
),
{""linewidth"",1}
))
"),"#N/A")</f>
        <v>#N/A</v>
      </c>
      <c r="E1509" s="26"/>
      <c r="F1509" s="26"/>
      <c r="G1509" s="24">
        <f t="shared" si="9"/>
        <v>0</v>
      </c>
      <c r="H1509" s="19">
        <f>VLOOKUP(A1509,Metrik!$C$2:$Y$959,8,0)</f>
        <v>74.4</v>
      </c>
      <c r="I1509" s="20">
        <f>VLOOKUP(A1509,Metrik!$C$2:$Y$959,9,0)</f>
        <v>1.7</v>
      </c>
      <c r="J1509" s="20">
        <f>VLOOKUP(A1509,Metrik!$C$2:$Y$959,10,0)</f>
        <v>2.3</v>
      </c>
      <c r="K1509" s="20">
        <f>VLOOKUP(A1509,Metrik!$C$2:$Y$959,11,0)</f>
        <v>1.7</v>
      </c>
      <c r="L1509" s="20">
        <f>VLOOKUP(A1509,Metrik!$C$2:$Y$959,12,0)</f>
        <v>0.33</v>
      </c>
      <c r="M1509" s="20">
        <f>VLOOKUP(A1509,Metrik!$C$2:$Y$959,19,0)</f>
        <v>210</v>
      </c>
      <c r="N1509" s="21"/>
      <c r="O1509" s="21"/>
      <c r="P1509" s="21"/>
      <c r="Q1509" s="21"/>
      <c r="R1509" s="21"/>
      <c r="S1509" s="21"/>
      <c r="T1509" s="21"/>
      <c r="U1509" s="22">
        <f>IFERROR(__xludf.DUMMYFUNCTION("IFERROR(GOOGLEFINANCE(A1509,""closeyest""),"""")"),486.0)</f>
        <v>486</v>
      </c>
      <c r="V1509" s="23">
        <f>IFERROR(__xludf.DUMMYFUNCTION("IFERROR(GOOGLEFINANCE(A1509,""changepct""),"""")"),-0.41)</f>
        <v>-0.41</v>
      </c>
      <c r="W1509" s="22">
        <f>IFERROR(__xludf.DUMMYFUNCTION("IFERROR(GOOGLEFINANCE(A1509,""priceopen""),"""")"),486.0)</f>
        <v>486</v>
      </c>
      <c r="X1509" s="22">
        <f>IFERROR(__xludf.DUMMYFUNCTION("IFERROR(GOOGLEFINANCE(A1509,""high""),"""")"),488.0)</f>
        <v>488</v>
      </c>
      <c r="Y1509" s="22">
        <f>IFERROR(__xludf.DUMMYFUNCTION("IFERROR(GOOGLEFINANCE(A1509,""low""),"""")"),472.0)</f>
        <v>472</v>
      </c>
      <c r="Z1509" s="22">
        <f>IFERROR(__xludf.DUMMYFUNCTION("IFERROR(GOOGLEFINANCE(A1509,""volume""),"""")"),3700.0)</f>
        <v>3700</v>
      </c>
      <c r="AA1509" s="24" t="str">
        <f>VLOOKUP(A1509,Metrik!$C$2:$Y$959,5,0)</f>
        <v>Investment Services</v>
      </c>
      <c r="AB1509" s="24" t="str">
        <f>VLOOKUP(A1509,Metrik!$C$2:$Y$959,3,0)</f>
        <v>Financials</v>
      </c>
    </row>
    <row r="1510">
      <c r="A1510" s="14" t="s">
        <v>813</v>
      </c>
      <c r="B1510" s="14" t="str">
        <f t="array" ref="B1510">VLOOKUP(A1510,{Metrik!$C$2:$C$998,Metrik!$B$2:$B$998},2,0)</f>
        <v>Kian Santang Muliatama Tbk.</v>
      </c>
      <c r="C1510" s="15">
        <f>IFERROR(__xludf.DUMMYFUNCTION("GOOGLEFINANCE(""IDX:""&amp;A1510,""price"")"),149.0)</f>
        <v>149</v>
      </c>
      <c r="D1510" s="16" t="str">
        <f>IFERROR(__xludf.DUMMYFUNCTION("IF(A1510="""","""",
SPARKLINE(
INDEX(
GOOGLEFINANCE(""IDX:""&amp;A1510,""close"",TODAY()-365,TODAY()),
,2
),
{""linewidth"",1}
))
"),"#N/A")</f>
        <v>#N/A</v>
      </c>
      <c r="E1510" s="26"/>
      <c r="F1510" s="26"/>
      <c r="G1510" s="24">
        <f t="shared" si="9"/>
        <v>0</v>
      </c>
      <c r="H1510" s="19">
        <f>VLOOKUP(A1510,Metrik!$C$2:$Y$959,8,0)</f>
        <v>9.7</v>
      </c>
      <c r="I1510" s="20">
        <f>VLOOKUP(A1510,Metrik!$C$2:$Y$959,9,0)</f>
        <v>1.4</v>
      </c>
      <c r="J1510" s="20">
        <f>VLOOKUP(A1510,Metrik!$C$2:$Y$959,10,0)</f>
        <v>14.7</v>
      </c>
      <c r="K1510" s="20">
        <f>VLOOKUP(A1510,Metrik!$C$2:$Y$959,11,0)</f>
        <v>12.2</v>
      </c>
      <c r="L1510" s="20">
        <f>VLOOKUP(A1510,Metrik!$C$2:$Y$959,12,0)</f>
        <v>0.2</v>
      </c>
      <c r="M1510" s="20">
        <f>VLOOKUP(A1510,Metrik!$C$2:$Y$959,19,0)</f>
        <v>51.7</v>
      </c>
      <c r="N1510" s="21"/>
      <c r="O1510" s="21"/>
      <c r="P1510" s="21"/>
      <c r="Q1510" s="21"/>
      <c r="R1510" s="21"/>
      <c r="S1510" s="21"/>
      <c r="T1510" s="21"/>
      <c r="U1510" s="22">
        <f>IFERROR(__xludf.DUMMYFUNCTION("IFERROR(GOOGLEFINANCE(A1510,""closeyest""),"""")"),150.0)</f>
        <v>150</v>
      </c>
      <c r="V1510" s="23">
        <f>IFERROR(__xludf.DUMMYFUNCTION("IFERROR(GOOGLEFINANCE(A1510,""changepct""),"""")"),-0.67)</f>
        <v>-0.67</v>
      </c>
      <c r="W1510" s="22">
        <f>IFERROR(__xludf.DUMMYFUNCTION("IFERROR(GOOGLEFINANCE(A1510,""priceopen""),"""")"),154.0)</f>
        <v>154</v>
      </c>
      <c r="X1510" s="22">
        <f>IFERROR(__xludf.DUMMYFUNCTION("IFERROR(GOOGLEFINANCE(A1510,""high""),"""")"),165.0)</f>
        <v>165</v>
      </c>
      <c r="Y1510" s="22">
        <f>IFERROR(__xludf.DUMMYFUNCTION("IFERROR(GOOGLEFINANCE(A1510,""low""),"""")"),144.0)</f>
        <v>144</v>
      </c>
      <c r="Z1510" s="22">
        <f>IFERROR(__xludf.DUMMYFUNCTION("IFERROR(GOOGLEFINANCE(A1510,""volume""),"""")"),1.120467E8)</f>
        <v>112046700</v>
      </c>
      <c r="AA1510" s="24" t="str">
        <f>VLOOKUP(A1510,Metrik!$C$2:$Y$959,5,0)</f>
        <v>Oil, Gas &amp; Coal Supports</v>
      </c>
      <c r="AB1510" s="24" t="str">
        <f>VLOOKUP(A1510,Metrik!$C$2:$Y$959,3,0)</f>
        <v>Energy</v>
      </c>
    </row>
    <row r="1511">
      <c r="A1511" s="14" t="s">
        <v>814</v>
      </c>
      <c r="B1511" s="14" t="str">
        <f t="array" ref="B1511">VLOOKUP(A1511,{Metrik!$C$2:$C$998,Metrik!$B$2:$B$998},2,0)</f>
        <v>Ricky Putra Globalindo Tbk</v>
      </c>
      <c r="C1511" s="15">
        <f>IFERROR(__xludf.DUMMYFUNCTION("GOOGLEFINANCE(""IDX:""&amp;A1511,""price"")"),72.0)</f>
        <v>72</v>
      </c>
      <c r="D1511" s="16" t="str">
        <f>IFERROR(__xludf.DUMMYFUNCTION("IF(A1511="""","""",
SPARKLINE(
INDEX(
GOOGLEFINANCE(""IDX:""&amp;A1511,""close"",TODAY()-365,TODAY()),
,2
),
{""linewidth"",1}
))
"),"#N/A")</f>
        <v>#N/A</v>
      </c>
      <c r="E1511" s="26"/>
      <c r="F1511" s="26"/>
      <c r="G1511" s="24">
        <f t="shared" si="9"/>
        <v>0</v>
      </c>
      <c r="H1511" s="19">
        <f>VLOOKUP(A1511,Metrik!$C$2:$Y$959,8,0)</f>
        <v>-0.16</v>
      </c>
      <c r="I1511" s="20">
        <f>VLOOKUP(A1511,Metrik!$C$2:$Y$959,9,0)</f>
        <v>0.19</v>
      </c>
      <c r="J1511" s="20">
        <f>VLOOKUP(A1511,Metrik!$C$2:$Y$959,10,0)</f>
        <v>-120</v>
      </c>
      <c r="K1511" s="20">
        <f>VLOOKUP(A1511,Metrik!$C$2:$Y$959,11,0)</f>
        <v>-17.3</v>
      </c>
      <c r="L1511" s="20">
        <f>VLOOKUP(A1511,Metrik!$C$2:$Y$959,12,0)</f>
        <v>6.2</v>
      </c>
      <c r="M1511" s="20">
        <f>VLOOKUP(A1511,Metrik!$C$2:$Y$959,19,0)</f>
        <v>-270</v>
      </c>
      <c r="N1511" s="21"/>
      <c r="O1511" s="21"/>
      <c r="P1511" s="21"/>
      <c r="Q1511" s="21"/>
      <c r="R1511" s="21"/>
      <c r="S1511" s="21"/>
      <c r="T1511" s="21"/>
      <c r="U1511" s="22">
        <f>IFERROR(__xludf.DUMMYFUNCTION("IFERROR(GOOGLEFINANCE(A1511,""closeyest""),"""")"),69.0)</f>
        <v>69</v>
      </c>
      <c r="V1511" s="23" t="str">
        <f>IFERROR(__xludf.DUMMYFUNCTION("IFERROR(GOOGLEFINANCE(A1511,""changepct""),"""")"),"")</f>
        <v/>
      </c>
      <c r="W1511" s="22">
        <f>IFERROR(__xludf.DUMMYFUNCTION("IFERROR(GOOGLEFINANCE(A1511,""priceopen""),"""")"),73.0)</f>
        <v>73</v>
      </c>
      <c r="X1511" s="22">
        <f>IFERROR(__xludf.DUMMYFUNCTION("IFERROR(GOOGLEFINANCE(A1511,""high""),"""")"),73.0)</f>
        <v>73</v>
      </c>
      <c r="Y1511" s="22">
        <f>IFERROR(__xludf.DUMMYFUNCTION("IFERROR(GOOGLEFINANCE(A1511,""low""),"""")"),70.0)</f>
        <v>70</v>
      </c>
      <c r="Z1511" s="22">
        <f>IFERROR(__xludf.DUMMYFUNCTION("IFERROR(GOOGLEFINANCE(A1511,""volume""),"""")"),449100.0)</f>
        <v>449100</v>
      </c>
      <c r="AA1511" s="24" t="str">
        <f>VLOOKUP(A1511,Metrik!$C$2:$Y$959,5,0)</f>
        <v>Apparel &amp; Luxury Goods</v>
      </c>
      <c r="AB1511" s="24" t="str">
        <f>VLOOKUP(A1511,Metrik!$C$2:$Y$959,3,0)</f>
        <v>Consumer Cyclicals</v>
      </c>
    </row>
    <row r="1512">
      <c r="A1512" s="14" t="s">
        <v>815</v>
      </c>
      <c r="B1512" s="14" t="str">
        <f t="array" ref="B1512">VLOOKUP(A1512,{Metrik!$C$2:$C$998,Metrik!$B$2:$B$998},2,0)</f>
        <v>Rig Tenders Indonesia Tbk.</v>
      </c>
      <c r="C1512" s="15">
        <f>IFERROR(__xludf.DUMMYFUNCTION("GOOGLEFINANCE(""IDX:""&amp;A1512,""price"")"),680.0)</f>
        <v>680</v>
      </c>
      <c r="D1512" s="16" t="str">
        <f>IFERROR(__xludf.DUMMYFUNCTION("IF(A1512="""","""",
SPARKLINE(
INDEX(
GOOGLEFINANCE(""IDX:""&amp;A1512,""close"",TODAY()-365,TODAY()),
,2
),
{""linewidth"",1}
))
"),"#N/A")</f>
        <v>#N/A</v>
      </c>
      <c r="E1512" s="26"/>
      <c r="F1512" s="26"/>
      <c r="G1512" s="24">
        <f t="shared" si="9"/>
        <v>0</v>
      </c>
      <c r="H1512" s="19">
        <f>VLOOKUP(A1512,Metrik!$C$2:$Y$959,8,0)</f>
        <v>4.7</v>
      </c>
      <c r="I1512" s="20">
        <f>VLOOKUP(A1512,Metrik!$C$2:$Y$959,9,0)</f>
        <v>0.44</v>
      </c>
      <c r="J1512" s="20">
        <f>VLOOKUP(A1512,Metrik!$C$2:$Y$959,10,0)</f>
        <v>9.5</v>
      </c>
      <c r="K1512" s="20">
        <f>VLOOKUP(A1512,Metrik!$C$2:$Y$959,11,0)</f>
        <v>9.4</v>
      </c>
      <c r="L1512" s="20">
        <f>VLOOKUP(A1512,Metrik!$C$2:$Y$959,12,0)</f>
        <v>0.01</v>
      </c>
      <c r="M1512" s="20">
        <f>VLOOKUP(A1512,Metrik!$C$2:$Y$959,19,0)</f>
        <v>37.7</v>
      </c>
      <c r="N1512" s="21"/>
      <c r="O1512" s="21"/>
      <c r="P1512" s="21"/>
      <c r="Q1512" s="21"/>
      <c r="R1512" s="21"/>
      <c r="S1512" s="21"/>
      <c r="T1512" s="21"/>
      <c r="U1512" s="22">
        <f>IFERROR(__xludf.DUMMYFUNCTION("IFERROR(GOOGLEFINANCE(A1512,""closeyest""),"""")"),22.87)</f>
        <v>22.87</v>
      </c>
      <c r="V1512" s="23">
        <f>IFERROR(__xludf.DUMMYFUNCTION("IFERROR(GOOGLEFINANCE(A1512,""changepct""),"""")"),-0.11)</f>
        <v>-0.11</v>
      </c>
      <c r="W1512" s="22">
        <f>IFERROR(__xludf.DUMMYFUNCTION("IFERROR(GOOGLEFINANCE(A1512,""priceopen""),"""")"),22.8)</f>
        <v>22.8</v>
      </c>
      <c r="X1512" s="22">
        <f>IFERROR(__xludf.DUMMYFUNCTION("IFERROR(GOOGLEFINANCE(A1512,""high""),"""")"),22.84)</f>
        <v>22.84</v>
      </c>
      <c r="Y1512" s="22">
        <f>IFERROR(__xludf.DUMMYFUNCTION("IFERROR(GOOGLEFINANCE(A1512,""low""),"""")"),22.8)</f>
        <v>22.8</v>
      </c>
      <c r="Z1512" s="22">
        <f>IFERROR(__xludf.DUMMYFUNCTION("IFERROR(GOOGLEFINANCE(A1512,""volume""),"""")"),3.0)</f>
        <v>3</v>
      </c>
      <c r="AA1512" s="24" t="str">
        <f>VLOOKUP(A1512,Metrik!$C$2:$Y$959,5,0)</f>
        <v>Coal</v>
      </c>
      <c r="AB1512" s="24" t="str">
        <f>VLOOKUP(A1512,Metrik!$C$2:$Y$959,3,0)</f>
        <v>Energy</v>
      </c>
    </row>
    <row r="1513">
      <c r="A1513" s="14" t="s">
        <v>816</v>
      </c>
      <c r="B1513" s="14" t="str">
        <f t="array" ref="B1513">VLOOKUP(A1513,{Metrik!$C$2:$C$998,Metrik!$B$2:$B$998},2,0)</f>
        <v>Rimo International Lestari Tbk</v>
      </c>
      <c r="C1513" s="15">
        <f>IFERROR(__xludf.DUMMYFUNCTION("GOOGLEFINANCE(""IDX:""&amp;A1513,""price"")"),50.0)</f>
        <v>50</v>
      </c>
      <c r="D1513" s="16" t="str">
        <f>IFERROR(__xludf.DUMMYFUNCTION("IF(A1513="""","""",
SPARKLINE(
INDEX(
GOOGLEFINANCE(""IDX:""&amp;A1513,""close"",TODAY()-365,TODAY()),
,2
),
{""linewidth"",1}
))
"),"#N/A")</f>
        <v>#N/A</v>
      </c>
      <c r="E1513" s="26"/>
      <c r="F1513" s="26"/>
      <c r="G1513" s="24">
        <f t="shared" si="9"/>
        <v>0</v>
      </c>
      <c r="H1513" s="19">
        <f>VLOOKUP(A1513,Metrik!$C$2:$Y$959,8,0)</f>
        <v>0</v>
      </c>
      <c r="I1513" s="20">
        <f>VLOOKUP(A1513,Metrik!$C$2:$Y$959,9,0)</f>
        <v>0.37</v>
      </c>
      <c r="J1513" s="20">
        <f>VLOOKUP(A1513,Metrik!$C$2:$Y$959,10,0)</f>
        <v>1.2</v>
      </c>
      <c r="K1513" s="20">
        <f>VLOOKUP(A1513,Metrik!$C$2:$Y$959,11,0)</f>
        <v>1.1</v>
      </c>
      <c r="L1513" s="20">
        <f>VLOOKUP(A1513,Metrik!$C$2:$Y$959,12,0)</f>
        <v>0.09</v>
      </c>
      <c r="M1513" s="20">
        <f>VLOOKUP(A1513,Metrik!$C$2:$Y$959,19,0)</f>
        <v>14.2</v>
      </c>
      <c r="N1513" s="21"/>
      <c r="O1513" s="21"/>
      <c r="P1513" s="21"/>
      <c r="Q1513" s="21"/>
      <c r="R1513" s="21"/>
      <c r="S1513" s="21"/>
      <c r="T1513" s="21"/>
      <c r="U1513" s="22">
        <f>IFERROR(__xludf.DUMMYFUNCTION("IFERROR(GOOGLEFINANCE(A1513,""closeyest""),"""")"),50.0)</f>
        <v>50</v>
      </c>
      <c r="V1513" s="23">
        <f>IFERROR(__xludf.DUMMYFUNCTION("IFERROR(GOOGLEFINANCE(A1513,""changepct""),"""")"),0.0)</f>
        <v>0</v>
      </c>
      <c r="W1513" s="22" t="str">
        <f>IFERROR(__xludf.DUMMYFUNCTION("IFERROR(GOOGLEFINANCE(A1513,""priceopen""),"""")"),"")</f>
        <v/>
      </c>
      <c r="X1513" s="22" t="str">
        <f>IFERROR(__xludf.DUMMYFUNCTION("IFERROR(GOOGLEFINANCE(A1513,""high""),"""")"),"")</f>
        <v/>
      </c>
      <c r="Y1513" s="22" t="str">
        <f>IFERROR(__xludf.DUMMYFUNCTION("IFERROR(GOOGLEFINANCE(A1513,""low""),"""")"),"")</f>
        <v/>
      </c>
      <c r="Z1513" s="22">
        <f>IFERROR(__xludf.DUMMYFUNCTION("IFERROR(GOOGLEFINANCE(A1513,""volume""),"""")"),0.0)</f>
        <v>0</v>
      </c>
      <c r="AA1513" s="24" t="str">
        <f>VLOOKUP(A1513,Metrik!$C$2:$Y$959,5,0)</f>
        <v>Real Estate Management &amp; Development</v>
      </c>
      <c r="AB1513" s="24" t="str">
        <f>VLOOKUP(A1513,Metrik!$C$2:$Y$959,3,0)</f>
        <v>Properties &amp; Real Estate</v>
      </c>
    </row>
    <row r="1514">
      <c r="A1514" s="14" t="s">
        <v>817</v>
      </c>
      <c r="B1514" s="14" t="str">
        <f t="array" ref="B1514">VLOOKUP(A1514,{Metrik!$C$2:$C$998,Metrik!$B$2:$B$998},2,0)</f>
        <v>Jaya Sukses Makmur Sentosa Tbk.</v>
      </c>
      <c r="C1514" s="15">
        <f>IFERROR(__xludf.DUMMYFUNCTION("GOOGLEFINANCE(""IDX:""&amp;A1514,""price"")"),1190.0)</f>
        <v>1190</v>
      </c>
      <c r="D1514" s="16" t="str">
        <f>IFERROR(__xludf.DUMMYFUNCTION("IF(A1514="""","""",
SPARKLINE(
INDEX(
GOOGLEFINANCE(""IDX:""&amp;A1514,""close"",TODAY()-365,TODAY()),
,2
),
{""linewidth"",1}
))
"),"#N/A")</f>
        <v>#N/A</v>
      </c>
      <c r="E1514" s="26"/>
      <c r="F1514" s="26"/>
      <c r="G1514" s="24">
        <f t="shared" si="9"/>
        <v>0</v>
      </c>
      <c r="H1514" s="19">
        <f>VLOOKUP(A1514,Metrik!$C$2:$Y$959,8,0)</f>
        <v>110</v>
      </c>
      <c r="I1514" s="20">
        <f>VLOOKUP(A1514,Metrik!$C$2:$Y$959,9,0)</f>
        <v>5.4</v>
      </c>
      <c r="J1514" s="20">
        <f>VLOOKUP(A1514,Metrik!$C$2:$Y$959,10,0)</f>
        <v>5</v>
      </c>
      <c r="K1514" s="20">
        <f>VLOOKUP(A1514,Metrik!$C$2:$Y$959,11,0)</f>
        <v>4</v>
      </c>
      <c r="L1514" s="20">
        <f>VLOOKUP(A1514,Metrik!$C$2:$Y$959,12,0)</f>
        <v>0.23</v>
      </c>
      <c r="M1514" s="20">
        <f>VLOOKUP(A1514,Metrik!$C$2:$Y$959,19,0)</f>
        <v>97.1</v>
      </c>
      <c r="N1514" s="21"/>
      <c r="O1514" s="21"/>
      <c r="P1514" s="21"/>
      <c r="Q1514" s="21"/>
      <c r="R1514" s="21"/>
      <c r="S1514" s="21"/>
      <c r="T1514" s="21"/>
      <c r="U1514" s="22">
        <f>IFERROR(__xludf.DUMMYFUNCTION("IFERROR(GOOGLEFINANCE(A1514,""closeyest""),"""")"),18.29)</f>
        <v>18.29</v>
      </c>
      <c r="V1514" s="23">
        <f>IFERROR(__xludf.DUMMYFUNCTION("IFERROR(GOOGLEFINANCE(A1514,""changepct""),"""")"),0.96)</f>
        <v>0.96</v>
      </c>
      <c r="W1514" s="22">
        <f>IFERROR(__xludf.DUMMYFUNCTION("IFERROR(GOOGLEFINANCE(A1514,""priceopen""),"""")"),18.46)</f>
        <v>18.46</v>
      </c>
      <c r="X1514" s="22">
        <f>IFERROR(__xludf.DUMMYFUNCTION("IFERROR(GOOGLEFINANCE(A1514,""high""),"""")"),18.46)</f>
        <v>18.46</v>
      </c>
      <c r="Y1514" s="22">
        <f>IFERROR(__xludf.DUMMYFUNCTION("IFERROR(GOOGLEFINANCE(A1514,""low""),"""")"),18.46)</f>
        <v>18.46</v>
      </c>
      <c r="Z1514" s="22">
        <f>IFERROR(__xludf.DUMMYFUNCTION("IFERROR(GOOGLEFINANCE(A1514,""volume""),"""")"),72.0)</f>
        <v>72</v>
      </c>
      <c r="AA1514" s="24" t="str">
        <f>VLOOKUP(A1514,Metrik!$C$2:$Y$959,5,0)</f>
        <v>Real Estate Management &amp; Development</v>
      </c>
      <c r="AB1514" s="24" t="str">
        <f>VLOOKUP(A1514,Metrik!$C$2:$Y$959,3,0)</f>
        <v>Properties &amp; Real Estate</v>
      </c>
    </row>
    <row r="1515">
      <c r="A1515" s="14" t="s">
        <v>818</v>
      </c>
      <c r="B1515" s="14" t="str">
        <f t="array" ref="B1515">VLOOKUP(A1515,{Metrik!$C$2:$C$998,Metrik!$B$2:$B$998},2,0)</f>
        <v>Abadi Lestari Indonesia Tbk.</v>
      </c>
      <c r="C1515" s="15">
        <f>IFERROR(__xludf.DUMMYFUNCTION("GOOGLEFINANCE(""IDX:""&amp;A1515,""price"")"),3020.0)</f>
        <v>3020</v>
      </c>
      <c r="D1515" s="16" t="str">
        <f>IFERROR(__xludf.DUMMYFUNCTION("IF(A1515="""","""",
SPARKLINE(
INDEX(
GOOGLEFINANCE(""IDX:""&amp;A1515,""close"",TODAY()-365,TODAY()),
,2
),
{""linewidth"",1}
))
"),"#N/A")</f>
        <v>#N/A</v>
      </c>
      <c r="E1515" s="26"/>
      <c r="F1515" s="26"/>
      <c r="G1515" s="24">
        <f t="shared" si="9"/>
        <v>0</v>
      </c>
      <c r="H1515" s="19">
        <f>VLOOKUP(A1515,Metrik!$C$2:$Y$959,8,0)</f>
        <v>210</v>
      </c>
      <c r="I1515" s="20">
        <f>VLOOKUP(A1515,Metrik!$C$2:$Y$959,9,0)</f>
        <v>28.6</v>
      </c>
      <c r="J1515" s="20">
        <f>VLOOKUP(A1515,Metrik!$C$2:$Y$959,10,0)</f>
        <v>13.9</v>
      </c>
      <c r="K1515" s="20">
        <f>VLOOKUP(A1515,Metrik!$C$2:$Y$959,11,0)</f>
        <v>5.3</v>
      </c>
      <c r="L1515" s="20">
        <f>VLOOKUP(A1515,Metrik!$C$2:$Y$959,12,0)</f>
        <v>1.6</v>
      </c>
      <c r="M1515" s="20">
        <f>VLOOKUP(A1515,Metrik!$C$2:$Y$959,19,0)</f>
        <v>46.4</v>
      </c>
      <c r="N1515" s="21"/>
      <c r="O1515" s="21"/>
      <c r="P1515" s="21"/>
      <c r="Q1515" s="21"/>
      <c r="R1515" s="21"/>
      <c r="S1515" s="21"/>
      <c r="T1515" s="21"/>
      <c r="U1515" s="22">
        <f>IFERROR(__xludf.DUMMYFUNCTION("IFERROR(GOOGLEFINANCE(A1515,""closeyest""),"""")"),2420.0)</f>
        <v>2420</v>
      </c>
      <c r="V1515" s="23">
        <f>IFERROR(__xludf.DUMMYFUNCTION("IFERROR(GOOGLEFINANCE(A1515,""changepct""),"""")"),24.79)</f>
        <v>24.79</v>
      </c>
      <c r="W1515" s="22">
        <f>IFERROR(__xludf.DUMMYFUNCTION("IFERROR(GOOGLEFINANCE(A1515,""priceopen""),"""")"),2420.0)</f>
        <v>2420</v>
      </c>
      <c r="X1515" s="22">
        <f>IFERROR(__xludf.DUMMYFUNCTION("IFERROR(GOOGLEFINANCE(A1515,""high""),"""")"),3020.0)</f>
        <v>3020</v>
      </c>
      <c r="Y1515" s="22">
        <f>IFERROR(__xludf.DUMMYFUNCTION("IFERROR(GOOGLEFINANCE(A1515,""low""),"""")"),2420.0)</f>
        <v>2420</v>
      </c>
      <c r="Z1515" s="22">
        <f>IFERROR(__xludf.DUMMYFUNCTION("IFERROR(GOOGLEFINANCE(A1515,""volume""),"""")"),4123100.0)</f>
        <v>4123100</v>
      </c>
      <c r="AA1515" s="24" t="str">
        <f>VLOOKUP(A1515,Metrik!$C$2:$Y$959,5,0)</f>
        <v>Agricultural Products</v>
      </c>
      <c r="AB1515" s="24" t="str">
        <f>VLOOKUP(A1515,Metrik!$C$2:$Y$959,3,0)</f>
        <v>Consumer Non-Cyclicals</v>
      </c>
    </row>
    <row r="1516">
      <c r="A1516" s="14" t="s">
        <v>819</v>
      </c>
      <c r="B1516" s="14" t="str">
        <f t="array" ref="B1516">VLOOKUP(A1516,{Metrik!$C$2:$C$998,Metrik!$B$2:$B$998},2,0)</f>
        <v>RMK Energy Tbk.</v>
      </c>
      <c r="C1516" s="15">
        <f>IFERROR(__xludf.DUMMYFUNCTION("GOOGLEFINANCE(""IDX:""&amp;A1516,""price"")"),2250.0)</f>
        <v>2250</v>
      </c>
      <c r="D1516" s="16" t="str">
        <f>IFERROR(__xludf.DUMMYFUNCTION("IF(A1516="""","""",
SPARKLINE(
INDEX(
GOOGLEFINANCE(""IDX:""&amp;A1516,""close"",TODAY()-365,TODAY()),
,2
),
{""linewidth"",1}
))
"),"#N/A")</f>
        <v>#N/A</v>
      </c>
      <c r="E1516" s="14" t="s">
        <v>41</v>
      </c>
      <c r="F1516" s="14" t="s">
        <v>34</v>
      </c>
      <c r="G1516" s="24">
        <f t="shared" si="9"/>
        <v>1</v>
      </c>
      <c r="H1516" s="19">
        <f>VLOOKUP(A1516,Metrik!$C$2:$Y$959,8,0)</f>
        <v>53.6</v>
      </c>
      <c r="I1516" s="20">
        <f>VLOOKUP(A1516,Metrik!$C$2:$Y$959,9,0)</f>
        <v>6.7</v>
      </c>
      <c r="J1516" s="20">
        <f>VLOOKUP(A1516,Metrik!$C$2:$Y$959,10,0)</f>
        <v>12.4</v>
      </c>
      <c r="K1516" s="20">
        <f>VLOOKUP(A1516,Metrik!$C$2:$Y$959,11,0)</f>
        <v>7.2</v>
      </c>
      <c r="L1516" s="20">
        <f>VLOOKUP(A1516,Metrik!$C$2:$Y$959,12,0)</f>
        <v>0.73</v>
      </c>
      <c r="M1516" s="20">
        <f>VLOOKUP(A1516,Metrik!$C$2:$Y$959,19,0)</f>
        <v>30</v>
      </c>
      <c r="N1516" s="21"/>
      <c r="O1516" s="21"/>
      <c r="P1516" s="21"/>
      <c r="Q1516" s="21"/>
      <c r="R1516" s="21"/>
      <c r="S1516" s="21"/>
      <c r="T1516" s="21"/>
      <c r="U1516" s="22">
        <f>IFERROR(__xludf.DUMMYFUNCTION("IFERROR(GOOGLEFINANCE(A1516,""closeyest""),"""")"),2060.0)</f>
        <v>2060</v>
      </c>
      <c r="V1516" s="23">
        <f>IFERROR(__xludf.DUMMYFUNCTION("IFERROR(GOOGLEFINANCE(A1516,""changepct""),"""")"),9.22)</f>
        <v>9.22</v>
      </c>
      <c r="W1516" s="22">
        <f>IFERROR(__xludf.DUMMYFUNCTION("IFERROR(GOOGLEFINANCE(A1516,""priceopen""),"""")"),2040.0)</f>
        <v>2040</v>
      </c>
      <c r="X1516" s="22">
        <f>IFERROR(__xludf.DUMMYFUNCTION("IFERROR(GOOGLEFINANCE(A1516,""high""),"""")"),2400.0)</f>
        <v>2400</v>
      </c>
      <c r="Y1516" s="22">
        <f>IFERROR(__xludf.DUMMYFUNCTION("IFERROR(GOOGLEFINANCE(A1516,""low""),"""")"),2040.0)</f>
        <v>2040</v>
      </c>
      <c r="Z1516" s="22">
        <f>IFERROR(__xludf.DUMMYFUNCTION("IFERROR(GOOGLEFINANCE(A1516,""volume""),"""")"),1.61752E7)</f>
        <v>16175200</v>
      </c>
      <c r="AA1516" s="24" t="str">
        <f>VLOOKUP(A1516,Metrik!$C$2:$Y$959,5,0)</f>
        <v>Coal</v>
      </c>
      <c r="AB1516" s="24" t="str">
        <f>VLOOKUP(A1516,Metrik!$C$2:$Y$959,3,0)</f>
        <v>Energy</v>
      </c>
    </row>
    <row r="1517">
      <c r="A1517" s="14" t="s">
        <v>820</v>
      </c>
      <c r="B1517" s="14" t="str">
        <f t="array" ref="B1517">VLOOKUP(A1517,{Metrik!$C$2:$C$998,Metrik!$B$2:$B$998},2,0)</f>
        <v>PT Royaltama Mulia Kontraktorindo Tbk.</v>
      </c>
      <c r="C1517" s="15">
        <f>IFERROR(__xludf.DUMMYFUNCTION("GOOGLEFINANCE(""IDX:""&amp;A1517,""price"")"),328.0)</f>
        <v>328</v>
      </c>
      <c r="D1517" s="16" t="str">
        <f>IFERROR(__xludf.DUMMYFUNCTION("IF(A1517="""","""",
SPARKLINE(
INDEX(
GOOGLEFINANCE(""IDX:""&amp;A1517,""close"",TODAY()-365,TODAY()),
,2
),
{""linewidth"",1}
))
"),"#N/A")</f>
        <v>#N/A</v>
      </c>
      <c r="E1517" s="26"/>
      <c r="F1517" s="26"/>
      <c r="G1517" s="24">
        <f t="shared" si="9"/>
        <v>0</v>
      </c>
      <c r="H1517" s="19">
        <f>VLOOKUP(A1517,Metrik!$C$2:$Y$959,8,0)</f>
        <v>-10</v>
      </c>
      <c r="I1517" s="20">
        <f>VLOOKUP(A1517,Metrik!$C$2:$Y$959,9,0)</f>
        <v>2.8</v>
      </c>
      <c r="J1517" s="20">
        <f>VLOOKUP(A1517,Metrik!$C$2:$Y$959,10,0)</f>
        <v>-27.7</v>
      </c>
      <c r="K1517" s="20">
        <f>VLOOKUP(A1517,Metrik!$C$2:$Y$959,11,0)</f>
        <v>-7.1</v>
      </c>
      <c r="L1517" s="20">
        <f>VLOOKUP(A1517,Metrik!$C$2:$Y$959,12,0)</f>
        <v>2.9</v>
      </c>
      <c r="M1517" s="20">
        <f>VLOOKUP(A1517,Metrik!$C$2:$Y$959,19,0)</f>
        <v>-62.7</v>
      </c>
      <c r="N1517" s="21"/>
      <c r="O1517" s="21"/>
      <c r="P1517" s="21"/>
      <c r="Q1517" s="21"/>
      <c r="R1517" s="21"/>
      <c r="S1517" s="21"/>
      <c r="T1517" s="21"/>
      <c r="U1517" s="22">
        <f>IFERROR(__xludf.DUMMYFUNCTION("IFERROR(GOOGLEFINANCE(A1517,""closeyest""),"""")"),320.0)</f>
        <v>320</v>
      </c>
      <c r="V1517" s="23">
        <f>IFERROR(__xludf.DUMMYFUNCTION("IFERROR(GOOGLEFINANCE(A1517,""changepct""),"""")"),2.5)</f>
        <v>2.5</v>
      </c>
      <c r="W1517" s="22">
        <f>IFERROR(__xludf.DUMMYFUNCTION("IFERROR(GOOGLEFINANCE(A1517,""priceopen""),"""")"),324.0)</f>
        <v>324</v>
      </c>
      <c r="X1517" s="22">
        <f>IFERROR(__xludf.DUMMYFUNCTION("IFERROR(GOOGLEFINANCE(A1517,""high""),"""")"),344.0)</f>
        <v>344</v>
      </c>
      <c r="Y1517" s="22">
        <f>IFERROR(__xludf.DUMMYFUNCTION("IFERROR(GOOGLEFINANCE(A1517,""low""),"""")"),318.0)</f>
        <v>318</v>
      </c>
      <c r="Z1517" s="22">
        <f>IFERROR(__xludf.DUMMYFUNCTION("IFERROR(GOOGLEFINANCE(A1517,""volume""),"""")"),9570100.0)</f>
        <v>9570100</v>
      </c>
      <c r="AA1517" s="24" t="str">
        <f>VLOOKUP(A1517,Metrik!$C$2:$Y$959,5,0)</f>
        <v>Oil, Gas &amp; Coal Supports</v>
      </c>
      <c r="AB1517" s="24" t="str">
        <f>VLOOKUP(A1517,Metrik!$C$2:$Y$959,3,0)</f>
        <v>Energy</v>
      </c>
    </row>
    <row r="1518">
      <c r="A1518" s="14" t="s">
        <v>821</v>
      </c>
      <c r="B1518" s="14" t="str">
        <f t="array" ref="B1518">VLOOKUP(A1518,{Metrik!$C$2:$C$998,Metrik!$B$2:$B$998},2,0)</f>
        <v>Rockfields Properti Indonesia Tbk.</v>
      </c>
      <c r="C1518" s="15">
        <f>IFERROR(__xludf.DUMMYFUNCTION("GOOGLEFINANCE(""IDX:""&amp;A1518,""price"")"),1490.0)</f>
        <v>1490</v>
      </c>
      <c r="D1518" s="16" t="str">
        <f>IFERROR(__xludf.DUMMYFUNCTION("IF(A1518="""","""",
SPARKLINE(
INDEX(
GOOGLEFINANCE(""IDX:""&amp;A1518,""close"",TODAY()-365,TODAY()),
,2
),
{""linewidth"",1}
))
"),"#N/A")</f>
        <v>#N/A</v>
      </c>
      <c r="E1518" s="26"/>
      <c r="F1518" s="26"/>
      <c r="G1518" s="24">
        <f t="shared" si="9"/>
        <v>0</v>
      </c>
      <c r="H1518" s="19">
        <f>VLOOKUP(A1518,Metrik!$C$2:$Y$959,8,0)</f>
        <v>78.5</v>
      </c>
      <c r="I1518" s="20">
        <f>VLOOKUP(A1518,Metrik!$C$2:$Y$959,9,0)</f>
        <v>3</v>
      </c>
      <c r="J1518" s="20">
        <f>VLOOKUP(A1518,Metrik!$C$2:$Y$959,10,0)</f>
        <v>3.8</v>
      </c>
      <c r="K1518" s="20">
        <f>VLOOKUP(A1518,Metrik!$C$2:$Y$959,11,0)</f>
        <v>3.4</v>
      </c>
      <c r="L1518" s="20">
        <f>VLOOKUP(A1518,Metrik!$C$2:$Y$959,12,0)</f>
        <v>0.14</v>
      </c>
      <c r="M1518" s="20">
        <f>VLOOKUP(A1518,Metrik!$C$2:$Y$959,19,0)</f>
        <v>91.7</v>
      </c>
      <c r="N1518" s="21"/>
      <c r="O1518" s="21"/>
      <c r="P1518" s="21"/>
      <c r="Q1518" s="21"/>
      <c r="R1518" s="21"/>
      <c r="S1518" s="21"/>
      <c r="T1518" s="21"/>
      <c r="U1518" s="22">
        <f>IFERROR(__xludf.DUMMYFUNCTION("IFERROR(GOOGLEFINANCE(A1518,""closeyest""),"""")"),39.41)</f>
        <v>39.41</v>
      </c>
      <c r="V1518" s="23">
        <f>IFERROR(__xludf.DUMMYFUNCTION("IFERROR(GOOGLEFINANCE(A1518,""changepct""),"""")"),2.26)</f>
        <v>2.26</v>
      </c>
      <c r="W1518" s="22">
        <f>IFERROR(__xludf.DUMMYFUNCTION("IFERROR(GOOGLEFINANCE(A1518,""priceopen""),"""")"),39.66)</f>
        <v>39.66</v>
      </c>
      <c r="X1518" s="22">
        <f>IFERROR(__xludf.DUMMYFUNCTION("IFERROR(GOOGLEFINANCE(A1518,""high""),"""")"),41.25)</f>
        <v>41.25</v>
      </c>
      <c r="Y1518" s="22">
        <f>IFERROR(__xludf.DUMMYFUNCTION("IFERROR(GOOGLEFINANCE(A1518,""low""),"""")"),39.33)</f>
        <v>39.33</v>
      </c>
      <c r="Z1518" s="22">
        <f>IFERROR(__xludf.DUMMYFUNCTION("IFERROR(GOOGLEFINANCE(A1518,""volume""),"""")"),321469.0)</f>
        <v>321469</v>
      </c>
      <c r="AA1518" s="24" t="str">
        <f>VLOOKUP(A1518,Metrik!$C$2:$Y$959,5,0)</f>
        <v>Real Estate Management &amp; Development</v>
      </c>
      <c r="AB1518" s="24" t="str">
        <f>VLOOKUP(A1518,Metrik!$C$2:$Y$959,3,0)</f>
        <v>Properties &amp; Real Estate</v>
      </c>
    </row>
    <row r="1519">
      <c r="A1519" s="14" t="s">
        <v>822</v>
      </c>
      <c r="B1519" s="14" t="str">
        <f t="array" ref="B1519">VLOOKUP(A1519,{Metrik!$C$2:$C$998,Metrik!$B$2:$B$998},2,0)</f>
        <v>Pikko Land Development Tbk.</v>
      </c>
      <c r="C1519" s="15">
        <f>IFERROR(__xludf.DUMMYFUNCTION("GOOGLEFINANCE(""IDX:""&amp;A1519,""price"")"),56.0)</f>
        <v>56</v>
      </c>
      <c r="D1519" s="16" t="str">
        <f>IFERROR(__xludf.DUMMYFUNCTION("IF(A1519="""","""",
SPARKLINE(
INDEX(
GOOGLEFINANCE(""IDX:""&amp;A1519,""close"",TODAY()-365,TODAY()),
,2
),
{""linewidth"",1}
))
"),"#N/A")</f>
        <v>#N/A</v>
      </c>
      <c r="E1519" s="26"/>
      <c r="F1519" s="26"/>
      <c r="G1519" s="24">
        <f t="shared" si="9"/>
        <v>0</v>
      </c>
      <c r="H1519" s="19">
        <f>VLOOKUP(A1519,Metrik!$C$2:$Y$959,8,0)</f>
        <v>-12</v>
      </c>
      <c r="I1519" s="20">
        <f>VLOOKUP(A1519,Metrik!$C$2:$Y$959,9,0)</f>
        <v>0.41</v>
      </c>
      <c r="J1519" s="20">
        <f>VLOOKUP(A1519,Metrik!$C$2:$Y$959,10,0)</f>
        <v>-3.4</v>
      </c>
      <c r="K1519" s="20">
        <f>VLOOKUP(A1519,Metrik!$C$2:$Y$959,11,0)</f>
        <v>-2.2</v>
      </c>
      <c r="L1519" s="20">
        <f>VLOOKUP(A1519,Metrik!$C$2:$Y$959,12,0)</f>
        <v>0.57</v>
      </c>
      <c r="M1519" s="20">
        <f>VLOOKUP(A1519,Metrik!$C$2:$Y$959,19,0)</f>
        <v>-610</v>
      </c>
      <c r="N1519" s="21"/>
      <c r="O1519" s="21"/>
      <c r="P1519" s="21"/>
      <c r="Q1519" s="21"/>
      <c r="R1519" s="21"/>
      <c r="S1519" s="21"/>
      <c r="T1519" s="21"/>
      <c r="U1519" s="22">
        <f>IFERROR(__xludf.DUMMYFUNCTION("IFERROR(GOOGLEFINANCE(A1519,""closeyest""),"""")"),54.0)</f>
        <v>54</v>
      </c>
      <c r="V1519" s="23">
        <f>IFERROR(__xludf.DUMMYFUNCTION("IFERROR(GOOGLEFINANCE(A1519,""changepct""),"""")"),3.7)</f>
        <v>3.7</v>
      </c>
      <c r="W1519" s="22">
        <f>IFERROR(__xludf.DUMMYFUNCTION("IFERROR(GOOGLEFINANCE(A1519,""priceopen""),"""")"),55.0)</f>
        <v>55</v>
      </c>
      <c r="X1519" s="22">
        <f>IFERROR(__xludf.DUMMYFUNCTION("IFERROR(GOOGLEFINANCE(A1519,""high""),"""")"),58.0)</f>
        <v>58</v>
      </c>
      <c r="Y1519" s="22">
        <f>IFERROR(__xludf.DUMMYFUNCTION("IFERROR(GOOGLEFINANCE(A1519,""low""),"""")"),54.0)</f>
        <v>54</v>
      </c>
      <c r="Z1519" s="22">
        <f>IFERROR(__xludf.DUMMYFUNCTION("IFERROR(GOOGLEFINANCE(A1519,""volume""),"""")"),1.00921E7)</f>
        <v>10092100</v>
      </c>
      <c r="AA1519" s="24" t="str">
        <f>VLOOKUP(A1519,Metrik!$C$2:$Y$959,5,0)</f>
        <v>Real Estate Management &amp; Development</v>
      </c>
      <c r="AB1519" s="24" t="str">
        <f>VLOOKUP(A1519,Metrik!$C$2:$Y$959,3,0)</f>
        <v>Properties &amp; Real Estate</v>
      </c>
    </row>
    <row r="1520">
      <c r="A1520" s="14" t="s">
        <v>823</v>
      </c>
      <c r="B1520" s="14" t="str">
        <f t="array" ref="B1520">VLOOKUP(A1520,{Metrik!$C$2:$C$998,Metrik!$B$2:$B$998},2,0)</f>
        <v>Aracord Nusantara Group Tbk.</v>
      </c>
      <c r="C1520" s="15">
        <f>IFERROR(__xludf.DUMMYFUNCTION("GOOGLEFINANCE(""IDX:""&amp;A1520,""price"")"),825.0)</f>
        <v>825</v>
      </c>
      <c r="D1520" s="16" t="str">
        <f>IFERROR(__xludf.DUMMYFUNCTION("IF(A1520="""","""",
SPARKLINE(
INDEX(
GOOGLEFINANCE(""IDX:""&amp;A1520,""close"",TODAY()-365,TODAY()),
,2
),
{""linewidth"",1}
))
"),"#N/A")</f>
        <v>#N/A</v>
      </c>
      <c r="E1520" s="26"/>
      <c r="F1520" s="26"/>
      <c r="G1520" s="24">
        <f t="shared" si="9"/>
        <v>0</v>
      </c>
      <c r="H1520" s="19">
        <f>VLOOKUP(A1520,Metrik!$C$2:$Y$959,8,0)</f>
        <v>-3300</v>
      </c>
      <c r="I1520" s="20">
        <f>VLOOKUP(A1520,Metrik!$C$2:$Y$959,9,0)</f>
        <v>300</v>
      </c>
      <c r="J1520" s="20">
        <f>VLOOKUP(A1520,Metrik!$C$2:$Y$959,10,0)</f>
        <v>-9</v>
      </c>
      <c r="K1520" s="20">
        <f>VLOOKUP(A1520,Metrik!$C$2:$Y$959,11,0)</f>
        <v>-0.77</v>
      </c>
      <c r="L1520" s="20">
        <f>VLOOKUP(A1520,Metrik!$C$2:$Y$959,12,0)</f>
        <v>10.8</v>
      </c>
      <c r="M1520" s="20">
        <f>VLOOKUP(A1520,Metrik!$C$2:$Y$959,19,0)</f>
        <v>-5.3</v>
      </c>
      <c r="N1520" s="21"/>
      <c r="O1520" s="21"/>
      <c r="P1520" s="21"/>
      <c r="Q1520" s="21"/>
      <c r="R1520" s="21"/>
      <c r="S1520" s="21"/>
      <c r="T1520" s="21"/>
      <c r="U1520" s="22">
        <f>IFERROR(__xludf.DUMMYFUNCTION("IFERROR(GOOGLEFINANCE(A1520,""closeyest""),"""")"),775.0)</f>
        <v>775</v>
      </c>
      <c r="V1520" s="23">
        <f>IFERROR(__xludf.DUMMYFUNCTION("IFERROR(GOOGLEFINANCE(A1520,""changepct""),"""")"),6.45)</f>
        <v>6.45</v>
      </c>
      <c r="W1520" s="22" t="str">
        <f>IFERROR(__xludf.DUMMYFUNCTION("IFERROR(GOOGLEFINANCE(A1520,""priceopen""),"""")"),"")</f>
        <v/>
      </c>
      <c r="X1520" s="22">
        <f>IFERROR(__xludf.DUMMYFUNCTION("IFERROR(GOOGLEFINANCE(A1520,""high""),"""")"),890.0)</f>
        <v>890</v>
      </c>
      <c r="Y1520" s="22">
        <f>IFERROR(__xludf.DUMMYFUNCTION("IFERROR(GOOGLEFINANCE(A1520,""low""),"""")"),800.0)</f>
        <v>800</v>
      </c>
      <c r="Z1520" s="22">
        <f>IFERROR(__xludf.DUMMYFUNCTION("IFERROR(GOOGLEFINANCE(A1520,""volume""),"""")"),68100.0)</f>
        <v>68100</v>
      </c>
      <c r="AA1520" s="24" t="str">
        <f>VLOOKUP(A1520,Metrik!$C$2:$Y$959,5,0)</f>
        <v>Heavy Constructions &amp; Civil Engineering</v>
      </c>
      <c r="AB1520" s="24" t="str">
        <f>VLOOKUP(A1520,Metrik!$C$2:$Y$959,3,0)</f>
        <v>Infrastructures</v>
      </c>
    </row>
    <row r="1521">
      <c r="A1521" s="14" t="s">
        <v>824</v>
      </c>
      <c r="B1521" s="14" t="str">
        <f t="array" ref="B1521">VLOOKUP(A1521,{Metrik!$C$2:$C$998,Metrik!$B$2:$B$998},2,0)</f>
        <v>Nippon Indosari Corpindo Tbk.</v>
      </c>
      <c r="C1521" s="15">
        <f>IFERROR(__xludf.DUMMYFUNCTION("GOOGLEFINANCE(""IDX:""&amp;A1521,""price"")"),575.0)</f>
        <v>575</v>
      </c>
      <c r="D1521" s="16" t="str">
        <f>IFERROR(__xludf.DUMMYFUNCTION("IF(A1521="""","""",
SPARKLINE(
INDEX(
GOOGLEFINANCE(""IDX:""&amp;A1521,""close"",TODAY()-365,TODAY()),
,2
),
{""linewidth"",1}
))
"),"#N/A")</f>
        <v>#N/A</v>
      </c>
      <c r="E1521" s="26"/>
      <c r="F1521" s="26"/>
      <c r="G1521" s="24">
        <f t="shared" si="9"/>
        <v>0</v>
      </c>
      <c r="H1521" s="19">
        <f>VLOOKUP(A1521,Metrik!$C$2:$Y$959,8,0)</f>
        <v>13.8</v>
      </c>
      <c r="I1521" s="20">
        <f>VLOOKUP(A1521,Metrik!$C$2:$Y$959,9,0)</f>
        <v>1.6</v>
      </c>
      <c r="J1521" s="20">
        <f>VLOOKUP(A1521,Metrik!$C$2:$Y$959,10,0)</f>
        <v>11.6</v>
      </c>
      <c r="K1521" s="20">
        <f>VLOOKUP(A1521,Metrik!$C$2:$Y$959,11,0)</f>
        <v>6.5</v>
      </c>
      <c r="L1521" s="20">
        <f>VLOOKUP(A1521,Metrik!$C$2:$Y$959,12,0)</f>
        <v>0.78</v>
      </c>
      <c r="M1521" s="20">
        <f>VLOOKUP(A1521,Metrik!$C$2:$Y$959,19,0)</f>
        <v>27.3</v>
      </c>
      <c r="N1521" s="21"/>
      <c r="O1521" s="21"/>
      <c r="P1521" s="21"/>
      <c r="Q1521" s="21"/>
      <c r="R1521" s="21"/>
      <c r="S1521" s="21"/>
      <c r="T1521" s="21"/>
      <c r="U1521" s="22">
        <f>IFERROR(__xludf.DUMMYFUNCTION("IFERROR(GOOGLEFINANCE(A1521,""closeyest""),"""")"),570.0)</f>
        <v>570</v>
      </c>
      <c r="V1521" s="23">
        <f>IFERROR(__xludf.DUMMYFUNCTION("IFERROR(GOOGLEFINANCE(A1521,""changepct""),"""")"),0.88)</f>
        <v>0.88</v>
      </c>
      <c r="W1521" s="22">
        <f>IFERROR(__xludf.DUMMYFUNCTION("IFERROR(GOOGLEFINANCE(A1521,""priceopen""),"""")"),570.0)</f>
        <v>570</v>
      </c>
      <c r="X1521" s="22">
        <f>IFERROR(__xludf.DUMMYFUNCTION("IFERROR(GOOGLEFINANCE(A1521,""high""),"""")"),590.0)</f>
        <v>590</v>
      </c>
      <c r="Y1521" s="22">
        <f>IFERROR(__xludf.DUMMYFUNCTION("IFERROR(GOOGLEFINANCE(A1521,""low""),"""")"),560.0)</f>
        <v>560</v>
      </c>
      <c r="Z1521" s="22">
        <f>IFERROR(__xludf.DUMMYFUNCTION("IFERROR(GOOGLEFINANCE(A1521,""volume""),"""")"),1880300.0)</f>
        <v>1880300</v>
      </c>
      <c r="AA1521" s="24" t="str">
        <f>VLOOKUP(A1521,Metrik!$C$2:$Y$959,5,0)</f>
        <v>Processed Foods</v>
      </c>
      <c r="AB1521" s="24" t="str">
        <f>VLOOKUP(A1521,Metrik!$C$2:$Y$959,3,0)</f>
        <v>Consumer Non-Cyclicals</v>
      </c>
    </row>
    <row r="1522">
      <c r="A1522" s="14" t="s">
        <v>825</v>
      </c>
      <c r="B1522" s="14" t="str">
        <f t="array" ref="B1522">VLOOKUP(A1522,{Metrik!$C$2:$C$998,Metrik!$B$2:$B$998},2,0)</f>
        <v>PT Charlie Hospital Semarang Tbk.</v>
      </c>
      <c r="C1522" s="15">
        <f>IFERROR(__xludf.DUMMYFUNCTION("GOOGLEFINANCE(""IDX:""&amp;A1522,""price"")"),316.0)</f>
        <v>316</v>
      </c>
      <c r="D1522" s="16" t="str">
        <f>IFERROR(__xludf.DUMMYFUNCTION("IF(A1522="""","""",
SPARKLINE(
INDEX(
GOOGLEFINANCE(""IDX:""&amp;A1522,""close"",TODAY()-365,TODAY()),
,2
),
{""linewidth"",1}
))
"),"#N/A")</f>
        <v>#N/A</v>
      </c>
      <c r="E1522" s="26"/>
      <c r="F1522" s="26"/>
      <c r="G1522" s="24">
        <f t="shared" si="9"/>
        <v>0</v>
      </c>
      <c r="H1522" s="19">
        <f>VLOOKUP(A1522,Metrik!$C$2:$Y$959,8,0)</f>
        <v>-48.8</v>
      </c>
      <c r="I1522" s="20">
        <f>VLOOKUP(A1522,Metrik!$C$2:$Y$959,9,0)</f>
        <v>5.6</v>
      </c>
      <c r="J1522" s="20">
        <f>VLOOKUP(A1522,Metrik!$C$2:$Y$959,10,0)</f>
        <v>-11.4</v>
      </c>
      <c r="K1522" s="20">
        <f>VLOOKUP(A1522,Metrik!$C$2:$Y$959,11,0)</f>
        <v>-7.3</v>
      </c>
      <c r="L1522" s="20">
        <f>VLOOKUP(A1522,Metrik!$C$2:$Y$959,12,0)</f>
        <v>0.57</v>
      </c>
      <c r="M1522" s="20">
        <f>VLOOKUP(A1522,Metrik!$C$2:$Y$959,19,0)</f>
        <v>-93.7</v>
      </c>
      <c r="N1522" s="21"/>
      <c r="O1522" s="21"/>
      <c r="P1522" s="21"/>
      <c r="Q1522" s="21"/>
      <c r="R1522" s="21"/>
      <c r="S1522" s="21"/>
      <c r="T1522" s="21"/>
      <c r="U1522" s="22">
        <f>IFERROR(__xludf.DUMMYFUNCTION("IFERROR(GOOGLEFINANCE(A1522,""closeyest""),"""")"),318.0)</f>
        <v>318</v>
      </c>
      <c r="V1522" s="23">
        <f>IFERROR(__xludf.DUMMYFUNCTION("IFERROR(GOOGLEFINANCE(A1522,""changepct""),"""")"),-0.63)</f>
        <v>-0.63</v>
      </c>
      <c r="W1522" s="22">
        <f>IFERROR(__xludf.DUMMYFUNCTION("IFERROR(GOOGLEFINANCE(A1522,""priceopen""),"""")"),320.0)</f>
        <v>320</v>
      </c>
      <c r="X1522" s="22">
        <f>IFERROR(__xludf.DUMMYFUNCTION("IFERROR(GOOGLEFINANCE(A1522,""high""),"""")"),320.0)</f>
        <v>320</v>
      </c>
      <c r="Y1522" s="22">
        <f>IFERROR(__xludf.DUMMYFUNCTION("IFERROR(GOOGLEFINANCE(A1522,""low""),"""")"),314.0)</f>
        <v>314</v>
      </c>
      <c r="Z1522" s="22">
        <f>IFERROR(__xludf.DUMMYFUNCTION("IFERROR(GOOGLEFINANCE(A1522,""volume""),"""")"),1.97441E7)</f>
        <v>19744100</v>
      </c>
      <c r="AA1522" s="24" t="str">
        <f>VLOOKUP(A1522,Metrik!$C$2:$Y$959,5,0)</f>
        <v>Healthcare Providers</v>
      </c>
      <c r="AB1522" s="24" t="str">
        <f>VLOOKUP(A1522,Metrik!$C$2:$Y$959,3,0)</f>
        <v>Healthcare</v>
      </c>
    </row>
    <row r="1523">
      <c r="A1523" s="14" t="s">
        <v>826</v>
      </c>
      <c r="B1523" s="14" t="str">
        <f t="array" ref="B1523">VLOOKUP(A1523,{Metrik!$C$2:$C$998,Metrik!$B$2:$B$998},2,0)</f>
        <v>Kedoya Adyaraya Tbk.</v>
      </c>
      <c r="C1523" s="15">
        <f>IFERROR(__xludf.DUMMYFUNCTION("GOOGLEFINANCE(""IDX:""&amp;A1523,""price"")"),735.0)</f>
        <v>735</v>
      </c>
      <c r="D1523" s="16" t="str">
        <f>IFERROR(__xludf.DUMMYFUNCTION("IF(A1523="""","""",
SPARKLINE(
INDEX(
GOOGLEFINANCE(""IDX:""&amp;A1523,""close"",TODAY()-365,TODAY()),
,2
),
{""linewidth"",1}
))
"),"#N/A")</f>
        <v>#N/A</v>
      </c>
      <c r="E1523" s="26"/>
      <c r="F1523" s="26"/>
      <c r="G1523" s="24">
        <f t="shared" si="9"/>
        <v>0</v>
      </c>
      <c r="H1523" s="19">
        <f>VLOOKUP(A1523,Metrik!$C$2:$Y$959,8,0)</f>
        <v>25.6</v>
      </c>
      <c r="I1523" s="20">
        <f>VLOOKUP(A1523,Metrik!$C$2:$Y$959,9,0)</f>
        <v>1.1</v>
      </c>
      <c r="J1523" s="20">
        <f>VLOOKUP(A1523,Metrik!$C$2:$Y$959,10,0)</f>
        <v>4.2</v>
      </c>
      <c r="K1523" s="20">
        <f>VLOOKUP(A1523,Metrik!$C$2:$Y$959,11,0)</f>
        <v>3.3</v>
      </c>
      <c r="L1523" s="20">
        <f>VLOOKUP(A1523,Metrik!$C$2:$Y$959,12,0)</f>
        <v>0.28</v>
      </c>
      <c r="M1523" s="20">
        <f>VLOOKUP(A1523,Metrik!$C$2:$Y$959,19,0)</f>
        <v>27.9</v>
      </c>
      <c r="N1523" s="21"/>
      <c r="O1523" s="21"/>
      <c r="P1523" s="21"/>
      <c r="Q1523" s="21"/>
      <c r="R1523" s="21"/>
      <c r="S1523" s="21"/>
      <c r="T1523" s="21"/>
      <c r="U1523" s="22">
        <f>IFERROR(__xludf.DUMMYFUNCTION("IFERROR(GOOGLEFINANCE(A1523,""closeyest""),"""")"),725.0)</f>
        <v>725</v>
      </c>
      <c r="V1523" s="23">
        <f>IFERROR(__xludf.DUMMYFUNCTION("IFERROR(GOOGLEFINANCE(A1523,""changepct""),"""")"),1.38)</f>
        <v>1.38</v>
      </c>
      <c r="W1523" s="22">
        <f>IFERROR(__xludf.DUMMYFUNCTION("IFERROR(GOOGLEFINANCE(A1523,""priceopen""),"""")"),715.0)</f>
        <v>715</v>
      </c>
      <c r="X1523" s="22">
        <f>IFERROR(__xludf.DUMMYFUNCTION("IFERROR(GOOGLEFINANCE(A1523,""high""),"""")"),775.0)</f>
        <v>775</v>
      </c>
      <c r="Y1523" s="22">
        <f>IFERROR(__xludf.DUMMYFUNCTION("IFERROR(GOOGLEFINANCE(A1523,""low""),"""")"),700.0)</f>
        <v>700</v>
      </c>
      <c r="Z1523" s="22">
        <f>IFERROR(__xludf.DUMMYFUNCTION("IFERROR(GOOGLEFINANCE(A1523,""volume""),"""")"),52100.0)</f>
        <v>52100</v>
      </c>
      <c r="AA1523" s="24" t="str">
        <f>VLOOKUP(A1523,Metrik!$C$2:$Y$959,5,0)</f>
        <v>Healthcare Providers</v>
      </c>
      <c r="AB1523" s="24" t="str">
        <f>VLOOKUP(A1523,Metrik!$C$2:$Y$959,3,0)</f>
        <v>Healthcare</v>
      </c>
    </row>
    <row r="1524">
      <c r="A1524" s="14" t="s">
        <v>827</v>
      </c>
      <c r="B1524" s="14" t="str">
        <f t="array" ref="B1524">VLOOKUP(A1524,{Metrik!$C$2:$C$998,Metrik!$B$2:$B$998},2,0)</f>
        <v>Radiant Utama Interinsco Tbk</v>
      </c>
      <c r="C1524" s="15">
        <f>IFERROR(__xludf.DUMMYFUNCTION("GOOGLEFINANCE(""IDX:""&amp;A1524,""price"")"),186.0)</f>
        <v>186</v>
      </c>
      <c r="D1524" s="16" t="str">
        <f>IFERROR(__xludf.DUMMYFUNCTION("IF(A1524="""","""",
SPARKLINE(
INDEX(
GOOGLEFINANCE(""IDX:""&amp;A1524,""close"",TODAY()-365,TODAY()),
,2
),
{""linewidth"",1}
))
"),"#N/A")</f>
        <v>#N/A</v>
      </c>
      <c r="E1524" s="26"/>
      <c r="F1524" s="26"/>
      <c r="G1524" s="24">
        <f t="shared" si="9"/>
        <v>0</v>
      </c>
      <c r="H1524" s="19">
        <f>VLOOKUP(A1524,Metrik!$C$2:$Y$959,8,0)</f>
        <v>10.9</v>
      </c>
      <c r="I1524" s="20">
        <f>VLOOKUP(A1524,Metrik!$C$2:$Y$959,9,0)</f>
        <v>0.25</v>
      </c>
      <c r="J1524" s="20">
        <f>VLOOKUP(A1524,Metrik!$C$2:$Y$959,10,0)</f>
        <v>2.3</v>
      </c>
      <c r="K1524" s="20">
        <f>VLOOKUP(A1524,Metrik!$C$2:$Y$959,11,0)</f>
        <v>0.96</v>
      </c>
      <c r="L1524" s="20">
        <f>VLOOKUP(A1524,Metrik!$C$2:$Y$959,12,0)</f>
        <v>1.4</v>
      </c>
      <c r="M1524" s="20">
        <f>VLOOKUP(A1524,Metrik!$C$2:$Y$959,19,0)</f>
        <v>2.6</v>
      </c>
      <c r="N1524" s="21"/>
      <c r="O1524" s="21"/>
      <c r="P1524" s="21"/>
      <c r="Q1524" s="21"/>
      <c r="R1524" s="21"/>
      <c r="S1524" s="21"/>
      <c r="T1524" s="21"/>
      <c r="U1524" s="22">
        <f>IFERROR(__xludf.DUMMYFUNCTION("IFERROR(GOOGLEFINANCE(A1524,""closeyest""),"""")"),186.0)</f>
        <v>186</v>
      </c>
      <c r="V1524" s="23">
        <f>IFERROR(__xludf.DUMMYFUNCTION("IFERROR(GOOGLEFINANCE(A1524,""changepct""),"""")"),0.0)</f>
        <v>0</v>
      </c>
      <c r="W1524" s="22" t="str">
        <f>IFERROR(__xludf.DUMMYFUNCTION("IFERROR(GOOGLEFINANCE(A1524,""priceopen""),"""")"),"")</f>
        <v/>
      </c>
      <c r="X1524" s="22">
        <f>IFERROR(__xludf.DUMMYFUNCTION("IFERROR(GOOGLEFINANCE(A1524,""high""),"""")"),190.0)</f>
        <v>190</v>
      </c>
      <c r="Y1524" s="22">
        <f>IFERROR(__xludf.DUMMYFUNCTION("IFERROR(GOOGLEFINANCE(A1524,""low""),"""")"),182.0)</f>
        <v>182</v>
      </c>
      <c r="Z1524" s="22">
        <f>IFERROR(__xludf.DUMMYFUNCTION("IFERROR(GOOGLEFINANCE(A1524,""volume""),"""")"),1105200.0)</f>
        <v>1105200</v>
      </c>
      <c r="AA1524" s="24" t="str">
        <f>VLOOKUP(A1524,Metrik!$C$2:$Y$959,5,0)</f>
        <v>Oil, Gas &amp; Coal Supports</v>
      </c>
      <c r="AB1524" s="24" t="str">
        <f>VLOOKUP(A1524,Metrik!$C$2:$Y$959,3,0)</f>
        <v>Energy</v>
      </c>
    </row>
    <row r="1525">
      <c r="A1525" s="14" t="s">
        <v>828</v>
      </c>
      <c r="B1525" s="14" t="str">
        <f t="array" ref="B1525">VLOOKUP(A1525,{Metrik!$C$2:$C$998,Metrik!$B$2:$B$998},2,0)</f>
        <v>Global Sukses Solusi Tbk.</v>
      </c>
      <c r="C1525" s="15">
        <f>IFERROR(__xludf.DUMMYFUNCTION("GOOGLEFINANCE(""IDX:""&amp;A1525,""price"")"),74.0)</f>
        <v>74</v>
      </c>
      <c r="D1525" s="16" t="str">
        <f>IFERROR(__xludf.DUMMYFUNCTION("IF(A1525="""","""",
SPARKLINE(
INDEX(
GOOGLEFINANCE(""IDX:""&amp;A1525,""close"",TODAY()-365,TODAY()),
,2
),
{""linewidth"",1}
))
"),"#N/A")</f>
        <v>#N/A</v>
      </c>
      <c r="E1525" s="26"/>
      <c r="F1525" s="26"/>
      <c r="G1525" s="24">
        <f t="shared" si="9"/>
        <v>0</v>
      </c>
      <c r="H1525" s="19">
        <f>VLOOKUP(A1525,Metrik!$C$2:$Y$959,8,0)</f>
        <v>-10.6</v>
      </c>
      <c r="I1525" s="20">
        <f>VLOOKUP(A1525,Metrik!$C$2:$Y$959,9,0)</f>
        <v>1.4</v>
      </c>
      <c r="J1525" s="20">
        <f>VLOOKUP(A1525,Metrik!$C$2:$Y$959,10,0)</f>
        <v>-12.9</v>
      </c>
      <c r="K1525" s="20">
        <f>VLOOKUP(A1525,Metrik!$C$2:$Y$959,11,0)</f>
        <v>-9.1</v>
      </c>
      <c r="L1525" s="20">
        <f>VLOOKUP(A1525,Metrik!$C$2:$Y$959,12,0)</f>
        <v>0.41</v>
      </c>
      <c r="M1525" s="20">
        <f>VLOOKUP(A1525,Metrik!$C$2:$Y$959,19,0)</f>
        <v>-44.3</v>
      </c>
      <c r="N1525" s="21"/>
      <c r="O1525" s="21"/>
      <c r="P1525" s="21"/>
      <c r="Q1525" s="21"/>
      <c r="R1525" s="21"/>
      <c r="S1525" s="21"/>
      <c r="T1525" s="21"/>
      <c r="U1525" s="22">
        <f>IFERROR(__xludf.DUMMYFUNCTION("IFERROR(GOOGLEFINANCE(A1525,""closeyest""),"""")"),69.0)</f>
        <v>69</v>
      </c>
      <c r="V1525" s="23">
        <f>IFERROR(__xludf.DUMMYFUNCTION("IFERROR(GOOGLEFINANCE(A1525,""changepct""),"""")"),7.25)</f>
        <v>7.25</v>
      </c>
      <c r="W1525" s="22">
        <f>IFERROR(__xludf.DUMMYFUNCTION("IFERROR(GOOGLEFINANCE(A1525,""priceopen""),"""")"),75.0)</f>
        <v>75</v>
      </c>
      <c r="X1525" s="22">
        <f>IFERROR(__xludf.DUMMYFUNCTION("IFERROR(GOOGLEFINANCE(A1525,""high""),"""")"),75.0)</f>
        <v>75</v>
      </c>
      <c r="Y1525" s="22">
        <f>IFERROR(__xludf.DUMMYFUNCTION("IFERROR(GOOGLEFINANCE(A1525,""low""),"""")"),69.0)</f>
        <v>69</v>
      </c>
      <c r="Z1525" s="22">
        <f>IFERROR(__xludf.DUMMYFUNCTION("IFERROR(GOOGLEFINANCE(A1525,""volume""),"""")"),451400.0)</f>
        <v>451400</v>
      </c>
      <c r="AA1525" s="24" t="str">
        <f>VLOOKUP(A1525,Metrik!$C$2:$Y$959,5,0)</f>
        <v>Software</v>
      </c>
      <c r="AB1525" s="24" t="str">
        <f>VLOOKUP(A1525,Metrik!$C$2:$Y$959,3,0)</f>
        <v>Technology</v>
      </c>
    </row>
    <row r="1526">
      <c r="A1526" s="14" t="s">
        <v>829</v>
      </c>
      <c r="B1526" s="14" t="str">
        <f t="array" ref="B1526">VLOOKUP(A1526,{Metrik!$C$2:$C$998,Metrik!$B$2:$B$998},2,0)</f>
        <v>Steady Safe Tbk</v>
      </c>
      <c r="C1526" s="15">
        <f>IFERROR(__xludf.DUMMYFUNCTION("GOOGLEFINANCE(""IDX:""&amp;A1526,""price"")"),324.0)</f>
        <v>324</v>
      </c>
      <c r="D1526" s="16" t="str">
        <f>IFERROR(__xludf.DUMMYFUNCTION("IF(A1526="""","""",
SPARKLINE(
INDEX(
GOOGLEFINANCE(""IDX:""&amp;A1526,""close"",TODAY()-365,TODAY()),
,2
),
{""linewidth"",1}
))
"),"#N/A")</f>
        <v>#N/A</v>
      </c>
      <c r="E1526" s="26"/>
      <c r="F1526" s="26"/>
      <c r="G1526" s="24">
        <f t="shared" si="9"/>
        <v>0</v>
      </c>
      <c r="H1526" s="19">
        <f>VLOOKUP(A1526,Metrik!$C$2:$Y$959,8,0)</f>
        <v>7.9</v>
      </c>
      <c r="I1526" s="20">
        <f>VLOOKUP(A1526,Metrik!$C$2:$Y$959,9,0)</f>
        <v>3.9</v>
      </c>
      <c r="J1526" s="20">
        <f>VLOOKUP(A1526,Metrik!$C$2:$Y$959,10,0)</f>
        <v>49.4</v>
      </c>
      <c r="K1526" s="20">
        <f>VLOOKUP(A1526,Metrik!$C$2:$Y$959,11,0)</f>
        <v>17.2</v>
      </c>
      <c r="L1526" s="20">
        <f>VLOOKUP(A1526,Metrik!$C$2:$Y$959,12,0)</f>
        <v>1.9</v>
      </c>
      <c r="M1526" s="20">
        <f>VLOOKUP(A1526,Metrik!$C$2:$Y$959,19,0)</f>
        <v>67.6</v>
      </c>
      <c r="N1526" s="21"/>
      <c r="O1526" s="21"/>
      <c r="P1526" s="21"/>
      <c r="Q1526" s="21"/>
      <c r="R1526" s="21"/>
      <c r="S1526" s="21"/>
      <c r="T1526" s="21"/>
      <c r="U1526" s="22">
        <f>IFERROR(__xludf.DUMMYFUNCTION("IFERROR(GOOGLEFINANCE(A1526,""closeyest""),"""")"),16.09)</f>
        <v>16.09</v>
      </c>
      <c r="V1526" s="23">
        <f>IFERROR(__xludf.DUMMYFUNCTION("IFERROR(GOOGLEFINANCE(A1526,""changepct""),"""")"),-1.74)</f>
        <v>-1.74</v>
      </c>
      <c r="W1526" s="22">
        <f>IFERROR(__xludf.DUMMYFUNCTION("IFERROR(GOOGLEFINANCE(A1526,""priceopen""),"""")"),16.11)</f>
        <v>16.11</v>
      </c>
      <c r="X1526" s="22">
        <f>IFERROR(__xludf.DUMMYFUNCTION("IFERROR(GOOGLEFINANCE(A1526,""high""),"""")"),16.29)</f>
        <v>16.29</v>
      </c>
      <c r="Y1526" s="22">
        <f>IFERROR(__xludf.DUMMYFUNCTION("IFERROR(GOOGLEFINANCE(A1526,""low""),"""")"),15.78)</f>
        <v>15.78</v>
      </c>
      <c r="Z1526" s="22">
        <f>IFERROR(__xludf.DUMMYFUNCTION("IFERROR(GOOGLEFINANCE(A1526,""volume""),"""")"),375755.0)</f>
        <v>375755</v>
      </c>
      <c r="AA1526" s="24" t="str">
        <f>VLOOKUP(A1526,Metrik!$C$2:$Y$959,5,0)</f>
        <v>Passenger Land Transportation</v>
      </c>
      <c r="AB1526" s="24" t="str">
        <f>VLOOKUP(A1526,Metrik!$C$2:$Y$959,3,0)</f>
        <v>Transportation &amp; Logistic</v>
      </c>
    </row>
    <row r="1527">
      <c r="A1527" s="14" t="s">
        <v>830</v>
      </c>
      <c r="B1527" s="14" t="str">
        <f t="array" ref="B1527">VLOOKUP(A1527,{Metrik!$C$2:$C$998,Metrik!$B$2:$B$998},2,0)</f>
        <v>PT Saptausaha Gemilangindah Tbk</v>
      </c>
      <c r="C1527" s="15">
        <f>IFERROR(__xludf.DUMMYFUNCTION("GOOGLEFINANCE(""IDX:""&amp;A1527,""price"")"),26.0)</f>
        <v>26</v>
      </c>
      <c r="D1527" s="16" t="str">
        <f>IFERROR(__xludf.DUMMYFUNCTION("IF(A1527="""","""",
SPARKLINE(
INDEX(
GOOGLEFINANCE(""IDX:""&amp;A1527,""close"",TODAY()-365,TODAY()),
,2
),
{""linewidth"",1}
))
"),"#N/A")</f>
        <v>#N/A</v>
      </c>
      <c r="E1527" s="26"/>
      <c r="F1527" s="26"/>
      <c r="G1527" s="24">
        <f t="shared" si="9"/>
        <v>0</v>
      </c>
      <c r="H1527" s="19">
        <f>VLOOKUP(A1527,Metrik!$C$2:$Y$959,8,0)</f>
        <v>-76.4</v>
      </c>
      <c r="I1527" s="20">
        <f>VLOOKUP(A1527,Metrik!$C$2:$Y$959,9,0)</f>
        <v>0.96</v>
      </c>
      <c r="J1527" s="20">
        <f>VLOOKUP(A1527,Metrik!$C$2:$Y$959,10,0)</f>
        <v>-1.3</v>
      </c>
      <c r="K1527" s="20">
        <f>VLOOKUP(A1527,Metrik!$C$2:$Y$959,11,0)</f>
        <v>-1.1</v>
      </c>
      <c r="L1527" s="20">
        <f>VLOOKUP(A1527,Metrik!$C$2:$Y$959,12,0)</f>
        <v>0.13</v>
      </c>
      <c r="M1527" s="20">
        <f>VLOOKUP(A1527,Metrik!$C$2:$Y$959,19,0)</f>
        <v>-180</v>
      </c>
      <c r="N1527" s="21"/>
      <c r="O1527" s="21"/>
      <c r="P1527" s="21"/>
      <c r="Q1527" s="21"/>
      <c r="R1527" s="21"/>
      <c r="S1527" s="21"/>
      <c r="T1527" s="21"/>
      <c r="U1527" s="22">
        <f>IFERROR(__xludf.DUMMYFUNCTION("IFERROR(GOOGLEFINANCE(A1527,""closeyest""),"""")"),0.12)</f>
        <v>0.12</v>
      </c>
      <c r="V1527" s="23">
        <f>IFERROR(__xludf.DUMMYFUNCTION("IFERROR(GOOGLEFINANCE(A1527,""changepct""),"""")"),8.33)</f>
        <v>8.33</v>
      </c>
      <c r="W1527" s="22">
        <f>IFERROR(__xludf.DUMMYFUNCTION("IFERROR(GOOGLEFINANCE(A1527,""priceopen""),"""")"),0.13)</f>
        <v>0.13</v>
      </c>
      <c r="X1527" s="22">
        <f>IFERROR(__xludf.DUMMYFUNCTION("IFERROR(GOOGLEFINANCE(A1527,""high""),"""")"),0.13)</f>
        <v>0.13</v>
      </c>
      <c r="Y1527" s="22">
        <f>IFERROR(__xludf.DUMMYFUNCTION("IFERROR(GOOGLEFINANCE(A1527,""low""),"""")"),0.13)</f>
        <v>0.13</v>
      </c>
      <c r="Z1527" s="22">
        <f>IFERROR(__xludf.DUMMYFUNCTION("IFERROR(GOOGLEFINANCE(A1527,""volume""),"""")"),29206.0)</f>
        <v>29206</v>
      </c>
      <c r="AA1527" s="24" t="str">
        <f>VLOOKUP(A1527,Metrik!$C$2:$Y$959,5,0)</f>
        <v>Real Estate Management &amp; Development</v>
      </c>
      <c r="AB1527" s="24" t="str">
        <f>VLOOKUP(A1527,Metrik!$C$2:$Y$959,3,0)</f>
        <v>Properties &amp; Real Estate</v>
      </c>
    </row>
    <row r="1528">
      <c r="A1528" s="14" t="s">
        <v>831</v>
      </c>
      <c r="B1528" s="14" t="str">
        <f t="array" ref="B1528">VLOOKUP(A1528,{Metrik!$C$2:$C$998,Metrik!$B$2:$B$998},2,0)</f>
        <v>Sarana Meditama Metropolitan Tbk</v>
      </c>
      <c r="C1528" s="15">
        <f>IFERROR(__xludf.DUMMYFUNCTION("GOOGLEFINANCE(""IDX:""&amp;A1528,""price"")"),300.0)</f>
        <v>300</v>
      </c>
      <c r="D1528" s="16" t="str">
        <f>IFERROR(__xludf.DUMMYFUNCTION("IF(A1528="""","""",
SPARKLINE(
INDEX(
GOOGLEFINANCE(""IDX:""&amp;A1528,""close"",TODAY()-365,TODAY()),
,2
),
{""linewidth"",1}
))
"),"#N/A")</f>
        <v>#N/A</v>
      </c>
      <c r="E1528" s="26"/>
      <c r="F1528" s="26"/>
      <c r="G1528" s="24">
        <f t="shared" si="9"/>
        <v>0</v>
      </c>
      <c r="H1528" s="19">
        <f>VLOOKUP(A1528,Metrik!$C$2:$Y$959,8,0)</f>
        <v>290</v>
      </c>
      <c r="I1528" s="20">
        <f>VLOOKUP(A1528,Metrik!$C$2:$Y$959,9,0)</f>
        <v>1.3</v>
      </c>
      <c r="J1528" s="20">
        <f>VLOOKUP(A1528,Metrik!$C$2:$Y$959,10,0)</f>
        <v>0.47</v>
      </c>
      <c r="K1528" s="20">
        <f>VLOOKUP(A1528,Metrik!$C$2:$Y$959,11,0)</f>
        <v>0.34</v>
      </c>
      <c r="L1528" s="20">
        <f>VLOOKUP(A1528,Metrik!$C$2:$Y$959,12,0)</f>
        <v>0.38</v>
      </c>
      <c r="M1528" s="20">
        <f>VLOOKUP(A1528,Metrik!$C$2:$Y$959,19,0)</f>
        <v>4.1</v>
      </c>
      <c r="N1528" s="21"/>
      <c r="O1528" s="21"/>
      <c r="P1528" s="21"/>
      <c r="Q1528" s="21"/>
      <c r="R1528" s="21"/>
      <c r="S1528" s="21"/>
      <c r="T1528" s="21"/>
      <c r="U1528" s="22">
        <f>IFERROR(__xludf.DUMMYFUNCTION("IFERROR(GOOGLEFINANCE(A1528,""closeyest""),"""")"),298.0)</f>
        <v>298</v>
      </c>
      <c r="V1528" s="23">
        <f>IFERROR(__xludf.DUMMYFUNCTION("IFERROR(GOOGLEFINANCE(A1528,""changepct""),"""")"),0.67)</f>
        <v>0.67</v>
      </c>
      <c r="W1528" s="22">
        <f>IFERROR(__xludf.DUMMYFUNCTION("IFERROR(GOOGLEFINANCE(A1528,""priceopen""),"""")"),298.0)</f>
        <v>298</v>
      </c>
      <c r="X1528" s="22">
        <f>IFERROR(__xludf.DUMMYFUNCTION("IFERROR(GOOGLEFINANCE(A1528,""high""),"""")"),314.0)</f>
        <v>314</v>
      </c>
      <c r="Y1528" s="22">
        <f>IFERROR(__xludf.DUMMYFUNCTION("IFERROR(GOOGLEFINANCE(A1528,""low""),"""")"),298.0)</f>
        <v>298</v>
      </c>
      <c r="Z1528" s="22">
        <f>IFERROR(__xludf.DUMMYFUNCTION("IFERROR(GOOGLEFINANCE(A1528,""volume""),"""")"),940300.0)</f>
        <v>940300</v>
      </c>
      <c r="AA1528" s="24" t="str">
        <f>VLOOKUP(A1528,Metrik!$C$2:$Y$959,5,0)</f>
        <v>Healthcare Providers</v>
      </c>
      <c r="AB1528" s="24" t="str">
        <f>VLOOKUP(A1528,Metrik!$C$2:$Y$959,3,0)</f>
        <v>Healthcare</v>
      </c>
    </row>
    <row r="1529">
      <c r="A1529" s="14" t="s">
        <v>832</v>
      </c>
      <c r="B1529" s="14" t="str">
        <f t="array" ref="B1529">VLOOKUP(A1529,{Metrik!$C$2:$C$998,Metrik!$B$2:$B$998},2,0)</f>
        <v>Saraswanti Anugerah Makmur Tbk.</v>
      </c>
      <c r="C1529" s="15">
        <f>IFERROR(__xludf.DUMMYFUNCTION("GOOGLEFINANCE(""IDX:""&amp;A1529,""price"")"),272.0)</f>
        <v>272</v>
      </c>
      <c r="D1529" s="16" t="str">
        <f>IFERROR(__xludf.DUMMYFUNCTION("IF(A1529="""","""",
SPARKLINE(
INDEX(
GOOGLEFINANCE(""IDX:""&amp;A1529,""close"",TODAY()-365,TODAY()),
,2
),
{""linewidth"",1}
))
"),"#N/A")</f>
        <v>#N/A</v>
      </c>
      <c r="E1529" s="26"/>
      <c r="F1529" s="26"/>
      <c r="G1529" s="18">
        <f t="shared" si="9"/>
        <v>0</v>
      </c>
      <c r="H1529" s="19">
        <f>VLOOKUP(A1529,Metrik!$C$2:$Y$959,8,0)</f>
        <v>11.9</v>
      </c>
      <c r="I1529" s="20">
        <f>VLOOKUP(A1529,Metrik!$C$2:$Y$959,9,0)</f>
        <v>1.5</v>
      </c>
      <c r="J1529" s="20">
        <f>VLOOKUP(A1529,Metrik!$C$2:$Y$959,10,0)</f>
        <v>12.9</v>
      </c>
      <c r="K1529" s="20">
        <f>VLOOKUP(A1529,Metrik!$C$2:$Y$959,11,0)</f>
        <v>7.1</v>
      </c>
      <c r="L1529" s="20">
        <f>VLOOKUP(A1529,Metrik!$C$2:$Y$959,12,0)</f>
        <v>0.82</v>
      </c>
      <c r="M1529" s="20">
        <f>VLOOKUP(A1529,Metrik!$C$2:$Y$959,19,0)</f>
        <v>41.4</v>
      </c>
      <c r="N1529" s="21"/>
      <c r="O1529" s="21"/>
      <c r="P1529" s="21"/>
      <c r="Q1529" s="21"/>
      <c r="R1529" s="21"/>
      <c r="S1529" s="21"/>
      <c r="T1529" s="21"/>
      <c r="U1529" s="22">
        <f>IFERROR(__xludf.DUMMYFUNCTION("IFERROR(GOOGLEFINANCE(A1529,""closeyest""),"""")"),266.0)</f>
        <v>266</v>
      </c>
      <c r="V1529" s="23">
        <f>IFERROR(__xludf.DUMMYFUNCTION("IFERROR(GOOGLEFINANCE(A1529,""changepct""),"""")"),2.26)</f>
        <v>2.26</v>
      </c>
      <c r="W1529" s="22">
        <f>IFERROR(__xludf.DUMMYFUNCTION("IFERROR(GOOGLEFINANCE(A1529,""priceopen""),"""")"),264.0)</f>
        <v>264</v>
      </c>
      <c r="X1529" s="22">
        <f>IFERROR(__xludf.DUMMYFUNCTION("IFERROR(GOOGLEFINANCE(A1529,""high""),"""")"),278.0)</f>
        <v>278</v>
      </c>
      <c r="Y1529" s="22">
        <f>IFERROR(__xludf.DUMMYFUNCTION("IFERROR(GOOGLEFINANCE(A1529,""low""),"""")"),262.0)</f>
        <v>262</v>
      </c>
      <c r="Z1529" s="22" t="str">
        <f>IFERROR(__xludf.DUMMYFUNCTION("IFERROR(GOOGLEFINANCE(A1529,""volume""),"""")"),"")</f>
        <v/>
      </c>
      <c r="AA1529" s="24" t="str">
        <f>VLOOKUP(A1529,Metrik!$C$2:$Y$959,5,0)</f>
        <v>Chemicals</v>
      </c>
      <c r="AB1529" s="24" t="str">
        <f>VLOOKUP(A1529,Metrik!$C$2:$Y$959,3,0)</f>
        <v>Basic Materials</v>
      </c>
    </row>
    <row r="1530">
      <c r="A1530" s="14" t="s">
        <v>833</v>
      </c>
      <c r="B1530" s="14" t="str">
        <f t="array" ref="B1530">VLOOKUP(A1530,{Metrik!$C$2:$C$998,Metrik!$B$2:$B$998},2,0)</f>
        <v>Satria Antaran Prima Tbk.</v>
      </c>
      <c r="C1530" s="15">
        <f>IFERROR(__xludf.DUMMYFUNCTION("GOOGLEFINANCE(""IDX:""&amp;A1530,""price"")"),216.0)</f>
        <v>216</v>
      </c>
      <c r="D1530" s="16" t="str">
        <f>IFERROR(__xludf.DUMMYFUNCTION("IF(A1530="""","""",
SPARKLINE(
INDEX(
GOOGLEFINANCE(""IDX:""&amp;A1530,""close"",TODAY()-365,TODAY()),
,2
),
{""linewidth"",1}
))
"),"#N/A")</f>
        <v>#N/A</v>
      </c>
      <c r="E1530" s="26"/>
      <c r="F1530" s="26"/>
      <c r="G1530" s="24">
        <f t="shared" si="9"/>
        <v>0</v>
      </c>
      <c r="H1530" s="19">
        <f>VLOOKUP(A1530,Metrik!$C$2:$Y$959,8,0)</f>
        <v>150</v>
      </c>
      <c r="I1530" s="20">
        <f>VLOOKUP(A1530,Metrik!$C$2:$Y$959,9,0)</f>
        <v>0.79</v>
      </c>
      <c r="J1530" s="20">
        <f>VLOOKUP(A1530,Metrik!$C$2:$Y$959,10,0)</f>
        <v>0.53</v>
      </c>
      <c r="K1530" s="20">
        <f>VLOOKUP(A1530,Metrik!$C$2:$Y$959,11,0)</f>
        <v>0.26</v>
      </c>
      <c r="L1530" s="20">
        <f>VLOOKUP(A1530,Metrik!$C$2:$Y$959,12,0)</f>
        <v>1</v>
      </c>
      <c r="M1530" s="20">
        <f>VLOOKUP(A1530,Metrik!$C$2:$Y$959,19,0)</f>
        <v>0.99</v>
      </c>
      <c r="N1530" s="21"/>
      <c r="O1530" s="21"/>
      <c r="P1530" s="21"/>
      <c r="Q1530" s="21"/>
      <c r="R1530" s="21"/>
      <c r="S1530" s="21"/>
      <c r="T1530" s="21"/>
      <c r="U1530" s="22">
        <f>IFERROR(__xludf.DUMMYFUNCTION("IFERROR(GOOGLEFINANCE(A1530,""closeyest""),"""")"),0.0)</f>
        <v>0</v>
      </c>
      <c r="V1530" s="23">
        <f>IFERROR(__xludf.DUMMYFUNCTION("IFERROR(GOOGLEFINANCE(A1530,""changepct""),"""")"),0.0)</f>
        <v>0</v>
      </c>
      <c r="W1530" s="22" t="str">
        <f>IFERROR(__xludf.DUMMYFUNCTION("IFERROR(GOOGLEFINANCE(A1530,""priceopen""),"""")"),"")</f>
        <v/>
      </c>
      <c r="X1530" s="22" t="str">
        <f>IFERROR(__xludf.DUMMYFUNCTION("IFERROR(GOOGLEFINANCE(A1530,""high""),"""")"),"")</f>
        <v/>
      </c>
      <c r="Y1530" s="22" t="str">
        <f>IFERROR(__xludf.DUMMYFUNCTION("IFERROR(GOOGLEFINANCE(A1530,""low""),"""")"),"")</f>
        <v/>
      </c>
      <c r="Z1530" s="22">
        <f>IFERROR(__xludf.DUMMYFUNCTION("IFERROR(GOOGLEFINANCE(A1530,""volume""),"""")"),0.0)</f>
        <v>0</v>
      </c>
      <c r="AA1530" s="24" t="str">
        <f>VLOOKUP(A1530,Metrik!$C$2:$Y$959,5,0)</f>
        <v>Logistics &amp; Deliveries</v>
      </c>
      <c r="AB1530" s="24" t="str">
        <f>VLOOKUP(A1530,Metrik!$C$2:$Y$959,3,0)</f>
        <v>Transportation &amp; Logistic</v>
      </c>
    </row>
    <row r="1531">
      <c r="A1531" s="14" t="s">
        <v>834</v>
      </c>
      <c r="B1531" s="14" t="str">
        <f t="array" ref="B1531">VLOOKUP(A1531,{Metrik!$C$2:$C$998,Metrik!$B$2:$B$998},2,0)</f>
        <v>Kota Satu Properti Tbk.</v>
      </c>
      <c r="C1531" s="15">
        <f>IFERROR(__xludf.DUMMYFUNCTION("GOOGLEFINANCE(""IDX:""&amp;A1531,""price"")"),272.0)</f>
        <v>272</v>
      </c>
      <c r="D1531" s="16" t="str">
        <f>IFERROR(__xludf.DUMMYFUNCTION("IF(A1531="""","""",
SPARKLINE(
INDEX(
GOOGLEFINANCE(""IDX:""&amp;A1531,""close"",TODAY()-365,TODAY()),
,2
),
{""linewidth"",1}
))
"),"#N/A")</f>
        <v>#N/A</v>
      </c>
      <c r="E1531" s="26"/>
      <c r="F1531" s="26"/>
      <c r="G1531" s="24">
        <f t="shared" si="9"/>
        <v>0</v>
      </c>
      <c r="H1531" s="19">
        <f>VLOOKUP(A1531,Metrik!$C$2:$Y$959,8,0)</f>
        <v>-130</v>
      </c>
      <c r="I1531" s="20">
        <f>VLOOKUP(A1531,Metrik!$C$2:$Y$959,9,0)</f>
        <v>7.9</v>
      </c>
      <c r="J1531" s="20">
        <f>VLOOKUP(A1531,Metrik!$C$2:$Y$959,10,0)</f>
        <v>-6</v>
      </c>
      <c r="K1531" s="20">
        <f>VLOOKUP(A1531,Metrik!$C$2:$Y$959,11,0)</f>
        <v>-1.3</v>
      </c>
      <c r="L1531" s="20">
        <f>VLOOKUP(A1531,Metrik!$C$2:$Y$959,12,0)</f>
        <v>3.7</v>
      </c>
      <c r="M1531" s="20">
        <f>VLOOKUP(A1531,Metrik!$C$2:$Y$959,19,0)</f>
        <v>-37</v>
      </c>
      <c r="N1531" s="21"/>
      <c r="O1531" s="21"/>
      <c r="P1531" s="21"/>
      <c r="Q1531" s="21"/>
      <c r="R1531" s="21"/>
      <c r="S1531" s="21"/>
      <c r="T1531" s="21"/>
      <c r="U1531" s="22">
        <f>IFERROR(__xludf.DUMMYFUNCTION("IFERROR(GOOGLEFINANCE(A1531,""closeyest""),"""")"),270.0)</f>
        <v>270</v>
      </c>
      <c r="V1531" s="23">
        <f>IFERROR(__xludf.DUMMYFUNCTION("IFERROR(GOOGLEFINANCE(A1531,""changepct""),"""")"),0.74)</f>
        <v>0.74</v>
      </c>
      <c r="W1531" s="22">
        <f>IFERROR(__xludf.DUMMYFUNCTION("IFERROR(GOOGLEFINANCE(A1531,""priceopen""),"""")"),270.0)</f>
        <v>270</v>
      </c>
      <c r="X1531" s="22">
        <f>IFERROR(__xludf.DUMMYFUNCTION("IFERROR(GOOGLEFINANCE(A1531,""high""),"""")"),272.0)</f>
        <v>272</v>
      </c>
      <c r="Y1531" s="22">
        <f>IFERROR(__xludf.DUMMYFUNCTION("IFERROR(GOOGLEFINANCE(A1531,""low""),"""")"),268.0)</f>
        <v>268</v>
      </c>
      <c r="Z1531" s="22">
        <f>IFERROR(__xludf.DUMMYFUNCTION("IFERROR(GOOGLEFINANCE(A1531,""volume""),"""")"),939800.0)</f>
        <v>939800</v>
      </c>
      <c r="AA1531" s="24" t="str">
        <f>VLOOKUP(A1531,Metrik!$C$2:$Y$959,5,0)</f>
        <v>Real Estate Management &amp; Development</v>
      </c>
      <c r="AB1531" s="24" t="str">
        <f>VLOOKUP(A1531,Metrik!$C$2:$Y$959,3,0)</f>
        <v>Properties &amp; Real Estate</v>
      </c>
    </row>
    <row r="1532">
      <c r="A1532" s="14" t="s">
        <v>835</v>
      </c>
      <c r="B1532" s="14" t="str">
        <f t="array" ref="B1532">VLOOKUP(A1532,{Metrik!$C$2:$C$998,Metrik!$B$2:$B$998},2,0)</f>
        <v>Sejahtera Bintang Abadi Textile Tbk.</v>
      </c>
      <c r="C1532" s="15">
        <f>IFERROR(__xludf.DUMMYFUNCTION("GOOGLEFINANCE(""IDX:""&amp;A1532,""price"")"),1.0)</f>
        <v>1</v>
      </c>
      <c r="D1532" s="16" t="str">
        <f>IFERROR(__xludf.DUMMYFUNCTION("IF(A1532="""","""",
SPARKLINE(
INDEX(
GOOGLEFINANCE(""IDX:""&amp;A1532,""close"",TODAY()-365,TODAY()),
,2
),
{""linewidth"",1}
))
"),"#N/A")</f>
        <v>#N/A</v>
      </c>
      <c r="E1532" s="26"/>
      <c r="F1532" s="26"/>
      <c r="G1532" s="24">
        <f t="shared" si="9"/>
        <v>0</v>
      </c>
      <c r="H1532" s="19">
        <f>VLOOKUP(A1532,Metrik!$C$2:$Y$959,8,0)</f>
        <v>0</v>
      </c>
      <c r="I1532" s="20">
        <f>VLOOKUP(A1532,Metrik!$C$2:$Y$959,9,0)</f>
        <v>0.03</v>
      </c>
      <c r="J1532" s="20">
        <f>VLOOKUP(A1532,Metrik!$C$2:$Y$959,10,0)</f>
        <v>-49.5</v>
      </c>
      <c r="K1532" s="20">
        <f>VLOOKUP(A1532,Metrik!$C$2:$Y$959,11,0)</f>
        <v>-11.4</v>
      </c>
      <c r="L1532" s="20">
        <f>VLOOKUP(A1532,Metrik!$C$2:$Y$959,12,0)</f>
        <v>3.4</v>
      </c>
      <c r="M1532" s="20">
        <f>VLOOKUP(A1532,Metrik!$C$2:$Y$959,19,0)</f>
        <v>-660</v>
      </c>
      <c r="N1532" s="21"/>
      <c r="O1532" s="21"/>
      <c r="P1532" s="21"/>
      <c r="Q1532" s="21"/>
      <c r="R1532" s="21"/>
      <c r="S1532" s="21"/>
      <c r="T1532" s="21"/>
      <c r="U1532" s="22">
        <f>IFERROR(__xludf.DUMMYFUNCTION("IFERROR(GOOGLEFINANCE(A1532,""closeyest""),"""")"),1.0)</f>
        <v>1</v>
      </c>
      <c r="V1532" s="23">
        <f>IFERROR(__xludf.DUMMYFUNCTION("IFERROR(GOOGLEFINANCE(A1532,""changepct""),"""")"),0.0)</f>
        <v>0</v>
      </c>
      <c r="W1532" s="22" t="str">
        <f>IFERROR(__xludf.DUMMYFUNCTION("IFERROR(GOOGLEFINANCE(A1532,""priceopen""),"""")"),"")</f>
        <v/>
      </c>
      <c r="X1532" s="22" t="str">
        <f>IFERROR(__xludf.DUMMYFUNCTION("IFERROR(GOOGLEFINANCE(A1532,""high""),"""")"),"")</f>
        <v/>
      </c>
      <c r="Y1532" s="22" t="str">
        <f>IFERROR(__xludf.DUMMYFUNCTION("IFERROR(GOOGLEFINANCE(A1532,""low""),"""")"),"")</f>
        <v/>
      </c>
      <c r="Z1532" s="22">
        <f>IFERROR(__xludf.DUMMYFUNCTION("IFERROR(GOOGLEFINANCE(A1532,""volume""),"""")"),0.0)</f>
        <v>0</v>
      </c>
      <c r="AA1532" s="24" t="str">
        <f>VLOOKUP(A1532,Metrik!$C$2:$Y$959,5,0)</f>
        <v>Apparel &amp; Luxury Goods</v>
      </c>
      <c r="AB1532" s="24" t="str">
        <f>VLOOKUP(A1532,Metrik!$C$2:$Y$959,3,0)</f>
        <v>Consumer Cyclicals</v>
      </c>
    </row>
    <row r="1533">
      <c r="A1533" s="14" t="s">
        <v>836</v>
      </c>
      <c r="B1533" s="14" t="str">
        <f t="array" ref="B1533">VLOOKUP(A1533,{Metrik!$C$2:$C$998,Metrik!$B$2:$B$998},2,0)</f>
        <v>Surya Biru Murni Acetylene Tbk.</v>
      </c>
      <c r="C1533" s="15">
        <f>IFERROR(__xludf.DUMMYFUNCTION("GOOGLEFINANCE(""IDX:""&amp;A1533,""price"")"),105.0)</f>
        <v>105</v>
      </c>
      <c r="D1533" s="16" t="str">
        <f>IFERROR(__xludf.DUMMYFUNCTION("IF(A1533="""","""",
SPARKLINE(
INDEX(
GOOGLEFINANCE(""IDX:""&amp;A1533,""close"",TODAY()-365,TODAY()),
,2
),
{""linewidth"",1}
))
"),"#N/A")</f>
        <v>#N/A</v>
      </c>
      <c r="E1533" s="26"/>
      <c r="F1533" s="26"/>
      <c r="G1533" s="24">
        <f t="shared" si="9"/>
        <v>0</v>
      </c>
      <c r="H1533" s="19">
        <f>VLOOKUP(A1533,Metrik!$C$2:$Y$959,8,0)</f>
        <v>10.3</v>
      </c>
      <c r="I1533" s="20">
        <f>VLOOKUP(A1533,Metrik!$C$2:$Y$959,9,0)</f>
        <v>0.43</v>
      </c>
      <c r="J1533" s="20">
        <f>VLOOKUP(A1533,Metrik!$C$2:$Y$959,10,0)</f>
        <v>4.2</v>
      </c>
      <c r="K1533" s="20">
        <f>VLOOKUP(A1533,Metrik!$C$2:$Y$959,11,0)</f>
        <v>3.5</v>
      </c>
      <c r="L1533" s="20">
        <f>VLOOKUP(A1533,Metrik!$C$2:$Y$959,12,0)</f>
        <v>0.21</v>
      </c>
      <c r="M1533" s="20">
        <f>VLOOKUP(A1533,Metrik!$C$2:$Y$959,19,0)</f>
        <v>32</v>
      </c>
      <c r="N1533" s="21"/>
      <c r="O1533" s="21"/>
      <c r="P1533" s="21"/>
      <c r="Q1533" s="21"/>
      <c r="R1533" s="21"/>
      <c r="S1533" s="21"/>
      <c r="T1533" s="21"/>
      <c r="U1533" s="22">
        <f>IFERROR(__xludf.DUMMYFUNCTION("IFERROR(GOOGLEFINANCE(A1533,""closeyest""),"""")"),104.0)</f>
        <v>104</v>
      </c>
      <c r="V1533" s="23">
        <f>IFERROR(__xludf.DUMMYFUNCTION("IFERROR(GOOGLEFINANCE(A1533,""changepct""),"""")"),0.96)</f>
        <v>0.96</v>
      </c>
      <c r="W1533" s="22">
        <f>IFERROR(__xludf.DUMMYFUNCTION("IFERROR(GOOGLEFINANCE(A1533,""priceopen""),"""")"),105.0)</f>
        <v>105</v>
      </c>
      <c r="X1533" s="22">
        <f>IFERROR(__xludf.DUMMYFUNCTION("IFERROR(GOOGLEFINANCE(A1533,""high""),"""")"),106.0)</f>
        <v>106</v>
      </c>
      <c r="Y1533" s="22">
        <f>IFERROR(__xludf.DUMMYFUNCTION("IFERROR(GOOGLEFINANCE(A1533,""low""),"""")"),101.0)</f>
        <v>101</v>
      </c>
      <c r="Z1533" s="22">
        <f>IFERROR(__xludf.DUMMYFUNCTION("IFERROR(GOOGLEFINANCE(A1533,""volume""),"""")"),1017400.0)</f>
        <v>1017400</v>
      </c>
      <c r="AA1533" s="24" t="str">
        <f>VLOOKUP(A1533,Metrik!$C$2:$Y$959,5,0)</f>
        <v>Chemicals</v>
      </c>
      <c r="AB1533" s="24" t="str">
        <f>VLOOKUP(A1533,Metrik!$C$2:$Y$959,3,0)</f>
        <v>Basic Materials</v>
      </c>
    </row>
    <row r="1534">
      <c r="A1534" s="14" t="s">
        <v>837</v>
      </c>
      <c r="B1534" s="14" t="str">
        <f t="array" ref="B1534">VLOOKUP(A1534,{Metrik!$C$2:$C$998,Metrik!$B$2:$B$998},2,0)</f>
        <v>Supreme Cable Manufacturing &amp; Commerce Tbk.</v>
      </c>
      <c r="C1534" s="15">
        <f>IFERROR(__xludf.DUMMYFUNCTION("GOOGLEFINANCE(""IDX:""&amp;A1534,""price"")"),2270.0)</f>
        <v>2270</v>
      </c>
      <c r="D1534" s="16" t="str">
        <f>IFERROR(__xludf.DUMMYFUNCTION("IF(A1534="""","""",
SPARKLINE(
INDEX(
GOOGLEFINANCE(""IDX:""&amp;A1534,""close"",TODAY()-365,TODAY()),
,2
),
{""linewidth"",1}
))
"),"#N/A")</f>
        <v>#N/A</v>
      </c>
      <c r="E1534" s="26"/>
      <c r="F1534" s="26"/>
      <c r="G1534" s="24">
        <f t="shared" si="9"/>
        <v>0</v>
      </c>
      <c r="H1534" s="19">
        <f>VLOOKUP(A1534,Metrik!$C$2:$Y$959,8,0)</f>
        <v>6.3</v>
      </c>
      <c r="I1534" s="20">
        <f>VLOOKUP(A1534,Metrik!$C$2:$Y$959,9,0)</f>
        <v>0.35</v>
      </c>
      <c r="J1534" s="20">
        <f>VLOOKUP(A1534,Metrik!$C$2:$Y$959,10,0)</f>
        <v>5.5</v>
      </c>
      <c r="K1534" s="20">
        <f>VLOOKUP(A1534,Metrik!$C$2:$Y$959,11,0)</f>
        <v>5.2</v>
      </c>
      <c r="L1534" s="20">
        <f>VLOOKUP(A1534,Metrik!$C$2:$Y$959,12,0)</f>
        <v>0.06</v>
      </c>
      <c r="M1534" s="20">
        <f>VLOOKUP(A1534,Metrik!$C$2:$Y$959,19,0)</f>
        <v>16</v>
      </c>
      <c r="N1534" s="21"/>
      <c r="O1534" s="21"/>
      <c r="P1534" s="21"/>
      <c r="Q1534" s="21"/>
      <c r="R1534" s="21"/>
      <c r="S1534" s="21"/>
      <c r="T1534" s="21"/>
      <c r="U1534" s="22">
        <f>IFERROR(__xludf.DUMMYFUNCTION("IFERROR(GOOGLEFINANCE(A1534,""closeyest""),"""")"),182.16)</f>
        <v>182.16</v>
      </c>
      <c r="V1534" s="23" t="str">
        <f>IFERROR(__xludf.DUMMYFUNCTION("IFERROR(GOOGLEFINANCE(A1534,""changepct""),"""")"),"")</f>
        <v/>
      </c>
      <c r="W1534" s="22">
        <f>IFERROR(__xludf.DUMMYFUNCTION("IFERROR(GOOGLEFINANCE(A1534,""priceopen""),"""")"),185.49)</f>
        <v>185.49</v>
      </c>
      <c r="X1534" s="22">
        <f>IFERROR(__xludf.DUMMYFUNCTION("IFERROR(GOOGLEFINANCE(A1534,""high""),"""")"),190.47)</f>
        <v>190.47</v>
      </c>
      <c r="Y1534" s="22">
        <f>IFERROR(__xludf.DUMMYFUNCTION("IFERROR(GOOGLEFINANCE(A1534,""low""),"""")"),184.69)</f>
        <v>184.69</v>
      </c>
      <c r="Z1534" s="22">
        <f>IFERROR(__xludf.DUMMYFUNCTION("IFERROR(GOOGLEFINANCE(A1534,""volume""),"""")"),1119421.0)</f>
        <v>1119421</v>
      </c>
      <c r="AA1534" s="24" t="str">
        <f>VLOOKUP(A1534,Metrik!$C$2:$Y$959,5,0)</f>
        <v>Electrical</v>
      </c>
      <c r="AB1534" s="24" t="str">
        <f>VLOOKUP(A1534,Metrik!$C$2:$Y$959,3,0)</f>
        <v>Industrials</v>
      </c>
    </row>
    <row r="1535">
      <c r="A1535" s="14" t="s">
        <v>838</v>
      </c>
      <c r="B1535" s="14" t="str">
        <f t="array" ref="B1535">VLOOKUP(A1535,{Metrik!$C$2:$C$998,Metrik!$B$2:$B$998},2,0)</f>
        <v>Surya Citra Media Tbk.</v>
      </c>
      <c r="C1535" s="15">
        <f>IFERROR(__xludf.DUMMYFUNCTION("GOOGLEFINANCE(""IDX:""&amp;A1535,""price"")"),200.0)</f>
        <v>200</v>
      </c>
      <c r="D1535" s="16" t="str">
        <f>IFERROR(__xludf.DUMMYFUNCTION("IF(A1535="""","""",
SPARKLINE(
INDEX(
GOOGLEFINANCE(""IDX:""&amp;A1535,""close"",TODAY()-365,TODAY()),
,2
),
{""linewidth"",1}
))
"),"#N/A")</f>
        <v>#N/A</v>
      </c>
      <c r="E1535" s="14" t="s">
        <v>47</v>
      </c>
      <c r="F1535" s="25">
        <v>46356.0</v>
      </c>
      <c r="G1535" s="24">
        <f t="shared" si="9"/>
        <v>11</v>
      </c>
      <c r="H1535" s="19">
        <f>VLOOKUP(A1535,Metrik!$C$2:$Y$959,8,0)</f>
        <v>18.1</v>
      </c>
      <c r="I1535" s="20">
        <f>VLOOKUP(A1535,Metrik!$C$2:$Y$959,9,0)</f>
        <v>2.1</v>
      </c>
      <c r="J1535" s="20">
        <f>VLOOKUP(A1535,Metrik!$C$2:$Y$959,10,0)</f>
        <v>11.7</v>
      </c>
      <c r="K1535" s="20">
        <f>VLOOKUP(A1535,Metrik!$C$2:$Y$959,11,0)</f>
        <v>9</v>
      </c>
      <c r="L1535" s="20">
        <f>VLOOKUP(A1535,Metrik!$C$2:$Y$959,12,0)</f>
        <v>0.3</v>
      </c>
      <c r="M1535" s="20">
        <f>VLOOKUP(A1535,Metrik!$C$2:$Y$959,19,0)</f>
        <v>49.6</v>
      </c>
      <c r="N1535" s="21"/>
      <c r="O1535" s="21"/>
      <c r="P1535" s="21"/>
      <c r="Q1535" s="21"/>
      <c r="R1535" s="21"/>
      <c r="S1535" s="21"/>
      <c r="T1535" s="21"/>
      <c r="U1535" s="22">
        <f>IFERROR(__xludf.DUMMYFUNCTION("IFERROR(GOOGLEFINANCE(A1535,""closeyest""),"""")"),194.0)</f>
        <v>194</v>
      </c>
      <c r="V1535" s="23">
        <f>IFERROR(__xludf.DUMMYFUNCTION("IFERROR(GOOGLEFINANCE(A1535,""changepct""),"""")"),3.09)</f>
        <v>3.09</v>
      </c>
      <c r="W1535" s="22">
        <f>IFERROR(__xludf.DUMMYFUNCTION("IFERROR(GOOGLEFINANCE(A1535,""priceopen""),"""")"),198.0)</f>
        <v>198</v>
      </c>
      <c r="X1535" s="22">
        <f>IFERROR(__xludf.DUMMYFUNCTION("IFERROR(GOOGLEFINANCE(A1535,""high""),"""")"),206.0)</f>
        <v>206</v>
      </c>
      <c r="Y1535" s="22">
        <f>IFERROR(__xludf.DUMMYFUNCTION("IFERROR(GOOGLEFINANCE(A1535,""low""),"""")"),196.0)</f>
        <v>196</v>
      </c>
      <c r="Z1535" s="22">
        <f>IFERROR(__xludf.DUMMYFUNCTION("IFERROR(GOOGLEFINANCE(A1535,""volume""),"""")"),3.526E7)</f>
        <v>35260000</v>
      </c>
      <c r="AA1535" s="24" t="str">
        <f>VLOOKUP(A1535,Metrik!$C$2:$Y$959,5,0)</f>
        <v>Media</v>
      </c>
      <c r="AB1535" s="24" t="str">
        <f>VLOOKUP(A1535,Metrik!$C$2:$Y$959,3,0)</f>
        <v>Consumer Cyclicals</v>
      </c>
    </row>
    <row r="1536">
      <c r="A1536" s="14" t="s">
        <v>838</v>
      </c>
      <c r="B1536" s="14" t="str">
        <f t="array" ref="B1536">VLOOKUP(A1536,{Metrik!$C$2:$C$998,Metrik!$B$2:$B$998},2,0)</f>
        <v>Surya Citra Media Tbk.</v>
      </c>
      <c r="C1536" s="15">
        <f>IFERROR(__xludf.DUMMYFUNCTION("GOOGLEFINANCE(""IDX:""&amp;A1536,""price"")"),200.0)</f>
        <v>200</v>
      </c>
      <c r="D1536" s="16" t="str">
        <f>IFERROR(__xludf.DUMMYFUNCTION("IF(A1536="""","""",
SPARKLINE(
INDEX(
GOOGLEFINANCE(""IDX:""&amp;A1536,""close"",TODAY()-365,TODAY()),
,2
),
{""linewidth"",1}
))
"),"#N/A")</f>
        <v>#N/A</v>
      </c>
      <c r="E1536" s="14" t="s">
        <v>55</v>
      </c>
      <c r="F1536" s="25">
        <v>46356.0</v>
      </c>
      <c r="G1536" s="24">
        <f t="shared" si="9"/>
        <v>11</v>
      </c>
      <c r="H1536" s="19">
        <f>VLOOKUP(A1536,Metrik!$C$2:$Y$959,8,0)</f>
        <v>18.1</v>
      </c>
      <c r="I1536" s="20">
        <f>VLOOKUP(A1536,Metrik!$C$2:$Y$959,9,0)</f>
        <v>2.1</v>
      </c>
      <c r="J1536" s="20">
        <f>VLOOKUP(A1536,Metrik!$C$2:$Y$959,10,0)</f>
        <v>11.7</v>
      </c>
      <c r="K1536" s="20">
        <f>VLOOKUP(A1536,Metrik!$C$2:$Y$959,11,0)</f>
        <v>9</v>
      </c>
      <c r="L1536" s="20">
        <f>VLOOKUP(A1536,Metrik!$C$2:$Y$959,12,0)</f>
        <v>0.3</v>
      </c>
      <c r="M1536" s="20">
        <f>VLOOKUP(A1536,Metrik!$C$2:$Y$959,19,0)</f>
        <v>49.6</v>
      </c>
      <c r="N1536" s="21"/>
      <c r="O1536" s="21"/>
      <c r="P1536" s="21"/>
      <c r="Q1536" s="21"/>
      <c r="R1536" s="21"/>
      <c r="S1536" s="21"/>
      <c r="T1536" s="21"/>
      <c r="U1536" s="22">
        <f>IFERROR(__xludf.DUMMYFUNCTION("IFERROR(GOOGLEFINANCE(A1536,""closeyest""),"""")"),194.0)</f>
        <v>194</v>
      </c>
      <c r="V1536" s="23">
        <f>IFERROR(__xludf.DUMMYFUNCTION("IFERROR(GOOGLEFINANCE(A1536,""changepct""),"""")"),3.09)</f>
        <v>3.09</v>
      </c>
      <c r="W1536" s="22">
        <f>IFERROR(__xludf.DUMMYFUNCTION("IFERROR(GOOGLEFINANCE(A1536,""priceopen""),"""")"),198.0)</f>
        <v>198</v>
      </c>
      <c r="X1536" s="22">
        <f>IFERROR(__xludf.DUMMYFUNCTION("IFERROR(GOOGLEFINANCE(A1536,""high""),"""")"),206.0)</f>
        <v>206</v>
      </c>
      <c r="Y1536" s="22">
        <f>IFERROR(__xludf.DUMMYFUNCTION("IFERROR(GOOGLEFINANCE(A1536,""low""),"""")"),196.0)</f>
        <v>196</v>
      </c>
      <c r="Z1536" s="22">
        <f>IFERROR(__xludf.DUMMYFUNCTION("IFERROR(GOOGLEFINANCE(A1536,""volume""),"""")"),3.526E7)</f>
        <v>35260000</v>
      </c>
      <c r="AA1536" s="24" t="str">
        <f>VLOOKUP(A1536,Metrik!$C$2:$Y$959,5,0)</f>
        <v>Media</v>
      </c>
      <c r="AB1536" s="24" t="str">
        <f>VLOOKUP(A1536,Metrik!$C$2:$Y$959,3,0)</f>
        <v>Consumer Cyclicals</v>
      </c>
    </row>
    <row r="1537">
      <c r="A1537" s="14" t="s">
        <v>838</v>
      </c>
      <c r="B1537" s="14" t="str">
        <f t="array" ref="B1537">VLOOKUP(A1537,{Metrik!$C$2:$C$998,Metrik!$B$2:$B$998},2,0)</f>
        <v>Surya Citra Media Tbk.</v>
      </c>
      <c r="C1537" s="15">
        <f>IFERROR(__xludf.DUMMYFUNCTION("GOOGLEFINANCE(""IDX:""&amp;A1537,""price"")"),200.0)</f>
        <v>200</v>
      </c>
      <c r="D1537" s="16" t="str">
        <f>IFERROR(__xludf.DUMMYFUNCTION("IF(A1537="""","""",
SPARKLINE(
INDEX(
GOOGLEFINANCE(""IDX:""&amp;A1537,""close"",TODAY()-365,TODAY()),
,2
),
{""linewidth"",1}
))
"),"#N/A")</f>
        <v>#N/A</v>
      </c>
      <c r="E1537" s="14" t="s">
        <v>54</v>
      </c>
      <c r="F1537" s="14" t="s">
        <v>34</v>
      </c>
      <c r="G1537" s="24">
        <f t="shared" si="9"/>
        <v>11</v>
      </c>
      <c r="H1537" s="19">
        <f>VLOOKUP(A1537,Metrik!$C$2:$Y$959,8,0)</f>
        <v>18.1</v>
      </c>
      <c r="I1537" s="20">
        <f>VLOOKUP(A1537,Metrik!$C$2:$Y$959,9,0)</f>
        <v>2.1</v>
      </c>
      <c r="J1537" s="20">
        <f>VLOOKUP(A1537,Metrik!$C$2:$Y$959,10,0)</f>
        <v>11.7</v>
      </c>
      <c r="K1537" s="20">
        <f>VLOOKUP(A1537,Metrik!$C$2:$Y$959,11,0)</f>
        <v>9</v>
      </c>
      <c r="L1537" s="20">
        <f>VLOOKUP(A1537,Metrik!$C$2:$Y$959,12,0)</f>
        <v>0.3</v>
      </c>
      <c r="M1537" s="20">
        <f>VLOOKUP(A1537,Metrik!$C$2:$Y$959,19,0)</f>
        <v>49.6</v>
      </c>
      <c r="N1537" s="21"/>
      <c r="O1537" s="21"/>
      <c r="P1537" s="21"/>
      <c r="Q1537" s="21"/>
      <c r="R1537" s="21"/>
      <c r="S1537" s="21"/>
      <c r="T1537" s="21"/>
      <c r="U1537" s="22">
        <f>IFERROR(__xludf.DUMMYFUNCTION("IFERROR(GOOGLEFINANCE(A1537,""closeyest""),"""")"),194.0)</f>
        <v>194</v>
      </c>
      <c r="V1537" s="23">
        <f>IFERROR(__xludf.DUMMYFUNCTION("IFERROR(GOOGLEFINANCE(A1537,""changepct""),"""")"),3.09)</f>
        <v>3.09</v>
      </c>
      <c r="W1537" s="22">
        <f>IFERROR(__xludf.DUMMYFUNCTION("IFERROR(GOOGLEFINANCE(A1537,""priceopen""),"""")"),198.0)</f>
        <v>198</v>
      </c>
      <c r="X1537" s="22">
        <f>IFERROR(__xludf.DUMMYFUNCTION("IFERROR(GOOGLEFINANCE(A1537,""high""),"""")"),206.0)</f>
        <v>206</v>
      </c>
      <c r="Y1537" s="22">
        <f>IFERROR(__xludf.DUMMYFUNCTION("IFERROR(GOOGLEFINANCE(A1537,""low""),"""")"),196.0)</f>
        <v>196</v>
      </c>
      <c r="Z1537" s="22">
        <f>IFERROR(__xludf.DUMMYFUNCTION("IFERROR(GOOGLEFINANCE(A1537,""volume""),"""")"),3.526E7)</f>
        <v>35260000</v>
      </c>
      <c r="AA1537" s="24" t="str">
        <f>VLOOKUP(A1537,Metrik!$C$2:$Y$959,5,0)</f>
        <v>Media</v>
      </c>
      <c r="AB1537" s="24" t="str">
        <f>VLOOKUP(A1537,Metrik!$C$2:$Y$959,3,0)</f>
        <v>Consumer Cyclicals</v>
      </c>
    </row>
    <row r="1538">
      <c r="A1538" s="14" t="s">
        <v>838</v>
      </c>
      <c r="B1538" s="14" t="str">
        <f t="array" ref="B1538">VLOOKUP(A1538,{Metrik!$C$2:$C$998,Metrik!$B$2:$B$998},2,0)</f>
        <v>Surya Citra Media Tbk.</v>
      </c>
      <c r="C1538" s="15">
        <f>IFERROR(__xludf.DUMMYFUNCTION("GOOGLEFINANCE(""IDX:""&amp;A1538,""price"")"),200.0)</f>
        <v>200</v>
      </c>
      <c r="D1538" s="16" t="str">
        <f>IFERROR(__xludf.DUMMYFUNCTION("IF(A1538="""","""",
SPARKLINE(
INDEX(
GOOGLEFINANCE(""IDX:""&amp;A1538,""close"",TODAY()-365,TODAY()),
,2
),
{""linewidth"",1}
))
"),"#N/A")</f>
        <v>#N/A</v>
      </c>
      <c r="E1538" s="14" t="s">
        <v>48</v>
      </c>
      <c r="F1538" s="14" t="s">
        <v>49</v>
      </c>
      <c r="G1538" s="24">
        <f t="shared" si="9"/>
        <v>11</v>
      </c>
      <c r="H1538" s="19">
        <f>VLOOKUP(A1538,Metrik!$C$2:$Y$959,8,0)</f>
        <v>18.1</v>
      </c>
      <c r="I1538" s="20">
        <f>VLOOKUP(A1538,Metrik!$C$2:$Y$959,9,0)</f>
        <v>2.1</v>
      </c>
      <c r="J1538" s="20">
        <f>VLOOKUP(A1538,Metrik!$C$2:$Y$959,10,0)</f>
        <v>11.7</v>
      </c>
      <c r="K1538" s="20">
        <f>VLOOKUP(A1538,Metrik!$C$2:$Y$959,11,0)</f>
        <v>9</v>
      </c>
      <c r="L1538" s="20">
        <f>VLOOKUP(A1538,Metrik!$C$2:$Y$959,12,0)</f>
        <v>0.3</v>
      </c>
      <c r="M1538" s="20">
        <f>VLOOKUP(A1538,Metrik!$C$2:$Y$959,19,0)</f>
        <v>49.6</v>
      </c>
      <c r="N1538" s="21"/>
      <c r="O1538" s="21"/>
      <c r="P1538" s="21"/>
      <c r="Q1538" s="21"/>
      <c r="R1538" s="21"/>
      <c r="S1538" s="21"/>
      <c r="T1538" s="21"/>
      <c r="U1538" s="22">
        <f>IFERROR(__xludf.DUMMYFUNCTION("IFERROR(GOOGLEFINANCE(A1538,""closeyest""),"""")"),194.0)</f>
        <v>194</v>
      </c>
      <c r="V1538" s="23">
        <f>IFERROR(__xludf.DUMMYFUNCTION("IFERROR(GOOGLEFINANCE(A1538,""changepct""),"""")"),3.09)</f>
        <v>3.09</v>
      </c>
      <c r="W1538" s="22">
        <f>IFERROR(__xludf.DUMMYFUNCTION("IFERROR(GOOGLEFINANCE(A1538,""priceopen""),"""")"),198.0)</f>
        <v>198</v>
      </c>
      <c r="X1538" s="22">
        <f>IFERROR(__xludf.DUMMYFUNCTION("IFERROR(GOOGLEFINANCE(A1538,""high""),"""")"),206.0)</f>
        <v>206</v>
      </c>
      <c r="Y1538" s="22">
        <f>IFERROR(__xludf.DUMMYFUNCTION("IFERROR(GOOGLEFINANCE(A1538,""low""),"""")"),196.0)</f>
        <v>196</v>
      </c>
      <c r="Z1538" s="22">
        <f>IFERROR(__xludf.DUMMYFUNCTION("IFERROR(GOOGLEFINANCE(A1538,""volume""),"""")"),3.526E7)</f>
        <v>35260000</v>
      </c>
      <c r="AA1538" s="24" t="str">
        <f>VLOOKUP(A1538,Metrik!$C$2:$Y$959,5,0)</f>
        <v>Media</v>
      </c>
      <c r="AB1538" s="24" t="str">
        <f>VLOOKUP(A1538,Metrik!$C$2:$Y$959,3,0)</f>
        <v>Consumer Cyclicals</v>
      </c>
    </row>
    <row r="1539">
      <c r="A1539" s="14" t="s">
        <v>838</v>
      </c>
      <c r="B1539" s="14" t="str">
        <f t="array" ref="B1539">VLOOKUP(A1539,{Metrik!$C$2:$C$998,Metrik!$B$2:$B$998},2,0)</f>
        <v>Surya Citra Media Tbk.</v>
      </c>
      <c r="C1539" s="15">
        <f>IFERROR(__xludf.DUMMYFUNCTION("GOOGLEFINANCE(""IDX:""&amp;A1539,""price"")"),200.0)</f>
        <v>200</v>
      </c>
      <c r="D1539" s="16" t="str">
        <f>IFERROR(__xludf.DUMMYFUNCTION("IF(A1539="""","""",
SPARKLINE(
INDEX(
GOOGLEFINANCE(""IDX:""&amp;A1539,""close"",TODAY()-365,TODAY()),
,2
),
{""linewidth"",1}
))
"),"#N/A")</f>
        <v>#N/A</v>
      </c>
      <c r="E1539" s="14" t="s">
        <v>68</v>
      </c>
      <c r="F1539" s="14" t="s">
        <v>34</v>
      </c>
      <c r="G1539" s="24">
        <f t="shared" si="9"/>
        <v>11</v>
      </c>
      <c r="H1539" s="19">
        <f>VLOOKUP(A1539,Metrik!$C$2:$Y$959,8,0)</f>
        <v>18.1</v>
      </c>
      <c r="I1539" s="20">
        <f>VLOOKUP(A1539,Metrik!$C$2:$Y$959,9,0)</f>
        <v>2.1</v>
      </c>
      <c r="J1539" s="20">
        <f>VLOOKUP(A1539,Metrik!$C$2:$Y$959,10,0)</f>
        <v>11.7</v>
      </c>
      <c r="K1539" s="20">
        <f>VLOOKUP(A1539,Metrik!$C$2:$Y$959,11,0)</f>
        <v>9</v>
      </c>
      <c r="L1539" s="20">
        <f>VLOOKUP(A1539,Metrik!$C$2:$Y$959,12,0)</f>
        <v>0.3</v>
      </c>
      <c r="M1539" s="20">
        <f>VLOOKUP(A1539,Metrik!$C$2:$Y$959,19,0)</f>
        <v>49.6</v>
      </c>
      <c r="N1539" s="21"/>
      <c r="O1539" s="21"/>
      <c r="P1539" s="21"/>
      <c r="Q1539" s="21"/>
      <c r="R1539" s="21"/>
      <c r="S1539" s="21"/>
      <c r="T1539" s="21"/>
      <c r="U1539" s="22">
        <f>IFERROR(__xludf.DUMMYFUNCTION("IFERROR(GOOGLEFINANCE(A1539,""closeyest""),"""")"),194.0)</f>
        <v>194</v>
      </c>
      <c r="V1539" s="23">
        <f>IFERROR(__xludf.DUMMYFUNCTION("IFERROR(GOOGLEFINANCE(A1539,""changepct""),"""")"),3.09)</f>
        <v>3.09</v>
      </c>
      <c r="W1539" s="22">
        <f>IFERROR(__xludf.DUMMYFUNCTION("IFERROR(GOOGLEFINANCE(A1539,""priceopen""),"""")"),198.0)</f>
        <v>198</v>
      </c>
      <c r="X1539" s="22">
        <f>IFERROR(__xludf.DUMMYFUNCTION("IFERROR(GOOGLEFINANCE(A1539,""high""),"""")"),206.0)</f>
        <v>206</v>
      </c>
      <c r="Y1539" s="22">
        <f>IFERROR(__xludf.DUMMYFUNCTION("IFERROR(GOOGLEFINANCE(A1539,""low""),"""")"),196.0)</f>
        <v>196</v>
      </c>
      <c r="Z1539" s="22">
        <f>IFERROR(__xludf.DUMMYFUNCTION("IFERROR(GOOGLEFINANCE(A1539,""volume""),"""")"),3.526E7)</f>
        <v>35260000</v>
      </c>
      <c r="AA1539" s="24" t="str">
        <f>VLOOKUP(A1539,Metrik!$C$2:$Y$959,5,0)</f>
        <v>Media</v>
      </c>
      <c r="AB1539" s="24" t="str">
        <f>VLOOKUP(A1539,Metrik!$C$2:$Y$959,3,0)</f>
        <v>Consumer Cyclicals</v>
      </c>
    </row>
    <row r="1540">
      <c r="A1540" s="14" t="s">
        <v>838</v>
      </c>
      <c r="B1540" s="14" t="str">
        <f t="array" ref="B1540">VLOOKUP(A1540,{Metrik!$C$2:$C$998,Metrik!$B$2:$B$998},2,0)</f>
        <v>Surya Citra Media Tbk.</v>
      </c>
      <c r="C1540" s="15">
        <f>IFERROR(__xludf.DUMMYFUNCTION("GOOGLEFINANCE(""IDX:""&amp;A1540,""price"")"),200.0)</f>
        <v>200</v>
      </c>
      <c r="D1540" s="16" t="str">
        <f>IFERROR(__xludf.DUMMYFUNCTION("IF(A1540="""","""",
SPARKLINE(
INDEX(
GOOGLEFINANCE(""IDX:""&amp;A1540,""close"",TODAY()-365,TODAY()),
,2
),
{""linewidth"",1}
))
"),"#N/A")</f>
        <v>#N/A</v>
      </c>
      <c r="E1540" s="14" t="s">
        <v>52</v>
      </c>
      <c r="F1540" s="27" t="s">
        <v>53</v>
      </c>
      <c r="G1540" s="24">
        <f t="shared" si="9"/>
        <v>11</v>
      </c>
      <c r="H1540" s="19">
        <f>VLOOKUP(A1540,Metrik!$C$2:$Y$959,8,0)</f>
        <v>18.1</v>
      </c>
      <c r="I1540" s="20">
        <f>VLOOKUP(A1540,Metrik!$C$2:$Y$959,9,0)</f>
        <v>2.1</v>
      </c>
      <c r="J1540" s="20">
        <f>VLOOKUP(A1540,Metrik!$C$2:$Y$959,10,0)</f>
        <v>11.7</v>
      </c>
      <c r="K1540" s="20">
        <f>VLOOKUP(A1540,Metrik!$C$2:$Y$959,11,0)</f>
        <v>9</v>
      </c>
      <c r="L1540" s="20">
        <f>VLOOKUP(A1540,Metrik!$C$2:$Y$959,12,0)</f>
        <v>0.3</v>
      </c>
      <c r="M1540" s="20">
        <f>VLOOKUP(A1540,Metrik!$C$2:$Y$959,19,0)</f>
        <v>49.6</v>
      </c>
      <c r="N1540" s="21"/>
      <c r="O1540" s="21"/>
      <c r="P1540" s="21"/>
      <c r="Q1540" s="21"/>
      <c r="R1540" s="21"/>
      <c r="S1540" s="21"/>
      <c r="T1540" s="21"/>
      <c r="U1540" s="22">
        <f>IFERROR(__xludf.DUMMYFUNCTION("IFERROR(GOOGLEFINANCE(A1540,""closeyest""),"""")"),194.0)</f>
        <v>194</v>
      </c>
      <c r="V1540" s="23">
        <f>IFERROR(__xludf.DUMMYFUNCTION("IFERROR(GOOGLEFINANCE(A1540,""changepct""),"""")"),3.09)</f>
        <v>3.09</v>
      </c>
      <c r="W1540" s="22">
        <f>IFERROR(__xludf.DUMMYFUNCTION("IFERROR(GOOGLEFINANCE(A1540,""priceopen""),"""")"),198.0)</f>
        <v>198</v>
      </c>
      <c r="X1540" s="22">
        <f>IFERROR(__xludf.DUMMYFUNCTION("IFERROR(GOOGLEFINANCE(A1540,""high""),"""")"),206.0)</f>
        <v>206</v>
      </c>
      <c r="Y1540" s="22">
        <f>IFERROR(__xludf.DUMMYFUNCTION("IFERROR(GOOGLEFINANCE(A1540,""low""),"""")"),196.0)</f>
        <v>196</v>
      </c>
      <c r="Z1540" s="22">
        <f>IFERROR(__xludf.DUMMYFUNCTION("IFERROR(GOOGLEFINANCE(A1540,""volume""),"""")"),3.526E7)</f>
        <v>35260000</v>
      </c>
      <c r="AA1540" s="24" t="str">
        <f>VLOOKUP(A1540,Metrik!$C$2:$Y$959,5,0)</f>
        <v>Media</v>
      </c>
      <c r="AB1540" s="24" t="str">
        <f>VLOOKUP(A1540,Metrik!$C$2:$Y$959,3,0)</f>
        <v>Consumer Cyclicals</v>
      </c>
    </row>
    <row r="1541">
      <c r="A1541" s="14" t="s">
        <v>838</v>
      </c>
      <c r="B1541" s="14" t="str">
        <f t="array" ref="B1541">VLOOKUP(A1541,{Metrik!$C$2:$C$998,Metrik!$B$2:$B$998},2,0)</f>
        <v>Surya Citra Media Tbk.</v>
      </c>
      <c r="C1541" s="15">
        <f>IFERROR(__xludf.DUMMYFUNCTION("GOOGLEFINANCE(""IDX:""&amp;A1541,""price"")"),200.0)</f>
        <v>200</v>
      </c>
      <c r="D1541" s="16" t="str">
        <f>IFERROR(__xludf.DUMMYFUNCTION("IF(A1541="""","""",
SPARKLINE(
INDEX(
GOOGLEFINANCE(""IDX:""&amp;A1541,""close"",TODAY()-365,TODAY()),
,2
),
{""linewidth"",1}
))
"),"#N/A")</f>
        <v>#N/A</v>
      </c>
      <c r="E1541" s="14" t="s">
        <v>28</v>
      </c>
      <c r="F1541" s="17" t="s">
        <v>29</v>
      </c>
      <c r="G1541" s="24">
        <f t="shared" si="9"/>
        <v>11</v>
      </c>
      <c r="H1541" s="19">
        <f>VLOOKUP(A1541,Metrik!$C$2:$Y$959,8,0)</f>
        <v>18.1</v>
      </c>
      <c r="I1541" s="20">
        <f>VLOOKUP(A1541,Metrik!$C$2:$Y$959,9,0)</f>
        <v>2.1</v>
      </c>
      <c r="J1541" s="20">
        <f>VLOOKUP(A1541,Metrik!$C$2:$Y$959,10,0)</f>
        <v>11.7</v>
      </c>
      <c r="K1541" s="20">
        <f>VLOOKUP(A1541,Metrik!$C$2:$Y$959,11,0)</f>
        <v>9</v>
      </c>
      <c r="L1541" s="20">
        <f>VLOOKUP(A1541,Metrik!$C$2:$Y$959,12,0)</f>
        <v>0.3</v>
      </c>
      <c r="M1541" s="20">
        <f>VLOOKUP(A1541,Metrik!$C$2:$Y$959,19,0)</f>
        <v>49.6</v>
      </c>
      <c r="N1541" s="21"/>
      <c r="O1541" s="21"/>
      <c r="P1541" s="21"/>
      <c r="Q1541" s="21"/>
      <c r="R1541" s="21"/>
      <c r="S1541" s="21"/>
      <c r="T1541" s="21"/>
      <c r="U1541" s="22">
        <f>IFERROR(__xludf.DUMMYFUNCTION("IFERROR(GOOGLEFINANCE(A1541,""closeyest""),"""")"),194.0)</f>
        <v>194</v>
      </c>
      <c r="V1541" s="23">
        <f>IFERROR(__xludf.DUMMYFUNCTION("IFERROR(GOOGLEFINANCE(A1541,""changepct""),"""")"),3.09)</f>
        <v>3.09</v>
      </c>
      <c r="W1541" s="22">
        <f>IFERROR(__xludf.DUMMYFUNCTION("IFERROR(GOOGLEFINANCE(A1541,""priceopen""),"""")"),198.0)</f>
        <v>198</v>
      </c>
      <c r="X1541" s="22">
        <f>IFERROR(__xludf.DUMMYFUNCTION("IFERROR(GOOGLEFINANCE(A1541,""high""),"""")"),206.0)</f>
        <v>206</v>
      </c>
      <c r="Y1541" s="22">
        <f>IFERROR(__xludf.DUMMYFUNCTION("IFERROR(GOOGLEFINANCE(A1541,""low""),"""")"),196.0)</f>
        <v>196</v>
      </c>
      <c r="Z1541" s="22">
        <f>IFERROR(__xludf.DUMMYFUNCTION("IFERROR(GOOGLEFINANCE(A1541,""volume""),"""")"),3.526E7)</f>
        <v>35260000</v>
      </c>
      <c r="AA1541" s="24" t="str">
        <f>VLOOKUP(A1541,Metrik!$C$2:$Y$959,5,0)</f>
        <v>Media</v>
      </c>
      <c r="AB1541" s="24" t="str">
        <f>VLOOKUP(A1541,Metrik!$C$2:$Y$959,3,0)</f>
        <v>Consumer Cyclicals</v>
      </c>
    </row>
    <row r="1542">
      <c r="A1542" s="14" t="s">
        <v>838</v>
      </c>
      <c r="B1542" s="14" t="str">
        <f t="array" ref="B1542">VLOOKUP(A1542,{Metrik!$C$2:$C$998,Metrik!$B$2:$B$998},2,0)</f>
        <v>Surya Citra Media Tbk.</v>
      </c>
      <c r="C1542" s="15">
        <f>IFERROR(__xludf.DUMMYFUNCTION("GOOGLEFINANCE(""IDX:""&amp;A1542,""price"")"),200.0)</f>
        <v>200</v>
      </c>
      <c r="D1542" s="16" t="str">
        <f>IFERROR(__xludf.DUMMYFUNCTION("IF(A1542="""","""",
SPARKLINE(
INDEX(
GOOGLEFINANCE(""IDX:""&amp;A1542,""close"",TODAY()-365,TODAY()),
,2
),
{""linewidth"",1}
))
"),"#N/A")</f>
        <v>#N/A</v>
      </c>
      <c r="E1542" s="14" t="s">
        <v>32</v>
      </c>
      <c r="F1542" s="14" t="s">
        <v>29</v>
      </c>
      <c r="G1542" s="24">
        <f t="shared" si="9"/>
        <v>11</v>
      </c>
      <c r="H1542" s="19">
        <f>VLOOKUP(A1542,Metrik!$C$2:$Y$959,8,0)</f>
        <v>18.1</v>
      </c>
      <c r="I1542" s="20">
        <f>VLOOKUP(A1542,Metrik!$C$2:$Y$959,9,0)</f>
        <v>2.1</v>
      </c>
      <c r="J1542" s="20">
        <f>VLOOKUP(A1542,Metrik!$C$2:$Y$959,10,0)</f>
        <v>11.7</v>
      </c>
      <c r="K1542" s="20">
        <f>VLOOKUP(A1542,Metrik!$C$2:$Y$959,11,0)</f>
        <v>9</v>
      </c>
      <c r="L1542" s="20">
        <f>VLOOKUP(A1542,Metrik!$C$2:$Y$959,12,0)</f>
        <v>0.3</v>
      </c>
      <c r="M1542" s="20">
        <f>VLOOKUP(A1542,Metrik!$C$2:$Y$959,19,0)</f>
        <v>49.6</v>
      </c>
      <c r="N1542" s="21"/>
      <c r="O1542" s="21"/>
      <c r="P1542" s="21"/>
      <c r="Q1542" s="21"/>
      <c r="R1542" s="21"/>
      <c r="S1542" s="21"/>
      <c r="T1542" s="21"/>
      <c r="U1542" s="22">
        <f>IFERROR(__xludf.DUMMYFUNCTION("IFERROR(GOOGLEFINANCE(A1542,""closeyest""),"""")"),194.0)</f>
        <v>194</v>
      </c>
      <c r="V1542" s="23">
        <f>IFERROR(__xludf.DUMMYFUNCTION("IFERROR(GOOGLEFINANCE(A1542,""changepct""),"""")"),3.09)</f>
        <v>3.09</v>
      </c>
      <c r="W1542" s="22">
        <f>IFERROR(__xludf.DUMMYFUNCTION("IFERROR(GOOGLEFINANCE(A1542,""priceopen""),"""")"),198.0)</f>
        <v>198</v>
      </c>
      <c r="X1542" s="22">
        <f>IFERROR(__xludf.DUMMYFUNCTION("IFERROR(GOOGLEFINANCE(A1542,""high""),"""")"),206.0)</f>
        <v>206</v>
      </c>
      <c r="Y1542" s="22">
        <f>IFERROR(__xludf.DUMMYFUNCTION("IFERROR(GOOGLEFINANCE(A1542,""low""),"""")"),196.0)</f>
        <v>196</v>
      </c>
      <c r="Z1542" s="22">
        <f>IFERROR(__xludf.DUMMYFUNCTION("IFERROR(GOOGLEFINANCE(A1542,""volume""),"""")"),3.526E7)</f>
        <v>35260000</v>
      </c>
      <c r="AA1542" s="24" t="str">
        <f>VLOOKUP(A1542,Metrik!$C$2:$Y$959,5,0)</f>
        <v>Media</v>
      </c>
      <c r="AB1542" s="24" t="str">
        <f>VLOOKUP(A1542,Metrik!$C$2:$Y$959,3,0)</f>
        <v>Consumer Cyclicals</v>
      </c>
    </row>
    <row r="1543">
      <c r="A1543" s="14" t="s">
        <v>838</v>
      </c>
      <c r="B1543" s="14" t="str">
        <f t="array" ref="B1543">VLOOKUP(A1543,{Metrik!$C$2:$C$998,Metrik!$B$2:$B$998},2,0)</f>
        <v>Surya Citra Media Tbk.</v>
      </c>
      <c r="C1543" s="15">
        <f>IFERROR(__xludf.DUMMYFUNCTION("GOOGLEFINANCE(""IDX:""&amp;A1543,""price"")"),200.0)</f>
        <v>200</v>
      </c>
      <c r="D1543" s="16" t="str">
        <f>IFERROR(__xludf.DUMMYFUNCTION("IF(A1543="""","""",
SPARKLINE(
INDEX(
GOOGLEFINANCE(""IDX:""&amp;A1543,""close"",TODAY()-365,TODAY()),
,2
),
{""linewidth"",1}
))
"),"#N/A")</f>
        <v>#N/A</v>
      </c>
      <c r="E1543" s="14" t="s">
        <v>31</v>
      </c>
      <c r="F1543" s="17" t="s">
        <v>29</v>
      </c>
      <c r="G1543" s="24">
        <f t="shared" si="9"/>
        <v>11</v>
      </c>
      <c r="H1543" s="19">
        <f>VLOOKUP(A1543,Metrik!$C$2:$Y$959,8,0)</f>
        <v>18.1</v>
      </c>
      <c r="I1543" s="20">
        <f>VLOOKUP(A1543,Metrik!$C$2:$Y$959,9,0)</f>
        <v>2.1</v>
      </c>
      <c r="J1543" s="20">
        <f>VLOOKUP(A1543,Metrik!$C$2:$Y$959,10,0)</f>
        <v>11.7</v>
      </c>
      <c r="K1543" s="20">
        <f>VLOOKUP(A1543,Metrik!$C$2:$Y$959,11,0)</f>
        <v>9</v>
      </c>
      <c r="L1543" s="20">
        <f>VLOOKUP(A1543,Metrik!$C$2:$Y$959,12,0)</f>
        <v>0.3</v>
      </c>
      <c r="M1543" s="20">
        <f>VLOOKUP(A1543,Metrik!$C$2:$Y$959,19,0)</f>
        <v>49.6</v>
      </c>
      <c r="N1543" s="21"/>
      <c r="O1543" s="21"/>
      <c r="P1543" s="21"/>
      <c r="Q1543" s="21"/>
      <c r="R1543" s="21"/>
      <c r="S1543" s="21"/>
      <c r="T1543" s="21"/>
      <c r="U1543" s="22">
        <f>IFERROR(__xludf.DUMMYFUNCTION("IFERROR(GOOGLEFINANCE(A1543,""closeyest""),"""")"),194.0)</f>
        <v>194</v>
      </c>
      <c r="V1543" s="23">
        <f>IFERROR(__xludf.DUMMYFUNCTION("IFERROR(GOOGLEFINANCE(A1543,""changepct""),"""")"),3.09)</f>
        <v>3.09</v>
      </c>
      <c r="W1543" s="22">
        <f>IFERROR(__xludf.DUMMYFUNCTION("IFERROR(GOOGLEFINANCE(A1543,""priceopen""),"""")"),198.0)</f>
        <v>198</v>
      </c>
      <c r="X1543" s="22">
        <f>IFERROR(__xludf.DUMMYFUNCTION("IFERROR(GOOGLEFINANCE(A1543,""high""),"""")"),206.0)</f>
        <v>206</v>
      </c>
      <c r="Y1543" s="22">
        <f>IFERROR(__xludf.DUMMYFUNCTION("IFERROR(GOOGLEFINANCE(A1543,""low""),"""")"),196.0)</f>
        <v>196</v>
      </c>
      <c r="Z1543" s="22">
        <f>IFERROR(__xludf.DUMMYFUNCTION("IFERROR(GOOGLEFINANCE(A1543,""volume""),"""")"),3.526E7)</f>
        <v>35260000</v>
      </c>
      <c r="AA1543" s="24" t="str">
        <f>VLOOKUP(A1543,Metrik!$C$2:$Y$959,5,0)</f>
        <v>Media</v>
      </c>
      <c r="AB1543" s="24" t="str">
        <f>VLOOKUP(A1543,Metrik!$C$2:$Y$959,3,0)</f>
        <v>Consumer Cyclicals</v>
      </c>
    </row>
    <row r="1544">
      <c r="A1544" s="14" t="s">
        <v>838</v>
      </c>
      <c r="B1544" s="14" t="str">
        <f t="array" ref="B1544">VLOOKUP(A1544,{Metrik!$C$2:$C$998,Metrik!$B$2:$B$998},2,0)</f>
        <v>Surya Citra Media Tbk.</v>
      </c>
      <c r="C1544" s="15">
        <f>IFERROR(__xludf.DUMMYFUNCTION("GOOGLEFINANCE(""IDX:""&amp;A1544,""price"")"),200.0)</f>
        <v>200</v>
      </c>
      <c r="D1544" s="16" t="str">
        <f>IFERROR(__xludf.DUMMYFUNCTION("IF(A1544="""","""",
SPARKLINE(
INDEX(
GOOGLEFINANCE(""IDX:""&amp;A1544,""close"",TODAY()-365,TODAY()),
,2
),
{""linewidth"",1}
))
"),"#N/A")</f>
        <v>#N/A</v>
      </c>
      <c r="E1544" s="14" t="s">
        <v>50</v>
      </c>
      <c r="F1544" s="17" t="s">
        <v>51</v>
      </c>
      <c r="G1544" s="24">
        <f t="shared" si="9"/>
        <v>11</v>
      </c>
      <c r="H1544" s="19">
        <f>VLOOKUP(A1544,Metrik!$C$2:$Y$959,8,0)</f>
        <v>18.1</v>
      </c>
      <c r="I1544" s="20">
        <f>VLOOKUP(A1544,Metrik!$C$2:$Y$959,9,0)</f>
        <v>2.1</v>
      </c>
      <c r="J1544" s="20">
        <f>VLOOKUP(A1544,Metrik!$C$2:$Y$959,10,0)</f>
        <v>11.7</v>
      </c>
      <c r="K1544" s="20">
        <f>VLOOKUP(A1544,Metrik!$C$2:$Y$959,11,0)</f>
        <v>9</v>
      </c>
      <c r="L1544" s="20">
        <f>VLOOKUP(A1544,Metrik!$C$2:$Y$959,12,0)</f>
        <v>0.3</v>
      </c>
      <c r="M1544" s="20">
        <f>VLOOKUP(A1544,Metrik!$C$2:$Y$959,19,0)</f>
        <v>49.6</v>
      </c>
      <c r="N1544" s="21"/>
      <c r="O1544" s="21"/>
      <c r="P1544" s="21"/>
      <c r="Q1544" s="21"/>
      <c r="R1544" s="21"/>
      <c r="S1544" s="21"/>
      <c r="T1544" s="21"/>
      <c r="U1544" s="22">
        <f>IFERROR(__xludf.DUMMYFUNCTION("IFERROR(GOOGLEFINANCE(A1544,""closeyest""),"""")"),194.0)</f>
        <v>194</v>
      </c>
      <c r="V1544" s="23">
        <f>IFERROR(__xludf.DUMMYFUNCTION("IFERROR(GOOGLEFINANCE(A1544,""changepct""),"""")"),3.09)</f>
        <v>3.09</v>
      </c>
      <c r="W1544" s="22">
        <f>IFERROR(__xludf.DUMMYFUNCTION("IFERROR(GOOGLEFINANCE(A1544,""priceopen""),"""")"),198.0)</f>
        <v>198</v>
      </c>
      <c r="X1544" s="22">
        <f>IFERROR(__xludf.DUMMYFUNCTION("IFERROR(GOOGLEFINANCE(A1544,""high""),"""")"),206.0)</f>
        <v>206</v>
      </c>
      <c r="Y1544" s="22">
        <f>IFERROR(__xludf.DUMMYFUNCTION("IFERROR(GOOGLEFINANCE(A1544,""low""),"""")"),196.0)</f>
        <v>196</v>
      </c>
      <c r="Z1544" s="22">
        <f>IFERROR(__xludf.DUMMYFUNCTION("IFERROR(GOOGLEFINANCE(A1544,""volume""),"""")"),3.526E7)</f>
        <v>35260000</v>
      </c>
      <c r="AA1544" s="24" t="str">
        <f>VLOOKUP(A1544,Metrik!$C$2:$Y$959,5,0)</f>
        <v>Media</v>
      </c>
      <c r="AB1544" s="24" t="str">
        <f>VLOOKUP(A1544,Metrik!$C$2:$Y$959,3,0)</f>
        <v>Consumer Cyclicals</v>
      </c>
    </row>
    <row r="1545">
      <c r="A1545" s="14" t="s">
        <v>838</v>
      </c>
      <c r="B1545" s="14" t="str">
        <f t="array" ref="B1545">VLOOKUP(A1545,{Metrik!$C$2:$C$998,Metrik!$B$2:$B$998},2,0)</f>
        <v>Surya Citra Media Tbk.</v>
      </c>
      <c r="C1545" s="15">
        <f>IFERROR(__xludf.DUMMYFUNCTION("GOOGLEFINANCE(""IDX:""&amp;A1545,""price"")"),200.0)</f>
        <v>200</v>
      </c>
      <c r="D1545" s="16" t="str">
        <f>IFERROR(__xludf.DUMMYFUNCTION("IF(A1545="""","""",
SPARKLINE(
INDEX(
GOOGLEFINANCE(""IDX:""&amp;A1545,""close"",TODAY()-365,TODAY()),
,2
),
{""linewidth"",1}
))
"),"#N/A")</f>
        <v>#N/A</v>
      </c>
      <c r="E1545" s="14" t="s">
        <v>41</v>
      </c>
      <c r="F1545" s="14" t="s">
        <v>34</v>
      </c>
      <c r="G1545" s="24">
        <f t="shared" si="9"/>
        <v>11</v>
      </c>
      <c r="H1545" s="19">
        <f>VLOOKUP(A1545,Metrik!$C$2:$Y$959,8,0)</f>
        <v>18.1</v>
      </c>
      <c r="I1545" s="20">
        <f>VLOOKUP(A1545,Metrik!$C$2:$Y$959,9,0)</f>
        <v>2.1</v>
      </c>
      <c r="J1545" s="20">
        <f>VLOOKUP(A1545,Metrik!$C$2:$Y$959,10,0)</f>
        <v>11.7</v>
      </c>
      <c r="K1545" s="20">
        <f>VLOOKUP(A1545,Metrik!$C$2:$Y$959,11,0)</f>
        <v>9</v>
      </c>
      <c r="L1545" s="20">
        <f>VLOOKUP(A1545,Metrik!$C$2:$Y$959,12,0)</f>
        <v>0.3</v>
      </c>
      <c r="M1545" s="20">
        <f>VLOOKUP(A1545,Metrik!$C$2:$Y$959,19,0)</f>
        <v>49.6</v>
      </c>
      <c r="N1545" s="21"/>
      <c r="O1545" s="21"/>
      <c r="P1545" s="21"/>
      <c r="Q1545" s="21"/>
      <c r="R1545" s="21"/>
      <c r="S1545" s="21"/>
      <c r="T1545" s="21"/>
      <c r="U1545" s="22">
        <f>IFERROR(__xludf.DUMMYFUNCTION("IFERROR(GOOGLEFINANCE(A1545,""closeyest""),"""")"),194.0)</f>
        <v>194</v>
      </c>
      <c r="V1545" s="23">
        <f>IFERROR(__xludf.DUMMYFUNCTION("IFERROR(GOOGLEFINANCE(A1545,""changepct""),"""")"),3.09)</f>
        <v>3.09</v>
      </c>
      <c r="W1545" s="22">
        <f>IFERROR(__xludf.DUMMYFUNCTION("IFERROR(GOOGLEFINANCE(A1545,""priceopen""),"""")"),198.0)</f>
        <v>198</v>
      </c>
      <c r="X1545" s="22">
        <f>IFERROR(__xludf.DUMMYFUNCTION("IFERROR(GOOGLEFINANCE(A1545,""high""),"""")"),206.0)</f>
        <v>206</v>
      </c>
      <c r="Y1545" s="22">
        <f>IFERROR(__xludf.DUMMYFUNCTION("IFERROR(GOOGLEFINANCE(A1545,""low""),"""")"),196.0)</f>
        <v>196</v>
      </c>
      <c r="Z1545" s="22">
        <f>IFERROR(__xludf.DUMMYFUNCTION("IFERROR(GOOGLEFINANCE(A1545,""volume""),"""")"),3.526E7)</f>
        <v>35260000</v>
      </c>
      <c r="AA1545" s="24" t="str">
        <f>VLOOKUP(A1545,Metrik!$C$2:$Y$959,5,0)</f>
        <v>Media</v>
      </c>
      <c r="AB1545" s="24" t="str">
        <f>VLOOKUP(A1545,Metrik!$C$2:$Y$959,3,0)</f>
        <v>Consumer Cyclicals</v>
      </c>
    </row>
    <row r="1546">
      <c r="A1546" s="14" t="s">
        <v>839</v>
      </c>
      <c r="B1546" s="14" t="str">
        <f t="array" ref="B1546">VLOOKUP(A1546,{Metrik!$C$2:$C$998,Metrik!$B$2:$B$998},2,0)</f>
        <v>Selaras Citra Nusantara Perkasa Tbk.</v>
      </c>
      <c r="C1546" s="15">
        <f>IFERROR(__xludf.DUMMYFUNCTION("GOOGLEFINANCE(""IDX:""&amp;A1546,""price"")"),142.0)</f>
        <v>142</v>
      </c>
      <c r="D1546" s="16" t="str">
        <f>IFERROR(__xludf.DUMMYFUNCTION("IF(A1546="""","""",
SPARKLINE(
INDEX(
GOOGLEFINANCE(""IDX:""&amp;A1546,""close"",TODAY()-365,TODAY()),
,2
),
{""linewidth"",1}
))
"),"#N/A")</f>
        <v>#N/A</v>
      </c>
      <c r="E1546" s="26"/>
      <c r="F1546" s="26"/>
      <c r="G1546" s="24">
        <f t="shared" si="9"/>
        <v>0</v>
      </c>
      <c r="H1546" s="19">
        <f>VLOOKUP(A1546,Metrik!$C$2:$Y$959,8,0)</f>
        <v>27.6</v>
      </c>
      <c r="I1546" s="20">
        <f>VLOOKUP(A1546,Metrik!$C$2:$Y$959,9,0)</f>
        <v>1.1</v>
      </c>
      <c r="J1546" s="20">
        <f>VLOOKUP(A1546,Metrik!$C$2:$Y$959,10,0)</f>
        <v>4</v>
      </c>
      <c r="K1546" s="20">
        <f>VLOOKUP(A1546,Metrik!$C$2:$Y$959,11,0)</f>
        <v>3.2</v>
      </c>
      <c r="L1546" s="20">
        <f>VLOOKUP(A1546,Metrik!$C$2:$Y$959,12,0)</f>
        <v>0.26</v>
      </c>
      <c r="M1546" s="20">
        <f>VLOOKUP(A1546,Metrik!$C$2:$Y$959,19,0)</f>
        <v>20.1</v>
      </c>
      <c r="N1546" s="21"/>
      <c r="O1546" s="21"/>
      <c r="P1546" s="21"/>
      <c r="Q1546" s="21"/>
      <c r="R1546" s="21"/>
      <c r="S1546" s="21"/>
      <c r="T1546" s="21"/>
      <c r="U1546" s="22">
        <f>IFERROR(__xludf.DUMMYFUNCTION("IFERROR(GOOGLEFINANCE(A1546,""closeyest""),"""")"),140.0)</f>
        <v>140</v>
      </c>
      <c r="V1546" s="23">
        <f>IFERROR(__xludf.DUMMYFUNCTION("IFERROR(GOOGLEFINANCE(A1546,""changepct""),"""")"),1.43)</f>
        <v>1.43</v>
      </c>
      <c r="W1546" s="22">
        <f>IFERROR(__xludf.DUMMYFUNCTION("IFERROR(GOOGLEFINANCE(A1546,""priceopen""),"""")"),140.0)</f>
        <v>140</v>
      </c>
      <c r="X1546" s="22" t="str">
        <f>IFERROR(__xludf.DUMMYFUNCTION("IFERROR(GOOGLEFINANCE(A1546,""high""),"""")"),"")</f>
        <v/>
      </c>
      <c r="Y1546" s="22">
        <f>IFERROR(__xludf.DUMMYFUNCTION("IFERROR(GOOGLEFINANCE(A1546,""low""),"""")"),139.0)</f>
        <v>139</v>
      </c>
      <c r="Z1546" s="22">
        <f>IFERROR(__xludf.DUMMYFUNCTION("IFERROR(GOOGLEFINANCE(A1546,""volume""),"""")"),279600.0)</f>
        <v>279600</v>
      </c>
      <c r="AA1546" s="24" t="str">
        <f>VLOOKUP(A1546,Metrik!$C$2:$Y$959,5,0)</f>
        <v>Household Goods</v>
      </c>
      <c r="AB1546" s="24" t="str">
        <f>VLOOKUP(A1546,Metrik!$C$2:$Y$959,3,0)</f>
        <v>Consumer Cyclicals</v>
      </c>
    </row>
    <row r="1547">
      <c r="A1547" s="14" t="s">
        <v>840</v>
      </c>
      <c r="B1547" s="14" t="str">
        <f t="array" ref="B1547">VLOOKUP(A1547,{Metrik!$C$2:$C$998,Metrik!$B$2:$B$998},2,0)</f>
        <v>Organon Pharma Indonesia Tbk.</v>
      </c>
      <c r="C1547" s="15">
        <f>IFERROR(__xludf.DUMMYFUNCTION("GOOGLEFINANCE(""IDX:""&amp;A1547,""price"")"),0.0)</f>
        <v>0</v>
      </c>
      <c r="D1547" s="16" t="str">
        <f>IFERROR(__xludf.DUMMYFUNCTION("IF(A1547="""","""",
SPARKLINE(
INDEX(
GOOGLEFINANCE(""IDX:""&amp;A1547,""close"",TODAY()-365,TODAY()),
,2
),
{""linewidth"",1}
))
"),"#N/A")</f>
        <v>#N/A</v>
      </c>
      <c r="E1547" s="26"/>
      <c r="F1547" s="26"/>
      <c r="G1547" s="18">
        <f t="shared" si="9"/>
        <v>0</v>
      </c>
      <c r="H1547" s="19">
        <f>VLOOKUP(A1547,Metrik!$C$2:$Y$959,8,0)</f>
        <v>0.35</v>
      </c>
      <c r="I1547" s="20">
        <f>VLOOKUP(A1547,Metrik!$C$2:$Y$959,9,0)</f>
        <v>0.07</v>
      </c>
      <c r="J1547" s="20">
        <f>VLOOKUP(A1547,Metrik!$C$2:$Y$959,10,0)</f>
        <v>20.9</v>
      </c>
      <c r="K1547" s="20">
        <f>VLOOKUP(A1547,Metrik!$C$2:$Y$959,11,0)</f>
        <v>13.2</v>
      </c>
      <c r="L1547" s="20">
        <f>VLOOKUP(A1547,Metrik!$C$2:$Y$959,12,0)</f>
        <v>0.58</v>
      </c>
      <c r="M1547" s="20">
        <f>VLOOKUP(A1547,Metrik!$C$2:$Y$959,19,0)</f>
        <v>34.2</v>
      </c>
      <c r="N1547" s="21"/>
      <c r="O1547" s="21"/>
      <c r="P1547" s="21"/>
      <c r="Q1547" s="21"/>
      <c r="R1547" s="21"/>
      <c r="S1547" s="21"/>
      <c r="T1547" s="21"/>
      <c r="U1547" s="22">
        <f>IFERROR(__xludf.DUMMYFUNCTION("IFERROR(GOOGLEFINANCE(A1547,""closeyest""),"""")"),29000.0)</f>
        <v>29000</v>
      </c>
      <c r="V1547" s="23">
        <f>IFERROR(__xludf.DUMMYFUNCTION("IFERROR(GOOGLEFINANCE(A1547,""changepct""),"""")"),-100.0)</f>
        <v>-100</v>
      </c>
      <c r="W1547" s="22" t="str">
        <f>IFERROR(__xludf.DUMMYFUNCTION("IFERROR(GOOGLEFINANCE(A1547,""priceopen""),"""")"),"")</f>
        <v/>
      </c>
      <c r="X1547" s="22" t="str">
        <f>IFERROR(__xludf.DUMMYFUNCTION("IFERROR(GOOGLEFINANCE(A1547,""high""),"""")"),"")</f>
        <v/>
      </c>
      <c r="Y1547" s="22" t="str">
        <f>IFERROR(__xludf.DUMMYFUNCTION("IFERROR(GOOGLEFINANCE(A1547,""low""),"""")"),"")</f>
        <v/>
      </c>
      <c r="Z1547" s="22">
        <f>IFERROR(__xludf.DUMMYFUNCTION("IFERROR(GOOGLEFINANCE(A1547,""volume""),"""")"),0.0)</f>
        <v>0</v>
      </c>
      <c r="AA1547" s="24" t="str">
        <f>VLOOKUP(A1547,Metrik!$C$2:$Y$959,5,0)</f>
        <v>Pharmaceuticals</v>
      </c>
      <c r="AB1547" s="24" t="str">
        <f>VLOOKUP(A1547,Metrik!$C$2:$Y$959,3,0)</f>
        <v>Healthcare</v>
      </c>
    </row>
    <row r="1548">
      <c r="A1548" s="14" t="s">
        <v>841</v>
      </c>
      <c r="B1548" s="14" t="str">
        <f t="array" ref="B1548">VLOOKUP(A1548,{Metrik!$C$2:$C$998,Metrik!$B$2:$B$998},2,0)</f>
        <v>Sidomulyo Selaras Tbk</v>
      </c>
      <c r="C1548" s="15">
        <f>IFERROR(__xludf.DUMMYFUNCTION("GOOGLEFINANCE(""IDX:""&amp;A1548,""price"")"),64.0)</f>
        <v>64</v>
      </c>
      <c r="D1548" s="16" t="str">
        <f>IFERROR(__xludf.DUMMYFUNCTION("IF(A1548="""","""",
SPARKLINE(
INDEX(
GOOGLEFINANCE(""IDX:""&amp;A1548,""close"",TODAY()-365,TODAY()),
,2
),
{""linewidth"",1}
))
"),"#N/A")</f>
        <v>#N/A</v>
      </c>
      <c r="E1548" s="26"/>
      <c r="F1548" s="26"/>
      <c r="G1548" s="24">
        <f t="shared" si="9"/>
        <v>0</v>
      </c>
      <c r="H1548" s="19">
        <f>VLOOKUP(A1548,Metrik!$C$2:$Y$959,8,0)</f>
        <v>-13.8</v>
      </c>
      <c r="I1548" s="20">
        <f>VLOOKUP(A1548,Metrik!$C$2:$Y$959,9,0)</f>
        <v>2.2</v>
      </c>
      <c r="J1548" s="20">
        <f>VLOOKUP(A1548,Metrik!$C$2:$Y$959,10,0)</f>
        <v>-16</v>
      </c>
      <c r="K1548" s="20">
        <f>VLOOKUP(A1548,Metrik!$C$2:$Y$959,11,0)</f>
        <v>-9.6</v>
      </c>
      <c r="L1548" s="20">
        <f>VLOOKUP(A1548,Metrik!$C$2:$Y$959,12,0)</f>
        <v>0.66</v>
      </c>
      <c r="M1548" s="20">
        <f>VLOOKUP(A1548,Metrik!$C$2:$Y$959,19,0)</f>
        <v>-67.8</v>
      </c>
      <c r="N1548" s="21"/>
      <c r="O1548" s="21"/>
      <c r="P1548" s="21"/>
      <c r="Q1548" s="21"/>
      <c r="R1548" s="21"/>
      <c r="S1548" s="21"/>
      <c r="T1548" s="21"/>
      <c r="U1548" s="22">
        <f>IFERROR(__xludf.DUMMYFUNCTION("IFERROR(GOOGLEFINANCE(A1548,""closeyest""),"""")"),63.0)</f>
        <v>63</v>
      </c>
      <c r="V1548" s="23">
        <f>IFERROR(__xludf.DUMMYFUNCTION("IFERROR(GOOGLEFINANCE(A1548,""changepct""),"""")"),1.59)</f>
        <v>1.59</v>
      </c>
      <c r="W1548" s="22">
        <f>IFERROR(__xludf.DUMMYFUNCTION("IFERROR(GOOGLEFINANCE(A1548,""priceopen""),"""")"),63.0)</f>
        <v>63</v>
      </c>
      <c r="X1548" s="22">
        <f>IFERROR(__xludf.DUMMYFUNCTION("IFERROR(GOOGLEFINANCE(A1548,""high""),"""")"),69.0)</f>
        <v>69</v>
      </c>
      <c r="Y1548" s="22">
        <f>IFERROR(__xludf.DUMMYFUNCTION("IFERROR(GOOGLEFINANCE(A1548,""low""),"""")"),63.0)</f>
        <v>63</v>
      </c>
      <c r="Z1548" s="22">
        <f>IFERROR(__xludf.DUMMYFUNCTION("IFERROR(GOOGLEFINANCE(A1548,""volume""),"""")"),1.00208E7)</f>
        <v>10020800</v>
      </c>
      <c r="AA1548" s="24" t="str">
        <f>VLOOKUP(A1548,Metrik!$C$2:$Y$959,5,0)</f>
        <v>Logistics &amp; Deliveries</v>
      </c>
      <c r="AB1548" s="24" t="str">
        <f>VLOOKUP(A1548,Metrik!$C$2:$Y$959,3,0)</f>
        <v>Transportation &amp; Logistic</v>
      </c>
    </row>
    <row r="1549">
      <c r="A1549" s="14" t="s">
        <v>842</v>
      </c>
      <c r="B1549" s="14" t="str">
        <f t="array" ref="B1549">VLOOKUP(A1549,{Metrik!$C$2:$C$998,Metrik!$B$2:$B$998},2,0)</f>
        <v>Millennium Pharmacon International Tbk.</v>
      </c>
      <c r="C1549" s="15">
        <f>IFERROR(__xludf.DUMMYFUNCTION("GOOGLEFINANCE(""IDX:""&amp;A1549,""price"")"),170.0)</f>
        <v>170</v>
      </c>
      <c r="D1549" s="16" t="str">
        <f>IFERROR(__xludf.DUMMYFUNCTION("IF(A1549="""","""",
SPARKLINE(
INDEX(
GOOGLEFINANCE(""IDX:""&amp;A1549,""close"",TODAY()-365,TODAY()),
,2
),
{""linewidth"",1}
))
"),"#N/A")</f>
        <v>#N/A</v>
      </c>
      <c r="E1549" s="26"/>
      <c r="F1549" s="26"/>
      <c r="G1549" s="24">
        <f t="shared" si="9"/>
        <v>0</v>
      </c>
      <c r="H1549" s="19">
        <f>VLOOKUP(A1549,Metrik!$C$2:$Y$959,8,0)</f>
        <v>6.3</v>
      </c>
      <c r="I1549" s="20">
        <f>VLOOKUP(A1549,Metrik!$C$2:$Y$959,9,0)</f>
        <v>0.74</v>
      </c>
      <c r="J1549" s="20">
        <f>VLOOKUP(A1549,Metrik!$C$2:$Y$959,10,0)</f>
        <v>11.8</v>
      </c>
      <c r="K1549" s="20">
        <f>VLOOKUP(A1549,Metrik!$C$2:$Y$959,11,0)</f>
        <v>1.9</v>
      </c>
      <c r="L1549" s="20">
        <f>VLOOKUP(A1549,Metrik!$C$2:$Y$959,12,0)</f>
        <v>5.2</v>
      </c>
      <c r="M1549" s="20">
        <f>VLOOKUP(A1549,Metrik!$C$2:$Y$959,19,0)</f>
        <v>3.8</v>
      </c>
      <c r="N1549" s="21"/>
      <c r="O1549" s="21"/>
      <c r="P1549" s="21"/>
      <c r="Q1549" s="21"/>
      <c r="R1549" s="21"/>
      <c r="S1549" s="21"/>
      <c r="T1549" s="21"/>
      <c r="U1549" s="22">
        <f>IFERROR(__xludf.DUMMYFUNCTION("IFERROR(GOOGLEFINANCE(A1549,""closeyest""),"""")"),174.0)</f>
        <v>174</v>
      </c>
      <c r="V1549" s="23">
        <f>IFERROR(__xludf.DUMMYFUNCTION("IFERROR(GOOGLEFINANCE(A1549,""changepct""),"""")"),-2.3)</f>
        <v>-2.3</v>
      </c>
      <c r="W1549" s="22">
        <f>IFERROR(__xludf.DUMMYFUNCTION("IFERROR(GOOGLEFINANCE(A1549,""priceopen""),"""")"),174.0)</f>
        <v>174</v>
      </c>
      <c r="X1549" s="22">
        <f>IFERROR(__xludf.DUMMYFUNCTION("IFERROR(GOOGLEFINANCE(A1549,""high""),"""")"),178.0)</f>
        <v>178</v>
      </c>
      <c r="Y1549" s="22">
        <f>IFERROR(__xludf.DUMMYFUNCTION("IFERROR(GOOGLEFINANCE(A1549,""low""),"""")"),170.0)</f>
        <v>170</v>
      </c>
      <c r="Z1549" s="22">
        <f>IFERROR(__xludf.DUMMYFUNCTION("IFERROR(GOOGLEFINANCE(A1549,""volume""),"""")"),69700.0)</f>
        <v>69700</v>
      </c>
      <c r="AA1549" s="24" t="str">
        <f>VLOOKUP(A1549,Metrik!$C$2:$Y$959,5,0)</f>
        <v>Food &amp; Staples Retailing</v>
      </c>
      <c r="AB1549" s="24" t="str">
        <f>VLOOKUP(A1549,Metrik!$C$2:$Y$959,3,0)</f>
        <v>Consumer Non-Cyclicals</v>
      </c>
    </row>
    <row r="1550">
      <c r="A1550" s="14" t="s">
        <v>843</v>
      </c>
      <c r="B1550" s="14" t="str">
        <f t="array" ref="B1550">VLOOKUP(A1550,{Metrik!$C$2:$C$998,Metrik!$B$2:$B$998},2,0)</f>
        <v>PT Bank Woori Saudara Indonesia 1906 Tbk</v>
      </c>
      <c r="C1550" s="15">
        <f>IFERROR(__xludf.DUMMYFUNCTION("GOOGLEFINANCE(""IDX:""&amp;A1550,""price"")"),208.0)</f>
        <v>208</v>
      </c>
      <c r="D1550" s="16" t="str">
        <f>IFERROR(__xludf.DUMMYFUNCTION("IF(A1550="""","""",
SPARKLINE(
INDEX(
GOOGLEFINANCE(""IDX:""&amp;A1550,""close"",TODAY()-365,TODAY()),
,2
),
{""linewidth"",1}
))
"),"#N/A")</f>
        <v>#N/A</v>
      </c>
      <c r="E1550" s="26"/>
      <c r="F1550" s="26"/>
      <c r="G1550" s="24">
        <f t="shared" si="9"/>
        <v>0</v>
      </c>
      <c r="H1550" s="19">
        <f>VLOOKUP(A1550,Metrik!$C$2:$Y$959,8,0)</f>
        <v>-3.1</v>
      </c>
      <c r="I1550" s="20">
        <f>VLOOKUP(A1550,Metrik!$C$2:$Y$959,9,0)</f>
        <v>0.27</v>
      </c>
      <c r="J1550" s="20">
        <f>VLOOKUP(A1550,Metrik!$C$2:$Y$959,10,0)</f>
        <v>-8.6</v>
      </c>
      <c r="K1550" s="20">
        <f>VLOOKUP(A1550,Metrik!$C$2:$Y$959,11,0)</f>
        <v>-2.1</v>
      </c>
      <c r="L1550" s="20">
        <f>VLOOKUP(A1550,Metrik!$C$2:$Y$959,12,0)</f>
        <v>3.2</v>
      </c>
      <c r="M1550" s="20">
        <f>VLOOKUP(A1550,Metrik!$C$2:$Y$959,19,0)</f>
        <v>-120</v>
      </c>
      <c r="N1550" s="32">
        <v>3.3</v>
      </c>
      <c r="O1550" s="32">
        <v>31.09</v>
      </c>
      <c r="P1550" s="41"/>
      <c r="Q1550" s="32">
        <v>1.85</v>
      </c>
      <c r="R1550" s="41"/>
      <c r="S1550" s="41"/>
      <c r="T1550" s="41"/>
      <c r="U1550" s="22">
        <f>IFERROR(__xludf.DUMMYFUNCTION("IFERROR(GOOGLEFINANCE(A1550,""closeyest""),"""")"),200.0)</f>
        <v>200</v>
      </c>
      <c r="V1550" s="23">
        <f>IFERROR(__xludf.DUMMYFUNCTION("IFERROR(GOOGLEFINANCE(A1550,""changepct""),"""")"),4.0)</f>
        <v>4</v>
      </c>
      <c r="W1550" s="22">
        <f>IFERROR(__xludf.DUMMYFUNCTION("IFERROR(GOOGLEFINANCE(A1550,""priceopen""),"""")"),200.0)</f>
        <v>200</v>
      </c>
      <c r="X1550" s="22">
        <f>IFERROR(__xludf.DUMMYFUNCTION("IFERROR(GOOGLEFINANCE(A1550,""high""),"""")"),210.0)</f>
        <v>210</v>
      </c>
      <c r="Y1550" s="22">
        <f>IFERROR(__xludf.DUMMYFUNCTION("IFERROR(GOOGLEFINANCE(A1550,""low""),"""")"),200.0)</f>
        <v>200</v>
      </c>
      <c r="Z1550" s="22">
        <f>IFERROR(__xludf.DUMMYFUNCTION("IFERROR(GOOGLEFINANCE(A1550,""volume""),"""")"),729400.0)</f>
        <v>729400</v>
      </c>
      <c r="AA1550" s="24" t="str">
        <f>VLOOKUP(A1550,Metrik!$C$2:$Y$959,5,0)</f>
        <v>Banks</v>
      </c>
      <c r="AB1550" s="24" t="str">
        <f>VLOOKUP(A1550,Metrik!$C$2:$Y$959,3,0)</f>
        <v>Financials</v>
      </c>
    </row>
    <row r="1551">
      <c r="A1551" s="14" t="s">
        <v>844</v>
      </c>
      <c r="B1551" s="14" t="str">
        <f t="array" ref="B1551">VLOOKUP(A1551,{Metrik!$C$2:$C$998,Metrik!$B$2:$B$998},2,0)</f>
        <v>Semacom Integrated Tbk.</v>
      </c>
      <c r="C1551" s="15">
        <f>IFERROR(__xludf.DUMMYFUNCTION("GOOGLEFINANCE(""IDX:""&amp;A1551,""price"")"),93.0)</f>
        <v>93</v>
      </c>
      <c r="D1551" s="16" t="str">
        <f>IFERROR(__xludf.DUMMYFUNCTION("IF(A1551="""","""",
SPARKLINE(
INDEX(
GOOGLEFINANCE(""IDX:""&amp;A1551,""close"",TODAY()-365,TODAY()),
,2
),
{""linewidth"",1}
))
"),"#N/A")</f>
        <v>#N/A</v>
      </c>
      <c r="E1551" s="26"/>
      <c r="F1551" s="26"/>
      <c r="G1551" s="24">
        <f t="shared" si="9"/>
        <v>0</v>
      </c>
      <c r="H1551" s="19">
        <f>VLOOKUP(A1551,Metrik!$C$2:$Y$959,8,0)</f>
        <v>15.1</v>
      </c>
      <c r="I1551" s="20">
        <f>VLOOKUP(A1551,Metrik!$C$2:$Y$959,9,0)</f>
        <v>0.8</v>
      </c>
      <c r="J1551" s="20">
        <f>VLOOKUP(A1551,Metrik!$C$2:$Y$959,10,0)</f>
        <v>5.3</v>
      </c>
      <c r="K1551" s="20">
        <f>VLOOKUP(A1551,Metrik!$C$2:$Y$959,11,0)</f>
        <v>3.7</v>
      </c>
      <c r="L1551" s="20">
        <f>VLOOKUP(A1551,Metrik!$C$2:$Y$959,12,0)</f>
        <v>0.42</v>
      </c>
      <c r="M1551" s="20">
        <f>VLOOKUP(A1551,Metrik!$C$2:$Y$959,19,0)</f>
        <v>28.7</v>
      </c>
      <c r="N1551" s="21"/>
      <c r="O1551" s="21"/>
      <c r="P1551" s="21"/>
      <c r="Q1551" s="21"/>
      <c r="R1551" s="21"/>
      <c r="S1551" s="21"/>
      <c r="T1551" s="21"/>
      <c r="U1551" s="22">
        <f>IFERROR(__xludf.DUMMYFUNCTION("IFERROR(GOOGLEFINANCE(A1551,""closeyest""),"""")"),4706.0)</f>
        <v>4706</v>
      </c>
      <c r="V1551" s="23">
        <f>IFERROR(__xludf.DUMMYFUNCTION("IFERROR(GOOGLEFINANCE(A1551,""changepct""),"""")"),3.06)</f>
        <v>3.06</v>
      </c>
      <c r="W1551" s="22">
        <f>IFERROR(__xludf.DUMMYFUNCTION("IFERROR(GOOGLEFINANCE(A1551,""priceopen""),"""")"),4770.2)</f>
        <v>4770.2</v>
      </c>
      <c r="X1551" s="22">
        <f>IFERROR(__xludf.DUMMYFUNCTION("IFERROR(GOOGLEFINANCE(A1551,""high""),"""")"),4850.0)</f>
        <v>4850</v>
      </c>
      <c r="Y1551" s="22">
        <f>IFERROR(__xludf.DUMMYFUNCTION("IFERROR(GOOGLEFINANCE(A1551,""low""),"""")"),4762.0)</f>
        <v>4762</v>
      </c>
      <c r="Z1551" s="22">
        <f>IFERROR(__xludf.DUMMYFUNCTION("IFERROR(GOOGLEFINANCE(A1551,""volume""),"""")"),14981.0)</f>
        <v>14981</v>
      </c>
      <c r="AA1551" s="24" t="str">
        <f>VLOOKUP(A1551,Metrik!$C$2:$Y$959,5,0)</f>
        <v>Alternative Energy Equipment</v>
      </c>
      <c r="AB1551" s="24" t="str">
        <f>VLOOKUP(A1551,Metrik!$C$2:$Y$959,3,0)</f>
        <v>Energy</v>
      </c>
    </row>
    <row r="1552">
      <c r="A1552" s="14" t="s">
        <v>845</v>
      </c>
      <c r="B1552" s="14" t="str">
        <f t="array" ref="B1552">VLOOKUP(A1552,{Metrik!$C$2:$C$998,Metrik!$B$2:$B$998},2,0)</f>
        <v>Surya Fajar Capital Tbk.</v>
      </c>
      <c r="C1552" s="15">
        <f>IFERROR(__xludf.DUMMYFUNCTION("GOOGLEFINANCE(""IDX:""&amp;A1552,""price"")"),1970.0)</f>
        <v>1970</v>
      </c>
      <c r="D1552" s="16" t="str">
        <f>IFERROR(__xludf.DUMMYFUNCTION("IF(A1552="""","""",
SPARKLINE(
INDEX(
GOOGLEFINANCE(""IDX:""&amp;A1552,""close"",TODAY()-365,TODAY()),
,2
),
{""linewidth"",1}
))
"),"#N/A")</f>
        <v>#N/A</v>
      </c>
      <c r="E1552" s="26"/>
      <c r="F1552" s="26"/>
      <c r="G1552" s="24">
        <f t="shared" si="9"/>
        <v>0</v>
      </c>
      <c r="H1552" s="19">
        <f>VLOOKUP(A1552,Metrik!$C$2:$Y$959,8,0)</f>
        <v>-170</v>
      </c>
      <c r="I1552" s="20">
        <f>VLOOKUP(A1552,Metrik!$C$2:$Y$959,9,0)</f>
        <v>21.2</v>
      </c>
      <c r="J1552" s="20">
        <f>VLOOKUP(A1552,Metrik!$C$2:$Y$959,10,0)</f>
        <v>-12.7</v>
      </c>
      <c r="K1552" s="20">
        <f>VLOOKUP(A1552,Metrik!$C$2:$Y$959,11,0)</f>
        <v>-10.9</v>
      </c>
      <c r="L1552" s="20">
        <f>VLOOKUP(A1552,Metrik!$C$2:$Y$959,12,0)</f>
        <v>0.17</v>
      </c>
      <c r="M1552" s="20">
        <f>VLOOKUP(A1552,Metrik!$C$2:$Y$959,19,0)</f>
        <v>0</v>
      </c>
      <c r="N1552" s="21"/>
      <c r="O1552" s="21"/>
      <c r="P1552" s="21"/>
      <c r="Q1552" s="21"/>
      <c r="R1552" s="21"/>
      <c r="S1552" s="21"/>
      <c r="T1552" s="21"/>
      <c r="U1552" s="22">
        <f>IFERROR(__xludf.DUMMYFUNCTION("IFERROR(GOOGLEFINANCE(A1552,""closeyest""),"""")"),1960.0)</f>
        <v>1960</v>
      </c>
      <c r="V1552" s="23">
        <f>IFERROR(__xludf.DUMMYFUNCTION("IFERROR(GOOGLEFINANCE(A1552,""changepct""),"""")"),0.51)</f>
        <v>0.51</v>
      </c>
      <c r="W1552" s="22">
        <f>IFERROR(__xludf.DUMMYFUNCTION("IFERROR(GOOGLEFINANCE(A1552,""priceopen""),"""")"),1960.0)</f>
        <v>1960</v>
      </c>
      <c r="X1552" s="22">
        <f>IFERROR(__xludf.DUMMYFUNCTION("IFERROR(GOOGLEFINANCE(A1552,""high""),"""")"),1975.0)</f>
        <v>1975</v>
      </c>
      <c r="Y1552" s="22">
        <f>IFERROR(__xludf.DUMMYFUNCTION("IFERROR(GOOGLEFINANCE(A1552,""low""),"""")"),1960.0)</f>
        <v>1960</v>
      </c>
      <c r="Z1552" s="22">
        <f>IFERROR(__xludf.DUMMYFUNCTION("IFERROR(GOOGLEFINANCE(A1552,""volume""),"""")"),48600.0)</f>
        <v>48600</v>
      </c>
      <c r="AA1552" s="24" t="str">
        <f>VLOOKUP(A1552,Metrik!$C$2:$Y$959,5,0)</f>
        <v>Holding &amp; Investment Companies</v>
      </c>
      <c r="AB1552" s="24" t="str">
        <f>VLOOKUP(A1552,Metrik!$C$2:$Y$959,3,0)</f>
        <v>Financials</v>
      </c>
    </row>
    <row r="1553">
      <c r="A1553" s="14" t="s">
        <v>846</v>
      </c>
      <c r="B1553" s="14" t="str">
        <f t="array" ref="B1553">VLOOKUP(A1553,{Metrik!$C$2:$C$998,Metrik!$B$2:$B$998},2,0)</f>
        <v>Sumber Global Energy Tbk.</v>
      </c>
      <c r="C1553" s="15">
        <f>IFERROR(__xludf.DUMMYFUNCTION("GOOGLEFINANCE(""IDX:""&amp;A1553,""price"")"),406.0)</f>
        <v>406</v>
      </c>
      <c r="D1553" s="16" t="str">
        <f>IFERROR(__xludf.DUMMYFUNCTION("IF(A1553="""","""",
SPARKLINE(
INDEX(
GOOGLEFINANCE(""IDX:""&amp;A1553,""close"",TODAY()-365,TODAY()),
,2
),
{""linewidth"",1}
))
"),"#N/A")</f>
        <v>#N/A</v>
      </c>
      <c r="E1553" s="14" t="s">
        <v>161</v>
      </c>
      <c r="F1553" s="14" t="s">
        <v>76</v>
      </c>
      <c r="G1553" s="24">
        <f t="shared" si="9"/>
        <v>2</v>
      </c>
      <c r="H1553" s="19">
        <f>VLOOKUP(A1553,Metrik!$C$2:$Y$959,8,0)</f>
        <v>22.3</v>
      </c>
      <c r="I1553" s="20">
        <f>VLOOKUP(A1553,Metrik!$C$2:$Y$959,9,0)</f>
        <v>1.9</v>
      </c>
      <c r="J1553" s="20">
        <f>VLOOKUP(A1553,Metrik!$C$2:$Y$959,10,0)</f>
        <v>8.6</v>
      </c>
      <c r="K1553" s="20">
        <f>VLOOKUP(A1553,Metrik!$C$2:$Y$959,11,0)</f>
        <v>3.4</v>
      </c>
      <c r="L1553" s="20">
        <f>VLOOKUP(A1553,Metrik!$C$2:$Y$959,12,0)</f>
        <v>1.5</v>
      </c>
      <c r="M1553" s="20">
        <f>VLOOKUP(A1553,Metrik!$C$2:$Y$959,19,0)</f>
        <v>8.4</v>
      </c>
      <c r="N1553" s="21"/>
      <c r="O1553" s="21"/>
      <c r="P1553" s="21"/>
      <c r="Q1553" s="21"/>
      <c r="R1553" s="21"/>
      <c r="S1553" s="21"/>
      <c r="T1553" s="21"/>
      <c r="U1553" s="22">
        <f>IFERROR(__xludf.DUMMYFUNCTION("IFERROR(GOOGLEFINANCE(A1553,""closeyest""),"""")"),0.0)</f>
        <v>0</v>
      </c>
      <c r="V1553" s="23">
        <f>IFERROR(__xludf.DUMMYFUNCTION("IFERROR(GOOGLEFINANCE(A1553,""changepct""),"""")"),0.0)</f>
        <v>0</v>
      </c>
      <c r="W1553" s="22" t="str">
        <f>IFERROR(__xludf.DUMMYFUNCTION("IFERROR(GOOGLEFINANCE(A1553,""priceopen""),"""")"),"")</f>
        <v/>
      </c>
      <c r="X1553" s="22" t="str">
        <f>IFERROR(__xludf.DUMMYFUNCTION("IFERROR(GOOGLEFINANCE(A1553,""high""),"""")"),"")</f>
        <v/>
      </c>
      <c r="Y1553" s="22" t="str">
        <f>IFERROR(__xludf.DUMMYFUNCTION("IFERROR(GOOGLEFINANCE(A1553,""low""),"""")"),"")</f>
        <v/>
      </c>
      <c r="Z1553" s="22">
        <f>IFERROR(__xludf.DUMMYFUNCTION("IFERROR(GOOGLEFINANCE(A1553,""volume""),"""")"),0.0)</f>
        <v>0</v>
      </c>
      <c r="AA1553" s="24" t="str">
        <f>VLOOKUP(A1553,Metrik!$C$2:$Y$959,5,0)</f>
        <v>Coal</v>
      </c>
      <c r="AB1553" s="24" t="str">
        <f>VLOOKUP(A1553,Metrik!$C$2:$Y$959,3,0)</f>
        <v>Energy</v>
      </c>
    </row>
    <row r="1554">
      <c r="A1554" s="14" t="s">
        <v>846</v>
      </c>
      <c r="B1554" s="14" t="str">
        <f t="array" ref="B1554">VLOOKUP(A1554,{Metrik!$C$2:$C$998,Metrik!$B$2:$B$998},2,0)</f>
        <v>Sumber Global Energy Tbk.</v>
      </c>
      <c r="C1554" s="15">
        <f>IFERROR(__xludf.DUMMYFUNCTION("GOOGLEFINANCE(""IDX:""&amp;A1554,""price"")"),406.0)</f>
        <v>406</v>
      </c>
      <c r="D1554" s="16" t="str">
        <f>IFERROR(__xludf.DUMMYFUNCTION("IF(A1554="""","""",
SPARKLINE(
INDEX(
GOOGLEFINANCE(""IDX:""&amp;A1554,""close"",TODAY()-365,TODAY()),
,2
),
{""linewidth"",1}
))
"),"#N/A")</f>
        <v>#N/A</v>
      </c>
      <c r="E1554" s="14" t="s">
        <v>32</v>
      </c>
      <c r="F1554" s="14" t="s">
        <v>29</v>
      </c>
      <c r="G1554" s="24">
        <f t="shared" si="9"/>
        <v>2</v>
      </c>
      <c r="H1554" s="19">
        <f>VLOOKUP(A1554,Metrik!$C$2:$Y$959,8,0)</f>
        <v>22.3</v>
      </c>
      <c r="I1554" s="20">
        <f>VLOOKUP(A1554,Metrik!$C$2:$Y$959,9,0)</f>
        <v>1.9</v>
      </c>
      <c r="J1554" s="20">
        <f>VLOOKUP(A1554,Metrik!$C$2:$Y$959,10,0)</f>
        <v>8.6</v>
      </c>
      <c r="K1554" s="20">
        <f>VLOOKUP(A1554,Metrik!$C$2:$Y$959,11,0)</f>
        <v>3.4</v>
      </c>
      <c r="L1554" s="20">
        <f>VLOOKUP(A1554,Metrik!$C$2:$Y$959,12,0)</f>
        <v>1.5</v>
      </c>
      <c r="M1554" s="20">
        <f>VLOOKUP(A1554,Metrik!$C$2:$Y$959,19,0)</f>
        <v>8.4</v>
      </c>
      <c r="N1554" s="21"/>
      <c r="O1554" s="21"/>
      <c r="P1554" s="21"/>
      <c r="Q1554" s="21"/>
      <c r="R1554" s="21"/>
      <c r="S1554" s="21"/>
      <c r="T1554" s="21"/>
      <c r="U1554" s="22">
        <f>IFERROR(__xludf.DUMMYFUNCTION("IFERROR(GOOGLEFINANCE(A1554,""closeyest""),"""")"),0.0)</f>
        <v>0</v>
      </c>
      <c r="V1554" s="23">
        <f>IFERROR(__xludf.DUMMYFUNCTION("IFERROR(GOOGLEFINANCE(A1554,""changepct""),"""")"),0.0)</f>
        <v>0</v>
      </c>
      <c r="W1554" s="22" t="str">
        <f>IFERROR(__xludf.DUMMYFUNCTION("IFERROR(GOOGLEFINANCE(A1554,""priceopen""),"""")"),"")</f>
        <v/>
      </c>
      <c r="X1554" s="22" t="str">
        <f>IFERROR(__xludf.DUMMYFUNCTION("IFERROR(GOOGLEFINANCE(A1554,""high""),"""")"),"")</f>
        <v/>
      </c>
      <c r="Y1554" s="22" t="str">
        <f>IFERROR(__xludf.DUMMYFUNCTION("IFERROR(GOOGLEFINANCE(A1554,""low""),"""")"),"")</f>
        <v/>
      </c>
      <c r="Z1554" s="22">
        <f>IFERROR(__xludf.DUMMYFUNCTION("IFERROR(GOOGLEFINANCE(A1554,""volume""),"""")"),0.0)</f>
        <v>0</v>
      </c>
      <c r="AA1554" s="24" t="str">
        <f>VLOOKUP(A1554,Metrik!$C$2:$Y$959,5,0)</f>
        <v>Coal</v>
      </c>
      <c r="AB1554" s="24" t="str">
        <f>VLOOKUP(A1554,Metrik!$C$2:$Y$959,3,0)</f>
        <v>Energy</v>
      </c>
    </row>
    <row r="1555">
      <c r="A1555" s="14" t="s">
        <v>847</v>
      </c>
      <c r="B1555" s="14" t="str">
        <f t="array" ref="B1555">VLOOKUP(A1555,{Metrik!$C$2:$C$998,Metrik!$B$2:$B$998},2,0)</f>
        <v>Prime Agri Resources Tbk.</v>
      </c>
      <c r="C1555" s="15">
        <f>IFERROR(__xludf.DUMMYFUNCTION("GOOGLEFINANCE(""IDX:""&amp;A1555,""price"")"),2840.0)</f>
        <v>2840</v>
      </c>
      <c r="D1555" s="16" t="str">
        <f>IFERROR(__xludf.DUMMYFUNCTION("IF(A1555="""","""",
SPARKLINE(
INDEX(
GOOGLEFINANCE(""IDX:""&amp;A1555,""close"",TODAY()-365,TODAY()),
,2
),
{""linewidth"",1}
))
"),"#N/A")</f>
        <v>#N/A</v>
      </c>
      <c r="E1555" s="14" t="s">
        <v>161</v>
      </c>
      <c r="F1555" s="14" t="s">
        <v>76</v>
      </c>
      <c r="G1555" s="18">
        <f t="shared" si="9"/>
        <v>1</v>
      </c>
      <c r="H1555" s="19">
        <f>VLOOKUP(A1555,Metrik!$C$2:$Y$959,8,0)</f>
        <v>28.4</v>
      </c>
      <c r="I1555" s="20">
        <f>VLOOKUP(A1555,Metrik!$C$2:$Y$959,9,0)</f>
        <v>0.99</v>
      </c>
      <c r="J1555" s="20">
        <f>VLOOKUP(A1555,Metrik!$C$2:$Y$959,10,0)</f>
        <v>3.5</v>
      </c>
      <c r="K1555" s="20">
        <f>VLOOKUP(A1555,Metrik!$C$2:$Y$959,11,0)</f>
        <v>2.1</v>
      </c>
      <c r="L1555" s="20">
        <f>VLOOKUP(A1555,Metrik!$C$2:$Y$959,12,0)</f>
        <v>0.69</v>
      </c>
      <c r="M1555" s="20">
        <f>VLOOKUP(A1555,Metrik!$C$2:$Y$959,19,0)</f>
        <v>14.3</v>
      </c>
      <c r="N1555" s="21"/>
      <c r="O1555" s="21"/>
      <c r="P1555" s="21"/>
      <c r="Q1555" s="21"/>
      <c r="R1555" s="21"/>
      <c r="S1555" s="21"/>
      <c r="T1555" s="21"/>
      <c r="U1555" s="22">
        <f>IFERROR(__xludf.DUMMYFUNCTION("IFERROR(GOOGLEFINANCE(A1555,""closeyest""),"""")"),0.06)</f>
        <v>0.06</v>
      </c>
      <c r="V1555" s="23">
        <f>IFERROR(__xludf.DUMMYFUNCTION("IFERROR(GOOGLEFINANCE(A1555,""changepct""),"""")"),-25.0)</f>
        <v>-25</v>
      </c>
      <c r="W1555" s="22">
        <f>IFERROR(__xludf.DUMMYFUNCTION("IFERROR(GOOGLEFINANCE(A1555,""priceopen""),"""")"),0.05)</f>
        <v>0.05</v>
      </c>
      <c r="X1555" s="22">
        <f>IFERROR(__xludf.DUMMYFUNCTION("IFERROR(GOOGLEFINANCE(A1555,""high""),"""")"),0.05)</f>
        <v>0.05</v>
      </c>
      <c r="Y1555" s="22">
        <f>IFERROR(__xludf.DUMMYFUNCTION("IFERROR(GOOGLEFINANCE(A1555,""low""),"""")"),0.05)</f>
        <v>0.05</v>
      </c>
      <c r="Z1555" s="22">
        <f>IFERROR(__xludf.DUMMYFUNCTION("IFERROR(GOOGLEFINANCE(A1555,""volume""),"""")"),4000.0)</f>
        <v>4000</v>
      </c>
      <c r="AA1555" s="24" t="str">
        <f>VLOOKUP(A1555,Metrik!$C$2:$Y$959,5,0)</f>
        <v>Agricultural Products</v>
      </c>
      <c r="AB1555" s="24" t="str">
        <f>VLOOKUP(A1555,Metrik!$C$2:$Y$959,3,0)</f>
        <v>Consumer Non-Cyclicals</v>
      </c>
    </row>
    <row r="1556">
      <c r="A1556" s="14" t="s">
        <v>848</v>
      </c>
      <c r="B1556" s="14" t="str">
        <f t="array" ref="B1556">VLOOKUP(A1556,{Metrik!$C$2:$C$998,Metrik!$B$2:$B$998},2,0)</f>
        <v>Hotel Sahid Jaya International Tbk.</v>
      </c>
      <c r="C1556" s="15">
        <f>IFERROR(__xludf.DUMMYFUNCTION("GOOGLEFINANCE(""IDX:""&amp;A1556,""price"")"),675.0)</f>
        <v>675</v>
      </c>
      <c r="D1556" s="16" t="str">
        <f>IFERROR(__xludf.DUMMYFUNCTION("IF(A1556="""","""",
SPARKLINE(
INDEX(
GOOGLEFINANCE(""IDX:""&amp;A1556,""close"",TODAY()-365,TODAY()),
,2
),
{""linewidth"",1}
))
"),"#N/A")</f>
        <v>#N/A</v>
      </c>
      <c r="E1556" s="26"/>
      <c r="F1556" s="26"/>
      <c r="G1556" s="24">
        <f t="shared" si="9"/>
        <v>0</v>
      </c>
      <c r="H1556" s="19">
        <f>VLOOKUP(A1556,Metrik!$C$2:$Y$959,8,0)</f>
        <v>-31.8</v>
      </c>
      <c r="I1556" s="20">
        <f>VLOOKUP(A1556,Metrik!$C$2:$Y$959,9,0)</f>
        <v>1.1</v>
      </c>
      <c r="J1556" s="20">
        <f>VLOOKUP(A1556,Metrik!$C$2:$Y$959,10,0)</f>
        <v>-3.5</v>
      </c>
      <c r="K1556" s="20">
        <f>VLOOKUP(A1556,Metrik!$C$2:$Y$959,11,0)</f>
        <v>-2</v>
      </c>
      <c r="L1556" s="20">
        <f>VLOOKUP(A1556,Metrik!$C$2:$Y$959,12,0)</f>
        <v>0.78</v>
      </c>
      <c r="M1556" s="20">
        <f>VLOOKUP(A1556,Metrik!$C$2:$Y$959,19,0)</f>
        <v>-140</v>
      </c>
      <c r="N1556" s="21"/>
      <c r="O1556" s="21"/>
      <c r="P1556" s="21"/>
      <c r="Q1556" s="21"/>
      <c r="R1556" s="21"/>
      <c r="S1556" s="21"/>
      <c r="T1556" s="21"/>
      <c r="U1556" s="22">
        <f>IFERROR(__xludf.DUMMYFUNCTION("IFERROR(GOOGLEFINANCE(A1556,""closeyest""),"""")"),675.0)</f>
        <v>675</v>
      </c>
      <c r="V1556" s="23">
        <f>IFERROR(__xludf.DUMMYFUNCTION("IFERROR(GOOGLEFINANCE(A1556,""changepct""),"""")"),0.0)</f>
        <v>0</v>
      </c>
      <c r="W1556" s="22">
        <f>IFERROR(__xludf.DUMMYFUNCTION("IFERROR(GOOGLEFINANCE(A1556,""priceopen""),"""")"),665.0)</f>
        <v>665</v>
      </c>
      <c r="X1556" s="22">
        <f>IFERROR(__xludf.DUMMYFUNCTION("IFERROR(GOOGLEFINANCE(A1556,""high""),"""")"),675.0)</f>
        <v>675</v>
      </c>
      <c r="Y1556" s="22">
        <f>IFERROR(__xludf.DUMMYFUNCTION("IFERROR(GOOGLEFINANCE(A1556,""low""),"""")"),660.0)</f>
        <v>660</v>
      </c>
      <c r="Z1556" s="22">
        <f>IFERROR(__xludf.DUMMYFUNCTION("IFERROR(GOOGLEFINANCE(A1556,""volume""),"""")"),14700.0)</f>
        <v>14700</v>
      </c>
      <c r="AA1556" s="24" t="str">
        <f>VLOOKUP(A1556,Metrik!$C$2:$Y$959,5,0)</f>
        <v>Tourism &amp; Recreation</v>
      </c>
      <c r="AB1556" s="24" t="str">
        <f>VLOOKUP(A1556,Metrik!$C$2:$Y$959,3,0)</f>
        <v>Consumer Cyclicals</v>
      </c>
    </row>
    <row r="1557">
      <c r="A1557" s="14" t="s">
        <v>849</v>
      </c>
      <c r="B1557" s="14" t="str">
        <f t="array" ref="B1557">VLOOKUP(A1557,{Metrik!$C$2:$C$998,Metrik!$B$2:$B$998},2,0)</f>
        <v>Sillo Maritime Perdana Tbk.</v>
      </c>
      <c r="C1557" s="15">
        <f>IFERROR(__xludf.DUMMYFUNCTION("GOOGLEFINANCE(""IDX:""&amp;A1557,""price"")"),1395.0)</f>
        <v>1395</v>
      </c>
      <c r="D1557" s="16" t="str">
        <f>IFERROR(__xludf.DUMMYFUNCTION("IF(A1557="""","""",
SPARKLINE(
INDEX(
GOOGLEFINANCE(""IDX:""&amp;A1557,""close"",TODAY()-365,TODAY()),
,2
),
{""linewidth"",1}
))
"),"#N/A")</f>
        <v>#N/A</v>
      </c>
      <c r="E1557" s="26"/>
      <c r="F1557" s="26"/>
      <c r="G1557" s="24">
        <f t="shared" si="9"/>
        <v>0</v>
      </c>
      <c r="H1557" s="19">
        <f>VLOOKUP(A1557,Metrik!$C$2:$Y$959,8,0)</f>
        <v>14.7</v>
      </c>
      <c r="I1557" s="20">
        <f>VLOOKUP(A1557,Metrik!$C$2:$Y$959,9,0)</f>
        <v>1.2</v>
      </c>
      <c r="J1557" s="20">
        <f>VLOOKUP(A1557,Metrik!$C$2:$Y$959,10,0)</f>
        <v>8.1</v>
      </c>
      <c r="K1557" s="20">
        <f>VLOOKUP(A1557,Metrik!$C$2:$Y$959,11,0)</f>
        <v>3.5</v>
      </c>
      <c r="L1557" s="20">
        <f>VLOOKUP(A1557,Metrik!$C$2:$Y$959,12,0)</f>
        <v>1.3</v>
      </c>
      <c r="M1557" s="20">
        <f>VLOOKUP(A1557,Metrik!$C$2:$Y$959,19,0)</f>
        <v>31.6</v>
      </c>
      <c r="N1557" s="21"/>
      <c r="O1557" s="21"/>
      <c r="P1557" s="21"/>
      <c r="Q1557" s="21"/>
      <c r="R1557" s="21"/>
      <c r="S1557" s="21"/>
      <c r="T1557" s="21"/>
      <c r="U1557" s="22">
        <f>IFERROR(__xludf.DUMMYFUNCTION("IFERROR(GOOGLEFINANCE(A1557,""closeyest""),"""")"),15.6)</f>
        <v>15.6</v>
      </c>
      <c r="V1557" s="23">
        <f>IFERROR(__xludf.DUMMYFUNCTION("IFERROR(GOOGLEFINANCE(A1557,""changepct""),"""")"),6.03)</f>
        <v>6.03</v>
      </c>
      <c r="W1557" s="22">
        <f>IFERROR(__xludf.DUMMYFUNCTION("IFERROR(GOOGLEFINANCE(A1557,""priceopen""),"""")"),15.64)</f>
        <v>15.64</v>
      </c>
      <c r="X1557" s="22">
        <f>IFERROR(__xludf.DUMMYFUNCTION("IFERROR(GOOGLEFINANCE(A1557,""high""),"""")"),16.66)</f>
        <v>16.66</v>
      </c>
      <c r="Y1557" s="22">
        <f>IFERROR(__xludf.DUMMYFUNCTION("IFERROR(GOOGLEFINANCE(A1557,""low""),"""")"),15.61)</f>
        <v>15.61</v>
      </c>
      <c r="Z1557" s="22">
        <f>IFERROR(__xludf.DUMMYFUNCTION("IFERROR(GOOGLEFINANCE(A1557,""volume""),"""")"),253413.0)</f>
        <v>253413</v>
      </c>
      <c r="AA1557" s="24" t="str">
        <f>VLOOKUP(A1557,Metrik!$C$2:$Y$959,5,0)</f>
        <v>Oil &amp; Gas</v>
      </c>
      <c r="AB1557" s="24" t="str">
        <f>VLOOKUP(A1557,Metrik!$C$2:$Y$959,3,0)</f>
        <v>Energy</v>
      </c>
    </row>
    <row r="1558">
      <c r="A1558" s="14" t="s">
        <v>850</v>
      </c>
      <c r="B1558" s="14" t="str">
        <f t="array" ref="B1558">VLOOKUP(A1558,{Metrik!$C$2:$C$998,Metrik!$B$2:$B$998},2,0)</f>
        <v>Sigma Energy Compressindo Tbk.</v>
      </c>
      <c r="C1558" s="15">
        <f>IFERROR(__xludf.DUMMYFUNCTION("GOOGLEFINANCE(""IDX:""&amp;A1558,""price"")"),103.0)</f>
        <v>103</v>
      </c>
      <c r="D1558" s="16" t="str">
        <f>IFERROR(__xludf.DUMMYFUNCTION("IF(A1558="""","""",
SPARKLINE(
INDEX(
GOOGLEFINANCE(""IDX:""&amp;A1558,""close"",TODAY()-365,TODAY()),
,2
),
{""linewidth"",1}
))
"),"#N/A")</f>
        <v>#N/A</v>
      </c>
      <c r="E1558" s="26"/>
      <c r="F1558" s="26"/>
      <c r="G1558" s="24">
        <f t="shared" si="9"/>
        <v>0</v>
      </c>
      <c r="H1558" s="19">
        <f>VLOOKUP(A1558,Metrik!$C$2:$Y$959,8,0)</f>
        <v>7.3</v>
      </c>
      <c r="I1558" s="20">
        <f>VLOOKUP(A1558,Metrik!$C$2:$Y$959,9,0)</f>
        <v>0.72</v>
      </c>
      <c r="J1558" s="20">
        <f>VLOOKUP(A1558,Metrik!$C$2:$Y$959,10,0)</f>
        <v>9.9</v>
      </c>
      <c r="K1558" s="20">
        <f>VLOOKUP(A1558,Metrik!$C$2:$Y$959,11,0)</f>
        <v>7.6</v>
      </c>
      <c r="L1558" s="20">
        <f>VLOOKUP(A1558,Metrik!$C$2:$Y$959,12,0)</f>
        <v>0.3</v>
      </c>
      <c r="M1558" s="20">
        <f>VLOOKUP(A1558,Metrik!$C$2:$Y$959,19,0)</f>
        <v>35.6</v>
      </c>
      <c r="N1558" s="21"/>
      <c r="O1558" s="21"/>
      <c r="P1558" s="21"/>
      <c r="Q1558" s="21"/>
      <c r="R1558" s="21"/>
      <c r="S1558" s="21"/>
      <c r="T1558" s="21"/>
      <c r="U1558" s="22">
        <f>IFERROR(__xludf.DUMMYFUNCTION("IFERROR(GOOGLEFINANCE(A1558,""closeyest""),"""")"),7.8)</f>
        <v>7.8</v>
      </c>
      <c r="V1558" s="23">
        <f>IFERROR(__xludf.DUMMYFUNCTION("IFERROR(GOOGLEFINANCE(A1558,""changepct""),"""")"),1.92)</f>
        <v>1.92</v>
      </c>
      <c r="W1558" s="22">
        <f>IFERROR(__xludf.DUMMYFUNCTION("IFERROR(GOOGLEFINANCE(A1558,""priceopen""),"""")"),7.86)</f>
        <v>7.86</v>
      </c>
      <c r="X1558" s="22">
        <f>IFERROR(__xludf.DUMMYFUNCTION("IFERROR(GOOGLEFINANCE(A1558,""high""),"""")"),8.2)</f>
        <v>8.2</v>
      </c>
      <c r="Y1558" s="22">
        <f>IFERROR(__xludf.DUMMYFUNCTION("IFERROR(GOOGLEFINANCE(A1558,""low""),"""")"),7.29)</f>
        <v>7.29</v>
      </c>
      <c r="Z1558" s="22">
        <f>IFERROR(__xludf.DUMMYFUNCTION("IFERROR(GOOGLEFINANCE(A1558,""volume""),"""")"),242722.0)</f>
        <v>242722</v>
      </c>
      <c r="AA1558" s="24" t="str">
        <f>VLOOKUP(A1558,Metrik!$C$2:$Y$959,5,0)</f>
        <v>Oil, Gas &amp; Coal Supports</v>
      </c>
      <c r="AB1558" s="24" t="str">
        <f>VLOOKUP(A1558,Metrik!$C$2:$Y$959,3,0)</f>
        <v>Energy</v>
      </c>
    </row>
    <row r="1559">
      <c r="A1559" s="14" t="s">
        <v>851</v>
      </c>
      <c r="B1559" s="14" t="str">
        <f t="array" ref="B1559">VLOOKUP(A1559,{Metrik!$C$2:$C$998,Metrik!$B$2:$B$998},2,0)</f>
        <v>Industri Jamu dan Farmasi Sido Muncul Tbk.</v>
      </c>
      <c r="C1559" s="15">
        <f>IFERROR(__xludf.DUMMYFUNCTION("GOOGLEFINANCE(""IDX:""&amp;A1559,""price"")"),368.0)</f>
        <v>368</v>
      </c>
      <c r="D1559" s="16" t="str">
        <f>IFERROR(__xludf.DUMMYFUNCTION("IF(A1559="""","""",
SPARKLINE(
INDEX(
GOOGLEFINANCE(""IDX:""&amp;A1559,""close"",TODAY()-365,TODAY()),
,2
),
{""linewidth"",1}
))
"),"#N/A")</f>
        <v>#N/A</v>
      </c>
      <c r="E1559" s="14" t="s">
        <v>47</v>
      </c>
      <c r="F1559" s="25">
        <v>46356.0</v>
      </c>
      <c r="G1559" s="24">
        <f t="shared" si="9"/>
        <v>11</v>
      </c>
      <c r="H1559" s="19">
        <f>VLOOKUP(A1559,Metrik!$C$2:$Y$959,8,0)</f>
        <v>10.1</v>
      </c>
      <c r="I1559" s="20">
        <f>VLOOKUP(A1559,Metrik!$C$2:$Y$959,9,0)</f>
        <v>3.5</v>
      </c>
      <c r="J1559" s="20">
        <f>VLOOKUP(A1559,Metrik!$C$2:$Y$959,10,0)</f>
        <v>35.1</v>
      </c>
      <c r="K1559" s="20">
        <f>VLOOKUP(A1559,Metrik!$C$2:$Y$959,11,0)</f>
        <v>31.4</v>
      </c>
      <c r="L1559" s="20">
        <f>VLOOKUP(A1559,Metrik!$C$2:$Y$959,12,0)</f>
        <v>0.12</v>
      </c>
      <c r="M1559" s="20">
        <f>VLOOKUP(A1559,Metrik!$C$2:$Y$959,19,0)</f>
        <v>180</v>
      </c>
      <c r="N1559" s="21"/>
      <c r="O1559" s="21"/>
      <c r="P1559" s="21"/>
      <c r="Q1559" s="21"/>
      <c r="R1559" s="21"/>
      <c r="S1559" s="21"/>
      <c r="T1559" s="21"/>
      <c r="U1559" s="22">
        <f>IFERROR(__xludf.DUMMYFUNCTION("IFERROR(GOOGLEFINANCE(A1559,""closeyest""),"""")"),370.0)</f>
        <v>370</v>
      </c>
      <c r="V1559" s="23" t="str">
        <f>IFERROR(__xludf.DUMMYFUNCTION("IFERROR(GOOGLEFINANCE(A1559,""changepct""),"""")"),"")</f>
        <v/>
      </c>
      <c r="W1559" s="22">
        <f>IFERROR(__xludf.DUMMYFUNCTION("IFERROR(GOOGLEFINANCE(A1559,""priceopen""),"""")"),370.0)</f>
        <v>370</v>
      </c>
      <c r="X1559" s="22">
        <f>IFERROR(__xludf.DUMMYFUNCTION("IFERROR(GOOGLEFINANCE(A1559,""high""),"""")"),378.0)</f>
        <v>378</v>
      </c>
      <c r="Y1559" s="22">
        <f>IFERROR(__xludf.DUMMYFUNCTION("IFERROR(GOOGLEFINANCE(A1559,""low""),"""")"),368.0)</f>
        <v>368</v>
      </c>
      <c r="Z1559" s="22">
        <f>IFERROR(__xludf.DUMMYFUNCTION("IFERROR(GOOGLEFINANCE(A1559,""volume""),"""")"),2.17427E7)</f>
        <v>21742700</v>
      </c>
      <c r="AA1559" s="24" t="str">
        <f>VLOOKUP(A1559,Metrik!$C$2:$Y$959,5,0)</f>
        <v>Pharmaceuticals</v>
      </c>
      <c r="AB1559" s="24" t="str">
        <f>VLOOKUP(A1559,Metrik!$C$2:$Y$959,3,0)</f>
        <v>Healthcare</v>
      </c>
    </row>
    <row r="1560">
      <c r="A1560" s="14" t="s">
        <v>851</v>
      </c>
      <c r="B1560" s="14" t="str">
        <f t="array" ref="B1560">VLOOKUP(A1560,{Metrik!$C$2:$C$998,Metrik!$B$2:$B$998},2,0)</f>
        <v>Industri Jamu dan Farmasi Sido Muncul Tbk.</v>
      </c>
      <c r="C1560" s="15">
        <f>IFERROR(__xludf.DUMMYFUNCTION("GOOGLEFINANCE(""IDX:""&amp;A1560,""price"")"),368.0)</f>
        <v>368</v>
      </c>
      <c r="D1560" s="16" t="str">
        <f>IFERROR(__xludf.DUMMYFUNCTION("IF(A1560="""","""",
SPARKLINE(
INDEX(
GOOGLEFINANCE(""IDX:""&amp;A1560,""close"",TODAY()-365,TODAY()),
,2
),
{""linewidth"",1}
))
"),"#N/A")</f>
        <v>#N/A</v>
      </c>
      <c r="E1560" s="14" t="s">
        <v>42</v>
      </c>
      <c r="F1560" s="25">
        <v>46356.0</v>
      </c>
      <c r="G1560" s="24">
        <f t="shared" si="9"/>
        <v>11</v>
      </c>
      <c r="H1560" s="19">
        <f>VLOOKUP(A1560,Metrik!$C$2:$Y$959,8,0)</f>
        <v>10.1</v>
      </c>
      <c r="I1560" s="20">
        <f>VLOOKUP(A1560,Metrik!$C$2:$Y$959,9,0)</f>
        <v>3.5</v>
      </c>
      <c r="J1560" s="20">
        <f>VLOOKUP(A1560,Metrik!$C$2:$Y$959,10,0)</f>
        <v>35.1</v>
      </c>
      <c r="K1560" s="20">
        <f>VLOOKUP(A1560,Metrik!$C$2:$Y$959,11,0)</f>
        <v>31.4</v>
      </c>
      <c r="L1560" s="20">
        <f>VLOOKUP(A1560,Metrik!$C$2:$Y$959,12,0)</f>
        <v>0.12</v>
      </c>
      <c r="M1560" s="20">
        <f>VLOOKUP(A1560,Metrik!$C$2:$Y$959,19,0)</f>
        <v>180</v>
      </c>
      <c r="N1560" s="21"/>
      <c r="O1560" s="21"/>
      <c r="P1560" s="21"/>
      <c r="Q1560" s="21"/>
      <c r="R1560" s="21"/>
      <c r="S1560" s="21"/>
      <c r="T1560" s="21"/>
      <c r="U1560" s="22">
        <f>IFERROR(__xludf.DUMMYFUNCTION("IFERROR(GOOGLEFINANCE(A1560,""closeyest""),"""")"),370.0)</f>
        <v>370</v>
      </c>
      <c r="V1560" s="23" t="str">
        <f>IFERROR(__xludf.DUMMYFUNCTION("IFERROR(GOOGLEFINANCE(A1560,""changepct""),"""")"),"")</f>
        <v/>
      </c>
      <c r="W1560" s="22">
        <f>IFERROR(__xludf.DUMMYFUNCTION("IFERROR(GOOGLEFINANCE(A1560,""priceopen""),"""")"),370.0)</f>
        <v>370</v>
      </c>
      <c r="X1560" s="22">
        <f>IFERROR(__xludf.DUMMYFUNCTION("IFERROR(GOOGLEFINANCE(A1560,""high""),"""")"),378.0)</f>
        <v>378</v>
      </c>
      <c r="Y1560" s="22">
        <f>IFERROR(__xludf.DUMMYFUNCTION("IFERROR(GOOGLEFINANCE(A1560,""low""),"""")"),368.0)</f>
        <v>368</v>
      </c>
      <c r="Z1560" s="22">
        <f>IFERROR(__xludf.DUMMYFUNCTION("IFERROR(GOOGLEFINANCE(A1560,""volume""),"""")"),2.17427E7)</f>
        <v>21742700</v>
      </c>
      <c r="AA1560" s="24" t="str">
        <f>VLOOKUP(A1560,Metrik!$C$2:$Y$959,5,0)</f>
        <v>Pharmaceuticals</v>
      </c>
      <c r="AB1560" s="24" t="str">
        <f>VLOOKUP(A1560,Metrik!$C$2:$Y$959,3,0)</f>
        <v>Healthcare</v>
      </c>
    </row>
    <row r="1561">
      <c r="A1561" s="14" t="s">
        <v>851</v>
      </c>
      <c r="B1561" s="14" t="str">
        <f t="array" ref="B1561">VLOOKUP(A1561,{Metrik!$C$2:$C$998,Metrik!$B$2:$B$998},2,0)</f>
        <v>Industri Jamu dan Farmasi Sido Muncul Tbk.</v>
      </c>
      <c r="C1561" s="15">
        <f>IFERROR(__xludf.DUMMYFUNCTION("GOOGLEFINANCE(""IDX:""&amp;A1561,""price"")"),368.0)</f>
        <v>368</v>
      </c>
      <c r="D1561" s="16" t="str">
        <f>IFERROR(__xludf.DUMMYFUNCTION("IF(A1561="""","""",
SPARKLINE(
INDEX(
GOOGLEFINANCE(""IDX:""&amp;A1561,""close"",TODAY()-365,TODAY()),
,2
),
{""linewidth"",1}
))
"),"#N/A")</f>
        <v>#N/A</v>
      </c>
      <c r="E1561" s="14" t="s">
        <v>55</v>
      </c>
      <c r="F1561" s="25">
        <v>46356.0</v>
      </c>
      <c r="G1561" s="24">
        <f t="shared" si="9"/>
        <v>11</v>
      </c>
      <c r="H1561" s="19">
        <f>VLOOKUP(A1561,Metrik!$C$2:$Y$959,8,0)</f>
        <v>10.1</v>
      </c>
      <c r="I1561" s="20">
        <f>VLOOKUP(A1561,Metrik!$C$2:$Y$959,9,0)</f>
        <v>3.5</v>
      </c>
      <c r="J1561" s="20">
        <f>VLOOKUP(A1561,Metrik!$C$2:$Y$959,10,0)</f>
        <v>35.1</v>
      </c>
      <c r="K1561" s="20">
        <f>VLOOKUP(A1561,Metrik!$C$2:$Y$959,11,0)</f>
        <v>31.4</v>
      </c>
      <c r="L1561" s="20">
        <f>VLOOKUP(A1561,Metrik!$C$2:$Y$959,12,0)</f>
        <v>0.12</v>
      </c>
      <c r="M1561" s="20">
        <f>VLOOKUP(A1561,Metrik!$C$2:$Y$959,19,0)</f>
        <v>180</v>
      </c>
      <c r="N1561" s="21"/>
      <c r="O1561" s="21"/>
      <c r="P1561" s="21"/>
      <c r="Q1561" s="21"/>
      <c r="R1561" s="21"/>
      <c r="S1561" s="21"/>
      <c r="T1561" s="21"/>
      <c r="U1561" s="22">
        <f>IFERROR(__xludf.DUMMYFUNCTION("IFERROR(GOOGLEFINANCE(A1561,""closeyest""),"""")"),370.0)</f>
        <v>370</v>
      </c>
      <c r="V1561" s="23" t="str">
        <f>IFERROR(__xludf.DUMMYFUNCTION("IFERROR(GOOGLEFINANCE(A1561,""changepct""),"""")"),"")</f>
        <v/>
      </c>
      <c r="W1561" s="22">
        <f>IFERROR(__xludf.DUMMYFUNCTION("IFERROR(GOOGLEFINANCE(A1561,""priceopen""),"""")"),370.0)</f>
        <v>370</v>
      </c>
      <c r="X1561" s="22">
        <f>IFERROR(__xludf.DUMMYFUNCTION("IFERROR(GOOGLEFINANCE(A1561,""high""),"""")"),378.0)</f>
        <v>378</v>
      </c>
      <c r="Y1561" s="22">
        <f>IFERROR(__xludf.DUMMYFUNCTION("IFERROR(GOOGLEFINANCE(A1561,""low""),"""")"),368.0)</f>
        <v>368</v>
      </c>
      <c r="Z1561" s="22">
        <f>IFERROR(__xludf.DUMMYFUNCTION("IFERROR(GOOGLEFINANCE(A1561,""volume""),"""")"),2.17427E7)</f>
        <v>21742700</v>
      </c>
      <c r="AA1561" s="24" t="str">
        <f>VLOOKUP(A1561,Metrik!$C$2:$Y$959,5,0)</f>
        <v>Pharmaceuticals</v>
      </c>
      <c r="AB1561" s="24" t="str">
        <f>VLOOKUP(A1561,Metrik!$C$2:$Y$959,3,0)</f>
        <v>Healthcare</v>
      </c>
    </row>
    <row r="1562">
      <c r="A1562" s="14" t="s">
        <v>851</v>
      </c>
      <c r="B1562" s="14" t="str">
        <f t="array" ref="B1562">VLOOKUP(A1562,{Metrik!$C$2:$C$998,Metrik!$B$2:$B$998},2,0)</f>
        <v>Industri Jamu dan Farmasi Sido Muncul Tbk.</v>
      </c>
      <c r="C1562" s="15">
        <f>IFERROR(__xludf.DUMMYFUNCTION("GOOGLEFINANCE(""IDX:""&amp;A1562,""price"")"),368.0)</f>
        <v>368</v>
      </c>
      <c r="D1562" s="16" t="str">
        <f>IFERROR(__xludf.DUMMYFUNCTION("IF(A1562="""","""",
SPARKLINE(
INDEX(
GOOGLEFINANCE(""IDX:""&amp;A1562,""close"",TODAY()-365,TODAY()),
,2
),
{""linewidth"",1}
))
"),"#N/A")</f>
        <v>#N/A</v>
      </c>
      <c r="E1562" s="14" t="s">
        <v>54</v>
      </c>
      <c r="F1562" s="14" t="s">
        <v>34</v>
      </c>
      <c r="G1562" s="24">
        <f t="shared" si="9"/>
        <v>11</v>
      </c>
      <c r="H1562" s="19">
        <f>VLOOKUP(A1562,Metrik!$C$2:$Y$959,8,0)</f>
        <v>10.1</v>
      </c>
      <c r="I1562" s="20">
        <f>VLOOKUP(A1562,Metrik!$C$2:$Y$959,9,0)</f>
        <v>3.5</v>
      </c>
      <c r="J1562" s="20">
        <f>VLOOKUP(A1562,Metrik!$C$2:$Y$959,10,0)</f>
        <v>35.1</v>
      </c>
      <c r="K1562" s="20">
        <f>VLOOKUP(A1562,Metrik!$C$2:$Y$959,11,0)</f>
        <v>31.4</v>
      </c>
      <c r="L1562" s="20">
        <f>VLOOKUP(A1562,Metrik!$C$2:$Y$959,12,0)</f>
        <v>0.12</v>
      </c>
      <c r="M1562" s="20">
        <f>VLOOKUP(A1562,Metrik!$C$2:$Y$959,19,0)</f>
        <v>180</v>
      </c>
      <c r="N1562" s="21"/>
      <c r="O1562" s="21"/>
      <c r="P1562" s="21"/>
      <c r="Q1562" s="21"/>
      <c r="R1562" s="21"/>
      <c r="S1562" s="21"/>
      <c r="T1562" s="21"/>
      <c r="U1562" s="22">
        <f>IFERROR(__xludf.DUMMYFUNCTION("IFERROR(GOOGLEFINANCE(A1562,""closeyest""),"""")"),370.0)</f>
        <v>370</v>
      </c>
      <c r="V1562" s="23" t="str">
        <f>IFERROR(__xludf.DUMMYFUNCTION("IFERROR(GOOGLEFINANCE(A1562,""changepct""),"""")"),"")</f>
        <v/>
      </c>
      <c r="W1562" s="22">
        <f>IFERROR(__xludf.DUMMYFUNCTION("IFERROR(GOOGLEFINANCE(A1562,""priceopen""),"""")"),370.0)</f>
        <v>370</v>
      </c>
      <c r="X1562" s="22">
        <f>IFERROR(__xludf.DUMMYFUNCTION("IFERROR(GOOGLEFINANCE(A1562,""high""),"""")"),378.0)</f>
        <v>378</v>
      </c>
      <c r="Y1562" s="22">
        <f>IFERROR(__xludf.DUMMYFUNCTION("IFERROR(GOOGLEFINANCE(A1562,""low""),"""")"),368.0)</f>
        <v>368</v>
      </c>
      <c r="Z1562" s="22">
        <f>IFERROR(__xludf.DUMMYFUNCTION("IFERROR(GOOGLEFINANCE(A1562,""volume""),"""")"),2.17427E7)</f>
        <v>21742700</v>
      </c>
      <c r="AA1562" s="24" t="str">
        <f>VLOOKUP(A1562,Metrik!$C$2:$Y$959,5,0)</f>
        <v>Pharmaceuticals</v>
      </c>
      <c r="AB1562" s="24" t="str">
        <f>VLOOKUP(A1562,Metrik!$C$2:$Y$959,3,0)</f>
        <v>Healthcare</v>
      </c>
    </row>
    <row r="1563">
      <c r="A1563" s="14" t="s">
        <v>851</v>
      </c>
      <c r="B1563" s="14" t="str">
        <f t="array" ref="B1563">VLOOKUP(A1563,{Metrik!$C$2:$C$998,Metrik!$B$2:$B$998},2,0)</f>
        <v>Industri Jamu dan Farmasi Sido Muncul Tbk.</v>
      </c>
      <c r="C1563" s="15">
        <f>IFERROR(__xludf.DUMMYFUNCTION("GOOGLEFINANCE(""IDX:""&amp;A1563,""price"")"),368.0)</f>
        <v>368</v>
      </c>
      <c r="D1563" s="16" t="str">
        <f>IFERROR(__xludf.DUMMYFUNCTION("IF(A1563="""","""",
SPARKLINE(
INDEX(
GOOGLEFINANCE(""IDX:""&amp;A1563,""close"",TODAY()-365,TODAY()),
,2
),
{""linewidth"",1}
))
"),"#N/A")</f>
        <v>#N/A</v>
      </c>
      <c r="E1563" s="14" t="s">
        <v>102</v>
      </c>
      <c r="F1563" s="27" t="s">
        <v>53</v>
      </c>
      <c r="G1563" s="24">
        <f t="shared" si="9"/>
        <v>11</v>
      </c>
      <c r="H1563" s="19">
        <f>VLOOKUP(A1563,Metrik!$C$2:$Y$959,8,0)</f>
        <v>10.1</v>
      </c>
      <c r="I1563" s="20">
        <f>VLOOKUP(A1563,Metrik!$C$2:$Y$959,9,0)</f>
        <v>3.5</v>
      </c>
      <c r="J1563" s="20">
        <f>VLOOKUP(A1563,Metrik!$C$2:$Y$959,10,0)</f>
        <v>35.1</v>
      </c>
      <c r="K1563" s="20">
        <f>VLOOKUP(A1563,Metrik!$C$2:$Y$959,11,0)</f>
        <v>31.4</v>
      </c>
      <c r="L1563" s="20">
        <f>VLOOKUP(A1563,Metrik!$C$2:$Y$959,12,0)</f>
        <v>0.12</v>
      </c>
      <c r="M1563" s="20">
        <f>VLOOKUP(A1563,Metrik!$C$2:$Y$959,19,0)</f>
        <v>180</v>
      </c>
      <c r="N1563" s="21"/>
      <c r="O1563" s="21"/>
      <c r="P1563" s="21"/>
      <c r="Q1563" s="21"/>
      <c r="R1563" s="21"/>
      <c r="S1563" s="21"/>
      <c r="T1563" s="21"/>
      <c r="U1563" s="22">
        <f>IFERROR(__xludf.DUMMYFUNCTION("IFERROR(GOOGLEFINANCE(A1563,""closeyest""),"""")"),370.0)</f>
        <v>370</v>
      </c>
      <c r="V1563" s="23" t="str">
        <f>IFERROR(__xludf.DUMMYFUNCTION("IFERROR(GOOGLEFINANCE(A1563,""changepct""),"""")"),"")</f>
        <v/>
      </c>
      <c r="W1563" s="22">
        <f>IFERROR(__xludf.DUMMYFUNCTION("IFERROR(GOOGLEFINANCE(A1563,""priceopen""),"""")"),370.0)</f>
        <v>370</v>
      </c>
      <c r="X1563" s="22">
        <f>IFERROR(__xludf.DUMMYFUNCTION("IFERROR(GOOGLEFINANCE(A1563,""high""),"""")"),378.0)</f>
        <v>378</v>
      </c>
      <c r="Y1563" s="22">
        <f>IFERROR(__xludf.DUMMYFUNCTION("IFERROR(GOOGLEFINANCE(A1563,""low""),"""")"),368.0)</f>
        <v>368</v>
      </c>
      <c r="Z1563" s="22">
        <f>IFERROR(__xludf.DUMMYFUNCTION("IFERROR(GOOGLEFINANCE(A1563,""volume""),"""")"),2.17427E7)</f>
        <v>21742700</v>
      </c>
      <c r="AA1563" s="24" t="str">
        <f>VLOOKUP(A1563,Metrik!$C$2:$Y$959,5,0)</f>
        <v>Pharmaceuticals</v>
      </c>
      <c r="AB1563" s="24" t="str">
        <f>VLOOKUP(A1563,Metrik!$C$2:$Y$959,3,0)</f>
        <v>Healthcare</v>
      </c>
    </row>
    <row r="1564">
      <c r="A1564" s="14" t="s">
        <v>851</v>
      </c>
      <c r="B1564" s="14" t="str">
        <f t="array" ref="B1564">VLOOKUP(A1564,{Metrik!$C$2:$C$998,Metrik!$B$2:$B$998},2,0)</f>
        <v>Industri Jamu dan Farmasi Sido Muncul Tbk.</v>
      </c>
      <c r="C1564" s="15">
        <f>IFERROR(__xludf.DUMMYFUNCTION("GOOGLEFINANCE(""IDX:""&amp;A1564,""price"")"),368.0)</f>
        <v>368</v>
      </c>
      <c r="D1564" s="16" t="str">
        <f>IFERROR(__xludf.DUMMYFUNCTION("IF(A1564="""","""",
SPARKLINE(
INDEX(
GOOGLEFINANCE(""IDX:""&amp;A1564,""close"",TODAY()-365,TODAY()),
,2
),
{""linewidth"",1}
))
"),"#N/A")</f>
        <v>#N/A</v>
      </c>
      <c r="E1564" s="14" t="s">
        <v>32</v>
      </c>
      <c r="F1564" s="14" t="s">
        <v>29</v>
      </c>
      <c r="G1564" s="24">
        <f t="shared" si="9"/>
        <v>11</v>
      </c>
      <c r="H1564" s="19">
        <f>VLOOKUP(A1564,Metrik!$C$2:$Y$959,8,0)</f>
        <v>10.1</v>
      </c>
      <c r="I1564" s="20">
        <f>VLOOKUP(A1564,Metrik!$C$2:$Y$959,9,0)</f>
        <v>3.5</v>
      </c>
      <c r="J1564" s="20">
        <f>VLOOKUP(A1564,Metrik!$C$2:$Y$959,10,0)</f>
        <v>35.1</v>
      </c>
      <c r="K1564" s="20">
        <f>VLOOKUP(A1564,Metrik!$C$2:$Y$959,11,0)</f>
        <v>31.4</v>
      </c>
      <c r="L1564" s="20">
        <f>VLOOKUP(A1564,Metrik!$C$2:$Y$959,12,0)</f>
        <v>0.12</v>
      </c>
      <c r="M1564" s="20">
        <f>VLOOKUP(A1564,Metrik!$C$2:$Y$959,19,0)</f>
        <v>180</v>
      </c>
      <c r="N1564" s="21"/>
      <c r="O1564" s="21"/>
      <c r="P1564" s="21"/>
      <c r="Q1564" s="21"/>
      <c r="R1564" s="21"/>
      <c r="S1564" s="21"/>
      <c r="T1564" s="21"/>
      <c r="U1564" s="22">
        <f>IFERROR(__xludf.DUMMYFUNCTION("IFERROR(GOOGLEFINANCE(A1564,""closeyest""),"""")"),370.0)</f>
        <v>370</v>
      </c>
      <c r="V1564" s="23" t="str">
        <f>IFERROR(__xludf.DUMMYFUNCTION("IFERROR(GOOGLEFINANCE(A1564,""changepct""),"""")"),"")</f>
        <v/>
      </c>
      <c r="W1564" s="22">
        <f>IFERROR(__xludf.DUMMYFUNCTION("IFERROR(GOOGLEFINANCE(A1564,""priceopen""),"""")"),370.0)</f>
        <v>370</v>
      </c>
      <c r="X1564" s="22">
        <f>IFERROR(__xludf.DUMMYFUNCTION("IFERROR(GOOGLEFINANCE(A1564,""high""),"""")"),378.0)</f>
        <v>378</v>
      </c>
      <c r="Y1564" s="22">
        <f>IFERROR(__xludf.DUMMYFUNCTION("IFERROR(GOOGLEFINANCE(A1564,""low""),"""")"),368.0)</f>
        <v>368</v>
      </c>
      <c r="Z1564" s="22">
        <f>IFERROR(__xludf.DUMMYFUNCTION("IFERROR(GOOGLEFINANCE(A1564,""volume""),"""")"),2.17427E7)</f>
        <v>21742700</v>
      </c>
      <c r="AA1564" s="24" t="str">
        <f>VLOOKUP(A1564,Metrik!$C$2:$Y$959,5,0)</f>
        <v>Pharmaceuticals</v>
      </c>
      <c r="AB1564" s="24" t="str">
        <f>VLOOKUP(A1564,Metrik!$C$2:$Y$959,3,0)</f>
        <v>Healthcare</v>
      </c>
    </row>
    <row r="1565">
      <c r="A1565" s="14" t="s">
        <v>851</v>
      </c>
      <c r="B1565" s="14" t="str">
        <f t="array" ref="B1565">VLOOKUP(A1565,{Metrik!$C$2:$C$998,Metrik!$B$2:$B$998},2,0)</f>
        <v>Industri Jamu dan Farmasi Sido Muncul Tbk.</v>
      </c>
      <c r="C1565" s="15">
        <f>IFERROR(__xludf.DUMMYFUNCTION("GOOGLEFINANCE(""IDX:""&amp;A1565,""price"")"),368.0)</f>
        <v>368</v>
      </c>
      <c r="D1565" s="16" t="str">
        <f>IFERROR(__xludf.DUMMYFUNCTION("IF(A1565="""","""",
SPARKLINE(
INDEX(
GOOGLEFINANCE(""IDX:""&amp;A1565,""close"",TODAY()-365,TODAY()),
,2
),
{""linewidth"",1}
))
"),"#N/A")</f>
        <v>#N/A</v>
      </c>
      <c r="E1565" s="14" t="s">
        <v>50</v>
      </c>
      <c r="F1565" s="17" t="s">
        <v>51</v>
      </c>
      <c r="G1565" s="24">
        <f t="shared" si="9"/>
        <v>11</v>
      </c>
      <c r="H1565" s="19">
        <f>VLOOKUP(A1565,Metrik!$C$2:$Y$959,8,0)</f>
        <v>10.1</v>
      </c>
      <c r="I1565" s="20">
        <f>VLOOKUP(A1565,Metrik!$C$2:$Y$959,9,0)</f>
        <v>3.5</v>
      </c>
      <c r="J1565" s="20">
        <f>VLOOKUP(A1565,Metrik!$C$2:$Y$959,10,0)</f>
        <v>35.1</v>
      </c>
      <c r="K1565" s="20">
        <f>VLOOKUP(A1565,Metrik!$C$2:$Y$959,11,0)</f>
        <v>31.4</v>
      </c>
      <c r="L1565" s="20">
        <f>VLOOKUP(A1565,Metrik!$C$2:$Y$959,12,0)</f>
        <v>0.12</v>
      </c>
      <c r="M1565" s="20">
        <f>VLOOKUP(A1565,Metrik!$C$2:$Y$959,19,0)</f>
        <v>180</v>
      </c>
      <c r="N1565" s="21"/>
      <c r="O1565" s="21"/>
      <c r="P1565" s="21"/>
      <c r="Q1565" s="21"/>
      <c r="R1565" s="21"/>
      <c r="S1565" s="21"/>
      <c r="T1565" s="21"/>
      <c r="U1565" s="22">
        <f>IFERROR(__xludf.DUMMYFUNCTION("IFERROR(GOOGLEFINANCE(A1565,""closeyest""),"""")"),370.0)</f>
        <v>370</v>
      </c>
      <c r="V1565" s="23" t="str">
        <f>IFERROR(__xludf.DUMMYFUNCTION("IFERROR(GOOGLEFINANCE(A1565,""changepct""),"""")"),"")</f>
        <v/>
      </c>
      <c r="W1565" s="22">
        <f>IFERROR(__xludf.DUMMYFUNCTION("IFERROR(GOOGLEFINANCE(A1565,""priceopen""),"""")"),370.0)</f>
        <v>370</v>
      </c>
      <c r="X1565" s="22">
        <f>IFERROR(__xludf.DUMMYFUNCTION("IFERROR(GOOGLEFINANCE(A1565,""high""),"""")"),378.0)</f>
        <v>378</v>
      </c>
      <c r="Y1565" s="22">
        <f>IFERROR(__xludf.DUMMYFUNCTION("IFERROR(GOOGLEFINANCE(A1565,""low""),"""")"),368.0)</f>
        <v>368</v>
      </c>
      <c r="Z1565" s="22">
        <f>IFERROR(__xludf.DUMMYFUNCTION("IFERROR(GOOGLEFINANCE(A1565,""volume""),"""")"),2.17427E7)</f>
        <v>21742700</v>
      </c>
      <c r="AA1565" s="24" t="str">
        <f>VLOOKUP(A1565,Metrik!$C$2:$Y$959,5,0)</f>
        <v>Pharmaceuticals</v>
      </c>
      <c r="AB1565" s="24" t="str">
        <f>VLOOKUP(A1565,Metrik!$C$2:$Y$959,3,0)</f>
        <v>Healthcare</v>
      </c>
    </row>
    <row r="1566">
      <c r="A1566" s="14" t="s">
        <v>851</v>
      </c>
      <c r="B1566" s="14" t="str">
        <f t="array" ref="B1566">VLOOKUP(A1566,{Metrik!$C$2:$C$998,Metrik!$B$2:$B$998},2,0)</f>
        <v>Industri Jamu dan Farmasi Sido Muncul Tbk.</v>
      </c>
      <c r="C1566" s="15">
        <f>IFERROR(__xludf.DUMMYFUNCTION("GOOGLEFINANCE(""IDX:""&amp;A1566,""price"")"),368.0)</f>
        <v>368</v>
      </c>
      <c r="D1566" s="16" t="str">
        <f>IFERROR(__xludf.DUMMYFUNCTION("IF(A1566="""","""",
SPARKLINE(
INDEX(
GOOGLEFINANCE(""IDX:""&amp;A1566,""close"",TODAY()-365,TODAY()),
,2
),
{""linewidth"",1}
))
"),"#N/A")</f>
        <v>#N/A</v>
      </c>
      <c r="E1566" s="14" t="s">
        <v>28</v>
      </c>
      <c r="F1566" s="17" t="s">
        <v>29</v>
      </c>
      <c r="G1566" s="24">
        <f t="shared" si="9"/>
        <v>11</v>
      </c>
      <c r="H1566" s="19">
        <f>VLOOKUP(A1566,Metrik!$C$2:$Y$959,8,0)</f>
        <v>10.1</v>
      </c>
      <c r="I1566" s="20">
        <f>VLOOKUP(A1566,Metrik!$C$2:$Y$959,9,0)</f>
        <v>3.5</v>
      </c>
      <c r="J1566" s="20">
        <f>VLOOKUP(A1566,Metrik!$C$2:$Y$959,10,0)</f>
        <v>35.1</v>
      </c>
      <c r="K1566" s="20">
        <f>VLOOKUP(A1566,Metrik!$C$2:$Y$959,11,0)</f>
        <v>31.4</v>
      </c>
      <c r="L1566" s="20">
        <f>VLOOKUP(A1566,Metrik!$C$2:$Y$959,12,0)</f>
        <v>0.12</v>
      </c>
      <c r="M1566" s="20">
        <f>VLOOKUP(A1566,Metrik!$C$2:$Y$959,19,0)</f>
        <v>180</v>
      </c>
      <c r="N1566" s="21"/>
      <c r="O1566" s="21"/>
      <c r="P1566" s="21"/>
      <c r="Q1566" s="21"/>
      <c r="R1566" s="21"/>
      <c r="S1566" s="21"/>
      <c r="T1566" s="21"/>
      <c r="U1566" s="22">
        <f>IFERROR(__xludf.DUMMYFUNCTION("IFERROR(GOOGLEFINANCE(A1566,""closeyest""),"""")"),370.0)</f>
        <v>370</v>
      </c>
      <c r="V1566" s="23" t="str">
        <f>IFERROR(__xludf.DUMMYFUNCTION("IFERROR(GOOGLEFINANCE(A1566,""changepct""),"""")"),"")</f>
        <v/>
      </c>
      <c r="W1566" s="22">
        <f>IFERROR(__xludf.DUMMYFUNCTION("IFERROR(GOOGLEFINANCE(A1566,""priceopen""),"""")"),370.0)</f>
        <v>370</v>
      </c>
      <c r="X1566" s="22">
        <f>IFERROR(__xludf.DUMMYFUNCTION("IFERROR(GOOGLEFINANCE(A1566,""high""),"""")"),378.0)</f>
        <v>378</v>
      </c>
      <c r="Y1566" s="22">
        <f>IFERROR(__xludf.DUMMYFUNCTION("IFERROR(GOOGLEFINANCE(A1566,""low""),"""")"),368.0)</f>
        <v>368</v>
      </c>
      <c r="Z1566" s="22">
        <f>IFERROR(__xludf.DUMMYFUNCTION("IFERROR(GOOGLEFINANCE(A1566,""volume""),"""")"),2.17427E7)</f>
        <v>21742700</v>
      </c>
      <c r="AA1566" s="24" t="str">
        <f>VLOOKUP(A1566,Metrik!$C$2:$Y$959,5,0)</f>
        <v>Pharmaceuticals</v>
      </c>
      <c r="AB1566" s="24" t="str">
        <f>VLOOKUP(A1566,Metrik!$C$2:$Y$959,3,0)</f>
        <v>Healthcare</v>
      </c>
    </row>
    <row r="1567">
      <c r="A1567" s="14" t="s">
        <v>851</v>
      </c>
      <c r="B1567" s="14" t="str">
        <f t="array" ref="B1567">VLOOKUP(A1567,{Metrik!$C$2:$C$998,Metrik!$B$2:$B$998},2,0)</f>
        <v>Industri Jamu dan Farmasi Sido Muncul Tbk.</v>
      </c>
      <c r="C1567" s="15">
        <f>IFERROR(__xludf.DUMMYFUNCTION("GOOGLEFINANCE(""IDX:""&amp;A1567,""price"")"),368.0)</f>
        <v>368</v>
      </c>
      <c r="D1567" s="16" t="str">
        <f>IFERROR(__xludf.DUMMYFUNCTION("IF(A1567="""","""",
SPARKLINE(
INDEX(
GOOGLEFINANCE(""IDX:""&amp;A1567,""close"",TODAY()-365,TODAY()),
,2
),
{""linewidth"",1}
))
"),"#N/A")</f>
        <v>#N/A</v>
      </c>
      <c r="E1567" s="14" t="s">
        <v>41</v>
      </c>
      <c r="F1567" s="14" t="s">
        <v>34</v>
      </c>
      <c r="G1567" s="24">
        <f t="shared" si="9"/>
        <v>11</v>
      </c>
      <c r="H1567" s="19">
        <f>VLOOKUP(A1567,Metrik!$C$2:$Y$959,8,0)</f>
        <v>10.1</v>
      </c>
      <c r="I1567" s="20">
        <f>VLOOKUP(A1567,Metrik!$C$2:$Y$959,9,0)</f>
        <v>3.5</v>
      </c>
      <c r="J1567" s="20">
        <f>VLOOKUP(A1567,Metrik!$C$2:$Y$959,10,0)</f>
        <v>35.1</v>
      </c>
      <c r="K1567" s="20">
        <f>VLOOKUP(A1567,Metrik!$C$2:$Y$959,11,0)</f>
        <v>31.4</v>
      </c>
      <c r="L1567" s="20">
        <f>VLOOKUP(A1567,Metrik!$C$2:$Y$959,12,0)</f>
        <v>0.12</v>
      </c>
      <c r="M1567" s="20">
        <f>VLOOKUP(A1567,Metrik!$C$2:$Y$959,19,0)</f>
        <v>180</v>
      </c>
      <c r="N1567" s="21"/>
      <c r="O1567" s="21"/>
      <c r="P1567" s="21"/>
      <c r="Q1567" s="21"/>
      <c r="R1567" s="21"/>
      <c r="S1567" s="21"/>
      <c r="T1567" s="21"/>
      <c r="U1567" s="22">
        <f>IFERROR(__xludf.DUMMYFUNCTION("IFERROR(GOOGLEFINANCE(A1567,""closeyest""),"""")"),370.0)</f>
        <v>370</v>
      </c>
      <c r="V1567" s="23" t="str">
        <f>IFERROR(__xludf.DUMMYFUNCTION("IFERROR(GOOGLEFINANCE(A1567,""changepct""),"""")"),"")</f>
        <v/>
      </c>
      <c r="W1567" s="22">
        <f>IFERROR(__xludf.DUMMYFUNCTION("IFERROR(GOOGLEFINANCE(A1567,""priceopen""),"""")"),370.0)</f>
        <v>370</v>
      </c>
      <c r="X1567" s="22">
        <f>IFERROR(__xludf.DUMMYFUNCTION("IFERROR(GOOGLEFINANCE(A1567,""high""),"""")"),378.0)</f>
        <v>378</v>
      </c>
      <c r="Y1567" s="22">
        <f>IFERROR(__xludf.DUMMYFUNCTION("IFERROR(GOOGLEFINANCE(A1567,""low""),"""")"),368.0)</f>
        <v>368</v>
      </c>
      <c r="Z1567" s="22">
        <f>IFERROR(__xludf.DUMMYFUNCTION("IFERROR(GOOGLEFINANCE(A1567,""volume""),"""")"),2.17427E7)</f>
        <v>21742700</v>
      </c>
      <c r="AA1567" s="24" t="str">
        <f>VLOOKUP(A1567,Metrik!$C$2:$Y$959,5,0)</f>
        <v>Pharmaceuticals</v>
      </c>
      <c r="AB1567" s="24" t="str">
        <f>VLOOKUP(A1567,Metrik!$C$2:$Y$959,3,0)</f>
        <v>Healthcare</v>
      </c>
    </row>
    <row r="1568">
      <c r="A1568" s="14" t="s">
        <v>851</v>
      </c>
      <c r="B1568" s="14" t="str">
        <f t="array" ref="B1568">VLOOKUP(A1568,{Metrik!$C$2:$C$998,Metrik!$B$2:$B$998},2,0)</f>
        <v>Industri Jamu dan Farmasi Sido Muncul Tbk.</v>
      </c>
      <c r="C1568" s="15">
        <f>IFERROR(__xludf.DUMMYFUNCTION("GOOGLEFINANCE(""IDX:""&amp;A1568,""price"")"),368.0)</f>
        <v>368</v>
      </c>
      <c r="D1568" s="16" t="str">
        <f>IFERROR(__xludf.DUMMYFUNCTION("IF(A1568="""","""",
SPARKLINE(
INDEX(
GOOGLEFINANCE(""IDX:""&amp;A1568,""close"",TODAY()-365,TODAY()),
,2
),
{""linewidth"",1}
))
"),"#N/A")</f>
        <v>#N/A</v>
      </c>
      <c r="E1568" s="14" t="s">
        <v>86</v>
      </c>
      <c r="F1568" s="25">
        <v>46356.0</v>
      </c>
      <c r="G1568" s="24">
        <f t="shared" si="9"/>
        <v>11</v>
      </c>
      <c r="H1568" s="19">
        <f>VLOOKUP(A1568,Metrik!$C$2:$Y$959,8,0)</f>
        <v>10.1</v>
      </c>
      <c r="I1568" s="20">
        <f>VLOOKUP(A1568,Metrik!$C$2:$Y$959,9,0)</f>
        <v>3.5</v>
      </c>
      <c r="J1568" s="20">
        <f>VLOOKUP(A1568,Metrik!$C$2:$Y$959,10,0)</f>
        <v>35.1</v>
      </c>
      <c r="K1568" s="20">
        <f>VLOOKUP(A1568,Metrik!$C$2:$Y$959,11,0)</f>
        <v>31.4</v>
      </c>
      <c r="L1568" s="20">
        <f>VLOOKUP(A1568,Metrik!$C$2:$Y$959,12,0)</f>
        <v>0.12</v>
      </c>
      <c r="M1568" s="20">
        <f>VLOOKUP(A1568,Metrik!$C$2:$Y$959,19,0)</f>
        <v>180</v>
      </c>
      <c r="N1568" s="21"/>
      <c r="O1568" s="21"/>
      <c r="P1568" s="21"/>
      <c r="Q1568" s="21"/>
      <c r="R1568" s="21"/>
      <c r="S1568" s="21"/>
      <c r="T1568" s="21"/>
      <c r="U1568" s="22">
        <f>IFERROR(__xludf.DUMMYFUNCTION("IFERROR(GOOGLEFINANCE(A1568,""closeyest""),"""")"),370.0)</f>
        <v>370</v>
      </c>
      <c r="V1568" s="23" t="str">
        <f>IFERROR(__xludf.DUMMYFUNCTION("IFERROR(GOOGLEFINANCE(A1568,""changepct""),"""")"),"")</f>
        <v/>
      </c>
      <c r="W1568" s="22">
        <f>IFERROR(__xludf.DUMMYFUNCTION("IFERROR(GOOGLEFINANCE(A1568,""priceopen""),"""")"),370.0)</f>
        <v>370</v>
      </c>
      <c r="X1568" s="22">
        <f>IFERROR(__xludf.DUMMYFUNCTION("IFERROR(GOOGLEFINANCE(A1568,""high""),"""")"),378.0)</f>
        <v>378</v>
      </c>
      <c r="Y1568" s="22">
        <f>IFERROR(__xludf.DUMMYFUNCTION("IFERROR(GOOGLEFINANCE(A1568,""low""),"""")"),368.0)</f>
        <v>368</v>
      </c>
      <c r="Z1568" s="22">
        <f>IFERROR(__xludf.DUMMYFUNCTION("IFERROR(GOOGLEFINANCE(A1568,""volume""),"""")"),2.17427E7)</f>
        <v>21742700</v>
      </c>
      <c r="AA1568" s="24" t="str">
        <f>VLOOKUP(A1568,Metrik!$C$2:$Y$959,5,0)</f>
        <v>Pharmaceuticals</v>
      </c>
      <c r="AB1568" s="24" t="str">
        <f>VLOOKUP(A1568,Metrik!$C$2:$Y$959,3,0)</f>
        <v>Healthcare</v>
      </c>
    </row>
    <row r="1569">
      <c r="A1569" s="14" t="s">
        <v>851</v>
      </c>
      <c r="B1569" s="14" t="str">
        <f t="array" ref="B1569">VLOOKUP(A1569,{Metrik!$C$2:$C$998,Metrik!$B$2:$B$998},2,0)</f>
        <v>Industri Jamu dan Farmasi Sido Muncul Tbk.</v>
      </c>
      <c r="C1569" s="15">
        <f>IFERROR(__xludf.DUMMYFUNCTION("GOOGLEFINANCE(""IDX:""&amp;A1569,""price"")"),368.0)</f>
        <v>368</v>
      </c>
      <c r="D1569" s="16" t="str">
        <f>IFERROR(__xludf.DUMMYFUNCTION("IF(A1569="""","""",
SPARKLINE(
INDEX(
GOOGLEFINANCE(""IDX:""&amp;A1569,""close"",TODAY()-365,TODAY()),
,2
),
{""linewidth"",1}
))
"),"#N/A")</f>
        <v>#N/A</v>
      </c>
      <c r="E1569" s="14" t="s">
        <v>39</v>
      </c>
      <c r="F1569" s="25">
        <v>46356.0</v>
      </c>
      <c r="G1569" s="24">
        <f t="shared" si="9"/>
        <v>11</v>
      </c>
      <c r="H1569" s="19">
        <f>VLOOKUP(A1569,Metrik!$C$2:$Y$959,8,0)</f>
        <v>10.1</v>
      </c>
      <c r="I1569" s="20">
        <f>VLOOKUP(A1569,Metrik!$C$2:$Y$959,9,0)</f>
        <v>3.5</v>
      </c>
      <c r="J1569" s="20">
        <f>VLOOKUP(A1569,Metrik!$C$2:$Y$959,10,0)</f>
        <v>35.1</v>
      </c>
      <c r="K1569" s="20">
        <f>VLOOKUP(A1569,Metrik!$C$2:$Y$959,11,0)</f>
        <v>31.4</v>
      </c>
      <c r="L1569" s="20">
        <f>VLOOKUP(A1569,Metrik!$C$2:$Y$959,12,0)</f>
        <v>0.12</v>
      </c>
      <c r="M1569" s="20">
        <f>VLOOKUP(A1569,Metrik!$C$2:$Y$959,19,0)</f>
        <v>180</v>
      </c>
      <c r="N1569" s="21"/>
      <c r="O1569" s="21"/>
      <c r="P1569" s="21"/>
      <c r="Q1569" s="21"/>
      <c r="R1569" s="21"/>
      <c r="S1569" s="21"/>
      <c r="T1569" s="21"/>
      <c r="U1569" s="22">
        <f>IFERROR(__xludf.DUMMYFUNCTION("IFERROR(GOOGLEFINANCE(A1569,""closeyest""),"""")"),370.0)</f>
        <v>370</v>
      </c>
      <c r="V1569" s="23" t="str">
        <f>IFERROR(__xludf.DUMMYFUNCTION("IFERROR(GOOGLEFINANCE(A1569,""changepct""),"""")"),"")</f>
        <v/>
      </c>
      <c r="W1569" s="22">
        <f>IFERROR(__xludf.DUMMYFUNCTION("IFERROR(GOOGLEFINANCE(A1569,""priceopen""),"""")"),370.0)</f>
        <v>370</v>
      </c>
      <c r="X1569" s="22">
        <f>IFERROR(__xludf.DUMMYFUNCTION("IFERROR(GOOGLEFINANCE(A1569,""high""),"""")"),378.0)</f>
        <v>378</v>
      </c>
      <c r="Y1569" s="22">
        <f>IFERROR(__xludf.DUMMYFUNCTION("IFERROR(GOOGLEFINANCE(A1569,""low""),"""")"),368.0)</f>
        <v>368</v>
      </c>
      <c r="Z1569" s="22">
        <f>IFERROR(__xludf.DUMMYFUNCTION("IFERROR(GOOGLEFINANCE(A1569,""volume""),"""")"),2.17427E7)</f>
        <v>21742700</v>
      </c>
      <c r="AA1569" s="24" t="str">
        <f>VLOOKUP(A1569,Metrik!$C$2:$Y$959,5,0)</f>
        <v>Pharmaceuticals</v>
      </c>
      <c r="AB1569" s="24" t="str">
        <f>VLOOKUP(A1569,Metrik!$C$2:$Y$959,3,0)</f>
        <v>Healthcare</v>
      </c>
    </row>
    <row r="1570">
      <c r="A1570" s="17" t="s">
        <v>852</v>
      </c>
      <c r="B1570" s="14" t="str">
        <f t="array" ref="B1570">VLOOKUP(A1570,{Metrik!$C$2:$C$998,Metrik!$B$2:$B$998},2,0)</f>
        <v>PT Siloam International Hospitals Tbk.</v>
      </c>
      <c r="C1570" s="15">
        <f>IFERROR(__xludf.DUMMYFUNCTION("GOOGLEFINANCE(""IDX:""&amp;A1570,""price"")"),2330.0)</f>
        <v>2330</v>
      </c>
      <c r="D1570" s="16" t="str">
        <f>IFERROR(__xludf.DUMMYFUNCTION("IF(A1570="""","""",
SPARKLINE(
INDEX(
GOOGLEFINANCE(""IDX:""&amp;A1570,""close"",TODAY()-365,TODAY()),
,2
),
{""linewidth"",1}
))
"),"#N/A")</f>
        <v>#N/A</v>
      </c>
      <c r="E1570" s="14" t="s">
        <v>84</v>
      </c>
      <c r="F1570" s="17" t="s">
        <v>51</v>
      </c>
      <c r="G1570" s="24">
        <f t="shared" si="9"/>
        <v>1</v>
      </c>
      <c r="H1570" s="19">
        <f>VLOOKUP(A1570,Metrik!$C$2:$Y$959,8,0)</f>
        <v>26.8</v>
      </c>
      <c r="I1570" s="20">
        <f>VLOOKUP(A1570,Metrik!$C$2:$Y$959,9,0)</f>
        <v>3</v>
      </c>
      <c r="J1570" s="20">
        <f>VLOOKUP(A1570,Metrik!$C$2:$Y$959,10,0)</f>
        <v>11.2</v>
      </c>
      <c r="K1570" s="20">
        <f>VLOOKUP(A1570,Metrik!$C$2:$Y$959,11,0)</f>
        <v>7.5</v>
      </c>
      <c r="L1570" s="20">
        <f>VLOOKUP(A1570,Metrik!$C$2:$Y$959,12,0)</f>
        <v>0.5</v>
      </c>
      <c r="M1570" s="20">
        <f>VLOOKUP(A1570,Metrik!$C$2:$Y$959,19,0)</f>
        <v>35</v>
      </c>
      <c r="N1570" s="21"/>
      <c r="O1570" s="21"/>
      <c r="P1570" s="21"/>
      <c r="Q1570" s="21"/>
      <c r="R1570" s="21"/>
      <c r="S1570" s="21"/>
      <c r="T1570" s="21"/>
      <c r="U1570" s="22">
        <f>IFERROR(__xludf.DUMMYFUNCTION("IFERROR(GOOGLEFINANCE(A1570,""closeyest""),"""")"),6.44)</f>
        <v>6.44</v>
      </c>
      <c r="V1570" s="23">
        <f>IFERROR(__xludf.DUMMYFUNCTION("IFERROR(GOOGLEFINANCE(A1570,""changepct""),"""")"),2.95)</f>
        <v>2.95</v>
      </c>
      <c r="W1570" s="22">
        <f>IFERROR(__xludf.DUMMYFUNCTION("IFERROR(GOOGLEFINANCE(A1570,""priceopen""),"""")"),6.53)</f>
        <v>6.53</v>
      </c>
      <c r="X1570" s="22">
        <f>IFERROR(__xludf.DUMMYFUNCTION("IFERROR(GOOGLEFINANCE(A1570,""high""),"""")"),6.75)</f>
        <v>6.75</v>
      </c>
      <c r="Y1570" s="22">
        <f>IFERROR(__xludf.DUMMYFUNCTION("IFERROR(GOOGLEFINANCE(A1570,""low""),"""")"),6.49)</f>
        <v>6.49</v>
      </c>
      <c r="Z1570" s="22">
        <f>IFERROR(__xludf.DUMMYFUNCTION("IFERROR(GOOGLEFINANCE(A1570,""volume""),"""")"),19702.0)</f>
        <v>19702</v>
      </c>
      <c r="AA1570" s="24" t="str">
        <f>VLOOKUP(A1570,Metrik!$C$2:$Y$959,5,0)</f>
        <v>Healthcare Providers</v>
      </c>
      <c r="AB1570" s="24" t="str">
        <f>VLOOKUP(A1570,Metrik!$C$2:$Y$959,3,0)</f>
        <v>Healthcare</v>
      </c>
    </row>
    <row r="1571">
      <c r="A1571" s="14" t="s">
        <v>853</v>
      </c>
      <c r="B1571" s="14" t="str">
        <f t="array" ref="B1571">VLOOKUP(A1571,{Metrik!$C$2:$C$998,Metrik!$B$2:$B$998},2,0)</f>
        <v>Siwani Makmur Tbk</v>
      </c>
      <c r="C1571" s="15">
        <f>IFERROR(__xludf.DUMMYFUNCTION("GOOGLEFINANCE(""IDX:""&amp;A1571,""price"")"),50.0)</f>
        <v>50</v>
      </c>
      <c r="D1571" s="16" t="str">
        <f>IFERROR(__xludf.DUMMYFUNCTION("IF(A1571="""","""",
SPARKLINE(
INDEX(
GOOGLEFINANCE(""IDX:""&amp;A1571,""close"",TODAY()-365,TODAY()),
,2
),
{""linewidth"",1}
))
"),"#N/A")</f>
        <v>#N/A</v>
      </c>
      <c r="E1571" s="26"/>
      <c r="F1571" s="26"/>
      <c r="G1571" s="24">
        <f t="shared" si="9"/>
        <v>0</v>
      </c>
      <c r="H1571" s="19" t="str">
        <f>VLOOKUP(A1571,Metrik!$C$2:$Y$959,8,0)</f>
        <v/>
      </c>
      <c r="I1571" s="20">
        <f>VLOOKUP(A1571,Metrik!$C$2:$Y$959,9,0)</f>
        <v>-11</v>
      </c>
      <c r="J1571" s="20" t="str">
        <f>VLOOKUP(A1571,Metrik!$C$2:$Y$959,10,0)</f>
        <v/>
      </c>
      <c r="K1571" s="20">
        <f>VLOOKUP(A1571,Metrik!$C$2:$Y$959,11,0)</f>
        <v>-0.01</v>
      </c>
      <c r="L1571" s="20">
        <f>VLOOKUP(A1571,Metrik!$C$2:$Y$959,12,0)</f>
        <v>-130</v>
      </c>
      <c r="M1571" s="20">
        <f>VLOOKUP(A1571,Metrik!$C$2:$Y$959,19,0)</f>
        <v>-970</v>
      </c>
      <c r="N1571" s="21"/>
      <c r="O1571" s="21"/>
      <c r="P1571" s="21"/>
      <c r="Q1571" s="21"/>
      <c r="R1571" s="21"/>
      <c r="S1571" s="21"/>
      <c r="T1571" s="21"/>
      <c r="U1571" s="22">
        <f>IFERROR(__xludf.DUMMYFUNCTION("IFERROR(GOOGLEFINANCE(A1571,""closeyest""),"""")"),10.89)</f>
        <v>10.89</v>
      </c>
      <c r="V1571" s="23">
        <f>IFERROR(__xludf.DUMMYFUNCTION("IFERROR(GOOGLEFINANCE(A1571,""changepct""),"""")"),0.0)</f>
        <v>0</v>
      </c>
      <c r="W1571" s="22">
        <f>IFERROR(__xludf.DUMMYFUNCTION("IFERROR(GOOGLEFINANCE(A1571,""priceopen""),"""")"),10.89)</f>
        <v>10.89</v>
      </c>
      <c r="X1571" s="22" t="str">
        <f>IFERROR(__xludf.DUMMYFUNCTION("IFERROR(GOOGLEFINANCE(A1571,""high""),"""")"),"")</f>
        <v/>
      </c>
      <c r="Y1571" s="22">
        <f>IFERROR(__xludf.DUMMYFUNCTION("IFERROR(GOOGLEFINANCE(A1571,""low""),"""")"),10.85)</f>
        <v>10.85</v>
      </c>
      <c r="Z1571" s="22">
        <f>IFERROR(__xludf.DUMMYFUNCTION("IFERROR(GOOGLEFINANCE(A1571,""volume""),"""")"),6200.0)</f>
        <v>6200</v>
      </c>
      <c r="AA1571" s="24" t="str">
        <f>VLOOKUP(A1571,Metrik!$C$2:$Y$959,5,0)</f>
        <v>Containers &amp; Packaging</v>
      </c>
      <c r="AB1571" s="24" t="str">
        <f>VLOOKUP(A1571,Metrik!$C$2:$Y$959,3,0)</f>
        <v>Basic Materials</v>
      </c>
    </row>
    <row r="1572">
      <c r="A1572" s="14" t="s">
        <v>854</v>
      </c>
      <c r="B1572" s="14" t="str">
        <f t="array" ref="B1572">VLOOKUP(A1572,{Metrik!$C$2:$C$998,Metrik!$B$2:$B$998},2,0)</f>
        <v>Salim Ivomas Pratama Tbk</v>
      </c>
      <c r="C1572" s="15">
        <f>IFERROR(__xludf.DUMMYFUNCTION("GOOGLEFINANCE(""IDX:""&amp;A1572,""price"")"),535.0)</f>
        <v>535</v>
      </c>
      <c r="D1572" s="16" t="str">
        <f>IFERROR(__xludf.DUMMYFUNCTION("IF(A1572="""","""",
SPARKLINE(
INDEX(
GOOGLEFINANCE(""IDX:""&amp;A1572,""close"",TODAY()-365,TODAY()),
,2
),
{""linewidth"",1}
))
"),"#N/A")</f>
        <v>#N/A</v>
      </c>
      <c r="E1572" s="14" t="s">
        <v>55</v>
      </c>
      <c r="F1572" s="25">
        <v>46356.0</v>
      </c>
      <c r="G1572" s="24">
        <f t="shared" si="9"/>
        <v>1</v>
      </c>
      <c r="H1572" s="19">
        <f>VLOOKUP(A1572,Metrik!$C$2:$Y$959,8,0)</f>
        <v>4.2</v>
      </c>
      <c r="I1572" s="20">
        <f>VLOOKUP(A1572,Metrik!$C$2:$Y$959,9,0)</f>
        <v>0.32</v>
      </c>
      <c r="J1572" s="20">
        <f>VLOOKUP(A1572,Metrik!$C$2:$Y$959,10,0)</f>
        <v>7.6</v>
      </c>
      <c r="K1572" s="20">
        <f>VLOOKUP(A1572,Metrik!$C$2:$Y$959,11,0)</f>
        <v>4.9</v>
      </c>
      <c r="L1572" s="20">
        <f>VLOOKUP(A1572,Metrik!$C$2:$Y$959,12,0)</f>
        <v>0.54</v>
      </c>
      <c r="M1572" s="20">
        <f>VLOOKUP(A1572,Metrik!$C$2:$Y$959,19,0)</f>
        <v>42.2</v>
      </c>
      <c r="N1572" s="21"/>
      <c r="O1572" s="21"/>
      <c r="P1572" s="21"/>
      <c r="Q1572" s="21"/>
      <c r="R1572" s="21"/>
      <c r="S1572" s="21"/>
      <c r="T1572" s="21"/>
      <c r="U1572" s="22">
        <f>IFERROR(__xludf.DUMMYFUNCTION("IFERROR(GOOGLEFINANCE(A1572,""closeyest""),"""")"),510.0)</f>
        <v>510</v>
      </c>
      <c r="V1572" s="23">
        <f>IFERROR(__xludf.DUMMYFUNCTION("IFERROR(GOOGLEFINANCE(A1572,""changepct""),"""")"),4.9)</f>
        <v>4.9</v>
      </c>
      <c r="W1572" s="22">
        <f>IFERROR(__xludf.DUMMYFUNCTION("IFERROR(GOOGLEFINANCE(A1572,""priceopen""),"""")"),510.0)</f>
        <v>510</v>
      </c>
      <c r="X1572" s="22">
        <f>IFERROR(__xludf.DUMMYFUNCTION("IFERROR(GOOGLEFINANCE(A1572,""high""),"""")"),545.0)</f>
        <v>545</v>
      </c>
      <c r="Y1572" s="22">
        <f>IFERROR(__xludf.DUMMYFUNCTION("IFERROR(GOOGLEFINANCE(A1572,""low""),"""")"),510.0)</f>
        <v>510</v>
      </c>
      <c r="Z1572" s="22">
        <f>IFERROR(__xludf.DUMMYFUNCTION("IFERROR(GOOGLEFINANCE(A1572,""volume""),"""")"),1.53656E7)</f>
        <v>15365600</v>
      </c>
      <c r="AA1572" s="24" t="str">
        <f>VLOOKUP(A1572,Metrik!$C$2:$Y$959,5,0)</f>
        <v>Agricultural Products</v>
      </c>
      <c r="AB1572" s="24" t="str">
        <f>VLOOKUP(A1572,Metrik!$C$2:$Y$959,3,0)</f>
        <v>Consumer Non-Cyclicals</v>
      </c>
    </row>
    <row r="1573">
      <c r="A1573" s="14" t="s">
        <v>855</v>
      </c>
      <c r="B1573" s="14" t="str">
        <f t="array" ref="B1573">VLOOKUP(A1573,{Metrik!$C$2:$C$998,Metrik!$B$2:$B$998},2,0)</f>
        <v>Singaraja Putra Tbk.</v>
      </c>
      <c r="C1573" s="15">
        <f>IFERROR(__xludf.DUMMYFUNCTION("GOOGLEFINANCE(""IDX:""&amp;A1573,""price"")"),9725.0)</f>
        <v>9725</v>
      </c>
      <c r="D1573" s="16" t="str">
        <f>IFERROR(__xludf.DUMMYFUNCTION("IF(A1573="""","""",
SPARKLINE(
INDEX(
GOOGLEFINANCE(""IDX:""&amp;A1573,""close"",TODAY()-365,TODAY()),
,2
),
{""linewidth"",1}
))
"),"#N/A")</f>
        <v>#N/A</v>
      </c>
      <c r="E1573" s="26"/>
      <c r="F1573" s="26"/>
      <c r="G1573" s="24">
        <f t="shared" si="9"/>
        <v>0</v>
      </c>
      <c r="H1573" s="19">
        <f>VLOOKUP(A1573,Metrik!$C$2:$Y$959,8,0)</f>
        <v>-78.9</v>
      </c>
      <c r="I1573" s="20">
        <f>VLOOKUP(A1573,Metrik!$C$2:$Y$959,9,0)</f>
        <v>-8.8</v>
      </c>
      <c r="J1573" s="20" t="str">
        <f>VLOOKUP(A1573,Metrik!$C$2:$Y$959,10,0)</f>
        <v/>
      </c>
      <c r="K1573" s="20">
        <f>VLOOKUP(A1573,Metrik!$C$2:$Y$959,11,0)</f>
        <v>-2.8</v>
      </c>
      <c r="L1573" s="20">
        <f>VLOOKUP(A1573,Metrik!$C$2:$Y$959,12,0)</f>
        <v>-3.4</v>
      </c>
      <c r="M1573" s="20">
        <f>VLOOKUP(A1573,Metrik!$C$2:$Y$959,19,0)</f>
        <v>-14.1</v>
      </c>
      <c r="N1573" s="21"/>
      <c r="O1573" s="21"/>
      <c r="P1573" s="21"/>
      <c r="Q1573" s="21"/>
      <c r="R1573" s="21"/>
      <c r="S1573" s="21"/>
      <c r="T1573" s="21"/>
      <c r="U1573" s="22">
        <f>IFERROR(__xludf.DUMMYFUNCTION("IFERROR(GOOGLEFINANCE(A1573,""closeyest""),"""")"),9000.0)</f>
        <v>9000</v>
      </c>
      <c r="V1573" s="23">
        <f>IFERROR(__xludf.DUMMYFUNCTION("IFERROR(GOOGLEFINANCE(A1573,""changepct""),"""")"),8.06)</f>
        <v>8.06</v>
      </c>
      <c r="W1573" s="22">
        <f>IFERROR(__xludf.DUMMYFUNCTION("IFERROR(GOOGLEFINANCE(A1573,""priceopen""),"""")"),9250.0)</f>
        <v>9250</v>
      </c>
      <c r="X1573" s="22">
        <f>IFERROR(__xludf.DUMMYFUNCTION("IFERROR(GOOGLEFINANCE(A1573,""high""),"""")"),9900.0)</f>
        <v>9900</v>
      </c>
      <c r="Y1573" s="22">
        <f>IFERROR(__xludf.DUMMYFUNCTION("IFERROR(GOOGLEFINANCE(A1573,""low""),"""")"),9250.0)</f>
        <v>9250</v>
      </c>
      <c r="Z1573" s="22">
        <f>IFERROR(__xludf.DUMMYFUNCTION("IFERROR(GOOGLEFINANCE(A1573,""volume""),"""")"),521200.0)</f>
        <v>521200</v>
      </c>
      <c r="AA1573" s="24" t="str">
        <f>VLOOKUP(A1573,Metrik!$C$2:$Y$959,5,0)</f>
        <v>Building Products &amp; Fixtures</v>
      </c>
      <c r="AB1573" s="24" t="str">
        <f>VLOOKUP(A1573,Metrik!$C$2:$Y$959,3,0)</f>
        <v>Industrials</v>
      </c>
    </row>
    <row r="1574">
      <c r="A1574" s="14" t="s">
        <v>856</v>
      </c>
      <c r="B1574" s="14" t="str">
        <f t="array" ref="B1574">VLOOKUP(A1574,{Metrik!$C$2:$C$998,Metrik!$B$2:$B$998},2,0)</f>
        <v>Sreeya Sewu Indonesia Tbk.</v>
      </c>
      <c r="C1574" s="15">
        <f>IFERROR(__xludf.DUMMYFUNCTION("GOOGLEFINANCE(""IDX:""&amp;A1574,""price"")"),725.0)</f>
        <v>725</v>
      </c>
      <c r="D1574" s="16" t="str">
        <f>IFERROR(__xludf.DUMMYFUNCTION("IF(A1574="""","""",
SPARKLINE(
INDEX(
GOOGLEFINANCE(""IDX:""&amp;A1574,""close"",TODAY()-365,TODAY()),
,2
),
{""linewidth"",1}
))
"),"#N/A")</f>
        <v>#N/A</v>
      </c>
      <c r="E1574" s="26"/>
      <c r="F1574" s="26"/>
      <c r="G1574" s="24">
        <f t="shared" si="9"/>
        <v>0</v>
      </c>
      <c r="H1574" s="19">
        <f>VLOOKUP(A1574,Metrik!$C$2:$Y$959,8,0)</f>
        <v>44.9</v>
      </c>
      <c r="I1574" s="20">
        <f>VLOOKUP(A1574,Metrik!$C$2:$Y$959,9,0)</f>
        <v>1.2</v>
      </c>
      <c r="J1574" s="20">
        <f>VLOOKUP(A1574,Metrik!$C$2:$Y$959,10,0)</f>
        <v>2.8</v>
      </c>
      <c r="K1574" s="20">
        <f>VLOOKUP(A1574,Metrik!$C$2:$Y$959,11,0)</f>
        <v>1.1</v>
      </c>
      <c r="L1574" s="20">
        <f>VLOOKUP(A1574,Metrik!$C$2:$Y$959,12,0)</f>
        <v>1.4</v>
      </c>
      <c r="M1574" s="20">
        <f>VLOOKUP(A1574,Metrik!$C$2:$Y$959,19,0)</f>
        <v>2.4</v>
      </c>
      <c r="N1574" s="21"/>
      <c r="O1574" s="21"/>
      <c r="P1574" s="21"/>
      <c r="Q1574" s="21"/>
      <c r="R1574" s="21"/>
      <c r="S1574" s="21"/>
      <c r="T1574" s="21"/>
      <c r="U1574" s="22">
        <f>IFERROR(__xludf.DUMMYFUNCTION("IFERROR(GOOGLEFINANCE(A1574,""closeyest""),"""")"),710.0)</f>
        <v>710</v>
      </c>
      <c r="V1574" s="23">
        <f>IFERROR(__xludf.DUMMYFUNCTION("IFERROR(GOOGLEFINANCE(A1574,""changepct""),"""")"),2.11)</f>
        <v>2.11</v>
      </c>
      <c r="W1574" s="22">
        <f>IFERROR(__xludf.DUMMYFUNCTION("IFERROR(GOOGLEFINANCE(A1574,""priceopen""),"""")"),710.0)</f>
        <v>710</v>
      </c>
      <c r="X1574" s="22">
        <f>IFERROR(__xludf.DUMMYFUNCTION("IFERROR(GOOGLEFINANCE(A1574,""high""),"""")"),730.0)</f>
        <v>730</v>
      </c>
      <c r="Y1574" s="22">
        <f>IFERROR(__xludf.DUMMYFUNCTION("IFERROR(GOOGLEFINANCE(A1574,""low""),"""")"),670.0)</f>
        <v>670</v>
      </c>
      <c r="Z1574" s="22" t="str">
        <f>IFERROR(__xludf.DUMMYFUNCTION("IFERROR(GOOGLEFINANCE(A1574,""volume""),"""")"),"")</f>
        <v/>
      </c>
      <c r="AA1574" s="24" t="str">
        <f>VLOOKUP(A1574,Metrik!$C$2:$Y$959,5,0)</f>
        <v>Agricultural Products</v>
      </c>
      <c r="AB1574" s="24" t="str">
        <f>VLOOKUP(A1574,Metrik!$C$2:$Y$959,3,0)</f>
        <v>Consumer Non-Cyclicals</v>
      </c>
    </row>
    <row r="1575">
      <c r="A1575" s="14" t="s">
        <v>857</v>
      </c>
      <c r="B1575" s="14" t="str">
        <f t="array" ref="B1575">VLOOKUP(A1575,{Metrik!$C$2:$C$998,Metrik!$B$2:$B$998},2,0)</f>
        <v>Sekar Bumi Tbk.</v>
      </c>
      <c r="C1575" s="15">
        <f>IFERROR(__xludf.DUMMYFUNCTION("GOOGLEFINANCE(""IDX:""&amp;A1575,""price"")"),530.0)</f>
        <v>530</v>
      </c>
      <c r="D1575" s="16" t="str">
        <f>IFERROR(__xludf.DUMMYFUNCTION("IF(A1575="""","""",
SPARKLINE(
INDEX(
GOOGLEFINANCE(""IDX:""&amp;A1575,""close"",TODAY()-365,TODAY()),
,2
),
{""linewidth"",1}
))
"),"#N/A")</f>
        <v>#N/A</v>
      </c>
      <c r="E1575" s="26"/>
      <c r="F1575" s="26"/>
      <c r="G1575" s="24">
        <f t="shared" si="9"/>
        <v>0</v>
      </c>
      <c r="H1575" s="19">
        <f>VLOOKUP(A1575,Metrik!$C$2:$Y$959,8,0)</f>
        <v>7.7</v>
      </c>
      <c r="I1575" s="20">
        <f>VLOOKUP(A1575,Metrik!$C$2:$Y$959,9,0)</f>
        <v>0.8</v>
      </c>
      <c r="J1575" s="20">
        <f>VLOOKUP(A1575,Metrik!$C$2:$Y$959,10,0)</f>
        <v>10.5</v>
      </c>
      <c r="K1575" s="20">
        <f>VLOOKUP(A1575,Metrik!$C$2:$Y$959,11,0)</f>
        <v>5.4</v>
      </c>
      <c r="L1575" s="20">
        <f>VLOOKUP(A1575,Metrik!$C$2:$Y$959,12,0)</f>
        <v>0.95</v>
      </c>
      <c r="M1575" s="20">
        <f>VLOOKUP(A1575,Metrik!$C$2:$Y$959,19,0)</f>
        <v>11.6</v>
      </c>
      <c r="N1575" s="21"/>
      <c r="O1575" s="21"/>
      <c r="P1575" s="21"/>
      <c r="Q1575" s="21"/>
      <c r="R1575" s="21"/>
      <c r="S1575" s="21"/>
      <c r="T1575" s="21"/>
      <c r="U1575" s="22">
        <f>IFERROR(__xludf.DUMMYFUNCTION("IFERROR(GOOGLEFINANCE(A1575,""closeyest""),"""")"),530.0)</f>
        <v>530</v>
      </c>
      <c r="V1575" s="23">
        <f>IFERROR(__xludf.DUMMYFUNCTION("IFERROR(GOOGLEFINANCE(A1575,""changepct""),"""")"),0.0)</f>
        <v>0</v>
      </c>
      <c r="W1575" s="22" t="str">
        <f>IFERROR(__xludf.DUMMYFUNCTION("IFERROR(GOOGLEFINANCE(A1575,""priceopen""),"""")"),"")</f>
        <v/>
      </c>
      <c r="X1575" s="22">
        <f>IFERROR(__xludf.DUMMYFUNCTION("IFERROR(GOOGLEFINANCE(A1575,""high""),"""")"),545.0)</f>
        <v>545</v>
      </c>
      <c r="Y1575" s="22">
        <f>IFERROR(__xludf.DUMMYFUNCTION("IFERROR(GOOGLEFINANCE(A1575,""low""),"""")"),520.0)</f>
        <v>520</v>
      </c>
      <c r="Z1575" s="22">
        <f>IFERROR(__xludf.DUMMYFUNCTION("IFERROR(GOOGLEFINANCE(A1575,""volume""),"""")"),176500.0)</f>
        <v>176500</v>
      </c>
      <c r="AA1575" s="24" t="str">
        <f>VLOOKUP(A1575,Metrik!$C$2:$Y$959,5,0)</f>
        <v>Processed Foods</v>
      </c>
      <c r="AB1575" s="24" t="str">
        <f>VLOOKUP(A1575,Metrik!$C$2:$Y$959,3,0)</f>
        <v>Consumer Non-Cyclicals</v>
      </c>
    </row>
    <row r="1576">
      <c r="A1576" s="14" t="s">
        <v>858</v>
      </c>
      <c r="B1576" s="14" t="str">
        <f t="array" ref="B1576">VLOOKUP(A1576,{Metrik!$C$2:$C$998,Metrik!$B$2:$B$998},2,0)</f>
        <v>Sekar Laut Tbk.</v>
      </c>
      <c r="C1576" s="15">
        <f>IFERROR(__xludf.DUMMYFUNCTION("GOOGLEFINANCE(""IDX:""&amp;A1576,""price"")"),178.0)</f>
        <v>178</v>
      </c>
      <c r="D1576" s="16" t="str">
        <f>IFERROR(__xludf.DUMMYFUNCTION("IF(A1576="""","""",
SPARKLINE(
INDEX(
GOOGLEFINANCE(""IDX:""&amp;A1576,""close"",TODAY()-365,TODAY()),
,2
),
{""linewidth"",1}
))
"),"#N/A")</f>
        <v>#N/A</v>
      </c>
      <c r="E1576" s="26"/>
      <c r="F1576" s="26"/>
      <c r="G1576" s="24">
        <f t="shared" si="9"/>
        <v>0</v>
      </c>
      <c r="H1576" s="19">
        <f>VLOOKUP(A1576,Metrik!$C$2:$Y$959,8,0)</f>
        <v>13.3</v>
      </c>
      <c r="I1576" s="20">
        <f>VLOOKUP(A1576,Metrik!$C$2:$Y$959,9,0)</f>
        <v>1.4</v>
      </c>
      <c r="J1576" s="20">
        <f>VLOOKUP(A1576,Metrik!$C$2:$Y$959,10,0)</f>
        <v>10.3</v>
      </c>
      <c r="K1576" s="20">
        <f>VLOOKUP(A1576,Metrik!$C$2:$Y$959,11,0)</f>
        <v>5.7</v>
      </c>
      <c r="L1576" s="20">
        <f>VLOOKUP(A1576,Metrik!$C$2:$Y$959,12,0)</f>
        <v>0.8</v>
      </c>
      <c r="M1576" s="20">
        <f>VLOOKUP(A1576,Metrik!$C$2:$Y$959,19,0)</f>
        <v>14.2</v>
      </c>
      <c r="N1576" s="21"/>
      <c r="O1576" s="21"/>
      <c r="P1576" s="21"/>
      <c r="Q1576" s="21"/>
      <c r="R1576" s="21"/>
      <c r="S1576" s="21"/>
      <c r="T1576" s="21"/>
      <c r="U1576" s="22">
        <f>IFERROR(__xludf.DUMMYFUNCTION("IFERROR(GOOGLEFINANCE(A1576,""closeyest""),"""")"),177.0)</f>
        <v>177</v>
      </c>
      <c r="V1576" s="23">
        <f>IFERROR(__xludf.DUMMYFUNCTION("IFERROR(GOOGLEFINANCE(A1576,""changepct""),"""")"),0.56)</f>
        <v>0.56</v>
      </c>
      <c r="W1576" s="22">
        <f>IFERROR(__xludf.DUMMYFUNCTION("IFERROR(GOOGLEFINANCE(A1576,""priceopen""),"""")"),180.0)</f>
        <v>180</v>
      </c>
      <c r="X1576" s="22">
        <f>IFERROR(__xludf.DUMMYFUNCTION("IFERROR(GOOGLEFINANCE(A1576,""high""),"""")"),182.0)</f>
        <v>182</v>
      </c>
      <c r="Y1576" s="22">
        <f>IFERROR(__xludf.DUMMYFUNCTION("IFERROR(GOOGLEFINANCE(A1576,""low""),"""")"),176.0)</f>
        <v>176</v>
      </c>
      <c r="Z1576" s="22">
        <f>IFERROR(__xludf.DUMMYFUNCTION("IFERROR(GOOGLEFINANCE(A1576,""volume""),"""")"),29200.0)</f>
        <v>29200</v>
      </c>
      <c r="AA1576" s="24" t="str">
        <f>VLOOKUP(A1576,Metrik!$C$2:$Y$959,5,0)</f>
        <v>Processed Foods</v>
      </c>
      <c r="AB1576" s="24" t="str">
        <f>VLOOKUP(A1576,Metrik!$C$2:$Y$959,3,0)</f>
        <v>Consumer Non-Cyclicals</v>
      </c>
    </row>
    <row r="1577">
      <c r="A1577" s="14" t="s">
        <v>859</v>
      </c>
      <c r="B1577" s="14" t="str">
        <f t="array" ref="B1577">VLOOKUP(A1577,{Metrik!$C$2:$C$998,Metrik!$B$2:$B$998},2,0)</f>
        <v>Superkrane Mitra Utama Tbk.</v>
      </c>
      <c r="C1577" s="15">
        <f>IFERROR(__xludf.DUMMYFUNCTION("GOOGLEFINANCE(""IDX:""&amp;A1577,""price"")"),330.0)</f>
        <v>330</v>
      </c>
      <c r="D1577" s="16" t="str">
        <f>IFERROR(__xludf.DUMMYFUNCTION("IF(A1577="""","""",
SPARKLINE(
INDEX(
GOOGLEFINANCE(""IDX:""&amp;A1577,""close"",TODAY()-365,TODAY()),
,2
),
{""linewidth"",1}
))
"),"#N/A")</f>
        <v>#N/A</v>
      </c>
      <c r="E1577" s="26"/>
      <c r="F1577" s="26"/>
      <c r="G1577" s="24">
        <f t="shared" si="9"/>
        <v>0</v>
      </c>
      <c r="H1577" s="19">
        <f>VLOOKUP(A1577,Metrik!$C$2:$Y$959,8,0)</f>
        <v>17.3</v>
      </c>
      <c r="I1577" s="20">
        <f>VLOOKUP(A1577,Metrik!$C$2:$Y$959,9,0)</f>
        <v>4.5</v>
      </c>
      <c r="J1577" s="20">
        <f>VLOOKUP(A1577,Metrik!$C$2:$Y$959,10,0)</f>
        <v>26.1</v>
      </c>
      <c r="K1577" s="20">
        <f>VLOOKUP(A1577,Metrik!$C$2:$Y$959,11,0)</f>
        <v>12.2</v>
      </c>
      <c r="L1577" s="20">
        <f>VLOOKUP(A1577,Metrik!$C$2:$Y$959,12,0)</f>
        <v>1.1</v>
      </c>
      <c r="M1577" s="20">
        <f>VLOOKUP(A1577,Metrik!$C$2:$Y$959,19,0)</f>
        <v>81.5</v>
      </c>
      <c r="N1577" s="21"/>
      <c r="O1577" s="21"/>
      <c r="P1577" s="21"/>
      <c r="Q1577" s="21"/>
      <c r="R1577" s="21"/>
      <c r="S1577" s="21"/>
      <c r="T1577" s="21"/>
      <c r="U1577" s="22">
        <f>IFERROR(__xludf.DUMMYFUNCTION("IFERROR(GOOGLEFINANCE(A1577,""closeyest""),"""")"),326.0)</f>
        <v>326</v>
      </c>
      <c r="V1577" s="23">
        <f>IFERROR(__xludf.DUMMYFUNCTION("IFERROR(GOOGLEFINANCE(A1577,""changepct""),"""")"),1.23)</f>
        <v>1.23</v>
      </c>
      <c r="W1577" s="22">
        <f>IFERROR(__xludf.DUMMYFUNCTION("IFERROR(GOOGLEFINANCE(A1577,""priceopen""),"""")"),320.0)</f>
        <v>320</v>
      </c>
      <c r="X1577" s="22">
        <f>IFERROR(__xludf.DUMMYFUNCTION("IFERROR(GOOGLEFINANCE(A1577,""high""),"""")"),350.0)</f>
        <v>350</v>
      </c>
      <c r="Y1577" s="22">
        <f>IFERROR(__xludf.DUMMYFUNCTION("IFERROR(GOOGLEFINANCE(A1577,""low""),"""")"),320.0)</f>
        <v>320</v>
      </c>
      <c r="Z1577" s="22">
        <f>IFERROR(__xludf.DUMMYFUNCTION("IFERROR(GOOGLEFINANCE(A1577,""volume""),"""")"),187900.0)</f>
        <v>187900</v>
      </c>
      <c r="AA1577" s="24" t="str">
        <f>VLOOKUP(A1577,Metrik!$C$2:$Y$959,5,0)</f>
        <v>Machinery</v>
      </c>
      <c r="AB1577" s="24" t="str">
        <f>VLOOKUP(A1577,Metrik!$C$2:$Y$959,3,0)</f>
        <v>Industrials</v>
      </c>
    </row>
    <row r="1578">
      <c r="A1578" s="14" t="s">
        <v>860</v>
      </c>
      <c r="B1578" s="14" t="str">
        <f t="array" ref="B1578">VLOOKUP(A1578,{Metrik!$C$2:$C$998,Metrik!$B$2:$B$998},2,0)</f>
        <v>PT Northcliff Citranusa Indonesia Tbk.</v>
      </c>
      <c r="C1578" s="15">
        <f>IFERROR(__xludf.DUMMYFUNCTION("GOOGLEFINANCE(""IDX:""&amp;A1578,""price"")"),51.0)</f>
        <v>51</v>
      </c>
      <c r="D1578" s="16" t="str">
        <f>IFERROR(__xludf.DUMMYFUNCTION("IF(A1578="""","""",
SPARKLINE(
INDEX(
GOOGLEFINANCE(""IDX:""&amp;A1578,""close"",TODAY()-365,TODAY()),
,2
),
{""linewidth"",1}
))
"),"#N/A")</f>
        <v>#N/A</v>
      </c>
      <c r="E1578" s="26"/>
      <c r="F1578" s="26"/>
      <c r="G1578" s="24">
        <f t="shared" si="9"/>
        <v>0</v>
      </c>
      <c r="H1578" s="19">
        <f>VLOOKUP(A1578,Metrik!$C$2:$Y$959,8,0)</f>
        <v>0</v>
      </c>
      <c r="I1578" s="20">
        <f>VLOOKUP(A1578,Metrik!$C$2:$Y$959,9,0)</f>
        <v>0.99</v>
      </c>
      <c r="J1578" s="20">
        <f>VLOOKUP(A1578,Metrik!$C$2:$Y$959,10,0)</f>
        <v>-2.8</v>
      </c>
      <c r="K1578" s="20">
        <f>VLOOKUP(A1578,Metrik!$C$2:$Y$959,11,0)</f>
        <v>-2.2</v>
      </c>
      <c r="L1578" s="20">
        <f>VLOOKUP(A1578,Metrik!$C$2:$Y$959,12,0)</f>
        <v>0.26</v>
      </c>
      <c r="M1578" s="20">
        <f>VLOOKUP(A1578,Metrik!$C$2:$Y$959,19,0)</f>
        <v>-23.4</v>
      </c>
      <c r="N1578" s="21"/>
      <c r="O1578" s="21"/>
      <c r="P1578" s="21"/>
      <c r="Q1578" s="21"/>
      <c r="R1578" s="21"/>
      <c r="S1578" s="21"/>
      <c r="T1578" s="21"/>
      <c r="U1578" s="22">
        <f>IFERROR(__xludf.DUMMYFUNCTION("IFERROR(GOOGLEFINANCE(A1578,""closeyest""),"""")"),51.0)</f>
        <v>51</v>
      </c>
      <c r="V1578" s="23">
        <f>IFERROR(__xludf.DUMMYFUNCTION("IFERROR(GOOGLEFINANCE(A1578,""changepct""),"""")"),0.0)</f>
        <v>0</v>
      </c>
      <c r="W1578" s="22" t="str">
        <f>IFERROR(__xludf.DUMMYFUNCTION("IFERROR(GOOGLEFINANCE(A1578,""priceopen""),"""")"),"")</f>
        <v/>
      </c>
      <c r="X1578" s="22" t="str">
        <f>IFERROR(__xludf.DUMMYFUNCTION("IFERROR(GOOGLEFINANCE(A1578,""high""),"""")"),"")</f>
        <v/>
      </c>
      <c r="Y1578" s="22" t="str">
        <f>IFERROR(__xludf.DUMMYFUNCTION("IFERROR(GOOGLEFINANCE(A1578,""low""),"""")"),"")</f>
        <v/>
      </c>
      <c r="Z1578" s="22">
        <f>IFERROR(__xludf.DUMMYFUNCTION("IFERROR(GOOGLEFINANCE(A1578,""volume""),"""")"),0.0)</f>
        <v>0</v>
      </c>
      <c r="AA1578" s="24" t="str">
        <f>VLOOKUP(A1578,Metrik!$C$2:$Y$959,5,0)</f>
        <v>Software</v>
      </c>
      <c r="AB1578" s="24" t="str">
        <f>VLOOKUP(A1578,Metrik!$C$2:$Y$959,3,0)</f>
        <v>Technology</v>
      </c>
    </row>
    <row r="1579">
      <c r="A1579" s="14" t="s">
        <v>861</v>
      </c>
      <c r="B1579" s="14" t="str">
        <f t="array" ref="B1579">VLOOKUP(A1579,{Metrik!$C$2:$C$998,Metrik!$B$2:$B$998},2,0)</f>
        <v>Gaya Abadi Sempurna Tbk.</v>
      </c>
      <c r="C1579" s="15">
        <f>IFERROR(__xludf.DUMMYFUNCTION("GOOGLEFINANCE(""IDX:""&amp;A1579,""price"")"),59.0)</f>
        <v>59</v>
      </c>
      <c r="D1579" s="16" t="str">
        <f>IFERROR(__xludf.DUMMYFUNCTION("IF(A1579="""","""",
SPARKLINE(
INDEX(
GOOGLEFINANCE(""IDX:""&amp;A1579,""close"",TODAY()-365,TODAY()),
,2
),
{""linewidth"",1}
))
"),"#N/A")</f>
        <v>#N/A</v>
      </c>
      <c r="E1579" s="26"/>
      <c r="F1579" s="26"/>
      <c r="G1579" s="24">
        <f t="shared" si="9"/>
        <v>0</v>
      </c>
      <c r="H1579" s="19">
        <f>VLOOKUP(A1579,Metrik!$C$2:$Y$959,8,0)</f>
        <v>-6.6</v>
      </c>
      <c r="I1579" s="20">
        <f>VLOOKUP(A1579,Metrik!$C$2:$Y$959,9,0)</f>
        <v>0.57</v>
      </c>
      <c r="J1579" s="20">
        <f>VLOOKUP(A1579,Metrik!$C$2:$Y$959,10,0)</f>
        <v>-8.7</v>
      </c>
      <c r="K1579" s="20">
        <f>VLOOKUP(A1579,Metrik!$C$2:$Y$959,11,0)</f>
        <v>-6.8</v>
      </c>
      <c r="L1579" s="20">
        <f>VLOOKUP(A1579,Metrik!$C$2:$Y$959,12,0)</f>
        <v>0.29</v>
      </c>
      <c r="M1579" s="20">
        <f>VLOOKUP(A1579,Metrik!$C$2:$Y$959,19,0)</f>
        <v>-57.9</v>
      </c>
      <c r="N1579" s="21"/>
      <c r="O1579" s="21"/>
      <c r="P1579" s="21"/>
      <c r="Q1579" s="21"/>
      <c r="R1579" s="21"/>
      <c r="S1579" s="21"/>
      <c r="T1579" s="21"/>
      <c r="U1579" s="22">
        <f>IFERROR(__xludf.DUMMYFUNCTION("IFERROR(GOOGLEFINANCE(A1579,""closeyest""),"""")"),55.0)</f>
        <v>55</v>
      </c>
      <c r="V1579" s="23">
        <f>IFERROR(__xludf.DUMMYFUNCTION("IFERROR(GOOGLEFINANCE(A1579,""changepct""),"""")"),7.27)</f>
        <v>7.27</v>
      </c>
      <c r="W1579" s="22">
        <f>IFERROR(__xludf.DUMMYFUNCTION("IFERROR(GOOGLEFINANCE(A1579,""priceopen""),"""")"),56.0)</f>
        <v>56</v>
      </c>
      <c r="X1579" s="22">
        <f>IFERROR(__xludf.DUMMYFUNCTION("IFERROR(GOOGLEFINANCE(A1579,""high""),"""")"),60.0)</f>
        <v>60</v>
      </c>
      <c r="Y1579" s="22">
        <f>IFERROR(__xludf.DUMMYFUNCTION("IFERROR(GOOGLEFINANCE(A1579,""low""),"""")"),55.0)</f>
        <v>55</v>
      </c>
      <c r="Z1579" s="22">
        <f>IFERROR(__xludf.DUMMYFUNCTION("IFERROR(GOOGLEFINANCE(A1579,""volume""),"""")"),1.54731E7)</f>
        <v>15473100</v>
      </c>
      <c r="AA1579" s="24" t="str">
        <f>VLOOKUP(A1579,Metrik!$C$2:$Y$959,5,0)</f>
        <v>Specialty Retail</v>
      </c>
      <c r="AB1579" s="24" t="str">
        <f>VLOOKUP(A1579,Metrik!$C$2:$Y$959,3,0)</f>
        <v>Consumer Cyclicals</v>
      </c>
    </row>
    <row r="1580">
      <c r="A1580" s="14" t="s">
        <v>862</v>
      </c>
      <c r="B1580" s="14" t="str">
        <f t="array" ref="B1580">VLOOKUP(A1580,{Metrik!$C$2:$C$998,Metrik!$B$2:$B$998},2,0)</f>
        <v>Sinar Mas Agro Resources and Technology Tbk.</v>
      </c>
      <c r="C1580" s="15">
        <f>IFERROR(__xludf.DUMMYFUNCTION("GOOGLEFINANCE(""IDX:""&amp;A1580,""price"")"),4590.0)</f>
        <v>4590</v>
      </c>
      <c r="D1580" s="16" t="str">
        <f>IFERROR(__xludf.DUMMYFUNCTION("IF(A1580="""","""",
SPARKLINE(
INDEX(
GOOGLEFINANCE(""IDX:""&amp;A1580,""close"",TODAY()-365,TODAY()),
,2
),
{""linewidth"",1}
))
"),"#N/A")</f>
        <v>#N/A</v>
      </c>
      <c r="E1580" s="26"/>
      <c r="F1580" s="26"/>
      <c r="G1580" s="24">
        <f t="shared" si="9"/>
        <v>0</v>
      </c>
      <c r="H1580" s="19">
        <f>VLOOKUP(A1580,Metrik!$C$2:$Y$959,8,0)</f>
        <v>4.3</v>
      </c>
      <c r="I1580" s="20">
        <f>VLOOKUP(A1580,Metrik!$C$2:$Y$959,9,0)</f>
        <v>0.61</v>
      </c>
      <c r="J1580" s="20">
        <f>VLOOKUP(A1580,Metrik!$C$2:$Y$959,10,0)</f>
        <v>14.1</v>
      </c>
      <c r="K1580" s="20">
        <f>VLOOKUP(A1580,Metrik!$C$2:$Y$959,11,0)</f>
        <v>7.2</v>
      </c>
      <c r="L1580" s="20">
        <f>VLOOKUP(A1580,Metrik!$C$2:$Y$959,12,0)</f>
        <v>0.97</v>
      </c>
      <c r="M1580" s="20">
        <f>VLOOKUP(A1580,Metrik!$C$2:$Y$959,19,0)</f>
        <v>15.8</v>
      </c>
      <c r="N1580" s="21"/>
      <c r="O1580" s="21"/>
      <c r="P1580" s="21"/>
      <c r="Q1580" s="21"/>
      <c r="R1580" s="21"/>
      <c r="S1580" s="21"/>
      <c r="T1580" s="21"/>
      <c r="U1580" s="22">
        <f>IFERROR(__xludf.DUMMYFUNCTION("IFERROR(GOOGLEFINANCE(A1580,""closeyest""),"""")"),4440.0)</f>
        <v>4440</v>
      </c>
      <c r="V1580" s="23">
        <f>IFERROR(__xludf.DUMMYFUNCTION("IFERROR(GOOGLEFINANCE(A1580,""changepct""),"""")"),3.38)</f>
        <v>3.38</v>
      </c>
      <c r="W1580" s="22">
        <f>IFERROR(__xludf.DUMMYFUNCTION("IFERROR(GOOGLEFINANCE(A1580,""priceopen""),"""")"),4440.0)</f>
        <v>4440</v>
      </c>
      <c r="X1580" s="22">
        <f>IFERROR(__xludf.DUMMYFUNCTION("IFERROR(GOOGLEFINANCE(A1580,""high""),"""")"),4700.0)</f>
        <v>4700</v>
      </c>
      <c r="Y1580" s="22">
        <f>IFERROR(__xludf.DUMMYFUNCTION("IFERROR(GOOGLEFINANCE(A1580,""low""),"""")"),4440.0)</f>
        <v>4440</v>
      </c>
      <c r="Z1580" s="22">
        <f>IFERROR(__xludf.DUMMYFUNCTION("IFERROR(GOOGLEFINANCE(A1580,""volume""),"""")"),58100.0)</f>
        <v>58100</v>
      </c>
      <c r="AA1580" s="24" t="str">
        <f>VLOOKUP(A1580,Metrik!$C$2:$Y$959,5,0)</f>
        <v>Agricultural Products</v>
      </c>
      <c r="AB1580" s="24" t="str">
        <f>VLOOKUP(A1580,Metrik!$C$2:$Y$959,3,0)</f>
        <v>Consumer Non-Cyclicals</v>
      </c>
    </row>
    <row r="1581">
      <c r="A1581" s="14" t="s">
        <v>863</v>
      </c>
      <c r="B1581" s="14" t="str">
        <f t="array" ref="B1581">VLOOKUP(A1581,{Metrik!$C$2:$C$998,Metrik!$B$2:$B$998},2,0)</f>
        <v>Semen Baturaja (Persero) Tbk.</v>
      </c>
      <c r="C1581" s="15">
        <f>IFERROR(__xludf.DUMMYFUNCTION("GOOGLEFINANCE(""IDX:""&amp;A1581,""price"")"),146.0)</f>
        <v>146</v>
      </c>
      <c r="D1581" s="16" t="str">
        <f>IFERROR(__xludf.DUMMYFUNCTION("IF(A1581="""","""",
SPARKLINE(
INDEX(
GOOGLEFINANCE(""IDX:""&amp;A1581,""close"",TODAY()-365,TODAY()),
,2
),
{""linewidth"",1}
))
"),"#N/A")</f>
        <v>#N/A</v>
      </c>
      <c r="E1581" s="14" t="s">
        <v>106</v>
      </c>
      <c r="F1581" s="25">
        <v>46356.0</v>
      </c>
      <c r="G1581" s="24">
        <f t="shared" si="9"/>
        <v>2</v>
      </c>
      <c r="H1581" s="19">
        <f>VLOOKUP(A1581,Metrik!$C$2:$Y$959,8,0)</f>
        <v>11.8</v>
      </c>
      <c r="I1581" s="20">
        <f>VLOOKUP(A1581,Metrik!$C$2:$Y$959,9,0)</f>
        <v>0.48</v>
      </c>
      <c r="J1581" s="20">
        <f>VLOOKUP(A1581,Metrik!$C$2:$Y$959,10,0)</f>
        <v>4.1</v>
      </c>
      <c r="K1581" s="20">
        <f>VLOOKUP(A1581,Metrik!$C$2:$Y$959,11,0)</f>
        <v>3</v>
      </c>
      <c r="L1581" s="20">
        <f>VLOOKUP(A1581,Metrik!$C$2:$Y$959,12,0)</f>
        <v>0.38</v>
      </c>
      <c r="M1581" s="20">
        <f>VLOOKUP(A1581,Metrik!$C$2:$Y$959,19,0)</f>
        <v>31.9</v>
      </c>
      <c r="N1581" s="21"/>
      <c r="O1581" s="21"/>
      <c r="P1581" s="21"/>
      <c r="Q1581" s="21"/>
      <c r="R1581" s="21"/>
      <c r="S1581" s="21"/>
      <c r="T1581" s="21"/>
      <c r="U1581" s="22">
        <f>IFERROR(__xludf.DUMMYFUNCTION("IFERROR(GOOGLEFINANCE(A1581,""closeyest""),"""")"),143.0)</f>
        <v>143</v>
      </c>
      <c r="V1581" s="23">
        <f>IFERROR(__xludf.DUMMYFUNCTION("IFERROR(GOOGLEFINANCE(A1581,""changepct""),"""")"),2.1)</f>
        <v>2.1</v>
      </c>
      <c r="W1581" s="22">
        <f>IFERROR(__xludf.DUMMYFUNCTION("IFERROR(GOOGLEFINANCE(A1581,""priceopen""),"""")"),143.0)</f>
        <v>143</v>
      </c>
      <c r="X1581" s="22">
        <f>IFERROR(__xludf.DUMMYFUNCTION("IFERROR(GOOGLEFINANCE(A1581,""high""),"""")"),148.0)</f>
        <v>148</v>
      </c>
      <c r="Y1581" s="22">
        <f>IFERROR(__xludf.DUMMYFUNCTION("IFERROR(GOOGLEFINANCE(A1581,""low""),"""")"),141.0)</f>
        <v>141</v>
      </c>
      <c r="Z1581" s="22">
        <f>IFERROR(__xludf.DUMMYFUNCTION("IFERROR(GOOGLEFINANCE(A1581,""volume""),"""")"),5707200.0)</f>
        <v>5707200</v>
      </c>
      <c r="AA1581" s="24" t="str">
        <f>VLOOKUP(A1581,Metrik!$C$2:$Y$959,5,0)</f>
        <v>Construction Materials</v>
      </c>
      <c r="AB1581" s="24" t="str">
        <f>VLOOKUP(A1581,Metrik!$C$2:$Y$959,3,0)</f>
        <v>Basic Materials</v>
      </c>
    </row>
    <row r="1582">
      <c r="A1582" s="14" t="s">
        <v>863</v>
      </c>
      <c r="B1582" s="14" t="str">
        <f t="array" ref="B1582">VLOOKUP(A1582,{Metrik!$C$2:$C$998,Metrik!$B$2:$B$998},2,0)</f>
        <v>Semen Baturaja (Persero) Tbk.</v>
      </c>
      <c r="C1582" s="15">
        <f>IFERROR(__xludf.DUMMYFUNCTION("GOOGLEFINANCE(""IDX:""&amp;A1582,""price"")"),146.0)</f>
        <v>146</v>
      </c>
      <c r="D1582" s="16" t="str">
        <f>IFERROR(__xludf.DUMMYFUNCTION("IF(A1582="""","""",
SPARKLINE(
INDEX(
GOOGLEFINANCE(""IDX:""&amp;A1582,""close"",TODAY()-365,TODAY()),
,2
),
{""linewidth"",1}
))
"),"#N/A")</f>
        <v>#N/A</v>
      </c>
      <c r="E1582" s="14" t="s">
        <v>61</v>
      </c>
      <c r="F1582" s="14" t="s">
        <v>34</v>
      </c>
      <c r="G1582" s="24">
        <f t="shared" si="9"/>
        <v>2</v>
      </c>
      <c r="H1582" s="19">
        <f>VLOOKUP(A1582,Metrik!$C$2:$Y$959,8,0)</f>
        <v>11.8</v>
      </c>
      <c r="I1582" s="20">
        <f>VLOOKUP(A1582,Metrik!$C$2:$Y$959,9,0)</f>
        <v>0.48</v>
      </c>
      <c r="J1582" s="20">
        <f>VLOOKUP(A1582,Metrik!$C$2:$Y$959,10,0)</f>
        <v>4.1</v>
      </c>
      <c r="K1582" s="20">
        <f>VLOOKUP(A1582,Metrik!$C$2:$Y$959,11,0)</f>
        <v>3</v>
      </c>
      <c r="L1582" s="20">
        <f>VLOOKUP(A1582,Metrik!$C$2:$Y$959,12,0)</f>
        <v>0.38</v>
      </c>
      <c r="M1582" s="20">
        <f>VLOOKUP(A1582,Metrik!$C$2:$Y$959,19,0)</f>
        <v>31.9</v>
      </c>
      <c r="N1582" s="21"/>
      <c r="O1582" s="21"/>
      <c r="P1582" s="21"/>
      <c r="Q1582" s="21"/>
      <c r="R1582" s="21"/>
      <c r="S1582" s="21"/>
      <c r="T1582" s="21"/>
      <c r="U1582" s="22">
        <f>IFERROR(__xludf.DUMMYFUNCTION("IFERROR(GOOGLEFINANCE(A1582,""closeyest""),"""")"),143.0)</f>
        <v>143</v>
      </c>
      <c r="V1582" s="23">
        <f>IFERROR(__xludf.DUMMYFUNCTION("IFERROR(GOOGLEFINANCE(A1582,""changepct""),"""")"),2.1)</f>
        <v>2.1</v>
      </c>
      <c r="W1582" s="22">
        <f>IFERROR(__xludf.DUMMYFUNCTION("IFERROR(GOOGLEFINANCE(A1582,""priceopen""),"""")"),143.0)</f>
        <v>143</v>
      </c>
      <c r="X1582" s="22">
        <f>IFERROR(__xludf.DUMMYFUNCTION("IFERROR(GOOGLEFINANCE(A1582,""high""),"""")"),148.0)</f>
        <v>148</v>
      </c>
      <c r="Y1582" s="22">
        <f>IFERROR(__xludf.DUMMYFUNCTION("IFERROR(GOOGLEFINANCE(A1582,""low""),"""")"),141.0)</f>
        <v>141</v>
      </c>
      <c r="Z1582" s="22">
        <f>IFERROR(__xludf.DUMMYFUNCTION("IFERROR(GOOGLEFINANCE(A1582,""volume""),"""")"),5707200.0)</f>
        <v>5707200</v>
      </c>
      <c r="AA1582" s="24" t="str">
        <f>VLOOKUP(A1582,Metrik!$C$2:$Y$959,5,0)</f>
        <v>Construction Materials</v>
      </c>
      <c r="AB1582" s="24" t="str">
        <f>VLOOKUP(A1582,Metrik!$C$2:$Y$959,3,0)</f>
        <v>Basic Materials</v>
      </c>
    </row>
    <row r="1583">
      <c r="A1583" s="14" t="s">
        <v>864</v>
      </c>
      <c r="B1583" s="14" t="str">
        <f t="array" ref="B1583">VLOOKUP(A1583,{Metrik!$C$2:$C$998,Metrik!$B$2:$B$998},2,0)</f>
        <v>Solusi Bangun Indonesia Tbk.</v>
      </c>
      <c r="C1583" s="15">
        <f>IFERROR(__xludf.DUMMYFUNCTION("GOOGLEFINANCE(""IDX:""&amp;A1583,""price"")"),775.0)</f>
        <v>775</v>
      </c>
      <c r="D1583" s="16" t="str">
        <f>IFERROR(__xludf.DUMMYFUNCTION("IF(A1583="""","""",
SPARKLINE(
INDEX(
GOOGLEFINANCE(""IDX:""&amp;A1583,""close"",TODAY()-365,TODAY()),
,2
),
{""linewidth"",1}
))
"),"#N/A")</f>
        <v>#N/A</v>
      </c>
      <c r="E1583" s="26"/>
      <c r="F1583" s="26"/>
      <c r="G1583" s="24">
        <f t="shared" si="9"/>
        <v>0</v>
      </c>
      <c r="H1583" s="19">
        <f>VLOOKUP(A1583,Metrik!$C$2:$Y$959,8,0)</f>
        <v>9.8</v>
      </c>
      <c r="I1583" s="20">
        <f>VLOOKUP(A1583,Metrik!$C$2:$Y$959,9,0)</f>
        <v>0.53</v>
      </c>
      <c r="J1583" s="20">
        <f>VLOOKUP(A1583,Metrik!$C$2:$Y$959,10,0)</f>
        <v>5.4</v>
      </c>
      <c r="K1583" s="20">
        <f>VLOOKUP(A1583,Metrik!$C$2:$Y$959,11,0)</f>
        <v>3.5</v>
      </c>
      <c r="L1583" s="20">
        <f>VLOOKUP(A1583,Metrik!$C$2:$Y$959,12,0)</f>
        <v>0.53</v>
      </c>
      <c r="M1583" s="20">
        <f>VLOOKUP(A1583,Metrik!$C$2:$Y$959,19,0)</f>
        <v>27.9</v>
      </c>
      <c r="N1583" s="21"/>
      <c r="O1583" s="21"/>
      <c r="P1583" s="21"/>
      <c r="Q1583" s="21"/>
      <c r="R1583" s="21"/>
      <c r="S1583" s="21"/>
      <c r="T1583" s="21"/>
      <c r="U1583" s="22">
        <f>IFERROR(__xludf.DUMMYFUNCTION("IFERROR(GOOGLEFINANCE(A1583,""closeyest""),"""")"),775.0)</f>
        <v>775</v>
      </c>
      <c r="V1583" s="23">
        <f>IFERROR(__xludf.DUMMYFUNCTION("IFERROR(GOOGLEFINANCE(A1583,""changepct""),"""")"),0.0)</f>
        <v>0</v>
      </c>
      <c r="W1583" s="22" t="str">
        <f>IFERROR(__xludf.DUMMYFUNCTION("IFERROR(GOOGLEFINANCE(A1583,""priceopen""),"""")"),"")</f>
        <v/>
      </c>
      <c r="X1583" s="22" t="str">
        <f>IFERROR(__xludf.DUMMYFUNCTION("IFERROR(GOOGLEFINANCE(A1583,""high""),"""")"),"")</f>
        <v/>
      </c>
      <c r="Y1583" s="22" t="str">
        <f>IFERROR(__xludf.DUMMYFUNCTION("IFERROR(GOOGLEFINANCE(A1583,""low""),"""")"),"")</f>
        <v/>
      </c>
      <c r="Z1583" s="22">
        <f>IFERROR(__xludf.DUMMYFUNCTION("IFERROR(GOOGLEFINANCE(A1583,""volume""),"""")"),0.0)</f>
        <v>0</v>
      </c>
      <c r="AA1583" s="24" t="str">
        <f>VLOOKUP(A1583,Metrik!$C$2:$Y$959,5,0)</f>
        <v>Construction Materials</v>
      </c>
      <c r="AB1583" s="24" t="str">
        <f>VLOOKUP(A1583,Metrik!$C$2:$Y$959,3,0)</f>
        <v>Basic Materials</v>
      </c>
    </row>
    <row r="1584">
      <c r="A1584" s="14" t="s">
        <v>865</v>
      </c>
      <c r="B1584" s="14" t="str">
        <f t="array" ref="B1584">VLOOKUP(A1584,{Metrik!$C$2:$C$998,Metrik!$B$2:$B$998},2,0)</f>
        <v>Suryamas Dutamakmur Tbk.</v>
      </c>
      <c r="C1584" s="15">
        <f>IFERROR(__xludf.DUMMYFUNCTION("GOOGLEFINANCE(""IDX:""&amp;A1584,""price"")"),505.0)</f>
        <v>505</v>
      </c>
      <c r="D1584" s="16" t="str">
        <f>IFERROR(__xludf.DUMMYFUNCTION("IF(A1584="""","""",
SPARKLINE(
INDEX(
GOOGLEFINANCE(""IDX:""&amp;A1584,""close"",TODAY()-365,TODAY()),
,2
),
{""linewidth"",1}
))
"),"#N/A")</f>
        <v>#N/A</v>
      </c>
      <c r="E1584" s="26"/>
      <c r="F1584" s="26"/>
      <c r="G1584" s="24">
        <f t="shared" si="9"/>
        <v>0</v>
      </c>
      <c r="H1584" s="19">
        <f>VLOOKUP(A1584,Metrik!$C$2:$Y$959,8,0)</f>
        <v>110</v>
      </c>
      <c r="I1584" s="20">
        <f>VLOOKUP(A1584,Metrik!$C$2:$Y$959,9,0)</f>
        <v>0.75</v>
      </c>
      <c r="J1584" s="20">
        <f>VLOOKUP(A1584,Metrik!$C$2:$Y$959,10,0)</f>
        <v>0.68</v>
      </c>
      <c r="K1584" s="20">
        <f>VLOOKUP(A1584,Metrik!$C$2:$Y$959,11,0)</f>
        <v>0.63</v>
      </c>
      <c r="L1584" s="20">
        <f>VLOOKUP(A1584,Metrik!$C$2:$Y$959,12,0)</f>
        <v>0.08</v>
      </c>
      <c r="M1584" s="20">
        <f>VLOOKUP(A1584,Metrik!$C$2:$Y$959,19,0)</f>
        <v>5.7</v>
      </c>
      <c r="N1584" s="21"/>
      <c r="O1584" s="21"/>
      <c r="P1584" s="21"/>
      <c r="Q1584" s="21"/>
      <c r="R1584" s="21"/>
      <c r="S1584" s="21"/>
      <c r="T1584" s="21"/>
      <c r="U1584" s="22" t="str">
        <f>IFERROR(__xludf.DUMMYFUNCTION("IFERROR(GOOGLEFINANCE(A1584,""closeyest""),"""")"),"")</f>
        <v/>
      </c>
      <c r="V1584" s="23">
        <f>IFERROR(__xludf.DUMMYFUNCTION("IFERROR(GOOGLEFINANCE(A1584,""changepct""),"""")"),4.34)</f>
        <v>4.34</v>
      </c>
      <c r="W1584" s="22">
        <f>IFERROR(__xludf.DUMMYFUNCTION("IFERROR(GOOGLEFINANCE(A1584,""priceopen""),"""")"),484.0)</f>
        <v>484</v>
      </c>
      <c r="X1584" s="22">
        <f>IFERROR(__xludf.DUMMYFUNCTION("IFERROR(GOOGLEFINANCE(A1584,""high""),"""")"),505.0)</f>
        <v>505</v>
      </c>
      <c r="Y1584" s="22">
        <f>IFERROR(__xludf.DUMMYFUNCTION("IFERROR(GOOGLEFINANCE(A1584,""low""),"""")"),480.0)</f>
        <v>480</v>
      </c>
      <c r="Z1584" s="22">
        <f>IFERROR(__xludf.DUMMYFUNCTION("IFERROR(GOOGLEFINANCE(A1584,""volume""),"""")"),35500.0)</f>
        <v>35500</v>
      </c>
      <c r="AA1584" s="24" t="str">
        <f>VLOOKUP(A1584,Metrik!$C$2:$Y$959,5,0)</f>
        <v>Real Estate Management &amp; Development</v>
      </c>
      <c r="AB1584" s="24" t="str">
        <f>VLOOKUP(A1584,Metrik!$C$2:$Y$959,3,0)</f>
        <v>Properties &amp; Real Estate</v>
      </c>
    </row>
    <row r="1585">
      <c r="A1585" s="14" t="s">
        <v>866</v>
      </c>
      <c r="B1585" s="14" t="str">
        <f t="array" ref="B1585">VLOOKUP(A1585,{Metrik!$C$2:$C$998,Metrik!$B$2:$B$998},2,0)</f>
        <v>Samudera Indonesia Tbk.</v>
      </c>
      <c r="C1585" s="15">
        <f>IFERROR(__xludf.DUMMYFUNCTION("GOOGLEFINANCE(""IDX:""&amp;A1585,""price"")"),286.0)</f>
        <v>286</v>
      </c>
      <c r="D1585" s="16" t="str">
        <f>IFERROR(__xludf.DUMMYFUNCTION("IF(A1585="""","""",
SPARKLINE(
INDEX(
GOOGLEFINANCE(""IDX:""&amp;A1585,""close"",TODAY()-365,TODAY()),
,2
),
{""linewidth"",1}
))
"),"#N/A")</f>
        <v>#N/A</v>
      </c>
      <c r="E1585" s="14" t="s">
        <v>102</v>
      </c>
      <c r="F1585" s="27" t="s">
        <v>53</v>
      </c>
      <c r="G1585" s="24">
        <f t="shared" si="9"/>
        <v>2</v>
      </c>
      <c r="H1585" s="19">
        <f>VLOOKUP(A1585,Metrik!$C$2:$Y$959,8,0)</f>
        <v>6.2</v>
      </c>
      <c r="I1585" s="20">
        <f>VLOOKUP(A1585,Metrik!$C$2:$Y$959,9,0)</f>
        <v>0.37</v>
      </c>
      <c r="J1585" s="20">
        <f>VLOOKUP(A1585,Metrik!$C$2:$Y$959,10,0)</f>
        <v>5.9</v>
      </c>
      <c r="K1585" s="20">
        <f>VLOOKUP(A1585,Metrik!$C$2:$Y$959,11,0)</f>
        <v>3.2</v>
      </c>
      <c r="L1585" s="20">
        <f>VLOOKUP(A1585,Metrik!$C$2:$Y$959,12,0)</f>
        <v>0.86</v>
      </c>
      <c r="M1585" s="20">
        <f>VLOOKUP(A1585,Metrik!$C$2:$Y$959,19,0)</f>
        <v>25.2</v>
      </c>
      <c r="N1585" s="21"/>
      <c r="O1585" s="21"/>
      <c r="P1585" s="21"/>
      <c r="Q1585" s="21"/>
      <c r="R1585" s="21"/>
      <c r="S1585" s="21"/>
      <c r="T1585" s="21"/>
      <c r="U1585" s="22">
        <f>IFERROR(__xludf.DUMMYFUNCTION("IFERROR(GOOGLEFINANCE(A1585,""closeyest""),"""")"),274.0)</f>
        <v>274</v>
      </c>
      <c r="V1585" s="23">
        <f>IFERROR(__xludf.DUMMYFUNCTION("IFERROR(GOOGLEFINANCE(A1585,""changepct""),"""")"),4.38)</f>
        <v>4.38</v>
      </c>
      <c r="W1585" s="22">
        <f>IFERROR(__xludf.DUMMYFUNCTION("IFERROR(GOOGLEFINANCE(A1585,""priceopen""),"""")"),274.0)</f>
        <v>274</v>
      </c>
      <c r="X1585" s="22">
        <f>IFERROR(__xludf.DUMMYFUNCTION("IFERROR(GOOGLEFINANCE(A1585,""high""),"""")"),290.0)</f>
        <v>290</v>
      </c>
      <c r="Y1585" s="22">
        <f>IFERROR(__xludf.DUMMYFUNCTION("IFERROR(GOOGLEFINANCE(A1585,""low""),"""")"),274.0)</f>
        <v>274</v>
      </c>
      <c r="Z1585" s="22">
        <f>IFERROR(__xludf.DUMMYFUNCTION("IFERROR(GOOGLEFINANCE(A1585,""volume""),"""")"),1.05219E7)</f>
        <v>10521900</v>
      </c>
      <c r="AA1585" s="24" t="str">
        <f>VLOOKUP(A1585,Metrik!$C$2:$Y$959,5,0)</f>
        <v>Logistics &amp; Deliveries</v>
      </c>
      <c r="AB1585" s="24" t="str">
        <f>VLOOKUP(A1585,Metrik!$C$2:$Y$959,3,0)</f>
        <v>Transportation &amp; Logistic</v>
      </c>
    </row>
    <row r="1586">
      <c r="A1586" s="14" t="s">
        <v>866</v>
      </c>
      <c r="B1586" s="14" t="str">
        <f t="array" ref="B1586">VLOOKUP(A1586,{Metrik!$C$2:$C$998,Metrik!$B$2:$B$998},2,0)</f>
        <v>Samudera Indonesia Tbk.</v>
      </c>
      <c r="C1586" s="15">
        <f>IFERROR(__xludf.DUMMYFUNCTION("GOOGLEFINANCE(""IDX:""&amp;A1586,""price"")"),286.0)</f>
        <v>286</v>
      </c>
      <c r="D1586" s="16" t="str">
        <f>IFERROR(__xludf.DUMMYFUNCTION("IF(A1586="""","""",
SPARKLINE(
INDEX(
GOOGLEFINANCE(""IDX:""&amp;A1586,""close"",TODAY()-365,TODAY()),
,2
),
{""linewidth"",1}
))
"),"#N/A")</f>
        <v>#N/A</v>
      </c>
      <c r="E1586" s="14" t="s">
        <v>161</v>
      </c>
      <c r="F1586" s="14" t="s">
        <v>76</v>
      </c>
      <c r="G1586" s="24">
        <f t="shared" si="9"/>
        <v>2</v>
      </c>
      <c r="H1586" s="19">
        <f>VLOOKUP(A1586,Metrik!$C$2:$Y$959,8,0)</f>
        <v>6.2</v>
      </c>
      <c r="I1586" s="20">
        <f>VLOOKUP(A1586,Metrik!$C$2:$Y$959,9,0)</f>
        <v>0.37</v>
      </c>
      <c r="J1586" s="20">
        <f>VLOOKUP(A1586,Metrik!$C$2:$Y$959,10,0)</f>
        <v>5.9</v>
      </c>
      <c r="K1586" s="20">
        <f>VLOOKUP(A1586,Metrik!$C$2:$Y$959,11,0)</f>
        <v>3.2</v>
      </c>
      <c r="L1586" s="20">
        <f>VLOOKUP(A1586,Metrik!$C$2:$Y$959,12,0)</f>
        <v>0.86</v>
      </c>
      <c r="M1586" s="20">
        <f>VLOOKUP(A1586,Metrik!$C$2:$Y$959,19,0)</f>
        <v>25.2</v>
      </c>
      <c r="N1586" s="21"/>
      <c r="O1586" s="21"/>
      <c r="P1586" s="21"/>
      <c r="Q1586" s="21"/>
      <c r="R1586" s="21"/>
      <c r="S1586" s="21"/>
      <c r="T1586" s="21"/>
      <c r="U1586" s="22">
        <f>IFERROR(__xludf.DUMMYFUNCTION("IFERROR(GOOGLEFINANCE(A1586,""closeyest""),"""")"),274.0)</f>
        <v>274</v>
      </c>
      <c r="V1586" s="23">
        <f>IFERROR(__xludf.DUMMYFUNCTION("IFERROR(GOOGLEFINANCE(A1586,""changepct""),"""")"),4.38)</f>
        <v>4.38</v>
      </c>
      <c r="W1586" s="22">
        <f>IFERROR(__xludf.DUMMYFUNCTION("IFERROR(GOOGLEFINANCE(A1586,""priceopen""),"""")"),274.0)</f>
        <v>274</v>
      </c>
      <c r="X1586" s="22">
        <f>IFERROR(__xludf.DUMMYFUNCTION("IFERROR(GOOGLEFINANCE(A1586,""high""),"""")"),290.0)</f>
        <v>290</v>
      </c>
      <c r="Y1586" s="22">
        <f>IFERROR(__xludf.DUMMYFUNCTION("IFERROR(GOOGLEFINANCE(A1586,""low""),"""")"),274.0)</f>
        <v>274</v>
      </c>
      <c r="Z1586" s="22">
        <f>IFERROR(__xludf.DUMMYFUNCTION("IFERROR(GOOGLEFINANCE(A1586,""volume""),"""")"),1.05219E7)</f>
        <v>10521900</v>
      </c>
      <c r="AA1586" s="24" t="str">
        <f>VLOOKUP(A1586,Metrik!$C$2:$Y$959,5,0)</f>
        <v>Logistics &amp; Deliveries</v>
      </c>
      <c r="AB1586" s="24" t="str">
        <f>VLOOKUP(A1586,Metrik!$C$2:$Y$959,3,0)</f>
        <v>Transportation &amp; Logistic</v>
      </c>
    </row>
    <row r="1587">
      <c r="A1587" s="14" t="s">
        <v>867</v>
      </c>
      <c r="B1587" s="14" t="str">
        <f t="array" ref="B1587">VLOOKUP(A1587,{Metrik!$C$2:$C$998,Metrik!$B$2:$B$998},2,0)</f>
        <v>Sumber Mineral Global Abadi Tbk.</v>
      </c>
      <c r="C1587" s="15">
        <f>IFERROR(__xludf.DUMMYFUNCTION("GOOGLEFINANCE(""IDX:""&amp;A1587,""price"")"),67.0)</f>
        <v>67</v>
      </c>
      <c r="D1587" s="16" t="str">
        <f>IFERROR(__xludf.DUMMYFUNCTION("IF(A1587="""","""",
SPARKLINE(
INDEX(
GOOGLEFINANCE(""IDX:""&amp;A1587,""close"",TODAY()-365,TODAY()),
,2
),
{""linewidth"",1}
))
"),"#N/A")</f>
        <v>#N/A</v>
      </c>
      <c r="E1587" s="26"/>
      <c r="F1587" s="26"/>
      <c r="G1587" s="24">
        <f t="shared" si="9"/>
        <v>0</v>
      </c>
      <c r="H1587" s="19">
        <f>VLOOKUP(A1587,Metrik!$C$2:$Y$959,8,0)</f>
        <v>11.7</v>
      </c>
      <c r="I1587" s="20">
        <f>VLOOKUP(A1587,Metrik!$C$2:$Y$959,9,0)</f>
        <v>1.5</v>
      </c>
      <c r="J1587" s="20">
        <f>VLOOKUP(A1587,Metrik!$C$2:$Y$959,10,0)</f>
        <v>13.1</v>
      </c>
      <c r="K1587" s="20">
        <f>VLOOKUP(A1587,Metrik!$C$2:$Y$959,11,0)</f>
        <v>4.4</v>
      </c>
      <c r="L1587" s="20">
        <f>VLOOKUP(A1587,Metrik!$C$2:$Y$959,12,0)</f>
        <v>2</v>
      </c>
      <c r="M1587" s="20">
        <f>VLOOKUP(A1587,Metrik!$C$2:$Y$959,19,0)</f>
        <v>7.6</v>
      </c>
      <c r="N1587" s="21"/>
      <c r="O1587" s="21"/>
      <c r="P1587" s="21"/>
      <c r="Q1587" s="21"/>
      <c r="R1587" s="21"/>
      <c r="S1587" s="21"/>
      <c r="T1587" s="21"/>
      <c r="U1587" s="22">
        <f>IFERROR(__xludf.DUMMYFUNCTION("IFERROR(GOOGLEFINANCE(A1587,""closeyest""),"""")"),60.0)</f>
        <v>60</v>
      </c>
      <c r="V1587" s="23">
        <f>IFERROR(__xludf.DUMMYFUNCTION("IFERROR(GOOGLEFINANCE(A1587,""changepct""),"""")"),11.67)</f>
        <v>11.67</v>
      </c>
      <c r="W1587" s="22">
        <f>IFERROR(__xludf.DUMMYFUNCTION("IFERROR(GOOGLEFINANCE(A1587,""priceopen""),"""")"),61.0)</f>
        <v>61</v>
      </c>
      <c r="X1587" s="22">
        <f>IFERROR(__xludf.DUMMYFUNCTION("IFERROR(GOOGLEFINANCE(A1587,""high""),"""")"),73.0)</f>
        <v>73</v>
      </c>
      <c r="Y1587" s="22">
        <f>IFERROR(__xludf.DUMMYFUNCTION("IFERROR(GOOGLEFINANCE(A1587,""low""),"""")"),61.0)</f>
        <v>61</v>
      </c>
      <c r="Z1587" s="22">
        <f>IFERROR(__xludf.DUMMYFUNCTION("IFERROR(GOOGLEFINANCE(A1587,""volume""),"""")"),1.45084E7)</f>
        <v>14508400</v>
      </c>
      <c r="AA1587" s="24" t="str">
        <f>VLOOKUP(A1587,Metrik!$C$2:$Y$959,5,0)</f>
        <v>Metals &amp; Minerals</v>
      </c>
      <c r="AB1587" s="24" t="str">
        <f>VLOOKUP(A1587,Metrik!$C$2:$Y$959,3,0)</f>
        <v>Basic Materials</v>
      </c>
    </row>
    <row r="1588">
      <c r="A1588" s="14" t="s">
        <v>868</v>
      </c>
      <c r="B1588" s="14" t="str">
        <f t="array" ref="B1588">VLOOKUP(A1588,{Metrik!$C$2:$C$998,Metrik!$B$2:$B$998},2,0)</f>
        <v>Semen Indonesia (Persero) Tbk.</v>
      </c>
      <c r="C1588" s="15">
        <f>IFERROR(__xludf.DUMMYFUNCTION("GOOGLEFINANCE(""IDX:""&amp;A1588,""price"")"),1530.0)</f>
        <v>1530</v>
      </c>
      <c r="D1588" s="16" t="str">
        <f>IFERROR(__xludf.DUMMYFUNCTION("IF(A1588="""","""",
SPARKLINE(
INDEX(
GOOGLEFINANCE(""IDX:""&amp;A1588,""close"",TODAY()-365,TODAY()),
,2
),
{""linewidth"",1}
))
"),"#N/A")</f>
        <v>#N/A</v>
      </c>
      <c r="E1588" s="14" t="s">
        <v>47</v>
      </c>
      <c r="F1588" s="25">
        <v>46356.0</v>
      </c>
      <c r="G1588" s="24">
        <f t="shared" si="9"/>
        <v>17</v>
      </c>
      <c r="H1588" s="19">
        <f>VLOOKUP(A1588,Metrik!$C$2:$Y$959,8,0)</f>
        <v>49.9</v>
      </c>
      <c r="I1588" s="20">
        <f>VLOOKUP(A1588,Metrik!$C$2:$Y$959,9,0)</f>
        <v>0.24</v>
      </c>
      <c r="J1588" s="20">
        <f>VLOOKUP(A1588,Metrik!$C$2:$Y$959,10,0)</f>
        <v>0.48</v>
      </c>
      <c r="K1588" s="20">
        <f>VLOOKUP(A1588,Metrik!$C$2:$Y$959,11,0)</f>
        <v>0.3</v>
      </c>
      <c r="L1588" s="20">
        <f>VLOOKUP(A1588,Metrik!$C$2:$Y$959,12,0)</f>
        <v>0.58</v>
      </c>
      <c r="M1588" s="20">
        <f>VLOOKUP(A1588,Metrik!$C$2:$Y$959,19,0)</f>
        <v>2.8</v>
      </c>
      <c r="N1588" s="21"/>
      <c r="O1588" s="21"/>
      <c r="P1588" s="21"/>
      <c r="Q1588" s="21"/>
      <c r="R1588" s="21"/>
      <c r="S1588" s="21"/>
      <c r="T1588" s="21"/>
      <c r="U1588" s="22">
        <f>IFERROR(__xludf.DUMMYFUNCTION("IFERROR(GOOGLEFINANCE(A1588,""closeyest""),"""")"),1550.0)</f>
        <v>1550</v>
      </c>
      <c r="V1588" s="23">
        <f>IFERROR(__xludf.DUMMYFUNCTION("IFERROR(GOOGLEFINANCE(A1588,""changepct""),"""")"),-1.29)</f>
        <v>-1.29</v>
      </c>
      <c r="W1588" s="22">
        <f>IFERROR(__xludf.DUMMYFUNCTION("IFERROR(GOOGLEFINANCE(A1588,""priceopen""),"""")"),1550.0)</f>
        <v>1550</v>
      </c>
      <c r="X1588" s="22">
        <f>IFERROR(__xludf.DUMMYFUNCTION("IFERROR(GOOGLEFINANCE(A1588,""high""),"""")"),1585.0)</f>
        <v>1585</v>
      </c>
      <c r="Y1588" s="22">
        <f>IFERROR(__xludf.DUMMYFUNCTION("IFERROR(GOOGLEFINANCE(A1588,""low""),"""")"),1525.0)</f>
        <v>1525</v>
      </c>
      <c r="Z1588" s="22">
        <f>IFERROR(__xludf.DUMMYFUNCTION("IFERROR(GOOGLEFINANCE(A1588,""volume""),"""")"),1.54673E7)</f>
        <v>15467300</v>
      </c>
      <c r="AA1588" s="24" t="str">
        <f>VLOOKUP(A1588,Metrik!$C$2:$Y$959,5,0)</f>
        <v>Construction Materials</v>
      </c>
      <c r="AB1588" s="24" t="str">
        <f>VLOOKUP(A1588,Metrik!$C$2:$Y$959,3,0)</f>
        <v>Basic Materials</v>
      </c>
    </row>
    <row r="1589">
      <c r="A1589" s="14" t="s">
        <v>868</v>
      </c>
      <c r="B1589" s="14" t="str">
        <f t="array" ref="B1589">VLOOKUP(A1589,{Metrik!$C$2:$C$998,Metrik!$B$2:$B$998},2,0)</f>
        <v>Semen Indonesia (Persero) Tbk.</v>
      </c>
      <c r="C1589" s="15">
        <f>IFERROR(__xludf.DUMMYFUNCTION("GOOGLEFINANCE(""IDX:""&amp;A1589,""price"")"),1530.0)</f>
        <v>1530</v>
      </c>
      <c r="D1589" s="16" t="str">
        <f>IFERROR(__xludf.DUMMYFUNCTION("IF(A1589="""","""",
SPARKLINE(
INDEX(
GOOGLEFINANCE(""IDX:""&amp;A1589,""close"",TODAY()-365,TODAY()),
,2
),
{""linewidth"",1}
))
"),"#N/A")</f>
        <v>#N/A</v>
      </c>
      <c r="E1589" s="14" t="s">
        <v>106</v>
      </c>
      <c r="F1589" s="25">
        <v>46356.0</v>
      </c>
      <c r="G1589" s="24">
        <f t="shared" si="9"/>
        <v>17</v>
      </c>
      <c r="H1589" s="19">
        <f>VLOOKUP(A1589,Metrik!$C$2:$Y$959,8,0)</f>
        <v>49.9</v>
      </c>
      <c r="I1589" s="20">
        <f>VLOOKUP(A1589,Metrik!$C$2:$Y$959,9,0)</f>
        <v>0.24</v>
      </c>
      <c r="J1589" s="20">
        <f>VLOOKUP(A1589,Metrik!$C$2:$Y$959,10,0)</f>
        <v>0.48</v>
      </c>
      <c r="K1589" s="20">
        <f>VLOOKUP(A1589,Metrik!$C$2:$Y$959,11,0)</f>
        <v>0.3</v>
      </c>
      <c r="L1589" s="20">
        <f>VLOOKUP(A1589,Metrik!$C$2:$Y$959,12,0)</f>
        <v>0.58</v>
      </c>
      <c r="M1589" s="20">
        <f>VLOOKUP(A1589,Metrik!$C$2:$Y$959,19,0)</f>
        <v>2.8</v>
      </c>
      <c r="N1589" s="21"/>
      <c r="O1589" s="21"/>
      <c r="P1589" s="21"/>
      <c r="Q1589" s="21"/>
      <c r="R1589" s="21"/>
      <c r="S1589" s="21"/>
      <c r="T1589" s="21"/>
      <c r="U1589" s="22">
        <f>IFERROR(__xludf.DUMMYFUNCTION("IFERROR(GOOGLEFINANCE(A1589,""closeyest""),"""")"),1550.0)</f>
        <v>1550</v>
      </c>
      <c r="V1589" s="23">
        <f>IFERROR(__xludf.DUMMYFUNCTION("IFERROR(GOOGLEFINANCE(A1589,""changepct""),"""")"),-1.29)</f>
        <v>-1.29</v>
      </c>
      <c r="W1589" s="22">
        <f>IFERROR(__xludf.DUMMYFUNCTION("IFERROR(GOOGLEFINANCE(A1589,""priceopen""),"""")"),1550.0)</f>
        <v>1550</v>
      </c>
      <c r="X1589" s="22">
        <f>IFERROR(__xludf.DUMMYFUNCTION("IFERROR(GOOGLEFINANCE(A1589,""high""),"""")"),1585.0)</f>
        <v>1585</v>
      </c>
      <c r="Y1589" s="22">
        <f>IFERROR(__xludf.DUMMYFUNCTION("IFERROR(GOOGLEFINANCE(A1589,""low""),"""")"),1525.0)</f>
        <v>1525</v>
      </c>
      <c r="Z1589" s="22">
        <f>IFERROR(__xludf.DUMMYFUNCTION("IFERROR(GOOGLEFINANCE(A1589,""volume""),"""")"),1.54673E7)</f>
        <v>15467300</v>
      </c>
      <c r="AA1589" s="24" t="str">
        <f>VLOOKUP(A1589,Metrik!$C$2:$Y$959,5,0)</f>
        <v>Construction Materials</v>
      </c>
      <c r="AB1589" s="24" t="str">
        <f>VLOOKUP(A1589,Metrik!$C$2:$Y$959,3,0)</f>
        <v>Basic Materials</v>
      </c>
    </row>
    <row r="1590">
      <c r="A1590" s="14" t="s">
        <v>868</v>
      </c>
      <c r="B1590" s="14" t="str">
        <f t="array" ref="B1590">VLOOKUP(A1590,{Metrik!$C$2:$C$998,Metrik!$B$2:$B$998},2,0)</f>
        <v>Semen Indonesia (Persero) Tbk.</v>
      </c>
      <c r="C1590" s="15">
        <f>IFERROR(__xludf.DUMMYFUNCTION("GOOGLEFINANCE(""IDX:""&amp;A1590,""price"")"),1530.0)</f>
        <v>1530</v>
      </c>
      <c r="D1590" s="16" t="str">
        <f>IFERROR(__xludf.DUMMYFUNCTION("IF(A1590="""","""",
SPARKLINE(
INDEX(
GOOGLEFINANCE(""IDX:""&amp;A1590,""close"",TODAY()-365,TODAY()),
,2
),
{""linewidth"",1}
))
"),"#N/A")</f>
        <v>#N/A</v>
      </c>
      <c r="E1590" s="14" t="s">
        <v>42</v>
      </c>
      <c r="F1590" s="25">
        <v>46356.0</v>
      </c>
      <c r="G1590" s="24">
        <f t="shared" si="9"/>
        <v>17</v>
      </c>
      <c r="H1590" s="19">
        <f>VLOOKUP(A1590,Metrik!$C$2:$Y$959,8,0)</f>
        <v>49.9</v>
      </c>
      <c r="I1590" s="20">
        <f>VLOOKUP(A1590,Metrik!$C$2:$Y$959,9,0)</f>
        <v>0.24</v>
      </c>
      <c r="J1590" s="20">
        <f>VLOOKUP(A1590,Metrik!$C$2:$Y$959,10,0)</f>
        <v>0.48</v>
      </c>
      <c r="K1590" s="20">
        <f>VLOOKUP(A1590,Metrik!$C$2:$Y$959,11,0)</f>
        <v>0.3</v>
      </c>
      <c r="L1590" s="20">
        <f>VLOOKUP(A1590,Metrik!$C$2:$Y$959,12,0)</f>
        <v>0.58</v>
      </c>
      <c r="M1590" s="20">
        <f>VLOOKUP(A1590,Metrik!$C$2:$Y$959,19,0)</f>
        <v>2.8</v>
      </c>
      <c r="N1590" s="21"/>
      <c r="O1590" s="21"/>
      <c r="P1590" s="21"/>
      <c r="Q1590" s="21"/>
      <c r="R1590" s="21"/>
      <c r="S1590" s="21"/>
      <c r="T1590" s="21"/>
      <c r="U1590" s="22">
        <f>IFERROR(__xludf.DUMMYFUNCTION("IFERROR(GOOGLEFINANCE(A1590,""closeyest""),"""")"),1550.0)</f>
        <v>1550</v>
      </c>
      <c r="V1590" s="23">
        <f>IFERROR(__xludf.DUMMYFUNCTION("IFERROR(GOOGLEFINANCE(A1590,""changepct""),"""")"),-1.29)</f>
        <v>-1.29</v>
      </c>
      <c r="W1590" s="22">
        <f>IFERROR(__xludf.DUMMYFUNCTION("IFERROR(GOOGLEFINANCE(A1590,""priceopen""),"""")"),1550.0)</f>
        <v>1550</v>
      </c>
      <c r="X1590" s="22">
        <f>IFERROR(__xludf.DUMMYFUNCTION("IFERROR(GOOGLEFINANCE(A1590,""high""),"""")"),1585.0)</f>
        <v>1585</v>
      </c>
      <c r="Y1590" s="22">
        <f>IFERROR(__xludf.DUMMYFUNCTION("IFERROR(GOOGLEFINANCE(A1590,""low""),"""")"),1525.0)</f>
        <v>1525</v>
      </c>
      <c r="Z1590" s="22">
        <f>IFERROR(__xludf.DUMMYFUNCTION("IFERROR(GOOGLEFINANCE(A1590,""volume""),"""")"),1.54673E7)</f>
        <v>15467300</v>
      </c>
      <c r="AA1590" s="24" t="str">
        <f>VLOOKUP(A1590,Metrik!$C$2:$Y$959,5,0)</f>
        <v>Construction Materials</v>
      </c>
      <c r="AB1590" s="24" t="str">
        <f>VLOOKUP(A1590,Metrik!$C$2:$Y$959,3,0)</f>
        <v>Basic Materials</v>
      </c>
    </row>
    <row r="1591">
      <c r="A1591" s="14" t="s">
        <v>868</v>
      </c>
      <c r="B1591" s="14" t="str">
        <f t="array" ref="B1591">VLOOKUP(A1591,{Metrik!$C$2:$C$998,Metrik!$B$2:$B$998},2,0)</f>
        <v>Semen Indonesia (Persero) Tbk.</v>
      </c>
      <c r="C1591" s="15">
        <f>IFERROR(__xludf.DUMMYFUNCTION("GOOGLEFINANCE(""IDX:""&amp;A1591,""price"")"),1530.0)</f>
        <v>1530</v>
      </c>
      <c r="D1591" s="16" t="str">
        <f>IFERROR(__xludf.DUMMYFUNCTION("IF(A1591="""","""",
SPARKLINE(
INDEX(
GOOGLEFINANCE(""IDX:""&amp;A1591,""close"",TODAY()-365,TODAY()),
,2
),
{""linewidth"",1}
))
"),"#N/A")</f>
        <v>#N/A</v>
      </c>
      <c r="E1591" s="14" t="s">
        <v>55</v>
      </c>
      <c r="F1591" s="25">
        <v>46356.0</v>
      </c>
      <c r="G1591" s="24">
        <f t="shared" si="9"/>
        <v>17</v>
      </c>
      <c r="H1591" s="19">
        <f>VLOOKUP(A1591,Metrik!$C$2:$Y$959,8,0)</f>
        <v>49.9</v>
      </c>
      <c r="I1591" s="20">
        <f>VLOOKUP(A1591,Metrik!$C$2:$Y$959,9,0)</f>
        <v>0.24</v>
      </c>
      <c r="J1591" s="20">
        <f>VLOOKUP(A1591,Metrik!$C$2:$Y$959,10,0)</f>
        <v>0.48</v>
      </c>
      <c r="K1591" s="20">
        <f>VLOOKUP(A1591,Metrik!$C$2:$Y$959,11,0)</f>
        <v>0.3</v>
      </c>
      <c r="L1591" s="20">
        <f>VLOOKUP(A1591,Metrik!$C$2:$Y$959,12,0)</f>
        <v>0.58</v>
      </c>
      <c r="M1591" s="20">
        <f>VLOOKUP(A1591,Metrik!$C$2:$Y$959,19,0)</f>
        <v>2.8</v>
      </c>
      <c r="N1591" s="21"/>
      <c r="O1591" s="21"/>
      <c r="P1591" s="21"/>
      <c r="Q1591" s="21"/>
      <c r="R1591" s="21"/>
      <c r="S1591" s="21"/>
      <c r="T1591" s="21"/>
      <c r="U1591" s="22">
        <f>IFERROR(__xludf.DUMMYFUNCTION("IFERROR(GOOGLEFINANCE(A1591,""closeyest""),"""")"),1550.0)</f>
        <v>1550</v>
      </c>
      <c r="V1591" s="23">
        <f>IFERROR(__xludf.DUMMYFUNCTION("IFERROR(GOOGLEFINANCE(A1591,""changepct""),"""")"),-1.29)</f>
        <v>-1.29</v>
      </c>
      <c r="W1591" s="22">
        <f>IFERROR(__xludf.DUMMYFUNCTION("IFERROR(GOOGLEFINANCE(A1591,""priceopen""),"""")"),1550.0)</f>
        <v>1550</v>
      </c>
      <c r="X1591" s="22">
        <f>IFERROR(__xludf.DUMMYFUNCTION("IFERROR(GOOGLEFINANCE(A1591,""high""),"""")"),1585.0)</f>
        <v>1585</v>
      </c>
      <c r="Y1591" s="22">
        <f>IFERROR(__xludf.DUMMYFUNCTION("IFERROR(GOOGLEFINANCE(A1591,""low""),"""")"),1525.0)</f>
        <v>1525</v>
      </c>
      <c r="Z1591" s="22">
        <f>IFERROR(__xludf.DUMMYFUNCTION("IFERROR(GOOGLEFINANCE(A1591,""volume""),"""")"),1.54673E7)</f>
        <v>15467300</v>
      </c>
      <c r="AA1591" s="24" t="str">
        <f>VLOOKUP(A1591,Metrik!$C$2:$Y$959,5,0)</f>
        <v>Construction Materials</v>
      </c>
      <c r="AB1591" s="24" t="str">
        <f>VLOOKUP(A1591,Metrik!$C$2:$Y$959,3,0)</f>
        <v>Basic Materials</v>
      </c>
    </row>
    <row r="1592">
      <c r="A1592" s="14" t="s">
        <v>868</v>
      </c>
      <c r="B1592" s="14" t="str">
        <f t="array" ref="B1592">VLOOKUP(A1592,{Metrik!$C$2:$C$998,Metrik!$B$2:$B$998},2,0)</f>
        <v>Semen Indonesia (Persero) Tbk.</v>
      </c>
      <c r="C1592" s="15">
        <f>IFERROR(__xludf.DUMMYFUNCTION("GOOGLEFINANCE(""IDX:""&amp;A1592,""price"")"),1530.0)</f>
        <v>1530</v>
      </c>
      <c r="D1592" s="16" t="str">
        <f>IFERROR(__xludf.DUMMYFUNCTION("IF(A1592="""","""",
SPARKLINE(
INDEX(
GOOGLEFINANCE(""IDX:""&amp;A1592,""close"",TODAY()-365,TODAY()),
,2
),
{""linewidth"",1}
))
"),"#N/A")</f>
        <v>#N/A</v>
      </c>
      <c r="E1592" s="14" t="s">
        <v>161</v>
      </c>
      <c r="F1592" s="14" t="s">
        <v>76</v>
      </c>
      <c r="G1592" s="24">
        <f t="shared" si="9"/>
        <v>17</v>
      </c>
      <c r="H1592" s="19">
        <f>VLOOKUP(A1592,Metrik!$C$2:$Y$959,8,0)</f>
        <v>49.9</v>
      </c>
      <c r="I1592" s="20">
        <f>VLOOKUP(A1592,Metrik!$C$2:$Y$959,9,0)</f>
        <v>0.24</v>
      </c>
      <c r="J1592" s="20">
        <f>VLOOKUP(A1592,Metrik!$C$2:$Y$959,10,0)</f>
        <v>0.48</v>
      </c>
      <c r="K1592" s="20">
        <f>VLOOKUP(A1592,Metrik!$C$2:$Y$959,11,0)</f>
        <v>0.3</v>
      </c>
      <c r="L1592" s="20">
        <f>VLOOKUP(A1592,Metrik!$C$2:$Y$959,12,0)</f>
        <v>0.58</v>
      </c>
      <c r="M1592" s="20">
        <f>VLOOKUP(A1592,Metrik!$C$2:$Y$959,19,0)</f>
        <v>2.8</v>
      </c>
      <c r="N1592" s="21"/>
      <c r="O1592" s="21"/>
      <c r="P1592" s="21"/>
      <c r="Q1592" s="21"/>
      <c r="R1592" s="21"/>
      <c r="S1592" s="21"/>
      <c r="T1592" s="21"/>
      <c r="U1592" s="22">
        <f>IFERROR(__xludf.DUMMYFUNCTION("IFERROR(GOOGLEFINANCE(A1592,""closeyest""),"""")"),1550.0)</f>
        <v>1550</v>
      </c>
      <c r="V1592" s="23">
        <f>IFERROR(__xludf.DUMMYFUNCTION("IFERROR(GOOGLEFINANCE(A1592,""changepct""),"""")"),-1.29)</f>
        <v>-1.29</v>
      </c>
      <c r="W1592" s="22">
        <f>IFERROR(__xludf.DUMMYFUNCTION("IFERROR(GOOGLEFINANCE(A1592,""priceopen""),"""")"),1550.0)</f>
        <v>1550</v>
      </c>
      <c r="X1592" s="22">
        <f>IFERROR(__xludf.DUMMYFUNCTION("IFERROR(GOOGLEFINANCE(A1592,""high""),"""")"),1585.0)</f>
        <v>1585</v>
      </c>
      <c r="Y1592" s="22">
        <f>IFERROR(__xludf.DUMMYFUNCTION("IFERROR(GOOGLEFINANCE(A1592,""low""),"""")"),1525.0)</f>
        <v>1525</v>
      </c>
      <c r="Z1592" s="22">
        <f>IFERROR(__xludf.DUMMYFUNCTION("IFERROR(GOOGLEFINANCE(A1592,""volume""),"""")"),1.54673E7)</f>
        <v>15467300</v>
      </c>
      <c r="AA1592" s="24" t="str">
        <f>VLOOKUP(A1592,Metrik!$C$2:$Y$959,5,0)</f>
        <v>Construction Materials</v>
      </c>
      <c r="AB1592" s="24" t="str">
        <f>VLOOKUP(A1592,Metrik!$C$2:$Y$959,3,0)</f>
        <v>Basic Materials</v>
      </c>
    </row>
    <row r="1593">
      <c r="A1593" s="14" t="s">
        <v>868</v>
      </c>
      <c r="B1593" s="14" t="str">
        <f t="array" ref="B1593">VLOOKUP(A1593,{Metrik!$C$2:$C$998,Metrik!$B$2:$B$998},2,0)</f>
        <v>Semen Indonesia (Persero) Tbk.</v>
      </c>
      <c r="C1593" s="15">
        <f>IFERROR(__xludf.DUMMYFUNCTION("GOOGLEFINANCE(""IDX:""&amp;A1593,""price"")"),1530.0)</f>
        <v>1530</v>
      </c>
      <c r="D1593" s="16" t="str">
        <f>IFERROR(__xludf.DUMMYFUNCTION("IF(A1593="""","""",
SPARKLINE(
INDEX(
GOOGLEFINANCE(""IDX:""&amp;A1593,""close"",TODAY()-365,TODAY()),
,2
),
{""linewidth"",1}
))
"),"#N/A")</f>
        <v>#N/A</v>
      </c>
      <c r="E1593" s="14" t="s">
        <v>32</v>
      </c>
      <c r="F1593" s="14" t="s">
        <v>29</v>
      </c>
      <c r="G1593" s="24">
        <f t="shared" si="9"/>
        <v>17</v>
      </c>
      <c r="H1593" s="19">
        <f>VLOOKUP(A1593,Metrik!$C$2:$Y$959,8,0)</f>
        <v>49.9</v>
      </c>
      <c r="I1593" s="20">
        <f>VLOOKUP(A1593,Metrik!$C$2:$Y$959,9,0)</f>
        <v>0.24</v>
      </c>
      <c r="J1593" s="20">
        <f>VLOOKUP(A1593,Metrik!$C$2:$Y$959,10,0)</f>
        <v>0.48</v>
      </c>
      <c r="K1593" s="20">
        <f>VLOOKUP(A1593,Metrik!$C$2:$Y$959,11,0)</f>
        <v>0.3</v>
      </c>
      <c r="L1593" s="20">
        <f>VLOOKUP(A1593,Metrik!$C$2:$Y$959,12,0)</f>
        <v>0.58</v>
      </c>
      <c r="M1593" s="20">
        <f>VLOOKUP(A1593,Metrik!$C$2:$Y$959,19,0)</f>
        <v>2.8</v>
      </c>
      <c r="N1593" s="21"/>
      <c r="O1593" s="21"/>
      <c r="P1593" s="21"/>
      <c r="Q1593" s="21"/>
      <c r="R1593" s="21"/>
      <c r="S1593" s="21"/>
      <c r="T1593" s="21"/>
      <c r="U1593" s="22">
        <f>IFERROR(__xludf.DUMMYFUNCTION("IFERROR(GOOGLEFINANCE(A1593,""closeyest""),"""")"),1550.0)</f>
        <v>1550</v>
      </c>
      <c r="V1593" s="23">
        <f>IFERROR(__xludf.DUMMYFUNCTION("IFERROR(GOOGLEFINANCE(A1593,""changepct""),"""")"),-1.29)</f>
        <v>-1.29</v>
      </c>
      <c r="W1593" s="22">
        <f>IFERROR(__xludf.DUMMYFUNCTION("IFERROR(GOOGLEFINANCE(A1593,""priceopen""),"""")"),1550.0)</f>
        <v>1550</v>
      </c>
      <c r="X1593" s="22">
        <f>IFERROR(__xludf.DUMMYFUNCTION("IFERROR(GOOGLEFINANCE(A1593,""high""),"""")"),1585.0)</f>
        <v>1585</v>
      </c>
      <c r="Y1593" s="22">
        <f>IFERROR(__xludf.DUMMYFUNCTION("IFERROR(GOOGLEFINANCE(A1593,""low""),"""")"),1525.0)</f>
        <v>1525</v>
      </c>
      <c r="Z1593" s="22">
        <f>IFERROR(__xludf.DUMMYFUNCTION("IFERROR(GOOGLEFINANCE(A1593,""volume""),"""")"),1.54673E7)</f>
        <v>15467300</v>
      </c>
      <c r="AA1593" s="24" t="str">
        <f>VLOOKUP(A1593,Metrik!$C$2:$Y$959,5,0)</f>
        <v>Construction Materials</v>
      </c>
      <c r="AB1593" s="24" t="str">
        <f>VLOOKUP(A1593,Metrik!$C$2:$Y$959,3,0)</f>
        <v>Basic Materials</v>
      </c>
    </row>
    <row r="1594">
      <c r="A1594" s="14" t="s">
        <v>868</v>
      </c>
      <c r="B1594" s="14" t="str">
        <f t="array" ref="B1594">VLOOKUP(A1594,{Metrik!$C$2:$C$998,Metrik!$B$2:$B$998},2,0)</f>
        <v>Semen Indonesia (Persero) Tbk.</v>
      </c>
      <c r="C1594" s="15">
        <f>IFERROR(__xludf.DUMMYFUNCTION("GOOGLEFINANCE(""IDX:""&amp;A1594,""price"")"),1530.0)</f>
        <v>1530</v>
      </c>
      <c r="D1594" s="16" t="str">
        <f>IFERROR(__xludf.DUMMYFUNCTION("IF(A1594="""","""",
SPARKLINE(
INDEX(
GOOGLEFINANCE(""IDX:""&amp;A1594,""close"",TODAY()-365,TODAY()),
,2
),
{""linewidth"",1}
))
"),"#N/A")</f>
        <v>#N/A</v>
      </c>
      <c r="E1594" s="14" t="s">
        <v>52</v>
      </c>
      <c r="F1594" s="27" t="s">
        <v>53</v>
      </c>
      <c r="G1594" s="24">
        <f t="shared" si="9"/>
        <v>17</v>
      </c>
      <c r="H1594" s="19">
        <f>VLOOKUP(A1594,Metrik!$C$2:$Y$959,8,0)</f>
        <v>49.9</v>
      </c>
      <c r="I1594" s="20">
        <f>VLOOKUP(A1594,Metrik!$C$2:$Y$959,9,0)</f>
        <v>0.24</v>
      </c>
      <c r="J1594" s="20">
        <f>VLOOKUP(A1594,Metrik!$C$2:$Y$959,10,0)</f>
        <v>0.48</v>
      </c>
      <c r="K1594" s="20">
        <f>VLOOKUP(A1594,Metrik!$C$2:$Y$959,11,0)</f>
        <v>0.3</v>
      </c>
      <c r="L1594" s="20">
        <f>VLOOKUP(A1594,Metrik!$C$2:$Y$959,12,0)</f>
        <v>0.58</v>
      </c>
      <c r="M1594" s="20">
        <f>VLOOKUP(A1594,Metrik!$C$2:$Y$959,19,0)</f>
        <v>2.8</v>
      </c>
      <c r="N1594" s="21"/>
      <c r="O1594" s="21"/>
      <c r="P1594" s="21"/>
      <c r="Q1594" s="21"/>
      <c r="R1594" s="21"/>
      <c r="S1594" s="21"/>
      <c r="T1594" s="21"/>
      <c r="U1594" s="22">
        <f>IFERROR(__xludf.DUMMYFUNCTION("IFERROR(GOOGLEFINANCE(A1594,""closeyest""),"""")"),1550.0)</f>
        <v>1550</v>
      </c>
      <c r="V1594" s="23">
        <f>IFERROR(__xludf.DUMMYFUNCTION("IFERROR(GOOGLEFINANCE(A1594,""changepct""),"""")"),-1.29)</f>
        <v>-1.29</v>
      </c>
      <c r="W1594" s="22">
        <f>IFERROR(__xludf.DUMMYFUNCTION("IFERROR(GOOGLEFINANCE(A1594,""priceopen""),"""")"),1550.0)</f>
        <v>1550</v>
      </c>
      <c r="X1594" s="22">
        <f>IFERROR(__xludf.DUMMYFUNCTION("IFERROR(GOOGLEFINANCE(A1594,""high""),"""")"),1585.0)</f>
        <v>1585</v>
      </c>
      <c r="Y1594" s="22">
        <f>IFERROR(__xludf.DUMMYFUNCTION("IFERROR(GOOGLEFINANCE(A1594,""low""),"""")"),1525.0)</f>
        <v>1525</v>
      </c>
      <c r="Z1594" s="22">
        <f>IFERROR(__xludf.DUMMYFUNCTION("IFERROR(GOOGLEFINANCE(A1594,""volume""),"""")"),1.54673E7)</f>
        <v>15467300</v>
      </c>
      <c r="AA1594" s="24" t="str">
        <f>VLOOKUP(A1594,Metrik!$C$2:$Y$959,5,0)</f>
        <v>Construction Materials</v>
      </c>
      <c r="AB1594" s="24" t="str">
        <f>VLOOKUP(A1594,Metrik!$C$2:$Y$959,3,0)</f>
        <v>Basic Materials</v>
      </c>
    </row>
    <row r="1595">
      <c r="A1595" s="14" t="s">
        <v>868</v>
      </c>
      <c r="B1595" s="14" t="str">
        <f t="array" ref="B1595">VLOOKUP(A1595,{Metrik!$C$2:$C$998,Metrik!$B$2:$B$998},2,0)</f>
        <v>Semen Indonesia (Persero) Tbk.</v>
      </c>
      <c r="C1595" s="15">
        <f>IFERROR(__xludf.DUMMYFUNCTION("GOOGLEFINANCE(""IDX:""&amp;A1595,""price"")"),1530.0)</f>
        <v>1530</v>
      </c>
      <c r="D1595" s="16" t="str">
        <f>IFERROR(__xludf.DUMMYFUNCTION("IF(A1595="""","""",
SPARKLINE(
INDEX(
GOOGLEFINANCE(""IDX:""&amp;A1595,""close"",TODAY()-365,TODAY()),
,2
),
{""linewidth"",1}
))
"),"#N/A")</f>
        <v>#N/A</v>
      </c>
      <c r="E1595" s="14" t="s">
        <v>28</v>
      </c>
      <c r="F1595" s="17" t="s">
        <v>29</v>
      </c>
      <c r="G1595" s="24">
        <f t="shared" si="9"/>
        <v>17</v>
      </c>
      <c r="H1595" s="19">
        <f>VLOOKUP(A1595,Metrik!$C$2:$Y$959,8,0)</f>
        <v>49.9</v>
      </c>
      <c r="I1595" s="20">
        <f>VLOOKUP(A1595,Metrik!$C$2:$Y$959,9,0)</f>
        <v>0.24</v>
      </c>
      <c r="J1595" s="20">
        <f>VLOOKUP(A1595,Metrik!$C$2:$Y$959,10,0)</f>
        <v>0.48</v>
      </c>
      <c r="K1595" s="20">
        <f>VLOOKUP(A1595,Metrik!$C$2:$Y$959,11,0)</f>
        <v>0.3</v>
      </c>
      <c r="L1595" s="20">
        <f>VLOOKUP(A1595,Metrik!$C$2:$Y$959,12,0)</f>
        <v>0.58</v>
      </c>
      <c r="M1595" s="20">
        <f>VLOOKUP(A1595,Metrik!$C$2:$Y$959,19,0)</f>
        <v>2.8</v>
      </c>
      <c r="N1595" s="21"/>
      <c r="O1595" s="21"/>
      <c r="P1595" s="21"/>
      <c r="Q1595" s="21"/>
      <c r="R1595" s="21"/>
      <c r="S1595" s="21"/>
      <c r="T1595" s="21"/>
      <c r="U1595" s="22">
        <f>IFERROR(__xludf.DUMMYFUNCTION("IFERROR(GOOGLEFINANCE(A1595,""closeyest""),"""")"),1550.0)</f>
        <v>1550</v>
      </c>
      <c r="V1595" s="23">
        <f>IFERROR(__xludf.DUMMYFUNCTION("IFERROR(GOOGLEFINANCE(A1595,""changepct""),"""")"),-1.29)</f>
        <v>-1.29</v>
      </c>
      <c r="W1595" s="22">
        <f>IFERROR(__xludf.DUMMYFUNCTION("IFERROR(GOOGLEFINANCE(A1595,""priceopen""),"""")"),1550.0)</f>
        <v>1550</v>
      </c>
      <c r="X1595" s="22">
        <f>IFERROR(__xludf.DUMMYFUNCTION("IFERROR(GOOGLEFINANCE(A1595,""high""),"""")"),1585.0)</f>
        <v>1585</v>
      </c>
      <c r="Y1595" s="22">
        <f>IFERROR(__xludf.DUMMYFUNCTION("IFERROR(GOOGLEFINANCE(A1595,""low""),"""")"),1525.0)</f>
        <v>1525</v>
      </c>
      <c r="Z1595" s="22">
        <f>IFERROR(__xludf.DUMMYFUNCTION("IFERROR(GOOGLEFINANCE(A1595,""volume""),"""")"),1.54673E7)</f>
        <v>15467300</v>
      </c>
      <c r="AA1595" s="24" t="str">
        <f>VLOOKUP(A1595,Metrik!$C$2:$Y$959,5,0)</f>
        <v>Construction Materials</v>
      </c>
      <c r="AB1595" s="24" t="str">
        <f>VLOOKUP(A1595,Metrik!$C$2:$Y$959,3,0)</f>
        <v>Basic Materials</v>
      </c>
    </row>
    <row r="1596">
      <c r="A1596" s="14" t="s">
        <v>868</v>
      </c>
      <c r="B1596" s="14" t="str">
        <f t="array" ref="B1596">VLOOKUP(A1596,{Metrik!$C$2:$C$998,Metrik!$B$2:$B$998},2,0)</f>
        <v>Semen Indonesia (Persero) Tbk.</v>
      </c>
      <c r="C1596" s="15">
        <f>IFERROR(__xludf.DUMMYFUNCTION("GOOGLEFINANCE(""IDX:""&amp;A1596,""price"")"),1530.0)</f>
        <v>1530</v>
      </c>
      <c r="D1596" s="16" t="str">
        <f>IFERROR(__xludf.DUMMYFUNCTION("IF(A1596="""","""",
SPARKLINE(
INDEX(
GOOGLEFINANCE(""IDX:""&amp;A1596,""close"",TODAY()-365,TODAY()),
,2
),
{""linewidth"",1}
))
"),"#N/A")</f>
        <v>#N/A</v>
      </c>
      <c r="E1596" s="14" t="s">
        <v>85</v>
      </c>
      <c r="F1596" s="17" t="s">
        <v>51</v>
      </c>
      <c r="G1596" s="24">
        <f t="shared" si="9"/>
        <v>17</v>
      </c>
      <c r="H1596" s="19">
        <f>VLOOKUP(A1596,Metrik!$C$2:$Y$959,8,0)</f>
        <v>49.9</v>
      </c>
      <c r="I1596" s="20">
        <f>VLOOKUP(A1596,Metrik!$C$2:$Y$959,9,0)</f>
        <v>0.24</v>
      </c>
      <c r="J1596" s="20">
        <f>VLOOKUP(A1596,Metrik!$C$2:$Y$959,10,0)</f>
        <v>0.48</v>
      </c>
      <c r="K1596" s="20">
        <f>VLOOKUP(A1596,Metrik!$C$2:$Y$959,11,0)</f>
        <v>0.3</v>
      </c>
      <c r="L1596" s="20">
        <f>VLOOKUP(A1596,Metrik!$C$2:$Y$959,12,0)</f>
        <v>0.58</v>
      </c>
      <c r="M1596" s="20">
        <f>VLOOKUP(A1596,Metrik!$C$2:$Y$959,19,0)</f>
        <v>2.8</v>
      </c>
      <c r="N1596" s="21"/>
      <c r="O1596" s="21"/>
      <c r="P1596" s="21"/>
      <c r="Q1596" s="21"/>
      <c r="R1596" s="21"/>
      <c r="S1596" s="21"/>
      <c r="T1596" s="21"/>
      <c r="U1596" s="22">
        <f>IFERROR(__xludf.DUMMYFUNCTION("IFERROR(GOOGLEFINANCE(A1596,""closeyest""),"""")"),1550.0)</f>
        <v>1550</v>
      </c>
      <c r="V1596" s="23">
        <f>IFERROR(__xludf.DUMMYFUNCTION("IFERROR(GOOGLEFINANCE(A1596,""changepct""),"""")"),-1.29)</f>
        <v>-1.29</v>
      </c>
      <c r="W1596" s="22">
        <f>IFERROR(__xludf.DUMMYFUNCTION("IFERROR(GOOGLEFINANCE(A1596,""priceopen""),"""")"),1550.0)</f>
        <v>1550</v>
      </c>
      <c r="X1596" s="22">
        <f>IFERROR(__xludf.DUMMYFUNCTION("IFERROR(GOOGLEFINANCE(A1596,""high""),"""")"),1585.0)</f>
        <v>1585</v>
      </c>
      <c r="Y1596" s="22">
        <f>IFERROR(__xludf.DUMMYFUNCTION("IFERROR(GOOGLEFINANCE(A1596,""low""),"""")"),1525.0)</f>
        <v>1525</v>
      </c>
      <c r="Z1596" s="22">
        <f>IFERROR(__xludf.DUMMYFUNCTION("IFERROR(GOOGLEFINANCE(A1596,""volume""),"""")"),1.54673E7)</f>
        <v>15467300</v>
      </c>
      <c r="AA1596" s="24" t="str">
        <f>VLOOKUP(A1596,Metrik!$C$2:$Y$959,5,0)</f>
        <v>Construction Materials</v>
      </c>
      <c r="AB1596" s="24" t="str">
        <f>VLOOKUP(A1596,Metrik!$C$2:$Y$959,3,0)</f>
        <v>Basic Materials</v>
      </c>
    </row>
    <row r="1597">
      <c r="A1597" s="14" t="s">
        <v>868</v>
      </c>
      <c r="B1597" s="14" t="str">
        <f t="array" ref="B1597">VLOOKUP(A1597,{Metrik!$C$2:$C$998,Metrik!$B$2:$B$998},2,0)</f>
        <v>Semen Indonesia (Persero) Tbk.</v>
      </c>
      <c r="C1597" s="15">
        <f>IFERROR(__xludf.DUMMYFUNCTION("GOOGLEFINANCE(""IDX:""&amp;A1597,""price"")"),1530.0)</f>
        <v>1530</v>
      </c>
      <c r="D1597" s="16" t="str">
        <f>IFERROR(__xludf.DUMMYFUNCTION("IF(A1597="""","""",
SPARKLINE(
INDEX(
GOOGLEFINANCE(""IDX:""&amp;A1597,""close"",TODAY()-365,TODAY()),
,2
),
{""linewidth"",1}
))
"),"#N/A")</f>
        <v>#N/A</v>
      </c>
      <c r="E1597" s="14" t="s">
        <v>31</v>
      </c>
      <c r="F1597" s="17" t="s">
        <v>29</v>
      </c>
      <c r="G1597" s="24">
        <f t="shared" si="9"/>
        <v>17</v>
      </c>
      <c r="H1597" s="19">
        <f>VLOOKUP(A1597,Metrik!$C$2:$Y$959,8,0)</f>
        <v>49.9</v>
      </c>
      <c r="I1597" s="20">
        <f>VLOOKUP(A1597,Metrik!$C$2:$Y$959,9,0)</f>
        <v>0.24</v>
      </c>
      <c r="J1597" s="20">
        <f>VLOOKUP(A1597,Metrik!$C$2:$Y$959,10,0)</f>
        <v>0.48</v>
      </c>
      <c r="K1597" s="20">
        <f>VLOOKUP(A1597,Metrik!$C$2:$Y$959,11,0)</f>
        <v>0.3</v>
      </c>
      <c r="L1597" s="20">
        <f>VLOOKUP(A1597,Metrik!$C$2:$Y$959,12,0)</f>
        <v>0.58</v>
      </c>
      <c r="M1597" s="20">
        <f>VLOOKUP(A1597,Metrik!$C$2:$Y$959,19,0)</f>
        <v>2.8</v>
      </c>
      <c r="N1597" s="21"/>
      <c r="O1597" s="21"/>
      <c r="P1597" s="21"/>
      <c r="Q1597" s="21"/>
      <c r="R1597" s="21"/>
      <c r="S1597" s="21"/>
      <c r="T1597" s="21"/>
      <c r="U1597" s="22">
        <f>IFERROR(__xludf.DUMMYFUNCTION("IFERROR(GOOGLEFINANCE(A1597,""closeyest""),"""")"),1550.0)</f>
        <v>1550</v>
      </c>
      <c r="V1597" s="23">
        <f>IFERROR(__xludf.DUMMYFUNCTION("IFERROR(GOOGLEFINANCE(A1597,""changepct""),"""")"),-1.29)</f>
        <v>-1.29</v>
      </c>
      <c r="W1597" s="22">
        <f>IFERROR(__xludf.DUMMYFUNCTION("IFERROR(GOOGLEFINANCE(A1597,""priceopen""),"""")"),1550.0)</f>
        <v>1550</v>
      </c>
      <c r="X1597" s="22">
        <f>IFERROR(__xludf.DUMMYFUNCTION("IFERROR(GOOGLEFINANCE(A1597,""high""),"""")"),1585.0)</f>
        <v>1585</v>
      </c>
      <c r="Y1597" s="22">
        <f>IFERROR(__xludf.DUMMYFUNCTION("IFERROR(GOOGLEFINANCE(A1597,""low""),"""")"),1525.0)</f>
        <v>1525</v>
      </c>
      <c r="Z1597" s="22">
        <f>IFERROR(__xludf.DUMMYFUNCTION("IFERROR(GOOGLEFINANCE(A1597,""volume""),"""")"),1.54673E7)</f>
        <v>15467300</v>
      </c>
      <c r="AA1597" s="24" t="str">
        <f>VLOOKUP(A1597,Metrik!$C$2:$Y$959,5,0)</f>
        <v>Construction Materials</v>
      </c>
      <c r="AB1597" s="24" t="str">
        <f>VLOOKUP(A1597,Metrik!$C$2:$Y$959,3,0)</f>
        <v>Basic Materials</v>
      </c>
    </row>
    <row r="1598">
      <c r="A1598" s="14" t="s">
        <v>868</v>
      </c>
      <c r="B1598" s="14" t="str">
        <f t="array" ref="B1598">VLOOKUP(A1598,{Metrik!$C$2:$C$998,Metrik!$B$2:$B$998},2,0)</f>
        <v>Semen Indonesia (Persero) Tbk.</v>
      </c>
      <c r="C1598" s="15">
        <f>IFERROR(__xludf.DUMMYFUNCTION("GOOGLEFINANCE(""IDX:""&amp;A1598,""price"")"),1530.0)</f>
        <v>1530</v>
      </c>
      <c r="D1598" s="16" t="str">
        <f>IFERROR(__xludf.DUMMYFUNCTION("IF(A1598="""","""",
SPARKLINE(
INDEX(
GOOGLEFINANCE(""IDX:""&amp;A1598,""close"",TODAY()-365,TODAY()),
,2
),
{""linewidth"",1}
))
"),"#N/A")</f>
        <v>#N/A</v>
      </c>
      <c r="E1598" s="14" t="s">
        <v>50</v>
      </c>
      <c r="F1598" s="17" t="s">
        <v>51</v>
      </c>
      <c r="G1598" s="24">
        <f t="shared" si="9"/>
        <v>17</v>
      </c>
      <c r="H1598" s="19">
        <f>VLOOKUP(A1598,Metrik!$C$2:$Y$959,8,0)</f>
        <v>49.9</v>
      </c>
      <c r="I1598" s="20">
        <f>VLOOKUP(A1598,Metrik!$C$2:$Y$959,9,0)</f>
        <v>0.24</v>
      </c>
      <c r="J1598" s="20">
        <f>VLOOKUP(A1598,Metrik!$C$2:$Y$959,10,0)</f>
        <v>0.48</v>
      </c>
      <c r="K1598" s="20">
        <f>VLOOKUP(A1598,Metrik!$C$2:$Y$959,11,0)</f>
        <v>0.3</v>
      </c>
      <c r="L1598" s="20">
        <f>VLOOKUP(A1598,Metrik!$C$2:$Y$959,12,0)</f>
        <v>0.58</v>
      </c>
      <c r="M1598" s="20">
        <f>VLOOKUP(A1598,Metrik!$C$2:$Y$959,19,0)</f>
        <v>2.8</v>
      </c>
      <c r="N1598" s="21"/>
      <c r="O1598" s="21"/>
      <c r="P1598" s="21"/>
      <c r="Q1598" s="21"/>
      <c r="R1598" s="21"/>
      <c r="S1598" s="21"/>
      <c r="T1598" s="21"/>
      <c r="U1598" s="22">
        <f>IFERROR(__xludf.DUMMYFUNCTION("IFERROR(GOOGLEFINANCE(A1598,""closeyest""),"""")"),1550.0)</f>
        <v>1550</v>
      </c>
      <c r="V1598" s="23">
        <f>IFERROR(__xludf.DUMMYFUNCTION("IFERROR(GOOGLEFINANCE(A1598,""changepct""),"""")"),-1.29)</f>
        <v>-1.29</v>
      </c>
      <c r="W1598" s="22">
        <f>IFERROR(__xludf.DUMMYFUNCTION("IFERROR(GOOGLEFINANCE(A1598,""priceopen""),"""")"),1550.0)</f>
        <v>1550</v>
      </c>
      <c r="X1598" s="22">
        <f>IFERROR(__xludf.DUMMYFUNCTION("IFERROR(GOOGLEFINANCE(A1598,""high""),"""")"),1585.0)</f>
        <v>1585</v>
      </c>
      <c r="Y1598" s="22">
        <f>IFERROR(__xludf.DUMMYFUNCTION("IFERROR(GOOGLEFINANCE(A1598,""low""),"""")"),1525.0)</f>
        <v>1525</v>
      </c>
      <c r="Z1598" s="22">
        <f>IFERROR(__xludf.DUMMYFUNCTION("IFERROR(GOOGLEFINANCE(A1598,""volume""),"""")"),1.54673E7)</f>
        <v>15467300</v>
      </c>
      <c r="AA1598" s="24" t="str">
        <f>VLOOKUP(A1598,Metrik!$C$2:$Y$959,5,0)</f>
        <v>Construction Materials</v>
      </c>
      <c r="AB1598" s="24" t="str">
        <f>VLOOKUP(A1598,Metrik!$C$2:$Y$959,3,0)</f>
        <v>Basic Materials</v>
      </c>
    </row>
    <row r="1599">
      <c r="A1599" s="14" t="s">
        <v>868</v>
      </c>
      <c r="B1599" s="14" t="str">
        <f t="array" ref="B1599">VLOOKUP(A1599,{Metrik!$C$2:$C$998,Metrik!$B$2:$B$998},2,0)</f>
        <v>Semen Indonesia (Persero) Tbk.</v>
      </c>
      <c r="C1599" s="15">
        <f>IFERROR(__xludf.DUMMYFUNCTION("GOOGLEFINANCE(""IDX:""&amp;A1599,""price"")"),1530.0)</f>
        <v>1530</v>
      </c>
      <c r="D1599" s="16" t="str">
        <f>IFERROR(__xludf.DUMMYFUNCTION("IF(A1599="""","""",
SPARKLINE(
INDEX(
GOOGLEFINANCE(""IDX:""&amp;A1599,""close"",TODAY()-365,TODAY()),
,2
),
{""linewidth"",1}
))
"),"#N/A")</f>
        <v>#N/A</v>
      </c>
      <c r="E1599" s="14" t="s">
        <v>41</v>
      </c>
      <c r="F1599" s="14" t="s">
        <v>34</v>
      </c>
      <c r="G1599" s="24">
        <f t="shared" si="9"/>
        <v>17</v>
      </c>
      <c r="H1599" s="19">
        <f>VLOOKUP(A1599,Metrik!$C$2:$Y$959,8,0)</f>
        <v>49.9</v>
      </c>
      <c r="I1599" s="20">
        <f>VLOOKUP(A1599,Metrik!$C$2:$Y$959,9,0)</f>
        <v>0.24</v>
      </c>
      <c r="J1599" s="20">
        <f>VLOOKUP(A1599,Metrik!$C$2:$Y$959,10,0)</f>
        <v>0.48</v>
      </c>
      <c r="K1599" s="20">
        <f>VLOOKUP(A1599,Metrik!$C$2:$Y$959,11,0)</f>
        <v>0.3</v>
      </c>
      <c r="L1599" s="20">
        <f>VLOOKUP(A1599,Metrik!$C$2:$Y$959,12,0)</f>
        <v>0.58</v>
      </c>
      <c r="M1599" s="20">
        <f>VLOOKUP(A1599,Metrik!$C$2:$Y$959,19,0)</f>
        <v>2.8</v>
      </c>
      <c r="N1599" s="21"/>
      <c r="O1599" s="21"/>
      <c r="P1599" s="21"/>
      <c r="Q1599" s="21"/>
      <c r="R1599" s="21"/>
      <c r="S1599" s="21"/>
      <c r="T1599" s="21"/>
      <c r="U1599" s="22">
        <f>IFERROR(__xludf.DUMMYFUNCTION("IFERROR(GOOGLEFINANCE(A1599,""closeyest""),"""")"),1550.0)</f>
        <v>1550</v>
      </c>
      <c r="V1599" s="23">
        <f>IFERROR(__xludf.DUMMYFUNCTION("IFERROR(GOOGLEFINANCE(A1599,""changepct""),"""")"),-1.29)</f>
        <v>-1.29</v>
      </c>
      <c r="W1599" s="22">
        <f>IFERROR(__xludf.DUMMYFUNCTION("IFERROR(GOOGLEFINANCE(A1599,""priceopen""),"""")"),1550.0)</f>
        <v>1550</v>
      </c>
      <c r="X1599" s="22">
        <f>IFERROR(__xludf.DUMMYFUNCTION("IFERROR(GOOGLEFINANCE(A1599,""high""),"""")"),1585.0)</f>
        <v>1585</v>
      </c>
      <c r="Y1599" s="22">
        <f>IFERROR(__xludf.DUMMYFUNCTION("IFERROR(GOOGLEFINANCE(A1599,""low""),"""")"),1525.0)</f>
        <v>1525</v>
      </c>
      <c r="Z1599" s="22">
        <f>IFERROR(__xludf.DUMMYFUNCTION("IFERROR(GOOGLEFINANCE(A1599,""volume""),"""")"),1.54673E7)</f>
        <v>15467300</v>
      </c>
      <c r="AA1599" s="24" t="str">
        <f>VLOOKUP(A1599,Metrik!$C$2:$Y$959,5,0)</f>
        <v>Construction Materials</v>
      </c>
      <c r="AB1599" s="24" t="str">
        <f>VLOOKUP(A1599,Metrik!$C$2:$Y$959,3,0)</f>
        <v>Basic Materials</v>
      </c>
    </row>
    <row r="1600">
      <c r="A1600" s="14" t="s">
        <v>868</v>
      </c>
      <c r="B1600" s="14" t="str">
        <f t="array" ref="B1600">VLOOKUP(A1600,{Metrik!$C$2:$C$998,Metrik!$B$2:$B$998},2,0)</f>
        <v>Semen Indonesia (Persero) Tbk.</v>
      </c>
      <c r="C1600" s="15">
        <f>IFERROR(__xludf.DUMMYFUNCTION("GOOGLEFINANCE(""IDX:""&amp;A1600,""price"")"),1530.0)</f>
        <v>1530</v>
      </c>
      <c r="D1600" s="16" t="str">
        <f>IFERROR(__xludf.DUMMYFUNCTION("IF(A1600="""","""",
SPARKLINE(
INDEX(
GOOGLEFINANCE(""IDX:""&amp;A1600,""close"",TODAY()-365,TODAY()),
,2
),
{""linewidth"",1}
))
"),"#N/A")</f>
        <v>#N/A</v>
      </c>
      <c r="E1600" s="14" t="s">
        <v>61</v>
      </c>
      <c r="F1600" s="14" t="s">
        <v>34</v>
      </c>
      <c r="G1600" s="24">
        <f t="shared" si="9"/>
        <v>17</v>
      </c>
      <c r="H1600" s="19">
        <f>VLOOKUP(A1600,Metrik!$C$2:$Y$959,8,0)</f>
        <v>49.9</v>
      </c>
      <c r="I1600" s="20">
        <f>VLOOKUP(A1600,Metrik!$C$2:$Y$959,9,0)</f>
        <v>0.24</v>
      </c>
      <c r="J1600" s="20">
        <f>VLOOKUP(A1600,Metrik!$C$2:$Y$959,10,0)</f>
        <v>0.48</v>
      </c>
      <c r="K1600" s="20">
        <f>VLOOKUP(A1600,Metrik!$C$2:$Y$959,11,0)</f>
        <v>0.3</v>
      </c>
      <c r="L1600" s="20">
        <f>VLOOKUP(A1600,Metrik!$C$2:$Y$959,12,0)</f>
        <v>0.58</v>
      </c>
      <c r="M1600" s="20">
        <f>VLOOKUP(A1600,Metrik!$C$2:$Y$959,19,0)</f>
        <v>2.8</v>
      </c>
      <c r="N1600" s="21"/>
      <c r="O1600" s="21"/>
      <c r="P1600" s="21"/>
      <c r="Q1600" s="21"/>
      <c r="R1600" s="21"/>
      <c r="S1600" s="21"/>
      <c r="T1600" s="21"/>
      <c r="U1600" s="22">
        <f>IFERROR(__xludf.DUMMYFUNCTION("IFERROR(GOOGLEFINANCE(A1600,""closeyest""),"""")"),1550.0)</f>
        <v>1550</v>
      </c>
      <c r="V1600" s="23">
        <f>IFERROR(__xludf.DUMMYFUNCTION("IFERROR(GOOGLEFINANCE(A1600,""changepct""),"""")"),-1.29)</f>
        <v>-1.29</v>
      </c>
      <c r="W1600" s="22">
        <f>IFERROR(__xludf.DUMMYFUNCTION("IFERROR(GOOGLEFINANCE(A1600,""priceopen""),"""")"),1550.0)</f>
        <v>1550</v>
      </c>
      <c r="X1600" s="22">
        <f>IFERROR(__xludf.DUMMYFUNCTION("IFERROR(GOOGLEFINANCE(A1600,""high""),"""")"),1585.0)</f>
        <v>1585</v>
      </c>
      <c r="Y1600" s="22">
        <f>IFERROR(__xludf.DUMMYFUNCTION("IFERROR(GOOGLEFINANCE(A1600,""low""),"""")"),1525.0)</f>
        <v>1525</v>
      </c>
      <c r="Z1600" s="22">
        <f>IFERROR(__xludf.DUMMYFUNCTION("IFERROR(GOOGLEFINANCE(A1600,""volume""),"""")"),1.54673E7)</f>
        <v>15467300</v>
      </c>
      <c r="AA1600" s="24" t="str">
        <f>VLOOKUP(A1600,Metrik!$C$2:$Y$959,5,0)</f>
        <v>Construction Materials</v>
      </c>
      <c r="AB1600" s="24" t="str">
        <f>VLOOKUP(A1600,Metrik!$C$2:$Y$959,3,0)</f>
        <v>Basic Materials</v>
      </c>
    </row>
    <row r="1601">
      <c r="A1601" s="48" t="s">
        <v>868</v>
      </c>
      <c r="B1601" s="14" t="str">
        <f t="array" ref="B1601">VLOOKUP(A1601,{Metrik!$C$2:$C$998,Metrik!$B$2:$B$998},2,0)</f>
        <v>Semen Indonesia (Persero) Tbk.</v>
      </c>
      <c r="C1601" s="15">
        <f>IFERROR(__xludf.DUMMYFUNCTION("GOOGLEFINANCE(""IDX:""&amp;A1601,""price"")"),1530.0)</f>
        <v>1530</v>
      </c>
      <c r="D1601" s="16" t="str">
        <f>IFERROR(__xludf.DUMMYFUNCTION("IF(A1601="""","""",
SPARKLINE(
INDEX(
GOOGLEFINANCE(""IDX:""&amp;A1601,""close"",TODAY()-365,TODAY()),
,2
),
{""linewidth"",1}
))
"),"#N/A")</f>
        <v>#N/A</v>
      </c>
      <c r="E1601" s="17" t="s">
        <v>69</v>
      </c>
      <c r="F1601" s="17" t="s">
        <v>70</v>
      </c>
      <c r="G1601" s="24">
        <f t="shared" si="9"/>
        <v>17</v>
      </c>
      <c r="H1601" s="19">
        <f>VLOOKUP(A1601,Metrik!$C$2:$Y$959,8,0)</f>
        <v>49.9</v>
      </c>
      <c r="I1601" s="20">
        <f>VLOOKUP(A1601,Metrik!$C$2:$Y$959,9,0)</f>
        <v>0.24</v>
      </c>
      <c r="J1601" s="20">
        <f>VLOOKUP(A1601,Metrik!$C$2:$Y$959,10,0)</f>
        <v>0.48</v>
      </c>
      <c r="K1601" s="20">
        <f>VLOOKUP(A1601,Metrik!$C$2:$Y$959,11,0)</f>
        <v>0.3</v>
      </c>
      <c r="L1601" s="20">
        <f>VLOOKUP(A1601,Metrik!$C$2:$Y$959,12,0)</f>
        <v>0.58</v>
      </c>
      <c r="M1601" s="20">
        <f>VLOOKUP(A1601,Metrik!$C$2:$Y$959,19,0)</f>
        <v>2.8</v>
      </c>
      <c r="N1601" s="21"/>
      <c r="O1601" s="21"/>
      <c r="P1601" s="21"/>
      <c r="Q1601" s="21"/>
      <c r="R1601" s="21"/>
      <c r="S1601" s="21"/>
      <c r="T1601" s="21"/>
      <c r="U1601" s="22">
        <f>IFERROR(__xludf.DUMMYFUNCTION("IFERROR(GOOGLEFINANCE(A1601,""closeyest""),"""")"),1550.0)</f>
        <v>1550</v>
      </c>
      <c r="V1601" s="23">
        <f>IFERROR(__xludf.DUMMYFUNCTION("IFERROR(GOOGLEFINANCE(A1601,""changepct""),"""")"),-1.29)</f>
        <v>-1.29</v>
      </c>
      <c r="W1601" s="22">
        <f>IFERROR(__xludf.DUMMYFUNCTION("IFERROR(GOOGLEFINANCE(A1601,""priceopen""),"""")"),1550.0)</f>
        <v>1550</v>
      </c>
      <c r="X1601" s="22">
        <f>IFERROR(__xludf.DUMMYFUNCTION("IFERROR(GOOGLEFINANCE(A1601,""high""),"""")"),1585.0)</f>
        <v>1585</v>
      </c>
      <c r="Y1601" s="22">
        <f>IFERROR(__xludf.DUMMYFUNCTION("IFERROR(GOOGLEFINANCE(A1601,""low""),"""")"),1525.0)</f>
        <v>1525</v>
      </c>
      <c r="Z1601" s="22">
        <f>IFERROR(__xludf.DUMMYFUNCTION("IFERROR(GOOGLEFINANCE(A1601,""volume""),"""")"),1.54673E7)</f>
        <v>15467300</v>
      </c>
      <c r="AA1601" s="24" t="str">
        <f>VLOOKUP(A1601,Metrik!$C$2:$Y$959,5,0)</f>
        <v>Construction Materials</v>
      </c>
      <c r="AB1601" s="24" t="str">
        <f>VLOOKUP(A1601,Metrik!$C$2:$Y$959,3,0)</f>
        <v>Basic Materials</v>
      </c>
    </row>
    <row r="1602">
      <c r="A1602" s="17" t="s">
        <v>868</v>
      </c>
      <c r="B1602" s="14" t="str">
        <f t="array" ref="B1602">VLOOKUP(A1602,{Metrik!$C$2:$C$998,Metrik!$B$2:$B$998},2,0)</f>
        <v>Semen Indonesia (Persero) Tbk.</v>
      </c>
      <c r="C1602" s="15">
        <f>IFERROR(__xludf.DUMMYFUNCTION("GOOGLEFINANCE(""IDX:""&amp;A1602,""price"")"),1530.0)</f>
        <v>1530</v>
      </c>
      <c r="D1602" s="16" t="str">
        <f>IFERROR(__xludf.DUMMYFUNCTION("IF(A1602="""","""",
SPARKLINE(
INDEX(
GOOGLEFINANCE(""IDX:""&amp;A1602,""close"",TODAY()-365,TODAY()),
,2
),
{""linewidth"",1}
))
"),"#N/A")</f>
        <v>#N/A</v>
      </c>
      <c r="E1602" s="14" t="s">
        <v>35</v>
      </c>
      <c r="F1602" s="17" t="s">
        <v>36</v>
      </c>
      <c r="G1602" s="33">
        <f t="shared" si="9"/>
        <v>17</v>
      </c>
      <c r="H1602" s="34">
        <f>VLOOKUP(A1602,Metrik!$C$2:$Y$959,8,0)</f>
        <v>49.9</v>
      </c>
      <c r="I1602" s="34">
        <f>VLOOKUP(A1602,Metrik!$C$2:$Y$959,9,0)</f>
        <v>0.24</v>
      </c>
      <c r="J1602" s="34">
        <f>VLOOKUP(A1602,Metrik!$C$2:$Y$959,10,0)</f>
        <v>0.48</v>
      </c>
      <c r="K1602" s="34">
        <f>VLOOKUP(A1602,Metrik!$C$2:$Y$959,11,0)</f>
        <v>0.3</v>
      </c>
      <c r="L1602" s="34">
        <f>VLOOKUP(A1602,Metrik!$C$2:$Y$959,12,0)</f>
        <v>0.58</v>
      </c>
      <c r="M1602" s="34">
        <f>VLOOKUP(A1602,Metrik!$C$2:$Y$959,19,0)</f>
        <v>2.8</v>
      </c>
      <c r="N1602" s="26"/>
      <c r="O1602" s="26"/>
      <c r="P1602" s="26"/>
      <c r="Q1602" s="26"/>
      <c r="R1602" s="26"/>
      <c r="S1602" s="26"/>
      <c r="T1602" s="26"/>
      <c r="U1602" s="35">
        <f>IFERROR(__xludf.DUMMYFUNCTION("IFERROR(GOOGLEFINANCE(A1602,""closeyest""),"""")"),1550.0)</f>
        <v>1550</v>
      </c>
      <c r="V1602" s="36">
        <f>IFERROR(__xludf.DUMMYFUNCTION("IFERROR(GOOGLEFINANCE(A1602,""changepct""),"""")"),-1.29)</f>
        <v>-1.29</v>
      </c>
      <c r="W1602" s="35">
        <f>IFERROR(__xludf.DUMMYFUNCTION("IFERROR(GOOGLEFINANCE(A1602,""priceopen""),"""")"),1550.0)</f>
        <v>1550</v>
      </c>
      <c r="X1602" s="49">
        <f>IFERROR(__xludf.DUMMYFUNCTION("IFERROR(GOOGLEFINANCE(A1602,""high""),"""")"),1585.0)</f>
        <v>1585</v>
      </c>
      <c r="Y1602" s="35">
        <f>IFERROR(__xludf.DUMMYFUNCTION("IFERROR(GOOGLEFINANCE(A1602,""low""),"""")"),1525.0)</f>
        <v>1525</v>
      </c>
      <c r="Z1602" s="35">
        <f>IFERROR(__xludf.DUMMYFUNCTION("IFERROR(GOOGLEFINANCE(A1602,""volume""),"""")"),1.54673E7)</f>
        <v>15467300</v>
      </c>
      <c r="AA1602" s="14" t="str">
        <f>VLOOKUP(A1602,Metrik!$C$2:$Y$959,5,0)</f>
        <v>Construction Materials</v>
      </c>
      <c r="AB1602" s="14" t="str">
        <f>VLOOKUP(A1602,Metrik!$C$2:$Y$959,3,0)</f>
        <v>Basic Materials</v>
      </c>
    </row>
    <row r="1603">
      <c r="A1603" s="14" t="s">
        <v>868</v>
      </c>
      <c r="B1603" s="14" t="str">
        <f t="array" ref="B1603">VLOOKUP(A1603,{Metrik!$C$2:$C$998,Metrik!$B$2:$B$998},2,0)</f>
        <v>Semen Indonesia (Persero) Tbk.</v>
      </c>
      <c r="C1603" s="15">
        <f>IFERROR(__xludf.DUMMYFUNCTION("GOOGLEFINANCE(""IDX:""&amp;A1603,""price"")"),1530.0)</f>
        <v>1530</v>
      </c>
      <c r="D1603" s="16" t="str">
        <f>IFERROR(__xludf.DUMMYFUNCTION("IF(A1603="""","""",
SPARKLINE(
INDEX(
GOOGLEFINANCE(""IDX:""&amp;A1603,""close"",TODAY()-365,TODAY()),
,2
),
{""linewidth"",1}
))
"),"#N/A")</f>
        <v>#N/A</v>
      </c>
      <c r="E1603" s="14" t="s">
        <v>86</v>
      </c>
      <c r="F1603" s="25">
        <v>46356.0</v>
      </c>
      <c r="G1603" s="24">
        <f t="shared" si="9"/>
        <v>17</v>
      </c>
      <c r="H1603" s="19">
        <f>VLOOKUP(A1603,Metrik!$C$2:$Y$959,8,0)</f>
        <v>49.9</v>
      </c>
      <c r="I1603" s="20">
        <f>VLOOKUP(A1603,Metrik!$C$2:$Y$959,9,0)</f>
        <v>0.24</v>
      </c>
      <c r="J1603" s="20">
        <f>VLOOKUP(A1603,Metrik!$C$2:$Y$959,10,0)</f>
        <v>0.48</v>
      </c>
      <c r="K1603" s="20">
        <f>VLOOKUP(A1603,Metrik!$C$2:$Y$959,11,0)</f>
        <v>0.3</v>
      </c>
      <c r="L1603" s="20">
        <f>VLOOKUP(A1603,Metrik!$C$2:$Y$959,12,0)</f>
        <v>0.58</v>
      </c>
      <c r="M1603" s="20">
        <f>VLOOKUP(A1603,Metrik!$C$2:$Y$959,19,0)</f>
        <v>2.8</v>
      </c>
      <c r="N1603" s="21"/>
      <c r="O1603" s="21"/>
      <c r="P1603" s="21"/>
      <c r="Q1603" s="21"/>
      <c r="R1603" s="21"/>
      <c r="S1603" s="21"/>
      <c r="T1603" s="21"/>
      <c r="U1603" s="22">
        <f>IFERROR(__xludf.DUMMYFUNCTION("IFERROR(GOOGLEFINANCE(A1603,""closeyest""),"""")"),1550.0)</f>
        <v>1550</v>
      </c>
      <c r="V1603" s="23">
        <f>IFERROR(__xludf.DUMMYFUNCTION("IFERROR(GOOGLEFINANCE(A1603,""changepct""),"""")"),-1.29)</f>
        <v>-1.29</v>
      </c>
      <c r="W1603" s="22">
        <f>IFERROR(__xludf.DUMMYFUNCTION("IFERROR(GOOGLEFINANCE(A1603,""priceopen""),"""")"),1550.0)</f>
        <v>1550</v>
      </c>
      <c r="X1603" s="22">
        <f>IFERROR(__xludf.DUMMYFUNCTION("IFERROR(GOOGLEFINANCE(A1603,""high""),"""")"),1585.0)</f>
        <v>1585</v>
      </c>
      <c r="Y1603" s="22">
        <f>IFERROR(__xludf.DUMMYFUNCTION("IFERROR(GOOGLEFINANCE(A1603,""low""),"""")"),1525.0)</f>
        <v>1525</v>
      </c>
      <c r="Z1603" s="22">
        <f>IFERROR(__xludf.DUMMYFUNCTION("IFERROR(GOOGLEFINANCE(A1603,""volume""),"""")"),1.54673E7)</f>
        <v>15467300</v>
      </c>
      <c r="AA1603" s="24" t="str">
        <f>VLOOKUP(A1603,Metrik!$C$2:$Y$959,5,0)</f>
        <v>Construction Materials</v>
      </c>
      <c r="AB1603" s="24" t="str">
        <f>VLOOKUP(A1603,Metrik!$C$2:$Y$959,3,0)</f>
        <v>Basic Materials</v>
      </c>
    </row>
    <row r="1604">
      <c r="A1604" s="14" t="s">
        <v>868</v>
      </c>
      <c r="B1604" s="14" t="str">
        <f t="array" ref="B1604">VLOOKUP(A1604,{Metrik!$C$2:$C$998,Metrik!$B$2:$B$998},2,0)</f>
        <v>Semen Indonesia (Persero) Tbk.</v>
      </c>
      <c r="C1604" s="15">
        <f>IFERROR(__xludf.DUMMYFUNCTION("GOOGLEFINANCE(""IDX:""&amp;A1604,""price"")"),1530.0)</f>
        <v>1530</v>
      </c>
      <c r="D1604" s="16" t="str">
        <f>IFERROR(__xludf.DUMMYFUNCTION("IF(A1604="""","""",
SPARKLINE(
INDEX(
GOOGLEFINANCE(""IDX:""&amp;A1604,""close"",TODAY()-365,TODAY()),
,2
),
{""linewidth"",1}
))
"),"#N/A")</f>
        <v>#N/A</v>
      </c>
      <c r="E1604" s="14" t="s">
        <v>39</v>
      </c>
      <c r="F1604" s="25">
        <v>46356.0</v>
      </c>
      <c r="G1604" s="24">
        <f t="shared" si="9"/>
        <v>17</v>
      </c>
      <c r="H1604" s="19">
        <f>VLOOKUP(A1604,Metrik!$C$2:$Y$959,8,0)</f>
        <v>49.9</v>
      </c>
      <c r="I1604" s="20">
        <f>VLOOKUP(A1604,Metrik!$C$2:$Y$959,9,0)</f>
        <v>0.24</v>
      </c>
      <c r="J1604" s="20">
        <f>VLOOKUP(A1604,Metrik!$C$2:$Y$959,10,0)</f>
        <v>0.48</v>
      </c>
      <c r="K1604" s="20">
        <f>VLOOKUP(A1604,Metrik!$C$2:$Y$959,11,0)</f>
        <v>0.3</v>
      </c>
      <c r="L1604" s="20">
        <f>VLOOKUP(A1604,Metrik!$C$2:$Y$959,12,0)</f>
        <v>0.58</v>
      </c>
      <c r="M1604" s="20">
        <f>VLOOKUP(A1604,Metrik!$C$2:$Y$959,19,0)</f>
        <v>2.8</v>
      </c>
      <c r="N1604" s="21"/>
      <c r="O1604" s="21"/>
      <c r="P1604" s="21"/>
      <c r="Q1604" s="21"/>
      <c r="R1604" s="21"/>
      <c r="S1604" s="21"/>
      <c r="T1604" s="21"/>
      <c r="U1604" s="22">
        <f>IFERROR(__xludf.DUMMYFUNCTION("IFERROR(GOOGLEFINANCE(A1604,""closeyest""),"""")"),1550.0)</f>
        <v>1550</v>
      </c>
      <c r="V1604" s="23">
        <f>IFERROR(__xludf.DUMMYFUNCTION("IFERROR(GOOGLEFINANCE(A1604,""changepct""),"""")"),-1.29)</f>
        <v>-1.29</v>
      </c>
      <c r="W1604" s="22">
        <f>IFERROR(__xludf.DUMMYFUNCTION("IFERROR(GOOGLEFINANCE(A1604,""priceopen""),"""")"),1550.0)</f>
        <v>1550</v>
      </c>
      <c r="X1604" s="22">
        <f>IFERROR(__xludf.DUMMYFUNCTION("IFERROR(GOOGLEFINANCE(A1604,""high""),"""")"),1585.0)</f>
        <v>1585</v>
      </c>
      <c r="Y1604" s="22">
        <f>IFERROR(__xludf.DUMMYFUNCTION("IFERROR(GOOGLEFINANCE(A1604,""low""),"""")"),1525.0)</f>
        <v>1525</v>
      </c>
      <c r="Z1604" s="22">
        <f>IFERROR(__xludf.DUMMYFUNCTION("IFERROR(GOOGLEFINANCE(A1604,""volume""),"""")"),1.54673E7)</f>
        <v>15467300</v>
      </c>
      <c r="AA1604" s="24" t="str">
        <f>VLOOKUP(A1604,Metrik!$C$2:$Y$959,5,0)</f>
        <v>Construction Materials</v>
      </c>
      <c r="AB1604" s="24" t="str">
        <f>VLOOKUP(A1604,Metrik!$C$2:$Y$959,3,0)</f>
        <v>Basic Materials</v>
      </c>
    </row>
    <row r="1605">
      <c r="A1605" s="14" t="s">
        <v>869</v>
      </c>
      <c r="B1605" s="14" t="str">
        <f t="array" ref="B1605">VLOOKUP(A1605,{Metrik!$C$2:$C$998,Metrik!$B$2:$B$998},2,0)</f>
        <v>PT Sarana Mitra Luas Tbk</v>
      </c>
      <c r="C1605" s="15">
        <f>IFERROR(__xludf.DUMMYFUNCTION("GOOGLEFINANCE(""IDX:""&amp;A1605,""price"")"),242.0)</f>
        <v>242</v>
      </c>
      <c r="D1605" s="16" t="str">
        <f>IFERROR(__xludf.DUMMYFUNCTION("IF(A1605="""","""",
SPARKLINE(
INDEX(
GOOGLEFINANCE(""IDX:""&amp;A1605,""close"",TODAY()-365,TODAY()),
,2
),
{""linewidth"",1}
))
"),"#N/A")</f>
        <v>#N/A</v>
      </c>
      <c r="E1605" s="14" t="s">
        <v>32</v>
      </c>
      <c r="F1605" s="14" t="s">
        <v>29</v>
      </c>
      <c r="G1605" s="24">
        <f t="shared" si="9"/>
        <v>1</v>
      </c>
      <c r="H1605" s="19">
        <f>VLOOKUP(A1605,Metrik!$C$2:$Y$959,8,0)</f>
        <v>32.4</v>
      </c>
      <c r="I1605" s="20">
        <f>VLOOKUP(A1605,Metrik!$C$2:$Y$959,9,0)</f>
        <v>2.9</v>
      </c>
      <c r="J1605" s="20">
        <f>VLOOKUP(A1605,Metrik!$C$2:$Y$959,10,0)</f>
        <v>9.1</v>
      </c>
      <c r="K1605" s="20">
        <f>VLOOKUP(A1605,Metrik!$C$2:$Y$959,11,0)</f>
        <v>5.9</v>
      </c>
      <c r="L1605" s="20">
        <f>VLOOKUP(A1605,Metrik!$C$2:$Y$959,12,0)</f>
        <v>0.54</v>
      </c>
      <c r="M1605" s="20">
        <f>VLOOKUP(A1605,Metrik!$C$2:$Y$959,19,0)</f>
        <v>54.1</v>
      </c>
      <c r="N1605" s="21"/>
      <c r="O1605" s="21"/>
      <c r="P1605" s="21"/>
      <c r="Q1605" s="21"/>
      <c r="R1605" s="21"/>
      <c r="S1605" s="21"/>
      <c r="T1605" s="21"/>
      <c r="U1605" s="22">
        <f>IFERROR(__xludf.DUMMYFUNCTION("IFERROR(GOOGLEFINANCE(A1605,""closeyest""),"""")"),240.0)</f>
        <v>240</v>
      </c>
      <c r="V1605" s="23">
        <f>IFERROR(__xludf.DUMMYFUNCTION("IFERROR(GOOGLEFINANCE(A1605,""changepct""),"""")"),0.83)</f>
        <v>0.83</v>
      </c>
      <c r="W1605" s="22">
        <f>IFERROR(__xludf.DUMMYFUNCTION("IFERROR(GOOGLEFINANCE(A1605,""priceopen""),"""")"),240.0)</f>
        <v>240</v>
      </c>
      <c r="X1605" s="22">
        <f>IFERROR(__xludf.DUMMYFUNCTION("IFERROR(GOOGLEFINANCE(A1605,""high""),"""")"),244.0)</f>
        <v>244</v>
      </c>
      <c r="Y1605" s="22">
        <f>IFERROR(__xludf.DUMMYFUNCTION("IFERROR(GOOGLEFINANCE(A1605,""low""),"""")"),238.0)</f>
        <v>238</v>
      </c>
      <c r="Z1605" s="22">
        <f>IFERROR(__xludf.DUMMYFUNCTION("IFERROR(GOOGLEFINANCE(A1605,""volume""),"""")"),3369900.0)</f>
        <v>3369900</v>
      </c>
      <c r="AA1605" s="24" t="str">
        <f>VLOOKUP(A1605,Metrik!$C$2:$Y$959,5,0)</f>
        <v>Machinery</v>
      </c>
      <c r="AB1605" s="24" t="str">
        <f>VLOOKUP(A1605,Metrik!$C$2:$Y$959,3,0)</f>
        <v>Industrials</v>
      </c>
    </row>
    <row r="1606">
      <c r="A1606" s="14" t="s">
        <v>870</v>
      </c>
      <c r="B1606" s="14" t="str">
        <f t="array" ref="B1606">VLOOKUP(A1606,{Metrik!$C$2:$C$998,Metrik!$B$2:$B$998},2,0)</f>
        <v>Satyamitra Kemas Lestari Tbk.</v>
      </c>
      <c r="C1606" s="15">
        <f>IFERROR(__xludf.DUMMYFUNCTION("GOOGLEFINANCE(""IDX:""&amp;A1606,""price"")"),120.0)</f>
        <v>120</v>
      </c>
      <c r="D1606" s="16" t="str">
        <f>IFERROR(__xludf.DUMMYFUNCTION("IF(A1606="""","""",
SPARKLINE(
INDEX(
GOOGLEFINANCE(""IDX:""&amp;A1606,""close"",TODAY()-365,TODAY()),
,2
),
{""linewidth"",1}
))
"),"#N/A")</f>
        <v>#N/A</v>
      </c>
      <c r="E1606" s="26"/>
      <c r="F1606" s="26"/>
      <c r="G1606" s="24">
        <f t="shared" si="9"/>
        <v>0</v>
      </c>
      <c r="H1606" s="19">
        <f>VLOOKUP(A1606,Metrik!$C$2:$Y$959,8,0)</f>
        <v>13.6</v>
      </c>
      <c r="I1606" s="20">
        <f>VLOOKUP(A1606,Metrik!$C$2:$Y$959,9,0)</f>
        <v>0.48</v>
      </c>
      <c r="J1606" s="20">
        <f>VLOOKUP(A1606,Metrik!$C$2:$Y$959,10,0)</f>
        <v>3.5</v>
      </c>
      <c r="K1606" s="20">
        <f>VLOOKUP(A1606,Metrik!$C$2:$Y$959,11,0)</f>
        <v>1.3</v>
      </c>
      <c r="L1606" s="20">
        <f>VLOOKUP(A1606,Metrik!$C$2:$Y$959,12,0)</f>
        <v>1.6</v>
      </c>
      <c r="M1606" s="20">
        <f>VLOOKUP(A1606,Metrik!$C$2:$Y$959,19,0)</f>
        <v>8.6</v>
      </c>
      <c r="N1606" s="21"/>
      <c r="O1606" s="21"/>
      <c r="P1606" s="21"/>
      <c r="Q1606" s="21"/>
      <c r="R1606" s="21"/>
      <c r="S1606" s="21"/>
      <c r="T1606" s="21"/>
      <c r="U1606" s="22">
        <f>IFERROR(__xludf.DUMMYFUNCTION("IFERROR(GOOGLEFINANCE(A1606,""closeyest""),"""")"),116.0)</f>
        <v>116</v>
      </c>
      <c r="V1606" s="23">
        <f>IFERROR(__xludf.DUMMYFUNCTION("IFERROR(GOOGLEFINANCE(A1606,""changepct""),"""")"),3.45)</f>
        <v>3.45</v>
      </c>
      <c r="W1606" s="22">
        <f>IFERROR(__xludf.DUMMYFUNCTION("IFERROR(GOOGLEFINANCE(A1606,""priceopen""),"""")"),120.0)</f>
        <v>120</v>
      </c>
      <c r="X1606" s="22">
        <f>IFERROR(__xludf.DUMMYFUNCTION("IFERROR(GOOGLEFINANCE(A1606,""high""),"""")"),122.0)</f>
        <v>122</v>
      </c>
      <c r="Y1606" s="22">
        <f>IFERROR(__xludf.DUMMYFUNCTION("IFERROR(GOOGLEFINANCE(A1606,""low""),"""")"),116.0)</f>
        <v>116</v>
      </c>
      <c r="Z1606" s="22">
        <f>IFERROR(__xludf.DUMMYFUNCTION("IFERROR(GOOGLEFINANCE(A1606,""volume""),"""")"),147700.0)</f>
        <v>147700</v>
      </c>
      <c r="AA1606" s="24" t="str">
        <f>VLOOKUP(A1606,Metrik!$C$2:$Y$959,5,0)</f>
        <v>Containers &amp; Packaging</v>
      </c>
      <c r="AB1606" s="24" t="str">
        <f>VLOOKUP(A1606,Metrik!$C$2:$Y$959,3,0)</f>
        <v>Basic Materials</v>
      </c>
    </row>
    <row r="1607">
      <c r="A1607" s="14" t="s">
        <v>871</v>
      </c>
      <c r="B1607" s="14" t="str">
        <f t="array" ref="B1607">VLOOKUP(A1607,{Metrik!$C$2:$C$998,Metrik!$B$2:$B$998},2,0)</f>
        <v>Sumber Mas Konstruksi Tbk.</v>
      </c>
      <c r="C1607" s="15">
        <f>IFERROR(__xludf.DUMMYFUNCTION("GOOGLEFINANCE(""IDX:""&amp;A1607,""price"")"),61.0)</f>
        <v>61</v>
      </c>
      <c r="D1607" s="16" t="str">
        <f>IFERROR(__xludf.DUMMYFUNCTION("IF(A1607="""","""",
SPARKLINE(
INDEX(
GOOGLEFINANCE(""IDX:""&amp;A1607,""close"",TODAY()-365,TODAY()),
,2
),
{""linewidth"",1}
))
"),"#N/A")</f>
        <v>#N/A</v>
      </c>
      <c r="E1607" s="26"/>
      <c r="F1607" s="26"/>
      <c r="G1607" s="24">
        <f t="shared" si="9"/>
        <v>0</v>
      </c>
      <c r="H1607" s="19">
        <f>VLOOKUP(A1607,Metrik!$C$2:$Y$959,8,0)</f>
        <v>-8970</v>
      </c>
      <c r="I1607" s="20">
        <f>VLOOKUP(A1607,Metrik!$C$2:$Y$959,9,0)</f>
        <v>0.48</v>
      </c>
      <c r="J1607" s="20">
        <f>VLOOKUP(A1607,Metrik!$C$2:$Y$959,10,0)</f>
        <v>-0.01</v>
      </c>
      <c r="K1607" s="20">
        <f>VLOOKUP(A1607,Metrik!$C$2:$Y$959,11,0)</f>
        <v>-0.01</v>
      </c>
      <c r="L1607" s="20">
        <f>VLOOKUP(A1607,Metrik!$C$2:$Y$959,12,0)</f>
        <v>0.02</v>
      </c>
      <c r="M1607" s="20">
        <f>VLOOKUP(A1607,Metrik!$C$2:$Y$959,19,0)</f>
        <v>-0.02</v>
      </c>
      <c r="N1607" s="21"/>
      <c r="O1607" s="21"/>
      <c r="P1607" s="21"/>
      <c r="Q1607" s="21"/>
      <c r="R1607" s="21"/>
      <c r="S1607" s="21"/>
      <c r="T1607" s="21"/>
      <c r="U1607" s="22">
        <f>IFERROR(__xludf.DUMMYFUNCTION("IFERROR(GOOGLEFINANCE(A1607,""closeyest""),"""")"),59.0)</f>
        <v>59</v>
      </c>
      <c r="V1607" s="23">
        <f>IFERROR(__xludf.DUMMYFUNCTION("IFERROR(GOOGLEFINANCE(A1607,""changepct""),"""")"),3.39)</f>
        <v>3.39</v>
      </c>
      <c r="W1607" s="22">
        <f>IFERROR(__xludf.DUMMYFUNCTION("IFERROR(GOOGLEFINANCE(A1607,""priceopen""),"""")"),59.0)</f>
        <v>59</v>
      </c>
      <c r="X1607" s="22">
        <f>IFERROR(__xludf.DUMMYFUNCTION("IFERROR(GOOGLEFINANCE(A1607,""high""),"""")"),64.0)</f>
        <v>64</v>
      </c>
      <c r="Y1607" s="22">
        <f>IFERROR(__xludf.DUMMYFUNCTION("IFERROR(GOOGLEFINANCE(A1607,""low""),"""")"),57.0)</f>
        <v>57</v>
      </c>
      <c r="Z1607" s="22">
        <f>IFERROR(__xludf.DUMMYFUNCTION("IFERROR(GOOGLEFINANCE(A1607,""volume""),"""")"),1.30573E7)</f>
        <v>13057300</v>
      </c>
      <c r="AA1607" s="24" t="str">
        <f>VLOOKUP(A1607,Metrik!$C$2:$Y$959,5,0)</f>
        <v>Heavy Constructions &amp; Civil Engineering</v>
      </c>
      <c r="AB1607" s="24" t="str">
        <f>VLOOKUP(A1607,Metrik!$C$2:$Y$959,3,0)</f>
        <v>Infrastructures</v>
      </c>
    </row>
    <row r="1608">
      <c r="A1608" s="14" t="s">
        <v>872</v>
      </c>
      <c r="B1608" s="14" t="str">
        <f t="array" ref="B1608">VLOOKUP(A1608,{Metrik!$C$2:$C$998,Metrik!$B$2:$B$998},2,0)</f>
        <v>Sinergi Multi Lestarindo Tbk.</v>
      </c>
      <c r="C1608" s="15">
        <f>IFERROR(__xludf.DUMMYFUNCTION("GOOGLEFINANCE(""IDX:""&amp;A1608,""price"")"),92.0)</f>
        <v>92</v>
      </c>
      <c r="D1608" s="16" t="str">
        <f>IFERROR(__xludf.DUMMYFUNCTION("IF(A1608="""","""",
SPARKLINE(
INDEX(
GOOGLEFINANCE(""IDX:""&amp;A1608,""close"",TODAY()-365,TODAY()),
,2
),
{""linewidth"",1}
))
"),"#N/A")</f>
        <v>#N/A</v>
      </c>
      <c r="E1608" s="26"/>
      <c r="F1608" s="26"/>
      <c r="G1608" s="24">
        <f t="shared" si="9"/>
        <v>0</v>
      </c>
      <c r="H1608" s="19">
        <f>VLOOKUP(A1608,Metrik!$C$2:$Y$959,8,0)</f>
        <v>-66.1</v>
      </c>
      <c r="I1608" s="20">
        <f>VLOOKUP(A1608,Metrik!$C$2:$Y$959,9,0)</f>
        <v>2.3</v>
      </c>
      <c r="J1608" s="20">
        <f>VLOOKUP(A1608,Metrik!$C$2:$Y$959,10,0)</f>
        <v>-3.4</v>
      </c>
      <c r="K1608" s="20">
        <f>VLOOKUP(A1608,Metrik!$C$2:$Y$959,11,0)</f>
        <v>-1.7</v>
      </c>
      <c r="L1608" s="20">
        <f>VLOOKUP(A1608,Metrik!$C$2:$Y$959,12,0)</f>
        <v>0.97</v>
      </c>
      <c r="M1608" s="20">
        <f>VLOOKUP(A1608,Metrik!$C$2:$Y$959,19,0)</f>
        <v>-8.1</v>
      </c>
      <c r="N1608" s="21"/>
      <c r="O1608" s="21"/>
      <c r="P1608" s="21"/>
      <c r="Q1608" s="21"/>
      <c r="R1608" s="21"/>
      <c r="S1608" s="21"/>
      <c r="T1608" s="21"/>
      <c r="U1608" s="22">
        <f>IFERROR(__xludf.DUMMYFUNCTION("IFERROR(GOOGLEFINANCE(A1608,""closeyest""),"""")"),91.0)</f>
        <v>91</v>
      </c>
      <c r="V1608" s="23">
        <f>IFERROR(__xludf.DUMMYFUNCTION("IFERROR(GOOGLEFINANCE(A1608,""changepct""),"""")"),1.1)</f>
        <v>1.1</v>
      </c>
      <c r="W1608" s="22">
        <f>IFERROR(__xludf.DUMMYFUNCTION("IFERROR(GOOGLEFINANCE(A1608,""priceopen""),"""")"),90.0)</f>
        <v>90</v>
      </c>
      <c r="X1608" s="22">
        <f>IFERROR(__xludf.DUMMYFUNCTION("IFERROR(GOOGLEFINANCE(A1608,""high""),"""")"),93.0)</f>
        <v>93</v>
      </c>
      <c r="Y1608" s="22">
        <f>IFERROR(__xludf.DUMMYFUNCTION("IFERROR(GOOGLEFINANCE(A1608,""low""),"""")"),88.0)</f>
        <v>88</v>
      </c>
      <c r="Z1608" s="22">
        <f>IFERROR(__xludf.DUMMYFUNCTION("IFERROR(GOOGLEFINANCE(A1608,""volume""),"""")"),1802700.0)</f>
        <v>1802700</v>
      </c>
      <c r="AA1608" s="24" t="str">
        <f>VLOOKUP(A1608,Metrik!$C$2:$Y$959,5,0)</f>
        <v>Chemicals</v>
      </c>
      <c r="AB1608" s="24" t="str">
        <f>VLOOKUP(A1608,Metrik!$C$2:$Y$959,3,0)</f>
        <v>Basic Materials</v>
      </c>
    </row>
    <row r="1609">
      <c r="A1609" s="14" t="s">
        <v>873</v>
      </c>
      <c r="B1609" s="14" t="str">
        <f t="array" ref="B1609">VLOOKUP(A1609,{Metrik!$C$2:$C$998,Metrik!$B$2:$B$998},2,0)</f>
        <v>Sinarmas Multiartha Tbk.</v>
      </c>
      <c r="C1609" s="15">
        <f>IFERROR(__xludf.DUMMYFUNCTION("GOOGLEFINANCE(""IDX:""&amp;A1609,""price"")"),23500.0)</f>
        <v>23500</v>
      </c>
      <c r="D1609" s="16" t="str">
        <f>IFERROR(__xludf.DUMMYFUNCTION("IF(A1609="""","""",
SPARKLINE(
INDEX(
GOOGLEFINANCE(""IDX:""&amp;A1609,""close"",TODAY()-365,TODAY()),
,2
),
{""linewidth"",1}
))
"),"#N/A")</f>
        <v>#N/A</v>
      </c>
      <c r="E1609" s="26"/>
      <c r="F1609" s="26"/>
      <c r="G1609" s="24">
        <f t="shared" si="9"/>
        <v>0</v>
      </c>
      <c r="H1609" s="19">
        <f>VLOOKUP(A1609,Metrik!$C$2:$Y$959,8,0)</f>
        <v>38.2</v>
      </c>
      <c r="I1609" s="20">
        <f>VLOOKUP(A1609,Metrik!$C$2:$Y$959,9,0)</f>
        <v>4</v>
      </c>
      <c r="J1609" s="20">
        <f>VLOOKUP(A1609,Metrik!$C$2:$Y$959,10,0)</f>
        <v>10.5</v>
      </c>
      <c r="K1609" s="20">
        <f>VLOOKUP(A1609,Metrik!$C$2:$Y$959,11,0)</f>
        <v>2.5</v>
      </c>
      <c r="L1609" s="20">
        <f>VLOOKUP(A1609,Metrik!$C$2:$Y$959,12,0)</f>
        <v>3.3</v>
      </c>
      <c r="M1609" s="20">
        <f>VLOOKUP(A1609,Metrik!$C$2:$Y$959,19,0)</f>
        <v>19.4</v>
      </c>
      <c r="N1609" s="21"/>
      <c r="O1609" s="21"/>
      <c r="P1609" s="21"/>
      <c r="Q1609" s="21"/>
      <c r="R1609" s="21"/>
      <c r="S1609" s="21"/>
      <c r="T1609" s="21"/>
      <c r="U1609" s="22">
        <f>IFERROR(__xludf.DUMMYFUNCTION("IFERROR(GOOGLEFINANCE(A1609,""closeyest""),"""")"),23500.0)</f>
        <v>23500</v>
      </c>
      <c r="V1609" s="23">
        <f>IFERROR(__xludf.DUMMYFUNCTION("IFERROR(GOOGLEFINANCE(A1609,""changepct""),"""")"),0.0)</f>
        <v>0</v>
      </c>
      <c r="W1609" s="22">
        <f>IFERROR(__xludf.DUMMYFUNCTION("IFERROR(GOOGLEFINANCE(A1609,""priceopen""),"""")"),23500.0)</f>
        <v>23500</v>
      </c>
      <c r="X1609" s="22">
        <f>IFERROR(__xludf.DUMMYFUNCTION("IFERROR(GOOGLEFINANCE(A1609,""high""),"""")"),23500.0)</f>
        <v>23500</v>
      </c>
      <c r="Y1609" s="22">
        <f>IFERROR(__xludf.DUMMYFUNCTION("IFERROR(GOOGLEFINANCE(A1609,""low""),"""")"),21500.0)</f>
        <v>21500</v>
      </c>
      <c r="Z1609" s="22">
        <f>IFERROR(__xludf.DUMMYFUNCTION("IFERROR(GOOGLEFINANCE(A1609,""volume""),"""")"),15300.0)</f>
        <v>15300</v>
      </c>
      <c r="AA1609" s="24" t="str">
        <f>VLOOKUP(A1609,Metrik!$C$2:$Y$959,5,0)</f>
        <v>Holding &amp; Investment Companies</v>
      </c>
      <c r="AB1609" s="24" t="str">
        <f>VLOOKUP(A1609,Metrik!$C$2:$Y$959,3,0)</f>
        <v>Financials</v>
      </c>
    </row>
    <row r="1610">
      <c r="A1610" s="14" t="s">
        <v>874</v>
      </c>
      <c r="B1610" s="14" t="str">
        <f t="array" ref="B1610">VLOOKUP(A1610,{Metrik!$C$2:$C$998,Metrik!$B$2:$B$998},2,0)</f>
        <v>Golden Eagle Energy Tbk.</v>
      </c>
      <c r="C1610" s="15">
        <f>IFERROR(__xludf.DUMMYFUNCTION("GOOGLEFINANCE(""IDX:""&amp;A1610,""price"")"),1730.0)</f>
        <v>1730</v>
      </c>
      <c r="D1610" s="16" t="str">
        <f>IFERROR(__xludf.DUMMYFUNCTION("IF(A1610="""","""",
SPARKLINE(
INDEX(
GOOGLEFINANCE(""IDX:""&amp;A1610,""close"",TODAY()-365,TODAY()),
,2
),
{""linewidth"",1}
))
"),"#N/A")</f>
        <v>#N/A</v>
      </c>
      <c r="E1610" s="26"/>
      <c r="F1610" s="26"/>
      <c r="G1610" s="24">
        <f t="shared" si="9"/>
        <v>0</v>
      </c>
      <c r="H1610" s="19">
        <f>VLOOKUP(A1610,Metrik!$C$2:$Y$959,8,0)</f>
        <v>140</v>
      </c>
      <c r="I1610" s="20">
        <f>VLOOKUP(A1610,Metrik!$C$2:$Y$959,9,0)</f>
        <v>11.6</v>
      </c>
      <c r="J1610" s="20">
        <f>VLOOKUP(A1610,Metrik!$C$2:$Y$959,10,0)</f>
        <v>8.6</v>
      </c>
      <c r="K1610" s="20">
        <f>VLOOKUP(A1610,Metrik!$C$2:$Y$959,11,0)</f>
        <v>2.4</v>
      </c>
      <c r="L1610" s="20">
        <f>VLOOKUP(A1610,Metrik!$C$2:$Y$959,12,0)</f>
        <v>2.7</v>
      </c>
      <c r="M1610" s="20">
        <f>VLOOKUP(A1610,Metrik!$C$2:$Y$959,19,0)</f>
        <v>12.3</v>
      </c>
      <c r="N1610" s="21"/>
      <c r="O1610" s="21"/>
      <c r="P1610" s="21"/>
      <c r="Q1610" s="21"/>
      <c r="R1610" s="21"/>
      <c r="S1610" s="21"/>
      <c r="T1610" s="21"/>
      <c r="U1610" s="22">
        <f>IFERROR(__xludf.DUMMYFUNCTION("IFERROR(GOOGLEFINANCE(A1610,""closeyest""),"""")"),13.08)</f>
        <v>13.08</v>
      </c>
      <c r="V1610" s="23">
        <f>IFERROR(__xludf.DUMMYFUNCTION("IFERROR(GOOGLEFINANCE(A1610,""changepct""),"""")"),7.11)</f>
        <v>7.11</v>
      </c>
      <c r="W1610" s="22">
        <f>IFERROR(__xludf.DUMMYFUNCTION("IFERROR(GOOGLEFINANCE(A1610,""priceopen""),"""")"),13.0)</f>
        <v>13</v>
      </c>
      <c r="X1610" s="22">
        <f>IFERROR(__xludf.DUMMYFUNCTION("IFERROR(GOOGLEFINANCE(A1610,""high""),"""")"),14.18)</f>
        <v>14.18</v>
      </c>
      <c r="Y1610" s="22">
        <f>IFERROR(__xludf.DUMMYFUNCTION("IFERROR(GOOGLEFINANCE(A1610,""low""),"""")"),12.92)</f>
        <v>12.92</v>
      </c>
      <c r="Z1610" s="22">
        <f>IFERROR(__xludf.DUMMYFUNCTION("IFERROR(GOOGLEFINANCE(A1610,""volume""),"""")"),9878229.0)</f>
        <v>9878229</v>
      </c>
      <c r="AA1610" s="24" t="str">
        <f>VLOOKUP(A1610,Metrik!$C$2:$Y$959,5,0)</f>
        <v>Coal</v>
      </c>
      <c r="AB1610" s="24" t="str">
        <f>VLOOKUP(A1610,Metrik!$C$2:$Y$959,3,0)</f>
        <v>Energy</v>
      </c>
    </row>
    <row r="1611">
      <c r="A1611" s="17" t="s">
        <v>875</v>
      </c>
      <c r="B1611" s="14" t="str">
        <f t="array" ref="B1611">VLOOKUP(A1611,{Metrik!$C$2:$C$998,Metrik!$B$2:$B$998},2,0)</f>
        <v>Summarecon Agung Tbk.</v>
      </c>
      <c r="C1611" s="15">
        <f>IFERROR(__xludf.DUMMYFUNCTION("GOOGLEFINANCE(""IDX:""&amp;A1611,""price"")"),302.0)</f>
        <v>302</v>
      </c>
      <c r="D1611" s="16" t="str">
        <f>IFERROR(__xludf.DUMMYFUNCTION("IF(A1611="""","""",
SPARKLINE(
INDEX(
GOOGLEFINANCE(""IDX:""&amp;A1611,""close"",TODAY()-365,TODAY()),
,2
),
{""linewidth"",1}
))
"),"#N/A")</f>
        <v>#N/A</v>
      </c>
      <c r="E1611" s="14" t="s">
        <v>55</v>
      </c>
      <c r="F1611" s="25">
        <v>46356.0</v>
      </c>
      <c r="G1611" s="18">
        <f t="shared" si="9"/>
        <v>8</v>
      </c>
      <c r="H1611" s="19">
        <f>VLOOKUP(A1611,Metrik!$C$2:$Y$959,8,0)</f>
        <v>6.6</v>
      </c>
      <c r="I1611" s="20">
        <f>VLOOKUP(A1611,Metrik!$C$2:$Y$959,9,0)</f>
        <v>0.29</v>
      </c>
      <c r="J1611" s="20">
        <f>VLOOKUP(A1611,Metrik!$C$2:$Y$959,10,0)</f>
        <v>4.4</v>
      </c>
      <c r="K1611" s="20">
        <f>VLOOKUP(A1611,Metrik!$C$2:$Y$959,11,0)</f>
        <v>1.8</v>
      </c>
      <c r="L1611" s="20">
        <f>VLOOKUP(A1611,Metrik!$C$2:$Y$959,12,0)</f>
        <v>1.4</v>
      </c>
      <c r="M1611" s="20">
        <f>VLOOKUP(A1611,Metrik!$C$2:$Y$959,19,0)</f>
        <v>32.2</v>
      </c>
      <c r="N1611" s="21"/>
      <c r="O1611" s="21"/>
      <c r="P1611" s="21"/>
      <c r="Q1611" s="21"/>
      <c r="R1611" s="21"/>
      <c r="S1611" s="21"/>
      <c r="T1611" s="21"/>
      <c r="U1611" s="22" t="str">
        <f>IFERROR(__xludf.DUMMYFUNCTION("IFERROR(GOOGLEFINANCE(A1611,""closeyest""),"""")"),"")</f>
        <v/>
      </c>
      <c r="V1611" s="23">
        <f>IFERROR(__xludf.DUMMYFUNCTION("IFERROR(GOOGLEFINANCE(A1611,""changepct""),"""")"),4.14)</f>
        <v>4.14</v>
      </c>
      <c r="W1611" s="22">
        <f>IFERROR(__xludf.DUMMYFUNCTION("IFERROR(GOOGLEFINANCE(A1611,""priceopen""),"""")"),296.0)</f>
        <v>296</v>
      </c>
      <c r="X1611" s="22">
        <f>IFERROR(__xludf.DUMMYFUNCTION("IFERROR(GOOGLEFINANCE(A1611,""high""),"""")"),304.0)</f>
        <v>304</v>
      </c>
      <c r="Y1611" s="22">
        <f>IFERROR(__xludf.DUMMYFUNCTION("IFERROR(GOOGLEFINANCE(A1611,""low""),"""")"),292.0)</f>
        <v>292</v>
      </c>
      <c r="Z1611" s="22">
        <f>IFERROR(__xludf.DUMMYFUNCTION("IFERROR(GOOGLEFINANCE(A1611,""volume""),"""")"),2.97757E7)</f>
        <v>29775700</v>
      </c>
      <c r="AA1611" s="24" t="str">
        <f>VLOOKUP(A1611,Metrik!$C$2:$Y$959,5,0)</f>
        <v>Real Estate Management &amp; Development</v>
      </c>
      <c r="AB1611" s="24" t="str">
        <f>VLOOKUP(A1611,Metrik!$C$2:$Y$959,3,0)</f>
        <v>Properties &amp; Real Estate</v>
      </c>
    </row>
    <row r="1612">
      <c r="A1612" s="14" t="s">
        <v>875</v>
      </c>
      <c r="B1612" s="14" t="str">
        <f t="array" ref="B1612">VLOOKUP(A1612,{Metrik!$C$2:$C$998,Metrik!$B$2:$B$998},2,0)</f>
        <v>Summarecon Agung Tbk.</v>
      </c>
      <c r="C1612" s="15">
        <f>IFERROR(__xludf.DUMMYFUNCTION("GOOGLEFINANCE(""IDX:""&amp;A1612,""price"")"),302.0)</f>
        <v>302</v>
      </c>
      <c r="D1612" s="16" t="str">
        <f>IFERROR(__xludf.DUMMYFUNCTION("IF(A1612="""","""",
SPARKLINE(
INDEX(
GOOGLEFINANCE(""IDX:""&amp;A1612,""close"",TODAY()-365,TODAY()),
,2
),
{""linewidth"",1}
))
"),"#N/A")</f>
        <v>#N/A</v>
      </c>
      <c r="E1612" s="14" t="s">
        <v>52</v>
      </c>
      <c r="F1612" s="27" t="s">
        <v>53</v>
      </c>
      <c r="G1612" s="24">
        <f t="shared" si="9"/>
        <v>8</v>
      </c>
      <c r="H1612" s="19">
        <f>VLOOKUP(A1612,Metrik!$C$2:$Y$959,8,0)</f>
        <v>6.6</v>
      </c>
      <c r="I1612" s="20">
        <f>VLOOKUP(A1612,Metrik!$C$2:$Y$959,9,0)</f>
        <v>0.29</v>
      </c>
      <c r="J1612" s="20">
        <f>VLOOKUP(A1612,Metrik!$C$2:$Y$959,10,0)</f>
        <v>4.4</v>
      </c>
      <c r="K1612" s="20">
        <f>VLOOKUP(A1612,Metrik!$C$2:$Y$959,11,0)</f>
        <v>1.8</v>
      </c>
      <c r="L1612" s="20">
        <f>VLOOKUP(A1612,Metrik!$C$2:$Y$959,12,0)</f>
        <v>1.4</v>
      </c>
      <c r="M1612" s="20">
        <f>VLOOKUP(A1612,Metrik!$C$2:$Y$959,19,0)</f>
        <v>32.2</v>
      </c>
      <c r="N1612" s="21"/>
      <c r="O1612" s="21"/>
      <c r="P1612" s="21"/>
      <c r="Q1612" s="21"/>
      <c r="R1612" s="21"/>
      <c r="S1612" s="21"/>
      <c r="T1612" s="21"/>
      <c r="U1612" s="22" t="str">
        <f>IFERROR(__xludf.DUMMYFUNCTION("IFERROR(GOOGLEFINANCE(A1612,""closeyest""),"""")"),"")</f>
        <v/>
      </c>
      <c r="V1612" s="23">
        <f>IFERROR(__xludf.DUMMYFUNCTION("IFERROR(GOOGLEFINANCE(A1612,""changepct""),"""")"),4.14)</f>
        <v>4.14</v>
      </c>
      <c r="W1612" s="22">
        <f>IFERROR(__xludf.DUMMYFUNCTION("IFERROR(GOOGLEFINANCE(A1612,""priceopen""),"""")"),296.0)</f>
        <v>296</v>
      </c>
      <c r="X1612" s="22">
        <f>IFERROR(__xludf.DUMMYFUNCTION("IFERROR(GOOGLEFINANCE(A1612,""high""),"""")"),304.0)</f>
        <v>304</v>
      </c>
      <c r="Y1612" s="22">
        <f>IFERROR(__xludf.DUMMYFUNCTION("IFERROR(GOOGLEFINANCE(A1612,""low""),"""")"),292.0)</f>
        <v>292</v>
      </c>
      <c r="Z1612" s="22">
        <f>IFERROR(__xludf.DUMMYFUNCTION("IFERROR(GOOGLEFINANCE(A1612,""volume""),"""")"),2.97757E7)</f>
        <v>29775700</v>
      </c>
      <c r="AA1612" s="24" t="str">
        <f>VLOOKUP(A1612,Metrik!$C$2:$Y$959,5,0)</f>
        <v>Real Estate Management &amp; Development</v>
      </c>
      <c r="AB1612" s="24" t="str">
        <f>VLOOKUP(A1612,Metrik!$C$2:$Y$959,3,0)</f>
        <v>Properties &amp; Real Estate</v>
      </c>
    </row>
    <row r="1613">
      <c r="A1613" s="14" t="s">
        <v>875</v>
      </c>
      <c r="B1613" s="14" t="str">
        <f t="array" ref="B1613">VLOOKUP(A1613,{Metrik!$C$2:$C$998,Metrik!$B$2:$B$998},2,0)</f>
        <v>Summarecon Agung Tbk.</v>
      </c>
      <c r="C1613" s="15">
        <f>IFERROR(__xludf.DUMMYFUNCTION("GOOGLEFINANCE(""IDX:""&amp;A1613,""price"")"),302.0)</f>
        <v>302</v>
      </c>
      <c r="D1613" s="16" t="str">
        <f>IFERROR(__xludf.DUMMYFUNCTION("IF(A1613="""","""",
SPARKLINE(
INDEX(
GOOGLEFINANCE(""IDX:""&amp;A1613,""close"",TODAY()-365,TODAY()),
,2
),
{""linewidth"",1}
))
"),"#N/A")</f>
        <v>#N/A</v>
      </c>
      <c r="E1613" s="14" t="s">
        <v>161</v>
      </c>
      <c r="F1613" s="14" t="s">
        <v>76</v>
      </c>
      <c r="G1613" s="24">
        <f t="shared" si="9"/>
        <v>8</v>
      </c>
      <c r="H1613" s="19">
        <f>VLOOKUP(A1613,Metrik!$C$2:$Y$959,8,0)</f>
        <v>6.6</v>
      </c>
      <c r="I1613" s="20">
        <f>VLOOKUP(A1613,Metrik!$C$2:$Y$959,9,0)</f>
        <v>0.29</v>
      </c>
      <c r="J1613" s="20">
        <f>VLOOKUP(A1613,Metrik!$C$2:$Y$959,10,0)</f>
        <v>4.4</v>
      </c>
      <c r="K1613" s="20">
        <f>VLOOKUP(A1613,Metrik!$C$2:$Y$959,11,0)</f>
        <v>1.8</v>
      </c>
      <c r="L1613" s="20">
        <f>VLOOKUP(A1613,Metrik!$C$2:$Y$959,12,0)</f>
        <v>1.4</v>
      </c>
      <c r="M1613" s="20">
        <f>VLOOKUP(A1613,Metrik!$C$2:$Y$959,19,0)</f>
        <v>32.2</v>
      </c>
      <c r="N1613" s="21"/>
      <c r="O1613" s="21"/>
      <c r="P1613" s="21"/>
      <c r="Q1613" s="21"/>
      <c r="R1613" s="21"/>
      <c r="S1613" s="21"/>
      <c r="T1613" s="21"/>
      <c r="U1613" s="22" t="str">
        <f>IFERROR(__xludf.DUMMYFUNCTION("IFERROR(GOOGLEFINANCE(A1613,""closeyest""),"""")"),"")</f>
        <v/>
      </c>
      <c r="V1613" s="23">
        <f>IFERROR(__xludf.DUMMYFUNCTION("IFERROR(GOOGLEFINANCE(A1613,""changepct""),"""")"),4.14)</f>
        <v>4.14</v>
      </c>
      <c r="W1613" s="22">
        <f>IFERROR(__xludf.DUMMYFUNCTION("IFERROR(GOOGLEFINANCE(A1613,""priceopen""),"""")"),296.0)</f>
        <v>296</v>
      </c>
      <c r="X1613" s="22">
        <f>IFERROR(__xludf.DUMMYFUNCTION("IFERROR(GOOGLEFINANCE(A1613,""high""),"""")"),304.0)</f>
        <v>304</v>
      </c>
      <c r="Y1613" s="22">
        <f>IFERROR(__xludf.DUMMYFUNCTION("IFERROR(GOOGLEFINANCE(A1613,""low""),"""")"),292.0)</f>
        <v>292</v>
      </c>
      <c r="Z1613" s="22">
        <f>IFERROR(__xludf.DUMMYFUNCTION("IFERROR(GOOGLEFINANCE(A1613,""volume""),"""")"),2.97757E7)</f>
        <v>29775700</v>
      </c>
      <c r="AA1613" s="24" t="str">
        <f>VLOOKUP(A1613,Metrik!$C$2:$Y$959,5,0)</f>
        <v>Real Estate Management &amp; Development</v>
      </c>
      <c r="AB1613" s="24" t="str">
        <f>VLOOKUP(A1613,Metrik!$C$2:$Y$959,3,0)</f>
        <v>Properties &amp; Real Estate</v>
      </c>
    </row>
    <row r="1614">
      <c r="A1614" s="14" t="s">
        <v>875</v>
      </c>
      <c r="B1614" s="14" t="str">
        <f t="array" ref="B1614">VLOOKUP(A1614,{Metrik!$C$2:$C$998,Metrik!$B$2:$B$998},2,0)</f>
        <v>Summarecon Agung Tbk.</v>
      </c>
      <c r="C1614" s="15">
        <f>IFERROR(__xludf.DUMMYFUNCTION("GOOGLEFINANCE(""IDX:""&amp;A1614,""price"")"),302.0)</f>
        <v>302</v>
      </c>
      <c r="D1614" s="16" t="str">
        <f>IFERROR(__xludf.DUMMYFUNCTION("IF(A1614="""","""",
SPARKLINE(
INDEX(
GOOGLEFINANCE(""IDX:""&amp;A1614,""close"",TODAY()-365,TODAY()),
,2
),
{""linewidth"",1}
))
"),"#N/A")</f>
        <v>#N/A</v>
      </c>
      <c r="E1614" s="14" t="s">
        <v>33</v>
      </c>
      <c r="F1614" s="14" t="s">
        <v>34</v>
      </c>
      <c r="G1614" s="24">
        <f t="shared" si="9"/>
        <v>8</v>
      </c>
      <c r="H1614" s="19">
        <f>VLOOKUP(A1614,Metrik!$C$2:$Y$959,8,0)</f>
        <v>6.6</v>
      </c>
      <c r="I1614" s="20">
        <f>VLOOKUP(A1614,Metrik!$C$2:$Y$959,9,0)</f>
        <v>0.29</v>
      </c>
      <c r="J1614" s="20">
        <f>VLOOKUP(A1614,Metrik!$C$2:$Y$959,10,0)</f>
        <v>4.4</v>
      </c>
      <c r="K1614" s="20">
        <f>VLOOKUP(A1614,Metrik!$C$2:$Y$959,11,0)</f>
        <v>1.8</v>
      </c>
      <c r="L1614" s="20">
        <f>VLOOKUP(A1614,Metrik!$C$2:$Y$959,12,0)</f>
        <v>1.4</v>
      </c>
      <c r="M1614" s="20">
        <f>VLOOKUP(A1614,Metrik!$C$2:$Y$959,19,0)</f>
        <v>32.2</v>
      </c>
      <c r="N1614" s="21"/>
      <c r="O1614" s="21"/>
      <c r="P1614" s="21"/>
      <c r="Q1614" s="21"/>
      <c r="R1614" s="21"/>
      <c r="S1614" s="21"/>
      <c r="T1614" s="21"/>
      <c r="U1614" s="22" t="str">
        <f>IFERROR(__xludf.DUMMYFUNCTION("IFERROR(GOOGLEFINANCE(A1614,""closeyest""),"""")"),"")</f>
        <v/>
      </c>
      <c r="V1614" s="23">
        <f>IFERROR(__xludf.DUMMYFUNCTION("IFERROR(GOOGLEFINANCE(A1614,""changepct""),"""")"),4.14)</f>
        <v>4.14</v>
      </c>
      <c r="W1614" s="22">
        <f>IFERROR(__xludf.DUMMYFUNCTION("IFERROR(GOOGLEFINANCE(A1614,""priceopen""),"""")"),296.0)</f>
        <v>296</v>
      </c>
      <c r="X1614" s="22">
        <f>IFERROR(__xludf.DUMMYFUNCTION("IFERROR(GOOGLEFINANCE(A1614,""high""),"""")"),304.0)</f>
        <v>304</v>
      </c>
      <c r="Y1614" s="22">
        <f>IFERROR(__xludf.DUMMYFUNCTION("IFERROR(GOOGLEFINANCE(A1614,""low""),"""")"),292.0)</f>
        <v>292</v>
      </c>
      <c r="Z1614" s="22">
        <f>IFERROR(__xludf.DUMMYFUNCTION("IFERROR(GOOGLEFINANCE(A1614,""volume""),"""")"),2.97757E7)</f>
        <v>29775700</v>
      </c>
      <c r="AA1614" s="24" t="str">
        <f>VLOOKUP(A1614,Metrik!$C$2:$Y$959,5,0)</f>
        <v>Real Estate Management &amp; Development</v>
      </c>
      <c r="AB1614" s="24" t="str">
        <f>VLOOKUP(A1614,Metrik!$C$2:$Y$959,3,0)</f>
        <v>Properties &amp; Real Estate</v>
      </c>
    </row>
    <row r="1615">
      <c r="A1615" s="14" t="s">
        <v>875</v>
      </c>
      <c r="B1615" s="14" t="str">
        <f t="array" ref="B1615">VLOOKUP(A1615,{Metrik!$C$2:$C$998,Metrik!$B$2:$B$998},2,0)</f>
        <v>Summarecon Agung Tbk.</v>
      </c>
      <c r="C1615" s="15">
        <f>IFERROR(__xludf.DUMMYFUNCTION("GOOGLEFINANCE(""IDX:""&amp;A1615,""price"")"),302.0)</f>
        <v>302</v>
      </c>
      <c r="D1615" s="16" t="str">
        <f>IFERROR(__xludf.DUMMYFUNCTION("IF(A1615="""","""",
SPARKLINE(
INDEX(
GOOGLEFINANCE(""IDX:""&amp;A1615,""close"",TODAY()-365,TODAY()),
,2
),
{""linewidth"",1}
))
"),"#N/A")</f>
        <v>#N/A</v>
      </c>
      <c r="E1615" s="14" t="s">
        <v>28</v>
      </c>
      <c r="F1615" s="17" t="s">
        <v>29</v>
      </c>
      <c r="G1615" s="24">
        <f t="shared" si="9"/>
        <v>8</v>
      </c>
      <c r="H1615" s="19">
        <f>VLOOKUP(A1615,Metrik!$C$2:$Y$959,8,0)</f>
        <v>6.6</v>
      </c>
      <c r="I1615" s="20">
        <f>VLOOKUP(A1615,Metrik!$C$2:$Y$959,9,0)</f>
        <v>0.29</v>
      </c>
      <c r="J1615" s="20">
        <f>VLOOKUP(A1615,Metrik!$C$2:$Y$959,10,0)</f>
        <v>4.4</v>
      </c>
      <c r="K1615" s="20">
        <f>VLOOKUP(A1615,Metrik!$C$2:$Y$959,11,0)</f>
        <v>1.8</v>
      </c>
      <c r="L1615" s="20">
        <f>VLOOKUP(A1615,Metrik!$C$2:$Y$959,12,0)</f>
        <v>1.4</v>
      </c>
      <c r="M1615" s="20">
        <f>VLOOKUP(A1615,Metrik!$C$2:$Y$959,19,0)</f>
        <v>32.2</v>
      </c>
      <c r="N1615" s="21"/>
      <c r="O1615" s="21"/>
      <c r="P1615" s="21"/>
      <c r="Q1615" s="21"/>
      <c r="R1615" s="21"/>
      <c r="S1615" s="21"/>
      <c r="T1615" s="21"/>
      <c r="U1615" s="22" t="str">
        <f>IFERROR(__xludf.DUMMYFUNCTION("IFERROR(GOOGLEFINANCE(A1615,""closeyest""),"""")"),"")</f>
        <v/>
      </c>
      <c r="V1615" s="23">
        <f>IFERROR(__xludf.DUMMYFUNCTION("IFERROR(GOOGLEFINANCE(A1615,""changepct""),"""")"),4.14)</f>
        <v>4.14</v>
      </c>
      <c r="W1615" s="22">
        <f>IFERROR(__xludf.DUMMYFUNCTION("IFERROR(GOOGLEFINANCE(A1615,""priceopen""),"""")"),296.0)</f>
        <v>296</v>
      </c>
      <c r="X1615" s="22">
        <f>IFERROR(__xludf.DUMMYFUNCTION("IFERROR(GOOGLEFINANCE(A1615,""high""),"""")"),304.0)</f>
        <v>304</v>
      </c>
      <c r="Y1615" s="22">
        <f>IFERROR(__xludf.DUMMYFUNCTION("IFERROR(GOOGLEFINANCE(A1615,""low""),"""")"),292.0)</f>
        <v>292</v>
      </c>
      <c r="Z1615" s="22">
        <f>IFERROR(__xludf.DUMMYFUNCTION("IFERROR(GOOGLEFINANCE(A1615,""volume""),"""")"),2.97757E7)</f>
        <v>29775700</v>
      </c>
      <c r="AA1615" s="24" t="str">
        <f>VLOOKUP(A1615,Metrik!$C$2:$Y$959,5,0)</f>
        <v>Real Estate Management &amp; Development</v>
      </c>
      <c r="AB1615" s="24" t="str">
        <f>VLOOKUP(A1615,Metrik!$C$2:$Y$959,3,0)</f>
        <v>Properties &amp; Real Estate</v>
      </c>
    </row>
    <row r="1616">
      <c r="A1616" s="14" t="s">
        <v>875</v>
      </c>
      <c r="B1616" s="14" t="str">
        <f t="array" ref="B1616">VLOOKUP(A1616,{Metrik!$C$2:$C$998,Metrik!$B$2:$B$998},2,0)</f>
        <v>Summarecon Agung Tbk.</v>
      </c>
      <c r="C1616" s="15">
        <f>IFERROR(__xludf.DUMMYFUNCTION("GOOGLEFINANCE(""IDX:""&amp;A1616,""price"")"),302.0)</f>
        <v>302</v>
      </c>
      <c r="D1616" s="16" t="str">
        <f>IFERROR(__xludf.DUMMYFUNCTION("IF(A1616="""","""",
SPARKLINE(
INDEX(
GOOGLEFINANCE(""IDX:""&amp;A1616,""close"",TODAY()-365,TODAY()),
,2
),
{""linewidth"",1}
))
"),"#N/A")</f>
        <v>#N/A</v>
      </c>
      <c r="E1616" s="14" t="s">
        <v>32</v>
      </c>
      <c r="F1616" s="14" t="s">
        <v>29</v>
      </c>
      <c r="G1616" s="24">
        <f t="shared" si="9"/>
        <v>8</v>
      </c>
      <c r="H1616" s="19">
        <f>VLOOKUP(A1616,Metrik!$C$2:$Y$959,8,0)</f>
        <v>6.6</v>
      </c>
      <c r="I1616" s="20">
        <f>VLOOKUP(A1616,Metrik!$C$2:$Y$959,9,0)</f>
        <v>0.29</v>
      </c>
      <c r="J1616" s="20">
        <f>VLOOKUP(A1616,Metrik!$C$2:$Y$959,10,0)</f>
        <v>4.4</v>
      </c>
      <c r="K1616" s="20">
        <f>VLOOKUP(A1616,Metrik!$C$2:$Y$959,11,0)</f>
        <v>1.8</v>
      </c>
      <c r="L1616" s="20">
        <f>VLOOKUP(A1616,Metrik!$C$2:$Y$959,12,0)</f>
        <v>1.4</v>
      </c>
      <c r="M1616" s="20">
        <f>VLOOKUP(A1616,Metrik!$C$2:$Y$959,19,0)</f>
        <v>32.2</v>
      </c>
      <c r="N1616" s="21"/>
      <c r="O1616" s="21"/>
      <c r="P1616" s="21"/>
      <c r="Q1616" s="21"/>
      <c r="R1616" s="21"/>
      <c r="S1616" s="21"/>
      <c r="T1616" s="21"/>
      <c r="U1616" s="22" t="str">
        <f>IFERROR(__xludf.DUMMYFUNCTION("IFERROR(GOOGLEFINANCE(A1616,""closeyest""),"""")"),"")</f>
        <v/>
      </c>
      <c r="V1616" s="23">
        <f>IFERROR(__xludf.DUMMYFUNCTION("IFERROR(GOOGLEFINANCE(A1616,""changepct""),"""")"),4.14)</f>
        <v>4.14</v>
      </c>
      <c r="W1616" s="22">
        <f>IFERROR(__xludf.DUMMYFUNCTION("IFERROR(GOOGLEFINANCE(A1616,""priceopen""),"""")"),296.0)</f>
        <v>296</v>
      </c>
      <c r="X1616" s="22">
        <f>IFERROR(__xludf.DUMMYFUNCTION("IFERROR(GOOGLEFINANCE(A1616,""high""),"""")"),304.0)</f>
        <v>304</v>
      </c>
      <c r="Y1616" s="22">
        <f>IFERROR(__xludf.DUMMYFUNCTION("IFERROR(GOOGLEFINANCE(A1616,""low""),"""")"),292.0)</f>
        <v>292</v>
      </c>
      <c r="Z1616" s="22">
        <f>IFERROR(__xludf.DUMMYFUNCTION("IFERROR(GOOGLEFINANCE(A1616,""volume""),"""")"),2.97757E7)</f>
        <v>29775700</v>
      </c>
      <c r="AA1616" s="24" t="str">
        <f>VLOOKUP(A1616,Metrik!$C$2:$Y$959,5,0)</f>
        <v>Real Estate Management &amp; Development</v>
      </c>
      <c r="AB1616" s="24" t="str">
        <f>VLOOKUP(A1616,Metrik!$C$2:$Y$959,3,0)</f>
        <v>Properties &amp; Real Estate</v>
      </c>
    </row>
    <row r="1617">
      <c r="A1617" s="14" t="s">
        <v>875</v>
      </c>
      <c r="B1617" s="14" t="str">
        <f t="array" ref="B1617">VLOOKUP(A1617,{Metrik!$C$2:$C$998,Metrik!$B$2:$B$998},2,0)</f>
        <v>Summarecon Agung Tbk.</v>
      </c>
      <c r="C1617" s="15">
        <f>IFERROR(__xludf.DUMMYFUNCTION("GOOGLEFINANCE(""IDX:""&amp;A1617,""price"")"),302.0)</f>
        <v>302</v>
      </c>
      <c r="D1617" s="16" t="str">
        <f>IFERROR(__xludf.DUMMYFUNCTION("IF(A1617="""","""",
SPARKLINE(
INDEX(
GOOGLEFINANCE(""IDX:""&amp;A1617,""close"",TODAY()-365,TODAY()),
,2
),
{""linewidth"",1}
))
"),"#N/A")</f>
        <v>#N/A</v>
      </c>
      <c r="E1617" s="14" t="s">
        <v>41</v>
      </c>
      <c r="F1617" s="14" t="s">
        <v>34</v>
      </c>
      <c r="G1617" s="24">
        <f t="shared" si="9"/>
        <v>8</v>
      </c>
      <c r="H1617" s="19">
        <f>VLOOKUP(A1617,Metrik!$C$2:$Y$959,8,0)</f>
        <v>6.6</v>
      </c>
      <c r="I1617" s="20">
        <f>VLOOKUP(A1617,Metrik!$C$2:$Y$959,9,0)</f>
        <v>0.29</v>
      </c>
      <c r="J1617" s="20">
        <f>VLOOKUP(A1617,Metrik!$C$2:$Y$959,10,0)</f>
        <v>4.4</v>
      </c>
      <c r="K1617" s="20">
        <f>VLOOKUP(A1617,Metrik!$C$2:$Y$959,11,0)</f>
        <v>1.8</v>
      </c>
      <c r="L1617" s="20">
        <f>VLOOKUP(A1617,Metrik!$C$2:$Y$959,12,0)</f>
        <v>1.4</v>
      </c>
      <c r="M1617" s="20">
        <f>VLOOKUP(A1617,Metrik!$C$2:$Y$959,19,0)</f>
        <v>32.2</v>
      </c>
      <c r="N1617" s="21"/>
      <c r="O1617" s="21"/>
      <c r="P1617" s="21"/>
      <c r="Q1617" s="21"/>
      <c r="R1617" s="21"/>
      <c r="S1617" s="21"/>
      <c r="T1617" s="21"/>
      <c r="U1617" s="22" t="str">
        <f>IFERROR(__xludf.DUMMYFUNCTION("IFERROR(GOOGLEFINANCE(A1617,""closeyest""),"""")"),"")</f>
        <v/>
      </c>
      <c r="V1617" s="23">
        <f>IFERROR(__xludf.DUMMYFUNCTION("IFERROR(GOOGLEFINANCE(A1617,""changepct""),"""")"),4.14)</f>
        <v>4.14</v>
      </c>
      <c r="W1617" s="22">
        <f>IFERROR(__xludf.DUMMYFUNCTION("IFERROR(GOOGLEFINANCE(A1617,""priceopen""),"""")"),296.0)</f>
        <v>296</v>
      </c>
      <c r="X1617" s="22">
        <f>IFERROR(__xludf.DUMMYFUNCTION("IFERROR(GOOGLEFINANCE(A1617,""high""),"""")"),304.0)</f>
        <v>304</v>
      </c>
      <c r="Y1617" s="22">
        <f>IFERROR(__xludf.DUMMYFUNCTION("IFERROR(GOOGLEFINANCE(A1617,""low""),"""")"),292.0)</f>
        <v>292</v>
      </c>
      <c r="Z1617" s="22">
        <f>IFERROR(__xludf.DUMMYFUNCTION("IFERROR(GOOGLEFINANCE(A1617,""volume""),"""")"),2.97757E7)</f>
        <v>29775700</v>
      </c>
      <c r="AA1617" s="24" t="str">
        <f>VLOOKUP(A1617,Metrik!$C$2:$Y$959,5,0)</f>
        <v>Real Estate Management &amp; Development</v>
      </c>
      <c r="AB1617" s="24" t="str">
        <f>VLOOKUP(A1617,Metrik!$C$2:$Y$959,3,0)</f>
        <v>Properties &amp; Real Estate</v>
      </c>
    </row>
    <row r="1618">
      <c r="A1618" s="14" t="s">
        <v>875</v>
      </c>
      <c r="B1618" s="14" t="str">
        <f t="array" ref="B1618">VLOOKUP(A1618,{Metrik!$C$2:$C$998,Metrik!$B$2:$B$998},2,0)</f>
        <v>Summarecon Agung Tbk.</v>
      </c>
      <c r="C1618" s="15">
        <f>IFERROR(__xludf.DUMMYFUNCTION("GOOGLEFINANCE(""IDX:""&amp;A1618,""price"")"),302.0)</f>
        <v>302</v>
      </c>
      <c r="D1618" s="16" t="str">
        <f>IFERROR(__xludf.DUMMYFUNCTION("IF(A1618="""","""",
SPARKLINE(
INDEX(
GOOGLEFINANCE(""IDX:""&amp;A1618,""close"",TODAY()-365,TODAY()),
,2
),
{""linewidth"",1}
))
"),"#N/A")</f>
        <v>#N/A</v>
      </c>
      <c r="E1618" s="14" t="s">
        <v>39</v>
      </c>
      <c r="F1618" s="25">
        <v>46356.0</v>
      </c>
      <c r="G1618" s="24">
        <f t="shared" si="9"/>
        <v>8</v>
      </c>
      <c r="H1618" s="19">
        <f>VLOOKUP(A1618,Metrik!$C$2:$Y$959,8,0)</f>
        <v>6.6</v>
      </c>
      <c r="I1618" s="20">
        <f>VLOOKUP(A1618,Metrik!$C$2:$Y$959,9,0)</f>
        <v>0.29</v>
      </c>
      <c r="J1618" s="20">
        <f>VLOOKUP(A1618,Metrik!$C$2:$Y$959,10,0)</f>
        <v>4.4</v>
      </c>
      <c r="K1618" s="20">
        <f>VLOOKUP(A1618,Metrik!$C$2:$Y$959,11,0)</f>
        <v>1.8</v>
      </c>
      <c r="L1618" s="20">
        <f>VLOOKUP(A1618,Metrik!$C$2:$Y$959,12,0)</f>
        <v>1.4</v>
      </c>
      <c r="M1618" s="20">
        <f>VLOOKUP(A1618,Metrik!$C$2:$Y$959,19,0)</f>
        <v>32.2</v>
      </c>
      <c r="N1618" s="21"/>
      <c r="O1618" s="21"/>
      <c r="P1618" s="21"/>
      <c r="Q1618" s="21"/>
      <c r="R1618" s="21"/>
      <c r="S1618" s="21"/>
      <c r="T1618" s="21"/>
      <c r="U1618" s="22" t="str">
        <f>IFERROR(__xludf.DUMMYFUNCTION("IFERROR(GOOGLEFINANCE(A1618,""closeyest""),"""")"),"")</f>
        <v/>
      </c>
      <c r="V1618" s="23">
        <f>IFERROR(__xludf.DUMMYFUNCTION("IFERROR(GOOGLEFINANCE(A1618,""changepct""),"""")"),4.14)</f>
        <v>4.14</v>
      </c>
      <c r="W1618" s="22">
        <f>IFERROR(__xludf.DUMMYFUNCTION("IFERROR(GOOGLEFINANCE(A1618,""priceopen""),"""")"),296.0)</f>
        <v>296</v>
      </c>
      <c r="X1618" s="22">
        <f>IFERROR(__xludf.DUMMYFUNCTION("IFERROR(GOOGLEFINANCE(A1618,""high""),"""")"),304.0)</f>
        <v>304</v>
      </c>
      <c r="Y1618" s="22">
        <f>IFERROR(__xludf.DUMMYFUNCTION("IFERROR(GOOGLEFINANCE(A1618,""low""),"""")"),292.0)</f>
        <v>292</v>
      </c>
      <c r="Z1618" s="22">
        <f>IFERROR(__xludf.DUMMYFUNCTION("IFERROR(GOOGLEFINANCE(A1618,""volume""),"""")"),2.97757E7)</f>
        <v>29775700</v>
      </c>
      <c r="AA1618" s="24" t="str">
        <f>VLOOKUP(A1618,Metrik!$C$2:$Y$959,5,0)</f>
        <v>Real Estate Management &amp; Development</v>
      </c>
      <c r="AB1618" s="24" t="str">
        <f>VLOOKUP(A1618,Metrik!$C$2:$Y$959,3,0)</f>
        <v>Properties &amp; Real Estate</v>
      </c>
    </row>
    <row r="1619">
      <c r="A1619" s="14" t="s">
        <v>876</v>
      </c>
      <c r="B1619" s="14" t="str">
        <f t="array" ref="B1619">VLOOKUP(A1619,{Metrik!$C$2:$C$998,Metrik!$B$2:$B$998},2,0)</f>
        <v>SMR Utama Tbk</v>
      </c>
      <c r="C1619" s="15">
        <f>IFERROR(__xludf.DUMMYFUNCTION("GOOGLEFINANCE(""IDX:""&amp;A1619,""price"")"),50.0)</f>
        <v>50</v>
      </c>
      <c r="D1619" s="16" t="str">
        <f>IFERROR(__xludf.DUMMYFUNCTION("IF(A1619="""","""",
SPARKLINE(
INDEX(
GOOGLEFINANCE(""IDX:""&amp;A1619,""close"",TODAY()-365,TODAY()),
,2
),
{""linewidth"",1}
))
"),"#N/A")</f>
        <v>#N/A</v>
      </c>
      <c r="E1619" s="26"/>
      <c r="F1619" s="26"/>
      <c r="G1619" s="24">
        <f t="shared" si="9"/>
        <v>0</v>
      </c>
      <c r="H1619" s="19">
        <f>VLOOKUP(A1619,Metrik!$C$2:$Y$959,8,0)</f>
        <v>-29.8</v>
      </c>
      <c r="I1619" s="20">
        <f>VLOOKUP(A1619,Metrik!$C$2:$Y$959,9,0)</f>
        <v>700</v>
      </c>
      <c r="J1619" s="20">
        <f>VLOOKUP(A1619,Metrik!$C$2:$Y$959,10,0)</f>
        <v>-2360</v>
      </c>
      <c r="K1619" s="20">
        <f>VLOOKUP(A1619,Metrik!$C$2:$Y$959,11,0)</f>
        <v>-3.2</v>
      </c>
      <c r="L1619" s="20">
        <f>VLOOKUP(A1619,Metrik!$C$2:$Y$959,12,0)</f>
        <v>730</v>
      </c>
      <c r="M1619" s="20">
        <f>VLOOKUP(A1619,Metrik!$C$2:$Y$959,19,0)</f>
        <v>-35.1</v>
      </c>
      <c r="N1619" s="21"/>
      <c r="O1619" s="21"/>
      <c r="P1619" s="21"/>
      <c r="Q1619" s="21"/>
      <c r="R1619" s="21"/>
      <c r="S1619" s="21"/>
      <c r="T1619" s="21"/>
      <c r="U1619" s="22">
        <f>IFERROR(__xludf.DUMMYFUNCTION("IFERROR(GOOGLEFINANCE(A1619,""closeyest""),"""")"),50.0)</f>
        <v>50</v>
      </c>
      <c r="V1619" s="23">
        <f>IFERROR(__xludf.DUMMYFUNCTION("IFERROR(GOOGLEFINANCE(A1619,""changepct""),"""")"),0.0)</f>
        <v>0</v>
      </c>
      <c r="W1619" s="22" t="str">
        <f>IFERROR(__xludf.DUMMYFUNCTION("IFERROR(GOOGLEFINANCE(A1619,""priceopen""),"""")"),"")</f>
        <v/>
      </c>
      <c r="X1619" s="22" t="str">
        <f>IFERROR(__xludf.DUMMYFUNCTION("IFERROR(GOOGLEFINANCE(A1619,""high""),"""")"),"")</f>
        <v/>
      </c>
      <c r="Y1619" s="22" t="str">
        <f>IFERROR(__xludf.DUMMYFUNCTION("IFERROR(GOOGLEFINANCE(A1619,""low""),"""")"),"")</f>
        <v/>
      </c>
      <c r="Z1619" s="22">
        <f>IFERROR(__xludf.DUMMYFUNCTION("IFERROR(GOOGLEFINANCE(A1619,""volume""),"""")"),0.0)</f>
        <v>0</v>
      </c>
      <c r="AA1619" s="24" t="str">
        <f>VLOOKUP(A1619,Metrik!$C$2:$Y$959,5,0)</f>
        <v>Oil, Gas &amp; Coal Supports</v>
      </c>
      <c r="AB1619" s="24" t="str">
        <f>VLOOKUP(A1619,Metrik!$C$2:$Y$959,3,0)</f>
        <v>Energy</v>
      </c>
    </row>
    <row r="1620">
      <c r="A1620" s="14" t="s">
        <v>877</v>
      </c>
      <c r="B1620" s="14" t="str">
        <f t="array" ref="B1620">VLOOKUP(A1620,{Metrik!$C$2:$C$998,Metrik!$B$2:$B$998},2,0)</f>
        <v>Selamat Sempurna Tbk.</v>
      </c>
      <c r="C1620" s="15">
        <f>IFERROR(__xludf.DUMMYFUNCTION("GOOGLEFINANCE(""IDX:""&amp;A1620,""price"")"),1640.0)</f>
        <v>1640</v>
      </c>
      <c r="D1620" s="16" t="str">
        <f>IFERROR(__xludf.DUMMYFUNCTION("IF(A1620="""","""",
SPARKLINE(
INDEX(
GOOGLEFINANCE(""IDX:""&amp;A1620,""close"",TODAY()-365,TODAY()),
,2
),
{""linewidth"",1}
))
"),"#N/A")</f>
        <v>#N/A</v>
      </c>
      <c r="E1620" s="14" t="s">
        <v>47</v>
      </c>
      <c r="F1620" s="25">
        <v>46356.0</v>
      </c>
      <c r="G1620" s="18">
        <f t="shared" si="9"/>
        <v>2</v>
      </c>
      <c r="H1620" s="19">
        <f>VLOOKUP(A1620,Metrik!$C$2:$Y$959,8,0)</f>
        <v>8.9</v>
      </c>
      <c r="I1620" s="20">
        <f>VLOOKUP(A1620,Metrik!$C$2:$Y$959,9,0)</f>
        <v>2.1</v>
      </c>
      <c r="J1620" s="20">
        <f>VLOOKUP(A1620,Metrik!$C$2:$Y$959,10,0)</f>
        <v>24.2</v>
      </c>
      <c r="K1620" s="20">
        <f>VLOOKUP(A1620,Metrik!$C$2:$Y$959,11,0)</f>
        <v>20.2</v>
      </c>
      <c r="L1620" s="20">
        <f>VLOOKUP(A1620,Metrik!$C$2:$Y$959,12,0)</f>
        <v>0.2</v>
      </c>
      <c r="M1620" s="20">
        <f>VLOOKUP(A1620,Metrik!$C$2:$Y$959,19,0)</f>
        <v>90</v>
      </c>
      <c r="N1620" s="21"/>
      <c r="O1620" s="21"/>
      <c r="P1620" s="21"/>
      <c r="Q1620" s="21"/>
      <c r="R1620" s="21"/>
      <c r="S1620" s="21"/>
      <c r="T1620" s="21"/>
      <c r="U1620" s="22">
        <f>IFERROR(__xludf.DUMMYFUNCTION("IFERROR(GOOGLEFINANCE(A1620,""closeyest""),"""")"),1615.0)</f>
        <v>1615</v>
      </c>
      <c r="V1620" s="23">
        <f>IFERROR(__xludf.DUMMYFUNCTION("IFERROR(GOOGLEFINANCE(A1620,""changepct""),"""")"),1.55)</f>
        <v>1.55</v>
      </c>
      <c r="W1620" s="22">
        <f>IFERROR(__xludf.DUMMYFUNCTION("IFERROR(GOOGLEFINANCE(A1620,""priceopen""),"""")"),1615.0)</f>
        <v>1615</v>
      </c>
      <c r="X1620" s="22">
        <f>IFERROR(__xludf.DUMMYFUNCTION("IFERROR(GOOGLEFINANCE(A1620,""high""),"""")"),1655.0)</f>
        <v>1655</v>
      </c>
      <c r="Y1620" s="22">
        <f>IFERROR(__xludf.DUMMYFUNCTION("IFERROR(GOOGLEFINANCE(A1620,""low""),"""")"),1615.0)</f>
        <v>1615</v>
      </c>
      <c r="Z1620" s="22">
        <f>IFERROR(__xludf.DUMMYFUNCTION("IFERROR(GOOGLEFINANCE(A1620,""volume""),"""")"),1756300.0)</f>
        <v>1756300</v>
      </c>
      <c r="AA1620" s="24" t="str">
        <f>VLOOKUP(A1620,Metrik!$C$2:$Y$959,5,0)</f>
        <v>Auto Components</v>
      </c>
      <c r="AB1620" s="24" t="str">
        <f>VLOOKUP(A1620,Metrik!$C$2:$Y$959,3,0)</f>
        <v>Consumer Cyclicals</v>
      </c>
    </row>
    <row r="1621">
      <c r="A1621" s="14" t="s">
        <v>877</v>
      </c>
      <c r="B1621" s="14" t="str">
        <f t="array" ref="B1621">VLOOKUP(A1621,{Metrik!$C$2:$C$998,Metrik!$B$2:$B$998},2,0)</f>
        <v>Selamat Sempurna Tbk.</v>
      </c>
      <c r="C1621" s="15">
        <f>IFERROR(__xludf.DUMMYFUNCTION("GOOGLEFINANCE(""IDX:""&amp;A1621,""price"")"),1640.0)</f>
        <v>1640</v>
      </c>
      <c r="D1621" s="16" t="str">
        <f>IFERROR(__xludf.DUMMYFUNCTION("IF(A1621="""","""",
SPARKLINE(
INDEX(
GOOGLEFINANCE(""IDX:""&amp;A1621,""close"",TODAY()-365,TODAY()),
,2
),
{""linewidth"",1}
))
"),"#N/A")</f>
        <v>#N/A</v>
      </c>
      <c r="E1621" s="14" t="s">
        <v>55</v>
      </c>
      <c r="F1621" s="25">
        <v>46356.0</v>
      </c>
      <c r="G1621" s="18">
        <f t="shared" si="9"/>
        <v>2</v>
      </c>
      <c r="H1621" s="19">
        <f>VLOOKUP(A1621,Metrik!$C$2:$Y$959,8,0)</f>
        <v>8.9</v>
      </c>
      <c r="I1621" s="20">
        <f>VLOOKUP(A1621,Metrik!$C$2:$Y$959,9,0)</f>
        <v>2.1</v>
      </c>
      <c r="J1621" s="20">
        <f>VLOOKUP(A1621,Metrik!$C$2:$Y$959,10,0)</f>
        <v>24.2</v>
      </c>
      <c r="K1621" s="20">
        <f>VLOOKUP(A1621,Metrik!$C$2:$Y$959,11,0)</f>
        <v>20.2</v>
      </c>
      <c r="L1621" s="20">
        <f>VLOOKUP(A1621,Metrik!$C$2:$Y$959,12,0)</f>
        <v>0.2</v>
      </c>
      <c r="M1621" s="20">
        <f>VLOOKUP(A1621,Metrik!$C$2:$Y$959,19,0)</f>
        <v>90</v>
      </c>
      <c r="N1621" s="21"/>
      <c r="O1621" s="21"/>
      <c r="P1621" s="21"/>
      <c r="Q1621" s="21"/>
      <c r="R1621" s="21"/>
      <c r="S1621" s="21"/>
      <c r="T1621" s="21"/>
      <c r="U1621" s="22">
        <f>IFERROR(__xludf.DUMMYFUNCTION("IFERROR(GOOGLEFINANCE(A1621,""closeyest""),"""")"),1615.0)</f>
        <v>1615</v>
      </c>
      <c r="V1621" s="23">
        <f>IFERROR(__xludf.DUMMYFUNCTION("IFERROR(GOOGLEFINANCE(A1621,""changepct""),"""")"),1.55)</f>
        <v>1.55</v>
      </c>
      <c r="W1621" s="22">
        <f>IFERROR(__xludf.DUMMYFUNCTION("IFERROR(GOOGLEFINANCE(A1621,""priceopen""),"""")"),1615.0)</f>
        <v>1615</v>
      </c>
      <c r="X1621" s="22">
        <f>IFERROR(__xludf.DUMMYFUNCTION("IFERROR(GOOGLEFINANCE(A1621,""high""),"""")"),1655.0)</f>
        <v>1655</v>
      </c>
      <c r="Y1621" s="22">
        <f>IFERROR(__xludf.DUMMYFUNCTION("IFERROR(GOOGLEFINANCE(A1621,""low""),"""")"),1615.0)</f>
        <v>1615</v>
      </c>
      <c r="Z1621" s="22">
        <f>IFERROR(__xludf.DUMMYFUNCTION("IFERROR(GOOGLEFINANCE(A1621,""volume""),"""")"),1756300.0)</f>
        <v>1756300</v>
      </c>
      <c r="AA1621" s="24" t="str">
        <f>VLOOKUP(A1621,Metrik!$C$2:$Y$959,5,0)</f>
        <v>Auto Components</v>
      </c>
      <c r="AB1621" s="24" t="str">
        <f>VLOOKUP(A1621,Metrik!$C$2:$Y$959,3,0)</f>
        <v>Consumer Cyclicals</v>
      </c>
    </row>
    <row r="1622">
      <c r="A1622" s="14" t="s">
        <v>878</v>
      </c>
      <c r="B1622" s="14" t="str">
        <f t="array" ref="B1622">VLOOKUP(A1622,{Metrik!$C$2:$C$998,Metrik!$B$2:$B$998},2,0)</f>
        <v>Sunter Lakeside Hotel Tbk.</v>
      </c>
      <c r="C1622" s="15">
        <f>IFERROR(__xludf.DUMMYFUNCTION("GOOGLEFINANCE(""IDX:""&amp;A1622,""price"")"),234.0)</f>
        <v>234</v>
      </c>
      <c r="D1622" s="16" t="str">
        <f>IFERROR(__xludf.DUMMYFUNCTION("IF(A1622="""","""",
SPARKLINE(
INDEX(
GOOGLEFINANCE(""IDX:""&amp;A1622,""close"",TODAY()-365,TODAY()),
,2
),
{""linewidth"",1}
))
"),"#N/A")</f>
        <v>#N/A</v>
      </c>
      <c r="E1622" s="26"/>
      <c r="F1622" s="26"/>
      <c r="G1622" s="24">
        <f t="shared" si="9"/>
        <v>0</v>
      </c>
      <c r="H1622" s="19">
        <f>VLOOKUP(A1622,Metrik!$C$2:$Y$959,8,0)</f>
        <v>-29.6</v>
      </c>
      <c r="I1622" s="20">
        <f>VLOOKUP(A1622,Metrik!$C$2:$Y$959,9,0)</f>
        <v>0.68</v>
      </c>
      <c r="J1622" s="20">
        <f>VLOOKUP(A1622,Metrik!$C$2:$Y$959,10,0)</f>
        <v>-2.3</v>
      </c>
      <c r="K1622" s="20">
        <f>VLOOKUP(A1622,Metrik!$C$2:$Y$959,11,0)</f>
        <v>-1.8</v>
      </c>
      <c r="L1622" s="20">
        <f>VLOOKUP(A1622,Metrik!$C$2:$Y$959,12,0)</f>
        <v>0.27</v>
      </c>
      <c r="M1622" s="20">
        <f>VLOOKUP(A1622,Metrik!$C$2:$Y$959,19,0)</f>
        <v>-40.5</v>
      </c>
      <c r="N1622" s="21"/>
      <c r="O1622" s="21"/>
      <c r="P1622" s="21"/>
      <c r="Q1622" s="21"/>
      <c r="R1622" s="21"/>
      <c r="S1622" s="21"/>
      <c r="T1622" s="21"/>
      <c r="U1622" s="22">
        <f>IFERROR(__xludf.DUMMYFUNCTION("IFERROR(GOOGLEFINANCE(A1622,""closeyest""),"""")"),234.0)</f>
        <v>234</v>
      </c>
      <c r="V1622" s="23">
        <f>IFERROR(__xludf.DUMMYFUNCTION("IFERROR(GOOGLEFINANCE(A1622,""changepct""),"""")"),0.0)</f>
        <v>0</v>
      </c>
      <c r="W1622" s="22">
        <f>IFERROR(__xludf.DUMMYFUNCTION("IFERROR(GOOGLEFINANCE(A1622,""priceopen""),"""")"),234.0)</f>
        <v>234</v>
      </c>
      <c r="X1622" s="22">
        <f>IFERROR(__xludf.DUMMYFUNCTION("IFERROR(GOOGLEFINANCE(A1622,""high""),"""")"),240.0)</f>
        <v>240</v>
      </c>
      <c r="Y1622" s="22">
        <f>IFERROR(__xludf.DUMMYFUNCTION("IFERROR(GOOGLEFINANCE(A1622,""low""),"""")"),228.0)</f>
        <v>228</v>
      </c>
      <c r="Z1622" s="22">
        <f>IFERROR(__xludf.DUMMYFUNCTION("IFERROR(GOOGLEFINANCE(A1622,""volume""),"""")"),6689100.0)</f>
        <v>6689100</v>
      </c>
      <c r="AA1622" s="24" t="str">
        <f>VLOOKUP(A1622,Metrik!$C$2:$Y$959,5,0)</f>
        <v>Tourism &amp; Recreation</v>
      </c>
      <c r="AB1622" s="24" t="str">
        <f>VLOOKUP(A1622,Metrik!$C$2:$Y$959,3,0)</f>
        <v>Consumer Cyclicals</v>
      </c>
    </row>
    <row r="1623">
      <c r="A1623" s="14" t="s">
        <v>879</v>
      </c>
      <c r="B1623" s="14" t="str">
        <f t="array" ref="B1623">VLOOKUP(A1623,{Metrik!$C$2:$C$998,Metrik!$B$2:$B$998},2,0)</f>
        <v>Soechi Lines Tbk.</v>
      </c>
      <c r="C1623" s="15">
        <f>IFERROR(__xludf.DUMMYFUNCTION("GOOGLEFINANCE(""IDX:""&amp;A1623,""price"")"),322.0)</f>
        <v>322</v>
      </c>
      <c r="D1623" s="16" t="str">
        <f>IFERROR(__xludf.DUMMYFUNCTION("IF(A1623="""","""",
SPARKLINE(
INDEX(
GOOGLEFINANCE(""IDX:""&amp;A1623,""close"",TODAY()-365,TODAY()),
,2
),
{""linewidth"",1}
))
"),"#N/A")</f>
        <v>#N/A</v>
      </c>
      <c r="E1623" s="26"/>
      <c r="F1623" s="26"/>
      <c r="G1623" s="24">
        <f t="shared" si="9"/>
        <v>0</v>
      </c>
      <c r="H1623" s="19">
        <f>VLOOKUP(A1623,Metrik!$C$2:$Y$959,8,0)</f>
        <v>16.5</v>
      </c>
      <c r="I1623" s="20">
        <f>VLOOKUP(A1623,Metrik!$C$2:$Y$959,9,0)</f>
        <v>0.4</v>
      </c>
      <c r="J1623" s="20">
        <f>VLOOKUP(A1623,Metrik!$C$2:$Y$959,10,0)</f>
        <v>2.4</v>
      </c>
      <c r="K1623" s="20">
        <f>VLOOKUP(A1623,Metrik!$C$2:$Y$959,11,0)</f>
        <v>1.7</v>
      </c>
      <c r="L1623" s="20">
        <f>VLOOKUP(A1623,Metrik!$C$2:$Y$959,12,0)</f>
        <v>0.45</v>
      </c>
      <c r="M1623" s="20">
        <f>VLOOKUP(A1623,Metrik!$C$2:$Y$959,19,0)</f>
        <v>28.4</v>
      </c>
      <c r="N1623" s="21"/>
      <c r="O1623" s="21"/>
      <c r="P1623" s="21"/>
      <c r="Q1623" s="21"/>
      <c r="R1623" s="21"/>
      <c r="S1623" s="21"/>
      <c r="T1623" s="21"/>
      <c r="U1623" s="22">
        <f>IFERROR(__xludf.DUMMYFUNCTION("IFERROR(GOOGLEFINANCE(A1623,""closeyest""),"""")"),300.0)</f>
        <v>300</v>
      </c>
      <c r="V1623" s="23">
        <f>IFERROR(__xludf.DUMMYFUNCTION("IFERROR(GOOGLEFINANCE(A1623,""changepct""),"""")"),7.33)</f>
        <v>7.33</v>
      </c>
      <c r="W1623" s="22">
        <f>IFERROR(__xludf.DUMMYFUNCTION("IFERROR(GOOGLEFINANCE(A1623,""priceopen""),"""")"),310.0)</f>
        <v>310</v>
      </c>
      <c r="X1623" s="22">
        <f>IFERROR(__xludf.DUMMYFUNCTION("IFERROR(GOOGLEFINANCE(A1623,""high""),"""")"),348.0)</f>
        <v>348</v>
      </c>
      <c r="Y1623" s="22">
        <f>IFERROR(__xludf.DUMMYFUNCTION("IFERROR(GOOGLEFINANCE(A1623,""low""),"""")"),308.0)</f>
        <v>308</v>
      </c>
      <c r="Z1623" s="22">
        <f>IFERROR(__xludf.DUMMYFUNCTION("IFERROR(GOOGLEFINANCE(A1623,""volume""),"""")"),2.01022E7)</f>
        <v>20102200</v>
      </c>
      <c r="AA1623" s="24" t="str">
        <f>VLOOKUP(A1623,Metrik!$C$2:$Y$959,5,0)</f>
        <v>Oil &amp; Gas</v>
      </c>
      <c r="AB1623" s="24" t="str">
        <f>VLOOKUP(A1623,Metrik!$C$2:$Y$959,3,0)</f>
        <v>Energy</v>
      </c>
    </row>
    <row r="1624">
      <c r="A1624" s="14" t="s">
        <v>880</v>
      </c>
      <c r="B1624" s="14" t="str">
        <f t="array" ref="B1624">VLOOKUP(A1624,{Metrik!$C$2:$C$998,Metrik!$B$2:$B$998},2,0)</f>
        <v>Solusi Environment Asia Tbk.</v>
      </c>
      <c r="C1624" s="15">
        <f>IFERROR(__xludf.DUMMYFUNCTION("GOOGLEFINANCE(""IDX:""&amp;A1624,""price"")"),252.0)</f>
        <v>252</v>
      </c>
      <c r="D1624" s="16" t="str">
        <f>IFERROR(__xludf.DUMMYFUNCTION("IF(A1624="""","""",
SPARKLINE(
INDEX(
GOOGLEFINANCE(""IDX:""&amp;A1624,""close"",TODAY()-365,TODAY()),
,2
),
{""linewidth"",1}
))
"),"#N/A")</f>
        <v>#N/A</v>
      </c>
      <c r="E1624" s="26"/>
      <c r="F1624" s="26"/>
      <c r="G1624" s="24">
        <f t="shared" si="9"/>
        <v>0</v>
      </c>
      <c r="H1624" s="19">
        <f>VLOOKUP(A1624,Metrik!$C$2:$Y$959,8,0)</f>
        <v>-130</v>
      </c>
      <c r="I1624" s="20">
        <f>VLOOKUP(A1624,Metrik!$C$2:$Y$959,9,0)</f>
        <v>16.9</v>
      </c>
      <c r="J1624" s="20">
        <f>VLOOKUP(A1624,Metrik!$C$2:$Y$959,10,0)</f>
        <v>-13.3</v>
      </c>
      <c r="K1624" s="20">
        <f>VLOOKUP(A1624,Metrik!$C$2:$Y$959,11,0)</f>
        <v>-10</v>
      </c>
      <c r="L1624" s="20">
        <f>VLOOKUP(A1624,Metrik!$C$2:$Y$959,12,0)</f>
        <v>0.33</v>
      </c>
      <c r="M1624" s="20">
        <f>VLOOKUP(A1624,Metrik!$C$2:$Y$959,19,0)</f>
        <v>-11.5</v>
      </c>
      <c r="N1624" s="21"/>
      <c r="O1624" s="21"/>
      <c r="P1624" s="21"/>
      <c r="Q1624" s="21"/>
      <c r="R1624" s="21"/>
      <c r="S1624" s="21"/>
      <c r="T1624" s="21"/>
      <c r="U1624" s="22">
        <f>IFERROR(__xludf.DUMMYFUNCTION("IFERROR(GOOGLEFINANCE(A1624,""closeyest""),"""")"),13.18)</f>
        <v>13.18</v>
      </c>
      <c r="V1624" s="23">
        <f>IFERROR(__xludf.DUMMYFUNCTION("IFERROR(GOOGLEFINANCE(A1624,""changepct""),"""")"),-1.21)</f>
        <v>-1.21</v>
      </c>
      <c r="W1624" s="22">
        <f>IFERROR(__xludf.DUMMYFUNCTION("IFERROR(GOOGLEFINANCE(A1624,""priceopen""),"""")"),13.59)</f>
        <v>13.59</v>
      </c>
      <c r="X1624" s="22">
        <f>IFERROR(__xludf.DUMMYFUNCTION("IFERROR(GOOGLEFINANCE(A1624,""high""),"""")"),13.59)</f>
        <v>13.59</v>
      </c>
      <c r="Y1624" s="22">
        <f>IFERROR(__xludf.DUMMYFUNCTION("IFERROR(GOOGLEFINANCE(A1624,""low""),"""")"),12.62)</f>
        <v>12.62</v>
      </c>
      <c r="Z1624" s="22">
        <f>IFERROR(__xludf.DUMMYFUNCTION("IFERROR(GOOGLEFINANCE(A1624,""volume""),"""")"),105285.0)</f>
        <v>105285</v>
      </c>
      <c r="AA1624" s="24" t="str">
        <f>VLOOKUP(A1624,Metrik!$C$2:$Y$959,5,0)</f>
        <v>Household Goods</v>
      </c>
      <c r="AB1624" s="24" t="str">
        <f>VLOOKUP(A1624,Metrik!$C$2:$Y$959,3,0)</f>
        <v>Consumer Cyclicals</v>
      </c>
    </row>
    <row r="1625">
      <c r="A1625" s="14" t="s">
        <v>881</v>
      </c>
      <c r="B1625" s="14" t="str">
        <f t="array" ref="B1625">VLOOKUP(A1625,{Metrik!$C$2:$C$998,Metrik!$B$2:$B$998},2,0)</f>
        <v>Soho Global Health Tbk.</v>
      </c>
      <c r="C1625" s="15">
        <f>IFERROR(__xludf.DUMMYFUNCTION("GOOGLEFINANCE(""IDX:""&amp;A1625,""price"")"),1170.0)</f>
        <v>1170</v>
      </c>
      <c r="D1625" s="16" t="str">
        <f>IFERROR(__xludf.DUMMYFUNCTION("IF(A1625="""","""",
SPARKLINE(
INDEX(
GOOGLEFINANCE(""IDX:""&amp;A1625,""close"",TODAY()-365,TODAY()),
,2
),
{""linewidth"",1}
))
"),"#N/A")</f>
        <v>#N/A</v>
      </c>
      <c r="E1625" s="26"/>
      <c r="F1625" s="26"/>
      <c r="G1625" s="24">
        <f t="shared" si="9"/>
        <v>0</v>
      </c>
      <c r="H1625" s="19">
        <f>VLOOKUP(A1625,Metrik!$C$2:$Y$959,8,0)</f>
        <v>29</v>
      </c>
      <c r="I1625" s="20">
        <f>VLOOKUP(A1625,Metrik!$C$2:$Y$959,9,0)</f>
        <v>6.9</v>
      </c>
      <c r="J1625" s="20">
        <f>VLOOKUP(A1625,Metrik!$C$2:$Y$959,10,0)</f>
        <v>23.7</v>
      </c>
      <c r="K1625" s="20">
        <f>VLOOKUP(A1625,Metrik!$C$2:$Y$959,11,0)</f>
        <v>11.3</v>
      </c>
      <c r="L1625" s="20">
        <f>VLOOKUP(A1625,Metrik!$C$2:$Y$959,12,0)</f>
        <v>1.1</v>
      </c>
      <c r="M1625" s="20">
        <f>VLOOKUP(A1625,Metrik!$C$2:$Y$959,19,0)</f>
        <v>24.9</v>
      </c>
      <c r="N1625" s="21"/>
      <c r="O1625" s="21"/>
      <c r="P1625" s="21"/>
      <c r="Q1625" s="21"/>
      <c r="R1625" s="21"/>
      <c r="S1625" s="21"/>
      <c r="T1625" s="21"/>
      <c r="U1625" s="22">
        <f>IFERROR(__xludf.DUMMYFUNCTION("IFERROR(GOOGLEFINANCE(A1625,""closeyest""),"""")"),70.8)</f>
        <v>70.8</v>
      </c>
      <c r="V1625" s="23">
        <f>IFERROR(__xludf.DUMMYFUNCTION("IFERROR(GOOGLEFINANCE(A1625,""changepct""),"""")"),0.14)</f>
        <v>0.14</v>
      </c>
      <c r="W1625" s="22">
        <f>IFERROR(__xludf.DUMMYFUNCTION("IFERROR(GOOGLEFINANCE(A1625,""priceopen""),"""")"),70.94)</f>
        <v>70.94</v>
      </c>
      <c r="X1625" s="22">
        <f>IFERROR(__xludf.DUMMYFUNCTION("IFERROR(GOOGLEFINANCE(A1625,""high""),"""")"),73.0)</f>
        <v>73</v>
      </c>
      <c r="Y1625" s="22">
        <f>IFERROR(__xludf.DUMMYFUNCTION("IFERROR(GOOGLEFINANCE(A1625,""low""),"""")"),70.6)</f>
        <v>70.6</v>
      </c>
      <c r="Z1625" s="22">
        <f>IFERROR(__xludf.DUMMYFUNCTION("IFERROR(GOOGLEFINANCE(A1625,""volume""),"""")"),3694020.0)</f>
        <v>3694020</v>
      </c>
      <c r="AA1625" s="24" t="str">
        <f>VLOOKUP(A1625,Metrik!$C$2:$Y$959,5,0)</f>
        <v>Pharmaceuticals</v>
      </c>
      <c r="AB1625" s="24" t="str">
        <f>VLOOKUP(A1625,Metrik!$C$2:$Y$959,3,0)</f>
        <v>Healthcare</v>
      </c>
    </row>
    <row r="1626">
      <c r="A1626" s="14" t="s">
        <v>882</v>
      </c>
      <c r="B1626" s="14" t="str">
        <f t="array" ref="B1626">VLOOKUP(A1626,{Metrik!$C$2:$C$998,Metrik!$B$2:$B$998},2,0)</f>
        <v>Xolare RCR Energy Tbk.</v>
      </c>
      <c r="C1626" s="15">
        <f>IFERROR(__xludf.DUMMYFUNCTION("GOOGLEFINANCE(""IDX:""&amp;A1626,""price"")"),91.0)</f>
        <v>91</v>
      </c>
      <c r="D1626" s="16" t="str">
        <f>IFERROR(__xludf.DUMMYFUNCTION("IF(A1626="""","""",
SPARKLINE(
INDEX(
GOOGLEFINANCE(""IDX:""&amp;A1626,""close"",TODAY()-365,TODAY()),
,2
),
{""linewidth"",1}
))
"),"#N/A")</f>
        <v>#N/A</v>
      </c>
      <c r="E1626" s="26"/>
      <c r="F1626" s="26"/>
      <c r="G1626" s="24">
        <f t="shared" si="9"/>
        <v>0</v>
      </c>
      <c r="H1626" s="19">
        <f>VLOOKUP(A1626,Metrik!$C$2:$Y$959,8,0)</f>
        <v>6.8</v>
      </c>
      <c r="I1626" s="20">
        <f>VLOOKUP(A1626,Metrik!$C$2:$Y$959,9,0)</f>
        <v>1.8</v>
      </c>
      <c r="J1626" s="20">
        <f>VLOOKUP(A1626,Metrik!$C$2:$Y$959,10,0)</f>
        <v>27.2</v>
      </c>
      <c r="K1626" s="20">
        <f>VLOOKUP(A1626,Metrik!$C$2:$Y$959,11,0)</f>
        <v>16.4</v>
      </c>
      <c r="L1626" s="20">
        <f>VLOOKUP(A1626,Metrik!$C$2:$Y$959,12,0)</f>
        <v>0.66</v>
      </c>
      <c r="M1626" s="20">
        <f>VLOOKUP(A1626,Metrik!$C$2:$Y$959,19,0)</f>
        <v>73.7</v>
      </c>
      <c r="N1626" s="21"/>
      <c r="O1626" s="21"/>
      <c r="P1626" s="21"/>
      <c r="Q1626" s="21"/>
      <c r="R1626" s="21"/>
      <c r="S1626" s="21"/>
      <c r="T1626" s="21"/>
      <c r="U1626" s="22">
        <f>IFERROR(__xludf.DUMMYFUNCTION("IFERROR(GOOGLEFINANCE(A1626,""closeyest""),"""")"),4.91)</f>
        <v>4.91</v>
      </c>
      <c r="V1626" s="23">
        <f>IFERROR(__xludf.DUMMYFUNCTION("IFERROR(GOOGLEFINANCE(A1626,""changepct""),"""")"),0.41)</f>
        <v>0.41</v>
      </c>
      <c r="W1626" s="22">
        <f>IFERROR(__xludf.DUMMYFUNCTION("IFERROR(GOOGLEFINANCE(A1626,""priceopen""),"""")"),4.92)</f>
        <v>4.92</v>
      </c>
      <c r="X1626" s="22">
        <f>IFERROR(__xludf.DUMMYFUNCTION("IFERROR(GOOGLEFINANCE(A1626,""high""),"""")"),5.04)</f>
        <v>5.04</v>
      </c>
      <c r="Y1626" s="22">
        <f>IFERROR(__xludf.DUMMYFUNCTION("IFERROR(GOOGLEFINANCE(A1626,""low""),"""")"),4.92)</f>
        <v>4.92</v>
      </c>
      <c r="Z1626" s="22">
        <f>IFERROR(__xludf.DUMMYFUNCTION("IFERROR(GOOGLEFINANCE(A1626,""volume""),"""")"),3781.0)</f>
        <v>3781</v>
      </c>
      <c r="AA1626" s="24" t="str">
        <f>VLOOKUP(A1626,Metrik!$C$2:$Y$959,5,0)</f>
        <v>Construction Materials</v>
      </c>
      <c r="AB1626" s="24" t="str">
        <f>VLOOKUP(A1626,Metrik!$C$2:$Y$959,3,0)</f>
        <v>Basic Materials</v>
      </c>
    </row>
    <row r="1627">
      <c r="A1627" s="14" t="s">
        <v>883</v>
      </c>
      <c r="B1627" s="14" t="str">
        <f t="array" ref="B1627">VLOOKUP(A1627,{Metrik!$C$2:$C$998,Metrik!$B$2:$B$998},2,0)</f>
        <v>Sona Topas Tourism Industry Tbk.</v>
      </c>
      <c r="C1627" s="15">
        <f>IFERROR(__xludf.DUMMYFUNCTION("GOOGLEFINANCE(""IDX:""&amp;A1627,""price"")"),2060.0)</f>
        <v>2060</v>
      </c>
      <c r="D1627" s="16" t="str">
        <f>IFERROR(__xludf.DUMMYFUNCTION("IF(A1627="""","""",
SPARKLINE(
INDEX(
GOOGLEFINANCE(""IDX:""&amp;A1627,""close"",TODAY()-365,TODAY()),
,2
),
{""linewidth"",1}
))
"),"#N/A")</f>
        <v>#N/A</v>
      </c>
      <c r="E1627" s="26"/>
      <c r="F1627" s="26"/>
      <c r="G1627" s="24">
        <f t="shared" si="9"/>
        <v>0</v>
      </c>
      <c r="H1627" s="19">
        <f>VLOOKUP(A1627,Metrik!$C$2:$Y$959,8,0)</f>
        <v>16.5</v>
      </c>
      <c r="I1627" s="20">
        <f>VLOOKUP(A1627,Metrik!$C$2:$Y$959,9,0)</f>
        <v>1.9</v>
      </c>
      <c r="J1627" s="20">
        <f>VLOOKUP(A1627,Metrik!$C$2:$Y$959,10,0)</f>
        <v>11.7</v>
      </c>
      <c r="K1627" s="20">
        <f>VLOOKUP(A1627,Metrik!$C$2:$Y$959,11,0)</f>
        <v>8.8</v>
      </c>
      <c r="L1627" s="20">
        <f>VLOOKUP(A1627,Metrik!$C$2:$Y$959,12,0)</f>
        <v>0.33</v>
      </c>
      <c r="M1627" s="20">
        <f>VLOOKUP(A1627,Metrik!$C$2:$Y$959,19,0)</f>
        <v>43.2</v>
      </c>
      <c r="N1627" s="21"/>
      <c r="O1627" s="21"/>
      <c r="P1627" s="21"/>
      <c r="Q1627" s="21"/>
      <c r="R1627" s="21"/>
      <c r="S1627" s="21"/>
      <c r="T1627" s="21"/>
      <c r="U1627" s="22">
        <f>IFERROR(__xludf.DUMMYFUNCTION("IFERROR(GOOGLEFINANCE(A1627,""closeyest""),"""")"),0.28)</f>
        <v>0.28</v>
      </c>
      <c r="V1627" s="23">
        <f>IFERROR(__xludf.DUMMYFUNCTION("IFERROR(GOOGLEFINANCE(A1627,""changepct""),"""")"),0.0)</f>
        <v>0</v>
      </c>
      <c r="W1627" s="22">
        <f>IFERROR(__xludf.DUMMYFUNCTION("IFERROR(GOOGLEFINANCE(A1627,""priceopen""),"""")"),0.29)</f>
        <v>0.29</v>
      </c>
      <c r="X1627" s="22">
        <f>IFERROR(__xludf.DUMMYFUNCTION("IFERROR(GOOGLEFINANCE(A1627,""high""),"""")"),0.29)</f>
        <v>0.29</v>
      </c>
      <c r="Y1627" s="22">
        <f>IFERROR(__xludf.DUMMYFUNCTION("IFERROR(GOOGLEFINANCE(A1627,""low""),"""")"),0.26)</f>
        <v>0.26</v>
      </c>
      <c r="Z1627" s="22">
        <f>IFERROR(__xludf.DUMMYFUNCTION("IFERROR(GOOGLEFINANCE(A1627,""volume""),"""")"),73781.0)</f>
        <v>73781</v>
      </c>
      <c r="AA1627" s="24" t="str">
        <f>VLOOKUP(A1627,Metrik!$C$2:$Y$959,5,0)</f>
        <v>Department Stores</v>
      </c>
      <c r="AB1627" s="24" t="str">
        <f>VLOOKUP(A1627,Metrik!$C$2:$Y$959,3,0)</f>
        <v>Consumer Cyclicals</v>
      </c>
    </row>
    <row r="1628">
      <c r="A1628" s="14" t="s">
        <v>884</v>
      </c>
      <c r="B1628" s="14" t="str">
        <f t="array" ref="B1628">VLOOKUP(A1628,{Metrik!$C$2:$C$998,Metrik!$B$2:$B$998},2,0)</f>
        <v>Shield On Service Tbk.</v>
      </c>
      <c r="C1628" s="15">
        <f>IFERROR(__xludf.DUMMYFUNCTION("GOOGLEFINANCE(""IDX:""&amp;A1628,""price"")"),775.0)</f>
        <v>775</v>
      </c>
      <c r="D1628" s="16" t="str">
        <f>IFERROR(__xludf.DUMMYFUNCTION("IF(A1628="""","""",
SPARKLINE(
INDEX(
GOOGLEFINANCE(""IDX:""&amp;A1628,""close"",TODAY()-365,TODAY()),
,2
),
{""linewidth"",1}
))
"),"#N/A")</f>
        <v>#N/A</v>
      </c>
      <c r="E1628" s="26"/>
      <c r="F1628" s="26"/>
      <c r="G1628" s="24">
        <f t="shared" si="9"/>
        <v>0</v>
      </c>
      <c r="H1628" s="19">
        <f>VLOOKUP(A1628,Metrik!$C$2:$Y$959,8,0)</f>
        <v>-42.9</v>
      </c>
      <c r="I1628" s="20">
        <f>VLOOKUP(A1628,Metrik!$C$2:$Y$959,9,0)</f>
        <v>2.9</v>
      </c>
      <c r="J1628" s="20">
        <f>VLOOKUP(A1628,Metrik!$C$2:$Y$959,10,0)</f>
        <v>-6.8</v>
      </c>
      <c r="K1628" s="20">
        <f>VLOOKUP(A1628,Metrik!$C$2:$Y$959,11,0)</f>
        <v>-3.1</v>
      </c>
      <c r="L1628" s="20">
        <f>VLOOKUP(A1628,Metrik!$C$2:$Y$959,12,0)</f>
        <v>1.2</v>
      </c>
      <c r="M1628" s="20">
        <f>VLOOKUP(A1628,Metrik!$C$2:$Y$959,19,0)</f>
        <v>-3.4</v>
      </c>
      <c r="N1628" s="21"/>
      <c r="O1628" s="21"/>
      <c r="P1628" s="21"/>
      <c r="Q1628" s="21"/>
      <c r="R1628" s="21"/>
      <c r="S1628" s="21"/>
      <c r="T1628" s="21"/>
      <c r="U1628" s="22">
        <f>IFERROR(__xludf.DUMMYFUNCTION("IFERROR(GOOGLEFINANCE(A1628,""closeyest""),"""")"),775.0)</f>
        <v>775</v>
      </c>
      <c r="V1628" s="23">
        <f>IFERROR(__xludf.DUMMYFUNCTION("IFERROR(GOOGLEFINANCE(A1628,""changepct""),"""")"),0.0)</f>
        <v>0</v>
      </c>
      <c r="W1628" s="22">
        <f>IFERROR(__xludf.DUMMYFUNCTION("IFERROR(GOOGLEFINANCE(A1628,""priceopen""),"""")"),775.0)</f>
        <v>775</v>
      </c>
      <c r="X1628" s="22">
        <f>IFERROR(__xludf.DUMMYFUNCTION("IFERROR(GOOGLEFINANCE(A1628,""high""),"""")"),775.0)</f>
        <v>775</v>
      </c>
      <c r="Y1628" s="22">
        <f>IFERROR(__xludf.DUMMYFUNCTION("IFERROR(GOOGLEFINANCE(A1628,""low""),"""")"),775.0)</f>
        <v>775</v>
      </c>
      <c r="Z1628" s="22">
        <f>IFERROR(__xludf.DUMMYFUNCTION("IFERROR(GOOGLEFINANCE(A1628,""volume""),"""")"),200.0)</f>
        <v>200</v>
      </c>
      <c r="AA1628" s="24" t="str">
        <f>VLOOKUP(A1628,Metrik!$C$2:$Y$959,5,0)</f>
        <v>Professional Services</v>
      </c>
      <c r="AB1628" s="24" t="str">
        <f>VLOOKUP(A1628,Metrik!$C$2:$Y$959,3,0)</f>
        <v>Industrials</v>
      </c>
    </row>
    <row r="1629">
      <c r="A1629" s="14" t="s">
        <v>885</v>
      </c>
      <c r="B1629" s="14" t="str">
        <f t="array" ref="B1629">VLOOKUP(A1629,{Metrik!$C$2:$C$998,Metrik!$B$2:$B$998},2,0)</f>
        <v>Satria Mega Kencana Tbk.</v>
      </c>
      <c r="C1629" s="15">
        <f>IFERROR(__xludf.DUMMYFUNCTION("GOOGLEFINANCE(""IDX:""&amp;A1629,""price"")"),670.0)</f>
        <v>670</v>
      </c>
      <c r="D1629" s="16" t="str">
        <f>IFERROR(__xludf.DUMMYFUNCTION("IF(A1629="""","""",
SPARKLINE(
INDEX(
GOOGLEFINANCE(""IDX:""&amp;A1629,""close"",TODAY()-365,TODAY()),
,2
),
{""linewidth"",1}
))
"),"#N/A")</f>
        <v>#N/A</v>
      </c>
      <c r="E1629" s="26"/>
      <c r="F1629" s="26"/>
      <c r="G1629" s="24">
        <f t="shared" si="9"/>
        <v>0</v>
      </c>
      <c r="H1629" s="19">
        <f>VLOOKUP(A1629,Metrik!$C$2:$Y$959,8,0)</f>
        <v>-67.7</v>
      </c>
      <c r="I1629" s="20">
        <f>VLOOKUP(A1629,Metrik!$C$2:$Y$959,9,0)</f>
        <v>4</v>
      </c>
      <c r="J1629" s="20">
        <f>VLOOKUP(A1629,Metrik!$C$2:$Y$959,10,0)</f>
        <v>-5.9</v>
      </c>
      <c r="K1629" s="20">
        <f>VLOOKUP(A1629,Metrik!$C$2:$Y$959,11,0)</f>
        <v>-2.6</v>
      </c>
      <c r="L1629" s="20">
        <f>VLOOKUP(A1629,Metrik!$C$2:$Y$959,12,0)</f>
        <v>1.3</v>
      </c>
      <c r="M1629" s="20">
        <f>VLOOKUP(A1629,Metrik!$C$2:$Y$959,19,0)</f>
        <v>-220</v>
      </c>
      <c r="N1629" s="21"/>
      <c r="O1629" s="21"/>
      <c r="P1629" s="21"/>
      <c r="Q1629" s="21"/>
      <c r="R1629" s="21"/>
      <c r="S1629" s="21"/>
      <c r="T1629" s="21"/>
      <c r="U1629" s="22">
        <f>IFERROR(__xludf.DUMMYFUNCTION("IFERROR(GOOGLEFINANCE(A1629,""closeyest""),"""")"),630.0)</f>
        <v>630</v>
      </c>
      <c r="V1629" s="23">
        <f>IFERROR(__xludf.DUMMYFUNCTION("IFERROR(GOOGLEFINANCE(A1629,""changepct""),"""")"),6.35)</f>
        <v>6.35</v>
      </c>
      <c r="W1629" s="22">
        <f>IFERROR(__xludf.DUMMYFUNCTION("IFERROR(GOOGLEFINANCE(A1629,""priceopen""),"""")"),615.0)</f>
        <v>615</v>
      </c>
      <c r="X1629" s="22">
        <f>IFERROR(__xludf.DUMMYFUNCTION("IFERROR(GOOGLEFINANCE(A1629,""high""),"""")"),700.0)</f>
        <v>700</v>
      </c>
      <c r="Y1629" s="22">
        <f>IFERROR(__xludf.DUMMYFUNCTION("IFERROR(GOOGLEFINANCE(A1629,""low""),"""")"),615.0)</f>
        <v>615</v>
      </c>
      <c r="Z1629" s="22">
        <f>IFERROR(__xludf.DUMMYFUNCTION("IFERROR(GOOGLEFINANCE(A1629,""volume""),"""")"),542300.0)</f>
        <v>542300</v>
      </c>
      <c r="AA1629" s="24" t="str">
        <f>VLOOKUP(A1629,Metrik!$C$2:$Y$959,5,0)</f>
        <v>Tourism &amp; Recreation</v>
      </c>
      <c r="AB1629" s="24" t="str">
        <f>VLOOKUP(A1629,Metrik!$C$2:$Y$959,3,0)</f>
        <v>Consumer Cyclicals</v>
      </c>
    </row>
    <row r="1630">
      <c r="A1630" s="14" t="s">
        <v>886</v>
      </c>
      <c r="B1630" s="14" t="str">
        <f t="array" ref="B1630">VLOOKUP(A1630,{Metrik!$C$2:$C$998,Metrik!$B$2:$B$998},2,0)</f>
        <v>PT Mitra Tirta Buwana Tbk</v>
      </c>
      <c r="C1630" s="15">
        <f>IFERROR(__xludf.DUMMYFUNCTION("GOOGLEFINANCE(""IDX:""&amp;A1630,""price"")"),35.0)</f>
        <v>35</v>
      </c>
      <c r="D1630" s="16" t="str">
        <f>IFERROR(__xludf.DUMMYFUNCTION("IF(A1630="""","""",
SPARKLINE(
INDEX(
GOOGLEFINANCE(""IDX:""&amp;A1630,""close"",TODAY()-365,TODAY()),
,2
),
{""linewidth"",1}
))
"),"#N/A")</f>
        <v>#N/A</v>
      </c>
      <c r="E1630" s="26"/>
      <c r="F1630" s="26"/>
      <c r="G1630" s="24">
        <f t="shared" si="9"/>
        <v>0</v>
      </c>
      <c r="H1630" s="19">
        <f>VLOOKUP(A1630,Metrik!$C$2:$Y$959,8,0)</f>
        <v>-11</v>
      </c>
      <c r="I1630" s="20">
        <f>VLOOKUP(A1630,Metrik!$C$2:$Y$959,9,0)</f>
        <v>1.2</v>
      </c>
      <c r="J1630" s="20">
        <f>VLOOKUP(A1630,Metrik!$C$2:$Y$959,10,0)</f>
        <v>-10.9</v>
      </c>
      <c r="K1630" s="20">
        <f>VLOOKUP(A1630,Metrik!$C$2:$Y$959,11,0)</f>
        <v>-10</v>
      </c>
      <c r="L1630" s="20">
        <f>VLOOKUP(A1630,Metrik!$C$2:$Y$959,12,0)</f>
        <v>0.08</v>
      </c>
      <c r="M1630" s="20">
        <f>VLOOKUP(A1630,Metrik!$C$2:$Y$959,19,0)</f>
        <v>-280</v>
      </c>
      <c r="N1630" s="21"/>
      <c r="O1630" s="21"/>
      <c r="P1630" s="21"/>
      <c r="Q1630" s="21"/>
      <c r="R1630" s="21"/>
      <c r="S1630" s="21"/>
      <c r="T1630" s="21"/>
      <c r="U1630" s="22">
        <f>IFERROR(__xludf.DUMMYFUNCTION("IFERROR(GOOGLEFINANCE(A1630,""closeyest""),"""")"),10.35)</f>
        <v>10.35</v>
      </c>
      <c r="V1630" s="23">
        <f>IFERROR(__xludf.DUMMYFUNCTION("IFERROR(GOOGLEFINANCE(A1630,""changepct""),"""")"),0.0)</f>
        <v>0</v>
      </c>
      <c r="W1630" s="22">
        <f>IFERROR(__xludf.DUMMYFUNCTION("IFERROR(GOOGLEFINANCE(A1630,""priceopen""),"""")"),10.35)</f>
        <v>10.35</v>
      </c>
      <c r="X1630" s="22">
        <f>IFERROR(__xludf.DUMMYFUNCTION("IFERROR(GOOGLEFINANCE(A1630,""high""),"""")"),10.35)</f>
        <v>10.35</v>
      </c>
      <c r="Y1630" s="22">
        <f>IFERROR(__xludf.DUMMYFUNCTION("IFERROR(GOOGLEFINANCE(A1630,""low""),"""")"),10.35)</f>
        <v>10.35</v>
      </c>
      <c r="Z1630" s="22">
        <f>IFERROR(__xludf.DUMMYFUNCTION("IFERROR(GOOGLEFINANCE(A1630,""volume""),"""")"),50342.0)</f>
        <v>50342</v>
      </c>
      <c r="AA1630" s="24" t="str">
        <f>VLOOKUP(A1630,Metrik!$C$2:$Y$959,5,0)</f>
        <v>Beverages</v>
      </c>
      <c r="AB1630" s="24" t="str">
        <f>VLOOKUP(A1630,Metrik!$C$2:$Y$959,3,0)</f>
        <v>Consumer Non-Cyclicals</v>
      </c>
    </row>
    <row r="1631">
      <c r="A1631" s="14" t="s">
        <v>887</v>
      </c>
      <c r="B1631" s="14" t="str">
        <f t="array" ref="B1631">VLOOKUP(A1631,{Metrik!$C$2:$C$998,Metrik!$B$2:$B$998},2,0)</f>
        <v>Suparma Tbk.</v>
      </c>
      <c r="C1631" s="15">
        <f>IFERROR(__xludf.DUMMYFUNCTION("GOOGLEFINANCE(""IDX:""&amp;A1631,""price"")"),206.0)</f>
        <v>206</v>
      </c>
      <c r="D1631" s="16" t="str">
        <f>IFERROR(__xludf.DUMMYFUNCTION("IF(A1631="""","""",
SPARKLINE(
INDEX(
GOOGLEFINANCE(""IDX:""&amp;A1631,""close"",TODAY()-365,TODAY()),
,2
),
{""linewidth"",1}
))
"),"#N/A")</f>
        <v>#N/A</v>
      </c>
      <c r="E1631" s="26"/>
      <c r="F1631" s="26"/>
      <c r="G1631" s="24">
        <f t="shared" si="9"/>
        <v>0</v>
      </c>
      <c r="H1631" s="19">
        <f>VLOOKUP(A1631,Metrik!$C$2:$Y$959,8,0)</f>
        <v>8.3</v>
      </c>
      <c r="I1631" s="20">
        <f>VLOOKUP(A1631,Metrik!$C$2:$Y$959,9,0)</f>
        <v>0.34</v>
      </c>
      <c r="J1631" s="20">
        <f>VLOOKUP(A1631,Metrik!$C$2:$Y$959,10,0)</f>
        <v>4.1</v>
      </c>
      <c r="K1631" s="20">
        <f>VLOOKUP(A1631,Metrik!$C$2:$Y$959,11,0)</f>
        <v>2.8</v>
      </c>
      <c r="L1631" s="20">
        <f>VLOOKUP(A1631,Metrik!$C$2:$Y$959,12,0)</f>
        <v>0.5</v>
      </c>
      <c r="M1631" s="20">
        <f>VLOOKUP(A1631,Metrik!$C$2:$Y$959,19,0)</f>
        <v>15.8</v>
      </c>
      <c r="N1631" s="21"/>
      <c r="O1631" s="21"/>
      <c r="P1631" s="21"/>
      <c r="Q1631" s="21"/>
      <c r="R1631" s="21"/>
      <c r="S1631" s="21"/>
      <c r="T1631" s="21"/>
      <c r="U1631" s="22">
        <f>IFERROR(__xludf.DUMMYFUNCTION("IFERROR(GOOGLEFINANCE(A1631,""closeyest""),"""")"),25.13)</f>
        <v>25.13</v>
      </c>
      <c r="V1631" s="23">
        <f>IFERROR(__xludf.DUMMYFUNCTION("IFERROR(GOOGLEFINANCE(A1631,""changepct""),"""")"),-0.36)</f>
        <v>-0.36</v>
      </c>
      <c r="W1631" s="22">
        <f>IFERROR(__xludf.DUMMYFUNCTION("IFERROR(GOOGLEFINANCE(A1631,""priceopen""),"""")"),25.03)</f>
        <v>25.03</v>
      </c>
      <c r="X1631" s="22">
        <f>IFERROR(__xludf.DUMMYFUNCTION("IFERROR(GOOGLEFINANCE(A1631,""high""),"""")"),25.05)</f>
        <v>25.05</v>
      </c>
      <c r="Y1631" s="22">
        <f>IFERROR(__xludf.DUMMYFUNCTION("IFERROR(GOOGLEFINANCE(A1631,""low""),"""")"),25.02)</f>
        <v>25.02</v>
      </c>
      <c r="Z1631" s="22">
        <f>IFERROR(__xludf.DUMMYFUNCTION("IFERROR(GOOGLEFINANCE(A1631,""volume""),"""")"),10411.0)</f>
        <v>10411</v>
      </c>
      <c r="AA1631" s="24" t="str">
        <f>VLOOKUP(A1631,Metrik!$C$2:$Y$959,5,0)</f>
        <v>Containers &amp; Packaging</v>
      </c>
      <c r="AB1631" s="24" t="str">
        <f>VLOOKUP(A1631,Metrik!$C$2:$Y$959,3,0)</f>
        <v>Basic Materials</v>
      </c>
    </row>
    <row r="1632">
      <c r="A1632" s="14" t="s">
        <v>888</v>
      </c>
      <c r="B1632" s="14" t="str">
        <f t="array" ref="B1632">VLOOKUP(A1632,{Metrik!$C$2:$C$998,Metrik!$B$2:$B$998},2,0)</f>
        <v>Soraya Berjaya Indonesia Tbk.</v>
      </c>
      <c r="C1632" s="15">
        <f>IFERROR(__xludf.DUMMYFUNCTION("GOOGLEFINANCE(""IDX:""&amp;A1632,""price"")"),73.0)</f>
        <v>73</v>
      </c>
      <c r="D1632" s="16" t="str">
        <f>IFERROR(__xludf.DUMMYFUNCTION("IF(A1632="""","""",
SPARKLINE(
INDEX(
GOOGLEFINANCE(""IDX:""&amp;A1632,""close"",TODAY()-365,TODAY()),
,2
),
{""linewidth"",1}
))
"),"#N/A")</f>
        <v>#N/A</v>
      </c>
      <c r="E1632" s="26"/>
      <c r="F1632" s="26"/>
      <c r="G1632" s="24">
        <f t="shared" si="9"/>
        <v>0</v>
      </c>
      <c r="H1632" s="19">
        <f>VLOOKUP(A1632,Metrik!$C$2:$Y$959,8,0)</f>
        <v>39.7</v>
      </c>
      <c r="I1632" s="20">
        <f>VLOOKUP(A1632,Metrik!$C$2:$Y$959,9,0)</f>
        <v>1.2</v>
      </c>
      <c r="J1632" s="20">
        <f>VLOOKUP(A1632,Metrik!$C$2:$Y$959,10,0)</f>
        <v>3</v>
      </c>
      <c r="K1632" s="20">
        <f>VLOOKUP(A1632,Metrik!$C$2:$Y$959,11,0)</f>
        <v>2.7</v>
      </c>
      <c r="L1632" s="20">
        <f>VLOOKUP(A1632,Metrik!$C$2:$Y$959,12,0)</f>
        <v>0.12</v>
      </c>
      <c r="M1632" s="20">
        <f>VLOOKUP(A1632,Metrik!$C$2:$Y$959,19,0)</f>
        <v>13.8</v>
      </c>
      <c r="N1632" s="21"/>
      <c r="O1632" s="21"/>
      <c r="P1632" s="21"/>
      <c r="Q1632" s="21"/>
      <c r="R1632" s="21"/>
      <c r="S1632" s="21"/>
      <c r="T1632" s="21"/>
      <c r="U1632" s="22">
        <f>IFERROR(__xludf.DUMMYFUNCTION("IFERROR(GOOGLEFINANCE(A1632,""closeyest""),"""")"),21.24)</f>
        <v>21.24</v>
      </c>
      <c r="V1632" s="23">
        <f>IFERROR(__xludf.DUMMYFUNCTION("IFERROR(GOOGLEFINANCE(A1632,""changepct""),"""")"),1.22)</f>
        <v>1.22</v>
      </c>
      <c r="W1632" s="22">
        <f>IFERROR(__xludf.DUMMYFUNCTION("IFERROR(GOOGLEFINANCE(A1632,""priceopen""),"""")"),21.33)</f>
        <v>21.33</v>
      </c>
      <c r="X1632" s="22">
        <f>IFERROR(__xludf.DUMMYFUNCTION("IFERROR(GOOGLEFINANCE(A1632,""high""),"""")"),21.57)</f>
        <v>21.57</v>
      </c>
      <c r="Y1632" s="22">
        <f>IFERROR(__xludf.DUMMYFUNCTION("IFERROR(GOOGLEFINANCE(A1632,""low""),"""")"),21.33)</f>
        <v>21.33</v>
      </c>
      <c r="Z1632" s="22">
        <f>IFERROR(__xludf.DUMMYFUNCTION("IFERROR(GOOGLEFINANCE(A1632,""volume""),"""")"),6386.0)</f>
        <v>6386</v>
      </c>
      <c r="AA1632" s="24" t="str">
        <f>VLOOKUP(A1632,Metrik!$C$2:$Y$959,5,0)</f>
        <v>Apparel &amp; Luxury Goods</v>
      </c>
      <c r="AB1632" s="24" t="str">
        <f>VLOOKUP(A1632,Metrik!$C$2:$Y$959,3,0)</f>
        <v>Consumer Cyclicals</v>
      </c>
    </row>
    <row r="1633">
      <c r="A1633" s="14" t="s">
        <v>889</v>
      </c>
      <c r="B1633" s="14" t="str">
        <f t="array" ref="B1633">VLOOKUP(A1633,{Metrik!$C$2:$C$998,Metrik!$B$2:$B$998},2,0)</f>
        <v>Surya Pertiwi Tbk.</v>
      </c>
      <c r="C1633" s="15">
        <f>IFERROR(__xludf.DUMMYFUNCTION("GOOGLEFINANCE(""IDX:""&amp;A1633,""price"")"),540.0)</f>
        <v>540</v>
      </c>
      <c r="D1633" s="16" t="str">
        <f>IFERROR(__xludf.DUMMYFUNCTION("IF(A1633="""","""",
SPARKLINE(
INDEX(
GOOGLEFINANCE(""IDX:""&amp;A1633,""close"",TODAY()-365,TODAY()),
,2
),
{""linewidth"",1}
))
"),"#N/A")</f>
        <v>#N/A</v>
      </c>
      <c r="E1633" s="26"/>
      <c r="F1633" s="26"/>
      <c r="G1633" s="24">
        <f t="shared" si="9"/>
        <v>0</v>
      </c>
      <c r="H1633" s="19">
        <f>VLOOKUP(A1633,Metrik!$C$2:$Y$959,8,0)</f>
        <v>6.3</v>
      </c>
      <c r="I1633" s="20">
        <f>VLOOKUP(A1633,Metrik!$C$2:$Y$959,9,0)</f>
        <v>0.62</v>
      </c>
      <c r="J1633" s="20">
        <f>VLOOKUP(A1633,Metrik!$C$2:$Y$959,10,0)</f>
        <v>9.7</v>
      </c>
      <c r="K1633" s="20">
        <f>VLOOKUP(A1633,Metrik!$C$2:$Y$959,11,0)</f>
        <v>7.3</v>
      </c>
      <c r="L1633" s="20">
        <f>VLOOKUP(A1633,Metrik!$C$2:$Y$959,12,0)</f>
        <v>0.33</v>
      </c>
      <c r="M1633" s="20">
        <f>VLOOKUP(A1633,Metrik!$C$2:$Y$959,19,0)</f>
        <v>38.6</v>
      </c>
      <c r="N1633" s="21"/>
      <c r="O1633" s="21"/>
      <c r="P1633" s="21"/>
      <c r="Q1633" s="21"/>
      <c r="R1633" s="21"/>
      <c r="S1633" s="21"/>
      <c r="T1633" s="21"/>
      <c r="U1633" s="22">
        <f>IFERROR(__xludf.DUMMYFUNCTION("IFERROR(GOOGLEFINANCE(A1633,""closeyest""),"""")"),535.0)</f>
        <v>535</v>
      </c>
      <c r="V1633" s="23">
        <f>IFERROR(__xludf.DUMMYFUNCTION("IFERROR(GOOGLEFINANCE(A1633,""changepct""),"""")"),0.93)</f>
        <v>0.93</v>
      </c>
      <c r="W1633" s="22">
        <f>IFERROR(__xludf.DUMMYFUNCTION("IFERROR(GOOGLEFINANCE(A1633,""priceopen""),"""")"),535.0)</f>
        <v>535</v>
      </c>
      <c r="X1633" s="22">
        <f>IFERROR(__xludf.DUMMYFUNCTION("IFERROR(GOOGLEFINANCE(A1633,""high""),"""")"),540.0)</f>
        <v>540</v>
      </c>
      <c r="Y1633" s="22">
        <f>IFERROR(__xludf.DUMMYFUNCTION("IFERROR(GOOGLEFINANCE(A1633,""low""),"""")"),525.0)</f>
        <v>525</v>
      </c>
      <c r="Z1633" s="22">
        <f>IFERROR(__xludf.DUMMYFUNCTION("IFERROR(GOOGLEFINANCE(A1633,""volume""),"""")"),1037900.0)</f>
        <v>1037900</v>
      </c>
      <c r="AA1633" s="24" t="str">
        <f>VLOOKUP(A1633,Metrik!$C$2:$Y$959,5,0)</f>
        <v>Building Products &amp; Fixtures</v>
      </c>
      <c r="AB1633" s="24" t="str">
        <f>VLOOKUP(A1633,Metrik!$C$2:$Y$959,3,0)</f>
        <v>Industrials</v>
      </c>
    </row>
    <row r="1634">
      <c r="A1634" s="14" t="s">
        <v>890</v>
      </c>
      <c r="B1634" s="14" t="str">
        <f t="array" ref="B1634">VLOOKUP(A1634,{Metrik!$C$2:$C$998,Metrik!$B$2:$B$998},2,0)</f>
        <v>Wilton Makmur Indonesia Tbk.</v>
      </c>
      <c r="C1634" s="15">
        <f>IFERROR(__xludf.DUMMYFUNCTION("GOOGLEFINANCE(""IDX:""&amp;A1634,""price"")"),44.0)</f>
        <v>44</v>
      </c>
      <c r="D1634" s="16" t="str">
        <f>IFERROR(__xludf.DUMMYFUNCTION("IF(A1634="""","""",
SPARKLINE(
INDEX(
GOOGLEFINANCE(""IDX:""&amp;A1634,""close"",TODAY()-365,TODAY()),
,2
),
{""linewidth"",1}
))
"),"#N/A")</f>
        <v>#N/A</v>
      </c>
      <c r="E1634" s="26"/>
      <c r="F1634" s="26"/>
      <c r="G1634" s="24">
        <f t="shared" si="9"/>
        <v>0</v>
      </c>
      <c r="H1634" s="19">
        <f>VLOOKUP(A1634,Metrik!$C$2:$Y$959,8,0)</f>
        <v>-8.1</v>
      </c>
      <c r="I1634" s="20">
        <f>VLOOKUP(A1634,Metrik!$C$2:$Y$959,9,0)</f>
        <v>-24.1</v>
      </c>
      <c r="J1634" s="20">
        <f>VLOOKUP(A1634,Metrik!$C$2:$Y$959,10,0)</f>
        <v>0</v>
      </c>
      <c r="K1634" s="20">
        <f>VLOOKUP(A1634,Metrik!$C$2:$Y$959,11,0)</f>
        <v>-16.5</v>
      </c>
      <c r="L1634" s="20">
        <f>VLOOKUP(A1634,Metrik!$C$2:$Y$959,12,0)</f>
        <v>-19</v>
      </c>
      <c r="M1634" s="20">
        <f>VLOOKUP(A1634,Metrik!$C$2:$Y$959,19,0)</f>
        <v>-5970</v>
      </c>
      <c r="N1634" s="21"/>
      <c r="O1634" s="21"/>
      <c r="P1634" s="21"/>
      <c r="Q1634" s="21"/>
      <c r="R1634" s="21"/>
      <c r="S1634" s="21"/>
      <c r="T1634" s="21"/>
      <c r="U1634" s="22">
        <f>IFERROR(__xludf.DUMMYFUNCTION("IFERROR(GOOGLEFINANCE(A1634,""closeyest""),"""")"),43.0)</f>
        <v>43</v>
      </c>
      <c r="V1634" s="23">
        <f>IFERROR(__xludf.DUMMYFUNCTION("IFERROR(GOOGLEFINANCE(A1634,""changepct""),"""")"),2.33)</f>
        <v>2.33</v>
      </c>
      <c r="W1634" s="22">
        <f>IFERROR(__xludf.DUMMYFUNCTION("IFERROR(GOOGLEFINANCE(A1634,""priceopen""),"""")"),44.0)</f>
        <v>44</v>
      </c>
      <c r="X1634" s="22">
        <f>IFERROR(__xludf.DUMMYFUNCTION("IFERROR(GOOGLEFINANCE(A1634,""high""),"""")"),44.0)</f>
        <v>44</v>
      </c>
      <c r="Y1634" s="22">
        <f>IFERROR(__xludf.DUMMYFUNCTION("IFERROR(GOOGLEFINANCE(A1634,""low""),"""")"),44.0)</f>
        <v>44</v>
      </c>
      <c r="Z1634" s="22">
        <f>IFERROR(__xludf.DUMMYFUNCTION("IFERROR(GOOGLEFINANCE(A1634,""volume""),"""")"),4322400.0)</f>
        <v>4322400</v>
      </c>
      <c r="AA1634" s="24" t="str">
        <f>VLOOKUP(A1634,Metrik!$C$2:$Y$959,5,0)</f>
        <v>Metals &amp; Minerals</v>
      </c>
      <c r="AB1634" s="24" t="str">
        <f>VLOOKUP(A1634,Metrik!$C$2:$Y$959,3,0)</f>
        <v>Basic Materials</v>
      </c>
    </row>
    <row r="1635">
      <c r="A1635" s="14" t="s">
        <v>891</v>
      </c>
      <c r="B1635" s="14" t="str">
        <f t="array" ref="B1635">VLOOKUP(A1635,{Metrik!$C$2:$C$998,Metrik!$B$2:$B$998},2,0)</f>
        <v>Sejahteraraya Anugrahjaya Tbk</v>
      </c>
      <c r="C1635" s="15">
        <f>IFERROR(__xludf.DUMMYFUNCTION("GOOGLEFINANCE(""IDX:""&amp;A1635,""price"")"),11000.0)</f>
        <v>11000</v>
      </c>
      <c r="D1635" s="16" t="str">
        <f>IFERROR(__xludf.DUMMYFUNCTION("IF(A1635="""","""",
SPARKLINE(
INDEX(
GOOGLEFINANCE(""IDX:""&amp;A1635,""close"",TODAY()-365,TODAY()),
,2
),
{""linewidth"",1}
))
"),"#N/A")</f>
        <v>#N/A</v>
      </c>
      <c r="E1635" s="26"/>
      <c r="F1635" s="26"/>
      <c r="G1635" s="24">
        <f t="shared" si="9"/>
        <v>0</v>
      </c>
      <c r="H1635" s="19">
        <f>VLOOKUP(A1635,Metrik!$C$2:$Y$959,8,0)</f>
        <v>-650</v>
      </c>
      <c r="I1635" s="20">
        <f>VLOOKUP(A1635,Metrik!$C$2:$Y$959,9,0)</f>
        <v>140</v>
      </c>
      <c r="J1635" s="20">
        <f>VLOOKUP(A1635,Metrik!$C$2:$Y$959,10,0)</f>
        <v>-21</v>
      </c>
      <c r="K1635" s="20">
        <f>VLOOKUP(A1635,Metrik!$C$2:$Y$959,11,0)</f>
        <v>-3.5</v>
      </c>
      <c r="L1635" s="20">
        <f>VLOOKUP(A1635,Metrik!$C$2:$Y$959,12,0)</f>
        <v>5.1</v>
      </c>
      <c r="M1635" s="20">
        <f>VLOOKUP(A1635,Metrik!$C$2:$Y$959,19,0)</f>
        <v>-40.5</v>
      </c>
      <c r="N1635" s="21"/>
      <c r="O1635" s="21"/>
      <c r="P1635" s="21"/>
      <c r="Q1635" s="21"/>
      <c r="R1635" s="21"/>
      <c r="S1635" s="21"/>
      <c r="T1635" s="21"/>
      <c r="U1635" s="22">
        <f>IFERROR(__xludf.DUMMYFUNCTION("IFERROR(GOOGLEFINANCE(A1635,""closeyest""),"""")"),11675.0)</f>
        <v>11675</v>
      </c>
      <c r="V1635" s="23">
        <f>IFERROR(__xludf.DUMMYFUNCTION("IFERROR(GOOGLEFINANCE(A1635,""changepct""),"""")"),-5.78)</f>
        <v>-5.78</v>
      </c>
      <c r="W1635" s="22">
        <f>IFERROR(__xludf.DUMMYFUNCTION("IFERROR(GOOGLEFINANCE(A1635,""priceopen""),"""")"),11675.0)</f>
        <v>11675</v>
      </c>
      <c r="X1635" s="22">
        <f>IFERROR(__xludf.DUMMYFUNCTION("IFERROR(GOOGLEFINANCE(A1635,""high""),"""")"),11675.0)</f>
        <v>11675</v>
      </c>
      <c r="Y1635" s="22">
        <f>IFERROR(__xludf.DUMMYFUNCTION("IFERROR(GOOGLEFINANCE(A1635,""low""),"""")"),9925.0)</f>
        <v>9925</v>
      </c>
      <c r="Z1635" s="22">
        <f>IFERROR(__xludf.DUMMYFUNCTION("IFERROR(GOOGLEFINANCE(A1635,""volume""),"""")"),613400.0)</f>
        <v>613400</v>
      </c>
      <c r="AA1635" s="24" t="str">
        <f>VLOOKUP(A1635,Metrik!$C$2:$Y$959,5,0)</f>
        <v>Healthcare Providers</v>
      </c>
      <c r="AB1635" s="24" t="str">
        <f>VLOOKUP(A1635,Metrik!$C$2:$Y$959,3,0)</f>
        <v>Healthcare</v>
      </c>
    </row>
    <row r="1636">
      <c r="A1636" s="14" t="s">
        <v>892</v>
      </c>
      <c r="B1636" s="14" t="str">
        <f t="array" ref="B1636">VLOOKUP(A1636,{Metrik!$C$2:$C$998,Metrik!$B$2:$B$998},2,0)</f>
        <v>PT Sri Rejeki Isman Tbk</v>
      </c>
      <c r="C1636" s="15">
        <f>IFERROR(__xludf.DUMMYFUNCTION("GOOGLEFINANCE(""IDX:""&amp;A1636,""price"")"),146.0)</f>
        <v>146</v>
      </c>
      <c r="D1636" s="16" t="str">
        <f>IFERROR(__xludf.DUMMYFUNCTION("IF(A1636="""","""",
SPARKLINE(
INDEX(
GOOGLEFINANCE(""IDX:""&amp;A1636,""close"",TODAY()-365,TODAY()),
,2
),
{""linewidth"",1}
))
"),"#N/A")</f>
        <v>#N/A</v>
      </c>
      <c r="E1636" s="26"/>
      <c r="F1636" s="26"/>
      <c r="G1636" s="24">
        <f t="shared" si="9"/>
        <v>0</v>
      </c>
      <c r="H1636" s="19">
        <f>VLOOKUP(A1636,Metrik!$C$2:$Y$959,8,0)</f>
        <v>0</v>
      </c>
      <c r="I1636" s="20">
        <f>VLOOKUP(A1636,Metrik!$C$2:$Y$959,9,0)</f>
        <v>-0.19</v>
      </c>
      <c r="J1636" s="20">
        <f>VLOOKUP(A1636,Metrik!$C$2:$Y$959,10,0)</f>
        <v>0</v>
      </c>
      <c r="K1636" s="20">
        <f>VLOOKUP(A1636,Metrik!$C$2:$Y$959,11,0)</f>
        <v>-21.3</v>
      </c>
      <c r="L1636" s="20">
        <f>VLOOKUP(A1636,Metrik!$C$2:$Y$959,12,0)</f>
        <v>-1.6</v>
      </c>
      <c r="M1636" s="20">
        <f>VLOOKUP(A1636,Metrik!$C$2:$Y$959,19,0)</f>
        <v>-63</v>
      </c>
      <c r="N1636" s="21"/>
      <c r="O1636" s="21"/>
      <c r="P1636" s="21"/>
      <c r="Q1636" s="21"/>
      <c r="R1636" s="21"/>
      <c r="S1636" s="21"/>
      <c r="T1636" s="21"/>
      <c r="U1636" s="22" t="str">
        <f>IFERROR(__xludf.DUMMYFUNCTION("IFERROR(GOOGLEFINANCE(A1636,""closeyest""),"""")"),"")</f>
        <v/>
      </c>
      <c r="V1636" s="23">
        <f>IFERROR(__xludf.DUMMYFUNCTION("IFERROR(GOOGLEFINANCE(A1636,""changepct""),"""")"),1.6)</f>
        <v>1.6</v>
      </c>
      <c r="W1636" s="22">
        <f>IFERROR(__xludf.DUMMYFUNCTION("IFERROR(GOOGLEFINANCE(A1636,""priceopen""),"""")"),13.41)</f>
        <v>13.41</v>
      </c>
      <c r="X1636" s="22">
        <f>IFERROR(__xludf.DUMMYFUNCTION("IFERROR(GOOGLEFINANCE(A1636,""high""),"""")"),13.53)</f>
        <v>13.53</v>
      </c>
      <c r="Y1636" s="22">
        <f>IFERROR(__xludf.DUMMYFUNCTION("IFERROR(GOOGLEFINANCE(A1636,""low""),"""")"),13.41)</f>
        <v>13.41</v>
      </c>
      <c r="Z1636" s="22">
        <f>IFERROR(__xludf.DUMMYFUNCTION("IFERROR(GOOGLEFINANCE(A1636,""volume""),"""")"),3669.0)</f>
        <v>3669</v>
      </c>
      <c r="AA1636" s="24" t="str">
        <f>VLOOKUP(A1636,Metrik!$C$2:$Y$959,5,0)</f>
        <v>Apparel &amp; Luxury Goods</v>
      </c>
      <c r="AB1636" s="24" t="str">
        <f>VLOOKUP(A1636,Metrik!$C$2:$Y$959,3,0)</f>
        <v>Consumer Cyclicals</v>
      </c>
    </row>
    <row r="1637">
      <c r="A1637" s="14" t="s">
        <v>893</v>
      </c>
      <c r="B1637" s="14" t="str">
        <f t="array" ref="B1637">VLOOKUP(A1637,{Metrik!$C$2:$C$998,Metrik!$B$2:$B$998},2,0)</f>
        <v>Indo Acidatama Tbk</v>
      </c>
      <c r="C1637" s="15">
        <f>IFERROR(__xludf.DUMMYFUNCTION("GOOGLEFINANCE(""IDX:""&amp;A1637,""price"")"),66.0)</f>
        <v>66</v>
      </c>
      <c r="D1637" s="16" t="str">
        <f>IFERROR(__xludf.DUMMYFUNCTION("IF(A1637="""","""",
SPARKLINE(
INDEX(
GOOGLEFINANCE(""IDX:""&amp;A1637,""close"",TODAY()-365,TODAY()),
,2
),
{""linewidth"",1}
))
"),"#N/A")</f>
        <v>#N/A</v>
      </c>
      <c r="E1637" s="26"/>
      <c r="F1637" s="26"/>
      <c r="G1637" s="24">
        <f t="shared" si="9"/>
        <v>0</v>
      </c>
      <c r="H1637" s="19">
        <f>VLOOKUP(A1637,Metrik!$C$2:$Y$959,8,0)</f>
        <v>4.1</v>
      </c>
      <c r="I1637" s="20">
        <f>VLOOKUP(A1637,Metrik!$C$2:$Y$959,9,0)</f>
        <v>0.47</v>
      </c>
      <c r="J1637" s="20">
        <f>VLOOKUP(A1637,Metrik!$C$2:$Y$959,10,0)</f>
        <v>11.5</v>
      </c>
      <c r="K1637" s="20">
        <f>VLOOKUP(A1637,Metrik!$C$2:$Y$959,11,0)</f>
        <v>9.5</v>
      </c>
      <c r="L1637" s="20">
        <f>VLOOKUP(A1637,Metrik!$C$2:$Y$959,12,0)</f>
        <v>0.21</v>
      </c>
      <c r="M1637" s="20">
        <f>VLOOKUP(A1637,Metrik!$C$2:$Y$959,19,0)</f>
        <v>40.3</v>
      </c>
      <c r="N1637" s="21"/>
      <c r="O1637" s="21"/>
      <c r="P1637" s="21"/>
      <c r="Q1637" s="21"/>
      <c r="R1637" s="21"/>
      <c r="S1637" s="21"/>
      <c r="T1637" s="21"/>
      <c r="U1637" s="22">
        <f>IFERROR(__xludf.DUMMYFUNCTION("IFERROR(GOOGLEFINANCE(A1637,""closeyest""),"""")"),0.0)</f>
        <v>0</v>
      </c>
      <c r="V1637" s="23">
        <f>IFERROR(__xludf.DUMMYFUNCTION("IFERROR(GOOGLEFINANCE(A1637,""changepct""),"""")"),0.0)</f>
        <v>0</v>
      </c>
      <c r="W1637" s="22" t="str">
        <f>IFERROR(__xludf.DUMMYFUNCTION("IFERROR(GOOGLEFINANCE(A1637,""priceopen""),"""")"),"")</f>
        <v/>
      </c>
      <c r="X1637" s="22" t="str">
        <f>IFERROR(__xludf.DUMMYFUNCTION("IFERROR(GOOGLEFINANCE(A1637,""high""),"""")"),"")</f>
        <v/>
      </c>
      <c r="Y1637" s="22" t="str">
        <f>IFERROR(__xludf.DUMMYFUNCTION("IFERROR(GOOGLEFINANCE(A1637,""low""),"""")"),"")</f>
        <v/>
      </c>
      <c r="Z1637" s="22">
        <f>IFERROR(__xludf.DUMMYFUNCTION("IFERROR(GOOGLEFINANCE(A1637,""volume""),"""")"),0.0)</f>
        <v>0</v>
      </c>
      <c r="AA1637" s="24" t="str">
        <f>VLOOKUP(A1637,Metrik!$C$2:$Y$959,5,0)</f>
        <v>Chemicals</v>
      </c>
      <c r="AB1637" s="24" t="str">
        <f>VLOOKUP(A1637,Metrik!$C$2:$Y$959,3,0)</f>
        <v>Basic Materials</v>
      </c>
    </row>
    <row r="1638">
      <c r="A1638" s="14" t="s">
        <v>894</v>
      </c>
      <c r="B1638" s="14" t="str">
        <f t="array" ref="B1638">VLOOKUP(A1638,{Metrik!$C$2:$C$998,Metrik!$B$2:$B$998},2,0)</f>
        <v>PT Saratoga Investama Sedaya Tbk.</v>
      </c>
      <c r="C1638" s="15">
        <f>IFERROR(__xludf.DUMMYFUNCTION("GOOGLEFINANCE(""IDX:""&amp;A1638,""price"")"),1435.0)</f>
        <v>1435</v>
      </c>
      <c r="D1638" s="16" t="str">
        <f>IFERROR(__xludf.DUMMYFUNCTION("IF(A1638="""","""",
SPARKLINE(
INDEX(
GOOGLEFINANCE(""IDX:""&amp;A1638,""close"",TODAY()-365,TODAY()),
,2
),
{""linewidth"",1}
))
"),"#N/A")</f>
        <v>#N/A</v>
      </c>
      <c r="E1638" s="14" t="s">
        <v>52</v>
      </c>
      <c r="F1638" s="27" t="s">
        <v>53</v>
      </c>
      <c r="G1638" s="24">
        <f t="shared" si="9"/>
        <v>3</v>
      </c>
      <c r="H1638" s="19">
        <f>VLOOKUP(A1638,Metrik!$C$2:$Y$959,8,0)</f>
        <v>2.9</v>
      </c>
      <c r="I1638" s="20">
        <f>VLOOKUP(A1638,Metrik!$C$2:$Y$959,9,0)</f>
        <v>0.36</v>
      </c>
      <c r="J1638" s="20">
        <f>VLOOKUP(A1638,Metrik!$C$2:$Y$959,10,0)</f>
        <v>12.4</v>
      </c>
      <c r="K1638" s="20">
        <f>VLOOKUP(A1638,Metrik!$C$2:$Y$959,11,0)</f>
        <v>11.7</v>
      </c>
      <c r="L1638" s="20">
        <f>VLOOKUP(A1638,Metrik!$C$2:$Y$959,12,0)</f>
        <v>0.06</v>
      </c>
      <c r="M1638" s="20">
        <f>VLOOKUP(A1638,Metrik!$C$2:$Y$959,19,0)</f>
        <v>260</v>
      </c>
      <c r="N1638" s="21"/>
      <c r="O1638" s="21"/>
      <c r="P1638" s="21"/>
      <c r="Q1638" s="21"/>
      <c r="R1638" s="21"/>
      <c r="S1638" s="21"/>
      <c r="T1638" s="21"/>
      <c r="U1638" s="22">
        <f>IFERROR(__xludf.DUMMYFUNCTION("IFERROR(GOOGLEFINANCE(A1638,""closeyest""),"""")"),1390.0)</f>
        <v>1390</v>
      </c>
      <c r="V1638" s="23">
        <f>IFERROR(__xludf.DUMMYFUNCTION("IFERROR(GOOGLEFINANCE(A1638,""changepct""),"""")"),3.24)</f>
        <v>3.24</v>
      </c>
      <c r="W1638" s="22">
        <f>IFERROR(__xludf.DUMMYFUNCTION("IFERROR(GOOGLEFINANCE(A1638,""priceopen""),"""")"),1400.0)</f>
        <v>1400</v>
      </c>
      <c r="X1638" s="22">
        <f>IFERROR(__xludf.DUMMYFUNCTION("IFERROR(GOOGLEFINANCE(A1638,""high""),"""")"),1465.0)</f>
        <v>1465</v>
      </c>
      <c r="Y1638" s="22">
        <f>IFERROR(__xludf.DUMMYFUNCTION("IFERROR(GOOGLEFINANCE(A1638,""low""),"""")"),1400.0)</f>
        <v>1400</v>
      </c>
      <c r="Z1638" s="22">
        <f>IFERROR(__xludf.DUMMYFUNCTION("IFERROR(GOOGLEFINANCE(A1638,""volume""),"""")"),5120600.0)</f>
        <v>5120600</v>
      </c>
      <c r="AA1638" s="24" t="str">
        <f>VLOOKUP(A1638,Metrik!$C$2:$Y$959,5,0)</f>
        <v>Holding &amp; Investment Companies</v>
      </c>
      <c r="AB1638" s="24" t="str">
        <f>VLOOKUP(A1638,Metrik!$C$2:$Y$959,3,0)</f>
        <v>Financials</v>
      </c>
    </row>
    <row r="1639">
      <c r="A1639" s="14" t="s">
        <v>894</v>
      </c>
      <c r="B1639" s="14" t="str">
        <f t="array" ref="B1639">VLOOKUP(A1639,{Metrik!$C$2:$C$998,Metrik!$B$2:$B$998},2,0)</f>
        <v>PT Saratoga Investama Sedaya Tbk.</v>
      </c>
      <c r="C1639" s="15">
        <f>IFERROR(__xludf.DUMMYFUNCTION("GOOGLEFINANCE(""IDX:""&amp;A1639,""price"")"),1435.0)</f>
        <v>1435</v>
      </c>
      <c r="D1639" s="16" t="str">
        <f>IFERROR(__xludf.DUMMYFUNCTION("IF(A1639="""","""",
SPARKLINE(
INDEX(
GOOGLEFINANCE(""IDX:""&amp;A1639,""close"",TODAY()-365,TODAY()),
,2
),
{""linewidth"",1}
))
"),"#N/A")</f>
        <v>#N/A</v>
      </c>
      <c r="E1639" s="14" t="s">
        <v>41</v>
      </c>
      <c r="F1639" s="14" t="s">
        <v>34</v>
      </c>
      <c r="G1639" s="24">
        <f t="shared" si="9"/>
        <v>3</v>
      </c>
      <c r="H1639" s="19">
        <f>VLOOKUP(A1639,Metrik!$C$2:$Y$959,8,0)</f>
        <v>2.9</v>
      </c>
      <c r="I1639" s="20">
        <f>VLOOKUP(A1639,Metrik!$C$2:$Y$959,9,0)</f>
        <v>0.36</v>
      </c>
      <c r="J1639" s="20">
        <f>VLOOKUP(A1639,Metrik!$C$2:$Y$959,10,0)</f>
        <v>12.4</v>
      </c>
      <c r="K1639" s="20">
        <f>VLOOKUP(A1639,Metrik!$C$2:$Y$959,11,0)</f>
        <v>11.7</v>
      </c>
      <c r="L1639" s="20">
        <f>VLOOKUP(A1639,Metrik!$C$2:$Y$959,12,0)</f>
        <v>0.06</v>
      </c>
      <c r="M1639" s="20">
        <f>VLOOKUP(A1639,Metrik!$C$2:$Y$959,19,0)</f>
        <v>260</v>
      </c>
      <c r="N1639" s="21"/>
      <c r="O1639" s="21"/>
      <c r="P1639" s="21"/>
      <c r="Q1639" s="21"/>
      <c r="R1639" s="21"/>
      <c r="S1639" s="21"/>
      <c r="T1639" s="21"/>
      <c r="U1639" s="22">
        <f>IFERROR(__xludf.DUMMYFUNCTION("IFERROR(GOOGLEFINANCE(A1639,""closeyest""),"""")"),1390.0)</f>
        <v>1390</v>
      </c>
      <c r="V1639" s="23">
        <f>IFERROR(__xludf.DUMMYFUNCTION("IFERROR(GOOGLEFINANCE(A1639,""changepct""),"""")"),3.24)</f>
        <v>3.24</v>
      </c>
      <c r="W1639" s="22">
        <f>IFERROR(__xludf.DUMMYFUNCTION("IFERROR(GOOGLEFINANCE(A1639,""priceopen""),"""")"),1400.0)</f>
        <v>1400</v>
      </c>
      <c r="X1639" s="22">
        <f>IFERROR(__xludf.DUMMYFUNCTION("IFERROR(GOOGLEFINANCE(A1639,""high""),"""")"),1465.0)</f>
        <v>1465</v>
      </c>
      <c r="Y1639" s="22">
        <f>IFERROR(__xludf.DUMMYFUNCTION("IFERROR(GOOGLEFINANCE(A1639,""low""),"""")"),1400.0)</f>
        <v>1400</v>
      </c>
      <c r="Z1639" s="22">
        <f>IFERROR(__xludf.DUMMYFUNCTION("IFERROR(GOOGLEFINANCE(A1639,""volume""),"""")"),5120600.0)</f>
        <v>5120600</v>
      </c>
      <c r="AA1639" s="24" t="str">
        <f>VLOOKUP(A1639,Metrik!$C$2:$Y$959,5,0)</f>
        <v>Holding &amp; Investment Companies</v>
      </c>
      <c r="AB1639" s="24" t="str">
        <f>VLOOKUP(A1639,Metrik!$C$2:$Y$959,3,0)</f>
        <v>Financials</v>
      </c>
    </row>
    <row r="1640">
      <c r="A1640" s="14" t="s">
        <v>894</v>
      </c>
      <c r="B1640" s="14" t="str">
        <f t="array" ref="B1640">VLOOKUP(A1640,{Metrik!$C$2:$C$998,Metrik!$B$2:$B$998},2,0)</f>
        <v>PT Saratoga Investama Sedaya Tbk.</v>
      </c>
      <c r="C1640" s="15">
        <f>IFERROR(__xludf.DUMMYFUNCTION("GOOGLEFINANCE(""IDX:""&amp;A1640,""price"")"),1435.0)</f>
        <v>1435</v>
      </c>
      <c r="D1640" s="16" t="str">
        <f>IFERROR(__xludf.DUMMYFUNCTION("IF(A1640="""","""",
SPARKLINE(
INDEX(
GOOGLEFINANCE(""IDX:""&amp;A1640,""close"",TODAY()-365,TODAY()),
,2
),
{""linewidth"",1}
))
"),"#N/A")</f>
        <v>#N/A</v>
      </c>
      <c r="E1640" s="14" t="s">
        <v>39</v>
      </c>
      <c r="F1640" s="25">
        <v>46356.0</v>
      </c>
      <c r="G1640" s="24">
        <f t="shared" si="9"/>
        <v>3</v>
      </c>
      <c r="H1640" s="19">
        <f>VLOOKUP(A1640,Metrik!$C$2:$Y$959,8,0)</f>
        <v>2.9</v>
      </c>
      <c r="I1640" s="20">
        <f>VLOOKUP(A1640,Metrik!$C$2:$Y$959,9,0)</f>
        <v>0.36</v>
      </c>
      <c r="J1640" s="20">
        <f>VLOOKUP(A1640,Metrik!$C$2:$Y$959,10,0)</f>
        <v>12.4</v>
      </c>
      <c r="K1640" s="20">
        <f>VLOOKUP(A1640,Metrik!$C$2:$Y$959,11,0)</f>
        <v>11.7</v>
      </c>
      <c r="L1640" s="20">
        <f>VLOOKUP(A1640,Metrik!$C$2:$Y$959,12,0)</f>
        <v>0.06</v>
      </c>
      <c r="M1640" s="20">
        <f>VLOOKUP(A1640,Metrik!$C$2:$Y$959,19,0)</f>
        <v>260</v>
      </c>
      <c r="N1640" s="21"/>
      <c r="O1640" s="21"/>
      <c r="P1640" s="21"/>
      <c r="Q1640" s="21"/>
      <c r="R1640" s="21"/>
      <c r="S1640" s="21"/>
      <c r="T1640" s="21"/>
      <c r="U1640" s="22">
        <f>IFERROR(__xludf.DUMMYFUNCTION("IFERROR(GOOGLEFINANCE(A1640,""closeyest""),"""")"),1390.0)</f>
        <v>1390</v>
      </c>
      <c r="V1640" s="23">
        <f>IFERROR(__xludf.DUMMYFUNCTION("IFERROR(GOOGLEFINANCE(A1640,""changepct""),"""")"),3.24)</f>
        <v>3.24</v>
      </c>
      <c r="W1640" s="22">
        <f>IFERROR(__xludf.DUMMYFUNCTION("IFERROR(GOOGLEFINANCE(A1640,""priceopen""),"""")"),1400.0)</f>
        <v>1400</v>
      </c>
      <c r="X1640" s="22">
        <f>IFERROR(__xludf.DUMMYFUNCTION("IFERROR(GOOGLEFINANCE(A1640,""high""),"""")"),1465.0)</f>
        <v>1465</v>
      </c>
      <c r="Y1640" s="22">
        <f>IFERROR(__xludf.DUMMYFUNCTION("IFERROR(GOOGLEFINANCE(A1640,""low""),"""")"),1400.0)</f>
        <v>1400</v>
      </c>
      <c r="Z1640" s="22">
        <f>IFERROR(__xludf.DUMMYFUNCTION("IFERROR(GOOGLEFINANCE(A1640,""volume""),"""")"),5120600.0)</f>
        <v>5120600</v>
      </c>
      <c r="AA1640" s="24" t="str">
        <f>VLOOKUP(A1640,Metrik!$C$2:$Y$959,5,0)</f>
        <v>Holding &amp; Investment Companies</v>
      </c>
      <c r="AB1640" s="24" t="str">
        <f>VLOOKUP(A1640,Metrik!$C$2:$Y$959,3,0)</f>
        <v>Financials</v>
      </c>
    </row>
    <row r="1641">
      <c r="A1641" s="14" t="s">
        <v>895</v>
      </c>
      <c r="B1641" s="14" t="str">
        <f t="array" ref="B1641">VLOOKUP(A1641,{Metrik!$C$2:$C$998,Metrik!$B$2:$B$998},2,0)</f>
        <v>PT Surya Semesta Internusa Tbk</v>
      </c>
      <c r="C1641" s="15">
        <f>IFERROR(__xludf.DUMMYFUNCTION("GOOGLEFINANCE(""IDX:""&amp;A1641,""price"")"),1560.0)</f>
        <v>1560</v>
      </c>
      <c r="D1641" s="16" t="str">
        <f>IFERROR(__xludf.DUMMYFUNCTION("IF(A1641="""","""",
SPARKLINE(
INDEX(
GOOGLEFINANCE(""IDX:""&amp;A1641,""close"",TODAY()-365,TODAY()),
,2
),
{""linewidth"",1}
))
"),"#N/A")</f>
        <v>#N/A</v>
      </c>
      <c r="E1641" s="14" t="s">
        <v>32</v>
      </c>
      <c r="F1641" s="14" t="s">
        <v>29</v>
      </c>
      <c r="G1641" s="24">
        <f t="shared" si="9"/>
        <v>5</v>
      </c>
      <c r="H1641" s="19">
        <f>VLOOKUP(A1641,Metrik!$C$2:$Y$959,8,0)</f>
        <v>370</v>
      </c>
      <c r="I1641" s="20">
        <f>VLOOKUP(A1641,Metrik!$C$2:$Y$959,9,0)</f>
        <v>0.95</v>
      </c>
      <c r="J1641" s="20">
        <f>VLOOKUP(A1641,Metrik!$C$2:$Y$959,10,0)</f>
        <v>0.26</v>
      </c>
      <c r="K1641" s="20">
        <f>VLOOKUP(A1641,Metrik!$C$2:$Y$959,11,0)</f>
        <v>0.17</v>
      </c>
      <c r="L1641" s="20">
        <f>VLOOKUP(A1641,Metrik!$C$2:$Y$959,12,0)</f>
        <v>0.56</v>
      </c>
      <c r="M1641" s="20">
        <f>VLOOKUP(A1641,Metrik!$C$2:$Y$959,19,0)</f>
        <v>1.5</v>
      </c>
      <c r="N1641" s="21"/>
      <c r="O1641" s="21"/>
      <c r="P1641" s="21"/>
      <c r="Q1641" s="21"/>
      <c r="R1641" s="21"/>
      <c r="S1641" s="21"/>
      <c r="T1641" s="21"/>
      <c r="U1641" s="22">
        <f>IFERROR(__xludf.DUMMYFUNCTION("IFERROR(GOOGLEFINANCE(A1641,""closeyest""),"""")"),1515.0)</f>
        <v>1515</v>
      </c>
      <c r="V1641" s="23">
        <f>IFERROR(__xludf.DUMMYFUNCTION("IFERROR(GOOGLEFINANCE(A1641,""changepct""),"""")"),2.97)</f>
        <v>2.97</v>
      </c>
      <c r="W1641" s="22">
        <f>IFERROR(__xludf.DUMMYFUNCTION("IFERROR(GOOGLEFINANCE(A1641,""priceopen""),"""")"),1530.0)</f>
        <v>1530</v>
      </c>
      <c r="X1641" s="22">
        <f>IFERROR(__xludf.DUMMYFUNCTION("IFERROR(GOOGLEFINANCE(A1641,""high""),"""")"),1625.0)</f>
        <v>1625</v>
      </c>
      <c r="Y1641" s="22">
        <f>IFERROR(__xludf.DUMMYFUNCTION("IFERROR(GOOGLEFINANCE(A1641,""low""),"""")"),1515.0)</f>
        <v>1515</v>
      </c>
      <c r="Z1641" s="22">
        <f>IFERROR(__xludf.DUMMYFUNCTION("IFERROR(GOOGLEFINANCE(A1641,""volume""),"""")"),1.8815E7)</f>
        <v>18815000</v>
      </c>
      <c r="AA1641" s="24" t="str">
        <f>VLOOKUP(A1641,Metrik!$C$2:$Y$959,5,0)</f>
        <v>Heavy Constructions &amp; Civil Engineering</v>
      </c>
      <c r="AB1641" s="24" t="str">
        <f>VLOOKUP(A1641,Metrik!$C$2:$Y$959,3,0)</f>
        <v>Infrastructures</v>
      </c>
    </row>
    <row r="1642">
      <c r="A1642" s="14" t="s">
        <v>895</v>
      </c>
      <c r="B1642" s="14" t="str">
        <f t="array" ref="B1642">VLOOKUP(A1642,{Metrik!$C$2:$C$998,Metrik!$B$2:$B$998},2,0)</f>
        <v>PT Surya Semesta Internusa Tbk</v>
      </c>
      <c r="C1642" s="15">
        <f>IFERROR(__xludf.DUMMYFUNCTION("GOOGLEFINANCE(""IDX:""&amp;A1642,""price"")"),1560.0)</f>
        <v>1560</v>
      </c>
      <c r="D1642" s="16" t="str">
        <f>IFERROR(__xludf.DUMMYFUNCTION("IF(A1642="""","""",
SPARKLINE(
INDEX(
GOOGLEFINANCE(""IDX:""&amp;A1642,""close"",TODAY()-365,TODAY()),
,2
),
{""linewidth"",1}
))
"),"#N/A")</f>
        <v>#N/A</v>
      </c>
      <c r="E1642" s="14" t="s">
        <v>28</v>
      </c>
      <c r="F1642" s="17" t="s">
        <v>29</v>
      </c>
      <c r="G1642" s="24">
        <f t="shared" si="9"/>
        <v>5</v>
      </c>
      <c r="H1642" s="19">
        <f>VLOOKUP(A1642,Metrik!$C$2:$Y$959,8,0)</f>
        <v>370</v>
      </c>
      <c r="I1642" s="20">
        <f>VLOOKUP(A1642,Metrik!$C$2:$Y$959,9,0)</f>
        <v>0.95</v>
      </c>
      <c r="J1642" s="20">
        <f>VLOOKUP(A1642,Metrik!$C$2:$Y$959,10,0)</f>
        <v>0.26</v>
      </c>
      <c r="K1642" s="20">
        <f>VLOOKUP(A1642,Metrik!$C$2:$Y$959,11,0)</f>
        <v>0.17</v>
      </c>
      <c r="L1642" s="20">
        <f>VLOOKUP(A1642,Metrik!$C$2:$Y$959,12,0)</f>
        <v>0.56</v>
      </c>
      <c r="M1642" s="20">
        <f>VLOOKUP(A1642,Metrik!$C$2:$Y$959,19,0)</f>
        <v>1.5</v>
      </c>
      <c r="N1642" s="21"/>
      <c r="O1642" s="21"/>
      <c r="P1642" s="21"/>
      <c r="Q1642" s="21"/>
      <c r="R1642" s="21"/>
      <c r="S1642" s="21"/>
      <c r="T1642" s="21"/>
      <c r="U1642" s="22">
        <f>IFERROR(__xludf.DUMMYFUNCTION("IFERROR(GOOGLEFINANCE(A1642,""closeyest""),"""")"),1515.0)</f>
        <v>1515</v>
      </c>
      <c r="V1642" s="23">
        <f>IFERROR(__xludf.DUMMYFUNCTION("IFERROR(GOOGLEFINANCE(A1642,""changepct""),"""")"),2.97)</f>
        <v>2.97</v>
      </c>
      <c r="W1642" s="22">
        <f>IFERROR(__xludf.DUMMYFUNCTION("IFERROR(GOOGLEFINANCE(A1642,""priceopen""),"""")"),1530.0)</f>
        <v>1530</v>
      </c>
      <c r="X1642" s="22">
        <f>IFERROR(__xludf.DUMMYFUNCTION("IFERROR(GOOGLEFINANCE(A1642,""high""),"""")"),1625.0)</f>
        <v>1625</v>
      </c>
      <c r="Y1642" s="22">
        <f>IFERROR(__xludf.DUMMYFUNCTION("IFERROR(GOOGLEFINANCE(A1642,""low""),"""")"),1515.0)</f>
        <v>1515</v>
      </c>
      <c r="Z1642" s="22">
        <f>IFERROR(__xludf.DUMMYFUNCTION("IFERROR(GOOGLEFINANCE(A1642,""volume""),"""")"),1.8815E7)</f>
        <v>18815000</v>
      </c>
      <c r="AA1642" s="24" t="str">
        <f>VLOOKUP(A1642,Metrik!$C$2:$Y$959,5,0)</f>
        <v>Heavy Constructions &amp; Civil Engineering</v>
      </c>
      <c r="AB1642" s="24" t="str">
        <f>VLOOKUP(A1642,Metrik!$C$2:$Y$959,3,0)</f>
        <v>Infrastructures</v>
      </c>
    </row>
    <row r="1643">
      <c r="A1643" s="14" t="s">
        <v>895</v>
      </c>
      <c r="B1643" s="14" t="str">
        <f t="array" ref="B1643">VLOOKUP(A1643,{Metrik!$C$2:$C$998,Metrik!$B$2:$B$998},2,0)</f>
        <v>PT Surya Semesta Internusa Tbk</v>
      </c>
      <c r="C1643" s="15">
        <f>IFERROR(__xludf.DUMMYFUNCTION("GOOGLEFINANCE(""IDX:""&amp;A1643,""price"")"),1560.0)</f>
        <v>1560</v>
      </c>
      <c r="D1643" s="16" t="str">
        <f>IFERROR(__xludf.DUMMYFUNCTION("IF(A1643="""","""",
SPARKLINE(
INDEX(
GOOGLEFINANCE(""IDX:""&amp;A1643,""close"",TODAY()-365,TODAY()),
,2
),
{""linewidth"",1}
))
"),"#N/A")</f>
        <v>#N/A</v>
      </c>
      <c r="E1643" s="14" t="s">
        <v>85</v>
      </c>
      <c r="F1643" s="17" t="s">
        <v>51</v>
      </c>
      <c r="G1643" s="24">
        <f t="shared" si="9"/>
        <v>5</v>
      </c>
      <c r="H1643" s="19">
        <f>VLOOKUP(A1643,Metrik!$C$2:$Y$959,8,0)</f>
        <v>370</v>
      </c>
      <c r="I1643" s="20">
        <f>VLOOKUP(A1643,Metrik!$C$2:$Y$959,9,0)</f>
        <v>0.95</v>
      </c>
      <c r="J1643" s="20">
        <f>VLOOKUP(A1643,Metrik!$C$2:$Y$959,10,0)</f>
        <v>0.26</v>
      </c>
      <c r="K1643" s="20">
        <f>VLOOKUP(A1643,Metrik!$C$2:$Y$959,11,0)</f>
        <v>0.17</v>
      </c>
      <c r="L1643" s="20">
        <f>VLOOKUP(A1643,Metrik!$C$2:$Y$959,12,0)</f>
        <v>0.56</v>
      </c>
      <c r="M1643" s="20">
        <f>VLOOKUP(A1643,Metrik!$C$2:$Y$959,19,0)</f>
        <v>1.5</v>
      </c>
      <c r="N1643" s="21"/>
      <c r="O1643" s="21"/>
      <c r="P1643" s="21"/>
      <c r="Q1643" s="21"/>
      <c r="R1643" s="21"/>
      <c r="S1643" s="21"/>
      <c r="T1643" s="21"/>
      <c r="U1643" s="22">
        <f>IFERROR(__xludf.DUMMYFUNCTION("IFERROR(GOOGLEFINANCE(A1643,""closeyest""),"""")"),1515.0)</f>
        <v>1515</v>
      </c>
      <c r="V1643" s="23">
        <f>IFERROR(__xludf.DUMMYFUNCTION("IFERROR(GOOGLEFINANCE(A1643,""changepct""),"""")"),2.97)</f>
        <v>2.97</v>
      </c>
      <c r="W1643" s="22">
        <f>IFERROR(__xludf.DUMMYFUNCTION("IFERROR(GOOGLEFINANCE(A1643,""priceopen""),"""")"),1530.0)</f>
        <v>1530</v>
      </c>
      <c r="X1643" s="22">
        <f>IFERROR(__xludf.DUMMYFUNCTION("IFERROR(GOOGLEFINANCE(A1643,""high""),"""")"),1625.0)</f>
        <v>1625</v>
      </c>
      <c r="Y1643" s="22">
        <f>IFERROR(__xludf.DUMMYFUNCTION("IFERROR(GOOGLEFINANCE(A1643,""low""),"""")"),1515.0)</f>
        <v>1515</v>
      </c>
      <c r="Z1643" s="22">
        <f>IFERROR(__xludf.DUMMYFUNCTION("IFERROR(GOOGLEFINANCE(A1643,""volume""),"""")"),1.8815E7)</f>
        <v>18815000</v>
      </c>
      <c r="AA1643" s="24" t="str">
        <f>VLOOKUP(A1643,Metrik!$C$2:$Y$959,5,0)</f>
        <v>Heavy Constructions &amp; Civil Engineering</v>
      </c>
      <c r="AB1643" s="24" t="str">
        <f>VLOOKUP(A1643,Metrik!$C$2:$Y$959,3,0)</f>
        <v>Infrastructures</v>
      </c>
    </row>
    <row r="1644">
      <c r="A1644" s="14" t="s">
        <v>895</v>
      </c>
      <c r="B1644" s="14" t="str">
        <f t="array" ref="B1644">VLOOKUP(A1644,{Metrik!$C$2:$C$998,Metrik!$B$2:$B$998},2,0)</f>
        <v>PT Surya Semesta Internusa Tbk</v>
      </c>
      <c r="C1644" s="15">
        <f>IFERROR(__xludf.DUMMYFUNCTION("GOOGLEFINANCE(""IDX:""&amp;A1644,""price"")"),1560.0)</f>
        <v>1560</v>
      </c>
      <c r="D1644" s="16" t="str">
        <f>IFERROR(__xludf.DUMMYFUNCTION("IF(A1644="""","""",
SPARKLINE(
INDEX(
GOOGLEFINANCE(""IDX:""&amp;A1644,""close"",TODAY()-365,TODAY()),
,2
),
{""linewidth"",1}
))
"),"#N/A")</f>
        <v>#N/A</v>
      </c>
      <c r="E1644" s="14" t="s">
        <v>41</v>
      </c>
      <c r="F1644" s="14" t="s">
        <v>34</v>
      </c>
      <c r="G1644" s="24">
        <f t="shared" si="9"/>
        <v>5</v>
      </c>
      <c r="H1644" s="19">
        <f>VLOOKUP(A1644,Metrik!$C$2:$Y$959,8,0)</f>
        <v>370</v>
      </c>
      <c r="I1644" s="20">
        <f>VLOOKUP(A1644,Metrik!$C$2:$Y$959,9,0)</f>
        <v>0.95</v>
      </c>
      <c r="J1644" s="20">
        <f>VLOOKUP(A1644,Metrik!$C$2:$Y$959,10,0)</f>
        <v>0.26</v>
      </c>
      <c r="K1644" s="20">
        <f>VLOOKUP(A1644,Metrik!$C$2:$Y$959,11,0)</f>
        <v>0.17</v>
      </c>
      <c r="L1644" s="20">
        <f>VLOOKUP(A1644,Metrik!$C$2:$Y$959,12,0)</f>
        <v>0.56</v>
      </c>
      <c r="M1644" s="20">
        <f>VLOOKUP(A1644,Metrik!$C$2:$Y$959,19,0)</f>
        <v>1.5</v>
      </c>
      <c r="N1644" s="21"/>
      <c r="O1644" s="21"/>
      <c r="P1644" s="21"/>
      <c r="Q1644" s="21"/>
      <c r="R1644" s="21"/>
      <c r="S1644" s="21"/>
      <c r="T1644" s="21"/>
      <c r="U1644" s="22">
        <f>IFERROR(__xludf.DUMMYFUNCTION("IFERROR(GOOGLEFINANCE(A1644,""closeyest""),"""")"),1515.0)</f>
        <v>1515</v>
      </c>
      <c r="V1644" s="23">
        <f>IFERROR(__xludf.DUMMYFUNCTION("IFERROR(GOOGLEFINANCE(A1644,""changepct""),"""")"),2.97)</f>
        <v>2.97</v>
      </c>
      <c r="W1644" s="22">
        <f>IFERROR(__xludf.DUMMYFUNCTION("IFERROR(GOOGLEFINANCE(A1644,""priceopen""),"""")"),1530.0)</f>
        <v>1530</v>
      </c>
      <c r="X1644" s="22">
        <f>IFERROR(__xludf.DUMMYFUNCTION("IFERROR(GOOGLEFINANCE(A1644,""high""),"""")"),1625.0)</f>
        <v>1625</v>
      </c>
      <c r="Y1644" s="22">
        <f>IFERROR(__xludf.DUMMYFUNCTION("IFERROR(GOOGLEFINANCE(A1644,""low""),"""")"),1515.0)</f>
        <v>1515</v>
      </c>
      <c r="Z1644" s="22">
        <f>IFERROR(__xludf.DUMMYFUNCTION("IFERROR(GOOGLEFINANCE(A1644,""volume""),"""")"),1.8815E7)</f>
        <v>18815000</v>
      </c>
      <c r="AA1644" s="24" t="str">
        <f>VLOOKUP(A1644,Metrik!$C$2:$Y$959,5,0)</f>
        <v>Heavy Constructions &amp; Civil Engineering</v>
      </c>
      <c r="AB1644" s="24" t="str">
        <f>VLOOKUP(A1644,Metrik!$C$2:$Y$959,3,0)</f>
        <v>Infrastructures</v>
      </c>
    </row>
    <row r="1645">
      <c r="A1645" s="14" t="s">
        <v>895</v>
      </c>
      <c r="B1645" s="14" t="str">
        <f t="array" ref="B1645">VLOOKUP(A1645,{Metrik!$C$2:$C$998,Metrik!$B$2:$B$998},2,0)</f>
        <v>PT Surya Semesta Internusa Tbk</v>
      </c>
      <c r="C1645" s="15">
        <f>IFERROR(__xludf.DUMMYFUNCTION("GOOGLEFINANCE(""IDX:""&amp;A1645,""price"")"),1560.0)</f>
        <v>1560</v>
      </c>
      <c r="D1645" s="16" t="str">
        <f>IFERROR(__xludf.DUMMYFUNCTION("IF(A1645="""","""",
SPARKLINE(
INDEX(
GOOGLEFINANCE(""IDX:""&amp;A1645,""close"",TODAY()-365,TODAY()),
,2
),
{""linewidth"",1}
))
"),"#N/A")</f>
        <v>#N/A</v>
      </c>
      <c r="E1645" s="14" t="s">
        <v>39</v>
      </c>
      <c r="F1645" s="25">
        <v>46356.0</v>
      </c>
      <c r="G1645" s="24">
        <f t="shared" si="9"/>
        <v>5</v>
      </c>
      <c r="H1645" s="19">
        <f>VLOOKUP(A1645,Metrik!$C$2:$Y$959,8,0)</f>
        <v>370</v>
      </c>
      <c r="I1645" s="20">
        <f>VLOOKUP(A1645,Metrik!$C$2:$Y$959,9,0)</f>
        <v>0.95</v>
      </c>
      <c r="J1645" s="20">
        <f>VLOOKUP(A1645,Metrik!$C$2:$Y$959,10,0)</f>
        <v>0.26</v>
      </c>
      <c r="K1645" s="20">
        <f>VLOOKUP(A1645,Metrik!$C$2:$Y$959,11,0)</f>
        <v>0.17</v>
      </c>
      <c r="L1645" s="20">
        <f>VLOOKUP(A1645,Metrik!$C$2:$Y$959,12,0)</f>
        <v>0.56</v>
      </c>
      <c r="M1645" s="20">
        <f>VLOOKUP(A1645,Metrik!$C$2:$Y$959,19,0)</f>
        <v>1.5</v>
      </c>
      <c r="N1645" s="21"/>
      <c r="O1645" s="21"/>
      <c r="P1645" s="21"/>
      <c r="Q1645" s="21"/>
      <c r="R1645" s="21"/>
      <c r="S1645" s="21"/>
      <c r="T1645" s="21"/>
      <c r="U1645" s="22">
        <f>IFERROR(__xludf.DUMMYFUNCTION("IFERROR(GOOGLEFINANCE(A1645,""closeyest""),"""")"),1515.0)</f>
        <v>1515</v>
      </c>
      <c r="V1645" s="23">
        <f>IFERROR(__xludf.DUMMYFUNCTION("IFERROR(GOOGLEFINANCE(A1645,""changepct""),"""")"),2.97)</f>
        <v>2.97</v>
      </c>
      <c r="W1645" s="22">
        <f>IFERROR(__xludf.DUMMYFUNCTION("IFERROR(GOOGLEFINANCE(A1645,""priceopen""),"""")"),1530.0)</f>
        <v>1530</v>
      </c>
      <c r="X1645" s="22">
        <f>IFERROR(__xludf.DUMMYFUNCTION("IFERROR(GOOGLEFINANCE(A1645,""high""),"""")"),1625.0)</f>
        <v>1625</v>
      </c>
      <c r="Y1645" s="22">
        <f>IFERROR(__xludf.DUMMYFUNCTION("IFERROR(GOOGLEFINANCE(A1645,""low""),"""")"),1515.0)</f>
        <v>1515</v>
      </c>
      <c r="Z1645" s="22">
        <f>IFERROR(__xludf.DUMMYFUNCTION("IFERROR(GOOGLEFINANCE(A1645,""volume""),"""")"),1.8815E7)</f>
        <v>18815000</v>
      </c>
      <c r="AA1645" s="24" t="str">
        <f>VLOOKUP(A1645,Metrik!$C$2:$Y$959,5,0)</f>
        <v>Heavy Constructions &amp; Civil Engineering</v>
      </c>
      <c r="AB1645" s="24" t="str">
        <f>VLOOKUP(A1645,Metrik!$C$2:$Y$959,3,0)</f>
        <v>Infrastructures</v>
      </c>
    </row>
    <row r="1646">
      <c r="A1646" s="14" t="s">
        <v>896</v>
      </c>
      <c r="B1646" s="14" t="str">
        <f t="array" ref="B1646">VLOOKUP(A1646,{Metrik!$C$2:$C$998,Metrik!$B$2:$B$998},2,0)</f>
        <v>PT Sawit Sumbermas Sarana Tbk.</v>
      </c>
      <c r="C1646" s="15">
        <f>IFERROR(__xludf.DUMMYFUNCTION("GOOGLEFINANCE(""IDX:""&amp;A1646,""price"")"),745.0)</f>
        <v>745</v>
      </c>
      <c r="D1646" s="16" t="str">
        <f>IFERROR(__xludf.DUMMYFUNCTION("IF(A1646="""","""",
SPARKLINE(
INDEX(
GOOGLEFINANCE(""IDX:""&amp;A1646,""close"",TODAY()-365,TODAY()),
,2
),
{""linewidth"",1}
))
"),"#N/A")</f>
        <v>#N/A</v>
      </c>
      <c r="E1646" s="14" t="s">
        <v>41</v>
      </c>
      <c r="F1646" s="14" t="s">
        <v>34</v>
      </c>
      <c r="G1646" s="24">
        <f t="shared" si="9"/>
        <v>1</v>
      </c>
      <c r="H1646" s="19">
        <f>VLOOKUP(A1646,Metrik!$C$2:$Y$959,8,0)</f>
        <v>5.9</v>
      </c>
      <c r="I1646" s="20">
        <f>VLOOKUP(A1646,Metrik!$C$2:$Y$959,9,0)</f>
        <v>2</v>
      </c>
      <c r="J1646" s="20">
        <f>VLOOKUP(A1646,Metrik!$C$2:$Y$959,10,0)</f>
        <v>34.3</v>
      </c>
      <c r="K1646" s="20">
        <f>VLOOKUP(A1646,Metrik!$C$2:$Y$959,11,0)</f>
        <v>8.3</v>
      </c>
      <c r="L1646" s="20">
        <f>VLOOKUP(A1646,Metrik!$C$2:$Y$959,12,0)</f>
        <v>3.2</v>
      </c>
      <c r="M1646" s="20">
        <f>VLOOKUP(A1646,Metrik!$C$2:$Y$959,19,0)</f>
        <v>32.3</v>
      </c>
      <c r="N1646" s="21"/>
      <c r="O1646" s="21"/>
      <c r="P1646" s="21"/>
      <c r="Q1646" s="21"/>
      <c r="R1646" s="21"/>
      <c r="S1646" s="21"/>
      <c r="T1646" s="21"/>
      <c r="U1646" s="22">
        <f>IFERROR(__xludf.DUMMYFUNCTION("IFERROR(GOOGLEFINANCE(A1646,""closeyest""),"""")"),730.0)</f>
        <v>730</v>
      </c>
      <c r="V1646" s="23">
        <f>IFERROR(__xludf.DUMMYFUNCTION("IFERROR(GOOGLEFINANCE(A1646,""changepct""),"""")"),2.05)</f>
        <v>2.05</v>
      </c>
      <c r="W1646" s="22">
        <f>IFERROR(__xludf.DUMMYFUNCTION("IFERROR(GOOGLEFINANCE(A1646,""priceopen""),"""")"),730.0)</f>
        <v>730</v>
      </c>
      <c r="X1646" s="22">
        <f>IFERROR(__xludf.DUMMYFUNCTION("IFERROR(GOOGLEFINANCE(A1646,""high""),"""")"),775.0)</f>
        <v>775</v>
      </c>
      <c r="Y1646" s="22">
        <f>IFERROR(__xludf.DUMMYFUNCTION("IFERROR(GOOGLEFINANCE(A1646,""low""),"""")"),720.0)</f>
        <v>720</v>
      </c>
      <c r="Z1646" s="22">
        <f>IFERROR(__xludf.DUMMYFUNCTION("IFERROR(GOOGLEFINANCE(A1646,""volume""),"""")"),1.49825E7)</f>
        <v>14982500</v>
      </c>
      <c r="AA1646" s="24" t="str">
        <f>VLOOKUP(A1646,Metrik!$C$2:$Y$959,5,0)</f>
        <v>Agricultural Products</v>
      </c>
      <c r="AB1646" s="24" t="str">
        <f>VLOOKUP(A1646,Metrik!$C$2:$Y$959,3,0)</f>
        <v>Consumer Non-Cyclicals</v>
      </c>
    </row>
    <row r="1647">
      <c r="A1647" s="14" t="s">
        <v>897</v>
      </c>
      <c r="B1647" s="14" t="str">
        <f t="array" ref="B1647">VLOOKUP(A1647,{Metrik!$C$2:$C$998,Metrik!$B$2:$B$998},2,0)</f>
        <v>Sunson Textile Manufacturer Tbk</v>
      </c>
      <c r="C1647" s="15">
        <f>IFERROR(__xludf.DUMMYFUNCTION("GOOGLEFINANCE(""IDX:""&amp;A1647,""price"")"),400.0)</f>
        <v>400</v>
      </c>
      <c r="D1647" s="16" t="str">
        <f>IFERROR(__xludf.DUMMYFUNCTION("IF(A1647="""","""",
SPARKLINE(
INDEX(
GOOGLEFINANCE(""IDX:""&amp;A1647,""close"",TODAY()-365,TODAY()),
,2
),
{""linewidth"",1}
))
"),"#N/A")</f>
        <v>#N/A</v>
      </c>
      <c r="E1647" s="26"/>
      <c r="F1647" s="26"/>
      <c r="G1647" s="24">
        <f t="shared" si="9"/>
        <v>0</v>
      </c>
      <c r="H1647" s="19">
        <f>VLOOKUP(A1647,Metrik!$C$2:$Y$959,8,0)</f>
        <v>-36.1</v>
      </c>
      <c r="I1647" s="20">
        <f>VLOOKUP(A1647,Metrik!$C$2:$Y$959,9,0)</f>
        <v>2.8</v>
      </c>
      <c r="J1647" s="20">
        <f>VLOOKUP(A1647,Metrik!$C$2:$Y$959,10,0)</f>
        <v>-7.7</v>
      </c>
      <c r="K1647" s="20">
        <f>VLOOKUP(A1647,Metrik!$C$2:$Y$959,11,0)</f>
        <v>-4.5</v>
      </c>
      <c r="L1647" s="20">
        <f>VLOOKUP(A1647,Metrik!$C$2:$Y$959,12,0)</f>
        <v>0.72</v>
      </c>
      <c r="M1647" s="20">
        <f>VLOOKUP(A1647,Metrik!$C$2:$Y$959,19,0)</f>
        <v>-23.6</v>
      </c>
      <c r="N1647" s="21"/>
      <c r="O1647" s="21"/>
      <c r="P1647" s="21"/>
      <c r="Q1647" s="21"/>
      <c r="R1647" s="21"/>
      <c r="S1647" s="21"/>
      <c r="T1647" s="21"/>
      <c r="U1647" s="22">
        <f>IFERROR(__xludf.DUMMYFUNCTION("IFERROR(GOOGLEFINANCE(A1647,""closeyest""),"""")"),406.0)</f>
        <v>406</v>
      </c>
      <c r="V1647" s="23">
        <f>IFERROR(__xludf.DUMMYFUNCTION("IFERROR(GOOGLEFINANCE(A1647,""changepct""),"""")"),-1.48)</f>
        <v>-1.48</v>
      </c>
      <c r="W1647" s="22">
        <f>IFERROR(__xludf.DUMMYFUNCTION("IFERROR(GOOGLEFINANCE(A1647,""priceopen""),"""")"),406.0)</f>
        <v>406</v>
      </c>
      <c r="X1647" s="22">
        <f>IFERROR(__xludf.DUMMYFUNCTION("IFERROR(GOOGLEFINANCE(A1647,""high""),"""")"),440.0)</f>
        <v>440</v>
      </c>
      <c r="Y1647" s="22">
        <f>IFERROR(__xludf.DUMMYFUNCTION("IFERROR(GOOGLEFINANCE(A1647,""low""),"""")"),382.0)</f>
        <v>382</v>
      </c>
      <c r="Z1647" s="22">
        <f>IFERROR(__xludf.DUMMYFUNCTION("IFERROR(GOOGLEFINANCE(A1647,""volume""),"""")"),1263400.0)</f>
        <v>1263400</v>
      </c>
      <c r="AA1647" s="24" t="str">
        <f>VLOOKUP(A1647,Metrik!$C$2:$Y$959,5,0)</f>
        <v>Apparel &amp; Luxury Goods</v>
      </c>
      <c r="AB1647" s="24" t="str">
        <f>VLOOKUP(A1647,Metrik!$C$2:$Y$959,3,0)</f>
        <v>Consumer Cyclicals</v>
      </c>
    </row>
    <row r="1648">
      <c r="A1648" s="14" t="s">
        <v>898</v>
      </c>
      <c r="B1648" s="14" t="str">
        <f t="array" ref="B1648">VLOOKUP(A1648,{Metrik!$C$2:$C$998,Metrik!$B$2:$B$998},2,0)</f>
        <v>Sumber Tani Agung Resources Tbk.</v>
      </c>
      <c r="C1648" s="15">
        <f>IFERROR(__xludf.DUMMYFUNCTION("GOOGLEFINANCE(""IDX:""&amp;A1648,""price"")"),975.0)</f>
        <v>975</v>
      </c>
      <c r="D1648" s="16" t="str">
        <f>IFERROR(__xludf.DUMMYFUNCTION("IF(A1648="""","""",
SPARKLINE(
INDEX(
GOOGLEFINANCE(""IDX:""&amp;A1648,""close"",TODAY()-365,TODAY()),
,2
),
{""linewidth"",1}
))
"),"#N/A")</f>
        <v>#N/A</v>
      </c>
      <c r="E1648" s="14" t="s">
        <v>41</v>
      </c>
      <c r="F1648" s="14" t="s">
        <v>34</v>
      </c>
      <c r="G1648" s="18">
        <f t="shared" si="9"/>
        <v>1</v>
      </c>
      <c r="H1648" s="19">
        <f>VLOOKUP(A1648,Metrik!$C$2:$Y$959,8,0)</f>
        <v>6.8</v>
      </c>
      <c r="I1648" s="20">
        <f>VLOOKUP(A1648,Metrik!$C$2:$Y$959,9,0)</f>
        <v>1.5</v>
      </c>
      <c r="J1648" s="20">
        <f>VLOOKUP(A1648,Metrik!$C$2:$Y$959,10,0)</f>
        <v>21.7</v>
      </c>
      <c r="K1648" s="20">
        <f>VLOOKUP(A1648,Metrik!$C$2:$Y$959,11,0)</f>
        <v>15.8</v>
      </c>
      <c r="L1648" s="20">
        <f>VLOOKUP(A1648,Metrik!$C$2:$Y$959,12,0)</f>
        <v>0.37</v>
      </c>
      <c r="M1648" s="20">
        <f>VLOOKUP(A1648,Metrik!$C$2:$Y$959,19,0)</f>
        <v>64.2</v>
      </c>
      <c r="N1648" s="21"/>
      <c r="O1648" s="21"/>
      <c r="P1648" s="21"/>
      <c r="Q1648" s="21"/>
      <c r="R1648" s="21"/>
      <c r="S1648" s="21"/>
      <c r="T1648" s="21"/>
      <c r="U1648" s="22">
        <f>IFERROR(__xludf.DUMMYFUNCTION("IFERROR(GOOGLEFINANCE(A1648,""closeyest""),"""")"),28.9)</f>
        <v>28.9</v>
      </c>
      <c r="V1648" s="23">
        <f>IFERROR(__xludf.DUMMYFUNCTION("IFERROR(GOOGLEFINANCE(A1648,""changepct""),"""")"),-1.83)</f>
        <v>-1.83</v>
      </c>
      <c r="W1648" s="22">
        <f>IFERROR(__xludf.DUMMYFUNCTION("IFERROR(GOOGLEFINANCE(A1648,""priceopen""),"""")"),28.84)</f>
        <v>28.84</v>
      </c>
      <c r="X1648" s="22">
        <f>IFERROR(__xludf.DUMMYFUNCTION("IFERROR(GOOGLEFINANCE(A1648,""high""),"""")"),28.98)</f>
        <v>28.98</v>
      </c>
      <c r="Y1648" s="22">
        <f>IFERROR(__xludf.DUMMYFUNCTION("IFERROR(GOOGLEFINANCE(A1648,""low""),"""")"),28.17)</f>
        <v>28.17</v>
      </c>
      <c r="Z1648" s="22">
        <f>IFERROR(__xludf.DUMMYFUNCTION("IFERROR(GOOGLEFINANCE(A1648,""volume""),"""")"),384636.0)</f>
        <v>384636</v>
      </c>
      <c r="AA1648" s="24" t="str">
        <f>VLOOKUP(A1648,Metrik!$C$2:$Y$959,5,0)</f>
        <v>Agricultural Products</v>
      </c>
      <c r="AB1648" s="24" t="str">
        <f>VLOOKUP(A1648,Metrik!$C$2:$Y$959,3,0)</f>
        <v>Consumer Non-Cyclicals</v>
      </c>
    </row>
    <row r="1649">
      <c r="A1649" s="14" t="s">
        <v>899</v>
      </c>
      <c r="B1649" s="14" t="str">
        <f t="array" ref="B1649">VLOOKUP(A1649,{Metrik!$C$2:$C$998,Metrik!$B$2:$B$998},2,0)</f>
        <v>Calculus Global Ventures Tbk.</v>
      </c>
      <c r="C1649" s="15">
        <f>IFERROR(__xludf.DUMMYFUNCTION("GOOGLEFINANCE(""IDX:""&amp;A1649,""price"")"),308.0)</f>
        <v>308</v>
      </c>
      <c r="D1649" s="16" t="str">
        <f>IFERROR(__xludf.DUMMYFUNCTION("IF(A1649="""","""",
SPARKLINE(
INDEX(
GOOGLEFINANCE(""IDX:""&amp;A1649,""close"",TODAY()-365,TODAY()),
,2
),
{""linewidth"",1}
))
"),"#N/A")</f>
        <v>#N/A</v>
      </c>
      <c r="E1649" s="26"/>
      <c r="F1649" s="26"/>
      <c r="G1649" s="24">
        <f t="shared" si="9"/>
        <v>0</v>
      </c>
      <c r="H1649" s="19">
        <f>VLOOKUP(A1649,Metrik!$C$2:$Y$959,8,0)</f>
        <v>86.6</v>
      </c>
      <c r="I1649" s="20">
        <f>VLOOKUP(A1649,Metrik!$C$2:$Y$959,9,0)</f>
        <v>3.9</v>
      </c>
      <c r="J1649" s="20">
        <f>VLOOKUP(A1649,Metrik!$C$2:$Y$959,10,0)</f>
        <v>4.5</v>
      </c>
      <c r="K1649" s="20">
        <f>VLOOKUP(A1649,Metrik!$C$2:$Y$959,11,0)</f>
        <v>4.5</v>
      </c>
      <c r="L1649" s="20">
        <f>VLOOKUP(A1649,Metrik!$C$2:$Y$959,12,0)</f>
        <v>0.01</v>
      </c>
      <c r="M1649" s="20">
        <f>VLOOKUP(A1649,Metrik!$C$2:$Y$959,19,0)</f>
        <v>970</v>
      </c>
      <c r="N1649" s="21"/>
      <c r="O1649" s="21"/>
      <c r="P1649" s="21"/>
      <c r="Q1649" s="21"/>
      <c r="R1649" s="21"/>
      <c r="S1649" s="21"/>
      <c r="T1649" s="21"/>
      <c r="U1649" s="22" t="str">
        <f>IFERROR(__xludf.DUMMYFUNCTION("IFERROR(GOOGLEFINANCE(A1649,""closeyest""),"""")"),"")</f>
        <v/>
      </c>
      <c r="V1649" s="23">
        <f>IFERROR(__xludf.DUMMYFUNCTION("IFERROR(GOOGLEFINANCE(A1649,""changepct""),"""")"),0.0)</f>
        <v>0</v>
      </c>
      <c r="W1649" s="22" t="str">
        <f>IFERROR(__xludf.DUMMYFUNCTION("IFERROR(GOOGLEFINANCE(A1649,""priceopen""),"""")"),"")</f>
        <v/>
      </c>
      <c r="X1649" s="22" t="str">
        <f>IFERROR(__xludf.DUMMYFUNCTION("IFERROR(GOOGLEFINANCE(A1649,""high""),"""")"),"")</f>
        <v/>
      </c>
      <c r="Y1649" s="22" t="str">
        <f>IFERROR(__xludf.DUMMYFUNCTION("IFERROR(GOOGLEFINANCE(A1649,""low""),"""")"),"")</f>
        <v/>
      </c>
      <c r="Z1649" s="22">
        <f>IFERROR(__xludf.DUMMYFUNCTION("IFERROR(GOOGLEFINANCE(A1649,""volume""),"""")"),0.0)</f>
        <v>0</v>
      </c>
      <c r="AA1649" s="24" t="str">
        <f>VLOOKUP(A1649,Metrik!$C$2:$Y$959,5,0)</f>
        <v>Holding &amp; Investment Companies</v>
      </c>
      <c r="AB1649" s="24" t="str">
        <f>VLOOKUP(A1649,Metrik!$C$2:$Y$959,3,0)</f>
        <v>Financials</v>
      </c>
    </row>
    <row r="1650">
      <c r="A1650" s="14" t="s">
        <v>900</v>
      </c>
      <c r="B1650" s="14" t="str">
        <f t="array" ref="B1650">VLOOKUP(A1650,{Metrik!$C$2:$C$998,Metrik!$B$2:$B$998},2,0)</f>
        <v>PT Lovina Beach Brewery Tbk.</v>
      </c>
      <c r="C1650" s="15">
        <f>IFERROR(__xludf.DUMMYFUNCTION("GOOGLEFINANCE(""IDX:""&amp;A1650,""price"")"),69.0)</f>
        <v>69</v>
      </c>
      <c r="D1650" s="16" t="str">
        <f>IFERROR(__xludf.DUMMYFUNCTION("IF(A1650="""","""",
SPARKLINE(
INDEX(
GOOGLEFINANCE(""IDX:""&amp;A1650,""close"",TODAY()-365,TODAY()),
,2
),
{""linewidth"",1}
))
"),"#N/A")</f>
        <v>#N/A</v>
      </c>
      <c r="E1650" s="26"/>
      <c r="F1650" s="26"/>
      <c r="G1650" s="24">
        <f t="shared" si="9"/>
        <v>0</v>
      </c>
      <c r="H1650" s="19">
        <f>VLOOKUP(A1650,Metrik!$C$2:$Y$959,8,0)</f>
        <v>-51.9</v>
      </c>
      <c r="I1650" s="20">
        <f>VLOOKUP(A1650,Metrik!$C$2:$Y$959,9,0)</f>
        <v>8.1</v>
      </c>
      <c r="J1650" s="20">
        <f>VLOOKUP(A1650,Metrik!$C$2:$Y$959,10,0)</f>
        <v>-15.6</v>
      </c>
      <c r="K1650" s="20">
        <f>VLOOKUP(A1650,Metrik!$C$2:$Y$959,11,0)</f>
        <v>-13.8</v>
      </c>
      <c r="L1650" s="20">
        <f>VLOOKUP(A1650,Metrik!$C$2:$Y$959,12,0)</f>
        <v>0.13</v>
      </c>
      <c r="M1650" s="20">
        <f>VLOOKUP(A1650,Metrik!$C$2:$Y$959,19,0)</f>
        <v>-220</v>
      </c>
      <c r="N1650" s="21"/>
      <c r="O1650" s="21"/>
      <c r="P1650" s="21"/>
      <c r="Q1650" s="21"/>
      <c r="R1650" s="21"/>
      <c r="S1650" s="21"/>
      <c r="T1650" s="21"/>
      <c r="U1650" s="22">
        <f>IFERROR(__xludf.DUMMYFUNCTION("IFERROR(GOOGLEFINANCE(A1650,""closeyest""),"""")"),68.2)</f>
        <v>68.2</v>
      </c>
      <c r="V1650" s="23">
        <f>IFERROR(__xludf.DUMMYFUNCTION("IFERROR(GOOGLEFINANCE(A1650,""changepct""),"""")"),2.02)</f>
        <v>2.02</v>
      </c>
      <c r="W1650" s="22">
        <f>IFERROR(__xludf.DUMMYFUNCTION("IFERROR(GOOGLEFINANCE(A1650,""priceopen""),"""")"),68.97)</f>
        <v>68.97</v>
      </c>
      <c r="X1650" s="22">
        <f>IFERROR(__xludf.DUMMYFUNCTION("IFERROR(GOOGLEFINANCE(A1650,""high""),"""")"),69.8)</f>
        <v>69.8</v>
      </c>
      <c r="Y1650" s="22">
        <f>IFERROR(__xludf.DUMMYFUNCTION("IFERROR(GOOGLEFINANCE(A1650,""low""),"""")"),68.5)</f>
        <v>68.5</v>
      </c>
      <c r="Z1650" s="22">
        <f>IFERROR(__xludf.DUMMYFUNCTION("IFERROR(GOOGLEFINANCE(A1650,""volume""),"""")"),114851.0)</f>
        <v>114851</v>
      </c>
      <c r="AA1650" s="24" t="str">
        <f>VLOOKUP(A1650,Metrik!$C$2:$Y$959,5,0)</f>
        <v>Beverages</v>
      </c>
      <c r="AB1650" s="24" t="str">
        <f>VLOOKUP(A1650,Metrik!$C$2:$Y$959,3,0)</f>
        <v>Consumer Non-Cyclicals</v>
      </c>
    </row>
    <row r="1651">
      <c r="A1651" s="14" t="s">
        <v>901</v>
      </c>
      <c r="B1651" s="14" t="str">
        <f t="array" ref="B1651">VLOOKUP(A1651,{Metrik!$C$2:$C$998,Metrik!$B$2:$B$998},2,0)</f>
        <v>Siantar Top Tbk.</v>
      </c>
      <c r="C1651" s="15">
        <f>IFERROR(__xludf.DUMMYFUNCTION("GOOGLEFINANCE(""IDX:""&amp;A1651,""price"")"),9425.0)</f>
        <v>9425</v>
      </c>
      <c r="D1651" s="16" t="str">
        <f>IFERROR(__xludf.DUMMYFUNCTION("IF(A1651="""","""",
SPARKLINE(
INDEX(
GOOGLEFINANCE(""IDX:""&amp;A1651,""close"",TODAY()-365,TODAY()),
,2
),
{""linewidth"",1}
))
"),"#N/A")</f>
        <v>#N/A</v>
      </c>
      <c r="E1651" s="26"/>
      <c r="F1651" s="26"/>
      <c r="G1651" s="18">
        <f t="shared" si="9"/>
        <v>0</v>
      </c>
      <c r="H1651" s="19">
        <f>VLOOKUP(A1651,Metrik!$C$2:$Y$959,8,0)</f>
        <v>11.9</v>
      </c>
      <c r="I1651" s="20">
        <f>VLOOKUP(A1651,Metrik!$C$2:$Y$959,9,0)</f>
        <v>1.8</v>
      </c>
      <c r="J1651" s="20">
        <f>VLOOKUP(A1651,Metrik!$C$2:$Y$959,10,0)</f>
        <v>14.8</v>
      </c>
      <c r="K1651" s="20">
        <f>VLOOKUP(A1651,Metrik!$C$2:$Y$959,11,0)</f>
        <v>13.7</v>
      </c>
      <c r="L1651" s="20">
        <f>VLOOKUP(A1651,Metrik!$C$2:$Y$959,12,0)</f>
        <v>0.08</v>
      </c>
      <c r="M1651" s="20">
        <f>VLOOKUP(A1651,Metrik!$C$2:$Y$959,19,0)</f>
        <v>92.2</v>
      </c>
      <c r="N1651" s="21"/>
      <c r="O1651" s="21"/>
      <c r="P1651" s="21"/>
      <c r="Q1651" s="21"/>
      <c r="R1651" s="21"/>
      <c r="S1651" s="21"/>
      <c r="T1651" s="21"/>
      <c r="U1651" s="22">
        <f>IFERROR(__xludf.DUMMYFUNCTION("IFERROR(GOOGLEFINANCE(A1651,""closeyest""),"""")"),9500.0)</f>
        <v>9500</v>
      </c>
      <c r="V1651" s="23">
        <f>IFERROR(__xludf.DUMMYFUNCTION("IFERROR(GOOGLEFINANCE(A1651,""changepct""),"""")"),-0.79)</f>
        <v>-0.79</v>
      </c>
      <c r="W1651" s="22">
        <f>IFERROR(__xludf.DUMMYFUNCTION("IFERROR(GOOGLEFINANCE(A1651,""priceopen""),"""")"),9575.0)</f>
        <v>9575</v>
      </c>
      <c r="X1651" s="22">
        <f>IFERROR(__xludf.DUMMYFUNCTION("IFERROR(GOOGLEFINANCE(A1651,""high""),"""")"),9575.0)</f>
        <v>9575</v>
      </c>
      <c r="Y1651" s="22">
        <f>IFERROR(__xludf.DUMMYFUNCTION("IFERROR(GOOGLEFINANCE(A1651,""low""),"""")"),9375.0)</f>
        <v>9375</v>
      </c>
      <c r="Z1651" s="22">
        <f>IFERROR(__xludf.DUMMYFUNCTION("IFERROR(GOOGLEFINANCE(A1651,""volume""),"""")"),300.0)</f>
        <v>300</v>
      </c>
      <c r="AA1651" s="24" t="str">
        <f>VLOOKUP(A1651,Metrik!$C$2:$Y$959,5,0)</f>
        <v>Processed Foods</v>
      </c>
      <c r="AB1651" s="24" t="str">
        <f>VLOOKUP(A1651,Metrik!$C$2:$Y$959,3,0)</f>
        <v>Consumer Non-Cyclicals</v>
      </c>
    </row>
    <row r="1652">
      <c r="A1652" s="14" t="s">
        <v>902</v>
      </c>
      <c r="B1652" s="14" t="str">
        <f t="array" ref="B1652">VLOOKUP(A1652,{Metrik!$C$2:$C$998,Metrik!$B$2:$B$998},2,0)</f>
        <v>Sugih Energy Tbk.</v>
      </c>
      <c r="C1652" s="15">
        <f>IFERROR(__xludf.DUMMYFUNCTION("GOOGLEFINANCE(""IDX:""&amp;A1652,""price"")"),50.0)</f>
        <v>50</v>
      </c>
      <c r="D1652" s="16" t="str">
        <f>IFERROR(__xludf.DUMMYFUNCTION("IF(A1652="""","""",
SPARKLINE(
INDEX(
GOOGLEFINANCE(""IDX:""&amp;A1652,""close"",TODAY()-365,TODAY()),
,2
),
{""linewidth"",1}
))
"),"#N/A")</f>
        <v>#N/A</v>
      </c>
      <c r="E1652" s="26"/>
      <c r="F1652" s="26"/>
      <c r="G1652" s="24">
        <f t="shared" si="9"/>
        <v>0</v>
      </c>
      <c r="H1652" s="19" t="str">
        <f>VLOOKUP(A1652,Metrik!$C$2:$Y$959,8,0)</f>
        <v/>
      </c>
      <c r="I1652" s="20">
        <f>VLOOKUP(A1652,Metrik!$C$2:$Y$959,9,0)</f>
        <v>0.54</v>
      </c>
      <c r="J1652" s="20">
        <f>VLOOKUP(A1652,Metrik!$C$2:$Y$959,10,0)</f>
        <v>-1.1</v>
      </c>
      <c r="K1652" s="20">
        <f>VLOOKUP(A1652,Metrik!$C$2:$Y$959,11,0)</f>
        <v>0</v>
      </c>
      <c r="L1652" s="20">
        <f>VLOOKUP(A1652,Metrik!$C$2:$Y$959,12,0)</f>
        <v>2.1</v>
      </c>
      <c r="M1652" s="20">
        <f>VLOOKUP(A1652,Metrik!$C$2:$Y$959,19,0)</f>
        <v>-210</v>
      </c>
      <c r="N1652" s="21"/>
      <c r="O1652" s="21"/>
      <c r="P1652" s="21"/>
      <c r="Q1652" s="21"/>
      <c r="R1652" s="21"/>
      <c r="S1652" s="21"/>
      <c r="T1652" s="21"/>
      <c r="U1652" s="22">
        <f>IFERROR(__xludf.DUMMYFUNCTION("IFERROR(GOOGLEFINANCE(A1652,""closeyest""),"""")"),50.0)</f>
        <v>50</v>
      </c>
      <c r="V1652" s="23">
        <f>IFERROR(__xludf.DUMMYFUNCTION("IFERROR(GOOGLEFINANCE(A1652,""changepct""),"""")"),0.0)</f>
        <v>0</v>
      </c>
      <c r="W1652" s="22" t="str">
        <f>IFERROR(__xludf.DUMMYFUNCTION("IFERROR(GOOGLEFINANCE(A1652,""priceopen""),"""")"),"")</f>
        <v/>
      </c>
      <c r="X1652" s="22" t="str">
        <f>IFERROR(__xludf.DUMMYFUNCTION("IFERROR(GOOGLEFINANCE(A1652,""high""),"""")"),"")</f>
        <v/>
      </c>
      <c r="Y1652" s="22" t="str">
        <f>IFERROR(__xludf.DUMMYFUNCTION("IFERROR(GOOGLEFINANCE(A1652,""low""),"""")"),"")</f>
        <v/>
      </c>
      <c r="Z1652" s="22">
        <f>IFERROR(__xludf.DUMMYFUNCTION("IFERROR(GOOGLEFINANCE(A1652,""volume""),"""")"),0.0)</f>
        <v>0</v>
      </c>
      <c r="AA1652" s="24" t="str">
        <f>VLOOKUP(A1652,Metrik!$C$2:$Y$959,5,0)</f>
        <v>Oil &amp; Gas</v>
      </c>
      <c r="AB1652" s="24" t="str">
        <f>VLOOKUP(A1652,Metrik!$C$2:$Y$959,3,0)</f>
        <v>Energy</v>
      </c>
    </row>
    <row r="1653">
      <c r="A1653" s="14" t="s">
        <v>903</v>
      </c>
      <c r="B1653" s="14" t="str">
        <f t="array" ref="B1653">VLOOKUP(A1653,{Metrik!$C$2:$C$998,Metrik!$B$2:$B$998},2,0)</f>
        <v>SLJ Global Tbk.</v>
      </c>
      <c r="C1653" s="15">
        <f>IFERROR(__xludf.DUMMYFUNCTION("GOOGLEFINANCE(""IDX:""&amp;A1653,""price"")"),77.0)</f>
        <v>77</v>
      </c>
      <c r="D1653" s="16" t="str">
        <f>IFERROR(__xludf.DUMMYFUNCTION("IF(A1653="""","""",
SPARKLINE(
INDEX(
GOOGLEFINANCE(""IDX:""&amp;A1653,""close"",TODAY()-365,TODAY()),
,2
),
{""linewidth"",1}
))
"),"#N/A")</f>
        <v>#N/A</v>
      </c>
      <c r="E1653" s="26"/>
      <c r="F1653" s="26"/>
      <c r="G1653" s="24">
        <f t="shared" si="9"/>
        <v>0</v>
      </c>
      <c r="H1653" s="19">
        <f>VLOOKUP(A1653,Metrik!$C$2:$Y$959,8,0)</f>
        <v>-7.7</v>
      </c>
      <c r="I1653" s="20">
        <f>VLOOKUP(A1653,Metrik!$C$2:$Y$959,9,0)</f>
        <v>2.4</v>
      </c>
      <c r="J1653" s="20">
        <f>VLOOKUP(A1653,Metrik!$C$2:$Y$959,10,0)</f>
        <v>-31</v>
      </c>
      <c r="K1653" s="20">
        <f>VLOOKUP(A1653,Metrik!$C$2:$Y$959,11,0)</f>
        <v>-9.7</v>
      </c>
      <c r="L1653" s="20">
        <f>VLOOKUP(A1653,Metrik!$C$2:$Y$959,12,0)</f>
        <v>2.2</v>
      </c>
      <c r="M1653" s="20">
        <f>VLOOKUP(A1653,Metrik!$C$2:$Y$959,19,0)</f>
        <v>-130</v>
      </c>
      <c r="N1653" s="21"/>
      <c r="O1653" s="21"/>
      <c r="P1653" s="21"/>
      <c r="Q1653" s="21"/>
      <c r="R1653" s="21"/>
      <c r="S1653" s="21"/>
      <c r="T1653" s="21"/>
      <c r="U1653" s="22">
        <f>IFERROR(__xludf.DUMMYFUNCTION("IFERROR(GOOGLEFINANCE(A1653,""closeyest""),"""")"),73.0)</f>
        <v>73</v>
      </c>
      <c r="V1653" s="23">
        <f>IFERROR(__xludf.DUMMYFUNCTION("IFERROR(GOOGLEFINANCE(A1653,""changepct""),"""")"),5.48)</f>
        <v>5.48</v>
      </c>
      <c r="W1653" s="22">
        <f>IFERROR(__xludf.DUMMYFUNCTION("IFERROR(GOOGLEFINANCE(A1653,""priceopen""),"""")"),74.0)</f>
        <v>74</v>
      </c>
      <c r="X1653" s="22">
        <f>IFERROR(__xludf.DUMMYFUNCTION("IFERROR(GOOGLEFINANCE(A1653,""high""),"""")"),80.0)</f>
        <v>80</v>
      </c>
      <c r="Y1653" s="22">
        <f>IFERROR(__xludf.DUMMYFUNCTION("IFERROR(GOOGLEFINANCE(A1653,""low""),"""")"),72.0)</f>
        <v>72</v>
      </c>
      <c r="Z1653" s="22">
        <f>IFERROR(__xludf.DUMMYFUNCTION("IFERROR(GOOGLEFINANCE(A1653,""volume""),"""")"),2488300.0)</f>
        <v>2488300</v>
      </c>
      <c r="AA1653" s="24" t="str">
        <f>VLOOKUP(A1653,Metrik!$C$2:$Y$959,5,0)</f>
        <v>Forestry &amp; Paper</v>
      </c>
      <c r="AB1653" s="24" t="str">
        <f>VLOOKUP(A1653,Metrik!$C$2:$Y$959,3,0)</f>
        <v>Basic Materials</v>
      </c>
    </row>
    <row r="1654">
      <c r="A1654" s="14" t="s">
        <v>904</v>
      </c>
      <c r="B1654" s="14" t="str">
        <f t="array" ref="B1654">VLOOKUP(A1654,{Metrik!$C$2:$C$998,Metrik!$B$2:$B$998},2,0)</f>
        <v>PT Sunindo Pratama Tbk</v>
      </c>
      <c r="C1654" s="15">
        <f>IFERROR(__xludf.DUMMYFUNCTION("GOOGLEFINANCE(""IDX:""&amp;A1654,""price"")"),665.0)</f>
        <v>665</v>
      </c>
      <c r="D1654" s="16" t="str">
        <f>IFERROR(__xludf.DUMMYFUNCTION("IF(A1654="""","""",
SPARKLINE(
INDEX(
GOOGLEFINANCE(""IDX:""&amp;A1654,""close"",TODAY()-365,TODAY()),
,2
),
{""linewidth"",1}
))
"),"#N/A")</f>
        <v>#N/A</v>
      </c>
      <c r="E1654" s="26"/>
      <c r="F1654" s="26"/>
      <c r="G1654" s="18">
        <f t="shared" si="9"/>
        <v>0</v>
      </c>
      <c r="H1654" s="19">
        <f>VLOOKUP(A1654,Metrik!$C$2:$Y$959,8,0)</f>
        <v>11.8</v>
      </c>
      <c r="I1654" s="20">
        <f>VLOOKUP(A1654,Metrik!$C$2:$Y$959,9,0)</f>
        <v>1.9</v>
      </c>
      <c r="J1654" s="20">
        <f>VLOOKUP(A1654,Metrik!$C$2:$Y$959,10,0)</f>
        <v>16.5</v>
      </c>
      <c r="K1654" s="20">
        <f>VLOOKUP(A1654,Metrik!$C$2:$Y$959,11,0)</f>
        <v>12.9</v>
      </c>
      <c r="L1654" s="20">
        <f>VLOOKUP(A1654,Metrik!$C$2:$Y$959,12,0)</f>
        <v>0.28</v>
      </c>
      <c r="M1654" s="20">
        <f>VLOOKUP(A1654,Metrik!$C$2:$Y$959,19,0)</f>
        <v>93.9</v>
      </c>
      <c r="N1654" s="21"/>
      <c r="O1654" s="21"/>
      <c r="P1654" s="21"/>
      <c r="Q1654" s="21"/>
      <c r="R1654" s="21"/>
      <c r="S1654" s="21"/>
      <c r="T1654" s="21"/>
      <c r="U1654" s="22">
        <f>IFERROR(__xludf.DUMMYFUNCTION("IFERROR(GOOGLEFINANCE(A1654,""closeyest""),"""")"),660.0)</f>
        <v>660</v>
      </c>
      <c r="V1654" s="23">
        <f>IFERROR(__xludf.DUMMYFUNCTION("IFERROR(GOOGLEFINANCE(A1654,""changepct""),"""")"),0.76)</f>
        <v>0.76</v>
      </c>
      <c r="W1654" s="22">
        <f>IFERROR(__xludf.DUMMYFUNCTION("IFERROR(GOOGLEFINANCE(A1654,""priceopen""),"""")"),660.0)</f>
        <v>660</v>
      </c>
      <c r="X1654" s="22">
        <f>IFERROR(__xludf.DUMMYFUNCTION("IFERROR(GOOGLEFINANCE(A1654,""high""),"""")"),670.0)</f>
        <v>670</v>
      </c>
      <c r="Y1654" s="22">
        <f>IFERROR(__xludf.DUMMYFUNCTION("IFERROR(GOOGLEFINANCE(A1654,""low""),"""")"),650.0)</f>
        <v>650</v>
      </c>
      <c r="Z1654" s="22">
        <f>IFERROR(__xludf.DUMMYFUNCTION("IFERROR(GOOGLEFINANCE(A1654,""volume""),"""")"),161500.0)</f>
        <v>161500</v>
      </c>
      <c r="AA1654" s="24" t="str">
        <f>VLOOKUP(A1654,Metrik!$C$2:$Y$959,5,0)</f>
        <v>Oil, Gas &amp; Coal Supports</v>
      </c>
      <c r="AB1654" s="24" t="str">
        <f>VLOOKUP(A1654,Metrik!$C$2:$Y$959,3,0)</f>
        <v>Energy</v>
      </c>
    </row>
    <row r="1655">
      <c r="A1655" s="14" t="s">
        <v>905</v>
      </c>
      <c r="B1655" s="14" t="str">
        <f t="array" ref="B1655">VLOOKUP(A1655,{Metrik!$C$2:$C$998,Metrik!$B$2:$B$998},2,0)</f>
        <v>Super Bank Indonesia Tbk.</v>
      </c>
      <c r="C1655" s="15" t="str">
        <f>IFERROR(__xludf.DUMMYFUNCTION("GOOGLEFINANCE(""IDX:""&amp;A1655,""price"")"),"#N/A")</f>
        <v>#N/A</v>
      </c>
      <c r="D1655" s="16" t="str">
        <f>IFERROR(__xludf.DUMMYFUNCTION("IF(A1655="""","""",
SPARKLINE(
INDEX(
GOOGLEFINANCE(""IDX:""&amp;A1655,""close"",TODAY()-365,TODAY()),
,2
),
{""linewidth"",1}
))
"),"#N/A")</f>
        <v>#N/A</v>
      </c>
      <c r="E1655" s="26"/>
      <c r="F1655" s="26"/>
      <c r="G1655" s="24">
        <f t="shared" si="9"/>
        <v>0</v>
      </c>
      <c r="H1655" s="19">
        <f>VLOOKUP(A1655,Metrik!$C$2:$Y$959,8,0)</f>
        <v>160</v>
      </c>
      <c r="I1655" s="20">
        <f>VLOOKUP(A1655,Metrik!$C$2:$Y$959,9,0)</f>
        <v>3.5</v>
      </c>
      <c r="J1655" s="20">
        <f>VLOOKUP(A1655,Metrik!$C$2:$Y$959,10,0)</f>
        <v>2.2</v>
      </c>
      <c r="K1655" s="20">
        <f>VLOOKUP(A1655,Metrik!$C$2:$Y$959,11,0)</f>
        <v>0.74</v>
      </c>
      <c r="L1655" s="20">
        <f>VLOOKUP(A1655,Metrik!$C$2:$Y$959,12,0)</f>
        <v>2</v>
      </c>
      <c r="M1655" s="20">
        <f>VLOOKUP(A1655,Metrik!$C$2:$Y$959,19,0)</f>
        <v>24.4</v>
      </c>
      <c r="N1655" s="32">
        <v>4.85</v>
      </c>
      <c r="O1655" s="32">
        <v>92.15</v>
      </c>
      <c r="P1655" s="32">
        <v>62.4</v>
      </c>
      <c r="Q1655" s="32">
        <v>0.85</v>
      </c>
      <c r="R1655" s="32">
        <v>112.4</v>
      </c>
      <c r="S1655" s="32">
        <v>98.15</v>
      </c>
      <c r="T1655" s="32">
        <v>2.45</v>
      </c>
      <c r="U1655" s="22">
        <f>IFERROR(__xludf.DUMMYFUNCTION("IFERROR(GOOGLEFINANCE(A1655,""closeyest""),"""")"),615.0)</f>
        <v>615</v>
      </c>
      <c r="V1655" s="23">
        <f>IFERROR(__xludf.DUMMYFUNCTION("IFERROR(GOOGLEFINANCE(A1655,""changepct""),"""")"),0.0)</f>
        <v>0</v>
      </c>
      <c r="W1655" s="22">
        <f>IFERROR(__xludf.DUMMYFUNCTION("IFERROR(GOOGLEFINANCE(A1655,""priceopen""),"""")"),615.0)</f>
        <v>615</v>
      </c>
      <c r="X1655" s="22">
        <f>IFERROR(__xludf.DUMMYFUNCTION("IFERROR(GOOGLEFINANCE(A1655,""high""),"""")"),645.0)</f>
        <v>645</v>
      </c>
      <c r="Y1655" s="22">
        <f>IFERROR(__xludf.DUMMYFUNCTION("IFERROR(GOOGLEFINANCE(A1655,""low""),"""")"),605.0)</f>
        <v>605</v>
      </c>
      <c r="Z1655" s="22">
        <f>IFERROR(__xludf.DUMMYFUNCTION("IFERROR(GOOGLEFINANCE(A1655,""volume""),"""")"),7.34449E7)</f>
        <v>73444900</v>
      </c>
      <c r="AA1655" s="24" t="str">
        <f>VLOOKUP(A1655,Metrik!$C$2:$Y$959,5,0)</f>
        <v>Banks</v>
      </c>
      <c r="AB1655" s="24" t="str">
        <f>VLOOKUP(A1655,Metrik!$C$2:$Y$959,3,0)</f>
        <v>Financials</v>
      </c>
    </row>
    <row r="1656">
      <c r="A1656" s="14" t="s">
        <v>906</v>
      </c>
      <c r="B1656" s="14" t="str">
        <f t="array" ref="B1656">VLOOKUP(A1656,{Metrik!$C$2:$C$998,Metrik!$B$2:$B$998},2,0)</f>
        <v>Solusi Tunas Pratama Tbk</v>
      </c>
      <c r="C1656" s="15">
        <f>IFERROR(__xludf.DUMMYFUNCTION("GOOGLEFINANCE(""IDX:""&amp;A1656,""price"")"),43850.0)</f>
        <v>43850</v>
      </c>
      <c r="D1656" s="16" t="str">
        <f>IFERROR(__xludf.DUMMYFUNCTION("IF(A1656="""","""",
SPARKLINE(
INDEX(
GOOGLEFINANCE(""IDX:""&amp;A1656,""close"",TODAY()-365,TODAY()),
,2
),
{""linewidth"",1}
))
"),"#N/A")</f>
        <v>#N/A</v>
      </c>
      <c r="E1656" s="26"/>
      <c r="F1656" s="26"/>
      <c r="G1656" s="24">
        <f t="shared" si="9"/>
        <v>0</v>
      </c>
      <c r="H1656" s="19">
        <f>VLOOKUP(A1656,Metrik!$C$2:$Y$959,8,0)</f>
        <v>21.4</v>
      </c>
      <c r="I1656" s="20">
        <f>VLOOKUP(A1656,Metrik!$C$2:$Y$959,9,0)</f>
        <v>6</v>
      </c>
      <c r="J1656" s="20">
        <f>VLOOKUP(A1656,Metrik!$C$2:$Y$959,10,0)</f>
        <v>28.2</v>
      </c>
      <c r="K1656" s="20">
        <f>VLOOKUP(A1656,Metrik!$C$2:$Y$959,11,0)</f>
        <v>10.3</v>
      </c>
      <c r="L1656" s="20">
        <f>VLOOKUP(A1656,Metrik!$C$2:$Y$959,12,0)</f>
        <v>0.26</v>
      </c>
      <c r="M1656" s="20">
        <f>VLOOKUP(A1656,Metrik!$C$2:$Y$959,19,0)</f>
        <v>120</v>
      </c>
      <c r="N1656" s="21"/>
      <c r="O1656" s="21"/>
      <c r="P1656" s="21"/>
      <c r="Q1656" s="21"/>
      <c r="R1656" s="21"/>
      <c r="S1656" s="21"/>
      <c r="T1656" s="21"/>
      <c r="U1656" s="22">
        <f>IFERROR(__xludf.DUMMYFUNCTION("IFERROR(GOOGLEFINANCE(A1656,""closeyest""),"""")"),84.9)</f>
        <v>84.9</v>
      </c>
      <c r="V1656" s="23">
        <f>IFERROR(__xludf.DUMMYFUNCTION("IFERROR(GOOGLEFINANCE(A1656,""changepct""),"""")"),0.47)</f>
        <v>0.47</v>
      </c>
      <c r="W1656" s="22">
        <f>IFERROR(__xludf.DUMMYFUNCTION("IFERROR(GOOGLEFINANCE(A1656,""priceopen""),"""")"),85.7)</f>
        <v>85.7</v>
      </c>
      <c r="X1656" s="22">
        <f>IFERROR(__xludf.DUMMYFUNCTION("IFERROR(GOOGLEFINANCE(A1656,""high""),"""")"),85.95)</f>
        <v>85.95</v>
      </c>
      <c r="Y1656" s="22">
        <f>IFERROR(__xludf.DUMMYFUNCTION("IFERROR(GOOGLEFINANCE(A1656,""low""),"""")"),84.7)</f>
        <v>84.7</v>
      </c>
      <c r="Z1656" s="22">
        <f>IFERROR(__xludf.DUMMYFUNCTION("IFERROR(GOOGLEFINANCE(A1656,""volume""),"""")"),3936769.0)</f>
        <v>3936769</v>
      </c>
      <c r="AA1656" s="24" t="str">
        <f>VLOOKUP(A1656,Metrik!$C$2:$Y$959,5,0)</f>
        <v>Wireless Telecommunication Services</v>
      </c>
      <c r="AB1656" s="24" t="str">
        <f>VLOOKUP(A1656,Metrik!$C$2:$Y$959,3,0)</f>
        <v>Infrastructures</v>
      </c>
    </row>
    <row r="1657">
      <c r="A1657" s="14" t="s">
        <v>907</v>
      </c>
      <c r="B1657" s="14" t="str">
        <f t="array" ref="B1657">VLOOKUP(A1657,{Metrik!$C$2:$C$998,Metrik!$B$2:$B$998},2,0)</f>
        <v>Super Energy Tbk.</v>
      </c>
      <c r="C1657" s="15">
        <f>IFERROR(__xludf.DUMMYFUNCTION("GOOGLEFINANCE(""IDX:""&amp;A1657,""price"")"),3090.0)</f>
        <v>3090</v>
      </c>
      <c r="D1657" s="16" t="str">
        <f>IFERROR(__xludf.DUMMYFUNCTION("IF(A1657="""","""",
SPARKLINE(
INDEX(
GOOGLEFINANCE(""IDX:""&amp;A1657,""close"",TODAY()-365,TODAY()),
,2
),
{""linewidth"",1}
))
"),"#N/A")</f>
        <v>#N/A</v>
      </c>
      <c r="E1657" s="26"/>
      <c r="F1657" s="26"/>
      <c r="G1657" s="24">
        <f t="shared" si="9"/>
        <v>0</v>
      </c>
      <c r="H1657" s="19">
        <f>VLOOKUP(A1657,Metrik!$C$2:$Y$959,8,0)</f>
        <v>-200</v>
      </c>
      <c r="I1657" s="20">
        <f>VLOOKUP(A1657,Metrik!$C$2:$Y$959,9,0)</f>
        <v>17.2</v>
      </c>
      <c r="J1657" s="20">
        <f>VLOOKUP(A1657,Metrik!$C$2:$Y$959,10,0)</f>
        <v>-8.6</v>
      </c>
      <c r="K1657" s="20">
        <f>VLOOKUP(A1657,Metrik!$C$2:$Y$959,11,0)</f>
        <v>-1.2</v>
      </c>
      <c r="L1657" s="20">
        <f>VLOOKUP(A1657,Metrik!$C$2:$Y$959,12,0)</f>
        <v>6.2</v>
      </c>
      <c r="M1657" s="20">
        <f>VLOOKUP(A1657,Metrik!$C$2:$Y$959,19,0)</f>
        <v>-11.2</v>
      </c>
      <c r="N1657" s="21"/>
      <c r="O1657" s="21"/>
      <c r="P1657" s="21"/>
      <c r="Q1657" s="21"/>
      <c r="R1657" s="21"/>
      <c r="S1657" s="21"/>
      <c r="T1657" s="21"/>
      <c r="U1657" s="22">
        <f>IFERROR(__xludf.DUMMYFUNCTION("IFERROR(GOOGLEFINANCE(A1657,""closeyest""),"""")"),144.15)</f>
        <v>144.15</v>
      </c>
      <c r="V1657" s="23">
        <f>IFERROR(__xludf.DUMMYFUNCTION("IFERROR(GOOGLEFINANCE(A1657,""changepct""),"""")"),0.42)</f>
        <v>0.42</v>
      </c>
      <c r="W1657" s="22" t="str">
        <f>IFERROR(__xludf.DUMMYFUNCTION("IFERROR(GOOGLEFINANCE(A1657,""priceopen""),"""")"),"")</f>
        <v/>
      </c>
      <c r="X1657" s="22">
        <f>IFERROR(__xludf.DUMMYFUNCTION("IFERROR(GOOGLEFINANCE(A1657,""high""),"""")"),144.75)</f>
        <v>144.75</v>
      </c>
      <c r="Y1657" s="22">
        <f>IFERROR(__xludf.DUMMYFUNCTION("IFERROR(GOOGLEFINANCE(A1657,""low""),"""")"),144.36)</f>
        <v>144.36</v>
      </c>
      <c r="Z1657" s="22">
        <f>IFERROR(__xludf.DUMMYFUNCTION("IFERROR(GOOGLEFINANCE(A1657,""volume""),"""")"),1.0)</f>
        <v>1</v>
      </c>
      <c r="AA1657" s="24" t="str">
        <f>VLOOKUP(A1657,Metrik!$C$2:$Y$959,5,0)</f>
        <v>Oil &amp; Gas</v>
      </c>
      <c r="AB1657" s="24" t="str">
        <f>VLOOKUP(A1657,Metrik!$C$2:$Y$959,3,0)</f>
        <v>Energy</v>
      </c>
    </row>
    <row r="1658">
      <c r="A1658" s="17" t="s">
        <v>908</v>
      </c>
      <c r="B1658" s="14" t="str">
        <f t="array" ref="B1658">VLOOKUP(A1658,{Metrik!$C$2:$C$998,Metrik!$B$2:$B$998},2,0)</f>
        <v>PT Maja Agung Latexindo Tbk.</v>
      </c>
      <c r="C1658" s="15">
        <f>IFERROR(__xludf.DUMMYFUNCTION("GOOGLEFINANCE(""IDX:""&amp;A1658,""price"")"),59.0)</f>
        <v>59</v>
      </c>
      <c r="D1658" s="16" t="str">
        <f>IFERROR(__xludf.DUMMYFUNCTION("IF(A1658="""","""",
SPARKLINE(
INDEX(
GOOGLEFINANCE(""IDX:""&amp;A1658,""close"",TODAY()-365,TODAY()),
,2
),
{""linewidth"",1}
))
"),"#N/A")</f>
        <v>#N/A</v>
      </c>
      <c r="E1658" s="14"/>
      <c r="F1658" s="17"/>
      <c r="G1658" s="18">
        <f t="shared" si="9"/>
        <v>0</v>
      </c>
      <c r="H1658" s="19">
        <f>VLOOKUP(A1658,Metrik!$C$2:$Y$959,8,0)</f>
        <v>-2430</v>
      </c>
      <c r="I1658" s="20">
        <f>VLOOKUP(A1658,Metrik!$C$2:$Y$959,9,0)</f>
        <v>1.3</v>
      </c>
      <c r="J1658" s="20">
        <f>VLOOKUP(A1658,Metrik!$C$2:$Y$959,10,0)</f>
        <v>-0.05</v>
      </c>
      <c r="K1658" s="20">
        <f>VLOOKUP(A1658,Metrik!$C$2:$Y$959,11,0)</f>
        <v>-0.05</v>
      </c>
      <c r="L1658" s="20">
        <f>VLOOKUP(A1658,Metrik!$C$2:$Y$959,12,0)</f>
        <v>0.13</v>
      </c>
      <c r="M1658" s="20">
        <f>VLOOKUP(A1658,Metrik!$C$2:$Y$959,19,0)</f>
        <v>-0.5</v>
      </c>
      <c r="N1658" s="21"/>
      <c r="O1658" s="21"/>
      <c r="P1658" s="21"/>
      <c r="Q1658" s="21"/>
      <c r="R1658" s="21"/>
      <c r="S1658" s="21"/>
      <c r="T1658" s="21"/>
      <c r="U1658" s="22">
        <f>IFERROR(__xludf.DUMMYFUNCTION("IFERROR(GOOGLEFINANCE(A1658,""closeyest""),"""")"),17.59)</f>
        <v>17.59</v>
      </c>
      <c r="V1658" s="23">
        <f>IFERROR(__xludf.DUMMYFUNCTION("IFERROR(GOOGLEFINANCE(A1658,""changepct""),"""")"),-0.32)</f>
        <v>-0.32</v>
      </c>
      <c r="W1658" s="22">
        <f>IFERROR(__xludf.DUMMYFUNCTION("IFERROR(GOOGLEFINANCE(A1658,""priceopen""),"""")"),17.5)</f>
        <v>17.5</v>
      </c>
      <c r="X1658" s="22" t="str">
        <f>IFERROR(__xludf.DUMMYFUNCTION("IFERROR(GOOGLEFINANCE(A1658,""high""),"""")"),"")</f>
        <v/>
      </c>
      <c r="Y1658" s="22">
        <f>IFERROR(__xludf.DUMMYFUNCTION("IFERROR(GOOGLEFINANCE(A1658,""low""),"""")"),17.5)</f>
        <v>17.5</v>
      </c>
      <c r="Z1658" s="22">
        <f>IFERROR(__xludf.DUMMYFUNCTION("IFERROR(GOOGLEFINANCE(A1658,""volume""),"""")"),354.0)</f>
        <v>354</v>
      </c>
      <c r="AA1658" s="24" t="str">
        <f>VLOOKUP(A1658,Metrik!$C$2:$Y$959,5,0)</f>
        <v>Healthcare Equipment &amp; Supplies</v>
      </c>
      <c r="AB1658" s="24" t="str">
        <f>VLOOKUP(A1658,Metrik!$C$2:$Y$959,3,0)</f>
        <v>Healthcare</v>
      </c>
    </row>
    <row r="1659">
      <c r="A1659" s="14" t="s">
        <v>909</v>
      </c>
      <c r="B1659" s="14" t="str">
        <f t="array" ref="B1659">VLOOKUP(A1659,{Metrik!$C$2:$C$998,Metrik!$B$2:$B$998},2,0)</f>
        <v>Sriwahana Adityakarta Tbk.</v>
      </c>
      <c r="C1659" s="15">
        <f>IFERROR(__xludf.DUMMYFUNCTION("GOOGLEFINANCE(""IDX:""&amp;A1659,""price"")"),16.0)</f>
        <v>16</v>
      </c>
      <c r="D1659" s="16" t="str">
        <f>IFERROR(__xludf.DUMMYFUNCTION("IF(A1659="""","""",
SPARKLINE(
INDEX(
GOOGLEFINANCE(""IDX:""&amp;A1659,""close"",TODAY()-365,TODAY()),
,2
),
{""linewidth"",1}
))
"),"#N/A")</f>
        <v>#N/A</v>
      </c>
      <c r="E1659" s="26"/>
      <c r="F1659" s="26"/>
      <c r="G1659" s="24">
        <f t="shared" si="9"/>
        <v>0</v>
      </c>
      <c r="H1659" s="19">
        <f>VLOOKUP(A1659,Metrik!$C$2:$Y$959,8,0)</f>
        <v>0</v>
      </c>
      <c r="I1659" s="20">
        <f>VLOOKUP(A1659,Metrik!$C$2:$Y$959,9,0)</f>
        <v>0.79</v>
      </c>
      <c r="J1659" s="20">
        <f>VLOOKUP(A1659,Metrik!$C$2:$Y$959,10,0)</f>
        <v>-230</v>
      </c>
      <c r="K1659" s="20">
        <f>VLOOKUP(A1659,Metrik!$C$2:$Y$959,11,0)</f>
        <v>-29.6</v>
      </c>
      <c r="L1659" s="20">
        <f>VLOOKUP(A1659,Metrik!$C$2:$Y$959,12,0)</f>
        <v>6.9</v>
      </c>
      <c r="M1659" s="20">
        <f>VLOOKUP(A1659,Metrik!$C$2:$Y$959,19,0)</f>
        <v>-80.8</v>
      </c>
      <c r="N1659" s="21"/>
      <c r="O1659" s="21"/>
      <c r="P1659" s="21"/>
      <c r="Q1659" s="21"/>
      <c r="R1659" s="21"/>
      <c r="S1659" s="21"/>
      <c r="T1659" s="21"/>
      <c r="U1659" s="22">
        <f>IFERROR(__xludf.DUMMYFUNCTION("IFERROR(GOOGLEFINANCE(A1659,""closeyest""),"""")"),16.0)</f>
        <v>16</v>
      </c>
      <c r="V1659" s="23">
        <f>IFERROR(__xludf.DUMMYFUNCTION("IFERROR(GOOGLEFINANCE(A1659,""changepct""),"""")"),0.0)</f>
        <v>0</v>
      </c>
      <c r="W1659" s="22" t="str">
        <f>IFERROR(__xludf.DUMMYFUNCTION("IFERROR(GOOGLEFINANCE(A1659,""priceopen""),"""")"),"")</f>
        <v/>
      </c>
      <c r="X1659" s="22" t="str">
        <f>IFERROR(__xludf.DUMMYFUNCTION("IFERROR(GOOGLEFINANCE(A1659,""high""),"""")"),"")</f>
        <v/>
      </c>
      <c r="Y1659" s="22" t="str">
        <f>IFERROR(__xludf.DUMMYFUNCTION("IFERROR(GOOGLEFINANCE(A1659,""low""),"""")"),"")</f>
        <v/>
      </c>
      <c r="Z1659" s="22">
        <f>IFERROR(__xludf.DUMMYFUNCTION("IFERROR(GOOGLEFINANCE(A1659,""volume""),"""")"),0.0)</f>
        <v>0</v>
      </c>
      <c r="AA1659" s="24" t="str">
        <f>VLOOKUP(A1659,Metrik!$C$2:$Y$959,5,0)</f>
        <v>Forestry &amp; Paper</v>
      </c>
      <c r="AB1659" s="24" t="str">
        <f>VLOOKUP(A1659,Metrik!$C$2:$Y$959,3,0)</f>
        <v>Basic Materials</v>
      </c>
    </row>
    <row r="1660">
      <c r="A1660" s="14" t="s">
        <v>910</v>
      </c>
      <c r="B1660" s="14" t="str">
        <f t="array" ref="B1660">VLOOKUP(A1660,{Metrik!$C$2:$C$998,Metrik!$B$2:$B$998},2,0)</f>
        <v>Saraswanti Indoland Development Tbk.</v>
      </c>
      <c r="C1660" s="15">
        <f>IFERROR(__xludf.DUMMYFUNCTION("GOOGLEFINANCE(""IDX:""&amp;A1660,""price"")"),88.0)</f>
        <v>88</v>
      </c>
      <c r="D1660" s="16" t="str">
        <f>IFERROR(__xludf.DUMMYFUNCTION("IF(A1660="""","""",
SPARKLINE(
INDEX(
GOOGLEFINANCE(""IDX:""&amp;A1660,""close"",TODAY()-365,TODAY()),
,2
),
{""linewidth"",1}
))
"),"#N/A")</f>
        <v>#N/A</v>
      </c>
      <c r="E1660" s="26"/>
      <c r="F1660" s="26"/>
      <c r="G1660" s="24">
        <f t="shared" si="9"/>
        <v>0</v>
      </c>
      <c r="H1660" s="19">
        <f>VLOOKUP(A1660,Metrik!$C$2:$Y$959,8,0)</f>
        <v>11.2</v>
      </c>
      <c r="I1660" s="20">
        <f>VLOOKUP(A1660,Metrik!$C$2:$Y$959,9,0)</f>
        <v>1.8</v>
      </c>
      <c r="J1660" s="20">
        <f>VLOOKUP(A1660,Metrik!$C$2:$Y$959,10,0)</f>
        <v>15.9</v>
      </c>
      <c r="K1660" s="20">
        <f>VLOOKUP(A1660,Metrik!$C$2:$Y$959,11,0)</f>
        <v>8.6</v>
      </c>
      <c r="L1660" s="20">
        <f>VLOOKUP(A1660,Metrik!$C$2:$Y$959,12,0)</f>
        <v>0.84</v>
      </c>
      <c r="M1660" s="20">
        <f>VLOOKUP(A1660,Metrik!$C$2:$Y$959,19,0)</f>
        <v>150</v>
      </c>
      <c r="N1660" s="21"/>
      <c r="O1660" s="21"/>
      <c r="P1660" s="21"/>
      <c r="Q1660" s="21"/>
      <c r="R1660" s="21"/>
      <c r="S1660" s="21"/>
      <c r="T1660" s="21"/>
      <c r="U1660" s="22" t="str">
        <f>IFERROR(__xludf.DUMMYFUNCTION("IFERROR(GOOGLEFINANCE(A1660,""closeyest""),"""")"),"")</f>
        <v/>
      </c>
      <c r="V1660" s="23">
        <f>IFERROR(__xludf.DUMMYFUNCTION("IFERROR(GOOGLEFINANCE(A1660,""changepct""),"""")"),2.33)</f>
        <v>2.33</v>
      </c>
      <c r="W1660" s="22">
        <f>IFERROR(__xludf.DUMMYFUNCTION("IFERROR(GOOGLEFINANCE(A1660,""priceopen""),"""")"),86.0)</f>
        <v>86</v>
      </c>
      <c r="X1660" s="22">
        <f>IFERROR(__xludf.DUMMYFUNCTION("IFERROR(GOOGLEFINANCE(A1660,""high""),"""")"),88.0)</f>
        <v>88</v>
      </c>
      <c r="Y1660" s="22">
        <f>IFERROR(__xludf.DUMMYFUNCTION("IFERROR(GOOGLEFINANCE(A1660,""low""),"""")"),85.0)</f>
        <v>85</v>
      </c>
      <c r="Z1660" s="22">
        <f>IFERROR(__xludf.DUMMYFUNCTION("IFERROR(GOOGLEFINANCE(A1660,""volume""),"""")"),3671800.0)</f>
        <v>3671800</v>
      </c>
      <c r="AA1660" s="24" t="str">
        <f>VLOOKUP(A1660,Metrik!$C$2:$Y$959,5,0)</f>
        <v>Tourism &amp; Recreation</v>
      </c>
      <c r="AB1660" s="24" t="str">
        <f>VLOOKUP(A1660,Metrik!$C$2:$Y$959,3,0)</f>
        <v>Consumer Cyclicals</v>
      </c>
    </row>
    <row r="1661">
      <c r="A1661" s="14" t="s">
        <v>911</v>
      </c>
      <c r="B1661" s="14" t="str">
        <f t="array" ref="B1661">VLOOKUP(A1661,{Metrik!$C$2:$C$998,Metrik!$B$2:$B$998},2,0)</f>
        <v>Tunas Alfin Tbk.</v>
      </c>
      <c r="C1661" s="15">
        <f>IFERROR(__xludf.DUMMYFUNCTION("GOOGLEFINANCE(""IDX:""&amp;A1661,""price"")"),685.0)</f>
        <v>685</v>
      </c>
      <c r="D1661" s="16" t="str">
        <f>IFERROR(__xludf.DUMMYFUNCTION("IF(A1661="""","""",
SPARKLINE(
INDEX(
GOOGLEFINANCE(""IDX:""&amp;A1661,""close"",TODAY()-365,TODAY()),
,2
),
{""linewidth"",1}
))
"),"#N/A")</f>
        <v>#N/A</v>
      </c>
      <c r="E1661" s="26"/>
      <c r="F1661" s="26"/>
      <c r="G1661" s="24">
        <f t="shared" si="9"/>
        <v>0</v>
      </c>
      <c r="H1661" s="19">
        <f>VLOOKUP(A1661,Metrik!$C$2:$Y$959,8,0)</f>
        <v>23.9</v>
      </c>
      <c r="I1661" s="20">
        <f>VLOOKUP(A1661,Metrik!$C$2:$Y$959,9,0)</f>
        <v>0.72</v>
      </c>
      <c r="J1661" s="20">
        <f>VLOOKUP(A1661,Metrik!$C$2:$Y$959,10,0)</f>
        <v>3</v>
      </c>
      <c r="K1661" s="20">
        <f>VLOOKUP(A1661,Metrik!$C$2:$Y$959,11,0)</f>
        <v>2.2</v>
      </c>
      <c r="L1661" s="20">
        <f>VLOOKUP(A1661,Metrik!$C$2:$Y$959,12,0)</f>
        <v>0.38</v>
      </c>
      <c r="M1661" s="20">
        <f>VLOOKUP(A1661,Metrik!$C$2:$Y$959,19,0)</f>
        <v>13.7</v>
      </c>
      <c r="N1661" s="21"/>
      <c r="O1661" s="21"/>
      <c r="P1661" s="21"/>
      <c r="Q1661" s="21"/>
      <c r="R1661" s="21"/>
      <c r="S1661" s="21"/>
      <c r="T1661" s="21"/>
      <c r="U1661" s="22">
        <f>IFERROR(__xludf.DUMMYFUNCTION("IFERROR(GOOGLEFINANCE(A1661,""closeyest""),"""")"),660.0)</f>
        <v>660</v>
      </c>
      <c r="V1661" s="23">
        <f>IFERROR(__xludf.DUMMYFUNCTION("IFERROR(GOOGLEFINANCE(A1661,""changepct""),"""")"),3.79)</f>
        <v>3.79</v>
      </c>
      <c r="W1661" s="22">
        <f>IFERROR(__xludf.DUMMYFUNCTION("IFERROR(GOOGLEFINANCE(A1661,""priceopen""),"""")"),690.0)</f>
        <v>690</v>
      </c>
      <c r="X1661" s="22">
        <f>IFERROR(__xludf.DUMMYFUNCTION("IFERROR(GOOGLEFINANCE(A1661,""high""),"""")"),690.0)</f>
        <v>690</v>
      </c>
      <c r="Y1661" s="22">
        <f>IFERROR(__xludf.DUMMYFUNCTION("IFERROR(GOOGLEFINANCE(A1661,""low""),"""")"),660.0)</f>
        <v>660</v>
      </c>
      <c r="Z1661" s="22">
        <f>IFERROR(__xludf.DUMMYFUNCTION("IFERROR(GOOGLEFINANCE(A1661,""volume""),"""")"),236300.0)</f>
        <v>236300</v>
      </c>
      <c r="AA1661" s="24" t="str">
        <f>VLOOKUP(A1661,Metrik!$C$2:$Y$959,5,0)</f>
        <v>Containers &amp; Packaging</v>
      </c>
      <c r="AB1661" s="24" t="str">
        <f>VLOOKUP(A1661,Metrik!$C$2:$Y$959,3,0)</f>
        <v>Basic Materials</v>
      </c>
    </row>
    <row r="1662">
      <c r="A1662" s="14" t="s">
        <v>912</v>
      </c>
      <c r="B1662" s="14" t="str">
        <f t="array" ref="B1662">VLOOKUP(A1662,{Metrik!$C$2:$C$998,Metrik!$B$2:$B$998},2,0)</f>
        <v>Lancartama Sejati Tbk.</v>
      </c>
      <c r="C1662" s="15">
        <f>IFERROR(__xludf.DUMMYFUNCTION("GOOGLEFINANCE(""IDX:""&amp;A1662,""price"")"),145.0)</f>
        <v>145</v>
      </c>
      <c r="D1662" s="16" t="str">
        <f>IFERROR(__xludf.DUMMYFUNCTION("IF(A1662="""","""",
SPARKLINE(
INDEX(
GOOGLEFINANCE(""IDX:""&amp;A1662,""close"",TODAY()-365,TODAY()),
,2
),
{""linewidth"",1}
))
"),"#N/A")</f>
        <v>#N/A</v>
      </c>
      <c r="E1662" s="26"/>
      <c r="F1662" s="26"/>
      <c r="G1662" s="24">
        <f t="shared" si="9"/>
        <v>0</v>
      </c>
      <c r="H1662" s="19">
        <f>VLOOKUP(A1662,Metrik!$C$2:$Y$959,8,0)</f>
        <v>-13.3</v>
      </c>
      <c r="I1662" s="20">
        <f>VLOOKUP(A1662,Metrik!$C$2:$Y$959,9,0)</f>
        <v>7.5</v>
      </c>
      <c r="J1662" s="20">
        <f>VLOOKUP(A1662,Metrik!$C$2:$Y$959,10,0)</f>
        <v>-56.3</v>
      </c>
      <c r="K1662" s="20">
        <f>VLOOKUP(A1662,Metrik!$C$2:$Y$959,11,0)</f>
        <v>-3.9</v>
      </c>
      <c r="L1662" s="20">
        <f>VLOOKUP(A1662,Metrik!$C$2:$Y$959,12,0)</f>
        <v>4.6</v>
      </c>
      <c r="M1662" s="20">
        <f>VLOOKUP(A1662,Metrik!$C$2:$Y$959,19,0)</f>
        <v>-89.6</v>
      </c>
      <c r="N1662" s="21"/>
      <c r="O1662" s="21"/>
      <c r="P1662" s="21"/>
      <c r="Q1662" s="21"/>
      <c r="R1662" s="21"/>
      <c r="S1662" s="21"/>
      <c r="T1662" s="21"/>
      <c r="U1662" s="22">
        <f>IFERROR(__xludf.DUMMYFUNCTION("IFERROR(GOOGLEFINANCE(A1662,""closeyest""),"""")"),138.0)</f>
        <v>138</v>
      </c>
      <c r="V1662" s="23">
        <f>IFERROR(__xludf.DUMMYFUNCTION("IFERROR(GOOGLEFINANCE(A1662,""changepct""),"""")"),5.07)</f>
        <v>5.07</v>
      </c>
      <c r="W1662" s="22">
        <f>IFERROR(__xludf.DUMMYFUNCTION("IFERROR(GOOGLEFINANCE(A1662,""priceopen""),"""")"),153.0)</f>
        <v>153</v>
      </c>
      <c r="X1662" s="22">
        <f>IFERROR(__xludf.DUMMYFUNCTION("IFERROR(GOOGLEFINANCE(A1662,""high""),"""")"),153.0)</f>
        <v>153</v>
      </c>
      <c r="Y1662" s="22">
        <f>IFERROR(__xludf.DUMMYFUNCTION("IFERROR(GOOGLEFINANCE(A1662,""low""),"""")"),139.0)</f>
        <v>139</v>
      </c>
      <c r="Z1662" s="22">
        <f>IFERROR(__xludf.DUMMYFUNCTION("IFERROR(GOOGLEFINANCE(A1662,""volume""),"""")"),3187200.0)</f>
        <v>3187200</v>
      </c>
      <c r="AA1662" s="24" t="str">
        <f>VLOOKUP(A1662,Metrik!$C$2:$Y$959,5,0)</f>
        <v>Heavy Constructions &amp; Civil Engineering</v>
      </c>
      <c r="AB1662" s="24" t="str">
        <f>VLOOKUP(A1662,Metrik!$C$2:$Y$959,3,0)</f>
        <v>Infrastructures</v>
      </c>
    </row>
    <row r="1663">
      <c r="A1663" s="14" t="s">
        <v>913</v>
      </c>
      <c r="B1663" s="14" t="str">
        <f t="array" ref="B1663">VLOOKUP(A1663,{Metrik!$C$2:$C$998,Metrik!$B$2:$B$998},2,0)</f>
        <v>PT Pelayaran Tamarin Samudra Tbk.</v>
      </c>
      <c r="C1663" s="15">
        <f>IFERROR(__xludf.DUMMYFUNCTION("GOOGLEFINANCE(""IDX:""&amp;A1663,""price"")"),20.0)</f>
        <v>20</v>
      </c>
      <c r="D1663" s="16" t="str">
        <f>IFERROR(__xludf.DUMMYFUNCTION("IF(A1663="""","""",
SPARKLINE(
INDEX(
GOOGLEFINANCE(""IDX:""&amp;A1663,""close"",TODAY()-365,TODAY()),
,2
),
{""linewidth"",1}
))
"),"#N/A")</f>
        <v>#N/A</v>
      </c>
      <c r="E1663" s="26"/>
      <c r="F1663" s="26"/>
      <c r="G1663" s="24">
        <f t="shared" si="9"/>
        <v>0</v>
      </c>
      <c r="H1663" s="19">
        <f>VLOOKUP(A1663,Metrik!$C$2:$Y$959,8,0)</f>
        <v>-3.7</v>
      </c>
      <c r="I1663" s="20">
        <f>VLOOKUP(A1663,Metrik!$C$2:$Y$959,9,0)</f>
        <v>2.5</v>
      </c>
      <c r="J1663" s="20">
        <f>VLOOKUP(A1663,Metrik!$C$2:$Y$959,10,0)</f>
        <v>-67</v>
      </c>
      <c r="K1663" s="20">
        <f>VLOOKUP(A1663,Metrik!$C$2:$Y$959,11,0)</f>
        <v>-38.1</v>
      </c>
      <c r="L1663" s="20">
        <f>VLOOKUP(A1663,Metrik!$C$2:$Y$959,12,0)</f>
        <v>0.76</v>
      </c>
      <c r="M1663" s="20">
        <f>VLOOKUP(A1663,Metrik!$C$2:$Y$959,19,0)</f>
        <v>-400</v>
      </c>
      <c r="N1663" s="21"/>
      <c r="O1663" s="21"/>
      <c r="P1663" s="21"/>
      <c r="Q1663" s="21"/>
      <c r="R1663" s="21"/>
      <c r="S1663" s="21"/>
      <c r="T1663" s="21"/>
      <c r="U1663" s="22">
        <f>IFERROR(__xludf.DUMMYFUNCTION("IFERROR(GOOGLEFINANCE(A1663,""closeyest""),"""")"),19.0)</f>
        <v>19</v>
      </c>
      <c r="V1663" s="23">
        <f>IFERROR(__xludf.DUMMYFUNCTION("IFERROR(GOOGLEFINANCE(A1663,""changepct""),"""")"),5.26)</f>
        <v>5.26</v>
      </c>
      <c r="W1663" s="22">
        <f>IFERROR(__xludf.DUMMYFUNCTION("IFERROR(GOOGLEFINANCE(A1663,""priceopen""),"""")"),20.0)</f>
        <v>20</v>
      </c>
      <c r="X1663" s="22">
        <f>IFERROR(__xludf.DUMMYFUNCTION("IFERROR(GOOGLEFINANCE(A1663,""high""),"""")"),20.0)</f>
        <v>20</v>
      </c>
      <c r="Y1663" s="22">
        <f>IFERROR(__xludf.DUMMYFUNCTION("IFERROR(GOOGLEFINANCE(A1663,""low""),"""")"),20.0)</f>
        <v>20</v>
      </c>
      <c r="Z1663" s="22">
        <f>IFERROR(__xludf.DUMMYFUNCTION("IFERROR(GOOGLEFINANCE(A1663,""volume""),"""")"),3240000.0)</f>
        <v>3240000</v>
      </c>
      <c r="AA1663" s="24" t="str">
        <f>VLOOKUP(A1663,Metrik!$C$2:$Y$959,5,0)</f>
        <v>Oil, Gas &amp; Coal Supports</v>
      </c>
      <c r="AB1663" s="24" t="str">
        <f>VLOOKUP(A1663,Metrik!$C$2:$Y$959,3,0)</f>
        <v>Energy</v>
      </c>
    </row>
    <row r="1664">
      <c r="A1664" s="14" t="s">
        <v>914</v>
      </c>
      <c r="B1664" s="14" t="str">
        <f t="array" ref="B1664">VLOOKUP(A1664,{Metrik!$C$2:$C$998,Metrik!$B$2:$B$998},2,0)</f>
        <v>Triputra Agro Persada Tbk.</v>
      </c>
      <c r="C1664" s="15">
        <f>IFERROR(__xludf.DUMMYFUNCTION("GOOGLEFINANCE(""IDX:""&amp;A1664,""price"")"),1490.0)</f>
        <v>1490</v>
      </c>
      <c r="D1664" s="16" t="str">
        <f>IFERROR(__xludf.DUMMYFUNCTION("IF(A1664="""","""",
SPARKLINE(
INDEX(
GOOGLEFINANCE(""IDX:""&amp;A1664,""close"",TODAY()-365,TODAY()),
,2
),
{""linewidth"",1}
))
"),"#N/A")</f>
        <v>#N/A</v>
      </c>
      <c r="E1664" s="14" t="s">
        <v>47</v>
      </c>
      <c r="F1664" s="25">
        <v>46356.0</v>
      </c>
      <c r="G1664" s="18">
        <f t="shared" si="9"/>
        <v>12</v>
      </c>
      <c r="H1664" s="19">
        <f>VLOOKUP(A1664,Metrik!$C$2:$Y$959,8,0)</f>
        <v>8.3</v>
      </c>
      <c r="I1664" s="20">
        <f>VLOOKUP(A1664,Metrik!$C$2:$Y$959,9,0)</f>
        <v>2.4</v>
      </c>
      <c r="J1664" s="20">
        <f>VLOOKUP(A1664,Metrik!$C$2:$Y$959,10,0)</f>
        <v>29.2</v>
      </c>
      <c r="K1664" s="20">
        <f>VLOOKUP(A1664,Metrik!$C$2:$Y$959,11,0)</f>
        <v>23.6</v>
      </c>
      <c r="L1664" s="20">
        <f>VLOOKUP(A1664,Metrik!$C$2:$Y$959,12,0)</f>
        <v>0.24</v>
      </c>
      <c r="M1664" s="20">
        <f>VLOOKUP(A1664,Metrik!$C$2:$Y$959,19,0)</f>
        <v>150</v>
      </c>
      <c r="N1664" s="21"/>
      <c r="O1664" s="21"/>
      <c r="P1664" s="21"/>
      <c r="Q1664" s="21"/>
      <c r="R1664" s="21"/>
      <c r="S1664" s="21"/>
      <c r="T1664" s="21"/>
      <c r="U1664" s="22">
        <f>IFERROR(__xludf.DUMMYFUNCTION("IFERROR(GOOGLEFINANCE(A1664,""closeyest""),"""")"),1370.0)</f>
        <v>1370</v>
      </c>
      <c r="V1664" s="23">
        <f>IFERROR(__xludf.DUMMYFUNCTION("IFERROR(GOOGLEFINANCE(A1664,""changepct""),"""")"),8.76)</f>
        <v>8.76</v>
      </c>
      <c r="W1664" s="22">
        <f>IFERROR(__xludf.DUMMYFUNCTION("IFERROR(GOOGLEFINANCE(A1664,""priceopen""),"""")"),1380.0)</f>
        <v>1380</v>
      </c>
      <c r="X1664" s="22">
        <f>IFERROR(__xludf.DUMMYFUNCTION("IFERROR(GOOGLEFINANCE(A1664,""high""),"""")"),1550.0)</f>
        <v>1550</v>
      </c>
      <c r="Y1664" s="22">
        <f>IFERROR(__xludf.DUMMYFUNCTION("IFERROR(GOOGLEFINANCE(A1664,""low""),"""")"),1380.0)</f>
        <v>1380</v>
      </c>
      <c r="Z1664" s="22">
        <f>IFERROR(__xludf.DUMMYFUNCTION("IFERROR(GOOGLEFINANCE(A1664,""volume""),"""")"),2.37826E7)</f>
        <v>23782600</v>
      </c>
      <c r="AA1664" s="24" t="str">
        <f>VLOOKUP(A1664,Metrik!$C$2:$Y$959,5,0)</f>
        <v>Agricultural Products</v>
      </c>
      <c r="AB1664" s="24" t="str">
        <f>VLOOKUP(A1664,Metrik!$C$2:$Y$959,3,0)</f>
        <v>Consumer Non-Cyclicals</v>
      </c>
    </row>
    <row r="1665">
      <c r="A1665" s="14" t="s">
        <v>914</v>
      </c>
      <c r="B1665" s="14" t="str">
        <f t="array" ref="B1665">VLOOKUP(A1665,{Metrik!$C$2:$C$998,Metrik!$B$2:$B$998},2,0)</f>
        <v>Triputra Agro Persada Tbk.</v>
      </c>
      <c r="C1665" s="15">
        <f>IFERROR(__xludf.DUMMYFUNCTION("GOOGLEFINANCE(""IDX:""&amp;A1665,""price"")"),1490.0)</f>
        <v>1490</v>
      </c>
      <c r="D1665" s="16" t="str">
        <f>IFERROR(__xludf.DUMMYFUNCTION("IF(A1665="""","""",
SPARKLINE(
INDEX(
GOOGLEFINANCE(""IDX:""&amp;A1665,""close"",TODAY()-365,TODAY()),
,2
),
{""linewidth"",1}
))
"),"#N/A")</f>
        <v>#N/A</v>
      </c>
      <c r="E1665" s="14" t="s">
        <v>65</v>
      </c>
      <c r="F1665" s="25">
        <v>46356.0</v>
      </c>
      <c r="G1665" s="18">
        <f t="shared" si="9"/>
        <v>12</v>
      </c>
      <c r="H1665" s="19">
        <f>VLOOKUP(A1665,Metrik!$C$2:$Y$959,8,0)</f>
        <v>8.3</v>
      </c>
      <c r="I1665" s="20">
        <f>VLOOKUP(A1665,Metrik!$C$2:$Y$959,9,0)</f>
        <v>2.4</v>
      </c>
      <c r="J1665" s="20">
        <f>VLOOKUP(A1665,Metrik!$C$2:$Y$959,10,0)</f>
        <v>29.2</v>
      </c>
      <c r="K1665" s="20">
        <f>VLOOKUP(A1665,Metrik!$C$2:$Y$959,11,0)</f>
        <v>23.6</v>
      </c>
      <c r="L1665" s="20">
        <f>VLOOKUP(A1665,Metrik!$C$2:$Y$959,12,0)</f>
        <v>0.24</v>
      </c>
      <c r="M1665" s="20">
        <f>VLOOKUP(A1665,Metrik!$C$2:$Y$959,19,0)</f>
        <v>150</v>
      </c>
      <c r="N1665" s="21"/>
      <c r="O1665" s="21"/>
      <c r="P1665" s="21"/>
      <c r="Q1665" s="21"/>
      <c r="R1665" s="21"/>
      <c r="S1665" s="21"/>
      <c r="T1665" s="21"/>
      <c r="U1665" s="22">
        <f>IFERROR(__xludf.DUMMYFUNCTION("IFERROR(GOOGLEFINANCE(A1665,""closeyest""),"""")"),1370.0)</f>
        <v>1370</v>
      </c>
      <c r="V1665" s="23">
        <f>IFERROR(__xludf.DUMMYFUNCTION("IFERROR(GOOGLEFINANCE(A1665,""changepct""),"""")"),8.76)</f>
        <v>8.76</v>
      </c>
      <c r="W1665" s="22">
        <f>IFERROR(__xludf.DUMMYFUNCTION("IFERROR(GOOGLEFINANCE(A1665,""priceopen""),"""")"),1380.0)</f>
        <v>1380</v>
      </c>
      <c r="X1665" s="22">
        <f>IFERROR(__xludf.DUMMYFUNCTION("IFERROR(GOOGLEFINANCE(A1665,""high""),"""")"),1550.0)</f>
        <v>1550</v>
      </c>
      <c r="Y1665" s="22">
        <f>IFERROR(__xludf.DUMMYFUNCTION("IFERROR(GOOGLEFINANCE(A1665,""low""),"""")"),1380.0)</f>
        <v>1380</v>
      </c>
      <c r="Z1665" s="22">
        <f>IFERROR(__xludf.DUMMYFUNCTION("IFERROR(GOOGLEFINANCE(A1665,""volume""),"""")"),2.37826E7)</f>
        <v>23782600</v>
      </c>
      <c r="AA1665" s="24" t="str">
        <f>VLOOKUP(A1665,Metrik!$C$2:$Y$959,5,0)</f>
        <v>Agricultural Products</v>
      </c>
      <c r="AB1665" s="24" t="str">
        <f>VLOOKUP(A1665,Metrik!$C$2:$Y$959,3,0)</f>
        <v>Consumer Non-Cyclicals</v>
      </c>
    </row>
    <row r="1666">
      <c r="A1666" s="14" t="s">
        <v>914</v>
      </c>
      <c r="B1666" s="14" t="str">
        <f t="array" ref="B1666">VLOOKUP(A1666,{Metrik!$C$2:$C$998,Metrik!$B$2:$B$998},2,0)</f>
        <v>Triputra Agro Persada Tbk.</v>
      </c>
      <c r="C1666" s="15">
        <f>IFERROR(__xludf.DUMMYFUNCTION("GOOGLEFINANCE(""IDX:""&amp;A1666,""price"")"),1490.0)</f>
        <v>1490</v>
      </c>
      <c r="D1666" s="16" t="str">
        <f>IFERROR(__xludf.DUMMYFUNCTION("IF(A1666="""","""",
SPARKLINE(
INDEX(
GOOGLEFINANCE(""IDX:""&amp;A1666,""close"",TODAY()-365,TODAY()),
,2
),
{""linewidth"",1}
))
"),"#N/A")</f>
        <v>#N/A</v>
      </c>
      <c r="E1666" s="14" t="s">
        <v>55</v>
      </c>
      <c r="F1666" s="25">
        <v>46356.0</v>
      </c>
      <c r="G1666" s="18">
        <f t="shared" si="9"/>
        <v>12</v>
      </c>
      <c r="H1666" s="19">
        <f>VLOOKUP(A1666,Metrik!$C$2:$Y$959,8,0)</f>
        <v>8.3</v>
      </c>
      <c r="I1666" s="20">
        <f>VLOOKUP(A1666,Metrik!$C$2:$Y$959,9,0)</f>
        <v>2.4</v>
      </c>
      <c r="J1666" s="20">
        <f>VLOOKUP(A1666,Metrik!$C$2:$Y$959,10,0)</f>
        <v>29.2</v>
      </c>
      <c r="K1666" s="20">
        <f>VLOOKUP(A1666,Metrik!$C$2:$Y$959,11,0)</f>
        <v>23.6</v>
      </c>
      <c r="L1666" s="20">
        <f>VLOOKUP(A1666,Metrik!$C$2:$Y$959,12,0)</f>
        <v>0.24</v>
      </c>
      <c r="M1666" s="20">
        <f>VLOOKUP(A1666,Metrik!$C$2:$Y$959,19,0)</f>
        <v>150</v>
      </c>
      <c r="N1666" s="21"/>
      <c r="O1666" s="21"/>
      <c r="P1666" s="21"/>
      <c r="Q1666" s="21"/>
      <c r="R1666" s="21"/>
      <c r="S1666" s="21"/>
      <c r="T1666" s="21"/>
      <c r="U1666" s="22">
        <f>IFERROR(__xludf.DUMMYFUNCTION("IFERROR(GOOGLEFINANCE(A1666,""closeyest""),"""")"),1370.0)</f>
        <v>1370</v>
      </c>
      <c r="V1666" s="23">
        <f>IFERROR(__xludf.DUMMYFUNCTION("IFERROR(GOOGLEFINANCE(A1666,""changepct""),"""")"),8.76)</f>
        <v>8.76</v>
      </c>
      <c r="W1666" s="22">
        <f>IFERROR(__xludf.DUMMYFUNCTION("IFERROR(GOOGLEFINANCE(A1666,""priceopen""),"""")"),1380.0)</f>
        <v>1380</v>
      </c>
      <c r="X1666" s="22">
        <f>IFERROR(__xludf.DUMMYFUNCTION("IFERROR(GOOGLEFINANCE(A1666,""high""),"""")"),1550.0)</f>
        <v>1550</v>
      </c>
      <c r="Y1666" s="22">
        <f>IFERROR(__xludf.DUMMYFUNCTION("IFERROR(GOOGLEFINANCE(A1666,""low""),"""")"),1380.0)</f>
        <v>1380</v>
      </c>
      <c r="Z1666" s="22">
        <f>IFERROR(__xludf.DUMMYFUNCTION("IFERROR(GOOGLEFINANCE(A1666,""volume""),"""")"),2.37826E7)</f>
        <v>23782600</v>
      </c>
      <c r="AA1666" s="24" t="str">
        <f>VLOOKUP(A1666,Metrik!$C$2:$Y$959,5,0)</f>
        <v>Agricultural Products</v>
      </c>
      <c r="AB1666" s="24" t="str">
        <f>VLOOKUP(A1666,Metrik!$C$2:$Y$959,3,0)</f>
        <v>Consumer Non-Cyclicals</v>
      </c>
    </row>
    <row r="1667">
      <c r="A1667" s="14" t="s">
        <v>914</v>
      </c>
      <c r="B1667" s="14" t="str">
        <f t="array" ref="B1667">VLOOKUP(A1667,{Metrik!$C$2:$C$998,Metrik!$B$2:$B$998},2,0)</f>
        <v>Triputra Agro Persada Tbk.</v>
      </c>
      <c r="C1667" s="15">
        <f>IFERROR(__xludf.DUMMYFUNCTION("GOOGLEFINANCE(""IDX:""&amp;A1667,""price"")"),1490.0)</f>
        <v>1490</v>
      </c>
      <c r="D1667" s="16" t="str">
        <f>IFERROR(__xludf.DUMMYFUNCTION("IF(A1667="""","""",
SPARKLINE(
INDEX(
GOOGLEFINANCE(""IDX:""&amp;A1667,""close"",TODAY()-365,TODAY()),
,2
),
{""linewidth"",1}
))
"),"#N/A")</f>
        <v>#N/A</v>
      </c>
      <c r="E1667" s="14" t="s">
        <v>48</v>
      </c>
      <c r="F1667" s="14" t="s">
        <v>49</v>
      </c>
      <c r="G1667" s="18">
        <f t="shared" si="9"/>
        <v>12</v>
      </c>
      <c r="H1667" s="19">
        <f>VLOOKUP(A1667,Metrik!$C$2:$Y$959,8,0)</f>
        <v>8.3</v>
      </c>
      <c r="I1667" s="20">
        <f>VLOOKUP(A1667,Metrik!$C$2:$Y$959,9,0)</f>
        <v>2.4</v>
      </c>
      <c r="J1667" s="20">
        <f>VLOOKUP(A1667,Metrik!$C$2:$Y$959,10,0)</f>
        <v>29.2</v>
      </c>
      <c r="K1667" s="20">
        <f>VLOOKUP(A1667,Metrik!$C$2:$Y$959,11,0)</f>
        <v>23.6</v>
      </c>
      <c r="L1667" s="20">
        <f>VLOOKUP(A1667,Metrik!$C$2:$Y$959,12,0)</f>
        <v>0.24</v>
      </c>
      <c r="M1667" s="20">
        <f>VLOOKUP(A1667,Metrik!$C$2:$Y$959,19,0)</f>
        <v>150</v>
      </c>
      <c r="N1667" s="21"/>
      <c r="O1667" s="21"/>
      <c r="P1667" s="21"/>
      <c r="Q1667" s="21"/>
      <c r="R1667" s="21"/>
      <c r="S1667" s="21"/>
      <c r="T1667" s="21"/>
      <c r="U1667" s="22">
        <f>IFERROR(__xludf.DUMMYFUNCTION("IFERROR(GOOGLEFINANCE(A1667,""closeyest""),"""")"),1370.0)</f>
        <v>1370</v>
      </c>
      <c r="V1667" s="23">
        <f>IFERROR(__xludf.DUMMYFUNCTION("IFERROR(GOOGLEFINANCE(A1667,""changepct""),"""")"),8.76)</f>
        <v>8.76</v>
      </c>
      <c r="W1667" s="22">
        <f>IFERROR(__xludf.DUMMYFUNCTION("IFERROR(GOOGLEFINANCE(A1667,""priceopen""),"""")"),1380.0)</f>
        <v>1380</v>
      </c>
      <c r="X1667" s="22">
        <f>IFERROR(__xludf.DUMMYFUNCTION("IFERROR(GOOGLEFINANCE(A1667,""high""),"""")"),1550.0)</f>
        <v>1550</v>
      </c>
      <c r="Y1667" s="22">
        <f>IFERROR(__xludf.DUMMYFUNCTION("IFERROR(GOOGLEFINANCE(A1667,""low""),"""")"),1380.0)</f>
        <v>1380</v>
      </c>
      <c r="Z1667" s="22">
        <f>IFERROR(__xludf.DUMMYFUNCTION("IFERROR(GOOGLEFINANCE(A1667,""volume""),"""")"),2.37826E7)</f>
        <v>23782600</v>
      </c>
      <c r="AA1667" s="24" t="str">
        <f>VLOOKUP(A1667,Metrik!$C$2:$Y$959,5,0)</f>
        <v>Agricultural Products</v>
      </c>
      <c r="AB1667" s="24" t="str">
        <f>VLOOKUP(A1667,Metrik!$C$2:$Y$959,3,0)</f>
        <v>Consumer Non-Cyclicals</v>
      </c>
    </row>
    <row r="1668">
      <c r="A1668" s="14" t="s">
        <v>914</v>
      </c>
      <c r="B1668" s="14" t="str">
        <f t="array" ref="B1668">VLOOKUP(A1668,{Metrik!$C$2:$C$998,Metrik!$B$2:$B$998},2,0)</f>
        <v>Triputra Agro Persada Tbk.</v>
      </c>
      <c r="C1668" s="15">
        <f>IFERROR(__xludf.DUMMYFUNCTION("GOOGLEFINANCE(""IDX:""&amp;A1668,""price"")"),1490.0)</f>
        <v>1490</v>
      </c>
      <c r="D1668" s="16" t="str">
        <f>IFERROR(__xludf.DUMMYFUNCTION("IF(A1668="""","""",
SPARKLINE(
INDEX(
GOOGLEFINANCE(""IDX:""&amp;A1668,""close"",TODAY()-365,TODAY()),
,2
),
{""linewidth"",1}
))
"),"#N/A")</f>
        <v>#N/A</v>
      </c>
      <c r="E1668" s="14" t="s">
        <v>28</v>
      </c>
      <c r="F1668" s="17" t="s">
        <v>29</v>
      </c>
      <c r="G1668" s="18">
        <f t="shared" si="9"/>
        <v>12</v>
      </c>
      <c r="H1668" s="19">
        <f>VLOOKUP(A1668,Metrik!$C$2:$Y$959,8,0)</f>
        <v>8.3</v>
      </c>
      <c r="I1668" s="20">
        <f>VLOOKUP(A1668,Metrik!$C$2:$Y$959,9,0)</f>
        <v>2.4</v>
      </c>
      <c r="J1668" s="20">
        <f>VLOOKUP(A1668,Metrik!$C$2:$Y$959,10,0)</f>
        <v>29.2</v>
      </c>
      <c r="K1668" s="20">
        <f>VLOOKUP(A1668,Metrik!$C$2:$Y$959,11,0)</f>
        <v>23.6</v>
      </c>
      <c r="L1668" s="20">
        <f>VLOOKUP(A1668,Metrik!$C$2:$Y$959,12,0)</f>
        <v>0.24</v>
      </c>
      <c r="M1668" s="20">
        <f>VLOOKUP(A1668,Metrik!$C$2:$Y$959,19,0)</f>
        <v>150</v>
      </c>
      <c r="N1668" s="21"/>
      <c r="O1668" s="21"/>
      <c r="P1668" s="21"/>
      <c r="Q1668" s="21"/>
      <c r="R1668" s="21"/>
      <c r="S1668" s="21"/>
      <c r="T1668" s="21"/>
      <c r="U1668" s="22">
        <f>IFERROR(__xludf.DUMMYFUNCTION("IFERROR(GOOGLEFINANCE(A1668,""closeyest""),"""")"),1370.0)</f>
        <v>1370</v>
      </c>
      <c r="V1668" s="23">
        <f>IFERROR(__xludf.DUMMYFUNCTION("IFERROR(GOOGLEFINANCE(A1668,""changepct""),"""")"),8.76)</f>
        <v>8.76</v>
      </c>
      <c r="W1668" s="22">
        <f>IFERROR(__xludf.DUMMYFUNCTION("IFERROR(GOOGLEFINANCE(A1668,""priceopen""),"""")"),1380.0)</f>
        <v>1380</v>
      </c>
      <c r="X1668" s="22">
        <f>IFERROR(__xludf.DUMMYFUNCTION("IFERROR(GOOGLEFINANCE(A1668,""high""),"""")"),1550.0)</f>
        <v>1550</v>
      </c>
      <c r="Y1668" s="22">
        <f>IFERROR(__xludf.DUMMYFUNCTION("IFERROR(GOOGLEFINANCE(A1668,""low""),"""")"),1380.0)</f>
        <v>1380</v>
      </c>
      <c r="Z1668" s="22">
        <f>IFERROR(__xludf.DUMMYFUNCTION("IFERROR(GOOGLEFINANCE(A1668,""volume""),"""")"),2.37826E7)</f>
        <v>23782600</v>
      </c>
      <c r="AA1668" s="24" t="str">
        <f>VLOOKUP(A1668,Metrik!$C$2:$Y$959,5,0)</f>
        <v>Agricultural Products</v>
      </c>
      <c r="AB1668" s="24" t="str">
        <f>VLOOKUP(A1668,Metrik!$C$2:$Y$959,3,0)</f>
        <v>Consumer Non-Cyclicals</v>
      </c>
    </row>
    <row r="1669">
      <c r="A1669" s="14" t="s">
        <v>914</v>
      </c>
      <c r="B1669" s="14" t="str">
        <f t="array" ref="B1669">VLOOKUP(A1669,{Metrik!$C$2:$C$998,Metrik!$B$2:$B$998},2,0)</f>
        <v>Triputra Agro Persada Tbk.</v>
      </c>
      <c r="C1669" s="15">
        <f>IFERROR(__xludf.DUMMYFUNCTION("GOOGLEFINANCE(""IDX:""&amp;A1669,""price"")"),1490.0)</f>
        <v>1490</v>
      </c>
      <c r="D1669" s="16" t="str">
        <f>IFERROR(__xludf.DUMMYFUNCTION("IF(A1669="""","""",
SPARKLINE(
INDEX(
GOOGLEFINANCE(""IDX:""&amp;A1669,""close"",TODAY()-365,TODAY()),
,2
),
{""linewidth"",1}
))
"),"#N/A")</f>
        <v>#N/A</v>
      </c>
      <c r="E1669" s="14" t="s">
        <v>84</v>
      </c>
      <c r="F1669" s="17" t="s">
        <v>51</v>
      </c>
      <c r="G1669" s="18">
        <f t="shared" si="9"/>
        <v>12</v>
      </c>
      <c r="H1669" s="19">
        <f>VLOOKUP(A1669,Metrik!$C$2:$Y$959,8,0)</f>
        <v>8.3</v>
      </c>
      <c r="I1669" s="20">
        <f>VLOOKUP(A1669,Metrik!$C$2:$Y$959,9,0)</f>
        <v>2.4</v>
      </c>
      <c r="J1669" s="20">
        <f>VLOOKUP(A1669,Metrik!$C$2:$Y$959,10,0)</f>
        <v>29.2</v>
      </c>
      <c r="K1669" s="20">
        <f>VLOOKUP(A1669,Metrik!$C$2:$Y$959,11,0)</f>
        <v>23.6</v>
      </c>
      <c r="L1669" s="20">
        <f>VLOOKUP(A1669,Metrik!$C$2:$Y$959,12,0)</f>
        <v>0.24</v>
      </c>
      <c r="M1669" s="20">
        <f>VLOOKUP(A1669,Metrik!$C$2:$Y$959,19,0)</f>
        <v>150</v>
      </c>
      <c r="N1669" s="21"/>
      <c r="O1669" s="21"/>
      <c r="P1669" s="21"/>
      <c r="Q1669" s="21"/>
      <c r="R1669" s="21"/>
      <c r="S1669" s="21"/>
      <c r="T1669" s="21"/>
      <c r="U1669" s="22">
        <f>IFERROR(__xludf.DUMMYFUNCTION("IFERROR(GOOGLEFINANCE(A1669,""closeyest""),"""")"),1370.0)</f>
        <v>1370</v>
      </c>
      <c r="V1669" s="23">
        <f>IFERROR(__xludf.DUMMYFUNCTION("IFERROR(GOOGLEFINANCE(A1669,""changepct""),"""")"),8.76)</f>
        <v>8.76</v>
      </c>
      <c r="W1669" s="22">
        <f>IFERROR(__xludf.DUMMYFUNCTION("IFERROR(GOOGLEFINANCE(A1669,""priceopen""),"""")"),1380.0)</f>
        <v>1380</v>
      </c>
      <c r="X1669" s="22">
        <f>IFERROR(__xludf.DUMMYFUNCTION("IFERROR(GOOGLEFINANCE(A1669,""high""),"""")"),1550.0)</f>
        <v>1550</v>
      </c>
      <c r="Y1669" s="22">
        <f>IFERROR(__xludf.DUMMYFUNCTION("IFERROR(GOOGLEFINANCE(A1669,""low""),"""")"),1380.0)</f>
        <v>1380</v>
      </c>
      <c r="Z1669" s="22">
        <f>IFERROR(__xludf.DUMMYFUNCTION("IFERROR(GOOGLEFINANCE(A1669,""volume""),"""")"),2.37826E7)</f>
        <v>23782600</v>
      </c>
      <c r="AA1669" s="24" t="str">
        <f>VLOOKUP(A1669,Metrik!$C$2:$Y$959,5,0)</f>
        <v>Agricultural Products</v>
      </c>
      <c r="AB1669" s="24" t="str">
        <f>VLOOKUP(A1669,Metrik!$C$2:$Y$959,3,0)</f>
        <v>Consumer Non-Cyclicals</v>
      </c>
    </row>
    <row r="1670">
      <c r="A1670" s="14" t="s">
        <v>914</v>
      </c>
      <c r="B1670" s="14" t="str">
        <f t="array" ref="B1670">VLOOKUP(A1670,{Metrik!$C$2:$C$998,Metrik!$B$2:$B$998},2,0)</f>
        <v>Triputra Agro Persada Tbk.</v>
      </c>
      <c r="C1670" s="15">
        <f>IFERROR(__xludf.DUMMYFUNCTION("GOOGLEFINANCE(""IDX:""&amp;A1670,""price"")"),1490.0)</f>
        <v>1490</v>
      </c>
      <c r="D1670" s="16" t="str">
        <f>IFERROR(__xludf.DUMMYFUNCTION("IF(A1670="""","""",
SPARKLINE(
INDEX(
GOOGLEFINANCE(""IDX:""&amp;A1670,""close"",TODAY()-365,TODAY()),
,2
),
{""linewidth"",1}
))
"),"#N/A")</f>
        <v>#N/A</v>
      </c>
      <c r="E1670" s="14" t="s">
        <v>32</v>
      </c>
      <c r="F1670" s="14" t="s">
        <v>29</v>
      </c>
      <c r="G1670" s="18">
        <f t="shared" si="9"/>
        <v>12</v>
      </c>
      <c r="H1670" s="19">
        <f>VLOOKUP(A1670,Metrik!$C$2:$Y$959,8,0)</f>
        <v>8.3</v>
      </c>
      <c r="I1670" s="20">
        <f>VLOOKUP(A1670,Metrik!$C$2:$Y$959,9,0)</f>
        <v>2.4</v>
      </c>
      <c r="J1670" s="20">
        <f>VLOOKUP(A1670,Metrik!$C$2:$Y$959,10,0)</f>
        <v>29.2</v>
      </c>
      <c r="K1670" s="20">
        <f>VLOOKUP(A1670,Metrik!$C$2:$Y$959,11,0)</f>
        <v>23.6</v>
      </c>
      <c r="L1670" s="20">
        <f>VLOOKUP(A1670,Metrik!$C$2:$Y$959,12,0)</f>
        <v>0.24</v>
      </c>
      <c r="M1670" s="20">
        <f>VLOOKUP(A1670,Metrik!$C$2:$Y$959,19,0)</f>
        <v>150</v>
      </c>
      <c r="N1670" s="21"/>
      <c r="O1670" s="21"/>
      <c r="P1670" s="21"/>
      <c r="Q1670" s="21"/>
      <c r="R1670" s="21"/>
      <c r="S1670" s="21"/>
      <c r="T1670" s="21"/>
      <c r="U1670" s="22">
        <f>IFERROR(__xludf.DUMMYFUNCTION("IFERROR(GOOGLEFINANCE(A1670,""closeyest""),"""")"),1370.0)</f>
        <v>1370</v>
      </c>
      <c r="V1670" s="23">
        <f>IFERROR(__xludf.DUMMYFUNCTION("IFERROR(GOOGLEFINANCE(A1670,""changepct""),"""")"),8.76)</f>
        <v>8.76</v>
      </c>
      <c r="W1670" s="22">
        <f>IFERROR(__xludf.DUMMYFUNCTION("IFERROR(GOOGLEFINANCE(A1670,""priceopen""),"""")"),1380.0)</f>
        <v>1380</v>
      </c>
      <c r="X1670" s="22">
        <f>IFERROR(__xludf.DUMMYFUNCTION("IFERROR(GOOGLEFINANCE(A1670,""high""),"""")"),1550.0)</f>
        <v>1550</v>
      </c>
      <c r="Y1670" s="22">
        <f>IFERROR(__xludf.DUMMYFUNCTION("IFERROR(GOOGLEFINANCE(A1670,""low""),"""")"),1380.0)</f>
        <v>1380</v>
      </c>
      <c r="Z1670" s="22">
        <f>IFERROR(__xludf.DUMMYFUNCTION("IFERROR(GOOGLEFINANCE(A1670,""volume""),"""")"),2.37826E7)</f>
        <v>23782600</v>
      </c>
      <c r="AA1670" s="24" t="str">
        <f>VLOOKUP(A1670,Metrik!$C$2:$Y$959,5,0)</f>
        <v>Agricultural Products</v>
      </c>
      <c r="AB1670" s="24" t="str">
        <f>VLOOKUP(A1670,Metrik!$C$2:$Y$959,3,0)</f>
        <v>Consumer Non-Cyclicals</v>
      </c>
    </row>
    <row r="1671">
      <c r="A1671" s="14" t="s">
        <v>914</v>
      </c>
      <c r="B1671" s="14" t="str">
        <f t="array" ref="B1671">VLOOKUP(A1671,{Metrik!$C$2:$C$998,Metrik!$B$2:$B$998},2,0)</f>
        <v>Triputra Agro Persada Tbk.</v>
      </c>
      <c r="C1671" s="15">
        <f>IFERROR(__xludf.DUMMYFUNCTION("GOOGLEFINANCE(""IDX:""&amp;A1671,""price"")"),1490.0)</f>
        <v>1490</v>
      </c>
      <c r="D1671" s="16" t="str">
        <f>IFERROR(__xludf.DUMMYFUNCTION("IF(A1671="""","""",
SPARKLINE(
INDEX(
GOOGLEFINANCE(""IDX:""&amp;A1671,""close"",TODAY()-365,TODAY()),
,2
),
{""linewidth"",1}
))
"),"#N/A")</f>
        <v>#N/A</v>
      </c>
      <c r="E1671" s="14" t="s">
        <v>54</v>
      </c>
      <c r="F1671" s="14" t="s">
        <v>34</v>
      </c>
      <c r="G1671" s="18">
        <f t="shared" si="9"/>
        <v>12</v>
      </c>
      <c r="H1671" s="19">
        <f>VLOOKUP(A1671,Metrik!$C$2:$Y$959,8,0)</f>
        <v>8.3</v>
      </c>
      <c r="I1671" s="20">
        <f>VLOOKUP(A1671,Metrik!$C$2:$Y$959,9,0)</f>
        <v>2.4</v>
      </c>
      <c r="J1671" s="20">
        <f>VLOOKUP(A1671,Metrik!$C$2:$Y$959,10,0)</f>
        <v>29.2</v>
      </c>
      <c r="K1671" s="20">
        <f>VLOOKUP(A1671,Metrik!$C$2:$Y$959,11,0)</f>
        <v>23.6</v>
      </c>
      <c r="L1671" s="20">
        <f>VLOOKUP(A1671,Metrik!$C$2:$Y$959,12,0)</f>
        <v>0.24</v>
      </c>
      <c r="M1671" s="20">
        <f>VLOOKUP(A1671,Metrik!$C$2:$Y$959,19,0)</f>
        <v>150</v>
      </c>
      <c r="N1671" s="21"/>
      <c r="O1671" s="21"/>
      <c r="P1671" s="21"/>
      <c r="Q1671" s="21"/>
      <c r="R1671" s="21"/>
      <c r="S1671" s="21"/>
      <c r="T1671" s="21"/>
      <c r="U1671" s="22">
        <f>IFERROR(__xludf.DUMMYFUNCTION("IFERROR(GOOGLEFINANCE(A1671,""closeyest""),"""")"),1370.0)</f>
        <v>1370</v>
      </c>
      <c r="V1671" s="23">
        <f>IFERROR(__xludf.DUMMYFUNCTION("IFERROR(GOOGLEFINANCE(A1671,""changepct""),"""")"),8.76)</f>
        <v>8.76</v>
      </c>
      <c r="W1671" s="22">
        <f>IFERROR(__xludf.DUMMYFUNCTION("IFERROR(GOOGLEFINANCE(A1671,""priceopen""),"""")"),1380.0)</f>
        <v>1380</v>
      </c>
      <c r="X1671" s="22">
        <f>IFERROR(__xludf.DUMMYFUNCTION("IFERROR(GOOGLEFINANCE(A1671,""high""),"""")"),1550.0)</f>
        <v>1550</v>
      </c>
      <c r="Y1671" s="22">
        <f>IFERROR(__xludf.DUMMYFUNCTION("IFERROR(GOOGLEFINANCE(A1671,""low""),"""")"),1380.0)</f>
        <v>1380</v>
      </c>
      <c r="Z1671" s="22">
        <f>IFERROR(__xludf.DUMMYFUNCTION("IFERROR(GOOGLEFINANCE(A1671,""volume""),"""")"),2.37826E7)</f>
        <v>23782600</v>
      </c>
      <c r="AA1671" s="24" t="str">
        <f>VLOOKUP(A1671,Metrik!$C$2:$Y$959,5,0)</f>
        <v>Agricultural Products</v>
      </c>
      <c r="AB1671" s="24" t="str">
        <f>VLOOKUP(A1671,Metrik!$C$2:$Y$959,3,0)</f>
        <v>Consumer Non-Cyclicals</v>
      </c>
    </row>
    <row r="1672">
      <c r="A1672" s="14" t="s">
        <v>914</v>
      </c>
      <c r="B1672" s="14" t="str">
        <f t="array" ref="B1672">VLOOKUP(A1672,{Metrik!$C$2:$C$998,Metrik!$B$2:$B$998},2,0)</f>
        <v>Triputra Agro Persada Tbk.</v>
      </c>
      <c r="C1672" s="15">
        <f>IFERROR(__xludf.DUMMYFUNCTION("GOOGLEFINANCE(""IDX:""&amp;A1672,""price"")"),1490.0)</f>
        <v>1490</v>
      </c>
      <c r="D1672" s="16" t="str">
        <f>IFERROR(__xludf.DUMMYFUNCTION("IF(A1672="""","""",
SPARKLINE(
INDEX(
GOOGLEFINANCE(""IDX:""&amp;A1672,""close"",TODAY()-365,TODAY()),
,2
),
{""linewidth"",1}
))
"),"#N/A")</f>
        <v>#N/A</v>
      </c>
      <c r="E1672" s="14" t="s">
        <v>68</v>
      </c>
      <c r="F1672" s="14" t="s">
        <v>34</v>
      </c>
      <c r="G1672" s="18">
        <f t="shared" si="9"/>
        <v>12</v>
      </c>
      <c r="H1672" s="19">
        <f>VLOOKUP(A1672,Metrik!$C$2:$Y$959,8,0)</f>
        <v>8.3</v>
      </c>
      <c r="I1672" s="20">
        <f>VLOOKUP(A1672,Metrik!$C$2:$Y$959,9,0)</f>
        <v>2.4</v>
      </c>
      <c r="J1672" s="20">
        <f>VLOOKUP(A1672,Metrik!$C$2:$Y$959,10,0)</f>
        <v>29.2</v>
      </c>
      <c r="K1672" s="20">
        <f>VLOOKUP(A1672,Metrik!$C$2:$Y$959,11,0)</f>
        <v>23.6</v>
      </c>
      <c r="L1672" s="20">
        <f>VLOOKUP(A1672,Metrik!$C$2:$Y$959,12,0)</f>
        <v>0.24</v>
      </c>
      <c r="M1672" s="20">
        <f>VLOOKUP(A1672,Metrik!$C$2:$Y$959,19,0)</f>
        <v>150</v>
      </c>
      <c r="N1672" s="21"/>
      <c r="O1672" s="21"/>
      <c r="P1672" s="21"/>
      <c r="Q1672" s="21"/>
      <c r="R1672" s="21"/>
      <c r="S1672" s="21"/>
      <c r="T1672" s="21"/>
      <c r="U1672" s="22">
        <f>IFERROR(__xludf.DUMMYFUNCTION("IFERROR(GOOGLEFINANCE(A1672,""closeyest""),"""")"),1370.0)</f>
        <v>1370</v>
      </c>
      <c r="V1672" s="23">
        <f>IFERROR(__xludf.DUMMYFUNCTION("IFERROR(GOOGLEFINANCE(A1672,""changepct""),"""")"),8.76)</f>
        <v>8.76</v>
      </c>
      <c r="W1672" s="22">
        <f>IFERROR(__xludf.DUMMYFUNCTION("IFERROR(GOOGLEFINANCE(A1672,""priceopen""),"""")"),1380.0)</f>
        <v>1380</v>
      </c>
      <c r="X1672" s="22">
        <f>IFERROR(__xludf.DUMMYFUNCTION("IFERROR(GOOGLEFINANCE(A1672,""high""),"""")"),1550.0)</f>
        <v>1550</v>
      </c>
      <c r="Y1672" s="22">
        <f>IFERROR(__xludf.DUMMYFUNCTION("IFERROR(GOOGLEFINANCE(A1672,""low""),"""")"),1380.0)</f>
        <v>1380</v>
      </c>
      <c r="Z1672" s="22">
        <f>IFERROR(__xludf.DUMMYFUNCTION("IFERROR(GOOGLEFINANCE(A1672,""volume""),"""")"),2.37826E7)</f>
        <v>23782600</v>
      </c>
      <c r="AA1672" s="24" t="str">
        <f>VLOOKUP(A1672,Metrik!$C$2:$Y$959,5,0)</f>
        <v>Agricultural Products</v>
      </c>
      <c r="AB1672" s="24" t="str">
        <f>VLOOKUP(A1672,Metrik!$C$2:$Y$959,3,0)</f>
        <v>Consumer Non-Cyclicals</v>
      </c>
    </row>
    <row r="1673">
      <c r="A1673" s="14" t="s">
        <v>914</v>
      </c>
      <c r="B1673" s="14" t="str">
        <f t="array" ref="B1673">VLOOKUP(A1673,{Metrik!$C$2:$C$998,Metrik!$B$2:$B$998},2,0)</f>
        <v>Triputra Agro Persada Tbk.</v>
      </c>
      <c r="C1673" s="15">
        <f>IFERROR(__xludf.DUMMYFUNCTION("GOOGLEFINANCE(""IDX:""&amp;A1673,""price"")"),1490.0)</f>
        <v>1490</v>
      </c>
      <c r="D1673" s="16" t="str">
        <f>IFERROR(__xludf.DUMMYFUNCTION("IF(A1673="""","""",
SPARKLINE(
INDEX(
GOOGLEFINANCE(""IDX:""&amp;A1673,""close"",TODAY()-365,TODAY()),
,2
),
{""linewidth"",1}
))
"),"#N/A")</f>
        <v>#N/A</v>
      </c>
      <c r="E1673" s="14" t="s">
        <v>41</v>
      </c>
      <c r="F1673" s="14" t="s">
        <v>34</v>
      </c>
      <c r="G1673" s="18">
        <f t="shared" si="9"/>
        <v>12</v>
      </c>
      <c r="H1673" s="19">
        <f>VLOOKUP(A1673,Metrik!$C$2:$Y$959,8,0)</f>
        <v>8.3</v>
      </c>
      <c r="I1673" s="20">
        <f>VLOOKUP(A1673,Metrik!$C$2:$Y$959,9,0)</f>
        <v>2.4</v>
      </c>
      <c r="J1673" s="20">
        <f>VLOOKUP(A1673,Metrik!$C$2:$Y$959,10,0)</f>
        <v>29.2</v>
      </c>
      <c r="K1673" s="20">
        <f>VLOOKUP(A1673,Metrik!$C$2:$Y$959,11,0)</f>
        <v>23.6</v>
      </c>
      <c r="L1673" s="20">
        <f>VLOOKUP(A1673,Metrik!$C$2:$Y$959,12,0)</f>
        <v>0.24</v>
      </c>
      <c r="M1673" s="20">
        <f>VLOOKUP(A1673,Metrik!$C$2:$Y$959,19,0)</f>
        <v>150</v>
      </c>
      <c r="N1673" s="21"/>
      <c r="O1673" s="21"/>
      <c r="P1673" s="21"/>
      <c r="Q1673" s="21"/>
      <c r="R1673" s="21"/>
      <c r="S1673" s="21"/>
      <c r="T1673" s="21"/>
      <c r="U1673" s="22">
        <f>IFERROR(__xludf.DUMMYFUNCTION("IFERROR(GOOGLEFINANCE(A1673,""closeyest""),"""")"),1370.0)</f>
        <v>1370</v>
      </c>
      <c r="V1673" s="23">
        <f>IFERROR(__xludf.DUMMYFUNCTION("IFERROR(GOOGLEFINANCE(A1673,""changepct""),"""")"),8.76)</f>
        <v>8.76</v>
      </c>
      <c r="W1673" s="22">
        <f>IFERROR(__xludf.DUMMYFUNCTION("IFERROR(GOOGLEFINANCE(A1673,""priceopen""),"""")"),1380.0)</f>
        <v>1380</v>
      </c>
      <c r="X1673" s="22">
        <f>IFERROR(__xludf.DUMMYFUNCTION("IFERROR(GOOGLEFINANCE(A1673,""high""),"""")"),1550.0)</f>
        <v>1550</v>
      </c>
      <c r="Y1673" s="22">
        <f>IFERROR(__xludf.DUMMYFUNCTION("IFERROR(GOOGLEFINANCE(A1673,""low""),"""")"),1380.0)</f>
        <v>1380</v>
      </c>
      <c r="Z1673" s="22">
        <f>IFERROR(__xludf.DUMMYFUNCTION("IFERROR(GOOGLEFINANCE(A1673,""volume""),"""")"),2.37826E7)</f>
        <v>23782600</v>
      </c>
      <c r="AA1673" s="24" t="str">
        <f>VLOOKUP(A1673,Metrik!$C$2:$Y$959,5,0)</f>
        <v>Agricultural Products</v>
      </c>
      <c r="AB1673" s="24" t="str">
        <f>VLOOKUP(A1673,Metrik!$C$2:$Y$959,3,0)</f>
        <v>Consumer Non-Cyclicals</v>
      </c>
    </row>
    <row r="1674">
      <c r="A1674" s="17" t="s">
        <v>914</v>
      </c>
      <c r="B1674" s="14" t="str">
        <f t="array" ref="B1674">VLOOKUP(A1674,{Metrik!$C$2:$C$998,Metrik!$B$2:$B$998},2,0)</f>
        <v>Triputra Agro Persada Tbk.</v>
      </c>
      <c r="C1674" s="15">
        <f>IFERROR(__xludf.DUMMYFUNCTION("GOOGLEFINANCE(""IDX:""&amp;A1674,""price"")"),1490.0)</f>
        <v>1490</v>
      </c>
      <c r="D1674" s="16" t="str">
        <f>IFERROR(__xludf.DUMMYFUNCTION("IF(A1674="""","""",
SPARKLINE(
INDEX(
GOOGLEFINANCE(""IDX:""&amp;A1674,""close"",TODAY()-365,TODAY()),
,2
),
{""linewidth"",1}
))
"),"#N/A")</f>
        <v>#N/A</v>
      </c>
      <c r="E1674" s="14" t="s">
        <v>67</v>
      </c>
      <c r="F1674" s="17" t="s">
        <v>51</v>
      </c>
      <c r="G1674" s="38">
        <f>COUNTIFS($B$2:$B$1930,B1674,$E$2:$E$1930,"&lt;&gt;")</f>
        <v>12</v>
      </c>
      <c r="H1674" s="19">
        <f>VLOOKUP(A1674,Metrik!$C$2:$Y$959,8,0)</f>
        <v>8.3</v>
      </c>
      <c r="I1674" s="20">
        <f>VLOOKUP(A1674,Metrik!$C$2:$Y$959,9,0)</f>
        <v>2.4</v>
      </c>
      <c r="J1674" s="20">
        <f>VLOOKUP(A1674,Metrik!$C$2:$Y$959,10,0)</f>
        <v>29.2</v>
      </c>
      <c r="K1674" s="20">
        <f>VLOOKUP(A1674,Metrik!$C$2:$Y$959,11,0)</f>
        <v>23.6</v>
      </c>
      <c r="L1674" s="20">
        <f>VLOOKUP(A1674,Metrik!$C$2:$Y$959,12,0)</f>
        <v>0.24</v>
      </c>
      <c r="M1674" s="20">
        <f>VLOOKUP(A1674,Metrik!$C$2:$Y$959,19,0)</f>
        <v>150</v>
      </c>
      <c r="N1674" s="46"/>
      <c r="O1674" s="46"/>
      <c r="P1674" s="46"/>
      <c r="Q1674" s="46"/>
      <c r="R1674" s="46"/>
      <c r="S1674" s="46"/>
      <c r="T1674" s="46"/>
      <c r="U1674" s="22">
        <f>IFERROR(__xludf.DUMMYFUNCTION("IFERROR(GOOGLEFINANCE(A1674,""closeyest""),"""")"),1370.0)</f>
        <v>1370</v>
      </c>
      <c r="V1674" s="23">
        <f>IFERROR(__xludf.DUMMYFUNCTION("IFERROR(GOOGLEFINANCE(A1674,""changepct""),"""")"),8.76)</f>
        <v>8.76</v>
      </c>
      <c r="W1674" s="22">
        <f>IFERROR(__xludf.DUMMYFUNCTION("IFERROR(GOOGLEFINANCE(A1674,""priceopen""),"""")"),1380.0)</f>
        <v>1380</v>
      </c>
      <c r="X1674" s="22">
        <f>IFERROR(__xludf.DUMMYFUNCTION("IFERROR(GOOGLEFINANCE(A1674,""high""),"""")"),1550.0)</f>
        <v>1550</v>
      </c>
      <c r="Y1674" s="22">
        <f>IFERROR(__xludf.DUMMYFUNCTION("IFERROR(GOOGLEFINANCE(A1674,""low""),"""")"),1380.0)</f>
        <v>1380</v>
      </c>
      <c r="Z1674" s="22">
        <f>IFERROR(__xludf.DUMMYFUNCTION("IFERROR(GOOGLEFINANCE(A1674,""volume""),"""")"),2.37826E7)</f>
        <v>23782600</v>
      </c>
      <c r="AA1674" s="24" t="str">
        <f>VLOOKUP(A1674,Metrik!$C$2:$Y$959,5,0)</f>
        <v>Agricultural Products</v>
      </c>
      <c r="AB1674" s="24" t="str">
        <f>VLOOKUP(A1674,Metrik!$C$2:$Y$959,3,0)</f>
        <v>Consumer Non-Cyclicals</v>
      </c>
    </row>
    <row r="1675">
      <c r="A1675" s="14" t="s">
        <v>914</v>
      </c>
      <c r="B1675" s="14" t="str">
        <f t="array" ref="B1675">VLOOKUP(A1675,{Metrik!$C$2:$C$998,Metrik!$B$2:$B$998},2,0)</f>
        <v>Triputra Agro Persada Tbk.</v>
      </c>
      <c r="C1675" s="15">
        <f>IFERROR(__xludf.DUMMYFUNCTION("GOOGLEFINANCE(""IDX:""&amp;A1675,""price"")"),1490.0)</f>
        <v>1490</v>
      </c>
      <c r="D1675" s="16" t="str">
        <f>IFERROR(__xludf.DUMMYFUNCTION("IF(A1675="""","""",
SPARKLINE(
INDEX(
GOOGLEFINANCE(""IDX:""&amp;A1675,""close"",TODAY()-365,TODAY()),
,2
),
{""linewidth"",1}
))
"),"#N/A")</f>
        <v>#N/A</v>
      </c>
      <c r="E1675" s="14" t="s">
        <v>39</v>
      </c>
      <c r="F1675" s="25">
        <v>46356.0</v>
      </c>
      <c r="G1675" s="18">
        <f t="shared" ref="G1675:G1753" si="10">COUNTIFS($B$2:$B$1937,B1675,$E$2:$E$1937,"&lt;&gt;")</f>
        <v>12</v>
      </c>
      <c r="H1675" s="19">
        <f>VLOOKUP(A1675,Metrik!$C$2:$Y$959,8,0)</f>
        <v>8.3</v>
      </c>
      <c r="I1675" s="20">
        <f>VLOOKUP(A1675,Metrik!$C$2:$Y$959,9,0)</f>
        <v>2.4</v>
      </c>
      <c r="J1675" s="20">
        <f>VLOOKUP(A1675,Metrik!$C$2:$Y$959,10,0)</f>
        <v>29.2</v>
      </c>
      <c r="K1675" s="20">
        <f>VLOOKUP(A1675,Metrik!$C$2:$Y$959,11,0)</f>
        <v>23.6</v>
      </c>
      <c r="L1675" s="20">
        <f>VLOOKUP(A1675,Metrik!$C$2:$Y$959,12,0)</f>
        <v>0.24</v>
      </c>
      <c r="M1675" s="20">
        <f>VLOOKUP(A1675,Metrik!$C$2:$Y$959,19,0)</f>
        <v>150</v>
      </c>
      <c r="N1675" s="21"/>
      <c r="O1675" s="21"/>
      <c r="P1675" s="21"/>
      <c r="Q1675" s="21"/>
      <c r="R1675" s="21"/>
      <c r="S1675" s="21"/>
      <c r="T1675" s="21"/>
      <c r="U1675" s="22">
        <f>IFERROR(__xludf.DUMMYFUNCTION("IFERROR(GOOGLEFINANCE(A1675,""closeyest""),"""")"),1370.0)</f>
        <v>1370</v>
      </c>
      <c r="V1675" s="23">
        <f>IFERROR(__xludf.DUMMYFUNCTION("IFERROR(GOOGLEFINANCE(A1675,""changepct""),"""")"),8.76)</f>
        <v>8.76</v>
      </c>
      <c r="W1675" s="22">
        <f>IFERROR(__xludf.DUMMYFUNCTION("IFERROR(GOOGLEFINANCE(A1675,""priceopen""),"""")"),1380.0)</f>
        <v>1380</v>
      </c>
      <c r="X1675" s="22">
        <f>IFERROR(__xludf.DUMMYFUNCTION("IFERROR(GOOGLEFINANCE(A1675,""high""),"""")"),1550.0)</f>
        <v>1550</v>
      </c>
      <c r="Y1675" s="22">
        <f>IFERROR(__xludf.DUMMYFUNCTION("IFERROR(GOOGLEFINANCE(A1675,""low""),"""")"),1380.0)</f>
        <v>1380</v>
      </c>
      <c r="Z1675" s="22">
        <f>IFERROR(__xludf.DUMMYFUNCTION("IFERROR(GOOGLEFINANCE(A1675,""volume""),"""")"),2.37826E7)</f>
        <v>23782600</v>
      </c>
      <c r="AA1675" s="24" t="str">
        <f>VLOOKUP(A1675,Metrik!$C$2:$Y$959,5,0)</f>
        <v>Agricultural Products</v>
      </c>
      <c r="AB1675" s="24" t="str">
        <f>VLOOKUP(A1675,Metrik!$C$2:$Y$959,3,0)</f>
        <v>Consumer Non-Cyclicals</v>
      </c>
    </row>
    <row r="1676">
      <c r="A1676" s="14" t="s">
        <v>915</v>
      </c>
      <c r="B1676" s="14" t="str">
        <f t="array" ref="B1676">VLOOKUP(A1676,{Metrik!$C$2:$C$998,Metrik!$B$2:$B$998},2,0)</f>
        <v>Agung Semesta Sejahtera Tbk.</v>
      </c>
      <c r="C1676" s="15">
        <f>IFERROR(__xludf.DUMMYFUNCTION("GOOGLEFINANCE(""IDX:""&amp;A1676,""price"")"),29.0)</f>
        <v>29</v>
      </c>
      <c r="D1676" s="16" t="str">
        <f>IFERROR(__xludf.DUMMYFUNCTION("IF(A1676="""","""",
SPARKLINE(
INDEX(
GOOGLEFINANCE(""IDX:""&amp;A1676,""close"",TODAY()-365,TODAY()),
,2
),
{""linewidth"",1}
))
"),"#N/A")</f>
        <v>#N/A</v>
      </c>
      <c r="E1676" s="26"/>
      <c r="F1676" s="26"/>
      <c r="G1676" s="24">
        <f t="shared" si="10"/>
        <v>0</v>
      </c>
      <c r="H1676" s="19">
        <f>VLOOKUP(A1676,Metrik!$C$2:$Y$959,8,0)</f>
        <v>-64.8</v>
      </c>
      <c r="I1676" s="20">
        <f>VLOOKUP(A1676,Metrik!$C$2:$Y$959,9,0)</f>
        <v>0.29</v>
      </c>
      <c r="J1676" s="20">
        <f>VLOOKUP(A1676,Metrik!$C$2:$Y$959,10,0)</f>
        <v>-0.44</v>
      </c>
      <c r="K1676" s="20">
        <f>VLOOKUP(A1676,Metrik!$C$2:$Y$959,11,0)</f>
        <v>-0.43</v>
      </c>
      <c r="L1676" s="20">
        <f>VLOOKUP(A1676,Metrik!$C$2:$Y$959,12,0)</f>
        <v>0.04</v>
      </c>
      <c r="M1676" s="20">
        <f>VLOOKUP(A1676,Metrik!$C$2:$Y$959,19,0)</f>
        <v>-230</v>
      </c>
      <c r="N1676" s="21"/>
      <c r="O1676" s="21"/>
      <c r="P1676" s="21"/>
      <c r="Q1676" s="21"/>
      <c r="R1676" s="21"/>
      <c r="S1676" s="21"/>
      <c r="T1676" s="21"/>
      <c r="U1676" s="22">
        <f>IFERROR(__xludf.DUMMYFUNCTION("IFERROR(GOOGLEFINANCE(A1676,""closeyest""),"""")"),3.65)</f>
        <v>3.65</v>
      </c>
      <c r="V1676" s="23">
        <f>IFERROR(__xludf.DUMMYFUNCTION("IFERROR(GOOGLEFINANCE(A1676,""changepct""),"""")"),6.85)</f>
        <v>6.85</v>
      </c>
      <c r="W1676" s="22">
        <f>IFERROR(__xludf.DUMMYFUNCTION("IFERROR(GOOGLEFINANCE(A1676,""priceopen""),"""")"),3.66)</f>
        <v>3.66</v>
      </c>
      <c r="X1676" s="22">
        <f>IFERROR(__xludf.DUMMYFUNCTION("IFERROR(GOOGLEFINANCE(A1676,""high""),"""")"),3.94)</f>
        <v>3.94</v>
      </c>
      <c r="Y1676" s="22">
        <f>IFERROR(__xludf.DUMMYFUNCTION("IFERROR(GOOGLEFINANCE(A1676,""low""),"""")"),3.65)</f>
        <v>3.65</v>
      </c>
      <c r="Z1676" s="22">
        <f>IFERROR(__xludf.DUMMYFUNCTION("IFERROR(GOOGLEFINANCE(A1676,""volume""),"""")"),524547.0)</f>
        <v>524547</v>
      </c>
      <c r="AA1676" s="24" t="str">
        <f>VLOOKUP(A1676,Metrik!$C$2:$Y$959,5,0)</f>
        <v>Real Estate Management &amp; Development</v>
      </c>
      <c r="AB1676" s="24" t="str">
        <f>VLOOKUP(A1676,Metrik!$C$2:$Y$959,3,0)</f>
        <v>Properties &amp; Real Estate</v>
      </c>
    </row>
    <row r="1677">
      <c r="A1677" s="14" t="s">
        <v>916</v>
      </c>
      <c r="B1677" s="14" t="str">
        <f t="array" ref="B1677">VLOOKUP(A1677,{Metrik!$C$2:$C$998,Metrik!$B$2:$B$998},2,0)</f>
        <v>Express Transindo Utama Tbk</v>
      </c>
      <c r="C1677" s="15">
        <f>IFERROR(__xludf.DUMMYFUNCTION("GOOGLEFINANCE(""IDX:""&amp;A1677,""price"")"),14.0)</f>
        <v>14</v>
      </c>
      <c r="D1677" s="16" t="str">
        <f>IFERROR(__xludf.DUMMYFUNCTION("IF(A1677="""","""",
SPARKLINE(
INDEX(
GOOGLEFINANCE(""IDX:""&amp;A1677,""close"",TODAY()-365,TODAY()),
,2
),
{""linewidth"",1}
))
"),"#N/A")</f>
        <v>#N/A</v>
      </c>
      <c r="E1677" s="26"/>
      <c r="F1677" s="26"/>
      <c r="G1677" s="24">
        <f t="shared" si="10"/>
        <v>0</v>
      </c>
      <c r="H1677" s="19">
        <f>VLOOKUP(A1677,Metrik!$C$2:$Y$959,8,0)</f>
        <v>-7.5</v>
      </c>
      <c r="I1677" s="20">
        <f>VLOOKUP(A1677,Metrik!$C$2:$Y$959,9,0)</f>
        <v>4.6</v>
      </c>
      <c r="J1677" s="20">
        <f>VLOOKUP(A1677,Metrik!$C$2:$Y$959,10,0)</f>
        <v>-61.9</v>
      </c>
      <c r="K1677" s="20">
        <f>VLOOKUP(A1677,Metrik!$C$2:$Y$959,11,0)</f>
        <v>-10.1</v>
      </c>
      <c r="L1677" s="20">
        <f>VLOOKUP(A1677,Metrik!$C$2:$Y$959,12,0)</f>
        <v>0.1</v>
      </c>
      <c r="M1677" s="20">
        <f>VLOOKUP(A1677,Metrik!$C$2:$Y$959,19,0)</f>
        <v>-1000</v>
      </c>
      <c r="N1677" s="21"/>
      <c r="O1677" s="21"/>
      <c r="P1677" s="21"/>
      <c r="Q1677" s="21"/>
      <c r="R1677" s="21"/>
      <c r="S1677" s="21"/>
      <c r="T1677" s="21"/>
      <c r="U1677" s="22">
        <f>IFERROR(__xludf.DUMMYFUNCTION("IFERROR(GOOGLEFINANCE(A1677,""closeyest""),"""")"),51.21)</f>
        <v>51.21</v>
      </c>
      <c r="V1677" s="23">
        <f>IFERROR(__xludf.DUMMYFUNCTION("IFERROR(GOOGLEFINANCE(A1677,""changepct""),"""")"),-0.12)</f>
        <v>-0.12</v>
      </c>
      <c r="W1677" s="22">
        <f>IFERROR(__xludf.DUMMYFUNCTION("IFERROR(GOOGLEFINANCE(A1677,""priceopen""),"""")"),51.13)</f>
        <v>51.13</v>
      </c>
      <c r="X1677" s="22">
        <f>IFERROR(__xludf.DUMMYFUNCTION("IFERROR(GOOGLEFINANCE(A1677,""high""),"""")"),51.16)</f>
        <v>51.16</v>
      </c>
      <c r="Y1677" s="22">
        <f>IFERROR(__xludf.DUMMYFUNCTION("IFERROR(GOOGLEFINANCE(A1677,""low""),"""")"),51.12)</f>
        <v>51.12</v>
      </c>
      <c r="Z1677" s="22">
        <f>IFERROR(__xludf.DUMMYFUNCTION("IFERROR(GOOGLEFINANCE(A1677,""volume""),"""")"),381.0)</f>
        <v>381</v>
      </c>
      <c r="AA1677" s="24" t="str">
        <f>VLOOKUP(A1677,Metrik!$C$2:$Y$959,5,0)</f>
        <v>Passenger Land Transportation</v>
      </c>
      <c r="AB1677" s="24" t="str">
        <f>VLOOKUP(A1677,Metrik!$C$2:$Y$959,3,0)</f>
        <v>Transportation &amp; Logistic</v>
      </c>
    </row>
    <row r="1678">
      <c r="A1678" s="14" t="s">
        <v>917</v>
      </c>
      <c r="B1678" s="14" t="str">
        <f t="array" ref="B1678">VLOOKUP(A1678,{Metrik!$C$2:$C$998,Metrik!$B$2:$B$998},2,0)</f>
        <v>Jaya Swarasa Agung Tbk.</v>
      </c>
      <c r="C1678" s="15">
        <f>IFERROR(__xludf.DUMMYFUNCTION("GOOGLEFINANCE(""IDX:""&amp;A1678,""price"")"),50.0)</f>
        <v>50</v>
      </c>
      <c r="D1678" s="16" t="str">
        <f>IFERROR(__xludf.DUMMYFUNCTION("IF(A1678="""","""",
SPARKLINE(
INDEX(
GOOGLEFINANCE(""IDX:""&amp;A1678,""close"",TODAY()-365,TODAY()),
,2
),
{""linewidth"",1}
))
"),"#N/A")</f>
        <v>#N/A</v>
      </c>
      <c r="E1678" s="26"/>
      <c r="F1678" s="26"/>
      <c r="G1678" s="24">
        <f t="shared" si="10"/>
        <v>0</v>
      </c>
      <c r="H1678" s="19">
        <f>VLOOKUP(A1678,Metrik!$C$2:$Y$959,8,0)</f>
        <v>-0.93</v>
      </c>
      <c r="I1678" s="20">
        <f>VLOOKUP(A1678,Metrik!$C$2:$Y$959,9,0)</f>
        <v>1.3</v>
      </c>
      <c r="J1678" s="20">
        <f>VLOOKUP(A1678,Metrik!$C$2:$Y$959,10,0)</f>
        <v>-140</v>
      </c>
      <c r="K1678" s="20">
        <f>VLOOKUP(A1678,Metrik!$C$2:$Y$959,11,0)</f>
        <v>-16.6</v>
      </c>
      <c r="L1678" s="20">
        <f>VLOOKUP(A1678,Metrik!$C$2:$Y$959,12,0)</f>
        <v>7.2</v>
      </c>
      <c r="M1678" s="20">
        <f>VLOOKUP(A1678,Metrik!$C$2:$Y$959,19,0)</f>
        <v>-77.8</v>
      </c>
      <c r="N1678" s="21"/>
      <c r="O1678" s="21"/>
      <c r="P1678" s="21"/>
      <c r="Q1678" s="21"/>
      <c r="R1678" s="21"/>
      <c r="S1678" s="21"/>
      <c r="T1678" s="21"/>
      <c r="U1678" s="22">
        <f>IFERROR(__xludf.DUMMYFUNCTION("IFERROR(GOOGLEFINANCE(A1678,""closeyest""),"""")"),50.0)</f>
        <v>50</v>
      </c>
      <c r="V1678" s="23">
        <f>IFERROR(__xludf.DUMMYFUNCTION("IFERROR(GOOGLEFINANCE(A1678,""changepct""),"""")"),0.0)</f>
        <v>0</v>
      </c>
      <c r="W1678" s="22">
        <f>IFERROR(__xludf.DUMMYFUNCTION("IFERROR(GOOGLEFINANCE(A1678,""priceopen""),"""")"),50.0)</f>
        <v>50</v>
      </c>
      <c r="X1678" s="22">
        <f>IFERROR(__xludf.DUMMYFUNCTION("IFERROR(GOOGLEFINANCE(A1678,""high""),"""")"),50.0)</f>
        <v>50</v>
      </c>
      <c r="Y1678" s="22">
        <f>IFERROR(__xludf.DUMMYFUNCTION("IFERROR(GOOGLEFINANCE(A1678,""low""),"""")"),50.0)</f>
        <v>50</v>
      </c>
      <c r="Z1678" s="22">
        <f>IFERROR(__xludf.DUMMYFUNCTION("IFERROR(GOOGLEFINANCE(A1678,""volume""),"""")"),366000.0)</f>
        <v>366000</v>
      </c>
      <c r="AA1678" s="24" t="str">
        <f>VLOOKUP(A1678,Metrik!$C$2:$Y$959,5,0)</f>
        <v>Processed Foods</v>
      </c>
      <c r="AB1678" s="24" t="str">
        <f>VLOOKUP(A1678,Metrik!$C$2:$Y$959,3,0)</f>
        <v>Consumer Non-Cyclicals</v>
      </c>
    </row>
    <row r="1679">
      <c r="A1679" s="14" t="s">
        <v>918</v>
      </c>
      <c r="B1679" s="14" t="str">
        <f t="array" ref="B1679">VLOOKUP(A1679,{Metrik!$C$2:$C$998,Metrik!$B$2:$B$998},2,0)</f>
        <v>PT Tower Bersama Infrastructure Tbk</v>
      </c>
      <c r="C1679" s="15">
        <f>IFERROR(__xludf.DUMMYFUNCTION("GOOGLEFINANCE(""IDX:""&amp;A1679,""price"")"),1445.0)</f>
        <v>1445</v>
      </c>
      <c r="D1679" s="16" t="str">
        <f>IFERROR(__xludf.DUMMYFUNCTION("IF(A1679="""","""",
SPARKLINE(
INDEX(
GOOGLEFINANCE(""IDX:""&amp;A1679,""close"",TODAY()-365,TODAY()),
,2
),
{""linewidth"",1}
))
"),"#N/A")</f>
        <v>#N/A</v>
      </c>
      <c r="E1679" s="14" t="s">
        <v>42</v>
      </c>
      <c r="F1679" s="25">
        <v>46356.0</v>
      </c>
      <c r="G1679" s="24">
        <f t="shared" si="10"/>
        <v>2</v>
      </c>
      <c r="H1679" s="19">
        <f>VLOOKUP(A1679,Metrik!$C$2:$Y$959,8,0)</f>
        <v>24.6</v>
      </c>
      <c r="I1679" s="20">
        <f>VLOOKUP(A1679,Metrik!$C$2:$Y$959,9,0)</f>
        <v>2.6</v>
      </c>
      <c r="J1679" s="20">
        <f>VLOOKUP(A1679,Metrik!$C$2:$Y$959,10,0)</f>
        <v>10.6</v>
      </c>
      <c r="K1679" s="20">
        <f>VLOOKUP(A1679,Metrik!$C$2:$Y$959,11,0)</f>
        <v>3</v>
      </c>
      <c r="L1679" s="20">
        <f>VLOOKUP(A1679,Metrik!$C$2:$Y$959,12,0)</f>
        <v>2.5</v>
      </c>
      <c r="M1679" s="20">
        <f>VLOOKUP(A1679,Metrik!$C$2:$Y$959,19,0)</f>
        <v>81.7</v>
      </c>
      <c r="N1679" s="21"/>
      <c r="O1679" s="21"/>
      <c r="P1679" s="21"/>
      <c r="Q1679" s="21"/>
      <c r="R1679" s="21"/>
      <c r="S1679" s="21"/>
      <c r="T1679" s="21"/>
      <c r="U1679" s="22">
        <f>IFERROR(__xludf.DUMMYFUNCTION("IFERROR(GOOGLEFINANCE(A1679,""closeyest""),"""")"),1470.0)</f>
        <v>1470</v>
      </c>
      <c r="V1679" s="23">
        <f>IFERROR(__xludf.DUMMYFUNCTION("IFERROR(GOOGLEFINANCE(A1679,""changepct""),"""")"),-1.7)</f>
        <v>-1.7</v>
      </c>
      <c r="W1679" s="22">
        <f>IFERROR(__xludf.DUMMYFUNCTION("IFERROR(GOOGLEFINANCE(A1679,""priceopen""),"""")"),1470.0)</f>
        <v>1470</v>
      </c>
      <c r="X1679" s="22">
        <f>IFERROR(__xludf.DUMMYFUNCTION("IFERROR(GOOGLEFINANCE(A1679,""high""),"""")"),1480.0)</f>
        <v>1480</v>
      </c>
      <c r="Y1679" s="22">
        <f>IFERROR(__xludf.DUMMYFUNCTION("IFERROR(GOOGLEFINANCE(A1679,""low""),"""")"),1425.0)</f>
        <v>1425</v>
      </c>
      <c r="Z1679" s="22">
        <f>IFERROR(__xludf.DUMMYFUNCTION("IFERROR(GOOGLEFINANCE(A1679,""volume""),"""")"),3024900.0)</f>
        <v>3024900</v>
      </c>
      <c r="AA1679" s="24" t="str">
        <f>VLOOKUP(A1679,Metrik!$C$2:$Y$959,5,0)</f>
        <v>Wireless Telecommunication Services</v>
      </c>
      <c r="AB1679" s="24" t="str">
        <f>VLOOKUP(A1679,Metrik!$C$2:$Y$959,3,0)</f>
        <v>Infrastructures</v>
      </c>
    </row>
    <row r="1680">
      <c r="A1680" s="48" t="s">
        <v>918</v>
      </c>
      <c r="B1680" s="14" t="str">
        <f t="array" ref="B1680">VLOOKUP(A1680,{Metrik!$C$2:$C$998,Metrik!$B$2:$B$998},2,0)</f>
        <v>PT Tower Bersama Infrastructure Tbk</v>
      </c>
      <c r="C1680" s="15">
        <f>IFERROR(__xludf.DUMMYFUNCTION("GOOGLEFINANCE(""IDX:""&amp;A1680,""price"")"),1445.0)</f>
        <v>1445</v>
      </c>
      <c r="D1680" s="16" t="str">
        <f>IFERROR(__xludf.DUMMYFUNCTION("IF(A1680="""","""",
SPARKLINE(
INDEX(
GOOGLEFINANCE(""IDX:""&amp;A1680,""close"",TODAY()-365,TODAY()),
,2
),
{""linewidth"",1}
))
"),"#N/A")</f>
        <v>#N/A</v>
      </c>
      <c r="E1680" s="17" t="s">
        <v>69</v>
      </c>
      <c r="F1680" s="17" t="s">
        <v>70</v>
      </c>
      <c r="G1680" s="24">
        <f t="shared" si="10"/>
        <v>2</v>
      </c>
      <c r="H1680" s="19">
        <f>VLOOKUP(A1680,Metrik!$C$2:$Y$959,8,0)</f>
        <v>24.6</v>
      </c>
      <c r="I1680" s="20">
        <f>VLOOKUP(A1680,Metrik!$C$2:$Y$959,9,0)</f>
        <v>2.6</v>
      </c>
      <c r="J1680" s="20">
        <f>VLOOKUP(A1680,Metrik!$C$2:$Y$959,10,0)</f>
        <v>10.6</v>
      </c>
      <c r="K1680" s="20">
        <f>VLOOKUP(A1680,Metrik!$C$2:$Y$959,11,0)</f>
        <v>3</v>
      </c>
      <c r="L1680" s="20">
        <f>VLOOKUP(A1680,Metrik!$C$2:$Y$959,12,0)</f>
        <v>2.5</v>
      </c>
      <c r="M1680" s="20">
        <f>VLOOKUP(A1680,Metrik!$C$2:$Y$959,19,0)</f>
        <v>81.7</v>
      </c>
      <c r="N1680" s="21"/>
      <c r="O1680" s="21"/>
      <c r="P1680" s="21"/>
      <c r="Q1680" s="21"/>
      <c r="R1680" s="21"/>
      <c r="S1680" s="21"/>
      <c r="T1680" s="21"/>
      <c r="U1680" s="22">
        <f>IFERROR(__xludf.DUMMYFUNCTION("IFERROR(GOOGLEFINANCE(A1680,""closeyest""),"""")"),1470.0)</f>
        <v>1470</v>
      </c>
      <c r="V1680" s="23">
        <f>IFERROR(__xludf.DUMMYFUNCTION("IFERROR(GOOGLEFINANCE(A1680,""changepct""),"""")"),-1.7)</f>
        <v>-1.7</v>
      </c>
      <c r="W1680" s="22">
        <f>IFERROR(__xludf.DUMMYFUNCTION("IFERROR(GOOGLEFINANCE(A1680,""priceopen""),"""")"),1470.0)</f>
        <v>1470</v>
      </c>
      <c r="X1680" s="22">
        <f>IFERROR(__xludf.DUMMYFUNCTION("IFERROR(GOOGLEFINANCE(A1680,""high""),"""")"),1480.0)</f>
        <v>1480</v>
      </c>
      <c r="Y1680" s="22">
        <f>IFERROR(__xludf.DUMMYFUNCTION("IFERROR(GOOGLEFINANCE(A1680,""low""),"""")"),1425.0)</f>
        <v>1425</v>
      </c>
      <c r="Z1680" s="22">
        <f>IFERROR(__xludf.DUMMYFUNCTION("IFERROR(GOOGLEFINANCE(A1680,""volume""),"""")"),3024900.0)</f>
        <v>3024900</v>
      </c>
      <c r="AA1680" s="24" t="str">
        <f>VLOOKUP(A1680,Metrik!$C$2:$Y$959,5,0)</f>
        <v>Wireless Telecommunication Services</v>
      </c>
      <c r="AB1680" s="24" t="str">
        <f>VLOOKUP(A1680,Metrik!$C$2:$Y$959,3,0)</f>
        <v>Infrastructures</v>
      </c>
    </row>
    <row r="1681">
      <c r="A1681" s="14" t="s">
        <v>919</v>
      </c>
      <c r="B1681" s="14" t="str">
        <f t="array" ref="B1681">VLOOKUP(A1681,{Metrik!$C$2:$C$998,Metrik!$B$2:$B$998},2,0)</f>
        <v>Tunas Baru Lampung Tbk.</v>
      </c>
      <c r="C1681" s="15">
        <f>IFERROR(__xludf.DUMMYFUNCTION("GOOGLEFINANCE(""IDX:""&amp;A1681,""price"")"),605.0)</f>
        <v>605</v>
      </c>
      <c r="D1681" s="16" t="str">
        <f>IFERROR(__xludf.DUMMYFUNCTION("IF(A1681="""","""",
SPARKLINE(
INDEX(
GOOGLEFINANCE(""IDX:""&amp;A1681,""close"",TODAY()-365,TODAY()),
,2
),
{""linewidth"",1}
))
"),"#N/A")</f>
        <v>#N/A</v>
      </c>
      <c r="E1681" s="26"/>
      <c r="F1681" s="26"/>
      <c r="G1681" s="24">
        <f t="shared" si="10"/>
        <v>0</v>
      </c>
      <c r="H1681" s="19">
        <f>VLOOKUP(A1681,Metrik!$C$2:$Y$959,8,0)</f>
        <v>4.2</v>
      </c>
      <c r="I1681" s="20">
        <f>VLOOKUP(A1681,Metrik!$C$2:$Y$959,9,0)</f>
        <v>0.4</v>
      </c>
      <c r="J1681" s="20">
        <f>VLOOKUP(A1681,Metrik!$C$2:$Y$959,10,0)</f>
        <v>9.5</v>
      </c>
      <c r="K1681" s="20">
        <f>VLOOKUP(A1681,Metrik!$C$2:$Y$959,11,0)</f>
        <v>2.9</v>
      </c>
      <c r="L1681" s="20">
        <f>VLOOKUP(A1681,Metrik!$C$2:$Y$959,12,0)</f>
        <v>2.2</v>
      </c>
      <c r="M1681" s="20">
        <f>VLOOKUP(A1681,Metrik!$C$2:$Y$959,19,0)</f>
        <v>14.8</v>
      </c>
      <c r="N1681" s="21"/>
      <c r="O1681" s="21"/>
      <c r="P1681" s="21"/>
      <c r="Q1681" s="21"/>
      <c r="R1681" s="21"/>
      <c r="S1681" s="21"/>
      <c r="T1681" s="21"/>
      <c r="U1681" s="22">
        <f>IFERROR(__xludf.DUMMYFUNCTION("IFERROR(GOOGLEFINANCE(A1681,""closeyest""),"""")"),4.73)</f>
        <v>4.73</v>
      </c>
      <c r="V1681" s="23">
        <f>IFERROR(__xludf.DUMMYFUNCTION("IFERROR(GOOGLEFINANCE(A1681,""changepct""),"""")"),0.21)</f>
        <v>0.21</v>
      </c>
      <c r="W1681" s="22">
        <f>IFERROR(__xludf.DUMMYFUNCTION("IFERROR(GOOGLEFINANCE(A1681,""priceopen""),"""")"),4.73)</f>
        <v>4.73</v>
      </c>
      <c r="X1681" s="22">
        <f>IFERROR(__xludf.DUMMYFUNCTION("IFERROR(GOOGLEFINANCE(A1681,""high""),"""")"),4.8)</f>
        <v>4.8</v>
      </c>
      <c r="Y1681" s="22">
        <f>IFERROR(__xludf.DUMMYFUNCTION("IFERROR(GOOGLEFINANCE(A1681,""low""),"""")"),4.72)</f>
        <v>4.72</v>
      </c>
      <c r="Z1681" s="22">
        <f>IFERROR(__xludf.DUMMYFUNCTION("IFERROR(GOOGLEFINANCE(A1681,""volume""),"""")"),2917619.0)</f>
        <v>2917619</v>
      </c>
      <c r="AA1681" s="24" t="str">
        <f>VLOOKUP(A1681,Metrik!$C$2:$Y$959,5,0)</f>
        <v>Processed Foods</v>
      </c>
      <c r="AB1681" s="24" t="str">
        <f>VLOOKUP(A1681,Metrik!$C$2:$Y$959,3,0)</f>
        <v>Consumer Non-Cyclicals</v>
      </c>
    </row>
    <row r="1682">
      <c r="A1682" s="14" t="s">
        <v>920</v>
      </c>
      <c r="B1682" s="14" t="str">
        <f t="array" ref="B1682">VLOOKUP(A1682,{Metrik!$C$2:$C$998,Metrik!$B$2:$B$998},2,0)</f>
        <v>Tembaga Mulia Semanan Tbk.</v>
      </c>
      <c r="C1682" s="15">
        <f>IFERROR(__xludf.DUMMYFUNCTION("GOOGLEFINANCE(""IDX:""&amp;A1682,""price"")"),1255.0)</f>
        <v>1255</v>
      </c>
      <c r="D1682" s="16" t="str">
        <f>IFERROR(__xludf.DUMMYFUNCTION("IF(A1682="""","""",
SPARKLINE(
INDEX(
GOOGLEFINANCE(""IDX:""&amp;A1682,""close"",TODAY()-365,TODAY()),
,2
),
{""linewidth"",1}
))
"),"#N/A")</f>
        <v>#N/A</v>
      </c>
      <c r="E1682" s="26"/>
      <c r="F1682" s="26"/>
      <c r="G1682" s="24">
        <f t="shared" si="10"/>
        <v>0</v>
      </c>
      <c r="H1682" s="19">
        <f>VLOOKUP(A1682,Metrik!$C$2:$Y$959,8,0)</f>
        <v>8.3</v>
      </c>
      <c r="I1682" s="20">
        <f>VLOOKUP(A1682,Metrik!$C$2:$Y$959,9,0)</f>
        <v>0.73</v>
      </c>
      <c r="J1682" s="20">
        <f>VLOOKUP(A1682,Metrik!$C$2:$Y$959,10,0)</f>
        <v>8.8</v>
      </c>
      <c r="K1682" s="20">
        <f>VLOOKUP(A1682,Metrik!$C$2:$Y$959,11,0)</f>
        <v>3.2</v>
      </c>
      <c r="L1682" s="20">
        <f>VLOOKUP(A1682,Metrik!$C$2:$Y$959,12,0)</f>
        <v>1.8</v>
      </c>
      <c r="M1682" s="20">
        <f>VLOOKUP(A1682,Metrik!$C$2:$Y$959,19,0)</f>
        <v>2.6</v>
      </c>
      <c r="N1682" s="21"/>
      <c r="O1682" s="21"/>
      <c r="P1682" s="21"/>
      <c r="Q1682" s="21"/>
      <c r="R1682" s="21"/>
      <c r="S1682" s="21"/>
      <c r="T1682" s="21"/>
      <c r="U1682" s="22">
        <f>IFERROR(__xludf.DUMMYFUNCTION("IFERROR(GOOGLEFINANCE(A1682,""closeyest""),"""")"),1260.0)</f>
        <v>1260</v>
      </c>
      <c r="V1682" s="23">
        <f>IFERROR(__xludf.DUMMYFUNCTION("IFERROR(GOOGLEFINANCE(A1682,""changepct""),"""")"),-0.4)</f>
        <v>-0.4</v>
      </c>
      <c r="W1682" s="22">
        <f>IFERROR(__xludf.DUMMYFUNCTION("IFERROR(GOOGLEFINANCE(A1682,""priceopen""),"""")"),1260.0)</f>
        <v>1260</v>
      </c>
      <c r="X1682" s="22">
        <f>IFERROR(__xludf.DUMMYFUNCTION("IFERROR(GOOGLEFINANCE(A1682,""high""),"""")"),1305.0)</f>
        <v>1305</v>
      </c>
      <c r="Y1682" s="22">
        <f>IFERROR(__xludf.DUMMYFUNCTION("IFERROR(GOOGLEFINANCE(A1682,""low""),"""")"),1210.0)</f>
        <v>1210</v>
      </c>
      <c r="Z1682" s="22">
        <f>IFERROR(__xludf.DUMMYFUNCTION("IFERROR(GOOGLEFINANCE(A1682,""volume""),"""")"),18400.0)</f>
        <v>18400</v>
      </c>
      <c r="AA1682" s="24" t="str">
        <f>VLOOKUP(A1682,Metrik!$C$2:$Y$959,5,0)</f>
        <v>Metals &amp; Minerals</v>
      </c>
      <c r="AB1682" s="24" t="str">
        <f>VLOOKUP(A1682,Metrik!$C$2:$Y$959,3,0)</f>
        <v>Basic Materials</v>
      </c>
    </row>
    <row r="1683">
      <c r="A1683" s="14" t="s">
        <v>921</v>
      </c>
      <c r="B1683" s="14" t="str">
        <f t="array" ref="B1683">VLOOKUP(A1683,{Metrik!$C$2:$C$998,Metrik!$B$2:$B$998},2,0)</f>
        <v>Mandom Indonesia Tbk</v>
      </c>
      <c r="C1683" s="15">
        <f>IFERROR(__xludf.DUMMYFUNCTION("GOOGLEFINANCE(""IDX:""&amp;A1683,""price"")"),2850.0)</f>
        <v>2850</v>
      </c>
      <c r="D1683" s="16" t="str">
        <f>IFERROR(__xludf.DUMMYFUNCTION("IF(A1683="""","""",
SPARKLINE(
INDEX(
GOOGLEFINANCE(""IDX:""&amp;A1683,""close"",TODAY()-365,TODAY()),
,2
),
{""linewidth"",1}
))
"),"#N/A")</f>
        <v>#N/A</v>
      </c>
      <c r="E1683" s="26"/>
      <c r="F1683" s="26"/>
      <c r="G1683" s="24">
        <f t="shared" si="10"/>
        <v>0</v>
      </c>
      <c r="H1683" s="19">
        <f>VLOOKUP(A1683,Metrik!$C$2:$Y$959,8,0)</f>
        <v>99.4</v>
      </c>
      <c r="I1683" s="20">
        <f>VLOOKUP(A1683,Metrik!$C$2:$Y$959,9,0)</f>
        <v>0.61</v>
      </c>
      <c r="J1683" s="20">
        <f>VLOOKUP(A1683,Metrik!$C$2:$Y$959,10,0)</f>
        <v>0.61</v>
      </c>
      <c r="K1683" s="20">
        <f>VLOOKUP(A1683,Metrik!$C$2:$Y$959,11,0)</f>
        <v>0.49</v>
      </c>
      <c r="L1683" s="20">
        <f>VLOOKUP(A1683,Metrik!$C$2:$Y$959,12,0)</f>
        <v>0.25</v>
      </c>
      <c r="M1683" s="20">
        <f>VLOOKUP(A1683,Metrik!$C$2:$Y$959,19,0)</f>
        <v>2.2</v>
      </c>
      <c r="N1683" s="21"/>
      <c r="O1683" s="21"/>
      <c r="P1683" s="21"/>
      <c r="Q1683" s="21"/>
      <c r="R1683" s="21"/>
      <c r="S1683" s="21"/>
      <c r="T1683" s="21"/>
      <c r="U1683" s="22">
        <f>IFERROR(__xludf.DUMMYFUNCTION("IFERROR(GOOGLEFINANCE(A1683,""closeyest""),"""")"),0.13)</f>
        <v>0.13</v>
      </c>
      <c r="V1683" s="23" t="str">
        <f>IFERROR(__xludf.DUMMYFUNCTION("IFERROR(GOOGLEFINANCE(A1683,""changepct""),"""")"),"")</f>
        <v/>
      </c>
      <c r="W1683" s="22">
        <f>IFERROR(__xludf.DUMMYFUNCTION("IFERROR(GOOGLEFINANCE(A1683,""priceopen""),"""")"),0.13)</f>
        <v>0.13</v>
      </c>
      <c r="X1683" s="22">
        <f>IFERROR(__xludf.DUMMYFUNCTION("IFERROR(GOOGLEFINANCE(A1683,""high""),"""")"),0.13)</f>
        <v>0.13</v>
      </c>
      <c r="Y1683" s="22">
        <f>IFERROR(__xludf.DUMMYFUNCTION("IFERROR(GOOGLEFINANCE(A1683,""low""),"""")"),0.13)</f>
        <v>0.13</v>
      </c>
      <c r="Z1683" s="22">
        <f>IFERROR(__xludf.DUMMYFUNCTION("IFERROR(GOOGLEFINANCE(A1683,""volume""),"""")"),0.0)</f>
        <v>0</v>
      </c>
      <c r="AA1683" s="24" t="str">
        <f>VLOOKUP(A1683,Metrik!$C$2:$Y$959,5,0)</f>
        <v>Personal Care Products</v>
      </c>
      <c r="AB1683" s="24" t="str">
        <f>VLOOKUP(A1683,Metrik!$C$2:$Y$959,3,0)</f>
        <v>Consumer Non-Cyclicals</v>
      </c>
    </row>
    <row r="1684">
      <c r="A1684" s="14" t="s">
        <v>922</v>
      </c>
      <c r="B1684" s="14" t="str">
        <f t="array" ref="B1684">VLOOKUP(A1684,{Metrik!$C$2:$C$998,Metrik!$B$2:$B$998},2,0)</f>
        <v>Transcoal Pacific Tbk.</v>
      </c>
      <c r="C1684" s="15">
        <f>IFERROR(__xludf.DUMMYFUNCTION("GOOGLEFINANCE(""IDX:""&amp;A1684,""price"")"),9300.0)</f>
        <v>9300</v>
      </c>
      <c r="D1684" s="16" t="str">
        <f>IFERROR(__xludf.DUMMYFUNCTION("IF(A1684="""","""",
SPARKLINE(
INDEX(
GOOGLEFINANCE(""IDX:""&amp;A1684,""close"",TODAY()-365,TODAY()),
,2
),
{""linewidth"",1}
))
"),"#N/A")</f>
        <v>#N/A</v>
      </c>
      <c r="E1684" s="14" t="s">
        <v>32</v>
      </c>
      <c r="F1684" s="14" t="s">
        <v>29</v>
      </c>
      <c r="G1684" s="24">
        <f t="shared" si="10"/>
        <v>3</v>
      </c>
      <c r="H1684" s="19">
        <f>VLOOKUP(A1684,Metrik!$C$2:$Y$959,8,0)</f>
        <v>410</v>
      </c>
      <c r="I1684" s="20">
        <f>VLOOKUP(A1684,Metrik!$C$2:$Y$959,9,0)</f>
        <v>23.8</v>
      </c>
      <c r="J1684" s="20">
        <f>VLOOKUP(A1684,Metrik!$C$2:$Y$959,10,0)</f>
        <v>5.8</v>
      </c>
      <c r="K1684" s="20">
        <f>VLOOKUP(A1684,Metrik!$C$2:$Y$959,11,0)</f>
        <v>3.3</v>
      </c>
      <c r="L1684" s="20">
        <f>VLOOKUP(A1684,Metrik!$C$2:$Y$959,12,0)</f>
        <v>0.76</v>
      </c>
      <c r="M1684" s="20">
        <f>VLOOKUP(A1684,Metrik!$C$2:$Y$959,19,0)</f>
        <v>25.7</v>
      </c>
      <c r="N1684" s="21"/>
      <c r="O1684" s="21"/>
      <c r="P1684" s="21"/>
      <c r="Q1684" s="21"/>
      <c r="R1684" s="21"/>
      <c r="S1684" s="21"/>
      <c r="T1684" s="21"/>
      <c r="U1684" s="22">
        <f>IFERROR(__xludf.DUMMYFUNCTION("IFERROR(GOOGLEFINANCE(A1684,""closeyest""),"""")"),9600.0)</f>
        <v>9600</v>
      </c>
      <c r="V1684" s="23">
        <f>IFERROR(__xludf.DUMMYFUNCTION("IFERROR(GOOGLEFINANCE(A1684,""changepct""),"""")"),-3.12)</f>
        <v>-3.12</v>
      </c>
      <c r="W1684" s="22" t="str">
        <f>IFERROR(__xludf.DUMMYFUNCTION("IFERROR(GOOGLEFINANCE(A1684,""priceopen""),"""")"),"")</f>
        <v/>
      </c>
      <c r="X1684" s="22">
        <f>IFERROR(__xludf.DUMMYFUNCTION("IFERROR(GOOGLEFINANCE(A1684,""high""),"""")"),9700.0)</f>
        <v>9700</v>
      </c>
      <c r="Y1684" s="22">
        <f>IFERROR(__xludf.DUMMYFUNCTION("IFERROR(GOOGLEFINANCE(A1684,""low""),"""")"),9300.0)</f>
        <v>9300</v>
      </c>
      <c r="Z1684" s="22">
        <f>IFERROR(__xludf.DUMMYFUNCTION("IFERROR(GOOGLEFINANCE(A1684,""volume""),"""")"),5005100.0)</f>
        <v>5005100</v>
      </c>
      <c r="AA1684" s="24" t="str">
        <f>VLOOKUP(A1684,Metrik!$C$2:$Y$959,5,0)</f>
        <v>Coal</v>
      </c>
      <c r="AB1684" s="24" t="str">
        <f>VLOOKUP(A1684,Metrik!$C$2:$Y$959,3,0)</f>
        <v>Energy</v>
      </c>
    </row>
    <row r="1685">
      <c r="A1685" s="17" t="s">
        <v>922</v>
      </c>
      <c r="B1685" s="14" t="str">
        <f t="array" ref="B1685">VLOOKUP(A1685,{Metrik!$C$2:$C$998,Metrik!$B$2:$B$998},2,0)</f>
        <v>Transcoal Pacific Tbk.</v>
      </c>
      <c r="C1685" s="15">
        <f>IFERROR(__xludf.DUMMYFUNCTION("GOOGLEFINANCE(""IDX:""&amp;A1685,""price"")"),9300.0)</f>
        <v>9300</v>
      </c>
      <c r="D1685" s="16" t="str">
        <f>IFERROR(__xludf.DUMMYFUNCTION("IF(A1685="""","""",
SPARKLINE(
INDEX(
GOOGLEFINANCE(""IDX:""&amp;A1685,""close"",TODAY()-365,TODAY()),
,2
),
{""linewidth"",1}
))
"),"#N/A")</f>
        <v>#N/A</v>
      </c>
      <c r="E1685" s="14" t="s">
        <v>35</v>
      </c>
      <c r="F1685" s="17" t="s">
        <v>36</v>
      </c>
      <c r="G1685" s="24">
        <f t="shared" si="10"/>
        <v>3</v>
      </c>
      <c r="H1685" s="19">
        <f>VLOOKUP(A1685,Metrik!$C$2:$Y$959,8,0)</f>
        <v>410</v>
      </c>
      <c r="I1685" s="20">
        <f>VLOOKUP(A1685,Metrik!$C$2:$Y$959,9,0)</f>
        <v>23.8</v>
      </c>
      <c r="J1685" s="20">
        <f>VLOOKUP(A1685,Metrik!$C$2:$Y$959,10,0)</f>
        <v>5.8</v>
      </c>
      <c r="K1685" s="20">
        <f>VLOOKUP(A1685,Metrik!$C$2:$Y$959,11,0)</f>
        <v>3.3</v>
      </c>
      <c r="L1685" s="20">
        <f>VLOOKUP(A1685,Metrik!$C$2:$Y$959,12,0)</f>
        <v>0.76</v>
      </c>
      <c r="M1685" s="20">
        <f>VLOOKUP(A1685,Metrik!$C$2:$Y$959,19,0)</f>
        <v>25.7</v>
      </c>
      <c r="N1685" s="29"/>
      <c r="O1685" s="29"/>
      <c r="P1685" s="29"/>
      <c r="Q1685" s="29"/>
      <c r="R1685" s="29"/>
      <c r="S1685" s="29"/>
      <c r="T1685" s="29"/>
      <c r="U1685" s="22">
        <f>IFERROR(__xludf.DUMMYFUNCTION("IFERROR(GOOGLEFINANCE(A1685,""closeyest""),"""")"),9600.0)</f>
        <v>9600</v>
      </c>
      <c r="V1685" s="23">
        <f>IFERROR(__xludf.DUMMYFUNCTION("IFERROR(GOOGLEFINANCE(A1685,""changepct""),"""")"),-3.12)</f>
        <v>-3.12</v>
      </c>
      <c r="W1685" s="22" t="str">
        <f>IFERROR(__xludf.DUMMYFUNCTION("IFERROR(GOOGLEFINANCE(A1685,""priceopen""),"""")"),"")</f>
        <v/>
      </c>
      <c r="X1685" s="22">
        <f>IFERROR(__xludf.DUMMYFUNCTION("IFERROR(GOOGLEFINANCE(A1685,""high""),"""")"),9700.0)</f>
        <v>9700</v>
      </c>
      <c r="Y1685" s="22">
        <f>IFERROR(__xludf.DUMMYFUNCTION("IFERROR(GOOGLEFINANCE(A1685,""low""),"""")"),9300.0)</f>
        <v>9300</v>
      </c>
      <c r="Z1685" s="22">
        <f>IFERROR(__xludf.DUMMYFUNCTION("IFERROR(GOOGLEFINANCE(A1685,""volume""),"""")"),5005100.0)</f>
        <v>5005100</v>
      </c>
      <c r="AA1685" s="24" t="str">
        <f>VLOOKUP(A1685,Metrik!$C$2:$Y$959,5,0)</f>
        <v>Coal</v>
      </c>
      <c r="AB1685" s="24" t="str">
        <f>VLOOKUP(A1685,Metrik!$C$2:$Y$959,3,0)</f>
        <v>Energy</v>
      </c>
    </row>
    <row r="1686">
      <c r="A1686" s="14" t="s">
        <v>922</v>
      </c>
      <c r="B1686" s="14" t="str">
        <f t="array" ref="B1686">VLOOKUP(A1686,{Metrik!$C$2:$C$998,Metrik!$B$2:$B$998},2,0)</f>
        <v>Transcoal Pacific Tbk.</v>
      </c>
      <c r="C1686" s="15">
        <f>IFERROR(__xludf.DUMMYFUNCTION("GOOGLEFINANCE(""IDX:""&amp;A1686,""price"")"),9300.0)</f>
        <v>9300</v>
      </c>
      <c r="D1686" s="16" t="str">
        <f>IFERROR(__xludf.DUMMYFUNCTION("IF(A1686="""","""",
SPARKLINE(
INDEX(
GOOGLEFINANCE(""IDX:""&amp;A1686,""close"",TODAY()-365,TODAY()),
,2
),
{""linewidth"",1}
))
"),"#N/A")</f>
        <v>#N/A</v>
      </c>
      <c r="E1686" s="14" t="s">
        <v>39</v>
      </c>
      <c r="F1686" s="25">
        <v>46356.0</v>
      </c>
      <c r="G1686" s="24">
        <f t="shared" si="10"/>
        <v>3</v>
      </c>
      <c r="H1686" s="19">
        <f>VLOOKUP(A1686,Metrik!$C$2:$Y$959,8,0)</f>
        <v>410</v>
      </c>
      <c r="I1686" s="20">
        <f>VLOOKUP(A1686,Metrik!$C$2:$Y$959,9,0)</f>
        <v>23.8</v>
      </c>
      <c r="J1686" s="20">
        <f>VLOOKUP(A1686,Metrik!$C$2:$Y$959,10,0)</f>
        <v>5.8</v>
      </c>
      <c r="K1686" s="20">
        <f>VLOOKUP(A1686,Metrik!$C$2:$Y$959,11,0)</f>
        <v>3.3</v>
      </c>
      <c r="L1686" s="20">
        <f>VLOOKUP(A1686,Metrik!$C$2:$Y$959,12,0)</f>
        <v>0.76</v>
      </c>
      <c r="M1686" s="20">
        <f>VLOOKUP(A1686,Metrik!$C$2:$Y$959,19,0)</f>
        <v>25.7</v>
      </c>
      <c r="N1686" s="21"/>
      <c r="O1686" s="21"/>
      <c r="P1686" s="21"/>
      <c r="Q1686" s="21"/>
      <c r="R1686" s="21"/>
      <c r="S1686" s="21"/>
      <c r="T1686" s="21"/>
      <c r="U1686" s="22">
        <f>IFERROR(__xludf.DUMMYFUNCTION("IFERROR(GOOGLEFINANCE(A1686,""closeyest""),"""")"),9600.0)</f>
        <v>9600</v>
      </c>
      <c r="V1686" s="23">
        <f>IFERROR(__xludf.DUMMYFUNCTION("IFERROR(GOOGLEFINANCE(A1686,""changepct""),"""")"),-3.12)</f>
        <v>-3.12</v>
      </c>
      <c r="W1686" s="22" t="str">
        <f>IFERROR(__xludf.DUMMYFUNCTION("IFERROR(GOOGLEFINANCE(A1686,""priceopen""),"""")"),"")</f>
        <v/>
      </c>
      <c r="X1686" s="22">
        <f>IFERROR(__xludf.DUMMYFUNCTION("IFERROR(GOOGLEFINANCE(A1686,""high""),"""")"),9700.0)</f>
        <v>9700</v>
      </c>
      <c r="Y1686" s="22">
        <f>IFERROR(__xludf.DUMMYFUNCTION("IFERROR(GOOGLEFINANCE(A1686,""low""),"""")"),9300.0)</f>
        <v>9300</v>
      </c>
      <c r="Z1686" s="22">
        <f>IFERROR(__xludf.DUMMYFUNCTION("IFERROR(GOOGLEFINANCE(A1686,""volume""),"""")"),5005100.0)</f>
        <v>5005100</v>
      </c>
      <c r="AA1686" s="24" t="str">
        <f>VLOOKUP(A1686,Metrik!$C$2:$Y$959,5,0)</f>
        <v>Coal</v>
      </c>
      <c r="AB1686" s="24" t="str">
        <f>VLOOKUP(A1686,Metrik!$C$2:$Y$959,3,0)</f>
        <v>Energy</v>
      </c>
    </row>
    <row r="1687">
      <c r="A1687" s="14" t="s">
        <v>923</v>
      </c>
      <c r="B1687" s="14" t="str">
        <f t="array" ref="B1687">VLOOKUP(A1687,{Metrik!$C$2:$C$998,Metrik!$B$2:$B$998},2,0)</f>
        <v>Tianrong Chemicals Industry Tbk.</v>
      </c>
      <c r="C1687" s="15">
        <f>IFERROR(__xludf.DUMMYFUNCTION("GOOGLEFINANCE(""IDX:""&amp;A1687,""price"")"),119.0)</f>
        <v>119</v>
      </c>
      <c r="D1687" s="16" t="str">
        <f>IFERROR(__xludf.DUMMYFUNCTION("IF(A1687="""","""",
SPARKLINE(
INDEX(
GOOGLEFINANCE(""IDX:""&amp;A1687,""close"",TODAY()-365,TODAY()),
,2
),
{""linewidth"",1}
))
"),"#N/A")</f>
        <v>#N/A</v>
      </c>
      <c r="E1687" s="26"/>
      <c r="F1687" s="26"/>
      <c r="G1687" s="24">
        <f t="shared" si="10"/>
        <v>0</v>
      </c>
      <c r="H1687" s="19">
        <f>VLOOKUP(A1687,Metrik!$C$2:$Y$959,8,0)</f>
        <v>0</v>
      </c>
      <c r="I1687" s="20">
        <f>VLOOKUP(A1687,Metrik!$C$2:$Y$959,9,0)</f>
        <v>5.4</v>
      </c>
      <c r="J1687" s="20">
        <f>VLOOKUP(A1687,Metrik!$C$2:$Y$959,10,0)</f>
        <v>-380</v>
      </c>
      <c r="K1687" s="20">
        <f>VLOOKUP(A1687,Metrik!$C$2:$Y$959,11,0)</f>
        <v>-39</v>
      </c>
      <c r="L1687" s="20">
        <f>VLOOKUP(A1687,Metrik!$C$2:$Y$959,12,0)</f>
        <v>8.6</v>
      </c>
      <c r="M1687" s="20">
        <f>VLOOKUP(A1687,Metrik!$C$2:$Y$959,19,0)</f>
        <v>-160</v>
      </c>
      <c r="N1687" s="21"/>
      <c r="O1687" s="21"/>
      <c r="P1687" s="21"/>
      <c r="Q1687" s="21"/>
      <c r="R1687" s="21"/>
      <c r="S1687" s="21"/>
      <c r="T1687" s="21"/>
      <c r="U1687" s="22">
        <f>IFERROR(__xludf.DUMMYFUNCTION("IFERROR(GOOGLEFINANCE(A1687,""closeyest""),"""")"),119.0)</f>
        <v>119</v>
      </c>
      <c r="V1687" s="23">
        <f>IFERROR(__xludf.DUMMYFUNCTION("IFERROR(GOOGLEFINANCE(A1687,""changepct""),"""")"),0.0)</f>
        <v>0</v>
      </c>
      <c r="W1687" s="22" t="str">
        <f>IFERROR(__xludf.DUMMYFUNCTION("IFERROR(GOOGLEFINANCE(A1687,""priceopen""),"""")"),"")</f>
        <v/>
      </c>
      <c r="X1687" s="22" t="str">
        <f>IFERROR(__xludf.DUMMYFUNCTION("IFERROR(GOOGLEFINANCE(A1687,""high""),"""")"),"")</f>
        <v/>
      </c>
      <c r="Y1687" s="22" t="str">
        <f>IFERROR(__xludf.DUMMYFUNCTION("IFERROR(GOOGLEFINANCE(A1687,""low""),"""")"),"")</f>
        <v/>
      </c>
      <c r="Z1687" s="22">
        <f>IFERROR(__xludf.DUMMYFUNCTION("IFERROR(GOOGLEFINANCE(A1687,""volume""),"""")"),0.0)</f>
        <v>0</v>
      </c>
      <c r="AA1687" s="24" t="str">
        <f>VLOOKUP(A1687,Metrik!$C$2:$Y$959,5,0)</f>
        <v>Chemicals</v>
      </c>
      <c r="AB1687" s="24" t="str">
        <f>VLOOKUP(A1687,Metrik!$C$2:$Y$959,3,0)</f>
        <v>Basic Materials</v>
      </c>
    </row>
    <row r="1688">
      <c r="A1688" s="14" t="s">
        <v>924</v>
      </c>
      <c r="B1688" s="14" t="str">
        <f t="array" ref="B1688">VLOOKUP(A1688,{Metrik!$C$2:$C$998,Metrik!$B$2:$B$998},2,0)</f>
        <v>Dana Brata Luhur Tbk.</v>
      </c>
      <c r="C1688" s="15">
        <f>IFERROR(__xludf.DUMMYFUNCTION("GOOGLEFINANCE(""IDX:""&amp;A1688,""price"")"),1045.0)</f>
        <v>1045</v>
      </c>
      <c r="D1688" s="16" t="str">
        <f>IFERROR(__xludf.DUMMYFUNCTION("IF(A1688="""","""",
SPARKLINE(
INDEX(
GOOGLEFINANCE(""IDX:""&amp;A1688,""close"",TODAY()-365,TODAY()),
,2
),
{""linewidth"",1}
))
"),"#N/A")</f>
        <v>#N/A</v>
      </c>
      <c r="E1688" s="26"/>
      <c r="F1688" s="26"/>
      <c r="G1688" s="24">
        <f t="shared" si="10"/>
        <v>0</v>
      </c>
      <c r="H1688" s="19">
        <f>VLOOKUP(A1688,Metrik!$C$2:$Y$959,8,0)</f>
        <v>9</v>
      </c>
      <c r="I1688" s="20">
        <f>VLOOKUP(A1688,Metrik!$C$2:$Y$959,9,0)</f>
        <v>1</v>
      </c>
      <c r="J1688" s="20">
        <f>VLOOKUP(A1688,Metrik!$C$2:$Y$959,10,0)</f>
        <v>11.7</v>
      </c>
      <c r="K1688" s="20">
        <f>VLOOKUP(A1688,Metrik!$C$2:$Y$959,11,0)</f>
        <v>11.2</v>
      </c>
      <c r="L1688" s="20">
        <f>VLOOKUP(A1688,Metrik!$C$2:$Y$959,12,0)</f>
        <v>0.04</v>
      </c>
      <c r="M1688" s="20">
        <f>VLOOKUP(A1688,Metrik!$C$2:$Y$959,19,0)</f>
        <v>170</v>
      </c>
      <c r="N1688" s="21"/>
      <c r="O1688" s="21"/>
      <c r="P1688" s="21"/>
      <c r="Q1688" s="21"/>
      <c r="R1688" s="21"/>
      <c r="S1688" s="21"/>
      <c r="T1688" s="21"/>
      <c r="U1688" s="22">
        <f>IFERROR(__xludf.DUMMYFUNCTION("IFERROR(GOOGLEFINANCE(A1688,""closeyest""),"""")"),970.0)</f>
        <v>970</v>
      </c>
      <c r="V1688" s="23">
        <f>IFERROR(__xludf.DUMMYFUNCTION("IFERROR(GOOGLEFINANCE(A1688,""changepct""),"""")"),7.73)</f>
        <v>7.73</v>
      </c>
      <c r="W1688" s="22">
        <f>IFERROR(__xludf.DUMMYFUNCTION("IFERROR(GOOGLEFINANCE(A1688,""priceopen""),"""")"),975.0)</f>
        <v>975</v>
      </c>
      <c r="X1688" s="22" t="str">
        <f>IFERROR(__xludf.DUMMYFUNCTION("IFERROR(GOOGLEFINANCE(A1688,""high""),"""")"),"")</f>
        <v/>
      </c>
      <c r="Y1688" s="22">
        <f>IFERROR(__xludf.DUMMYFUNCTION("IFERROR(GOOGLEFINANCE(A1688,""low""),"""")"),975.0)</f>
        <v>975</v>
      </c>
      <c r="Z1688" s="22">
        <f>IFERROR(__xludf.DUMMYFUNCTION("IFERROR(GOOGLEFINANCE(A1688,""volume""),"""")"),655800.0)</f>
        <v>655800</v>
      </c>
      <c r="AA1688" s="24" t="str">
        <f>VLOOKUP(A1688,Metrik!$C$2:$Y$959,5,0)</f>
        <v>Coal</v>
      </c>
      <c r="AB1688" s="24" t="str">
        <f>VLOOKUP(A1688,Metrik!$C$2:$Y$959,3,0)</f>
        <v>Energy</v>
      </c>
    </row>
    <row r="1689">
      <c r="A1689" s="14" t="s">
        <v>925</v>
      </c>
      <c r="B1689" s="14" t="str">
        <f t="array" ref="B1689">VLOOKUP(A1689,{Metrik!$C$2:$C$998,Metrik!$B$2:$B$998},2,0)</f>
        <v>Indosterling Technomedia Tbk.</v>
      </c>
      <c r="C1689" s="15">
        <f>IFERROR(__xludf.DUMMYFUNCTION("GOOGLEFINANCE(""IDX:""&amp;A1689,""price"")"),50.0)</f>
        <v>50</v>
      </c>
      <c r="D1689" s="16" t="str">
        <f>IFERROR(__xludf.DUMMYFUNCTION("IF(A1689="""","""",
SPARKLINE(
INDEX(
GOOGLEFINANCE(""IDX:""&amp;A1689,""close"",TODAY()-365,TODAY()),
,2
),
{""linewidth"",1}
))
"),"#N/A")</f>
        <v>#N/A</v>
      </c>
      <c r="E1689" s="26"/>
      <c r="F1689" s="26"/>
      <c r="G1689" s="24">
        <f t="shared" si="10"/>
        <v>0</v>
      </c>
      <c r="H1689" s="19">
        <f>VLOOKUP(A1689,Metrik!$C$2:$Y$959,8,0)</f>
        <v>0</v>
      </c>
      <c r="I1689" s="20">
        <f>VLOOKUP(A1689,Metrik!$C$2:$Y$959,9,0)</f>
        <v>0.97</v>
      </c>
      <c r="J1689" s="20">
        <f>VLOOKUP(A1689,Metrik!$C$2:$Y$959,10,0)</f>
        <v>2</v>
      </c>
      <c r="K1689" s="20">
        <f>VLOOKUP(A1689,Metrik!$C$2:$Y$959,11,0)</f>
        <v>1.7</v>
      </c>
      <c r="L1689" s="20">
        <f>VLOOKUP(A1689,Metrik!$C$2:$Y$959,12,0)</f>
        <v>0.15</v>
      </c>
      <c r="M1689" s="20">
        <f>VLOOKUP(A1689,Metrik!$C$2:$Y$959,19,0)</f>
        <v>350</v>
      </c>
      <c r="N1689" s="21"/>
      <c r="O1689" s="21"/>
      <c r="P1689" s="21"/>
      <c r="Q1689" s="21"/>
      <c r="R1689" s="21"/>
      <c r="S1689" s="21"/>
      <c r="T1689" s="21"/>
      <c r="U1689" s="22">
        <f>IFERROR(__xludf.DUMMYFUNCTION("IFERROR(GOOGLEFINANCE(A1689,""closeyest""),"""")"),54.02)</f>
        <v>54.02</v>
      </c>
      <c r="V1689" s="23">
        <f>IFERROR(__xludf.DUMMYFUNCTION("IFERROR(GOOGLEFINANCE(A1689,""changepct""),"""")"),-0.04)</f>
        <v>-0.04</v>
      </c>
      <c r="W1689" s="22">
        <f>IFERROR(__xludf.DUMMYFUNCTION("IFERROR(GOOGLEFINANCE(A1689,""priceopen""),"""")"),54.06)</f>
        <v>54.06</v>
      </c>
      <c r="X1689" s="22">
        <f>IFERROR(__xludf.DUMMYFUNCTION("IFERROR(GOOGLEFINANCE(A1689,""high""),"""")"),54.62)</f>
        <v>54.62</v>
      </c>
      <c r="Y1689" s="22">
        <f>IFERROR(__xludf.DUMMYFUNCTION("IFERROR(GOOGLEFINANCE(A1689,""low""),"""")"),53.29)</f>
        <v>53.29</v>
      </c>
      <c r="Z1689" s="22">
        <f>IFERROR(__xludf.DUMMYFUNCTION("IFERROR(GOOGLEFINANCE(A1689,""volume""),"""")"),2558198.0)</f>
        <v>2558198</v>
      </c>
      <c r="AA1689" s="24" t="str">
        <f>VLOOKUP(A1689,Metrik!$C$2:$Y$959,5,0)</f>
        <v>IT Services &amp; Consulting</v>
      </c>
      <c r="AB1689" s="24" t="str">
        <f>VLOOKUP(A1689,Metrik!$C$2:$Y$959,3,0)</f>
        <v>Technology</v>
      </c>
    </row>
    <row r="1690">
      <c r="A1690" s="14" t="s">
        <v>926</v>
      </c>
      <c r="B1690" s="14" t="str">
        <f t="array" ref="B1690">VLOOKUP(A1690,{Metrik!$C$2:$C$998,Metrik!$B$2:$B$998},2,0)</f>
        <v>Omni Inovasi Indonesia Tbk.</v>
      </c>
      <c r="C1690" s="15">
        <f>IFERROR(__xludf.DUMMYFUNCTION("GOOGLEFINANCE(""IDX:""&amp;A1690,""price"")"),9.0)</f>
        <v>9</v>
      </c>
      <c r="D1690" s="16" t="str">
        <f>IFERROR(__xludf.DUMMYFUNCTION("IF(A1690="""","""",
SPARKLINE(
INDEX(
GOOGLEFINANCE(""IDX:""&amp;A1690,""close"",TODAY()-365,TODAY()),
,2
),
{""linewidth"",1}
))
"),"#N/A")</f>
        <v>#N/A</v>
      </c>
      <c r="E1690" s="26"/>
      <c r="F1690" s="26"/>
      <c r="G1690" s="24">
        <f t="shared" si="10"/>
        <v>0</v>
      </c>
      <c r="H1690" s="19">
        <f>VLOOKUP(A1690,Metrik!$C$2:$Y$959,8,0)</f>
        <v>-2.1</v>
      </c>
      <c r="I1690" s="20">
        <f>VLOOKUP(A1690,Metrik!$C$2:$Y$959,9,0)</f>
        <v>-0.01</v>
      </c>
      <c r="J1690" s="20">
        <f>VLOOKUP(A1690,Metrik!$C$2:$Y$959,10,0)</f>
        <v>0</v>
      </c>
      <c r="K1690" s="20">
        <f>VLOOKUP(A1690,Metrik!$C$2:$Y$959,11,0)</f>
        <v>-32.8</v>
      </c>
      <c r="L1690" s="20">
        <f>VLOOKUP(A1690,Metrik!$C$2:$Y$959,12,0)</f>
        <v>-1</v>
      </c>
      <c r="M1690" s="20">
        <f>VLOOKUP(A1690,Metrik!$C$2:$Y$959,19,0)</f>
        <v>-10.4</v>
      </c>
      <c r="N1690" s="21"/>
      <c r="O1690" s="21"/>
      <c r="P1690" s="21"/>
      <c r="Q1690" s="21"/>
      <c r="R1690" s="21"/>
      <c r="S1690" s="21"/>
      <c r="T1690" s="21"/>
      <c r="U1690" s="22">
        <f>IFERROR(__xludf.DUMMYFUNCTION("IFERROR(GOOGLEFINANCE(A1690,""closeyest""),"""")"),75.63)</f>
        <v>75.63</v>
      </c>
      <c r="V1690" s="23">
        <f>IFERROR(__xludf.DUMMYFUNCTION("IFERROR(GOOGLEFINANCE(A1690,""changepct""),"""")"),0.07)</f>
        <v>0.07</v>
      </c>
      <c r="W1690" s="22" t="str">
        <f>IFERROR(__xludf.DUMMYFUNCTION("IFERROR(GOOGLEFINANCE(A1690,""priceopen""),"""")"),"")</f>
        <v/>
      </c>
      <c r="X1690" s="22" t="str">
        <f>IFERROR(__xludf.DUMMYFUNCTION("IFERROR(GOOGLEFINANCE(A1690,""high""),"""")"),"")</f>
        <v/>
      </c>
      <c r="Y1690" s="22" t="str">
        <f>IFERROR(__xludf.DUMMYFUNCTION("IFERROR(GOOGLEFINANCE(A1690,""low""),"""")"),"")</f>
        <v/>
      </c>
      <c r="Z1690" s="22">
        <f>IFERROR(__xludf.DUMMYFUNCTION("IFERROR(GOOGLEFINANCE(A1690,""volume""),"""")"),0.0)</f>
        <v>0</v>
      </c>
      <c r="AA1690" s="24" t="str">
        <f>VLOOKUP(A1690,Metrik!$C$2:$Y$959,5,0)</f>
        <v>Consumer Distributors</v>
      </c>
      <c r="AB1690" s="24" t="str">
        <f>VLOOKUP(A1690,Metrik!$C$2:$Y$959,3,0)</f>
        <v>Consumer Cyclicals</v>
      </c>
    </row>
    <row r="1691">
      <c r="A1691" s="14" t="s">
        <v>927</v>
      </c>
      <c r="B1691" s="14" t="str">
        <f t="array" ref="B1691">VLOOKUP(A1691,{Metrik!$C$2:$C$998,Metrik!$B$2:$B$998},2,0)</f>
        <v>Telefast Indonesia Tbk.</v>
      </c>
      <c r="C1691" s="15">
        <f>IFERROR(__xludf.DUMMYFUNCTION("GOOGLEFINANCE(""IDX:""&amp;A1691,""price"")"),204.0)</f>
        <v>204</v>
      </c>
      <c r="D1691" s="16" t="str">
        <f>IFERROR(__xludf.DUMMYFUNCTION("IF(A1691="""","""",
SPARKLINE(
INDEX(
GOOGLEFINANCE(""IDX:""&amp;A1691,""close"",TODAY()-365,TODAY()),
,2
),
{""linewidth"",1}
))
"),"#N/A")</f>
        <v>#N/A</v>
      </c>
      <c r="E1691" s="26"/>
      <c r="F1691" s="26"/>
      <c r="G1691" s="24">
        <f t="shared" si="10"/>
        <v>0</v>
      </c>
      <c r="H1691" s="19">
        <f>VLOOKUP(A1691,Metrik!$C$2:$Y$959,8,0)</f>
        <v>-16.6</v>
      </c>
      <c r="I1691" s="20">
        <f>VLOOKUP(A1691,Metrik!$C$2:$Y$959,9,0)</f>
        <v>2.1</v>
      </c>
      <c r="J1691" s="20">
        <f>VLOOKUP(A1691,Metrik!$C$2:$Y$959,10,0)</f>
        <v>-12.7</v>
      </c>
      <c r="K1691" s="20">
        <f>VLOOKUP(A1691,Metrik!$C$2:$Y$959,11,0)</f>
        <v>-9.9</v>
      </c>
      <c r="L1691" s="20">
        <f>VLOOKUP(A1691,Metrik!$C$2:$Y$959,12,0)</f>
        <v>0.28</v>
      </c>
      <c r="M1691" s="20">
        <f>VLOOKUP(A1691,Metrik!$C$2:$Y$959,19,0)</f>
        <v>-19.6</v>
      </c>
      <c r="N1691" s="21"/>
      <c r="O1691" s="21"/>
      <c r="P1691" s="21"/>
      <c r="Q1691" s="21"/>
      <c r="R1691" s="21"/>
      <c r="S1691" s="21"/>
      <c r="T1691" s="21"/>
      <c r="U1691" s="22">
        <f>IFERROR(__xludf.DUMMYFUNCTION("IFERROR(GOOGLEFINANCE(A1691,""closeyest""),"""")"),198.0)</f>
        <v>198</v>
      </c>
      <c r="V1691" s="23">
        <f>IFERROR(__xludf.DUMMYFUNCTION("IFERROR(GOOGLEFINANCE(A1691,""changepct""),"""")"),3.03)</f>
        <v>3.03</v>
      </c>
      <c r="W1691" s="22">
        <f>IFERROR(__xludf.DUMMYFUNCTION("IFERROR(GOOGLEFINANCE(A1691,""priceopen""),"""")"),198.0)</f>
        <v>198</v>
      </c>
      <c r="X1691" s="22">
        <f>IFERROR(__xludf.DUMMYFUNCTION("IFERROR(GOOGLEFINANCE(A1691,""high""),"""")"),210.0)</f>
        <v>210</v>
      </c>
      <c r="Y1691" s="22" t="str">
        <f>IFERROR(__xludf.DUMMYFUNCTION("IFERROR(GOOGLEFINANCE(A1691,""low""),"""")"),"")</f>
        <v/>
      </c>
      <c r="Z1691" s="22" t="str">
        <f>IFERROR(__xludf.DUMMYFUNCTION("IFERROR(GOOGLEFINANCE(A1691,""volume""),"""")"),"")</f>
        <v/>
      </c>
      <c r="AA1691" s="24" t="str">
        <f>VLOOKUP(A1691,Metrik!$C$2:$Y$959,5,0)</f>
        <v>Online Applications &amp; Services</v>
      </c>
      <c r="AB1691" s="24" t="str">
        <f>VLOOKUP(A1691,Metrik!$C$2:$Y$959,3,0)</f>
        <v>Technology</v>
      </c>
    </row>
    <row r="1692">
      <c r="A1692" s="14" t="s">
        <v>928</v>
      </c>
      <c r="B1692" s="14" t="str">
        <f t="array" ref="B1692">VLOOKUP(A1692,{Metrik!$C$2:$C$998,Metrik!$B$2:$B$998},2,0)</f>
        <v>Tifico Fiber Indonesia Tbk</v>
      </c>
      <c r="C1692" s="15">
        <f>IFERROR(__xludf.DUMMYFUNCTION("GOOGLEFINANCE(""IDX:""&amp;A1692,""price"")"),595.0)</f>
        <v>595</v>
      </c>
      <c r="D1692" s="16" t="str">
        <f>IFERROR(__xludf.DUMMYFUNCTION("IF(A1692="""","""",
SPARKLINE(
INDEX(
GOOGLEFINANCE(""IDX:""&amp;A1692,""close"",TODAY()-365,TODAY()),
,2
),
{""linewidth"",1}
))
"),"#N/A")</f>
        <v>#N/A</v>
      </c>
      <c r="E1692" s="26"/>
      <c r="F1692" s="26"/>
      <c r="G1692" s="24">
        <f t="shared" si="10"/>
        <v>0</v>
      </c>
      <c r="H1692" s="19">
        <f>VLOOKUP(A1692,Metrik!$C$2:$Y$959,8,0)</f>
        <v>-33.5</v>
      </c>
      <c r="I1692" s="20">
        <f>VLOOKUP(A1692,Metrik!$C$2:$Y$959,9,0)</f>
        <v>0.55</v>
      </c>
      <c r="J1692" s="20">
        <f>VLOOKUP(A1692,Metrik!$C$2:$Y$959,10,0)</f>
        <v>-1.6</v>
      </c>
      <c r="K1692" s="20">
        <f>VLOOKUP(A1692,Metrik!$C$2:$Y$959,11,0)</f>
        <v>-1.5</v>
      </c>
      <c r="L1692" s="20">
        <f>VLOOKUP(A1692,Metrik!$C$2:$Y$959,12,0)</f>
        <v>0.1</v>
      </c>
      <c r="M1692" s="20">
        <f>VLOOKUP(A1692,Metrik!$C$2:$Y$959,19,0)</f>
        <v>-10.4</v>
      </c>
      <c r="N1692" s="21"/>
      <c r="O1692" s="21"/>
      <c r="P1692" s="21"/>
      <c r="Q1692" s="21"/>
      <c r="R1692" s="21"/>
      <c r="S1692" s="21"/>
      <c r="T1692" s="21"/>
      <c r="U1692" s="22">
        <f>IFERROR(__xludf.DUMMYFUNCTION("IFERROR(GOOGLEFINANCE(A1692,""closeyest""),"""")"),605.0)</f>
        <v>605</v>
      </c>
      <c r="V1692" s="23">
        <f>IFERROR(__xludf.DUMMYFUNCTION("IFERROR(GOOGLEFINANCE(A1692,""changepct""),"""")"),-1.65)</f>
        <v>-1.65</v>
      </c>
      <c r="W1692" s="22">
        <f>IFERROR(__xludf.DUMMYFUNCTION("IFERROR(GOOGLEFINANCE(A1692,""priceopen""),"""")"),595.0)</f>
        <v>595</v>
      </c>
      <c r="X1692" s="22">
        <f>IFERROR(__xludf.DUMMYFUNCTION("IFERROR(GOOGLEFINANCE(A1692,""high""),"""")"),595.0)</f>
        <v>595</v>
      </c>
      <c r="Y1692" s="22">
        <f>IFERROR(__xludf.DUMMYFUNCTION("IFERROR(GOOGLEFINANCE(A1692,""low""),"""")"),595.0)</f>
        <v>595</v>
      </c>
      <c r="Z1692" s="22">
        <f>IFERROR(__xludf.DUMMYFUNCTION("IFERROR(GOOGLEFINANCE(A1692,""volume""),"""")"),100.0)</f>
        <v>100</v>
      </c>
      <c r="AA1692" s="24" t="str">
        <f>VLOOKUP(A1692,Metrik!$C$2:$Y$959,5,0)</f>
        <v>Apparel &amp; Luxury Goods</v>
      </c>
      <c r="AB1692" s="24" t="str">
        <f>VLOOKUP(A1692,Metrik!$C$2:$Y$959,3,0)</f>
        <v>Consumer Cyclicals</v>
      </c>
    </row>
    <row r="1693">
      <c r="A1693" s="14" t="s">
        <v>929</v>
      </c>
      <c r="B1693" s="14" t="str">
        <f t="array" ref="B1693">VLOOKUP(A1693,{Metrik!$C$2:$C$998,Metrik!$B$2:$B$998},2,0)</f>
        <v>Tigaraksa Satria Tbk.</v>
      </c>
      <c r="C1693" s="15">
        <f>IFERROR(__xludf.DUMMYFUNCTION("GOOGLEFINANCE(""IDX:""&amp;A1693,""price"")"),4580.0)</f>
        <v>4580</v>
      </c>
      <c r="D1693" s="16" t="str">
        <f>IFERROR(__xludf.DUMMYFUNCTION("IF(A1693="""","""",
SPARKLINE(
INDEX(
GOOGLEFINANCE(""IDX:""&amp;A1693,""close"",TODAY()-365,TODAY()),
,2
),
{""linewidth"",1}
))
"),"#N/A")</f>
        <v>#N/A</v>
      </c>
      <c r="E1693" s="26"/>
      <c r="F1693" s="26"/>
      <c r="G1693" s="24">
        <f t="shared" si="10"/>
        <v>0</v>
      </c>
      <c r="H1693" s="19">
        <f>VLOOKUP(A1693,Metrik!$C$2:$Y$959,8,0)</f>
        <v>10.3</v>
      </c>
      <c r="I1693" s="20">
        <f>VLOOKUP(A1693,Metrik!$C$2:$Y$959,9,0)</f>
        <v>1.7</v>
      </c>
      <c r="J1693" s="20">
        <f>VLOOKUP(A1693,Metrik!$C$2:$Y$959,10,0)</f>
        <v>16.5</v>
      </c>
      <c r="K1693" s="20">
        <f>VLOOKUP(A1693,Metrik!$C$2:$Y$959,11,0)</f>
        <v>8.1</v>
      </c>
      <c r="L1693" s="20">
        <f>VLOOKUP(A1693,Metrik!$C$2:$Y$959,12,0)</f>
        <v>1</v>
      </c>
      <c r="M1693" s="20">
        <f>VLOOKUP(A1693,Metrik!$C$2:$Y$959,19,0)</f>
        <v>11.6</v>
      </c>
      <c r="N1693" s="21"/>
      <c r="O1693" s="21"/>
      <c r="P1693" s="21"/>
      <c r="Q1693" s="21"/>
      <c r="R1693" s="21"/>
      <c r="S1693" s="21"/>
      <c r="T1693" s="21"/>
      <c r="U1693" s="22">
        <f>IFERROR(__xludf.DUMMYFUNCTION("IFERROR(GOOGLEFINANCE(A1693,""closeyest""),"""")"),4490.0)</f>
        <v>4490</v>
      </c>
      <c r="V1693" s="23">
        <f>IFERROR(__xludf.DUMMYFUNCTION("IFERROR(GOOGLEFINANCE(A1693,""changepct""),"""")"),2.0)</f>
        <v>2</v>
      </c>
      <c r="W1693" s="22">
        <f>IFERROR(__xludf.DUMMYFUNCTION("IFERROR(GOOGLEFINANCE(A1693,""priceopen""),"""")"),4470.0)</f>
        <v>4470</v>
      </c>
      <c r="X1693" s="22">
        <f>IFERROR(__xludf.DUMMYFUNCTION("IFERROR(GOOGLEFINANCE(A1693,""high""),"""")"),4580.0)</f>
        <v>4580</v>
      </c>
      <c r="Y1693" s="22">
        <f>IFERROR(__xludf.DUMMYFUNCTION("IFERROR(GOOGLEFINANCE(A1693,""low""),"""")"),4460.0)</f>
        <v>4460</v>
      </c>
      <c r="Z1693" s="22">
        <f>IFERROR(__xludf.DUMMYFUNCTION("IFERROR(GOOGLEFINANCE(A1693,""volume""),"""")"),800.0)</f>
        <v>800</v>
      </c>
      <c r="AA1693" s="24" t="str">
        <f>VLOOKUP(A1693,Metrik!$C$2:$Y$959,5,0)</f>
        <v>Processed Foods</v>
      </c>
      <c r="AB1693" s="24" t="str">
        <f>VLOOKUP(A1693,Metrik!$C$2:$Y$959,3,0)</f>
        <v>Consumer Non-Cyclicals</v>
      </c>
    </row>
    <row r="1694">
      <c r="A1694" s="14" t="s">
        <v>930</v>
      </c>
      <c r="B1694" s="14" t="str">
        <f t="array" ref="B1694">VLOOKUP(A1694,{Metrik!$C$2:$C$998,Metrik!$B$2:$B$998},2,0)</f>
        <v>Terregra Asia Energy Tbk.</v>
      </c>
      <c r="C1694" s="15">
        <f>IFERROR(__xludf.DUMMYFUNCTION("GOOGLEFINANCE(""IDX:""&amp;A1694,""price"")"),27.0)</f>
        <v>27</v>
      </c>
      <c r="D1694" s="16" t="str">
        <f>IFERROR(__xludf.DUMMYFUNCTION("IF(A1694="""","""",
SPARKLINE(
INDEX(
GOOGLEFINANCE(""IDX:""&amp;A1694,""close"",TODAY()-365,TODAY()),
,2
),
{""linewidth"",1}
))
"),"#N/A")</f>
        <v>#N/A</v>
      </c>
      <c r="E1694" s="26"/>
      <c r="F1694" s="26"/>
      <c r="G1694" s="24">
        <f t="shared" si="10"/>
        <v>0</v>
      </c>
      <c r="H1694" s="19">
        <f>VLOOKUP(A1694,Metrik!$C$2:$Y$959,8,0)</f>
        <v>-2.8</v>
      </c>
      <c r="I1694" s="20">
        <f>VLOOKUP(A1694,Metrik!$C$2:$Y$959,9,0)</f>
        <v>0.25</v>
      </c>
      <c r="J1694" s="20">
        <f>VLOOKUP(A1694,Metrik!$C$2:$Y$959,10,0)</f>
        <v>-8.8</v>
      </c>
      <c r="K1694" s="20">
        <f>VLOOKUP(A1694,Metrik!$C$2:$Y$959,11,0)</f>
        <v>-5.8</v>
      </c>
      <c r="L1694" s="20">
        <f>VLOOKUP(A1694,Metrik!$C$2:$Y$959,12,0)</f>
        <v>0.52</v>
      </c>
      <c r="M1694" s="20">
        <f>VLOOKUP(A1694,Metrik!$C$2:$Y$959,19,0)</f>
        <v>0</v>
      </c>
      <c r="N1694" s="21"/>
      <c r="O1694" s="21"/>
      <c r="P1694" s="21"/>
      <c r="Q1694" s="21"/>
      <c r="R1694" s="21"/>
      <c r="S1694" s="21"/>
      <c r="T1694" s="21"/>
      <c r="U1694" s="22">
        <f>IFERROR(__xludf.DUMMYFUNCTION("IFERROR(GOOGLEFINANCE(A1694,""closeyest""),"""")"),27.0)</f>
        <v>27</v>
      </c>
      <c r="V1694" s="23">
        <f>IFERROR(__xludf.DUMMYFUNCTION("IFERROR(GOOGLEFINANCE(A1694,""changepct""),"""")"),0.0)</f>
        <v>0</v>
      </c>
      <c r="W1694" s="22" t="str">
        <f>IFERROR(__xludf.DUMMYFUNCTION("IFERROR(GOOGLEFINANCE(A1694,""priceopen""),"""")"),"")</f>
        <v/>
      </c>
      <c r="X1694" s="22" t="str">
        <f>IFERROR(__xludf.DUMMYFUNCTION("IFERROR(GOOGLEFINANCE(A1694,""high""),"""")"),"")</f>
        <v/>
      </c>
      <c r="Y1694" s="22" t="str">
        <f>IFERROR(__xludf.DUMMYFUNCTION("IFERROR(GOOGLEFINANCE(A1694,""low""),"""")"),"")</f>
        <v/>
      </c>
      <c r="Z1694" s="22">
        <f>IFERROR(__xludf.DUMMYFUNCTION("IFERROR(GOOGLEFINANCE(A1694,""volume""),"""")"),0.0)</f>
        <v>0</v>
      </c>
      <c r="AA1694" s="24" t="str">
        <f>VLOOKUP(A1694,Metrik!$C$2:$Y$959,5,0)</f>
        <v>Electric Utilities</v>
      </c>
      <c r="AB1694" s="24" t="str">
        <f>VLOOKUP(A1694,Metrik!$C$2:$Y$959,3,0)</f>
        <v>Infrastructures</v>
      </c>
    </row>
    <row r="1695">
      <c r="A1695" s="14" t="s">
        <v>931</v>
      </c>
      <c r="B1695" s="14" t="str">
        <f t="array" ref="B1695">VLOOKUP(A1695,{Metrik!$C$2:$C$998,Metrik!$B$2:$B$998},2,0)</f>
        <v>PT Platinum Wahab Nusantara Tbk.</v>
      </c>
      <c r="C1695" s="15">
        <f>IFERROR(__xludf.DUMMYFUNCTION("GOOGLEFINANCE(""IDX:""&amp;A1695,""price"")"),137.0)</f>
        <v>137</v>
      </c>
      <c r="D1695" s="16" t="str">
        <f>IFERROR(__xludf.DUMMYFUNCTION("IF(A1695="""","""",
SPARKLINE(
INDEX(
GOOGLEFINANCE(""IDX:""&amp;A1695,""close"",TODAY()-365,TODAY()),
,2
),
{""linewidth"",1}
))
"),"#N/A")</f>
        <v>#N/A</v>
      </c>
      <c r="E1695" s="26"/>
      <c r="F1695" s="26"/>
      <c r="G1695" s="24">
        <f t="shared" si="10"/>
        <v>0</v>
      </c>
      <c r="H1695" s="19">
        <f>VLOOKUP(A1695,Metrik!$C$2:$Y$959,8,0)</f>
        <v>-32.4</v>
      </c>
      <c r="I1695" s="20">
        <f>VLOOKUP(A1695,Metrik!$C$2:$Y$959,9,0)</f>
        <v>6.4</v>
      </c>
      <c r="J1695" s="20">
        <f>VLOOKUP(A1695,Metrik!$C$2:$Y$959,10,0)</f>
        <v>-19.8</v>
      </c>
      <c r="K1695" s="20">
        <f>VLOOKUP(A1695,Metrik!$C$2:$Y$959,11,0)</f>
        <v>-5.4</v>
      </c>
      <c r="L1695" s="20">
        <f>VLOOKUP(A1695,Metrik!$C$2:$Y$959,12,0)</f>
        <v>2.7</v>
      </c>
      <c r="M1695" s="20">
        <f>VLOOKUP(A1695,Metrik!$C$2:$Y$959,19,0)</f>
        <v>-7.5</v>
      </c>
      <c r="N1695" s="21"/>
      <c r="O1695" s="21"/>
      <c r="P1695" s="21"/>
      <c r="Q1695" s="21"/>
      <c r="R1695" s="21"/>
      <c r="S1695" s="21"/>
      <c r="T1695" s="21"/>
      <c r="U1695" s="22">
        <f>IFERROR(__xludf.DUMMYFUNCTION("IFERROR(GOOGLEFINANCE(A1695,""closeyest""),"""")"),137.0)</f>
        <v>137</v>
      </c>
      <c r="V1695" s="23">
        <f>IFERROR(__xludf.DUMMYFUNCTION("IFERROR(GOOGLEFINANCE(A1695,""changepct""),"""")"),0.0)</f>
        <v>0</v>
      </c>
      <c r="W1695" s="22" t="str">
        <f>IFERROR(__xludf.DUMMYFUNCTION("IFERROR(GOOGLEFINANCE(A1695,""priceopen""),"""")"),"")</f>
        <v/>
      </c>
      <c r="X1695" s="22" t="str">
        <f>IFERROR(__xludf.DUMMYFUNCTION("IFERROR(GOOGLEFINANCE(A1695,""high""),"""")"),"")</f>
        <v/>
      </c>
      <c r="Y1695" s="22" t="str">
        <f>IFERROR(__xludf.DUMMYFUNCTION("IFERROR(GOOGLEFINANCE(A1695,""low""),"""")"),"")</f>
        <v/>
      </c>
      <c r="Z1695" s="22">
        <f>IFERROR(__xludf.DUMMYFUNCTION("IFERROR(GOOGLEFINANCE(A1695,""volume""),"""")"),0.0)</f>
        <v>0</v>
      </c>
      <c r="AA1695" s="24" t="str">
        <f>VLOOKUP(A1695,Metrik!$C$2:$Y$959,5,0)</f>
        <v>Processed Foods</v>
      </c>
      <c r="AB1695" s="24" t="str">
        <f>VLOOKUP(A1695,Metrik!$C$2:$Y$959,3,0)</f>
        <v>Consumer Non-Cyclicals</v>
      </c>
    </row>
    <row r="1696">
      <c r="A1696" s="14" t="s">
        <v>932</v>
      </c>
      <c r="B1696" s="14" t="str">
        <f t="array" ref="B1696">VLOOKUP(A1696,{Metrik!$C$2:$C$998,Metrik!$B$2:$B$998},2,0)</f>
        <v>KDB Tifa Finance Tbk.</v>
      </c>
      <c r="C1696" s="15">
        <f>IFERROR(__xludf.DUMMYFUNCTION("GOOGLEFINANCE(""IDX:""&amp;A1696,""price"")"),274.0)</f>
        <v>274</v>
      </c>
      <c r="D1696" s="16" t="str">
        <f>IFERROR(__xludf.DUMMYFUNCTION("IF(A1696="""","""",
SPARKLINE(
INDEX(
GOOGLEFINANCE(""IDX:""&amp;A1696,""close"",TODAY()-365,TODAY()),
,2
),
{""linewidth"",1}
))
"),"#N/A")</f>
        <v>#N/A</v>
      </c>
      <c r="E1696" s="26"/>
      <c r="F1696" s="26"/>
      <c r="G1696" s="24">
        <f t="shared" si="10"/>
        <v>0</v>
      </c>
      <c r="H1696" s="19">
        <f>VLOOKUP(A1696,Metrik!$C$2:$Y$959,8,0)</f>
        <v>18.4</v>
      </c>
      <c r="I1696" s="20">
        <f>VLOOKUP(A1696,Metrik!$C$2:$Y$959,9,0)</f>
        <v>0.93</v>
      </c>
      <c r="J1696" s="20">
        <f>VLOOKUP(A1696,Metrik!$C$2:$Y$959,10,0)</f>
        <v>5.1</v>
      </c>
      <c r="K1696" s="20">
        <f>VLOOKUP(A1696,Metrik!$C$2:$Y$959,11,0)</f>
        <v>3.4</v>
      </c>
      <c r="L1696" s="20">
        <f>VLOOKUP(A1696,Metrik!$C$2:$Y$959,12,0)</f>
        <v>0.48</v>
      </c>
      <c r="M1696" s="20">
        <f>VLOOKUP(A1696,Metrik!$C$2:$Y$959,19,0)</f>
        <v>150</v>
      </c>
      <c r="N1696" s="21"/>
      <c r="O1696" s="21"/>
      <c r="P1696" s="21"/>
      <c r="Q1696" s="21"/>
      <c r="R1696" s="21"/>
      <c r="S1696" s="21"/>
      <c r="T1696" s="21"/>
      <c r="U1696" s="22">
        <f>IFERROR(__xludf.DUMMYFUNCTION("IFERROR(GOOGLEFINANCE(A1696,""closeyest""),"""")"),278.0)</f>
        <v>278</v>
      </c>
      <c r="V1696" s="23">
        <f>IFERROR(__xludf.DUMMYFUNCTION("IFERROR(GOOGLEFINANCE(A1696,""changepct""),"""")"),-1.44)</f>
        <v>-1.44</v>
      </c>
      <c r="W1696" s="22">
        <f>IFERROR(__xludf.DUMMYFUNCTION("IFERROR(GOOGLEFINANCE(A1696,""priceopen""),"""")"),278.0)</f>
        <v>278</v>
      </c>
      <c r="X1696" s="22">
        <f>IFERROR(__xludf.DUMMYFUNCTION("IFERROR(GOOGLEFINANCE(A1696,""high""),"""")"),280.0)</f>
        <v>280</v>
      </c>
      <c r="Y1696" s="22">
        <f>IFERROR(__xludf.DUMMYFUNCTION("IFERROR(GOOGLEFINANCE(A1696,""low""),"""")"),256.0)</f>
        <v>256</v>
      </c>
      <c r="Z1696" s="22">
        <f>IFERROR(__xludf.DUMMYFUNCTION("IFERROR(GOOGLEFINANCE(A1696,""volume""),"""")"),524300.0)</f>
        <v>524300</v>
      </c>
      <c r="AA1696" s="24" t="str">
        <f>VLOOKUP(A1696,Metrik!$C$2:$Y$959,5,0)</f>
        <v>Consumer Financing</v>
      </c>
      <c r="AB1696" s="24" t="str">
        <f>VLOOKUP(A1696,Metrik!$C$2:$Y$959,3,0)</f>
        <v>Financials</v>
      </c>
    </row>
    <row r="1697">
      <c r="A1697" s="17" t="s">
        <v>933</v>
      </c>
      <c r="B1697" s="14" t="str">
        <f t="array" ref="B1697">VLOOKUP(A1697,{Metrik!$C$2:$C$998,Metrik!$B$2:$B$998},2,0)</f>
        <v>Timah Tbk.</v>
      </c>
      <c r="C1697" s="15">
        <f>IFERROR(__xludf.DUMMYFUNCTION("GOOGLEFINANCE(""IDX:""&amp;A1697,""price"")"),3300.0)</f>
        <v>3300</v>
      </c>
      <c r="D1697" s="16" t="str">
        <f>IFERROR(__xludf.DUMMYFUNCTION("IF(A1697="""","""",
SPARKLINE(
INDEX(
GOOGLEFINANCE(""IDX:""&amp;A1697,""close"",TODAY()-365,TODAY()),
,2
),
{""linewidth"",1}
))
"),"#N/A")</f>
        <v>#N/A</v>
      </c>
      <c r="E1697" s="14" t="s">
        <v>106</v>
      </c>
      <c r="F1697" s="25">
        <v>46356.0</v>
      </c>
      <c r="G1697" s="24">
        <f t="shared" si="10"/>
        <v>5</v>
      </c>
      <c r="H1697" s="19">
        <f>VLOOKUP(A1697,Metrik!$C$2:$Y$959,8,0)</f>
        <v>8.9</v>
      </c>
      <c r="I1697" s="20">
        <f>VLOOKUP(A1697,Metrik!$C$2:$Y$959,9,0)</f>
        <v>2.4</v>
      </c>
      <c r="J1697" s="20">
        <f>VLOOKUP(A1697,Metrik!$C$2:$Y$959,10,0)</f>
        <v>27.1</v>
      </c>
      <c r="K1697" s="20">
        <f>VLOOKUP(A1697,Metrik!$C$2:$Y$959,11,0)</f>
        <v>17.7</v>
      </c>
      <c r="L1697" s="20">
        <f>VLOOKUP(A1697,Metrik!$C$2:$Y$959,12,0)</f>
        <v>0.53</v>
      </c>
      <c r="M1697" s="20">
        <f>VLOOKUP(A1697,Metrik!$C$2:$Y$959,19,0)</f>
        <v>49.4</v>
      </c>
      <c r="N1697" s="21"/>
      <c r="O1697" s="21"/>
      <c r="P1697" s="21"/>
      <c r="Q1697" s="21"/>
      <c r="R1697" s="21"/>
      <c r="S1697" s="21"/>
      <c r="T1697" s="21"/>
      <c r="U1697" s="22">
        <f>IFERROR(__xludf.DUMMYFUNCTION("IFERROR(GOOGLEFINANCE(A1697,""closeyest""),"""")"),26.65)</f>
        <v>26.65</v>
      </c>
      <c r="V1697" s="23">
        <f>IFERROR(__xludf.DUMMYFUNCTION("IFERROR(GOOGLEFINANCE(A1697,""changepct""),"""")"),10.23)</f>
        <v>10.23</v>
      </c>
      <c r="W1697" s="22" t="str">
        <f>IFERROR(__xludf.DUMMYFUNCTION("IFERROR(GOOGLEFINANCE(A1697,""priceopen""),"""")"),"")</f>
        <v/>
      </c>
      <c r="X1697" s="22">
        <f>IFERROR(__xludf.DUMMYFUNCTION("IFERROR(GOOGLEFINANCE(A1697,""high""),"""")"),29.38)</f>
        <v>29.38</v>
      </c>
      <c r="Y1697" s="22">
        <f>IFERROR(__xludf.DUMMYFUNCTION("IFERROR(GOOGLEFINANCE(A1697,""low""),"""")"),29.38)</f>
        <v>29.38</v>
      </c>
      <c r="Z1697" s="22">
        <f>IFERROR(__xludf.DUMMYFUNCTION("IFERROR(GOOGLEFINANCE(A1697,""volume""),"""")"),0.0)</f>
        <v>0</v>
      </c>
      <c r="AA1697" s="24" t="str">
        <f>VLOOKUP(A1697,Metrik!$C$2:$Y$959,5,0)</f>
        <v>Metals &amp; Minerals</v>
      </c>
      <c r="AB1697" s="24" t="str">
        <f>VLOOKUP(A1697,Metrik!$C$2:$Y$959,3,0)</f>
        <v>Basic Materials</v>
      </c>
    </row>
    <row r="1698">
      <c r="A1698" s="17" t="s">
        <v>933</v>
      </c>
      <c r="B1698" s="14" t="str">
        <f t="array" ref="B1698">VLOOKUP(A1698,{Metrik!$C$2:$C$998,Metrik!$B$2:$B$998},2,0)</f>
        <v>Timah Tbk.</v>
      </c>
      <c r="C1698" s="15">
        <f>IFERROR(__xludf.DUMMYFUNCTION("GOOGLEFINANCE(""IDX:""&amp;A1698,""price"")"),3300.0)</f>
        <v>3300</v>
      </c>
      <c r="D1698" s="16" t="str">
        <f>IFERROR(__xludf.DUMMYFUNCTION("IF(A1698="""","""",
SPARKLINE(
INDEX(
GOOGLEFINANCE(""IDX:""&amp;A1698,""close"",TODAY()-365,TODAY()),
,2
),
{""linewidth"",1}
))
"),"#N/A")</f>
        <v>#N/A</v>
      </c>
      <c r="E1698" s="14" t="s">
        <v>65</v>
      </c>
      <c r="F1698" s="37">
        <v>46356.0</v>
      </c>
      <c r="G1698" s="38">
        <f t="shared" si="10"/>
        <v>5</v>
      </c>
      <c r="H1698" s="34">
        <f>VLOOKUP(A1698,Metrik!$C$2:$Y$959,8,0)</f>
        <v>8.9</v>
      </c>
      <c r="I1698" s="34">
        <f>VLOOKUP(A1698,Metrik!$C$2:$Y$959,9,0)</f>
        <v>2.4</v>
      </c>
      <c r="J1698" s="34">
        <f>VLOOKUP(A1698,Metrik!$C$2:$Y$959,10,0)</f>
        <v>27.1</v>
      </c>
      <c r="K1698" s="34">
        <f>VLOOKUP(A1698,Metrik!$C$2:$Y$959,11,0)</f>
        <v>17.7</v>
      </c>
      <c r="L1698" s="34">
        <f>VLOOKUP(A1698,Metrik!$C$2:$Y$959,12,0)</f>
        <v>0.53</v>
      </c>
      <c r="M1698" s="34">
        <f>VLOOKUP(A1698,Metrik!$C$2:$Y$959,19,0)</f>
        <v>49.4</v>
      </c>
      <c r="N1698" s="26"/>
      <c r="O1698" s="26"/>
      <c r="P1698" s="26"/>
      <c r="Q1698" s="26"/>
      <c r="R1698" s="26"/>
      <c r="S1698" s="26"/>
      <c r="T1698" s="26"/>
      <c r="U1698" s="35">
        <f>IFERROR(__xludf.DUMMYFUNCTION("IFERROR(GOOGLEFINANCE(A1698,""closeyest""),"""")"),26.65)</f>
        <v>26.65</v>
      </c>
      <c r="V1698" s="36">
        <f>IFERROR(__xludf.DUMMYFUNCTION("IFERROR(GOOGLEFINANCE(A1698,""changepct""),"""")"),10.23)</f>
        <v>10.23</v>
      </c>
      <c r="W1698" s="35" t="str">
        <f>IFERROR(__xludf.DUMMYFUNCTION("IFERROR(GOOGLEFINANCE(A1698,""priceopen""),"""")"),"")</f>
        <v/>
      </c>
      <c r="X1698" s="35">
        <f>IFERROR(__xludf.DUMMYFUNCTION("IFERROR(GOOGLEFINANCE(A1698,""high""),"""")"),29.38)</f>
        <v>29.38</v>
      </c>
      <c r="Y1698" s="35">
        <f>IFERROR(__xludf.DUMMYFUNCTION("IFERROR(GOOGLEFINANCE(A1698,""low""),"""")"),29.38)</f>
        <v>29.38</v>
      </c>
      <c r="Z1698" s="35">
        <f>IFERROR(__xludf.DUMMYFUNCTION("IFERROR(GOOGLEFINANCE(A1698,""volume""),"""")"),0.0)</f>
        <v>0</v>
      </c>
      <c r="AA1698" s="14" t="str">
        <f>VLOOKUP(A1698,Metrik!$C$2:$Y$959,5,0)</f>
        <v>Metals &amp; Minerals</v>
      </c>
      <c r="AB1698" s="14" t="str">
        <f>VLOOKUP(A1698,Metrik!$C$2:$Y$959,3,0)</f>
        <v>Basic Materials</v>
      </c>
    </row>
    <row r="1699">
      <c r="A1699" s="17" t="s">
        <v>933</v>
      </c>
      <c r="B1699" s="14" t="str">
        <f t="array" ref="B1699">VLOOKUP(A1699,{Metrik!$C$2:$C$998,Metrik!$B$2:$B$998},2,0)</f>
        <v>Timah Tbk.</v>
      </c>
      <c r="C1699" s="15">
        <f>IFERROR(__xludf.DUMMYFUNCTION("GOOGLEFINANCE(""IDX:""&amp;A1699,""price"")"),3300.0)</f>
        <v>3300</v>
      </c>
      <c r="D1699" s="16" t="str">
        <f>IFERROR(__xludf.DUMMYFUNCTION("IF(A1699="""","""",
SPARKLINE(
INDEX(
GOOGLEFINANCE(""IDX:""&amp;A1699,""close"",TODAY()-365,TODAY()),
,2
),
{""linewidth"",1}
))
"),"#N/A")</f>
        <v>#N/A</v>
      </c>
      <c r="E1699" s="14" t="s">
        <v>39</v>
      </c>
      <c r="F1699" s="25">
        <v>46356.0</v>
      </c>
      <c r="G1699" s="18">
        <f t="shared" si="10"/>
        <v>5</v>
      </c>
      <c r="H1699" s="19">
        <f>VLOOKUP(A1699,Metrik!$C$2:$Y$959,8,0)</f>
        <v>8.9</v>
      </c>
      <c r="I1699" s="20">
        <f>VLOOKUP(A1699,Metrik!$C$2:$Y$959,9,0)</f>
        <v>2.4</v>
      </c>
      <c r="J1699" s="20">
        <f>VLOOKUP(A1699,Metrik!$C$2:$Y$959,10,0)</f>
        <v>27.1</v>
      </c>
      <c r="K1699" s="20">
        <f>VLOOKUP(A1699,Metrik!$C$2:$Y$959,11,0)</f>
        <v>17.7</v>
      </c>
      <c r="L1699" s="20">
        <f>VLOOKUP(A1699,Metrik!$C$2:$Y$959,12,0)</f>
        <v>0.53</v>
      </c>
      <c r="M1699" s="20">
        <f>VLOOKUP(A1699,Metrik!$C$2:$Y$959,19,0)</f>
        <v>49.4</v>
      </c>
      <c r="N1699" s="21"/>
      <c r="O1699" s="21"/>
      <c r="P1699" s="21"/>
      <c r="Q1699" s="21"/>
      <c r="R1699" s="21"/>
      <c r="S1699" s="21"/>
      <c r="T1699" s="21"/>
      <c r="U1699" s="22">
        <f>IFERROR(__xludf.DUMMYFUNCTION("IFERROR(GOOGLEFINANCE(A1699,""closeyest""),"""")"),26.65)</f>
        <v>26.65</v>
      </c>
      <c r="V1699" s="23">
        <f>IFERROR(__xludf.DUMMYFUNCTION("IFERROR(GOOGLEFINANCE(A1699,""changepct""),"""")"),10.23)</f>
        <v>10.23</v>
      </c>
      <c r="W1699" s="22" t="str">
        <f>IFERROR(__xludf.DUMMYFUNCTION("IFERROR(GOOGLEFINANCE(A1699,""priceopen""),"""")"),"")</f>
        <v/>
      </c>
      <c r="X1699" s="22">
        <f>IFERROR(__xludf.DUMMYFUNCTION("IFERROR(GOOGLEFINANCE(A1699,""high""),"""")"),29.38)</f>
        <v>29.38</v>
      </c>
      <c r="Y1699" s="22">
        <f>IFERROR(__xludf.DUMMYFUNCTION("IFERROR(GOOGLEFINANCE(A1699,""low""),"""")"),29.38)</f>
        <v>29.38</v>
      </c>
      <c r="Z1699" s="22">
        <f>IFERROR(__xludf.DUMMYFUNCTION("IFERROR(GOOGLEFINANCE(A1699,""volume""),"""")"),0.0)</f>
        <v>0</v>
      </c>
      <c r="AA1699" s="24" t="str">
        <f>VLOOKUP(A1699,Metrik!$C$2:$Y$959,5,0)</f>
        <v>Metals &amp; Minerals</v>
      </c>
      <c r="AB1699" s="24" t="str">
        <f>VLOOKUP(A1699,Metrik!$C$2:$Y$959,3,0)</f>
        <v>Basic Materials</v>
      </c>
    </row>
    <row r="1700">
      <c r="A1700" s="14" t="s">
        <v>933</v>
      </c>
      <c r="B1700" s="14" t="str">
        <f t="array" ref="B1700">VLOOKUP(A1700,{Metrik!$C$2:$C$998,Metrik!$B$2:$B$998},2,0)</f>
        <v>Timah Tbk.</v>
      </c>
      <c r="C1700" s="15">
        <f>IFERROR(__xludf.DUMMYFUNCTION("GOOGLEFINANCE(""IDX:""&amp;A1700,""price"")"),3300.0)</f>
        <v>3300</v>
      </c>
      <c r="D1700" s="16" t="str">
        <f>IFERROR(__xludf.DUMMYFUNCTION("IF(A1700="""","""",
SPARKLINE(
INDEX(
GOOGLEFINANCE(""IDX:""&amp;A1700,""close"",TODAY()-365,TODAY()),
,2
),
{""linewidth"",1}
))
"),"#N/A")</f>
        <v>#N/A</v>
      </c>
      <c r="E1700" s="14" t="s">
        <v>32</v>
      </c>
      <c r="F1700" s="14" t="s">
        <v>29</v>
      </c>
      <c r="G1700" s="24">
        <f t="shared" si="10"/>
        <v>5</v>
      </c>
      <c r="H1700" s="19">
        <f>VLOOKUP(A1700,Metrik!$C$2:$Y$959,8,0)</f>
        <v>8.9</v>
      </c>
      <c r="I1700" s="20">
        <f>VLOOKUP(A1700,Metrik!$C$2:$Y$959,9,0)</f>
        <v>2.4</v>
      </c>
      <c r="J1700" s="20">
        <f>VLOOKUP(A1700,Metrik!$C$2:$Y$959,10,0)</f>
        <v>27.1</v>
      </c>
      <c r="K1700" s="20">
        <f>VLOOKUP(A1700,Metrik!$C$2:$Y$959,11,0)</f>
        <v>17.7</v>
      </c>
      <c r="L1700" s="20">
        <f>VLOOKUP(A1700,Metrik!$C$2:$Y$959,12,0)</f>
        <v>0.53</v>
      </c>
      <c r="M1700" s="20">
        <f>VLOOKUP(A1700,Metrik!$C$2:$Y$959,19,0)</f>
        <v>49.4</v>
      </c>
      <c r="N1700" s="21"/>
      <c r="O1700" s="21"/>
      <c r="P1700" s="21"/>
      <c r="Q1700" s="21"/>
      <c r="R1700" s="21"/>
      <c r="S1700" s="21"/>
      <c r="T1700" s="21"/>
      <c r="U1700" s="22">
        <f>IFERROR(__xludf.DUMMYFUNCTION("IFERROR(GOOGLEFINANCE(A1700,""closeyest""),"""")"),26.65)</f>
        <v>26.65</v>
      </c>
      <c r="V1700" s="23">
        <f>IFERROR(__xludf.DUMMYFUNCTION("IFERROR(GOOGLEFINANCE(A1700,""changepct""),"""")"),10.23)</f>
        <v>10.23</v>
      </c>
      <c r="W1700" s="22" t="str">
        <f>IFERROR(__xludf.DUMMYFUNCTION("IFERROR(GOOGLEFINANCE(A1700,""priceopen""),"""")"),"")</f>
        <v/>
      </c>
      <c r="X1700" s="22">
        <f>IFERROR(__xludf.DUMMYFUNCTION("IFERROR(GOOGLEFINANCE(A1700,""high""),"""")"),29.38)</f>
        <v>29.38</v>
      </c>
      <c r="Y1700" s="22">
        <f>IFERROR(__xludf.DUMMYFUNCTION("IFERROR(GOOGLEFINANCE(A1700,""low""),"""")"),29.38)</f>
        <v>29.38</v>
      </c>
      <c r="Z1700" s="22">
        <f>IFERROR(__xludf.DUMMYFUNCTION("IFERROR(GOOGLEFINANCE(A1700,""volume""),"""")"),0.0)</f>
        <v>0</v>
      </c>
      <c r="AA1700" s="24" t="str">
        <f>VLOOKUP(A1700,Metrik!$C$2:$Y$959,5,0)</f>
        <v>Metals &amp; Minerals</v>
      </c>
      <c r="AB1700" s="24" t="str">
        <f>VLOOKUP(A1700,Metrik!$C$2:$Y$959,3,0)</f>
        <v>Basic Materials</v>
      </c>
    </row>
    <row r="1701">
      <c r="A1701" s="14" t="s">
        <v>933</v>
      </c>
      <c r="B1701" s="14" t="str">
        <f t="array" ref="B1701">VLOOKUP(A1701,{Metrik!$C$2:$C$998,Metrik!$B$2:$B$998},2,0)</f>
        <v>Timah Tbk.</v>
      </c>
      <c r="C1701" s="15">
        <f>IFERROR(__xludf.DUMMYFUNCTION("GOOGLEFINANCE(""IDX:""&amp;A1701,""price"")"),3300.0)</f>
        <v>3300</v>
      </c>
      <c r="D1701" s="16" t="str">
        <f>IFERROR(__xludf.DUMMYFUNCTION("IF(A1701="""","""",
SPARKLINE(
INDEX(
GOOGLEFINANCE(""IDX:""&amp;A1701,""close"",TODAY()-365,TODAY()),
,2
),
{""linewidth"",1}
))
"),"#N/A")</f>
        <v>#N/A</v>
      </c>
      <c r="E1701" s="14" t="s">
        <v>41</v>
      </c>
      <c r="F1701" s="14" t="s">
        <v>34</v>
      </c>
      <c r="G1701" s="24">
        <f t="shared" si="10"/>
        <v>5</v>
      </c>
      <c r="H1701" s="19">
        <f>VLOOKUP(A1701,Metrik!$C$2:$Y$959,8,0)</f>
        <v>8.9</v>
      </c>
      <c r="I1701" s="20">
        <f>VLOOKUP(A1701,Metrik!$C$2:$Y$959,9,0)</f>
        <v>2.4</v>
      </c>
      <c r="J1701" s="20">
        <f>VLOOKUP(A1701,Metrik!$C$2:$Y$959,10,0)</f>
        <v>27.1</v>
      </c>
      <c r="K1701" s="20">
        <f>VLOOKUP(A1701,Metrik!$C$2:$Y$959,11,0)</f>
        <v>17.7</v>
      </c>
      <c r="L1701" s="20">
        <f>VLOOKUP(A1701,Metrik!$C$2:$Y$959,12,0)</f>
        <v>0.53</v>
      </c>
      <c r="M1701" s="20">
        <f>VLOOKUP(A1701,Metrik!$C$2:$Y$959,19,0)</f>
        <v>49.4</v>
      </c>
      <c r="N1701" s="21"/>
      <c r="O1701" s="21"/>
      <c r="P1701" s="21"/>
      <c r="Q1701" s="21"/>
      <c r="R1701" s="21"/>
      <c r="S1701" s="21"/>
      <c r="T1701" s="21"/>
      <c r="U1701" s="22">
        <f>IFERROR(__xludf.DUMMYFUNCTION("IFERROR(GOOGLEFINANCE(A1701,""closeyest""),"""")"),26.65)</f>
        <v>26.65</v>
      </c>
      <c r="V1701" s="23">
        <f>IFERROR(__xludf.DUMMYFUNCTION("IFERROR(GOOGLEFINANCE(A1701,""changepct""),"""")"),10.23)</f>
        <v>10.23</v>
      </c>
      <c r="W1701" s="22" t="str">
        <f>IFERROR(__xludf.DUMMYFUNCTION("IFERROR(GOOGLEFINANCE(A1701,""priceopen""),"""")"),"")</f>
        <v/>
      </c>
      <c r="X1701" s="22">
        <f>IFERROR(__xludf.DUMMYFUNCTION("IFERROR(GOOGLEFINANCE(A1701,""high""),"""")"),29.38)</f>
        <v>29.38</v>
      </c>
      <c r="Y1701" s="22">
        <f>IFERROR(__xludf.DUMMYFUNCTION("IFERROR(GOOGLEFINANCE(A1701,""low""),"""")"),29.38)</f>
        <v>29.38</v>
      </c>
      <c r="Z1701" s="22">
        <f>IFERROR(__xludf.DUMMYFUNCTION("IFERROR(GOOGLEFINANCE(A1701,""volume""),"""")"),0.0)</f>
        <v>0</v>
      </c>
      <c r="AA1701" s="24" t="str">
        <f>VLOOKUP(A1701,Metrik!$C$2:$Y$959,5,0)</f>
        <v>Metals &amp; Minerals</v>
      </c>
      <c r="AB1701" s="24" t="str">
        <f>VLOOKUP(A1701,Metrik!$C$2:$Y$959,3,0)</f>
        <v>Basic Materials</v>
      </c>
    </row>
    <row r="1702">
      <c r="A1702" s="14" t="s">
        <v>934</v>
      </c>
      <c r="B1702" s="14" t="str">
        <f t="array" ref="B1702">VLOOKUP(A1702,{Metrik!$C$2:$C$998,Metrik!$B$2:$B$998},2,0)</f>
        <v>Tira Austenite Tbk</v>
      </c>
      <c r="C1702" s="15">
        <f>IFERROR(__xludf.DUMMYFUNCTION("GOOGLEFINANCE(""IDX:""&amp;A1702,""price"")"),665.0)</f>
        <v>665</v>
      </c>
      <c r="D1702" s="16" t="str">
        <f>IFERROR(__xludf.DUMMYFUNCTION("IF(A1702="""","""",
SPARKLINE(
INDEX(
GOOGLEFINANCE(""IDX:""&amp;A1702,""close"",TODAY()-365,TODAY()),
,2
),
{""linewidth"",1}
))
"),"#N/A")</f>
        <v>#N/A</v>
      </c>
      <c r="E1702" s="26"/>
      <c r="F1702" s="26"/>
      <c r="G1702" s="24">
        <f t="shared" si="10"/>
        <v>0</v>
      </c>
      <c r="H1702" s="19">
        <f>VLOOKUP(A1702,Metrik!$C$2:$Y$959,8,0)</f>
        <v>42.7</v>
      </c>
      <c r="I1702" s="20">
        <f>VLOOKUP(A1702,Metrik!$C$2:$Y$959,9,0)</f>
        <v>2</v>
      </c>
      <c r="J1702" s="20">
        <f>VLOOKUP(A1702,Metrik!$C$2:$Y$959,10,0)</f>
        <v>4.8</v>
      </c>
      <c r="K1702" s="20">
        <f>VLOOKUP(A1702,Metrik!$C$2:$Y$959,11,0)</f>
        <v>2</v>
      </c>
      <c r="L1702" s="20">
        <f>VLOOKUP(A1702,Metrik!$C$2:$Y$959,12,0)</f>
        <v>1.4</v>
      </c>
      <c r="M1702" s="20">
        <f>VLOOKUP(A1702,Metrik!$C$2:$Y$959,19,0)</f>
        <v>12.3</v>
      </c>
      <c r="N1702" s="21"/>
      <c r="O1702" s="21"/>
      <c r="P1702" s="21"/>
      <c r="Q1702" s="21"/>
      <c r="R1702" s="21"/>
      <c r="S1702" s="21"/>
      <c r="T1702" s="21"/>
      <c r="U1702" s="22">
        <f>IFERROR(__xludf.DUMMYFUNCTION("IFERROR(GOOGLEFINANCE(A1702,""closeyest""),"""")"),640.0)</f>
        <v>640</v>
      </c>
      <c r="V1702" s="23">
        <f>IFERROR(__xludf.DUMMYFUNCTION("IFERROR(GOOGLEFINANCE(A1702,""changepct""),"""")"),3.91)</f>
        <v>3.91</v>
      </c>
      <c r="W1702" s="22">
        <f>IFERROR(__xludf.DUMMYFUNCTION("IFERROR(GOOGLEFINANCE(A1702,""priceopen""),"""")"),645.0)</f>
        <v>645</v>
      </c>
      <c r="X1702" s="22">
        <f>IFERROR(__xludf.DUMMYFUNCTION("IFERROR(GOOGLEFINANCE(A1702,""high""),"""")"),680.0)</f>
        <v>680</v>
      </c>
      <c r="Y1702" s="22">
        <f>IFERROR(__xludf.DUMMYFUNCTION("IFERROR(GOOGLEFINANCE(A1702,""low""),"""")"),620.0)</f>
        <v>620</v>
      </c>
      <c r="Z1702" s="22">
        <f>IFERROR(__xludf.DUMMYFUNCTION("IFERROR(GOOGLEFINANCE(A1702,""volume""),"""")"),819400.0)</f>
        <v>819400</v>
      </c>
      <c r="AA1702" s="24" t="str">
        <f>VLOOKUP(A1702,Metrik!$C$2:$Y$959,5,0)</f>
        <v>Diversified Industrial Trading</v>
      </c>
      <c r="AB1702" s="24" t="str">
        <f>VLOOKUP(A1702,Metrik!$C$2:$Y$959,3,0)</f>
        <v>Industrials</v>
      </c>
    </row>
    <row r="1703">
      <c r="A1703" s="14" t="s">
        <v>935</v>
      </c>
      <c r="B1703" s="14" t="str">
        <f t="array" ref="B1703">VLOOKUP(A1703,{Metrik!$C$2:$C$998,Metrik!$B$2:$B$998},2,0)</f>
        <v>Tirta Mahakam Resources Tbk</v>
      </c>
      <c r="C1703" s="15">
        <f>IFERROR(__xludf.DUMMYFUNCTION("GOOGLEFINANCE(""IDX:""&amp;A1703,""price"")"),525.0)</f>
        <v>525</v>
      </c>
      <c r="D1703" s="16" t="str">
        <f>IFERROR(__xludf.DUMMYFUNCTION("IF(A1703="""","""",
SPARKLINE(
INDEX(
GOOGLEFINANCE(""IDX:""&amp;A1703,""close"",TODAY()-365,TODAY()),
,2
),
{""linewidth"",1}
))
"),"#N/A")</f>
        <v>#N/A</v>
      </c>
      <c r="E1703" s="26"/>
      <c r="F1703" s="26"/>
      <c r="G1703" s="24">
        <f t="shared" si="10"/>
        <v>0</v>
      </c>
      <c r="H1703" s="19">
        <f>VLOOKUP(A1703,Metrik!$C$2:$Y$959,8,0)</f>
        <v>-16.9</v>
      </c>
      <c r="I1703" s="20">
        <f>VLOOKUP(A1703,Metrik!$C$2:$Y$959,9,0)</f>
        <v>-0.77</v>
      </c>
      <c r="J1703" s="20">
        <f>VLOOKUP(A1703,Metrik!$C$2:$Y$959,10,0)</f>
        <v>0</v>
      </c>
      <c r="K1703" s="20">
        <f>VLOOKUP(A1703,Metrik!$C$2:$Y$959,11,0)</f>
        <v>-7.3</v>
      </c>
      <c r="L1703" s="20">
        <f>VLOOKUP(A1703,Metrik!$C$2:$Y$959,12,0)</f>
        <v>-1.6</v>
      </c>
      <c r="M1703" s="20">
        <f>VLOOKUP(A1703,Metrik!$C$2:$Y$959,19,0)</f>
        <v>-100</v>
      </c>
      <c r="N1703" s="21"/>
      <c r="O1703" s="21"/>
      <c r="P1703" s="21"/>
      <c r="Q1703" s="21"/>
      <c r="R1703" s="21"/>
      <c r="S1703" s="21"/>
      <c r="T1703" s="21"/>
      <c r="U1703" s="22">
        <f>IFERROR(__xludf.DUMMYFUNCTION("IFERROR(GOOGLEFINANCE(A1703,""closeyest""),"""")"),478.0)</f>
        <v>478</v>
      </c>
      <c r="V1703" s="23">
        <f>IFERROR(__xludf.DUMMYFUNCTION("IFERROR(GOOGLEFINANCE(A1703,""changepct""),"""")"),9.83)</f>
        <v>9.83</v>
      </c>
      <c r="W1703" s="22">
        <f>IFERROR(__xludf.DUMMYFUNCTION("IFERROR(GOOGLEFINANCE(A1703,""priceopen""),"""")"),484.0)</f>
        <v>484</v>
      </c>
      <c r="X1703" s="22">
        <f>IFERROR(__xludf.DUMMYFUNCTION("IFERROR(GOOGLEFINANCE(A1703,""high""),"""")"),525.0)</f>
        <v>525</v>
      </c>
      <c r="Y1703" s="22">
        <f>IFERROR(__xludf.DUMMYFUNCTION("IFERROR(GOOGLEFINANCE(A1703,""low""),"""")"),484.0)</f>
        <v>484</v>
      </c>
      <c r="Z1703" s="22">
        <f>IFERROR(__xludf.DUMMYFUNCTION("IFERROR(GOOGLEFINANCE(A1703,""volume""),"""")"),784400.0)</f>
        <v>784400</v>
      </c>
      <c r="AA1703" s="24" t="str">
        <f>VLOOKUP(A1703,Metrik!$C$2:$Y$959,5,0)</f>
        <v>Forestry &amp; Paper</v>
      </c>
      <c r="AB1703" s="24" t="str">
        <f>VLOOKUP(A1703,Metrik!$C$2:$Y$959,3,0)</f>
        <v>Basic Materials</v>
      </c>
    </row>
    <row r="1704">
      <c r="A1704" s="17" t="s">
        <v>936</v>
      </c>
      <c r="B1704" s="14" t="str">
        <f t="array" ref="B1704">VLOOKUP(A1704,{Metrik!$C$2:$C$998,Metrik!$B$2:$B$998},2,0)</f>
        <v>Pabrik Kertas Tjiwi Kimia Tbk.</v>
      </c>
      <c r="C1704" s="15">
        <f>IFERROR(__xludf.DUMMYFUNCTION("GOOGLEFINANCE(""IDX:""&amp;A1704,""price"")"),5650.0)</f>
        <v>5650</v>
      </c>
      <c r="D1704" s="16" t="str">
        <f>IFERROR(__xludf.DUMMYFUNCTION("IF(A1704="""","""",
SPARKLINE(
INDEX(
GOOGLEFINANCE(""IDX:""&amp;A1704,""close"",TODAY()-365,TODAY()),
,2
),
{""linewidth"",1}
))
"),"#N/A")</f>
        <v>#N/A</v>
      </c>
      <c r="E1704" s="14" t="s">
        <v>47</v>
      </c>
      <c r="F1704" s="25">
        <v>46356.0</v>
      </c>
      <c r="G1704" s="18">
        <f t="shared" si="10"/>
        <v>4</v>
      </c>
      <c r="H1704" s="19">
        <f>VLOOKUP(A1704,Metrik!$C$2:$Y$959,8,0)</f>
        <v>4</v>
      </c>
      <c r="I1704" s="20">
        <f>VLOOKUP(A1704,Metrik!$C$2:$Y$959,9,0)</f>
        <v>0.34</v>
      </c>
      <c r="J1704" s="20">
        <f>VLOOKUP(A1704,Metrik!$C$2:$Y$959,10,0)</f>
        <v>8.5</v>
      </c>
      <c r="K1704" s="20">
        <f>VLOOKUP(A1704,Metrik!$C$2:$Y$959,11,0)</f>
        <v>6.4</v>
      </c>
      <c r="L1704" s="20">
        <f>VLOOKUP(A1704,Metrik!$C$2:$Y$959,12,0)</f>
        <v>0.33</v>
      </c>
      <c r="M1704" s="20">
        <f>VLOOKUP(A1704,Metrik!$C$2:$Y$959,19,0)</f>
        <v>98.6</v>
      </c>
      <c r="N1704" s="21"/>
      <c r="O1704" s="21"/>
      <c r="P1704" s="21"/>
      <c r="Q1704" s="21"/>
      <c r="R1704" s="21"/>
      <c r="S1704" s="21"/>
      <c r="T1704" s="21"/>
      <c r="U1704" s="22">
        <f>IFERROR(__xludf.DUMMYFUNCTION("IFERROR(GOOGLEFINANCE(A1704,""closeyest""),"""")"),5600.0)</f>
        <v>5600</v>
      </c>
      <c r="V1704" s="23">
        <f>IFERROR(__xludf.DUMMYFUNCTION("IFERROR(GOOGLEFINANCE(A1704,""changepct""),"""")"),0.89)</f>
        <v>0.89</v>
      </c>
      <c r="W1704" s="22">
        <f>IFERROR(__xludf.DUMMYFUNCTION("IFERROR(GOOGLEFINANCE(A1704,""priceopen""),"""")"),5650.0)</f>
        <v>5650</v>
      </c>
      <c r="X1704" s="22">
        <f>IFERROR(__xludf.DUMMYFUNCTION("IFERROR(GOOGLEFINANCE(A1704,""high""),"""")"),5775.0)</f>
        <v>5775</v>
      </c>
      <c r="Y1704" s="22">
        <f>IFERROR(__xludf.DUMMYFUNCTION("IFERROR(GOOGLEFINANCE(A1704,""low""),"""")"),5600.0)</f>
        <v>5600</v>
      </c>
      <c r="Z1704" s="22">
        <f>IFERROR(__xludf.DUMMYFUNCTION("IFERROR(GOOGLEFINANCE(A1704,""volume""),"""")"),2269800.0)</f>
        <v>2269800</v>
      </c>
      <c r="AA1704" s="24" t="str">
        <f>VLOOKUP(A1704,Metrik!$C$2:$Y$959,5,0)</f>
        <v>Forestry &amp; Paper</v>
      </c>
      <c r="AB1704" s="24" t="str">
        <f>VLOOKUP(A1704,Metrik!$C$2:$Y$959,3,0)</f>
        <v>Basic Materials</v>
      </c>
    </row>
    <row r="1705">
      <c r="A1705" s="14" t="s">
        <v>936</v>
      </c>
      <c r="B1705" s="14" t="str">
        <f t="array" ref="B1705">VLOOKUP(A1705,{Metrik!$C$2:$C$998,Metrik!$B$2:$B$998},2,0)</f>
        <v>Pabrik Kertas Tjiwi Kimia Tbk.</v>
      </c>
      <c r="C1705" s="15">
        <f>IFERROR(__xludf.DUMMYFUNCTION("GOOGLEFINANCE(""IDX:""&amp;A1705,""price"")"),5650.0)</f>
        <v>5650</v>
      </c>
      <c r="D1705" s="16" t="str">
        <f>IFERROR(__xludf.DUMMYFUNCTION("IF(A1705="""","""",
SPARKLINE(
INDEX(
GOOGLEFINANCE(""IDX:""&amp;A1705,""close"",TODAY()-365,TODAY()),
,2
),
{""linewidth"",1}
))
"),"#N/A")</f>
        <v>#N/A</v>
      </c>
      <c r="E1705" s="14" t="s">
        <v>65</v>
      </c>
      <c r="F1705" s="25">
        <v>46356.0</v>
      </c>
      <c r="G1705" s="18">
        <f t="shared" si="10"/>
        <v>4</v>
      </c>
      <c r="H1705" s="19">
        <f>VLOOKUP(A1705,Metrik!$C$2:$Y$959,8,0)</f>
        <v>4</v>
      </c>
      <c r="I1705" s="20">
        <f>VLOOKUP(A1705,Metrik!$C$2:$Y$959,9,0)</f>
        <v>0.34</v>
      </c>
      <c r="J1705" s="20">
        <f>VLOOKUP(A1705,Metrik!$C$2:$Y$959,10,0)</f>
        <v>8.5</v>
      </c>
      <c r="K1705" s="20">
        <f>VLOOKUP(A1705,Metrik!$C$2:$Y$959,11,0)</f>
        <v>6.4</v>
      </c>
      <c r="L1705" s="20">
        <f>VLOOKUP(A1705,Metrik!$C$2:$Y$959,12,0)</f>
        <v>0.33</v>
      </c>
      <c r="M1705" s="20">
        <f>VLOOKUP(A1705,Metrik!$C$2:$Y$959,19,0)</f>
        <v>98.6</v>
      </c>
      <c r="N1705" s="21"/>
      <c r="O1705" s="21"/>
      <c r="P1705" s="21"/>
      <c r="Q1705" s="21"/>
      <c r="R1705" s="21"/>
      <c r="S1705" s="21"/>
      <c r="T1705" s="21"/>
      <c r="U1705" s="22">
        <f>IFERROR(__xludf.DUMMYFUNCTION("IFERROR(GOOGLEFINANCE(A1705,""closeyest""),"""")"),5600.0)</f>
        <v>5600</v>
      </c>
      <c r="V1705" s="23">
        <f>IFERROR(__xludf.DUMMYFUNCTION("IFERROR(GOOGLEFINANCE(A1705,""changepct""),"""")"),0.89)</f>
        <v>0.89</v>
      </c>
      <c r="W1705" s="22">
        <f>IFERROR(__xludf.DUMMYFUNCTION("IFERROR(GOOGLEFINANCE(A1705,""priceopen""),"""")"),5650.0)</f>
        <v>5650</v>
      </c>
      <c r="X1705" s="22">
        <f>IFERROR(__xludf.DUMMYFUNCTION("IFERROR(GOOGLEFINANCE(A1705,""high""),"""")"),5775.0)</f>
        <v>5775</v>
      </c>
      <c r="Y1705" s="22">
        <f>IFERROR(__xludf.DUMMYFUNCTION("IFERROR(GOOGLEFINANCE(A1705,""low""),"""")"),5600.0)</f>
        <v>5600</v>
      </c>
      <c r="Z1705" s="22">
        <f>IFERROR(__xludf.DUMMYFUNCTION("IFERROR(GOOGLEFINANCE(A1705,""volume""),"""")"),2269800.0)</f>
        <v>2269800</v>
      </c>
      <c r="AA1705" s="24" t="str">
        <f>VLOOKUP(A1705,Metrik!$C$2:$Y$959,5,0)</f>
        <v>Forestry &amp; Paper</v>
      </c>
      <c r="AB1705" s="24" t="str">
        <f>VLOOKUP(A1705,Metrik!$C$2:$Y$959,3,0)</f>
        <v>Basic Materials</v>
      </c>
    </row>
    <row r="1706">
      <c r="A1706" s="17" t="s">
        <v>936</v>
      </c>
      <c r="B1706" s="14" t="str">
        <f t="array" ref="B1706">VLOOKUP(A1706,{Metrik!$C$2:$C$998,Metrik!$B$2:$B$998},2,0)</f>
        <v>Pabrik Kertas Tjiwi Kimia Tbk.</v>
      </c>
      <c r="C1706" s="15">
        <f>IFERROR(__xludf.DUMMYFUNCTION("GOOGLEFINANCE(""IDX:""&amp;A1706,""price"")"),5650.0)</f>
        <v>5650</v>
      </c>
      <c r="D1706" s="16" t="str">
        <f>IFERROR(__xludf.DUMMYFUNCTION("IF(A1706="""","""",
SPARKLINE(
INDEX(
GOOGLEFINANCE(""IDX:""&amp;A1706,""close"",TODAY()-365,TODAY()),
,2
),
{""linewidth"",1}
))
"),"#N/A")</f>
        <v>#N/A</v>
      </c>
      <c r="E1706" s="14" t="s">
        <v>55</v>
      </c>
      <c r="F1706" s="25">
        <v>46356.0</v>
      </c>
      <c r="G1706" s="18">
        <f t="shared" si="10"/>
        <v>4</v>
      </c>
      <c r="H1706" s="19">
        <f>VLOOKUP(A1706,Metrik!$C$2:$Y$959,8,0)</f>
        <v>4</v>
      </c>
      <c r="I1706" s="20">
        <f>VLOOKUP(A1706,Metrik!$C$2:$Y$959,9,0)</f>
        <v>0.34</v>
      </c>
      <c r="J1706" s="20">
        <f>VLOOKUP(A1706,Metrik!$C$2:$Y$959,10,0)</f>
        <v>8.5</v>
      </c>
      <c r="K1706" s="20">
        <f>VLOOKUP(A1706,Metrik!$C$2:$Y$959,11,0)</f>
        <v>6.4</v>
      </c>
      <c r="L1706" s="20">
        <f>VLOOKUP(A1706,Metrik!$C$2:$Y$959,12,0)</f>
        <v>0.33</v>
      </c>
      <c r="M1706" s="20">
        <f>VLOOKUP(A1706,Metrik!$C$2:$Y$959,19,0)</f>
        <v>98.6</v>
      </c>
      <c r="N1706" s="21"/>
      <c r="O1706" s="21"/>
      <c r="P1706" s="21"/>
      <c r="Q1706" s="21"/>
      <c r="R1706" s="21"/>
      <c r="S1706" s="21"/>
      <c r="T1706" s="21"/>
      <c r="U1706" s="22">
        <f>IFERROR(__xludf.DUMMYFUNCTION("IFERROR(GOOGLEFINANCE(A1706,""closeyest""),"""")"),5600.0)</f>
        <v>5600</v>
      </c>
      <c r="V1706" s="23">
        <f>IFERROR(__xludf.DUMMYFUNCTION("IFERROR(GOOGLEFINANCE(A1706,""changepct""),"""")"),0.89)</f>
        <v>0.89</v>
      </c>
      <c r="W1706" s="22">
        <f>IFERROR(__xludf.DUMMYFUNCTION("IFERROR(GOOGLEFINANCE(A1706,""priceopen""),"""")"),5650.0)</f>
        <v>5650</v>
      </c>
      <c r="X1706" s="22">
        <f>IFERROR(__xludf.DUMMYFUNCTION("IFERROR(GOOGLEFINANCE(A1706,""high""),"""")"),5775.0)</f>
        <v>5775</v>
      </c>
      <c r="Y1706" s="22">
        <f>IFERROR(__xludf.DUMMYFUNCTION("IFERROR(GOOGLEFINANCE(A1706,""low""),"""")"),5600.0)</f>
        <v>5600</v>
      </c>
      <c r="Z1706" s="22">
        <f>IFERROR(__xludf.DUMMYFUNCTION("IFERROR(GOOGLEFINANCE(A1706,""volume""),"""")"),2269800.0)</f>
        <v>2269800</v>
      </c>
      <c r="AA1706" s="24" t="str">
        <f>VLOOKUP(A1706,Metrik!$C$2:$Y$959,5,0)</f>
        <v>Forestry &amp; Paper</v>
      </c>
      <c r="AB1706" s="24" t="str">
        <f>VLOOKUP(A1706,Metrik!$C$2:$Y$959,3,0)</f>
        <v>Basic Materials</v>
      </c>
    </row>
    <row r="1707">
      <c r="A1707" s="14" t="s">
        <v>936</v>
      </c>
      <c r="B1707" s="14" t="str">
        <f t="array" ref="B1707">VLOOKUP(A1707,{Metrik!$C$2:$C$998,Metrik!$B$2:$B$998},2,0)</f>
        <v>Pabrik Kertas Tjiwi Kimia Tbk.</v>
      </c>
      <c r="C1707" s="15">
        <f>IFERROR(__xludf.DUMMYFUNCTION("GOOGLEFINANCE(""IDX:""&amp;A1707,""price"")"),5650.0)</f>
        <v>5650</v>
      </c>
      <c r="D1707" s="16" t="str">
        <f>IFERROR(__xludf.DUMMYFUNCTION("IF(A1707="""","""",
SPARKLINE(
INDEX(
GOOGLEFINANCE(""IDX:""&amp;A1707,""close"",TODAY()-365,TODAY()),
,2
),
{""linewidth"",1}
))
"),"#N/A")</f>
        <v>#N/A</v>
      </c>
      <c r="E1707" s="14" t="s">
        <v>39</v>
      </c>
      <c r="F1707" s="25">
        <v>46356.0</v>
      </c>
      <c r="G1707" s="18">
        <f t="shared" si="10"/>
        <v>4</v>
      </c>
      <c r="H1707" s="19">
        <f>VLOOKUP(A1707,Metrik!$C$2:$Y$959,8,0)</f>
        <v>4</v>
      </c>
      <c r="I1707" s="20">
        <f>VLOOKUP(A1707,Metrik!$C$2:$Y$959,9,0)</f>
        <v>0.34</v>
      </c>
      <c r="J1707" s="20">
        <f>VLOOKUP(A1707,Metrik!$C$2:$Y$959,10,0)</f>
        <v>8.5</v>
      </c>
      <c r="K1707" s="20">
        <f>VLOOKUP(A1707,Metrik!$C$2:$Y$959,11,0)</f>
        <v>6.4</v>
      </c>
      <c r="L1707" s="20">
        <f>VLOOKUP(A1707,Metrik!$C$2:$Y$959,12,0)</f>
        <v>0.33</v>
      </c>
      <c r="M1707" s="20">
        <f>VLOOKUP(A1707,Metrik!$C$2:$Y$959,19,0)</f>
        <v>98.6</v>
      </c>
      <c r="N1707" s="21"/>
      <c r="O1707" s="21"/>
      <c r="P1707" s="21"/>
      <c r="Q1707" s="21"/>
      <c r="R1707" s="21"/>
      <c r="S1707" s="21"/>
      <c r="T1707" s="21"/>
      <c r="U1707" s="22">
        <f>IFERROR(__xludf.DUMMYFUNCTION("IFERROR(GOOGLEFINANCE(A1707,""closeyest""),"""")"),5600.0)</f>
        <v>5600</v>
      </c>
      <c r="V1707" s="23">
        <f>IFERROR(__xludf.DUMMYFUNCTION("IFERROR(GOOGLEFINANCE(A1707,""changepct""),"""")"),0.89)</f>
        <v>0.89</v>
      </c>
      <c r="W1707" s="22">
        <f>IFERROR(__xludf.DUMMYFUNCTION("IFERROR(GOOGLEFINANCE(A1707,""priceopen""),"""")"),5650.0)</f>
        <v>5650</v>
      </c>
      <c r="X1707" s="22">
        <f>IFERROR(__xludf.DUMMYFUNCTION("IFERROR(GOOGLEFINANCE(A1707,""high""),"""")"),5775.0)</f>
        <v>5775</v>
      </c>
      <c r="Y1707" s="22">
        <f>IFERROR(__xludf.DUMMYFUNCTION("IFERROR(GOOGLEFINANCE(A1707,""low""),"""")"),5600.0)</f>
        <v>5600</v>
      </c>
      <c r="Z1707" s="22">
        <f>IFERROR(__xludf.DUMMYFUNCTION("IFERROR(GOOGLEFINANCE(A1707,""volume""),"""")"),2269800.0)</f>
        <v>2269800</v>
      </c>
      <c r="AA1707" s="24" t="str">
        <f>VLOOKUP(A1707,Metrik!$C$2:$Y$959,5,0)</f>
        <v>Forestry &amp; Paper</v>
      </c>
      <c r="AB1707" s="24" t="str">
        <f>VLOOKUP(A1707,Metrik!$C$2:$Y$959,3,0)</f>
        <v>Basic Materials</v>
      </c>
    </row>
    <row r="1708">
      <c r="A1708" s="14" t="s">
        <v>937</v>
      </c>
      <c r="B1708" s="14" t="str">
        <f t="array" ref="B1708">VLOOKUP(A1708,{Metrik!$C$2:$C$998,Metrik!$B$2:$B$998},2,0)</f>
        <v>Teladan Prima Agro Tbk.</v>
      </c>
      <c r="C1708" s="15">
        <f>IFERROR(__xludf.DUMMYFUNCTION("GOOGLEFINANCE(""IDX:""&amp;A1708,""price"")"),496.0)</f>
        <v>496</v>
      </c>
      <c r="D1708" s="16" t="str">
        <f>IFERROR(__xludf.DUMMYFUNCTION("IF(A1708="""","""",
SPARKLINE(
INDEX(
GOOGLEFINANCE(""IDX:""&amp;A1708,""close"",TODAY()-365,TODAY()),
,2
),
{""linewidth"",1}
))
"),"#N/A")</f>
        <v>#N/A</v>
      </c>
      <c r="E1708" s="26"/>
      <c r="F1708" s="26"/>
      <c r="G1708" s="18">
        <f t="shared" si="10"/>
        <v>0</v>
      </c>
      <c r="H1708" s="19">
        <f>VLOOKUP(A1708,Metrik!$C$2:$Y$959,8,0)</f>
        <v>6.5</v>
      </c>
      <c r="I1708" s="20">
        <f>VLOOKUP(A1708,Metrik!$C$2:$Y$959,9,0)</f>
        <v>1.8</v>
      </c>
      <c r="J1708" s="20">
        <f>VLOOKUP(A1708,Metrik!$C$2:$Y$959,10,0)</f>
        <v>28</v>
      </c>
      <c r="K1708" s="20">
        <f>VLOOKUP(A1708,Metrik!$C$2:$Y$959,11,0)</f>
        <v>17</v>
      </c>
      <c r="L1708" s="20">
        <f>VLOOKUP(A1708,Metrik!$C$2:$Y$959,12,0)</f>
        <v>0.64</v>
      </c>
      <c r="M1708" s="20">
        <f>VLOOKUP(A1708,Metrik!$C$2:$Y$959,19,0)</f>
        <v>78.2</v>
      </c>
      <c r="N1708" s="21"/>
      <c r="O1708" s="21"/>
      <c r="P1708" s="21"/>
      <c r="Q1708" s="21"/>
      <c r="R1708" s="21"/>
      <c r="S1708" s="21"/>
      <c r="T1708" s="21"/>
      <c r="U1708" s="22">
        <f>IFERROR(__xludf.DUMMYFUNCTION("IFERROR(GOOGLEFINANCE(A1708,""closeyest""),"""")"),0.0)</f>
        <v>0</v>
      </c>
      <c r="V1708" s="23">
        <f>IFERROR(__xludf.DUMMYFUNCTION("IFERROR(GOOGLEFINANCE(A1708,""changepct""),"""")"),0.0)</f>
        <v>0</v>
      </c>
      <c r="W1708" s="22" t="str">
        <f>IFERROR(__xludf.DUMMYFUNCTION("IFERROR(GOOGLEFINANCE(A1708,""priceopen""),"""")"),"")</f>
        <v/>
      </c>
      <c r="X1708" s="22" t="str">
        <f>IFERROR(__xludf.DUMMYFUNCTION("IFERROR(GOOGLEFINANCE(A1708,""high""),"""")"),"")</f>
        <v/>
      </c>
      <c r="Y1708" s="22" t="str">
        <f>IFERROR(__xludf.DUMMYFUNCTION("IFERROR(GOOGLEFINANCE(A1708,""low""),"""")"),"")</f>
        <v/>
      </c>
      <c r="Z1708" s="22">
        <f>IFERROR(__xludf.DUMMYFUNCTION("IFERROR(GOOGLEFINANCE(A1708,""volume""),"""")"),0.0)</f>
        <v>0</v>
      </c>
      <c r="AA1708" s="24" t="str">
        <f>VLOOKUP(A1708,Metrik!$C$2:$Y$959,5,0)</f>
        <v>Agricultural Products</v>
      </c>
      <c r="AB1708" s="24" t="str">
        <f>VLOOKUP(A1708,Metrik!$C$2:$Y$959,3,0)</f>
        <v>Consumer Non-Cyclicals</v>
      </c>
    </row>
    <row r="1709">
      <c r="A1709" s="14" t="s">
        <v>938</v>
      </c>
      <c r="B1709" s="14" t="str">
        <f t="array" ref="B1709">VLOOKUP(A1709,{Metrik!$C$2:$C$998,Metrik!$B$2:$B$998},2,0)</f>
        <v>Telkom Indonesia (Persero) Tbk.</v>
      </c>
      <c r="C1709" s="15">
        <f>IFERROR(__xludf.DUMMYFUNCTION("GOOGLEFINANCE(""IDX:""&amp;A1709,""price"")"),2860.0)</f>
        <v>2860</v>
      </c>
      <c r="D1709" s="16" t="str">
        <f>IFERROR(__xludf.DUMMYFUNCTION("IF(A1709="""","""",
SPARKLINE(
INDEX(
GOOGLEFINANCE(""IDX:""&amp;A1709,""close"",TODAY()-365,TODAY()),
,2
),
{""linewidth"",1}
))
"),"#N/A")</f>
        <v>#N/A</v>
      </c>
      <c r="E1709" s="14" t="s">
        <v>106</v>
      </c>
      <c r="F1709" s="25">
        <v>46356.0</v>
      </c>
      <c r="G1709" s="24">
        <f t="shared" si="10"/>
        <v>19</v>
      </c>
      <c r="H1709" s="19">
        <f>VLOOKUP(A1709,Metrik!$C$2:$Y$959,8,0)</f>
        <v>10.1</v>
      </c>
      <c r="I1709" s="20">
        <f>VLOOKUP(A1709,Metrik!$C$2:$Y$959,9,0)</f>
        <v>1.9</v>
      </c>
      <c r="J1709" s="20">
        <f>VLOOKUP(A1709,Metrik!$C$2:$Y$959,10,0)</f>
        <v>19.1</v>
      </c>
      <c r="K1709" s="20">
        <f>VLOOKUP(A1709,Metrik!$C$2:$Y$959,11,0)</f>
        <v>4.7</v>
      </c>
      <c r="L1709" s="20">
        <f>VLOOKUP(A1709,Metrik!$C$2:$Y$959,12,0)</f>
        <v>0.86</v>
      </c>
      <c r="M1709" s="20">
        <f>VLOOKUP(A1709,Metrik!$C$2:$Y$959,19,0)</f>
        <v>20.3</v>
      </c>
      <c r="N1709" s="21"/>
      <c r="O1709" s="21"/>
      <c r="P1709" s="21"/>
      <c r="Q1709" s="21"/>
      <c r="R1709" s="21"/>
      <c r="S1709" s="21"/>
      <c r="T1709" s="21"/>
      <c r="U1709" s="22">
        <f>IFERROR(__xludf.DUMMYFUNCTION("IFERROR(GOOGLEFINANCE(A1709,""closeyest""),"""")"),2870.0)</f>
        <v>2870</v>
      </c>
      <c r="V1709" s="23">
        <f>IFERROR(__xludf.DUMMYFUNCTION("IFERROR(GOOGLEFINANCE(A1709,""changepct""),"""")"),-0.35)</f>
        <v>-0.35</v>
      </c>
      <c r="W1709" s="22">
        <f>IFERROR(__xludf.DUMMYFUNCTION("IFERROR(GOOGLEFINANCE(A1709,""priceopen""),"""")"),2910.0)</f>
        <v>2910</v>
      </c>
      <c r="X1709" s="22">
        <f>IFERROR(__xludf.DUMMYFUNCTION("IFERROR(GOOGLEFINANCE(A1709,""high""),"""")"),2980.0)</f>
        <v>2980</v>
      </c>
      <c r="Y1709" s="22">
        <f>IFERROR(__xludf.DUMMYFUNCTION("IFERROR(GOOGLEFINANCE(A1709,""low""),"""")"),2860.0)</f>
        <v>2860</v>
      </c>
      <c r="Z1709" s="22">
        <f>IFERROR(__xludf.DUMMYFUNCTION("IFERROR(GOOGLEFINANCE(A1709,""volume""),"""")"),1.815319E8)</f>
        <v>181531900</v>
      </c>
      <c r="AA1709" s="24" t="str">
        <f>VLOOKUP(A1709,Metrik!$C$2:$Y$959,5,0)</f>
        <v>Telecommunication Service</v>
      </c>
      <c r="AB1709" s="24" t="str">
        <f>VLOOKUP(A1709,Metrik!$C$2:$Y$959,3,0)</f>
        <v>Infrastructures</v>
      </c>
    </row>
    <row r="1710">
      <c r="A1710" s="14" t="s">
        <v>938</v>
      </c>
      <c r="B1710" s="14" t="str">
        <f t="array" ref="B1710">VLOOKUP(A1710,{Metrik!$C$2:$C$998,Metrik!$B$2:$B$998},2,0)</f>
        <v>Telkom Indonesia (Persero) Tbk.</v>
      </c>
      <c r="C1710" s="15">
        <f>IFERROR(__xludf.DUMMYFUNCTION("GOOGLEFINANCE(""IDX:""&amp;A1710,""price"")"),2860.0)</f>
        <v>2860</v>
      </c>
      <c r="D1710" s="16" t="str">
        <f>IFERROR(__xludf.DUMMYFUNCTION("IF(A1710="""","""",
SPARKLINE(
INDEX(
GOOGLEFINANCE(""IDX:""&amp;A1710,""close"",TODAY()-365,TODAY()),
,2
),
{""linewidth"",1}
))
"),"#N/A")</f>
        <v>#N/A</v>
      </c>
      <c r="E1710" s="14" t="s">
        <v>42</v>
      </c>
      <c r="F1710" s="25">
        <v>46356.0</v>
      </c>
      <c r="G1710" s="24">
        <f t="shared" si="10"/>
        <v>19</v>
      </c>
      <c r="H1710" s="19">
        <f>VLOOKUP(A1710,Metrik!$C$2:$Y$959,8,0)</f>
        <v>10.1</v>
      </c>
      <c r="I1710" s="20">
        <f>VLOOKUP(A1710,Metrik!$C$2:$Y$959,9,0)</f>
        <v>1.9</v>
      </c>
      <c r="J1710" s="20">
        <f>VLOOKUP(A1710,Metrik!$C$2:$Y$959,10,0)</f>
        <v>19.1</v>
      </c>
      <c r="K1710" s="20">
        <f>VLOOKUP(A1710,Metrik!$C$2:$Y$959,11,0)</f>
        <v>4.7</v>
      </c>
      <c r="L1710" s="20">
        <f>VLOOKUP(A1710,Metrik!$C$2:$Y$959,12,0)</f>
        <v>0.86</v>
      </c>
      <c r="M1710" s="20">
        <f>VLOOKUP(A1710,Metrik!$C$2:$Y$959,19,0)</f>
        <v>20.3</v>
      </c>
      <c r="N1710" s="21"/>
      <c r="O1710" s="21"/>
      <c r="P1710" s="21"/>
      <c r="Q1710" s="21"/>
      <c r="R1710" s="21"/>
      <c r="S1710" s="21"/>
      <c r="T1710" s="21"/>
      <c r="U1710" s="22">
        <f>IFERROR(__xludf.DUMMYFUNCTION("IFERROR(GOOGLEFINANCE(A1710,""closeyest""),"""")"),2870.0)</f>
        <v>2870</v>
      </c>
      <c r="V1710" s="23">
        <f>IFERROR(__xludf.DUMMYFUNCTION("IFERROR(GOOGLEFINANCE(A1710,""changepct""),"""")"),-0.35)</f>
        <v>-0.35</v>
      </c>
      <c r="W1710" s="22">
        <f>IFERROR(__xludf.DUMMYFUNCTION("IFERROR(GOOGLEFINANCE(A1710,""priceopen""),"""")"),2910.0)</f>
        <v>2910</v>
      </c>
      <c r="X1710" s="22">
        <f>IFERROR(__xludf.DUMMYFUNCTION("IFERROR(GOOGLEFINANCE(A1710,""high""),"""")"),2980.0)</f>
        <v>2980</v>
      </c>
      <c r="Y1710" s="22">
        <f>IFERROR(__xludf.DUMMYFUNCTION("IFERROR(GOOGLEFINANCE(A1710,""low""),"""")"),2860.0)</f>
        <v>2860</v>
      </c>
      <c r="Z1710" s="22">
        <f>IFERROR(__xludf.DUMMYFUNCTION("IFERROR(GOOGLEFINANCE(A1710,""volume""),"""")"),1.815319E8)</f>
        <v>181531900</v>
      </c>
      <c r="AA1710" s="24" t="str">
        <f>VLOOKUP(A1710,Metrik!$C$2:$Y$959,5,0)</f>
        <v>Telecommunication Service</v>
      </c>
      <c r="AB1710" s="24" t="str">
        <f>VLOOKUP(A1710,Metrik!$C$2:$Y$959,3,0)</f>
        <v>Infrastructures</v>
      </c>
    </row>
    <row r="1711">
      <c r="A1711" s="14" t="s">
        <v>938</v>
      </c>
      <c r="B1711" s="14" t="str">
        <f t="array" ref="B1711">VLOOKUP(A1711,{Metrik!$C$2:$C$998,Metrik!$B$2:$B$998},2,0)</f>
        <v>Telkom Indonesia (Persero) Tbk.</v>
      </c>
      <c r="C1711" s="15">
        <f>IFERROR(__xludf.DUMMYFUNCTION("GOOGLEFINANCE(""IDX:""&amp;A1711,""price"")"),2860.0)</f>
        <v>2860</v>
      </c>
      <c r="D1711" s="16" t="str">
        <f>IFERROR(__xludf.DUMMYFUNCTION("IF(A1711="""","""",
SPARKLINE(
INDEX(
GOOGLEFINANCE(""IDX:""&amp;A1711,""close"",TODAY()-365,TODAY()),
,2
),
{""linewidth"",1}
))
"),"#N/A")</f>
        <v>#N/A</v>
      </c>
      <c r="E1711" s="14" t="s">
        <v>38</v>
      </c>
      <c r="F1711" s="25">
        <v>46356.0</v>
      </c>
      <c r="G1711" s="24">
        <f t="shared" si="10"/>
        <v>19</v>
      </c>
      <c r="H1711" s="19">
        <f>VLOOKUP(A1711,Metrik!$C$2:$Y$959,8,0)</f>
        <v>10.1</v>
      </c>
      <c r="I1711" s="20">
        <f>VLOOKUP(A1711,Metrik!$C$2:$Y$959,9,0)</f>
        <v>1.9</v>
      </c>
      <c r="J1711" s="20">
        <f>VLOOKUP(A1711,Metrik!$C$2:$Y$959,10,0)</f>
        <v>19.1</v>
      </c>
      <c r="K1711" s="20">
        <f>VLOOKUP(A1711,Metrik!$C$2:$Y$959,11,0)</f>
        <v>4.7</v>
      </c>
      <c r="L1711" s="20">
        <f>VLOOKUP(A1711,Metrik!$C$2:$Y$959,12,0)</f>
        <v>0.86</v>
      </c>
      <c r="M1711" s="20">
        <f>VLOOKUP(A1711,Metrik!$C$2:$Y$959,19,0)</f>
        <v>20.3</v>
      </c>
      <c r="N1711" s="21"/>
      <c r="O1711" s="21"/>
      <c r="P1711" s="21"/>
      <c r="Q1711" s="21"/>
      <c r="R1711" s="21"/>
      <c r="S1711" s="21"/>
      <c r="T1711" s="21"/>
      <c r="U1711" s="22">
        <f>IFERROR(__xludf.DUMMYFUNCTION("IFERROR(GOOGLEFINANCE(A1711,""closeyest""),"""")"),2870.0)</f>
        <v>2870</v>
      </c>
      <c r="V1711" s="23">
        <f>IFERROR(__xludf.DUMMYFUNCTION("IFERROR(GOOGLEFINANCE(A1711,""changepct""),"""")"),-0.35)</f>
        <v>-0.35</v>
      </c>
      <c r="W1711" s="22">
        <f>IFERROR(__xludf.DUMMYFUNCTION("IFERROR(GOOGLEFINANCE(A1711,""priceopen""),"""")"),2910.0)</f>
        <v>2910</v>
      </c>
      <c r="X1711" s="22">
        <f>IFERROR(__xludf.DUMMYFUNCTION("IFERROR(GOOGLEFINANCE(A1711,""high""),"""")"),2980.0)</f>
        <v>2980</v>
      </c>
      <c r="Y1711" s="22">
        <f>IFERROR(__xludf.DUMMYFUNCTION("IFERROR(GOOGLEFINANCE(A1711,""low""),"""")"),2860.0)</f>
        <v>2860</v>
      </c>
      <c r="Z1711" s="22">
        <f>IFERROR(__xludf.DUMMYFUNCTION("IFERROR(GOOGLEFINANCE(A1711,""volume""),"""")"),1.815319E8)</f>
        <v>181531900</v>
      </c>
      <c r="AA1711" s="24" t="str">
        <f>VLOOKUP(A1711,Metrik!$C$2:$Y$959,5,0)</f>
        <v>Telecommunication Service</v>
      </c>
      <c r="AB1711" s="24" t="str">
        <f>VLOOKUP(A1711,Metrik!$C$2:$Y$959,3,0)</f>
        <v>Infrastructures</v>
      </c>
    </row>
    <row r="1712">
      <c r="A1712" s="17" t="s">
        <v>938</v>
      </c>
      <c r="B1712" s="14" t="str">
        <f t="array" ref="B1712">VLOOKUP(A1712,{Metrik!$C$2:$C$998,Metrik!$B$2:$B$998},2,0)</f>
        <v>Telkom Indonesia (Persero) Tbk.</v>
      </c>
      <c r="C1712" s="15">
        <f>IFERROR(__xludf.DUMMYFUNCTION("GOOGLEFINANCE(""IDX:""&amp;A1712,""price"")"),2860.0)</f>
        <v>2860</v>
      </c>
      <c r="D1712" s="16" t="str">
        <f>IFERROR(__xludf.DUMMYFUNCTION("IF(A1712="""","""",
SPARKLINE(
INDEX(
GOOGLEFINANCE(""IDX:""&amp;A1712,""close"",TODAY()-365,TODAY()),
,2
),
{""linewidth"",1}
))
"),"#N/A")</f>
        <v>#N/A</v>
      </c>
      <c r="E1712" s="17" t="s">
        <v>69</v>
      </c>
      <c r="F1712" s="27" t="s">
        <v>70</v>
      </c>
      <c r="G1712" s="38">
        <f t="shared" si="10"/>
        <v>19</v>
      </c>
      <c r="H1712" s="34">
        <f>VLOOKUP(A1712,Metrik!$C$2:$Y$959,8,0)</f>
        <v>10.1</v>
      </c>
      <c r="I1712" s="34">
        <f>VLOOKUP(A1712,Metrik!$C$2:$Y$959,9,0)</f>
        <v>1.9</v>
      </c>
      <c r="J1712" s="34">
        <f>VLOOKUP(A1712,Metrik!$C$2:$Y$959,10,0)</f>
        <v>19.1</v>
      </c>
      <c r="K1712" s="34">
        <f>VLOOKUP(A1712,Metrik!$C$2:$Y$959,11,0)</f>
        <v>4.7</v>
      </c>
      <c r="L1712" s="34">
        <f>VLOOKUP(A1712,Metrik!$C$2:$Y$959,12,0)</f>
        <v>0.86</v>
      </c>
      <c r="M1712" s="34">
        <f>VLOOKUP(A1712,Metrik!$C$2:$Y$959,19,0)</f>
        <v>20.3</v>
      </c>
      <c r="N1712" s="50"/>
      <c r="O1712" s="50"/>
      <c r="P1712" s="50"/>
      <c r="Q1712" s="50"/>
      <c r="R1712" s="50"/>
      <c r="S1712" s="50"/>
      <c r="T1712" s="50"/>
      <c r="U1712" s="35">
        <f>IFERROR(__xludf.DUMMYFUNCTION("IFERROR(GOOGLEFINANCE(A1712,""closeyest""),"""")"),2870.0)</f>
        <v>2870</v>
      </c>
      <c r="V1712" s="36">
        <f>IFERROR(__xludf.DUMMYFUNCTION("IFERROR(GOOGLEFINANCE(A1712,""changepct""),"""")"),-0.35)</f>
        <v>-0.35</v>
      </c>
      <c r="W1712" s="35">
        <f>IFERROR(__xludf.DUMMYFUNCTION("IFERROR(GOOGLEFINANCE(A1712,""priceopen""),"""")"),2910.0)</f>
        <v>2910</v>
      </c>
      <c r="X1712" s="35">
        <f>IFERROR(__xludf.DUMMYFUNCTION("IFERROR(GOOGLEFINANCE(A1712,""high""),"""")"),2980.0)</f>
        <v>2980</v>
      </c>
      <c r="Y1712" s="35">
        <f>IFERROR(__xludf.DUMMYFUNCTION("IFERROR(GOOGLEFINANCE(A1712,""low""),"""")"),2860.0)</f>
        <v>2860</v>
      </c>
      <c r="Z1712" s="35">
        <f>IFERROR(__xludf.DUMMYFUNCTION("IFERROR(GOOGLEFINANCE(A1712,""volume""),"""")"),1.815319E8)</f>
        <v>181531900</v>
      </c>
      <c r="AA1712" s="14" t="str">
        <f>VLOOKUP(A1712,Metrik!$C$2:$Y$959,5,0)</f>
        <v>Telecommunication Service</v>
      </c>
      <c r="AB1712" s="14" t="str">
        <f>VLOOKUP(A1712,Metrik!$C$2:$Y$959,3,0)</f>
        <v>Infrastructures</v>
      </c>
    </row>
    <row r="1713">
      <c r="A1713" s="17" t="s">
        <v>938</v>
      </c>
      <c r="B1713" s="14" t="str">
        <f t="array" ref="B1713">VLOOKUP(A1713,{Metrik!$C$2:$C$998,Metrik!$B$2:$B$998},2,0)</f>
        <v>Telkom Indonesia (Persero) Tbk.</v>
      </c>
      <c r="C1713" s="15">
        <f>IFERROR(__xludf.DUMMYFUNCTION("GOOGLEFINANCE(""IDX:""&amp;A1713,""price"")"),2860.0)</f>
        <v>2860</v>
      </c>
      <c r="D1713" s="16" t="str">
        <f>IFERROR(__xludf.DUMMYFUNCTION("IF(A1713="""","""",
SPARKLINE(
INDEX(
GOOGLEFINANCE(""IDX:""&amp;A1713,""close"",TODAY()-365,TODAY()),
,2
),
{""linewidth"",1}
))
"),"#N/A")</f>
        <v>#N/A</v>
      </c>
      <c r="E1713" s="14" t="s">
        <v>128</v>
      </c>
      <c r="F1713" s="17" t="s">
        <v>36</v>
      </c>
      <c r="G1713" s="24">
        <f t="shared" si="10"/>
        <v>19</v>
      </c>
      <c r="H1713" s="19">
        <f>VLOOKUP(A1713,Metrik!$C$2:$Y$959,8,0)</f>
        <v>10.1</v>
      </c>
      <c r="I1713" s="20">
        <f>VLOOKUP(A1713,Metrik!$C$2:$Y$959,9,0)</f>
        <v>1.9</v>
      </c>
      <c r="J1713" s="20">
        <f>VLOOKUP(A1713,Metrik!$C$2:$Y$959,10,0)</f>
        <v>19.1</v>
      </c>
      <c r="K1713" s="20">
        <f>VLOOKUP(A1713,Metrik!$C$2:$Y$959,11,0)</f>
        <v>4.7</v>
      </c>
      <c r="L1713" s="20">
        <f>VLOOKUP(A1713,Metrik!$C$2:$Y$959,12,0)</f>
        <v>0.86</v>
      </c>
      <c r="M1713" s="20">
        <f>VLOOKUP(A1713,Metrik!$C$2:$Y$959,19,0)</f>
        <v>20.3</v>
      </c>
      <c r="N1713" s="21"/>
      <c r="O1713" s="21"/>
      <c r="P1713" s="21"/>
      <c r="Q1713" s="21"/>
      <c r="R1713" s="21"/>
      <c r="S1713" s="21"/>
      <c r="T1713" s="21"/>
      <c r="U1713" s="22">
        <f>IFERROR(__xludf.DUMMYFUNCTION("IFERROR(GOOGLEFINANCE(A1713,""closeyest""),"""")"),2870.0)</f>
        <v>2870</v>
      </c>
      <c r="V1713" s="23">
        <f>IFERROR(__xludf.DUMMYFUNCTION("IFERROR(GOOGLEFINANCE(A1713,""changepct""),"""")"),-0.35)</f>
        <v>-0.35</v>
      </c>
      <c r="W1713" s="22">
        <f>IFERROR(__xludf.DUMMYFUNCTION("IFERROR(GOOGLEFINANCE(A1713,""priceopen""),"""")"),2910.0)</f>
        <v>2910</v>
      </c>
      <c r="X1713" s="22">
        <f>IFERROR(__xludf.DUMMYFUNCTION("IFERROR(GOOGLEFINANCE(A1713,""high""),"""")"),2980.0)</f>
        <v>2980</v>
      </c>
      <c r="Y1713" s="22">
        <f>IFERROR(__xludf.DUMMYFUNCTION("IFERROR(GOOGLEFINANCE(A1713,""low""),"""")"),2860.0)</f>
        <v>2860</v>
      </c>
      <c r="Z1713" s="22">
        <f>IFERROR(__xludf.DUMMYFUNCTION("IFERROR(GOOGLEFINANCE(A1713,""volume""),"""")"),1.815319E8)</f>
        <v>181531900</v>
      </c>
      <c r="AA1713" s="24" t="str">
        <f>VLOOKUP(A1713,Metrik!$C$2:$Y$959,5,0)</f>
        <v>Telecommunication Service</v>
      </c>
      <c r="AB1713" s="24" t="str">
        <f>VLOOKUP(A1713,Metrik!$C$2:$Y$959,3,0)</f>
        <v>Infrastructures</v>
      </c>
    </row>
    <row r="1714">
      <c r="A1714" s="14" t="s">
        <v>938</v>
      </c>
      <c r="B1714" s="14" t="str">
        <f t="array" ref="B1714">VLOOKUP(A1714,{Metrik!$C$2:$C$998,Metrik!$B$2:$B$998},2,0)</f>
        <v>Telkom Indonesia (Persero) Tbk.</v>
      </c>
      <c r="C1714" s="15">
        <f>IFERROR(__xludf.DUMMYFUNCTION("GOOGLEFINANCE(""IDX:""&amp;A1714,""price"")"),2860.0)</f>
        <v>2860</v>
      </c>
      <c r="D1714" s="16" t="str">
        <f>IFERROR(__xludf.DUMMYFUNCTION("IF(A1714="""","""",
SPARKLINE(
INDEX(
GOOGLEFINANCE(""IDX:""&amp;A1714,""close"",TODAY()-365,TODAY()),
,2
),
{""linewidth"",1}
))
"),"#N/A")</f>
        <v>#N/A</v>
      </c>
      <c r="E1714" s="14" t="s">
        <v>54</v>
      </c>
      <c r="F1714" s="14" t="s">
        <v>34</v>
      </c>
      <c r="G1714" s="24">
        <f t="shared" si="10"/>
        <v>19</v>
      </c>
      <c r="H1714" s="19">
        <f>VLOOKUP(A1714,Metrik!$C$2:$Y$959,8,0)</f>
        <v>10.1</v>
      </c>
      <c r="I1714" s="20">
        <f>VLOOKUP(A1714,Metrik!$C$2:$Y$959,9,0)</f>
        <v>1.9</v>
      </c>
      <c r="J1714" s="20">
        <f>VLOOKUP(A1714,Metrik!$C$2:$Y$959,10,0)</f>
        <v>19.1</v>
      </c>
      <c r="K1714" s="20">
        <f>VLOOKUP(A1714,Metrik!$C$2:$Y$959,11,0)</f>
        <v>4.7</v>
      </c>
      <c r="L1714" s="20">
        <f>VLOOKUP(A1714,Metrik!$C$2:$Y$959,12,0)</f>
        <v>0.86</v>
      </c>
      <c r="M1714" s="20">
        <f>VLOOKUP(A1714,Metrik!$C$2:$Y$959,19,0)</f>
        <v>20.3</v>
      </c>
      <c r="N1714" s="21"/>
      <c r="O1714" s="21"/>
      <c r="P1714" s="21"/>
      <c r="Q1714" s="21"/>
      <c r="R1714" s="21"/>
      <c r="S1714" s="21"/>
      <c r="T1714" s="21"/>
      <c r="U1714" s="22">
        <f>IFERROR(__xludf.DUMMYFUNCTION("IFERROR(GOOGLEFINANCE(A1714,""closeyest""),"""")"),2870.0)</f>
        <v>2870</v>
      </c>
      <c r="V1714" s="23">
        <f>IFERROR(__xludf.DUMMYFUNCTION("IFERROR(GOOGLEFINANCE(A1714,""changepct""),"""")"),-0.35)</f>
        <v>-0.35</v>
      </c>
      <c r="W1714" s="22">
        <f>IFERROR(__xludf.DUMMYFUNCTION("IFERROR(GOOGLEFINANCE(A1714,""priceopen""),"""")"),2910.0)</f>
        <v>2910</v>
      </c>
      <c r="X1714" s="22">
        <f>IFERROR(__xludf.DUMMYFUNCTION("IFERROR(GOOGLEFINANCE(A1714,""high""),"""")"),2980.0)</f>
        <v>2980</v>
      </c>
      <c r="Y1714" s="22">
        <f>IFERROR(__xludf.DUMMYFUNCTION("IFERROR(GOOGLEFINANCE(A1714,""low""),"""")"),2860.0)</f>
        <v>2860</v>
      </c>
      <c r="Z1714" s="22">
        <f>IFERROR(__xludf.DUMMYFUNCTION("IFERROR(GOOGLEFINANCE(A1714,""volume""),"""")"),1.815319E8)</f>
        <v>181531900</v>
      </c>
      <c r="AA1714" s="24" t="str">
        <f>VLOOKUP(A1714,Metrik!$C$2:$Y$959,5,0)</f>
        <v>Telecommunication Service</v>
      </c>
      <c r="AB1714" s="24" t="str">
        <f>VLOOKUP(A1714,Metrik!$C$2:$Y$959,3,0)</f>
        <v>Infrastructures</v>
      </c>
    </row>
    <row r="1715">
      <c r="A1715" s="14" t="s">
        <v>938</v>
      </c>
      <c r="B1715" s="14" t="str">
        <f t="array" ref="B1715">VLOOKUP(A1715,{Metrik!$C$2:$C$998,Metrik!$B$2:$B$998},2,0)</f>
        <v>Telkom Indonesia (Persero) Tbk.</v>
      </c>
      <c r="C1715" s="15">
        <f>IFERROR(__xludf.DUMMYFUNCTION("GOOGLEFINANCE(""IDX:""&amp;A1715,""price"")"),2860.0)</f>
        <v>2860</v>
      </c>
      <c r="D1715" s="16" t="str">
        <f>IFERROR(__xludf.DUMMYFUNCTION("IF(A1715="""","""",
SPARKLINE(
INDEX(
GOOGLEFINANCE(""IDX:""&amp;A1715,""close"",TODAY()-365,TODAY()),
,2
),
{""linewidth"",1}
))
"),"#N/A")</f>
        <v>#N/A</v>
      </c>
      <c r="E1715" s="14" t="s">
        <v>68</v>
      </c>
      <c r="F1715" s="14" t="s">
        <v>34</v>
      </c>
      <c r="G1715" s="24">
        <f t="shared" si="10"/>
        <v>19</v>
      </c>
      <c r="H1715" s="19">
        <f>VLOOKUP(A1715,Metrik!$C$2:$Y$959,8,0)</f>
        <v>10.1</v>
      </c>
      <c r="I1715" s="20">
        <f>VLOOKUP(A1715,Metrik!$C$2:$Y$959,9,0)</f>
        <v>1.9</v>
      </c>
      <c r="J1715" s="20">
        <f>VLOOKUP(A1715,Metrik!$C$2:$Y$959,10,0)</f>
        <v>19.1</v>
      </c>
      <c r="K1715" s="20">
        <f>VLOOKUP(A1715,Metrik!$C$2:$Y$959,11,0)</f>
        <v>4.7</v>
      </c>
      <c r="L1715" s="20">
        <f>VLOOKUP(A1715,Metrik!$C$2:$Y$959,12,0)</f>
        <v>0.86</v>
      </c>
      <c r="M1715" s="20">
        <f>VLOOKUP(A1715,Metrik!$C$2:$Y$959,19,0)</f>
        <v>20.3</v>
      </c>
      <c r="N1715" s="21"/>
      <c r="O1715" s="21"/>
      <c r="P1715" s="21"/>
      <c r="Q1715" s="21"/>
      <c r="R1715" s="21"/>
      <c r="S1715" s="21"/>
      <c r="T1715" s="21"/>
      <c r="U1715" s="22">
        <f>IFERROR(__xludf.DUMMYFUNCTION("IFERROR(GOOGLEFINANCE(A1715,""closeyest""),"""")"),2870.0)</f>
        <v>2870</v>
      </c>
      <c r="V1715" s="23">
        <f>IFERROR(__xludf.DUMMYFUNCTION("IFERROR(GOOGLEFINANCE(A1715,""changepct""),"""")"),-0.35)</f>
        <v>-0.35</v>
      </c>
      <c r="W1715" s="22">
        <f>IFERROR(__xludf.DUMMYFUNCTION("IFERROR(GOOGLEFINANCE(A1715,""priceopen""),"""")"),2910.0)</f>
        <v>2910</v>
      </c>
      <c r="X1715" s="22">
        <f>IFERROR(__xludf.DUMMYFUNCTION("IFERROR(GOOGLEFINANCE(A1715,""high""),"""")"),2980.0)</f>
        <v>2980</v>
      </c>
      <c r="Y1715" s="22">
        <f>IFERROR(__xludf.DUMMYFUNCTION("IFERROR(GOOGLEFINANCE(A1715,""low""),"""")"),2860.0)</f>
        <v>2860</v>
      </c>
      <c r="Z1715" s="22">
        <f>IFERROR(__xludf.DUMMYFUNCTION("IFERROR(GOOGLEFINANCE(A1715,""volume""),"""")"),1.815319E8)</f>
        <v>181531900</v>
      </c>
      <c r="AA1715" s="24" t="str">
        <f>VLOOKUP(A1715,Metrik!$C$2:$Y$959,5,0)</f>
        <v>Telecommunication Service</v>
      </c>
      <c r="AB1715" s="24" t="str">
        <f>VLOOKUP(A1715,Metrik!$C$2:$Y$959,3,0)</f>
        <v>Infrastructures</v>
      </c>
    </row>
    <row r="1716">
      <c r="A1716" s="14" t="s">
        <v>938</v>
      </c>
      <c r="B1716" s="14" t="str">
        <f t="array" ref="B1716">VLOOKUP(A1716,{Metrik!$C$2:$C$998,Metrik!$B$2:$B$998},2,0)</f>
        <v>Telkom Indonesia (Persero) Tbk.</v>
      </c>
      <c r="C1716" s="15">
        <f>IFERROR(__xludf.DUMMYFUNCTION("GOOGLEFINANCE(""IDX:""&amp;A1716,""price"")"),2860.0)</f>
        <v>2860</v>
      </c>
      <c r="D1716" s="16" t="str">
        <f>IFERROR(__xludf.DUMMYFUNCTION("IF(A1716="""","""",
SPARKLINE(
INDEX(
GOOGLEFINANCE(""IDX:""&amp;A1716,""close"",TODAY()-365,TODAY()),
,2
),
{""linewidth"",1}
))
"),"#N/A")</f>
        <v>#N/A</v>
      </c>
      <c r="E1716" s="14" t="s">
        <v>161</v>
      </c>
      <c r="F1716" s="14" t="s">
        <v>76</v>
      </c>
      <c r="G1716" s="24">
        <f t="shared" si="10"/>
        <v>19</v>
      </c>
      <c r="H1716" s="19">
        <f>VLOOKUP(A1716,Metrik!$C$2:$Y$959,8,0)</f>
        <v>10.1</v>
      </c>
      <c r="I1716" s="20">
        <f>VLOOKUP(A1716,Metrik!$C$2:$Y$959,9,0)</f>
        <v>1.9</v>
      </c>
      <c r="J1716" s="20">
        <f>VLOOKUP(A1716,Metrik!$C$2:$Y$959,10,0)</f>
        <v>19.1</v>
      </c>
      <c r="K1716" s="20">
        <f>VLOOKUP(A1716,Metrik!$C$2:$Y$959,11,0)</f>
        <v>4.7</v>
      </c>
      <c r="L1716" s="20">
        <f>VLOOKUP(A1716,Metrik!$C$2:$Y$959,12,0)</f>
        <v>0.86</v>
      </c>
      <c r="M1716" s="20">
        <f>VLOOKUP(A1716,Metrik!$C$2:$Y$959,19,0)</f>
        <v>20.3</v>
      </c>
      <c r="N1716" s="21"/>
      <c r="O1716" s="21"/>
      <c r="P1716" s="21"/>
      <c r="Q1716" s="21"/>
      <c r="R1716" s="21"/>
      <c r="S1716" s="21"/>
      <c r="T1716" s="21"/>
      <c r="U1716" s="22">
        <f>IFERROR(__xludf.DUMMYFUNCTION("IFERROR(GOOGLEFINANCE(A1716,""closeyest""),"""")"),2870.0)</f>
        <v>2870</v>
      </c>
      <c r="V1716" s="23">
        <f>IFERROR(__xludf.DUMMYFUNCTION("IFERROR(GOOGLEFINANCE(A1716,""changepct""),"""")"),-0.35)</f>
        <v>-0.35</v>
      </c>
      <c r="W1716" s="22">
        <f>IFERROR(__xludf.DUMMYFUNCTION("IFERROR(GOOGLEFINANCE(A1716,""priceopen""),"""")"),2910.0)</f>
        <v>2910</v>
      </c>
      <c r="X1716" s="22">
        <f>IFERROR(__xludf.DUMMYFUNCTION("IFERROR(GOOGLEFINANCE(A1716,""high""),"""")"),2980.0)</f>
        <v>2980</v>
      </c>
      <c r="Y1716" s="22">
        <f>IFERROR(__xludf.DUMMYFUNCTION("IFERROR(GOOGLEFINANCE(A1716,""low""),"""")"),2860.0)</f>
        <v>2860</v>
      </c>
      <c r="Z1716" s="22">
        <f>IFERROR(__xludf.DUMMYFUNCTION("IFERROR(GOOGLEFINANCE(A1716,""volume""),"""")"),1.815319E8)</f>
        <v>181531900</v>
      </c>
      <c r="AA1716" s="24" t="str">
        <f>VLOOKUP(A1716,Metrik!$C$2:$Y$959,5,0)</f>
        <v>Telecommunication Service</v>
      </c>
      <c r="AB1716" s="24" t="str">
        <f>VLOOKUP(A1716,Metrik!$C$2:$Y$959,3,0)</f>
        <v>Infrastructures</v>
      </c>
    </row>
    <row r="1717">
      <c r="A1717" s="14" t="s">
        <v>938</v>
      </c>
      <c r="B1717" s="14" t="str">
        <f t="array" ref="B1717">VLOOKUP(A1717,{Metrik!$C$2:$C$998,Metrik!$B$2:$B$998},2,0)</f>
        <v>Telkom Indonesia (Persero) Tbk.</v>
      </c>
      <c r="C1717" s="15">
        <f>IFERROR(__xludf.DUMMYFUNCTION("GOOGLEFINANCE(""IDX:""&amp;A1717,""price"")"),2860.0)</f>
        <v>2860</v>
      </c>
      <c r="D1717" s="16" t="str">
        <f>IFERROR(__xludf.DUMMYFUNCTION("IF(A1717="""","""",
SPARKLINE(
INDEX(
GOOGLEFINANCE(""IDX:""&amp;A1717,""close"",TODAY()-365,TODAY()),
,2
),
{""linewidth"",1}
))
"),"#N/A")</f>
        <v>#N/A</v>
      </c>
      <c r="E1717" s="14" t="s">
        <v>31</v>
      </c>
      <c r="F1717" s="17" t="s">
        <v>29</v>
      </c>
      <c r="G1717" s="24">
        <f t="shared" si="10"/>
        <v>19</v>
      </c>
      <c r="H1717" s="19">
        <f>VLOOKUP(A1717,Metrik!$C$2:$Y$959,8,0)</f>
        <v>10.1</v>
      </c>
      <c r="I1717" s="20">
        <f>VLOOKUP(A1717,Metrik!$C$2:$Y$959,9,0)</f>
        <v>1.9</v>
      </c>
      <c r="J1717" s="20">
        <f>VLOOKUP(A1717,Metrik!$C$2:$Y$959,10,0)</f>
        <v>19.1</v>
      </c>
      <c r="K1717" s="20">
        <f>VLOOKUP(A1717,Metrik!$C$2:$Y$959,11,0)</f>
        <v>4.7</v>
      </c>
      <c r="L1717" s="20">
        <f>VLOOKUP(A1717,Metrik!$C$2:$Y$959,12,0)</f>
        <v>0.86</v>
      </c>
      <c r="M1717" s="20">
        <f>VLOOKUP(A1717,Metrik!$C$2:$Y$959,19,0)</f>
        <v>20.3</v>
      </c>
      <c r="N1717" s="21"/>
      <c r="O1717" s="21"/>
      <c r="P1717" s="21"/>
      <c r="Q1717" s="21"/>
      <c r="R1717" s="21"/>
      <c r="S1717" s="21"/>
      <c r="T1717" s="21"/>
      <c r="U1717" s="22">
        <f>IFERROR(__xludf.DUMMYFUNCTION("IFERROR(GOOGLEFINANCE(A1717,""closeyest""),"""")"),2870.0)</f>
        <v>2870</v>
      </c>
      <c r="V1717" s="23">
        <f>IFERROR(__xludf.DUMMYFUNCTION("IFERROR(GOOGLEFINANCE(A1717,""changepct""),"""")"),-0.35)</f>
        <v>-0.35</v>
      </c>
      <c r="W1717" s="22">
        <f>IFERROR(__xludf.DUMMYFUNCTION("IFERROR(GOOGLEFINANCE(A1717,""priceopen""),"""")"),2910.0)</f>
        <v>2910</v>
      </c>
      <c r="X1717" s="22">
        <f>IFERROR(__xludf.DUMMYFUNCTION("IFERROR(GOOGLEFINANCE(A1717,""high""),"""")"),2980.0)</f>
        <v>2980</v>
      </c>
      <c r="Y1717" s="22">
        <f>IFERROR(__xludf.DUMMYFUNCTION("IFERROR(GOOGLEFINANCE(A1717,""low""),"""")"),2860.0)</f>
        <v>2860</v>
      </c>
      <c r="Z1717" s="22">
        <f>IFERROR(__xludf.DUMMYFUNCTION("IFERROR(GOOGLEFINANCE(A1717,""volume""),"""")"),1.815319E8)</f>
        <v>181531900</v>
      </c>
      <c r="AA1717" s="24" t="str">
        <f>VLOOKUP(A1717,Metrik!$C$2:$Y$959,5,0)</f>
        <v>Telecommunication Service</v>
      </c>
      <c r="AB1717" s="24" t="str">
        <f>VLOOKUP(A1717,Metrik!$C$2:$Y$959,3,0)</f>
        <v>Infrastructures</v>
      </c>
    </row>
    <row r="1718">
      <c r="A1718" s="14" t="s">
        <v>938</v>
      </c>
      <c r="B1718" s="14" t="str">
        <f t="array" ref="B1718">VLOOKUP(A1718,{Metrik!$C$2:$C$998,Metrik!$B$2:$B$998},2,0)</f>
        <v>Telkom Indonesia (Persero) Tbk.</v>
      </c>
      <c r="C1718" s="15">
        <f>IFERROR(__xludf.DUMMYFUNCTION("GOOGLEFINANCE(""IDX:""&amp;A1718,""price"")"),2860.0)</f>
        <v>2860</v>
      </c>
      <c r="D1718" s="16" t="str">
        <f>IFERROR(__xludf.DUMMYFUNCTION("IF(A1718="""","""",
SPARKLINE(
INDEX(
GOOGLEFINANCE(""IDX:""&amp;A1718,""close"",TODAY()-365,TODAY()),
,2
),
{""linewidth"",1}
))
"),"#N/A")</f>
        <v>#N/A</v>
      </c>
      <c r="E1718" s="14" t="s">
        <v>84</v>
      </c>
      <c r="F1718" s="17" t="s">
        <v>51</v>
      </c>
      <c r="G1718" s="24">
        <f t="shared" si="10"/>
        <v>19</v>
      </c>
      <c r="H1718" s="19">
        <f>VLOOKUP(A1718,Metrik!$C$2:$Y$959,8,0)</f>
        <v>10.1</v>
      </c>
      <c r="I1718" s="20">
        <f>VLOOKUP(A1718,Metrik!$C$2:$Y$959,9,0)</f>
        <v>1.9</v>
      </c>
      <c r="J1718" s="20">
        <f>VLOOKUP(A1718,Metrik!$C$2:$Y$959,10,0)</f>
        <v>19.1</v>
      </c>
      <c r="K1718" s="20">
        <f>VLOOKUP(A1718,Metrik!$C$2:$Y$959,11,0)</f>
        <v>4.7</v>
      </c>
      <c r="L1718" s="20">
        <f>VLOOKUP(A1718,Metrik!$C$2:$Y$959,12,0)</f>
        <v>0.86</v>
      </c>
      <c r="M1718" s="20">
        <f>VLOOKUP(A1718,Metrik!$C$2:$Y$959,19,0)</f>
        <v>20.3</v>
      </c>
      <c r="N1718" s="21"/>
      <c r="O1718" s="21"/>
      <c r="P1718" s="21"/>
      <c r="Q1718" s="21"/>
      <c r="R1718" s="21"/>
      <c r="S1718" s="21"/>
      <c r="T1718" s="21"/>
      <c r="U1718" s="22">
        <f>IFERROR(__xludf.DUMMYFUNCTION("IFERROR(GOOGLEFINANCE(A1718,""closeyest""),"""")"),2870.0)</f>
        <v>2870</v>
      </c>
      <c r="V1718" s="23">
        <f>IFERROR(__xludf.DUMMYFUNCTION("IFERROR(GOOGLEFINANCE(A1718,""changepct""),"""")"),-0.35)</f>
        <v>-0.35</v>
      </c>
      <c r="W1718" s="22">
        <f>IFERROR(__xludf.DUMMYFUNCTION("IFERROR(GOOGLEFINANCE(A1718,""priceopen""),"""")"),2910.0)</f>
        <v>2910</v>
      </c>
      <c r="X1718" s="22">
        <f>IFERROR(__xludf.DUMMYFUNCTION("IFERROR(GOOGLEFINANCE(A1718,""high""),"""")"),2980.0)</f>
        <v>2980</v>
      </c>
      <c r="Y1718" s="22">
        <f>IFERROR(__xludf.DUMMYFUNCTION("IFERROR(GOOGLEFINANCE(A1718,""low""),"""")"),2860.0)</f>
        <v>2860</v>
      </c>
      <c r="Z1718" s="22">
        <f>IFERROR(__xludf.DUMMYFUNCTION("IFERROR(GOOGLEFINANCE(A1718,""volume""),"""")"),1.815319E8)</f>
        <v>181531900</v>
      </c>
      <c r="AA1718" s="24" t="str">
        <f>VLOOKUP(A1718,Metrik!$C$2:$Y$959,5,0)</f>
        <v>Telecommunication Service</v>
      </c>
      <c r="AB1718" s="24" t="str">
        <f>VLOOKUP(A1718,Metrik!$C$2:$Y$959,3,0)</f>
        <v>Infrastructures</v>
      </c>
    </row>
    <row r="1719">
      <c r="A1719" s="14" t="s">
        <v>938</v>
      </c>
      <c r="B1719" s="14" t="str">
        <f t="array" ref="B1719">VLOOKUP(A1719,{Metrik!$C$2:$C$998,Metrik!$B$2:$B$998},2,0)</f>
        <v>Telkom Indonesia (Persero) Tbk.</v>
      </c>
      <c r="C1719" s="15">
        <f>IFERROR(__xludf.DUMMYFUNCTION("GOOGLEFINANCE(""IDX:""&amp;A1719,""price"")"),2860.0)</f>
        <v>2860</v>
      </c>
      <c r="D1719" s="16" t="str">
        <f>IFERROR(__xludf.DUMMYFUNCTION("IF(A1719="""","""",
SPARKLINE(
INDEX(
GOOGLEFINANCE(""IDX:""&amp;A1719,""close"",TODAY()-365,TODAY()),
,2
),
{""linewidth"",1}
))
"),"#N/A")</f>
        <v>#N/A</v>
      </c>
      <c r="E1719" s="14" t="s">
        <v>32</v>
      </c>
      <c r="F1719" s="14" t="s">
        <v>29</v>
      </c>
      <c r="G1719" s="24">
        <f t="shared" si="10"/>
        <v>19</v>
      </c>
      <c r="H1719" s="19">
        <f>VLOOKUP(A1719,Metrik!$C$2:$Y$959,8,0)</f>
        <v>10.1</v>
      </c>
      <c r="I1719" s="20">
        <f>VLOOKUP(A1719,Metrik!$C$2:$Y$959,9,0)</f>
        <v>1.9</v>
      </c>
      <c r="J1719" s="20">
        <f>VLOOKUP(A1719,Metrik!$C$2:$Y$959,10,0)</f>
        <v>19.1</v>
      </c>
      <c r="K1719" s="20">
        <f>VLOOKUP(A1719,Metrik!$C$2:$Y$959,11,0)</f>
        <v>4.7</v>
      </c>
      <c r="L1719" s="20">
        <f>VLOOKUP(A1719,Metrik!$C$2:$Y$959,12,0)</f>
        <v>0.86</v>
      </c>
      <c r="M1719" s="20">
        <f>VLOOKUP(A1719,Metrik!$C$2:$Y$959,19,0)</f>
        <v>20.3</v>
      </c>
      <c r="N1719" s="21"/>
      <c r="O1719" s="21"/>
      <c r="P1719" s="21"/>
      <c r="Q1719" s="21"/>
      <c r="R1719" s="21"/>
      <c r="S1719" s="21"/>
      <c r="T1719" s="21"/>
      <c r="U1719" s="22">
        <f>IFERROR(__xludf.DUMMYFUNCTION("IFERROR(GOOGLEFINANCE(A1719,""closeyest""),"""")"),2870.0)</f>
        <v>2870</v>
      </c>
      <c r="V1719" s="23">
        <f>IFERROR(__xludf.DUMMYFUNCTION("IFERROR(GOOGLEFINANCE(A1719,""changepct""),"""")"),-0.35)</f>
        <v>-0.35</v>
      </c>
      <c r="W1719" s="22">
        <f>IFERROR(__xludf.DUMMYFUNCTION("IFERROR(GOOGLEFINANCE(A1719,""priceopen""),"""")"),2910.0)</f>
        <v>2910</v>
      </c>
      <c r="X1719" s="22">
        <f>IFERROR(__xludf.DUMMYFUNCTION("IFERROR(GOOGLEFINANCE(A1719,""high""),"""")"),2980.0)</f>
        <v>2980</v>
      </c>
      <c r="Y1719" s="22">
        <f>IFERROR(__xludf.DUMMYFUNCTION("IFERROR(GOOGLEFINANCE(A1719,""low""),"""")"),2860.0)</f>
        <v>2860</v>
      </c>
      <c r="Z1719" s="22">
        <f>IFERROR(__xludf.DUMMYFUNCTION("IFERROR(GOOGLEFINANCE(A1719,""volume""),"""")"),1.815319E8)</f>
        <v>181531900</v>
      </c>
      <c r="AA1719" s="24" t="str">
        <f>VLOOKUP(A1719,Metrik!$C$2:$Y$959,5,0)</f>
        <v>Telecommunication Service</v>
      </c>
      <c r="AB1719" s="24" t="str">
        <f>VLOOKUP(A1719,Metrik!$C$2:$Y$959,3,0)</f>
        <v>Infrastructures</v>
      </c>
    </row>
    <row r="1720">
      <c r="A1720" s="14" t="s">
        <v>938</v>
      </c>
      <c r="B1720" s="14" t="str">
        <f t="array" ref="B1720">VLOOKUP(A1720,{Metrik!$C$2:$C$998,Metrik!$B$2:$B$998},2,0)</f>
        <v>Telkom Indonesia (Persero) Tbk.</v>
      </c>
      <c r="C1720" s="15">
        <f>IFERROR(__xludf.DUMMYFUNCTION("GOOGLEFINANCE(""IDX:""&amp;A1720,""price"")"),2860.0)</f>
        <v>2860</v>
      </c>
      <c r="D1720" s="16" t="str">
        <f>IFERROR(__xludf.DUMMYFUNCTION("IF(A1720="""","""",
SPARKLINE(
INDEX(
GOOGLEFINANCE(""IDX:""&amp;A1720,""close"",TODAY()-365,TODAY()),
,2
),
{""linewidth"",1}
))
"),"#N/A")</f>
        <v>#N/A</v>
      </c>
      <c r="E1720" s="14" t="s">
        <v>28</v>
      </c>
      <c r="F1720" s="17" t="s">
        <v>29</v>
      </c>
      <c r="G1720" s="24">
        <f t="shared" si="10"/>
        <v>19</v>
      </c>
      <c r="H1720" s="19">
        <f>VLOOKUP(A1720,Metrik!$C$2:$Y$959,8,0)</f>
        <v>10.1</v>
      </c>
      <c r="I1720" s="20">
        <f>VLOOKUP(A1720,Metrik!$C$2:$Y$959,9,0)</f>
        <v>1.9</v>
      </c>
      <c r="J1720" s="20">
        <f>VLOOKUP(A1720,Metrik!$C$2:$Y$959,10,0)</f>
        <v>19.1</v>
      </c>
      <c r="K1720" s="20">
        <f>VLOOKUP(A1720,Metrik!$C$2:$Y$959,11,0)</f>
        <v>4.7</v>
      </c>
      <c r="L1720" s="20">
        <f>VLOOKUP(A1720,Metrik!$C$2:$Y$959,12,0)</f>
        <v>0.86</v>
      </c>
      <c r="M1720" s="20">
        <f>VLOOKUP(A1720,Metrik!$C$2:$Y$959,19,0)</f>
        <v>20.3</v>
      </c>
      <c r="N1720" s="21"/>
      <c r="O1720" s="21"/>
      <c r="P1720" s="21"/>
      <c r="Q1720" s="21"/>
      <c r="R1720" s="21"/>
      <c r="S1720" s="21"/>
      <c r="T1720" s="21"/>
      <c r="U1720" s="22">
        <f>IFERROR(__xludf.DUMMYFUNCTION("IFERROR(GOOGLEFINANCE(A1720,""closeyest""),"""")"),2870.0)</f>
        <v>2870</v>
      </c>
      <c r="V1720" s="23">
        <f>IFERROR(__xludf.DUMMYFUNCTION("IFERROR(GOOGLEFINANCE(A1720,""changepct""),"""")"),-0.35)</f>
        <v>-0.35</v>
      </c>
      <c r="W1720" s="22">
        <f>IFERROR(__xludf.DUMMYFUNCTION("IFERROR(GOOGLEFINANCE(A1720,""priceopen""),"""")"),2910.0)</f>
        <v>2910</v>
      </c>
      <c r="X1720" s="22">
        <f>IFERROR(__xludf.DUMMYFUNCTION("IFERROR(GOOGLEFINANCE(A1720,""high""),"""")"),2980.0)</f>
        <v>2980</v>
      </c>
      <c r="Y1720" s="22">
        <f>IFERROR(__xludf.DUMMYFUNCTION("IFERROR(GOOGLEFINANCE(A1720,""low""),"""")"),2860.0)</f>
        <v>2860</v>
      </c>
      <c r="Z1720" s="22">
        <f>IFERROR(__xludf.DUMMYFUNCTION("IFERROR(GOOGLEFINANCE(A1720,""volume""),"""")"),1.815319E8)</f>
        <v>181531900</v>
      </c>
      <c r="AA1720" s="24" t="str">
        <f>VLOOKUP(A1720,Metrik!$C$2:$Y$959,5,0)</f>
        <v>Telecommunication Service</v>
      </c>
      <c r="AB1720" s="24" t="str">
        <f>VLOOKUP(A1720,Metrik!$C$2:$Y$959,3,0)</f>
        <v>Infrastructures</v>
      </c>
    </row>
    <row r="1721">
      <c r="A1721" s="14" t="s">
        <v>938</v>
      </c>
      <c r="B1721" s="14" t="str">
        <f t="array" ref="B1721">VLOOKUP(A1721,{Metrik!$C$2:$C$998,Metrik!$B$2:$B$998},2,0)</f>
        <v>Telkom Indonesia (Persero) Tbk.</v>
      </c>
      <c r="C1721" s="15">
        <f>IFERROR(__xludf.DUMMYFUNCTION("GOOGLEFINANCE(""IDX:""&amp;A1721,""price"")"),2860.0)</f>
        <v>2860</v>
      </c>
      <c r="D1721" s="16" t="str">
        <f>IFERROR(__xludf.DUMMYFUNCTION("IF(A1721="""","""",
SPARKLINE(
INDEX(
GOOGLEFINANCE(""IDX:""&amp;A1721,""close"",TODAY()-365,TODAY()),
,2
),
{""linewidth"",1}
))
"),"#N/A")</f>
        <v>#N/A</v>
      </c>
      <c r="E1721" s="14" t="s">
        <v>61</v>
      </c>
      <c r="F1721" s="14" t="s">
        <v>34</v>
      </c>
      <c r="G1721" s="24">
        <f t="shared" si="10"/>
        <v>19</v>
      </c>
      <c r="H1721" s="19">
        <f>VLOOKUP(A1721,Metrik!$C$2:$Y$959,8,0)</f>
        <v>10.1</v>
      </c>
      <c r="I1721" s="20">
        <f>VLOOKUP(A1721,Metrik!$C$2:$Y$959,9,0)</f>
        <v>1.9</v>
      </c>
      <c r="J1721" s="20">
        <f>VLOOKUP(A1721,Metrik!$C$2:$Y$959,10,0)</f>
        <v>19.1</v>
      </c>
      <c r="K1721" s="20">
        <f>VLOOKUP(A1721,Metrik!$C$2:$Y$959,11,0)</f>
        <v>4.7</v>
      </c>
      <c r="L1721" s="20">
        <f>VLOOKUP(A1721,Metrik!$C$2:$Y$959,12,0)</f>
        <v>0.86</v>
      </c>
      <c r="M1721" s="20">
        <f>VLOOKUP(A1721,Metrik!$C$2:$Y$959,19,0)</f>
        <v>20.3</v>
      </c>
      <c r="N1721" s="21"/>
      <c r="O1721" s="21"/>
      <c r="P1721" s="21"/>
      <c r="Q1721" s="21"/>
      <c r="R1721" s="21"/>
      <c r="S1721" s="21"/>
      <c r="T1721" s="21"/>
      <c r="U1721" s="22">
        <f>IFERROR(__xludf.DUMMYFUNCTION("IFERROR(GOOGLEFINANCE(A1721,""closeyest""),"""")"),2870.0)</f>
        <v>2870</v>
      </c>
      <c r="V1721" s="23">
        <f>IFERROR(__xludf.DUMMYFUNCTION("IFERROR(GOOGLEFINANCE(A1721,""changepct""),"""")"),-0.35)</f>
        <v>-0.35</v>
      </c>
      <c r="W1721" s="22">
        <f>IFERROR(__xludf.DUMMYFUNCTION("IFERROR(GOOGLEFINANCE(A1721,""priceopen""),"""")"),2910.0)</f>
        <v>2910</v>
      </c>
      <c r="X1721" s="22">
        <f>IFERROR(__xludf.DUMMYFUNCTION("IFERROR(GOOGLEFINANCE(A1721,""high""),"""")"),2980.0)</f>
        <v>2980</v>
      </c>
      <c r="Y1721" s="22">
        <f>IFERROR(__xludf.DUMMYFUNCTION("IFERROR(GOOGLEFINANCE(A1721,""low""),"""")"),2860.0)</f>
        <v>2860</v>
      </c>
      <c r="Z1721" s="22">
        <f>IFERROR(__xludf.DUMMYFUNCTION("IFERROR(GOOGLEFINANCE(A1721,""volume""),"""")"),1.815319E8)</f>
        <v>181531900</v>
      </c>
      <c r="AA1721" s="24" t="str">
        <f>VLOOKUP(A1721,Metrik!$C$2:$Y$959,5,0)</f>
        <v>Telecommunication Service</v>
      </c>
      <c r="AB1721" s="24" t="str">
        <f>VLOOKUP(A1721,Metrik!$C$2:$Y$959,3,0)</f>
        <v>Infrastructures</v>
      </c>
    </row>
    <row r="1722">
      <c r="A1722" s="14" t="s">
        <v>938</v>
      </c>
      <c r="B1722" s="14" t="str">
        <f t="array" ref="B1722">VLOOKUP(A1722,{Metrik!$C$2:$C$998,Metrik!$B$2:$B$998},2,0)</f>
        <v>Telkom Indonesia (Persero) Tbk.</v>
      </c>
      <c r="C1722" s="15">
        <f>IFERROR(__xludf.DUMMYFUNCTION("GOOGLEFINANCE(""IDX:""&amp;A1722,""price"")"),2860.0)</f>
        <v>2860</v>
      </c>
      <c r="D1722" s="16" t="str">
        <f>IFERROR(__xludf.DUMMYFUNCTION("IF(A1722="""","""",
SPARKLINE(
INDEX(
GOOGLEFINANCE(""IDX:""&amp;A1722,""close"",TODAY()-365,TODAY()),
,2
),
{""linewidth"",1}
))
"),"#N/A")</f>
        <v>#N/A</v>
      </c>
      <c r="E1722" s="14" t="s">
        <v>48</v>
      </c>
      <c r="F1722" s="14" t="s">
        <v>49</v>
      </c>
      <c r="G1722" s="24">
        <f t="shared" si="10"/>
        <v>19</v>
      </c>
      <c r="H1722" s="19">
        <f>VLOOKUP(A1722,Metrik!$C$2:$Y$959,8,0)</f>
        <v>10.1</v>
      </c>
      <c r="I1722" s="20">
        <f>VLOOKUP(A1722,Metrik!$C$2:$Y$959,9,0)</f>
        <v>1.9</v>
      </c>
      <c r="J1722" s="20">
        <f>VLOOKUP(A1722,Metrik!$C$2:$Y$959,10,0)</f>
        <v>19.1</v>
      </c>
      <c r="K1722" s="20">
        <f>VLOOKUP(A1722,Metrik!$C$2:$Y$959,11,0)</f>
        <v>4.7</v>
      </c>
      <c r="L1722" s="20">
        <f>VLOOKUP(A1722,Metrik!$C$2:$Y$959,12,0)</f>
        <v>0.86</v>
      </c>
      <c r="M1722" s="20">
        <f>VLOOKUP(A1722,Metrik!$C$2:$Y$959,19,0)</f>
        <v>20.3</v>
      </c>
      <c r="N1722" s="21"/>
      <c r="O1722" s="21"/>
      <c r="P1722" s="21"/>
      <c r="Q1722" s="21"/>
      <c r="R1722" s="21"/>
      <c r="S1722" s="21"/>
      <c r="T1722" s="21"/>
      <c r="U1722" s="22">
        <f>IFERROR(__xludf.DUMMYFUNCTION("IFERROR(GOOGLEFINANCE(A1722,""closeyest""),"""")"),2870.0)</f>
        <v>2870</v>
      </c>
      <c r="V1722" s="23">
        <f>IFERROR(__xludf.DUMMYFUNCTION("IFERROR(GOOGLEFINANCE(A1722,""changepct""),"""")"),-0.35)</f>
        <v>-0.35</v>
      </c>
      <c r="W1722" s="22">
        <f>IFERROR(__xludf.DUMMYFUNCTION("IFERROR(GOOGLEFINANCE(A1722,""priceopen""),"""")"),2910.0)</f>
        <v>2910</v>
      </c>
      <c r="X1722" s="22">
        <f>IFERROR(__xludf.DUMMYFUNCTION("IFERROR(GOOGLEFINANCE(A1722,""high""),"""")"),2980.0)</f>
        <v>2980</v>
      </c>
      <c r="Y1722" s="22">
        <f>IFERROR(__xludf.DUMMYFUNCTION("IFERROR(GOOGLEFINANCE(A1722,""low""),"""")"),2860.0)</f>
        <v>2860</v>
      </c>
      <c r="Z1722" s="22">
        <f>IFERROR(__xludf.DUMMYFUNCTION("IFERROR(GOOGLEFINANCE(A1722,""volume""),"""")"),1.815319E8)</f>
        <v>181531900</v>
      </c>
      <c r="AA1722" s="24" t="str">
        <f>VLOOKUP(A1722,Metrik!$C$2:$Y$959,5,0)</f>
        <v>Telecommunication Service</v>
      </c>
      <c r="AB1722" s="24" t="str">
        <f>VLOOKUP(A1722,Metrik!$C$2:$Y$959,3,0)</f>
        <v>Infrastructures</v>
      </c>
    </row>
    <row r="1723">
      <c r="A1723" s="14" t="s">
        <v>938</v>
      </c>
      <c r="B1723" s="14" t="str">
        <f t="array" ref="B1723">VLOOKUP(A1723,{Metrik!$C$2:$C$998,Metrik!$B$2:$B$998},2,0)</f>
        <v>Telkom Indonesia (Persero) Tbk.</v>
      </c>
      <c r="C1723" s="15">
        <f>IFERROR(__xludf.DUMMYFUNCTION("GOOGLEFINANCE(""IDX:""&amp;A1723,""price"")"),2860.0)</f>
        <v>2860</v>
      </c>
      <c r="D1723" s="16" t="str">
        <f>IFERROR(__xludf.DUMMYFUNCTION("IF(A1723="""","""",
SPARKLINE(
INDEX(
GOOGLEFINANCE(""IDX:""&amp;A1723,""close"",TODAY()-365,TODAY()),
,2
),
{""linewidth"",1}
))
"),"#N/A")</f>
        <v>#N/A</v>
      </c>
      <c r="E1723" s="14" t="s">
        <v>30</v>
      </c>
      <c r="F1723" s="17" t="s">
        <v>29</v>
      </c>
      <c r="G1723" s="24">
        <f t="shared" si="10"/>
        <v>19</v>
      </c>
      <c r="H1723" s="19">
        <f>VLOOKUP(A1723,Metrik!$C$2:$Y$959,8,0)</f>
        <v>10.1</v>
      </c>
      <c r="I1723" s="20">
        <f>VLOOKUP(A1723,Metrik!$C$2:$Y$959,9,0)</f>
        <v>1.9</v>
      </c>
      <c r="J1723" s="20">
        <f>VLOOKUP(A1723,Metrik!$C$2:$Y$959,10,0)</f>
        <v>19.1</v>
      </c>
      <c r="K1723" s="20">
        <f>VLOOKUP(A1723,Metrik!$C$2:$Y$959,11,0)</f>
        <v>4.7</v>
      </c>
      <c r="L1723" s="20">
        <f>VLOOKUP(A1723,Metrik!$C$2:$Y$959,12,0)</f>
        <v>0.86</v>
      </c>
      <c r="M1723" s="20">
        <f>VLOOKUP(A1723,Metrik!$C$2:$Y$959,19,0)</f>
        <v>20.3</v>
      </c>
      <c r="N1723" s="21"/>
      <c r="O1723" s="21"/>
      <c r="P1723" s="21"/>
      <c r="Q1723" s="21"/>
      <c r="R1723" s="21"/>
      <c r="S1723" s="21"/>
      <c r="T1723" s="21"/>
      <c r="U1723" s="22">
        <f>IFERROR(__xludf.DUMMYFUNCTION("IFERROR(GOOGLEFINANCE(A1723,""closeyest""),"""")"),2870.0)</f>
        <v>2870</v>
      </c>
      <c r="V1723" s="23">
        <f>IFERROR(__xludf.DUMMYFUNCTION("IFERROR(GOOGLEFINANCE(A1723,""changepct""),"""")"),-0.35)</f>
        <v>-0.35</v>
      </c>
      <c r="W1723" s="22">
        <f>IFERROR(__xludf.DUMMYFUNCTION("IFERROR(GOOGLEFINANCE(A1723,""priceopen""),"""")"),2910.0)</f>
        <v>2910</v>
      </c>
      <c r="X1723" s="22">
        <f>IFERROR(__xludf.DUMMYFUNCTION("IFERROR(GOOGLEFINANCE(A1723,""high""),"""")"),2980.0)</f>
        <v>2980</v>
      </c>
      <c r="Y1723" s="22">
        <f>IFERROR(__xludf.DUMMYFUNCTION("IFERROR(GOOGLEFINANCE(A1723,""low""),"""")"),2860.0)</f>
        <v>2860</v>
      </c>
      <c r="Z1723" s="22">
        <f>IFERROR(__xludf.DUMMYFUNCTION("IFERROR(GOOGLEFINANCE(A1723,""volume""),"""")"),1.815319E8)</f>
        <v>181531900</v>
      </c>
      <c r="AA1723" s="24" t="str">
        <f>VLOOKUP(A1723,Metrik!$C$2:$Y$959,5,0)</f>
        <v>Telecommunication Service</v>
      </c>
      <c r="AB1723" s="24" t="str">
        <f>VLOOKUP(A1723,Metrik!$C$2:$Y$959,3,0)</f>
        <v>Infrastructures</v>
      </c>
    </row>
    <row r="1724">
      <c r="A1724" s="14" t="s">
        <v>938</v>
      </c>
      <c r="B1724" s="14" t="str">
        <f t="array" ref="B1724">VLOOKUP(A1724,{Metrik!$C$2:$C$998,Metrik!$B$2:$B$998},2,0)</f>
        <v>Telkom Indonesia (Persero) Tbk.</v>
      </c>
      <c r="C1724" s="15">
        <f>IFERROR(__xludf.DUMMYFUNCTION("GOOGLEFINANCE(""IDX:""&amp;A1724,""price"")"),2860.0)</f>
        <v>2860</v>
      </c>
      <c r="D1724" s="16" t="str">
        <f>IFERROR(__xludf.DUMMYFUNCTION("IF(A1724="""","""",
SPARKLINE(
INDEX(
GOOGLEFINANCE(""IDX:""&amp;A1724,""close"",TODAY()-365,TODAY()),
,2
),
{""linewidth"",1}
))
"),"#N/A")</f>
        <v>#N/A</v>
      </c>
      <c r="E1724" s="14" t="s">
        <v>67</v>
      </c>
      <c r="F1724" s="17" t="s">
        <v>51</v>
      </c>
      <c r="G1724" s="24">
        <f t="shared" si="10"/>
        <v>19</v>
      </c>
      <c r="H1724" s="19">
        <f>VLOOKUP(A1724,Metrik!$C$2:$Y$959,8,0)</f>
        <v>10.1</v>
      </c>
      <c r="I1724" s="20">
        <f>VLOOKUP(A1724,Metrik!$C$2:$Y$959,9,0)</f>
        <v>1.9</v>
      </c>
      <c r="J1724" s="20">
        <f>VLOOKUP(A1724,Metrik!$C$2:$Y$959,10,0)</f>
        <v>19.1</v>
      </c>
      <c r="K1724" s="20">
        <f>VLOOKUP(A1724,Metrik!$C$2:$Y$959,11,0)</f>
        <v>4.7</v>
      </c>
      <c r="L1724" s="20">
        <f>VLOOKUP(A1724,Metrik!$C$2:$Y$959,12,0)</f>
        <v>0.86</v>
      </c>
      <c r="M1724" s="20">
        <f>VLOOKUP(A1724,Metrik!$C$2:$Y$959,19,0)</f>
        <v>20.3</v>
      </c>
      <c r="N1724" s="21"/>
      <c r="O1724" s="21"/>
      <c r="P1724" s="21"/>
      <c r="Q1724" s="21"/>
      <c r="R1724" s="21"/>
      <c r="S1724" s="21"/>
      <c r="T1724" s="21"/>
      <c r="U1724" s="22">
        <f>IFERROR(__xludf.DUMMYFUNCTION("IFERROR(GOOGLEFINANCE(A1724,""closeyest""),"""")"),2870.0)</f>
        <v>2870</v>
      </c>
      <c r="V1724" s="23">
        <f>IFERROR(__xludf.DUMMYFUNCTION("IFERROR(GOOGLEFINANCE(A1724,""changepct""),"""")"),-0.35)</f>
        <v>-0.35</v>
      </c>
      <c r="W1724" s="22">
        <f>IFERROR(__xludf.DUMMYFUNCTION("IFERROR(GOOGLEFINANCE(A1724,""priceopen""),"""")"),2910.0)</f>
        <v>2910</v>
      </c>
      <c r="X1724" s="22">
        <f>IFERROR(__xludf.DUMMYFUNCTION("IFERROR(GOOGLEFINANCE(A1724,""high""),"""")"),2980.0)</f>
        <v>2980</v>
      </c>
      <c r="Y1724" s="22">
        <f>IFERROR(__xludf.DUMMYFUNCTION("IFERROR(GOOGLEFINANCE(A1724,""low""),"""")"),2860.0)</f>
        <v>2860</v>
      </c>
      <c r="Z1724" s="22">
        <f>IFERROR(__xludf.DUMMYFUNCTION("IFERROR(GOOGLEFINANCE(A1724,""volume""),"""")"),1.815319E8)</f>
        <v>181531900</v>
      </c>
      <c r="AA1724" s="24" t="str">
        <f>VLOOKUP(A1724,Metrik!$C$2:$Y$959,5,0)</f>
        <v>Telecommunication Service</v>
      </c>
      <c r="AB1724" s="24" t="str">
        <f>VLOOKUP(A1724,Metrik!$C$2:$Y$959,3,0)</f>
        <v>Infrastructures</v>
      </c>
    </row>
    <row r="1725">
      <c r="A1725" s="14" t="s">
        <v>938</v>
      </c>
      <c r="B1725" s="14" t="str">
        <f t="array" ref="B1725">VLOOKUP(A1725,{Metrik!$C$2:$C$998,Metrik!$B$2:$B$998},2,0)</f>
        <v>Telkom Indonesia (Persero) Tbk.</v>
      </c>
      <c r="C1725" s="15">
        <f>IFERROR(__xludf.DUMMYFUNCTION("GOOGLEFINANCE(""IDX:""&amp;A1725,""price"")"),2860.0)</f>
        <v>2860</v>
      </c>
      <c r="D1725" s="16" t="str">
        <f>IFERROR(__xludf.DUMMYFUNCTION("IF(A1725="""","""",
SPARKLINE(
INDEX(
GOOGLEFINANCE(""IDX:""&amp;A1725,""close"",TODAY()-365,TODAY()),
,2
),
{""linewidth"",1}
))
"),"#N/A")</f>
        <v>#N/A</v>
      </c>
      <c r="E1725" s="14" t="s">
        <v>85</v>
      </c>
      <c r="F1725" s="17" t="s">
        <v>51</v>
      </c>
      <c r="G1725" s="24">
        <f t="shared" si="10"/>
        <v>19</v>
      </c>
      <c r="H1725" s="19">
        <f>VLOOKUP(A1725,Metrik!$C$2:$Y$959,8,0)</f>
        <v>10.1</v>
      </c>
      <c r="I1725" s="20">
        <f>VLOOKUP(A1725,Metrik!$C$2:$Y$959,9,0)</f>
        <v>1.9</v>
      </c>
      <c r="J1725" s="20">
        <f>VLOOKUP(A1725,Metrik!$C$2:$Y$959,10,0)</f>
        <v>19.1</v>
      </c>
      <c r="K1725" s="20">
        <f>VLOOKUP(A1725,Metrik!$C$2:$Y$959,11,0)</f>
        <v>4.7</v>
      </c>
      <c r="L1725" s="20">
        <f>VLOOKUP(A1725,Metrik!$C$2:$Y$959,12,0)</f>
        <v>0.86</v>
      </c>
      <c r="M1725" s="20">
        <f>VLOOKUP(A1725,Metrik!$C$2:$Y$959,19,0)</f>
        <v>20.3</v>
      </c>
      <c r="N1725" s="21"/>
      <c r="O1725" s="21"/>
      <c r="P1725" s="21"/>
      <c r="Q1725" s="21"/>
      <c r="R1725" s="21"/>
      <c r="S1725" s="21"/>
      <c r="T1725" s="21"/>
      <c r="U1725" s="22">
        <f>IFERROR(__xludf.DUMMYFUNCTION("IFERROR(GOOGLEFINANCE(A1725,""closeyest""),"""")"),2870.0)</f>
        <v>2870</v>
      </c>
      <c r="V1725" s="23">
        <f>IFERROR(__xludf.DUMMYFUNCTION("IFERROR(GOOGLEFINANCE(A1725,""changepct""),"""")"),-0.35)</f>
        <v>-0.35</v>
      </c>
      <c r="W1725" s="22">
        <f>IFERROR(__xludf.DUMMYFUNCTION("IFERROR(GOOGLEFINANCE(A1725,""priceopen""),"""")"),2910.0)</f>
        <v>2910</v>
      </c>
      <c r="X1725" s="22">
        <f>IFERROR(__xludf.DUMMYFUNCTION("IFERROR(GOOGLEFINANCE(A1725,""high""),"""")"),2980.0)</f>
        <v>2980</v>
      </c>
      <c r="Y1725" s="22">
        <f>IFERROR(__xludf.DUMMYFUNCTION("IFERROR(GOOGLEFINANCE(A1725,""low""),"""")"),2860.0)</f>
        <v>2860</v>
      </c>
      <c r="Z1725" s="22">
        <f>IFERROR(__xludf.DUMMYFUNCTION("IFERROR(GOOGLEFINANCE(A1725,""volume""),"""")"),1.815319E8)</f>
        <v>181531900</v>
      </c>
      <c r="AA1725" s="24" t="str">
        <f>VLOOKUP(A1725,Metrik!$C$2:$Y$959,5,0)</f>
        <v>Telecommunication Service</v>
      </c>
      <c r="AB1725" s="24" t="str">
        <f>VLOOKUP(A1725,Metrik!$C$2:$Y$959,3,0)</f>
        <v>Infrastructures</v>
      </c>
    </row>
    <row r="1726">
      <c r="A1726" s="14" t="s">
        <v>938</v>
      </c>
      <c r="B1726" s="14" t="str">
        <f t="array" ref="B1726">VLOOKUP(A1726,{Metrik!$C$2:$C$998,Metrik!$B$2:$B$998},2,0)</f>
        <v>Telkom Indonesia (Persero) Tbk.</v>
      </c>
      <c r="C1726" s="15">
        <f>IFERROR(__xludf.DUMMYFUNCTION("GOOGLEFINANCE(""IDX:""&amp;A1726,""price"")"),2860.0)</f>
        <v>2860</v>
      </c>
      <c r="D1726" s="16" t="str">
        <f>IFERROR(__xludf.DUMMYFUNCTION("IF(A1726="""","""",
SPARKLINE(
INDEX(
GOOGLEFINANCE(""IDX:""&amp;A1726,""close"",TODAY()-365,TODAY()),
,2
),
{""linewidth"",1}
))
"),"#N/A")</f>
        <v>#N/A</v>
      </c>
      <c r="E1726" s="14" t="s">
        <v>50</v>
      </c>
      <c r="F1726" s="17" t="s">
        <v>51</v>
      </c>
      <c r="G1726" s="24">
        <f t="shared" si="10"/>
        <v>19</v>
      </c>
      <c r="H1726" s="19">
        <f>VLOOKUP(A1726,Metrik!$C$2:$Y$959,8,0)</f>
        <v>10.1</v>
      </c>
      <c r="I1726" s="20">
        <f>VLOOKUP(A1726,Metrik!$C$2:$Y$959,9,0)</f>
        <v>1.9</v>
      </c>
      <c r="J1726" s="20">
        <f>VLOOKUP(A1726,Metrik!$C$2:$Y$959,10,0)</f>
        <v>19.1</v>
      </c>
      <c r="K1726" s="20">
        <f>VLOOKUP(A1726,Metrik!$C$2:$Y$959,11,0)</f>
        <v>4.7</v>
      </c>
      <c r="L1726" s="20">
        <f>VLOOKUP(A1726,Metrik!$C$2:$Y$959,12,0)</f>
        <v>0.86</v>
      </c>
      <c r="M1726" s="20">
        <f>VLOOKUP(A1726,Metrik!$C$2:$Y$959,19,0)</f>
        <v>20.3</v>
      </c>
      <c r="N1726" s="21"/>
      <c r="O1726" s="21"/>
      <c r="P1726" s="21"/>
      <c r="Q1726" s="21"/>
      <c r="R1726" s="21"/>
      <c r="S1726" s="21"/>
      <c r="T1726" s="21"/>
      <c r="U1726" s="22">
        <f>IFERROR(__xludf.DUMMYFUNCTION("IFERROR(GOOGLEFINANCE(A1726,""closeyest""),"""")"),2870.0)</f>
        <v>2870</v>
      </c>
      <c r="V1726" s="23">
        <f>IFERROR(__xludf.DUMMYFUNCTION("IFERROR(GOOGLEFINANCE(A1726,""changepct""),"""")"),-0.35)</f>
        <v>-0.35</v>
      </c>
      <c r="W1726" s="22">
        <f>IFERROR(__xludf.DUMMYFUNCTION("IFERROR(GOOGLEFINANCE(A1726,""priceopen""),"""")"),2910.0)</f>
        <v>2910</v>
      </c>
      <c r="X1726" s="22">
        <f>IFERROR(__xludf.DUMMYFUNCTION("IFERROR(GOOGLEFINANCE(A1726,""high""),"""")"),2980.0)</f>
        <v>2980</v>
      </c>
      <c r="Y1726" s="22">
        <f>IFERROR(__xludf.DUMMYFUNCTION("IFERROR(GOOGLEFINANCE(A1726,""low""),"""")"),2860.0)</f>
        <v>2860</v>
      </c>
      <c r="Z1726" s="22">
        <f>IFERROR(__xludf.DUMMYFUNCTION("IFERROR(GOOGLEFINANCE(A1726,""volume""),"""")"),1.815319E8)</f>
        <v>181531900</v>
      </c>
      <c r="AA1726" s="24" t="str">
        <f>VLOOKUP(A1726,Metrik!$C$2:$Y$959,5,0)</f>
        <v>Telecommunication Service</v>
      </c>
      <c r="AB1726" s="24" t="str">
        <f>VLOOKUP(A1726,Metrik!$C$2:$Y$959,3,0)</f>
        <v>Infrastructures</v>
      </c>
    </row>
    <row r="1727">
      <c r="A1727" s="14" t="s">
        <v>938</v>
      </c>
      <c r="B1727" s="14" t="str">
        <f t="array" ref="B1727">VLOOKUP(A1727,{Metrik!$C$2:$C$998,Metrik!$B$2:$B$998},2,0)</f>
        <v>Telkom Indonesia (Persero) Tbk.</v>
      </c>
      <c r="C1727" s="15">
        <f>IFERROR(__xludf.DUMMYFUNCTION("GOOGLEFINANCE(""IDX:""&amp;A1727,""price"")"),2860.0)</f>
        <v>2860</v>
      </c>
      <c r="D1727" s="16" t="str">
        <f>IFERROR(__xludf.DUMMYFUNCTION("IF(A1727="""","""",
SPARKLINE(
INDEX(
GOOGLEFINANCE(""IDX:""&amp;A1727,""close"",TODAY()-365,TODAY()),
,2
),
{""linewidth"",1}
))
"),"#N/A")</f>
        <v>#N/A</v>
      </c>
      <c r="E1727" s="14" t="s">
        <v>39</v>
      </c>
      <c r="F1727" s="25">
        <v>46356.0</v>
      </c>
      <c r="G1727" s="24">
        <f t="shared" si="10"/>
        <v>19</v>
      </c>
      <c r="H1727" s="19">
        <f>VLOOKUP(A1727,Metrik!$C$2:$Y$959,8,0)</f>
        <v>10.1</v>
      </c>
      <c r="I1727" s="20">
        <f>VLOOKUP(A1727,Metrik!$C$2:$Y$959,9,0)</f>
        <v>1.9</v>
      </c>
      <c r="J1727" s="20">
        <f>VLOOKUP(A1727,Metrik!$C$2:$Y$959,10,0)</f>
        <v>19.1</v>
      </c>
      <c r="K1727" s="20">
        <f>VLOOKUP(A1727,Metrik!$C$2:$Y$959,11,0)</f>
        <v>4.7</v>
      </c>
      <c r="L1727" s="20">
        <f>VLOOKUP(A1727,Metrik!$C$2:$Y$959,12,0)</f>
        <v>0.86</v>
      </c>
      <c r="M1727" s="20">
        <f>VLOOKUP(A1727,Metrik!$C$2:$Y$959,19,0)</f>
        <v>20.3</v>
      </c>
      <c r="N1727" s="21"/>
      <c r="O1727" s="21"/>
      <c r="P1727" s="21"/>
      <c r="Q1727" s="21"/>
      <c r="R1727" s="21"/>
      <c r="S1727" s="21"/>
      <c r="T1727" s="21"/>
      <c r="U1727" s="22">
        <f>IFERROR(__xludf.DUMMYFUNCTION("IFERROR(GOOGLEFINANCE(A1727,""closeyest""),"""")"),2870.0)</f>
        <v>2870</v>
      </c>
      <c r="V1727" s="23">
        <f>IFERROR(__xludf.DUMMYFUNCTION("IFERROR(GOOGLEFINANCE(A1727,""changepct""),"""")"),-0.35)</f>
        <v>-0.35</v>
      </c>
      <c r="W1727" s="22">
        <f>IFERROR(__xludf.DUMMYFUNCTION("IFERROR(GOOGLEFINANCE(A1727,""priceopen""),"""")"),2910.0)</f>
        <v>2910</v>
      </c>
      <c r="X1727" s="22">
        <f>IFERROR(__xludf.DUMMYFUNCTION("IFERROR(GOOGLEFINANCE(A1727,""high""),"""")"),2980.0)</f>
        <v>2980</v>
      </c>
      <c r="Y1727" s="22">
        <f>IFERROR(__xludf.DUMMYFUNCTION("IFERROR(GOOGLEFINANCE(A1727,""low""),"""")"),2860.0)</f>
        <v>2860</v>
      </c>
      <c r="Z1727" s="22">
        <f>IFERROR(__xludf.DUMMYFUNCTION("IFERROR(GOOGLEFINANCE(A1727,""volume""),"""")"),1.815319E8)</f>
        <v>181531900</v>
      </c>
      <c r="AA1727" s="24" t="str">
        <f>VLOOKUP(A1727,Metrik!$C$2:$Y$959,5,0)</f>
        <v>Telecommunication Service</v>
      </c>
      <c r="AB1727" s="24" t="str">
        <f>VLOOKUP(A1727,Metrik!$C$2:$Y$959,3,0)</f>
        <v>Infrastructures</v>
      </c>
    </row>
    <row r="1728">
      <c r="A1728" s="14" t="s">
        <v>939</v>
      </c>
      <c r="B1728" s="14" t="str">
        <f t="array" ref="B1728">VLOOKUP(A1728,{Metrik!$C$2:$C$998,Metrik!$B$2:$B$998},2,0)</f>
        <v>PT Temas Tbk.</v>
      </c>
      <c r="C1728" s="15">
        <f>IFERROR(__xludf.DUMMYFUNCTION("GOOGLEFINANCE(""IDX:""&amp;A1728,""price"")"),117.0)</f>
        <v>117</v>
      </c>
      <c r="D1728" s="16" t="str">
        <f>IFERROR(__xludf.DUMMYFUNCTION("IF(A1728="""","""",
SPARKLINE(
INDEX(
GOOGLEFINANCE(""IDX:""&amp;A1728,""close"",TODAY()-365,TODAY()),
,2
),
{""linewidth"",1}
))
"),"#N/A")</f>
        <v>#N/A</v>
      </c>
      <c r="E1728" s="26"/>
      <c r="F1728" s="26"/>
      <c r="G1728" s="18">
        <f t="shared" si="10"/>
        <v>0</v>
      </c>
      <c r="H1728" s="19">
        <f>VLOOKUP(A1728,Metrik!$C$2:$Y$959,8,0)</f>
        <v>12.9</v>
      </c>
      <c r="I1728" s="20">
        <f>VLOOKUP(A1728,Metrik!$C$2:$Y$959,9,0)</f>
        <v>2.1</v>
      </c>
      <c r="J1728" s="20">
        <f>VLOOKUP(A1728,Metrik!$C$2:$Y$959,10,0)</f>
        <v>15.9</v>
      </c>
      <c r="K1728" s="20">
        <f>VLOOKUP(A1728,Metrik!$C$2:$Y$959,11,0)</f>
        <v>9.3</v>
      </c>
      <c r="L1728" s="20">
        <f>VLOOKUP(A1728,Metrik!$C$2:$Y$959,12,0)</f>
        <v>0.7</v>
      </c>
      <c r="M1728" s="20">
        <f>VLOOKUP(A1728,Metrik!$C$2:$Y$959,19,0)</f>
        <v>45.7</v>
      </c>
      <c r="N1728" s="21"/>
      <c r="O1728" s="21"/>
      <c r="P1728" s="21"/>
      <c r="Q1728" s="21"/>
      <c r="R1728" s="21"/>
      <c r="S1728" s="21"/>
      <c r="T1728" s="21"/>
      <c r="U1728" s="22">
        <f>IFERROR(__xludf.DUMMYFUNCTION("IFERROR(GOOGLEFINANCE(A1728,""closeyest""),"""")"),0.11)</f>
        <v>0.11</v>
      </c>
      <c r="V1728" s="23">
        <f>IFERROR(__xludf.DUMMYFUNCTION("IFERROR(GOOGLEFINANCE(A1728,""changepct""),"""")"),0.0)</f>
        <v>0</v>
      </c>
      <c r="W1728" s="22">
        <f>IFERROR(__xludf.DUMMYFUNCTION("IFERROR(GOOGLEFINANCE(A1728,""priceopen""),"""")"),0.11)</f>
        <v>0.11</v>
      </c>
      <c r="X1728" s="22">
        <f>IFERROR(__xludf.DUMMYFUNCTION("IFERROR(GOOGLEFINANCE(A1728,""high""),"""")"),0.11)</f>
        <v>0.11</v>
      </c>
      <c r="Y1728" s="22">
        <f>IFERROR(__xludf.DUMMYFUNCTION("IFERROR(GOOGLEFINANCE(A1728,""low""),"""")"),0.1)</f>
        <v>0.1</v>
      </c>
      <c r="Z1728" s="22">
        <f>IFERROR(__xludf.DUMMYFUNCTION("IFERROR(GOOGLEFINANCE(A1728,""volume""),"""")"),121768.0)</f>
        <v>121768</v>
      </c>
      <c r="AA1728" s="24" t="str">
        <f>VLOOKUP(A1728,Metrik!$C$2:$Y$959,5,0)</f>
        <v>Logistics &amp; Deliveries</v>
      </c>
      <c r="AB1728" s="24" t="str">
        <f>VLOOKUP(A1728,Metrik!$C$2:$Y$959,3,0)</f>
        <v>Transportation &amp; Logistic</v>
      </c>
    </row>
    <row r="1729">
      <c r="A1729" s="14" t="s">
        <v>940</v>
      </c>
      <c r="B1729" s="14" t="str">
        <f t="array" ref="B1729">VLOOKUP(A1729,{Metrik!$C$2:$C$998,Metrik!$B$2:$B$998},2,0)</f>
        <v>Tempo Intimedia Tbk.</v>
      </c>
      <c r="C1729" s="15" t="str">
        <f>IFERROR(__xludf.DUMMYFUNCTION("GOOGLEFINANCE(""IDX:""&amp;A1729,""price"")"),"#N/A")</f>
        <v>#N/A</v>
      </c>
      <c r="D1729" s="16" t="str">
        <f>IFERROR(__xludf.DUMMYFUNCTION("IF(A1729="""","""",
SPARKLINE(
INDEX(
GOOGLEFINANCE(""IDX:""&amp;A1729,""close"",TODAY()-365,TODAY()),
,2
),
{""linewidth"",1}
))
"),"#N/A")</f>
        <v>#N/A</v>
      </c>
      <c r="E1729" s="26"/>
      <c r="F1729" s="26"/>
      <c r="G1729" s="24">
        <f t="shared" si="10"/>
        <v>0</v>
      </c>
      <c r="H1729" s="19">
        <f>VLOOKUP(A1729,Metrik!$C$2:$Y$959,8,0)</f>
        <v>46.1</v>
      </c>
      <c r="I1729" s="20">
        <f>VLOOKUP(A1729,Metrik!$C$2:$Y$959,9,0)</f>
        <v>0.45</v>
      </c>
      <c r="J1729" s="20">
        <f>VLOOKUP(A1729,Metrik!$C$2:$Y$959,10,0)</f>
        <v>0.98</v>
      </c>
      <c r="K1729" s="20">
        <f>VLOOKUP(A1729,Metrik!$C$2:$Y$959,11,0)</f>
        <v>0.57</v>
      </c>
      <c r="L1729" s="20">
        <f>VLOOKUP(A1729,Metrik!$C$2:$Y$959,12,0)</f>
        <v>0.72</v>
      </c>
      <c r="M1729" s="20">
        <f>VLOOKUP(A1729,Metrik!$C$2:$Y$959,19,0)</f>
        <v>6.7</v>
      </c>
      <c r="N1729" s="21"/>
      <c r="O1729" s="21"/>
      <c r="P1729" s="21"/>
      <c r="Q1729" s="21"/>
      <c r="R1729" s="21"/>
      <c r="S1729" s="21"/>
      <c r="T1729" s="21"/>
      <c r="U1729" s="22">
        <f>IFERROR(__xludf.DUMMYFUNCTION("IFERROR(GOOGLEFINANCE(A1729,""closeyest""),"""")"),126.0)</f>
        <v>126</v>
      </c>
      <c r="V1729" s="23">
        <f>IFERROR(__xludf.DUMMYFUNCTION("IFERROR(GOOGLEFINANCE(A1729,""changepct""),"""")"),3.17)</f>
        <v>3.17</v>
      </c>
      <c r="W1729" s="22">
        <f>IFERROR(__xludf.DUMMYFUNCTION("IFERROR(GOOGLEFINANCE(A1729,""priceopen""),"""")"),141.0)</f>
        <v>141</v>
      </c>
      <c r="X1729" s="22">
        <f>IFERROR(__xludf.DUMMYFUNCTION("IFERROR(GOOGLEFINANCE(A1729,""high""),"""")"),165.0)</f>
        <v>165</v>
      </c>
      <c r="Y1729" s="22">
        <f>IFERROR(__xludf.DUMMYFUNCTION("IFERROR(GOOGLEFINANCE(A1729,""low""),"""")"),126.0)</f>
        <v>126</v>
      </c>
      <c r="Z1729" s="22">
        <f>IFERROR(__xludf.DUMMYFUNCTION("IFERROR(GOOGLEFINANCE(A1729,""volume""),"""")"),1.209063E8)</f>
        <v>120906300</v>
      </c>
      <c r="AA1729" s="24" t="str">
        <f>VLOOKUP(A1729,Metrik!$C$2:$Y$959,5,0)</f>
        <v>Media</v>
      </c>
      <c r="AB1729" s="24" t="str">
        <f>VLOOKUP(A1729,Metrik!$C$2:$Y$959,3,0)</f>
        <v>Consumer Cyclicals</v>
      </c>
    </row>
    <row r="1730">
      <c r="A1730" s="14" t="s">
        <v>941</v>
      </c>
      <c r="B1730" s="14" t="str">
        <f t="array" ref="B1730">VLOOKUP(A1730,{Metrik!$C$2:$C$998,Metrik!$B$2:$B$998},2,0)</f>
        <v>Trimuda Nuansa Citra Tbk.</v>
      </c>
      <c r="C1730" s="15">
        <f>IFERROR(__xludf.DUMMYFUNCTION("GOOGLEFINANCE(""IDX:""&amp;A1730,""price"")"),145.0)</f>
        <v>145</v>
      </c>
      <c r="D1730" s="16" t="str">
        <f>IFERROR(__xludf.DUMMYFUNCTION("IF(A1730="""","""",
SPARKLINE(
INDEX(
GOOGLEFINANCE(""IDX:""&amp;A1730,""close"",TODAY()-365,TODAY()),
,2
),
{""linewidth"",1}
))
"),"#N/A")</f>
        <v>#N/A</v>
      </c>
      <c r="E1730" s="26"/>
      <c r="F1730" s="26"/>
      <c r="G1730" s="24">
        <f t="shared" si="10"/>
        <v>0</v>
      </c>
      <c r="H1730" s="19">
        <f>VLOOKUP(A1730,Metrik!$C$2:$Y$959,8,0)</f>
        <v>-18.5</v>
      </c>
      <c r="I1730" s="20">
        <f>VLOOKUP(A1730,Metrik!$C$2:$Y$959,9,0)</f>
        <v>1.7</v>
      </c>
      <c r="J1730" s="20">
        <f>VLOOKUP(A1730,Metrik!$C$2:$Y$959,10,0)</f>
        <v>-9.4</v>
      </c>
      <c r="K1730" s="20">
        <f>VLOOKUP(A1730,Metrik!$C$2:$Y$959,11,0)</f>
        <v>-7</v>
      </c>
      <c r="L1730" s="20">
        <f>VLOOKUP(A1730,Metrik!$C$2:$Y$959,12,0)</f>
        <v>0.35</v>
      </c>
      <c r="M1730" s="20">
        <f>VLOOKUP(A1730,Metrik!$C$2:$Y$959,19,0)</f>
        <v>-20.7</v>
      </c>
      <c r="N1730" s="21"/>
      <c r="O1730" s="21"/>
      <c r="P1730" s="21"/>
      <c r="Q1730" s="21"/>
      <c r="R1730" s="21"/>
      <c r="S1730" s="21"/>
      <c r="T1730" s="21"/>
      <c r="U1730" s="22">
        <f>IFERROR(__xludf.DUMMYFUNCTION("IFERROR(GOOGLEFINANCE(A1730,""closeyest""),"""")"),137.0)</f>
        <v>137</v>
      </c>
      <c r="V1730" s="23">
        <f>IFERROR(__xludf.DUMMYFUNCTION("IFERROR(GOOGLEFINANCE(A1730,""changepct""),"""")"),5.84)</f>
        <v>5.84</v>
      </c>
      <c r="W1730" s="22">
        <f>IFERROR(__xludf.DUMMYFUNCTION("IFERROR(GOOGLEFINANCE(A1730,""priceopen""),"""")"),138.0)</f>
        <v>138</v>
      </c>
      <c r="X1730" s="22">
        <f>IFERROR(__xludf.DUMMYFUNCTION("IFERROR(GOOGLEFINANCE(A1730,""high""),"""")"),149.0)</f>
        <v>149</v>
      </c>
      <c r="Y1730" s="22">
        <f>IFERROR(__xludf.DUMMYFUNCTION("IFERROR(GOOGLEFINANCE(A1730,""low""),"""")"),138.0)</f>
        <v>138</v>
      </c>
      <c r="Z1730" s="22">
        <f>IFERROR(__xludf.DUMMYFUNCTION("IFERROR(GOOGLEFINANCE(A1730,""volume""),"""")"),52100.0)</f>
        <v>52100</v>
      </c>
      <c r="AA1730" s="24" t="str">
        <f>VLOOKUP(A1730,Metrik!$C$2:$Y$959,5,0)</f>
        <v>Logistics &amp; Deliveries</v>
      </c>
      <c r="AB1730" s="24" t="str">
        <f>VLOOKUP(A1730,Metrik!$C$2:$Y$959,3,0)</f>
        <v>Transportation &amp; Logistic</v>
      </c>
    </row>
    <row r="1731">
      <c r="A1731" s="17" t="s">
        <v>942</v>
      </c>
      <c r="B1731" s="14" t="str">
        <f t="array" ref="B1731">VLOOKUP(A1731,{Metrik!$C$2:$C$998,Metrik!$B$2:$B$998},2,0)</f>
        <v>TBS Energi Utama Tbk.</v>
      </c>
      <c r="C1731" s="15">
        <f>IFERROR(__xludf.DUMMYFUNCTION("GOOGLEFINANCE(""IDX:""&amp;A1731,""price"")"),402.0)</f>
        <v>402</v>
      </c>
      <c r="D1731" s="16" t="str">
        <f>IFERROR(__xludf.DUMMYFUNCTION("IF(A1731="""","""",
SPARKLINE(
INDEX(
GOOGLEFINANCE(""IDX:""&amp;A1731,""close"",TODAY()-365,TODAY()),
,2
),
{""linewidth"",1}
))
"),"#N/A")</f>
        <v>#N/A</v>
      </c>
      <c r="E1731" s="14" t="s">
        <v>39</v>
      </c>
      <c r="F1731" s="25">
        <v>46356.0</v>
      </c>
      <c r="G1731" s="18">
        <f t="shared" si="10"/>
        <v>3</v>
      </c>
      <c r="H1731" s="19">
        <f>VLOOKUP(A1731,Metrik!$C$2:$Y$959,8,0)</f>
        <v>-1.9</v>
      </c>
      <c r="I1731" s="20">
        <f>VLOOKUP(A1731,Metrik!$C$2:$Y$959,9,0)</f>
        <v>1</v>
      </c>
      <c r="J1731" s="20">
        <f>VLOOKUP(A1731,Metrik!$C$2:$Y$959,10,0)</f>
        <v>-53.6</v>
      </c>
      <c r="K1731" s="20">
        <f>VLOOKUP(A1731,Metrik!$C$2:$Y$959,11,0)</f>
        <v>-14</v>
      </c>
      <c r="L1731" s="20">
        <f>VLOOKUP(A1731,Metrik!$C$2:$Y$959,12,0)</f>
        <v>2.8</v>
      </c>
      <c r="M1731" s="20">
        <f>VLOOKUP(A1731,Metrik!$C$2:$Y$959,19,0)</f>
        <v>-130</v>
      </c>
      <c r="N1731" s="21"/>
      <c r="O1731" s="21"/>
      <c r="P1731" s="21"/>
      <c r="Q1731" s="21"/>
      <c r="R1731" s="21"/>
      <c r="S1731" s="21"/>
      <c r="T1731" s="21"/>
      <c r="U1731" s="22">
        <f>IFERROR(__xludf.DUMMYFUNCTION("IFERROR(GOOGLEFINANCE(A1731,""closeyest""),"""")"),378.0)</f>
        <v>378</v>
      </c>
      <c r="V1731" s="23">
        <f>IFERROR(__xludf.DUMMYFUNCTION("IFERROR(GOOGLEFINANCE(A1731,""changepct""),"""")"),6.35)</f>
        <v>6.35</v>
      </c>
      <c r="W1731" s="22">
        <f>IFERROR(__xludf.DUMMYFUNCTION("IFERROR(GOOGLEFINANCE(A1731,""priceopen""),"""")"),378.0)</f>
        <v>378</v>
      </c>
      <c r="X1731" s="22">
        <f>IFERROR(__xludf.DUMMYFUNCTION("IFERROR(GOOGLEFINANCE(A1731,""high""),"""")"),408.0)</f>
        <v>408</v>
      </c>
      <c r="Y1731" s="22">
        <f>IFERROR(__xludf.DUMMYFUNCTION("IFERROR(GOOGLEFINANCE(A1731,""low""),"""")"),378.0)</f>
        <v>378</v>
      </c>
      <c r="Z1731" s="22">
        <f>IFERROR(__xludf.DUMMYFUNCTION("IFERROR(GOOGLEFINANCE(A1731,""volume""),"""")"),1.08241E7)</f>
        <v>10824100</v>
      </c>
      <c r="AA1731" s="24" t="str">
        <f>VLOOKUP(A1731,Metrik!$C$2:$Y$959,5,0)</f>
        <v>Coal</v>
      </c>
      <c r="AB1731" s="24" t="str">
        <f>VLOOKUP(A1731,Metrik!$C$2:$Y$959,3,0)</f>
        <v>Energy</v>
      </c>
    </row>
    <row r="1732">
      <c r="A1732" s="14" t="s">
        <v>942</v>
      </c>
      <c r="B1732" s="14" t="str">
        <f t="array" ref="B1732">VLOOKUP(A1732,{Metrik!$C$2:$C$998,Metrik!$B$2:$B$998},2,0)</f>
        <v>TBS Energi Utama Tbk.</v>
      </c>
      <c r="C1732" s="15">
        <f>IFERROR(__xludf.DUMMYFUNCTION("GOOGLEFINANCE(""IDX:""&amp;A1732,""price"")"),402.0)</f>
        <v>402</v>
      </c>
      <c r="D1732" s="16" t="str">
        <f>IFERROR(__xludf.DUMMYFUNCTION("IF(A1732="""","""",
SPARKLINE(
INDEX(
GOOGLEFINANCE(""IDX:""&amp;A1732,""close"",TODAY()-365,TODAY()),
,2
),
{""linewidth"",1}
))
"),"#N/A")</f>
        <v>#N/A</v>
      </c>
      <c r="E1732" s="14" t="s">
        <v>161</v>
      </c>
      <c r="F1732" s="14" t="s">
        <v>76</v>
      </c>
      <c r="G1732" s="24">
        <f t="shared" si="10"/>
        <v>3</v>
      </c>
      <c r="H1732" s="19">
        <f>VLOOKUP(A1732,Metrik!$C$2:$Y$959,8,0)</f>
        <v>-1.9</v>
      </c>
      <c r="I1732" s="20">
        <f>VLOOKUP(A1732,Metrik!$C$2:$Y$959,9,0)</f>
        <v>1</v>
      </c>
      <c r="J1732" s="20">
        <f>VLOOKUP(A1732,Metrik!$C$2:$Y$959,10,0)</f>
        <v>-53.6</v>
      </c>
      <c r="K1732" s="20">
        <f>VLOOKUP(A1732,Metrik!$C$2:$Y$959,11,0)</f>
        <v>-14</v>
      </c>
      <c r="L1732" s="20">
        <f>VLOOKUP(A1732,Metrik!$C$2:$Y$959,12,0)</f>
        <v>2.8</v>
      </c>
      <c r="M1732" s="20">
        <f>VLOOKUP(A1732,Metrik!$C$2:$Y$959,19,0)</f>
        <v>-130</v>
      </c>
      <c r="N1732" s="21"/>
      <c r="O1732" s="21"/>
      <c r="P1732" s="21"/>
      <c r="Q1732" s="21"/>
      <c r="R1732" s="21"/>
      <c r="S1732" s="21"/>
      <c r="T1732" s="21"/>
      <c r="U1732" s="22">
        <f>IFERROR(__xludf.DUMMYFUNCTION("IFERROR(GOOGLEFINANCE(A1732,""closeyest""),"""")"),378.0)</f>
        <v>378</v>
      </c>
      <c r="V1732" s="23">
        <f>IFERROR(__xludf.DUMMYFUNCTION("IFERROR(GOOGLEFINANCE(A1732,""changepct""),"""")"),6.35)</f>
        <v>6.35</v>
      </c>
      <c r="W1732" s="22">
        <f>IFERROR(__xludf.DUMMYFUNCTION("IFERROR(GOOGLEFINANCE(A1732,""priceopen""),"""")"),378.0)</f>
        <v>378</v>
      </c>
      <c r="X1732" s="22">
        <f>IFERROR(__xludf.DUMMYFUNCTION("IFERROR(GOOGLEFINANCE(A1732,""high""),"""")"),408.0)</f>
        <v>408</v>
      </c>
      <c r="Y1732" s="22">
        <f>IFERROR(__xludf.DUMMYFUNCTION("IFERROR(GOOGLEFINANCE(A1732,""low""),"""")"),378.0)</f>
        <v>378</v>
      </c>
      <c r="Z1732" s="22">
        <f>IFERROR(__xludf.DUMMYFUNCTION("IFERROR(GOOGLEFINANCE(A1732,""volume""),"""")"),1.08241E7)</f>
        <v>10824100</v>
      </c>
      <c r="AA1732" s="24" t="str">
        <f>VLOOKUP(A1732,Metrik!$C$2:$Y$959,5,0)</f>
        <v>Coal</v>
      </c>
      <c r="AB1732" s="24" t="str">
        <f>VLOOKUP(A1732,Metrik!$C$2:$Y$959,3,0)</f>
        <v>Energy</v>
      </c>
    </row>
    <row r="1733">
      <c r="A1733" s="14" t="s">
        <v>942</v>
      </c>
      <c r="B1733" s="14" t="str">
        <f t="array" ref="B1733">VLOOKUP(A1733,{Metrik!$C$2:$C$998,Metrik!$B$2:$B$998},2,0)</f>
        <v>TBS Energi Utama Tbk.</v>
      </c>
      <c r="C1733" s="15">
        <f>IFERROR(__xludf.DUMMYFUNCTION("GOOGLEFINANCE(""IDX:""&amp;A1733,""price"")"),402.0)</f>
        <v>402</v>
      </c>
      <c r="D1733" s="16" t="str">
        <f>IFERROR(__xludf.DUMMYFUNCTION("IF(A1733="""","""",
SPARKLINE(
INDEX(
GOOGLEFINANCE(""IDX:""&amp;A1733,""close"",TODAY()-365,TODAY()),
,2
),
{""linewidth"",1}
))
"),"#N/A")</f>
        <v>#N/A</v>
      </c>
      <c r="E1733" s="14" t="s">
        <v>32</v>
      </c>
      <c r="F1733" s="14" t="s">
        <v>29</v>
      </c>
      <c r="G1733" s="24">
        <f t="shared" si="10"/>
        <v>3</v>
      </c>
      <c r="H1733" s="19">
        <f>VLOOKUP(A1733,Metrik!$C$2:$Y$959,8,0)</f>
        <v>-1.9</v>
      </c>
      <c r="I1733" s="20">
        <f>VLOOKUP(A1733,Metrik!$C$2:$Y$959,9,0)</f>
        <v>1</v>
      </c>
      <c r="J1733" s="20">
        <f>VLOOKUP(A1733,Metrik!$C$2:$Y$959,10,0)</f>
        <v>-53.6</v>
      </c>
      <c r="K1733" s="20">
        <f>VLOOKUP(A1733,Metrik!$C$2:$Y$959,11,0)</f>
        <v>-14</v>
      </c>
      <c r="L1733" s="20">
        <f>VLOOKUP(A1733,Metrik!$C$2:$Y$959,12,0)</f>
        <v>2.8</v>
      </c>
      <c r="M1733" s="20">
        <f>VLOOKUP(A1733,Metrik!$C$2:$Y$959,19,0)</f>
        <v>-130</v>
      </c>
      <c r="N1733" s="21"/>
      <c r="O1733" s="21"/>
      <c r="P1733" s="21"/>
      <c r="Q1733" s="21"/>
      <c r="R1733" s="21"/>
      <c r="S1733" s="21"/>
      <c r="T1733" s="21"/>
      <c r="U1733" s="22">
        <f>IFERROR(__xludf.DUMMYFUNCTION("IFERROR(GOOGLEFINANCE(A1733,""closeyest""),"""")"),378.0)</f>
        <v>378</v>
      </c>
      <c r="V1733" s="23">
        <f>IFERROR(__xludf.DUMMYFUNCTION("IFERROR(GOOGLEFINANCE(A1733,""changepct""),"""")"),6.35)</f>
        <v>6.35</v>
      </c>
      <c r="W1733" s="22">
        <f>IFERROR(__xludf.DUMMYFUNCTION("IFERROR(GOOGLEFINANCE(A1733,""priceopen""),"""")"),378.0)</f>
        <v>378</v>
      </c>
      <c r="X1733" s="22">
        <f>IFERROR(__xludf.DUMMYFUNCTION("IFERROR(GOOGLEFINANCE(A1733,""high""),"""")"),408.0)</f>
        <v>408</v>
      </c>
      <c r="Y1733" s="22">
        <f>IFERROR(__xludf.DUMMYFUNCTION("IFERROR(GOOGLEFINANCE(A1733,""low""),"""")"),378.0)</f>
        <v>378</v>
      </c>
      <c r="Z1733" s="22">
        <f>IFERROR(__xludf.DUMMYFUNCTION("IFERROR(GOOGLEFINANCE(A1733,""volume""),"""")"),1.08241E7)</f>
        <v>10824100</v>
      </c>
      <c r="AA1733" s="24" t="str">
        <f>VLOOKUP(A1733,Metrik!$C$2:$Y$959,5,0)</f>
        <v>Coal</v>
      </c>
      <c r="AB1733" s="24" t="str">
        <f>VLOOKUP(A1733,Metrik!$C$2:$Y$959,3,0)</f>
        <v>Energy</v>
      </c>
    </row>
    <row r="1734">
      <c r="A1734" s="14" t="s">
        <v>943</v>
      </c>
      <c r="B1734" s="14" t="str">
        <f t="array" ref="B1734">VLOOKUP(A1734,{Metrik!$C$2:$C$998,Metrik!$B$2:$B$998},2,0)</f>
        <v>Rohartindo Nusantara Luas Tbk.</v>
      </c>
      <c r="C1734" s="15">
        <f>IFERROR(__xludf.DUMMYFUNCTION("GOOGLEFINANCE(""IDX:""&amp;A1734,""price"")"),57.0)</f>
        <v>57</v>
      </c>
      <c r="D1734" s="16" t="str">
        <f>IFERROR(__xludf.DUMMYFUNCTION("IF(A1734="""","""",
SPARKLINE(
INDEX(
GOOGLEFINANCE(""IDX:""&amp;A1734,""close"",TODAY()-365,TODAY()),
,2
),
{""linewidth"",1}
))
"),"#N/A")</f>
        <v>#N/A</v>
      </c>
      <c r="E1734" s="26"/>
      <c r="F1734" s="26"/>
      <c r="G1734" s="24">
        <f t="shared" si="10"/>
        <v>0</v>
      </c>
      <c r="H1734" s="19">
        <f>VLOOKUP(A1734,Metrik!$C$2:$Y$959,8,0)</f>
        <v>-15.8</v>
      </c>
      <c r="I1734" s="20">
        <f>VLOOKUP(A1734,Metrik!$C$2:$Y$959,9,0)</f>
        <v>0.8</v>
      </c>
      <c r="J1734" s="20">
        <f>VLOOKUP(A1734,Metrik!$C$2:$Y$959,10,0)</f>
        <v>-5.1</v>
      </c>
      <c r="K1734" s="20">
        <f>VLOOKUP(A1734,Metrik!$C$2:$Y$959,11,0)</f>
        <v>-4.6</v>
      </c>
      <c r="L1734" s="20">
        <f>VLOOKUP(A1734,Metrik!$C$2:$Y$959,12,0)</f>
        <v>0.11</v>
      </c>
      <c r="M1734" s="20">
        <f>VLOOKUP(A1734,Metrik!$C$2:$Y$959,19,0)</f>
        <v>-90.8</v>
      </c>
      <c r="N1734" s="21"/>
      <c r="O1734" s="21"/>
      <c r="P1734" s="21"/>
      <c r="Q1734" s="21"/>
      <c r="R1734" s="21"/>
      <c r="S1734" s="21"/>
      <c r="T1734" s="21"/>
      <c r="U1734" s="22">
        <f>IFERROR(__xludf.DUMMYFUNCTION("IFERROR(GOOGLEFINANCE(A1734,""closeyest""),"""")"),54.0)</f>
        <v>54</v>
      </c>
      <c r="V1734" s="23">
        <f>IFERROR(__xludf.DUMMYFUNCTION("IFERROR(GOOGLEFINANCE(A1734,""changepct""),"""")"),5.56)</f>
        <v>5.56</v>
      </c>
      <c r="W1734" s="22">
        <f>IFERROR(__xludf.DUMMYFUNCTION("IFERROR(GOOGLEFINANCE(A1734,""priceopen""),"""")"),55.0)</f>
        <v>55</v>
      </c>
      <c r="X1734" s="22">
        <f>IFERROR(__xludf.DUMMYFUNCTION("IFERROR(GOOGLEFINANCE(A1734,""high""),"""")"),66.0)</f>
        <v>66</v>
      </c>
      <c r="Y1734" s="22">
        <f>IFERROR(__xludf.DUMMYFUNCTION("IFERROR(GOOGLEFINANCE(A1734,""low""),"""")"),55.0)</f>
        <v>55</v>
      </c>
      <c r="Z1734" s="22">
        <f>IFERROR(__xludf.DUMMYFUNCTION("IFERROR(GOOGLEFINANCE(A1734,""volume""),"""")"),2.383709E8)</f>
        <v>238370900</v>
      </c>
      <c r="AA1734" s="24" t="str">
        <f>VLOOKUP(A1734,Metrik!$C$2:$Y$959,5,0)</f>
        <v>Specialty Retail</v>
      </c>
      <c r="AB1734" s="24" t="str">
        <f>VLOOKUP(A1734,Metrik!$C$2:$Y$959,3,0)</f>
        <v>Consumer Cyclicals</v>
      </c>
    </row>
    <row r="1735">
      <c r="A1735" s="14" t="s">
        <v>944</v>
      </c>
      <c r="B1735" s="14" t="str">
        <f t="array" ref="B1735">VLOOKUP(A1735,{Metrik!$C$2:$C$998,Metrik!$B$2:$B$998},2,0)</f>
        <v>PT Totalindo Eka Persada Tbk.</v>
      </c>
      <c r="C1735" s="15">
        <f>IFERROR(__xludf.DUMMYFUNCTION("GOOGLEFINANCE(""IDX:""&amp;A1735,""price"")"),1.0)</f>
        <v>1</v>
      </c>
      <c r="D1735" s="16" t="str">
        <f>IFERROR(__xludf.DUMMYFUNCTION("IF(A1735="""","""",
SPARKLINE(
INDEX(
GOOGLEFINANCE(""IDX:""&amp;A1735,""close"",TODAY()-365,TODAY()),
,2
),
{""linewidth"",1}
))
"),"#N/A")</f>
        <v>#N/A</v>
      </c>
      <c r="E1735" s="26"/>
      <c r="F1735" s="26"/>
      <c r="G1735" s="24">
        <f t="shared" si="10"/>
        <v>0</v>
      </c>
      <c r="H1735" s="19">
        <f>VLOOKUP(A1735,Metrik!$C$2:$Y$959,8,0)</f>
        <v>0</v>
      </c>
      <c r="I1735" s="20">
        <f>VLOOKUP(A1735,Metrik!$C$2:$Y$959,9,0)</f>
        <v>0.08</v>
      </c>
      <c r="J1735" s="20">
        <f>VLOOKUP(A1735,Metrik!$C$2:$Y$959,10,0)</f>
        <v>-68.6</v>
      </c>
      <c r="K1735" s="20">
        <f>VLOOKUP(A1735,Metrik!$C$2:$Y$959,11,0)</f>
        <v>-17.6</v>
      </c>
      <c r="L1735" s="20">
        <f>VLOOKUP(A1735,Metrik!$C$2:$Y$959,12,0)</f>
        <v>2.9</v>
      </c>
      <c r="M1735" s="20">
        <f>VLOOKUP(A1735,Metrik!$C$2:$Y$959,19,0)</f>
        <v>-680</v>
      </c>
      <c r="N1735" s="21"/>
      <c r="O1735" s="21"/>
      <c r="P1735" s="21"/>
      <c r="Q1735" s="21"/>
      <c r="R1735" s="21"/>
      <c r="S1735" s="21"/>
      <c r="T1735" s="21"/>
      <c r="U1735" s="22">
        <f>IFERROR(__xludf.DUMMYFUNCTION("IFERROR(GOOGLEFINANCE(A1735,""closeyest""),"""")"),0.95)</f>
        <v>0.95</v>
      </c>
      <c r="V1735" s="23">
        <f>IFERROR(__xludf.DUMMYFUNCTION("IFERROR(GOOGLEFINANCE(A1735,""changepct""),"""")"),-1.68)</f>
        <v>-1.68</v>
      </c>
      <c r="W1735" s="22">
        <f>IFERROR(__xludf.DUMMYFUNCTION("IFERROR(GOOGLEFINANCE(A1735,""priceopen""),"""")"),0.95)</f>
        <v>0.95</v>
      </c>
      <c r="X1735" s="22">
        <f>IFERROR(__xludf.DUMMYFUNCTION("IFERROR(GOOGLEFINANCE(A1735,""high""),"""")"),0.97)</f>
        <v>0.97</v>
      </c>
      <c r="Y1735" s="22">
        <f>IFERROR(__xludf.DUMMYFUNCTION("IFERROR(GOOGLEFINANCE(A1735,""low""),"""")"),0.91)</f>
        <v>0.91</v>
      </c>
      <c r="Z1735" s="22">
        <f>IFERROR(__xludf.DUMMYFUNCTION("IFERROR(GOOGLEFINANCE(A1735,""volume""),"""")"),251878.0)</f>
        <v>251878</v>
      </c>
      <c r="AA1735" s="24" t="str">
        <f>VLOOKUP(A1735,Metrik!$C$2:$Y$959,5,0)</f>
        <v>Heavy Constructions &amp; Civil Engineering</v>
      </c>
      <c r="AB1735" s="24" t="str">
        <f>VLOOKUP(A1735,Metrik!$C$2:$Y$959,3,0)</f>
        <v>Infrastructures</v>
      </c>
    </row>
    <row r="1736">
      <c r="A1736" s="14" t="s">
        <v>945</v>
      </c>
      <c r="B1736" s="14" t="str">
        <f t="array" ref="B1736">VLOOKUP(A1736,{Metrik!$C$2:$C$998,Metrik!$B$2:$B$998},2,0)</f>
        <v>Topindo Solusi Komunika Tbk.</v>
      </c>
      <c r="C1736" s="15">
        <f>IFERROR(__xludf.DUMMYFUNCTION("GOOGLEFINANCE(""IDX:""&amp;A1736,""price"")"),56.0)</f>
        <v>56</v>
      </c>
      <c r="D1736" s="16" t="str">
        <f>IFERROR(__xludf.DUMMYFUNCTION("IF(A1736="""","""",
SPARKLINE(
INDEX(
GOOGLEFINANCE(""IDX:""&amp;A1736,""close"",TODAY()-365,TODAY()),
,2
),
{""linewidth"",1}
))
"),"#N/A")</f>
        <v>#N/A</v>
      </c>
      <c r="E1736" s="26"/>
      <c r="F1736" s="26"/>
      <c r="G1736" s="24">
        <f t="shared" si="10"/>
        <v>0</v>
      </c>
      <c r="H1736" s="19">
        <f>VLOOKUP(A1736,Metrik!$C$2:$Y$959,8,0)</f>
        <v>53.8</v>
      </c>
      <c r="I1736" s="20">
        <f>VLOOKUP(A1736,Metrik!$C$2:$Y$959,9,0)</f>
        <v>1.5</v>
      </c>
      <c r="J1736" s="20">
        <f>VLOOKUP(A1736,Metrik!$C$2:$Y$959,10,0)</f>
        <v>2.8</v>
      </c>
      <c r="K1736" s="20">
        <f>VLOOKUP(A1736,Metrik!$C$2:$Y$959,11,0)</f>
        <v>2.2</v>
      </c>
      <c r="L1736" s="20">
        <f>VLOOKUP(A1736,Metrik!$C$2:$Y$959,12,0)</f>
        <v>0.27</v>
      </c>
      <c r="M1736" s="20">
        <f>VLOOKUP(A1736,Metrik!$C$2:$Y$959,19,0)</f>
        <v>1.1</v>
      </c>
      <c r="N1736" s="21"/>
      <c r="O1736" s="21"/>
      <c r="P1736" s="21"/>
      <c r="Q1736" s="21"/>
      <c r="R1736" s="21"/>
      <c r="S1736" s="21"/>
      <c r="T1736" s="21"/>
      <c r="U1736" s="22">
        <f>IFERROR(__xludf.DUMMYFUNCTION("IFERROR(GOOGLEFINANCE(A1736,""closeyest""),"""")"),54.0)</f>
        <v>54</v>
      </c>
      <c r="V1736" s="23">
        <f>IFERROR(__xludf.DUMMYFUNCTION("IFERROR(GOOGLEFINANCE(A1736,""changepct""),"""")"),3.7)</f>
        <v>3.7</v>
      </c>
      <c r="W1736" s="22">
        <f>IFERROR(__xludf.DUMMYFUNCTION("IFERROR(GOOGLEFINANCE(A1736,""priceopen""),"""")"),54.0)</f>
        <v>54</v>
      </c>
      <c r="X1736" s="22">
        <f>IFERROR(__xludf.DUMMYFUNCTION("IFERROR(GOOGLEFINANCE(A1736,""high""),"""")"),57.0)</f>
        <v>57</v>
      </c>
      <c r="Y1736" s="22">
        <f>IFERROR(__xludf.DUMMYFUNCTION("IFERROR(GOOGLEFINANCE(A1736,""low""),"""")"),54.0)</f>
        <v>54</v>
      </c>
      <c r="Z1736" s="22">
        <f>IFERROR(__xludf.DUMMYFUNCTION("IFERROR(GOOGLEFINANCE(A1736,""volume""),"""")"),5857500.0)</f>
        <v>5857500</v>
      </c>
      <c r="AA1736" s="24" t="str">
        <f>VLOOKUP(A1736,Metrik!$C$2:$Y$959,5,0)</f>
        <v>Online Applications &amp; Services</v>
      </c>
      <c r="AB1736" s="24" t="str">
        <f>VLOOKUP(A1736,Metrik!$C$2:$Y$959,3,0)</f>
        <v>Technology</v>
      </c>
    </row>
    <row r="1737">
      <c r="A1737" s="17" t="s">
        <v>946</v>
      </c>
      <c r="B1737" s="14" t="str">
        <f t="array" ref="B1737">VLOOKUP(A1737,{Metrik!$C$2:$C$998,Metrik!$B$2:$B$998},2,0)</f>
        <v>Total Bangun Persada Tbk</v>
      </c>
      <c r="C1737" s="15">
        <f>IFERROR(__xludf.DUMMYFUNCTION("GOOGLEFINANCE(""IDX:""&amp;A1737,""price"")"),1065.0)</f>
        <v>1065</v>
      </c>
      <c r="D1737" s="16" t="str">
        <f>IFERROR(__xludf.DUMMYFUNCTION("IF(A1737="""","""",
SPARKLINE(
INDEX(
GOOGLEFINANCE(""IDX:""&amp;A1737,""close"",TODAY()-365,TODAY()),
,2
),
{""linewidth"",1}
))
"),"#N/A")</f>
        <v>#N/A</v>
      </c>
      <c r="E1737" s="14"/>
      <c r="F1737" s="17"/>
      <c r="G1737" s="18">
        <f t="shared" si="10"/>
        <v>0</v>
      </c>
      <c r="H1737" s="19">
        <f>VLOOKUP(A1737,Metrik!$C$2:$Y$959,8,0)</f>
        <v>8</v>
      </c>
      <c r="I1737" s="20">
        <f>VLOOKUP(A1737,Metrik!$C$2:$Y$959,9,0)</f>
        <v>2.5</v>
      </c>
      <c r="J1737" s="20">
        <f>VLOOKUP(A1737,Metrik!$C$2:$Y$959,10,0)</f>
        <v>30.9</v>
      </c>
      <c r="K1737" s="20">
        <f>VLOOKUP(A1737,Metrik!$C$2:$Y$959,11,0)</f>
        <v>10.2</v>
      </c>
      <c r="L1737" s="20">
        <f>VLOOKUP(A1737,Metrik!$C$2:$Y$959,12,0)</f>
        <v>2</v>
      </c>
      <c r="M1737" s="20">
        <f>VLOOKUP(A1737,Metrik!$C$2:$Y$959,19,0)</f>
        <v>52.8</v>
      </c>
      <c r="N1737" s="21"/>
      <c r="O1737" s="21"/>
      <c r="P1737" s="21"/>
      <c r="Q1737" s="21"/>
      <c r="R1737" s="21"/>
      <c r="S1737" s="21"/>
      <c r="T1737" s="21"/>
      <c r="U1737" s="22">
        <f>IFERROR(__xludf.DUMMYFUNCTION("IFERROR(GOOGLEFINANCE(A1737,""closeyest""),"""")"),39.32)</f>
        <v>39.32</v>
      </c>
      <c r="V1737" s="23">
        <f>IFERROR(__xludf.DUMMYFUNCTION("IFERROR(GOOGLEFINANCE(A1737,""changepct""),"""")"),0.18)</f>
        <v>0.18</v>
      </c>
      <c r="W1737" s="22">
        <f>IFERROR(__xludf.DUMMYFUNCTION("IFERROR(GOOGLEFINANCE(A1737,""priceopen""),"""")"),39.35)</f>
        <v>39.35</v>
      </c>
      <c r="X1737" s="22">
        <f>IFERROR(__xludf.DUMMYFUNCTION("IFERROR(GOOGLEFINANCE(A1737,""high""),"""")"),39.39)</f>
        <v>39.39</v>
      </c>
      <c r="Y1737" s="22">
        <f>IFERROR(__xludf.DUMMYFUNCTION("IFERROR(GOOGLEFINANCE(A1737,""low""),"""")"),39.29)</f>
        <v>39.29</v>
      </c>
      <c r="Z1737" s="22">
        <f>IFERROR(__xludf.DUMMYFUNCTION("IFERROR(GOOGLEFINANCE(A1737,""volume""),"""")"),38237.0)</f>
        <v>38237</v>
      </c>
      <c r="AA1737" s="24" t="str">
        <f>VLOOKUP(A1737,Metrik!$C$2:$Y$959,5,0)</f>
        <v>Heavy Constructions &amp; Civil Engineering</v>
      </c>
      <c r="AB1737" s="24" t="str">
        <f>VLOOKUP(A1737,Metrik!$C$2:$Y$959,3,0)</f>
        <v>Infrastructures</v>
      </c>
    </row>
    <row r="1738">
      <c r="A1738" s="14" t="s">
        <v>947</v>
      </c>
      <c r="B1738" s="14" t="str">
        <f t="array" ref="B1738">VLOOKUP(A1738,{Metrik!$C$2:$C$998,Metrik!$B$2:$B$998},2,0)</f>
        <v>Surya Toto Indonesia Tbk.</v>
      </c>
      <c r="C1738" s="15">
        <f>IFERROR(__xludf.DUMMYFUNCTION("GOOGLEFINANCE(""IDX:""&amp;A1738,""price"")"),232.0)</f>
        <v>232</v>
      </c>
      <c r="D1738" s="16" t="str">
        <f>IFERROR(__xludf.DUMMYFUNCTION("IF(A1738="""","""",
SPARKLINE(
INDEX(
GOOGLEFINANCE(""IDX:""&amp;A1738,""close"",TODAY()-365,TODAY()),
,2
),
{""linewidth"",1}
))
"),"#N/A")</f>
        <v>#N/A</v>
      </c>
      <c r="E1738" s="26"/>
      <c r="F1738" s="26"/>
      <c r="G1738" s="18">
        <f t="shared" si="10"/>
        <v>0</v>
      </c>
      <c r="H1738" s="19">
        <f>VLOOKUP(A1738,Metrik!$C$2:$Y$959,8,0)</f>
        <v>8.2</v>
      </c>
      <c r="I1738" s="20">
        <f>VLOOKUP(A1738,Metrik!$C$2:$Y$959,9,0)</f>
        <v>0.97</v>
      </c>
      <c r="J1738" s="20">
        <f>VLOOKUP(A1738,Metrik!$C$2:$Y$959,10,0)</f>
        <v>11.9</v>
      </c>
      <c r="K1738" s="20">
        <f>VLOOKUP(A1738,Metrik!$C$2:$Y$959,11,0)</f>
        <v>9.1</v>
      </c>
      <c r="L1738" s="20">
        <f>VLOOKUP(A1738,Metrik!$C$2:$Y$959,12,0)</f>
        <v>0.31</v>
      </c>
      <c r="M1738" s="20">
        <f>VLOOKUP(A1738,Metrik!$C$2:$Y$959,19,0)</f>
        <v>64.1</v>
      </c>
      <c r="N1738" s="21"/>
      <c r="O1738" s="21"/>
      <c r="P1738" s="21"/>
      <c r="Q1738" s="21"/>
      <c r="R1738" s="21"/>
      <c r="S1738" s="21"/>
      <c r="T1738" s="21"/>
      <c r="U1738" s="22">
        <f>IFERROR(__xludf.DUMMYFUNCTION("IFERROR(GOOGLEFINANCE(A1738,""closeyest""),"""")"),223.0)</f>
        <v>223</v>
      </c>
      <c r="V1738" s="23">
        <f>IFERROR(__xludf.DUMMYFUNCTION("IFERROR(GOOGLEFINANCE(A1738,""changepct""),"""")"),4.04)</f>
        <v>4.04</v>
      </c>
      <c r="W1738" s="22">
        <f>IFERROR(__xludf.DUMMYFUNCTION("IFERROR(GOOGLEFINANCE(A1738,""priceopen""),"""")"),226.0)</f>
        <v>226</v>
      </c>
      <c r="X1738" s="22">
        <f>IFERROR(__xludf.DUMMYFUNCTION("IFERROR(GOOGLEFINANCE(A1738,""high""),"""")"),234.0)</f>
        <v>234</v>
      </c>
      <c r="Y1738" s="22">
        <f>IFERROR(__xludf.DUMMYFUNCTION("IFERROR(GOOGLEFINANCE(A1738,""low""),"""")"),202.0)</f>
        <v>202</v>
      </c>
      <c r="Z1738" s="22">
        <f>IFERROR(__xludf.DUMMYFUNCTION("IFERROR(GOOGLEFINANCE(A1738,""volume""),"""")"),2068600.0)</f>
        <v>2068600</v>
      </c>
      <c r="AA1738" s="24" t="str">
        <f>VLOOKUP(A1738,Metrik!$C$2:$Y$959,5,0)</f>
        <v>Building Products &amp; Fixtures</v>
      </c>
      <c r="AB1738" s="24" t="str">
        <f>VLOOKUP(A1738,Metrik!$C$2:$Y$959,3,0)</f>
        <v>Industrials</v>
      </c>
    </row>
    <row r="1739">
      <c r="A1739" s="14" t="s">
        <v>948</v>
      </c>
      <c r="B1739" s="14" t="str">
        <f t="array" ref="B1739">VLOOKUP(A1739,{Metrik!$C$2:$C$998,Metrik!$B$2:$B$998},2,0)</f>
        <v>Sarana Menara Nusantara Tbk</v>
      </c>
      <c r="C1739" s="15">
        <f>IFERROR(__xludf.DUMMYFUNCTION("GOOGLEFINANCE(""IDX:""&amp;A1739,""price"")"),344.0)</f>
        <v>344</v>
      </c>
      <c r="D1739" s="16" t="str">
        <f>IFERROR(__xludf.DUMMYFUNCTION("IF(A1739="""","""",
SPARKLINE(
INDEX(
GOOGLEFINANCE(""IDX:""&amp;A1739,""close"",TODAY()-365,TODAY()),
,2
),
{""linewidth"",1}
))
"),"#N/A")</f>
        <v>#N/A</v>
      </c>
      <c r="E1739" s="14" t="s">
        <v>47</v>
      </c>
      <c r="F1739" s="25">
        <v>46356.0</v>
      </c>
      <c r="G1739" s="24">
        <f t="shared" si="10"/>
        <v>11</v>
      </c>
      <c r="H1739" s="19">
        <f>VLOOKUP(A1739,Metrik!$C$2:$Y$959,8,0)</f>
        <v>6.1</v>
      </c>
      <c r="I1739" s="20">
        <f>VLOOKUP(A1739,Metrik!$C$2:$Y$959,9,0)</f>
        <v>0.83</v>
      </c>
      <c r="J1739" s="20">
        <f>VLOOKUP(A1739,Metrik!$C$2:$Y$959,10,0)</f>
        <v>13.6</v>
      </c>
      <c r="K1739" s="20">
        <f>VLOOKUP(A1739,Metrik!$C$2:$Y$959,11,0)</f>
        <v>4.8</v>
      </c>
      <c r="L1739" s="20">
        <f>VLOOKUP(A1739,Metrik!$C$2:$Y$959,12,0)</f>
        <v>1.9</v>
      </c>
      <c r="M1739" s="20">
        <f>VLOOKUP(A1739,Metrik!$C$2:$Y$959,19,0)</f>
        <v>27.6</v>
      </c>
      <c r="N1739" s="21"/>
      <c r="O1739" s="21"/>
      <c r="P1739" s="21"/>
      <c r="Q1739" s="21"/>
      <c r="R1739" s="21"/>
      <c r="S1739" s="21"/>
      <c r="T1739" s="21"/>
      <c r="U1739" s="22">
        <f>IFERROR(__xludf.DUMMYFUNCTION("IFERROR(GOOGLEFINANCE(A1739,""closeyest""),"""")"),332.0)</f>
        <v>332</v>
      </c>
      <c r="V1739" s="23">
        <f>IFERROR(__xludf.DUMMYFUNCTION("IFERROR(GOOGLEFINANCE(A1739,""changepct""),"""")"),3.61)</f>
        <v>3.61</v>
      </c>
      <c r="W1739" s="22">
        <f>IFERROR(__xludf.DUMMYFUNCTION("IFERROR(GOOGLEFINANCE(A1739,""priceopen""),"""")"),334.0)</f>
        <v>334</v>
      </c>
      <c r="X1739" s="22">
        <f>IFERROR(__xludf.DUMMYFUNCTION("IFERROR(GOOGLEFINANCE(A1739,""high""),"""")"),354.0)</f>
        <v>354</v>
      </c>
      <c r="Y1739" s="22">
        <f>IFERROR(__xludf.DUMMYFUNCTION("IFERROR(GOOGLEFINANCE(A1739,""low""),"""")"),332.0)</f>
        <v>332</v>
      </c>
      <c r="Z1739" s="22">
        <f>IFERROR(__xludf.DUMMYFUNCTION("IFERROR(GOOGLEFINANCE(A1739,""volume""),"""")"),2.291744E8)</f>
        <v>229174400</v>
      </c>
      <c r="AA1739" s="24" t="str">
        <f>VLOOKUP(A1739,Metrik!$C$2:$Y$959,5,0)</f>
        <v>Wireless Telecommunication Services</v>
      </c>
      <c r="AB1739" s="24" t="str">
        <f>VLOOKUP(A1739,Metrik!$C$2:$Y$959,3,0)</f>
        <v>Infrastructures</v>
      </c>
    </row>
    <row r="1740">
      <c r="A1740" s="14" t="s">
        <v>948</v>
      </c>
      <c r="B1740" s="14" t="str">
        <f t="array" ref="B1740">VLOOKUP(A1740,{Metrik!$C$2:$C$998,Metrik!$B$2:$B$998},2,0)</f>
        <v>Sarana Menara Nusantara Tbk</v>
      </c>
      <c r="C1740" s="15">
        <f>IFERROR(__xludf.DUMMYFUNCTION("GOOGLEFINANCE(""IDX:""&amp;A1740,""price"")"),344.0)</f>
        <v>344</v>
      </c>
      <c r="D1740" s="16" t="str">
        <f>IFERROR(__xludf.DUMMYFUNCTION("IF(A1740="""","""",
SPARKLINE(
INDEX(
GOOGLEFINANCE(""IDX:""&amp;A1740,""close"",TODAY()-365,TODAY()),
,2
),
{""linewidth"",1}
))
"),"#N/A")</f>
        <v>#N/A</v>
      </c>
      <c r="E1740" s="14" t="s">
        <v>42</v>
      </c>
      <c r="F1740" s="25">
        <v>46356.0</v>
      </c>
      <c r="G1740" s="24">
        <f t="shared" si="10"/>
        <v>11</v>
      </c>
      <c r="H1740" s="19">
        <f>VLOOKUP(A1740,Metrik!$C$2:$Y$959,8,0)</f>
        <v>6.1</v>
      </c>
      <c r="I1740" s="20">
        <f>VLOOKUP(A1740,Metrik!$C$2:$Y$959,9,0)</f>
        <v>0.83</v>
      </c>
      <c r="J1740" s="20">
        <f>VLOOKUP(A1740,Metrik!$C$2:$Y$959,10,0)</f>
        <v>13.6</v>
      </c>
      <c r="K1740" s="20">
        <f>VLOOKUP(A1740,Metrik!$C$2:$Y$959,11,0)</f>
        <v>4.8</v>
      </c>
      <c r="L1740" s="20">
        <f>VLOOKUP(A1740,Metrik!$C$2:$Y$959,12,0)</f>
        <v>1.9</v>
      </c>
      <c r="M1740" s="20">
        <f>VLOOKUP(A1740,Metrik!$C$2:$Y$959,19,0)</f>
        <v>27.6</v>
      </c>
      <c r="N1740" s="21"/>
      <c r="O1740" s="21"/>
      <c r="P1740" s="21"/>
      <c r="Q1740" s="21"/>
      <c r="R1740" s="21"/>
      <c r="S1740" s="21"/>
      <c r="T1740" s="21"/>
      <c r="U1740" s="22">
        <f>IFERROR(__xludf.DUMMYFUNCTION("IFERROR(GOOGLEFINANCE(A1740,""closeyest""),"""")"),332.0)</f>
        <v>332</v>
      </c>
      <c r="V1740" s="23">
        <f>IFERROR(__xludf.DUMMYFUNCTION("IFERROR(GOOGLEFINANCE(A1740,""changepct""),"""")"),3.61)</f>
        <v>3.61</v>
      </c>
      <c r="W1740" s="22">
        <f>IFERROR(__xludf.DUMMYFUNCTION("IFERROR(GOOGLEFINANCE(A1740,""priceopen""),"""")"),334.0)</f>
        <v>334</v>
      </c>
      <c r="X1740" s="22">
        <f>IFERROR(__xludf.DUMMYFUNCTION("IFERROR(GOOGLEFINANCE(A1740,""high""),"""")"),354.0)</f>
        <v>354</v>
      </c>
      <c r="Y1740" s="22">
        <f>IFERROR(__xludf.DUMMYFUNCTION("IFERROR(GOOGLEFINANCE(A1740,""low""),"""")"),332.0)</f>
        <v>332</v>
      </c>
      <c r="Z1740" s="22">
        <f>IFERROR(__xludf.DUMMYFUNCTION("IFERROR(GOOGLEFINANCE(A1740,""volume""),"""")"),2.291744E8)</f>
        <v>229174400</v>
      </c>
      <c r="AA1740" s="24" t="str">
        <f>VLOOKUP(A1740,Metrik!$C$2:$Y$959,5,0)</f>
        <v>Wireless Telecommunication Services</v>
      </c>
      <c r="AB1740" s="24" t="str">
        <f>VLOOKUP(A1740,Metrik!$C$2:$Y$959,3,0)</f>
        <v>Infrastructures</v>
      </c>
    </row>
    <row r="1741">
      <c r="A1741" s="14" t="s">
        <v>948</v>
      </c>
      <c r="B1741" s="14" t="str">
        <f t="array" ref="B1741">VLOOKUP(A1741,{Metrik!$C$2:$C$998,Metrik!$B$2:$B$998},2,0)</f>
        <v>Sarana Menara Nusantara Tbk</v>
      </c>
      <c r="C1741" s="15">
        <f>IFERROR(__xludf.DUMMYFUNCTION("GOOGLEFINANCE(""IDX:""&amp;A1741,""price"")"),344.0)</f>
        <v>344</v>
      </c>
      <c r="D1741" s="16" t="str">
        <f>IFERROR(__xludf.DUMMYFUNCTION("IF(A1741="""","""",
SPARKLINE(
INDEX(
GOOGLEFINANCE(""IDX:""&amp;A1741,""close"",TODAY()-365,TODAY()),
,2
),
{""linewidth"",1}
))
"),"#N/A")</f>
        <v>#N/A</v>
      </c>
      <c r="E1741" s="14" t="s">
        <v>33</v>
      </c>
      <c r="F1741" s="14" t="s">
        <v>34</v>
      </c>
      <c r="G1741" s="24">
        <f t="shared" si="10"/>
        <v>11</v>
      </c>
      <c r="H1741" s="19">
        <f>VLOOKUP(A1741,Metrik!$C$2:$Y$959,8,0)</f>
        <v>6.1</v>
      </c>
      <c r="I1741" s="20">
        <f>VLOOKUP(A1741,Metrik!$C$2:$Y$959,9,0)</f>
        <v>0.83</v>
      </c>
      <c r="J1741" s="20">
        <f>VLOOKUP(A1741,Metrik!$C$2:$Y$959,10,0)</f>
        <v>13.6</v>
      </c>
      <c r="K1741" s="20">
        <f>VLOOKUP(A1741,Metrik!$C$2:$Y$959,11,0)</f>
        <v>4.8</v>
      </c>
      <c r="L1741" s="20">
        <f>VLOOKUP(A1741,Metrik!$C$2:$Y$959,12,0)</f>
        <v>1.9</v>
      </c>
      <c r="M1741" s="20">
        <f>VLOOKUP(A1741,Metrik!$C$2:$Y$959,19,0)</f>
        <v>27.6</v>
      </c>
      <c r="N1741" s="21"/>
      <c r="O1741" s="21"/>
      <c r="P1741" s="21"/>
      <c r="Q1741" s="21"/>
      <c r="R1741" s="21"/>
      <c r="S1741" s="21"/>
      <c r="T1741" s="21"/>
      <c r="U1741" s="22">
        <f>IFERROR(__xludf.DUMMYFUNCTION("IFERROR(GOOGLEFINANCE(A1741,""closeyest""),"""")"),332.0)</f>
        <v>332</v>
      </c>
      <c r="V1741" s="23">
        <f>IFERROR(__xludf.DUMMYFUNCTION("IFERROR(GOOGLEFINANCE(A1741,""changepct""),"""")"),3.61)</f>
        <v>3.61</v>
      </c>
      <c r="W1741" s="22">
        <f>IFERROR(__xludf.DUMMYFUNCTION("IFERROR(GOOGLEFINANCE(A1741,""priceopen""),"""")"),334.0)</f>
        <v>334</v>
      </c>
      <c r="X1741" s="22">
        <f>IFERROR(__xludf.DUMMYFUNCTION("IFERROR(GOOGLEFINANCE(A1741,""high""),"""")"),354.0)</f>
        <v>354</v>
      </c>
      <c r="Y1741" s="22">
        <f>IFERROR(__xludf.DUMMYFUNCTION("IFERROR(GOOGLEFINANCE(A1741,""low""),"""")"),332.0)</f>
        <v>332</v>
      </c>
      <c r="Z1741" s="22">
        <f>IFERROR(__xludf.DUMMYFUNCTION("IFERROR(GOOGLEFINANCE(A1741,""volume""),"""")"),2.291744E8)</f>
        <v>229174400</v>
      </c>
      <c r="AA1741" s="24" t="str">
        <f>VLOOKUP(A1741,Metrik!$C$2:$Y$959,5,0)</f>
        <v>Wireless Telecommunication Services</v>
      </c>
      <c r="AB1741" s="24" t="str">
        <f>VLOOKUP(A1741,Metrik!$C$2:$Y$959,3,0)</f>
        <v>Infrastructures</v>
      </c>
    </row>
    <row r="1742">
      <c r="A1742" s="14" t="s">
        <v>948</v>
      </c>
      <c r="B1742" s="14" t="str">
        <f t="array" ref="B1742">VLOOKUP(A1742,{Metrik!$C$2:$C$998,Metrik!$B$2:$B$998},2,0)</f>
        <v>Sarana Menara Nusantara Tbk</v>
      </c>
      <c r="C1742" s="15">
        <f>IFERROR(__xludf.DUMMYFUNCTION("GOOGLEFINANCE(""IDX:""&amp;A1742,""price"")"),344.0)</f>
        <v>344</v>
      </c>
      <c r="D1742" s="16" t="str">
        <f>IFERROR(__xludf.DUMMYFUNCTION("IF(A1742="""","""",
SPARKLINE(
INDEX(
GOOGLEFINANCE(""IDX:""&amp;A1742,""close"",TODAY()-365,TODAY()),
,2
),
{""linewidth"",1}
))
"),"#N/A")</f>
        <v>#N/A</v>
      </c>
      <c r="E1742" s="14" t="s">
        <v>32</v>
      </c>
      <c r="F1742" s="14" t="s">
        <v>29</v>
      </c>
      <c r="G1742" s="24">
        <f t="shared" si="10"/>
        <v>11</v>
      </c>
      <c r="H1742" s="19">
        <f>VLOOKUP(A1742,Metrik!$C$2:$Y$959,8,0)</f>
        <v>6.1</v>
      </c>
      <c r="I1742" s="20">
        <f>VLOOKUP(A1742,Metrik!$C$2:$Y$959,9,0)</f>
        <v>0.83</v>
      </c>
      <c r="J1742" s="20">
        <f>VLOOKUP(A1742,Metrik!$C$2:$Y$959,10,0)</f>
        <v>13.6</v>
      </c>
      <c r="K1742" s="20">
        <f>VLOOKUP(A1742,Metrik!$C$2:$Y$959,11,0)</f>
        <v>4.8</v>
      </c>
      <c r="L1742" s="20">
        <f>VLOOKUP(A1742,Metrik!$C$2:$Y$959,12,0)</f>
        <v>1.9</v>
      </c>
      <c r="M1742" s="20">
        <f>VLOOKUP(A1742,Metrik!$C$2:$Y$959,19,0)</f>
        <v>27.6</v>
      </c>
      <c r="N1742" s="21"/>
      <c r="O1742" s="21"/>
      <c r="P1742" s="21"/>
      <c r="Q1742" s="21"/>
      <c r="R1742" s="21"/>
      <c r="S1742" s="21"/>
      <c r="T1742" s="21"/>
      <c r="U1742" s="22">
        <f>IFERROR(__xludf.DUMMYFUNCTION("IFERROR(GOOGLEFINANCE(A1742,""closeyest""),"""")"),332.0)</f>
        <v>332</v>
      </c>
      <c r="V1742" s="23">
        <f>IFERROR(__xludf.DUMMYFUNCTION("IFERROR(GOOGLEFINANCE(A1742,""changepct""),"""")"),3.61)</f>
        <v>3.61</v>
      </c>
      <c r="W1742" s="22">
        <f>IFERROR(__xludf.DUMMYFUNCTION("IFERROR(GOOGLEFINANCE(A1742,""priceopen""),"""")"),334.0)</f>
        <v>334</v>
      </c>
      <c r="X1742" s="22">
        <f>IFERROR(__xludf.DUMMYFUNCTION("IFERROR(GOOGLEFINANCE(A1742,""high""),"""")"),354.0)</f>
        <v>354</v>
      </c>
      <c r="Y1742" s="22">
        <f>IFERROR(__xludf.DUMMYFUNCTION("IFERROR(GOOGLEFINANCE(A1742,""low""),"""")"),332.0)</f>
        <v>332</v>
      </c>
      <c r="Z1742" s="22">
        <f>IFERROR(__xludf.DUMMYFUNCTION("IFERROR(GOOGLEFINANCE(A1742,""volume""),"""")"),2.291744E8)</f>
        <v>229174400</v>
      </c>
      <c r="AA1742" s="24" t="str">
        <f>VLOOKUP(A1742,Metrik!$C$2:$Y$959,5,0)</f>
        <v>Wireless Telecommunication Services</v>
      </c>
      <c r="AB1742" s="24" t="str">
        <f>VLOOKUP(A1742,Metrik!$C$2:$Y$959,3,0)</f>
        <v>Infrastructures</v>
      </c>
    </row>
    <row r="1743">
      <c r="A1743" s="14" t="s">
        <v>948</v>
      </c>
      <c r="B1743" s="14" t="str">
        <f t="array" ref="B1743">VLOOKUP(A1743,{Metrik!$C$2:$C$998,Metrik!$B$2:$B$998},2,0)</f>
        <v>Sarana Menara Nusantara Tbk</v>
      </c>
      <c r="C1743" s="15">
        <f>IFERROR(__xludf.DUMMYFUNCTION("GOOGLEFINANCE(""IDX:""&amp;A1743,""price"")"),344.0)</f>
        <v>344</v>
      </c>
      <c r="D1743" s="16" t="str">
        <f>IFERROR(__xludf.DUMMYFUNCTION("IF(A1743="""","""",
SPARKLINE(
INDEX(
GOOGLEFINANCE(""IDX:""&amp;A1743,""close"",TODAY()-365,TODAY()),
,2
),
{""linewidth"",1}
))
"),"#N/A")</f>
        <v>#N/A</v>
      </c>
      <c r="E1743" s="14" t="s">
        <v>28</v>
      </c>
      <c r="F1743" s="17" t="s">
        <v>29</v>
      </c>
      <c r="G1743" s="24">
        <f t="shared" si="10"/>
        <v>11</v>
      </c>
      <c r="H1743" s="19">
        <f>VLOOKUP(A1743,Metrik!$C$2:$Y$959,8,0)</f>
        <v>6.1</v>
      </c>
      <c r="I1743" s="20">
        <f>VLOOKUP(A1743,Metrik!$C$2:$Y$959,9,0)</f>
        <v>0.83</v>
      </c>
      <c r="J1743" s="20">
        <f>VLOOKUP(A1743,Metrik!$C$2:$Y$959,10,0)</f>
        <v>13.6</v>
      </c>
      <c r="K1743" s="20">
        <f>VLOOKUP(A1743,Metrik!$C$2:$Y$959,11,0)</f>
        <v>4.8</v>
      </c>
      <c r="L1743" s="20">
        <f>VLOOKUP(A1743,Metrik!$C$2:$Y$959,12,0)</f>
        <v>1.9</v>
      </c>
      <c r="M1743" s="20">
        <f>VLOOKUP(A1743,Metrik!$C$2:$Y$959,19,0)</f>
        <v>27.6</v>
      </c>
      <c r="N1743" s="21"/>
      <c r="O1743" s="21"/>
      <c r="P1743" s="21"/>
      <c r="Q1743" s="21"/>
      <c r="R1743" s="21"/>
      <c r="S1743" s="21"/>
      <c r="T1743" s="21"/>
      <c r="U1743" s="22">
        <f>IFERROR(__xludf.DUMMYFUNCTION("IFERROR(GOOGLEFINANCE(A1743,""closeyest""),"""")"),332.0)</f>
        <v>332</v>
      </c>
      <c r="V1743" s="23">
        <f>IFERROR(__xludf.DUMMYFUNCTION("IFERROR(GOOGLEFINANCE(A1743,""changepct""),"""")"),3.61)</f>
        <v>3.61</v>
      </c>
      <c r="W1743" s="22">
        <f>IFERROR(__xludf.DUMMYFUNCTION("IFERROR(GOOGLEFINANCE(A1743,""priceopen""),"""")"),334.0)</f>
        <v>334</v>
      </c>
      <c r="X1743" s="22">
        <f>IFERROR(__xludf.DUMMYFUNCTION("IFERROR(GOOGLEFINANCE(A1743,""high""),"""")"),354.0)</f>
        <v>354</v>
      </c>
      <c r="Y1743" s="22">
        <f>IFERROR(__xludf.DUMMYFUNCTION("IFERROR(GOOGLEFINANCE(A1743,""low""),"""")"),332.0)</f>
        <v>332</v>
      </c>
      <c r="Z1743" s="22">
        <f>IFERROR(__xludf.DUMMYFUNCTION("IFERROR(GOOGLEFINANCE(A1743,""volume""),"""")"),2.291744E8)</f>
        <v>229174400</v>
      </c>
      <c r="AA1743" s="24" t="str">
        <f>VLOOKUP(A1743,Metrik!$C$2:$Y$959,5,0)</f>
        <v>Wireless Telecommunication Services</v>
      </c>
      <c r="AB1743" s="24" t="str">
        <f>VLOOKUP(A1743,Metrik!$C$2:$Y$959,3,0)</f>
        <v>Infrastructures</v>
      </c>
    </row>
    <row r="1744">
      <c r="A1744" s="14" t="s">
        <v>948</v>
      </c>
      <c r="B1744" s="14" t="str">
        <f t="array" ref="B1744">VLOOKUP(A1744,{Metrik!$C$2:$C$998,Metrik!$B$2:$B$998},2,0)</f>
        <v>Sarana Menara Nusantara Tbk</v>
      </c>
      <c r="C1744" s="15">
        <f>IFERROR(__xludf.DUMMYFUNCTION("GOOGLEFINANCE(""IDX:""&amp;A1744,""price"")"),344.0)</f>
        <v>344</v>
      </c>
      <c r="D1744" s="16" t="str">
        <f>IFERROR(__xludf.DUMMYFUNCTION("IF(A1744="""","""",
SPARKLINE(
INDEX(
GOOGLEFINANCE(""IDX:""&amp;A1744,""close"",TODAY()-365,TODAY()),
,2
),
{""linewidth"",1}
))
"),"#N/A")</f>
        <v>#N/A</v>
      </c>
      <c r="E1744" s="14" t="s">
        <v>85</v>
      </c>
      <c r="F1744" s="17" t="s">
        <v>51</v>
      </c>
      <c r="G1744" s="24">
        <f t="shared" si="10"/>
        <v>11</v>
      </c>
      <c r="H1744" s="19">
        <f>VLOOKUP(A1744,Metrik!$C$2:$Y$959,8,0)</f>
        <v>6.1</v>
      </c>
      <c r="I1744" s="20">
        <f>VLOOKUP(A1744,Metrik!$C$2:$Y$959,9,0)</f>
        <v>0.83</v>
      </c>
      <c r="J1744" s="20">
        <f>VLOOKUP(A1744,Metrik!$C$2:$Y$959,10,0)</f>
        <v>13.6</v>
      </c>
      <c r="K1744" s="20">
        <f>VLOOKUP(A1744,Metrik!$C$2:$Y$959,11,0)</f>
        <v>4.8</v>
      </c>
      <c r="L1744" s="20">
        <f>VLOOKUP(A1744,Metrik!$C$2:$Y$959,12,0)</f>
        <v>1.9</v>
      </c>
      <c r="M1744" s="20">
        <f>VLOOKUP(A1744,Metrik!$C$2:$Y$959,19,0)</f>
        <v>27.6</v>
      </c>
      <c r="N1744" s="21"/>
      <c r="O1744" s="21"/>
      <c r="P1744" s="21"/>
      <c r="Q1744" s="21"/>
      <c r="R1744" s="21"/>
      <c r="S1744" s="21"/>
      <c r="T1744" s="21"/>
      <c r="U1744" s="22">
        <f>IFERROR(__xludf.DUMMYFUNCTION("IFERROR(GOOGLEFINANCE(A1744,""closeyest""),"""")"),332.0)</f>
        <v>332</v>
      </c>
      <c r="V1744" s="23">
        <f>IFERROR(__xludf.DUMMYFUNCTION("IFERROR(GOOGLEFINANCE(A1744,""changepct""),"""")"),3.61)</f>
        <v>3.61</v>
      </c>
      <c r="W1744" s="22">
        <f>IFERROR(__xludf.DUMMYFUNCTION("IFERROR(GOOGLEFINANCE(A1744,""priceopen""),"""")"),334.0)</f>
        <v>334</v>
      </c>
      <c r="X1744" s="22">
        <f>IFERROR(__xludf.DUMMYFUNCTION("IFERROR(GOOGLEFINANCE(A1744,""high""),"""")"),354.0)</f>
        <v>354</v>
      </c>
      <c r="Y1744" s="22">
        <f>IFERROR(__xludf.DUMMYFUNCTION("IFERROR(GOOGLEFINANCE(A1744,""low""),"""")"),332.0)</f>
        <v>332</v>
      </c>
      <c r="Z1744" s="22">
        <f>IFERROR(__xludf.DUMMYFUNCTION("IFERROR(GOOGLEFINANCE(A1744,""volume""),"""")"),2.291744E8)</f>
        <v>229174400</v>
      </c>
      <c r="AA1744" s="24" t="str">
        <f>VLOOKUP(A1744,Metrik!$C$2:$Y$959,5,0)</f>
        <v>Wireless Telecommunication Services</v>
      </c>
      <c r="AB1744" s="24" t="str">
        <f>VLOOKUP(A1744,Metrik!$C$2:$Y$959,3,0)</f>
        <v>Infrastructures</v>
      </c>
    </row>
    <row r="1745">
      <c r="A1745" s="14" t="s">
        <v>948</v>
      </c>
      <c r="B1745" s="14" t="str">
        <f t="array" ref="B1745">VLOOKUP(A1745,{Metrik!$C$2:$C$998,Metrik!$B$2:$B$998},2,0)</f>
        <v>Sarana Menara Nusantara Tbk</v>
      </c>
      <c r="C1745" s="15">
        <f>IFERROR(__xludf.DUMMYFUNCTION("GOOGLEFINANCE(""IDX:""&amp;A1745,""price"")"),344.0)</f>
        <v>344</v>
      </c>
      <c r="D1745" s="16" t="str">
        <f>IFERROR(__xludf.DUMMYFUNCTION("IF(A1745="""","""",
SPARKLINE(
INDEX(
GOOGLEFINANCE(""IDX:""&amp;A1745,""close"",TODAY()-365,TODAY()),
,2
),
{""linewidth"",1}
))
"),"#N/A")</f>
        <v>#N/A</v>
      </c>
      <c r="E1745" s="14" t="s">
        <v>31</v>
      </c>
      <c r="F1745" s="17" t="s">
        <v>29</v>
      </c>
      <c r="G1745" s="24">
        <f t="shared" si="10"/>
        <v>11</v>
      </c>
      <c r="H1745" s="19">
        <f>VLOOKUP(A1745,Metrik!$C$2:$Y$959,8,0)</f>
        <v>6.1</v>
      </c>
      <c r="I1745" s="20">
        <f>VLOOKUP(A1745,Metrik!$C$2:$Y$959,9,0)</f>
        <v>0.83</v>
      </c>
      <c r="J1745" s="20">
        <f>VLOOKUP(A1745,Metrik!$C$2:$Y$959,10,0)</f>
        <v>13.6</v>
      </c>
      <c r="K1745" s="20">
        <f>VLOOKUP(A1745,Metrik!$C$2:$Y$959,11,0)</f>
        <v>4.8</v>
      </c>
      <c r="L1745" s="20">
        <f>VLOOKUP(A1745,Metrik!$C$2:$Y$959,12,0)</f>
        <v>1.9</v>
      </c>
      <c r="M1745" s="20">
        <f>VLOOKUP(A1745,Metrik!$C$2:$Y$959,19,0)</f>
        <v>27.6</v>
      </c>
      <c r="N1745" s="21"/>
      <c r="O1745" s="21"/>
      <c r="P1745" s="21"/>
      <c r="Q1745" s="21"/>
      <c r="R1745" s="21"/>
      <c r="S1745" s="21"/>
      <c r="T1745" s="21"/>
      <c r="U1745" s="22">
        <f>IFERROR(__xludf.DUMMYFUNCTION("IFERROR(GOOGLEFINANCE(A1745,""closeyest""),"""")"),332.0)</f>
        <v>332</v>
      </c>
      <c r="V1745" s="23">
        <f>IFERROR(__xludf.DUMMYFUNCTION("IFERROR(GOOGLEFINANCE(A1745,""changepct""),"""")"),3.61)</f>
        <v>3.61</v>
      </c>
      <c r="W1745" s="22">
        <f>IFERROR(__xludf.DUMMYFUNCTION("IFERROR(GOOGLEFINANCE(A1745,""priceopen""),"""")"),334.0)</f>
        <v>334</v>
      </c>
      <c r="X1745" s="22">
        <f>IFERROR(__xludf.DUMMYFUNCTION("IFERROR(GOOGLEFINANCE(A1745,""high""),"""")"),354.0)</f>
        <v>354</v>
      </c>
      <c r="Y1745" s="22">
        <f>IFERROR(__xludf.DUMMYFUNCTION("IFERROR(GOOGLEFINANCE(A1745,""low""),"""")"),332.0)</f>
        <v>332</v>
      </c>
      <c r="Z1745" s="22">
        <f>IFERROR(__xludf.DUMMYFUNCTION("IFERROR(GOOGLEFINANCE(A1745,""volume""),"""")"),2.291744E8)</f>
        <v>229174400</v>
      </c>
      <c r="AA1745" s="24" t="str">
        <f>VLOOKUP(A1745,Metrik!$C$2:$Y$959,5,0)</f>
        <v>Wireless Telecommunication Services</v>
      </c>
      <c r="AB1745" s="24" t="str">
        <f>VLOOKUP(A1745,Metrik!$C$2:$Y$959,3,0)</f>
        <v>Infrastructures</v>
      </c>
    </row>
    <row r="1746">
      <c r="A1746" s="14" t="s">
        <v>948</v>
      </c>
      <c r="B1746" s="14" t="str">
        <f t="array" ref="B1746">VLOOKUP(A1746,{Metrik!$C$2:$C$998,Metrik!$B$2:$B$998},2,0)</f>
        <v>Sarana Menara Nusantara Tbk</v>
      </c>
      <c r="C1746" s="15">
        <f>IFERROR(__xludf.DUMMYFUNCTION("GOOGLEFINANCE(""IDX:""&amp;A1746,""price"")"),344.0)</f>
        <v>344</v>
      </c>
      <c r="D1746" s="16" t="str">
        <f>IFERROR(__xludf.DUMMYFUNCTION("IF(A1746="""","""",
SPARKLINE(
INDEX(
GOOGLEFINANCE(""IDX:""&amp;A1746,""close"",TODAY()-365,TODAY()),
,2
),
{""linewidth"",1}
))
"),"#N/A")</f>
        <v>#N/A</v>
      </c>
      <c r="E1746" s="14" t="s">
        <v>50</v>
      </c>
      <c r="F1746" s="17" t="s">
        <v>51</v>
      </c>
      <c r="G1746" s="24">
        <f t="shared" si="10"/>
        <v>11</v>
      </c>
      <c r="H1746" s="19">
        <f>VLOOKUP(A1746,Metrik!$C$2:$Y$959,8,0)</f>
        <v>6.1</v>
      </c>
      <c r="I1746" s="20">
        <f>VLOOKUP(A1746,Metrik!$C$2:$Y$959,9,0)</f>
        <v>0.83</v>
      </c>
      <c r="J1746" s="20">
        <f>VLOOKUP(A1746,Metrik!$C$2:$Y$959,10,0)</f>
        <v>13.6</v>
      </c>
      <c r="K1746" s="20">
        <f>VLOOKUP(A1746,Metrik!$C$2:$Y$959,11,0)</f>
        <v>4.8</v>
      </c>
      <c r="L1746" s="20">
        <f>VLOOKUP(A1746,Metrik!$C$2:$Y$959,12,0)</f>
        <v>1.9</v>
      </c>
      <c r="M1746" s="20">
        <f>VLOOKUP(A1746,Metrik!$C$2:$Y$959,19,0)</f>
        <v>27.6</v>
      </c>
      <c r="N1746" s="21"/>
      <c r="O1746" s="21"/>
      <c r="P1746" s="21"/>
      <c r="Q1746" s="21"/>
      <c r="R1746" s="21"/>
      <c r="S1746" s="21"/>
      <c r="T1746" s="21"/>
      <c r="U1746" s="22">
        <f>IFERROR(__xludf.DUMMYFUNCTION("IFERROR(GOOGLEFINANCE(A1746,""closeyest""),"""")"),332.0)</f>
        <v>332</v>
      </c>
      <c r="V1746" s="23">
        <f>IFERROR(__xludf.DUMMYFUNCTION("IFERROR(GOOGLEFINANCE(A1746,""changepct""),"""")"),3.61)</f>
        <v>3.61</v>
      </c>
      <c r="W1746" s="22">
        <f>IFERROR(__xludf.DUMMYFUNCTION("IFERROR(GOOGLEFINANCE(A1746,""priceopen""),"""")"),334.0)</f>
        <v>334</v>
      </c>
      <c r="X1746" s="22">
        <f>IFERROR(__xludf.DUMMYFUNCTION("IFERROR(GOOGLEFINANCE(A1746,""high""),"""")"),354.0)</f>
        <v>354</v>
      </c>
      <c r="Y1746" s="22">
        <f>IFERROR(__xludf.DUMMYFUNCTION("IFERROR(GOOGLEFINANCE(A1746,""low""),"""")"),332.0)</f>
        <v>332</v>
      </c>
      <c r="Z1746" s="22">
        <f>IFERROR(__xludf.DUMMYFUNCTION("IFERROR(GOOGLEFINANCE(A1746,""volume""),"""")"),2.291744E8)</f>
        <v>229174400</v>
      </c>
      <c r="AA1746" s="24" t="str">
        <f>VLOOKUP(A1746,Metrik!$C$2:$Y$959,5,0)</f>
        <v>Wireless Telecommunication Services</v>
      </c>
      <c r="AB1746" s="24" t="str">
        <f>VLOOKUP(A1746,Metrik!$C$2:$Y$959,3,0)</f>
        <v>Infrastructures</v>
      </c>
    </row>
    <row r="1747">
      <c r="A1747" s="14" t="s">
        <v>948</v>
      </c>
      <c r="B1747" s="14" t="str">
        <f t="array" ref="B1747">VLOOKUP(A1747,{Metrik!$C$2:$C$998,Metrik!$B$2:$B$998},2,0)</f>
        <v>Sarana Menara Nusantara Tbk</v>
      </c>
      <c r="C1747" s="15">
        <f>IFERROR(__xludf.DUMMYFUNCTION("GOOGLEFINANCE(""IDX:""&amp;A1747,""price"")"),344.0)</f>
        <v>344</v>
      </c>
      <c r="D1747" s="16" t="str">
        <f>IFERROR(__xludf.DUMMYFUNCTION("IF(A1747="""","""",
SPARKLINE(
INDEX(
GOOGLEFINANCE(""IDX:""&amp;A1747,""close"",TODAY()-365,TODAY()),
,2
),
{""linewidth"",1}
))
"),"#N/A")</f>
        <v>#N/A</v>
      </c>
      <c r="E1747" s="14" t="s">
        <v>41</v>
      </c>
      <c r="F1747" s="14" t="s">
        <v>34</v>
      </c>
      <c r="G1747" s="24">
        <f t="shared" si="10"/>
        <v>11</v>
      </c>
      <c r="H1747" s="19">
        <f>VLOOKUP(A1747,Metrik!$C$2:$Y$959,8,0)</f>
        <v>6.1</v>
      </c>
      <c r="I1747" s="20">
        <f>VLOOKUP(A1747,Metrik!$C$2:$Y$959,9,0)</f>
        <v>0.83</v>
      </c>
      <c r="J1747" s="20">
        <f>VLOOKUP(A1747,Metrik!$C$2:$Y$959,10,0)</f>
        <v>13.6</v>
      </c>
      <c r="K1747" s="20">
        <f>VLOOKUP(A1747,Metrik!$C$2:$Y$959,11,0)</f>
        <v>4.8</v>
      </c>
      <c r="L1747" s="20">
        <f>VLOOKUP(A1747,Metrik!$C$2:$Y$959,12,0)</f>
        <v>1.9</v>
      </c>
      <c r="M1747" s="20">
        <f>VLOOKUP(A1747,Metrik!$C$2:$Y$959,19,0)</f>
        <v>27.6</v>
      </c>
      <c r="N1747" s="21"/>
      <c r="O1747" s="21"/>
      <c r="P1747" s="21"/>
      <c r="Q1747" s="21"/>
      <c r="R1747" s="21"/>
      <c r="S1747" s="21"/>
      <c r="T1747" s="21"/>
      <c r="U1747" s="22">
        <f>IFERROR(__xludf.DUMMYFUNCTION("IFERROR(GOOGLEFINANCE(A1747,""closeyest""),"""")"),332.0)</f>
        <v>332</v>
      </c>
      <c r="V1747" s="23">
        <f>IFERROR(__xludf.DUMMYFUNCTION("IFERROR(GOOGLEFINANCE(A1747,""changepct""),"""")"),3.61)</f>
        <v>3.61</v>
      </c>
      <c r="W1747" s="22">
        <f>IFERROR(__xludf.DUMMYFUNCTION("IFERROR(GOOGLEFINANCE(A1747,""priceopen""),"""")"),334.0)</f>
        <v>334</v>
      </c>
      <c r="X1747" s="22">
        <f>IFERROR(__xludf.DUMMYFUNCTION("IFERROR(GOOGLEFINANCE(A1747,""high""),"""")"),354.0)</f>
        <v>354</v>
      </c>
      <c r="Y1747" s="22">
        <f>IFERROR(__xludf.DUMMYFUNCTION("IFERROR(GOOGLEFINANCE(A1747,""low""),"""")"),332.0)</f>
        <v>332</v>
      </c>
      <c r="Z1747" s="22">
        <f>IFERROR(__xludf.DUMMYFUNCTION("IFERROR(GOOGLEFINANCE(A1747,""volume""),"""")"),2.291744E8)</f>
        <v>229174400</v>
      </c>
      <c r="AA1747" s="24" t="str">
        <f>VLOOKUP(A1747,Metrik!$C$2:$Y$959,5,0)</f>
        <v>Wireless Telecommunication Services</v>
      </c>
      <c r="AB1747" s="24" t="str">
        <f>VLOOKUP(A1747,Metrik!$C$2:$Y$959,3,0)</f>
        <v>Infrastructures</v>
      </c>
    </row>
    <row r="1748">
      <c r="A1748" s="48" t="s">
        <v>948</v>
      </c>
      <c r="B1748" s="14" t="str">
        <f t="array" ref="B1748">VLOOKUP(A1748,{Metrik!$C$2:$C$998,Metrik!$B$2:$B$998},2,0)</f>
        <v>Sarana Menara Nusantara Tbk</v>
      </c>
      <c r="C1748" s="15">
        <f>IFERROR(__xludf.DUMMYFUNCTION("GOOGLEFINANCE(""IDX:""&amp;A1748,""price"")"),344.0)</f>
        <v>344</v>
      </c>
      <c r="D1748" s="16" t="str">
        <f>IFERROR(__xludf.DUMMYFUNCTION("IF(A1748="""","""",
SPARKLINE(
INDEX(
GOOGLEFINANCE(""IDX:""&amp;A1748,""close"",TODAY()-365,TODAY()),
,2
),
{""linewidth"",1}
))
"),"#N/A")</f>
        <v>#N/A</v>
      </c>
      <c r="E1748" s="17" t="s">
        <v>69</v>
      </c>
      <c r="F1748" s="17" t="s">
        <v>70</v>
      </c>
      <c r="G1748" s="24">
        <f t="shared" si="10"/>
        <v>11</v>
      </c>
      <c r="H1748" s="19">
        <f>VLOOKUP(A1748,Metrik!$C$2:$Y$959,8,0)</f>
        <v>6.1</v>
      </c>
      <c r="I1748" s="20">
        <f>VLOOKUP(A1748,Metrik!$C$2:$Y$959,9,0)</f>
        <v>0.83</v>
      </c>
      <c r="J1748" s="20">
        <f>VLOOKUP(A1748,Metrik!$C$2:$Y$959,10,0)</f>
        <v>13.6</v>
      </c>
      <c r="K1748" s="20">
        <f>VLOOKUP(A1748,Metrik!$C$2:$Y$959,11,0)</f>
        <v>4.8</v>
      </c>
      <c r="L1748" s="20">
        <f>VLOOKUP(A1748,Metrik!$C$2:$Y$959,12,0)</f>
        <v>1.9</v>
      </c>
      <c r="M1748" s="20">
        <f>VLOOKUP(A1748,Metrik!$C$2:$Y$959,19,0)</f>
        <v>27.6</v>
      </c>
      <c r="N1748" s="21"/>
      <c r="O1748" s="21"/>
      <c r="P1748" s="21"/>
      <c r="Q1748" s="21"/>
      <c r="R1748" s="21"/>
      <c r="S1748" s="21"/>
      <c r="T1748" s="21"/>
      <c r="U1748" s="22">
        <f>IFERROR(__xludf.DUMMYFUNCTION("IFERROR(GOOGLEFINANCE(A1748,""closeyest""),"""")"),332.0)</f>
        <v>332</v>
      </c>
      <c r="V1748" s="23">
        <f>IFERROR(__xludf.DUMMYFUNCTION("IFERROR(GOOGLEFINANCE(A1748,""changepct""),"""")"),3.61)</f>
        <v>3.61</v>
      </c>
      <c r="W1748" s="22">
        <f>IFERROR(__xludf.DUMMYFUNCTION("IFERROR(GOOGLEFINANCE(A1748,""priceopen""),"""")"),334.0)</f>
        <v>334</v>
      </c>
      <c r="X1748" s="22">
        <f>IFERROR(__xludf.DUMMYFUNCTION("IFERROR(GOOGLEFINANCE(A1748,""high""),"""")"),354.0)</f>
        <v>354</v>
      </c>
      <c r="Y1748" s="22">
        <f>IFERROR(__xludf.DUMMYFUNCTION("IFERROR(GOOGLEFINANCE(A1748,""low""),"""")"),332.0)</f>
        <v>332</v>
      </c>
      <c r="Z1748" s="22">
        <f>IFERROR(__xludf.DUMMYFUNCTION("IFERROR(GOOGLEFINANCE(A1748,""volume""),"""")"),2.291744E8)</f>
        <v>229174400</v>
      </c>
      <c r="AA1748" s="24" t="str">
        <f>VLOOKUP(A1748,Metrik!$C$2:$Y$959,5,0)</f>
        <v>Wireless Telecommunication Services</v>
      </c>
      <c r="AB1748" s="24" t="str">
        <f>VLOOKUP(A1748,Metrik!$C$2:$Y$959,3,0)</f>
        <v>Infrastructures</v>
      </c>
    </row>
    <row r="1749">
      <c r="A1749" s="17" t="s">
        <v>948</v>
      </c>
      <c r="B1749" s="14" t="str">
        <f t="array" ref="B1749">VLOOKUP(A1749,{Metrik!$C$2:$C$998,Metrik!$B$2:$B$998},2,0)</f>
        <v>Sarana Menara Nusantara Tbk</v>
      </c>
      <c r="C1749" s="15">
        <f>IFERROR(__xludf.DUMMYFUNCTION("GOOGLEFINANCE(""IDX:""&amp;A1749,""price"")"),344.0)</f>
        <v>344</v>
      </c>
      <c r="D1749" s="16" t="str">
        <f>IFERROR(__xludf.DUMMYFUNCTION("IF(A1749="""","""",
SPARKLINE(
INDEX(
GOOGLEFINANCE(""IDX:""&amp;A1749,""close"",TODAY()-365,TODAY()),
,2
),
{""linewidth"",1}
))
"),"#N/A")</f>
        <v>#N/A</v>
      </c>
      <c r="E1749" s="14" t="s">
        <v>35</v>
      </c>
      <c r="F1749" s="17" t="s">
        <v>36</v>
      </c>
      <c r="G1749" s="24">
        <f t="shared" si="10"/>
        <v>11</v>
      </c>
      <c r="H1749" s="19">
        <f>VLOOKUP(A1749,Metrik!$C$2:$Y$959,8,0)</f>
        <v>6.1</v>
      </c>
      <c r="I1749" s="20">
        <f>VLOOKUP(A1749,Metrik!$C$2:$Y$959,9,0)</f>
        <v>0.83</v>
      </c>
      <c r="J1749" s="20">
        <f>VLOOKUP(A1749,Metrik!$C$2:$Y$959,10,0)</f>
        <v>13.6</v>
      </c>
      <c r="K1749" s="20">
        <f>VLOOKUP(A1749,Metrik!$C$2:$Y$959,11,0)</f>
        <v>4.8</v>
      </c>
      <c r="L1749" s="20">
        <f>VLOOKUP(A1749,Metrik!$C$2:$Y$959,12,0)</f>
        <v>1.9</v>
      </c>
      <c r="M1749" s="20">
        <f>VLOOKUP(A1749,Metrik!$C$2:$Y$959,19,0)</f>
        <v>27.6</v>
      </c>
      <c r="N1749" s="21"/>
      <c r="O1749" s="21"/>
      <c r="P1749" s="21"/>
      <c r="Q1749" s="21"/>
      <c r="R1749" s="21"/>
      <c r="S1749" s="21"/>
      <c r="T1749" s="21"/>
      <c r="U1749" s="22">
        <f>IFERROR(__xludf.DUMMYFUNCTION("IFERROR(GOOGLEFINANCE(A1749,""closeyest""),"""")"),332.0)</f>
        <v>332</v>
      </c>
      <c r="V1749" s="23">
        <f>IFERROR(__xludf.DUMMYFUNCTION("IFERROR(GOOGLEFINANCE(A1749,""changepct""),"""")"),3.61)</f>
        <v>3.61</v>
      </c>
      <c r="W1749" s="22">
        <f>IFERROR(__xludf.DUMMYFUNCTION("IFERROR(GOOGLEFINANCE(A1749,""priceopen""),"""")"),334.0)</f>
        <v>334</v>
      </c>
      <c r="X1749" s="22">
        <f>IFERROR(__xludf.DUMMYFUNCTION("IFERROR(GOOGLEFINANCE(A1749,""high""),"""")"),354.0)</f>
        <v>354</v>
      </c>
      <c r="Y1749" s="22">
        <f>IFERROR(__xludf.DUMMYFUNCTION("IFERROR(GOOGLEFINANCE(A1749,""low""),"""")"),332.0)</f>
        <v>332</v>
      </c>
      <c r="Z1749" s="22">
        <f>IFERROR(__xludf.DUMMYFUNCTION("IFERROR(GOOGLEFINANCE(A1749,""volume""),"""")"),2.291744E8)</f>
        <v>229174400</v>
      </c>
      <c r="AA1749" s="24" t="str">
        <f>VLOOKUP(A1749,Metrik!$C$2:$Y$959,5,0)</f>
        <v>Wireless Telecommunication Services</v>
      </c>
      <c r="AB1749" s="24" t="str">
        <f>VLOOKUP(A1749,Metrik!$C$2:$Y$959,3,0)</f>
        <v>Infrastructures</v>
      </c>
    </row>
    <row r="1750">
      <c r="A1750" s="14" t="s">
        <v>949</v>
      </c>
      <c r="B1750" s="14" t="str">
        <f t="array" ref="B1750">VLOOKUP(A1750,{Metrik!$C$2:$C$998,Metrik!$B$2:$B$998},2,0)</f>
        <v>Sunindo Adipersada Tbk.</v>
      </c>
      <c r="C1750" s="15">
        <f>IFERROR(__xludf.DUMMYFUNCTION("GOOGLEFINANCE(""IDX:""&amp;A1750,""price"")"),8.0)</f>
        <v>8</v>
      </c>
      <c r="D1750" s="16" t="str">
        <f>IFERROR(__xludf.DUMMYFUNCTION("IF(A1750="""","""",
SPARKLINE(
INDEX(
GOOGLEFINANCE(""IDX:""&amp;A1750,""close"",TODAY()-365,TODAY()),
,2
),
{""linewidth"",1}
))
"),"#N/A")</f>
        <v>#N/A</v>
      </c>
      <c r="E1750" s="26"/>
      <c r="F1750" s="26"/>
      <c r="G1750" s="24">
        <f t="shared" si="10"/>
        <v>0</v>
      </c>
      <c r="H1750" s="19">
        <f>VLOOKUP(A1750,Metrik!$C$2:$Y$959,8,0)</f>
        <v>0</v>
      </c>
      <c r="I1750" s="20">
        <f>VLOOKUP(A1750,Metrik!$C$2:$Y$959,9,0)</f>
        <v>0.05</v>
      </c>
      <c r="J1750" s="20">
        <f>VLOOKUP(A1750,Metrik!$C$2:$Y$959,10,0)</f>
        <v>-5.5</v>
      </c>
      <c r="K1750" s="20">
        <f>VLOOKUP(A1750,Metrik!$C$2:$Y$959,11,0)</f>
        <v>-3.8</v>
      </c>
      <c r="L1750" s="20">
        <f>VLOOKUP(A1750,Metrik!$C$2:$Y$959,12,0)</f>
        <v>0.44</v>
      </c>
      <c r="M1750" s="20">
        <f>VLOOKUP(A1750,Metrik!$C$2:$Y$959,19,0)</f>
        <v>-22.5</v>
      </c>
      <c r="N1750" s="21"/>
      <c r="O1750" s="21"/>
      <c r="P1750" s="21"/>
      <c r="Q1750" s="21"/>
      <c r="R1750" s="21"/>
      <c r="S1750" s="21"/>
      <c r="T1750" s="21"/>
      <c r="U1750" s="22">
        <f>IFERROR(__xludf.DUMMYFUNCTION("IFERROR(GOOGLEFINANCE(A1750,""closeyest""),"""")"),8.0)</f>
        <v>8</v>
      </c>
      <c r="V1750" s="23">
        <f>IFERROR(__xludf.DUMMYFUNCTION("IFERROR(GOOGLEFINANCE(A1750,""changepct""),"""")"),0.0)</f>
        <v>0</v>
      </c>
      <c r="W1750" s="22" t="str">
        <f>IFERROR(__xludf.DUMMYFUNCTION("IFERROR(GOOGLEFINANCE(A1750,""priceopen""),"""")"),"")</f>
        <v/>
      </c>
      <c r="X1750" s="22" t="str">
        <f>IFERROR(__xludf.DUMMYFUNCTION("IFERROR(GOOGLEFINANCE(A1750,""high""),"""")"),"")</f>
        <v/>
      </c>
      <c r="Y1750" s="22" t="str">
        <f>IFERROR(__xludf.DUMMYFUNCTION("IFERROR(GOOGLEFINANCE(A1750,""low""),"""")"),"")</f>
        <v/>
      </c>
      <c r="Z1750" s="22">
        <f>IFERROR(__xludf.DUMMYFUNCTION("IFERROR(GOOGLEFINANCE(A1750,""volume""),"""")"),0.0)</f>
        <v>0</v>
      </c>
      <c r="AA1750" s="24" t="str">
        <f>VLOOKUP(A1750,Metrik!$C$2:$Y$959,5,0)</f>
        <v>Sport Equipment &amp; Hobbies Goods</v>
      </c>
      <c r="AB1750" s="24" t="str">
        <f>VLOOKUP(A1750,Metrik!$C$2:$Y$959,3,0)</f>
        <v>Consumer Cyclicals</v>
      </c>
    </row>
    <row r="1751">
      <c r="A1751" s="14" t="s">
        <v>950</v>
      </c>
      <c r="B1751" s="14" t="str">
        <f t="array" ref="B1751">VLOOKUP(A1751,{Metrik!$C$2:$C$998,Metrik!$B$2:$B$998},2,0)</f>
        <v>Chandra Asri Pacific Tbk.</v>
      </c>
      <c r="C1751" s="15">
        <f>IFERROR(__xludf.DUMMYFUNCTION("GOOGLEFINANCE(""IDX:""&amp;A1751,""price"")"),1850.0)</f>
        <v>1850</v>
      </c>
      <c r="D1751" s="16" t="str">
        <f>IFERROR(__xludf.DUMMYFUNCTION("IF(A1751="""","""",
SPARKLINE(
INDEX(
GOOGLEFINANCE(""IDX:""&amp;A1751,""close"",TODAY()-365,TODAY()),
,2
),
{""linewidth"",1}
))
"),"#N/A")</f>
        <v>#N/A</v>
      </c>
      <c r="E1751" s="14" t="s">
        <v>65</v>
      </c>
      <c r="F1751" s="25">
        <v>46356.0</v>
      </c>
      <c r="G1751" s="24">
        <f t="shared" si="10"/>
        <v>8</v>
      </c>
      <c r="H1751" s="19">
        <f>VLOOKUP(A1751,Metrik!$C$2:$Y$959,8,0)</f>
        <v>7.3</v>
      </c>
      <c r="I1751" s="20">
        <f>VLOOKUP(A1751,Metrik!$C$2:$Y$959,9,0)</f>
        <v>1.9</v>
      </c>
      <c r="J1751" s="20">
        <f>VLOOKUP(A1751,Metrik!$C$2:$Y$959,10,0)</f>
        <v>25.7</v>
      </c>
      <c r="K1751" s="20">
        <f>VLOOKUP(A1751,Metrik!$C$2:$Y$959,11,0)</f>
        <v>10</v>
      </c>
      <c r="L1751" s="20">
        <f>VLOOKUP(A1751,Metrik!$C$2:$Y$959,12,0)</f>
        <v>1.6</v>
      </c>
      <c r="M1751" s="20">
        <f>VLOOKUP(A1751,Metrik!$C$2:$Y$959,19,0)</f>
        <v>51.9</v>
      </c>
      <c r="N1751" s="21"/>
      <c r="O1751" s="21"/>
      <c r="P1751" s="21"/>
      <c r="Q1751" s="21"/>
      <c r="R1751" s="21"/>
      <c r="S1751" s="21"/>
      <c r="T1751" s="21"/>
      <c r="U1751" s="22">
        <f>IFERROR(__xludf.DUMMYFUNCTION("IFERROR(GOOGLEFINANCE(A1751,""closeyest""),"""")"),1785.0)</f>
        <v>1785</v>
      </c>
      <c r="V1751" s="23" t="str">
        <f>IFERROR(__xludf.DUMMYFUNCTION("IFERROR(GOOGLEFINANCE(A1751,""changepct""),"""")"),"")</f>
        <v/>
      </c>
      <c r="W1751" s="22">
        <f>IFERROR(__xludf.DUMMYFUNCTION("IFERROR(GOOGLEFINANCE(A1751,""priceopen""),"""")"),1835.0)</f>
        <v>1835</v>
      </c>
      <c r="X1751" s="22" t="str">
        <f>IFERROR(__xludf.DUMMYFUNCTION("IFERROR(GOOGLEFINANCE(A1751,""high""),"""")"),"")</f>
        <v/>
      </c>
      <c r="Y1751" s="22">
        <f>IFERROR(__xludf.DUMMYFUNCTION("IFERROR(GOOGLEFINANCE(A1751,""low""),"""")"),1820.0)</f>
        <v>1820</v>
      </c>
      <c r="Z1751" s="22">
        <f>IFERROR(__xludf.DUMMYFUNCTION("IFERROR(GOOGLEFINANCE(A1751,""volume""),"""")"),1.3054295E9)</f>
        <v>1305429500</v>
      </c>
      <c r="AA1751" s="24" t="str">
        <f>VLOOKUP(A1751,Metrik!$C$2:$Y$959,5,0)</f>
        <v>Chemicals</v>
      </c>
      <c r="AB1751" s="24" t="str">
        <f>VLOOKUP(A1751,Metrik!$C$2:$Y$959,3,0)</f>
        <v>Basic Materials</v>
      </c>
    </row>
    <row r="1752">
      <c r="A1752" s="14" t="s">
        <v>950</v>
      </c>
      <c r="B1752" s="14" t="str">
        <f t="array" ref="B1752">VLOOKUP(A1752,{Metrik!$C$2:$C$998,Metrik!$B$2:$B$998},2,0)</f>
        <v>Chandra Asri Pacific Tbk.</v>
      </c>
      <c r="C1752" s="15">
        <f>IFERROR(__xludf.DUMMYFUNCTION("GOOGLEFINANCE(""IDX:""&amp;A1752,""price"")"),1850.0)</f>
        <v>1850</v>
      </c>
      <c r="D1752" s="16" t="str">
        <f>IFERROR(__xludf.DUMMYFUNCTION("IF(A1752="""","""",
SPARKLINE(
INDEX(
GOOGLEFINANCE(""IDX:""&amp;A1752,""close"",TODAY()-365,TODAY()),
,2
),
{""linewidth"",1}
))
"),"#N/A")</f>
        <v>#N/A</v>
      </c>
      <c r="E1752" s="14" t="s">
        <v>38</v>
      </c>
      <c r="F1752" s="25">
        <v>46356.0</v>
      </c>
      <c r="G1752" s="24">
        <f t="shared" si="10"/>
        <v>8</v>
      </c>
      <c r="H1752" s="19">
        <f>VLOOKUP(A1752,Metrik!$C$2:$Y$959,8,0)</f>
        <v>7.3</v>
      </c>
      <c r="I1752" s="20">
        <f>VLOOKUP(A1752,Metrik!$C$2:$Y$959,9,0)</f>
        <v>1.9</v>
      </c>
      <c r="J1752" s="20">
        <f>VLOOKUP(A1752,Metrik!$C$2:$Y$959,10,0)</f>
        <v>25.7</v>
      </c>
      <c r="K1752" s="20">
        <f>VLOOKUP(A1752,Metrik!$C$2:$Y$959,11,0)</f>
        <v>10</v>
      </c>
      <c r="L1752" s="20">
        <f>VLOOKUP(A1752,Metrik!$C$2:$Y$959,12,0)</f>
        <v>1.6</v>
      </c>
      <c r="M1752" s="20">
        <f>VLOOKUP(A1752,Metrik!$C$2:$Y$959,19,0)</f>
        <v>51.9</v>
      </c>
      <c r="N1752" s="21"/>
      <c r="O1752" s="21"/>
      <c r="P1752" s="21"/>
      <c r="Q1752" s="21"/>
      <c r="R1752" s="21"/>
      <c r="S1752" s="21"/>
      <c r="T1752" s="21"/>
      <c r="U1752" s="22">
        <f>IFERROR(__xludf.DUMMYFUNCTION("IFERROR(GOOGLEFINANCE(A1752,""closeyest""),"""")"),1785.0)</f>
        <v>1785</v>
      </c>
      <c r="V1752" s="23" t="str">
        <f>IFERROR(__xludf.DUMMYFUNCTION("IFERROR(GOOGLEFINANCE(A1752,""changepct""),"""")"),"")</f>
        <v/>
      </c>
      <c r="W1752" s="22">
        <f>IFERROR(__xludf.DUMMYFUNCTION("IFERROR(GOOGLEFINANCE(A1752,""priceopen""),"""")"),1835.0)</f>
        <v>1835</v>
      </c>
      <c r="X1752" s="22" t="str">
        <f>IFERROR(__xludf.DUMMYFUNCTION("IFERROR(GOOGLEFINANCE(A1752,""high""),"""")"),"")</f>
        <v/>
      </c>
      <c r="Y1752" s="22">
        <f>IFERROR(__xludf.DUMMYFUNCTION("IFERROR(GOOGLEFINANCE(A1752,""low""),"""")"),1820.0)</f>
        <v>1820</v>
      </c>
      <c r="Z1752" s="22">
        <f>IFERROR(__xludf.DUMMYFUNCTION("IFERROR(GOOGLEFINANCE(A1752,""volume""),"""")"),1.3054295E9)</f>
        <v>1305429500</v>
      </c>
      <c r="AA1752" s="24" t="str">
        <f>VLOOKUP(A1752,Metrik!$C$2:$Y$959,5,0)</f>
        <v>Chemicals</v>
      </c>
      <c r="AB1752" s="24" t="str">
        <f>VLOOKUP(A1752,Metrik!$C$2:$Y$959,3,0)</f>
        <v>Basic Materials</v>
      </c>
    </row>
    <row r="1753">
      <c r="A1753" s="17" t="s">
        <v>950</v>
      </c>
      <c r="B1753" s="14" t="str">
        <f t="array" ref="B1753">VLOOKUP(A1753,{Metrik!$C$2:$C$998,Metrik!$B$2:$B$998},2,0)</f>
        <v>Chandra Asri Pacific Tbk.</v>
      </c>
      <c r="C1753" s="15">
        <f>IFERROR(__xludf.DUMMYFUNCTION("GOOGLEFINANCE(""IDX:""&amp;A1753,""price"")"),1850.0)</f>
        <v>1850</v>
      </c>
      <c r="D1753" s="16" t="str">
        <f>IFERROR(__xludf.DUMMYFUNCTION("IF(A1753="""","""",
SPARKLINE(
INDEX(
GOOGLEFINANCE(""IDX:""&amp;A1753,""close"",TODAY()-365,TODAY()),
,2
),
{""linewidth"",1}
))
"),"#N/A")</f>
        <v>#N/A</v>
      </c>
      <c r="E1753" s="14" t="s">
        <v>50</v>
      </c>
      <c r="F1753" s="17" t="s">
        <v>51</v>
      </c>
      <c r="G1753" s="24">
        <f t="shared" si="10"/>
        <v>8</v>
      </c>
      <c r="H1753" s="19">
        <f>VLOOKUP(A1753,Metrik!$C$2:$Y$959,8,0)</f>
        <v>7.3</v>
      </c>
      <c r="I1753" s="20">
        <f>VLOOKUP(A1753,Metrik!$C$2:$Y$959,9,0)</f>
        <v>1.9</v>
      </c>
      <c r="J1753" s="20">
        <f>VLOOKUP(A1753,Metrik!$C$2:$Y$959,10,0)</f>
        <v>25.7</v>
      </c>
      <c r="K1753" s="20">
        <f>VLOOKUP(A1753,Metrik!$C$2:$Y$959,11,0)</f>
        <v>10</v>
      </c>
      <c r="L1753" s="20">
        <f>VLOOKUP(A1753,Metrik!$C$2:$Y$959,12,0)</f>
        <v>1.6</v>
      </c>
      <c r="M1753" s="20">
        <f>VLOOKUP(A1753,Metrik!$C$2:$Y$959,19,0)</f>
        <v>51.9</v>
      </c>
      <c r="N1753" s="21"/>
      <c r="O1753" s="21"/>
      <c r="P1753" s="21"/>
      <c r="Q1753" s="21"/>
      <c r="R1753" s="21"/>
      <c r="S1753" s="21"/>
      <c r="T1753" s="21"/>
      <c r="U1753" s="22">
        <f>IFERROR(__xludf.DUMMYFUNCTION("IFERROR(GOOGLEFINANCE(A1753,""closeyest""),"""")"),1785.0)</f>
        <v>1785</v>
      </c>
      <c r="V1753" s="23" t="str">
        <f>IFERROR(__xludf.DUMMYFUNCTION("IFERROR(GOOGLEFINANCE(A1753,""changepct""),"""")"),"")</f>
        <v/>
      </c>
      <c r="W1753" s="22">
        <f>IFERROR(__xludf.DUMMYFUNCTION("IFERROR(GOOGLEFINANCE(A1753,""priceopen""),"""")"),1835.0)</f>
        <v>1835</v>
      </c>
      <c r="X1753" s="22" t="str">
        <f>IFERROR(__xludf.DUMMYFUNCTION("IFERROR(GOOGLEFINANCE(A1753,""high""),"""")"),"")</f>
        <v/>
      </c>
      <c r="Y1753" s="22">
        <f>IFERROR(__xludf.DUMMYFUNCTION("IFERROR(GOOGLEFINANCE(A1753,""low""),"""")"),1820.0)</f>
        <v>1820</v>
      </c>
      <c r="Z1753" s="22">
        <f>IFERROR(__xludf.DUMMYFUNCTION("IFERROR(GOOGLEFINANCE(A1753,""volume""),"""")"),1.3054295E9)</f>
        <v>1305429500</v>
      </c>
      <c r="AA1753" s="24" t="str">
        <f>VLOOKUP(A1753,Metrik!$C$2:$Y$959,5,0)</f>
        <v>Chemicals</v>
      </c>
      <c r="AB1753" s="24" t="str">
        <f>VLOOKUP(A1753,Metrik!$C$2:$Y$959,3,0)</f>
        <v>Basic Materials</v>
      </c>
    </row>
    <row r="1754">
      <c r="A1754" s="17" t="s">
        <v>950</v>
      </c>
      <c r="B1754" s="14" t="str">
        <f t="array" ref="B1754">VLOOKUP(A1754,{Metrik!$C$2:$C$998,Metrik!$B$2:$B$998},2,0)</f>
        <v>Chandra Asri Pacific Tbk.</v>
      </c>
      <c r="C1754" s="15">
        <f>IFERROR(__xludf.DUMMYFUNCTION("GOOGLEFINANCE(""IDX:""&amp;A1754,""price"")"),1850.0)</f>
        <v>1850</v>
      </c>
      <c r="D1754" s="16" t="str">
        <f>IFERROR(__xludf.DUMMYFUNCTION("IF(A1754="""","""",
SPARKLINE(
INDEX(
GOOGLEFINANCE(""IDX:""&amp;A1754,""close"",TODAY()-365,TODAY()),
,2
),
{""linewidth"",1}
))
"),"#N/A")</f>
        <v>#N/A</v>
      </c>
      <c r="E1754" s="14" t="s">
        <v>28</v>
      </c>
      <c r="F1754" s="17" t="s">
        <v>29</v>
      </c>
      <c r="G1754" s="38">
        <f>COUNTIFS($B$2:$B$1933,B1754,$E$2:$E$1933,"&lt;&gt;")</f>
        <v>8</v>
      </c>
      <c r="H1754" s="19">
        <f>VLOOKUP(A1754,Metrik!$C$2:$Y$959,8,0)</f>
        <v>7.3</v>
      </c>
      <c r="I1754" s="20">
        <f>VLOOKUP(A1754,Metrik!$C$2:$Y$959,9,0)</f>
        <v>1.9</v>
      </c>
      <c r="J1754" s="20">
        <f>VLOOKUP(A1754,Metrik!$C$2:$Y$959,10,0)</f>
        <v>25.7</v>
      </c>
      <c r="K1754" s="20">
        <f>VLOOKUP(A1754,Metrik!$C$2:$Y$959,11,0)</f>
        <v>10</v>
      </c>
      <c r="L1754" s="20">
        <f>VLOOKUP(A1754,Metrik!$C$2:$Y$959,12,0)</f>
        <v>1.6</v>
      </c>
      <c r="M1754" s="20">
        <f>VLOOKUP(A1754,Metrik!$C$2:$Y$959,19,0)</f>
        <v>51.9</v>
      </c>
      <c r="N1754" s="21"/>
      <c r="O1754" s="21"/>
      <c r="P1754" s="21"/>
      <c r="Q1754" s="21"/>
      <c r="R1754" s="21"/>
      <c r="S1754" s="21"/>
      <c r="T1754" s="21"/>
      <c r="U1754" s="22">
        <f>IFERROR(__xludf.DUMMYFUNCTION("IFERROR(GOOGLEFINANCE(A1754,""closeyest""),"""")"),1785.0)</f>
        <v>1785</v>
      </c>
      <c r="V1754" s="23" t="str">
        <f>IFERROR(__xludf.DUMMYFUNCTION("IFERROR(GOOGLEFINANCE(A1754,""changepct""),"""")"),"")</f>
        <v/>
      </c>
      <c r="W1754" s="22">
        <f>IFERROR(__xludf.DUMMYFUNCTION("IFERROR(GOOGLEFINANCE(A1754,""priceopen""),"""")"),1835.0)</f>
        <v>1835</v>
      </c>
      <c r="X1754" s="22" t="str">
        <f>IFERROR(__xludf.DUMMYFUNCTION("IFERROR(GOOGLEFINANCE(A1754,""high""),"""")"),"")</f>
        <v/>
      </c>
      <c r="Y1754" s="22">
        <f>IFERROR(__xludf.DUMMYFUNCTION("IFERROR(GOOGLEFINANCE(A1754,""low""),"""")"),1820.0)</f>
        <v>1820</v>
      </c>
      <c r="Z1754" s="22">
        <f>IFERROR(__xludf.DUMMYFUNCTION("IFERROR(GOOGLEFINANCE(A1754,""volume""),"""")"),1.3054295E9)</f>
        <v>1305429500</v>
      </c>
      <c r="AA1754" s="24" t="str">
        <f>VLOOKUP(A1754,Metrik!$C$2:$Y$959,5,0)</f>
        <v>Chemicals</v>
      </c>
      <c r="AB1754" s="24" t="str">
        <f>VLOOKUP(A1754,Metrik!$C$2:$Y$959,3,0)</f>
        <v>Basic Materials</v>
      </c>
    </row>
    <row r="1755">
      <c r="A1755" s="14" t="s">
        <v>950</v>
      </c>
      <c r="B1755" s="14" t="str">
        <f t="array" ref="B1755">VLOOKUP(A1755,{Metrik!$C$2:$C$998,Metrik!$B$2:$B$998},2,0)</f>
        <v>Chandra Asri Pacific Tbk.</v>
      </c>
      <c r="C1755" s="15">
        <f>IFERROR(__xludf.DUMMYFUNCTION("GOOGLEFINANCE(""IDX:""&amp;A1755,""price"")"),1850.0)</f>
        <v>1850</v>
      </c>
      <c r="D1755" s="16" t="str">
        <f>IFERROR(__xludf.DUMMYFUNCTION("IF(A1755="""","""",
SPARKLINE(
INDEX(
GOOGLEFINANCE(""IDX:""&amp;A1755,""close"",TODAY()-365,TODAY()),
,2
),
{""linewidth"",1}
))
"),"#N/A")</f>
        <v>#N/A</v>
      </c>
      <c r="E1755" s="14" t="s">
        <v>52</v>
      </c>
      <c r="F1755" s="27" t="s">
        <v>53</v>
      </c>
      <c r="G1755" s="24">
        <f t="shared" ref="G1755:G1875" si="11">COUNTIFS($B$2:$B$1937,B1755,$E$2:$E$1937,"&lt;&gt;")</f>
        <v>8</v>
      </c>
      <c r="H1755" s="19">
        <f>VLOOKUP(A1755,Metrik!$C$2:$Y$959,8,0)</f>
        <v>7.3</v>
      </c>
      <c r="I1755" s="20">
        <f>VLOOKUP(A1755,Metrik!$C$2:$Y$959,9,0)</f>
        <v>1.9</v>
      </c>
      <c r="J1755" s="20">
        <f>VLOOKUP(A1755,Metrik!$C$2:$Y$959,10,0)</f>
        <v>25.7</v>
      </c>
      <c r="K1755" s="20">
        <f>VLOOKUP(A1755,Metrik!$C$2:$Y$959,11,0)</f>
        <v>10</v>
      </c>
      <c r="L1755" s="20">
        <f>VLOOKUP(A1755,Metrik!$C$2:$Y$959,12,0)</f>
        <v>1.6</v>
      </c>
      <c r="M1755" s="20">
        <f>VLOOKUP(A1755,Metrik!$C$2:$Y$959,19,0)</f>
        <v>51.9</v>
      </c>
      <c r="N1755" s="21"/>
      <c r="O1755" s="21"/>
      <c r="P1755" s="21"/>
      <c r="Q1755" s="21"/>
      <c r="R1755" s="21"/>
      <c r="S1755" s="21"/>
      <c r="T1755" s="21"/>
      <c r="U1755" s="22">
        <f>IFERROR(__xludf.DUMMYFUNCTION("IFERROR(GOOGLEFINANCE(A1755,""closeyest""),"""")"),1785.0)</f>
        <v>1785</v>
      </c>
      <c r="V1755" s="23" t="str">
        <f>IFERROR(__xludf.DUMMYFUNCTION("IFERROR(GOOGLEFINANCE(A1755,""changepct""),"""")"),"")</f>
        <v/>
      </c>
      <c r="W1755" s="22">
        <f>IFERROR(__xludf.DUMMYFUNCTION("IFERROR(GOOGLEFINANCE(A1755,""priceopen""),"""")"),1835.0)</f>
        <v>1835</v>
      </c>
      <c r="X1755" s="22" t="str">
        <f>IFERROR(__xludf.DUMMYFUNCTION("IFERROR(GOOGLEFINANCE(A1755,""high""),"""")"),"")</f>
        <v/>
      </c>
      <c r="Y1755" s="22">
        <f>IFERROR(__xludf.DUMMYFUNCTION("IFERROR(GOOGLEFINANCE(A1755,""low""),"""")"),1820.0)</f>
        <v>1820</v>
      </c>
      <c r="Z1755" s="22">
        <f>IFERROR(__xludf.DUMMYFUNCTION("IFERROR(GOOGLEFINANCE(A1755,""volume""),"""")"),1.3054295E9)</f>
        <v>1305429500</v>
      </c>
      <c r="AA1755" s="24" t="str">
        <f>VLOOKUP(A1755,Metrik!$C$2:$Y$959,5,0)</f>
        <v>Chemicals</v>
      </c>
      <c r="AB1755" s="24" t="str">
        <f>VLOOKUP(A1755,Metrik!$C$2:$Y$959,3,0)</f>
        <v>Basic Materials</v>
      </c>
    </row>
    <row r="1756">
      <c r="A1756" s="14" t="s">
        <v>950</v>
      </c>
      <c r="B1756" s="14" t="str">
        <f t="array" ref="B1756">VLOOKUP(A1756,{Metrik!$C$2:$C$998,Metrik!$B$2:$B$998},2,0)</f>
        <v>Chandra Asri Pacific Tbk.</v>
      </c>
      <c r="C1756" s="15">
        <f>IFERROR(__xludf.DUMMYFUNCTION("GOOGLEFINANCE(""IDX:""&amp;A1756,""price"")"),1850.0)</f>
        <v>1850</v>
      </c>
      <c r="D1756" s="16" t="str">
        <f>IFERROR(__xludf.DUMMYFUNCTION("IF(A1756="""","""",
SPARKLINE(
INDEX(
GOOGLEFINANCE(""IDX:""&amp;A1756,""close"",TODAY()-365,TODAY()),
,2
),
{""linewidth"",1}
))
"),"#N/A")</f>
        <v>#N/A</v>
      </c>
      <c r="E1756" s="14" t="s">
        <v>32</v>
      </c>
      <c r="F1756" s="14" t="s">
        <v>29</v>
      </c>
      <c r="G1756" s="24">
        <f t="shared" si="11"/>
        <v>8</v>
      </c>
      <c r="H1756" s="19">
        <f>VLOOKUP(A1756,Metrik!$C$2:$Y$959,8,0)</f>
        <v>7.3</v>
      </c>
      <c r="I1756" s="20">
        <f>VLOOKUP(A1756,Metrik!$C$2:$Y$959,9,0)</f>
        <v>1.9</v>
      </c>
      <c r="J1756" s="20">
        <f>VLOOKUP(A1756,Metrik!$C$2:$Y$959,10,0)</f>
        <v>25.7</v>
      </c>
      <c r="K1756" s="20">
        <f>VLOOKUP(A1756,Metrik!$C$2:$Y$959,11,0)</f>
        <v>10</v>
      </c>
      <c r="L1756" s="20">
        <f>VLOOKUP(A1756,Metrik!$C$2:$Y$959,12,0)</f>
        <v>1.6</v>
      </c>
      <c r="M1756" s="20">
        <f>VLOOKUP(A1756,Metrik!$C$2:$Y$959,19,0)</f>
        <v>51.9</v>
      </c>
      <c r="N1756" s="21"/>
      <c r="O1756" s="21"/>
      <c r="P1756" s="21"/>
      <c r="Q1756" s="21"/>
      <c r="R1756" s="21"/>
      <c r="S1756" s="21"/>
      <c r="T1756" s="21"/>
      <c r="U1756" s="22">
        <f>IFERROR(__xludf.DUMMYFUNCTION("IFERROR(GOOGLEFINANCE(A1756,""closeyest""),"""")"),1785.0)</f>
        <v>1785</v>
      </c>
      <c r="V1756" s="23" t="str">
        <f>IFERROR(__xludf.DUMMYFUNCTION("IFERROR(GOOGLEFINANCE(A1756,""changepct""),"""")"),"")</f>
        <v/>
      </c>
      <c r="W1756" s="22">
        <f>IFERROR(__xludf.DUMMYFUNCTION("IFERROR(GOOGLEFINANCE(A1756,""priceopen""),"""")"),1835.0)</f>
        <v>1835</v>
      </c>
      <c r="X1756" s="22" t="str">
        <f>IFERROR(__xludf.DUMMYFUNCTION("IFERROR(GOOGLEFINANCE(A1756,""high""),"""")"),"")</f>
        <v/>
      </c>
      <c r="Y1756" s="22">
        <f>IFERROR(__xludf.DUMMYFUNCTION("IFERROR(GOOGLEFINANCE(A1756,""low""),"""")"),1820.0)</f>
        <v>1820</v>
      </c>
      <c r="Z1756" s="22">
        <f>IFERROR(__xludf.DUMMYFUNCTION("IFERROR(GOOGLEFINANCE(A1756,""volume""),"""")"),1.3054295E9)</f>
        <v>1305429500</v>
      </c>
      <c r="AA1756" s="24" t="str">
        <f>VLOOKUP(A1756,Metrik!$C$2:$Y$959,5,0)</f>
        <v>Chemicals</v>
      </c>
      <c r="AB1756" s="24" t="str">
        <f>VLOOKUP(A1756,Metrik!$C$2:$Y$959,3,0)</f>
        <v>Basic Materials</v>
      </c>
    </row>
    <row r="1757">
      <c r="A1757" s="14" t="s">
        <v>950</v>
      </c>
      <c r="B1757" s="14" t="str">
        <f t="array" ref="B1757">VLOOKUP(A1757,{Metrik!$C$2:$C$998,Metrik!$B$2:$B$998},2,0)</f>
        <v>Chandra Asri Pacific Tbk.</v>
      </c>
      <c r="C1757" s="15">
        <f>IFERROR(__xludf.DUMMYFUNCTION("GOOGLEFINANCE(""IDX:""&amp;A1757,""price"")"),1850.0)</f>
        <v>1850</v>
      </c>
      <c r="D1757" s="16" t="str">
        <f>IFERROR(__xludf.DUMMYFUNCTION("IF(A1757="""","""",
SPARKLINE(
INDEX(
GOOGLEFINANCE(""IDX:""&amp;A1757,""close"",TODAY()-365,TODAY()),
,2
),
{""linewidth"",1}
))
"),"#N/A")</f>
        <v>#N/A</v>
      </c>
      <c r="E1757" s="14" t="s">
        <v>161</v>
      </c>
      <c r="F1757" s="14" t="s">
        <v>76</v>
      </c>
      <c r="G1757" s="24">
        <f t="shared" si="11"/>
        <v>8</v>
      </c>
      <c r="H1757" s="19">
        <f>VLOOKUP(A1757,Metrik!$C$2:$Y$959,8,0)</f>
        <v>7.3</v>
      </c>
      <c r="I1757" s="20">
        <f>VLOOKUP(A1757,Metrik!$C$2:$Y$959,9,0)</f>
        <v>1.9</v>
      </c>
      <c r="J1757" s="20">
        <f>VLOOKUP(A1757,Metrik!$C$2:$Y$959,10,0)</f>
        <v>25.7</v>
      </c>
      <c r="K1757" s="20">
        <f>VLOOKUP(A1757,Metrik!$C$2:$Y$959,11,0)</f>
        <v>10</v>
      </c>
      <c r="L1757" s="20">
        <f>VLOOKUP(A1757,Metrik!$C$2:$Y$959,12,0)</f>
        <v>1.6</v>
      </c>
      <c r="M1757" s="20">
        <f>VLOOKUP(A1757,Metrik!$C$2:$Y$959,19,0)</f>
        <v>51.9</v>
      </c>
      <c r="N1757" s="21"/>
      <c r="O1757" s="21"/>
      <c r="P1757" s="21"/>
      <c r="Q1757" s="21"/>
      <c r="R1757" s="21"/>
      <c r="S1757" s="21"/>
      <c r="T1757" s="21"/>
      <c r="U1757" s="22">
        <f>IFERROR(__xludf.DUMMYFUNCTION("IFERROR(GOOGLEFINANCE(A1757,""closeyest""),"""")"),1785.0)</f>
        <v>1785</v>
      </c>
      <c r="V1757" s="23" t="str">
        <f>IFERROR(__xludf.DUMMYFUNCTION("IFERROR(GOOGLEFINANCE(A1757,""changepct""),"""")"),"")</f>
        <v/>
      </c>
      <c r="W1757" s="22">
        <f>IFERROR(__xludf.DUMMYFUNCTION("IFERROR(GOOGLEFINANCE(A1757,""priceopen""),"""")"),1835.0)</f>
        <v>1835</v>
      </c>
      <c r="X1757" s="22" t="str">
        <f>IFERROR(__xludf.DUMMYFUNCTION("IFERROR(GOOGLEFINANCE(A1757,""high""),"""")"),"")</f>
        <v/>
      </c>
      <c r="Y1757" s="22">
        <f>IFERROR(__xludf.DUMMYFUNCTION("IFERROR(GOOGLEFINANCE(A1757,""low""),"""")"),1820.0)</f>
        <v>1820</v>
      </c>
      <c r="Z1757" s="22">
        <f>IFERROR(__xludf.DUMMYFUNCTION("IFERROR(GOOGLEFINANCE(A1757,""volume""),"""")"),1.3054295E9)</f>
        <v>1305429500</v>
      </c>
      <c r="AA1757" s="24" t="str">
        <f>VLOOKUP(A1757,Metrik!$C$2:$Y$959,5,0)</f>
        <v>Chemicals</v>
      </c>
      <c r="AB1757" s="24" t="str">
        <f>VLOOKUP(A1757,Metrik!$C$2:$Y$959,3,0)</f>
        <v>Basic Materials</v>
      </c>
    </row>
    <row r="1758">
      <c r="A1758" s="14" t="s">
        <v>950</v>
      </c>
      <c r="B1758" s="14" t="str">
        <f t="array" ref="B1758">VLOOKUP(A1758,{Metrik!$C$2:$C$998,Metrik!$B$2:$B$998},2,0)</f>
        <v>Chandra Asri Pacific Tbk.</v>
      </c>
      <c r="C1758" s="15">
        <f>IFERROR(__xludf.DUMMYFUNCTION("GOOGLEFINANCE(""IDX:""&amp;A1758,""price"")"),1850.0)</f>
        <v>1850</v>
      </c>
      <c r="D1758" s="16" t="str">
        <f>IFERROR(__xludf.DUMMYFUNCTION("IF(A1758="""","""",
SPARKLINE(
INDEX(
GOOGLEFINANCE(""IDX:""&amp;A1758,""close"",TODAY()-365,TODAY()),
,2
),
{""linewidth"",1}
))
"),"#N/A")</f>
        <v>#N/A</v>
      </c>
      <c r="E1758" s="14" t="s">
        <v>39</v>
      </c>
      <c r="F1758" s="25">
        <v>46356.0</v>
      </c>
      <c r="G1758" s="24">
        <f t="shared" si="11"/>
        <v>8</v>
      </c>
      <c r="H1758" s="19">
        <f>VLOOKUP(A1758,Metrik!$C$2:$Y$959,8,0)</f>
        <v>7.3</v>
      </c>
      <c r="I1758" s="20">
        <f>VLOOKUP(A1758,Metrik!$C$2:$Y$959,9,0)</f>
        <v>1.9</v>
      </c>
      <c r="J1758" s="20">
        <f>VLOOKUP(A1758,Metrik!$C$2:$Y$959,10,0)</f>
        <v>25.7</v>
      </c>
      <c r="K1758" s="20">
        <f>VLOOKUP(A1758,Metrik!$C$2:$Y$959,11,0)</f>
        <v>10</v>
      </c>
      <c r="L1758" s="20">
        <f>VLOOKUP(A1758,Metrik!$C$2:$Y$959,12,0)</f>
        <v>1.6</v>
      </c>
      <c r="M1758" s="20">
        <f>VLOOKUP(A1758,Metrik!$C$2:$Y$959,19,0)</f>
        <v>51.9</v>
      </c>
      <c r="N1758" s="21"/>
      <c r="O1758" s="21"/>
      <c r="P1758" s="21"/>
      <c r="Q1758" s="21"/>
      <c r="R1758" s="21"/>
      <c r="S1758" s="21"/>
      <c r="T1758" s="21"/>
      <c r="U1758" s="22">
        <f>IFERROR(__xludf.DUMMYFUNCTION("IFERROR(GOOGLEFINANCE(A1758,""closeyest""),"""")"),1785.0)</f>
        <v>1785</v>
      </c>
      <c r="V1758" s="23" t="str">
        <f>IFERROR(__xludf.DUMMYFUNCTION("IFERROR(GOOGLEFINANCE(A1758,""changepct""),"""")"),"")</f>
        <v/>
      </c>
      <c r="W1758" s="22">
        <f>IFERROR(__xludf.DUMMYFUNCTION("IFERROR(GOOGLEFINANCE(A1758,""priceopen""),"""")"),1835.0)</f>
        <v>1835</v>
      </c>
      <c r="X1758" s="22" t="str">
        <f>IFERROR(__xludf.DUMMYFUNCTION("IFERROR(GOOGLEFINANCE(A1758,""high""),"""")"),"")</f>
        <v/>
      </c>
      <c r="Y1758" s="22">
        <f>IFERROR(__xludf.DUMMYFUNCTION("IFERROR(GOOGLEFINANCE(A1758,""low""),"""")"),1820.0)</f>
        <v>1820</v>
      </c>
      <c r="Z1758" s="22">
        <f>IFERROR(__xludf.DUMMYFUNCTION("IFERROR(GOOGLEFINANCE(A1758,""volume""),"""")"),1.3054295E9)</f>
        <v>1305429500</v>
      </c>
      <c r="AA1758" s="24" t="str">
        <f>VLOOKUP(A1758,Metrik!$C$2:$Y$959,5,0)</f>
        <v>Chemicals</v>
      </c>
      <c r="AB1758" s="24" t="str">
        <f>VLOOKUP(A1758,Metrik!$C$2:$Y$959,3,0)</f>
        <v>Basic Materials</v>
      </c>
    </row>
    <row r="1759">
      <c r="A1759" s="14" t="s">
        <v>951</v>
      </c>
      <c r="B1759" s="14" t="str">
        <f t="array" ref="B1759">VLOOKUP(A1759,{Metrik!$C$2:$C$998,Metrik!$B$2:$B$998},2,0)</f>
        <v>Trans Power Marine Tbk.</v>
      </c>
      <c r="C1759" s="15">
        <f>IFERROR(__xludf.DUMMYFUNCTION("GOOGLEFINANCE(""IDX:""&amp;A1759,""price"")"),382.0)</f>
        <v>382</v>
      </c>
      <c r="D1759" s="16" t="str">
        <f>IFERROR(__xludf.DUMMYFUNCTION("IF(A1759="""","""",
SPARKLINE(
INDEX(
GOOGLEFINANCE(""IDX:""&amp;A1759,""close"",TODAY()-365,TODAY()),
,2
),
{""linewidth"",1}
))
"),"#N/A")</f>
        <v>#N/A</v>
      </c>
      <c r="E1759" s="26"/>
      <c r="F1759" s="26"/>
      <c r="G1759" s="18">
        <f t="shared" si="11"/>
        <v>0</v>
      </c>
      <c r="H1759" s="19">
        <f>VLOOKUP(A1759,Metrik!$C$2:$Y$959,8,0)</f>
        <v>7.9</v>
      </c>
      <c r="I1759" s="20">
        <f>VLOOKUP(A1759,Metrik!$C$2:$Y$959,9,0)</f>
        <v>0.67</v>
      </c>
      <c r="J1759" s="20">
        <f>VLOOKUP(A1759,Metrik!$C$2:$Y$959,10,0)</f>
        <v>8.5</v>
      </c>
      <c r="K1759" s="20">
        <f>VLOOKUP(A1759,Metrik!$C$2:$Y$959,11,0)</f>
        <v>4.5</v>
      </c>
      <c r="L1759" s="20">
        <f>VLOOKUP(A1759,Metrik!$C$2:$Y$959,12,0)</f>
        <v>0.89</v>
      </c>
      <c r="M1759" s="20">
        <f>VLOOKUP(A1759,Metrik!$C$2:$Y$959,19,0)</f>
        <v>48.4</v>
      </c>
      <c r="N1759" s="21"/>
      <c r="O1759" s="21"/>
      <c r="P1759" s="21"/>
      <c r="Q1759" s="21"/>
      <c r="R1759" s="21"/>
      <c r="S1759" s="21"/>
      <c r="T1759" s="21"/>
      <c r="U1759" s="22">
        <f>IFERROR(__xludf.DUMMYFUNCTION("IFERROR(GOOGLEFINANCE(A1759,""closeyest""),"""")"),362.0)</f>
        <v>362</v>
      </c>
      <c r="V1759" s="23">
        <f>IFERROR(__xludf.DUMMYFUNCTION("IFERROR(GOOGLEFINANCE(A1759,""changepct""),"""")"),5.52)</f>
        <v>5.52</v>
      </c>
      <c r="W1759" s="22">
        <f>IFERROR(__xludf.DUMMYFUNCTION("IFERROR(GOOGLEFINANCE(A1759,""priceopen""),"""")"),364.0)</f>
        <v>364</v>
      </c>
      <c r="X1759" s="22">
        <f>IFERROR(__xludf.DUMMYFUNCTION("IFERROR(GOOGLEFINANCE(A1759,""high""),"""")"),386.0)</f>
        <v>386</v>
      </c>
      <c r="Y1759" s="22">
        <f>IFERROR(__xludf.DUMMYFUNCTION("IFERROR(GOOGLEFINANCE(A1759,""low""),"""")"),364.0)</f>
        <v>364</v>
      </c>
      <c r="Z1759" s="22">
        <f>IFERROR(__xludf.DUMMYFUNCTION("IFERROR(GOOGLEFINANCE(A1759,""volume""),"""")"),3914600.0)</f>
        <v>3914600</v>
      </c>
      <c r="AA1759" s="24" t="str">
        <f>VLOOKUP(A1759,Metrik!$C$2:$Y$959,5,0)</f>
        <v>Coal</v>
      </c>
      <c r="AB1759" s="24" t="str">
        <f>VLOOKUP(A1759,Metrik!$C$2:$Y$959,3,0)</f>
        <v>Energy</v>
      </c>
    </row>
    <row r="1760">
      <c r="A1760" s="14" t="s">
        <v>952</v>
      </c>
      <c r="B1760" s="14" t="str">
        <f t="array" ref="B1760">VLOOKUP(A1760,{Metrik!$C$2:$C$998,Metrik!$B$2:$B$998},2,0)</f>
        <v>Trada Alam Minera Tbk.</v>
      </c>
      <c r="C1760" s="15">
        <f>IFERROR(__xludf.DUMMYFUNCTION("GOOGLEFINANCE(""IDX:""&amp;A1760,""price"")"),50.0)</f>
        <v>50</v>
      </c>
      <c r="D1760" s="16" t="str">
        <f>IFERROR(__xludf.DUMMYFUNCTION("IF(A1760="""","""",
SPARKLINE(
INDEX(
GOOGLEFINANCE(""IDX:""&amp;A1760,""close"",TODAY()-365,TODAY()),
,2
),
{""linewidth"",1}
))
"),"#N/A")</f>
        <v>#N/A</v>
      </c>
      <c r="E1760" s="26"/>
      <c r="F1760" s="26"/>
      <c r="G1760" s="24">
        <f t="shared" si="11"/>
        <v>0</v>
      </c>
      <c r="H1760" s="19">
        <f>VLOOKUP(A1760,Metrik!$C$2:$Y$959,8,0)</f>
        <v>0</v>
      </c>
      <c r="I1760" s="20">
        <f>VLOOKUP(A1760,Metrik!$C$2:$Y$959,9,0)</f>
        <v>1.9</v>
      </c>
      <c r="J1760" s="20">
        <f>VLOOKUP(A1760,Metrik!$C$2:$Y$959,10,0)</f>
        <v>-62</v>
      </c>
      <c r="K1760" s="20">
        <f>VLOOKUP(A1760,Metrik!$C$2:$Y$959,11,0)</f>
        <v>-15.2</v>
      </c>
      <c r="L1760" s="20">
        <f>VLOOKUP(A1760,Metrik!$C$2:$Y$959,12,0)</f>
        <v>3.1</v>
      </c>
      <c r="M1760" s="20">
        <f>VLOOKUP(A1760,Metrik!$C$2:$Y$959,19,0)</f>
        <v>-23.1</v>
      </c>
      <c r="N1760" s="21"/>
      <c r="O1760" s="21"/>
      <c r="P1760" s="21"/>
      <c r="Q1760" s="21"/>
      <c r="R1760" s="21"/>
      <c r="S1760" s="21"/>
      <c r="T1760" s="21"/>
      <c r="U1760" s="22">
        <f>IFERROR(__xludf.DUMMYFUNCTION("IFERROR(GOOGLEFINANCE(A1760,""closeyest""),"""")"),50.0)</f>
        <v>50</v>
      </c>
      <c r="V1760" s="23">
        <f>IFERROR(__xludf.DUMMYFUNCTION("IFERROR(GOOGLEFINANCE(A1760,""changepct""),"""")"),0.0)</f>
        <v>0</v>
      </c>
      <c r="W1760" s="22" t="str">
        <f>IFERROR(__xludf.DUMMYFUNCTION("IFERROR(GOOGLEFINANCE(A1760,""priceopen""),"""")"),"")</f>
        <v/>
      </c>
      <c r="X1760" s="22" t="str">
        <f>IFERROR(__xludf.DUMMYFUNCTION("IFERROR(GOOGLEFINANCE(A1760,""high""),"""")"),"")</f>
        <v/>
      </c>
      <c r="Y1760" s="22" t="str">
        <f>IFERROR(__xludf.DUMMYFUNCTION("IFERROR(GOOGLEFINANCE(A1760,""low""),"""")"),"")</f>
        <v/>
      </c>
      <c r="Z1760" s="22">
        <f>IFERROR(__xludf.DUMMYFUNCTION("IFERROR(GOOGLEFINANCE(A1760,""volume""),"""")"),0.0)</f>
        <v>0</v>
      </c>
      <c r="AA1760" s="24" t="str">
        <f>VLOOKUP(A1760,Metrik!$C$2:$Y$959,5,0)</f>
        <v>Coal</v>
      </c>
      <c r="AB1760" s="24" t="str">
        <f>VLOOKUP(A1760,Metrik!$C$2:$Y$959,3,0)</f>
        <v>Energy</v>
      </c>
    </row>
    <row r="1761">
      <c r="A1761" s="14" t="s">
        <v>953</v>
      </c>
      <c r="B1761" s="14" t="str">
        <f t="array" ref="B1761">VLOOKUP(A1761,{Metrik!$C$2:$C$998,Metrik!$B$2:$B$998},2,0)</f>
        <v>Cerestar Indonesia Tbk.</v>
      </c>
      <c r="C1761" s="15">
        <f>IFERROR(__xludf.DUMMYFUNCTION("GOOGLEFINANCE(""IDX:""&amp;A1761,""price"")"),173.0)</f>
        <v>173</v>
      </c>
      <c r="D1761" s="16" t="str">
        <f>IFERROR(__xludf.DUMMYFUNCTION("IF(A1761="""","""",
SPARKLINE(
INDEX(
GOOGLEFINANCE(""IDX:""&amp;A1761,""close"",TODAY()-365,TODAY()),
,2
),
{""linewidth"",1}
))
"),"#N/A")</f>
        <v>#N/A</v>
      </c>
      <c r="E1761" s="26"/>
      <c r="F1761" s="26"/>
      <c r="G1761" s="24">
        <f t="shared" si="11"/>
        <v>0</v>
      </c>
      <c r="H1761" s="19">
        <f>VLOOKUP(A1761,Metrik!$C$2:$Y$959,8,0)</f>
        <v>42.3</v>
      </c>
      <c r="I1761" s="20">
        <f>VLOOKUP(A1761,Metrik!$C$2:$Y$959,9,0)</f>
        <v>1.5</v>
      </c>
      <c r="J1761" s="20">
        <f>VLOOKUP(A1761,Metrik!$C$2:$Y$959,10,0)</f>
        <v>3.5</v>
      </c>
      <c r="K1761" s="20">
        <f>VLOOKUP(A1761,Metrik!$C$2:$Y$959,11,0)</f>
        <v>0.94</v>
      </c>
      <c r="L1761" s="20">
        <f>VLOOKUP(A1761,Metrik!$C$2:$Y$959,12,0)</f>
        <v>2.7</v>
      </c>
      <c r="M1761" s="20">
        <f>VLOOKUP(A1761,Metrik!$C$2:$Y$959,19,0)</f>
        <v>3.9</v>
      </c>
      <c r="N1761" s="21"/>
      <c r="O1761" s="21"/>
      <c r="P1761" s="21"/>
      <c r="Q1761" s="21"/>
      <c r="R1761" s="21"/>
      <c r="S1761" s="21"/>
      <c r="T1761" s="21"/>
      <c r="U1761" s="22">
        <f>IFERROR(__xludf.DUMMYFUNCTION("IFERROR(GOOGLEFINANCE(A1761,""closeyest""),"""")"),179.0)</f>
        <v>179</v>
      </c>
      <c r="V1761" s="23">
        <f>IFERROR(__xludf.DUMMYFUNCTION("IFERROR(GOOGLEFINANCE(A1761,""changepct""),"""")"),-3.35)</f>
        <v>-3.35</v>
      </c>
      <c r="W1761" s="22" t="str">
        <f>IFERROR(__xludf.DUMMYFUNCTION("IFERROR(GOOGLEFINANCE(A1761,""priceopen""),"""")"),"")</f>
        <v/>
      </c>
      <c r="X1761" s="22">
        <f>IFERROR(__xludf.DUMMYFUNCTION("IFERROR(GOOGLEFINANCE(A1761,""high""),"""")"),174.0)</f>
        <v>174</v>
      </c>
      <c r="Y1761" s="22">
        <f>IFERROR(__xludf.DUMMYFUNCTION("IFERROR(GOOGLEFINANCE(A1761,""low""),"""")"),170.0)</f>
        <v>170</v>
      </c>
      <c r="Z1761" s="22">
        <f>IFERROR(__xludf.DUMMYFUNCTION("IFERROR(GOOGLEFINANCE(A1761,""volume""),"""")"),190900.0)</f>
        <v>190900</v>
      </c>
      <c r="AA1761" s="24" t="str">
        <f>VLOOKUP(A1761,Metrik!$C$2:$Y$959,5,0)</f>
        <v>Processed Foods</v>
      </c>
      <c r="AB1761" s="24" t="str">
        <f>VLOOKUP(A1761,Metrik!$C$2:$Y$959,3,0)</f>
        <v>Consumer Non-Cyclicals</v>
      </c>
    </row>
    <row r="1762">
      <c r="A1762" s="14" t="s">
        <v>954</v>
      </c>
      <c r="B1762" s="14" t="str">
        <f t="array" ref="B1762">VLOOKUP(A1762,{Metrik!$C$2:$C$998,Metrik!$B$2:$B$998},2,0)</f>
        <v>Triwira Insanlestari Tbk.</v>
      </c>
      <c r="C1762" s="15">
        <f>IFERROR(__xludf.DUMMYFUNCTION("GOOGLEFINANCE(""IDX:""&amp;A1762,""price"")"),50.0)</f>
        <v>50</v>
      </c>
      <c r="D1762" s="16" t="str">
        <f>IFERROR(__xludf.DUMMYFUNCTION("IF(A1762="""","""",
SPARKLINE(
INDEX(
GOOGLEFINANCE(""IDX:""&amp;A1762,""close"",TODAY()-365,TODAY()),
,2
),
{""linewidth"",1}
))
"),"#N/A")</f>
        <v>#N/A</v>
      </c>
      <c r="E1762" s="26"/>
      <c r="F1762" s="26"/>
      <c r="G1762" s="24">
        <f t="shared" si="11"/>
        <v>0</v>
      </c>
      <c r="H1762" s="19">
        <f>VLOOKUP(A1762,Metrik!$C$2:$Y$959,8,0)</f>
        <v>0</v>
      </c>
      <c r="I1762" s="20">
        <f>VLOOKUP(A1762,Metrik!$C$2:$Y$959,9,0)</f>
        <v>0.56</v>
      </c>
      <c r="J1762" s="20">
        <f>VLOOKUP(A1762,Metrik!$C$2:$Y$959,10,0)</f>
        <v>-3.1</v>
      </c>
      <c r="K1762" s="20">
        <f>VLOOKUP(A1762,Metrik!$C$2:$Y$959,11,0)</f>
        <v>-2.7</v>
      </c>
      <c r="L1762" s="20">
        <f>VLOOKUP(A1762,Metrik!$C$2:$Y$959,12,0)</f>
        <v>0.17</v>
      </c>
      <c r="M1762" s="20">
        <f>VLOOKUP(A1762,Metrik!$C$2:$Y$959,19,0)</f>
        <v>-16.9</v>
      </c>
      <c r="N1762" s="21"/>
      <c r="O1762" s="21"/>
      <c r="P1762" s="21"/>
      <c r="Q1762" s="21"/>
      <c r="R1762" s="21"/>
      <c r="S1762" s="21"/>
      <c r="T1762" s="21"/>
      <c r="U1762" s="22">
        <f>IFERROR(__xludf.DUMMYFUNCTION("IFERROR(GOOGLEFINANCE(A1762,""closeyest""),"""")"),50.0)</f>
        <v>50</v>
      </c>
      <c r="V1762" s="23">
        <f>IFERROR(__xludf.DUMMYFUNCTION("IFERROR(GOOGLEFINANCE(A1762,""changepct""),"""")"),0.0)</f>
        <v>0</v>
      </c>
      <c r="W1762" s="22" t="str">
        <f>IFERROR(__xludf.DUMMYFUNCTION("IFERROR(GOOGLEFINANCE(A1762,""priceopen""),"""")"),"")</f>
        <v/>
      </c>
      <c r="X1762" s="22" t="str">
        <f>IFERROR(__xludf.DUMMYFUNCTION("IFERROR(GOOGLEFINANCE(A1762,""high""),"""")"),"")</f>
        <v/>
      </c>
      <c r="Y1762" s="22" t="str">
        <f>IFERROR(__xludf.DUMMYFUNCTION("IFERROR(GOOGLEFINANCE(A1762,""low""),"""")"),"")</f>
        <v/>
      </c>
      <c r="Z1762" s="22">
        <f>IFERROR(__xludf.DUMMYFUNCTION("IFERROR(GOOGLEFINANCE(A1762,""volume""),"""")"),0.0)</f>
        <v>0</v>
      </c>
      <c r="AA1762" s="24" t="str">
        <f>VLOOKUP(A1762,Metrik!$C$2:$Y$959,5,0)</f>
        <v>Diversified Industrial Trading</v>
      </c>
      <c r="AB1762" s="24" t="str">
        <f>VLOOKUP(A1762,Metrik!$C$2:$Y$959,3,0)</f>
        <v>Industrials</v>
      </c>
    </row>
    <row r="1763">
      <c r="A1763" s="14" t="s">
        <v>955</v>
      </c>
      <c r="B1763" s="14" t="str">
        <f t="array" ref="B1763">VLOOKUP(A1763,{Metrik!$C$2:$C$998,Metrik!$B$2:$B$998},2,0)</f>
        <v>Trimegah Sekuritas Indonesia Tbk.</v>
      </c>
      <c r="C1763" s="15">
        <f>IFERROR(__xludf.DUMMYFUNCTION("GOOGLEFINANCE(""IDX:""&amp;A1763,""price"")"),515.0)</f>
        <v>515</v>
      </c>
      <c r="D1763" s="16" t="str">
        <f>IFERROR(__xludf.DUMMYFUNCTION("IF(A1763="""","""",
SPARKLINE(
INDEX(
GOOGLEFINANCE(""IDX:""&amp;A1763,""close"",TODAY()-365,TODAY()),
,2
),
{""linewidth"",1}
))
"),"#N/A")</f>
        <v>#N/A</v>
      </c>
      <c r="E1763" s="26"/>
      <c r="F1763" s="26"/>
      <c r="G1763" s="24">
        <f t="shared" si="11"/>
        <v>0</v>
      </c>
      <c r="H1763" s="19">
        <f>VLOOKUP(A1763,Metrik!$C$2:$Y$959,8,0)</f>
        <v>5.8</v>
      </c>
      <c r="I1763" s="20">
        <f>VLOOKUP(A1763,Metrik!$C$2:$Y$959,9,0)</f>
        <v>1.6</v>
      </c>
      <c r="J1763" s="20">
        <f>VLOOKUP(A1763,Metrik!$C$2:$Y$959,10,0)</f>
        <v>27.6</v>
      </c>
      <c r="K1763" s="20">
        <f>VLOOKUP(A1763,Metrik!$C$2:$Y$959,11,0)</f>
        <v>7</v>
      </c>
      <c r="L1763" s="20">
        <f>VLOOKUP(A1763,Metrik!$C$2:$Y$959,12,0)</f>
        <v>3</v>
      </c>
      <c r="M1763" s="20">
        <f>VLOOKUP(A1763,Metrik!$C$2:$Y$959,19,0)</f>
        <v>130</v>
      </c>
      <c r="N1763" s="21"/>
      <c r="O1763" s="21"/>
      <c r="P1763" s="21"/>
      <c r="Q1763" s="21"/>
      <c r="R1763" s="21"/>
      <c r="S1763" s="21"/>
      <c r="T1763" s="21"/>
      <c r="U1763" s="22">
        <f>IFERROR(__xludf.DUMMYFUNCTION("IFERROR(GOOGLEFINANCE(A1763,""closeyest""),"""")"),505.0)</f>
        <v>505</v>
      </c>
      <c r="V1763" s="23">
        <f>IFERROR(__xludf.DUMMYFUNCTION("IFERROR(GOOGLEFINANCE(A1763,""changepct""),"""")"),1.98)</f>
        <v>1.98</v>
      </c>
      <c r="W1763" s="22">
        <f>IFERROR(__xludf.DUMMYFUNCTION("IFERROR(GOOGLEFINANCE(A1763,""priceopen""),"""")"),515.0)</f>
        <v>515</v>
      </c>
      <c r="X1763" s="22">
        <f>IFERROR(__xludf.DUMMYFUNCTION("IFERROR(GOOGLEFINANCE(A1763,""high""),"""")"),530.0)</f>
        <v>530</v>
      </c>
      <c r="Y1763" s="22">
        <f>IFERROR(__xludf.DUMMYFUNCTION("IFERROR(GOOGLEFINANCE(A1763,""low""),"""")"),498.0)</f>
        <v>498</v>
      </c>
      <c r="Z1763" s="22">
        <f>IFERROR(__xludf.DUMMYFUNCTION("IFERROR(GOOGLEFINANCE(A1763,""volume""),"""")"),55000.0)</f>
        <v>55000</v>
      </c>
      <c r="AA1763" s="24" t="str">
        <f>VLOOKUP(A1763,Metrik!$C$2:$Y$959,5,0)</f>
        <v>Investment Services</v>
      </c>
      <c r="AB1763" s="24" t="str">
        <f>VLOOKUP(A1763,Metrik!$C$2:$Y$959,3,0)</f>
        <v>Financials</v>
      </c>
    </row>
    <row r="1764">
      <c r="A1764" s="14" t="s">
        <v>956</v>
      </c>
      <c r="B1764" s="14" t="str">
        <f t="array" ref="B1764">VLOOKUP(A1764,{Metrik!$C$2:$C$998,Metrik!$B$2:$B$998},2,0)</f>
        <v>Perintis Triniti Properti Tbk.</v>
      </c>
      <c r="C1764" s="15">
        <f>IFERROR(__xludf.DUMMYFUNCTION("GOOGLEFINANCE(""IDX:""&amp;A1764,""price"")"),456.0)</f>
        <v>456</v>
      </c>
      <c r="D1764" s="16" t="str">
        <f>IFERROR(__xludf.DUMMYFUNCTION("IF(A1764="""","""",
SPARKLINE(
INDEX(
GOOGLEFINANCE(""IDX:""&amp;A1764,""close"",TODAY()-365,TODAY()),
,2
),
{""linewidth"",1}
))
"),"#N/A")</f>
        <v>#N/A</v>
      </c>
      <c r="E1764" s="26"/>
      <c r="F1764" s="26"/>
      <c r="G1764" s="24">
        <f t="shared" si="11"/>
        <v>0</v>
      </c>
      <c r="H1764" s="19">
        <f>VLOOKUP(A1764,Metrik!$C$2:$Y$959,8,0)</f>
        <v>160</v>
      </c>
      <c r="I1764" s="20">
        <f>VLOOKUP(A1764,Metrik!$C$2:$Y$959,9,0)</f>
        <v>4.1</v>
      </c>
      <c r="J1764" s="20">
        <f>VLOOKUP(A1764,Metrik!$C$2:$Y$959,10,0)</f>
        <v>2.5</v>
      </c>
      <c r="K1764" s="20">
        <f>VLOOKUP(A1764,Metrik!$C$2:$Y$959,11,0)</f>
        <v>0.61</v>
      </c>
      <c r="L1764" s="20">
        <f>VLOOKUP(A1764,Metrik!$C$2:$Y$959,12,0)</f>
        <v>3</v>
      </c>
      <c r="M1764" s="20">
        <f>VLOOKUP(A1764,Metrik!$C$2:$Y$959,19,0)</f>
        <v>240</v>
      </c>
      <c r="N1764" s="21"/>
      <c r="O1764" s="21"/>
      <c r="P1764" s="21"/>
      <c r="Q1764" s="21"/>
      <c r="R1764" s="21"/>
      <c r="S1764" s="21"/>
      <c r="T1764" s="21"/>
      <c r="U1764" s="22">
        <f>IFERROR(__xludf.DUMMYFUNCTION("IFERROR(GOOGLEFINANCE(A1764,""closeyest""),"""")"),16.9)</f>
        <v>16.9</v>
      </c>
      <c r="V1764" s="23">
        <f>IFERROR(__xludf.DUMMYFUNCTION("IFERROR(GOOGLEFINANCE(A1764,""changepct""),"""")"),-0.06)</f>
        <v>-0.06</v>
      </c>
      <c r="W1764" s="22">
        <f>IFERROR(__xludf.DUMMYFUNCTION("IFERROR(GOOGLEFINANCE(A1764,""priceopen""),"""")"),16.96)</f>
        <v>16.96</v>
      </c>
      <c r="X1764" s="22">
        <f>IFERROR(__xludf.DUMMYFUNCTION("IFERROR(GOOGLEFINANCE(A1764,""high""),"""")"),16.96)</f>
        <v>16.96</v>
      </c>
      <c r="Y1764" s="22">
        <f>IFERROR(__xludf.DUMMYFUNCTION("IFERROR(GOOGLEFINANCE(A1764,""low""),"""")"),16.72)</f>
        <v>16.72</v>
      </c>
      <c r="Z1764" s="22">
        <f>IFERROR(__xludf.DUMMYFUNCTION("IFERROR(GOOGLEFINANCE(A1764,""volume""),"""")"),741265.0)</f>
        <v>741265</v>
      </c>
      <c r="AA1764" s="24" t="str">
        <f>VLOOKUP(A1764,Metrik!$C$2:$Y$959,5,0)</f>
        <v>Real Estate Management &amp; Development</v>
      </c>
      <c r="AB1764" s="24" t="str">
        <f>VLOOKUP(A1764,Metrik!$C$2:$Y$959,3,0)</f>
        <v>Properties &amp; Real Estate</v>
      </c>
    </row>
    <row r="1765">
      <c r="A1765" s="14" t="s">
        <v>957</v>
      </c>
      <c r="B1765" s="14" t="str">
        <f t="array" ref="B1765">VLOOKUP(A1765,{Metrik!$C$2:$C$998,Metrik!$B$2:$B$998},2,0)</f>
        <v>Trikomsel Oke Tbk.</v>
      </c>
      <c r="C1765" s="15">
        <f>IFERROR(__xludf.DUMMYFUNCTION("GOOGLEFINANCE(""IDX:""&amp;A1765,""price"")"),426.0)</f>
        <v>426</v>
      </c>
      <c r="D1765" s="16" t="str">
        <f>IFERROR(__xludf.DUMMYFUNCTION("IF(A1765="""","""",
SPARKLINE(
INDEX(
GOOGLEFINANCE(""IDX:""&amp;A1765,""close"",TODAY()-365,TODAY()),
,2
),
{""linewidth"",1}
))
"),"#N/A")</f>
        <v>#N/A</v>
      </c>
      <c r="E1765" s="26"/>
      <c r="F1765" s="26"/>
      <c r="G1765" s="24">
        <f t="shared" si="11"/>
        <v>0</v>
      </c>
      <c r="H1765" s="19">
        <f>VLOOKUP(A1765,Metrik!$C$2:$Y$959,8,0)</f>
        <v>-74.4</v>
      </c>
      <c r="I1765" s="20">
        <f>VLOOKUP(A1765,Metrik!$C$2:$Y$959,9,0)</f>
        <v>-2.7</v>
      </c>
      <c r="J1765" s="20">
        <f>VLOOKUP(A1765,Metrik!$C$2:$Y$959,10,0)</f>
        <v>0</v>
      </c>
      <c r="K1765" s="20">
        <f>VLOOKUP(A1765,Metrik!$C$2:$Y$959,11,0)</f>
        <v>-190</v>
      </c>
      <c r="L1765" s="20">
        <f>VLOOKUP(A1765,Metrik!$C$2:$Y$959,12,0)</f>
        <v>-1</v>
      </c>
      <c r="M1765" s="20">
        <f>VLOOKUP(A1765,Metrik!$C$2:$Y$959,19,0)</f>
        <v>-220</v>
      </c>
      <c r="N1765" s="21"/>
      <c r="O1765" s="21"/>
      <c r="P1765" s="21"/>
      <c r="Q1765" s="21"/>
      <c r="R1765" s="21"/>
      <c r="S1765" s="21"/>
      <c r="T1765" s="21"/>
      <c r="U1765" s="22">
        <f>IFERROR(__xludf.DUMMYFUNCTION("IFERROR(GOOGLEFINANCE(A1765,""closeyest""),"""")"),28.1)</f>
        <v>28.1</v>
      </c>
      <c r="V1765" s="23" t="str">
        <f>IFERROR(__xludf.DUMMYFUNCTION("IFERROR(GOOGLEFINANCE(A1765,""changepct""),"""")"),"")</f>
        <v/>
      </c>
      <c r="W1765" s="22">
        <f>IFERROR(__xludf.DUMMYFUNCTION("IFERROR(GOOGLEFINANCE(A1765,""priceopen""),"""")"),27.9)</f>
        <v>27.9</v>
      </c>
      <c r="X1765" s="22">
        <f>IFERROR(__xludf.DUMMYFUNCTION("IFERROR(GOOGLEFINANCE(A1765,""high""),"""")"),28.25)</f>
        <v>28.25</v>
      </c>
      <c r="Y1765" s="22">
        <f>IFERROR(__xludf.DUMMYFUNCTION("IFERROR(GOOGLEFINANCE(A1765,""low""),"""")"),27.9)</f>
        <v>27.9</v>
      </c>
      <c r="Z1765" s="22">
        <f>IFERROR(__xludf.DUMMYFUNCTION("IFERROR(GOOGLEFINANCE(A1765,""volume""),"""")"),10574.0)</f>
        <v>10574</v>
      </c>
      <c r="AA1765" s="24" t="str">
        <f>VLOOKUP(A1765,Metrik!$C$2:$Y$959,5,0)</f>
        <v>Specialty Retail</v>
      </c>
      <c r="AB1765" s="24" t="str">
        <f>VLOOKUP(A1765,Metrik!$C$2:$Y$959,3,0)</f>
        <v>Consumer Cyclicals</v>
      </c>
    </row>
    <row r="1766">
      <c r="A1766" s="14" t="s">
        <v>958</v>
      </c>
      <c r="B1766" s="14" t="str">
        <f t="array" ref="B1766">VLOOKUP(A1766,{Metrik!$C$2:$C$998,Metrik!$B$2:$B$998},2,0)</f>
        <v>Trisula International Tbk.</v>
      </c>
      <c r="C1766" s="15">
        <f>IFERROR(__xludf.DUMMYFUNCTION("GOOGLEFINANCE(""IDX:""&amp;A1766,""price"")"),156.0)</f>
        <v>156</v>
      </c>
      <c r="D1766" s="16" t="str">
        <f>IFERROR(__xludf.DUMMYFUNCTION("IF(A1766="""","""",
SPARKLINE(
INDEX(
GOOGLEFINANCE(""IDX:""&amp;A1766,""close"",TODAY()-365,TODAY()),
,2
),
{""linewidth"",1}
))
"),"#N/A")</f>
        <v>#N/A</v>
      </c>
      <c r="E1766" s="26"/>
      <c r="F1766" s="26"/>
      <c r="G1766" s="24">
        <f t="shared" si="11"/>
        <v>0</v>
      </c>
      <c r="H1766" s="19">
        <f>VLOOKUP(A1766,Metrik!$C$2:$Y$959,8,0)</f>
        <v>8.7</v>
      </c>
      <c r="I1766" s="20">
        <f>VLOOKUP(A1766,Metrik!$C$2:$Y$959,9,0)</f>
        <v>0.61</v>
      </c>
      <c r="J1766" s="20">
        <f>VLOOKUP(A1766,Metrik!$C$2:$Y$959,10,0)</f>
        <v>7</v>
      </c>
      <c r="K1766" s="20">
        <f>VLOOKUP(A1766,Metrik!$C$2:$Y$959,11,0)</f>
        <v>4.4</v>
      </c>
      <c r="L1766" s="20">
        <f>VLOOKUP(A1766,Metrik!$C$2:$Y$959,12,0)</f>
        <v>0.61</v>
      </c>
      <c r="M1766" s="20">
        <f>VLOOKUP(A1766,Metrik!$C$2:$Y$959,19,0)</f>
        <v>13.6</v>
      </c>
      <c r="N1766" s="21"/>
      <c r="O1766" s="21"/>
      <c r="P1766" s="21"/>
      <c r="Q1766" s="21"/>
      <c r="R1766" s="21"/>
      <c r="S1766" s="21"/>
      <c r="T1766" s="21"/>
      <c r="U1766" s="22">
        <f>IFERROR(__xludf.DUMMYFUNCTION("IFERROR(GOOGLEFINANCE(A1766,""closeyest""),"""")"),3032.75)</f>
        <v>3032.75</v>
      </c>
      <c r="V1766" s="23">
        <f>IFERROR(__xludf.DUMMYFUNCTION("IFERROR(GOOGLEFINANCE(A1766,""changepct""),"""")"),-0.44)</f>
        <v>-0.44</v>
      </c>
      <c r="W1766" s="22">
        <f>IFERROR(__xludf.DUMMYFUNCTION("IFERROR(GOOGLEFINANCE(A1766,""priceopen""),"""")"),3021.0)</f>
        <v>3021</v>
      </c>
      <c r="X1766" s="22">
        <f>IFERROR(__xludf.DUMMYFUNCTION("IFERROR(GOOGLEFINANCE(A1766,""high""),"""")"),3021.0)</f>
        <v>3021</v>
      </c>
      <c r="Y1766" s="22">
        <f>IFERROR(__xludf.DUMMYFUNCTION("IFERROR(GOOGLEFINANCE(A1766,""low""),"""")"),3015.5)</f>
        <v>3015.5</v>
      </c>
      <c r="Z1766" s="22">
        <f>IFERROR(__xludf.DUMMYFUNCTION("IFERROR(GOOGLEFINANCE(A1766,""volume""),"""")"),104.0)</f>
        <v>104</v>
      </c>
      <c r="AA1766" s="24" t="str">
        <f>VLOOKUP(A1766,Metrik!$C$2:$Y$959,5,0)</f>
        <v>Apparel &amp; Luxury Goods</v>
      </c>
      <c r="AB1766" s="24" t="str">
        <f>VLOOKUP(A1766,Metrik!$C$2:$Y$959,3,0)</f>
        <v>Consumer Cyclicals</v>
      </c>
    </row>
    <row r="1767">
      <c r="A1767" s="14" t="s">
        <v>959</v>
      </c>
      <c r="B1767" s="14" t="str">
        <f t="array" ref="B1767">VLOOKUP(A1767,{Metrik!$C$2:$C$998,Metrik!$B$2:$B$998},2,0)</f>
        <v>Transkon Jaya Tbk.</v>
      </c>
      <c r="C1767" s="15">
        <f>IFERROR(__xludf.DUMMYFUNCTION("GOOGLEFINANCE(""IDX:""&amp;A1767,""price"")"),111.0)</f>
        <v>111</v>
      </c>
      <c r="D1767" s="16" t="str">
        <f>IFERROR(__xludf.DUMMYFUNCTION("IF(A1767="""","""",
SPARKLINE(
INDEX(
GOOGLEFINANCE(""IDX:""&amp;A1767,""close"",TODAY()-365,TODAY()),
,2
),
{""linewidth"",1}
))
"),"#N/A")</f>
        <v>#N/A</v>
      </c>
      <c r="E1767" s="26"/>
      <c r="F1767" s="26"/>
      <c r="G1767" s="24">
        <f t="shared" si="11"/>
        <v>0</v>
      </c>
      <c r="H1767" s="19">
        <f>VLOOKUP(A1767,Metrik!$C$2:$Y$959,8,0)</f>
        <v>-500</v>
      </c>
      <c r="I1767" s="20">
        <f>VLOOKUP(A1767,Metrik!$C$2:$Y$959,9,0)</f>
        <v>0.47</v>
      </c>
      <c r="J1767" s="20">
        <f>VLOOKUP(A1767,Metrik!$C$2:$Y$959,10,0)</f>
        <v>-0.09</v>
      </c>
      <c r="K1767" s="20">
        <f>VLOOKUP(A1767,Metrik!$C$2:$Y$959,11,0)</f>
        <v>-0.05</v>
      </c>
      <c r="L1767" s="20">
        <f>VLOOKUP(A1767,Metrik!$C$2:$Y$959,12,0)</f>
        <v>0.92</v>
      </c>
      <c r="M1767" s="20">
        <f>VLOOKUP(A1767,Metrik!$C$2:$Y$959,19,0)</f>
        <v>-0.33</v>
      </c>
      <c r="N1767" s="21"/>
      <c r="O1767" s="21"/>
      <c r="P1767" s="21"/>
      <c r="Q1767" s="21"/>
      <c r="R1767" s="21"/>
      <c r="S1767" s="21"/>
      <c r="T1767" s="21"/>
      <c r="U1767" s="22">
        <f>IFERROR(__xludf.DUMMYFUNCTION("IFERROR(GOOGLEFINANCE(A1767,""closeyest""),"""")"),115.0)</f>
        <v>115</v>
      </c>
      <c r="V1767" s="23">
        <f>IFERROR(__xludf.DUMMYFUNCTION("IFERROR(GOOGLEFINANCE(A1767,""changepct""),"""")"),-3.48)</f>
        <v>-3.48</v>
      </c>
      <c r="W1767" s="22">
        <f>IFERROR(__xludf.DUMMYFUNCTION("IFERROR(GOOGLEFINANCE(A1767,""priceopen""),"""")"),115.0)</f>
        <v>115</v>
      </c>
      <c r="X1767" s="22">
        <f>IFERROR(__xludf.DUMMYFUNCTION("IFERROR(GOOGLEFINANCE(A1767,""high""),"""")"),115.0)</f>
        <v>115</v>
      </c>
      <c r="Y1767" s="22">
        <f>IFERROR(__xludf.DUMMYFUNCTION("IFERROR(GOOGLEFINANCE(A1767,""low""),"""")"),110.0)</f>
        <v>110</v>
      </c>
      <c r="Z1767" s="22">
        <f>IFERROR(__xludf.DUMMYFUNCTION("IFERROR(GOOGLEFINANCE(A1767,""volume""),"""")"),177700.0)</f>
        <v>177700</v>
      </c>
      <c r="AA1767" s="24" t="str">
        <f>VLOOKUP(A1767,Metrik!$C$2:$Y$959,5,0)</f>
        <v>Passenger Land Transportation</v>
      </c>
      <c r="AB1767" s="24" t="str">
        <f>VLOOKUP(A1767,Metrik!$C$2:$Y$959,3,0)</f>
        <v>Transportation &amp; Logistic</v>
      </c>
    </row>
    <row r="1768">
      <c r="A1768" s="14" t="s">
        <v>960</v>
      </c>
      <c r="B1768" s="14" t="str">
        <f t="array" ref="B1768">VLOOKUP(A1768,{Metrik!$C$2:$C$998,Metrik!$B$2:$B$998},2,0)</f>
        <v>PT Teknologi Karya Digital Nusa Tbk.</v>
      </c>
      <c r="C1768" s="15">
        <f>IFERROR(__xludf.DUMMYFUNCTION("GOOGLEFINANCE(""IDX:""&amp;A1768,""price"")"),74.0)</f>
        <v>74</v>
      </c>
      <c r="D1768" s="16" t="str">
        <f>IFERROR(__xludf.DUMMYFUNCTION("IF(A1768="""","""",
SPARKLINE(
INDEX(
GOOGLEFINANCE(""IDX:""&amp;A1768,""close"",TODAY()-365,TODAY()),
,2
),
{""linewidth"",1}
))
"),"#N/A")</f>
        <v>#N/A</v>
      </c>
      <c r="E1768" s="26"/>
      <c r="F1768" s="26"/>
      <c r="G1768" s="24">
        <f t="shared" si="11"/>
        <v>0</v>
      </c>
      <c r="H1768" s="19">
        <f>VLOOKUP(A1768,Metrik!$C$2:$Y$959,8,0)</f>
        <v>-7.5</v>
      </c>
      <c r="I1768" s="20">
        <f>VLOOKUP(A1768,Metrik!$C$2:$Y$959,9,0)</f>
        <v>1.6</v>
      </c>
      <c r="J1768" s="20">
        <f>VLOOKUP(A1768,Metrik!$C$2:$Y$959,10,0)</f>
        <v>-21.4</v>
      </c>
      <c r="K1768" s="20">
        <f>VLOOKUP(A1768,Metrik!$C$2:$Y$959,11,0)</f>
        <v>-15.6</v>
      </c>
      <c r="L1768" s="20">
        <f>VLOOKUP(A1768,Metrik!$C$2:$Y$959,12,0)</f>
        <v>0.37</v>
      </c>
      <c r="M1768" s="20">
        <f>VLOOKUP(A1768,Metrik!$C$2:$Y$959,19,0)</f>
        <v>-200</v>
      </c>
      <c r="N1768" s="21"/>
      <c r="O1768" s="21"/>
      <c r="P1768" s="21"/>
      <c r="Q1768" s="21"/>
      <c r="R1768" s="21"/>
      <c r="S1768" s="21"/>
      <c r="T1768" s="21"/>
      <c r="U1768" s="22" t="str">
        <f>IFERROR(__xludf.DUMMYFUNCTION("IFERROR(GOOGLEFINANCE(A1768,""closeyest""),"""")"),"")</f>
        <v/>
      </c>
      <c r="V1768" s="23">
        <f>IFERROR(__xludf.DUMMYFUNCTION("IFERROR(GOOGLEFINANCE(A1768,""changepct""),"""")"),-1.68)</f>
        <v>-1.68</v>
      </c>
      <c r="W1768" s="22">
        <f>IFERROR(__xludf.DUMMYFUNCTION("IFERROR(GOOGLEFINANCE(A1768,""priceopen""),"""")"),1.79)</f>
        <v>1.79</v>
      </c>
      <c r="X1768" s="22">
        <f>IFERROR(__xludf.DUMMYFUNCTION("IFERROR(GOOGLEFINANCE(A1768,""high""),"""")"),1.85)</f>
        <v>1.85</v>
      </c>
      <c r="Y1768" s="22">
        <f>IFERROR(__xludf.DUMMYFUNCTION("IFERROR(GOOGLEFINANCE(A1768,""low""),"""")"),1.74)</f>
        <v>1.74</v>
      </c>
      <c r="Z1768" s="22">
        <f>IFERROR(__xludf.DUMMYFUNCTION("IFERROR(GOOGLEFINANCE(A1768,""volume""),"""")"),481139.0)</f>
        <v>481139</v>
      </c>
      <c r="AA1768" s="24" t="str">
        <f>VLOOKUP(A1768,Metrik!$C$2:$Y$959,5,0)</f>
        <v>Software</v>
      </c>
      <c r="AB1768" s="24" t="str">
        <f>VLOOKUP(A1768,Metrik!$C$2:$Y$959,3,0)</f>
        <v>Technology</v>
      </c>
    </row>
    <row r="1769">
      <c r="A1769" s="14" t="s">
        <v>961</v>
      </c>
      <c r="B1769" s="14" t="str">
        <f t="array" ref="B1769">VLOOKUP(A1769,{Metrik!$C$2:$C$998,Metrik!$B$2:$B$998},2,0)</f>
        <v>Trias Sentosa Tbk.</v>
      </c>
      <c r="C1769" s="15">
        <f>IFERROR(__xludf.DUMMYFUNCTION("GOOGLEFINANCE(""IDX:""&amp;A1769,""price"")"),490.0)</f>
        <v>490</v>
      </c>
      <c r="D1769" s="16" t="str">
        <f>IFERROR(__xludf.DUMMYFUNCTION("IF(A1769="""","""",
SPARKLINE(
INDEX(
GOOGLEFINANCE(""IDX:""&amp;A1769,""close"",TODAY()-365,TODAY()),
,2
),
{""linewidth"",1}
))
"),"#N/A")</f>
        <v>#N/A</v>
      </c>
      <c r="E1769" s="26"/>
      <c r="F1769" s="26"/>
      <c r="G1769" s="24">
        <f t="shared" si="11"/>
        <v>0</v>
      </c>
      <c r="H1769" s="19">
        <f>VLOOKUP(A1769,Metrik!$C$2:$Y$959,8,0)</f>
        <v>210</v>
      </c>
      <c r="I1769" s="20">
        <f>VLOOKUP(A1769,Metrik!$C$2:$Y$959,9,0)</f>
        <v>0.46</v>
      </c>
      <c r="J1769" s="20">
        <f>VLOOKUP(A1769,Metrik!$C$2:$Y$959,10,0)</f>
        <v>0.22</v>
      </c>
      <c r="K1769" s="20">
        <f>VLOOKUP(A1769,Metrik!$C$2:$Y$959,11,0)</f>
        <v>0.12</v>
      </c>
      <c r="L1769" s="20">
        <f>VLOOKUP(A1769,Metrik!$C$2:$Y$959,12,0)</f>
        <v>0.94</v>
      </c>
      <c r="M1769" s="20">
        <f>VLOOKUP(A1769,Metrik!$C$2:$Y$959,19,0)</f>
        <v>0.64</v>
      </c>
      <c r="N1769" s="21"/>
      <c r="O1769" s="21"/>
      <c r="P1769" s="21"/>
      <c r="Q1769" s="21"/>
      <c r="R1769" s="21"/>
      <c r="S1769" s="21"/>
      <c r="T1769" s="21"/>
      <c r="U1769" s="22">
        <f>IFERROR(__xludf.DUMMYFUNCTION("IFERROR(GOOGLEFINANCE(A1769,""closeyest""),"""")"),54.89)</f>
        <v>54.89</v>
      </c>
      <c r="V1769" s="23">
        <f>IFERROR(__xludf.DUMMYFUNCTION("IFERROR(GOOGLEFINANCE(A1769,""changepct""),"""")"),0.66)</f>
        <v>0.66</v>
      </c>
      <c r="W1769" s="22">
        <f>IFERROR(__xludf.DUMMYFUNCTION("IFERROR(GOOGLEFINANCE(A1769,""priceopen""),"""")"),55.19)</f>
        <v>55.19</v>
      </c>
      <c r="X1769" s="22">
        <f>IFERROR(__xludf.DUMMYFUNCTION("IFERROR(GOOGLEFINANCE(A1769,""high""),"""")"),55.6)</f>
        <v>55.6</v>
      </c>
      <c r="Y1769" s="22">
        <f>IFERROR(__xludf.DUMMYFUNCTION("IFERROR(GOOGLEFINANCE(A1769,""low""),"""")"),55.1)</f>
        <v>55.1</v>
      </c>
      <c r="Z1769" s="22" t="str">
        <f>IFERROR(__xludf.DUMMYFUNCTION("IFERROR(GOOGLEFINANCE(A1769,""volume""),"""")"),"")</f>
        <v/>
      </c>
      <c r="AA1769" s="24" t="str">
        <f>VLOOKUP(A1769,Metrik!$C$2:$Y$959,5,0)</f>
        <v>Containers &amp; Packaging</v>
      </c>
      <c r="AB1769" s="24" t="str">
        <f>VLOOKUP(A1769,Metrik!$C$2:$Y$959,3,0)</f>
        <v>Basic Materials</v>
      </c>
    </row>
    <row r="1770">
      <c r="A1770" s="14" t="s">
        <v>962</v>
      </c>
      <c r="B1770" s="14" t="str">
        <f t="array" ref="B1770">VLOOKUP(A1770,{Metrik!$C$2:$C$998,Metrik!$B$2:$B$998},2,0)</f>
        <v>#N/A</v>
      </c>
      <c r="C1770" s="15">
        <f>IFERROR(__xludf.DUMMYFUNCTION("GOOGLEFINANCE(""IDX:""&amp;A1770,""price"")"),65.0)</f>
        <v>65</v>
      </c>
      <c r="D1770" s="16" t="str">
        <f>IFERROR(__xludf.DUMMYFUNCTION("IF(A1770="""","""",
SPARKLINE(
INDEX(
GOOGLEFINANCE(""IDX:""&amp;A1770,""close"",TODAY()-365,TODAY()),
,2
),
{""linewidth"",1}
))
"),"#N/A")</f>
        <v>#N/A</v>
      </c>
      <c r="E1770" s="26"/>
      <c r="F1770" s="26"/>
      <c r="G1770" s="24">
        <f t="shared" si="11"/>
        <v>0</v>
      </c>
      <c r="H1770" s="19" t="str">
        <f>VLOOKUP(A1770,Metrik!$C$2:$Y$959,8,0)</f>
        <v>#N/A</v>
      </c>
      <c r="I1770" s="20" t="str">
        <f>VLOOKUP(A1770,Metrik!$C$2:$Y$959,9,0)</f>
        <v>#N/A</v>
      </c>
      <c r="J1770" s="20" t="str">
        <f>VLOOKUP(A1770,Metrik!$C$2:$Y$959,10,0)</f>
        <v>#N/A</v>
      </c>
      <c r="K1770" s="20" t="str">
        <f>VLOOKUP(A1770,Metrik!$C$2:$Y$959,11,0)</f>
        <v>#N/A</v>
      </c>
      <c r="L1770" s="20" t="str">
        <f>VLOOKUP(A1770,Metrik!$C$2:$Y$959,12,0)</f>
        <v>#N/A</v>
      </c>
      <c r="M1770" s="20" t="str">
        <f>VLOOKUP(A1770,Metrik!$C$2:$Y$959,19,0)</f>
        <v>#N/A</v>
      </c>
      <c r="N1770" s="21"/>
      <c r="O1770" s="21"/>
      <c r="P1770" s="21"/>
      <c r="Q1770" s="21"/>
      <c r="R1770" s="21"/>
      <c r="S1770" s="21"/>
      <c r="T1770" s="21"/>
      <c r="U1770" s="22">
        <f>IFERROR(__xludf.DUMMYFUNCTION("IFERROR(GOOGLEFINANCE(A1770,""closeyest""),"""")"),3.1)</f>
        <v>3.1</v>
      </c>
      <c r="V1770" s="23">
        <f>IFERROR(__xludf.DUMMYFUNCTION("IFERROR(GOOGLEFINANCE(A1770,""changepct""),"""")"),-3.23)</f>
        <v>-3.23</v>
      </c>
      <c r="W1770" s="22">
        <f>IFERROR(__xludf.DUMMYFUNCTION("IFERROR(GOOGLEFINANCE(A1770,""priceopen""),"""")"),3.13)</f>
        <v>3.13</v>
      </c>
      <c r="X1770" s="22">
        <f>IFERROR(__xludf.DUMMYFUNCTION("IFERROR(GOOGLEFINANCE(A1770,""high""),"""")"),3.13)</f>
        <v>3.13</v>
      </c>
      <c r="Y1770" s="22">
        <f>IFERROR(__xludf.DUMMYFUNCTION("IFERROR(GOOGLEFINANCE(A1770,""low""),"""")"),3.0)</f>
        <v>3</v>
      </c>
      <c r="Z1770" s="22">
        <f>IFERROR(__xludf.DUMMYFUNCTION("IFERROR(GOOGLEFINANCE(A1770,""volume""),"""")"),105809.0)</f>
        <v>105809</v>
      </c>
      <c r="AA1770" s="24" t="str">
        <f>VLOOKUP(A1770,Metrik!$C$2:$Y$959,5,0)</f>
        <v>#N/A</v>
      </c>
      <c r="AB1770" s="24" t="str">
        <f>VLOOKUP(A1770,Metrik!$C$2:$Y$959,3,0)</f>
        <v>#N/A</v>
      </c>
    </row>
    <row r="1771">
      <c r="A1771" s="14" t="s">
        <v>963</v>
      </c>
      <c r="B1771" s="14" t="str">
        <f t="array" ref="B1771">VLOOKUP(A1771,{Metrik!$C$2:$C$998,Metrik!$B$2:$B$998},2,0)</f>
        <v>Guna Timur Raya Tbk.</v>
      </c>
      <c r="C1771" s="15">
        <f>IFERROR(__xludf.DUMMYFUNCTION("GOOGLEFINANCE(""IDX:""&amp;A1771,""price"")"),362.0)</f>
        <v>362</v>
      </c>
      <c r="D1771" s="16" t="str">
        <f>IFERROR(__xludf.DUMMYFUNCTION("IF(A1771="""","""",
SPARKLINE(
INDEX(
GOOGLEFINANCE(""IDX:""&amp;A1771,""close"",TODAY()-365,TODAY()),
,2
),
{""linewidth"",1}
))
"),"#N/A")</f>
        <v>#N/A</v>
      </c>
      <c r="E1771" s="26"/>
      <c r="F1771" s="26"/>
      <c r="G1771" s="24">
        <f t="shared" si="11"/>
        <v>0</v>
      </c>
      <c r="H1771" s="19">
        <f>VLOOKUP(A1771,Metrik!$C$2:$Y$959,8,0)</f>
        <v>-29.7</v>
      </c>
      <c r="I1771" s="20">
        <f>VLOOKUP(A1771,Metrik!$C$2:$Y$959,9,0)</f>
        <v>4.9</v>
      </c>
      <c r="J1771" s="20">
        <f>VLOOKUP(A1771,Metrik!$C$2:$Y$959,10,0)</f>
        <v>-16.3</v>
      </c>
      <c r="K1771" s="20">
        <f>VLOOKUP(A1771,Metrik!$C$2:$Y$959,11,0)</f>
        <v>-11.7</v>
      </c>
      <c r="L1771" s="20">
        <f>VLOOKUP(A1771,Metrik!$C$2:$Y$959,12,0)</f>
        <v>0.4</v>
      </c>
      <c r="M1771" s="20">
        <f>VLOOKUP(A1771,Metrik!$C$2:$Y$959,19,0)</f>
        <v>-63.7</v>
      </c>
      <c r="N1771" s="21"/>
      <c r="O1771" s="21"/>
      <c r="P1771" s="21"/>
      <c r="Q1771" s="21"/>
      <c r="R1771" s="21"/>
      <c r="S1771" s="21"/>
      <c r="T1771" s="21"/>
      <c r="U1771" s="22">
        <f>IFERROR(__xludf.DUMMYFUNCTION("IFERROR(GOOGLEFINANCE(A1771,""closeyest""),"""")"),322.0)</f>
        <v>322</v>
      </c>
      <c r="V1771" s="23">
        <f>IFERROR(__xludf.DUMMYFUNCTION("IFERROR(GOOGLEFINANCE(A1771,""changepct""),"""")"),12.42)</f>
        <v>12.42</v>
      </c>
      <c r="W1771" s="22">
        <f>IFERROR(__xludf.DUMMYFUNCTION("IFERROR(GOOGLEFINANCE(A1771,""priceopen""),"""")"),340.0)</f>
        <v>340</v>
      </c>
      <c r="X1771" s="22">
        <f>IFERROR(__xludf.DUMMYFUNCTION("IFERROR(GOOGLEFINANCE(A1771,""high""),"""")"),380.0)</f>
        <v>380</v>
      </c>
      <c r="Y1771" s="22">
        <f>IFERROR(__xludf.DUMMYFUNCTION("IFERROR(GOOGLEFINANCE(A1771,""low""),"""")"),316.0)</f>
        <v>316</v>
      </c>
      <c r="Z1771" s="22">
        <f>IFERROR(__xludf.DUMMYFUNCTION("IFERROR(GOOGLEFINANCE(A1771,""volume""),"""")"),390200.0)</f>
        <v>390200</v>
      </c>
      <c r="AA1771" s="24" t="str">
        <f>VLOOKUP(A1771,Metrik!$C$2:$Y$959,5,0)</f>
        <v>Logistics &amp; Deliveries</v>
      </c>
      <c r="AB1771" s="24" t="str">
        <f>VLOOKUP(A1771,Metrik!$C$2:$Y$959,3,0)</f>
        <v>Transportation &amp; Logistic</v>
      </c>
    </row>
    <row r="1772">
      <c r="A1772" s="14" t="s">
        <v>964</v>
      </c>
      <c r="B1772" s="14" t="str">
        <f t="array" ref="B1772">VLOOKUP(A1772,{Metrik!$C$2:$C$998,Metrik!$B$2:$B$998},2,0)</f>
        <v>Trust Finance Indonesia Tbk</v>
      </c>
      <c r="C1772" s="15">
        <f>IFERROR(__xludf.DUMMYFUNCTION("GOOGLEFINANCE(""IDX:""&amp;A1772,""price"")"),266.0)</f>
        <v>266</v>
      </c>
      <c r="D1772" s="16" t="str">
        <f>IFERROR(__xludf.DUMMYFUNCTION("IF(A1772="""","""",
SPARKLINE(
INDEX(
GOOGLEFINANCE(""IDX:""&amp;A1772,""close"",TODAY()-365,TODAY()),
,2
),
{""linewidth"",1}
))
"),"#N/A")</f>
        <v>#N/A</v>
      </c>
      <c r="E1772" s="26"/>
      <c r="F1772" s="26"/>
      <c r="G1772" s="24">
        <f t="shared" si="11"/>
        <v>0</v>
      </c>
      <c r="H1772" s="19">
        <f>VLOOKUP(A1772,Metrik!$C$2:$Y$959,8,0)</f>
        <v>13.8</v>
      </c>
      <c r="I1772" s="20">
        <f>VLOOKUP(A1772,Metrik!$C$2:$Y$959,9,0)</f>
        <v>0.54</v>
      </c>
      <c r="J1772" s="20">
        <f>VLOOKUP(A1772,Metrik!$C$2:$Y$959,10,0)</f>
        <v>3.9</v>
      </c>
      <c r="K1772" s="20">
        <f>VLOOKUP(A1772,Metrik!$C$2:$Y$959,11,0)</f>
        <v>3.8</v>
      </c>
      <c r="L1772" s="20">
        <f>VLOOKUP(A1772,Metrik!$C$2:$Y$959,12,0)</f>
        <v>0.04</v>
      </c>
      <c r="M1772" s="20">
        <f>VLOOKUP(A1772,Metrik!$C$2:$Y$959,19,0)</f>
        <v>230</v>
      </c>
      <c r="N1772" s="21"/>
      <c r="O1772" s="21"/>
      <c r="P1772" s="21"/>
      <c r="Q1772" s="21"/>
      <c r="R1772" s="21"/>
      <c r="S1772" s="21"/>
      <c r="T1772" s="21"/>
      <c r="U1772" s="22">
        <f>IFERROR(__xludf.DUMMYFUNCTION("IFERROR(GOOGLEFINANCE(A1772,""closeyest""),"""")"),264.0)</f>
        <v>264</v>
      </c>
      <c r="V1772" s="23">
        <f>IFERROR(__xludf.DUMMYFUNCTION("IFERROR(GOOGLEFINANCE(A1772,""changepct""),"""")"),0.76)</f>
        <v>0.76</v>
      </c>
      <c r="W1772" s="22">
        <f>IFERROR(__xludf.DUMMYFUNCTION("IFERROR(GOOGLEFINANCE(A1772,""priceopen""),"""")"),264.0)</f>
        <v>264</v>
      </c>
      <c r="X1772" s="22">
        <f>IFERROR(__xludf.DUMMYFUNCTION("IFERROR(GOOGLEFINANCE(A1772,""high""),"""")"),276.0)</f>
        <v>276</v>
      </c>
      <c r="Y1772" s="22">
        <f>IFERROR(__xludf.DUMMYFUNCTION("IFERROR(GOOGLEFINANCE(A1772,""low""),"""")"),264.0)</f>
        <v>264</v>
      </c>
      <c r="Z1772" s="22">
        <f>IFERROR(__xludf.DUMMYFUNCTION("IFERROR(GOOGLEFINANCE(A1772,""volume""),"""")"),28000.0)</f>
        <v>28000</v>
      </c>
      <c r="AA1772" s="24" t="str">
        <f>VLOOKUP(A1772,Metrik!$C$2:$Y$959,5,0)</f>
        <v>Consumer Financing</v>
      </c>
      <c r="AB1772" s="24" t="str">
        <f>VLOOKUP(A1772,Metrik!$C$2:$Y$959,3,0)</f>
        <v>Financials</v>
      </c>
    </row>
    <row r="1773">
      <c r="A1773" s="14" t="s">
        <v>965</v>
      </c>
      <c r="B1773" s="14" t="str">
        <f t="array" ref="B1773">VLOOKUP(A1773,{Metrik!$C$2:$C$998,Metrik!$B$2:$B$998},2,0)</f>
        <v>Tempo Scan Pacific Tbk.</v>
      </c>
      <c r="C1773" s="15">
        <f>IFERROR(__xludf.DUMMYFUNCTION("GOOGLEFINANCE(""IDX:""&amp;A1773,""price"")"),2440.0)</f>
        <v>2440</v>
      </c>
      <c r="D1773" s="16" t="str">
        <f>IFERROR(__xludf.DUMMYFUNCTION("IF(A1773="""","""",
SPARKLINE(
INDEX(
GOOGLEFINANCE(""IDX:""&amp;A1773,""close"",TODAY()-365,TODAY()),
,2
),
{""linewidth"",1}
))
"),"#N/A")</f>
        <v>#N/A</v>
      </c>
      <c r="E1773" s="26"/>
      <c r="F1773" s="26"/>
      <c r="G1773" s="18">
        <f t="shared" si="11"/>
        <v>0</v>
      </c>
      <c r="H1773" s="19">
        <f>VLOOKUP(A1773,Metrik!$C$2:$Y$959,8,0)</f>
        <v>7.9</v>
      </c>
      <c r="I1773" s="20">
        <f>VLOOKUP(A1773,Metrik!$C$2:$Y$959,9,0)</f>
        <v>1.1</v>
      </c>
      <c r="J1773" s="20">
        <f>VLOOKUP(A1773,Metrik!$C$2:$Y$959,10,0)</f>
        <v>13.5</v>
      </c>
      <c r="K1773" s="20">
        <f>VLOOKUP(A1773,Metrik!$C$2:$Y$959,11,0)</f>
        <v>10.1</v>
      </c>
      <c r="L1773" s="20">
        <f>VLOOKUP(A1773,Metrik!$C$2:$Y$959,12,0)</f>
        <v>0.33</v>
      </c>
      <c r="M1773" s="20">
        <f>VLOOKUP(A1773,Metrik!$C$2:$Y$959,19,0)</f>
        <v>39.5</v>
      </c>
      <c r="N1773" s="21"/>
      <c r="O1773" s="21"/>
      <c r="P1773" s="21"/>
      <c r="Q1773" s="21"/>
      <c r="R1773" s="21"/>
      <c r="S1773" s="21"/>
      <c r="T1773" s="21"/>
      <c r="U1773" s="22">
        <f>IFERROR(__xludf.DUMMYFUNCTION("IFERROR(GOOGLEFINANCE(A1773,""closeyest""),"""")"),2400.0)</f>
        <v>2400</v>
      </c>
      <c r="V1773" s="23" t="str">
        <f>IFERROR(__xludf.DUMMYFUNCTION("IFERROR(GOOGLEFINANCE(A1773,""changepct""),"""")"),"")</f>
        <v/>
      </c>
      <c r="W1773" s="22">
        <f>IFERROR(__xludf.DUMMYFUNCTION("IFERROR(GOOGLEFINANCE(A1773,""priceopen""),"""")"),2410.0)</f>
        <v>2410</v>
      </c>
      <c r="X1773" s="22">
        <f>IFERROR(__xludf.DUMMYFUNCTION("IFERROR(GOOGLEFINANCE(A1773,""high""),"""")"),2460.0)</f>
        <v>2460</v>
      </c>
      <c r="Y1773" s="22">
        <f>IFERROR(__xludf.DUMMYFUNCTION("IFERROR(GOOGLEFINANCE(A1773,""low""),"""")"),2400.0)</f>
        <v>2400</v>
      </c>
      <c r="Z1773" s="22">
        <f>IFERROR(__xludf.DUMMYFUNCTION("IFERROR(GOOGLEFINANCE(A1773,""volume""),"""")"),1201100.0)</f>
        <v>1201100</v>
      </c>
      <c r="AA1773" s="24" t="str">
        <f>VLOOKUP(A1773,Metrik!$C$2:$Y$959,5,0)</f>
        <v>Pharmaceuticals</v>
      </c>
      <c r="AB1773" s="24" t="str">
        <f>VLOOKUP(A1773,Metrik!$C$2:$Y$959,3,0)</f>
        <v>Healthcare</v>
      </c>
    </row>
    <row r="1774">
      <c r="A1774" s="14" t="s">
        <v>966</v>
      </c>
      <c r="B1774" s="14" t="str">
        <f t="array" ref="B1774">VLOOKUP(A1774,{Metrik!$C$2:$C$998,Metrik!$B$2:$B$998},2,0)</f>
        <v>Asuransi Tugu Pratama Indonesia Tbk.</v>
      </c>
      <c r="C1774" s="15">
        <f>IFERROR(__xludf.DUMMYFUNCTION("GOOGLEFINANCE(""IDX:""&amp;A1774,""price"")"),1090.0)</f>
        <v>1090</v>
      </c>
      <c r="D1774" s="16" t="str">
        <f>IFERROR(__xludf.DUMMYFUNCTION("IF(A1774="""","""",
SPARKLINE(
INDEX(
GOOGLEFINANCE(""IDX:""&amp;A1774,""close"",TODAY()-365,TODAY()),
,2
),
{""linewidth"",1}
))
"),"#N/A")</f>
        <v>#N/A</v>
      </c>
      <c r="E1774" s="26"/>
      <c r="F1774" s="26"/>
      <c r="G1774" s="24">
        <f t="shared" si="11"/>
        <v>0</v>
      </c>
      <c r="H1774" s="19">
        <f>VLOOKUP(A1774,Metrik!$C$2:$Y$959,8,0)</f>
        <v>5.5</v>
      </c>
      <c r="I1774" s="20">
        <f>VLOOKUP(A1774,Metrik!$C$2:$Y$959,9,0)</f>
        <v>0.39</v>
      </c>
      <c r="J1774" s="20">
        <f>VLOOKUP(A1774,Metrik!$C$2:$Y$959,10,0)</f>
        <v>7.2</v>
      </c>
      <c r="K1774" s="20">
        <f>VLOOKUP(A1774,Metrik!$C$2:$Y$959,11,0)</f>
        <v>2.5</v>
      </c>
      <c r="L1774" s="20">
        <f>VLOOKUP(A1774,Metrik!$C$2:$Y$959,12,0)</f>
        <v>1.9</v>
      </c>
      <c r="M1774" s="20">
        <f>VLOOKUP(A1774,Metrik!$C$2:$Y$959,19,0)</f>
        <v>25.9</v>
      </c>
      <c r="N1774" s="21"/>
      <c r="O1774" s="21"/>
      <c r="P1774" s="21"/>
      <c r="Q1774" s="21"/>
      <c r="R1774" s="21"/>
      <c r="S1774" s="21"/>
      <c r="T1774" s="21"/>
      <c r="U1774" s="22">
        <f>IFERROR(__xludf.DUMMYFUNCTION("IFERROR(GOOGLEFINANCE(A1774,""closeyest""),"""")"),1095.0)</f>
        <v>1095</v>
      </c>
      <c r="V1774" s="23">
        <f>IFERROR(__xludf.DUMMYFUNCTION("IFERROR(GOOGLEFINANCE(A1774,""changepct""),"""")"),-0.46)</f>
        <v>-0.46</v>
      </c>
      <c r="W1774" s="22">
        <f>IFERROR(__xludf.DUMMYFUNCTION("IFERROR(GOOGLEFINANCE(A1774,""priceopen""),"""")"),1090.0)</f>
        <v>1090</v>
      </c>
      <c r="X1774" s="22">
        <f>IFERROR(__xludf.DUMMYFUNCTION("IFERROR(GOOGLEFINANCE(A1774,""high""),"""")"),1105.0)</f>
        <v>1105</v>
      </c>
      <c r="Y1774" s="22">
        <f>IFERROR(__xludf.DUMMYFUNCTION("IFERROR(GOOGLEFINANCE(A1774,""low""),"""")"),1075.0)</f>
        <v>1075</v>
      </c>
      <c r="Z1774" s="22">
        <f>IFERROR(__xludf.DUMMYFUNCTION("IFERROR(GOOGLEFINANCE(A1774,""volume""),"""")"),2245200.0)</f>
        <v>2245200</v>
      </c>
      <c r="AA1774" s="24" t="str">
        <f>VLOOKUP(A1774,Metrik!$C$2:$Y$959,5,0)</f>
        <v>Insurance</v>
      </c>
      <c r="AB1774" s="24" t="str">
        <f>VLOOKUP(A1774,Metrik!$C$2:$Y$959,3,0)</f>
        <v>Financials</v>
      </c>
    </row>
    <row r="1775">
      <c r="A1775" s="14" t="s">
        <v>967</v>
      </c>
      <c r="B1775" s="14" t="str">
        <f t="array" ref="B1775">VLOOKUP(A1775,{Metrik!$C$2:$C$998,Metrik!$B$2:$B$998},2,0)</f>
        <v>PT King Tire Indonesia Tbk.</v>
      </c>
      <c r="C1775" s="15">
        <f>IFERROR(__xludf.DUMMYFUNCTION("GOOGLEFINANCE(""IDX:""&amp;A1775,""price"")"),103.0)</f>
        <v>103</v>
      </c>
      <c r="D1775" s="16" t="str">
        <f>IFERROR(__xludf.DUMMYFUNCTION("IF(A1775="""","""",
SPARKLINE(
INDEX(
GOOGLEFINANCE(""IDX:""&amp;A1775,""close"",TODAY()-365,TODAY()),
,2
),
{""linewidth"",1}
))
"),"#N/A")</f>
        <v>#N/A</v>
      </c>
      <c r="E1775" s="26"/>
      <c r="F1775" s="26"/>
      <c r="G1775" s="24">
        <f t="shared" si="11"/>
        <v>0</v>
      </c>
      <c r="H1775" s="19">
        <f>VLOOKUP(A1775,Metrik!$C$2:$Y$959,8,0)</f>
        <v>18.7</v>
      </c>
      <c r="I1775" s="20">
        <f>VLOOKUP(A1775,Metrik!$C$2:$Y$959,9,0)</f>
        <v>1.1</v>
      </c>
      <c r="J1775" s="20">
        <f>VLOOKUP(A1775,Metrik!$C$2:$Y$959,10,0)</f>
        <v>5.8</v>
      </c>
      <c r="K1775" s="20">
        <f>VLOOKUP(A1775,Metrik!$C$2:$Y$959,11,0)</f>
        <v>3.3</v>
      </c>
      <c r="L1775" s="20">
        <f>VLOOKUP(A1775,Metrik!$C$2:$Y$959,12,0)</f>
        <v>0.77</v>
      </c>
      <c r="M1775" s="20">
        <f>VLOOKUP(A1775,Metrik!$C$2:$Y$959,19,0)</f>
        <v>15.4</v>
      </c>
      <c r="N1775" s="21"/>
      <c r="O1775" s="21"/>
      <c r="P1775" s="21"/>
      <c r="Q1775" s="21"/>
      <c r="R1775" s="21"/>
      <c r="S1775" s="21"/>
      <c r="T1775" s="21"/>
      <c r="U1775" s="22">
        <f>IFERROR(__xludf.DUMMYFUNCTION("IFERROR(GOOGLEFINANCE(A1775,""closeyest""),"""")"),104.0)</f>
        <v>104</v>
      </c>
      <c r="V1775" s="23">
        <f>IFERROR(__xludf.DUMMYFUNCTION("IFERROR(GOOGLEFINANCE(A1775,""changepct""),"""")"),-0.96)</f>
        <v>-0.96</v>
      </c>
      <c r="W1775" s="22">
        <f>IFERROR(__xludf.DUMMYFUNCTION("IFERROR(GOOGLEFINANCE(A1775,""priceopen""),"""")"),102.0)</f>
        <v>102</v>
      </c>
      <c r="X1775" s="22">
        <f>IFERROR(__xludf.DUMMYFUNCTION("IFERROR(GOOGLEFINANCE(A1775,""high""),"""")"),104.0)</f>
        <v>104</v>
      </c>
      <c r="Y1775" s="22">
        <f>IFERROR(__xludf.DUMMYFUNCTION("IFERROR(GOOGLEFINANCE(A1775,""low""),"""")"),100.0)</f>
        <v>100</v>
      </c>
      <c r="Z1775" s="22">
        <f>IFERROR(__xludf.DUMMYFUNCTION("IFERROR(GOOGLEFINANCE(A1775,""volume""),"""")"),130800.0)</f>
        <v>130800</v>
      </c>
      <c r="AA1775" s="24" t="str">
        <f>VLOOKUP(A1775,Metrik!$C$2:$Y$959,5,0)</f>
        <v>Auto Components</v>
      </c>
      <c r="AB1775" s="24" t="str">
        <f>VLOOKUP(A1775,Metrik!$C$2:$Y$959,3,0)</f>
        <v>Consumer Cyclicals</v>
      </c>
    </row>
    <row r="1776">
      <c r="A1776" s="14" t="s">
        <v>968</v>
      </c>
      <c r="B1776" s="14" t="str">
        <f t="array" ref="B1776">VLOOKUP(A1776,{Metrik!$C$2:$C$998,Metrik!$B$2:$B$998},2,0)</f>
        <v>Pakuan Tbk.</v>
      </c>
      <c r="C1776" s="15">
        <f>IFERROR(__xludf.DUMMYFUNCTION("GOOGLEFINANCE(""IDX:""&amp;A1776,""price"")"),2210.0)</f>
        <v>2210</v>
      </c>
      <c r="D1776" s="16" t="str">
        <f>IFERROR(__xludf.DUMMYFUNCTION("IF(A1776="""","""",
SPARKLINE(
INDEX(
GOOGLEFINANCE(""IDX:""&amp;A1776,""close"",TODAY()-365,TODAY()),
,2
),
{""linewidth"",1}
))
"),"#N/A")</f>
        <v>#N/A</v>
      </c>
      <c r="E1776" s="26"/>
      <c r="F1776" s="26"/>
      <c r="G1776" s="24">
        <f t="shared" si="11"/>
        <v>0</v>
      </c>
      <c r="H1776" s="19">
        <f>VLOOKUP(A1776,Metrik!$C$2:$Y$959,8,0)</f>
        <v>38.6</v>
      </c>
      <c r="I1776" s="20">
        <f>VLOOKUP(A1776,Metrik!$C$2:$Y$959,9,0)</f>
        <v>5.3</v>
      </c>
      <c r="J1776" s="20">
        <f>VLOOKUP(A1776,Metrik!$C$2:$Y$959,10,0)</f>
        <v>13.8</v>
      </c>
      <c r="K1776" s="20">
        <f>VLOOKUP(A1776,Metrik!$C$2:$Y$959,11,0)</f>
        <v>4.6</v>
      </c>
      <c r="L1776" s="20">
        <f>VLOOKUP(A1776,Metrik!$C$2:$Y$959,12,0)</f>
        <v>2</v>
      </c>
      <c r="M1776" s="20">
        <f>VLOOKUP(A1776,Metrik!$C$2:$Y$959,19,0)</f>
        <v>24.2</v>
      </c>
      <c r="N1776" s="21"/>
      <c r="O1776" s="21"/>
      <c r="P1776" s="21"/>
      <c r="Q1776" s="21"/>
      <c r="R1776" s="21"/>
      <c r="S1776" s="21"/>
      <c r="T1776" s="21"/>
      <c r="U1776" s="22">
        <f>IFERROR(__xludf.DUMMYFUNCTION("IFERROR(GOOGLEFINANCE(A1776,""closeyest""),"""")"),2150.0)</f>
        <v>2150</v>
      </c>
      <c r="V1776" s="23">
        <f>IFERROR(__xludf.DUMMYFUNCTION("IFERROR(GOOGLEFINANCE(A1776,""changepct""),"""")"),2.79)</f>
        <v>2.79</v>
      </c>
      <c r="W1776" s="22">
        <f>IFERROR(__xludf.DUMMYFUNCTION("IFERROR(GOOGLEFINANCE(A1776,""priceopen""),"""")"),2070.0)</f>
        <v>2070</v>
      </c>
      <c r="X1776" s="22">
        <f>IFERROR(__xludf.DUMMYFUNCTION("IFERROR(GOOGLEFINANCE(A1776,""high""),"""")"),2310.0)</f>
        <v>2310</v>
      </c>
      <c r="Y1776" s="22">
        <f>IFERROR(__xludf.DUMMYFUNCTION("IFERROR(GOOGLEFINANCE(A1776,""low""),"""")"),2070.0)</f>
        <v>2070</v>
      </c>
      <c r="Z1776" s="22">
        <f>IFERROR(__xludf.DUMMYFUNCTION("IFERROR(GOOGLEFINANCE(A1776,""volume""),"""")"),134400.0)</f>
        <v>134400</v>
      </c>
      <c r="AA1776" s="24" t="str">
        <f>VLOOKUP(A1776,Metrik!$C$2:$Y$959,5,0)</f>
        <v>Real Estate Management &amp; Development</v>
      </c>
      <c r="AB1776" s="24" t="str">
        <f>VLOOKUP(A1776,Metrik!$C$2:$Y$959,3,0)</f>
        <v>Properties &amp; Real Estate</v>
      </c>
    </row>
    <row r="1777">
      <c r="A1777" s="14" t="s">
        <v>969</v>
      </c>
      <c r="B1777" s="14" t="str">
        <f t="array" ref="B1777">VLOOKUP(A1777,{Metrik!$C$2:$C$998,Metrik!$B$2:$B$998},2,0)</f>
        <v>Uni-Charm Indonesia Tbk.</v>
      </c>
      <c r="C1777" s="15">
        <f>IFERROR(__xludf.DUMMYFUNCTION("GOOGLEFINANCE(""IDX:""&amp;A1777,""price"")"),384.0)</f>
        <v>384</v>
      </c>
      <c r="D1777" s="16" t="str">
        <f>IFERROR(__xludf.DUMMYFUNCTION("IF(A1777="""","""",
SPARKLINE(
INDEX(
GOOGLEFINANCE(""IDX:""&amp;A1777,""close"",TODAY()-365,TODAY()),
,2
),
{""linewidth"",1}
))
"),"#N/A")</f>
        <v>#N/A</v>
      </c>
      <c r="E1777" s="26"/>
      <c r="F1777" s="26"/>
      <c r="G1777" s="24">
        <f t="shared" si="11"/>
        <v>0</v>
      </c>
      <c r="H1777" s="19">
        <f>VLOOKUP(A1777,Metrik!$C$2:$Y$959,8,0)</f>
        <v>-1.4</v>
      </c>
      <c r="I1777" s="20">
        <f>VLOOKUP(A1777,Metrik!$C$2:$Y$959,9,0)</f>
        <v>0.35</v>
      </c>
      <c r="J1777" s="20">
        <f>VLOOKUP(A1777,Metrik!$C$2:$Y$959,10,0)</f>
        <v>-24.9</v>
      </c>
      <c r="K1777" s="20">
        <f>VLOOKUP(A1777,Metrik!$C$2:$Y$959,11,0)</f>
        <v>-16.5</v>
      </c>
      <c r="L1777" s="20">
        <f>VLOOKUP(A1777,Metrik!$C$2:$Y$959,12,0)</f>
        <v>0.51</v>
      </c>
      <c r="M1777" s="20">
        <f>VLOOKUP(A1777,Metrik!$C$2:$Y$959,19,0)</f>
        <v>-57.4</v>
      </c>
      <c r="N1777" s="21"/>
      <c r="O1777" s="21"/>
      <c r="P1777" s="21"/>
      <c r="Q1777" s="21"/>
      <c r="R1777" s="21"/>
      <c r="S1777" s="21"/>
      <c r="T1777" s="21"/>
      <c r="U1777" s="22">
        <f>IFERROR(__xludf.DUMMYFUNCTION("IFERROR(GOOGLEFINANCE(A1777,""closeyest""),"""")"),372.0)</f>
        <v>372</v>
      </c>
      <c r="V1777" s="23">
        <f>IFERROR(__xludf.DUMMYFUNCTION("IFERROR(GOOGLEFINANCE(A1777,""changepct""),"""")"),3.23)</f>
        <v>3.23</v>
      </c>
      <c r="W1777" s="22">
        <f>IFERROR(__xludf.DUMMYFUNCTION("IFERROR(GOOGLEFINANCE(A1777,""priceopen""),"""")"),374.0)</f>
        <v>374</v>
      </c>
      <c r="X1777" s="22">
        <f>IFERROR(__xludf.DUMMYFUNCTION("IFERROR(GOOGLEFINANCE(A1777,""high""),"""")"),388.0)</f>
        <v>388</v>
      </c>
      <c r="Y1777" s="22">
        <f>IFERROR(__xludf.DUMMYFUNCTION("IFERROR(GOOGLEFINANCE(A1777,""low""),"""")"),368.0)</f>
        <v>368</v>
      </c>
      <c r="Z1777" s="22">
        <f>IFERROR(__xludf.DUMMYFUNCTION("IFERROR(GOOGLEFINANCE(A1777,""volume""),"""")"),1366500.0)</f>
        <v>1366500</v>
      </c>
      <c r="AA1777" s="24" t="str">
        <f>VLOOKUP(A1777,Metrik!$C$2:$Y$959,5,0)</f>
        <v>Personal Care Products</v>
      </c>
      <c r="AB1777" s="24" t="str">
        <f>VLOOKUP(A1777,Metrik!$C$2:$Y$959,3,0)</f>
        <v>Consumer Non-Cyclicals</v>
      </c>
    </row>
    <row r="1778">
      <c r="A1778" s="14" t="s">
        <v>970</v>
      </c>
      <c r="B1778" s="14" t="str">
        <f t="array" ref="B1778">VLOOKUP(A1778,{Metrik!$C$2:$C$998,Metrik!$B$2:$B$998},2,0)</f>
        <v>Agro Bahari Nusantara Tbk.</v>
      </c>
      <c r="C1778" s="15">
        <f>IFERROR(__xludf.DUMMYFUNCTION("GOOGLEFINANCE(""IDX:""&amp;A1778,""price"")"),1400.0)</f>
        <v>1400</v>
      </c>
      <c r="D1778" s="16" t="str">
        <f>IFERROR(__xludf.DUMMYFUNCTION("IF(A1778="""","""",
SPARKLINE(
INDEX(
GOOGLEFINANCE(""IDX:""&amp;A1778,""close"",TODAY()-365,TODAY()),
,2
),
{""linewidth"",1}
))
"),"#N/A")</f>
        <v>#N/A</v>
      </c>
      <c r="E1778" s="26"/>
      <c r="F1778" s="26"/>
      <c r="G1778" s="24">
        <f t="shared" si="11"/>
        <v>0</v>
      </c>
      <c r="H1778" s="19">
        <f>VLOOKUP(A1778,Metrik!$C$2:$Y$959,8,0)</f>
        <v>-670</v>
      </c>
      <c r="I1778" s="20">
        <f>VLOOKUP(A1778,Metrik!$C$2:$Y$959,9,0)</f>
        <v>44.3</v>
      </c>
      <c r="J1778" s="20">
        <f>VLOOKUP(A1778,Metrik!$C$2:$Y$959,10,0)</f>
        <v>-6.6</v>
      </c>
      <c r="K1778" s="20">
        <f>VLOOKUP(A1778,Metrik!$C$2:$Y$959,11,0)</f>
        <v>-6.1</v>
      </c>
      <c r="L1778" s="20">
        <f>VLOOKUP(A1778,Metrik!$C$2:$Y$959,12,0)</f>
        <v>0.08</v>
      </c>
      <c r="M1778" s="20">
        <f>VLOOKUP(A1778,Metrik!$C$2:$Y$959,19,0)</f>
        <v>-15.9</v>
      </c>
      <c r="N1778" s="21"/>
      <c r="O1778" s="21"/>
      <c r="P1778" s="21"/>
      <c r="Q1778" s="21"/>
      <c r="R1778" s="21"/>
      <c r="S1778" s="21"/>
      <c r="T1778" s="21"/>
      <c r="U1778" s="22" t="str">
        <f>IFERROR(__xludf.DUMMYFUNCTION("IFERROR(GOOGLEFINANCE(A1778,""closeyest""),"""")"),"")</f>
        <v/>
      </c>
      <c r="V1778" s="23">
        <f>IFERROR(__xludf.DUMMYFUNCTION("IFERROR(GOOGLEFINANCE(A1778,""changepct""),"""")"),6.46)</f>
        <v>6.46</v>
      </c>
      <c r="W1778" s="22">
        <f>IFERROR(__xludf.DUMMYFUNCTION("IFERROR(GOOGLEFINANCE(A1778,""priceopen""),"""")"),1315.0)</f>
        <v>1315</v>
      </c>
      <c r="X1778" s="22">
        <f>IFERROR(__xludf.DUMMYFUNCTION("IFERROR(GOOGLEFINANCE(A1778,""high""),"""")"),1435.0)</f>
        <v>1435</v>
      </c>
      <c r="Y1778" s="22">
        <f>IFERROR(__xludf.DUMMYFUNCTION("IFERROR(GOOGLEFINANCE(A1778,""low""),"""")"),1315.0)</f>
        <v>1315</v>
      </c>
      <c r="Z1778" s="22">
        <f>IFERROR(__xludf.DUMMYFUNCTION("IFERROR(GOOGLEFINANCE(A1778,""volume""),"""")"),1364000.0)</f>
        <v>1364000</v>
      </c>
      <c r="AA1778" s="24" t="str">
        <f>VLOOKUP(A1778,Metrik!$C$2:$Y$959,5,0)</f>
        <v>Agricultural Products</v>
      </c>
      <c r="AB1778" s="24" t="str">
        <f>VLOOKUP(A1778,Metrik!$C$2:$Y$959,3,0)</f>
        <v>Consumer Non-Cyclicals</v>
      </c>
    </row>
    <row r="1779">
      <c r="A1779" s="14" t="s">
        <v>971</v>
      </c>
      <c r="B1779" s="14" t="str">
        <f t="array" ref="B1779">VLOOKUP(A1779,{Metrik!$C$2:$C$998,Metrik!$B$2:$B$998},2,0)</f>
        <v>Damai Sejahtera Abadi Tbk.</v>
      </c>
      <c r="C1779" s="15">
        <f>IFERROR(__xludf.DUMMYFUNCTION("GOOGLEFINANCE(""IDX:""&amp;A1779,""price"")"),135.0)</f>
        <v>135</v>
      </c>
      <c r="D1779" s="16" t="str">
        <f>IFERROR(__xludf.DUMMYFUNCTION("IF(A1779="""","""",
SPARKLINE(
INDEX(
GOOGLEFINANCE(""IDX:""&amp;A1779,""close"",TODAY()-365,TODAY()),
,2
),
{""linewidth"",1}
))
"),"#N/A")</f>
        <v>#N/A</v>
      </c>
      <c r="E1779" s="26"/>
      <c r="F1779" s="26"/>
      <c r="G1779" s="24">
        <f t="shared" si="11"/>
        <v>0</v>
      </c>
      <c r="H1779" s="19">
        <f>VLOOKUP(A1779,Metrik!$C$2:$Y$959,8,0)</f>
        <v>21</v>
      </c>
      <c r="I1779" s="20">
        <f>VLOOKUP(A1779,Metrik!$C$2:$Y$959,9,0)</f>
        <v>1.7</v>
      </c>
      <c r="J1779" s="20">
        <f>VLOOKUP(A1779,Metrik!$C$2:$Y$959,10,0)</f>
        <v>8</v>
      </c>
      <c r="K1779" s="20">
        <f>VLOOKUP(A1779,Metrik!$C$2:$Y$959,11,0)</f>
        <v>3.5</v>
      </c>
      <c r="L1779" s="20">
        <f>VLOOKUP(A1779,Metrik!$C$2:$Y$959,12,0)</f>
        <v>1.3</v>
      </c>
      <c r="M1779" s="20">
        <f>VLOOKUP(A1779,Metrik!$C$2:$Y$959,19,0)</f>
        <v>6.2</v>
      </c>
      <c r="N1779" s="21"/>
      <c r="O1779" s="21"/>
      <c r="P1779" s="21"/>
      <c r="Q1779" s="21"/>
      <c r="R1779" s="21"/>
      <c r="S1779" s="21"/>
      <c r="T1779" s="21"/>
      <c r="U1779" s="22">
        <f>IFERROR(__xludf.DUMMYFUNCTION("IFERROR(GOOGLEFINANCE(A1779,""closeyest""),"""")"),133.0)</f>
        <v>133</v>
      </c>
      <c r="V1779" s="23">
        <f>IFERROR(__xludf.DUMMYFUNCTION("IFERROR(GOOGLEFINANCE(A1779,""changepct""),"""")"),1.5)</f>
        <v>1.5</v>
      </c>
      <c r="W1779" s="22">
        <f>IFERROR(__xludf.DUMMYFUNCTION("IFERROR(GOOGLEFINANCE(A1779,""priceopen""),"""")"),129.0)</f>
        <v>129</v>
      </c>
      <c r="X1779" s="22">
        <f>IFERROR(__xludf.DUMMYFUNCTION("IFERROR(GOOGLEFINANCE(A1779,""high""),"""")"),138.0)</f>
        <v>138</v>
      </c>
      <c r="Y1779" s="22" t="str">
        <f>IFERROR(__xludf.DUMMYFUNCTION("IFERROR(GOOGLEFINANCE(A1779,""low""),"""")"),"")</f>
        <v/>
      </c>
      <c r="Z1779" s="22">
        <f>IFERROR(__xludf.DUMMYFUNCTION("IFERROR(GOOGLEFINANCE(A1779,""volume""),"""")"),191800.0)</f>
        <v>191800</v>
      </c>
      <c r="AA1779" s="24" t="str">
        <f>VLOOKUP(A1779,Metrik!$C$2:$Y$959,5,0)</f>
        <v>Specialty Retail</v>
      </c>
      <c r="AB1779" s="24" t="str">
        <f>VLOOKUP(A1779,Metrik!$C$2:$Y$959,3,0)</f>
        <v>Consumer Cyclicals</v>
      </c>
    </row>
    <row r="1780">
      <c r="A1780" s="14" t="s">
        <v>972</v>
      </c>
      <c r="B1780" s="14" t="str">
        <f t="array" ref="B1780">VLOOKUP(A1780,{Metrik!$C$2:$C$998,Metrik!$B$2:$B$998},2,0)</f>
        <v>Ultrajaya Milk Industry &amp; Trading Company Tbk.</v>
      </c>
      <c r="C1780" s="15">
        <f>IFERROR(__xludf.DUMMYFUNCTION("GOOGLEFINANCE(""IDX:""&amp;A1780,""price"")"),1325.0)</f>
        <v>1325</v>
      </c>
      <c r="D1780" s="16" t="str">
        <f>IFERROR(__xludf.DUMMYFUNCTION("IF(A1780="""","""",
SPARKLINE(
INDEX(
GOOGLEFINANCE(""IDX:""&amp;A1780,""close"",TODAY()-365,TODAY()),
,2
),
{""linewidth"",1}
))
"),"#N/A")</f>
        <v>#N/A</v>
      </c>
      <c r="E1780" s="14" t="s">
        <v>47</v>
      </c>
      <c r="F1780" s="25">
        <v>46356.0</v>
      </c>
      <c r="G1780" s="18">
        <f t="shared" si="11"/>
        <v>3</v>
      </c>
      <c r="H1780" s="19">
        <f>VLOOKUP(A1780,Metrik!$C$2:$Y$959,8,0)</f>
        <v>10.7</v>
      </c>
      <c r="I1780" s="20">
        <f>VLOOKUP(A1780,Metrik!$C$2:$Y$959,9,0)</f>
        <v>1.8</v>
      </c>
      <c r="J1780" s="20">
        <f>VLOOKUP(A1780,Metrik!$C$2:$Y$959,10,0)</f>
        <v>16.8</v>
      </c>
      <c r="K1780" s="20">
        <f>VLOOKUP(A1780,Metrik!$C$2:$Y$959,11,0)</f>
        <v>14.8</v>
      </c>
      <c r="L1780" s="20">
        <f>VLOOKUP(A1780,Metrik!$C$2:$Y$959,12,0)</f>
        <v>0.13</v>
      </c>
      <c r="M1780" s="20">
        <f>VLOOKUP(A1780,Metrik!$C$2:$Y$959,19,0)</f>
        <v>53.3</v>
      </c>
      <c r="N1780" s="21"/>
      <c r="O1780" s="21"/>
      <c r="P1780" s="21"/>
      <c r="Q1780" s="21"/>
      <c r="R1780" s="21"/>
      <c r="S1780" s="21"/>
      <c r="T1780" s="21"/>
      <c r="U1780" s="22">
        <f>IFERROR(__xludf.DUMMYFUNCTION("IFERROR(GOOGLEFINANCE(A1780,""closeyest""),"""")"),1320.0)</f>
        <v>1320</v>
      </c>
      <c r="V1780" s="23">
        <f>IFERROR(__xludf.DUMMYFUNCTION("IFERROR(GOOGLEFINANCE(A1780,""changepct""),"""")"),0.38)</f>
        <v>0.38</v>
      </c>
      <c r="W1780" s="22">
        <f>IFERROR(__xludf.DUMMYFUNCTION("IFERROR(GOOGLEFINANCE(A1780,""priceopen""),"""")"),1320.0)</f>
        <v>1320</v>
      </c>
      <c r="X1780" s="22">
        <f>IFERROR(__xludf.DUMMYFUNCTION("IFERROR(GOOGLEFINANCE(A1780,""high""),"""")"),1345.0)</f>
        <v>1345</v>
      </c>
      <c r="Y1780" s="22">
        <f>IFERROR(__xludf.DUMMYFUNCTION("IFERROR(GOOGLEFINANCE(A1780,""low""),"""")"),1315.0)</f>
        <v>1315</v>
      </c>
      <c r="Z1780" s="22">
        <f>IFERROR(__xludf.DUMMYFUNCTION("IFERROR(GOOGLEFINANCE(A1780,""volume""),"""")"),2093400.0)</f>
        <v>2093400</v>
      </c>
      <c r="AA1780" s="24" t="str">
        <f>VLOOKUP(A1780,Metrik!$C$2:$Y$959,5,0)</f>
        <v>Processed Foods</v>
      </c>
      <c r="AB1780" s="24" t="str">
        <f>VLOOKUP(A1780,Metrik!$C$2:$Y$959,3,0)</f>
        <v>Consumer Non-Cyclicals</v>
      </c>
    </row>
    <row r="1781">
      <c r="A1781" s="17" t="s">
        <v>972</v>
      </c>
      <c r="B1781" s="14" t="str">
        <f t="array" ref="B1781">VLOOKUP(A1781,{Metrik!$C$2:$C$998,Metrik!$B$2:$B$998},2,0)</f>
        <v>Ultrajaya Milk Industry &amp; Trading Company Tbk.</v>
      </c>
      <c r="C1781" s="15">
        <f>IFERROR(__xludf.DUMMYFUNCTION("GOOGLEFINANCE(""IDX:""&amp;A1781,""price"")"),1325.0)</f>
        <v>1325</v>
      </c>
      <c r="D1781" s="16" t="str">
        <f>IFERROR(__xludf.DUMMYFUNCTION("IF(A1781="""","""",
SPARKLINE(
INDEX(
GOOGLEFINANCE(""IDX:""&amp;A1781,""close"",TODAY()-365,TODAY()),
,2
),
{""linewidth"",1}
))
"),"#N/A")</f>
        <v>#N/A</v>
      </c>
      <c r="E1781" s="17" t="s">
        <v>175</v>
      </c>
      <c r="F1781" s="14" t="s">
        <v>34</v>
      </c>
      <c r="G1781" s="18">
        <f t="shared" si="11"/>
        <v>3</v>
      </c>
      <c r="H1781" s="19">
        <f>VLOOKUP(A1781,Metrik!$C$2:$Y$959,8,0)</f>
        <v>10.7</v>
      </c>
      <c r="I1781" s="20">
        <f>VLOOKUP(A1781,Metrik!$C$2:$Y$959,9,0)</f>
        <v>1.8</v>
      </c>
      <c r="J1781" s="20">
        <f>VLOOKUP(A1781,Metrik!$C$2:$Y$959,10,0)</f>
        <v>16.8</v>
      </c>
      <c r="K1781" s="20">
        <f>VLOOKUP(A1781,Metrik!$C$2:$Y$959,11,0)</f>
        <v>14.8</v>
      </c>
      <c r="L1781" s="20">
        <f>VLOOKUP(A1781,Metrik!$C$2:$Y$959,12,0)</f>
        <v>0.13</v>
      </c>
      <c r="M1781" s="20">
        <f>VLOOKUP(A1781,Metrik!$C$2:$Y$959,19,0)</f>
        <v>53.3</v>
      </c>
      <c r="N1781" s="21"/>
      <c r="O1781" s="21"/>
      <c r="P1781" s="21"/>
      <c r="Q1781" s="21"/>
      <c r="R1781" s="21"/>
      <c r="S1781" s="21"/>
      <c r="T1781" s="21"/>
      <c r="U1781" s="22">
        <f>IFERROR(__xludf.DUMMYFUNCTION("IFERROR(GOOGLEFINANCE(A1781,""closeyest""),"""")"),1320.0)</f>
        <v>1320</v>
      </c>
      <c r="V1781" s="23">
        <f>IFERROR(__xludf.DUMMYFUNCTION("IFERROR(GOOGLEFINANCE(A1781,""changepct""),"""")"),0.38)</f>
        <v>0.38</v>
      </c>
      <c r="W1781" s="22">
        <f>IFERROR(__xludf.DUMMYFUNCTION("IFERROR(GOOGLEFINANCE(A1781,""priceopen""),"""")"),1320.0)</f>
        <v>1320</v>
      </c>
      <c r="X1781" s="22">
        <f>IFERROR(__xludf.DUMMYFUNCTION("IFERROR(GOOGLEFINANCE(A1781,""high""),"""")"),1345.0)</f>
        <v>1345</v>
      </c>
      <c r="Y1781" s="22">
        <f>IFERROR(__xludf.DUMMYFUNCTION("IFERROR(GOOGLEFINANCE(A1781,""low""),"""")"),1315.0)</f>
        <v>1315</v>
      </c>
      <c r="Z1781" s="22">
        <f>IFERROR(__xludf.DUMMYFUNCTION("IFERROR(GOOGLEFINANCE(A1781,""volume""),"""")"),2093400.0)</f>
        <v>2093400</v>
      </c>
      <c r="AA1781" s="24" t="str">
        <f>VLOOKUP(A1781,Metrik!$C$2:$Y$959,5,0)</f>
        <v>Processed Foods</v>
      </c>
      <c r="AB1781" s="24" t="str">
        <f>VLOOKUP(A1781,Metrik!$C$2:$Y$959,3,0)</f>
        <v>Consumer Non-Cyclicals</v>
      </c>
    </row>
    <row r="1782">
      <c r="A1782" s="14" t="s">
        <v>972</v>
      </c>
      <c r="B1782" s="14" t="str">
        <f t="array" ref="B1782">VLOOKUP(A1782,{Metrik!$C$2:$C$998,Metrik!$B$2:$B$998},2,0)</f>
        <v>Ultrajaya Milk Industry &amp; Trading Company Tbk.</v>
      </c>
      <c r="C1782" s="15">
        <f>IFERROR(__xludf.DUMMYFUNCTION("GOOGLEFINANCE(""IDX:""&amp;A1782,""price"")"),1325.0)</f>
        <v>1325</v>
      </c>
      <c r="D1782" s="16" t="str">
        <f>IFERROR(__xludf.DUMMYFUNCTION("IF(A1782="""","""",
SPARKLINE(
INDEX(
GOOGLEFINANCE(""IDX:""&amp;A1782,""close"",TODAY()-365,TODAY()),
,2
),
{""linewidth"",1}
))
"),"#N/A")</f>
        <v>#N/A</v>
      </c>
      <c r="E1782" s="14" t="s">
        <v>84</v>
      </c>
      <c r="F1782" s="17" t="s">
        <v>51</v>
      </c>
      <c r="G1782" s="18">
        <f t="shared" si="11"/>
        <v>3</v>
      </c>
      <c r="H1782" s="19">
        <f>VLOOKUP(A1782,Metrik!$C$2:$Y$959,8,0)</f>
        <v>10.7</v>
      </c>
      <c r="I1782" s="20">
        <f>VLOOKUP(A1782,Metrik!$C$2:$Y$959,9,0)</f>
        <v>1.8</v>
      </c>
      <c r="J1782" s="20">
        <f>VLOOKUP(A1782,Metrik!$C$2:$Y$959,10,0)</f>
        <v>16.8</v>
      </c>
      <c r="K1782" s="20">
        <f>VLOOKUP(A1782,Metrik!$C$2:$Y$959,11,0)</f>
        <v>14.8</v>
      </c>
      <c r="L1782" s="20">
        <f>VLOOKUP(A1782,Metrik!$C$2:$Y$959,12,0)</f>
        <v>0.13</v>
      </c>
      <c r="M1782" s="20">
        <f>VLOOKUP(A1782,Metrik!$C$2:$Y$959,19,0)</f>
        <v>53.3</v>
      </c>
      <c r="N1782" s="21"/>
      <c r="O1782" s="21"/>
      <c r="P1782" s="21"/>
      <c r="Q1782" s="21"/>
      <c r="R1782" s="21"/>
      <c r="S1782" s="21"/>
      <c r="T1782" s="21"/>
      <c r="U1782" s="22">
        <f>IFERROR(__xludf.DUMMYFUNCTION("IFERROR(GOOGLEFINANCE(A1782,""closeyest""),"""")"),1320.0)</f>
        <v>1320</v>
      </c>
      <c r="V1782" s="23">
        <f>IFERROR(__xludf.DUMMYFUNCTION("IFERROR(GOOGLEFINANCE(A1782,""changepct""),"""")"),0.38)</f>
        <v>0.38</v>
      </c>
      <c r="W1782" s="22">
        <f>IFERROR(__xludf.DUMMYFUNCTION("IFERROR(GOOGLEFINANCE(A1782,""priceopen""),"""")"),1320.0)</f>
        <v>1320</v>
      </c>
      <c r="X1782" s="22">
        <f>IFERROR(__xludf.DUMMYFUNCTION("IFERROR(GOOGLEFINANCE(A1782,""high""),"""")"),1345.0)</f>
        <v>1345</v>
      </c>
      <c r="Y1782" s="22">
        <f>IFERROR(__xludf.DUMMYFUNCTION("IFERROR(GOOGLEFINANCE(A1782,""low""),"""")"),1315.0)</f>
        <v>1315</v>
      </c>
      <c r="Z1782" s="22">
        <f>IFERROR(__xludf.DUMMYFUNCTION("IFERROR(GOOGLEFINANCE(A1782,""volume""),"""")"),2093400.0)</f>
        <v>2093400</v>
      </c>
      <c r="AA1782" s="24" t="str">
        <f>VLOOKUP(A1782,Metrik!$C$2:$Y$959,5,0)</f>
        <v>Processed Foods</v>
      </c>
      <c r="AB1782" s="24" t="str">
        <f>VLOOKUP(A1782,Metrik!$C$2:$Y$959,3,0)</f>
        <v>Consumer Non-Cyclicals</v>
      </c>
    </row>
    <row r="1783">
      <c r="A1783" s="14" t="s">
        <v>973</v>
      </c>
      <c r="B1783" s="14" t="str">
        <f t="array" ref="B1783">VLOOKUP(A1783,{Metrik!$C$2:$C$998,Metrik!$B$2:$B$998},2,0)</f>
        <v>Unggul Indah Cahaya Tbk.</v>
      </c>
      <c r="C1783" s="15">
        <f>IFERROR(__xludf.DUMMYFUNCTION("GOOGLEFINANCE(""IDX:""&amp;A1783,""price"")"),12450.0)</f>
        <v>12450</v>
      </c>
      <c r="D1783" s="16" t="str">
        <f>IFERROR(__xludf.DUMMYFUNCTION("IF(A1783="""","""",
SPARKLINE(
INDEX(
GOOGLEFINANCE(""IDX:""&amp;A1783,""close"",TODAY()-365,TODAY()),
,2
),
{""linewidth"",1}
))
"),"#N/A")</f>
        <v>#N/A</v>
      </c>
      <c r="E1783" s="26"/>
      <c r="F1783" s="26"/>
      <c r="G1783" s="24">
        <f t="shared" si="11"/>
        <v>0</v>
      </c>
      <c r="H1783" s="19">
        <f>VLOOKUP(A1783,Metrik!$C$2:$Y$959,8,0)</f>
        <v>7.3</v>
      </c>
      <c r="I1783" s="20">
        <f>VLOOKUP(A1783,Metrik!$C$2:$Y$959,9,0)</f>
        <v>0.91</v>
      </c>
      <c r="J1783" s="20">
        <f>VLOOKUP(A1783,Metrik!$C$2:$Y$959,10,0)</f>
        <v>12.6</v>
      </c>
      <c r="K1783" s="20">
        <f>VLOOKUP(A1783,Metrik!$C$2:$Y$959,11,0)</f>
        <v>10.9</v>
      </c>
      <c r="L1783" s="20">
        <f>VLOOKUP(A1783,Metrik!$C$2:$Y$959,12,0)</f>
        <v>0.15</v>
      </c>
      <c r="M1783" s="20">
        <f>VLOOKUP(A1783,Metrik!$C$2:$Y$959,19,0)</f>
        <v>42.1</v>
      </c>
      <c r="N1783" s="21"/>
      <c r="O1783" s="21"/>
      <c r="P1783" s="21"/>
      <c r="Q1783" s="21"/>
      <c r="R1783" s="21"/>
      <c r="S1783" s="21"/>
      <c r="T1783" s="21"/>
      <c r="U1783" s="22">
        <f>IFERROR(__xludf.DUMMYFUNCTION("IFERROR(GOOGLEFINANCE(A1783,""closeyest""),"""")"),21.26)</f>
        <v>21.26</v>
      </c>
      <c r="V1783" s="23">
        <f>IFERROR(__xludf.DUMMYFUNCTION("IFERROR(GOOGLEFINANCE(A1783,""changepct""),"""")"),2.05)</f>
        <v>2.05</v>
      </c>
      <c r="W1783" s="22">
        <f>IFERROR(__xludf.DUMMYFUNCTION("IFERROR(GOOGLEFINANCE(A1783,""priceopen""),"""")"),21.69)</f>
        <v>21.69</v>
      </c>
      <c r="X1783" s="22">
        <f>IFERROR(__xludf.DUMMYFUNCTION("IFERROR(GOOGLEFINANCE(A1783,""high""),"""")"),21.69)</f>
        <v>21.69</v>
      </c>
      <c r="Y1783" s="22">
        <f>IFERROR(__xludf.DUMMYFUNCTION("IFERROR(GOOGLEFINANCE(A1783,""low""),"""")"),21.69)</f>
        <v>21.69</v>
      </c>
      <c r="Z1783" s="22">
        <f>IFERROR(__xludf.DUMMYFUNCTION("IFERROR(GOOGLEFINANCE(A1783,""volume""),"""")"),77.0)</f>
        <v>77</v>
      </c>
      <c r="AA1783" s="24" t="str">
        <f>VLOOKUP(A1783,Metrik!$C$2:$Y$959,5,0)</f>
        <v>Chemicals</v>
      </c>
      <c r="AB1783" s="24" t="str">
        <f>VLOOKUP(A1783,Metrik!$C$2:$Y$959,3,0)</f>
        <v>Basic Materials</v>
      </c>
    </row>
    <row r="1784">
      <c r="A1784" s="14" t="s">
        <v>974</v>
      </c>
      <c r="B1784" s="14" t="str">
        <f t="array" ref="B1784">VLOOKUP(A1784,{Metrik!$C$2:$C$998,Metrik!$B$2:$B$998},2,0)</f>
        <v>Ulima Nitra Tbk.</v>
      </c>
      <c r="C1784" s="15">
        <f>IFERROR(__xludf.DUMMYFUNCTION("GOOGLEFINANCE(""IDX:""&amp;A1784,""price"")"),100.0)</f>
        <v>100</v>
      </c>
      <c r="D1784" s="16" t="str">
        <f>IFERROR(__xludf.DUMMYFUNCTION("IF(A1784="""","""",
SPARKLINE(
INDEX(
GOOGLEFINANCE(""IDX:""&amp;A1784,""close"",TODAY()-365,TODAY()),
,2
),
{""linewidth"",1}
))
"),"#N/A")</f>
        <v>#N/A</v>
      </c>
      <c r="E1784" s="26"/>
      <c r="F1784" s="26"/>
      <c r="G1784" s="24">
        <f t="shared" si="11"/>
        <v>0</v>
      </c>
      <c r="H1784" s="19">
        <f>VLOOKUP(A1784,Metrik!$C$2:$Y$959,8,0)</f>
        <v>45.6</v>
      </c>
      <c r="I1784" s="20">
        <f>VLOOKUP(A1784,Metrik!$C$2:$Y$959,9,0)</f>
        <v>0.73</v>
      </c>
      <c r="J1784" s="20">
        <f>VLOOKUP(A1784,Metrik!$C$2:$Y$959,10,0)</f>
        <v>1.6</v>
      </c>
      <c r="K1784" s="20">
        <f>VLOOKUP(A1784,Metrik!$C$2:$Y$959,11,0)</f>
        <v>1</v>
      </c>
      <c r="L1784" s="20">
        <f>VLOOKUP(A1784,Metrik!$C$2:$Y$959,12,0)</f>
        <v>0.6</v>
      </c>
      <c r="M1784" s="20">
        <f>VLOOKUP(A1784,Metrik!$C$2:$Y$959,19,0)</f>
        <v>12.7</v>
      </c>
      <c r="N1784" s="21"/>
      <c r="O1784" s="21"/>
      <c r="P1784" s="21"/>
      <c r="Q1784" s="21"/>
      <c r="R1784" s="21"/>
      <c r="S1784" s="21"/>
      <c r="T1784" s="21"/>
      <c r="U1784" s="22" t="str">
        <f>IFERROR(__xludf.DUMMYFUNCTION("IFERROR(GOOGLEFINANCE(A1784,""closeyest""),"""")"),"")</f>
        <v/>
      </c>
      <c r="V1784" s="23" t="str">
        <f>IFERROR(__xludf.DUMMYFUNCTION("IFERROR(GOOGLEFINANCE(A1784,""changepct""),"""")"),"")</f>
        <v/>
      </c>
      <c r="W1784" s="22" t="str">
        <f>IFERROR(__xludf.DUMMYFUNCTION("IFERROR(GOOGLEFINANCE(A1784,""priceopen""),"""")"),"")</f>
        <v/>
      </c>
      <c r="X1784" s="22" t="str">
        <f>IFERROR(__xludf.DUMMYFUNCTION("IFERROR(GOOGLEFINANCE(A1784,""high""),"""")"),"")</f>
        <v/>
      </c>
      <c r="Y1784" s="22" t="str">
        <f>IFERROR(__xludf.DUMMYFUNCTION("IFERROR(GOOGLEFINANCE(A1784,""low""),"""")"),"")</f>
        <v/>
      </c>
      <c r="Z1784" s="22" t="str">
        <f>IFERROR(__xludf.DUMMYFUNCTION("IFERROR(GOOGLEFINANCE(A1784,""volume""),"""")"),"")</f>
        <v/>
      </c>
      <c r="AA1784" s="24" t="str">
        <f>VLOOKUP(A1784,Metrik!$C$2:$Y$959,5,0)</f>
        <v>Oil, Gas &amp; Coal Supports</v>
      </c>
      <c r="AB1784" s="24" t="str">
        <f>VLOOKUP(A1784,Metrik!$C$2:$Y$959,3,0)</f>
        <v>Energy</v>
      </c>
    </row>
    <row r="1785">
      <c r="A1785" s="14" t="s">
        <v>975</v>
      </c>
      <c r="B1785" s="14" t="str">
        <f t="array" ref="B1785">VLOOKUP(A1785,{Metrik!$C$2:$C$998,Metrik!$B$2:$B$998},2,0)</f>
        <v>Nusantara Inti Corpora Tbk</v>
      </c>
      <c r="C1785" s="15">
        <f>IFERROR(__xludf.DUMMYFUNCTION("GOOGLEFINANCE(""IDX:""&amp;A1785,""price"")"),316.0)</f>
        <v>316</v>
      </c>
      <c r="D1785" s="16" t="str">
        <f>IFERROR(__xludf.DUMMYFUNCTION("IF(A1785="""","""",
SPARKLINE(
INDEX(
GOOGLEFINANCE(""IDX:""&amp;A1785,""close"",TODAY()-365,TODAY()),
,2
),
{""linewidth"",1}
))
"),"#N/A")</f>
        <v>#N/A</v>
      </c>
      <c r="E1785" s="26"/>
      <c r="F1785" s="26"/>
      <c r="G1785" s="24">
        <f t="shared" si="11"/>
        <v>0</v>
      </c>
      <c r="H1785" s="19">
        <f>VLOOKUP(A1785,Metrik!$C$2:$Y$959,8,0)</f>
        <v>0</v>
      </c>
      <c r="I1785" s="20">
        <f>VLOOKUP(A1785,Metrik!$C$2:$Y$959,9,0)</f>
        <v>0.1</v>
      </c>
      <c r="J1785" s="20">
        <f>VLOOKUP(A1785,Metrik!$C$2:$Y$959,10,0)</f>
        <v>0.14</v>
      </c>
      <c r="K1785" s="20">
        <f>VLOOKUP(A1785,Metrik!$C$2:$Y$959,11,0)</f>
        <v>0.09</v>
      </c>
      <c r="L1785" s="20">
        <f>VLOOKUP(A1785,Metrik!$C$2:$Y$959,12,0)</f>
        <v>0.47</v>
      </c>
      <c r="M1785" s="20">
        <f>VLOOKUP(A1785,Metrik!$C$2:$Y$959,19,0)</f>
        <v>0.65</v>
      </c>
      <c r="N1785" s="21"/>
      <c r="O1785" s="21"/>
      <c r="P1785" s="21"/>
      <c r="Q1785" s="21"/>
      <c r="R1785" s="21"/>
      <c r="S1785" s="21"/>
      <c r="T1785" s="21"/>
      <c r="U1785" s="22">
        <f>IFERROR(__xludf.DUMMYFUNCTION("IFERROR(GOOGLEFINANCE(A1785,""closeyest""),"""")"),12.52)</f>
        <v>12.52</v>
      </c>
      <c r="V1785" s="23">
        <f>IFERROR(__xludf.DUMMYFUNCTION("IFERROR(GOOGLEFINANCE(A1785,""changepct""),"""")"),1.84)</f>
        <v>1.84</v>
      </c>
      <c r="W1785" s="22">
        <f>IFERROR(__xludf.DUMMYFUNCTION("IFERROR(GOOGLEFINANCE(A1785,""priceopen""),"""")"),12.63)</f>
        <v>12.63</v>
      </c>
      <c r="X1785" s="22">
        <f>IFERROR(__xludf.DUMMYFUNCTION("IFERROR(GOOGLEFINANCE(A1785,""high""),"""")"),12.77)</f>
        <v>12.77</v>
      </c>
      <c r="Y1785" s="22">
        <f>IFERROR(__xludf.DUMMYFUNCTION("IFERROR(GOOGLEFINANCE(A1785,""low""),"""")"),12.35)</f>
        <v>12.35</v>
      </c>
      <c r="Z1785" s="22">
        <f>IFERROR(__xludf.DUMMYFUNCTION("IFERROR(GOOGLEFINANCE(A1785,""volume""),"""")"),2328750.0)</f>
        <v>2328750</v>
      </c>
      <c r="AA1785" s="24" t="str">
        <f>VLOOKUP(A1785,Metrik!$C$2:$Y$959,5,0)</f>
        <v>Apparel &amp; Luxury Goods</v>
      </c>
      <c r="AB1785" s="24" t="str">
        <f>VLOOKUP(A1785,Metrik!$C$2:$Y$959,3,0)</f>
        <v>Consumer Cyclicals</v>
      </c>
    </row>
    <row r="1786">
      <c r="A1786" s="14" t="s">
        <v>976</v>
      </c>
      <c r="B1786" s="14" t="str">
        <f t="array" ref="B1786">VLOOKUP(A1786,{Metrik!$C$2:$C$998,Metrik!$B$2:$B$998},2,0)</f>
        <v>Bakrie Sumatera Plantations Tbk</v>
      </c>
      <c r="C1786" s="15">
        <f>IFERROR(__xludf.DUMMYFUNCTION("GOOGLEFINANCE(""IDX:""&amp;A1786,""price"")"),200.0)</f>
        <v>200</v>
      </c>
      <c r="D1786" s="16" t="str">
        <f>IFERROR(__xludf.DUMMYFUNCTION("IF(A1786="""","""",
SPARKLINE(
INDEX(
GOOGLEFINANCE(""IDX:""&amp;A1786,""close"",TODAY()-365,TODAY()),
,2
),
{""linewidth"",1}
))
"),"#N/A")</f>
        <v>#N/A</v>
      </c>
      <c r="E1786" s="26"/>
      <c r="F1786" s="26"/>
      <c r="G1786" s="24">
        <f t="shared" si="11"/>
        <v>0</v>
      </c>
      <c r="H1786" s="19">
        <f>VLOOKUP(A1786,Metrik!$C$2:$Y$959,8,0)</f>
        <v>3.3</v>
      </c>
      <c r="I1786" s="20">
        <f>VLOOKUP(A1786,Metrik!$C$2:$Y$959,9,0)</f>
        <v>-0.15</v>
      </c>
      <c r="J1786" s="20">
        <f>VLOOKUP(A1786,Metrik!$C$2:$Y$959,10,0)</f>
        <v>0</v>
      </c>
      <c r="K1786" s="20">
        <f>VLOOKUP(A1786,Metrik!$C$2:$Y$959,11,0)</f>
        <v>6.8</v>
      </c>
      <c r="L1786" s="20">
        <f>VLOOKUP(A1786,Metrik!$C$2:$Y$959,12,0)</f>
        <v>-1.7</v>
      </c>
      <c r="M1786" s="20">
        <f>VLOOKUP(A1786,Metrik!$C$2:$Y$959,19,0)</f>
        <v>43.3</v>
      </c>
      <c r="N1786" s="21"/>
      <c r="O1786" s="21"/>
      <c r="P1786" s="21"/>
      <c r="Q1786" s="21"/>
      <c r="R1786" s="21"/>
      <c r="S1786" s="21"/>
      <c r="T1786" s="21"/>
      <c r="U1786" s="22">
        <f>IFERROR(__xludf.DUMMYFUNCTION("IFERROR(GOOGLEFINANCE(A1786,""closeyest""),"""")"),195.0)</f>
        <v>195</v>
      </c>
      <c r="V1786" s="23">
        <f>IFERROR(__xludf.DUMMYFUNCTION("IFERROR(GOOGLEFINANCE(A1786,""changepct""),"""")"),2.56)</f>
        <v>2.56</v>
      </c>
      <c r="W1786" s="22">
        <f>IFERROR(__xludf.DUMMYFUNCTION("IFERROR(GOOGLEFINANCE(A1786,""priceopen""),"""")"),200.0)</f>
        <v>200</v>
      </c>
      <c r="X1786" s="22">
        <f>IFERROR(__xludf.DUMMYFUNCTION("IFERROR(GOOGLEFINANCE(A1786,""high""),"""")"),202.0)</f>
        <v>202</v>
      </c>
      <c r="Y1786" s="22">
        <f>IFERROR(__xludf.DUMMYFUNCTION("IFERROR(GOOGLEFINANCE(A1786,""low""),"""")"),200.0)</f>
        <v>200</v>
      </c>
      <c r="Z1786" s="22">
        <f>IFERROR(__xludf.DUMMYFUNCTION("IFERROR(GOOGLEFINANCE(A1786,""volume""),"""")"),6680300.0)</f>
        <v>6680300</v>
      </c>
      <c r="AA1786" s="24" t="str">
        <f>VLOOKUP(A1786,Metrik!$C$2:$Y$959,5,0)</f>
        <v>Agricultural Products</v>
      </c>
      <c r="AB1786" s="24" t="str">
        <f>VLOOKUP(A1786,Metrik!$C$2:$Y$959,3,0)</f>
        <v>Consumer Non-Cyclicals</v>
      </c>
    </row>
    <row r="1787">
      <c r="A1787" s="14" t="s">
        <v>977</v>
      </c>
      <c r="B1787" s="14" t="str">
        <f t="array" ref="B1787">VLOOKUP(A1787,{Metrik!$C$2:$C$998,Metrik!$B$2:$B$998},2,0)</f>
        <v>Terang Dunia Internusa Tbk.</v>
      </c>
      <c r="C1787" s="15">
        <f>IFERROR(__xludf.DUMMYFUNCTION("GOOGLEFINANCE(""IDX:""&amp;A1787,""price"")"),71.0)</f>
        <v>71</v>
      </c>
      <c r="D1787" s="16" t="str">
        <f>IFERROR(__xludf.DUMMYFUNCTION("IF(A1787="""","""",
SPARKLINE(
INDEX(
GOOGLEFINANCE(""IDX:""&amp;A1787,""close"",TODAY()-365,TODAY()),
,2
),
{""linewidth"",1}
))
"),"#N/A")</f>
        <v>#N/A</v>
      </c>
      <c r="E1787" s="26"/>
      <c r="F1787" s="26"/>
      <c r="G1787" s="24">
        <f t="shared" si="11"/>
        <v>0</v>
      </c>
      <c r="H1787" s="19">
        <f>VLOOKUP(A1787,Metrik!$C$2:$Y$959,8,0)</f>
        <v>-10.9</v>
      </c>
      <c r="I1787" s="20">
        <f>VLOOKUP(A1787,Metrik!$C$2:$Y$959,9,0)</f>
        <v>0.92</v>
      </c>
      <c r="J1787" s="20">
        <f>VLOOKUP(A1787,Metrik!$C$2:$Y$959,10,0)</f>
        <v>-8.5</v>
      </c>
      <c r="K1787" s="20">
        <f>VLOOKUP(A1787,Metrik!$C$2:$Y$959,11,0)</f>
        <v>-3.9</v>
      </c>
      <c r="L1787" s="20">
        <f>VLOOKUP(A1787,Metrik!$C$2:$Y$959,12,0)</f>
        <v>1.2</v>
      </c>
      <c r="M1787" s="20">
        <f>VLOOKUP(A1787,Metrik!$C$2:$Y$959,19,0)</f>
        <v>-45.6</v>
      </c>
      <c r="N1787" s="21"/>
      <c r="O1787" s="21"/>
      <c r="P1787" s="21"/>
      <c r="Q1787" s="21"/>
      <c r="R1787" s="21"/>
      <c r="S1787" s="21"/>
      <c r="T1787" s="21"/>
      <c r="U1787" s="22">
        <f>IFERROR(__xludf.DUMMYFUNCTION("IFERROR(GOOGLEFINANCE(A1787,""closeyest""),"""")"),67.0)</f>
        <v>67</v>
      </c>
      <c r="V1787" s="23">
        <f>IFERROR(__xludf.DUMMYFUNCTION("IFERROR(GOOGLEFINANCE(A1787,""changepct""),"""")"),5.97)</f>
        <v>5.97</v>
      </c>
      <c r="W1787" s="22">
        <f>IFERROR(__xludf.DUMMYFUNCTION("IFERROR(GOOGLEFINANCE(A1787,""priceopen""),"""")"),68.0)</f>
        <v>68</v>
      </c>
      <c r="X1787" s="22">
        <f>IFERROR(__xludf.DUMMYFUNCTION("IFERROR(GOOGLEFINANCE(A1787,""high""),"""")"),77.0)</f>
        <v>77</v>
      </c>
      <c r="Y1787" s="22">
        <f>IFERROR(__xludf.DUMMYFUNCTION("IFERROR(GOOGLEFINANCE(A1787,""low""),"""")"),67.0)</f>
        <v>67</v>
      </c>
      <c r="Z1787" s="22">
        <f>IFERROR(__xludf.DUMMYFUNCTION("IFERROR(GOOGLEFINANCE(A1787,""volume""),"""")"),1.81769E7)</f>
        <v>18176900</v>
      </c>
      <c r="AA1787" s="24" t="str">
        <f>VLOOKUP(A1787,Metrik!$C$2:$Y$959,5,0)</f>
        <v>Sport Equipment &amp; Hobbies Goods</v>
      </c>
      <c r="AB1787" s="24" t="str">
        <f>VLOOKUP(A1787,Metrik!$C$2:$Y$959,3,0)</f>
        <v>Consumer Cyclicals</v>
      </c>
    </row>
    <row r="1788">
      <c r="A1788" s="14" t="s">
        <v>978</v>
      </c>
      <c r="B1788" s="14" t="str">
        <f t="array" ref="B1788">VLOOKUP(A1788,{Metrik!$C$2:$C$998,Metrik!$B$2:$B$998},2,0)</f>
        <v>United Tractors Tbk.</v>
      </c>
      <c r="C1788" s="15">
        <f>IFERROR(__xludf.DUMMYFUNCTION("GOOGLEFINANCE(""IDX:""&amp;A1788,""price"")"),22500.0)</f>
        <v>22500</v>
      </c>
      <c r="D1788" s="16" t="str">
        <f>IFERROR(__xludf.DUMMYFUNCTION("IF(A1788="""","""",
SPARKLINE(
INDEX(
GOOGLEFINANCE(""IDX:""&amp;A1788,""close"",TODAY()-365,TODAY()),
,2
),
{""linewidth"",1}
))
"),"#N/A")</f>
        <v>#N/A</v>
      </c>
      <c r="E1788" s="14" t="s">
        <v>47</v>
      </c>
      <c r="F1788" s="25">
        <v>46356.0</v>
      </c>
      <c r="G1788" s="18">
        <f t="shared" si="11"/>
        <v>20</v>
      </c>
      <c r="H1788" s="19">
        <f>VLOOKUP(A1788,Metrik!$C$2:$Y$959,8,0)</f>
        <v>7</v>
      </c>
      <c r="I1788" s="20">
        <f>VLOOKUP(A1788,Metrik!$C$2:$Y$959,9,0)</f>
        <v>0.84</v>
      </c>
      <c r="J1788" s="20">
        <f>VLOOKUP(A1788,Metrik!$C$2:$Y$959,10,0)</f>
        <v>12.1</v>
      </c>
      <c r="K1788" s="20">
        <f>VLOOKUP(A1788,Metrik!$C$2:$Y$959,11,0)</f>
        <v>6.7</v>
      </c>
      <c r="L1788" s="20">
        <f>VLOOKUP(A1788,Metrik!$C$2:$Y$959,12,0)</f>
        <v>0.8</v>
      </c>
      <c r="M1788" s="20">
        <f>VLOOKUP(A1788,Metrik!$C$2:$Y$959,19,0)</f>
        <v>43</v>
      </c>
      <c r="N1788" s="21"/>
      <c r="O1788" s="21"/>
      <c r="P1788" s="21"/>
      <c r="Q1788" s="21"/>
      <c r="R1788" s="21"/>
      <c r="S1788" s="21"/>
      <c r="T1788" s="21"/>
      <c r="U1788" s="22">
        <f>IFERROR(__xludf.DUMMYFUNCTION("IFERROR(GOOGLEFINANCE(A1788,""closeyest""),"""")"),21750.0)</f>
        <v>21750</v>
      </c>
      <c r="V1788" s="23">
        <f>IFERROR(__xludf.DUMMYFUNCTION("IFERROR(GOOGLEFINANCE(A1788,""changepct""),"""")"),3.45)</f>
        <v>3.45</v>
      </c>
      <c r="W1788" s="22">
        <f>IFERROR(__xludf.DUMMYFUNCTION("IFERROR(GOOGLEFINANCE(A1788,""priceopen""),"""")"),21900.0)</f>
        <v>21900</v>
      </c>
      <c r="X1788" s="22">
        <f>IFERROR(__xludf.DUMMYFUNCTION("IFERROR(GOOGLEFINANCE(A1788,""high""),"""")"),22825.0)</f>
        <v>22825</v>
      </c>
      <c r="Y1788" s="22">
        <f>IFERROR(__xludf.DUMMYFUNCTION("IFERROR(GOOGLEFINANCE(A1788,""low""),"""")"),21900.0)</f>
        <v>21900</v>
      </c>
      <c r="Z1788" s="22">
        <f>IFERROR(__xludf.DUMMYFUNCTION("IFERROR(GOOGLEFINANCE(A1788,""volume""),"""")"),5608900.0)</f>
        <v>5608900</v>
      </c>
      <c r="AA1788" s="24" t="str">
        <f>VLOOKUP(A1788,Metrik!$C$2:$Y$959,5,0)</f>
        <v>Machinery</v>
      </c>
      <c r="AB1788" s="24" t="str">
        <f>VLOOKUP(A1788,Metrik!$C$2:$Y$959,3,0)</f>
        <v>Industrials</v>
      </c>
    </row>
    <row r="1789">
      <c r="A1789" s="14" t="s">
        <v>978</v>
      </c>
      <c r="B1789" s="14" t="str">
        <f t="array" ref="B1789">VLOOKUP(A1789,{Metrik!$C$2:$C$998,Metrik!$B$2:$B$998},2,0)</f>
        <v>United Tractors Tbk.</v>
      </c>
      <c r="C1789" s="15">
        <f>IFERROR(__xludf.DUMMYFUNCTION("GOOGLEFINANCE(""IDX:""&amp;A1789,""price"")"),22500.0)</f>
        <v>22500</v>
      </c>
      <c r="D1789" s="16" t="str">
        <f>IFERROR(__xludf.DUMMYFUNCTION("IF(A1789="""","""",
SPARKLINE(
INDEX(
GOOGLEFINANCE(""IDX:""&amp;A1789,""close"",TODAY()-365,TODAY()),
,2
),
{""linewidth"",1}
))
"),"#N/A")</f>
        <v>#N/A</v>
      </c>
      <c r="E1789" s="14" t="s">
        <v>65</v>
      </c>
      <c r="F1789" s="25">
        <v>46356.0</v>
      </c>
      <c r="G1789" s="18">
        <f t="shared" si="11"/>
        <v>20</v>
      </c>
      <c r="H1789" s="19">
        <f>VLOOKUP(A1789,Metrik!$C$2:$Y$959,8,0)</f>
        <v>7</v>
      </c>
      <c r="I1789" s="20">
        <f>VLOOKUP(A1789,Metrik!$C$2:$Y$959,9,0)</f>
        <v>0.84</v>
      </c>
      <c r="J1789" s="20">
        <f>VLOOKUP(A1789,Metrik!$C$2:$Y$959,10,0)</f>
        <v>12.1</v>
      </c>
      <c r="K1789" s="20">
        <f>VLOOKUP(A1789,Metrik!$C$2:$Y$959,11,0)</f>
        <v>6.7</v>
      </c>
      <c r="L1789" s="20">
        <f>VLOOKUP(A1789,Metrik!$C$2:$Y$959,12,0)</f>
        <v>0.8</v>
      </c>
      <c r="M1789" s="20">
        <f>VLOOKUP(A1789,Metrik!$C$2:$Y$959,19,0)</f>
        <v>43</v>
      </c>
      <c r="N1789" s="21"/>
      <c r="O1789" s="21"/>
      <c r="P1789" s="21"/>
      <c r="Q1789" s="21"/>
      <c r="R1789" s="21"/>
      <c r="S1789" s="21"/>
      <c r="T1789" s="21"/>
      <c r="U1789" s="22">
        <f>IFERROR(__xludf.DUMMYFUNCTION("IFERROR(GOOGLEFINANCE(A1789,""closeyest""),"""")"),21750.0)</f>
        <v>21750</v>
      </c>
      <c r="V1789" s="23">
        <f>IFERROR(__xludf.DUMMYFUNCTION("IFERROR(GOOGLEFINANCE(A1789,""changepct""),"""")"),3.45)</f>
        <v>3.45</v>
      </c>
      <c r="W1789" s="22">
        <f>IFERROR(__xludf.DUMMYFUNCTION("IFERROR(GOOGLEFINANCE(A1789,""priceopen""),"""")"),21900.0)</f>
        <v>21900</v>
      </c>
      <c r="X1789" s="22">
        <f>IFERROR(__xludf.DUMMYFUNCTION("IFERROR(GOOGLEFINANCE(A1789,""high""),"""")"),22825.0)</f>
        <v>22825</v>
      </c>
      <c r="Y1789" s="22">
        <f>IFERROR(__xludf.DUMMYFUNCTION("IFERROR(GOOGLEFINANCE(A1789,""low""),"""")"),21900.0)</f>
        <v>21900</v>
      </c>
      <c r="Z1789" s="22">
        <f>IFERROR(__xludf.DUMMYFUNCTION("IFERROR(GOOGLEFINANCE(A1789,""volume""),"""")"),5608900.0)</f>
        <v>5608900</v>
      </c>
      <c r="AA1789" s="24" t="str">
        <f>VLOOKUP(A1789,Metrik!$C$2:$Y$959,5,0)</f>
        <v>Machinery</v>
      </c>
      <c r="AB1789" s="24" t="str">
        <f>VLOOKUP(A1789,Metrik!$C$2:$Y$959,3,0)</f>
        <v>Industrials</v>
      </c>
    </row>
    <row r="1790">
      <c r="A1790" s="14" t="s">
        <v>978</v>
      </c>
      <c r="B1790" s="14" t="str">
        <f t="array" ref="B1790">VLOOKUP(A1790,{Metrik!$C$2:$C$998,Metrik!$B$2:$B$998},2,0)</f>
        <v>United Tractors Tbk.</v>
      </c>
      <c r="C1790" s="15">
        <f>IFERROR(__xludf.DUMMYFUNCTION("GOOGLEFINANCE(""IDX:""&amp;A1790,""price"")"),22500.0)</f>
        <v>22500</v>
      </c>
      <c r="D1790" s="16" t="str">
        <f>IFERROR(__xludf.DUMMYFUNCTION("IF(A1790="""","""",
SPARKLINE(
INDEX(
GOOGLEFINANCE(""IDX:""&amp;A1790,""close"",TODAY()-365,TODAY()),
,2
),
{""linewidth"",1}
))
"),"#N/A")</f>
        <v>#N/A</v>
      </c>
      <c r="E1790" s="14" t="s">
        <v>42</v>
      </c>
      <c r="F1790" s="25">
        <v>46356.0</v>
      </c>
      <c r="G1790" s="18">
        <f t="shared" si="11"/>
        <v>20</v>
      </c>
      <c r="H1790" s="19">
        <f>VLOOKUP(A1790,Metrik!$C$2:$Y$959,8,0)</f>
        <v>7</v>
      </c>
      <c r="I1790" s="20">
        <f>VLOOKUP(A1790,Metrik!$C$2:$Y$959,9,0)</f>
        <v>0.84</v>
      </c>
      <c r="J1790" s="20">
        <f>VLOOKUP(A1790,Metrik!$C$2:$Y$959,10,0)</f>
        <v>12.1</v>
      </c>
      <c r="K1790" s="20">
        <f>VLOOKUP(A1790,Metrik!$C$2:$Y$959,11,0)</f>
        <v>6.7</v>
      </c>
      <c r="L1790" s="20">
        <f>VLOOKUP(A1790,Metrik!$C$2:$Y$959,12,0)</f>
        <v>0.8</v>
      </c>
      <c r="M1790" s="20">
        <f>VLOOKUP(A1790,Metrik!$C$2:$Y$959,19,0)</f>
        <v>43</v>
      </c>
      <c r="N1790" s="21"/>
      <c r="O1790" s="21"/>
      <c r="P1790" s="21"/>
      <c r="Q1790" s="21"/>
      <c r="R1790" s="21"/>
      <c r="S1790" s="21"/>
      <c r="T1790" s="21"/>
      <c r="U1790" s="22">
        <f>IFERROR(__xludf.DUMMYFUNCTION("IFERROR(GOOGLEFINANCE(A1790,""closeyest""),"""")"),21750.0)</f>
        <v>21750</v>
      </c>
      <c r="V1790" s="23">
        <f>IFERROR(__xludf.DUMMYFUNCTION("IFERROR(GOOGLEFINANCE(A1790,""changepct""),"""")"),3.45)</f>
        <v>3.45</v>
      </c>
      <c r="W1790" s="22">
        <f>IFERROR(__xludf.DUMMYFUNCTION("IFERROR(GOOGLEFINANCE(A1790,""priceopen""),"""")"),21900.0)</f>
        <v>21900</v>
      </c>
      <c r="X1790" s="22">
        <f>IFERROR(__xludf.DUMMYFUNCTION("IFERROR(GOOGLEFINANCE(A1790,""high""),"""")"),22825.0)</f>
        <v>22825</v>
      </c>
      <c r="Y1790" s="22">
        <f>IFERROR(__xludf.DUMMYFUNCTION("IFERROR(GOOGLEFINANCE(A1790,""low""),"""")"),21900.0)</f>
        <v>21900</v>
      </c>
      <c r="Z1790" s="22">
        <f>IFERROR(__xludf.DUMMYFUNCTION("IFERROR(GOOGLEFINANCE(A1790,""volume""),"""")"),5608900.0)</f>
        <v>5608900</v>
      </c>
      <c r="AA1790" s="24" t="str">
        <f>VLOOKUP(A1790,Metrik!$C$2:$Y$959,5,0)</f>
        <v>Machinery</v>
      </c>
      <c r="AB1790" s="24" t="str">
        <f>VLOOKUP(A1790,Metrik!$C$2:$Y$959,3,0)</f>
        <v>Industrials</v>
      </c>
    </row>
    <row r="1791">
      <c r="A1791" s="14" t="s">
        <v>978</v>
      </c>
      <c r="B1791" s="14" t="str">
        <f t="array" ref="B1791">VLOOKUP(A1791,{Metrik!$C$2:$C$998,Metrik!$B$2:$B$998},2,0)</f>
        <v>United Tractors Tbk.</v>
      </c>
      <c r="C1791" s="15">
        <f>IFERROR(__xludf.DUMMYFUNCTION("GOOGLEFINANCE(""IDX:""&amp;A1791,""price"")"),22500.0)</f>
        <v>22500</v>
      </c>
      <c r="D1791" s="16" t="str">
        <f>IFERROR(__xludf.DUMMYFUNCTION("IF(A1791="""","""",
SPARKLINE(
INDEX(
GOOGLEFINANCE(""IDX:""&amp;A1791,""close"",TODAY()-365,TODAY()),
,2
),
{""linewidth"",1}
))
"),"#N/A")</f>
        <v>#N/A</v>
      </c>
      <c r="E1791" s="14" t="s">
        <v>38</v>
      </c>
      <c r="F1791" s="25">
        <v>46356.0</v>
      </c>
      <c r="G1791" s="18">
        <f t="shared" si="11"/>
        <v>20</v>
      </c>
      <c r="H1791" s="19">
        <f>VLOOKUP(A1791,Metrik!$C$2:$Y$959,8,0)</f>
        <v>7</v>
      </c>
      <c r="I1791" s="20">
        <f>VLOOKUP(A1791,Metrik!$C$2:$Y$959,9,0)</f>
        <v>0.84</v>
      </c>
      <c r="J1791" s="20">
        <f>VLOOKUP(A1791,Metrik!$C$2:$Y$959,10,0)</f>
        <v>12.1</v>
      </c>
      <c r="K1791" s="20">
        <f>VLOOKUP(A1791,Metrik!$C$2:$Y$959,11,0)</f>
        <v>6.7</v>
      </c>
      <c r="L1791" s="20">
        <f>VLOOKUP(A1791,Metrik!$C$2:$Y$959,12,0)</f>
        <v>0.8</v>
      </c>
      <c r="M1791" s="20">
        <f>VLOOKUP(A1791,Metrik!$C$2:$Y$959,19,0)</f>
        <v>43</v>
      </c>
      <c r="N1791" s="21"/>
      <c r="O1791" s="21"/>
      <c r="P1791" s="21"/>
      <c r="Q1791" s="21"/>
      <c r="R1791" s="21"/>
      <c r="S1791" s="21"/>
      <c r="T1791" s="21"/>
      <c r="U1791" s="22">
        <f>IFERROR(__xludf.DUMMYFUNCTION("IFERROR(GOOGLEFINANCE(A1791,""closeyest""),"""")"),21750.0)</f>
        <v>21750</v>
      </c>
      <c r="V1791" s="23">
        <f>IFERROR(__xludf.DUMMYFUNCTION("IFERROR(GOOGLEFINANCE(A1791,""changepct""),"""")"),3.45)</f>
        <v>3.45</v>
      </c>
      <c r="W1791" s="22">
        <f>IFERROR(__xludf.DUMMYFUNCTION("IFERROR(GOOGLEFINANCE(A1791,""priceopen""),"""")"),21900.0)</f>
        <v>21900</v>
      </c>
      <c r="X1791" s="22">
        <f>IFERROR(__xludf.DUMMYFUNCTION("IFERROR(GOOGLEFINANCE(A1791,""high""),"""")"),22825.0)</f>
        <v>22825</v>
      </c>
      <c r="Y1791" s="22">
        <f>IFERROR(__xludf.DUMMYFUNCTION("IFERROR(GOOGLEFINANCE(A1791,""low""),"""")"),21900.0)</f>
        <v>21900</v>
      </c>
      <c r="Z1791" s="22">
        <f>IFERROR(__xludf.DUMMYFUNCTION("IFERROR(GOOGLEFINANCE(A1791,""volume""),"""")"),5608900.0)</f>
        <v>5608900</v>
      </c>
      <c r="AA1791" s="24" t="str">
        <f>VLOOKUP(A1791,Metrik!$C$2:$Y$959,5,0)</f>
        <v>Machinery</v>
      </c>
      <c r="AB1791" s="24" t="str">
        <f>VLOOKUP(A1791,Metrik!$C$2:$Y$959,3,0)</f>
        <v>Industrials</v>
      </c>
    </row>
    <row r="1792">
      <c r="A1792" s="14" t="s">
        <v>978</v>
      </c>
      <c r="B1792" s="14" t="str">
        <f t="array" ref="B1792">VLOOKUP(A1792,{Metrik!$C$2:$C$998,Metrik!$B$2:$B$998},2,0)</f>
        <v>United Tractors Tbk.</v>
      </c>
      <c r="C1792" s="15">
        <f>IFERROR(__xludf.DUMMYFUNCTION("GOOGLEFINANCE(""IDX:""&amp;A1792,""price"")"),22500.0)</f>
        <v>22500</v>
      </c>
      <c r="D1792" s="16" t="str">
        <f>IFERROR(__xludf.DUMMYFUNCTION("IF(A1792="""","""",
SPARKLINE(
INDEX(
GOOGLEFINANCE(""IDX:""&amp;A1792,""close"",TODAY()-365,TODAY()),
,2
),
{""linewidth"",1}
))
"),"#N/A")</f>
        <v>#N/A</v>
      </c>
      <c r="E1792" s="14" t="s">
        <v>55</v>
      </c>
      <c r="F1792" s="25">
        <v>46356.0</v>
      </c>
      <c r="G1792" s="18">
        <f t="shared" si="11"/>
        <v>20</v>
      </c>
      <c r="H1792" s="19">
        <f>VLOOKUP(A1792,Metrik!$C$2:$Y$959,8,0)</f>
        <v>7</v>
      </c>
      <c r="I1792" s="20">
        <f>VLOOKUP(A1792,Metrik!$C$2:$Y$959,9,0)</f>
        <v>0.84</v>
      </c>
      <c r="J1792" s="20">
        <f>VLOOKUP(A1792,Metrik!$C$2:$Y$959,10,0)</f>
        <v>12.1</v>
      </c>
      <c r="K1792" s="20">
        <f>VLOOKUP(A1792,Metrik!$C$2:$Y$959,11,0)</f>
        <v>6.7</v>
      </c>
      <c r="L1792" s="20">
        <f>VLOOKUP(A1792,Metrik!$C$2:$Y$959,12,0)</f>
        <v>0.8</v>
      </c>
      <c r="M1792" s="20">
        <f>VLOOKUP(A1792,Metrik!$C$2:$Y$959,19,0)</f>
        <v>43</v>
      </c>
      <c r="N1792" s="21"/>
      <c r="O1792" s="21"/>
      <c r="P1792" s="21"/>
      <c r="Q1792" s="21"/>
      <c r="R1792" s="21"/>
      <c r="S1792" s="21"/>
      <c r="T1792" s="21"/>
      <c r="U1792" s="22">
        <f>IFERROR(__xludf.DUMMYFUNCTION("IFERROR(GOOGLEFINANCE(A1792,""closeyest""),"""")"),21750.0)</f>
        <v>21750</v>
      </c>
      <c r="V1792" s="23">
        <f>IFERROR(__xludf.DUMMYFUNCTION("IFERROR(GOOGLEFINANCE(A1792,""changepct""),"""")"),3.45)</f>
        <v>3.45</v>
      </c>
      <c r="W1792" s="22">
        <f>IFERROR(__xludf.DUMMYFUNCTION("IFERROR(GOOGLEFINANCE(A1792,""priceopen""),"""")"),21900.0)</f>
        <v>21900</v>
      </c>
      <c r="X1792" s="22">
        <f>IFERROR(__xludf.DUMMYFUNCTION("IFERROR(GOOGLEFINANCE(A1792,""high""),"""")"),22825.0)</f>
        <v>22825</v>
      </c>
      <c r="Y1792" s="22">
        <f>IFERROR(__xludf.DUMMYFUNCTION("IFERROR(GOOGLEFINANCE(A1792,""low""),"""")"),21900.0)</f>
        <v>21900</v>
      </c>
      <c r="Z1792" s="22">
        <f>IFERROR(__xludf.DUMMYFUNCTION("IFERROR(GOOGLEFINANCE(A1792,""volume""),"""")"),5608900.0)</f>
        <v>5608900</v>
      </c>
      <c r="AA1792" s="24" t="str">
        <f>VLOOKUP(A1792,Metrik!$C$2:$Y$959,5,0)</f>
        <v>Machinery</v>
      </c>
      <c r="AB1792" s="24" t="str">
        <f>VLOOKUP(A1792,Metrik!$C$2:$Y$959,3,0)</f>
        <v>Industrials</v>
      </c>
    </row>
    <row r="1793">
      <c r="A1793" s="17" t="s">
        <v>978</v>
      </c>
      <c r="B1793" s="14" t="str">
        <f t="array" ref="B1793">VLOOKUP(A1793,{Metrik!$C$2:$C$998,Metrik!$B$2:$B$998},2,0)</f>
        <v>United Tractors Tbk.</v>
      </c>
      <c r="C1793" s="15">
        <f>IFERROR(__xludf.DUMMYFUNCTION("GOOGLEFINANCE(""IDX:""&amp;A1793,""price"")"),22500.0)</f>
        <v>22500</v>
      </c>
      <c r="D1793" s="16" t="str">
        <f>IFERROR(__xludf.DUMMYFUNCTION("IF(A1793="""","""",
SPARKLINE(
INDEX(
GOOGLEFINANCE(""IDX:""&amp;A1793,""close"",TODAY()-365,TODAY()),
,2
),
{""linewidth"",1}
))
"),"#N/A")</f>
        <v>#N/A</v>
      </c>
      <c r="E1793" s="14" t="s">
        <v>128</v>
      </c>
      <c r="F1793" s="17" t="s">
        <v>36</v>
      </c>
      <c r="G1793" s="18">
        <f t="shared" si="11"/>
        <v>20</v>
      </c>
      <c r="H1793" s="19">
        <f>VLOOKUP(A1793,Metrik!$C$2:$Y$959,8,0)</f>
        <v>7</v>
      </c>
      <c r="I1793" s="20">
        <f>VLOOKUP(A1793,Metrik!$C$2:$Y$959,9,0)</f>
        <v>0.84</v>
      </c>
      <c r="J1793" s="20">
        <f>VLOOKUP(A1793,Metrik!$C$2:$Y$959,10,0)</f>
        <v>12.1</v>
      </c>
      <c r="K1793" s="20">
        <f>VLOOKUP(A1793,Metrik!$C$2:$Y$959,11,0)</f>
        <v>6.7</v>
      </c>
      <c r="L1793" s="20">
        <f>VLOOKUP(A1793,Metrik!$C$2:$Y$959,12,0)</f>
        <v>0.8</v>
      </c>
      <c r="M1793" s="20">
        <f>VLOOKUP(A1793,Metrik!$C$2:$Y$959,19,0)</f>
        <v>43</v>
      </c>
      <c r="N1793" s="21"/>
      <c r="O1793" s="21"/>
      <c r="P1793" s="21"/>
      <c r="Q1793" s="21"/>
      <c r="R1793" s="21"/>
      <c r="S1793" s="21"/>
      <c r="T1793" s="21"/>
      <c r="U1793" s="22">
        <f>IFERROR(__xludf.DUMMYFUNCTION("IFERROR(GOOGLEFINANCE(A1793,""closeyest""),"""")"),21750.0)</f>
        <v>21750</v>
      </c>
      <c r="V1793" s="23">
        <f>IFERROR(__xludf.DUMMYFUNCTION("IFERROR(GOOGLEFINANCE(A1793,""changepct""),"""")"),3.45)</f>
        <v>3.45</v>
      </c>
      <c r="W1793" s="22">
        <f>IFERROR(__xludf.DUMMYFUNCTION("IFERROR(GOOGLEFINANCE(A1793,""priceopen""),"""")"),21900.0)</f>
        <v>21900</v>
      </c>
      <c r="X1793" s="22">
        <f>IFERROR(__xludf.DUMMYFUNCTION("IFERROR(GOOGLEFINANCE(A1793,""high""),"""")"),22825.0)</f>
        <v>22825</v>
      </c>
      <c r="Y1793" s="22">
        <f>IFERROR(__xludf.DUMMYFUNCTION("IFERROR(GOOGLEFINANCE(A1793,""low""),"""")"),21900.0)</f>
        <v>21900</v>
      </c>
      <c r="Z1793" s="22">
        <f>IFERROR(__xludf.DUMMYFUNCTION("IFERROR(GOOGLEFINANCE(A1793,""volume""),"""")"),5608900.0)</f>
        <v>5608900</v>
      </c>
      <c r="AA1793" s="24" t="str">
        <f>VLOOKUP(A1793,Metrik!$C$2:$Y$959,5,0)</f>
        <v>Machinery</v>
      </c>
      <c r="AB1793" s="24" t="str">
        <f>VLOOKUP(A1793,Metrik!$C$2:$Y$959,3,0)</f>
        <v>Industrials</v>
      </c>
    </row>
    <row r="1794">
      <c r="A1794" s="14" t="s">
        <v>978</v>
      </c>
      <c r="B1794" s="14" t="str">
        <f t="array" ref="B1794">VLOOKUP(A1794,{Metrik!$C$2:$C$998,Metrik!$B$2:$B$998},2,0)</f>
        <v>United Tractors Tbk.</v>
      </c>
      <c r="C1794" s="15">
        <f>IFERROR(__xludf.DUMMYFUNCTION("GOOGLEFINANCE(""IDX:""&amp;A1794,""price"")"),22500.0)</f>
        <v>22500</v>
      </c>
      <c r="D1794" s="16" t="str">
        <f>IFERROR(__xludf.DUMMYFUNCTION("IF(A1794="""","""",
SPARKLINE(
INDEX(
GOOGLEFINANCE(""IDX:""&amp;A1794,""close"",TODAY()-365,TODAY()),
,2
),
{""linewidth"",1}
))
"),"#N/A")</f>
        <v>#N/A</v>
      </c>
      <c r="E1794" s="14" t="s">
        <v>48</v>
      </c>
      <c r="F1794" s="14" t="s">
        <v>49</v>
      </c>
      <c r="G1794" s="18">
        <f t="shared" si="11"/>
        <v>20</v>
      </c>
      <c r="H1794" s="19">
        <f>VLOOKUP(A1794,Metrik!$C$2:$Y$959,8,0)</f>
        <v>7</v>
      </c>
      <c r="I1794" s="20">
        <f>VLOOKUP(A1794,Metrik!$C$2:$Y$959,9,0)</f>
        <v>0.84</v>
      </c>
      <c r="J1794" s="20">
        <f>VLOOKUP(A1794,Metrik!$C$2:$Y$959,10,0)</f>
        <v>12.1</v>
      </c>
      <c r="K1794" s="20">
        <f>VLOOKUP(A1794,Metrik!$C$2:$Y$959,11,0)</f>
        <v>6.7</v>
      </c>
      <c r="L1794" s="20">
        <f>VLOOKUP(A1794,Metrik!$C$2:$Y$959,12,0)</f>
        <v>0.8</v>
      </c>
      <c r="M1794" s="20">
        <f>VLOOKUP(A1794,Metrik!$C$2:$Y$959,19,0)</f>
        <v>43</v>
      </c>
      <c r="N1794" s="21"/>
      <c r="O1794" s="21"/>
      <c r="P1794" s="21"/>
      <c r="Q1794" s="21"/>
      <c r="R1794" s="21"/>
      <c r="S1794" s="21"/>
      <c r="T1794" s="21"/>
      <c r="U1794" s="22">
        <f>IFERROR(__xludf.DUMMYFUNCTION("IFERROR(GOOGLEFINANCE(A1794,""closeyest""),"""")"),21750.0)</f>
        <v>21750</v>
      </c>
      <c r="V1794" s="23">
        <f>IFERROR(__xludf.DUMMYFUNCTION("IFERROR(GOOGLEFINANCE(A1794,""changepct""),"""")"),3.45)</f>
        <v>3.45</v>
      </c>
      <c r="W1794" s="22">
        <f>IFERROR(__xludf.DUMMYFUNCTION("IFERROR(GOOGLEFINANCE(A1794,""priceopen""),"""")"),21900.0)</f>
        <v>21900</v>
      </c>
      <c r="X1794" s="22">
        <f>IFERROR(__xludf.DUMMYFUNCTION("IFERROR(GOOGLEFINANCE(A1794,""high""),"""")"),22825.0)</f>
        <v>22825</v>
      </c>
      <c r="Y1794" s="22">
        <f>IFERROR(__xludf.DUMMYFUNCTION("IFERROR(GOOGLEFINANCE(A1794,""low""),"""")"),21900.0)</f>
        <v>21900</v>
      </c>
      <c r="Z1794" s="22">
        <f>IFERROR(__xludf.DUMMYFUNCTION("IFERROR(GOOGLEFINANCE(A1794,""volume""),"""")"),5608900.0)</f>
        <v>5608900</v>
      </c>
      <c r="AA1794" s="24" t="str">
        <f>VLOOKUP(A1794,Metrik!$C$2:$Y$959,5,0)</f>
        <v>Machinery</v>
      </c>
      <c r="AB1794" s="24" t="str">
        <f>VLOOKUP(A1794,Metrik!$C$2:$Y$959,3,0)</f>
        <v>Industrials</v>
      </c>
    </row>
    <row r="1795">
      <c r="A1795" s="14" t="s">
        <v>978</v>
      </c>
      <c r="B1795" s="14" t="str">
        <f t="array" ref="B1795">VLOOKUP(A1795,{Metrik!$C$2:$C$998,Metrik!$B$2:$B$998},2,0)</f>
        <v>United Tractors Tbk.</v>
      </c>
      <c r="C1795" s="15">
        <f>IFERROR(__xludf.DUMMYFUNCTION("GOOGLEFINANCE(""IDX:""&amp;A1795,""price"")"),22500.0)</f>
        <v>22500</v>
      </c>
      <c r="D1795" s="16" t="str">
        <f>IFERROR(__xludf.DUMMYFUNCTION("IF(A1795="""","""",
SPARKLINE(
INDEX(
GOOGLEFINANCE(""IDX:""&amp;A1795,""close"",TODAY()-365,TODAY()),
,2
),
{""linewidth"",1}
))
"),"#N/A")</f>
        <v>#N/A</v>
      </c>
      <c r="E1795" s="14" t="s">
        <v>67</v>
      </c>
      <c r="F1795" s="17" t="s">
        <v>51</v>
      </c>
      <c r="G1795" s="18">
        <f t="shared" si="11"/>
        <v>20</v>
      </c>
      <c r="H1795" s="19">
        <f>VLOOKUP(A1795,Metrik!$C$2:$Y$959,8,0)</f>
        <v>7</v>
      </c>
      <c r="I1795" s="20">
        <f>VLOOKUP(A1795,Metrik!$C$2:$Y$959,9,0)</f>
        <v>0.84</v>
      </c>
      <c r="J1795" s="20">
        <f>VLOOKUP(A1795,Metrik!$C$2:$Y$959,10,0)</f>
        <v>12.1</v>
      </c>
      <c r="K1795" s="20">
        <f>VLOOKUP(A1795,Metrik!$C$2:$Y$959,11,0)</f>
        <v>6.7</v>
      </c>
      <c r="L1795" s="20">
        <f>VLOOKUP(A1795,Metrik!$C$2:$Y$959,12,0)</f>
        <v>0.8</v>
      </c>
      <c r="M1795" s="20">
        <f>VLOOKUP(A1795,Metrik!$C$2:$Y$959,19,0)</f>
        <v>43</v>
      </c>
      <c r="N1795" s="21"/>
      <c r="O1795" s="21"/>
      <c r="P1795" s="21"/>
      <c r="Q1795" s="21"/>
      <c r="R1795" s="21"/>
      <c r="S1795" s="21"/>
      <c r="T1795" s="21"/>
      <c r="U1795" s="22">
        <f>IFERROR(__xludf.DUMMYFUNCTION("IFERROR(GOOGLEFINANCE(A1795,""closeyest""),"""")"),21750.0)</f>
        <v>21750</v>
      </c>
      <c r="V1795" s="23">
        <f>IFERROR(__xludf.DUMMYFUNCTION("IFERROR(GOOGLEFINANCE(A1795,""changepct""),"""")"),3.45)</f>
        <v>3.45</v>
      </c>
      <c r="W1795" s="22">
        <f>IFERROR(__xludf.DUMMYFUNCTION("IFERROR(GOOGLEFINANCE(A1795,""priceopen""),"""")"),21900.0)</f>
        <v>21900</v>
      </c>
      <c r="X1795" s="22">
        <f>IFERROR(__xludf.DUMMYFUNCTION("IFERROR(GOOGLEFINANCE(A1795,""high""),"""")"),22825.0)</f>
        <v>22825</v>
      </c>
      <c r="Y1795" s="22">
        <f>IFERROR(__xludf.DUMMYFUNCTION("IFERROR(GOOGLEFINANCE(A1795,""low""),"""")"),21900.0)</f>
        <v>21900</v>
      </c>
      <c r="Z1795" s="22">
        <f>IFERROR(__xludf.DUMMYFUNCTION("IFERROR(GOOGLEFINANCE(A1795,""volume""),"""")"),5608900.0)</f>
        <v>5608900</v>
      </c>
      <c r="AA1795" s="24" t="str">
        <f>VLOOKUP(A1795,Metrik!$C$2:$Y$959,5,0)</f>
        <v>Machinery</v>
      </c>
      <c r="AB1795" s="24" t="str">
        <f>VLOOKUP(A1795,Metrik!$C$2:$Y$959,3,0)</f>
        <v>Industrials</v>
      </c>
    </row>
    <row r="1796">
      <c r="A1796" s="14" t="s">
        <v>978</v>
      </c>
      <c r="B1796" s="14" t="str">
        <f t="array" ref="B1796">VLOOKUP(A1796,{Metrik!$C$2:$C$998,Metrik!$B$2:$B$998},2,0)</f>
        <v>United Tractors Tbk.</v>
      </c>
      <c r="C1796" s="15">
        <f>IFERROR(__xludf.DUMMYFUNCTION("GOOGLEFINANCE(""IDX:""&amp;A1796,""price"")"),22500.0)</f>
        <v>22500</v>
      </c>
      <c r="D1796" s="16" t="str">
        <f>IFERROR(__xludf.DUMMYFUNCTION("IF(A1796="""","""",
SPARKLINE(
INDEX(
GOOGLEFINANCE(""IDX:""&amp;A1796,""close"",TODAY()-365,TODAY()),
,2
),
{""linewidth"",1}
))
"),"#N/A")</f>
        <v>#N/A</v>
      </c>
      <c r="E1796" s="14" t="s">
        <v>31</v>
      </c>
      <c r="F1796" s="17" t="s">
        <v>29</v>
      </c>
      <c r="G1796" s="18">
        <f t="shared" si="11"/>
        <v>20</v>
      </c>
      <c r="H1796" s="19">
        <f>VLOOKUP(A1796,Metrik!$C$2:$Y$959,8,0)</f>
        <v>7</v>
      </c>
      <c r="I1796" s="20">
        <f>VLOOKUP(A1796,Metrik!$C$2:$Y$959,9,0)</f>
        <v>0.84</v>
      </c>
      <c r="J1796" s="20">
        <f>VLOOKUP(A1796,Metrik!$C$2:$Y$959,10,0)</f>
        <v>12.1</v>
      </c>
      <c r="K1796" s="20">
        <f>VLOOKUP(A1796,Metrik!$C$2:$Y$959,11,0)</f>
        <v>6.7</v>
      </c>
      <c r="L1796" s="20">
        <f>VLOOKUP(A1796,Metrik!$C$2:$Y$959,12,0)</f>
        <v>0.8</v>
      </c>
      <c r="M1796" s="20">
        <f>VLOOKUP(A1796,Metrik!$C$2:$Y$959,19,0)</f>
        <v>43</v>
      </c>
      <c r="N1796" s="21"/>
      <c r="O1796" s="21"/>
      <c r="P1796" s="21"/>
      <c r="Q1796" s="21"/>
      <c r="R1796" s="21"/>
      <c r="S1796" s="21"/>
      <c r="T1796" s="21"/>
      <c r="U1796" s="22">
        <f>IFERROR(__xludf.DUMMYFUNCTION("IFERROR(GOOGLEFINANCE(A1796,""closeyest""),"""")"),21750.0)</f>
        <v>21750</v>
      </c>
      <c r="V1796" s="23">
        <f>IFERROR(__xludf.DUMMYFUNCTION("IFERROR(GOOGLEFINANCE(A1796,""changepct""),"""")"),3.45)</f>
        <v>3.45</v>
      </c>
      <c r="W1796" s="22">
        <f>IFERROR(__xludf.DUMMYFUNCTION("IFERROR(GOOGLEFINANCE(A1796,""priceopen""),"""")"),21900.0)</f>
        <v>21900</v>
      </c>
      <c r="X1796" s="22">
        <f>IFERROR(__xludf.DUMMYFUNCTION("IFERROR(GOOGLEFINANCE(A1796,""high""),"""")"),22825.0)</f>
        <v>22825</v>
      </c>
      <c r="Y1796" s="22">
        <f>IFERROR(__xludf.DUMMYFUNCTION("IFERROR(GOOGLEFINANCE(A1796,""low""),"""")"),21900.0)</f>
        <v>21900</v>
      </c>
      <c r="Z1796" s="22">
        <f>IFERROR(__xludf.DUMMYFUNCTION("IFERROR(GOOGLEFINANCE(A1796,""volume""),"""")"),5608900.0)</f>
        <v>5608900</v>
      </c>
      <c r="AA1796" s="24" t="str">
        <f>VLOOKUP(A1796,Metrik!$C$2:$Y$959,5,0)</f>
        <v>Machinery</v>
      </c>
      <c r="AB1796" s="24" t="str">
        <f>VLOOKUP(A1796,Metrik!$C$2:$Y$959,3,0)</f>
        <v>Industrials</v>
      </c>
    </row>
    <row r="1797">
      <c r="A1797" s="14" t="s">
        <v>978</v>
      </c>
      <c r="B1797" s="14" t="str">
        <f t="array" ref="B1797">VLOOKUP(A1797,{Metrik!$C$2:$C$998,Metrik!$B$2:$B$998},2,0)</f>
        <v>United Tractors Tbk.</v>
      </c>
      <c r="C1797" s="15">
        <f>IFERROR(__xludf.DUMMYFUNCTION("GOOGLEFINANCE(""IDX:""&amp;A1797,""price"")"),22500.0)</f>
        <v>22500</v>
      </c>
      <c r="D1797" s="16" t="str">
        <f>IFERROR(__xludf.DUMMYFUNCTION("IF(A1797="""","""",
SPARKLINE(
INDEX(
GOOGLEFINANCE(""IDX:""&amp;A1797,""close"",TODAY()-365,TODAY()),
,2
),
{""linewidth"",1}
))
"),"#N/A")</f>
        <v>#N/A</v>
      </c>
      <c r="E1797" s="14" t="s">
        <v>28</v>
      </c>
      <c r="F1797" s="17" t="s">
        <v>29</v>
      </c>
      <c r="G1797" s="18">
        <f t="shared" si="11"/>
        <v>20</v>
      </c>
      <c r="H1797" s="19">
        <f>VLOOKUP(A1797,Metrik!$C$2:$Y$959,8,0)</f>
        <v>7</v>
      </c>
      <c r="I1797" s="20">
        <f>VLOOKUP(A1797,Metrik!$C$2:$Y$959,9,0)</f>
        <v>0.84</v>
      </c>
      <c r="J1797" s="20">
        <f>VLOOKUP(A1797,Metrik!$C$2:$Y$959,10,0)</f>
        <v>12.1</v>
      </c>
      <c r="K1797" s="20">
        <f>VLOOKUP(A1797,Metrik!$C$2:$Y$959,11,0)</f>
        <v>6.7</v>
      </c>
      <c r="L1797" s="20">
        <f>VLOOKUP(A1797,Metrik!$C$2:$Y$959,12,0)</f>
        <v>0.8</v>
      </c>
      <c r="M1797" s="20">
        <f>VLOOKUP(A1797,Metrik!$C$2:$Y$959,19,0)</f>
        <v>43</v>
      </c>
      <c r="N1797" s="21"/>
      <c r="O1797" s="21"/>
      <c r="P1797" s="21"/>
      <c r="Q1797" s="21"/>
      <c r="R1797" s="21"/>
      <c r="S1797" s="21"/>
      <c r="T1797" s="21"/>
      <c r="U1797" s="22">
        <f>IFERROR(__xludf.DUMMYFUNCTION("IFERROR(GOOGLEFINANCE(A1797,""closeyest""),"""")"),21750.0)</f>
        <v>21750</v>
      </c>
      <c r="V1797" s="23">
        <f>IFERROR(__xludf.DUMMYFUNCTION("IFERROR(GOOGLEFINANCE(A1797,""changepct""),"""")"),3.45)</f>
        <v>3.45</v>
      </c>
      <c r="W1797" s="22">
        <f>IFERROR(__xludf.DUMMYFUNCTION("IFERROR(GOOGLEFINANCE(A1797,""priceopen""),"""")"),21900.0)</f>
        <v>21900</v>
      </c>
      <c r="X1797" s="22">
        <f>IFERROR(__xludf.DUMMYFUNCTION("IFERROR(GOOGLEFINANCE(A1797,""high""),"""")"),22825.0)</f>
        <v>22825</v>
      </c>
      <c r="Y1797" s="22">
        <f>IFERROR(__xludf.DUMMYFUNCTION("IFERROR(GOOGLEFINANCE(A1797,""low""),"""")"),21900.0)</f>
        <v>21900</v>
      </c>
      <c r="Z1797" s="22">
        <f>IFERROR(__xludf.DUMMYFUNCTION("IFERROR(GOOGLEFINANCE(A1797,""volume""),"""")"),5608900.0)</f>
        <v>5608900</v>
      </c>
      <c r="AA1797" s="24" t="str">
        <f>VLOOKUP(A1797,Metrik!$C$2:$Y$959,5,0)</f>
        <v>Machinery</v>
      </c>
      <c r="AB1797" s="24" t="str">
        <f>VLOOKUP(A1797,Metrik!$C$2:$Y$959,3,0)</f>
        <v>Industrials</v>
      </c>
    </row>
    <row r="1798">
      <c r="A1798" s="14" t="s">
        <v>978</v>
      </c>
      <c r="B1798" s="14" t="str">
        <f t="array" ref="B1798">VLOOKUP(A1798,{Metrik!$C$2:$C$998,Metrik!$B$2:$B$998},2,0)</f>
        <v>United Tractors Tbk.</v>
      </c>
      <c r="C1798" s="15">
        <f>IFERROR(__xludf.DUMMYFUNCTION("GOOGLEFINANCE(""IDX:""&amp;A1798,""price"")"),22500.0)</f>
        <v>22500</v>
      </c>
      <c r="D1798" s="16" t="str">
        <f>IFERROR(__xludf.DUMMYFUNCTION("IF(A1798="""","""",
SPARKLINE(
INDEX(
GOOGLEFINANCE(""IDX:""&amp;A1798,""close"",TODAY()-365,TODAY()),
,2
),
{""linewidth"",1}
))
"),"#N/A")</f>
        <v>#N/A</v>
      </c>
      <c r="E1798" s="14" t="s">
        <v>85</v>
      </c>
      <c r="F1798" s="17" t="s">
        <v>51</v>
      </c>
      <c r="G1798" s="18">
        <f t="shared" si="11"/>
        <v>20</v>
      </c>
      <c r="H1798" s="19">
        <f>VLOOKUP(A1798,Metrik!$C$2:$Y$959,8,0)</f>
        <v>7</v>
      </c>
      <c r="I1798" s="20">
        <f>VLOOKUP(A1798,Metrik!$C$2:$Y$959,9,0)</f>
        <v>0.84</v>
      </c>
      <c r="J1798" s="20">
        <f>VLOOKUP(A1798,Metrik!$C$2:$Y$959,10,0)</f>
        <v>12.1</v>
      </c>
      <c r="K1798" s="20">
        <f>VLOOKUP(A1798,Metrik!$C$2:$Y$959,11,0)</f>
        <v>6.7</v>
      </c>
      <c r="L1798" s="20">
        <f>VLOOKUP(A1798,Metrik!$C$2:$Y$959,12,0)</f>
        <v>0.8</v>
      </c>
      <c r="M1798" s="20">
        <f>VLOOKUP(A1798,Metrik!$C$2:$Y$959,19,0)</f>
        <v>43</v>
      </c>
      <c r="N1798" s="21"/>
      <c r="O1798" s="21"/>
      <c r="P1798" s="21"/>
      <c r="Q1798" s="21"/>
      <c r="R1798" s="21"/>
      <c r="S1798" s="21"/>
      <c r="T1798" s="21"/>
      <c r="U1798" s="22">
        <f>IFERROR(__xludf.DUMMYFUNCTION("IFERROR(GOOGLEFINANCE(A1798,""closeyest""),"""")"),21750.0)</f>
        <v>21750</v>
      </c>
      <c r="V1798" s="23">
        <f>IFERROR(__xludf.DUMMYFUNCTION("IFERROR(GOOGLEFINANCE(A1798,""changepct""),"""")"),3.45)</f>
        <v>3.45</v>
      </c>
      <c r="W1798" s="22">
        <f>IFERROR(__xludf.DUMMYFUNCTION("IFERROR(GOOGLEFINANCE(A1798,""priceopen""),"""")"),21900.0)</f>
        <v>21900</v>
      </c>
      <c r="X1798" s="22">
        <f>IFERROR(__xludf.DUMMYFUNCTION("IFERROR(GOOGLEFINANCE(A1798,""high""),"""")"),22825.0)</f>
        <v>22825</v>
      </c>
      <c r="Y1798" s="22">
        <f>IFERROR(__xludf.DUMMYFUNCTION("IFERROR(GOOGLEFINANCE(A1798,""low""),"""")"),21900.0)</f>
        <v>21900</v>
      </c>
      <c r="Z1798" s="22">
        <f>IFERROR(__xludf.DUMMYFUNCTION("IFERROR(GOOGLEFINANCE(A1798,""volume""),"""")"),5608900.0)</f>
        <v>5608900</v>
      </c>
      <c r="AA1798" s="24" t="str">
        <f>VLOOKUP(A1798,Metrik!$C$2:$Y$959,5,0)</f>
        <v>Machinery</v>
      </c>
      <c r="AB1798" s="24" t="str">
        <f>VLOOKUP(A1798,Metrik!$C$2:$Y$959,3,0)</f>
        <v>Industrials</v>
      </c>
    </row>
    <row r="1799">
      <c r="A1799" s="14" t="s">
        <v>978</v>
      </c>
      <c r="B1799" s="14" t="str">
        <f t="array" ref="B1799">VLOOKUP(A1799,{Metrik!$C$2:$C$998,Metrik!$B$2:$B$998},2,0)</f>
        <v>United Tractors Tbk.</v>
      </c>
      <c r="C1799" s="15">
        <f>IFERROR(__xludf.DUMMYFUNCTION("GOOGLEFINANCE(""IDX:""&amp;A1799,""price"")"),22500.0)</f>
        <v>22500</v>
      </c>
      <c r="D1799" s="16" t="str">
        <f>IFERROR(__xludf.DUMMYFUNCTION("IF(A1799="""","""",
SPARKLINE(
INDEX(
GOOGLEFINANCE(""IDX:""&amp;A1799,""close"",TODAY()-365,TODAY()),
,2
),
{""linewidth"",1}
))
"),"#N/A")</f>
        <v>#N/A</v>
      </c>
      <c r="E1799" s="14" t="s">
        <v>30</v>
      </c>
      <c r="F1799" s="17" t="s">
        <v>29</v>
      </c>
      <c r="G1799" s="18">
        <f t="shared" si="11"/>
        <v>20</v>
      </c>
      <c r="H1799" s="19">
        <f>VLOOKUP(A1799,Metrik!$C$2:$Y$959,8,0)</f>
        <v>7</v>
      </c>
      <c r="I1799" s="20">
        <f>VLOOKUP(A1799,Metrik!$C$2:$Y$959,9,0)</f>
        <v>0.84</v>
      </c>
      <c r="J1799" s="20">
        <f>VLOOKUP(A1799,Metrik!$C$2:$Y$959,10,0)</f>
        <v>12.1</v>
      </c>
      <c r="K1799" s="20">
        <f>VLOOKUP(A1799,Metrik!$C$2:$Y$959,11,0)</f>
        <v>6.7</v>
      </c>
      <c r="L1799" s="20">
        <f>VLOOKUP(A1799,Metrik!$C$2:$Y$959,12,0)</f>
        <v>0.8</v>
      </c>
      <c r="M1799" s="20">
        <f>VLOOKUP(A1799,Metrik!$C$2:$Y$959,19,0)</f>
        <v>43</v>
      </c>
      <c r="N1799" s="21"/>
      <c r="O1799" s="21"/>
      <c r="P1799" s="21"/>
      <c r="Q1799" s="21"/>
      <c r="R1799" s="21"/>
      <c r="S1799" s="21"/>
      <c r="T1799" s="21"/>
      <c r="U1799" s="22">
        <f>IFERROR(__xludf.DUMMYFUNCTION("IFERROR(GOOGLEFINANCE(A1799,""closeyest""),"""")"),21750.0)</f>
        <v>21750</v>
      </c>
      <c r="V1799" s="23">
        <f>IFERROR(__xludf.DUMMYFUNCTION("IFERROR(GOOGLEFINANCE(A1799,""changepct""),"""")"),3.45)</f>
        <v>3.45</v>
      </c>
      <c r="W1799" s="22">
        <f>IFERROR(__xludf.DUMMYFUNCTION("IFERROR(GOOGLEFINANCE(A1799,""priceopen""),"""")"),21900.0)</f>
        <v>21900</v>
      </c>
      <c r="X1799" s="22">
        <f>IFERROR(__xludf.DUMMYFUNCTION("IFERROR(GOOGLEFINANCE(A1799,""high""),"""")"),22825.0)</f>
        <v>22825</v>
      </c>
      <c r="Y1799" s="22">
        <f>IFERROR(__xludf.DUMMYFUNCTION("IFERROR(GOOGLEFINANCE(A1799,""low""),"""")"),21900.0)</f>
        <v>21900</v>
      </c>
      <c r="Z1799" s="22">
        <f>IFERROR(__xludf.DUMMYFUNCTION("IFERROR(GOOGLEFINANCE(A1799,""volume""),"""")"),5608900.0)</f>
        <v>5608900</v>
      </c>
      <c r="AA1799" s="24" t="str">
        <f>VLOOKUP(A1799,Metrik!$C$2:$Y$959,5,0)</f>
        <v>Machinery</v>
      </c>
      <c r="AB1799" s="24" t="str">
        <f>VLOOKUP(A1799,Metrik!$C$2:$Y$959,3,0)</f>
        <v>Industrials</v>
      </c>
    </row>
    <row r="1800">
      <c r="A1800" s="14" t="s">
        <v>978</v>
      </c>
      <c r="B1800" s="14" t="str">
        <f t="array" ref="B1800">VLOOKUP(A1800,{Metrik!$C$2:$C$998,Metrik!$B$2:$B$998},2,0)</f>
        <v>United Tractors Tbk.</v>
      </c>
      <c r="C1800" s="15">
        <f>IFERROR(__xludf.DUMMYFUNCTION("GOOGLEFINANCE(""IDX:""&amp;A1800,""price"")"),22500.0)</f>
        <v>22500</v>
      </c>
      <c r="D1800" s="16" t="str">
        <f>IFERROR(__xludf.DUMMYFUNCTION("IF(A1800="""","""",
SPARKLINE(
INDEX(
GOOGLEFINANCE(""IDX:""&amp;A1800,""close"",TODAY()-365,TODAY()),
,2
),
{""linewidth"",1}
))
"),"#N/A")</f>
        <v>#N/A</v>
      </c>
      <c r="E1800" s="14" t="s">
        <v>84</v>
      </c>
      <c r="F1800" s="17" t="s">
        <v>51</v>
      </c>
      <c r="G1800" s="18">
        <f t="shared" si="11"/>
        <v>20</v>
      </c>
      <c r="H1800" s="19">
        <f>VLOOKUP(A1800,Metrik!$C$2:$Y$959,8,0)</f>
        <v>7</v>
      </c>
      <c r="I1800" s="20">
        <f>VLOOKUP(A1800,Metrik!$C$2:$Y$959,9,0)</f>
        <v>0.84</v>
      </c>
      <c r="J1800" s="20">
        <f>VLOOKUP(A1800,Metrik!$C$2:$Y$959,10,0)</f>
        <v>12.1</v>
      </c>
      <c r="K1800" s="20">
        <f>VLOOKUP(A1800,Metrik!$C$2:$Y$959,11,0)</f>
        <v>6.7</v>
      </c>
      <c r="L1800" s="20">
        <f>VLOOKUP(A1800,Metrik!$C$2:$Y$959,12,0)</f>
        <v>0.8</v>
      </c>
      <c r="M1800" s="20">
        <f>VLOOKUP(A1800,Metrik!$C$2:$Y$959,19,0)</f>
        <v>43</v>
      </c>
      <c r="N1800" s="21"/>
      <c r="O1800" s="21"/>
      <c r="P1800" s="21"/>
      <c r="Q1800" s="21"/>
      <c r="R1800" s="21"/>
      <c r="S1800" s="21"/>
      <c r="T1800" s="21"/>
      <c r="U1800" s="22">
        <f>IFERROR(__xludf.DUMMYFUNCTION("IFERROR(GOOGLEFINANCE(A1800,""closeyest""),"""")"),21750.0)</f>
        <v>21750</v>
      </c>
      <c r="V1800" s="23">
        <f>IFERROR(__xludf.DUMMYFUNCTION("IFERROR(GOOGLEFINANCE(A1800,""changepct""),"""")"),3.45)</f>
        <v>3.45</v>
      </c>
      <c r="W1800" s="22">
        <f>IFERROR(__xludf.DUMMYFUNCTION("IFERROR(GOOGLEFINANCE(A1800,""priceopen""),"""")"),21900.0)</f>
        <v>21900</v>
      </c>
      <c r="X1800" s="22">
        <f>IFERROR(__xludf.DUMMYFUNCTION("IFERROR(GOOGLEFINANCE(A1800,""high""),"""")"),22825.0)</f>
        <v>22825</v>
      </c>
      <c r="Y1800" s="22">
        <f>IFERROR(__xludf.DUMMYFUNCTION("IFERROR(GOOGLEFINANCE(A1800,""low""),"""")"),21900.0)</f>
        <v>21900</v>
      </c>
      <c r="Z1800" s="22">
        <f>IFERROR(__xludf.DUMMYFUNCTION("IFERROR(GOOGLEFINANCE(A1800,""volume""),"""")"),5608900.0)</f>
        <v>5608900</v>
      </c>
      <c r="AA1800" s="24" t="str">
        <f>VLOOKUP(A1800,Metrik!$C$2:$Y$959,5,0)</f>
        <v>Machinery</v>
      </c>
      <c r="AB1800" s="24" t="str">
        <f>VLOOKUP(A1800,Metrik!$C$2:$Y$959,3,0)</f>
        <v>Industrials</v>
      </c>
    </row>
    <row r="1801">
      <c r="A1801" s="14" t="s">
        <v>978</v>
      </c>
      <c r="B1801" s="14" t="str">
        <f t="array" ref="B1801">VLOOKUP(A1801,{Metrik!$C$2:$C$998,Metrik!$B$2:$B$998},2,0)</f>
        <v>United Tractors Tbk.</v>
      </c>
      <c r="C1801" s="15">
        <f>IFERROR(__xludf.DUMMYFUNCTION("GOOGLEFINANCE(""IDX:""&amp;A1801,""price"")"),22500.0)</f>
        <v>22500</v>
      </c>
      <c r="D1801" s="16" t="str">
        <f>IFERROR(__xludf.DUMMYFUNCTION("IF(A1801="""","""",
SPARKLINE(
INDEX(
GOOGLEFINANCE(""IDX:""&amp;A1801,""close"",TODAY()-365,TODAY()),
,2
),
{""linewidth"",1}
))
"),"#N/A")</f>
        <v>#N/A</v>
      </c>
      <c r="E1801" s="14" t="s">
        <v>102</v>
      </c>
      <c r="F1801" s="27" t="s">
        <v>53</v>
      </c>
      <c r="G1801" s="18">
        <f t="shared" si="11"/>
        <v>20</v>
      </c>
      <c r="H1801" s="19">
        <f>VLOOKUP(A1801,Metrik!$C$2:$Y$959,8,0)</f>
        <v>7</v>
      </c>
      <c r="I1801" s="20">
        <f>VLOOKUP(A1801,Metrik!$C$2:$Y$959,9,0)</f>
        <v>0.84</v>
      </c>
      <c r="J1801" s="20">
        <f>VLOOKUP(A1801,Metrik!$C$2:$Y$959,10,0)</f>
        <v>12.1</v>
      </c>
      <c r="K1801" s="20">
        <f>VLOOKUP(A1801,Metrik!$C$2:$Y$959,11,0)</f>
        <v>6.7</v>
      </c>
      <c r="L1801" s="20">
        <f>VLOOKUP(A1801,Metrik!$C$2:$Y$959,12,0)</f>
        <v>0.8</v>
      </c>
      <c r="M1801" s="20">
        <f>VLOOKUP(A1801,Metrik!$C$2:$Y$959,19,0)</f>
        <v>43</v>
      </c>
      <c r="N1801" s="21"/>
      <c r="O1801" s="21"/>
      <c r="P1801" s="21"/>
      <c r="Q1801" s="21"/>
      <c r="R1801" s="21"/>
      <c r="S1801" s="21"/>
      <c r="T1801" s="21"/>
      <c r="U1801" s="22">
        <f>IFERROR(__xludf.DUMMYFUNCTION("IFERROR(GOOGLEFINANCE(A1801,""closeyest""),"""")"),21750.0)</f>
        <v>21750</v>
      </c>
      <c r="V1801" s="23">
        <f>IFERROR(__xludf.DUMMYFUNCTION("IFERROR(GOOGLEFINANCE(A1801,""changepct""),"""")"),3.45)</f>
        <v>3.45</v>
      </c>
      <c r="W1801" s="22">
        <f>IFERROR(__xludf.DUMMYFUNCTION("IFERROR(GOOGLEFINANCE(A1801,""priceopen""),"""")"),21900.0)</f>
        <v>21900</v>
      </c>
      <c r="X1801" s="22">
        <f>IFERROR(__xludf.DUMMYFUNCTION("IFERROR(GOOGLEFINANCE(A1801,""high""),"""")"),22825.0)</f>
        <v>22825</v>
      </c>
      <c r="Y1801" s="22">
        <f>IFERROR(__xludf.DUMMYFUNCTION("IFERROR(GOOGLEFINANCE(A1801,""low""),"""")"),21900.0)</f>
        <v>21900</v>
      </c>
      <c r="Z1801" s="22">
        <f>IFERROR(__xludf.DUMMYFUNCTION("IFERROR(GOOGLEFINANCE(A1801,""volume""),"""")"),5608900.0)</f>
        <v>5608900</v>
      </c>
      <c r="AA1801" s="24" t="str">
        <f>VLOOKUP(A1801,Metrik!$C$2:$Y$959,5,0)</f>
        <v>Machinery</v>
      </c>
      <c r="AB1801" s="24" t="str">
        <f>VLOOKUP(A1801,Metrik!$C$2:$Y$959,3,0)</f>
        <v>Industrials</v>
      </c>
    </row>
    <row r="1802">
      <c r="A1802" s="14" t="s">
        <v>978</v>
      </c>
      <c r="B1802" s="14" t="str">
        <f t="array" ref="B1802">VLOOKUP(A1802,{Metrik!$C$2:$C$998,Metrik!$B$2:$B$998},2,0)</f>
        <v>United Tractors Tbk.</v>
      </c>
      <c r="C1802" s="15">
        <f>IFERROR(__xludf.DUMMYFUNCTION("GOOGLEFINANCE(""IDX:""&amp;A1802,""price"")"),22500.0)</f>
        <v>22500</v>
      </c>
      <c r="D1802" s="16" t="str">
        <f>IFERROR(__xludf.DUMMYFUNCTION("IF(A1802="""","""",
SPARKLINE(
INDEX(
GOOGLEFINANCE(""IDX:""&amp;A1802,""close"",TODAY()-365,TODAY()),
,2
),
{""linewidth"",1}
))
"),"#N/A")</f>
        <v>#N/A</v>
      </c>
      <c r="E1802" s="14" t="s">
        <v>32</v>
      </c>
      <c r="F1802" s="14" t="s">
        <v>29</v>
      </c>
      <c r="G1802" s="18">
        <f t="shared" si="11"/>
        <v>20</v>
      </c>
      <c r="H1802" s="19">
        <f>VLOOKUP(A1802,Metrik!$C$2:$Y$959,8,0)</f>
        <v>7</v>
      </c>
      <c r="I1802" s="20">
        <f>VLOOKUP(A1802,Metrik!$C$2:$Y$959,9,0)</f>
        <v>0.84</v>
      </c>
      <c r="J1802" s="20">
        <f>VLOOKUP(A1802,Metrik!$C$2:$Y$959,10,0)</f>
        <v>12.1</v>
      </c>
      <c r="K1802" s="20">
        <f>VLOOKUP(A1802,Metrik!$C$2:$Y$959,11,0)</f>
        <v>6.7</v>
      </c>
      <c r="L1802" s="20">
        <f>VLOOKUP(A1802,Metrik!$C$2:$Y$959,12,0)</f>
        <v>0.8</v>
      </c>
      <c r="M1802" s="20">
        <f>VLOOKUP(A1802,Metrik!$C$2:$Y$959,19,0)</f>
        <v>43</v>
      </c>
      <c r="N1802" s="21"/>
      <c r="O1802" s="21"/>
      <c r="P1802" s="21"/>
      <c r="Q1802" s="21"/>
      <c r="R1802" s="21"/>
      <c r="S1802" s="21"/>
      <c r="T1802" s="21"/>
      <c r="U1802" s="22">
        <f>IFERROR(__xludf.DUMMYFUNCTION("IFERROR(GOOGLEFINANCE(A1802,""closeyest""),"""")"),21750.0)</f>
        <v>21750</v>
      </c>
      <c r="V1802" s="23">
        <f>IFERROR(__xludf.DUMMYFUNCTION("IFERROR(GOOGLEFINANCE(A1802,""changepct""),"""")"),3.45)</f>
        <v>3.45</v>
      </c>
      <c r="W1802" s="22">
        <f>IFERROR(__xludf.DUMMYFUNCTION("IFERROR(GOOGLEFINANCE(A1802,""priceopen""),"""")"),21900.0)</f>
        <v>21900</v>
      </c>
      <c r="X1802" s="22">
        <f>IFERROR(__xludf.DUMMYFUNCTION("IFERROR(GOOGLEFINANCE(A1802,""high""),"""")"),22825.0)</f>
        <v>22825</v>
      </c>
      <c r="Y1802" s="22">
        <f>IFERROR(__xludf.DUMMYFUNCTION("IFERROR(GOOGLEFINANCE(A1802,""low""),"""")"),21900.0)</f>
        <v>21900</v>
      </c>
      <c r="Z1802" s="22">
        <f>IFERROR(__xludf.DUMMYFUNCTION("IFERROR(GOOGLEFINANCE(A1802,""volume""),"""")"),5608900.0)</f>
        <v>5608900</v>
      </c>
      <c r="AA1802" s="24" t="str">
        <f>VLOOKUP(A1802,Metrik!$C$2:$Y$959,5,0)</f>
        <v>Machinery</v>
      </c>
      <c r="AB1802" s="24" t="str">
        <f>VLOOKUP(A1802,Metrik!$C$2:$Y$959,3,0)</f>
        <v>Industrials</v>
      </c>
    </row>
    <row r="1803">
      <c r="A1803" s="14" t="s">
        <v>978</v>
      </c>
      <c r="B1803" s="14" t="str">
        <f t="array" ref="B1803">VLOOKUP(A1803,{Metrik!$C$2:$C$998,Metrik!$B$2:$B$998},2,0)</f>
        <v>United Tractors Tbk.</v>
      </c>
      <c r="C1803" s="15">
        <f>IFERROR(__xludf.DUMMYFUNCTION("GOOGLEFINANCE(""IDX:""&amp;A1803,""price"")"),22500.0)</f>
        <v>22500</v>
      </c>
      <c r="D1803" s="16" t="str">
        <f>IFERROR(__xludf.DUMMYFUNCTION("IF(A1803="""","""",
SPARKLINE(
INDEX(
GOOGLEFINANCE(""IDX:""&amp;A1803,""close"",TODAY()-365,TODAY()),
,2
),
{""linewidth"",1}
))
"),"#N/A")</f>
        <v>#N/A</v>
      </c>
      <c r="E1803" s="14" t="s">
        <v>68</v>
      </c>
      <c r="F1803" s="14" t="s">
        <v>34</v>
      </c>
      <c r="G1803" s="18">
        <f t="shared" si="11"/>
        <v>20</v>
      </c>
      <c r="H1803" s="19">
        <f>VLOOKUP(A1803,Metrik!$C$2:$Y$959,8,0)</f>
        <v>7</v>
      </c>
      <c r="I1803" s="20">
        <f>VLOOKUP(A1803,Metrik!$C$2:$Y$959,9,0)</f>
        <v>0.84</v>
      </c>
      <c r="J1803" s="20">
        <f>VLOOKUP(A1803,Metrik!$C$2:$Y$959,10,0)</f>
        <v>12.1</v>
      </c>
      <c r="K1803" s="20">
        <f>VLOOKUP(A1803,Metrik!$C$2:$Y$959,11,0)</f>
        <v>6.7</v>
      </c>
      <c r="L1803" s="20">
        <f>VLOOKUP(A1803,Metrik!$C$2:$Y$959,12,0)</f>
        <v>0.8</v>
      </c>
      <c r="M1803" s="20">
        <f>VLOOKUP(A1803,Metrik!$C$2:$Y$959,19,0)</f>
        <v>43</v>
      </c>
      <c r="N1803" s="21"/>
      <c r="O1803" s="21"/>
      <c r="P1803" s="21"/>
      <c r="Q1803" s="21"/>
      <c r="R1803" s="21"/>
      <c r="S1803" s="21"/>
      <c r="T1803" s="21"/>
      <c r="U1803" s="22">
        <f>IFERROR(__xludf.DUMMYFUNCTION("IFERROR(GOOGLEFINANCE(A1803,""closeyest""),"""")"),21750.0)</f>
        <v>21750</v>
      </c>
      <c r="V1803" s="23">
        <f>IFERROR(__xludf.DUMMYFUNCTION("IFERROR(GOOGLEFINANCE(A1803,""changepct""),"""")"),3.45)</f>
        <v>3.45</v>
      </c>
      <c r="W1803" s="22">
        <f>IFERROR(__xludf.DUMMYFUNCTION("IFERROR(GOOGLEFINANCE(A1803,""priceopen""),"""")"),21900.0)</f>
        <v>21900</v>
      </c>
      <c r="X1803" s="22">
        <f>IFERROR(__xludf.DUMMYFUNCTION("IFERROR(GOOGLEFINANCE(A1803,""high""),"""")"),22825.0)</f>
        <v>22825</v>
      </c>
      <c r="Y1803" s="22">
        <f>IFERROR(__xludf.DUMMYFUNCTION("IFERROR(GOOGLEFINANCE(A1803,""low""),"""")"),21900.0)</f>
        <v>21900</v>
      </c>
      <c r="Z1803" s="22">
        <f>IFERROR(__xludf.DUMMYFUNCTION("IFERROR(GOOGLEFINANCE(A1803,""volume""),"""")"),5608900.0)</f>
        <v>5608900</v>
      </c>
      <c r="AA1803" s="24" t="str">
        <f>VLOOKUP(A1803,Metrik!$C$2:$Y$959,5,0)</f>
        <v>Machinery</v>
      </c>
      <c r="AB1803" s="24" t="str">
        <f>VLOOKUP(A1803,Metrik!$C$2:$Y$959,3,0)</f>
        <v>Industrials</v>
      </c>
    </row>
    <row r="1804">
      <c r="A1804" s="14" t="s">
        <v>978</v>
      </c>
      <c r="B1804" s="14" t="str">
        <f t="array" ref="B1804">VLOOKUP(A1804,{Metrik!$C$2:$C$998,Metrik!$B$2:$B$998},2,0)</f>
        <v>United Tractors Tbk.</v>
      </c>
      <c r="C1804" s="15">
        <f>IFERROR(__xludf.DUMMYFUNCTION("GOOGLEFINANCE(""IDX:""&amp;A1804,""price"")"),22500.0)</f>
        <v>22500</v>
      </c>
      <c r="D1804" s="16" t="str">
        <f>IFERROR(__xludf.DUMMYFUNCTION("IF(A1804="""","""",
SPARKLINE(
INDEX(
GOOGLEFINANCE(""IDX:""&amp;A1804,""close"",TODAY()-365,TODAY()),
,2
),
{""linewidth"",1}
))
"),"#N/A")</f>
        <v>#N/A</v>
      </c>
      <c r="E1804" s="14" t="s">
        <v>54</v>
      </c>
      <c r="F1804" s="14" t="s">
        <v>34</v>
      </c>
      <c r="G1804" s="18">
        <f t="shared" si="11"/>
        <v>20</v>
      </c>
      <c r="H1804" s="19">
        <f>VLOOKUP(A1804,Metrik!$C$2:$Y$959,8,0)</f>
        <v>7</v>
      </c>
      <c r="I1804" s="20">
        <f>VLOOKUP(A1804,Metrik!$C$2:$Y$959,9,0)</f>
        <v>0.84</v>
      </c>
      <c r="J1804" s="20">
        <f>VLOOKUP(A1804,Metrik!$C$2:$Y$959,10,0)</f>
        <v>12.1</v>
      </c>
      <c r="K1804" s="20">
        <f>VLOOKUP(A1804,Metrik!$C$2:$Y$959,11,0)</f>
        <v>6.7</v>
      </c>
      <c r="L1804" s="20">
        <f>VLOOKUP(A1804,Metrik!$C$2:$Y$959,12,0)</f>
        <v>0.8</v>
      </c>
      <c r="M1804" s="20">
        <f>VLOOKUP(A1804,Metrik!$C$2:$Y$959,19,0)</f>
        <v>43</v>
      </c>
      <c r="N1804" s="21"/>
      <c r="O1804" s="21"/>
      <c r="P1804" s="21"/>
      <c r="Q1804" s="21"/>
      <c r="R1804" s="21"/>
      <c r="S1804" s="21"/>
      <c r="T1804" s="21"/>
      <c r="U1804" s="22">
        <f>IFERROR(__xludf.DUMMYFUNCTION("IFERROR(GOOGLEFINANCE(A1804,""closeyest""),"""")"),21750.0)</f>
        <v>21750</v>
      </c>
      <c r="V1804" s="23">
        <f>IFERROR(__xludf.DUMMYFUNCTION("IFERROR(GOOGLEFINANCE(A1804,""changepct""),"""")"),3.45)</f>
        <v>3.45</v>
      </c>
      <c r="W1804" s="22">
        <f>IFERROR(__xludf.DUMMYFUNCTION("IFERROR(GOOGLEFINANCE(A1804,""priceopen""),"""")"),21900.0)</f>
        <v>21900</v>
      </c>
      <c r="X1804" s="22">
        <f>IFERROR(__xludf.DUMMYFUNCTION("IFERROR(GOOGLEFINANCE(A1804,""high""),"""")"),22825.0)</f>
        <v>22825</v>
      </c>
      <c r="Y1804" s="22">
        <f>IFERROR(__xludf.DUMMYFUNCTION("IFERROR(GOOGLEFINANCE(A1804,""low""),"""")"),21900.0)</f>
        <v>21900</v>
      </c>
      <c r="Z1804" s="22">
        <f>IFERROR(__xludf.DUMMYFUNCTION("IFERROR(GOOGLEFINANCE(A1804,""volume""),"""")"),5608900.0)</f>
        <v>5608900</v>
      </c>
      <c r="AA1804" s="24" t="str">
        <f>VLOOKUP(A1804,Metrik!$C$2:$Y$959,5,0)</f>
        <v>Machinery</v>
      </c>
      <c r="AB1804" s="24" t="str">
        <f>VLOOKUP(A1804,Metrik!$C$2:$Y$959,3,0)</f>
        <v>Industrials</v>
      </c>
    </row>
    <row r="1805">
      <c r="A1805" s="14" t="s">
        <v>978</v>
      </c>
      <c r="B1805" s="14" t="str">
        <f t="array" ref="B1805">VLOOKUP(A1805,{Metrik!$C$2:$C$998,Metrik!$B$2:$B$998},2,0)</f>
        <v>United Tractors Tbk.</v>
      </c>
      <c r="C1805" s="15">
        <f>IFERROR(__xludf.DUMMYFUNCTION("GOOGLEFINANCE(""IDX:""&amp;A1805,""price"")"),22500.0)</f>
        <v>22500</v>
      </c>
      <c r="D1805" s="16" t="str">
        <f>IFERROR(__xludf.DUMMYFUNCTION("IF(A1805="""","""",
SPARKLINE(
INDEX(
GOOGLEFINANCE(""IDX:""&amp;A1805,""close"",TODAY()-365,TODAY()),
,2
),
{""linewidth"",1}
))
"),"#N/A")</f>
        <v>#N/A</v>
      </c>
      <c r="E1805" s="14" t="s">
        <v>33</v>
      </c>
      <c r="F1805" s="14" t="s">
        <v>34</v>
      </c>
      <c r="G1805" s="18">
        <f t="shared" si="11"/>
        <v>20</v>
      </c>
      <c r="H1805" s="19">
        <f>VLOOKUP(A1805,Metrik!$C$2:$Y$959,8,0)</f>
        <v>7</v>
      </c>
      <c r="I1805" s="20">
        <f>VLOOKUP(A1805,Metrik!$C$2:$Y$959,9,0)</f>
        <v>0.84</v>
      </c>
      <c r="J1805" s="20">
        <f>VLOOKUP(A1805,Metrik!$C$2:$Y$959,10,0)</f>
        <v>12.1</v>
      </c>
      <c r="K1805" s="20">
        <f>VLOOKUP(A1805,Metrik!$C$2:$Y$959,11,0)</f>
        <v>6.7</v>
      </c>
      <c r="L1805" s="20">
        <f>VLOOKUP(A1805,Metrik!$C$2:$Y$959,12,0)</f>
        <v>0.8</v>
      </c>
      <c r="M1805" s="20">
        <f>VLOOKUP(A1805,Metrik!$C$2:$Y$959,19,0)</f>
        <v>43</v>
      </c>
      <c r="N1805" s="21"/>
      <c r="O1805" s="21"/>
      <c r="P1805" s="21"/>
      <c r="Q1805" s="21"/>
      <c r="R1805" s="21"/>
      <c r="S1805" s="21"/>
      <c r="T1805" s="21"/>
      <c r="U1805" s="22">
        <f>IFERROR(__xludf.DUMMYFUNCTION("IFERROR(GOOGLEFINANCE(A1805,""closeyest""),"""")"),21750.0)</f>
        <v>21750</v>
      </c>
      <c r="V1805" s="23">
        <f>IFERROR(__xludf.DUMMYFUNCTION("IFERROR(GOOGLEFINANCE(A1805,""changepct""),"""")"),3.45)</f>
        <v>3.45</v>
      </c>
      <c r="W1805" s="22">
        <f>IFERROR(__xludf.DUMMYFUNCTION("IFERROR(GOOGLEFINANCE(A1805,""priceopen""),"""")"),21900.0)</f>
        <v>21900</v>
      </c>
      <c r="X1805" s="22">
        <f>IFERROR(__xludf.DUMMYFUNCTION("IFERROR(GOOGLEFINANCE(A1805,""high""),"""")"),22825.0)</f>
        <v>22825</v>
      </c>
      <c r="Y1805" s="22">
        <f>IFERROR(__xludf.DUMMYFUNCTION("IFERROR(GOOGLEFINANCE(A1805,""low""),"""")"),21900.0)</f>
        <v>21900</v>
      </c>
      <c r="Z1805" s="22">
        <f>IFERROR(__xludf.DUMMYFUNCTION("IFERROR(GOOGLEFINANCE(A1805,""volume""),"""")"),5608900.0)</f>
        <v>5608900</v>
      </c>
      <c r="AA1805" s="24" t="str">
        <f>VLOOKUP(A1805,Metrik!$C$2:$Y$959,5,0)</f>
        <v>Machinery</v>
      </c>
      <c r="AB1805" s="24" t="str">
        <f>VLOOKUP(A1805,Metrik!$C$2:$Y$959,3,0)</f>
        <v>Industrials</v>
      </c>
    </row>
    <row r="1806">
      <c r="A1806" s="48" t="s">
        <v>978</v>
      </c>
      <c r="B1806" s="14" t="str">
        <f t="array" ref="B1806">VLOOKUP(A1806,{Metrik!$C$2:$C$998,Metrik!$B$2:$B$998},2,0)</f>
        <v>United Tractors Tbk.</v>
      </c>
      <c r="C1806" s="15">
        <f>IFERROR(__xludf.DUMMYFUNCTION("GOOGLEFINANCE(""IDX:""&amp;A1806,""price"")"),22500.0)</f>
        <v>22500</v>
      </c>
      <c r="D1806" s="16" t="str">
        <f>IFERROR(__xludf.DUMMYFUNCTION("IF(A1806="""","""",
SPARKLINE(
INDEX(
GOOGLEFINANCE(""IDX:""&amp;A1806,""close"",TODAY()-365,TODAY()),
,2
),
{""linewidth"",1}
))
"),"#N/A")</f>
        <v>#N/A</v>
      </c>
      <c r="E1806" s="17" t="s">
        <v>69</v>
      </c>
      <c r="F1806" s="17" t="s">
        <v>70</v>
      </c>
      <c r="G1806" s="24">
        <f t="shared" si="11"/>
        <v>20</v>
      </c>
      <c r="H1806" s="19">
        <f>VLOOKUP(A1806,Metrik!$C$2:$Y$959,8,0)</f>
        <v>7</v>
      </c>
      <c r="I1806" s="20">
        <f>VLOOKUP(A1806,Metrik!$C$2:$Y$959,9,0)</f>
        <v>0.84</v>
      </c>
      <c r="J1806" s="20">
        <f>VLOOKUP(A1806,Metrik!$C$2:$Y$959,10,0)</f>
        <v>12.1</v>
      </c>
      <c r="K1806" s="20">
        <f>VLOOKUP(A1806,Metrik!$C$2:$Y$959,11,0)</f>
        <v>6.7</v>
      </c>
      <c r="L1806" s="20">
        <f>VLOOKUP(A1806,Metrik!$C$2:$Y$959,12,0)</f>
        <v>0.8</v>
      </c>
      <c r="M1806" s="20">
        <f>VLOOKUP(A1806,Metrik!$C$2:$Y$959,19,0)</f>
        <v>43</v>
      </c>
      <c r="N1806" s="21"/>
      <c r="O1806" s="21"/>
      <c r="P1806" s="21"/>
      <c r="Q1806" s="21"/>
      <c r="R1806" s="21"/>
      <c r="S1806" s="21"/>
      <c r="T1806" s="21"/>
      <c r="U1806" s="22">
        <f>IFERROR(__xludf.DUMMYFUNCTION("IFERROR(GOOGLEFINANCE(A1806,""closeyest""),"""")"),21750.0)</f>
        <v>21750</v>
      </c>
      <c r="V1806" s="23">
        <f>IFERROR(__xludf.DUMMYFUNCTION("IFERROR(GOOGLEFINANCE(A1806,""changepct""),"""")"),3.45)</f>
        <v>3.45</v>
      </c>
      <c r="W1806" s="22">
        <f>IFERROR(__xludf.DUMMYFUNCTION("IFERROR(GOOGLEFINANCE(A1806,""priceopen""),"""")"),21900.0)</f>
        <v>21900</v>
      </c>
      <c r="X1806" s="22">
        <f>IFERROR(__xludf.DUMMYFUNCTION("IFERROR(GOOGLEFINANCE(A1806,""high""),"""")"),22825.0)</f>
        <v>22825</v>
      </c>
      <c r="Y1806" s="22">
        <f>IFERROR(__xludf.DUMMYFUNCTION("IFERROR(GOOGLEFINANCE(A1806,""low""),"""")"),21900.0)</f>
        <v>21900</v>
      </c>
      <c r="Z1806" s="22">
        <f>IFERROR(__xludf.DUMMYFUNCTION("IFERROR(GOOGLEFINANCE(A1806,""volume""),"""")"),5608900.0)</f>
        <v>5608900</v>
      </c>
      <c r="AA1806" s="24" t="str">
        <f>VLOOKUP(A1806,Metrik!$C$2:$Y$959,5,0)</f>
        <v>Machinery</v>
      </c>
      <c r="AB1806" s="24" t="str">
        <f>VLOOKUP(A1806,Metrik!$C$2:$Y$959,3,0)</f>
        <v>Industrials</v>
      </c>
    </row>
    <row r="1807">
      <c r="A1807" s="14" t="s">
        <v>978</v>
      </c>
      <c r="B1807" s="14" t="str">
        <f t="array" ref="B1807">VLOOKUP(A1807,{Metrik!$C$2:$C$998,Metrik!$B$2:$B$998},2,0)</f>
        <v>United Tractors Tbk.</v>
      </c>
      <c r="C1807" s="15">
        <f>IFERROR(__xludf.DUMMYFUNCTION("GOOGLEFINANCE(""IDX:""&amp;A1807,""price"")"),22500.0)</f>
        <v>22500</v>
      </c>
      <c r="D1807" s="16" t="str">
        <f>IFERROR(__xludf.DUMMYFUNCTION("IF(A1807="""","""",
SPARKLINE(
INDEX(
GOOGLEFINANCE(""IDX:""&amp;A1807,""close"",TODAY()-365,TODAY()),
,2
),
{""linewidth"",1}
))
"),"#N/A")</f>
        <v>#N/A</v>
      </c>
      <c r="E1807" s="14" t="s">
        <v>39</v>
      </c>
      <c r="F1807" s="25">
        <v>46356.0</v>
      </c>
      <c r="G1807" s="18">
        <f t="shared" si="11"/>
        <v>20</v>
      </c>
      <c r="H1807" s="19">
        <f>VLOOKUP(A1807,Metrik!$C$2:$Y$959,8,0)</f>
        <v>7</v>
      </c>
      <c r="I1807" s="20">
        <f>VLOOKUP(A1807,Metrik!$C$2:$Y$959,9,0)</f>
        <v>0.84</v>
      </c>
      <c r="J1807" s="20">
        <f>VLOOKUP(A1807,Metrik!$C$2:$Y$959,10,0)</f>
        <v>12.1</v>
      </c>
      <c r="K1807" s="20">
        <f>VLOOKUP(A1807,Metrik!$C$2:$Y$959,11,0)</f>
        <v>6.7</v>
      </c>
      <c r="L1807" s="20">
        <f>VLOOKUP(A1807,Metrik!$C$2:$Y$959,12,0)</f>
        <v>0.8</v>
      </c>
      <c r="M1807" s="20">
        <f>VLOOKUP(A1807,Metrik!$C$2:$Y$959,19,0)</f>
        <v>43</v>
      </c>
      <c r="N1807" s="21"/>
      <c r="O1807" s="21"/>
      <c r="P1807" s="21"/>
      <c r="Q1807" s="21"/>
      <c r="R1807" s="21"/>
      <c r="S1807" s="21"/>
      <c r="T1807" s="21"/>
      <c r="U1807" s="22">
        <f>IFERROR(__xludf.DUMMYFUNCTION("IFERROR(GOOGLEFINANCE(A1807,""closeyest""),"""")"),21750.0)</f>
        <v>21750</v>
      </c>
      <c r="V1807" s="23">
        <f>IFERROR(__xludf.DUMMYFUNCTION("IFERROR(GOOGLEFINANCE(A1807,""changepct""),"""")"),3.45)</f>
        <v>3.45</v>
      </c>
      <c r="W1807" s="22">
        <f>IFERROR(__xludf.DUMMYFUNCTION("IFERROR(GOOGLEFINANCE(A1807,""priceopen""),"""")"),21900.0)</f>
        <v>21900</v>
      </c>
      <c r="X1807" s="22">
        <f>IFERROR(__xludf.DUMMYFUNCTION("IFERROR(GOOGLEFINANCE(A1807,""high""),"""")"),22825.0)</f>
        <v>22825</v>
      </c>
      <c r="Y1807" s="22">
        <f>IFERROR(__xludf.DUMMYFUNCTION("IFERROR(GOOGLEFINANCE(A1807,""low""),"""")"),21900.0)</f>
        <v>21900</v>
      </c>
      <c r="Z1807" s="22">
        <f>IFERROR(__xludf.DUMMYFUNCTION("IFERROR(GOOGLEFINANCE(A1807,""volume""),"""")"),5608900.0)</f>
        <v>5608900</v>
      </c>
      <c r="AA1807" s="24" t="str">
        <f>VLOOKUP(A1807,Metrik!$C$2:$Y$959,5,0)</f>
        <v>Machinery</v>
      </c>
      <c r="AB1807" s="24" t="str">
        <f>VLOOKUP(A1807,Metrik!$C$2:$Y$959,3,0)</f>
        <v>Industrials</v>
      </c>
    </row>
    <row r="1808">
      <c r="A1808" s="14" t="s">
        <v>979</v>
      </c>
      <c r="B1808" s="14" t="str">
        <f t="array" ref="B1808">VLOOKUP(A1808,{Metrik!$C$2:$C$998,Metrik!$B$2:$B$998},2,0)</f>
        <v>Unilever Indonesia Tbk.</v>
      </c>
      <c r="C1808" s="15">
        <f>IFERROR(__xludf.DUMMYFUNCTION("GOOGLEFINANCE(""IDX:""&amp;A1808,""price"")"),1665.0)</f>
        <v>1665</v>
      </c>
      <c r="D1808" s="16" t="str">
        <f>IFERROR(__xludf.DUMMYFUNCTION("IF(A1808="""","""",
SPARKLINE(
INDEX(
GOOGLEFINANCE(""IDX:""&amp;A1808,""close"",TODAY()-365,TODAY()),
,2
),
{""linewidth"",1}
))
"),"#N/A")</f>
        <v>#N/A</v>
      </c>
      <c r="E1808" s="14" t="s">
        <v>47</v>
      </c>
      <c r="F1808" s="25">
        <v>46356.0</v>
      </c>
      <c r="G1808" s="24">
        <f t="shared" si="11"/>
        <v>14</v>
      </c>
      <c r="H1808" s="19">
        <f>VLOOKUP(A1808,Metrik!$C$2:$Y$959,8,0)</f>
        <v>7.6</v>
      </c>
      <c r="I1808" s="20">
        <f>VLOOKUP(A1808,Metrik!$C$2:$Y$959,9,0)</f>
        <v>9.9</v>
      </c>
      <c r="J1808" s="20">
        <f>VLOOKUP(A1808,Metrik!$C$2:$Y$959,10,0)</f>
        <v>130</v>
      </c>
      <c r="K1808" s="20">
        <f>VLOOKUP(A1808,Metrik!$C$2:$Y$959,11,0)</f>
        <v>42.7</v>
      </c>
      <c r="L1808" s="20">
        <f>VLOOKUP(A1808,Metrik!$C$2:$Y$959,12,0)</f>
        <v>2.1</v>
      </c>
      <c r="M1808" s="20">
        <f>VLOOKUP(A1808,Metrik!$C$2:$Y$959,19,0)</f>
        <v>100</v>
      </c>
      <c r="N1808" s="21"/>
      <c r="O1808" s="21"/>
      <c r="P1808" s="21"/>
      <c r="Q1808" s="21"/>
      <c r="R1808" s="21"/>
      <c r="S1808" s="21"/>
      <c r="T1808" s="21"/>
      <c r="U1808" s="22">
        <f>IFERROR(__xludf.DUMMYFUNCTION("IFERROR(GOOGLEFINANCE(A1808,""closeyest""),"""")"),1635.0)</f>
        <v>1635</v>
      </c>
      <c r="V1808" s="23">
        <f>IFERROR(__xludf.DUMMYFUNCTION("IFERROR(GOOGLEFINANCE(A1808,""changepct""),"""")"),1.83)</f>
        <v>1.83</v>
      </c>
      <c r="W1808" s="22">
        <f>IFERROR(__xludf.DUMMYFUNCTION("IFERROR(GOOGLEFINANCE(A1808,""priceopen""),"""")"),1640.0)</f>
        <v>1640</v>
      </c>
      <c r="X1808" s="22">
        <f>IFERROR(__xludf.DUMMYFUNCTION("IFERROR(GOOGLEFINANCE(A1808,""high""),"""")"),1670.0)</f>
        <v>1670</v>
      </c>
      <c r="Y1808" s="22" t="str">
        <f>IFERROR(__xludf.DUMMYFUNCTION("IFERROR(GOOGLEFINANCE(A1808,""low""),"""")"),"")</f>
        <v/>
      </c>
      <c r="Z1808" s="22">
        <f>IFERROR(__xludf.DUMMYFUNCTION("IFERROR(GOOGLEFINANCE(A1808,""volume""),"""")"),2.83459E7)</f>
        <v>28345900</v>
      </c>
      <c r="AA1808" s="24" t="str">
        <f>VLOOKUP(A1808,Metrik!$C$2:$Y$959,5,0)</f>
        <v>Personal Care Products</v>
      </c>
      <c r="AB1808" s="24" t="str">
        <f>VLOOKUP(A1808,Metrik!$C$2:$Y$959,3,0)</f>
        <v>Consumer Non-Cyclicals</v>
      </c>
    </row>
    <row r="1809">
      <c r="A1809" s="14" t="s">
        <v>979</v>
      </c>
      <c r="B1809" s="14" t="str">
        <f t="array" ref="B1809">VLOOKUP(A1809,{Metrik!$C$2:$C$998,Metrik!$B$2:$B$998},2,0)</f>
        <v>Unilever Indonesia Tbk.</v>
      </c>
      <c r="C1809" s="15">
        <f>IFERROR(__xludf.DUMMYFUNCTION("GOOGLEFINANCE(""IDX:""&amp;A1809,""price"")"),1665.0)</f>
        <v>1665</v>
      </c>
      <c r="D1809" s="16" t="str">
        <f>IFERROR(__xludf.DUMMYFUNCTION("IF(A1809="""","""",
SPARKLINE(
INDEX(
GOOGLEFINANCE(""IDX:""&amp;A1809,""close"",TODAY()-365,TODAY()),
,2
),
{""linewidth"",1}
))
"),"#N/A")</f>
        <v>#N/A</v>
      </c>
      <c r="E1809" s="14" t="s">
        <v>42</v>
      </c>
      <c r="F1809" s="25">
        <v>46356.0</v>
      </c>
      <c r="G1809" s="24">
        <f t="shared" si="11"/>
        <v>14</v>
      </c>
      <c r="H1809" s="19">
        <f>VLOOKUP(A1809,Metrik!$C$2:$Y$959,8,0)</f>
        <v>7.6</v>
      </c>
      <c r="I1809" s="20">
        <f>VLOOKUP(A1809,Metrik!$C$2:$Y$959,9,0)</f>
        <v>9.9</v>
      </c>
      <c r="J1809" s="20">
        <f>VLOOKUP(A1809,Metrik!$C$2:$Y$959,10,0)</f>
        <v>130</v>
      </c>
      <c r="K1809" s="20">
        <f>VLOOKUP(A1809,Metrik!$C$2:$Y$959,11,0)</f>
        <v>42.7</v>
      </c>
      <c r="L1809" s="20">
        <f>VLOOKUP(A1809,Metrik!$C$2:$Y$959,12,0)</f>
        <v>2.1</v>
      </c>
      <c r="M1809" s="20">
        <f>VLOOKUP(A1809,Metrik!$C$2:$Y$959,19,0)</f>
        <v>100</v>
      </c>
      <c r="N1809" s="21"/>
      <c r="O1809" s="21"/>
      <c r="P1809" s="21"/>
      <c r="Q1809" s="21"/>
      <c r="R1809" s="21"/>
      <c r="S1809" s="21"/>
      <c r="T1809" s="21"/>
      <c r="U1809" s="22">
        <f>IFERROR(__xludf.DUMMYFUNCTION("IFERROR(GOOGLEFINANCE(A1809,""closeyest""),"""")"),1635.0)</f>
        <v>1635</v>
      </c>
      <c r="V1809" s="23">
        <f>IFERROR(__xludf.DUMMYFUNCTION("IFERROR(GOOGLEFINANCE(A1809,""changepct""),"""")"),1.83)</f>
        <v>1.83</v>
      </c>
      <c r="W1809" s="22">
        <f>IFERROR(__xludf.DUMMYFUNCTION("IFERROR(GOOGLEFINANCE(A1809,""priceopen""),"""")"),1640.0)</f>
        <v>1640</v>
      </c>
      <c r="X1809" s="22">
        <f>IFERROR(__xludf.DUMMYFUNCTION("IFERROR(GOOGLEFINANCE(A1809,""high""),"""")"),1670.0)</f>
        <v>1670</v>
      </c>
      <c r="Y1809" s="22" t="str">
        <f>IFERROR(__xludf.DUMMYFUNCTION("IFERROR(GOOGLEFINANCE(A1809,""low""),"""")"),"")</f>
        <v/>
      </c>
      <c r="Z1809" s="22">
        <f>IFERROR(__xludf.DUMMYFUNCTION("IFERROR(GOOGLEFINANCE(A1809,""volume""),"""")"),2.83459E7)</f>
        <v>28345900</v>
      </c>
      <c r="AA1809" s="24" t="str">
        <f>VLOOKUP(A1809,Metrik!$C$2:$Y$959,5,0)</f>
        <v>Personal Care Products</v>
      </c>
      <c r="AB1809" s="24" t="str">
        <f>VLOOKUP(A1809,Metrik!$C$2:$Y$959,3,0)</f>
        <v>Consumer Non-Cyclicals</v>
      </c>
    </row>
    <row r="1810">
      <c r="A1810" s="14" t="s">
        <v>979</v>
      </c>
      <c r="B1810" s="14" t="str">
        <f t="array" ref="B1810">VLOOKUP(A1810,{Metrik!$C$2:$C$998,Metrik!$B$2:$B$998},2,0)</f>
        <v>Unilever Indonesia Tbk.</v>
      </c>
      <c r="C1810" s="15">
        <f>IFERROR(__xludf.DUMMYFUNCTION("GOOGLEFINANCE(""IDX:""&amp;A1810,""price"")"),1665.0)</f>
        <v>1665</v>
      </c>
      <c r="D1810" s="16" t="str">
        <f>IFERROR(__xludf.DUMMYFUNCTION("IF(A1810="""","""",
SPARKLINE(
INDEX(
GOOGLEFINANCE(""IDX:""&amp;A1810,""close"",TODAY()-365,TODAY()),
,2
),
{""linewidth"",1}
))
"),"#N/A")</f>
        <v>#N/A</v>
      </c>
      <c r="E1810" s="14" t="s">
        <v>38</v>
      </c>
      <c r="F1810" s="25">
        <v>46356.0</v>
      </c>
      <c r="G1810" s="24">
        <f t="shared" si="11"/>
        <v>14</v>
      </c>
      <c r="H1810" s="19">
        <f>VLOOKUP(A1810,Metrik!$C$2:$Y$959,8,0)</f>
        <v>7.6</v>
      </c>
      <c r="I1810" s="20">
        <f>VLOOKUP(A1810,Metrik!$C$2:$Y$959,9,0)</f>
        <v>9.9</v>
      </c>
      <c r="J1810" s="20">
        <f>VLOOKUP(A1810,Metrik!$C$2:$Y$959,10,0)</f>
        <v>130</v>
      </c>
      <c r="K1810" s="20">
        <f>VLOOKUP(A1810,Metrik!$C$2:$Y$959,11,0)</f>
        <v>42.7</v>
      </c>
      <c r="L1810" s="20">
        <f>VLOOKUP(A1810,Metrik!$C$2:$Y$959,12,0)</f>
        <v>2.1</v>
      </c>
      <c r="M1810" s="20">
        <f>VLOOKUP(A1810,Metrik!$C$2:$Y$959,19,0)</f>
        <v>100</v>
      </c>
      <c r="N1810" s="21"/>
      <c r="O1810" s="21"/>
      <c r="P1810" s="21"/>
      <c r="Q1810" s="21"/>
      <c r="R1810" s="21"/>
      <c r="S1810" s="21"/>
      <c r="T1810" s="21"/>
      <c r="U1810" s="22">
        <f>IFERROR(__xludf.DUMMYFUNCTION("IFERROR(GOOGLEFINANCE(A1810,""closeyest""),"""")"),1635.0)</f>
        <v>1635</v>
      </c>
      <c r="V1810" s="23">
        <f>IFERROR(__xludf.DUMMYFUNCTION("IFERROR(GOOGLEFINANCE(A1810,""changepct""),"""")"),1.83)</f>
        <v>1.83</v>
      </c>
      <c r="W1810" s="22">
        <f>IFERROR(__xludf.DUMMYFUNCTION("IFERROR(GOOGLEFINANCE(A1810,""priceopen""),"""")"),1640.0)</f>
        <v>1640</v>
      </c>
      <c r="X1810" s="22">
        <f>IFERROR(__xludf.DUMMYFUNCTION("IFERROR(GOOGLEFINANCE(A1810,""high""),"""")"),1670.0)</f>
        <v>1670</v>
      </c>
      <c r="Y1810" s="22" t="str">
        <f>IFERROR(__xludf.DUMMYFUNCTION("IFERROR(GOOGLEFINANCE(A1810,""low""),"""")"),"")</f>
        <v/>
      </c>
      <c r="Z1810" s="22">
        <f>IFERROR(__xludf.DUMMYFUNCTION("IFERROR(GOOGLEFINANCE(A1810,""volume""),"""")"),2.83459E7)</f>
        <v>28345900</v>
      </c>
      <c r="AA1810" s="24" t="str">
        <f>VLOOKUP(A1810,Metrik!$C$2:$Y$959,5,0)</f>
        <v>Personal Care Products</v>
      </c>
      <c r="AB1810" s="24" t="str">
        <f>VLOOKUP(A1810,Metrik!$C$2:$Y$959,3,0)</f>
        <v>Consumer Non-Cyclicals</v>
      </c>
    </row>
    <row r="1811">
      <c r="A1811" s="14" t="s">
        <v>979</v>
      </c>
      <c r="B1811" s="14" t="str">
        <f t="array" ref="B1811">VLOOKUP(A1811,{Metrik!$C$2:$C$998,Metrik!$B$2:$B$998},2,0)</f>
        <v>Unilever Indonesia Tbk.</v>
      </c>
      <c r="C1811" s="15">
        <f>IFERROR(__xludf.DUMMYFUNCTION("GOOGLEFINANCE(""IDX:""&amp;A1811,""price"")"),1665.0)</f>
        <v>1665</v>
      </c>
      <c r="D1811" s="16" t="str">
        <f>IFERROR(__xludf.DUMMYFUNCTION("IF(A1811="""","""",
SPARKLINE(
INDEX(
GOOGLEFINANCE(""IDX:""&amp;A1811,""close"",TODAY()-365,TODAY()),
,2
),
{""linewidth"",1}
))
"),"#N/A")</f>
        <v>#N/A</v>
      </c>
      <c r="E1811" s="14" t="s">
        <v>55</v>
      </c>
      <c r="F1811" s="25">
        <v>46356.0</v>
      </c>
      <c r="G1811" s="24">
        <f t="shared" si="11"/>
        <v>14</v>
      </c>
      <c r="H1811" s="19">
        <f>VLOOKUP(A1811,Metrik!$C$2:$Y$959,8,0)</f>
        <v>7.6</v>
      </c>
      <c r="I1811" s="20">
        <f>VLOOKUP(A1811,Metrik!$C$2:$Y$959,9,0)</f>
        <v>9.9</v>
      </c>
      <c r="J1811" s="20">
        <f>VLOOKUP(A1811,Metrik!$C$2:$Y$959,10,0)</f>
        <v>130</v>
      </c>
      <c r="K1811" s="20">
        <f>VLOOKUP(A1811,Metrik!$C$2:$Y$959,11,0)</f>
        <v>42.7</v>
      </c>
      <c r="L1811" s="20">
        <f>VLOOKUP(A1811,Metrik!$C$2:$Y$959,12,0)</f>
        <v>2.1</v>
      </c>
      <c r="M1811" s="20">
        <f>VLOOKUP(A1811,Metrik!$C$2:$Y$959,19,0)</f>
        <v>100</v>
      </c>
      <c r="N1811" s="21"/>
      <c r="O1811" s="21"/>
      <c r="P1811" s="21"/>
      <c r="Q1811" s="21"/>
      <c r="R1811" s="21"/>
      <c r="S1811" s="21"/>
      <c r="T1811" s="21"/>
      <c r="U1811" s="22">
        <f>IFERROR(__xludf.DUMMYFUNCTION("IFERROR(GOOGLEFINANCE(A1811,""closeyest""),"""")"),1635.0)</f>
        <v>1635</v>
      </c>
      <c r="V1811" s="23">
        <f>IFERROR(__xludf.DUMMYFUNCTION("IFERROR(GOOGLEFINANCE(A1811,""changepct""),"""")"),1.83)</f>
        <v>1.83</v>
      </c>
      <c r="W1811" s="22">
        <f>IFERROR(__xludf.DUMMYFUNCTION("IFERROR(GOOGLEFINANCE(A1811,""priceopen""),"""")"),1640.0)</f>
        <v>1640</v>
      </c>
      <c r="X1811" s="22">
        <f>IFERROR(__xludf.DUMMYFUNCTION("IFERROR(GOOGLEFINANCE(A1811,""high""),"""")"),1670.0)</f>
        <v>1670</v>
      </c>
      <c r="Y1811" s="22" t="str">
        <f>IFERROR(__xludf.DUMMYFUNCTION("IFERROR(GOOGLEFINANCE(A1811,""low""),"""")"),"")</f>
        <v/>
      </c>
      <c r="Z1811" s="22">
        <f>IFERROR(__xludf.DUMMYFUNCTION("IFERROR(GOOGLEFINANCE(A1811,""volume""),"""")"),2.83459E7)</f>
        <v>28345900</v>
      </c>
      <c r="AA1811" s="24" t="str">
        <f>VLOOKUP(A1811,Metrik!$C$2:$Y$959,5,0)</f>
        <v>Personal Care Products</v>
      </c>
      <c r="AB1811" s="24" t="str">
        <f>VLOOKUP(A1811,Metrik!$C$2:$Y$959,3,0)</f>
        <v>Consumer Non-Cyclicals</v>
      </c>
    </row>
    <row r="1812">
      <c r="A1812" s="14" t="s">
        <v>979</v>
      </c>
      <c r="B1812" s="14" t="str">
        <f t="array" ref="B1812">VLOOKUP(A1812,{Metrik!$C$2:$C$998,Metrik!$B$2:$B$998},2,0)</f>
        <v>Unilever Indonesia Tbk.</v>
      </c>
      <c r="C1812" s="15">
        <f>IFERROR(__xludf.DUMMYFUNCTION("GOOGLEFINANCE(""IDX:""&amp;A1812,""price"")"),1665.0)</f>
        <v>1665</v>
      </c>
      <c r="D1812" s="16" t="str">
        <f>IFERROR(__xludf.DUMMYFUNCTION("IF(A1812="""","""",
SPARKLINE(
INDEX(
GOOGLEFINANCE(""IDX:""&amp;A1812,""close"",TODAY()-365,TODAY()),
,2
),
{""linewidth"",1}
))
"),"#N/A")</f>
        <v>#N/A</v>
      </c>
      <c r="E1812" s="14" t="s">
        <v>54</v>
      </c>
      <c r="F1812" s="14" t="s">
        <v>34</v>
      </c>
      <c r="G1812" s="24">
        <f t="shared" si="11"/>
        <v>14</v>
      </c>
      <c r="H1812" s="19">
        <f>VLOOKUP(A1812,Metrik!$C$2:$Y$959,8,0)</f>
        <v>7.6</v>
      </c>
      <c r="I1812" s="20">
        <f>VLOOKUP(A1812,Metrik!$C$2:$Y$959,9,0)</f>
        <v>9.9</v>
      </c>
      <c r="J1812" s="20">
        <f>VLOOKUP(A1812,Metrik!$C$2:$Y$959,10,0)</f>
        <v>130</v>
      </c>
      <c r="K1812" s="20">
        <f>VLOOKUP(A1812,Metrik!$C$2:$Y$959,11,0)</f>
        <v>42.7</v>
      </c>
      <c r="L1812" s="20">
        <f>VLOOKUP(A1812,Metrik!$C$2:$Y$959,12,0)</f>
        <v>2.1</v>
      </c>
      <c r="M1812" s="20">
        <f>VLOOKUP(A1812,Metrik!$C$2:$Y$959,19,0)</f>
        <v>100</v>
      </c>
      <c r="N1812" s="21"/>
      <c r="O1812" s="21"/>
      <c r="P1812" s="21"/>
      <c r="Q1812" s="21"/>
      <c r="R1812" s="21"/>
      <c r="S1812" s="21"/>
      <c r="T1812" s="21"/>
      <c r="U1812" s="22">
        <f>IFERROR(__xludf.DUMMYFUNCTION("IFERROR(GOOGLEFINANCE(A1812,""closeyest""),"""")"),1635.0)</f>
        <v>1635</v>
      </c>
      <c r="V1812" s="23">
        <f>IFERROR(__xludf.DUMMYFUNCTION("IFERROR(GOOGLEFINANCE(A1812,""changepct""),"""")"),1.83)</f>
        <v>1.83</v>
      </c>
      <c r="W1812" s="22">
        <f>IFERROR(__xludf.DUMMYFUNCTION("IFERROR(GOOGLEFINANCE(A1812,""priceopen""),"""")"),1640.0)</f>
        <v>1640</v>
      </c>
      <c r="X1812" s="22">
        <f>IFERROR(__xludf.DUMMYFUNCTION("IFERROR(GOOGLEFINANCE(A1812,""high""),"""")"),1670.0)</f>
        <v>1670</v>
      </c>
      <c r="Y1812" s="22" t="str">
        <f>IFERROR(__xludf.DUMMYFUNCTION("IFERROR(GOOGLEFINANCE(A1812,""low""),"""")"),"")</f>
        <v/>
      </c>
      <c r="Z1812" s="22">
        <f>IFERROR(__xludf.DUMMYFUNCTION("IFERROR(GOOGLEFINANCE(A1812,""volume""),"""")"),2.83459E7)</f>
        <v>28345900</v>
      </c>
      <c r="AA1812" s="24" t="str">
        <f>VLOOKUP(A1812,Metrik!$C$2:$Y$959,5,0)</f>
        <v>Personal Care Products</v>
      </c>
      <c r="AB1812" s="24" t="str">
        <f>VLOOKUP(A1812,Metrik!$C$2:$Y$959,3,0)</f>
        <v>Consumer Non-Cyclicals</v>
      </c>
    </row>
    <row r="1813">
      <c r="A1813" s="14" t="s">
        <v>979</v>
      </c>
      <c r="B1813" s="14" t="str">
        <f t="array" ref="B1813">VLOOKUP(A1813,{Metrik!$C$2:$C$998,Metrik!$B$2:$B$998},2,0)</f>
        <v>Unilever Indonesia Tbk.</v>
      </c>
      <c r="C1813" s="15">
        <f>IFERROR(__xludf.DUMMYFUNCTION("GOOGLEFINANCE(""IDX:""&amp;A1813,""price"")"),1665.0)</f>
        <v>1665</v>
      </c>
      <c r="D1813" s="16" t="str">
        <f>IFERROR(__xludf.DUMMYFUNCTION("IF(A1813="""","""",
SPARKLINE(
INDEX(
GOOGLEFINANCE(""IDX:""&amp;A1813,""close"",TODAY()-365,TODAY()),
,2
),
{""linewidth"",1}
))
"),"#N/A")</f>
        <v>#N/A</v>
      </c>
      <c r="E1813" s="14" t="s">
        <v>48</v>
      </c>
      <c r="F1813" s="14" t="s">
        <v>49</v>
      </c>
      <c r="G1813" s="24">
        <f t="shared" si="11"/>
        <v>14</v>
      </c>
      <c r="H1813" s="19">
        <f>VLOOKUP(A1813,Metrik!$C$2:$Y$959,8,0)</f>
        <v>7.6</v>
      </c>
      <c r="I1813" s="20">
        <f>VLOOKUP(A1813,Metrik!$C$2:$Y$959,9,0)</f>
        <v>9.9</v>
      </c>
      <c r="J1813" s="20">
        <f>VLOOKUP(A1813,Metrik!$C$2:$Y$959,10,0)</f>
        <v>130</v>
      </c>
      <c r="K1813" s="20">
        <f>VLOOKUP(A1813,Metrik!$C$2:$Y$959,11,0)</f>
        <v>42.7</v>
      </c>
      <c r="L1813" s="20">
        <f>VLOOKUP(A1813,Metrik!$C$2:$Y$959,12,0)</f>
        <v>2.1</v>
      </c>
      <c r="M1813" s="20">
        <f>VLOOKUP(A1813,Metrik!$C$2:$Y$959,19,0)</f>
        <v>100</v>
      </c>
      <c r="N1813" s="21"/>
      <c r="O1813" s="21"/>
      <c r="P1813" s="21"/>
      <c r="Q1813" s="21"/>
      <c r="R1813" s="21"/>
      <c r="S1813" s="21"/>
      <c r="T1813" s="21"/>
      <c r="U1813" s="22">
        <f>IFERROR(__xludf.DUMMYFUNCTION("IFERROR(GOOGLEFINANCE(A1813,""closeyest""),"""")"),1635.0)</f>
        <v>1635</v>
      </c>
      <c r="V1813" s="23">
        <f>IFERROR(__xludf.DUMMYFUNCTION("IFERROR(GOOGLEFINANCE(A1813,""changepct""),"""")"),1.83)</f>
        <v>1.83</v>
      </c>
      <c r="W1813" s="22">
        <f>IFERROR(__xludf.DUMMYFUNCTION("IFERROR(GOOGLEFINANCE(A1813,""priceopen""),"""")"),1640.0)</f>
        <v>1640</v>
      </c>
      <c r="X1813" s="22">
        <f>IFERROR(__xludf.DUMMYFUNCTION("IFERROR(GOOGLEFINANCE(A1813,""high""),"""")"),1670.0)</f>
        <v>1670</v>
      </c>
      <c r="Y1813" s="22" t="str">
        <f>IFERROR(__xludf.DUMMYFUNCTION("IFERROR(GOOGLEFINANCE(A1813,""low""),"""")"),"")</f>
        <v/>
      </c>
      <c r="Z1813" s="22">
        <f>IFERROR(__xludf.DUMMYFUNCTION("IFERROR(GOOGLEFINANCE(A1813,""volume""),"""")"),2.83459E7)</f>
        <v>28345900</v>
      </c>
      <c r="AA1813" s="24" t="str">
        <f>VLOOKUP(A1813,Metrik!$C$2:$Y$959,5,0)</f>
        <v>Personal Care Products</v>
      </c>
      <c r="AB1813" s="24" t="str">
        <f>VLOOKUP(A1813,Metrik!$C$2:$Y$959,3,0)</f>
        <v>Consumer Non-Cyclicals</v>
      </c>
    </row>
    <row r="1814">
      <c r="A1814" s="14" t="s">
        <v>979</v>
      </c>
      <c r="B1814" s="14" t="str">
        <f t="array" ref="B1814">VLOOKUP(A1814,{Metrik!$C$2:$C$998,Metrik!$B$2:$B$998},2,0)</f>
        <v>Unilever Indonesia Tbk.</v>
      </c>
      <c r="C1814" s="15">
        <f>IFERROR(__xludf.DUMMYFUNCTION("GOOGLEFINANCE(""IDX:""&amp;A1814,""price"")"),1665.0)</f>
        <v>1665</v>
      </c>
      <c r="D1814" s="16" t="str">
        <f>IFERROR(__xludf.DUMMYFUNCTION("IF(A1814="""","""",
SPARKLINE(
INDEX(
GOOGLEFINANCE(""IDX:""&amp;A1814,""close"",TODAY()-365,TODAY()),
,2
),
{""linewidth"",1}
))
"),"#N/A")</f>
        <v>#N/A</v>
      </c>
      <c r="E1814" s="14" t="s">
        <v>32</v>
      </c>
      <c r="F1814" s="14" t="s">
        <v>29</v>
      </c>
      <c r="G1814" s="24">
        <f t="shared" si="11"/>
        <v>14</v>
      </c>
      <c r="H1814" s="19">
        <f>VLOOKUP(A1814,Metrik!$C$2:$Y$959,8,0)</f>
        <v>7.6</v>
      </c>
      <c r="I1814" s="20">
        <f>VLOOKUP(A1814,Metrik!$C$2:$Y$959,9,0)</f>
        <v>9.9</v>
      </c>
      <c r="J1814" s="20">
        <f>VLOOKUP(A1814,Metrik!$C$2:$Y$959,10,0)</f>
        <v>130</v>
      </c>
      <c r="K1814" s="20">
        <f>VLOOKUP(A1814,Metrik!$C$2:$Y$959,11,0)</f>
        <v>42.7</v>
      </c>
      <c r="L1814" s="20">
        <f>VLOOKUP(A1814,Metrik!$C$2:$Y$959,12,0)</f>
        <v>2.1</v>
      </c>
      <c r="M1814" s="20">
        <f>VLOOKUP(A1814,Metrik!$C$2:$Y$959,19,0)</f>
        <v>100</v>
      </c>
      <c r="N1814" s="21"/>
      <c r="O1814" s="21"/>
      <c r="P1814" s="21"/>
      <c r="Q1814" s="21"/>
      <c r="R1814" s="21"/>
      <c r="S1814" s="21"/>
      <c r="T1814" s="21"/>
      <c r="U1814" s="22">
        <f>IFERROR(__xludf.DUMMYFUNCTION("IFERROR(GOOGLEFINANCE(A1814,""closeyest""),"""")"),1635.0)</f>
        <v>1635</v>
      </c>
      <c r="V1814" s="23">
        <f>IFERROR(__xludf.DUMMYFUNCTION("IFERROR(GOOGLEFINANCE(A1814,""changepct""),"""")"),1.83)</f>
        <v>1.83</v>
      </c>
      <c r="W1814" s="22">
        <f>IFERROR(__xludf.DUMMYFUNCTION("IFERROR(GOOGLEFINANCE(A1814,""priceopen""),"""")"),1640.0)</f>
        <v>1640</v>
      </c>
      <c r="X1814" s="22">
        <f>IFERROR(__xludf.DUMMYFUNCTION("IFERROR(GOOGLEFINANCE(A1814,""high""),"""")"),1670.0)</f>
        <v>1670</v>
      </c>
      <c r="Y1814" s="22" t="str">
        <f>IFERROR(__xludf.DUMMYFUNCTION("IFERROR(GOOGLEFINANCE(A1814,""low""),"""")"),"")</f>
        <v/>
      </c>
      <c r="Z1814" s="22">
        <f>IFERROR(__xludf.DUMMYFUNCTION("IFERROR(GOOGLEFINANCE(A1814,""volume""),"""")"),2.83459E7)</f>
        <v>28345900</v>
      </c>
      <c r="AA1814" s="24" t="str">
        <f>VLOOKUP(A1814,Metrik!$C$2:$Y$959,5,0)</f>
        <v>Personal Care Products</v>
      </c>
      <c r="AB1814" s="24" t="str">
        <f>VLOOKUP(A1814,Metrik!$C$2:$Y$959,3,0)</f>
        <v>Consumer Non-Cyclicals</v>
      </c>
    </row>
    <row r="1815">
      <c r="A1815" s="14" t="s">
        <v>979</v>
      </c>
      <c r="B1815" s="14" t="str">
        <f t="array" ref="B1815">VLOOKUP(A1815,{Metrik!$C$2:$C$998,Metrik!$B$2:$B$998},2,0)</f>
        <v>Unilever Indonesia Tbk.</v>
      </c>
      <c r="C1815" s="15">
        <f>IFERROR(__xludf.DUMMYFUNCTION("GOOGLEFINANCE(""IDX:""&amp;A1815,""price"")"),1665.0)</f>
        <v>1665</v>
      </c>
      <c r="D1815" s="16" t="str">
        <f>IFERROR(__xludf.DUMMYFUNCTION("IF(A1815="""","""",
SPARKLINE(
INDEX(
GOOGLEFINANCE(""IDX:""&amp;A1815,""close"",TODAY()-365,TODAY()),
,2
),
{""linewidth"",1}
))
"),"#N/A")</f>
        <v>#N/A</v>
      </c>
      <c r="E1815" s="14" t="s">
        <v>30</v>
      </c>
      <c r="F1815" s="17" t="s">
        <v>29</v>
      </c>
      <c r="G1815" s="24">
        <f t="shared" si="11"/>
        <v>14</v>
      </c>
      <c r="H1815" s="19">
        <f>VLOOKUP(A1815,Metrik!$C$2:$Y$959,8,0)</f>
        <v>7.6</v>
      </c>
      <c r="I1815" s="20">
        <f>VLOOKUP(A1815,Metrik!$C$2:$Y$959,9,0)</f>
        <v>9.9</v>
      </c>
      <c r="J1815" s="20">
        <f>VLOOKUP(A1815,Metrik!$C$2:$Y$959,10,0)</f>
        <v>130</v>
      </c>
      <c r="K1815" s="20">
        <f>VLOOKUP(A1815,Metrik!$C$2:$Y$959,11,0)</f>
        <v>42.7</v>
      </c>
      <c r="L1815" s="20">
        <f>VLOOKUP(A1815,Metrik!$C$2:$Y$959,12,0)</f>
        <v>2.1</v>
      </c>
      <c r="M1815" s="20">
        <f>VLOOKUP(A1815,Metrik!$C$2:$Y$959,19,0)</f>
        <v>100</v>
      </c>
      <c r="N1815" s="21"/>
      <c r="O1815" s="21"/>
      <c r="P1815" s="21"/>
      <c r="Q1815" s="21"/>
      <c r="R1815" s="21"/>
      <c r="S1815" s="21"/>
      <c r="T1815" s="21"/>
      <c r="U1815" s="22">
        <f>IFERROR(__xludf.DUMMYFUNCTION("IFERROR(GOOGLEFINANCE(A1815,""closeyest""),"""")"),1635.0)</f>
        <v>1635</v>
      </c>
      <c r="V1815" s="23">
        <f>IFERROR(__xludf.DUMMYFUNCTION("IFERROR(GOOGLEFINANCE(A1815,""changepct""),"""")"),1.83)</f>
        <v>1.83</v>
      </c>
      <c r="W1815" s="22">
        <f>IFERROR(__xludf.DUMMYFUNCTION("IFERROR(GOOGLEFINANCE(A1815,""priceopen""),"""")"),1640.0)</f>
        <v>1640</v>
      </c>
      <c r="X1815" s="22">
        <f>IFERROR(__xludf.DUMMYFUNCTION("IFERROR(GOOGLEFINANCE(A1815,""high""),"""")"),1670.0)</f>
        <v>1670</v>
      </c>
      <c r="Y1815" s="22" t="str">
        <f>IFERROR(__xludf.DUMMYFUNCTION("IFERROR(GOOGLEFINANCE(A1815,""low""),"""")"),"")</f>
        <v/>
      </c>
      <c r="Z1815" s="22">
        <f>IFERROR(__xludf.DUMMYFUNCTION("IFERROR(GOOGLEFINANCE(A1815,""volume""),"""")"),2.83459E7)</f>
        <v>28345900</v>
      </c>
      <c r="AA1815" s="24" t="str">
        <f>VLOOKUP(A1815,Metrik!$C$2:$Y$959,5,0)</f>
        <v>Personal Care Products</v>
      </c>
      <c r="AB1815" s="24" t="str">
        <f>VLOOKUP(A1815,Metrik!$C$2:$Y$959,3,0)</f>
        <v>Consumer Non-Cyclicals</v>
      </c>
    </row>
    <row r="1816">
      <c r="A1816" s="14" t="s">
        <v>979</v>
      </c>
      <c r="B1816" s="14" t="str">
        <f t="array" ref="B1816">VLOOKUP(A1816,{Metrik!$C$2:$C$998,Metrik!$B$2:$B$998},2,0)</f>
        <v>Unilever Indonesia Tbk.</v>
      </c>
      <c r="C1816" s="15">
        <f>IFERROR(__xludf.DUMMYFUNCTION("GOOGLEFINANCE(""IDX:""&amp;A1816,""price"")"),1665.0)</f>
        <v>1665</v>
      </c>
      <c r="D1816" s="16" t="str">
        <f>IFERROR(__xludf.DUMMYFUNCTION("IF(A1816="""","""",
SPARKLINE(
INDEX(
GOOGLEFINANCE(""IDX:""&amp;A1816,""close"",TODAY()-365,TODAY()),
,2
),
{""linewidth"",1}
))
"),"#N/A")</f>
        <v>#N/A</v>
      </c>
      <c r="E1816" s="14" t="s">
        <v>28</v>
      </c>
      <c r="F1816" s="17" t="s">
        <v>29</v>
      </c>
      <c r="G1816" s="24">
        <f t="shared" si="11"/>
        <v>14</v>
      </c>
      <c r="H1816" s="19">
        <f>VLOOKUP(A1816,Metrik!$C$2:$Y$959,8,0)</f>
        <v>7.6</v>
      </c>
      <c r="I1816" s="20">
        <f>VLOOKUP(A1816,Metrik!$C$2:$Y$959,9,0)</f>
        <v>9.9</v>
      </c>
      <c r="J1816" s="20">
        <f>VLOOKUP(A1816,Metrik!$C$2:$Y$959,10,0)</f>
        <v>130</v>
      </c>
      <c r="K1816" s="20">
        <f>VLOOKUP(A1816,Metrik!$C$2:$Y$959,11,0)</f>
        <v>42.7</v>
      </c>
      <c r="L1816" s="20">
        <f>VLOOKUP(A1816,Metrik!$C$2:$Y$959,12,0)</f>
        <v>2.1</v>
      </c>
      <c r="M1816" s="20">
        <f>VLOOKUP(A1816,Metrik!$C$2:$Y$959,19,0)</f>
        <v>100</v>
      </c>
      <c r="N1816" s="21"/>
      <c r="O1816" s="21"/>
      <c r="P1816" s="21"/>
      <c r="Q1816" s="21"/>
      <c r="R1816" s="21"/>
      <c r="S1816" s="21"/>
      <c r="T1816" s="21"/>
      <c r="U1816" s="22">
        <f>IFERROR(__xludf.DUMMYFUNCTION("IFERROR(GOOGLEFINANCE(A1816,""closeyest""),"""")"),1635.0)</f>
        <v>1635</v>
      </c>
      <c r="V1816" s="23">
        <f>IFERROR(__xludf.DUMMYFUNCTION("IFERROR(GOOGLEFINANCE(A1816,""changepct""),"""")"),1.83)</f>
        <v>1.83</v>
      </c>
      <c r="W1816" s="22">
        <f>IFERROR(__xludf.DUMMYFUNCTION("IFERROR(GOOGLEFINANCE(A1816,""priceopen""),"""")"),1640.0)</f>
        <v>1640</v>
      </c>
      <c r="X1816" s="22">
        <f>IFERROR(__xludf.DUMMYFUNCTION("IFERROR(GOOGLEFINANCE(A1816,""high""),"""")"),1670.0)</f>
        <v>1670</v>
      </c>
      <c r="Y1816" s="22" t="str">
        <f>IFERROR(__xludf.DUMMYFUNCTION("IFERROR(GOOGLEFINANCE(A1816,""low""),"""")"),"")</f>
        <v/>
      </c>
      <c r="Z1816" s="22">
        <f>IFERROR(__xludf.DUMMYFUNCTION("IFERROR(GOOGLEFINANCE(A1816,""volume""),"""")"),2.83459E7)</f>
        <v>28345900</v>
      </c>
      <c r="AA1816" s="24" t="str">
        <f>VLOOKUP(A1816,Metrik!$C$2:$Y$959,5,0)</f>
        <v>Personal Care Products</v>
      </c>
      <c r="AB1816" s="24" t="str">
        <f>VLOOKUP(A1816,Metrik!$C$2:$Y$959,3,0)</f>
        <v>Consumer Non-Cyclicals</v>
      </c>
    </row>
    <row r="1817">
      <c r="A1817" s="14" t="s">
        <v>979</v>
      </c>
      <c r="B1817" s="14" t="str">
        <f t="array" ref="B1817">VLOOKUP(A1817,{Metrik!$C$2:$C$998,Metrik!$B$2:$B$998},2,0)</f>
        <v>Unilever Indonesia Tbk.</v>
      </c>
      <c r="C1817" s="15">
        <f>IFERROR(__xludf.DUMMYFUNCTION("GOOGLEFINANCE(""IDX:""&amp;A1817,""price"")"),1665.0)</f>
        <v>1665</v>
      </c>
      <c r="D1817" s="16" t="str">
        <f>IFERROR(__xludf.DUMMYFUNCTION("IF(A1817="""","""",
SPARKLINE(
INDEX(
GOOGLEFINANCE(""IDX:""&amp;A1817,""close"",TODAY()-365,TODAY()),
,2
),
{""linewidth"",1}
))
"),"#N/A")</f>
        <v>#N/A</v>
      </c>
      <c r="E1817" s="14" t="s">
        <v>31</v>
      </c>
      <c r="F1817" s="17" t="s">
        <v>29</v>
      </c>
      <c r="G1817" s="24">
        <f t="shared" si="11"/>
        <v>14</v>
      </c>
      <c r="H1817" s="19">
        <f>VLOOKUP(A1817,Metrik!$C$2:$Y$959,8,0)</f>
        <v>7.6</v>
      </c>
      <c r="I1817" s="20">
        <f>VLOOKUP(A1817,Metrik!$C$2:$Y$959,9,0)</f>
        <v>9.9</v>
      </c>
      <c r="J1817" s="20">
        <f>VLOOKUP(A1817,Metrik!$C$2:$Y$959,10,0)</f>
        <v>130</v>
      </c>
      <c r="K1817" s="20">
        <f>VLOOKUP(A1817,Metrik!$C$2:$Y$959,11,0)</f>
        <v>42.7</v>
      </c>
      <c r="L1817" s="20">
        <f>VLOOKUP(A1817,Metrik!$C$2:$Y$959,12,0)</f>
        <v>2.1</v>
      </c>
      <c r="M1817" s="20">
        <f>VLOOKUP(A1817,Metrik!$C$2:$Y$959,19,0)</f>
        <v>100</v>
      </c>
      <c r="N1817" s="21"/>
      <c r="O1817" s="21"/>
      <c r="P1817" s="21"/>
      <c r="Q1817" s="21"/>
      <c r="R1817" s="21"/>
      <c r="S1817" s="21"/>
      <c r="T1817" s="21"/>
      <c r="U1817" s="22">
        <f>IFERROR(__xludf.DUMMYFUNCTION("IFERROR(GOOGLEFINANCE(A1817,""closeyest""),"""")"),1635.0)</f>
        <v>1635</v>
      </c>
      <c r="V1817" s="23">
        <f>IFERROR(__xludf.DUMMYFUNCTION("IFERROR(GOOGLEFINANCE(A1817,""changepct""),"""")"),1.83)</f>
        <v>1.83</v>
      </c>
      <c r="W1817" s="22">
        <f>IFERROR(__xludf.DUMMYFUNCTION("IFERROR(GOOGLEFINANCE(A1817,""priceopen""),"""")"),1640.0)</f>
        <v>1640</v>
      </c>
      <c r="X1817" s="22">
        <f>IFERROR(__xludf.DUMMYFUNCTION("IFERROR(GOOGLEFINANCE(A1817,""high""),"""")"),1670.0)</f>
        <v>1670</v>
      </c>
      <c r="Y1817" s="22" t="str">
        <f>IFERROR(__xludf.DUMMYFUNCTION("IFERROR(GOOGLEFINANCE(A1817,""low""),"""")"),"")</f>
        <v/>
      </c>
      <c r="Z1817" s="22">
        <f>IFERROR(__xludf.DUMMYFUNCTION("IFERROR(GOOGLEFINANCE(A1817,""volume""),"""")"),2.83459E7)</f>
        <v>28345900</v>
      </c>
      <c r="AA1817" s="24" t="str">
        <f>VLOOKUP(A1817,Metrik!$C$2:$Y$959,5,0)</f>
        <v>Personal Care Products</v>
      </c>
      <c r="AB1817" s="24" t="str">
        <f>VLOOKUP(A1817,Metrik!$C$2:$Y$959,3,0)</f>
        <v>Consumer Non-Cyclicals</v>
      </c>
    </row>
    <row r="1818">
      <c r="A1818" s="14" t="s">
        <v>979</v>
      </c>
      <c r="B1818" s="14" t="str">
        <f t="array" ref="B1818">VLOOKUP(A1818,{Metrik!$C$2:$C$998,Metrik!$B$2:$B$998},2,0)</f>
        <v>Unilever Indonesia Tbk.</v>
      </c>
      <c r="C1818" s="15">
        <f>IFERROR(__xludf.DUMMYFUNCTION("GOOGLEFINANCE(""IDX:""&amp;A1818,""price"")"),1665.0)</f>
        <v>1665</v>
      </c>
      <c r="D1818" s="16" t="str">
        <f>IFERROR(__xludf.DUMMYFUNCTION("IF(A1818="""","""",
SPARKLINE(
INDEX(
GOOGLEFINANCE(""IDX:""&amp;A1818,""close"",TODAY()-365,TODAY()),
,2
),
{""linewidth"",1}
))
"),"#N/A")</f>
        <v>#N/A</v>
      </c>
      <c r="E1818" s="14" t="s">
        <v>50</v>
      </c>
      <c r="F1818" s="17" t="s">
        <v>51</v>
      </c>
      <c r="G1818" s="24">
        <f t="shared" si="11"/>
        <v>14</v>
      </c>
      <c r="H1818" s="19">
        <f>VLOOKUP(A1818,Metrik!$C$2:$Y$959,8,0)</f>
        <v>7.6</v>
      </c>
      <c r="I1818" s="20">
        <f>VLOOKUP(A1818,Metrik!$C$2:$Y$959,9,0)</f>
        <v>9.9</v>
      </c>
      <c r="J1818" s="20">
        <f>VLOOKUP(A1818,Metrik!$C$2:$Y$959,10,0)</f>
        <v>130</v>
      </c>
      <c r="K1818" s="20">
        <f>VLOOKUP(A1818,Metrik!$C$2:$Y$959,11,0)</f>
        <v>42.7</v>
      </c>
      <c r="L1818" s="20">
        <f>VLOOKUP(A1818,Metrik!$C$2:$Y$959,12,0)</f>
        <v>2.1</v>
      </c>
      <c r="M1818" s="20">
        <f>VLOOKUP(A1818,Metrik!$C$2:$Y$959,19,0)</f>
        <v>100</v>
      </c>
      <c r="N1818" s="21"/>
      <c r="O1818" s="21"/>
      <c r="P1818" s="21"/>
      <c r="Q1818" s="21"/>
      <c r="R1818" s="21"/>
      <c r="S1818" s="21"/>
      <c r="T1818" s="21"/>
      <c r="U1818" s="22">
        <f>IFERROR(__xludf.DUMMYFUNCTION("IFERROR(GOOGLEFINANCE(A1818,""closeyest""),"""")"),1635.0)</f>
        <v>1635</v>
      </c>
      <c r="V1818" s="23">
        <f>IFERROR(__xludf.DUMMYFUNCTION("IFERROR(GOOGLEFINANCE(A1818,""changepct""),"""")"),1.83)</f>
        <v>1.83</v>
      </c>
      <c r="W1818" s="22">
        <f>IFERROR(__xludf.DUMMYFUNCTION("IFERROR(GOOGLEFINANCE(A1818,""priceopen""),"""")"),1640.0)</f>
        <v>1640</v>
      </c>
      <c r="X1818" s="22">
        <f>IFERROR(__xludf.DUMMYFUNCTION("IFERROR(GOOGLEFINANCE(A1818,""high""),"""")"),1670.0)</f>
        <v>1670</v>
      </c>
      <c r="Y1818" s="22" t="str">
        <f>IFERROR(__xludf.DUMMYFUNCTION("IFERROR(GOOGLEFINANCE(A1818,""low""),"""")"),"")</f>
        <v/>
      </c>
      <c r="Z1818" s="22">
        <f>IFERROR(__xludf.DUMMYFUNCTION("IFERROR(GOOGLEFINANCE(A1818,""volume""),"""")"),2.83459E7)</f>
        <v>28345900</v>
      </c>
      <c r="AA1818" s="24" t="str">
        <f>VLOOKUP(A1818,Metrik!$C$2:$Y$959,5,0)</f>
        <v>Personal Care Products</v>
      </c>
      <c r="AB1818" s="24" t="str">
        <f>VLOOKUP(A1818,Metrik!$C$2:$Y$959,3,0)</f>
        <v>Consumer Non-Cyclicals</v>
      </c>
    </row>
    <row r="1819">
      <c r="A1819" s="48" t="s">
        <v>979</v>
      </c>
      <c r="B1819" s="14" t="str">
        <f t="array" ref="B1819">VLOOKUP(A1819,{Metrik!$C$2:$C$998,Metrik!$B$2:$B$998},2,0)</f>
        <v>Unilever Indonesia Tbk.</v>
      </c>
      <c r="C1819" s="15">
        <f>IFERROR(__xludf.DUMMYFUNCTION("GOOGLEFINANCE(""IDX:""&amp;A1819,""price"")"),1665.0)</f>
        <v>1665</v>
      </c>
      <c r="D1819" s="16" t="str">
        <f>IFERROR(__xludf.DUMMYFUNCTION("IF(A1819="""","""",
SPARKLINE(
INDEX(
GOOGLEFINANCE(""IDX:""&amp;A1819,""close"",TODAY()-365,TODAY()),
,2
),
{""linewidth"",1}
))
"),"#N/A")</f>
        <v>#N/A</v>
      </c>
      <c r="E1819" s="17" t="s">
        <v>69</v>
      </c>
      <c r="F1819" s="17" t="s">
        <v>70</v>
      </c>
      <c r="G1819" s="24">
        <f t="shared" si="11"/>
        <v>14</v>
      </c>
      <c r="H1819" s="19">
        <f>VLOOKUP(A1819,Metrik!$C$2:$Y$959,8,0)</f>
        <v>7.6</v>
      </c>
      <c r="I1819" s="20">
        <f>VLOOKUP(A1819,Metrik!$C$2:$Y$959,9,0)</f>
        <v>9.9</v>
      </c>
      <c r="J1819" s="20">
        <f>VLOOKUP(A1819,Metrik!$C$2:$Y$959,10,0)</f>
        <v>130</v>
      </c>
      <c r="K1819" s="20">
        <f>VLOOKUP(A1819,Metrik!$C$2:$Y$959,11,0)</f>
        <v>42.7</v>
      </c>
      <c r="L1819" s="20">
        <f>VLOOKUP(A1819,Metrik!$C$2:$Y$959,12,0)</f>
        <v>2.1</v>
      </c>
      <c r="M1819" s="20">
        <f>VLOOKUP(A1819,Metrik!$C$2:$Y$959,19,0)</f>
        <v>100</v>
      </c>
      <c r="N1819" s="21"/>
      <c r="O1819" s="21"/>
      <c r="P1819" s="21"/>
      <c r="Q1819" s="21"/>
      <c r="R1819" s="21"/>
      <c r="S1819" s="21"/>
      <c r="T1819" s="21"/>
      <c r="U1819" s="22">
        <f>IFERROR(__xludf.DUMMYFUNCTION("IFERROR(GOOGLEFINANCE(A1819,""closeyest""),"""")"),1635.0)</f>
        <v>1635</v>
      </c>
      <c r="V1819" s="23">
        <f>IFERROR(__xludf.DUMMYFUNCTION("IFERROR(GOOGLEFINANCE(A1819,""changepct""),"""")"),1.83)</f>
        <v>1.83</v>
      </c>
      <c r="W1819" s="22">
        <f>IFERROR(__xludf.DUMMYFUNCTION("IFERROR(GOOGLEFINANCE(A1819,""priceopen""),"""")"),1640.0)</f>
        <v>1640</v>
      </c>
      <c r="X1819" s="22">
        <f>IFERROR(__xludf.DUMMYFUNCTION("IFERROR(GOOGLEFINANCE(A1819,""high""),"""")"),1670.0)</f>
        <v>1670</v>
      </c>
      <c r="Y1819" s="22" t="str">
        <f>IFERROR(__xludf.DUMMYFUNCTION("IFERROR(GOOGLEFINANCE(A1819,""low""),"""")"),"")</f>
        <v/>
      </c>
      <c r="Z1819" s="22">
        <f>IFERROR(__xludf.DUMMYFUNCTION("IFERROR(GOOGLEFINANCE(A1819,""volume""),"""")"),2.83459E7)</f>
        <v>28345900</v>
      </c>
      <c r="AA1819" s="24" t="str">
        <f>VLOOKUP(A1819,Metrik!$C$2:$Y$959,5,0)</f>
        <v>Personal Care Products</v>
      </c>
      <c r="AB1819" s="24" t="str">
        <f>VLOOKUP(A1819,Metrik!$C$2:$Y$959,3,0)</f>
        <v>Consumer Non-Cyclicals</v>
      </c>
    </row>
    <row r="1820">
      <c r="A1820" s="14" t="s">
        <v>979</v>
      </c>
      <c r="B1820" s="14" t="str">
        <f t="array" ref="B1820">VLOOKUP(A1820,{Metrik!$C$2:$C$998,Metrik!$B$2:$B$998},2,0)</f>
        <v>Unilever Indonesia Tbk.</v>
      </c>
      <c r="C1820" s="15">
        <f>IFERROR(__xludf.DUMMYFUNCTION("GOOGLEFINANCE(""IDX:""&amp;A1820,""price"")"),1665.0)</f>
        <v>1665</v>
      </c>
      <c r="D1820" s="16" t="str">
        <f>IFERROR(__xludf.DUMMYFUNCTION("IF(A1820="""","""",
SPARKLINE(
INDEX(
GOOGLEFINANCE(""IDX:""&amp;A1820,""close"",TODAY()-365,TODAY()),
,2
),
{""linewidth"",1}
))
"),"#N/A")</f>
        <v>#N/A</v>
      </c>
      <c r="E1820" s="14" t="s">
        <v>86</v>
      </c>
      <c r="F1820" s="25">
        <v>46356.0</v>
      </c>
      <c r="G1820" s="24">
        <f t="shared" si="11"/>
        <v>14</v>
      </c>
      <c r="H1820" s="19">
        <f>VLOOKUP(A1820,Metrik!$C$2:$Y$959,8,0)</f>
        <v>7.6</v>
      </c>
      <c r="I1820" s="20">
        <f>VLOOKUP(A1820,Metrik!$C$2:$Y$959,9,0)</f>
        <v>9.9</v>
      </c>
      <c r="J1820" s="20">
        <f>VLOOKUP(A1820,Metrik!$C$2:$Y$959,10,0)</f>
        <v>130</v>
      </c>
      <c r="K1820" s="20">
        <f>VLOOKUP(A1820,Metrik!$C$2:$Y$959,11,0)</f>
        <v>42.7</v>
      </c>
      <c r="L1820" s="20">
        <f>VLOOKUP(A1820,Metrik!$C$2:$Y$959,12,0)</f>
        <v>2.1</v>
      </c>
      <c r="M1820" s="20">
        <f>VLOOKUP(A1820,Metrik!$C$2:$Y$959,19,0)</f>
        <v>100</v>
      </c>
      <c r="N1820" s="21"/>
      <c r="O1820" s="21"/>
      <c r="P1820" s="21"/>
      <c r="Q1820" s="21"/>
      <c r="R1820" s="21"/>
      <c r="S1820" s="21"/>
      <c r="T1820" s="21"/>
      <c r="U1820" s="22">
        <f>IFERROR(__xludf.DUMMYFUNCTION("IFERROR(GOOGLEFINANCE(A1820,""closeyest""),"""")"),1635.0)</f>
        <v>1635</v>
      </c>
      <c r="V1820" s="23">
        <f>IFERROR(__xludf.DUMMYFUNCTION("IFERROR(GOOGLEFINANCE(A1820,""changepct""),"""")"),1.83)</f>
        <v>1.83</v>
      </c>
      <c r="W1820" s="22">
        <f>IFERROR(__xludf.DUMMYFUNCTION("IFERROR(GOOGLEFINANCE(A1820,""priceopen""),"""")"),1640.0)</f>
        <v>1640</v>
      </c>
      <c r="X1820" s="22">
        <f>IFERROR(__xludf.DUMMYFUNCTION("IFERROR(GOOGLEFINANCE(A1820,""high""),"""")"),1670.0)</f>
        <v>1670</v>
      </c>
      <c r="Y1820" s="22" t="str">
        <f>IFERROR(__xludf.DUMMYFUNCTION("IFERROR(GOOGLEFINANCE(A1820,""low""),"""")"),"")</f>
        <v/>
      </c>
      <c r="Z1820" s="22">
        <f>IFERROR(__xludf.DUMMYFUNCTION("IFERROR(GOOGLEFINANCE(A1820,""volume""),"""")"),2.83459E7)</f>
        <v>28345900</v>
      </c>
      <c r="AA1820" s="24" t="str">
        <f>VLOOKUP(A1820,Metrik!$C$2:$Y$959,5,0)</f>
        <v>Personal Care Products</v>
      </c>
      <c r="AB1820" s="24" t="str">
        <f>VLOOKUP(A1820,Metrik!$C$2:$Y$959,3,0)</f>
        <v>Consumer Non-Cyclicals</v>
      </c>
    </row>
    <row r="1821">
      <c r="A1821" s="14" t="s">
        <v>979</v>
      </c>
      <c r="B1821" s="14" t="str">
        <f t="array" ref="B1821">VLOOKUP(A1821,{Metrik!$C$2:$C$998,Metrik!$B$2:$B$998},2,0)</f>
        <v>Unilever Indonesia Tbk.</v>
      </c>
      <c r="C1821" s="15">
        <f>IFERROR(__xludf.DUMMYFUNCTION("GOOGLEFINANCE(""IDX:""&amp;A1821,""price"")"),1665.0)</f>
        <v>1665</v>
      </c>
      <c r="D1821" s="16" t="str">
        <f>IFERROR(__xludf.DUMMYFUNCTION("IF(A1821="""","""",
SPARKLINE(
INDEX(
GOOGLEFINANCE(""IDX:""&amp;A1821,""close"",TODAY()-365,TODAY()),
,2
),
{""linewidth"",1}
))
"),"#N/A")</f>
        <v>#N/A</v>
      </c>
      <c r="E1821" s="14" t="s">
        <v>39</v>
      </c>
      <c r="F1821" s="25">
        <v>46356.0</v>
      </c>
      <c r="G1821" s="24">
        <f t="shared" si="11"/>
        <v>14</v>
      </c>
      <c r="H1821" s="19">
        <f>VLOOKUP(A1821,Metrik!$C$2:$Y$959,8,0)</f>
        <v>7.6</v>
      </c>
      <c r="I1821" s="20">
        <f>VLOOKUP(A1821,Metrik!$C$2:$Y$959,9,0)</f>
        <v>9.9</v>
      </c>
      <c r="J1821" s="20">
        <f>VLOOKUP(A1821,Metrik!$C$2:$Y$959,10,0)</f>
        <v>130</v>
      </c>
      <c r="K1821" s="20">
        <f>VLOOKUP(A1821,Metrik!$C$2:$Y$959,11,0)</f>
        <v>42.7</v>
      </c>
      <c r="L1821" s="20">
        <f>VLOOKUP(A1821,Metrik!$C$2:$Y$959,12,0)</f>
        <v>2.1</v>
      </c>
      <c r="M1821" s="20">
        <f>VLOOKUP(A1821,Metrik!$C$2:$Y$959,19,0)</f>
        <v>100</v>
      </c>
      <c r="N1821" s="21"/>
      <c r="O1821" s="21"/>
      <c r="P1821" s="21"/>
      <c r="Q1821" s="21"/>
      <c r="R1821" s="21"/>
      <c r="S1821" s="21"/>
      <c r="T1821" s="21"/>
      <c r="U1821" s="22">
        <f>IFERROR(__xludf.DUMMYFUNCTION("IFERROR(GOOGLEFINANCE(A1821,""closeyest""),"""")"),1635.0)</f>
        <v>1635</v>
      </c>
      <c r="V1821" s="23">
        <f>IFERROR(__xludf.DUMMYFUNCTION("IFERROR(GOOGLEFINANCE(A1821,""changepct""),"""")"),1.83)</f>
        <v>1.83</v>
      </c>
      <c r="W1821" s="22">
        <f>IFERROR(__xludf.DUMMYFUNCTION("IFERROR(GOOGLEFINANCE(A1821,""priceopen""),"""")"),1640.0)</f>
        <v>1640</v>
      </c>
      <c r="X1821" s="22">
        <f>IFERROR(__xludf.DUMMYFUNCTION("IFERROR(GOOGLEFINANCE(A1821,""high""),"""")"),1670.0)</f>
        <v>1670</v>
      </c>
      <c r="Y1821" s="22" t="str">
        <f>IFERROR(__xludf.DUMMYFUNCTION("IFERROR(GOOGLEFINANCE(A1821,""low""),"""")"),"")</f>
        <v/>
      </c>
      <c r="Z1821" s="22">
        <f>IFERROR(__xludf.DUMMYFUNCTION("IFERROR(GOOGLEFINANCE(A1821,""volume""),"""")"),2.83459E7)</f>
        <v>28345900</v>
      </c>
      <c r="AA1821" s="24" t="str">
        <f>VLOOKUP(A1821,Metrik!$C$2:$Y$959,5,0)</f>
        <v>Personal Care Products</v>
      </c>
      <c r="AB1821" s="24" t="str">
        <f>VLOOKUP(A1821,Metrik!$C$2:$Y$959,3,0)</f>
        <v>Consumer Non-Cyclicals</v>
      </c>
    </row>
    <row r="1822">
      <c r="A1822" s="14" t="s">
        <v>980</v>
      </c>
      <c r="B1822" s="14" t="str">
        <f t="array" ref="B1822">VLOOKUP(A1822,{Metrik!$C$2:$C$998,Metrik!$B$2:$B$998},2,0)</f>
        <v>Urban Jakarta Propertindo Tbk.</v>
      </c>
      <c r="C1822" s="15">
        <f>IFERROR(__xludf.DUMMYFUNCTION("GOOGLEFINANCE(""IDX:""&amp;A1822,""price"")"),202.0)</f>
        <v>202</v>
      </c>
      <c r="D1822" s="16" t="str">
        <f>IFERROR(__xludf.DUMMYFUNCTION("IF(A1822="""","""",
SPARKLINE(
INDEX(
GOOGLEFINANCE(""IDX:""&amp;A1822,""close"",TODAY()-365,TODAY()),
,2
),
{""linewidth"",1}
))
"),"#N/A")</f>
        <v>#N/A</v>
      </c>
      <c r="E1822" s="26"/>
      <c r="F1822" s="26"/>
      <c r="G1822" s="24">
        <f t="shared" si="11"/>
        <v>0</v>
      </c>
      <c r="H1822" s="19">
        <f>VLOOKUP(A1822,Metrik!$C$2:$Y$959,8,0)</f>
        <v>-1.9</v>
      </c>
      <c r="I1822" s="20">
        <f>VLOOKUP(A1822,Metrik!$C$2:$Y$959,9,0)</f>
        <v>0.35</v>
      </c>
      <c r="J1822" s="20">
        <f>VLOOKUP(A1822,Metrik!$C$2:$Y$959,10,0)</f>
        <v>-19</v>
      </c>
      <c r="K1822" s="20">
        <f>VLOOKUP(A1822,Metrik!$C$2:$Y$959,11,0)</f>
        <v>-4.1</v>
      </c>
      <c r="L1822" s="20">
        <f>VLOOKUP(A1822,Metrik!$C$2:$Y$959,12,0)</f>
        <v>1.3</v>
      </c>
      <c r="M1822" s="20">
        <f>VLOOKUP(A1822,Metrik!$C$2:$Y$959,19,0)</f>
        <v>-4750</v>
      </c>
      <c r="N1822" s="21"/>
      <c r="O1822" s="21"/>
      <c r="P1822" s="21"/>
      <c r="Q1822" s="21"/>
      <c r="R1822" s="21"/>
      <c r="S1822" s="21"/>
      <c r="T1822" s="21"/>
      <c r="U1822" s="22">
        <f>IFERROR(__xludf.DUMMYFUNCTION("IFERROR(GOOGLEFINANCE(A1822,""closeyest""),"""")"),77.38)</f>
        <v>77.38</v>
      </c>
      <c r="V1822" s="23">
        <f>IFERROR(__xludf.DUMMYFUNCTION("IFERROR(GOOGLEFINANCE(A1822,""changepct""),"""")"),-0.49)</f>
        <v>-0.49</v>
      </c>
      <c r="W1822" s="22">
        <f>IFERROR(__xludf.DUMMYFUNCTION("IFERROR(GOOGLEFINANCE(A1822,""priceopen""),"""")"),78.09)</f>
        <v>78.09</v>
      </c>
      <c r="X1822" s="22">
        <f>IFERROR(__xludf.DUMMYFUNCTION("IFERROR(GOOGLEFINANCE(A1822,""high""),"""")"),79.42)</f>
        <v>79.42</v>
      </c>
      <c r="Y1822" s="22">
        <f>IFERROR(__xludf.DUMMYFUNCTION("IFERROR(GOOGLEFINANCE(A1822,""low""),"""")"),76.35)</f>
        <v>76.35</v>
      </c>
      <c r="Z1822" s="22">
        <f>IFERROR(__xludf.DUMMYFUNCTION("IFERROR(GOOGLEFINANCE(A1822,""volume""),"""")"),1310253.0)</f>
        <v>1310253</v>
      </c>
      <c r="AA1822" s="24" t="str">
        <f>VLOOKUP(A1822,Metrik!$C$2:$Y$959,5,0)</f>
        <v>Real Estate Management &amp; Development</v>
      </c>
      <c r="AB1822" s="24" t="str">
        <f>VLOOKUP(A1822,Metrik!$C$2:$Y$959,3,0)</f>
        <v>Properties &amp; Real Estate</v>
      </c>
    </row>
    <row r="1823">
      <c r="A1823" s="14" t="s">
        <v>981</v>
      </c>
      <c r="B1823" s="14" t="str">
        <f t="array" ref="B1823">VLOOKUP(A1823,{Metrik!$C$2:$C$998,Metrik!$B$2:$B$998},2,0)</f>
        <v>Trimegah Karya Pratama Tbk.</v>
      </c>
      <c r="C1823" s="15">
        <f>IFERROR(__xludf.DUMMYFUNCTION("GOOGLEFINANCE(""IDX:""&amp;A1823,""price"")"),175.0)</f>
        <v>175</v>
      </c>
      <c r="D1823" s="16" t="str">
        <f>IFERROR(__xludf.DUMMYFUNCTION("IF(A1823="""","""",
SPARKLINE(
INDEX(
GOOGLEFINANCE(""IDX:""&amp;A1823,""close"",TODAY()-365,TODAY()),
,2
),
{""linewidth"",1}
))
"),"#N/A")</f>
        <v>#N/A</v>
      </c>
      <c r="E1823" s="26"/>
      <c r="F1823" s="26"/>
      <c r="G1823" s="24">
        <f t="shared" si="11"/>
        <v>0</v>
      </c>
      <c r="H1823" s="19">
        <f>VLOOKUP(A1823,Metrik!$C$2:$Y$959,8,0)</f>
        <v>43.8</v>
      </c>
      <c r="I1823" s="20">
        <f>VLOOKUP(A1823,Metrik!$C$2:$Y$959,9,0)</f>
        <v>4.4</v>
      </c>
      <c r="J1823" s="20">
        <f>VLOOKUP(A1823,Metrik!$C$2:$Y$959,10,0)</f>
        <v>10.1</v>
      </c>
      <c r="K1823" s="20">
        <f>VLOOKUP(A1823,Metrik!$C$2:$Y$959,11,0)</f>
        <v>4</v>
      </c>
      <c r="L1823" s="20">
        <f>VLOOKUP(A1823,Metrik!$C$2:$Y$959,12,0)</f>
        <v>1.5</v>
      </c>
      <c r="M1823" s="20">
        <f>VLOOKUP(A1823,Metrik!$C$2:$Y$959,19,0)</f>
        <v>3.3</v>
      </c>
      <c r="N1823" s="21"/>
      <c r="O1823" s="21"/>
      <c r="P1823" s="21"/>
      <c r="Q1823" s="21"/>
      <c r="R1823" s="21"/>
      <c r="S1823" s="21"/>
      <c r="T1823" s="21"/>
      <c r="U1823" s="22">
        <f>IFERROR(__xludf.DUMMYFUNCTION("IFERROR(GOOGLEFINANCE(A1823,""closeyest""),"""")"),180.0)</f>
        <v>180</v>
      </c>
      <c r="V1823" s="23">
        <f>IFERROR(__xludf.DUMMYFUNCTION("IFERROR(GOOGLEFINANCE(A1823,""changepct""),"""")"),-2.78)</f>
        <v>-2.78</v>
      </c>
      <c r="W1823" s="22">
        <f>IFERROR(__xludf.DUMMYFUNCTION("IFERROR(GOOGLEFINANCE(A1823,""priceopen""),"""")"),190.0)</f>
        <v>190</v>
      </c>
      <c r="X1823" s="22">
        <f>IFERROR(__xludf.DUMMYFUNCTION("IFERROR(GOOGLEFINANCE(A1823,""high""),"""")"),193.0)</f>
        <v>193</v>
      </c>
      <c r="Y1823" s="22">
        <f>IFERROR(__xludf.DUMMYFUNCTION("IFERROR(GOOGLEFINANCE(A1823,""low""),"""")"),168.0)</f>
        <v>168</v>
      </c>
      <c r="Z1823" s="22">
        <f>IFERROR(__xludf.DUMMYFUNCTION("IFERROR(GOOGLEFINANCE(A1823,""volume""),"""")"),2.01727E8)</f>
        <v>201727000</v>
      </c>
      <c r="AA1823" s="24" t="str">
        <f>VLOOKUP(A1823,Metrik!$C$2:$Y$959,5,0)</f>
        <v>Online Applications &amp; Services</v>
      </c>
      <c r="AB1823" s="24" t="str">
        <f>VLOOKUP(A1823,Metrik!$C$2:$Y$959,3,0)</f>
        <v>Technology</v>
      </c>
    </row>
    <row r="1824">
      <c r="A1824" s="14" t="s">
        <v>982</v>
      </c>
      <c r="B1824" s="14" t="str">
        <f t="array" ref="B1824">VLOOKUP(A1824,{Metrik!$C$2:$C$998,Metrik!$B$2:$B$998},2,0)</f>
        <v>PT Vastland Indonesia Tbk</v>
      </c>
      <c r="C1824" s="15">
        <f>IFERROR(__xludf.DUMMYFUNCTION("GOOGLEFINANCE(""IDX:""&amp;A1824,""price"")"),119.0)</f>
        <v>119</v>
      </c>
      <c r="D1824" s="16" t="str">
        <f>IFERROR(__xludf.DUMMYFUNCTION("IF(A1824="""","""",
SPARKLINE(
INDEX(
GOOGLEFINANCE(""IDX:""&amp;A1824,""close"",TODAY()-365,TODAY()),
,2
),
{""linewidth"",1}
))
"),"#N/A")</f>
        <v>#N/A</v>
      </c>
      <c r="E1824" s="26"/>
      <c r="F1824" s="26"/>
      <c r="G1824" s="24">
        <f t="shared" si="11"/>
        <v>0</v>
      </c>
      <c r="H1824" s="19">
        <f>VLOOKUP(A1824,Metrik!$C$2:$Y$959,8,0)</f>
        <v>21.1</v>
      </c>
      <c r="I1824" s="20">
        <f>VLOOKUP(A1824,Metrik!$C$2:$Y$959,9,0)</f>
        <v>0.92</v>
      </c>
      <c r="J1824" s="20">
        <f>VLOOKUP(A1824,Metrik!$C$2:$Y$959,10,0)</f>
        <v>4.4</v>
      </c>
      <c r="K1824" s="20">
        <f>VLOOKUP(A1824,Metrik!$C$2:$Y$959,11,0)</f>
        <v>3.4</v>
      </c>
      <c r="L1824" s="20">
        <f>VLOOKUP(A1824,Metrik!$C$2:$Y$959,12,0)</f>
        <v>0.27</v>
      </c>
      <c r="M1824" s="20">
        <f>VLOOKUP(A1824,Metrik!$C$2:$Y$959,19,0)</f>
        <v>170</v>
      </c>
      <c r="N1824" s="21"/>
      <c r="O1824" s="21"/>
      <c r="P1824" s="21"/>
      <c r="Q1824" s="21"/>
      <c r="R1824" s="21"/>
      <c r="S1824" s="21"/>
      <c r="T1824" s="21"/>
      <c r="U1824" s="22">
        <f>IFERROR(__xludf.DUMMYFUNCTION("IFERROR(GOOGLEFINANCE(A1824,""closeyest""),"""")"),0.12)</f>
        <v>0.12</v>
      </c>
      <c r="V1824" s="23">
        <f>IFERROR(__xludf.DUMMYFUNCTION("IFERROR(GOOGLEFINANCE(A1824,""changepct""),"""")"),0.0)</f>
        <v>0</v>
      </c>
      <c r="W1824" s="22" t="str">
        <f>IFERROR(__xludf.DUMMYFUNCTION("IFERROR(GOOGLEFINANCE(A1824,""priceopen""),"""")"),"")</f>
        <v/>
      </c>
      <c r="X1824" s="22" t="str">
        <f>IFERROR(__xludf.DUMMYFUNCTION("IFERROR(GOOGLEFINANCE(A1824,""high""),"""")"),"")</f>
        <v/>
      </c>
      <c r="Y1824" s="22" t="str">
        <f>IFERROR(__xludf.DUMMYFUNCTION("IFERROR(GOOGLEFINANCE(A1824,""low""),"""")"),"")</f>
        <v/>
      </c>
      <c r="Z1824" s="22">
        <f>IFERROR(__xludf.DUMMYFUNCTION("IFERROR(GOOGLEFINANCE(A1824,""volume""),"""")"),0.0)</f>
        <v>0</v>
      </c>
      <c r="AA1824" s="24" t="str">
        <f>VLOOKUP(A1824,Metrik!$C$2:$Y$959,5,0)</f>
        <v>Real Estate Management &amp; Development</v>
      </c>
      <c r="AB1824" s="24" t="str">
        <f>VLOOKUP(A1824,Metrik!$C$2:$Y$959,3,0)</f>
        <v>Properties &amp; Real Estate</v>
      </c>
    </row>
    <row r="1825">
      <c r="A1825" s="14" t="s">
        <v>983</v>
      </c>
      <c r="B1825" s="14" t="str">
        <f t="array" ref="B1825">VLOOKUP(A1825,{Metrik!$C$2:$C$998,Metrik!$B$2:$B$998},2,0)</f>
        <v>Verona Indah Pictures Tbk.</v>
      </c>
      <c r="C1825" s="15">
        <f>IFERROR(__xludf.DUMMYFUNCTION("GOOGLEFINANCE(""IDX:""&amp;A1825,""price"")"),120.0)</f>
        <v>120</v>
      </c>
      <c r="D1825" s="16" t="str">
        <f>IFERROR(__xludf.DUMMYFUNCTION("IF(A1825="""","""",
SPARKLINE(
INDEX(
GOOGLEFINANCE(""IDX:""&amp;A1825,""close"",TODAY()-365,TODAY()),
,2
),
{""linewidth"",1}
))
"),"#N/A")</f>
        <v>#N/A</v>
      </c>
      <c r="E1825" s="26"/>
      <c r="F1825" s="26"/>
      <c r="G1825" s="24">
        <f t="shared" si="11"/>
        <v>0</v>
      </c>
      <c r="H1825" s="19">
        <f>VLOOKUP(A1825,Metrik!$C$2:$Y$959,8,0)</f>
        <v>150</v>
      </c>
      <c r="I1825" s="20">
        <f>VLOOKUP(A1825,Metrik!$C$2:$Y$959,9,0)</f>
        <v>1.1</v>
      </c>
      <c r="J1825" s="20">
        <f>VLOOKUP(A1825,Metrik!$C$2:$Y$959,10,0)</f>
        <v>0.75</v>
      </c>
      <c r="K1825" s="20">
        <f>VLOOKUP(A1825,Metrik!$C$2:$Y$959,11,0)</f>
        <v>0.72</v>
      </c>
      <c r="L1825" s="20">
        <f>VLOOKUP(A1825,Metrik!$C$2:$Y$959,12,0)</f>
        <v>0.04</v>
      </c>
      <c r="M1825" s="20">
        <f>VLOOKUP(A1825,Metrik!$C$2:$Y$959,19,0)</f>
        <v>54.8</v>
      </c>
      <c r="N1825" s="21"/>
      <c r="O1825" s="21"/>
      <c r="P1825" s="21"/>
      <c r="Q1825" s="21"/>
      <c r="R1825" s="21"/>
      <c r="S1825" s="21"/>
      <c r="T1825" s="21"/>
      <c r="U1825" s="22">
        <f>IFERROR(__xludf.DUMMYFUNCTION("IFERROR(GOOGLEFINANCE(A1825,""closeyest""),"""")"),1173.88)</f>
        <v>1173.88</v>
      </c>
      <c r="V1825" s="23">
        <f>IFERROR(__xludf.DUMMYFUNCTION("IFERROR(GOOGLEFINANCE(A1825,""changepct""),"""")"),32.66)</f>
        <v>32.66</v>
      </c>
      <c r="W1825" s="22" t="str">
        <f>IFERROR(__xludf.DUMMYFUNCTION("IFERROR(GOOGLEFINANCE(A1825,""priceopen""),"""")"),"")</f>
        <v/>
      </c>
      <c r="X1825" s="22" t="str">
        <f>IFERROR(__xludf.DUMMYFUNCTION("IFERROR(GOOGLEFINANCE(A1825,""high""),"""")"),"")</f>
        <v/>
      </c>
      <c r="Y1825" s="22" t="str">
        <f>IFERROR(__xludf.DUMMYFUNCTION("IFERROR(GOOGLEFINANCE(A1825,""low""),"""")"),"")</f>
        <v/>
      </c>
      <c r="Z1825" s="22">
        <f>IFERROR(__xludf.DUMMYFUNCTION("IFERROR(GOOGLEFINANCE(A1825,""volume""),"""")"),0.0)</f>
        <v>0</v>
      </c>
      <c r="AA1825" s="24" t="str">
        <f>VLOOKUP(A1825,Metrik!$C$2:$Y$959,5,0)</f>
        <v>Entertainment &amp; Movie Production</v>
      </c>
      <c r="AB1825" s="24" t="str">
        <f>VLOOKUP(A1825,Metrik!$C$2:$Y$959,3,0)</f>
        <v>Consumer Cyclicals</v>
      </c>
    </row>
    <row r="1826">
      <c r="A1826" s="14" t="s">
        <v>984</v>
      </c>
      <c r="B1826" s="14" t="str">
        <f t="array" ref="B1826">VLOOKUP(A1826,{Metrik!$C$2:$C$998,Metrik!$B$2:$B$998},2,0)</f>
        <v>Victoria Care Indonesia Tbk.</v>
      </c>
      <c r="C1826" s="15">
        <f>IFERROR(__xludf.DUMMYFUNCTION("GOOGLEFINANCE(""IDX:""&amp;A1826,""price"")"),640.0)</f>
        <v>640</v>
      </c>
      <c r="D1826" s="16" t="str">
        <f>IFERROR(__xludf.DUMMYFUNCTION("IF(A1826="""","""",
SPARKLINE(
INDEX(
GOOGLEFINANCE(""IDX:""&amp;A1826,""close"",TODAY()-365,TODAY()),
,2
),
{""linewidth"",1}
))
"),"#N/A")</f>
        <v>#N/A</v>
      </c>
      <c r="E1826" s="26"/>
      <c r="F1826" s="26"/>
      <c r="G1826" s="24">
        <f t="shared" si="11"/>
        <v>0</v>
      </c>
      <c r="H1826" s="19">
        <f>VLOOKUP(A1826,Metrik!$C$2:$Y$959,8,0)</f>
        <v>29.3</v>
      </c>
      <c r="I1826" s="20">
        <f>VLOOKUP(A1826,Metrik!$C$2:$Y$959,9,0)</f>
        <v>3.3</v>
      </c>
      <c r="J1826" s="20">
        <f>VLOOKUP(A1826,Metrik!$C$2:$Y$959,10,0)</f>
        <v>11.2</v>
      </c>
      <c r="K1826" s="20">
        <f>VLOOKUP(A1826,Metrik!$C$2:$Y$959,11,0)</f>
        <v>9.2</v>
      </c>
      <c r="L1826" s="20">
        <f>VLOOKUP(A1826,Metrik!$C$2:$Y$959,12,0)</f>
        <v>0.21</v>
      </c>
      <c r="M1826" s="20">
        <f>VLOOKUP(A1826,Metrik!$C$2:$Y$959,19,0)</f>
        <v>34.4</v>
      </c>
      <c r="N1826" s="21"/>
      <c r="O1826" s="21"/>
      <c r="P1826" s="21"/>
      <c r="Q1826" s="21"/>
      <c r="R1826" s="21"/>
      <c r="S1826" s="21"/>
      <c r="T1826" s="21"/>
      <c r="U1826" s="22">
        <f>IFERROR(__xludf.DUMMYFUNCTION("IFERROR(GOOGLEFINANCE(A1826,""closeyest""),"""")"),28.09)</f>
        <v>28.09</v>
      </c>
      <c r="V1826" s="23">
        <f>IFERROR(__xludf.DUMMYFUNCTION("IFERROR(GOOGLEFINANCE(A1826,""changepct""),"""")"),1.53)</f>
        <v>1.53</v>
      </c>
      <c r="W1826" s="22">
        <f>IFERROR(__xludf.DUMMYFUNCTION("IFERROR(GOOGLEFINANCE(A1826,""priceopen""),"""")"),28.15)</f>
        <v>28.15</v>
      </c>
      <c r="X1826" s="22">
        <f>IFERROR(__xludf.DUMMYFUNCTION("IFERROR(GOOGLEFINANCE(A1826,""high""),"""")"),28.53)</f>
        <v>28.53</v>
      </c>
      <c r="Y1826" s="22">
        <f>IFERROR(__xludf.DUMMYFUNCTION("IFERROR(GOOGLEFINANCE(A1826,""low""),"""")"),28.12)</f>
        <v>28.12</v>
      </c>
      <c r="Z1826" s="22">
        <f>IFERROR(__xludf.DUMMYFUNCTION("IFERROR(GOOGLEFINANCE(A1826,""volume""),"""")"),1.0888237E7)</f>
        <v>10888237</v>
      </c>
      <c r="AA1826" s="24" t="str">
        <f>VLOOKUP(A1826,Metrik!$C$2:$Y$959,5,0)</f>
        <v>Body Care Products</v>
      </c>
      <c r="AB1826" s="24" t="str">
        <f>VLOOKUP(A1826,Metrik!$C$2:$Y$959,3,0)</f>
        <v>CONSUMER GOODS INDUSTRY</v>
      </c>
    </row>
    <row r="1827">
      <c r="A1827" s="14" t="s">
        <v>985</v>
      </c>
      <c r="B1827" s="14" t="str">
        <f t="array" ref="B1827">VLOOKUP(A1827,{Metrik!$C$2:$C$998,Metrik!$B$2:$B$998},2,0)</f>
        <v>Victoria Investama Tbk.</v>
      </c>
      <c r="C1827" s="15">
        <f>IFERROR(__xludf.DUMMYFUNCTION("GOOGLEFINANCE(""IDX:""&amp;A1827,""price"")"),142.0)</f>
        <v>142</v>
      </c>
      <c r="D1827" s="16" t="str">
        <f>IFERROR(__xludf.DUMMYFUNCTION("IF(A1827="""","""",
SPARKLINE(
INDEX(
GOOGLEFINANCE(""IDX:""&amp;A1827,""close"",TODAY()-365,TODAY()),
,2
),
{""linewidth"",1}
))
"),"#N/A")</f>
        <v>#N/A</v>
      </c>
      <c r="E1827" s="26"/>
      <c r="F1827" s="26"/>
      <c r="G1827" s="24">
        <f t="shared" si="11"/>
        <v>0</v>
      </c>
      <c r="H1827" s="19">
        <f>VLOOKUP(A1827,Metrik!$C$2:$Y$959,8,0)</f>
        <v>4.5</v>
      </c>
      <c r="I1827" s="20">
        <f>VLOOKUP(A1827,Metrik!$C$2:$Y$959,9,0)</f>
        <v>0.39</v>
      </c>
      <c r="J1827" s="20">
        <f>VLOOKUP(A1827,Metrik!$C$2:$Y$959,10,0)</f>
        <v>8.6</v>
      </c>
      <c r="K1827" s="20">
        <f>VLOOKUP(A1827,Metrik!$C$2:$Y$959,11,0)</f>
        <v>1.4</v>
      </c>
      <c r="L1827" s="20">
        <f>VLOOKUP(A1827,Metrik!$C$2:$Y$959,12,0)</f>
        <v>5.3</v>
      </c>
      <c r="M1827" s="20">
        <f>VLOOKUP(A1827,Metrik!$C$2:$Y$959,19,0)</f>
        <v>260</v>
      </c>
      <c r="N1827" s="21"/>
      <c r="O1827" s="21"/>
      <c r="P1827" s="21"/>
      <c r="Q1827" s="21"/>
      <c r="R1827" s="21"/>
      <c r="S1827" s="21"/>
      <c r="T1827" s="21"/>
      <c r="U1827" s="22">
        <f>IFERROR(__xludf.DUMMYFUNCTION("IFERROR(GOOGLEFINANCE(A1827,""closeyest""),"""")"),135.0)</f>
        <v>135</v>
      </c>
      <c r="V1827" s="23">
        <f>IFERROR(__xludf.DUMMYFUNCTION("IFERROR(GOOGLEFINANCE(A1827,""changepct""),"""")"),5.19)</f>
        <v>5.19</v>
      </c>
      <c r="W1827" s="22">
        <f>IFERROR(__xludf.DUMMYFUNCTION("IFERROR(GOOGLEFINANCE(A1827,""priceopen""),"""")"),133.0)</f>
        <v>133</v>
      </c>
      <c r="X1827" s="22">
        <f>IFERROR(__xludf.DUMMYFUNCTION("IFERROR(GOOGLEFINANCE(A1827,""high""),"""")"),144.0)</f>
        <v>144</v>
      </c>
      <c r="Y1827" s="22">
        <f>IFERROR(__xludf.DUMMYFUNCTION("IFERROR(GOOGLEFINANCE(A1827,""low""),"""")"),132.0)</f>
        <v>132</v>
      </c>
      <c r="Z1827" s="22">
        <f>IFERROR(__xludf.DUMMYFUNCTION("IFERROR(GOOGLEFINANCE(A1827,""volume""),"""")"),40000.0)</f>
        <v>40000</v>
      </c>
      <c r="AA1827" s="24" t="str">
        <f>VLOOKUP(A1827,Metrik!$C$2:$Y$959,5,0)</f>
        <v>Holding &amp; Investment Companies</v>
      </c>
      <c r="AB1827" s="24" t="str">
        <f>VLOOKUP(A1827,Metrik!$C$2:$Y$959,3,0)</f>
        <v>Financials</v>
      </c>
    </row>
    <row r="1828">
      <c r="A1828" s="14" t="s">
        <v>986</v>
      </c>
      <c r="B1828" s="14" t="str">
        <f t="array" ref="B1828">VLOOKUP(A1828,{Metrik!$C$2:$C$998,Metrik!$B$2:$B$998},2,0)</f>
        <v>Victoria Insurance Tbk.</v>
      </c>
      <c r="C1828" s="15">
        <f>IFERROR(__xludf.DUMMYFUNCTION("GOOGLEFINANCE(""IDX:""&amp;A1828,""price"")"),139.0)</f>
        <v>139</v>
      </c>
      <c r="D1828" s="16" t="str">
        <f>IFERROR(__xludf.DUMMYFUNCTION("IF(A1828="""","""",
SPARKLINE(
INDEX(
GOOGLEFINANCE(""IDX:""&amp;A1828,""close"",TODAY()-365,TODAY()),
,2
),
{""linewidth"",1}
))
"),"#N/A")</f>
        <v>#N/A</v>
      </c>
      <c r="E1828" s="26"/>
      <c r="F1828" s="26"/>
      <c r="G1828" s="24">
        <f t="shared" si="11"/>
        <v>0</v>
      </c>
      <c r="H1828" s="19">
        <f>VLOOKUP(A1828,Metrik!$C$2:$Y$959,8,0)</f>
        <v>13.3</v>
      </c>
      <c r="I1828" s="20">
        <f>VLOOKUP(A1828,Metrik!$C$2:$Y$959,9,0)</f>
        <v>0.99</v>
      </c>
      <c r="J1828" s="20">
        <f>VLOOKUP(A1828,Metrik!$C$2:$Y$959,10,0)</f>
        <v>7.5</v>
      </c>
      <c r="K1828" s="20">
        <f>VLOOKUP(A1828,Metrik!$C$2:$Y$959,11,0)</f>
        <v>5.5</v>
      </c>
      <c r="L1828" s="20">
        <f>VLOOKUP(A1828,Metrik!$C$2:$Y$959,12,0)</f>
        <v>0.37</v>
      </c>
      <c r="M1828" s="20">
        <f>VLOOKUP(A1828,Metrik!$C$2:$Y$959,19,0)</f>
        <v>46.3</v>
      </c>
      <c r="N1828" s="21"/>
      <c r="O1828" s="21"/>
      <c r="P1828" s="21"/>
      <c r="Q1828" s="21"/>
      <c r="R1828" s="21"/>
      <c r="S1828" s="21"/>
      <c r="T1828" s="21"/>
      <c r="U1828" s="22">
        <f>IFERROR(__xludf.DUMMYFUNCTION("IFERROR(GOOGLEFINANCE(A1828,""closeyest""),"""")"),0.04)</f>
        <v>0.04</v>
      </c>
      <c r="V1828" s="23">
        <f>IFERROR(__xludf.DUMMYFUNCTION("IFERROR(GOOGLEFINANCE(A1828,""changepct""),"""")"),0.0)</f>
        <v>0</v>
      </c>
      <c r="W1828" s="22" t="str">
        <f>IFERROR(__xludf.DUMMYFUNCTION("IFERROR(GOOGLEFINANCE(A1828,""priceopen""),"""")"),"")</f>
        <v/>
      </c>
      <c r="X1828" s="22" t="str">
        <f>IFERROR(__xludf.DUMMYFUNCTION("IFERROR(GOOGLEFINANCE(A1828,""high""),"""")"),"")</f>
        <v/>
      </c>
      <c r="Y1828" s="22" t="str">
        <f>IFERROR(__xludf.DUMMYFUNCTION("IFERROR(GOOGLEFINANCE(A1828,""low""),"""")"),"")</f>
        <v/>
      </c>
      <c r="Z1828" s="22">
        <f>IFERROR(__xludf.DUMMYFUNCTION("IFERROR(GOOGLEFINANCE(A1828,""volume""),"""")"),0.0)</f>
        <v>0</v>
      </c>
      <c r="AA1828" s="24" t="str">
        <f>VLOOKUP(A1828,Metrik!$C$2:$Y$959,5,0)</f>
        <v>Insurance</v>
      </c>
      <c r="AB1828" s="24" t="str">
        <f>VLOOKUP(A1828,Metrik!$C$2:$Y$959,3,0)</f>
        <v>Financials</v>
      </c>
    </row>
    <row r="1829">
      <c r="A1829" s="14" t="s">
        <v>987</v>
      </c>
      <c r="B1829" s="14" t="str">
        <f t="array" ref="B1829">VLOOKUP(A1829,{Metrik!$C$2:$C$998,Metrik!$B$2:$B$998},2,0)</f>
        <v>Satu Visi Putra Tbk.</v>
      </c>
      <c r="C1829" s="15">
        <f>IFERROR(__xludf.DUMMYFUNCTION("GOOGLEFINANCE(""IDX:""&amp;A1829,""price"")"),1180.0)</f>
        <v>1180</v>
      </c>
      <c r="D1829" s="16" t="str">
        <f>IFERROR(__xludf.DUMMYFUNCTION("IF(A1829="""","""",
SPARKLINE(
INDEX(
GOOGLEFINANCE(""IDX:""&amp;A1829,""close"",TODAY()-365,TODAY()),
,2
),
{""linewidth"",1}
))
"),"#N/A")</f>
        <v>#N/A</v>
      </c>
      <c r="E1829" s="26"/>
      <c r="F1829" s="26"/>
      <c r="G1829" s="24">
        <f t="shared" si="11"/>
        <v>0</v>
      </c>
      <c r="H1829" s="19">
        <f>VLOOKUP(A1829,Metrik!$C$2:$Y$959,8,0)</f>
        <v>-650</v>
      </c>
      <c r="I1829" s="20">
        <f>VLOOKUP(A1829,Metrik!$C$2:$Y$959,9,0)</f>
        <v>12.8</v>
      </c>
      <c r="J1829" s="20">
        <f>VLOOKUP(A1829,Metrik!$C$2:$Y$959,10,0)</f>
        <v>-2</v>
      </c>
      <c r="K1829" s="20">
        <f>VLOOKUP(A1829,Metrik!$C$2:$Y$959,11,0)</f>
        <v>-1.3</v>
      </c>
      <c r="L1829" s="20">
        <f>VLOOKUP(A1829,Metrik!$C$2:$Y$959,12,0)</f>
        <v>0.56</v>
      </c>
      <c r="M1829" s="20">
        <f>VLOOKUP(A1829,Metrik!$C$2:$Y$959,19,0)</f>
        <v>-4.9</v>
      </c>
      <c r="N1829" s="21"/>
      <c r="O1829" s="21"/>
      <c r="P1829" s="21"/>
      <c r="Q1829" s="21"/>
      <c r="R1829" s="21"/>
      <c r="S1829" s="21"/>
      <c r="T1829" s="21"/>
      <c r="U1829" s="22">
        <f>IFERROR(__xludf.DUMMYFUNCTION("IFERROR(GOOGLEFINANCE(A1829,""closeyest""),"""")"),1200.0)</f>
        <v>1200</v>
      </c>
      <c r="V1829" s="23" t="str">
        <f>IFERROR(__xludf.DUMMYFUNCTION("IFERROR(GOOGLEFINANCE(A1829,""changepct""),"""")"),"")</f>
        <v/>
      </c>
      <c r="W1829" s="22">
        <f>IFERROR(__xludf.DUMMYFUNCTION("IFERROR(GOOGLEFINANCE(A1829,""priceopen""),"""")"),1215.0)</f>
        <v>1215</v>
      </c>
      <c r="X1829" s="22">
        <f>IFERROR(__xludf.DUMMYFUNCTION("IFERROR(GOOGLEFINANCE(A1829,""high""),"""")"),1235.0)</f>
        <v>1235</v>
      </c>
      <c r="Y1829" s="22">
        <f>IFERROR(__xludf.DUMMYFUNCTION("IFERROR(GOOGLEFINANCE(A1829,""low""),"""")"),1100.0)</f>
        <v>1100</v>
      </c>
      <c r="Z1829" s="22">
        <f>IFERROR(__xludf.DUMMYFUNCTION("IFERROR(GOOGLEFINANCE(A1829,""volume""),"""")"),5798900.0)</f>
        <v>5798900</v>
      </c>
      <c r="AA1829" s="24" t="str">
        <f>VLOOKUP(A1829,Metrik!$C$2:$Y$959,5,0)</f>
        <v>Commercial Services</v>
      </c>
      <c r="AB1829" s="24" t="str">
        <f>VLOOKUP(A1829,Metrik!$C$2:$Y$959,3,0)</f>
        <v>Industrials</v>
      </c>
    </row>
    <row r="1830">
      <c r="A1830" s="14" t="s">
        <v>988</v>
      </c>
      <c r="B1830" s="14" t="str">
        <f t="array" ref="B1830">VLOOKUP(A1830,{Metrik!$C$2:$C$998,Metrik!$B$2:$B$998},2,0)</f>
        <v>Visi Media Asia Tbk.</v>
      </c>
      <c r="C1830" s="15">
        <f>IFERROR(__xludf.DUMMYFUNCTION("GOOGLEFINANCE(""IDX:""&amp;A1830,""price"")"),33.0)</f>
        <v>33</v>
      </c>
      <c r="D1830" s="16" t="str">
        <f>IFERROR(__xludf.DUMMYFUNCTION("IF(A1830="""","""",
SPARKLINE(
INDEX(
GOOGLEFINANCE(""IDX:""&amp;A1830,""close"",TODAY()-365,TODAY()),
,2
),
{""linewidth"",1}
))
"),"#N/A")</f>
        <v>#N/A</v>
      </c>
      <c r="E1830" s="26"/>
      <c r="F1830" s="26"/>
      <c r="G1830" s="24">
        <f t="shared" si="11"/>
        <v>0</v>
      </c>
      <c r="H1830" s="19">
        <f>VLOOKUP(A1830,Metrik!$C$2:$Y$959,8,0)</f>
        <v>0.58</v>
      </c>
      <c r="I1830" s="20">
        <f>VLOOKUP(A1830,Metrik!$C$2:$Y$959,9,0)</f>
        <v>1.8</v>
      </c>
      <c r="J1830" s="20">
        <f>VLOOKUP(A1830,Metrik!$C$2:$Y$959,10,0)</f>
        <v>310</v>
      </c>
      <c r="K1830" s="20">
        <f>VLOOKUP(A1830,Metrik!$C$2:$Y$959,11,0)</f>
        <v>17.7</v>
      </c>
      <c r="L1830" s="20">
        <f>VLOOKUP(A1830,Metrik!$C$2:$Y$959,12,0)</f>
        <v>16.7</v>
      </c>
      <c r="M1830" s="20">
        <f>VLOOKUP(A1830,Metrik!$C$2:$Y$959,19,0)</f>
        <v>120</v>
      </c>
      <c r="N1830" s="21"/>
      <c r="O1830" s="21"/>
      <c r="P1830" s="21"/>
      <c r="Q1830" s="21"/>
      <c r="R1830" s="21"/>
      <c r="S1830" s="21"/>
      <c r="T1830" s="21"/>
      <c r="U1830" s="22">
        <f>IFERROR(__xludf.DUMMYFUNCTION("IFERROR(GOOGLEFINANCE(A1830,""closeyest""),"""")"),30.0)</f>
        <v>30</v>
      </c>
      <c r="V1830" s="23">
        <f>IFERROR(__xludf.DUMMYFUNCTION("IFERROR(GOOGLEFINANCE(A1830,""changepct""),"""")"),10.0)</f>
        <v>10</v>
      </c>
      <c r="W1830" s="22">
        <f>IFERROR(__xludf.DUMMYFUNCTION("IFERROR(GOOGLEFINANCE(A1830,""priceopen""),"""")"),31.0)</f>
        <v>31</v>
      </c>
      <c r="X1830" s="22">
        <f>IFERROR(__xludf.DUMMYFUNCTION("IFERROR(GOOGLEFINANCE(A1830,""high""),"""")"),33.0)</f>
        <v>33</v>
      </c>
      <c r="Y1830" s="22">
        <f>IFERROR(__xludf.DUMMYFUNCTION("IFERROR(GOOGLEFINANCE(A1830,""low""),"""")"),31.0)</f>
        <v>31</v>
      </c>
      <c r="Z1830" s="22">
        <f>IFERROR(__xludf.DUMMYFUNCTION("IFERROR(GOOGLEFINANCE(A1830,""volume""),"""")"),1.36499E7)</f>
        <v>13649900</v>
      </c>
      <c r="AA1830" s="24" t="str">
        <f>VLOOKUP(A1830,Metrik!$C$2:$Y$959,5,0)</f>
        <v>Media</v>
      </c>
      <c r="AB1830" s="24" t="str">
        <f>VLOOKUP(A1830,Metrik!$C$2:$Y$959,3,0)</f>
        <v>Consumer Cyclicals</v>
      </c>
    </row>
    <row r="1831">
      <c r="A1831" s="14" t="s">
        <v>989</v>
      </c>
      <c r="B1831" s="14" t="str">
        <f t="array" ref="B1831">VLOOKUP(A1831,{Metrik!$C$2:$C$998,Metrik!$B$2:$B$998},2,0)</f>
        <v>PT VKTR Teknologi Mobilitas Tbk</v>
      </c>
      <c r="C1831" s="15">
        <f>IFERROR(__xludf.DUMMYFUNCTION("GOOGLEFINANCE(""IDX:""&amp;A1831,""price"")"),625.0)</f>
        <v>625</v>
      </c>
      <c r="D1831" s="16" t="str">
        <f>IFERROR(__xludf.DUMMYFUNCTION("IF(A1831="""","""",
SPARKLINE(
INDEX(
GOOGLEFINANCE(""IDX:""&amp;A1831,""close"",TODAY()-365,TODAY()),
,2
),
{""linewidth"",1}
))
"),"#N/A")</f>
        <v>#N/A</v>
      </c>
      <c r="E1831" s="26"/>
      <c r="F1831" s="26"/>
      <c r="G1831" s="24">
        <f t="shared" si="11"/>
        <v>0</v>
      </c>
      <c r="H1831" s="19">
        <f>VLOOKUP(A1831,Metrik!$C$2:$Y$959,8,0)</f>
        <v>-1200</v>
      </c>
      <c r="I1831" s="20">
        <f>VLOOKUP(A1831,Metrik!$C$2:$Y$959,9,0)</f>
        <v>24.8</v>
      </c>
      <c r="J1831" s="20">
        <f>VLOOKUP(A1831,Metrik!$C$2:$Y$959,10,0)</f>
        <v>-2.1</v>
      </c>
      <c r="K1831" s="20">
        <f>VLOOKUP(A1831,Metrik!$C$2:$Y$959,11,0)</f>
        <v>-0.81</v>
      </c>
      <c r="L1831" s="20">
        <f>VLOOKUP(A1831,Metrik!$C$2:$Y$959,12,0)</f>
        <v>0.45</v>
      </c>
      <c r="M1831" s="20">
        <f>VLOOKUP(A1831,Metrik!$C$2:$Y$959,19,0)</f>
        <v>-2.4</v>
      </c>
      <c r="N1831" s="21"/>
      <c r="O1831" s="21"/>
      <c r="P1831" s="21"/>
      <c r="Q1831" s="21"/>
      <c r="R1831" s="21"/>
      <c r="S1831" s="21"/>
      <c r="T1831" s="21"/>
      <c r="U1831" s="22">
        <f>IFERROR(__xludf.DUMMYFUNCTION("IFERROR(GOOGLEFINANCE(A1831,""closeyest""),"""")"),600.0)</f>
        <v>600</v>
      </c>
      <c r="V1831" s="23">
        <f>IFERROR(__xludf.DUMMYFUNCTION("IFERROR(GOOGLEFINANCE(A1831,""changepct""),"""")"),4.17)</f>
        <v>4.17</v>
      </c>
      <c r="W1831" s="22">
        <f>IFERROR(__xludf.DUMMYFUNCTION("IFERROR(GOOGLEFINANCE(A1831,""priceopen""),"""")"),610.0)</f>
        <v>610</v>
      </c>
      <c r="X1831" s="22">
        <f>IFERROR(__xludf.DUMMYFUNCTION("IFERROR(GOOGLEFINANCE(A1831,""high""),"""")"),650.0)</f>
        <v>650</v>
      </c>
      <c r="Y1831" s="22">
        <f>IFERROR(__xludf.DUMMYFUNCTION("IFERROR(GOOGLEFINANCE(A1831,""low""),"""")"),605.0)</f>
        <v>605</v>
      </c>
      <c r="Z1831" s="22">
        <f>IFERROR(__xludf.DUMMYFUNCTION("IFERROR(GOOGLEFINANCE(A1831,""volume""),"""")"),3.91716E7)</f>
        <v>39171600</v>
      </c>
      <c r="AA1831" s="24" t="str">
        <f>VLOOKUP(A1831,Metrik!$C$2:$Y$959,5,0)</f>
        <v>Auto Components</v>
      </c>
      <c r="AB1831" s="24" t="str">
        <f>VLOOKUP(A1831,Metrik!$C$2:$Y$959,3,0)</f>
        <v>Consumer Cyclicals</v>
      </c>
    </row>
    <row r="1832">
      <c r="A1832" s="14" t="s">
        <v>990</v>
      </c>
      <c r="B1832" s="14" t="str">
        <f t="array" ref="B1832">VLOOKUP(A1832,{Metrik!$C$2:$C$998,Metrik!$B$2:$B$998},2,0)</f>
        <v>Voksel Electric Tbk.</v>
      </c>
      <c r="C1832" s="15">
        <f>IFERROR(__xludf.DUMMYFUNCTION("GOOGLEFINANCE(""IDX:""&amp;A1832,""price"")"),198.0)</f>
        <v>198</v>
      </c>
      <c r="D1832" s="16" t="str">
        <f>IFERROR(__xludf.DUMMYFUNCTION("IF(A1832="""","""",
SPARKLINE(
INDEX(
GOOGLEFINANCE(""IDX:""&amp;A1832,""close"",TODAY()-365,TODAY()),
,2
),
{""linewidth"",1}
))
"),"#N/A")</f>
        <v>#N/A</v>
      </c>
      <c r="E1832" s="26"/>
      <c r="F1832" s="26"/>
      <c r="G1832" s="24">
        <f t="shared" si="11"/>
        <v>0</v>
      </c>
      <c r="H1832" s="19">
        <f>VLOOKUP(A1832,Metrik!$C$2:$Y$959,8,0)</f>
        <v>-15.4</v>
      </c>
      <c r="I1832" s="20">
        <f>VLOOKUP(A1832,Metrik!$C$2:$Y$959,9,0)</f>
        <v>1.6</v>
      </c>
      <c r="J1832" s="20">
        <f>VLOOKUP(A1832,Metrik!$C$2:$Y$959,10,0)</f>
        <v>-10.3</v>
      </c>
      <c r="K1832" s="20">
        <f>VLOOKUP(A1832,Metrik!$C$2:$Y$959,11,0)</f>
        <v>-2.8</v>
      </c>
      <c r="L1832" s="20">
        <f>VLOOKUP(A1832,Metrik!$C$2:$Y$959,12,0)</f>
        <v>2.7</v>
      </c>
      <c r="M1832" s="20">
        <f>VLOOKUP(A1832,Metrik!$C$2:$Y$959,19,0)</f>
        <v>-10.8</v>
      </c>
      <c r="N1832" s="21"/>
      <c r="O1832" s="21"/>
      <c r="P1832" s="21"/>
      <c r="Q1832" s="21"/>
      <c r="R1832" s="21"/>
      <c r="S1832" s="21"/>
      <c r="T1832" s="21"/>
      <c r="U1832" s="22">
        <f>IFERROR(__xludf.DUMMYFUNCTION("IFERROR(GOOGLEFINANCE(A1832,""closeyest""),"""")"),197.0)</f>
        <v>197</v>
      </c>
      <c r="V1832" s="23">
        <f>IFERROR(__xludf.DUMMYFUNCTION("IFERROR(GOOGLEFINANCE(A1832,""changepct""),"""")"),0.51)</f>
        <v>0.51</v>
      </c>
      <c r="W1832" s="22" t="str">
        <f>IFERROR(__xludf.DUMMYFUNCTION("IFERROR(GOOGLEFINANCE(A1832,""priceopen""),"""")"),"")</f>
        <v/>
      </c>
      <c r="X1832" s="22">
        <f>IFERROR(__xludf.DUMMYFUNCTION("IFERROR(GOOGLEFINANCE(A1832,""high""),"""")"),198.0)</f>
        <v>198</v>
      </c>
      <c r="Y1832" s="22">
        <f>IFERROR(__xludf.DUMMYFUNCTION("IFERROR(GOOGLEFINANCE(A1832,""low""),"""")"),196.0)</f>
        <v>196</v>
      </c>
      <c r="Z1832" s="22">
        <f>IFERROR(__xludf.DUMMYFUNCTION("IFERROR(GOOGLEFINANCE(A1832,""volume""),"""")"),21800.0)</f>
        <v>21800</v>
      </c>
      <c r="AA1832" s="24" t="str">
        <f>VLOOKUP(A1832,Metrik!$C$2:$Y$959,5,0)</f>
        <v>Electrical</v>
      </c>
      <c r="AB1832" s="24" t="str">
        <f>VLOOKUP(A1832,Metrik!$C$2:$Y$959,3,0)</f>
        <v>Industrials</v>
      </c>
    </row>
    <row r="1833">
      <c r="A1833" s="14" t="s">
        <v>991</v>
      </c>
      <c r="B1833" s="14" t="str">
        <f t="array" ref="B1833">VLOOKUP(A1833,{Metrik!$C$2:$C$998,Metrik!$B$2:$B$998},2,0)</f>
        <v>Mizuho Leasing Indonesia Tbk.</v>
      </c>
      <c r="C1833" s="15">
        <f>IFERROR(__xludf.DUMMYFUNCTION("GOOGLEFINANCE(""IDX:""&amp;A1833,""price"")"),74.0)</f>
        <v>74</v>
      </c>
      <c r="D1833" s="16" t="str">
        <f>IFERROR(__xludf.DUMMYFUNCTION("IF(A1833="""","""",
SPARKLINE(
INDEX(
GOOGLEFINANCE(""IDX:""&amp;A1833,""close"",TODAY()-365,TODAY()),
,2
),
{""linewidth"",1}
))
"),"#N/A")</f>
        <v>#N/A</v>
      </c>
      <c r="E1833" s="26"/>
      <c r="F1833" s="26"/>
      <c r="G1833" s="24">
        <f t="shared" si="11"/>
        <v>0</v>
      </c>
      <c r="H1833" s="19">
        <f>VLOOKUP(A1833,Metrik!$C$2:$Y$959,8,0)</f>
        <v>270</v>
      </c>
      <c r="I1833" s="20">
        <f>VLOOKUP(A1833,Metrik!$C$2:$Y$959,9,0)</f>
        <v>0.63</v>
      </c>
      <c r="J1833" s="20">
        <f>VLOOKUP(A1833,Metrik!$C$2:$Y$959,10,0)</f>
        <v>0.24</v>
      </c>
      <c r="K1833" s="20">
        <f>VLOOKUP(A1833,Metrik!$C$2:$Y$959,11,0)</f>
        <v>0.06</v>
      </c>
      <c r="L1833" s="20">
        <f>VLOOKUP(A1833,Metrik!$C$2:$Y$959,12,0)</f>
        <v>3.2</v>
      </c>
      <c r="M1833" s="20">
        <f>VLOOKUP(A1833,Metrik!$C$2:$Y$959,19,0)</f>
        <v>1.9</v>
      </c>
      <c r="N1833" s="21"/>
      <c r="O1833" s="21"/>
      <c r="P1833" s="21"/>
      <c r="Q1833" s="21"/>
      <c r="R1833" s="21"/>
      <c r="S1833" s="21"/>
      <c r="T1833" s="21"/>
      <c r="U1833" s="22">
        <f>IFERROR(__xludf.DUMMYFUNCTION("IFERROR(GOOGLEFINANCE(A1833,""closeyest""),"""")"),73.0)</f>
        <v>73</v>
      </c>
      <c r="V1833" s="23">
        <f>IFERROR(__xludf.DUMMYFUNCTION("IFERROR(GOOGLEFINANCE(A1833,""changepct""),"""")"),1.37)</f>
        <v>1.37</v>
      </c>
      <c r="W1833" s="22">
        <f>IFERROR(__xludf.DUMMYFUNCTION("IFERROR(GOOGLEFINANCE(A1833,""priceopen""),"""")"),73.0)</f>
        <v>73</v>
      </c>
      <c r="X1833" s="22">
        <f>IFERROR(__xludf.DUMMYFUNCTION("IFERROR(GOOGLEFINANCE(A1833,""high""),"""")"),75.0)</f>
        <v>75</v>
      </c>
      <c r="Y1833" s="22">
        <f>IFERROR(__xludf.DUMMYFUNCTION("IFERROR(GOOGLEFINANCE(A1833,""low""),"""")"),71.0)</f>
        <v>71</v>
      </c>
      <c r="Z1833" s="22">
        <f>IFERROR(__xludf.DUMMYFUNCTION("IFERROR(GOOGLEFINANCE(A1833,""volume""),"""")"),116000.0)</f>
        <v>116000</v>
      </c>
      <c r="AA1833" s="24" t="str">
        <f>VLOOKUP(A1833,Metrik!$C$2:$Y$959,5,0)</f>
        <v>Consumer Financing</v>
      </c>
      <c r="AB1833" s="24" t="str">
        <f>VLOOKUP(A1833,Metrik!$C$2:$Y$959,3,0)</f>
        <v>Financials</v>
      </c>
    </row>
    <row r="1834">
      <c r="A1834" s="14" t="s">
        <v>992</v>
      </c>
      <c r="B1834" s="14" t="str">
        <f t="array" ref="B1834">VLOOKUP(A1834,{Metrik!$C$2:$C$998,Metrik!$B$2:$B$998},2,0)</f>
        <v>PT Venteny Fortuna International Tbk</v>
      </c>
      <c r="C1834" s="15">
        <f>IFERROR(__xludf.DUMMYFUNCTION("GOOGLEFINANCE(""IDX:""&amp;A1834,""price"")"),62.0)</f>
        <v>62</v>
      </c>
      <c r="D1834" s="16" t="str">
        <f>IFERROR(__xludf.DUMMYFUNCTION("IF(A1834="""","""",
SPARKLINE(
INDEX(
GOOGLEFINANCE(""IDX:""&amp;A1834,""close"",TODAY()-365,TODAY()),
,2
),
{""linewidth"",1}
))
"),"#N/A")</f>
        <v>#N/A</v>
      </c>
      <c r="E1834" s="26"/>
      <c r="F1834" s="26"/>
      <c r="G1834" s="24">
        <f t="shared" si="11"/>
        <v>0</v>
      </c>
      <c r="H1834" s="19">
        <f>VLOOKUP(A1834,Metrik!$C$2:$Y$959,8,0)</f>
        <v>51.9</v>
      </c>
      <c r="I1834" s="20">
        <f>VLOOKUP(A1834,Metrik!$C$2:$Y$959,9,0)</f>
        <v>0.93</v>
      </c>
      <c r="J1834" s="20">
        <f>VLOOKUP(A1834,Metrik!$C$2:$Y$959,10,0)</f>
        <v>1.8</v>
      </c>
      <c r="K1834" s="20">
        <f>VLOOKUP(A1834,Metrik!$C$2:$Y$959,11,0)</f>
        <v>0.23</v>
      </c>
      <c r="L1834" s="20">
        <f>VLOOKUP(A1834,Metrik!$C$2:$Y$959,12,0)</f>
        <v>3.2</v>
      </c>
      <c r="M1834" s="20">
        <f>VLOOKUP(A1834,Metrik!$C$2:$Y$959,19,0)</f>
        <v>2.3</v>
      </c>
      <c r="N1834" s="21"/>
      <c r="O1834" s="21"/>
      <c r="P1834" s="21"/>
      <c r="Q1834" s="21"/>
      <c r="R1834" s="21"/>
      <c r="S1834" s="21"/>
      <c r="T1834" s="21"/>
      <c r="U1834" s="22">
        <f>IFERROR(__xludf.DUMMYFUNCTION("IFERROR(GOOGLEFINANCE(A1834,""closeyest""),"""")"),58.0)</f>
        <v>58</v>
      </c>
      <c r="V1834" s="23">
        <f>IFERROR(__xludf.DUMMYFUNCTION("IFERROR(GOOGLEFINANCE(A1834,""changepct""),"""")"),6.9)</f>
        <v>6.9</v>
      </c>
      <c r="W1834" s="22">
        <f>IFERROR(__xludf.DUMMYFUNCTION("IFERROR(GOOGLEFINANCE(A1834,""priceopen""),"""")"),59.0)</f>
        <v>59</v>
      </c>
      <c r="X1834" s="22" t="str">
        <f>IFERROR(__xludf.DUMMYFUNCTION("IFERROR(GOOGLEFINANCE(A1834,""high""),"""")"),"")</f>
        <v/>
      </c>
      <c r="Y1834" s="22">
        <f>IFERROR(__xludf.DUMMYFUNCTION("IFERROR(GOOGLEFINANCE(A1834,""low""),"""")"),57.0)</f>
        <v>57</v>
      </c>
      <c r="Z1834" s="22">
        <f>IFERROR(__xludf.DUMMYFUNCTION("IFERROR(GOOGLEFINANCE(A1834,""volume""),"""")"),8659500.0)</f>
        <v>8659500</v>
      </c>
      <c r="AA1834" s="24" t="str">
        <f>VLOOKUP(A1834,Metrik!$C$2:$Y$959,5,0)</f>
        <v>Consumer Financing</v>
      </c>
      <c r="AB1834" s="24" t="str">
        <f>VLOOKUP(A1834,Metrik!$C$2:$Y$959,3,0)</f>
        <v>Financials</v>
      </c>
    </row>
    <row r="1835">
      <c r="A1835" s="14" t="s">
        <v>993</v>
      </c>
      <c r="B1835" s="14" t="str">
        <f t="array" ref="B1835">VLOOKUP(A1835,{Metrik!$C$2:$C$998,Metrik!$B$2:$B$998},2,0)</f>
        <v>Wahana Pronatural Tbk</v>
      </c>
      <c r="C1835" s="15">
        <f>IFERROR(__xludf.DUMMYFUNCTION("GOOGLEFINANCE(""IDX:""&amp;A1835,""price"")"),111.0)</f>
        <v>111</v>
      </c>
      <c r="D1835" s="16" t="str">
        <f>IFERROR(__xludf.DUMMYFUNCTION("IF(A1835="""","""",
SPARKLINE(
INDEX(
GOOGLEFINANCE(""IDX:""&amp;A1835,""close"",TODAY()-365,TODAY()),
,2
),
{""linewidth"",1}
))
"),"#N/A")</f>
        <v>#N/A</v>
      </c>
      <c r="E1835" s="26"/>
      <c r="F1835" s="26"/>
      <c r="G1835" s="24">
        <f t="shared" si="11"/>
        <v>0</v>
      </c>
      <c r="H1835" s="19">
        <f>VLOOKUP(A1835,Metrik!$C$2:$Y$959,8,0)</f>
        <v>-15.3</v>
      </c>
      <c r="I1835" s="20">
        <f>VLOOKUP(A1835,Metrik!$C$2:$Y$959,9,0)</f>
        <v>2.5</v>
      </c>
      <c r="J1835" s="20">
        <f>VLOOKUP(A1835,Metrik!$C$2:$Y$959,10,0)</f>
        <v>-16.3</v>
      </c>
      <c r="K1835" s="20">
        <f>VLOOKUP(A1835,Metrik!$C$2:$Y$959,11,0)</f>
        <v>-6.9</v>
      </c>
      <c r="L1835" s="20">
        <f>VLOOKUP(A1835,Metrik!$C$2:$Y$959,12,0)</f>
        <v>1.4</v>
      </c>
      <c r="M1835" s="20">
        <f>VLOOKUP(A1835,Metrik!$C$2:$Y$959,19,0)</f>
        <v>-4.8</v>
      </c>
      <c r="N1835" s="21"/>
      <c r="O1835" s="21"/>
      <c r="P1835" s="21"/>
      <c r="Q1835" s="21"/>
      <c r="R1835" s="21"/>
      <c r="S1835" s="21"/>
      <c r="T1835" s="21"/>
      <c r="U1835" s="22">
        <f>IFERROR(__xludf.DUMMYFUNCTION("IFERROR(GOOGLEFINANCE(A1835,""closeyest""),"""")"),109.0)</f>
        <v>109</v>
      </c>
      <c r="V1835" s="23">
        <f>IFERROR(__xludf.DUMMYFUNCTION("IFERROR(GOOGLEFINANCE(A1835,""changepct""),"""")"),1.83)</f>
        <v>1.83</v>
      </c>
      <c r="W1835" s="22">
        <f>IFERROR(__xludf.DUMMYFUNCTION("IFERROR(GOOGLEFINANCE(A1835,""priceopen""),"""")"),109.0)</f>
        <v>109</v>
      </c>
      <c r="X1835" s="22">
        <f>IFERROR(__xludf.DUMMYFUNCTION("IFERROR(GOOGLEFINANCE(A1835,""high""),"""")"),114.0)</f>
        <v>114</v>
      </c>
      <c r="Y1835" s="22">
        <f>IFERROR(__xludf.DUMMYFUNCTION("IFERROR(GOOGLEFINANCE(A1835,""low""),"""")"),109.0)</f>
        <v>109</v>
      </c>
      <c r="Z1835" s="22">
        <f>IFERROR(__xludf.DUMMYFUNCTION("IFERROR(GOOGLEFINANCE(A1835,""volume""),"""")"),767300.0)</f>
        <v>767300</v>
      </c>
      <c r="AA1835" s="24" t="str">
        <f>VLOOKUP(A1835,Metrik!$C$2:$Y$959,5,0)</f>
        <v>Agricultural Products</v>
      </c>
      <c r="AB1835" s="24" t="str">
        <f>VLOOKUP(A1835,Metrik!$C$2:$Y$959,3,0)</f>
        <v>Consumer Non-Cyclicals</v>
      </c>
    </row>
    <row r="1836">
      <c r="A1836" s="17" t="s">
        <v>994</v>
      </c>
      <c r="B1836" s="14" t="str">
        <f t="array" ref="B1836">VLOOKUP(A1836,{Metrik!$C$2:$C$998,Metrik!$B$2:$B$998},2,0)</f>
        <v>BSA Logistics Indonesia Tbk.</v>
      </c>
      <c r="C1836" s="15">
        <f>IFERROR(__xludf.DUMMYFUNCTION("GOOGLEFINANCE(""IDX:""&amp;A1836,""price"")"),765.0)</f>
        <v>765</v>
      </c>
      <c r="D1836" s="16" t="str">
        <f>IFERROR(__xludf.DUMMYFUNCTION("IF(A1836="""","""",
SPARKLINE(
INDEX(
GOOGLEFINANCE(""IDX:""&amp;A1836,""close"",TODAY()-365,TODAY()),
,2
),
{""linewidth"",1}
))
"),"#N/A")</f>
        <v>#N/A</v>
      </c>
      <c r="E1836" s="14"/>
      <c r="F1836" s="17"/>
      <c r="G1836" s="18">
        <f t="shared" si="11"/>
        <v>0</v>
      </c>
      <c r="H1836" s="19">
        <f>VLOOKUP(A1836,Metrik!$C$2:$Y$959,8,0)</f>
        <v>180</v>
      </c>
      <c r="I1836" s="20">
        <f>VLOOKUP(A1836,Metrik!$C$2:$Y$959,9,0)</f>
        <v>17.7</v>
      </c>
      <c r="J1836" s="20">
        <f>VLOOKUP(A1836,Metrik!$C$2:$Y$959,10,0)</f>
        <v>10</v>
      </c>
      <c r="K1836" s="20">
        <f>VLOOKUP(A1836,Metrik!$C$2:$Y$959,11,0)</f>
        <v>2.9</v>
      </c>
      <c r="L1836" s="20">
        <f>VLOOKUP(A1836,Metrik!$C$2:$Y$959,12,0)</f>
        <v>2.5</v>
      </c>
      <c r="M1836" s="20">
        <f>VLOOKUP(A1836,Metrik!$C$2:$Y$959,19,0)</f>
        <v>2.1</v>
      </c>
      <c r="N1836" s="21"/>
      <c r="O1836" s="21"/>
      <c r="P1836" s="21"/>
      <c r="Q1836" s="21"/>
      <c r="R1836" s="21"/>
      <c r="S1836" s="21"/>
      <c r="T1836" s="21"/>
      <c r="U1836" s="22">
        <f>IFERROR(__xludf.DUMMYFUNCTION("IFERROR(GOOGLEFINANCE(A1836,""closeyest""),"""")"),715.0)</f>
        <v>715</v>
      </c>
      <c r="V1836" s="23">
        <f>IFERROR(__xludf.DUMMYFUNCTION("IFERROR(GOOGLEFINANCE(A1836,""changepct""),"""")"),6.99)</f>
        <v>6.99</v>
      </c>
      <c r="W1836" s="22">
        <f>IFERROR(__xludf.DUMMYFUNCTION("IFERROR(GOOGLEFINANCE(A1836,""priceopen""),"""")"),720.0)</f>
        <v>720</v>
      </c>
      <c r="X1836" s="22">
        <f>IFERROR(__xludf.DUMMYFUNCTION("IFERROR(GOOGLEFINANCE(A1836,""high""),"""")"),775.0)</f>
        <v>775</v>
      </c>
      <c r="Y1836" s="22">
        <f>IFERROR(__xludf.DUMMYFUNCTION("IFERROR(GOOGLEFINANCE(A1836,""low""),"""")"),720.0)</f>
        <v>720</v>
      </c>
      <c r="Z1836" s="22">
        <f>IFERROR(__xludf.DUMMYFUNCTION("IFERROR(GOOGLEFINANCE(A1836,""volume""),"""")"),3.88817E7)</f>
        <v>38881700</v>
      </c>
      <c r="AA1836" s="24" t="str">
        <f>VLOOKUP(A1836,Metrik!$C$2:$Y$959,5,0)</f>
        <v>Logistics &amp; Deliveries</v>
      </c>
      <c r="AB1836" s="24" t="str">
        <f>VLOOKUP(A1836,Metrik!$C$2:$Y$959,3,0)</f>
        <v>Transportation &amp; Logistic</v>
      </c>
    </row>
    <row r="1837">
      <c r="A1837" s="14" t="s">
        <v>995</v>
      </c>
      <c r="B1837" s="14" t="str">
        <f t="array" ref="B1837">VLOOKUP(A1837,{Metrik!$C$2:$C$998,Metrik!$B$2:$B$998},2,0)</f>
        <v>PT Wijaya Karya Bangunan Gedung Tbk.</v>
      </c>
      <c r="C1837" s="15">
        <f>IFERROR(__xludf.DUMMYFUNCTION("GOOGLEFINANCE(""IDX:""&amp;A1837,""price"")"),51.0)</f>
        <v>51</v>
      </c>
      <c r="D1837" s="16" t="str">
        <f>IFERROR(__xludf.DUMMYFUNCTION("IF(A1837="""","""",
SPARKLINE(
INDEX(
GOOGLEFINANCE(""IDX:""&amp;A1837,""close"",TODAY()-365,TODAY()),
,2
),
{""linewidth"",1}
))
"),"#N/A")</f>
        <v>#N/A</v>
      </c>
      <c r="E1837" s="26"/>
      <c r="F1837" s="26"/>
      <c r="G1837" s="24">
        <f t="shared" si="11"/>
        <v>0</v>
      </c>
      <c r="H1837" s="19">
        <f>VLOOKUP(A1837,Metrik!$C$2:$Y$959,8,0)</f>
        <v>-0.72</v>
      </c>
      <c r="I1837" s="20">
        <f>VLOOKUP(A1837,Metrik!$C$2:$Y$959,9,0)</f>
        <v>0.25</v>
      </c>
      <c r="J1837" s="20">
        <f>VLOOKUP(A1837,Metrik!$C$2:$Y$959,10,0)</f>
        <v>-34.4</v>
      </c>
      <c r="K1837" s="20">
        <f>VLOOKUP(A1837,Metrik!$C$2:$Y$959,11,0)</f>
        <v>-17.3</v>
      </c>
      <c r="L1837" s="20">
        <f>VLOOKUP(A1837,Metrik!$C$2:$Y$959,12,0)</f>
        <v>0.99</v>
      </c>
      <c r="M1837" s="20">
        <f>VLOOKUP(A1837,Metrik!$C$2:$Y$959,19,0)</f>
        <v>-310</v>
      </c>
      <c r="N1837" s="21"/>
      <c r="O1837" s="21"/>
      <c r="P1837" s="21"/>
      <c r="Q1837" s="21"/>
      <c r="R1837" s="21"/>
      <c r="S1837" s="21"/>
      <c r="T1837" s="21"/>
      <c r="U1837" s="22">
        <f>IFERROR(__xludf.DUMMYFUNCTION("IFERROR(GOOGLEFINANCE(A1837,""closeyest""),"""")"),50.0)</f>
        <v>50</v>
      </c>
      <c r="V1837" s="23">
        <f>IFERROR(__xludf.DUMMYFUNCTION("IFERROR(GOOGLEFINANCE(A1837,""changepct""),"""")"),2.0)</f>
        <v>2</v>
      </c>
      <c r="W1837" s="22">
        <f>IFERROR(__xludf.DUMMYFUNCTION("IFERROR(GOOGLEFINANCE(A1837,""priceopen""),"""")"),50.0)</f>
        <v>50</v>
      </c>
      <c r="X1837" s="22">
        <f>IFERROR(__xludf.DUMMYFUNCTION("IFERROR(GOOGLEFINANCE(A1837,""high""),"""")"),52.0)</f>
        <v>52</v>
      </c>
      <c r="Y1837" s="22">
        <f>IFERROR(__xludf.DUMMYFUNCTION("IFERROR(GOOGLEFINANCE(A1837,""low""),"""")"),50.0)</f>
        <v>50</v>
      </c>
      <c r="Z1837" s="22">
        <f>IFERROR(__xludf.DUMMYFUNCTION("IFERROR(GOOGLEFINANCE(A1837,""volume""),"""")"),1.76539E7)</f>
        <v>17653900</v>
      </c>
      <c r="AA1837" s="24" t="str">
        <f>VLOOKUP(A1837,Metrik!$C$2:$Y$959,5,0)</f>
        <v>Heavy Constructions &amp; Civil Engineering</v>
      </c>
      <c r="AB1837" s="24" t="str">
        <f>VLOOKUP(A1837,Metrik!$C$2:$Y$959,3,0)</f>
        <v>Infrastructures</v>
      </c>
    </row>
    <row r="1838">
      <c r="A1838" s="14" t="s">
        <v>996</v>
      </c>
      <c r="B1838" s="14" t="str">
        <f t="array" ref="B1838">VLOOKUP(A1838,{Metrik!$C$2:$C$998,Metrik!$B$2:$B$998},2,0)</f>
        <v>PT WEHA Transportasi Indonesia Tbk</v>
      </c>
      <c r="C1838" s="15">
        <f>IFERROR(__xludf.DUMMYFUNCTION("GOOGLEFINANCE(""IDX:""&amp;A1838,""price"")"),97.0)</f>
        <v>97</v>
      </c>
      <c r="D1838" s="16" t="str">
        <f>IFERROR(__xludf.DUMMYFUNCTION("IF(A1838="""","""",
SPARKLINE(
INDEX(
GOOGLEFINANCE(""IDX:""&amp;A1838,""close"",TODAY()-365,TODAY()),
,2
),
{""linewidth"",1}
))
"),"#N/A")</f>
        <v>#N/A</v>
      </c>
      <c r="E1838" s="26"/>
      <c r="F1838" s="26"/>
      <c r="G1838" s="24">
        <f t="shared" si="11"/>
        <v>0</v>
      </c>
      <c r="H1838" s="19">
        <f>VLOOKUP(A1838,Metrik!$C$2:$Y$959,8,0)</f>
        <v>7.4</v>
      </c>
      <c r="I1838" s="20">
        <f>VLOOKUP(A1838,Metrik!$C$2:$Y$959,9,0)</f>
        <v>0.68</v>
      </c>
      <c r="J1838" s="20">
        <f>VLOOKUP(A1838,Metrik!$C$2:$Y$959,10,0)</f>
        <v>9.2</v>
      </c>
      <c r="K1838" s="20">
        <f>VLOOKUP(A1838,Metrik!$C$2:$Y$959,11,0)</f>
        <v>5.8</v>
      </c>
      <c r="L1838" s="20">
        <f>VLOOKUP(A1838,Metrik!$C$2:$Y$959,12,0)</f>
        <v>0.58</v>
      </c>
      <c r="M1838" s="20">
        <f>VLOOKUP(A1838,Metrik!$C$2:$Y$959,19,0)</f>
        <v>29.6</v>
      </c>
      <c r="N1838" s="21"/>
      <c r="O1838" s="21"/>
      <c r="P1838" s="21"/>
      <c r="Q1838" s="21"/>
      <c r="R1838" s="21"/>
      <c r="S1838" s="21"/>
      <c r="T1838" s="21"/>
      <c r="U1838" s="22">
        <f>IFERROR(__xludf.DUMMYFUNCTION("IFERROR(GOOGLEFINANCE(A1838,""closeyest""),"""")"),95.0)</f>
        <v>95</v>
      </c>
      <c r="V1838" s="23">
        <f>IFERROR(__xludf.DUMMYFUNCTION("IFERROR(GOOGLEFINANCE(A1838,""changepct""),"""")"),2.11)</f>
        <v>2.11</v>
      </c>
      <c r="W1838" s="22">
        <f>IFERROR(__xludf.DUMMYFUNCTION("IFERROR(GOOGLEFINANCE(A1838,""priceopen""),"""")"),95.0)</f>
        <v>95</v>
      </c>
      <c r="X1838" s="22">
        <f>IFERROR(__xludf.DUMMYFUNCTION("IFERROR(GOOGLEFINANCE(A1838,""high""),"""")"),98.0)</f>
        <v>98</v>
      </c>
      <c r="Y1838" s="22">
        <f>IFERROR(__xludf.DUMMYFUNCTION("IFERROR(GOOGLEFINANCE(A1838,""low""),"""")"),94.0)</f>
        <v>94</v>
      </c>
      <c r="Z1838" s="22">
        <f>IFERROR(__xludf.DUMMYFUNCTION("IFERROR(GOOGLEFINANCE(A1838,""volume""),"""")"),1.5532E7)</f>
        <v>15532000</v>
      </c>
      <c r="AA1838" s="24" t="str">
        <f>VLOOKUP(A1838,Metrik!$C$2:$Y$959,5,0)</f>
        <v>Passenger Land Transportation</v>
      </c>
      <c r="AB1838" s="24" t="str">
        <f>VLOOKUP(A1838,Metrik!$C$2:$Y$959,3,0)</f>
        <v>Transportation &amp; Logistic</v>
      </c>
    </row>
    <row r="1839">
      <c r="A1839" s="14" t="s">
        <v>997</v>
      </c>
      <c r="B1839" s="14" t="str">
        <f t="array" ref="B1839">VLOOKUP(A1839,{Metrik!$C$2:$C$998,Metrik!$B$2:$B$998},2,0)</f>
        <v>Wira Global Solusi Tbk.</v>
      </c>
      <c r="C1839" s="15">
        <f>IFERROR(__xludf.DUMMYFUNCTION("GOOGLEFINANCE(""IDX:""&amp;A1839,""price"")"),113.0)</f>
        <v>113</v>
      </c>
      <c r="D1839" s="16" t="str">
        <f>IFERROR(__xludf.DUMMYFUNCTION("IF(A1839="""","""",
SPARKLINE(
INDEX(
GOOGLEFINANCE(""IDX:""&amp;A1839,""close"",TODAY()-365,TODAY()),
,2
),
{""linewidth"",1}
))
"),"#N/A")</f>
        <v>#N/A</v>
      </c>
      <c r="E1839" s="26"/>
      <c r="F1839" s="26"/>
      <c r="G1839" s="24">
        <f t="shared" si="11"/>
        <v>0</v>
      </c>
      <c r="H1839" s="19">
        <f>VLOOKUP(A1839,Metrik!$C$2:$Y$959,8,0)</f>
        <v>81.6</v>
      </c>
      <c r="I1839" s="20">
        <f>VLOOKUP(A1839,Metrik!$C$2:$Y$959,9,0)</f>
        <v>4</v>
      </c>
      <c r="J1839" s="20">
        <f>VLOOKUP(A1839,Metrik!$C$2:$Y$959,10,0)</f>
        <v>4.9</v>
      </c>
      <c r="K1839" s="20">
        <f>VLOOKUP(A1839,Metrik!$C$2:$Y$959,11,0)</f>
        <v>4.3</v>
      </c>
      <c r="L1839" s="20">
        <f>VLOOKUP(A1839,Metrik!$C$2:$Y$959,12,0)</f>
        <v>0.16</v>
      </c>
      <c r="M1839" s="20">
        <f>VLOOKUP(A1839,Metrik!$C$2:$Y$959,19,0)</f>
        <v>6.4</v>
      </c>
      <c r="N1839" s="21"/>
      <c r="O1839" s="21"/>
      <c r="P1839" s="21"/>
      <c r="Q1839" s="21"/>
      <c r="R1839" s="21"/>
      <c r="S1839" s="21"/>
      <c r="T1839" s="21"/>
      <c r="U1839" s="22">
        <f>IFERROR(__xludf.DUMMYFUNCTION("IFERROR(GOOGLEFINANCE(A1839,""closeyest""),"""")"),114.0)</f>
        <v>114</v>
      </c>
      <c r="V1839" s="23">
        <f>IFERROR(__xludf.DUMMYFUNCTION("IFERROR(GOOGLEFINANCE(A1839,""changepct""),"""")"),-0.88)</f>
        <v>-0.88</v>
      </c>
      <c r="W1839" s="22">
        <f>IFERROR(__xludf.DUMMYFUNCTION("IFERROR(GOOGLEFINANCE(A1839,""priceopen""),"""")"),115.0)</f>
        <v>115</v>
      </c>
      <c r="X1839" s="22">
        <f>IFERROR(__xludf.DUMMYFUNCTION("IFERROR(GOOGLEFINANCE(A1839,""high""),"""")"),115.0)</f>
        <v>115</v>
      </c>
      <c r="Y1839" s="22">
        <f>IFERROR(__xludf.DUMMYFUNCTION("IFERROR(GOOGLEFINANCE(A1839,""low""),"""")"),103.0)</f>
        <v>103</v>
      </c>
      <c r="Z1839" s="22">
        <f>IFERROR(__xludf.DUMMYFUNCTION("IFERROR(GOOGLEFINANCE(A1839,""volume""),"""")"),1.7704E7)</f>
        <v>17704000</v>
      </c>
      <c r="AA1839" s="24" t="str">
        <f>VLOOKUP(A1839,Metrik!$C$2:$Y$959,5,0)</f>
        <v>Software</v>
      </c>
      <c r="AB1839" s="24" t="str">
        <f>VLOOKUP(A1839,Metrik!$C$2:$Y$959,3,0)</f>
        <v>Technology</v>
      </c>
    </row>
    <row r="1840">
      <c r="A1840" s="14" t="s">
        <v>998</v>
      </c>
      <c r="B1840" s="14" t="str">
        <f t="array" ref="B1840">VLOOKUP(A1840,{Metrik!$C$2:$C$998,Metrik!$B$2:$B$998},2,0)</f>
        <v>Wicaksana Overseas International Tbk.</v>
      </c>
      <c r="C1840" s="15">
        <f>IFERROR(__xludf.DUMMYFUNCTION("GOOGLEFINANCE(""IDX:""&amp;A1840,""price"")"),123.0)</f>
        <v>123</v>
      </c>
      <c r="D1840" s="16" t="str">
        <f>IFERROR(__xludf.DUMMYFUNCTION("IF(A1840="""","""",
SPARKLINE(
INDEX(
GOOGLEFINANCE(""IDX:""&amp;A1840,""close"",TODAY()-365,TODAY()),
,2
),
{""linewidth"",1}
))
"),"#N/A")</f>
        <v>#N/A</v>
      </c>
      <c r="E1840" s="26"/>
      <c r="F1840" s="26"/>
      <c r="G1840" s="24">
        <f t="shared" si="11"/>
        <v>0</v>
      </c>
      <c r="H1840" s="19">
        <f>VLOOKUP(A1840,Metrik!$C$2:$Y$959,8,0)</f>
        <v>-2.3</v>
      </c>
      <c r="I1840" s="20">
        <f>VLOOKUP(A1840,Metrik!$C$2:$Y$959,9,0)</f>
        <v>-1.3</v>
      </c>
      <c r="J1840" s="20" t="str">
        <f>VLOOKUP(A1840,Metrik!$C$2:$Y$959,10,0)</f>
        <v/>
      </c>
      <c r="K1840" s="20">
        <f>VLOOKUP(A1840,Metrik!$C$2:$Y$959,11,0)</f>
        <v>-67.1</v>
      </c>
      <c r="L1840" s="20">
        <f>VLOOKUP(A1840,Metrik!$C$2:$Y$959,12,0)</f>
        <v>-1.7</v>
      </c>
      <c r="M1840" s="20">
        <f>VLOOKUP(A1840,Metrik!$C$2:$Y$959,19,0)</f>
        <v>-24.2</v>
      </c>
      <c r="N1840" s="21"/>
      <c r="O1840" s="21"/>
      <c r="P1840" s="21"/>
      <c r="Q1840" s="21"/>
      <c r="R1840" s="21"/>
      <c r="S1840" s="21"/>
      <c r="T1840" s="21"/>
      <c r="U1840" s="22">
        <f>IFERROR(__xludf.DUMMYFUNCTION("IFERROR(GOOGLEFINANCE(A1840,""closeyest""),"""")"),123.0)</f>
        <v>123</v>
      </c>
      <c r="V1840" s="23">
        <f>IFERROR(__xludf.DUMMYFUNCTION("IFERROR(GOOGLEFINANCE(A1840,""changepct""),"""")"),0.0)</f>
        <v>0</v>
      </c>
      <c r="W1840" s="22" t="str">
        <f>IFERROR(__xludf.DUMMYFUNCTION("IFERROR(GOOGLEFINANCE(A1840,""priceopen""),"""")"),"")</f>
        <v/>
      </c>
      <c r="X1840" s="22" t="str">
        <f>IFERROR(__xludf.DUMMYFUNCTION("IFERROR(GOOGLEFINANCE(A1840,""high""),"""")"),"")</f>
        <v/>
      </c>
      <c r="Y1840" s="22" t="str">
        <f>IFERROR(__xludf.DUMMYFUNCTION("IFERROR(GOOGLEFINANCE(A1840,""low""),"""")"),"")</f>
        <v/>
      </c>
      <c r="Z1840" s="22">
        <f>IFERROR(__xludf.DUMMYFUNCTION("IFERROR(GOOGLEFINANCE(A1840,""volume""),"""")"),0.0)</f>
        <v>0</v>
      </c>
      <c r="AA1840" s="24" t="str">
        <f>VLOOKUP(A1840,Metrik!$C$2:$Y$959,5,0)</f>
        <v>Food &amp; Staples Retailing</v>
      </c>
      <c r="AB1840" s="24" t="str">
        <f>VLOOKUP(A1840,Metrik!$C$2:$Y$959,3,0)</f>
        <v>Consumer Non-Cyclicals</v>
      </c>
    </row>
    <row r="1841">
      <c r="A1841" s="14" t="s">
        <v>999</v>
      </c>
      <c r="B1841" s="14" t="str">
        <f t="array" ref="B1841">VLOOKUP(A1841,{Metrik!$C$2:$C$998,Metrik!$B$2:$B$998},2,0)</f>
        <v>PT Widiant Jaya Krenindo Tbk.</v>
      </c>
      <c r="C1841" s="15">
        <f>IFERROR(__xludf.DUMMYFUNCTION("GOOGLEFINANCE(""IDX:""&amp;A1841,""price"")"),23.0)</f>
        <v>23</v>
      </c>
      <c r="D1841" s="16" t="str">
        <f>IFERROR(__xludf.DUMMYFUNCTION("IF(A1841="""","""",
SPARKLINE(
INDEX(
GOOGLEFINANCE(""IDX:""&amp;A1841,""close"",TODAY()-365,TODAY()),
,2
),
{""linewidth"",1}
))
"),"#N/A")</f>
        <v>#N/A</v>
      </c>
      <c r="E1841" s="26"/>
      <c r="F1841" s="26"/>
      <c r="G1841" s="24">
        <f t="shared" si="11"/>
        <v>0</v>
      </c>
      <c r="H1841" s="19">
        <f>VLOOKUP(A1841,Metrik!$C$2:$Y$959,8,0)</f>
        <v>-32.5</v>
      </c>
      <c r="I1841" s="20">
        <f>VLOOKUP(A1841,Metrik!$C$2:$Y$959,9,0)</f>
        <v>0.97</v>
      </c>
      <c r="J1841" s="20">
        <f>VLOOKUP(A1841,Metrik!$C$2:$Y$959,10,0)</f>
        <v>-3</v>
      </c>
      <c r="K1841" s="20">
        <f>VLOOKUP(A1841,Metrik!$C$2:$Y$959,11,0)</f>
        <v>-2.9</v>
      </c>
      <c r="L1841" s="20">
        <f>VLOOKUP(A1841,Metrik!$C$2:$Y$959,12,0)</f>
        <v>0.04</v>
      </c>
      <c r="M1841" s="20">
        <f>VLOOKUP(A1841,Metrik!$C$2:$Y$959,19,0)</f>
        <v>-8.6</v>
      </c>
      <c r="N1841" s="21"/>
      <c r="O1841" s="21"/>
      <c r="P1841" s="21"/>
      <c r="Q1841" s="21"/>
      <c r="R1841" s="21"/>
      <c r="S1841" s="21"/>
      <c r="T1841" s="21"/>
      <c r="U1841" s="22">
        <f>IFERROR(__xludf.DUMMYFUNCTION("IFERROR(GOOGLEFINANCE(A1841,""closeyest""),"""")"),23.0)</f>
        <v>23</v>
      </c>
      <c r="V1841" s="23">
        <f>IFERROR(__xludf.DUMMYFUNCTION("IFERROR(GOOGLEFINANCE(A1841,""changepct""),"""")"),0.0)</f>
        <v>0</v>
      </c>
      <c r="W1841" s="22">
        <f>IFERROR(__xludf.DUMMYFUNCTION("IFERROR(GOOGLEFINANCE(A1841,""priceopen""),"""")"),23.0)</f>
        <v>23</v>
      </c>
      <c r="X1841" s="22">
        <f>IFERROR(__xludf.DUMMYFUNCTION("IFERROR(GOOGLEFINANCE(A1841,""high""),"""")"),25.0)</f>
        <v>25</v>
      </c>
      <c r="Y1841" s="22">
        <f>IFERROR(__xludf.DUMMYFUNCTION("IFERROR(GOOGLEFINANCE(A1841,""low""),"""")"),22.0)</f>
        <v>22</v>
      </c>
      <c r="Z1841" s="22">
        <f>IFERROR(__xludf.DUMMYFUNCTION("IFERROR(GOOGLEFINANCE(A1841,""volume""),"""")"),5182600.0)</f>
        <v>5182600</v>
      </c>
      <c r="AA1841" s="24" t="str">
        <f>VLOOKUP(A1841,Metrik!$C$2:$Y$959,5,0)</f>
        <v>Machinery</v>
      </c>
      <c r="AB1841" s="24" t="str">
        <f>VLOOKUP(A1841,Metrik!$C$2:$Y$959,3,0)</f>
        <v>Industrials</v>
      </c>
    </row>
    <row r="1842">
      <c r="A1842" s="17" t="s">
        <v>1000</v>
      </c>
      <c r="B1842" s="14" t="str">
        <f t="array" ref="B1842">VLOOKUP(A1842,{Metrik!$C$2:$C$998,Metrik!$B$2:$B$998},2,0)</f>
        <v>Solusi Sinergi Digital Tbk.</v>
      </c>
      <c r="C1842" s="15">
        <f>IFERROR(__xludf.DUMMYFUNCTION("GOOGLEFINANCE(""IDX:""&amp;A1842,""price"")"),1595.0)</f>
        <v>1595</v>
      </c>
      <c r="D1842" s="16" t="str">
        <f>IFERROR(__xludf.DUMMYFUNCTION("IF(A1842="""","""",
SPARKLINE(
INDEX(
GOOGLEFINANCE(""IDX:""&amp;A1842,""close"",TODAY()-365,TODAY()),
,2
),
{""linewidth"",1}
))
"),"#N/A")</f>
        <v>#N/A</v>
      </c>
      <c r="E1842" s="14" t="s">
        <v>65</v>
      </c>
      <c r="F1842" s="37">
        <v>46356.0</v>
      </c>
      <c r="G1842" s="38">
        <f t="shared" si="11"/>
        <v>10</v>
      </c>
      <c r="H1842" s="34">
        <f>VLOOKUP(A1842,Metrik!$C$2:$Y$959,8,0)</f>
        <v>22.2</v>
      </c>
      <c r="I1842" s="34">
        <f>VLOOKUP(A1842,Metrik!$C$2:$Y$959,9,0)</f>
        <v>1.2</v>
      </c>
      <c r="J1842" s="34">
        <f>VLOOKUP(A1842,Metrik!$C$2:$Y$959,10,0)</f>
        <v>5.6</v>
      </c>
      <c r="K1842" s="34">
        <f>VLOOKUP(A1842,Metrik!$C$2:$Y$959,11,0)</f>
        <v>3</v>
      </c>
      <c r="L1842" s="34">
        <f>VLOOKUP(A1842,Metrik!$C$2:$Y$959,12,0)</f>
        <v>0.85</v>
      </c>
      <c r="M1842" s="34">
        <f>VLOOKUP(A1842,Metrik!$C$2:$Y$959,19,0)</f>
        <v>62.6</v>
      </c>
      <c r="N1842" s="26"/>
      <c r="O1842" s="26"/>
      <c r="P1842" s="26"/>
      <c r="Q1842" s="26"/>
      <c r="R1842" s="26"/>
      <c r="S1842" s="26"/>
      <c r="T1842" s="26"/>
      <c r="U1842" s="35">
        <f>IFERROR(__xludf.DUMMYFUNCTION("IFERROR(GOOGLEFINANCE(A1842,""closeyest""),"""")"),0.03)</f>
        <v>0.03</v>
      </c>
      <c r="V1842" s="36">
        <f>IFERROR(__xludf.DUMMYFUNCTION("IFERROR(GOOGLEFINANCE(A1842,""changepct""),"""")"),0.0)</f>
        <v>0</v>
      </c>
      <c r="W1842" s="35" t="str">
        <f>IFERROR(__xludf.DUMMYFUNCTION("IFERROR(GOOGLEFINANCE(A1842,""priceopen""),"""")"),"")</f>
        <v/>
      </c>
      <c r="X1842" s="35" t="str">
        <f>IFERROR(__xludf.DUMMYFUNCTION("IFERROR(GOOGLEFINANCE(A1842,""high""),"""")"),"")</f>
        <v/>
      </c>
      <c r="Y1842" s="35" t="str">
        <f>IFERROR(__xludf.DUMMYFUNCTION("IFERROR(GOOGLEFINANCE(A1842,""low""),"""")"),"")</f>
        <v/>
      </c>
      <c r="Z1842" s="35">
        <f>IFERROR(__xludf.DUMMYFUNCTION("IFERROR(GOOGLEFINANCE(A1842,""volume""),"""")"),0.0)</f>
        <v>0</v>
      </c>
      <c r="AA1842" s="14" t="str">
        <f>VLOOKUP(A1842,Metrik!$C$2:$Y$959,5,0)</f>
        <v>Online Applications &amp; Services</v>
      </c>
      <c r="AB1842" s="14" t="str">
        <f>VLOOKUP(A1842,Metrik!$C$2:$Y$959,3,0)</f>
        <v>Technology</v>
      </c>
    </row>
    <row r="1843">
      <c r="A1843" s="17" t="s">
        <v>1000</v>
      </c>
      <c r="B1843" s="14" t="str">
        <f t="array" ref="B1843">VLOOKUP(A1843,{Metrik!$C$2:$C$998,Metrik!$B$2:$B$998},2,0)</f>
        <v>Solusi Sinergi Digital Tbk.</v>
      </c>
      <c r="C1843" s="15">
        <f>IFERROR(__xludf.DUMMYFUNCTION("GOOGLEFINANCE(""IDX:""&amp;A1843,""price"")"),1595.0)</f>
        <v>1595</v>
      </c>
      <c r="D1843" s="16" t="str">
        <f>IFERROR(__xludf.DUMMYFUNCTION("IF(A1843="""","""",
SPARKLINE(
INDEX(
GOOGLEFINANCE(""IDX:""&amp;A1843,""close"",TODAY()-365,TODAY()),
,2
),
{""linewidth"",1}
))
"),"#N/A")</f>
        <v>#N/A</v>
      </c>
      <c r="E1843" s="14" t="s">
        <v>38</v>
      </c>
      <c r="F1843" s="25">
        <v>46356.0</v>
      </c>
      <c r="G1843" s="18">
        <f t="shared" si="11"/>
        <v>10</v>
      </c>
      <c r="H1843" s="19">
        <f>VLOOKUP(A1843,Metrik!$C$2:$Y$959,8,0)</f>
        <v>22.2</v>
      </c>
      <c r="I1843" s="20">
        <f>VLOOKUP(A1843,Metrik!$C$2:$Y$959,9,0)</f>
        <v>1.2</v>
      </c>
      <c r="J1843" s="20">
        <f>VLOOKUP(A1843,Metrik!$C$2:$Y$959,10,0)</f>
        <v>5.6</v>
      </c>
      <c r="K1843" s="20">
        <f>VLOOKUP(A1843,Metrik!$C$2:$Y$959,11,0)</f>
        <v>3</v>
      </c>
      <c r="L1843" s="20">
        <f>VLOOKUP(A1843,Metrik!$C$2:$Y$959,12,0)</f>
        <v>0.85</v>
      </c>
      <c r="M1843" s="20">
        <f>VLOOKUP(A1843,Metrik!$C$2:$Y$959,19,0)</f>
        <v>62.6</v>
      </c>
      <c r="N1843" s="21"/>
      <c r="O1843" s="21"/>
      <c r="P1843" s="21"/>
      <c r="Q1843" s="21"/>
      <c r="R1843" s="21"/>
      <c r="S1843" s="21"/>
      <c r="T1843" s="21"/>
      <c r="U1843" s="22">
        <f>IFERROR(__xludf.DUMMYFUNCTION("IFERROR(GOOGLEFINANCE(A1843,""closeyest""),"""")"),0.03)</f>
        <v>0.03</v>
      </c>
      <c r="V1843" s="23">
        <f>IFERROR(__xludf.DUMMYFUNCTION("IFERROR(GOOGLEFINANCE(A1843,""changepct""),"""")"),0.0)</f>
        <v>0</v>
      </c>
      <c r="W1843" s="22" t="str">
        <f>IFERROR(__xludf.DUMMYFUNCTION("IFERROR(GOOGLEFINANCE(A1843,""priceopen""),"""")"),"")</f>
        <v/>
      </c>
      <c r="X1843" s="22" t="str">
        <f>IFERROR(__xludf.DUMMYFUNCTION("IFERROR(GOOGLEFINANCE(A1843,""high""),"""")"),"")</f>
        <v/>
      </c>
      <c r="Y1843" s="22" t="str">
        <f>IFERROR(__xludf.DUMMYFUNCTION("IFERROR(GOOGLEFINANCE(A1843,""low""),"""")"),"")</f>
        <v/>
      </c>
      <c r="Z1843" s="22">
        <f>IFERROR(__xludf.DUMMYFUNCTION("IFERROR(GOOGLEFINANCE(A1843,""volume""),"""")"),0.0)</f>
        <v>0</v>
      </c>
      <c r="AA1843" s="24" t="str">
        <f>VLOOKUP(A1843,Metrik!$C$2:$Y$959,5,0)</f>
        <v>Online Applications &amp; Services</v>
      </c>
      <c r="AB1843" s="24" t="str">
        <f>VLOOKUP(A1843,Metrik!$C$2:$Y$959,3,0)</f>
        <v>Technology</v>
      </c>
    </row>
    <row r="1844">
      <c r="A1844" s="17" t="s">
        <v>1000</v>
      </c>
      <c r="B1844" s="14" t="str">
        <f t="array" ref="B1844">VLOOKUP(A1844,{Metrik!$C$2:$C$998,Metrik!$B$2:$B$998},2,0)</f>
        <v>Solusi Sinergi Digital Tbk.</v>
      </c>
      <c r="C1844" s="15">
        <f>IFERROR(__xludf.DUMMYFUNCTION("GOOGLEFINANCE(""IDX:""&amp;A1844,""price"")"),1595.0)</f>
        <v>1595</v>
      </c>
      <c r="D1844" s="16" t="str">
        <f>IFERROR(__xludf.DUMMYFUNCTION("IF(A1844="""","""",
SPARKLINE(
INDEX(
GOOGLEFINANCE(""IDX:""&amp;A1844,""close"",TODAY()-365,TODAY()),
,2
),
{""linewidth"",1}
))
"),"#N/A")</f>
        <v>#N/A</v>
      </c>
      <c r="E1844" s="14" t="s">
        <v>39</v>
      </c>
      <c r="F1844" s="25">
        <v>46356.0</v>
      </c>
      <c r="G1844" s="18">
        <f t="shared" si="11"/>
        <v>10</v>
      </c>
      <c r="H1844" s="19">
        <f>VLOOKUP(A1844,Metrik!$C$2:$Y$959,8,0)</f>
        <v>22.2</v>
      </c>
      <c r="I1844" s="20">
        <f>VLOOKUP(A1844,Metrik!$C$2:$Y$959,9,0)</f>
        <v>1.2</v>
      </c>
      <c r="J1844" s="20">
        <f>VLOOKUP(A1844,Metrik!$C$2:$Y$959,10,0)</f>
        <v>5.6</v>
      </c>
      <c r="K1844" s="20">
        <f>VLOOKUP(A1844,Metrik!$C$2:$Y$959,11,0)</f>
        <v>3</v>
      </c>
      <c r="L1844" s="20">
        <f>VLOOKUP(A1844,Metrik!$C$2:$Y$959,12,0)</f>
        <v>0.85</v>
      </c>
      <c r="M1844" s="20">
        <f>VLOOKUP(A1844,Metrik!$C$2:$Y$959,19,0)</f>
        <v>62.6</v>
      </c>
      <c r="N1844" s="21"/>
      <c r="O1844" s="21"/>
      <c r="P1844" s="21"/>
      <c r="Q1844" s="21"/>
      <c r="R1844" s="21"/>
      <c r="S1844" s="21"/>
      <c r="T1844" s="21"/>
      <c r="U1844" s="22">
        <f>IFERROR(__xludf.DUMMYFUNCTION("IFERROR(GOOGLEFINANCE(A1844,""closeyest""),"""")"),0.03)</f>
        <v>0.03</v>
      </c>
      <c r="V1844" s="23">
        <f>IFERROR(__xludf.DUMMYFUNCTION("IFERROR(GOOGLEFINANCE(A1844,""changepct""),"""")"),0.0)</f>
        <v>0</v>
      </c>
      <c r="W1844" s="22" t="str">
        <f>IFERROR(__xludf.DUMMYFUNCTION("IFERROR(GOOGLEFINANCE(A1844,""priceopen""),"""")"),"")</f>
        <v/>
      </c>
      <c r="X1844" s="22" t="str">
        <f>IFERROR(__xludf.DUMMYFUNCTION("IFERROR(GOOGLEFINANCE(A1844,""high""),"""")"),"")</f>
        <v/>
      </c>
      <c r="Y1844" s="22" t="str">
        <f>IFERROR(__xludf.DUMMYFUNCTION("IFERROR(GOOGLEFINANCE(A1844,""low""),"""")"),"")</f>
        <v/>
      </c>
      <c r="Z1844" s="22">
        <f>IFERROR(__xludf.DUMMYFUNCTION("IFERROR(GOOGLEFINANCE(A1844,""volume""),"""")"),0.0)</f>
        <v>0</v>
      </c>
      <c r="AA1844" s="24" t="str">
        <f>VLOOKUP(A1844,Metrik!$C$2:$Y$959,5,0)</f>
        <v>Online Applications &amp; Services</v>
      </c>
      <c r="AB1844" s="24" t="str">
        <f>VLOOKUP(A1844,Metrik!$C$2:$Y$959,3,0)</f>
        <v>Technology</v>
      </c>
    </row>
    <row r="1845">
      <c r="A1845" s="17" t="s">
        <v>1000</v>
      </c>
      <c r="B1845" s="14" t="str">
        <f t="array" ref="B1845">VLOOKUP(A1845,{Metrik!$C$2:$C$998,Metrik!$B$2:$B$998},2,0)</f>
        <v>Solusi Sinergi Digital Tbk.</v>
      </c>
      <c r="C1845" s="15">
        <f>IFERROR(__xludf.DUMMYFUNCTION("GOOGLEFINANCE(""IDX:""&amp;A1845,""price"")"),1595.0)</f>
        <v>1595</v>
      </c>
      <c r="D1845" s="16" t="str">
        <f>IFERROR(__xludf.DUMMYFUNCTION("IF(A1845="""","""",
SPARKLINE(
INDEX(
GOOGLEFINANCE(""IDX:""&amp;A1845,""close"",TODAY()-365,TODAY()),
,2
),
{""linewidth"",1}
))
"),"#N/A")</f>
        <v>#N/A</v>
      </c>
      <c r="E1845" s="14" t="s">
        <v>35</v>
      </c>
      <c r="F1845" s="17" t="s">
        <v>36</v>
      </c>
      <c r="G1845" s="24">
        <f t="shared" si="11"/>
        <v>10</v>
      </c>
      <c r="H1845" s="19">
        <f>VLOOKUP(A1845,Metrik!$C$2:$Y$959,8,0)</f>
        <v>22.2</v>
      </c>
      <c r="I1845" s="20">
        <f>VLOOKUP(A1845,Metrik!$C$2:$Y$959,9,0)</f>
        <v>1.2</v>
      </c>
      <c r="J1845" s="20">
        <f>VLOOKUP(A1845,Metrik!$C$2:$Y$959,10,0)</f>
        <v>5.6</v>
      </c>
      <c r="K1845" s="20">
        <f>VLOOKUP(A1845,Metrik!$C$2:$Y$959,11,0)</f>
        <v>3</v>
      </c>
      <c r="L1845" s="20">
        <f>VLOOKUP(A1845,Metrik!$C$2:$Y$959,12,0)</f>
        <v>0.85</v>
      </c>
      <c r="M1845" s="20">
        <f>VLOOKUP(A1845,Metrik!$C$2:$Y$959,19,0)</f>
        <v>62.6</v>
      </c>
      <c r="N1845" s="21"/>
      <c r="O1845" s="21"/>
      <c r="P1845" s="21"/>
      <c r="Q1845" s="21"/>
      <c r="R1845" s="21"/>
      <c r="S1845" s="21"/>
      <c r="T1845" s="21"/>
      <c r="U1845" s="22">
        <f>IFERROR(__xludf.DUMMYFUNCTION("IFERROR(GOOGLEFINANCE(A1845,""closeyest""),"""")"),0.03)</f>
        <v>0.03</v>
      </c>
      <c r="V1845" s="23">
        <f>IFERROR(__xludf.DUMMYFUNCTION("IFERROR(GOOGLEFINANCE(A1845,""changepct""),"""")"),0.0)</f>
        <v>0</v>
      </c>
      <c r="W1845" s="22" t="str">
        <f>IFERROR(__xludf.DUMMYFUNCTION("IFERROR(GOOGLEFINANCE(A1845,""priceopen""),"""")"),"")</f>
        <v/>
      </c>
      <c r="X1845" s="22" t="str">
        <f>IFERROR(__xludf.DUMMYFUNCTION("IFERROR(GOOGLEFINANCE(A1845,""high""),"""")"),"")</f>
        <v/>
      </c>
      <c r="Y1845" s="22" t="str">
        <f>IFERROR(__xludf.DUMMYFUNCTION("IFERROR(GOOGLEFINANCE(A1845,""low""),"""")"),"")</f>
        <v/>
      </c>
      <c r="Z1845" s="22">
        <f>IFERROR(__xludf.DUMMYFUNCTION("IFERROR(GOOGLEFINANCE(A1845,""volume""),"""")"),0.0)</f>
        <v>0</v>
      </c>
      <c r="AA1845" s="24" t="str">
        <f>VLOOKUP(A1845,Metrik!$C$2:$Y$959,5,0)</f>
        <v>Online Applications &amp; Services</v>
      </c>
      <c r="AB1845" s="24" t="str">
        <f>VLOOKUP(A1845,Metrik!$C$2:$Y$959,3,0)</f>
        <v>Technology</v>
      </c>
    </row>
    <row r="1846">
      <c r="A1846" s="17" t="s">
        <v>1000</v>
      </c>
      <c r="B1846" s="14" t="str">
        <f t="array" ref="B1846">VLOOKUP(A1846,{Metrik!$C$2:$C$998,Metrik!$B$2:$B$998},2,0)</f>
        <v>Solusi Sinergi Digital Tbk.</v>
      </c>
      <c r="C1846" s="15">
        <f>IFERROR(__xludf.DUMMYFUNCTION("GOOGLEFINANCE(""IDX:""&amp;A1846,""price"")"),1595.0)</f>
        <v>1595</v>
      </c>
      <c r="D1846" s="16" t="str">
        <f>IFERROR(__xludf.DUMMYFUNCTION("IF(A1846="""","""",
SPARKLINE(
INDEX(
GOOGLEFINANCE(""IDX:""&amp;A1846,""close"",TODAY()-365,TODAY()),
,2
),
{""linewidth"",1}
))
"),"#N/A")</f>
        <v>#N/A</v>
      </c>
      <c r="E1846" s="14" t="s">
        <v>31</v>
      </c>
      <c r="F1846" s="17" t="s">
        <v>29</v>
      </c>
      <c r="G1846" s="18">
        <f t="shared" si="11"/>
        <v>10</v>
      </c>
      <c r="H1846" s="19">
        <f>VLOOKUP(A1846,Metrik!$C$2:$Y$959,8,0)</f>
        <v>22.2</v>
      </c>
      <c r="I1846" s="20">
        <f>VLOOKUP(A1846,Metrik!$C$2:$Y$959,9,0)</f>
        <v>1.2</v>
      </c>
      <c r="J1846" s="20">
        <f>VLOOKUP(A1846,Metrik!$C$2:$Y$959,10,0)</f>
        <v>5.6</v>
      </c>
      <c r="K1846" s="20">
        <f>VLOOKUP(A1846,Metrik!$C$2:$Y$959,11,0)</f>
        <v>3</v>
      </c>
      <c r="L1846" s="20">
        <f>VLOOKUP(A1846,Metrik!$C$2:$Y$959,12,0)</f>
        <v>0.85</v>
      </c>
      <c r="M1846" s="20">
        <f>VLOOKUP(A1846,Metrik!$C$2:$Y$959,19,0)</f>
        <v>62.6</v>
      </c>
      <c r="N1846" s="21"/>
      <c r="O1846" s="21"/>
      <c r="P1846" s="21"/>
      <c r="Q1846" s="21"/>
      <c r="R1846" s="21"/>
      <c r="S1846" s="21"/>
      <c r="T1846" s="21"/>
      <c r="U1846" s="22">
        <f>IFERROR(__xludf.DUMMYFUNCTION("IFERROR(GOOGLEFINANCE(A1846,""closeyest""),"""")"),0.03)</f>
        <v>0.03</v>
      </c>
      <c r="V1846" s="23">
        <f>IFERROR(__xludf.DUMMYFUNCTION("IFERROR(GOOGLEFINANCE(A1846,""changepct""),"""")"),0.0)</f>
        <v>0</v>
      </c>
      <c r="W1846" s="22" t="str">
        <f>IFERROR(__xludf.DUMMYFUNCTION("IFERROR(GOOGLEFINANCE(A1846,""priceopen""),"""")"),"")</f>
        <v/>
      </c>
      <c r="X1846" s="22" t="str">
        <f>IFERROR(__xludf.DUMMYFUNCTION("IFERROR(GOOGLEFINANCE(A1846,""high""),"""")"),"")</f>
        <v/>
      </c>
      <c r="Y1846" s="22" t="str">
        <f>IFERROR(__xludf.DUMMYFUNCTION("IFERROR(GOOGLEFINANCE(A1846,""low""),"""")"),"")</f>
        <v/>
      </c>
      <c r="Z1846" s="22">
        <f>IFERROR(__xludf.DUMMYFUNCTION("IFERROR(GOOGLEFINANCE(A1846,""volume""),"""")"),0.0)</f>
        <v>0</v>
      </c>
      <c r="AA1846" s="24" t="str">
        <f>VLOOKUP(A1846,Metrik!$C$2:$Y$959,5,0)</f>
        <v>Online Applications &amp; Services</v>
      </c>
      <c r="AB1846" s="24" t="str">
        <f>VLOOKUP(A1846,Metrik!$C$2:$Y$959,3,0)</f>
        <v>Technology</v>
      </c>
    </row>
    <row r="1847">
      <c r="A1847" s="17" t="s">
        <v>1000</v>
      </c>
      <c r="B1847" s="14" t="str">
        <f t="array" ref="B1847">VLOOKUP(A1847,{Metrik!$C$2:$C$998,Metrik!$B$2:$B$998},2,0)</f>
        <v>Solusi Sinergi Digital Tbk.</v>
      </c>
      <c r="C1847" s="15">
        <f>IFERROR(__xludf.DUMMYFUNCTION("GOOGLEFINANCE(""IDX:""&amp;A1847,""price"")"),1595.0)</f>
        <v>1595</v>
      </c>
      <c r="D1847" s="16" t="str">
        <f>IFERROR(__xludf.DUMMYFUNCTION("IF(A1847="""","""",
SPARKLINE(
INDEX(
GOOGLEFINANCE(""IDX:""&amp;A1847,""close"",TODAY()-365,TODAY()),
,2
),
{""linewidth"",1}
))
"),"#N/A")</f>
        <v>#N/A</v>
      </c>
      <c r="E1847" s="14" t="s">
        <v>85</v>
      </c>
      <c r="F1847" s="17" t="s">
        <v>51</v>
      </c>
      <c r="G1847" s="24">
        <f t="shared" si="11"/>
        <v>10</v>
      </c>
      <c r="H1847" s="19">
        <f>VLOOKUP(A1847,Metrik!$C$2:$Y$959,8,0)</f>
        <v>22.2</v>
      </c>
      <c r="I1847" s="20">
        <f>VLOOKUP(A1847,Metrik!$C$2:$Y$959,9,0)</f>
        <v>1.2</v>
      </c>
      <c r="J1847" s="20">
        <f>VLOOKUP(A1847,Metrik!$C$2:$Y$959,10,0)</f>
        <v>5.6</v>
      </c>
      <c r="K1847" s="20">
        <f>VLOOKUP(A1847,Metrik!$C$2:$Y$959,11,0)</f>
        <v>3</v>
      </c>
      <c r="L1847" s="20">
        <f>VLOOKUP(A1847,Metrik!$C$2:$Y$959,12,0)</f>
        <v>0.85</v>
      </c>
      <c r="M1847" s="20">
        <f>VLOOKUP(A1847,Metrik!$C$2:$Y$959,19,0)</f>
        <v>62.6</v>
      </c>
      <c r="N1847" s="21"/>
      <c r="O1847" s="21"/>
      <c r="P1847" s="21"/>
      <c r="Q1847" s="21"/>
      <c r="R1847" s="21"/>
      <c r="S1847" s="21"/>
      <c r="T1847" s="21"/>
      <c r="U1847" s="22">
        <f>IFERROR(__xludf.DUMMYFUNCTION("IFERROR(GOOGLEFINANCE(A1847,""closeyest""),"""")"),0.03)</f>
        <v>0.03</v>
      </c>
      <c r="V1847" s="23">
        <f>IFERROR(__xludf.DUMMYFUNCTION("IFERROR(GOOGLEFINANCE(A1847,""changepct""),"""")"),0.0)</f>
        <v>0</v>
      </c>
      <c r="W1847" s="22" t="str">
        <f>IFERROR(__xludf.DUMMYFUNCTION("IFERROR(GOOGLEFINANCE(A1847,""priceopen""),"""")"),"")</f>
        <v/>
      </c>
      <c r="X1847" s="22" t="str">
        <f>IFERROR(__xludf.DUMMYFUNCTION("IFERROR(GOOGLEFINANCE(A1847,""high""),"""")"),"")</f>
        <v/>
      </c>
      <c r="Y1847" s="22" t="str">
        <f>IFERROR(__xludf.DUMMYFUNCTION("IFERROR(GOOGLEFINANCE(A1847,""low""),"""")"),"")</f>
        <v/>
      </c>
      <c r="Z1847" s="22">
        <f>IFERROR(__xludf.DUMMYFUNCTION("IFERROR(GOOGLEFINANCE(A1847,""volume""),"""")"),0.0)</f>
        <v>0</v>
      </c>
      <c r="AA1847" s="24" t="str">
        <f>VLOOKUP(A1847,Metrik!$C$2:$Y$959,5,0)</f>
        <v>Online Applications &amp; Services</v>
      </c>
      <c r="AB1847" s="24" t="str">
        <f>VLOOKUP(A1847,Metrik!$C$2:$Y$959,3,0)</f>
        <v>Technology</v>
      </c>
    </row>
    <row r="1848">
      <c r="A1848" s="14" t="s">
        <v>1000</v>
      </c>
      <c r="B1848" s="14" t="str">
        <f t="array" ref="B1848">VLOOKUP(A1848,{Metrik!$C$2:$C$998,Metrik!$B$2:$B$998},2,0)</f>
        <v>Solusi Sinergi Digital Tbk.</v>
      </c>
      <c r="C1848" s="15">
        <f>IFERROR(__xludf.DUMMYFUNCTION("GOOGLEFINANCE(""IDX:""&amp;A1848,""price"")"),1595.0)</f>
        <v>1595</v>
      </c>
      <c r="D1848" s="16" t="str">
        <f>IFERROR(__xludf.DUMMYFUNCTION("IF(A1848="""","""",
SPARKLINE(
INDEX(
GOOGLEFINANCE(""IDX:""&amp;A1848,""close"",TODAY()-365,TODAY()),
,2
),
{""linewidth"",1}
))
"),"#N/A")</f>
        <v>#N/A</v>
      </c>
      <c r="E1848" s="14" t="s">
        <v>68</v>
      </c>
      <c r="F1848" s="14" t="s">
        <v>34</v>
      </c>
      <c r="G1848" s="24">
        <f t="shared" si="11"/>
        <v>10</v>
      </c>
      <c r="H1848" s="19">
        <f>VLOOKUP(A1848,Metrik!$C$2:$Y$959,8,0)</f>
        <v>22.2</v>
      </c>
      <c r="I1848" s="20">
        <f>VLOOKUP(A1848,Metrik!$C$2:$Y$959,9,0)</f>
        <v>1.2</v>
      </c>
      <c r="J1848" s="20">
        <f>VLOOKUP(A1848,Metrik!$C$2:$Y$959,10,0)</f>
        <v>5.6</v>
      </c>
      <c r="K1848" s="20">
        <f>VLOOKUP(A1848,Metrik!$C$2:$Y$959,11,0)</f>
        <v>3</v>
      </c>
      <c r="L1848" s="20">
        <f>VLOOKUP(A1848,Metrik!$C$2:$Y$959,12,0)</f>
        <v>0.85</v>
      </c>
      <c r="M1848" s="20">
        <f>VLOOKUP(A1848,Metrik!$C$2:$Y$959,19,0)</f>
        <v>62.6</v>
      </c>
      <c r="N1848" s="21"/>
      <c r="O1848" s="21"/>
      <c r="P1848" s="21"/>
      <c r="Q1848" s="21"/>
      <c r="R1848" s="21"/>
      <c r="S1848" s="21"/>
      <c r="T1848" s="21"/>
      <c r="U1848" s="22">
        <f>IFERROR(__xludf.DUMMYFUNCTION("IFERROR(GOOGLEFINANCE(A1848,""closeyest""),"""")"),0.03)</f>
        <v>0.03</v>
      </c>
      <c r="V1848" s="23">
        <f>IFERROR(__xludf.DUMMYFUNCTION("IFERROR(GOOGLEFINANCE(A1848,""changepct""),"""")"),0.0)</f>
        <v>0</v>
      </c>
      <c r="W1848" s="22" t="str">
        <f>IFERROR(__xludf.DUMMYFUNCTION("IFERROR(GOOGLEFINANCE(A1848,""priceopen""),"""")"),"")</f>
        <v/>
      </c>
      <c r="X1848" s="22" t="str">
        <f>IFERROR(__xludf.DUMMYFUNCTION("IFERROR(GOOGLEFINANCE(A1848,""high""),"""")"),"")</f>
        <v/>
      </c>
      <c r="Y1848" s="22" t="str">
        <f>IFERROR(__xludf.DUMMYFUNCTION("IFERROR(GOOGLEFINANCE(A1848,""low""),"""")"),"")</f>
        <v/>
      </c>
      <c r="Z1848" s="22">
        <f>IFERROR(__xludf.DUMMYFUNCTION("IFERROR(GOOGLEFINANCE(A1848,""volume""),"""")"),0.0)</f>
        <v>0</v>
      </c>
      <c r="AA1848" s="24" t="str">
        <f>VLOOKUP(A1848,Metrik!$C$2:$Y$959,5,0)</f>
        <v>Online Applications &amp; Services</v>
      </c>
      <c r="AB1848" s="24" t="str">
        <f>VLOOKUP(A1848,Metrik!$C$2:$Y$959,3,0)</f>
        <v>Technology</v>
      </c>
    </row>
    <row r="1849">
      <c r="A1849" s="14" t="s">
        <v>1000</v>
      </c>
      <c r="B1849" s="14" t="str">
        <f t="array" ref="B1849">VLOOKUP(A1849,{Metrik!$C$2:$C$998,Metrik!$B$2:$B$998},2,0)</f>
        <v>Solusi Sinergi Digital Tbk.</v>
      </c>
      <c r="C1849" s="15">
        <f>IFERROR(__xludf.DUMMYFUNCTION("GOOGLEFINANCE(""IDX:""&amp;A1849,""price"")"),1595.0)</f>
        <v>1595</v>
      </c>
      <c r="D1849" s="16" t="str">
        <f>IFERROR(__xludf.DUMMYFUNCTION("IF(A1849="""","""",
SPARKLINE(
INDEX(
GOOGLEFINANCE(""IDX:""&amp;A1849,""close"",TODAY()-365,TODAY()),
,2
),
{""linewidth"",1}
))
"),"#N/A")</f>
        <v>#N/A</v>
      </c>
      <c r="E1849" s="14" t="s">
        <v>28</v>
      </c>
      <c r="F1849" s="17" t="s">
        <v>29</v>
      </c>
      <c r="G1849" s="24">
        <f t="shared" si="11"/>
        <v>10</v>
      </c>
      <c r="H1849" s="19">
        <f>VLOOKUP(A1849,Metrik!$C$2:$Y$959,8,0)</f>
        <v>22.2</v>
      </c>
      <c r="I1849" s="20">
        <f>VLOOKUP(A1849,Metrik!$C$2:$Y$959,9,0)</f>
        <v>1.2</v>
      </c>
      <c r="J1849" s="20">
        <f>VLOOKUP(A1849,Metrik!$C$2:$Y$959,10,0)</f>
        <v>5.6</v>
      </c>
      <c r="K1849" s="20">
        <f>VLOOKUP(A1849,Metrik!$C$2:$Y$959,11,0)</f>
        <v>3</v>
      </c>
      <c r="L1849" s="20">
        <f>VLOOKUP(A1849,Metrik!$C$2:$Y$959,12,0)</f>
        <v>0.85</v>
      </c>
      <c r="M1849" s="20">
        <f>VLOOKUP(A1849,Metrik!$C$2:$Y$959,19,0)</f>
        <v>62.6</v>
      </c>
      <c r="N1849" s="21"/>
      <c r="O1849" s="21"/>
      <c r="P1849" s="21"/>
      <c r="Q1849" s="21"/>
      <c r="R1849" s="21"/>
      <c r="S1849" s="21"/>
      <c r="T1849" s="21"/>
      <c r="U1849" s="22">
        <f>IFERROR(__xludf.DUMMYFUNCTION("IFERROR(GOOGLEFINANCE(A1849,""closeyest""),"""")"),0.03)</f>
        <v>0.03</v>
      </c>
      <c r="V1849" s="23">
        <f>IFERROR(__xludf.DUMMYFUNCTION("IFERROR(GOOGLEFINANCE(A1849,""changepct""),"""")"),0.0)</f>
        <v>0</v>
      </c>
      <c r="W1849" s="22" t="str">
        <f>IFERROR(__xludf.DUMMYFUNCTION("IFERROR(GOOGLEFINANCE(A1849,""priceopen""),"""")"),"")</f>
        <v/>
      </c>
      <c r="X1849" s="22" t="str">
        <f>IFERROR(__xludf.DUMMYFUNCTION("IFERROR(GOOGLEFINANCE(A1849,""high""),"""")"),"")</f>
        <v/>
      </c>
      <c r="Y1849" s="22" t="str">
        <f>IFERROR(__xludf.DUMMYFUNCTION("IFERROR(GOOGLEFINANCE(A1849,""low""),"""")"),"")</f>
        <v/>
      </c>
      <c r="Z1849" s="22">
        <f>IFERROR(__xludf.DUMMYFUNCTION("IFERROR(GOOGLEFINANCE(A1849,""volume""),"""")"),0.0)</f>
        <v>0</v>
      </c>
      <c r="AA1849" s="24" t="str">
        <f>VLOOKUP(A1849,Metrik!$C$2:$Y$959,5,0)</f>
        <v>Online Applications &amp; Services</v>
      </c>
      <c r="AB1849" s="24" t="str">
        <f>VLOOKUP(A1849,Metrik!$C$2:$Y$959,3,0)</f>
        <v>Technology</v>
      </c>
    </row>
    <row r="1850">
      <c r="A1850" s="14" t="s">
        <v>1000</v>
      </c>
      <c r="B1850" s="14" t="str">
        <f t="array" ref="B1850">VLOOKUP(A1850,{Metrik!$C$2:$C$998,Metrik!$B$2:$B$998},2,0)</f>
        <v>Solusi Sinergi Digital Tbk.</v>
      </c>
      <c r="C1850" s="15">
        <f>IFERROR(__xludf.DUMMYFUNCTION("GOOGLEFINANCE(""IDX:""&amp;A1850,""price"")"),1595.0)</f>
        <v>1595</v>
      </c>
      <c r="D1850" s="16" t="str">
        <f>IFERROR(__xludf.DUMMYFUNCTION("IF(A1850="""","""",
SPARKLINE(
INDEX(
GOOGLEFINANCE(""IDX:""&amp;A1850,""close"",TODAY()-365,TODAY()),
,2
),
{""linewidth"",1}
))
"),"#N/A")</f>
        <v>#N/A</v>
      </c>
      <c r="E1850" s="14" t="s">
        <v>32</v>
      </c>
      <c r="F1850" s="14" t="s">
        <v>29</v>
      </c>
      <c r="G1850" s="24">
        <f t="shared" si="11"/>
        <v>10</v>
      </c>
      <c r="H1850" s="19">
        <f>VLOOKUP(A1850,Metrik!$C$2:$Y$959,8,0)</f>
        <v>22.2</v>
      </c>
      <c r="I1850" s="20">
        <f>VLOOKUP(A1850,Metrik!$C$2:$Y$959,9,0)</f>
        <v>1.2</v>
      </c>
      <c r="J1850" s="20">
        <f>VLOOKUP(A1850,Metrik!$C$2:$Y$959,10,0)</f>
        <v>5.6</v>
      </c>
      <c r="K1850" s="20">
        <f>VLOOKUP(A1850,Metrik!$C$2:$Y$959,11,0)</f>
        <v>3</v>
      </c>
      <c r="L1850" s="20">
        <f>VLOOKUP(A1850,Metrik!$C$2:$Y$959,12,0)</f>
        <v>0.85</v>
      </c>
      <c r="M1850" s="20">
        <f>VLOOKUP(A1850,Metrik!$C$2:$Y$959,19,0)</f>
        <v>62.6</v>
      </c>
      <c r="N1850" s="21"/>
      <c r="O1850" s="21"/>
      <c r="P1850" s="21"/>
      <c r="Q1850" s="21"/>
      <c r="R1850" s="21"/>
      <c r="S1850" s="21"/>
      <c r="T1850" s="21"/>
      <c r="U1850" s="22">
        <f>IFERROR(__xludf.DUMMYFUNCTION("IFERROR(GOOGLEFINANCE(A1850,""closeyest""),"""")"),0.03)</f>
        <v>0.03</v>
      </c>
      <c r="V1850" s="23">
        <f>IFERROR(__xludf.DUMMYFUNCTION("IFERROR(GOOGLEFINANCE(A1850,""changepct""),"""")"),0.0)</f>
        <v>0</v>
      </c>
      <c r="W1850" s="22" t="str">
        <f>IFERROR(__xludf.DUMMYFUNCTION("IFERROR(GOOGLEFINANCE(A1850,""priceopen""),"""")"),"")</f>
        <v/>
      </c>
      <c r="X1850" s="22" t="str">
        <f>IFERROR(__xludf.DUMMYFUNCTION("IFERROR(GOOGLEFINANCE(A1850,""high""),"""")"),"")</f>
        <v/>
      </c>
      <c r="Y1850" s="22" t="str">
        <f>IFERROR(__xludf.DUMMYFUNCTION("IFERROR(GOOGLEFINANCE(A1850,""low""),"""")"),"")</f>
        <v/>
      </c>
      <c r="Z1850" s="22">
        <f>IFERROR(__xludf.DUMMYFUNCTION("IFERROR(GOOGLEFINANCE(A1850,""volume""),"""")"),0.0)</f>
        <v>0</v>
      </c>
      <c r="AA1850" s="24" t="str">
        <f>VLOOKUP(A1850,Metrik!$C$2:$Y$959,5,0)</f>
        <v>Online Applications &amp; Services</v>
      </c>
      <c r="AB1850" s="24" t="str">
        <f>VLOOKUP(A1850,Metrik!$C$2:$Y$959,3,0)</f>
        <v>Technology</v>
      </c>
    </row>
    <row r="1851">
      <c r="A1851" s="14" t="s">
        <v>1000</v>
      </c>
      <c r="B1851" s="14" t="str">
        <f t="array" ref="B1851">VLOOKUP(A1851,{Metrik!$C$2:$C$998,Metrik!$B$2:$B$998},2,0)</f>
        <v>Solusi Sinergi Digital Tbk.</v>
      </c>
      <c r="C1851" s="15">
        <f>IFERROR(__xludf.DUMMYFUNCTION("GOOGLEFINANCE(""IDX:""&amp;A1851,""price"")"),1595.0)</f>
        <v>1595</v>
      </c>
      <c r="D1851" s="16" t="str">
        <f>IFERROR(__xludf.DUMMYFUNCTION("IF(A1851="""","""",
SPARKLINE(
INDEX(
GOOGLEFINANCE(""IDX:""&amp;A1851,""close"",TODAY()-365,TODAY()),
,2
),
{""linewidth"",1}
))
"),"#N/A")</f>
        <v>#N/A</v>
      </c>
      <c r="E1851" s="14" t="s">
        <v>41</v>
      </c>
      <c r="F1851" s="14" t="s">
        <v>34</v>
      </c>
      <c r="G1851" s="24">
        <f t="shared" si="11"/>
        <v>10</v>
      </c>
      <c r="H1851" s="19">
        <f>VLOOKUP(A1851,Metrik!$C$2:$Y$959,8,0)</f>
        <v>22.2</v>
      </c>
      <c r="I1851" s="20">
        <f>VLOOKUP(A1851,Metrik!$C$2:$Y$959,9,0)</f>
        <v>1.2</v>
      </c>
      <c r="J1851" s="20">
        <f>VLOOKUP(A1851,Metrik!$C$2:$Y$959,10,0)</f>
        <v>5.6</v>
      </c>
      <c r="K1851" s="20">
        <f>VLOOKUP(A1851,Metrik!$C$2:$Y$959,11,0)</f>
        <v>3</v>
      </c>
      <c r="L1851" s="20">
        <f>VLOOKUP(A1851,Metrik!$C$2:$Y$959,12,0)</f>
        <v>0.85</v>
      </c>
      <c r="M1851" s="20">
        <f>VLOOKUP(A1851,Metrik!$C$2:$Y$959,19,0)</f>
        <v>62.6</v>
      </c>
      <c r="N1851" s="21"/>
      <c r="O1851" s="21"/>
      <c r="P1851" s="21"/>
      <c r="Q1851" s="21"/>
      <c r="R1851" s="21"/>
      <c r="S1851" s="21"/>
      <c r="T1851" s="21"/>
      <c r="U1851" s="22">
        <f>IFERROR(__xludf.DUMMYFUNCTION("IFERROR(GOOGLEFINANCE(A1851,""closeyest""),"""")"),0.03)</f>
        <v>0.03</v>
      </c>
      <c r="V1851" s="23">
        <f>IFERROR(__xludf.DUMMYFUNCTION("IFERROR(GOOGLEFINANCE(A1851,""changepct""),"""")"),0.0)</f>
        <v>0</v>
      </c>
      <c r="W1851" s="22" t="str">
        <f>IFERROR(__xludf.DUMMYFUNCTION("IFERROR(GOOGLEFINANCE(A1851,""priceopen""),"""")"),"")</f>
        <v/>
      </c>
      <c r="X1851" s="22" t="str">
        <f>IFERROR(__xludf.DUMMYFUNCTION("IFERROR(GOOGLEFINANCE(A1851,""high""),"""")"),"")</f>
        <v/>
      </c>
      <c r="Y1851" s="22" t="str">
        <f>IFERROR(__xludf.DUMMYFUNCTION("IFERROR(GOOGLEFINANCE(A1851,""low""),"""")"),"")</f>
        <v/>
      </c>
      <c r="Z1851" s="22">
        <f>IFERROR(__xludf.DUMMYFUNCTION("IFERROR(GOOGLEFINANCE(A1851,""volume""),"""")"),0.0)</f>
        <v>0</v>
      </c>
      <c r="AA1851" s="24" t="str">
        <f>VLOOKUP(A1851,Metrik!$C$2:$Y$959,5,0)</f>
        <v>Online Applications &amp; Services</v>
      </c>
      <c r="AB1851" s="24" t="str">
        <f>VLOOKUP(A1851,Metrik!$C$2:$Y$959,3,0)</f>
        <v>Technology</v>
      </c>
    </row>
    <row r="1852">
      <c r="A1852" s="14" t="s">
        <v>1001</v>
      </c>
      <c r="B1852" s="14" t="str">
        <f t="array" ref="B1852">VLOOKUP(A1852,{Metrik!$C$2:$C$998,Metrik!$B$2:$B$998},2,0)</f>
        <v>Wismilak Inti Makmur Tbk</v>
      </c>
      <c r="C1852" s="15">
        <f>IFERROR(__xludf.DUMMYFUNCTION("GOOGLEFINANCE(""IDX:""&amp;A1852,""price"")"),1545.0)</f>
        <v>1545</v>
      </c>
      <c r="D1852" s="16" t="str">
        <f>IFERROR(__xludf.DUMMYFUNCTION("IF(A1852="""","""",
SPARKLINE(
INDEX(
GOOGLEFINANCE(""IDX:""&amp;A1852,""close"",TODAY()-365,TODAY()),
,2
),
{""linewidth"",1}
))
"),"#N/A")</f>
        <v>#N/A</v>
      </c>
      <c r="E1852" s="26"/>
      <c r="F1852" s="26"/>
      <c r="G1852" s="18">
        <f t="shared" si="11"/>
        <v>0</v>
      </c>
      <c r="H1852" s="19">
        <f>VLOOKUP(A1852,Metrik!$C$2:$Y$959,8,0)</f>
        <v>6.9</v>
      </c>
      <c r="I1852" s="20">
        <f>VLOOKUP(A1852,Metrik!$C$2:$Y$959,9,0)</f>
        <v>1.5</v>
      </c>
      <c r="J1852" s="20">
        <f>VLOOKUP(A1852,Metrik!$C$2:$Y$959,10,0)</f>
        <v>20.9</v>
      </c>
      <c r="K1852" s="20">
        <f>VLOOKUP(A1852,Metrik!$C$2:$Y$959,11,0)</f>
        <v>14.2</v>
      </c>
      <c r="L1852" s="20">
        <f>VLOOKUP(A1852,Metrik!$C$2:$Y$959,12,0)</f>
        <v>0.48</v>
      </c>
      <c r="M1852" s="20">
        <f>VLOOKUP(A1852,Metrik!$C$2:$Y$959,19,0)</f>
        <v>30.7</v>
      </c>
      <c r="N1852" s="21"/>
      <c r="O1852" s="21"/>
      <c r="P1852" s="21"/>
      <c r="Q1852" s="21"/>
      <c r="R1852" s="21"/>
      <c r="S1852" s="21"/>
      <c r="T1852" s="21"/>
      <c r="U1852" s="22">
        <f>IFERROR(__xludf.DUMMYFUNCTION("IFERROR(GOOGLEFINANCE(A1852,""closeyest""),"""")"),1485.0)</f>
        <v>1485</v>
      </c>
      <c r="V1852" s="23">
        <f>IFERROR(__xludf.DUMMYFUNCTION("IFERROR(GOOGLEFINANCE(A1852,""changepct""),"""")"),4.04)</f>
        <v>4.04</v>
      </c>
      <c r="W1852" s="22">
        <f>IFERROR(__xludf.DUMMYFUNCTION("IFERROR(GOOGLEFINANCE(A1852,""priceopen""),"""")"),1500.0)</f>
        <v>1500</v>
      </c>
      <c r="X1852" s="22">
        <f>IFERROR(__xludf.DUMMYFUNCTION("IFERROR(GOOGLEFINANCE(A1852,""high""),"""")"),1580.0)</f>
        <v>1580</v>
      </c>
      <c r="Y1852" s="22">
        <f>IFERROR(__xludf.DUMMYFUNCTION("IFERROR(GOOGLEFINANCE(A1852,""low""),"""")"),1490.0)</f>
        <v>1490</v>
      </c>
      <c r="Z1852" s="22">
        <f>IFERROR(__xludf.DUMMYFUNCTION("IFERROR(GOOGLEFINANCE(A1852,""volume""),"""")"),1415600.0)</f>
        <v>1415600</v>
      </c>
      <c r="AA1852" s="24" t="str">
        <f>VLOOKUP(A1852,Metrik!$C$2:$Y$959,5,0)</f>
        <v>Tobacco</v>
      </c>
      <c r="AB1852" s="24" t="str">
        <f>VLOOKUP(A1852,Metrik!$C$2:$Y$959,3,0)</f>
        <v>Consumer Non-Cyclicals</v>
      </c>
    </row>
    <row r="1853">
      <c r="A1853" s="14" t="s">
        <v>1002</v>
      </c>
      <c r="B1853" s="14" t="str">
        <f t="array" ref="B1853">VLOOKUP(A1853,{Metrik!$C$2:$C$998,Metrik!$B$2:$B$998},2,0)</f>
        <v>PT Wijaya Karya (Persero) Tbk</v>
      </c>
      <c r="C1853" s="15">
        <f>IFERROR(__xludf.DUMMYFUNCTION("GOOGLEFINANCE(""IDX:""&amp;A1853,""price"")"),204.0)</f>
        <v>204</v>
      </c>
      <c r="D1853" s="16" t="str">
        <f>IFERROR(__xludf.DUMMYFUNCTION("IF(A1853="""","""",
SPARKLINE(
INDEX(
GOOGLEFINANCE(""IDX:""&amp;A1853,""close"",TODAY()-365,TODAY()),
,2
),
{""linewidth"",1}
))
"),"#N/A")</f>
        <v>#N/A</v>
      </c>
      <c r="E1853" s="26"/>
      <c r="F1853" s="26"/>
      <c r="G1853" s="24">
        <f t="shared" si="11"/>
        <v>0</v>
      </c>
      <c r="H1853" s="19">
        <f>VLOOKUP(A1853,Metrik!$C$2:$Y$959,8,0)</f>
        <v>-0.81</v>
      </c>
      <c r="I1853" s="20">
        <f>VLOOKUP(A1853,Metrik!$C$2:$Y$959,9,0)</f>
        <v>15.8</v>
      </c>
      <c r="J1853" s="20">
        <f>VLOOKUP(A1853,Metrik!$C$2:$Y$959,10,0)</f>
        <v>-1950</v>
      </c>
      <c r="K1853" s="20">
        <f>VLOOKUP(A1853,Metrik!$C$2:$Y$959,11,0)</f>
        <v>-20.7</v>
      </c>
      <c r="L1853" s="20">
        <f>VLOOKUP(A1853,Metrik!$C$2:$Y$959,12,0)</f>
        <v>93.3</v>
      </c>
      <c r="M1853" s="20">
        <f>VLOOKUP(A1853,Metrik!$C$2:$Y$959,19,0)</f>
        <v>-390</v>
      </c>
      <c r="N1853" s="21"/>
      <c r="O1853" s="21"/>
      <c r="P1853" s="21"/>
      <c r="Q1853" s="21"/>
      <c r="R1853" s="21"/>
      <c r="S1853" s="21"/>
      <c r="T1853" s="21"/>
      <c r="U1853" s="22">
        <f>IFERROR(__xludf.DUMMYFUNCTION("IFERROR(GOOGLEFINANCE(A1853,""closeyest""),"""")"),204.0)</f>
        <v>204</v>
      </c>
      <c r="V1853" s="23">
        <f>IFERROR(__xludf.DUMMYFUNCTION("IFERROR(GOOGLEFINANCE(A1853,""changepct""),"""")"),0.0)</f>
        <v>0</v>
      </c>
      <c r="W1853" s="22" t="str">
        <f>IFERROR(__xludf.DUMMYFUNCTION("IFERROR(GOOGLEFINANCE(A1853,""priceopen""),"""")"),"")</f>
        <v/>
      </c>
      <c r="X1853" s="22" t="str">
        <f>IFERROR(__xludf.DUMMYFUNCTION("IFERROR(GOOGLEFINANCE(A1853,""high""),"""")"),"")</f>
        <v/>
      </c>
      <c r="Y1853" s="22" t="str">
        <f>IFERROR(__xludf.DUMMYFUNCTION("IFERROR(GOOGLEFINANCE(A1853,""low""),"""")"),"")</f>
        <v/>
      </c>
      <c r="Z1853" s="22">
        <f>IFERROR(__xludf.DUMMYFUNCTION("IFERROR(GOOGLEFINANCE(A1853,""volume""),"""")"),0.0)</f>
        <v>0</v>
      </c>
      <c r="AA1853" s="24" t="str">
        <f>VLOOKUP(A1853,Metrik!$C$2:$Y$959,5,0)</f>
        <v>Heavy Constructions &amp; Civil Engineering</v>
      </c>
      <c r="AB1853" s="24" t="str">
        <f>VLOOKUP(A1853,Metrik!$C$2:$Y$959,3,0)</f>
        <v>Infrastructures</v>
      </c>
    </row>
    <row r="1854">
      <c r="A1854" s="14" t="s">
        <v>1003</v>
      </c>
      <c r="B1854" s="14" t="str">
        <f t="array" ref="B1854">VLOOKUP(A1854,{Metrik!$C$2:$C$998,Metrik!$B$2:$B$998},2,0)</f>
        <v>PT Hatten Bali Tbk</v>
      </c>
      <c r="C1854" s="15">
        <f>IFERROR(__xludf.DUMMYFUNCTION("GOOGLEFINANCE(""IDX:""&amp;A1854,""price"")"),172.0)</f>
        <v>172</v>
      </c>
      <c r="D1854" s="16" t="str">
        <f>IFERROR(__xludf.DUMMYFUNCTION("IF(A1854="""","""",
SPARKLINE(
INDEX(
GOOGLEFINANCE(""IDX:""&amp;A1854,""close"",TODAY()-365,TODAY()),
,2
),
{""linewidth"",1}
))
"),"#N/A")</f>
        <v>#N/A</v>
      </c>
      <c r="E1854" s="26"/>
      <c r="F1854" s="26"/>
      <c r="G1854" s="18">
        <f t="shared" si="11"/>
        <v>0</v>
      </c>
      <c r="H1854" s="19">
        <f>VLOOKUP(A1854,Metrik!$C$2:$Y$959,8,0)</f>
        <v>11.5</v>
      </c>
      <c r="I1854" s="20">
        <f>VLOOKUP(A1854,Metrik!$C$2:$Y$959,9,0)</f>
        <v>1.2</v>
      </c>
      <c r="J1854" s="20">
        <f>VLOOKUP(A1854,Metrik!$C$2:$Y$959,10,0)</f>
        <v>10.7</v>
      </c>
      <c r="K1854" s="20">
        <f>VLOOKUP(A1854,Metrik!$C$2:$Y$959,11,0)</f>
        <v>8.2</v>
      </c>
      <c r="L1854" s="20">
        <f>VLOOKUP(A1854,Metrik!$C$2:$Y$959,12,0)</f>
        <v>0.3</v>
      </c>
      <c r="M1854" s="20">
        <f>VLOOKUP(A1854,Metrik!$C$2:$Y$959,19,0)</f>
        <v>63.2</v>
      </c>
      <c r="N1854" s="21"/>
      <c r="O1854" s="21"/>
      <c r="P1854" s="21"/>
      <c r="Q1854" s="21"/>
      <c r="R1854" s="21"/>
      <c r="S1854" s="21"/>
      <c r="T1854" s="21"/>
      <c r="U1854" s="22">
        <f>IFERROR(__xludf.DUMMYFUNCTION("IFERROR(GOOGLEFINANCE(A1854,""closeyest""),"""")"),74.0)</f>
        <v>74</v>
      </c>
      <c r="V1854" s="23">
        <f>IFERROR(__xludf.DUMMYFUNCTION("IFERROR(GOOGLEFINANCE(A1854,""changepct""),"""")"),0.0)</f>
        <v>0</v>
      </c>
      <c r="W1854" s="22">
        <f>IFERROR(__xludf.DUMMYFUNCTION("IFERROR(GOOGLEFINANCE(A1854,""priceopen""),"""")"),74.0)</f>
        <v>74</v>
      </c>
      <c r="X1854" s="22">
        <f>IFERROR(__xludf.DUMMYFUNCTION("IFERROR(GOOGLEFINANCE(A1854,""high""),"""")"),74.0)</f>
        <v>74</v>
      </c>
      <c r="Y1854" s="22">
        <f>IFERROR(__xludf.DUMMYFUNCTION("IFERROR(GOOGLEFINANCE(A1854,""low""),"""")"),73.0)</f>
        <v>73</v>
      </c>
      <c r="Z1854" s="22">
        <f>IFERROR(__xludf.DUMMYFUNCTION("IFERROR(GOOGLEFINANCE(A1854,""volume""),"""")"),23246.0)</f>
        <v>23246</v>
      </c>
      <c r="AA1854" s="24" t="str">
        <f>VLOOKUP(A1854,Metrik!$C$2:$Y$959,5,0)</f>
        <v>Beverages</v>
      </c>
      <c r="AB1854" s="24" t="str">
        <f>VLOOKUP(A1854,Metrik!$C$2:$Y$959,3,0)</f>
        <v>Consumer Non-Cyclicals</v>
      </c>
    </row>
    <row r="1855">
      <c r="A1855" s="14" t="s">
        <v>1004</v>
      </c>
      <c r="B1855" s="14" t="str">
        <f t="array" ref="B1855">VLOOKUP(A1855,{Metrik!$C$2:$C$998,Metrik!$B$2:$B$998},2,0)</f>
        <v>Winner Nusantara Jaya Tbk.</v>
      </c>
      <c r="C1855" s="15">
        <f>IFERROR(__xludf.DUMMYFUNCTION("GOOGLEFINANCE(""IDX:""&amp;A1855,""price"")"),24.0)</f>
        <v>24</v>
      </c>
      <c r="D1855" s="16" t="str">
        <f>IFERROR(__xludf.DUMMYFUNCTION("IF(A1855="""","""",
SPARKLINE(
INDEX(
GOOGLEFINANCE(""IDX:""&amp;A1855,""close"",TODAY()-365,TODAY()),
,2
),
{""linewidth"",1}
))
"),"#N/A")</f>
        <v>#N/A</v>
      </c>
      <c r="E1855" s="26"/>
      <c r="F1855" s="26"/>
      <c r="G1855" s="24">
        <f t="shared" si="11"/>
        <v>0</v>
      </c>
      <c r="H1855" s="19">
        <f>VLOOKUP(A1855,Metrik!$C$2:$Y$959,8,0)</f>
        <v>7.5</v>
      </c>
      <c r="I1855" s="20">
        <f>VLOOKUP(A1855,Metrik!$C$2:$Y$959,9,0)</f>
        <v>0.35</v>
      </c>
      <c r="J1855" s="20">
        <f>VLOOKUP(A1855,Metrik!$C$2:$Y$959,10,0)</f>
        <v>4.7</v>
      </c>
      <c r="K1855" s="20">
        <f>VLOOKUP(A1855,Metrik!$C$2:$Y$959,11,0)</f>
        <v>3.6</v>
      </c>
      <c r="L1855" s="20">
        <f>VLOOKUP(A1855,Metrik!$C$2:$Y$959,12,0)</f>
        <v>0.31</v>
      </c>
      <c r="M1855" s="20">
        <f>VLOOKUP(A1855,Metrik!$C$2:$Y$959,19,0)</f>
        <v>170</v>
      </c>
      <c r="N1855" s="21"/>
      <c r="O1855" s="21"/>
      <c r="P1855" s="21"/>
      <c r="Q1855" s="21"/>
      <c r="R1855" s="21"/>
      <c r="S1855" s="21"/>
      <c r="T1855" s="21"/>
      <c r="U1855" s="22">
        <f>IFERROR(__xludf.DUMMYFUNCTION("IFERROR(GOOGLEFINANCE(A1855,""closeyest""),"""")"),0.0)</f>
        <v>0</v>
      </c>
      <c r="V1855" s="23">
        <f>IFERROR(__xludf.DUMMYFUNCTION("IFERROR(GOOGLEFINANCE(A1855,""changepct""),"""")"),9900.0)</f>
        <v>9900</v>
      </c>
      <c r="W1855" s="22">
        <f>IFERROR(__xludf.DUMMYFUNCTION("IFERROR(GOOGLEFINANCE(A1855,""priceopen""),"""")"),0.0)</f>
        <v>0</v>
      </c>
      <c r="X1855" s="22">
        <f>IFERROR(__xludf.DUMMYFUNCTION("IFERROR(GOOGLEFINANCE(A1855,""high""),"""")"),0.0)</f>
        <v>0</v>
      </c>
      <c r="Y1855" s="22">
        <f>IFERROR(__xludf.DUMMYFUNCTION("IFERROR(GOOGLEFINANCE(A1855,""low""),"""")"),0.0)</f>
        <v>0</v>
      </c>
      <c r="Z1855" s="22">
        <f>IFERROR(__xludf.DUMMYFUNCTION("IFERROR(GOOGLEFINANCE(A1855,""volume""),"""")"),140000.0)</f>
        <v>140000</v>
      </c>
      <c r="AA1855" s="24" t="str">
        <f>VLOOKUP(A1855,Metrik!$C$2:$Y$959,5,0)</f>
        <v>Real Estate Management &amp; Development</v>
      </c>
      <c r="AB1855" s="24" t="str">
        <f>VLOOKUP(A1855,Metrik!$C$2:$Y$959,3,0)</f>
        <v>Properties &amp; Real Estate</v>
      </c>
    </row>
    <row r="1856">
      <c r="A1856" s="14" t="s">
        <v>1005</v>
      </c>
      <c r="B1856" s="14" t="str">
        <f t="array" ref="B1856">VLOOKUP(A1856,{Metrik!$C$2:$C$998,Metrik!$B$2:$B$998},2,0)</f>
        <v>Wintermar Offshore Marine Tbk</v>
      </c>
      <c r="C1856" s="15">
        <f>IFERROR(__xludf.DUMMYFUNCTION("GOOGLEFINANCE(""IDX:""&amp;A1856,""price"")"),496.0)</f>
        <v>496</v>
      </c>
      <c r="D1856" s="16" t="str">
        <f>IFERROR(__xludf.DUMMYFUNCTION("IF(A1856="""","""",
SPARKLINE(
INDEX(
GOOGLEFINANCE(""IDX:""&amp;A1856,""close"",TODAY()-365,TODAY()),
,2
),
{""linewidth"",1}
))
"),"#N/A")</f>
        <v>#N/A</v>
      </c>
      <c r="E1856" s="26"/>
      <c r="F1856" s="26"/>
      <c r="G1856" s="24">
        <f t="shared" si="11"/>
        <v>0</v>
      </c>
      <c r="H1856" s="19">
        <f>VLOOKUP(A1856,Metrik!$C$2:$Y$959,8,0)</f>
        <v>5.8</v>
      </c>
      <c r="I1856" s="20">
        <f>VLOOKUP(A1856,Metrik!$C$2:$Y$959,9,0)</f>
        <v>0.57</v>
      </c>
      <c r="J1856" s="20">
        <f>VLOOKUP(A1856,Metrik!$C$2:$Y$959,10,0)</f>
        <v>9.8</v>
      </c>
      <c r="K1856" s="20">
        <f>VLOOKUP(A1856,Metrik!$C$2:$Y$959,11,0)</f>
        <v>8.1</v>
      </c>
      <c r="L1856" s="20">
        <f>VLOOKUP(A1856,Metrik!$C$2:$Y$959,12,0)</f>
        <v>0.22</v>
      </c>
      <c r="M1856" s="20">
        <f>VLOOKUP(A1856,Metrik!$C$2:$Y$959,19,0)</f>
        <v>93</v>
      </c>
      <c r="N1856" s="21"/>
      <c r="O1856" s="21"/>
      <c r="P1856" s="21"/>
      <c r="Q1856" s="21"/>
      <c r="R1856" s="21"/>
      <c r="S1856" s="21"/>
      <c r="T1856" s="21"/>
      <c r="U1856" s="22">
        <f>IFERROR(__xludf.DUMMYFUNCTION("IFERROR(GOOGLEFINANCE(A1856,""closeyest""),"""")"),0.12)</f>
        <v>0.12</v>
      </c>
      <c r="V1856" s="23">
        <f>IFERROR(__xludf.DUMMYFUNCTION("IFERROR(GOOGLEFINANCE(A1856,""changepct""),"""")"),0.0)</f>
        <v>0</v>
      </c>
      <c r="W1856" s="22">
        <f>IFERROR(__xludf.DUMMYFUNCTION("IFERROR(GOOGLEFINANCE(A1856,""priceopen""),"""")"),0.12)</f>
        <v>0.12</v>
      </c>
      <c r="X1856" s="22">
        <f>IFERROR(__xludf.DUMMYFUNCTION("IFERROR(GOOGLEFINANCE(A1856,""high""),"""")"),0.12)</f>
        <v>0.12</v>
      </c>
      <c r="Y1856" s="22">
        <f>IFERROR(__xludf.DUMMYFUNCTION("IFERROR(GOOGLEFINANCE(A1856,""low""),"""")"),0.12)</f>
        <v>0.12</v>
      </c>
      <c r="Z1856" s="22">
        <f>IFERROR(__xludf.DUMMYFUNCTION("IFERROR(GOOGLEFINANCE(A1856,""volume""),"""")"),1700.0)</f>
        <v>1700</v>
      </c>
      <c r="AA1856" s="24" t="str">
        <f>VLOOKUP(A1856,Metrik!$C$2:$Y$959,5,0)</f>
        <v>Oil, Gas &amp; Coal Supports</v>
      </c>
      <c r="AB1856" s="24" t="str">
        <f>VLOOKUP(A1856,Metrik!$C$2:$Y$959,3,0)</f>
        <v>Energy</v>
      </c>
    </row>
    <row r="1857">
      <c r="A1857" s="14" t="s">
        <v>1006</v>
      </c>
      <c r="B1857" s="14" t="str">
        <f t="array" ref="B1857">VLOOKUP(A1857,{Metrik!$C$2:$C$998,Metrik!$B$2:$B$998},2,0)</f>
        <v>WIR ASIA Tbk.</v>
      </c>
      <c r="C1857" s="15">
        <f>IFERROR(__xludf.DUMMYFUNCTION("GOOGLEFINANCE(""IDX:""&amp;A1857,""price"")"),58.0)</f>
        <v>58</v>
      </c>
      <c r="D1857" s="16" t="str">
        <f>IFERROR(__xludf.DUMMYFUNCTION("IF(A1857="""","""",
SPARKLINE(
INDEX(
GOOGLEFINANCE(""IDX:""&amp;A1857,""close"",TODAY()-365,TODAY()),
,2
),
{""linewidth"",1}
))
"),"#N/A")</f>
        <v>#N/A</v>
      </c>
      <c r="E1857" s="14" t="s">
        <v>32</v>
      </c>
      <c r="F1857" s="14" t="s">
        <v>29</v>
      </c>
      <c r="G1857" s="24">
        <f t="shared" si="11"/>
        <v>1</v>
      </c>
      <c r="H1857" s="19">
        <f>VLOOKUP(A1857,Metrik!$C$2:$Y$959,8,0)</f>
        <v>9.6</v>
      </c>
      <c r="I1857" s="20">
        <f>VLOOKUP(A1857,Metrik!$C$2:$Y$959,9,0)</f>
        <v>0.79</v>
      </c>
      <c r="J1857" s="20">
        <f>VLOOKUP(A1857,Metrik!$C$2:$Y$959,10,0)</f>
        <v>8.3</v>
      </c>
      <c r="K1857" s="20">
        <f>VLOOKUP(A1857,Metrik!$C$2:$Y$959,11,0)</f>
        <v>5.2</v>
      </c>
      <c r="L1857" s="20">
        <f>VLOOKUP(A1857,Metrik!$C$2:$Y$959,12,0)</f>
        <v>0.62</v>
      </c>
      <c r="M1857" s="20">
        <f>VLOOKUP(A1857,Metrik!$C$2:$Y$959,19,0)</f>
        <v>15</v>
      </c>
      <c r="N1857" s="21"/>
      <c r="O1857" s="21"/>
      <c r="P1857" s="21"/>
      <c r="Q1857" s="21"/>
      <c r="R1857" s="21"/>
      <c r="S1857" s="21"/>
      <c r="T1857" s="21"/>
      <c r="U1857" s="22">
        <f>IFERROR(__xludf.DUMMYFUNCTION("IFERROR(GOOGLEFINANCE(A1857,""closeyest""),"""")"),27.95)</f>
        <v>27.95</v>
      </c>
      <c r="V1857" s="23">
        <f>IFERROR(__xludf.DUMMYFUNCTION("IFERROR(GOOGLEFINANCE(A1857,""changepct""),"""")"),4.22)</f>
        <v>4.22</v>
      </c>
      <c r="W1857" s="22">
        <f>IFERROR(__xludf.DUMMYFUNCTION("IFERROR(GOOGLEFINANCE(A1857,""priceopen""),"""")"),29.01)</f>
        <v>29.01</v>
      </c>
      <c r="X1857" s="22">
        <f>IFERROR(__xludf.DUMMYFUNCTION("IFERROR(GOOGLEFINANCE(A1857,""high""),"""")"),29.14)</f>
        <v>29.14</v>
      </c>
      <c r="Y1857" s="22">
        <f>IFERROR(__xludf.DUMMYFUNCTION("IFERROR(GOOGLEFINANCE(A1857,""low""),"""")"),28.35)</f>
        <v>28.35</v>
      </c>
      <c r="Z1857" s="22">
        <f>IFERROR(__xludf.DUMMYFUNCTION("IFERROR(GOOGLEFINANCE(A1857,""volume""),"""")"),626.0)</f>
        <v>626</v>
      </c>
      <c r="AA1857" s="24" t="str">
        <f>VLOOKUP(A1857,Metrik!$C$2:$Y$959,5,0)</f>
        <v>Software</v>
      </c>
      <c r="AB1857" s="24" t="str">
        <f>VLOOKUP(A1857,Metrik!$C$2:$Y$959,3,0)</f>
        <v>Technology</v>
      </c>
    </row>
    <row r="1858">
      <c r="A1858" s="14" t="s">
        <v>1007</v>
      </c>
      <c r="B1858" s="14" t="str">
        <f t="array" ref="B1858">VLOOKUP(A1858,{Metrik!$C$2:$C$998,Metrik!$B$2:$B$998},2,0)</f>
        <v>Widodo Makmur Perkasa Tbk.</v>
      </c>
      <c r="C1858" s="15">
        <f>IFERROR(__xludf.DUMMYFUNCTION("GOOGLEFINANCE(""IDX:""&amp;A1858,""price"")"),23.0)</f>
        <v>23</v>
      </c>
      <c r="D1858" s="16" t="str">
        <f>IFERROR(__xludf.DUMMYFUNCTION("IF(A1858="""","""",
SPARKLINE(
INDEX(
GOOGLEFINANCE(""IDX:""&amp;A1858,""close"",TODAY()-365,TODAY()),
,2
),
{""linewidth"",1}
))
"),"#N/A")</f>
        <v>#N/A</v>
      </c>
      <c r="E1858" s="26"/>
      <c r="F1858" s="26"/>
      <c r="G1858" s="24">
        <f t="shared" si="11"/>
        <v>0</v>
      </c>
      <c r="H1858" s="19">
        <f>VLOOKUP(A1858,Metrik!$C$2:$Y$959,8,0)</f>
        <v>-5</v>
      </c>
      <c r="I1858" s="20">
        <f>VLOOKUP(A1858,Metrik!$C$2:$Y$959,9,0)</f>
        <v>2.1</v>
      </c>
      <c r="J1858" s="20">
        <f>VLOOKUP(A1858,Metrik!$C$2:$Y$959,10,0)</f>
        <v>-42.3</v>
      </c>
      <c r="K1858" s="20">
        <f>VLOOKUP(A1858,Metrik!$C$2:$Y$959,11,0)</f>
        <v>-4.7</v>
      </c>
      <c r="L1858" s="20">
        <f>VLOOKUP(A1858,Metrik!$C$2:$Y$959,12,0)</f>
        <v>8</v>
      </c>
      <c r="M1858" s="20">
        <f>VLOOKUP(A1858,Metrik!$C$2:$Y$959,19,0)</f>
        <v>-21</v>
      </c>
      <c r="N1858" s="21"/>
      <c r="O1858" s="21"/>
      <c r="P1858" s="21"/>
      <c r="Q1858" s="21"/>
      <c r="R1858" s="21"/>
      <c r="S1858" s="21"/>
      <c r="T1858" s="21"/>
      <c r="U1858" s="22">
        <f>IFERROR(__xludf.DUMMYFUNCTION("IFERROR(GOOGLEFINANCE(A1858,""closeyest""),"""")"),21.0)</f>
        <v>21</v>
      </c>
      <c r="V1858" s="23">
        <f>IFERROR(__xludf.DUMMYFUNCTION("IFERROR(GOOGLEFINANCE(A1858,""changepct""),"""")"),9.52)</f>
        <v>9.52</v>
      </c>
      <c r="W1858" s="22">
        <f>IFERROR(__xludf.DUMMYFUNCTION("IFERROR(GOOGLEFINANCE(A1858,""priceopen""),"""")"),21.0)</f>
        <v>21</v>
      </c>
      <c r="X1858" s="22">
        <f>IFERROR(__xludf.DUMMYFUNCTION("IFERROR(GOOGLEFINANCE(A1858,""high""),"""")"),23.0)</f>
        <v>23</v>
      </c>
      <c r="Y1858" s="22">
        <f>IFERROR(__xludf.DUMMYFUNCTION("IFERROR(GOOGLEFINANCE(A1858,""low""),"""")"),21.0)</f>
        <v>21</v>
      </c>
      <c r="Z1858" s="22">
        <f>IFERROR(__xludf.DUMMYFUNCTION("IFERROR(GOOGLEFINANCE(A1858,""volume""),"""")"),2.71272E7)</f>
        <v>27127200</v>
      </c>
      <c r="AA1858" s="24" t="str">
        <f>VLOOKUP(A1858,Metrik!$C$2:$Y$959,5,0)</f>
        <v>Agricultural Products</v>
      </c>
      <c r="AB1858" s="24" t="str">
        <f>VLOOKUP(A1858,Metrik!$C$2:$Y$959,3,0)</f>
        <v>Consumer Non-Cyclicals</v>
      </c>
    </row>
    <row r="1859">
      <c r="A1859" s="14" t="s">
        <v>1008</v>
      </c>
      <c r="B1859" s="14" t="str">
        <f t="array" ref="B1859">VLOOKUP(A1859,{Metrik!$C$2:$C$998,Metrik!$B$2:$B$998},2,0)</f>
        <v>Widodo Makmur Unggas Tbk.</v>
      </c>
      <c r="C1859" s="15">
        <f>IFERROR(__xludf.DUMMYFUNCTION("GOOGLEFINANCE(""IDX:""&amp;A1859,""price"")"),52.0)</f>
        <v>52</v>
      </c>
      <c r="D1859" s="16" t="str">
        <f>IFERROR(__xludf.DUMMYFUNCTION("IF(A1859="""","""",
SPARKLINE(
INDEX(
GOOGLEFINANCE(""IDX:""&amp;A1859,""close"",TODAY()-365,TODAY()),
,2
),
{""linewidth"",1}
))
"),"#N/A")</f>
        <v>#N/A</v>
      </c>
      <c r="E1859" s="26"/>
      <c r="F1859" s="26"/>
      <c r="G1859" s="24">
        <f t="shared" si="11"/>
        <v>0</v>
      </c>
      <c r="H1859" s="19">
        <f>VLOOKUP(A1859,Metrik!$C$2:$Y$959,8,0)</f>
        <v>-10</v>
      </c>
      <c r="I1859" s="20">
        <f>VLOOKUP(A1859,Metrik!$C$2:$Y$959,9,0)</f>
        <v>0.93</v>
      </c>
      <c r="J1859" s="20">
        <f>VLOOKUP(A1859,Metrik!$C$2:$Y$959,10,0)</f>
        <v>-9.4</v>
      </c>
      <c r="K1859" s="20">
        <f>VLOOKUP(A1859,Metrik!$C$2:$Y$959,11,0)</f>
        <v>-3.1</v>
      </c>
      <c r="L1859" s="20">
        <f>VLOOKUP(A1859,Metrik!$C$2:$Y$959,12,0)</f>
        <v>2.1</v>
      </c>
      <c r="M1859" s="20">
        <f>VLOOKUP(A1859,Metrik!$C$2:$Y$959,19,0)</f>
        <v>-29</v>
      </c>
      <c r="N1859" s="21"/>
      <c r="O1859" s="21"/>
      <c r="P1859" s="21"/>
      <c r="Q1859" s="21"/>
      <c r="R1859" s="21"/>
      <c r="S1859" s="21"/>
      <c r="T1859" s="21"/>
      <c r="U1859" s="22">
        <f>IFERROR(__xludf.DUMMYFUNCTION("IFERROR(GOOGLEFINANCE(A1859,""closeyest""),"""")"),50.0)</f>
        <v>50</v>
      </c>
      <c r="V1859" s="23">
        <f>IFERROR(__xludf.DUMMYFUNCTION("IFERROR(GOOGLEFINANCE(A1859,""changepct""),"""")"),4.0)</f>
        <v>4</v>
      </c>
      <c r="W1859" s="22">
        <f>IFERROR(__xludf.DUMMYFUNCTION("IFERROR(GOOGLEFINANCE(A1859,""priceopen""),"""")"),50.0)</f>
        <v>50</v>
      </c>
      <c r="X1859" s="22">
        <f>IFERROR(__xludf.DUMMYFUNCTION("IFERROR(GOOGLEFINANCE(A1859,""high""),"""")"),57.0)</f>
        <v>57</v>
      </c>
      <c r="Y1859" s="22">
        <f>IFERROR(__xludf.DUMMYFUNCTION("IFERROR(GOOGLEFINANCE(A1859,""low""),"""")"),50.0)</f>
        <v>50</v>
      </c>
      <c r="Z1859" s="22">
        <f>IFERROR(__xludf.DUMMYFUNCTION("IFERROR(GOOGLEFINANCE(A1859,""volume""),"""")"),3.982069E8)</f>
        <v>398206900</v>
      </c>
      <c r="AA1859" s="24" t="str">
        <f>VLOOKUP(A1859,Metrik!$C$2:$Y$959,5,0)</f>
        <v>Agricultural Products</v>
      </c>
      <c r="AB1859" s="24" t="str">
        <f>VLOOKUP(A1859,Metrik!$C$2:$Y$959,3,0)</f>
        <v>Consumer Non-Cyclicals</v>
      </c>
    </row>
    <row r="1860">
      <c r="A1860" s="14" t="s">
        <v>1009</v>
      </c>
      <c r="B1860" s="14" t="str">
        <f t="array" ref="B1860">VLOOKUP(A1860,{Metrik!$C$2:$C$998,Metrik!$B$2:$B$998},2,0)</f>
        <v>Wahana Ottomitra Multiartha Tbk.</v>
      </c>
      <c r="C1860" s="15">
        <f>IFERROR(__xludf.DUMMYFUNCTION("GOOGLEFINANCE(""IDX:""&amp;A1860,""price"")"),250.0)</f>
        <v>250</v>
      </c>
      <c r="D1860" s="16" t="str">
        <f>IFERROR(__xludf.DUMMYFUNCTION("IF(A1860="""","""",
SPARKLINE(
INDEX(
GOOGLEFINANCE(""IDX:""&amp;A1860,""close"",TODAY()-365,TODAY()),
,2
),
{""linewidth"",1}
))
"),"#N/A")</f>
        <v>#N/A</v>
      </c>
      <c r="E1860" s="26"/>
      <c r="F1860" s="26"/>
      <c r="G1860" s="24">
        <f t="shared" si="11"/>
        <v>0</v>
      </c>
      <c r="H1860" s="19">
        <f>VLOOKUP(A1860,Metrik!$C$2:$Y$959,8,0)</f>
        <v>4.5</v>
      </c>
      <c r="I1860" s="20">
        <f>VLOOKUP(A1860,Metrik!$C$2:$Y$959,9,0)</f>
        <v>0.5</v>
      </c>
      <c r="J1860" s="20">
        <f>VLOOKUP(A1860,Metrik!$C$2:$Y$959,10,0)</f>
        <v>11.3</v>
      </c>
      <c r="K1860" s="20">
        <f>VLOOKUP(A1860,Metrik!$C$2:$Y$959,11,0)</f>
        <v>1.3</v>
      </c>
      <c r="L1860" s="20">
        <f>VLOOKUP(A1860,Metrik!$C$2:$Y$959,12,0)</f>
        <v>3.5</v>
      </c>
      <c r="M1860" s="20">
        <f>VLOOKUP(A1860,Metrik!$C$2:$Y$959,19,0)</f>
        <v>12.2</v>
      </c>
      <c r="N1860" s="21"/>
      <c r="O1860" s="21"/>
      <c r="P1860" s="21"/>
      <c r="Q1860" s="21"/>
      <c r="R1860" s="21"/>
      <c r="S1860" s="21"/>
      <c r="T1860" s="21"/>
      <c r="U1860" s="22">
        <f>IFERROR(__xludf.DUMMYFUNCTION("IFERROR(GOOGLEFINANCE(A1860,""closeyest""),"""")"),244.0)</f>
        <v>244</v>
      </c>
      <c r="V1860" s="23">
        <f>IFERROR(__xludf.DUMMYFUNCTION("IFERROR(GOOGLEFINANCE(A1860,""changepct""),"""")"),2.46)</f>
        <v>2.46</v>
      </c>
      <c r="W1860" s="22">
        <f>IFERROR(__xludf.DUMMYFUNCTION("IFERROR(GOOGLEFINANCE(A1860,""priceopen""),"""")"),242.0)</f>
        <v>242</v>
      </c>
      <c r="X1860" s="22">
        <f>IFERROR(__xludf.DUMMYFUNCTION("IFERROR(GOOGLEFINANCE(A1860,""high""),"""")"),250.0)</f>
        <v>250</v>
      </c>
      <c r="Y1860" s="22">
        <f>IFERROR(__xludf.DUMMYFUNCTION("IFERROR(GOOGLEFINANCE(A1860,""low""),"""")"),230.0)</f>
        <v>230</v>
      </c>
      <c r="Z1860" s="22">
        <f>IFERROR(__xludf.DUMMYFUNCTION("IFERROR(GOOGLEFINANCE(A1860,""volume""),"""")"),16100.0)</f>
        <v>16100</v>
      </c>
      <c r="AA1860" s="24" t="str">
        <f>VLOOKUP(A1860,Metrik!$C$2:$Y$959,5,0)</f>
        <v>Consumer Financing</v>
      </c>
      <c r="AB1860" s="24" t="str">
        <f>VLOOKUP(A1860,Metrik!$C$2:$Y$959,3,0)</f>
        <v>Financials</v>
      </c>
    </row>
    <row r="1861">
      <c r="A1861" s="14" t="s">
        <v>1010</v>
      </c>
      <c r="B1861" s="14" t="str">
        <f t="array" ref="B1861">VLOOKUP(A1861,{Metrik!$C$2:$C$998,Metrik!$B$2:$B$998},2,0)</f>
        <v>Integra Indocabinet Tbk.</v>
      </c>
      <c r="C1861" s="15">
        <f>IFERROR(__xludf.DUMMYFUNCTION("GOOGLEFINANCE(""IDX:""&amp;A1861,""price"")"),230.0)</f>
        <v>230</v>
      </c>
      <c r="D1861" s="16" t="str">
        <f>IFERROR(__xludf.DUMMYFUNCTION("IF(A1861="""","""",
SPARKLINE(
INDEX(
GOOGLEFINANCE(""IDX:""&amp;A1861,""close"",TODAY()-365,TODAY()),
,2
),
{""linewidth"",1}
))
"),"#N/A")</f>
        <v>#N/A</v>
      </c>
      <c r="E1861" s="26"/>
      <c r="F1861" s="26"/>
      <c r="G1861" s="24">
        <f t="shared" si="11"/>
        <v>0</v>
      </c>
      <c r="H1861" s="19">
        <f>VLOOKUP(A1861,Metrik!$C$2:$Y$959,8,0)</f>
        <v>30.2</v>
      </c>
      <c r="I1861" s="20">
        <f>VLOOKUP(A1861,Metrik!$C$2:$Y$959,9,0)</f>
        <v>0.37</v>
      </c>
      <c r="J1861" s="20">
        <f>VLOOKUP(A1861,Metrik!$C$2:$Y$959,10,0)</f>
        <v>1.2</v>
      </c>
      <c r="K1861" s="20">
        <f>VLOOKUP(A1861,Metrik!$C$2:$Y$959,11,0)</f>
        <v>0.72</v>
      </c>
      <c r="L1861" s="20">
        <f>VLOOKUP(A1861,Metrik!$C$2:$Y$959,12,0)</f>
        <v>0.73</v>
      </c>
      <c r="M1861" s="20">
        <f>VLOOKUP(A1861,Metrik!$C$2:$Y$959,19,0)</f>
        <v>7.9</v>
      </c>
      <c r="N1861" s="21"/>
      <c r="O1861" s="21"/>
      <c r="P1861" s="21"/>
      <c r="Q1861" s="21"/>
      <c r="R1861" s="21"/>
      <c r="S1861" s="21"/>
      <c r="T1861" s="21"/>
      <c r="U1861" s="22">
        <f>IFERROR(__xludf.DUMMYFUNCTION("IFERROR(GOOGLEFINANCE(A1861,""closeyest""),"""")"),67.22)</f>
        <v>67.22</v>
      </c>
      <c r="V1861" s="23">
        <f>IFERROR(__xludf.DUMMYFUNCTION("IFERROR(GOOGLEFINANCE(A1861,""changepct""),"""")"),1.43)</f>
        <v>1.43</v>
      </c>
      <c r="W1861" s="22">
        <f>IFERROR(__xludf.DUMMYFUNCTION("IFERROR(GOOGLEFINANCE(A1861,""priceopen""),"""")"),67.45)</f>
        <v>67.45</v>
      </c>
      <c r="X1861" s="22">
        <f>IFERROR(__xludf.DUMMYFUNCTION("IFERROR(GOOGLEFINANCE(A1861,""high""),"""")"),68.18)</f>
        <v>68.18</v>
      </c>
      <c r="Y1861" s="22">
        <f>IFERROR(__xludf.DUMMYFUNCTION("IFERROR(GOOGLEFINANCE(A1861,""low""),"""")"),67.45)</f>
        <v>67.45</v>
      </c>
      <c r="Z1861" s="22">
        <f>IFERROR(__xludf.DUMMYFUNCTION("IFERROR(GOOGLEFINANCE(A1861,""volume""),"""")"),4672.0)</f>
        <v>4672</v>
      </c>
      <c r="AA1861" s="24" t="str">
        <f>VLOOKUP(A1861,Metrik!$C$2:$Y$959,5,0)</f>
        <v>Household Goods</v>
      </c>
      <c r="AB1861" s="24" t="str">
        <f>VLOOKUP(A1861,Metrik!$C$2:$Y$959,3,0)</f>
        <v>Consumer Cyclicals</v>
      </c>
    </row>
    <row r="1862">
      <c r="A1862" s="14" t="s">
        <v>1011</v>
      </c>
      <c r="B1862" s="14" t="str">
        <f t="array" ref="B1862">VLOOKUP(A1862,{Metrik!$C$2:$C$998,Metrik!$B$2:$B$998},2,0)</f>
        <v>Ginting Jaya Energi Tbk.</v>
      </c>
      <c r="C1862" s="15">
        <f>IFERROR(__xludf.DUMMYFUNCTION("GOOGLEFINANCE(""IDX:""&amp;A1862,""price"")"),58.0)</f>
        <v>58</v>
      </c>
      <c r="D1862" s="16" t="str">
        <f>IFERROR(__xludf.DUMMYFUNCTION("IF(A1862="""","""",
SPARKLINE(
INDEX(
GOOGLEFINANCE(""IDX:""&amp;A1862,""close"",TODAY()-365,TODAY()),
,2
),
{""linewidth"",1}
))
"),"#N/A")</f>
        <v>#N/A</v>
      </c>
      <c r="E1862" s="26"/>
      <c r="F1862" s="26"/>
      <c r="G1862" s="24">
        <f t="shared" si="11"/>
        <v>0</v>
      </c>
      <c r="H1862" s="19">
        <f>VLOOKUP(A1862,Metrik!$C$2:$Y$959,8,0)</f>
        <v>9.5</v>
      </c>
      <c r="I1862" s="20">
        <f>VLOOKUP(A1862,Metrik!$C$2:$Y$959,9,0)</f>
        <v>0.28</v>
      </c>
      <c r="J1862" s="20">
        <f>VLOOKUP(A1862,Metrik!$C$2:$Y$959,10,0)</f>
        <v>3</v>
      </c>
      <c r="K1862" s="20">
        <f>VLOOKUP(A1862,Metrik!$C$2:$Y$959,11,0)</f>
        <v>2.5</v>
      </c>
      <c r="L1862" s="20">
        <f>VLOOKUP(A1862,Metrik!$C$2:$Y$959,12,0)</f>
        <v>0.2</v>
      </c>
      <c r="M1862" s="20">
        <f>VLOOKUP(A1862,Metrik!$C$2:$Y$959,19,0)</f>
        <v>25.4</v>
      </c>
      <c r="N1862" s="21"/>
      <c r="O1862" s="21"/>
      <c r="P1862" s="21"/>
      <c r="Q1862" s="21"/>
      <c r="R1862" s="21"/>
      <c r="S1862" s="21"/>
      <c r="T1862" s="21"/>
      <c r="U1862" s="22">
        <f>IFERROR(__xludf.DUMMYFUNCTION("IFERROR(GOOGLEFINANCE(A1862,""closeyest""),"""")"),56.0)</f>
        <v>56</v>
      </c>
      <c r="V1862" s="23" t="str">
        <f>IFERROR(__xludf.DUMMYFUNCTION("IFERROR(GOOGLEFINANCE(A1862,""changepct""),"""")"),"")</f>
        <v/>
      </c>
      <c r="W1862" s="22">
        <f>IFERROR(__xludf.DUMMYFUNCTION("IFERROR(GOOGLEFINANCE(A1862,""priceopen""),"""")"),56.0)</f>
        <v>56</v>
      </c>
      <c r="X1862" s="22">
        <f>IFERROR(__xludf.DUMMYFUNCTION("IFERROR(GOOGLEFINANCE(A1862,""high""),"""")"),60.0)</f>
        <v>60</v>
      </c>
      <c r="Y1862" s="22">
        <f>IFERROR(__xludf.DUMMYFUNCTION("IFERROR(GOOGLEFINANCE(A1862,""low""),"""")"),55.0)</f>
        <v>55</v>
      </c>
      <c r="Z1862" s="22">
        <f>IFERROR(__xludf.DUMMYFUNCTION("IFERROR(GOOGLEFINANCE(A1862,""volume""),"""")"),1.44441E7)</f>
        <v>14444100</v>
      </c>
      <c r="AA1862" s="24" t="str">
        <f>VLOOKUP(A1862,Metrik!$C$2:$Y$959,5,0)</f>
        <v>Oil, Gas &amp; Coal Supports</v>
      </c>
      <c r="AB1862" s="24" t="str">
        <f>VLOOKUP(A1862,Metrik!$C$2:$Y$959,3,0)</f>
        <v>Energy</v>
      </c>
    </row>
    <row r="1863">
      <c r="A1863" s="14" t="s">
        <v>1012</v>
      </c>
      <c r="B1863" s="14" t="str">
        <f t="array" ref="B1863">VLOOKUP(A1863,{Metrik!$C$2:$C$998,Metrik!$B$2:$B$998},2,0)</f>
        <v>Waskita Beton Precast Tbk.</v>
      </c>
      <c r="C1863" s="15">
        <f>IFERROR(__xludf.DUMMYFUNCTION("GOOGLEFINANCE(""IDX:""&amp;A1863,""price"")"),15.0)</f>
        <v>15</v>
      </c>
      <c r="D1863" s="16" t="str">
        <f>IFERROR(__xludf.DUMMYFUNCTION("IF(A1863="""","""",
SPARKLINE(
INDEX(
GOOGLEFINANCE(""IDX:""&amp;A1863,""close"",TODAY()-365,TODAY()),
,2
),
{""linewidth"",1}
))
"),"#N/A")</f>
        <v>#N/A</v>
      </c>
      <c r="E1863" s="26"/>
      <c r="F1863" s="26"/>
      <c r="G1863" s="24">
        <f t="shared" si="11"/>
        <v>0</v>
      </c>
      <c r="H1863" s="19">
        <f>VLOOKUP(A1863,Metrik!$C$2:$Y$959,8,0)</f>
        <v>-1.4</v>
      </c>
      <c r="I1863" s="20">
        <f>VLOOKUP(A1863,Metrik!$C$2:$Y$959,9,0)</f>
        <v>-0.4</v>
      </c>
      <c r="J1863" s="20">
        <f>VLOOKUP(A1863,Metrik!$C$2:$Y$959,10,0)</f>
        <v>0</v>
      </c>
      <c r="K1863" s="20">
        <f>VLOOKUP(A1863,Metrik!$C$2:$Y$959,11,0)</f>
        <v>-20.2</v>
      </c>
      <c r="L1863" s="20">
        <f>VLOOKUP(A1863,Metrik!$C$2:$Y$959,12,0)</f>
        <v>-2.4</v>
      </c>
      <c r="M1863" s="20">
        <f>VLOOKUP(A1863,Metrik!$C$2:$Y$959,19,0)</f>
        <v>-150</v>
      </c>
      <c r="N1863" s="21"/>
      <c r="O1863" s="21"/>
      <c r="P1863" s="21"/>
      <c r="Q1863" s="21"/>
      <c r="R1863" s="21"/>
      <c r="S1863" s="21"/>
      <c r="T1863" s="21"/>
      <c r="U1863" s="22">
        <f>IFERROR(__xludf.DUMMYFUNCTION("IFERROR(GOOGLEFINANCE(A1863,""closeyest""),"""")"),14.0)</f>
        <v>14</v>
      </c>
      <c r="V1863" s="23">
        <f>IFERROR(__xludf.DUMMYFUNCTION("IFERROR(GOOGLEFINANCE(A1863,""changepct""),"""")"),7.14)</f>
        <v>7.14</v>
      </c>
      <c r="W1863" s="22">
        <f>IFERROR(__xludf.DUMMYFUNCTION("IFERROR(GOOGLEFINANCE(A1863,""priceopen""),"""")"),14.0)</f>
        <v>14</v>
      </c>
      <c r="X1863" s="22">
        <f>IFERROR(__xludf.DUMMYFUNCTION("IFERROR(GOOGLEFINANCE(A1863,""high""),"""")"),15.0)</f>
        <v>15</v>
      </c>
      <c r="Y1863" s="22">
        <f>IFERROR(__xludf.DUMMYFUNCTION("IFERROR(GOOGLEFINANCE(A1863,""low""),"""")"),14.0)</f>
        <v>14</v>
      </c>
      <c r="Z1863" s="22">
        <f>IFERROR(__xludf.DUMMYFUNCTION("IFERROR(GOOGLEFINANCE(A1863,""volume""),"""")"),1.9057E7)</f>
        <v>19057000</v>
      </c>
      <c r="AA1863" s="24" t="str">
        <f>VLOOKUP(A1863,Metrik!$C$2:$Y$959,5,0)</f>
        <v>Construction Materials</v>
      </c>
      <c r="AB1863" s="24" t="str">
        <f>VLOOKUP(A1863,Metrik!$C$2:$Y$959,3,0)</f>
        <v>Basic Materials</v>
      </c>
    </row>
    <row r="1864">
      <c r="A1864" s="14" t="s">
        <v>1013</v>
      </c>
      <c r="B1864" s="14" t="str">
        <f t="array" ref="B1864">VLOOKUP(A1864,{Metrik!$C$2:$C$998,Metrik!$B$2:$B$998},2,0)</f>
        <v>PT Waskita Karya (Persero) Tbk</v>
      </c>
      <c r="C1864" s="15">
        <f>IFERROR(__xludf.DUMMYFUNCTION("GOOGLEFINANCE(""IDX:""&amp;A1864,""price"")"),202.0)</f>
        <v>202</v>
      </c>
      <c r="D1864" s="16" t="str">
        <f>IFERROR(__xludf.DUMMYFUNCTION("IF(A1864="""","""",
SPARKLINE(
INDEX(
GOOGLEFINANCE(""IDX:""&amp;A1864,""close"",TODAY()-365,TODAY()),
,2
),
{""linewidth"",1}
))
"),"#N/A")</f>
        <v>#N/A</v>
      </c>
      <c r="E1864" s="26"/>
      <c r="F1864" s="26"/>
      <c r="G1864" s="24">
        <f t="shared" si="11"/>
        <v>0</v>
      </c>
      <c r="H1864" s="19">
        <f>VLOOKUP(A1864,Metrik!$C$2:$Y$959,8,0)</f>
        <v>-1.7</v>
      </c>
      <c r="I1864" s="20">
        <f>VLOOKUP(A1864,Metrik!$C$2:$Y$959,9,0)</f>
        <v>2</v>
      </c>
      <c r="J1864" s="20">
        <f>VLOOKUP(A1864,Metrik!$C$2:$Y$959,10,0)</f>
        <v>-110</v>
      </c>
      <c r="K1864" s="20">
        <f>VLOOKUP(A1864,Metrik!$C$2:$Y$959,11,0)</f>
        <v>-4.9</v>
      </c>
      <c r="L1864" s="20">
        <f>VLOOKUP(A1864,Metrik!$C$2:$Y$959,12,0)</f>
        <v>22.4</v>
      </c>
      <c r="M1864" s="20">
        <f>VLOOKUP(A1864,Metrik!$C$2:$Y$959,19,0)</f>
        <v>-160</v>
      </c>
      <c r="N1864" s="21"/>
      <c r="O1864" s="21"/>
      <c r="P1864" s="21"/>
      <c r="Q1864" s="21"/>
      <c r="R1864" s="21"/>
      <c r="S1864" s="21"/>
      <c r="T1864" s="21"/>
      <c r="U1864" s="22">
        <f>IFERROR(__xludf.DUMMYFUNCTION("IFERROR(GOOGLEFINANCE(A1864,""closeyest""),"""")"),202.0)</f>
        <v>202</v>
      </c>
      <c r="V1864" s="23">
        <f>IFERROR(__xludf.DUMMYFUNCTION("IFERROR(GOOGLEFINANCE(A1864,""changepct""),"""")"),0.0)</f>
        <v>0</v>
      </c>
      <c r="W1864" s="22" t="str">
        <f>IFERROR(__xludf.DUMMYFUNCTION("IFERROR(GOOGLEFINANCE(A1864,""priceopen""),"""")"),"")</f>
        <v/>
      </c>
      <c r="X1864" s="22" t="str">
        <f>IFERROR(__xludf.DUMMYFUNCTION("IFERROR(GOOGLEFINANCE(A1864,""high""),"""")"),"")</f>
        <v/>
      </c>
      <c r="Y1864" s="22" t="str">
        <f>IFERROR(__xludf.DUMMYFUNCTION("IFERROR(GOOGLEFINANCE(A1864,""low""),"""")"),"")</f>
        <v/>
      </c>
      <c r="Z1864" s="22">
        <f>IFERROR(__xludf.DUMMYFUNCTION("IFERROR(GOOGLEFINANCE(A1864,""volume""),"""")"),0.0)</f>
        <v>0</v>
      </c>
      <c r="AA1864" s="24" t="str">
        <f>VLOOKUP(A1864,Metrik!$C$2:$Y$959,5,0)</f>
        <v>Heavy Constructions &amp; Civil Engineering</v>
      </c>
      <c r="AB1864" s="24" t="str">
        <f>VLOOKUP(A1864,Metrik!$C$2:$Y$959,3,0)</f>
        <v>Infrastructures</v>
      </c>
    </row>
    <row r="1865">
      <c r="A1865" s="14" t="s">
        <v>1014</v>
      </c>
      <c r="B1865" s="14" t="str">
        <f t="array" ref="B1865">VLOOKUP(A1865,{Metrik!$C$2:$C$998,Metrik!$B$2:$B$998},2,0)</f>
        <v>Wijaya Karya Beton Tbk.</v>
      </c>
      <c r="C1865" s="15">
        <f>IFERROR(__xludf.DUMMYFUNCTION("GOOGLEFINANCE(""IDX:""&amp;A1865,""price"")"),78.0)</f>
        <v>78</v>
      </c>
      <c r="D1865" s="16" t="str">
        <f>IFERROR(__xludf.DUMMYFUNCTION("IF(A1865="""","""",
SPARKLINE(
INDEX(
GOOGLEFINANCE(""IDX:""&amp;A1865,""close"",TODAY()-365,TODAY()),
,2
),
{""linewidth"",1}
))
"),"#N/A")</f>
        <v>#N/A</v>
      </c>
      <c r="E1865" s="14" t="s">
        <v>106</v>
      </c>
      <c r="F1865" s="25">
        <v>46356.0</v>
      </c>
      <c r="G1865" s="24">
        <f t="shared" si="11"/>
        <v>1</v>
      </c>
      <c r="H1865" s="19">
        <f>VLOOKUP(A1865,Metrik!$C$2:$Y$959,8,0)</f>
        <v>17.7</v>
      </c>
      <c r="I1865" s="20">
        <f>VLOOKUP(A1865,Metrik!$C$2:$Y$959,9,0)</f>
        <v>0.19</v>
      </c>
      <c r="J1865" s="20">
        <f>VLOOKUP(A1865,Metrik!$C$2:$Y$959,10,0)</f>
        <v>1.1</v>
      </c>
      <c r="K1865" s="20">
        <f>VLOOKUP(A1865,Metrik!$C$2:$Y$959,11,0)</f>
        <v>0.63</v>
      </c>
      <c r="L1865" s="20">
        <f>VLOOKUP(A1865,Metrik!$C$2:$Y$959,12,0)</f>
        <v>0.71</v>
      </c>
      <c r="M1865" s="20">
        <f>VLOOKUP(A1865,Metrik!$C$2:$Y$959,19,0)</f>
        <v>5.9</v>
      </c>
      <c r="N1865" s="21"/>
      <c r="O1865" s="21"/>
      <c r="P1865" s="21"/>
      <c r="Q1865" s="21"/>
      <c r="R1865" s="21"/>
      <c r="S1865" s="21"/>
      <c r="T1865" s="21"/>
      <c r="U1865" s="22">
        <f>IFERROR(__xludf.DUMMYFUNCTION("IFERROR(GOOGLEFINANCE(A1865,""closeyest""),"""")"),76.0)</f>
        <v>76</v>
      </c>
      <c r="V1865" s="23">
        <f>IFERROR(__xludf.DUMMYFUNCTION("IFERROR(GOOGLEFINANCE(A1865,""changepct""),"""")"),2.63)</f>
        <v>2.63</v>
      </c>
      <c r="W1865" s="22">
        <f>IFERROR(__xludf.DUMMYFUNCTION("IFERROR(GOOGLEFINANCE(A1865,""priceopen""),"""")"),78.0)</f>
        <v>78</v>
      </c>
      <c r="X1865" s="22">
        <f>IFERROR(__xludf.DUMMYFUNCTION("IFERROR(GOOGLEFINANCE(A1865,""high""),"""")"),81.0)</f>
        <v>81</v>
      </c>
      <c r="Y1865" s="22">
        <f>IFERROR(__xludf.DUMMYFUNCTION("IFERROR(GOOGLEFINANCE(A1865,""low""),"""")"),76.0)</f>
        <v>76</v>
      </c>
      <c r="Z1865" s="22">
        <f>IFERROR(__xludf.DUMMYFUNCTION("IFERROR(GOOGLEFINANCE(A1865,""volume""),"""")"),1.63752E7)</f>
        <v>16375200</v>
      </c>
      <c r="AA1865" s="24" t="str">
        <f>VLOOKUP(A1865,Metrik!$C$2:$Y$959,5,0)</f>
        <v>Construction Materials</v>
      </c>
      <c r="AB1865" s="24" t="str">
        <f>VLOOKUP(A1865,Metrik!$C$2:$Y$959,3,0)</f>
        <v>Basic Materials</v>
      </c>
    </row>
    <row r="1866">
      <c r="A1866" s="14" t="s">
        <v>1015</v>
      </c>
      <c r="B1866" s="14" t="str">
        <f t="array" ref="B1866">VLOOKUP(A1866,{Metrik!$C$2:$C$998,Metrik!$B$2:$B$998},2,0)</f>
        <v>Yelooo Integra Datanet Tbk.</v>
      </c>
      <c r="C1866" s="15">
        <f>IFERROR(__xludf.DUMMYFUNCTION("GOOGLEFINANCE(""IDX:""&amp;A1866,""price"")"),73.0)</f>
        <v>73</v>
      </c>
      <c r="D1866" s="16" t="str">
        <f>IFERROR(__xludf.DUMMYFUNCTION("IF(A1866="""","""",
SPARKLINE(
INDEX(
GOOGLEFINANCE(""IDX:""&amp;A1866,""close"",TODAY()-365,TODAY()),
,2
),
{""linewidth"",1}
))
"),"#N/A")</f>
        <v>#N/A</v>
      </c>
      <c r="E1866" s="26"/>
      <c r="F1866" s="26"/>
      <c r="G1866" s="24">
        <f t="shared" si="11"/>
        <v>0</v>
      </c>
      <c r="H1866" s="19">
        <f>VLOOKUP(A1866,Metrik!$C$2:$Y$959,8,0)</f>
        <v>-7.1</v>
      </c>
      <c r="I1866" s="20">
        <f>VLOOKUP(A1866,Metrik!$C$2:$Y$959,9,0)</f>
        <v>0.56</v>
      </c>
      <c r="J1866" s="20">
        <f>VLOOKUP(A1866,Metrik!$C$2:$Y$959,10,0)</f>
        <v>-8</v>
      </c>
      <c r="K1866" s="20">
        <f>VLOOKUP(A1866,Metrik!$C$2:$Y$959,11,0)</f>
        <v>-7.8</v>
      </c>
      <c r="L1866" s="20">
        <f>VLOOKUP(A1866,Metrik!$C$2:$Y$959,12,0)</f>
        <v>0.03</v>
      </c>
      <c r="M1866" s="20">
        <f>VLOOKUP(A1866,Metrik!$C$2:$Y$959,19,0)</f>
        <v>-190</v>
      </c>
      <c r="N1866" s="21"/>
      <c r="O1866" s="21"/>
      <c r="P1866" s="21"/>
      <c r="Q1866" s="21"/>
      <c r="R1866" s="21"/>
      <c r="S1866" s="21"/>
      <c r="T1866" s="21"/>
      <c r="U1866" s="22" t="str">
        <f>IFERROR(__xludf.DUMMYFUNCTION("IFERROR(GOOGLEFINANCE(A1866,""closeyest""),"""")"),"")</f>
        <v/>
      </c>
      <c r="V1866" s="23">
        <f>IFERROR(__xludf.DUMMYFUNCTION("IFERROR(GOOGLEFINANCE(A1866,""changepct""),"""")"),8.96)</f>
        <v>8.96</v>
      </c>
      <c r="W1866" s="22">
        <f>IFERROR(__xludf.DUMMYFUNCTION("IFERROR(GOOGLEFINANCE(A1866,""priceopen""),"""")"),67.0)</f>
        <v>67</v>
      </c>
      <c r="X1866" s="22">
        <f>IFERROR(__xludf.DUMMYFUNCTION("IFERROR(GOOGLEFINANCE(A1866,""high""),"""")"),81.0)</f>
        <v>81</v>
      </c>
      <c r="Y1866" s="22">
        <f>IFERROR(__xludf.DUMMYFUNCTION("IFERROR(GOOGLEFINANCE(A1866,""low""),"""")"),67.0)</f>
        <v>67</v>
      </c>
      <c r="Z1866" s="22">
        <f>IFERROR(__xludf.DUMMYFUNCTION("IFERROR(GOOGLEFINANCE(A1866,""volume""),"""")"),2.060807E8)</f>
        <v>206080700</v>
      </c>
      <c r="AA1866" s="24" t="str">
        <f>VLOOKUP(A1866,Metrik!$C$2:$Y$959,5,0)</f>
        <v>Education &amp; Support Services</v>
      </c>
      <c r="AB1866" s="24" t="str">
        <f>VLOOKUP(A1866,Metrik!$C$2:$Y$959,3,0)</f>
        <v>Consumer Cyclicals</v>
      </c>
    </row>
    <row r="1867">
      <c r="A1867" s="14" t="s">
        <v>1016</v>
      </c>
      <c r="B1867" s="14" t="str">
        <f t="array" ref="B1867">VLOOKUP(A1867,{Metrik!$C$2:$C$998,Metrik!$B$2:$B$998},2,0)</f>
        <v>Asuransi Digital Bersama Tbk.</v>
      </c>
      <c r="C1867" s="15">
        <f>IFERROR(__xludf.DUMMYFUNCTION("GOOGLEFINANCE(""IDX:""&amp;A1867,""price"")"),90.0)</f>
        <v>90</v>
      </c>
      <c r="D1867" s="16" t="str">
        <f>IFERROR(__xludf.DUMMYFUNCTION("IF(A1867="""","""",
SPARKLINE(
INDEX(
GOOGLEFINANCE(""IDX:""&amp;A1867,""close"",TODAY()-365,TODAY()),
,2
),
{""linewidth"",1}
))
"),"#N/A")</f>
        <v>#N/A</v>
      </c>
      <c r="E1867" s="26"/>
      <c r="F1867" s="26"/>
      <c r="G1867" s="24">
        <f t="shared" si="11"/>
        <v>0</v>
      </c>
      <c r="H1867" s="19">
        <f>VLOOKUP(A1867,Metrik!$C$2:$Y$959,8,0)</f>
        <v>13.7</v>
      </c>
      <c r="I1867" s="20">
        <f>VLOOKUP(A1867,Metrik!$C$2:$Y$959,9,0)</f>
        <v>1.2</v>
      </c>
      <c r="J1867" s="20">
        <f>VLOOKUP(A1867,Metrik!$C$2:$Y$959,10,0)</f>
        <v>8.4</v>
      </c>
      <c r="K1867" s="20">
        <f>VLOOKUP(A1867,Metrik!$C$2:$Y$959,11,0)</f>
        <v>5.9</v>
      </c>
      <c r="L1867" s="20">
        <f>VLOOKUP(A1867,Metrik!$C$2:$Y$959,12,0)</f>
        <v>0.43</v>
      </c>
      <c r="M1867" s="20">
        <f>VLOOKUP(A1867,Metrik!$C$2:$Y$959,19,0)</f>
        <v>10.9</v>
      </c>
      <c r="N1867" s="21"/>
      <c r="O1867" s="21"/>
      <c r="P1867" s="21"/>
      <c r="Q1867" s="21"/>
      <c r="R1867" s="21"/>
      <c r="S1867" s="21"/>
      <c r="T1867" s="21"/>
      <c r="U1867" s="22">
        <f>IFERROR(__xludf.DUMMYFUNCTION("IFERROR(GOOGLEFINANCE(A1867,""closeyest""),"""")"),86.0)</f>
        <v>86</v>
      </c>
      <c r="V1867" s="23">
        <f>IFERROR(__xludf.DUMMYFUNCTION("IFERROR(GOOGLEFINANCE(A1867,""changepct""),"""")"),4.65)</f>
        <v>4.65</v>
      </c>
      <c r="W1867" s="22">
        <f>IFERROR(__xludf.DUMMYFUNCTION("IFERROR(GOOGLEFINANCE(A1867,""priceopen""),"""")"),87.0)</f>
        <v>87</v>
      </c>
      <c r="X1867" s="22">
        <f>IFERROR(__xludf.DUMMYFUNCTION("IFERROR(GOOGLEFINANCE(A1867,""high""),"""")"),96.0)</f>
        <v>96</v>
      </c>
      <c r="Y1867" s="22">
        <f>IFERROR(__xludf.DUMMYFUNCTION("IFERROR(GOOGLEFINANCE(A1867,""low""),"""")"),87.0)</f>
        <v>87</v>
      </c>
      <c r="Z1867" s="22">
        <f>IFERROR(__xludf.DUMMYFUNCTION("IFERROR(GOOGLEFINANCE(A1867,""volume""),"""")"),1.86648E7)</f>
        <v>18664800</v>
      </c>
      <c r="AA1867" s="24" t="str">
        <f>VLOOKUP(A1867,Metrik!$C$2:$Y$959,5,0)</f>
        <v>Insurance</v>
      </c>
      <c r="AB1867" s="24" t="str">
        <f>VLOOKUP(A1867,Metrik!$C$2:$Y$959,3,0)</f>
        <v>Financials</v>
      </c>
    </row>
    <row r="1868">
      <c r="A1868" s="14" t="s">
        <v>1017</v>
      </c>
      <c r="B1868" s="14" t="str">
        <f t="array" ref="B1868">VLOOKUP(A1868,{Metrik!$C$2:$C$998,Metrik!$B$2:$B$998},2,0)</f>
        <v>Yanaprima Hastapersada Tbk</v>
      </c>
      <c r="C1868" s="15">
        <f>IFERROR(__xludf.DUMMYFUNCTION("GOOGLEFINANCE(""IDX:""&amp;A1868,""price"")"),630.0)</f>
        <v>630</v>
      </c>
      <c r="D1868" s="16" t="str">
        <f>IFERROR(__xludf.DUMMYFUNCTION("IF(A1868="""","""",
SPARKLINE(
INDEX(
GOOGLEFINANCE(""IDX:""&amp;A1868,""close"",TODAY()-365,TODAY()),
,2
),
{""linewidth"",1}
))
"),"#N/A")</f>
        <v>#N/A</v>
      </c>
      <c r="E1868" s="26"/>
      <c r="F1868" s="26"/>
      <c r="G1868" s="24">
        <f t="shared" si="11"/>
        <v>0</v>
      </c>
      <c r="H1868" s="19">
        <f>VLOOKUP(A1868,Metrik!$C$2:$Y$959,8,0)</f>
        <v>50.1</v>
      </c>
      <c r="I1868" s="20">
        <f>VLOOKUP(A1868,Metrik!$C$2:$Y$959,9,0)</f>
        <v>3.5</v>
      </c>
      <c r="J1868" s="20">
        <f>VLOOKUP(A1868,Metrik!$C$2:$Y$959,10,0)</f>
        <v>7.1</v>
      </c>
      <c r="K1868" s="20">
        <f>VLOOKUP(A1868,Metrik!$C$2:$Y$959,11,0)</f>
        <v>3.4</v>
      </c>
      <c r="L1868" s="20">
        <f>VLOOKUP(A1868,Metrik!$C$2:$Y$959,12,0)</f>
        <v>1.1</v>
      </c>
      <c r="M1868" s="20">
        <f>VLOOKUP(A1868,Metrik!$C$2:$Y$959,19,0)</f>
        <v>10.6</v>
      </c>
      <c r="N1868" s="21"/>
      <c r="O1868" s="21"/>
      <c r="P1868" s="21"/>
      <c r="Q1868" s="21"/>
      <c r="R1868" s="21"/>
      <c r="S1868" s="21"/>
      <c r="T1868" s="21"/>
      <c r="U1868" s="22">
        <f>IFERROR(__xludf.DUMMYFUNCTION("IFERROR(GOOGLEFINANCE(A1868,""closeyest""),"""")"),595.0)</f>
        <v>595</v>
      </c>
      <c r="V1868" s="23">
        <f>IFERROR(__xludf.DUMMYFUNCTION("IFERROR(GOOGLEFINANCE(A1868,""changepct""),"""")"),5.88)</f>
        <v>5.88</v>
      </c>
      <c r="W1868" s="22">
        <f>IFERROR(__xludf.DUMMYFUNCTION("IFERROR(GOOGLEFINANCE(A1868,""priceopen""),"""")"),610.0)</f>
        <v>610</v>
      </c>
      <c r="X1868" s="22">
        <f>IFERROR(__xludf.DUMMYFUNCTION("IFERROR(GOOGLEFINANCE(A1868,""high""),"""")"),645.0)</f>
        <v>645</v>
      </c>
      <c r="Y1868" s="22">
        <f>IFERROR(__xludf.DUMMYFUNCTION("IFERROR(GOOGLEFINANCE(A1868,""low""),"""")"),600.0)</f>
        <v>600</v>
      </c>
      <c r="Z1868" s="22">
        <f>IFERROR(__xludf.DUMMYFUNCTION("IFERROR(GOOGLEFINANCE(A1868,""volume""),"""")"),50100.0)</f>
        <v>50100</v>
      </c>
      <c r="AA1868" s="24" t="str">
        <f>VLOOKUP(A1868,Metrik!$C$2:$Y$959,5,0)</f>
        <v>Containers &amp; Packaging</v>
      </c>
      <c r="AB1868" s="24" t="str">
        <f>VLOOKUP(A1868,Metrik!$C$2:$Y$959,3,0)</f>
        <v>Basic Materials</v>
      </c>
    </row>
    <row r="1869">
      <c r="A1869" s="14" t="s">
        <v>1018</v>
      </c>
      <c r="B1869" s="14" t="str">
        <f t="array" ref="B1869">VLOOKUP(A1869,{Metrik!$C$2:$C$998,Metrik!$B$2:$B$998},2,0)</f>
        <v>Yulie Sekuritas Indonesia Tbk.</v>
      </c>
      <c r="C1869" s="15">
        <f>IFERROR(__xludf.DUMMYFUNCTION("GOOGLEFINANCE(""IDX:""&amp;A1869,""price"")"),3540.0)</f>
        <v>3540</v>
      </c>
      <c r="D1869" s="16" t="str">
        <f>IFERROR(__xludf.DUMMYFUNCTION("IF(A1869="""","""",
SPARKLINE(
INDEX(
GOOGLEFINANCE(""IDX:""&amp;A1869,""close"",TODAY()-365,TODAY()),
,2
),
{""linewidth"",1}
))
"),"#N/A")</f>
        <v>#N/A</v>
      </c>
      <c r="E1869" s="26"/>
      <c r="F1869" s="26"/>
      <c r="G1869" s="24">
        <f t="shared" si="11"/>
        <v>0</v>
      </c>
      <c r="H1869" s="19">
        <f>VLOOKUP(A1869,Metrik!$C$2:$Y$959,8,0)</f>
        <v>44.8</v>
      </c>
      <c r="I1869" s="20">
        <f>VLOOKUP(A1869,Metrik!$C$2:$Y$959,9,0)</f>
        <v>8.7</v>
      </c>
      <c r="J1869" s="20">
        <f>VLOOKUP(A1869,Metrik!$C$2:$Y$959,10,0)</f>
        <v>19.3</v>
      </c>
      <c r="K1869" s="20">
        <f>VLOOKUP(A1869,Metrik!$C$2:$Y$959,11,0)</f>
        <v>17.3</v>
      </c>
      <c r="L1869" s="20">
        <f>VLOOKUP(A1869,Metrik!$C$2:$Y$959,12,0)</f>
        <v>0.12</v>
      </c>
      <c r="M1869" s="20">
        <f>VLOOKUP(A1869,Metrik!$C$2:$Y$959,19,0)</f>
        <v>0</v>
      </c>
      <c r="N1869" s="21"/>
      <c r="O1869" s="21"/>
      <c r="P1869" s="21"/>
      <c r="Q1869" s="21"/>
      <c r="R1869" s="21"/>
      <c r="S1869" s="21"/>
      <c r="T1869" s="21"/>
      <c r="U1869" s="22">
        <f>IFERROR(__xludf.DUMMYFUNCTION("IFERROR(GOOGLEFINANCE(A1869,""closeyest""),"""")"),3600.0)</f>
        <v>3600</v>
      </c>
      <c r="V1869" s="23">
        <f>IFERROR(__xludf.DUMMYFUNCTION("IFERROR(GOOGLEFINANCE(A1869,""changepct""),"""")"),-1.67)</f>
        <v>-1.67</v>
      </c>
      <c r="W1869" s="22">
        <f>IFERROR(__xludf.DUMMYFUNCTION("IFERROR(GOOGLEFINANCE(A1869,""priceopen""),"""")"),3700.0)</f>
        <v>3700</v>
      </c>
      <c r="X1869" s="22">
        <f>IFERROR(__xludf.DUMMYFUNCTION("IFERROR(GOOGLEFINANCE(A1869,""high""),"""")"),3700.0)</f>
        <v>3700</v>
      </c>
      <c r="Y1869" s="22">
        <f>IFERROR(__xludf.DUMMYFUNCTION("IFERROR(GOOGLEFINANCE(A1869,""low""),"""")"),3540.0)</f>
        <v>3540</v>
      </c>
      <c r="Z1869" s="22">
        <f>IFERROR(__xludf.DUMMYFUNCTION("IFERROR(GOOGLEFINANCE(A1869,""volume""),"""")"),14000.0)</f>
        <v>14000</v>
      </c>
      <c r="AA1869" s="24" t="str">
        <f>VLOOKUP(A1869,Metrik!$C$2:$Y$959,5,0)</f>
        <v>Investment Services</v>
      </c>
      <c r="AB1869" s="24" t="str">
        <f>VLOOKUP(A1869,Metrik!$C$2:$Y$959,3,0)</f>
        <v>Financials</v>
      </c>
    </row>
    <row r="1870">
      <c r="A1870" s="14" t="s">
        <v>1019</v>
      </c>
      <c r="B1870" s="14" t="str">
        <f t="array" ref="B1870">VLOOKUP(A1870,{Metrik!$C$2:$C$998,Metrik!$B$2:$B$998},2,0)</f>
        <v>Yupi Indo Jelly Gum Tbk.</v>
      </c>
      <c r="C1870" s="15">
        <f>IFERROR(__xludf.DUMMYFUNCTION("GOOGLEFINANCE(""IDX:""&amp;A1870,""price"")"),1435.0)</f>
        <v>1435</v>
      </c>
      <c r="D1870" s="16" t="str">
        <f>IFERROR(__xludf.DUMMYFUNCTION("IF(A1870="""","""",
SPARKLINE(
INDEX(
GOOGLEFINANCE(""IDX:""&amp;A1870,""close"",TODAY()-365,TODAY()),
,2
),
{""linewidth"",1}
))
"),"#N/A")</f>
        <v>#N/A</v>
      </c>
      <c r="E1870" s="26"/>
      <c r="F1870" s="26"/>
      <c r="G1870" s="24">
        <f t="shared" si="11"/>
        <v>0</v>
      </c>
      <c r="H1870" s="19">
        <f>VLOOKUP(A1870,Metrik!$C$2:$Y$959,8,0)</f>
        <v>19.6</v>
      </c>
      <c r="I1870" s="20">
        <f>VLOOKUP(A1870,Metrik!$C$2:$Y$959,9,0)</f>
        <v>7</v>
      </c>
      <c r="J1870" s="20">
        <f>VLOOKUP(A1870,Metrik!$C$2:$Y$959,10,0)</f>
        <v>35.9</v>
      </c>
      <c r="K1870" s="20">
        <f>VLOOKUP(A1870,Metrik!$C$2:$Y$959,11,0)</f>
        <v>19.7</v>
      </c>
      <c r="L1870" s="20">
        <f>VLOOKUP(A1870,Metrik!$C$2:$Y$959,12,0)</f>
        <v>0.82</v>
      </c>
      <c r="M1870" s="20">
        <f>VLOOKUP(A1870,Metrik!$C$2:$Y$959,19,0)</f>
        <v>81.6</v>
      </c>
      <c r="N1870" s="21"/>
      <c r="O1870" s="21"/>
      <c r="P1870" s="21"/>
      <c r="Q1870" s="21"/>
      <c r="R1870" s="21"/>
      <c r="S1870" s="21"/>
      <c r="T1870" s="21"/>
      <c r="U1870" s="22" t="str">
        <f>IFERROR(__xludf.DUMMYFUNCTION("IFERROR(GOOGLEFINANCE(A1870,""closeyest""),"""")"),"")</f>
        <v/>
      </c>
      <c r="V1870" s="23">
        <f>IFERROR(__xludf.DUMMYFUNCTION("IFERROR(GOOGLEFINANCE(A1870,""changepct""),"""")"),-4.01)</f>
        <v>-4.01</v>
      </c>
      <c r="W1870" s="22">
        <f>IFERROR(__xludf.DUMMYFUNCTION("IFERROR(GOOGLEFINANCE(A1870,""priceopen""),"""")"),1520.0)</f>
        <v>1520</v>
      </c>
      <c r="X1870" s="22">
        <f>IFERROR(__xludf.DUMMYFUNCTION("IFERROR(GOOGLEFINANCE(A1870,""high""),"""")"),1570.0)</f>
        <v>1570</v>
      </c>
      <c r="Y1870" s="22">
        <f>IFERROR(__xludf.DUMMYFUNCTION("IFERROR(GOOGLEFINANCE(A1870,""low""),"""")"),1395.0)</f>
        <v>1395</v>
      </c>
      <c r="Z1870" s="22">
        <f>IFERROR(__xludf.DUMMYFUNCTION("IFERROR(GOOGLEFINANCE(A1870,""volume""),"""")"),111300.0)</f>
        <v>111300</v>
      </c>
      <c r="AA1870" s="24" t="str">
        <f>VLOOKUP(A1870,Metrik!$C$2:$Y$959,5,0)</f>
        <v>Processed Foods</v>
      </c>
      <c r="AB1870" s="24" t="str">
        <f>VLOOKUP(A1870,Metrik!$C$2:$Y$959,3,0)</f>
        <v>Consumer Non-Cyclicals</v>
      </c>
    </row>
    <row r="1871">
      <c r="A1871" s="14" t="s">
        <v>1020</v>
      </c>
      <c r="B1871" s="14" t="str">
        <f t="array" ref="B1871">VLOOKUP(A1871,{Metrik!$C$2:$C$998,Metrik!$B$2:$B$998},2,0)</f>
        <v>Bersama Zatta Jaya Tbk.</v>
      </c>
      <c r="C1871" s="15">
        <f>IFERROR(__xludf.DUMMYFUNCTION("GOOGLEFINANCE(""IDX:""&amp;A1871,""price"")"),58.0)</f>
        <v>58</v>
      </c>
      <c r="D1871" s="16" t="str">
        <f>IFERROR(__xludf.DUMMYFUNCTION("IF(A1871="""","""",
SPARKLINE(
INDEX(
GOOGLEFINANCE(""IDX:""&amp;A1871,""close"",TODAY()-365,TODAY()),
,2
),
{""linewidth"",1}
))
"),"#N/A")</f>
        <v>#N/A</v>
      </c>
      <c r="E1871" s="26"/>
      <c r="F1871" s="26"/>
      <c r="G1871" s="24">
        <f t="shared" si="11"/>
        <v>0</v>
      </c>
      <c r="H1871" s="19">
        <f>VLOOKUP(A1871,Metrik!$C$2:$Y$959,8,0)</f>
        <v>320</v>
      </c>
      <c r="I1871" s="20">
        <f>VLOOKUP(A1871,Metrik!$C$2:$Y$959,9,0)</f>
        <v>1.1</v>
      </c>
      <c r="J1871" s="20">
        <f>VLOOKUP(A1871,Metrik!$C$2:$Y$959,10,0)</f>
        <v>0.34</v>
      </c>
      <c r="K1871" s="20">
        <f>VLOOKUP(A1871,Metrik!$C$2:$Y$959,11,0)</f>
        <v>0.26</v>
      </c>
      <c r="L1871" s="20">
        <f>VLOOKUP(A1871,Metrik!$C$2:$Y$959,12,0)</f>
        <v>0.3</v>
      </c>
      <c r="M1871" s="20">
        <f>VLOOKUP(A1871,Metrik!$C$2:$Y$959,19,0)</f>
        <v>1.1</v>
      </c>
      <c r="N1871" s="21"/>
      <c r="O1871" s="21"/>
      <c r="P1871" s="21"/>
      <c r="Q1871" s="21"/>
      <c r="R1871" s="21"/>
      <c r="S1871" s="21"/>
      <c r="T1871" s="21"/>
      <c r="U1871" s="22">
        <f>IFERROR(__xludf.DUMMYFUNCTION("IFERROR(GOOGLEFINANCE(A1871,""closeyest""),"""")"),54.0)</f>
        <v>54</v>
      </c>
      <c r="V1871" s="23">
        <f>IFERROR(__xludf.DUMMYFUNCTION("IFERROR(GOOGLEFINANCE(A1871,""changepct""),"""")"),7.41)</f>
        <v>7.41</v>
      </c>
      <c r="W1871" s="22">
        <f>IFERROR(__xludf.DUMMYFUNCTION("IFERROR(GOOGLEFINANCE(A1871,""priceopen""),"""")"),55.0)</f>
        <v>55</v>
      </c>
      <c r="X1871" s="22">
        <f>IFERROR(__xludf.DUMMYFUNCTION("IFERROR(GOOGLEFINANCE(A1871,""high""),"""")"),60.0)</f>
        <v>60</v>
      </c>
      <c r="Y1871" s="22">
        <f>IFERROR(__xludf.DUMMYFUNCTION("IFERROR(GOOGLEFINANCE(A1871,""low""),"""")"),55.0)</f>
        <v>55</v>
      </c>
      <c r="Z1871" s="22">
        <f>IFERROR(__xludf.DUMMYFUNCTION("IFERROR(GOOGLEFINANCE(A1871,""volume""),"""")"),1.236444E8)</f>
        <v>123644400</v>
      </c>
      <c r="AA1871" s="24" t="str">
        <f>VLOOKUP(A1871,Metrik!$C$2:$Y$959,5,0)</f>
        <v>Specialty Retail</v>
      </c>
      <c r="AB1871" s="24" t="str">
        <f>VLOOKUP(A1871,Metrik!$C$2:$Y$959,3,0)</f>
        <v>Consumer Cyclicals</v>
      </c>
    </row>
    <row r="1872">
      <c r="A1872" s="14" t="s">
        <v>1021</v>
      </c>
      <c r="B1872" s="14" t="str">
        <f t="array" ref="B1872">VLOOKUP(A1872,{Metrik!$C$2:$C$998,Metrik!$B$2:$B$998},2,0)</f>
        <v>Dosni Roha Indonesia Tbk.</v>
      </c>
      <c r="C1872" s="15">
        <f>IFERROR(__xludf.DUMMYFUNCTION("GOOGLEFINANCE(""IDX:""&amp;A1872,""price"")"),50.0)</f>
        <v>50</v>
      </c>
      <c r="D1872" s="16" t="str">
        <f>IFERROR(__xludf.DUMMYFUNCTION("IF(A1872="""","""",
SPARKLINE(
INDEX(
GOOGLEFINANCE(""IDX:""&amp;A1872,""close"",TODAY()-365,TODAY()),
,2
),
{""linewidth"",1}
))
"),"#N/A")</f>
        <v>#N/A</v>
      </c>
      <c r="E1872" s="26"/>
      <c r="F1872" s="26"/>
      <c r="G1872" s="24">
        <f t="shared" si="11"/>
        <v>0</v>
      </c>
      <c r="H1872" s="19">
        <f>VLOOKUP(A1872,Metrik!$C$2:$Y$959,8,0)</f>
        <v>0</v>
      </c>
      <c r="I1872" s="20">
        <f>VLOOKUP(A1872,Metrik!$C$2:$Y$959,9,0)</f>
        <v>0.11</v>
      </c>
      <c r="J1872" s="20">
        <f>VLOOKUP(A1872,Metrik!$C$2:$Y$959,10,0)</f>
        <v>-11.8</v>
      </c>
      <c r="K1872" s="20">
        <f>VLOOKUP(A1872,Metrik!$C$2:$Y$959,11,0)</f>
        <v>-4.2</v>
      </c>
      <c r="L1872" s="20">
        <f>VLOOKUP(A1872,Metrik!$C$2:$Y$959,12,0)</f>
        <v>1.8</v>
      </c>
      <c r="M1872" s="20">
        <f>VLOOKUP(A1872,Metrik!$C$2:$Y$959,19,0)</f>
        <v>-12</v>
      </c>
      <c r="N1872" s="21"/>
      <c r="O1872" s="21"/>
      <c r="P1872" s="21"/>
      <c r="Q1872" s="21"/>
      <c r="R1872" s="21"/>
      <c r="S1872" s="21"/>
      <c r="T1872" s="21"/>
      <c r="U1872" s="22">
        <f>IFERROR(__xludf.DUMMYFUNCTION("IFERROR(GOOGLEFINANCE(A1872,""closeyest""),"""")"),222.44)</f>
        <v>222.44</v>
      </c>
      <c r="V1872" s="23">
        <f>IFERROR(__xludf.DUMMYFUNCTION("IFERROR(GOOGLEFINANCE(A1872,""changepct""),"""")"),2.69)</f>
        <v>2.69</v>
      </c>
      <c r="W1872" s="22">
        <f>IFERROR(__xludf.DUMMYFUNCTION("IFERROR(GOOGLEFINANCE(A1872,""priceopen""),"""")"),222.75)</f>
        <v>222.75</v>
      </c>
      <c r="X1872" s="22">
        <f>IFERROR(__xludf.DUMMYFUNCTION("IFERROR(GOOGLEFINANCE(A1872,""high""),"""")"),228.77)</f>
        <v>228.77</v>
      </c>
      <c r="Y1872" s="22">
        <f>IFERROR(__xludf.DUMMYFUNCTION("IFERROR(GOOGLEFINANCE(A1872,""low""),"""")"),220.71)</f>
        <v>220.71</v>
      </c>
      <c r="Z1872" s="22">
        <f>IFERROR(__xludf.DUMMYFUNCTION("IFERROR(GOOGLEFINANCE(A1872,""volume""),"""")"),584226.0)</f>
        <v>584226</v>
      </c>
      <c r="AA1872" s="24" t="str">
        <f>VLOOKUP(A1872,Metrik!$C$2:$Y$959,5,0)</f>
        <v>Multi-sector Holdings</v>
      </c>
      <c r="AB1872" s="24" t="str">
        <f>VLOOKUP(A1872,Metrik!$C$2:$Y$959,3,0)</f>
        <v>Industrials</v>
      </c>
    </row>
    <row r="1873">
      <c r="A1873" s="14" t="s">
        <v>1022</v>
      </c>
      <c r="B1873" s="14" t="str">
        <f t="array" ref="B1873">VLOOKUP(A1873,{Metrik!$C$2:$C$998,Metrik!$B$2:$B$998},2,0)</f>
        <v>Kapuas Prima Coal Tbk.</v>
      </c>
      <c r="C1873" s="15">
        <f>IFERROR(__xludf.DUMMYFUNCTION("GOOGLEFINANCE(""IDX:""&amp;A1873,""price"")"),30.0)</f>
        <v>30</v>
      </c>
      <c r="D1873" s="16" t="str">
        <f>IFERROR(__xludf.DUMMYFUNCTION("IF(A1873="""","""",
SPARKLINE(
INDEX(
GOOGLEFINANCE(""IDX:""&amp;A1873,""close"",TODAY()-365,TODAY()),
,2
),
{""linewidth"",1}
))
"),"#N/A")</f>
        <v>#N/A</v>
      </c>
      <c r="E1873" s="26"/>
      <c r="F1873" s="26"/>
      <c r="G1873" s="24">
        <f t="shared" si="11"/>
        <v>0</v>
      </c>
      <c r="H1873" s="19">
        <f>VLOOKUP(A1873,Metrik!$C$2:$Y$959,8,0)</f>
        <v>-3.5</v>
      </c>
      <c r="I1873" s="20">
        <f>VLOOKUP(A1873,Metrik!$C$2:$Y$959,9,0)</f>
        <v>2.2</v>
      </c>
      <c r="J1873" s="20">
        <f>VLOOKUP(A1873,Metrik!$C$2:$Y$959,10,0)</f>
        <v>-63.4</v>
      </c>
      <c r="K1873" s="20">
        <f>VLOOKUP(A1873,Metrik!$C$2:$Y$959,11,0)</f>
        <v>-9.3</v>
      </c>
      <c r="L1873" s="20">
        <f>VLOOKUP(A1873,Metrik!$C$2:$Y$959,12,0)</f>
        <v>5.8</v>
      </c>
      <c r="M1873" s="20">
        <f>VLOOKUP(A1873,Metrik!$C$2:$Y$959,19,0)</f>
        <v>-410</v>
      </c>
      <c r="N1873" s="21"/>
      <c r="O1873" s="21"/>
      <c r="P1873" s="21"/>
      <c r="Q1873" s="21"/>
      <c r="R1873" s="21"/>
      <c r="S1873" s="21"/>
      <c r="T1873" s="21"/>
      <c r="U1873" s="22">
        <f>IFERROR(__xludf.DUMMYFUNCTION("IFERROR(GOOGLEFINANCE(A1873,""closeyest""),"""")"),25.32)</f>
        <v>25.32</v>
      </c>
      <c r="V1873" s="23">
        <f>IFERROR(__xludf.DUMMYFUNCTION("IFERROR(GOOGLEFINANCE(A1873,""changepct""),"""")"),1.93)</f>
        <v>1.93</v>
      </c>
      <c r="W1873" s="22">
        <f>IFERROR(__xludf.DUMMYFUNCTION("IFERROR(GOOGLEFINANCE(A1873,""priceopen""),"""")"),25.47)</f>
        <v>25.47</v>
      </c>
      <c r="X1873" s="22">
        <f>IFERROR(__xludf.DUMMYFUNCTION("IFERROR(GOOGLEFINANCE(A1873,""high""),"""")"),25.81)</f>
        <v>25.81</v>
      </c>
      <c r="Y1873" s="22">
        <f>IFERROR(__xludf.DUMMYFUNCTION("IFERROR(GOOGLEFINANCE(A1873,""low""),"""")"),25.47)</f>
        <v>25.47</v>
      </c>
      <c r="Z1873" s="22">
        <f>IFERROR(__xludf.DUMMYFUNCTION("IFERROR(GOOGLEFINANCE(A1873,""volume""),"""")"),83.0)</f>
        <v>83</v>
      </c>
      <c r="AA1873" s="24" t="str">
        <f>VLOOKUP(A1873,Metrik!$C$2:$Y$959,5,0)</f>
        <v>Metals &amp; Minerals</v>
      </c>
      <c r="AB1873" s="24" t="str">
        <f>VLOOKUP(A1873,Metrik!$C$2:$Y$959,3,0)</f>
        <v>Basic Materials</v>
      </c>
    </row>
    <row r="1874">
      <c r="A1874" s="14" t="s">
        <v>1023</v>
      </c>
      <c r="B1874" s="14" t="str">
        <f t="array" ref="B1874">VLOOKUP(A1874,{Metrik!$C$2:$C$998,Metrik!$B$2:$B$998},2,0)</f>
        <v>Mega Perintis Tbk.</v>
      </c>
      <c r="C1874" s="15">
        <f>IFERROR(__xludf.DUMMYFUNCTION("GOOGLEFINANCE(""IDX:""&amp;A1874,""price"")"),340.0)</f>
        <v>340</v>
      </c>
      <c r="D1874" s="16" t="str">
        <f>IFERROR(__xludf.DUMMYFUNCTION("IF(A1874="""","""",
SPARKLINE(
INDEX(
GOOGLEFINANCE(""IDX:""&amp;A1874,""close"",TODAY()-365,TODAY()),
,2
),
{""linewidth"",1}
))
"),"#N/A")</f>
        <v>#N/A</v>
      </c>
      <c r="E1874" s="26"/>
      <c r="F1874" s="26"/>
      <c r="G1874" s="24">
        <f t="shared" si="11"/>
        <v>0</v>
      </c>
      <c r="H1874" s="19">
        <f>VLOOKUP(A1874,Metrik!$C$2:$Y$959,8,0)</f>
        <v>14.8</v>
      </c>
      <c r="I1874" s="20">
        <f>VLOOKUP(A1874,Metrik!$C$2:$Y$959,9,0)</f>
        <v>0.72</v>
      </c>
      <c r="J1874" s="20">
        <f>VLOOKUP(A1874,Metrik!$C$2:$Y$959,10,0)</f>
        <v>4.9</v>
      </c>
      <c r="K1874" s="20">
        <f>VLOOKUP(A1874,Metrik!$C$2:$Y$959,11,0)</f>
        <v>3.1</v>
      </c>
      <c r="L1874" s="20">
        <f>VLOOKUP(A1874,Metrik!$C$2:$Y$959,12,0)</f>
        <v>0.58</v>
      </c>
      <c r="M1874" s="20">
        <f>VLOOKUP(A1874,Metrik!$C$2:$Y$959,19,0)</f>
        <v>5.1</v>
      </c>
      <c r="N1874" s="21"/>
      <c r="O1874" s="21"/>
      <c r="P1874" s="21"/>
      <c r="Q1874" s="21"/>
      <c r="R1874" s="21"/>
      <c r="S1874" s="21"/>
      <c r="T1874" s="21"/>
      <c r="U1874" s="22">
        <f>IFERROR(__xludf.DUMMYFUNCTION("IFERROR(GOOGLEFINANCE(A1874,""closeyest""),"""")"),0.7)</f>
        <v>0.7</v>
      </c>
      <c r="V1874" s="23">
        <f>IFERROR(__xludf.DUMMYFUNCTION("IFERROR(GOOGLEFINANCE(A1874,""changepct""),"""")"),15.55)</f>
        <v>15.55</v>
      </c>
      <c r="W1874" s="22">
        <f>IFERROR(__xludf.DUMMYFUNCTION("IFERROR(GOOGLEFINANCE(A1874,""priceopen""),"""")"),0.7)</f>
        <v>0.7</v>
      </c>
      <c r="X1874" s="22">
        <f>IFERROR(__xludf.DUMMYFUNCTION("IFERROR(GOOGLEFINANCE(A1874,""high""),"""")"),0.83)</f>
        <v>0.83</v>
      </c>
      <c r="Y1874" s="22">
        <f>IFERROR(__xludf.DUMMYFUNCTION("IFERROR(GOOGLEFINANCE(A1874,""low""),"""")"),0.7)</f>
        <v>0.7</v>
      </c>
      <c r="Z1874" s="22">
        <f>IFERROR(__xludf.DUMMYFUNCTION("IFERROR(GOOGLEFINANCE(A1874,""volume""),"""")"),5051565.0)</f>
        <v>5051565</v>
      </c>
      <c r="AA1874" s="24" t="str">
        <f>VLOOKUP(A1874,Metrik!$C$2:$Y$959,5,0)</f>
        <v>Specialty Retail</v>
      </c>
      <c r="AB1874" s="24" t="str">
        <f>VLOOKUP(A1874,Metrik!$C$2:$Y$959,3,0)</f>
        <v>Consumer Cyclicals</v>
      </c>
    </row>
    <row r="1875">
      <c r="A1875" s="14" t="s">
        <v>1024</v>
      </c>
      <c r="B1875" s="14" t="str">
        <f t="array" ref="B1875">VLOOKUP(A1875,{Metrik!$C$2:$C$998,Metrik!$B$2:$B$998},2,0)</f>
        <v>Zyrexindo Mandiri Buana Tbk.</v>
      </c>
      <c r="C1875" s="15">
        <f>IFERROR(__xludf.DUMMYFUNCTION("GOOGLEFINANCE(""IDX:""&amp;A1875,""price"")"),126.0)</f>
        <v>126</v>
      </c>
      <c r="D1875" s="16" t="str">
        <f>IFERROR(__xludf.DUMMYFUNCTION("IF(A1875="""","""",
SPARKLINE(
INDEX(
GOOGLEFINANCE(""IDX:""&amp;A1875,""close"",TODAY()-365,TODAY()),
,2
),
{""linewidth"",1}
))
"),"#N/A")</f>
        <v>#N/A</v>
      </c>
      <c r="E1875" s="26"/>
      <c r="F1875" s="26"/>
      <c r="G1875" s="24">
        <f t="shared" si="11"/>
        <v>0</v>
      </c>
      <c r="H1875" s="19">
        <f>VLOOKUP(A1875,Metrik!$C$2:$Y$959,8,0)</f>
        <v>4.7</v>
      </c>
      <c r="I1875" s="20">
        <f>VLOOKUP(A1875,Metrik!$C$2:$Y$959,9,0)</f>
        <v>0.54</v>
      </c>
      <c r="J1875" s="20">
        <f>VLOOKUP(A1875,Metrik!$C$2:$Y$959,10,0)</f>
        <v>11.6</v>
      </c>
      <c r="K1875" s="20">
        <f>VLOOKUP(A1875,Metrik!$C$2:$Y$959,11,0)</f>
        <v>3.9</v>
      </c>
      <c r="L1875" s="20">
        <f>VLOOKUP(A1875,Metrik!$C$2:$Y$959,12,0)</f>
        <v>2</v>
      </c>
      <c r="M1875" s="20">
        <f>VLOOKUP(A1875,Metrik!$C$2:$Y$959,19,0)</f>
        <v>70</v>
      </c>
      <c r="N1875" s="21"/>
      <c r="O1875" s="21"/>
      <c r="P1875" s="21"/>
      <c r="Q1875" s="21"/>
      <c r="R1875" s="21"/>
      <c r="S1875" s="21"/>
      <c r="T1875" s="21"/>
      <c r="U1875" s="22">
        <f>IFERROR(__xludf.DUMMYFUNCTION("IFERROR(GOOGLEFINANCE(A1875,""closeyest""),"""")"),122.0)</f>
        <v>122</v>
      </c>
      <c r="V1875" s="23">
        <f>IFERROR(__xludf.DUMMYFUNCTION("IFERROR(GOOGLEFINANCE(A1875,""changepct""),"""")"),3.28)</f>
        <v>3.28</v>
      </c>
      <c r="W1875" s="22">
        <f>IFERROR(__xludf.DUMMYFUNCTION("IFERROR(GOOGLEFINANCE(A1875,""priceopen""),"""")"),124.0)</f>
        <v>124</v>
      </c>
      <c r="X1875" s="22">
        <f>IFERROR(__xludf.DUMMYFUNCTION("IFERROR(GOOGLEFINANCE(A1875,""high""),"""")"),128.0)</f>
        <v>128</v>
      </c>
      <c r="Y1875" s="22">
        <f>IFERROR(__xludf.DUMMYFUNCTION("IFERROR(GOOGLEFINANCE(A1875,""low""),"""")"),115.0)</f>
        <v>115</v>
      </c>
      <c r="Z1875" s="22">
        <f>IFERROR(__xludf.DUMMYFUNCTION("IFERROR(GOOGLEFINANCE(A1875,""volume""),"""")"),344700.0)</f>
        <v>344700</v>
      </c>
      <c r="AA1875" s="24" t="str">
        <f>VLOOKUP(A1875,Metrik!$C$2:$Y$959,5,0)</f>
        <v>Computer Hardware</v>
      </c>
      <c r="AB1875" s="24" t="str">
        <f>VLOOKUP(A1875,Metrik!$C$2:$Y$959,3,0)</f>
        <v>Technology</v>
      </c>
    </row>
    <row r="1876">
      <c r="A1876" s="14" t="s">
        <v>1023</v>
      </c>
      <c r="B1876" s="14" t="str">
        <f t="array" ref="B1876">VLOOKUP(A1876,{Metrik!$C$2:$C$998,Metrik!$B$2:$B$998},2,0)</f>
        <v>Mega Perintis Tbk.</v>
      </c>
      <c r="C1876" s="15">
        <f>IFERROR(__xludf.DUMMYFUNCTION("GOOGLEFINANCE(""IDX:""&amp;A1876,""price"")"),340.0)</f>
        <v>340</v>
      </c>
      <c r="D1876" s="16" t="str">
        <f>IFERROR(__xludf.DUMMYFUNCTION("IF(A1876="""","""",
SPARKLINE(
INDEX(
GOOGLEFINANCE(""IDX:""&amp;A1876,""close"",TODAY()-365,TODAY()),
,2
),
{""linewidth"",1}
))
"),"#N/A")</f>
        <v>#N/A</v>
      </c>
      <c r="E1876" s="26"/>
      <c r="F1876" s="26"/>
      <c r="G1876" s="24">
        <f t="shared" ref="G1876:G1877" si="12">COUNTIFS($B$2:$B$1939,B1876,$E$2:$E$1939,"&lt;&gt;")</f>
        <v>0</v>
      </c>
      <c r="H1876" s="19">
        <f>VLOOKUP(A1876,Metrik!$C$2:$Y$959,8,0)</f>
        <v>14.8</v>
      </c>
      <c r="I1876" s="20">
        <f>VLOOKUP(A1876,Metrik!$C$2:$Y$959,9,0)</f>
        <v>0.72</v>
      </c>
      <c r="J1876" s="20">
        <f>VLOOKUP(A1876,Metrik!$C$2:$Y$959,10,0)</f>
        <v>4.9</v>
      </c>
      <c r="K1876" s="20">
        <f>VLOOKUP(A1876,Metrik!$C$2:$Y$959,11,0)</f>
        <v>3.1</v>
      </c>
      <c r="L1876" s="20">
        <f>VLOOKUP(A1876,Metrik!$C$2:$Y$959,12,0)</f>
        <v>0.58</v>
      </c>
      <c r="M1876" s="20">
        <f>VLOOKUP(A1876,Metrik!$C$2:$Y$959,19,0)</f>
        <v>5.1</v>
      </c>
      <c r="N1876" s="21"/>
      <c r="O1876" s="21"/>
      <c r="P1876" s="21"/>
      <c r="Q1876" s="21"/>
      <c r="R1876" s="21"/>
      <c r="S1876" s="21"/>
      <c r="T1876" s="21"/>
      <c r="U1876" s="22">
        <f>IFERROR(__xludf.DUMMYFUNCTION("IFERROR(GOOGLEFINANCE(A1876,""closeyest""),"""")"),0.7)</f>
        <v>0.7</v>
      </c>
      <c r="V1876" s="23">
        <f>IFERROR(__xludf.DUMMYFUNCTION("IFERROR(GOOGLEFINANCE(A1876,""changepct""),"""")"),15.55)</f>
        <v>15.55</v>
      </c>
      <c r="W1876" s="22">
        <f>IFERROR(__xludf.DUMMYFUNCTION("IFERROR(GOOGLEFINANCE(A1876,""priceopen""),"""")"),0.7)</f>
        <v>0.7</v>
      </c>
      <c r="X1876" s="22">
        <f>IFERROR(__xludf.DUMMYFUNCTION("IFERROR(GOOGLEFINANCE(A1876,""high""),"""")"),0.83)</f>
        <v>0.83</v>
      </c>
      <c r="Y1876" s="22">
        <f>IFERROR(__xludf.DUMMYFUNCTION("IFERROR(GOOGLEFINANCE(A1876,""low""),"""")"),0.7)</f>
        <v>0.7</v>
      </c>
      <c r="Z1876" s="22">
        <f>IFERROR(__xludf.DUMMYFUNCTION("IFERROR(GOOGLEFINANCE(A1876,""volume""),"""")"),5051565.0)</f>
        <v>5051565</v>
      </c>
      <c r="AA1876" s="24" t="str">
        <f>VLOOKUP(A1876,Metrik!$C$2:$Y$959,5,0)</f>
        <v>Specialty Retail</v>
      </c>
      <c r="AB1876" s="24" t="str">
        <f>VLOOKUP(A1876,Metrik!$C$2:$Y$959,3,0)</f>
        <v>Consumer Cyclicals</v>
      </c>
    </row>
    <row r="1877">
      <c r="A1877" s="14" t="s">
        <v>1024</v>
      </c>
      <c r="B1877" s="14" t="str">
        <f t="array" ref="B1877">VLOOKUP(A1877,{Metrik!$C$2:$C$998,Metrik!$B$2:$B$998},2,0)</f>
        <v>Zyrexindo Mandiri Buana Tbk.</v>
      </c>
      <c r="C1877" s="15">
        <f>IFERROR(__xludf.DUMMYFUNCTION("GOOGLEFINANCE(""IDX:""&amp;A1877,""price"")"),126.0)</f>
        <v>126</v>
      </c>
      <c r="D1877" s="16" t="str">
        <f>IFERROR(__xludf.DUMMYFUNCTION("IF(A1877="""","""",
SPARKLINE(
INDEX(
GOOGLEFINANCE(""IDX:""&amp;A1877,""close"",TODAY()-365,TODAY()),
,2
),
{""linewidth"",1}
))
"),"#N/A")</f>
        <v>#N/A</v>
      </c>
      <c r="E1877" s="26"/>
      <c r="F1877" s="26"/>
      <c r="G1877" s="24">
        <f t="shared" si="12"/>
        <v>0</v>
      </c>
      <c r="H1877" s="19">
        <f>VLOOKUP(A1877,Metrik!$C$2:$Y$959,8,0)</f>
        <v>4.7</v>
      </c>
      <c r="I1877" s="20">
        <f>VLOOKUP(A1877,Metrik!$C$2:$Y$959,9,0)</f>
        <v>0.54</v>
      </c>
      <c r="J1877" s="20">
        <f>VLOOKUP(A1877,Metrik!$C$2:$Y$959,10,0)</f>
        <v>11.6</v>
      </c>
      <c r="K1877" s="20">
        <f>VLOOKUP(A1877,Metrik!$C$2:$Y$959,11,0)</f>
        <v>3.9</v>
      </c>
      <c r="L1877" s="20">
        <f>VLOOKUP(A1877,Metrik!$C$2:$Y$959,12,0)</f>
        <v>2</v>
      </c>
      <c r="M1877" s="20">
        <f>VLOOKUP(A1877,Metrik!$C$2:$Y$959,19,0)</f>
        <v>70</v>
      </c>
      <c r="N1877" s="21"/>
      <c r="O1877" s="21"/>
      <c r="P1877" s="21"/>
      <c r="Q1877" s="21"/>
      <c r="R1877" s="21"/>
      <c r="S1877" s="21"/>
      <c r="T1877" s="21"/>
      <c r="U1877" s="22">
        <f>IFERROR(__xludf.DUMMYFUNCTION("IFERROR(GOOGLEFINANCE(A1877,""closeyest""),"""")"),122.0)</f>
        <v>122</v>
      </c>
      <c r="V1877" s="23">
        <f>IFERROR(__xludf.DUMMYFUNCTION("IFERROR(GOOGLEFINANCE(A1877,""changepct""),"""")"),3.28)</f>
        <v>3.28</v>
      </c>
      <c r="W1877" s="22">
        <f>IFERROR(__xludf.DUMMYFUNCTION("IFERROR(GOOGLEFINANCE(A1877,""priceopen""),"""")"),124.0)</f>
        <v>124</v>
      </c>
      <c r="X1877" s="22">
        <f>IFERROR(__xludf.DUMMYFUNCTION("IFERROR(GOOGLEFINANCE(A1877,""high""),"""")"),128.0)</f>
        <v>128</v>
      </c>
      <c r="Y1877" s="22">
        <f>IFERROR(__xludf.DUMMYFUNCTION("IFERROR(GOOGLEFINANCE(A1877,""low""),"""")"),115.0)</f>
        <v>115</v>
      </c>
      <c r="Z1877" s="22">
        <f>IFERROR(__xludf.DUMMYFUNCTION("IFERROR(GOOGLEFINANCE(A1877,""volume""),"""")"),344700.0)</f>
        <v>344700</v>
      </c>
      <c r="AA1877" s="24" t="str">
        <f>VLOOKUP(A1877,Metrik!$C$2:$Y$959,5,0)</f>
        <v>Computer Hardware</v>
      </c>
      <c r="AB1877" s="24" t="str">
        <f>VLOOKUP(A1877,Metrik!$C$2:$Y$959,3,0)</f>
        <v>Technology</v>
      </c>
    </row>
  </sheetData>
  <autoFilter ref="$A$1:$AB$1877">
    <sortState ref="A1:AB1877">
      <sortCondition ref="A1:A1877"/>
      <sortCondition ref="C1:C1877"/>
      <sortCondition ref="E1:E1877"/>
    </sortState>
  </autoFilter>
  <conditionalFormatting sqref="V1 T140:T144 T175:T182 T199:T203">
    <cfRule type="notContainsBlanks" dxfId="0" priority="1">
      <formula>LEN(TRIM(V1))&gt;0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9.29"/>
    <col customWidth="1" min="2" max="2" width="33.43"/>
    <col customWidth="1" min="4" max="4" width="41.43"/>
    <col customWidth="1" min="5" max="5" width="26.14"/>
    <col customWidth="1" min="6" max="6" width="18.29"/>
    <col customWidth="1" min="7" max="7" width="9.57"/>
    <col customWidth="1" min="12" max="12" width="13.71"/>
    <col customWidth="1" hidden="1" min="14" max="14" width="13.14"/>
    <col customWidth="1" hidden="1" min="15" max="15" width="15.0"/>
    <col customWidth="1" hidden="1" min="16" max="16" width="16.14"/>
    <col customWidth="1" hidden="1" min="17" max="17" width="13.57"/>
    <col customWidth="1" hidden="1" min="18" max="18" width="16.71"/>
    <col customWidth="1" hidden="1" min="19" max="19" width="14.14"/>
    <col customWidth="1" hidden="1" min="20" max="20" width="13.71"/>
  </cols>
  <sheetData>
    <row r="1">
      <c r="A1" s="51" t="s">
        <v>0</v>
      </c>
      <c r="B1" s="13" t="s">
        <v>1</v>
      </c>
      <c r="C1" s="6" t="s">
        <v>2</v>
      </c>
      <c r="D1" s="52" t="str">
        <f>IFERROR(__xludf.DUMMYFUNCTION("""Last Update: "" &amp; TEXT(NOW() - GOOGLEFINANCE(""IDX:BBCA"",""datadelay"")/1440, ""dddd, yyyymmdd HH:mm"")"),"Last Update: Minggu, 20260614 14:19")</f>
        <v>Last Update: Minggu, 20260614 14:19</v>
      </c>
      <c r="E1" s="51" t="s">
        <v>3</v>
      </c>
      <c r="F1" s="13" t="s">
        <v>4</v>
      </c>
      <c r="G1" s="6" t="s">
        <v>5</v>
      </c>
      <c r="H1" s="53" t="s">
        <v>1025</v>
      </c>
      <c r="I1" s="53" t="s">
        <v>1026</v>
      </c>
      <c r="J1" s="54" t="s">
        <v>1027</v>
      </c>
      <c r="K1" s="54" t="s">
        <v>1028</v>
      </c>
      <c r="L1" s="54" t="s">
        <v>1029</v>
      </c>
      <c r="M1" s="53" t="s">
        <v>1030</v>
      </c>
      <c r="N1" s="55" t="s">
        <v>1031</v>
      </c>
      <c r="O1" s="55" t="s">
        <v>1032</v>
      </c>
      <c r="P1" s="55" t="s">
        <v>1033</v>
      </c>
      <c r="Q1" s="55" t="s">
        <v>1034</v>
      </c>
      <c r="R1" s="56" t="s">
        <v>1035</v>
      </c>
      <c r="S1" s="56" t="s">
        <v>1036</v>
      </c>
      <c r="T1" s="57" t="s">
        <v>1037</v>
      </c>
      <c r="U1" s="58" t="s">
        <v>19</v>
      </c>
      <c r="V1" s="59" t="s">
        <v>20</v>
      </c>
      <c r="W1" s="58" t="s">
        <v>21</v>
      </c>
      <c r="X1" s="58" t="s">
        <v>22</v>
      </c>
      <c r="Y1" s="58" t="s">
        <v>23</v>
      </c>
      <c r="Z1" s="58" t="s">
        <v>24</v>
      </c>
      <c r="AA1" s="13" t="s">
        <v>25</v>
      </c>
      <c r="AB1" s="13" t="s">
        <v>26</v>
      </c>
    </row>
    <row r="2">
      <c r="A2" s="60" t="str">
        <f>Ringkasan!A5</f>
        <v>AADI</v>
      </c>
      <c r="B2" s="60" t="str">
        <f>Ringkasan!B5</f>
        <v>Adaro Andalan Indonesia Tbk.</v>
      </c>
      <c r="C2" s="61">
        <f>Ringkasan!C5</f>
        <v>8650</v>
      </c>
      <c r="D2" s="60" t="str">
        <f>Ringkasan!D5</f>
        <v>#N/A</v>
      </c>
      <c r="E2" s="60" t="str">
        <f>Ringkasan!E5</f>
        <v>Kompas100</v>
      </c>
      <c r="F2" s="60" t="str">
        <f>Ringkasan!F5</f>
        <v>31 Juli 2026</v>
      </c>
      <c r="G2" s="61">
        <f>Ringkasan!G5</f>
        <v>9</v>
      </c>
      <c r="H2" s="62">
        <f>Ringkasan!H5</f>
        <v>5.5</v>
      </c>
      <c r="I2" s="62">
        <f>Ringkasan!I5</f>
        <v>1</v>
      </c>
      <c r="J2" s="62">
        <f>Ringkasan!J5</f>
        <v>18.6</v>
      </c>
      <c r="K2" s="62">
        <f>Ringkasan!K5</f>
        <v>12.2</v>
      </c>
      <c r="L2" s="62">
        <f>Ringkasan!L5</f>
        <v>0.53</v>
      </c>
      <c r="M2" s="62">
        <f>Ringkasan!M5</f>
        <v>67.3</v>
      </c>
      <c r="N2" s="60" t="str">
        <f>Ringkasan!N5</f>
        <v/>
      </c>
      <c r="O2" s="60" t="str">
        <f>Ringkasan!O5</f>
        <v/>
      </c>
      <c r="P2" s="60" t="str">
        <f>Ringkasan!P5</f>
        <v/>
      </c>
      <c r="Q2" s="60" t="str">
        <f>Ringkasan!Q5</f>
        <v/>
      </c>
      <c r="R2" s="60" t="str">
        <f>Ringkasan!R5</f>
        <v/>
      </c>
      <c r="S2" s="60" t="str">
        <f>Ringkasan!S5</f>
        <v/>
      </c>
      <c r="T2" s="60" t="str">
        <f>Ringkasan!T5</f>
        <v/>
      </c>
      <c r="U2" s="60">
        <f>Ringkasan!U5</f>
        <v>8050</v>
      </c>
      <c r="V2" s="60">
        <f>Ringkasan!V5</f>
        <v>7.45</v>
      </c>
      <c r="W2" s="60">
        <f>Ringkasan!W5</f>
        <v>8100</v>
      </c>
      <c r="X2" s="60">
        <f>Ringkasan!X5</f>
        <v>8850</v>
      </c>
      <c r="Y2" s="60">
        <f>Ringkasan!Y5</f>
        <v>8050</v>
      </c>
      <c r="Z2" s="60">
        <f>Ringkasan!Z5</f>
        <v>21262200</v>
      </c>
      <c r="AA2" s="60" t="str">
        <f>Ringkasan!AA5</f>
        <v>Coal</v>
      </c>
      <c r="AB2" s="60" t="str">
        <f>Ringkasan!AB5</f>
        <v>Energy</v>
      </c>
    </row>
    <row r="3">
      <c r="A3" s="60" t="str">
        <f>Ringkasan!A2</f>
        <v>AADI</v>
      </c>
      <c r="B3" s="60" t="str">
        <f>Ringkasan!B2</f>
        <v>Adaro Andalan Indonesia Tbk.</v>
      </c>
      <c r="C3" s="61">
        <f>Ringkasan!C2</f>
        <v>8650</v>
      </c>
      <c r="D3" s="60" t="str">
        <f>Ringkasan!D2</f>
        <v>#N/A</v>
      </c>
      <c r="E3" s="60" t="str">
        <f>Ringkasan!E2</f>
        <v>IDX80</v>
      </c>
      <c r="F3" s="60" t="str">
        <f>Ringkasan!F2</f>
        <v>31 Juli 2026</v>
      </c>
      <c r="G3" s="61">
        <f>Ringkasan!G2</f>
        <v>9</v>
      </c>
      <c r="H3" s="62">
        <f>Ringkasan!H2</f>
        <v>5.5</v>
      </c>
      <c r="I3" s="62">
        <f>Ringkasan!I2</f>
        <v>1</v>
      </c>
      <c r="J3" s="62">
        <f>Ringkasan!J2</f>
        <v>18.6</v>
      </c>
      <c r="K3" s="62">
        <f>Ringkasan!K2</f>
        <v>12.2</v>
      </c>
      <c r="L3" s="62">
        <f>Ringkasan!L2</f>
        <v>0.53</v>
      </c>
      <c r="M3" s="62">
        <f>Ringkasan!M2</f>
        <v>67.3</v>
      </c>
      <c r="N3" s="60" t="str">
        <f>Ringkasan!N2</f>
        <v/>
      </c>
      <c r="O3" s="60" t="str">
        <f>Ringkasan!O2</f>
        <v/>
      </c>
      <c r="P3" s="60" t="str">
        <f>Ringkasan!P2</f>
        <v/>
      </c>
      <c r="Q3" s="60" t="str">
        <f>Ringkasan!Q2</f>
        <v/>
      </c>
      <c r="R3" s="60" t="str">
        <f>Ringkasan!R2</f>
        <v/>
      </c>
      <c r="S3" s="60" t="str">
        <f>Ringkasan!S2</f>
        <v/>
      </c>
      <c r="T3" s="60" t="str">
        <f>Ringkasan!T2</f>
        <v/>
      </c>
      <c r="U3" s="60">
        <f>Ringkasan!U2</f>
        <v>8050</v>
      </c>
      <c r="V3" s="60">
        <f>Ringkasan!V2</f>
        <v>7.45</v>
      </c>
      <c r="W3" s="60">
        <f>Ringkasan!W2</f>
        <v>8100</v>
      </c>
      <c r="X3" s="60">
        <f>Ringkasan!X2</f>
        <v>8850</v>
      </c>
      <c r="Y3" s="60">
        <f>Ringkasan!Y2</f>
        <v>8050</v>
      </c>
      <c r="Z3" s="60">
        <f>Ringkasan!Z2</f>
        <v>21262200</v>
      </c>
      <c r="AA3" s="60" t="str">
        <f>Ringkasan!AA2</f>
        <v>Coal</v>
      </c>
      <c r="AB3" s="60" t="str">
        <f>Ringkasan!AB2</f>
        <v>Energy</v>
      </c>
    </row>
    <row r="4">
      <c r="A4" s="60" t="str">
        <f>Ringkasan!A3</f>
        <v>AADI</v>
      </c>
      <c r="B4" s="60" t="str">
        <f>Ringkasan!B3</f>
        <v>Adaro Andalan Indonesia Tbk.</v>
      </c>
      <c r="C4" s="61">
        <f>Ringkasan!C3</f>
        <v>8650</v>
      </c>
      <c r="D4" s="60" t="str">
        <f>Ringkasan!D3</f>
        <v>#N/A</v>
      </c>
      <c r="E4" s="60" t="str">
        <f>Ringkasan!E3</f>
        <v>IDX30</v>
      </c>
      <c r="F4" s="60" t="str">
        <f>Ringkasan!F3</f>
        <v>31 Juli 2026</v>
      </c>
      <c r="G4" s="61">
        <f>Ringkasan!G3</f>
        <v>9</v>
      </c>
      <c r="H4" s="62">
        <f>Ringkasan!H3</f>
        <v>5.5</v>
      </c>
      <c r="I4" s="62">
        <f>Ringkasan!I3</f>
        <v>1</v>
      </c>
      <c r="J4" s="62">
        <f>Ringkasan!J3</f>
        <v>18.6</v>
      </c>
      <c r="K4" s="62">
        <f>Ringkasan!K3</f>
        <v>12.2</v>
      </c>
      <c r="L4" s="62">
        <f>Ringkasan!L3</f>
        <v>0.53</v>
      </c>
      <c r="M4" s="62">
        <f>Ringkasan!M3</f>
        <v>67.3</v>
      </c>
      <c r="N4" s="60" t="str">
        <f>Ringkasan!N3</f>
        <v/>
      </c>
      <c r="O4" s="60" t="str">
        <f>Ringkasan!O3</f>
        <v/>
      </c>
      <c r="P4" s="60" t="str">
        <f>Ringkasan!P3</f>
        <v/>
      </c>
      <c r="Q4" s="60" t="str">
        <f>Ringkasan!Q3</f>
        <v/>
      </c>
      <c r="R4" s="60" t="str">
        <f>Ringkasan!R3</f>
        <v/>
      </c>
      <c r="S4" s="60" t="str">
        <f>Ringkasan!S3</f>
        <v/>
      </c>
      <c r="T4" s="60" t="str">
        <f>Ringkasan!T3</f>
        <v/>
      </c>
      <c r="U4" s="60">
        <f>Ringkasan!U3</f>
        <v>8050</v>
      </c>
      <c r="V4" s="60">
        <f>Ringkasan!V3</f>
        <v>7.45</v>
      </c>
      <c r="W4" s="60">
        <f>Ringkasan!W3</f>
        <v>8100</v>
      </c>
      <c r="X4" s="60">
        <f>Ringkasan!X3</f>
        <v>8850</v>
      </c>
      <c r="Y4" s="60">
        <f>Ringkasan!Y3</f>
        <v>8050</v>
      </c>
      <c r="Z4" s="60">
        <f>Ringkasan!Z3</f>
        <v>21262200</v>
      </c>
      <c r="AA4" s="60" t="str">
        <f>Ringkasan!AA3</f>
        <v>Coal</v>
      </c>
      <c r="AB4" s="60" t="str">
        <f>Ringkasan!AB3</f>
        <v>Energy</v>
      </c>
    </row>
    <row r="5">
      <c r="A5" s="60" t="str">
        <f>Ringkasan!A4</f>
        <v>AADI</v>
      </c>
      <c r="B5" s="60" t="str">
        <f>Ringkasan!B4</f>
        <v>Adaro Andalan Indonesia Tbk.</v>
      </c>
      <c r="C5" s="61">
        <f>Ringkasan!C4</f>
        <v>8650</v>
      </c>
      <c r="D5" s="60" t="str">
        <f>Ringkasan!D4</f>
        <v>#N/A</v>
      </c>
      <c r="E5" s="60" t="str">
        <f>Ringkasan!E4</f>
        <v>LQ45</v>
      </c>
      <c r="F5" s="60" t="str">
        <f>Ringkasan!F4</f>
        <v>31 Juli 2026</v>
      </c>
      <c r="G5" s="61">
        <f>Ringkasan!G4</f>
        <v>9</v>
      </c>
      <c r="H5" s="62">
        <f>Ringkasan!H4</f>
        <v>5.5</v>
      </c>
      <c r="I5" s="62">
        <f>Ringkasan!I4</f>
        <v>1</v>
      </c>
      <c r="J5" s="62">
        <f>Ringkasan!J4</f>
        <v>18.6</v>
      </c>
      <c r="K5" s="62">
        <f>Ringkasan!K4</f>
        <v>12.2</v>
      </c>
      <c r="L5" s="62">
        <f>Ringkasan!L4</f>
        <v>0.53</v>
      </c>
      <c r="M5" s="62">
        <f>Ringkasan!M4</f>
        <v>67.3</v>
      </c>
      <c r="N5" s="60" t="str">
        <f>Ringkasan!N4</f>
        <v/>
      </c>
      <c r="O5" s="60" t="str">
        <f>Ringkasan!O4</f>
        <v/>
      </c>
      <c r="P5" s="60" t="str">
        <f>Ringkasan!P4</f>
        <v/>
      </c>
      <c r="Q5" s="60" t="str">
        <f>Ringkasan!Q4</f>
        <v/>
      </c>
      <c r="R5" s="60" t="str">
        <f>Ringkasan!R4</f>
        <v/>
      </c>
      <c r="S5" s="60" t="str">
        <f>Ringkasan!S4</f>
        <v/>
      </c>
      <c r="T5" s="60" t="str">
        <f>Ringkasan!T4</f>
        <v/>
      </c>
      <c r="U5" s="60">
        <f>Ringkasan!U4</f>
        <v>8050</v>
      </c>
      <c r="V5" s="60">
        <f>Ringkasan!V4</f>
        <v>7.45</v>
      </c>
      <c r="W5" s="60">
        <f>Ringkasan!W4</f>
        <v>8100</v>
      </c>
      <c r="X5" s="60">
        <f>Ringkasan!X4</f>
        <v>8850</v>
      </c>
      <c r="Y5" s="60">
        <f>Ringkasan!Y4</f>
        <v>8050</v>
      </c>
      <c r="Z5" s="60">
        <f>Ringkasan!Z4</f>
        <v>21262200</v>
      </c>
      <c r="AA5" s="60" t="str">
        <f>Ringkasan!AA4</f>
        <v>Coal</v>
      </c>
      <c r="AB5" s="60" t="str">
        <f>Ringkasan!AB4</f>
        <v>Energy</v>
      </c>
    </row>
    <row r="6">
      <c r="A6" s="60" t="str">
        <f>Ringkasan!A6</f>
        <v>AADI</v>
      </c>
      <c r="B6" s="60" t="str">
        <f>Ringkasan!B6</f>
        <v>Adaro Andalan Indonesia Tbk.</v>
      </c>
      <c r="C6" s="61">
        <f>Ringkasan!C6</f>
        <v>8650</v>
      </c>
      <c r="D6" s="60" t="str">
        <f>Ringkasan!D6</f>
        <v>#N/A</v>
      </c>
      <c r="E6" s="60" t="str">
        <f>Ringkasan!E6</f>
        <v>IDXV30</v>
      </c>
      <c r="F6" s="60" t="str">
        <f>Ringkasan!F6</f>
        <v>4 Agustus 2026</v>
      </c>
      <c r="G6" s="61">
        <f>Ringkasan!G6</f>
        <v>9</v>
      </c>
      <c r="H6" s="62">
        <f>Ringkasan!H6</f>
        <v>5.5</v>
      </c>
      <c r="I6" s="62">
        <f>Ringkasan!I6</f>
        <v>1</v>
      </c>
      <c r="J6" s="62">
        <f>Ringkasan!J6</f>
        <v>18.6</v>
      </c>
      <c r="K6" s="62">
        <f>Ringkasan!K6</f>
        <v>12.2</v>
      </c>
      <c r="L6" s="62">
        <f>Ringkasan!L6</f>
        <v>0.53</v>
      </c>
      <c r="M6" s="62">
        <f>Ringkasan!M6</f>
        <v>67.3</v>
      </c>
      <c r="N6" s="60" t="str">
        <f>Ringkasan!N6</f>
        <v/>
      </c>
      <c r="O6" s="60" t="str">
        <f>Ringkasan!O6</f>
        <v/>
      </c>
      <c r="P6" s="60" t="str">
        <f>Ringkasan!P6</f>
        <v/>
      </c>
      <c r="Q6" s="60" t="str">
        <f>Ringkasan!Q6</f>
        <v/>
      </c>
      <c r="R6" s="60" t="str">
        <f>Ringkasan!R6</f>
        <v/>
      </c>
      <c r="S6" s="60" t="str">
        <f>Ringkasan!S6</f>
        <v/>
      </c>
      <c r="T6" s="60" t="str">
        <f>Ringkasan!T6</f>
        <v/>
      </c>
      <c r="U6" s="60">
        <f>Ringkasan!U6</f>
        <v>8050</v>
      </c>
      <c r="V6" s="60">
        <f>Ringkasan!V6</f>
        <v>7.45</v>
      </c>
      <c r="W6" s="60">
        <f>Ringkasan!W6</f>
        <v>8100</v>
      </c>
      <c r="X6" s="60">
        <f>Ringkasan!X6</f>
        <v>8850</v>
      </c>
      <c r="Y6" s="60">
        <f>Ringkasan!Y6</f>
        <v>8050</v>
      </c>
      <c r="Z6" s="60">
        <f>Ringkasan!Z6</f>
        <v>21262200</v>
      </c>
      <c r="AA6" s="60" t="str">
        <f>Ringkasan!AA6</f>
        <v>Coal</v>
      </c>
      <c r="AB6" s="60" t="str">
        <f>Ringkasan!AB6</f>
        <v>Energy</v>
      </c>
    </row>
    <row r="7">
      <c r="A7" s="60" t="str">
        <f>Ringkasan!A7</f>
        <v>AADI</v>
      </c>
      <c r="B7" s="60" t="str">
        <f>Ringkasan!B7</f>
        <v>Adaro Andalan Indonesia Tbk.</v>
      </c>
      <c r="C7" s="61">
        <f>Ringkasan!C7</f>
        <v>8650</v>
      </c>
      <c r="D7" s="60" t="str">
        <f>Ringkasan!D7</f>
        <v>#N/A</v>
      </c>
      <c r="E7" s="60" t="str">
        <f>Ringkasan!E7</f>
        <v>MSCI Small Cap</v>
      </c>
      <c r="F7" s="60" t="str">
        <f>Ringkasan!F7</f>
        <v>12 Agustus 2026</v>
      </c>
      <c r="G7" s="60">
        <f>Ringkasan!G7</f>
        <v>9</v>
      </c>
      <c r="H7" s="62">
        <f>Ringkasan!H7</f>
        <v>5.5</v>
      </c>
      <c r="I7" s="62">
        <f>Ringkasan!I7</f>
        <v>1</v>
      </c>
      <c r="J7" s="62">
        <f>Ringkasan!J7</f>
        <v>18.6</v>
      </c>
      <c r="K7" s="62">
        <f>Ringkasan!K7</f>
        <v>12.2</v>
      </c>
      <c r="L7" s="62">
        <f>Ringkasan!L7</f>
        <v>0.53</v>
      </c>
      <c r="M7" s="62">
        <f>Ringkasan!M7</f>
        <v>67.3</v>
      </c>
      <c r="N7" s="60" t="str">
        <f>Ringkasan!N7</f>
        <v/>
      </c>
      <c r="O7" s="60" t="str">
        <f>Ringkasan!O7</f>
        <v/>
      </c>
      <c r="P7" s="60" t="str">
        <f>Ringkasan!P7</f>
        <v/>
      </c>
      <c r="Q7" s="60" t="str">
        <f>Ringkasan!Q7</f>
        <v/>
      </c>
      <c r="R7" s="60" t="str">
        <f>Ringkasan!R7</f>
        <v/>
      </c>
      <c r="S7" s="60" t="str">
        <f>Ringkasan!S7</f>
        <v/>
      </c>
      <c r="T7" s="60" t="str">
        <f>Ringkasan!T7</f>
        <v/>
      </c>
      <c r="U7" s="60">
        <f>Ringkasan!U7</f>
        <v>8050</v>
      </c>
      <c r="V7" s="60">
        <f>Ringkasan!V7</f>
        <v>7.45</v>
      </c>
      <c r="W7" s="60">
        <f>Ringkasan!W7</f>
        <v>8100</v>
      </c>
      <c r="X7" s="60">
        <f>Ringkasan!X7</f>
        <v>8850</v>
      </c>
      <c r="Y7" s="60">
        <f>Ringkasan!Y7</f>
        <v>8050</v>
      </c>
      <c r="Z7" s="60">
        <f>Ringkasan!Z7</f>
        <v>21262200</v>
      </c>
      <c r="AA7" s="60" t="str">
        <f>Ringkasan!AA7</f>
        <v>Coal</v>
      </c>
      <c r="AB7" s="60" t="str">
        <f>Ringkasan!AB7</f>
        <v>Energy</v>
      </c>
    </row>
    <row r="8">
      <c r="A8" s="60" t="str">
        <f>Ringkasan!A8</f>
        <v>AADI</v>
      </c>
      <c r="B8" s="60" t="str">
        <f>Ringkasan!B8</f>
        <v>Adaro Andalan Indonesia Tbk.</v>
      </c>
      <c r="C8" s="61">
        <f>Ringkasan!C8</f>
        <v>8650</v>
      </c>
      <c r="D8" s="60" t="str">
        <f>Ringkasan!D8</f>
        <v>#N/A</v>
      </c>
      <c r="E8" s="60" t="str">
        <f>Ringkasan!E8</f>
        <v>FTSE Small Cap</v>
      </c>
      <c r="F8" s="60" t="str">
        <f>Ringkasan!F8</f>
        <v>12 Agustus 2026</v>
      </c>
      <c r="G8" s="60">
        <f>Ringkasan!G8</f>
        <v>9</v>
      </c>
      <c r="H8" s="62">
        <f>Ringkasan!H8</f>
        <v>5.5</v>
      </c>
      <c r="I8" s="62">
        <f>Ringkasan!I8</f>
        <v>1</v>
      </c>
      <c r="J8" s="62">
        <f>Ringkasan!J8</f>
        <v>18.6</v>
      </c>
      <c r="K8" s="62">
        <f>Ringkasan!K8</f>
        <v>12.2</v>
      </c>
      <c r="L8" s="62">
        <f>Ringkasan!L8</f>
        <v>0.53</v>
      </c>
      <c r="M8" s="62">
        <f>Ringkasan!M8</f>
        <v>67.3</v>
      </c>
      <c r="N8" s="60" t="str">
        <f>Ringkasan!N8</f>
        <v/>
      </c>
      <c r="O8" s="60" t="str">
        <f>Ringkasan!O8</f>
        <v/>
      </c>
      <c r="P8" s="60" t="str">
        <f>Ringkasan!P8</f>
        <v/>
      </c>
      <c r="Q8" s="60" t="str">
        <f>Ringkasan!Q8</f>
        <v/>
      </c>
      <c r="R8" s="60" t="str">
        <f>Ringkasan!R8</f>
        <v/>
      </c>
      <c r="S8" s="60" t="str">
        <f>Ringkasan!S8</f>
        <v/>
      </c>
      <c r="T8" s="60" t="str">
        <f>Ringkasan!T8</f>
        <v/>
      </c>
      <c r="U8" s="60">
        <f>Ringkasan!U8</f>
        <v>8050</v>
      </c>
      <c r="V8" s="60">
        <f>Ringkasan!V8</f>
        <v>7.45</v>
      </c>
      <c r="W8" s="60">
        <f>Ringkasan!W8</f>
        <v>8100</v>
      </c>
      <c r="X8" s="60">
        <f>Ringkasan!X8</f>
        <v>8850</v>
      </c>
      <c r="Y8" s="60">
        <f>Ringkasan!Y8</f>
        <v>8050</v>
      </c>
      <c r="Z8" s="60">
        <f>Ringkasan!Z8</f>
        <v>21262200</v>
      </c>
      <c r="AA8" s="60" t="str">
        <f>Ringkasan!AA8</f>
        <v>Coal</v>
      </c>
      <c r="AB8" s="60" t="str">
        <f>Ringkasan!AB8</f>
        <v>Energy</v>
      </c>
    </row>
    <row r="9">
      <c r="A9" s="60" t="str">
        <f>Ringkasan!A9</f>
        <v>AADI</v>
      </c>
      <c r="B9" s="60" t="str">
        <f>Ringkasan!B9</f>
        <v>Adaro Andalan Indonesia Tbk.</v>
      </c>
      <c r="C9" s="61">
        <f>Ringkasan!C9</f>
        <v>8650</v>
      </c>
      <c r="D9" s="60" t="str">
        <f>Ringkasan!D9</f>
        <v>#N/A</v>
      </c>
      <c r="E9" s="60" t="str">
        <f>Ringkasan!E9</f>
        <v>JII30</v>
      </c>
      <c r="F9" s="63">
        <f> Ringkasan!F9</f>
        <v>46356</v>
      </c>
      <c r="G9" s="61">
        <f>Ringkasan!G9</f>
        <v>9</v>
      </c>
      <c r="H9" s="62">
        <f>Ringkasan!H9</f>
        <v>5.5</v>
      </c>
      <c r="I9" s="62">
        <f>Ringkasan!I9</f>
        <v>1</v>
      </c>
      <c r="J9" s="62">
        <f>Ringkasan!J9</f>
        <v>18.6</v>
      </c>
      <c r="K9" s="62">
        <f>Ringkasan!K9</f>
        <v>12.2</v>
      </c>
      <c r="L9" s="62">
        <f>Ringkasan!L9</f>
        <v>0.53</v>
      </c>
      <c r="M9" s="62">
        <f>Ringkasan!M9</f>
        <v>67.3</v>
      </c>
      <c r="N9" s="60" t="str">
        <f>Ringkasan!N9</f>
        <v/>
      </c>
      <c r="O9" s="60" t="str">
        <f>Ringkasan!O9</f>
        <v/>
      </c>
      <c r="P9" s="60" t="str">
        <f>Ringkasan!P9</f>
        <v/>
      </c>
      <c r="Q9" s="60" t="str">
        <f>Ringkasan!Q9</f>
        <v/>
      </c>
      <c r="R9" s="60" t="str">
        <f>Ringkasan!R9</f>
        <v/>
      </c>
      <c r="S9" s="60" t="str">
        <f>Ringkasan!S9</f>
        <v/>
      </c>
      <c r="T9" s="60" t="str">
        <f>Ringkasan!T9</f>
        <v/>
      </c>
      <c r="U9" s="60">
        <f>Ringkasan!U9</f>
        <v>8050</v>
      </c>
      <c r="V9" s="60">
        <f>Ringkasan!V9</f>
        <v>7.45</v>
      </c>
      <c r="W9" s="60">
        <f>Ringkasan!W9</f>
        <v>8100</v>
      </c>
      <c r="X9" s="60">
        <f>Ringkasan!X9</f>
        <v>8850</v>
      </c>
      <c r="Y9" s="60">
        <f>Ringkasan!Y9</f>
        <v>8050</v>
      </c>
      <c r="Z9" s="60">
        <f>Ringkasan!Z9</f>
        <v>21262200</v>
      </c>
      <c r="AA9" s="60" t="str">
        <f>Ringkasan!AA9</f>
        <v>Coal</v>
      </c>
      <c r="AB9" s="60" t="str">
        <f>Ringkasan!AB9</f>
        <v>Energy</v>
      </c>
    </row>
    <row r="10">
      <c r="A10" s="60" t="str">
        <f>Ringkasan!A10</f>
        <v>AADI</v>
      </c>
      <c r="B10" s="60" t="str">
        <f>Ringkasan!B10</f>
        <v>Adaro Andalan Indonesia Tbk.</v>
      </c>
      <c r="C10" s="61">
        <f>Ringkasan!C10</f>
        <v>8650</v>
      </c>
      <c r="D10" s="60" t="str">
        <f>Ringkasan!D10</f>
        <v>#N/A</v>
      </c>
      <c r="E10" s="60" t="str">
        <f>Ringkasan!E10</f>
        <v>JII70</v>
      </c>
      <c r="F10" s="63">
        <f>Ringkasan!F10</f>
        <v>46356</v>
      </c>
      <c r="G10" s="61">
        <f>Ringkasan!G10</f>
        <v>9</v>
      </c>
      <c r="H10" s="62">
        <f>Ringkasan!H10</f>
        <v>5.5</v>
      </c>
      <c r="I10" s="62">
        <f>Ringkasan!I10</f>
        <v>1</v>
      </c>
      <c r="J10" s="62">
        <f>Ringkasan!J10</f>
        <v>18.6</v>
      </c>
      <c r="K10" s="62">
        <f>Ringkasan!K10</f>
        <v>12.2</v>
      </c>
      <c r="L10" s="62">
        <f>Ringkasan!L10</f>
        <v>0.53</v>
      </c>
      <c r="M10" s="62">
        <f>Ringkasan!M10</f>
        <v>67.3</v>
      </c>
      <c r="N10" s="60" t="str">
        <f>Ringkasan!N10</f>
        <v/>
      </c>
      <c r="O10" s="60" t="str">
        <f>Ringkasan!O10</f>
        <v/>
      </c>
      <c r="P10" s="60" t="str">
        <f>Ringkasan!P10</f>
        <v/>
      </c>
      <c r="Q10" s="60" t="str">
        <f>Ringkasan!Q10</f>
        <v/>
      </c>
      <c r="R10" s="60" t="str">
        <f>Ringkasan!R10</f>
        <v/>
      </c>
      <c r="S10" s="60" t="str">
        <f>Ringkasan!S10</f>
        <v/>
      </c>
      <c r="T10" s="60" t="str">
        <f>Ringkasan!T10</f>
        <v/>
      </c>
      <c r="U10" s="60">
        <f>Ringkasan!U10</f>
        <v>8050</v>
      </c>
      <c r="V10" s="60">
        <f>Ringkasan!V10</f>
        <v>7.45</v>
      </c>
      <c r="W10" s="60">
        <f>Ringkasan!W10</f>
        <v>8100</v>
      </c>
      <c r="X10" s="60">
        <f>Ringkasan!X10</f>
        <v>8850</v>
      </c>
      <c r="Y10" s="60">
        <f>Ringkasan!Y10</f>
        <v>8050</v>
      </c>
      <c r="Z10" s="60">
        <f>Ringkasan!Z10</f>
        <v>21262200</v>
      </c>
      <c r="AA10" s="60" t="str">
        <f>Ringkasan!AA10</f>
        <v>Coal</v>
      </c>
      <c r="AB10" s="60" t="str">
        <f>Ringkasan!AB10</f>
        <v>Energy</v>
      </c>
    </row>
    <row r="11" hidden="1">
      <c r="A11" s="64" t="str">
        <f t="shared" ref="A11:AB11" si="1">#REF!</f>
        <v>#REF!</v>
      </c>
      <c r="B11" s="64" t="str">
        <f t="shared" si="1"/>
        <v>#REF!</v>
      </c>
      <c r="C11" s="64" t="str">
        <f t="shared" si="1"/>
        <v>#REF!</v>
      </c>
      <c r="D11" s="64" t="str">
        <f t="shared" si="1"/>
        <v>#REF!</v>
      </c>
      <c r="E11" s="64" t="str">
        <f t="shared" si="1"/>
        <v>#REF!</v>
      </c>
      <c r="F11" s="64" t="str">
        <f t="shared" si="1"/>
        <v>#REF!</v>
      </c>
      <c r="G11" s="64" t="str">
        <f t="shared" si="1"/>
        <v>#REF!</v>
      </c>
      <c r="H11" s="64" t="str">
        <f t="shared" si="1"/>
        <v>#REF!</v>
      </c>
      <c r="I11" s="64" t="str">
        <f t="shared" si="1"/>
        <v>#REF!</v>
      </c>
      <c r="J11" s="64" t="str">
        <f t="shared" si="1"/>
        <v>#REF!</v>
      </c>
      <c r="K11" s="64" t="str">
        <f t="shared" si="1"/>
        <v>#REF!</v>
      </c>
      <c r="L11" s="64" t="str">
        <f t="shared" si="1"/>
        <v>#REF!</v>
      </c>
      <c r="M11" s="64" t="str">
        <f t="shared" si="1"/>
        <v>#REF!</v>
      </c>
      <c r="N11" s="64" t="str">
        <f t="shared" si="1"/>
        <v>#REF!</v>
      </c>
      <c r="O11" s="64" t="str">
        <f t="shared" si="1"/>
        <v>#REF!</v>
      </c>
      <c r="P11" s="64" t="str">
        <f t="shared" si="1"/>
        <v>#REF!</v>
      </c>
      <c r="Q11" s="64" t="str">
        <f t="shared" si="1"/>
        <v>#REF!</v>
      </c>
      <c r="R11" s="64" t="str">
        <f t="shared" si="1"/>
        <v>#REF!</v>
      </c>
      <c r="S11" s="64" t="str">
        <f t="shared" si="1"/>
        <v>#REF!</v>
      </c>
      <c r="T11" s="64" t="str">
        <f t="shared" si="1"/>
        <v>#REF!</v>
      </c>
      <c r="U11" s="64" t="str">
        <f t="shared" si="1"/>
        <v>#REF!</v>
      </c>
      <c r="V11" s="64" t="str">
        <f t="shared" si="1"/>
        <v>#REF!</v>
      </c>
      <c r="W11" s="64" t="str">
        <f t="shared" si="1"/>
        <v>#REF!</v>
      </c>
      <c r="X11" s="64" t="str">
        <f t="shared" si="1"/>
        <v>#REF!</v>
      </c>
      <c r="Y11" s="64" t="str">
        <f t="shared" si="1"/>
        <v>#REF!</v>
      </c>
      <c r="Z11" s="64" t="str">
        <f t="shared" si="1"/>
        <v>#REF!</v>
      </c>
      <c r="AA11" s="64" t="str">
        <f t="shared" si="1"/>
        <v>#REF!</v>
      </c>
      <c r="AB11" s="64" t="str">
        <f t="shared" si="1"/>
        <v>#REF!</v>
      </c>
    </row>
    <row r="12" hidden="1">
      <c r="A12" s="64" t="str">
        <f>Ringkasan!A11</f>
        <v>AALI</v>
      </c>
      <c r="B12" s="64" t="str">
        <f>Ringkasan!B11</f>
        <v>Astra Agro Lestari Tbk</v>
      </c>
      <c r="C12" s="65">
        <f>Ringkasan!C11</f>
        <v>6175</v>
      </c>
      <c r="D12" s="64" t="str">
        <f>Ringkasan!D11</f>
        <v>#N/A</v>
      </c>
      <c r="E12" s="64" t="str">
        <f>Ringkasan!E11</f>
        <v>IDXSMC-LIQ</v>
      </c>
      <c r="F12" s="64" t="str">
        <f>Ringkasan!F11</f>
        <v>4 Agustus 2026</v>
      </c>
      <c r="G12" s="64">
        <f>Ringkasan!G11</f>
        <v>2</v>
      </c>
      <c r="H12" s="19">
        <f>Ringkasan!H11</f>
        <v>8</v>
      </c>
      <c r="I12" s="19">
        <f>Ringkasan!I11</f>
        <v>0.51</v>
      </c>
      <c r="J12" s="19">
        <f>Ringkasan!J11</f>
        <v>6.4</v>
      </c>
      <c r="K12" s="19">
        <f>Ringkasan!K11</f>
        <v>5.6</v>
      </c>
      <c r="L12" s="19">
        <f>Ringkasan!L11</f>
        <v>0.14</v>
      </c>
      <c r="M12" s="19">
        <f>Ringkasan!M11</f>
        <v>20.9</v>
      </c>
      <c r="N12" s="64" t="str">
        <f>Ringkasan!N11</f>
        <v/>
      </c>
      <c r="O12" s="64" t="str">
        <f>Ringkasan!O11</f>
        <v/>
      </c>
      <c r="P12" s="64" t="str">
        <f>Ringkasan!P11</f>
        <v/>
      </c>
      <c r="Q12" s="64" t="str">
        <f>Ringkasan!Q11</f>
        <v/>
      </c>
      <c r="R12" s="64" t="str">
        <f>Ringkasan!R11</f>
        <v/>
      </c>
      <c r="S12" s="64" t="str">
        <f>Ringkasan!S11</f>
        <v/>
      </c>
      <c r="T12" s="64" t="str">
        <f>Ringkasan!T11</f>
        <v/>
      </c>
      <c r="U12" s="64">
        <f>Ringkasan!U11</f>
        <v>6050</v>
      </c>
      <c r="V12" s="64">
        <f>Ringkasan!V11</f>
        <v>2.07</v>
      </c>
      <c r="W12" s="64">
        <f>Ringkasan!W11</f>
        <v>6075</v>
      </c>
      <c r="X12" s="64">
        <f>Ringkasan!X11</f>
        <v>6325</v>
      </c>
      <c r="Y12" s="64">
        <f>Ringkasan!Y11</f>
        <v>6025</v>
      </c>
      <c r="Z12" s="64">
        <f>Ringkasan!Z11</f>
        <v>3068700</v>
      </c>
      <c r="AA12" s="64" t="str">
        <f>Ringkasan!AA11</f>
        <v>Agricultural Products</v>
      </c>
      <c r="AB12" s="64" t="str">
        <f>Ringkasan!AB11</f>
        <v>Consumer Non-Cyclicals</v>
      </c>
    </row>
    <row r="13" hidden="1">
      <c r="A13" s="64" t="str">
        <f>Ringkasan!A12</f>
        <v>AALI</v>
      </c>
      <c r="B13" s="64" t="str">
        <f>Ringkasan!B12</f>
        <v>Astra Agro Lestari Tbk</v>
      </c>
      <c r="C13" s="65">
        <f>Ringkasan!C12</f>
        <v>6175</v>
      </c>
      <c r="D13" s="64" t="str">
        <f>Ringkasan!D12</f>
        <v>#N/A</v>
      </c>
      <c r="E13" s="64" t="str">
        <f>Ringkasan!E12</f>
        <v>Investor33</v>
      </c>
      <c r="F13" s="66">
        <f>Ringkasan!F12</f>
        <v>46356</v>
      </c>
      <c r="G13" s="64">
        <f>Ringkasan!G12</f>
        <v>2</v>
      </c>
      <c r="H13" s="19">
        <f>Ringkasan!H12</f>
        <v>8</v>
      </c>
      <c r="I13" s="19">
        <f>Ringkasan!I12</f>
        <v>0.51</v>
      </c>
      <c r="J13" s="19">
        <f>Ringkasan!J12</f>
        <v>6.4</v>
      </c>
      <c r="K13" s="19">
        <f>Ringkasan!K12</f>
        <v>5.6</v>
      </c>
      <c r="L13" s="19">
        <f>Ringkasan!L12</f>
        <v>0.14</v>
      </c>
      <c r="M13" s="19">
        <f>Ringkasan!M12</f>
        <v>20.9</v>
      </c>
      <c r="N13" s="64" t="str">
        <f>Ringkasan!N12</f>
        <v/>
      </c>
      <c r="O13" s="64" t="str">
        <f>Ringkasan!O12</f>
        <v/>
      </c>
      <c r="P13" s="64" t="str">
        <f>Ringkasan!P12</f>
        <v/>
      </c>
      <c r="Q13" s="64" t="str">
        <f>Ringkasan!Q12</f>
        <v/>
      </c>
      <c r="R13" s="64" t="str">
        <f>Ringkasan!R12</f>
        <v/>
      </c>
      <c r="S13" s="64" t="str">
        <f>Ringkasan!S12</f>
        <v/>
      </c>
      <c r="T13" s="64" t="str">
        <f>Ringkasan!T12</f>
        <v/>
      </c>
      <c r="U13" s="64">
        <f>Ringkasan!U12</f>
        <v>6050</v>
      </c>
      <c r="V13" s="64">
        <f>Ringkasan!V12</f>
        <v>2.07</v>
      </c>
      <c r="W13" s="64">
        <f>Ringkasan!W12</f>
        <v>6075</v>
      </c>
      <c r="X13" s="64">
        <f>Ringkasan!X12</f>
        <v>6325</v>
      </c>
      <c r="Y13" s="64">
        <f>Ringkasan!Y12</f>
        <v>6025</v>
      </c>
      <c r="Z13" s="64">
        <f>Ringkasan!Z12</f>
        <v>3068700</v>
      </c>
      <c r="AA13" s="64" t="str">
        <f>Ringkasan!AA12</f>
        <v>Agricultural Products</v>
      </c>
      <c r="AB13" s="64" t="str">
        <f>Ringkasan!AB12</f>
        <v>Consumer Non-Cyclicals</v>
      </c>
    </row>
    <row r="14" hidden="1">
      <c r="A14" s="64" t="str">
        <f>Ringkasan!A230</f>
        <v>BBCA</v>
      </c>
      <c r="B14" s="64" t="str">
        <f>Ringkasan!B230</f>
        <v>Bank Central Asia Tbk.</v>
      </c>
      <c r="C14" s="65" t="str">
        <f>Ringkasan!C230</f>
        <v>#N/A</v>
      </c>
      <c r="D14" s="64" t="str">
        <f>Ringkasan!D230</f>
        <v>#N/A</v>
      </c>
      <c r="E14" s="64" t="str">
        <f>Ringkasan!E230</f>
        <v>MNC36</v>
      </c>
      <c r="F14" s="64" t="str">
        <f>Ringkasan!F230</f>
        <v>30 Oktober 2026</v>
      </c>
      <c r="G14" s="64">
        <f>Ringkasan!G230</f>
        <v>21</v>
      </c>
      <c r="H14" s="19">
        <f>Ringkasan!H230</f>
        <v>12.1</v>
      </c>
      <c r="I14" s="19">
        <f>Ringkasan!I230</f>
        <v>2.7</v>
      </c>
      <c r="J14" s="19">
        <f>Ringkasan!J230</f>
        <v>22.4</v>
      </c>
      <c r="K14" s="19">
        <f>Ringkasan!K230</f>
        <v>3.5</v>
      </c>
      <c r="L14" s="19">
        <f>Ringkasan!L230</f>
        <v>5.3</v>
      </c>
      <c r="M14" s="19">
        <f>Ringkasan!M230</f>
        <v>220</v>
      </c>
      <c r="N14" s="64">
        <f>Ringkasan!N230</f>
        <v>5.33</v>
      </c>
      <c r="O14" s="64">
        <f>Ringkasan!O230</f>
        <v>27.52</v>
      </c>
      <c r="P14" s="64">
        <f>Ringkasan!P230</f>
        <v>74.1</v>
      </c>
      <c r="Q14" s="64">
        <f>Ringkasan!Q230</f>
        <v>1.85</v>
      </c>
      <c r="R14" s="64">
        <f>Ringkasan!R230</f>
        <v>39.87</v>
      </c>
      <c r="S14" s="64">
        <f>Ringkasan!S230</f>
        <v>27.32</v>
      </c>
      <c r="T14" s="64">
        <f>Ringkasan!T230</f>
        <v>2.09</v>
      </c>
      <c r="U14" s="64">
        <f>Ringkasan!U230</f>
        <v>100.74</v>
      </c>
      <c r="V14" s="64">
        <f>Ringkasan!V230</f>
        <v>0.51</v>
      </c>
      <c r="W14" s="64">
        <f>Ringkasan!W230</f>
        <v>100.94</v>
      </c>
      <c r="X14" s="64">
        <f>Ringkasan!X230</f>
        <v>101.77</v>
      </c>
      <c r="Y14" s="64">
        <f>Ringkasan!Y230</f>
        <v>100.74</v>
      </c>
      <c r="Z14" s="64">
        <f>Ringkasan!Z230</f>
        <v>51924</v>
      </c>
      <c r="AA14" s="64" t="str">
        <f>Ringkasan!AA230</f>
        <v>Banks</v>
      </c>
      <c r="AB14" s="64" t="str">
        <f>Ringkasan!AB230</f>
        <v>Financials</v>
      </c>
    </row>
    <row r="15" hidden="1">
      <c r="A15" s="60" t="str">
        <f>Ringkasan!A653</f>
        <v>ELTY</v>
      </c>
      <c r="B15" s="60" t="str">
        <f>Ringkasan!B653</f>
        <v>Bakrieland Development Tbk.</v>
      </c>
      <c r="C15" s="61">
        <f>Ringkasan!C653</f>
        <v>26</v>
      </c>
      <c r="D15" s="60" t="str">
        <f>Ringkasan!D653</f>
        <v>#N/A</v>
      </c>
      <c r="E15" s="60" t="str">
        <f>Ringkasan!E653</f>
        <v/>
      </c>
      <c r="F15" s="60" t="str">
        <f>Ringkasan!F653</f>
        <v/>
      </c>
      <c r="G15" s="60">
        <f>Ringkasan!G653</f>
        <v>0</v>
      </c>
      <c r="H15" s="62">
        <f>Ringkasan!H653</f>
        <v>220</v>
      </c>
      <c r="I15" s="62">
        <f>Ringkasan!I653</f>
        <v>0.23</v>
      </c>
      <c r="J15" s="62">
        <f>Ringkasan!J653</f>
        <v>0.1</v>
      </c>
      <c r="K15" s="62">
        <f>Ringkasan!K653</f>
        <v>0.07</v>
      </c>
      <c r="L15" s="62">
        <f>Ringkasan!L653</f>
        <v>0.44</v>
      </c>
      <c r="M15" s="62">
        <f>Ringkasan!M653</f>
        <v>1.8</v>
      </c>
      <c r="N15" s="60" t="str">
        <f>Ringkasan!N653</f>
        <v/>
      </c>
      <c r="O15" s="60" t="str">
        <f>Ringkasan!O653</f>
        <v/>
      </c>
      <c r="P15" s="60" t="str">
        <f>Ringkasan!P653</f>
        <v/>
      </c>
      <c r="Q15" s="60" t="str">
        <f>Ringkasan!Q653</f>
        <v/>
      </c>
      <c r="R15" s="60" t="str">
        <f>Ringkasan!R653</f>
        <v/>
      </c>
      <c r="S15" s="60" t="str">
        <f>Ringkasan!S653</f>
        <v/>
      </c>
      <c r="T15" s="60" t="str">
        <f>Ringkasan!T653</f>
        <v/>
      </c>
      <c r="U15" s="60">
        <f>Ringkasan!U653</f>
        <v>24</v>
      </c>
      <c r="V15" s="60">
        <f>Ringkasan!V653</f>
        <v>8.33</v>
      </c>
      <c r="W15" s="60">
        <f>Ringkasan!W653</f>
        <v>24</v>
      </c>
      <c r="X15" s="60">
        <f>Ringkasan!X653</f>
        <v>26</v>
      </c>
      <c r="Y15" s="60">
        <f>Ringkasan!Y653</f>
        <v>24</v>
      </c>
      <c r="Z15" s="60">
        <f>Ringkasan!Z653</f>
        <v>97653700</v>
      </c>
      <c r="AA15" s="60" t="str">
        <f>Ringkasan!AA653</f>
        <v>Real Estate Management &amp; Development</v>
      </c>
      <c r="AB15" s="60" t="str">
        <f>Ringkasan!AB653</f>
        <v>Properties &amp; Real Estate</v>
      </c>
    </row>
    <row r="16" hidden="1">
      <c r="A16" s="64" t="str">
        <f>Ringkasan!A15</f>
        <v>ABMM</v>
      </c>
      <c r="B16" s="64" t="str">
        <f>Ringkasan!B15</f>
        <v>ABM Investama Tbk</v>
      </c>
      <c r="C16" s="65">
        <f>Ringkasan!C15</f>
        <v>2420</v>
      </c>
      <c r="D16" s="64" t="str">
        <f>Ringkasan!D15</f>
        <v>#N/A</v>
      </c>
      <c r="E16" s="64" t="str">
        <f>Ringkasan!E15</f>
        <v/>
      </c>
      <c r="F16" s="64" t="str">
        <f>Ringkasan!F15</f>
        <v/>
      </c>
      <c r="G16" s="64">
        <f>Ringkasan!G15</f>
        <v>0</v>
      </c>
      <c r="H16" s="19">
        <f>Ringkasan!H15</f>
        <v>6.2</v>
      </c>
      <c r="I16" s="19">
        <f>Ringkasan!I15</f>
        <v>0.43</v>
      </c>
      <c r="J16" s="19">
        <f>Ringkasan!J15</f>
        <v>7.1</v>
      </c>
      <c r="K16" s="19">
        <f>Ringkasan!K15</f>
        <v>3.1</v>
      </c>
      <c r="L16" s="19">
        <f>Ringkasan!L15</f>
        <v>1.3</v>
      </c>
      <c r="M16" s="19">
        <f>Ringkasan!M15</f>
        <v>28.4</v>
      </c>
      <c r="N16" s="64" t="str">
        <f>Ringkasan!N15</f>
        <v/>
      </c>
      <c r="O16" s="64" t="str">
        <f>Ringkasan!O15</f>
        <v/>
      </c>
      <c r="P16" s="64" t="str">
        <f>Ringkasan!P15</f>
        <v/>
      </c>
      <c r="Q16" s="64" t="str">
        <f>Ringkasan!Q15</f>
        <v/>
      </c>
      <c r="R16" s="64" t="str">
        <f>Ringkasan!R15</f>
        <v/>
      </c>
      <c r="S16" s="64" t="str">
        <f>Ringkasan!S15</f>
        <v/>
      </c>
      <c r="T16" s="64" t="str">
        <f>Ringkasan!T15</f>
        <v/>
      </c>
      <c r="U16" s="64">
        <f>Ringkasan!U15</f>
        <v>2300</v>
      </c>
      <c r="V16" s="64">
        <f>Ringkasan!V15</f>
        <v>5.22</v>
      </c>
      <c r="W16" s="64">
        <f>Ringkasan!W15</f>
        <v>2300</v>
      </c>
      <c r="X16" s="64" t="str">
        <f>Ringkasan!X15</f>
        <v/>
      </c>
      <c r="Y16" s="64">
        <f>Ringkasan!Y15</f>
        <v>2300</v>
      </c>
      <c r="Z16" s="64">
        <f>Ringkasan!Z15</f>
        <v>739300</v>
      </c>
      <c r="AA16" s="64" t="str">
        <f>Ringkasan!AA15</f>
        <v>Multi-sector Holdings</v>
      </c>
      <c r="AB16" s="64" t="str">
        <f>Ringkasan!AB15</f>
        <v>Industrials</v>
      </c>
    </row>
    <row r="17" hidden="1">
      <c r="A17" s="64" t="str">
        <f>Ringkasan!A16</f>
        <v>ACES</v>
      </c>
      <c r="B17" s="64" t="str">
        <f>Ringkasan!B16</f>
        <v>Aspirasi Hidup Indonesia Tbk.</v>
      </c>
      <c r="C17" s="65">
        <f>Ringkasan!C16</f>
        <v>356</v>
      </c>
      <c r="D17" s="64" t="str">
        <f>Ringkasan!D16</f>
        <v>#N/A</v>
      </c>
      <c r="E17" s="64" t="str">
        <f>Ringkasan!E16</f>
        <v>ESGQKEHATI</v>
      </c>
      <c r="F17" s="66">
        <f>Ringkasan!F16</f>
        <v>46356</v>
      </c>
      <c r="G17" s="65">
        <f>Ringkasan!G16</f>
        <v>11</v>
      </c>
      <c r="H17" s="19">
        <f>Ringkasan!H16</f>
        <v>8.6</v>
      </c>
      <c r="I17" s="19">
        <f>Ringkasan!I16</f>
        <v>0.88</v>
      </c>
      <c r="J17" s="19">
        <f>Ringkasan!J16</f>
        <v>10.2</v>
      </c>
      <c r="K17" s="19">
        <f>Ringkasan!K16</f>
        <v>8</v>
      </c>
      <c r="L17" s="19">
        <f>Ringkasan!L16</f>
        <v>0.28</v>
      </c>
      <c r="M17" s="19">
        <f>Ringkasan!M16</f>
        <v>29.4</v>
      </c>
      <c r="N17" s="64" t="str">
        <f>Ringkasan!N16</f>
        <v/>
      </c>
      <c r="O17" s="64" t="str">
        <f>Ringkasan!O16</f>
        <v/>
      </c>
      <c r="P17" s="64" t="str">
        <f>Ringkasan!P16</f>
        <v/>
      </c>
      <c r="Q17" s="64" t="str">
        <f>Ringkasan!Q16</f>
        <v/>
      </c>
      <c r="R17" s="64" t="str">
        <f>Ringkasan!R16</f>
        <v/>
      </c>
      <c r="S17" s="64" t="str">
        <f>Ringkasan!S16</f>
        <v/>
      </c>
      <c r="T17" s="64" t="str">
        <f>Ringkasan!T16</f>
        <v/>
      </c>
      <c r="U17" s="64">
        <f>Ringkasan!U16</f>
        <v>36.5</v>
      </c>
      <c r="V17" s="64">
        <f>Ringkasan!V16</f>
        <v>1.12</v>
      </c>
      <c r="W17" s="64">
        <f>Ringkasan!W16</f>
        <v>36.6</v>
      </c>
      <c r="X17" s="64">
        <f>Ringkasan!X16</f>
        <v>36.98</v>
      </c>
      <c r="Y17" s="64">
        <f>Ringkasan!Y16</f>
        <v>36.6</v>
      </c>
      <c r="Z17" s="64">
        <f>Ringkasan!Z16</f>
        <v>846</v>
      </c>
      <c r="AA17" s="64" t="str">
        <f>Ringkasan!AA16</f>
        <v>Specialty Retail</v>
      </c>
      <c r="AB17" s="64" t="str">
        <f>Ringkasan!AB16</f>
        <v>Consumer Cyclicals</v>
      </c>
    </row>
    <row r="18" hidden="1">
      <c r="A18" s="64" t="str">
        <f>Ringkasan!A17</f>
        <v>ACES</v>
      </c>
      <c r="B18" s="64" t="str">
        <f>Ringkasan!B17</f>
        <v>Aspirasi Hidup Indonesia Tbk.</v>
      </c>
      <c r="C18" s="65">
        <f>Ringkasan!C17</f>
        <v>356</v>
      </c>
      <c r="D18" s="64" t="str">
        <f>Ringkasan!D17</f>
        <v>#N/A</v>
      </c>
      <c r="E18" s="64" t="str">
        <f>Ringkasan!E17</f>
        <v>IDXHIDIV20</v>
      </c>
      <c r="F18" s="64" t="str">
        <f>Ringkasan!F17</f>
        <v>2 Februari 2027</v>
      </c>
      <c r="G18" s="65">
        <f>Ringkasan!G17</f>
        <v>11</v>
      </c>
      <c r="H18" s="19">
        <f>Ringkasan!H17</f>
        <v>8.6</v>
      </c>
      <c r="I18" s="19">
        <f>Ringkasan!I17</f>
        <v>0.88</v>
      </c>
      <c r="J18" s="19">
        <f>Ringkasan!J17</f>
        <v>10.2</v>
      </c>
      <c r="K18" s="19">
        <f>Ringkasan!K17</f>
        <v>8</v>
      </c>
      <c r="L18" s="19">
        <f>Ringkasan!L17</f>
        <v>0.28</v>
      </c>
      <c r="M18" s="19">
        <f>Ringkasan!M17</f>
        <v>29.4</v>
      </c>
      <c r="N18" s="64" t="str">
        <f>Ringkasan!N17</f>
        <v/>
      </c>
      <c r="O18" s="64" t="str">
        <f>Ringkasan!O17</f>
        <v/>
      </c>
      <c r="P18" s="64" t="str">
        <f>Ringkasan!P17</f>
        <v/>
      </c>
      <c r="Q18" s="64" t="str">
        <f>Ringkasan!Q17</f>
        <v/>
      </c>
      <c r="R18" s="64" t="str">
        <f>Ringkasan!R17</f>
        <v/>
      </c>
      <c r="S18" s="64" t="str">
        <f>Ringkasan!S17</f>
        <v/>
      </c>
      <c r="T18" s="64" t="str">
        <f>Ringkasan!T17</f>
        <v/>
      </c>
      <c r="U18" s="64">
        <f>Ringkasan!U17</f>
        <v>36.5</v>
      </c>
      <c r="V18" s="64">
        <f>Ringkasan!V17</f>
        <v>1.12</v>
      </c>
      <c r="W18" s="64">
        <f>Ringkasan!W17</f>
        <v>36.6</v>
      </c>
      <c r="X18" s="64">
        <f>Ringkasan!X17</f>
        <v>36.98</v>
      </c>
      <c r="Y18" s="64">
        <f>Ringkasan!Y17</f>
        <v>36.6</v>
      </c>
      <c r="Z18" s="64">
        <f>Ringkasan!Z17</f>
        <v>846</v>
      </c>
      <c r="AA18" s="64" t="str">
        <f>Ringkasan!AA17</f>
        <v>Specialty Retail</v>
      </c>
      <c r="AB18" s="64" t="str">
        <f>Ringkasan!AB17</f>
        <v>Consumer Cyclicals</v>
      </c>
    </row>
    <row r="19" hidden="1">
      <c r="A19" s="64" t="str">
        <f>Ringkasan!A18</f>
        <v>ACES</v>
      </c>
      <c r="B19" s="64" t="str">
        <f>Ringkasan!B18</f>
        <v>Aspirasi Hidup Indonesia Tbk.</v>
      </c>
      <c r="C19" s="65">
        <f>Ringkasan!C18</f>
        <v>356</v>
      </c>
      <c r="D19" s="64" t="str">
        <f>Ringkasan!D18</f>
        <v>#N/A</v>
      </c>
      <c r="E19" s="64" t="str">
        <f>Ringkasan!E18</f>
        <v>IDX80</v>
      </c>
      <c r="F19" s="64" t="str">
        <f>Ringkasan!F18</f>
        <v>31 Juli 2026</v>
      </c>
      <c r="G19" s="65">
        <f>Ringkasan!G18</f>
        <v>11</v>
      </c>
      <c r="H19" s="19">
        <f>Ringkasan!H18</f>
        <v>8.6</v>
      </c>
      <c r="I19" s="19">
        <f>Ringkasan!I18</f>
        <v>0.88</v>
      </c>
      <c r="J19" s="19">
        <f>Ringkasan!J18</f>
        <v>10.2</v>
      </c>
      <c r="K19" s="19">
        <f>Ringkasan!K18</f>
        <v>8</v>
      </c>
      <c r="L19" s="19">
        <f>Ringkasan!L18</f>
        <v>0.28</v>
      </c>
      <c r="M19" s="19">
        <f>Ringkasan!M18</f>
        <v>29.4</v>
      </c>
      <c r="N19" s="64" t="str">
        <f>Ringkasan!N18</f>
        <v/>
      </c>
      <c r="O19" s="64" t="str">
        <f>Ringkasan!O18</f>
        <v/>
      </c>
      <c r="P19" s="64" t="str">
        <f>Ringkasan!P18</f>
        <v/>
      </c>
      <c r="Q19" s="64" t="str">
        <f>Ringkasan!Q18</f>
        <v/>
      </c>
      <c r="R19" s="64" t="str">
        <f>Ringkasan!R18</f>
        <v/>
      </c>
      <c r="S19" s="64" t="str">
        <f>Ringkasan!S18</f>
        <v/>
      </c>
      <c r="T19" s="64" t="str">
        <f>Ringkasan!T18</f>
        <v/>
      </c>
      <c r="U19" s="64">
        <f>Ringkasan!U18</f>
        <v>36.5</v>
      </c>
      <c r="V19" s="64">
        <f>Ringkasan!V18</f>
        <v>1.12</v>
      </c>
      <c r="W19" s="64">
        <f>Ringkasan!W18</f>
        <v>36.6</v>
      </c>
      <c r="X19" s="64">
        <f>Ringkasan!X18</f>
        <v>36.98</v>
      </c>
      <c r="Y19" s="64">
        <f>Ringkasan!Y18</f>
        <v>36.6</v>
      </c>
      <c r="Z19" s="64">
        <f>Ringkasan!Z18</f>
        <v>846</v>
      </c>
      <c r="AA19" s="64" t="str">
        <f>Ringkasan!AA18</f>
        <v>Specialty Retail</v>
      </c>
      <c r="AB19" s="64" t="str">
        <f>Ringkasan!AB18</f>
        <v>Consumer Cyclicals</v>
      </c>
    </row>
    <row r="20" hidden="1">
      <c r="A20" s="64" t="str">
        <f>Ringkasan!A683</f>
        <v>ERAA</v>
      </c>
      <c r="B20" s="64" t="str">
        <f>Ringkasan!B683</f>
        <v>Erajaya Swasembada Tbk.</v>
      </c>
      <c r="C20" s="65">
        <f>Ringkasan!C683</f>
        <v>364</v>
      </c>
      <c r="D20" s="64" t="str">
        <f>Ringkasan!D683</f>
        <v>#N/A</v>
      </c>
      <c r="E20" s="64" t="str">
        <f>Ringkasan!E683</f>
        <v>IDXSHAGROW</v>
      </c>
      <c r="F20" s="66">
        <f>Ringkasan!F683</f>
        <v>46356</v>
      </c>
      <c r="G20" s="64">
        <f>Ringkasan!G683</f>
        <v>10</v>
      </c>
      <c r="H20" s="19">
        <f>Ringkasan!H683</f>
        <v>4.1</v>
      </c>
      <c r="I20" s="19">
        <f>Ringkasan!I683</f>
        <v>0.54</v>
      </c>
      <c r="J20" s="19">
        <f>Ringkasan!J683</f>
        <v>13.2</v>
      </c>
      <c r="K20" s="19">
        <f>Ringkasan!K683</f>
        <v>4.6</v>
      </c>
      <c r="L20" s="19">
        <f>Ringkasan!L683</f>
        <v>1.9</v>
      </c>
      <c r="M20" s="19">
        <f>Ringkasan!M683</f>
        <v>6.5</v>
      </c>
      <c r="N20" s="64" t="str">
        <f>Ringkasan!N683</f>
        <v/>
      </c>
      <c r="O20" s="64" t="str">
        <f>Ringkasan!O683</f>
        <v/>
      </c>
      <c r="P20" s="64" t="str">
        <f>Ringkasan!P683</f>
        <v/>
      </c>
      <c r="Q20" s="64" t="str">
        <f>Ringkasan!Q683</f>
        <v/>
      </c>
      <c r="R20" s="64" t="str">
        <f>Ringkasan!R683</f>
        <v/>
      </c>
      <c r="S20" s="64" t="str">
        <f>Ringkasan!S683</f>
        <v/>
      </c>
      <c r="T20" s="64" t="str">
        <f>Ringkasan!T683</f>
        <v/>
      </c>
      <c r="U20" s="64" t="str">
        <f>Ringkasan!U683</f>
        <v/>
      </c>
      <c r="V20" s="64">
        <f>Ringkasan!V683</f>
        <v>2.82</v>
      </c>
      <c r="W20" s="64">
        <f>Ringkasan!W683</f>
        <v>356</v>
      </c>
      <c r="X20" s="64">
        <f>Ringkasan!X683</f>
        <v>370</v>
      </c>
      <c r="Y20" s="64">
        <f>Ringkasan!Y683</f>
        <v>356</v>
      </c>
      <c r="Z20" s="64">
        <f>Ringkasan!Z683</f>
        <v>16043800</v>
      </c>
      <c r="AA20" s="64" t="str">
        <f>Ringkasan!AA683</f>
        <v>Specialty Retail</v>
      </c>
      <c r="AB20" s="64" t="str">
        <f>Ringkasan!AB683</f>
        <v>Consumer Cyclicals</v>
      </c>
    </row>
    <row r="21" hidden="1">
      <c r="A21" s="64" t="str">
        <f>Ringkasan!A20</f>
        <v>ACES</v>
      </c>
      <c r="B21" s="64" t="str">
        <f>Ringkasan!B20</f>
        <v>Aspirasi Hidup Indonesia Tbk.</v>
      </c>
      <c r="C21" s="65">
        <f>Ringkasan!C20</f>
        <v>356</v>
      </c>
      <c r="D21" s="64" t="str">
        <f>Ringkasan!D20</f>
        <v>#N/A</v>
      </c>
      <c r="E21" s="64" t="str">
        <f>Ringkasan!E20</f>
        <v>ECONOMIC30</v>
      </c>
      <c r="F21" s="64" t="str">
        <f>Ringkasan!F20</f>
        <v>31 Agustus 2026</v>
      </c>
      <c r="G21" s="65">
        <f>Ringkasan!G20</f>
        <v>11</v>
      </c>
      <c r="H21" s="19">
        <f>Ringkasan!H20</f>
        <v>8.6</v>
      </c>
      <c r="I21" s="19">
        <f>Ringkasan!I20</f>
        <v>0.88</v>
      </c>
      <c r="J21" s="19">
        <f>Ringkasan!J20</f>
        <v>10.2</v>
      </c>
      <c r="K21" s="19">
        <f>Ringkasan!K20</f>
        <v>8</v>
      </c>
      <c r="L21" s="19">
        <f>Ringkasan!L20</f>
        <v>0.28</v>
      </c>
      <c r="M21" s="19">
        <f>Ringkasan!M20</f>
        <v>29.4</v>
      </c>
      <c r="N21" s="64" t="str">
        <f>Ringkasan!N20</f>
        <v/>
      </c>
      <c r="O21" s="64" t="str">
        <f>Ringkasan!O20</f>
        <v/>
      </c>
      <c r="P21" s="64" t="str">
        <f>Ringkasan!P20</f>
        <v/>
      </c>
      <c r="Q21" s="64" t="str">
        <f>Ringkasan!Q20</f>
        <v/>
      </c>
      <c r="R21" s="64" t="str">
        <f>Ringkasan!R20</f>
        <v/>
      </c>
      <c r="S21" s="64" t="str">
        <f>Ringkasan!S20</f>
        <v/>
      </c>
      <c r="T21" s="64" t="str">
        <f>Ringkasan!T20</f>
        <v/>
      </c>
      <c r="U21" s="64">
        <f>Ringkasan!U20</f>
        <v>36.5</v>
      </c>
      <c r="V21" s="64">
        <f>Ringkasan!V20</f>
        <v>1.12</v>
      </c>
      <c r="W21" s="64">
        <f>Ringkasan!W20</f>
        <v>36.6</v>
      </c>
      <c r="X21" s="64">
        <f>Ringkasan!X20</f>
        <v>36.98</v>
      </c>
      <c r="Y21" s="64">
        <f>Ringkasan!Y20</f>
        <v>36.6</v>
      </c>
      <c r="Z21" s="64">
        <f>Ringkasan!Z20</f>
        <v>846</v>
      </c>
      <c r="AA21" s="64" t="str">
        <f>Ringkasan!AA20</f>
        <v>Specialty Retail</v>
      </c>
      <c r="AB21" s="64" t="str">
        <f>Ringkasan!AB20</f>
        <v>Consumer Cyclicals</v>
      </c>
    </row>
    <row r="22" hidden="1">
      <c r="A22" s="64" t="str">
        <f>Ringkasan!A21</f>
        <v>ACES</v>
      </c>
      <c r="B22" s="64" t="str">
        <f>Ringkasan!B21</f>
        <v>Aspirasi Hidup Indonesia Tbk.</v>
      </c>
      <c r="C22" s="65">
        <f>Ringkasan!C21</f>
        <v>356</v>
      </c>
      <c r="D22" s="64" t="str">
        <f>Ringkasan!D21</f>
        <v>#N/A</v>
      </c>
      <c r="E22" s="64" t="str">
        <f>Ringkasan!E21</f>
        <v>Kompas100</v>
      </c>
      <c r="F22" s="64" t="str">
        <f>Ringkasan!F21</f>
        <v>31 Juli 2026</v>
      </c>
      <c r="G22" s="65">
        <f>Ringkasan!G21</f>
        <v>11</v>
      </c>
      <c r="H22" s="19">
        <f>Ringkasan!H21</f>
        <v>8.6</v>
      </c>
      <c r="I22" s="19">
        <f>Ringkasan!I21</f>
        <v>0.88</v>
      </c>
      <c r="J22" s="19">
        <f>Ringkasan!J21</f>
        <v>10.2</v>
      </c>
      <c r="K22" s="19">
        <f>Ringkasan!K21</f>
        <v>8</v>
      </c>
      <c r="L22" s="19">
        <f>Ringkasan!L21</f>
        <v>0.28</v>
      </c>
      <c r="M22" s="19">
        <f>Ringkasan!M21</f>
        <v>29.4</v>
      </c>
      <c r="N22" s="64" t="str">
        <f>Ringkasan!N21</f>
        <v/>
      </c>
      <c r="O22" s="64" t="str">
        <f>Ringkasan!O21</f>
        <v/>
      </c>
      <c r="P22" s="64" t="str">
        <f>Ringkasan!P21</f>
        <v/>
      </c>
      <c r="Q22" s="64" t="str">
        <f>Ringkasan!Q21</f>
        <v/>
      </c>
      <c r="R22" s="64" t="str">
        <f>Ringkasan!R21</f>
        <v/>
      </c>
      <c r="S22" s="64" t="str">
        <f>Ringkasan!S21</f>
        <v/>
      </c>
      <c r="T22" s="64" t="str">
        <f>Ringkasan!T21</f>
        <v/>
      </c>
      <c r="U22" s="64">
        <f>Ringkasan!U21</f>
        <v>36.5</v>
      </c>
      <c r="V22" s="64">
        <f>Ringkasan!V21</f>
        <v>1.12</v>
      </c>
      <c r="W22" s="64">
        <f>Ringkasan!W21</f>
        <v>36.6</v>
      </c>
      <c r="X22" s="64">
        <f>Ringkasan!X21</f>
        <v>36.98</v>
      </c>
      <c r="Y22" s="64">
        <f>Ringkasan!Y21</f>
        <v>36.6</v>
      </c>
      <c r="Z22" s="64">
        <f>Ringkasan!Z21</f>
        <v>846</v>
      </c>
      <c r="AA22" s="64" t="str">
        <f>Ringkasan!AA21</f>
        <v>Specialty Retail</v>
      </c>
      <c r="AB22" s="64" t="str">
        <f>Ringkasan!AB21</f>
        <v>Consumer Cyclicals</v>
      </c>
    </row>
    <row r="23" hidden="1">
      <c r="A23" s="64" t="str">
        <f>Ringkasan!A22</f>
        <v>ACES</v>
      </c>
      <c r="B23" s="64" t="str">
        <f>Ringkasan!B22</f>
        <v>Aspirasi Hidup Indonesia Tbk.</v>
      </c>
      <c r="C23" s="65">
        <f>Ringkasan!C22</f>
        <v>356</v>
      </c>
      <c r="D23" s="64" t="str">
        <f>Ringkasan!D22</f>
        <v>#N/A</v>
      </c>
      <c r="E23" s="64" t="str">
        <f>Ringkasan!E22</f>
        <v>IDXQ30</v>
      </c>
      <c r="F23" s="64" t="str">
        <f>Ringkasan!F22</f>
        <v>4 Agustus 2026</v>
      </c>
      <c r="G23" s="65">
        <f>Ringkasan!G22</f>
        <v>11</v>
      </c>
      <c r="H23" s="19">
        <f>Ringkasan!H22</f>
        <v>8.6</v>
      </c>
      <c r="I23" s="19">
        <f>Ringkasan!I22</f>
        <v>0.88</v>
      </c>
      <c r="J23" s="19">
        <f>Ringkasan!J22</f>
        <v>10.2</v>
      </c>
      <c r="K23" s="19">
        <f>Ringkasan!K22</f>
        <v>8</v>
      </c>
      <c r="L23" s="19">
        <f>Ringkasan!L22</f>
        <v>0.28</v>
      </c>
      <c r="M23" s="19">
        <f>Ringkasan!M22</f>
        <v>29.4</v>
      </c>
      <c r="N23" s="64" t="str">
        <f>Ringkasan!N22</f>
        <v/>
      </c>
      <c r="O23" s="64" t="str">
        <f>Ringkasan!O22</f>
        <v/>
      </c>
      <c r="P23" s="64" t="str">
        <f>Ringkasan!P22</f>
        <v/>
      </c>
      <c r="Q23" s="64" t="str">
        <f>Ringkasan!Q22</f>
        <v/>
      </c>
      <c r="R23" s="64" t="str">
        <f>Ringkasan!R22</f>
        <v/>
      </c>
      <c r="S23" s="64" t="str">
        <f>Ringkasan!S22</f>
        <v/>
      </c>
      <c r="T23" s="64" t="str">
        <f>Ringkasan!T22</f>
        <v/>
      </c>
      <c r="U23" s="64">
        <f>Ringkasan!U22</f>
        <v>36.5</v>
      </c>
      <c r="V23" s="64">
        <f>Ringkasan!V22</f>
        <v>1.12</v>
      </c>
      <c r="W23" s="64">
        <f>Ringkasan!W22</f>
        <v>36.6</v>
      </c>
      <c r="X23" s="64">
        <f>Ringkasan!X22</f>
        <v>36.98</v>
      </c>
      <c r="Y23" s="64">
        <f>Ringkasan!Y22</f>
        <v>36.6</v>
      </c>
      <c r="Z23" s="64">
        <f>Ringkasan!Z22</f>
        <v>846</v>
      </c>
      <c r="AA23" s="64" t="str">
        <f>Ringkasan!AA22</f>
        <v>Specialty Retail</v>
      </c>
      <c r="AB23" s="64" t="str">
        <f>Ringkasan!AB22</f>
        <v>Consumer Cyclicals</v>
      </c>
    </row>
    <row r="24" hidden="1">
      <c r="A24" s="64" t="str">
        <f>Ringkasan!A23</f>
        <v>ACES</v>
      </c>
      <c r="B24" s="64" t="str">
        <f>Ringkasan!B23</f>
        <v>Aspirasi Hidup Indonesia Tbk.</v>
      </c>
      <c r="C24" s="65">
        <f>Ringkasan!C23</f>
        <v>356</v>
      </c>
      <c r="D24" s="64" t="str">
        <f>Ringkasan!D23</f>
        <v>#N/A</v>
      </c>
      <c r="E24" s="64" t="str">
        <f>Ringkasan!E23</f>
        <v>IDXSMC-LIQ</v>
      </c>
      <c r="F24" s="64" t="str">
        <f>Ringkasan!F23</f>
        <v>4 Agustus 2026</v>
      </c>
      <c r="G24" s="65">
        <f>Ringkasan!G23</f>
        <v>11</v>
      </c>
      <c r="H24" s="19">
        <f>Ringkasan!H23</f>
        <v>8.6</v>
      </c>
      <c r="I24" s="19">
        <f>Ringkasan!I23</f>
        <v>0.88</v>
      </c>
      <c r="J24" s="19">
        <f>Ringkasan!J23</f>
        <v>10.2</v>
      </c>
      <c r="K24" s="19">
        <f>Ringkasan!K23</f>
        <v>8</v>
      </c>
      <c r="L24" s="19">
        <f>Ringkasan!L23</f>
        <v>0.28</v>
      </c>
      <c r="M24" s="19">
        <f>Ringkasan!M23</f>
        <v>29.4</v>
      </c>
      <c r="N24" s="64" t="str">
        <f>Ringkasan!N23</f>
        <v/>
      </c>
      <c r="O24" s="64" t="str">
        <f>Ringkasan!O23</f>
        <v/>
      </c>
      <c r="P24" s="64" t="str">
        <f>Ringkasan!P23</f>
        <v/>
      </c>
      <c r="Q24" s="64" t="str">
        <f>Ringkasan!Q23</f>
        <v/>
      </c>
      <c r="R24" s="64" t="str">
        <f>Ringkasan!R23</f>
        <v/>
      </c>
      <c r="S24" s="64" t="str">
        <f>Ringkasan!S23</f>
        <v/>
      </c>
      <c r="T24" s="64" t="str">
        <f>Ringkasan!T23</f>
        <v/>
      </c>
      <c r="U24" s="64">
        <f>Ringkasan!U23</f>
        <v>36.5</v>
      </c>
      <c r="V24" s="64">
        <f>Ringkasan!V23</f>
        <v>1.12</v>
      </c>
      <c r="W24" s="64">
        <f>Ringkasan!W23</f>
        <v>36.6</v>
      </c>
      <c r="X24" s="64">
        <f>Ringkasan!X23</f>
        <v>36.98</v>
      </c>
      <c r="Y24" s="64">
        <f>Ringkasan!Y23</f>
        <v>36.6</v>
      </c>
      <c r="Z24" s="64">
        <f>Ringkasan!Z23</f>
        <v>846</v>
      </c>
      <c r="AA24" s="64" t="str">
        <f>Ringkasan!AA23</f>
        <v>Specialty Retail</v>
      </c>
      <c r="AB24" s="64" t="str">
        <f>Ringkasan!AB23</f>
        <v>Consumer Cyclicals</v>
      </c>
    </row>
    <row r="25" hidden="1">
      <c r="A25" s="64" t="str">
        <f>Ringkasan!A24</f>
        <v>ACES</v>
      </c>
      <c r="B25" s="64" t="str">
        <f>Ringkasan!B24</f>
        <v>Aspirasi Hidup Indonesia Tbk.</v>
      </c>
      <c r="C25" s="65">
        <f>Ringkasan!C24</f>
        <v>356</v>
      </c>
      <c r="D25" s="64" t="str">
        <f>Ringkasan!D24</f>
        <v>#N/A</v>
      </c>
      <c r="E25" s="64" t="str">
        <f>Ringkasan!E24</f>
        <v>IDXV30</v>
      </c>
      <c r="F25" s="64" t="str">
        <f>Ringkasan!F24</f>
        <v>4 Agustus 2026</v>
      </c>
      <c r="G25" s="65">
        <f>Ringkasan!G24</f>
        <v>11</v>
      </c>
      <c r="H25" s="19">
        <f>Ringkasan!H24</f>
        <v>8.6</v>
      </c>
      <c r="I25" s="19">
        <f>Ringkasan!I24</f>
        <v>0.88</v>
      </c>
      <c r="J25" s="19">
        <f>Ringkasan!J24</f>
        <v>10.2</v>
      </c>
      <c r="K25" s="19">
        <f>Ringkasan!K24</f>
        <v>8</v>
      </c>
      <c r="L25" s="19">
        <f>Ringkasan!L24</f>
        <v>0.28</v>
      </c>
      <c r="M25" s="19">
        <f>Ringkasan!M24</f>
        <v>29.4</v>
      </c>
      <c r="N25" s="64" t="str">
        <f>Ringkasan!N24</f>
        <v/>
      </c>
      <c r="O25" s="64" t="str">
        <f>Ringkasan!O24</f>
        <v/>
      </c>
      <c r="P25" s="64" t="str">
        <f>Ringkasan!P24</f>
        <v/>
      </c>
      <c r="Q25" s="64" t="str">
        <f>Ringkasan!Q24</f>
        <v/>
      </c>
      <c r="R25" s="64" t="str">
        <f>Ringkasan!R24</f>
        <v/>
      </c>
      <c r="S25" s="64" t="str">
        <f>Ringkasan!S24</f>
        <v/>
      </c>
      <c r="T25" s="64" t="str">
        <f>Ringkasan!T24</f>
        <v/>
      </c>
      <c r="U25" s="64">
        <f>Ringkasan!U24</f>
        <v>36.5</v>
      </c>
      <c r="V25" s="64">
        <f>Ringkasan!V24</f>
        <v>1.12</v>
      </c>
      <c r="W25" s="64">
        <f>Ringkasan!W24</f>
        <v>36.6</v>
      </c>
      <c r="X25" s="64">
        <f>Ringkasan!X24</f>
        <v>36.98</v>
      </c>
      <c r="Y25" s="64">
        <f>Ringkasan!Y24</f>
        <v>36.6</v>
      </c>
      <c r="Z25" s="64">
        <f>Ringkasan!Z24</f>
        <v>846</v>
      </c>
      <c r="AA25" s="64" t="str">
        <f>Ringkasan!AA24</f>
        <v>Specialty Retail</v>
      </c>
      <c r="AB25" s="64" t="str">
        <f>Ringkasan!AB24</f>
        <v>Consumer Cyclicals</v>
      </c>
    </row>
    <row r="26" hidden="1">
      <c r="A26" s="64" t="str">
        <f>Ringkasan!A25</f>
        <v>ACES</v>
      </c>
      <c r="B26" s="64" t="str">
        <f>Ringkasan!B25</f>
        <v>Aspirasi Hidup Indonesia Tbk.</v>
      </c>
      <c r="C26" s="65">
        <f>Ringkasan!C25</f>
        <v>356</v>
      </c>
      <c r="D26" s="64" t="str">
        <f>Ringkasan!D25</f>
        <v>#N/A</v>
      </c>
      <c r="E26" s="64" t="str">
        <f>Ringkasan!E25</f>
        <v>ESGSKEHATI</v>
      </c>
      <c r="F26" s="66">
        <f>Ringkasan!F25</f>
        <v>46356</v>
      </c>
      <c r="G26" s="65">
        <f>Ringkasan!G25</f>
        <v>11</v>
      </c>
      <c r="H26" s="19">
        <f>Ringkasan!H25</f>
        <v>8.6</v>
      </c>
      <c r="I26" s="19">
        <f>Ringkasan!I25</f>
        <v>0.88</v>
      </c>
      <c r="J26" s="19">
        <f>Ringkasan!J25</f>
        <v>10.2</v>
      </c>
      <c r="K26" s="19">
        <f>Ringkasan!K25</f>
        <v>8</v>
      </c>
      <c r="L26" s="19">
        <f>Ringkasan!L25</f>
        <v>0.28</v>
      </c>
      <c r="M26" s="19">
        <f>Ringkasan!M25</f>
        <v>29.4</v>
      </c>
      <c r="N26" s="64" t="str">
        <f>Ringkasan!N25</f>
        <v/>
      </c>
      <c r="O26" s="64" t="str">
        <f>Ringkasan!O25</f>
        <v/>
      </c>
      <c r="P26" s="64" t="str">
        <f>Ringkasan!P25</f>
        <v/>
      </c>
      <c r="Q26" s="64" t="str">
        <f>Ringkasan!Q25</f>
        <v/>
      </c>
      <c r="R26" s="64" t="str">
        <f>Ringkasan!R25</f>
        <v/>
      </c>
      <c r="S26" s="64" t="str">
        <f>Ringkasan!S25</f>
        <v/>
      </c>
      <c r="T26" s="64" t="str">
        <f>Ringkasan!T25</f>
        <v/>
      </c>
      <c r="U26" s="64">
        <f>Ringkasan!U25</f>
        <v>36.5</v>
      </c>
      <c r="V26" s="64">
        <f>Ringkasan!V25</f>
        <v>1.12</v>
      </c>
      <c r="W26" s="64">
        <f>Ringkasan!W25</f>
        <v>36.6</v>
      </c>
      <c r="X26" s="64">
        <f>Ringkasan!X25</f>
        <v>36.98</v>
      </c>
      <c r="Y26" s="64">
        <f>Ringkasan!Y25</f>
        <v>36.6</v>
      </c>
      <c r="Z26" s="64">
        <f>Ringkasan!Z25</f>
        <v>846</v>
      </c>
      <c r="AA26" s="64" t="str">
        <f>Ringkasan!AA25</f>
        <v>Specialty Retail</v>
      </c>
      <c r="AB26" s="64" t="str">
        <f>Ringkasan!AB25</f>
        <v>Consumer Cyclicals</v>
      </c>
    </row>
    <row r="27" hidden="1">
      <c r="A27" s="64" t="str">
        <f>Ringkasan!A26</f>
        <v>ACES</v>
      </c>
      <c r="B27" s="64" t="str">
        <f>Ringkasan!B26</f>
        <v>Aspirasi Hidup Indonesia Tbk.</v>
      </c>
      <c r="C27" s="65">
        <f>Ringkasan!C26</f>
        <v>356</v>
      </c>
      <c r="D27" s="64" t="str">
        <f>Ringkasan!D26</f>
        <v>#N/A</v>
      </c>
      <c r="E27" s="64" t="str">
        <f>Ringkasan!E26</f>
        <v>JII70</v>
      </c>
      <c r="F27" s="66">
        <f>Ringkasan!F26</f>
        <v>46356</v>
      </c>
      <c r="G27" s="65">
        <f>Ringkasan!G26</f>
        <v>11</v>
      </c>
      <c r="H27" s="19">
        <f>Ringkasan!H26</f>
        <v>8.6</v>
      </c>
      <c r="I27" s="19">
        <f>Ringkasan!I26</f>
        <v>0.88</v>
      </c>
      <c r="J27" s="19">
        <f>Ringkasan!J26</f>
        <v>10.2</v>
      </c>
      <c r="K27" s="19">
        <f>Ringkasan!K26</f>
        <v>8</v>
      </c>
      <c r="L27" s="19">
        <f>Ringkasan!L26</f>
        <v>0.28</v>
      </c>
      <c r="M27" s="19">
        <f>Ringkasan!M26</f>
        <v>29.4</v>
      </c>
      <c r="N27" s="64" t="str">
        <f>Ringkasan!N26</f>
        <v/>
      </c>
      <c r="O27" s="64" t="str">
        <f>Ringkasan!O26</f>
        <v/>
      </c>
      <c r="P27" s="64" t="str">
        <f>Ringkasan!P26</f>
        <v/>
      </c>
      <c r="Q27" s="64" t="str">
        <f>Ringkasan!Q26</f>
        <v/>
      </c>
      <c r="R27" s="64" t="str">
        <f>Ringkasan!R26</f>
        <v/>
      </c>
      <c r="S27" s="64" t="str">
        <f>Ringkasan!S26</f>
        <v/>
      </c>
      <c r="T27" s="64" t="str">
        <f>Ringkasan!T26</f>
        <v/>
      </c>
      <c r="U27" s="64">
        <f>Ringkasan!U26</f>
        <v>36.5</v>
      </c>
      <c r="V27" s="64">
        <f>Ringkasan!V26</f>
        <v>1.12</v>
      </c>
      <c r="W27" s="64">
        <f>Ringkasan!W26</f>
        <v>36.6</v>
      </c>
      <c r="X27" s="64">
        <f>Ringkasan!X26</f>
        <v>36.98</v>
      </c>
      <c r="Y27" s="64">
        <f>Ringkasan!Y26</f>
        <v>36.6</v>
      </c>
      <c r="Z27" s="64">
        <f>Ringkasan!Z26</f>
        <v>846</v>
      </c>
      <c r="AA27" s="64" t="str">
        <f>Ringkasan!AA26</f>
        <v>Specialty Retail</v>
      </c>
      <c r="AB27" s="64" t="str">
        <f>Ringkasan!AB26</f>
        <v>Consumer Cyclicals</v>
      </c>
    </row>
    <row r="28" hidden="1">
      <c r="A28" s="64" t="str">
        <f>Ringkasan!A753</f>
        <v>GLOB</v>
      </c>
      <c r="B28" s="64" t="str">
        <f>Ringkasan!B753</f>
        <v>Globe Kita Terang Tbk.</v>
      </c>
      <c r="C28" s="65">
        <f>Ringkasan!C753</f>
        <v>155</v>
      </c>
      <c r="D28" s="64" t="str">
        <f>Ringkasan!D753</f>
        <v>#N/A</v>
      </c>
      <c r="E28" s="64" t="str">
        <f>Ringkasan!E753</f>
        <v/>
      </c>
      <c r="F28" s="64" t="str">
        <f>Ringkasan!F753</f>
        <v/>
      </c>
      <c r="G28" s="64">
        <f>Ringkasan!G753</f>
        <v>0</v>
      </c>
      <c r="H28" s="19">
        <f>Ringkasan!H753</f>
        <v>-1.6</v>
      </c>
      <c r="I28" s="19">
        <f>Ringkasan!I753</f>
        <v>-0.14</v>
      </c>
      <c r="J28" s="19">
        <f>Ringkasan!J753</f>
        <v>0</v>
      </c>
      <c r="K28" s="19">
        <f>Ringkasan!K753</f>
        <v>-3380</v>
      </c>
      <c r="L28" s="19">
        <f>Ringkasan!L753</f>
        <v>-1</v>
      </c>
      <c r="M28" s="19">
        <f>Ringkasan!M753</f>
        <v>-1710</v>
      </c>
      <c r="N28" s="64" t="str">
        <f>Ringkasan!N753</f>
        <v/>
      </c>
      <c r="O28" s="64" t="str">
        <f>Ringkasan!O753</f>
        <v/>
      </c>
      <c r="P28" s="64" t="str">
        <f>Ringkasan!P753</f>
        <v/>
      </c>
      <c r="Q28" s="64" t="str">
        <f>Ringkasan!Q753</f>
        <v/>
      </c>
      <c r="R28" s="64" t="str">
        <f>Ringkasan!R753</f>
        <v/>
      </c>
      <c r="S28" s="64" t="str">
        <f>Ringkasan!S753</f>
        <v/>
      </c>
      <c r="T28" s="64" t="str">
        <f>Ringkasan!T753</f>
        <v/>
      </c>
      <c r="U28" s="64">
        <f>Ringkasan!U753</f>
        <v>36.42</v>
      </c>
      <c r="V28" s="64">
        <f>Ringkasan!V753</f>
        <v>2.94</v>
      </c>
      <c r="W28" s="64">
        <f>Ringkasan!W753</f>
        <v>36.41</v>
      </c>
      <c r="X28" s="64">
        <f>Ringkasan!X753</f>
        <v>38.03</v>
      </c>
      <c r="Y28" s="64">
        <f>Ringkasan!Y753</f>
        <v>35.5</v>
      </c>
      <c r="Z28" s="64">
        <f>Ringkasan!Z753</f>
        <v>1097428</v>
      </c>
      <c r="AA28" s="64" t="str">
        <f>Ringkasan!AA753</f>
        <v>Specialty Retail</v>
      </c>
      <c r="AB28" s="64" t="str">
        <f>Ringkasan!AB753</f>
        <v>Consumer Cyclicals</v>
      </c>
    </row>
    <row r="29" hidden="1">
      <c r="A29" s="64" t="str">
        <f>Ringkasan!A853</f>
        <v>IKAN</v>
      </c>
      <c r="B29" s="64" t="str">
        <f>Ringkasan!B853</f>
        <v>Era Mandiri Cemerlang Tbk.</v>
      </c>
      <c r="C29" s="65">
        <f>Ringkasan!C853</f>
        <v>72</v>
      </c>
      <c r="D29" s="64" t="str">
        <f>Ringkasan!D853</f>
        <v>#N/A</v>
      </c>
      <c r="E29" s="64" t="str">
        <f>Ringkasan!E853</f>
        <v/>
      </c>
      <c r="F29" s="64" t="str">
        <f>Ringkasan!F853</f>
        <v/>
      </c>
      <c r="G29" s="64">
        <f>Ringkasan!G853</f>
        <v>0</v>
      </c>
      <c r="H29" s="19">
        <f>Ringkasan!H853</f>
        <v>-170</v>
      </c>
      <c r="I29" s="19">
        <f>Ringkasan!I853</f>
        <v>0.93</v>
      </c>
      <c r="J29" s="19">
        <f>Ringkasan!J853</f>
        <v>-0.55</v>
      </c>
      <c r="K29" s="19">
        <f>Ringkasan!K853</f>
        <v>-0.32</v>
      </c>
      <c r="L29" s="19">
        <f>Ringkasan!L853</f>
        <v>0.74</v>
      </c>
      <c r="M29" s="19">
        <f>Ringkasan!M853</f>
        <v>-1.4</v>
      </c>
      <c r="N29" s="64" t="str">
        <f>Ringkasan!N853</f>
        <v/>
      </c>
      <c r="O29" s="64" t="str">
        <f>Ringkasan!O853</f>
        <v/>
      </c>
      <c r="P29" s="64" t="str">
        <f>Ringkasan!P853</f>
        <v/>
      </c>
      <c r="Q29" s="64" t="str">
        <f>Ringkasan!Q853</f>
        <v/>
      </c>
      <c r="R29" s="64" t="str">
        <f>Ringkasan!R853</f>
        <v/>
      </c>
      <c r="S29" s="64" t="str">
        <f>Ringkasan!S853</f>
        <v/>
      </c>
      <c r="T29" s="64" t="str">
        <f>Ringkasan!T853</f>
        <v/>
      </c>
      <c r="U29" s="64">
        <f>Ringkasan!U853</f>
        <v>69</v>
      </c>
      <c r="V29" s="64">
        <f>Ringkasan!V853</f>
        <v>4.35</v>
      </c>
      <c r="W29" s="64">
        <f>Ringkasan!W853</f>
        <v>69</v>
      </c>
      <c r="X29" s="64">
        <f>Ringkasan!X853</f>
        <v>75</v>
      </c>
      <c r="Y29" s="64">
        <f>Ringkasan!Y853</f>
        <v>69</v>
      </c>
      <c r="Z29" s="64">
        <f>Ringkasan!Z853</f>
        <v>12352600</v>
      </c>
      <c r="AA29" s="64" t="str">
        <f>Ringkasan!AA853</f>
        <v>Agricultural Products</v>
      </c>
      <c r="AB29" s="64" t="str">
        <f>Ringkasan!AB853</f>
        <v>Consumer Non-Cyclicals</v>
      </c>
    </row>
    <row r="30" hidden="1">
      <c r="A30" s="64" t="str">
        <f>Ringkasan!A29</f>
        <v>ADCP</v>
      </c>
      <c r="B30" s="64" t="str">
        <f>Ringkasan!B29</f>
        <v>Adhi Commuter Properti Tbk.</v>
      </c>
      <c r="C30" s="65">
        <f>Ringkasan!C29</f>
        <v>50</v>
      </c>
      <c r="D30" s="64" t="str">
        <f>Ringkasan!D29</f>
        <v>#N/A</v>
      </c>
      <c r="E30" s="64" t="str">
        <f>Ringkasan!E29</f>
        <v/>
      </c>
      <c r="F30" s="64" t="str">
        <f>Ringkasan!F29</f>
        <v/>
      </c>
      <c r="G30" s="64">
        <f>Ringkasan!G29</f>
        <v>0</v>
      </c>
      <c r="H30" s="19">
        <f>Ringkasan!H29</f>
        <v>-0.52</v>
      </c>
      <c r="I30" s="19">
        <f>Ringkasan!I29</f>
        <v>2.8</v>
      </c>
      <c r="J30" s="19">
        <f>Ringkasan!J29</f>
        <v>-540</v>
      </c>
      <c r="K30" s="19">
        <f>Ringkasan!K29</f>
        <v>-42.2</v>
      </c>
      <c r="L30" s="19">
        <f>Ringkasan!L29</f>
        <v>11.9</v>
      </c>
      <c r="M30" s="19">
        <f>Ringkasan!M29</f>
        <v>-5640</v>
      </c>
      <c r="N30" s="64" t="str">
        <f>Ringkasan!N29</f>
        <v/>
      </c>
      <c r="O30" s="64" t="str">
        <f>Ringkasan!O29</f>
        <v/>
      </c>
      <c r="P30" s="64" t="str">
        <f>Ringkasan!P29</f>
        <v/>
      </c>
      <c r="Q30" s="64" t="str">
        <f>Ringkasan!Q29</f>
        <v/>
      </c>
      <c r="R30" s="64" t="str">
        <f>Ringkasan!R29</f>
        <v/>
      </c>
      <c r="S30" s="64" t="str">
        <f>Ringkasan!S29</f>
        <v/>
      </c>
      <c r="T30" s="64" t="str">
        <f>Ringkasan!T29</f>
        <v/>
      </c>
      <c r="U30" s="64">
        <f>Ringkasan!U29</f>
        <v>50</v>
      </c>
      <c r="V30" s="64">
        <f>Ringkasan!V29</f>
        <v>0</v>
      </c>
      <c r="W30" s="64" t="str">
        <f>Ringkasan!W29</f>
        <v/>
      </c>
      <c r="X30" s="64" t="str">
        <f>Ringkasan!X29</f>
        <v/>
      </c>
      <c r="Y30" s="64" t="str">
        <f>Ringkasan!Y29</f>
        <v/>
      </c>
      <c r="Z30" s="64">
        <f>Ringkasan!Z29</f>
        <v>0</v>
      </c>
      <c r="AA30" s="64" t="str">
        <f>Ringkasan!AA29</f>
        <v>Real Estate Management &amp; Development</v>
      </c>
      <c r="AB30" s="64" t="str">
        <f>Ringkasan!AB29</f>
        <v>Properties &amp; Real Estate</v>
      </c>
    </row>
    <row r="31" hidden="1">
      <c r="A31" s="64" t="str">
        <f>Ringkasan!A30</f>
        <v>ADES</v>
      </c>
      <c r="B31" s="64" t="str">
        <f>Ringkasan!B30</f>
        <v>Akasha Wira International Tbk.</v>
      </c>
      <c r="C31" s="65">
        <f>Ringkasan!C30</f>
        <v>22000</v>
      </c>
      <c r="D31" s="64" t="str">
        <f>Ringkasan!D30</f>
        <v>#N/A</v>
      </c>
      <c r="E31" s="64" t="str">
        <f>Ringkasan!E30</f>
        <v/>
      </c>
      <c r="F31" s="64" t="str">
        <f>Ringkasan!F30</f>
        <v/>
      </c>
      <c r="G31" s="64">
        <f>Ringkasan!G30</f>
        <v>0</v>
      </c>
      <c r="H31" s="19">
        <f>Ringkasan!H30</f>
        <v>14.6</v>
      </c>
      <c r="I31" s="19">
        <f>Ringkasan!I30</f>
        <v>3.8</v>
      </c>
      <c r="J31" s="19">
        <f>Ringkasan!J30</f>
        <v>26.1</v>
      </c>
      <c r="K31" s="19">
        <f>Ringkasan!K30</f>
        <v>21.6</v>
      </c>
      <c r="L31" s="19">
        <f>Ringkasan!L30</f>
        <v>0.21</v>
      </c>
      <c r="M31" s="19">
        <f>Ringkasan!M30</f>
        <v>90.3</v>
      </c>
      <c r="N31" s="64" t="str">
        <f>Ringkasan!N30</f>
        <v/>
      </c>
      <c r="O31" s="64" t="str">
        <f>Ringkasan!O30</f>
        <v/>
      </c>
      <c r="P31" s="64" t="str">
        <f>Ringkasan!P30</f>
        <v/>
      </c>
      <c r="Q31" s="64" t="str">
        <f>Ringkasan!Q30</f>
        <v/>
      </c>
      <c r="R31" s="64" t="str">
        <f>Ringkasan!R30</f>
        <v/>
      </c>
      <c r="S31" s="64" t="str">
        <f>Ringkasan!S30</f>
        <v/>
      </c>
      <c r="T31" s="64" t="str">
        <f>Ringkasan!T30</f>
        <v/>
      </c>
      <c r="U31" s="64">
        <f>Ringkasan!U30</f>
        <v>21900</v>
      </c>
      <c r="V31" s="64">
        <f>Ringkasan!V30</f>
        <v>0.46</v>
      </c>
      <c r="W31" s="64">
        <f>Ringkasan!W30</f>
        <v>21900</v>
      </c>
      <c r="X31" s="64">
        <f>Ringkasan!X30</f>
        <v>22050</v>
      </c>
      <c r="Y31" s="64">
        <f>Ringkasan!Y30</f>
        <v>21650</v>
      </c>
      <c r="Z31" s="64">
        <f>Ringkasan!Z30</f>
        <v>34900</v>
      </c>
      <c r="AA31" s="64" t="str">
        <f>Ringkasan!AA30</f>
        <v>Beverages</v>
      </c>
      <c r="AB31" s="64" t="str">
        <f>Ringkasan!AB30</f>
        <v>Consumer Non-Cyclicals</v>
      </c>
    </row>
    <row r="32" hidden="1">
      <c r="A32" s="60" t="str">
        <f>Ringkasan!A1801</f>
        <v>UNTR</v>
      </c>
      <c r="B32" s="60" t="str">
        <f>Ringkasan!B1801</f>
        <v>United Tractors Tbk.</v>
      </c>
      <c r="C32" s="61">
        <f>Ringkasan!C1801</f>
        <v>22500</v>
      </c>
      <c r="D32" s="60" t="str">
        <f>Ringkasan!D1801</f>
        <v>#N/A</v>
      </c>
      <c r="E32" s="60" t="str">
        <f>Ringkasan!E1801</f>
        <v>IDXVESTA28</v>
      </c>
      <c r="F32" s="60" t="str">
        <f>Ringkasan!F1801</f>
        <v>31 Agustus 2026</v>
      </c>
      <c r="G32" s="61">
        <f>Ringkasan!G1801</f>
        <v>20</v>
      </c>
      <c r="H32" s="62">
        <f>Ringkasan!H1801</f>
        <v>7</v>
      </c>
      <c r="I32" s="62">
        <f>Ringkasan!I1801</f>
        <v>0.84</v>
      </c>
      <c r="J32" s="62">
        <f>Ringkasan!J1801</f>
        <v>12.1</v>
      </c>
      <c r="K32" s="62">
        <f>Ringkasan!K1801</f>
        <v>6.7</v>
      </c>
      <c r="L32" s="62">
        <f>Ringkasan!L1801</f>
        <v>0.8</v>
      </c>
      <c r="M32" s="62">
        <f>Ringkasan!M1801</f>
        <v>43</v>
      </c>
      <c r="N32" s="60" t="str">
        <f>Ringkasan!N1801</f>
        <v/>
      </c>
      <c r="O32" s="60" t="str">
        <f>Ringkasan!O1801</f>
        <v/>
      </c>
      <c r="P32" s="60" t="str">
        <f>Ringkasan!P1801</f>
        <v/>
      </c>
      <c r="Q32" s="60" t="str">
        <f>Ringkasan!Q1801</f>
        <v/>
      </c>
      <c r="R32" s="60" t="str">
        <f>Ringkasan!R1801</f>
        <v/>
      </c>
      <c r="S32" s="60" t="str">
        <f>Ringkasan!S1801</f>
        <v/>
      </c>
      <c r="T32" s="60" t="str">
        <f>Ringkasan!T1801</f>
        <v/>
      </c>
      <c r="U32" s="60">
        <f>Ringkasan!U1801</f>
        <v>21750</v>
      </c>
      <c r="V32" s="60">
        <f>Ringkasan!V1801</f>
        <v>3.45</v>
      </c>
      <c r="W32" s="60">
        <f>Ringkasan!W1801</f>
        <v>21900</v>
      </c>
      <c r="X32" s="60">
        <f>Ringkasan!X1801</f>
        <v>22825</v>
      </c>
      <c r="Y32" s="60">
        <f>Ringkasan!Y1801</f>
        <v>21900</v>
      </c>
      <c r="Z32" s="60">
        <f>Ringkasan!Z1801</f>
        <v>5608900</v>
      </c>
      <c r="AA32" s="60" t="str">
        <f>Ringkasan!AA1801</f>
        <v>Machinery</v>
      </c>
      <c r="AB32" s="60" t="str">
        <f>Ringkasan!AB1801</f>
        <v>Industrials</v>
      </c>
    </row>
    <row r="33" hidden="1">
      <c r="A33" s="64" t="str">
        <f>Ringkasan!A32</f>
        <v>ADMF</v>
      </c>
      <c r="B33" s="64" t="str">
        <f>Ringkasan!B32</f>
        <v>Adira Dinamika Multi Finance Tbk.</v>
      </c>
      <c r="C33" s="65">
        <f>Ringkasan!C32</f>
        <v>8200</v>
      </c>
      <c r="D33" s="64" t="str">
        <f>Ringkasan!D32</f>
        <v>#N/A</v>
      </c>
      <c r="E33" s="64" t="str">
        <f>Ringkasan!E32</f>
        <v/>
      </c>
      <c r="F33" s="64" t="str">
        <f>Ringkasan!F32</f>
        <v/>
      </c>
      <c r="G33" s="64">
        <f>Ringkasan!G32</f>
        <v>0</v>
      </c>
      <c r="H33" s="19">
        <f>Ringkasan!H32</f>
        <v>5.9</v>
      </c>
      <c r="I33" s="19">
        <f>Ringkasan!I32</f>
        <v>0.66</v>
      </c>
      <c r="J33" s="19">
        <f>Ringkasan!J32</f>
        <v>11.2</v>
      </c>
      <c r="K33" s="19">
        <f>Ringkasan!K32</f>
        <v>4.4</v>
      </c>
      <c r="L33" s="19">
        <f>Ringkasan!L32</f>
        <v>1.6</v>
      </c>
      <c r="M33" s="19">
        <f>Ringkasan!M32</f>
        <v>64.1</v>
      </c>
      <c r="N33" s="64" t="str">
        <f>Ringkasan!N32</f>
        <v/>
      </c>
      <c r="O33" s="64" t="str">
        <f>Ringkasan!O32</f>
        <v/>
      </c>
      <c r="P33" s="64" t="str">
        <f>Ringkasan!P32</f>
        <v/>
      </c>
      <c r="Q33" s="64" t="str">
        <f>Ringkasan!Q32</f>
        <v/>
      </c>
      <c r="R33" s="64" t="str">
        <f>Ringkasan!R32</f>
        <v/>
      </c>
      <c r="S33" s="64" t="str">
        <f>Ringkasan!S32</f>
        <v/>
      </c>
      <c r="T33" s="64" t="str">
        <f>Ringkasan!T32</f>
        <v/>
      </c>
      <c r="U33" s="64">
        <f>Ringkasan!U32</f>
        <v>8050</v>
      </c>
      <c r="V33" s="64">
        <f>Ringkasan!V32</f>
        <v>1.86</v>
      </c>
      <c r="W33" s="64">
        <f>Ringkasan!W32</f>
        <v>8100</v>
      </c>
      <c r="X33" s="64">
        <f>Ringkasan!X32</f>
        <v>8300</v>
      </c>
      <c r="Y33" s="64">
        <f>Ringkasan!Y32</f>
        <v>8050</v>
      </c>
      <c r="Z33" s="64">
        <f>Ringkasan!Z32</f>
        <v>48500</v>
      </c>
      <c r="AA33" s="64" t="str">
        <f>Ringkasan!AA32</f>
        <v>Consumer Financing</v>
      </c>
      <c r="AB33" s="64" t="str">
        <f>Ringkasan!AB32</f>
        <v>Financials</v>
      </c>
    </row>
    <row r="34" hidden="1">
      <c r="A34" s="64" t="str">
        <f>Ringkasan!A33</f>
        <v>ADMG</v>
      </c>
      <c r="B34" s="64" t="str">
        <f>Ringkasan!B33</f>
        <v>Polychem Indonesia Tbk</v>
      </c>
      <c r="C34" s="65">
        <f>Ringkasan!C33</f>
        <v>200</v>
      </c>
      <c r="D34" s="64" t="str">
        <f>Ringkasan!D33</f>
        <v>#N/A</v>
      </c>
      <c r="E34" s="64" t="str">
        <f>Ringkasan!E33</f>
        <v/>
      </c>
      <c r="F34" s="64" t="str">
        <f>Ringkasan!F33</f>
        <v/>
      </c>
      <c r="G34" s="64">
        <f>Ringkasan!G33</f>
        <v>0</v>
      </c>
      <c r="H34" s="19">
        <f>Ringkasan!H33</f>
        <v>-250</v>
      </c>
      <c r="I34" s="19">
        <f>Ringkasan!I33</f>
        <v>0.43</v>
      </c>
      <c r="J34" s="19">
        <f>Ringkasan!J33</f>
        <v>-0.17</v>
      </c>
      <c r="K34" s="19">
        <f>Ringkasan!K33</f>
        <v>-0.13</v>
      </c>
      <c r="L34" s="19">
        <f>Ringkasan!L33</f>
        <v>0.37</v>
      </c>
      <c r="M34" s="19">
        <f>Ringkasan!M33</f>
        <v>-0.61</v>
      </c>
      <c r="N34" s="64" t="str">
        <f>Ringkasan!N33</f>
        <v/>
      </c>
      <c r="O34" s="64" t="str">
        <f>Ringkasan!O33</f>
        <v/>
      </c>
      <c r="P34" s="64" t="str">
        <f>Ringkasan!P33</f>
        <v/>
      </c>
      <c r="Q34" s="64" t="str">
        <f>Ringkasan!Q33</f>
        <v/>
      </c>
      <c r="R34" s="64" t="str">
        <f>Ringkasan!R33</f>
        <v/>
      </c>
      <c r="S34" s="64" t="str">
        <f>Ringkasan!S33</f>
        <v/>
      </c>
      <c r="T34" s="64" t="str">
        <f>Ringkasan!T33</f>
        <v/>
      </c>
      <c r="U34" s="64">
        <f>Ringkasan!U33</f>
        <v>0.12</v>
      </c>
      <c r="V34" s="64">
        <f>Ringkasan!V33</f>
        <v>0</v>
      </c>
      <c r="W34" s="64" t="str">
        <f>Ringkasan!W33</f>
        <v/>
      </c>
      <c r="X34" s="64" t="str">
        <f>Ringkasan!X33</f>
        <v/>
      </c>
      <c r="Y34" s="64" t="str">
        <f>Ringkasan!Y33</f>
        <v/>
      </c>
      <c r="Z34" s="64">
        <f>Ringkasan!Z33</f>
        <v>0</v>
      </c>
      <c r="AA34" s="64" t="str">
        <f>Ringkasan!AA33</f>
        <v>Chemicals</v>
      </c>
      <c r="AB34" s="64" t="str">
        <f>Ringkasan!AB33</f>
        <v>Basic Materials</v>
      </c>
    </row>
    <row r="35">
      <c r="A35" s="60" t="str">
        <f>Ringkasan!A34</f>
        <v>ADMR</v>
      </c>
      <c r="B35" s="60" t="str">
        <f>Ringkasan!B34</f>
        <v>Alamtri Minerals Indonesia Tbk.</v>
      </c>
      <c r="C35" s="61">
        <f>Ringkasan!C34</f>
        <v>1575</v>
      </c>
      <c r="D35" s="60" t="str">
        <f>Ringkasan!D34</f>
        <v>#N/A</v>
      </c>
      <c r="E35" s="60" t="str">
        <f>Ringkasan!E34</f>
        <v>IDXQ30</v>
      </c>
      <c r="F35" s="60" t="str">
        <f>Ringkasan!F34</f>
        <v>4 Agustus 2026</v>
      </c>
      <c r="G35" s="60">
        <f>Ringkasan!G34</f>
        <v>9</v>
      </c>
      <c r="H35" s="62">
        <f>Ringkasan!H34</f>
        <v>12.6</v>
      </c>
      <c r="I35" s="62">
        <f>Ringkasan!I34</f>
        <v>2</v>
      </c>
      <c r="J35" s="62">
        <f>Ringkasan!J34</f>
        <v>16.2</v>
      </c>
      <c r="K35" s="62">
        <f>Ringkasan!K34</f>
        <v>9.1</v>
      </c>
      <c r="L35" s="62">
        <f>Ringkasan!L34</f>
        <v>0.78</v>
      </c>
      <c r="M35" s="62">
        <f>Ringkasan!M34</f>
        <v>110</v>
      </c>
      <c r="N35" s="60" t="str">
        <f>Ringkasan!N34</f>
        <v/>
      </c>
      <c r="O35" s="60" t="str">
        <f>Ringkasan!O34</f>
        <v/>
      </c>
      <c r="P35" s="60" t="str">
        <f>Ringkasan!P34</f>
        <v/>
      </c>
      <c r="Q35" s="60" t="str">
        <f>Ringkasan!Q34</f>
        <v/>
      </c>
      <c r="R35" s="60" t="str">
        <f>Ringkasan!R34</f>
        <v/>
      </c>
      <c r="S35" s="60" t="str">
        <f>Ringkasan!S34</f>
        <v/>
      </c>
      <c r="T35" s="60" t="str">
        <f>Ringkasan!T34</f>
        <v/>
      </c>
      <c r="U35" s="60">
        <f>Ringkasan!U34</f>
        <v>1465</v>
      </c>
      <c r="V35" s="60">
        <f>Ringkasan!V34</f>
        <v>7.51</v>
      </c>
      <c r="W35" s="60">
        <f>Ringkasan!W34</f>
        <v>1495</v>
      </c>
      <c r="X35" s="60">
        <f>Ringkasan!X34</f>
        <v>1640</v>
      </c>
      <c r="Y35" s="60">
        <f>Ringkasan!Y34</f>
        <v>1485</v>
      </c>
      <c r="Z35" s="60">
        <f>Ringkasan!Z34</f>
        <v>43266800</v>
      </c>
      <c r="AA35" s="60" t="str">
        <f>Ringkasan!AA34</f>
        <v>Coal</v>
      </c>
      <c r="AB35" s="60" t="str">
        <f>Ringkasan!AB34</f>
        <v>Energy</v>
      </c>
    </row>
    <row r="36">
      <c r="A36" s="60" t="str">
        <f>Ringkasan!A35</f>
        <v>ADMR</v>
      </c>
      <c r="B36" s="60" t="str">
        <f>Ringkasan!B35</f>
        <v>Alamtri Minerals Indonesia Tbk.</v>
      </c>
      <c r="C36" s="61">
        <f>Ringkasan!C35</f>
        <v>1575</v>
      </c>
      <c r="D36" s="60" t="str">
        <f>Ringkasan!D35</f>
        <v>#N/A</v>
      </c>
      <c r="E36" s="60" t="str">
        <f>Ringkasan!E35</f>
        <v>Kompas100</v>
      </c>
      <c r="F36" s="60" t="str">
        <f>Ringkasan!F35</f>
        <v>31 Juli 2026</v>
      </c>
      <c r="G36" s="60">
        <f>Ringkasan!G35</f>
        <v>9</v>
      </c>
      <c r="H36" s="62">
        <f>Ringkasan!H35</f>
        <v>12.6</v>
      </c>
      <c r="I36" s="62">
        <f>Ringkasan!I35</f>
        <v>2</v>
      </c>
      <c r="J36" s="62">
        <f>Ringkasan!J35</f>
        <v>16.2</v>
      </c>
      <c r="K36" s="62">
        <f>Ringkasan!K35</f>
        <v>9.1</v>
      </c>
      <c r="L36" s="62">
        <f>Ringkasan!L35</f>
        <v>0.78</v>
      </c>
      <c r="M36" s="62">
        <f>Ringkasan!M35</f>
        <v>110</v>
      </c>
      <c r="N36" s="60" t="str">
        <f>Ringkasan!N35</f>
        <v/>
      </c>
      <c r="O36" s="60" t="str">
        <f>Ringkasan!O35</f>
        <v/>
      </c>
      <c r="P36" s="60" t="str">
        <f>Ringkasan!P35</f>
        <v/>
      </c>
      <c r="Q36" s="60" t="str">
        <f>Ringkasan!Q35</f>
        <v/>
      </c>
      <c r="R36" s="60" t="str">
        <f>Ringkasan!R35</f>
        <v/>
      </c>
      <c r="S36" s="60" t="str">
        <f>Ringkasan!S35</f>
        <v/>
      </c>
      <c r="T36" s="60" t="str">
        <f>Ringkasan!T35</f>
        <v/>
      </c>
      <c r="U36" s="60">
        <f>Ringkasan!U35</f>
        <v>1465</v>
      </c>
      <c r="V36" s="60">
        <f>Ringkasan!V35</f>
        <v>7.51</v>
      </c>
      <c r="W36" s="60">
        <f>Ringkasan!W35</f>
        <v>1495</v>
      </c>
      <c r="X36" s="60">
        <f>Ringkasan!X35</f>
        <v>1640</v>
      </c>
      <c r="Y36" s="60">
        <f>Ringkasan!Y35</f>
        <v>1485</v>
      </c>
      <c r="Z36" s="60">
        <f>Ringkasan!Z35</f>
        <v>43266800</v>
      </c>
      <c r="AA36" s="60" t="str">
        <f>Ringkasan!AA35</f>
        <v>Coal</v>
      </c>
      <c r="AB36" s="60" t="str">
        <f>Ringkasan!AB35</f>
        <v>Energy</v>
      </c>
    </row>
    <row r="37">
      <c r="A37" s="60" t="str">
        <f>Ringkasan!A36</f>
        <v>ADMR</v>
      </c>
      <c r="B37" s="60" t="str">
        <f>Ringkasan!B36</f>
        <v>Alamtri Minerals Indonesia Tbk.</v>
      </c>
      <c r="C37" s="61">
        <f>Ringkasan!C36</f>
        <v>1575</v>
      </c>
      <c r="D37" s="60" t="str">
        <f>Ringkasan!D36</f>
        <v>#N/A</v>
      </c>
      <c r="E37" s="60" t="str">
        <f>Ringkasan!E36</f>
        <v>LQ45</v>
      </c>
      <c r="F37" s="60" t="str">
        <f>Ringkasan!F36</f>
        <v>31 Juli 2026</v>
      </c>
      <c r="G37" s="60">
        <f>Ringkasan!G36</f>
        <v>9</v>
      </c>
      <c r="H37" s="62">
        <f>Ringkasan!H36</f>
        <v>12.6</v>
      </c>
      <c r="I37" s="62">
        <f>Ringkasan!I36</f>
        <v>2</v>
      </c>
      <c r="J37" s="62">
        <f>Ringkasan!J36</f>
        <v>16.2</v>
      </c>
      <c r="K37" s="62">
        <f>Ringkasan!K36</f>
        <v>9.1</v>
      </c>
      <c r="L37" s="62">
        <f>Ringkasan!L36</f>
        <v>0.78</v>
      </c>
      <c r="M37" s="62">
        <f>Ringkasan!M36</f>
        <v>110</v>
      </c>
      <c r="N37" s="60" t="str">
        <f>Ringkasan!N36</f>
        <v/>
      </c>
      <c r="O37" s="60" t="str">
        <f>Ringkasan!O36</f>
        <v/>
      </c>
      <c r="P37" s="60" t="str">
        <f>Ringkasan!P36</f>
        <v/>
      </c>
      <c r="Q37" s="60" t="str">
        <f>Ringkasan!Q36</f>
        <v/>
      </c>
      <c r="R37" s="60" t="str">
        <f>Ringkasan!R36</f>
        <v/>
      </c>
      <c r="S37" s="60" t="str">
        <f>Ringkasan!S36</f>
        <v/>
      </c>
      <c r="T37" s="60" t="str">
        <f>Ringkasan!T36</f>
        <v/>
      </c>
      <c r="U37" s="60">
        <f>Ringkasan!U36</f>
        <v>1465</v>
      </c>
      <c r="V37" s="60">
        <f>Ringkasan!V36</f>
        <v>7.51</v>
      </c>
      <c r="W37" s="60">
        <f>Ringkasan!W36</f>
        <v>1495</v>
      </c>
      <c r="X37" s="60">
        <f>Ringkasan!X36</f>
        <v>1640</v>
      </c>
      <c r="Y37" s="60">
        <f>Ringkasan!Y36</f>
        <v>1485</v>
      </c>
      <c r="Z37" s="60">
        <f>Ringkasan!Z36</f>
        <v>43266800</v>
      </c>
      <c r="AA37" s="60" t="str">
        <f>Ringkasan!AA36</f>
        <v>Coal</v>
      </c>
      <c r="AB37" s="60" t="str">
        <f>Ringkasan!AB36</f>
        <v>Energy</v>
      </c>
    </row>
    <row r="38">
      <c r="A38" s="60" t="str">
        <f>Ringkasan!A37</f>
        <v>ADMR</v>
      </c>
      <c r="B38" s="60" t="str">
        <f>Ringkasan!B37</f>
        <v>Alamtri Minerals Indonesia Tbk.</v>
      </c>
      <c r="C38" s="61">
        <f>Ringkasan!C37</f>
        <v>1575</v>
      </c>
      <c r="D38" s="60" t="str">
        <f>Ringkasan!D37</f>
        <v>#N/A</v>
      </c>
      <c r="E38" s="60" t="str">
        <f>Ringkasan!E37</f>
        <v>IDX80</v>
      </c>
      <c r="F38" s="60" t="str">
        <f>Ringkasan!F37</f>
        <v>31 Juli 2026</v>
      </c>
      <c r="G38" s="60">
        <f>Ringkasan!G37</f>
        <v>9</v>
      </c>
      <c r="H38" s="62">
        <f>Ringkasan!H37</f>
        <v>12.6</v>
      </c>
      <c r="I38" s="62">
        <f>Ringkasan!I37</f>
        <v>2</v>
      </c>
      <c r="J38" s="62">
        <f>Ringkasan!J37</f>
        <v>16.2</v>
      </c>
      <c r="K38" s="62">
        <f>Ringkasan!K37</f>
        <v>9.1</v>
      </c>
      <c r="L38" s="62">
        <f>Ringkasan!L37</f>
        <v>0.78</v>
      </c>
      <c r="M38" s="62">
        <f>Ringkasan!M37</f>
        <v>110</v>
      </c>
      <c r="N38" s="60" t="str">
        <f>Ringkasan!N37</f>
        <v/>
      </c>
      <c r="O38" s="60" t="str">
        <f>Ringkasan!O37</f>
        <v/>
      </c>
      <c r="P38" s="60" t="str">
        <f>Ringkasan!P37</f>
        <v/>
      </c>
      <c r="Q38" s="60" t="str">
        <f>Ringkasan!Q37</f>
        <v/>
      </c>
      <c r="R38" s="60" t="str">
        <f>Ringkasan!R37</f>
        <v/>
      </c>
      <c r="S38" s="60" t="str">
        <f>Ringkasan!S37</f>
        <v/>
      </c>
      <c r="T38" s="60" t="str">
        <f>Ringkasan!T37</f>
        <v/>
      </c>
      <c r="U38" s="60">
        <f>Ringkasan!U37</f>
        <v>1465</v>
      </c>
      <c r="V38" s="60">
        <f>Ringkasan!V37</f>
        <v>7.51</v>
      </c>
      <c r="W38" s="60">
        <f>Ringkasan!W37</f>
        <v>1495</v>
      </c>
      <c r="X38" s="60">
        <f>Ringkasan!X37</f>
        <v>1640</v>
      </c>
      <c r="Y38" s="60">
        <f>Ringkasan!Y37</f>
        <v>1485</v>
      </c>
      <c r="Z38" s="60">
        <f>Ringkasan!Z37</f>
        <v>43266800</v>
      </c>
      <c r="AA38" s="60" t="str">
        <f>Ringkasan!AA37</f>
        <v>Coal</v>
      </c>
      <c r="AB38" s="60" t="str">
        <f>Ringkasan!AB37</f>
        <v>Energy</v>
      </c>
    </row>
    <row r="39">
      <c r="A39" s="60" t="str">
        <f>Ringkasan!A38</f>
        <v>ADMR</v>
      </c>
      <c r="B39" s="60" t="str">
        <f>Ringkasan!B38</f>
        <v>Alamtri Minerals Indonesia Tbk.</v>
      </c>
      <c r="C39" s="61">
        <f>Ringkasan!C38</f>
        <v>1575</v>
      </c>
      <c r="D39" s="60" t="str">
        <f>Ringkasan!D38</f>
        <v>#N/A</v>
      </c>
      <c r="E39" s="60" t="str">
        <f>Ringkasan!E38</f>
        <v>IDX30</v>
      </c>
      <c r="F39" s="60" t="str">
        <f>Ringkasan!F38</f>
        <v>31 Juli 2026</v>
      </c>
      <c r="G39" s="60">
        <f>Ringkasan!G38</f>
        <v>9</v>
      </c>
      <c r="H39" s="62">
        <f>Ringkasan!H38</f>
        <v>12.6</v>
      </c>
      <c r="I39" s="62">
        <f>Ringkasan!I38</f>
        <v>2</v>
      </c>
      <c r="J39" s="62">
        <f>Ringkasan!J38</f>
        <v>16.2</v>
      </c>
      <c r="K39" s="62">
        <f>Ringkasan!K38</f>
        <v>9.1</v>
      </c>
      <c r="L39" s="62">
        <f>Ringkasan!L38</f>
        <v>0.78</v>
      </c>
      <c r="M39" s="62">
        <f>Ringkasan!M38</f>
        <v>110</v>
      </c>
      <c r="N39" s="60" t="str">
        <f>Ringkasan!N38</f>
        <v/>
      </c>
      <c r="O39" s="60" t="str">
        <f>Ringkasan!O38</f>
        <v/>
      </c>
      <c r="P39" s="60" t="str">
        <f>Ringkasan!P38</f>
        <v/>
      </c>
      <c r="Q39" s="60" t="str">
        <f>Ringkasan!Q38</f>
        <v/>
      </c>
      <c r="R39" s="60" t="str">
        <f>Ringkasan!R38</f>
        <v/>
      </c>
      <c r="S39" s="60" t="str">
        <f>Ringkasan!S38</f>
        <v/>
      </c>
      <c r="T39" s="60" t="str">
        <f>Ringkasan!T38</f>
        <v/>
      </c>
      <c r="U39" s="60">
        <f>Ringkasan!U38</f>
        <v>1465</v>
      </c>
      <c r="V39" s="60">
        <f>Ringkasan!V38</f>
        <v>7.51</v>
      </c>
      <c r="W39" s="60">
        <f>Ringkasan!W38</f>
        <v>1495</v>
      </c>
      <c r="X39" s="60">
        <f>Ringkasan!X38</f>
        <v>1640</v>
      </c>
      <c r="Y39" s="60">
        <f>Ringkasan!Y38</f>
        <v>1485</v>
      </c>
      <c r="Z39" s="60">
        <f>Ringkasan!Z38</f>
        <v>43266800</v>
      </c>
      <c r="AA39" s="60" t="str">
        <f>Ringkasan!AA38</f>
        <v>Coal</v>
      </c>
      <c r="AB39" s="60" t="str">
        <f>Ringkasan!AB38</f>
        <v>Energy</v>
      </c>
    </row>
    <row r="40">
      <c r="A40" s="60" t="str">
        <f>Ringkasan!A39</f>
        <v>ADMR</v>
      </c>
      <c r="B40" s="60" t="str">
        <f>Ringkasan!B39</f>
        <v>Alamtri Minerals Indonesia Tbk.</v>
      </c>
      <c r="C40" s="61">
        <f>Ringkasan!C39</f>
        <v>1575</v>
      </c>
      <c r="D40" s="60" t="str">
        <f>Ringkasan!D39</f>
        <v>#N/A</v>
      </c>
      <c r="E40" s="60" t="str">
        <f>Ringkasan!E39</f>
        <v>IDXSHAGROW</v>
      </c>
      <c r="F40" s="63">
        <f>Ringkasan!F39</f>
        <v>46356</v>
      </c>
      <c r="G40" s="60">
        <f>Ringkasan!G39</f>
        <v>9</v>
      </c>
      <c r="H40" s="62">
        <f>Ringkasan!H39</f>
        <v>12.6</v>
      </c>
      <c r="I40" s="62">
        <f>Ringkasan!I39</f>
        <v>2</v>
      </c>
      <c r="J40" s="62">
        <f>Ringkasan!J39</f>
        <v>16.2</v>
      </c>
      <c r="K40" s="62">
        <f>Ringkasan!K39</f>
        <v>9.1</v>
      </c>
      <c r="L40" s="62">
        <f>Ringkasan!L39</f>
        <v>0.78</v>
      </c>
      <c r="M40" s="62">
        <f>Ringkasan!M39</f>
        <v>110</v>
      </c>
      <c r="N40" s="60" t="str">
        <f>Ringkasan!N39</f>
        <v/>
      </c>
      <c r="O40" s="60" t="str">
        <f>Ringkasan!O39</f>
        <v/>
      </c>
      <c r="P40" s="60" t="str">
        <f>Ringkasan!P39</f>
        <v/>
      </c>
      <c r="Q40" s="60" t="str">
        <f>Ringkasan!Q39</f>
        <v/>
      </c>
      <c r="R40" s="60" t="str">
        <f>Ringkasan!R39</f>
        <v/>
      </c>
      <c r="S40" s="60" t="str">
        <f>Ringkasan!S39</f>
        <v/>
      </c>
      <c r="T40" s="60" t="str">
        <f>Ringkasan!T39</f>
        <v/>
      </c>
      <c r="U40" s="60">
        <f>Ringkasan!U39</f>
        <v>1465</v>
      </c>
      <c r="V40" s="60">
        <f>Ringkasan!V39</f>
        <v>7.51</v>
      </c>
      <c r="W40" s="60">
        <f>Ringkasan!W39</f>
        <v>1495</v>
      </c>
      <c r="X40" s="60">
        <f>Ringkasan!X39</f>
        <v>1640</v>
      </c>
      <c r="Y40" s="60">
        <f>Ringkasan!Y39</f>
        <v>1485</v>
      </c>
      <c r="Z40" s="60">
        <f>Ringkasan!Z39</f>
        <v>43266800</v>
      </c>
      <c r="AA40" s="60" t="str">
        <f>Ringkasan!AA39</f>
        <v>Coal</v>
      </c>
      <c r="AB40" s="60" t="str">
        <f>Ringkasan!AB39</f>
        <v>Energy</v>
      </c>
    </row>
    <row r="41">
      <c r="A41" s="60" t="str">
        <f>Ringkasan!A40</f>
        <v>ADMR</v>
      </c>
      <c r="B41" s="60" t="str">
        <f>Ringkasan!B40</f>
        <v>Alamtri Minerals Indonesia Tbk.</v>
      </c>
      <c r="C41" s="61">
        <f>Ringkasan!C40</f>
        <v>1575</v>
      </c>
      <c r="D41" s="60" t="str">
        <f>Ringkasan!D40</f>
        <v>#N/A</v>
      </c>
      <c r="E41" s="60" t="str">
        <f>Ringkasan!E40</f>
        <v>Investor33</v>
      </c>
      <c r="F41" s="63">
        <f>Ringkasan!F40</f>
        <v>46356</v>
      </c>
      <c r="G41" s="60">
        <f>Ringkasan!G40</f>
        <v>9</v>
      </c>
      <c r="H41" s="62">
        <f>Ringkasan!H40</f>
        <v>12.6</v>
      </c>
      <c r="I41" s="62">
        <f>Ringkasan!I40</f>
        <v>2</v>
      </c>
      <c r="J41" s="62">
        <f>Ringkasan!J40</f>
        <v>16.2</v>
      </c>
      <c r="K41" s="62">
        <f>Ringkasan!K40</f>
        <v>9.1</v>
      </c>
      <c r="L41" s="62">
        <f>Ringkasan!L40</f>
        <v>0.78</v>
      </c>
      <c r="M41" s="62">
        <f>Ringkasan!M40</f>
        <v>110</v>
      </c>
      <c r="N41" s="60" t="str">
        <f>Ringkasan!N40</f>
        <v/>
      </c>
      <c r="O41" s="60" t="str">
        <f>Ringkasan!O40</f>
        <v/>
      </c>
      <c r="P41" s="60" t="str">
        <f>Ringkasan!P40</f>
        <v/>
      </c>
      <c r="Q41" s="60" t="str">
        <f>Ringkasan!Q40</f>
        <v/>
      </c>
      <c r="R41" s="60" t="str">
        <f>Ringkasan!R40</f>
        <v/>
      </c>
      <c r="S41" s="60" t="str">
        <f>Ringkasan!S40</f>
        <v/>
      </c>
      <c r="T41" s="60" t="str">
        <f>Ringkasan!T40</f>
        <v/>
      </c>
      <c r="U41" s="60">
        <f>Ringkasan!U40</f>
        <v>1465</v>
      </c>
      <c r="V41" s="60">
        <f>Ringkasan!V40</f>
        <v>7.51</v>
      </c>
      <c r="W41" s="60">
        <f>Ringkasan!W40</f>
        <v>1495</v>
      </c>
      <c r="X41" s="60">
        <f>Ringkasan!X40</f>
        <v>1640</v>
      </c>
      <c r="Y41" s="60">
        <f>Ringkasan!Y40</f>
        <v>1485</v>
      </c>
      <c r="Z41" s="60">
        <f>Ringkasan!Z40</f>
        <v>43266800</v>
      </c>
      <c r="AA41" s="60" t="str">
        <f>Ringkasan!AA40</f>
        <v>Coal</v>
      </c>
      <c r="AB41" s="60" t="str">
        <f>Ringkasan!AB40</f>
        <v>Energy</v>
      </c>
    </row>
    <row r="42">
      <c r="A42" s="60" t="str">
        <f>Ringkasan!A41</f>
        <v>ADMR</v>
      </c>
      <c r="B42" s="60" t="str">
        <f>Ringkasan!B41</f>
        <v>Alamtri Minerals Indonesia Tbk.</v>
      </c>
      <c r="C42" s="61">
        <f>Ringkasan!C41</f>
        <v>1575</v>
      </c>
      <c r="D42" s="60" t="str">
        <f>Ringkasan!D41</f>
        <v>#N/A</v>
      </c>
      <c r="E42" s="60" t="str">
        <f>Ringkasan!E41</f>
        <v>JII30</v>
      </c>
      <c r="F42" s="63">
        <f>Ringkasan!F41</f>
        <v>46356</v>
      </c>
      <c r="G42" s="61">
        <f>Ringkasan!G41</f>
        <v>9</v>
      </c>
      <c r="H42" s="62">
        <f>Ringkasan!H41</f>
        <v>12.6</v>
      </c>
      <c r="I42" s="62">
        <f>Ringkasan!I41</f>
        <v>2</v>
      </c>
      <c r="J42" s="62">
        <f>Ringkasan!J41</f>
        <v>16.2</v>
      </c>
      <c r="K42" s="62">
        <f>Ringkasan!K41</f>
        <v>9.1</v>
      </c>
      <c r="L42" s="62">
        <f>Ringkasan!L41</f>
        <v>0.78</v>
      </c>
      <c r="M42" s="62">
        <f>Ringkasan!M41</f>
        <v>110</v>
      </c>
      <c r="N42" s="60" t="str">
        <f>Ringkasan!N41</f>
        <v/>
      </c>
      <c r="O42" s="60" t="str">
        <f>Ringkasan!O41</f>
        <v/>
      </c>
      <c r="P42" s="60" t="str">
        <f>Ringkasan!P41</f>
        <v/>
      </c>
      <c r="Q42" s="60" t="str">
        <f>Ringkasan!Q41</f>
        <v/>
      </c>
      <c r="R42" s="60" t="str">
        <f>Ringkasan!R41</f>
        <v/>
      </c>
      <c r="S42" s="60" t="str">
        <f>Ringkasan!S41</f>
        <v/>
      </c>
      <c r="T42" s="60" t="str">
        <f>Ringkasan!T41</f>
        <v/>
      </c>
      <c r="U42" s="60">
        <f>Ringkasan!U41</f>
        <v>1465</v>
      </c>
      <c r="V42" s="60">
        <f>Ringkasan!V41</f>
        <v>7.51</v>
      </c>
      <c r="W42" s="60">
        <f>Ringkasan!W41</f>
        <v>1495</v>
      </c>
      <c r="X42" s="60">
        <f>Ringkasan!X41</f>
        <v>1640</v>
      </c>
      <c r="Y42" s="60">
        <f>Ringkasan!Y41</f>
        <v>1485</v>
      </c>
      <c r="Z42" s="60">
        <f>Ringkasan!Z41</f>
        <v>43266800</v>
      </c>
      <c r="AA42" s="60" t="str">
        <f>Ringkasan!AA41</f>
        <v>Coal</v>
      </c>
      <c r="AB42" s="60" t="str">
        <f>Ringkasan!AB41</f>
        <v>Energy</v>
      </c>
    </row>
    <row r="43">
      <c r="A43" s="60" t="str">
        <f>Ringkasan!A42</f>
        <v>ADMR</v>
      </c>
      <c r="B43" s="60" t="str">
        <f>Ringkasan!B42</f>
        <v>Alamtri Minerals Indonesia Tbk.</v>
      </c>
      <c r="C43" s="61">
        <f>Ringkasan!C42</f>
        <v>1575</v>
      </c>
      <c r="D43" s="60" t="str">
        <f>Ringkasan!D42</f>
        <v>#N/A</v>
      </c>
      <c r="E43" s="60" t="str">
        <f>Ringkasan!E42</f>
        <v>JII70</v>
      </c>
      <c r="F43" s="63">
        <f>Ringkasan!F42</f>
        <v>46356</v>
      </c>
      <c r="G43" s="60">
        <f>Ringkasan!G42</f>
        <v>9</v>
      </c>
      <c r="H43" s="62">
        <f>Ringkasan!H42</f>
        <v>12.6</v>
      </c>
      <c r="I43" s="62">
        <f>Ringkasan!I42</f>
        <v>2</v>
      </c>
      <c r="J43" s="62">
        <f>Ringkasan!J42</f>
        <v>16.2</v>
      </c>
      <c r="K43" s="62">
        <f>Ringkasan!K42</f>
        <v>9.1</v>
      </c>
      <c r="L43" s="62">
        <f>Ringkasan!L42</f>
        <v>0.78</v>
      </c>
      <c r="M43" s="62">
        <f>Ringkasan!M42</f>
        <v>110</v>
      </c>
      <c r="N43" s="60" t="str">
        <f>Ringkasan!N42</f>
        <v/>
      </c>
      <c r="O43" s="60" t="str">
        <f>Ringkasan!O42</f>
        <v/>
      </c>
      <c r="P43" s="60" t="str">
        <f>Ringkasan!P42</f>
        <v/>
      </c>
      <c r="Q43" s="60" t="str">
        <f>Ringkasan!Q42</f>
        <v/>
      </c>
      <c r="R43" s="60" t="str">
        <f>Ringkasan!R42</f>
        <v/>
      </c>
      <c r="S43" s="60" t="str">
        <f>Ringkasan!S42</f>
        <v/>
      </c>
      <c r="T43" s="60" t="str">
        <f>Ringkasan!T42</f>
        <v/>
      </c>
      <c r="U43" s="60">
        <f>Ringkasan!U42</f>
        <v>1465</v>
      </c>
      <c r="V43" s="60">
        <f>Ringkasan!V42</f>
        <v>7.51</v>
      </c>
      <c r="W43" s="60">
        <f>Ringkasan!W42</f>
        <v>1495</v>
      </c>
      <c r="X43" s="60">
        <f>Ringkasan!X42</f>
        <v>1640</v>
      </c>
      <c r="Y43" s="60">
        <f>Ringkasan!Y42</f>
        <v>1485</v>
      </c>
      <c r="Z43" s="60">
        <f>Ringkasan!Z42</f>
        <v>43266800</v>
      </c>
      <c r="AA43" s="60" t="str">
        <f>Ringkasan!AA42</f>
        <v>Coal</v>
      </c>
      <c r="AB43" s="60" t="str">
        <f>Ringkasan!AB42</f>
        <v>Energy</v>
      </c>
    </row>
    <row r="44" hidden="1">
      <c r="A44" s="64" t="str">
        <f>Ringkasan!A43</f>
        <v>ADRO</v>
      </c>
      <c r="B44" s="64" t="str">
        <f>Ringkasan!B43</f>
        <v>Alamtri Resources Indonesia Tbk.</v>
      </c>
      <c r="C44" s="65">
        <f>Ringkasan!C43</f>
        <v>2280</v>
      </c>
      <c r="D44" s="64" t="str">
        <f>Ringkasan!D43</f>
        <v>#N/A</v>
      </c>
      <c r="E44" s="64" t="str">
        <f>Ringkasan!E43</f>
        <v>BISNIS-27</v>
      </c>
      <c r="F44" s="64" t="str">
        <f>Ringkasan!F43</f>
        <v>30 Oktober 2026</v>
      </c>
      <c r="G44" s="64">
        <f>Ringkasan!G43</f>
        <v>14</v>
      </c>
      <c r="H44" s="19">
        <f>Ringkasan!H43</f>
        <v>8</v>
      </c>
      <c r="I44" s="19">
        <f>Ringkasan!I43</f>
        <v>0.73</v>
      </c>
      <c r="J44" s="19">
        <f>Ringkasan!J43</f>
        <v>9.1</v>
      </c>
      <c r="K44" s="19">
        <f>Ringkasan!K43</f>
        <v>6.9</v>
      </c>
      <c r="L44" s="19">
        <f>Ringkasan!L43</f>
        <v>0.32</v>
      </c>
      <c r="M44" s="19">
        <f>Ringkasan!M43</f>
        <v>110</v>
      </c>
      <c r="N44" s="64" t="str">
        <f>Ringkasan!N43</f>
        <v/>
      </c>
      <c r="O44" s="64" t="str">
        <f>Ringkasan!O43</f>
        <v/>
      </c>
      <c r="P44" s="64" t="str">
        <f>Ringkasan!P43</f>
        <v/>
      </c>
      <c r="Q44" s="64" t="str">
        <f>Ringkasan!Q43</f>
        <v/>
      </c>
      <c r="R44" s="64" t="str">
        <f>Ringkasan!R43</f>
        <v/>
      </c>
      <c r="S44" s="64" t="str">
        <f>Ringkasan!S43</f>
        <v/>
      </c>
      <c r="T44" s="64" t="str">
        <f>Ringkasan!T43</f>
        <v/>
      </c>
      <c r="U44" s="64">
        <f>Ringkasan!U43</f>
        <v>2250</v>
      </c>
      <c r="V44" s="64">
        <f>Ringkasan!V43</f>
        <v>1.33</v>
      </c>
      <c r="W44" s="64">
        <f>Ringkasan!W43</f>
        <v>2270</v>
      </c>
      <c r="X44" s="64">
        <f>Ringkasan!X43</f>
        <v>2340</v>
      </c>
      <c r="Y44" s="64">
        <f>Ringkasan!Y43</f>
        <v>2250</v>
      </c>
      <c r="Z44" s="64">
        <f>Ringkasan!Z43</f>
        <v>36917900</v>
      </c>
      <c r="AA44" s="64" t="str">
        <f>Ringkasan!AA43</f>
        <v>Coal</v>
      </c>
      <c r="AB44" s="64" t="str">
        <f>Ringkasan!AB43</f>
        <v>Energy</v>
      </c>
    </row>
    <row r="45" hidden="1">
      <c r="A45" s="64" t="str">
        <f>Ringkasan!A44</f>
        <v>ADRO</v>
      </c>
      <c r="B45" s="64" t="str">
        <f>Ringkasan!B44</f>
        <v>Alamtri Resources Indonesia Tbk.</v>
      </c>
      <c r="C45" s="65">
        <f>Ringkasan!C44</f>
        <v>2280</v>
      </c>
      <c r="D45" s="64" t="str">
        <f>Ringkasan!D44</f>
        <v>#N/A</v>
      </c>
      <c r="E45" s="64" t="str">
        <f>Ringkasan!E44</f>
        <v>IDX30</v>
      </c>
      <c r="F45" s="64" t="str">
        <f>Ringkasan!F44</f>
        <v>31 Juli 2026</v>
      </c>
      <c r="G45" s="64">
        <f>Ringkasan!G44</f>
        <v>14</v>
      </c>
      <c r="H45" s="19">
        <f>Ringkasan!H44</f>
        <v>8</v>
      </c>
      <c r="I45" s="19">
        <f>Ringkasan!I44</f>
        <v>0.73</v>
      </c>
      <c r="J45" s="19">
        <f>Ringkasan!J44</f>
        <v>9.1</v>
      </c>
      <c r="K45" s="19">
        <f>Ringkasan!K44</f>
        <v>6.9</v>
      </c>
      <c r="L45" s="19">
        <f>Ringkasan!L44</f>
        <v>0.32</v>
      </c>
      <c r="M45" s="19">
        <f>Ringkasan!M44</f>
        <v>110</v>
      </c>
      <c r="N45" s="64" t="str">
        <f>Ringkasan!N44</f>
        <v/>
      </c>
      <c r="O45" s="64" t="str">
        <f>Ringkasan!O44</f>
        <v/>
      </c>
      <c r="P45" s="64" t="str">
        <f>Ringkasan!P44</f>
        <v/>
      </c>
      <c r="Q45" s="64" t="str">
        <f>Ringkasan!Q44</f>
        <v/>
      </c>
      <c r="R45" s="64" t="str">
        <f>Ringkasan!R44</f>
        <v/>
      </c>
      <c r="S45" s="64" t="str">
        <f>Ringkasan!S44</f>
        <v/>
      </c>
      <c r="T45" s="64" t="str">
        <f>Ringkasan!T44</f>
        <v/>
      </c>
      <c r="U45" s="64">
        <f>Ringkasan!U44</f>
        <v>2250</v>
      </c>
      <c r="V45" s="64">
        <f>Ringkasan!V44</f>
        <v>1.33</v>
      </c>
      <c r="W45" s="64">
        <f>Ringkasan!W44</f>
        <v>2270</v>
      </c>
      <c r="X45" s="64">
        <f>Ringkasan!X44</f>
        <v>2340</v>
      </c>
      <c r="Y45" s="64">
        <f>Ringkasan!Y44</f>
        <v>2250</v>
      </c>
      <c r="Z45" s="64">
        <f>Ringkasan!Z44</f>
        <v>36917900</v>
      </c>
      <c r="AA45" s="64" t="str">
        <f>Ringkasan!AA44</f>
        <v>Coal</v>
      </c>
      <c r="AB45" s="64" t="str">
        <f>Ringkasan!AB44</f>
        <v>Energy</v>
      </c>
    </row>
    <row r="46" hidden="1">
      <c r="A46" s="64" t="str">
        <f>Ringkasan!A45</f>
        <v>ADRO</v>
      </c>
      <c r="B46" s="64" t="str">
        <f>Ringkasan!B45</f>
        <v>Alamtri Resources Indonesia Tbk.</v>
      </c>
      <c r="C46" s="65">
        <f>Ringkasan!C45</f>
        <v>2280</v>
      </c>
      <c r="D46" s="64" t="str">
        <f>Ringkasan!D45</f>
        <v>#N/A</v>
      </c>
      <c r="E46" s="64" t="str">
        <f>Ringkasan!E45</f>
        <v>IDX80</v>
      </c>
      <c r="F46" s="64" t="str">
        <f>Ringkasan!F45</f>
        <v>31 Juli 2026</v>
      </c>
      <c r="G46" s="64">
        <f>Ringkasan!G45</f>
        <v>14</v>
      </c>
      <c r="H46" s="19">
        <f>Ringkasan!H45</f>
        <v>8</v>
      </c>
      <c r="I46" s="19">
        <f>Ringkasan!I45</f>
        <v>0.73</v>
      </c>
      <c r="J46" s="19">
        <f>Ringkasan!J45</f>
        <v>9.1</v>
      </c>
      <c r="K46" s="19">
        <f>Ringkasan!K45</f>
        <v>6.9</v>
      </c>
      <c r="L46" s="19">
        <f>Ringkasan!L45</f>
        <v>0.32</v>
      </c>
      <c r="M46" s="19">
        <f>Ringkasan!M45</f>
        <v>110</v>
      </c>
      <c r="N46" s="64" t="str">
        <f>Ringkasan!N45</f>
        <v/>
      </c>
      <c r="O46" s="64" t="str">
        <f>Ringkasan!O45</f>
        <v/>
      </c>
      <c r="P46" s="64" t="str">
        <f>Ringkasan!P45</f>
        <v/>
      </c>
      <c r="Q46" s="64" t="str">
        <f>Ringkasan!Q45</f>
        <v/>
      </c>
      <c r="R46" s="64" t="str">
        <f>Ringkasan!R45</f>
        <v/>
      </c>
      <c r="S46" s="64" t="str">
        <f>Ringkasan!S45</f>
        <v/>
      </c>
      <c r="T46" s="64" t="str">
        <f>Ringkasan!T45</f>
        <v/>
      </c>
      <c r="U46" s="64">
        <f>Ringkasan!U45</f>
        <v>2250</v>
      </c>
      <c r="V46" s="64">
        <f>Ringkasan!V45</f>
        <v>1.33</v>
      </c>
      <c r="W46" s="64">
        <f>Ringkasan!W45</f>
        <v>2270</v>
      </c>
      <c r="X46" s="64">
        <f>Ringkasan!X45</f>
        <v>2340</v>
      </c>
      <c r="Y46" s="64">
        <f>Ringkasan!Y45</f>
        <v>2250</v>
      </c>
      <c r="Z46" s="64">
        <f>Ringkasan!Z45</f>
        <v>36917900</v>
      </c>
      <c r="AA46" s="64" t="str">
        <f>Ringkasan!AA45</f>
        <v>Coal</v>
      </c>
      <c r="AB46" s="64" t="str">
        <f>Ringkasan!AB45</f>
        <v>Energy</v>
      </c>
    </row>
    <row r="47" hidden="1">
      <c r="A47" s="64" t="str">
        <f>Ringkasan!A46</f>
        <v>ADRO</v>
      </c>
      <c r="B47" s="64" t="str">
        <f>Ringkasan!B46</f>
        <v>Alamtri Resources Indonesia Tbk.</v>
      </c>
      <c r="C47" s="65">
        <f>Ringkasan!C46</f>
        <v>2280</v>
      </c>
      <c r="D47" s="64" t="str">
        <f>Ringkasan!D46</f>
        <v>#N/A</v>
      </c>
      <c r="E47" s="64" t="str">
        <f>Ringkasan!E46</f>
        <v>IDXG30</v>
      </c>
      <c r="F47" s="64" t="str">
        <f>Ringkasan!F46</f>
        <v>4 Agustus 2026</v>
      </c>
      <c r="G47" s="64">
        <f>Ringkasan!G46</f>
        <v>14</v>
      </c>
      <c r="H47" s="19">
        <f>Ringkasan!H46</f>
        <v>8</v>
      </c>
      <c r="I47" s="19">
        <f>Ringkasan!I46</f>
        <v>0.73</v>
      </c>
      <c r="J47" s="19">
        <f>Ringkasan!J46</f>
        <v>9.1</v>
      </c>
      <c r="K47" s="19">
        <f>Ringkasan!K46</f>
        <v>6.9</v>
      </c>
      <c r="L47" s="19">
        <f>Ringkasan!L46</f>
        <v>0.32</v>
      </c>
      <c r="M47" s="19">
        <f>Ringkasan!M46</f>
        <v>110</v>
      </c>
      <c r="N47" s="64" t="str">
        <f>Ringkasan!N46</f>
        <v/>
      </c>
      <c r="O47" s="64" t="str">
        <f>Ringkasan!O46</f>
        <v/>
      </c>
      <c r="P47" s="64" t="str">
        <f>Ringkasan!P46</f>
        <v/>
      </c>
      <c r="Q47" s="64" t="str">
        <f>Ringkasan!Q46</f>
        <v/>
      </c>
      <c r="R47" s="64" t="str">
        <f>Ringkasan!R46</f>
        <v/>
      </c>
      <c r="S47" s="64" t="str">
        <f>Ringkasan!S46</f>
        <v/>
      </c>
      <c r="T47" s="64" t="str">
        <f>Ringkasan!T46</f>
        <v/>
      </c>
      <c r="U47" s="64">
        <f>Ringkasan!U46</f>
        <v>2250</v>
      </c>
      <c r="V47" s="64">
        <f>Ringkasan!V46</f>
        <v>1.33</v>
      </c>
      <c r="W47" s="64">
        <f>Ringkasan!W46</f>
        <v>2270</v>
      </c>
      <c r="X47" s="64">
        <f>Ringkasan!X46</f>
        <v>2340</v>
      </c>
      <c r="Y47" s="64">
        <f>Ringkasan!Y46</f>
        <v>2250</v>
      </c>
      <c r="Z47" s="64">
        <f>Ringkasan!Z46</f>
        <v>36917900</v>
      </c>
      <c r="AA47" s="64" t="str">
        <f>Ringkasan!AA46</f>
        <v>Coal</v>
      </c>
      <c r="AB47" s="64" t="str">
        <f>Ringkasan!AB46</f>
        <v>Energy</v>
      </c>
    </row>
    <row r="48" hidden="1">
      <c r="A48" s="64" t="str">
        <f>Ringkasan!A31</f>
        <v>ADHI</v>
      </c>
      <c r="B48" s="64" t="str">
        <f>Ringkasan!B31</f>
        <v>PT Adhi Karya (Persero) Tbk.</v>
      </c>
      <c r="C48" s="65">
        <f>Ringkasan!C31</f>
        <v>158</v>
      </c>
      <c r="D48" s="64" t="str">
        <f>Ringkasan!D31</f>
        <v>#N/A</v>
      </c>
      <c r="E48" s="64" t="str">
        <f>Ringkasan!E31</f>
        <v>IDXBUMN20</v>
      </c>
      <c r="F48" s="64" t="str">
        <f>Ringkasan!F31</f>
        <v>4 Agustus 2026</v>
      </c>
      <c r="G48" s="64">
        <f>Ringkasan!G31</f>
        <v>1</v>
      </c>
      <c r="H48" s="19">
        <f>Ringkasan!H31</f>
        <v>-0.27</v>
      </c>
      <c r="I48" s="19">
        <f>Ringkasan!I31</f>
        <v>0.41</v>
      </c>
      <c r="J48" s="19">
        <f>Ringkasan!J31</f>
        <v>-150</v>
      </c>
      <c r="K48" s="19">
        <f>Ringkasan!K31</f>
        <v>-18.7</v>
      </c>
      <c r="L48" s="19">
        <f>Ringkasan!L31</f>
        <v>7.1</v>
      </c>
      <c r="M48" s="19">
        <f>Ringkasan!M31</f>
        <v>-320</v>
      </c>
      <c r="N48" s="64" t="str">
        <f>Ringkasan!N31</f>
        <v/>
      </c>
      <c r="O48" s="64" t="str">
        <f>Ringkasan!O31</f>
        <v/>
      </c>
      <c r="P48" s="64" t="str">
        <f>Ringkasan!P31</f>
        <v/>
      </c>
      <c r="Q48" s="64" t="str">
        <f>Ringkasan!Q31</f>
        <v/>
      </c>
      <c r="R48" s="64" t="str">
        <f>Ringkasan!R31</f>
        <v/>
      </c>
      <c r="S48" s="64" t="str">
        <f>Ringkasan!S31</f>
        <v/>
      </c>
      <c r="T48" s="64" t="str">
        <f>Ringkasan!T31</f>
        <v/>
      </c>
      <c r="U48" s="64">
        <f>Ringkasan!U31</f>
        <v>0.19</v>
      </c>
      <c r="V48" s="64">
        <f>Ringkasan!V31</f>
        <v>-10.53</v>
      </c>
      <c r="W48" s="64">
        <f>Ringkasan!W31</f>
        <v>0.17</v>
      </c>
      <c r="X48" s="64">
        <f>Ringkasan!X31</f>
        <v>0.17</v>
      </c>
      <c r="Y48" s="64">
        <f>Ringkasan!Y31</f>
        <v>0.17</v>
      </c>
      <c r="Z48" s="64">
        <f>Ringkasan!Z31</f>
        <v>427</v>
      </c>
      <c r="AA48" s="64" t="str">
        <f>Ringkasan!AA31</f>
        <v>Heavy Constructions &amp; Civil Engineering</v>
      </c>
      <c r="AB48" s="64" t="str">
        <f>Ringkasan!AB31</f>
        <v>Infrastructures</v>
      </c>
    </row>
    <row r="49" hidden="1">
      <c r="A49" s="64" t="str">
        <f>Ringkasan!A48</f>
        <v>ADRO</v>
      </c>
      <c r="B49" s="64" t="str">
        <f>Ringkasan!B48</f>
        <v>Alamtri Resources Indonesia Tbk.</v>
      </c>
      <c r="C49" s="65">
        <f>Ringkasan!C48</f>
        <v>2280</v>
      </c>
      <c r="D49" s="64" t="str">
        <f>Ringkasan!D48</f>
        <v>#N/A</v>
      </c>
      <c r="E49" s="64" t="str">
        <f>Ringkasan!E48</f>
        <v>Kompas100</v>
      </c>
      <c r="F49" s="64" t="str">
        <f>Ringkasan!F48</f>
        <v>31 Juli 2026</v>
      </c>
      <c r="G49" s="64">
        <f>Ringkasan!G48</f>
        <v>14</v>
      </c>
      <c r="H49" s="19">
        <f>Ringkasan!H48</f>
        <v>8</v>
      </c>
      <c r="I49" s="19">
        <f>Ringkasan!I48</f>
        <v>0.73</v>
      </c>
      <c r="J49" s="19">
        <f>Ringkasan!J48</f>
        <v>9.1</v>
      </c>
      <c r="K49" s="19">
        <f>Ringkasan!K48</f>
        <v>6.9</v>
      </c>
      <c r="L49" s="19">
        <f>Ringkasan!L48</f>
        <v>0.32</v>
      </c>
      <c r="M49" s="19">
        <f>Ringkasan!M48</f>
        <v>110</v>
      </c>
      <c r="N49" s="64" t="str">
        <f>Ringkasan!N48</f>
        <v/>
      </c>
      <c r="O49" s="64" t="str">
        <f>Ringkasan!O48</f>
        <v/>
      </c>
      <c r="P49" s="64" t="str">
        <f>Ringkasan!P48</f>
        <v/>
      </c>
      <c r="Q49" s="64" t="str">
        <f>Ringkasan!Q48</f>
        <v/>
      </c>
      <c r="R49" s="64" t="str">
        <f>Ringkasan!R48</f>
        <v/>
      </c>
      <c r="S49" s="64" t="str">
        <f>Ringkasan!S48</f>
        <v/>
      </c>
      <c r="T49" s="64" t="str">
        <f>Ringkasan!T48</f>
        <v/>
      </c>
      <c r="U49" s="64">
        <f>Ringkasan!U48</f>
        <v>2250</v>
      </c>
      <c r="V49" s="64">
        <f>Ringkasan!V48</f>
        <v>1.33</v>
      </c>
      <c r="W49" s="64">
        <f>Ringkasan!W48</f>
        <v>2270</v>
      </c>
      <c r="X49" s="64">
        <f>Ringkasan!X48</f>
        <v>2340</v>
      </c>
      <c r="Y49" s="64">
        <f>Ringkasan!Y48</f>
        <v>2250</v>
      </c>
      <c r="Z49" s="64">
        <f>Ringkasan!Z48</f>
        <v>36917900</v>
      </c>
      <c r="AA49" s="64" t="str">
        <f>Ringkasan!AA48</f>
        <v>Coal</v>
      </c>
      <c r="AB49" s="64" t="str">
        <f>Ringkasan!AB48</f>
        <v>Energy</v>
      </c>
    </row>
    <row r="50" hidden="1">
      <c r="A50" s="64" t="str">
        <f>Ringkasan!A49</f>
        <v>ADRO</v>
      </c>
      <c r="B50" s="64" t="str">
        <f>Ringkasan!B49</f>
        <v>Alamtri Resources Indonesia Tbk.</v>
      </c>
      <c r="C50" s="65">
        <f>Ringkasan!C49</f>
        <v>2280</v>
      </c>
      <c r="D50" s="64" t="str">
        <f>Ringkasan!D49</f>
        <v>#N/A</v>
      </c>
      <c r="E50" s="64" t="str">
        <f>Ringkasan!E49</f>
        <v>LQ45</v>
      </c>
      <c r="F50" s="64" t="str">
        <f>Ringkasan!F49</f>
        <v>31 Juli 2026</v>
      </c>
      <c r="G50" s="64">
        <f>Ringkasan!G49</f>
        <v>14</v>
      </c>
      <c r="H50" s="19">
        <f>Ringkasan!H49</f>
        <v>8</v>
      </c>
      <c r="I50" s="19">
        <f>Ringkasan!I49</f>
        <v>0.73</v>
      </c>
      <c r="J50" s="19">
        <f>Ringkasan!J49</f>
        <v>9.1</v>
      </c>
      <c r="K50" s="19">
        <f>Ringkasan!K49</f>
        <v>6.9</v>
      </c>
      <c r="L50" s="19">
        <f>Ringkasan!L49</f>
        <v>0.32</v>
      </c>
      <c r="M50" s="19">
        <f>Ringkasan!M49</f>
        <v>110</v>
      </c>
      <c r="N50" s="64" t="str">
        <f>Ringkasan!N49</f>
        <v/>
      </c>
      <c r="O50" s="64" t="str">
        <f>Ringkasan!O49</f>
        <v/>
      </c>
      <c r="P50" s="64" t="str">
        <f>Ringkasan!P49</f>
        <v/>
      </c>
      <c r="Q50" s="64" t="str">
        <f>Ringkasan!Q49</f>
        <v/>
      </c>
      <c r="R50" s="64" t="str">
        <f>Ringkasan!R49</f>
        <v/>
      </c>
      <c r="S50" s="64" t="str">
        <f>Ringkasan!S49</f>
        <v/>
      </c>
      <c r="T50" s="64" t="str">
        <f>Ringkasan!T49</f>
        <v/>
      </c>
      <c r="U50" s="64">
        <f>Ringkasan!U49</f>
        <v>2250</v>
      </c>
      <c r="V50" s="64">
        <f>Ringkasan!V49</f>
        <v>1.33</v>
      </c>
      <c r="W50" s="64">
        <f>Ringkasan!W49</f>
        <v>2270</v>
      </c>
      <c r="X50" s="64">
        <f>Ringkasan!X49</f>
        <v>2340</v>
      </c>
      <c r="Y50" s="64">
        <f>Ringkasan!Y49</f>
        <v>2250</v>
      </c>
      <c r="Z50" s="64">
        <f>Ringkasan!Z49</f>
        <v>36917900</v>
      </c>
      <c r="AA50" s="64" t="str">
        <f>Ringkasan!AA49</f>
        <v>Coal</v>
      </c>
      <c r="AB50" s="64" t="str">
        <f>Ringkasan!AB49</f>
        <v>Energy</v>
      </c>
    </row>
    <row r="51" hidden="1">
      <c r="A51" s="64" t="str">
        <f>Ringkasan!A50</f>
        <v>ADRO</v>
      </c>
      <c r="B51" s="64" t="str">
        <f>Ringkasan!B50</f>
        <v>Alamtri Resources Indonesia Tbk.</v>
      </c>
      <c r="C51" s="65">
        <f>Ringkasan!C50</f>
        <v>2280</v>
      </c>
      <c r="D51" s="64" t="str">
        <f>Ringkasan!D50</f>
        <v>#N/A</v>
      </c>
      <c r="E51" s="64" t="str">
        <f>Ringkasan!E50</f>
        <v>IDXV30</v>
      </c>
      <c r="F51" s="64" t="str">
        <f>Ringkasan!F50</f>
        <v>4 Agustus 2026</v>
      </c>
      <c r="G51" s="64">
        <f>Ringkasan!G50</f>
        <v>14</v>
      </c>
      <c r="H51" s="19">
        <f>Ringkasan!H50</f>
        <v>8</v>
      </c>
      <c r="I51" s="19">
        <f>Ringkasan!I50</f>
        <v>0.73</v>
      </c>
      <c r="J51" s="19">
        <f>Ringkasan!J50</f>
        <v>9.1</v>
      </c>
      <c r="K51" s="19">
        <f>Ringkasan!K50</f>
        <v>6.9</v>
      </c>
      <c r="L51" s="19">
        <f>Ringkasan!L50</f>
        <v>0.32</v>
      </c>
      <c r="M51" s="19">
        <f>Ringkasan!M50</f>
        <v>110</v>
      </c>
      <c r="N51" s="64" t="str">
        <f>Ringkasan!N50</f>
        <v/>
      </c>
      <c r="O51" s="64" t="str">
        <f>Ringkasan!O50</f>
        <v/>
      </c>
      <c r="P51" s="64" t="str">
        <f>Ringkasan!P50</f>
        <v/>
      </c>
      <c r="Q51" s="64" t="str">
        <f>Ringkasan!Q50</f>
        <v/>
      </c>
      <c r="R51" s="64" t="str">
        <f>Ringkasan!R50</f>
        <v/>
      </c>
      <c r="S51" s="64" t="str">
        <f>Ringkasan!S50</f>
        <v/>
      </c>
      <c r="T51" s="64" t="str">
        <f>Ringkasan!T50</f>
        <v/>
      </c>
      <c r="U51" s="64">
        <f>Ringkasan!U50</f>
        <v>2250</v>
      </c>
      <c r="V51" s="64">
        <f>Ringkasan!V50</f>
        <v>1.33</v>
      </c>
      <c r="W51" s="64">
        <f>Ringkasan!W50</f>
        <v>2270</v>
      </c>
      <c r="X51" s="64">
        <f>Ringkasan!X50</f>
        <v>2340</v>
      </c>
      <c r="Y51" s="64">
        <f>Ringkasan!Y50</f>
        <v>2250</v>
      </c>
      <c r="Z51" s="64">
        <f>Ringkasan!Z50</f>
        <v>36917900</v>
      </c>
      <c r="AA51" s="64" t="str">
        <f>Ringkasan!AA50</f>
        <v>Coal</v>
      </c>
      <c r="AB51" s="64" t="str">
        <f>Ringkasan!AB50</f>
        <v>Energy</v>
      </c>
    </row>
    <row r="52" hidden="1">
      <c r="A52" s="64" t="str">
        <f>Ringkasan!A51</f>
        <v>ADRO</v>
      </c>
      <c r="B52" s="64" t="str">
        <f>Ringkasan!B51</f>
        <v>Alamtri Resources Indonesia Tbk.</v>
      </c>
      <c r="C52" s="65">
        <f>Ringkasan!C51</f>
        <v>2280</v>
      </c>
      <c r="D52" s="64" t="str">
        <f>Ringkasan!D51</f>
        <v>#N/A</v>
      </c>
      <c r="E52" s="64" t="str">
        <f>Ringkasan!E51</f>
        <v>FTSE Large Cap</v>
      </c>
      <c r="F52" s="64" t="str">
        <f>Ringkasan!F51</f>
        <v>Juni 2026</v>
      </c>
      <c r="G52" s="64">
        <f>Ringkasan!G51</f>
        <v>14</v>
      </c>
      <c r="H52" s="19">
        <f>Ringkasan!H51</f>
        <v>8</v>
      </c>
      <c r="I52" s="19">
        <f>Ringkasan!I51</f>
        <v>0.73</v>
      </c>
      <c r="J52" s="19">
        <f>Ringkasan!J51</f>
        <v>9.1</v>
      </c>
      <c r="K52" s="19">
        <f>Ringkasan!K51</f>
        <v>6.9</v>
      </c>
      <c r="L52" s="19">
        <f>Ringkasan!L51</f>
        <v>0.32</v>
      </c>
      <c r="M52" s="19">
        <f>Ringkasan!M51</f>
        <v>110</v>
      </c>
      <c r="N52" s="64" t="str">
        <f>Ringkasan!N51</f>
        <v/>
      </c>
      <c r="O52" s="64" t="str">
        <f>Ringkasan!O51</f>
        <v/>
      </c>
      <c r="P52" s="64" t="str">
        <f>Ringkasan!P51</f>
        <v/>
      </c>
      <c r="Q52" s="64" t="str">
        <f>Ringkasan!Q51</f>
        <v/>
      </c>
      <c r="R52" s="64" t="str">
        <f>Ringkasan!R51</f>
        <v/>
      </c>
      <c r="S52" s="64" t="str">
        <f>Ringkasan!S51</f>
        <v/>
      </c>
      <c r="T52" s="64" t="str">
        <f>Ringkasan!T51</f>
        <v/>
      </c>
      <c r="U52" s="64">
        <f>Ringkasan!U51</f>
        <v>2250</v>
      </c>
      <c r="V52" s="64">
        <f>Ringkasan!V51</f>
        <v>1.33</v>
      </c>
      <c r="W52" s="64">
        <f>Ringkasan!W51</f>
        <v>2270</v>
      </c>
      <c r="X52" s="64">
        <f>Ringkasan!X51</f>
        <v>2340</v>
      </c>
      <c r="Y52" s="64">
        <f>Ringkasan!Y51</f>
        <v>2250</v>
      </c>
      <c r="Z52" s="64">
        <f>Ringkasan!Z51</f>
        <v>36917900</v>
      </c>
      <c r="AA52" s="64" t="str">
        <f>Ringkasan!AA51</f>
        <v>Coal</v>
      </c>
      <c r="AB52" s="64" t="str">
        <f>Ringkasan!AB51</f>
        <v>Energy</v>
      </c>
    </row>
    <row r="53" hidden="1">
      <c r="A53" s="64" t="str">
        <f>Ringkasan!A52</f>
        <v>ADRO</v>
      </c>
      <c r="B53" s="64" t="str">
        <f>Ringkasan!B52</f>
        <v>Alamtri Resources Indonesia Tbk.</v>
      </c>
      <c r="C53" s="65">
        <f>Ringkasan!C52</f>
        <v>2280</v>
      </c>
      <c r="D53" s="64" t="str">
        <f>Ringkasan!D52</f>
        <v>#N/A</v>
      </c>
      <c r="E53" s="64" t="str">
        <f>Ringkasan!E52</f>
        <v>MSCI Small Cap</v>
      </c>
      <c r="F53" s="64" t="str">
        <f>Ringkasan!F52</f>
        <v>12 Agustus 2026</v>
      </c>
      <c r="G53" s="64">
        <f>Ringkasan!G52</f>
        <v>14</v>
      </c>
      <c r="H53" s="19">
        <f>Ringkasan!H52</f>
        <v>8</v>
      </c>
      <c r="I53" s="19">
        <f>Ringkasan!I52</f>
        <v>0.73</v>
      </c>
      <c r="J53" s="19">
        <f>Ringkasan!J52</f>
        <v>9.1</v>
      </c>
      <c r="K53" s="19">
        <f>Ringkasan!K52</f>
        <v>6.9</v>
      </c>
      <c r="L53" s="19">
        <f>Ringkasan!L52</f>
        <v>0.32</v>
      </c>
      <c r="M53" s="19">
        <f>Ringkasan!M52</f>
        <v>110</v>
      </c>
      <c r="N53" s="64" t="str">
        <f>Ringkasan!N52</f>
        <v/>
      </c>
      <c r="O53" s="64" t="str">
        <f>Ringkasan!O52</f>
        <v/>
      </c>
      <c r="P53" s="64" t="str">
        <f>Ringkasan!P52</f>
        <v/>
      </c>
      <c r="Q53" s="64" t="str">
        <f>Ringkasan!Q52</f>
        <v/>
      </c>
      <c r="R53" s="64" t="str">
        <f>Ringkasan!R52</f>
        <v/>
      </c>
      <c r="S53" s="64" t="str">
        <f>Ringkasan!S52</f>
        <v/>
      </c>
      <c r="T53" s="64" t="str">
        <f>Ringkasan!T52</f>
        <v/>
      </c>
      <c r="U53" s="64">
        <f>Ringkasan!U52</f>
        <v>2250</v>
      </c>
      <c r="V53" s="64">
        <f>Ringkasan!V52</f>
        <v>1.33</v>
      </c>
      <c r="W53" s="64">
        <f>Ringkasan!W52</f>
        <v>2270</v>
      </c>
      <c r="X53" s="64">
        <f>Ringkasan!X52</f>
        <v>2340</v>
      </c>
      <c r="Y53" s="64">
        <f>Ringkasan!Y52</f>
        <v>2250</v>
      </c>
      <c r="Z53" s="64">
        <f>Ringkasan!Z52</f>
        <v>36917900</v>
      </c>
      <c r="AA53" s="64" t="str">
        <f>Ringkasan!AA52</f>
        <v>Coal</v>
      </c>
      <c r="AB53" s="64" t="str">
        <f>Ringkasan!AB52</f>
        <v>Energy</v>
      </c>
    </row>
    <row r="54" hidden="1">
      <c r="A54" s="64" t="str">
        <f>Ringkasan!A53</f>
        <v>ADRO</v>
      </c>
      <c r="B54" s="64" t="str">
        <f>Ringkasan!B53</f>
        <v>Alamtri Resources Indonesia Tbk.</v>
      </c>
      <c r="C54" s="65">
        <f>Ringkasan!C53</f>
        <v>2280</v>
      </c>
      <c r="D54" s="64" t="str">
        <f>Ringkasan!D53</f>
        <v>#N/A</v>
      </c>
      <c r="E54" s="64" t="str">
        <f>Ringkasan!E53</f>
        <v>IDXSHAGROW</v>
      </c>
      <c r="F54" s="66">
        <f>Ringkasan!F53</f>
        <v>46356</v>
      </c>
      <c r="G54" s="64">
        <f>Ringkasan!G53</f>
        <v>14</v>
      </c>
      <c r="H54" s="19">
        <f>Ringkasan!H53</f>
        <v>8</v>
      </c>
      <c r="I54" s="19">
        <f>Ringkasan!I53</f>
        <v>0.73</v>
      </c>
      <c r="J54" s="19">
        <f>Ringkasan!J53</f>
        <v>9.1</v>
      </c>
      <c r="K54" s="19">
        <f>Ringkasan!K53</f>
        <v>6.9</v>
      </c>
      <c r="L54" s="19">
        <f>Ringkasan!L53</f>
        <v>0.32</v>
      </c>
      <c r="M54" s="19">
        <f>Ringkasan!M53</f>
        <v>110</v>
      </c>
      <c r="N54" s="64" t="str">
        <f>Ringkasan!N53</f>
        <v/>
      </c>
      <c r="O54" s="64" t="str">
        <f>Ringkasan!O53</f>
        <v/>
      </c>
      <c r="P54" s="64" t="str">
        <f>Ringkasan!P53</f>
        <v/>
      </c>
      <c r="Q54" s="64" t="str">
        <f>Ringkasan!Q53</f>
        <v/>
      </c>
      <c r="R54" s="64" t="str">
        <f>Ringkasan!R53</f>
        <v/>
      </c>
      <c r="S54" s="64" t="str">
        <f>Ringkasan!S53</f>
        <v/>
      </c>
      <c r="T54" s="64" t="str">
        <f>Ringkasan!T53</f>
        <v/>
      </c>
      <c r="U54" s="64">
        <f>Ringkasan!U53</f>
        <v>2250</v>
      </c>
      <c r="V54" s="64">
        <f>Ringkasan!V53</f>
        <v>1.33</v>
      </c>
      <c r="W54" s="64">
        <f>Ringkasan!W53</f>
        <v>2270</v>
      </c>
      <c r="X54" s="64">
        <f>Ringkasan!X53</f>
        <v>2340</v>
      </c>
      <c r="Y54" s="64">
        <f>Ringkasan!Y53</f>
        <v>2250</v>
      </c>
      <c r="Z54" s="64">
        <f>Ringkasan!Z53</f>
        <v>36917900</v>
      </c>
      <c r="AA54" s="64" t="str">
        <f>Ringkasan!AA53</f>
        <v>Coal</v>
      </c>
      <c r="AB54" s="64" t="str">
        <f>Ringkasan!AB53</f>
        <v>Energy</v>
      </c>
    </row>
    <row r="55" hidden="1">
      <c r="A55" s="64" t="str">
        <f>Ringkasan!A54</f>
        <v>ADRO</v>
      </c>
      <c r="B55" s="64" t="str">
        <f>Ringkasan!B54</f>
        <v>Alamtri Resources Indonesia Tbk.</v>
      </c>
      <c r="C55" s="65">
        <f>Ringkasan!C54</f>
        <v>2280</v>
      </c>
      <c r="D55" s="64" t="str">
        <f>Ringkasan!D54</f>
        <v>#N/A</v>
      </c>
      <c r="E55" s="64" t="str">
        <f>Ringkasan!E54</f>
        <v>Investor33</v>
      </c>
      <c r="F55" s="66">
        <f>Ringkasan!F54</f>
        <v>46356</v>
      </c>
      <c r="G55" s="64">
        <f>Ringkasan!G54</f>
        <v>14</v>
      </c>
      <c r="H55" s="19">
        <f>Ringkasan!H54</f>
        <v>8</v>
      </c>
      <c r="I55" s="19">
        <f>Ringkasan!I54</f>
        <v>0.73</v>
      </c>
      <c r="J55" s="19">
        <f>Ringkasan!J54</f>
        <v>9.1</v>
      </c>
      <c r="K55" s="19">
        <f>Ringkasan!K54</f>
        <v>6.9</v>
      </c>
      <c r="L55" s="19">
        <f>Ringkasan!L54</f>
        <v>0.32</v>
      </c>
      <c r="M55" s="19">
        <f>Ringkasan!M54</f>
        <v>110</v>
      </c>
      <c r="N55" s="64" t="str">
        <f>Ringkasan!N54</f>
        <v/>
      </c>
      <c r="O55" s="64" t="str">
        <f>Ringkasan!O54</f>
        <v/>
      </c>
      <c r="P55" s="64" t="str">
        <f>Ringkasan!P54</f>
        <v/>
      </c>
      <c r="Q55" s="64" t="str">
        <f>Ringkasan!Q54</f>
        <v/>
      </c>
      <c r="R55" s="64" t="str">
        <f>Ringkasan!R54</f>
        <v/>
      </c>
      <c r="S55" s="64" t="str">
        <f>Ringkasan!S54</f>
        <v/>
      </c>
      <c r="T55" s="64" t="str">
        <f>Ringkasan!T54</f>
        <v/>
      </c>
      <c r="U55" s="64">
        <f>Ringkasan!U54</f>
        <v>2250</v>
      </c>
      <c r="V55" s="64">
        <f>Ringkasan!V54</f>
        <v>1.33</v>
      </c>
      <c r="W55" s="64">
        <f>Ringkasan!W54</f>
        <v>2270</v>
      </c>
      <c r="X55" s="64">
        <f>Ringkasan!X54</f>
        <v>2340</v>
      </c>
      <c r="Y55" s="64">
        <f>Ringkasan!Y54</f>
        <v>2250</v>
      </c>
      <c r="Z55" s="64">
        <f>Ringkasan!Z54</f>
        <v>36917900</v>
      </c>
      <c r="AA55" s="64" t="str">
        <f>Ringkasan!AA54</f>
        <v>Coal</v>
      </c>
      <c r="AB55" s="64" t="str">
        <f>Ringkasan!AB54</f>
        <v>Energy</v>
      </c>
    </row>
    <row r="56" hidden="1">
      <c r="A56" s="64" t="str">
        <f>Ringkasan!A55</f>
        <v>ADRO</v>
      </c>
      <c r="B56" s="64" t="str">
        <f>Ringkasan!B55</f>
        <v>Alamtri Resources Indonesia Tbk.</v>
      </c>
      <c r="C56" s="65">
        <f>Ringkasan!C55</f>
        <v>2280</v>
      </c>
      <c r="D56" s="64" t="str">
        <f>Ringkasan!D55</f>
        <v>#N/A</v>
      </c>
      <c r="E56" s="64" t="str">
        <f>Ringkasan!E55</f>
        <v>JII30</v>
      </c>
      <c r="F56" s="66">
        <f>Ringkasan!F55</f>
        <v>46356</v>
      </c>
      <c r="G56" s="64">
        <f>Ringkasan!G55</f>
        <v>14</v>
      </c>
      <c r="H56" s="19">
        <f>Ringkasan!H55</f>
        <v>8</v>
      </c>
      <c r="I56" s="19">
        <f>Ringkasan!I55</f>
        <v>0.73</v>
      </c>
      <c r="J56" s="19">
        <f>Ringkasan!J55</f>
        <v>9.1</v>
      </c>
      <c r="K56" s="19">
        <f>Ringkasan!K55</f>
        <v>6.9</v>
      </c>
      <c r="L56" s="19">
        <f>Ringkasan!L55</f>
        <v>0.32</v>
      </c>
      <c r="M56" s="19">
        <f>Ringkasan!M55</f>
        <v>110</v>
      </c>
      <c r="N56" s="64" t="str">
        <f>Ringkasan!N55</f>
        <v/>
      </c>
      <c r="O56" s="64" t="str">
        <f>Ringkasan!O55</f>
        <v/>
      </c>
      <c r="P56" s="64" t="str">
        <f>Ringkasan!P55</f>
        <v/>
      </c>
      <c r="Q56" s="64" t="str">
        <f>Ringkasan!Q55</f>
        <v/>
      </c>
      <c r="R56" s="64" t="str">
        <f>Ringkasan!R55</f>
        <v/>
      </c>
      <c r="S56" s="64" t="str">
        <f>Ringkasan!S55</f>
        <v/>
      </c>
      <c r="T56" s="64" t="str">
        <f>Ringkasan!T55</f>
        <v/>
      </c>
      <c r="U56" s="64">
        <f>Ringkasan!U55</f>
        <v>2250</v>
      </c>
      <c r="V56" s="64">
        <f>Ringkasan!V55</f>
        <v>1.33</v>
      </c>
      <c r="W56" s="64">
        <f>Ringkasan!W55</f>
        <v>2270</v>
      </c>
      <c r="X56" s="64">
        <f>Ringkasan!X55</f>
        <v>2340</v>
      </c>
      <c r="Y56" s="64">
        <f>Ringkasan!Y55</f>
        <v>2250</v>
      </c>
      <c r="Z56" s="64">
        <f>Ringkasan!Z55</f>
        <v>36917900</v>
      </c>
      <c r="AA56" s="64" t="str">
        <f>Ringkasan!AA55</f>
        <v>Coal</v>
      </c>
      <c r="AB56" s="64" t="str">
        <f>Ringkasan!AB55</f>
        <v>Energy</v>
      </c>
    </row>
    <row r="57" hidden="1">
      <c r="A57" s="64" t="str">
        <f>Ringkasan!A56</f>
        <v>ADRO</v>
      </c>
      <c r="B57" s="64" t="str">
        <f>Ringkasan!B56</f>
        <v>Alamtri Resources Indonesia Tbk.</v>
      </c>
      <c r="C57" s="65">
        <f>Ringkasan!C56</f>
        <v>2280</v>
      </c>
      <c r="D57" s="64" t="str">
        <f>Ringkasan!D56</f>
        <v>#N/A</v>
      </c>
      <c r="E57" s="64" t="str">
        <f>Ringkasan!E56</f>
        <v>JII70</v>
      </c>
      <c r="F57" s="66">
        <f>Ringkasan!F56</f>
        <v>46356</v>
      </c>
      <c r="G57" s="64">
        <f>Ringkasan!G56</f>
        <v>14</v>
      </c>
      <c r="H57" s="19">
        <f>Ringkasan!H56</f>
        <v>8</v>
      </c>
      <c r="I57" s="19">
        <f>Ringkasan!I56</f>
        <v>0.73</v>
      </c>
      <c r="J57" s="19">
        <f>Ringkasan!J56</f>
        <v>9.1</v>
      </c>
      <c r="K57" s="19">
        <f>Ringkasan!K56</f>
        <v>6.9</v>
      </c>
      <c r="L57" s="19">
        <f>Ringkasan!L56</f>
        <v>0.32</v>
      </c>
      <c r="M57" s="19">
        <f>Ringkasan!M56</f>
        <v>110</v>
      </c>
      <c r="N57" s="64" t="str">
        <f>Ringkasan!N56</f>
        <v/>
      </c>
      <c r="O57" s="64" t="str">
        <f>Ringkasan!O56</f>
        <v/>
      </c>
      <c r="P57" s="64" t="str">
        <f>Ringkasan!P56</f>
        <v/>
      </c>
      <c r="Q57" s="64" t="str">
        <f>Ringkasan!Q56</f>
        <v/>
      </c>
      <c r="R57" s="64" t="str">
        <f>Ringkasan!R56</f>
        <v/>
      </c>
      <c r="S57" s="64" t="str">
        <f>Ringkasan!S56</f>
        <v/>
      </c>
      <c r="T57" s="64" t="str">
        <f>Ringkasan!T56</f>
        <v/>
      </c>
      <c r="U57" s="64">
        <f>Ringkasan!U56</f>
        <v>2250</v>
      </c>
      <c r="V57" s="64">
        <f>Ringkasan!V56</f>
        <v>1.33</v>
      </c>
      <c r="W57" s="64">
        <f>Ringkasan!W56</f>
        <v>2270</v>
      </c>
      <c r="X57" s="64">
        <f>Ringkasan!X56</f>
        <v>2340</v>
      </c>
      <c r="Y57" s="64">
        <f>Ringkasan!Y56</f>
        <v>2250</v>
      </c>
      <c r="Z57" s="64">
        <f>Ringkasan!Z56</f>
        <v>36917900</v>
      </c>
      <c r="AA57" s="64" t="str">
        <f>Ringkasan!AA56</f>
        <v>Coal</v>
      </c>
      <c r="AB57" s="64" t="str">
        <f>Ringkasan!AB56</f>
        <v>Energy</v>
      </c>
    </row>
    <row r="58" hidden="1">
      <c r="A58" s="64" t="str">
        <f>Ringkasan!A61</f>
        <v>AGRO</v>
      </c>
      <c r="B58" s="64" t="str">
        <f>Ringkasan!B61</f>
        <v>PT Bank Rakyat Indonesia Agroniaga Tbk</v>
      </c>
      <c r="C58" s="65">
        <f>Ringkasan!C61</f>
        <v>151</v>
      </c>
      <c r="D58" s="64" t="str">
        <f>Ringkasan!D61</f>
        <v>#N/A</v>
      </c>
      <c r="E58" s="64" t="str">
        <f>Ringkasan!E61</f>
        <v>Infobank15</v>
      </c>
      <c r="F58" s="64" t="str">
        <f>Ringkasan!F61</f>
        <v>30 Juni 2026</v>
      </c>
      <c r="G58" s="64">
        <f>Ringkasan!G61</f>
        <v>2</v>
      </c>
      <c r="H58" s="19">
        <f>Ringkasan!H61</f>
        <v>-8</v>
      </c>
      <c r="I58" s="19">
        <f>Ringkasan!I61</f>
        <v>1.4</v>
      </c>
      <c r="J58" s="19">
        <f>Ringkasan!J61</f>
        <v>-17.3</v>
      </c>
      <c r="K58" s="19">
        <f>Ringkasan!K61</f>
        <v>-4</v>
      </c>
      <c r="L58" s="19">
        <f>Ringkasan!L61</f>
        <v>3.4</v>
      </c>
      <c r="M58" s="19">
        <f>Ringkasan!M61</f>
        <v>-160</v>
      </c>
      <c r="N58" s="64">
        <f>Ringkasan!N61</f>
        <v>4.44</v>
      </c>
      <c r="O58" s="64">
        <f>Ringkasan!O61</f>
        <v>44.29</v>
      </c>
      <c r="P58" s="64">
        <f>Ringkasan!P61</f>
        <v>87.62</v>
      </c>
      <c r="Q58" s="64">
        <f>Ringkasan!Q61</f>
        <v>3.22</v>
      </c>
      <c r="R58" s="64">
        <f>Ringkasan!R61</f>
        <v>96.68</v>
      </c>
      <c r="S58" s="64">
        <f>Ringkasan!S61</f>
        <v>58.02</v>
      </c>
      <c r="T58" s="64" t="str">
        <f>Ringkasan!T61</f>
        <v/>
      </c>
      <c r="U58" s="64">
        <f>Ringkasan!U61</f>
        <v>11.69</v>
      </c>
      <c r="V58" s="64">
        <f>Ringkasan!V61</f>
        <v>-0.34</v>
      </c>
      <c r="W58" s="64">
        <f>Ringkasan!W61</f>
        <v>11.63</v>
      </c>
      <c r="X58" s="64">
        <f>Ringkasan!X61</f>
        <v>11.84</v>
      </c>
      <c r="Y58" s="64">
        <f>Ringkasan!Y61</f>
        <v>11.58</v>
      </c>
      <c r="Z58" s="64">
        <f>Ringkasan!Z61</f>
        <v>921019</v>
      </c>
      <c r="AA58" s="64" t="str">
        <f>Ringkasan!AA61</f>
        <v>Banks</v>
      </c>
      <c r="AB58" s="64" t="str">
        <f>Ringkasan!AB61</f>
        <v>Financials</v>
      </c>
    </row>
    <row r="59" hidden="1">
      <c r="A59" s="64" t="str">
        <f>Ringkasan!A58</f>
        <v>AGAR</v>
      </c>
      <c r="B59" s="64" t="str">
        <f>Ringkasan!B58</f>
        <v>Asia Sejahtera Mina Tbk.</v>
      </c>
      <c r="C59" s="65">
        <f>Ringkasan!C58</f>
        <v>216</v>
      </c>
      <c r="D59" s="64" t="str">
        <f>Ringkasan!D58</f>
        <v>#N/A</v>
      </c>
      <c r="E59" s="64" t="str">
        <f>Ringkasan!E58</f>
        <v/>
      </c>
      <c r="F59" s="64" t="str">
        <f>Ringkasan!F58</f>
        <v/>
      </c>
      <c r="G59" s="64">
        <f>Ringkasan!G58</f>
        <v>0</v>
      </c>
      <c r="H59" s="19">
        <f>Ringkasan!H58</f>
        <v>48.2</v>
      </c>
      <c r="I59" s="19">
        <f>Ringkasan!I58</f>
        <v>2.1</v>
      </c>
      <c r="J59" s="19">
        <f>Ringkasan!J58</f>
        <v>4.4</v>
      </c>
      <c r="K59" s="19">
        <f>Ringkasan!K58</f>
        <v>2.6</v>
      </c>
      <c r="L59" s="19">
        <f>Ringkasan!L58</f>
        <v>0.65</v>
      </c>
      <c r="M59" s="19">
        <f>Ringkasan!M58</f>
        <v>10.7</v>
      </c>
      <c r="N59" s="64" t="str">
        <f>Ringkasan!N58</f>
        <v/>
      </c>
      <c r="O59" s="64" t="str">
        <f>Ringkasan!O58</f>
        <v/>
      </c>
      <c r="P59" s="64" t="str">
        <f>Ringkasan!P58</f>
        <v/>
      </c>
      <c r="Q59" s="64" t="str">
        <f>Ringkasan!Q58</f>
        <v/>
      </c>
      <c r="R59" s="64" t="str">
        <f>Ringkasan!R58</f>
        <v/>
      </c>
      <c r="S59" s="64" t="str">
        <f>Ringkasan!S58</f>
        <v/>
      </c>
      <c r="T59" s="64" t="str">
        <f>Ringkasan!T58</f>
        <v/>
      </c>
      <c r="U59" s="64">
        <f>Ringkasan!U58</f>
        <v>218</v>
      </c>
      <c r="V59" s="64">
        <f>Ringkasan!V58</f>
        <v>-0.92</v>
      </c>
      <c r="W59" s="64">
        <f>Ringkasan!W58</f>
        <v>218</v>
      </c>
      <c r="X59" s="64">
        <f>Ringkasan!X58</f>
        <v>226</v>
      </c>
      <c r="Y59" s="64">
        <f>Ringkasan!Y58</f>
        <v>214</v>
      </c>
      <c r="Z59" s="64">
        <f>Ringkasan!Z58</f>
        <v>195700</v>
      </c>
      <c r="AA59" s="64" t="str">
        <f>Ringkasan!AA58</f>
        <v>Agricultural Products</v>
      </c>
      <c r="AB59" s="64" t="str">
        <f>Ringkasan!AB58</f>
        <v>Consumer Non-Cyclicals</v>
      </c>
    </row>
    <row r="60" hidden="1">
      <c r="A60" s="64" t="str">
        <f>Ringkasan!A59</f>
        <v>AGII</v>
      </c>
      <c r="B60" s="64" t="str">
        <f>Ringkasan!B59</f>
        <v>Samator Indo Gas Tbk.</v>
      </c>
      <c r="C60" s="65">
        <f>Ringkasan!C59</f>
        <v>2680</v>
      </c>
      <c r="D60" s="64" t="str">
        <f>Ringkasan!D59</f>
        <v>#N/A</v>
      </c>
      <c r="E60" s="64" t="str">
        <f>Ringkasan!E59</f>
        <v/>
      </c>
      <c r="F60" s="64" t="str">
        <f>Ringkasan!F59</f>
        <v/>
      </c>
      <c r="G60" s="64">
        <f>Ringkasan!G59</f>
        <v>0</v>
      </c>
      <c r="H60" s="19">
        <f>Ringkasan!H59</f>
        <v>97.9</v>
      </c>
      <c r="I60" s="19">
        <f>Ringkasan!I59</f>
        <v>2.2</v>
      </c>
      <c r="J60" s="19">
        <f>Ringkasan!J59</f>
        <v>2.2</v>
      </c>
      <c r="K60" s="19">
        <f>Ringkasan!K59</f>
        <v>1</v>
      </c>
      <c r="L60" s="19">
        <f>Ringkasan!L59</f>
        <v>1.2</v>
      </c>
      <c r="M60" s="19">
        <f>Ringkasan!M59</f>
        <v>11.3</v>
      </c>
      <c r="N60" s="64" t="str">
        <f>Ringkasan!N59</f>
        <v/>
      </c>
      <c r="O60" s="64" t="str">
        <f>Ringkasan!O59</f>
        <v/>
      </c>
      <c r="P60" s="64" t="str">
        <f>Ringkasan!P59</f>
        <v/>
      </c>
      <c r="Q60" s="64" t="str">
        <f>Ringkasan!Q59</f>
        <v/>
      </c>
      <c r="R60" s="64" t="str">
        <f>Ringkasan!R59</f>
        <v/>
      </c>
      <c r="S60" s="64" t="str">
        <f>Ringkasan!S59</f>
        <v/>
      </c>
      <c r="T60" s="64" t="str">
        <f>Ringkasan!T59</f>
        <v/>
      </c>
      <c r="U60" s="64">
        <f>Ringkasan!U59</f>
        <v>2550</v>
      </c>
      <c r="V60" s="64">
        <f>Ringkasan!V59</f>
        <v>5.1</v>
      </c>
      <c r="W60" s="64">
        <f>Ringkasan!W59</f>
        <v>2580</v>
      </c>
      <c r="X60" s="64">
        <f>Ringkasan!X59</f>
        <v>2730</v>
      </c>
      <c r="Y60" s="64">
        <f>Ringkasan!Y59</f>
        <v>2580</v>
      </c>
      <c r="Z60" s="64">
        <f>Ringkasan!Z59</f>
        <v>83100</v>
      </c>
      <c r="AA60" s="64" t="str">
        <f>Ringkasan!AA59</f>
        <v>Chemicals</v>
      </c>
      <c r="AB60" s="64" t="str">
        <f>Ringkasan!AB59</f>
        <v>Basic Materials</v>
      </c>
    </row>
    <row r="61" hidden="1">
      <c r="A61" s="64" t="str">
        <f>Ringkasan!A60</f>
        <v>AGRO</v>
      </c>
      <c r="B61" s="64" t="str">
        <f>Ringkasan!B60</f>
        <v>PT Bank Rakyat Indonesia Agroniaga Tbk</v>
      </c>
      <c r="C61" s="65">
        <f>Ringkasan!C60</f>
        <v>151</v>
      </c>
      <c r="D61" s="64" t="str">
        <f>Ringkasan!D60</f>
        <v>#N/A</v>
      </c>
      <c r="E61" s="64" t="str">
        <f>Ringkasan!E60</f>
        <v>IDXBUMN20</v>
      </c>
      <c r="F61" s="64" t="str">
        <f>Ringkasan!F60</f>
        <v>4 Agustus 2026</v>
      </c>
      <c r="G61" s="64">
        <f>Ringkasan!G60</f>
        <v>2</v>
      </c>
      <c r="H61" s="19">
        <f>Ringkasan!H60</f>
        <v>-8</v>
      </c>
      <c r="I61" s="19">
        <f>Ringkasan!I60</f>
        <v>1.4</v>
      </c>
      <c r="J61" s="19">
        <f>Ringkasan!J60</f>
        <v>-17.3</v>
      </c>
      <c r="K61" s="19">
        <f>Ringkasan!K60</f>
        <v>-4</v>
      </c>
      <c r="L61" s="19">
        <f>Ringkasan!L60</f>
        <v>3.4</v>
      </c>
      <c r="M61" s="19">
        <f>Ringkasan!M60</f>
        <v>-160</v>
      </c>
      <c r="N61" s="64">
        <f>Ringkasan!N60</f>
        <v>4.44</v>
      </c>
      <c r="O61" s="64">
        <f>Ringkasan!O60</f>
        <v>44.29</v>
      </c>
      <c r="P61" s="64">
        <f>Ringkasan!P60</f>
        <v>87.62</v>
      </c>
      <c r="Q61" s="64">
        <f>Ringkasan!Q60</f>
        <v>3.22</v>
      </c>
      <c r="R61" s="64">
        <f>Ringkasan!R60</f>
        <v>96.68</v>
      </c>
      <c r="S61" s="64">
        <f>Ringkasan!S60</f>
        <v>58.02</v>
      </c>
      <c r="T61" s="64" t="str">
        <f>Ringkasan!T60</f>
        <v/>
      </c>
      <c r="U61" s="64">
        <f>Ringkasan!U60</f>
        <v>11.69</v>
      </c>
      <c r="V61" s="64">
        <f>Ringkasan!V60</f>
        <v>-0.34</v>
      </c>
      <c r="W61" s="64">
        <f>Ringkasan!W60</f>
        <v>11.63</v>
      </c>
      <c r="X61" s="64">
        <f>Ringkasan!X60</f>
        <v>11.84</v>
      </c>
      <c r="Y61" s="64">
        <f>Ringkasan!Y60</f>
        <v>11.58</v>
      </c>
      <c r="Z61" s="64">
        <f>Ringkasan!Z60</f>
        <v>921019</v>
      </c>
      <c r="AA61" s="64" t="str">
        <f>Ringkasan!AA60</f>
        <v>Banks</v>
      </c>
      <c r="AB61" s="64" t="str">
        <f>Ringkasan!AB60</f>
        <v>Financials</v>
      </c>
    </row>
    <row r="62">
      <c r="A62" s="60" t="str">
        <f>Ringkasan!A106</f>
        <v>AMRT</v>
      </c>
      <c r="B62" s="60" t="str">
        <f>Ringkasan!B106</f>
        <v>Sumber Alfaria Trijaya Tbk.</v>
      </c>
      <c r="C62" s="61">
        <f>Ringkasan!C106</f>
        <v>1375</v>
      </c>
      <c r="D62" s="60" t="str">
        <f>Ringkasan!D106</f>
        <v>#N/A</v>
      </c>
      <c r="E62" s="60" t="str">
        <f>Ringkasan!E106</f>
        <v>IDX30</v>
      </c>
      <c r="F62" s="60" t="str">
        <f>Ringkasan!F106</f>
        <v>31 Juli 2026</v>
      </c>
      <c r="G62" s="60">
        <f>Ringkasan!G106</f>
        <v>10</v>
      </c>
      <c r="H62" s="62">
        <f>Ringkasan!H106</f>
        <v>13.6</v>
      </c>
      <c r="I62" s="62">
        <f>Ringkasan!I106</f>
        <v>2.4</v>
      </c>
      <c r="J62" s="62">
        <f>Ringkasan!J106</f>
        <v>17.6</v>
      </c>
      <c r="K62" s="62">
        <f>Ringkasan!K106</f>
        <v>7.7</v>
      </c>
      <c r="L62" s="62">
        <f>Ringkasan!L106</f>
        <v>1.3</v>
      </c>
      <c r="M62" s="62">
        <f>Ringkasan!M106</f>
        <v>10</v>
      </c>
      <c r="N62" s="60" t="str">
        <f>Ringkasan!N106</f>
        <v/>
      </c>
      <c r="O62" s="60" t="str">
        <f>Ringkasan!O106</f>
        <v/>
      </c>
      <c r="P62" s="60" t="str">
        <f>Ringkasan!P106</f>
        <v/>
      </c>
      <c r="Q62" s="60" t="str">
        <f>Ringkasan!Q106</f>
        <v/>
      </c>
      <c r="R62" s="60" t="str">
        <f>Ringkasan!R106</f>
        <v/>
      </c>
      <c r="S62" s="60" t="str">
        <f>Ringkasan!S106</f>
        <v/>
      </c>
      <c r="T62" s="60" t="str">
        <f>Ringkasan!T106</f>
        <v/>
      </c>
      <c r="U62" s="60">
        <f>Ringkasan!U106</f>
        <v>1335</v>
      </c>
      <c r="V62" s="60">
        <f>Ringkasan!V106</f>
        <v>3</v>
      </c>
      <c r="W62" s="60">
        <f>Ringkasan!W106</f>
        <v>1340</v>
      </c>
      <c r="X62" s="60">
        <f>Ringkasan!X106</f>
        <v>1415</v>
      </c>
      <c r="Y62" s="60">
        <f>Ringkasan!Y106</f>
        <v>1325</v>
      </c>
      <c r="Z62" s="60">
        <f>Ringkasan!Z106</f>
        <v>91250600</v>
      </c>
      <c r="AA62" s="60" t="str">
        <f>Ringkasan!AA106</f>
        <v>Food &amp; Staples Retailing</v>
      </c>
      <c r="AB62" s="60" t="str">
        <f>Ringkasan!AB106</f>
        <v>Consumer Non-Cyclicals</v>
      </c>
    </row>
    <row r="63" hidden="1">
      <c r="A63" s="64" t="str">
        <f>Ringkasan!A62</f>
        <v>AGRS</v>
      </c>
      <c r="B63" s="64" t="str">
        <f>Ringkasan!B62</f>
        <v>PT Bank IBK Indonesia Tbk.</v>
      </c>
      <c r="C63" s="65">
        <f>Ringkasan!C62</f>
        <v>62</v>
      </c>
      <c r="D63" s="64" t="str">
        <f>Ringkasan!D62</f>
        <v>#N/A</v>
      </c>
      <c r="E63" s="64" t="str">
        <f>Ringkasan!E62</f>
        <v/>
      </c>
      <c r="F63" s="64" t="str">
        <f>Ringkasan!F62</f>
        <v/>
      </c>
      <c r="G63" s="64">
        <f>Ringkasan!G62</f>
        <v>0</v>
      </c>
      <c r="H63" s="19">
        <f>Ringkasan!H62</f>
        <v>17.3</v>
      </c>
      <c r="I63" s="19">
        <f>Ringkasan!I62</f>
        <v>0.53</v>
      </c>
      <c r="J63" s="19">
        <f>Ringkasan!J62</f>
        <v>3.1</v>
      </c>
      <c r="K63" s="19">
        <f>Ringkasan!K62</f>
        <v>0.76</v>
      </c>
      <c r="L63" s="19">
        <f>Ringkasan!L62</f>
        <v>3</v>
      </c>
      <c r="M63" s="19">
        <f>Ringkasan!M62</f>
        <v>48.6</v>
      </c>
      <c r="N63" s="64">
        <f>Ringkasan!N62</f>
        <v>3.42</v>
      </c>
      <c r="O63" s="64">
        <f>Ringkasan!O62</f>
        <v>26.05</v>
      </c>
      <c r="P63" s="64">
        <f>Ringkasan!P62</f>
        <v>85.34</v>
      </c>
      <c r="Q63" s="64">
        <f>Ringkasan!Q62</f>
        <v>1.84</v>
      </c>
      <c r="R63" s="64">
        <f>Ringkasan!R62</f>
        <v>86.12</v>
      </c>
      <c r="S63" s="64">
        <f>Ringkasan!S62</f>
        <v>51.46</v>
      </c>
      <c r="T63" s="64">
        <f>Ringkasan!T62</f>
        <v>6.22</v>
      </c>
      <c r="U63" s="64">
        <f>Ringkasan!U62</f>
        <v>0</v>
      </c>
      <c r="V63" s="64">
        <f>Ringkasan!V62</f>
        <v>0</v>
      </c>
      <c r="W63" s="64" t="str">
        <f>Ringkasan!W62</f>
        <v/>
      </c>
      <c r="X63" s="64" t="str">
        <f>Ringkasan!X62</f>
        <v/>
      </c>
      <c r="Y63" s="64" t="str">
        <f>Ringkasan!Y62</f>
        <v/>
      </c>
      <c r="Z63" s="64">
        <f>Ringkasan!Z62</f>
        <v>0</v>
      </c>
      <c r="AA63" s="64" t="str">
        <f>Ringkasan!AA62</f>
        <v>Banks</v>
      </c>
      <c r="AB63" s="64" t="str">
        <f>Ringkasan!AB62</f>
        <v>Financials</v>
      </c>
    </row>
    <row r="64" hidden="1">
      <c r="A64" s="64" t="str">
        <f>Ringkasan!A63</f>
        <v>AHAP</v>
      </c>
      <c r="B64" s="64" t="str">
        <f>Ringkasan!B63</f>
        <v>Asuransi Harta Aman Pratama Tbk.</v>
      </c>
      <c r="C64" s="65">
        <f>Ringkasan!C63</f>
        <v>82</v>
      </c>
      <c r="D64" s="64" t="str">
        <f>Ringkasan!D63</f>
        <v>#N/A</v>
      </c>
      <c r="E64" s="64" t="str">
        <f>Ringkasan!E63</f>
        <v/>
      </c>
      <c r="F64" s="64" t="str">
        <f>Ringkasan!F63</f>
        <v/>
      </c>
      <c r="G64" s="64">
        <f>Ringkasan!G63</f>
        <v>0</v>
      </c>
      <c r="H64" s="19">
        <f>Ringkasan!H63</f>
        <v>-18</v>
      </c>
      <c r="I64" s="19">
        <f>Ringkasan!I63</f>
        <v>2.4</v>
      </c>
      <c r="J64" s="19">
        <f>Ringkasan!J63</f>
        <v>-13.5</v>
      </c>
      <c r="K64" s="19">
        <f>Ringkasan!K63</f>
        <v>-2.7</v>
      </c>
      <c r="L64" s="19">
        <f>Ringkasan!L63</f>
        <v>4</v>
      </c>
      <c r="M64" s="19">
        <f>Ringkasan!M63</f>
        <v>-11.6</v>
      </c>
      <c r="N64" s="64" t="str">
        <f>Ringkasan!N63</f>
        <v/>
      </c>
      <c r="O64" s="64" t="str">
        <f>Ringkasan!O63</f>
        <v/>
      </c>
      <c r="P64" s="64" t="str">
        <f>Ringkasan!P63</f>
        <v/>
      </c>
      <c r="Q64" s="64" t="str">
        <f>Ringkasan!Q63</f>
        <v/>
      </c>
      <c r="R64" s="64" t="str">
        <f>Ringkasan!R63</f>
        <v/>
      </c>
      <c r="S64" s="64" t="str">
        <f>Ringkasan!S63</f>
        <v/>
      </c>
      <c r="T64" s="64" t="str">
        <f>Ringkasan!T63</f>
        <v/>
      </c>
      <c r="U64" s="64">
        <f>Ringkasan!U63</f>
        <v>78</v>
      </c>
      <c r="V64" s="64">
        <f>Ringkasan!V63</f>
        <v>5.13</v>
      </c>
      <c r="W64" s="64">
        <f>Ringkasan!W63</f>
        <v>78</v>
      </c>
      <c r="X64" s="64">
        <f>Ringkasan!X63</f>
        <v>85</v>
      </c>
      <c r="Y64" s="64">
        <f>Ringkasan!Y63</f>
        <v>78</v>
      </c>
      <c r="Z64" s="64">
        <f>Ringkasan!Z63</f>
        <v>13048000</v>
      </c>
      <c r="AA64" s="64" t="str">
        <f>Ringkasan!AA63</f>
        <v>Insurance</v>
      </c>
      <c r="AB64" s="64" t="str">
        <f>Ringkasan!AB63</f>
        <v>Financials</v>
      </c>
    </row>
    <row r="65" hidden="1">
      <c r="A65" s="64" t="str">
        <f>Ringkasan!A64</f>
        <v>AIMS</v>
      </c>
      <c r="B65" s="64" t="str">
        <f>Ringkasan!B64</f>
        <v>Artha Mahiya Investama Tbk.</v>
      </c>
      <c r="C65" s="65">
        <f>Ringkasan!C64</f>
        <v>390</v>
      </c>
      <c r="D65" s="64" t="str">
        <f>Ringkasan!D64</f>
        <v>#N/A</v>
      </c>
      <c r="E65" s="64" t="str">
        <f>Ringkasan!E64</f>
        <v/>
      </c>
      <c r="F65" s="64" t="str">
        <f>Ringkasan!F64</f>
        <v/>
      </c>
      <c r="G65" s="64">
        <f>Ringkasan!G64</f>
        <v>0</v>
      </c>
      <c r="H65" s="19">
        <f>Ringkasan!H64</f>
        <v>-110</v>
      </c>
      <c r="I65" s="19">
        <f>Ringkasan!I64</f>
        <v>510</v>
      </c>
      <c r="J65" s="19">
        <f>Ringkasan!J64</f>
        <v>-480</v>
      </c>
      <c r="K65" s="19">
        <f>Ringkasan!K64</f>
        <v>-18.2</v>
      </c>
      <c r="L65" s="19">
        <f>Ringkasan!L64</f>
        <v>25.3</v>
      </c>
      <c r="M65" s="19">
        <f>Ringkasan!M64</f>
        <v>-62.2</v>
      </c>
      <c r="N65" s="64" t="str">
        <f>Ringkasan!N64</f>
        <v/>
      </c>
      <c r="O65" s="64" t="str">
        <f>Ringkasan!O64</f>
        <v/>
      </c>
      <c r="P65" s="64" t="str">
        <f>Ringkasan!P64</f>
        <v/>
      </c>
      <c r="Q65" s="64" t="str">
        <f>Ringkasan!Q64</f>
        <v/>
      </c>
      <c r="R65" s="64" t="str">
        <f>Ringkasan!R64</f>
        <v/>
      </c>
      <c r="S65" s="64" t="str">
        <f>Ringkasan!S64</f>
        <v/>
      </c>
      <c r="T65" s="64" t="str">
        <f>Ringkasan!T64</f>
        <v/>
      </c>
      <c r="U65" s="64">
        <f>Ringkasan!U64</f>
        <v>27.76</v>
      </c>
      <c r="V65" s="64">
        <f>Ringkasan!V64</f>
        <v>2.29</v>
      </c>
      <c r="W65" s="64">
        <f>Ringkasan!W64</f>
        <v>28.41</v>
      </c>
      <c r="X65" s="64">
        <f>Ringkasan!X64</f>
        <v>28.48</v>
      </c>
      <c r="Y65" s="64">
        <f>Ringkasan!Y64</f>
        <v>28.29</v>
      </c>
      <c r="Z65" s="64">
        <f>Ringkasan!Z64</f>
        <v>3526</v>
      </c>
      <c r="AA65" s="64" t="str">
        <f>Ringkasan!AA64</f>
        <v>Coal</v>
      </c>
      <c r="AB65" s="64" t="str">
        <f>Ringkasan!AB64</f>
        <v>Energy</v>
      </c>
    </row>
    <row r="66" hidden="1">
      <c r="A66" s="60" t="str">
        <f>Ringkasan!A101</f>
        <v>AMOR</v>
      </c>
      <c r="B66" s="60" t="str">
        <f>Ringkasan!B101</f>
        <v>Ashmore Asset Management Indonesia Tbk.</v>
      </c>
      <c r="C66" s="61">
        <f>Ringkasan!C101</f>
        <v>312</v>
      </c>
      <c r="D66" s="60" t="str">
        <f>Ringkasan!D101</f>
        <v>#N/A</v>
      </c>
      <c r="E66" s="60" t="str">
        <f>Ringkasan!E101</f>
        <v/>
      </c>
      <c r="F66" s="60" t="str">
        <f>Ringkasan!F101</f>
        <v/>
      </c>
      <c r="G66" s="61">
        <f>Ringkasan!G101</f>
        <v>0</v>
      </c>
      <c r="H66" s="62">
        <f>Ringkasan!H101</f>
        <v>11.1</v>
      </c>
      <c r="I66" s="62">
        <f>Ringkasan!I101</f>
        <v>2.8</v>
      </c>
      <c r="J66" s="62">
        <f>Ringkasan!J101</f>
        <v>25.3</v>
      </c>
      <c r="K66" s="62">
        <f>Ringkasan!K101</f>
        <v>19.1</v>
      </c>
      <c r="L66" s="62">
        <f>Ringkasan!L101</f>
        <v>0.32</v>
      </c>
      <c r="M66" s="62">
        <f>Ringkasan!M101</f>
        <v>49.5</v>
      </c>
      <c r="N66" s="60" t="str">
        <f>Ringkasan!N101</f>
        <v/>
      </c>
      <c r="O66" s="60" t="str">
        <f>Ringkasan!O101</f>
        <v/>
      </c>
      <c r="P66" s="60" t="str">
        <f>Ringkasan!P101</f>
        <v/>
      </c>
      <c r="Q66" s="60" t="str">
        <f>Ringkasan!Q101</f>
        <v/>
      </c>
      <c r="R66" s="60" t="str">
        <f>Ringkasan!R101</f>
        <v/>
      </c>
      <c r="S66" s="60" t="str">
        <f>Ringkasan!S101</f>
        <v/>
      </c>
      <c r="T66" s="60" t="str">
        <f>Ringkasan!T101</f>
        <v/>
      </c>
      <c r="U66" s="60">
        <f>Ringkasan!U101</f>
        <v>312</v>
      </c>
      <c r="V66" s="60">
        <f>Ringkasan!V101</f>
        <v>0</v>
      </c>
      <c r="W66" s="60">
        <f>Ringkasan!W101</f>
        <v>320</v>
      </c>
      <c r="X66" s="60">
        <f>Ringkasan!X101</f>
        <v>328</v>
      </c>
      <c r="Y66" s="60">
        <f>Ringkasan!Y101</f>
        <v>310</v>
      </c>
      <c r="Z66" s="60">
        <f>Ringkasan!Z101</f>
        <v>142700</v>
      </c>
      <c r="AA66" s="60" t="str">
        <f>Ringkasan!AA101</f>
        <v>Investment Services</v>
      </c>
      <c r="AB66" s="60" t="str">
        <f>Ringkasan!AB101</f>
        <v>Financials</v>
      </c>
    </row>
    <row r="67">
      <c r="A67" s="60" t="str">
        <f>Ringkasan!A103</f>
        <v>AMRT</v>
      </c>
      <c r="B67" s="60" t="str">
        <f>Ringkasan!B103</f>
        <v>Sumber Alfaria Trijaya Tbk.</v>
      </c>
      <c r="C67" s="61">
        <f>Ringkasan!C103</f>
        <v>1375</v>
      </c>
      <c r="D67" s="60" t="str">
        <f>Ringkasan!D103</f>
        <v>#N/A</v>
      </c>
      <c r="E67" s="60" t="str">
        <f>Ringkasan!E103</f>
        <v>IDX80</v>
      </c>
      <c r="F67" s="60" t="str">
        <f>Ringkasan!F103</f>
        <v>31 Juli 2026</v>
      </c>
      <c r="G67" s="60">
        <f>Ringkasan!G103</f>
        <v>10</v>
      </c>
      <c r="H67" s="62">
        <f>Ringkasan!H103</f>
        <v>13.6</v>
      </c>
      <c r="I67" s="62">
        <f>Ringkasan!I103</f>
        <v>2.4</v>
      </c>
      <c r="J67" s="62">
        <f>Ringkasan!J103</f>
        <v>17.6</v>
      </c>
      <c r="K67" s="62">
        <f>Ringkasan!K103</f>
        <v>7.7</v>
      </c>
      <c r="L67" s="62">
        <f>Ringkasan!L103</f>
        <v>1.3</v>
      </c>
      <c r="M67" s="62">
        <f>Ringkasan!M103</f>
        <v>10</v>
      </c>
      <c r="N67" s="60" t="str">
        <f>Ringkasan!N103</f>
        <v/>
      </c>
      <c r="O67" s="60" t="str">
        <f>Ringkasan!O103</f>
        <v/>
      </c>
      <c r="P67" s="60" t="str">
        <f>Ringkasan!P103</f>
        <v/>
      </c>
      <c r="Q67" s="60" t="str">
        <f>Ringkasan!Q103</f>
        <v/>
      </c>
      <c r="R67" s="60" t="str">
        <f>Ringkasan!R103</f>
        <v/>
      </c>
      <c r="S67" s="60" t="str">
        <f>Ringkasan!S103</f>
        <v/>
      </c>
      <c r="T67" s="60" t="str">
        <f>Ringkasan!T103</f>
        <v/>
      </c>
      <c r="U67" s="60">
        <f>Ringkasan!U103</f>
        <v>1335</v>
      </c>
      <c r="V67" s="60">
        <f>Ringkasan!V103</f>
        <v>3</v>
      </c>
      <c r="W67" s="60">
        <f>Ringkasan!W103</f>
        <v>1340</v>
      </c>
      <c r="X67" s="60">
        <f>Ringkasan!X103</f>
        <v>1415</v>
      </c>
      <c r="Y67" s="60">
        <f>Ringkasan!Y103</f>
        <v>1325</v>
      </c>
      <c r="Z67" s="60">
        <f>Ringkasan!Z103</f>
        <v>91250600</v>
      </c>
      <c r="AA67" s="60" t="str">
        <f>Ringkasan!AA103</f>
        <v>Food &amp; Staples Retailing</v>
      </c>
      <c r="AB67" s="60" t="str">
        <f>Ringkasan!AB103</f>
        <v>Consumer Non-Cyclicals</v>
      </c>
    </row>
    <row r="68" hidden="1">
      <c r="A68" s="64" t="str">
        <f>Ringkasan!A67</f>
        <v>AKPI</v>
      </c>
      <c r="B68" s="64" t="str">
        <f>Ringkasan!B67</f>
        <v>Argha Karya Prima Industry Tbk.</v>
      </c>
      <c r="C68" s="65" t="str">
        <f>Ringkasan!C67</f>
        <v>#N/A</v>
      </c>
      <c r="D68" s="64" t="str">
        <f>Ringkasan!D67</f>
        <v>#N/A</v>
      </c>
      <c r="E68" s="64" t="str">
        <f>Ringkasan!E67</f>
        <v/>
      </c>
      <c r="F68" s="64" t="str">
        <f>Ringkasan!F67</f>
        <v/>
      </c>
      <c r="G68" s="64">
        <f>Ringkasan!G67</f>
        <v>0</v>
      </c>
      <c r="H68" s="19">
        <f>Ringkasan!H67</f>
        <v>10.1</v>
      </c>
      <c r="I68" s="19">
        <f>Ringkasan!I67</f>
        <v>0.17</v>
      </c>
      <c r="J68" s="19">
        <f>Ringkasan!J67</f>
        <v>1.7</v>
      </c>
      <c r="K68" s="19">
        <f>Ringkasan!K67</f>
        <v>0.86</v>
      </c>
      <c r="L68" s="19">
        <f>Ringkasan!L67</f>
        <v>1</v>
      </c>
      <c r="M68" s="19">
        <f>Ringkasan!M67</f>
        <v>4.4</v>
      </c>
      <c r="N68" s="64" t="str">
        <f>Ringkasan!N67</f>
        <v/>
      </c>
      <c r="O68" s="64" t="str">
        <f>Ringkasan!O67</f>
        <v/>
      </c>
      <c r="P68" s="64" t="str">
        <f>Ringkasan!P67</f>
        <v/>
      </c>
      <c r="Q68" s="64" t="str">
        <f>Ringkasan!Q67</f>
        <v/>
      </c>
      <c r="R68" s="64" t="str">
        <f>Ringkasan!R67</f>
        <v/>
      </c>
      <c r="S68" s="64" t="str">
        <f>Ringkasan!S67</f>
        <v/>
      </c>
      <c r="T68" s="64" t="str">
        <f>Ringkasan!T67</f>
        <v/>
      </c>
      <c r="U68" s="64">
        <f>Ringkasan!U67</f>
        <v>461.73</v>
      </c>
      <c r="V68" s="64">
        <f>Ringkasan!V67</f>
        <v>9.37</v>
      </c>
      <c r="W68" s="64">
        <f>Ringkasan!W67</f>
        <v>468</v>
      </c>
      <c r="X68" s="64">
        <f>Ringkasan!X67</f>
        <v>510</v>
      </c>
      <c r="Y68" s="64">
        <f>Ringkasan!Y67</f>
        <v>462</v>
      </c>
      <c r="Z68" s="64">
        <f>Ringkasan!Z67</f>
        <v>330700</v>
      </c>
      <c r="AA68" s="64" t="str">
        <f>Ringkasan!AA67</f>
        <v>Chemicals</v>
      </c>
      <c r="AB68" s="64" t="str">
        <f>Ringkasan!AB67</f>
        <v>Basic Materials</v>
      </c>
    </row>
    <row r="69" hidden="1">
      <c r="A69" s="64" t="str">
        <f>Ringkasan!A68</f>
        <v>AKRA</v>
      </c>
      <c r="B69" s="64" t="str">
        <f>Ringkasan!B68</f>
        <v>AKR Corporindo Tbk.</v>
      </c>
      <c r="C69" s="65">
        <f>Ringkasan!C68</f>
        <v>1250</v>
      </c>
      <c r="D69" s="64" t="str">
        <f>Ringkasan!D68</f>
        <v>#N/A</v>
      </c>
      <c r="E69" s="64" t="str">
        <f>Ringkasan!E68</f>
        <v>ESGQKEHATI</v>
      </c>
      <c r="F69" s="66">
        <f>Ringkasan!F68</f>
        <v>46356</v>
      </c>
      <c r="G69" s="65">
        <f>Ringkasan!G68</f>
        <v>16</v>
      </c>
      <c r="H69" s="19">
        <f>Ringkasan!H68</f>
        <v>9.7</v>
      </c>
      <c r="I69" s="19">
        <f>Ringkasan!I68</f>
        <v>1.5</v>
      </c>
      <c r="J69" s="19">
        <f>Ringkasan!J68</f>
        <v>15.8</v>
      </c>
      <c r="K69" s="19">
        <f>Ringkasan!K68</f>
        <v>6.9</v>
      </c>
      <c r="L69" s="19">
        <f>Ringkasan!L68</f>
        <v>1.3</v>
      </c>
      <c r="M69" s="19">
        <f>Ringkasan!M68</f>
        <v>19.8</v>
      </c>
      <c r="N69" s="64" t="str">
        <f>Ringkasan!N68</f>
        <v/>
      </c>
      <c r="O69" s="64" t="str">
        <f>Ringkasan!O68</f>
        <v/>
      </c>
      <c r="P69" s="64" t="str">
        <f>Ringkasan!P68</f>
        <v/>
      </c>
      <c r="Q69" s="64" t="str">
        <f>Ringkasan!Q68</f>
        <v/>
      </c>
      <c r="R69" s="64" t="str">
        <f>Ringkasan!R68</f>
        <v/>
      </c>
      <c r="S69" s="64" t="str">
        <f>Ringkasan!S68</f>
        <v/>
      </c>
      <c r="T69" s="64" t="str">
        <f>Ringkasan!T68</f>
        <v/>
      </c>
      <c r="U69" s="64">
        <f>Ringkasan!U68</f>
        <v>1265</v>
      </c>
      <c r="V69" s="64">
        <f>Ringkasan!V68</f>
        <v>-1.19</v>
      </c>
      <c r="W69" s="64">
        <f>Ringkasan!W68</f>
        <v>1280</v>
      </c>
      <c r="X69" s="64">
        <f>Ringkasan!X68</f>
        <v>1315</v>
      </c>
      <c r="Y69" s="64">
        <f>Ringkasan!Y68</f>
        <v>1250</v>
      </c>
      <c r="Z69" s="64">
        <f>Ringkasan!Z68</f>
        <v>21209100</v>
      </c>
      <c r="AA69" s="64" t="str">
        <f>Ringkasan!AA68</f>
        <v>Oil &amp; Gas</v>
      </c>
      <c r="AB69" s="64" t="str">
        <f>Ringkasan!AB68</f>
        <v>Energy</v>
      </c>
    </row>
    <row r="70" hidden="1">
      <c r="A70" s="64" t="str">
        <f>Ringkasan!A69</f>
        <v>AKRA</v>
      </c>
      <c r="B70" s="64" t="str">
        <f>Ringkasan!B69</f>
        <v>AKR Corporindo Tbk.</v>
      </c>
      <c r="C70" s="65">
        <f>Ringkasan!C69</f>
        <v>1250</v>
      </c>
      <c r="D70" s="64" t="str">
        <f>Ringkasan!D69</f>
        <v>#N/A</v>
      </c>
      <c r="E70" s="64" t="str">
        <f>Ringkasan!E69</f>
        <v>IDXHIDIV20</v>
      </c>
      <c r="F70" s="64" t="str">
        <f>Ringkasan!F69</f>
        <v>2 Februari 2027</v>
      </c>
      <c r="G70" s="65">
        <f>Ringkasan!G69</f>
        <v>16</v>
      </c>
      <c r="H70" s="19">
        <f>Ringkasan!H69</f>
        <v>9.7</v>
      </c>
      <c r="I70" s="19">
        <f>Ringkasan!I69</f>
        <v>1.5</v>
      </c>
      <c r="J70" s="19">
        <f>Ringkasan!J69</f>
        <v>15.8</v>
      </c>
      <c r="K70" s="19">
        <f>Ringkasan!K69</f>
        <v>6.9</v>
      </c>
      <c r="L70" s="19">
        <f>Ringkasan!L69</f>
        <v>1.3</v>
      </c>
      <c r="M70" s="19">
        <f>Ringkasan!M69</f>
        <v>19.8</v>
      </c>
      <c r="N70" s="64" t="str">
        <f>Ringkasan!N69</f>
        <v/>
      </c>
      <c r="O70" s="64" t="str">
        <f>Ringkasan!O69</f>
        <v/>
      </c>
      <c r="P70" s="64" t="str">
        <f>Ringkasan!P69</f>
        <v/>
      </c>
      <c r="Q70" s="64" t="str">
        <f>Ringkasan!Q69</f>
        <v/>
      </c>
      <c r="R70" s="64" t="str">
        <f>Ringkasan!R69</f>
        <v/>
      </c>
      <c r="S70" s="64" t="str">
        <f>Ringkasan!S69</f>
        <v/>
      </c>
      <c r="T70" s="64" t="str">
        <f>Ringkasan!T69</f>
        <v/>
      </c>
      <c r="U70" s="64">
        <f>Ringkasan!U69</f>
        <v>1265</v>
      </c>
      <c r="V70" s="64">
        <f>Ringkasan!V69</f>
        <v>-1.19</v>
      </c>
      <c r="W70" s="64">
        <f>Ringkasan!W69</f>
        <v>1280</v>
      </c>
      <c r="X70" s="64">
        <f>Ringkasan!X69</f>
        <v>1315</v>
      </c>
      <c r="Y70" s="64">
        <f>Ringkasan!Y69</f>
        <v>1250</v>
      </c>
      <c r="Z70" s="64">
        <f>Ringkasan!Z69</f>
        <v>21209100</v>
      </c>
      <c r="AA70" s="64" t="str">
        <f>Ringkasan!AA69</f>
        <v>Oil &amp; Gas</v>
      </c>
      <c r="AB70" s="64" t="str">
        <f>Ringkasan!AB69</f>
        <v>Energy</v>
      </c>
    </row>
    <row r="71" hidden="1">
      <c r="A71" s="64" t="str">
        <f>Ringkasan!A70</f>
        <v>AKRA</v>
      </c>
      <c r="B71" s="64" t="str">
        <f>Ringkasan!B70</f>
        <v>AKR Corporindo Tbk.</v>
      </c>
      <c r="C71" s="65">
        <f>Ringkasan!C70</f>
        <v>1250</v>
      </c>
      <c r="D71" s="64" t="str">
        <f>Ringkasan!D70</f>
        <v>#N/A</v>
      </c>
      <c r="E71" s="64" t="str">
        <f>Ringkasan!E70</f>
        <v>LQ45</v>
      </c>
      <c r="F71" s="64" t="str">
        <f>Ringkasan!F70</f>
        <v>31 Juli 2026</v>
      </c>
      <c r="G71" s="65">
        <f>Ringkasan!G70</f>
        <v>16</v>
      </c>
      <c r="H71" s="19">
        <f>Ringkasan!H70</f>
        <v>9.7</v>
      </c>
      <c r="I71" s="19">
        <f>Ringkasan!I70</f>
        <v>1.5</v>
      </c>
      <c r="J71" s="19">
        <f>Ringkasan!J70</f>
        <v>15.8</v>
      </c>
      <c r="K71" s="19">
        <f>Ringkasan!K70</f>
        <v>6.9</v>
      </c>
      <c r="L71" s="19">
        <f>Ringkasan!L70</f>
        <v>1.3</v>
      </c>
      <c r="M71" s="19">
        <f>Ringkasan!M70</f>
        <v>19.8</v>
      </c>
      <c r="N71" s="64" t="str">
        <f>Ringkasan!N70</f>
        <v/>
      </c>
      <c r="O71" s="64" t="str">
        <f>Ringkasan!O70</f>
        <v/>
      </c>
      <c r="P71" s="64" t="str">
        <f>Ringkasan!P70</f>
        <v/>
      </c>
      <c r="Q71" s="64" t="str">
        <f>Ringkasan!Q70</f>
        <v/>
      </c>
      <c r="R71" s="64" t="str">
        <f>Ringkasan!R70</f>
        <v/>
      </c>
      <c r="S71" s="64" t="str">
        <f>Ringkasan!S70</f>
        <v/>
      </c>
      <c r="T71" s="64" t="str">
        <f>Ringkasan!T70</f>
        <v/>
      </c>
      <c r="U71" s="64">
        <f>Ringkasan!U70</f>
        <v>1265</v>
      </c>
      <c r="V71" s="64">
        <f>Ringkasan!V70</f>
        <v>-1.19</v>
      </c>
      <c r="W71" s="64">
        <f>Ringkasan!W70</f>
        <v>1280</v>
      </c>
      <c r="X71" s="64">
        <f>Ringkasan!X70</f>
        <v>1315</v>
      </c>
      <c r="Y71" s="64">
        <f>Ringkasan!Y70</f>
        <v>1250</v>
      </c>
      <c r="Z71" s="64">
        <f>Ringkasan!Z70</f>
        <v>21209100</v>
      </c>
      <c r="AA71" s="64" t="str">
        <f>Ringkasan!AA70</f>
        <v>Oil &amp; Gas</v>
      </c>
      <c r="AB71" s="64" t="str">
        <f>Ringkasan!AB70</f>
        <v>Energy</v>
      </c>
    </row>
    <row r="72" hidden="1">
      <c r="A72" s="64" t="str">
        <f>Ringkasan!A71</f>
        <v>AKRA</v>
      </c>
      <c r="B72" s="64" t="str">
        <f>Ringkasan!B71</f>
        <v>AKR Corporindo Tbk.</v>
      </c>
      <c r="C72" s="65">
        <f>Ringkasan!C71</f>
        <v>1250</v>
      </c>
      <c r="D72" s="64" t="str">
        <f>Ringkasan!D71</f>
        <v>#N/A</v>
      </c>
      <c r="E72" s="64" t="str">
        <f>Ringkasan!E71</f>
        <v>IDX80</v>
      </c>
      <c r="F72" s="64" t="str">
        <f>Ringkasan!F71</f>
        <v>31 Juli 2026</v>
      </c>
      <c r="G72" s="65">
        <f>Ringkasan!G71</f>
        <v>16</v>
      </c>
      <c r="H72" s="19">
        <f>Ringkasan!H71</f>
        <v>9.7</v>
      </c>
      <c r="I72" s="19">
        <f>Ringkasan!I71</f>
        <v>1.5</v>
      </c>
      <c r="J72" s="19">
        <f>Ringkasan!J71</f>
        <v>15.8</v>
      </c>
      <c r="K72" s="19">
        <f>Ringkasan!K71</f>
        <v>6.9</v>
      </c>
      <c r="L72" s="19">
        <f>Ringkasan!L71</f>
        <v>1.3</v>
      </c>
      <c r="M72" s="19">
        <f>Ringkasan!M71</f>
        <v>19.8</v>
      </c>
      <c r="N72" s="64" t="str">
        <f>Ringkasan!N71</f>
        <v/>
      </c>
      <c r="O72" s="64" t="str">
        <f>Ringkasan!O71</f>
        <v/>
      </c>
      <c r="P72" s="64" t="str">
        <f>Ringkasan!P71</f>
        <v/>
      </c>
      <c r="Q72" s="64" t="str">
        <f>Ringkasan!Q71</f>
        <v/>
      </c>
      <c r="R72" s="64" t="str">
        <f>Ringkasan!R71</f>
        <v/>
      </c>
      <c r="S72" s="64" t="str">
        <f>Ringkasan!S71</f>
        <v/>
      </c>
      <c r="T72" s="64" t="str">
        <f>Ringkasan!T71</f>
        <v/>
      </c>
      <c r="U72" s="64">
        <f>Ringkasan!U71</f>
        <v>1265</v>
      </c>
      <c r="V72" s="64">
        <f>Ringkasan!V71</f>
        <v>-1.19</v>
      </c>
      <c r="W72" s="64">
        <f>Ringkasan!W71</f>
        <v>1280</v>
      </c>
      <c r="X72" s="64">
        <f>Ringkasan!X71</f>
        <v>1315</v>
      </c>
      <c r="Y72" s="64">
        <f>Ringkasan!Y71</f>
        <v>1250</v>
      </c>
      <c r="Z72" s="64">
        <f>Ringkasan!Z71</f>
        <v>21209100</v>
      </c>
      <c r="AA72" s="64" t="str">
        <f>Ringkasan!AA71</f>
        <v>Oil &amp; Gas</v>
      </c>
      <c r="AB72" s="64" t="str">
        <f>Ringkasan!AB71</f>
        <v>Energy</v>
      </c>
    </row>
    <row r="73" hidden="1">
      <c r="A73" s="64" t="str">
        <f>Ringkasan!A72</f>
        <v>AKRA</v>
      </c>
      <c r="B73" s="64" t="str">
        <f>Ringkasan!B72</f>
        <v>AKR Corporindo Tbk.</v>
      </c>
      <c r="C73" s="65">
        <f>Ringkasan!C72</f>
        <v>1250</v>
      </c>
      <c r="D73" s="64" t="str">
        <f>Ringkasan!D72</f>
        <v>#N/A</v>
      </c>
      <c r="E73" s="64" t="str">
        <f>Ringkasan!E72</f>
        <v>MNC36</v>
      </c>
      <c r="F73" s="64" t="str">
        <f>Ringkasan!F72</f>
        <v>30 Oktober 2026</v>
      </c>
      <c r="G73" s="65">
        <f>Ringkasan!G72</f>
        <v>16</v>
      </c>
      <c r="H73" s="19">
        <f>Ringkasan!H72</f>
        <v>9.7</v>
      </c>
      <c r="I73" s="19">
        <f>Ringkasan!I72</f>
        <v>1.5</v>
      </c>
      <c r="J73" s="19">
        <f>Ringkasan!J72</f>
        <v>15.8</v>
      </c>
      <c r="K73" s="19">
        <f>Ringkasan!K72</f>
        <v>6.9</v>
      </c>
      <c r="L73" s="19">
        <f>Ringkasan!L72</f>
        <v>1.3</v>
      </c>
      <c r="M73" s="19">
        <f>Ringkasan!M72</f>
        <v>19.8</v>
      </c>
      <c r="N73" s="64" t="str">
        <f>Ringkasan!N72</f>
        <v/>
      </c>
      <c r="O73" s="64" t="str">
        <f>Ringkasan!O72</f>
        <v/>
      </c>
      <c r="P73" s="64" t="str">
        <f>Ringkasan!P72</f>
        <v/>
      </c>
      <c r="Q73" s="64" t="str">
        <f>Ringkasan!Q72</f>
        <v/>
      </c>
      <c r="R73" s="64" t="str">
        <f>Ringkasan!R72</f>
        <v/>
      </c>
      <c r="S73" s="64" t="str">
        <f>Ringkasan!S72</f>
        <v/>
      </c>
      <c r="T73" s="64" t="str">
        <f>Ringkasan!T72</f>
        <v/>
      </c>
      <c r="U73" s="64">
        <f>Ringkasan!U72</f>
        <v>1265</v>
      </c>
      <c r="V73" s="64">
        <f>Ringkasan!V72</f>
        <v>-1.19</v>
      </c>
      <c r="W73" s="64">
        <f>Ringkasan!W72</f>
        <v>1280</v>
      </c>
      <c r="X73" s="64">
        <f>Ringkasan!X72</f>
        <v>1315</v>
      </c>
      <c r="Y73" s="64">
        <f>Ringkasan!Y72</f>
        <v>1250</v>
      </c>
      <c r="Z73" s="64">
        <f>Ringkasan!Z72</f>
        <v>21209100</v>
      </c>
      <c r="AA73" s="64" t="str">
        <f>Ringkasan!AA72</f>
        <v>Oil &amp; Gas</v>
      </c>
      <c r="AB73" s="64" t="str">
        <f>Ringkasan!AB72</f>
        <v>Energy</v>
      </c>
    </row>
    <row r="74" hidden="1">
      <c r="A74" s="64" t="str">
        <f>Ringkasan!A73</f>
        <v>AKRA</v>
      </c>
      <c r="B74" s="64" t="str">
        <f>Ringkasan!B73</f>
        <v>AKR Corporindo Tbk.</v>
      </c>
      <c r="C74" s="65">
        <f>Ringkasan!C73</f>
        <v>1250</v>
      </c>
      <c r="D74" s="64" t="str">
        <f>Ringkasan!D73</f>
        <v>#N/A</v>
      </c>
      <c r="E74" s="64" t="str">
        <f>Ringkasan!E73</f>
        <v>SMINFRA18</v>
      </c>
      <c r="F74" s="64" t="str">
        <f>Ringkasan!F73</f>
        <v>30 Oktober 2026</v>
      </c>
      <c r="G74" s="65">
        <f>Ringkasan!G73</f>
        <v>16</v>
      </c>
      <c r="H74" s="19">
        <f>Ringkasan!H73</f>
        <v>9.7</v>
      </c>
      <c r="I74" s="19">
        <f>Ringkasan!I73</f>
        <v>1.5</v>
      </c>
      <c r="J74" s="19">
        <f>Ringkasan!J73</f>
        <v>15.8</v>
      </c>
      <c r="K74" s="19">
        <f>Ringkasan!K73</f>
        <v>6.9</v>
      </c>
      <c r="L74" s="19">
        <f>Ringkasan!L73</f>
        <v>1.3</v>
      </c>
      <c r="M74" s="19">
        <f>Ringkasan!M73</f>
        <v>19.8</v>
      </c>
      <c r="N74" s="64" t="str">
        <f>Ringkasan!N73</f>
        <v/>
      </c>
      <c r="O74" s="64" t="str">
        <f>Ringkasan!O73</f>
        <v/>
      </c>
      <c r="P74" s="64" t="str">
        <f>Ringkasan!P73</f>
        <v/>
      </c>
      <c r="Q74" s="64" t="str">
        <f>Ringkasan!Q73</f>
        <v/>
      </c>
      <c r="R74" s="64" t="str">
        <f>Ringkasan!R73</f>
        <v/>
      </c>
      <c r="S74" s="64" t="str">
        <f>Ringkasan!S73</f>
        <v/>
      </c>
      <c r="T74" s="64" t="str">
        <f>Ringkasan!T73</f>
        <v/>
      </c>
      <c r="U74" s="64">
        <f>Ringkasan!U73</f>
        <v>1265</v>
      </c>
      <c r="V74" s="64">
        <f>Ringkasan!V73</f>
        <v>-1.19</v>
      </c>
      <c r="W74" s="64">
        <f>Ringkasan!W73</f>
        <v>1280</v>
      </c>
      <c r="X74" s="64">
        <f>Ringkasan!X73</f>
        <v>1315</v>
      </c>
      <c r="Y74" s="64">
        <f>Ringkasan!Y73</f>
        <v>1250</v>
      </c>
      <c r="Z74" s="64">
        <f>Ringkasan!Z73</f>
        <v>21209100</v>
      </c>
      <c r="AA74" s="64" t="str">
        <f>Ringkasan!AA73</f>
        <v>Oil &amp; Gas</v>
      </c>
      <c r="AB74" s="64" t="str">
        <f>Ringkasan!AB73</f>
        <v>Energy</v>
      </c>
    </row>
    <row r="75" hidden="1">
      <c r="A75" s="64" t="str">
        <f>Ringkasan!A74</f>
        <v>AKRA</v>
      </c>
      <c r="B75" s="64" t="str">
        <f>Ringkasan!B74</f>
        <v>AKR Corporindo Tbk.</v>
      </c>
      <c r="C75" s="65">
        <f>Ringkasan!C74</f>
        <v>1250</v>
      </c>
      <c r="D75" s="64" t="str">
        <f>Ringkasan!D74</f>
        <v>#N/A</v>
      </c>
      <c r="E75" s="64" t="str">
        <f>Ringkasan!E74</f>
        <v>Kompas100</v>
      </c>
      <c r="F75" s="64" t="str">
        <f>Ringkasan!F74</f>
        <v>31 Juli 2026</v>
      </c>
      <c r="G75" s="65">
        <f>Ringkasan!G74</f>
        <v>16</v>
      </c>
      <c r="H75" s="19">
        <f>Ringkasan!H74</f>
        <v>9.7</v>
      </c>
      <c r="I75" s="19">
        <f>Ringkasan!I74</f>
        <v>1.5</v>
      </c>
      <c r="J75" s="19">
        <f>Ringkasan!J74</f>
        <v>15.8</v>
      </c>
      <c r="K75" s="19">
        <f>Ringkasan!K74</f>
        <v>6.9</v>
      </c>
      <c r="L75" s="19">
        <f>Ringkasan!L74</f>
        <v>1.3</v>
      </c>
      <c r="M75" s="19">
        <f>Ringkasan!M74</f>
        <v>19.8</v>
      </c>
      <c r="N75" s="64" t="str">
        <f>Ringkasan!N74</f>
        <v/>
      </c>
      <c r="O75" s="64" t="str">
        <f>Ringkasan!O74</f>
        <v/>
      </c>
      <c r="P75" s="64" t="str">
        <f>Ringkasan!P74</f>
        <v/>
      </c>
      <c r="Q75" s="64" t="str">
        <f>Ringkasan!Q74</f>
        <v/>
      </c>
      <c r="R75" s="64" t="str">
        <f>Ringkasan!R74</f>
        <v/>
      </c>
      <c r="S75" s="64" t="str">
        <f>Ringkasan!S74</f>
        <v/>
      </c>
      <c r="T75" s="64" t="str">
        <f>Ringkasan!T74</f>
        <v/>
      </c>
      <c r="U75" s="64">
        <f>Ringkasan!U74</f>
        <v>1265</v>
      </c>
      <c r="V75" s="64">
        <f>Ringkasan!V74</f>
        <v>-1.19</v>
      </c>
      <c r="W75" s="64">
        <f>Ringkasan!W74</f>
        <v>1280</v>
      </c>
      <c r="X75" s="64">
        <f>Ringkasan!X74</f>
        <v>1315</v>
      </c>
      <c r="Y75" s="64">
        <f>Ringkasan!Y74</f>
        <v>1250</v>
      </c>
      <c r="Z75" s="64">
        <f>Ringkasan!Z74</f>
        <v>21209100</v>
      </c>
      <c r="AA75" s="64" t="str">
        <f>Ringkasan!AA74</f>
        <v>Oil &amp; Gas</v>
      </c>
      <c r="AB75" s="64" t="str">
        <f>Ringkasan!AB74</f>
        <v>Energy</v>
      </c>
    </row>
    <row r="76" hidden="1">
      <c r="A76" s="64" t="str">
        <f>Ringkasan!A75</f>
        <v>AKRA</v>
      </c>
      <c r="B76" s="64" t="str">
        <f>Ringkasan!B75</f>
        <v>AKR Corporindo Tbk.</v>
      </c>
      <c r="C76" s="65">
        <f>Ringkasan!C75</f>
        <v>1250</v>
      </c>
      <c r="D76" s="64" t="str">
        <f>Ringkasan!D75</f>
        <v>#N/A</v>
      </c>
      <c r="E76" s="64" t="str">
        <f>Ringkasan!E75</f>
        <v>IDXSMC-LIQ</v>
      </c>
      <c r="F76" s="64" t="str">
        <f>Ringkasan!F75</f>
        <v>4 Agustus 2026</v>
      </c>
      <c r="G76" s="65">
        <f>Ringkasan!G75</f>
        <v>16</v>
      </c>
      <c r="H76" s="19">
        <f>Ringkasan!H75</f>
        <v>9.7</v>
      </c>
      <c r="I76" s="19">
        <f>Ringkasan!I75</f>
        <v>1.5</v>
      </c>
      <c r="J76" s="19">
        <f>Ringkasan!J75</f>
        <v>15.8</v>
      </c>
      <c r="K76" s="19">
        <f>Ringkasan!K75</f>
        <v>6.9</v>
      </c>
      <c r="L76" s="19">
        <f>Ringkasan!L75</f>
        <v>1.3</v>
      </c>
      <c r="M76" s="19">
        <f>Ringkasan!M75</f>
        <v>19.8</v>
      </c>
      <c r="N76" s="64" t="str">
        <f>Ringkasan!N75</f>
        <v/>
      </c>
      <c r="O76" s="64" t="str">
        <f>Ringkasan!O75</f>
        <v/>
      </c>
      <c r="P76" s="64" t="str">
        <f>Ringkasan!P75</f>
        <v/>
      </c>
      <c r="Q76" s="64" t="str">
        <f>Ringkasan!Q75</f>
        <v/>
      </c>
      <c r="R76" s="64" t="str">
        <f>Ringkasan!R75</f>
        <v/>
      </c>
      <c r="S76" s="64" t="str">
        <f>Ringkasan!S75</f>
        <v/>
      </c>
      <c r="T76" s="64" t="str">
        <f>Ringkasan!T75</f>
        <v/>
      </c>
      <c r="U76" s="64">
        <f>Ringkasan!U75</f>
        <v>1265</v>
      </c>
      <c r="V76" s="64">
        <f>Ringkasan!V75</f>
        <v>-1.19</v>
      </c>
      <c r="W76" s="64">
        <f>Ringkasan!W75</f>
        <v>1280</v>
      </c>
      <c r="X76" s="64">
        <f>Ringkasan!X75</f>
        <v>1315</v>
      </c>
      <c r="Y76" s="64">
        <f>Ringkasan!Y75</f>
        <v>1250</v>
      </c>
      <c r="Z76" s="64">
        <f>Ringkasan!Z75</f>
        <v>21209100</v>
      </c>
      <c r="AA76" s="64" t="str">
        <f>Ringkasan!AA75</f>
        <v>Oil &amp; Gas</v>
      </c>
      <c r="AB76" s="64" t="str">
        <f>Ringkasan!AB75</f>
        <v>Energy</v>
      </c>
    </row>
    <row r="77" hidden="1">
      <c r="A77" s="64" t="str">
        <f>Ringkasan!A204</f>
        <v>AWAN</v>
      </c>
      <c r="B77" s="64" t="str">
        <f>Ringkasan!B204</f>
        <v>PT Era Digital Media Tbk</v>
      </c>
      <c r="C77" s="67" t="str">
        <f>Ringkasan!C204</f>
        <v>#N/A</v>
      </c>
      <c r="D77" s="22" t="str">
        <f>Ringkasan!D204</f>
        <v>#N/A</v>
      </c>
      <c r="E77" s="64" t="str">
        <f>Ringkasan!E204</f>
        <v/>
      </c>
      <c r="F77" s="64" t="str">
        <f>Ringkasan!F204</f>
        <v/>
      </c>
      <c r="G77" s="64">
        <f>Ringkasan!G204</f>
        <v>0</v>
      </c>
      <c r="H77" s="19">
        <f>Ringkasan!H204</f>
        <v>-59.7</v>
      </c>
      <c r="I77" s="19">
        <f>Ringkasan!I204</f>
        <v>7.6</v>
      </c>
      <c r="J77" s="19">
        <f>Ringkasan!J204</f>
        <v>-12.7</v>
      </c>
      <c r="K77" s="19">
        <f>Ringkasan!K204</f>
        <v>-10.3</v>
      </c>
      <c r="L77" s="19">
        <f>Ringkasan!L204</f>
        <v>0.22</v>
      </c>
      <c r="M77" s="19">
        <f>Ringkasan!M204</f>
        <v>-60.2</v>
      </c>
      <c r="N77" s="64" t="str">
        <f>Ringkasan!N204</f>
        <v/>
      </c>
      <c r="O77" s="64" t="str">
        <f>Ringkasan!O204</f>
        <v/>
      </c>
      <c r="P77" s="64" t="str">
        <f>Ringkasan!P204</f>
        <v/>
      </c>
      <c r="Q77" s="64" t="str">
        <f>Ringkasan!Q204</f>
        <v/>
      </c>
      <c r="R77" s="64" t="str">
        <f>Ringkasan!R204</f>
        <v/>
      </c>
      <c r="S77" s="64" t="str">
        <f>Ringkasan!S204</f>
        <v/>
      </c>
      <c r="T77" s="64" t="str">
        <f>Ringkasan!T204</f>
        <v/>
      </c>
      <c r="U77" s="22">
        <f>Ringkasan!U204</f>
        <v>140</v>
      </c>
      <c r="V77" s="22">
        <f>Ringkasan!V204</f>
        <v>3.57</v>
      </c>
      <c r="W77" s="22">
        <f>Ringkasan!W204</f>
        <v>137</v>
      </c>
      <c r="X77" s="22">
        <f>Ringkasan!X204</f>
        <v>147</v>
      </c>
      <c r="Y77" s="22">
        <f>Ringkasan!Y204</f>
        <v>137</v>
      </c>
      <c r="Z77" s="22">
        <f>Ringkasan!Z204</f>
        <v>224600</v>
      </c>
      <c r="AA77" s="64" t="str">
        <f>Ringkasan!AA204</f>
        <v>Online Applications &amp; Services</v>
      </c>
      <c r="AB77" s="64" t="str">
        <f>Ringkasan!AB204</f>
        <v>Technology</v>
      </c>
    </row>
    <row r="78" hidden="1">
      <c r="A78" s="64" t="str">
        <f>Ringkasan!A77</f>
        <v>AKRA</v>
      </c>
      <c r="B78" s="64" t="str">
        <f>Ringkasan!B77</f>
        <v>AKR Corporindo Tbk.</v>
      </c>
      <c r="C78" s="65">
        <f>Ringkasan!C77</f>
        <v>1250</v>
      </c>
      <c r="D78" s="64" t="str">
        <f>Ringkasan!D77</f>
        <v>#N/A</v>
      </c>
      <c r="E78" s="64" t="str">
        <f>Ringkasan!E77</f>
        <v>IDXG30</v>
      </c>
      <c r="F78" s="64" t="str">
        <f>Ringkasan!F77</f>
        <v>4 Agustus 2026</v>
      </c>
      <c r="G78" s="65">
        <f>Ringkasan!G77</f>
        <v>16</v>
      </c>
      <c r="H78" s="19">
        <f>Ringkasan!H77</f>
        <v>9.7</v>
      </c>
      <c r="I78" s="19">
        <f>Ringkasan!I77</f>
        <v>1.5</v>
      </c>
      <c r="J78" s="19">
        <f>Ringkasan!J77</f>
        <v>15.8</v>
      </c>
      <c r="K78" s="19">
        <f>Ringkasan!K77</f>
        <v>6.9</v>
      </c>
      <c r="L78" s="19">
        <f>Ringkasan!L77</f>
        <v>1.3</v>
      </c>
      <c r="M78" s="19">
        <f>Ringkasan!M77</f>
        <v>19.8</v>
      </c>
      <c r="N78" s="64" t="str">
        <f>Ringkasan!N77</f>
        <v/>
      </c>
      <c r="O78" s="64" t="str">
        <f>Ringkasan!O77</f>
        <v/>
      </c>
      <c r="P78" s="64" t="str">
        <f>Ringkasan!P77</f>
        <v/>
      </c>
      <c r="Q78" s="64" t="str">
        <f>Ringkasan!Q77</f>
        <v/>
      </c>
      <c r="R78" s="64" t="str">
        <f>Ringkasan!R77</f>
        <v/>
      </c>
      <c r="S78" s="64" t="str">
        <f>Ringkasan!S77</f>
        <v/>
      </c>
      <c r="T78" s="64" t="str">
        <f>Ringkasan!T77</f>
        <v/>
      </c>
      <c r="U78" s="64">
        <f>Ringkasan!U77</f>
        <v>1265</v>
      </c>
      <c r="V78" s="64">
        <f>Ringkasan!V77</f>
        <v>-1.19</v>
      </c>
      <c r="W78" s="64">
        <f>Ringkasan!W77</f>
        <v>1280</v>
      </c>
      <c r="X78" s="64">
        <f>Ringkasan!X77</f>
        <v>1315</v>
      </c>
      <c r="Y78" s="64">
        <f>Ringkasan!Y77</f>
        <v>1250</v>
      </c>
      <c r="Z78" s="64">
        <f>Ringkasan!Z77</f>
        <v>21209100</v>
      </c>
      <c r="AA78" s="64" t="str">
        <f>Ringkasan!AA77</f>
        <v>Oil &amp; Gas</v>
      </c>
      <c r="AB78" s="64" t="str">
        <f>Ringkasan!AB77</f>
        <v>Energy</v>
      </c>
    </row>
    <row r="79" hidden="1">
      <c r="A79" s="64" t="str">
        <f>Ringkasan!A237</f>
        <v>BBCA</v>
      </c>
      <c r="B79" s="64" t="str">
        <f>Ringkasan!B237</f>
        <v>Bank Central Asia Tbk.</v>
      </c>
      <c r="C79" s="65" t="str">
        <f>Ringkasan!C237</f>
        <v>#N/A</v>
      </c>
      <c r="D79" s="64" t="str">
        <f>Ringkasan!D237</f>
        <v>#N/A</v>
      </c>
      <c r="E79" s="64" t="str">
        <f>Ringkasan!E237</f>
        <v>PRIMBANK-10</v>
      </c>
      <c r="F79" s="64" t="str">
        <f>Ringkasan!F237</f>
        <v>30 Juni 2026</v>
      </c>
      <c r="G79" s="64">
        <f>Ringkasan!G237</f>
        <v>21</v>
      </c>
      <c r="H79" s="19">
        <f>Ringkasan!H237</f>
        <v>12.1</v>
      </c>
      <c r="I79" s="19">
        <f>Ringkasan!I237</f>
        <v>2.7</v>
      </c>
      <c r="J79" s="19">
        <f>Ringkasan!J237</f>
        <v>22.4</v>
      </c>
      <c r="K79" s="19">
        <f>Ringkasan!K237</f>
        <v>3.5</v>
      </c>
      <c r="L79" s="19">
        <f>Ringkasan!L237</f>
        <v>5.3</v>
      </c>
      <c r="M79" s="19">
        <f>Ringkasan!M237</f>
        <v>220</v>
      </c>
      <c r="N79" s="64">
        <f>Ringkasan!N237</f>
        <v>5.33</v>
      </c>
      <c r="O79" s="64">
        <f>Ringkasan!O237</f>
        <v>27.52</v>
      </c>
      <c r="P79" s="64">
        <f>Ringkasan!P237</f>
        <v>74.1</v>
      </c>
      <c r="Q79" s="64">
        <f>Ringkasan!Q237</f>
        <v>1.85</v>
      </c>
      <c r="R79" s="64">
        <f>Ringkasan!R237</f>
        <v>39.87</v>
      </c>
      <c r="S79" s="64">
        <f>Ringkasan!S237</f>
        <v>27.32</v>
      </c>
      <c r="T79" s="64">
        <f>Ringkasan!T237</f>
        <v>2.09</v>
      </c>
      <c r="U79" s="64">
        <f>Ringkasan!U237</f>
        <v>100.74</v>
      </c>
      <c r="V79" s="64">
        <f>Ringkasan!V237</f>
        <v>0.51</v>
      </c>
      <c r="W79" s="64">
        <f>Ringkasan!W237</f>
        <v>100.94</v>
      </c>
      <c r="X79" s="64">
        <f>Ringkasan!X237</f>
        <v>101.77</v>
      </c>
      <c r="Y79" s="64">
        <f>Ringkasan!Y237</f>
        <v>100.74</v>
      </c>
      <c r="Z79" s="64">
        <f>Ringkasan!Z237</f>
        <v>51924</v>
      </c>
      <c r="AA79" s="64" t="str">
        <f>Ringkasan!AA237</f>
        <v>Banks</v>
      </c>
      <c r="AB79" s="64" t="str">
        <f>Ringkasan!AB237</f>
        <v>Financials</v>
      </c>
    </row>
    <row r="80" hidden="1">
      <c r="A80" s="64" t="str">
        <f>Ringkasan!A79</f>
        <v>AKRA</v>
      </c>
      <c r="B80" s="64" t="str">
        <f>Ringkasan!B79</f>
        <v>AKR Corporindo Tbk.</v>
      </c>
      <c r="C80" s="65">
        <f>Ringkasan!C79</f>
        <v>1250</v>
      </c>
      <c r="D80" s="64" t="str">
        <f>Ringkasan!D79</f>
        <v>#N/A</v>
      </c>
      <c r="E80" s="64" t="str">
        <f>Ringkasan!E79</f>
        <v>MSCI Small Cap</v>
      </c>
      <c r="F80" s="64" t="str">
        <f>Ringkasan!F79</f>
        <v>12 Agustus 2026</v>
      </c>
      <c r="G80" s="64">
        <f>Ringkasan!G79</f>
        <v>16</v>
      </c>
      <c r="H80" s="19">
        <f>Ringkasan!H79</f>
        <v>9.7</v>
      </c>
      <c r="I80" s="19">
        <f>Ringkasan!I79</f>
        <v>1.5</v>
      </c>
      <c r="J80" s="19">
        <f>Ringkasan!J79</f>
        <v>15.8</v>
      </c>
      <c r="K80" s="19">
        <f>Ringkasan!K79</f>
        <v>6.9</v>
      </c>
      <c r="L80" s="19">
        <f>Ringkasan!L79</f>
        <v>1.3</v>
      </c>
      <c r="M80" s="19">
        <f>Ringkasan!M79</f>
        <v>19.8</v>
      </c>
      <c r="N80" s="64" t="str">
        <f>Ringkasan!N79</f>
        <v/>
      </c>
      <c r="O80" s="64" t="str">
        <f>Ringkasan!O79</f>
        <v/>
      </c>
      <c r="P80" s="64" t="str">
        <f>Ringkasan!P79</f>
        <v/>
      </c>
      <c r="Q80" s="64" t="str">
        <f>Ringkasan!Q79</f>
        <v/>
      </c>
      <c r="R80" s="64" t="str">
        <f>Ringkasan!R79</f>
        <v/>
      </c>
      <c r="S80" s="64" t="str">
        <f>Ringkasan!S79</f>
        <v/>
      </c>
      <c r="T80" s="64" t="str">
        <f>Ringkasan!T79</f>
        <v/>
      </c>
      <c r="U80" s="64">
        <f>Ringkasan!U79</f>
        <v>1265</v>
      </c>
      <c r="V80" s="64">
        <f>Ringkasan!V79</f>
        <v>-1.19</v>
      </c>
      <c r="W80" s="64">
        <f>Ringkasan!W79</f>
        <v>1280</v>
      </c>
      <c r="X80" s="64">
        <f>Ringkasan!X79</f>
        <v>1315</v>
      </c>
      <c r="Y80" s="64">
        <f>Ringkasan!Y79</f>
        <v>1250</v>
      </c>
      <c r="Z80" s="64">
        <f>Ringkasan!Z79</f>
        <v>21209100</v>
      </c>
      <c r="AA80" s="64" t="str">
        <f>Ringkasan!AA79</f>
        <v>Oil &amp; Gas</v>
      </c>
      <c r="AB80" s="64" t="str">
        <f>Ringkasan!AB79</f>
        <v>Energy</v>
      </c>
    </row>
    <row r="81" hidden="1">
      <c r="A81" s="64" t="str">
        <f>Ringkasan!A80</f>
        <v>AKRA</v>
      </c>
      <c r="B81" s="64" t="str">
        <f>Ringkasan!B80</f>
        <v>AKR Corporindo Tbk.</v>
      </c>
      <c r="C81" s="65">
        <f>Ringkasan!C80</f>
        <v>1250</v>
      </c>
      <c r="D81" s="64" t="str">
        <f>Ringkasan!D80</f>
        <v>#N/A</v>
      </c>
      <c r="E81" s="64" t="str">
        <f>Ringkasan!E80</f>
        <v>ESGSKEHATI</v>
      </c>
      <c r="F81" s="66">
        <f>Ringkasan!F80</f>
        <v>46356</v>
      </c>
      <c r="G81" s="65">
        <f>Ringkasan!G80</f>
        <v>16</v>
      </c>
      <c r="H81" s="19">
        <f>Ringkasan!H80</f>
        <v>9.7</v>
      </c>
      <c r="I81" s="19">
        <f>Ringkasan!I80</f>
        <v>1.5</v>
      </c>
      <c r="J81" s="19">
        <f>Ringkasan!J80</f>
        <v>15.8</v>
      </c>
      <c r="K81" s="19">
        <f>Ringkasan!K80</f>
        <v>6.9</v>
      </c>
      <c r="L81" s="19">
        <f>Ringkasan!L80</f>
        <v>1.3</v>
      </c>
      <c r="M81" s="19">
        <f>Ringkasan!M80</f>
        <v>19.8</v>
      </c>
      <c r="N81" s="64" t="str">
        <f>Ringkasan!N80</f>
        <v/>
      </c>
      <c r="O81" s="64" t="str">
        <f>Ringkasan!O80</f>
        <v/>
      </c>
      <c r="P81" s="64" t="str">
        <f>Ringkasan!P80</f>
        <v/>
      </c>
      <c r="Q81" s="64" t="str">
        <f>Ringkasan!Q80</f>
        <v/>
      </c>
      <c r="R81" s="64" t="str">
        <f>Ringkasan!R80</f>
        <v/>
      </c>
      <c r="S81" s="64" t="str">
        <f>Ringkasan!S80</f>
        <v/>
      </c>
      <c r="T81" s="64" t="str">
        <f>Ringkasan!T80</f>
        <v/>
      </c>
      <c r="U81" s="64">
        <f>Ringkasan!U80</f>
        <v>1265</v>
      </c>
      <c r="V81" s="64">
        <f>Ringkasan!V80</f>
        <v>-1.19</v>
      </c>
      <c r="W81" s="64">
        <f>Ringkasan!W80</f>
        <v>1280</v>
      </c>
      <c r="X81" s="64">
        <f>Ringkasan!X80</f>
        <v>1315</v>
      </c>
      <c r="Y81" s="64">
        <f>Ringkasan!Y80</f>
        <v>1250</v>
      </c>
      <c r="Z81" s="64">
        <f>Ringkasan!Z80</f>
        <v>21209100</v>
      </c>
      <c r="AA81" s="64" t="str">
        <f>Ringkasan!AA80</f>
        <v>Oil &amp; Gas</v>
      </c>
      <c r="AB81" s="64" t="str">
        <f>Ringkasan!AB80</f>
        <v>Energy</v>
      </c>
    </row>
    <row r="82" hidden="1">
      <c r="A82" s="64" t="str">
        <f>Ringkasan!A81</f>
        <v>AKRA</v>
      </c>
      <c r="B82" s="64" t="str">
        <f>Ringkasan!B81</f>
        <v>AKR Corporindo Tbk.</v>
      </c>
      <c r="C82" s="65">
        <f>Ringkasan!C81</f>
        <v>1250</v>
      </c>
      <c r="D82" s="64" t="str">
        <f>Ringkasan!D81</f>
        <v>#N/A</v>
      </c>
      <c r="E82" s="64" t="str">
        <f>Ringkasan!E81</f>
        <v>SRI-KEHATI</v>
      </c>
      <c r="F82" s="66">
        <f>Ringkasan!F81</f>
        <v>46356</v>
      </c>
      <c r="G82" s="65">
        <f>Ringkasan!G81</f>
        <v>16</v>
      </c>
      <c r="H82" s="19">
        <f>Ringkasan!H81</f>
        <v>9.7</v>
      </c>
      <c r="I82" s="19">
        <f>Ringkasan!I81</f>
        <v>1.5</v>
      </c>
      <c r="J82" s="19">
        <f>Ringkasan!J81</f>
        <v>15.8</v>
      </c>
      <c r="K82" s="19">
        <f>Ringkasan!K81</f>
        <v>6.9</v>
      </c>
      <c r="L82" s="19">
        <f>Ringkasan!L81</f>
        <v>1.3</v>
      </c>
      <c r="M82" s="19">
        <f>Ringkasan!M81</f>
        <v>19.8</v>
      </c>
      <c r="N82" s="64" t="str">
        <f>Ringkasan!N81</f>
        <v/>
      </c>
      <c r="O82" s="64" t="str">
        <f>Ringkasan!O81</f>
        <v/>
      </c>
      <c r="P82" s="64" t="str">
        <f>Ringkasan!P81</f>
        <v/>
      </c>
      <c r="Q82" s="64" t="str">
        <f>Ringkasan!Q81</f>
        <v/>
      </c>
      <c r="R82" s="64" t="str">
        <f>Ringkasan!R81</f>
        <v/>
      </c>
      <c r="S82" s="64" t="str">
        <f>Ringkasan!S81</f>
        <v/>
      </c>
      <c r="T82" s="64" t="str">
        <f>Ringkasan!T81</f>
        <v/>
      </c>
      <c r="U82" s="64">
        <f>Ringkasan!U81</f>
        <v>1265</v>
      </c>
      <c r="V82" s="64">
        <f>Ringkasan!V81</f>
        <v>-1.19</v>
      </c>
      <c r="W82" s="64">
        <f>Ringkasan!W81</f>
        <v>1280</v>
      </c>
      <c r="X82" s="64">
        <f>Ringkasan!X81</f>
        <v>1315</v>
      </c>
      <c r="Y82" s="64">
        <f>Ringkasan!Y81</f>
        <v>1250</v>
      </c>
      <c r="Z82" s="64">
        <f>Ringkasan!Z81</f>
        <v>21209100</v>
      </c>
      <c r="AA82" s="64" t="str">
        <f>Ringkasan!AA81</f>
        <v>Oil &amp; Gas</v>
      </c>
      <c r="AB82" s="64" t="str">
        <f>Ringkasan!AB81</f>
        <v>Energy</v>
      </c>
    </row>
    <row r="83" hidden="1">
      <c r="A83" s="64" t="str">
        <f>Ringkasan!A82</f>
        <v>AKRA</v>
      </c>
      <c r="B83" s="64" t="str">
        <f>Ringkasan!B82</f>
        <v>AKR Corporindo Tbk.</v>
      </c>
      <c r="C83" s="65">
        <f>Ringkasan!C82</f>
        <v>1250</v>
      </c>
      <c r="D83" s="64" t="str">
        <f>Ringkasan!D82</f>
        <v>#N/A</v>
      </c>
      <c r="E83" s="64" t="str">
        <f>Ringkasan!E82</f>
        <v>Investor33</v>
      </c>
      <c r="F83" s="66">
        <f>Ringkasan!F82</f>
        <v>46356</v>
      </c>
      <c r="G83" s="65">
        <f>Ringkasan!G82</f>
        <v>16</v>
      </c>
      <c r="H83" s="19">
        <f>Ringkasan!H82</f>
        <v>9.7</v>
      </c>
      <c r="I83" s="19">
        <f>Ringkasan!I82</f>
        <v>1.5</v>
      </c>
      <c r="J83" s="19">
        <f>Ringkasan!J82</f>
        <v>15.8</v>
      </c>
      <c r="K83" s="19">
        <f>Ringkasan!K82</f>
        <v>6.9</v>
      </c>
      <c r="L83" s="19">
        <f>Ringkasan!L82</f>
        <v>1.3</v>
      </c>
      <c r="M83" s="19">
        <f>Ringkasan!M82</f>
        <v>19.8</v>
      </c>
      <c r="N83" s="64" t="str">
        <f>Ringkasan!N82</f>
        <v/>
      </c>
      <c r="O83" s="64" t="str">
        <f>Ringkasan!O82</f>
        <v/>
      </c>
      <c r="P83" s="64" t="str">
        <f>Ringkasan!P82</f>
        <v/>
      </c>
      <c r="Q83" s="64" t="str">
        <f>Ringkasan!Q82</f>
        <v/>
      </c>
      <c r="R83" s="64" t="str">
        <f>Ringkasan!R82</f>
        <v/>
      </c>
      <c r="S83" s="64" t="str">
        <f>Ringkasan!S82</f>
        <v/>
      </c>
      <c r="T83" s="64" t="str">
        <f>Ringkasan!T82</f>
        <v/>
      </c>
      <c r="U83" s="64">
        <f>Ringkasan!U82</f>
        <v>1265</v>
      </c>
      <c r="V83" s="64">
        <f>Ringkasan!V82</f>
        <v>-1.19</v>
      </c>
      <c r="W83" s="64">
        <f>Ringkasan!W82</f>
        <v>1280</v>
      </c>
      <c r="X83" s="64">
        <f>Ringkasan!X82</f>
        <v>1315</v>
      </c>
      <c r="Y83" s="64">
        <f>Ringkasan!Y82</f>
        <v>1250</v>
      </c>
      <c r="Z83" s="64">
        <f>Ringkasan!Z82</f>
        <v>21209100</v>
      </c>
      <c r="AA83" s="64" t="str">
        <f>Ringkasan!AA82</f>
        <v>Oil &amp; Gas</v>
      </c>
      <c r="AB83" s="64" t="str">
        <f>Ringkasan!AB82</f>
        <v>Energy</v>
      </c>
    </row>
    <row r="84" hidden="1">
      <c r="A84" s="64" t="str">
        <f>Ringkasan!A83</f>
        <v>AKRA</v>
      </c>
      <c r="B84" s="64" t="str">
        <f>Ringkasan!B83</f>
        <v>AKR Corporindo Tbk.</v>
      </c>
      <c r="C84" s="65">
        <f>Ringkasan!C83</f>
        <v>1250</v>
      </c>
      <c r="D84" s="64" t="str">
        <f>Ringkasan!D83</f>
        <v>#N/A</v>
      </c>
      <c r="E84" s="64" t="str">
        <f>Ringkasan!E83</f>
        <v>JII70</v>
      </c>
      <c r="F84" s="66">
        <f>Ringkasan!F83</f>
        <v>46356</v>
      </c>
      <c r="G84" s="65">
        <f>Ringkasan!G83</f>
        <v>16</v>
      </c>
      <c r="H84" s="19">
        <f>Ringkasan!H83</f>
        <v>9.7</v>
      </c>
      <c r="I84" s="19">
        <f>Ringkasan!I83</f>
        <v>1.5</v>
      </c>
      <c r="J84" s="19">
        <f>Ringkasan!J83</f>
        <v>15.8</v>
      </c>
      <c r="K84" s="19">
        <f>Ringkasan!K83</f>
        <v>6.9</v>
      </c>
      <c r="L84" s="19">
        <f>Ringkasan!L83</f>
        <v>1.3</v>
      </c>
      <c r="M84" s="19">
        <f>Ringkasan!M83</f>
        <v>19.8</v>
      </c>
      <c r="N84" s="64" t="str">
        <f>Ringkasan!N83</f>
        <v/>
      </c>
      <c r="O84" s="64" t="str">
        <f>Ringkasan!O83</f>
        <v/>
      </c>
      <c r="P84" s="64" t="str">
        <f>Ringkasan!P83</f>
        <v/>
      </c>
      <c r="Q84" s="64" t="str">
        <f>Ringkasan!Q83</f>
        <v/>
      </c>
      <c r="R84" s="64" t="str">
        <f>Ringkasan!R83</f>
        <v/>
      </c>
      <c r="S84" s="64" t="str">
        <f>Ringkasan!S83</f>
        <v/>
      </c>
      <c r="T84" s="64" t="str">
        <f>Ringkasan!T83</f>
        <v/>
      </c>
      <c r="U84" s="64">
        <f>Ringkasan!U83</f>
        <v>1265</v>
      </c>
      <c r="V84" s="64">
        <f>Ringkasan!V83</f>
        <v>-1.19</v>
      </c>
      <c r="W84" s="64">
        <f>Ringkasan!W83</f>
        <v>1280</v>
      </c>
      <c r="X84" s="64">
        <f>Ringkasan!X83</f>
        <v>1315</v>
      </c>
      <c r="Y84" s="64">
        <f>Ringkasan!Y83</f>
        <v>1250</v>
      </c>
      <c r="Z84" s="64">
        <f>Ringkasan!Z83</f>
        <v>21209100</v>
      </c>
      <c r="AA84" s="64" t="str">
        <f>Ringkasan!AA83</f>
        <v>Oil &amp; Gas</v>
      </c>
      <c r="AB84" s="64" t="str">
        <f>Ringkasan!AB83</f>
        <v>Energy</v>
      </c>
    </row>
    <row r="85" hidden="1">
      <c r="A85" s="64" t="str">
        <f>Ringkasan!A84</f>
        <v>AKSI</v>
      </c>
      <c r="B85" s="64" t="str">
        <f>Ringkasan!B84</f>
        <v>PT Maming Enam Sembilan Mineral Tbk.</v>
      </c>
      <c r="C85" s="65">
        <f>Ringkasan!C84</f>
        <v>183</v>
      </c>
      <c r="D85" s="64" t="str">
        <f>Ringkasan!D84</f>
        <v>#N/A</v>
      </c>
      <c r="E85" s="64" t="str">
        <f>Ringkasan!E84</f>
        <v/>
      </c>
      <c r="F85" s="64" t="str">
        <f>Ringkasan!F84</f>
        <v/>
      </c>
      <c r="G85" s="64">
        <f>Ringkasan!G84</f>
        <v>0</v>
      </c>
      <c r="H85" s="19">
        <f>Ringkasan!H84</f>
        <v>-16.7</v>
      </c>
      <c r="I85" s="19">
        <f>Ringkasan!I84</f>
        <v>1</v>
      </c>
      <c r="J85" s="19">
        <f>Ringkasan!J84</f>
        <v>-6.2</v>
      </c>
      <c r="K85" s="19">
        <f>Ringkasan!K84</f>
        <v>-3.2</v>
      </c>
      <c r="L85" s="19">
        <f>Ringkasan!L84</f>
        <v>0.97</v>
      </c>
      <c r="M85" s="19">
        <f>Ringkasan!M84</f>
        <v>-12.7</v>
      </c>
      <c r="N85" s="64" t="str">
        <f>Ringkasan!N84</f>
        <v/>
      </c>
      <c r="O85" s="64" t="str">
        <f>Ringkasan!O84</f>
        <v/>
      </c>
      <c r="P85" s="64" t="str">
        <f>Ringkasan!P84</f>
        <v/>
      </c>
      <c r="Q85" s="64" t="str">
        <f>Ringkasan!Q84</f>
        <v/>
      </c>
      <c r="R85" s="64" t="str">
        <f>Ringkasan!R84</f>
        <v/>
      </c>
      <c r="S85" s="64" t="str">
        <f>Ringkasan!S84</f>
        <v/>
      </c>
      <c r="T85" s="64" t="str">
        <f>Ringkasan!T84</f>
        <v/>
      </c>
      <c r="U85" s="64">
        <f>Ringkasan!U84</f>
        <v>177</v>
      </c>
      <c r="V85" s="64">
        <f>Ringkasan!V84</f>
        <v>3.39</v>
      </c>
      <c r="W85" s="64" t="str">
        <f>Ringkasan!W84</f>
        <v/>
      </c>
      <c r="X85" s="64">
        <f>Ringkasan!X84</f>
        <v>192</v>
      </c>
      <c r="Y85" s="64">
        <f>Ringkasan!Y84</f>
        <v>178</v>
      </c>
      <c r="Z85" s="64">
        <f>Ringkasan!Z84</f>
        <v>667600</v>
      </c>
      <c r="AA85" s="64" t="str">
        <f>Ringkasan!AA84</f>
        <v>Logistics &amp; Deliveries</v>
      </c>
      <c r="AB85" s="64" t="str">
        <f>Ringkasan!AB84</f>
        <v>Transportation &amp; Logistic</v>
      </c>
    </row>
    <row r="86" hidden="1">
      <c r="A86" s="64" t="str">
        <f>Ringkasan!A312</f>
        <v>BCIP</v>
      </c>
      <c r="B86" s="64" t="str">
        <f>Ringkasan!B312</f>
        <v>Bumi Citra Permai Tbk.</v>
      </c>
      <c r="C86" s="65">
        <f>Ringkasan!C312</f>
        <v>61</v>
      </c>
      <c r="D86" s="64" t="str">
        <f>Ringkasan!D312</f>
        <v>#N/A</v>
      </c>
      <c r="E86" s="64" t="str">
        <f>Ringkasan!E312</f>
        <v/>
      </c>
      <c r="F86" s="64" t="str">
        <f>Ringkasan!F312</f>
        <v/>
      </c>
      <c r="G86" s="64">
        <f>Ringkasan!G312</f>
        <v>0</v>
      </c>
      <c r="H86" s="19">
        <f>Ringkasan!H312</f>
        <v>3.5</v>
      </c>
      <c r="I86" s="19">
        <f>Ringkasan!I312</f>
        <v>0.17</v>
      </c>
      <c r="J86" s="19">
        <f>Ringkasan!J312</f>
        <v>4.9</v>
      </c>
      <c r="K86" s="19">
        <f>Ringkasan!K312</f>
        <v>2.8</v>
      </c>
      <c r="L86" s="19">
        <f>Ringkasan!L312</f>
        <v>0.73</v>
      </c>
      <c r="M86" s="19">
        <f>Ringkasan!M312</f>
        <v>51.5</v>
      </c>
      <c r="N86" s="64" t="str">
        <f>Ringkasan!N312</f>
        <v/>
      </c>
      <c r="O86" s="64" t="str">
        <f>Ringkasan!O312</f>
        <v/>
      </c>
      <c r="P86" s="64" t="str">
        <f>Ringkasan!P312</f>
        <v/>
      </c>
      <c r="Q86" s="64" t="str">
        <f>Ringkasan!Q312</f>
        <v/>
      </c>
      <c r="R86" s="64" t="str">
        <f>Ringkasan!R312</f>
        <v/>
      </c>
      <c r="S86" s="64" t="str">
        <f>Ringkasan!S312</f>
        <v/>
      </c>
      <c r="T86" s="64" t="str">
        <f>Ringkasan!T312</f>
        <v/>
      </c>
      <c r="U86" s="64">
        <f>Ringkasan!U312</f>
        <v>59</v>
      </c>
      <c r="V86" s="64">
        <f>Ringkasan!V312</f>
        <v>3.39</v>
      </c>
      <c r="W86" s="64">
        <f>Ringkasan!W312</f>
        <v>59</v>
      </c>
      <c r="X86" s="64">
        <f>Ringkasan!X312</f>
        <v>63</v>
      </c>
      <c r="Y86" s="64">
        <f>Ringkasan!Y312</f>
        <v>58</v>
      </c>
      <c r="Z86" s="64">
        <f>Ringkasan!Z312</f>
        <v>4903400</v>
      </c>
      <c r="AA86" s="64" t="str">
        <f>Ringkasan!AA312</f>
        <v>Real Estate Management &amp; Development</v>
      </c>
      <c r="AB86" s="64" t="str">
        <f>Ringkasan!AB312</f>
        <v>Properties &amp; Real Estate</v>
      </c>
    </row>
    <row r="87" hidden="1">
      <c r="A87" s="64" t="str">
        <f>Ringkasan!A86</f>
        <v>ALII</v>
      </c>
      <c r="B87" s="64" t="str">
        <f>Ringkasan!B86</f>
        <v>Ancara Logistics Indonesia Tbk.</v>
      </c>
      <c r="C87" s="65">
        <f>Ringkasan!C86</f>
        <v>835</v>
      </c>
      <c r="D87" s="64" t="str">
        <f>Ringkasan!D86</f>
        <v>#N/A</v>
      </c>
      <c r="E87" s="64" t="str">
        <f>Ringkasan!E86</f>
        <v/>
      </c>
      <c r="F87" s="64" t="str">
        <f>Ringkasan!F86</f>
        <v/>
      </c>
      <c r="G87" s="64">
        <f>Ringkasan!G86</f>
        <v>0</v>
      </c>
      <c r="H87" s="19">
        <f>Ringkasan!H86</f>
        <v>35.1</v>
      </c>
      <c r="I87" s="19">
        <f>Ringkasan!I86</f>
        <v>5.8</v>
      </c>
      <c r="J87" s="19">
        <f>Ringkasan!J86</f>
        <v>16.4</v>
      </c>
      <c r="K87" s="19">
        <f>Ringkasan!K86</f>
        <v>12.8</v>
      </c>
      <c r="L87" s="19">
        <f>Ringkasan!L86</f>
        <v>0.28</v>
      </c>
      <c r="M87" s="19">
        <f>Ringkasan!M86</f>
        <v>140</v>
      </c>
      <c r="N87" s="64" t="str">
        <f>Ringkasan!N86</f>
        <v/>
      </c>
      <c r="O87" s="64" t="str">
        <f>Ringkasan!O86</f>
        <v/>
      </c>
      <c r="P87" s="64" t="str">
        <f>Ringkasan!P86</f>
        <v/>
      </c>
      <c r="Q87" s="64" t="str">
        <f>Ringkasan!Q86</f>
        <v/>
      </c>
      <c r="R87" s="64" t="str">
        <f>Ringkasan!R86</f>
        <v/>
      </c>
      <c r="S87" s="64" t="str">
        <f>Ringkasan!S86</f>
        <v/>
      </c>
      <c r="T87" s="64" t="str">
        <f>Ringkasan!T86</f>
        <v/>
      </c>
      <c r="U87" s="64">
        <f>Ringkasan!U86</f>
        <v>785</v>
      </c>
      <c r="V87" s="64">
        <f>Ringkasan!V86</f>
        <v>6.37</v>
      </c>
      <c r="W87" s="64">
        <f>Ringkasan!W86</f>
        <v>785</v>
      </c>
      <c r="X87" s="64">
        <f>Ringkasan!X86</f>
        <v>850</v>
      </c>
      <c r="Y87" s="64">
        <f>Ringkasan!Y86</f>
        <v>785</v>
      </c>
      <c r="Z87" s="64">
        <f>Ringkasan!Z86</f>
        <v>1472800</v>
      </c>
      <c r="AA87" s="64" t="str">
        <f>Ringkasan!AA86</f>
        <v>Coal</v>
      </c>
      <c r="AB87" s="64" t="str">
        <f>Ringkasan!AB86</f>
        <v>Energy</v>
      </c>
    </row>
    <row r="88" hidden="1">
      <c r="A88" s="64" t="str">
        <f>Ringkasan!A87</f>
        <v>ALKA</v>
      </c>
      <c r="B88" s="64" t="str">
        <f>Ringkasan!B87</f>
        <v>Alakasa Industrindo Tbk</v>
      </c>
      <c r="C88" s="65">
        <f>Ringkasan!C87</f>
        <v>605</v>
      </c>
      <c r="D88" s="64" t="str">
        <f>Ringkasan!D87</f>
        <v>#N/A</v>
      </c>
      <c r="E88" s="64" t="str">
        <f>Ringkasan!E87</f>
        <v/>
      </c>
      <c r="F88" s="64" t="str">
        <f>Ringkasan!F87</f>
        <v/>
      </c>
      <c r="G88" s="64">
        <f>Ringkasan!G87</f>
        <v>0</v>
      </c>
      <c r="H88" s="19">
        <f>Ringkasan!H87</f>
        <v>16.7</v>
      </c>
      <c r="I88" s="19">
        <f>Ringkasan!I87</f>
        <v>1.2</v>
      </c>
      <c r="J88" s="19">
        <f>Ringkasan!J87</f>
        <v>7.3</v>
      </c>
      <c r="K88" s="19">
        <f>Ringkasan!K87</f>
        <v>6.4</v>
      </c>
      <c r="L88" s="19">
        <f>Ringkasan!L87</f>
        <v>0.13</v>
      </c>
      <c r="M88" s="19">
        <f>Ringkasan!M87</f>
        <v>90.1</v>
      </c>
      <c r="N88" s="64" t="str">
        <f>Ringkasan!N87</f>
        <v/>
      </c>
      <c r="O88" s="64" t="str">
        <f>Ringkasan!O87</f>
        <v/>
      </c>
      <c r="P88" s="64" t="str">
        <f>Ringkasan!P87</f>
        <v/>
      </c>
      <c r="Q88" s="64" t="str">
        <f>Ringkasan!Q87</f>
        <v/>
      </c>
      <c r="R88" s="64" t="str">
        <f>Ringkasan!R87</f>
        <v/>
      </c>
      <c r="S88" s="64" t="str">
        <f>Ringkasan!S87</f>
        <v/>
      </c>
      <c r="T88" s="64" t="str">
        <f>Ringkasan!T87</f>
        <v/>
      </c>
      <c r="U88" s="64">
        <f>Ringkasan!U87</f>
        <v>615</v>
      </c>
      <c r="V88" s="64">
        <f>Ringkasan!V87</f>
        <v>-1.63</v>
      </c>
      <c r="W88" s="64">
        <f>Ringkasan!W87</f>
        <v>625</v>
      </c>
      <c r="X88" s="64">
        <f>Ringkasan!X87</f>
        <v>645</v>
      </c>
      <c r="Y88" s="64">
        <f>Ringkasan!Y87</f>
        <v>605</v>
      </c>
      <c r="Z88" s="64">
        <f>Ringkasan!Z87</f>
        <v>182200</v>
      </c>
      <c r="AA88" s="64" t="str">
        <f>Ringkasan!AA87</f>
        <v>Metals &amp; Minerals</v>
      </c>
      <c r="AB88" s="64" t="str">
        <f>Ringkasan!AB87</f>
        <v>Basic Materials</v>
      </c>
    </row>
    <row r="89" hidden="1">
      <c r="A89" s="64" t="str">
        <f>Ringkasan!A393</f>
        <v>BOBA</v>
      </c>
      <c r="B89" s="64" t="str">
        <f>Ringkasan!B393</f>
        <v>Formosa Ingredient Factory Tbk.</v>
      </c>
      <c r="C89" s="65">
        <f>Ringkasan!C393</f>
        <v>336</v>
      </c>
      <c r="D89" s="64" t="str">
        <f>Ringkasan!D393</f>
        <v>#N/A</v>
      </c>
      <c r="E89" s="64" t="str">
        <f>Ringkasan!E393</f>
        <v/>
      </c>
      <c r="F89" s="64" t="str">
        <f>Ringkasan!F393</f>
        <v/>
      </c>
      <c r="G89" s="65">
        <f>Ringkasan!G393</f>
        <v>0</v>
      </c>
      <c r="H89" s="19">
        <f>Ringkasan!H393</f>
        <v>17.4</v>
      </c>
      <c r="I89" s="19">
        <f>Ringkasan!I393</f>
        <v>2</v>
      </c>
      <c r="J89" s="19">
        <f>Ringkasan!J393</f>
        <v>11.5</v>
      </c>
      <c r="K89" s="19">
        <f>Ringkasan!K393</f>
        <v>10</v>
      </c>
      <c r="L89" s="19">
        <f>Ringkasan!L393</f>
        <v>0.15</v>
      </c>
      <c r="M89" s="19">
        <f>Ringkasan!M393</f>
        <v>41.1</v>
      </c>
      <c r="N89" s="64" t="str">
        <f>Ringkasan!N393</f>
        <v/>
      </c>
      <c r="O89" s="64" t="str">
        <f>Ringkasan!O393</f>
        <v/>
      </c>
      <c r="P89" s="64" t="str">
        <f>Ringkasan!P393</f>
        <v/>
      </c>
      <c r="Q89" s="64" t="str">
        <f>Ringkasan!Q393</f>
        <v/>
      </c>
      <c r="R89" s="64" t="str">
        <f>Ringkasan!R393</f>
        <v/>
      </c>
      <c r="S89" s="64" t="str">
        <f>Ringkasan!S393</f>
        <v/>
      </c>
      <c r="T89" s="64" t="str">
        <f>Ringkasan!T393</f>
        <v/>
      </c>
      <c r="U89" s="64">
        <f>Ringkasan!U393</f>
        <v>340</v>
      </c>
      <c r="V89" s="64">
        <f>Ringkasan!V393</f>
        <v>-1.18</v>
      </c>
      <c r="W89" s="64">
        <f>Ringkasan!W393</f>
        <v>360</v>
      </c>
      <c r="X89" s="64" t="str">
        <f>Ringkasan!X393</f>
        <v/>
      </c>
      <c r="Y89" s="64">
        <f>Ringkasan!Y393</f>
        <v>334</v>
      </c>
      <c r="Z89" s="64">
        <f>Ringkasan!Z393</f>
        <v>1540300</v>
      </c>
      <c r="AA89" s="64" t="str">
        <f>Ringkasan!AA393</f>
        <v>Processed Foods</v>
      </c>
      <c r="AB89" s="64" t="str">
        <f>Ringkasan!AB393</f>
        <v>Consumer Non-Cyclicals</v>
      </c>
    </row>
    <row r="90" hidden="1">
      <c r="A90" s="64" t="str">
        <f>Ringkasan!A89</f>
        <v>ALTO</v>
      </c>
      <c r="B90" s="64" t="str">
        <f>Ringkasan!B89</f>
        <v>Tri Banyan Tirta Tbk.</v>
      </c>
      <c r="C90" s="65">
        <f>Ringkasan!C89</f>
        <v>18</v>
      </c>
      <c r="D90" s="64" t="str">
        <f>Ringkasan!D89</f>
        <v>#N/A</v>
      </c>
      <c r="E90" s="64" t="str">
        <f>Ringkasan!E89</f>
        <v/>
      </c>
      <c r="F90" s="64" t="str">
        <f>Ringkasan!F89</f>
        <v/>
      </c>
      <c r="G90" s="64">
        <f>Ringkasan!G89</f>
        <v>0</v>
      </c>
      <c r="H90" s="19">
        <f>Ringkasan!H89</f>
        <v>0</v>
      </c>
      <c r="I90" s="19">
        <f>Ringkasan!I89</f>
        <v>0.13</v>
      </c>
      <c r="J90" s="19">
        <f>Ringkasan!J89</f>
        <v>-14.3</v>
      </c>
      <c r="K90" s="19">
        <f>Ringkasan!K89</f>
        <v>-4.6</v>
      </c>
      <c r="L90" s="19">
        <f>Ringkasan!L89</f>
        <v>2.1</v>
      </c>
      <c r="M90" s="19">
        <f>Ringkasan!M89</f>
        <v>-71.9</v>
      </c>
      <c r="N90" s="64" t="str">
        <f>Ringkasan!N89</f>
        <v/>
      </c>
      <c r="O90" s="64" t="str">
        <f>Ringkasan!O89</f>
        <v/>
      </c>
      <c r="P90" s="64" t="str">
        <f>Ringkasan!P89</f>
        <v/>
      </c>
      <c r="Q90" s="64" t="str">
        <f>Ringkasan!Q89</f>
        <v/>
      </c>
      <c r="R90" s="64" t="str">
        <f>Ringkasan!R89</f>
        <v/>
      </c>
      <c r="S90" s="64" t="str">
        <f>Ringkasan!S89</f>
        <v/>
      </c>
      <c r="T90" s="64" t="str">
        <f>Ringkasan!T89</f>
        <v/>
      </c>
      <c r="U90" s="64">
        <f>Ringkasan!U89</f>
        <v>5.65</v>
      </c>
      <c r="V90" s="64">
        <f>Ringkasan!V89</f>
        <v>0.88</v>
      </c>
      <c r="W90" s="64">
        <f>Ringkasan!W89</f>
        <v>5.69</v>
      </c>
      <c r="X90" s="64">
        <f>Ringkasan!X89</f>
        <v>5.85</v>
      </c>
      <c r="Y90" s="64">
        <f>Ringkasan!Y89</f>
        <v>5.68</v>
      </c>
      <c r="Z90" s="64">
        <f>Ringkasan!Z89</f>
        <v>1626662</v>
      </c>
      <c r="AA90" s="64" t="str">
        <f>Ringkasan!AA89</f>
        <v>Beverages</v>
      </c>
      <c r="AB90" s="64" t="str">
        <f>Ringkasan!AB89</f>
        <v>Consumer Non-Cyclicals</v>
      </c>
    </row>
    <row r="91" hidden="1">
      <c r="A91" s="64" t="str">
        <f>Ringkasan!A90</f>
        <v>AMAG</v>
      </c>
      <c r="B91" s="64" t="str">
        <f>Ringkasan!B90</f>
        <v>Asuransi Multi Artha Guna Tbk.</v>
      </c>
      <c r="C91" s="65">
        <f>Ringkasan!C90</f>
        <v>390</v>
      </c>
      <c r="D91" s="64" t="str">
        <f>Ringkasan!D90</f>
        <v>#N/A</v>
      </c>
      <c r="E91" s="64" t="str">
        <f>Ringkasan!E90</f>
        <v/>
      </c>
      <c r="F91" s="64" t="str">
        <f>Ringkasan!F90</f>
        <v/>
      </c>
      <c r="G91" s="64">
        <f>Ringkasan!G90</f>
        <v>0</v>
      </c>
      <c r="H91" s="19">
        <f>Ringkasan!H90</f>
        <v>9.6</v>
      </c>
      <c r="I91" s="19">
        <f>Ringkasan!I90</f>
        <v>0.91</v>
      </c>
      <c r="J91" s="19">
        <f>Ringkasan!J90</f>
        <v>9.4</v>
      </c>
      <c r="K91" s="19">
        <f>Ringkasan!K90</f>
        <v>3.6</v>
      </c>
      <c r="L91" s="19">
        <f>Ringkasan!L90</f>
        <v>1.7</v>
      </c>
      <c r="M91" s="19">
        <f>Ringkasan!M90</f>
        <v>26.1</v>
      </c>
      <c r="N91" s="64" t="str">
        <f>Ringkasan!N90</f>
        <v/>
      </c>
      <c r="O91" s="64" t="str">
        <f>Ringkasan!O90</f>
        <v/>
      </c>
      <c r="P91" s="64" t="str">
        <f>Ringkasan!P90</f>
        <v/>
      </c>
      <c r="Q91" s="64" t="str">
        <f>Ringkasan!Q90</f>
        <v/>
      </c>
      <c r="R91" s="64" t="str">
        <f>Ringkasan!R90</f>
        <v/>
      </c>
      <c r="S91" s="64" t="str">
        <f>Ringkasan!S90</f>
        <v/>
      </c>
      <c r="T91" s="64" t="str">
        <f>Ringkasan!T90</f>
        <v/>
      </c>
      <c r="U91" s="64">
        <f>Ringkasan!U90</f>
        <v>378</v>
      </c>
      <c r="V91" s="64">
        <f>Ringkasan!V90</f>
        <v>3.17</v>
      </c>
      <c r="W91" s="64">
        <f>Ringkasan!W90</f>
        <v>390</v>
      </c>
      <c r="X91" s="64">
        <f>Ringkasan!X90</f>
        <v>390</v>
      </c>
      <c r="Y91" s="64">
        <f>Ringkasan!Y90</f>
        <v>380</v>
      </c>
      <c r="Z91" s="64">
        <f>Ringkasan!Z90</f>
        <v>12000</v>
      </c>
      <c r="AA91" s="64" t="str">
        <f>Ringkasan!AA90</f>
        <v>Insurance</v>
      </c>
      <c r="AB91" s="64" t="str">
        <f>Ringkasan!AB90</f>
        <v>Financials</v>
      </c>
    </row>
    <row r="92" hidden="1">
      <c r="A92" s="64" t="str">
        <f>Ringkasan!A91</f>
        <v>AMAN</v>
      </c>
      <c r="B92" s="64" t="str">
        <f>Ringkasan!B91</f>
        <v>Makmur Berkah Amanda Tbk.</v>
      </c>
      <c r="C92" s="65">
        <f>Ringkasan!C91</f>
        <v>250</v>
      </c>
      <c r="D92" s="64" t="str">
        <f>Ringkasan!D91</f>
        <v>#N/A</v>
      </c>
      <c r="E92" s="64" t="str">
        <f>Ringkasan!E91</f>
        <v/>
      </c>
      <c r="F92" s="64" t="str">
        <f>Ringkasan!F91</f>
        <v/>
      </c>
      <c r="G92" s="64">
        <f>Ringkasan!G91</f>
        <v>0</v>
      </c>
      <c r="H92" s="19">
        <f>Ringkasan!H91</f>
        <v>22.2</v>
      </c>
      <c r="I92" s="19">
        <f>Ringkasan!I91</f>
        <v>1.2</v>
      </c>
      <c r="J92" s="19">
        <f>Ringkasan!J91</f>
        <v>5.3</v>
      </c>
      <c r="K92" s="19">
        <f>Ringkasan!K91</f>
        <v>3</v>
      </c>
      <c r="L92" s="19">
        <f>Ringkasan!L91</f>
        <v>0.76</v>
      </c>
      <c r="M92" s="19">
        <f>Ringkasan!M91</f>
        <v>60.7</v>
      </c>
      <c r="N92" s="64" t="str">
        <f>Ringkasan!N91</f>
        <v/>
      </c>
      <c r="O92" s="64" t="str">
        <f>Ringkasan!O91</f>
        <v/>
      </c>
      <c r="P92" s="64" t="str">
        <f>Ringkasan!P91</f>
        <v/>
      </c>
      <c r="Q92" s="64" t="str">
        <f>Ringkasan!Q91</f>
        <v/>
      </c>
      <c r="R92" s="64" t="str">
        <f>Ringkasan!R91</f>
        <v/>
      </c>
      <c r="S92" s="64" t="str">
        <f>Ringkasan!S91</f>
        <v/>
      </c>
      <c r="T92" s="64" t="str">
        <f>Ringkasan!T91</f>
        <v/>
      </c>
      <c r="U92" s="64">
        <f>Ringkasan!U91</f>
        <v>10.08</v>
      </c>
      <c r="V92" s="64">
        <f>Ringkasan!V91</f>
        <v>0.2</v>
      </c>
      <c r="W92" s="64">
        <f>Ringkasan!W91</f>
        <v>10.08</v>
      </c>
      <c r="X92" s="64">
        <f>Ringkasan!X91</f>
        <v>10.13</v>
      </c>
      <c r="Y92" s="64">
        <f>Ringkasan!Y91</f>
        <v>10.07</v>
      </c>
      <c r="Z92" s="64">
        <f>Ringkasan!Z91</f>
        <v>21421</v>
      </c>
      <c r="AA92" s="64" t="str">
        <f>Ringkasan!AA91</f>
        <v>Real Estate Management &amp; Development</v>
      </c>
      <c r="AB92" s="64" t="str">
        <f>Ringkasan!AB91</f>
        <v>Properties &amp; Real Estate</v>
      </c>
    </row>
    <row r="93" hidden="1">
      <c r="A93" s="64" t="str">
        <f>Ringkasan!A92</f>
        <v>AMAR</v>
      </c>
      <c r="B93" s="64" t="str">
        <f>Ringkasan!B92</f>
        <v>Bank Amar Indonesia Tbk.</v>
      </c>
      <c r="C93" s="65">
        <f>Ringkasan!C92</f>
        <v>198</v>
      </c>
      <c r="D93" s="64" t="str">
        <f>Ringkasan!D92</f>
        <v>#N/A</v>
      </c>
      <c r="E93" s="64" t="str">
        <f>Ringkasan!E92</f>
        <v/>
      </c>
      <c r="F93" s="64" t="str">
        <f>Ringkasan!F92</f>
        <v/>
      </c>
      <c r="G93" s="64">
        <f>Ringkasan!G92</f>
        <v>0</v>
      </c>
      <c r="H93" s="19">
        <f>Ringkasan!H92</f>
        <v>14.1</v>
      </c>
      <c r="I93" s="19">
        <f>Ringkasan!I92</f>
        <v>1</v>
      </c>
      <c r="J93" s="19">
        <f>Ringkasan!J92</f>
        <v>7.3</v>
      </c>
      <c r="K93" s="19">
        <f>Ringkasan!K92</f>
        <v>3.7</v>
      </c>
      <c r="L93" s="19">
        <f>Ringkasan!L92</f>
        <v>0.99</v>
      </c>
      <c r="M93" s="19">
        <f>Ringkasan!M92</f>
        <v>60.8</v>
      </c>
      <c r="N93" s="64">
        <f>Ringkasan!N92</f>
        <v>24.03</v>
      </c>
      <c r="O93" s="64">
        <f>Ringkasan!O92</f>
        <v>98.47</v>
      </c>
      <c r="P93" s="64">
        <f>Ringkasan!P92</f>
        <v>142.67</v>
      </c>
      <c r="Q93" s="64">
        <f>Ringkasan!Q92</f>
        <v>8.11</v>
      </c>
      <c r="R93" s="64">
        <f>Ringkasan!R92</f>
        <v>85.22</v>
      </c>
      <c r="S93" s="64">
        <f>Ringkasan!S92</f>
        <v>101</v>
      </c>
      <c r="T93" s="64">
        <f>Ringkasan!T92</f>
        <v>11.28</v>
      </c>
      <c r="U93" s="64">
        <f>Ringkasan!U92</f>
        <v>191</v>
      </c>
      <c r="V93" s="64">
        <f>Ringkasan!V92</f>
        <v>3.66</v>
      </c>
      <c r="W93" s="64">
        <f>Ringkasan!W92</f>
        <v>187</v>
      </c>
      <c r="X93" s="64">
        <f>Ringkasan!X92</f>
        <v>198</v>
      </c>
      <c r="Y93" s="64">
        <f>Ringkasan!Y92</f>
        <v>187</v>
      </c>
      <c r="Z93" s="64">
        <f>Ringkasan!Z92</f>
        <v>567600</v>
      </c>
      <c r="AA93" s="64" t="str">
        <f>Ringkasan!AA92</f>
        <v>Banks</v>
      </c>
      <c r="AB93" s="64" t="str">
        <f>Ringkasan!AB92</f>
        <v>Financials</v>
      </c>
    </row>
    <row r="94" hidden="1">
      <c r="A94" s="64" t="str">
        <f>Ringkasan!A93</f>
        <v>AMFG</v>
      </c>
      <c r="B94" s="64" t="str">
        <f>Ringkasan!B93</f>
        <v>Asahimas Flat Glass Tbk.</v>
      </c>
      <c r="C94" s="65">
        <f>Ringkasan!C93</f>
        <v>3190</v>
      </c>
      <c r="D94" s="64" t="str">
        <f>Ringkasan!D93</f>
        <v>#N/A</v>
      </c>
      <c r="E94" s="64" t="str">
        <f>Ringkasan!E93</f>
        <v/>
      </c>
      <c r="F94" s="64" t="str">
        <f>Ringkasan!F93</f>
        <v/>
      </c>
      <c r="G94" s="64">
        <f>Ringkasan!G93</f>
        <v>0</v>
      </c>
      <c r="H94" s="19">
        <f>Ringkasan!H93</f>
        <v>53.1</v>
      </c>
      <c r="I94" s="19">
        <f>Ringkasan!I93</f>
        <v>0.29</v>
      </c>
      <c r="J94" s="19">
        <f>Ringkasan!J93</f>
        <v>0.55</v>
      </c>
      <c r="K94" s="19">
        <f>Ringkasan!K93</f>
        <v>0.36</v>
      </c>
      <c r="L94" s="19">
        <f>Ringkasan!L93</f>
        <v>0.53</v>
      </c>
      <c r="M94" s="19">
        <f>Ringkasan!M93</f>
        <v>2.1</v>
      </c>
      <c r="N94" s="64" t="str">
        <f>Ringkasan!N93</f>
        <v/>
      </c>
      <c r="O94" s="64" t="str">
        <f>Ringkasan!O93</f>
        <v/>
      </c>
      <c r="P94" s="64" t="str">
        <f>Ringkasan!P93</f>
        <v/>
      </c>
      <c r="Q94" s="64" t="str">
        <f>Ringkasan!Q93</f>
        <v/>
      </c>
      <c r="R94" s="64" t="str">
        <f>Ringkasan!R93</f>
        <v/>
      </c>
      <c r="S94" s="64" t="str">
        <f>Ringkasan!S93</f>
        <v/>
      </c>
      <c r="T94" s="64" t="str">
        <f>Ringkasan!T93</f>
        <v/>
      </c>
      <c r="U94" s="64">
        <f>Ringkasan!U93</f>
        <v>2840</v>
      </c>
      <c r="V94" s="64">
        <f>Ringkasan!V93</f>
        <v>12.32</v>
      </c>
      <c r="W94" s="64">
        <f>Ringkasan!W93</f>
        <v>2840</v>
      </c>
      <c r="X94" s="64" t="str">
        <f>Ringkasan!X93</f>
        <v/>
      </c>
      <c r="Y94" s="64" t="str">
        <f>Ringkasan!Y93</f>
        <v/>
      </c>
      <c r="Z94" s="64">
        <f>Ringkasan!Z93</f>
        <v>18600</v>
      </c>
      <c r="AA94" s="64" t="str">
        <f>Ringkasan!AA93</f>
        <v>Building Products &amp; Fixtures</v>
      </c>
      <c r="AB94" s="64" t="str">
        <f>Ringkasan!AB93</f>
        <v>Industrials</v>
      </c>
    </row>
    <row r="95" hidden="1">
      <c r="A95" s="60" t="str">
        <f>Ringkasan!A94</f>
        <v>AMIN</v>
      </c>
      <c r="B95" s="60" t="str">
        <f>Ringkasan!B94</f>
        <v>PT Ateliers Mecaniques D Indonesie Tbk.</v>
      </c>
      <c r="C95" s="61">
        <f>Ringkasan!C94</f>
        <v>260</v>
      </c>
      <c r="D95" s="60" t="str">
        <f>Ringkasan!D94</f>
        <v>#N/A</v>
      </c>
      <c r="E95" s="60" t="str">
        <f>Ringkasan!E94</f>
        <v/>
      </c>
      <c r="F95" s="60" t="str">
        <f>Ringkasan!F94</f>
        <v/>
      </c>
      <c r="G95" s="60">
        <f>Ringkasan!G94</f>
        <v>0</v>
      </c>
      <c r="H95" s="62">
        <f>Ringkasan!H94</f>
        <v>11.5</v>
      </c>
      <c r="I95" s="62">
        <f>Ringkasan!I94</f>
        <v>1.4</v>
      </c>
      <c r="J95" s="62">
        <f>Ringkasan!J94</f>
        <v>12.3</v>
      </c>
      <c r="K95" s="62">
        <f>Ringkasan!K94</f>
        <v>8.1</v>
      </c>
      <c r="L95" s="62">
        <f>Ringkasan!L94</f>
        <v>0.52</v>
      </c>
      <c r="M95" s="62">
        <f>Ringkasan!M94</f>
        <v>44.9</v>
      </c>
      <c r="N95" s="60" t="str">
        <f>Ringkasan!N94</f>
        <v/>
      </c>
      <c r="O95" s="60" t="str">
        <f>Ringkasan!O94</f>
        <v/>
      </c>
      <c r="P95" s="60" t="str">
        <f>Ringkasan!P94</f>
        <v/>
      </c>
      <c r="Q95" s="60" t="str">
        <f>Ringkasan!Q94</f>
        <v/>
      </c>
      <c r="R95" s="60" t="str">
        <f>Ringkasan!R94</f>
        <v/>
      </c>
      <c r="S95" s="60" t="str">
        <f>Ringkasan!S94</f>
        <v/>
      </c>
      <c r="T95" s="60" t="str">
        <f>Ringkasan!T94</f>
        <v/>
      </c>
      <c r="U95" s="60">
        <f>Ringkasan!U94</f>
        <v>0.1</v>
      </c>
      <c r="V95" s="60">
        <f>Ringkasan!V94</f>
        <v>0</v>
      </c>
      <c r="W95" s="60" t="str">
        <f>Ringkasan!W94</f>
        <v/>
      </c>
      <c r="X95" s="60" t="str">
        <f>Ringkasan!X94</f>
        <v/>
      </c>
      <c r="Y95" s="60" t="str">
        <f>Ringkasan!Y94</f>
        <v/>
      </c>
      <c r="Z95" s="60">
        <f>Ringkasan!Z94</f>
        <v>0</v>
      </c>
      <c r="AA95" s="60" t="str">
        <f>Ringkasan!AA94</f>
        <v>Machinery</v>
      </c>
      <c r="AB95" s="60" t="str">
        <f>Ringkasan!AB94</f>
        <v>Industrials</v>
      </c>
    </row>
    <row r="96" hidden="1">
      <c r="A96" s="64" t="str">
        <f>Ringkasan!A95</f>
        <v>AMMN</v>
      </c>
      <c r="B96" s="64" t="str">
        <f>Ringkasan!B95</f>
        <v>PT Amman Mineral Internasional Tbk.</v>
      </c>
      <c r="C96" s="65">
        <f>Ringkasan!C95</f>
        <v>3450</v>
      </c>
      <c r="D96" s="64" t="str">
        <f>Ringkasan!D95</f>
        <v>#N/A</v>
      </c>
      <c r="E96" s="64" t="str">
        <f>Ringkasan!E95</f>
        <v>IDX80</v>
      </c>
      <c r="F96" s="64" t="str">
        <f>Ringkasan!F95</f>
        <v>31 Juli 2026</v>
      </c>
      <c r="G96" s="64">
        <f>Ringkasan!G95</f>
        <v>5</v>
      </c>
      <c r="H96" s="19">
        <f>Ringkasan!H95</f>
        <v>26</v>
      </c>
      <c r="I96" s="19">
        <f>Ringkasan!I95</f>
        <v>2.5</v>
      </c>
      <c r="J96" s="19">
        <f>Ringkasan!J95</f>
        <v>9.7</v>
      </c>
      <c r="K96" s="19">
        <f>Ringkasan!K95</f>
        <v>3.9</v>
      </c>
      <c r="L96" s="19">
        <f>Ringkasan!L95</f>
        <v>1.5</v>
      </c>
      <c r="M96" s="19">
        <f>Ringkasan!M95</f>
        <v>67</v>
      </c>
      <c r="N96" s="64" t="str">
        <f>Ringkasan!N95</f>
        <v/>
      </c>
      <c r="O96" s="64" t="str">
        <f>Ringkasan!O95</f>
        <v/>
      </c>
      <c r="P96" s="64" t="str">
        <f>Ringkasan!P95</f>
        <v/>
      </c>
      <c r="Q96" s="64" t="str">
        <f>Ringkasan!Q95</f>
        <v/>
      </c>
      <c r="R96" s="64" t="str">
        <f>Ringkasan!R95</f>
        <v/>
      </c>
      <c r="S96" s="64" t="str">
        <f>Ringkasan!S95</f>
        <v/>
      </c>
      <c r="T96" s="64" t="str">
        <f>Ringkasan!T95</f>
        <v/>
      </c>
      <c r="U96" s="64">
        <f>Ringkasan!U95</f>
        <v>3060</v>
      </c>
      <c r="V96" s="64">
        <f>Ringkasan!V95</f>
        <v>12.75</v>
      </c>
      <c r="W96" s="64">
        <f>Ringkasan!W95</f>
        <v>3150</v>
      </c>
      <c r="X96" s="64">
        <f>Ringkasan!X95</f>
        <v>3540</v>
      </c>
      <c r="Y96" s="64">
        <f>Ringkasan!Y95</f>
        <v>3110</v>
      </c>
      <c r="Z96" s="64">
        <f>Ringkasan!Z95</f>
        <v>170357600</v>
      </c>
      <c r="AA96" s="64" t="str">
        <f>Ringkasan!AA95</f>
        <v>Metals &amp; Minerals</v>
      </c>
      <c r="AB96" s="64" t="str">
        <f>Ringkasan!AB95</f>
        <v>Basic Materials</v>
      </c>
    </row>
    <row r="97" hidden="1">
      <c r="A97" s="64" t="str">
        <f>Ringkasan!A96</f>
        <v>AMMN</v>
      </c>
      <c r="B97" s="64" t="str">
        <f>Ringkasan!B96</f>
        <v>PT Amman Mineral Internasional Tbk.</v>
      </c>
      <c r="C97" s="65">
        <f>Ringkasan!C96</f>
        <v>3450</v>
      </c>
      <c r="D97" s="64" t="str">
        <f>Ringkasan!D96</f>
        <v>#N/A</v>
      </c>
      <c r="E97" s="64" t="str">
        <f>Ringkasan!E96</f>
        <v>LQ45</v>
      </c>
      <c r="F97" s="64" t="str">
        <f>Ringkasan!F96</f>
        <v>31 Juli 2026</v>
      </c>
      <c r="G97" s="64">
        <f>Ringkasan!G96</f>
        <v>5</v>
      </c>
      <c r="H97" s="19">
        <f>Ringkasan!H96</f>
        <v>26</v>
      </c>
      <c r="I97" s="19">
        <f>Ringkasan!I96</f>
        <v>2.5</v>
      </c>
      <c r="J97" s="19">
        <f>Ringkasan!J96</f>
        <v>9.7</v>
      </c>
      <c r="K97" s="19">
        <f>Ringkasan!K96</f>
        <v>3.9</v>
      </c>
      <c r="L97" s="19">
        <f>Ringkasan!L96</f>
        <v>1.5</v>
      </c>
      <c r="M97" s="19">
        <f>Ringkasan!M96</f>
        <v>67</v>
      </c>
      <c r="N97" s="64" t="str">
        <f>Ringkasan!N96</f>
        <v/>
      </c>
      <c r="O97" s="64" t="str">
        <f>Ringkasan!O96</f>
        <v/>
      </c>
      <c r="P97" s="64" t="str">
        <f>Ringkasan!P96</f>
        <v/>
      </c>
      <c r="Q97" s="64" t="str">
        <f>Ringkasan!Q96</f>
        <v/>
      </c>
      <c r="R97" s="64" t="str">
        <f>Ringkasan!R96</f>
        <v/>
      </c>
      <c r="S97" s="64" t="str">
        <f>Ringkasan!S96</f>
        <v/>
      </c>
      <c r="T97" s="64" t="str">
        <f>Ringkasan!T96</f>
        <v/>
      </c>
      <c r="U97" s="64">
        <f>Ringkasan!U96</f>
        <v>3060</v>
      </c>
      <c r="V97" s="64">
        <f>Ringkasan!V96</f>
        <v>12.75</v>
      </c>
      <c r="W97" s="64">
        <f>Ringkasan!W96</f>
        <v>3150</v>
      </c>
      <c r="X97" s="64">
        <f>Ringkasan!X96</f>
        <v>3540</v>
      </c>
      <c r="Y97" s="64">
        <f>Ringkasan!Y96</f>
        <v>3110</v>
      </c>
      <c r="Z97" s="64">
        <f>Ringkasan!Z96</f>
        <v>170357600</v>
      </c>
      <c r="AA97" s="64" t="str">
        <f>Ringkasan!AA96</f>
        <v>Metals &amp; Minerals</v>
      </c>
      <c r="AB97" s="64" t="str">
        <f>Ringkasan!AB96</f>
        <v>Basic Materials</v>
      </c>
    </row>
    <row r="98" hidden="1">
      <c r="A98" s="64" t="str">
        <f>Ringkasan!A410</f>
        <v>BRIS</v>
      </c>
      <c r="B98" s="64" t="str">
        <f>Ringkasan!B410</f>
        <v>Bank Syariah Indonesia (Persero) Tbk.</v>
      </c>
      <c r="C98" s="65" t="str">
        <f>Ringkasan!C410</f>
        <v>#N/A</v>
      </c>
      <c r="D98" s="64" t="str">
        <f>Ringkasan!D410</f>
        <v>#N/A</v>
      </c>
      <c r="E98" s="64" t="str">
        <f>Ringkasan!E410</f>
        <v>FTSE Large Cap</v>
      </c>
      <c r="F98" s="64" t="str">
        <f>Ringkasan!F410</f>
        <v>Juni 2026</v>
      </c>
      <c r="G98" s="64">
        <f>Ringkasan!G410</f>
        <v>13</v>
      </c>
      <c r="H98" s="19">
        <f>Ringkasan!H410</f>
        <v>11.6</v>
      </c>
      <c r="I98" s="19">
        <f>Ringkasan!I410</f>
        <v>1.8</v>
      </c>
      <c r="J98" s="19">
        <f>Ringkasan!J410</f>
        <v>15.5</v>
      </c>
      <c r="K98" s="19">
        <f>Ringkasan!K410</f>
        <v>1.7</v>
      </c>
      <c r="L98" s="19">
        <f>Ringkasan!L410</f>
        <v>2.2</v>
      </c>
      <c r="M98" s="19">
        <f>Ringkasan!M410</f>
        <v>160</v>
      </c>
      <c r="N98" s="64">
        <f>Ringkasan!N410</f>
        <v>6.1</v>
      </c>
      <c r="O98" s="64">
        <f>Ringkasan!O410</f>
        <v>24.08</v>
      </c>
      <c r="P98" s="64">
        <f>Ringkasan!P410</f>
        <v>83.74</v>
      </c>
      <c r="Q98" s="64">
        <f>Ringkasan!Q410</f>
        <v>1.81</v>
      </c>
      <c r="R98" s="64">
        <f>Ringkasan!R410</f>
        <v>67.49</v>
      </c>
      <c r="S98" s="64">
        <f>Ringkasan!S410</f>
        <v>44.55</v>
      </c>
      <c r="T98" s="64">
        <f>Ringkasan!T410</f>
        <v>10.26</v>
      </c>
      <c r="U98" s="64">
        <f>Ringkasan!U410</f>
        <v>1795</v>
      </c>
      <c r="V98" s="64">
        <f>Ringkasan!V410</f>
        <v>4.18</v>
      </c>
      <c r="W98" s="64">
        <f>Ringkasan!W410</f>
        <v>1805</v>
      </c>
      <c r="X98" s="64">
        <f>Ringkasan!X410</f>
        <v>1870</v>
      </c>
      <c r="Y98" s="64">
        <f>Ringkasan!Y410</f>
        <v>1805</v>
      </c>
      <c r="Z98" s="64">
        <f>Ringkasan!Z410</f>
        <v>22071200</v>
      </c>
      <c r="AA98" s="64" t="str">
        <f>Ringkasan!AA410</f>
        <v>Banks</v>
      </c>
      <c r="AB98" s="64" t="str">
        <f>Ringkasan!AB410</f>
        <v>Financials</v>
      </c>
    </row>
    <row r="99" hidden="1">
      <c r="A99" s="64" t="str">
        <f>Ringkasan!A98</f>
        <v>AMMN</v>
      </c>
      <c r="B99" s="64" t="str">
        <f>Ringkasan!B98</f>
        <v>PT Amman Mineral Internasional Tbk.</v>
      </c>
      <c r="C99" s="65">
        <f>Ringkasan!C98</f>
        <v>3450</v>
      </c>
      <c r="D99" s="64" t="str">
        <f>Ringkasan!D98</f>
        <v>#N/A</v>
      </c>
      <c r="E99" s="64" t="str">
        <f>Ringkasan!E98</f>
        <v>ECONOMIC30</v>
      </c>
      <c r="F99" s="64" t="str">
        <f>Ringkasan!F98</f>
        <v>31 Agustus 2026</v>
      </c>
      <c r="G99" s="64">
        <f>Ringkasan!G98</f>
        <v>5</v>
      </c>
      <c r="H99" s="19">
        <f>Ringkasan!H98</f>
        <v>26</v>
      </c>
      <c r="I99" s="19">
        <f>Ringkasan!I98</f>
        <v>2.5</v>
      </c>
      <c r="J99" s="19">
        <f>Ringkasan!J98</f>
        <v>9.7</v>
      </c>
      <c r="K99" s="19">
        <f>Ringkasan!K98</f>
        <v>3.9</v>
      </c>
      <c r="L99" s="19">
        <f>Ringkasan!L98</f>
        <v>1.5</v>
      </c>
      <c r="M99" s="19">
        <f>Ringkasan!M98</f>
        <v>67</v>
      </c>
      <c r="N99" s="64" t="str">
        <f>Ringkasan!N98</f>
        <v/>
      </c>
      <c r="O99" s="64" t="str">
        <f>Ringkasan!O98</f>
        <v/>
      </c>
      <c r="P99" s="64" t="str">
        <f>Ringkasan!P98</f>
        <v/>
      </c>
      <c r="Q99" s="64" t="str">
        <f>Ringkasan!Q98</f>
        <v/>
      </c>
      <c r="R99" s="64" t="str">
        <f>Ringkasan!R98</f>
        <v/>
      </c>
      <c r="S99" s="64" t="str">
        <f>Ringkasan!S98</f>
        <v/>
      </c>
      <c r="T99" s="64" t="str">
        <f>Ringkasan!T98</f>
        <v/>
      </c>
      <c r="U99" s="64">
        <f>Ringkasan!U98</f>
        <v>3060</v>
      </c>
      <c r="V99" s="64">
        <f>Ringkasan!V98</f>
        <v>12.75</v>
      </c>
      <c r="W99" s="64">
        <f>Ringkasan!W98</f>
        <v>3150</v>
      </c>
      <c r="X99" s="64">
        <f>Ringkasan!X98</f>
        <v>3540</v>
      </c>
      <c r="Y99" s="64">
        <f>Ringkasan!Y98</f>
        <v>3110</v>
      </c>
      <c r="Z99" s="64">
        <f>Ringkasan!Z98</f>
        <v>170357600</v>
      </c>
      <c r="AA99" s="64" t="str">
        <f>Ringkasan!AA98</f>
        <v>Metals &amp; Minerals</v>
      </c>
      <c r="AB99" s="64" t="str">
        <f>Ringkasan!AB98</f>
        <v>Basic Materials</v>
      </c>
    </row>
    <row r="100" hidden="1">
      <c r="A100" s="64" t="str">
        <f>Ringkasan!A99</f>
        <v>AMMN</v>
      </c>
      <c r="B100" s="64" t="str">
        <f>Ringkasan!B99</f>
        <v>PT Amman Mineral Internasional Tbk.</v>
      </c>
      <c r="C100" s="65">
        <f>Ringkasan!C99</f>
        <v>3450</v>
      </c>
      <c r="D100" s="64" t="str">
        <f>Ringkasan!D99</f>
        <v>#N/A</v>
      </c>
      <c r="E100" s="64" t="str">
        <f>Ringkasan!E99</f>
        <v>FTSE Large Cap</v>
      </c>
      <c r="F100" s="64" t="str">
        <f>Ringkasan!F99</f>
        <v>Juni 2026</v>
      </c>
      <c r="G100" s="64">
        <f>Ringkasan!G99</f>
        <v>5</v>
      </c>
      <c r="H100" s="19">
        <f>Ringkasan!H99</f>
        <v>26</v>
      </c>
      <c r="I100" s="19">
        <f>Ringkasan!I99</f>
        <v>2.5</v>
      </c>
      <c r="J100" s="19">
        <f>Ringkasan!J99</f>
        <v>9.7</v>
      </c>
      <c r="K100" s="19">
        <f>Ringkasan!K99</f>
        <v>3.9</v>
      </c>
      <c r="L100" s="19">
        <f>Ringkasan!L99</f>
        <v>1.5</v>
      </c>
      <c r="M100" s="19">
        <f>Ringkasan!M99</f>
        <v>67</v>
      </c>
      <c r="N100" s="64" t="str">
        <f>Ringkasan!N99</f>
        <v/>
      </c>
      <c r="O100" s="64" t="str">
        <f>Ringkasan!O99</f>
        <v/>
      </c>
      <c r="P100" s="64" t="str">
        <f>Ringkasan!P99</f>
        <v/>
      </c>
      <c r="Q100" s="64" t="str">
        <f>Ringkasan!Q99</f>
        <v/>
      </c>
      <c r="R100" s="64" t="str">
        <f>Ringkasan!R99</f>
        <v/>
      </c>
      <c r="S100" s="64" t="str">
        <f>Ringkasan!S99</f>
        <v/>
      </c>
      <c r="T100" s="64" t="str">
        <f>Ringkasan!T99</f>
        <v/>
      </c>
      <c r="U100" s="64">
        <f>Ringkasan!U99</f>
        <v>3060</v>
      </c>
      <c r="V100" s="64">
        <f>Ringkasan!V99</f>
        <v>12.75</v>
      </c>
      <c r="W100" s="64">
        <f>Ringkasan!W99</f>
        <v>3150</v>
      </c>
      <c r="X100" s="64">
        <f>Ringkasan!X99</f>
        <v>3540</v>
      </c>
      <c r="Y100" s="64">
        <f>Ringkasan!Y99</f>
        <v>3110</v>
      </c>
      <c r="Z100" s="64">
        <f>Ringkasan!Z99</f>
        <v>170357600</v>
      </c>
      <c r="AA100" s="64" t="str">
        <f>Ringkasan!AA99</f>
        <v>Metals &amp; Minerals</v>
      </c>
      <c r="AB100" s="64" t="str">
        <f>Ringkasan!AB99</f>
        <v>Basic Materials</v>
      </c>
    </row>
    <row r="101" hidden="1">
      <c r="A101" s="64" t="str">
        <f>Ringkasan!A100</f>
        <v>AMMS</v>
      </c>
      <c r="B101" s="64" t="str">
        <f>Ringkasan!B100</f>
        <v>Agung Menjangan Mas Tbk.</v>
      </c>
      <c r="C101" s="65">
        <f>Ringkasan!C100</f>
        <v>328</v>
      </c>
      <c r="D101" s="64" t="str">
        <f>Ringkasan!D100</f>
        <v>#N/A</v>
      </c>
      <c r="E101" s="64" t="str">
        <f>Ringkasan!E100</f>
        <v/>
      </c>
      <c r="F101" s="64" t="str">
        <f>Ringkasan!F100</f>
        <v/>
      </c>
      <c r="G101" s="64">
        <f>Ringkasan!G100</f>
        <v>0</v>
      </c>
      <c r="H101" s="19">
        <f>Ringkasan!H100</f>
        <v>-1020</v>
      </c>
      <c r="I101" s="19">
        <f>Ringkasan!I100</f>
        <v>6.5</v>
      </c>
      <c r="J101" s="19">
        <f>Ringkasan!J100</f>
        <v>-0.63</v>
      </c>
      <c r="K101" s="19">
        <f>Ringkasan!K100</f>
        <v>-0.63</v>
      </c>
      <c r="L101" s="19">
        <f>Ringkasan!L100</f>
        <v>0.01</v>
      </c>
      <c r="M101" s="19">
        <f>Ringkasan!M100</f>
        <v>-2.9</v>
      </c>
      <c r="N101" s="64" t="str">
        <f>Ringkasan!N100</f>
        <v/>
      </c>
      <c r="O101" s="64" t="str">
        <f>Ringkasan!O100</f>
        <v/>
      </c>
      <c r="P101" s="64" t="str">
        <f>Ringkasan!P100</f>
        <v/>
      </c>
      <c r="Q101" s="64" t="str">
        <f>Ringkasan!Q100</f>
        <v/>
      </c>
      <c r="R101" s="64" t="str">
        <f>Ringkasan!R100</f>
        <v/>
      </c>
      <c r="S101" s="64" t="str">
        <f>Ringkasan!S100</f>
        <v/>
      </c>
      <c r="T101" s="64" t="str">
        <f>Ringkasan!T100</f>
        <v/>
      </c>
      <c r="U101" s="64">
        <f>Ringkasan!U100</f>
        <v>320</v>
      </c>
      <c r="V101" s="64">
        <f>Ringkasan!V100</f>
        <v>2.5</v>
      </c>
      <c r="W101" s="64">
        <f>Ringkasan!W100</f>
        <v>320</v>
      </c>
      <c r="X101" s="64">
        <f>Ringkasan!X100</f>
        <v>352</v>
      </c>
      <c r="Y101" s="64">
        <f>Ringkasan!Y100</f>
        <v>320</v>
      </c>
      <c r="Z101" s="64">
        <f>Ringkasan!Z100</f>
        <v>504900</v>
      </c>
      <c r="AA101" s="64" t="str">
        <f>Ringkasan!AA100</f>
        <v>Agricultural Products</v>
      </c>
      <c r="AB101" s="64" t="str">
        <f>Ringkasan!AB100</f>
        <v>Consumer Non-Cyclicals</v>
      </c>
    </row>
    <row r="102" hidden="1">
      <c r="A102" s="64" t="str">
        <f>Ringkasan!A431</f>
        <v>BRPT</v>
      </c>
      <c r="B102" s="64" t="str">
        <f>Ringkasan!B431</f>
        <v>Barito Pacific Tbk.</v>
      </c>
      <c r="C102" s="65">
        <f>Ringkasan!C431</f>
        <v>1700</v>
      </c>
      <c r="D102" s="64" t="str">
        <f>Ringkasan!D431</f>
        <v>#N/A</v>
      </c>
      <c r="E102" s="64" t="str">
        <f>Ringkasan!E431</f>
        <v>Pefindo - iGrade</v>
      </c>
      <c r="F102" s="64" t="str">
        <f>Ringkasan!F431</f>
        <v>30 Juni 2026</v>
      </c>
      <c r="G102" s="64">
        <f>Ringkasan!G431</f>
        <v>10</v>
      </c>
      <c r="H102" s="19">
        <f>Ringkasan!H431</f>
        <v>19.2</v>
      </c>
      <c r="I102" s="19">
        <f>Ringkasan!I431</f>
        <v>1.7</v>
      </c>
      <c r="J102" s="19">
        <f>Ringkasan!J431</f>
        <v>8.9</v>
      </c>
      <c r="K102" s="19">
        <f>Ringkasan!K431</f>
        <v>3.2</v>
      </c>
      <c r="L102" s="19">
        <f>Ringkasan!L431</f>
        <v>1.8</v>
      </c>
      <c r="M102" s="19">
        <f>Ringkasan!M431</f>
        <v>21.7</v>
      </c>
      <c r="N102" s="64" t="str">
        <f>Ringkasan!N431</f>
        <v/>
      </c>
      <c r="O102" s="64" t="str">
        <f>Ringkasan!O431</f>
        <v/>
      </c>
      <c r="P102" s="64" t="str">
        <f>Ringkasan!P431</f>
        <v/>
      </c>
      <c r="Q102" s="64" t="str">
        <f>Ringkasan!Q431</f>
        <v/>
      </c>
      <c r="R102" s="64" t="str">
        <f>Ringkasan!R431</f>
        <v/>
      </c>
      <c r="S102" s="64" t="str">
        <f>Ringkasan!S431</f>
        <v/>
      </c>
      <c r="T102" s="64" t="str">
        <f>Ringkasan!T431</f>
        <v/>
      </c>
      <c r="U102" s="64">
        <f>Ringkasan!U431</f>
        <v>1650</v>
      </c>
      <c r="V102" s="64">
        <f>Ringkasan!V431</f>
        <v>3.03</v>
      </c>
      <c r="W102" s="64">
        <f>Ringkasan!W431</f>
        <v>1700</v>
      </c>
      <c r="X102" s="64">
        <f>Ringkasan!X431</f>
        <v>1770</v>
      </c>
      <c r="Y102" s="64">
        <f>Ringkasan!Y431</f>
        <v>1680</v>
      </c>
      <c r="Z102" s="64">
        <f>Ringkasan!Z431</f>
        <v>279487700</v>
      </c>
      <c r="AA102" s="64" t="str">
        <f>Ringkasan!AA431</f>
        <v>Chemicals</v>
      </c>
      <c r="AB102" s="64" t="str">
        <f>Ringkasan!AB431</f>
        <v>Basic Materials</v>
      </c>
    </row>
    <row r="103" hidden="1">
      <c r="A103" s="64" t="str">
        <f>Ringkasan!A459</f>
        <v>BTPS</v>
      </c>
      <c r="B103" s="64" t="str">
        <f>Ringkasan!B459</f>
        <v>Bank BTPN Syariah Tbk.</v>
      </c>
      <c r="C103" s="65">
        <f>Ringkasan!C459</f>
        <v>965</v>
      </c>
      <c r="D103" s="64" t="str">
        <f>Ringkasan!D459</f>
        <v>#N/A</v>
      </c>
      <c r="E103" s="64" t="str">
        <f>Ringkasan!E459</f>
        <v>IDXSMC-LIQ</v>
      </c>
      <c r="F103" s="64" t="str">
        <f>Ringkasan!F459</f>
        <v>4 Agustus 2026</v>
      </c>
      <c r="G103" s="64">
        <f>Ringkasan!G459</f>
        <v>7</v>
      </c>
      <c r="H103" s="19">
        <f>Ringkasan!H459</f>
        <v>5.9</v>
      </c>
      <c r="I103" s="19">
        <f>Ringkasan!I459</f>
        <v>0.7</v>
      </c>
      <c r="J103" s="19">
        <f>Ringkasan!J459</f>
        <v>11.8</v>
      </c>
      <c r="K103" s="19">
        <f>Ringkasan!K459</f>
        <v>5.2</v>
      </c>
      <c r="L103" s="19">
        <f>Ringkasan!L459</f>
        <v>0.28</v>
      </c>
      <c r="M103" s="19">
        <f>Ringkasan!M459</f>
        <v>110</v>
      </c>
      <c r="N103" s="64">
        <f>Ringkasan!N459</f>
        <v>21.7</v>
      </c>
      <c r="O103" s="64">
        <f>Ringkasan!O459</f>
        <v>57.74</v>
      </c>
      <c r="P103" s="64">
        <f>Ringkasan!P459</f>
        <v>84.7</v>
      </c>
      <c r="Q103" s="64">
        <f>Ringkasan!Q459</f>
        <v>2.59</v>
      </c>
      <c r="R103" s="64">
        <f>Ringkasan!R459</f>
        <v>79.28</v>
      </c>
      <c r="S103" s="64">
        <f>Ringkasan!S459</f>
        <v>48.82</v>
      </c>
      <c r="T103" s="64" t="str">
        <f>Ringkasan!T459</f>
        <v/>
      </c>
      <c r="U103" s="64">
        <f>Ringkasan!U459</f>
        <v>935</v>
      </c>
      <c r="V103" s="64" t="str">
        <f>Ringkasan!V459</f>
        <v/>
      </c>
      <c r="W103" s="64">
        <f>Ringkasan!W459</f>
        <v>935</v>
      </c>
      <c r="X103" s="64">
        <f>Ringkasan!X459</f>
        <v>980</v>
      </c>
      <c r="Y103" s="64">
        <f>Ringkasan!Y459</f>
        <v>930</v>
      </c>
      <c r="Z103" s="64">
        <f>Ringkasan!Z459</f>
        <v>5453300</v>
      </c>
      <c r="AA103" s="64" t="str">
        <f>Ringkasan!AA459</f>
        <v>Banks</v>
      </c>
      <c r="AB103" s="64" t="str">
        <f>Ringkasan!AB459</f>
        <v>Financials</v>
      </c>
    </row>
    <row r="104">
      <c r="A104" s="60" t="str">
        <f>Ringkasan!A104</f>
        <v>AMRT</v>
      </c>
      <c r="B104" s="60" t="str">
        <f>Ringkasan!B104</f>
        <v>Sumber Alfaria Trijaya Tbk.</v>
      </c>
      <c r="C104" s="61">
        <f>Ringkasan!C104</f>
        <v>1375</v>
      </c>
      <c r="D104" s="60" t="str">
        <f>Ringkasan!D104</f>
        <v>#N/A</v>
      </c>
      <c r="E104" s="60" t="str">
        <f>Ringkasan!E104</f>
        <v>Kompas100</v>
      </c>
      <c r="F104" s="60" t="str">
        <f>Ringkasan!F104</f>
        <v>31 Juli 2026</v>
      </c>
      <c r="G104" s="60">
        <f>Ringkasan!G104</f>
        <v>10</v>
      </c>
      <c r="H104" s="62">
        <f>Ringkasan!H104</f>
        <v>13.6</v>
      </c>
      <c r="I104" s="62">
        <f>Ringkasan!I104</f>
        <v>2.4</v>
      </c>
      <c r="J104" s="62">
        <f>Ringkasan!J104</f>
        <v>17.6</v>
      </c>
      <c r="K104" s="62">
        <f>Ringkasan!K104</f>
        <v>7.7</v>
      </c>
      <c r="L104" s="62">
        <f>Ringkasan!L104</f>
        <v>1.3</v>
      </c>
      <c r="M104" s="62">
        <f>Ringkasan!M104</f>
        <v>10</v>
      </c>
      <c r="N104" s="60" t="str">
        <f>Ringkasan!N104</f>
        <v/>
      </c>
      <c r="O104" s="60" t="str">
        <f>Ringkasan!O104</f>
        <v/>
      </c>
      <c r="P104" s="60" t="str">
        <f>Ringkasan!P104</f>
        <v/>
      </c>
      <c r="Q104" s="60" t="str">
        <f>Ringkasan!Q104</f>
        <v/>
      </c>
      <c r="R104" s="60" t="str">
        <f>Ringkasan!R104</f>
        <v/>
      </c>
      <c r="S104" s="60" t="str">
        <f>Ringkasan!S104</f>
        <v/>
      </c>
      <c r="T104" s="60" t="str">
        <f>Ringkasan!T104</f>
        <v/>
      </c>
      <c r="U104" s="60">
        <f>Ringkasan!U104</f>
        <v>1335</v>
      </c>
      <c r="V104" s="60">
        <f>Ringkasan!V104</f>
        <v>3</v>
      </c>
      <c r="W104" s="60">
        <f>Ringkasan!W104</f>
        <v>1340</v>
      </c>
      <c r="X104" s="60">
        <f>Ringkasan!X104</f>
        <v>1415</v>
      </c>
      <c r="Y104" s="60">
        <f>Ringkasan!Y104</f>
        <v>1325</v>
      </c>
      <c r="Z104" s="60">
        <f>Ringkasan!Z104</f>
        <v>91250600</v>
      </c>
      <c r="AA104" s="60" t="str">
        <f>Ringkasan!AA104</f>
        <v>Food &amp; Staples Retailing</v>
      </c>
      <c r="AB104" s="60" t="str">
        <f>Ringkasan!AB104</f>
        <v>Consumer Non-Cyclicals</v>
      </c>
    </row>
    <row r="105">
      <c r="A105" s="60" t="str">
        <f>Ringkasan!A105</f>
        <v>AMRT</v>
      </c>
      <c r="B105" s="60" t="str">
        <f>Ringkasan!B105</f>
        <v>Sumber Alfaria Trijaya Tbk.</v>
      </c>
      <c r="C105" s="61">
        <f>Ringkasan!C105</f>
        <v>1375</v>
      </c>
      <c r="D105" s="60" t="str">
        <f>Ringkasan!D105</f>
        <v>#N/A</v>
      </c>
      <c r="E105" s="60" t="str">
        <f>Ringkasan!E105</f>
        <v>BISNIS-27</v>
      </c>
      <c r="F105" s="60" t="str">
        <f>Ringkasan!F105</f>
        <v>30 Oktober 2026</v>
      </c>
      <c r="G105" s="60">
        <f>Ringkasan!G105</f>
        <v>10</v>
      </c>
      <c r="H105" s="62">
        <f>Ringkasan!H105</f>
        <v>13.6</v>
      </c>
      <c r="I105" s="62">
        <f>Ringkasan!I105</f>
        <v>2.4</v>
      </c>
      <c r="J105" s="62">
        <f>Ringkasan!J105</f>
        <v>17.6</v>
      </c>
      <c r="K105" s="62">
        <f>Ringkasan!K105</f>
        <v>7.7</v>
      </c>
      <c r="L105" s="62">
        <f>Ringkasan!L105</f>
        <v>1.3</v>
      </c>
      <c r="M105" s="62">
        <f>Ringkasan!M105</f>
        <v>10</v>
      </c>
      <c r="N105" s="60" t="str">
        <f>Ringkasan!N105</f>
        <v/>
      </c>
      <c r="O105" s="60" t="str">
        <f>Ringkasan!O105</f>
        <v/>
      </c>
      <c r="P105" s="60" t="str">
        <f>Ringkasan!P105</f>
        <v/>
      </c>
      <c r="Q105" s="60" t="str">
        <f>Ringkasan!Q105</f>
        <v/>
      </c>
      <c r="R105" s="60" t="str">
        <f>Ringkasan!R105</f>
        <v/>
      </c>
      <c r="S105" s="60" t="str">
        <f>Ringkasan!S105</f>
        <v/>
      </c>
      <c r="T105" s="60" t="str">
        <f>Ringkasan!T105</f>
        <v/>
      </c>
      <c r="U105" s="60">
        <f>Ringkasan!U105</f>
        <v>1335</v>
      </c>
      <c r="V105" s="60">
        <f>Ringkasan!V105</f>
        <v>3</v>
      </c>
      <c r="W105" s="60">
        <f>Ringkasan!W105</f>
        <v>1340</v>
      </c>
      <c r="X105" s="60">
        <f>Ringkasan!X105</f>
        <v>1415</v>
      </c>
      <c r="Y105" s="60">
        <f>Ringkasan!Y105</f>
        <v>1325</v>
      </c>
      <c r="Z105" s="60">
        <f>Ringkasan!Z105</f>
        <v>91250600</v>
      </c>
      <c r="AA105" s="60" t="str">
        <f>Ringkasan!AA105</f>
        <v>Food &amp; Staples Retailing</v>
      </c>
      <c r="AB105" s="60" t="str">
        <f>Ringkasan!AB105</f>
        <v>Consumer Non-Cyclicals</v>
      </c>
    </row>
    <row r="106">
      <c r="A106" s="60" t="str">
        <f>Ringkasan!A107</f>
        <v>AMRT</v>
      </c>
      <c r="B106" s="60" t="str">
        <f>Ringkasan!B107</f>
        <v>Sumber Alfaria Trijaya Tbk.</v>
      </c>
      <c r="C106" s="61">
        <f>Ringkasan!C107</f>
        <v>1375</v>
      </c>
      <c r="D106" s="60" t="str">
        <f>Ringkasan!D107</f>
        <v>#N/A</v>
      </c>
      <c r="E106" s="60" t="str">
        <f>Ringkasan!E107</f>
        <v>LQ45</v>
      </c>
      <c r="F106" s="60" t="str">
        <f>Ringkasan!F107</f>
        <v>31 Juli 2026</v>
      </c>
      <c r="G106" s="60">
        <f>Ringkasan!G107</f>
        <v>10</v>
      </c>
      <c r="H106" s="62">
        <f>Ringkasan!H107</f>
        <v>13.6</v>
      </c>
      <c r="I106" s="62">
        <f>Ringkasan!I107</f>
        <v>2.4</v>
      </c>
      <c r="J106" s="62">
        <f>Ringkasan!J107</f>
        <v>17.6</v>
      </c>
      <c r="K106" s="62">
        <f>Ringkasan!K107</f>
        <v>7.7</v>
      </c>
      <c r="L106" s="62">
        <f>Ringkasan!L107</f>
        <v>1.3</v>
      </c>
      <c r="M106" s="62">
        <f>Ringkasan!M107</f>
        <v>10</v>
      </c>
      <c r="N106" s="60" t="str">
        <f>Ringkasan!N107</f>
        <v/>
      </c>
      <c r="O106" s="60" t="str">
        <f>Ringkasan!O107</f>
        <v/>
      </c>
      <c r="P106" s="60" t="str">
        <f>Ringkasan!P107</f>
        <v/>
      </c>
      <c r="Q106" s="60" t="str">
        <f>Ringkasan!Q107</f>
        <v/>
      </c>
      <c r="R106" s="60" t="str">
        <f>Ringkasan!R107</f>
        <v/>
      </c>
      <c r="S106" s="60" t="str">
        <f>Ringkasan!S107</f>
        <v/>
      </c>
      <c r="T106" s="60" t="str">
        <f>Ringkasan!T107</f>
        <v/>
      </c>
      <c r="U106" s="60">
        <f>Ringkasan!U107</f>
        <v>1335</v>
      </c>
      <c r="V106" s="60">
        <f>Ringkasan!V107</f>
        <v>3</v>
      </c>
      <c r="W106" s="60">
        <f>Ringkasan!W107</f>
        <v>1340</v>
      </c>
      <c r="X106" s="60">
        <f>Ringkasan!X107</f>
        <v>1415</v>
      </c>
      <c r="Y106" s="60">
        <f>Ringkasan!Y107</f>
        <v>1325</v>
      </c>
      <c r="Z106" s="60">
        <f>Ringkasan!Z107</f>
        <v>91250600</v>
      </c>
      <c r="AA106" s="60" t="str">
        <f>Ringkasan!AA107</f>
        <v>Food &amp; Staples Retailing</v>
      </c>
      <c r="AB106" s="60" t="str">
        <f>Ringkasan!AB107</f>
        <v>Consumer Non-Cyclicals</v>
      </c>
    </row>
    <row r="107" hidden="1">
      <c r="A107" s="64" t="str">
        <f>Ringkasan!A578</f>
        <v>DAAZ</v>
      </c>
      <c r="B107" s="64" t="str">
        <f>Ringkasan!B578</f>
        <v>Daaz Bara Lestari Tbk.</v>
      </c>
      <c r="C107" s="67">
        <f>Ringkasan!C578</f>
        <v>1685</v>
      </c>
      <c r="D107" s="22" t="str">
        <f>Ringkasan!D578</f>
        <v>#N/A</v>
      </c>
      <c r="E107" s="64" t="str">
        <f>Ringkasan!E578</f>
        <v/>
      </c>
      <c r="F107" s="64" t="str">
        <f>Ringkasan!F578</f>
        <v/>
      </c>
      <c r="G107" s="64">
        <f>Ringkasan!G578</f>
        <v>0</v>
      </c>
      <c r="H107" s="19">
        <f>Ringkasan!H578</f>
        <v>12.1</v>
      </c>
      <c r="I107" s="19">
        <f>Ringkasan!I578</f>
        <v>1.3</v>
      </c>
      <c r="J107" s="19">
        <f>Ringkasan!J578</f>
        <v>11.1</v>
      </c>
      <c r="K107" s="19">
        <f>Ringkasan!K578</f>
        <v>3.8</v>
      </c>
      <c r="L107" s="19">
        <f>Ringkasan!L578</f>
        <v>1.9</v>
      </c>
      <c r="M107" s="19">
        <f>Ringkasan!M578</f>
        <v>7.1</v>
      </c>
      <c r="N107" s="64" t="str">
        <f>Ringkasan!N578</f>
        <v/>
      </c>
      <c r="O107" s="64" t="str">
        <f>Ringkasan!O578</f>
        <v/>
      </c>
      <c r="P107" s="64" t="str">
        <f>Ringkasan!P578</f>
        <v/>
      </c>
      <c r="Q107" s="64" t="str">
        <f>Ringkasan!Q578</f>
        <v/>
      </c>
      <c r="R107" s="64" t="str">
        <f>Ringkasan!R578</f>
        <v/>
      </c>
      <c r="S107" s="64" t="str">
        <f>Ringkasan!S578</f>
        <v/>
      </c>
      <c r="T107" s="64" t="str">
        <f>Ringkasan!T578</f>
        <v/>
      </c>
      <c r="U107" s="22">
        <f>Ringkasan!U578</f>
        <v>1685</v>
      </c>
      <c r="V107" s="22">
        <f>Ringkasan!V578</f>
        <v>0</v>
      </c>
      <c r="W107" s="22" t="str">
        <f>Ringkasan!W578</f>
        <v/>
      </c>
      <c r="X107" s="22">
        <f>Ringkasan!X578</f>
        <v>1730</v>
      </c>
      <c r="Y107" s="22">
        <f>Ringkasan!Y578</f>
        <v>1680</v>
      </c>
      <c r="Z107" s="22">
        <f>Ringkasan!Z578</f>
        <v>1040800</v>
      </c>
      <c r="AA107" s="64" t="str">
        <f>Ringkasan!AA578</f>
        <v>Metals &amp; Minerals</v>
      </c>
      <c r="AB107" s="64" t="str">
        <f>Ringkasan!AB578</f>
        <v>Basic Materials</v>
      </c>
    </row>
    <row r="108">
      <c r="A108" s="60" t="str">
        <f>Ringkasan!A108</f>
        <v>AMRT</v>
      </c>
      <c r="B108" s="60" t="str">
        <f>Ringkasan!B108</f>
        <v>Sumber Alfaria Trijaya Tbk.</v>
      </c>
      <c r="C108" s="61">
        <f>Ringkasan!C108</f>
        <v>1375</v>
      </c>
      <c r="D108" s="60" t="str">
        <f>Ringkasan!D108</f>
        <v>#N/A</v>
      </c>
      <c r="E108" s="60" t="str">
        <f>Ringkasan!E108</f>
        <v>IDXVESTA28</v>
      </c>
      <c r="F108" s="60" t="str">
        <f>Ringkasan!F108</f>
        <v>31 Agustus 2026</v>
      </c>
      <c r="G108" s="60">
        <f>Ringkasan!G108</f>
        <v>10</v>
      </c>
      <c r="H108" s="62">
        <f>Ringkasan!H108</f>
        <v>13.6</v>
      </c>
      <c r="I108" s="62">
        <f>Ringkasan!I108</f>
        <v>2.4</v>
      </c>
      <c r="J108" s="62">
        <f>Ringkasan!J108</f>
        <v>17.6</v>
      </c>
      <c r="K108" s="62">
        <f>Ringkasan!K108</f>
        <v>7.7</v>
      </c>
      <c r="L108" s="62">
        <f>Ringkasan!L108</f>
        <v>1.3</v>
      </c>
      <c r="M108" s="62">
        <f>Ringkasan!M108</f>
        <v>10</v>
      </c>
      <c r="N108" s="60" t="str">
        <f>Ringkasan!N108</f>
        <v/>
      </c>
      <c r="O108" s="60" t="str">
        <f>Ringkasan!O108</f>
        <v/>
      </c>
      <c r="P108" s="60" t="str">
        <f>Ringkasan!P108</f>
        <v/>
      </c>
      <c r="Q108" s="60" t="str">
        <f>Ringkasan!Q108</f>
        <v/>
      </c>
      <c r="R108" s="60" t="str">
        <f>Ringkasan!R108</f>
        <v/>
      </c>
      <c r="S108" s="60" t="str">
        <f>Ringkasan!S108</f>
        <v/>
      </c>
      <c r="T108" s="60" t="str">
        <f>Ringkasan!T108</f>
        <v/>
      </c>
      <c r="U108" s="60">
        <f>Ringkasan!U108</f>
        <v>1335</v>
      </c>
      <c r="V108" s="60">
        <f>Ringkasan!V108</f>
        <v>3</v>
      </c>
      <c r="W108" s="60">
        <f>Ringkasan!W108</f>
        <v>1340</v>
      </c>
      <c r="X108" s="60">
        <f>Ringkasan!X108</f>
        <v>1415</v>
      </c>
      <c r="Y108" s="60">
        <f>Ringkasan!Y108</f>
        <v>1325</v>
      </c>
      <c r="Z108" s="60">
        <f>Ringkasan!Z108</f>
        <v>91250600</v>
      </c>
      <c r="AA108" s="60" t="str">
        <f>Ringkasan!AA108</f>
        <v>Food &amp; Staples Retailing</v>
      </c>
      <c r="AB108" s="60" t="str">
        <f>Ringkasan!AB108</f>
        <v>Consumer Non-Cyclicals</v>
      </c>
    </row>
    <row r="109">
      <c r="A109" s="60" t="str">
        <f>Ringkasan!A109</f>
        <v>AMRT</v>
      </c>
      <c r="B109" s="60" t="str">
        <f>Ringkasan!B109</f>
        <v>Sumber Alfaria Trijaya Tbk.</v>
      </c>
      <c r="C109" s="61">
        <f>Ringkasan!C109</f>
        <v>1375</v>
      </c>
      <c r="D109" s="60" t="str">
        <f>Ringkasan!D109</f>
        <v>#N/A</v>
      </c>
      <c r="E109" s="60" t="str">
        <f>Ringkasan!E109</f>
        <v>FTSE Large Cap</v>
      </c>
      <c r="F109" s="60" t="str">
        <f>Ringkasan!F109</f>
        <v>Juni 2026</v>
      </c>
      <c r="G109" s="60">
        <f>Ringkasan!G109</f>
        <v>10</v>
      </c>
      <c r="H109" s="62">
        <f>Ringkasan!H109</f>
        <v>13.6</v>
      </c>
      <c r="I109" s="62">
        <f>Ringkasan!I109</f>
        <v>2.4</v>
      </c>
      <c r="J109" s="62">
        <f>Ringkasan!J109</f>
        <v>17.6</v>
      </c>
      <c r="K109" s="62">
        <f>Ringkasan!K109</f>
        <v>7.7</v>
      </c>
      <c r="L109" s="62">
        <f>Ringkasan!L109</f>
        <v>1.3</v>
      </c>
      <c r="M109" s="62">
        <f>Ringkasan!M109</f>
        <v>10</v>
      </c>
      <c r="N109" s="60" t="str">
        <f>Ringkasan!N109</f>
        <v/>
      </c>
      <c r="O109" s="60" t="str">
        <f>Ringkasan!O109</f>
        <v/>
      </c>
      <c r="P109" s="60" t="str">
        <f>Ringkasan!P109</f>
        <v/>
      </c>
      <c r="Q109" s="60" t="str">
        <f>Ringkasan!Q109</f>
        <v/>
      </c>
      <c r="R109" s="60" t="str">
        <f>Ringkasan!R109</f>
        <v/>
      </c>
      <c r="S109" s="60" t="str">
        <f>Ringkasan!S109</f>
        <v/>
      </c>
      <c r="T109" s="60" t="str">
        <f>Ringkasan!T109</f>
        <v/>
      </c>
      <c r="U109" s="60">
        <f>Ringkasan!U109</f>
        <v>1335</v>
      </c>
      <c r="V109" s="60">
        <f>Ringkasan!V109</f>
        <v>3</v>
      </c>
      <c r="W109" s="60">
        <f>Ringkasan!W109</f>
        <v>1340</v>
      </c>
      <c r="X109" s="60">
        <f>Ringkasan!X109</f>
        <v>1415</v>
      </c>
      <c r="Y109" s="60">
        <f>Ringkasan!Y109</f>
        <v>1325</v>
      </c>
      <c r="Z109" s="60">
        <f>Ringkasan!Z109</f>
        <v>91250600</v>
      </c>
      <c r="AA109" s="60" t="str">
        <f>Ringkasan!AA109</f>
        <v>Food &amp; Staples Retailing</v>
      </c>
      <c r="AB109" s="60" t="str">
        <f>Ringkasan!AB109</f>
        <v>Consumer Non-Cyclicals</v>
      </c>
    </row>
    <row r="110">
      <c r="A110" s="60" t="str">
        <f>Ringkasan!A110</f>
        <v>AMRT</v>
      </c>
      <c r="B110" s="60" t="str">
        <f>Ringkasan!B110</f>
        <v>Sumber Alfaria Trijaya Tbk.</v>
      </c>
      <c r="C110" s="61">
        <f>Ringkasan!C110</f>
        <v>1375</v>
      </c>
      <c r="D110" s="60" t="str">
        <f>Ringkasan!D110</f>
        <v>#N/A</v>
      </c>
      <c r="E110" s="60" t="str">
        <f>Ringkasan!E110</f>
        <v>MSCI Small Cap</v>
      </c>
      <c r="F110" s="60" t="str">
        <f>Ringkasan!F110</f>
        <v>12 Agustus 2026</v>
      </c>
      <c r="G110" s="60">
        <f>Ringkasan!G110</f>
        <v>10</v>
      </c>
      <c r="H110" s="62">
        <f>Ringkasan!H110</f>
        <v>13.6</v>
      </c>
      <c r="I110" s="62">
        <f>Ringkasan!I110</f>
        <v>2.4</v>
      </c>
      <c r="J110" s="62">
        <f>Ringkasan!J110</f>
        <v>17.6</v>
      </c>
      <c r="K110" s="62">
        <f>Ringkasan!K110</f>
        <v>7.7</v>
      </c>
      <c r="L110" s="62">
        <f>Ringkasan!L110</f>
        <v>1.3</v>
      </c>
      <c r="M110" s="62">
        <f>Ringkasan!M110</f>
        <v>10</v>
      </c>
      <c r="N110" s="60" t="str">
        <f>Ringkasan!N110</f>
        <v/>
      </c>
      <c r="O110" s="60" t="str">
        <f>Ringkasan!O110</f>
        <v/>
      </c>
      <c r="P110" s="60" t="str">
        <f>Ringkasan!P110</f>
        <v/>
      </c>
      <c r="Q110" s="60" t="str">
        <f>Ringkasan!Q110</f>
        <v/>
      </c>
      <c r="R110" s="60" t="str">
        <f>Ringkasan!R110</f>
        <v/>
      </c>
      <c r="S110" s="60" t="str">
        <f>Ringkasan!S110</f>
        <v/>
      </c>
      <c r="T110" s="60" t="str">
        <f>Ringkasan!T110</f>
        <v/>
      </c>
      <c r="U110" s="60">
        <f>Ringkasan!U110</f>
        <v>1335</v>
      </c>
      <c r="V110" s="60">
        <f>Ringkasan!V110</f>
        <v>3</v>
      </c>
      <c r="W110" s="60">
        <f>Ringkasan!W110</f>
        <v>1340</v>
      </c>
      <c r="X110" s="60">
        <f>Ringkasan!X110</f>
        <v>1415</v>
      </c>
      <c r="Y110" s="60">
        <f>Ringkasan!Y110</f>
        <v>1325</v>
      </c>
      <c r="Z110" s="60">
        <f>Ringkasan!Z110</f>
        <v>91250600</v>
      </c>
      <c r="AA110" s="60" t="str">
        <f>Ringkasan!AA110</f>
        <v>Food &amp; Staples Retailing</v>
      </c>
      <c r="AB110" s="60" t="str">
        <f>Ringkasan!AB110</f>
        <v>Consumer Non-Cyclicals</v>
      </c>
    </row>
    <row r="111" hidden="1">
      <c r="A111" s="60" t="str">
        <f>Ringkasan!A656</f>
        <v>EMTK</v>
      </c>
      <c r="B111" s="60" t="str">
        <f>Ringkasan!B656</f>
        <v>Elang Mahkota Teknologi Tbk.</v>
      </c>
      <c r="C111" s="61">
        <f>Ringkasan!C656</f>
        <v>550</v>
      </c>
      <c r="D111" s="60" t="str">
        <f>Ringkasan!D656</f>
        <v>#N/A</v>
      </c>
      <c r="E111" s="60" t="str">
        <f>Ringkasan!E656</f>
        <v>ESGQKEHATI</v>
      </c>
      <c r="F111" s="63">
        <f>Ringkasan!F656</f>
        <v>46356</v>
      </c>
      <c r="G111" s="61">
        <f>Ringkasan!G656</f>
        <v>13</v>
      </c>
      <c r="H111" s="62">
        <f>Ringkasan!H656</f>
        <v>13.4</v>
      </c>
      <c r="I111" s="62">
        <f>Ringkasan!I656</f>
        <v>0.72</v>
      </c>
      <c r="J111" s="62">
        <f>Ringkasan!J656</f>
        <v>5.4</v>
      </c>
      <c r="K111" s="62">
        <f>Ringkasan!K656</f>
        <v>4.7</v>
      </c>
      <c r="L111" s="62">
        <f>Ringkasan!L656</f>
        <v>0.14</v>
      </c>
      <c r="M111" s="62">
        <f>Ringkasan!M656</f>
        <v>48.5</v>
      </c>
      <c r="N111" s="60" t="str">
        <f>Ringkasan!N656</f>
        <v/>
      </c>
      <c r="O111" s="60" t="str">
        <f>Ringkasan!O656</f>
        <v/>
      </c>
      <c r="P111" s="60" t="str">
        <f>Ringkasan!P656</f>
        <v/>
      </c>
      <c r="Q111" s="60" t="str">
        <f>Ringkasan!Q656</f>
        <v/>
      </c>
      <c r="R111" s="60" t="str">
        <f>Ringkasan!R656</f>
        <v/>
      </c>
      <c r="S111" s="60" t="str">
        <f>Ringkasan!S656</f>
        <v/>
      </c>
      <c r="T111" s="60" t="str">
        <f>Ringkasan!T656</f>
        <v/>
      </c>
      <c r="U111" s="60">
        <f>Ringkasan!U656</f>
        <v>525</v>
      </c>
      <c r="V111" s="60">
        <f>Ringkasan!V656</f>
        <v>4.76</v>
      </c>
      <c r="W111" s="60">
        <f>Ringkasan!W656</f>
        <v>530</v>
      </c>
      <c r="X111" s="60">
        <f>Ringkasan!X656</f>
        <v>570</v>
      </c>
      <c r="Y111" s="60">
        <f>Ringkasan!Y656</f>
        <v>530</v>
      </c>
      <c r="Z111" s="60">
        <f>Ringkasan!Z656</f>
        <v>34198900</v>
      </c>
      <c r="AA111" s="60" t="str">
        <f>Ringkasan!AA656</f>
        <v>Online Applications &amp; Services</v>
      </c>
      <c r="AB111" s="60" t="str">
        <f>Ringkasan!AB656</f>
        <v>Technology</v>
      </c>
    </row>
    <row r="112" hidden="1">
      <c r="A112" s="64" t="str">
        <f>Ringkasan!A688</f>
        <v>ERAA</v>
      </c>
      <c r="B112" s="64" t="str">
        <f>Ringkasan!B688</f>
        <v>Erajaya Swasembada Tbk.</v>
      </c>
      <c r="C112" s="65">
        <f>Ringkasan!C688</f>
        <v>364</v>
      </c>
      <c r="D112" s="64" t="str">
        <f>Ringkasan!D688</f>
        <v>#N/A</v>
      </c>
      <c r="E112" s="64" t="str">
        <f>Ringkasan!E688</f>
        <v>ECONOMIC30</v>
      </c>
      <c r="F112" s="64" t="str">
        <f>Ringkasan!F688</f>
        <v>31 Agustus 2026</v>
      </c>
      <c r="G112" s="64">
        <f>Ringkasan!G688</f>
        <v>10</v>
      </c>
      <c r="H112" s="19">
        <f>Ringkasan!H688</f>
        <v>4.1</v>
      </c>
      <c r="I112" s="19">
        <f>Ringkasan!I688</f>
        <v>0.54</v>
      </c>
      <c r="J112" s="19">
        <f>Ringkasan!J688</f>
        <v>13.2</v>
      </c>
      <c r="K112" s="19">
        <f>Ringkasan!K688</f>
        <v>4.6</v>
      </c>
      <c r="L112" s="19">
        <f>Ringkasan!L688</f>
        <v>1.9</v>
      </c>
      <c r="M112" s="19">
        <f>Ringkasan!M688</f>
        <v>6.5</v>
      </c>
      <c r="N112" s="64" t="str">
        <f>Ringkasan!N688</f>
        <v/>
      </c>
      <c r="O112" s="64" t="str">
        <f>Ringkasan!O688</f>
        <v/>
      </c>
      <c r="P112" s="64" t="str">
        <f>Ringkasan!P688</f>
        <v/>
      </c>
      <c r="Q112" s="64" t="str">
        <f>Ringkasan!Q688</f>
        <v/>
      </c>
      <c r="R112" s="64" t="str">
        <f>Ringkasan!R688</f>
        <v/>
      </c>
      <c r="S112" s="64" t="str">
        <f>Ringkasan!S688</f>
        <v/>
      </c>
      <c r="T112" s="64" t="str">
        <f>Ringkasan!T688</f>
        <v/>
      </c>
      <c r="U112" s="64" t="str">
        <f>Ringkasan!U688</f>
        <v/>
      </c>
      <c r="V112" s="64">
        <f>Ringkasan!V688</f>
        <v>2.82</v>
      </c>
      <c r="W112" s="64">
        <f>Ringkasan!W688</f>
        <v>356</v>
      </c>
      <c r="X112" s="64">
        <f>Ringkasan!X688</f>
        <v>370</v>
      </c>
      <c r="Y112" s="64">
        <f>Ringkasan!Y688</f>
        <v>356</v>
      </c>
      <c r="Z112" s="64">
        <f>Ringkasan!Z688</f>
        <v>16043800</v>
      </c>
      <c r="AA112" s="64" t="str">
        <f>Ringkasan!AA688</f>
        <v>Specialty Retail</v>
      </c>
      <c r="AB112" s="64" t="str">
        <f>Ringkasan!AB688</f>
        <v>Consumer Cyclicals</v>
      </c>
    </row>
    <row r="113" hidden="1">
      <c r="A113" s="64" t="str">
        <f>Ringkasan!A112</f>
        <v>ANDI</v>
      </c>
      <c r="B113" s="64" t="str">
        <f>Ringkasan!B112</f>
        <v>Andira Agro Tbk.</v>
      </c>
      <c r="C113" s="61">
        <f>Ringkasan!C112</f>
        <v>18</v>
      </c>
      <c r="D113" s="60" t="str">
        <f>Ringkasan!D112</f>
        <v>#N/A</v>
      </c>
      <c r="E113" s="60" t="str">
        <f>Ringkasan!E112</f>
        <v/>
      </c>
      <c r="F113" s="60" t="str">
        <f>Ringkasan!F112</f>
        <v/>
      </c>
      <c r="G113" s="60">
        <f>Ringkasan!G112</f>
        <v>0</v>
      </c>
      <c r="H113" s="62">
        <f>Ringkasan!H112</f>
        <v>-3.7</v>
      </c>
      <c r="I113" s="62">
        <f>Ringkasan!I112</f>
        <v>1.7</v>
      </c>
      <c r="J113" s="62">
        <f>Ringkasan!J112</f>
        <v>-45.6</v>
      </c>
      <c r="K113" s="62">
        <f>Ringkasan!K112</f>
        <v>-18.6</v>
      </c>
      <c r="L113" s="62">
        <f>Ringkasan!L112</f>
        <v>1.5</v>
      </c>
      <c r="M113" s="62">
        <f>Ringkasan!M112</f>
        <v>-210</v>
      </c>
      <c r="N113" s="60" t="str">
        <f>Ringkasan!N112</f>
        <v/>
      </c>
      <c r="O113" s="60" t="str">
        <f>Ringkasan!O112</f>
        <v/>
      </c>
      <c r="P113" s="60" t="str">
        <f>Ringkasan!P112</f>
        <v/>
      </c>
      <c r="Q113" s="60" t="str">
        <f>Ringkasan!Q112</f>
        <v/>
      </c>
      <c r="R113" s="60" t="str">
        <f>Ringkasan!R112</f>
        <v/>
      </c>
      <c r="S113" s="60" t="str">
        <f>Ringkasan!S112</f>
        <v/>
      </c>
      <c r="T113" s="60" t="str">
        <f>Ringkasan!T112</f>
        <v/>
      </c>
      <c r="U113" s="60">
        <f>Ringkasan!U112</f>
        <v>0</v>
      </c>
      <c r="V113" s="60" t="str">
        <f>Ringkasan!V112</f>
        <v/>
      </c>
      <c r="W113" s="60">
        <f>Ringkasan!W112</f>
        <v>0</v>
      </c>
      <c r="X113" s="60">
        <f>Ringkasan!X112</f>
        <v>0</v>
      </c>
      <c r="Y113" s="60">
        <f>Ringkasan!Y112</f>
        <v>0</v>
      </c>
      <c r="Z113" s="60">
        <f>Ringkasan!Z112</f>
        <v>700</v>
      </c>
      <c r="AA113" s="60" t="str">
        <f>Ringkasan!AA112</f>
        <v>Agricultural Products</v>
      </c>
      <c r="AB113" s="60" t="str">
        <f>Ringkasan!AB112</f>
        <v>Consumer Non-Cyclicals</v>
      </c>
    </row>
    <row r="114" hidden="1">
      <c r="A114" s="64" t="str">
        <f>Ringkasan!A113</f>
        <v>ANJT</v>
      </c>
      <c r="B114" s="64" t="str">
        <f>Ringkasan!B113</f>
        <v>PT Austindo Nusantara Jaya Tbk.</v>
      </c>
      <c r="C114" s="61">
        <f>Ringkasan!C113</f>
        <v>1500</v>
      </c>
      <c r="D114" s="60" t="str">
        <f>Ringkasan!D113</f>
        <v>#N/A</v>
      </c>
      <c r="E114" s="60" t="str">
        <f>Ringkasan!E113</f>
        <v/>
      </c>
      <c r="F114" s="60" t="str">
        <f>Ringkasan!F113</f>
        <v/>
      </c>
      <c r="G114" s="60">
        <f>Ringkasan!G113</f>
        <v>0</v>
      </c>
      <c r="H114" s="62">
        <f>Ringkasan!H113</f>
        <v>10.5</v>
      </c>
      <c r="I114" s="62">
        <f>Ringkasan!I113</f>
        <v>0.82</v>
      </c>
      <c r="J114" s="62">
        <f>Ringkasan!J113</f>
        <v>7.9</v>
      </c>
      <c r="K114" s="62">
        <f>Ringkasan!K113</f>
        <v>5.4</v>
      </c>
      <c r="L114" s="62">
        <f>Ringkasan!L113</f>
        <v>0.45</v>
      </c>
      <c r="M114" s="62">
        <f>Ringkasan!M113</f>
        <v>17.2</v>
      </c>
      <c r="N114" s="60" t="str">
        <f>Ringkasan!N113</f>
        <v/>
      </c>
      <c r="O114" s="60" t="str">
        <f>Ringkasan!O113</f>
        <v/>
      </c>
      <c r="P114" s="60" t="str">
        <f>Ringkasan!P113</f>
        <v/>
      </c>
      <c r="Q114" s="60" t="str">
        <f>Ringkasan!Q113</f>
        <v/>
      </c>
      <c r="R114" s="60" t="str">
        <f>Ringkasan!R113</f>
        <v/>
      </c>
      <c r="S114" s="60" t="str">
        <f>Ringkasan!S113</f>
        <v/>
      </c>
      <c r="T114" s="60" t="str">
        <f>Ringkasan!T113</f>
        <v/>
      </c>
      <c r="U114" s="60">
        <f>Ringkasan!U113</f>
        <v>1450</v>
      </c>
      <c r="V114" s="60">
        <f>Ringkasan!V113</f>
        <v>3.45</v>
      </c>
      <c r="W114" s="60">
        <f>Ringkasan!W113</f>
        <v>1350</v>
      </c>
      <c r="X114" s="60">
        <f>Ringkasan!X113</f>
        <v>1510</v>
      </c>
      <c r="Y114" s="60">
        <f>Ringkasan!Y113</f>
        <v>1350</v>
      </c>
      <c r="Z114" s="60">
        <f>Ringkasan!Z113</f>
        <v>110900</v>
      </c>
      <c r="AA114" s="60" t="str">
        <f>Ringkasan!AA113</f>
        <v>Agricultural Products</v>
      </c>
      <c r="AB114" s="60" t="str">
        <f>Ringkasan!AB113</f>
        <v>Consumer Non-Cyclicals</v>
      </c>
    </row>
    <row r="115" hidden="1">
      <c r="A115" s="60" t="str">
        <f>Ringkasan!A1076</f>
        <v>KOTA</v>
      </c>
      <c r="B115" s="60" t="str">
        <f>Ringkasan!B1076</f>
        <v>DMS Propertindo Tbk.</v>
      </c>
      <c r="C115" s="61">
        <f>Ringkasan!C1076</f>
        <v>89</v>
      </c>
      <c r="D115" s="60" t="str">
        <f>Ringkasan!D1076</f>
        <v>#N/A</v>
      </c>
      <c r="E115" s="60" t="str">
        <f>Ringkasan!E1076</f>
        <v/>
      </c>
      <c r="F115" s="60" t="str">
        <f>Ringkasan!F1076</f>
        <v/>
      </c>
      <c r="G115" s="60">
        <f>Ringkasan!G1076</f>
        <v>0</v>
      </c>
      <c r="H115" s="62">
        <f>Ringkasan!H1076</f>
        <v>22</v>
      </c>
      <c r="I115" s="62">
        <f>Ringkasan!I1076</f>
        <v>0.93</v>
      </c>
      <c r="J115" s="62">
        <f>Ringkasan!J1076</f>
        <v>4.3</v>
      </c>
      <c r="K115" s="62">
        <f>Ringkasan!K1076</f>
        <v>2.8</v>
      </c>
      <c r="L115" s="62">
        <f>Ringkasan!L1076</f>
        <v>0.52</v>
      </c>
      <c r="M115" s="62">
        <f>Ringkasan!M1076</f>
        <v>160</v>
      </c>
      <c r="N115" s="60" t="str">
        <f>Ringkasan!N1076</f>
        <v/>
      </c>
      <c r="O115" s="60" t="str">
        <f>Ringkasan!O1076</f>
        <v/>
      </c>
      <c r="P115" s="60" t="str">
        <f>Ringkasan!P1076</f>
        <v/>
      </c>
      <c r="Q115" s="60" t="str">
        <f>Ringkasan!Q1076</f>
        <v/>
      </c>
      <c r="R115" s="60" t="str">
        <f>Ringkasan!R1076</f>
        <v/>
      </c>
      <c r="S115" s="60" t="str">
        <f>Ringkasan!S1076</f>
        <v/>
      </c>
      <c r="T115" s="60" t="str">
        <f>Ringkasan!T1076</f>
        <v/>
      </c>
      <c r="U115" s="60">
        <f>Ringkasan!U1076</f>
        <v>82</v>
      </c>
      <c r="V115" s="60">
        <f>Ringkasan!V1076</f>
        <v>8.54</v>
      </c>
      <c r="W115" s="60">
        <f>Ringkasan!W1076</f>
        <v>83</v>
      </c>
      <c r="X115" s="60">
        <f>Ringkasan!X1076</f>
        <v>96</v>
      </c>
      <c r="Y115" s="60">
        <f>Ringkasan!Y1076</f>
        <v>83</v>
      </c>
      <c r="Z115" s="60">
        <f>Ringkasan!Z1076</f>
        <v>273652800</v>
      </c>
      <c r="AA115" s="60" t="str">
        <f>Ringkasan!AA1076</f>
        <v>Tourism &amp; Recreation</v>
      </c>
      <c r="AB115" s="60" t="str">
        <f>Ringkasan!AB1076</f>
        <v>Consumer Cyclicals</v>
      </c>
    </row>
    <row r="116">
      <c r="A116" s="60" t="str">
        <f>Ringkasan!A111</f>
        <v>AMRT</v>
      </c>
      <c r="B116" s="60" t="str">
        <f>Ringkasan!B111</f>
        <v>Sumber Alfaria Trijaya Tbk.</v>
      </c>
      <c r="C116" s="61">
        <f>Ringkasan!C111</f>
        <v>1375</v>
      </c>
      <c r="D116" s="60" t="str">
        <f>Ringkasan!D111</f>
        <v>#N/A</v>
      </c>
      <c r="E116" s="60" t="str">
        <f>Ringkasan!E111</f>
        <v>Investor33</v>
      </c>
      <c r="F116" s="63">
        <f>Ringkasan!F111</f>
        <v>46356</v>
      </c>
      <c r="G116" s="60">
        <f>Ringkasan!G111</f>
        <v>10</v>
      </c>
      <c r="H116" s="62">
        <f>Ringkasan!H111</f>
        <v>13.6</v>
      </c>
      <c r="I116" s="62">
        <f>Ringkasan!I111</f>
        <v>2.4</v>
      </c>
      <c r="J116" s="62">
        <f>Ringkasan!J111</f>
        <v>17.6</v>
      </c>
      <c r="K116" s="62">
        <f>Ringkasan!K111</f>
        <v>7.7</v>
      </c>
      <c r="L116" s="62">
        <f>Ringkasan!L111</f>
        <v>1.3</v>
      </c>
      <c r="M116" s="62">
        <f>Ringkasan!M111</f>
        <v>10</v>
      </c>
      <c r="N116" s="60" t="str">
        <f>Ringkasan!N111</f>
        <v/>
      </c>
      <c r="O116" s="60" t="str">
        <f>Ringkasan!O111</f>
        <v/>
      </c>
      <c r="P116" s="60" t="str">
        <f>Ringkasan!P111</f>
        <v/>
      </c>
      <c r="Q116" s="60" t="str">
        <f>Ringkasan!Q111</f>
        <v/>
      </c>
      <c r="R116" s="60" t="str">
        <f>Ringkasan!R111</f>
        <v/>
      </c>
      <c r="S116" s="60" t="str">
        <f>Ringkasan!S111</f>
        <v/>
      </c>
      <c r="T116" s="60" t="str">
        <f>Ringkasan!T111</f>
        <v/>
      </c>
      <c r="U116" s="60">
        <f>Ringkasan!U111</f>
        <v>1335</v>
      </c>
      <c r="V116" s="60">
        <f>Ringkasan!V111</f>
        <v>3</v>
      </c>
      <c r="W116" s="60">
        <f>Ringkasan!W111</f>
        <v>1340</v>
      </c>
      <c r="X116" s="60">
        <f>Ringkasan!X111</f>
        <v>1415</v>
      </c>
      <c r="Y116" s="60">
        <f>Ringkasan!Y111</f>
        <v>1325</v>
      </c>
      <c r="Z116" s="60">
        <f>Ringkasan!Z111</f>
        <v>91250600</v>
      </c>
      <c r="AA116" s="60" t="str">
        <f>Ringkasan!AA111</f>
        <v>Food &amp; Staples Retailing</v>
      </c>
      <c r="AB116" s="60" t="str">
        <f>Ringkasan!AB111</f>
        <v>Consumer Non-Cyclicals</v>
      </c>
    </row>
    <row r="117">
      <c r="A117" s="60" t="str">
        <f>Ringkasan!A102</f>
        <v>AMRT</v>
      </c>
      <c r="B117" s="60" t="str">
        <f>Ringkasan!B102</f>
        <v>Sumber Alfaria Trijaya Tbk.</v>
      </c>
      <c r="C117" s="61">
        <f>Ringkasan!C102</f>
        <v>1375</v>
      </c>
      <c r="D117" s="60" t="str">
        <f>Ringkasan!D102</f>
        <v>#N/A</v>
      </c>
      <c r="E117" s="60" t="str">
        <f>Ringkasan!E102</f>
        <v>IDXQ30</v>
      </c>
      <c r="F117" s="60" t="str">
        <f>Ringkasan!F102</f>
        <v>4 Agustus 2026</v>
      </c>
      <c r="G117" s="60">
        <f>Ringkasan!G102</f>
        <v>10</v>
      </c>
      <c r="H117" s="62">
        <f>Ringkasan!H102</f>
        <v>13.6</v>
      </c>
      <c r="I117" s="62">
        <f>Ringkasan!I102</f>
        <v>2.4</v>
      </c>
      <c r="J117" s="62">
        <f>Ringkasan!J102</f>
        <v>17.6</v>
      </c>
      <c r="K117" s="62">
        <f>Ringkasan!K102</f>
        <v>7.7</v>
      </c>
      <c r="L117" s="62">
        <f>Ringkasan!L102</f>
        <v>1.3</v>
      </c>
      <c r="M117" s="62">
        <f>Ringkasan!M102</f>
        <v>10</v>
      </c>
      <c r="N117" s="60" t="str">
        <f>Ringkasan!N102</f>
        <v/>
      </c>
      <c r="O117" s="60" t="str">
        <f>Ringkasan!O102</f>
        <v/>
      </c>
      <c r="P117" s="60" t="str">
        <f>Ringkasan!P102</f>
        <v/>
      </c>
      <c r="Q117" s="60" t="str">
        <f>Ringkasan!Q102</f>
        <v/>
      </c>
      <c r="R117" s="60" t="str">
        <f>Ringkasan!R102</f>
        <v/>
      </c>
      <c r="S117" s="60" t="str">
        <f>Ringkasan!S102</f>
        <v/>
      </c>
      <c r="T117" s="60" t="str">
        <f>Ringkasan!T102</f>
        <v/>
      </c>
      <c r="U117" s="60">
        <f>Ringkasan!U102</f>
        <v>1335</v>
      </c>
      <c r="V117" s="60">
        <f>Ringkasan!V102</f>
        <v>3</v>
      </c>
      <c r="W117" s="60">
        <f>Ringkasan!W102</f>
        <v>1340</v>
      </c>
      <c r="X117" s="60">
        <f>Ringkasan!X102</f>
        <v>1415</v>
      </c>
      <c r="Y117" s="60">
        <f>Ringkasan!Y102</f>
        <v>1325</v>
      </c>
      <c r="Z117" s="60">
        <f>Ringkasan!Z102</f>
        <v>91250600</v>
      </c>
      <c r="AA117" s="60" t="str">
        <f>Ringkasan!AA102</f>
        <v>Food &amp; Staples Retailing</v>
      </c>
      <c r="AB117" s="60" t="str">
        <f>Ringkasan!AB102</f>
        <v>Consumer Non-Cyclicals</v>
      </c>
    </row>
    <row r="118">
      <c r="A118" s="60" t="str">
        <f>Ringkasan!A122</f>
        <v>ANTM</v>
      </c>
      <c r="B118" s="60" t="str">
        <f>Ringkasan!B122</f>
        <v>Aneka Tambang Tbk.</v>
      </c>
      <c r="C118" s="61">
        <f>Ringkasan!C122</f>
        <v>2850</v>
      </c>
      <c r="D118" s="60" t="str">
        <f>Ringkasan!D122</f>
        <v>#N/A</v>
      </c>
      <c r="E118" s="60" t="str">
        <f>Ringkasan!E122</f>
        <v>IDXVESTA28</v>
      </c>
      <c r="F118" s="60" t="str">
        <f>Ringkasan!F122</f>
        <v>31 Agustus 2026</v>
      </c>
      <c r="G118" s="61">
        <f>Ringkasan!G122</f>
        <v>19</v>
      </c>
      <c r="H118" s="62">
        <f>Ringkasan!H122</f>
        <v>8.2</v>
      </c>
      <c r="I118" s="62">
        <f>Ringkasan!I122</f>
        <v>1.7</v>
      </c>
      <c r="J118" s="62">
        <f>Ringkasan!J122</f>
        <v>21</v>
      </c>
      <c r="K118" s="62">
        <f>Ringkasan!K122</f>
        <v>13.4</v>
      </c>
      <c r="L118" s="62">
        <f>Ringkasan!L122</f>
        <v>0.57</v>
      </c>
      <c r="M118" s="62">
        <f>Ringkasan!M122</f>
        <v>28.9</v>
      </c>
      <c r="N118" s="60" t="str">
        <f>Ringkasan!N122</f>
        <v/>
      </c>
      <c r="O118" s="60" t="str">
        <f>Ringkasan!O122</f>
        <v/>
      </c>
      <c r="P118" s="60" t="str">
        <f>Ringkasan!P122</f>
        <v/>
      </c>
      <c r="Q118" s="60" t="str">
        <f>Ringkasan!Q122</f>
        <v/>
      </c>
      <c r="R118" s="60" t="str">
        <f>Ringkasan!R122</f>
        <v/>
      </c>
      <c r="S118" s="60" t="str">
        <f>Ringkasan!S122</f>
        <v/>
      </c>
      <c r="T118" s="60" t="str">
        <f>Ringkasan!T122</f>
        <v/>
      </c>
      <c r="U118" s="60">
        <f>Ringkasan!U122</f>
        <v>2720</v>
      </c>
      <c r="V118" s="60">
        <f>Ringkasan!V122</f>
        <v>4.78</v>
      </c>
      <c r="W118" s="60">
        <f>Ringkasan!W122</f>
        <v>2800</v>
      </c>
      <c r="X118" s="60">
        <f>Ringkasan!X122</f>
        <v>2910</v>
      </c>
      <c r="Y118" s="60">
        <f>Ringkasan!Y122</f>
        <v>2760</v>
      </c>
      <c r="Z118" s="60">
        <f>Ringkasan!Z122</f>
        <v>174808500</v>
      </c>
      <c r="AA118" s="60" t="str">
        <f>Ringkasan!AA122</f>
        <v>Metals &amp; Minerals</v>
      </c>
      <c r="AB118" s="60" t="str">
        <f>Ringkasan!AB122</f>
        <v>Basic Materials</v>
      </c>
    </row>
    <row r="119">
      <c r="A119" s="60" t="str">
        <f>Ringkasan!A114</f>
        <v>ANTM</v>
      </c>
      <c r="B119" s="60" t="str">
        <f>Ringkasan!B114</f>
        <v>Aneka Tambang Tbk.</v>
      </c>
      <c r="C119" s="61">
        <f>Ringkasan!C114</f>
        <v>2850</v>
      </c>
      <c r="D119" s="60" t="str">
        <f>Ringkasan!D114</f>
        <v>#N/A</v>
      </c>
      <c r="E119" s="60" t="str">
        <f>Ringkasan!E114</f>
        <v>ESGQKEHATI</v>
      </c>
      <c r="F119" s="63">
        <f>Ringkasan!F114</f>
        <v>46356</v>
      </c>
      <c r="G119" s="61">
        <f>Ringkasan!G114</f>
        <v>19</v>
      </c>
      <c r="H119" s="62">
        <f>Ringkasan!H114</f>
        <v>8.2</v>
      </c>
      <c r="I119" s="62">
        <f>Ringkasan!I114</f>
        <v>1.7</v>
      </c>
      <c r="J119" s="62">
        <f>Ringkasan!J114</f>
        <v>21</v>
      </c>
      <c r="K119" s="62">
        <f>Ringkasan!K114</f>
        <v>13.4</v>
      </c>
      <c r="L119" s="62">
        <f>Ringkasan!L114</f>
        <v>0.57</v>
      </c>
      <c r="M119" s="62">
        <f>Ringkasan!M114</f>
        <v>28.9</v>
      </c>
      <c r="N119" s="60" t="str">
        <f>Ringkasan!N114</f>
        <v/>
      </c>
      <c r="O119" s="60" t="str">
        <f>Ringkasan!O114</f>
        <v/>
      </c>
      <c r="P119" s="60" t="str">
        <f>Ringkasan!P114</f>
        <v/>
      </c>
      <c r="Q119" s="60" t="str">
        <f>Ringkasan!Q114</f>
        <v/>
      </c>
      <c r="R119" s="60" t="str">
        <f>Ringkasan!R114</f>
        <v/>
      </c>
      <c r="S119" s="60" t="str">
        <f>Ringkasan!S114</f>
        <v/>
      </c>
      <c r="T119" s="60" t="str">
        <f>Ringkasan!T114</f>
        <v/>
      </c>
      <c r="U119" s="60">
        <f>Ringkasan!U114</f>
        <v>2720</v>
      </c>
      <c r="V119" s="60">
        <f>Ringkasan!V114</f>
        <v>4.78</v>
      </c>
      <c r="W119" s="60">
        <f>Ringkasan!W114</f>
        <v>2800</v>
      </c>
      <c r="X119" s="60">
        <f>Ringkasan!X114</f>
        <v>2910</v>
      </c>
      <c r="Y119" s="60">
        <f>Ringkasan!Y114</f>
        <v>2760</v>
      </c>
      <c r="Z119" s="60">
        <f>Ringkasan!Z114</f>
        <v>174808500</v>
      </c>
      <c r="AA119" s="60" t="str">
        <f>Ringkasan!AA114</f>
        <v>Metals &amp; Minerals</v>
      </c>
      <c r="AB119" s="60" t="str">
        <f>Ringkasan!AB114</f>
        <v>Basic Materials</v>
      </c>
    </row>
    <row r="120">
      <c r="A120" s="60" t="str">
        <f>Ringkasan!A123</f>
        <v>ANTM</v>
      </c>
      <c r="B120" s="60" t="str">
        <f>Ringkasan!B123</f>
        <v>Aneka Tambang Tbk.</v>
      </c>
      <c r="C120" s="61">
        <f>Ringkasan!C123</f>
        <v>2850</v>
      </c>
      <c r="D120" s="60" t="str">
        <f>Ringkasan!D123</f>
        <v>#N/A</v>
      </c>
      <c r="E120" s="60" t="str">
        <f>Ringkasan!E123</f>
        <v>Kompas100</v>
      </c>
      <c r="F120" s="60" t="str">
        <f>Ringkasan!F123</f>
        <v>31 Juli 2026</v>
      </c>
      <c r="G120" s="61">
        <f>Ringkasan!G123</f>
        <v>19</v>
      </c>
      <c r="H120" s="62">
        <f>Ringkasan!H123</f>
        <v>8.2</v>
      </c>
      <c r="I120" s="62">
        <f>Ringkasan!I123</f>
        <v>1.7</v>
      </c>
      <c r="J120" s="62">
        <f>Ringkasan!J123</f>
        <v>21</v>
      </c>
      <c r="K120" s="62">
        <f>Ringkasan!K123</f>
        <v>13.4</v>
      </c>
      <c r="L120" s="62">
        <f>Ringkasan!L123</f>
        <v>0.57</v>
      </c>
      <c r="M120" s="62">
        <f>Ringkasan!M123</f>
        <v>28.9</v>
      </c>
      <c r="N120" s="60" t="str">
        <f>Ringkasan!N123</f>
        <v/>
      </c>
      <c r="O120" s="60" t="str">
        <f>Ringkasan!O123</f>
        <v/>
      </c>
      <c r="P120" s="60" t="str">
        <f>Ringkasan!P123</f>
        <v/>
      </c>
      <c r="Q120" s="60" t="str">
        <f>Ringkasan!Q123</f>
        <v/>
      </c>
      <c r="R120" s="60" t="str">
        <f>Ringkasan!R123</f>
        <v/>
      </c>
      <c r="S120" s="60" t="str">
        <f>Ringkasan!S123</f>
        <v/>
      </c>
      <c r="T120" s="60" t="str">
        <f>Ringkasan!T123</f>
        <v/>
      </c>
      <c r="U120" s="60">
        <f>Ringkasan!U123</f>
        <v>2720</v>
      </c>
      <c r="V120" s="60">
        <f>Ringkasan!V123</f>
        <v>4.78</v>
      </c>
      <c r="W120" s="60">
        <f>Ringkasan!W123</f>
        <v>2800</v>
      </c>
      <c r="X120" s="60">
        <f>Ringkasan!X123</f>
        <v>2910</v>
      </c>
      <c r="Y120" s="60">
        <f>Ringkasan!Y123</f>
        <v>2760</v>
      </c>
      <c r="Z120" s="60">
        <f>Ringkasan!Z123</f>
        <v>174808500</v>
      </c>
      <c r="AA120" s="60" t="str">
        <f>Ringkasan!AA123</f>
        <v>Metals &amp; Minerals</v>
      </c>
      <c r="AB120" s="60" t="str">
        <f>Ringkasan!AB123</f>
        <v>Basic Materials</v>
      </c>
    </row>
    <row r="121">
      <c r="A121" s="60" t="str">
        <f>Ringkasan!A115</f>
        <v>ANTM</v>
      </c>
      <c r="B121" s="60" t="str">
        <f>Ringkasan!B115</f>
        <v>Aneka Tambang Tbk.</v>
      </c>
      <c r="C121" s="61">
        <f>Ringkasan!C115</f>
        <v>2850</v>
      </c>
      <c r="D121" s="60" t="str">
        <f>Ringkasan!D115</f>
        <v>#N/A</v>
      </c>
      <c r="E121" s="60" t="str">
        <f>Ringkasan!E115</f>
        <v>IDXHIDIV20</v>
      </c>
      <c r="F121" s="60" t="str">
        <f>Ringkasan!F115</f>
        <v>2 Februari 2027</v>
      </c>
      <c r="G121" s="61">
        <f>Ringkasan!G115</f>
        <v>19</v>
      </c>
      <c r="H121" s="62">
        <f>Ringkasan!H115</f>
        <v>8.2</v>
      </c>
      <c r="I121" s="62">
        <f>Ringkasan!I115</f>
        <v>1.7</v>
      </c>
      <c r="J121" s="62">
        <f>Ringkasan!J115</f>
        <v>21</v>
      </c>
      <c r="K121" s="62">
        <f>Ringkasan!K115</f>
        <v>13.4</v>
      </c>
      <c r="L121" s="62">
        <f>Ringkasan!L115</f>
        <v>0.57</v>
      </c>
      <c r="M121" s="62">
        <f>Ringkasan!M115</f>
        <v>28.9</v>
      </c>
      <c r="N121" s="60" t="str">
        <f>Ringkasan!N115</f>
        <v/>
      </c>
      <c r="O121" s="60" t="str">
        <f>Ringkasan!O115</f>
        <v/>
      </c>
      <c r="P121" s="60" t="str">
        <f>Ringkasan!P115</f>
        <v/>
      </c>
      <c r="Q121" s="60" t="str">
        <f>Ringkasan!Q115</f>
        <v/>
      </c>
      <c r="R121" s="60" t="str">
        <f>Ringkasan!R115</f>
        <v/>
      </c>
      <c r="S121" s="60" t="str">
        <f>Ringkasan!S115</f>
        <v/>
      </c>
      <c r="T121" s="60" t="str">
        <f>Ringkasan!T115</f>
        <v/>
      </c>
      <c r="U121" s="60">
        <f>Ringkasan!U115</f>
        <v>2720</v>
      </c>
      <c r="V121" s="60">
        <f>Ringkasan!V115</f>
        <v>4.78</v>
      </c>
      <c r="W121" s="60">
        <f>Ringkasan!W115</f>
        <v>2800</v>
      </c>
      <c r="X121" s="60">
        <f>Ringkasan!X115</f>
        <v>2910</v>
      </c>
      <c r="Y121" s="60">
        <f>Ringkasan!Y115</f>
        <v>2760</v>
      </c>
      <c r="Z121" s="60">
        <f>Ringkasan!Z115</f>
        <v>174808500</v>
      </c>
      <c r="AA121" s="60" t="str">
        <f>Ringkasan!AA115</f>
        <v>Metals &amp; Minerals</v>
      </c>
      <c r="AB121" s="60" t="str">
        <f>Ringkasan!AB115</f>
        <v>Basic Materials</v>
      </c>
    </row>
    <row r="122">
      <c r="A122" s="60" t="str">
        <f>Ringkasan!A116</f>
        <v>ANTM</v>
      </c>
      <c r="B122" s="60" t="str">
        <f>Ringkasan!B116</f>
        <v>Aneka Tambang Tbk.</v>
      </c>
      <c r="C122" s="61">
        <f>Ringkasan!C116</f>
        <v>2850</v>
      </c>
      <c r="D122" s="60" t="str">
        <f>Ringkasan!D116</f>
        <v>#N/A</v>
      </c>
      <c r="E122" s="60" t="str">
        <f>Ringkasan!E116</f>
        <v>IDX80</v>
      </c>
      <c r="F122" s="60" t="str">
        <f>Ringkasan!F116</f>
        <v>31 Juli 2026</v>
      </c>
      <c r="G122" s="61">
        <f>Ringkasan!G116</f>
        <v>19</v>
      </c>
      <c r="H122" s="62">
        <f>Ringkasan!H116</f>
        <v>8.2</v>
      </c>
      <c r="I122" s="62">
        <f>Ringkasan!I116</f>
        <v>1.7</v>
      </c>
      <c r="J122" s="62">
        <f>Ringkasan!J116</f>
        <v>21</v>
      </c>
      <c r="K122" s="62">
        <f>Ringkasan!K116</f>
        <v>13.4</v>
      </c>
      <c r="L122" s="62">
        <f>Ringkasan!L116</f>
        <v>0.57</v>
      </c>
      <c r="M122" s="62">
        <f>Ringkasan!M116</f>
        <v>28.9</v>
      </c>
      <c r="N122" s="60" t="str">
        <f>Ringkasan!N116</f>
        <v/>
      </c>
      <c r="O122" s="60" t="str">
        <f>Ringkasan!O116</f>
        <v/>
      </c>
      <c r="P122" s="60" t="str">
        <f>Ringkasan!P116</f>
        <v/>
      </c>
      <c r="Q122" s="60" t="str">
        <f>Ringkasan!Q116</f>
        <v/>
      </c>
      <c r="R122" s="60" t="str">
        <f>Ringkasan!R116</f>
        <v/>
      </c>
      <c r="S122" s="60" t="str">
        <f>Ringkasan!S116</f>
        <v/>
      </c>
      <c r="T122" s="60" t="str">
        <f>Ringkasan!T116</f>
        <v/>
      </c>
      <c r="U122" s="60">
        <f>Ringkasan!U116</f>
        <v>2720</v>
      </c>
      <c r="V122" s="60">
        <f>Ringkasan!V116</f>
        <v>4.78</v>
      </c>
      <c r="W122" s="60">
        <f>Ringkasan!W116</f>
        <v>2800</v>
      </c>
      <c r="X122" s="60">
        <f>Ringkasan!X116</f>
        <v>2910</v>
      </c>
      <c r="Y122" s="60">
        <f>Ringkasan!Y116</f>
        <v>2760</v>
      </c>
      <c r="Z122" s="60">
        <f>Ringkasan!Z116</f>
        <v>174808500</v>
      </c>
      <c r="AA122" s="60" t="str">
        <f>Ringkasan!AA116</f>
        <v>Metals &amp; Minerals</v>
      </c>
      <c r="AB122" s="60" t="str">
        <f>Ringkasan!AB116</f>
        <v>Basic Materials</v>
      </c>
    </row>
    <row r="123">
      <c r="A123" s="60" t="str">
        <f>Ringkasan!A117</f>
        <v>ANTM</v>
      </c>
      <c r="B123" s="60" t="str">
        <f>Ringkasan!B117</f>
        <v>Aneka Tambang Tbk.</v>
      </c>
      <c r="C123" s="61">
        <f>Ringkasan!C117</f>
        <v>2850</v>
      </c>
      <c r="D123" s="60" t="str">
        <f>Ringkasan!D117</f>
        <v>#N/A</v>
      </c>
      <c r="E123" s="60" t="str">
        <f>Ringkasan!E117</f>
        <v>BISNIS-27</v>
      </c>
      <c r="F123" s="60" t="str">
        <f>Ringkasan!F117</f>
        <v>30 Oktober 2026</v>
      </c>
      <c r="G123" s="61">
        <f>Ringkasan!G117</f>
        <v>19</v>
      </c>
      <c r="H123" s="62">
        <f>Ringkasan!H117</f>
        <v>8.2</v>
      </c>
      <c r="I123" s="62">
        <f>Ringkasan!I117</f>
        <v>1.7</v>
      </c>
      <c r="J123" s="62">
        <f>Ringkasan!J117</f>
        <v>21</v>
      </c>
      <c r="K123" s="62">
        <f>Ringkasan!K117</f>
        <v>13.4</v>
      </c>
      <c r="L123" s="62">
        <f>Ringkasan!L117</f>
        <v>0.57</v>
      </c>
      <c r="M123" s="62">
        <f>Ringkasan!M117</f>
        <v>28.9</v>
      </c>
      <c r="N123" s="60" t="str">
        <f>Ringkasan!N117</f>
        <v/>
      </c>
      <c r="O123" s="60" t="str">
        <f>Ringkasan!O117</f>
        <v/>
      </c>
      <c r="P123" s="60" t="str">
        <f>Ringkasan!P117</f>
        <v/>
      </c>
      <c r="Q123" s="60" t="str">
        <f>Ringkasan!Q117</f>
        <v/>
      </c>
      <c r="R123" s="60" t="str">
        <f>Ringkasan!R117</f>
        <v/>
      </c>
      <c r="S123" s="60" t="str">
        <f>Ringkasan!S117</f>
        <v/>
      </c>
      <c r="T123" s="60" t="str">
        <f>Ringkasan!T117</f>
        <v/>
      </c>
      <c r="U123" s="60">
        <f>Ringkasan!U117</f>
        <v>2720</v>
      </c>
      <c r="V123" s="60">
        <f>Ringkasan!V117</f>
        <v>4.78</v>
      </c>
      <c r="W123" s="60">
        <f>Ringkasan!W117</f>
        <v>2800</v>
      </c>
      <c r="X123" s="60">
        <f>Ringkasan!X117</f>
        <v>2910</v>
      </c>
      <c r="Y123" s="60">
        <f>Ringkasan!Y117</f>
        <v>2760</v>
      </c>
      <c r="Z123" s="60">
        <f>Ringkasan!Z117</f>
        <v>174808500</v>
      </c>
      <c r="AA123" s="60" t="str">
        <f>Ringkasan!AA117</f>
        <v>Metals &amp; Minerals</v>
      </c>
      <c r="AB123" s="60" t="str">
        <f>Ringkasan!AB117</f>
        <v>Basic Materials</v>
      </c>
    </row>
    <row r="124">
      <c r="A124" s="60" t="str">
        <f>Ringkasan!A118</f>
        <v>ANTM</v>
      </c>
      <c r="B124" s="60" t="str">
        <f>Ringkasan!B118</f>
        <v>Aneka Tambang Tbk.</v>
      </c>
      <c r="C124" s="61">
        <f>Ringkasan!C118</f>
        <v>2850</v>
      </c>
      <c r="D124" s="60" t="str">
        <f>Ringkasan!D118</f>
        <v>#N/A</v>
      </c>
      <c r="E124" s="60" t="str">
        <f>Ringkasan!E118</f>
        <v>MNC36</v>
      </c>
      <c r="F124" s="60" t="str">
        <f>Ringkasan!F118</f>
        <v>30 Oktober 2026</v>
      </c>
      <c r="G124" s="61">
        <f>Ringkasan!G118</f>
        <v>19</v>
      </c>
      <c r="H124" s="62">
        <f>Ringkasan!H118</f>
        <v>8.2</v>
      </c>
      <c r="I124" s="62">
        <f>Ringkasan!I118</f>
        <v>1.7</v>
      </c>
      <c r="J124" s="62">
        <f>Ringkasan!J118</f>
        <v>21</v>
      </c>
      <c r="K124" s="62">
        <f>Ringkasan!K118</f>
        <v>13.4</v>
      </c>
      <c r="L124" s="62">
        <f>Ringkasan!L118</f>
        <v>0.57</v>
      </c>
      <c r="M124" s="62">
        <f>Ringkasan!M118</f>
        <v>28.9</v>
      </c>
      <c r="N124" s="60" t="str">
        <f>Ringkasan!N118</f>
        <v/>
      </c>
      <c r="O124" s="60" t="str">
        <f>Ringkasan!O118</f>
        <v/>
      </c>
      <c r="P124" s="60" t="str">
        <f>Ringkasan!P118</f>
        <v/>
      </c>
      <c r="Q124" s="60" t="str">
        <f>Ringkasan!Q118</f>
        <v/>
      </c>
      <c r="R124" s="60" t="str">
        <f>Ringkasan!R118</f>
        <v/>
      </c>
      <c r="S124" s="60" t="str">
        <f>Ringkasan!S118</f>
        <v/>
      </c>
      <c r="T124" s="60" t="str">
        <f>Ringkasan!T118</f>
        <v/>
      </c>
      <c r="U124" s="60">
        <f>Ringkasan!U118</f>
        <v>2720</v>
      </c>
      <c r="V124" s="60">
        <f>Ringkasan!V118</f>
        <v>4.78</v>
      </c>
      <c r="W124" s="60">
        <f>Ringkasan!W118</f>
        <v>2800</v>
      </c>
      <c r="X124" s="60">
        <f>Ringkasan!X118</f>
        <v>2910</v>
      </c>
      <c r="Y124" s="60">
        <f>Ringkasan!Y118</f>
        <v>2760</v>
      </c>
      <c r="Z124" s="60">
        <f>Ringkasan!Z118</f>
        <v>174808500</v>
      </c>
      <c r="AA124" s="60" t="str">
        <f>Ringkasan!AA118</f>
        <v>Metals &amp; Minerals</v>
      </c>
      <c r="AB124" s="60" t="str">
        <f>Ringkasan!AB118</f>
        <v>Basic Materials</v>
      </c>
    </row>
    <row r="125" hidden="1">
      <c r="A125" s="64" t="str">
        <f>Ringkasan!A760</f>
        <v>GOOD</v>
      </c>
      <c r="B125" s="64" t="str">
        <f>Ringkasan!B760</f>
        <v>Garudafood Putra Putri Jaya Tbk.</v>
      </c>
      <c r="C125" s="65">
        <f>Ringkasan!C760</f>
        <v>322</v>
      </c>
      <c r="D125" s="64" t="str">
        <f>Ringkasan!D760</f>
        <v>#N/A</v>
      </c>
      <c r="E125" s="64" t="str">
        <f>Ringkasan!E760</f>
        <v/>
      </c>
      <c r="F125" s="64" t="str">
        <f>Ringkasan!F760</f>
        <v/>
      </c>
      <c r="G125" s="64">
        <f>Ringkasan!G760</f>
        <v>0</v>
      </c>
      <c r="H125" s="19">
        <f>Ringkasan!H760</f>
        <v>17.8</v>
      </c>
      <c r="I125" s="19">
        <f>Ringkasan!I760</f>
        <v>2.7</v>
      </c>
      <c r="J125" s="19">
        <f>Ringkasan!J760</f>
        <v>15.3</v>
      </c>
      <c r="K125" s="19">
        <f>Ringkasan!K760</f>
        <v>7.2</v>
      </c>
      <c r="L125" s="19">
        <f>Ringkasan!L760</f>
        <v>1.1</v>
      </c>
      <c r="M125" s="19">
        <f>Ringkasan!M760</f>
        <v>19.6</v>
      </c>
      <c r="N125" s="64" t="str">
        <f>Ringkasan!N760</f>
        <v/>
      </c>
      <c r="O125" s="64" t="str">
        <f>Ringkasan!O760</f>
        <v/>
      </c>
      <c r="P125" s="64" t="str">
        <f>Ringkasan!P760</f>
        <v/>
      </c>
      <c r="Q125" s="64" t="str">
        <f>Ringkasan!Q760</f>
        <v/>
      </c>
      <c r="R125" s="64" t="str">
        <f>Ringkasan!R760</f>
        <v/>
      </c>
      <c r="S125" s="64" t="str">
        <f>Ringkasan!S760</f>
        <v/>
      </c>
      <c r="T125" s="64" t="str">
        <f>Ringkasan!T760</f>
        <v/>
      </c>
      <c r="U125" s="64">
        <f>Ringkasan!U760</f>
        <v>12.65</v>
      </c>
      <c r="V125" s="64">
        <f>Ringkasan!V760</f>
        <v>-0.87</v>
      </c>
      <c r="W125" s="64">
        <f>Ringkasan!W760</f>
        <v>12.7</v>
      </c>
      <c r="X125" s="64">
        <f>Ringkasan!X760</f>
        <v>12.78</v>
      </c>
      <c r="Y125" s="64">
        <f>Ringkasan!Y760</f>
        <v>12.53</v>
      </c>
      <c r="Z125" s="64">
        <f>Ringkasan!Z760</f>
        <v>424701</v>
      </c>
      <c r="AA125" s="64" t="str">
        <f>Ringkasan!AA760</f>
        <v>Processed Foods</v>
      </c>
      <c r="AB125" s="64" t="str">
        <f>Ringkasan!AB760</f>
        <v>Consumer Non-Cyclicals</v>
      </c>
    </row>
    <row r="126" hidden="1">
      <c r="A126" s="64" t="str">
        <f>Ringkasan!A859</f>
        <v>IMPC</v>
      </c>
      <c r="B126" s="64" t="str">
        <f>Ringkasan!B859</f>
        <v>Impack Pratama Industri Tbk.</v>
      </c>
      <c r="C126" s="65">
        <f>Ringkasan!C859</f>
        <v>1665</v>
      </c>
      <c r="D126" s="64" t="str">
        <f>Ringkasan!D859</f>
        <v>#N/A</v>
      </c>
      <c r="E126" s="64" t="str">
        <f>Ringkasan!E859</f>
        <v>JII70</v>
      </c>
      <c r="F126" s="66">
        <f>Ringkasan!F859</f>
        <v>46356</v>
      </c>
      <c r="G126" s="65">
        <f>Ringkasan!G859</f>
        <v>2</v>
      </c>
      <c r="H126" s="19">
        <f>Ringkasan!H859</f>
        <v>150</v>
      </c>
      <c r="I126" s="19">
        <f>Ringkasan!I859</f>
        <v>30.9</v>
      </c>
      <c r="J126" s="19">
        <f>Ringkasan!J859</f>
        <v>20.7</v>
      </c>
      <c r="K126" s="19">
        <f>Ringkasan!K859</f>
        <v>13</v>
      </c>
      <c r="L126" s="19">
        <f>Ringkasan!L859</f>
        <v>0.6</v>
      </c>
      <c r="M126" s="19">
        <f>Ringkasan!M859</f>
        <v>57</v>
      </c>
      <c r="N126" s="64" t="str">
        <f>Ringkasan!N859</f>
        <v/>
      </c>
      <c r="O126" s="64" t="str">
        <f>Ringkasan!O859</f>
        <v/>
      </c>
      <c r="P126" s="64" t="str">
        <f>Ringkasan!P859</f>
        <v/>
      </c>
      <c r="Q126" s="64" t="str">
        <f>Ringkasan!Q859</f>
        <v/>
      </c>
      <c r="R126" s="64" t="str">
        <f>Ringkasan!R859</f>
        <v/>
      </c>
      <c r="S126" s="64" t="str">
        <f>Ringkasan!S859</f>
        <v/>
      </c>
      <c r="T126" s="64" t="str">
        <f>Ringkasan!T859</f>
        <v/>
      </c>
      <c r="U126" s="64">
        <f>Ringkasan!U859</f>
        <v>1600</v>
      </c>
      <c r="V126" s="64">
        <f>Ringkasan!V859</f>
        <v>4.06</v>
      </c>
      <c r="W126" s="64">
        <f>Ringkasan!W859</f>
        <v>1635</v>
      </c>
      <c r="X126" s="64">
        <f>Ringkasan!X859</f>
        <v>1745</v>
      </c>
      <c r="Y126" s="64">
        <f>Ringkasan!Y859</f>
        <v>1610</v>
      </c>
      <c r="Z126" s="64">
        <f>Ringkasan!Z859</f>
        <v>44187400</v>
      </c>
      <c r="AA126" s="64" t="str">
        <f>Ringkasan!AA859</f>
        <v>Building Products &amp; Fixtures</v>
      </c>
      <c r="AB126" s="64" t="str">
        <f>Ringkasan!AB859</f>
        <v>Industrials</v>
      </c>
    </row>
    <row r="127">
      <c r="A127" s="60" t="str">
        <f>Ringkasan!A119</f>
        <v>ANTM</v>
      </c>
      <c r="B127" s="60" t="str">
        <f>Ringkasan!B119</f>
        <v>Aneka Tambang Tbk.</v>
      </c>
      <c r="C127" s="61">
        <f>Ringkasan!C119</f>
        <v>2850</v>
      </c>
      <c r="D127" s="60" t="str">
        <f>Ringkasan!D119</f>
        <v>#N/A</v>
      </c>
      <c r="E127" s="60" t="str">
        <f>Ringkasan!E119</f>
        <v>IDX30</v>
      </c>
      <c r="F127" s="60" t="str">
        <f>Ringkasan!F119</f>
        <v>31 Juli 2026</v>
      </c>
      <c r="G127" s="61">
        <f>Ringkasan!G119</f>
        <v>19</v>
      </c>
      <c r="H127" s="62">
        <f>Ringkasan!H119</f>
        <v>8.2</v>
      </c>
      <c r="I127" s="62">
        <f>Ringkasan!I119</f>
        <v>1.7</v>
      </c>
      <c r="J127" s="62">
        <f>Ringkasan!J119</f>
        <v>21</v>
      </c>
      <c r="K127" s="62">
        <f>Ringkasan!K119</f>
        <v>13.4</v>
      </c>
      <c r="L127" s="62">
        <f>Ringkasan!L119</f>
        <v>0.57</v>
      </c>
      <c r="M127" s="62">
        <f>Ringkasan!M119</f>
        <v>28.9</v>
      </c>
      <c r="N127" s="60" t="str">
        <f>Ringkasan!N119</f>
        <v/>
      </c>
      <c r="O127" s="60" t="str">
        <f>Ringkasan!O119</f>
        <v/>
      </c>
      <c r="P127" s="60" t="str">
        <f>Ringkasan!P119</f>
        <v/>
      </c>
      <c r="Q127" s="60" t="str">
        <f>Ringkasan!Q119</f>
        <v/>
      </c>
      <c r="R127" s="60" t="str">
        <f>Ringkasan!R119</f>
        <v/>
      </c>
      <c r="S127" s="60" t="str">
        <f>Ringkasan!S119</f>
        <v/>
      </c>
      <c r="T127" s="60" t="str">
        <f>Ringkasan!T119</f>
        <v/>
      </c>
      <c r="U127" s="60">
        <f>Ringkasan!U119</f>
        <v>2720</v>
      </c>
      <c r="V127" s="60">
        <f>Ringkasan!V119</f>
        <v>4.78</v>
      </c>
      <c r="W127" s="60">
        <f>Ringkasan!W119</f>
        <v>2800</v>
      </c>
      <c r="X127" s="60">
        <f>Ringkasan!X119</f>
        <v>2910</v>
      </c>
      <c r="Y127" s="60">
        <f>Ringkasan!Y119</f>
        <v>2760</v>
      </c>
      <c r="Z127" s="60">
        <f>Ringkasan!Z119</f>
        <v>174808500</v>
      </c>
      <c r="AA127" s="60" t="str">
        <f>Ringkasan!AA119</f>
        <v>Metals &amp; Minerals</v>
      </c>
      <c r="AB127" s="60" t="str">
        <f>Ringkasan!AB119</f>
        <v>Basic Materials</v>
      </c>
    </row>
    <row r="128">
      <c r="A128" s="60" t="str">
        <f>Ringkasan!A120</f>
        <v>ANTM</v>
      </c>
      <c r="B128" s="60" t="str">
        <f>Ringkasan!B120</f>
        <v>Aneka Tambang Tbk.</v>
      </c>
      <c r="C128" s="61">
        <f>Ringkasan!C120</f>
        <v>2850</v>
      </c>
      <c r="D128" s="60" t="str">
        <f>Ringkasan!D120</f>
        <v>#N/A</v>
      </c>
      <c r="E128" s="60" t="str">
        <f>Ringkasan!E120</f>
        <v>LQ45</v>
      </c>
      <c r="F128" s="60" t="str">
        <f>Ringkasan!F120</f>
        <v>31 Juli 2026</v>
      </c>
      <c r="G128" s="61">
        <f>Ringkasan!G120</f>
        <v>19</v>
      </c>
      <c r="H128" s="62">
        <f>Ringkasan!H120</f>
        <v>8.2</v>
      </c>
      <c r="I128" s="62">
        <f>Ringkasan!I120</f>
        <v>1.7</v>
      </c>
      <c r="J128" s="62">
        <f>Ringkasan!J120</f>
        <v>21</v>
      </c>
      <c r="K128" s="62">
        <f>Ringkasan!K120</f>
        <v>13.4</v>
      </c>
      <c r="L128" s="62">
        <f>Ringkasan!L120</f>
        <v>0.57</v>
      </c>
      <c r="M128" s="62">
        <f>Ringkasan!M120</f>
        <v>28.9</v>
      </c>
      <c r="N128" s="60" t="str">
        <f>Ringkasan!N120</f>
        <v/>
      </c>
      <c r="O128" s="60" t="str">
        <f>Ringkasan!O120</f>
        <v/>
      </c>
      <c r="P128" s="60" t="str">
        <f>Ringkasan!P120</f>
        <v/>
      </c>
      <c r="Q128" s="60" t="str">
        <f>Ringkasan!Q120</f>
        <v/>
      </c>
      <c r="R128" s="60" t="str">
        <f>Ringkasan!R120</f>
        <v/>
      </c>
      <c r="S128" s="60" t="str">
        <f>Ringkasan!S120</f>
        <v/>
      </c>
      <c r="T128" s="60" t="str">
        <f>Ringkasan!T120</f>
        <v/>
      </c>
      <c r="U128" s="60">
        <f>Ringkasan!U120</f>
        <v>2720</v>
      </c>
      <c r="V128" s="60">
        <f>Ringkasan!V120</f>
        <v>4.78</v>
      </c>
      <c r="W128" s="60">
        <f>Ringkasan!W120</f>
        <v>2800</v>
      </c>
      <c r="X128" s="60">
        <f>Ringkasan!X120</f>
        <v>2910</v>
      </c>
      <c r="Y128" s="60">
        <f>Ringkasan!Y120</f>
        <v>2760</v>
      </c>
      <c r="Z128" s="60">
        <f>Ringkasan!Z120</f>
        <v>174808500</v>
      </c>
      <c r="AA128" s="60" t="str">
        <f>Ringkasan!AA120</f>
        <v>Metals &amp; Minerals</v>
      </c>
      <c r="AB128" s="60" t="str">
        <f>Ringkasan!AB120</f>
        <v>Basic Materials</v>
      </c>
    </row>
    <row r="129">
      <c r="A129" s="60" t="str">
        <f>Ringkasan!A131</f>
        <v>ANTM</v>
      </c>
      <c r="B129" s="60" t="str">
        <f>Ringkasan!B131</f>
        <v>Aneka Tambang Tbk.</v>
      </c>
      <c r="C129" s="61">
        <f>Ringkasan!C131</f>
        <v>2850</v>
      </c>
      <c r="D129" s="60" t="str">
        <f>Ringkasan!D131</f>
        <v>#N/A</v>
      </c>
      <c r="E129" s="60" t="str">
        <f>Ringkasan!E131</f>
        <v>JII30</v>
      </c>
      <c r="F129" s="63">
        <f>Ringkasan!F131</f>
        <v>46356</v>
      </c>
      <c r="G129" s="61">
        <f>Ringkasan!G131</f>
        <v>19</v>
      </c>
      <c r="H129" s="62">
        <f>Ringkasan!H131</f>
        <v>8.2</v>
      </c>
      <c r="I129" s="62">
        <f>Ringkasan!I131</f>
        <v>1.7</v>
      </c>
      <c r="J129" s="62">
        <f>Ringkasan!J131</f>
        <v>21</v>
      </c>
      <c r="K129" s="62">
        <f>Ringkasan!K131</f>
        <v>13.4</v>
      </c>
      <c r="L129" s="62">
        <f>Ringkasan!L131</f>
        <v>0.57</v>
      </c>
      <c r="M129" s="62">
        <f>Ringkasan!M131</f>
        <v>28.9</v>
      </c>
      <c r="N129" s="60" t="str">
        <f>Ringkasan!N131</f>
        <v/>
      </c>
      <c r="O129" s="60" t="str">
        <f>Ringkasan!O131</f>
        <v/>
      </c>
      <c r="P129" s="60" t="str">
        <f>Ringkasan!P131</f>
        <v/>
      </c>
      <c r="Q129" s="60" t="str">
        <f>Ringkasan!Q131</f>
        <v/>
      </c>
      <c r="R129" s="60" t="str">
        <f>Ringkasan!R131</f>
        <v/>
      </c>
      <c r="S129" s="60" t="str">
        <f>Ringkasan!S131</f>
        <v/>
      </c>
      <c r="T129" s="60" t="str">
        <f>Ringkasan!T131</f>
        <v/>
      </c>
      <c r="U129" s="60">
        <f>Ringkasan!U131</f>
        <v>2720</v>
      </c>
      <c r="V129" s="60">
        <f>Ringkasan!V131</f>
        <v>4.78</v>
      </c>
      <c r="W129" s="60">
        <f>Ringkasan!W131</f>
        <v>2800</v>
      </c>
      <c r="X129" s="60">
        <f>Ringkasan!X131</f>
        <v>2910</v>
      </c>
      <c r="Y129" s="60">
        <f>Ringkasan!Y131</f>
        <v>2760</v>
      </c>
      <c r="Z129" s="60">
        <f>Ringkasan!Z131</f>
        <v>174808500</v>
      </c>
      <c r="AA129" s="60" t="str">
        <f>Ringkasan!AA131</f>
        <v>Metals &amp; Minerals</v>
      </c>
      <c r="AB129" s="60" t="str">
        <f>Ringkasan!AB131</f>
        <v>Basic Materials</v>
      </c>
    </row>
    <row r="130">
      <c r="A130" s="60" t="str">
        <f>Ringkasan!A121</f>
        <v>ANTM</v>
      </c>
      <c r="B130" s="60" t="str">
        <f>Ringkasan!B121</f>
        <v>Aneka Tambang Tbk.</v>
      </c>
      <c r="C130" s="61">
        <f>Ringkasan!C121</f>
        <v>2850</v>
      </c>
      <c r="D130" s="60" t="str">
        <f>Ringkasan!D121</f>
        <v>#N/A</v>
      </c>
      <c r="E130" s="60" t="str">
        <f>Ringkasan!E121</f>
        <v>ECONOMIC30</v>
      </c>
      <c r="F130" s="60" t="str">
        <f>Ringkasan!F121</f>
        <v>31 Agustus 2026</v>
      </c>
      <c r="G130" s="61">
        <f>Ringkasan!G121</f>
        <v>19</v>
      </c>
      <c r="H130" s="62">
        <f>Ringkasan!H121</f>
        <v>8.2</v>
      </c>
      <c r="I130" s="62">
        <f>Ringkasan!I121</f>
        <v>1.7</v>
      </c>
      <c r="J130" s="62">
        <f>Ringkasan!J121</f>
        <v>21</v>
      </c>
      <c r="K130" s="62">
        <f>Ringkasan!K121</f>
        <v>13.4</v>
      </c>
      <c r="L130" s="62">
        <f>Ringkasan!L121</f>
        <v>0.57</v>
      </c>
      <c r="M130" s="62">
        <f>Ringkasan!M121</f>
        <v>28.9</v>
      </c>
      <c r="N130" s="60" t="str">
        <f>Ringkasan!N121</f>
        <v/>
      </c>
      <c r="O130" s="60" t="str">
        <f>Ringkasan!O121</f>
        <v/>
      </c>
      <c r="P130" s="60" t="str">
        <f>Ringkasan!P121</f>
        <v/>
      </c>
      <c r="Q130" s="60" t="str">
        <f>Ringkasan!Q121</f>
        <v/>
      </c>
      <c r="R130" s="60" t="str">
        <f>Ringkasan!R121</f>
        <v/>
      </c>
      <c r="S130" s="60" t="str">
        <f>Ringkasan!S121</f>
        <v/>
      </c>
      <c r="T130" s="60" t="str">
        <f>Ringkasan!T121</f>
        <v/>
      </c>
      <c r="U130" s="60">
        <f>Ringkasan!U121</f>
        <v>2720</v>
      </c>
      <c r="V130" s="60">
        <f>Ringkasan!V121</f>
        <v>4.78</v>
      </c>
      <c r="W130" s="60">
        <f>Ringkasan!W121</f>
        <v>2800</v>
      </c>
      <c r="X130" s="60">
        <f>Ringkasan!X121</f>
        <v>2910</v>
      </c>
      <c r="Y130" s="60">
        <f>Ringkasan!Y121</f>
        <v>2760</v>
      </c>
      <c r="Z130" s="60">
        <f>Ringkasan!Z121</f>
        <v>174808500</v>
      </c>
      <c r="AA130" s="60" t="str">
        <f>Ringkasan!AA121</f>
        <v>Metals &amp; Minerals</v>
      </c>
      <c r="AB130" s="60" t="str">
        <f>Ringkasan!AB121</f>
        <v>Basic Materials</v>
      </c>
    </row>
    <row r="131">
      <c r="A131" s="60" t="str">
        <f>Ringkasan!A132</f>
        <v>ANTM</v>
      </c>
      <c r="B131" s="60" t="str">
        <f>Ringkasan!B132</f>
        <v>Aneka Tambang Tbk.</v>
      </c>
      <c r="C131" s="61">
        <f>Ringkasan!C132</f>
        <v>2850</v>
      </c>
      <c r="D131" s="60" t="str">
        <f>Ringkasan!D132</f>
        <v>#N/A</v>
      </c>
      <c r="E131" s="60" t="str">
        <f>Ringkasan!E132</f>
        <v>JII70</v>
      </c>
      <c r="F131" s="63">
        <f>Ringkasan!F132</f>
        <v>46356</v>
      </c>
      <c r="G131" s="61">
        <f>Ringkasan!G132</f>
        <v>19</v>
      </c>
      <c r="H131" s="62">
        <f>Ringkasan!H132</f>
        <v>8.2</v>
      </c>
      <c r="I131" s="62">
        <f>Ringkasan!I132</f>
        <v>1.7</v>
      </c>
      <c r="J131" s="62">
        <f>Ringkasan!J132</f>
        <v>21</v>
      </c>
      <c r="K131" s="62">
        <f>Ringkasan!K132</f>
        <v>13.4</v>
      </c>
      <c r="L131" s="62">
        <f>Ringkasan!L132</f>
        <v>0.57</v>
      </c>
      <c r="M131" s="62">
        <f>Ringkasan!M132</f>
        <v>28.9</v>
      </c>
      <c r="N131" s="60" t="str">
        <f>Ringkasan!N132</f>
        <v/>
      </c>
      <c r="O131" s="60" t="str">
        <f>Ringkasan!O132</f>
        <v/>
      </c>
      <c r="P131" s="60" t="str">
        <f>Ringkasan!P132</f>
        <v/>
      </c>
      <c r="Q131" s="60" t="str">
        <f>Ringkasan!Q132</f>
        <v/>
      </c>
      <c r="R131" s="60" t="str">
        <f>Ringkasan!R132</f>
        <v/>
      </c>
      <c r="S131" s="60" t="str">
        <f>Ringkasan!S132</f>
        <v/>
      </c>
      <c r="T131" s="60" t="str">
        <f>Ringkasan!T132</f>
        <v/>
      </c>
      <c r="U131" s="60">
        <f>Ringkasan!U132</f>
        <v>2720</v>
      </c>
      <c r="V131" s="60">
        <f>Ringkasan!V132</f>
        <v>4.78</v>
      </c>
      <c r="W131" s="60">
        <f>Ringkasan!W132</f>
        <v>2800</v>
      </c>
      <c r="X131" s="60">
        <f>Ringkasan!X132</f>
        <v>2910</v>
      </c>
      <c r="Y131" s="60">
        <f>Ringkasan!Y132</f>
        <v>2760</v>
      </c>
      <c r="Z131" s="60">
        <f>Ringkasan!Z132</f>
        <v>174808500</v>
      </c>
      <c r="AA131" s="60" t="str">
        <f>Ringkasan!AA132</f>
        <v>Metals &amp; Minerals</v>
      </c>
      <c r="AB131" s="60" t="str">
        <f>Ringkasan!AB132</f>
        <v>Basic Materials</v>
      </c>
    </row>
    <row r="132">
      <c r="A132" s="60" t="str">
        <f>Ringkasan!A124</f>
        <v>ANTM</v>
      </c>
      <c r="B132" s="60" t="str">
        <f>Ringkasan!B124</f>
        <v>Aneka Tambang Tbk.</v>
      </c>
      <c r="C132" s="61">
        <f>Ringkasan!C124</f>
        <v>2850</v>
      </c>
      <c r="D132" s="60" t="str">
        <f>Ringkasan!D124</f>
        <v>#N/A</v>
      </c>
      <c r="E132" s="60" t="str">
        <f>Ringkasan!E124</f>
        <v>IDXQ30</v>
      </c>
      <c r="F132" s="60" t="str">
        <f>Ringkasan!F124</f>
        <v>4 Agustus 2026</v>
      </c>
      <c r="G132" s="61">
        <f>Ringkasan!G124</f>
        <v>19</v>
      </c>
      <c r="H132" s="62">
        <f>Ringkasan!H124</f>
        <v>8.2</v>
      </c>
      <c r="I132" s="62">
        <f>Ringkasan!I124</f>
        <v>1.7</v>
      </c>
      <c r="J132" s="62">
        <f>Ringkasan!J124</f>
        <v>21</v>
      </c>
      <c r="K132" s="62">
        <f>Ringkasan!K124</f>
        <v>13.4</v>
      </c>
      <c r="L132" s="62">
        <f>Ringkasan!L124</f>
        <v>0.57</v>
      </c>
      <c r="M132" s="62">
        <f>Ringkasan!M124</f>
        <v>28.9</v>
      </c>
      <c r="N132" s="60" t="str">
        <f>Ringkasan!N124</f>
        <v/>
      </c>
      <c r="O132" s="60" t="str">
        <f>Ringkasan!O124</f>
        <v/>
      </c>
      <c r="P132" s="60" t="str">
        <f>Ringkasan!P124</f>
        <v/>
      </c>
      <c r="Q132" s="60" t="str">
        <f>Ringkasan!Q124</f>
        <v/>
      </c>
      <c r="R132" s="60" t="str">
        <f>Ringkasan!R124</f>
        <v/>
      </c>
      <c r="S132" s="60" t="str">
        <f>Ringkasan!S124</f>
        <v/>
      </c>
      <c r="T132" s="60" t="str">
        <f>Ringkasan!T124</f>
        <v/>
      </c>
      <c r="U132" s="60">
        <f>Ringkasan!U124</f>
        <v>2720</v>
      </c>
      <c r="V132" s="60">
        <f>Ringkasan!V124</f>
        <v>4.78</v>
      </c>
      <c r="W132" s="60">
        <f>Ringkasan!W124</f>
        <v>2800</v>
      </c>
      <c r="X132" s="60">
        <f>Ringkasan!X124</f>
        <v>2910</v>
      </c>
      <c r="Y132" s="60">
        <f>Ringkasan!Y124</f>
        <v>2760</v>
      </c>
      <c r="Z132" s="60">
        <f>Ringkasan!Z124</f>
        <v>174808500</v>
      </c>
      <c r="AA132" s="60" t="str">
        <f>Ringkasan!AA124</f>
        <v>Metals &amp; Minerals</v>
      </c>
      <c r="AB132" s="60" t="str">
        <f>Ringkasan!AB124</f>
        <v>Basic Materials</v>
      </c>
    </row>
    <row r="133">
      <c r="A133" s="60" t="str">
        <f>Ringkasan!A1128</f>
        <v>MAPA</v>
      </c>
      <c r="B133" s="60" t="str">
        <f>Ringkasan!B1128</f>
        <v>Map Aktif Adiperkasa Tbk.</v>
      </c>
      <c r="C133" s="61">
        <f>Ringkasan!C1128</f>
        <v>565</v>
      </c>
      <c r="D133" s="60" t="str">
        <f>Ringkasan!D1128</f>
        <v>#N/A</v>
      </c>
      <c r="E133" s="60" t="str">
        <f>Ringkasan!E1128</f>
        <v>IDXESGL</v>
      </c>
      <c r="F133" s="60" t="str">
        <f>Ringkasan!F1128</f>
        <v>30 Oktober 2026</v>
      </c>
      <c r="G133" s="61">
        <f>Ringkasan!G1128</f>
        <v>9</v>
      </c>
      <c r="H133" s="62">
        <f>Ringkasan!H1128</f>
        <v>9.9</v>
      </c>
      <c r="I133" s="62">
        <f>Ringkasan!I1128</f>
        <v>2</v>
      </c>
      <c r="J133" s="62">
        <f>Ringkasan!J1128</f>
        <v>20</v>
      </c>
      <c r="K133" s="62">
        <f>Ringkasan!K1128</f>
        <v>12.7</v>
      </c>
      <c r="L133" s="62">
        <f>Ringkasan!L1128</f>
        <v>0.57</v>
      </c>
      <c r="M133" s="62">
        <f>Ringkasan!M1128</f>
        <v>37.4</v>
      </c>
      <c r="N133" s="60" t="str">
        <f>Ringkasan!N1128</f>
        <v/>
      </c>
      <c r="O133" s="60" t="str">
        <f>Ringkasan!O1128</f>
        <v/>
      </c>
      <c r="P133" s="60" t="str">
        <f>Ringkasan!P1128</f>
        <v/>
      </c>
      <c r="Q133" s="60" t="str">
        <f>Ringkasan!Q1128</f>
        <v/>
      </c>
      <c r="R133" s="60" t="str">
        <f>Ringkasan!R1128</f>
        <v/>
      </c>
      <c r="S133" s="60" t="str">
        <f>Ringkasan!S1128</f>
        <v/>
      </c>
      <c r="T133" s="60" t="str">
        <f>Ringkasan!T1128</f>
        <v/>
      </c>
      <c r="U133" s="60">
        <f>Ringkasan!U1128</f>
        <v>565</v>
      </c>
      <c r="V133" s="60">
        <f>Ringkasan!V1128</f>
        <v>0</v>
      </c>
      <c r="W133" s="60">
        <f>Ringkasan!W1128</f>
        <v>565</v>
      </c>
      <c r="X133" s="60">
        <f>Ringkasan!X1128</f>
        <v>570</v>
      </c>
      <c r="Y133" s="60">
        <f>Ringkasan!Y1128</f>
        <v>545</v>
      </c>
      <c r="Z133" s="60">
        <f>Ringkasan!Z1128</f>
        <v>22530400</v>
      </c>
      <c r="AA133" s="60" t="str">
        <f>Ringkasan!AA1128</f>
        <v>Specialty Retail</v>
      </c>
      <c r="AB133" s="60" t="str">
        <f>Ringkasan!AB1128</f>
        <v>Consumer Cyclicals</v>
      </c>
    </row>
    <row r="134" hidden="1">
      <c r="A134" s="64" t="str">
        <f>Ringkasan!A133</f>
        <v>APEX</v>
      </c>
      <c r="B134" s="64" t="str">
        <f>Ringkasan!B133</f>
        <v>Apexindo Pratama Duta Tbk.</v>
      </c>
      <c r="C134" s="65">
        <f>Ringkasan!C133</f>
        <v>137</v>
      </c>
      <c r="D134" s="64" t="str">
        <f>Ringkasan!D133</f>
        <v>#N/A</v>
      </c>
      <c r="E134" s="64" t="str">
        <f>Ringkasan!E133</f>
        <v/>
      </c>
      <c r="F134" s="64" t="str">
        <f>Ringkasan!F133</f>
        <v/>
      </c>
      <c r="G134" s="64">
        <f>Ringkasan!G133</f>
        <v>0</v>
      </c>
      <c r="H134" s="19">
        <f>Ringkasan!H133</f>
        <v>6.2</v>
      </c>
      <c r="I134" s="19">
        <f>Ringkasan!I133</f>
        <v>0.42</v>
      </c>
      <c r="J134" s="19">
        <f>Ringkasan!J133</f>
        <v>6.7</v>
      </c>
      <c r="K134" s="19">
        <f>Ringkasan!K133</f>
        <v>1.8</v>
      </c>
      <c r="L134" s="19">
        <f>Ringkasan!L133</f>
        <v>2.7</v>
      </c>
      <c r="M134" s="19">
        <f>Ringkasan!M133</f>
        <v>23.5</v>
      </c>
      <c r="N134" s="64" t="str">
        <f>Ringkasan!N133</f>
        <v/>
      </c>
      <c r="O134" s="64" t="str">
        <f>Ringkasan!O133</f>
        <v/>
      </c>
      <c r="P134" s="64" t="str">
        <f>Ringkasan!P133</f>
        <v/>
      </c>
      <c r="Q134" s="64" t="str">
        <f>Ringkasan!Q133</f>
        <v/>
      </c>
      <c r="R134" s="64" t="str">
        <f>Ringkasan!R133</f>
        <v/>
      </c>
      <c r="S134" s="64" t="str">
        <f>Ringkasan!S133</f>
        <v/>
      </c>
      <c r="T134" s="64" t="str">
        <f>Ringkasan!T133</f>
        <v/>
      </c>
      <c r="U134" s="64">
        <f>Ringkasan!U133</f>
        <v>224.55</v>
      </c>
      <c r="V134" s="64">
        <f>Ringkasan!V133</f>
        <v>3.23</v>
      </c>
      <c r="W134" s="64">
        <f>Ringkasan!W133</f>
        <v>230.05</v>
      </c>
      <c r="X134" s="64">
        <f>Ringkasan!X133</f>
        <v>232.1</v>
      </c>
      <c r="Y134" s="64">
        <f>Ringkasan!Y133</f>
        <v>230.05</v>
      </c>
      <c r="Z134" s="64">
        <f>Ringkasan!Z133</f>
        <v>413</v>
      </c>
      <c r="AA134" s="64" t="str">
        <f>Ringkasan!AA133</f>
        <v>Oil, Gas &amp; Coal Supports</v>
      </c>
      <c r="AB134" s="64" t="str">
        <f>Ringkasan!AB133</f>
        <v>Energy</v>
      </c>
    </row>
    <row r="135" hidden="1">
      <c r="A135" s="64" t="str">
        <f>Ringkasan!A134</f>
        <v>APIC</v>
      </c>
      <c r="B135" s="64" t="str">
        <f>Ringkasan!B134</f>
        <v>Pacific Strategic Financial Tbk.</v>
      </c>
      <c r="C135" s="65">
        <f>Ringkasan!C134</f>
        <v>605</v>
      </c>
      <c r="D135" s="64" t="str">
        <f>Ringkasan!D134</f>
        <v>#N/A</v>
      </c>
      <c r="E135" s="64" t="str">
        <f>Ringkasan!E134</f>
        <v/>
      </c>
      <c r="F135" s="64" t="str">
        <f>Ringkasan!F134</f>
        <v/>
      </c>
      <c r="G135" s="64">
        <f>Ringkasan!G134</f>
        <v>0</v>
      </c>
      <c r="H135" s="19">
        <f>Ringkasan!H134</f>
        <v>110</v>
      </c>
      <c r="I135" s="19">
        <f>Ringkasan!I134</f>
        <v>3.5</v>
      </c>
      <c r="J135" s="19">
        <f>Ringkasan!J134</f>
        <v>3.1</v>
      </c>
      <c r="K135" s="19">
        <f>Ringkasan!K134</f>
        <v>1.3</v>
      </c>
      <c r="L135" s="19">
        <f>Ringkasan!L134</f>
        <v>1.5</v>
      </c>
      <c r="M135" s="19">
        <f>Ringkasan!M134</f>
        <v>16.9</v>
      </c>
      <c r="N135" s="64" t="str">
        <f>Ringkasan!N134</f>
        <v/>
      </c>
      <c r="O135" s="64" t="str">
        <f>Ringkasan!O134</f>
        <v/>
      </c>
      <c r="P135" s="64" t="str">
        <f>Ringkasan!P134</f>
        <v/>
      </c>
      <c r="Q135" s="64" t="str">
        <f>Ringkasan!Q134</f>
        <v/>
      </c>
      <c r="R135" s="64" t="str">
        <f>Ringkasan!R134</f>
        <v/>
      </c>
      <c r="S135" s="64" t="str">
        <f>Ringkasan!S134</f>
        <v/>
      </c>
      <c r="T135" s="64" t="str">
        <f>Ringkasan!T134</f>
        <v/>
      </c>
      <c r="U135" s="64">
        <f>Ringkasan!U134</f>
        <v>590</v>
      </c>
      <c r="V135" s="64">
        <f>Ringkasan!V134</f>
        <v>2.54</v>
      </c>
      <c r="W135" s="64">
        <f>Ringkasan!W134</f>
        <v>590</v>
      </c>
      <c r="X135" s="64">
        <f>Ringkasan!X134</f>
        <v>650</v>
      </c>
      <c r="Y135" s="64">
        <f>Ringkasan!Y134</f>
        <v>585</v>
      </c>
      <c r="Z135" s="64">
        <f>Ringkasan!Z134</f>
        <v>2840200</v>
      </c>
      <c r="AA135" s="64" t="str">
        <f>Ringkasan!AA134</f>
        <v>Holding &amp; Investment Companies</v>
      </c>
      <c r="AB135" s="64" t="str">
        <f>Ringkasan!AB134</f>
        <v>Financials</v>
      </c>
    </row>
    <row r="136" hidden="1">
      <c r="A136" s="64" t="str">
        <f>Ringkasan!A135</f>
        <v>APII</v>
      </c>
      <c r="B136" s="64" t="str">
        <f>Ringkasan!B135</f>
        <v>PT Arita Prima Indonesia Tbk.</v>
      </c>
      <c r="C136" s="65">
        <f>Ringkasan!C135</f>
        <v>171</v>
      </c>
      <c r="D136" s="64" t="str">
        <f>Ringkasan!D135</f>
        <v>#N/A</v>
      </c>
      <c r="E136" s="64" t="str">
        <f>Ringkasan!E135</f>
        <v/>
      </c>
      <c r="F136" s="64" t="str">
        <f>Ringkasan!F135</f>
        <v/>
      </c>
      <c r="G136" s="64">
        <f>Ringkasan!G135</f>
        <v>0</v>
      </c>
      <c r="H136" s="19">
        <f>Ringkasan!H135</f>
        <v>17.3</v>
      </c>
      <c r="I136" s="19">
        <f>Ringkasan!I135</f>
        <v>0.45</v>
      </c>
      <c r="J136" s="19">
        <f>Ringkasan!J135</f>
        <v>2.6</v>
      </c>
      <c r="K136" s="19">
        <f>Ringkasan!K135</f>
        <v>1.8</v>
      </c>
      <c r="L136" s="19">
        <f>Ringkasan!L135</f>
        <v>0.49</v>
      </c>
      <c r="M136" s="19">
        <f>Ringkasan!M135</f>
        <v>13.4</v>
      </c>
      <c r="N136" s="64" t="str">
        <f>Ringkasan!N135</f>
        <v/>
      </c>
      <c r="O136" s="64" t="str">
        <f>Ringkasan!O135</f>
        <v/>
      </c>
      <c r="P136" s="64" t="str">
        <f>Ringkasan!P135</f>
        <v/>
      </c>
      <c r="Q136" s="64" t="str">
        <f>Ringkasan!Q135</f>
        <v/>
      </c>
      <c r="R136" s="64" t="str">
        <f>Ringkasan!R135</f>
        <v/>
      </c>
      <c r="S136" s="64" t="str">
        <f>Ringkasan!S135</f>
        <v/>
      </c>
      <c r="T136" s="64" t="str">
        <f>Ringkasan!T135</f>
        <v/>
      </c>
      <c r="U136" s="64">
        <f>Ringkasan!U135</f>
        <v>170</v>
      </c>
      <c r="V136" s="64">
        <f>Ringkasan!V135</f>
        <v>0.59</v>
      </c>
      <c r="W136" s="64">
        <f>Ringkasan!W135</f>
        <v>170</v>
      </c>
      <c r="X136" s="64">
        <f>Ringkasan!X135</f>
        <v>175</v>
      </c>
      <c r="Y136" s="64">
        <f>Ringkasan!Y135</f>
        <v>166</v>
      </c>
      <c r="Z136" s="64">
        <f>Ringkasan!Z135</f>
        <v>16200</v>
      </c>
      <c r="AA136" s="64" t="str">
        <f>Ringkasan!AA135</f>
        <v>Machinery</v>
      </c>
      <c r="AB136" s="64" t="str">
        <f>Ringkasan!AB135</f>
        <v>Industrials</v>
      </c>
    </row>
    <row r="137" hidden="1">
      <c r="A137" s="64" t="str">
        <f>Ringkasan!A136</f>
        <v>APLI</v>
      </c>
      <c r="B137" s="64" t="str">
        <f>Ringkasan!B136</f>
        <v>Asiaplast Industries Tbk.</v>
      </c>
      <c r="C137" s="65">
        <f>Ringkasan!C136</f>
        <v>252</v>
      </c>
      <c r="D137" s="64" t="str">
        <f>Ringkasan!D136</f>
        <v>#N/A</v>
      </c>
      <c r="E137" s="64" t="str">
        <f>Ringkasan!E136</f>
        <v/>
      </c>
      <c r="F137" s="64" t="str">
        <f>Ringkasan!F136</f>
        <v/>
      </c>
      <c r="G137" s="64">
        <f>Ringkasan!G136</f>
        <v>0</v>
      </c>
      <c r="H137" s="19">
        <f>Ringkasan!H136</f>
        <v>61.6</v>
      </c>
      <c r="I137" s="19">
        <f>Ringkasan!I136</f>
        <v>1</v>
      </c>
      <c r="J137" s="19">
        <f>Ringkasan!J136</f>
        <v>1.7</v>
      </c>
      <c r="K137" s="19">
        <f>Ringkasan!K136</f>
        <v>1.2</v>
      </c>
      <c r="L137" s="19">
        <f>Ringkasan!L136</f>
        <v>0.37</v>
      </c>
      <c r="M137" s="19">
        <f>Ringkasan!M136</f>
        <v>7.9</v>
      </c>
      <c r="N137" s="64" t="str">
        <f>Ringkasan!N136</f>
        <v/>
      </c>
      <c r="O137" s="64" t="str">
        <f>Ringkasan!O136</f>
        <v/>
      </c>
      <c r="P137" s="64" t="str">
        <f>Ringkasan!P136</f>
        <v/>
      </c>
      <c r="Q137" s="64" t="str">
        <f>Ringkasan!Q136</f>
        <v/>
      </c>
      <c r="R137" s="64" t="str">
        <f>Ringkasan!R136</f>
        <v/>
      </c>
      <c r="S137" s="64" t="str">
        <f>Ringkasan!S136</f>
        <v/>
      </c>
      <c r="T137" s="64" t="str">
        <f>Ringkasan!T136</f>
        <v/>
      </c>
      <c r="U137" s="64">
        <f>Ringkasan!U136</f>
        <v>0.02</v>
      </c>
      <c r="V137" s="64">
        <f>Ringkasan!V136</f>
        <v>0</v>
      </c>
      <c r="W137" s="64" t="str">
        <f>Ringkasan!W136</f>
        <v/>
      </c>
      <c r="X137" s="64" t="str">
        <f>Ringkasan!X136</f>
        <v/>
      </c>
      <c r="Y137" s="64" t="str">
        <f>Ringkasan!Y136</f>
        <v/>
      </c>
      <c r="Z137" s="64">
        <f>Ringkasan!Z136</f>
        <v>0</v>
      </c>
      <c r="AA137" s="64" t="str">
        <f>Ringkasan!AA136</f>
        <v>Chemicals</v>
      </c>
      <c r="AB137" s="64" t="str">
        <f>Ringkasan!AB136</f>
        <v>Basic Materials</v>
      </c>
    </row>
    <row r="138" hidden="1">
      <c r="A138" s="64" t="str">
        <f>Ringkasan!A137</f>
        <v>APLN</v>
      </c>
      <c r="B138" s="64" t="str">
        <f>Ringkasan!B137</f>
        <v>Agung Podomoro Land Tbk.</v>
      </c>
      <c r="C138" s="65">
        <f>Ringkasan!C137</f>
        <v>126</v>
      </c>
      <c r="D138" s="64" t="str">
        <f>Ringkasan!D137</f>
        <v>#N/A</v>
      </c>
      <c r="E138" s="64" t="str">
        <f>Ringkasan!E137</f>
        <v/>
      </c>
      <c r="F138" s="64" t="str">
        <f>Ringkasan!F137</f>
        <v/>
      </c>
      <c r="G138" s="64">
        <f>Ringkasan!G137</f>
        <v>0</v>
      </c>
      <c r="H138" s="19">
        <f>Ringkasan!H137</f>
        <v>8.6</v>
      </c>
      <c r="I138" s="19">
        <f>Ringkasan!I137</f>
        <v>0.25</v>
      </c>
      <c r="J138" s="19">
        <f>Ringkasan!J137</f>
        <v>2.9</v>
      </c>
      <c r="K138" s="19">
        <f>Ringkasan!K137</f>
        <v>1.6</v>
      </c>
      <c r="L138" s="19">
        <f>Ringkasan!L137</f>
        <v>0.76</v>
      </c>
      <c r="M138" s="19">
        <f>Ringkasan!M137</f>
        <v>13.5</v>
      </c>
      <c r="N138" s="64" t="str">
        <f>Ringkasan!N137</f>
        <v/>
      </c>
      <c r="O138" s="64" t="str">
        <f>Ringkasan!O137</f>
        <v/>
      </c>
      <c r="P138" s="64" t="str">
        <f>Ringkasan!P137</f>
        <v/>
      </c>
      <c r="Q138" s="64" t="str">
        <f>Ringkasan!Q137</f>
        <v/>
      </c>
      <c r="R138" s="64" t="str">
        <f>Ringkasan!R137</f>
        <v/>
      </c>
      <c r="S138" s="64" t="str">
        <f>Ringkasan!S137</f>
        <v/>
      </c>
      <c r="T138" s="64" t="str">
        <f>Ringkasan!T137</f>
        <v/>
      </c>
      <c r="U138" s="64">
        <f>Ringkasan!U137</f>
        <v>120</v>
      </c>
      <c r="V138" s="64">
        <f>Ringkasan!V137</f>
        <v>5</v>
      </c>
      <c r="W138" s="64">
        <f>Ringkasan!W137</f>
        <v>120</v>
      </c>
      <c r="X138" s="64">
        <f>Ringkasan!X137</f>
        <v>129</v>
      </c>
      <c r="Y138" s="64">
        <f>Ringkasan!Y137</f>
        <v>120</v>
      </c>
      <c r="Z138" s="64">
        <f>Ringkasan!Z137</f>
        <v>17676000</v>
      </c>
      <c r="AA138" s="64" t="str">
        <f>Ringkasan!AA137</f>
        <v>Real Estate Management &amp; Development</v>
      </c>
      <c r="AB138" s="64" t="str">
        <f>Ringkasan!AB137</f>
        <v>Properties &amp; Real Estate</v>
      </c>
    </row>
    <row r="139" hidden="1">
      <c r="A139" s="64" t="str">
        <f>Ringkasan!A138</f>
        <v>ARCI</v>
      </c>
      <c r="B139" s="64" t="str">
        <f>Ringkasan!B138</f>
        <v>Archi Indonesia Tbk.</v>
      </c>
      <c r="C139" s="65">
        <f>Ringkasan!C138</f>
        <v>975</v>
      </c>
      <c r="D139" s="64" t="str">
        <f>Ringkasan!D138</f>
        <v>#N/A</v>
      </c>
      <c r="E139" s="64" t="str">
        <f>Ringkasan!E138</f>
        <v>ESGQKEHATI</v>
      </c>
      <c r="F139" s="66">
        <f>Ringkasan!F138</f>
        <v>46356</v>
      </c>
      <c r="G139" s="65">
        <f>Ringkasan!G138</f>
        <v>6</v>
      </c>
      <c r="H139" s="19">
        <f>Ringkasan!H138</f>
        <v>15</v>
      </c>
      <c r="I139" s="19">
        <f>Ringkasan!I138</f>
        <v>4.6</v>
      </c>
      <c r="J139" s="19">
        <f>Ringkasan!J138</f>
        <v>30.6</v>
      </c>
      <c r="K139" s="19">
        <f>Ringkasan!K138</f>
        <v>11.3</v>
      </c>
      <c r="L139" s="19">
        <f>Ringkasan!L138</f>
        <v>1.7</v>
      </c>
      <c r="M139" s="19">
        <f>Ringkasan!M138</f>
        <v>87.9</v>
      </c>
      <c r="N139" s="64" t="str">
        <f>Ringkasan!N138</f>
        <v/>
      </c>
      <c r="O139" s="64" t="str">
        <f>Ringkasan!O138</f>
        <v/>
      </c>
      <c r="P139" s="64" t="str">
        <f>Ringkasan!P138</f>
        <v/>
      </c>
      <c r="Q139" s="64" t="str">
        <f>Ringkasan!Q138</f>
        <v/>
      </c>
      <c r="R139" s="64" t="str">
        <f>Ringkasan!R138</f>
        <v/>
      </c>
      <c r="S139" s="64" t="str">
        <f>Ringkasan!S138</f>
        <v/>
      </c>
      <c r="T139" s="64" t="str">
        <f>Ringkasan!T138</f>
        <v/>
      </c>
      <c r="U139" s="64">
        <f>Ringkasan!U138</f>
        <v>9.98</v>
      </c>
      <c r="V139" s="64">
        <f>Ringkasan!V138</f>
        <v>0</v>
      </c>
      <c r="W139" s="64" t="str">
        <f>Ringkasan!W138</f>
        <v/>
      </c>
      <c r="X139" s="64" t="str">
        <f>Ringkasan!X138</f>
        <v/>
      </c>
      <c r="Y139" s="64" t="str">
        <f>Ringkasan!Y138</f>
        <v/>
      </c>
      <c r="Z139" s="64">
        <f>Ringkasan!Z138</f>
        <v>20</v>
      </c>
      <c r="AA139" s="64" t="str">
        <f>Ringkasan!AA138</f>
        <v>Metals &amp; Minerals</v>
      </c>
      <c r="AB139" s="64" t="str">
        <f>Ringkasan!AB138</f>
        <v>Basic Materials</v>
      </c>
    </row>
    <row r="140" hidden="1">
      <c r="A140" s="64" t="str">
        <f>Ringkasan!A139</f>
        <v>ARCI</v>
      </c>
      <c r="B140" s="64" t="str">
        <f>Ringkasan!B139</f>
        <v>Archi Indonesia Tbk.</v>
      </c>
      <c r="C140" s="65">
        <f>Ringkasan!C139</f>
        <v>975</v>
      </c>
      <c r="D140" s="64" t="str">
        <f>Ringkasan!D139</f>
        <v>#N/A</v>
      </c>
      <c r="E140" s="64" t="str">
        <f>Ringkasan!E139</f>
        <v>IDXSMC-LIQ</v>
      </c>
      <c r="F140" s="64" t="str">
        <f>Ringkasan!F139</f>
        <v>4 Agustus 2026</v>
      </c>
      <c r="G140" s="64">
        <f>Ringkasan!G139</f>
        <v>6</v>
      </c>
      <c r="H140" s="19">
        <f>Ringkasan!H139</f>
        <v>15</v>
      </c>
      <c r="I140" s="19">
        <f>Ringkasan!I139</f>
        <v>4.6</v>
      </c>
      <c r="J140" s="19">
        <f>Ringkasan!J139</f>
        <v>30.6</v>
      </c>
      <c r="K140" s="19">
        <f>Ringkasan!K139</f>
        <v>11.3</v>
      </c>
      <c r="L140" s="19">
        <f>Ringkasan!L139</f>
        <v>1.7</v>
      </c>
      <c r="M140" s="19">
        <f>Ringkasan!M139</f>
        <v>87.9</v>
      </c>
      <c r="N140" s="64" t="str">
        <f>Ringkasan!N139</f>
        <v/>
      </c>
      <c r="O140" s="64" t="str">
        <f>Ringkasan!O139</f>
        <v/>
      </c>
      <c r="P140" s="64" t="str">
        <f>Ringkasan!P139</f>
        <v/>
      </c>
      <c r="Q140" s="64" t="str">
        <f>Ringkasan!Q139</f>
        <v/>
      </c>
      <c r="R140" s="64" t="str">
        <f>Ringkasan!R139</f>
        <v/>
      </c>
      <c r="S140" s="64" t="str">
        <f>Ringkasan!S139</f>
        <v/>
      </c>
      <c r="T140" s="64" t="str">
        <f>Ringkasan!T139</f>
        <v/>
      </c>
      <c r="U140" s="64">
        <f>Ringkasan!U139</f>
        <v>9.98</v>
      </c>
      <c r="V140" s="64">
        <f>Ringkasan!V139</f>
        <v>0</v>
      </c>
      <c r="W140" s="64" t="str">
        <f>Ringkasan!W139</f>
        <v/>
      </c>
      <c r="X140" s="64" t="str">
        <f>Ringkasan!X139</f>
        <v/>
      </c>
      <c r="Y140" s="64" t="str">
        <f>Ringkasan!Y139</f>
        <v/>
      </c>
      <c r="Z140" s="64">
        <f>Ringkasan!Z139</f>
        <v>20</v>
      </c>
      <c r="AA140" s="64" t="str">
        <f>Ringkasan!AA139</f>
        <v>Metals &amp; Minerals</v>
      </c>
      <c r="AB140" s="64" t="str">
        <f>Ringkasan!AB139</f>
        <v>Basic Materials</v>
      </c>
    </row>
    <row r="141" hidden="1">
      <c r="A141" s="64" t="str">
        <f>Ringkasan!A140</f>
        <v>ARCI</v>
      </c>
      <c r="B141" s="64" t="str">
        <f>Ringkasan!B140</f>
        <v>Archi Indonesia Tbk.</v>
      </c>
      <c r="C141" s="65">
        <f>Ringkasan!C140</f>
        <v>975</v>
      </c>
      <c r="D141" s="64" t="str">
        <f>Ringkasan!D140</f>
        <v>#N/A</v>
      </c>
      <c r="E141" s="64" t="str">
        <f>Ringkasan!E140</f>
        <v>Kompas100</v>
      </c>
      <c r="F141" s="64" t="str">
        <f>Ringkasan!F140</f>
        <v>31 Juli 2026</v>
      </c>
      <c r="G141" s="64">
        <f>Ringkasan!G140</f>
        <v>6</v>
      </c>
      <c r="H141" s="19">
        <f>Ringkasan!H140</f>
        <v>15</v>
      </c>
      <c r="I141" s="19">
        <f>Ringkasan!I140</f>
        <v>4.6</v>
      </c>
      <c r="J141" s="19">
        <f>Ringkasan!J140</f>
        <v>30.6</v>
      </c>
      <c r="K141" s="19">
        <f>Ringkasan!K140</f>
        <v>11.3</v>
      </c>
      <c r="L141" s="19">
        <f>Ringkasan!L140</f>
        <v>1.7</v>
      </c>
      <c r="M141" s="19">
        <f>Ringkasan!M140</f>
        <v>87.9</v>
      </c>
      <c r="N141" s="64" t="str">
        <f>Ringkasan!N140</f>
        <v/>
      </c>
      <c r="O141" s="64" t="str">
        <f>Ringkasan!O140</f>
        <v/>
      </c>
      <c r="P141" s="64" t="str">
        <f>Ringkasan!P140</f>
        <v/>
      </c>
      <c r="Q141" s="64" t="str">
        <f>Ringkasan!Q140</f>
        <v/>
      </c>
      <c r="R141" s="64" t="str">
        <f>Ringkasan!R140</f>
        <v/>
      </c>
      <c r="S141" s="64" t="str">
        <f>Ringkasan!S140</f>
        <v/>
      </c>
      <c r="T141" s="64" t="str">
        <f>Ringkasan!T140</f>
        <v/>
      </c>
      <c r="U141" s="64">
        <f>Ringkasan!U140</f>
        <v>9.98</v>
      </c>
      <c r="V141" s="64">
        <f>Ringkasan!V140</f>
        <v>0</v>
      </c>
      <c r="W141" s="64" t="str">
        <f>Ringkasan!W140</f>
        <v/>
      </c>
      <c r="X141" s="64" t="str">
        <f>Ringkasan!X140</f>
        <v/>
      </c>
      <c r="Y141" s="64" t="str">
        <f>Ringkasan!Y140</f>
        <v/>
      </c>
      <c r="Z141" s="64">
        <f>Ringkasan!Z140</f>
        <v>20</v>
      </c>
      <c r="AA141" s="64" t="str">
        <f>Ringkasan!AA140</f>
        <v>Metals &amp; Minerals</v>
      </c>
      <c r="AB141" s="64" t="str">
        <f>Ringkasan!AB140</f>
        <v>Basic Materials</v>
      </c>
    </row>
    <row r="142" hidden="1">
      <c r="A142" s="64" t="str">
        <f>Ringkasan!A141</f>
        <v>ARCI</v>
      </c>
      <c r="B142" s="64" t="str">
        <f>Ringkasan!B141</f>
        <v>Archi Indonesia Tbk.</v>
      </c>
      <c r="C142" s="65">
        <f>Ringkasan!C141</f>
        <v>975</v>
      </c>
      <c r="D142" s="64" t="str">
        <f>Ringkasan!D141</f>
        <v>#N/A</v>
      </c>
      <c r="E142" s="64" t="str">
        <f>Ringkasan!E141</f>
        <v>ESGSKEHATI</v>
      </c>
      <c r="F142" s="66">
        <f>Ringkasan!F141</f>
        <v>46356</v>
      </c>
      <c r="G142" s="65">
        <f>Ringkasan!G141</f>
        <v>6</v>
      </c>
      <c r="H142" s="19">
        <f>Ringkasan!H141</f>
        <v>15</v>
      </c>
      <c r="I142" s="19">
        <f>Ringkasan!I141</f>
        <v>4.6</v>
      </c>
      <c r="J142" s="19">
        <f>Ringkasan!J141</f>
        <v>30.6</v>
      </c>
      <c r="K142" s="19">
        <f>Ringkasan!K141</f>
        <v>11.3</v>
      </c>
      <c r="L142" s="19">
        <f>Ringkasan!L141</f>
        <v>1.7</v>
      </c>
      <c r="M142" s="19">
        <f>Ringkasan!M141</f>
        <v>87.9</v>
      </c>
      <c r="N142" s="64" t="str">
        <f>Ringkasan!N141</f>
        <v/>
      </c>
      <c r="O142" s="64" t="str">
        <f>Ringkasan!O141</f>
        <v/>
      </c>
      <c r="P142" s="64" t="str">
        <f>Ringkasan!P141</f>
        <v/>
      </c>
      <c r="Q142" s="64" t="str">
        <f>Ringkasan!Q141</f>
        <v/>
      </c>
      <c r="R142" s="64" t="str">
        <f>Ringkasan!R141</f>
        <v/>
      </c>
      <c r="S142" s="64" t="str">
        <f>Ringkasan!S141</f>
        <v/>
      </c>
      <c r="T142" s="64" t="str">
        <f>Ringkasan!T141</f>
        <v/>
      </c>
      <c r="U142" s="64">
        <f>Ringkasan!U141</f>
        <v>9.98</v>
      </c>
      <c r="V142" s="64">
        <f>Ringkasan!V141</f>
        <v>0</v>
      </c>
      <c r="W142" s="64" t="str">
        <f>Ringkasan!W141</f>
        <v/>
      </c>
      <c r="X142" s="64" t="str">
        <f>Ringkasan!X141</f>
        <v/>
      </c>
      <c r="Y142" s="64" t="str">
        <f>Ringkasan!Y141</f>
        <v/>
      </c>
      <c r="Z142" s="64">
        <f>Ringkasan!Z141</f>
        <v>20</v>
      </c>
      <c r="AA142" s="64" t="str">
        <f>Ringkasan!AA141</f>
        <v>Metals &amp; Minerals</v>
      </c>
      <c r="AB142" s="64" t="str">
        <f>Ringkasan!AB141</f>
        <v>Basic Materials</v>
      </c>
    </row>
    <row r="143" hidden="1">
      <c r="A143" s="64" t="str">
        <f>Ringkasan!A142</f>
        <v>ARCI</v>
      </c>
      <c r="B143" s="64" t="str">
        <f>Ringkasan!B142</f>
        <v>Archi Indonesia Tbk.</v>
      </c>
      <c r="C143" s="65">
        <f>Ringkasan!C142</f>
        <v>975</v>
      </c>
      <c r="D143" s="64" t="str">
        <f>Ringkasan!D142</f>
        <v>#N/A</v>
      </c>
      <c r="E143" s="64" t="str">
        <f>Ringkasan!E142</f>
        <v>JII30</v>
      </c>
      <c r="F143" s="66">
        <f>Ringkasan!F142</f>
        <v>46356</v>
      </c>
      <c r="G143" s="65">
        <f>Ringkasan!G142</f>
        <v>6</v>
      </c>
      <c r="H143" s="19">
        <f>Ringkasan!H142</f>
        <v>15</v>
      </c>
      <c r="I143" s="19">
        <f>Ringkasan!I142</f>
        <v>4.6</v>
      </c>
      <c r="J143" s="19">
        <f>Ringkasan!J142</f>
        <v>30.6</v>
      </c>
      <c r="K143" s="19">
        <f>Ringkasan!K142</f>
        <v>11.3</v>
      </c>
      <c r="L143" s="19">
        <f>Ringkasan!L142</f>
        <v>1.7</v>
      </c>
      <c r="M143" s="19">
        <f>Ringkasan!M142</f>
        <v>87.9</v>
      </c>
      <c r="N143" s="64" t="str">
        <f>Ringkasan!N142</f>
        <v/>
      </c>
      <c r="O143" s="64" t="str">
        <f>Ringkasan!O142</f>
        <v/>
      </c>
      <c r="P143" s="64" t="str">
        <f>Ringkasan!P142</f>
        <v/>
      </c>
      <c r="Q143" s="64" t="str">
        <f>Ringkasan!Q142</f>
        <v/>
      </c>
      <c r="R143" s="64" t="str">
        <f>Ringkasan!R142</f>
        <v/>
      </c>
      <c r="S143" s="64" t="str">
        <f>Ringkasan!S142</f>
        <v/>
      </c>
      <c r="T143" s="64" t="str">
        <f>Ringkasan!T142</f>
        <v/>
      </c>
      <c r="U143" s="64">
        <f>Ringkasan!U142</f>
        <v>9.98</v>
      </c>
      <c r="V143" s="64">
        <f>Ringkasan!V142</f>
        <v>0</v>
      </c>
      <c r="W143" s="64" t="str">
        <f>Ringkasan!W142</f>
        <v/>
      </c>
      <c r="X143" s="64" t="str">
        <f>Ringkasan!X142</f>
        <v/>
      </c>
      <c r="Y143" s="64" t="str">
        <f>Ringkasan!Y142</f>
        <v/>
      </c>
      <c r="Z143" s="64">
        <f>Ringkasan!Z142</f>
        <v>20</v>
      </c>
      <c r="AA143" s="64" t="str">
        <f>Ringkasan!AA142</f>
        <v>Metals &amp; Minerals</v>
      </c>
      <c r="AB143" s="64" t="str">
        <f>Ringkasan!AB142</f>
        <v>Basic Materials</v>
      </c>
    </row>
    <row r="144" hidden="1">
      <c r="A144" s="64" t="str">
        <f>Ringkasan!A143</f>
        <v>ARCI</v>
      </c>
      <c r="B144" s="64" t="str">
        <f>Ringkasan!B143</f>
        <v>Archi Indonesia Tbk.</v>
      </c>
      <c r="C144" s="65">
        <f>Ringkasan!C143</f>
        <v>975</v>
      </c>
      <c r="D144" s="64" t="str">
        <f>Ringkasan!D143</f>
        <v>#N/A</v>
      </c>
      <c r="E144" s="64" t="str">
        <f>Ringkasan!E143</f>
        <v>JII70</v>
      </c>
      <c r="F144" s="66">
        <f>Ringkasan!F143</f>
        <v>46356</v>
      </c>
      <c r="G144" s="65">
        <f>Ringkasan!G143</f>
        <v>6</v>
      </c>
      <c r="H144" s="19">
        <f>Ringkasan!H143</f>
        <v>15</v>
      </c>
      <c r="I144" s="19">
        <f>Ringkasan!I143</f>
        <v>4.6</v>
      </c>
      <c r="J144" s="19">
        <f>Ringkasan!J143</f>
        <v>30.6</v>
      </c>
      <c r="K144" s="19">
        <f>Ringkasan!K143</f>
        <v>11.3</v>
      </c>
      <c r="L144" s="19">
        <f>Ringkasan!L143</f>
        <v>1.7</v>
      </c>
      <c r="M144" s="19">
        <f>Ringkasan!M143</f>
        <v>87.9</v>
      </c>
      <c r="N144" s="64" t="str">
        <f>Ringkasan!N143</f>
        <v/>
      </c>
      <c r="O144" s="64" t="str">
        <f>Ringkasan!O143</f>
        <v/>
      </c>
      <c r="P144" s="64" t="str">
        <f>Ringkasan!P143</f>
        <v/>
      </c>
      <c r="Q144" s="64" t="str">
        <f>Ringkasan!Q143</f>
        <v/>
      </c>
      <c r="R144" s="64" t="str">
        <f>Ringkasan!R143</f>
        <v/>
      </c>
      <c r="S144" s="64" t="str">
        <f>Ringkasan!S143</f>
        <v/>
      </c>
      <c r="T144" s="64" t="str">
        <f>Ringkasan!T143</f>
        <v/>
      </c>
      <c r="U144" s="64">
        <f>Ringkasan!U143</f>
        <v>9.98</v>
      </c>
      <c r="V144" s="64">
        <f>Ringkasan!V143</f>
        <v>0</v>
      </c>
      <c r="W144" s="64" t="str">
        <f>Ringkasan!W143</f>
        <v/>
      </c>
      <c r="X144" s="64" t="str">
        <f>Ringkasan!X143</f>
        <v/>
      </c>
      <c r="Y144" s="64" t="str">
        <f>Ringkasan!Y143</f>
        <v/>
      </c>
      <c r="Z144" s="64">
        <f>Ringkasan!Z143</f>
        <v>20</v>
      </c>
      <c r="AA144" s="64" t="str">
        <f>Ringkasan!AA143</f>
        <v>Metals &amp; Minerals</v>
      </c>
      <c r="AB144" s="64" t="str">
        <f>Ringkasan!AB143</f>
        <v>Basic Materials</v>
      </c>
    </row>
    <row r="145" hidden="1">
      <c r="A145" s="64" t="str">
        <f>Ringkasan!A144</f>
        <v>AREA</v>
      </c>
      <c r="B145" s="64" t="str">
        <f>Ringkasan!B144</f>
        <v>Dunia Virtual Online Tbk.</v>
      </c>
      <c r="C145" s="65">
        <f>Ringkasan!C144</f>
        <v>226</v>
      </c>
      <c r="D145" s="64" t="str">
        <f>Ringkasan!D144</f>
        <v>#N/A</v>
      </c>
      <c r="E145" s="64" t="str">
        <f>Ringkasan!E144</f>
        <v/>
      </c>
      <c r="F145" s="64" t="str">
        <f>Ringkasan!F144</f>
        <v/>
      </c>
      <c r="G145" s="64">
        <f>Ringkasan!G144</f>
        <v>0</v>
      </c>
      <c r="H145" s="19">
        <f>Ringkasan!H144</f>
        <v>62.1</v>
      </c>
      <c r="I145" s="19">
        <f>Ringkasan!I144</f>
        <v>2.2</v>
      </c>
      <c r="J145" s="19">
        <f>Ringkasan!J144</f>
        <v>3.6</v>
      </c>
      <c r="K145" s="19">
        <f>Ringkasan!K144</f>
        <v>3.2</v>
      </c>
      <c r="L145" s="19">
        <f>Ringkasan!L144</f>
        <v>0.11</v>
      </c>
      <c r="M145" s="19">
        <f>Ringkasan!M144</f>
        <v>45.4</v>
      </c>
      <c r="N145" s="64" t="str">
        <f>Ringkasan!N144</f>
        <v/>
      </c>
      <c r="O145" s="64" t="str">
        <f>Ringkasan!O144</f>
        <v/>
      </c>
      <c r="P145" s="64" t="str">
        <f>Ringkasan!P144</f>
        <v/>
      </c>
      <c r="Q145" s="64" t="str">
        <f>Ringkasan!Q144</f>
        <v/>
      </c>
      <c r="R145" s="64" t="str">
        <f>Ringkasan!R144</f>
        <v/>
      </c>
      <c r="S145" s="64" t="str">
        <f>Ringkasan!S144</f>
        <v/>
      </c>
      <c r="T145" s="64" t="str">
        <f>Ringkasan!T144</f>
        <v/>
      </c>
      <c r="U145" s="64">
        <f>Ringkasan!U144</f>
        <v>206</v>
      </c>
      <c r="V145" s="64">
        <f>Ringkasan!V144</f>
        <v>9.71</v>
      </c>
      <c r="W145" s="64">
        <f>Ringkasan!W144</f>
        <v>200</v>
      </c>
      <c r="X145" s="64">
        <f>Ringkasan!X144</f>
        <v>240</v>
      </c>
      <c r="Y145" s="64">
        <f>Ringkasan!Y144</f>
        <v>200</v>
      </c>
      <c r="Z145" s="64">
        <f>Ringkasan!Z144</f>
        <v>1605600</v>
      </c>
      <c r="AA145" s="64" t="str">
        <f>Ringkasan!AA144</f>
        <v>IT Services &amp; Consulting</v>
      </c>
      <c r="AB145" s="64" t="str">
        <f>Ringkasan!AB144</f>
        <v>Technology</v>
      </c>
    </row>
    <row r="146" hidden="1">
      <c r="A146" s="64" t="str">
        <f>Ringkasan!A145</f>
        <v>ARGO</v>
      </c>
      <c r="B146" s="64" t="str">
        <f>Ringkasan!B145</f>
        <v>Argo Pantes Tbk</v>
      </c>
      <c r="C146" s="65">
        <f>Ringkasan!C145</f>
        <v>850</v>
      </c>
      <c r="D146" s="64" t="str">
        <f>Ringkasan!D145</f>
        <v>#N/A</v>
      </c>
      <c r="E146" s="64" t="str">
        <f>Ringkasan!E145</f>
        <v/>
      </c>
      <c r="F146" s="64" t="str">
        <f>Ringkasan!F145</f>
        <v/>
      </c>
      <c r="G146" s="64">
        <f>Ringkasan!G145</f>
        <v>0</v>
      </c>
      <c r="H146" s="19">
        <f>Ringkasan!H145</f>
        <v>39</v>
      </c>
      <c r="I146" s="19">
        <f>Ringkasan!I145</f>
        <v>14.4</v>
      </c>
      <c r="J146" s="19">
        <f>Ringkasan!J145</f>
        <v>36.9</v>
      </c>
      <c r="K146" s="19">
        <f>Ringkasan!K145</f>
        <v>6.3</v>
      </c>
      <c r="L146" s="19">
        <f>Ringkasan!L145</f>
        <v>4.8</v>
      </c>
      <c r="M146" s="19">
        <f>Ringkasan!M145</f>
        <v>63.4</v>
      </c>
      <c r="N146" s="64" t="str">
        <f>Ringkasan!N145</f>
        <v/>
      </c>
      <c r="O146" s="64" t="str">
        <f>Ringkasan!O145</f>
        <v/>
      </c>
      <c r="P146" s="64" t="str">
        <f>Ringkasan!P145</f>
        <v/>
      </c>
      <c r="Q146" s="64" t="str">
        <f>Ringkasan!Q145</f>
        <v/>
      </c>
      <c r="R146" s="64" t="str">
        <f>Ringkasan!R145</f>
        <v/>
      </c>
      <c r="S146" s="64" t="str">
        <f>Ringkasan!S145</f>
        <v/>
      </c>
      <c r="T146" s="64" t="str">
        <f>Ringkasan!T145</f>
        <v/>
      </c>
      <c r="U146" s="64">
        <f>Ringkasan!U145</f>
        <v>0.82</v>
      </c>
      <c r="V146" s="64">
        <f>Ringkasan!V145</f>
        <v>1.22</v>
      </c>
      <c r="W146" s="64">
        <f>Ringkasan!W145</f>
        <v>0.81</v>
      </c>
      <c r="X146" s="64">
        <f>Ringkasan!X145</f>
        <v>0.83</v>
      </c>
      <c r="Y146" s="64">
        <f>Ringkasan!Y145</f>
        <v>0.81</v>
      </c>
      <c r="Z146" s="64">
        <f>Ringkasan!Z145</f>
        <v>14100</v>
      </c>
      <c r="AA146" s="64" t="str">
        <f>Ringkasan!AA145</f>
        <v>Apparel &amp; Luxury Goods</v>
      </c>
      <c r="AB146" s="64" t="str">
        <f>Ringkasan!AB145</f>
        <v>Consumer Cyclicals</v>
      </c>
    </row>
    <row r="147" hidden="1">
      <c r="A147" s="64" t="str">
        <f>Ringkasan!A146</f>
        <v>ARII</v>
      </c>
      <c r="B147" s="64" t="str">
        <f>Ringkasan!B146</f>
        <v>Atlas Resources Tbk.</v>
      </c>
      <c r="C147" s="65">
        <f>Ringkasan!C146</f>
        <v>284</v>
      </c>
      <c r="D147" s="64" t="str">
        <f>Ringkasan!D146</f>
        <v>#N/A</v>
      </c>
      <c r="E147" s="64" t="str">
        <f>Ringkasan!E146</f>
        <v/>
      </c>
      <c r="F147" s="64" t="str">
        <f>Ringkasan!F146</f>
        <v/>
      </c>
      <c r="G147" s="64">
        <f>Ringkasan!G146</f>
        <v>0</v>
      </c>
      <c r="H147" s="19">
        <f>Ringkasan!H146</f>
        <v>-20.8</v>
      </c>
      <c r="I147" s="19">
        <f>Ringkasan!I146</f>
        <v>0.67</v>
      </c>
      <c r="J147" s="19">
        <f>Ringkasan!J146</f>
        <v>-3.2</v>
      </c>
      <c r="K147" s="19">
        <f>Ringkasan!K146</f>
        <v>-0.47</v>
      </c>
      <c r="L147" s="19">
        <f>Ringkasan!L146</f>
        <v>5.9</v>
      </c>
      <c r="M147" s="19">
        <f>Ringkasan!M146</f>
        <v>-2.7</v>
      </c>
      <c r="N147" s="64" t="str">
        <f>Ringkasan!N146</f>
        <v/>
      </c>
      <c r="O147" s="64" t="str">
        <f>Ringkasan!O146</f>
        <v/>
      </c>
      <c r="P147" s="64" t="str">
        <f>Ringkasan!P146</f>
        <v/>
      </c>
      <c r="Q147" s="64" t="str">
        <f>Ringkasan!Q146</f>
        <v/>
      </c>
      <c r="R147" s="64" t="str">
        <f>Ringkasan!R146</f>
        <v/>
      </c>
      <c r="S147" s="64" t="str">
        <f>Ringkasan!S146</f>
        <v/>
      </c>
      <c r="T147" s="64" t="str">
        <f>Ringkasan!T146</f>
        <v/>
      </c>
      <c r="U147" s="64">
        <f>Ringkasan!U146</f>
        <v>278</v>
      </c>
      <c r="V147" s="64">
        <f>Ringkasan!V146</f>
        <v>2.16</v>
      </c>
      <c r="W147" s="64">
        <f>Ringkasan!W146</f>
        <v>278</v>
      </c>
      <c r="X147" s="64">
        <f>Ringkasan!X146</f>
        <v>286</v>
      </c>
      <c r="Y147" s="64">
        <f>Ringkasan!Y146</f>
        <v>276</v>
      </c>
      <c r="Z147" s="64">
        <f>Ringkasan!Z146</f>
        <v>91600</v>
      </c>
      <c r="AA147" s="64" t="str">
        <f>Ringkasan!AA146</f>
        <v>Coal</v>
      </c>
      <c r="AB147" s="64" t="str">
        <f>Ringkasan!AB146</f>
        <v>Energy</v>
      </c>
    </row>
    <row r="148" hidden="1">
      <c r="A148" s="64" t="str">
        <f>Ringkasan!A147</f>
        <v>ARKA</v>
      </c>
      <c r="B148" s="64" t="str">
        <f>Ringkasan!B147</f>
        <v>Arkha Jayanti Persada Tbk.</v>
      </c>
      <c r="C148" s="65">
        <f>Ringkasan!C147</f>
        <v>27</v>
      </c>
      <c r="D148" s="64" t="str">
        <f>Ringkasan!D147</f>
        <v>#N/A</v>
      </c>
      <c r="E148" s="64" t="str">
        <f>Ringkasan!E147</f>
        <v/>
      </c>
      <c r="F148" s="64" t="str">
        <f>Ringkasan!F147</f>
        <v/>
      </c>
      <c r="G148" s="64">
        <f>Ringkasan!G147</f>
        <v>0</v>
      </c>
      <c r="H148" s="19">
        <f>Ringkasan!H147</f>
        <v>18</v>
      </c>
      <c r="I148" s="19">
        <f>Ringkasan!I147</f>
        <v>0.54</v>
      </c>
      <c r="J148" s="19">
        <f>Ringkasan!J147</f>
        <v>3</v>
      </c>
      <c r="K148" s="19">
        <f>Ringkasan!K147</f>
        <v>0.8</v>
      </c>
      <c r="L148" s="19">
        <f>Ringkasan!L147</f>
        <v>2.8</v>
      </c>
      <c r="M148" s="19">
        <f>Ringkasan!M147</f>
        <v>3.5</v>
      </c>
      <c r="N148" s="64" t="str">
        <f>Ringkasan!N147</f>
        <v/>
      </c>
      <c r="O148" s="64" t="str">
        <f>Ringkasan!O147</f>
        <v/>
      </c>
      <c r="P148" s="64" t="str">
        <f>Ringkasan!P147</f>
        <v/>
      </c>
      <c r="Q148" s="64" t="str">
        <f>Ringkasan!Q147</f>
        <v/>
      </c>
      <c r="R148" s="64" t="str">
        <f>Ringkasan!R147</f>
        <v/>
      </c>
      <c r="S148" s="64" t="str">
        <f>Ringkasan!S147</f>
        <v/>
      </c>
      <c r="T148" s="64" t="str">
        <f>Ringkasan!T147</f>
        <v/>
      </c>
      <c r="U148" s="64">
        <f>Ringkasan!U147</f>
        <v>27</v>
      </c>
      <c r="V148" s="64">
        <f>Ringkasan!V147</f>
        <v>0</v>
      </c>
      <c r="W148" s="64">
        <f>Ringkasan!W147</f>
        <v>28</v>
      </c>
      <c r="X148" s="64">
        <f>Ringkasan!X147</f>
        <v>28</v>
      </c>
      <c r="Y148" s="64">
        <f>Ringkasan!Y147</f>
        <v>27</v>
      </c>
      <c r="Z148" s="64">
        <f>Ringkasan!Z147</f>
        <v>1459800</v>
      </c>
      <c r="AA148" s="64" t="str">
        <f>Ringkasan!AA147</f>
        <v>Machinery</v>
      </c>
      <c r="AB148" s="64" t="str">
        <f>Ringkasan!AB147</f>
        <v>Industrials</v>
      </c>
    </row>
    <row r="149" hidden="1">
      <c r="A149" s="64" t="str">
        <f>Ringkasan!A899</f>
        <v>INDX</v>
      </c>
      <c r="B149" s="64" t="str">
        <f>Ringkasan!B899</f>
        <v>Tanah Laut Tbk</v>
      </c>
      <c r="C149" s="65">
        <f>Ringkasan!C899</f>
        <v>65</v>
      </c>
      <c r="D149" s="64" t="str">
        <f>Ringkasan!D899</f>
        <v>#N/A</v>
      </c>
      <c r="E149" s="64" t="str">
        <f>Ringkasan!E899</f>
        <v/>
      </c>
      <c r="F149" s="64" t="str">
        <f>Ringkasan!F899</f>
        <v/>
      </c>
      <c r="G149" s="64">
        <f>Ringkasan!G899</f>
        <v>0</v>
      </c>
      <c r="H149" s="19">
        <f>Ringkasan!H899</f>
        <v>-4.2</v>
      </c>
      <c r="I149" s="19">
        <f>Ringkasan!I899</f>
        <v>1.6</v>
      </c>
      <c r="J149" s="19">
        <f>Ringkasan!J899</f>
        <v>-37.4</v>
      </c>
      <c r="K149" s="19">
        <f>Ringkasan!K899</f>
        <v>-18.7</v>
      </c>
      <c r="L149" s="19">
        <f>Ringkasan!L899</f>
        <v>1</v>
      </c>
      <c r="M149" s="19">
        <f>Ringkasan!M899</f>
        <v>-4500</v>
      </c>
      <c r="N149" s="64" t="str">
        <f>Ringkasan!N899</f>
        <v/>
      </c>
      <c r="O149" s="64" t="str">
        <f>Ringkasan!O899</f>
        <v/>
      </c>
      <c r="P149" s="64" t="str">
        <f>Ringkasan!P899</f>
        <v/>
      </c>
      <c r="Q149" s="64" t="str">
        <f>Ringkasan!Q899</f>
        <v/>
      </c>
      <c r="R149" s="64" t="str">
        <f>Ringkasan!R899</f>
        <v/>
      </c>
      <c r="S149" s="64" t="str">
        <f>Ringkasan!S899</f>
        <v/>
      </c>
      <c r="T149" s="64" t="str">
        <f>Ringkasan!T899</f>
        <v/>
      </c>
      <c r="U149" s="64">
        <f>Ringkasan!U899</f>
        <v>60</v>
      </c>
      <c r="V149" s="64">
        <f>Ringkasan!V899</f>
        <v>8.33</v>
      </c>
      <c r="W149" s="64">
        <f>Ringkasan!W899</f>
        <v>60</v>
      </c>
      <c r="X149" s="64">
        <f>Ringkasan!X899</f>
        <v>72</v>
      </c>
      <c r="Y149" s="64">
        <f>Ringkasan!Y899</f>
        <v>59</v>
      </c>
      <c r="Z149" s="64">
        <f>Ringkasan!Z899</f>
        <v>11568400</v>
      </c>
      <c r="AA149" s="64" t="str">
        <f>Ringkasan!AA899</f>
        <v>Professional Services</v>
      </c>
      <c r="AB149" s="64" t="str">
        <f>Ringkasan!AB899</f>
        <v>Industrials</v>
      </c>
    </row>
    <row r="150" hidden="1">
      <c r="A150" s="64" t="str">
        <f>Ringkasan!A149</f>
        <v>ARMY</v>
      </c>
      <c r="B150" s="64" t="str">
        <f>Ringkasan!B149</f>
        <v>Armidian Karyatama Tbk.</v>
      </c>
      <c r="C150" s="65">
        <f>Ringkasan!C149</f>
        <v>50</v>
      </c>
      <c r="D150" s="64" t="str">
        <f>Ringkasan!D149</f>
        <v>#N/A</v>
      </c>
      <c r="E150" s="64" t="str">
        <f>Ringkasan!E149</f>
        <v/>
      </c>
      <c r="F150" s="64" t="str">
        <f>Ringkasan!F149</f>
        <v/>
      </c>
      <c r="G150" s="64">
        <f>Ringkasan!G149</f>
        <v>0</v>
      </c>
      <c r="H150" s="19">
        <f>Ringkasan!H149</f>
        <v>0</v>
      </c>
      <c r="I150" s="19">
        <f>Ringkasan!I149</f>
        <v>0.31</v>
      </c>
      <c r="J150" s="19">
        <f>Ringkasan!J149</f>
        <v>0.37</v>
      </c>
      <c r="K150" s="19">
        <f>Ringkasan!K149</f>
        <v>0.32</v>
      </c>
      <c r="L150" s="19">
        <f>Ringkasan!L149</f>
        <v>0.16</v>
      </c>
      <c r="M150" s="19">
        <f>Ringkasan!M149</f>
        <v>13.3</v>
      </c>
      <c r="N150" s="64" t="str">
        <f>Ringkasan!N149</f>
        <v/>
      </c>
      <c r="O150" s="64" t="str">
        <f>Ringkasan!O149</f>
        <v/>
      </c>
      <c r="P150" s="64" t="str">
        <f>Ringkasan!P149</f>
        <v/>
      </c>
      <c r="Q150" s="64" t="str">
        <f>Ringkasan!Q149</f>
        <v/>
      </c>
      <c r="R150" s="64" t="str">
        <f>Ringkasan!R149</f>
        <v/>
      </c>
      <c r="S150" s="64" t="str">
        <f>Ringkasan!S149</f>
        <v/>
      </c>
      <c r="T150" s="64" t="str">
        <f>Ringkasan!T149</f>
        <v/>
      </c>
      <c r="U150" s="64">
        <f>Ringkasan!U149</f>
        <v>25.53</v>
      </c>
      <c r="V150" s="64">
        <f>Ringkasan!V149</f>
        <v>-3.13</v>
      </c>
      <c r="W150" s="64">
        <f>Ringkasan!W149</f>
        <v>24.73</v>
      </c>
      <c r="X150" s="64">
        <f>Ringkasan!X149</f>
        <v>24.91</v>
      </c>
      <c r="Y150" s="64">
        <f>Ringkasan!Y149</f>
        <v>24.73</v>
      </c>
      <c r="Z150" s="64">
        <f>Ringkasan!Z149</f>
        <v>1380</v>
      </c>
      <c r="AA150" s="64" t="str">
        <f>Ringkasan!AA149</f>
        <v>Real Estate Management &amp; Development</v>
      </c>
      <c r="AB150" s="64" t="str">
        <f>Ringkasan!AB149</f>
        <v>Properties &amp; Real Estate</v>
      </c>
    </row>
    <row r="151">
      <c r="A151" s="60" t="str">
        <f>Ringkasan!A125</f>
        <v>ANTM</v>
      </c>
      <c r="B151" s="60" t="str">
        <f>Ringkasan!B125</f>
        <v>Aneka Tambang Tbk.</v>
      </c>
      <c r="C151" s="61">
        <f>Ringkasan!C125</f>
        <v>2850</v>
      </c>
      <c r="D151" s="60" t="str">
        <f>Ringkasan!D125</f>
        <v>#N/A</v>
      </c>
      <c r="E151" s="60" t="str">
        <f>Ringkasan!E125</f>
        <v>IDXBUMN20</v>
      </c>
      <c r="F151" s="60" t="str">
        <f>Ringkasan!F125</f>
        <v>4 Agustus 2026</v>
      </c>
      <c r="G151" s="61">
        <f>Ringkasan!G125</f>
        <v>19</v>
      </c>
      <c r="H151" s="62">
        <f>Ringkasan!H125</f>
        <v>8.2</v>
      </c>
      <c r="I151" s="62">
        <f>Ringkasan!I125</f>
        <v>1.7</v>
      </c>
      <c r="J151" s="62">
        <f>Ringkasan!J125</f>
        <v>21</v>
      </c>
      <c r="K151" s="62">
        <f>Ringkasan!K125</f>
        <v>13.4</v>
      </c>
      <c r="L151" s="62">
        <f>Ringkasan!L125</f>
        <v>0.57</v>
      </c>
      <c r="M151" s="62">
        <f>Ringkasan!M125</f>
        <v>28.9</v>
      </c>
      <c r="N151" s="60" t="str">
        <f>Ringkasan!N125</f>
        <v/>
      </c>
      <c r="O151" s="60" t="str">
        <f>Ringkasan!O125</f>
        <v/>
      </c>
      <c r="P151" s="60" t="str">
        <f>Ringkasan!P125</f>
        <v/>
      </c>
      <c r="Q151" s="60" t="str">
        <f>Ringkasan!Q125</f>
        <v/>
      </c>
      <c r="R151" s="60" t="str">
        <f>Ringkasan!R125</f>
        <v/>
      </c>
      <c r="S151" s="60" t="str">
        <f>Ringkasan!S125</f>
        <v/>
      </c>
      <c r="T151" s="60" t="str">
        <f>Ringkasan!T125</f>
        <v/>
      </c>
      <c r="U151" s="60">
        <f>Ringkasan!U125</f>
        <v>2720</v>
      </c>
      <c r="V151" s="60">
        <f>Ringkasan!V125</f>
        <v>4.78</v>
      </c>
      <c r="W151" s="60">
        <f>Ringkasan!W125</f>
        <v>2800</v>
      </c>
      <c r="X151" s="60">
        <f>Ringkasan!X125</f>
        <v>2910</v>
      </c>
      <c r="Y151" s="60">
        <f>Ringkasan!Y125</f>
        <v>2760</v>
      </c>
      <c r="Z151" s="60">
        <f>Ringkasan!Z125</f>
        <v>174808500</v>
      </c>
      <c r="AA151" s="60" t="str">
        <f>Ringkasan!AA125</f>
        <v>Metals &amp; Minerals</v>
      </c>
      <c r="AB151" s="60" t="str">
        <f>Ringkasan!AB125</f>
        <v>Basic Materials</v>
      </c>
    </row>
    <row r="152" hidden="1">
      <c r="A152" s="64" t="str">
        <f>Ringkasan!A1047</f>
        <v>KKES</v>
      </c>
      <c r="B152" s="64" t="str">
        <f>Ringkasan!B1047</f>
        <v>Kusuma Kemindo Sentosa Tbk.</v>
      </c>
      <c r="C152" s="65">
        <f>Ringkasan!C1047</f>
        <v>44</v>
      </c>
      <c r="D152" s="64" t="str">
        <f>Ringkasan!D1047</f>
        <v>#N/A</v>
      </c>
      <c r="E152" s="64" t="str">
        <f>Ringkasan!E1047</f>
        <v/>
      </c>
      <c r="F152" s="64" t="str">
        <f>Ringkasan!F1047</f>
        <v/>
      </c>
      <c r="G152" s="64">
        <f>Ringkasan!G1047</f>
        <v>0</v>
      </c>
      <c r="H152" s="19">
        <f>Ringkasan!H1047</f>
        <v>-42.5</v>
      </c>
      <c r="I152" s="19">
        <f>Ringkasan!I1047</f>
        <v>1.1</v>
      </c>
      <c r="J152" s="19">
        <f>Ringkasan!J1047</f>
        <v>-2.6</v>
      </c>
      <c r="K152" s="19">
        <f>Ringkasan!K1047</f>
        <v>-1.2</v>
      </c>
      <c r="L152" s="19">
        <f>Ringkasan!L1047</f>
        <v>1.2</v>
      </c>
      <c r="M152" s="19">
        <f>Ringkasan!M1047</f>
        <v>-3.1</v>
      </c>
      <c r="N152" s="64" t="str">
        <f>Ringkasan!N1047</f>
        <v/>
      </c>
      <c r="O152" s="64" t="str">
        <f>Ringkasan!O1047</f>
        <v/>
      </c>
      <c r="P152" s="64" t="str">
        <f>Ringkasan!P1047</f>
        <v/>
      </c>
      <c r="Q152" s="64" t="str">
        <f>Ringkasan!Q1047</f>
        <v/>
      </c>
      <c r="R152" s="64" t="str">
        <f>Ringkasan!R1047</f>
        <v/>
      </c>
      <c r="S152" s="64" t="str">
        <f>Ringkasan!S1047</f>
        <v/>
      </c>
      <c r="T152" s="64" t="str">
        <f>Ringkasan!T1047</f>
        <v/>
      </c>
      <c r="U152" s="64">
        <f>Ringkasan!U1047</f>
        <v>42</v>
      </c>
      <c r="V152" s="64">
        <f>Ringkasan!V1047</f>
        <v>4.76</v>
      </c>
      <c r="W152" s="64">
        <f>Ringkasan!W1047</f>
        <v>42</v>
      </c>
      <c r="X152" s="64">
        <f>Ringkasan!X1047</f>
        <v>44</v>
      </c>
      <c r="Y152" s="64">
        <f>Ringkasan!Y1047</f>
        <v>42</v>
      </c>
      <c r="Z152" s="64">
        <f>Ringkasan!Z1047</f>
        <v>2966800</v>
      </c>
      <c r="AA152" s="64" t="str">
        <f>Ringkasan!AA1047</f>
        <v>Chemicals</v>
      </c>
      <c r="AB152" s="64" t="str">
        <f>Ringkasan!AB1047</f>
        <v>Basic Materials</v>
      </c>
    </row>
    <row r="153" hidden="1">
      <c r="A153" s="64" t="str">
        <f>Ringkasan!A152</f>
        <v>ARTI</v>
      </c>
      <c r="B153" s="64" t="str">
        <f>Ringkasan!B152</f>
        <v>Ratu Prabu Energi Tbk</v>
      </c>
      <c r="C153" s="65">
        <f>Ringkasan!C152</f>
        <v>2</v>
      </c>
      <c r="D153" s="64" t="str">
        <f>Ringkasan!D152</f>
        <v>#N/A</v>
      </c>
      <c r="E153" s="64" t="str">
        <f>Ringkasan!E152</f>
        <v/>
      </c>
      <c r="F153" s="64" t="str">
        <f>Ringkasan!F152</f>
        <v/>
      </c>
      <c r="G153" s="64">
        <f>Ringkasan!G152</f>
        <v>0</v>
      </c>
      <c r="H153" s="19">
        <f>Ringkasan!H152</f>
        <v>5.7</v>
      </c>
      <c r="I153" s="19">
        <f>Ringkasan!I152</f>
        <v>-0.07</v>
      </c>
      <c r="J153" s="19">
        <f>Ringkasan!J152</f>
        <v>0</v>
      </c>
      <c r="K153" s="19">
        <f>Ringkasan!K152</f>
        <v>0.51</v>
      </c>
      <c r="L153" s="19">
        <f>Ringkasan!L152</f>
        <v>-3.5</v>
      </c>
      <c r="M153" s="19">
        <f>Ringkasan!M152</f>
        <v>33.5</v>
      </c>
      <c r="N153" s="64" t="str">
        <f>Ringkasan!N152</f>
        <v/>
      </c>
      <c r="O153" s="64" t="str">
        <f>Ringkasan!O152</f>
        <v/>
      </c>
      <c r="P153" s="64" t="str">
        <f>Ringkasan!P152</f>
        <v/>
      </c>
      <c r="Q153" s="64" t="str">
        <f>Ringkasan!Q152</f>
        <v/>
      </c>
      <c r="R153" s="64" t="str">
        <f>Ringkasan!R152</f>
        <v/>
      </c>
      <c r="S153" s="64" t="str">
        <f>Ringkasan!S152</f>
        <v/>
      </c>
      <c r="T153" s="64" t="str">
        <f>Ringkasan!T152</f>
        <v/>
      </c>
      <c r="U153" s="64" t="str">
        <f>Ringkasan!U152</f>
        <v/>
      </c>
      <c r="V153" s="64">
        <f>Ringkasan!V152</f>
        <v>0.07</v>
      </c>
      <c r="W153" s="64">
        <f>Ringkasan!W152</f>
        <v>15.32</v>
      </c>
      <c r="X153" s="64">
        <f>Ringkasan!X152</f>
        <v>15.33</v>
      </c>
      <c r="Y153" s="64">
        <f>Ringkasan!Y152</f>
        <v>15.31</v>
      </c>
      <c r="Z153" s="64">
        <f>Ringkasan!Z152</f>
        <v>1967</v>
      </c>
      <c r="AA153" s="64" t="str">
        <f>Ringkasan!AA152</f>
        <v>Oil, Gas &amp; Coal Supports</v>
      </c>
      <c r="AB153" s="64" t="str">
        <f>Ringkasan!AB152</f>
        <v>Energy</v>
      </c>
    </row>
    <row r="154" hidden="1">
      <c r="A154" s="64" t="str">
        <f>Ringkasan!A153</f>
        <v>ARTO</v>
      </c>
      <c r="B154" s="64" t="str">
        <f>Ringkasan!B153</f>
        <v>Bank Jago Tbk.</v>
      </c>
      <c r="C154" s="65">
        <f>Ringkasan!C153</f>
        <v>1010</v>
      </c>
      <c r="D154" s="64" t="str">
        <f>Ringkasan!D153</f>
        <v>#N/A</v>
      </c>
      <c r="E154" s="64" t="str">
        <f>Ringkasan!E153</f>
        <v>IDXSMC-LIQ</v>
      </c>
      <c r="F154" s="64" t="str">
        <f>Ringkasan!F153</f>
        <v>4 Agustus 2026</v>
      </c>
      <c r="G154" s="64">
        <f>Ringkasan!G153</f>
        <v>6</v>
      </c>
      <c r="H154" s="19">
        <f>Ringkasan!H153</f>
        <v>54.2</v>
      </c>
      <c r="I154" s="19">
        <f>Ringkasan!I153</f>
        <v>1.8</v>
      </c>
      <c r="J154" s="19">
        <f>Ringkasan!J153</f>
        <v>3.4</v>
      </c>
      <c r="K154" s="19">
        <f>Ringkasan!K153</f>
        <v>0.76</v>
      </c>
      <c r="L154" s="19">
        <f>Ringkasan!L153</f>
        <v>3.4</v>
      </c>
      <c r="M154" s="19">
        <f>Ringkasan!M153</f>
        <v>30</v>
      </c>
      <c r="N154" s="64">
        <f>Ringkasan!N153</f>
        <v>7.34</v>
      </c>
      <c r="O154" s="64">
        <f>Ringkasan!O153</f>
        <v>44.4</v>
      </c>
      <c r="P154" s="64">
        <f>Ringkasan!P153</f>
        <v>94.08</v>
      </c>
      <c r="Q154" s="64">
        <f>Ringkasan!Q153</f>
        <v>0.16</v>
      </c>
      <c r="R154" s="64">
        <f>Ringkasan!R153</f>
        <v>92.35</v>
      </c>
      <c r="S154" s="64">
        <f>Ringkasan!S153</f>
        <v>73.73</v>
      </c>
      <c r="T154" s="19" t="str">
        <f>Ringkasan!T153</f>
        <v/>
      </c>
      <c r="U154" s="64">
        <f>Ringkasan!U153</f>
        <v>9100</v>
      </c>
      <c r="V154" s="64">
        <f>Ringkasan!V153</f>
        <v>0</v>
      </c>
      <c r="W154" s="64" t="str">
        <f>Ringkasan!W153</f>
        <v/>
      </c>
      <c r="X154" s="64" t="str">
        <f>Ringkasan!X153</f>
        <v/>
      </c>
      <c r="Y154" s="64" t="str">
        <f>Ringkasan!Y153</f>
        <v/>
      </c>
      <c r="Z154" s="64">
        <f>Ringkasan!Z153</f>
        <v>0</v>
      </c>
      <c r="AA154" s="64" t="str">
        <f>Ringkasan!AA153</f>
        <v>Banks</v>
      </c>
      <c r="AB154" s="64" t="str">
        <f>Ringkasan!AB153</f>
        <v>Financials</v>
      </c>
    </row>
    <row r="155" hidden="1">
      <c r="A155" s="64" t="str">
        <f>Ringkasan!A154</f>
        <v>ARTO</v>
      </c>
      <c r="B155" s="64" t="str">
        <f>Ringkasan!B154</f>
        <v>Bank Jago Tbk.</v>
      </c>
      <c r="C155" s="65">
        <f>Ringkasan!C154</f>
        <v>1010</v>
      </c>
      <c r="D155" s="64" t="str">
        <f>Ringkasan!D154</f>
        <v>#N/A</v>
      </c>
      <c r="E155" s="64" t="str">
        <f>Ringkasan!E154</f>
        <v>IDX80</v>
      </c>
      <c r="F155" s="64" t="str">
        <f>Ringkasan!F154</f>
        <v>31 Juli 2026</v>
      </c>
      <c r="G155" s="64">
        <f>Ringkasan!G154</f>
        <v>6</v>
      </c>
      <c r="H155" s="19">
        <f>Ringkasan!H154</f>
        <v>54.2</v>
      </c>
      <c r="I155" s="19">
        <f>Ringkasan!I154</f>
        <v>1.8</v>
      </c>
      <c r="J155" s="19">
        <f>Ringkasan!J154</f>
        <v>3.4</v>
      </c>
      <c r="K155" s="19">
        <f>Ringkasan!K154</f>
        <v>0.76</v>
      </c>
      <c r="L155" s="19">
        <f>Ringkasan!L154</f>
        <v>3.4</v>
      </c>
      <c r="M155" s="19">
        <f>Ringkasan!M154</f>
        <v>30</v>
      </c>
      <c r="N155" s="64">
        <f>Ringkasan!N154</f>
        <v>7.34</v>
      </c>
      <c r="O155" s="64">
        <f>Ringkasan!O154</f>
        <v>44.4</v>
      </c>
      <c r="P155" s="64">
        <f>Ringkasan!P154</f>
        <v>94.08</v>
      </c>
      <c r="Q155" s="64">
        <f>Ringkasan!Q154</f>
        <v>0.16</v>
      </c>
      <c r="R155" s="64">
        <f>Ringkasan!R154</f>
        <v>92.35</v>
      </c>
      <c r="S155" s="64">
        <f>Ringkasan!S154</f>
        <v>73.73</v>
      </c>
      <c r="T155" s="19" t="str">
        <f>Ringkasan!T154</f>
        <v/>
      </c>
      <c r="U155" s="64">
        <f>Ringkasan!U154</f>
        <v>9100</v>
      </c>
      <c r="V155" s="64">
        <f>Ringkasan!V154</f>
        <v>0</v>
      </c>
      <c r="W155" s="64" t="str">
        <f>Ringkasan!W154</f>
        <v/>
      </c>
      <c r="X155" s="64" t="str">
        <f>Ringkasan!X154</f>
        <v/>
      </c>
      <c r="Y155" s="64" t="str">
        <f>Ringkasan!Y154</f>
        <v/>
      </c>
      <c r="Z155" s="64">
        <f>Ringkasan!Z154</f>
        <v>0</v>
      </c>
      <c r="AA155" s="64" t="str">
        <f>Ringkasan!AA154</f>
        <v>Banks</v>
      </c>
      <c r="AB155" s="64" t="str">
        <f>Ringkasan!AB154</f>
        <v>Financials</v>
      </c>
    </row>
    <row r="156" hidden="1">
      <c r="A156" s="64" t="str">
        <f>Ringkasan!A155</f>
        <v>ARTO</v>
      </c>
      <c r="B156" s="64" t="str">
        <f>Ringkasan!B155</f>
        <v>Bank Jago Tbk.</v>
      </c>
      <c r="C156" s="65">
        <f>Ringkasan!C155</f>
        <v>1010</v>
      </c>
      <c r="D156" s="64" t="str">
        <f>Ringkasan!D155</f>
        <v>#N/A</v>
      </c>
      <c r="E156" s="64" t="str">
        <f>Ringkasan!E155</f>
        <v>ECONOMIC30</v>
      </c>
      <c r="F156" s="64" t="str">
        <f>Ringkasan!F155</f>
        <v>31 Agustus 2026</v>
      </c>
      <c r="G156" s="64">
        <f>Ringkasan!G155</f>
        <v>6</v>
      </c>
      <c r="H156" s="19">
        <f>Ringkasan!H155</f>
        <v>54.2</v>
      </c>
      <c r="I156" s="19">
        <f>Ringkasan!I155</f>
        <v>1.8</v>
      </c>
      <c r="J156" s="19">
        <f>Ringkasan!J155</f>
        <v>3.4</v>
      </c>
      <c r="K156" s="19">
        <f>Ringkasan!K155</f>
        <v>0.76</v>
      </c>
      <c r="L156" s="19">
        <f>Ringkasan!L155</f>
        <v>3.4</v>
      </c>
      <c r="M156" s="19">
        <f>Ringkasan!M155</f>
        <v>30</v>
      </c>
      <c r="N156" s="64">
        <f>Ringkasan!N155</f>
        <v>7.34</v>
      </c>
      <c r="O156" s="64">
        <f>Ringkasan!O155</f>
        <v>44.4</v>
      </c>
      <c r="P156" s="64">
        <f>Ringkasan!P155</f>
        <v>94.08</v>
      </c>
      <c r="Q156" s="64">
        <f>Ringkasan!Q155</f>
        <v>0.16</v>
      </c>
      <c r="R156" s="64">
        <f>Ringkasan!R155</f>
        <v>92.35</v>
      </c>
      <c r="S156" s="64">
        <f>Ringkasan!S155</f>
        <v>73.73</v>
      </c>
      <c r="T156" s="19" t="str">
        <f>Ringkasan!T155</f>
        <v/>
      </c>
      <c r="U156" s="64">
        <f>Ringkasan!U155</f>
        <v>9100</v>
      </c>
      <c r="V156" s="64">
        <f>Ringkasan!V155</f>
        <v>0</v>
      </c>
      <c r="W156" s="64" t="str">
        <f>Ringkasan!W155</f>
        <v/>
      </c>
      <c r="X156" s="64" t="str">
        <f>Ringkasan!X155</f>
        <v/>
      </c>
      <c r="Y156" s="64" t="str">
        <f>Ringkasan!Y155</f>
        <v/>
      </c>
      <c r="Z156" s="64">
        <f>Ringkasan!Z155</f>
        <v>0</v>
      </c>
      <c r="AA156" s="64" t="str">
        <f>Ringkasan!AA155</f>
        <v>Banks</v>
      </c>
      <c r="AB156" s="64" t="str">
        <f>Ringkasan!AB155</f>
        <v>Financials</v>
      </c>
    </row>
    <row r="157" hidden="1">
      <c r="A157" s="64" t="str">
        <f>Ringkasan!A156</f>
        <v>ARTO</v>
      </c>
      <c r="B157" s="64" t="str">
        <f>Ringkasan!B156</f>
        <v>Bank Jago Tbk.</v>
      </c>
      <c r="C157" s="65">
        <f>Ringkasan!C156</f>
        <v>1010</v>
      </c>
      <c r="D157" s="64" t="str">
        <f>Ringkasan!D156</f>
        <v>#N/A</v>
      </c>
      <c r="E157" s="64" t="str">
        <f>Ringkasan!E156</f>
        <v>Kompas100</v>
      </c>
      <c r="F157" s="64" t="str">
        <f>Ringkasan!F156</f>
        <v>31 Juli 2026</v>
      </c>
      <c r="G157" s="64">
        <f>Ringkasan!G156</f>
        <v>6</v>
      </c>
      <c r="H157" s="19">
        <f>Ringkasan!H156</f>
        <v>54.2</v>
      </c>
      <c r="I157" s="19">
        <f>Ringkasan!I156</f>
        <v>1.8</v>
      </c>
      <c r="J157" s="19">
        <f>Ringkasan!J156</f>
        <v>3.4</v>
      </c>
      <c r="K157" s="19">
        <f>Ringkasan!K156</f>
        <v>0.76</v>
      </c>
      <c r="L157" s="19">
        <f>Ringkasan!L156</f>
        <v>3.4</v>
      </c>
      <c r="M157" s="19">
        <f>Ringkasan!M156</f>
        <v>30</v>
      </c>
      <c r="N157" s="64">
        <f>Ringkasan!N156</f>
        <v>7.34</v>
      </c>
      <c r="O157" s="64">
        <f>Ringkasan!O156</f>
        <v>44.4</v>
      </c>
      <c r="P157" s="64">
        <f>Ringkasan!P156</f>
        <v>94.08</v>
      </c>
      <c r="Q157" s="64">
        <f>Ringkasan!Q156</f>
        <v>0.16</v>
      </c>
      <c r="R157" s="64">
        <f>Ringkasan!R156</f>
        <v>92.35</v>
      </c>
      <c r="S157" s="64">
        <f>Ringkasan!S156</f>
        <v>73.73</v>
      </c>
      <c r="T157" s="19" t="str">
        <f>Ringkasan!T156</f>
        <v/>
      </c>
      <c r="U157" s="64">
        <f>Ringkasan!U156</f>
        <v>9100</v>
      </c>
      <c r="V157" s="64">
        <f>Ringkasan!V156</f>
        <v>0</v>
      </c>
      <c r="W157" s="64" t="str">
        <f>Ringkasan!W156</f>
        <v/>
      </c>
      <c r="X157" s="64" t="str">
        <f>Ringkasan!X156</f>
        <v/>
      </c>
      <c r="Y157" s="64" t="str">
        <f>Ringkasan!Y156</f>
        <v/>
      </c>
      <c r="Z157" s="64">
        <f>Ringkasan!Z156</f>
        <v>0</v>
      </c>
      <c r="AA157" s="64" t="str">
        <f>Ringkasan!AA156</f>
        <v>Banks</v>
      </c>
      <c r="AB157" s="64" t="str">
        <f>Ringkasan!AB156</f>
        <v>Financials</v>
      </c>
    </row>
    <row r="158" hidden="1">
      <c r="A158" s="64" t="str">
        <f>Ringkasan!A65</f>
        <v>AISA</v>
      </c>
      <c r="B158" s="64" t="str">
        <f>Ringkasan!B65</f>
        <v>FKS Food Sejahtera Tbk.</v>
      </c>
      <c r="C158" s="65">
        <f>Ringkasan!C65</f>
        <v>101</v>
      </c>
      <c r="D158" s="64" t="str">
        <f>Ringkasan!D65</f>
        <v>#N/A</v>
      </c>
      <c r="E158" s="64" t="str">
        <f>Ringkasan!E65</f>
        <v/>
      </c>
      <c r="F158" s="64" t="str">
        <f>Ringkasan!F65</f>
        <v/>
      </c>
      <c r="G158" s="64">
        <f>Ringkasan!G65</f>
        <v>0</v>
      </c>
      <c r="H158" s="19">
        <f>Ringkasan!H65</f>
        <v>15.2</v>
      </c>
      <c r="I158" s="19">
        <f>Ringkasan!I65</f>
        <v>0.86</v>
      </c>
      <c r="J158" s="19">
        <f>Ringkasan!J65</f>
        <v>5.7</v>
      </c>
      <c r="K158" s="19">
        <f>Ringkasan!K65</f>
        <v>3</v>
      </c>
      <c r="L158" s="19">
        <f>Ringkasan!L65</f>
        <v>0.87</v>
      </c>
      <c r="M158" s="19">
        <f>Ringkasan!M65</f>
        <v>13</v>
      </c>
      <c r="N158" s="64" t="str">
        <f>Ringkasan!N65</f>
        <v/>
      </c>
      <c r="O158" s="64" t="str">
        <f>Ringkasan!O65</f>
        <v/>
      </c>
      <c r="P158" s="64" t="str">
        <f>Ringkasan!P65</f>
        <v/>
      </c>
      <c r="Q158" s="64" t="str">
        <f>Ringkasan!Q65</f>
        <v/>
      </c>
      <c r="R158" s="64" t="str">
        <f>Ringkasan!R65</f>
        <v/>
      </c>
      <c r="S158" s="64" t="str">
        <f>Ringkasan!S65</f>
        <v/>
      </c>
      <c r="T158" s="64" t="str">
        <f>Ringkasan!T65</f>
        <v/>
      </c>
      <c r="U158" s="64">
        <f>Ringkasan!U65</f>
        <v>102</v>
      </c>
      <c r="V158" s="64">
        <f>Ringkasan!V65</f>
        <v>-0.98</v>
      </c>
      <c r="W158" s="64">
        <f>Ringkasan!W65</f>
        <v>101</v>
      </c>
      <c r="X158" s="64">
        <f>Ringkasan!X65</f>
        <v>105</v>
      </c>
      <c r="Y158" s="64">
        <f>Ringkasan!Y65</f>
        <v>100</v>
      </c>
      <c r="Z158" s="64">
        <f>Ringkasan!Z65</f>
        <v>4799800</v>
      </c>
      <c r="AA158" s="64" t="str">
        <f>Ringkasan!AA65</f>
        <v>Processed Foods</v>
      </c>
      <c r="AB158" s="64" t="str">
        <f>Ringkasan!AB65</f>
        <v>Consumer Non-Cyclicals</v>
      </c>
    </row>
    <row r="159" hidden="1">
      <c r="A159" s="64" t="str">
        <f>Ringkasan!A158</f>
        <v>ARTO</v>
      </c>
      <c r="B159" s="64" t="str">
        <f>Ringkasan!B158</f>
        <v>Bank Jago Tbk.</v>
      </c>
      <c r="C159" s="65">
        <f>Ringkasan!C158</f>
        <v>1010</v>
      </c>
      <c r="D159" s="64" t="str">
        <f>Ringkasan!D158</f>
        <v>#N/A</v>
      </c>
      <c r="E159" s="64" t="str">
        <f>Ringkasan!E158</f>
        <v>MSCI Small Cap</v>
      </c>
      <c r="F159" s="64" t="str">
        <f>Ringkasan!F158</f>
        <v>12 Agustus 2026</v>
      </c>
      <c r="G159" s="64">
        <f>Ringkasan!G158</f>
        <v>6</v>
      </c>
      <c r="H159" s="19">
        <f>Ringkasan!H158</f>
        <v>54.2</v>
      </c>
      <c r="I159" s="19">
        <f>Ringkasan!I158</f>
        <v>1.8</v>
      </c>
      <c r="J159" s="19">
        <f>Ringkasan!J158</f>
        <v>3.4</v>
      </c>
      <c r="K159" s="19">
        <f>Ringkasan!K158</f>
        <v>0.76</v>
      </c>
      <c r="L159" s="19">
        <f>Ringkasan!L158</f>
        <v>3.4</v>
      </c>
      <c r="M159" s="19">
        <f>Ringkasan!M158</f>
        <v>30</v>
      </c>
      <c r="N159" s="64">
        <f>Ringkasan!N158</f>
        <v>7.34</v>
      </c>
      <c r="O159" s="64">
        <f>Ringkasan!O158</f>
        <v>44.4</v>
      </c>
      <c r="P159" s="64">
        <f>Ringkasan!P158</f>
        <v>94.08</v>
      </c>
      <c r="Q159" s="64">
        <f>Ringkasan!Q158</f>
        <v>0.16</v>
      </c>
      <c r="R159" s="64">
        <f>Ringkasan!R158</f>
        <v>92.35</v>
      </c>
      <c r="S159" s="64">
        <f>Ringkasan!S158</f>
        <v>73.73</v>
      </c>
      <c r="T159" s="64" t="str">
        <f>Ringkasan!T158</f>
        <v/>
      </c>
      <c r="U159" s="64">
        <f>Ringkasan!U158</f>
        <v>9100</v>
      </c>
      <c r="V159" s="64">
        <f>Ringkasan!V158</f>
        <v>0</v>
      </c>
      <c r="W159" s="64" t="str">
        <f>Ringkasan!W158</f>
        <v/>
      </c>
      <c r="X159" s="64" t="str">
        <f>Ringkasan!X158</f>
        <v/>
      </c>
      <c r="Y159" s="64" t="str">
        <f>Ringkasan!Y158</f>
        <v/>
      </c>
      <c r="Z159" s="64">
        <f>Ringkasan!Z158</f>
        <v>0</v>
      </c>
      <c r="AA159" s="64" t="str">
        <f>Ringkasan!AA158</f>
        <v>Banks</v>
      </c>
      <c r="AB159" s="64" t="str">
        <f>Ringkasan!AB158</f>
        <v>Financials</v>
      </c>
    </row>
    <row r="160" hidden="1">
      <c r="A160" s="64" t="str">
        <f>Ringkasan!A159</f>
        <v>ASBI</v>
      </c>
      <c r="B160" s="64" t="str">
        <f>Ringkasan!B159</f>
        <v>Asuransi Bintang Tbk.</v>
      </c>
      <c r="C160" s="65">
        <f>Ringkasan!C159</f>
        <v>398</v>
      </c>
      <c r="D160" s="64" t="str">
        <f>Ringkasan!D159</f>
        <v>#N/A</v>
      </c>
      <c r="E160" s="64" t="str">
        <f>Ringkasan!E159</f>
        <v/>
      </c>
      <c r="F160" s="64" t="str">
        <f>Ringkasan!F159</f>
        <v/>
      </c>
      <c r="G160" s="64">
        <f>Ringkasan!G159</f>
        <v>0</v>
      </c>
      <c r="H160" s="19">
        <f>Ringkasan!H159</f>
        <v>6.4</v>
      </c>
      <c r="I160" s="19">
        <f>Ringkasan!I159</f>
        <v>0.3</v>
      </c>
      <c r="J160" s="19">
        <f>Ringkasan!J159</f>
        <v>4.7</v>
      </c>
      <c r="K160" s="19">
        <f>Ringkasan!K159</f>
        <v>2.6</v>
      </c>
      <c r="L160" s="19">
        <f>Ringkasan!L159</f>
        <v>0.84</v>
      </c>
      <c r="M160" s="19">
        <f>Ringkasan!M159</f>
        <v>30.3</v>
      </c>
      <c r="N160" s="64" t="str">
        <f>Ringkasan!N159</f>
        <v/>
      </c>
      <c r="O160" s="64" t="str">
        <f>Ringkasan!O159</f>
        <v/>
      </c>
      <c r="P160" s="64" t="str">
        <f>Ringkasan!P159</f>
        <v/>
      </c>
      <c r="Q160" s="64" t="str">
        <f>Ringkasan!Q159</f>
        <v/>
      </c>
      <c r="R160" s="64" t="str">
        <f>Ringkasan!R159</f>
        <v/>
      </c>
      <c r="S160" s="64" t="str">
        <f>Ringkasan!S159</f>
        <v/>
      </c>
      <c r="T160" s="64" t="str">
        <f>Ringkasan!T159</f>
        <v/>
      </c>
      <c r="U160" s="64">
        <f>Ringkasan!U159</f>
        <v>404</v>
      </c>
      <c r="V160" s="64">
        <f>Ringkasan!V159</f>
        <v>-1.49</v>
      </c>
      <c r="W160" s="64">
        <f>Ringkasan!W159</f>
        <v>404</v>
      </c>
      <c r="X160" s="64">
        <f>Ringkasan!X159</f>
        <v>418</v>
      </c>
      <c r="Y160" s="64">
        <f>Ringkasan!Y159</f>
        <v>398</v>
      </c>
      <c r="Z160" s="64">
        <f>Ringkasan!Z159</f>
        <v>7300</v>
      </c>
      <c r="AA160" s="64" t="str">
        <f>Ringkasan!AA159</f>
        <v>Insurance</v>
      </c>
      <c r="AB160" s="64" t="str">
        <f>Ringkasan!AB159</f>
        <v>Financials</v>
      </c>
    </row>
    <row r="161" hidden="1">
      <c r="A161" s="64" t="str">
        <f>Ringkasan!A160</f>
        <v>ASDM</v>
      </c>
      <c r="B161" s="64" t="str">
        <f>Ringkasan!B160</f>
        <v>Asuransi Dayin Mitra Tbk.</v>
      </c>
      <c r="C161" s="65">
        <f>Ringkasan!C160</f>
        <v>510</v>
      </c>
      <c r="D161" s="64" t="str">
        <f>Ringkasan!D160</f>
        <v>#N/A</v>
      </c>
      <c r="E161" s="64" t="str">
        <f>Ringkasan!E160</f>
        <v/>
      </c>
      <c r="F161" s="64" t="str">
        <f>Ringkasan!F160</f>
        <v/>
      </c>
      <c r="G161" s="64">
        <f>Ringkasan!G160</f>
        <v>0</v>
      </c>
      <c r="H161" s="19">
        <f>Ringkasan!H160</f>
        <v>12.1</v>
      </c>
      <c r="I161" s="19">
        <f>Ringkasan!I160</f>
        <v>0.54</v>
      </c>
      <c r="J161" s="19">
        <f>Ringkasan!J160</f>
        <v>4.5</v>
      </c>
      <c r="K161" s="19">
        <f>Ringkasan!K160</f>
        <v>1.9</v>
      </c>
      <c r="L161" s="19">
        <f>Ringkasan!L160</f>
        <v>1.3</v>
      </c>
      <c r="M161" s="19">
        <f>Ringkasan!M160</f>
        <v>8.2</v>
      </c>
      <c r="N161" s="64" t="str">
        <f>Ringkasan!N160</f>
        <v/>
      </c>
      <c r="O161" s="64" t="str">
        <f>Ringkasan!O160</f>
        <v/>
      </c>
      <c r="P161" s="64" t="str">
        <f>Ringkasan!P160</f>
        <v/>
      </c>
      <c r="Q161" s="64" t="str">
        <f>Ringkasan!Q160</f>
        <v/>
      </c>
      <c r="R161" s="64" t="str">
        <f>Ringkasan!R160</f>
        <v/>
      </c>
      <c r="S161" s="64" t="str">
        <f>Ringkasan!S160</f>
        <v/>
      </c>
      <c r="T161" s="64" t="str">
        <f>Ringkasan!T160</f>
        <v/>
      </c>
      <c r="U161" s="64">
        <f>Ringkasan!U160</f>
        <v>500</v>
      </c>
      <c r="V161" s="64">
        <f>Ringkasan!V160</f>
        <v>2</v>
      </c>
      <c r="W161" s="64">
        <f>Ringkasan!W160</f>
        <v>500</v>
      </c>
      <c r="X161" s="64">
        <f>Ringkasan!X160</f>
        <v>515</v>
      </c>
      <c r="Y161" s="64">
        <f>Ringkasan!Y160</f>
        <v>500</v>
      </c>
      <c r="Z161" s="64">
        <f>Ringkasan!Z160</f>
        <v>15800</v>
      </c>
      <c r="AA161" s="64" t="str">
        <f>Ringkasan!AA160</f>
        <v>Insurance</v>
      </c>
      <c r="AB161" s="64" t="str">
        <f>Ringkasan!AB160</f>
        <v>Financials</v>
      </c>
    </row>
    <row r="162">
      <c r="A162" s="60" t="str">
        <f>Ringkasan!A126</f>
        <v>ANTM</v>
      </c>
      <c r="B162" s="60" t="str">
        <f>Ringkasan!B126</f>
        <v>Aneka Tambang Tbk.</v>
      </c>
      <c r="C162" s="61">
        <f>Ringkasan!C126</f>
        <v>2850</v>
      </c>
      <c r="D162" s="60" t="str">
        <f>Ringkasan!D126</f>
        <v>#N/A</v>
      </c>
      <c r="E162" s="60" t="str">
        <f>Ringkasan!E126</f>
        <v>ESGSKEHATI</v>
      </c>
      <c r="F162" s="63">
        <f>Ringkasan!F126</f>
        <v>46356</v>
      </c>
      <c r="G162" s="61">
        <f>Ringkasan!G126</f>
        <v>19</v>
      </c>
      <c r="H162" s="62">
        <f>Ringkasan!H126</f>
        <v>8.2</v>
      </c>
      <c r="I162" s="62">
        <f>Ringkasan!I126</f>
        <v>1.7</v>
      </c>
      <c r="J162" s="62">
        <f>Ringkasan!J126</f>
        <v>21</v>
      </c>
      <c r="K162" s="62">
        <f>Ringkasan!K126</f>
        <v>13.4</v>
      </c>
      <c r="L162" s="62">
        <f>Ringkasan!L126</f>
        <v>0.57</v>
      </c>
      <c r="M162" s="62">
        <f>Ringkasan!M126</f>
        <v>28.9</v>
      </c>
      <c r="N162" s="60" t="str">
        <f>Ringkasan!N126</f>
        <v/>
      </c>
      <c r="O162" s="60" t="str">
        <f>Ringkasan!O126</f>
        <v/>
      </c>
      <c r="P162" s="60" t="str">
        <f>Ringkasan!P126</f>
        <v/>
      </c>
      <c r="Q162" s="60" t="str">
        <f>Ringkasan!Q126</f>
        <v/>
      </c>
      <c r="R162" s="60" t="str">
        <f>Ringkasan!R126</f>
        <v/>
      </c>
      <c r="S162" s="60" t="str">
        <f>Ringkasan!S126</f>
        <v/>
      </c>
      <c r="T162" s="60" t="str">
        <f>Ringkasan!T126</f>
        <v/>
      </c>
      <c r="U162" s="60">
        <f>Ringkasan!U126</f>
        <v>2720</v>
      </c>
      <c r="V162" s="60">
        <f>Ringkasan!V126</f>
        <v>4.78</v>
      </c>
      <c r="W162" s="60">
        <f>Ringkasan!W126</f>
        <v>2800</v>
      </c>
      <c r="X162" s="60">
        <f>Ringkasan!X126</f>
        <v>2910</v>
      </c>
      <c r="Y162" s="60">
        <f>Ringkasan!Y126</f>
        <v>2760</v>
      </c>
      <c r="Z162" s="60">
        <f>Ringkasan!Z126</f>
        <v>174808500</v>
      </c>
      <c r="AA162" s="60" t="str">
        <f>Ringkasan!AA126</f>
        <v>Metals &amp; Minerals</v>
      </c>
      <c r="AB162" s="60" t="str">
        <f>Ringkasan!AB126</f>
        <v>Basic Materials</v>
      </c>
    </row>
    <row r="163" hidden="1">
      <c r="A163" s="64" t="str">
        <f>Ringkasan!A162</f>
        <v>ASHA</v>
      </c>
      <c r="B163" s="64" t="str">
        <f>Ringkasan!B162</f>
        <v>Cilacap Samudera Fishing Industry Tbk.</v>
      </c>
      <c r="C163" s="65">
        <f>Ringkasan!C162</f>
        <v>59</v>
      </c>
      <c r="D163" s="64" t="str">
        <f>Ringkasan!D162</f>
        <v>#N/A</v>
      </c>
      <c r="E163" s="64" t="str">
        <f>Ringkasan!E162</f>
        <v/>
      </c>
      <c r="F163" s="64" t="str">
        <f>Ringkasan!F162</f>
        <v/>
      </c>
      <c r="G163" s="64">
        <f>Ringkasan!G162</f>
        <v>0</v>
      </c>
      <c r="H163" s="19">
        <f>Ringkasan!H162</f>
        <v>-16.4</v>
      </c>
      <c r="I163" s="19">
        <f>Ringkasan!I162</f>
        <v>3</v>
      </c>
      <c r="J163" s="19">
        <f>Ringkasan!J162</f>
        <v>-18.5</v>
      </c>
      <c r="K163" s="19">
        <f>Ringkasan!K162</f>
        <v>-15.3</v>
      </c>
      <c r="L163" s="19">
        <f>Ringkasan!L162</f>
        <v>0.21</v>
      </c>
      <c r="M163" s="19">
        <f>Ringkasan!M162</f>
        <v>-46.7</v>
      </c>
      <c r="N163" s="64" t="str">
        <f>Ringkasan!N162</f>
        <v/>
      </c>
      <c r="O163" s="64" t="str">
        <f>Ringkasan!O162</f>
        <v/>
      </c>
      <c r="P163" s="64" t="str">
        <f>Ringkasan!P162</f>
        <v/>
      </c>
      <c r="Q163" s="64" t="str">
        <f>Ringkasan!Q162</f>
        <v/>
      </c>
      <c r="R163" s="64" t="str">
        <f>Ringkasan!R162</f>
        <v/>
      </c>
      <c r="S163" s="64" t="str">
        <f>Ringkasan!S162</f>
        <v/>
      </c>
      <c r="T163" s="64" t="str">
        <f>Ringkasan!T162</f>
        <v/>
      </c>
      <c r="U163" s="64">
        <f>Ringkasan!U162</f>
        <v>57</v>
      </c>
      <c r="V163" s="64">
        <f>Ringkasan!V162</f>
        <v>3.51</v>
      </c>
      <c r="W163" s="64">
        <f>Ringkasan!W162</f>
        <v>57</v>
      </c>
      <c r="X163" s="64">
        <f>Ringkasan!X162</f>
        <v>60</v>
      </c>
      <c r="Y163" s="64">
        <f>Ringkasan!Y162</f>
        <v>56</v>
      </c>
      <c r="Z163" s="64">
        <f>Ringkasan!Z162</f>
        <v>45765700</v>
      </c>
      <c r="AA163" s="64" t="str">
        <f>Ringkasan!AA162</f>
        <v>Agricultural Products</v>
      </c>
      <c r="AB163" s="64" t="str">
        <f>Ringkasan!AB162</f>
        <v>Consumer Non-Cyclicals</v>
      </c>
    </row>
    <row r="164" hidden="1">
      <c r="A164" s="64" t="str">
        <f>Ringkasan!A163</f>
        <v>ASII</v>
      </c>
      <c r="B164" s="64" t="str">
        <f>Ringkasan!B163</f>
        <v>Astra International Tbk</v>
      </c>
      <c r="C164" s="65">
        <f>Ringkasan!C163</f>
        <v>4740</v>
      </c>
      <c r="D164" s="64" t="str">
        <f>Ringkasan!D163</f>
        <v>#N/A</v>
      </c>
      <c r="E164" s="64" t="str">
        <f>Ringkasan!E163</f>
        <v>ESGQKEHATI</v>
      </c>
      <c r="F164" s="66">
        <f>Ringkasan!F163</f>
        <v>46356</v>
      </c>
      <c r="G164" s="64">
        <f>Ringkasan!G163</f>
        <v>16</v>
      </c>
      <c r="H164" s="19">
        <f>Ringkasan!H163</f>
        <v>6.4</v>
      </c>
      <c r="I164" s="19">
        <f>Ringkasan!I163</f>
        <v>0.69</v>
      </c>
      <c r="J164" s="19">
        <f>Ringkasan!J163</f>
        <v>10.8</v>
      </c>
      <c r="K164" s="19">
        <f>Ringkasan!K163</f>
        <v>6.1</v>
      </c>
      <c r="L164" s="19">
        <f>Ringkasan!L163</f>
        <v>0.77</v>
      </c>
      <c r="M164" s="19">
        <f>Ringkasan!M163</f>
        <v>40.3</v>
      </c>
      <c r="N164" s="64" t="str">
        <f>Ringkasan!N163</f>
        <v/>
      </c>
      <c r="O164" s="64" t="str">
        <f>Ringkasan!O163</f>
        <v/>
      </c>
      <c r="P164" s="64" t="str">
        <f>Ringkasan!P163</f>
        <v/>
      </c>
      <c r="Q164" s="64" t="str">
        <f>Ringkasan!Q163</f>
        <v/>
      </c>
      <c r="R164" s="64" t="str">
        <f>Ringkasan!R163</f>
        <v/>
      </c>
      <c r="S164" s="64" t="str">
        <f>Ringkasan!S163</f>
        <v/>
      </c>
      <c r="T164" s="64" t="str">
        <f>Ringkasan!T163</f>
        <v/>
      </c>
      <c r="U164" s="64">
        <f>Ringkasan!U163</f>
        <v>0</v>
      </c>
      <c r="V164" s="64">
        <f>Ringkasan!V163</f>
        <v>0</v>
      </c>
      <c r="W164" s="64">
        <f>Ringkasan!W163</f>
        <v>0</v>
      </c>
      <c r="X164" s="64">
        <f>Ringkasan!X163</f>
        <v>0</v>
      </c>
      <c r="Y164" s="64">
        <f>Ringkasan!Y163</f>
        <v>0</v>
      </c>
      <c r="Z164" s="64">
        <f>Ringkasan!Z163</f>
        <v>4632235</v>
      </c>
      <c r="AA164" s="64" t="str">
        <f>Ringkasan!AA163</f>
        <v>Multi-sector Holdings</v>
      </c>
      <c r="AB164" s="64" t="str">
        <f>Ringkasan!AB163</f>
        <v>Industrials</v>
      </c>
    </row>
    <row r="165" hidden="1">
      <c r="A165" s="64" t="str">
        <f>Ringkasan!A164</f>
        <v>ASII</v>
      </c>
      <c r="B165" s="64" t="str">
        <f>Ringkasan!B164</f>
        <v>Astra International Tbk</v>
      </c>
      <c r="C165" s="65">
        <f>Ringkasan!C164</f>
        <v>4740</v>
      </c>
      <c r="D165" s="64" t="str">
        <f>Ringkasan!D164</f>
        <v>#N/A</v>
      </c>
      <c r="E165" s="64" t="str">
        <f>Ringkasan!E164</f>
        <v>MSCI Global Standard</v>
      </c>
      <c r="F165" s="64" t="str">
        <f>Ringkasan!F164</f>
        <v>12 Agustus 2026</v>
      </c>
      <c r="G165" s="64">
        <f>Ringkasan!G164</f>
        <v>16</v>
      </c>
      <c r="H165" s="19">
        <f>Ringkasan!H164</f>
        <v>6.4</v>
      </c>
      <c r="I165" s="19">
        <f>Ringkasan!I164</f>
        <v>0.69</v>
      </c>
      <c r="J165" s="19">
        <f>Ringkasan!J164</f>
        <v>10.8</v>
      </c>
      <c r="K165" s="19">
        <f>Ringkasan!K164</f>
        <v>6.1</v>
      </c>
      <c r="L165" s="19">
        <f>Ringkasan!L164</f>
        <v>0.77</v>
      </c>
      <c r="M165" s="19">
        <f>Ringkasan!M164</f>
        <v>40.3</v>
      </c>
      <c r="N165" s="64" t="str">
        <f>Ringkasan!N164</f>
        <v/>
      </c>
      <c r="O165" s="64" t="str">
        <f>Ringkasan!O164</f>
        <v/>
      </c>
      <c r="P165" s="64" t="str">
        <f>Ringkasan!P164</f>
        <v/>
      </c>
      <c r="Q165" s="64" t="str">
        <f>Ringkasan!Q164</f>
        <v/>
      </c>
      <c r="R165" s="64" t="str">
        <f>Ringkasan!R164</f>
        <v/>
      </c>
      <c r="S165" s="64" t="str">
        <f>Ringkasan!S164</f>
        <v/>
      </c>
      <c r="T165" s="64" t="str">
        <f>Ringkasan!T164</f>
        <v/>
      </c>
      <c r="U165" s="64">
        <f>Ringkasan!U164</f>
        <v>0</v>
      </c>
      <c r="V165" s="64">
        <f>Ringkasan!V164</f>
        <v>0</v>
      </c>
      <c r="W165" s="64">
        <f>Ringkasan!W164</f>
        <v>0</v>
      </c>
      <c r="X165" s="64">
        <f>Ringkasan!X164</f>
        <v>0</v>
      </c>
      <c r="Y165" s="64">
        <f>Ringkasan!Y164</f>
        <v>0</v>
      </c>
      <c r="Z165" s="64">
        <f>Ringkasan!Z164</f>
        <v>4632235</v>
      </c>
      <c r="AA165" s="64" t="str">
        <f>Ringkasan!AA164</f>
        <v>Multi-sector Holdings</v>
      </c>
      <c r="AB165" s="64" t="str">
        <f>Ringkasan!AB164</f>
        <v>Industrials</v>
      </c>
    </row>
    <row r="166" hidden="1">
      <c r="A166" s="64" t="str">
        <f>Ringkasan!A165</f>
        <v>ASII</v>
      </c>
      <c r="B166" s="64" t="str">
        <f>Ringkasan!B165</f>
        <v>Astra International Tbk</v>
      </c>
      <c r="C166" s="65">
        <f>Ringkasan!C165</f>
        <v>4740</v>
      </c>
      <c r="D166" s="64" t="str">
        <f>Ringkasan!D165</f>
        <v>#N/A</v>
      </c>
      <c r="E166" s="64" t="str">
        <f>Ringkasan!E165</f>
        <v>IDXQ30</v>
      </c>
      <c r="F166" s="64" t="str">
        <f>Ringkasan!F165</f>
        <v>4 Agustus 2026</v>
      </c>
      <c r="G166" s="64">
        <f>Ringkasan!G165</f>
        <v>16</v>
      </c>
      <c r="H166" s="19">
        <f>Ringkasan!H165</f>
        <v>6.4</v>
      </c>
      <c r="I166" s="19">
        <f>Ringkasan!I165</f>
        <v>0.69</v>
      </c>
      <c r="J166" s="19">
        <f>Ringkasan!J165</f>
        <v>10.8</v>
      </c>
      <c r="K166" s="19">
        <f>Ringkasan!K165</f>
        <v>6.1</v>
      </c>
      <c r="L166" s="19">
        <f>Ringkasan!L165</f>
        <v>0.77</v>
      </c>
      <c r="M166" s="19">
        <f>Ringkasan!M165</f>
        <v>40.3</v>
      </c>
      <c r="N166" s="64" t="str">
        <f>Ringkasan!N165</f>
        <v/>
      </c>
      <c r="O166" s="64" t="str">
        <f>Ringkasan!O165</f>
        <v/>
      </c>
      <c r="P166" s="64" t="str">
        <f>Ringkasan!P165</f>
        <v/>
      </c>
      <c r="Q166" s="64" t="str">
        <f>Ringkasan!Q165</f>
        <v/>
      </c>
      <c r="R166" s="64" t="str">
        <f>Ringkasan!R165</f>
        <v/>
      </c>
      <c r="S166" s="64" t="str">
        <f>Ringkasan!S165</f>
        <v/>
      </c>
      <c r="T166" s="64" t="str">
        <f>Ringkasan!T165</f>
        <v/>
      </c>
      <c r="U166" s="64">
        <f>Ringkasan!U165</f>
        <v>0</v>
      </c>
      <c r="V166" s="64">
        <f>Ringkasan!V165</f>
        <v>0</v>
      </c>
      <c r="W166" s="64">
        <f>Ringkasan!W165</f>
        <v>0</v>
      </c>
      <c r="X166" s="64">
        <f>Ringkasan!X165</f>
        <v>0</v>
      </c>
      <c r="Y166" s="64">
        <f>Ringkasan!Y165</f>
        <v>0</v>
      </c>
      <c r="Z166" s="64">
        <f>Ringkasan!Z165</f>
        <v>4632235</v>
      </c>
      <c r="AA166" s="64" t="str">
        <f>Ringkasan!AA165</f>
        <v>Multi-sector Holdings</v>
      </c>
      <c r="AB166" s="64" t="str">
        <f>Ringkasan!AB165</f>
        <v>Industrials</v>
      </c>
    </row>
    <row r="167">
      <c r="A167" s="60" t="str">
        <f>Ringkasan!A127</f>
        <v>ANTM</v>
      </c>
      <c r="B167" s="60" t="str">
        <f>Ringkasan!B127</f>
        <v>Aneka Tambang Tbk.</v>
      </c>
      <c r="C167" s="61">
        <f>Ringkasan!C127</f>
        <v>2850</v>
      </c>
      <c r="D167" s="60" t="str">
        <f>Ringkasan!D127</f>
        <v>#N/A</v>
      </c>
      <c r="E167" s="60" t="str">
        <f>Ringkasan!E127</f>
        <v>SRI-KEHATI</v>
      </c>
      <c r="F167" s="63">
        <f>Ringkasan!F127</f>
        <v>46356</v>
      </c>
      <c r="G167" s="61">
        <f>Ringkasan!G127</f>
        <v>19</v>
      </c>
      <c r="H167" s="62">
        <f>Ringkasan!H127</f>
        <v>8.2</v>
      </c>
      <c r="I167" s="62">
        <f>Ringkasan!I127</f>
        <v>1.7</v>
      </c>
      <c r="J167" s="62">
        <f>Ringkasan!J127</f>
        <v>21</v>
      </c>
      <c r="K167" s="62">
        <f>Ringkasan!K127</f>
        <v>13.4</v>
      </c>
      <c r="L167" s="62">
        <f>Ringkasan!L127</f>
        <v>0.57</v>
      </c>
      <c r="M167" s="62">
        <f>Ringkasan!M127</f>
        <v>28.9</v>
      </c>
      <c r="N167" s="60" t="str">
        <f>Ringkasan!N127</f>
        <v/>
      </c>
      <c r="O167" s="60" t="str">
        <f>Ringkasan!O127</f>
        <v/>
      </c>
      <c r="P167" s="60" t="str">
        <f>Ringkasan!P127</f>
        <v/>
      </c>
      <c r="Q167" s="60" t="str">
        <f>Ringkasan!Q127</f>
        <v/>
      </c>
      <c r="R167" s="60" t="str">
        <f>Ringkasan!R127</f>
        <v/>
      </c>
      <c r="S167" s="60" t="str">
        <f>Ringkasan!S127</f>
        <v/>
      </c>
      <c r="T167" s="60" t="str">
        <f>Ringkasan!T127</f>
        <v/>
      </c>
      <c r="U167" s="60">
        <f>Ringkasan!U127</f>
        <v>2720</v>
      </c>
      <c r="V167" s="60">
        <f>Ringkasan!V127</f>
        <v>4.78</v>
      </c>
      <c r="W167" s="60">
        <f>Ringkasan!W127</f>
        <v>2800</v>
      </c>
      <c r="X167" s="60">
        <f>Ringkasan!X127</f>
        <v>2910</v>
      </c>
      <c r="Y167" s="60">
        <f>Ringkasan!Y127</f>
        <v>2760</v>
      </c>
      <c r="Z167" s="60">
        <f>Ringkasan!Z127</f>
        <v>174808500</v>
      </c>
      <c r="AA167" s="60" t="str">
        <f>Ringkasan!AA127</f>
        <v>Metals &amp; Minerals</v>
      </c>
      <c r="AB167" s="60" t="str">
        <f>Ringkasan!AB127</f>
        <v>Basic Materials</v>
      </c>
    </row>
    <row r="168" hidden="1">
      <c r="A168" s="64" t="str">
        <f>Ringkasan!A167</f>
        <v>ASII</v>
      </c>
      <c r="B168" s="64" t="str">
        <f>Ringkasan!B167</f>
        <v>Astra International Tbk</v>
      </c>
      <c r="C168" s="65">
        <f>Ringkasan!C167</f>
        <v>4740</v>
      </c>
      <c r="D168" s="64" t="str">
        <f>Ringkasan!D167</f>
        <v>#N/A</v>
      </c>
      <c r="E168" s="64" t="str">
        <f>Ringkasan!E167</f>
        <v>IDX30</v>
      </c>
      <c r="F168" s="64" t="str">
        <f>Ringkasan!F167</f>
        <v>31 Juli 2026</v>
      </c>
      <c r="G168" s="64">
        <f>Ringkasan!G167</f>
        <v>16</v>
      </c>
      <c r="H168" s="19">
        <f>Ringkasan!H167</f>
        <v>6.4</v>
      </c>
      <c r="I168" s="19">
        <f>Ringkasan!I167</f>
        <v>0.69</v>
      </c>
      <c r="J168" s="19">
        <f>Ringkasan!J167</f>
        <v>10.8</v>
      </c>
      <c r="K168" s="19">
        <f>Ringkasan!K167</f>
        <v>6.1</v>
      </c>
      <c r="L168" s="19">
        <f>Ringkasan!L167</f>
        <v>0.77</v>
      </c>
      <c r="M168" s="19">
        <f>Ringkasan!M167</f>
        <v>40.3</v>
      </c>
      <c r="N168" s="64" t="str">
        <f>Ringkasan!N167</f>
        <v/>
      </c>
      <c r="O168" s="64" t="str">
        <f>Ringkasan!O167</f>
        <v/>
      </c>
      <c r="P168" s="64" t="str">
        <f>Ringkasan!P167</f>
        <v/>
      </c>
      <c r="Q168" s="64" t="str">
        <f>Ringkasan!Q167</f>
        <v/>
      </c>
      <c r="R168" s="64" t="str">
        <f>Ringkasan!R167</f>
        <v/>
      </c>
      <c r="S168" s="64" t="str">
        <f>Ringkasan!S167</f>
        <v/>
      </c>
      <c r="T168" s="64" t="str">
        <f>Ringkasan!T167</f>
        <v/>
      </c>
      <c r="U168" s="64">
        <f>Ringkasan!U167</f>
        <v>0</v>
      </c>
      <c r="V168" s="64">
        <f>Ringkasan!V167</f>
        <v>0</v>
      </c>
      <c r="W168" s="64">
        <f>Ringkasan!W167</f>
        <v>0</v>
      </c>
      <c r="X168" s="64">
        <f>Ringkasan!X167</f>
        <v>0</v>
      </c>
      <c r="Y168" s="64">
        <f>Ringkasan!Y167</f>
        <v>0</v>
      </c>
      <c r="Z168" s="64">
        <f>Ringkasan!Z167</f>
        <v>4632235</v>
      </c>
      <c r="AA168" s="64" t="str">
        <f>Ringkasan!AA167</f>
        <v>Multi-sector Holdings</v>
      </c>
      <c r="AB168" s="64" t="str">
        <f>Ringkasan!AB167</f>
        <v>Industrials</v>
      </c>
    </row>
    <row r="169" hidden="1">
      <c r="A169" s="60" t="str">
        <f>Ringkasan!A493</f>
        <v>CASS</v>
      </c>
      <c r="B169" s="60" t="str">
        <f>Ringkasan!B493</f>
        <v>Cahaya Aero Services Tbk.</v>
      </c>
      <c r="C169" s="61">
        <f>Ringkasan!C493</f>
        <v>1785</v>
      </c>
      <c r="D169" s="60" t="str">
        <f>Ringkasan!D493</f>
        <v>#N/A</v>
      </c>
      <c r="E169" s="60" t="str">
        <f>Ringkasan!E493</f>
        <v/>
      </c>
      <c r="F169" s="60" t="str">
        <f>Ringkasan!F493</f>
        <v/>
      </c>
      <c r="G169" s="61">
        <f>Ringkasan!G493</f>
        <v>0</v>
      </c>
      <c r="H169" s="62">
        <f>Ringkasan!H493</f>
        <v>8.1</v>
      </c>
      <c r="I169" s="62">
        <f>Ringkasan!I493</f>
        <v>1.5</v>
      </c>
      <c r="J169" s="62">
        <f>Ringkasan!J493</f>
        <v>18.7</v>
      </c>
      <c r="K169" s="62">
        <f>Ringkasan!K493</f>
        <v>13.8</v>
      </c>
      <c r="L169" s="62">
        <f>Ringkasan!L493</f>
        <v>0.35</v>
      </c>
      <c r="M169" s="62">
        <f>Ringkasan!M493</f>
        <v>58.1</v>
      </c>
      <c r="N169" s="60" t="str">
        <f>Ringkasan!N493</f>
        <v/>
      </c>
      <c r="O169" s="60" t="str">
        <f>Ringkasan!O493</f>
        <v/>
      </c>
      <c r="P169" s="60" t="str">
        <f>Ringkasan!P493</f>
        <v/>
      </c>
      <c r="Q169" s="60" t="str">
        <f>Ringkasan!Q493</f>
        <v/>
      </c>
      <c r="R169" s="60" t="str">
        <f>Ringkasan!R493</f>
        <v/>
      </c>
      <c r="S169" s="60" t="str">
        <f>Ringkasan!S493</f>
        <v/>
      </c>
      <c r="T169" s="60" t="str">
        <f>Ringkasan!T493</f>
        <v/>
      </c>
      <c r="U169" s="60">
        <f>Ringkasan!U493</f>
        <v>49.44</v>
      </c>
      <c r="V169" s="60">
        <f>Ringkasan!V493</f>
        <v>0.02</v>
      </c>
      <c r="W169" s="60">
        <f>Ringkasan!W493</f>
        <v>49.1</v>
      </c>
      <c r="X169" s="60">
        <f>Ringkasan!X493</f>
        <v>49.85</v>
      </c>
      <c r="Y169" s="60">
        <f>Ringkasan!Y493</f>
        <v>48.02</v>
      </c>
      <c r="Z169" s="60">
        <f>Ringkasan!Z493</f>
        <v>122653</v>
      </c>
      <c r="AA169" s="60" t="str">
        <f>Ringkasan!AA493</f>
        <v>Transport Infrastructure Operator</v>
      </c>
      <c r="AB169" s="60" t="str">
        <f>Ringkasan!AB493</f>
        <v>Infrastructures</v>
      </c>
    </row>
    <row r="170" hidden="1">
      <c r="A170" s="64" t="str">
        <f>Ringkasan!A169</f>
        <v>ASII</v>
      </c>
      <c r="B170" s="64" t="str">
        <f>Ringkasan!B169</f>
        <v>Astra International Tbk</v>
      </c>
      <c r="C170" s="65">
        <f>Ringkasan!C169</f>
        <v>4740</v>
      </c>
      <c r="D170" s="64" t="str">
        <f>Ringkasan!D169</f>
        <v>#N/A</v>
      </c>
      <c r="E170" s="64" t="str">
        <f>Ringkasan!E169</f>
        <v>IDXHIDIV20</v>
      </c>
      <c r="F170" s="64" t="str">
        <f>Ringkasan!F169</f>
        <v>2 Februari 2027</v>
      </c>
      <c r="G170" s="64">
        <f>Ringkasan!G169</f>
        <v>16</v>
      </c>
      <c r="H170" s="19">
        <f>Ringkasan!H169</f>
        <v>6.4</v>
      </c>
      <c r="I170" s="19">
        <f>Ringkasan!I169</f>
        <v>0.69</v>
      </c>
      <c r="J170" s="19">
        <f>Ringkasan!J169</f>
        <v>10.8</v>
      </c>
      <c r="K170" s="19">
        <f>Ringkasan!K169</f>
        <v>6.1</v>
      </c>
      <c r="L170" s="19">
        <f>Ringkasan!L169</f>
        <v>0.77</v>
      </c>
      <c r="M170" s="19">
        <f>Ringkasan!M169</f>
        <v>40.3</v>
      </c>
      <c r="N170" s="64" t="str">
        <f>Ringkasan!N169</f>
        <v/>
      </c>
      <c r="O170" s="64" t="str">
        <f>Ringkasan!O169</f>
        <v/>
      </c>
      <c r="P170" s="64" t="str">
        <f>Ringkasan!P169</f>
        <v/>
      </c>
      <c r="Q170" s="64" t="str">
        <f>Ringkasan!Q169</f>
        <v/>
      </c>
      <c r="R170" s="64" t="str">
        <f>Ringkasan!R169</f>
        <v/>
      </c>
      <c r="S170" s="64" t="str">
        <f>Ringkasan!S169</f>
        <v/>
      </c>
      <c r="T170" s="64" t="str">
        <f>Ringkasan!T169</f>
        <v/>
      </c>
      <c r="U170" s="64">
        <f>Ringkasan!U169</f>
        <v>0</v>
      </c>
      <c r="V170" s="64">
        <f>Ringkasan!V169</f>
        <v>0</v>
      </c>
      <c r="W170" s="64">
        <f>Ringkasan!W169</f>
        <v>0</v>
      </c>
      <c r="X170" s="64">
        <f>Ringkasan!X169</f>
        <v>0</v>
      </c>
      <c r="Y170" s="64">
        <f>Ringkasan!Y169</f>
        <v>0</v>
      </c>
      <c r="Z170" s="64">
        <f>Ringkasan!Z169</f>
        <v>4632235</v>
      </c>
      <c r="AA170" s="64" t="str">
        <f>Ringkasan!AA169</f>
        <v>Multi-sector Holdings</v>
      </c>
      <c r="AB170" s="64" t="str">
        <f>Ringkasan!AB169</f>
        <v>Industrials</v>
      </c>
    </row>
    <row r="171" hidden="1">
      <c r="A171" s="64" t="str">
        <f>Ringkasan!A170</f>
        <v>ASII</v>
      </c>
      <c r="B171" s="64" t="str">
        <f>Ringkasan!B170</f>
        <v>Astra International Tbk</v>
      </c>
      <c r="C171" s="65">
        <f>Ringkasan!C170</f>
        <v>4740</v>
      </c>
      <c r="D171" s="64" t="str">
        <f>Ringkasan!D170</f>
        <v>#N/A</v>
      </c>
      <c r="E171" s="64" t="str">
        <f>Ringkasan!E170</f>
        <v>BISNIS-27</v>
      </c>
      <c r="F171" s="64" t="str">
        <f>Ringkasan!F170</f>
        <v>30 Oktober 2026</v>
      </c>
      <c r="G171" s="64">
        <f>Ringkasan!G170</f>
        <v>16</v>
      </c>
      <c r="H171" s="19">
        <f>Ringkasan!H170</f>
        <v>6.4</v>
      </c>
      <c r="I171" s="19">
        <f>Ringkasan!I170</f>
        <v>0.69</v>
      </c>
      <c r="J171" s="19">
        <f>Ringkasan!J170</f>
        <v>10.8</v>
      </c>
      <c r="K171" s="19">
        <f>Ringkasan!K170</f>
        <v>6.1</v>
      </c>
      <c r="L171" s="19">
        <f>Ringkasan!L170</f>
        <v>0.77</v>
      </c>
      <c r="M171" s="19">
        <f>Ringkasan!M170</f>
        <v>40.3</v>
      </c>
      <c r="N171" s="64" t="str">
        <f>Ringkasan!N170</f>
        <v/>
      </c>
      <c r="O171" s="64" t="str">
        <f>Ringkasan!O170</f>
        <v/>
      </c>
      <c r="P171" s="64" t="str">
        <f>Ringkasan!P170</f>
        <v/>
      </c>
      <c r="Q171" s="64" t="str">
        <f>Ringkasan!Q170</f>
        <v/>
      </c>
      <c r="R171" s="64" t="str">
        <f>Ringkasan!R170</f>
        <v/>
      </c>
      <c r="S171" s="64" t="str">
        <f>Ringkasan!S170</f>
        <v/>
      </c>
      <c r="T171" s="64" t="str">
        <f>Ringkasan!T170</f>
        <v/>
      </c>
      <c r="U171" s="64">
        <f>Ringkasan!U170</f>
        <v>0</v>
      </c>
      <c r="V171" s="64">
        <f>Ringkasan!V170</f>
        <v>0</v>
      </c>
      <c r="W171" s="64">
        <f>Ringkasan!W170</f>
        <v>0</v>
      </c>
      <c r="X171" s="64">
        <f>Ringkasan!X170</f>
        <v>0</v>
      </c>
      <c r="Y171" s="64">
        <f>Ringkasan!Y170</f>
        <v>0</v>
      </c>
      <c r="Z171" s="64">
        <f>Ringkasan!Z170</f>
        <v>4632235</v>
      </c>
      <c r="AA171" s="64" t="str">
        <f>Ringkasan!AA170</f>
        <v>Multi-sector Holdings</v>
      </c>
      <c r="AB171" s="64" t="str">
        <f>Ringkasan!AB170</f>
        <v>Industrials</v>
      </c>
    </row>
    <row r="172" hidden="1">
      <c r="A172" s="64" t="str">
        <f>Ringkasan!A171</f>
        <v>ASII</v>
      </c>
      <c r="B172" s="64" t="str">
        <f>Ringkasan!B171</f>
        <v>Astra International Tbk</v>
      </c>
      <c r="C172" s="65">
        <f>Ringkasan!C171</f>
        <v>4740</v>
      </c>
      <c r="D172" s="64" t="str">
        <f>Ringkasan!D171</f>
        <v>#N/A</v>
      </c>
      <c r="E172" s="64" t="str">
        <f>Ringkasan!E171</f>
        <v>MNC36</v>
      </c>
      <c r="F172" s="64" t="str">
        <f>Ringkasan!F171</f>
        <v>30 Oktober 2026</v>
      </c>
      <c r="G172" s="64">
        <f>Ringkasan!G171</f>
        <v>16</v>
      </c>
      <c r="H172" s="19">
        <f>Ringkasan!H171</f>
        <v>6.4</v>
      </c>
      <c r="I172" s="19">
        <f>Ringkasan!I171</f>
        <v>0.69</v>
      </c>
      <c r="J172" s="19">
        <f>Ringkasan!J171</f>
        <v>10.8</v>
      </c>
      <c r="K172" s="19">
        <f>Ringkasan!K171</f>
        <v>6.1</v>
      </c>
      <c r="L172" s="19">
        <f>Ringkasan!L171</f>
        <v>0.77</v>
      </c>
      <c r="M172" s="19">
        <f>Ringkasan!M171</f>
        <v>40.3</v>
      </c>
      <c r="N172" s="64" t="str">
        <f>Ringkasan!N171</f>
        <v/>
      </c>
      <c r="O172" s="64" t="str">
        <f>Ringkasan!O171</f>
        <v/>
      </c>
      <c r="P172" s="64" t="str">
        <f>Ringkasan!P171</f>
        <v/>
      </c>
      <c r="Q172" s="64" t="str">
        <f>Ringkasan!Q171</f>
        <v/>
      </c>
      <c r="R172" s="64" t="str">
        <f>Ringkasan!R171</f>
        <v/>
      </c>
      <c r="S172" s="64" t="str">
        <f>Ringkasan!S171</f>
        <v/>
      </c>
      <c r="T172" s="64" t="str">
        <f>Ringkasan!T171</f>
        <v/>
      </c>
      <c r="U172" s="64">
        <f>Ringkasan!U171</f>
        <v>0</v>
      </c>
      <c r="V172" s="64">
        <f>Ringkasan!V171</f>
        <v>0</v>
      </c>
      <c r="W172" s="64">
        <f>Ringkasan!W171</f>
        <v>0</v>
      </c>
      <c r="X172" s="64">
        <f>Ringkasan!X171</f>
        <v>0</v>
      </c>
      <c r="Y172" s="64">
        <f>Ringkasan!Y171</f>
        <v>0</v>
      </c>
      <c r="Z172" s="64">
        <f>Ringkasan!Z171</f>
        <v>4632235</v>
      </c>
      <c r="AA172" s="64" t="str">
        <f>Ringkasan!AA171</f>
        <v>Multi-sector Holdings</v>
      </c>
      <c r="AB172" s="64" t="str">
        <f>Ringkasan!AB171</f>
        <v>Industrials</v>
      </c>
    </row>
    <row r="173" hidden="1">
      <c r="A173" s="64" t="str">
        <f>Ringkasan!A172</f>
        <v>ASII</v>
      </c>
      <c r="B173" s="64" t="str">
        <f>Ringkasan!B172</f>
        <v>Astra International Tbk</v>
      </c>
      <c r="C173" s="65">
        <f>Ringkasan!C172</f>
        <v>4740</v>
      </c>
      <c r="D173" s="64" t="str">
        <f>Ringkasan!D172</f>
        <v>#N/A</v>
      </c>
      <c r="E173" s="64" t="str">
        <f>Ringkasan!E172</f>
        <v>LQ45</v>
      </c>
      <c r="F173" s="64" t="str">
        <f>Ringkasan!F172</f>
        <v>31 Juli 2026</v>
      </c>
      <c r="G173" s="64">
        <f>Ringkasan!G172</f>
        <v>16</v>
      </c>
      <c r="H173" s="19">
        <f>Ringkasan!H172</f>
        <v>6.4</v>
      </c>
      <c r="I173" s="19">
        <f>Ringkasan!I172</f>
        <v>0.69</v>
      </c>
      <c r="J173" s="19">
        <f>Ringkasan!J172</f>
        <v>10.8</v>
      </c>
      <c r="K173" s="19">
        <f>Ringkasan!K172</f>
        <v>6.1</v>
      </c>
      <c r="L173" s="19">
        <f>Ringkasan!L172</f>
        <v>0.77</v>
      </c>
      <c r="M173" s="19">
        <f>Ringkasan!M172</f>
        <v>40.3</v>
      </c>
      <c r="N173" s="64" t="str">
        <f>Ringkasan!N172</f>
        <v/>
      </c>
      <c r="O173" s="64" t="str">
        <f>Ringkasan!O172</f>
        <v/>
      </c>
      <c r="P173" s="64" t="str">
        <f>Ringkasan!P172</f>
        <v/>
      </c>
      <c r="Q173" s="64" t="str">
        <f>Ringkasan!Q172</f>
        <v/>
      </c>
      <c r="R173" s="64" t="str">
        <f>Ringkasan!R172</f>
        <v/>
      </c>
      <c r="S173" s="64" t="str">
        <f>Ringkasan!S172</f>
        <v/>
      </c>
      <c r="T173" s="64" t="str">
        <f>Ringkasan!T172</f>
        <v/>
      </c>
      <c r="U173" s="64">
        <f>Ringkasan!U172</f>
        <v>0</v>
      </c>
      <c r="V173" s="64">
        <f>Ringkasan!V172</f>
        <v>0</v>
      </c>
      <c r="W173" s="64">
        <f>Ringkasan!W172</f>
        <v>0</v>
      </c>
      <c r="X173" s="64">
        <f>Ringkasan!X172</f>
        <v>0</v>
      </c>
      <c r="Y173" s="64">
        <f>Ringkasan!Y172</f>
        <v>0</v>
      </c>
      <c r="Z173" s="64">
        <f>Ringkasan!Z172</f>
        <v>4632235</v>
      </c>
      <c r="AA173" s="64" t="str">
        <f>Ringkasan!AA172</f>
        <v>Multi-sector Holdings</v>
      </c>
      <c r="AB173" s="64" t="str">
        <f>Ringkasan!AB172</f>
        <v>Industrials</v>
      </c>
    </row>
    <row r="174" hidden="1">
      <c r="A174" s="64" t="str">
        <f>Ringkasan!A173</f>
        <v>ASII</v>
      </c>
      <c r="B174" s="64" t="str">
        <f>Ringkasan!B173</f>
        <v>Astra International Tbk</v>
      </c>
      <c r="C174" s="65">
        <f>Ringkasan!C173</f>
        <v>4740</v>
      </c>
      <c r="D174" s="64" t="str">
        <f>Ringkasan!D173</f>
        <v>#N/A</v>
      </c>
      <c r="E174" s="64" t="str">
        <f>Ringkasan!E173</f>
        <v>IDXVESTA28</v>
      </c>
      <c r="F174" s="64" t="str">
        <f>Ringkasan!F173</f>
        <v>31 Agustus 2026</v>
      </c>
      <c r="G174" s="64">
        <f>Ringkasan!G173</f>
        <v>16</v>
      </c>
      <c r="H174" s="19">
        <f>Ringkasan!H173</f>
        <v>6.4</v>
      </c>
      <c r="I174" s="19">
        <f>Ringkasan!I173</f>
        <v>0.69</v>
      </c>
      <c r="J174" s="19">
        <f>Ringkasan!J173</f>
        <v>10.8</v>
      </c>
      <c r="K174" s="19">
        <f>Ringkasan!K173</f>
        <v>6.1</v>
      </c>
      <c r="L174" s="19">
        <f>Ringkasan!L173</f>
        <v>0.77</v>
      </c>
      <c r="M174" s="19">
        <f>Ringkasan!M173</f>
        <v>40.3</v>
      </c>
      <c r="N174" s="64" t="str">
        <f>Ringkasan!N173</f>
        <v/>
      </c>
      <c r="O174" s="64" t="str">
        <f>Ringkasan!O173</f>
        <v/>
      </c>
      <c r="P174" s="64" t="str">
        <f>Ringkasan!P173</f>
        <v/>
      </c>
      <c r="Q174" s="64" t="str">
        <f>Ringkasan!Q173</f>
        <v/>
      </c>
      <c r="R174" s="64" t="str">
        <f>Ringkasan!R173</f>
        <v/>
      </c>
      <c r="S174" s="64" t="str">
        <f>Ringkasan!S173</f>
        <v/>
      </c>
      <c r="T174" s="64" t="str">
        <f>Ringkasan!T173</f>
        <v/>
      </c>
      <c r="U174" s="64">
        <f>Ringkasan!U173</f>
        <v>0</v>
      </c>
      <c r="V174" s="64">
        <f>Ringkasan!V173</f>
        <v>0</v>
      </c>
      <c r="W174" s="64">
        <f>Ringkasan!W173</f>
        <v>0</v>
      </c>
      <c r="X174" s="64">
        <f>Ringkasan!X173</f>
        <v>0</v>
      </c>
      <c r="Y174" s="64">
        <f>Ringkasan!Y173</f>
        <v>0</v>
      </c>
      <c r="Z174" s="64">
        <f>Ringkasan!Z173</f>
        <v>4632235</v>
      </c>
      <c r="AA174" s="64" t="str">
        <f>Ringkasan!AA173</f>
        <v>Multi-sector Holdings</v>
      </c>
      <c r="AB174" s="64" t="str">
        <f>Ringkasan!AB173</f>
        <v>Industrials</v>
      </c>
    </row>
    <row r="175" hidden="1">
      <c r="A175" s="64" t="str">
        <f>Ringkasan!A174</f>
        <v>ASII</v>
      </c>
      <c r="B175" s="64" t="str">
        <f>Ringkasan!B174</f>
        <v>Astra International Tbk</v>
      </c>
      <c r="C175" s="65">
        <f>Ringkasan!C174</f>
        <v>4740</v>
      </c>
      <c r="D175" s="64" t="str">
        <f>Ringkasan!D174</f>
        <v>#N/A</v>
      </c>
      <c r="E175" s="64" t="str">
        <f>Ringkasan!E174</f>
        <v>IDXV30</v>
      </c>
      <c r="F175" s="64" t="str">
        <f>Ringkasan!F174</f>
        <v>4 Agustus 2026</v>
      </c>
      <c r="G175" s="64">
        <f>Ringkasan!G174</f>
        <v>16</v>
      </c>
      <c r="H175" s="19">
        <f>Ringkasan!H174</f>
        <v>6.4</v>
      </c>
      <c r="I175" s="19">
        <f>Ringkasan!I174</f>
        <v>0.69</v>
      </c>
      <c r="J175" s="19">
        <f>Ringkasan!J174</f>
        <v>10.8</v>
      </c>
      <c r="K175" s="19">
        <f>Ringkasan!K174</f>
        <v>6.1</v>
      </c>
      <c r="L175" s="19">
        <f>Ringkasan!L174</f>
        <v>0.77</v>
      </c>
      <c r="M175" s="19">
        <f>Ringkasan!M174</f>
        <v>40.3</v>
      </c>
      <c r="N175" s="64" t="str">
        <f>Ringkasan!N174</f>
        <v/>
      </c>
      <c r="O175" s="64" t="str">
        <f>Ringkasan!O174</f>
        <v/>
      </c>
      <c r="P175" s="64" t="str">
        <f>Ringkasan!P174</f>
        <v/>
      </c>
      <c r="Q175" s="64" t="str">
        <f>Ringkasan!Q174</f>
        <v/>
      </c>
      <c r="R175" s="64" t="str">
        <f>Ringkasan!R174</f>
        <v/>
      </c>
      <c r="S175" s="64" t="str">
        <f>Ringkasan!S174</f>
        <v/>
      </c>
      <c r="T175" s="64" t="str">
        <f>Ringkasan!T174</f>
        <v/>
      </c>
      <c r="U175" s="64">
        <f>Ringkasan!U174</f>
        <v>0</v>
      </c>
      <c r="V175" s="64">
        <f>Ringkasan!V174</f>
        <v>0</v>
      </c>
      <c r="W175" s="64">
        <f>Ringkasan!W174</f>
        <v>0</v>
      </c>
      <c r="X175" s="64">
        <f>Ringkasan!X174</f>
        <v>0</v>
      </c>
      <c r="Y175" s="64">
        <f>Ringkasan!Y174</f>
        <v>0</v>
      </c>
      <c r="Z175" s="64">
        <f>Ringkasan!Z174</f>
        <v>4632235</v>
      </c>
      <c r="AA175" s="64" t="str">
        <f>Ringkasan!AA174</f>
        <v>Multi-sector Holdings</v>
      </c>
      <c r="AB175" s="64" t="str">
        <f>Ringkasan!AB174</f>
        <v>Industrials</v>
      </c>
    </row>
    <row r="176" hidden="1">
      <c r="A176" s="64" t="str">
        <f>Ringkasan!A175</f>
        <v>ASII</v>
      </c>
      <c r="B176" s="64" t="str">
        <f>Ringkasan!B175</f>
        <v>Astra International Tbk</v>
      </c>
      <c r="C176" s="65">
        <f>Ringkasan!C175</f>
        <v>4740</v>
      </c>
      <c r="D176" s="64" t="str">
        <f>Ringkasan!D175</f>
        <v>#N/A</v>
      </c>
      <c r="E176" s="64" t="str">
        <f>Ringkasan!E175</f>
        <v>FTSE Large Cap</v>
      </c>
      <c r="F176" s="64" t="str">
        <f>Ringkasan!F175</f>
        <v>Juni 2026</v>
      </c>
      <c r="G176" s="64">
        <f>Ringkasan!G175</f>
        <v>16</v>
      </c>
      <c r="H176" s="19">
        <f>Ringkasan!H175</f>
        <v>6.4</v>
      </c>
      <c r="I176" s="19">
        <f>Ringkasan!I175</f>
        <v>0.69</v>
      </c>
      <c r="J176" s="19">
        <f>Ringkasan!J175</f>
        <v>10.8</v>
      </c>
      <c r="K176" s="19">
        <f>Ringkasan!K175</f>
        <v>6.1</v>
      </c>
      <c r="L176" s="19">
        <f>Ringkasan!L175</f>
        <v>0.77</v>
      </c>
      <c r="M176" s="19">
        <f>Ringkasan!M175</f>
        <v>40.3</v>
      </c>
      <c r="N176" s="64" t="str">
        <f>Ringkasan!N175</f>
        <v/>
      </c>
      <c r="O176" s="64" t="str">
        <f>Ringkasan!O175</f>
        <v/>
      </c>
      <c r="P176" s="64" t="str">
        <f>Ringkasan!P175</f>
        <v/>
      </c>
      <c r="Q176" s="64" t="str">
        <f>Ringkasan!Q175</f>
        <v/>
      </c>
      <c r="R176" s="64" t="str">
        <f>Ringkasan!R175</f>
        <v/>
      </c>
      <c r="S176" s="64" t="str">
        <f>Ringkasan!S175</f>
        <v/>
      </c>
      <c r="T176" s="64" t="str">
        <f>Ringkasan!T175</f>
        <v/>
      </c>
      <c r="U176" s="64">
        <f>Ringkasan!U175</f>
        <v>0</v>
      </c>
      <c r="V176" s="64">
        <f>Ringkasan!V175</f>
        <v>0</v>
      </c>
      <c r="W176" s="64">
        <f>Ringkasan!W175</f>
        <v>0</v>
      </c>
      <c r="X176" s="64">
        <f>Ringkasan!X175</f>
        <v>0</v>
      </c>
      <c r="Y176" s="64">
        <f>Ringkasan!Y175</f>
        <v>0</v>
      </c>
      <c r="Z176" s="64">
        <f>Ringkasan!Z175</f>
        <v>4632235</v>
      </c>
      <c r="AA176" s="64" t="str">
        <f>Ringkasan!AA175</f>
        <v>Multi-sector Holdings</v>
      </c>
      <c r="AB176" s="64" t="str">
        <f>Ringkasan!AB175</f>
        <v>Industrials</v>
      </c>
    </row>
    <row r="177" hidden="1">
      <c r="A177" s="64" t="str">
        <f>Ringkasan!A176</f>
        <v>ASII</v>
      </c>
      <c r="B177" s="64" t="str">
        <f>Ringkasan!B176</f>
        <v>Astra International Tbk</v>
      </c>
      <c r="C177" s="65">
        <f>Ringkasan!C176</f>
        <v>4740</v>
      </c>
      <c r="D177" s="64" t="str">
        <f>Ringkasan!D176</f>
        <v>#N/A</v>
      </c>
      <c r="E177" s="64" t="str">
        <f>Ringkasan!E176</f>
        <v>ESGSKEHATI</v>
      </c>
      <c r="F177" s="66">
        <f>Ringkasan!F176</f>
        <v>46356</v>
      </c>
      <c r="G177" s="64">
        <f>Ringkasan!G176</f>
        <v>16</v>
      </c>
      <c r="H177" s="19">
        <f>Ringkasan!H176</f>
        <v>6.4</v>
      </c>
      <c r="I177" s="19">
        <f>Ringkasan!I176</f>
        <v>0.69</v>
      </c>
      <c r="J177" s="19">
        <f>Ringkasan!J176</f>
        <v>10.8</v>
      </c>
      <c r="K177" s="19">
        <f>Ringkasan!K176</f>
        <v>6.1</v>
      </c>
      <c r="L177" s="19">
        <f>Ringkasan!L176</f>
        <v>0.77</v>
      </c>
      <c r="M177" s="19">
        <f>Ringkasan!M176</f>
        <v>40.3</v>
      </c>
      <c r="N177" s="64" t="str">
        <f>Ringkasan!N176</f>
        <v/>
      </c>
      <c r="O177" s="64" t="str">
        <f>Ringkasan!O176</f>
        <v/>
      </c>
      <c r="P177" s="64" t="str">
        <f>Ringkasan!P176</f>
        <v/>
      </c>
      <c r="Q177" s="64" t="str">
        <f>Ringkasan!Q176</f>
        <v/>
      </c>
      <c r="R177" s="64" t="str">
        <f>Ringkasan!R176</f>
        <v/>
      </c>
      <c r="S177" s="64" t="str">
        <f>Ringkasan!S176</f>
        <v/>
      </c>
      <c r="T177" s="64" t="str">
        <f>Ringkasan!T176</f>
        <v/>
      </c>
      <c r="U177" s="64">
        <f>Ringkasan!U176</f>
        <v>0</v>
      </c>
      <c r="V177" s="64">
        <f>Ringkasan!V176</f>
        <v>0</v>
      </c>
      <c r="W177" s="64">
        <f>Ringkasan!W176</f>
        <v>0</v>
      </c>
      <c r="X177" s="64">
        <f>Ringkasan!X176</f>
        <v>0</v>
      </c>
      <c r="Y177" s="64">
        <f>Ringkasan!Y176</f>
        <v>0</v>
      </c>
      <c r="Z177" s="64">
        <f>Ringkasan!Z176</f>
        <v>4632235</v>
      </c>
      <c r="AA177" s="64" t="str">
        <f>Ringkasan!AA176</f>
        <v>Multi-sector Holdings</v>
      </c>
      <c r="AB177" s="64" t="str">
        <f>Ringkasan!AB176</f>
        <v>Industrials</v>
      </c>
    </row>
    <row r="178" hidden="1">
      <c r="A178" s="64" t="str">
        <f>Ringkasan!A177</f>
        <v>ASII</v>
      </c>
      <c r="B178" s="64" t="str">
        <f>Ringkasan!B177</f>
        <v>Astra International Tbk</v>
      </c>
      <c r="C178" s="65">
        <f>Ringkasan!C177</f>
        <v>4740</v>
      </c>
      <c r="D178" s="64" t="str">
        <f>Ringkasan!D177</f>
        <v>#N/A</v>
      </c>
      <c r="E178" s="64" t="str">
        <f>Ringkasan!E177</f>
        <v>SRI-KEHATI</v>
      </c>
      <c r="F178" s="66">
        <f>Ringkasan!F177</f>
        <v>46356</v>
      </c>
      <c r="G178" s="64">
        <f>Ringkasan!G177</f>
        <v>16</v>
      </c>
      <c r="H178" s="19">
        <f>Ringkasan!H177</f>
        <v>6.4</v>
      </c>
      <c r="I178" s="19">
        <f>Ringkasan!I177</f>
        <v>0.69</v>
      </c>
      <c r="J178" s="19">
        <f>Ringkasan!J177</f>
        <v>10.8</v>
      </c>
      <c r="K178" s="19">
        <f>Ringkasan!K177</f>
        <v>6.1</v>
      </c>
      <c r="L178" s="19">
        <f>Ringkasan!L177</f>
        <v>0.77</v>
      </c>
      <c r="M178" s="19">
        <f>Ringkasan!M177</f>
        <v>40.3</v>
      </c>
      <c r="N178" s="64" t="str">
        <f>Ringkasan!N177</f>
        <v/>
      </c>
      <c r="O178" s="64" t="str">
        <f>Ringkasan!O177</f>
        <v/>
      </c>
      <c r="P178" s="64" t="str">
        <f>Ringkasan!P177</f>
        <v/>
      </c>
      <c r="Q178" s="64" t="str">
        <f>Ringkasan!Q177</f>
        <v/>
      </c>
      <c r="R178" s="64" t="str">
        <f>Ringkasan!R177</f>
        <v/>
      </c>
      <c r="S178" s="64" t="str">
        <f>Ringkasan!S177</f>
        <v/>
      </c>
      <c r="T178" s="64" t="str">
        <f>Ringkasan!T177</f>
        <v/>
      </c>
      <c r="U178" s="64">
        <f>Ringkasan!U177</f>
        <v>0</v>
      </c>
      <c r="V178" s="64">
        <f>Ringkasan!V177</f>
        <v>0</v>
      </c>
      <c r="W178" s="64">
        <f>Ringkasan!W177</f>
        <v>0</v>
      </c>
      <c r="X178" s="64">
        <f>Ringkasan!X177</f>
        <v>0</v>
      </c>
      <c r="Y178" s="64">
        <f>Ringkasan!Y177</f>
        <v>0</v>
      </c>
      <c r="Z178" s="64">
        <f>Ringkasan!Z177</f>
        <v>4632235</v>
      </c>
      <c r="AA178" s="64" t="str">
        <f>Ringkasan!AA177</f>
        <v>Multi-sector Holdings</v>
      </c>
      <c r="AB178" s="64" t="str">
        <f>Ringkasan!AB177</f>
        <v>Industrials</v>
      </c>
    </row>
    <row r="179" hidden="1">
      <c r="A179" s="64" t="str">
        <f>Ringkasan!A178</f>
        <v>ASII</v>
      </c>
      <c r="B179" s="64" t="str">
        <f>Ringkasan!B178</f>
        <v>Astra International Tbk</v>
      </c>
      <c r="C179" s="65">
        <f>Ringkasan!C178</f>
        <v>4740</v>
      </c>
      <c r="D179" s="64" t="str">
        <f>Ringkasan!D178</f>
        <v>#N/A</v>
      </c>
      <c r="E179" s="64" t="str">
        <f>Ringkasan!E178</f>
        <v>Investor33</v>
      </c>
      <c r="F179" s="66">
        <f>Ringkasan!F178</f>
        <v>46356</v>
      </c>
      <c r="G179" s="64">
        <f>Ringkasan!G178</f>
        <v>16</v>
      </c>
      <c r="H179" s="19">
        <f>Ringkasan!H178</f>
        <v>6.4</v>
      </c>
      <c r="I179" s="19">
        <f>Ringkasan!I178</f>
        <v>0.69</v>
      </c>
      <c r="J179" s="19">
        <f>Ringkasan!J178</f>
        <v>10.8</v>
      </c>
      <c r="K179" s="19">
        <f>Ringkasan!K178</f>
        <v>6.1</v>
      </c>
      <c r="L179" s="19">
        <f>Ringkasan!L178</f>
        <v>0.77</v>
      </c>
      <c r="M179" s="19">
        <f>Ringkasan!M178</f>
        <v>40.3</v>
      </c>
      <c r="N179" s="64" t="str">
        <f>Ringkasan!N178</f>
        <v/>
      </c>
      <c r="O179" s="64" t="str">
        <f>Ringkasan!O178</f>
        <v/>
      </c>
      <c r="P179" s="64" t="str">
        <f>Ringkasan!P178</f>
        <v/>
      </c>
      <c r="Q179" s="64" t="str">
        <f>Ringkasan!Q178</f>
        <v/>
      </c>
      <c r="R179" s="64" t="str">
        <f>Ringkasan!R178</f>
        <v/>
      </c>
      <c r="S179" s="64" t="str">
        <f>Ringkasan!S178</f>
        <v/>
      </c>
      <c r="T179" s="64" t="str">
        <f>Ringkasan!T178</f>
        <v/>
      </c>
      <c r="U179" s="64">
        <f>Ringkasan!U178</f>
        <v>0</v>
      </c>
      <c r="V179" s="64">
        <f>Ringkasan!V178</f>
        <v>0</v>
      </c>
      <c r="W179" s="64">
        <f>Ringkasan!W178</f>
        <v>0</v>
      </c>
      <c r="X179" s="64">
        <f>Ringkasan!X178</f>
        <v>0</v>
      </c>
      <c r="Y179" s="64">
        <f>Ringkasan!Y178</f>
        <v>0</v>
      </c>
      <c r="Z179" s="64">
        <f>Ringkasan!Z178</f>
        <v>4632235</v>
      </c>
      <c r="AA179" s="64" t="str">
        <f>Ringkasan!AA178</f>
        <v>Multi-sector Holdings</v>
      </c>
      <c r="AB179" s="64" t="str">
        <f>Ringkasan!AB178</f>
        <v>Industrials</v>
      </c>
    </row>
    <row r="180" hidden="1">
      <c r="A180" s="64" t="str">
        <f>Ringkasan!A66</f>
        <v>AKKU</v>
      </c>
      <c r="B180" s="64" t="str">
        <f>Ringkasan!B66</f>
        <v>Anugerah Kagum Karya Utama Tbk.</v>
      </c>
      <c r="C180" s="65">
        <f>Ringkasan!C66</f>
        <v>38</v>
      </c>
      <c r="D180" s="64" t="str">
        <f>Ringkasan!D66</f>
        <v>#N/A</v>
      </c>
      <c r="E180" s="64" t="str">
        <f>Ringkasan!E66</f>
        <v/>
      </c>
      <c r="F180" s="64" t="str">
        <f>Ringkasan!F66</f>
        <v/>
      </c>
      <c r="G180" s="64">
        <f>Ringkasan!G66</f>
        <v>0</v>
      </c>
      <c r="H180" s="19">
        <f>Ringkasan!H66</f>
        <v>-9.4</v>
      </c>
      <c r="I180" s="19">
        <f>Ringkasan!I66</f>
        <v>0.62</v>
      </c>
      <c r="J180" s="19">
        <f>Ringkasan!J66</f>
        <v>-6.6</v>
      </c>
      <c r="K180" s="19">
        <f>Ringkasan!K66</f>
        <v>-3.7</v>
      </c>
      <c r="L180" s="19">
        <f>Ringkasan!L66</f>
        <v>0.77</v>
      </c>
      <c r="M180" s="19">
        <f>Ringkasan!M66</f>
        <v>-1280</v>
      </c>
      <c r="N180" s="64" t="str">
        <f>Ringkasan!N66</f>
        <v/>
      </c>
      <c r="O180" s="64" t="str">
        <f>Ringkasan!O66</f>
        <v/>
      </c>
      <c r="P180" s="64" t="str">
        <f>Ringkasan!P66</f>
        <v/>
      </c>
      <c r="Q180" s="64" t="str">
        <f>Ringkasan!Q66</f>
        <v/>
      </c>
      <c r="R180" s="64" t="str">
        <f>Ringkasan!R66</f>
        <v/>
      </c>
      <c r="S180" s="64" t="str">
        <f>Ringkasan!S66</f>
        <v/>
      </c>
      <c r="T180" s="64" t="str">
        <f>Ringkasan!T66</f>
        <v/>
      </c>
      <c r="U180" s="64">
        <f>Ringkasan!U66</f>
        <v>38</v>
      </c>
      <c r="V180" s="64">
        <f>Ringkasan!V66</f>
        <v>0</v>
      </c>
      <c r="W180" s="64" t="str">
        <f>Ringkasan!W66</f>
        <v/>
      </c>
      <c r="X180" s="64" t="str">
        <f>Ringkasan!X66</f>
        <v/>
      </c>
      <c r="Y180" s="64" t="str">
        <f>Ringkasan!Y66</f>
        <v/>
      </c>
      <c r="Z180" s="64">
        <f>Ringkasan!Z66</f>
        <v>0</v>
      </c>
      <c r="AA180" s="64" t="str">
        <f>Ringkasan!AA66</f>
        <v>Tourism &amp; Recreation</v>
      </c>
      <c r="AB180" s="64" t="str">
        <f>Ringkasan!AB66</f>
        <v>Consumer Cyclicals</v>
      </c>
    </row>
    <row r="181" hidden="1">
      <c r="A181" s="64" t="str">
        <f>Ringkasan!A180</f>
        <v>ASLC</v>
      </c>
      <c r="B181" s="64" t="str">
        <f>Ringkasan!B180</f>
        <v>Autopedia Sukses Lestari Tbk.</v>
      </c>
      <c r="C181" s="67">
        <f>Ringkasan!C180</f>
        <v>62</v>
      </c>
      <c r="D181" s="22" t="str">
        <f>Ringkasan!D180</f>
        <v>#N/A</v>
      </c>
      <c r="E181" s="64" t="str">
        <f>Ringkasan!E180</f>
        <v/>
      </c>
      <c r="F181" s="64" t="str">
        <f>Ringkasan!F180</f>
        <v/>
      </c>
      <c r="G181" s="64">
        <f>Ringkasan!G180</f>
        <v>0</v>
      </c>
      <c r="H181" s="19">
        <f>Ringkasan!H180</f>
        <v>22.8</v>
      </c>
      <c r="I181" s="19">
        <f>Ringkasan!I180</f>
        <v>1.1</v>
      </c>
      <c r="J181" s="19">
        <f>Ringkasan!J180</f>
        <v>4.7</v>
      </c>
      <c r="K181" s="19">
        <f>Ringkasan!K180</f>
        <v>4</v>
      </c>
      <c r="L181" s="19">
        <f>Ringkasan!L180</f>
        <v>0.16</v>
      </c>
      <c r="M181" s="19">
        <f>Ringkasan!M180</f>
        <v>13</v>
      </c>
      <c r="N181" s="64" t="str">
        <f>Ringkasan!N180</f>
        <v/>
      </c>
      <c r="O181" s="64" t="str">
        <f>Ringkasan!O180</f>
        <v/>
      </c>
      <c r="P181" s="64" t="str">
        <f>Ringkasan!P180</f>
        <v/>
      </c>
      <c r="Q181" s="64" t="str">
        <f>Ringkasan!Q180</f>
        <v/>
      </c>
      <c r="R181" s="64" t="str">
        <f>Ringkasan!R180</f>
        <v/>
      </c>
      <c r="S181" s="64" t="str">
        <f>Ringkasan!S180</f>
        <v/>
      </c>
      <c r="T181" s="64" t="str">
        <f>Ringkasan!T180</f>
        <v/>
      </c>
      <c r="U181" s="22">
        <f>Ringkasan!U180</f>
        <v>59</v>
      </c>
      <c r="V181" s="22">
        <f>Ringkasan!V180</f>
        <v>5.08</v>
      </c>
      <c r="W181" s="22">
        <f>Ringkasan!W180</f>
        <v>58</v>
      </c>
      <c r="X181" s="22">
        <f>Ringkasan!X180</f>
        <v>62</v>
      </c>
      <c r="Y181" s="22">
        <f>Ringkasan!Y180</f>
        <v>58</v>
      </c>
      <c r="Z181" s="22">
        <f>Ringkasan!Z180</f>
        <v>10115000</v>
      </c>
      <c r="AA181" s="64" t="str">
        <f>Ringkasan!AA180</f>
        <v>Specialty Retail</v>
      </c>
      <c r="AB181" s="64" t="str">
        <f>Ringkasan!AB180</f>
        <v>Consumer Cyclicals</v>
      </c>
    </row>
    <row r="182" hidden="1">
      <c r="A182" s="64" t="str">
        <f>Ringkasan!A181</f>
        <v>ASLI</v>
      </c>
      <c r="B182" s="64" t="str">
        <f>Ringkasan!B181</f>
        <v>Asri Karya Lestari Tbk.</v>
      </c>
      <c r="C182" s="67">
        <f>Ringkasan!C181</f>
        <v>214</v>
      </c>
      <c r="D182" s="22" t="str">
        <f>Ringkasan!D181</f>
        <v>#N/A</v>
      </c>
      <c r="E182" s="64" t="str">
        <f>Ringkasan!E181</f>
        <v/>
      </c>
      <c r="F182" s="64" t="str">
        <f>Ringkasan!F181</f>
        <v/>
      </c>
      <c r="G182" s="64">
        <f>Ringkasan!G181</f>
        <v>0</v>
      </c>
      <c r="H182" s="19">
        <f>Ringkasan!H181</f>
        <v>-13.6</v>
      </c>
      <c r="I182" s="19">
        <f>Ringkasan!I181</f>
        <v>4</v>
      </c>
      <c r="J182" s="19">
        <f>Ringkasan!J181</f>
        <v>-29.3</v>
      </c>
      <c r="K182" s="19">
        <f>Ringkasan!K181</f>
        <v>-26.8</v>
      </c>
      <c r="L182" s="19">
        <f>Ringkasan!L181</f>
        <v>0.1</v>
      </c>
      <c r="M182" s="19">
        <f>Ringkasan!M181</f>
        <v>-550</v>
      </c>
      <c r="N182" s="64" t="str">
        <f>Ringkasan!N181</f>
        <v/>
      </c>
      <c r="O182" s="64" t="str">
        <f>Ringkasan!O181</f>
        <v/>
      </c>
      <c r="P182" s="64" t="str">
        <f>Ringkasan!P181</f>
        <v/>
      </c>
      <c r="Q182" s="64" t="str">
        <f>Ringkasan!Q181</f>
        <v/>
      </c>
      <c r="R182" s="64" t="str">
        <f>Ringkasan!R181</f>
        <v/>
      </c>
      <c r="S182" s="64" t="str">
        <f>Ringkasan!S181</f>
        <v/>
      </c>
      <c r="T182" s="64" t="str">
        <f>Ringkasan!T181</f>
        <v/>
      </c>
      <c r="U182" s="22">
        <f>Ringkasan!U181</f>
        <v>18.7</v>
      </c>
      <c r="V182" s="22">
        <f>Ringkasan!V181</f>
        <v>0.21</v>
      </c>
      <c r="W182" s="22">
        <f>Ringkasan!W181</f>
        <v>19.3</v>
      </c>
      <c r="X182" s="22">
        <f>Ringkasan!X181</f>
        <v>19.3</v>
      </c>
      <c r="Y182" s="22">
        <f>Ringkasan!Y181</f>
        <v>18.5</v>
      </c>
      <c r="Z182" s="22" t="str">
        <f>Ringkasan!Z181</f>
        <v/>
      </c>
      <c r="AA182" s="64" t="str">
        <f>Ringkasan!AA181</f>
        <v>Heavy Constructions &amp; Civil Engineering</v>
      </c>
      <c r="AB182" s="64" t="str">
        <f>Ringkasan!AB181</f>
        <v>Infrastructures</v>
      </c>
    </row>
    <row r="183">
      <c r="A183" s="60" t="str">
        <f>Ringkasan!A128</f>
        <v>ANTM</v>
      </c>
      <c r="B183" s="60" t="str">
        <f>Ringkasan!B128</f>
        <v>Aneka Tambang Tbk.</v>
      </c>
      <c r="C183" s="61">
        <f>Ringkasan!C128</f>
        <v>2850</v>
      </c>
      <c r="D183" s="60" t="str">
        <f>Ringkasan!D128</f>
        <v>#N/A</v>
      </c>
      <c r="E183" s="60" t="str">
        <f>Ringkasan!E128</f>
        <v>IDXMESBUMN</v>
      </c>
      <c r="F183" s="63">
        <f>Ringkasan!F128</f>
        <v>46356</v>
      </c>
      <c r="G183" s="61">
        <f>Ringkasan!G128</f>
        <v>19</v>
      </c>
      <c r="H183" s="62">
        <f>Ringkasan!H128</f>
        <v>8.2</v>
      </c>
      <c r="I183" s="62">
        <f>Ringkasan!I128</f>
        <v>1.7</v>
      </c>
      <c r="J183" s="62">
        <f>Ringkasan!J128</f>
        <v>21</v>
      </c>
      <c r="K183" s="62">
        <f>Ringkasan!K128</f>
        <v>13.4</v>
      </c>
      <c r="L183" s="62">
        <f>Ringkasan!L128</f>
        <v>0.57</v>
      </c>
      <c r="M183" s="62">
        <f>Ringkasan!M128</f>
        <v>28.9</v>
      </c>
      <c r="N183" s="60" t="str">
        <f>Ringkasan!N128</f>
        <v/>
      </c>
      <c r="O183" s="60" t="str">
        <f>Ringkasan!O128</f>
        <v/>
      </c>
      <c r="P183" s="60" t="str">
        <f>Ringkasan!P128</f>
        <v/>
      </c>
      <c r="Q183" s="60" t="str">
        <f>Ringkasan!Q128</f>
        <v/>
      </c>
      <c r="R183" s="60" t="str">
        <f>Ringkasan!R128</f>
        <v/>
      </c>
      <c r="S183" s="60" t="str">
        <f>Ringkasan!S128</f>
        <v/>
      </c>
      <c r="T183" s="60" t="str">
        <f>Ringkasan!T128</f>
        <v/>
      </c>
      <c r="U183" s="60">
        <f>Ringkasan!U128</f>
        <v>2720</v>
      </c>
      <c r="V183" s="60">
        <f>Ringkasan!V128</f>
        <v>4.78</v>
      </c>
      <c r="W183" s="60">
        <f>Ringkasan!W128</f>
        <v>2800</v>
      </c>
      <c r="X183" s="60">
        <f>Ringkasan!X128</f>
        <v>2910</v>
      </c>
      <c r="Y183" s="60">
        <f>Ringkasan!Y128</f>
        <v>2760</v>
      </c>
      <c r="Z183" s="60">
        <f>Ringkasan!Z128</f>
        <v>174808500</v>
      </c>
      <c r="AA183" s="60" t="str">
        <f>Ringkasan!AA128</f>
        <v>Metals &amp; Minerals</v>
      </c>
      <c r="AB183" s="60" t="str">
        <f>Ringkasan!AB128</f>
        <v>Basic Materials</v>
      </c>
    </row>
    <row r="184" hidden="1">
      <c r="A184" s="64" t="str">
        <f>Ringkasan!A157</f>
        <v>ARTO</v>
      </c>
      <c r="B184" s="64" t="str">
        <f>Ringkasan!B157</f>
        <v>Bank Jago Tbk.</v>
      </c>
      <c r="C184" s="65">
        <f>Ringkasan!C157</f>
        <v>1010</v>
      </c>
      <c r="D184" s="64" t="str">
        <f>Ringkasan!D157</f>
        <v>#N/A</v>
      </c>
      <c r="E184" s="64" t="str">
        <f>Ringkasan!E157</f>
        <v>Infobank15</v>
      </c>
      <c r="F184" s="64" t="str">
        <f>Ringkasan!F157</f>
        <v>30 Juni 2026</v>
      </c>
      <c r="G184" s="64">
        <f>Ringkasan!G157</f>
        <v>6</v>
      </c>
      <c r="H184" s="19">
        <f>Ringkasan!H157</f>
        <v>54.2</v>
      </c>
      <c r="I184" s="19">
        <f>Ringkasan!I157</f>
        <v>1.8</v>
      </c>
      <c r="J184" s="19">
        <f>Ringkasan!J157</f>
        <v>3.4</v>
      </c>
      <c r="K184" s="19">
        <f>Ringkasan!K157</f>
        <v>0.76</v>
      </c>
      <c r="L184" s="19">
        <f>Ringkasan!L157</f>
        <v>3.4</v>
      </c>
      <c r="M184" s="19">
        <f>Ringkasan!M157</f>
        <v>30</v>
      </c>
      <c r="N184" s="64">
        <f>Ringkasan!N157</f>
        <v>7.34</v>
      </c>
      <c r="O184" s="64">
        <f>Ringkasan!O157</f>
        <v>44.4</v>
      </c>
      <c r="P184" s="64">
        <f>Ringkasan!P157</f>
        <v>94.08</v>
      </c>
      <c r="Q184" s="64">
        <f>Ringkasan!Q157</f>
        <v>0.16</v>
      </c>
      <c r="R184" s="64">
        <f>Ringkasan!R157</f>
        <v>92.35</v>
      </c>
      <c r="S184" s="64">
        <f>Ringkasan!S157</f>
        <v>73.73</v>
      </c>
      <c r="T184" s="19" t="str">
        <f>Ringkasan!T157</f>
        <v/>
      </c>
      <c r="U184" s="64">
        <f>Ringkasan!U157</f>
        <v>9100</v>
      </c>
      <c r="V184" s="64">
        <f>Ringkasan!V157</f>
        <v>0</v>
      </c>
      <c r="W184" s="64" t="str">
        <f>Ringkasan!W157</f>
        <v/>
      </c>
      <c r="X184" s="64" t="str">
        <f>Ringkasan!X157</f>
        <v/>
      </c>
      <c r="Y184" s="64" t="str">
        <f>Ringkasan!Y157</f>
        <v/>
      </c>
      <c r="Z184" s="64">
        <f>Ringkasan!Z157</f>
        <v>0</v>
      </c>
      <c r="AA184" s="64" t="str">
        <f>Ringkasan!AA157</f>
        <v>Banks</v>
      </c>
      <c r="AB184" s="64" t="str">
        <f>Ringkasan!AB157</f>
        <v>Financials</v>
      </c>
    </row>
    <row r="185" hidden="1">
      <c r="A185" s="64" t="str">
        <f>Ringkasan!A184</f>
        <v>ASPR</v>
      </c>
      <c r="B185" s="64" t="str">
        <f>Ringkasan!B184</f>
        <v>Asia Pramulia Tbk.</v>
      </c>
      <c r="C185" s="65">
        <f>Ringkasan!C184</f>
        <v>216</v>
      </c>
      <c r="D185" s="64" t="str">
        <f>Ringkasan!D184</f>
        <v>#N/A</v>
      </c>
      <c r="E185" s="64" t="str">
        <f>Ringkasan!E184</f>
        <v/>
      </c>
      <c r="F185" s="64" t="str">
        <f>Ringkasan!F184</f>
        <v/>
      </c>
      <c r="G185" s="64">
        <f>Ringkasan!G184</f>
        <v>0</v>
      </c>
      <c r="H185" s="19">
        <f>Ringkasan!H184</f>
        <v>56.4</v>
      </c>
      <c r="I185" s="19">
        <f>Ringkasan!I184</f>
        <v>2.7</v>
      </c>
      <c r="J185" s="19">
        <f>Ringkasan!J184</f>
        <v>4.7</v>
      </c>
      <c r="K185" s="19">
        <f>Ringkasan!K184</f>
        <v>2.5</v>
      </c>
      <c r="L185" s="19">
        <f>Ringkasan!L184</f>
        <v>0.92</v>
      </c>
      <c r="M185" s="19">
        <f>Ringkasan!M184</f>
        <v>11</v>
      </c>
      <c r="N185" s="64" t="str">
        <f>Ringkasan!N184</f>
        <v/>
      </c>
      <c r="O185" s="64" t="str">
        <f>Ringkasan!O184</f>
        <v/>
      </c>
      <c r="P185" s="64" t="str">
        <f>Ringkasan!P184</f>
        <v/>
      </c>
      <c r="Q185" s="64" t="str">
        <f>Ringkasan!Q184</f>
        <v/>
      </c>
      <c r="R185" s="64" t="str">
        <f>Ringkasan!R184</f>
        <v/>
      </c>
      <c r="S185" s="64" t="str">
        <f>Ringkasan!S184</f>
        <v/>
      </c>
      <c r="T185" s="64" t="str">
        <f>Ringkasan!T184</f>
        <v/>
      </c>
      <c r="U185" s="64">
        <f>Ringkasan!U184</f>
        <v>0</v>
      </c>
      <c r="V185" s="64">
        <f>Ringkasan!V184</f>
        <v>0</v>
      </c>
      <c r="W185" s="64" t="str">
        <f>Ringkasan!W184</f>
        <v/>
      </c>
      <c r="X185" s="64" t="str">
        <f>Ringkasan!X184</f>
        <v/>
      </c>
      <c r="Y185" s="64" t="str">
        <f>Ringkasan!Y184</f>
        <v/>
      </c>
      <c r="Z185" s="64">
        <f>Ringkasan!Z184</f>
        <v>0</v>
      </c>
      <c r="AA185" s="64" t="str">
        <f>Ringkasan!AA184</f>
        <v>Containers &amp; Packaging</v>
      </c>
      <c r="AB185" s="64" t="str">
        <f>Ringkasan!AB184</f>
        <v>Basic Materials</v>
      </c>
    </row>
    <row r="186" hidden="1">
      <c r="A186" s="64" t="str">
        <f>Ringkasan!A185</f>
        <v>ASRI</v>
      </c>
      <c r="B186" s="64" t="str">
        <f>Ringkasan!B185</f>
        <v>Alam Sutera Realty Tbk.</v>
      </c>
      <c r="C186" s="65">
        <f>Ringkasan!C185</f>
        <v>111</v>
      </c>
      <c r="D186" s="64" t="str">
        <f>Ringkasan!D185</f>
        <v>#N/A</v>
      </c>
      <c r="E186" s="64" t="str">
        <f>Ringkasan!E185</f>
        <v/>
      </c>
      <c r="F186" s="64" t="str">
        <f>Ringkasan!F185</f>
        <v/>
      </c>
      <c r="G186" s="64">
        <f>Ringkasan!G185</f>
        <v>0</v>
      </c>
      <c r="H186" s="19">
        <f>Ringkasan!H185</f>
        <v>7.6</v>
      </c>
      <c r="I186" s="19">
        <f>Ringkasan!I185</f>
        <v>0.2</v>
      </c>
      <c r="J186" s="19">
        <f>Ringkasan!J185</f>
        <v>2.6</v>
      </c>
      <c r="K186" s="19">
        <f>Ringkasan!K185</f>
        <v>1.3</v>
      </c>
      <c r="L186" s="19">
        <f>Ringkasan!L185</f>
        <v>0.98</v>
      </c>
      <c r="M186" s="19">
        <f>Ringkasan!M185</f>
        <v>46.1</v>
      </c>
      <c r="N186" s="64" t="str">
        <f>Ringkasan!N185</f>
        <v/>
      </c>
      <c r="O186" s="64" t="str">
        <f>Ringkasan!O185</f>
        <v/>
      </c>
      <c r="P186" s="64" t="str">
        <f>Ringkasan!P185</f>
        <v/>
      </c>
      <c r="Q186" s="64" t="str">
        <f>Ringkasan!Q185</f>
        <v/>
      </c>
      <c r="R186" s="64" t="str">
        <f>Ringkasan!R185</f>
        <v/>
      </c>
      <c r="S186" s="64" t="str">
        <f>Ringkasan!S185</f>
        <v/>
      </c>
      <c r="T186" s="64" t="str">
        <f>Ringkasan!T185</f>
        <v/>
      </c>
      <c r="U186" s="64">
        <f>Ringkasan!U185</f>
        <v>107</v>
      </c>
      <c r="V186" s="64">
        <f>Ringkasan!V185</f>
        <v>3.74</v>
      </c>
      <c r="W186" s="64">
        <f>Ringkasan!W185</f>
        <v>107</v>
      </c>
      <c r="X186" s="64">
        <f>Ringkasan!X185</f>
        <v>113</v>
      </c>
      <c r="Y186" s="64">
        <f>Ringkasan!Y185</f>
        <v>107</v>
      </c>
      <c r="Z186" s="64">
        <f>Ringkasan!Z185</f>
        <v>6628600</v>
      </c>
      <c r="AA186" s="64" t="str">
        <f>Ringkasan!AA185</f>
        <v>Real Estate Management &amp; Development</v>
      </c>
      <c r="AB186" s="64" t="str">
        <f>Ringkasan!AB185</f>
        <v>Properties &amp; Real Estate</v>
      </c>
    </row>
    <row r="187" hidden="1">
      <c r="A187" s="64" t="str">
        <f>Ringkasan!A186</f>
        <v>ASRM</v>
      </c>
      <c r="B187" s="64" t="str">
        <f>Ringkasan!B186</f>
        <v>Asuransi Ramayana Tbk.</v>
      </c>
      <c r="C187" s="61">
        <f>Ringkasan!C186</f>
        <v>240</v>
      </c>
      <c r="D187" s="60" t="str">
        <f>Ringkasan!D186</f>
        <v>#N/A</v>
      </c>
      <c r="E187" s="64" t="str">
        <f>Ringkasan!E186</f>
        <v/>
      </c>
      <c r="F187" s="64" t="str">
        <f>Ringkasan!F186</f>
        <v/>
      </c>
      <c r="G187" s="64">
        <f>Ringkasan!G186</f>
        <v>0</v>
      </c>
      <c r="H187" s="19">
        <f>Ringkasan!H186</f>
        <v>22</v>
      </c>
      <c r="I187" s="19">
        <f>Ringkasan!I186</f>
        <v>0.48</v>
      </c>
      <c r="J187" s="19">
        <f>Ringkasan!J186</f>
        <v>2.2</v>
      </c>
      <c r="K187" s="19">
        <f>Ringkasan!K186</f>
        <v>0.95</v>
      </c>
      <c r="L187" s="19">
        <f>Ringkasan!L186</f>
        <v>1.3</v>
      </c>
      <c r="M187" s="19">
        <f>Ringkasan!M186</f>
        <v>3.8</v>
      </c>
      <c r="N187" s="64" t="str">
        <f>Ringkasan!N186</f>
        <v/>
      </c>
      <c r="O187" s="64" t="str">
        <f>Ringkasan!O186</f>
        <v/>
      </c>
      <c r="P187" s="64" t="str">
        <f>Ringkasan!P186</f>
        <v/>
      </c>
      <c r="Q187" s="64" t="str">
        <f>Ringkasan!Q186</f>
        <v/>
      </c>
      <c r="R187" s="64" t="str">
        <f>Ringkasan!R186</f>
        <v/>
      </c>
      <c r="S187" s="64" t="str">
        <f>Ringkasan!S186</f>
        <v/>
      </c>
      <c r="T187" s="64" t="str">
        <f>Ringkasan!T186</f>
        <v/>
      </c>
      <c r="U187" s="60">
        <f>Ringkasan!U186</f>
        <v>240</v>
      </c>
      <c r="V187" s="60">
        <f>Ringkasan!V186</f>
        <v>0</v>
      </c>
      <c r="W187" s="60">
        <f>Ringkasan!W186</f>
        <v>242</v>
      </c>
      <c r="X187" s="60">
        <f>Ringkasan!X186</f>
        <v>242</v>
      </c>
      <c r="Y187" s="60">
        <f>Ringkasan!Y186</f>
        <v>240</v>
      </c>
      <c r="Z187" s="60">
        <f>Ringkasan!Z186</f>
        <v>19600</v>
      </c>
      <c r="AA187" s="64" t="str">
        <f>Ringkasan!AA186</f>
        <v>Insurance</v>
      </c>
      <c r="AB187" s="64" t="str">
        <f>Ringkasan!AB186</f>
        <v>Financials</v>
      </c>
    </row>
    <row r="188" hidden="1">
      <c r="A188" s="64" t="str">
        <f>Ringkasan!A187</f>
        <v>ASSA</v>
      </c>
      <c r="B188" s="64" t="str">
        <f>Ringkasan!B187</f>
        <v>Adi Sarana Armada Tbk</v>
      </c>
      <c r="C188" s="61" t="str">
        <f>Ringkasan!C187</f>
        <v>#N/A</v>
      </c>
      <c r="D188" s="60" t="str">
        <f>Ringkasan!D187</f>
        <v>#N/A</v>
      </c>
      <c r="E188" s="60" t="str">
        <f>Ringkasan!E187</f>
        <v>ESGQKEHATI</v>
      </c>
      <c r="F188" s="63">
        <f>Ringkasan!F187</f>
        <v>46356</v>
      </c>
      <c r="G188" s="60">
        <f>Ringkasan!G187</f>
        <v>3</v>
      </c>
      <c r="H188" s="62">
        <f>Ringkasan!H187</f>
        <v>5.7</v>
      </c>
      <c r="I188" s="62">
        <f>Ringkasan!I187</f>
        <v>0.7</v>
      </c>
      <c r="J188" s="62">
        <f>Ringkasan!J187</f>
        <v>12.2</v>
      </c>
      <c r="K188" s="62">
        <f>Ringkasan!K187</f>
        <v>4.7</v>
      </c>
      <c r="L188" s="62">
        <f>Ringkasan!L187</f>
        <v>1.6</v>
      </c>
      <c r="M188" s="62">
        <f>Ringkasan!M187</f>
        <v>26.9</v>
      </c>
      <c r="N188" s="60" t="str">
        <f>Ringkasan!N187</f>
        <v/>
      </c>
      <c r="O188" s="60" t="str">
        <f>Ringkasan!O187</f>
        <v/>
      </c>
      <c r="P188" s="60" t="str">
        <f>Ringkasan!P187</f>
        <v/>
      </c>
      <c r="Q188" s="60" t="str">
        <f>Ringkasan!Q187</f>
        <v/>
      </c>
      <c r="R188" s="60" t="str">
        <f>Ringkasan!R187</f>
        <v/>
      </c>
      <c r="S188" s="60" t="str">
        <f>Ringkasan!S187</f>
        <v/>
      </c>
      <c r="T188" s="60" t="str">
        <f>Ringkasan!T187</f>
        <v/>
      </c>
      <c r="U188" s="60">
        <f>Ringkasan!U187</f>
        <v>595</v>
      </c>
      <c r="V188" s="60">
        <f>Ringkasan!V187</f>
        <v>6.72</v>
      </c>
      <c r="W188" s="60" t="str">
        <f>Ringkasan!W187</f>
        <v/>
      </c>
      <c r="X188" s="60">
        <f>Ringkasan!X187</f>
        <v>645</v>
      </c>
      <c r="Y188" s="60">
        <f>Ringkasan!Y187</f>
        <v>600</v>
      </c>
      <c r="Z188" s="60">
        <f>Ringkasan!Z187</f>
        <v>13169500</v>
      </c>
      <c r="AA188" s="60" t="str">
        <f>Ringkasan!AA187</f>
        <v>Passenger Land Transportation</v>
      </c>
      <c r="AB188" s="60" t="str">
        <f>Ringkasan!AB187</f>
        <v>Transportation &amp; Logistic</v>
      </c>
    </row>
    <row r="189">
      <c r="A189" s="60" t="str">
        <f>Ringkasan!A129</f>
        <v>ANTM</v>
      </c>
      <c r="B189" s="60" t="str">
        <f>Ringkasan!B129</f>
        <v>Aneka Tambang Tbk.</v>
      </c>
      <c r="C189" s="61">
        <f>Ringkasan!C129</f>
        <v>2850</v>
      </c>
      <c r="D189" s="60" t="str">
        <f>Ringkasan!D129</f>
        <v>#N/A</v>
      </c>
      <c r="E189" s="60" t="str">
        <f>Ringkasan!E129</f>
        <v>IDXSHAGROW</v>
      </c>
      <c r="F189" s="63">
        <f>Ringkasan!F129</f>
        <v>46356</v>
      </c>
      <c r="G189" s="60">
        <f>Ringkasan!G129</f>
        <v>19</v>
      </c>
      <c r="H189" s="62">
        <f>Ringkasan!H129</f>
        <v>8.2</v>
      </c>
      <c r="I189" s="62">
        <f>Ringkasan!I129</f>
        <v>1.7</v>
      </c>
      <c r="J189" s="62">
        <f>Ringkasan!J129</f>
        <v>21</v>
      </c>
      <c r="K189" s="62">
        <f>Ringkasan!K129</f>
        <v>13.4</v>
      </c>
      <c r="L189" s="62">
        <f>Ringkasan!L129</f>
        <v>0.57</v>
      </c>
      <c r="M189" s="62">
        <f>Ringkasan!M129</f>
        <v>28.9</v>
      </c>
      <c r="N189" s="60" t="str">
        <f>Ringkasan!N129</f>
        <v/>
      </c>
      <c r="O189" s="60" t="str">
        <f>Ringkasan!O129</f>
        <v/>
      </c>
      <c r="P189" s="60" t="str">
        <f>Ringkasan!P129</f>
        <v/>
      </c>
      <c r="Q189" s="60" t="str">
        <f>Ringkasan!Q129</f>
        <v/>
      </c>
      <c r="R189" s="60" t="str">
        <f>Ringkasan!R129</f>
        <v/>
      </c>
      <c r="S189" s="60" t="str">
        <f>Ringkasan!S129</f>
        <v/>
      </c>
      <c r="T189" s="60" t="str">
        <f>Ringkasan!T129</f>
        <v/>
      </c>
      <c r="U189" s="60">
        <f>Ringkasan!U129</f>
        <v>2720</v>
      </c>
      <c r="V189" s="60">
        <f>Ringkasan!V129</f>
        <v>4.78</v>
      </c>
      <c r="W189" s="60">
        <f>Ringkasan!W129</f>
        <v>2800</v>
      </c>
      <c r="X189" s="60">
        <f>Ringkasan!X129</f>
        <v>2910</v>
      </c>
      <c r="Y189" s="60">
        <f>Ringkasan!Y129</f>
        <v>2760</v>
      </c>
      <c r="Z189" s="60">
        <f>Ringkasan!Z129</f>
        <v>174808500</v>
      </c>
      <c r="AA189" s="60" t="str">
        <f>Ringkasan!AA129</f>
        <v>Metals &amp; Minerals</v>
      </c>
      <c r="AB189" s="60" t="str">
        <f>Ringkasan!AB129</f>
        <v>Basic Materials</v>
      </c>
    </row>
    <row r="190" hidden="1">
      <c r="A190" s="64" t="str">
        <f>Ringkasan!A189</f>
        <v>ASSA</v>
      </c>
      <c r="B190" s="64" t="str">
        <f>Ringkasan!B189</f>
        <v>Adi Sarana Armada Tbk</v>
      </c>
      <c r="C190" s="61" t="str">
        <f>Ringkasan!C189</f>
        <v>#N/A</v>
      </c>
      <c r="D190" s="60" t="str">
        <f>Ringkasan!D189</f>
        <v>#N/A</v>
      </c>
      <c r="E190" s="60" t="str">
        <f>Ringkasan!E189</f>
        <v>ESGSKEHATI</v>
      </c>
      <c r="F190" s="63">
        <f>Ringkasan!F189</f>
        <v>46356</v>
      </c>
      <c r="G190" s="60">
        <f>Ringkasan!G189</f>
        <v>3</v>
      </c>
      <c r="H190" s="62">
        <f>Ringkasan!H189</f>
        <v>5.7</v>
      </c>
      <c r="I190" s="62">
        <f>Ringkasan!I189</f>
        <v>0.7</v>
      </c>
      <c r="J190" s="62">
        <f>Ringkasan!J189</f>
        <v>12.2</v>
      </c>
      <c r="K190" s="62">
        <f>Ringkasan!K189</f>
        <v>4.7</v>
      </c>
      <c r="L190" s="62">
        <f>Ringkasan!L189</f>
        <v>1.6</v>
      </c>
      <c r="M190" s="62">
        <f>Ringkasan!M189</f>
        <v>26.9</v>
      </c>
      <c r="N190" s="60" t="str">
        <f>Ringkasan!N189</f>
        <v/>
      </c>
      <c r="O190" s="60" t="str">
        <f>Ringkasan!O189</f>
        <v/>
      </c>
      <c r="P190" s="60" t="str">
        <f>Ringkasan!P189</f>
        <v/>
      </c>
      <c r="Q190" s="60" t="str">
        <f>Ringkasan!Q189</f>
        <v/>
      </c>
      <c r="R190" s="60" t="str">
        <f>Ringkasan!R189</f>
        <v/>
      </c>
      <c r="S190" s="60" t="str">
        <f>Ringkasan!S189</f>
        <v/>
      </c>
      <c r="T190" s="60" t="str">
        <f>Ringkasan!T189</f>
        <v/>
      </c>
      <c r="U190" s="60">
        <f>Ringkasan!U189</f>
        <v>595</v>
      </c>
      <c r="V190" s="60">
        <f>Ringkasan!V189</f>
        <v>6.72</v>
      </c>
      <c r="W190" s="60" t="str">
        <f>Ringkasan!W189</f>
        <v/>
      </c>
      <c r="X190" s="60">
        <f>Ringkasan!X189</f>
        <v>645</v>
      </c>
      <c r="Y190" s="60">
        <f>Ringkasan!Y189</f>
        <v>600</v>
      </c>
      <c r="Z190" s="60">
        <f>Ringkasan!Z189</f>
        <v>13169500</v>
      </c>
      <c r="AA190" s="60" t="str">
        <f>Ringkasan!AA189</f>
        <v>Passenger Land Transportation</v>
      </c>
      <c r="AB190" s="60" t="str">
        <f>Ringkasan!AB189</f>
        <v>Transportation &amp; Logistic</v>
      </c>
    </row>
    <row r="191" hidden="1">
      <c r="A191" s="64" t="str">
        <f>Ringkasan!A690</f>
        <v>ERAA</v>
      </c>
      <c r="B191" s="64" t="str">
        <f>Ringkasan!B690</f>
        <v>Erajaya Swasembada Tbk.</v>
      </c>
      <c r="C191" s="65">
        <f>Ringkasan!C690</f>
        <v>364</v>
      </c>
      <c r="D191" s="64" t="str">
        <f>Ringkasan!D690</f>
        <v>#N/A</v>
      </c>
      <c r="E191" s="64" t="str">
        <f>Ringkasan!E690</f>
        <v>IDXV30</v>
      </c>
      <c r="F191" s="64" t="str">
        <f>Ringkasan!F690</f>
        <v>4 Agustus 2026</v>
      </c>
      <c r="G191" s="64">
        <f>Ringkasan!G690</f>
        <v>10</v>
      </c>
      <c r="H191" s="19">
        <f>Ringkasan!H690</f>
        <v>4.1</v>
      </c>
      <c r="I191" s="19">
        <f>Ringkasan!I690</f>
        <v>0.54</v>
      </c>
      <c r="J191" s="19">
        <f>Ringkasan!J690</f>
        <v>13.2</v>
      </c>
      <c r="K191" s="19">
        <f>Ringkasan!K690</f>
        <v>4.6</v>
      </c>
      <c r="L191" s="19">
        <f>Ringkasan!L690</f>
        <v>1.9</v>
      </c>
      <c r="M191" s="19">
        <f>Ringkasan!M690</f>
        <v>6.5</v>
      </c>
      <c r="N191" s="64" t="str">
        <f>Ringkasan!N690</f>
        <v/>
      </c>
      <c r="O191" s="64" t="str">
        <f>Ringkasan!O690</f>
        <v/>
      </c>
      <c r="P191" s="64" t="str">
        <f>Ringkasan!P690</f>
        <v/>
      </c>
      <c r="Q191" s="64" t="str">
        <f>Ringkasan!Q690</f>
        <v/>
      </c>
      <c r="R191" s="64" t="str">
        <f>Ringkasan!R690</f>
        <v/>
      </c>
      <c r="S191" s="64" t="str">
        <f>Ringkasan!S690</f>
        <v/>
      </c>
      <c r="T191" s="64" t="str">
        <f>Ringkasan!T690</f>
        <v/>
      </c>
      <c r="U191" s="64" t="str">
        <f>Ringkasan!U690</f>
        <v/>
      </c>
      <c r="V191" s="64">
        <f>Ringkasan!V690</f>
        <v>2.82</v>
      </c>
      <c r="W191" s="64">
        <f>Ringkasan!W690</f>
        <v>356</v>
      </c>
      <c r="X191" s="64">
        <f>Ringkasan!X690</f>
        <v>370</v>
      </c>
      <c r="Y191" s="64">
        <f>Ringkasan!Y690</f>
        <v>356</v>
      </c>
      <c r="Z191" s="64">
        <f>Ringkasan!Z690</f>
        <v>16043800</v>
      </c>
      <c r="AA191" s="64" t="str">
        <f>Ringkasan!AA690</f>
        <v>Specialty Retail</v>
      </c>
      <c r="AB191" s="64" t="str">
        <f>Ringkasan!AB690</f>
        <v>Consumer Cyclicals</v>
      </c>
    </row>
    <row r="192" hidden="1">
      <c r="A192" s="60" t="str">
        <f>Ringkasan!A191</f>
        <v>ATIC</v>
      </c>
      <c r="B192" s="60" t="str">
        <f>Ringkasan!B191</f>
        <v>Anabatic Technologies Tbk.</v>
      </c>
      <c r="C192" s="61">
        <f>Ringkasan!C191</f>
        <v>474</v>
      </c>
      <c r="D192" s="60" t="str">
        <f>Ringkasan!D191</f>
        <v>#N/A</v>
      </c>
      <c r="E192" s="60" t="str">
        <f>Ringkasan!E191</f>
        <v/>
      </c>
      <c r="F192" s="60" t="str">
        <f>Ringkasan!F191</f>
        <v/>
      </c>
      <c r="G192" s="60">
        <f>Ringkasan!G191</f>
        <v>0</v>
      </c>
      <c r="H192" s="62">
        <f>Ringkasan!H191</f>
        <v>5.5</v>
      </c>
      <c r="I192" s="62">
        <f>Ringkasan!I191</f>
        <v>1.4</v>
      </c>
      <c r="J192" s="62">
        <f>Ringkasan!J191</f>
        <v>25.9</v>
      </c>
      <c r="K192" s="62">
        <f>Ringkasan!K191</f>
        <v>4</v>
      </c>
      <c r="L192" s="62">
        <f>Ringkasan!L191</f>
        <v>5.5</v>
      </c>
      <c r="M192" s="62">
        <f>Ringkasan!M191</f>
        <v>2.5</v>
      </c>
      <c r="N192" s="60" t="str">
        <f>Ringkasan!N191</f>
        <v/>
      </c>
      <c r="O192" s="60" t="str">
        <f>Ringkasan!O191</f>
        <v/>
      </c>
      <c r="P192" s="60" t="str">
        <f>Ringkasan!P191</f>
        <v/>
      </c>
      <c r="Q192" s="60" t="str">
        <f>Ringkasan!Q191</f>
        <v/>
      </c>
      <c r="R192" s="60" t="str">
        <f>Ringkasan!R191</f>
        <v/>
      </c>
      <c r="S192" s="60" t="str">
        <f>Ringkasan!S191</f>
        <v/>
      </c>
      <c r="T192" s="60" t="str">
        <f>Ringkasan!T191</f>
        <v/>
      </c>
      <c r="U192" s="60">
        <f>Ringkasan!U191</f>
        <v>478</v>
      </c>
      <c r="V192" s="60">
        <f>Ringkasan!V191</f>
        <v>-0.84</v>
      </c>
      <c r="W192" s="60">
        <f>Ringkasan!W191</f>
        <v>476</v>
      </c>
      <c r="X192" s="60">
        <f>Ringkasan!X191</f>
        <v>486</v>
      </c>
      <c r="Y192" s="60">
        <f>Ringkasan!Y191</f>
        <v>474</v>
      </c>
      <c r="Z192" s="60">
        <f>Ringkasan!Z191</f>
        <v>26800</v>
      </c>
      <c r="AA192" s="60" t="str">
        <f>Ringkasan!AA191</f>
        <v>IT Services &amp; Consulting</v>
      </c>
      <c r="AB192" s="60" t="str">
        <f>Ringkasan!AB191</f>
        <v>Technology</v>
      </c>
    </row>
    <row r="193" hidden="1">
      <c r="A193" s="60" t="str">
        <f>Ringkasan!A192</f>
        <v>ATLA</v>
      </c>
      <c r="B193" s="60" t="str">
        <f>Ringkasan!B192</f>
        <v>Atlantis Subsea Indonesia Tbk.</v>
      </c>
      <c r="C193" s="61">
        <f>Ringkasan!C192</f>
        <v>50</v>
      </c>
      <c r="D193" s="60" t="str">
        <f>Ringkasan!D192</f>
        <v>#N/A</v>
      </c>
      <c r="E193" s="60" t="str">
        <f>Ringkasan!E192</f>
        <v/>
      </c>
      <c r="F193" s="60" t="str">
        <f>Ringkasan!F192</f>
        <v/>
      </c>
      <c r="G193" s="60">
        <f>Ringkasan!G192</f>
        <v>0</v>
      </c>
      <c r="H193" s="62">
        <f>Ringkasan!H192</f>
        <v>94</v>
      </c>
      <c r="I193" s="62">
        <f>Ringkasan!I192</f>
        <v>1.8</v>
      </c>
      <c r="J193" s="62">
        <f>Ringkasan!J192</f>
        <v>1.9</v>
      </c>
      <c r="K193" s="62">
        <f>Ringkasan!K192</f>
        <v>1.9</v>
      </c>
      <c r="L193" s="62">
        <f>Ringkasan!L192</f>
        <v>0.04</v>
      </c>
      <c r="M193" s="62">
        <f>Ringkasan!M192</f>
        <v>20.1</v>
      </c>
      <c r="N193" s="60" t="str">
        <f>Ringkasan!N192</f>
        <v/>
      </c>
      <c r="O193" s="60" t="str">
        <f>Ringkasan!O192</f>
        <v/>
      </c>
      <c r="P193" s="60" t="str">
        <f>Ringkasan!P192</f>
        <v/>
      </c>
      <c r="Q193" s="60" t="str">
        <f>Ringkasan!Q192</f>
        <v/>
      </c>
      <c r="R193" s="60" t="str">
        <f>Ringkasan!R192</f>
        <v/>
      </c>
      <c r="S193" s="60" t="str">
        <f>Ringkasan!S192</f>
        <v/>
      </c>
      <c r="T193" s="60" t="str">
        <f>Ringkasan!T192</f>
        <v/>
      </c>
      <c r="U193" s="60">
        <f>Ringkasan!U192</f>
        <v>0.14</v>
      </c>
      <c r="V193" s="60">
        <f>Ringkasan!V192</f>
        <v>-7.14</v>
      </c>
      <c r="W193" s="60">
        <f>Ringkasan!W192</f>
        <v>0.14</v>
      </c>
      <c r="X193" s="60">
        <f>Ringkasan!X192</f>
        <v>0.14</v>
      </c>
      <c r="Y193" s="60">
        <f>Ringkasan!Y192</f>
        <v>0.13</v>
      </c>
      <c r="Z193" s="60">
        <f>Ringkasan!Z192</f>
        <v>73571</v>
      </c>
      <c r="AA193" s="60" t="str">
        <f>Ringkasan!AA192</f>
        <v>Oil, Gas &amp; Coal Supports</v>
      </c>
      <c r="AB193" s="60" t="str">
        <f>Ringkasan!AB192</f>
        <v>Energy</v>
      </c>
    </row>
    <row r="194">
      <c r="A194" s="60" t="str">
        <f>Ringkasan!A130</f>
        <v>ANTM</v>
      </c>
      <c r="B194" s="60" t="str">
        <f>Ringkasan!B130</f>
        <v>Aneka Tambang Tbk.</v>
      </c>
      <c r="C194" s="61">
        <f>Ringkasan!C130</f>
        <v>2850</v>
      </c>
      <c r="D194" s="60" t="str">
        <f>Ringkasan!D130</f>
        <v>#N/A</v>
      </c>
      <c r="E194" s="60" t="str">
        <f>Ringkasan!E130</f>
        <v>Investor33</v>
      </c>
      <c r="F194" s="63">
        <f>Ringkasan!F130</f>
        <v>46356</v>
      </c>
      <c r="G194" s="61">
        <f>Ringkasan!G130</f>
        <v>19</v>
      </c>
      <c r="H194" s="62">
        <f>Ringkasan!H130</f>
        <v>8.2</v>
      </c>
      <c r="I194" s="62">
        <f>Ringkasan!I130</f>
        <v>1.7</v>
      </c>
      <c r="J194" s="62">
        <f>Ringkasan!J130</f>
        <v>21</v>
      </c>
      <c r="K194" s="62">
        <f>Ringkasan!K130</f>
        <v>13.4</v>
      </c>
      <c r="L194" s="62">
        <f>Ringkasan!L130</f>
        <v>0.57</v>
      </c>
      <c r="M194" s="62">
        <f>Ringkasan!M130</f>
        <v>28.9</v>
      </c>
      <c r="N194" s="60" t="str">
        <f>Ringkasan!N130</f>
        <v/>
      </c>
      <c r="O194" s="60" t="str">
        <f>Ringkasan!O130</f>
        <v/>
      </c>
      <c r="P194" s="60" t="str">
        <f>Ringkasan!P130</f>
        <v/>
      </c>
      <c r="Q194" s="60" t="str">
        <f>Ringkasan!Q130</f>
        <v/>
      </c>
      <c r="R194" s="60" t="str">
        <f>Ringkasan!R130</f>
        <v/>
      </c>
      <c r="S194" s="60" t="str">
        <f>Ringkasan!S130</f>
        <v/>
      </c>
      <c r="T194" s="60" t="str">
        <f>Ringkasan!T130</f>
        <v/>
      </c>
      <c r="U194" s="60">
        <f>Ringkasan!U130</f>
        <v>2720</v>
      </c>
      <c r="V194" s="60">
        <f>Ringkasan!V130</f>
        <v>4.78</v>
      </c>
      <c r="W194" s="60">
        <f>Ringkasan!W130</f>
        <v>2800</v>
      </c>
      <c r="X194" s="60">
        <f>Ringkasan!X130</f>
        <v>2910</v>
      </c>
      <c r="Y194" s="60">
        <f>Ringkasan!Y130</f>
        <v>2760</v>
      </c>
      <c r="Z194" s="60">
        <f>Ringkasan!Z130</f>
        <v>174808500</v>
      </c>
      <c r="AA194" s="60" t="str">
        <f>Ringkasan!AA130</f>
        <v>Metals &amp; Minerals</v>
      </c>
      <c r="AB194" s="60" t="str">
        <f>Ringkasan!AB130</f>
        <v>Basic Materials</v>
      </c>
    </row>
    <row r="195">
      <c r="A195" s="60" t="str">
        <f>Ringkasan!A194</f>
        <v>AUTO</v>
      </c>
      <c r="B195" s="60" t="str">
        <f>Ringkasan!B194</f>
        <v>Astra Otoparts Tbk.</v>
      </c>
      <c r="C195" s="61">
        <f>Ringkasan!C194</f>
        <v>2400</v>
      </c>
      <c r="D195" s="60" t="str">
        <f>Ringkasan!D194</f>
        <v>#N/A</v>
      </c>
      <c r="E195" s="60" t="str">
        <f>Ringkasan!E194</f>
        <v>IDXSMC-LIQ</v>
      </c>
      <c r="F195" s="60" t="str">
        <f>Ringkasan!F194</f>
        <v>4 Agustus 2026</v>
      </c>
      <c r="G195" s="61">
        <f>Ringkasan!G194</f>
        <v>3</v>
      </c>
      <c r="H195" s="62">
        <f>Ringkasan!H194</f>
        <v>5.4</v>
      </c>
      <c r="I195" s="62">
        <f>Ringkasan!I194</f>
        <v>0.7</v>
      </c>
      <c r="J195" s="62">
        <f>Ringkasan!J194</f>
        <v>12.9</v>
      </c>
      <c r="K195" s="62">
        <f>Ringkasan!K194</f>
        <v>9.6</v>
      </c>
      <c r="L195" s="62">
        <f>Ringkasan!L194</f>
        <v>0.35</v>
      </c>
      <c r="M195" s="62">
        <f>Ringkasan!M194</f>
        <v>43</v>
      </c>
      <c r="N195" s="60" t="str">
        <f>Ringkasan!N194</f>
        <v/>
      </c>
      <c r="O195" s="60" t="str">
        <f>Ringkasan!O194</f>
        <v/>
      </c>
      <c r="P195" s="60" t="str">
        <f>Ringkasan!P194</f>
        <v/>
      </c>
      <c r="Q195" s="60" t="str">
        <f>Ringkasan!Q194</f>
        <v/>
      </c>
      <c r="R195" s="60" t="str">
        <f>Ringkasan!R194</f>
        <v/>
      </c>
      <c r="S195" s="60" t="str">
        <f>Ringkasan!S194</f>
        <v/>
      </c>
      <c r="T195" s="60" t="str">
        <f>Ringkasan!T194</f>
        <v/>
      </c>
      <c r="U195" s="60">
        <f>Ringkasan!U194</f>
        <v>0.05</v>
      </c>
      <c r="V195" s="60">
        <f>Ringkasan!V194</f>
        <v>0</v>
      </c>
      <c r="W195" s="60" t="str">
        <f>Ringkasan!W194</f>
        <v/>
      </c>
      <c r="X195" s="60" t="str">
        <f>Ringkasan!X194</f>
        <v/>
      </c>
      <c r="Y195" s="60" t="str">
        <f>Ringkasan!Y194</f>
        <v/>
      </c>
      <c r="Z195" s="60">
        <f>Ringkasan!Z194</f>
        <v>0</v>
      </c>
      <c r="AA195" s="60" t="str">
        <f>Ringkasan!AA194</f>
        <v>Auto Components</v>
      </c>
      <c r="AB195" s="60" t="str">
        <f>Ringkasan!AB194</f>
        <v>Consumer Cyclicals</v>
      </c>
    </row>
    <row r="196" hidden="1">
      <c r="A196" s="60" t="str">
        <f>Ringkasan!A150</f>
        <v>ARNA</v>
      </c>
      <c r="B196" s="60" t="str">
        <f>Ringkasan!B150</f>
        <v>Arwana Citramulia Tbk.</v>
      </c>
      <c r="C196" s="61">
        <f>Ringkasan!C150</f>
        <v>418</v>
      </c>
      <c r="D196" s="60" t="str">
        <f>Ringkasan!D150</f>
        <v>#N/A</v>
      </c>
      <c r="E196" s="60" t="str">
        <f>Ringkasan!E150</f>
        <v/>
      </c>
      <c r="F196" s="60" t="str">
        <f>Ringkasan!F150</f>
        <v/>
      </c>
      <c r="G196" s="61">
        <f>Ringkasan!G150</f>
        <v>0</v>
      </c>
      <c r="H196" s="62">
        <f>Ringkasan!H150</f>
        <v>8.7</v>
      </c>
      <c r="I196" s="62">
        <f>Ringkasan!I150</f>
        <v>1.6</v>
      </c>
      <c r="J196" s="62">
        <f>Ringkasan!J150</f>
        <v>18.8</v>
      </c>
      <c r="K196" s="62">
        <f>Ringkasan!K150</f>
        <v>12.9</v>
      </c>
      <c r="L196" s="62">
        <f>Ringkasan!L150</f>
        <v>0.46</v>
      </c>
      <c r="M196" s="62">
        <f>Ringkasan!M150</f>
        <v>59.9</v>
      </c>
      <c r="N196" s="60" t="str">
        <f>Ringkasan!N150</f>
        <v/>
      </c>
      <c r="O196" s="60" t="str">
        <f>Ringkasan!O150</f>
        <v/>
      </c>
      <c r="P196" s="60" t="str">
        <f>Ringkasan!P150</f>
        <v/>
      </c>
      <c r="Q196" s="60" t="str">
        <f>Ringkasan!Q150</f>
        <v/>
      </c>
      <c r="R196" s="60" t="str">
        <f>Ringkasan!R150</f>
        <v/>
      </c>
      <c r="S196" s="60" t="str">
        <f>Ringkasan!S150</f>
        <v/>
      </c>
      <c r="T196" s="60" t="str">
        <f>Ringkasan!T150</f>
        <v/>
      </c>
      <c r="U196" s="60">
        <f>Ringkasan!U150</f>
        <v>416</v>
      </c>
      <c r="V196" s="60">
        <f>Ringkasan!V150</f>
        <v>0.48</v>
      </c>
      <c r="W196" s="60">
        <f>Ringkasan!W150</f>
        <v>420</v>
      </c>
      <c r="X196" s="60">
        <f>Ringkasan!X150</f>
        <v>436</v>
      </c>
      <c r="Y196" s="60">
        <f>Ringkasan!Y150</f>
        <v>410</v>
      </c>
      <c r="Z196" s="60">
        <f>Ringkasan!Z150</f>
        <v>9533500</v>
      </c>
      <c r="AA196" s="60" t="str">
        <f>Ringkasan!AA150</f>
        <v>Building Products &amp; Fixtures</v>
      </c>
      <c r="AB196" s="60" t="str">
        <f>Ringkasan!AB150</f>
        <v>Industrials</v>
      </c>
    </row>
    <row r="197" hidden="1">
      <c r="A197" s="60" t="str">
        <f>Ringkasan!A161</f>
        <v>ASGR</v>
      </c>
      <c r="B197" s="60" t="str">
        <f>Ringkasan!B161</f>
        <v>Astra Graphia Tbk.</v>
      </c>
      <c r="C197" s="61">
        <f>Ringkasan!C161</f>
        <v>1490</v>
      </c>
      <c r="D197" s="60" t="str">
        <f>Ringkasan!D161</f>
        <v>#N/A</v>
      </c>
      <c r="E197" s="60" t="str">
        <f>Ringkasan!E161</f>
        <v/>
      </c>
      <c r="F197" s="60" t="str">
        <f>Ringkasan!F161</f>
        <v/>
      </c>
      <c r="G197" s="61">
        <f>Ringkasan!G161</f>
        <v>0</v>
      </c>
      <c r="H197" s="62">
        <f>Ringkasan!H161</f>
        <v>6.7</v>
      </c>
      <c r="I197" s="62">
        <f>Ringkasan!I161</f>
        <v>0.91</v>
      </c>
      <c r="J197" s="62">
        <f>Ringkasan!J161</f>
        <v>13.6</v>
      </c>
      <c r="K197" s="62">
        <f>Ringkasan!K161</f>
        <v>9.6</v>
      </c>
      <c r="L197" s="62">
        <f>Ringkasan!L161</f>
        <v>0.41</v>
      </c>
      <c r="M197" s="62">
        <f>Ringkasan!M161</f>
        <v>38.6</v>
      </c>
      <c r="N197" s="60" t="str">
        <f>Ringkasan!N161</f>
        <v/>
      </c>
      <c r="O197" s="60" t="str">
        <f>Ringkasan!O161</f>
        <v/>
      </c>
      <c r="P197" s="60" t="str">
        <f>Ringkasan!P161</f>
        <v/>
      </c>
      <c r="Q197" s="60" t="str">
        <f>Ringkasan!Q161</f>
        <v/>
      </c>
      <c r="R197" s="60" t="str">
        <f>Ringkasan!R161</f>
        <v/>
      </c>
      <c r="S197" s="60" t="str">
        <f>Ringkasan!S161</f>
        <v/>
      </c>
      <c r="T197" s="60" t="str">
        <f>Ringkasan!T161</f>
        <v/>
      </c>
      <c r="U197" s="60">
        <f>Ringkasan!U161</f>
        <v>1455</v>
      </c>
      <c r="V197" s="60">
        <f>Ringkasan!V161</f>
        <v>2.41</v>
      </c>
      <c r="W197" s="60">
        <f>Ringkasan!W161</f>
        <v>1455</v>
      </c>
      <c r="X197" s="60">
        <f>Ringkasan!X161</f>
        <v>1510</v>
      </c>
      <c r="Y197" s="60">
        <f>Ringkasan!Y161</f>
        <v>1455</v>
      </c>
      <c r="Z197" s="60">
        <f>Ringkasan!Z161</f>
        <v>709300</v>
      </c>
      <c r="AA197" s="60" t="str">
        <f>Ringkasan!AA161</f>
        <v>Commercial Services</v>
      </c>
      <c r="AB197" s="60" t="str">
        <f>Ringkasan!AB161</f>
        <v>Industrials</v>
      </c>
    </row>
    <row r="198">
      <c r="A198" s="60" t="str">
        <f>Ringkasan!A193</f>
        <v>AUTO</v>
      </c>
      <c r="B198" s="60" t="str">
        <f>Ringkasan!B193</f>
        <v>Astra Otoparts Tbk.</v>
      </c>
      <c r="C198" s="61">
        <f>Ringkasan!C193</f>
        <v>2400</v>
      </c>
      <c r="D198" s="60" t="str">
        <f>Ringkasan!D193</f>
        <v>#N/A</v>
      </c>
      <c r="E198" s="60" t="str">
        <f>Ringkasan!E193</f>
        <v>ESGQKEHATI</v>
      </c>
      <c r="F198" s="63">
        <f>Ringkasan!F193</f>
        <v>46356</v>
      </c>
      <c r="G198" s="61">
        <f>Ringkasan!G193</f>
        <v>3</v>
      </c>
      <c r="H198" s="62">
        <f>Ringkasan!H193</f>
        <v>5.4</v>
      </c>
      <c r="I198" s="62">
        <f>Ringkasan!I193</f>
        <v>0.7</v>
      </c>
      <c r="J198" s="62">
        <f>Ringkasan!J193</f>
        <v>12.9</v>
      </c>
      <c r="K198" s="62">
        <f>Ringkasan!K193</f>
        <v>9.6</v>
      </c>
      <c r="L198" s="62">
        <f>Ringkasan!L193</f>
        <v>0.35</v>
      </c>
      <c r="M198" s="62">
        <f>Ringkasan!M193</f>
        <v>43</v>
      </c>
      <c r="N198" s="60" t="str">
        <f>Ringkasan!N193</f>
        <v/>
      </c>
      <c r="O198" s="60" t="str">
        <f>Ringkasan!O193</f>
        <v/>
      </c>
      <c r="P198" s="60" t="str">
        <f>Ringkasan!P193</f>
        <v/>
      </c>
      <c r="Q198" s="60" t="str">
        <f>Ringkasan!Q193</f>
        <v/>
      </c>
      <c r="R198" s="60" t="str">
        <f>Ringkasan!R193</f>
        <v/>
      </c>
      <c r="S198" s="60" t="str">
        <f>Ringkasan!S193</f>
        <v/>
      </c>
      <c r="T198" s="60" t="str">
        <f>Ringkasan!T193</f>
        <v/>
      </c>
      <c r="U198" s="60">
        <f>Ringkasan!U193</f>
        <v>0.05</v>
      </c>
      <c r="V198" s="60">
        <f>Ringkasan!V193</f>
        <v>0</v>
      </c>
      <c r="W198" s="60" t="str">
        <f>Ringkasan!W193</f>
        <v/>
      </c>
      <c r="X198" s="60" t="str">
        <f>Ringkasan!X193</f>
        <v/>
      </c>
      <c r="Y198" s="60" t="str">
        <f>Ringkasan!Y193</f>
        <v/>
      </c>
      <c r="Z198" s="60">
        <f>Ringkasan!Z193</f>
        <v>0</v>
      </c>
      <c r="AA198" s="60" t="str">
        <f>Ringkasan!AA193</f>
        <v>Auto Components</v>
      </c>
      <c r="AB198" s="60" t="str">
        <f>Ringkasan!AB193</f>
        <v>Consumer Cyclicals</v>
      </c>
    </row>
    <row r="199">
      <c r="A199" s="60" t="str">
        <f>Ringkasan!A195</f>
        <v>AUTO</v>
      </c>
      <c r="B199" s="60" t="str">
        <f>Ringkasan!B195</f>
        <v>Astra Otoparts Tbk.</v>
      </c>
      <c r="C199" s="61">
        <f>Ringkasan!C195</f>
        <v>2400</v>
      </c>
      <c r="D199" s="60" t="str">
        <f>Ringkasan!D195</f>
        <v>#N/A</v>
      </c>
      <c r="E199" s="60" t="str">
        <f>Ringkasan!E195</f>
        <v>ESGSKEHATI</v>
      </c>
      <c r="F199" s="63">
        <f>Ringkasan!F195</f>
        <v>46356</v>
      </c>
      <c r="G199" s="61">
        <f>Ringkasan!G195</f>
        <v>3</v>
      </c>
      <c r="H199" s="62">
        <f>Ringkasan!H195</f>
        <v>5.4</v>
      </c>
      <c r="I199" s="62">
        <f>Ringkasan!I195</f>
        <v>0.7</v>
      </c>
      <c r="J199" s="62">
        <f>Ringkasan!J195</f>
        <v>12.9</v>
      </c>
      <c r="K199" s="62">
        <f>Ringkasan!K195</f>
        <v>9.6</v>
      </c>
      <c r="L199" s="62">
        <f>Ringkasan!L195</f>
        <v>0.35</v>
      </c>
      <c r="M199" s="62">
        <f>Ringkasan!M195</f>
        <v>43</v>
      </c>
      <c r="N199" s="60" t="str">
        <f>Ringkasan!N195</f>
        <v/>
      </c>
      <c r="O199" s="60" t="str">
        <f>Ringkasan!O195</f>
        <v/>
      </c>
      <c r="P199" s="60" t="str">
        <f>Ringkasan!P195</f>
        <v/>
      </c>
      <c r="Q199" s="60" t="str">
        <f>Ringkasan!Q195</f>
        <v/>
      </c>
      <c r="R199" s="60" t="str">
        <f>Ringkasan!R195</f>
        <v/>
      </c>
      <c r="S199" s="60" t="str">
        <f>Ringkasan!S195</f>
        <v/>
      </c>
      <c r="T199" s="60" t="str">
        <f>Ringkasan!T195</f>
        <v/>
      </c>
      <c r="U199" s="60">
        <f>Ringkasan!U195</f>
        <v>0.05</v>
      </c>
      <c r="V199" s="60">
        <f>Ringkasan!V195</f>
        <v>0</v>
      </c>
      <c r="W199" s="60" t="str">
        <f>Ringkasan!W195</f>
        <v/>
      </c>
      <c r="X199" s="60" t="str">
        <f>Ringkasan!X195</f>
        <v/>
      </c>
      <c r="Y199" s="60" t="str">
        <f>Ringkasan!Y195</f>
        <v/>
      </c>
      <c r="Z199" s="60">
        <f>Ringkasan!Z195</f>
        <v>0</v>
      </c>
      <c r="AA199" s="60" t="str">
        <f>Ringkasan!AA195</f>
        <v>Auto Components</v>
      </c>
      <c r="AB199" s="60" t="str">
        <f>Ringkasan!AB195</f>
        <v>Consumer Cyclicals</v>
      </c>
    </row>
    <row r="200">
      <c r="A200" s="60" t="str">
        <f>Ringkasan!A199</f>
        <v>AVIA</v>
      </c>
      <c r="B200" s="60" t="str">
        <f>Ringkasan!B199</f>
        <v>Avia Avian Tbk.</v>
      </c>
      <c r="C200" s="61">
        <f>Ringkasan!C199</f>
        <v>310</v>
      </c>
      <c r="D200" s="60" t="str">
        <f>Ringkasan!D199</f>
        <v>#N/A</v>
      </c>
      <c r="E200" s="60" t="str">
        <f>Ringkasan!E199</f>
        <v>FTSE Large Cap</v>
      </c>
      <c r="F200" s="60" t="str">
        <f>Ringkasan!F199</f>
        <v>Juni 2026</v>
      </c>
      <c r="G200" s="60">
        <f>Ringkasan!G199</f>
        <v>8</v>
      </c>
      <c r="H200" s="62">
        <f>Ringkasan!H199</f>
        <v>12</v>
      </c>
      <c r="I200" s="62">
        <f>Ringkasan!I199</f>
        <v>2.2</v>
      </c>
      <c r="J200" s="62">
        <f>Ringkasan!J199</f>
        <v>18.2</v>
      </c>
      <c r="K200" s="62">
        <f>Ringkasan!K199</f>
        <v>15.5</v>
      </c>
      <c r="L200" s="62">
        <f>Ringkasan!L199</f>
        <v>0.17</v>
      </c>
      <c r="M200" s="62">
        <f>Ringkasan!M199</f>
        <v>76.5</v>
      </c>
      <c r="N200" s="60" t="str">
        <f>Ringkasan!N199</f>
        <v/>
      </c>
      <c r="O200" s="60" t="str">
        <f>Ringkasan!O199</f>
        <v/>
      </c>
      <c r="P200" s="60" t="str">
        <f>Ringkasan!P199</f>
        <v/>
      </c>
      <c r="Q200" s="60" t="str">
        <f>Ringkasan!Q199</f>
        <v/>
      </c>
      <c r="R200" s="60" t="str">
        <f>Ringkasan!R199</f>
        <v/>
      </c>
      <c r="S200" s="60" t="str">
        <f>Ringkasan!S199</f>
        <v/>
      </c>
      <c r="T200" s="60" t="str">
        <f>Ringkasan!T199</f>
        <v/>
      </c>
      <c r="U200" s="60">
        <f>Ringkasan!U199</f>
        <v>312</v>
      </c>
      <c r="V200" s="60">
        <f>Ringkasan!V199</f>
        <v>-0.64</v>
      </c>
      <c r="W200" s="60">
        <f>Ringkasan!W199</f>
        <v>312</v>
      </c>
      <c r="X200" s="60">
        <f>Ringkasan!X199</f>
        <v>316</v>
      </c>
      <c r="Y200" s="60">
        <f>Ringkasan!Y199</f>
        <v>310</v>
      </c>
      <c r="Z200" s="60">
        <f>Ringkasan!Z199</f>
        <v>6393600</v>
      </c>
      <c r="AA200" s="60" t="str">
        <f>Ringkasan!AA199</f>
        <v>Chemicals</v>
      </c>
      <c r="AB200" s="60" t="str">
        <f>Ringkasan!AB199</f>
        <v>Basic Materials</v>
      </c>
    </row>
    <row r="201">
      <c r="A201" s="60" t="str">
        <f>Ringkasan!A200</f>
        <v>AVIA</v>
      </c>
      <c r="B201" s="60" t="str">
        <f>Ringkasan!B200</f>
        <v>Avia Avian Tbk.</v>
      </c>
      <c r="C201" s="61">
        <f>Ringkasan!C200</f>
        <v>310</v>
      </c>
      <c r="D201" s="60" t="str">
        <f>Ringkasan!D200</f>
        <v>#N/A</v>
      </c>
      <c r="E201" s="60" t="str">
        <f>Ringkasan!E200</f>
        <v>MSCI Small Cap</v>
      </c>
      <c r="F201" s="60" t="str">
        <f>Ringkasan!F200</f>
        <v>12 Agustus 2026</v>
      </c>
      <c r="G201" s="60">
        <f>Ringkasan!G200</f>
        <v>8</v>
      </c>
      <c r="H201" s="62">
        <f>Ringkasan!H200</f>
        <v>12</v>
      </c>
      <c r="I201" s="62">
        <f>Ringkasan!I200</f>
        <v>2.2</v>
      </c>
      <c r="J201" s="62">
        <f>Ringkasan!J200</f>
        <v>18.2</v>
      </c>
      <c r="K201" s="62">
        <f>Ringkasan!K200</f>
        <v>15.5</v>
      </c>
      <c r="L201" s="62">
        <f>Ringkasan!L200</f>
        <v>0.17</v>
      </c>
      <c r="M201" s="62">
        <f>Ringkasan!M200</f>
        <v>76.5</v>
      </c>
      <c r="N201" s="60" t="str">
        <f>Ringkasan!N200</f>
        <v/>
      </c>
      <c r="O201" s="60" t="str">
        <f>Ringkasan!O200</f>
        <v/>
      </c>
      <c r="P201" s="60" t="str">
        <f>Ringkasan!P200</f>
        <v/>
      </c>
      <c r="Q201" s="60" t="str">
        <f>Ringkasan!Q200</f>
        <v/>
      </c>
      <c r="R201" s="60" t="str">
        <f>Ringkasan!R200</f>
        <v/>
      </c>
      <c r="S201" s="60" t="str">
        <f>Ringkasan!S200</f>
        <v/>
      </c>
      <c r="T201" s="60" t="str">
        <f>Ringkasan!T200</f>
        <v/>
      </c>
      <c r="U201" s="60">
        <f>Ringkasan!U200</f>
        <v>312</v>
      </c>
      <c r="V201" s="60">
        <f>Ringkasan!V200</f>
        <v>-0.64</v>
      </c>
      <c r="W201" s="60">
        <f>Ringkasan!W200</f>
        <v>312</v>
      </c>
      <c r="X201" s="60">
        <f>Ringkasan!X200</f>
        <v>316</v>
      </c>
      <c r="Y201" s="60">
        <f>Ringkasan!Y200</f>
        <v>310</v>
      </c>
      <c r="Z201" s="60">
        <f>Ringkasan!Z200</f>
        <v>6393600</v>
      </c>
      <c r="AA201" s="60" t="str">
        <f>Ringkasan!AA200</f>
        <v>Chemicals</v>
      </c>
      <c r="AB201" s="60" t="str">
        <f>Ringkasan!AB200</f>
        <v>Basic Materials</v>
      </c>
    </row>
    <row r="202">
      <c r="A202" s="60" t="str">
        <f>Ringkasan!A201</f>
        <v>AVIA</v>
      </c>
      <c r="B202" s="60" t="str">
        <f>Ringkasan!B201</f>
        <v>Avia Avian Tbk.</v>
      </c>
      <c r="C202" s="61">
        <f>Ringkasan!C201</f>
        <v>310</v>
      </c>
      <c r="D202" s="60" t="str">
        <f>Ringkasan!D201</f>
        <v>#N/A</v>
      </c>
      <c r="E202" s="60" t="str">
        <f>Ringkasan!E201</f>
        <v>ESGSKEHATI</v>
      </c>
      <c r="F202" s="63">
        <f>Ringkasan!F201</f>
        <v>46356</v>
      </c>
      <c r="G202" s="60">
        <f>Ringkasan!G201</f>
        <v>8</v>
      </c>
      <c r="H202" s="62">
        <f>Ringkasan!H201</f>
        <v>12</v>
      </c>
      <c r="I202" s="62">
        <f>Ringkasan!I201</f>
        <v>2.2</v>
      </c>
      <c r="J202" s="62">
        <f>Ringkasan!J201</f>
        <v>18.2</v>
      </c>
      <c r="K202" s="62">
        <f>Ringkasan!K201</f>
        <v>15.5</v>
      </c>
      <c r="L202" s="62">
        <f>Ringkasan!L201</f>
        <v>0.17</v>
      </c>
      <c r="M202" s="62">
        <f>Ringkasan!M201</f>
        <v>76.5</v>
      </c>
      <c r="N202" s="60" t="str">
        <f>Ringkasan!N201</f>
        <v/>
      </c>
      <c r="O202" s="60" t="str">
        <f>Ringkasan!O201</f>
        <v/>
      </c>
      <c r="P202" s="60" t="str">
        <f>Ringkasan!P201</f>
        <v/>
      </c>
      <c r="Q202" s="60" t="str">
        <f>Ringkasan!Q201</f>
        <v/>
      </c>
      <c r="R202" s="60" t="str">
        <f>Ringkasan!R201</f>
        <v/>
      </c>
      <c r="S202" s="60" t="str">
        <f>Ringkasan!S201</f>
        <v/>
      </c>
      <c r="T202" s="60" t="str">
        <f>Ringkasan!T201</f>
        <v/>
      </c>
      <c r="U202" s="60">
        <f>Ringkasan!U201</f>
        <v>312</v>
      </c>
      <c r="V202" s="60">
        <f>Ringkasan!V201</f>
        <v>-0.64</v>
      </c>
      <c r="W202" s="60">
        <f>Ringkasan!W201</f>
        <v>312</v>
      </c>
      <c r="X202" s="60">
        <f>Ringkasan!X201</f>
        <v>316</v>
      </c>
      <c r="Y202" s="60">
        <f>Ringkasan!Y201</f>
        <v>310</v>
      </c>
      <c r="Z202" s="60">
        <f>Ringkasan!Z201</f>
        <v>6393600</v>
      </c>
      <c r="AA202" s="60" t="str">
        <f>Ringkasan!AA201</f>
        <v>Chemicals</v>
      </c>
      <c r="AB202" s="60" t="str">
        <f>Ringkasan!AB201</f>
        <v>Basic Materials</v>
      </c>
    </row>
    <row r="203">
      <c r="A203" s="60" t="str">
        <f>Ringkasan!A202</f>
        <v>AVIA</v>
      </c>
      <c r="B203" s="60" t="str">
        <f>Ringkasan!B202</f>
        <v>Avia Avian Tbk.</v>
      </c>
      <c r="C203" s="61">
        <f>Ringkasan!C202</f>
        <v>310</v>
      </c>
      <c r="D203" s="60" t="str">
        <f>Ringkasan!D202</f>
        <v>#N/A</v>
      </c>
      <c r="E203" s="60" t="str">
        <f>Ringkasan!E202</f>
        <v>SRI-KEHATI</v>
      </c>
      <c r="F203" s="63">
        <f>Ringkasan!F202</f>
        <v>46356</v>
      </c>
      <c r="G203" s="60">
        <f>Ringkasan!G202</f>
        <v>8</v>
      </c>
      <c r="H203" s="62">
        <f>Ringkasan!H202</f>
        <v>12</v>
      </c>
      <c r="I203" s="62">
        <f>Ringkasan!I202</f>
        <v>2.2</v>
      </c>
      <c r="J203" s="62">
        <f>Ringkasan!J202</f>
        <v>18.2</v>
      </c>
      <c r="K203" s="62">
        <f>Ringkasan!K202</f>
        <v>15.5</v>
      </c>
      <c r="L203" s="62">
        <f>Ringkasan!L202</f>
        <v>0.17</v>
      </c>
      <c r="M203" s="62">
        <f>Ringkasan!M202</f>
        <v>76.5</v>
      </c>
      <c r="N203" s="60" t="str">
        <f>Ringkasan!N202</f>
        <v/>
      </c>
      <c r="O203" s="60" t="str">
        <f>Ringkasan!O202</f>
        <v/>
      </c>
      <c r="P203" s="60" t="str">
        <f>Ringkasan!P202</f>
        <v/>
      </c>
      <c r="Q203" s="60" t="str">
        <f>Ringkasan!Q202</f>
        <v/>
      </c>
      <c r="R203" s="60" t="str">
        <f>Ringkasan!R202</f>
        <v/>
      </c>
      <c r="S203" s="60" t="str">
        <f>Ringkasan!S202</f>
        <v/>
      </c>
      <c r="T203" s="60" t="str">
        <f>Ringkasan!T202</f>
        <v/>
      </c>
      <c r="U203" s="60">
        <f>Ringkasan!U202</f>
        <v>312</v>
      </c>
      <c r="V203" s="60">
        <f>Ringkasan!V202</f>
        <v>-0.64</v>
      </c>
      <c r="W203" s="60">
        <f>Ringkasan!W202</f>
        <v>312</v>
      </c>
      <c r="X203" s="60">
        <f>Ringkasan!X202</f>
        <v>316</v>
      </c>
      <c r="Y203" s="60">
        <f>Ringkasan!Y202</f>
        <v>310</v>
      </c>
      <c r="Z203" s="60">
        <f>Ringkasan!Z202</f>
        <v>6393600</v>
      </c>
      <c r="AA203" s="60" t="str">
        <f>Ringkasan!AA202</f>
        <v>Chemicals</v>
      </c>
      <c r="AB203" s="60" t="str">
        <f>Ringkasan!AB202</f>
        <v>Basic Materials</v>
      </c>
    </row>
    <row r="204">
      <c r="A204" s="60" t="str">
        <f>Ringkasan!A203</f>
        <v>AVIA</v>
      </c>
      <c r="B204" s="60" t="str">
        <f>Ringkasan!B203</f>
        <v>Avia Avian Tbk.</v>
      </c>
      <c r="C204" s="61">
        <f>Ringkasan!C203</f>
        <v>310</v>
      </c>
      <c r="D204" s="60" t="str">
        <f>Ringkasan!D203</f>
        <v>#N/A</v>
      </c>
      <c r="E204" s="60" t="str">
        <f>Ringkasan!E203</f>
        <v>JII70</v>
      </c>
      <c r="F204" s="63">
        <f>Ringkasan!F203</f>
        <v>46356</v>
      </c>
      <c r="G204" s="60">
        <f>Ringkasan!G203</f>
        <v>8</v>
      </c>
      <c r="H204" s="62">
        <f>Ringkasan!H203</f>
        <v>12</v>
      </c>
      <c r="I204" s="62">
        <f>Ringkasan!I203</f>
        <v>2.2</v>
      </c>
      <c r="J204" s="62">
        <f>Ringkasan!J203</f>
        <v>18.2</v>
      </c>
      <c r="K204" s="62">
        <f>Ringkasan!K203</f>
        <v>15.5</v>
      </c>
      <c r="L204" s="62">
        <f>Ringkasan!L203</f>
        <v>0.17</v>
      </c>
      <c r="M204" s="62">
        <f>Ringkasan!M203</f>
        <v>76.5</v>
      </c>
      <c r="N204" s="60" t="str">
        <f>Ringkasan!N203</f>
        <v/>
      </c>
      <c r="O204" s="60" t="str">
        <f>Ringkasan!O203</f>
        <v/>
      </c>
      <c r="P204" s="60" t="str">
        <f>Ringkasan!P203</f>
        <v/>
      </c>
      <c r="Q204" s="60" t="str">
        <f>Ringkasan!Q203</f>
        <v/>
      </c>
      <c r="R204" s="60" t="str">
        <f>Ringkasan!R203</f>
        <v/>
      </c>
      <c r="S204" s="60" t="str">
        <f>Ringkasan!S203</f>
        <v/>
      </c>
      <c r="T204" s="60" t="str">
        <f>Ringkasan!T203</f>
        <v/>
      </c>
      <c r="U204" s="60">
        <f>Ringkasan!U203</f>
        <v>312</v>
      </c>
      <c r="V204" s="60">
        <f>Ringkasan!V203</f>
        <v>-0.64</v>
      </c>
      <c r="W204" s="60">
        <f>Ringkasan!W203</f>
        <v>312</v>
      </c>
      <c r="X204" s="60">
        <f>Ringkasan!X203</f>
        <v>316</v>
      </c>
      <c r="Y204" s="60">
        <f>Ringkasan!Y203</f>
        <v>310</v>
      </c>
      <c r="Z204" s="60">
        <f>Ringkasan!Z203</f>
        <v>6393600</v>
      </c>
      <c r="AA204" s="60" t="str">
        <f>Ringkasan!AA203</f>
        <v>Chemicals</v>
      </c>
      <c r="AB204" s="60" t="str">
        <f>Ringkasan!AB203</f>
        <v>Basic Materials</v>
      </c>
    </row>
    <row r="205" hidden="1">
      <c r="A205" s="64" t="str">
        <f>Ringkasan!A901</f>
        <v>INDY</v>
      </c>
      <c r="B205" s="64" t="str">
        <f>Ringkasan!B901</f>
        <v>Indika Energy Tbk.</v>
      </c>
      <c r="C205" s="65">
        <f>Ringkasan!C901</f>
        <v>2260</v>
      </c>
      <c r="D205" s="64" t="str">
        <f>Ringkasan!D901</f>
        <v>#N/A</v>
      </c>
      <c r="E205" s="64" t="str">
        <f>Ringkasan!E901</f>
        <v>IDX80</v>
      </c>
      <c r="F205" s="64" t="str">
        <f>Ringkasan!F901</f>
        <v>31 Juli 2026</v>
      </c>
      <c r="G205" s="64">
        <f>Ringkasan!G901</f>
        <v>4</v>
      </c>
      <c r="H205" s="19">
        <f>Ringkasan!H901</f>
        <v>68.9</v>
      </c>
      <c r="I205" s="19">
        <f>Ringkasan!I901</f>
        <v>0.52</v>
      </c>
      <c r="J205" s="19">
        <f>Ringkasan!J901</f>
        <v>0.75</v>
      </c>
      <c r="K205" s="19">
        <f>Ringkasan!K901</f>
        <v>0.34</v>
      </c>
      <c r="L205" s="19">
        <f>Ringkasan!L901</f>
        <v>1.2</v>
      </c>
      <c r="M205" s="19">
        <f>Ringkasan!M901</f>
        <v>2.1</v>
      </c>
      <c r="N205" s="64" t="str">
        <f>Ringkasan!N901</f>
        <v/>
      </c>
      <c r="O205" s="64" t="str">
        <f>Ringkasan!O901</f>
        <v/>
      </c>
      <c r="P205" s="64" t="str">
        <f>Ringkasan!P901</f>
        <v/>
      </c>
      <c r="Q205" s="64" t="str">
        <f>Ringkasan!Q901</f>
        <v/>
      </c>
      <c r="R205" s="64" t="str">
        <f>Ringkasan!R901</f>
        <v/>
      </c>
      <c r="S205" s="64" t="str">
        <f>Ringkasan!S901</f>
        <v/>
      </c>
      <c r="T205" s="64" t="str">
        <f>Ringkasan!T901</f>
        <v/>
      </c>
      <c r="U205" s="64">
        <f>Ringkasan!U901</f>
        <v>42.23</v>
      </c>
      <c r="V205" s="64">
        <f>Ringkasan!V901</f>
        <v>1.11</v>
      </c>
      <c r="W205" s="64">
        <f>Ringkasan!W901</f>
        <v>42.69</v>
      </c>
      <c r="X205" s="64">
        <f>Ringkasan!X901</f>
        <v>42.9</v>
      </c>
      <c r="Y205" s="64">
        <f>Ringkasan!Y901</f>
        <v>42.58</v>
      </c>
      <c r="Z205" s="64">
        <f>Ringkasan!Z901</f>
        <v>229335</v>
      </c>
      <c r="AA205" s="64" t="str">
        <f>Ringkasan!AA901</f>
        <v>Coal</v>
      </c>
      <c r="AB205" s="64" t="str">
        <f>Ringkasan!AB901</f>
        <v>Energy</v>
      </c>
    </row>
    <row r="206" hidden="1">
      <c r="A206" s="64" t="str">
        <f>Ringkasan!A205</f>
        <v>AXIO</v>
      </c>
      <c r="B206" s="64" t="str">
        <f>Ringkasan!B205</f>
        <v>Tera Data Indonusa Tbk.</v>
      </c>
      <c r="C206" s="65">
        <f>Ringkasan!C205</f>
        <v>105</v>
      </c>
      <c r="D206" s="64" t="str">
        <f>Ringkasan!D205</f>
        <v>#N/A</v>
      </c>
      <c r="E206" s="64" t="str">
        <f>Ringkasan!E205</f>
        <v/>
      </c>
      <c r="F206" s="64" t="str">
        <f>Ringkasan!F205</f>
        <v/>
      </c>
      <c r="G206" s="64">
        <f>Ringkasan!G205</f>
        <v>0</v>
      </c>
      <c r="H206" s="19">
        <f>Ringkasan!H205</f>
        <v>9.3</v>
      </c>
      <c r="I206" s="19">
        <f>Ringkasan!I205</f>
        <v>1.2</v>
      </c>
      <c r="J206" s="19">
        <f>Ringkasan!J205</f>
        <v>12.8</v>
      </c>
      <c r="K206" s="19">
        <f>Ringkasan!K205</f>
        <v>5.3</v>
      </c>
      <c r="L206" s="19">
        <f>Ringkasan!L205</f>
        <v>1.4</v>
      </c>
      <c r="M206" s="19">
        <f>Ringkasan!M205</f>
        <v>19.8</v>
      </c>
      <c r="N206" s="64" t="str">
        <f>Ringkasan!N205</f>
        <v/>
      </c>
      <c r="O206" s="64" t="str">
        <f>Ringkasan!O205</f>
        <v/>
      </c>
      <c r="P206" s="64" t="str">
        <f>Ringkasan!P205</f>
        <v/>
      </c>
      <c r="Q206" s="64" t="str">
        <f>Ringkasan!Q205</f>
        <v/>
      </c>
      <c r="R206" s="64" t="str">
        <f>Ringkasan!R205</f>
        <v/>
      </c>
      <c r="S206" s="64" t="str">
        <f>Ringkasan!S205</f>
        <v/>
      </c>
      <c r="T206" s="64" t="str">
        <f>Ringkasan!T205</f>
        <v/>
      </c>
      <c r="U206" s="64">
        <f>Ringkasan!U205</f>
        <v>102</v>
      </c>
      <c r="V206" s="64">
        <f>Ringkasan!V205</f>
        <v>2.94</v>
      </c>
      <c r="W206" s="64">
        <f>Ringkasan!W205</f>
        <v>103</v>
      </c>
      <c r="X206" s="64">
        <f>Ringkasan!X205</f>
        <v>106</v>
      </c>
      <c r="Y206" s="64">
        <f>Ringkasan!Y205</f>
        <v>103</v>
      </c>
      <c r="Z206" s="64">
        <f>Ringkasan!Z205</f>
        <v>269400</v>
      </c>
      <c r="AA206" s="64" t="str">
        <f>Ringkasan!AA205</f>
        <v>Computer Hardware</v>
      </c>
      <c r="AB206" s="64" t="str">
        <f>Ringkasan!AB205</f>
        <v>Technology</v>
      </c>
    </row>
    <row r="207" hidden="1">
      <c r="A207" s="64" t="str">
        <f>Ringkasan!A206</f>
        <v>AYAM</v>
      </c>
      <c r="B207" s="64" t="str">
        <f>Ringkasan!B206</f>
        <v>Janu Putra Sejahtera Tbk.</v>
      </c>
      <c r="C207" s="65">
        <f>Ringkasan!C206</f>
        <v>332</v>
      </c>
      <c r="D207" s="64" t="str">
        <f>Ringkasan!D206</f>
        <v>#N/A</v>
      </c>
      <c r="E207" s="64" t="str">
        <f>Ringkasan!E206</f>
        <v/>
      </c>
      <c r="F207" s="64" t="str">
        <f>Ringkasan!F206</f>
        <v/>
      </c>
      <c r="G207" s="64">
        <f>Ringkasan!G206</f>
        <v>0</v>
      </c>
      <c r="H207" s="19">
        <f>Ringkasan!H206</f>
        <v>640</v>
      </c>
      <c r="I207" s="19">
        <f>Ringkasan!I206</f>
        <v>5.8</v>
      </c>
      <c r="J207" s="19">
        <f>Ringkasan!J206</f>
        <v>0.9</v>
      </c>
      <c r="K207" s="19">
        <f>Ringkasan!K206</f>
        <v>0.37</v>
      </c>
      <c r="L207" s="19">
        <f>Ringkasan!L206</f>
        <v>1.4</v>
      </c>
      <c r="M207" s="19">
        <f>Ringkasan!M206</f>
        <v>3.4</v>
      </c>
      <c r="N207" s="64" t="str">
        <f>Ringkasan!N206</f>
        <v/>
      </c>
      <c r="O207" s="64" t="str">
        <f>Ringkasan!O206</f>
        <v/>
      </c>
      <c r="P207" s="64" t="str">
        <f>Ringkasan!P206</f>
        <v/>
      </c>
      <c r="Q207" s="64" t="str">
        <f>Ringkasan!Q206</f>
        <v/>
      </c>
      <c r="R207" s="64" t="str">
        <f>Ringkasan!R206</f>
        <v/>
      </c>
      <c r="S207" s="64" t="str">
        <f>Ringkasan!S206</f>
        <v/>
      </c>
      <c r="T207" s="64" t="str">
        <f>Ringkasan!T206</f>
        <v/>
      </c>
      <c r="U207" s="64">
        <f>Ringkasan!U206</f>
        <v>332</v>
      </c>
      <c r="V207" s="64">
        <f>Ringkasan!V206</f>
        <v>0</v>
      </c>
      <c r="W207" s="64">
        <f>Ringkasan!W206</f>
        <v>332</v>
      </c>
      <c r="X207" s="64">
        <f>Ringkasan!X206</f>
        <v>340</v>
      </c>
      <c r="Y207" s="64">
        <f>Ringkasan!Y206</f>
        <v>328</v>
      </c>
      <c r="Z207" s="64">
        <f>Ringkasan!Z206</f>
        <v>36803700</v>
      </c>
      <c r="AA207" s="64" t="str">
        <f>Ringkasan!AA206</f>
        <v>Agricultural Products</v>
      </c>
      <c r="AB207" s="64" t="str">
        <f>Ringkasan!AB206</f>
        <v>Consumer Non-Cyclicals</v>
      </c>
    </row>
    <row r="208" hidden="1">
      <c r="A208" s="64" t="str">
        <f>Ringkasan!A207</f>
        <v>AYLS</v>
      </c>
      <c r="B208" s="64" t="str">
        <f>Ringkasan!B207</f>
        <v>Arkayana Lestari Grup Tbk.</v>
      </c>
      <c r="C208" s="65">
        <f>Ringkasan!C207</f>
        <v>132</v>
      </c>
      <c r="D208" s="64" t="str">
        <f>Ringkasan!D207</f>
        <v>#N/A</v>
      </c>
      <c r="E208" s="64" t="str">
        <f>Ringkasan!E207</f>
        <v/>
      </c>
      <c r="F208" s="64" t="str">
        <f>Ringkasan!F207</f>
        <v/>
      </c>
      <c r="G208" s="64">
        <f>Ringkasan!G207</f>
        <v>0</v>
      </c>
      <c r="H208" s="19">
        <f>Ringkasan!H207</f>
        <v>-15</v>
      </c>
      <c r="I208" s="19">
        <f>Ringkasan!I207</f>
        <v>3.6</v>
      </c>
      <c r="J208" s="19">
        <f>Ringkasan!J207</f>
        <v>-24.3</v>
      </c>
      <c r="K208" s="19">
        <f>Ringkasan!K207</f>
        <v>-24</v>
      </c>
      <c r="L208" s="19">
        <f>Ringkasan!L207</f>
        <v>0.01</v>
      </c>
      <c r="M208" s="19">
        <f>Ringkasan!M207</f>
        <v>-2540</v>
      </c>
      <c r="N208" s="64" t="str">
        <f>Ringkasan!N207</f>
        <v/>
      </c>
      <c r="O208" s="64" t="str">
        <f>Ringkasan!O207</f>
        <v/>
      </c>
      <c r="P208" s="64" t="str">
        <f>Ringkasan!P207</f>
        <v/>
      </c>
      <c r="Q208" s="64" t="str">
        <f>Ringkasan!Q207</f>
        <v/>
      </c>
      <c r="R208" s="64" t="str">
        <f>Ringkasan!R207</f>
        <v/>
      </c>
      <c r="S208" s="64" t="str">
        <f>Ringkasan!S207</f>
        <v/>
      </c>
      <c r="T208" s="64" t="str">
        <f>Ringkasan!T207</f>
        <v/>
      </c>
      <c r="U208" s="64">
        <f>Ringkasan!U207</f>
        <v>127</v>
      </c>
      <c r="V208" s="64">
        <f>Ringkasan!V207</f>
        <v>3.94</v>
      </c>
      <c r="W208" s="64">
        <f>Ringkasan!W207</f>
        <v>127</v>
      </c>
      <c r="X208" s="64">
        <f>Ringkasan!X207</f>
        <v>133</v>
      </c>
      <c r="Y208" s="64">
        <f>Ringkasan!Y207</f>
        <v>125</v>
      </c>
      <c r="Z208" s="64">
        <f>Ringkasan!Z207</f>
        <v>1561100</v>
      </c>
      <c r="AA208" s="64" t="str">
        <f>Ringkasan!AA207</f>
        <v>Construction Materials</v>
      </c>
      <c r="AB208" s="64" t="str">
        <f>Ringkasan!AB207</f>
        <v>Basic Materials</v>
      </c>
    </row>
    <row r="209" hidden="1">
      <c r="A209" s="64" t="str">
        <f>Ringkasan!A208</f>
        <v>BABP</v>
      </c>
      <c r="B209" s="64" t="str">
        <f>Ringkasan!B208</f>
        <v>PT Bank MNC Internasional Tbk.</v>
      </c>
      <c r="C209" s="65">
        <f>Ringkasan!C208</f>
        <v>50</v>
      </c>
      <c r="D209" s="64" t="str">
        <f>Ringkasan!D208</f>
        <v>#N/A</v>
      </c>
      <c r="E209" s="64" t="str">
        <f>Ringkasan!E208</f>
        <v/>
      </c>
      <c r="F209" s="64" t="str">
        <f>Ringkasan!F208</f>
        <v/>
      </c>
      <c r="G209" s="64">
        <f>Ringkasan!G208</f>
        <v>0</v>
      </c>
      <c r="H209" s="19">
        <f>Ringkasan!H208</f>
        <v>27.7</v>
      </c>
      <c r="I209" s="19">
        <f>Ringkasan!I208</f>
        <v>0.59</v>
      </c>
      <c r="J209" s="19">
        <f>Ringkasan!J208</f>
        <v>2.1</v>
      </c>
      <c r="K209" s="19">
        <f>Ringkasan!K208</f>
        <v>0.38</v>
      </c>
      <c r="L209" s="19">
        <f>Ringkasan!L208</f>
        <v>4.7</v>
      </c>
      <c r="M209" s="19">
        <f>Ringkasan!M208</f>
        <v>20.4</v>
      </c>
      <c r="N209" s="64">
        <f>Ringkasan!N208</f>
        <v>3.15</v>
      </c>
      <c r="O209" s="64">
        <f>Ringkasan!O208</f>
        <v>24.66</v>
      </c>
      <c r="P209" s="64">
        <f>Ringkasan!P208</f>
        <v>78.71</v>
      </c>
      <c r="Q209" s="64">
        <f>Ringkasan!Q208</f>
        <v>2.99</v>
      </c>
      <c r="R209" s="64">
        <f>Ringkasan!R208</f>
        <v>94.63</v>
      </c>
      <c r="S209" s="64">
        <f>Ringkasan!S208</f>
        <v>77.62</v>
      </c>
      <c r="T209" s="64">
        <f>Ringkasan!T208</f>
        <v>6.85</v>
      </c>
      <c r="U209" s="64">
        <f>Ringkasan!U208</f>
        <v>50</v>
      </c>
      <c r="V209" s="64">
        <f>Ringkasan!V208</f>
        <v>0</v>
      </c>
      <c r="W209" s="64">
        <f>Ringkasan!W208</f>
        <v>50</v>
      </c>
      <c r="X209" s="64">
        <f>Ringkasan!X208</f>
        <v>50</v>
      </c>
      <c r="Y209" s="64">
        <f>Ringkasan!Y208</f>
        <v>50</v>
      </c>
      <c r="Z209" s="64" t="str">
        <f>Ringkasan!Z208</f>
        <v/>
      </c>
      <c r="AA209" s="64" t="str">
        <f>Ringkasan!AA208</f>
        <v>Banks</v>
      </c>
      <c r="AB209" s="64" t="str">
        <f>Ringkasan!AB208</f>
        <v>Financials</v>
      </c>
    </row>
    <row r="210" hidden="1">
      <c r="A210" s="64" t="str">
        <f>Ringkasan!A209</f>
        <v>BABY</v>
      </c>
      <c r="B210" s="64" t="str">
        <f>Ringkasan!B209</f>
        <v>PT Multitrend Indo Tbk.</v>
      </c>
      <c r="C210" s="65">
        <f>Ringkasan!C209</f>
        <v>200</v>
      </c>
      <c r="D210" s="64" t="str">
        <f>Ringkasan!D209</f>
        <v>#N/A</v>
      </c>
      <c r="E210" s="64" t="str">
        <f>Ringkasan!E209</f>
        <v/>
      </c>
      <c r="F210" s="64" t="str">
        <f>Ringkasan!F209</f>
        <v/>
      </c>
      <c r="G210" s="64">
        <f>Ringkasan!G209</f>
        <v>0</v>
      </c>
      <c r="H210" s="19">
        <f>Ringkasan!H209</f>
        <v>60</v>
      </c>
      <c r="I210" s="19">
        <f>Ringkasan!I209</f>
        <v>0.97</v>
      </c>
      <c r="J210" s="19">
        <f>Ringkasan!J209</f>
        <v>1.6</v>
      </c>
      <c r="K210" s="19">
        <f>Ringkasan!K209</f>
        <v>1</v>
      </c>
      <c r="L210" s="19">
        <f>Ringkasan!L209</f>
        <v>0.59</v>
      </c>
      <c r="M210" s="19">
        <f>Ringkasan!M209</f>
        <v>2.4</v>
      </c>
      <c r="N210" s="64" t="str">
        <f>Ringkasan!N209</f>
        <v/>
      </c>
      <c r="O210" s="64" t="str">
        <f>Ringkasan!O209</f>
        <v/>
      </c>
      <c r="P210" s="64" t="str">
        <f>Ringkasan!P209</f>
        <v/>
      </c>
      <c r="Q210" s="64" t="str">
        <f>Ringkasan!Q209</f>
        <v/>
      </c>
      <c r="R210" s="64" t="str">
        <f>Ringkasan!R209</f>
        <v/>
      </c>
      <c r="S210" s="64" t="str">
        <f>Ringkasan!S209</f>
        <v/>
      </c>
      <c r="T210" s="64" t="str">
        <f>Ringkasan!T209</f>
        <v/>
      </c>
      <c r="U210" s="64">
        <f>Ringkasan!U209</f>
        <v>0.03</v>
      </c>
      <c r="V210" s="64">
        <f>Ringkasan!V209</f>
        <v>0</v>
      </c>
      <c r="W210" s="64" t="str">
        <f>Ringkasan!W209</f>
        <v/>
      </c>
      <c r="X210" s="64" t="str">
        <f>Ringkasan!X209</f>
        <v/>
      </c>
      <c r="Y210" s="64" t="str">
        <f>Ringkasan!Y209</f>
        <v/>
      </c>
      <c r="Z210" s="64">
        <f>Ringkasan!Z209</f>
        <v>0</v>
      </c>
      <c r="AA210" s="64" t="str">
        <f>Ringkasan!AA209</f>
        <v>Specialty Retail</v>
      </c>
      <c r="AB210" s="64" t="str">
        <f>Ringkasan!AB209</f>
        <v>Consumer Cyclicals</v>
      </c>
    </row>
    <row r="211" hidden="1">
      <c r="A211" s="64" t="str">
        <f>Ringkasan!A210</f>
        <v>BACA</v>
      </c>
      <c r="B211" s="64" t="str">
        <f>Ringkasan!B210</f>
        <v>PT Bank Capital Indonesia Tbk</v>
      </c>
      <c r="C211" s="65">
        <f>Ringkasan!C210</f>
        <v>110</v>
      </c>
      <c r="D211" s="64" t="str">
        <f>Ringkasan!D210</f>
        <v>#N/A</v>
      </c>
      <c r="E211" s="64" t="str">
        <f>Ringkasan!E210</f>
        <v/>
      </c>
      <c r="F211" s="64" t="str">
        <f>Ringkasan!F210</f>
        <v/>
      </c>
      <c r="G211" s="64">
        <f>Ringkasan!G210</f>
        <v>0</v>
      </c>
      <c r="H211" s="19">
        <f>Ringkasan!H210</f>
        <v>18.5</v>
      </c>
      <c r="I211" s="19">
        <f>Ringkasan!I210</f>
        <v>0.36</v>
      </c>
      <c r="J211" s="19">
        <f>Ringkasan!J210</f>
        <v>1.9</v>
      </c>
      <c r="K211" s="19">
        <f>Ringkasan!K210</f>
        <v>0.5</v>
      </c>
      <c r="L211" s="19">
        <f>Ringkasan!L210</f>
        <v>2.9</v>
      </c>
      <c r="M211" s="19">
        <f>Ringkasan!M210</f>
        <v>29.7</v>
      </c>
      <c r="N211" s="64">
        <f>Ringkasan!N210</f>
        <v>0.56</v>
      </c>
      <c r="O211" s="64">
        <f>Ringkasan!O210</f>
        <v>36.41</v>
      </c>
      <c r="P211" s="64">
        <f>Ringkasan!P210</f>
        <v>59.96</v>
      </c>
      <c r="Q211" s="64">
        <f>Ringkasan!Q210</f>
        <v>0.08</v>
      </c>
      <c r="R211" s="64">
        <f>Ringkasan!R210</f>
        <v>97.41</v>
      </c>
      <c r="S211" s="64" t="str">
        <f>Ringkasan!S210</f>
        <v/>
      </c>
      <c r="T211" s="64" t="str">
        <f>Ringkasan!T210</f>
        <v/>
      </c>
      <c r="U211" s="64">
        <f>Ringkasan!U210</f>
        <v>106</v>
      </c>
      <c r="V211" s="64">
        <f>Ringkasan!V210</f>
        <v>3.77</v>
      </c>
      <c r="W211" s="64">
        <f>Ringkasan!W210</f>
        <v>106</v>
      </c>
      <c r="X211" s="64">
        <f>Ringkasan!X210</f>
        <v>112</v>
      </c>
      <c r="Y211" s="64">
        <f>Ringkasan!Y210</f>
        <v>102</v>
      </c>
      <c r="Z211" s="64">
        <f>Ringkasan!Z210</f>
        <v>1952000</v>
      </c>
      <c r="AA211" s="64" t="str">
        <f>Ringkasan!AA210</f>
        <v>Banks</v>
      </c>
      <c r="AB211" s="64" t="str">
        <f>Ringkasan!AB210</f>
        <v>Financials</v>
      </c>
    </row>
    <row r="212" hidden="1">
      <c r="A212" s="64" t="str">
        <f>Ringkasan!A211</f>
        <v>BAIK</v>
      </c>
      <c r="B212" s="64" t="str">
        <f>Ringkasan!B211</f>
        <v>Bersama Mencapai Puncak Tbk.</v>
      </c>
      <c r="C212" s="65">
        <f>Ringkasan!C211</f>
        <v>680</v>
      </c>
      <c r="D212" s="64" t="str">
        <f>Ringkasan!D211</f>
        <v>#N/A</v>
      </c>
      <c r="E212" s="64" t="str">
        <f>Ringkasan!E211</f>
        <v/>
      </c>
      <c r="F212" s="64" t="str">
        <f>Ringkasan!F211</f>
        <v/>
      </c>
      <c r="G212" s="64">
        <f>Ringkasan!G211</f>
        <v>0</v>
      </c>
      <c r="H212" s="19">
        <f>Ringkasan!H211</f>
        <v>110</v>
      </c>
      <c r="I212" s="19">
        <f>Ringkasan!I211</f>
        <v>4.4</v>
      </c>
      <c r="J212" s="19">
        <f>Ringkasan!J211</f>
        <v>3.9</v>
      </c>
      <c r="K212" s="19">
        <f>Ringkasan!K211</f>
        <v>3.5</v>
      </c>
      <c r="L212" s="19">
        <f>Ringkasan!L211</f>
        <v>0.09</v>
      </c>
      <c r="M212" s="19">
        <f>Ringkasan!M211</f>
        <v>9.4</v>
      </c>
      <c r="N212" s="64" t="str">
        <f>Ringkasan!N211</f>
        <v/>
      </c>
      <c r="O212" s="64" t="str">
        <f>Ringkasan!O211</f>
        <v/>
      </c>
      <c r="P212" s="64" t="str">
        <f>Ringkasan!P211</f>
        <v/>
      </c>
      <c r="Q212" s="64" t="str">
        <f>Ringkasan!Q211</f>
        <v/>
      </c>
      <c r="R212" s="64" t="str">
        <f>Ringkasan!R211</f>
        <v/>
      </c>
      <c r="S212" s="64" t="str">
        <f>Ringkasan!S211</f>
        <v/>
      </c>
      <c r="T212" s="64" t="str">
        <f>Ringkasan!T211</f>
        <v/>
      </c>
      <c r="U212" s="64">
        <f>Ringkasan!U211</f>
        <v>575</v>
      </c>
      <c r="V212" s="64">
        <f>Ringkasan!V211</f>
        <v>18.26</v>
      </c>
      <c r="W212" s="64">
        <f>Ringkasan!W211</f>
        <v>575</v>
      </c>
      <c r="X212" s="64">
        <f>Ringkasan!X211</f>
        <v>690</v>
      </c>
      <c r="Y212" s="64">
        <f>Ringkasan!Y211</f>
        <v>565</v>
      </c>
      <c r="Z212" s="64">
        <f>Ringkasan!Z211</f>
        <v>25364500</v>
      </c>
      <c r="AA212" s="64" t="str">
        <f>Ringkasan!AA211</f>
        <v>Tourism &amp; Recreation</v>
      </c>
      <c r="AB212" s="64" t="str">
        <f>Ringkasan!AB211</f>
        <v>Consumer Cyclicals</v>
      </c>
    </row>
    <row r="213">
      <c r="A213" s="60" t="str">
        <f>Ringkasan!A198</f>
        <v>AVIA</v>
      </c>
      <c r="B213" s="60" t="str">
        <f>Ringkasan!B198</f>
        <v>Avia Avian Tbk.</v>
      </c>
      <c r="C213" s="61">
        <f>Ringkasan!C198</f>
        <v>310</v>
      </c>
      <c r="D213" s="60" t="str">
        <f>Ringkasan!D198</f>
        <v>#N/A</v>
      </c>
      <c r="E213" s="60" t="str">
        <f>Ringkasan!E198</f>
        <v>IDXSMC-LIQ</v>
      </c>
      <c r="F213" s="60" t="str">
        <f>Ringkasan!F198</f>
        <v>4 Agustus 2026</v>
      </c>
      <c r="G213" s="60">
        <f>Ringkasan!G198</f>
        <v>8</v>
      </c>
      <c r="H213" s="62">
        <f>Ringkasan!H198</f>
        <v>12</v>
      </c>
      <c r="I213" s="62">
        <f>Ringkasan!I198</f>
        <v>2.2</v>
      </c>
      <c r="J213" s="62">
        <f>Ringkasan!J198</f>
        <v>18.2</v>
      </c>
      <c r="K213" s="62">
        <f>Ringkasan!K198</f>
        <v>15.5</v>
      </c>
      <c r="L213" s="62">
        <f>Ringkasan!L198</f>
        <v>0.17</v>
      </c>
      <c r="M213" s="62">
        <f>Ringkasan!M198</f>
        <v>76.5</v>
      </c>
      <c r="N213" s="62" t="str">
        <f>Ringkasan!N198</f>
        <v/>
      </c>
      <c r="O213" s="62" t="str">
        <f>Ringkasan!O198</f>
        <v/>
      </c>
      <c r="P213" s="62" t="str">
        <f>Ringkasan!P198</f>
        <v/>
      </c>
      <c r="Q213" s="62" t="str">
        <f>Ringkasan!Q198</f>
        <v/>
      </c>
      <c r="R213" s="62" t="str">
        <f>Ringkasan!R198</f>
        <v/>
      </c>
      <c r="S213" s="62" t="str">
        <f>Ringkasan!S198</f>
        <v/>
      </c>
      <c r="T213" s="62" t="str">
        <f>Ringkasan!T198</f>
        <v/>
      </c>
      <c r="U213" s="60">
        <f>Ringkasan!U198</f>
        <v>312</v>
      </c>
      <c r="V213" s="60">
        <f>Ringkasan!V198</f>
        <v>-0.64</v>
      </c>
      <c r="W213" s="60">
        <f>Ringkasan!W198</f>
        <v>312</v>
      </c>
      <c r="X213" s="60">
        <f>Ringkasan!X198</f>
        <v>316</v>
      </c>
      <c r="Y213" s="60">
        <f>Ringkasan!Y198</f>
        <v>310</v>
      </c>
      <c r="Z213" s="60">
        <f>Ringkasan!Z198</f>
        <v>6393600</v>
      </c>
      <c r="AA213" s="60" t="str">
        <f>Ringkasan!AA198</f>
        <v>Chemicals</v>
      </c>
      <c r="AB213" s="60" t="str">
        <f>Ringkasan!AB198</f>
        <v>Basic Materials</v>
      </c>
    </row>
    <row r="214" hidden="1">
      <c r="A214" s="60" t="str">
        <f>Ringkasan!A1049</f>
        <v>KLAS</v>
      </c>
      <c r="B214" s="60" t="str">
        <f>Ringkasan!B1049</f>
        <v>PT Pelayaran Kurnia Lautan Semesta Tbk</v>
      </c>
      <c r="C214" s="61">
        <f>Ringkasan!C1049</f>
        <v>68</v>
      </c>
      <c r="D214" s="60" t="str">
        <f>Ringkasan!D1049</f>
        <v>#N/A</v>
      </c>
      <c r="E214" s="60" t="str">
        <f>Ringkasan!E1049</f>
        <v/>
      </c>
      <c r="F214" s="60" t="str">
        <f>Ringkasan!F1049</f>
        <v/>
      </c>
      <c r="G214" s="61">
        <f>Ringkasan!G1049</f>
        <v>0</v>
      </c>
      <c r="H214" s="62">
        <f>Ringkasan!H1049</f>
        <v>12.4</v>
      </c>
      <c r="I214" s="62">
        <f>Ringkasan!I1049</f>
        <v>0.96</v>
      </c>
      <c r="J214" s="62">
        <f>Ringkasan!J1049</f>
        <v>7.7</v>
      </c>
      <c r="K214" s="62">
        <f>Ringkasan!K1049</f>
        <v>4.6</v>
      </c>
      <c r="L214" s="62">
        <f>Ringkasan!L1049</f>
        <v>0.7</v>
      </c>
      <c r="M214" s="62">
        <f>Ringkasan!M1049</f>
        <v>46.7</v>
      </c>
      <c r="N214" s="60" t="str">
        <f>Ringkasan!N1049</f>
        <v/>
      </c>
      <c r="O214" s="60" t="str">
        <f>Ringkasan!O1049</f>
        <v/>
      </c>
      <c r="P214" s="60" t="str">
        <f>Ringkasan!P1049</f>
        <v/>
      </c>
      <c r="Q214" s="60" t="str">
        <f>Ringkasan!Q1049</f>
        <v/>
      </c>
      <c r="R214" s="60" t="str">
        <f>Ringkasan!R1049</f>
        <v/>
      </c>
      <c r="S214" s="60" t="str">
        <f>Ringkasan!S1049</f>
        <v/>
      </c>
      <c r="T214" s="60" t="str">
        <f>Ringkasan!T1049</f>
        <v/>
      </c>
      <c r="U214" s="60">
        <f>Ringkasan!U1049</f>
        <v>66</v>
      </c>
      <c r="V214" s="60">
        <f>Ringkasan!V1049</f>
        <v>3.03</v>
      </c>
      <c r="W214" s="60">
        <f>Ringkasan!W1049</f>
        <v>67</v>
      </c>
      <c r="X214" s="60">
        <f>Ringkasan!X1049</f>
        <v>70</v>
      </c>
      <c r="Y214" s="60">
        <f>Ringkasan!Y1049</f>
        <v>66</v>
      </c>
      <c r="Z214" s="60">
        <f>Ringkasan!Z1049</f>
        <v>10175500</v>
      </c>
      <c r="AA214" s="60" t="str">
        <f>Ringkasan!AA1049</f>
        <v>Logistics &amp; Deliveries</v>
      </c>
      <c r="AB214" s="64" t="str">
        <f>Ringkasan!AB1049</f>
        <v>Transportation &amp; Logistic</v>
      </c>
    </row>
    <row r="215" hidden="1">
      <c r="A215" s="64" t="str">
        <f>Ringkasan!A214</f>
        <v>BANK</v>
      </c>
      <c r="B215" s="64" t="str">
        <f>Ringkasan!B214</f>
        <v>Bank Aladin Syariah Tbk.</v>
      </c>
      <c r="C215" s="65">
        <f>Ringkasan!C214</f>
        <v>282</v>
      </c>
      <c r="D215" s="64" t="str">
        <f>Ringkasan!D214</f>
        <v>#N/A</v>
      </c>
      <c r="E215" s="64" t="str">
        <f>Ringkasan!E214</f>
        <v>Infobank15</v>
      </c>
      <c r="F215" s="64" t="str">
        <f>Ringkasan!F214</f>
        <v>30 Juni 2026</v>
      </c>
      <c r="G215" s="64">
        <f>Ringkasan!G214</f>
        <v>1</v>
      </c>
      <c r="H215" s="19">
        <f>Ringkasan!H214</f>
        <v>25.3</v>
      </c>
      <c r="I215" s="19">
        <f>Ringkasan!I214</f>
        <v>1.1</v>
      </c>
      <c r="J215" s="19">
        <f>Ringkasan!J214</f>
        <v>4.2</v>
      </c>
      <c r="K215" s="19">
        <f>Ringkasan!K214</f>
        <v>0.93</v>
      </c>
      <c r="L215" s="19">
        <f>Ringkasan!L214</f>
        <v>0.39</v>
      </c>
      <c r="M215" s="19">
        <f>Ringkasan!M214</f>
        <v>340</v>
      </c>
      <c r="N215" s="64">
        <f>Ringkasan!N214</f>
        <v>13.8</v>
      </c>
      <c r="O215" s="64">
        <f>Ringkasan!O214</f>
        <v>153</v>
      </c>
      <c r="P215" s="64">
        <f>Ringkasan!P214</f>
        <v>101.3</v>
      </c>
      <c r="Q215" s="64">
        <f>Ringkasan!Q214</f>
        <v>1.4</v>
      </c>
      <c r="R215" s="64">
        <f>Ringkasan!R214</f>
        <v>117.1</v>
      </c>
      <c r="S215" s="64">
        <f>Ringkasan!S214</f>
        <v>109.2</v>
      </c>
      <c r="T215" s="64">
        <f>Ringkasan!T214</f>
        <v>1.9</v>
      </c>
      <c r="U215" s="64">
        <f>Ringkasan!U214</f>
        <v>1514.55</v>
      </c>
      <c r="V215" s="64">
        <f>Ringkasan!V214</f>
        <v>4.27</v>
      </c>
      <c r="W215" s="64">
        <f>Ringkasan!W214</f>
        <v>1514.64</v>
      </c>
      <c r="X215" s="64">
        <f>Ringkasan!X214</f>
        <v>1581.61</v>
      </c>
      <c r="Y215" s="64">
        <f>Ringkasan!Y214</f>
        <v>1514.64</v>
      </c>
      <c r="Z215" s="64">
        <f>Ringkasan!Z214</f>
        <v>0</v>
      </c>
      <c r="AA215" s="64" t="str">
        <f>Ringkasan!AA214</f>
        <v>Forestry &amp; Paper</v>
      </c>
      <c r="AB215" s="64" t="str">
        <f>Ringkasan!AB214</f>
        <v>Basic Materials</v>
      </c>
    </row>
    <row r="216" hidden="1">
      <c r="A216" s="64" t="str">
        <f>Ringkasan!A215</f>
        <v>BAPA</v>
      </c>
      <c r="B216" s="64" t="str">
        <f>Ringkasan!B215</f>
        <v>Bekasi Asri Pemula Tbk.</v>
      </c>
      <c r="C216" s="65">
        <f>Ringkasan!C215</f>
        <v>238</v>
      </c>
      <c r="D216" s="64" t="str">
        <f>Ringkasan!D215</f>
        <v>#N/A</v>
      </c>
      <c r="E216" s="64" t="str">
        <f>Ringkasan!E215</f>
        <v/>
      </c>
      <c r="F216" s="64" t="str">
        <f>Ringkasan!F215</f>
        <v/>
      </c>
      <c r="G216" s="64">
        <f>Ringkasan!G215</f>
        <v>0</v>
      </c>
      <c r="H216" s="19">
        <f>Ringkasan!H215</f>
        <v>-28</v>
      </c>
      <c r="I216" s="19">
        <f>Ringkasan!I215</f>
        <v>1.4</v>
      </c>
      <c r="J216" s="19">
        <f>Ringkasan!J215</f>
        <v>-5</v>
      </c>
      <c r="K216" s="19">
        <f>Ringkasan!K215</f>
        <v>-4.4</v>
      </c>
      <c r="L216" s="19">
        <f>Ringkasan!L215</f>
        <v>0.14</v>
      </c>
      <c r="M216" s="19">
        <f>Ringkasan!M215</f>
        <v>-5900</v>
      </c>
      <c r="N216" s="64" t="str">
        <f>Ringkasan!N215</f>
        <v/>
      </c>
      <c r="O216" s="64" t="str">
        <f>Ringkasan!O215</f>
        <v/>
      </c>
      <c r="P216" s="64" t="str">
        <f>Ringkasan!P215</f>
        <v/>
      </c>
      <c r="Q216" s="64" t="str">
        <f>Ringkasan!Q215</f>
        <v/>
      </c>
      <c r="R216" s="64" t="str">
        <f>Ringkasan!R215</f>
        <v/>
      </c>
      <c r="S216" s="64" t="str">
        <f>Ringkasan!S215</f>
        <v/>
      </c>
      <c r="T216" s="64" t="str">
        <f>Ringkasan!T215</f>
        <v/>
      </c>
      <c r="U216" s="64">
        <f>Ringkasan!U215</f>
        <v>0.02</v>
      </c>
      <c r="V216" s="64">
        <f>Ringkasan!V215</f>
        <v>0</v>
      </c>
      <c r="W216" s="64">
        <f>Ringkasan!W215</f>
        <v>0.02</v>
      </c>
      <c r="X216" s="64">
        <f>Ringkasan!X215</f>
        <v>0.02</v>
      </c>
      <c r="Y216" s="64">
        <f>Ringkasan!Y215</f>
        <v>0.02</v>
      </c>
      <c r="Z216" s="64">
        <f>Ringkasan!Z215</f>
        <v>0</v>
      </c>
      <c r="AA216" s="64" t="str">
        <f>Ringkasan!AA215</f>
        <v>Real Estate Management &amp; Development</v>
      </c>
      <c r="AB216" s="64" t="str">
        <f>Ringkasan!AB215</f>
        <v>Properties &amp; Real Estate</v>
      </c>
    </row>
    <row r="217" hidden="1">
      <c r="A217" s="64" t="str">
        <f>Ringkasan!A216</f>
        <v>BAPI</v>
      </c>
      <c r="B217" s="64" t="str">
        <f>Ringkasan!B216</f>
        <v>Bhakti Agung Propertindo Tbk.</v>
      </c>
      <c r="C217" s="65">
        <f>Ringkasan!C216</f>
        <v>18</v>
      </c>
      <c r="D217" s="64" t="str">
        <f>Ringkasan!D216</f>
        <v>#N/A</v>
      </c>
      <c r="E217" s="64" t="str">
        <f>Ringkasan!E216</f>
        <v/>
      </c>
      <c r="F217" s="64" t="str">
        <f>Ringkasan!F216</f>
        <v/>
      </c>
      <c r="G217" s="64">
        <f>Ringkasan!G216</f>
        <v>0</v>
      </c>
      <c r="H217" s="19">
        <f>Ringkasan!H216</f>
        <v>-0.7</v>
      </c>
      <c r="I217" s="19">
        <f>Ringkasan!I216</f>
        <v>0.32</v>
      </c>
      <c r="J217" s="19">
        <f>Ringkasan!J216</f>
        <v>-46.4</v>
      </c>
      <c r="K217" s="19">
        <f>Ringkasan!K216</f>
        <v>-27</v>
      </c>
      <c r="L217" s="19">
        <f>Ringkasan!L216</f>
        <v>0.72</v>
      </c>
      <c r="M217" s="19">
        <f>Ringkasan!M216</f>
        <v>-47000</v>
      </c>
      <c r="N217" s="64" t="str">
        <f>Ringkasan!N216</f>
        <v/>
      </c>
      <c r="O217" s="64" t="str">
        <f>Ringkasan!O216</f>
        <v/>
      </c>
      <c r="P217" s="64" t="str">
        <f>Ringkasan!P216</f>
        <v/>
      </c>
      <c r="Q217" s="64" t="str">
        <f>Ringkasan!Q216</f>
        <v/>
      </c>
      <c r="R217" s="64" t="str">
        <f>Ringkasan!R216</f>
        <v/>
      </c>
      <c r="S217" s="64" t="str">
        <f>Ringkasan!S216</f>
        <v/>
      </c>
      <c r="T217" s="64" t="str">
        <f>Ringkasan!T216</f>
        <v/>
      </c>
      <c r="U217" s="64">
        <f>Ringkasan!U216</f>
        <v>17</v>
      </c>
      <c r="V217" s="64">
        <f>Ringkasan!V216</f>
        <v>5.88</v>
      </c>
      <c r="W217" s="64">
        <f>Ringkasan!W216</f>
        <v>18</v>
      </c>
      <c r="X217" s="64">
        <f>Ringkasan!X216</f>
        <v>18</v>
      </c>
      <c r="Y217" s="64">
        <f>Ringkasan!Y216</f>
        <v>18</v>
      </c>
      <c r="Z217" s="64">
        <f>Ringkasan!Z216</f>
        <v>20164900</v>
      </c>
      <c r="AA217" s="64" t="str">
        <f>Ringkasan!AA216</f>
        <v>Real Estate Management &amp; Development</v>
      </c>
      <c r="AB217" s="64" t="str">
        <f>Ringkasan!AB216</f>
        <v>Properties &amp; Real Estate</v>
      </c>
    </row>
    <row r="218" hidden="1">
      <c r="A218" s="64" t="str">
        <f>Ringkasan!A217</f>
        <v>BATA</v>
      </c>
      <c r="B218" s="64" t="str">
        <f>Ringkasan!B217</f>
        <v>Sepatu Bata Tbk.</v>
      </c>
      <c r="C218" s="65">
        <f>Ringkasan!C217</f>
        <v>64</v>
      </c>
      <c r="D218" s="64" t="str">
        <f>Ringkasan!D217</f>
        <v>#N/A</v>
      </c>
      <c r="E218" s="64" t="str">
        <f>Ringkasan!E217</f>
        <v/>
      </c>
      <c r="F218" s="64" t="str">
        <f>Ringkasan!F217</f>
        <v/>
      </c>
      <c r="G218" s="64">
        <f>Ringkasan!G217</f>
        <v>0</v>
      </c>
      <c r="H218" s="19">
        <f>Ringkasan!H217</f>
        <v>-1.1</v>
      </c>
      <c r="I218" s="19">
        <f>Ringkasan!I217</f>
        <v>-1.1</v>
      </c>
      <c r="J218" s="19">
        <f>Ringkasan!J217</f>
        <v>0</v>
      </c>
      <c r="K218" s="19">
        <f>Ringkasan!K217</f>
        <v>-21.6</v>
      </c>
      <c r="L218" s="19">
        <f>Ringkasan!L217</f>
        <v>-5.3</v>
      </c>
      <c r="M218" s="19">
        <f>Ringkasan!M217</f>
        <v>-29.7</v>
      </c>
      <c r="N218" s="64" t="str">
        <f>Ringkasan!N217</f>
        <v/>
      </c>
      <c r="O218" s="64" t="str">
        <f>Ringkasan!O217</f>
        <v/>
      </c>
      <c r="P218" s="64" t="str">
        <f>Ringkasan!P217</f>
        <v/>
      </c>
      <c r="Q218" s="64" t="str">
        <f>Ringkasan!Q217</f>
        <v/>
      </c>
      <c r="R218" s="64" t="str">
        <f>Ringkasan!R217</f>
        <v/>
      </c>
      <c r="S218" s="64" t="str">
        <f>Ringkasan!S217</f>
        <v/>
      </c>
      <c r="T218" s="64" t="str">
        <f>Ringkasan!T217</f>
        <v/>
      </c>
      <c r="U218" s="64">
        <f>Ringkasan!U217</f>
        <v>60</v>
      </c>
      <c r="V218" s="64">
        <f>Ringkasan!V217</f>
        <v>6.67</v>
      </c>
      <c r="W218" s="64">
        <f>Ringkasan!W217</f>
        <v>65</v>
      </c>
      <c r="X218" s="64">
        <f>Ringkasan!X217</f>
        <v>65</v>
      </c>
      <c r="Y218" s="64">
        <f>Ringkasan!Y217</f>
        <v>61</v>
      </c>
      <c r="Z218" s="64">
        <f>Ringkasan!Z217</f>
        <v>18400</v>
      </c>
      <c r="AA218" s="64" t="str">
        <f>Ringkasan!AA217</f>
        <v>Apparel &amp; Luxury Goods</v>
      </c>
      <c r="AB218" s="64" t="str">
        <f>Ringkasan!AB217</f>
        <v>Consumer Cyclicals</v>
      </c>
    </row>
    <row r="219" hidden="1">
      <c r="A219" s="64" t="str">
        <f>Ringkasan!A218</f>
        <v>BATR</v>
      </c>
      <c r="B219" s="64" t="str">
        <f>Ringkasan!B218</f>
        <v>Benteng Api Technic Tbk.</v>
      </c>
      <c r="C219" s="65">
        <f>Ringkasan!C218</f>
        <v>84</v>
      </c>
      <c r="D219" s="64" t="str">
        <f>Ringkasan!D218</f>
        <v>#N/A</v>
      </c>
      <c r="E219" s="64" t="str">
        <f>Ringkasan!E218</f>
        <v/>
      </c>
      <c r="F219" s="64" t="str">
        <f>Ringkasan!F218</f>
        <v/>
      </c>
      <c r="G219" s="64">
        <f>Ringkasan!G218</f>
        <v>0</v>
      </c>
      <c r="H219" s="19">
        <f>Ringkasan!H218</f>
        <v>18.9</v>
      </c>
      <c r="I219" s="19">
        <f>Ringkasan!I218</f>
        <v>1.6</v>
      </c>
      <c r="J219" s="19">
        <f>Ringkasan!J218</f>
        <v>8.5</v>
      </c>
      <c r="K219" s="19">
        <f>Ringkasan!K218</f>
        <v>5.9</v>
      </c>
      <c r="L219" s="19">
        <f>Ringkasan!L218</f>
        <v>0.45</v>
      </c>
      <c r="M219" s="19">
        <f>Ringkasan!M218</f>
        <v>46.5</v>
      </c>
      <c r="N219" s="64" t="str">
        <f>Ringkasan!N218</f>
        <v/>
      </c>
      <c r="O219" s="64" t="str">
        <f>Ringkasan!O218</f>
        <v/>
      </c>
      <c r="P219" s="64" t="str">
        <f>Ringkasan!P218</f>
        <v/>
      </c>
      <c r="Q219" s="64" t="str">
        <f>Ringkasan!Q218</f>
        <v/>
      </c>
      <c r="R219" s="64" t="str">
        <f>Ringkasan!R218</f>
        <v/>
      </c>
      <c r="S219" s="64" t="str">
        <f>Ringkasan!S218</f>
        <v/>
      </c>
      <c r="T219" s="64" t="str">
        <f>Ringkasan!T218</f>
        <v/>
      </c>
      <c r="U219" s="64">
        <f>Ringkasan!U218</f>
        <v>82</v>
      </c>
      <c r="V219" s="64">
        <f>Ringkasan!V218</f>
        <v>2.44</v>
      </c>
      <c r="W219" s="64">
        <f>Ringkasan!W218</f>
        <v>83</v>
      </c>
      <c r="X219" s="64">
        <f>Ringkasan!X218</f>
        <v>86</v>
      </c>
      <c r="Y219" s="64">
        <f>Ringkasan!Y218</f>
        <v>80</v>
      </c>
      <c r="Z219" s="64">
        <f>Ringkasan!Z218</f>
        <v>2164200</v>
      </c>
      <c r="AA219" s="64" t="str">
        <f>Ringkasan!AA218</f>
        <v>Construction Materials</v>
      </c>
      <c r="AB219" s="64" t="str">
        <f>Ringkasan!AB218</f>
        <v>Basic Materials</v>
      </c>
    </row>
    <row r="220" hidden="1">
      <c r="A220" s="64" t="str">
        <f>Ringkasan!A219</f>
        <v>BAUT</v>
      </c>
      <c r="B220" s="64" t="str">
        <f>Ringkasan!B219</f>
        <v>Mitra Angkasa Sejahtera Tbk.</v>
      </c>
      <c r="C220" s="65">
        <f>Ringkasan!C219</f>
        <v>26</v>
      </c>
      <c r="D220" s="64" t="str">
        <f>Ringkasan!D219</f>
        <v>#N/A</v>
      </c>
      <c r="E220" s="64" t="str">
        <f>Ringkasan!E219</f>
        <v/>
      </c>
      <c r="F220" s="64" t="str">
        <f>Ringkasan!F219</f>
        <v/>
      </c>
      <c r="G220" s="64">
        <f>Ringkasan!G219</f>
        <v>0</v>
      </c>
      <c r="H220" s="19">
        <f>Ringkasan!H219</f>
        <v>-16.8</v>
      </c>
      <c r="I220" s="19">
        <f>Ringkasan!I219</f>
        <v>0.83</v>
      </c>
      <c r="J220" s="19">
        <f>Ringkasan!J219</f>
        <v>-4.9</v>
      </c>
      <c r="K220" s="19">
        <f>Ringkasan!K219</f>
        <v>-3.8</v>
      </c>
      <c r="L220" s="19">
        <f>Ringkasan!L219</f>
        <v>0.31</v>
      </c>
      <c r="M220" s="19">
        <f>Ringkasan!M219</f>
        <v>-28.7</v>
      </c>
      <c r="N220" s="64" t="str">
        <f>Ringkasan!N219</f>
        <v/>
      </c>
      <c r="O220" s="64" t="str">
        <f>Ringkasan!O219</f>
        <v/>
      </c>
      <c r="P220" s="64" t="str">
        <f>Ringkasan!P219</f>
        <v/>
      </c>
      <c r="Q220" s="64" t="str">
        <f>Ringkasan!Q219</f>
        <v/>
      </c>
      <c r="R220" s="64" t="str">
        <f>Ringkasan!R219</f>
        <v/>
      </c>
      <c r="S220" s="64" t="str">
        <f>Ringkasan!S219</f>
        <v/>
      </c>
      <c r="T220" s="64" t="str">
        <f>Ringkasan!T219</f>
        <v/>
      </c>
      <c r="U220" s="64">
        <f>Ringkasan!U219</f>
        <v>24</v>
      </c>
      <c r="V220" s="64">
        <f>Ringkasan!V219</f>
        <v>8.33</v>
      </c>
      <c r="W220" s="64">
        <f>Ringkasan!W219</f>
        <v>26</v>
      </c>
      <c r="X220" s="64">
        <f>Ringkasan!X219</f>
        <v>26</v>
      </c>
      <c r="Y220" s="64">
        <f>Ringkasan!Y219</f>
        <v>25</v>
      </c>
      <c r="Z220" s="64">
        <f>Ringkasan!Z219</f>
        <v>2246100</v>
      </c>
      <c r="AA220" s="64" t="str">
        <f>Ringkasan!AA219</f>
        <v>Specialty Retail</v>
      </c>
      <c r="AB220" s="64" t="str">
        <f>Ringkasan!AB219</f>
        <v>Consumer Cyclicals</v>
      </c>
    </row>
    <row r="221" hidden="1">
      <c r="A221" s="64" t="str">
        <f>Ringkasan!A249</f>
        <v>BBNI</v>
      </c>
      <c r="B221" s="64" t="str">
        <f>Ringkasan!B249</f>
        <v>PT Bank Negara Indonesia (Persero) Tbk</v>
      </c>
      <c r="C221" s="65">
        <f>Ringkasan!C249</f>
        <v>3560</v>
      </c>
      <c r="D221" s="64" t="str">
        <f>Ringkasan!D249</f>
        <v>#N/A</v>
      </c>
      <c r="E221" s="64" t="str">
        <f>Ringkasan!E249</f>
        <v>Infobank15</v>
      </c>
      <c r="F221" s="64" t="str">
        <f>Ringkasan!F249</f>
        <v>30 Juni 2026</v>
      </c>
      <c r="G221" s="64">
        <f>Ringkasan!G249</f>
        <v>22</v>
      </c>
      <c r="H221" s="19">
        <f>Ringkasan!H249</f>
        <v>6.8</v>
      </c>
      <c r="I221" s="19">
        <f>Ringkasan!I249</f>
        <v>0.83</v>
      </c>
      <c r="J221" s="19">
        <f>Ringkasan!J249</f>
        <v>12.3</v>
      </c>
      <c r="K221" s="19">
        <f>Ringkasan!K249</f>
        <v>1.4</v>
      </c>
      <c r="L221" s="19">
        <f>Ringkasan!L249</f>
        <v>7.6</v>
      </c>
      <c r="M221" s="19">
        <f>Ringkasan!M249</f>
        <v>89.9</v>
      </c>
      <c r="N221" s="64">
        <f>Ringkasan!N249</f>
        <v>3.8</v>
      </c>
      <c r="O221" s="64">
        <f>Ringkasan!O249</f>
        <v>20.7</v>
      </c>
      <c r="P221" s="64">
        <f>Ringkasan!P249</f>
        <v>86.4</v>
      </c>
      <c r="Q221" s="64">
        <f>Ringkasan!Q249</f>
        <v>1.9</v>
      </c>
      <c r="R221" s="64">
        <f>Ringkasan!R249</f>
        <v>72.9</v>
      </c>
      <c r="S221" s="64">
        <f>Ringkasan!S249</f>
        <v>46.5</v>
      </c>
      <c r="T221" s="64">
        <f>Ringkasan!T249</f>
        <v>8.5</v>
      </c>
      <c r="U221" s="64">
        <f>Ringkasan!U249</f>
        <v>3500</v>
      </c>
      <c r="V221" s="64">
        <f>Ringkasan!V249</f>
        <v>1.71</v>
      </c>
      <c r="W221" s="64">
        <f>Ringkasan!W249</f>
        <v>3570</v>
      </c>
      <c r="X221" s="64">
        <f>Ringkasan!X249</f>
        <v>3650</v>
      </c>
      <c r="Y221" s="64">
        <f>Ringkasan!Y249</f>
        <v>3520</v>
      </c>
      <c r="Z221" s="64">
        <f>Ringkasan!Z249</f>
        <v>74824100</v>
      </c>
      <c r="AA221" s="64" t="str">
        <f>Ringkasan!AA249</f>
        <v>Banks</v>
      </c>
      <c r="AB221" s="64" t="str">
        <f>Ringkasan!AB249</f>
        <v>Financials</v>
      </c>
    </row>
    <row r="222" hidden="1">
      <c r="A222" s="64" t="str">
        <f>Ringkasan!A221</f>
        <v>BBCA</v>
      </c>
      <c r="B222" s="64" t="str">
        <f>Ringkasan!B221</f>
        <v>Bank Central Asia Tbk.</v>
      </c>
      <c r="C222" s="65" t="str">
        <f>Ringkasan!C221</f>
        <v>#N/A</v>
      </c>
      <c r="D222" s="64" t="str">
        <f>Ringkasan!D221</f>
        <v>#N/A</v>
      </c>
      <c r="E222" s="64" t="str">
        <f>Ringkasan!E221</f>
        <v>ESGQKEHATI</v>
      </c>
      <c r="F222" s="66">
        <f>Ringkasan!F221</f>
        <v>46356</v>
      </c>
      <c r="G222" s="64">
        <f>Ringkasan!G221</f>
        <v>21</v>
      </c>
      <c r="H222" s="19">
        <f>Ringkasan!H221</f>
        <v>12.1</v>
      </c>
      <c r="I222" s="19">
        <f>Ringkasan!I221</f>
        <v>2.7</v>
      </c>
      <c r="J222" s="19">
        <f>Ringkasan!J221</f>
        <v>22.4</v>
      </c>
      <c r="K222" s="19">
        <f>Ringkasan!K221</f>
        <v>3.5</v>
      </c>
      <c r="L222" s="19">
        <f>Ringkasan!L221</f>
        <v>5.3</v>
      </c>
      <c r="M222" s="19">
        <f>Ringkasan!M221</f>
        <v>220</v>
      </c>
      <c r="N222" s="64">
        <f>Ringkasan!N221</f>
        <v>5.33</v>
      </c>
      <c r="O222" s="64">
        <f>Ringkasan!O221</f>
        <v>27.52</v>
      </c>
      <c r="P222" s="64">
        <f>Ringkasan!P221</f>
        <v>74.1</v>
      </c>
      <c r="Q222" s="64">
        <f>Ringkasan!Q221</f>
        <v>1.85</v>
      </c>
      <c r="R222" s="64">
        <f>Ringkasan!R221</f>
        <v>39.87</v>
      </c>
      <c r="S222" s="64">
        <f>Ringkasan!S221</f>
        <v>27.32</v>
      </c>
      <c r="T222" s="64">
        <f>Ringkasan!T221</f>
        <v>2.09</v>
      </c>
      <c r="U222" s="64">
        <f>Ringkasan!U221</f>
        <v>100.74</v>
      </c>
      <c r="V222" s="64">
        <f>Ringkasan!V221</f>
        <v>0.51</v>
      </c>
      <c r="W222" s="64">
        <f>Ringkasan!W221</f>
        <v>100.94</v>
      </c>
      <c r="X222" s="64">
        <f>Ringkasan!X221</f>
        <v>101.77</v>
      </c>
      <c r="Y222" s="64">
        <f>Ringkasan!Y221</f>
        <v>100.74</v>
      </c>
      <c r="Z222" s="64">
        <f>Ringkasan!Z221</f>
        <v>51924</v>
      </c>
      <c r="AA222" s="64" t="str">
        <f>Ringkasan!AA221</f>
        <v>Banks</v>
      </c>
      <c r="AB222" s="64" t="str">
        <f>Ringkasan!AB221</f>
        <v>Financials</v>
      </c>
    </row>
    <row r="223" hidden="1">
      <c r="A223" s="64" t="str">
        <f>Ringkasan!A222</f>
        <v>BBCA</v>
      </c>
      <c r="B223" s="64" t="str">
        <f>Ringkasan!B222</f>
        <v>Bank Central Asia Tbk.</v>
      </c>
      <c r="C223" s="65" t="str">
        <f>Ringkasan!C222</f>
        <v>#N/A</v>
      </c>
      <c r="D223" s="64" t="str">
        <f>Ringkasan!D222</f>
        <v>#N/A</v>
      </c>
      <c r="E223" s="64" t="str">
        <f>Ringkasan!E222</f>
        <v>MSCI Global Standard</v>
      </c>
      <c r="F223" s="64" t="str">
        <f>Ringkasan!F222</f>
        <v>12 Agustus 2026</v>
      </c>
      <c r="G223" s="64">
        <f>Ringkasan!G222</f>
        <v>21</v>
      </c>
      <c r="H223" s="19">
        <f>Ringkasan!H222</f>
        <v>12.1</v>
      </c>
      <c r="I223" s="19">
        <f>Ringkasan!I222</f>
        <v>2.7</v>
      </c>
      <c r="J223" s="19">
        <f>Ringkasan!J222</f>
        <v>22.4</v>
      </c>
      <c r="K223" s="19">
        <f>Ringkasan!K222</f>
        <v>3.5</v>
      </c>
      <c r="L223" s="19">
        <f>Ringkasan!L222</f>
        <v>5.3</v>
      </c>
      <c r="M223" s="19">
        <f>Ringkasan!M222</f>
        <v>220</v>
      </c>
      <c r="N223" s="64">
        <f>Ringkasan!N222</f>
        <v>5.33</v>
      </c>
      <c r="O223" s="64">
        <f>Ringkasan!O222</f>
        <v>27.52</v>
      </c>
      <c r="P223" s="64">
        <f>Ringkasan!P222</f>
        <v>74.1</v>
      </c>
      <c r="Q223" s="64">
        <f>Ringkasan!Q222</f>
        <v>1.85</v>
      </c>
      <c r="R223" s="64">
        <f>Ringkasan!R222</f>
        <v>39.87</v>
      </c>
      <c r="S223" s="64">
        <f>Ringkasan!S222</f>
        <v>27.32</v>
      </c>
      <c r="T223" s="64">
        <f>Ringkasan!T222</f>
        <v>2.09</v>
      </c>
      <c r="U223" s="64">
        <f>Ringkasan!U222</f>
        <v>100.74</v>
      </c>
      <c r="V223" s="64">
        <f>Ringkasan!V222</f>
        <v>0.51</v>
      </c>
      <c r="W223" s="64">
        <f>Ringkasan!W222</f>
        <v>100.94</v>
      </c>
      <c r="X223" s="64">
        <f>Ringkasan!X222</f>
        <v>101.77</v>
      </c>
      <c r="Y223" s="64">
        <f>Ringkasan!Y222</f>
        <v>100.74</v>
      </c>
      <c r="Z223" s="64">
        <f>Ringkasan!Z222</f>
        <v>51924</v>
      </c>
      <c r="AA223" s="64" t="str">
        <f>Ringkasan!AA222</f>
        <v>Banks</v>
      </c>
      <c r="AB223" s="64" t="str">
        <f>Ringkasan!AB222</f>
        <v>Financials</v>
      </c>
    </row>
    <row r="224" hidden="1">
      <c r="A224" s="64" t="str">
        <f>Ringkasan!A223</f>
        <v>BBCA</v>
      </c>
      <c r="B224" s="64" t="str">
        <f>Ringkasan!B223</f>
        <v>Bank Central Asia Tbk.</v>
      </c>
      <c r="C224" s="65" t="str">
        <f>Ringkasan!C223</f>
        <v>#N/A</v>
      </c>
      <c r="D224" s="64" t="str">
        <f>Ringkasan!D223</f>
        <v>#N/A</v>
      </c>
      <c r="E224" s="64" t="str">
        <f>Ringkasan!E223</f>
        <v>IDXQ30</v>
      </c>
      <c r="F224" s="64" t="str">
        <f>Ringkasan!F223</f>
        <v>4 Agustus 2026</v>
      </c>
      <c r="G224" s="64">
        <f>Ringkasan!G223</f>
        <v>21</v>
      </c>
      <c r="H224" s="19">
        <f>Ringkasan!H223</f>
        <v>12.1</v>
      </c>
      <c r="I224" s="19">
        <f>Ringkasan!I223</f>
        <v>2.7</v>
      </c>
      <c r="J224" s="19">
        <f>Ringkasan!J223</f>
        <v>22.4</v>
      </c>
      <c r="K224" s="19">
        <f>Ringkasan!K223</f>
        <v>3.5</v>
      </c>
      <c r="L224" s="19">
        <f>Ringkasan!L223</f>
        <v>5.3</v>
      </c>
      <c r="M224" s="19">
        <f>Ringkasan!M223</f>
        <v>220</v>
      </c>
      <c r="N224" s="64">
        <f>Ringkasan!N223</f>
        <v>5.33</v>
      </c>
      <c r="O224" s="64">
        <f>Ringkasan!O223</f>
        <v>27.52</v>
      </c>
      <c r="P224" s="64">
        <f>Ringkasan!P223</f>
        <v>74.1</v>
      </c>
      <c r="Q224" s="64">
        <f>Ringkasan!Q223</f>
        <v>1.85</v>
      </c>
      <c r="R224" s="64">
        <f>Ringkasan!R223</f>
        <v>39.87</v>
      </c>
      <c r="S224" s="64">
        <f>Ringkasan!S223</f>
        <v>27.32</v>
      </c>
      <c r="T224" s="64">
        <f>Ringkasan!T223</f>
        <v>2.09</v>
      </c>
      <c r="U224" s="64">
        <f>Ringkasan!U223</f>
        <v>100.74</v>
      </c>
      <c r="V224" s="64">
        <f>Ringkasan!V223</f>
        <v>0.51</v>
      </c>
      <c r="W224" s="64">
        <f>Ringkasan!W223</f>
        <v>100.94</v>
      </c>
      <c r="X224" s="64">
        <f>Ringkasan!X223</f>
        <v>101.77</v>
      </c>
      <c r="Y224" s="64">
        <f>Ringkasan!Y223</f>
        <v>100.74</v>
      </c>
      <c r="Z224" s="64">
        <f>Ringkasan!Z223</f>
        <v>51924</v>
      </c>
      <c r="AA224" s="64" t="str">
        <f>Ringkasan!AA223</f>
        <v>Banks</v>
      </c>
      <c r="AB224" s="64" t="str">
        <f>Ringkasan!AB223</f>
        <v>Financials</v>
      </c>
    </row>
    <row r="225" hidden="1">
      <c r="A225" s="64" t="str">
        <f>Ringkasan!A224</f>
        <v>BBCA</v>
      </c>
      <c r="B225" s="64" t="str">
        <f>Ringkasan!B224</f>
        <v>Bank Central Asia Tbk.</v>
      </c>
      <c r="C225" s="65" t="str">
        <f>Ringkasan!C224</f>
        <v>#N/A</v>
      </c>
      <c r="D225" s="64" t="str">
        <f>Ringkasan!D224</f>
        <v>#N/A</v>
      </c>
      <c r="E225" s="64" t="str">
        <f>Ringkasan!E224</f>
        <v>IDXG30</v>
      </c>
      <c r="F225" s="64" t="str">
        <f>Ringkasan!F224</f>
        <v>4 Agustus 2026</v>
      </c>
      <c r="G225" s="64">
        <f>Ringkasan!G224</f>
        <v>21</v>
      </c>
      <c r="H225" s="19">
        <f>Ringkasan!H224</f>
        <v>12.1</v>
      </c>
      <c r="I225" s="19">
        <f>Ringkasan!I224</f>
        <v>2.7</v>
      </c>
      <c r="J225" s="19">
        <f>Ringkasan!J224</f>
        <v>22.4</v>
      </c>
      <c r="K225" s="19">
        <f>Ringkasan!K224</f>
        <v>3.5</v>
      </c>
      <c r="L225" s="19">
        <f>Ringkasan!L224</f>
        <v>5.3</v>
      </c>
      <c r="M225" s="19">
        <f>Ringkasan!M224</f>
        <v>220</v>
      </c>
      <c r="N225" s="64">
        <f>Ringkasan!N224</f>
        <v>5.33</v>
      </c>
      <c r="O225" s="64">
        <f>Ringkasan!O224</f>
        <v>27.52</v>
      </c>
      <c r="P225" s="64">
        <f>Ringkasan!P224</f>
        <v>74.1</v>
      </c>
      <c r="Q225" s="64">
        <f>Ringkasan!Q224</f>
        <v>1.85</v>
      </c>
      <c r="R225" s="64">
        <f>Ringkasan!R224</f>
        <v>39.87</v>
      </c>
      <c r="S225" s="64">
        <f>Ringkasan!S224</f>
        <v>27.32</v>
      </c>
      <c r="T225" s="64">
        <f>Ringkasan!T224</f>
        <v>2.09</v>
      </c>
      <c r="U225" s="64">
        <f>Ringkasan!U224</f>
        <v>100.74</v>
      </c>
      <c r="V225" s="64">
        <f>Ringkasan!V224</f>
        <v>0.51</v>
      </c>
      <c r="W225" s="64">
        <f>Ringkasan!W224</f>
        <v>100.94</v>
      </c>
      <c r="X225" s="64">
        <f>Ringkasan!X224</f>
        <v>101.77</v>
      </c>
      <c r="Y225" s="64">
        <f>Ringkasan!Y224</f>
        <v>100.74</v>
      </c>
      <c r="Z225" s="64">
        <f>Ringkasan!Z224</f>
        <v>51924</v>
      </c>
      <c r="AA225" s="64" t="str">
        <f>Ringkasan!AA224</f>
        <v>Banks</v>
      </c>
      <c r="AB225" s="64" t="str">
        <f>Ringkasan!AB224</f>
        <v>Financials</v>
      </c>
    </row>
    <row r="226" hidden="1">
      <c r="A226" s="64" t="str">
        <f>Ringkasan!A225</f>
        <v>BBCA</v>
      </c>
      <c r="B226" s="64" t="str">
        <f>Ringkasan!B225</f>
        <v>Bank Central Asia Tbk.</v>
      </c>
      <c r="C226" s="65" t="str">
        <f>Ringkasan!C225</f>
        <v>#N/A</v>
      </c>
      <c r="D226" s="64" t="str">
        <f>Ringkasan!D225</f>
        <v>#N/A</v>
      </c>
      <c r="E226" s="64" t="str">
        <f>Ringkasan!E225</f>
        <v>Kompas100</v>
      </c>
      <c r="F226" s="64" t="str">
        <f>Ringkasan!F225</f>
        <v>31 Juli 2026</v>
      </c>
      <c r="G226" s="64">
        <f>Ringkasan!G225</f>
        <v>21</v>
      </c>
      <c r="H226" s="19">
        <f>Ringkasan!H225</f>
        <v>12.1</v>
      </c>
      <c r="I226" s="19">
        <f>Ringkasan!I225</f>
        <v>2.7</v>
      </c>
      <c r="J226" s="19">
        <f>Ringkasan!J225</f>
        <v>22.4</v>
      </c>
      <c r="K226" s="19">
        <f>Ringkasan!K225</f>
        <v>3.5</v>
      </c>
      <c r="L226" s="19">
        <f>Ringkasan!L225</f>
        <v>5.3</v>
      </c>
      <c r="M226" s="19">
        <f>Ringkasan!M225</f>
        <v>220</v>
      </c>
      <c r="N226" s="64">
        <f>Ringkasan!N225</f>
        <v>5.33</v>
      </c>
      <c r="O226" s="64">
        <f>Ringkasan!O225</f>
        <v>27.52</v>
      </c>
      <c r="P226" s="64">
        <f>Ringkasan!P225</f>
        <v>74.1</v>
      </c>
      <c r="Q226" s="64">
        <f>Ringkasan!Q225</f>
        <v>1.85</v>
      </c>
      <c r="R226" s="64">
        <f>Ringkasan!R225</f>
        <v>39.87</v>
      </c>
      <c r="S226" s="64">
        <f>Ringkasan!S225</f>
        <v>27.32</v>
      </c>
      <c r="T226" s="64">
        <f>Ringkasan!T225</f>
        <v>2.09</v>
      </c>
      <c r="U226" s="64">
        <f>Ringkasan!U225</f>
        <v>100.74</v>
      </c>
      <c r="V226" s="64">
        <f>Ringkasan!V225</f>
        <v>0.51</v>
      </c>
      <c r="W226" s="64">
        <f>Ringkasan!W225</f>
        <v>100.94</v>
      </c>
      <c r="X226" s="64">
        <f>Ringkasan!X225</f>
        <v>101.77</v>
      </c>
      <c r="Y226" s="64">
        <f>Ringkasan!Y225</f>
        <v>100.74</v>
      </c>
      <c r="Z226" s="64">
        <f>Ringkasan!Z225</f>
        <v>51924</v>
      </c>
      <c r="AA226" s="64" t="str">
        <f>Ringkasan!AA225</f>
        <v>Banks</v>
      </c>
      <c r="AB226" s="64" t="str">
        <f>Ringkasan!AB225</f>
        <v>Financials</v>
      </c>
    </row>
    <row r="227" hidden="1">
      <c r="A227" s="64" t="str">
        <f>Ringkasan!A226</f>
        <v>BBCA</v>
      </c>
      <c r="B227" s="64" t="str">
        <f>Ringkasan!B226</f>
        <v>Bank Central Asia Tbk.</v>
      </c>
      <c r="C227" s="65" t="str">
        <f>Ringkasan!C226</f>
        <v>#N/A</v>
      </c>
      <c r="D227" s="64" t="str">
        <f>Ringkasan!D226</f>
        <v>#N/A</v>
      </c>
      <c r="E227" s="64" t="str">
        <f>Ringkasan!E226</f>
        <v>BISNIS-27</v>
      </c>
      <c r="F227" s="64" t="str">
        <f>Ringkasan!F226</f>
        <v>30 Oktober 2026</v>
      </c>
      <c r="G227" s="64">
        <f>Ringkasan!G226</f>
        <v>21</v>
      </c>
      <c r="H227" s="19">
        <f>Ringkasan!H226</f>
        <v>12.1</v>
      </c>
      <c r="I227" s="19">
        <f>Ringkasan!I226</f>
        <v>2.7</v>
      </c>
      <c r="J227" s="19">
        <f>Ringkasan!J226</f>
        <v>22.4</v>
      </c>
      <c r="K227" s="19">
        <f>Ringkasan!K226</f>
        <v>3.5</v>
      </c>
      <c r="L227" s="19">
        <f>Ringkasan!L226</f>
        <v>5.3</v>
      </c>
      <c r="M227" s="19">
        <f>Ringkasan!M226</f>
        <v>220</v>
      </c>
      <c r="N227" s="64">
        <f>Ringkasan!N226</f>
        <v>5.33</v>
      </c>
      <c r="O227" s="64">
        <f>Ringkasan!O226</f>
        <v>27.52</v>
      </c>
      <c r="P227" s="64">
        <f>Ringkasan!P226</f>
        <v>74.1</v>
      </c>
      <c r="Q227" s="64">
        <f>Ringkasan!Q226</f>
        <v>1.85</v>
      </c>
      <c r="R227" s="64">
        <f>Ringkasan!R226</f>
        <v>39.87</v>
      </c>
      <c r="S227" s="64">
        <f>Ringkasan!S226</f>
        <v>27.32</v>
      </c>
      <c r="T227" s="64">
        <f>Ringkasan!T226</f>
        <v>2.09</v>
      </c>
      <c r="U227" s="64">
        <f>Ringkasan!U226</f>
        <v>100.74</v>
      </c>
      <c r="V227" s="64">
        <f>Ringkasan!V226</f>
        <v>0.51</v>
      </c>
      <c r="W227" s="64">
        <f>Ringkasan!W226</f>
        <v>100.94</v>
      </c>
      <c r="X227" s="64">
        <f>Ringkasan!X226</f>
        <v>101.77</v>
      </c>
      <c r="Y227" s="64">
        <f>Ringkasan!Y226</f>
        <v>100.74</v>
      </c>
      <c r="Z227" s="64">
        <f>Ringkasan!Z226</f>
        <v>51924</v>
      </c>
      <c r="AA227" s="64" t="str">
        <f>Ringkasan!AA226</f>
        <v>Banks</v>
      </c>
      <c r="AB227" s="64" t="str">
        <f>Ringkasan!AB226</f>
        <v>Financials</v>
      </c>
    </row>
    <row r="228" hidden="1">
      <c r="A228" s="64" t="str">
        <f>Ringkasan!A337</f>
        <v>BIRD</v>
      </c>
      <c r="B228" s="64" t="str">
        <f>Ringkasan!B337</f>
        <v>PT Blue Bird Tbk</v>
      </c>
      <c r="C228" s="65">
        <f>Ringkasan!C337</f>
        <v>1540</v>
      </c>
      <c r="D228" s="64" t="str">
        <f>Ringkasan!D337</f>
        <v>#N/A</v>
      </c>
      <c r="E228" s="64" t="str">
        <f>Ringkasan!E337</f>
        <v/>
      </c>
      <c r="F228" s="64" t="str">
        <f>Ringkasan!F337</f>
        <v/>
      </c>
      <c r="G228" s="65">
        <f>Ringkasan!G337</f>
        <v>0</v>
      </c>
      <c r="H228" s="19">
        <f>Ringkasan!H337</f>
        <v>6.2</v>
      </c>
      <c r="I228" s="19">
        <f>Ringkasan!I337</f>
        <v>0.6</v>
      </c>
      <c r="J228" s="19">
        <f>Ringkasan!J337</f>
        <v>9.7</v>
      </c>
      <c r="K228" s="19">
        <f>Ringkasan!K337</f>
        <v>6.3</v>
      </c>
      <c r="L228" s="19">
        <f>Ringkasan!L337</f>
        <v>0.52</v>
      </c>
      <c r="M228" s="19">
        <f>Ringkasan!M337</f>
        <v>43.1</v>
      </c>
      <c r="N228" s="64" t="str">
        <f>Ringkasan!N337</f>
        <v/>
      </c>
      <c r="O228" s="64" t="str">
        <f>Ringkasan!O337</f>
        <v/>
      </c>
      <c r="P228" s="64" t="str">
        <f>Ringkasan!P337</f>
        <v/>
      </c>
      <c r="Q228" s="64" t="str">
        <f>Ringkasan!Q337</f>
        <v/>
      </c>
      <c r="R228" s="64" t="str">
        <f>Ringkasan!R337</f>
        <v/>
      </c>
      <c r="S228" s="64" t="str">
        <f>Ringkasan!S337</f>
        <v/>
      </c>
      <c r="T228" s="64" t="str">
        <f>Ringkasan!T337</f>
        <v/>
      </c>
      <c r="U228" s="64">
        <f>Ringkasan!U337</f>
        <v>3.88</v>
      </c>
      <c r="V228" s="64">
        <f>Ringkasan!V337</f>
        <v>-5.67</v>
      </c>
      <c r="W228" s="64">
        <f>Ringkasan!W337</f>
        <v>3.82</v>
      </c>
      <c r="X228" s="64">
        <f>Ringkasan!X337</f>
        <v>3.89</v>
      </c>
      <c r="Y228" s="64">
        <f>Ringkasan!Y337</f>
        <v>3.65</v>
      </c>
      <c r="Z228" s="64">
        <f>Ringkasan!Z337</f>
        <v>196077</v>
      </c>
      <c r="AA228" s="64" t="str">
        <f>Ringkasan!AA337</f>
        <v>Passenger Land Transportation</v>
      </c>
      <c r="AB228" s="64" t="str">
        <f>Ringkasan!AB337</f>
        <v>Transportation &amp; Logistic</v>
      </c>
    </row>
    <row r="229" hidden="1">
      <c r="A229" s="64" t="str">
        <f>Ringkasan!A501</f>
        <v>CDIA</v>
      </c>
      <c r="B229" s="64" t="str">
        <f>Ringkasan!B501</f>
        <v>Chandra Daya Investasi Tbk.</v>
      </c>
      <c r="C229" s="65">
        <f>Ringkasan!C501</f>
        <v>690</v>
      </c>
      <c r="D229" s="64" t="str">
        <f>Ringkasan!D501</f>
        <v>#N/A</v>
      </c>
      <c r="E229" s="64" t="str">
        <f>Ringkasan!E501</f>
        <v/>
      </c>
      <c r="F229" s="64" t="str">
        <f>Ringkasan!F501</f>
        <v/>
      </c>
      <c r="G229" s="64">
        <f>Ringkasan!G501</f>
        <v>0</v>
      </c>
      <c r="H229" s="19">
        <f>Ringkasan!H501</f>
        <v>62.6</v>
      </c>
      <c r="I229" s="19">
        <f>Ringkasan!I501</f>
        <v>5.5</v>
      </c>
      <c r="J229" s="19">
        <f>Ringkasan!J501</f>
        <v>8.8</v>
      </c>
      <c r="K229" s="19">
        <f>Ringkasan!K501</f>
        <v>5.2</v>
      </c>
      <c r="L229" s="19">
        <f>Ringkasan!L501</f>
        <v>0.68</v>
      </c>
      <c r="M229" s="19">
        <f>Ringkasan!M501</f>
        <v>240</v>
      </c>
      <c r="N229" s="64" t="str">
        <f>Ringkasan!N501</f>
        <v/>
      </c>
      <c r="O229" s="64" t="str">
        <f>Ringkasan!O501</f>
        <v/>
      </c>
      <c r="P229" s="64" t="str">
        <f>Ringkasan!P501</f>
        <v/>
      </c>
      <c r="Q229" s="64" t="str">
        <f>Ringkasan!Q501</f>
        <v/>
      </c>
      <c r="R229" s="64" t="str">
        <f>Ringkasan!R501</f>
        <v/>
      </c>
      <c r="S229" s="64" t="str">
        <f>Ringkasan!S501</f>
        <v/>
      </c>
      <c r="T229" s="64" t="str">
        <f>Ringkasan!T501</f>
        <v/>
      </c>
      <c r="U229" s="64">
        <f>Ringkasan!U501</f>
        <v>655</v>
      </c>
      <c r="V229" s="64">
        <f>Ringkasan!V501</f>
        <v>5.34</v>
      </c>
      <c r="W229" s="64">
        <f>Ringkasan!W501</f>
        <v>675</v>
      </c>
      <c r="X229" s="64">
        <f>Ringkasan!X501</f>
        <v>710</v>
      </c>
      <c r="Y229" s="64">
        <f>Ringkasan!Y501</f>
        <v>670</v>
      </c>
      <c r="Z229" s="64">
        <f>Ringkasan!Z501</f>
        <v>61257800</v>
      </c>
      <c r="AA229" s="64" t="str">
        <f>Ringkasan!AA501</f>
        <v>Electric Utilities</v>
      </c>
      <c r="AB229" s="64" t="str">
        <f>Ringkasan!AB501</f>
        <v>Infrastructures</v>
      </c>
    </row>
    <row r="230" hidden="1">
      <c r="A230" s="64" t="str">
        <f>Ringkasan!A229</f>
        <v>BBCA</v>
      </c>
      <c r="B230" s="64" t="str">
        <f>Ringkasan!B229</f>
        <v>Bank Central Asia Tbk.</v>
      </c>
      <c r="C230" s="65" t="str">
        <f>Ringkasan!C229</f>
        <v>#N/A</v>
      </c>
      <c r="D230" s="64" t="str">
        <f>Ringkasan!D229</f>
        <v>#N/A</v>
      </c>
      <c r="E230" s="64" t="str">
        <f>Ringkasan!E229</f>
        <v>IDXHIDIV20</v>
      </c>
      <c r="F230" s="64" t="str">
        <f>Ringkasan!F229</f>
        <v>2 Februari 2027</v>
      </c>
      <c r="G230" s="64">
        <f>Ringkasan!G229</f>
        <v>21</v>
      </c>
      <c r="H230" s="19">
        <f>Ringkasan!H229</f>
        <v>12.1</v>
      </c>
      <c r="I230" s="19">
        <f>Ringkasan!I229</f>
        <v>2.7</v>
      </c>
      <c r="J230" s="19">
        <f>Ringkasan!J229</f>
        <v>22.4</v>
      </c>
      <c r="K230" s="19">
        <f>Ringkasan!K229</f>
        <v>3.5</v>
      </c>
      <c r="L230" s="19">
        <f>Ringkasan!L229</f>
        <v>5.3</v>
      </c>
      <c r="M230" s="19">
        <f>Ringkasan!M229</f>
        <v>220</v>
      </c>
      <c r="N230" s="64">
        <f>Ringkasan!N229</f>
        <v>5.33</v>
      </c>
      <c r="O230" s="64">
        <f>Ringkasan!O229</f>
        <v>27.52</v>
      </c>
      <c r="P230" s="64">
        <f>Ringkasan!P229</f>
        <v>74.1</v>
      </c>
      <c r="Q230" s="64">
        <f>Ringkasan!Q229</f>
        <v>1.85</v>
      </c>
      <c r="R230" s="64">
        <f>Ringkasan!R229</f>
        <v>39.87</v>
      </c>
      <c r="S230" s="64">
        <f>Ringkasan!S229</f>
        <v>27.32</v>
      </c>
      <c r="T230" s="64">
        <f>Ringkasan!T229</f>
        <v>2.09</v>
      </c>
      <c r="U230" s="64">
        <f>Ringkasan!U229</f>
        <v>100.74</v>
      </c>
      <c r="V230" s="64">
        <f>Ringkasan!V229</f>
        <v>0.51</v>
      </c>
      <c r="W230" s="64">
        <f>Ringkasan!W229</f>
        <v>100.94</v>
      </c>
      <c r="X230" s="64">
        <f>Ringkasan!X229</f>
        <v>101.77</v>
      </c>
      <c r="Y230" s="64">
        <f>Ringkasan!Y229</f>
        <v>100.74</v>
      </c>
      <c r="Z230" s="64">
        <f>Ringkasan!Z229</f>
        <v>51924</v>
      </c>
      <c r="AA230" s="64" t="str">
        <f>Ringkasan!AA229</f>
        <v>Banks</v>
      </c>
      <c r="AB230" s="64" t="str">
        <f>Ringkasan!AB229</f>
        <v>Financials</v>
      </c>
    </row>
    <row r="231" hidden="1">
      <c r="A231" s="64" t="str">
        <f>Ringkasan!A555</f>
        <v>CSMI</v>
      </c>
      <c r="B231" s="64" t="str">
        <f>Ringkasan!B555</f>
        <v>Cipta Selera Murni Tbk.</v>
      </c>
      <c r="C231" s="65">
        <f>Ringkasan!C555</f>
        <v>73</v>
      </c>
      <c r="D231" s="64" t="str">
        <f>Ringkasan!D555</f>
        <v>#N/A</v>
      </c>
      <c r="E231" s="64" t="str">
        <f>Ringkasan!E555</f>
        <v/>
      </c>
      <c r="F231" s="64" t="str">
        <f>Ringkasan!F555</f>
        <v/>
      </c>
      <c r="G231" s="64">
        <f>Ringkasan!G555</f>
        <v>0</v>
      </c>
      <c r="H231" s="19">
        <f>Ringkasan!H555</f>
        <v>-75.9</v>
      </c>
      <c r="I231" s="19">
        <f>Ringkasan!I555</f>
        <v>17.2</v>
      </c>
      <c r="J231" s="19">
        <f>Ringkasan!J555</f>
        <v>-22.7</v>
      </c>
      <c r="K231" s="19">
        <f>Ringkasan!K555</f>
        <v>-2.2</v>
      </c>
      <c r="L231" s="19">
        <f>Ringkasan!L555</f>
        <v>9.5</v>
      </c>
      <c r="M231" s="19">
        <f>Ringkasan!M555</f>
        <v>-150</v>
      </c>
      <c r="N231" s="64" t="str">
        <f>Ringkasan!N555</f>
        <v/>
      </c>
      <c r="O231" s="64" t="str">
        <f>Ringkasan!O555</f>
        <v/>
      </c>
      <c r="P231" s="64" t="str">
        <f>Ringkasan!P555</f>
        <v/>
      </c>
      <c r="Q231" s="64" t="str">
        <f>Ringkasan!Q555</f>
        <v/>
      </c>
      <c r="R231" s="64" t="str">
        <f>Ringkasan!R555</f>
        <v/>
      </c>
      <c r="S231" s="64" t="str">
        <f>Ringkasan!S555</f>
        <v/>
      </c>
      <c r="T231" s="64" t="str">
        <f>Ringkasan!T555</f>
        <v/>
      </c>
      <c r="U231" s="64">
        <f>Ringkasan!U555</f>
        <v>70</v>
      </c>
      <c r="V231" s="64">
        <f>Ringkasan!V555</f>
        <v>4.29</v>
      </c>
      <c r="W231" s="64">
        <f>Ringkasan!W555</f>
        <v>69</v>
      </c>
      <c r="X231" s="64">
        <f>Ringkasan!X555</f>
        <v>73</v>
      </c>
      <c r="Y231" s="64">
        <f>Ringkasan!Y555</f>
        <v>69</v>
      </c>
      <c r="Z231" s="64">
        <f>Ringkasan!Z555</f>
        <v>9536700</v>
      </c>
      <c r="AA231" s="64" t="str">
        <f>Ringkasan!AA555</f>
        <v>Tourism &amp; Recreation</v>
      </c>
      <c r="AB231" s="64" t="str">
        <f>Ringkasan!AB555</f>
        <v>Consumer Cyclicals</v>
      </c>
    </row>
    <row r="232" hidden="1">
      <c r="A232" s="64" t="str">
        <f>Ringkasan!A231</f>
        <v>BBCA</v>
      </c>
      <c r="B232" s="64" t="str">
        <f>Ringkasan!B231</f>
        <v>Bank Central Asia Tbk.</v>
      </c>
      <c r="C232" s="65" t="str">
        <f>Ringkasan!C231</f>
        <v>#N/A</v>
      </c>
      <c r="D232" s="64" t="str">
        <f>Ringkasan!D231</f>
        <v>#N/A</v>
      </c>
      <c r="E232" s="64" t="str">
        <f>Ringkasan!E231</f>
        <v>Infobank15</v>
      </c>
      <c r="F232" s="64" t="str">
        <f>Ringkasan!F231</f>
        <v>30 Juni 2026</v>
      </c>
      <c r="G232" s="64">
        <f>Ringkasan!G231</f>
        <v>21</v>
      </c>
      <c r="H232" s="19">
        <f>Ringkasan!H231</f>
        <v>12.1</v>
      </c>
      <c r="I232" s="19">
        <f>Ringkasan!I231</f>
        <v>2.7</v>
      </c>
      <c r="J232" s="19">
        <f>Ringkasan!J231</f>
        <v>22.4</v>
      </c>
      <c r="K232" s="19">
        <f>Ringkasan!K231</f>
        <v>3.5</v>
      </c>
      <c r="L232" s="19">
        <f>Ringkasan!L231</f>
        <v>5.3</v>
      </c>
      <c r="M232" s="19">
        <f>Ringkasan!M231</f>
        <v>220</v>
      </c>
      <c r="N232" s="64">
        <f>Ringkasan!N231</f>
        <v>5.33</v>
      </c>
      <c r="O232" s="64">
        <f>Ringkasan!O231</f>
        <v>27.52</v>
      </c>
      <c r="P232" s="64">
        <f>Ringkasan!P231</f>
        <v>74.1</v>
      </c>
      <c r="Q232" s="64">
        <f>Ringkasan!Q231</f>
        <v>1.85</v>
      </c>
      <c r="R232" s="64">
        <f>Ringkasan!R231</f>
        <v>39.87</v>
      </c>
      <c r="S232" s="64">
        <f>Ringkasan!S231</f>
        <v>27.32</v>
      </c>
      <c r="T232" s="64">
        <f>Ringkasan!T231</f>
        <v>2.09</v>
      </c>
      <c r="U232" s="64">
        <f>Ringkasan!U231</f>
        <v>100.74</v>
      </c>
      <c r="V232" s="64">
        <f>Ringkasan!V231</f>
        <v>0.51</v>
      </c>
      <c r="W232" s="64">
        <f>Ringkasan!W231</f>
        <v>100.94</v>
      </c>
      <c r="X232" s="64">
        <f>Ringkasan!X231</f>
        <v>101.77</v>
      </c>
      <c r="Y232" s="64">
        <f>Ringkasan!Y231</f>
        <v>100.74</v>
      </c>
      <c r="Z232" s="64">
        <f>Ringkasan!Z231</f>
        <v>51924</v>
      </c>
      <c r="AA232" s="64" t="str">
        <f>Ringkasan!AA231</f>
        <v>Banks</v>
      </c>
      <c r="AB232" s="64" t="str">
        <f>Ringkasan!AB231</f>
        <v>Financials</v>
      </c>
    </row>
    <row r="233" hidden="1">
      <c r="A233" s="64" t="str">
        <f>Ringkasan!A232</f>
        <v>BBCA</v>
      </c>
      <c r="B233" s="64" t="str">
        <f>Ringkasan!B232</f>
        <v>Bank Central Asia Tbk.</v>
      </c>
      <c r="C233" s="65" t="str">
        <f>Ringkasan!C232</f>
        <v>#N/A</v>
      </c>
      <c r="D233" s="64" t="str">
        <f>Ringkasan!D232</f>
        <v>#N/A</v>
      </c>
      <c r="E233" s="64" t="str">
        <f>Ringkasan!E232</f>
        <v>IDX30</v>
      </c>
      <c r="F233" s="64" t="str">
        <f>Ringkasan!F232</f>
        <v>31 Juli 2026</v>
      </c>
      <c r="G233" s="64">
        <f>Ringkasan!G232</f>
        <v>21</v>
      </c>
      <c r="H233" s="19">
        <f>Ringkasan!H232</f>
        <v>12.1</v>
      </c>
      <c r="I233" s="19">
        <f>Ringkasan!I232</f>
        <v>2.7</v>
      </c>
      <c r="J233" s="19">
        <f>Ringkasan!J232</f>
        <v>22.4</v>
      </c>
      <c r="K233" s="19">
        <f>Ringkasan!K232</f>
        <v>3.5</v>
      </c>
      <c r="L233" s="19">
        <f>Ringkasan!L232</f>
        <v>5.3</v>
      </c>
      <c r="M233" s="19">
        <f>Ringkasan!M232</f>
        <v>220</v>
      </c>
      <c r="N233" s="64">
        <f>Ringkasan!N232</f>
        <v>5.33</v>
      </c>
      <c r="O233" s="64">
        <f>Ringkasan!O232</f>
        <v>27.52</v>
      </c>
      <c r="P233" s="64">
        <f>Ringkasan!P232</f>
        <v>74.1</v>
      </c>
      <c r="Q233" s="64">
        <f>Ringkasan!Q232</f>
        <v>1.85</v>
      </c>
      <c r="R233" s="64">
        <f>Ringkasan!R232</f>
        <v>39.87</v>
      </c>
      <c r="S233" s="64">
        <f>Ringkasan!S232</f>
        <v>27.32</v>
      </c>
      <c r="T233" s="64">
        <f>Ringkasan!T232</f>
        <v>2.09</v>
      </c>
      <c r="U233" s="64">
        <f>Ringkasan!U232</f>
        <v>100.74</v>
      </c>
      <c r="V233" s="64">
        <f>Ringkasan!V232</f>
        <v>0.51</v>
      </c>
      <c r="W233" s="64">
        <f>Ringkasan!W232</f>
        <v>100.94</v>
      </c>
      <c r="X233" s="64">
        <f>Ringkasan!X232</f>
        <v>101.77</v>
      </c>
      <c r="Y233" s="64">
        <f>Ringkasan!Y232</f>
        <v>100.74</v>
      </c>
      <c r="Z233" s="64">
        <f>Ringkasan!Z232</f>
        <v>51924</v>
      </c>
      <c r="AA233" s="64" t="str">
        <f>Ringkasan!AA232</f>
        <v>Banks</v>
      </c>
      <c r="AB233" s="64" t="str">
        <f>Ringkasan!AB232</f>
        <v>Financials</v>
      </c>
    </row>
    <row r="234" hidden="1">
      <c r="A234" s="64" t="str">
        <f>Ringkasan!A233</f>
        <v>BBCA</v>
      </c>
      <c r="B234" s="64" t="str">
        <f>Ringkasan!B233</f>
        <v>Bank Central Asia Tbk.</v>
      </c>
      <c r="C234" s="65" t="str">
        <f>Ringkasan!C233</f>
        <v>#N/A</v>
      </c>
      <c r="D234" s="64" t="str">
        <f>Ringkasan!D233</f>
        <v>#N/A</v>
      </c>
      <c r="E234" s="64" t="str">
        <f>Ringkasan!E233</f>
        <v>LQ45</v>
      </c>
      <c r="F234" s="64" t="str">
        <f>Ringkasan!F233</f>
        <v>31 Juli 2026</v>
      </c>
      <c r="G234" s="64">
        <f>Ringkasan!G233</f>
        <v>21</v>
      </c>
      <c r="H234" s="19">
        <f>Ringkasan!H233</f>
        <v>12.1</v>
      </c>
      <c r="I234" s="19">
        <f>Ringkasan!I233</f>
        <v>2.7</v>
      </c>
      <c r="J234" s="19">
        <f>Ringkasan!J233</f>
        <v>22.4</v>
      </c>
      <c r="K234" s="19">
        <f>Ringkasan!K233</f>
        <v>3.5</v>
      </c>
      <c r="L234" s="19">
        <f>Ringkasan!L233</f>
        <v>5.3</v>
      </c>
      <c r="M234" s="19">
        <f>Ringkasan!M233</f>
        <v>220</v>
      </c>
      <c r="N234" s="64">
        <f>Ringkasan!N233</f>
        <v>5.33</v>
      </c>
      <c r="O234" s="64">
        <f>Ringkasan!O233</f>
        <v>27.52</v>
      </c>
      <c r="P234" s="64">
        <f>Ringkasan!P233</f>
        <v>74.1</v>
      </c>
      <c r="Q234" s="64">
        <f>Ringkasan!Q233</f>
        <v>1.85</v>
      </c>
      <c r="R234" s="64">
        <f>Ringkasan!R233</f>
        <v>39.87</v>
      </c>
      <c r="S234" s="64">
        <f>Ringkasan!S233</f>
        <v>27.32</v>
      </c>
      <c r="T234" s="64">
        <f>Ringkasan!T233</f>
        <v>2.09</v>
      </c>
      <c r="U234" s="64">
        <f>Ringkasan!U233</f>
        <v>100.74</v>
      </c>
      <c r="V234" s="64">
        <f>Ringkasan!V233</f>
        <v>0.51</v>
      </c>
      <c r="W234" s="64">
        <f>Ringkasan!W233</f>
        <v>100.94</v>
      </c>
      <c r="X234" s="64">
        <f>Ringkasan!X233</f>
        <v>101.77</v>
      </c>
      <c r="Y234" s="64">
        <f>Ringkasan!Y233</f>
        <v>100.74</v>
      </c>
      <c r="Z234" s="64">
        <f>Ringkasan!Z233</f>
        <v>51924</v>
      </c>
      <c r="AA234" s="64" t="str">
        <f>Ringkasan!AA233</f>
        <v>Banks</v>
      </c>
      <c r="AB234" s="64" t="str">
        <f>Ringkasan!AB233</f>
        <v>Financials</v>
      </c>
    </row>
    <row r="235" hidden="1">
      <c r="A235" s="64" t="str">
        <f>Ringkasan!A234</f>
        <v>BBCA</v>
      </c>
      <c r="B235" s="64" t="str">
        <f>Ringkasan!B234</f>
        <v>Bank Central Asia Tbk.</v>
      </c>
      <c r="C235" s="65" t="str">
        <f>Ringkasan!C234</f>
        <v>#N/A</v>
      </c>
      <c r="D235" s="64" t="str">
        <f>Ringkasan!D234</f>
        <v>#N/A</v>
      </c>
      <c r="E235" s="64" t="str">
        <f>Ringkasan!E234</f>
        <v>IDX80</v>
      </c>
      <c r="F235" s="64" t="str">
        <f>Ringkasan!F234</f>
        <v>31 Juli 2026</v>
      </c>
      <c r="G235" s="64">
        <f>Ringkasan!G234</f>
        <v>21</v>
      </c>
      <c r="H235" s="19">
        <f>Ringkasan!H234</f>
        <v>12.1</v>
      </c>
      <c r="I235" s="19">
        <f>Ringkasan!I234</f>
        <v>2.7</v>
      </c>
      <c r="J235" s="19">
        <f>Ringkasan!J234</f>
        <v>22.4</v>
      </c>
      <c r="K235" s="19">
        <f>Ringkasan!K234</f>
        <v>3.5</v>
      </c>
      <c r="L235" s="19">
        <f>Ringkasan!L234</f>
        <v>5.3</v>
      </c>
      <c r="M235" s="19">
        <f>Ringkasan!M234</f>
        <v>220</v>
      </c>
      <c r="N235" s="64">
        <f>Ringkasan!N234</f>
        <v>5.33</v>
      </c>
      <c r="O235" s="64">
        <f>Ringkasan!O234</f>
        <v>27.52</v>
      </c>
      <c r="P235" s="64">
        <f>Ringkasan!P234</f>
        <v>74.1</v>
      </c>
      <c r="Q235" s="64">
        <f>Ringkasan!Q234</f>
        <v>1.85</v>
      </c>
      <c r="R235" s="64">
        <f>Ringkasan!R234</f>
        <v>39.87</v>
      </c>
      <c r="S235" s="64">
        <f>Ringkasan!S234</f>
        <v>27.32</v>
      </c>
      <c r="T235" s="64">
        <f>Ringkasan!T234</f>
        <v>2.09</v>
      </c>
      <c r="U235" s="64">
        <f>Ringkasan!U234</f>
        <v>100.74</v>
      </c>
      <c r="V235" s="64">
        <f>Ringkasan!V234</f>
        <v>0.51</v>
      </c>
      <c r="W235" s="64">
        <f>Ringkasan!W234</f>
        <v>100.94</v>
      </c>
      <c r="X235" s="64">
        <f>Ringkasan!X234</f>
        <v>101.77</v>
      </c>
      <c r="Y235" s="64">
        <f>Ringkasan!Y234</f>
        <v>100.74</v>
      </c>
      <c r="Z235" s="64">
        <f>Ringkasan!Z234</f>
        <v>51924</v>
      </c>
      <c r="AA235" s="64" t="str">
        <f>Ringkasan!AA234</f>
        <v>Banks</v>
      </c>
      <c r="AB235" s="64" t="str">
        <f>Ringkasan!AB234</f>
        <v>Financials</v>
      </c>
    </row>
    <row r="236" hidden="1">
      <c r="A236" s="64" t="str">
        <f>Ringkasan!A235</f>
        <v>BBCA</v>
      </c>
      <c r="B236" s="64" t="str">
        <f>Ringkasan!B235</f>
        <v>Bank Central Asia Tbk.</v>
      </c>
      <c r="C236" s="65" t="str">
        <f>Ringkasan!C235</f>
        <v>#N/A</v>
      </c>
      <c r="D236" s="64" t="str">
        <f>Ringkasan!D235</f>
        <v>#N/A</v>
      </c>
      <c r="E236" s="64" t="str">
        <f>Ringkasan!E235</f>
        <v>Pefindo - iGrade</v>
      </c>
      <c r="F236" s="64" t="str">
        <f>Ringkasan!F235</f>
        <v>30 Juni 2026</v>
      </c>
      <c r="G236" s="64">
        <f>Ringkasan!G235</f>
        <v>21</v>
      </c>
      <c r="H236" s="19">
        <f>Ringkasan!H235</f>
        <v>12.1</v>
      </c>
      <c r="I236" s="19">
        <f>Ringkasan!I235</f>
        <v>2.7</v>
      </c>
      <c r="J236" s="19">
        <f>Ringkasan!J235</f>
        <v>22.4</v>
      </c>
      <c r="K236" s="19">
        <f>Ringkasan!K235</f>
        <v>3.5</v>
      </c>
      <c r="L236" s="19">
        <f>Ringkasan!L235</f>
        <v>5.3</v>
      </c>
      <c r="M236" s="19">
        <f>Ringkasan!M235</f>
        <v>220</v>
      </c>
      <c r="N236" s="64">
        <f>Ringkasan!N235</f>
        <v>5.33</v>
      </c>
      <c r="O236" s="64">
        <f>Ringkasan!O235</f>
        <v>27.52</v>
      </c>
      <c r="P236" s="64">
        <f>Ringkasan!P235</f>
        <v>74.1</v>
      </c>
      <c r="Q236" s="64">
        <f>Ringkasan!Q235</f>
        <v>1.85</v>
      </c>
      <c r="R236" s="64">
        <f>Ringkasan!R235</f>
        <v>39.87</v>
      </c>
      <c r="S236" s="64">
        <f>Ringkasan!S235</f>
        <v>27.32</v>
      </c>
      <c r="T236" s="64">
        <f>Ringkasan!T235</f>
        <v>2.09</v>
      </c>
      <c r="U236" s="64">
        <f>Ringkasan!U235</f>
        <v>100.74</v>
      </c>
      <c r="V236" s="64">
        <f>Ringkasan!V235</f>
        <v>0.51</v>
      </c>
      <c r="W236" s="64">
        <f>Ringkasan!W235</f>
        <v>100.94</v>
      </c>
      <c r="X236" s="64">
        <f>Ringkasan!X235</f>
        <v>101.77</v>
      </c>
      <c r="Y236" s="64">
        <f>Ringkasan!Y235</f>
        <v>100.74</v>
      </c>
      <c r="Z236" s="64">
        <f>Ringkasan!Z235</f>
        <v>51924</v>
      </c>
      <c r="AA236" s="64" t="str">
        <f>Ringkasan!AA235</f>
        <v>Banks</v>
      </c>
      <c r="AB236" s="64" t="str">
        <f>Ringkasan!AB235</f>
        <v>Financials</v>
      </c>
    </row>
    <row r="237" hidden="1">
      <c r="A237" s="64" t="str">
        <f>Ringkasan!A236</f>
        <v>BBCA</v>
      </c>
      <c r="B237" s="64" t="str">
        <f>Ringkasan!B236</f>
        <v>Bank Central Asia Tbk.</v>
      </c>
      <c r="C237" s="65" t="str">
        <f>Ringkasan!C236</f>
        <v>#N/A</v>
      </c>
      <c r="D237" s="64" t="str">
        <f>Ringkasan!D236</f>
        <v>#N/A</v>
      </c>
      <c r="E237" s="64" t="str">
        <f>Ringkasan!E236</f>
        <v>IDXVESTA28</v>
      </c>
      <c r="F237" s="64" t="str">
        <f>Ringkasan!F236</f>
        <v>31 Agustus 2026</v>
      </c>
      <c r="G237" s="64">
        <f>Ringkasan!G236</f>
        <v>21</v>
      </c>
      <c r="H237" s="19">
        <f>Ringkasan!H236</f>
        <v>12.1</v>
      </c>
      <c r="I237" s="19">
        <f>Ringkasan!I236</f>
        <v>2.7</v>
      </c>
      <c r="J237" s="19">
        <f>Ringkasan!J236</f>
        <v>22.4</v>
      </c>
      <c r="K237" s="19">
        <f>Ringkasan!K236</f>
        <v>3.5</v>
      </c>
      <c r="L237" s="19">
        <f>Ringkasan!L236</f>
        <v>5.3</v>
      </c>
      <c r="M237" s="19">
        <f>Ringkasan!M236</f>
        <v>220</v>
      </c>
      <c r="N237" s="64">
        <f>Ringkasan!N236</f>
        <v>5.33</v>
      </c>
      <c r="O237" s="64">
        <f>Ringkasan!O236</f>
        <v>27.52</v>
      </c>
      <c r="P237" s="64">
        <f>Ringkasan!P236</f>
        <v>74.1</v>
      </c>
      <c r="Q237" s="64">
        <f>Ringkasan!Q236</f>
        <v>1.85</v>
      </c>
      <c r="R237" s="64">
        <f>Ringkasan!R236</f>
        <v>39.87</v>
      </c>
      <c r="S237" s="64">
        <f>Ringkasan!S236</f>
        <v>27.32</v>
      </c>
      <c r="T237" s="64">
        <f>Ringkasan!T236</f>
        <v>2.09</v>
      </c>
      <c r="U237" s="64">
        <f>Ringkasan!U236</f>
        <v>100.74</v>
      </c>
      <c r="V237" s="64">
        <f>Ringkasan!V236</f>
        <v>0.51</v>
      </c>
      <c r="W237" s="64">
        <f>Ringkasan!W236</f>
        <v>100.94</v>
      </c>
      <c r="X237" s="64">
        <f>Ringkasan!X236</f>
        <v>101.77</v>
      </c>
      <c r="Y237" s="64">
        <f>Ringkasan!Y236</f>
        <v>100.74</v>
      </c>
      <c r="Z237" s="64">
        <f>Ringkasan!Z236</f>
        <v>51924</v>
      </c>
      <c r="AA237" s="64" t="str">
        <f>Ringkasan!AA236</f>
        <v>Banks</v>
      </c>
      <c r="AB237" s="64" t="str">
        <f>Ringkasan!AB236</f>
        <v>Financials</v>
      </c>
    </row>
    <row r="238" hidden="1">
      <c r="A238" s="64" t="str">
        <f>Ringkasan!A777</f>
        <v>GULA</v>
      </c>
      <c r="B238" s="64" t="str">
        <f>Ringkasan!B777</f>
        <v>Aman Agrindo Tbk.</v>
      </c>
      <c r="C238" s="65">
        <f>Ringkasan!C777</f>
        <v>575</v>
      </c>
      <c r="D238" s="64" t="str">
        <f>Ringkasan!D777</f>
        <v>#N/A</v>
      </c>
      <c r="E238" s="64" t="str">
        <f>Ringkasan!E777</f>
        <v/>
      </c>
      <c r="F238" s="64" t="str">
        <f>Ringkasan!F777</f>
        <v/>
      </c>
      <c r="G238" s="64">
        <f>Ringkasan!G777</f>
        <v>0</v>
      </c>
      <c r="H238" s="19">
        <f>Ringkasan!H777</f>
        <v>-100</v>
      </c>
      <c r="I238" s="19">
        <f>Ringkasan!I777</f>
        <v>4.1</v>
      </c>
      <c r="J238" s="19">
        <f>Ringkasan!J777</f>
        <v>-4</v>
      </c>
      <c r="K238" s="19">
        <f>Ringkasan!K777</f>
        <v>-2.6</v>
      </c>
      <c r="L238" s="19">
        <f>Ringkasan!L777</f>
        <v>0.53</v>
      </c>
      <c r="M238" s="19">
        <f>Ringkasan!M777</f>
        <v>-14.1</v>
      </c>
      <c r="N238" s="64" t="str">
        <f>Ringkasan!N777</f>
        <v/>
      </c>
      <c r="O238" s="64" t="str">
        <f>Ringkasan!O777</f>
        <v/>
      </c>
      <c r="P238" s="64" t="str">
        <f>Ringkasan!P777</f>
        <v/>
      </c>
      <c r="Q238" s="64" t="str">
        <f>Ringkasan!Q777</f>
        <v/>
      </c>
      <c r="R238" s="64" t="str">
        <f>Ringkasan!R777</f>
        <v/>
      </c>
      <c r="S238" s="64" t="str">
        <f>Ringkasan!S777</f>
        <v/>
      </c>
      <c r="T238" s="64" t="str">
        <f>Ringkasan!T777</f>
        <v/>
      </c>
      <c r="U238" s="64">
        <f>Ringkasan!U777</f>
        <v>555</v>
      </c>
      <c r="V238" s="64" t="str">
        <f>Ringkasan!V777</f>
        <v/>
      </c>
      <c r="W238" s="64">
        <f>Ringkasan!W777</f>
        <v>555</v>
      </c>
      <c r="X238" s="64">
        <f>Ringkasan!X777</f>
        <v>610</v>
      </c>
      <c r="Y238" s="64">
        <f>Ringkasan!Y777</f>
        <v>550</v>
      </c>
      <c r="Z238" s="64">
        <f>Ringkasan!Z777</f>
        <v>48664800</v>
      </c>
      <c r="AA238" s="64" t="str">
        <f>Ringkasan!AA777</f>
        <v>Processed Foods</v>
      </c>
      <c r="AB238" s="64" t="str">
        <f>Ringkasan!AB777</f>
        <v>Consumer Non-Cyclicals</v>
      </c>
    </row>
    <row r="239" hidden="1">
      <c r="A239" s="64" t="str">
        <f>Ringkasan!A238</f>
        <v>BBCA</v>
      </c>
      <c r="B239" s="64" t="str">
        <f>Ringkasan!B238</f>
        <v>Bank Central Asia Tbk.</v>
      </c>
      <c r="C239" s="65" t="str">
        <f>Ringkasan!C238</f>
        <v>#N/A</v>
      </c>
      <c r="D239" s="64" t="str">
        <f>Ringkasan!D238</f>
        <v>#N/A</v>
      </c>
      <c r="E239" s="64" t="str">
        <f>Ringkasan!E238</f>
        <v>FTSE Large Cap</v>
      </c>
      <c r="F239" s="64" t="str">
        <f>Ringkasan!F238</f>
        <v>Juni 2026</v>
      </c>
      <c r="G239" s="64">
        <f>Ringkasan!G238</f>
        <v>21</v>
      </c>
      <c r="H239" s="19">
        <f>Ringkasan!H238</f>
        <v>12.1</v>
      </c>
      <c r="I239" s="19">
        <f>Ringkasan!I238</f>
        <v>2.7</v>
      </c>
      <c r="J239" s="19">
        <f>Ringkasan!J238</f>
        <v>22.4</v>
      </c>
      <c r="K239" s="19">
        <f>Ringkasan!K238</f>
        <v>3.5</v>
      </c>
      <c r="L239" s="19">
        <f>Ringkasan!L238</f>
        <v>5.3</v>
      </c>
      <c r="M239" s="19">
        <f>Ringkasan!M238</f>
        <v>220</v>
      </c>
      <c r="N239" s="64">
        <f>Ringkasan!N238</f>
        <v>5.33</v>
      </c>
      <c r="O239" s="64">
        <f>Ringkasan!O238</f>
        <v>27.52</v>
      </c>
      <c r="P239" s="64">
        <f>Ringkasan!P238</f>
        <v>74.1</v>
      </c>
      <c r="Q239" s="64">
        <f>Ringkasan!Q238</f>
        <v>1.85</v>
      </c>
      <c r="R239" s="64">
        <f>Ringkasan!R238</f>
        <v>39.87</v>
      </c>
      <c r="S239" s="64">
        <f>Ringkasan!S238</f>
        <v>27.32</v>
      </c>
      <c r="T239" s="64">
        <f>Ringkasan!T238</f>
        <v>2.09</v>
      </c>
      <c r="U239" s="64">
        <f>Ringkasan!U238</f>
        <v>100.74</v>
      </c>
      <c r="V239" s="64">
        <f>Ringkasan!V238</f>
        <v>0.51</v>
      </c>
      <c r="W239" s="64">
        <f>Ringkasan!W238</f>
        <v>100.94</v>
      </c>
      <c r="X239" s="64">
        <f>Ringkasan!X238</f>
        <v>101.77</v>
      </c>
      <c r="Y239" s="64">
        <f>Ringkasan!Y238</f>
        <v>100.74</v>
      </c>
      <c r="Z239" s="64">
        <f>Ringkasan!Z238</f>
        <v>51924</v>
      </c>
      <c r="AA239" s="64" t="str">
        <f>Ringkasan!AA238</f>
        <v>Banks</v>
      </c>
      <c r="AB239" s="64" t="str">
        <f>Ringkasan!AB238</f>
        <v>Financials</v>
      </c>
    </row>
    <row r="240" hidden="1">
      <c r="A240" s="64" t="str">
        <f>Ringkasan!A239</f>
        <v>BBCA</v>
      </c>
      <c r="B240" s="64" t="str">
        <f>Ringkasan!B239</f>
        <v>Bank Central Asia Tbk.</v>
      </c>
      <c r="C240" s="65" t="str">
        <f>Ringkasan!C239</f>
        <v>#N/A</v>
      </c>
      <c r="D240" s="64" t="str">
        <f>Ringkasan!D239</f>
        <v>#N/A</v>
      </c>
      <c r="E240" s="64" t="str">
        <f>Ringkasan!E239</f>
        <v>ESGSKEHATI</v>
      </c>
      <c r="F240" s="66">
        <f>Ringkasan!F239</f>
        <v>46356</v>
      </c>
      <c r="G240" s="64">
        <f>Ringkasan!G239</f>
        <v>21</v>
      </c>
      <c r="H240" s="19">
        <f>Ringkasan!H239</f>
        <v>12.1</v>
      </c>
      <c r="I240" s="19">
        <f>Ringkasan!I239</f>
        <v>2.7</v>
      </c>
      <c r="J240" s="19">
        <f>Ringkasan!J239</f>
        <v>22.4</v>
      </c>
      <c r="K240" s="19">
        <f>Ringkasan!K239</f>
        <v>3.5</v>
      </c>
      <c r="L240" s="19">
        <f>Ringkasan!L239</f>
        <v>5.3</v>
      </c>
      <c r="M240" s="19">
        <f>Ringkasan!M239</f>
        <v>220</v>
      </c>
      <c r="N240" s="64">
        <f>Ringkasan!N239</f>
        <v>5.33</v>
      </c>
      <c r="O240" s="64">
        <f>Ringkasan!O239</f>
        <v>27.52</v>
      </c>
      <c r="P240" s="64">
        <f>Ringkasan!P239</f>
        <v>74.1</v>
      </c>
      <c r="Q240" s="64">
        <f>Ringkasan!Q239</f>
        <v>1.85</v>
      </c>
      <c r="R240" s="64">
        <f>Ringkasan!R239</f>
        <v>39.87</v>
      </c>
      <c r="S240" s="64">
        <f>Ringkasan!S239</f>
        <v>27.32</v>
      </c>
      <c r="T240" s="64">
        <f>Ringkasan!T239</f>
        <v>2.09</v>
      </c>
      <c r="U240" s="64">
        <f>Ringkasan!U239</f>
        <v>100.74</v>
      </c>
      <c r="V240" s="64">
        <f>Ringkasan!V239</f>
        <v>0.51</v>
      </c>
      <c r="W240" s="64">
        <f>Ringkasan!W239</f>
        <v>100.94</v>
      </c>
      <c r="X240" s="64">
        <f>Ringkasan!X239</f>
        <v>101.77</v>
      </c>
      <c r="Y240" s="64">
        <f>Ringkasan!Y239</f>
        <v>100.74</v>
      </c>
      <c r="Z240" s="64">
        <f>Ringkasan!Z239</f>
        <v>51924</v>
      </c>
      <c r="AA240" s="64" t="str">
        <f>Ringkasan!AA239</f>
        <v>Banks</v>
      </c>
      <c r="AB240" s="64" t="str">
        <f>Ringkasan!AB239</f>
        <v>Financials</v>
      </c>
    </row>
    <row r="241" hidden="1">
      <c r="A241" s="64" t="str">
        <f>Ringkasan!A240</f>
        <v>BBCA</v>
      </c>
      <c r="B241" s="64" t="str">
        <f>Ringkasan!B240</f>
        <v>Bank Central Asia Tbk.</v>
      </c>
      <c r="C241" s="65" t="str">
        <f>Ringkasan!C240</f>
        <v>#N/A</v>
      </c>
      <c r="D241" s="64" t="str">
        <f>Ringkasan!D240</f>
        <v>#N/A</v>
      </c>
      <c r="E241" s="64" t="str">
        <f>Ringkasan!E240</f>
        <v>SRI-KEHATI</v>
      </c>
      <c r="F241" s="66">
        <f>Ringkasan!F240</f>
        <v>46356</v>
      </c>
      <c r="G241" s="64">
        <f>Ringkasan!G240</f>
        <v>21</v>
      </c>
      <c r="H241" s="19">
        <f>Ringkasan!H240</f>
        <v>12.1</v>
      </c>
      <c r="I241" s="19">
        <f>Ringkasan!I240</f>
        <v>2.7</v>
      </c>
      <c r="J241" s="19">
        <f>Ringkasan!J240</f>
        <v>22.4</v>
      </c>
      <c r="K241" s="19">
        <f>Ringkasan!K240</f>
        <v>3.5</v>
      </c>
      <c r="L241" s="19">
        <f>Ringkasan!L240</f>
        <v>5.3</v>
      </c>
      <c r="M241" s="19">
        <f>Ringkasan!M240</f>
        <v>220</v>
      </c>
      <c r="N241" s="64">
        <f>Ringkasan!N240</f>
        <v>5.33</v>
      </c>
      <c r="O241" s="64">
        <f>Ringkasan!O240</f>
        <v>27.52</v>
      </c>
      <c r="P241" s="64">
        <f>Ringkasan!P240</f>
        <v>74.1</v>
      </c>
      <c r="Q241" s="64">
        <f>Ringkasan!Q240</f>
        <v>1.85</v>
      </c>
      <c r="R241" s="64">
        <f>Ringkasan!R240</f>
        <v>39.87</v>
      </c>
      <c r="S241" s="64">
        <f>Ringkasan!S240</f>
        <v>27.32</v>
      </c>
      <c r="T241" s="64">
        <f>Ringkasan!T240</f>
        <v>2.09</v>
      </c>
      <c r="U241" s="64">
        <f>Ringkasan!U240</f>
        <v>100.74</v>
      </c>
      <c r="V241" s="64">
        <f>Ringkasan!V240</f>
        <v>0.51</v>
      </c>
      <c r="W241" s="64">
        <f>Ringkasan!W240</f>
        <v>100.94</v>
      </c>
      <c r="X241" s="64">
        <f>Ringkasan!X240</f>
        <v>101.77</v>
      </c>
      <c r="Y241" s="64">
        <f>Ringkasan!Y240</f>
        <v>100.74</v>
      </c>
      <c r="Z241" s="64">
        <f>Ringkasan!Z240</f>
        <v>51924</v>
      </c>
      <c r="AA241" s="64" t="str">
        <f>Ringkasan!AA240</f>
        <v>Banks</v>
      </c>
      <c r="AB241" s="64" t="str">
        <f>Ringkasan!AB240</f>
        <v>Financials</v>
      </c>
    </row>
    <row r="242" hidden="1">
      <c r="A242" s="64" t="str">
        <f>Ringkasan!A241</f>
        <v>BBCA</v>
      </c>
      <c r="B242" s="64" t="str">
        <f>Ringkasan!B241</f>
        <v>Bank Central Asia Tbk.</v>
      </c>
      <c r="C242" s="65" t="str">
        <f>Ringkasan!C241</f>
        <v>#N/A</v>
      </c>
      <c r="D242" s="64" t="str">
        <f>Ringkasan!D241</f>
        <v>#N/A</v>
      </c>
      <c r="E242" s="64" t="str">
        <f>Ringkasan!E241</f>
        <v>Investor33</v>
      </c>
      <c r="F242" s="66">
        <f>Ringkasan!F241</f>
        <v>46356</v>
      </c>
      <c r="G242" s="64">
        <f>Ringkasan!G241</f>
        <v>21</v>
      </c>
      <c r="H242" s="19">
        <f>Ringkasan!H241</f>
        <v>12.1</v>
      </c>
      <c r="I242" s="19">
        <f>Ringkasan!I241</f>
        <v>2.7</v>
      </c>
      <c r="J242" s="19">
        <f>Ringkasan!J241</f>
        <v>22.4</v>
      </c>
      <c r="K242" s="19">
        <f>Ringkasan!K241</f>
        <v>3.5</v>
      </c>
      <c r="L242" s="19">
        <f>Ringkasan!L241</f>
        <v>5.3</v>
      </c>
      <c r="M242" s="19">
        <f>Ringkasan!M241</f>
        <v>220</v>
      </c>
      <c r="N242" s="64">
        <f>Ringkasan!N241</f>
        <v>5.33</v>
      </c>
      <c r="O242" s="64">
        <f>Ringkasan!O241</f>
        <v>27.52</v>
      </c>
      <c r="P242" s="64">
        <f>Ringkasan!P241</f>
        <v>74.1</v>
      </c>
      <c r="Q242" s="64">
        <f>Ringkasan!Q241</f>
        <v>1.85</v>
      </c>
      <c r="R242" s="64">
        <f>Ringkasan!R241</f>
        <v>39.87</v>
      </c>
      <c r="S242" s="64">
        <f>Ringkasan!S241</f>
        <v>27.32</v>
      </c>
      <c r="T242" s="64">
        <f>Ringkasan!T241</f>
        <v>2.09</v>
      </c>
      <c r="U242" s="64">
        <f>Ringkasan!U241</f>
        <v>100.74</v>
      </c>
      <c r="V242" s="64">
        <f>Ringkasan!V241</f>
        <v>0.51</v>
      </c>
      <c r="W242" s="64">
        <f>Ringkasan!W241</f>
        <v>100.94</v>
      </c>
      <c r="X242" s="64">
        <f>Ringkasan!X241</f>
        <v>101.77</v>
      </c>
      <c r="Y242" s="64">
        <f>Ringkasan!Y241</f>
        <v>100.74</v>
      </c>
      <c r="Z242" s="64">
        <f>Ringkasan!Z241</f>
        <v>51924</v>
      </c>
      <c r="AA242" s="64" t="str">
        <f>Ringkasan!AA241</f>
        <v>Banks</v>
      </c>
      <c r="AB242" s="64" t="str">
        <f>Ringkasan!AB241</f>
        <v>Financials</v>
      </c>
    </row>
    <row r="243" hidden="1">
      <c r="A243" s="64" t="str">
        <f>Ringkasan!A242</f>
        <v>BBHI</v>
      </c>
      <c r="B243" s="64" t="str">
        <f>Ringkasan!B242</f>
        <v>PT Bank Harda Internasional Tbk.</v>
      </c>
      <c r="C243" s="65">
        <f>Ringkasan!C242</f>
        <v>970</v>
      </c>
      <c r="D243" s="64" t="str">
        <f>Ringkasan!D242</f>
        <v>#N/A</v>
      </c>
      <c r="E243" s="64" t="str">
        <f>Ringkasan!E242</f>
        <v/>
      </c>
      <c r="F243" s="64" t="str">
        <f>Ringkasan!F242</f>
        <v/>
      </c>
      <c r="G243" s="64">
        <f>Ringkasan!G242</f>
        <v>0</v>
      </c>
      <c r="H243" s="19">
        <f>Ringkasan!H242</f>
        <v>38.2</v>
      </c>
      <c r="I243" s="19">
        <f>Ringkasan!I242</f>
        <v>2.9</v>
      </c>
      <c r="J243" s="19">
        <f>Ringkasan!J242</f>
        <v>7.5</v>
      </c>
      <c r="K243" s="19">
        <f>Ringkasan!K242</f>
        <v>3.8</v>
      </c>
      <c r="L243" s="19">
        <f>Ringkasan!L242</f>
        <v>0.96</v>
      </c>
      <c r="M243" s="19">
        <f>Ringkasan!M242</f>
        <v>120</v>
      </c>
      <c r="N243" s="64">
        <f>Ringkasan!N242</f>
        <v>9.47</v>
      </c>
      <c r="O243" s="64">
        <f>Ringkasan!O242</f>
        <v>98.17</v>
      </c>
      <c r="P243" s="64">
        <f>Ringkasan!P242</f>
        <v>126.9</v>
      </c>
      <c r="Q243" s="64">
        <f>Ringkasan!Q242</f>
        <v>0.81</v>
      </c>
      <c r="R243" s="64">
        <f>Ringkasan!R242</f>
        <v>69.17</v>
      </c>
      <c r="S243" s="64">
        <f>Ringkasan!S242</f>
        <v>52.28</v>
      </c>
      <c r="T243" s="64" t="str">
        <f>Ringkasan!T242</f>
        <v/>
      </c>
      <c r="U243" s="64">
        <f>Ringkasan!U242</f>
        <v>960</v>
      </c>
      <c r="V243" s="64">
        <f>Ringkasan!V242</f>
        <v>1.04</v>
      </c>
      <c r="W243" s="64">
        <f>Ringkasan!W242</f>
        <v>925</v>
      </c>
      <c r="X243" s="64">
        <f>Ringkasan!X242</f>
        <v>980</v>
      </c>
      <c r="Y243" s="64">
        <f>Ringkasan!Y242</f>
        <v>925</v>
      </c>
      <c r="Z243" s="64">
        <f>Ringkasan!Z242</f>
        <v>172300</v>
      </c>
      <c r="AA243" s="64" t="str">
        <f>Ringkasan!AA242</f>
        <v>Banks</v>
      </c>
      <c r="AB243" s="64" t="str">
        <f>Ringkasan!AB242</f>
        <v>Financials</v>
      </c>
    </row>
    <row r="244" hidden="1">
      <c r="A244" s="64" t="str">
        <f>Ringkasan!A243</f>
        <v>BBKP</v>
      </c>
      <c r="B244" s="64" t="str">
        <f>Ringkasan!B243</f>
        <v>Bank KB Indonesia Tbk.</v>
      </c>
      <c r="C244" s="65" t="str">
        <f>Ringkasan!C243</f>
        <v>#N/A</v>
      </c>
      <c r="D244" s="64" t="str">
        <f>Ringkasan!D243</f>
        <v>#N/A</v>
      </c>
      <c r="E244" s="64" t="str">
        <f>Ringkasan!E243</f>
        <v/>
      </c>
      <c r="F244" s="64" t="str">
        <f>Ringkasan!F243</f>
        <v/>
      </c>
      <c r="G244" s="64">
        <f>Ringkasan!G243</f>
        <v>0</v>
      </c>
      <c r="H244" s="19">
        <f>Ringkasan!H243</f>
        <v>-37.5</v>
      </c>
      <c r="I244" s="19">
        <f>Ringkasan!I243</f>
        <v>1.3</v>
      </c>
      <c r="J244" s="19">
        <f>Ringkasan!J243</f>
        <v>-3.4</v>
      </c>
      <c r="K244" s="19">
        <f>Ringkasan!K243</f>
        <v>-0.32</v>
      </c>
      <c r="L244" s="19">
        <f>Ringkasan!L243</f>
        <v>9.8</v>
      </c>
      <c r="M244" s="19">
        <f>Ringkasan!M243</f>
        <v>-18.8</v>
      </c>
      <c r="N244" s="64">
        <f>Ringkasan!N243</f>
        <v>1.43</v>
      </c>
      <c r="O244" s="64">
        <f>Ringkasan!O243</f>
        <v>16.05</v>
      </c>
      <c r="P244" s="64">
        <f>Ringkasan!P243</f>
        <v>93.67</v>
      </c>
      <c r="Q244" s="64">
        <f>Ringkasan!Q243</f>
        <v>4.24</v>
      </c>
      <c r="R244" s="64">
        <f>Ringkasan!R243</f>
        <v>119.55</v>
      </c>
      <c r="S244" s="64">
        <f>Ringkasan!S243</f>
        <v>127.78</v>
      </c>
      <c r="T244" s="64">
        <f>Ringkasan!T243</f>
        <v>19</v>
      </c>
      <c r="U244" s="64">
        <f>Ringkasan!U243</f>
        <v>52</v>
      </c>
      <c r="V244" s="64">
        <f>Ringkasan!V243</f>
        <v>3.85</v>
      </c>
      <c r="W244" s="64">
        <f>Ringkasan!W243</f>
        <v>52</v>
      </c>
      <c r="X244" s="64">
        <f>Ringkasan!X243</f>
        <v>55</v>
      </c>
      <c r="Y244" s="64">
        <f>Ringkasan!Y243</f>
        <v>52</v>
      </c>
      <c r="Z244" s="64">
        <f>Ringkasan!Z243</f>
        <v>79074300</v>
      </c>
      <c r="AA244" s="64" t="str">
        <f>Ringkasan!AA243</f>
        <v>Banks</v>
      </c>
      <c r="AB244" s="64" t="str">
        <f>Ringkasan!AB243</f>
        <v>Financials</v>
      </c>
    </row>
    <row r="245" hidden="1">
      <c r="A245" s="64" t="str">
        <f>Ringkasan!A244</f>
        <v>BBLD</v>
      </c>
      <c r="B245" s="64" t="str">
        <f>Ringkasan!B244</f>
        <v>Buana Finance Tbk.</v>
      </c>
      <c r="C245" s="65">
        <f>Ringkasan!C244</f>
        <v>575</v>
      </c>
      <c r="D245" s="64" t="str">
        <f>Ringkasan!D244</f>
        <v>#N/A</v>
      </c>
      <c r="E245" s="64" t="str">
        <f>Ringkasan!E244</f>
        <v/>
      </c>
      <c r="F245" s="64" t="str">
        <f>Ringkasan!F244</f>
        <v/>
      </c>
      <c r="G245" s="64">
        <f>Ringkasan!G244</f>
        <v>0</v>
      </c>
      <c r="H245" s="19">
        <f>Ringkasan!H244</f>
        <v>190</v>
      </c>
      <c r="I245" s="19">
        <f>Ringkasan!I244</f>
        <v>0.74</v>
      </c>
      <c r="J245" s="19">
        <f>Ringkasan!J244</f>
        <v>0.38</v>
      </c>
      <c r="K245" s="19">
        <f>Ringkasan!K244</f>
        <v>0.08</v>
      </c>
      <c r="L245" s="19">
        <f>Ringkasan!L244</f>
        <v>4.1</v>
      </c>
      <c r="M245" s="19">
        <f>Ringkasan!M244</f>
        <v>2.6</v>
      </c>
      <c r="N245" s="64" t="str">
        <f>Ringkasan!N244</f>
        <v/>
      </c>
      <c r="O245" s="64" t="str">
        <f>Ringkasan!O244</f>
        <v/>
      </c>
      <c r="P245" s="64" t="str">
        <f>Ringkasan!P244</f>
        <v/>
      </c>
      <c r="Q245" s="64" t="str">
        <f>Ringkasan!Q244</f>
        <v/>
      </c>
      <c r="R245" s="64" t="str">
        <f>Ringkasan!R244</f>
        <v/>
      </c>
      <c r="S245" s="64" t="str">
        <f>Ringkasan!S244</f>
        <v/>
      </c>
      <c r="T245" s="64" t="str">
        <f>Ringkasan!T244</f>
        <v/>
      </c>
      <c r="U245" s="64">
        <f>Ringkasan!U244</f>
        <v>575</v>
      </c>
      <c r="V245" s="64">
        <f>Ringkasan!V244</f>
        <v>0</v>
      </c>
      <c r="W245" s="64">
        <f>Ringkasan!W244</f>
        <v>565</v>
      </c>
      <c r="X245" s="64">
        <f>Ringkasan!X244</f>
        <v>575</v>
      </c>
      <c r="Y245" s="64">
        <f>Ringkasan!Y244</f>
        <v>555</v>
      </c>
      <c r="Z245" s="64">
        <f>Ringkasan!Z244</f>
        <v>3100</v>
      </c>
      <c r="AA245" s="64" t="str">
        <f>Ringkasan!AA244</f>
        <v>Consumer Financing</v>
      </c>
      <c r="AB245" s="64" t="str">
        <f>Ringkasan!AB244</f>
        <v>Financials</v>
      </c>
    </row>
    <row r="246" hidden="1">
      <c r="A246" s="64" t="str">
        <f>Ringkasan!A245</f>
        <v>BBMD</v>
      </c>
      <c r="B246" s="64" t="str">
        <f>Ringkasan!B245</f>
        <v>PT Bank Mestika Dharma Tbk.</v>
      </c>
      <c r="C246" s="65">
        <f>Ringkasan!C245</f>
        <v>1955</v>
      </c>
      <c r="D246" s="64" t="str">
        <f>Ringkasan!D245</f>
        <v>#N/A</v>
      </c>
      <c r="E246" s="64" t="str">
        <f>Ringkasan!E245</f>
        <v/>
      </c>
      <c r="F246" s="64" t="str">
        <f>Ringkasan!F245</f>
        <v/>
      </c>
      <c r="G246" s="64">
        <f>Ringkasan!G245</f>
        <v>0</v>
      </c>
      <c r="H246" s="19">
        <f>Ringkasan!H245</f>
        <v>24.9</v>
      </c>
      <c r="I246" s="19">
        <f>Ringkasan!I245</f>
        <v>1.5</v>
      </c>
      <c r="J246" s="19">
        <f>Ringkasan!J245</f>
        <v>5.9</v>
      </c>
      <c r="K246" s="19">
        <f>Ringkasan!K245</f>
        <v>1.9</v>
      </c>
      <c r="L246" s="19">
        <f>Ringkasan!L245</f>
        <v>2.1</v>
      </c>
      <c r="M246" s="19">
        <f>Ringkasan!M245</f>
        <v>100</v>
      </c>
      <c r="N246" s="64">
        <f>Ringkasan!N245</f>
        <v>5.61</v>
      </c>
      <c r="O246" s="64">
        <f>Ringkasan!O245</f>
        <v>43.15</v>
      </c>
      <c r="P246" s="64">
        <f>Ringkasan!P245</f>
        <v>100.52</v>
      </c>
      <c r="Q246" s="64">
        <f>Ringkasan!Q245</f>
        <v>1.33</v>
      </c>
      <c r="R246" s="64">
        <f>Ringkasan!R245</f>
        <v>68.96</v>
      </c>
      <c r="S246" s="64">
        <f>Ringkasan!S245</f>
        <v>60.63</v>
      </c>
      <c r="T246" s="64" t="str">
        <f>Ringkasan!T245</f>
        <v/>
      </c>
      <c r="U246" s="64">
        <f>Ringkasan!U245</f>
        <v>1865</v>
      </c>
      <c r="V246" s="64">
        <f>Ringkasan!V245</f>
        <v>4.83</v>
      </c>
      <c r="W246" s="64">
        <f>Ringkasan!W245</f>
        <v>1955</v>
      </c>
      <c r="X246" s="64">
        <f>Ringkasan!X245</f>
        <v>1980</v>
      </c>
      <c r="Y246" s="64">
        <f>Ringkasan!Y245</f>
        <v>1945</v>
      </c>
      <c r="Z246" s="64">
        <f>Ringkasan!Z245</f>
        <v>3200</v>
      </c>
      <c r="AA246" s="64" t="str">
        <f>Ringkasan!AA245</f>
        <v>Banks</v>
      </c>
      <c r="AB246" s="64" t="str">
        <f>Ringkasan!AB245</f>
        <v>Financials</v>
      </c>
    </row>
    <row r="247" hidden="1">
      <c r="A247" s="64" t="str">
        <f>Ringkasan!A246</f>
        <v>BBNI</v>
      </c>
      <c r="B247" s="64" t="str">
        <f>Ringkasan!B246</f>
        <v>PT Bank Negara Indonesia (Persero) Tbk</v>
      </c>
      <c r="C247" s="65">
        <f>Ringkasan!C246</f>
        <v>3560</v>
      </c>
      <c r="D247" s="64" t="str">
        <f>Ringkasan!D246</f>
        <v>#N/A</v>
      </c>
      <c r="E247" s="64" t="str">
        <f>Ringkasan!E246</f>
        <v>ESGQKEHATI</v>
      </c>
      <c r="F247" s="66">
        <f>Ringkasan!F246</f>
        <v>46356</v>
      </c>
      <c r="G247" s="64">
        <f>Ringkasan!G246</f>
        <v>22</v>
      </c>
      <c r="H247" s="19">
        <f>Ringkasan!H246</f>
        <v>6.8</v>
      </c>
      <c r="I247" s="19">
        <f>Ringkasan!I246</f>
        <v>0.83</v>
      </c>
      <c r="J247" s="19">
        <f>Ringkasan!J246</f>
        <v>12.3</v>
      </c>
      <c r="K247" s="19">
        <f>Ringkasan!K246</f>
        <v>1.4</v>
      </c>
      <c r="L247" s="19">
        <f>Ringkasan!L246</f>
        <v>7.6</v>
      </c>
      <c r="M247" s="19">
        <f>Ringkasan!M246</f>
        <v>89.9</v>
      </c>
      <c r="N247" s="64">
        <f>Ringkasan!N246</f>
        <v>3.8</v>
      </c>
      <c r="O247" s="64">
        <f>Ringkasan!O246</f>
        <v>20.7</v>
      </c>
      <c r="P247" s="64">
        <f>Ringkasan!P246</f>
        <v>86.4</v>
      </c>
      <c r="Q247" s="64">
        <f>Ringkasan!Q246</f>
        <v>1.9</v>
      </c>
      <c r="R247" s="64">
        <f>Ringkasan!R246</f>
        <v>72.9</v>
      </c>
      <c r="S247" s="64">
        <f>Ringkasan!S246</f>
        <v>46.5</v>
      </c>
      <c r="T247" s="64">
        <f>Ringkasan!T246</f>
        <v>8.5</v>
      </c>
      <c r="U247" s="64">
        <f>Ringkasan!U246</f>
        <v>3500</v>
      </c>
      <c r="V247" s="64">
        <f>Ringkasan!V246</f>
        <v>1.71</v>
      </c>
      <c r="W247" s="64">
        <f>Ringkasan!W246</f>
        <v>3570</v>
      </c>
      <c r="X247" s="64">
        <f>Ringkasan!X246</f>
        <v>3650</v>
      </c>
      <c r="Y247" s="64">
        <f>Ringkasan!Y246</f>
        <v>3520</v>
      </c>
      <c r="Z247" s="64">
        <f>Ringkasan!Z246</f>
        <v>74824100</v>
      </c>
      <c r="AA247" s="64" t="str">
        <f>Ringkasan!AA246</f>
        <v>Banks</v>
      </c>
      <c r="AB247" s="64" t="str">
        <f>Ringkasan!AB246</f>
        <v>Financials</v>
      </c>
    </row>
    <row r="248" hidden="1">
      <c r="A248" s="64" t="str">
        <f>Ringkasan!A247</f>
        <v>BBNI</v>
      </c>
      <c r="B248" s="64" t="str">
        <f>Ringkasan!B247</f>
        <v>PT Bank Negara Indonesia (Persero) Tbk</v>
      </c>
      <c r="C248" s="65">
        <f>Ringkasan!C247</f>
        <v>3560</v>
      </c>
      <c r="D248" s="64" t="str">
        <f>Ringkasan!D247</f>
        <v>#N/A</v>
      </c>
      <c r="E248" s="64" t="str">
        <f>Ringkasan!E247</f>
        <v>MSCI Global Standard</v>
      </c>
      <c r="F248" s="64" t="str">
        <f>Ringkasan!F247</f>
        <v>12 Agustus 2026</v>
      </c>
      <c r="G248" s="64">
        <f>Ringkasan!G247</f>
        <v>22</v>
      </c>
      <c r="H248" s="19">
        <f>Ringkasan!H247</f>
        <v>6.8</v>
      </c>
      <c r="I248" s="19">
        <f>Ringkasan!I247</f>
        <v>0.83</v>
      </c>
      <c r="J248" s="19">
        <f>Ringkasan!J247</f>
        <v>12.3</v>
      </c>
      <c r="K248" s="19">
        <f>Ringkasan!K247</f>
        <v>1.4</v>
      </c>
      <c r="L248" s="19">
        <f>Ringkasan!L247</f>
        <v>7.6</v>
      </c>
      <c r="M248" s="19">
        <f>Ringkasan!M247</f>
        <v>89.9</v>
      </c>
      <c r="N248" s="64">
        <f>Ringkasan!N247</f>
        <v>3.8</v>
      </c>
      <c r="O248" s="64">
        <f>Ringkasan!O247</f>
        <v>20.7</v>
      </c>
      <c r="P248" s="64">
        <f>Ringkasan!P247</f>
        <v>86.4</v>
      </c>
      <c r="Q248" s="64">
        <f>Ringkasan!Q247</f>
        <v>1.9</v>
      </c>
      <c r="R248" s="64">
        <f>Ringkasan!R247</f>
        <v>72.9</v>
      </c>
      <c r="S248" s="64">
        <f>Ringkasan!S247</f>
        <v>46.5</v>
      </c>
      <c r="T248" s="64">
        <f>Ringkasan!T247</f>
        <v>8.5</v>
      </c>
      <c r="U248" s="64">
        <f>Ringkasan!U247</f>
        <v>3500</v>
      </c>
      <c r="V248" s="64">
        <f>Ringkasan!V247</f>
        <v>1.71</v>
      </c>
      <c r="W248" s="64">
        <f>Ringkasan!W247</f>
        <v>3570</v>
      </c>
      <c r="X248" s="64">
        <f>Ringkasan!X247</f>
        <v>3650</v>
      </c>
      <c r="Y248" s="64">
        <f>Ringkasan!Y247</f>
        <v>3520</v>
      </c>
      <c r="Z248" s="64">
        <f>Ringkasan!Z247</f>
        <v>74824100</v>
      </c>
      <c r="AA248" s="64" t="str">
        <f>Ringkasan!AA247</f>
        <v>Banks</v>
      </c>
      <c r="AB248" s="64" t="str">
        <f>Ringkasan!AB247</f>
        <v>Financials</v>
      </c>
    </row>
    <row r="249" hidden="1">
      <c r="A249" s="64" t="str">
        <f>Ringkasan!A248</f>
        <v>BBNI</v>
      </c>
      <c r="B249" s="64" t="str">
        <f>Ringkasan!B248</f>
        <v>PT Bank Negara Indonesia (Persero) Tbk</v>
      </c>
      <c r="C249" s="65">
        <f>Ringkasan!C248</f>
        <v>3560</v>
      </c>
      <c r="D249" s="64" t="str">
        <f>Ringkasan!D248</f>
        <v>#N/A</v>
      </c>
      <c r="E249" s="64" t="str">
        <f>Ringkasan!E248</f>
        <v>IDXG30</v>
      </c>
      <c r="F249" s="64" t="str">
        <f>Ringkasan!F248</f>
        <v>4 Agustus 2026</v>
      </c>
      <c r="G249" s="64">
        <f>Ringkasan!G248</f>
        <v>22</v>
      </c>
      <c r="H249" s="19">
        <f>Ringkasan!H248</f>
        <v>6.8</v>
      </c>
      <c r="I249" s="19">
        <f>Ringkasan!I248</f>
        <v>0.83</v>
      </c>
      <c r="J249" s="19">
        <f>Ringkasan!J248</f>
        <v>12.3</v>
      </c>
      <c r="K249" s="19">
        <f>Ringkasan!K248</f>
        <v>1.4</v>
      </c>
      <c r="L249" s="19">
        <f>Ringkasan!L248</f>
        <v>7.6</v>
      </c>
      <c r="M249" s="19">
        <f>Ringkasan!M248</f>
        <v>89.9</v>
      </c>
      <c r="N249" s="64">
        <f>Ringkasan!N248</f>
        <v>3.8</v>
      </c>
      <c r="O249" s="64">
        <f>Ringkasan!O248</f>
        <v>20.7</v>
      </c>
      <c r="P249" s="64">
        <f>Ringkasan!P248</f>
        <v>86.4</v>
      </c>
      <c r="Q249" s="64">
        <f>Ringkasan!Q248</f>
        <v>1.9</v>
      </c>
      <c r="R249" s="64">
        <f>Ringkasan!R248</f>
        <v>72.9</v>
      </c>
      <c r="S249" s="64">
        <f>Ringkasan!S248</f>
        <v>46.5</v>
      </c>
      <c r="T249" s="64">
        <f>Ringkasan!T248</f>
        <v>8.5</v>
      </c>
      <c r="U249" s="64">
        <f>Ringkasan!U248</f>
        <v>3500</v>
      </c>
      <c r="V249" s="64">
        <f>Ringkasan!V248</f>
        <v>1.71</v>
      </c>
      <c r="W249" s="64">
        <f>Ringkasan!W248</f>
        <v>3570</v>
      </c>
      <c r="X249" s="64">
        <f>Ringkasan!X248</f>
        <v>3650</v>
      </c>
      <c r="Y249" s="64">
        <f>Ringkasan!Y248</f>
        <v>3520</v>
      </c>
      <c r="Z249" s="64">
        <f>Ringkasan!Z248</f>
        <v>74824100</v>
      </c>
      <c r="AA249" s="64" t="str">
        <f>Ringkasan!AA248</f>
        <v>Banks</v>
      </c>
      <c r="AB249" s="64" t="str">
        <f>Ringkasan!AB248</f>
        <v>Financials</v>
      </c>
    </row>
    <row r="250" hidden="1">
      <c r="A250" s="64" t="str">
        <f>Ringkasan!A953</f>
        <v>ISAT</v>
      </c>
      <c r="B250" s="64" t="str">
        <f>Ringkasan!B953</f>
        <v>PT Indosat Tbk</v>
      </c>
      <c r="C250" s="65">
        <f>Ringkasan!C953</f>
        <v>1855</v>
      </c>
      <c r="D250" s="64" t="str">
        <f>Ringkasan!D953</f>
        <v>#N/A</v>
      </c>
      <c r="E250" s="64" t="str">
        <f>Ringkasan!E953</f>
        <v>ESGSKEHATI</v>
      </c>
      <c r="F250" s="66">
        <f>Ringkasan!F953</f>
        <v>46356</v>
      </c>
      <c r="G250" s="65">
        <f>Ringkasan!G953</f>
        <v>13</v>
      </c>
      <c r="H250" s="19">
        <f>Ringkasan!H953</f>
        <v>12.2</v>
      </c>
      <c r="I250" s="19">
        <f>Ringkasan!I953</f>
        <v>1.7</v>
      </c>
      <c r="J250" s="19">
        <f>Ringkasan!J953</f>
        <v>13.9</v>
      </c>
      <c r="K250" s="19">
        <f>Ringkasan!K953</f>
        <v>4.7</v>
      </c>
      <c r="L250" s="19">
        <f>Ringkasan!L953</f>
        <v>2</v>
      </c>
      <c r="M250" s="19">
        <f>Ringkasan!M953</f>
        <v>37.4</v>
      </c>
      <c r="N250" s="64" t="str">
        <f>Ringkasan!N953</f>
        <v/>
      </c>
      <c r="O250" s="64" t="str">
        <f>Ringkasan!O953</f>
        <v/>
      </c>
      <c r="P250" s="64" t="str">
        <f>Ringkasan!P953</f>
        <v/>
      </c>
      <c r="Q250" s="64" t="str">
        <f>Ringkasan!Q953</f>
        <v/>
      </c>
      <c r="R250" s="64" t="str">
        <f>Ringkasan!R953</f>
        <v/>
      </c>
      <c r="S250" s="64" t="str">
        <f>Ringkasan!S953</f>
        <v/>
      </c>
      <c r="T250" s="64" t="str">
        <f>Ringkasan!T953</f>
        <v/>
      </c>
      <c r="U250" s="64">
        <f>Ringkasan!U953</f>
        <v>1895</v>
      </c>
      <c r="V250" s="64">
        <f>Ringkasan!V953</f>
        <v>-2.11</v>
      </c>
      <c r="W250" s="64">
        <f>Ringkasan!W953</f>
        <v>1905</v>
      </c>
      <c r="X250" s="64">
        <f>Ringkasan!X953</f>
        <v>1915</v>
      </c>
      <c r="Y250" s="64">
        <f>Ringkasan!Y953</f>
        <v>1830</v>
      </c>
      <c r="Z250" s="64">
        <f>Ringkasan!Z953</f>
        <v>30896800</v>
      </c>
      <c r="AA250" s="64" t="str">
        <f>Ringkasan!AA953</f>
        <v>Wireless Telecommunication Services</v>
      </c>
      <c r="AB250" s="64" t="str">
        <f>Ringkasan!AB953</f>
        <v>Infrastructures</v>
      </c>
    </row>
    <row r="251" hidden="1">
      <c r="A251" s="64" t="str">
        <f>Ringkasan!A250</f>
        <v>BBNI</v>
      </c>
      <c r="B251" s="64" t="str">
        <f>Ringkasan!B250</f>
        <v>PT Bank Negara Indonesia (Persero) Tbk</v>
      </c>
      <c r="C251" s="65">
        <f>Ringkasan!C250</f>
        <v>3560</v>
      </c>
      <c r="D251" s="64" t="str">
        <f>Ringkasan!D250</f>
        <v>#N/A</v>
      </c>
      <c r="E251" s="64" t="str">
        <f>Ringkasan!E250</f>
        <v>IDXESGL</v>
      </c>
      <c r="F251" s="64" t="str">
        <f>Ringkasan!F250</f>
        <v>30 Oktober 2026</v>
      </c>
      <c r="G251" s="64">
        <f>Ringkasan!G250</f>
        <v>22</v>
      </c>
      <c r="H251" s="19">
        <f>Ringkasan!H250</f>
        <v>6.8</v>
      </c>
      <c r="I251" s="19">
        <f>Ringkasan!I250</f>
        <v>0.83</v>
      </c>
      <c r="J251" s="19">
        <f>Ringkasan!J250</f>
        <v>12.3</v>
      </c>
      <c r="K251" s="19">
        <f>Ringkasan!K250</f>
        <v>1.4</v>
      </c>
      <c r="L251" s="19">
        <f>Ringkasan!L250</f>
        <v>7.6</v>
      </c>
      <c r="M251" s="19">
        <f>Ringkasan!M250</f>
        <v>89.9</v>
      </c>
      <c r="N251" s="64">
        <f>Ringkasan!N250</f>
        <v>3.8</v>
      </c>
      <c r="O251" s="64">
        <f>Ringkasan!O250</f>
        <v>20.7</v>
      </c>
      <c r="P251" s="64">
        <f>Ringkasan!P250</f>
        <v>86.4</v>
      </c>
      <c r="Q251" s="64">
        <f>Ringkasan!Q250</f>
        <v>1.9</v>
      </c>
      <c r="R251" s="64">
        <f>Ringkasan!R250</f>
        <v>72.9</v>
      </c>
      <c r="S251" s="64">
        <f>Ringkasan!S250</f>
        <v>46.5</v>
      </c>
      <c r="T251" s="64">
        <f>Ringkasan!T250</f>
        <v>8.5</v>
      </c>
      <c r="U251" s="64">
        <f>Ringkasan!U250</f>
        <v>3500</v>
      </c>
      <c r="V251" s="64">
        <f>Ringkasan!V250</f>
        <v>1.71</v>
      </c>
      <c r="W251" s="64">
        <f>Ringkasan!W250</f>
        <v>3570</v>
      </c>
      <c r="X251" s="64">
        <f>Ringkasan!X250</f>
        <v>3650</v>
      </c>
      <c r="Y251" s="64">
        <f>Ringkasan!Y250</f>
        <v>3520</v>
      </c>
      <c r="Z251" s="64">
        <f>Ringkasan!Z250</f>
        <v>74824100</v>
      </c>
      <c r="AA251" s="64" t="str">
        <f>Ringkasan!AA250</f>
        <v>Banks</v>
      </c>
      <c r="AB251" s="64" t="str">
        <f>Ringkasan!AB250</f>
        <v>Financials</v>
      </c>
    </row>
    <row r="252" hidden="1">
      <c r="A252" s="64" t="str">
        <f>Ringkasan!A251</f>
        <v>BBNI</v>
      </c>
      <c r="B252" s="64" t="str">
        <f>Ringkasan!B251</f>
        <v>PT Bank Negara Indonesia (Persero) Tbk</v>
      </c>
      <c r="C252" s="65">
        <f>Ringkasan!C251</f>
        <v>3560</v>
      </c>
      <c r="D252" s="64" t="str">
        <f>Ringkasan!D251</f>
        <v>#N/A</v>
      </c>
      <c r="E252" s="64" t="str">
        <f>Ringkasan!E251</f>
        <v>IDX80</v>
      </c>
      <c r="F252" s="64" t="str">
        <f>Ringkasan!F251</f>
        <v>31 Juli 2026</v>
      </c>
      <c r="G252" s="64">
        <f>Ringkasan!G251</f>
        <v>22</v>
      </c>
      <c r="H252" s="19">
        <f>Ringkasan!H251</f>
        <v>6.8</v>
      </c>
      <c r="I252" s="19">
        <f>Ringkasan!I251</f>
        <v>0.83</v>
      </c>
      <c r="J252" s="19">
        <f>Ringkasan!J251</f>
        <v>12.3</v>
      </c>
      <c r="K252" s="19">
        <f>Ringkasan!K251</f>
        <v>1.4</v>
      </c>
      <c r="L252" s="19">
        <f>Ringkasan!L251</f>
        <v>7.6</v>
      </c>
      <c r="M252" s="19">
        <f>Ringkasan!M251</f>
        <v>89.9</v>
      </c>
      <c r="N252" s="64">
        <f>Ringkasan!N251</f>
        <v>3.8</v>
      </c>
      <c r="O252" s="64">
        <f>Ringkasan!O251</f>
        <v>20.7</v>
      </c>
      <c r="P252" s="64">
        <f>Ringkasan!P251</f>
        <v>86.4</v>
      </c>
      <c r="Q252" s="64">
        <f>Ringkasan!Q251</f>
        <v>1.9</v>
      </c>
      <c r="R252" s="64">
        <f>Ringkasan!R251</f>
        <v>72.9</v>
      </c>
      <c r="S252" s="64">
        <f>Ringkasan!S251</f>
        <v>46.5</v>
      </c>
      <c r="T252" s="64">
        <f>Ringkasan!T251</f>
        <v>8.5</v>
      </c>
      <c r="U252" s="64">
        <f>Ringkasan!U251</f>
        <v>3500</v>
      </c>
      <c r="V252" s="64">
        <f>Ringkasan!V251</f>
        <v>1.71</v>
      </c>
      <c r="W252" s="64">
        <f>Ringkasan!W251</f>
        <v>3570</v>
      </c>
      <c r="X252" s="64">
        <f>Ringkasan!X251</f>
        <v>3650</v>
      </c>
      <c r="Y252" s="64">
        <f>Ringkasan!Y251</f>
        <v>3520</v>
      </c>
      <c r="Z252" s="64">
        <f>Ringkasan!Z251</f>
        <v>74824100</v>
      </c>
      <c r="AA252" s="64" t="str">
        <f>Ringkasan!AA251</f>
        <v>Banks</v>
      </c>
      <c r="AB252" s="64" t="str">
        <f>Ringkasan!AB251</f>
        <v>Financials</v>
      </c>
    </row>
    <row r="253" hidden="1">
      <c r="A253" s="64" t="str">
        <f>Ringkasan!A252</f>
        <v>BBNI</v>
      </c>
      <c r="B253" s="64" t="str">
        <f>Ringkasan!B252</f>
        <v>PT Bank Negara Indonesia (Persero) Tbk</v>
      </c>
      <c r="C253" s="65">
        <f>Ringkasan!C252</f>
        <v>3560</v>
      </c>
      <c r="D253" s="64" t="str">
        <f>Ringkasan!D252</f>
        <v>#N/A</v>
      </c>
      <c r="E253" s="64" t="str">
        <f>Ringkasan!E252</f>
        <v>ECONOMIC30</v>
      </c>
      <c r="F253" s="64" t="str">
        <f>Ringkasan!F252</f>
        <v>31 Agustus 2026</v>
      </c>
      <c r="G253" s="64">
        <f>Ringkasan!G252</f>
        <v>22</v>
      </c>
      <c r="H253" s="19">
        <f>Ringkasan!H252</f>
        <v>6.8</v>
      </c>
      <c r="I253" s="19">
        <f>Ringkasan!I252</f>
        <v>0.83</v>
      </c>
      <c r="J253" s="19">
        <f>Ringkasan!J252</f>
        <v>12.3</v>
      </c>
      <c r="K253" s="19">
        <f>Ringkasan!K252</f>
        <v>1.4</v>
      </c>
      <c r="L253" s="19">
        <f>Ringkasan!L252</f>
        <v>7.6</v>
      </c>
      <c r="M253" s="19">
        <f>Ringkasan!M252</f>
        <v>89.9</v>
      </c>
      <c r="N253" s="64">
        <f>Ringkasan!N252</f>
        <v>3.8</v>
      </c>
      <c r="O253" s="64">
        <f>Ringkasan!O252</f>
        <v>20.7</v>
      </c>
      <c r="P253" s="64">
        <f>Ringkasan!P252</f>
        <v>86.4</v>
      </c>
      <c r="Q253" s="64">
        <f>Ringkasan!Q252</f>
        <v>1.9</v>
      </c>
      <c r="R253" s="64">
        <f>Ringkasan!R252</f>
        <v>72.9</v>
      </c>
      <c r="S253" s="64">
        <f>Ringkasan!S252</f>
        <v>46.5</v>
      </c>
      <c r="T253" s="64">
        <f>Ringkasan!T252</f>
        <v>8.5</v>
      </c>
      <c r="U253" s="64">
        <f>Ringkasan!U252</f>
        <v>3500</v>
      </c>
      <c r="V253" s="64">
        <f>Ringkasan!V252</f>
        <v>1.71</v>
      </c>
      <c r="W253" s="64">
        <f>Ringkasan!W252</f>
        <v>3570</v>
      </c>
      <c r="X253" s="64">
        <f>Ringkasan!X252</f>
        <v>3650</v>
      </c>
      <c r="Y253" s="64">
        <f>Ringkasan!Y252</f>
        <v>3520</v>
      </c>
      <c r="Z253" s="64">
        <f>Ringkasan!Z252</f>
        <v>74824100</v>
      </c>
      <c r="AA253" s="64" t="str">
        <f>Ringkasan!AA252</f>
        <v>Banks</v>
      </c>
      <c r="AB253" s="64" t="str">
        <f>Ringkasan!AB252</f>
        <v>Financials</v>
      </c>
    </row>
    <row r="254" hidden="1">
      <c r="A254" s="64" t="str">
        <f>Ringkasan!A503</f>
        <v>CENT</v>
      </c>
      <c r="B254" s="64" t="str">
        <f>Ringkasan!B503</f>
        <v>PT Centratama Telekomunikasi Indonesia Tbk.</v>
      </c>
      <c r="C254" s="65">
        <f>Ringkasan!C503</f>
        <v>78</v>
      </c>
      <c r="D254" s="64" t="str">
        <f>Ringkasan!D503</f>
        <v>#N/A</v>
      </c>
      <c r="E254" s="64" t="str">
        <f>Ringkasan!E503</f>
        <v/>
      </c>
      <c r="F254" s="64" t="str">
        <f>Ringkasan!F503</f>
        <v/>
      </c>
      <c r="G254" s="64">
        <f>Ringkasan!G503</f>
        <v>0</v>
      </c>
      <c r="H254" s="19">
        <f>Ringkasan!H503</f>
        <v>-1.3</v>
      </c>
      <c r="I254" s="19">
        <f>Ringkasan!I503</f>
        <v>0.68</v>
      </c>
      <c r="J254" s="19">
        <f>Ringkasan!J503</f>
        <v>-51.3</v>
      </c>
      <c r="K254" s="19">
        <f>Ringkasan!K503</f>
        <v>-6.7</v>
      </c>
      <c r="L254" s="19">
        <f>Ringkasan!L503</f>
        <v>6.6</v>
      </c>
      <c r="M254" s="19">
        <f>Ringkasan!M503</f>
        <v>-74.9</v>
      </c>
      <c r="N254" s="64" t="str">
        <f>Ringkasan!N503</f>
        <v/>
      </c>
      <c r="O254" s="64" t="str">
        <f>Ringkasan!O503</f>
        <v/>
      </c>
      <c r="P254" s="64" t="str">
        <f>Ringkasan!P503</f>
        <v/>
      </c>
      <c r="Q254" s="64" t="str">
        <f>Ringkasan!Q503</f>
        <v/>
      </c>
      <c r="R254" s="64" t="str">
        <f>Ringkasan!R503</f>
        <v/>
      </c>
      <c r="S254" s="64" t="str">
        <f>Ringkasan!S503</f>
        <v/>
      </c>
      <c r="T254" s="64" t="str">
        <f>Ringkasan!T503</f>
        <v/>
      </c>
      <c r="U254" s="64">
        <f>Ringkasan!U503</f>
        <v>42.38</v>
      </c>
      <c r="V254" s="64">
        <f>Ringkasan!V503</f>
        <v>1.11</v>
      </c>
      <c r="W254" s="64">
        <f>Ringkasan!W503</f>
        <v>42.69</v>
      </c>
      <c r="X254" s="64">
        <f>Ringkasan!X503</f>
        <v>43.17</v>
      </c>
      <c r="Y254" s="64">
        <f>Ringkasan!Y503</f>
        <v>41.96</v>
      </c>
      <c r="Z254" s="64">
        <f>Ringkasan!Z503</f>
        <v>69518</v>
      </c>
      <c r="AA254" s="64" t="str">
        <f>Ringkasan!AA503</f>
        <v>Wireless Telecommunication Services</v>
      </c>
      <c r="AB254" s="64" t="str">
        <f>Ringkasan!AB503</f>
        <v>Infrastructures</v>
      </c>
    </row>
    <row r="255" hidden="1">
      <c r="A255" s="64" t="str">
        <f>Ringkasan!A254</f>
        <v>BBNI</v>
      </c>
      <c r="B255" s="64" t="str">
        <f>Ringkasan!B254</f>
        <v>PT Bank Negara Indonesia (Persero) Tbk</v>
      </c>
      <c r="C255" s="65">
        <f>Ringkasan!C254</f>
        <v>3560</v>
      </c>
      <c r="D255" s="64" t="str">
        <f>Ringkasan!D254</f>
        <v>#N/A</v>
      </c>
      <c r="E255" s="64" t="str">
        <f>Ringkasan!E254</f>
        <v>MNC36</v>
      </c>
      <c r="F255" s="64" t="str">
        <f>Ringkasan!F254</f>
        <v>30 Oktober 2026</v>
      </c>
      <c r="G255" s="64">
        <f>Ringkasan!G254</f>
        <v>22</v>
      </c>
      <c r="H255" s="19">
        <f>Ringkasan!H254</f>
        <v>6.8</v>
      </c>
      <c r="I255" s="19">
        <f>Ringkasan!I254</f>
        <v>0.83</v>
      </c>
      <c r="J255" s="19">
        <f>Ringkasan!J254</f>
        <v>12.3</v>
      </c>
      <c r="K255" s="19">
        <f>Ringkasan!K254</f>
        <v>1.4</v>
      </c>
      <c r="L255" s="19">
        <f>Ringkasan!L254</f>
        <v>7.6</v>
      </c>
      <c r="M255" s="19">
        <f>Ringkasan!M254</f>
        <v>89.9</v>
      </c>
      <c r="N255" s="64">
        <f>Ringkasan!N254</f>
        <v>3.8</v>
      </c>
      <c r="O255" s="64">
        <f>Ringkasan!O254</f>
        <v>20.7</v>
      </c>
      <c r="P255" s="64">
        <f>Ringkasan!P254</f>
        <v>86.4</v>
      </c>
      <c r="Q255" s="64">
        <f>Ringkasan!Q254</f>
        <v>1.9</v>
      </c>
      <c r="R255" s="64">
        <f>Ringkasan!R254</f>
        <v>72.9</v>
      </c>
      <c r="S255" s="64">
        <f>Ringkasan!S254</f>
        <v>46.5</v>
      </c>
      <c r="T255" s="64">
        <f>Ringkasan!T254</f>
        <v>8.5</v>
      </c>
      <c r="U255" s="64">
        <f>Ringkasan!U254</f>
        <v>3500</v>
      </c>
      <c r="V255" s="64">
        <f>Ringkasan!V254</f>
        <v>1.71</v>
      </c>
      <c r="W255" s="64">
        <f>Ringkasan!W254</f>
        <v>3570</v>
      </c>
      <c r="X255" s="64">
        <f>Ringkasan!X254</f>
        <v>3650</v>
      </c>
      <c r="Y255" s="64">
        <f>Ringkasan!Y254</f>
        <v>3520</v>
      </c>
      <c r="Z255" s="64">
        <f>Ringkasan!Z254</f>
        <v>74824100</v>
      </c>
      <c r="AA255" s="64" t="str">
        <f>Ringkasan!AA254</f>
        <v>Banks</v>
      </c>
      <c r="AB255" s="64" t="str">
        <f>Ringkasan!AB254</f>
        <v>Financials</v>
      </c>
    </row>
    <row r="256" hidden="1">
      <c r="A256" s="64" t="str">
        <f>Ringkasan!A255</f>
        <v>BBNI</v>
      </c>
      <c r="B256" s="64" t="str">
        <f>Ringkasan!B255</f>
        <v>PT Bank Negara Indonesia (Persero) Tbk</v>
      </c>
      <c r="C256" s="65">
        <f>Ringkasan!C255</f>
        <v>3560</v>
      </c>
      <c r="D256" s="64" t="str">
        <f>Ringkasan!D255</f>
        <v>#N/A</v>
      </c>
      <c r="E256" s="64" t="str">
        <f>Ringkasan!E255</f>
        <v>LQ45</v>
      </c>
      <c r="F256" s="64" t="str">
        <f>Ringkasan!F255</f>
        <v>31 Juli 2026</v>
      </c>
      <c r="G256" s="64">
        <f>Ringkasan!G255</f>
        <v>22</v>
      </c>
      <c r="H256" s="19">
        <f>Ringkasan!H255</f>
        <v>6.8</v>
      </c>
      <c r="I256" s="19">
        <f>Ringkasan!I255</f>
        <v>0.83</v>
      </c>
      <c r="J256" s="19">
        <f>Ringkasan!J255</f>
        <v>12.3</v>
      </c>
      <c r="K256" s="19">
        <f>Ringkasan!K255</f>
        <v>1.4</v>
      </c>
      <c r="L256" s="19">
        <f>Ringkasan!L255</f>
        <v>7.6</v>
      </c>
      <c r="M256" s="19">
        <f>Ringkasan!M255</f>
        <v>89.9</v>
      </c>
      <c r="N256" s="64">
        <f>Ringkasan!N255</f>
        <v>3.8</v>
      </c>
      <c r="O256" s="64">
        <f>Ringkasan!O255</f>
        <v>20.7</v>
      </c>
      <c r="P256" s="64">
        <f>Ringkasan!P255</f>
        <v>86.4</v>
      </c>
      <c r="Q256" s="64">
        <f>Ringkasan!Q255</f>
        <v>1.9</v>
      </c>
      <c r="R256" s="64">
        <f>Ringkasan!R255</f>
        <v>72.9</v>
      </c>
      <c r="S256" s="64">
        <f>Ringkasan!S255</f>
        <v>46.5</v>
      </c>
      <c r="T256" s="64">
        <f>Ringkasan!T255</f>
        <v>8.5</v>
      </c>
      <c r="U256" s="64">
        <f>Ringkasan!U255</f>
        <v>3500</v>
      </c>
      <c r="V256" s="64">
        <f>Ringkasan!V255</f>
        <v>1.71</v>
      </c>
      <c r="W256" s="64">
        <f>Ringkasan!W255</f>
        <v>3570</v>
      </c>
      <c r="X256" s="64">
        <f>Ringkasan!X255</f>
        <v>3650</v>
      </c>
      <c r="Y256" s="64">
        <f>Ringkasan!Y255</f>
        <v>3520</v>
      </c>
      <c r="Z256" s="64">
        <f>Ringkasan!Z255</f>
        <v>74824100</v>
      </c>
      <c r="AA256" s="64" t="str">
        <f>Ringkasan!AA255</f>
        <v>Banks</v>
      </c>
      <c r="AB256" s="64" t="str">
        <f>Ringkasan!AB255</f>
        <v>Financials</v>
      </c>
    </row>
    <row r="257">
      <c r="A257" s="60" t="str">
        <f>Ringkasan!A196</f>
        <v>AVIA</v>
      </c>
      <c r="B257" s="60" t="str">
        <f>Ringkasan!B196</f>
        <v>Avia Avian Tbk.</v>
      </c>
      <c r="C257" s="61">
        <f>Ringkasan!C196</f>
        <v>310</v>
      </c>
      <c r="D257" s="60" t="str">
        <f>Ringkasan!D196</f>
        <v>#N/A</v>
      </c>
      <c r="E257" s="60" t="str">
        <f>Ringkasan!E196</f>
        <v>ESGQKEHATI</v>
      </c>
      <c r="F257" s="63">
        <f>Ringkasan!F196</f>
        <v>46356</v>
      </c>
      <c r="G257" s="60">
        <f>Ringkasan!G196</f>
        <v>8</v>
      </c>
      <c r="H257" s="62">
        <f>Ringkasan!H196</f>
        <v>12</v>
      </c>
      <c r="I257" s="62">
        <f>Ringkasan!I196</f>
        <v>2.2</v>
      </c>
      <c r="J257" s="62">
        <f>Ringkasan!J196</f>
        <v>18.2</v>
      </c>
      <c r="K257" s="62">
        <f>Ringkasan!K196</f>
        <v>15.5</v>
      </c>
      <c r="L257" s="62">
        <f>Ringkasan!L196</f>
        <v>0.17</v>
      </c>
      <c r="M257" s="62">
        <f>Ringkasan!M196</f>
        <v>76.5</v>
      </c>
      <c r="N257" s="60" t="str">
        <f>Ringkasan!N196</f>
        <v/>
      </c>
      <c r="O257" s="60" t="str">
        <f>Ringkasan!O196</f>
        <v/>
      </c>
      <c r="P257" s="60" t="str">
        <f>Ringkasan!P196</f>
        <v/>
      </c>
      <c r="Q257" s="60" t="str">
        <f>Ringkasan!Q196</f>
        <v/>
      </c>
      <c r="R257" s="60" t="str">
        <f>Ringkasan!R196</f>
        <v/>
      </c>
      <c r="S257" s="60" t="str">
        <f>Ringkasan!S196</f>
        <v/>
      </c>
      <c r="T257" s="60" t="str">
        <f>Ringkasan!T196</f>
        <v/>
      </c>
      <c r="U257" s="60">
        <f>Ringkasan!U196</f>
        <v>312</v>
      </c>
      <c r="V257" s="60">
        <f>Ringkasan!V196</f>
        <v>-0.64</v>
      </c>
      <c r="W257" s="60">
        <f>Ringkasan!W196</f>
        <v>312</v>
      </c>
      <c r="X257" s="60">
        <f>Ringkasan!X196</f>
        <v>316</v>
      </c>
      <c r="Y257" s="60">
        <f>Ringkasan!Y196</f>
        <v>310</v>
      </c>
      <c r="Z257" s="60">
        <f>Ringkasan!Z196</f>
        <v>6393600</v>
      </c>
      <c r="AA257" s="60" t="str">
        <f>Ringkasan!AA196</f>
        <v>Chemicals</v>
      </c>
      <c r="AB257" s="60" t="str">
        <f>Ringkasan!AB196</f>
        <v>Basic Materials</v>
      </c>
    </row>
    <row r="258" hidden="1">
      <c r="A258" s="64" t="str">
        <f>Ringkasan!A13</f>
        <v>ABBA</v>
      </c>
      <c r="B258" s="64" t="str">
        <f>Ringkasan!B13</f>
        <v>Mahaka Media Tbk.</v>
      </c>
      <c r="C258" s="65">
        <f>Ringkasan!C13</f>
        <v>35</v>
      </c>
      <c r="D258" s="64" t="str">
        <f>Ringkasan!D13</f>
        <v>#N/A</v>
      </c>
      <c r="E258" s="64" t="str">
        <f>Ringkasan!E13</f>
        <v/>
      </c>
      <c r="F258" s="64" t="str">
        <f>Ringkasan!F13</f>
        <v/>
      </c>
      <c r="G258" s="64">
        <f>Ringkasan!G13</f>
        <v>0</v>
      </c>
      <c r="H258" s="19">
        <f>Ringkasan!H13</f>
        <v>-5.5</v>
      </c>
      <c r="I258" s="19">
        <f>Ringkasan!I13</f>
        <v>-1.3</v>
      </c>
      <c r="J258" s="19">
        <f>Ringkasan!J13</f>
        <v>0</v>
      </c>
      <c r="K258" s="19">
        <f>Ringkasan!K13</f>
        <v>-11.1</v>
      </c>
      <c r="L258" s="19">
        <f>Ringkasan!L13</f>
        <v>-3.1</v>
      </c>
      <c r="M258" s="19">
        <f>Ringkasan!M13</f>
        <v>-91.1</v>
      </c>
      <c r="N258" s="64" t="str">
        <f>Ringkasan!N13</f>
        <v/>
      </c>
      <c r="O258" s="64" t="str">
        <f>Ringkasan!O13</f>
        <v/>
      </c>
      <c r="P258" s="64" t="str">
        <f>Ringkasan!P13</f>
        <v/>
      </c>
      <c r="Q258" s="64" t="str">
        <f>Ringkasan!Q13</f>
        <v/>
      </c>
      <c r="R258" s="64" t="str">
        <f>Ringkasan!R13</f>
        <v/>
      </c>
      <c r="S258" s="64" t="str">
        <f>Ringkasan!S13</f>
        <v/>
      </c>
      <c r="T258" s="64" t="str">
        <f>Ringkasan!T13</f>
        <v/>
      </c>
      <c r="U258" s="64">
        <f>Ringkasan!U13</f>
        <v>35</v>
      </c>
      <c r="V258" s="64">
        <f>Ringkasan!V13</f>
        <v>0</v>
      </c>
      <c r="W258" s="64">
        <f>Ringkasan!W13</f>
        <v>35</v>
      </c>
      <c r="X258" s="64">
        <f>Ringkasan!X13</f>
        <v>35</v>
      </c>
      <c r="Y258" s="64">
        <f>Ringkasan!Y13</f>
        <v>35</v>
      </c>
      <c r="Z258" s="64">
        <f>Ringkasan!Z13</f>
        <v>292000</v>
      </c>
      <c r="AA258" s="64" t="str">
        <f>Ringkasan!AA13</f>
        <v>Media</v>
      </c>
      <c r="AB258" s="64" t="str">
        <f>Ringkasan!AB13</f>
        <v>Consumer Cyclicals</v>
      </c>
    </row>
    <row r="259" hidden="1">
      <c r="A259" s="64" t="str">
        <f>Ringkasan!A258</f>
        <v>BBNI</v>
      </c>
      <c r="B259" s="64" t="str">
        <f>Ringkasan!B258</f>
        <v>PT Bank Negara Indonesia (Persero) Tbk</v>
      </c>
      <c r="C259" s="65">
        <f>Ringkasan!C258</f>
        <v>3560</v>
      </c>
      <c r="D259" s="64" t="str">
        <f>Ringkasan!D258</f>
        <v>#N/A</v>
      </c>
      <c r="E259" s="64" t="str">
        <f>Ringkasan!E258</f>
        <v>BISNIS-27</v>
      </c>
      <c r="F259" s="64" t="str">
        <f>Ringkasan!F258</f>
        <v>30 Oktober 2026</v>
      </c>
      <c r="G259" s="64">
        <f>Ringkasan!G258</f>
        <v>22</v>
      </c>
      <c r="H259" s="19">
        <f>Ringkasan!H258</f>
        <v>6.8</v>
      </c>
      <c r="I259" s="19">
        <f>Ringkasan!I258</f>
        <v>0.83</v>
      </c>
      <c r="J259" s="19">
        <f>Ringkasan!J258</f>
        <v>12.3</v>
      </c>
      <c r="K259" s="19">
        <f>Ringkasan!K258</f>
        <v>1.4</v>
      </c>
      <c r="L259" s="19">
        <f>Ringkasan!L258</f>
        <v>7.6</v>
      </c>
      <c r="M259" s="19">
        <f>Ringkasan!M258</f>
        <v>89.9</v>
      </c>
      <c r="N259" s="64">
        <f>Ringkasan!N258</f>
        <v>3.8</v>
      </c>
      <c r="O259" s="64">
        <f>Ringkasan!O258</f>
        <v>20.7</v>
      </c>
      <c r="P259" s="64">
        <f>Ringkasan!P258</f>
        <v>86.4</v>
      </c>
      <c r="Q259" s="64">
        <f>Ringkasan!Q258</f>
        <v>1.9</v>
      </c>
      <c r="R259" s="64">
        <f>Ringkasan!R258</f>
        <v>72.9</v>
      </c>
      <c r="S259" s="64">
        <f>Ringkasan!S258</f>
        <v>46.5</v>
      </c>
      <c r="T259" s="64">
        <f>Ringkasan!T258</f>
        <v>8.5</v>
      </c>
      <c r="U259" s="64">
        <f>Ringkasan!U258</f>
        <v>3500</v>
      </c>
      <c r="V259" s="64">
        <f>Ringkasan!V258</f>
        <v>1.71</v>
      </c>
      <c r="W259" s="64">
        <f>Ringkasan!W258</f>
        <v>3570</v>
      </c>
      <c r="X259" s="64">
        <f>Ringkasan!X258</f>
        <v>3650</v>
      </c>
      <c r="Y259" s="64">
        <f>Ringkasan!Y258</f>
        <v>3520</v>
      </c>
      <c r="Z259" s="64">
        <f>Ringkasan!Z258</f>
        <v>74824100</v>
      </c>
      <c r="AA259" s="64" t="str">
        <f>Ringkasan!AA258</f>
        <v>Banks</v>
      </c>
      <c r="AB259" s="64" t="str">
        <f>Ringkasan!AB258</f>
        <v>Financials</v>
      </c>
    </row>
    <row r="260" hidden="1">
      <c r="A260" s="64" t="str">
        <f>Ringkasan!A166</f>
        <v>ASII</v>
      </c>
      <c r="B260" s="64" t="str">
        <f>Ringkasan!B166</f>
        <v>Astra International Tbk</v>
      </c>
      <c r="C260" s="65">
        <f>Ringkasan!C166</f>
        <v>4740</v>
      </c>
      <c r="D260" s="64" t="str">
        <f>Ringkasan!D166</f>
        <v>#N/A</v>
      </c>
      <c r="E260" s="64" t="str">
        <f>Ringkasan!E166</f>
        <v>Kompas100</v>
      </c>
      <c r="F260" s="64" t="str">
        <f>Ringkasan!F166</f>
        <v>31 Juli 2026</v>
      </c>
      <c r="G260" s="64">
        <f>Ringkasan!G166</f>
        <v>16</v>
      </c>
      <c r="H260" s="19">
        <f>Ringkasan!H166</f>
        <v>6.4</v>
      </c>
      <c r="I260" s="19">
        <f>Ringkasan!I166</f>
        <v>0.69</v>
      </c>
      <c r="J260" s="19">
        <f>Ringkasan!J166</f>
        <v>10.8</v>
      </c>
      <c r="K260" s="19">
        <f>Ringkasan!K166</f>
        <v>6.1</v>
      </c>
      <c r="L260" s="19">
        <f>Ringkasan!L166</f>
        <v>0.77</v>
      </c>
      <c r="M260" s="19">
        <f>Ringkasan!M166</f>
        <v>40.3</v>
      </c>
      <c r="N260" s="64" t="str">
        <f>Ringkasan!N166</f>
        <v/>
      </c>
      <c r="O260" s="64" t="str">
        <f>Ringkasan!O166</f>
        <v/>
      </c>
      <c r="P260" s="64" t="str">
        <f>Ringkasan!P166</f>
        <v/>
      </c>
      <c r="Q260" s="64" t="str">
        <f>Ringkasan!Q166</f>
        <v/>
      </c>
      <c r="R260" s="64" t="str">
        <f>Ringkasan!R166</f>
        <v/>
      </c>
      <c r="S260" s="64" t="str">
        <f>Ringkasan!S166</f>
        <v/>
      </c>
      <c r="T260" s="64" t="str">
        <f>Ringkasan!T166</f>
        <v/>
      </c>
      <c r="U260" s="64">
        <f>Ringkasan!U166</f>
        <v>0</v>
      </c>
      <c r="V260" s="64">
        <f>Ringkasan!V166</f>
        <v>0</v>
      </c>
      <c r="W260" s="64">
        <f>Ringkasan!W166</f>
        <v>0</v>
      </c>
      <c r="X260" s="64">
        <f>Ringkasan!X166</f>
        <v>0</v>
      </c>
      <c r="Y260" s="64">
        <f>Ringkasan!Y166</f>
        <v>0</v>
      </c>
      <c r="Z260" s="64">
        <f>Ringkasan!Z166</f>
        <v>4632235</v>
      </c>
      <c r="AA260" s="64" t="str">
        <f>Ringkasan!AA166</f>
        <v>Multi-sector Holdings</v>
      </c>
      <c r="AB260" s="64" t="str">
        <f>Ringkasan!AB166</f>
        <v>Industrials</v>
      </c>
    </row>
    <row r="261" hidden="1">
      <c r="A261" s="64" t="str">
        <f>Ringkasan!A260</f>
        <v>BBNI</v>
      </c>
      <c r="B261" s="64" t="str">
        <f>Ringkasan!B260</f>
        <v>PT Bank Negara Indonesia (Persero) Tbk</v>
      </c>
      <c r="C261" s="65">
        <f>Ringkasan!C260</f>
        <v>3560</v>
      </c>
      <c r="D261" s="64" t="str">
        <f>Ringkasan!D260</f>
        <v>#N/A</v>
      </c>
      <c r="E261" s="64" t="str">
        <f>Ringkasan!E260</f>
        <v>IDXV30</v>
      </c>
      <c r="F261" s="64" t="str">
        <f>Ringkasan!F260</f>
        <v>4 Agustus 2026</v>
      </c>
      <c r="G261" s="64">
        <f>Ringkasan!G260</f>
        <v>22</v>
      </c>
      <c r="H261" s="19">
        <f>Ringkasan!H260</f>
        <v>6.8</v>
      </c>
      <c r="I261" s="19">
        <f>Ringkasan!I260</f>
        <v>0.83</v>
      </c>
      <c r="J261" s="19">
        <f>Ringkasan!J260</f>
        <v>12.3</v>
      </c>
      <c r="K261" s="19">
        <f>Ringkasan!K260</f>
        <v>1.4</v>
      </c>
      <c r="L261" s="19">
        <f>Ringkasan!L260</f>
        <v>7.6</v>
      </c>
      <c r="M261" s="19">
        <f>Ringkasan!M260</f>
        <v>89.9</v>
      </c>
      <c r="N261" s="64">
        <f>Ringkasan!N260</f>
        <v>3.8</v>
      </c>
      <c r="O261" s="64">
        <f>Ringkasan!O260</f>
        <v>20.7</v>
      </c>
      <c r="P261" s="64">
        <f>Ringkasan!P260</f>
        <v>86.4</v>
      </c>
      <c r="Q261" s="64">
        <f>Ringkasan!Q260</f>
        <v>1.9</v>
      </c>
      <c r="R261" s="64">
        <f>Ringkasan!R260</f>
        <v>72.9</v>
      </c>
      <c r="S261" s="64">
        <f>Ringkasan!S260</f>
        <v>46.5</v>
      </c>
      <c r="T261" s="64">
        <f>Ringkasan!T260</f>
        <v>8.5</v>
      </c>
      <c r="U261" s="64">
        <f>Ringkasan!U260</f>
        <v>3500</v>
      </c>
      <c r="V261" s="64">
        <f>Ringkasan!V260</f>
        <v>1.71</v>
      </c>
      <c r="W261" s="64">
        <f>Ringkasan!W260</f>
        <v>3570</v>
      </c>
      <c r="X261" s="64">
        <f>Ringkasan!X260</f>
        <v>3650</v>
      </c>
      <c r="Y261" s="64">
        <f>Ringkasan!Y260</f>
        <v>3520</v>
      </c>
      <c r="Z261" s="64">
        <f>Ringkasan!Z260</f>
        <v>74824100</v>
      </c>
      <c r="AA261" s="64" t="str">
        <f>Ringkasan!AA260</f>
        <v>Banks</v>
      </c>
      <c r="AB261" s="64" t="str">
        <f>Ringkasan!AB260</f>
        <v>Financials</v>
      </c>
    </row>
    <row r="262" hidden="1">
      <c r="A262" s="64" t="str">
        <f>Ringkasan!A261</f>
        <v>BBNI</v>
      </c>
      <c r="B262" s="64" t="str">
        <f>Ringkasan!B261</f>
        <v>PT Bank Negara Indonesia (Persero) Tbk</v>
      </c>
      <c r="C262" s="65">
        <f>Ringkasan!C261</f>
        <v>3560</v>
      </c>
      <c r="D262" s="64" t="str">
        <f>Ringkasan!D261</f>
        <v>#N/A</v>
      </c>
      <c r="E262" s="64" t="str">
        <f>Ringkasan!E261</f>
        <v>IDXBUMN20</v>
      </c>
      <c r="F262" s="64" t="str">
        <f>Ringkasan!F261</f>
        <v>4 Agustus 2026</v>
      </c>
      <c r="G262" s="64">
        <f>Ringkasan!G261</f>
        <v>22</v>
      </c>
      <c r="H262" s="19">
        <f>Ringkasan!H261</f>
        <v>6.8</v>
      </c>
      <c r="I262" s="19">
        <f>Ringkasan!I261</f>
        <v>0.83</v>
      </c>
      <c r="J262" s="19">
        <f>Ringkasan!J261</f>
        <v>12.3</v>
      </c>
      <c r="K262" s="19">
        <f>Ringkasan!K261</f>
        <v>1.4</v>
      </c>
      <c r="L262" s="19">
        <f>Ringkasan!L261</f>
        <v>7.6</v>
      </c>
      <c r="M262" s="19">
        <f>Ringkasan!M261</f>
        <v>89.9</v>
      </c>
      <c r="N262" s="64">
        <f>Ringkasan!N261</f>
        <v>3.8</v>
      </c>
      <c r="O262" s="64">
        <f>Ringkasan!O261</f>
        <v>20.7</v>
      </c>
      <c r="P262" s="64">
        <f>Ringkasan!P261</f>
        <v>86.4</v>
      </c>
      <c r="Q262" s="64">
        <f>Ringkasan!Q261</f>
        <v>1.9</v>
      </c>
      <c r="R262" s="64">
        <f>Ringkasan!R261</f>
        <v>72.9</v>
      </c>
      <c r="S262" s="64">
        <f>Ringkasan!S261</f>
        <v>46.5</v>
      </c>
      <c r="T262" s="64">
        <f>Ringkasan!T261</f>
        <v>8.5</v>
      </c>
      <c r="U262" s="64">
        <f>Ringkasan!U261</f>
        <v>3500</v>
      </c>
      <c r="V262" s="64">
        <f>Ringkasan!V261</f>
        <v>1.71</v>
      </c>
      <c r="W262" s="64">
        <f>Ringkasan!W261</f>
        <v>3570</v>
      </c>
      <c r="X262" s="64">
        <f>Ringkasan!X261</f>
        <v>3650</v>
      </c>
      <c r="Y262" s="64">
        <f>Ringkasan!Y261</f>
        <v>3520</v>
      </c>
      <c r="Z262" s="64">
        <f>Ringkasan!Z261</f>
        <v>74824100</v>
      </c>
      <c r="AA262" s="64" t="str">
        <f>Ringkasan!AA261</f>
        <v>Banks</v>
      </c>
      <c r="AB262" s="64" t="str">
        <f>Ringkasan!AB261</f>
        <v>Financials</v>
      </c>
    </row>
    <row r="263" hidden="1">
      <c r="A263" s="64" t="str">
        <f>Ringkasan!A262</f>
        <v>BBNI</v>
      </c>
      <c r="B263" s="64" t="str">
        <f>Ringkasan!B262</f>
        <v>PT Bank Negara Indonesia (Persero) Tbk</v>
      </c>
      <c r="C263" s="65">
        <f>Ringkasan!C262</f>
        <v>3560</v>
      </c>
      <c r="D263" s="64" t="str">
        <f>Ringkasan!D262</f>
        <v>#N/A</v>
      </c>
      <c r="E263" s="64" t="str">
        <f>Ringkasan!E262</f>
        <v>Pefindo - iGrade</v>
      </c>
      <c r="F263" s="64" t="str">
        <f>Ringkasan!F262</f>
        <v>30 Juni 2026</v>
      </c>
      <c r="G263" s="64">
        <f>Ringkasan!G262</f>
        <v>22</v>
      </c>
      <c r="H263" s="19">
        <f>Ringkasan!H262</f>
        <v>6.8</v>
      </c>
      <c r="I263" s="19">
        <f>Ringkasan!I262</f>
        <v>0.83</v>
      </c>
      <c r="J263" s="19">
        <f>Ringkasan!J262</f>
        <v>12.3</v>
      </c>
      <c r="K263" s="19">
        <f>Ringkasan!K262</f>
        <v>1.4</v>
      </c>
      <c r="L263" s="19">
        <f>Ringkasan!L262</f>
        <v>7.6</v>
      </c>
      <c r="M263" s="19">
        <f>Ringkasan!M262</f>
        <v>89.9</v>
      </c>
      <c r="N263" s="64">
        <f>Ringkasan!N262</f>
        <v>3.8</v>
      </c>
      <c r="O263" s="64">
        <f>Ringkasan!O262</f>
        <v>20.7</v>
      </c>
      <c r="P263" s="64">
        <f>Ringkasan!P262</f>
        <v>86.4</v>
      </c>
      <c r="Q263" s="64">
        <f>Ringkasan!Q262</f>
        <v>1.9</v>
      </c>
      <c r="R263" s="64">
        <f>Ringkasan!R262</f>
        <v>72.9</v>
      </c>
      <c r="S263" s="64">
        <f>Ringkasan!S262</f>
        <v>46.5</v>
      </c>
      <c r="T263" s="64">
        <f>Ringkasan!T262</f>
        <v>8.5</v>
      </c>
      <c r="U263" s="64">
        <f>Ringkasan!U262</f>
        <v>3500</v>
      </c>
      <c r="V263" s="64">
        <f>Ringkasan!V262</f>
        <v>1.71</v>
      </c>
      <c r="W263" s="64">
        <f>Ringkasan!W262</f>
        <v>3570</v>
      </c>
      <c r="X263" s="64">
        <f>Ringkasan!X262</f>
        <v>3650</v>
      </c>
      <c r="Y263" s="64">
        <f>Ringkasan!Y262</f>
        <v>3520</v>
      </c>
      <c r="Z263" s="64">
        <f>Ringkasan!Z262</f>
        <v>74824100</v>
      </c>
      <c r="AA263" s="64" t="str">
        <f>Ringkasan!AA262</f>
        <v>Banks</v>
      </c>
      <c r="AB263" s="64" t="str">
        <f>Ringkasan!AB262</f>
        <v>Financials</v>
      </c>
    </row>
    <row r="264" hidden="1">
      <c r="A264" s="64" t="str">
        <f>Ringkasan!A263</f>
        <v>BBNI</v>
      </c>
      <c r="B264" s="64" t="str">
        <f>Ringkasan!B263</f>
        <v>PT Bank Negara Indonesia (Persero) Tbk</v>
      </c>
      <c r="C264" s="65">
        <f>Ringkasan!C263</f>
        <v>3560</v>
      </c>
      <c r="D264" s="64" t="str">
        <f>Ringkasan!D263</f>
        <v>#N/A</v>
      </c>
      <c r="E264" s="64" t="str">
        <f>Ringkasan!E263</f>
        <v>PRIMBANK-10</v>
      </c>
      <c r="F264" s="64" t="str">
        <f>Ringkasan!F263</f>
        <v>30 Juni 2026</v>
      </c>
      <c r="G264" s="64">
        <f>Ringkasan!G263</f>
        <v>22</v>
      </c>
      <c r="H264" s="19">
        <f>Ringkasan!H263</f>
        <v>6.8</v>
      </c>
      <c r="I264" s="19">
        <f>Ringkasan!I263</f>
        <v>0.83</v>
      </c>
      <c r="J264" s="19">
        <f>Ringkasan!J263</f>
        <v>12.3</v>
      </c>
      <c r="K264" s="19">
        <f>Ringkasan!K263</f>
        <v>1.4</v>
      </c>
      <c r="L264" s="19">
        <f>Ringkasan!L263</f>
        <v>7.6</v>
      </c>
      <c r="M264" s="19">
        <f>Ringkasan!M263</f>
        <v>89.9</v>
      </c>
      <c r="N264" s="64">
        <f>Ringkasan!N263</f>
        <v>3.8</v>
      </c>
      <c r="O264" s="64">
        <f>Ringkasan!O263</f>
        <v>20.7</v>
      </c>
      <c r="P264" s="64">
        <f>Ringkasan!P263</f>
        <v>86.4</v>
      </c>
      <c r="Q264" s="64">
        <f>Ringkasan!Q263</f>
        <v>1.9</v>
      </c>
      <c r="R264" s="64">
        <f>Ringkasan!R263</f>
        <v>72.9</v>
      </c>
      <c r="S264" s="64">
        <f>Ringkasan!S263</f>
        <v>46.5</v>
      </c>
      <c r="T264" s="64">
        <f>Ringkasan!T263</f>
        <v>8.5</v>
      </c>
      <c r="U264" s="64">
        <f>Ringkasan!U263</f>
        <v>3500</v>
      </c>
      <c r="V264" s="64">
        <f>Ringkasan!V263</f>
        <v>1.71</v>
      </c>
      <c r="W264" s="64">
        <f>Ringkasan!W263</f>
        <v>3570</v>
      </c>
      <c r="X264" s="64">
        <f>Ringkasan!X263</f>
        <v>3650</v>
      </c>
      <c r="Y264" s="64">
        <f>Ringkasan!Y263</f>
        <v>3520</v>
      </c>
      <c r="Z264" s="64">
        <f>Ringkasan!Z263</f>
        <v>74824100</v>
      </c>
      <c r="AA264" s="64" t="str">
        <f>Ringkasan!AA263</f>
        <v>Banks</v>
      </c>
      <c r="AB264" s="64" t="str">
        <f>Ringkasan!AB263</f>
        <v>Financials</v>
      </c>
    </row>
    <row r="265" hidden="1">
      <c r="A265" s="64" t="str">
        <f>Ringkasan!A264</f>
        <v>BBNI</v>
      </c>
      <c r="B265" s="64" t="str">
        <f>Ringkasan!B264</f>
        <v>PT Bank Negara Indonesia (Persero) Tbk</v>
      </c>
      <c r="C265" s="65">
        <f>Ringkasan!C264</f>
        <v>3560</v>
      </c>
      <c r="D265" s="64" t="str">
        <f>Ringkasan!D264</f>
        <v>#N/A</v>
      </c>
      <c r="E265" s="64" t="str">
        <f>Ringkasan!E264</f>
        <v>FTSE Large Cap</v>
      </c>
      <c r="F265" s="64" t="str">
        <f>Ringkasan!F264</f>
        <v>Juni 2026</v>
      </c>
      <c r="G265" s="64">
        <f>Ringkasan!G264</f>
        <v>22</v>
      </c>
      <c r="H265" s="19">
        <f>Ringkasan!H264</f>
        <v>6.8</v>
      </c>
      <c r="I265" s="19">
        <f>Ringkasan!I264</f>
        <v>0.83</v>
      </c>
      <c r="J265" s="19">
        <f>Ringkasan!J264</f>
        <v>12.3</v>
      </c>
      <c r="K265" s="19">
        <f>Ringkasan!K264</f>
        <v>1.4</v>
      </c>
      <c r="L265" s="19">
        <f>Ringkasan!L264</f>
        <v>7.6</v>
      </c>
      <c r="M265" s="19">
        <f>Ringkasan!M264</f>
        <v>89.9</v>
      </c>
      <c r="N265" s="64">
        <f>Ringkasan!N264</f>
        <v>3.8</v>
      </c>
      <c r="O265" s="64">
        <f>Ringkasan!O264</f>
        <v>20.7</v>
      </c>
      <c r="P265" s="64">
        <f>Ringkasan!P264</f>
        <v>86.4</v>
      </c>
      <c r="Q265" s="64">
        <f>Ringkasan!Q264</f>
        <v>1.9</v>
      </c>
      <c r="R265" s="64">
        <f>Ringkasan!R264</f>
        <v>72.9</v>
      </c>
      <c r="S265" s="64">
        <f>Ringkasan!S264</f>
        <v>46.5</v>
      </c>
      <c r="T265" s="64">
        <f>Ringkasan!T264</f>
        <v>8.5</v>
      </c>
      <c r="U265" s="64">
        <f>Ringkasan!U264</f>
        <v>3500</v>
      </c>
      <c r="V265" s="64">
        <f>Ringkasan!V264</f>
        <v>1.71</v>
      </c>
      <c r="W265" s="64">
        <f>Ringkasan!W264</f>
        <v>3570</v>
      </c>
      <c r="X265" s="64">
        <f>Ringkasan!X264</f>
        <v>3650</v>
      </c>
      <c r="Y265" s="64">
        <f>Ringkasan!Y264</f>
        <v>3520</v>
      </c>
      <c r="Z265" s="64">
        <f>Ringkasan!Z264</f>
        <v>74824100</v>
      </c>
      <c r="AA265" s="64" t="str">
        <f>Ringkasan!AA264</f>
        <v>Banks</v>
      </c>
      <c r="AB265" s="64" t="str">
        <f>Ringkasan!AB264</f>
        <v>Financials</v>
      </c>
    </row>
    <row r="266" hidden="1">
      <c r="A266" s="64" t="str">
        <f>Ringkasan!A265</f>
        <v>BBNI</v>
      </c>
      <c r="B266" s="64" t="str">
        <f>Ringkasan!B265</f>
        <v>PT Bank Negara Indonesia (Persero) Tbk</v>
      </c>
      <c r="C266" s="65">
        <f>Ringkasan!C265</f>
        <v>3560</v>
      </c>
      <c r="D266" s="64" t="str">
        <f>Ringkasan!D265</f>
        <v>#N/A</v>
      </c>
      <c r="E266" s="64" t="str">
        <f>Ringkasan!E265</f>
        <v>ESGSKEHATI</v>
      </c>
      <c r="F266" s="66">
        <f>Ringkasan!F265</f>
        <v>46356</v>
      </c>
      <c r="G266" s="64">
        <f>Ringkasan!G265</f>
        <v>22</v>
      </c>
      <c r="H266" s="19">
        <f>Ringkasan!H265</f>
        <v>6.8</v>
      </c>
      <c r="I266" s="19">
        <f>Ringkasan!I265</f>
        <v>0.83</v>
      </c>
      <c r="J266" s="19">
        <f>Ringkasan!J265</f>
        <v>12.3</v>
      </c>
      <c r="K266" s="19">
        <f>Ringkasan!K265</f>
        <v>1.4</v>
      </c>
      <c r="L266" s="19">
        <f>Ringkasan!L265</f>
        <v>7.6</v>
      </c>
      <c r="M266" s="19">
        <f>Ringkasan!M265</f>
        <v>89.9</v>
      </c>
      <c r="N266" s="64">
        <f>Ringkasan!N265</f>
        <v>3.8</v>
      </c>
      <c r="O266" s="64">
        <f>Ringkasan!O265</f>
        <v>20.7</v>
      </c>
      <c r="P266" s="64">
        <f>Ringkasan!P265</f>
        <v>86.4</v>
      </c>
      <c r="Q266" s="64">
        <f>Ringkasan!Q265</f>
        <v>1.9</v>
      </c>
      <c r="R266" s="64">
        <f>Ringkasan!R265</f>
        <v>72.9</v>
      </c>
      <c r="S266" s="64">
        <f>Ringkasan!S265</f>
        <v>46.5</v>
      </c>
      <c r="T266" s="64">
        <f>Ringkasan!T265</f>
        <v>8.5</v>
      </c>
      <c r="U266" s="64">
        <f>Ringkasan!U265</f>
        <v>3500</v>
      </c>
      <c r="V266" s="64">
        <f>Ringkasan!V265</f>
        <v>1.71</v>
      </c>
      <c r="W266" s="64">
        <f>Ringkasan!W265</f>
        <v>3570</v>
      </c>
      <c r="X266" s="64">
        <f>Ringkasan!X265</f>
        <v>3650</v>
      </c>
      <c r="Y266" s="64">
        <f>Ringkasan!Y265</f>
        <v>3520</v>
      </c>
      <c r="Z266" s="64">
        <f>Ringkasan!Z265</f>
        <v>74824100</v>
      </c>
      <c r="AA266" s="64" t="str">
        <f>Ringkasan!AA265</f>
        <v>Banks</v>
      </c>
      <c r="AB266" s="64" t="str">
        <f>Ringkasan!AB265</f>
        <v>Financials</v>
      </c>
    </row>
    <row r="267" hidden="1">
      <c r="A267" s="64" t="str">
        <f>Ringkasan!A266</f>
        <v>BBNI</v>
      </c>
      <c r="B267" s="64" t="str">
        <f>Ringkasan!B266</f>
        <v>PT Bank Negara Indonesia (Persero) Tbk</v>
      </c>
      <c r="C267" s="65">
        <f>Ringkasan!C266</f>
        <v>3560</v>
      </c>
      <c r="D267" s="64" t="str">
        <f>Ringkasan!D266</f>
        <v>#N/A</v>
      </c>
      <c r="E267" s="64" t="str">
        <f>Ringkasan!E266</f>
        <v>SRI-KEHATI</v>
      </c>
      <c r="F267" s="66">
        <f>Ringkasan!F266</f>
        <v>46356</v>
      </c>
      <c r="G267" s="64">
        <f>Ringkasan!G266</f>
        <v>22</v>
      </c>
      <c r="H267" s="19">
        <f>Ringkasan!H266</f>
        <v>6.8</v>
      </c>
      <c r="I267" s="19">
        <f>Ringkasan!I266</f>
        <v>0.83</v>
      </c>
      <c r="J267" s="19">
        <f>Ringkasan!J266</f>
        <v>12.3</v>
      </c>
      <c r="K267" s="19">
        <f>Ringkasan!K266</f>
        <v>1.4</v>
      </c>
      <c r="L267" s="19">
        <f>Ringkasan!L266</f>
        <v>7.6</v>
      </c>
      <c r="M267" s="19">
        <f>Ringkasan!M266</f>
        <v>89.9</v>
      </c>
      <c r="N267" s="64">
        <f>Ringkasan!N266</f>
        <v>3.8</v>
      </c>
      <c r="O267" s="64">
        <f>Ringkasan!O266</f>
        <v>20.7</v>
      </c>
      <c r="P267" s="64">
        <f>Ringkasan!P266</f>
        <v>86.4</v>
      </c>
      <c r="Q267" s="64">
        <f>Ringkasan!Q266</f>
        <v>1.9</v>
      </c>
      <c r="R267" s="64">
        <f>Ringkasan!R266</f>
        <v>72.9</v>
      </c>
      <c r="S267" s="64">
        <f>Ringkasan!S266</f>
        <v>46.5</v>
      </c>
      <c r="T267" s="64">
        <f>Ringkasan!T266</f>
        <v>8.5</v>
      </c>
      <c r="U267" s="64">
        <f>Ringkasan!U266</f>
        <v>3500</v>
      </c>
      <c r="V267" s="64">
        <f>Ringkasan!V266</f>
        <v>1.71</v>
      </c>
      <c r="W267" s="64">
        <f>Ringkasan!W266</f>
        <v>3570</v>
      </c>
      <c r="X267" s="64">
        <f>Ringkasan!X266</f>
        <v>3650</v>
      </c>
      <c r="Y267" s="64">
        <f>Ringkasan!Y266</f>
        <v>3520</v>
      </c>
      <c r="Z267" s="64">
        <f>Ringkasan!Z266</f>
        <v>74824100</v>
      </c>
      <c r="AA267" s="64" t="str">
        <f>Ringkasan!AA266</f>
        <v>Banks</v>
      </c>
      <c r="AB267" s="64" t="str">
        <f>Ringkasan!AB266</f>
        <v>Financials</v>
      </c>
    </row>
    <row r="268" hidden="1">
      <c r="A268" s="64" t="str">
        <f>Ringkasan!A267</f>
        <v>BBNI</v>
      </c>
      <c r="B268" s="64" t="str">
        <f>Ringkasan!B267</f>
        <v>PT Bank Negara Indonesia (Persero) Tbk</v>
      </c>
      <c r="C268" s="65">
        <f>Ringkasan!C267</f>
        <v>3560</v>
      </c>
      <c r="D268" s="64" t="str">
        <f>Ringkasan!D267</f>
        <v>#N/A</v>
      </c>
      <c r="E268" s="64" t="str">
        <f>Ringkasan!E267</f>
        <v>Investor33</v>
      </c>
      <c r="F268" s="66">
        <f>Ringkasan!F267</f>
        <v>46356</v>
      </c>
      <c r="G268" s="64">
        <f>Ringkasan!G267</f>
        <v>22</v>
      </c>
      <c r="H268" s="19">
        <f>Ringkasan!H267</f>
        <v>6.8</v>
      </c>
      <c r="I268" s="19">
        <f>Ringkasan!I267</f>
        <v>0.83</v>
      </c>
      <c r="J268" s="19">
        <f>Ringkasan!J267</f>
        <v>12.3</v>
      </c>
      <c r="K268" s="19">
        <f>Ringkasan!K267</f>
        <v>1.4</v>
      </c>
      <c r="L268" s="19">
        <f>Ringkasan!L267</f>
        <v>7.6</v>
      </c>
      <c r="M268" s="19">
        <f>Ringkasan!M267</f>
        <v>89.9</v>
      </c>
      <c r="N268" s="64">
        <f>Ringkasan!N267</f>
        <v>3.8</v>
      </c>
      <c r="O268" s="64">
        <f>Ringkasan!O267</f>
        <v>20.7</v>
      </c>
      <c r="P268" s="64">
        <f>Ringkasan!P267</f>
        <v>86.4</v>
      </c>
      <c r="Q268" s="64">
        <f>Ringkasan!Q267</f>
        <v>1.9</v>
      </c>
      <c r="R268" s="64">
        <f>Ringkasan!R267</f>
        <v>72.9</v>
      </c>
      <c r="S268" s="64">
        <f>Ringkasan!S267</f>
        <v>46.5</v>
      </c>
      <c r="T268" s="64">
        <f>Ringkasan!T267</f>
        <v>8.5</v>
      </c>
      <c r="U268" s="64">
        <f>Ringkasan!U267</f>
        <v>3500</v>
      </c>
      <c r="V268" s="64">
        <f>Ringkasan!V267</f>
        <v>1.71</v>
      </c>
      <c r="W268" s="64">
        <f>Ringkasan!W267</f>
        <v>3570</v>
      </c>
      <c r="X268" s="64">
        <f>Ringkasan!X267</f>
        <v>3650</v>
      </c>
      <c r="Y268" s="64">
        <f>Ringkasan!Y267</f>
        <v>3520</v>
      </c>
      <c r="Z268" s="64">
        <f>Ringkasan!Z267</f>
        <v>74824100</v>
      </c>
      <c r="AA268" s="64" t="str">
        <f>Ringkasan!AA267</f>
        <v>Banks</v>
      </c>
      <c r="AB268" s="64" t="str">
        <f>Ringkasan!AB267</f>
        <v>Financials</v>
      </c>
    </row>
    <row r="269" hidden="1">
      <c r="A269" s="64" t="str">
        <f>Ringkasan!A268</f>
        <v>BBRI</v>
      </c>
      <c r="B269" s="64" t="str">
        <f>Ringkasan!B268</f>
        <v>PT Bank Rakyat Indonesia (Persero) Tbk</v>
      </c>
      <c r="C269" s="65">
        <f>Ringkasan!C268</f>
        <v>2850</v>
      </c>
      <c r="D269" s="64" t="str">
        <f>Ringkasan!D268</f>
        <v>#N/A</v>
      </c>
      <c r="E269" s="64" t="str">
        <f>Ringkasan!E268</f>
        <v>ESGQKEHATI</v>
      </c>
      <c r="F269" s="66">
        <f>Ringkasan!F268</f>
        <v>46356</v>
      </c>
      <c r="G269" s="64">
        <f>Ringkasan!G268</f>
        <v>23</v>
      </c>
      <c r="H269" s="19">
        <f>Ringkasan!H268</f>
        <v>7.7</v>
      </c>
      <c r="I269" s="19">
        <f>Ringkasan!I268</f>
        <v>1.3</v>
      </c>
      <c r="J269" s="19">
        <f>Ringkasan!J268</f>
        <v>17</v>
      </c>
      <c r="K269" s="19">
        <f>Ringkasan!K268</f>
        <v>2.6</v>
      </c>
      <c r="L269" s="19">
        <f>Ringkasan!L268</f>
        <v>5.5</v>
      </c>
      <c r="M269" s="19">
        <f>Ringkasan!M268</f>
        <v>96.8</v>
      </c>
      <c r="N269" s="64">
        <f>Ringkasan!N268</f>
        <v>7.65</v>
      </c>
      <c r="O269" s="64">
        <f>Ringkasan!O268</f>
        <v>24.19</v>
      </c>
      <c r="P269" s="64">
        <f>Ringkasan!P268</f>
        <v>87.43</v>
      </c>
      <c r="Q269" s="64">
        <f>Ringkasan!Q268</f>
        <v>2.86</v>
      </c>
      <c r="R269" s="64">
        <f>Ringkasan!R268</f>
        <v>68.08</v>
      </c>
      <c r="S269" s="64">
        <f>Ringkasan!S268</f>
        <v>40.89</v>
      </c>
      <c r="T269" s="64">
        <f>Ringkasan!T268</f>
        <v>10.24</v>
      </c>
      <c r="U269" s="64">
        <f>Ringkasan!U268</f>
        <v>2850</v>
      </c>
      <c r="V269" s="64">
        <f>Ringkasan!V268</f>
        <v>0</v>
      </c>
      <c r="W269" s="64">
        <f>Ringkasan!W268</f>
        <v>2880</v>
      </c>
      <c r="X269" s="64">
        <f>Ringkasan!X268</f>
        <v>2900</v>
      </c>
      <c r="Y269" s="64">
        <f>Ringkasan!Y268</f>
        <v>2830</v>
      </c>
      <c r="Z269" s="64">
        <f>Ringkasan!Z268</f>
        <v>450530000</v>
      </c>
      <c r="AA269" s="64" t="str">
        <f>Ringkasan!AA268</f>
        <v>Banks</v>
      </c>
      <c r="AB269" s="64" t="str">
        <f>Ringkasan!AB268</f>
        <v>Financials</v>
      </c>
    </row>
    <row r="270" hidden="1">
      <c r="A270" s="64" t="str">
        <f>Ringkasan!A269</f>
        <v>BBRI</v>
      </c>
      <c r="B270" s="64" t="str">
        <f>Ringkasan!B269</f>
        <v>PT Bank Rakyat Indonesia (Persero) Tbk</v>
      </c>
      <c r="C270" s="65">
        <f>Ringkasan!C269</f>
        <v>2850</v>
      </c>
      <c r="D270" s="64" t="str">
        <f>Ringkasan!D269</f>
        <v>#N/A</v>
      </c>
      <c r="E270" s="64" t="str">
        <f>Ringkasan!E269</f>
        <v>FTSE Large Cap</v>
      </c>
      <c r="F270" s="64" t="str">
        <f>Ringkasan!F269</f>
        <v>Juni 2026</v>
      </c>
      <c r="G270" s="64">
        <f>Ringkasan!G269</f>
        <v>23</v>
      </c>
      <c r="H270" s="19">
        <f>Ringkasan!H269</f>
        <v>7.7</v>
      </c>
      <c r="I270" s="19">
        <f>Ringkasan!I269</f>
        <v>1.3</v>
      </c>
      <c r="J270" s="19">
        <f>Ringkasan!J269</f>
        <v>17</v>
      </c>
      <c r="K270" s="19">
        <f>Ringkasan!K269</f>
        <v>2.6</v>
      </c>
      <c r="L270" s="19">
        <f>Ringkasan!L269</f>
        <v>5.5</v>
      </c>
      <c r="M270" s="19">
        <f>Ringkasan!M269</f>
        <v>96.8</v>
      </c>
      <c r="N270" s="64">
        <f>Ringkasan!N269</f>
        <v>7.65</v>
      </c>
      <c r="O270" s="64">
        <f>Ringkasan!O269</f>
        <v>24.19</v>
      </c>
      <c r="P270" s="64">
        <f>Ringkasan!P269</f>
        <v>87.43</v>
      </c>
      <c r="Q270" s="64">
        <f>Ringkasan!Q269</f>
        <v>2.86</v>
      </c>
      <c r="R270" s="64">
        <f>Ringkasan!R269</f>
        <v>68.08</v>
      </c>
      <c r="S270" s="64">
        <f>Ringkasan!S269</f>
        <v>40.89</v>
      </c>
      <c r="T270" s="64">
        <f>Ringkasan!T269</f>
        <v>10.24</v>
      </c>
      <c r="U270" s="64">
        <f>Ringkasan!U269</f>
        <v>2850</v>
      </c>
      <c r="V270" s="64">
        <f>Ringkasan!V269</f>
        <v>0</v>
      </c>
      <c r="W270" s="64">
        <f>Ringkasan!W269</f>
        <v>2880</v>
      </c>
      <c r="X270" s="64">
        <f>Ringkasan!X269</f>
        <v>2900</v>
      </c>
      <c r="Y270" s="64">
        <f>Ringkasan!Y269</f>
        <v>2830</v>
      </c>
      <c r="Z270" s="64">
        <f>Ringkasan!Z269</f>
        <v>450530000</v>
      </c>
      <c r="AA270" s="64" t="str">
        <f>Ringkasan!AA269</f>
        <v>Banks</v>
      </c>
      <c r="AB270" s="64" t="str">
        <f>Ringkasan!AB269</f>
        <v>Financials</v>
      </c>
    </row>
    <row r="271" hidden="1">
      <c r="A271" s="64" t="str">
        <f>Ringkasan!A270</f>
        <v>BBRI</v>
      </c>
      <c r="B271" s="64" t="str">
        <f>Ringkasan!B270</f>
        <v>PT Bank Rakyat Indonesia (Persero) Tbk</v>
      </c>
      <c r="C271" s="65">
        <f>Ringkasan!C270</f>
        <v>2850</v>
      </c>
      <c r="D271" s="64" t="str">
        <f>Ringkasan!D270</f>
        <v>#N/A</v>
      </c>
      <c r="E271" s="64" t="str">
        <f>Ringkasan!E270</f>
        <v>MSCI Global Standard</v>
      </c>
      <c r="F271" s="64" t="str">
        <f>Ringkasan!F270</f>
        <v>12 Agustus 2026</v>
      </c>
      <c r="G271" s="64">
        <f>Ringkasan!G270</f>
        <v>23</v>
      </c>
      <c r="H271" s="19">
        <f>Ringkasan!H270</f>
        <v>7.7</v>
      </c>
      <c r="I271" s="19">
        <f>Ringkasan!I270</f>
        <v>1.3</v>
      </c>
      <c r="J271" s="19">
        <f>Ringkasan!J270</f>
        <v>17</v>
      </c>
      <c r="K271" s="19">
        <f>Ringkasan!K270</f>
        <v>2.6</v>
      </c>
      <c r="L271" s="19">
        <f>Ringkasan!L270</f>
        <v>5.5</v>
      </c>
      <c r="M271" s="19">
        <f>Ringkasan!M270</f>
        <v>96.8</v>
      </c>
      <c r="N271" s="64">
        <f>Ringkasan!N270</f>
        <v>7.65</v>
      </c>
      <c r="O271" s="64">
        <f>Ringkasan!O270</f>
        <v>24.19</v>
      </c>
      <c r="P271" s="64">
        <f>Ringkasan!P270</f>
        <v>87.43</v>
      </c>
      <c r="Q271" s="64">
        <f>Ringkasan!Q270</f>
        <v>2.86</v>
      </c>
      <c r="R271" s="64">
        <f>Ringkasan!R270</f>
        <v>68.08</v>
      </c>
      <c r="S271" s="64">
        <f>Ringkasan!S270</f>
        <v>40.89</v>
      </c>
      <c r="T271" s="64">
        <f>Ringkasan!T270</f>
        <v>10.24</v>
      </c>
      <c r="U271" s="64">
        <f>Ringkasan!U270</f>
        <v>2850</v>
      </c>
      <c r="V271" s="64">
        <f>Ringkasan!V270</f>
        <v>0</v>
      </c>
      <c r="W271" s="64">
        <f>Ringkasan!W270</f>
        <v>2880</v>
      </c>
      <c r="X271" s="64">
        <f>Ringkasan!X270</f>
        <v>2900</v>
      </c>
      <c r="Y271" s="64">
        <f>Ringkasan!Y270</f>
        <v>2830</v>
      </c>
      <c r="Z271" s="64">
        <f>Ringkasan!Z270</f>
        <v>450530000</v>
      </c>
      <c r="AA271" s="64" t="str">
        <f>Ringkasan!AA270</f>
        <v>Banks</v>
      </c>
      <c r="AB271" s="64" t="str">
        <f>Ringkasan!AB270</f>
        <v>Financials</v>
      </c>
    </row>
    <row r="272" hidden="1">
      <c r="A272" s="64" t="str">
        <f>Ringkasan!A271</f>
        <v>BBRI</v>
      </c>
      <c r="B272" s="64" t="str">
        <f>Ringkasan!B271</f>
        <v>PT Bank Rakyat Indonesia (Persero) Tbk</v>
      </c>
      <c r="C272" s="65">
        <f>Ringkasan!C271</f>
        <v>2850</v>
      </c>
      <c r="D272" s="64" t="str">
        <f>Ringkasan!D271</f>
        <v>#N/A</v>
      </c>
      <c r="E272" s="64" t="str">
        <f>Ringkasan!E271</f>
        <v>IDXQ30</v>
      </c>
      <c r="F272" s="64" t="str">
        <f>Ringkasan!F271</f>
        <v>4 Agustus 2026</v>
      </c>
      <c r="G272" s="64">
        <f>Ringkasan!G271</f>
        <v>23</v>
      </c>
      <c r="H272" s="19">
        <f>Ringkasan!H271</f>
        <v>7.7</v>
      </c>
      <c r="I272" s="19">
        <f>Ringkasan!I271</f>
        <v>1.3</v>
      </c>
      <c r="J272" s="19">
        <f>Ringkasan!J271</f>
        <v>17</v>
      </c>
      <c r="K272" s="19">
        <f>Ringkasan!K271</f>
        <v>2.6</v>
      </c>
      <c r="L272" s="19">
        <f>Ringkasan!L271</f>
        <v>5.5</v>
      </c>
      <c r="M272" s="19">
        <f>Ringkasan!M271</f>
        <v>96.8</v>
      </c>
      <c r="N272" s="64">
        <f>Ringkasan!N271</f>
        <v>7.65</v>
      </c>
      <c r="O272" s="64">
        <f>Ringkasan!O271</f>
        <v>24.19</v>
      </c>
      <c r="P272" s="64">
        <f>Ringkasan!P271</f>
        <v>87.43</v>
      </c>
      <c r="Q272" s="64">
        <f>Ringkasan!Q271</f>
        <v>2.86</v>
      </c>
      <c r="R272" s="64">
        <f>Ringkasan!R271</f>
        <v>68.08</v>
      </c>
      <c r="S272" s="64">
        <f>Ringkasan!S271</f>
        <v>40.89</v>
      </c>
      <c r="T272" s="64">
        <f>Ringkasan!T271</f>
        <v>10.24</v>
      </c>
      <c r="U272" s="64">
        <f>Ringkasan!U271</f>
        <v>2850</v>
      </c>
      <c r="V272" s="64">
        <f>Ringkasan!V271</f>
        <v>0</v>
      </c>
      <c r="W272" s="64">
        <f>Ringkasan!W271</f>
        <v>2880</v>
      </c>
      <c r="X272" s="64">
        <f>Ringkasan!X271</f>
        <v>2900</v>
      </c>
      <c r="Y272" s="64">
        <f>Ringkasan!Y271</f>
        <v>2830</v>
      </c>
      <c r="Z272" s="64">
        <f>Ringkasan!Z271</f>
        <v>450530000</v>
      </c>
      <c r="AA272" s="64" t="str">
        <f>Ringkasan!AA271</f>
        <v>Banks</v>
      </c>
      <c r="AB272" s="64" t="str">
        <f>Ringkasan!AB271</f>
        <v>Financials</v>
      </c>
    </row>
    <row r="273" hidden="1">
      <c r="A273" s="64" t="str">
        <f>Ringkasan!A272</f>
        <v>BBRI</v>
      </c>
      <c r="B273" s="64" t="str">
        <f>Ringkasan!B272</f>
        <v>PT Bank Rakyat Indonesia (Persero) Tbk</v>
      </c>
      <c r="C273" s="65">
        <f>Ringkasan!C272</f>
        <v>2850</v>
      </c>
      <c r="D273" s="64" t="str">
        <f>Ringkasan!D272</f>
        <v>#N/A</v>
      </c>
      <c r="E273" s="64" t="str">
        <f>Ringkasan!E272</f>
        <v>IDXG30</v>
      </c>
      <c r="F273" s="64" t="str">
        <f>Ringkasan!F272</f>
        <v>4 Agustus 2026</v>
      </c>
      <c r="G273" s="64">
        <f>Ringkasan!G272</f>
        <v>23</v>
      </c>
      <c r="H273" s="19">
        <f>Ringkasan!H272</f>
        <v>7.7</v>
      </c>
      <c r="I273" s="19">
        <f>Ringkasan!I272</f>
        <v>1.3</v>
      </c>
      <c r="J273" s="19">
        <f>Ringkasan!J272</f>
        <v>17</v>
      </c>
      <c r="K273" s="19">
        <f>Ringkasan!K272</f>
        <v>2.6</v>
      </c>
      <c r="L273" s="19">
        <f>Ringkasan!L272</f>
        <v>5.5</v>
      </c>
      <c r="M273" s="19">
        <f>Ringkasan!M272</f>
        <v>96.8</v>
      </c>
      <c r="N273" s="64">
        <f>Ringkasan!N272</f>
        <v>7.65</v>
      </c>
      <c r="O273" s="64">
        <f>Ringkasan!O272</f>
        <v>24.19</v>
      </c>
      <c r="P273" s="64">
        <f>Ringkasan!P272</f>
        <v>87.43</v>
      </c>
      <c r="Q273" s="64">
        <f>Ringkasan!Q272</f>
        <v>2.86</v>
      </c>
      <c r="R273" s="64">
        <f>Ringkasan!R272</f>
        <v>68.08</v>
      </c>
      <c r="S273" s="64">
        <f>Ringkasan!S272</f>
        <v>40.89</v>
      </c>
      <c r="T273" s="64">
        <f>Ringkasan!T272</f>
        <v>10.24</v>
      </c>
      <c r="U273" s="64">
        <f>Ringkasan!U272</f>
        <v>2850</v>
      </c>
      <c r="V273" s="64">
        <f>Ringkasan!V272</f>
        <v>0</v>
      </c>
      <c r="W273" s="64">
        <f>Ringkasan!W272</f>
        <v>2880</v>
      </c>
      <c r="X273" s="64">
        <f>Ringkasan!X272</f>
        <v>2900</v>
      </c>
      <c r="Y273" s="64">
        <f>Ringkasan!Y272</f>
        <v>2830</v>
      </c>
      <c r="Z273" s="64">
        <f>Ringkasan!Z272</f>
        <v>450530000</v>
      </c>
      <c r="AA273" s="64" t="str">
        <f>Ringkasan!AA272</f>
        <v>Banks</v>
      </c>
      <c r="AB273" s="64" t="str">
        <f>Ringkasan!AB272</f>
        <v>Financials</v>
      </c>
    </row>
    <row r="274" hidden="1">
      <c r="A274" s="64" t="str">
        <f>Ringkasan!A273</f>
        <v>BBRI</v>
      </c>
      <c r="B274" s="64" t="str">
        <f>Ringkasan!B273</f>
        <v>PT Bank Rakyat Indonesia (Persero) Tbk</v>
      </c>
      <c r="C274" s="65">
        <f>Ringkasan!C273</f>
        <v>2850</v>
      </c>
      <c r="D274" s="64" t="str">
        <f>Ringkasan!D273</f>
        <v>#N/A</v>
      </c>
      <c r="E274" s="64" t="str">
        <f>Ringkasan!E273</f>
        <v>IDXVESTA28</v>
      </c>
      <c r="F274" s="64" t="str">
        <f>Ringkasan!F273</f>
        <v>31 Agustus 2026</v>
      </c>
      <c r="G274" s="64">
        <f>Ringkasan!G273</f>
        <v>23</v>
      </c>
      <c r="H274" s="19">
        <f>Ringkasan!H273</f>
        <v>7.7</v>
      </c>
      <c r="I274" s="19">
        <f>Ringkasan!I273</f>
        <v>1.3</v>
      </c>
      <c r="J274" s="19">
        <f>Ringkasan!J273</f>
        <v>17</v>
      </c>
      <c r="K274" s="19">
        <f>Ringkasan!K273</f>
        <v>2.6</v>
      </c>
      <c r="L274" s="19">
        <f>Ringkasan!L273</f>
        <v>5.5</v>
      </c>
      <c r="M274" s="19">
        <f>Ringkasan!M273</f>
        <v>96.8</v>
      </c>
      <c r="N274" s="64">
        <f>Ringkasan!N273</f>
        <v>7.65</v>
      </c>
      <c r="O274" s="64">
        <f>Ringkasan!O273</f>
        <v>24.19</v>
      </c>
      <c r="P274" s="64">
        <f>Ringkasan!P273</f>
        <v>87.43</v>
      </c>
      <c r="Q274" s="64">
        <f>Ringkasan!Q273</f>
        <v>2.86</v>
      </c>
      <c r="R274" s="64">
        <f>Ringkasan!R273</f>
        <v>68.08</v>
      </c>
      <c r="S274" s="64">
        <f>Ringkasan!S273</f>
        <v>40.89</v>
      </c>
      <c r="T274" s="64">
        <f>Ringkasan!T273</f>
        <v>10.24</v>
      </c>
      <c r="U274" s="64">
        <f>Ringkasan!U273</f>
        <v>2850</v>
      </c>
      <c r="V274" s="64">
        <f>Ringkasan!V273</f>
        <v>0</v>
      </c>
      <c r="W274" s="64">
        <f>Ringkasan!W273</f>
        <v>2880</v>
      </c>
      <c r="X274" s="64">
        <f>Ringkasan!X273</f>
        <v>2900</v>
      </c>
      <c r="Y274" s="64">
        <f>Ringkasan!Y273</f>
        <v>2830</v>
      </c>
      <c r="Z274" s="64">
        <f>Ringkasan!Z273</f>
        <v>450530000</v>
      </c>
      <c r="AA274" s="64" t="str">
        <f>Ringkasan!AA273</f>
        <v>Banks</v>
      </c>
      <c r="AB274" s="64" t="str">
        <f>Ringkasan!AB273</f>
        <v>Financials</v>
      </c>
    </row>
    <row r="275" hidden="1">
      <c r="A275" s="64" t="str">
        <f>Ringkasan!A274</f>
        <v>BBRI</v>
      </c>
      <c r="B275" s="64" t="str">
        <f>Ringkasan!B274</f>
        <v>PT Bank Rakyat Indonesia (Persero) Tbk</v>
      </c>
      <c r="C275" s="65">
        <f>Ringkasan!C274</f>
        <v>2850</v>
      </c>
      <c r="D275" s="64" t="str">
        <f>Ringkasan!D274</f>
        <v>#N/A</v>
      </c>
      <c r="E275" s="64" t="str">
        <f>Ringkasan!E274</f>
        <v>Infobank15</v>
      </c>
      <c r="F275" s="64" t="str">
        <f>Ringkasan!F274</f>
        <v>30 Juni 2026</v>
      </c>
      <c r="G275" s="64">
        <f>Ringkasan!G274</f>
        <v>23</v>
      </c>
      <c r="H275" s="19">
        <f>Ringkasan!H274</f>
        <v>7.7</v>
      </c>
      <c r="I275" s="19">
        <f>Ringkasan!I274</f>
        <v>1.3</v>
      </c>
      <c r="J275" s="19">
        <f>Ringkasan!J274</f>
        <v>17</v>
      </c>
      <c r="K275" s="19">
        <f>Ringkasan!K274</f>
        <v>2.6</v>
      </c>
      <c r="L275" s="19">
        <f>Ringkasan!L274</f>
        <v>5.5</v>
      </c>
      <c r="M275" s="19">
        <f>Ringkasan!M274</f>
        <v>96.8</v>
      </c>
      <c r="N275" s="64">
        <f>Ringkasan!N274</f>
        <v>7.65</v>
      </c>
      <c r="O275" s="64">
        <f>Ringkasan!O274</f>
        <v>24.19</v>
      </c>
      <c r="P275" s="64">
        <f>Ringkasan!P274</f>
        <v>87.43</v>
      </c>
      <c r="Q275" s="64">
        <f>Ringkasan!Q274</f>
        <v>2.86</v>
      </c>
      <c r="R275" s="64">
        <f>Ringkasan!R274</f>
        <v>68.08</v>
      </c>
      <c r="S275" s="64">
        <f>Ringkasan!S274</f>
        <v>40.89</v>
      </c>
      <c r="T275" s="64">
        <f>Ringkasan!T274</f>
        <v>10.24</v>
      </c>
      <c r="U275" s="64">
        <f>Ringkasan!U274</f>
        <v>2850</v>
      </c>
      <c r="V275" s="64">
        <f>Ringkasan!V274</f>
        <v>0</v>
      </c>
      <c r="W275" s="64">
        <f>Ringkasan!W274</f>
        <v>2880</v>
      </c>
      <c r="X275" s="64">
        <f>Ringkasan!X274</f>
        <v>2900</v>
      </c>
      <c r="Y275" s="64">
        <f>Ringkasan!Y274</f>
        <v>2830</v>
      </c>
      <c r="Z275" s="64">
        <f>Ringkasan!Z274</f>
        <v>450530000</v>
      </c>
      <c r="AA275" s="64" t="str">
        <f>Ringkasan!AA274</f>
        <v>Banks</v>
      </c>
      <c r="AB275" s="64" t="str">
        <f>Ringkasan!AB274</f>
        <v>Financials</v>
      </c>
    </row>
    <row r="276" hidden="1">
      <c r="A276" s="64" t="str">
        <f>Ringkasan!A275</f>
        <v>BBRI</v>
      </c>
      <c r="B276" s="64" t="str">
        <f>Ringkasan!B275</f>
        <v>PT Bank Rakyat Indonesia (Persero) Tbk</v>
      </c>
      <c r="C276" s="65">
        <f>Ringkasan!C275</f>
        <v>2850</v>
      </c>
      <c r="D276" s="64" t="str">
        <f>Ringkasan!D275</f>
        <v>#N/A</v>
      </c>
      <c r="E276" s="64" t="str">
        <f>Ringkasan!E275</f>
        <v>IDX80</v>
      </c>
      <c r="F276" s="64" t="str">
        <f>Ringkasan!F275</f>
        <v>31 Juli 2026</v>
      </c>
      <c r="G276" s="64">
        <f>Ringkasan!G275</f>
        <v>23</v>
      </c>
      <c r="H276" s="19">
        <f>Ringkasan!H275</f>
        <v>7.7</v>
      </c>
      <c r="I276" s="19">
        <f>Ringkasan!I275</f>
        <v>1.3</v>
      </c>
      <c r="J276" s="19">
        <f>Ringkasan!J275</f>
        <v>17</v>
      </c>
      <c r="K276" s="19">
        <f>Ringkasan!K275</f>
        <v>2.6</v>
      </c>
      <c r="L276" s="19">
        <f>Ringkasan!L275</f>
        <v>5.5</v>
      </c>
      <c r="M276" s="19">
        <f>Ringkasan!M275</f>
        <v>96.8</v>
      </c>
      <c r="N276" s="64">
        <f>Ringkasan!N275</f>
        <v>7.65</v>
      </c>
      <c r="O276" s="64">
        <f>Ringkasan!O275</f>
        <v>24.19</v>
      </c>
      <c r="P276" s="64">
        <f>Ringkasan!P275</f>
        <v>87.43</v>
      </c>
      <c r="Q276" s="64">
        <f>Ringkasan!Q275</f>
        <v>2.86</v>
      </c>
      <c r="R276" s="64">
        <f>Ringkasan!R275</f>
        <v>68.08</v>
      </c>
      <c r="S276" s="64">
        <f>Ringkasan!S275</f>
        <v>40.89</v>
      </c>
      <c r="T276" s="64">
        <f>Ringkasan!T275</f>
        <v>10.24</v>
      </c>
      <c r="U276" s="64">
        <f>Ringkasan!U275</f>
        <v>2850</v>
      </c>
      <c r="V276" s="64">
        <f>Ringkasan!V275</f>
        <v>0</v>
      </c>
      <c r="W276" s="64">
        <f>Ringkasan!W275</f>
        <v>2880</v>
      </c>
      <c r="X276" s="64">
        <f>Ringkasan!X275</f>
        <v>2900</v>
      </c>
      <c r="Y276" s="64">
        <f>Ringkasan!Y275</f>
        <v>2830</v>
      </c>
      <c r="Z276" s="64">
        <f>Ringkasan!Z275</f>
        <v>450530000</v>
      </c>
      <c r="AA276" s="64" t="str">
        <f>Ringkasan!AA275</f>
        <v>Banks</v>
      </c>
      <c r="AB276" s="64" t="str">
        <f>Ringkasan!AB275</f>
        <v>Financials</v>
      </c>
    </row>
    <row r="277" hidden="1">
      <c r="A277" s="64" t="str">
        <f>Ringkasan!A276</f>
        <v>BBRI</v>
      </c>
      <c r="B277" s="64" t="str">
        <f>Ringkasan!B276</f>
        <v>PT Bank Rakyat Indonesia (Persero) Tbk</v>
      </c>
      <c r="C277" s="65">
        <f>Ringkasan!C276</f>
        <v>2850</v>
      </c>
      <c r="D277" s="64" t="str">
        <f>Ringkasan!D276</f>
        <v>#N/A</v>
      </c>
      <c r="E277" s="64" t="str">
        <f>Ringkasan!E276</f>
        <v>IDX30</v>
      </c>
      <c r="F277" s="64" t="str">
        <f>Ringkasan!F276</f>
        <v>31 Juli 2026</v>
      </c>
      <c r="G277" s="64">
        <f>Ringkasan!G276</f>
        <v>23</v>
      </c>
      <c r="H277" s="19">
        <f>Ringkasan!H276</f>
        <v>7.7</v>
      </c>
      <c r="I277" s="19">
        <f>Ringkasan!I276</f>
        <v>1.3</v>
      </c>
      <c r="J277" s="19">
        <f>Ringkasan!J276</f>
        <v>17</v>
      </c>
      <c r="K277" s="19">
        <f>Ringkasan!K276</f>
        <v>2.6</v>
      </c>
      <c r="L277" s="19">
        <f>Ringkasan!L276</f>
        <v>5.5</v>
      </c>
      <c r="M277" s="19">
        <f>Ringkasan!M276</f>
        <v>96.8</v>
      </c>
      <c r="N277" s="64">
        <f>Ringkasan!N276</f>
        <v>7.65</v>
      </c>
      <c r="O277" s="64">
        <f>Ringkasan!O276</f>
        <v>24.19</v>
      </c>
      <c r="P277" s="64">
        <f>Ringkasan!P276</f>
        <v>87.43</v>
      </c>
      <c r="Q277" s="64">
        <f>Ringkasan!Q276</f>
        <v>2.86</v>
      </c>
      <c r="R277" s="64">
        <f>Ringkasan!R276</f>
        <v>68.08</v>
      </c>
      <c r="S277" s="64">
        <f>Ringkasan!S276</f>
        <v>40.89</v>
      </c>
      <c r="T277" s="64">
        <f>Ringkasan!T276</f>
        <v>10.24</v>
      </c>
      <c r="U277" s="64">
        <f>Ringkasan!U276</f>
        <v>2850</v>
      </c>
      <c r="V277" s="64">
        <f>Ringkasan!V276</f>
        <v>0</v>
      </c>
      <c r="W277" s="64">
        <f>Ringkasan!W276</f>
        <v>2880</v>
      </c>
      <c r="X277" s="64">
        <f>Ringkasan!X276</f>
        <v>2900</v>
      </c>
      <c r="Y277" s="64">
        <f>Ringkasan!Y276</f>
        <v>2830</v>
      </c>
      <c r="Z277" s="64">
        <f>Ringkasan!Z276</f>
        <v>450530000</v>
      </c>
      <c r="AA277" s="64" t="str">
        <f>Ringkasan!AA276</f>
        <v>Banks</v>
      </c>
      <c r="AB277" s="64" t="str">
        <f>Ringkasan!AB276</f>
        <v>Financials</v>
      </c>
    </row>
    <row r="278" hidden="1">
      <c r="A278" s="64" t="str">
        <f>Ringkasan!A277</f>
        <v>BBRI</v>
      </c>
      <c r="B278" s="64" t="str">
        <f>Ringkasan!B277</f>
        <v>PT Bank Rakyat Indonesia (Persero) Tbk</v>
      </c>
      <c r="C278" s="65">
        <f>Ringkasan!C277</f>
        <v>2850</v>
      </c>
      <c r="D278" s="64" t="str">
        <f>Ringkasan!D277</f>
        <v>#N/A</v>
      </c>
      <c r="E278" s="64" t="str">
        <f>Ringkasan!E277</f>
        <v>ECONOMIC30</v>
      </c>
      <c r="F278" s="64" t="str">
        <f>Ringkasan!F277</f>
        <v>31 Agustus 2026</v>
      </c>
      <c r="G278" s="64">
        <f>Ringkasan!G277</f>
        <v>23</v>
      </c>
      <c r="H278" s="19">
        <f>Ringkasan!H277</f>
        <v>7.7</v>
      </c>
      <c r="I278" s="19">
        <f>Ringkasan!I277</f>
        <v>1.3</v>
      </c>
      <c r="J278" s="19">
        <f>Ringkasan!J277</f>
        <v>17</v>
      </c>
      <c r="K278" s="19">
        <f>Ringkasan!K277</f>
        <v>2.6</v>
      </c>
      <c r="L278" s="19">
        <f>Ringkasan!L277</f>
        <v>5.5</v>
      </c>
      <c r="M278" s="19">
        <f>Ringkasan!M277</f>
        <v>96.8</v>
      </c>
      <c r="N278" s="64">
        <f>Ringkasan!N277</f>
        <v>7.65</v>
      </c>
      <c r="O278" s="64">
        <f>Ringkasan!O277</f>
        <v>24.19</v>
      </c>
      <c r="P278" s="64">
        <f>Ringkasan!P277</f>
        <v>87.43</v>
      </c>
      <c r="Q278" s="64">
        <f>Ringkasan!Q277</f>
        <v>2.86</v>
      </c>
      <c r="R278" s="64">
        <f>Ringkasan!R277</f>
        <v>68.08</v>
      </c>
      <c r="S278" s="64">
        <f>Ringkasan!S277</f>
        <v>40.89</v>
      </c>
      <c r="T278" s="64">
        <f>Ringkasan!T277</f>
        <v>10.24</v>
      </c>
      <c r="U278" s="64">
        <f>Ringkasan!U277</f>
        <v>2850</v>
      </c>
      <c r="V278" s="64">
        <f>Ringkasan!V277</f>
        <v>0</v>
      </c>
      <c r="W278" s="64">
        <f>Ringkasan!W277</f>
        <v>2880</v>
      </c>
      <c r="X278" s="64">
        <f>Ringkasan!X277</f>
        <v>2900</v>
      </c>
      <c r="Y278" s="64">
        <f>Ringkasan!Y277</f>
        <v>2830</v>
      </c>
      <c r="Z278" s="64">
        <f>Ringkasan!Z277</f>
        <v>450530000</v>
      </c>
      <c r="AA278" s="64" t="str">
        <f>Ringkasan!AA277</f>
        <v>Banks</v>
      </c>
      <c r="AB278" s="64" t="str">
        <f>Ringkasan!AB277</f>
        <v>Financials</v>
      </c>
    </row>
    <row r="279" hidden="1">
      <c r="A279" s="64" t="str">
        <f>Ringkasan!A278</f>
        <v>BBRI</v>
      </c>
      <c r="B279" s="64" t="str">
        <f>Ringkasan!B278</f>
        <v>PT Bank Rakyat Indonesia (Persero) Tbk</v>
      </c>
      <c r="C279" s="65">
        <f>Ringkasan!C278</f>
        <v>2850</v>
      </c>
      <c r="D279" s="64" t="str">
        <f>Ringkasan!D278</f>
        <v>#N/A</v>
      </c>
      <c r="E279" s="64" t="str">
        <f>Ringkasan!E278</f>
        <v>IDXESGL</v>
      </c>
      <c r="F279" s="64" t="str">
        <f>Ringkasan!F278</f>
        <v>30 Oktober 2026</v>
      </c>
      <c r="G279" s="64">
        <f>Ringkasan!G278</f>
        <v>23</v>
      </c>
      <c r="H279" s="19">
        <f>Ringkasan!H278</f>
        <v>7.7</v>
      </c>
      <c r="I279" s="19">
        <f>Ringkasan!I278</f>
        <v>1.3</v>
      </c>
      <c r="J279" s="19">
        <f>Ringkasan!J278</f>
        <v>17</v>
      </c>
      <c r="K279" s="19">
        <f>Ringkasan!K278</f>
        <v>2.6</v>
      </c>
      <c r="L279" s="19">
        <f>Ringkasan!L278</f>
        <v>5.5</v>
      </c>
      <c r="M279" s="19">
        <f>Ringkasan!M278</f>
        <v>96.8</v>
      </c>
      <c r="N279" s="64">
        <f>Ringkasan!N278</f>
        <v>7.65</v>
      </c>
      <c r="O279" s="64">
        <f>Ringkasan!O278</f>
        <v>24.19</v>
      </c>
      <c r="P279" s="64">
        <f>Ringkasan!P278</f>
        <v>87.43</v>
      </c>
      <c r="Q279" s="64">
        <f>Ringkasan!Q278</f>
        <v>2.86</v>
      </c>
      <c r="R279" s="64">
        <f>Ringkasan!R278</f>
        <v>68.08</v>
      </c>
      <c r="S279" s="64">
        <f>Ringkasan!S278</f>
        <v>40.89</v>
      </c>
      <c r="T279" s="64">
        <f>Ringkasan!T278</f>
        <v>10.24</v>
      </c>
      <c r="U279" s="64">
        <f>Ringkasan!U278</f>
        <v>2850</v>
      </c>
      <c r="V279" s="64">
        <f>Ringkasan!V278</f>
        <v>0</v>
      </c>
      <c r="W279" s="64">
        <f>Ringkasan!W278</f>
        <v>2880</v>
      </c>
      <c r="X279" s="64">
        <f>Ringkasan!X278</f>
        <v>2900</v>
      </c>
      <c r="Y279" s="64">
        <f>Ringkasan!Y278</f>
        <v>2830</v>
      </c>
      <c r="Z279" s="64">
        <f>Ringkasan!Z278</f>
        <v>450530000</v>
      </c>
      <c r="AA279" s="64" t="str">
        <f>Ringkasan!AA278</f>
        <v>Banks</v>
      </c>
      <c r="AB279" s="64" t="str">
        <f>Ringkasan!AB278</f>
        <v>Financials</v>
      </c>
    </row>
    <row r="280" hidden="1">
      <c r="A280" s="64" t="str">
        <f>Ringkasan!A279</f>
        <v>BBRI</v>
      </c>
      <c r="B280" s="64" t="str">
        <f>Ringkasan!B279</f>
        <v>PT Bank Rakyat Indonesia (Persero) Tbk</v>
      </c>
      <c r="C280" s="65">
        <f>Ringkasan!C279</f>
        <v>2850</v>
      </c>
      <c r="D280" s="64" t="str">
        <f>Ringkasan!D279</f>
        <v>#N/A</v>
      </c>
      <c r="E280" s="64" t="str">
        <f>Ringkasan!E279</f>
        <v>IDXHIDIV20</v>
      </c>
      <c r="F280" s="64" t="str">
        <f>Ringkasan!F279</f>
        <v>2 Februari 2027</v>
      </c>
      <c r="G280" s="64">
        <f>Ringkasan!G279</f>
        <v>23</v>
      </c>
      <c r="H280" s="19">
        <f>Ringkasan!H279</f>
        <v>7.7</v>
      </c>
      <c r="I280" s="19">
        <f>Ringkasan!I279</f>
        <v>1.3</v>
      </c>
      <c r="J280" s="19">
        <f>Ringkasan!J279</f>
        <v>17</v>
      </c>
      <c r="K280" s="19">
        <f>Ringkasan!K279</f>
        <v>2.6</v>
      </c>
      <c r="L280" s="19">
        <f>Ringkasan!L279</f>
        <v>5.5</v>
      </c>
      <c r="M280" s="19">
        <f>Ringkasan!M279</f>
        <v>96.8</v>
      </c>
      <c r="N280" s="64">
        <f>Ringkasan!N279</f>
        <v>7.65</v>
      </c>
      <c r="O280" s="64">
        <f>Ringkasan!O279</f>
        <v>24.19</v>
      </c>
      <c r="P280" s="64">
        <f>Ringkasan!P279</f>
        <v>87.43</v>
      </c>
      <c r="Q280" s="64">
        <f>Ringkasan!Q279</f>
        <v>2.86</v>
      </c>
      <c r="R280" s="64">
        <f>Ringkasan!R279</f>
        <v>68.08</v>
      </c>
      <c r="S280" s="64">
        <f>Ringkasan!S279</f>
        <v>40.89</v>
      </c>
      <c r="T280" s="64">
        <f>Ringkasan!T279</f>
        <v>10.24</v>
      </c>
      <c r="U280" s="64">
        <f>Ringkasan!U279</f>
        <v>2850</v>
      </c>
      <c r="V280" s="64">
        <f>Ringkasan!V279</f>
        <v>0</v>
      </c>
      <c r="W280" s="64">
        <f>Ringkasan!W279</f>
        <v>2880</v>
      </c>
      <c r="X280" s="64">
        <f>Ringkasan!X279</f>
        <v>2900</v>
      </c>
      <c r="Y280" s="64">
        <f>Ringkasan!Y279</f>
        <v>2830</v>
      </c>
      <c r="Z280" s="64">
        <f>Ringkasan!Z279</f>
        <v>450530000</v>
      </c>
      <c r="AA280" s="64" t="str">
        <f>Ringkasan!AA279</f>
        <v>Banks</v>
      </c>
      <c r="AB280" s="64" t="str">
        <f>Ringkasan!AB279</f>
        <v>Financials</v>
      </c>
    </row>
    <row r="281" hidden="1">
      <c r="A281" s="64" t="str">
        <f>Ringkasan!A212</f>
        <v>BAJA</v>
      </c>
      <c r="B281" s="64" t="str">
        <f>Ringkasan!B212</f>
        <v>Saranacentral Bajatama Tbk.</v>
      </c>
      <c r="C281" s="65">
        <f>Ringkasan!C212</f>
        <v>126</v>
      </c>
      <c r="D281" s="64" t="str">
        <f>Ringkasan!D212</f>
        <v>#N/A</v>
      </c>
      <c r="E281" s="64" t="str">
        <f>Ringkasan!E212</f>
        <v/>
      </c>
      <c r="F281" s="64" t="str">
        <f>Ringkasan!F212</f>
        <v/>
      </c>
      <c r="G281" s="64">
        <f>Ringkasan!G212</f>
        <v>0</v>
      </c>
      <c r="H281" s="19">
        <f>Ringkasan!H212</f>
        <v>-7.3</v>
      </c>
      <c r="I281" s="19">
        <f>Ringkasan!I212</f>
        <v>12.4</v>
      </c>
      <c r="J281" s="19">
        <f>Ringkasan!J212</f>
        <v>-170</v>
      </c>
      <c r="K281" s="19">
        <f>Ringkasan!K212</f>
        <v>-5.3</v>
      </c>
      <c r="L281" s="19">
        <f>Ringkasan!L212</f>
        <v>31.2</v>
      </c>
      <c r="M281" s="19">
        <f>Ringkasan!M212</f>
        <v>-4.4</v>
      </c>
      <c r="N281" s="64" t="str">
        <f>Ringkasan!N212</f>
        <v/>
      </c>
      <c r="O281" s="64" t="str">
        <f>Ringkasan!O212</f>
        <v/>
      </c>
      <c r="P281" s="64" t="str">
        <f>Ringkasan!P212</f>
        <v/>
      </c>
      <c r="Q281" s="64" t="str">
        <f>Ringkasan!Q212</f>
        <v/>
      </c>
      <c r="R281" s="64" t="str">
        <f>Ringkasan!R212</f>
        <v/>
      </c>
      <c r="S281" s="64" t="str">
        <f>Ringkasan!S212</f>
        <v/>
      </c>
      <c r="T281" s="64" t="str">
        <f>Ringkasan!T212</f>
        <v/>
      </c>
      <c r="U281" s="64">
        <f>Ringkasan!U212</f>
        <v>126</v>
      </c>
      <c r="V281" s="64">
        <f>Ringkasan!V212</f>
        <v>0</v>
      </c>
      <c r="W281" s="64">
        <f>Ringkasan!W212</f>
        <v>126</v>
      </c>
      <c r="X281" s="64">
        <f>Ringkasan!X212</f>
        <v>126</v>
      </c>
      <c r="Y281" s="64">
        <f>Ringkasan!Y212</f>
        <v>123</v>
      </c>
      <c r="Z281" s="64">
        <f>Ringkasan!Z212</f>
        <v>476200</v>
      </c>
      <c r="AA281" s="64" t="str">
        <f>Ringkasan!AA212</f>
        <v>Metals &amp; Minerals</v>
      </c>
      <c r="AB281" s="64" t="str">
        <f>Ringkasan!AB212</f>
        <v>Basic Materials</v>
      </c>
    </row>
    <row r="282" hidden="1">
      <c r="A282" s="64" t="str">
        <f>Ringkasan!A281</f>
        <v>BBRI</v>
      </c>
      <c r="B282" s="64" t="str">
        <f>Ringkasan!B281</f>
        <v>PT Bank Rakyat Indonesia (Persero) Tbk</v>
      </c>
      <c r="C282" s="65">
        <f>Ringkasan!C281</f>
        <v>2850</v>
      </c>
      <c r="D282" s="64" t="str">
        <f>Ringkasan!D281</f>
        <v>#N/A</v>
      </c>
      <c r="E282" s="64" t="str">
        <f>Ringkasan!E281</f>
        <v>LQ45</v>
      </c>
      <c r="F282" s="64" t="str">
        <f>Ringkasan!F281</f>
        <v>31 Juli 2026</v>
      </c>
      <c r="G282" s="64">
        <f>Ringkasan!G281</f>
        <v>23</v>
      </c>
      <c r="H282" s="19">
        <f>Ringkasan!H281</f>
        <v>7.7</v>
      </c>
      <c r="I282" s="19">
        <f>Ringkasan!I281</f>
        <v>1.3</v>
      </c>
      <c r="J282" s="19">
        <f>Ringkasan!J281</f>
        <v>17</v>
      </c>
      <c r="K282" s="19">
        <f>Ringkasan!K281</f>
        <v>2.6</v>
      </c>
      <c r="L282" s="19">
        <f>Ringkasan!L281</f>
        <v>5.5</v>
      </c>
      <c r="M282" s="19">
        <f>Ringkasan!M281</f>
        <v>96.8</v>
      </c>
      <c r="N282" s="64">
        <f>Ringkasan!N281</f>
        <v>7.65</v>
      </c>
      <c r="O282" s="64">
        <f>Ringkasan!O281</f>
        <v>24.19</v>
      </c>
      <c r="P282" s="64">
        <f>Ringkasan!P281</f>
        <v>87.43</v>
      </c>
      <c r="Q282" s="64">
        <f>Ringkasan!Q281</f>
        <v>2.86</v>
      </c>
      <c r="R282" s="64">
        <f>Ringkasan!R281</f>
        <v>68.08</v>
      </c>
      <c r="S282" s="64">
        <f>Ringkasan!S281</f>
        <v>40.89</v>
      </c>
      <c r="T282" s="64">
        <f>Ringkasan!T281</f>
        <v>10.24</v>
      </c>
      <c r="U282" s="64">
        <f>Ringkasan!U281</f>
        <v>2850</v>
      </c>
      <c r="V282" s="64">
        <f>Ringkasan!V281</f>
        <v>0</v>
      </c>
      <c r="W282" s="64">
        <f>Ringkasan!W281</f>
        <v>2880</v>
      </c>
      <c r="X282" s="64">
        <f>Ringkasan!X281</f>
        <v>2900</v>
      </c>
      <c r="Y282" s="64">
        <f>Ringkasan!Y281</f>
        <v>2830</v>
      </c>
      <c r="Z282" s="64">
        <f>Ringkasan!Z281</f>
        <v>450530000</v>
      </c>
      <c r="AA282" s="64" t="str">
        <f>Ringkasan!AA281</f>
        <v>Banks</v>
      </c>
      <c r="AB282" s="64" t="str">
        <f>Ringkasan!AB281</f>
        <v>Financials</v>
      </c>
    </row>
    <row r="283" hidden="1">
      <c r="A283" s="64" t="str">
        <f>Ringkasan!A253</f>
        <v>BBNI</v>
      </c>
      <c r="B283" s="64" t="str">
        <f>Ringkasan!B253</f>
        <v>PT Bank Negara Indonesia (Persero) Tbk</v>
      </c>
      <c r="C283" s="65">
        <f>Ringkasan!C253</f>
        <v>3560</v>
      </c>
      <c r="D283" s="64" t="str">
        <f>Ringkasan!D253</f>
        <v>#N/A</v>
      </c>
      <c r="E283" s="64" t="str">
        <f>Ringkasan!E253</f>
        <v>IDXHIDIV20</v>
      </c>
      <c r="F283" s="64" t="str">
        <f>Ringkasan!F253</f>
        <v>2 Februari 2027</v>
      </c>
      <c r="G283" s="64">
        <f>Ringkasan!G253</f>
        <v>22</v>
      </c>
      <c r="H283" s="19">
        <f>Ringkasan!H253</f>
        <v>6.8</v>
      </c>
      <c r="I283" s="19">
        <f>Ringkasan!I253</f>
        <v>0.83</v>
      </c>
      <c r="J283" s="19">
        <f>Ringkasan!J253</f>
        <v>12.3</v>
      </c>
      <c r="K283" s="19">
        <f>Ringkasan!K253</f>
        <v>1.4</v>
      </c>
      <c r="L283" s="19">
        <f>Ringkasan!L253</f>
        <v>7.6</v>
      </c>
      <c r="M283" s="19">
        <f>Ringkasan!M253</f>
        <v>89.9</v>
      </c>
      <c r="N283" s="64">
        <f>Ringkasan!N253</f>
        <v>3.8</v>
      </c>
      <c r="O283" s="64">
        <f>Ringkasan!O253</f>
        <v>20.7</v>
      </c>
      <c r="P283" s="64">
        <f>Ringkasan!P253</f>
        <v>86.4</v>
      </c>
      <c r="Q283" s="64">
        <f>Ringkasan!Q253</f>
        <v>1.9</v>
      </c>
      <c r="R283" s="64">
        <f>Ringkasan!R253</f>
        <v>72.9</v>
      </c>
      <c r="S283" s="64">
        <f>Ringkasan!S253</f>
        <v>46.5</v>
      </c>
      <c r="T283" s="64">
        <f>Ringkasan!T253</f>
        <v>8.5</v>
      </c>
      <c r="U283" s="64">
        <f>Ringkasan!U253</f>
        <v>3500</v>
      </c>
      <c r="V283" s="64">
        <f>Ringkasan!V253</f>
        <v>1.71</v>
      </c>
      <c r="W283" s="64">
        <f>Ringkasan!W253</f>
        <v>3570</v>
      </c>
      <c r="X283" s="64">
        <f>Ringkasan!X253</f>
        <v>3650</v>
      </c>
      <c r="Y283" s="64">
        <f>Ringkasan!Y253</f>
        <v>3520</v>
      </c>
      <c r="Z283" s="64">
        <f>Ringkasan!Z253</f>
        <v>74824100</v>
      </c>
      <c r="AA283" s="64" t="str">
        <f>Ringkasan!AA253</f>
        <v>Banks</v>
      </c>
      <c r="AB283" s="64" t="str">
        <f>Ringkasan!AB253</f>
        <v>Financials</v>
      </c>
    </row>
    <row r="284" hidden="1">
      <c r="A284" s="64" t="str">
        <f>Ringkasan!A283</f>
        <v>BBRI</v>
      </c>
      <c r="B284" s="64" t="str">
        <f>Ringkasan!B283</f>
        <v>PT Bank Rakyat Indonesia (Persero) Tbk</v>
      </c>
      <c r="C284" s="65">
        <f>Ringkasan!C283</f>
        <v>2850</v>
      </c>
      <c r="D284" s="64" t="str">
        <f>Ringkasan!D283</f>
        <v>#N/A</v>
      </c>
      <c r="E284" s="64" t="str">
        <f>Ringkasan!E283</f>
        <v>MNC36</v>
      </c>
      <c r="F284" s="64" t="str">
        <f>Ringkasan!F283</f>
        <v>30 Oktober 2026</v>
      </c>
      <c r="G284" s="64">
        <f>Ringkasan!G283</f>
        <v>23</v>
      </c>
      <c r="H284" s="19">
        <f>Ringkasan!H283</f>
        <v>7.7</v>
      </c>
      <c r="I284" s="19">
        <f>Ringkasan!I283</f>
        <v>1.3</v>
      </c>
      <c r="J284" s="19">
        <f>Ringkasan!J283</f>
        <v>17</v>
      </c>
      <c r="K284" s="19">
        <f>Ringkasan!K283</f>
        <v>2.6</v>
      </c>
      <c r="L284" s="19">
        <f>Ringkasan!L283</f>
        <v>5.5</v>
      </c>
      <c r="M284" s="19">
        <f>Ringkasan!M283</f>
        <v>96.8</v>
      </c>
      <c r="N284" s="64">
        <f>Ringkasan!N283</f>
        <v>7.65</v>
      </c>
      <c r="O284" s="64">
        <f>Ringkasan!O283</f>
        <v>24.19</v>
      </c>
      <c r="P284" s="64">
        <f>Ringkasan!P283</f>
        <v>87.43</v>
      </c>
      <c r="Q284" s="64">
        <f>Ringkasan!Q283</f>
        <v>2.86</v>
      </c>
      <c r="R284" s="64">
        <f>Ringkasan!R283</f>
        <v>68.08</v>
      </c>
      <c r="S284" s="64">
        <f>Ringkasan!S283</f>
        <v>40.89</v>
      </c>
      <c r="T284" s="64">
        <f>Ringkasan!T283</f>
        <v>10.24</v>
      </c>
      <c r="U284" s="64">
        <f>Ringkasan!U283</f>
        <v>2850</v>
      </c>
      <c r="V284" s="64">
        <f>Ringkasan!V283</f>
        <v>0</v>
      </c>
      <c r="W284" s="64">
        <f>Ringkasan!W283</f>
        <v>2880</v>
      </c>
      <c r="X284" s="64">
        <f>Ringkasan!X283</f>
        <v>2900</v>
      </c>
      <c r="Y284" s="64">
        <f>Ringkasan!Y283</f>
        <v>2830</v>
      </c>
      <c r="Z284" s="64">
        <f>Ringkasan!Z283</f>
        <v>450530000</v>
      </c>
      <c r="AA284" s="64" t="str">
        <f>Ringkasan!AA283</f>
        <v>Banks</v>
      </c>
      <c r="AB284" s="64" t="str">
        <f>Ringkasan!AB283</f>
        <v>Financials</v>
      </c>
    </row>
    <row r="285" hidden="1">
      <c r="A285" s="64" t="str">
        <f>Ringkasan!A284</f>
        <v>BBRI</v>
      </c>
      <c r="B285" s="64" t="str">
        <f>Ringkasan!B284</f>
        <v>PT Bank Rakyat Indonesia (Persero) Tbk</v>
      </c>
      <c r="C285" s="65">
        <f>Ringkasan!C284</f>
        <v>2850</v>
      </c>
      <c r="D285" s="64" t="str">
        <f>Ringkasan!D284</f>
        <v>#N/A</v>
      </c>
      <c r="E285" s="64" t="str">
        <f>Ringkasan!E284</f>
        <v>SMINFRA18</v>
      </c>
      <c r="F285" s="64" t="str">
        <f>Ringkasan!F284</f>
        <v>30 Oktober 2026</v>
      </c>
      <c r="G285" s="64">
        <f>Ringkasan!G284</f>
        <v>23</v>
      </c>
      <c r="H285" s="19">
        <f>Ringkasan!H284</f>
        <v>7.7</v>
      </c>
      <c r="I285" s="19">
        <f>Ringkasan!I284</f>
        <v>1.3</v>
      </c>
      <c r="J285" s="19">
        <f>Ringkasan!J284</f>
        <v>17</v>
      </c>
      <c r="K285" s="19">
        <f>Ringkasan!K284</f>
        <v>2.6</v>
      </c>
      <c r="L285" s="19">
        <f>Ringkasan!L284</f>
        <v>5.5</v>
      </c>
      <c r="M285" s="19">
        <f>Ringkasan!M284</f>
        <v>96.8</v>
      </c>
      <c r="N285" s="64">
        <f>Ringkasan!N284</f>
        <v>7.65</v>
      </c>
      <c r="O285" s="64">
        <f>Ringkasan!O284</f>
        <v>24.19</v>
      </c>
      <c r="P285" s="64">
        <f>Ringkasan!P284</f>
        <v>87.43</v>
      </c>
      <c r="Q285" s="64">
        <f>Ringkasan!Q284</f>
        <v>2.86</v>
      </c>
      <c r="R285" s="64">
        <f>Ringkasan!R284</f>
        <v>68.08</v>
      </c>
      <c r="S285" s="64">
        <f>Ringkasan!S284</f>
        <v>40.89</v>
      </c>
      <c r="T285" s="64">
        <f>Ringkasan!T284</f>
        <v>10.24</v>
      </c>
      <c r="U285" s="64">
        <f>Ringkasan!U284</f>
        <v>2850</v>
      </c>
      <c r="V285" s="64">
        <f>Ringkasan!V284</f>
        <v>0</v>
      </c>
      <c r="W285" s="64">
        <f>Ringkasan!W284</f>
        <v>2880</v>
      </c>
      <c r="X285" s="64">
        <f>Ringkasan!X284</f>
        <v>2900</v>
      </c>
      <c r="Y285" s="64">
        <f>Ringkasan!Y284</f>
        <v>2830</v>
      </c>
      <c r="Z285" s="64">
        <f>Ringkasan!Z284</f>
        <v>450530000</v>
      </c>
      <c r="AA285" s="64" t="str">
        <f>Ringkasan!AA284</f>
        <v>Banks</v>
      </c>
      <c r="AB285" s="64" t="str">
        <f>Ringkasan!AB284</f>
        <v>Financials</v>
      </c>
    </row>
    <row r="286" hidden="1">
      <c r="A286" s="64" t="str">
        <f>Ringkasan!A285</f>
        <v>BBRI</v>
      </c>
      <c r="B286" s="64" t="str">
        <f>Ringkasan!B285</f>
        <v>PT Bank Rakyat Indonesia (Persero) Tbk</v>
      </c>
      <c r="C286" s="65">
        <f>Ringkasan!C285</f>
        <v>2850</v>
      </c>
      <c r="D286" s="64" t="str">
        <f>Ringkasan!D285</f>
        <v>#N/A</v>
      </c>
      <c r="E286" s="64" t="str">
        <f>Ringkasan!E285</f>
        <v>IDXBUMN20</v>
      </c>
      <c r="F286" s="64" t="str">
        <f>Ringkasan!F285</f>
        <v>4 Agustus 2026</v>
      </c>
      <c r="G286" s="64">
        <f>Ringkasan!G285</f>
        <v>23</v>
      </c>
      <c r="H286" s="19">
        <f>Ringkasan!H285</f>
        <v>7.7</v>
      </c>
      <c r="I286" s="19">
        <f>Ringkasan!I285</f>
        <v>1.3</v>
      </c>
      <c r="J286" s="19">
        <f>Ringkasan!J285</f>
        <v>17</v>
      </c>
      <c r="K286" s="19">
        <f>Ringkasan!K285</f>
        <v>2.6</v>
      </c>
      <c r="L286" s="19">
        <f>Ringkasan!L285</f>
        <v>5.5</v>
      </c>
      <c r="M286" s="19">
        <f>Ringkasan!M285</f>
        <v>96.8</v>
      </c>
      <c r="N286" s="64">
        <f>Ringkasan!N285</f>
        <v>7.65</v>
      </c>
      <c r="O286" s="64">
        <f>Ringkasan!O285</f>
        <v>24.19</v>
      </c>
      <c r="P286" s="64">
        <f>Ringkasan!P285</f>
        <v>87.43</v>
      </c>
      <c r="Q286" s="64">
        <f>Ringkasan!Q285</f>
        <v>2.86</v>
      </c>
      <c r="R286" s="64">
        <f>Ringkasan!R285</f>
        <v>68.08</v>
      </c>
      <c r="S286" s="64">
        <f>Ringkasan!S285</f>
        <v>40.89</v>
      </c>
      <c r="T286" s="64">
        <f>Ringkasan!T285</f>
        <v>10.24</v>
      </c>
      <c r="U286" s="64">
        <f>Ringkasan!U285</f>
        <v>2850</v>
      </c>
      <c r="V286" s="64">
        <f>Ringkasan!V285</f>
        <v>0</v>
      </c>
      <c r="W286" s="64">
        <f>Ringkasan!W285</f>
        <v>2880</v>
      </c>
      <c r="X286" s="64">
        <f>Ringkasan!X285</f>
        <v>2900</v>
      </c>
      <c r="Y286" s="64">
        <f>Ringkasan!Y285</f>
        <v>2830</v>
      </c>
      <c r="Z286" s="64">
        <f>Ringkasan!Z285</f>
        <v>450530000</v>
      </c>
      <c r="AA286" s="64" t="str">
        <f>Ringkasan!AA285</f>
        <v>Banks</v>
      </c>
      <c r="AB286" s="64" t="str">
        <f>Ringkasan!AB285</f>
        <v>Financials</v>
      </c>
    </row>
    <row r="287" hidden="1">
      <c r="A287" s="64" t="str">
        <f>Ringkasan!A286</f>
        <v>BBRI</v>
      </c>
      <c r="B287" s="64" t="str">
        <f>Ringkasan!B286</f>
        <v>PT Bank Rakyat Indonesia (Persero) Tbk</v>
      </c>
      <c r="C287" s="65">
        <f>Ringkasan!C286</f>
        <v>2850</v>
      </c>
      <c r="D287" s="64" t="str">
        <f>Ringkasan!D286</f>
        <v>#N/A</v>
      </c>
      <c r="E287" s="64" t="str">
        <f>Ringkasan!E286</f>
        <v>Pefindo - iGrade</v>
      </c>
      <c r="F287" s="64" t="str">
        <f>Ringkasan!F286</f>
        <v>30 Juni 2026</v>
      </c>
      <c r="G287" s="64">
        <f>Ringkasan!G286</f>
        <v>23</v>
      </c>
      <c r="H287" s="19">
        <f>Ringkasan!H286</f>
        <v>7.7</v>
      </c>
      <c r="I287" s="19">
        <f>Ringkasan!I286</f>
        <v>1.3</v>
      </c>
      <c r="J287" s="19">
        <f>Ringkasan!J286</f>
        <v>17</v>
      </c>
      <c r="K287" s="19">
        <f>Ringkasan!K286</f>
        <v>2.6</v>
      </c>
      <c r="L287" s="19">
        <f>Ringkasan!L286</f>
        <v>5.5</v>
      </c>
      <c r="M287" s="19">
        <f>Ringkasan!M286</f>
        <v>96.8</v>
      </c>
      <c r="N287" s="64">
        <f>Ringkasan!N286</f>
        <v>7.65</v>
      </c>
      <c r="O287" s="64">
        <f>Ringkasan!O286</f>
        <v>24.19</v>
      </c>
      <c r="P287" s="64">
        <f>Ringkasan!P286</f>
        <v>87.43</v>
      </c>
      <c r="Q287" s="64">
        <f>Ringkasan!Q286</f>
        <v>2.86</v>
      </c>
      <c r="R287" s="64">
        <f>Ringkasan!R286</f>
        <v>68.08</v>
      </c>
      <c r="S287" s="64">
        <f>Ringkasan!S286</f>
        <v>40.89</v>
      </c>
      <c r="T287" s="64">
        <f>Ringkasan!T286</f>
        <v>10.24</v>
      </c>
      <c r="U287" s="64">
        <f>Ringkasan!U286</f>
        <v>2850</v>
      </c>
      <c r="V287" s="64">
        <f>Ringkasan!V286</f>
        <v>0</v>
      </c>
      <c r="W287" s="64">
        <f>Ringkasan!W286</f>
        <v>2880</v>
      </c>
      <c r="X287" s="64">
        <f>Ringkasan!X286</f>
        <v>2900</v>
      </c>
      <c r="Y287" s="64">
        <f>Ringkasan!Y286</f>
        <v>2830</v>
      </c>
      <c r="Z287" s="64">
        <f>Ringkasan!Z286</f>
        <v>450530000</v>
      </c>
      <c r="AA287" s="64" t="str">
        <f>Ringkasan!AA286</f>
        <v>Banks</v>
      </c>
      <c r="AB287" s="64" t="str">
        <f>Ringkasan!AB286</f>
        <v>Financials</v>
      </c>
    </row>
    <row r="288" hidden="1">
      <c r="A288" s="64" t="str">
        <f>Ringkasan!A287</f>
        <v>BBRI</v>
      </c>
      <c r="B288" s="64" t="str">
        <f>Ringkasan!B287</f>
        <v>PT Bank Rakyat Indonesia (Persero) Tbk</v>
      </c>
      <c r="C288" s="65">
        <f>Ringkasan!C287</f>
        <v>2850</v>
      </c>
      <c r="D288" s="64" t="str">
        <f>Ringkasan!D287</f>
        <v>#N/A</v>
      </c>
      <c r="E288" s="64" t="str">
        <f>Ringkasan!E287</f>
        <v>PRIMBANK-10</v>
      </c>
      <c r="F288" s="64" t="str">
        <f>Ringkasan!F287</f>
        <v>30 Juni 2026</v>
      </c>
      <c r="G288" s="64">
        <f>Ringkasan!G287</f>
        <v>23</v>
      </c>
      <c r="H288" s="19">
        <f>Ringkasan!H287</f>
        <v>7.7</v>
      </c>
      <c r="I288" s="19">
        <f>Ringkasan!I287</f>
        <v>1.3</v>
      </c>
      <c r="J288" s="19">
        <f>Ringkasan!J287</f>
        <v>17</v>
      </c>
      <c r="K288" s="19">
        <f>Ringkasan!K287</f>
        <v>2.6</v>
      </c>
      <c r="L288" s="19">
        <f>Ringkasan!L287</f>
        <v>5.5</v>
      </c>
      <c r="M288" s="19">
        <f>Ringkasan!M287</f>
        <v>96.8</v>
      </c>
      <c r="N288" s="64">
        <f>Ringkasan!N287</f>
        <v>7.65</v>
      </c>
      <c r="O288" s="64">
        <f>Ringkasan!O287</f>
        <v>24.19</v>
      </c>
      <c r="P288" s="64">
        <f>Ringkasan!P287</f>
        <v>87.43</v>
      </c>
      <c r="Q288" s="64">
        <f>Ringkasan!Q287</f>
        <v>2.86</v>
      </c>
      <c r="R288" s="64">
        <f>Ringkasan!R287</f>
        <v>68.08</v>
      </c>
      <c r="S288" s="64">
        <f>Ringkasan!S287</f>
        <v>40.89</v>
      </c>
      <c r="T288" s="64">
        <f>Ringkasan!T287</f>
        <v>10.24</v>
      </c>
      <c r="U288" s="64">
        <f>Ringkasan!U287</f>
        <v>2850</v>
      </c>
      <c r="V288" s="64">
        <f>Ringkasan!V287</f>
        <v>0</v>
      </c>
      <c r="W288" s="64">
        <f>Ringkasan!W287</f>
        <v>2880</v>
      </c>
      <c r="X288" s="64">
        <f>Ringkasan!X287</f>
        <v>2900</v>
      </c>
      <c r="Y288" s="64">
        <f>Ringkasan!Y287</f>
        <v>2830</v>
      </c>
      <c r="Z288" s="64">
        <f>Ringkasan!Z287</f>
        <v>450530000</v>
      </c>
      <c r="AA288" s="64" t="str">
        <f>Ringkasan!AA287</f>
        <v>Banks</v>
      </c>
      <c r="AB288" s="64" t="str">
        <f>Ringkasan!AB287</f>
        <v>Financials</v>
      </c>
    </row>
    <row r="289" hidden="1">
      <c r="A289" s="64" t="str">
        <f>Ringkasan!A438</f>
        <v>BSDE</v>
      </c>
      <c r="B289" s="64" t="str">
        <f>Ringkasan!B438</f>
        <v>Bumi Serpong Damai Tbk.</v>
      </c>
      <c r="C289" s="65">
        <f>Ringkasan!C438</f>
        <v>610</v>
      </c>
      <c r="D289" s="64" t="str">
        <f>Ringkasan!D438</f>
        <v>#N/A</v>
      </c>
      <c r="E289" s="64" t="str">
        <f>Ringkasan!E438</f>
        <v>IDXV30</v>
      </c>
      <c r="F289" s="64" t="str">
        <f>Ringkasan!F438</f>
        <v>4 Agustus 2026</v>
      </c>
      <c r="G289" s="64">
        <f>Ringkasan!G438</f>
        <v>9</v>
      </c>
      <c r="H289" s="19">
        <f>Ringkasan!H438</f>
        <v>5.2</v>
      </c>
      <c r="I289" s="19">
        <f>Ringkasan!I438</f>
        <v>0.25</v>
      </c>
      <c r="J289" s="19">
        <f>Ringkasan!J438</f>
        <v>4.8</v>
      </c>
      <c r="K289" s="19">
        <f>Ringkasan!K438</f>
        <v>3.2</v>
      </c>
      <c r="L289" s="19">
        <f>Ringkasan!L438</f>
        <v>0.51</v>
      </c>
      <c r="M289" s="19">
        <f>Ringkasan!M438</f>
        <v>19.9</v>
      </c>
      <c r="N289" s="64" t="str">
        <f>Ringkasan!N438</f>
        <v/>
      </c>
      <c r="O289" s="64" t="str">
        <f>Ringkasan!O438</f>
        <v/>
      </c>
      <c r="P289" s="64" t="str">
        <f>Ringkasan!P438</f>
        <v/>
      </c>
      <c r="Q289" s="64" t="str">
        <f>Ringkasan!Q438</f>
        <v/>
      </c>
      <c r="R289" s="64" t="str">
        <f>Ringkasan!R438</f>
        <v/>
      </c>
      <c r="S289" s="64" t="str">
        <f>Ringkasan!S438</f>
        <v/>
      </c>
      <c r="T289" s="64" t="str">
        <f>Ringkasan!T438</f>
        <v/>
      </c>
      <c r="U289" s="64">
        <f>Ringkasan!U438</f>
        <v>580</v>
      </c>
      <c r="V289" s="64">
        <f>Ringkasan!V438</f>
        <v>5.17</v>
      </c>
      <c r="W289" s="64">
        <f>Ringkasan!W438</f>
        <v>590</v>
      </c>
      <c r="X289" s="64">
        <f>Ringkasan!X438</f>
        <v>615</v>
      </c>
      <c r="Y289" s="64">
        <f>Ringkasan!Y438</f>
        <v>590</v>
      </c>
      <c r="Z289" s="64">
        <f>Ringkasan!Z438</f>
        <v>14873600</v>
      </c>
      <c r="AA289" s="64" t="str">
        <f>Ringkasan!AA438</f>
        <v>Real Estate Management &amp; Development</v>
      </c>
      <c r="AB289" s="64" t="str">
        <f>Ringkasan!AB438</f>
        <v>Properties &amp; Real Estate</v>
      </c>
    </row>
    <row r="290" hidden="1">
      <c r="A290" s="64" t="str">
        <f>Ringkasan!A289</f>
        <v>BBRI</v>
      </c>
      <c r="B290" s="64" t="str">
        <f>Ringkasan!B289</f>
        <v>PT Bank Rakyat Indonesia (Persero) Tbk</v>
      </c>
      <c r="C290" s="65">
        <f>Ringkasan!C289</f>
        <v>2850</v>
      </c>
      <c r="D290" s="64" t="str">
        <f>Ringkasan!D289</f>
        <v>#N/A</v>
      </c>
      <c r="E290" s="64" t="str">
        <f>Ringkasan!E289</f>
        <v>SRI-KEHATI</v>
      </c>
      <c r="F290" s="66">
        <f>Ringkasan!F289</f>
        <v>46356</v>
      </c>
      <c r="G290" s="64">
        <f>Ringkasan!G289</f>
        <v>23</v>
      </c>
      <c r="H290" s="19">
        <f>Ringkasan!H289</f>
        <v>7.7</v>
      </c>
      <c r="I290" s="19">
        <f>Ringkasan!I289</f>
        <v>1.3</v>
      </c>
      <c r="J290" s="19">
        <f>Ringkasan!J289</f>
        <v>17</v>
      </c>
      <c r="K290" s="19">
        <f>Ringkasan!K289</f>
        <v>2.6</v>
      </c>
      <c r="L290" s="19">
        <f>Ringkasan!L289</f>
        <v>5.5</v>
      </c>
      <c r="M290" s="19">
        <f>Ringkasan!M289</f>
        <v>96.8</v>
      </c>
      <c r="N290" s="64">
        <f>Ringkasan!N289</f>
        <v>7.65</v>
      </c>
      <c r="O290" s="64">
        <f>Ringkasan!O289</f>
        <v>24.19</v>
      </c>
      <c r="P290" s="64">
        <f>Ringkasan!P289</f>
        <v>87.43</v>
      </c>
      <c r="Q290" s="64">
        <f>Ringkasan!Q289</f>
        <v>2.86</v>
      </c>
      <c r="R290" s="64">
        <f>Ringkasan!R289</f>
        <v>68.08</v>
      </c>
      <c r="S290" s="64">
        <f>Ringkasan!S289</f>
        <v>40.89</v>
      </c>
      <c r="T290" s="64">
        <f>Ringkasan!T289</f>
        <v>10.24</v>
      </c>
      <c r="U290" s="64">
        <f>Ringkasan!U289</f>
        <v>2850</v>
      </c>
      <c r="V290" s="64">
        <f>Ringkasan!V289</f>
        <v>0</v>
      </c>
      <c r="W290" s="64">
        <f>Ringkasan!W289</f>
        <v>2880</v>
      </c>
      <c r="X290" s="64">
        <f>Ringkasan!X289</f>
        <v>2900</v>
      </c>
      <c r="Y290" s="64">
        <f>Ringkasan!Y289</f>
        <v>2830</v>
      </c>
      <c r="Z290" s="64">
        <f>Ringkasan!Z289</f>
        <v>450530000</v>
      </c>
      <c r="AA290" s="64" t="str">
        <f>Ringkasan!AA289</f>
        <v>Banks</v>
      </c>
      <c r="AB290" s="64" t="str">
        <f>Ringkasan!AB289</f>
        <v>Financials</v>
      </c>
    </row>
    <row r="291" hidden="1">
      <c r="A291" s="64" t="str">
        <f>Ringkasan!A290</f>
        <v>BBRI</v>
      </c>
      <c r="B291" s="64" t="str">
        <f>Ringkasan!B290</f>
        <v>PT Bank Rakyat Indonesia (Persero) Tbk</v>
      </c>
      <c r="C291" s="65">
        <f>Ringkasan!C290</f>
        <v>2850</v>
      </c>
      <c r="D291" s="64" t="str">
        <f>Ringkasan!D290</f>
        <v>#N/A</v>
      </c>
      <c r="E291" s="64" t="str">
        <f>Ringkasan!E290</f>
        <v>Investor33</v>
      </c>
      <c r="F291" s="66">
        <f>Ringkasan!F290</f>
        <v>46356</v>
      </c>
      <c r="G291" s="64">
        <f>Ringkasan!G290</f>
        <v>23</v>
      </c>
      <c r="H291" s="19">
        <f>Ringkasan!H290</f>
        <v>7.7</v>
      </c>
      <c r="I291" s="19">
        <f>Ringkasan!I290</f>
        <v>1.3</v>
      </c>
      <c r="J291" s="19">
        <f>Ringkasan!J290</f>
        <v>17</v>
      </c>
      <c r="K291" s="19">
        <f>Ringkasan!K290</f>
        <v>2.6</v>
      </c>
      <c r="L291" s="19">
        <f>Ringkasan!L290</f>
        <v>5.5</v>
      </c>
      <c r="M291" s="19">
        <f>Ringkasan!M290</f>
        <v>96.8</v>
      </c>
      <c r="N291" s="64">
        <f>Ringkasan!N290</f>
        <v>7.65</v>
      </c>
      <c r="O291" s="64">
        <f>Ringkasan!O290</f>
        <v>24.19</v>
      </c>
      <c r="P291" s="64">
        <f>Ringkasan!P290</f>
        <v>87.43</v>
      </c>
      <c r="Q291" s="64">
        <f>Ringkasan!Q290</f>
        <v>2.86</v>
      </c>
      <c r="R291" s="64">
        <f>Ringkasan!R290</f>
        <v>68.08</v>
      </c>
      <c r="S291" s="64">
        <f>Ringkasan!S290</f>
        <v>40.89</v>
      </c>
      <c r="T291" s="64">
        <f>Ringkasan!T290</f>
        <v>10.24</v>
      </c>
      <c r="U291" s="64">
        <f>Ringkasan!U290</f>
        <v>2850</v>
      </c>
      <c r="V291" s="64">
        <f>Ringkasan!V290</f>
        <v>0</v>
      </c>
      <c r="W291" s="64">
        <f>Ringkasan!W290</f>
        <v>2880</v>
      </c>
      <c r="X291" s="64">
        <f>Ringkasan!X290</f>
        <v>2900</v>
      </c>
      <c r="Y291" s="64">
        <f>Ringkasan!Y290</f>
        <v>2830</v>
      </c>
      <c r="Z291" s="64">
        <f>Ringkasan!Z290</f>
        <v>450530000</v>
      </c>
      <c r="AA291" s="64" t="str">
        <f>Ringkasan!AA290</f>
        <v>Banks</v>
      </c>
      <c r="AB291" s="64" t="str">
        <f>Ringkasan!AB290</f>
        <v>Financials</v>
      </c>
    </row>
    <row r="292">
      <c r="A292" s="60" t="str">
        <f>Ringkasan!A197</f>
        <v>AVIA</v>
      </c>
      <c r="B292" s="60" t="str">
        <f>Ringkasan!B197</f>
        <v>Avia Avian Tbk.</v>
      </c>
      <c r="C292" s="61">
        <f>Ringkasan!C197</f>
        <v>310</v>
      </c>
      <c r="D292" s="60" t="str">
        <f>Ringkasan!D197</f>
        <v>#N/A</v>
      </c>
      <c r="E292" s="60" t="str">
        <f>Ringkasan!E197</f>
        <v>MNC36</v>
      </c>
      <c r="F292" s="60" t="str">
        <f>Ringkasan!F197</f>
        <v>30 Oktober 2026</v>
      </c>
      <c r="G292" s="60">
        <f>Ringkasan!G197</f>
        <v>8</v>
      </c>
      <c r="H292" s="62">
        <f>Ringkasan!H197</f>
        <v>12</v>
      </c>
      <c r="I292" s="62">
        <f>Ringkasan!I197</f>
        <v>2.2</v>
      </c>
      <c r="J292" s="62">
        <f>Ringkasan!J197</f>
        <v>18.2</v>
      </c>
      <c r="K292" s="62">
        <f>Ringkasan!K197</f>
        <v>15.5</v>
      </c>
      <c r="L292" s="62">
        <f>Ringkasan!L197</f>
        <v>0.17</v>
      </c>
      <c r="M292" s="62">
        <f>Ringkasan!M197</f>
        <v>76.5</v>
      </c>
      <c r="N292" s="60" t="str">
        <f>Ringkasan!N197</f>
        <v/>
      </c>
      <c r="O292" s="60" t="str">
        <f>Ringkasan!O197</f>
        <v/>
      </c>
      <c r="P292" s="60" t="str">
        <f>Ringkasan!P197</f>
        <v/>
      </c>
      <c r="Q292" s="60" t="str">
        <f>Ringkasan!Q197</f>
        <v/>
      </c>
      <c r="R292" s="60" t="str">
        <f>Ringkasan!R197</f>
        <v/>
      </c>
      <c r="S292" s="60" t="str">
        <f>Ringkasan!S197</f>
        <v/>
      </c>
      <c r="T292" s="60" t="str">
        <f>Ringkasan!T197</f>
        <v/>
      </c>
      <c r="U292" s="60">
        <f>Ringkasan!U197</f>
        <v>312</v>
      </c>
      <c r="V292" s="60">
        <f>Ringkasan!V197</f>
        <v>-0.64</v>
      </c>
      <c r="W292" s="60">
        <f>Ringkasan!W197</f>
        <v>312</v>
      </c>
      <c r="X292" s="60">
        <f>Ringkasan!X197</f>
        <v>316</v>
      </c>
      <c r="Y292" s="60">
        <f>Ringkasan!Y197</f>
        <v>310</v>
      </c>
      <c r="Z292" s="60">
        <f>Ringkasan!Z197</f>
        <v>6393600</v>
      </c>
      <c r="AA292" s="60" t="str">
        <f>Ringkasan!AA197</f>
        <v>Chemicals</v>
      </c>
      <c r="AB292" s="60" t="str">
        <f>Ringkasan!AB197</f>
        <v>Basic Materials</v>
      </c>
    </row>
    <row r="293" hidden="1">
      <c r="A293" s="64" t="str">
        <f>Ringkasan!A292</f>
        <v>BBSI</v>
      </c>
      <c r="B293" s="64" t="str">
        <f>Ringkasan!B292</f>
        <v>Krom Bank Indonesia Tbk.</v>
      </c>
      <c r="C293" s="65">
        <f>Ringkasan!C292</f>
        <v>4400</v>
      </c>
      <c r="D293" s="64" t="str">
        <f>Ringkasan!D292</f>
        <v>#N/A</v>
      </c>
      <c r="E293" s="64" t="str">
        <f>Ringkasan!E292</f>
        <v/>
      </c>
      <c r="F293" s="64" t="str">
        <f>Ringkasan!F292</f>
        <v/>
      </c>
      <c r="G293" s="64">
        <f>Ringkasan!G292</f>
        <v>0</v>
      </c>
      <c r="H293" s="19">
        <f>Ringkasan!H292</f>
        <v>91.2</v>
      </c>
      <c r="I293" s="19">
        <f>Ringkasan!I292</f>
        <v>4.6</v>
      </c>
      <c r="J293" s="19">
        <f>Ringkasan!J292</f>
        <v>5.1</v>
      </c>
      <c r="K293" s="19">
        <f>Ringkasan!K292</f>
        <v>1.2</v>
      </c>
      <c r="L293" s="19">
        <f>Ringkasan!L292</f>
        <v>3.2</v>
      </c>
      <c r="M293" s="19">
        <f>Ringkasan!M292</f>
        <v>21.9</v>
      </c>
      <c r="N293" s="64">
        <f>Ringkasan!N292</f>
        <v>19.73</v>
      </c>
      <c r="O293" s="64">
        <f>Ringkasan!O292</f>
        <v>45.31</v>
      </c>
      <c r="P293" s="64">
        <f>Ringkasan!P292</f>
        <v>91.01</v>
      </c>
      <c r="Q293" s="64">
        <f>Ringkasan!Q292</f>
        <v>3.11</v>
      </c>
      <c r="R293" s="64">
        <f>Ringkasan!R292</f>
        <v>89.05</v>
      </c>
      <c r="S293" s="64">
        <f>Ringkasan!S292</f>
        <v>17.64</v>
      </c>
      <c r="T293" s="64" t="str">
        <f>Ringkasan!T292</f>
        <v/>
      </c>
      <c r="U293" s="64">
        <f>Ringkasan!U292</f>
        <v>34.25</v>
      </c>
      <c r="V293" s="64">
        <f>Ringkasan!V292</f>
        <v>-0.23</v>
      </c>
      <c r="W293" s="64">
        <f>Ringkasan!W292</f>
        <v>34.2</v>
      </c>
      <c r="X293" s="64">
        <f>Ringkasan!X292</f>
        <v>35.01</v>
      </c>
      <c r="Y293" s="64">
        <f>Ringkasan!Y292</f>
        <v>34</v>
      </c>
      <c r="Z293" s="64">
        <f>Ringkasan!Z292</f>
        <v>189571</v>
      </c>
      <c r="AA293" s="64" t="str">
        <f>Ringkasan!AA292</f>
        <v>Banks</v>
      </c>
      <c r="AB293" s="64" t="str">
        <f>Ringkasan!AB292</f>
        <v>Financials</v>
      </c>
    </row>
    <row r="294" hidden="1">
      <c r="A294" s="64" t="str">
        <f>Ringkasan!A293</f>
        <v>BBSS</v>
      </c>
      <c r="B294" s="64" t="str">
        <f>Ringkasan!B293</f>
        <v>Bumi Benowo Sukses Sejahtera Tbk.</v>
      </c>
      <c r="C294" s="65">
        <f>Ringkasan!C293</f>
        <v>102</v>
      </c>
      <c r="D294" s="64" t="str">
        <f>Ringkasan!D293</f>
        <v>#N/A</v>
      </c>
      <c r="E294" s="64" t="str">
        <f>Ringkasan!E293</f>
        <v/>
      </c>
      <c r="F294" s="64" t="str">
        <f>Ringkasan!F293</f>
        <v/>
      </c>
      <c r="G294" s="64">
        <f>Ringkasan!G293</f>
        <v>0</v>
      </c>
      <c r="H294" s="19">
        <f>Ringkasan!H293</f>
        <v>-1130</v>
      </c>
      <c r="I294" s="19">
        <f>Ringkasan!I293</f>
        <v>2.5</v>
      </c>
      <c r="J294" s="19">
        <f>Ringkasan!J293</f>
        <v>-0.22</v>
      </c>
      <c r="K294" s="19">
        <f>Ringkasan!K293</f>
        <v>-0.22</v>
      </c>
      <c r="L294" s="19">
        <f>Ringkasan!L293</f>
        <v>0.01</v>
      </c>
      <c r="M294" s="19">
        <f>Ringkasan!M293</f>
        <v>-360</v>
      </c>
      <c r="N294" s="64" t="str">
        <f>Ringkasan!N293</f>
        <v/>
      </c>
      <c r="O294" s="64" t="str">
        <f>Ringkasan!O293</f>
        <v/>
      </c>
      <c r="P294" s="64" t="str">
        <f>Ringkasan!P293</f>
        <v/>
      </c>
      <c r="Q294" s="64" t="str">
        <f>Ringkasan!Q293</f>
        <v/>
      </c>
      <c r="R294" s="64" t="str">
        <f>Ringkasan!R293</f>
        <v/>
      </c>
      <c r="S294" s="64" t="str">
        <f>Ringkasan!S293</f>
        <v/>
      </c>
      <c r="T294" s="64" t="str">
        <f>Ringkasan!T293</f>
        <v/>
      </c>
      <c r="U294" s="64">
        <f>Ringkasan!U293</f>
        <v>104</v>
      </c>
      <c r="V294" s="64">
        <f>Ringkasan!V293</f>
        <v>-1.92</v>
      </c>
      <c r="W294" s="64" t="str">
        <f>Ringkasan!W293</f>
        <v/>
      </c>
      <c r="X294" s="64">
        <f>Ringkasan!X293</f>
        <v>105</v>
      </c>
      <c r="Y294" s="64">
        <f>Ringkasan!Y293</f>
        <v>100</v>
      </c>
      <c r="Z294" s="64">
        <f>Ringkasan!Z293</f>
        <v>261700</v>
      </c>
      <c r="AA294" s="64" t="str">
        <f>Ringkasan!AA293</f>
        <v>Real Estate Management &amp; Development</v>
      </c>
      <c r="AB294" s="64" t="str">
        <f>Ringkasan!AB293</f>
        <v>Properties &amp; Real Estate</v>
      </c>
    </row>
    <row r="295" hidden="1">
      <c r="A295" s="64" t="str">
        <f>Ringkasan!A294</f>
        <v>BBTN</v>
      </c>
      <c r="B295" s="64" t="str">
        <f>Ringkasan!B294</f>
        <v>PT Bank Tabungan Negara (Persero) Tbk</v>
      </c>
      <c r="C295" s="65">
        <f>Ringkasan!C294</f>
        <v>1260</v>
      </c>
      <c r="D295" s="64" t="str">
        <f>Ringkasan!D294</f>
        <v>#N/A</v>
      </c>
      <c r="E295" s="64" t="str">
        <f>Ringkasan!E294</f>
        <v>ESGQKEHATI</v>
      </c>
      <c r="F295" s="66">
        <f>Ringkasan!F294</f>
        <v>46356</v>
      </c>
      <c r="G295" s="64">
        <f>Ringkasan!G294</f>
        <v>14</v>
      </c>
      <c r="H295" s="19">
        <f>Ringkasan!H294</f>
        <v>4.8</v>
      </c>
      <c r="I295" s="19">
        <f>Ringkasan!I294</f>
        <v>0.48</v>
      </c>
      <c r="J295" s="19">
        <f>Ringkasan!J294</f>
        <v>10.1</v>
      </c>
      <c r="K295" s="19">
        <f>Ringkasan!K294</f>
        <v>0.72</v>
      </c>
      <c r="L295" s="19">
        <f>Ringkasan!L294</f>
        <v>12.3</v>
      </c>
      <c r="M295" s="19">
        <f>Ringkasan!M294</f>
        <v>48.5</v>
      </c>
      <c r="N295" s="64">
        <f>Ringkasan!N294</f>
        <v>2.86</v>
      </c>
      <c r="O295" s="64">
        <f>Ringkasan!O294</f>
        <v>18.5</v>
      </c>
      <c r="P295" s="64">
        <f>Ringkasan!P294</f>
        <v>93.79</v>
      </c>
      <c r="Q295" s="64">
        <f>Ringkasan!Q294</f>
        <v>3.16</v>
      </c>
      <c r="R295" s="64">
        <f>Ringkasan!R294</f>
        <v>88.7</v>
      </c>
      <c r="S295" s="64">
        <f>Ringkasan!S294</f>
        <v>57.15</v>
      </c>
      <c r="T295" s="64">
        <f>Ringkasan!T294</f>
        <v>19.65</v>
      </c>
      <c r="U295" s="64">
        <f>Ringkasan!U294</f>
        <v>1185</v>
      </c>
      <c r="V295" s="64">
        <f>Ringkasan!V294</f>
        <v>6.33</v>
      </c>
      <c r="W295" s="64">
        <f>Ringkasan!W294</f>
        <v>1200</v>
      </c>
      <c r="X295" s="64">
        <f>Ringkasan!X294</f>
        <v>1295</v>
      </c>
      <c r="Y295" s="64">
        <f>Ringkasan!Y294</f>
        <v>1190</v>
      </c>
      <c r="Z295" s="64">
        <f>Ringkasan!Z294</f>
        <v>35491400</v>
      </c>
      <c r="AA295" s="64" t="str">
        <f>Ringkasan!AA294</f>
        <v>Banks</v>
      </c>
      <c r="AB295" s="64" t="str">
        <f>Ringkasan!AB294</f>
        <v>Financials</v>
      </c>
    </row>
    <row r="296" hidden="1">
      <c r="A296" s="64" t="str">
        <f>Ringkasan!A295</f>
        <v>BBTN</v>
      </c>
      <c r="B296" s="64" t="str">
        <f>Ringkasan!B295</f>
        <v>PT Bank Tabungan Negara (Persero) Tbk</v>
      </c>
      <c r="C296" s="65">
        <f>Ringkasan!C295</f>
        <v>1260</v>
      </c>
      <c r="D296" s="64" t="str">
        <f>Ringkasan!D295</f>
        <v>#N/A</v>
      </c>
      <c r="E296" s="64" t="str">
        <f>Ringkasan!E295</f>
        <v>Infobank15</v>
      </c>
      <c r="F296" s="64" t="str">
        <f>Ringkasan!F295</f>
        <v>30 Juni 2026</v>
      </c>
      <c r="G296" s="64">
        <f>Ringkasan!G295</f>
        <v>14</v>
      </c>
      <c r="H296" s="19">
        <f>Ringkasan!H295</f>
        <v>4.8</v>
      </c>
      <c r="I296" s="19">
        <f>Ringkasan!I295</f>
        <v>0.48</v>
      </c>
      <c r="J296" s="19">
        <f>Ringkasan!J295</f>
        <v>10.1</v>
      </c>
      <c r="K296" s="19">
        <f>Ringkasan!K295</f>
        <v>0.72</v>
      </c>
      <c r="L296" s="19">
        <f>Ringkasan!L295</f>
        <v>12.3</v>
      </c>
      <c r="M296" s="19">
        <f>Ringkasan!M295</f>
        <v>48.5</v>
      </c>
      <c r="N296" s="64">
        <f>Ringkasan!N295</f>
        <v>2.86</v>
      </c>
      <c r="O296" s="64">
        <f>Ringkasan!O295</f>
        <v>18.5</v>
      </c>
      <c r="P296" s="64">
        <f>Ringkasan!P295</f>
        <v>93.79</v>
      </c>
      <c r="Q296" s="64">
        <f>Ringkasan!Q295</f>
        <v>3.16</v>
      </c>
      <c r="R296" s="64">
        <f>Ringkasan!R295</f>
        <v>88.7</v>
      </c>
      <c r="S296" s="64">
        <f>Ringkasan!S295</f>
        <v>57.15</v>
      </c>
      <c r="T296" s="64">
        <f>Ringkasan!T295</f>
        <v>19.65</v>
      </c>
      <c r="U296" s="64">
        <f>Ringkasan!U295</f>
        <v>1185</v>
      </c>
      <c r="V296" s="64">
        <f>Ringkasan!V295</f>
        <v>6.33</v>
      </c>
      <c r="W296" s="64">
        <f>Ringkasan!W295</f>
        <v>1200</v>
      </c>
      <c r="X296" s="64">
        <f>Ringkasan!X295</f>
        <v>1295</v>
      </c>
      <c r="Y296" s="64">
        <f>Ringkasan!Y295</f>
        <v>1190</v>
      </c>
      <c r="Z296" s="64">
        <f>Ringkasan!Z295</f>
        <v>35491400</v>
      </c>
      <c r="AA296" s="64" t="str">
        <f>Ringkasan!AA295</f>
        <v>Banks</v>
      </c>
      <c r="AB296" s="64" t="str">
        <f>Ringkasan!AB295</f>
        <v>Financials</v>
      </c>
    </row>
    <row r="297" hidden="1">
      <c r="A297" s="64" t="str">
        <f>Ringkasan!A296</f>
        <v>BBTN</v>
      </c>
      <c r="B297" s="64" t="str">
        <f>Ringkasan!B296</f>
        <v>PT Bank Tabungan Negara (Persero) Tbk</v>
      </c>
      <c r="C297" s="65">
        <f>Ringkasan!C296</f>
        <v>1260</v>
      </c>
      <c r="D297" s="64" t="str">
        <f>Ringkasan!D296</f>
        <v>#N/A</v>
      </c>
      <c r="E297" s="64" t="str">
        <f>Ringkasan!E296</f>
        <v>Kompas100</v>
      </c>
      <c r="F297" s="64" t="str">
        <f>Ringkasan!F296</f>
        <v>31 Juli 2026</v>
      </c>
      <c r="G297" s="64">
        <f>Ringkasan!G296</f>
        <v>14</v>
      </c>
      <c r="H297" s="19">
        <f>Ringkasan!H296</f>
        <v>4.8</v>
      </c>
      <c r="I297" s="19">
        <f>Ringkasan!I296</f>
        <v>0.48</v>
      </c>
      <c r="J297" s="19">
        <f>Ringkasan!J296</f>
        <v>10.1</v>
      </c>
      <c r="K297" s="19">
        <f>Ringkasan!K296</f>
        <v>0.72</v>
      </c>
      <c r="L297" s="19">
        <f>Ringkasan!L296</f>
        <v>12.3</v>
      </c>
      <c r="M297" s="19">
        <f>Ringkasan!M296</f>
        <v>48.5</v>
      </c>
      <c r="N297" s="64">
        <f>Ringkasan!N296</f>
        <v>2.86</v>
      </c>
      <c r="O297" s="64">
        <f>Ringkasan!O296</f>
        <v>18.5</v>
      </c>
      <c r="P297" s="64">
        <f>Ringkasan!P296</f>
        <v>93.79</v>
      </c>
      <c r="Q297" s="64">
        <f>Ringkasan!Q296</f>
        <v>3.16</v>
      </c>
      <c r="R297" s="64">
        <f>Ringkasan!R296</f>
        <v>88.7</v>
      </c>
      <c r="S297" s="64">
        <f>Ringkasan!S296</f>
        <v>57.15</v>
      </c>
      <c r="T297" s="64">
        <f>Ringkasan!T296</f>
        <v>19.65</v>
      </c>
      <c r="U297" s="64">
        <f>Ringkasan!U296</f>
        <v>1185</v>
      </c>
      <c r="V297" s="64">
        <f>Ringkasan!V296</f>
        <v>6.33</v>
      </c>
      <c r="W297" s="64">
        <f>Ringkasan!W296</f>
        <v>1200</v>
      </c>
      <c r="X297" s="64">
        <f>Ringkasan!X296</f>
        <v>1295</v>
      </c>
      <c r="Y297" s="64">
        <f>Ringkasan!Y296</f>
        <v>1190</v>
      </c>
      <c r="Z297" s="64">
        <f>Ringkasan!Z296</f>
        <v>35491400</v>
      </c>
      <c r="AA297" s="64" t="str">
        <f>Ringkasan!AA296</f>
        <v>Banks</v>
      </c>
      <c r="AB297" s="64" t="str">
        <f>Ringkasan!AB296</f>
        <v>Financials</v>
      </c>
    </row>
    <row r="298" hidden="1">
      <c r="A298" s="64" t="str">
        <f>Ringkasan!A297</f>
        <v>BBTN</v>
      </c>
      <c r="B298" s="64" t="str">
        <f>Ringkasan!B297</f>
        <v>PT Bank Tabungan Negara (Persero) Tbk</v>
      </c>
      <c r="C298" s="65">
        <f>Ringkasan!C297</f>
        <v>1260</v>
      </c>
      <c r="D298" s="64" t="str">
        <f>Ringkasan!D297</f>
        <v>#N/A</v>
      </c>
      <c r="E298" s="64" t="str">
        <f>Ringkasan!E297</f>
        <v>ECONOMIC30</v>
      </c>
      <c r="F298" s="64" t="str">
        <f>Ringkasan!F297</f>
        <v>31 Agustus 2026</v>
      </c>
      <c r="G298" s="64">
        <f>Ringkasan!G297</f>
        <v>14</v>
      </c>
      <c r="H298" s="19">
        <f>Ringkasan!H297</f>
        <v>4.8</v>
      </c>
      <c r="I298" s="19">
        <f>Ringkasan!I297</f>
        <v>0.48</v>
      </c>
      <c r="J298" s="19">
        <f>Ringkasan!J297</f>
        <v>10.1</v>
      </c>
      <c r="K298" s="19">
        <f>Ringkasan!K297</f>
        <v>0.72</v>
      </c>
      <c r="L298" s="19">
        <f>Ringkasan!L297</f>
        <v>12.3</v>
      </c>
      <c r="M298" s="19">
        <f>Ringkasan!M297</f>
        <v>48.5</v>
      </c>
      <c r="N298" s="64">
        <f>Ringkasan!N297</f>
        <v>2.86</v>
      </c>
      <c r="O298" s="64">
        <f>Ringkasan!O297</f>
        <v>18.5</v>
      </c>
      <c r="P298" s="64">
        <f>Ringkasan!P297</f>
        <v>93.79</v>
      </c>
      <c r="Q298" s="64">
        <f>Ringkasan!Q297</f>
        <v>3.16</v>
      </c>
      <c r="R298" s="64">
        <f>Ringkasan!R297</f>
        <v>88.7</v>
      </c>
      <c r="S298" s="64">
        <f>Ringkasan!S297</f>
        <v>57.15</v>
      </c>
      <c r="T298" s="64">
        <f>Ringkasan!T297</f>
        <v>19.65</v>
      </c>
      <c r="U298" s="64">
        <f>Ringkasan!U297</f>
        <v>1185</v>
      </c>
      <c r="V298" s="64">
        <f>Ringkasan!V297</f>
        <v>6.33</v>
      </c>
      <c r="W298" s="64">
        <f>Ringkasan!W297</f>
        <v>1200</v>
      </c>
      <c r="X298" s="64">
        <f>Ringkasan!X297</f>
        <v>1295</v>
      </c>
      <c r="Y298" s="64">
        <f>Ringkasan!Y297</f>
        <v>1190</v>
      </c>
      <c r="Z298" s="64">
        <f>Ringkasan!Z297</f>
        <v>35491400</v>
      </c>
      <c r="AA298" s="64" t="str">
        <f>Ringkasan!AA297</f>
        <v>Banks</v>
      </c>
      <c r="AB298" s="64" t="str">
        <f>Ringkasan!AB297</f>
        <v>Financials</v>
      </c>
    </row>
    <row r="299" hidden="1">
      <c r="A299" s="64" t="str">
        <f>Ringkasan!A298</f>
        <v>BBTN</v>
      </c>
      <c r="B299" s="64" t="str">
        <f>Ringkasan!B298</f>
        <v>PT Bank Tabungan Negara (Persero) Tbk</v>
      </c>
      <c r="C299" s="65">
        <f>Ringkasan!C298</f>
        <v>1260</v>
      </c>
      <c r="D299" s="64" t="str">
        <f>Ringkasan!D298</f>
        <v>#N/A</v>
      </c>
      <c r="E299" s="64" t="str">
        <f>Ringkasan!E298</f>
        <v>LQ45</v>
      </c>
      <c r="F299" s="64" t="str">
        <f>Ringkasan!F298</f>
        <v>31 Juli 2026</v>
      </c>
      <c r="G299" s="64">
        <f>Ringkasan!G298</f>
        <v>14</v>
      </c>
      <c r="H299" s="19">
        <f>Ringkasan!H298</f>
        <v>4.8</v>
      </c>
      <c r="I299" s="19">
        <f>Ringkasan!I298</f>
        <v>0.48</v>
      </c>
      <c r="J299" s="19">
        <f>Ringkasan!J298</f>
        <v>10.1</v>
      </c>
      <c r="K299" s="19">
        <f>Ringkasan!K298</f>
        <v>0.72</v>
      </c>
      <c r="L299" s="19">
        <f>Ringkasan!L298</f>
        <v>12.3</v>
      </c>
      <c r="M299" s="19">
        <f>Ringkasan!M298</f>
        <v>48.5</v>
      </c>
      <c r="N299" s="64">
        <f>Ringkasan!N298</f>
        <v>2.86</v>
      </c>
      <c r="O299" s="64">
        <f>Ringkasan!O298</f>
        <v>18.5</v>
      </c>
      <c r="P299" s="64">
        <f>Ringkasan!P298</f>
        <v>93.79</v>
      </c>
      <c r="Q299" s="64">
        <f>Ringkasan!Q298</f>
        <v>3.16</v>
      </c>
      <c r="R299" s="64">
        <f>Ringkasan!R298</f>
        <v>88.7</v>
      </c>
      <c r="S299" s="64">
        <f>Ringkasan!S298</f>
        <v>57.15</v>
      </c>
      <c r="T299" s="64">
        <f>Ringkasan!T298</f>
        <v>19.65</v>
      </c>
      <c r="U299" s="64">
        <f>Ringkasan!U298</f>
        <v>1185</v>
      </c>
      <c r="V299" s="64">
        <f>Ringkasan!V298</f>
        <v>6.33</v>
      </c>
      <c r="W299" s="64">
        <f>Ringkasan!W298</f>
        <v>1200</v>
      </c>
      <c r="X299" s="64">
        <f>Ringkasan!X298</f>
        <v>1295</v>
      </c>
      <c r="Y299" s="64">
        <f>Ringkasan!Y298</f>
        <v>1190</v>
      </c>
      <c r="Z299" s="64">
        <f>Ringkasan!Z298</f>
        <v>35491400</v>
      </c>
      <c r="AA299" s="64" t="str">
        <f>Ringkasan!AA298</f>
        <v>Banks</v>
      </c>
      <c r="AB299" s="64" t="str">
        <f>Ringkasan!AB298</f>
        <v>Financials</v>
      </c>
    </row>
    <row r="300" hidden="1">
      <c r="A300" s="64" t="str">
        <f>Ringkasan!A299</f>
        <v>BBTN</v>
      </c>
      <c r="B300" s="64" t="str">
        <f>Ringkasan!B299</f>
        <v>PT Bank Tabungan Negara (Persero) Tbk</v>
      </c>
      <c r="C300" s="65">
        <f>Ringkasan!C299</f>
        <v>1260</v>
      </c>
      <c r="D300" s="64" t="str">
        <f>Ringkasan!D299</f>
        <v>#N/A</v>
      </c>
      <c r="E300" s="64" t="str">
        <f>Ringkasan!E299</f>
        <v>IDX80</v>
      </c>
      <c r="F300" s="64" t="str">
        <f>Ringkasan!F299</f>
        <v>31 Juli 2026</v>
      </c>
      <c r="G300" s="64">
        <f>Ringkasan!G299</f>
        <v>14</v>
      </c>
      <c r="H300" s="19">
        <f>Ringkasan!H299</f>
        <v>4.8</v>
      </c>
      <c r="I300" s="19">
        <f>Ringkasan!I299</f>
        <v>0.48</v>
      </c>
      <c r="J300" s="19">
        <f>Ringkasan!J299</f>
        <v>10.1</v>
      </c>
      <c r="K300" s="19">
        <f>Ringkasan!K299</f>
        <v>0.72</v>
      </c>
      <c r="L300" s="19">
        <f>Ringkasan!L299</f>
        <v>12.3</v>
      </c>
      <c r="M300" s="19">
        <f>Ringkasan!M299</f>
        <v>48.5</v>
      </c>
      <c r="N300" s="64">
        <f>Ringkasan!N299</f>
        <v>2.86</v>
      </c>
      <c r="O300" s="64">
        <f>Ringkasan!O299</f>
        <v>18.5</v>
      </c>
      <c r="P300" s="64">
        <f>Ringkasan!P299</f>
        <v>93.79</v>
      </c>
      <c r="Q300" s="64">
        <f>Ringkasan!Q299</f>
        <v>3.16</v>
      </c>
      <c r="R300" s="64">
        <f>Ringkasan!R299</f>
        <v>88.7</v>
      </c>
      <c r="S300" s="64">
        <f>Ringkasan!S299</f>
        <v>57.15</v>
      </c>
      <c r="T300" s="64">
        <f>Ringkasan!T299</f>
        <v>19.65</v>
      </c>
      <c r="U300" s="64">
        <f>Ringkasan!U299</f>
        <v>1185</v>
      </c>
      <c r="V300" s="64">
        <f>Ringkasan!V299</f>
        <v>6.33</v>
      </c>
      <c r="W300" s="64">
        <f>Ringkasan!W299</f>
        <v>1200</v>
      </c>
      <c r="X300" s="64">
        <f>Ringkasan!X299</f>
        <v>1295</v>
      </c>
      <c r="Y300" s="64">
        <f>Ringkasan!Y299</f>
        <v>1190</v>
      </c>
      <c r="Z300" s="64">
        <f>Ringkasan!Z299</f>
        <v>35491400</v>
      </c>
      <c r="AA300" s="64" t="str">
        <f>Ringkasan!AA299</f>
        <v>Banks</v>
      </c>
      <c r="AB300" s="64" t="str">
        <f>Ringkasan!AB299</f>
        <v>Financials</v>
      </c>
    </row>
    <row r="301" hidden="1">
      <c r="A301" s="64" t="str">
        <f>Ringkasan!A300</f>
        <v>BBTN</v>
      </c>
      <c r="B301" s="64" t="str">
        <f>Ringkasan!B300</f>
        <v>PT Bank Tabungan Negara (Persero) Tbk</v>
      </c>
      <c r="C301" s="65">
        <f>Ringkasan!C300</f>
        <v>1260</v>
      </c>
      <c r="D301" s="64" t="str">
        <f>Ringkasan!D300</f>
        <v>#N/A</v>
      </c>
      <c r="E301" s="64" t="str">
        <f>Ringkasan!E300</f>
        <v>IDXBUMN20</v>
      </c>
      <c r="F301" s="64" t="str">
        <f>Ringkasan!F300</f>
        <v>4 Agustus 2026</v>
      </c>
      <c r="G301" s="64">
        <f>Ringkasan!G300</f>
        <v>14</v>
      </c>
      <c r="H301" s="19">
        <f>Ringkasan!H300</f>
        <v>4.8</v>
      </c>
      <c r="I301" s="19">
        <f>Ringkasan!I300</f>
        <v>0.48</v>
      </c>
      <c r="J301" s="19">
        <f>Ringkasan!J300</f>
        <v>10.1</v>
      </c>
      <c r="K301" s="19">
        <f>Ringkasan!K300</f>
        <v>0.72</v>
      </c>
      <c r="L301" s="19">
        <f>Ringkasan!L300</f>
        <v>12.3</v>
      </c>
      <c r="M301" s="19">
        <f>Ringkasan!M300</f>
        <v>48.5</v>
      </c>
      <c r="N301" s="64">
        <f>Ringkasan!N300</f>
        <v>2.86</v>
      </c>
      <c r="O301" s="64">
        <f>Ringkasan!O300</f>
        <v>18.5</v>
      </c>
      <c r="P301" s="64">
        <f>Ringkasan!P300</f>
        <v>93.79</v>
      </c>
      <c r="Q301" s="64">
        <f>Ringkasan!Q300</f>
        <v>3.16</v>
      </c>
      <c r="R301" s="64">
        <f>Ringkasan!R300</f>
        <v>88.7</v>
      </c>
      <c r="S301" s="64">
        <f>Ringkasan!S300</f>
        <v>57.15</v>
      </c>
      <c r="T301" s="64">
        <f>Ringkasan!T300</f>
        <v>19.65</v>
      </c>
      <c r="U301" s="64">
        <f>Ringkasan!U300</f>
        <v>1185</v>
      </c>
      <c r="V301" s="64">
        <f>Ringkasan!V300</f>
        <v>6.33</v>
      </c>
      <c r="W301" s="64">
        <f>Ringkasan!W300</f>
        <v>1200</v>
      </c>
      <c r="X301" s="64">
        <f>Ringkasan!X300</f>
        <v>1295</v>
      </c>
      <c r="Y301" s="64">
        <f>Ringkasan!Y300</f>
        <v>1190</v>
      </c>
      <c r="Z301" s="64">
        <f>Ringkasan!Z300</f>
        <v>35491400</v>
      </c>
      <c r="AA301" s="64" t="str">
        <f>Ringkasan!AA300</f>
        <v>Banks</v>
      </c>
      <c r="AB301" s="64" t="str">
        <f>Ringkasan!AB300</f>
        <v>Financials</v>
      </c>
    </row>
    <row r="302" hidden="1">
      <c r="A302" s="64" t="str">
        <f>Ringkasan!A301</f>
        <v>BBTN</v>
      </c>
      <c r="B302" s="64" t="str">
        <f>Ringkasan!B301</f>
        <v>PT Bank Tabungan Negara (Persero) Tbk</v>
      </c>
      <c r="C302" s="65">
        <f>Ringkasan!C301</f>
        <v>1260</v>
      </c>
      <c r="D302" s="64" t="str">
        <f>Ringkasan!D301</f>
        <v>#N/A</v>
      </c>
      <c r="E302" s="64" t="str">
        <f>Ringkasan!E301</f>
        <v>IDXV30</v>
      </c>
      <c r="F302" s="64" t="str">
        <f>Ringkasan!F301</f>
        <v>4 Agustus 2026</v>
      </c>
      <c r="G302" s="64">
        <f>Ringkasan!G301</f>
        <v>14</v>
      </c>
      <c r="H302" s="19">
        <f>Ringkasan!H301</f>
        <v>4.8</v>
      </c>
      <c r="I302" s="19">
        <f>Ringkasan!I301</f>
        <v>0.48</v>
      </c>
      <c r="J302" s="19">
        <f>Ringkasan!J301</f>
        <v>10.1</v>
      </c>
      <c r="K302" s="19">
        <f>Ringkasan!K301</f>
        <v>0.72</v>
      </c>
      <c r="L302" s="19">
        <f>Ringkasan!L301</f>
        <v>12.3</v>
      </c>
      <c r="M302" s="19">
        <f>Ringkasan!M301</f>
        <v>48.5</v>
      </c>
      <c r="N302" s="64">
        <f>Ringkasan!N301</f>
        <v>2.86</v>
      </c>
      <c r="O302" s="64">
        <f>Ringkasan!O301</f>
        <v>18.5</v>
      </c>
      <c r="P302" s="64">
        <f>Ringkasan!P301</f>
        <v>93.79</v>
      </c>
      <c r="Q302" s="64">
        <f>Ringkasan!Q301</f>
        <v>3.16</v>
      </c>
      <c r="R302" s="64">
        <f>Ringkasan!R301</f>
        <v>88.7</v>
      </c>
      <c r="S302" s="64">
        <f>Ringkasan!S301</f>
        <v>57.15</v>
      </c>
      <c r="T302" s="64">
        <f>Ringkasan!T301</f>
        <v>19.65</v>
      </c>
      <c r="U302" s="64">
        <f>Ringkasan!U301</f>
        <v>1185</v>
      </c>
      <c r="V302" s="64">
        <f>Ringkasan!V301</f>
        <v>6.33</v>
      </c>
      <c r="W302" s="64">
        <f>Ringkasan!W301</f>
        <v>1200</v>
      </c>
      <c r="X302" s="64">
        <f>Ringkasan!X301</f>
        <v>1295</v>
      </c>
      <c r="Y302" s="64">
        <f>Ringkasan!Y301</f>
        <v>1190</v>
      </c>
      <c r="Z302" s="64">
        <f>Ringkasan!Z301</f>
        <v>35491400</v>
      </c>
      <c r="AA302" s="64" t="str">
        <f>Ringkasan!AA301</f>
        <v>Banks</v>
      </c>
      <c r="AB302" s="64" t="str">
        <f>Ringkasan!AB301</f>
        <v>Financials</v>
      </c>
    </row>
    <row r="303" hidden="1">
      <c r="A303" s="64" t="str">
        <f>Ringkasan!A302</f>
        <v>BBTN</v>
      </c>
      <c r="B303" s="64" t="str">
        <f>Ringkasan!B302</f>
        <v>PT Bank Tabungan Negara (Persero) Tbk</v>
      </c>
      <c r="C303" s="65">
        <f>Ringkasan!C302</f>
        <v>1260</v>
      </c>
      <c r="D303" s="64" t="str">
        <f>Ringkasan!D302</f>
        <v>#N/A</v>
      </c>
      <c r="E303" s="64" t="str">
        <f>Ringkasan!E302</f>
        <v>PRIMBANK-10</v>
      </c>
      <c r="F303" s="64" t="str">
        <f>Ringkasan!F302</f>
        <v>30 Juni 2026</v>
      </c>
      <c r="G303" s="64">
        <f>Ringkasan!G302</f>
        <v>14</v>
      </c>
      <c r="H303" s="19">
        <f>Ringkasan!H302</f>
        <v>4.8</v>
      </c>
      <c r="I303" s="19">
        <f>Ringkasan!I302</f>
        <v>0.48</v>
      </c>
      <c r="J303" s="19">
        <f>Ringkasan!J302</f>
        <v>10.1</v>
      </c>
      <c r="K303" s="19">
        <f>Ringkasan!K302</f>
        <v>0.72</v>
      </c>
      <c r="L303" s="19">
        <f>Ringkasan!L302</f>
        <v>12.3</v>
      </c>
      <c r="M303" s="19">
        <f>Ringkasan!M302</f>
        <v>48.5</v>
      </c>
      <c r="N303" s="64">
        <f>Ringkasan!N302</f>
        <v>2.86</v>
      </c>
      <c r="O303" s="64">
        <f>Ringkasan!O302</f>
        <v>18.5</v>
      </c>
      <c r="P303" s="64">
        <f>Ringkasan!P302</f>
        <v>93.79</v>
      </c>
      <c r="Q303" s="64">
        <f>Ringkasan!Q302</f>
        <v>3.16</v>
      </c>
      <c r="R303" s="64">
        <f>Ringkasan!R302</f>
        <v>88.7</v>
      </c>
      <c r="S303" s="64">
        <f>Ringkasan!S302</f>
        <v>57.15</v>
      </c>
      <c r="T303" s="64">
        <f>Ringkasan!T302</f>
        <v>19.65</v>
      </c>
      <c r="U303" s="64">
        <f>Ringkasan!U302</f>
        <v>1185</v>
      </c>
      <c r="V303" s="64">
        <f>Ringkasan!V302</f>
        <v>6.33</v>
      </c>
      <c r="W303" s="64">
        <f>Ringkasan!W302</f>
        <v>1200</v>
      </c>
      <c r="X303" s="64">
        <f>Ringkasan!X302</f>
        <v>1295</v>
      </c>
      <c r="Y303" s="64">
        <f>Ringkasan!Y302</f>
        <v>1190</v>
      </c>
      <c r="Z303" s="64">
        <f>Ringkasan!Z302</f>
        <v>35491400</v>
      </c>
      <c r="AA303" s="64" t="str">
        <f>Ringkasan!AA302</f>
        <v>Banks</v>
      </c>
      <c r="AB303" s="64" t="str">
        <f>Ringkasan!AB302</f>
        <v>Financials</v>
      </c>
    </row>
    <row r="304" hidden="1">
      <c r="A304" s="64" t="str">
        <f>Ringkasan!A303</f>
        <v>BBTN</v>
      </c>
      <c r="B304" s="64" t="str">
        <f>Ringkasan!B303</f>
        <v>PT Bank Tabungan Negara (Persero) Tbk</v>
      </c>
      <c r="C304" s="65">
        <f>Ringkasan!C303</f>
        <v>1260</v>
      </c>
      <c r="D304" s="64" t="str">
        <f>Ringkasan!D303</f>
        <v>#N/A</v>
      </c>
      <c r="E304" s="64" t="str">
        <f>Ringkasan!E303</f>
        <v>IDXSMC-LIQ</v>
      </c>
      <c r="F304" s="64" t="str">
        <f>Ringkasan!F303</f>
        <v>4 Agustus 2026</v>
      </c>
      <c r="G304" s="64">
        <f>Ringkasan!G303</f>
        <v>14</v>
      </c>
      <c r="H304" s="19">
        <f>Ringkasan!H303</f>
        <v>4.8</v>
      </c>
      <c r="I304" s="19">
        <f>Ringkasan!I303</f>
        <v>0.48</v>
      </c>
      <c r="J304" s="19">
        <f>Ringkasan!J303</f>
        <v>10.1</v>
      </c>
      <c r="K304" s="19">
        <f>Ringkasan!K303</f>
        <v>0.72</v>
      </c>
      <c r="L304" s="19">
        <f>Ringkasan!L303</f>
        <v>12.3</v>
      </c>
      <c r="M304" s="19">
        <f>Ringkasan!M303</f>
        <v>48.5</v>
      </c>
      <c r="N304" s="64">
        <f>Ringkasan!N303</f>
        <v>2.86</v>
      </c>
      <c r="O304" s="64">
        <f>Ringkasan!O303</f>
        <v>18.5</v>
      </c>
      <c r="P304" s="64">
        <f>Ringkasan!P303</f>
        <v>93.79</v>
      </c>
      <c r="Q304" s="64">
        <f>Ringkasan!Q303</f>
        <v>3.16</v>
      </c>
      <c r="R304" s="64">
        <f>Ringkasan!R303</f>
        <v>88.7</v>
      </c>
      <c r="S304" s="64">
        <f>Ringkasan!S303</f>
        <v>57.15</v>
      </c>
      <c r="T304" s="64">
        <f>Ringkasan!T303</f>
        <v>19.65</v>
      </c>
      <c r="U304" s="64">
        <f>Ringkasan!U303</f>
        <v>1185</v>
      </c>
      <c r="V304" s="64">
        <f>Ringkasan!V303</f>
        <v>6.33</v>
      </c>
      <c r="W304" s="64">
        <f>Ringkasan!W303</f>
        <v>1200</v>
      </c>
      <c r="X304" s="64">
        <f>Ringkasan!X303</f>
        <v>1295</v>
      </c>
      <c r="Y304" s="64">
        <f>Ringkasan!Y303</f>
        <v>1190</v>
      </c>
      <c r="Z304" s="64">
        <f>Ringkasan!Z303</f>
        <v>35491400</v>
      </c>
      <c r="AA304" s="64" t="str">
        <f>Ringkasan!AA303</f>
        <v>Banks</v>
      </c>
      <c r="AB304" s="64" t="str">
        <f>Ringkasan!AB303</f>
        <v>Financials</v>
      </c>
    </row>
    <row r="305" hidden="1">
      <c r="A305" s="60" t="str">
        <f>Ringkasan!A583</f>
        <v>DCII</v>
      </c>
      <c r="B305" s="60" t="str">
        <f>Ringkasan!B583</f>
        <v>DCI Indonesia Tbk.</v>
      </c>
      <c r="C305" s="61">
        <f>Ringkasan!C583</f>
        <v>188800</v>
      </c>
      <c r="D305" s="60" t="str">
        <f>Ringkasan!D583</f>
        <v>#N/A</v>
      </c>
      <c r="E305" s="60" t="str">
        <f>Ringkasan!E583</f>
        <v/>
      </c>
      <c r="F305" s="60" t="str">
        <f>Ringkasan!F583</f>
        <v/>
      </c>
      <c r="G305" s="60">
        <f>Ringkasan!G583</f>
        <v>0</v>
      </c>
      <c r="H305" s="62">
        <f>Ringkasan!H583</f>
        <v>480</v>
      </c>
      <c r="I305" s="62">
        <f>Ringkasan!I583</f>
        <v>110</v>
      </c>
      <c r="J305" s="62">
        <f>Ringkasan!J583</f>
        <v>21.9</v>
      </c>
      <c r="K305" s="62">
        <f>Ringkasan!K583</f>
        <v>13.2</v>
      </c>
      <c r="L305" s="62">
        <f>Ringkasan!L583</f>
        <v>0.66</v>
      </c>
      <c r="M305" s="62">
        <f>Ringkasan!M583</f>
        <v>110</v>
      </c>
      <c r="N305" s="60" t="str">
        <f>Ringkasan!N583</f>
        <v/>
      </c>
      <c r="O305" s="60" t="str">
        <f>Ringkasan!O583</f>
        <v/>
      </c>
      <c r="P305" s="60" t="str">
        <f>Ringkasan!P583</f>
        <v/>
      </c>
      <c r="Q305" s="60" t="str">
        <f>Ringkasan!Q583</f>
        <v/>
      </c>
      <c r="R305" s="60" t="str">
        <f>Ringkasan!R583</f>
        <v/>
      </c>
      <c r="S305" s="60" t="str">
        <f>Ringkasan!S583</f>
        <v/>
      </c>
      <c r="T305" s="60" t="str">
        <f>Ringkasan!T583</f>
        <v/>
      </c>
      <c r="U305" s="60">
        <f>Ringkasan!U583</f>
        <v>188775</v>
      </c>
      <c r="V305" s="60">
        <f>Ringkasan!V583</f>
        <v>0.01</v>
      </c>
      <c r="W305" s="60">
        <f>Ringkasan!W583</f>
        <v>188825</v>
      </c>
      <c r="X305" s="60">
        <f>Ringkasan!X583</f>
        <v>188825</v>
      </c>
      <c r="Y305" s="60">
        <f>Ringkasan!Y583</f>
        <v>188775</v>
      </c>
      <c r="Z305" s="60" t="str">
        <f>Ringkasan!Z583</f>
        <v/>
      </c>
      <c r="AA305" s="60" t="str">
        <f>Ringkasan!AA583</f>
        <v>IT Services &amp; Consulting</v>
      </c>
      <c r="AB305" s="64" t="str">
        <f>Ringkasan!AB583</f>
        <v>Technology</v>
      </c>
    </row>
    <row r="306" hidden="1">
      <c r="A306" s="64" t="str">
        <f>Ringkasan!A305</f>
        <v>BBTN</v>
      </c>
      <c r="B306" s="64" t="str">
        <f>Ringkasan!B305</f>
        <v>PT Bank Tabungan Negara (Persero) Tbk</v>
      </c>
      <c r="C306" s="65">
        <f>Ringkasan!C305</f>
        <v>1260</v>
      </c>
      <c r="D306" s="64" t="str">
        <f>Ringkasan!D305</f>
        <v>#N/A</v>
      </c>
      <c r="E306" s="64" t="str">
        <f>Ringkasan!E305</f>
        <v>ESGSKEHATI</v>
      </c>
      <c r="F306" s="66">
        <f>Ringkasan!F305</f>
        <v>46356</v>
      </c>
      <c r="G306" s="64">
        <f>Ringkasan!G305</f>
        <v>14</v>
      </c>
      <c r="H306" s="19">
        <f>Ringkasan!H305</f>
        <v>4.8</v>
      </c>
      <c r="I306" s="19">
        <f>Ringkasan!I305</f>
        <v>0.48</v>
      </c>
      <c r="J306" s="19">
        <f>Ringkasan!J305</f>
        <v>10.1</v>
      </c>
      <c r="K306" s="19">
        <f>Ringkasan!K305</f>
        <v>0.72</v>
      </c>
      <c r="L306" s="19">
        <f>Ringkasan!L305</f>
        <v>12.3</v>
      </c>
      <c r="M306" s="19">
        <f>Ringkasan!M305</f>
        <v>48.5</v>
      </c>
      <c r="N306" s="64">
        <f>Ringkasan!N305</f>
        <v>2.86</v>
      </c>
      <c r="O306" s="64">
        <f>Ringkasan!O305</f>
        <v>18.5</v>
      </c>
      <c r="P306" s="64">
        <f>Ringkasan!P305</f>
        <v>93.79</v>
      </c>
      <c r="Q306" s="64">
        <f>Ringkasan!Q305</f>
        <v>3.16</v>
      </c>
      <c r="R306" s="64">
        <f>Ringkasan!R305</f>
        <v>88.7</v>
      </c>
      <c r="S306" s="64">
        <f>Ringkasan!S305</f>
        <v>57.15</v>
      </c>
      <c r="T306" s="64">
        <f>Ringkasan!T305</f>
        <v>19.65</v>
      </c>
      <c r="U306" s="64">
        <f>Ringkasan!U305</f>
        <v>1185</v>
      </c>
      <c r="V306" s="64">
        <f>Ringkasan!V305</f>
        <v>6.33</v>
      </c>
      <c r="W306" s="64">
        <f>Ringkasan!W305</f>
        <v>1200</v>
      </c>
      <c r="X306" s="64">
        <f>Ringkasan!X305</f>
        <v>1295</v>
      </c>
      <c r="Y306" s="64">
        <f>Ringkasan!Y305</f>
        <v>1190</v>
      </c>
      <c r="Z306" s="64">
        <f>Ringkasan!Z305</f>
        <v>35491400</v>
      </c>
      <c r="AA306" s="64" t="str">
        <f>Ringkasan!AA305</f>
        <v>Banks</v>
      </c>
      <c r="AB306" s="64" t="str">
        <f>Ringkasan!AB305</f>
        <v>Financials</v>
      </c>
    </row>
    <row r="307" hidden="1">
      <c r="A307" s="64" t="str">
        <f>Ringkasan!A306</f>
        <v>BBTN</v>
      </c>
      <c r="B307" s="64" t="str">
        <f>Ringkasan!B306</f>
        <v>PT Bank Tabungan Negara (Persero) Tbk</v>
      </c>
      <c r="C307" s="65">
        <f>Ringkasan!C306</f>
        <v>1260</v>
      </c>
      <c r="D307" s="64" t="str">
        <f>Ringkasan!D306</f>
        <v>#N/A</v>
      </c>
      <c r="E307" s="64" t="str">
        <f>Ringkasan!E306</f>
        <v>SRI-KEHATI</v>
      </c>
      <c r="F307" s="66">
        <f>Ringkasan!F306</f>
        <v>46356</v>
      </c>
      <c r="G307" s="64">
        <f>Ringkasan!G306</f>
        <v>14</v>
      </c>
      <c r="H307" s="19">
        <f>Ringkasan!H306</f>
        <v>4.8</v>
      </c>
      <c r="I307" s="19">
        <f>Ringkasan!I306</f>
        <v>0.48</v>
      </c>
      <c r="J307" s="19">
        <f>Ringkasan!J306</f>
        <v>10.1</v>
      </c>
      <c r="K307" s="19">
        <f>Ringkasan!K306</f>
        <v>0.72</v>
      </c>
      <c r="L307" s="19">
        <f>Ringkasan!L306</f>
        <v>12.3</v>
      </c>
      <c r="M307" s="19">
        <f>Ringkasan!M306</f>
        <v>48.5</v>
      </c>
      <c r="N307" s="64">
        <f>Ringkasan!N306</f>
        <v>2.86</v>
      </c>
      <c r="O307" s="64">
        <f>Ringkasan!O306</f>
        <v>18.5</v>
      </c>
      <c r="P307" s="64">
        <f>Ringkasan!P306</f>
        <v>93.79</v>
      </c>
      <c r="Q307" s="64">
        <f>Ringkasan!Q306</f>
        <v>3.16</v>
      </c>
      <c r="R307" s="64">
        <f>Ringkasan!R306</f>
        <v>88.7</v>
      </c>
      <c r="S307" s="64">
        <f>Ringkasan!S306</f>
        <v>57.15</v>
      </c>
      <c r="T307" s="64">
        <f>Ringkasan!T306</f>
        <v>19.65</v>
      </c>
      <c r="U307" s="64">
        <f>Ringkasan!U306</f>
        <v>1185</v>
      </c>
      <c r="V307" s="64">
        <f>Ringkasan!V306</f>
        <v>6.33</v>
      </c>
      <c r="W307" s="64">
        <f>Ringkasan!W306</f>
        <v>1200</v>
      </c>
      <c r="X307" s="64">
        <f>Ringkasan!X306</f>
        <v>1295</v>
      </c>
      <c r="Y307" s="64">
        <f>Ringkasan!Y306</f>
        <v>1190</v>
      </c>
      <c r="Z307" s="64">
        <f>Ringkasan!Z306</f>
        <v>35491400</v>
      </c>
      <c r="AA307" s="64" t="str">
        <f>Ringkasan!AA306</f>
        <v>Banks</v>
      </c>
      <c r="AB307" s="64" t="str">
        <f>Ringkasan!AB306</f>
        <v>Financials</v>
      </c>
    </row>
    <row r="308" hidden="1">
      <c r="A308" s="60" t="str">
        <f>Ringkasan!A635</f>
        <v>DWGL</v>
      </c>
      <c r="B308" s="60" t="str">
        <f>Ringkasan!B635</f>
        <v>Dwi Guna Laksana Tbk.</v>
      </c>
      <c r="C308" s="61">
        <f>Ringkasan!C635</f>
        <v>254</v>
      </c>
      <c r="D308" s="60" t="str">
        <f>Ringkasan!D635</f>
        <v>#N/A</v>
      </c>
      <c r="E308" s="60" t="str">
        <f>Ringkasan!E635</f>
        <v/>
      </c>
      <c r="F308" s="60" t="str">
        <f>Ringkasan!F635</f>
        <v/>
      </c>
      <c r="G308" s="60">
        <f>Ringkasan!G635</f>
        <v>0</v>
      </c>
      <c r="H308" s="62">
        <f>Ringkasan!H635</f>
        <v>10.4</v>
      </c>
      <c r="I308" s="62">
        <f>Ringkasan!I635</f>
        <v>4.3</v>
      </c>
      <c r="J308" s="62">
        <f>Ringkasan!J635</f>
        <v>41.4</v>
      </c>
      <c r="K308" s="62">
        <f>Ringkasan!K635</f>
        <v>14.1</v>
      </c>
      <c r="L308" s="62">
        <f>Ringkasan!L635</f>
        <v>1.9</v>
      </c>
      <c r="M308" s="62">
        <f>Ringkasan!M635</f>
        <v>30.6</v>
      </c>
      <c r="N308" s="60" t="str">
        <f>Ringkasan!N635</f>
        <v/>
      </c>
      <c r="O308" s="60" t="str">
        <f>Ringkasan!O635</f>
        <v/>
      </c>
      <c r="P308" s="60" t="str">
        <f>Ringkasan!P635</f>
        <v/>
      </c>
      <c r="Q308" s="60" t="str">
        <f>Ringkasan!Q635</f>
        <v/>
      </c>
      <c r="R308" s="60" t="str">
        <f>Ringkasan!R635</f>
        <v/>
      </c>
      <c r="S308" s="60" t="str">
        <f>Ringkasan!S635</f>
        <v/>
      </c>
      <c r="T308" s="60" t="str">
        <f>Ringkasan!T635</f>
        <v/>
      </c>
      <c r="U308" s="60">
        <f>Ringkasan!U635</f>
        <v>256</v>
      </c>
      <c r="V308" s="60">
        <f>Ringkasan!V635</f>
        <v>-0.78</v>
      </c>
      <c r="W308" s="60">
        <f>Ringkasan!W635</f>
        <v>256</v>
      </c>
      <c r="X308" s="60">
        <f>Ringkasan!X635</f>
        <v>258</v>
      </c>
      <c r="Y308" s="60">
        <f>Ringkasan!Y635</f>
        <v>252</v>
      </c>
      <c r="Z308" s="60">
        <f>Ringkasan!Z635</f>
        <v>442800</v>
      </c>
      <c r="AA308" s="60" t="str">
        <f>Ringkasan!AA635</f>
        <v>Coal</v>
      </c>
      <c r="AB308" s="60" t="str">
        <f>Ringkasan!AB635</f>
        <v>Energy</v>
      </c>
    </row>
    <row r="309" hidden="1">
      <c r="A309" s="64" t="str">
        <f>Ringkasan!A308</f>
        <v>BBYB</v>
      </c>
      <c r="B309" s="64" t="str">
        <f>Ringkasan!B308</f>
        <v>PT Bank Neo Commerce Tbk.</v>
      </c>
      <c r="C309" s="65">
        <f>Ringkasan!C308</f>
        <v>234</v>
      </c>
      <c r="D309" s="64" t="str">
        <f>Ringkasan!D308</f>
        <v>#N/A</v>
      </c>
      <c r="E309" s="64" t="str">
        <f>Ringkasan!E308</f>
        <v>Kompas100</v>
      </c>
      <c r="F309" s="64" t="str">
        <f>Ringkasan!F308</f>
        <v>31 Juli 2026</v>
      </c>
      <c r="G309" s="64">
        <f>Ringkasan!G308</f>
        <v>2</v>
      </c>
      <c r="H309" s="19">
        <f>Ringkasan!H308</f>
        <v>6.4</v>
      </c>
      <c r="I309" s="19">
        <f>Ringkasan!I308</f>
        <v>0.81</v>
      </c>
      <c r="J309" s="19">
        <f>Ringkasan!J308</f>
        <v>12.6</v>
      </c>
      <c r="K309" s="19">
        <f>Ringkasan!K308</f>
        <v>3</v>
      </c>
      <c r="L309" s="19">
        <f>Ringkasan!L308</f>
        <v>3.3</v>
      </c>
      <c r="M309" s="19">
        <f>Ringkasan!M308</f>
        <v>70.9</v>
      </c>
      <c r="N309" s="64">
        <f>Ringkasan!N308</f>
        <v>18.34</v>
      </c>
      <c r="O309" s="64">
        <f>Ringkasan!O308</f>
        <v>22.23</v>
      </c>
      <c r="P309" s="64">
        <f>Ringkasan!P308</f>
        <v>75.7</v>
      </c>
      <c r="Q309" s="64">
        <f>Ringkasan!Q308</f>
        <v>3.3</v>
      </c>
      <c r="R309" s="64">
        <f>Ringkasan!R308</f>
        <v>99.23</v>
      </c>
      <c r="S309" s="64">
        <f>Ringkasan!S308</f>
        <v>40.58</v>
      </c>
      <c r="T309" s="64">
        <f>Ringkasan!T308</f>
        <v>11.43</v>
      </c>
      <c r="U309" s="64">
        <f>Ringkasan!U308</f>
        <v>226</v>
      </c>
      <c r="V309" s="64">
        <f>Ringkasan!V308</f>
        <v>3.54</v>
      </c>
      <c r="W309" s="64">
        <f>Ringkasan!W308</f>
        <v>228</v>
      </c>
      <c r="X309" s="64">
        <f>Ringkasan!X308</f>
        <v>238</v>
      </c>
      <c r="Y309" s="64">
        <f>Ringkasan!Y308</f>
        <v>228</v>
      </c>
      <c r="Z309" s="64">
        <f>Ringkasan!Z308</f>
        <v>18277500</v>
      </c>
      <c r="AA309" s="64" t="str">
        <f>Ringkasan!AA308</f>
        <v>Banks</v>
      </c>
      <c r="AB309" s="64" t="str">
        <f>Ringkasan!AB308</f>
        <v>Financials</v>
      </c>
    </row>
    <row r="310" hidden="1">
      <c r="A310" s="64" t="str">
        <f>Ringkasan!A309</f>
        <v>BBYB</v>
      </c>
      <c r="B310" s="64" t="str">
        <f>Ringkasan!B309</f>
        <v>PT Bank Neo Commerce Tbk.</v>
      </c>
      <c r="C310" s="65">
        <f>Ringkasan!C309</f>
        <v>234</v>
      </c>
      <c r="D310" s="64" t="str">
        <f>Ringkasan!D309</f>
        <v>#N/A</v>
      </c>
      <c r="E310" s="64" t="str">
        <f>Ringkasan!E309</f>
        <v>IDXSMC-LIQ</v>
      </c>
      <c r="F310" s="64" t="str">
        <f>Ringkasan!F309</f>
        <v>4 Agustus 2026</v>
      </c>
      <c r="G310" s="64">
        <f>Ringkasan!G309</f>
        <v>2</v>
      </c>
      <c r="H310" s="19">
        <f>Ringkasan!H309</f>
        <v>6.4</v>
      </c>
      <c r="I310" s="19">
        <f>Ringkasan!I309</f>
        <v>0.81</v>
      </c>
      <c r="J310" s="19">
        <f>Ringkasan!J309</f>
        <v>12.6</v>
      </c>
      <c r="K310" s="19">
        <f>Ringkasan!K309</f>
        <v>3</v>
      </c>
      <c r="L310" s="19">
        <f>Ringkasan!L309</f>
        <v>3.3</v>
      </c>
      <c r="M310" s="19">
        <f>Ringkasan!M309</f>
        <v>70.9</v>
      </c>
      <c r="N310" s="64">
        <f>Ringkasan!N309</f>
        <v>18.34</v>
      </c>
      <c r="O310" s="64">
        <f>Ringkasan!O309</f>
        <v>22.23</v>
      </c>
      <c r="P310" s="64">
        <f>Ringkasan!P309</f>
        <v>75.7</v>
      </c>
      <c r="Q310" s="64">
        <f>Ringkasan!Q309</f>
        <v>3.3</v>
      </c>
      <c r="R310" s="64">
        <f>Ringkasan!R309</f>
        <v>99.23</v>
      </c>
      <c r="S310" s="64">
        <f>Ringkasan!S309</f>
        <v>40.58</v>
      </c>
      <c r="T310" s="64">
        <f>Ringkasan!T309</f>
        <v>11.43</v>
      </c>
      <c r="U310" s="64">
        <f>Ringkasan!U309</f>
        <v>226</v>
      </c>
      <c r="V310" s="64">
        <f>Ringkasan!V309</f>
        <v>3.54</v>
      </c>
      <c r="W310" s="64">
        <f>Ringkasan!W309</f>
        <v>228</v>
      </c>
      <c r="X310" s="64">
        <f>Ringkasan!X309</f>
        <v>238</v>
      </c>
      <c r="Y310" s="64">
        <f>Ringkasan!Y309</f>
        <v>228</v>
      </c>
      <c r="Z310" s="64">
        <f>Ringkasan!Z309</f>
        <v>18277500</v>
      </c>
      <c r="AA310" s="64" t="str">
        <f>Ringkasan!AA309</f>
        <v>Banks</v>
      </c>
      <c r="AB310" s="64" t="str">
        <f>Ringkasan!AB309</f>
        <v>Financials</v>
      </c>
    </row>
    <row r="311" hidden="1">
      <c r="A311" s="64" t="str">
        <f>Ringkasan!A310</f>
        <v>BCAP</v>
      </c>
      <c r="B311" s="64" t="str">
        <f>Ringkasan!B310</f>
        <v>MNC Kapital Indonesia Tbk.</v>
      </c>
      <c r="C311" s="65">
        <f>Ringkasan!C310</f>
        <v>50</v>
      </c>
      <c r="D311" s="64" t="str">
        <f>Ringkasan!D310</f>
        <v>#N/A</v>
      </c>
      <c r="E311" s="64" t="str">
        <f>Ringkasan!E310</f>
        <v>FTSE Micro Cap</v>
      </c>
      <c r="F311" s="64" t="str">
        <f>Ringkasan!F310</f>
        <v>4 Agustus 2026</v>
      </c>
      <c r="G311" s="65">
        <f>Ringkasan!G310</f>
        <v>1</v>
      </c>
      <c r="H311" s="19">
        <f>Ringkasan!H310</f>
        <v>7.9</v>
      </c>
      <c r="I311" s="19">
        <f>Ringkasan!I310</f>
        <v>0.39</v>
      </c>
      <c r="J311" s="19">
        <f>Ringkasan!J310</f>
        <v>5</v>
      </c>
      <c r="K311" s="19">
        <f>Ringkasan!K310</f>
        <v>0.87</v>
      </c>
      <c r="L311" s="19">
        <f>Ringkasan!L310</f>
        <v>4.7</v>
      </c>
      <c r="M311" s="19">
        <f>Ringkasan!M310</f>
        <v>31.8</v>
      </c>
      <c r="N311" s="64" t="str">
        <f>Ringkasan!N310</f>
        <v/>
      </c>
      <c r="O311" s="64" t="str">
        <f>Ringkasan!O310</f>
        <v/>
      </c>
      <c r="P311" s="64" t="str">
        <f>Ringkasan!P310</f>
        <v/>
      </c>
      <c r="Q311" s="64" t="str">
        <f>Ringkasan!Q310</f>
        <v/>
      </c>
      <c r="R311" s="64" t="str">
        <f>Ringkasan!R310</f>
        <v/>
      </c>
      <c r="S311" s="64" t="str">
        <f>Ringkasan!S310</f>
        <v/>
      </c>
      <c r="T311" s="64" t="str">
        <f>Ringkasan!T310</f>
        <v/>
      </c>
      <c r="U311" s="64">
        <f>Ringkasan!U310</f>
        <v>0</v>
      </c>
      <c r="V311" s="64">
        <f>Ringkasan!V310</f>
        <v>0</v>
      </c>
      <c r="W311" s="64" t="str">
        <f>Ringkasan!W310</f>
        <v/>
      </c>
      <c r="X311" s="64" t="str">
        <f>Ringkasan!X310</f>
        <v/>
      </c>
      <c r="Y311" s="64" t="str">
        <f>Ringkasan!Y310</f>
        <v/>
      </c>
      <c r="Z311" s="64">
        <f>Ringkasan!Z310</f>
        <v>0</v>
      </c>
      <c r="AA311" s="64" t="str">
        <f>Ringkasan!AA310</f>
        <v>Holding &amp; Investment Companies</v>
      </c>
      <c r="AB311" s="64" t="str">
        <f>Ringkasan!AB310</f>
        <v>Financials</v>
      </c>
    </row>
    <row r="312" hidden="1">
      <c r="A312" s="64" t="str">
        <f>Ringkasan!A311</f>
        <v>BCIC</v>
      </c>
      <c r="B312" s="64" t="str">
        <f>Ringkasan!B311</f>
        <v>PT Bank JTrust Indonesia Tbk.</v>
      </c>
      <c r="C312" s="65">
        <f>Ringkasan!C311</f>
        <v>110</v>
      </c>
      <c r="D312" s="64" t="str">
        <f>Ringkasan!D311</f>
        <v>#N/A</v>
      </c>
      <c r="E312" s="64" t="str">
        <f>Ringkasan!E311</f>
        <v/>
      </c>
      <c r="F312" s="64" t="str">
        <f>Ringkasan!F311</f>
        <v/>
      </c>
      <c r="G312" s="64">
        <f>Ringkasan!G311</f>
        <v>0</v>
      </c>
      <c r="H312" s="19">
        <f>Ringkasan!H311</f>
        <v>-4.3</v>
      </c>
      <c r="I312" s="19">
        <f>Ringkasan!I311</f>
        <v>0.6</v>
      </c>
      <c r="J312" s="19">
        <f>Ringkasan!J311</f>
        <v>-14.1</v>
      </c>
      <c r="K312" s="19">
        <f>Ringkasan!K311</f>
        <v>-1.3</v>
      </c>
      <c r="L312" s="19">
        <f>Ringkasan!L311</f>
        <v>9.9</v>
      </c>
      <c r="M312" s="19">
        <f>Ringkasan!M311</f>
        <v>-77.8</v>
      </c>
      <c r="N312" s="64">
        <f>Ringkasan!N311</f>
        <v>3.69</v>
      </c>
      <c r="O312" s="64">
        <f>Ringkasan!O311</f>
        <v>13.38</v>
      </c>
      <c r="P312" s="64">
        <f>Ringkasan!P311</f>
        <v>83.08</v>
      </c>
      <c r="Q312" s="64">
        <f>Ringkasan!Q311</f>
        <v>1.18</v>
      </c>
      <c r="R312" s="64">
        <f>Ringkasan!R311</f>
        <v>96.15</v>
      </c>
      <c r="S312" s="64">
        <f>Ringkasan!S311</f>
        <v>68.09</v>
      </c>
      <c r="T312" s="64">
        <f>Ringkasan!T311</f>
        <v>6.43</v>
      </c>
      <c r="U312" s="64">
        <f>Ringkasan!U311</f>
        <v>7.51</v>
      </c>
      <c r="V312" s="64">
        <f>Ringkasan!V311</f>
        <v>-0.67</v>
      </c>
      <c r="W312" s="64">
        <f>Ringkasan!W311</f>
        <v>7.5</v>
      </c>
      <c r="X312" s="64">
        <f>Ringkasan!X311</f>
        <v>7.63</v>
      </c>
      <c r="Y312" s="64">
        <f>Ringkasan!Y311</f>
        <v>7.45</v>
      </c>
      <c r="Z312" s="64" t="str">
        <f>Ringkasan!Z311</f>
        <v/>
      </c>
      <c r="AA312" s="64" t="str">
        <f>Ringkasan!AA311</f>
        <v>Banks</v>
      </c>
      <c r="AB312" s="64" t="str">
        <f>Ringkasan!AB311</f>
        <v>Financials</v>
      </c>
    </row>
    <row r="313">
      <c r="A313" s="60" t="str">
        <f>Ringkasan!A494</f>
        <v>CBDK</v>
      </c>
      <c r="B313" s="60" t="str">
        <f>Ringkasan!B494</f>
        <v>Bangun Kosambi Sukses Tbk.</v>
      </c>
      <c r="C313" s="61">
        <f>Ringkasan!C494</f>
        <v>3760</v>
      </c>
      <c r="D313" s="60" t="str">
        <f>Ringkasan!D494</f>
        <v>#N/A</v>
      </c>
      <c r="E313" s="60" t="str">
        <f>Ringkasan!E494</f>
        <v>Kompas100</v>
      </c>
      <c r="F313" s="60" t="str">
        <f>Ringkasan!F494</f>
        <v>31 Juli 2026</v>
      </c>
      <c r="G313" s="60">
        <f>Ringkasan!G494</f>
        <v>2</v>
      </c>
      <c r="H313" s="62">
        <f>Ringkasan!H494</f>
        <v>12.3</v>
      </c>
      <c r="I313" s="62">
        <f>Ringkasan!I494</f>
        <v>1.8</v>
      </c>
      <c r="J313" s="62">
        <f>Ringkasan!J494</f>
        <v>14.2</v>
      </c>
      <c r="K313" s="62">
        <f>Ringkasan!K494</f>
        <v>7.9</v>
      </c>
      <c r="L313" s="62">
        <f>Ringkasan!L494</f>
        <v>0.8</v>
      </c>
      <c r="M313" s="62">
        <f>Ringkasan!M494</f>
        <v>240</v>
      </c>
      <c r="N313" s="60" t="str">
        <f>Ringkasan!N494</f>
        <v/>
      </c>
      <c r="O313" s="60" t="str">
        <f>Ringkasan!O494</f>
        <v/>
      </c>
      <c r="P313" s="60" t="str">
        <f>Ringkasan!P494</f>
        <v/>
      </c>
      <c r="Q313" s="60" t="str">
        <f>Ringkasan!Q494</f>
        <v/>
      </c>
      <c r="R313" s="60" t="str">
        <f>Ringkasan!R494</f>
        <v/>
      </c>
      <c r="S313" s="60" t="str">
        <f>Ringkasan!S494</f>
        <v/>
      </c>
      <c r="T313" s="60" t="str">
        <f>Ringkasan!T494</f>
        <v/>
      </c>
      <c r="U313" s="60">
        <f>Ringkasan!U494</f>
        <v>3320</v>
      </c>
      <c r="V313" s="60">
        <f>Ringkasan!V494</f>
        <v>13.25</v>
      </c>
      <c r="W313" s="60">
        <f>Ringkasan!W494</f>
        <v>3320</v>
      </c>
      <c r="X313" s="60">
        <f>Ringkasan!X494</f>
        <v>3780</v>
      </c>
      <c r="Y313" s="60">
        <f>Ringkasan!Y494</f>
        <v>3320</v>
      </c>
      <c r="Z313" s="60">
        <f>Ringkasan!Z494</f>
        <v>3534200</v>
      </c>
      <c r="AA313" s="60" t="str">
        <f>Ringkasan!AA494</f>
        <v>Real Estate Management &amp; Development</v>
      </c>
      <c r="AB313" s="60" t="str">
        <f>Ringkasan!AB494</f>
        <v>Properties &amp; Real Estate</v>
      </c>
    </row>
    <row r="314" hidden="1">
      <c r="A314" s="64" t="str">
        <f>Ringkasan!A313</f>
        <v>BDKR</v>
      </c>
      <c r="B314" s="64" t="str">
        <f>Ringkasan!B313</f>
        <v>PT Berdikari Pondasi Perkasa Tbk.</v>
      </c>
      <c r="C314" s="65">
        <f>Ringkasan!C313</f>
        <v>128</v>
      </c>
      <c r="D314" s="64" t="str">
        <f>Ringkasan!D313</f>
        <v>#N/A</v>
      </c>
      <c r="E314" s="64" t="str">
        <f>Ringkasan!E313</f>
        <v/>
      </c>
      <c r="F314" s="64" t="str">
        <f>Ringkasan!F313</f>
        <v/>
      </c>
      <c r="G314" s="65">
        <f>Ringkasan!G313</f>
        <v>0</v>
      </c>
      <c r="H314" s="19">
        <f>Ringkasan!H313</f>
        <v>26.7</v>
      </c>
      <c r="I314" s="19">
        <f>Ringkasan!I313</f>
        <v>0.88</v>
      </c>
      <c r="J314" s="19">
        <f>Ringkasan!J313</f>
        <v>3.3</v>
      </c>
      <c r="K314" s="19">
        <f>Ringkasan!K313</f>
        <v>2.3</v>
      </c>
      <c r="L314" s="19">
        <f>Ringkasan!L313</f>
        <v>0.41</v>
      </c>
      <c r="M314" s="19">
        <f>Ringkasan!M313</f>
        <v>26.1</v>
      </c>
      <c r="N314" s="64" t="str">
        <f>Ringkasan!N313</f>
        <v/>
      </c>
      <c r="O314" s="64" t="str">
        <f>Ringkasan!O313</f>
        <v/>
      </c>
      <c r="P314" s="64" t="str">
        <f>Ringkasan!P313</f>
        <v/>
      </c>
      <c r="Q314" s="64" t="str">
        <f>Ringkasan!Q313</f>
        <v/>
      </c>
      <c r="R314" s="64" t="str">
        <f>Ringkasan!R313</f>
        <v/>
      </c>
      <c r="S314" s="64" t="str">
        <f>Ringkasan!S313</f>
        <v/>
      </c>
      <c r="T314" s="64" t="str">
        <f>Ringkasan!T313</f>
        <v/>
      </c>
      <c r="U314" s="64">
        <f>Ringkasan!U313</f>
        <v>124</v>
      </c>
      <c r="V314" s="64">
        <f>Ringkasan!V313</f>
        <v>3.23</v>
      </c>
      <c r="W314" s="64">
        <f>Ringkasan!W313</f>
        <v>124</v>
      </c>
      <c r="X314" s="64">
        <f>Ringkasan!X313</f>
        <v>129</v>
      </c>
      <c r="Y314" s="64">
        <f>Ringkasan!Y313</f>
        <v>122</v>
      </c>
      <c r="Z314" s="64">
        <f>Ringkasan!Z313</f>
        <v>16719100</v>
      </c>
      <c r="AA314" s="64" t="str">
        <f>Ringkasan!AA313</f>
        <v>Heavy Constructions &amp; Civil Engineering</v>
      </c>
      <c r="AB314" s="64" t="str">
        <f>Ringkasan!AB313</f>
        <v>Infrastructures</v>
      </c>
    </row>
    <row r="315" hidden="1">
      <c r="A315" s="64" t="str">
        <f>Ringkasan!A314</f>
        <v>BDMN</v>
      </c>
      <c r="B315" s="64" t="str">
        <f>Ringkasan!B314</f>
        <v>PT Bank Danamon Indonesia Tbk</v>
      </c>
      <c r="C315" s="65">
        <f>Ringkasan!C314</f>
        <v>3920</v>
      </c>
      <c r="D315" s="64" t="str">
        <f>Ringkasan!D314</f>
        <v>#N/A</v>
      </c>
      <c r="E315" s="64" t="str">
        <f>Ringkasan!E314</f>
        <v>Infobank15</v>
      </c>
      <c r="F315" s="64" t="str">
        <f>Ringkasan!F314</f>
        <v>30 Juni 2026</v>
      </c>
      <c r="G315" s="64">
        <f>Ringkasan!G314</f>
        <v>3</v>
      </c>
      <c r="H315" s="19">
        <f>Ringkasan!H314</f>
        <v>10.5</v>
      </c>
      <c r="I315" s="19">
        <f>Ringkasan!I314</f>
        <v>0.8</v>
      </c>
      <c r="J315" s="19">
        <f>Ringkasan!J314</f>
        <v>7.6</v>
      </c>
      <c r="K315" s="19">
        <f>Ringkasan!K314</f>
        <v>1.6</v>
      </c>
      <c r="L315" s="19">
        <f>Ringkasan!L314</f>
        <v>3.9</v>
      </c>
      <c r="M315" s="19">
        <f>Ringkasan!M314</f>
        <v>60.7</v>
      </c>
      <c r="N315" s="64">
        <f>Ringkasan!N314</f>
        <v>7.4</v>
      </c>
      <c r="O315" s="64">
        <f>Ringkasan!O314</f>
        <v>25.4</v>
      </c>
      <c r="P315" s="64">
        <f>Ringkasan!P314</f>
        <v>95.5</v>
      </c>
      <c r="Q315" s="64">
        <f>Ringkasan!Q314</f>
        <v>1.7</v>
      </c>
      <c r="R315" s="64">
        <f>Ringkasan!R314</f>
        <v>79.3</v>
      </c>
      <c r="S315" s="64">
        <f>Ringkasan!S314</f>
        <v>55.3</v>
      </c>
      <c r="T315" s="64">
        <f>Ringkasan!T314</f>
        <v>8.3</v>
      </c>
      <c r="U315" s="64">
        <f>Ringkasan!U314</f>
        <v>3870</v>
      </c>
      <c r="V315" s="64">
        <f>Ringkasan!V314</f>
        <v>1.29</v>
      </c>
      <c r="W315" s="64">
        <f>Ringkasan!W314</f>
        <v>3930</v>
      </c>
      <c r="X315" s="64">
        <f>Ringkasan!X314</f>
        <v>4030</v>
      </c>
      <c r="Y315" s="64">
        <f>Ringkasan!Y314</f>
        <v>3880</v>
      </c>
      <c r="Z315" s="64">
        <f>Ringkasan!Z314</f>
        <v>2217100</v>
      </c>
      <c r="AA315" s="64" t="str">
        <f>Ringkasan!AA314</f>
        <v>Banks</v>
      </c>
      <c r="AB315" s="64" t="str">
        <f>Ringkasan!AB314</f>
        <v>Financials</v>
      </c>
    </row>
    <row r="316" hidden="1">
      <c r="A316" s="64" t="str">
        <f>Ringkasan!A315</f>
        <v>BDMN</v>
      </c>
      <c r="B316" s="64" t="str">
        <f>Ringkasan!B315</f>
        <v>PT Bank Danamon Indonesia Tbk</v>
      </c>
      <c r="C316" s="65">
        <f>Ringkasan!C315</f>
        <v>3920</v>
      </c>
      <c r="D316" s="64" t="str">
        <f>Ringkasan!D315</f>
        <v>#N/A</v>
      </c>
      <c r="E316" s="64" t="str">
        <f>Ringkasan!E315</f>
        <v>PRIMBANK-10</v>
      </c>
      <c r="F316" s="64" t="str">
        <f>Ringkasan!F315</f>
        <v>30 Juni 2026</v>
      </c>
      <c r="G316" s="64">
        <f>Ringkasan!G315</f>
        <v>3</v>
      </c>
      <c r="H316" s="19">
        <f>Ringkasan!H315</f>
        <v>10.5</v>
      </c>
      <c r="I316" s="19">
        <f>Ringkasan!I315</f>
        <v>0.8</v>
      </c>
      <c r="J316" s="19">
        <f>Ringkasan!J315</f>
        <v>7.6</v>
      </c>
      <c r="K316" s="19">
        <f>Ringkasan!K315</f>
        <v>1.6</v>
      </c>
      <c r="L316" s="19">
        <f>Ringkasan!L315</f>
        <v>3.9</v>
      </c>
      <c r="M316" s="19">
        <f>Ringkasan!M315</f>
        <v>60.7</v>
      </c>
      <c r="N316" s="64">
        <f>Ringkasan!N315</f>
        <v>7.4</v>
      </c>
      <c r="O316" s="64">
        <f>Ringkasan!O315</f>
        <v>25.4</v>
      </c>
      <c r="P316" s="64">
        <f>Ringkasan!P315</f>
        <v>95.5</v>
      </c>
      <c r="Q316" s="64">
        <f>Ringkasan!Q315</f>
        <v>1.7</v>
      </c>
      <c r="R316" s="64">
        <f>Ringkasan!R315</f>
        <v>79.3</v>
      </c>
      <c r="S316" s="64">
        <f>Ringkasan!S315</f>
        <v>55.3</v>
      </c>
      <c r="T316" s="64">
        <f>Ringkasan!T315</f>
        <v>8.3</v>
      </c>
      <c r="U316" s="64">
        <f>Ringkasan!U315</f>
        <v>3870</v>
      </c>
      <c r="V316" s="64">
        <f>Ringkasan!V315</f>
        <v>1.29</v>
      </c>
      <c r="W316" s="64">
        <f>Ringkasan!W315</f>
        <v>3930</v>
      </c>
      <c r="X316" s="64">
        <f>Ringkasan!X315</f>
        <v>4030</v>
      </c>
      <c r="Y316" s="64">
        <f>Ringkasan!Y315</f>
        <v>3880</v>
      </c>
      <c r="Z316" s="64">
        <f>Ringkasan!Z315</f>
        <v>2217100</v>
      </c>
      <c r="AA316" s="64" t="str">
        <f>Ringkasan!AA315</f>
        <v>Banks</v>
      </c>
      <c r="AB316" s="64" t="str">
        <f>Ringkasan!AB315</f>
        <v>Financials</v>
      </c>
    </row>
    <row r="317" hidden="1">
      <c r="A317" s="64" t="str">
        <f>Ringkasan!A316</f>
        <v>BDMN</v>
      </c>
      <c r="B317" s="64" t="str">
        <f>Ringkasan!B316</f>
        <v>PT Bank Danamon Indonesia Tbk</v>
      </c>
      <c r="C317" s="65">
        <f>Ringkasan!C316</f>
        <v>3920</v>
      </c>
      <c r="D317" s="64" t="str">
        <f>Ringkasan!D316</f>
        <v>#N/A</v>
      </c>
      <c r="E317" s="64" t="str">
        <f>Ringkasan!E316</f>
        <v>FTSE Large Cap</v>
      </c>
      <c r="F317" s="64" t="str">
        <f>Ringkasan!F316</f>
        <v>Juni 2026</v>
      </c>
      <c r="G317" s="64">
        <f>Ringkasan!G316</f>
        <v>3</v>
      </c>
      <c r="H317" s="19">
        <f>Ringkasan!H316</f>
        <v>10.5</v>
      </c>
      <c r="I317" s="19">
        <f>Ringkasan!I316</f>
        <v>0.8</v>
      </c>
      <c r="J317" s="19">
        <f>Ringkasan!J316</f>
        <v>7.6</v>
      </c>
      <c r="K317" s="19">
        <f>Ringkasan!K316</f>
        <v>1.6</v>
      </c>
      <c r="L317" s="19">
        <f>Ringkasan!L316</f>
        <v>3.9</v>
      </c>
      <c r="M317" s="19">
        <f>Ringkasan!M316</f>
        <v>60.7</v>
      </c>
      <c r="N317" s="64">
        <f>Ringkasan!N316</f>
        <v>7.4</v>
      </c>
      <c r="O317" s="64">
        <f>Ringkasan!O316</f>
        <v>25.4</v>
      </c>
      <c r="P317" s="64">
        <f>Ringkasan!P316</f>
        <v>95.5</v>
      </c>
      <c r="Q317" s="64">
        <f>Ringkasan!Q316</f>
        <v>1.7</v>
      </c>
      <c r="R317" s="64">
        <f>Ringkasan!R316</f>
        <v>79.3</v>
      </c>
      <c r="S317" s="64">
        <f>Ringkasan!S316</f>
        <v>55.3</v>
      </c>
      <c r="T317" s="64">
        <f>Ringkasan!T316</f>
        <v>8.3</v>
      </c>
      <c r="U317" s="64">
        <f>Ringkasan!U316</f>
        <v>3870</v>
      </c>
      <c r="V317" s="64">
        <f>Ringkasan!V316</f>
        <v>1.29</v>
      </c>
      <c r="W317" s="64">
        <f>Ringkasan!W316</f>
        <v>3930</v>
      </c>
      <c r="X317" s="64">
        <f>Ringkasan!X316</f>
        <v>4030</v>
      </c>
      <c r="Y317" s="64">
        <f>Ringkasan!Y316</f>
        <v>3880</v>
      </c>
      <c r="Z317" s="64">
        <f>Ringkasan!Z316</f>
        <v>2217100</v>
      </c>
      <c r="AA317" s="64" t="str">
        <f>Ringkasan!AA316</f>
        <v>Banks</v>
      </c>
      <c r="AB317" s="64" t="str">
        <f>Ringkasan!AB316</f>
        <v>Financials</v>
      </c>
    </row>
    <row r="318" hidden="1">
      <c r="A318" s="64" t="str">
        <f>Ringkasan!A317</f>
        <v>BEBS</v>
      </c>
      <c r="B318" s="64" t="str">
        <f>Ringkasan!B317</f>
        <v>Berkah Beton Sadaya Tbk.</v>
      </c>
      <c r="C318" s="65">
        <f>Ringkasan!C317</f>
        <v>5</v>
      </c>
      <c r="D318" s="64" t="str">
        <f>Ringkasan!D317</f>
        <v>#N/A</v>
      </c>
      <c r="E318" s="64" t="str">
        <f>Ringkasan!E317</f>
        <v/>
      </c>
      <c r="F318" s="64" t="str">
        <f>Ringkasan!F317</f>
        <v/>
      </c>
      <c r="G318" s="64">
        <f>Ringkasan!G317</f>
        <v>0</v>
      </c>
      <c r="H318" s="19">
        <f>Ringkasan!H317</f>
        <v>0</v>
      </c>
      <c r="I318" s="19">
        <f>Ringkasan!I317</f>
        <v>0.28</v>
      </c>
      <c r="J318" s="19">
        <f>Ringkasan!J317</f>
        <v>-4.6</v>
      </c>
      <c r="K318" s="19">
        <f>Ringkasan!K317</f>
        <v>-4.2</v>
      </c>
      <c r="L318" s="19">
        <f>Ringkasan!L317</f>
        <v>0.11</v>
      </c>
      <c r="M318" s="19">
        <f>Ringkasan!M317</f>
        <v>-71.4</v>
      </c>
      <c r="N318" s="64" t="str">
        <f>Ringkasan!N317</f>
        <v/>
      </c>
      <c r="O318" s="64" t="str">
        <f>Ringkasan!O317</f>
        <v/>
      </c>
      <c r="P318" s="64" t="str">
        <f>Ringkasan!P317</f>
        <v/>
      </c>
      <c r="Q318" s="64" t="str">
        <f>Ringkasan!Q317</f>
        <v/>
      </c>
      <c r="R318" s="64" t="str">
        <f>Ringkasan!R317</f>
        <v/>
      </c>
      <c r="S318" s="64" t="str">
        <f>Ringkasan!S317</f>
        <v/>
      </c>
      <c r="T318" s="64" t="str">
        <f>Ringkasan!T317</f>
        <v/>
      </c>
      <c r="U318" s="64">
        <f>Ringkasan!U317</f>
        <v>5</v>
      </c>
      <c r="V318" s="64">
        <f>Ringkasan!V317</f>
        <v>0</v>
      </c>
      <c r="W318" s="64" t="str">
        <f>Ringkasan!W317</f>
        <v/>
      </c>
      <c r="X318" s="64" t="str">
        <f>Ringkasan!X317</f>
        <v/>
      </c>
      <c r="Y318" s="64" t="str">
        <f>Ringkasan!Y317</f>
        <v/>
      </c>
      <c r="Z318" s="64">
        <f>Ringkasan!Z317</f>
        <v>0</v>
      </c>
      <c r="AA318" s="64" t="str">
        <f>Ringkasan!AA317</f>
        <v>Construction Materials</v>
      </c>
      <c r="AB318" s="64" t="str">
        <f>Ringkasan!AB317</f>
        <v>Basic Materials</v>
      </c>
    </row>
    <row r="319" hidden="1">
      <c r="A319" s="64" t="str">
        <f>Ringkasan!A318</f>
        <v>BEEF</v>
      </c>
      <c r="B319" s="64" t="str">
        <f>Ringkasan!B318</f>
        <v>Estika Tata Tiara Tbk.</v>
      </c>
      <c r="C319" s="65">
        <f>Ringkasan!C318</f>
        <v>156</v>
      </c>
      <c r="D319" s="64" t="str">
        <f>Ringkasan!D318</f>
        <v>#N/A</v>
      </c>
      <c r="E319" s="64" t="str">
        <f>Ringkasan!E318</f>
        <v/>
      </c>
      <c r="F319" s="64" t="str">
        <f>Ringkasan!F318</f>
        <v/>
      </c>
      <c r="G319" s="64">
        <f>Ringkasan!G318</f>
        <v>0</v>
      </c>
      <c r="H319" s="19">
        <f>Ringkasan!H318</f>
        <v>12.8</v>
      </c>
      <c r="I319" s="19">
        <f>Ringkasan!I318</f>
        <v>3.3</v>
      </c>
      <c r="J319" s="19">
        <f>Ringkasan!J318</f>
        <v>25.9</v>
      </c>
      <c r="K319" s="19">
        <f>Ringkasan!K318</f>
        <v>4.9</v>
      </c>
      <c r="L319" s="19">
        <f>Ringkasan!L318</f>
        <v>4.4</v>
      </c>
      <c r="M319" s="19">
        <f>Ringkasan!M318</f>
        <v>8.4</v>
      </c>
      <c r="N319" s="64" t="str">
        <f>Ringkasan!N318</f>
        <v/>
      </c>
      <c r="O319" s="64" t="str">
        <f>Ringkasan!O318</f>
        <v/>
      </c>
      <c r="P319" s="64" t="str">
        <f>Ringkasan!P318</f>
        <v/>
      </c>
      <c r="Q319" s="64" t="str">
        <f>Ringkasan!Q318</f>
        <v/>
      </c>
      <c r="R319" s="64" t="str">
        <f>Ringkasan!R318</f>
        <v/>
      </c>
      <c r="S319" s="64" t="str">
        <f>Ringkasan!S318</f>
        <v/>
      </c>
      <c r="T319" s="64" t="str">
        <f>Ringkasan!T318</f>
        <v/>
      </c>
      <c r="U319" s="64">
        <f>Ringkasan!U318</f>
        <v>152</v>
      </c>
      <c r="V319" s="64">
        <f>Ringkasan!V318</f>
        <v>2.63</v>
      </c>
      <c r="W319" s="64">
        <f>Ringkasan!W318</f>
        <v>153</v>
      </c>
      <c r="X319" s="64">
        <f>Ringkasan!X318</f>
        <v>160</v>
      </c>
      <c r="Y319" s="64">
        <f>Ringkasan!Y318</f>
        <v>152</v>
      </c>
      <c r="Z319" s="64">
        <f>Ringkasan!Z318</f>
        <v>7602300</v>
      </c>
      <c r="AA319" s="64" t="str">
        <f>Ringkasan!AA318</f>
        <v>Processed Foods</v>
      </c>
      <c r="AB319" s="64" t="str">
        <f>Ringkasan!AB318</f>
        <v>Consumer Non-Cyclicals</v>
      </c>
    </row>
    <row r="320" hidden="1">
      <c r="A320" s="64" t="str">
        <f>Ringkasan!A319</f>
        <v>BEER</v>
      </c>
      <c r="B320" s="64" t="str">
        <f>Ringkasan!B319</f>
        <v>PT Jobubu Jarum Minahasa Tbk</v>
      </c>
      <c r="C320" s="65">
        <f>Ringkasan!C319</f>
        <v>86</v>
      </c>
      <c r="D320" s="64" t="str">
        <f>Ringkasan!D319</f>
        <v>#N/A</v>
      </c>
      <c r="E320" s="64" t="str">
        <f>Ringkasan!E319</f>
        <v/>
      </c>
      <c r="F320" s="64" t="str">
        <f>Ringkasan!F319</f>
        <v/>
      </c>
      <c r="G320" s="64">
        <f>Ringkasan!G319</f>
        <v>0</v>
      </c>
      <c r="H320" s="19">
        <f>Ringkasan!H319</f>
        <v>410</v>
      </c>
      <c r="I320" s="19">
        <f>Ringkasan!I319</f>
        <v>1.4</v>
      </c>
      <c r="J320" s="19">
        <f>Ringkasan!J319</f>
        <v>0.35</v>
      </c>
      <c r="K320" s="19">
        <f>Ringkasan!K319</f>
        <v>0.32</v>
      </c>
      <c r="L320" s="19">
        <f>Ringkasan!L319</f>
        <v>0.08</v>
      </c>
      <c r="M320" s="19">
        <f>Ringkasan!M319</f>
        <v>11.4</v>
      </c>
      <c r="N320" s="64" t="str">
        <f>Ringkasan!N319</f>
        <v/>
      </c>
      <c r="O320" s="64" t="str">
        <f>Ringkasan!O319</f>
        <v/>
      </c>
      <c r="P320" s="64" t="str">
        <f>Ringkasan!P319</f>
        <v/>
      </c>
      <c r="Q320" s="64" t="str">
        <f>Ringkasan!Q319</f>
        <v/>
      </c>
      <c r="R320" s="64" t="str">
        <f>Ringkasan!R319</f>
        <v/>
      </c>
      <c r="S320" s="64" t="str">
        <f>Ringkasan!S319</f>
        <v/>
      </c>
      <c r="T320" s="64" t="str">
        <f>Ringkasan!T319</f>
        <v/>
      </c>
      <c r="U320" s="64">
        <f>Ringkasan!U319</f>
        <v>2.5</v>
      </c>
      <c r="V320" s="64">
        <f>Ringkasan!V319</f>
        <v>1.2</v>
      </c>
      <c r="W320" s="64">
        <f>Ringkasan!W319</f>
        <v>2.49</v>
      </c>
      <c r="X320" s="64">
        <f>Ringkasan!X319</f>
        <v>2.54</v>
      </c>
      <c r="Y320" s="64">
        <f>Ringkasan!Y319</f>
        <v>2.49</v>
      </c>
      <c r="Z320" s="64">
        <f>Ringkasan!Z319</f>
        <v>10433</v>
      </c>
      <c r="AA320" s="64" t="str">
        <f>Ringkasan!AA319</f>
        <v>Beverages</v>
      </c>
      <c r="AB320" s="64" t="str">
        <f>Ringkasan!AB319</f>
        <v>Consumer Non-Cyclicals</v>
      </c>
    </row>
    <row r="321" hidden="1">
      <c r="A321" s="64" t="str">
        <f>Ringkasan!A320</f>
        <v>BEKS</v>
      </c>
      <c r="B321" s="64" t="str">
        <f>Ringkasan!B320</f>
        <v>PT Bank Pembangunan Daerah Banten Tbk.</v>
      </c>
      <c r="C321" s="65">
        <f>Ringkasan!C320</f>
        <v>21</v>
      </c>
      <c r="D321" s="64" t="str">
        <f>Ringkasan!D320</f>
        <v>#N/A</v>
      </c>
      <c r="E321" s="64" t="str">
        <f>Ringkasan!E320</f>
        <v/>
      </c>
      <c r="F321" s="64" t="str">
        <f>Ringkasan!F320</f>
        <v/>
      </c>
      <c r="G321" s="64">
        <f>Ringkasan!G320</f>
        <v>0</v>
      </c>
      <c r="H321" s="19">
        <f>Ringkasan!H320</f>
        <v>21.4</v>
      </c>
      <c r="I321" s="19">
        <f>Ringkasan!I320</f>
        <v>0.6</v>
      </c>
      <c r="J321" s="19">
        <f>Ringkasan!J320</f>
        <v>2.8</v>
      </c>
      <c r="K321" s="19">
        <f>Ringkasan!K320</f>
        <v>0.53</v>
      </c>
      <c r="L321" s="19">
        <f>Ringkasan!L320</f>
        <v>4.3</v>
      </c>
      <c r="M321" s="19">
        <f>Ringkasan!M320</f>
        <v>27.3</v>
      </c>
      <c r="N321" s="64">
        <f>Ringkasan!N320</f>
        <v>3.7</v>
      </c>
      <c r="O321" s="64">
        <f>Ringkasan!O320</f>
        <v>19.3</v>
      </c>
      <c r="P321" s="64">
        <f>Ringkasan!P320</f>
        <v>87.4</v>
      </c>
      <c r="Q321" s="64">
        <f>Ringkasan!Q320</f>
        <v>1.4</v>
      </c>
      <c r="R321" s="64">
        <f>Ringkasan!R320</f>
        <v>87.9</v>
      </c>
      <c r="S321" s="64">
        <f>Ringkasan!S320</f>
        <v>56</v>
      </c>
      <c r="T321" s="64">
        <f>Ringkasan!T320</f>
        <v>6.3</v>
      </c>
      <c r="U321" s="64">
        <f>Ringkasan!U320</f>
        <v>21</v>
      </c>
      <c r="V321" s="64">
        <f>Ringkasan!V320</f>
        <v>0</v>
      </c>
      <c r="W321" s="64">
        <f>Ringkasan!W320</f>
        <v>21</v>
      </c>
      <c r="X321" s="64">
        <f>Ringkasan!X320</f>
        <v>22</v>
      </c>
      <c r="Y321" s="64">
        <f>Ringkasan!Y320</f>
        <v>21</v>
      </c>
      <c r="Z321" s="64">
        <f>Ringkasan!Z320</f>
        <v>21924700</v>
      </c>
      <c r="AA321" s="64" t="str">
        <f>Ringkasan!AA320</f>
        <v>Banks</v>
      </c>
      <c r="AB321" s="64" t="str">
        <f>Ringkasan!AB320</f>
        <v>Financials</v>
      </c>
    </row>
    <row r="322" hidden="1">
      <c r="A322" s="64" t="str">
        <f>Ringkasan!A321</f>
        <v>BELI</v>
      </c>
      <c r="B322" s="64" t="str">
        <f>Ringkasan!B321</f>
        <v>Global Digital Niaga Tbk.</v>
      </c>
      <c r="C322" s="65">
        <f>Ringkasan!C321</f>
        <v>292</v>
      </c>
      <c r="D322" s="64" t="str">
        <f>Ringkasan!D321</f>
        <v>#N/A</v>
      </c>
      <c r="E322" s="64" t="str">
        <f>Ringkasan!E321</f>
        <v/>
      </c>
      <c r="F322" s="64" t="str">
        <f>Ringkasan!F321</f>
        <v/>
      </c>
      <c r="G322" s="64">
        <f>Ringkasan!G321</f>
        <v>0</v>
      </c>
      <c r="H322" s="19">
        <f>Ringkasan!H321</f>
        <v>-23.9</v>
      </c>
      <c r="I322" s="19">
        <f>Ringkasan!I321</f>
        <v>5.1</v>
      </c>
      <c r="J322" s="19">
        <f>Ringkasan!J321</f>
        <v>-21.2</v>
      </c>
      <c r="K322" s="19">
        <f>Ringkasan!K321</f>
        <v>-10.4</v>
      </c>
      <c r="L322" s="19">
        <f>Ringkasan!L321</f>
        <v>1</v>
      </c>
      <c r="M322" s="19">
        <f>Ringkasan!M321</f>
        <v>-24.8</v>
      </c>
      <c r="N322" s="64" t="str">
        <f>Ringkasan!N321</f>
        <v/>
      </c>
      <c r="O322" s="64" t="str">
        <f>Ringkasan!O321</f>
        <v/>
      </c>
      <c r="P322" s="64" t="str">
        <f>Ringkasan!P321</f>
        <v/>
      </c>
      <c r="Q322" s="64" t="str">
        <f>Ringkasan!Q321</f>
        <v/>
      </c>
      <c r="R322" s="64" t="str">
        <f>Ringkasan!R321</f>
        <v/>
      </c>
      <c r="S322" s="64" t="str">
        <f>Ringkasan!S321</f>
        <v/>
      </c>
      <c r="T322" s="64" t="str">
        <f>Ringkasan!T321</f>
        <v/>
      </c>
      <c r="U322" s="64">
        <f>Ringkasan!U321</f>
        <v>296</v>
      </c>
      <c r="V322" s="64">
        <f>Ringkasan!V321</f>
        <v>-1.35</v>
      </c>
      <c r="W322" s="64">
        <f>Ringkasan!W321</f>
        <v>296</v>
      </c>
      <c r="X322" s="64">
        <f>Ringkasan!X321</f>
        <v>296</v>
      </c>
      <c r="Y322" s="64">
        <f>Ringkasan!Y321</f>
        <v>290</v>
      </c>
      <c r="Z322" s="64">
        <f>Ringkasan!Z321</f>
        <v>190900</v>
      </c>
      <c r="AA322" s="64" t="str">
        <f>Ringkasan!AA321</f>
        <v>Online Applications &amp; Services</v>
      </c>
      <c r="AB322" s="64" t="str">
        <f>Ringkasan!AB321</f>
        <v>Technology</v>
      </c>
    </row>
    <row r="323" hidden="1">
      <c r="A323" s="64" t="str">
        <f>Ringkasan!A322</f>
        <v>BELL</v>
      </c>
      <c r="B323" s="64" t="str">
        <f>Ringkasan!B322</f>
        <v>PT Trisula Textile Industries Tbk</v>
      </c>
      <c r="C323" s="65">
        <f>Ringkasan!C322</f>
        <v>95</v>
      </c>
      <c r="D323" s="64" t="str">
        <f>Ringkasan!D322</f>
        <v>#N/A</v>
      </c>
      <c r="E323" s="64" t="str">
        <f>Ringkasan!E322</f>
        <v/>
      </c>
      <c r="F323" s="64" t="str">
        <f>Ringkasan!F322</f>
        <v/>
      </c>
      <c r="G323" s="64">
        <f>Ringkasan!G322</f>
        <v>0</v>
      </c>
      <c r="H323" s="19">
        <f>Ringkasan!H322</f>
        <v>120</v>
      </c>
      <c r="I323" s="19">
        <f>Ringkasan!I322</f>
        <v>2.7</v>
      </c>
      <c r="J323" s="19">
        <f>Ringkasan!J322</f>
        <v>2.4</v>
      </c>
      <c r="K323" s="19">
        <f>Ringkasan!K322</f>
        <v>1.1</v>
      </c>
      <c r="L323" s="19">
        <f>Ringkasan!L322</f>
        <v>1.2</v>
      </c>
      <c r="M323" s="19">
        <f>Ringkasan!M322</f>
        <v>4.4</v>
      </c>
      <c r="N323" s="64" t="str">
        <f>Ringkasan!N322</f>
        <v/>
      </c>
      <c r="O323" s="64" t="str">
        <f>Ringkasan!O322</f>
        <v/>
      </c>
      <c r="P323" s="64" t="str">
        <f>Ringkasan!P322</f>
        <v/>
      </c>
      <c r="Q323" s="64" t="str">
        <f>Ringkasan!Q322</f>
        <v/>
      </c>
      <c r="R323" s="64" t="str">
        <f>Ringkasan!R322</f>
        <v/>
      </c>
      <c r="S323" s="64" t="str">
        <f>Ringkasan!S322</f>
        <v/>
      </c>
      <c r="T323" s="64" t="str">
        <f>Ringkasan!T322</f>
        <v/>
      </c>
      <c r="U323" s="64">
        <f>Ringkasan!U322</f>
        <v>3.12</v>
      </c>
      <c r="V323" s="64">
        <f>Ringkasan!V322</f>
        <v>0.64</v>
      </c>
      <c r="W323" s="64">
        <f>Ringkasan!W322</f>
        <v>3.06</v>
      </c>
      <c r="X323" s="64">
        <f>Ringkasan!X322</f>
        <v>3.14</v>
      </c>
      <c r="Y323" s="64">
        <f>Ringkasan!Y322</f>
        <v>3.04</v>
      </c>
      <c r="Z323" s="64">
        <f>Ringkasan!Z322</f>
        <v>3500</v>
      </c>
      <c r="AA323" s="64" t="str">
        <f>Ringkasan!AA322</f>
        <v>Apparel &amp; Luxury Goods</v>
      </c>
      <c r="AB323" s="64" t="str">
        <f>Ringkasan!AB322</f>
        <v>Consumer Cyclicals</v>
      </c>
    </row>
    <row r="324" hidden="1">
      <c r="A324" s="64" t="str">
        <f>Ringkasan!A323</f>
        <v>BESS</v>
      </c>
      <c r="B324" s="64" t="str">
        <f>Ringkasan!B323</f>
        <v>Batulicin Nusantara Maritim Tbk.</v>
      </c>
      <c r="C324" s="65">
        <f>Ringkasan!C323</f>
        <v>945</v>
      </c>
      <c r="D324" s="64" t="str">
        <f>Ringkasan!D323</f>
        <v>#N/A</v>
      </c>
      <c r="E324" s="64" t="str">
        <f>Ringkasan!E323</f>
        <v/>
      </c>
      <c r="F324" s="64" t="str">
        <f>Ringkasan!F323</f>
        <v/>
      </c>
      <c r="G324" s="64">
        <f>Ringkasan!G323</f>
        <v>0</v>
      </c>
      <c r="H324" s="19">
        <f>Ringkasan!H323</f>
        <v>120</v>
      </c>
      <c r="I324" s="19">
        <f>Ringkasan!I323</f>
        <v>5.2</v>
      </c>
      <c r="J324" s="19">
        <f>Ringkasan!J323</f>
        <v>4.3</v>
      </c>
      <c r="K324" s="19">
        <f>Ringkasan!K323</f>
        <v>3.9</v>
      </c>
      <c r="L324" s="19">
        <f>Ringkasan!L323</f>
        <v>0.09</v>
      </c>
      <c r="M324" s="19">
        <f>Ringkasan!M323</f>
        <v>51.8</v>
      </c>
      <c r="N324" s="64" t="str">
        <f>Ringkasan!N323</f>
        <v/>
      </c>
      <c r="O324" s="64" t="str">
        <f>Ringkasan!O323</f>
        <v/>
      </c>
      <c r="P324" s="64" t="str">
        <f>Ringkasan!P323</f>
        <v/>
      </c>
      <c r="Q324" s="64" t="str">
        <f>Ringkasan!Q323</f>
        <v/>
      </c>
      <c r="R324" s="64" t="str">
        <f>Ringkasan!R323</f>
        <v/>
      </c>
      <c r="S324" s="64" t="str">
        <f>Ringkasan!S323</f>
        <v/>
      </c>
      <c r="T324" s="64" t="str">
        <f>Ringkasan!T323</f>
        <v/>
      </c>
      <c r="U324" s="64">
        <f>Ringkasan!U323</f>
        <v>3.95</v>
      </c>
      <c r="V324" s="64">
        <f>Ringkasan!V323</f>
        <v>-7.09</v>
      </c>
      <c r="W324" s="64">
        <f>Ringkasan!W323</f>
        <v>3.92</v>
      </c>
      <c r="X324" s="64">
        <f>Ringkasan!X323</f>
        <v>4.05</v>
      </c>
      <c r="Y324" s="64">
        <f>Ringkasan!Y323</f>
        <v>3.65</v>
      </c>
      <c r="Z324" s="64">
        <f>Ringkasan!Z323</f>
        <v>149242</v>
      </c>
      <c r="AA324" s="64" t="str">
        <f>Ringkasan!AA323</f>
        <v>Coal</v>
      </c>
      <c r="AB324" s="64" t="str">
        <f>Ringkasan!AB323</f>
        <v>Energy</v>
      </c>
    </row>
    <row r="325" hidden="1">
      <c r="A325" s="64" t="str">
        <f>Ringkasan!A324</f>
        <v>BEST</v>
      </c>
      <c r="B325" s="64" t="str">
        <f>Ringkasan!B324</f>
        <v>Bekasi Fajar Industrial Estate Tbk.</v>
      </c>
      <c r="C325" s="65">
        <f>Ringkasan!C324</f>
        <v>97</v>
      </c>
      <c r="D325" s="64" t="str">
        <f>Ringkasan!D324</f>
        <v>#N/A</v>
      </c>
      <c r="E325" s="64" t="str">
        <f>Ringkasan!E324</f>
        <v/>
      </c>
      <c r="F325" s="64" t="str">
        <f>Ringkasan!F324</f>
        <v/>
      </c>
      <c r="G325" s="64">
        <f>Ringkasan!G324</f>
        <v>0</v>
      </c>
      <c r="H325" s="19">
        <f>Ringkasan!H324</f>
        <v>13.4</v>
      </c>
      <c r="I325" s="19">
        <f>Ringkasan!I324</f>
        <v>0.22</v>
      </c>
      <c r="J325" s="19">
        <f>Ringkasan!J324</f>
        <v>1.6</v>
      </c>
      <c r="K325" s="19">
        <f>Ringkasan!K324</f>
        <v>1.3</v>
      </c>
      <c r="L325" s="19">
        <f>Ringkasan!L324</f>
        <v>0.3</v>
      </c>
      <c r="M325" s="19">
        <f>Ringkasan!M324</f>
        <v>81</v>
      </c>
      <c r="N325" s="64" t="str">
        <f>Ringkasan!N324</f>
        <v/>
      </c>
      <c r="O325" s="64" t="str">
        <f>Ringkasan!O324</f>
        <v/>
      </c>
      <c r="P325" s="64" t="str">
        <f>Ringkasan!P324</f>
        <v/>
      </c>
      <c r="Q325" s="64" t="str">
        <f>Ringkasan!Q324</f>
        <v/>
      </c>
      <c r="R325" s="64" t="str">
        <f>Ringkasan!R324</f>
        <v/>
      </c>
      <c r="S325" s="64" t="str">
        <f>Ringkasan!S324</f>
        <v/>
      </c>
      <c r="T325" s="64" t="str">
        <f>Ringkasan!T324</f>
        <v/>
      </c>
      <c r="U325" s="64">
        <f>Ringkasan!U324</f>
        <v>12.43</v>
      </c>
      <c r="V325" s="64">
        <f>Ringkasan!V324</f>
        <v>-1.61</v>
      </c>
      <c r="W325" s="64">
        <f>Ringkasan!W324</f>
        <v>12.43</v>
      </c>
      <c r="X325" s="64">
        <f>Ringkasan!X324</f>
        <v>12.43</v>
      </c>
      <c r="Y325" s="64">
        <f>Ringkasan!Y324</f>
        <v>12.23</v>
      </c>
      <c r="Z325" s="64" t="str">
        <f>Ringkasan!Z324</f>
        <v/>
      </c>
      <c r="AA325" s="64" t="str">
        <f>Ringkasan!AA324</f>
        <v>Real Estate Management &amp; Development</v>
      </c>
      <c r="AB325" s="64" t="str">
        <f>Ringkasan!AB324</f>
        <v>Properties &amp; Real Estate</v>
      </c>
    </row>
    <row r="326" hidden="1">
      <c r="A326" s="64" t="str">
        <f>Ringkasan!A325</f>
        <v>BFIN</v>
      </c>
      <c r="B326" s="64" t="str">
        <f>Ringkasan!B325</f>
        <v>BFI Finance Indonesia Tbk.</v>
      </c>
      <c r="C326" s="65">
        <f>Ringkasan!C325</f>
        <v>670</v>
      </c>
      <c r="D326" s="64" t="str">
        <f>Ringkasan!D325</f>
        <v>#N/A</v>
      </c>
      <c r="E326" s="64" t="str">
        <f>Ringkasan!E325</f>
        <v>IDXSMC-LIQ</v>
      </c>
      <c r="F326" s="64" t="str">
        <f>Ringkasan!F325</f>
        <v>4 Agustus 2026</v>
      </c>
      <c r="G326" s="64">
        <f>Ringkasan!G325</f>
        <v>2</v>
      </c>
      <c r="H326" s="19">
        <f>Ringkasan!H325</f>
        <v>6.8</v>
      </c>
      <c r="I326" s="19">
        <f>Ringkasan!I325</f>
        <v>0.95</v>
      </c>
      <c r="J326" s="19">
        <f>Ringkasan!J325</f>
        <v>14</v>
      </c>
      <c r="K326" s="19">
        <f>Ringkasan!K325</f>
        <v>6.1</v>
      </c>
      <c r="L326" s="19">
        <f>Ringkasan!L325</f>
        <v>1.3</v>
      </c>
      <c r="M326" s="19">
        <f>Ringkasan!M325</f>
        <v>110</v>
      </c>
      <c r="N326" s="64" t="str">
        <f>Ringkasan!N325</f>
        <v/>
      </c>
      <c r="O326" s="64" t="str">
        <f>Ringkasan!O325</f>
        <v/>
      </c>
      <c r="P326" s="64" t="str">
        <f>Ringkasan!P325</f>
        <v/>
      </c>
      <c r="Q326" s="64" t="str">
        <f>Ringkasan!Q325</f>
        <v/>
      </c>
      <c r="R326" s="64" t="str">
        <f>Ringkasan!R325</f>
        <v/>
      </c>
      <c r="S326" s="64" t="str">
        <f>Ringkasan!S325</f>
        <v/>
      </c>
      <c r="T326" s="64" t="str">
        <f>Ringkasan!T325</f>
        <v/>
      </c>
      <c r="U326" s="64">
        <f>Ringkasan!U325</f>
        <v>28.3</v>
      </c>
      <c r="V326" s="64">
        <f>Ringkasan!V325</f>
        <v>1.31</v>
      </c>
      <c r="W326" s="64">
        <f>Ringkasan!W325</f>
        <v>28.67</v>
      </c>
      <c r="X326" s="64">
        <f>Ringkasan!X325</f>
        <v>28.67</v>
      </c>
      <c r="Y326" s="64">
        <f>Ringkasan!Y325</f>
        <v>28.67</v>
      </c>
      <c r="Z326" s="64">
        <f>Ringkasan!Z325</f>
        <v>300</v>
      </c>
      <c r="AA326" s="64" t="str">
        <f>Ringkasan!AA325</f>
        <v>Consumer Financing</v>
      </c>
      <c r="AB326" s="64" t="str">
        <f>Ringkasan!AB325</f>
        <v>Financials</v>
      </c>
    </row>
    <row r="327" hidden="1">
      <c r="A327" s="64" t="str">
        <f>Ringkasan!A326</f>
        <v>BFIN</v>
      </c>
      <c r="B327" s="64" t="str">
        <f>Ringkasan!B326</f>
        <v>BFI Finance Indonesia Tbk.</v>
      </c>
      <c r="C327" s="65">
        <f>Ringkasan!C326</f>
        <v>670</v>
      </c>
      <c r="D327" s="64" t="str">
        <f>Ringkasan!D326</f>
        <v>#N/A</v>
      </c>
      <c r="E327" s="64" t="str">
        <f>Ringkasan!E326</f>
        <v>MSCI Small Cap</v>
      </c>
      <c r="F327" s="64" t="str">
        <f>Ringkasan!F326</f>
        <v>12 Agustus 2026</v>
      </c>
      <c r="G327" s="64">
        <f>Ringkasan!G326</f>
        <v>2</v>
      </c>
      <c r="H327" s="19">
        <f>Ringkasan!H326</f>
        <v>6.8</v>
      </c>
      <c r="I327" s="19">
        <f>Ringkasan!I326</f>
        <v>0.95</v>
      </c>
      <c r="J327" s="19">
        <f>Ringkasan!J326</f>
        <v>14</v>
      </c>
      <c r="K327" s="19">
        <f>Ringkasan!K326</f>
        <v>6.1</v>
      </c>
      <c r="L327" s="19">
        <f>Ringkasan!L326</f>
        <v>1.3</v>
      </c>
      <c r="M327" s="19">
        <f>Ringkasan!M326</f>
        <v>110</v>
      </c>
      <c r="N327" s="64" t="str">
        <f>Ringkasan!N326</f>
        <v/>
      </c>
      <c r="O327" s="64" t="str">
        <f>Ringkasan!O326</f>
        <v/>
      </c>
      <c r="P327" s="64" t="str">
        <f>Ringkasan!P326</f>
        <v/>
      </c>
      <c r="Q327" s="64" t="str">
        <f>Ringkasan!Q326</f>
        <v/>
      </c>
      <c r="R327" s="64" t="str">
        <f>Ringkasan!R326</f>
        <v/>
      </c>
      <c r="S327" s="64" t="str">
        <f>Ringkasan!S326</f>
        <v/>
      </c>
      <c r="T327" s="64" t="str">
        <f>Ringkasan!T326</f>
        <v/>
      </c>
      <c r="U327" s="64">
        <f>Ringkasan!U326</f>
        <v>28.3</v>
      </c>
      <c r="V327" s="64">
        <f>Ringkasan!V326</f>
        <v>1.31</v>
      </c>
      <c r="W327" s="64">
        <f>Ringkasan!W326</f>
        <v>28.67</v>
      </c>
      <c r="X327" s="64">
        <f>Ringkasan!X326</f>
        <v>28.67</v>
      </c>
      <c r="Y327" s="64">
        <f>Ringkasan!Y326</f>
        <v>28.67</v>
      </c>
      <c r="Z327" s="64">
        <f>Ringkasan!Z326</f>
        <v>300</v>
      </c>
      <c r="AA327" s="64" t="str">
        <f>Ringkasan!AA326</f>
        <v>Consumer Financing</v>
      </c>
      <c r="AB327" s="64" t="str">
        <f>Ringkasan!AB326</f>
        <v>Financials</v>
      </c>
    </row>
    <row r="328" hidden="1">
      <c r="A328" s="64" t="str">
        <f>Ringkasan!A327</f>
        <v>BGTG</v>
      </c>
      <c r="B328" s="64" t="str">
        <f>Ringkasan!B327</f>
        <v>PT Bank Ganesha Tbk.</v>
      </c>
      <c r="C328" s="65">
        <f>Ringkasan!C327</f>
        <v>104</v>
      </c>
      <c r="D328" s="64" t="str">
        <f>Ringkasan!D327</f>
        <v>#N/A</v>
      </c>
      <c r="E328" s="64" t="str">
        <f>Ringkasan!E327</f>
        <v/>
      </c>
      <c r="F328" s="64" t="str">
        <f>Ringkasan!F327</f>
        <v/>
      </c>
      <c r="G328" s="64">
        <f>Ringkasan!G327</f>
        <v>0</v>
      </c>
      <c r="H328" s="19">
        <f>Ringkasan!H327</f>
        <v>12</v>
      </c>
      <c r="I328" s="19">
        <f>Ringkasan!I327</f>
        <v>0.75</v>
      </c>
      <c r="J328" s="19">
        <f>Ringkasan!J327</f>
        <v>6.2</v>
      </c>
      <c r="K328" s="19">
        <f>Ringkasan!K327</f>
        <v>2.2</v>
      </c>
      <c r="L328" s="19">
        <f>Ringkasan!L327</f>
        <v>1.8</v>
      </c>
      <c r="M328" s="19">
        <f>Ringkasan!M327</f>
        <v>130</v>
      </c>
      <c r="N328" s="64">
        <f>Ringkasan!N327</f>
        <v>3.55</v>
      </c>
      <c r="O328" s="64">
        <f>Ringkasan!O327</f>
        <v>77.52</v>
      </c>
      <c r="P328" s="64">
        <f>Ringkasan!P327</f>
        <v>78.73</v>
      </c>
      <c r="Q328" s="64">
        <f>Ringkasan!Q327</f>
        <v>1.4</v>
      </c>
      <c r="R328" s="64">
        <f>Ringkasan!R327</f>
        <v>89.2</v>
      </c>
      <c r="S328" s="64">
        <f>Ringkasan!S327</f>
        <v>72.15</v>
      </c>
      <c r="T328" s="64">
        <f>Ringkasan!T327</f>
        <v>8.11</v>
      </c>
      <c r="U328" s="64">
        <f>Ringkasan!U327</f>
        <v>101</v>
      </c>
      <c r="V328" s="64">
        <f>Ringkasan!V327</f>
        <v>2.97</v>
      </c>
      <c r="W328" s="64">
        <f>Ringkasan!W327</f>
        <v>102</v>
      </c>
      <c r="X328" s="64">
        <f>Ringkasan!X327</f>
        <v>105</v>
      </c>
      <c r="Y328" s="64">
        <f>Ringkasan!Y327</f>
        <v>101</v>
      </c>
      <c r="Z328" s="64">
        <f>Ringkasan!Z327</f>
        <v>3848600</v>
      </c>
      <c r="AA328" s="64" t="str">
        <f>Ringkasan!AA327</f>
        <v>Banks</v>
      </c>
      <c r="AB328" s="64" t="str">
        <f>Ringkasan!AB327</f>
        <v>Financials</v>
      </c>
    </row>
    <row r="329" hidden="1">
      <c r="A329" s="64" t="str">
        <f>Ringkasan!A328</f>
        <v>BHAT</v>
      </c>
      <c r="B329" s="64" t="str">
        <f>Ringkasan!B328</f>
        <v>Bhakti Multi Artha Tbk.</v>
      </c>
      <c r="C329" s="65">
        <f>Ringkasan!C328</f>
        <v>1040</v>
      </c>
      <c r="D329" s="64" t="str">
        <f>Ringkasan!D328</f>
        <v>#N/A</v>
      </c>
      <c r="E329" s="64" t="str">
        <f>Ringkasan!E328</f>
        <v/>
      </c>
      <c r="F329" s="64" t="str">
        <f>Ringkasan!F328</f>
        <v/>
      </c>
      <c r="G329" s="64">
        <f>Ringkasan!G328</f>
        <v>0</v>
      </c>
      <c r="H329" s="19">
        <f>Ringkasan!H328</f>
        <v>-14000</v>
      </c>
      <c r="I329" s="19">
        <f>Ringkasan!I328</f>
        <v>8.1</v>
      </c>
      <c r="J329" s="19">
        <f>Ringkasan!J328</f>
        <v>-0.06</v>
      </c>
      <c r="K329" s="19">
        <f>Ringkasan!K328</f>
        <v>-0.03</v>
      </c>
      <c r="L329" s="19">
        <f>Ringkasan!L328</f>
        <v>1</v>
      </c>
      <c r="M329" s="19">
        <f>Ringkasan!M328</f>
        <v>-0.32</v>
      </c>
      <c r="N329" s="64" t="str">
        <f>Ringkasan!N328</f>
        <v/>
      </c>
      <c r="O329" s="64" t="str">
        <f>Ringkasan!O328</f>
        <v/>
      </c>
      <c r="P329" s="64" t="str">
        <f>Ringkasan!P328</f>
        <v/>
      </c>
      <c r="Q329" s="64" t="str">
        <f>Ringkasan!Q328</f>
        <v/>
      </c>
      <c r="R329" s="64" t="str">
        <f>Ringkasan!R328</f>
        <v/>
      </c>
      <c r="S329" s="64" t="str">
        <f>Ringkasan!S328</f>
        <v/>
      </c>
      <c r="T329" s="64" t="str">
        <f>Ringkasan!T328</f>
        <v/>
      </c>
      <c r="U329" s="64">
        <f>Ringkasan!U328</f>
        <v>1040</v>
      </c>
      <c r="V329" s="64">
        <f>Ringkasan!V328</f>
        <v>0</v>
      </c>
      <c r="W329" s="64">
        <f>Ringkasan!W328</f>
        <v>1040</v>
      </c>
      <c r="X329" s="64">
        <f>Ringkasan!X328</f>
        <v>1050</v>
      </c>
      <c r="Y329" s="64">
        <f>Ringkasan!Y328</f>
        <v>1040</v>
      </c>
      <c r="Z329" s="64">
        <f>Ringkasan!Z328</f>
        <v>1400</v>
      </c>
      <c r="AA329" s="64" t="str">
        <f>Ringkasan!AA328</f>
        <v>Insurance</v>
      </c>
      <c r="AB329" s="64" t="str">
        <f>Ringkasan!AB328</f>
        <v>Financials</v>
      </c>
    </row>
    <row r="330" hidden="1">
      <c r="A330" s="64" t="str">
        <f>Ringkasan!A698</f>
        <v>ESSA</v>
      </c>
      <c r="B330" s="64" t="str">
        <f>Ringkasan!B698</f>
        <v>ESSA Industries Indonesia Tbk.</v>
      </c>
      <c r="C330" s="65">
        <f>Ringkasan!C698</f>
        <v>600</v>
      </c>
      <c r="D330" s="64" t="str">
        <f>Ringkasan!D698</f>
        <v>#N/A</v>
      </c>
      <c r="E330" s="64" t="str">
        <f>Ringkasan!E698</f>
        <v>IDXG30</v>
      </c>
      <c r="F330" s="64" t="str">
        <f>Ringkasan!F698</f>
        <v>4 Agustus 2026</v>
      </c>
      <c r="G330" s="64">
        <f>Ringkasan!G698</f>
        <v>10</v>
      </c>
      <c r="H330" s="19">
        <f>Ringkasan!H698</f>
        <v>13.4</v>
      </c>
      <c r="I330" s="19">
        <f>Ringkasan!I698</f>
        <v>1.1</v>
      </c>
      <c r="J330" s="19">
        <f>Ringkasan!J698</f>
        <v>8.3</v>
      </c>
      <c r="K330" s="19">
        <f>Ringkasan!K698</f>
        <v>7.4</v>
      </c>
      <c r="L330" s="19">
        <f>Ringkasan!L698</f>
        <v>0.12</v>
      </c>
      <c r="M330" s="19">
        <f>Ringkasan!M698</f>
        <v>53.2</v>
      </c>
      <c r="N330" s="64" t="str">
        <f>Ringkasan!N698</f>
        <v/>
      </c>
      <c r="O330" s="64" t="str">
        <f>Ringkasan!O698</f>
        <v/>
      </c>
      <c r="P330" s="64" t="str">
        <f>Ringkasan!P698</f>
        <v/>
      </c>
      <c r="Q330" s="64" t="str">
        <f>Ringkasan!Q698</f>
        <v/>
      </c>
      <c r="R330" s="64" t="str">
        <f>Ringkasan!R698</f>
        <v/>
      </c>
      <c r="S330" s="64" t="str">
        <f>Ringkasan!S698</f>
        <v/>
      </c>
      <c r="T330" s="64" t="str">
        <f>Ringkasan!T698</f>
        <v/>
      </c>
      <c r="U330" s="64">
        <f>Ringkasan!U698</f>
        <v>605</v>
      </c>
      <c r="V330" s="64">
        <f>Ringkasan!V698</f>
        <v>-0.83</v>
      </c>
      <c r="W330" s="64">
        <f>Ringkasan!W698</f>
        <v>605</v>
      </c>
      <c r="X330" s="64">
        <f>Ringkasan!X698</f>
        <v>625</v>
      </c>
      <c r="Y330" s="64">
        <f>Ringkasan!Y698</f>
        <v>585</v>
      </c>
      <c r="Z330" s="64" t="str">
        <f>Ringkasan!Z698</f>
        <v/>
      </c>
      <c r="AA330" s="64" t="str">
        <f>Ringkasan!AA698</f>
        <v>Chemicals</v>
      </c>
      <c r="AB330" s="64" t="str">
        <f>Ringkasan!AB698</f>
        <v>Basic Materials</v>
      </c>
    </row>
    <row r="331" hidden="1">
      <c r="A331" s="64" t="str">
        <f>Ringkasan!A330</f>
        <v>BIKA</v>
      </c>
      <c r="B331" s="64" t="str">
        <f>Ringkasan!B330</f>
        <v>Binakarya Jaya Abadi Tbk.</v>
      </c>
      <c r="C331" s="65">
        <f>Ringkasan!C330</f>
        <v>55</v>
      </c>
      <c r="D331" s="64" t="str">
        <f>Ringkasan!D330</f>
        <v>#N/A</v>
      </c>
      <c r="E331" s="64" t="str">
        <f>Ringkasan!E330</f>
        <v/>
      </c>
      <c r="F331" s="64" t="str">
        <f>Ringkasan!F330</f>
        <v/>
      </c>
      <c r="G331" s="64">
        <f>Ringkasan!G330</f>
        <v>0</v>
      </c>
      <c r="H331" s="19">
        <f>Ringkasan!H330</f>
        <v>0</v>
      </c>
      <c r="I331" s="19">
        <f>Ringkasan!I330</f>
        <v>-0.07</v>
      </c>
      <c r="J331" s="19">
        <f>Ringkasan!J330</f>
        <v>0</v>
      </c>
      <c r="K331" s="19">
        <f>Ringkasan!K330</f>
        <v>-1.7</v>
      </c>
      <c r="L331" s="19">
        <f>Ringkasan!L330</f>
        <v>-7.7</v>
      </c>
      <c r="M331" s="19">
        <f>Ringkasan!M330</f>
        <v>-54.4</v>
      </c>
      <c r="N331" s="64" t="str">
        <f>Ringkasan!N330</f>
        <v/>
      </c>
      <c r="O331" s="64" t="str">
        <f>Ringkasan!O330</f>
        <v/>
      </c>
      <c r="P331" s="64" t="str">
        <f>Ringkasan!P330</f>
        <v/>
      </c>
      <c r="Q331" s="64" t="str">
        <f>Ringkasan!Q330</f>
        <v/>
      </c>
      <c r="R331" s="64" t="str">
        <f>Ringkasan!R330</f>
        <v/>
      </c>
      <c r="S331" s="64" t="str">
        <f>Ringkasan!S330</f>
        <v/>
      </c>
      <c r="T331" s="64" t="str">
        <f>Ringkasan!T330</f>
        <v/>
      </c>
      <c r="U331" s="64">
        <f>Ringkasan!U330</f>
        <v>55</v>
      </c>
      <c r="V331" s="64">
        <f>Ringkasan!V330</f>
        <v>0</v>
      </c>
      <c r="W331" s="64" t="str">
        <f>Ringkasan!W330</f>
        <v/>
      </c>
      <c r="X331" s="64" t="str">
        <f>Ringkasan!X330</f>
        <v/>
      </c>
      <c r="Y331" s="64" t="str">
        <f>Ringkasan!Y330</f>
        <v/>
      </c>
      <c r="Z331" s="64">
        <f>Ringkasan!Z330</f>
        <v>0</v>
      </c>
      <c r="AA331" s="64" t="str">
        <f>Ringkasan!AA330</f>
        <v>Real Estate Management &amp; Development</v>
      </c>
      <c r="AB331" s="64" t="str">
        <f>Ringkasan!AB330</f>
        <v>Properties &amp; Real Estate</v>
      </c>
    </row>
    <row r="332" hidden="1">
      <c r="A332" s="64" t="str">
        <f>Ringkasan!A331</f>
        <v>BIKE</v>
      </c>
      <c r="B332" s="64" t="str">
        <f>Ringkasan!B331</f>
        <v>Sepeda Bersama Indonesia Tbk.</v>
      </c>
      <c r="C332" s="65">
        <f>Ringkasan!C331</f>
        <v>510</v>
      </c>
      <c r="D332" s="64" t="str">
        <f>Ringkasan!D331</f>
        <v>#N/A</v>
      </c>
      <c r="E332" s="64" t="str">
        <f>Ringkasan!E331</f>
        <v/>
      </c>
      <c r="F332" s="64" t="str">
        <f>Ringkasan!F331</f>
        <v/>
      </c>
      <c r="G332" s="64">
        <f>Ringkasan!G331</f>
        <v>0</v>
      </c>
      <c r="H332" s="19">
        <f>Ringkasan!H331</f>
        <v>-27</v>
      </c>
      <c r="I332" s="19">
        <f>Ringkasan!I331</f>
        <v>7.8</v>
      </c>
      <c r="J332" s="19">
        <f>Ringkasan!J331</f>
        <v>-28.9</v>
      </c>
      <c r="K332" s="19">
        <f>Ringkasan!K331</f>
        <v>-8</v>
      </c>
      <c r="L332" s="19">
        <f>Ringkasan!L331</f>
        <v>2.6</v>
      </c>
      <c r="M332" s="19">
        <f>Ringkasan!M331</f>
        <v>-7</v>
      </c>
      <c r="N332" s="64" t="str">
        <f>Ringkasan!N331</f>
        <v/>
      </c>
      <c r="O332" s="64" t="str">
        <f>Ringkasan!O331</f>
        <v/>
      </c>
      <c r="P332" s="64" t="str">
        <f>Ringkasan!P331</f>
        <v/>
      </c>
      <c r="Q332" s="64" t="str">
        <f>Ringkasan!Q331</f>
        <v/>
      </c>
      <c r="R332" s="64" t="str">
        <f>Ringkasan!R331</f>
        <v/>
      </c>
      <c r="S332" s="64" t="str">
        <f>Ringkasan!S331</f>
        <v/>
      </c>
      <c r="T332" s="64" t="str">
        <f>Ringkasan!T331</f>
        <v/>
      </c>
      <c r="U332" s="64">
        <f>Ringkasan!U331</f>
        <v>2.89</v>
      </c>
      <c r="V332" s="64">
        <f>Ringkasan!V331</f>
        <v>-2.08</v>
      </c>
      <c r="W332" s="64">
        <f>Ringkasan!W331</f>
        <v>2.84</v>
      </c>
      <c r="X332" s="64" t="str">
        <f>Ringkasan!X331</f>
        <v/>
      </c>
      <c r="Y332" s="64">
        <f>Ringkasan!Y331</f>
        <v>2.83</v>
      </c>
      <c r="Z332" s="64">
        <f>Ringkasan!Z331</f>
        <v>0</v>
      </c>
      <c r="AA332" s="64" t="str">
        <f>Ringkasan!AA331</f>
        <v>Sport Equipment &amp; Hobbies Goods</v>
      </c>
      <c r="AB332" s="64" t="str">
        <f>Ringkasan!AB331</f>
        <v>Consumer Cyclicals</v>
      </c>
    </row>
    <row r="333" hidden="1">
      <c r="A333" s="64" t="str">
        <f>Ringkasan!A332</f>
        <v>BIMA</v>
      </c>
      <c r="B333" s="64" t="str">
        <f>Ringkasan!B332</f>
        <v>Primarindo Asia Infrastructure Tbk.</v>
      </c>
      <c r="C333" s="65">
        <f>Ringkasan!C332</f>
        <v>82</v>
      </c>
      <c r="D333" s="64" t="str">
        <f>Ringkasan!D332</f>
        <v>#N/A</v>
      </c>
      <c r="E333" s="64" t="str">
        <f>Ringkasan!E332</f>
        <v/>
      </c>
      <c r="F333" s="64" t="str">
        <f>Ringkasan!F332</f>
        <v/>
      </c>
      <c r="G333" s="64">
        <f>Ringkasan!G332</f>
        <v>0</v>
      </c>
      <c r="H333" s="19">
        <f>Ringkasan!H332</f>
        <v>-2.2</v>
      </c>
      <c r="I333" s="19">
        <f>Ringkasan!I332</f>
        <v>1.6</v>
      </c>
      <c r="J333" s="19">
        <f>Ringkasan!J332</f>
        <v>-71.2</v>
      </c>
      <c r="K333" s="19">
        <f>Ringkasan!K332</f>
        <v>-7.6</v>
      </c>
      <c r="L333" s="19">
        <f>Ringkasan!L332</f>
        <v>8.4</v>
      </c>
      <c r="M333" s="19">
        <f>Ringkasan!M332</f>
        <v>-160</v>
      </c>
      <c r="N333" s="64" t="str">
        <f>Ringkasan!N332</f>
        <v/>
      </c>
      <c r="O333" s="64" t="str">
        <f>Ringkasan!O332</f>
        <v/>
      </c>
      <c r="P333" s="64" t="str">
        <f>Ringkasan!P332</f>
        <v/>
      </c>
      <c r="Q333" s="64" t="str">
        <f>Ringkasan!Q332</f>
        <v/>
      </c>
      <c r="R333" s="64" t="str">
        <f>Ringkasan!R332</f>
        <v/>
      </c>
      <c r="S333" s="64" t="str">
        <f>Ringkasan!S332</f>
        <v/>
      </c>
      <c r="T333" s="64" t="str">
        <f>Ringkasan!T332</f>
        <v/>
      </c>
      <c r="U333" s="64">
        <f>Ringkasan!U332</f>
        <v>82</v>
      </c>
      <c r="V333" s="64">
        <f>Ringkasan!V332</f>
        <v>0</v>
      </c>
      <c r="W333" s="64" t="str">
        <f>Ringkasan!W332</f>
        <v/>
      </c>
      <c r="X333" s="64" t="str">
        <f>Ringkasan!X332</f>
        <v/>
      </c>
      <c r="Y333" s="64" t="str">
        <f>Ringkasan!Y332</f>
        <v/>
      </c>
      <c r="Z333" s="64">
        <f>Ringkasan!Z332</f>
        <v>0</v>
      </c>
      <c r="AA333" s="64" t="str">
        <f>Ringkasan!AA332</f>
        <v>Apparel &amp; Luxury Goods</v>
      </c>
      <c r="AB333" s="64" t="str">
        <f>Ringkasan!AB332</f>
        <v>Consumer Cyclicals</v>
      </c>
    </row>
    <row r="334" hidden="1">
      <c r="A334" s="64" t="str">
        <f>Ringkasan!A333</f>
        <v>BINA</v>
      </c>
      <c r="B334" s="64" t="str">
        <f>Ringkasan!B333</f>
        <v>PT Bank Ina Perdana Tbk.</v>
      </c>
      <c r="C334" s="65">
        <f>Ringkasan!C333</f>
        <v>3880</v>
      </c>
      <c r="D334" s="64" t="str">
        <f>Ringkasan!D333</f>
        <v>#N/A</v>
      </c>
      <c r="E334" s="64" t="str">
        <f>Ringkasan!E333</f>
        <v/>
      </c>
      <c r="F334" s="64" t="str">
        <f>Ringkasan!F333</f>
        <v/>
      </c>
      <c r="G334" s="64">
        <f>Ringkasan!G333</f>
        <v>0</v>
      </c>
      <c r="H334" s="19">
        <f>Ringkasan!H333</f>
        <v>-81.5</v>
      </c>
      <c r="I334" s="19">
        <f>Ringkasan!I333</f>
        <v>8.7</v>
      </c>
      <c r="J334" s="19">
        <f>Ringkasan!J333</f>
        <v>-10.7</v>
      </c>
      <c r="K334" s="19">
        <f>Ringkasan!K333</f>
        <v>-1.1</v>
      </c>
      <c r="L334" s="19">
        <f>Ringkasan!L333</f>
        <v>9.1</v>
      </c>
      <c r="M334" s="19">
        <f>Ringkasan!M333</f>
        <v>-65.7</v>
      </c>
      <c r="N334" s="64">
        <f>Ringkasan!N333</f>
        <v>2.85</v>
      </c>
      <c r="O334" s="64">
        <f>Ringkasan!O333</f>
        <v>22.4</v>
      </c>
      <c r="P334" s="64">
        <f>Ringkasan!P333</f>
        <v>70.15</v>
      </c>
      <c r="Q334" s="64">
        <f>Ringkasan!Q333</f>
        <v>4.12</v>
      </c>
      <c r="R334" s="64">
        <f>Ringkasan!R333</f>
        <v>95.15</v>
      </c>
      <c r="S334" s="64">
        <f>Ringkasan!S333</f>
        <v>80.12</v>
      </c>
      <c r="T334" s="64">
        <f>Ringkasan!T333</f>
        <v>12.4</v>
      </c>
      <c r="U334" s="64">
        <f>Ringkasan!U333</f>
        <v>3870</v>
      </c>
      <c r="V334" s="64">
        <f>Ringkasan!V333</f>
        <v>0.26</v>
      </c>
      <c r="W334" s="64">
        <f>Ringkasan!W333</f>
        <v>3900</v>
      </c>
      <c r="X334" s="64">
        <f>Ringkasan!X333</f>
        <v>3900</v>
      </c>
      <c r="Y334" s="64">
        <f>Ringkasan!Y333</f>
        <v>3880</v>
      </c>
      <c r="Z334" s="64">
        <f>Ringkasan!Z333</f>
        <v>55200</v>
      </c>
      <c r="AA334" s="64" t="str">
        <f>Ringkasan!AA333</f>
        <v>Banks</v>
      </c>
      <c r="AB334" s="64" t="str">
        <f>Ringkasan!AB333</f>
        <v>Financials</v>
      </c>
    </row>
    <row r="335" hidden="1">
      <c r="A335" s="64" t="str">
        <f>Ringkasan!A334</f>
        <v>BINO</v>
      </c>
      <c r="B335" s="64" t="str">
        <f>Ringkasan!B334</f>
        <v>Perma Plasindo Tbk.</v>
      </c>
      <c r="C335" s="65">
        <f>Ringkasan!C334</f>
        <v>103</v>
      </c>
      <c r="D335" s="64" t="str">
        <f>Ringkasan!D334</f>
        <v>#N/A</v>
      </c>
      <c r="E335" s="64" t="str">
        <f>Ringkasan!E334</f>
        <v/>
      </c>
      <c r="F335" s="64" t="str">
        <f>Ringkasan!F334</f>
        <v/>
      </c>
      <c r="G335" s="64">
        <f>Ringkasan!G334</f>
        <v>0</v>
      </c>
      <c r="H335" s="19">
        <f>Ringkasan!H334</f>
        <v>-13.5</v>
      </c>
      <c r="I335" s="19">
        <f>Ringkasan!I334</f>
        <v>0.61</v>
      </c>
      <c r="J335" s="19">
        <f>Ringkasan!J334</f>
        <v>-4.5</v>
      </c>
      <c r="K335" s="19">
        <f>Ringkasan!K334</f>
        <v>-3.2</v>
      </c>
      <c r="L335" s="19">
        <f>Ringkasan!L334</f>
        <v>0.41</v>
      </c>
      <c r="M335" s="19">
        <f>Ringkasan!M334</f>
        <v>-17.1</v>
      </c>
      <c r="N335" s="64" t="str">
        <f>Ringkasan!N334</f>
        <v/>
      </c>
      <c r="O335" s="64" t="str">
        <f>Ringkasan!O334</f>
        <v/>
      </c>
      <c r="P335" s="64" t="str">
        <f>Ringkasan!P334</f>
        <v/>
      </c>
      <c r="Q335" s="64" t="str">
        <f>Ringkasan!Q334</f>
        <v/>
      </c>
      <c r="R335" s="64" t="str">
        <f>Ringkasan!R334</f>
        <v/>
      </c>
      <c r="S335" s="64" t="str">
        <f>Ringkasan!S334</f>
        <v/>
      </c>
      <c r="T335" s="64" t="str">
        <f>Ringkasan!T334</f>
        <v/>
      </c>
      <c r="U335" s="64">
        <f>Ringkasan!U334</f>
        <v>99</v>
      </c>
      <c r="V335" s="64">
        <f>Ringkasan!V334</f>
        <v>4.04</v>
      </c>
      <c r="W335" s="64">
        <f>Ringkasan!W334</f>
        <v>101</v>
      </c>
      <c r="X335" s="64">
        <f>Ringkasan!X334</f>
        <v>108</v>
      </c>
      <c r="Y335" s="64">
        <f>Ringkasan!Y334</f>
        <v>94</v>
      </c>
      <c r="Z335" s="64">
        <f>Ringkasan!Z334</f>
        <v>597500</v>
      </c>
      <c r="AA335" s="64" t="str">
        <f>Ringkasan!AA334</f>
        <v>Commercial Services</v>
      </c>
      <c r="AB335" s="64" t="str">
        <f>Ringkasan!AB334</f>
        <v>Industrials</v>
      </c>
    </row>
    <row r="336" hidden="1">
      <c r="A336" s="64" t="str">
        <f>Ringkasan!A335</f>
        <v>BIPI</v>
      </c>
      <c r="B336" s="64" t="str">
        <f>Ringkasan!B335</f>
        <v>Astrindo Nusantara Infrastruktur Tbk.</v>
      </c>
      <c r="C336" s="65" t="str">
        <f>Ringkasan!C335</f>
        <v>#N/A</v>
      </c>
      <c r="D336" s="64" t="str">
        <f>Ringkasan!D335</f>
        <v>#N/A</v>
      </c>
      <c r="E336" s="64" t="str">
        <f>Ringkasan!E335</f>
        <v/>
      </c>
      <c r="F336" s="64" t="str">
        <f>Ringkasan!F335</f>
        <v/>
      </c>
      <c r="G336" s="64">
        <f>Ringkasan!G335</f>
        <v>0</v>
      </c>
      <c r="H336" s="19">
        <f>Ringkasan!H335</f>
        <v>610</v>
      </c>
      <c r="I336" s="19">
        <f>Ringkasan!I335</f>
        <v>1.1</v>
      </c>
      <c r="J336" s="19">
        <f>Ringkasan!J335</f>
        <v>0.18</v>
      </c>
      <c r="K336" s="19">
        <f>Ringkasan!K335</f>
        <v>0.07</v>
      </c>
      <c r="L336" s="19">
        <f>Ringkasan!L335</f>
        <v>1.7</v>
      </c>
      <c r="M336" s="19">
        <f>Ringkasan!M335</f>
        <v>0.46</v>
      </c>
      <c r="N336" s="64" t="str">
        <f>Ringkasan!N335</f>
        <v/>
      </c>
      <c r="O336" s="64" t="str">
        <f>Ringkasan!O335</f>
        <v/>
      </c>
      <c r="P336" s="64" t="str">
        <f>Ringkasan!P335</f>
        <v/>
      </c>
      <c r="Q336" s="64" t="str">
        <f>Ringkasan!Q335</f>
        <v/>
      </c>
      <c r="R336" s="64" t="str">
        <f>Ringkasan!R335</f>
        <v/>
      </c>
      <c r="S336" s="64" t="str">
        <f>Ringkasan!S335</f>
        <v/>
      </c>
      <c r="T336" s="64" t="str">
        <f>Ringkasan!T335</f>
        <v/>
      </c>
      <c r="U336" s="64">
        <f>Ringkasan!U335</f>
        <v>17.05</v>
      </c>
      <c r="V336" s="64">
        <f>Ringkasan!V335</f>
        <v>-2.35</v>
      </c>
      <c r="W336" s="64">
        <f>Ringkasan!W335</f>
        <v>16.98</v>
      </c>
      <c r="X336" s="64">
        <f>Ringkasan!X335</f>
        <v>17.08</v>
      </c>
      <c r="Y336" s="64">
        <f>Ringkasan!Y335</f>
        <v>16.55</v>
      </c>
      <c r="Z336" s="64">
        <f>Ringkasan!Z335</f>
        <v>0</v>
      </c>
      <c r="AA336" s="64" t="str">
        <f>Ringkasan!AA335</f>
        <v>Coal</v>
      </c>
      <c r="AB336" s="64" t="str">
        <f>Ringkasan!AB335</f>
        <v>Energy</v>
      </c>
    </row>
    <row r="337" hidden="1">
      <c r="A337" s="64" t="str">
        <f>Ringkasan!A336</f>
        <v>BIPP</v>
      </c>
      <c r="B337" s="64" t="str">
        <f>Ringkasan!B336</f>
        <v>Bhuwanatala Indah Permai Tbk.</v>
      </c>
      <c r="C337" s="65">
        <f>Ringkasan!C336</f>
        <v>56</v>
      </c>
      <c r="D337" s="64" t="str">
        <f>Ringkasan!D336</f>
        <v>#N/A</v>
      </c>
      <c r="E337" s="64" t="str">
        <f>Ringkasan!E336</f>
        <v/>
      </c>
      <c r="F337" s="64" t="str">
        <f>Ringkasan!F336</f>
        <v/>
      </c>
      <c r="G337" s="64">
        <f>Ringkasan!G336</f>
        <v>0</v>
      </c>
      <c r="H337" s="19">
        <f>Ringkasan!H336</f>
        <v>-7</v>
      </c>
      <c r="I337" s="19">
        <f>Ringkasan!I336</f>
        <v>0.32</v>
      </c>
      <c r="J337" s="19">
        <f>Ringkasan!J336</f>
        <v>-4.5</v>
      </c>
      <c r="K337" s="19">
        <f>Ringkasan!K336</f>
        <v>-2.4</v>
      </c>
      <c r="L337" s="19">
        <f>Ringkasan!L336</f>
        <v>0.87</v>
      </c>
      <c r="M337" s="19">
        <f>Ringkasan!M336</f>
        <v>-120</v>
      </c>
      <c r="N337" s="64" t="str">
        <f>Ringkasan!N336</f>
        <v/>
      </c>
      <c r="O337" s="64" t="str">
        <f>Ringkasan!O336</f>
        <v/>
      </c>
      <c r="P337" s="64" t="str">
        <f>Ringkasan!P336</f>
        <v/>
      </c>
      <c r="Q337" s="64" t="str">
        <f>Ringkasan!Q336</f>
        <v/>
      </c>
      <c r="R337" s="64" t="str">
        <f>Ringkasan!R336</f>
        <v/>
      </c>
      <c r="S337" s="64" t="str">
        <f>Ringkasan!S336</f>
        <v/>
      </c>
      <c r="T337" s="64" t="str">
        <f>Ringkasan!T336</f>
        <v/>
      </c>
      <c r="U337" s="64">
        <f>Ringkasan!U336</f>
        <v>52</v>
      </c>
      <c r="V337" s="64">
        <f>Ringkasan!V336</f>
        <v>7.69</v>
      </c>
      <c r="W337" s="64">
        <f>Ringkasan!W336</f>
        <v>52</v>
      </c>
      <c r="X337" s="64">
        <f>Ringkasan!X336</f>
        <v>57</v>
      </c>
      <c r="Y337" s="64">
        <f>Ringkasan!Y336</f>
        <v>51</v>
      </c>
      <c r="Z337" s="64">
        <f>Ringkasan!Z336</f>
        <v>8628000</v>
      </c>
      <c r="AA337" s="64" t="str">
        <f>Ringkasan!AA336</f>
        <v>Real Estate Management &amp; Development</v>
      </c>
      <c r="AB337" s="64" t="str">
        <f>Ringkasan!AB336</f>
        <v>Properties &amp; Real Estate</v>
      </c>
    </row>
    <row r="338" hidden="1">
      <c r="A338" s="64" t="str">
        <f>Ringkasan!A783</f>
        <v>HAJJ</v>
      </c>
      <c r="B338" s="64" t="str">
        <f>Ringkasan!B783</f>
        <v>PT Arsy Buana Travelindo Tbk</v>
      </c>
      <c r="C338" s="65">
        <f>Ringkasan!C783</f>
        <v>100</v>
      </c>
      <c r="D338" s="64" t="str">
        <f>Ringkasan!D783</f>
        <v>#N/A</v>
      </c>
      <c r="E338" s="64" t="str">
        <f>Ringkasan!E783</f>
        <v/>
      </c>
      <c r="F338" s="64" t="str">
        <f>Ringkasan!F783</f>
        <v/>
      </c>
      <c r="G338" s="64">
        <f>Ringkasan!G783</f>
        <v>0</v>
      </c>
      <c r="H338" s="19">
        <f>Ringkasan!H783</f>
        <v>210</v>
      </c>
      <c r="I338" s="19">
        <f>Ringkasan!I783</f>
        <v>1.2</v>
      </c>
      <c r="J338" s="19">
        <f>Ringkasan!J783</f>
        <v>0.58</v>
      </c>
      <c r="K338" s="19">
        <f>Ringkasan!K783</f>
        <v>0.29</v>
      </c>
      <c r="L338" s="19">
        <f>Ringkasan!L783</f>
        <v>1</v>
      </c>
      <c r="M338" s="19">
        <f>Ringkasan!M783</f>
        <v>0.45</v>
      </c>
      <c r="N338" s="64" t="str">
        <f>Ringkasan!N783</f>
        <v/>
      </c>
      <c r="O338" s="64" t="str">
        <f>Ringkasan!O783</f>
        <v/>
      </c>
      <c r="P338" s="64" t="str">
        <f>Ringkasan!P783</f>
        <v/>
      </c>
      <c r="Q338" s="64" t="str">
        <f>Ringkasan!Q783</f>
        <v/>
      </c>
      <c r="R338" s="64" t="str">
        <f>Ringkasan!R783</f>
        <v/>
      </c>
      <c r="S338" s="64" t="str">
        <f>Ringkasan!S783</f>
        <v/>
      </c>
      <c r="T338" s="64" t="str">
        <f>Ringkasan!T783</f>
        <v/>
      </c>
      <c r="U338" s="64">
        <f>Ringkasan!U783</f>
        <v>95</v>
      </c>
      <c r="V338" s="64">
        <f>Ringkasan!V783</f>
        <v>5.26</v>
      </c>
      <c r="W338" s="64">
        <f>Ringkasan!W783</f>
        <v>95</v>
      </c>
      <c r="X338" s="64">
        <f>Ringkasan!X783</f>
        <v>103</v>
      </c>
      <c r="Y338" s="64">
        <f>Ringkasan!Y783</f>
        <v>94</v>
      </c>
      <c r="Z338" s="64">
        <f>Ringkasan!Z783</f>
        <v>8756100</v>
      </c>
      <c r="AA338" s="64" t="str">
        <f>Ringkasan!AA783</f>
        <v>Tourism &amp; Recreation</v>
      </c>
      <c r="AB338" s="64" t="str">
        <f>Ringkasan!AB783</f>
        <v>Consumer Cyclicals</v>
      </c>
    </row>
    <row r="339" hidden="1">
      <c r="A339" s="64" t="str">
        <f>Ringkasan!A338</f>
        <v>BISI</v>
      </c>
      <c r="B339" s="64" t="str">
        <f>Ringkasan!B338</f>
        <v>BISI INTERNATIONAL Tbk</v>
      </c>
      <c r="C339" s="65">
        <f>Ringkasan!C338</f>
        <v>695</v>
      </c>
      <c r="D339" s="64" t="str">
        <f>Ringkasan!D338</f>
        <v>#N/A</v>
      </c>
      <c r="E339" s="64" t="str">
        <f>Ringkasan!E338</f>
        <v/>
      </c>
      <c r="F339" s="64" t="str">
        <f>Ringkasan!F338</f>
        <v/>
      </c>
      <c r="G339" s="64">
        <f>Ringkasan!G338</f>
        <v>0</v>
      </c>
      <c r="H339" s="19">
        <f>Ringkasan!H338</f>
        <v>10.7</v>
      </c>
      <c r="I339" s="19">
        <f>Ringkasan!I338</f>
        <v>0.63</v>
      </c>
      <c r="J339" s="19">
        <f>Ringkasan!J338</f>
        <v>5.9</v>
      </c>
      <c r="K339" s="19">
        <f>Ringkasan!K338</f>
        <v>5.5</v>
      </c>
      <c r="L339" s="19">
        <f>Ringkasan!L338</f>
        <v>0.06</v>
      </c>
      <c r="M339" s="19">
        <f>Ringkasan!M338</f>
        <v>53.6</v>
      </c>
      <c r="N339" s="64" t="str">
        <f>Ringkasan!N338</f>
        <v/>
      </c>
      <c r="O339" s="64" t="str">
        <f>Ringkasan!O338</f>
        <v/>
      </c>
      <c r="P339" s="64" t="str">
        <f>Ringkasan!P338</f>
        <v/>
      </c>
      <c r="Q339" s="64" t="str">
        <f>Ringkasan!Q338</f>
        <v/>
      </c>
      <c r="R339" s="64" t="str">
        <f>Ringkasan!R338</f>
        <v/>
      </c>
      <c r="S339" s="64" t="str">
        <f>Ringkasan!S338</f>
        <v/>
      </c>
      <c r="T339" s="64" t="str">
        <f>Ringkasan!T338</f>
        <v/>
      </c>
      <c r="U339" s="64">
        <f>Ringkasan!U338</f>
        <v>680</v>
      </c>
      <c r="V339" s="64">
        <f>Ringkasan!V338</f>
        <v>2.21</v>
      </c>
      <c r="W339" s="64">
        <f>Ringkasan!W338</f>
        <v>680</v>
      </c>
      <c r="X339" s="64">
        <f>Ringkasan!X338</f>
        <v>695</v>
      </c>
      <c r="Y339" s="64">
        <f>Ringkasan!Y338</f>
        <v>680</v>
      </c>
      <c r="Z339" s="64">
        <f>Ringkasan!Z338</f>
        <v>200500</v>
      </c>
      <c r="AA339" s="64" t="str">
        <f>Ringkasan!AA338</f>
        <v>Agricultural Products</v>
      </c>
      <c r="AB339" s="64" t="str">
        <f>Ringkasan!AB338</f>
        <v>Consumer Non-Cyclicals</v>
      </c>
    </row>
    <row r="340" hidden="1">
      <c r="A340" s="64" t="str">
        <f>Ringkasan!A339</f>
        <v>BJBR</v>
      </c>
      <c r="B340" s="64" t="str">
        <f>Ringkasan!B339</f>
        <v>Bank Pembangunan Daerah Jawa Barat dan Banten Tbk</v>
      </c>
      <c r="C340" s="65">
        <f>Ringkasan!C339</f>
        <v>750</v>
      </c>
      <c r="D340" s="64" t="str">
        <f>Ringkasan!D339</f>
        <v>#N/A</v>
      </c>
      <c r="E340" s="64" t="str">
        <f>Ringkasan!E339</f>
        <v>Infobank15</v>
      </c>
      <c r="F340" s="64" t="str">
        <f>Ringkasan!F339</f>
        <v>30 Juni 2026</v>
      </c>
      <c r="G340" s="64">
        <f>Ringkasan!G339</f>
        <v>3</v>
      </c>
      <c r="H340" s="19">
        <f>Ringkasan!H339</f>
        <v>6.9</v>
      </c>
      <c r="I340" s="19">
        <f>Ringkasan!I339</f>
        <v>0.39</v>
      </c>
      <c r="J340" s="19">
        <f>Ringkasan!J339</f>
        <v>5.6</v>
      </c>
      <c r="K340" s="19">
        <f>Ringkasan!K339</f>
        <v>0.53</v>
      </c>
      <c r="L340" s="19">
        <f>Ringkasan!L339</f>
        <v>9.2</v>
      </c>
      <c r="M340" s="19">
        <f>Ringkasan!M339</f>
        <v>26.3</v>
      </c>
      <c r="N340" s="64">
        <f>Ringkasan!N339</f>
        <v>3.7</v>
      </c>
      <c r="O340" s="64">
        <f>Ringkasan!O339</f>
        <v>19.3</v>
      </c>
      <c r="P340" s="64">
        <f>Ringkasan!P339</f>
        <v>87.4</v>
      </c>
      <c r="Q340" s="64">
        <f>Ringkasan!Q339</f>
        <v>1.4</v>
      </c>
      <c r="R340" s="64">
        <f>Ringkasan!R339</f>
        <v>87.9</v>
      </c>
      <c r="S340" s="64">
        <f>Ringkasan!S339</f>
        <v>56</v>
      </c>
      <c r="T340" s="64">
        <f>Ringkasan!T339</f>
        <v>6.3</v>
      </c>
      <c r="U340" s="64">
        <f>Ringkasan!U339</f>
        <v>740</v>
      </c>
      <c r="V340" s="64">
        <f>Ringkasan!V339</f>
        <v>1.35</v>
      </c>
      <c r="W340" s="64">
        <f>Ringkasan!W339</f>
        <v>745</v>
      </c>
      <c r="X340" s="64">
        <f>Ringkasan!X339</f>
        <v>760</v>
      </c>
      <c r="Y340" s="64">
        <f>Ringkasan!Y339</f>
        <v>740</v>
      </c>
      <c r="Z340" s="64">
        <f>Ringkasan!Z339</f>
        <v>3504900</v>
      </c>
      <c r="AA340" s="64" t="str">
        <f>Ringkasan!AA339</f>
        <v>Banks</v>
      </c>
      <c r="AB340" s="64" t="str">
        <f>Ringkasan!AB339</f>
        <v>Financials</v>
      </c>
    </row>
    <row r="341" hidden="1">
      <c r="A341" s="64" t="str">
        <f>Ringkasan!A868</f>
        <v>INCO</v>
      </c>
      <c r="B341" s="64" t="str">
        <f>Ringkasan!B868</f>
        <v>Vale Indonesia Tbk.</v>
      </c>
      <c r="C341" s="65">
        <f>Ringkasan!C868</f>
        <v>4710</v>
      </c>
      <c r="D341" s="64" t="str">
        <f>Ringkasan!D868</f>
        <v>#N/A</v>
      </c>
      <c r="E341" s="64" t="str">
        <f>Ringkasan!E868</f>
        <v>ECONOMIC30</v>
      </c>
      <c r="F341" s="64" t="str">
        <f>Ringkasan!F868</f>
        <v>31 Agustus 2026</v>
      </c>
      <c r="G341" s="64">
        <f>Ringkasan!G868</f>
        <v>14</v>
      </c>
      <c r="H341" s="19">
        <f>Ringkasan!H868</f>
        <v>30.1</v>
      </c>
      <c r="I341" s="19">
        <f>Ringkasan!I868</f>
        <v>1</v>
      </c>
      <c r="J341" s="19">
        <f>Ringkasan!J868</f>
        <v>3.5</v>
      </c>
      <c r="K341" s="19">
        <f>Ringkasan!K868</f>
        <v>2.9</v>
      </c>
      <c r="L341" s="19">
        <f>Ringkasan!L868</f>
        <v>0.19</v>
      </c>
      <c r="M341" s="19">
        <f>Ringkasan!M868</f>
        <v>38.6</v>
      </c>
      <c r="N341" s="64" t="str">
        <f>Ringkasan!N868</f>
        <v/>
      </c>
      <c r="O341" s="64" t="str">
        <f>Ringkasan!O868</f>
        <v/>
      </c>
      <c r="P341" s="64" t="str">
        <f>Ringkasan!P868</f>
        <v/>
      </c>
      <c r="Q341" s="64" t="str">
        <f>Ringkasan!Q868</f>
        <v/>
      </c>
      <c r="R341" s="64" t="str">
        <f>Ringkasan!R868</f>
        <v/>
      </c>
      <c r="S341" s="64" t="str">
        <f>Ringkasan!S868</f>
        <v/>
      </c>
      <c r="T341" s="64" t="str">
        <f>Ringkasan!T868</f>
        <v/>
      </c>
      <c r="U341" s="64">
        <f>Ringkasan!U868</f>
        <v>57.53</v>
      </c>
      <c r="V341" s="64">
        <f>Ringkasan!V868</f>
        <v>0.26</v>
      </c>
      <c r="W341" s="64">
        <f>Ringkasan!W868</f>
        <v>57.97</v>
      </c>
      <c r="X341" s="64">
        <f>Ringkasan!X868</f>
        <v>58.06</v>
      </c>
      <c r="Y341" s="64">
        <f>Ringkasan!Y868</f>
        <v>57.68</v>
      </c>
      <c r="Z341" s="64">
        <f>Ringkasan!Z868</f>
        <v>5034</v>
      </c>
      <c r="AA341" s="64" t="str">
        <f>Ringkasan!AA868</f>
        <v>Metals &amp; Minerals</v>
      </c>
      <c r="AB341" s="64" t="str">
        <f>Ringkasan!AB868</f>
        <v>Basic Materials</v>
      </c>
    </row>
    <row r="342" hidden="1">
      <c r="A342" s="64" t="str">
        <f>Ringkasan!A341</f>
        <v>BJBR</v>
      </c>
      <c r="B342" s="64" t="str">
        <f>Ringkasan!B341</f>
        <v>Bank Pembangunan Daerah Jawa Barat dan Banten Tbk</v>
      </c>
      <c r="C342" s="65">
        <f>Ringkasan!C341</f>
        <v>750</v>
      </c>
      <c r="D342" s="64" t="str">
        <f>Ringkasan!D341</f>
        <v>#N/A</v>
      </c>
      <c r="E342" s="64" t="str">
        <f>Ringkasan!E341</f>
        <v>Pefindo - iGrade</v>
      </c>
      <c r="F342" s="64" t="str">
        <f>Ringkasan!F341</f>
        <v>30 Juni 2026</v>
      </c>
      <c r="G342" s="64">
        <f>Ringkasan!G341</f>
        <v>3</v>
      </c>
      <c r="H342" s="19">
        <f>Ringkasan!H341</f>
        <v>6.9</v>
      </c>
      <c r="I342" s="19">
        <f>Ringkasan!I341</f>
        <v>0.39</v>
      </c>
      <c r="J342" s="19">
        <f>Ringkasan!J341</f>
        <v>5.6</v>
      </c>
      <c r="K342" s="19">
        <f>Ringkasan!K341</f>
        <v>0.53</v>
      </c>
      <c r="L342" s="19">
        <f>Ringkasan!L341</f>
        <v>9.2</v>
      </c>
      <c r="M342" s="19">
        <f>Ringkasan!M341</f>
        <v>26.3</v>
      </c>
      <c r="N342" s="64">
        <f>Ringkasan!N341</f>
        <v>3.7</v>
      </c>
      <c r="O342" s="64">
        <f>Ringkasan!O341</f>
        <v>19.3</v>
      </c>
      <c r="P342" s="64">
        <f>Ringkasan!P341</f>
        <v>87.4</v>
      </c>
      <c r="Q342" s="64">
        <f>Ringkasan!Q341</f>
        <v>1.4</v>
      </c>
      <c r="R342" s="64">
        <f>Ringkasan!R341</f>
        <v>87.9</v>
      </c>
      <c r="S342" s="64">
        <f>Ringkasan!S341</f>
        <v>56</v>
      </c>
      <c r="T342" s="64">
        <f>Ringkasan!T341</f>
        <v>6.3</v>
      </c>
      <c r="U342" s="64">
        <f>Ringkasan!U341</f>
        <v>740</v>
      </c>
      <c r="V342" s="64">
        <f>Ringkasan!V341</f>
        <v>1.35</v>
      </c>
      <c r="W342" s="64">
        <f>Ringkasan!W341</f>
        <v>745</v>
      </c>
      <c r="X342" s="64">
        <f>Ringkasan!X341</f>
        <v>760</v>
      </c>
      <c r="Y342" s="64">
        <f>Ringkasan!Y341</f>
        <v>740</v>
      </c>
      <c r="Z342" s="64">
        <f>Ringkasan!Z341</f>
        <v>3504900</v>
      </c>
      <c r="AA342" s="64" t="str">
        <f>Ringkasan!AA341</f>
        <v>Banks</v>
      </c>
      <c r="AB342" s="64" t="str">
        <f>Ringkasan!AB341</f>
        <v>Financials</v>
      </c>
    </row>
    <row r="343" hidden="1">
      <c r="A343" s="64" t="str">
        <f>Ringkasan!A342</f>
        <v>BJTM</v>
      </c>
      <c r="B343" s="64" t="str">
        <f>Ringkasan!B342</f>
        <v>Bank Pembangunan Daerah Jawa Timur Tbk</v>
      </c>
      <c r="C343" s="65">
        <f>Ringkasan!C342</f>
        <v>515</v>
      </c>
      <c r="D343" s="64" t="str">
        <f>Ringkasan!D342</f>
        <v>#N/A</v>
      </c>
      <c r="E343" s="64" t="str">
        <f>Ringkasan!E342</f>
        <v>ESGQKEHATI</v>
      </c>
      <c r="F343" s="66">
        <f>Ringkasan!F342</f>
        <v>46356</v>
      </c>
      <c r="G343" s="64">
        <f>Ringkasan!G342</f>
        <v>2</v>
      </c>
      <c r="H343" s="19">
        <f>Ringkasan!H342</f>
        <v>4.9</v>
      </c>
      <c r="I343" s="19">
        <f>Ringkasan!I342</f>
        <v>0.35</v>
      </c>
      <c r="J343" s="19">
        <f>Ringkasan!J342</f>
        <v>7.1</v>
      </c>
      <c r="K343" s="19">
        <f>Ringkasan!K342</f>
        <v>0.97</v>
      </c>
      <c r="L343" s="19">
        <f>Ringkasan!L342</f>
        <v>5.6</v>
      </c>
      <c r="M343" s="19">
        <f>Ringkasan!M342</f>
        <v>55.3</v>
      </c>
      <c r="N343" s="64">
        <f>Ringkasan!N342</f>
        <v>3.74</v>
      </c>
      <c r="O343" s="64">
        <f>Ringkasan!O342</f>
        <v>24.94</v>
      </c>
      <c r="P343" s="64">
        <f>Ringkasan!P342</f>
        <v>70.03</v>
      </c>
      <c r="Q343" s="64">
        <f>Ringkasan!Q342</f>
        <v>2.83</v>
      </c>
      <c r="R343" s="64">
        <f>Ringkasan!R342</f>
        <v>77.29</v>
      </c>
      <c r="S343" s="64">
        <f>Ringkasan!S342</f>
        <v>51.2</v>
      </c>
      <c r="T343" s="64">
        <f>Ringkasan!T342</f>
        <v>11.1</v>
      </c>
      <c r="U343" s="64">
        <f>Ringkasan!U342</f>
        <v>505</v>
      </c>
      <c r="V343" s="64">
        <f>Ringkasan!V342</f>
        <v>1.98</v>
      </c>
      <c r="W343" s="64">
        <f>Ringkasan!W342</f>
        <v>510</v>
      </c>
      <c r="X343" s="64">
        <f>Ringkasan!X342</f>
        <v>515</v>
      </c>
      <c r="Y343" s="64">
        <f>Ringkasan!Y342</f>
        <v>505</v>
      </c>
      <c r="Z343" s="64">
        <f>Ringkasan!Z342</f>
        <v>4038100</v>
      </c>
      <c r="AA343" s="64" t="str">
        <f>Ringkasan!AA342</f>
        <v>Banks</v>
      </c>
      <c r="AB343" s="64" t="str">
        <f>Ringkasan!AB342</f>
        <v>Financials</v>
      </c>
    </row>
    <row r="344" hidden="1">
      <c r="A344" s="64" t="str">
        <f>Ringkasan!A343</f>
        <v>BJTM</v>
      </c>
      <c r="B344" s="64" t="str">
        <f>Ringkasan!B343</f>
        <v>Bank Pembangunan Daerah Jawa Timur Tbk</v>
      </c>
      <c r="C344" s="65">
        <f>Ringkasan!C343</f>
        <v>515</v>
      </c>
      <c r="D344" s="64" t="str">
        <f>Ringkasan!D343</f>
        <v>#N/A</v>
      </c>
      <c r="E344" s="64" t="str">
        <f>Ringkasan!E343</f>
        <v>IDXBUMN20</v>
      </c>
      <c r="F344" s="64" t="str">
        <f>Ringkasan!F343</f>
        <v>4 Agustus 2026</v>
      </c>
      <c r="G344" s="64">
        <f>Ringkasan!G343</f>
        <v>2</v>
      </c>
      <c r="H344" s="19">
        <f>Ringkasan!H343</f>
        <v>4.9</v>
      </c>
      <c r="I344" s="19">
        <f>Ringkasan!I343</f>
        <v>0.35</v>
      </c>
      <c r="J344" s="19">
        <f>Ringkasan!J343</f>
        <v>7.1</v>
      </c>
      <c r="K344" s="19">
        <f>Ringkasan!K343</f>
        <v>0.97</v>
      </c>
      <c r="L344" s="19">
        <f>Ringkasan!L343</f>
        <v>5.6</v>
      </c>
      <c r="M344" s="19">
        <f>Ringkasan!M343</f>
        <v>55.3</v>
      </c>
      <c r="N344" s="64">
        <f>Ringkasan!N343</f>
        <v>3.74</v>
      </c>
      <c r="O344" s="64">
        <f>Ringkasan!O343</f>
        <v>24.94</v>
      </c>
      <c r="P344" s="64">
        <f>Ringkasan!P343</f>
        <v>70.03</v>
      </c>
      <c r="Q344" s="64">
        <f>Ringkasan!Q343</f>
        <v>2.83</v>
      </c>
      <c r="R344" s="64">
        <f>Ringkasan!R343</f>
        <v>77.29</v>
      </c>
      <c r="S344" s="64">
        <f>Ringkasan!S343</f>
        <v>51.2</v>
      </c>
      <c r="T344" s="64">
        <f>Ringkasan!T343</f>
        <v>11.1</v>
      </c>
      <c r="U344" s="64">
        <f>Ringkasan!U343</f>
        <v>505</v>
      </c>
      <c r="V344" s="64">
        <f>Ringkasan!V343</f>
        <v>1.98</v>
      </c>
      <c r="W344" s="64">
        <f>Ringkasan!W343</f>
        <v>510</v>
      </c>
      <c r="X344" s="64">
        <f>Ringkasan!X343</f>
        <v>515</v>
      </c>
      <c r="Y344" s="64">
        <f>Ringkasan!Y343</f>
        <v>505</v>
      </c>
      <c r="Z344" s="64">
        <f>Ringkasan!Z343</f>
        <v>4038100</v>
      </c>
      <c r="AA344" s="64" t="str">
        <f>Ringkasan!AA343</f>
        <v>Banks</v>
      </c>
      <c r="AB344" s="64" t="str">
        <f>Ringkasan!AB343</f>
        <v>Financials</v>
      </c>
    </row>
    <row r="345" hidden="1">
      <c r="A345" s="64" t="str">
        <f>Ringkasan!A344</f>
        <v>BKDP</v>
      </c>
      <c r="B345" s="64" t="str">
        <f>Ringkasan!B344</f>
        <v>Bukit Darmo Property Tbk</v>
      </c>
      <c r="C345" s="65" t="str">
        <f>Ringkasan!C344</f>
        <v>#N/A</v>
      </c>
      <c r="D345" s="64" t="str">
        <f>Ringkasan!D344</f>
        <v>#N/A</v>
      </c>
      <c r="E345" s="64" t="str">
        <f>Ringkasan!E344</f>
        <v/>
      </c>
      <c r="F345" s="64" t="str">
        <f>Ringkasan!F344</f>
        <v/>
      </c>
      <c r="G345" s="64">
        <f>Ringkasan!G344</f>
        <v>0</v>
      </c>
      <c r="H345" s="19">
        <f>Ringkasan!H344</f>
        <v>-25.8</v>
      </c>
      <c r="I345" s="19">
        <f>Ringkasan!I344</f>
        <v>3.1</v>
      </c>
      <c r="J345" s="19">
        <f>Ringkasan!J344</f>
        <v>-12.1</v>
      </c>
      <c r="K345" s="19">
        <f>Ringkasan!K344</f>
        <v>-5</v>
      </c>
      <c r="L345" s="19">
        <f>Ringkasan!L344</f>
        <v>1.4</v>
      </c>
      <c r="M345" s="19">
        <f>Ringkasan!M344</f>
        <v>-390</v>
      </c>
      <c r="N345" s="64" t="str">
        <f>Ringkasan!N344</f>
        <v/>
      </c>
      <c r="O345" s="64" t="str">
        <f>Ringkasan!O344</f>
        <v/>
      </c>
      <c r="P345" s="64" t="str">
        <f>Ringkasan!P344</f>
        <v/>
      </c>
      <c r="Q345" s="64" t="str">
        <f>Ringkasan!Q344</f>
        <v/>
      </c>
      <c r="R345" s="64" t="str">
        <f>Ringkasan!R344</f>
        <v/>
      </c>
      <c r="S345" s="64" t="str">
        <f>Ringkasan!S344</f>
        <v/>
      </c>
      <c r="T345" s="64" t="str">
        <f>Ringkasan!T344</f>
        <v/>
      </c>
      <c r="U345" s="64">
        <f>Ringkasan!U344</f>
        <v>125</v>
      </c>
      <c r="V345" s="64">
        <f>Ringkasan!V344</f>
        <v>0</v>
      </c>
      <c r="W345" s="64" t="str">
        <f>Ringkasan!W344</f>
        <v/>
      </c>
      <c r="X345" s="64" t="str">
        <f>Ringkasan!X344</f>
        <v/>
      </c>
      <c r="Y345" s="64" t="str">
        <f>Ringkasan!Y344</f>
        <v/>
      </c>
      <c r="Z345" s="64">
        <f>Ringkasan!Z344</f>
        <v>0</v>
      </c>
      <c r="AA345" s="64" t="str">
        <f>Ringkasan!AA344</f>
        <v>Real Estate Management &amp; Development</v>
      </c>
      <c r="AB345" s="64" t="str">
        <f>Ringkasan!AB344</f>
        <v>Properties &amp; Real Estate</v>
      </c>
    </row>
    <row r="346" hidden="1">
      <c r="A346" s="64" t="str">
        <f>Ringkasan!A345</f>
        <v>BKSL</v>
      </c>
      <c r="B346" s="64" t="str">
        <f>Ringkasan!B345</f>
        <v>Sentul City Tbk.</v>
      </c>
      <c r="C346" s="65">
        <f>Ringkasan!C345</f>
        <v>68</v>
      </c>
      <c r="D346" s="64" t="str">
        <f>Ringkasan!D345</f>
        <v>#N/A</v>
      </c>
      <c r="E346" s="64" t="str">
        <f>Ringkasan!E345</f>
        <v>Kompas100</v>
      </c>
      <c r="F346" s="64" t="str">
        <f>Ringkasan!F345</f>
        <v>31 Juli 2026</v>
      </c>
      <c r="G346" s="64">
        <f>Ringkasan!G345</f>
        <v>4</v>
      </c>
      <c r="H346" s="19">
        <f>Ringkasan!H345</f>
        <v>14.6</v>
      </c>
      <c r="I346" s="19">
        <f>Ringkasan!I345</f>
        <v>0.78</v>
      </c>
      <c r="J346" s="19">
        <f>Ringkasan!J345</f>
        <v>5.4</v>
      </c>
      <c r="K346" s="19">
        <f>Ringkasan!K345</f>
        <v>3.8</v>
      </c>
      <c r="L346" s="19">
        <f>Ringkasan!L345</f>
        <v>0.42</v>
      </c>
      <c r="M346" s="19">
        <f>Ringkasan!M345</f>
        <v>240</v>
      </c>
      <c r="N346" s="64" t="str">
        <f>Ringkasan!N345</f>
        <v/>
      </c>
      <c r="O346" s="64" t="str">
        <f>Ringkasan!O345</f>
        <v/>
      </c>
      <c r="P346" s="64" t="str">
        <f>Ringkasan!P345</f>
        <v/>
      </c>
      <c r="Q346" s="64" t="str">
        <f>Ringkasan!Q345</f>
        <v/>
      </c>
      <c r="R346" s="64" t="str">
        <f>Ringkasan!R345</f>
        <v/>
      </c>
      <c r="S346" s="64" t="str">
        <f>Ringkasan!S345</f>
        <v/>
      </c>
      <c r="T346" s="64" t="str">
        <f>Ringkasan!T345</f>
        <v/>
      </c>
      <c r="U346" s="64">
        <f>Ringkasan!U345</f>
        <v>62</v>
      </c>
      <c r="V346" s="64">
        <f>Ringkasan!V345</f>
        <v>9.68</v>
      </c>
      <c r="W346" s="64">
        <f>Ringkasan!W345</f>
        <v>63</v>
      </c>
      <c r="X346" s="64">
        <f>Ringkasan!X345</f>
        <v>70</v>
      </c>
      <c r="Y346" s="64">
        <f>Ringkasan!Y345</f>
        <v>63</v>
      </c>
      <c r="Z346" s="64">
        <f>Ringkasan!Z345</f>
        <v>284600800</v>
      </c>
      <c r="AA346" s="64" t="str">
        <f>Ringkasan!AA345</f>
        <v>Real Estate Management &amp; Development</v>
      </c>
      <c r="AB346" s="64" t="str">
        <f>Ringkasan!AB345</f>
        <v>Properties &amp; Real Estate</v>
      </c>
    </row>
    <row r="347" hidden="1">
      <c r="A347" s="64" t="str">
        <f>Ringkasan!A346</f>
        <v>BKSL</v>
      </c>
      <c r="B347" s="64" t="str">
        <f>Ringkasan!B346</f>
        <v>Sentul City Tbk.</v>
      </c>
      <c r="C347" s="65">
        <f>Ringkasan!C346</f>
        <v>68</v>
      </c>
      <c r="D347" s="64" t="str">
        <f>Ringkasan!D346</f>
        <v>#N/A</v>
      </c>
      <c r="E347" s="64" t="str">
        <f>Ringkasan!E346</f>
        <v>IDX80</v>
      </c>
      <c r="F347" s="64" t="str">
        <f>Ringkasan!F346</f>
        <v>31 Juli 2026</v>
      </c>
      <c r="G347" s="64">
        <f>Ringkasan!G346</f>
        <v>4</v>
      </c>
      <c r="H347" s="19">
        <f>Ringkasan!H346</f>
        <v>14.6</v>
      </c>
      <c r="I347" s="19">
        <f>Ringkasan!I346</f>
        <v>0.78</v>
      </c>
      <c r="J347" s="19">
        <f>Ringkasan!J346</f>
        <v>5.4</v>
      </c>
      <c r="K347" s="19">
        <f>Ringkasan!K346</f>
        <v>3.8</v>
      </c>
      <c r="L347" s="19">
        <f>Ringkasan!L346</f>
        <v>0.42</v>
      </c>
      <c r="M347" s="19">
        <f>Ringkasan!M346</f>
        <v>240</v>
      </c>
      <c r="N347" s="64" t="str">
        <f>Ringkasan!N346</f>
        <v/>
      </c>
      <c r="O347" s="64" t="str">
        <f>Ringkasan!O346</f>
        <v/>
      </c>
      <c r="P347" s="64" t="str">
        <f>Ringkasan!P346</f>
        <v/>
      </c>
      <c r="Q347" s="64" t="str">
        <f>Ringkasan!Q346</f>
        <v/>
      </c>
      <c r="R347" s="64" t="str">
        <f>Ringkasan!R346</f>
        <v/>
      </c>
      <c r="S347" s="64" t="str">
        <f>Ringkasan!S346</f>
        <v/>
      </c>
      <c r="T347" s="64" t="str">
        <f>Ringkasan!T346</f>
        <v/>
      </c>
      <c r="U347" s="64">
        <f>Ringkasan!U346</f>
        <v>62</v>
      </c>
      <c r="V347" s="64">
        <f>Ringkasan!V346</f>
        <v>9.68</v>
      </c>
      <c r="W347" s="64">
        <f>Ringkasan!W346</f>
        <v>63</v>
      </c>
      <c r="X347" s="64">
        <f>Ringkasan!X346</f>
        <v>70</v>
      </c>
      <c r="Y347" s="64">
        <f>Ringkasan!Y346</f>
        <v>63</v>
      </c>
      <c r="Z347" s="64">
        <f>Ringkasan!Z346</f>
        <v>284600800</v>
      </c>
      <c r="AA347" s="64" t="str">
        <f>Ringkasan!AA346</f>
        <v>Real Estate Management &amp; Development</v>
      </c>
      <c r="AB347" s="64" t="str">
        <f>Ringkasan!AB346</f>
        <v>Properties &amp; Real Estate</v>
      </c>
    </row>
    <row r="348" hidden="1">
      <c r="A348" s="64" t="str">
        <f>Ringkasan!A347</f>
        <v>BKSL</v>
      </c>
      <c r="B348" s="64" t="str">
        <f>Ringkasan!B347</f>
        <v>Sentul City Tbk.</v>
      </c>
      <c r="C348" s="65">
        <f>Ringkasan!C347</f>
        <v>68</v>
      </c>
      <c r="D348" s="64" t="str">
        <f>Ringkasan!D347</f>
        <v>#N/A</v>
      </c>
      <c r="E348" s="64" t="str">
        <f>Ringkasan!E347</f>
        <v>JII30</v>
      </c>
      <c r="F348" s="66">
        <f>Ringkasan!F347</f>
        <v>46356</v>
      </c>
      <c r="G348" s="65">
        <f>Ringkasan!G347</f>
        <v>4</v>
      </c>
      <c r="H348" s="19">
        <f>Ringkasan!H347</f>
        <v>14.6</v>
      </c>
      <c r="I348" s="19">
        <f>Ringkasan!I347</f>
        <v>0.78</v>
      </c>
      <c r="J348" s="19">
        <f>Ringkasan!J347</f>
        <v>5.4</v>
      </c>
      <c r="K348" s="19">
        <f>Ringkasan!K347</f>
        <v>3.8</v>
      </c>
      <c r="L348" s="19">
        <f>Ringkasan!L347</f>
        <v>0.42</v>
      </c>
      <c r="M348" s="19">
        <f>Ringkasan!M347</f>
        <v>240</v>
      </c>
      <c r="N348" s="64" t="str">
        <f>Ringkasan!N347</f>
        <v/>
      </c>
      <c r="O348" s="64" t="str">
        <f>Ringkasan!O347</f>
        <v/>
      </c>
      <c r="P348" s="64" t="str">
        <f>Ringkasan!P347</f>
        <v/>
      </c>
      <c r="Q348" s="64" t="str">
        <f>Ringkasan!Q347</f>
        <v/>
      </c>
      <c r="R348" s="64" t="str">
        <f>Ringkasan!R347</f>
        <v/>
      </c>
      <c r="S348" s="64" t="str">
        <f>Ringkasan!S347</f>
        <v/>
      </c>
      <c r="T348" s="64" t="str">
        <f>Ringkasan!T347</f>
        <v/>
      </c>
      <c r="U348" s="64">
        <f>Ringkasan!U347</f>
        <v>62</v>
      </c>
      <c r="V348" s="64">
        <f>Ringkasan!V347</f>
        <v>9.68</v>
      </c>
      <c r="W348" s="64">
        <f>Ringkasan!W347</f>
        <v>63</v>
      </c>
      <c r="X348" s="64">
        <f>Ringkasan!X347</f>
        <v>70</v>
      </c>
      <c r="Y348" s="64">
        <f>Ringkasan!Y347</f>
        <v>63</v>
      </c>
      <c r="Z348" s="64">
        <f>Ringkasan!Z347</f>
        <v>284600800</v>
      </c>
      <c r="AA348" s="64" t="str">
        <f>Ringkasan!AA347</f>
        <v>Real Estate Management &amp; Development</v>
      </c>
      <c r="AB348" s="64" t="str">
        <f>Ringkasan!AB347</f>
        <v>Properties &amp; Real Estate</v>
      </c>
    </row>
    <row r="349" hidden="1">
      <c r="A349" s="64" t="str">
        <f>Ringkasan!A911</f>
        <v>INKP</v>
      </c>
      <c r="B349" s="64" t="str">
        <f>Ringkasan!B911</f>
        <v>Indah Kiat Pulp &amp; Paper Tbk.</v>
      </c>
      <c r="C349" s="65">
        <f>Ringkasan!C911</f>
        <v>7700</v>
      </c>
      <c r="D349" s="64" t="str">
        <f>Ringkasan!D911</f>
        <v>#N/A</v>
      </c>
      <c r="E349" s="64" t="str">
        <f>Ringkasan!E911</f>
        <v>BISNIS-27</v>
      </c>
      <c r="F349" s="64" t="str">
        <f>Ringkasan!F911</f>
        <v>30 Oktober 2026</v>
      </c>
      <c r="G349" s="64">
        <f>Ringkasan!G911</f>
        <v>16</v>
      </c>
      <c r="H349" s="19">
        <f>Ringkasan!H911</f>
        <v>5.3</v>
      </c>
      <c r="I349" s="19">
        <f>Ringkasan!I911</f>
        <v>0.35</v>
      </c>
      <c r="J349" s="19">
        <f>Ringkasan!J911</f>
        <v>6.7</v>
      </c>
      <c r="K349" s="19">
        <f>Ringkasan!K911</f>
        <v>3.7</v>
      </c>
      <c r="L349" s="19">
        <f>Ringkasan!L911</f>
        <v>0.81</v>
      </c>
      <c r="M349" s="19">
        <f>Ringkasan!M911</f>
        <v>57.2</v>
      </c>
      <c r="N349" s="64" t="str">
        <f>Ringkasan!N911</f>
        <v/>
      </c>
      <c r="O349" s="64" t="str">
        <f>Ringkasan!O911</f>
        <v/>
      </c>
      <c r="P349" s="64" t="str">
        <f>Ringkasan!P911</f>
        <v/>
      </c>
      <c r="Q349" s="64" t="str">
        <f>Ringkasan!Q911</f>
        <v/>
      </c>
      <c r="R349" s="64" t="str">
        <f>Ringkasan!R911</f>
        <v/>
      </c>
      <c r="S349" s="64" t="str">
        <f>Ringkasan!S911</f>
        <v/>
      </c>
      <c r="T349" s="64" t="str">
        <f>Ringkasan!T911</f>
        <v/>
      </c>
      <c r="U349" s="64">
        <f>Ringkasan!U911</f>
        <v>7550</v>
      </c>
      <c r="V349" s="64">
        <f>Ringkasan!V911</f>
        <v>1.99</v>
      </c>
      <c r="W349" s="64">
        <f>Ringkasan!W911</f>
        <v>7625</v>
      </c>
      <c r="X349" s="64">
        <f>Ringkasan!X911</f>
        <v>7800</v>
      </c>
      <c r="Y349" s="64">
        <f>Ringkasan!Y911</f>
        <v>7575</v>
      </c>
      <c r="Z349" s="64">
        <f>Ringkasan!Z911</f>
        <v>5343300</v>
      </c>
      <c r="AA349" s="64" t="str">
        <f>Ringkasan!AA911</f>
        <v>Forestry &amp; Paper</v>
      </c>
      <c r="AB349" s="64" t="str">
        <f>Ringkasan!AB911</f>
        <v>Basic Materials</v>
      </c>
    </row>
    <row r="350" hidden="1">
      <c r="A350" s="64" t="str">
        <f>Ringkasan!A349</f>
        <v>BKSW</v>
      </c>
      <c r="B350" s="64" t="str">
        <f>Ringkasan!B349</f>
        <v>PT Bank QNB Indonesia Tbk</v>
      </c>
      <c r="C350" s="65">
        <f>Ringkasan!C349</f>
        <v>51</v>
      </c>
      <c r="D350" s="64" t="str">
        <f>Ringkasan!D349</f>
        <v>#N/A</v>
      </c>
      <c r="E350" s="64" t="str">
        <f>Ringkasan!E349</f>
        <v/>
      </c>
      <c r="F350" s="64" t="str">
        <f>Ringkasan!F349</f>
        <v/>
      </c>
      <c r="G350" s="64">
        <f>Ringkasan!G349</f>
        <v>0</v>
      </c>
      <c r="H350" s="19">
        <f>Ringkasan!H349</f>
        <v>-42.8</v>
      </c>
      <c r="I350" s="19">
        <f>Ringkasan!I349</f>
        <v>0.4</v>
      </c>
      <c r="J350" s="19">
        <f>Ringkasan!J349</f>
        <v>-0.94</v>
      </c>
      <c r="K350" s="19">
        <f>Ringkasan!K349</f>
        <v>-0.34</v>
      </c>
      <c r="L350" s="19">
        <f>Ringkasan!L349</f>
        <v>1.8</v>
      </c>
      <c r="M350" s="19">
        <f>Ringkasan!M349</f>
        <v>-27</v>
      </c>
      <c r="N350" s="64">
        <f>Ringkasan!N349</f>
        <v>3.12</v>
      </c>
      <c r="O350" s="64">
        <f>Ringkasan!O349</f>
        <v>45.15</v>
      </c>
      <c r="P350" s="64">
        <f>Ringkasan!P349</f>
        <v>80.12</v>
      </c>
      <c r="Q350" s="64" t="str">
        <f>Ringkasan!Q349</f>
        <v>0..85</v>
      </c>
      <c r="R350" s="64">
        <f>Ringkasan!R349</f>
        <v>96.15</v>
      </c>
      <c r="S350" s="64">
        <f>Ringkasan!S349</f>
        <v>82.4</v>
      </c>
      <c r="T350" s="64">
        <f>Ringkasan!T349</f>
        <v>4.15</v>
      </c>
      <c r="U350" s="64">
        <f>Ringkasan!U349</f>
        <v>51</v>
      </c>
      <c r="V350" s="64">
        <f>Ringkasan!V349</f>
        <v>0</v>
      </c>
      <c r="W350" s="64">
        <f>Ringkasan!W349</f>
        <v>51</v>
      </c>
      <c r="X350" s="64">
        <f>Ringkasan!X349</f>
        <v>52</v>
      </c>
      <c r="Y350" s="64">
        <f>Ringkasan!Y349</f>
        <v>50</v>
      </c>
      <c r="Z350" s="64">
        <f>Ringkasan!Z349</f>
        <v>5363700</v>
      </c>
      <c r="AA350" s="64" t="str">
        <f>Ringkasan!AA349</f>
        <v>Banks</v>
      </c>
      <c r="AB350" s="64" t="str">
        <f>Ringkasan!AB349</f>
        <v>Financials</v>
      </c>
    </row>
    <row r="351" hidden="1">
      <c r="A351" s="64" t="str">
        <f>Ringkasan!A350</f>
        <v>BLES</v>
      </c>
      <c r="B351" s="64" t="str">
        <f>Ringkasan!B350</f>
        <v>Superior Prima Sukses Tbk.</v>
      </c>
      <c r="C351" s="65">
        <f>Ringkasan!C350</f>
        <v>133</v>
      </c>
      <c r="D351" s="64" t="str">
        <f>Ringkasan!D350</f>
        <v>#N/A</v>
      </c>
      <c r="E351" s="64" t="str">
        <f>Ringkasan!E350</f>
        <v/>
      </c>
      <c r="F351" s="64" t="str">
        <f>Ringkasan!F350</f>
        <v/>
      </c>
      <c r="G351" s="64">
        <f>Ringkasan!G350</f>
        <v>0</v>
      </c>
      <c r="H351" s="19">
        <f>Ringkasan!H350</f>
        <v>9.2</v>
      </c>
      <c r="I351" s="19">
        <f>Ringkasan!I350</f>
        <v>1</v>
      </c>
      <c r="J351" s="19">
        <f>Ringkasan!J350</f>
        <v>11.1</v>
      </c>
      <c r="K351" s="19">
        <f>Ringkasan!K350</f>
        <v>6.5</v>
      </c>
      <c r="L351" s="19">
        <f>Ringkasan!L350</f>
        <v>0.72</v>
      </c>
      <c r="M351" s="19">
        <f>Ringkasan!M350</f>
        <v>38.8</v>
      </c>
      <c r="N351" s="64" t="str">
        <f>Ringkasan!N350</f>
        <v/>
      </c>
      <c r="O351" s="64" t="str">
        <f>Ringkasan!O350</f>
        <v/>
      </c>
      <c r="P351" s="64" t="str">
        <f>Ringkasan!P350</f>
        <v/>
      </c>
      <c r="Q351" s="64" t="str">
        <f>Ringkasan!Q350</f>
        <v/>
      </c>
      <c r="R351" s="64" t="str">
        <f>Ringkasan!R350</f>
        <v/>
      </c>
      <c r="S351" s="64" t="str">
        <f>Ringkasan!S350</f>
        <v/>
      </c>
      <c r="T351" s="64" t="str">
        <f>Ringkasan!T350</f>
        <v/>
      </c>
      <c r="U351" s="64">
        <f>Ringkasan!U350</f>
        <v>47.81</v>
      </c>
      <c r="V351" s="64">
        <f>Ringkasan!V350</f>
        <v>0.82</v>
      </c>
      <c r="W351" s="64">
        <f>Ringkasan!W350</f>
        <v>48.11</v>
      </c>
      <c r="X351" s="64">
        <f>Ringkasan!X350</f>
        <v>48.24</v>
      </c>
      <c r="Y351" s="64">
        <f>Ringkasan!Y350</f>
        <v>48.11</v>
      </c>
      <c r="Z351" s="64" t="str">
        <f>Ringkasan!Z350</f>
        <v/>
      </c>
      <c r="AA351" s="64" t="str">
        <f>Ringkasan!AA350</f>
        <v>Construction Materials</v>
      </c>
      <c r="AB351" s="64" t="str">
        <f>Ringkasan!AB350</f>
        <v>Basic Materials</v>
      </c>
    </row>
    <row r="352" hidden="1">
      <c r="A352" s="60" t="str">
        <f>Ringkasan!A351</f>
        <v>BLOG</v>
      </c>
      <c r="B352" s="60" t="str">
        <f>Ringkasan!B351</f>
        <v>Trimitra Trans Persada Tbk.</v>
      </c>
      <c r="C352" s="61">
        <f>Ringkasan!C351</f>
        <v>320</v>
      </c>
      <c r="D352" s="60" t="str">
        <f>Ringkasan!D351</f>
        <v>#N/A</v>
      </c>
      <c r="E352" s="60" t="str">
        <f>Ringkasan!E351</f>
        <v/>
      </c>
      <c r="F352" s="60" t="str">
        <f>Ringkasan!F351</f>
        <v/>
      </c>
      <c r="G352" s="61">
        <f>Ringkasan!G351</f>
        <v>0</v>
      </c>
      <c r="H352" s="62">
        <f>Ringkasan!H351</f>
        <v>7.7</v>
      </c>
      <c r="I352" s="62">
        <f>Ringkasan!I351</f>
        <v>1.8</v>
      </c>
      <c r="J352" s="62">
        <f>Ringkasan!J351</f>
        <v>23.1</v>
      </c>
      <c r="K352" s="62">
        <f>Ringkasan!K351</f>
        <v>14.1</v>
      </c>
      <c r="L352" s="62">
        <f>Ringkasan!L351</f>
        <v>0.64</v>
      </c>
      <c r="M352" s="62">
        <f>Ringkasan!M351</f>
        <v>42.5</v>
      </c>
      <c r="N352" s="60" t="str">
        <f>Ringkasan!N351</f>
        <v/>
      </c>
      <c r="O352" s="60" t="str">
        <f>Ringkasan!O351</f>
        <v/>
      </c>
      <c r="P352" s="60" t="str">
        <f>Ringkasan!P351</f>
        <v/>
      </c>
      <c r="Q352" s="60" t="str">
        <f>Ringkasan!Q351</f>
        <v/>
      </c>
      <c r="R352" s="60" t="str">
        <f>Ringkasan!R351</f>
        <v/>
      </c>
      <c r="S352" s="60" t="str">
        <f>Ringkasan!S351</f>
        <v/>
      </c>
      <c r="T352" s="60" t="str">
        <f>Ringkasan!T351</f>
        <v/>
      </c>
      <c r="U352" s="60" t="str">
        <f>Ringkasan!U351</f>
        <v/>
      </c>
      <c r="V352" s="60">
        <f>Ringkasan!V351</f>
        <v>0.63</v>
      </c>
      <c r="W352" s="60">
        <f>Ringkasan!W351</f>
        <v>318</v>
      </c>
      <c r="X352" s="60">
        <f>Ringkasan!X351</f>
        <v>324</v>
      </c>
      <c r="Y352" s="60">
        <f>Ringkasan!Y351</f>
        <v>316</v>
      </c>
      <c r="Z352" s="60">
        <f>Ringkasan!Z351</f>
        <v>461500</v>
      </c>
      <c r="AA352" s="60" t="str">
        <f>Ringkasan!AA351</f>
        <v>Logistics &amp; Deliveries</v>
      </c>
      <c r="AB352" s="60" t="str">
        <f>Ringkasan!AB351</f>
        <v>Transportation &amp; Logistic</v>
      </c>
    </row>
    <row r="353">
      <c r="A353" s="60" t="str">
        <f>Ringkasan!A495</f>
        <v>CBDK</v>
      </c>
      <c r="B353" s="60" t="str">
        <f>Ringkasan!B495</f>
        <v>Bangun Kosambi Sukses Tbk.</v>
      </c>
      <c r="C353" s="61">
        <f>Ringkasan!C495</f>
        <v>3760</v>
      </c>
      <c r="D353" s="60" t="str">
        <f>Ringkasan!D495</f>
        <v>#N/A</v>
      </c>
      <c r="E353" s="60" t="str">
        <f>Ringkasan!E495</f>
        <v>IDX80</v>
      </c>
      <c r="F353" s="60" t="str">
        <f>Ringkasan!F495</f>
        <v>31 Juli 2026</v>
      </c>
      <c r="G353" s="61">
        <f>Ringkasan!G495</f>
        <v>2</v>
      </c>
      <c r="H353" s="62">
        <f>Ringkasan!H495</f>
        <v>12.3</v>
      </c>
      <c r="I353" s="62">
        <f>Ringkasan!I495</f>
        <v>1.8</v>
      </c>
      <c r="J353" s="62">
        <f>Ringkasan!J495</f>
        <v>14.2</v>
      </c>
      <c r="K353" s="62">
        <f>Ringkasan!K495</f>
        <v>7.9</v>
      </c>
      <c r="L353" s="62">
        <f>Ringkasan!L495</f>
        <v>0.8</v>
      </c>
      <c r="M353" s="62">
        <f>Ringkasan!M495</f>
        <v>240</v>
      </c>
      <c r="N353" s="60" t="str">
        <f>Ringkasan!N495</f>
        <v/>
      </c>
      <c r="O353" s="60" t="str">
        <f>Ringkasan!O495</f>
        <v/>
      </c>
      <c r="P353" s="60" t="str">
        <f>Ringkasan!P495</f>
        <v/>
      </c>
      <c r="Q353" s="60" t="str">
        <f>Ringkasan!Q495</f>
        <v/>
      </c>
      <c r="R353" s="60" t="str">
        <f>Ringkasan!R495</f>
        <v/>
      </c>
      <c r="S353" s="60" t="str">
        <f>Ringkasan!S495</f>
        <v/>
      </c>
      <c r="T353" s="60" t="str">
        <f>Ringkasan!T495</f>
        <v/>
      </c>
      <c r="U353" s="60">
        <f>Ringkasan!U495</f>
        <v>3320</v>
      </c>
      <c r="V353" s="60">
        <f>Ringkasan!V495</f>
        <v>13.25</v>
      </c>
      <c r="W353" s="60">
        <f>Ringkasan!W495</f>
        <v>3320</v>
      </c>
      <c r="X353" s="60">
        <f>Ringkasan!X495</f>
        <v>3780</v>
      </c>
      <c r="Y353" s="60">
        <f>Ringkasan!Y495</f>
        <v>3320</v>
      </c>
      <c r="Z353" s="60">
        <f>Ringkasan!Z495</f>
        <v>3534200</v>
      </c>
      <c r="AA353" s="60" t="str">
        <f>Ringkasan!AA495</f>
        <v>Real Estate Management &amp; Development</v>
      </c>
      <c r="AB353" s="60" t="str">
        <f>Ringkasan!AB495</f>
        <v>Properties &amp; Real Estate</v>
      </c>
    </row>
    <row r="354" hidden="1">
      <c r="A354" s="64" t="str">
        <f>Ringkasan!A353</f>
        <v>BLTZ</v>
      </c>
      <c r="B354" s="64" t="str">
        <f>Ringkasan!B353</f>
        <v>Graha Layar Prima Tbk.</v>
      </c>
      <c r="C354" s="65" t="str">
        <f>Ringkasan!C353</f>
        <v>#N/A</v>
      </c>
      <c r="D354" s="64" t="str">
        <f>Ringkasan!D353</f>
        <v>#N/A</v>
      </c>
      <c r="E354" s="64" t="str">
        <f>Ringkasan!E353</f>
        <v/>
      </c>
      <c r="F354" s="64" t="str">
        <f>Ringkasan!F353</f>
        <v/>
      </c>
      <c r="G354" s="64">
        <f>Ringkasan!G353</f>
        <v>0</v>
      </c>
      <c r="H354" s="19">
        <f>Ringkasan!H353</f>
        <v>36.8</v>
      </c>
      <c r="I354" s="19">
        <f>Ringkasan!I353</f>
        <v>5.9</v>
      </c>
      <c r="J354" s="19">
        <f>Ringkasan!J353</f>
        <v>16.1</v>
      </c>
      <c r="K354" s="19">
        <f>Ringkasan!K353</f>
        <v>3.9</v>
      </c>
      <c r="L354" s="19">
        <f>Ringkasan!L353</f>
        <v>3.2</v>
      </c>
      <c r="M354" s="19">
        <f>Ringkasan!M353</f>
        <v>32</v>
      </c>
      <c r="N354" s="64" t="str">
        <f>Ringkasan!N353</f>
        <v/>
      </c>
      <c r="O354" s="64" t="str">
        <f>Ringkasan!O353</f>
        <v/>
      </c>
      <c r="P354" s="64" t="str">
        <f>Ringkasan!P353</f>
        <v/>
      </c>
      <c r="Q354" s="64" t="str">
        <f>Ringkasan!Q353</f>
        <v/>
      </c>
      <c r="R354" s="64" t="str">
        <f>Ringkasan!R353</f>
        <v/>
      </c>
      <c r="S354" s="64" t="str">
        <f>Ringkasan!S353</f>
        <v/>
      </c>
      <c r="T354" s="64" t="str">
        <f>Ringkasan!T353</f>
        <v/>
      </c>
      <c r="U354" s="64">
        <f>Ringkasan!U353</f>
        <v>2890</v>
      </c>
      <c r="V354" s="64">
        <f>Ringkasan!V353</f>
        <v>0</v>
      </c>
      <c r="W354" s="64" t="str">
        <f>Ringkasan!W353</f>
        <v/>
      </c>
      <c r="X354" s="64" t="str">
        <f>Ringkasan!X353</f>
        <v/>
      </c>
      <c r="Y354" s="64" t="str">
        <f>Ringkasan!Y353</f>
        <v/>
      </c>
      <c r="Z354" s="64">
        <f>Ringkasan!Z353</f>
        <v>0</v>
      </c>
      <c r="AA354" s="64" t="str">
        <f>Ringkasan!AA353</f>
        <v>Tourism &amp; Recreation</v>
      </c>
      <c r="AB354" s="64" t="str">
        <f>Ringkasan!AB353</f>
        <v>Consumer Cyclicals</v>
      </c>
    </row>
    <row r="355" hidden="1">
      <c r="A355" s="64" t="str">
        <f>Ringkasan!A354</f>
        <v>BLUE</v>
      </c>
      <c r="B355" s="64" t="str">
        <f>Ringkasan!B354</f>
        <v>Berkah Prima Perkasa Tbk.</v>
      </c>
      <c r="C355" s="65">
        <f>Ringkasan!C354</f>
        <v>3290</v>
      </c>
      <c r="D355" s="64" t="str">
        <f>Ringkasan!D354</f>
        <v>#N/A</v>
      </c>
      <c r="E355" s="64" t="str">
        <f>Ringkasan!E354</f>
        <v/>
      </c>
      <c r="F355" s="64" t="str">
        <f>Ringkasan!F354</f>
        <v/>
      </c>
      <c r="G355" s="64">
        <f>Ringkasan!G354</f>
        <v>0</v>
      </c>
      <c r="H355" s="19">
        <f>Ringkasan!H354</f>
        <v>89.6</v>
      </c>
      <c r="I355" s="19">
        <f>Ringkasan!I354</f>
        <v>13.1</v>
      </c>
      <c r="J355" s="19">
        <f>Ringkasan!J354</f>
        <v>14.6</v>
      </c>
      <c r="K355" s="19">
        <f>Ringkasan!K354</f>
        <v>13.8</v>
      </c>
      <c r="L355" s="19">
        <f>Ringkasan!L354</f>
        <v>0.06</v>
      </c>
      <c r="M355" s="19">
        <f>Ringkasan!M354</f>
        <v>43.9</v>
      </c>
      <c r="N355" s="64" t="str">
        <f>Ringkasan!N354</f>
        <v/>
      </c>
      <c r="O355" s="64" t="str">
        <f>Ringkasan!O354</f>
        <v/>
      </c>
      <c r="P355" s="64" t="str">
        <f>Ringkasan!P354</f>
        <v/>
      </c>
      <c r="Q355" s="64" t="str">
        <f>Ringkasan!Q354</f>
        <v/>
      </c>
      <c r="R355" s="64" t="str">
        <f>Ringkasan!R354</f>
        <v/>
      </c>
      <c r="S355" s="64" t="str">
        <f>Ringkasan!S354</f>
        <v/>
      </c>
      <c r="T355" s="64" t="str">
        <f>Ringkasan!T354</f>
        <v/>
      </c>
      <c r="U355" s="64">
        <f>Ringkasan!U354</f>
        <v>17.98</v>
      </c>
      <c r="V355" s="64">
        <f>Ringkasan!V354</f>
        <v>0.56</v>
      </c>
      <c r="W355" s="64">
        <f>Ringkasan!W354</f>
        <v>18.09</v>
      </c>
      <c r="X355" s="64">
        <f>Ringkasan!X354</f>
        <v>18.13</v>
      </c>
      <c r="Y355" s="64">
        <f>Ringkasan!Y354</f>
        <v>17.99</v>
      </c>
      <c r="Z355" s="64">
        <f>Ringkasan!Z354</f>
        <v>19213</v>
      </c>
      <c r="AA355" s="64" t="str">
        <f>Ringkasan!AA354</f>
        <v>Commercial Services</v>
      </c>
      <c r="AB355" s="64" t="str">
        <f>Ringkasan!AB354</f>
        <v>Industrials</v>
      </c>
    </row>
    <row r="356" hidden="1">
      <c r="A356" s="64" t="str">
        <f>Ringkasan!A355</f>
        <v>BMAS</v>
      </c>
      <c r="B356" s="64" t="str">
        <f>Ringkasan!B355</f>
        <v>PT Bank Maspion Indonesia Tbk.</v>
      </c>
      <c r="C356" s="65">
        <f>Ringkasan!C355</f>
        <v>496</v>
      </c>
      <c r="D356" s="64" t="str">
        <f>Ringkasan!D355</f>
        <v>#N/A</v>
      </c>
      <c r="E356" s="64" t="str">
        <f>Ringkasan!E355</f>
        <v/>
      </c>
      <c r="F356" s="64" t="str">
        <f>Ringkasan!F355</f>
        <v/>
      </c>
      <c r="G356" s="64">
        <f>Ringkasan!G355</f>
        <v>0</v>
      </c>
      <c r="H356" s="19">
        <f>Ringkasan!H355</f>
        <v>2430</v>
      </c>
      <c r="I356" s="19">
        <f>Ringkasan!I355</f>
        <v>1.4</v>
      </c>
      <c r="J356" s="19">
        <f>Ringkasan!J355</f>
        <v>0.06</v>
      </c>
      <c r="K356" s="19">
        <f>Ringkasan!K355</f>
        <v>0.01</v>
      </c>
      <c r="L356" s="19">
        <f>Ringkasan!L355</f>
        <v>2.9</v>
      </c>
      <c r="M356" s="19">
        <f>Ringkasan!M355</f>
        <v>1.1</v>
      </c>
      <c r="N356" s="64">
        <f>Ringkasan!N355</f>
        <v>3.85</v>
      </c>
      <c r="O356" s="64">
        <f>Ringkasan!O355</f>
        <v>28.15</v>
      </c>
      <c r="P356" s="64">
        <f>Ringkasan!P355</f>
        <v>84.4</v>
      </c>
      <c r="Q356" s="64">
        <f>Ringkasan!Q355</f>
        <v>2.12</v>
      </c>
      <c r="R356" s="64">
        <f>Ringkasan!R355</f>
        <v>91.4</v>
      </c>
      <c r="S356" s="64">
        <f>Ringkasan!S355</f>
        <v>65.15</v>
      </c>
      <c r="T356" s="64">
        <f>Ringkasan!T355</f>
        <v>7.42</v>
      </c>
      <c r="U356" s="64">
        <f>Ringkasan!U355</f>
        <v>466</v>
      </c>
      <c r="V356" s="64">
        <f>Ringkasan!V355</f>
        <v>6.44</v>
      </c>
      <c r="W356" s="64">
        <f>Ringkasan!W355</f>
        <v>462</v>
      </c>
      <c r="X356" s="64">
        <f>Ringkasan!X355</f>
        <v>496</v>
      </c>
      <c r="Y356" s="64">
        <f>Ringkasan!Y355</f>
        <v>462</v>
      </c>
      <c r="Z356" s="64">
        <f>Ringkasan!Z355</f>
        <v>21100</v>
      </c>
      <c r="AA356" s="64" t="str">
        <f>Ringkasan!AA355</f>
        <v>Banks</v>
      </c>
      <c r="AB356" s="64" t="str">
        <f>Ringkasan!AB355</f>
        <v>Financials</v>
      </c>
    </row>
    <row r="357" hidden="1">
      <c r="A357" s="60" t="str">
        <f>Ringkasan!A1802</f>
        <v>UNTR</v>
      </c>
      <c r="B357" s="60" t="str">
        <f>Ringkasan!B1802</f>
        <v>United Tractors Tbk.</v>
      </c>
      <c r="C357" s="61">
        <f>Ringkasan!C1802</f>
        <v>22500</v>
      </c>
      <c r="D357" s="60" t="str">
        <f>Ringkasan!D1802</f>
        <v>#N/A</v>
      </c>
      <c r="E357" s="60" t="str">
        <f>Ringkasan!E1802</f>
        <v>Kompas100</v>
      </c>
      <c r="F357" s="60" t="str">
        <f>Ringkasan!F1802</f>
        <v>31 Juli 2026</v>
      </c>
      <c r="G357" s="61">
        <f>Ringkasan!G1802</f>
        <v>20</v>
      </c>
      <c r="H357" s="62">
        <f>Ringkasan!H1802</f>
        <v>7</v>
      </c>
      <c r="I357" s="62">
        <f>Ringkasan!I1802</f>
        <v>0.84</v>
      </c>
      <c r="J357" s="62">
        <f>Ringkasan!J1802</f>
        <v>12.1</v>
      </c>
      <c r="K357" s="62">
        <f>Ringkasan!K1802</f>
        <v>6.7</v>
      </c>
      <c r="L357" s="62">
        <f>Ringkasan!L1802</f>
        <v>0.8</v>
      </c>
      <c r="M357" s="62">
        <f>Ringkasan!M1802</f>
        <v>43</v>
      </c>
      <c r="N357" s="60" t="str">
        <f>Ringkasan!N1802</f>
        <v/>
      </c>
      <c r="O357" s="60" t="str">
        <f>Ringkasan!O1802</f>
        <v/>
      </c>
      <c r="P357" s="60" t="str">
        <f>Ringkasan!P1802</f>
        <v/>
      </c>
      <c r="Q357" s="60" t="str">
        <f>Ringkasan!Q1802</f>
        <v/>
      </c>
      <c r="R357" s="60" t="str">
        <f>Ringkasan!R1802</f>
        <v/>
      </c>
      <c r="S357" s="60" t="str">
        <f>Ringkasan!S1802</f>
        <v/>
      </c>
      <c r="T357" s="60" t="str">
        <f>Ringkasan!T1802</f>
        <v/>
      </c>
      <c r="U357" s="60">
        <f>Ringkasan!U1802</f>
        <v>21750</v>
      </c>
      <c r="V357" s="60">
        <f>Ringkasan!V1802</f>
        <v>3.45</v>
      </c>
      <c r="W357" s="60">
        <f>Ringkasan!W1802</f>
        <v>21900</v>
      </c>
      <c r="X357" s="60">
        <f>Ringkasan!X1802</f>
        <v>22825</v>
      </c>
      <c r="Y357" s="60">
        <f>Ringkasan!Y1802</f>
        <v>21900</v>
      </c>
      <c r="Z357" s="60">
        <f>Ringkasan!Z1802</f>
        <v>5608900</v>
      </c>
      <c r="AA357" s="60" t="str">
        <f>Ringkasan!AA1802</f>
        <v>Machinery</v>
      </c>
      <c r="AB357" s="60" t="str">
        <f>Ringkasan!AB1802</f>
        <v>Industrials</v>
      </c>
    </row>
    <row r="358" hidden="1">
      <c r="A358" s="64" t="str">
        <f>Ringkasan!A357</f>
        <v>BMHS</v>
      </c>
      <c r="B358" s="64" t="str">
        <f>Ringkasan!B357</f>
        <v>Bundamedik Tbk.</v>
      </c>
      <c r="C358" s="65">
        <f>Ringkasan!C357</f>
        <v>180</v>
      </c>
      <c r="D358" s="64" t="str">
        <f>Ringkasan!D357</f>
        <v>#N/A</v>
      </c>
      <c r="E358" s="64" t="str">
        <f>Ringkasan!E357</f>
        <v/>
      </c>
      <c r="F358" s="64" t="str">
        <f>Ringkasan!F357</f>
        <v/>
      </c>
      <c r="G358" s="64">
        <f>Ringkasan!G357</f>
        <v>0</v>
      </c>
      <c r="H358" s="19">
        <f>Ringkasan!H357</f>
        <v>170</v>
      </c>
      <c r="I358" s="19">
        <f>Ringkasan!I357</f>
        <v>0.66</v>
      </c>
      <c r="J358" s="19">
        <f>Ringkasan!J357</f>
        <v>0.38</v>
      </c>
      <c r="K358" s="19">
        <f>Ringkasan!K357</f>
        <v>0.23</v>
      </c>
      <c r="L358" s="19">
        <f>Ringkasan!L357</f>
        <v>0.69</v>
      </c>
      <c r="M358" s="19">
        <f>Ringkasan!M357</f>
        <v>2.5</v>
      </c>
      <c r="N358" s="64" t="str">
        <f>Ringkasan!N357</f>
        <v/>
      </c>
      <c r="O358" s="64" t="str">
        <f>Ringkasan!O357</f>
        <v/>
      </c>
      <c r="P358" s="64" t="str">
        <f>Ringkasan!P357</f>
        <v/>
      </c>
      <c r="Q358" s="64" t="str">
        <f>Ringkasan!Q357</f>
        <v/>
      </c>
      <c r="R358" s="64" t="str">
        <f>Ringkasan!R357</f>
        <v/>
      </c>
      <c r="S358" s="64" t="str">
        <f>Ringkasan!S357</f>
        <v/>
      </c>
      <c r="T358" s="64" t="str">
        <f>Ringkasan!T357</f>
        <v/>
      </c>
      <c r="U358" s="64">
        <f>Ringkasan!U357</f>
        <v>174</v>
      </c>
      <c r="V358" s="64">
        <f>Ringkasan!V357</f>
        <v>3.45</v>
      </c>
      <c r="W358" s="64">
        <f>Ringkasan!W357</f>
        <v>177</v>
      </c>
      <c r="X358" s="64">
        <f>Ringkasan!X357</f>
        <v>181</v>
      </c>
      <c r="Y358" s="64">
        <f>Ringkasan!Y357</f>
        <v>175</v>
      </c>
      <c r="Z358" s="64">
        <f>Ringkasan!Z357</f>
        <v>380100</v>
      </c>
      <c r="AA358" s="64" t="str">
        <f>Ringkasan!AA357</f>
        <v>Healthcare Providers</v>
      </c>
      <c r="AB358" s="64" t="str">
        <f>Ringkasan!AB357</f>
        <v>Healthcare</v>
      </c>
    </row>
    <row r="359" hidden="1">
      <c r="A359" s="64" t="str">
        <f>Ringkasan!A358</f>
        <v>BMRI</v>
      </c>
      <c r="B359" s="64" t="str">
        <f>Ringkasan!B358</f>
        <v>Bank Mandiri (Persero) Tbk.</v>
      </c>
      <c r="C359" s="65">
        <f>Ringkasan!C358</f>
        <v>4200</v>
      </c>
      <c r="D359" s="64" t="str">
        <f>Ringkasan!D358</f>
        <v>#N/A</v>
      </c>
      <c r="E359" s="64" t="str">
        <f>Ringkasan!E358</f>
        <v>ESGQKEHATI</v>
      </c>
      <c r="F359" s="66">
        <f>Ringkasan!F358</f>
        <v>46356</v>
      </c>
      <c r="G359" s="64">
        <f>Ringkasan!G358</f>
        <v>23</v>
      </c>
      <c r="H359" s="19">
        <f>Ringkasan!H358</f>
        <v>6.5</v>
      </c>
      <c r="I359" s="19">
        <f>Ringkasan!I358</f>
        <v>1.2</v>
      </c>
      <c r="J359" s="19">
        <f>Ringkasan!J358</f>
        <v>18.6</v>
      </c>
      <c r="K359" s="19">
        <f>Ringkasan!K358</f>
        <v>2.4</v>
      </c>
      <c r="L359" s="19">
        <f>Ringkasan!L358</f>
        <v>6.8</v>
      </c>
      <c r="M359" s="19">
        <f>Ringkasan!M358</f>
        <v>130</v>
      </c>
      <c r="N359" s="64">
        <f>Ringkasan!N358</f>
        <v>4.93</v>
      </c>
      <c r="O359" s="64">
        <f>Ringkasan!O358</f>
        <v>20.1</v>
      </c>
      <c r="P359" s="64">
        <f>Ringkasan!P358</f>
        <v>98.04</v>
      </c>
      <c r="Q359" s="64">
        <f>Ringkasan!Q358</f>
        <v>0.97</v>
      </c>
      <c r="R359" s="64">
        <f>Ringkasan!R358</f>
        <v>56.46</v>
      </c>
      <c r="S359" s="64">
        <f>Ringkasan!S358</f>
        <v>35.04</v>
      </c>
      <c r="T359" s="64">
        <f>Ringkasan!T358</f>
        <v>6.81</v>
      </c>
      <c r="U359" s="64">
        <f>Ringkasan!U358</f>
        <v>4250</v>
      </c>
      <c r="V359" s="64">
        <f>Ringkasan!V358</f>
        <v>-1.18</v>
      </c>
      <c r="W359" s="64">
        <f>Ringkasan!W358</f>
        <v>4320</v>
      </c>
      <c r="X359" s="64">
        <f>Ringkasan!X358</f>
        <v>4320</v>
      </c>
      <c r="Y359" s="64">
        <f>Ringkasan!Y358</f>
        <v>4200</v>
      </c>
      <c r="Z359" s="64" t="str">
        <f>Ringkasan!Z358</f>
        <v/>
      </c>
      <c r="AA359" s="64" t="str">
        <f>Ringkasan!AA358</f>
        <v>Banks</v>
      </c>
      <c r="AB359" s="64" t="str">
        <f>Ringkasan!AB358</f>
        <v>Financials</v>
      </c>
    </row>
    <row r="360" hidden="1">
      <c r="A360" s="64" t="str">
        <f>Ringkasan!A359</f>
        <v>BMRI</v>
      </c>
      <c r="B360" s="64" t="str">
        <f>Ringkasan!B359</f>
        <v>Bank Mandiri (Persero) Tbk.</v>
      </c>
      <c r="C360" s="65">
        <f>Ringkasan!C359</f>
        <v>4200</v>
      </c>
      <c r="D360" s="64" t="str">
        <f>Ringkasan!D359</f>
        <v>#N/A</v>
      </c>
      <c r="E360" s="64" t="str">
        <f>Ringkasan!E359</f>
        <v>ESGSKEHATI</v>
      </c>
      <c r="F360" s="66">
        <f>Ringkasan!F359</f>
        <v>46356</v>
      </c>
      <c r="G360" s="64">
        <f>Ringkasan!G359</f>
        <v>23</v>
      </c>
      <c r="H360" s="19">
        <f>Ringkasan!H359</f>
        <v>6.5</v>
      </c>
      <c r="I360" s="19">
        <f>Ringkasan!I359</f>
        <v>1.2</v>
      </c>
      <c r="J360" s="19">
        <f>Ringkasan!J359</f>
        <v>18.6</v>
      </c>
      <c r="K360" s="19">
        <f>Ringkasan!K359</f>
        <v>2.4</v>
      </c>
      <c r="L360" s="19">
        <f>Ringkasan!L359</f>
        <v>6.8</v>
      </c>
      <c r="M360" s="19">
        <f>Ringkasan!M359</f>
        <v>130</v>
      </c>
      <c r="N360" s="64">
        <f>Ringkasan!N359</f>
        <v>4.93</v>
      </c>
      <c r="O360" s="64">
        <f>Ringkasan!O359</f>
        <v>20.1</v>
      </c>
      <c r="P360" s="64">
        <f>Ringkasan!P359</f>
        <v>98.04</v>
      </c>
      <c r="Q360" s="64">
        <f>Ringkasan!Q359</f>
        <v>0.97</v>
      </c>
      <c r="R360" s="64">
        <f>Ringkasan!R359</f>
        <v>56.46</v>
      </c>
      <c r="S360" s="64">
        <f>Ringkasan!S359</f>
        <v>35.04</v>
      </c>
      <c r="T360" s="64">
        <f>Ringkasan!T359</f>
        <v>6.81</v>
      </c>
      <c r="U360" s="64">
        <f>Ringkasan!U359</f>
        <v>4250</v>
      </c>
      <c r="V360" s="64">
        <f>Ringkasan!V359</f>
        <v>-1.18</v>
      </c>
      <c r="W360" s="64">
        <f>Ringkasan!W359</f>
        <v>4320</v>
      </c>
      <c r="X360" s="64">
        <f>Ringkasan!X359</f>
        <v>4320</v>
      </c>
      <c r="Y360" s="64">
        <f>Ringkasan!Y359</f>
        <v>4200</v>
      </c>
      <c r="Z360" s="64" t="str">
        <f>Ringkasan!Z359</f>
        <v/>
      </c>
      <c r="AA360" s="64" t="str">
        <f>Ringkasan!AA359</f>
        <v>Banks</v>
      </c>
      <c r="AB360" s="64" t="str">
        <f>Ringkasan!AB359</f>
        <v>Financials</v>
      </c>
    </row>
    <row r="361" hidden="1">
      <c r="A361" s="64" t="str">
        <f>Ringkasan!A360</f>
        <v>BMRI</v>
      </c>
      <c r="B361" s="64" t="str">
        <f>Ringkasan!B360</f>
        <v>Bank Mandiri (Persero) Tbk.</v>
      </c>
      <c r="C361" s="65">
        <f>Ringkasan!C360</f>
        <v>4200</v>
      </c>
      <c r="D361" s="64" t="str">
        <f>Ringkasan!D360</f>
        <v>#N/A</v>
      </c>
      <c r="E361" s="64" t="str">
        <f>Ringkasan!E360</f>
        <v>FTSE Large Cap</v>
      </c>
      <c r="F361" s="64" t="str">
        <f>Ringkasan!F360</f>
        <v>Juni 2026</v>
      </c>
      <c r="G361" s="64">
        <f>Ringkasan!G360</f>
        <v>23</v>
      </c>
      <c r="H361" s="19">
        <f>Ringkasan!H360</f>
        <v>6.5</v>
      </c>
      <c r="I361" s="19">
        <f>Ringkasan!I360</f>
        <v>1.2</v>
      </c>
      <c r="J361" s="19">
        <f>Ringkasan!J360</f>
        <v>18.6</v>
      </c>
      <c r="K361" s="19">
        <f>Ringkasan!K360</f>
        <v>2.4</v>
      </c>
      <c r="L361" s="19">
        <f>Ringkasan!L360</f>
        <v>6.8</v>
      </c>
      <c r="M361" s="19">
        <f>Ringkasan!M360</f>
        <v>130</v>
      </c>
      <c r="N361" s="64">
        <f>Ringkasan!N360</f>
        <v>4.93</v>
      </c>
      <c r="O361" s="64">
        <f>Ringkasan!O360</f>
        <v>20.1</v>
      </c>
      <c r="P361" s="64">
        <f>Ringkasan!P360</f>
        <v>98.04</v>
      </c>
      <c r="Q361" s="64">
        <f>Ringkasan!Q360</f>
        <v>0.97</v>
      </c>
      <c r="R361" s="64">
        <f>Ringkasan!R360</f>
        <v>56.46</v>
      </c>
      <c r="S361" s="64">
        <f>Ringkasan!S360</f>
        <v>35.04</v>
      </c>
      <c r="T361" s="64">
        <f>Ringkasan!T360</f>
        <v>6.81</v>
      </c>
      <c r="U361" s="64">
        <f>Ringkasan!U360</f>
        <v>4250</v>
      </c>
      <c r="V361" s="64">
        <f>Ringkasan!V360</f>
        <v>-1.18</v>
      </c>
      <c r="W361" s="64">
        <f>Ringkasan!W360</f>
        <v>4320</v>
      </c>
      <c r="X361" s="64">
        <f>Ringkasan!X360</f>
        <v>4320</v>
      </c>
      <c r="Y361" s="64">
        <f>Ringkasan!Y360</f>
        <v>4200</v>
      </c>
      <c r="Z361" s="64" t="str">
        <f>Ringkasan!Z360</f>
        <v/>
      </c>
      <c r="AA361" s="64" t="str">
        <f>Ringkasan!AA360</f>
        <v>Banks</v>
      </c>
      <c r="AB361" s="64" t="str">
        <f>Ringkasan!AB360</f>
        <v>Financials</v>
      </c>
    </row>
    <row r="362" hidden="1">
      <c r="A362" s="64" t="str">
        <f>Ringkasan!A361</f>
        <v>BMRI</v>
      </c>
      <c r="B362" s="64" t="str">
        <f>Ringkasan!B361</f>
        <v>Bank Mandiri (Persero) Tbk.</v>
      </c>
      <c r="C362" s="65">
        <f>Ringkasan!C361</f>
        <v>4200</v>
      </c>
      <c r="D362" s="64" t="str">
        <f>Ringkasan!D361</f>
        <v>#N/A</v>
      </c>
      <c r="E362" s="64" t="str">
        <f>Ringkasan!E361</f>
        <v>MSCI Global Standard</v>
      </c>
      <c r="F362" s="64" t="str">
        <f>Ringkasan!F361</f>
        <v>12 Agustus 2026</v>
      </c>
      <c r="G362" s="64">
        <f>Ringkasan!G361</f>
        <v>23</v>
      </c>
      <c r="H362" s="19">
        <f>Ringkasan!H361</f>
        <v>6.5</v>
      </c>
      <c r="I362" s="19">
        <f>Ringkasan!I361</f>
        <v>1.2</v>
      </c>
      <c r="J362" s="19">
        <f>Ringkasan!J361</f>
        <v>18.6</v>
      </c>
      <c r="K362" s="19">
        <f>Ringkasan!K361</f>
        <v>2.4</v>
      </c>
      <c r="L362" s="19">
        <f>Ringkasan!L361</f>
        <v>6.8</v>
      </c>
      <c r="M362" s="19">
        <f>Ringkasan!M361</f>
        <v>130</v>
      </c>
      <c r="N362" s="64">
        <f>Ringkasan!N361</f>
        <v>4.93</v>
      </c>
      <c r="O362" s="64">
        <f>Ringkasan!O361</f>
        <v>20.1</v>
      </c>
      <c r="P362" s="64">
        <f>Ringkasan!P361</f>
        <v>98.04</v>
      </c>
      <c r="Q362" s="64">
        <f>Ringkasan!Q361</f>
        <v>0.97</v>
      </c>
      <c r="R362" s="64">
        <f>Ringkasan!R361</f>
        <v>56.46</v>
      </c>
      <c r="S362" s="64">
        <f>Ringkasan!S361</f>
        <v>35.04</v>
      </c>
      <c r="T362" s="64">
        <f>Ringkasan!T361</f>
        <v>6.81</v>
      </c>
      <c r="U362" s="64">
        <f>Ringkasan!U361</f>
        <v>4250</v>
      </c>
      <c r="V362" s="64">
        <f>Ringkasan!V361</f>
        <v>-1.18</v>
      </c>
      <c r="W362" s="64">
        <f>Ringkasan!W361</f>
        <v>4320</v>
      </c>
      <c r="X362" s="64">
        <f>Ringkasan!X361</f>
        <v>4320</v>
      </c>
      <c r="Y362" s="64">
        <f>Ringkasan!Y361</f>
        <v>4200</v>
      </c>
      <c r="Z362" s="64" t="str">
        <f>Ringkasan!Z361</f>
        <v/>
      </c>
      <c r="AA362" s="64" t="str">
        <f>Ringkasan!AA361</f>
        <v>Banks</v>
      </c>
      <c r="AB362" s="64" t="str">
        <f>Ringkasan!AB361</f>
        <v>Financials</v>
      </c>
    </row>
    <row r="363" hidden="1">
      <c r="A363" s="64" t="str">
        <f>Ringkasan!A362</f>
        <v>BMRI</v>
      </c>
      <c r="B363" s="64" t="str">
        <f>Ringkasan!B362</f>
        <v>Bank Mandiri (Persero) Tbk.</v>
      </c>
      <c r="C363" s="65">
        <f>Ringkasan!C362</f>
        <v>4200</v>
      </c>
      <c r="D363" s="64" t="str">
        <f>Ringkasan!D362</f>
        <v>#N/A</v>
      </c>
      <c r="E363" s="64" t="str">
        <f>Ringkasan!E362</f>
        <v>IDXQ30</v>
      </c>
      <c r="F363" s="64" t="str">
        <f>Ringkasan!F362</f>
        <v>4 Agustus 2026</v>
      </c>
      <c r="G363" s="64">
        <f>Ringkasan!G362</f>
        <v>23</v>
      </c>
      <c r="H363" s="19">
        <f>Ringkasan!H362</f>
        <v>6.5</v>
      </c>
      <c r="I363" s="19">
        <f>Ringkasan!I362</f>
        <v>1.2</v>
      </c>
      <c r="J363" s="19">
        <f>Ringkasan!J362</f>
        <v>18.6</v>
      </c>
      <c r="K363" s="19">
        <f>Ringkasan!K362</f>
        <v>2.4</v>
      </c>
      <c r="L363" s="19">
        <f>Ringkasan!L362</f>
        <v>6.8</v>
      </c>
      <c r="M363" s="19">
        <f>Ringkasan!M362</f>
        <v>130</v>
      </c>
      <c r="N363" s="64">
        <f>Ringkasan!N362</f>
        <v>4.93</v>
      </c>
      <c r="O363" s="64">
        <f>Ringkasan!O362</f>
        <v>20.1</v>
      </c>
      <c r="P363" s="64">
        <f>Ringkasan!P362</f>
        <v>98.04</v>
      </c>
      <c r="Q363" s="64">
        <f>Ringkasan!Q362</f>
        <v>0.97</v>
      </c>
      <c r="R363" s="64">
        <f>Ringkasan!R362</f>
        <v>56.46</v>
      </c>
      <c r="S363" s="64">
        <f>Ringkasan!S362</f>
        <v>35.04</v>
      </c>
      <c r="T363" s="64">
        <f>Ringkasan!T362</f>
        <v>6.81</v>
      </c>
      <c r="U363" s="64">
        <f>Ringkasan!U362</f>
        <v>4250</v>
      </c>
      <c r="V363" s="64">
        <f>Ringkasan!V362</f>
        <v>-1.18</v>
      </c>
      <c r="W363" s="64">
        <f>Ringkasan!W362</f>
        <v>4320</v>
      </c>
      <c r="X363" s="64">
        <f>Ringkasan!X362</f>
        <v>4320</v>
      </c>
      <c r="Y363" s="64">
        <f>Ringkasan!Y362</f>
        <v>4200</v>
      </c>
      <c r="Z363" s="64" t="str">
        <f>Ringkasan!Z362</f>
        <v/>
      </c>
      <c r="AA363" s="64" t="str">
        <f>Ringkasan!AA362</f>
        <v>Banks</v>
      </c>
      <c r="AB363" s="64" t="str">
        <f>Ringkasan!AB362</f>
        <v>Financials</v>
      </c>
    </row>
    <row r="364" hidden="1">
      <c r="A364" s="64" t="str">
        <f>Ringkasan!A363</f>
        <v>BMRI</v>
      </c>
      <c r="B364" s="64" t="str">
        <f>Ringkasan!B363</f>
        <v>Bank Mandiri (Persero) Tbk.</v>
      </c>
      <c r="C364" s="65">
        <f>Ringkasan!C363</f>
        <v>4200</v>
      </c>
      <c r="D364" s="64" t="str">
        <f>Ringkasan!D363</f>
        <v>#N/A</v>
      </c>
      <c r="E364" s="64" t="str">
        <f>Ringkasan!E363</f>
        <v>IDXG30</v>
      </c>
      <c r="F364" s="64" t="str">
        <f>Ringkasan!F363</f>
        <v>4 Agustus 2026</v>
      </c>
      <c r="G364" s="64">
        <f>Ringkasan!G363</f>
        <v>23</v>
      </c>
      <c r="H364" s="19">
        <f>Ringkasan!H363</f>
        <v>6.5</v>
      </c>
      <c r="I364" s="19">
        <f>Ringkasan!I363</f>
        <v>1.2</v>
      </c>
      <c r="J364" s="19">
        <f>Ringkasan!J363</f>
        <v>18.6</v>
      </c>
      <c r="K364" s="19">
        <f>Ringkasan!K363</f>
        <v>2.4</v>
      </c>
      <c r="L364" s="19">
        <f>Ringkasan!L363</f>
        <v>6.8</v>
      </c>
      <c r="M364" s="19">
        <f>Ringkasan!M363</f>
        <v>130</v>
      </c>
      <c r="N364" s="64">
        <f>Ringkasan!N363</f>
        <v>4.93</v>
      </c>
      <c r="O364" s="64">
        <f>Ringkasan!O363</f>
        <v>20.1</v>
      </c>
      <c r="P364" s="64">
        <f>Ringkasan!P363</f>
        <v>98.04</v>
      </c>
      <c r="Q364" s="64">
        <f>Ringkasan!Q363</f>
        <v>0.97</v>
      </c>
      <c r="R364" s="64">
        <f>Ringkasan!R363</f>
        <v>56.46</v>
      </c>
      <c r="S364" s="64">
        <f>Ringkasan!S363</f>
        <v>35.04</v>
      </c>
      <c r="T364" s="64">
        <f>Ringkasan!T363</f>
        <v>6.81</v>
      </c>
      <c r="U364" s="64">
        <f>Ringkasan!U363</f>
        <v>4250</v>
      </c>
      <c r="V364" s="64">
        <f>Ringkasan!V363</f>
        <v>-1.18</v>
      </c>
      <c r="W364" s="64">
        <f>Ringkasan!W363</f>
        <v>4320</v>
      </c>
      <c r="X364" s="64">
        <f>Ringkasan!X363</f>
        <v>4320</v>
      </c>
      <c r="Y364" s="64">
        <f>Ringkasan!Y363</f>
        <v>4200</v>
      </c>
      <c r="Z364" s="64" t="str">
        <f>Ringkasan!Z363</f>
        <v/>
      </c>
      <c r="AA364" s="64" t="str">
        <f>Ringkasan!AA363</f>
        <v>Banks</v>
      </c>
      <c r="AB364" s="64" t="str">
        <f>Ringkasan!AB363</f>
        <v>Financials</v>
      </c>
    </row>
    <row r="365" hidden="1">
      <c r="A365" s="64" t="str">
        <f>Ringkasan!A364</f>
        <v>BMRI</v>
      </c>
      <c r="B365" s="64" t="str">
        <f>Ringkasan!B364</f>
        <v>Bank Mandiri (Persero) Tbk.</v>
      </c>
      <c r="C365" s="65">
        <f>Ringkasan!C364</f>
        <v>4200</v>
      </c>
      <c r="D365" s="64" t="str">
        <f>Ringkasan!D364</f>
        <v>#N/A</v>
      </c>
      <c r="E365" s="64" t="str">
        <f>Ringkasan!E364</f>
        <v>Infobank15</v>
      </c>
      <c r="F365" s="64" t="str">
        <f>Ringkasan!F364</f>
        <v>30 Juni 2026</v>
      </c>
      <c r="G365" s="64">
        <f>Ringkasan!G364</f>
        <v>23</v>
      </c>
      <c r="H365" s="19">
        <f>Ringkasan!H364</f>
        <v>6.5</v>
      </c>
      <c r="I365" s="19">
        <f>Ringkasan!I364</f>
        <v>1.2</v>
      </c>
      <c r="J365" s="19">
        <f>Ringkasan!J364</f>
        <v>18.6</v>
      </c>
      <c r="K365" s="19">
        <f>Ringkasan!K364</f>
        <v>2.4</v>
      </c>
      <c r="L365" s="19">
        <f>Ringkasan!L364</f>
        <v>6.8</v>
      </c>
      <c r="M365" s="19">
        <f>Ringkasan!M364</f>
        <v>130</v>
      </c>
      <c r="N365" s="64">
        <f>Ringkasan!N364</f>
        <v>4.93</v>
      </c>
      <c r="O365" s="64">
        <f>Ringkasan!O364</f>
        <v>20.1</v>
      </c>
      <c r="P365" s="64">
        <f>Ringkasan!P364</f>
        <v>98.04</v>
      </c>
      <c r="Q365" s="64">
        <f>Ringkasan!Q364</f>
        <v>0.97</v>
      </c>
      <c r="R365" s="64">
        <f>Ringkasan!R364</f>
        <v>56.46</v>
      </c>
      <c r="S365" s="64">
        <f>Ringkasan!S364</f>
        <v>35.04</v>
      </c>
      <c r="T365" s="64">
        <f>Ringkasan!T364</f>
        <v>6.81</v>
      </c>
      <c r="U365" s="64">
        <f>Ringkasan!U364</f>
        <v>4250</v>
      </c>
      <c r="V365" s="64">
        <f>Ringkasan!V364</f>
        <v>-1.18</v>
      </c>
      <c r="W365" s="64">
        <f>Ringkasan!W364</f>
        <v>4320</v>
      </c>
      <c r="X365" s="64">
        <f>Ringkasan!X364</f>
        <v>4320</v>
      </c>
      <c r="Y365" s="64">
        <f>Ringkasan!Y364</f>
        <v>4200</v>
      </c>
      <c r="Z365" s="64" t="str">
        <f>Ringkasan!Z364</f>
        <v/>
      </c>
      <c r="AA365" s="64" t="str">
        <f>Ringkasan!AA364</f>
        <v>Banks</v>
      </c>
      <c r="AB365" s="64" t="str">
        <f>Ringkasan!AB364</f>
        <v>Financials</v>
      </c>
    </row>
    <row r="366" hidden="1">
      <c r="A366" s="64" t="str">
        <f>Ringkasan!A365</f>
        <v>BMRI</v>
      </c>
      <c r="B366" s="64" t="str">
        <f>Ringkasan!B365</f>
        <v>Bank Mandiri (Persero) Tbk.</v>
      </c>
      <c r="C366" s="65">
        <f>Ringkasan!C365</f>
        <v>4200</v>
      </c>
      <c r="D366" s="64" t="str">
        <f>Ringkasan!D365</f>
        <v>#N/A</v>
      </c>
      <c r="E366" s="64" t="str">
        <f>Ringkasan!E365</f>
        <v>Kompas100</v>
      </c>
      <c r="F366" s="64" t="str">
        <f>Ringkasan!F365</f>
        <v>31 Juli 2026</v>
      </c>
      <c r="G366" s="64">
        <f>Ringkasan!G365</f>
        <v>23</v>
      </c>
      <c r="H366" s="19">
        <f>Ringkasan!H365</f>
        <v>6.5</v>
      </c>
      <c r="I366" s="19">
        <f>Ringkasan!I365</f>
        <v>1.2</v>
      </c>
      <c r="J366" s="19">
        <f>Ringkasan!J365</f>
        <v>18.6</v>
      </c>
      <c r="K366" s="19">
        <f>Ringkasan!K365</f>
        <v>2.4</v>
      </c>
      <c r="L366" s="19">
        <f>Ringkasan!L365</f>
        <v>6.8</v>
      </c>
      <c r="M366" s="19">
        <f>Ringkasan!M365</f>
        <v>130</v>
      </c>
      <c r="N366" s="64">
        <f>Ringkasan!N365</f>
        <v>4.93</v>
      </c>
      <c r="O366" s="64">
        <f>Ringkasan!O365</f>
        <v>20.1</v>
      </c>
      <c r="P366" s="64">
        <f>Ringkasan!P365</f>
        <v>98.04</v>
      </c>
      <c r="Q366" s="64">
        <f>Ringkasan!Q365</f>
        <v>0.97</v>
      </c>
      <c r="R366" s="64">
        <f>Ringkasan!R365</f>
        <v>56.46</v>
      </c>
      <c r="S366" s="64">
        <f>Ringkasan!S365</f>
        <v>35.04</v>
      </c>
      <c r="T366" s="64">
        <f>Ringkasan!T365</f>
        <v>6.81</v>
      </c>
      <c r="U366" s="64">
        <f>Ringkasan!U365</f>
        <v>4250</v>
      </c>
      <c r="V366" s="64">
        <f>Ringkasan!V365</f>
        <v>-1.18</v>
      </c>
      <c r="W366" s="64">
        <f>Ringkasan!W365</f>
        <v>4320</v>
      </c>
      <c r="X366" s="64">
        <f>Ringkasan!X365</f>
        <v>4320</v>
      </c>
      <c r="Y366" s="64">
        <f>Ringkasan!Y365</f>
        <v>4200</v>
      </c>
      <c r="Z366" s="64" t="str">
        <f>Ringkasan!Z365</f>
        <v/>
      </c>
      <c r="AA366" s="64" t="str">
        <f>Ringkasan!AA365</f>
        <v>Banks</v>
      </c>
      <c r="AB366" s="64" t="str">
        <f>Ringkasan!AB365</f>
        <v>Financials</v>
      </c>
    </row>
    <row r="367" hidden="1">
      <c r="A367" s="64" t="str">
        <f>Ringkasan!A366</f>
        <v>BMRI</v>
      </c>
      <c r="B367" s="64" t="str">
        <f>Ringkasan!B366</f>
        <v>Bank Mandiri (Persero) Tbk.</v>
      </c>
      <c r="C367" s="65">
        <f>Ringkasan!C366</f>
        <v>4200</v>
      </c>
      <c r="D367" s="64" t="str">
        <f>Ringkasan!D366</f>
        <v>#N/A</v>
      </c>
      <c r="E367" s="64" t="str">
        <f>Ringkasan!E366</f>
        <v>MNC36</v>
      </c>
      <c r="F367" s="64" t="str">
        <f>Ringkasan!F366</f>
        <v>30 Oktober 2026</v>
      </c>
      <c r="G367" s="64">
        <f>Ringkasan!G366</f>
        <v>23</v>
      </c>
      <c r="H367" s="19">
        <f>Ringkasan!H366</f>
        <v>6.5</v>
      </c>
      <c r="I367" s="19">
        <f>Ringkasan!I366</f>
        <v>1.2</v>
      </c>
      <c r="J367" s="19">
        <f>Ringkasan!J366</f>
        <v>18.6</v>
      </c>
      <c r="K367" s="19">
        <f>Ringkasan!K366</f>
        <v>2.4</v>
      </c>
      <c r="L367" s="19">
        <f>Ringkasan!L366</f>
        <v>6.8</v>
      </c>
      <c r="M367" s="19">
        <f>Ringkasan!M366</f>
        <v>130</v>
      </c>
      <c r="N367" s="64">
        <f>Ringkasan!N366</f>
        <v>4.93</v>
      </c>
      <c r="O367" s="64">
        <f>Ringkasan!O366</f>
        <v>20.1</v>
      </c>
      <c r="P367" s="64">
        <f>Ringkasan!P366</f>
        <v>98.04</v>
      </c>
      <c r="Q367" s="64">
        <f>Ringkasan!Q366</f>
        <v>0.97</v>
      </c>
      <c r="R367" s="64">
        <f>Ringkasan!R366</f>
        <v>56.46</v>
      </c>
      <c r="S367" s="64">
        <f>Ringkasan!S366</f>
        <v>35.04</v>
      </c>
      <c r="T367" s="64">
        <f>Ringkasan!T366</f>
        <v>6.81</v>
      </c>
      <c r="U367" s="64">
        <f>Ringkasan!U366</f>
        <v>4250</v>
      </c>
      <c r="V367" s="64">
        <f>Ringkasan!V366</f>
        <v>-1.18</v>
      </c>
      <c r="W367" s="64">
        <f>Ringkasan!W366</f>
        <v>4320</v>
      </c>
      <c r="X367" s="64">
        <f>Ringkasan!X366</f>
        <v>4320</v>
      </c>
      <c r="Y367" s="64">
        <f>Ringkasan!Y366</f>
        <v>4200</v>
      </c>
      <c r="Z367" s="64" t="str">
        <f>Ringkasan!Z366</f>
        <v/>
      </c>
      <c r="AA367" s="64" t="str">
        <f>Ringkasan!AA366</f>
        <v>Banks</v>
      </c>
      <c r="AB367" s="64" t="str">
        <f>Ringkasan!AB366</f>
        <v>Financials</v>
      </c>
    </row>
    <row r="368" hidden="1">
      <c r="A368" s="64" t="str">
        <f>Ringkasan!A14</f>
        <v>ABDA</v>
      </c>
      <c r="B368" s="64" t="str">
        <f>Ringkasan!B14</f>
        <v>Asuransi Bina Dana Arta Tbk.</v>
      </c>
      <c r="C368" s="65">
        <f>Ringkasan!C14</f>
        <v>3390</v>
      </c>
      <c r="D368" s="64" t="str">
        <f>Ringkasan!D14</f>
        <v>#N/A</v>
      </c>
      <c r="E368" s="64" t="str">
        <f>Ringkasan!E14</f>
        <v/>
      </c>
      <c r="F368" s="64" t="str">
        <f>Ringkasan!F14</f>
        <v/>
      </c>
      <c r="G368" s="64">
        <f>Ringkasan!G14</f>
        <v>0</v>
      </c>
      <c r="H368" s="19">
        <f>Ringkasan!H14</f>
        <v>19.6</v>
      </c>
      <c r="I368" s="19">
        <f>Ringkasan!I14</f>
        <v>1.2</v>
      </c>
      <c r="J368" s="19">
        <f>Ringkasan!J14</f>
        <v>6.3</v>
      </c>
      <c r="K368" s="19">
        <f>Ringkasan!K14</f>
        <v>3.9</v>
      </c>
      <c r="L368" s="19">
        <f>Ringkasan!L14</f>
        <v>0.59</v>
      </c>
      <c r="M368" s="19">
        <f>Ringkasan!M14</f>
        <v>31.1</v>
      </c>
      <c r="N368" s="64" t="str">
        <f>Ringkasan!N14</f>
        <v/>
      </c>
      <c r="O368" s="64" t="str">
        <f>Ringkasan!O14</f>
        <v/>
      </c>
      <c r="P368" s="64" t="str">
        <f>Ringkasan!P14</f>
        <v/>
      </c>
      <c r="Q368" s="64" t="str">
        <f>Ringkasan!Q14</f>
        <v/>
      </c>
      <c r="R368" s="64" t="str">
        <f>Ringkasan!R14</f>
        <v/>
      </c>
      <c r="S368" s="64" t="str">
        <f>Ringkasan!S14</f>
        <v/>
      </c>
      <c r="T368" s="64" t="str">
        <f>Ringkasan!T14</f>
        <v/>
      </c>
      <c r="U368" s="64">
        <f>Ringkasan!U14</f>
        <v>3330</v>
      </c>
      <c r="V368" s="64">
        <f>Ringkasan!V14</f>
        <v>1.8</v>
      </c>
      <c r="W368" s="64">
        <f>Ringkasan!W14</f>
        <v>3430</v>
      </c>
      <c r="X368" s="64">
        <f>Ringkasan!X14</f>
        <v>3430</v>
      </c>
      <c r="Y368" s="64">
        <f>Ringkasan!Y14</f>
        <v>3100</v>
      </c>
      <c r="Z368" s="64">
        <f>Ringkasan!Z14</f>
        <v>10200</v>
      </c>
      <c r="AA368" s="64" t="str">
        <f>Ringkasan!AA14</f>
        <v>Insurance</v>
      </c>
      <c r="AB368" s="64" t="str">
        <f>Ringkasan!AB14</f>
        <v>Financials</v>
      </c>
    </row>
    <row r="369" hidden="1">
      <c r="A369" s="64" t="str">
        <f>Ringkasan!A256</f>
        <v>BBNI</v>
      </c>
      <c r="B369" s="64" t="str">
        <f>Ringkasan!B256</f>
        <v>PT Bank Negara Indonesia (Persero) Tbk</v>
      </c>
      <c r="C369" s="65">
        <f>Ringkasan!C256</f>
        <v>3560</v>
      </c>
      <c r="D369" s="64" t="str">
        <f>Ringkasan!D256</f>
        <v>#N/A</v>
      </c>
      <c r="E369" s="64" t="str">
        <f>Ringkasan!E256</f>
        <v>Kompas100</v>
      </c>
      <c r="F369" s="64" t="str">
        <f>Ringkasan!F256</f>
        <v>31 Juli 2026</v>
      </c>
      <c r="G369" s="64">
        <f>Ringkasan!G256</f>
        <v>22</v>
      </c>
      <c r="H369" s="19">
        <f>Ringkasan!H256</f>
        <v>6.8</v>
      </c>
      <c r="I369" s="19">
        <f>Ringkasan!I256</f>
        <v>0.83</v>
      </c>
      <c r="J369" s="19">
        <f>Ringkasan!J256</f>
        <v>12.3</v>
      </c>
      <c r="K369" s="19">
        <f>Ringkasan!K256</f>
        <v>1.4</v>
      </c>
      <c r="L369" s="19">
        <f>Ringkasan!L256</f>
        <v>7.6</v>
      </c>
      <c r="M369" s="19">
        <f>Ringkasan!M256</f>
        <v>89.9</v>
      </c>
      <c r="N369" s="64">
        <f>Ringkasan!N256</f>
        <v>3.8</v>
      </c>
      <c r="O369" s="64">
        <f>Ringkasan!O256</f>
        <v>20.7</v>
      </c>
      <c r="P369" s="64">
        <f>Ringkasan!P256</f>
        <v>86.4</v>
      </c>
      <c r="Q369" s="64">
        <f>Ringkasan!Q256</f>
        <v>1.9</v>
      </c>
      <c r="R369" s="64">
        <f>Ringkasan!R256</f>
        <v>72.9</v>
      </c>
      <c r="S369" s="64">
        <f>Ringkasan!S256</f>
        <v>46.5</v>
      </c>
      <c r="T369" s="64">
        <f>Ringkasan!T256</f>
        <v>8.5</v>
      </c>
      <c r="U369" s="64">
        <f>Ringkasan!U256</f>
        <v>3500</v>
      </c>
      <c r="V369" s="64">
        <f>Ringkasan!V256</f>
        <v>1.71</v>
      </c>
      <c r="W369" s="64">
        <f>Ringkasan!W256</f>
        <v>3570</v>
      </c>
      <c r="X369" s="64">
        <f>Ringkasan!X256</f>
        <v>3650</v>
      </c>
      <c r="Y369" s="64">
        <f>Ringkasan!Y256</f>
        <v>3520</v>
      </c>
      <c r="Z369" s="64">
        <f>Ringkasan!Z256</f>
        <v>74824100</v>
      </c>
      <c r="AA369" s="64" t="str">
        <f>Ringkasan!AA256</f>
        <v>Banks</v>
      </c>
      <c r="AB369" s="64" t="str">
        <f>Ringkasan!AB256</f>
        <v>Financials</v>
      </c>
    </row>
    <row r="370" hidden="1">
      <c r="A370" s="64" t="str">
        <f>Ringkasan!A369</f>
        <v>BMRI</v>
      </c>
      <c r="B370" s="64" t="str">
        <f>Ringkasan!B369</f>
        <v>Bank Mandiri (Persero) Tbk.</v>
      </c>
      <c r="C370" s="65">
        <f>Ringkasan!C369</f>
        <v>4200</v>
      </c>
      <c r="D370" s="64" t="str">
        <f>Ringkasan!D369</f>
        <v>#N/A</v>
      </c>
      <c r="E370" s="64" t="str">
        <f>Ringkasan!E369</f>
        <v>IDXHIDIV20</v>
      </c>
      <c r="F370" s="64" t="str">
        <f>Ringkasan!F369</f>
        <v>2 Februari 2027</v>
      </c>
      <c r="G370" s="64">
        <f>Ringkasan!G369</f>
        <v>23</v>
      </c>
      <c r="H370" s="19">
        <f>Ringkasan!H369</f>
        <v>6.5</v>
      </c>
      <c r="I370" s="19">
        <f>Ringkasan!I369</f>
        <v>1.2</v>
      </c>
      <c r="J370" s="19">
        <f>Ringkasan!J369</f>
        <v>18.6</v>
      </c>
      <c r="K370" s="19">
        <f>Ringkasan!K369</f>
        <v>2.4</v>
      </c>
      <c r="L370" s="19">
        <f>Ringkasan!L369</f>
        <v>6.8</v>
      </c>
      <c r="M370" s="19">
        <f>Ringkasan!M369</f>
        <v>130</v>
      </c>
      <c r="N370" s="64">
        <f>Ringkasan!N369</f>
        <v>4.93</v>
      </c>
      <c r="O370" s="64">
        <f>Ringkasan!O369</f>
        <v>20.1</v>
      </c>
      <c r="P370" s="64">
        <f>Ringkasan!P369</f>
        <v>98.04</v>
      </c>
      <c r="Q370" s="64">
        <f>Ringkasan!Q369</f>
        <v>0.97</v>
      </c>
      <c r="R370" s="64">
        <f>Ringkasan!R369</f>
        <v>56.46</v>
      </c>
      <c r="S370" s="64">
        <f>Ringkasan!S369</f>
        <v>35.04</v>
      </c>
      <c r="T370" s="64">
        <f>Ringkasan!T369</f>
        <v>6.81</v>
      </c>
      <c r="U370" s="64">
        <f>Ringkasan!U369</f>
        <v>4250</v>
      </c>
      <c r="V370" s="64">
        <f>Ringkasan!V369</f>
        <v>-1.18</v>
      </c>
      <c r="W370" s="64">
        <f>Ringkasan!W369</f>
        <v>4320</v>
      </c>
      <c r="X370" s="64">
        <f>Ringkasan!X369</f>
        <v>4320</v>
      </c>
      <c r="Y370" s="64">
        <f>Ringkasan!Y369</f>
        <v>4200</v>
      </c>
      <c r="Z370" s="64" t="str">
        <f>Ringkasan!Z369</f>
        <v/>
      </c>
      <c r="AA370" s="64" t="str">
        <f>Ringkasan!AA369</f>
        <v>Banks</v>
      </c>
      <c r="AB370" s="64" t="str">
        <f>Ringkasan!AB369</f>
        <v>Financials</v>
      </c>
    </row>
    <row r="371" hidden="1">
      <c r="A371" s="64" t="str">
        <f>Ringkasan!A370</f>
        <v>BMRI</v>
      </c>
      <c r="B371" s="64" t="str">
        <f>Ringkasan!B370</f>
        <v>Bank Mandiri (Persero) Tbk.</v>
      </c>
      <c r="C371" s="65">
        <f>Ringkasan!C370</f>
        <v>4200</v>
      </c>
      <c r="D371" s="64" t="str">
        <f>Ringkasan!D370</f>
        <v>#N/A</v>
      </c>
      <c r="E371" s="64" t="str">
        <f>Ringkasan!E370</f>
        <v>SMINFRA18</v>
      </c>
      <c r="F371" s="64" t="str">
        <f>Ringkasan!F370</f>
        <v>30 Oktober 2026</v>
      </c>
      <c r="G371" s="64">
        <f>Ringkasan!G370</f>
        <v>23</v>
      </c>
      <c r="H371" s="19">
        <f>Ringkasan!H370</f>
        <v>6.5</v>
      </c>
      <c r="I371" s="19">
        <f>Ringkasan!I370</f>
        <v>1.2</v>
      </c>
      <c r="J371" s="19">
        <f>Ringkasan!J370</f>
        <v>18.6</v>
      </c>
      <c r="K371" s="19">
        <f>Ringkasan!K370</f>
        <v>2.4</v>
      </c>
      <c r="L371" s="19">
        <f>Ringkasan!L370</f>
        <v>6.8</v>
      </c>
      <c r="M371" s="19">
        <f>Ringkasan!M370</f>
        <v>130</v>
      </c>
      <c r="N371" s="64">
        <f>Ringkasan!N370</f>
        <v>4.93</v>
      </c>
      <c r="O371" s="64">
        <f>Ringkasan!O370</f>
        <v>20.1</v>
      </c>
      <c r="P371" s="64">
        <f>Ringkasan!P370</f>
        <v>98.04</v>
      </c>
      <c r="Q371" s="64">
        <f>Ringkasan!Q370</f>
        <v>0.97</v>
      </c>
      <c r="R371" s="64">
        <f>Ringkasan!R370</f>
        <v>56.46</v>
      </c>
      <c r="S371" s="64">
        <f>Ringkasan!S370</f>
        <v>35.04</v>
      </c>
      <c r="T371" s="64">
        <f>Ringkasan!T370</f>
        <v>6.81</v>
      </c>
      <c r="U371" s="64">
        <f>Ringkasan!U370</f>
        <v>4250</v>
      </c>
      <c r="V371" s="64">
        <f>Ringkasan!V370</f>
        <v>-1.18</v>
      </c>
      <c r="W371" s="64">
        <f>Ringkasan!W370</f>
        <v>4320</v>
      </c>
      <c r="X371" s="64">
        <f>Ringkasan!X370</f>
        <v>4320</v>
      </c>
      <c r="Y371" s="64">
        <f>Ringkasan!Y370</f>
        <v>4200</v>
      </c>
      <c r="Z371" s="64" t="str">
        <f>Ringkasan!Z370</f>
        <v/>
      </c>
      <c r="AA371" s="64" t="str">
        <f>Ringkasan!AA370</f>
        <v>Banks</v>
      </c>
      <c r="AB371" s="64" t="str">
        <f>Ringkasan!AB370</f>
        <v>Financials</v>
      </c>
    </row>
    <row r="372" hidden="1">
      <c r="A372" s="64" t="str">
        <f>Ringkasan!A371</f>
        <v>BMRI</v>
      </c>
      <c r="B372" s="64" t="str">
        <f>Ringkasan!B371</f>
        <v>Bank Mandiri (Persero) Tbk.</v>
      </c>
      <c r="C372" s="65">
        <f>Ringkasan!C371</f>
        <v>4200</v>
      </c>
      <c r="D372" s="64" t="str">
        <f>Ringkasan!D371</f>
        <v>#N/A</v>
      </c>
      <c r="E372" s="64" t="str">
        <f>Ringkasan!E371</f>
        <v>IDX30</v>
      </c>
      <c r="F372" s="64" t="str">
        <f>Ringkasan!F371</f>
        <v>31 Juli 2026</v>
      </c>
      <c r="G372" s="64">
        <f>Ringkasan!G371</f>
        <v>23</v>
      </c>
      <c r="H372" s="19">
        <f>Ringkasan!H371</f>
        <v>6.5</v>
      </c>
      <c r="I372" s="19">
        <f>Ringkasan!I371</f>
        <v>1.2</v>
      </c>
      <c r="J372" s="19">
        <f>Ringkasan!J371</f>
        <v>18.6</v>
      </c>
      <c r="K372" s="19">
        <f>Ringkasan!K371</f>
        <v>2.4</v>
      </c>
      <c r="L372" s="19">
        <f>Ringkasan!L371</f>
        <v>6.8</v>
      </c>
      <c r="M372" s="19">
        <f>Ringkasan!M371</f>
        <v>130</v>
      </c>
      <c r="N372" s="64">
        <f>Ringkasan!N371</f>
        <v>4.93</v>
      </c>
      <c r="O372" s="64">
        <f>Ringkasan!O371</f>
        <v>20.1</v>
      </c>
      <c r="P372" s="64">
        <f>Ringkasan!P371</f>
        <v>98.04</v>
      </c>
      <c r="Q372" s="64">
        <f>Ringkasan!Q371</f>
        <v>0.97</v>
      </c>
      <c r="R372" s="64">
        <f>Ringkasan!R371</f>
        <v>56.46</v>
      </c>
      <c r="S372" s="64">
        <f>Ringkasan!S371</f>
        <v>35.04</v>
      </c>
      <c r="T372" s="64">
        <f>Ringkasan!T371</f>
        <v>6.81</v>
      </c>
      <c r="U372" s="64">
        <f>Ringkasan!U371</f>
        <v>4250</v>
      </c>
      <c r="V372" s="64">
        <f>Ringkasan!V371</f>
        <v>-1.18</v>
      </c>
      <c r="W372" s="64">
        <f>Ringkasan!W371</f>
        <v>4320</v>
      </c>
      <c r="X372" s="64">
        <f>Ringkasan!X371</f>
        <v>4320</v>
      </c>
      <c r="Y372" s="64">
        <f>Ringkasan!Y371</f>
        <v>4200</v>
      </c>
      <c r="Z372" s="64" t="str">
        <f>Ringkasan!Z371</f>
        <v/>
      </c>
      <c r="AA372" s="64" t="str">
        <f>Ringkasan!AA371</f>
        <v>Banks</v>
      </c>
      <c r="AB372" s="64" t="str">
        <f>Ringkasan!AB371</f>
        <v>Financials</v>
      </c>
    </row>
    <row r="373" hidden="1">
      <c r="A373" s="64" t="str">
        <f>Ringkasan!A372</f>
        <v>BMRI</v>
      </c>
      <c r="B373" s="64" t="str">
        <f>Ringkasan!B372</f>
        <v>Bank Mandiri (Persero) Tbk.</v>
      </c>
      <c r="C373" s="65">
        <f>Ringkasan!C372</f>
        <v>4200</v>
      </c>
      <c r="D373" s="64" t="str">
        <f>Ringkasan!D372</f>
        <v>#N/A</v>
      </c>
      <c r="E373" s="64" t="str">
        <f>Ringkasan!E372</f>
        <v>LQ45</v>
      </c>
      <c r="F373" s="64" t="str">
        <f>Ringkasan!F372</f>
        <v>31 Juli 2026</v>
      </c>
      <c r="G373" s="64">
        <f>Ringkasan!G372</f>
        <v>23</v>
      </c>
      <c r="H373" s="19">
        <f>Ringkasan!H372</f>
        <v>6.5</v>
      </c>
      <c r="I373" s="19">
        <f>Ringkasan!I372</f>
        <v>1.2</v>
      </c>
      <c r="J373" s="19">
        <f>Ringkasan!J372</f>
        <v>18.6</v>
      </c>
      <c r="K373" s="19">
        <f>Ringkasan!K372</f>
        <v>2.4</v>
      </c>
      <c r="L373" s="19">
        <f>Ringkasan!L372</f>
        <v>6.8</v>
      </c>
      <c r="M373" s="19">
        <f>Ringkasan!M372</f>
        <v>130</v>
      </c>
      <c r="N373" s="64">
        <f>Ringkasan!N372</f>
        <v>4.93</v>
      </c>
      <c r="O373" s="64">
        <f>Ringkasan!O372</f>
        <v>20.1</v>
      </c>
      <c r="P373" s="64">
        <f>Ringkasan!P372</f>
        <v>98.04</v>
      </c>
      <c r="Q373" s="64">
        <f>Ringkasan!Q372</f>
        <v>0.97</v>
      </c>
      <c r="R373" s="64">
        <f>Ringkasan!R372</f>
        <v>56.46</v>
      </c>
      <c r="S373" s="64">
        <f>Ringkasan!S372</f>
        <v>35.04</v>
      </c>
      <c r="T373" s="64">
        <f>Ringkasan!T372</f>
        <v>6.81</v>
      </c>
      <c r="U373" s="64">
        <f>Ringkasan!U372</f>
        <v>4250</v>
      </c>
      <c r="V373" s="64">
        <f>Ringkasan!V372</f>
        <v>-1.18</v>
      </c>
      <c r="W373" s="64">
        <f>Ringkasan!W372</f>
        <v>4320</v>
      </c>
      <c r="X373" s="64">
        <f>Ringkasan!X372</f>
        <v>4320</v>
      </c>
      <c r="Y373" s="64">
        <f>Ringkasan!Y372</f>
        <v>4200</v>
      </c>
      <c r="Z373" s="64" t="str">
        <f>Ringkasan!Z372</f>
        <v/>
      </c>
      <c r="AA373" s="64" t="str">
        <f>Ringkasan!AA372</f>
        <v>Banks</v>
      </c>
      <c r="AB373" s="64" t="str">
        <f>Ringkasan!AB372</f>
        <v>Financials</v>
      </c>
    </row>
    <row r="374" hidden="1">
      <c r="A374" s="64" t="str">
        <f>Ringkasan!A373</f>
        <v>BMRI</v>
      </c>
      <c r="B374" s="64" t="str">
        <f>Ringkasan!B373</f>
        <v>Bank Mandiri (Persero) Tbk.</v>
      </c>
      <c r="C374" s="65">
        <f>Ringkasan!C373</f>
        <v>4200</v>
      </c>
      <c r="D374" s="64" t="str">
        <f>Ringkasan!D373</f>
        <v>#N/A</v>
      </c>
      <c r="E374" s="64" t="str">
        <f>Ringkasan!E373</f>
        <v>IDX80</v>
      </c>
      <c r="F374" s="64" t="str">
        <f>Ringkasan!F373</f>
        <v>31 Juli 2026</v>
      </c>
      <c r="G374" s="64">
        <f>Ringkasan!G373</f>
        <v>23</v>
      </c>
      <c r="H374" s="19">
        <f>Ringkasan!H373</f>
        <v>6.5</v>
      </c>
      <c r="I374" s="19">
        <f>Ringkasan!I373</f>
        <v>1.2</v>
      </c>
      <c r="J374" s="19">
        <f>Ringkasan!J373</f>
        <v>18.6</v>
      </c>
      <c r="K374" s="19">
        <f>Ringkasan!K373</f>
        <v>2.4</v>
      </c>
      <c r="L374" s="19">
        <f>Ringkasan!L373</f>
        <v>6.8</v>
      </c>
      <c r="M374" s="19">
        <f>Ringkasan!M373</f>
        <v>130</v>
      </c>
      <c r="N374" s="64">
        <f>Ringkasan!N373</f>
        <v>4.93</v>
      </c>
      <c r="O374" s="64">
        <f>Ringkasan!O373</f>
        <v>20.1</v>
      </c>
      <c r="P374" s="64">
        <f>Ringkasan!P373</f>
        <v>98.04</v>
      </c>
      <c r="Q374" s="64">
        <f>Ringkasan!Q373</f>
        <v>0.97</v>
      </c>
      <c r="R374" s="64">
        <f>Ringkasan!R373</f>
        <v>56.46</v>
      </c>
      <c r="S374" s="64">
        <f>Ringkasan!S373</f>
        <v>35.04</v>
      </c>
      <c r="T374" s="64">
        <f>Ringkasan!T373</f>
        <v>6.81</v>
      </c>
      <c r="U374" s="64">
        <f>Ringkasan!U373</f>
        <v>4250</v>
      </c>
      <c r="V374" s="64">
        <f>Ringkasan!V373</f>
        <v>-1.18</v>
      </c>
      <c r="W374" s="64">
        <f>Ringkasan!W373</f>
        <v>4320</v>
      </c>
      <c r="X374" s="64">
        <f>Ringkasan!X373</f>
        <v>4320</v>
      </c>
      <c r="Y374" s="64">
        <f>Ringkasan!Y373</f>
        <v>4200</v>
      </c>
      <c r="Z374" s="64" t="str">
        <f>Ringkasan!Z373</f>
        <v/>
      </c>
      <c r="AA374" s="64" t="str">
        <f>Ringkasan!AA373</f>
        <v>Banks</v>
      </c>
      <c r="AB374" s="64" t="str">
        <f>Ringkasan!AB373</f>
        <v>Financials</v>
      </c>
    </row>
    <row r="375" hidden="1">
      <c r="A375" s="64" t="str">
        <f>Ringkasan!A374</f>
        <v>BMRI</v>
      </c>
      <c r="B375" s="64" t="str">
        <f>Ringkasan!B374</f>
        <v>Bank Mandiri (Persero) Tbk.</v>
      </c>
      <c r="C375" s="65">
        <f>Ringkasan!C374</f>
        <v>4200</v>
      </c>
      <c r="D375" s="64" t="str">
        <f>Ringkasan!D374</f>
        <v>#N/A</v>
      </c>
      <c r="E375" s="64" t="str">
        <f>Ringkasan!E374</f>
        <v>BISNIS-27</v>
      </c>
      <c r="F375" s="64" t="str">
        <f>Ringkasan!F374</f>
        <v>30 Oktober 2026</v>
      </c>
      <c r="G375" s="64">
        <f>Ringkasan!G374</f>
        <v>23</v>
      </c>
      <c r="H375" s="19">
        <f>Ringkasan!H374</f>
        <v>6.5</v>
      </c>
      <c r="I375" s="19">
        <f>Ringkasan!I374</f>
        <v>1.2</v>
      </c>
      <c r="J375" s="19">
        <f>Ringkasan!J374</f>
        <v>18.6</v>
      </c>
      <c r="K375" s="19">
        <f>Ringkasan!K374</f>
        <v>2.4</v>
      </c>
      <c r="L375" s="19">
        <f>Ringkasan!L374</f>
        <v>6.8</v>
      </c>
      <c r="M375" s="19">
        <f>Ringkasan!M374</f>
        <v>130</v>
      </c>
      <c r="N375" s="64">
        <f>Ringkasan!N374</f>
        <v>4.93</v>
      </c>
      <c r="O375" s="64">
        <f>Ringkasan!O374</f>
        <v>20.1</v>
      </c>
      <c r="P375" s="64">
        <f>Ringkasan!P374</f>
        <v>98.04</v>
      </c>
      <c r="Q375" s="64">
        <f>Ringkasan!Q374</f>
        <v>0.97</v>
      </c>
      <c r="R375" s="64">
        <f>Ringkasan!R374</f>
        <v>56.46</v>
      </c>
      <c r="S375" s="64">
        <f>Ringkasan!S374</f>
        <v>35.04</v>
      </c>
      <c r="T375" s="64">
        <f>Ringkasan!T374</f>
        <v>6.81</v>
      </c>
      <c r="U375" s="64">
        <f>Ringkasan!U374</f>
        <v>4250</v>
      </c>
      <c r="V375" s="64">
        <f>Ringkasan!V374</f>
        <v>-1.18</v>
      </c>
      <c r="W375" s="64">
        <f>Ringkasan!W374</f>
        <v>4320</v>
      </c>
      <c r="X375" s="64">
        <f>Ringkasan!X374</f>
        <v>4320</v>
      </c>
      <c r="Y375" s="64">
        <f>Ringkasan!Y374</f>
        <v>4200</v>
      </c>
      <c r="Z375" s="64" t="str">
        <f>Ringkasan!Z374</f>
        <v/>
      </c>
      <c r="AA375" s="64" t="str">
        <f>Ringkasan!AA374</f>
        <v>Banks</v>
      </c>
      <c r="AB375" s="64" t="str">
        <f>Ringkasan!AB374</f>
        <v>Financials</v>
      </c>
    </row>
    <row r="376" hidden="1">
      <c r="A376" s="64" t="str">
        <f>Ringkasan!A375</f>
        <v>BMRI</v>
      </c>
      <c r="B376" s="64" t="str">
        <f>Ringkasan!B375</f>
        <v>Bank Mandiri (Persero) Tbk.</v>
      </c>
      <c r="C376" s="65">
        <f>Ringkasan!C375</f>
        <v>4200</v>
      </c>
      <c r="D376" s="64" t="str">
        <f>Ringkasan!D375</f>
        <v>#N/A</v>
      </c>
      <c r="E376" s="64" t="str">
        <f>Ringkasan!E375</f>
        <v>IDXBUMN20</v>
      </c>
      <c r="F376" s="64" t="str">
        <f>Ringkasan!F375</f>
        <v>4 Agustus 2026</v>
      </c>
      <c r="G376" s="64">
        <f>Ringkasan!G375</f>
        <v>23</v>
      </c>
      <c r="H376" s="19">
        <f>Ringkasan!H375</f>
        <v>6.5</v>
      </c>
      <c r="I376" s="19">
        <f>Ringkasan!I375</f>
        <v>1.2</v>
      </c>
      <c r="J376" s="19">
        <f>Ringkasan!J375</f>
        <v>18.6</v>
      </c>
      <c r="K376" s="19">
        <f>Ringkasan!K375</f>
        <v>2.4</v>
      </c>
      <c r="L376" s="19">
        <f>Ringkasan!L375</f>
        <v>6.8</v>
      </c>
      <c r="M376" s="19">
        <f>Ringkasan!M375</f>
        <v>130</v>
      </c>
      <c r="N376" s="64">
        <f>Ringkasan!N375</f>
        <v>4.93</v>
      </c>
      <c r="O376" s="64">
        <f>Ringkasan!O375</f>
        <v>20.1</v>
      </c>
      <c r="P376" s="64">
        <f>Ringkasan!P375</f>
        <v>98.04</v>
      </c>
      <c r="Q376" s="64">
        <f>Ringkasan!Q375</f>
        <v>0.97</v>
      </c>
      <c r="R376" s="64">
        <f>Ringkasan!R375</f>
        <v>56.46</v>
      </c>
      <c r="S376" s="64">
        <f>Ringkasan!S375</f>
        <v>35.04</v>
      </c>
      <c r="T376" s="64">
        <f>Ringkasan!T375</f>
        <v>6.81</v>
      </c>
      <c r="U376" s="64">
        <f>Ringkasan!U375</f>
        <v>4250</v>
      </c>
      <c r="V376" s="64">
        <f>Ringkasan!V375</f>
        <v>-1.18</v>
      </c>
      <c r="W376" s="64">
        <f>Ringkasan!W375</f>
        <v>4320</v>
      </c>
      <c r="X376" s="64">
        <f>Ringkasan!X375</f>
        <v>4320</v>
      </c>
      <c r="Y376" s="64">
        <f>Ringkasan!Y375</f>
        <v>4200</v>
      </c>
      <c r="Z376" s="64" t="str">
        <f>Ringkasan!Z375</f>
        <v/>
      </c>
      <c r="AA376" s="64" t="str">
        <f>Ringkasan!AA375</f>
        <v>Banks</v>
      </c>
      <c r="AB376" s="64" t="str">
        <f>Ringkasan!AB375</f>
        <v>Financials</v>
      </c>
    </row>
    <row r="377" hidden="1">
      <c r="A377" s="64" t="str">
        <f>Ringkasan!A376</f>
        <v>BMRI</v>
      </c>
      <c r="B377" s="64" t="str">
        <f>Ringkasan!B376</f>
        <v>Bank Mandiri (Persero) Tbk.</v>
      </c>
      <c r="C377" s="65">
        <f>Ringkasan!C376</f>
        <v>4200</v>
      </c>
      <c r="D377" s="64" t="str">
        <f>Ringkasan!D376</f>
        <v>#N/A</v>
      </c>
      <c r="E377" s="64" t="str">
        <f>Ringkasan!E376</f>
        <v>Pefindo - iGrade</v>
      </c>
      <c r="F377" s="64" t="str">
        <f>Ringkasan!F376</f>
        <v>30 Juni 2026</v>
      </c>
      <c r="G377" s="64">
        <f>Ringkasan!G376</f>
        <v>23</v>
      </c>
      <c r="H377" s="19">
        <f>Ringkasan!H376</f>
        <v>6.5</v>
      </c>
      <c r="I377" s="19">
        <f>Ringkasan!I376</f>
        <v>1.2</v>
      </c>
      <c r="J377" s="19">
        <f>Ringkasan!J376</f>
        <v>18.6</v>
      </c>
      <c r="K377" s="19">
        <f>Ringkasan!K376</f>
        <v>2.4</v>
      </c>
      <c r="L377" s="19">
        <f>Ringkasan!L376</f>
        <v>6.8</v>
      </c>
      <c r="M377" s="19">
        <f>Ringkasan!M376</f>
        <v>130</v>
      </c>
      <c r="N377" s="64">
        <f>Ringkasan!N376</f>
        <v>4.93</v>
      </c>
      <c r="O377" s="64">
        <f>Ringkasan!O376</f>
        <v>20.1</v>
      </c>
      <c r="P377" s="64">
        <f>Ringkasan!P376</f>
        <v>98.04</v>
      </c>
      <c r="Q377" s="64">
        <f>Ringkasan!Q376</f>
        <v>0.97</v>
      </c>
      <c r="R377" s="64">
        <f>Ringkasan!R376</f>
        <v>56.46</v>
      </c>
      <c r="S377" s="64">
        <f>Ringkasan!S376</f>
        <v>35.04</v>
      </c>
      <c r="T377" s="64">
        <f>Ringkasan!T376</f>
        <v>6.81</v>
      </c>
      <c r="U377" s="64">
        <f>Ringkasan!U376</f>
        <v>4250</v>
      </c>
      <c r="V377" s="64">
        <f>Ringkasan!V376</f>
        <v>-1.18</v>
      </c>
      <c r="W377" s="64">
        <f>Ringkasan!W376</f>
        <v>4320</v>
      </c>
      <c r="X377" s="64">
        <f>Ringkasan!X376</f>
        <v>4320</v>
      </c>
      <c r="Y377" s="64">
        <f>Ringkasan!Y376</f>
        <v>4200</v>
      </c>
      <c r="Z377" s="64" t="str">
        <f>Ringkasan!Z376</f>
        <v/>
      </c>
      <c r="AA377" s="64" t="str">
        <f>Ringkasan!AA376</f>
        <v>Banks</v>
      </c>
      <c r="AB377" s="64" t="str">
        <f>Ringkasan!AB376</f>
        <v>Financials</v>
      </c>
    </row>
    <row r="378" hidden="1">
      <c r="A378" s="64" t="str">
        <f>Ringkasan!A377</f>
        <v>BMRI</v>
      </c>
      <c r="B378" s="64" t="str">
        <f>Ringkasan!B377</f>
        <v>Bank Mandiri (Persero) Tbk.</v>
      </c>
      <c r="C378" s="65">
        <f>Ringkasan!C377</f>
        <v>4200</v>
      </c>
      <c r="D378" s="64" t="str">
        <f>Ringkasan!D377</f>
        <v>#N/A</v>
      </c>
      <c r="E378" s="64" t="str">
        <f>Ringkasan!E377</f>
        <v>ECONOMIC30</v>
      </c>
      <c r="F378" s="64" t="str">
        <f>Ringkasan!F377</f>
        <v>31 Agustus 2026</v>
      </c>
      <c r="G378" s="64">
        <f>Ringkasan!G377</f>
        <v>23</v>
      </c>
      <c r="H378" s="19">
        <f>Ringkasan!H377</f>
        <v>6.5</v>
      </c>
      <c r="I378" s="19">
        <f>Ringkasan!I377</f>
        <v>1.2</v>
      </c>
      <c r="J378" s="19">
        <f>Ringkasan!J377</f>
        <v>18.6</v>
      </c>
      <c r="K378" s="19">
        <f>Ringkasan!K377</f>
        <v>2.4</v>
      </c>
      <c r="L378" s="19">
        <f>Ringkasan!L377</f>
        <v>6.8</v>
      </c>
      <c r="M378" s="19">
        <f>Ringkasan!M377</f>
        <v>130</v>
      </c>
      <c r="N378" s="64">
        <f>Ringkasan!N377</f>
        <v>4.93</v>
      </c>
      <c r="O378" s="64">
        <f>Ringkasan!O377</f>
        <v>20.1</v>
      </c>
      <c r="P378" s="64">
        <f>Ringkasan!P377</f>
        <v>98.04</v>
      </c>
      <c r="Q378" s="64">
        <f>Ringkasan!Q377</f>
        <v>0.97</v>
      </c>
      <c r="R378" s="64">
        <f>Ringkasan!R377</f>
        <v>56.46</v>
      </c>
      <c r="S378" s="64">
        <f>Ringkasan!S377</f>
        <v>35.04</v>
      </c>
      <c r="T378" s="64">
        <f>Ringkasan!T377</f>
        <v>6.81</v>
      </c>
      <c r="U378" s="64">
        <f>Ringkasan!U377</f>
        <v>4250</v>
      </c>
      <c r="V378" s="64">
        <f>Ringkasan!V377</f>
        <v>-1.18</v>
      </c>
      <c r="W378" s="64">
        <f>Ringkasan!W377</f>
        <v>4320</v>
      </c>
      <c r="X378" s="64">
        <f>Ringkasan!X377</f>
        <v>4320</v>
      </c>
      <c r="Y378" s="64">
        <f>Ringkasan!Y377</f>
        <v>4200</v>
      </c>
      <c r="Z378" s="64" t="str">
        <f>Ringkasan!Z377</f>
        <v/>
      </c>
      <c r="AA378" s="64" t="str">
        <f>Ringkasan!AA377</f>
        <v>Banks</v>
      </c>
      <c r="AB378" s="64" t="str">
        <f>Ringkasan!AB377</f>
        <v>Financials</v>
      </c>
    </row>
    <row r="379" hidden="1">
      <c r="A379" s="64" t="str">
        <f>Ringkasan!A378</f>
        <v>BMRI</v>
      </c>
      <c r="B379" s="64" t="str">
        <f>Ringkasan!B378</f>
        <v>Bank Mandiri (Persero) Tbk.</v>
      </c>
      <c r="C379" s="65">
        <f>Ringkasan!C378</f>
        <v>4200</v>
      </c>
      <c r="D379" s="64" t="str">
        <f>Ringkasan!D378</f>
        <v>#N/A</v>
      </c>
      <c r="E379" s="64" t="str">
        <f>Ringkasan!E378</f>
        <v>PRIMBANK-10</v>
      </c>
      <c r="F379" s="64" t="str">
        <f>Ringkasan!F378</f>
        <v>30 Juni 2026</v>
      </c>
      <c r="G379" s="64">
        <f>Ringkasan!G378</f>
        <v>23</v>
      </c>
      <c r="H379" s="19">
        <f>Ringkasan!H378</f>
        <v>6.5</v>
      </c>
      <c r="I379" s="19">
        <f>Ringkasan!I378</f>
        <v>1.2</v>
      </c>
      <c r="J379" s="19">
        <f>Ringkasan!J378</f>
        <v>18.6</v>
      </c>
      <c r="K379" s="19">
        <f>Ringkasan!K378</f>
        <v>2.4</v>
      </c>
      <c r="L379" s="19">
        <f>Ringkasan!L378</f>
        <v>6.8</v>
      </c>
      <c r="M379" s="19">
        <f>Ringkasan!M378</f>
        <v>130</v>
      </c>
      <c r="N379" s="64">
        <f>Ringkasan!N378</f>
        <v>4.93</v>
      </c>
      <c r="O379" s="64">
        <f>Ringkasan!O378</f>
        <v>20.1</v>
      </c>
      <c r="P379" s="64">
        <f>Ringkasan!P378</f>
        <v>98.04</v>
      </c>
      <c r="Q379" s="64">
        <f>Ringkasan!Q378</f>
        <v>0.97</v>
      </c>
      <c r="R379" s="64">
        <f>Ringkasan!R378</f>
        <v>56.46</v>
      </c>
      <c r="S379" s="64">
        <f>Ringkasan!S378</f>
        <v>35.04</v>
      </c>
      <c r="T379" s="64">
        <f>Ringkasan!T378</f>
        <v>6.81</v>
      </c>
      <c r="U379" s="64">
        <f>Ringkasan!U378</f>
        <v>4250</v>
      </c>
      <c r="V379" s="64">
        <f>Ringkasan!V378</f>
        <v>-1.18</v>
      </c>
      <c r="W379" s="64">
        <f>Ringkasan!W378</f>
        <v>4320</v>
      </c>
      <c r="X379" s="64">
        <f>Ringkasan!X378</f>
        <v>4320</v>
      </c>
      <c r="Y379" s="64">
        <f>Ringkasan!Y378</f>
        <v>4200</v>
      </c>
      <c r="Z379" s="64" t="str">
        <f>Ringkasan!Z378</f>
        <v/>
      </c>
      <c r="AA379" s="64" t="str">
        <f>Ringkasan!AA378</f>
        <v>Banks</v>
      </c>
      <c r="AB379" s="64" t="str">
        <f>Ringkasan!AB378</f>
        <v>Financials</v>
      </c>
    </row>
    <row r="380" hidden="1">
      <c r="A380" s="64" t="str">
        <f>Ringkasan!A379</f>
        <v>BMRI</v>
      </c>
      <c r="B380" s="64" t="str">
        <f>Ringkasan!B379</f>
        <v>Bank Mandiri (Persero) Tbk.</v>
      </c>
      <c r="C380" s="65">
        <f>Ringkasan!C379</f>
        <v>4200</v>
      </c>
      <c r="D380" s="64" t="str">
        <f>Ringkasan!D379</f>
        <v>#N/A</v>
      </c>
      <c r="E380" s="64" t="str">
        <f>Ringkasan!E379</f>
        <v>SRI-KEHATI</v>
      </c>
      <c r="F380" s="66">
        <f>Ringkasan!F379</f>
        <v>46356</v>
      </c>
      <c r="G380" s="64">
        <f>Ringkasan!G379</f>
        <v>23</v>
      </c>
      <c r="H380" s="19">
        <f>Ringkasan!H379</f>
        <v>6.5</v>
      </c>
      <c r="I380" s="19">
        <f>Ringkasan!I379</f>
        <v>1.2</v>
      </c>
      <c r="J380" s="19">
        <f>Ringkasan!J379</f>
        <v>18.6</v>
      </c>
      <c r="K380" s="19">
        <f>Ringkasan!K379</f>
        <v>2.4</v>
      </c>
      <c r="L380" s="19">
        <f>Ringkasan!L379</f>
        <v>6.8</v>
      </c>
      <c r="M380" s="19">
        <f>Ringkasan!M379</f>
        <v>130</v>
      </c>
      <c r="N380" s="64">
        <f>Ringkasan!N379</f>
        <v>4.93</v>
      </c>
      <c r="O380" s="64">
        <f>Ringkasan!O379</f>
        <v>20.1</v>
      </c>
      <c r="P380" s="64">
        <f>Ringkasan!P379</f>
        <v>98.04</v>
      </c>
      <c r="Q380" s="64">
        <f>Ringkasan!Q379</f>
        <v>0.97</v>
      </c>
      <c r="R380" s="64">
        <f>Ringkasan!R379</f>
        <v>56.46</v>
      </c>
      <c r="S380" s="64">
        <f>Ringkasan!S379</f>
        <v>35.04</v>
      </c>
      <c r="T380" s="64">
        <f>Ringkasan!T379</f>
        <v>6.81</v>
      </c>
      <c r="U380" s="64">
        <f>Ringkasan!U379</f>
        <v>4250</v>
      </c>
      <c r="V380" s="64">
        <f>Ringkasan!V379</f>
        <v>-1.18</v>
      </c>
      <c r="W380" s="64">
        <f>Ringkasan!W379</f>
        <v>4320</v>
      </c>
      <c r="X380" s="64">
        <f>Ringkasan!X379</f>
        <v>4320</v>
      </c>
      <c r="Y380" s="64">
        <f>Ringkasan!Y379</f>
        <v>4200</v>
      </c>
      <c r="Z380" s="64" t="str">
        <f>Ringkasan!Z379</f>
        <v/>
      </c>
      <c r="AA380" s="64" t="str">
        <f>Ringkasan!AA379</f>
        <v>Banks</v>
      </c>
      <c r="AB380" s="64" t="str">
        <f>Ringkasan!AB379</f>
        <v>Financials</v>
      </c>
    </row>
    <row r="381" hidden="1">
      <c r="A381" s="64" t="str">
        <f>Ringkasan!A380</f>
        <v>BMRI</v>
      </c>
      <c r="B381" s="64" t="str">
        <f>Ringkasan!B380</f>
        <v>Bank Mandiri (Persero) Tbk.</v>
      </c>
      <c r="C381" s="65">
        <f>Ringkasan!C380</f>
        <v>4200</v>
      </c>
      <c r="D381" s="64" t="str">
        <f>Ringkasan!D380</f>
        <v>#N/A</v>
      </c>
      <c r="E381" s="64" t="str">
        <f>Ringkasan!E380</f>
        <v>Investor33</v>
      </c>
      <c r="F381" s="66">
        <f>Ringkasan!F380</f>
        <v>46356</v>
      </c>
      <c r="G381" s="64">
        <f>Ringkasan!G380</f>
        <v>23</v>
      </c>
      <c r="H381" s="19">
        <f>Ringkasan!H380</f>
        <v>6.5</v>
      </c>
      <c r="I381" s="19">
        <f>Ringkasan!I380</f>
        <v>1.2</v>
      </c>
      <c r="J381" s="19">
        <f>Ringkasan!J380</f>
        <v>18.6</v>
      </c>
      <c r="K381" s="19">
        <f>Ringkasan!K380</f>
        <v>2.4</v>
      </c>
      <c r="L381" s="19">
        <f>Ringkasan!L380</f>
        <v>6.8</v>
      </c>
      <c r="M381" s="19">
        <f>Ringkasan!M380</f>
        <v>130</v>
      </c>
      <c r="N381" s="64">
        <f>Ringkasan!N380</f>
        <v>4.93</v>
      </c>
      <c r="O381" s="64">
        <f>Ringkasan!O380</f>
        <v>20.1</v>
      </c>
      <c r="P381" s="64">
        <f>Ringkasan!P380</f>
        <v>98.04</v>
      </c>
      <c r="Q381" s="64">
        <f>Ringkasan!Q380</f>
        <v>0.97</v>
      </c>
      <c r="R381" s="64">
        <f>Ringkasan!R380</f>
        <v>56.46</v>
      </c>
      <c r="S381" s="64">
        <f>Ringkasan!S380</f>
        <v>35.04</v>
      </c>
      <c r="T381" s="64">
        <f>Ringkasan!T380</f>
        <v>6.81</v>
      </c>
      <c r="U381" s="64">
        <f>Ringkasan!U380</f>
        <v>4250</v>
      </c>
      <c r="V381" s="64">
        <f>Ringkasan!V380</f>
        <v>-1.18</v>
      </c>
      <c r="W381" s="64">
        <f>Ringkasan!W380</f>
        <v>4320</v>
      </c>
      <c r="X381" s="64">
        <f>Ringkasan!X380</f>
        <v>4320</v>
      </c>
      <c r="Y381" s="64">
        <f>Ringkasan!Y380</f>
        <v>4200</v>
      </c>
      <c r="Z381" s="64" t="str">
        <f>Ringkasan!Z380</f>
        <v/>
      </c>
      <c r="AA381" s="64" t="str">
        <f>Ringkasan!AA380</f>
        <v>Banks</v>
      </c>
      <c r="AB381" s="64" t="str">
        <f>Ringkasan!AB380</f>
        <v>Financials</v>
      </c>
    </row>
    <row r="382" hidden="1">
      <c r="A382" s="64" t="str">
        <f>Ringkasan!A505</f>
        <v>CGAS</v>
      </c>
      <c r="B382" s="64" t="str">
        <f>Ringkasan!B505</f>
        <v>Citra Nusantara Gemilang Tbk.</v>
      </c>
      <c r="C382" s="65">
        <f>Ringkasan!C505</f>
        <v>155</v>
      </c>
      <c r="D382" s="64" t="str">
        <f>Ringkasan!D505</f>
        <v>#N/A</v>
      </c>
      <c r="E382" s="64" t="str">
        <f>Ringkasan!E505</f>
        <v/>
      </c>
      <c r="F382" s="64" t="str">
        <f>Ringkasan!F505</f>
        <v/>
      </c>
      <c r="G382" s="64">
        <f>Ringkasan!G505</f>
        <v>0</v>
      </c>
      <c r="H382" s="19">
        <f>Ringkasan!H505</f>
        <v>17.2</v>
      </c>
      <c r="I382" s="19">
        <f>Ringkasan!I505</f>
        <v>1.1</v>
      </c>
      <c r="J382" s="19">
        <f>Ringkasan!J505</f>
        <v>6.2</v>
      </c>
      <c r="K382" s="19">
        <f>Ringkasan!K505</f>
        <v>4.2</v>
      </c>
      <c r="L382" s="19">
        <f>Ringkasan!L505</f>
        <v>0.48</v>
      </c>
      <c r="M382" s="19">
        <f>Ringkasan!M505</f>
        <v>10.3</v>
      </c>
      <c r="N382" s="64" t="str">
        <f>Ringkasan!N505</f>
        <v/>
      </c>
      <c r="O382" s="64" t="str">
        <f>Ringkasan!O505</f>
        <v/>
      </c>
      <c r="P382" s="64" t="str">
        <f>Ringkasan!P505</f>
        <v/>
      </c>
      <c r="Q382" s="64" t="str">
        <f>Ringkasan!Q505</f>
        <v/>
      </c>
      <c r="R382" s="64" t="str">
        <f>Ringkasan!R505</f>
        <v/>
      </c>
      <c r="S382" s="64" t="str">
        <f>Ringkasan!S505</f>
        <v/>
      </c>
      <c r="T382" s="64" t="str">
        <f>Ringkasan!T505</f>
        <v/>
      </c>
      <c r="U382" s="64">
        <f>Ringkasan!U505</f>
        <v>150</v>
      </c>
      <c r="V382" s="64">
        <f>Ringkasan!V505</f>
        <v>3.33</v>
      </c>
      <c r="W382" s="64">
        <f>Ringkasan!W505</f>
        <v>150</v>
      </c>
      <c r="X382" s="64">
        <f>Ringkasan!X505</f>
        <v>158</v>
      </c>
      <c r="Y382" s="64">
        <f>Ringkasan!Y505</f>
        <v>150</v>
      </c>
      <c r="Z382" s="64">
        <f>Ringkasan!Z505</f>
        <v>3503200</v>
      </c>
      <c r="AA382" s="64" t="str">
        <f>Ringkasan!AA505</f>
        <v>Oil &amp; Gas</v>
      </c>
      <c r="AB382" s="64" t="str">
        <f>Ringkasan!AB505</f>
        <v>Energy</v>
      </c>
    </row>
    <row r="383" hidden="1">
      <c r="A383" s="64" t="str">
        <f>Ringkasan!A382</f>
        <v>BMTR</v>
      </c>
      <c r="B383" s="64" t="str">
        <f>Ringkasan!B382</f>
        <v>PT Global Mediacom Tbk</v>
      </c>
      <c r="C383" s="65">
        <f>Ringkasan!C382</f>
        <v>119</v>
      </c>
      <c r="D383" s="64" t="str">
        <f>Ringkasan!D382</f>
        <v>#N/A</v>
      </c>
      <c r="E383" s="64" t="str">
        <f>Ringkasan!E382</f>
        <v/>
      </c>
      <c r="F383" s="64" t="str">
        <f>Ringkasan!F382</f>
        <v/>
      </c>
      <c r="G383" s="64">
        <f>Ringkasan!G382</f>
        <v>0</v>
      </c>
      <c r="H383" s="19">
        <f>Ringkasan!H382</f>
        <v>2.5</v>
      </c>
      <c r="I383" s="19">
        <f>Ringkasan!I382</f>
        <v>0.07</v>
      </c>
      <c r="J383" s="19">
        <f>Ringkasan!J382</f>
        <v>2.9</v>
      </c>
      <c r="K383" s="19">
        <f>Ringkasan!K382</f>
        <v>2.4</v>
      </c>
      <c r="L383" s="19">
        <f>Ringkasan!L382</f>
        <v>0.23</v>
      </c>
      <c r="M383" s="19">
        <f>Ringkasan!M382</f>
        <v>35.3</v>
      </c>
      <c r="N383" s="64" t="str">
        <f>Ringkasan!N382</f>
        <v/>
      </c>
      <c r="O383" s="64" t="str">
        <f>Ringkasan!O382</f>
        <v/>
      </c>
      <c r="P383" s="64" t="str">
        <f>Ringkasan!P382</f>
        <v/>
      </c>
      <c r="Q383" s="64" t="str">
        <f>Ringkasan!Q382</f>
        <v/>
      </c>
      <c r="R383" s="64" t="str">
        <f>Ringkasan!R382</f>
        <v/>
      </c>
      <c r="S383" s="64" t="str">
        <f>Ringkasan!S382</f>
        <v/>
      </c>
      <c r="T383" s="64" t="str">
        <f>Ringkasan!T382</f>
        <v/>
      </c>
      <c r="U383" s="64">
        <f>Ringkasan!U382</f>
        <v>114</v>
      </c>
      <c r="V383" s="64">
        <f>Ringkasan!V382</f>
        <v>4.39</v>
      </c>
      <c r="W383" s="64">
        <f>Ringkasan!W382</f>
        <v>114</v>
      </c>
      <c r="X383" s="64">
        <f>Ringkasan!X382</f>
        <v>119</v>
      </c>
      <c r="Y383" s="64">
        <f>Ringkasan!Y382</f>
        <v>114</v>
      </c>
      <c r="Z383" s="64">
        <f>Ringkasan!Z382</f>
        <v>26107800</v>
      </c>
      <c r="AA383" s="64" t="str">
        <f>Ringkasan!AA382</f>
        <v>Multi-sector Holdings</v>
      </c>
      <c r="AB383" s="64" t="str">
        <f>Ringkasan!AB382</f>
        <v>Industrials</v>
      </c>
    </row>
    <row r="384" hidden="1">
      <c r="A384" s="64" t="str">
        <f>Ringkasan!A383</f>
        <v>BNBA</v>
      </c>
      <c r="B384" s="64" t="str">
        <f>Ringkasan!B383</f>
        <v>Bank Bumi Arta Tbk</v>
      </c>
      <c r="C384" s="65">
        <f>Ringkasan!C383</f>
        <v>785</v>
      </c>
      <c r="D384" s="64" t="str">
        <f>Ringkasan!D383</f>
        <v>#N/A</v>
      </c>
      <c r="E384" s="64" t="str">
        <f>Ringkasan!E383</f>
        <v/>
      </c>
      <c r="F384" s="64" t="str">
        <f>Ringkasan!F383</f>
        <v/>
      </c>
      <c r="G384" s="64">
        <f>Ringkasan!G383</f>
        <v>0</v>
      </c>
      <c r="H384" s="19">
        <f>Ringkasan!H383</f>
        <v>1000</v>
      </c>
      <c r="I384" s="19">
        <f>Ringkasan!I383</f>
        <v>0.7</v>
      </c>
      <c r="J384" s="19">
        <f>Ringkasan!J383</f>
        <v>0.07</v>
      </c>
      <c r="K384" s="19">
        <f>Ringkasan!K383</f>
        <v>0.03</v>
      </c>
      <c r="L384" s="19">
        <f>Ringkasan!L383</f>
        <v>1.6</v>
      </c>
      <c r="M384" s="19">
        <f>Ringkasan!M383</f>
        <v>1.8</v>
      </c>
      <c r="N384" s="64">
        <f>Ringkasan!N383</f>
        <v>3.42</v>
      </c>
      <c r="O384" s="64">
        <f>Ringkasan!O383</f>
        <v>34.15</v>
      </c>
      <c r="P384" s="64">
        <f>Ringkasan!P383</f>
        <v>77.12</v>
      </c>
      <c r="Q384" s="64">
        <f>Ringkasan!Q383</f>
        <v>3.05</v>
      </c>
      <c r="R384" s="64">
        <f>Ringkasan!R383</f>
        <v>94.12</v>
      </c>
      <c r="S384" s="64">
        <f>Ringkasan!S383</f>
        <v>78.15</v>
      </c>
      <c r="T384" s="64">
        <f>Ringkasan!T383</f>
        <v>10.4</v>
      </c>
      <c r="U384" s="64">
        <f>Ringkasan!U383</f>
        <v>39.76</v>
      </c>
      <c r="V384" s="64">
        <f>Ringkasan!V383</f>
        <v>-0.05</v>
      </c>
      <c r="W384" s="64">
        <f>Ringkasan!W383</f>
        <v>39.74</v>
      </c>
      <c r="X384" s="64">
        <f>Ringkasan!X383</f>
        <v>39.74</v>
      </c>
      <c r="Y384" s="64">
        <f>Ringkasan!Y383</f>
        <v>39.74</v>
      </c>
      <c r="Z384" s="64">
        <f>Ringkasan!Z383</f>
        <v>0</v>
      </c>
      <c r="AA384" s="64" t="str">
        <f>Ringkasan!AA383</f>
        <v>Banks</v>
      </c>
      <c r="AB384" s="64" t="str">
        <f>Ringkasan!AB383</f>
        <v>Financials</v>
      </c>
    </row>
    <row r="385" hidden="1">
      <c r="A385" s="64" t="str">
        <f>Ringkasan!A384</f>
        <v>BNBR</v>
      </c>
      <c r="B385" s="64" t="str">
        <f>Ringkasan!B384</f>
        <v>Bakrie &amp; Brothers Tbk</v>
      </c>
      <c r="C385" s="65">
        <f>Ringkasan!C384</f>
        <v>110</v>
      </c>
      <c r="D385" s="64" t="str">
        <f>Ringkasan!D384</f>
        <v>#N/A</v>
      </c>
      <c r="E385" s="64" t="str">
        <f>Ringkasan!E384</f>
        <v/>
      </c>
      <c r="F385" s="64" t="str">
        <f>Ringkasan!F384</f>
        <v/>
      </c>
      <c r="G385" s="64">
        <f>Ringkasan!G384</f>
        <v>0</v>
      </c>
      <c r="H385" s="19">
        <f>Ringkasan!H384</f>
        <v>50.3</v>
      </c>
      <c r="I385" s="19">
        <f>Ringkasan!I384</f>
        <v>4.6</v>
      </c>
      <c r="J385" s="19">
        <f>Ringkasan!J384</f>
        <v>9.2</v>
      </c>
      <c r="K385" s="19">
        <f>Ringkasan!K384</f>
        <v>1.8</v>
      </c>
      <c r="L385" s="19">
        <f>Ringkasan!L384</f>
        <v>4</v>
      </c>
      <c r="M385" s="19">
        <f>Ringkasan!M384</f>
        <v>39.2</v>
      </c>
      <c r="N385" s="64" t="str">
        <f>Ringkasan!N384</f>
        <v/>
      </c>
      <c r="O385" s="64" t="str">
        <f>Ringkasan!O384</f>
        <v/>
      </c>
      <c r="P385" s="64" t="str">
        <f>Ringkasan!P384</f>
        <v/>
      </c>
      <c r="Q385" s="64" t="str">
        <f>Ringkasan!Q384</f>
        <v/>
      </c>
      <c r="R385" s="64" t="str">
        <f>Ringkasan!R384</f>
        <v/>
      </c>
      <c r="S385" s="64" t="str">
        <f>Ringkasan!S384</f>
        <v/>
      </c>
      <c r="T385" s="64" t="str">
        <f>Ringkasan!T384</f>
        <v/>
      </c>
      <c r="U385" s="64">
        <f>Ringkasan!U384</f>
        <v>98</v>
      </c>
      <c r="V385" s="64">
        <f>Ringkasan!V384</f>
        <v>12.24</v>
      </c>
      <c r="W385" s="64">
        <f>Ringkasan!W384</f>
        <v>100</v>
      </c>
      <c r="X385" s="64">
        <f>Ringkasan!X384</f>
        <v>114</v>
      </c>
      <c r="Y385" s="64">
        <f>Ringkasan!Y384</f>
        <v>100</v>
      </c>
      <c r="Z385" s="64">
        <f>Ringkasan!Z384</f>
        <v>1977937700</v>
      </c>
      <c r="AA385" s="64" t="str">
        <f>Ringkasan!AA384</f>
        <v>Multi-sector Holdings</v>
      </c>
      <c r="AB385" s="64" t="str">
        <f>Ringkasan!AB384</f>
        <v>Industrials</v>
      </c>
    </row>
    <row r="386" hidden="1">
      <c r="A386" s="64" t="str">
        <f>Ringkasan!A385</f>
        <v>BNGA</v>
      </c>
      <c r="B386" s="64" t="str">
        <f>Ringkasan!B385</f>
        <v>PT Bank CIMB Niaga Tbk</v>
      </c>
      <c r="C386" s="65">
        <f>Ringkasan!C385</f>
        <v>1550</v>
      </c>
      <c r="D386" s="64" t="str">
        <f>Ringkasan!D385</f>
        <v>#N/A</v>
      </c>
      <c r="E386" s="64" t="str">
        <f>Ringkasan!E385</f>
        <v>Infobank15</v>
      </c>
      <c r="F386" s="64" t="str">
        <f>Ringkasan!F385</f>
        <v>30 Juni 2026</v>
      </c>
      <c r="G386" s="64">
        <f>Ringkasan!G385</f>
        <v>5</v>
      </c>
      <c r="H386" s="19">
        <f>Ringkasan!H385</f>
        <v>5.9</v>
      </c>
      <c r="I386" s="19">
        <f>Ringkasan!I385</f>
        <v>0.69</v>
      </c>
      <c r="J386" s="19">
        <f>Ringkasan!J385</f>
        <v>11.6</v>
      </c>
      <c r="K386" s="19">
        <f>Ringkasan!K385</f>
        <v>1.9</v>
      </c>
      <c r="L386" s="19">
        <f>Ringkasan!L385</f>
        <v>5.2</v>
      </c>
      <c r="M386" s="19">
        <f>Ringkasan!M385</f>
        <v>110</v>
      </c>
      <c r="N386" s="64">
        <f>Ringkasan!N385</f>
        <v>4.37</v>
      </c>
      <c r="O386" s="64">
        <f>Ringkasan!O385</f>
        <v>24.83</v>
      </c>
      <c r="P386" s="64">
        <f>Ringkasan!P385</f>
        <v>86.81</v>
      </c>
      <c r="Q386" s="64">
        <f>Ringkasan!Q385</f>
        <v>2.05</v>
      </c>
      <c r="R386" s="64">
        <f>Ringkasan!R385</f>
        <v>73.11</v>
      </c>
      <c r="S386" s="64">
        <f>Ringkasan!S385</f>
        <v>45.21</v>
      </c>
      <c r="T386" s="64">
        <f>Ringkasan!T385</f>
        <v>10.03</v>
      </c>
      <c r="U386" s="64">
        <f>Ringkasan!U385</f>
        <v>1525</v>
      </c>
      <c r="V386" s="64">
        <f>Ringkasan!V385</f>
        <v>1.64</v>
      </c>
      <c r="W386" s="64">
        <f>Ringkasan!W385</f>
        <v>1525</v>
      </c>
      <c r="X386" s="64">
        <f>Ringkasan!X385</f>
        <v>1560</v>
      </c>
      <c r="Y386" s="64">
        <f>Ringkasan!Y385</f>
        <v>1525</v>
      </c>
      <c r="Z386" s="64">
        <f>Ringkasan!Z385</f>
        <v>4464900</v>
      </c>
      <c r="AA386" s="64" t="str">
        <f>Ringkasan!AA385</f>
        <v>Banks</v>
      </c>
      <c r="AB386" s="64" t="str">
        <f>Ringkasan!AB385</f>
        <v>Financials</v>
      </c>
    </row>
    <row r="387" hidden="1">
      <c r="A387" s="64" t="str">
        <f>Ringkasan!A386</f>
        <v>BNGA</v>
      </c>
      <c r="B387" s="64" t="str">
        <f>Ringkasan!B386</f>
        <v>PT Bank CIMB Niaga Tbk</v>
      </c>
      <c r="C387" s="65">
        <f>Ringkasan!C386</f>
        <v>1550</v>
      </c>
      <c r="D387" s="64" t="str">
        <f>Ringkasan!D386</f>
        <v>#N/A</v>
      </c>
      <c r="E387" s="64" t="str">
        <f>Ringkasan!E386</f>
        <v>MNC36</v>
      </c>
      <c r="F387" s="64" t="str">
        <f>Ringkasan!F386</f>
        <v>30 Oktober 2026</v>
      </c>
      <c r="G387" s="64">
        <f>Ringkasan!G386</f>
        <v>5</v>
      </c>
      <c r="H387" s="19">
        <f>Ringkasan!H386</f>
        <v>5.9</v>
      </c>
      <c r="I387" s="19">
        <f>Ringkasan!I386</f>
        <v>0.69</v>
      </c>
      <c r="J387" s="19">
        <f>Ringkasan!J386</f>
        <v>11.6</v>
      </c>
      <c r="K387" s="19">
        <f>Ringkasan!K386</f>
        <v>1.9</v>
      </c>
      <c r="L387" s="19">
        <f>Ringkasan!L386</f>
        <v>5.2</v>
      </c>
      <c r="M387" s="19">
        <f>Ringkasan!M386</f>
        <v>110</v>
      </c>
      <c r="N387" s="64">
        <f>Ringkasan!N386</f>
        <v>4.37</v>
      </c>
      <c r="O387" s="64">
        <f>Ringkasan!O386</f>
        <v>24.83</v>
      </c>
      <c r="P387" s="64">
        <f>Ringkasan!P386</f>
        <v>86.81</v>
      </c>
      <c r="Q387" s="64">
        <f>Ringkasan!Q386</f>
        <v>2.05</v>
      </c>
      <c r="R387" s="64">
        <f>Ringkasan!R386</f>
        <v>73.11</v>
      </c>
      <c r="S387" s="64">
        <f>Ringkasan!S386</f>
        <v>45.21</v>
      </c>
      <c r="T387" s="64">
        <f>Ringkasan!T386</f>
        <v>10.03</v>
      </c>
      <c r="U387" s="64">
        <f>Ringkasan!U386</f>
        <v>1525</v>
      </c>
      <c r="V387" s="64">
        <f>Ringkasan!V386</f>
        <v>1.64</v>
      </c>
      <c r="W387" s="64">
        <f>Ringkasan!W386</f>
        <v>1525</v>
      </c>
      <c r="X387" s="64">
        <f>Ringkasan!X386</f>
        <v>1560</v>
      </c>
      <c r="Y387" s="64">
        <f>Ringkasan!Y386</f>
        <v>1525</v>
      </c>
      <c r="Z387" s="64">
        <f>Ringkasan!Z386</f>
        <v>4464900</v>
      </c>
      <c r="AA387" s="64" t="str">
        <f>Ringkasan!AA386</f>
        <v>Banks</v>
      </c>
      <c r="AB387" s="64" t="str">
        <f>Ringkasan!AB386</f>
        <v>Financials</v>
      </c>
    </row>
    <row r="388">
      <c r="A388" s="60" t="str">
        <f>Ringkasan!A529</f>
        <v>CNMA</v>
      </c>
      <c r="B388" s="60" t="str">
        <f>Ringkasan!B529</f>
        <v>PT Nusantara Sejahtera Raya Tbk</v>
      </c>
      <c r="C388" s="61">
        <f>Ringkasan!C529</f>
        <v>90</v>
      </c>
      <c r="D388" s="60" t="str">
        <f>Ringkasan!D529</f>
        <v>#N/A</v>
      </c>
      <c r="E388" s="60" t="str">
        <f>Ringkasan!E529</f>
        <v>IDXSMC-LIQ</v>
      </c>
      <c r="F388" s="60" t="str">
        <f>Ringkasan!F529</f>
        <v>4 Agustus 2026</v>
      </c>
      <c r="G388" s="61">
        <f>Ringkasan!G529</f>
        <v>1</v>
      </c>
      <c r="H388" s="62">
        <f>Ringkasan!H529</f>
        <v>11</v>
      </c>
      <c r="I388" s="62">
        <f>Ringkasan!I529</f>
        <v>1.9</v>
      </c>
      <c r="J388" s="62">
        <f>Ringkasan!J529</f>
        <v>17.7</v>
      </c>
      <c r="K388" s="62">
        <f>Ringkasan!K529</f>
        <v>11.4</v>
      </c>
      <c r="L388" s="62">
        <f>Ringkasan!L529</f>
        <v>0.55</v>
      </c>
      <c r="M388" s="62">
        <f>Ringkasan!M529</f>
        <v>69.8</v>
      </c>
      <c r="N388" s="60" t="str">
        <f>Ringkasan!N529</f>
        <v/>
      </c>
      <c r="O388" s="60" t="str">
        <f>Ringkasan!O529</f>
        <v/>
      </c>
      <c r="P388" s="60" t="str">
        <f>Ringkasan!P529</f>
        <v/>
      </c>
      <c r="Q388" s="60" t="str">
        <f>Ringkasan!Q529</f>
        <v/>
      </c>
      <c r="R388" s="60" t="str">
        <f>Ringkasan!R529</f>
        <v/>
      </c>
      <c r="S388" s="60" t="str">
        <f>Ringkasan!S529</f>
        <v/>
      </c>
      <c r="T388" s="60" t="str">
        <f>Ringkasan!T529</f>
        <v/>
      </c>
      <c r="U388" s="60">
        <f>Ringkasan!U529</f>
        <v>88</v>
      </c>
      <c r="V388" s="60">
        <f>Ringkasan!V529</f>
        <v>2.27</v>
      </c>
      <c r="W388" s="60">
        <f>Ringkasan!W529</f>
        <v>88</v>
      </c>
      <c r="X388" s="60">
        <f>Ringkasan!X529</f>
        <v>92</v>
      </c>
      <c r="Y388" s="60">
        <f>Ringkasan!Y529</f>
        <v>88</v>
      </c>
      <c r="Z388" s="60">
        <f>Ringkasan!Z529</f>
        <v>4694600</v>
      </c>
      <c r="AA388" s="60" t="str">
        <f>Ringkasan!AA529</f>
        <v>Tourism &amp; Recreation</v>
      </c>
      <c r="AB388" s="60" t="str">
        <f>Ringkasan!AB529</f>
        <v>Consumer Cyclicals</v>
      </c>
    </row>
    <row r="389" hidden="1">
      <c r="A389" s="64" t="str">
        <f>Ringkasan!A700</f>
        <v>ESSA</v>
      </c>
      <c r="B389" s="64" t="str">
        <f>Ringkasan!B700</f>
        <v>ESSA Industries Indonesia Tbk.</v>
      </c>
      <c r="C389" s="65">
        <f>Ringkasan!C700</f>
        <v>600</v>
      </c>
      <c r="D389" s="64" t="str">
        <f>Ringkasan!D700</f>
        <v>#N/A</v>
      </c>
      <c r="E389" s="64" t="str">
        <f>Ringkasan!E700</f>
        <v>IDXVESTA28</v>
      </c>
      <c r="F389" s="64" t="str">
        <f>Ringkasan!F700</f>
        <v>31 Agustus 2026</v>
      </c>
      <c r="G389" s="64">
        <f>Ringkasan!G700</f>
        <v>10</v>
      </c>
      <c r="H389" s="19">
        <f>Ringkasan!H700</f>
        <v>13.4</v>
      </c>
      <c r="I389" s="19">
        <f>Ringkasan!I700</f>
        <v>1.1</v>
      </c>
      <c r="J389" s="19">
        <f>Ringkasan!J700</f>
        <v>8.3</v>
      </c>
      <c r="K389" s="19">
        <f>Ringkasan!K700</f>
        <v>7.4</v>
      </c>
      <c r="L389" s="19">
        <f>Ringkasan!L700</f>
        <v>0.12</v>
      </c>
      <c r="M389" s="19">
        <f>Ringkasan!M700</f>
        <v>53.2</v>
      </c>
      <c r="N389" s="64" t="str">
        <f>Ringkasan!N700</f>
        <v/>
      </c>
      <c r="O389" s="64" t="str">
        <f>Ringkasan!O700</f>
        <v/>
      </c>
      <c r="P389" s="64" t="str">
        <f>Ringkasan!P700</f>
        <v/>
      </c>
      <c r="Q389" s="64" t="str">
        <f>Ringkasan!Q700</f>
        <v/>
      </c>
      <c r="R389" s="64" t="str">
        <f>Ringkasan!R700</f>
        <v/>
      </c>
      <c r="S389" s="64" t="str">
        <f>Ringkasan!S700</f>
        <v/>
      </c>
      <c r="T389" s="64" t="str">
        <f>Ringkasan!T700</f>
        <v/>
      </c>
      <c r="U389" s="64">
        <f>Ringkasan!U700</f>
        <v>605</v>
      </c>
      <c r="V389" s="64">
        <f>Ringkasan!V700</f>
        <v>-0.83</v>
      </c>
      <c r="W389" s="64">
        <f>Ringkasan!W700</f>
        <v>605</v>
      </c>
      <c r="X389" s="64">
        <f>Ringkasan!X700</f>
        <v>625</v>
      </c>
      <c r="Y389" s="64">
        <f>Ringkasan!Y700</f>
        <v>585</v>
      </c>
      <c r="Z389" s="64" t="str">
        <f>Ringkasan!Z700</f>
        <v/>
      </c>
      <c r="AA389" s="64" t="str">
        <f>Ringkasan!AA700</f>
        <v>Chemicals</v>
      </c>
      <c r="AB389" s="64" t="str">
        <f>Ringkasan!AB700</f>
        <v>Basic Materials</v>
      </c>
    </row>
    <row r="390" hidden="1">
      <c r="A390" s="64" t="str">
        <f>Ringkasan!A389</f>
        <v>BNGA</v>
      </c>
      <c r="B390" s="64" t="str">
        <f>Ringkasan!B389</f>
        <v>PT Bank CIMB Niaga Tbk</v>
      </c>
      <c r="C390" s="65">
        <f>Ringkasan!C389</f>
        <v>1550</v>
      </c>
      <c r="D390" s="64" t="str">
        <f>Ringkasan!D389</f>
        <v>#N/A</v>
      </c>
      <c r="E390" s="64" t="str">
        <f>Ringkasan!E389</f>
        <v>Investor33</v>
      </c>
      <c r="F390" s="66">
        <f>Ringkasan!F389</f>
        <v>46356</v>
      </c>
      <c r="G390" s="64">
        <f>Ringkasan!G389</f>
        <v>5</v>
      </c>
      <c r="H390" s="19">
        <f>Ringkasan!H389</f>
        <v>5.9</v>
      </c>
      <c r="I390" s="19">
        <f>Ringkasan!I389</f>
        <v>0.69</v>
      </c>
      <c r="J390" s="19">
        <f>Ringkasan!J389</f>
        <v>11.6</v>
      </c>
      <c r="K390" s="19">
        <f>Ringkasan!K389</f>
        <v>1.9</v>
      </c>
      <c r="L390" s="19">
        <f>Ringkasan!L389</f>
        <v>5.2</v>
      </c>
      <c r="M390" s="19">
        <f>Ringkasan!M389</f>
        <v>110</v>
      </c>
      <c r="N390" s="64">
        <f>Ringkasan!N389</f>
        <v>4.37</v>
      </c>
      <c r="O390" s="64">
        <f>Ringkasan!O389</f>
        <v>24.83</v>
      </c>
      <c r="P390" s="64">
        <f>Ringkasan!P389</f>
        <v>86.81</v>
      </c>
      <c r="Q390" s="64">
        <f>Ringkasan!Q389</f>
        <v>2.05</v>
      </c>
      <c r="R390" s="64">
        <f>Ringkasan!R389</f>
        <v>73.11</v>
      </c>
      <c r="S390" s="64">
        <f>Ringkasan!S389</f>
        <v>45.21</v>
      </c>
      <c r="T390" s="64">
        <f>Ringkasan!T389</f>
        <v>10.03</v>
      </c>
      <c r="U390" s="64">
        <f>Ringkasan!U389</f>
        <v>1525</v>
      </c>
      <c r="V390" s="64">
        <f>Ringkasan!V389</f>
        <v>1.64</v>
      </c>
      <c r="W390" s="64">
        <f>Ringkasan!W389</f>
        <v>1525</v>
      </c>
      <c r="X390" s="64">
        <f>Ringkasan!X389</f>
        <v>1560</v>
      </c>
      <c r="Y390" s="64">
        <f>Ringkasan!Y389</f>
        <v>1525</v>
      </c>
      <c r="Z390" s="64">
        <f>Ringkasan!Z389</f>
        <v>4464900</v>
      </c>
      <c r="AA390" s="64" t="str">
        <f>Ringkasan!AA389</f>
        <v>Banks</v>
      </c>
      <c r="AB390" s="64" t="str">
        <f>Ringkasan!AB389</f>
        <v>Financials</v>
      </c>
    </row>
    <row r="391" hidden="1">
      <c r="A391" s="64" t="str">
        <f>Ringkasan!A390</f>
        <v>BNII</v>
      </c>
      <c r="B391" s="64" t="str">
        <f>Ringkasan!B390</f>
        <v>PT Bank Maybank Indonesia Tbk</v>
      </c>
      <c r="C391" s="65">
        <f>Ringkasan!C390</f>
        <v>188</v>
      </c>
      <c r="D391" s="64" t="str">
        <f>Ringkasan!D390</f>
        <v>#N/A</v>
      </c>
      <c r="E391" s="64" t="str">
        <f>Ringkasan!E390</f>
        <v/>
      </c>
      <c r="F391" s="64" t="str">
        <f>Ringkasan!F390</f>
        <v/>
      </c>
      <c r="G391" s="64">
        <f>Ringkasan!G390</f>
        <v>0</v>
      </c>
      <c r="H391" s="19">
        <f>Ringkasan!H390</f>
        <v>9.3</v>
      </c>
      <c r="I391" s="19">
        <f>Ringkasan!I390</f>
        <v>0.45</v>
      </c>
      <c r="J391" s="19">
        <f>Ringkasan!J390</f>
        <v>4.8</v>
      </c>
      <c r="K391" s="19">
        <f>Ringkasan!K390</f>
        <v>0.82</v>
      </c>
      <c r="L391" s="19">
        <f>Ringkasan!L390</f>
        <v>4.9</v>
      </c>
      <c r="M391" s="19">
        <f>Ringkasan!M390</f>
        <v>49</v>
      </c>
      <c r="N391" s="64">
        <f>Ringkasan!N390</f>
        <v>4.9</v>
      </c>
      <c r="O391" s="64">
        <f>Ringkasan!O390</f>
        <v>25.6</v>
      </c>
      <c r="P391" s="64">
        <f>Ringkasan!P390</f>
        <v>85.2</v>
      </c>
      <c r="Q391" s="64">
        <f>Ringkasan!Q390</f>
        <v>2.7</v>
      </c>
      <c r="R391" s="64">
        <f>Ringkasan!R390</f>
        <v>83.4</v>
      </c>
      <c r="S391" s="64">
        <f>Ringkasan!S390</f>
        <v>46.2</v>
      </c>
      <c r="T391" s="64">
        <f>Ringkasan!T390</f>
        <v>8.8</v>
      </c>
      <c r="U391" s="64">
        <f>Ringkasan!U390</f>
        <v>185</v>
      </c>
      <c r="V391" s="64">
        <f>Ringkasan!V390</f>
        <v>1.62</v>
      </c>
      <c r="W391" s="64">
        <f>Ringkasan!W390</f>
        <v>184</v>
      </c>
      <c r="X391" s="64">
        <f>Ringkasan!X390</f>
        <v>188</v>
      </c>
      <c r="Y391" s="64">
        <f>Ringkasan!Y390</f>
        <v>184</v>
      </c>
      <c r="Z391" s="64">
        <f>Ringkasan!Z390</f>
        <v>755000</v>
      </c>
      <c r="AA391" s="64" t="str">
        <f>Ringkasan!AA390</f>
        <v>Banks</v>
      </c>
      <c r="AB391" s="64" t="str">
        <f>Ringkasan!AB390</f>
        <v>Financials</v>
      </c>
    </row>
    <row r="392" hidden="1">
      <c r="A392" s="64" t="str">
        <f>Ringkasan!A391</f>
        <v>BNLI</v>
      </c>
      <c r="B392" s="64" t="str">
        <f>Ringkasan!B391</f>
        <v>Bank Permata Tbk</v>
      </c>
      <c r="C392" s="65">
        <f>Ringkasan!C391</f>
        <v>3220</v>
      </c>
      <c r="D392" s="64" t="str">
        <f>Ringkasan!D391</f>
        <v>#N/A</v>
      </c>
      <c r="E392" s="64" t="str">
        <f>Ringkasan!E391</f>
        <v/>
      </c>
      <c r="F392" s="64" t="str">
        <f>Ringkasan!F391</f>
        <v/>
      </c>
      <c r="G392" s="64">
        <f>Ringkasan!G391</f>
        <v>0</v>
      </c>
      <c r="H392" s="19">
        <f>Ringkasan!H391</f>
        <v>30.3</v>
      </c>
      <c r="I392" s="19">
        <f>Ringkasan!I391</f>
        <v>2.4</v>
      </c>
      <c r="J392" s="19">
        <f>Ringkasan!J391</f>
        <v>8.1</v>
      </c>
      <c r="K392" s="19">
        <f>Ringkasan!K391</f>
        <v>1.4</v>
      </c>
      <c r="L392" s="19">
        <f>Ringkasan!L391</f>
        <v>4.7</v>
      </c>
      <c r="M392" s="19">
        <f>Ringkasan!M391</f>
        <v>84.2</v>
      </c>
      <c r="N392" s="64">
        <f>Ringkasan!N391</f>
        <v>4.4</v>
      </c>
      <c r="O392" s="64">
        <f>Ringkasan!O391</f>
        <v>38.7</v>
      </c>
      <c r="P392" s="64">
        <f>Ringkasan!P391</f>
        <v>81.3</v>
      </c>
      <c r="Q392" s="64">
        <f>Ringkasan!Q391</f>
        <v>1.9</v>
      </c>
      <c r="R392" s="64">
        <f>Ringkasan!R391</f>
        <v>81.1</v>
      </c>
      <c r="S392" s="64">
        <f>Ringkasan!S391</f>
        <v>53.5</v>
      </c>
      <c r="T392" s="64">
        <f>Ringkasan!T391</f>
        <v>7.6</v>
      </c>
      <c r="U392" s="64">
        <f>Ringkasan!U391</f>
        <v>2840</v>
      </c>
      <c r="V392" s="64">
        <f>Ringkasan!V391</f>
        <v>13.38</v>
      </c>
      <c r="W392" s="64">
        <f>Ringkasan!W391</f>
        <v>2840</v>
      </c>
      <c r="X392" s="64">
        <f>Ringkasan!X391</f>
        <v>3300</v>
      </c>
      <c r="Y392" s="64">
        <f>Ringkasan!Y391</f>
        <v>2840</v>
      </c>
      <c r="Z392" s="64">
        <f>Ringkasan!Z391</f>
        <v>85700</v>
      </c>
      <c r="AA392" s="64" t="str">
        <f>Ringkasan!AA391</f>
        <v>Banks</v>
      </c>
      <c r="AB392" s="64" t="str">
        <f>Ringkasan!AB391</f>
        <v>Financials</v>
      </c>
    </row>
    <row r="393" hidden="1">
      <c r="A393" s="64" t="str">
        <f>Ringkasan!A392</f>
        <v>BOAT</v>
      </c>
      <c r="B393" s="64" t="str">
        <f>Ringkasan!B392</f>
        <v>Newport Marine Services Tbk.</v>
      </c>
      <c r="C393" s="65">
        <f>Ringkasan!C392</f>
        <v>102</v>
      </c>
      <c r="D393" s="64" t="str">
        <f>Ringkasan!D392</f>
        <v>#N/A</v>
      </c>
      <c r="E393" s="64" t="str">
        <f>Ringkasan!E392</f>
        <v/>
      </c>
      <c r="F393" s="64" t="str">
        <f>Ringkasan!F392</f>
        <v/>
      </c>
      <c r="G393" s="64">
        <f>Ringkasan!G392</f>
        <v>0</v>
      </c>
      <c r="H393" s="19">
        <f>Ringkasan!H392</f>
        <v>12.2</v>
      </c>
      <c r="I393" s="19">
        <f>Ringkasan!I392</f>
        <v>1</v>
      </c>
      <c r="J393" s="19">
        <f>Ringkasan!J392</f>
        <v>8.5</v>
      </c>
      <c r="K393" s="19">
        <f>Ringkasan!K392</f>
        <v>5.9</v>
      </c>
      <c r="L393" s="19">
        <f>Ringkasan!L392</f>
        <v>0.45</v>
      </c>
      <c r="M393" s="19">
        <f>Ringkasan!M392</f>
        <v>63.6</v>
      </c>
      <c r="N393" s="64" t="str">
        <f>Ringkasan!N392</f>
        <v/>
      </c>
      <c r="O393" s="64" t="str">
        <f>Ringkasan!O392</f>
        <v/>
      </c>
      <c r="P393" s="64" t="str">
        <f>Ringkasan!P392</f>
        <v/>
      </c>
      <c r="Q393" s="64" t="str">
        <f>Ringkasan!Q392</f>
        <v/>
      </c>
      <c r="R393" s="64" t="str">
        <f>Ringkasan!R392</f>
        <v/>
      </c>
      <c r="S393" s="64" t="str">
        <f>Ringkasan!S392</f>
        <v/>
      </c>
      <c r="T393" s="64" t="str">
        <f>Ringkasan!T392</f>
        <v/>
      </c>
      <c r="U393" s="64">
        <f>Ringkasan!U392</f>
        <v>41.95</v>
      </c>
      <c r="V393" s="64">
        <f>Ringkasan!V392</f>
        <v>1.19</v>
      </c>
      <c r="W393" s="64">
        <f>Ringkasan!W392</f>
        <v>41.82</v>
      </c>
      <c r="X393" s="64">
        <f>Ringkasan!X392</f>
        <v>42.59</v>
      </c>
      <c r="Y393" s="64">
        <f>Ringkasan!Y392</f>
        <v>41.82</v>
      </c>
      <c r="Z393" s="64">
        <f>Ringkasan!Z392</f>
        <v>3605</v>
      </c>
      <c r="AA393" s="64" t="str">
        <f>Ringkasan!AA392</f>
        <v>Oil, Gas &amp; Coal Supports</v>
      </c>
      <c r="AB393" s="64" t="str">
        <f>Ringkasan!AB392</f>
        <v>Energy</v>
      </c>
    </row>
    <row r="394" hidden="1">
      <c r="A394" s="64" t="str">
        <f>Ringkasan!A786</f>
        <v>HBAT</v>
      </c>
      <c r="B394" s="64" t="str">
        <f>Ringkasan!B786</f>
        <v>PT Minahasa Membangun Hebat Tbk</v>
      </c>
      <c r="C394" s="65">
        <f>Ringkasan!C786</f>
        <v>410</v>
      </c>
      <c r="D394" s="64" t="str">
        <f>Ringkasan!D786</f>
        <v>#N/A</v>
      </c>
      <c r="E394" s="64" t="str">
        <f>Ringkasan!E786</f>
        <v/>
      </c>
      <c r="F394" s="64" t="str">
        <f>Ringkasan!F786</f>
        <v/>
      </c>
      <c r="G394" s="64">
        <f>Ringkasan!G786</f>
        <v>0</v>
      </c>
      <c r="H394" s="19">
        <f>Ringkasan!H786</f>
        <v>190</v>
      </c>
      <c r="I394" s="19">
        <f>Ringkasan!I786</f>
        <v>6.4</v>
      </c>
      <c r="J394" s="19">
        <f>Ringkasan!J786</f>
        <v>3.4</v>
      </c>
      <c r="K394" s="19">
        <f>Ringkasan!K786</f>
        <v>3.2</v>
      </c>
      <c r="L394" s="19">
        <f>Ringkasan!L786</f>
        <v>0.04</v>
      </c>
      <c r="M394" s="19">
        <f>Ringkasan!M786</f>
        <v>11.2</v>
      </c>
      <c r="N394" s="64" t="str">
        <f>Ringkasan!N786</f>
        <v/>
      </c>
      <c r="O394" s="64" t="str">
        <f>Ringkasan!O786</f>
        <v/>
      </c>
      <c r="P394" s="64" t="str">
        <f>Ringkasan!P786</f>
        <v/>
      </c>
      <c r="Q394" s="64" t="str">
        <f>Ringkasan!Q786</f>
        <v/>
      </c>
      <c r="R394" s="64" t="str">
        <f>Ringkasan!R786</f>
        <v/>
      </c>
      <c r="S394" s="64" t="str">
        <f>Ringkasan!S786</f>
        <v/>
      </c>
      <c r="T394" s="64" t="str">
        <f>Ringkasan!T786</f>
        <v/>
      </c>
      <c r="U394" s="64">
        <f>Ringkasan!U786</f>
        <v>390</v>
      </c>
      <c r="V394" s="64">
        <f>Ringkasan!V786</f>
        <v>5.13</v>
      </c>
      <c r="W394" s="64">
        <f>Ringkasan!W786</f>
        <v>410</v>
      </c>
      <c r="X394" s="64">
        <f>Ringkasan!X786</f>
        <v>414</v>
      </c>
      <c r="Y394" s="64">
        <f>Ringkasan!Y786</f>
        <v>366</v>
      </c>
      <c r="Z394" s="64">
        <f>Ringkasan!Z786</f>
        <v>840600</v>
      </c>
      <c r="AA394" s="64" t="str">
        <f>Ringkasan!AA786</f>
        <v>Real Estate Management &amp; Development</v>
      </c>
      <c r="AB394" s="64" t="str">
        <f>Ringkasan!AB786</f>
        <v>Properties &amp; Real Estate</v>
      </c>
    </row>
    <row r="395" hidden="1">
      <c r="A395" s="64" t="str">
        <f>Ringkasan!A394</f>
        <v>BOGA</v>
      </c>
      <c r="B395" s="64" t="str">
        <f>Ringkasan!B394</f>
        <v>Apollo Global Interactive Tbk.</v>
      </c>
      <c r="C395" s="65">
        <f>Ringkasan!C394</f>
        <v>1055</v>
      </c>
      <c r="D395" s="64" t="str">
        <f>Ringkasan!D394</f>
        <v>#N/A</v>
      </c>
      <c r="E395" s="64" t="str">
        <f>Ringkasan!E394</f>
        <v/>
      </c>
      <c r="F395" s="64" t="str">
        <f>Ringkasan!F394</f>
        <v/>
      </c>
      <c r="G395" s="64">
        <f>Ringkasan!G394</f>
        <v>0</v>
      </c>
      <c r="H395" s="19">
        <f>Ringkasan!H394</f>
        <v>1200</v>
      </c>
      <c r="I395" s="19">
        <f>Ringkasan!I394</f>
        <v>11.2</v>
      </c>
      <c r="J395" s="19">
        <f>Ringkasan!J394</f>
        <v>0.94</v>
      </c>
      <c r="K395" s="19">
        <f>Ringkasan!K394</f>
        <v>0.54</v>
      </c>
      <c r="L395" s="19">
        <f>Ringkasan!L394</f>
        <v>0.73</v>
      </c>
      <c r="M395" s="19">
        <f>Ringkasan!M394</f>
        <v>4.8</v>
      </c>
      <c r="N395" s="64" t="str">
        <f>Ringkasan!N394</f>
        <v/>
      </c>
      <c r="O395" s="64" t="str">
        <f>Ringkasan!O394</f>
        <v/>
      </c>
      <c r="P395" s="64" t="str">
        <f>Ringkasan!P394</f>
        <v/>
      </c>
      <c r="Q395" s="64" t="str">
        <f>Ringkasan!Q394</f>
        <v/>
      </c>
      <c r="R395" s="64" t="str">
        <f>Ringkasan!R394</f>
        <v/>
      </c>
      <c r="S395" s="64" t="str">
        <f>Ringkasan!S394</f>
        <v/>
      </c>
      <c r="T395" s="64" t="str">
        <f>Ringkasan!T394</f>
        <v/>
      </c>
      <c r="U395" s="64">
        <f>Ringkasan!U394</f>
        <v>1055</v>
      </c>
      <c r="V395" s="64">
        <f>Ringkasan!V394</f>
        <v>0</v>
      </c>
      <c r="W395" s="64">
        <f>Ringkasan!W394</f>
        <v>985</v>
      </c>
      <c r="X395" s="64">
        <f>Ringkasan!X394</f>
        <v>1055</v>
      </c>
      <c r="Y395" s="64">
        <f>Ringkasan!Y394</f>
        <v>905</v>
      </c>
      <c r="Z395" s="64">
        <f>Ringkasan!Z394</f>
        <v>27800</v>
      </c>
      <c r="AA395" s="64" t="str">
        <f>Ringkasan!AA394</f>
        <v>Specialty Retail</v>
      </c>
      <c r="AB395" s="64" t="str">
        <f>Ringkasan!AB394</f>
        <v>Consumer Cyclicals</v>
      </c>
    </row>
    <row r="396" hidden="1">
      <c r="A396" s="64" t="str">
        <f>Ringkasan!A395</f>
        <v>BOLA</v>
      </c>
      <c r="B396" s="60" t="str">
        <f>Ringkasan!B395</f>
        <v>Bali Bintang Sejahtera Tbk.</v>
      </c>
      <c r="C396" s="61">
        <f>Ringkasan!C395</f>
        <v>130</v>
      </c>
      <c r="D396" s="60" t="str">
        <f>Ringkasan!D395</f>
        <v>#N/A</v>
      </c>
      <c r="E396" s="60" t="str">
        <f>Ringkasan!E395</f>
        <v/>
      </c>
      <c r="F396" s="60" t="str">
        <f>Ringkasan!F395</f>
        <v/>
      </c>
      <c r="G396" s="60">
        <f>Ringkasan!G395</f>
        <v>0</v>
      </c>
      <c r="H396" s="62">
        <f>Ringkasan!H395</f>
        <v>21.8</v>
      </c>
      <c r="I396" s="62">
        <f>Ringkasan!I395</f>
        <v>1.3</v>
      </c>
      <c r="J396" s="62">
        <f>Ringkasan!J395</f>
        <v>6.1</v>
      </c>
      <c r="K396" s="62">
        <f>Ringkasan!K395</f>
        <v>5.4</v>
      </c>
      <c r="L396" s="62">
        <f>Ringkasan!L395</f>
        <v>0.14</v>
      </c>
      <c r="M396" s="62">
        <f>Ringkasan!M395</f>
        <v>55.2</v>
      </c>
      <c r="N396" s="60" t="str">
        <f>Ringkasan!N395</f>
        <v/>
      </c>
      <c r="O396" s="60" t="str">
        <f>Ringkasan!O395</f>
        <v/>
      </c>
      <c r="P396" s="60" t="str">
        <f>Ringkasan!P395</f>
        <v/>
      </c>
      <c r="Q396" s="60" t="str">
        <f>Ringkasan!Q395</f>
        <v/>
      </c>
      <c r="R396" s="60" t="str">
        <f>Ringkasan!R395</f>
        <v/>
      </c>
      <c r="S396" s="60" t="str">
        <f>Ringkasan!S395</f>
        <v/>
      </c>
      <c r="T396" s="60" t="str">
        <f>Ringkasan!T395</f>
        <v/>
      </c>
      <c r="U396" s="60">
        <f>Ringkasan!U395</f>
        <v>126</v>
      </c>
      <c r="V396" s="60">
        <f>Ringkasan!V395</f>
        <v>3.17</v>
      </c>
      <c r="W396" s="60">
        <f>Ringkasan!W395</f>
        <v>126</v>
      </c>
      <c r="X396" s="60">
        <f>Ringkasan!X395</f>
        <v>133</v>
      </c>
      <c r="Y396" s="60">
        <f>Ringkasan!Y395</f>
        <v>125</v>
      </c>
      <c r="Z396" s="60">
        <f>Ringkasan!Z395</f>
        <v>1851100</v>
      </c>
      <c r="AA396" s="60" t="str">
        <f>Ringkasan!AA395</f>
        <v>Tourism &amp; Recreation</v>
      </c>
      <c r="AB396" s="60" t="str">
        <f>Ringkasan!AB395</f>
        <v>Consumer Cyclicals</v>
      </c>
    </row>
    <row r="397" hidden="1">
      <c r="A397" s="60" t="str">
        <f>Ringkasan!A291</f>
        <v>BBRM</v>
      </c>
      <c r="B397" s="60" t="str">
        <f>Ringkasan!B291</f>
        <v>Pelayaran Nasional Bina Buana Raya Tbk.</v>
      </c>
      <c r="C397" s="61">
        <f>Ringkasan!C291</f>
        <v>102</v>
      </c>
      <c r="D397" s="60" t="str">
        <f>Ringkasan!D291</f>
        <v>#N/A</v>
      </c>
      <c r="E397" s="60" t="str">
        <f>Ringkasan!E291</f>
        <v/>
      </c>
      <c r="F397" s="60" t="str">
        <f>Ringkasan!F291</f>
        <v/>
      </c>
      <c r="G397" s="61">
        <f>Ringkasan!G291</f>
        <v>0</v>
      </c>
      <c r="H397" s="62">
        <f>Ringkasan!H291</f>
        <v>9.6</v>
      </c>
      <c r="I397" s="62">
        <f>Ringkasan!I291</f>
        <v>1.3</v>
      </c>
      <c r="J397" s="62">
        <f>Ringkasan!J291</f>
        <v>13.7</v>
      </c>
      <c r="K397" s="62">
        <f>Ringkasan!K291</f>
        <v>12.7</v>
      </c>
      <c r="L397" s="62">
        <f>Ringkasan!L291</f>
        <v>0.08</v>
      </c>
      <c r="M397" s="62">
        <f>Ringkasan!M291</f>
        <v>200</v>
      </c>
      <c r="N397" s="60" t="str">
        <f>Ringkasan!N291</f>
        <v/>
      </c>
      <c r="O397" s="60" t="str">
        <f>Ringkasan!O291</f>
        <v/>
      </c>
      <c r="P397" s="60" t="str">
        <f>Ringkasan!P291</f>
        <v/>
      </c>
      <c r="Q397" s="60" t="str">
        <f>Ringkasan!Q291</f>
        <v/>
      </c>
      <c r="R397" s="60" t="str">
        <f>Ringkasan!R291</f>
        <v/>
      </c>
      <c r="S397" s="60" t="str">
        <f>Ringkasan!S291</f>
        <v/>
      </c>
      <c r="T397" s="60" t="str">
        <f>Ringkasan!T291</f>
        <v/>
      </c>
      <c r="U397" s="60">
        <f>Ringkasan!U291</f>
        <v>97</v>
      </c>
      <c r="V397" s="60">
        <f>Ringkasan!V291</f>
        <v>5.15</v>
      </c>
      <c r="W397" s="60">
        <f>Ringkasan!W291</f>
        <v>98</v>
      </c>
      <c r="X397" s="60">
        <f>Ringkasan!X291</f>
        <v>106</v>
      </c>
      <c r="Y397" s="60">
        <f>Ringkasan!Y291</f>
        <v>97</v>
      </c>
      <c r="Z397" s="60">
        <f>Ringkasan!Z291</f>
        <v>7633900</v>
      </c>
      <c r="AA397" s="60" t="str">
        <f>Ringkasan!AA291</f>
        <v>Coal</v>
      </c>
      <c r="AB397" s="60" t="str">
        <f>Ringkasan!AB291</f>
        <v>Energy</v>
      </c>
    </row>
    <row r="398" hidden="1">
      <c r="A398" s="64" t="str">
        <f>Ringkasan!A397</f>
        <v>BOSS</v>
      </c>
      <c r="B398" s="64" t="str">
        <f>Ringkasan!B397</f>
        <v>Borneo Olah Sarana Sukses Tbk.</v>
      </c>
      <c r="C398" s="65">
        <f>Ringkasan!C397</f>
        <v>50</v>
      </c>
      <c r="D398" s="64" t="str">
        <f>Ringkasan!D397</f>
        <v>#N/A</v>
      </c>
      <c r="E398" s="64" t="str">
        <f>Ringkasan!E397</f>
        <v/>
      </c>
      <c r="F398" s="64" t="str">
        <f>Ringkasan!F397</f>
        <v/>
      </c>
      <c r="G398" s="64">
        <f>Ringkasan!G397</f>
        <v>0</v>
      </c>
      <c r="H398" s="19">
        <f>Ringkasan!H397</f>
        <v>0</v>
      </c>
      <c r="I398" s="19">
        <f>Ringkasan!I397</f>
        <v>-0.42</v>
      </c>
      <c r="J398" s="19">
        <f>Ringkasan!J397</f>
        <v>0</v>
      </c>
      <c r="K398" s="19">
        <f>Ringkasan!K397</f>
        <v>-28.9</v>
      </c>
      <c r="L398" s="19">
        <f>Ringkasan!L397</f>
        <v>-4.8</v>
      </c>
      <c r="M398" s="19">
        <f>Ringkasan!M397</f>
        <v>-130</v>
      </c>
      <c r="N398" s="64" t="str">
        <f>Ringkasan!N397</f>
        <v/>
      </c>
      <c r="O398" s="64" t="str">
        <f>Ringkasan!O397</f>
        <v/>
      </c>
      <c r="P398" s="64" t="str">
        <f>Ringkasan!P397</f>
        <v/>
      </c>
      <c r="Q398" s="64" t="str">
        <f>Ringkasan!Q397</f>
        <v/>
      </c>
      <c r="R398" s="64" t="str">
        <f>Ringkasan!R397</f>
        <v/>
      </c>
      <c r="S398" s="64" t="str">
        <f>Ringkasan!S397</f>
        <v/>
      </c>
      <c r="T398" s="64" t="str">
        <f>Ringkasan!T397</f>
        <v/>
      </c>
      <c r="U398" s="64">
        <f>Ringkasan!U397</f>
        <v>39.76</v>
      </c>
      <c r="V398" s="64" t="str">
        <f>Ringkasan!V397</f>
        <v/>
      </c>
      <c r="W398" s="64">
        <f>Ringkasan!W397</f>
        <v>39.52</v>
      </c>
      <c r="X398" s="64">
        <f>Ringkasan!X397</f>
        <v>40.09</v>
      </c>
      <c r="Y398" s="64">
        <f>Ringkasan!Y397</f>
        <v>39.5</v>
      </c>
      <c r="Z398" s="64">
        <f>Ringkasan!Z397</f>
        <v>0</v>
      </c>
      <c r="AA398" s="64" t="str">
        <f>Ringkasan!AA397</f>
        <v>Coal</v>
      </c>
      <c r="AB398" s="64" t="str">
        <f>Ringkasan!AB397</f>
        <v>Energy</v>
      </c>
    </row>
    <row r="399" hidden="1">
      <c r="A399" s="64" t="str">
        <f>Ringkasan!A398</f>
        <v>BPFI</v>
      </c>
      <c r="B399" s="64" t="str">
        <f>Ringkasan!B398</f>
        <v>Woori Finance Indonesia Tbk.</v>
      </c>
      <c r="C399" s="65">
        <f>Ringkasan!C398</f>
        <v>272</v>
      </c>
      <c r="D399" s="64" t="str">
        <f>Ringkasan!D398</f>
        <v>#N/A</v>
      </c>
      <c r="E399" s="64" t="str">
        <f>Ringkasan!E398</f>
        <v/>
      </c>
      <c r="F399" s="64" t="str">
        <f>Ringkasan!F398</f>
        <v/>
      </c>
      <c r="G399" s="64">
        <f>Ringkasan!G398</f>
        <v>0</v>
      </c>
      <c r="H399" s="19">
        <f>Ringkasan!H398</f>
        <v>8.6</v>
      </c>
      <c r="I399" s="19">
        <f>Ringkasan!I398</f>
        <v>0.6</v>
      </c>
      <c r="J399" s="19">
        <f>Ringkasan!J398</f>
        <v>6.9</v>
      </c>
      <c r="K399" s="19">
        <f>Ringkasan!K398</f>
        <v>2.8</v>
      </c>
      <c r="L399" s="19">
        <f>Ringkasan!L398</f>
        <v>1.5</v>
      </c>
      <c r="M399" s="19">
        <f>Ringkasan!M398</f>
        <v>81</v>
      </c>
      <c r="N399" s="64" t="str">
        <f>Ringkasan!N398</f>
        <v/>
      </c>
      <c r="O399" s="64" t="str">
        <f>Ringkasan!O398</f>
        <v/>
      </c>
      <c r="P399" s="64" t="str">
        <f>Ringkasan!P398</f>
        <v/>
      </c>
      <c r="Q399" s="64" t="str">
        <f>Ringkasan!Q398</f>
        <v/>
      </c>
      <c r="R399" s="64" t="str">
        <f>Ringkasan!R398</f>
        <v/>
      </c>
      <c r="S399" s="64" t="str">
        <f>Ringkasan!S398</f>
        <v/>
      </c>
      <c r="T399" s="64" t="str">
        <f>Ringkasan!T398</f>
        <v/>
      </c>
      <c r="U399" s="64">
        <f>Ringkasan!U398</f>
        <v>278</v>
      </c>
      <c r="V399" s="64">
        <f>Ringkasan!V398</f>
        <v>-2.16</v>
      </c>
      <c r="W399" s="64">
        <f>Ringkasan!W398</f>
        <v>274</v>
      </c>
      <c r="X399" s="64">
        <f>Ringkasan!X398</f>
        <v>274</v>
      </c>
      <c r="Y399" s="64">
        <f>Ringkasan!Y398</f>
        <v>252</v>
      </c>
      <c r="Z399" s="64">
        <f>Ringkasan!Z398</f>
        <v>173200</v>
      </c>
      <c r="AA399" s="64" t="str">
        <f>Ringkasan!AA398</f>
        <v>Consumer Financing</v>
      </c>
      <c r="AB399" s="64" t="str">
        <f>Ringkasan!AB398</f>
        <v>Financials</v>
      </c>
    </row>
    <row r="400" hidden="1">
      <c r="A400" s="64" t="str">
        <f>Ringkasan!A399</f>
        <v>BPII</v>
      </c>
      <c r="B400" s="64" t="str">
        <f>Ringkasan!B399</f>
        <v>Batavia Prosperindo Internasional Tbk.</v>
      </c>
      <c r="C400" s="65">
        <f>Ringkasan!C399</f>
        <v>438</v>
      </c>
      <c r="D400" s="64" t="str">
        <f>Ringkasan!D399</f>
        <v>#N/A</v>
      </c>
      <c r="E400" s="64" t="str">
        <f>Ringkasan!E399</f>
        <v/>
      </c>
      <c r="F400" s="64" t="str">
        <f>Ringkasan!F399</f>
        <v/>
      </c>
      <c r="G400" s="64">
        <f>Ringkasan!G399</f>
        <v>0</v>
      </c>
      <c r="H400" s="19">
        <f>Ringkasan!H399</f>
        <v>39.1</v>
      </c>
      <c r="I400" s="19">
        <f>Ringkasan!I399</f>
        <v>2.5</v>
      </c>
      <c r="J400" s="19">
        <f>Ringkasan!J399</f>
        <v>6.3</v>
      </c>
      <c r="K400" s="19">
        <f>Ringkasan!K399</f>
        <v>1.8</v>
      </c>
      <c r="L400" s="19">
        <f>Ringkasan!L399</f>
        <v>2.5</v>
      </c>
      <c r="M400" s="19">
        <f>Ringkasan!M399</f>
        <v>37.2</v>
      </c>
      <c r="N400" s="64" t="str">
        <f>Ringkasan!N399</f>
        <v/>
      </c>
      <c r="O400" s="64" t="str">
        <f>Ringkasan!O399</f>
        <v/>
      </c>
      <c r="P400" s="64" t="str">
        <f>Ringkasan!P399</f>
        <v/>
      </c>
      <c r="Q400" s="64" t="str">
        <f>Ringkasan!Q399</f>
        <v/>
      </c>
      <c r="R400" s="64" t="str">
        <f>Ringkasan!R399</f>
        <v/>
      </c>
      <c r="S400" s="64" t="str">
        <f>Ringkasan!S399</f>
        <v/>
      </c>
      <c r="T400" s="64" t="str">
        <f>Ringkasan!T399</f>
        <v/>
      </c>
      <c r="U400" s="64">
        <f>Ringkasan!U399</f>
        <v>466</v>
      </c>
      <c r="V400" s="64">
        <f>Ringkasan!V399</f>
        <v>-6.01</v>
      </c>
      <c r="W400" s="64">
        <f>Ringkasan!W399</f>
        <v>466</v>
      </c>
      <c r="X400" s="64">
        <f>Ringkasan!X399</f>
        <v>470</v>
      </c>
      <c r="Y400" s="64">
        <f>Ringkasan!Y399</f>
        <v>438</v>
      </c>
      <c r="Z400" s="64">
        <f>Ringkasan!Z399</f>
        <v>19400</v>
      </c>
      <c r="AA400" s="64" t="str">
        <f>Ringkasan!AA399</f>
        <v>Holding &amp; Investment Companies</v>
      </c>
      <c r="AB400" s="64" t="str">
        <f>Ringkasan!AB399</f>
        <v>Financials</v>
      </c>
    </row>
    <row r="401" hidden="1">
      <c r="A401" s="64" t="str">
        <f>Ringkasan!A400</f>
        <v>BPTR</v>
      </c>
      <c r="B401" s="64" t="str">
        <f>Ringkasan!B400</f>
        <v>Batavia Prosperindo Trans Tbk.</v>
      </c>
      <c r="C401" s="65">
        <f>Ringkasan!C400</f>
        <v>70</v>
      </c>
      <c r="D401" s="64" t="str">
        <f>Ringkasan!D400</f>
        <v>#N/A</v>
      </c>
      <c r="E401" s="64" t="str">
        <f>Ringkasan!E400</f>
        <v/>
      </c>
      <c r="F401" s="64" t="str">
        <f>Ringkasan!F400</f>
        <v/>
      </c>
      <c r="G401" s="64">
        <f>Ringkasan!G400</f>
        <v>0</v>
      </c>
      <c r="H401" s="19">
        <f>Ringkasan!H400</f>
        <v>6.7</v>
      </c>
      <c r="I401" s="19">
        <f>Ringkasan!I400</f>
        <v>0.41</v>
      </c>
      <c r="J401" s="19">
        <f>Ringkasan!J400</f>
        <v>6.1</v>
      </c>
      <c r="K401" s="19">
        <f>Ringkasan!K400</f>
        <v>1.7</v>
      </c>
      <c r="L401" s="19">
        <f>Ringkasan!L400</f>
        <v>2.6</v>
      </c>
      <c r="M401" s="19">
        <f>Ringkasan!M400</f>
        <v>22.4</v>
      </c>
      <c r="N401" s="64" t="str">
        <f>Ringkasan!N400</f>
        <v/>
      </c>
      <c r="O401" s="64" t="str">
        <f>Ringkasan!O400</f>
        <v/>
      </c>
      <c r="P401" s="64" t="str">
        <f>Ringkasan!P400</f>
        <v/>
      </c>
      <c r="Q401" s="64" t="str">
        <f>Ringkasan!Q400</f>
        <v/>
      </c>
      <c r="R401" s="64" t="str">
        <f>Ringkasan!R400</f>
        <v/>
      </c>
      <c r="S401" s="64" t="str">
        <f>Ringkasan!S400</f>
        <v/>
      </c>
      <c r="T401" s="64" t="str">
        <f>Ringkasan!T400</f>
        <v/>
      </c>
      <c r="U401" s="64">
        <f>Ringkasan!U400</f>
        <v>69</v>
      </c>
      <c r="V401" s="64">
        <f>Ringkasan!V400</f>
        <v>1.45</v>
      </c>
      <c r="W401" s="64">
        <f>Ringkasan!W400</f>
        <v>70</v>
      </c>
      <c r="X401" s="64">
        <f>Ringkasan!X400</f>
        <v>71</v>
      </c>
      <c r="Y401" s="64">
        <f>Ringkasan!Y400</f>
        <v>68</v>
      </c>
      <c r="Z401" s="64">
        <f>Ringkasan!Z400</f>
        <v>929300</v>
      </c>
      <c r="AA401" s="64" t="str">
        <f>Ringkasan!AA400</f>
        <v>Passenger Land Transportation</v>
      </c>
      <c r="AB401" s="64" t="str">
        <f>Ringkasan!AB400</f>
        <v>Transportation &amp; Logistic</v>
      </c>
    </row>
    <row r="402" hidden="1">
      <c r="A402" s="64" t="str">
        <f>Ringkasan!A401</f>
        <v>BRAM</v>
      </c>
      <c r="B402" s="64" t="str">
        <f>Ringkasan!B401</f>
        <v>Indo Kordsa Tbk.</v>
      </c>
      <c r="C402" s="65">
        <f>Ringkasan!C401</f>
        <v>4690</v>
      </c>
      <c r="D402" s="64" t="str">
        <f>Ringkasan!D401</f>
        <v>#N/A</v>
      </c>
      <c r="E402" s="64" t="str">
        <f>Ringkasan!E401</f>
        <v/>
      </c>
      <c r="F402" s="64" t="str">
        <f>Ringkasan!F401</f>
        <v/>
      </c>
      <c r="G402" s="64">
        <f>Ringkasan!G401</f>
        <v>0</v>
      </c>
      <c r="H402" s="19">
        <f>Ringkasan!H401</f>
        <v>120</v>
      </c>
      <c r="I402" s="19">
        <f>Ringkasan!I401</f>
        <v>0.52</v>
      </c>
      <c r="J402" s="19">
        <f>Ringkasan!J401</f>
        <v>0.42</v>
      </c>
      <c r="K402" s="19">
        <f>Ringkasan!K401</f>
        <v>0.34</v>
      </c>
      <c r="L402" s="19">
        <f>Ringkasan!L401</f>
        <v>0.24</v>
      </c>
      <c r="M402" s="19">
        <f>Ringkasan!M401</f>
        <v>2.6</v>
      </c>
      <c r="N402" s="64" t="str">
        <f>Ringkasan!N401</f>
        <v/>
      </c>
      <c r="O402" s="64" t="str">
        <f>Ringkasan!O401</f>
        <v/>
      </c>
      <c r="P402" s="64" t="str">
        <f>Ringkasan!P401</f>
        <v/>
      </c>
      <c r="Q402" s="64" t="str">
        <f>Ringkasan!Q401</f>
        <v/>
      </c>
      <c r="R402" s="64" t="str">
        <f>Ringkasan!R401</f>
        <v/>
      </c>
      <c r="S402" s="64" t="str">
        <f>Ringkasan!S401</f>
        <v/>
      </c>
      <c r="T402" s="64" t="str">
        <f>Ringkasan!T401</f>
        <v/>
      </c>
      <c r="U402" s="64">
        <f>Ringkasan!U401</f>
        <v>4450</v>
      </c>
      <c r="V402" s="64">
        <f>Ringkasan!V401</f>
        <v>5.39</v>
      </c>
      <c r="W402" s="64">
        <f>Ringkasan!W401</f>
        <v>4450</v>
      </c>
      <c r="X402" s="64">
        <f>Ringkasan!X401</f>
        <v>4800</v>
      </c>
      <c r="Y402" s="64">
        <f>Ringkasan!Y401</f>
        <v>4450</v>
      </c>
      <c r="Z402" s="64">
        <f>Ringkasan!Z401</f>
        <v>17200</v>
      </c>
      <c r="AA402" s="64" t="str">
        <f>Ringkasan!AA401</f>
        <v>Auto Components</v>
      </c>
      <c r="AB402" s="64" t="str">
        <f>Ringkasan!AB401</f>
        <v>Consumer Cyclicals</v>
      </c>
    </row>
    <row r="403" hidden="1">
      <c r="A403" s="64" t="str">
        <f>Ringkasan!A402</f>
        <v>BREN</v>
      </c>
      <c r="B403" s="64" t="str">
        <f>Ringkasan!B402</f>
        <v>PT Barito Renewables Energy Tbk.</v>
      </c>
      <c r="C403" s="65">
        <f>Ringkasan!C402</f>
        <v>4080</v>
      </c>
      <c r="D403" s="64" t="str">
        <f>Ringkasan!D402</f>
        <v>#N/A</v>
      </c>
      <c r="E403" s="64" t="str">
        <f>Ringkasan!E402</f>
        <v>Kompas100</v>
      </c>
      <c r="F403" s="64" t="str">
        <f>Ringkasan!F402</f>
        <v>31 Juli 2026</v>
      </c>
      <c r="G403" s="64">
        <f>Ringkasan!G402</f>
        <v>1</v>
      </c>
      <c r="H403" s="19">
        <f>Ringkasan!H402</f>
        <v>190</v>
      </c>
      <c r="I403" s="19">
        <f>Ringkasan!I402</f>
        <v>27.7</v>
      </c>
      <c r="J403" s="19">
        <f>Ringkasan!J402</f>
        <v>15</v>
      </c>
      <c r="K403" s="19">
        <f>Ringkasan!K402</f>
        <v>3.6</v>
      </c>
      <c r="L403" s="19">
        <f>Ringkasan!L402</f>
        <v>3.2</v>
      </c>
      <c r="M403" s="19">
        <f>Ringkasan!M402</f>
        <v>84.9</v>
      </c>
      <c r="N403" s="64" t="str">
        <f>Ringkasan!N402</f>
        <v/>
      </c>
      <c r="O403" s="64" t="str">
        <f>Ringkasan!O402</f>
        <v/>
      </c>
      <c r="P403" s="64" t="str">
        <f>Ringkasan!P402</f>
        <v/>
      </c>
      <c r="Q403" s="64" t="str">
        <f>Ringkasan!Q402</f>
        <v/>
      </c>
      <c r="R403" s="64" t="str">
        <f>Ringkasan!R402</f>
        <v/>
      </c>
      <c r="S403" s="64" t="str">
        <f>Ringkasan!S402</f>
        <v/>
      </c>
      <c r="T403" s="64" t="str">
        <f>Ringkasan!T402</f>
        <v/>
      </c>
      <c r="U403" s="64">
        <f>Ringkasan!U402</f>
        <v>176.34</v>
      </c>
      <c r="V403" s="64">
        <f>Ringkasan!V402</f>
        <v>0</v>
      </c>
      <c r="W403" s="64" t="str">
        <f>Ringkasan!W402</f>
        <v/>
      </c>
      <c r="X403" s="64" t="str">
        <f>Ringkasan!X402</f>
        <v/>
      </c>
      <c r="Y403" s="64" t="str">
        <f>Ringkasan!Y402</f>
        <v/>
      </c>
      <c r="Z403" s="64">
        <f>Ringkasan!Z402</f>
        <v>0</v>
      </c>
      <c r="AA403" s="64" t="str">
        <f>Ringkasan!AA402</f>
        <v>Electric Utilities</v>
      </c>
      <c r="AB403" s="64" t="str">
        <f>Ringkasan!AB402</f>
        <v>Infrastructures</v>
      </c>
    </row>
    <row r="404" hidden="1">
      <c r="A404" s="64" t="str">
        <f>Ringkasan!A403</f>
        <v>BRIS</v>
      </c>
      <c r="B404" s="64" t="str">
        <f>Ringkasan!B403</f>
        <v>Bank Syariah Indonesia (Persero) Tbk.</v>
      </c>
      <c r="C404" s="65" t="str">
        <f>Ringkasan!C403</f>
        <v>#N/A</v>
      </c>
      <c r="D404" s="64" t="str">
        <f>Ringkasan!D403</f>
        <v>#N/A</v>
      </c>
      <c r="E404" s="64" t="str">
        <f>Ringkasan!E403</f>
        <v>Infobank15</v>
      </c>
      <c r="F404" s="64" t="str">
        <f>Ringkasan!F403</f>
        <v>30 Juni 2026</v>
      </c>
      <c r="G404" s="64">
        <f>Ringkasan!G403</f>
        <v>13</v>
      </c>
      <c r="H404" s="19">
        <f>Ringkasan!H403</f>
        <v>11.6</v>
      </c>
      <c r="I404" s="19">
        <f>Ringkasan!I403</f>
        <v>1.8</v>
      </c>
      <c r="J404" s="19">
        <f>Ringkasan!J403</f>
        <v>15.5</v>
      </c>
      <c r="K404" s="19">
        <f>Ringkasan!K403</f>
        <v>1.7</v>
      </c>
      <c r="L404" s="19">
        <f>Ringkasan!L403</f>
        <v>2.2</v>
      </c>
      <c r="M404" s="19">
        <f>Ringkasan!M403</f>
        <v>160</v>
      </c>
      <c r="N404" s="64">
        <f>Ringkasan!N403</f>
        <v>6.1</v>
      </c>
      <c r="O404" s="64">
        <f>Ringkasan!O403</f>
        <v>24.08</v>
      </c>
      <c r="P404" s="64">
        <f>Ringkasan!P403</f>
        <v>83.74</v>
      </c>
      <c r="Q404" s="64">
        <f>Ringkasan!Q403</f>
        <v>1.81</v>
      </c>
      <c r="R404" s="64">
        <f>Ringkasan!R403</f>
        <v>67.49</v>
      </c>
      <c r="S404" s="64">
        <f>Ringkasan!S403</f>
        <v>44.55</v>
      </c>
      <c r="T404" s="64">
        <f>Ringkasan!T403</f>
        <v>10.26</v>
      </c>
      <c r="U404" s="64">
        <f>Ringkasan!U403</f>
        <v>1795</v>
      </c>
      <c r="V404" s="64">
        <f>Ringkasan!V403</f>
        <v>4.18</v>
      </c>
      <c r="W404" s="64">
        <f>Ringkasan!W403</f>
        <v>1805</v>
      </c>
      <c r="X404" s="64">
        <f>Ringkasan!X403</f>
        <v>1870</v>
      </c>
      <c r="Y404" s="64">
        <f>Ringkasan!Y403</f>
        <v>1805</v>
      </c>
      <c r="Z404" s="64">
        <f>Ringkasan!Z403</f>
        <v>22071200</v>
      </c>
      <c r="AA404" s="64" t="str">
        <f>Ringkasan!AA403</f>
        <v>Banks</v>
      </c>
      <c r="AB404" s="64" t="str">
        <f>Ringkasan!AB403</f>
        <v>Financials</v>
      </c>
    </row>
    <row r="405" hidden="1">
      <c r="A405" s="64" t="str">
        <f>Ringkasan!A404</f>
        <v>BRIS</v>
      </c>
      <c r="B405" s="64" t="str">
        <f>Ringkasan!B404</f>
        <v>Bank Syariah Indonesia (Persero) Tbk.</v>
      </c>
      <c r="C405" s="65" t="str">
        <f>Ringkasan!C404</f>
        <v>#N/A</v>
      </c>
      <c r="D405" s="64" t="str">
        <f>Ringkasan!D404</f>
        <v>#N/A</v>
      </c>
      <c r="E405" s="64" t="str">
        <f>Ringkasan!E404</f>
        <v>IDXBUMN20</v>
      </c>
      <c r="F405" s="64" t="str">
        <f>Ringkasan!F404</f>
        <v>4 Agustus 2026</v>
      </c>
      <c r="G405" s="64">
        <f>Ringkasan!G404</f>
        <v>13</v>
      </c>
      <c r="H405" s="19">
        <f>Ringkasan!H404</f>
        <v>11.6</v>
      </c>
      <c r="I405" s="19">
        <f>Ringkasan!I404</f>
        <v>1.8</v>
      </c>
      <c r="J405" s="19">
        <f>Ringkasan!J404</f>
        <v>15.5</v>
      </c>
      <c r="K405" s="19">
        <f>Ringkasan!K404</f>
        <v>1.7</v>
      </c>
      <c r="L405" s="19">
        <f>Ringkasan!L404</f>
        <v>2.2</v>
      </c>
      <c r="M405" s="19">
        <f>Ringkasan!M404</f>
        <v>160</v>
      </c>
      <c r="N405" s="64">
        <f>Ringkasan!N404</f>
        <v>6.1</v>
      </c>
      <c r="O405" s="64">
        <f>Ringkasan!O404</f>
        <v>24.08</v>
      </c>
      <c r="P405" s="64">
        <f>Ringkasan!P404</f>
        <v>83.74</v>
      </c>
      <c r="Q405" s="64">
        <f>Ringkasan!Q404</f>
        <v>1.81</v>
      </c>
      <c r="R405" s="64">
        <f>Ringkasan!R404</f>
        <v>67.49</v>
      </c>
      <c r="S405" s="64">
        <f>Ringkasan!S404</f>
        <v>44.55</v>
      </c>
      <c r="T405" s="64">
        <f>Ringkasan!T404</f>
        <v>10.26</v>
      </c>
      <c r="U405" s="64">
        <f>Ringkasan!U404</f>
        <v>1795</v>
      </c>
      <c r="V405" s="64">
        <f>Ringkasan!V404</f>
        <v>4.18</v>
      </c>
      <c r="W405" s="64">
        <f>Ringkasan!W404</f>
        <v>1805</v>
      </c>
      <c r="X405" s="64">
        <f>Ringkasan!X404</f>
        <v>1870</v>
      </c>
      <c r="Y405" s="64">
        <f>Ringkasan!Y404</f>
        <v>1805</v>
      </c>
      <c r="Z405" s="64">
        <f>Ringkasan!Z404</f>
        <v>22071200</v>
      </c>
      <c r="AA405" s="64" t="str">
        <f>Ringkasan!AA404</f>
        <v>Banks</v>
      </c>
      <c r="AB405" s="64" t="str">
        <f>Ringkasan!AB404</f>
        <v>Financials</v>
      </c>
    </row>
    <row r="406" hidden="1">
      <c r="A406" s="64" t="str">
        <f>Ringkasan!A405</f>
        <v>BRIS</v>
      </c>
      <c r="B406" s="64" t="str">
        <f>Ringkasan!B405</f>
        <v>Bank Syariah Indonesia (Persero) Tbk.</v>
      </c>
      <c r="C406" s="65" t="str">
        <f>Ringkasan!C405</f>
        <v>#N/A</v>
      </c>
      <c r="D406" s="64" t="str">
        <f>Ringkasan!D405</f>
        <v>#N/A</v>
      </c>
      <c r="E406" s="64" t="str">
        <f>Ringkasan!E405</f>
        <v>Kompas100</v>
      </c>
      <c r="F406" s="64" t="str">
        <f>Ringkasan!F405</f>
        <v>31 Juli 2026</v>
      </c>
      <c r="G406" s="64">
        <f>Ringkasan!G405</f>
        <v>13</v>
      </c>
      <c r="H406" s="19">
        <f>Ringkasan!H405</f>
        <v>11.6</v>
      </c>
      <c r="I406" s="19">
        <f>Ringkasan!I405</f>
        <v>1.8</v>
      </c>
      <c r="J406" s="19">
        <f>Ringkasan!J405</f>
        <v>15.5</v>
      </c>
      <c r="K406" s="19">
        <f>Ringkasan!K405</f>
        <v>1.7</v>
      </c>
      <c r="L406" s="19">
        <f>Ringkasan!L405</f>
        <v>2.2</v>
      </c>
      <c r="M406" s="19">
        <f>Ringkasan!M405</f>
        <v>160</v>
      </c>
      <c r="N406" s="64">
        <f>Ringkasan!N405</f>
        <v>6.1</v>
      </c>
      <c r="O406" s="64">
        <f>Ringkasan!O405</f>
        <v>24.08</v>
      </c>
      <c r="P406" s="64">
        <f>Ringkasan!P405</f>
        <v>83.74</v>
      </c>
      <c r="Q406" s="64">
        <f>Ringkasan!Q405</f>
        <v>1.81</v>
      </c>
      <c r="R406" s="64">
        <f>Ringkasan!R405</f>
        <v>67.49</v>
      </c>
      <c r="S406" s="64">
        <f>Ringkasan!S405</f>
        <v>44.55</v>
      </c>
      <c r="T406" s="64">
        <f>Ringkasan!T405</f>
        <v>10.26</v>
      </c>
      <c r="U406" s="64">
        <f>Ringkasan!U405</f>
        <v>1795</v>
      </c>
      <c r="V406" s="64">
        <f>Ringkasan!V405</f>
        <v>4.18</v>
      </c>
      <c r="W406" s="64">
        <f>Ringkasan!W405</f>
        <v>1805</v>
      </c>
      <c r="X406" s="64">
        <f>Ringkasan!X405</f>
        <v>1870</v>
      </c>
      <c r="Y406" s="64">
        <f>Ringkasan!Y405</f>
        <v>1805</v>
      </c>
      <c r="Z406" s="64">
        <f>Ringkasan!Z405</f>
        <v>22071200</v>
      </c>
      <c r="AA406" s="64" t="str">
        <f>Ringkasan!AA405</f>
        <v>Banks</v>
      </c>
      <c r="AB406" s="64" t="str">
        <f>Ringkasan!AB405</f>
        <v>Financials</v>
      </c>
    </row>
    <row r="407" hidden="1">
      <c r="A407" s="64" t="str">
        <f>Ringkasan!A406</f>
        <v>BRIS</v>
      </c>
      <c r="B407" s="64" t="str">
        <f>Ringkasan!B406</f>
        <v>Bank Syariah Indonesia (Persero) Tbk.</v>
      </c>
      <c r="C407" s="65" t="str">
        <f>Ringkasan!C406</f>
        <v>#N/A</v>
      </c>
      <c r="D407" s="64" t="str">
        <f>Ringkasan!D406</f>
        <v>#N/A</v>
      </c>
      <c r="E407" s="64" t="str">
        <f>Ringkasan!E406</f>
        <v>MNC36</v>
      </c>
      <c r="F407" s="64" t="str">
        <f>Ringkasan!F406</f>
        <v>30 Oktober 2026</v>
      </c>
      <c r="G407" s="64">
        <f>Ringkasan!G406</f>
        <v>13</v>
      </c>
      <c r="H407" s="19">
        <f>Ringkasan!H406</f>
        <v>11.6</v>
      </c>
      <c r="I407" s="19">
        <f>Ringkasan!I406</f>
        <v>1.8</v>
      </c>
      <c r="J407" s="19">
        <f>Ringkasan!J406</f>
        <v>15.5</v>
      </c>
      <c r="K407" s="19">
        <f>Ringkasan!K406</f>
        <v>1.7</v>
      </c>
      <c r="L407" s="19">
        <f>Ringkasan!L406</f>
        <v>2.2</v>
      </c>
      <c r="M407" s="19">
        <f>Ringkasan!M406</f>
        <v>160</v>
      </c>
      <c r="N407" s="64">
        <f>Ringkasan!N406</f>
        <v>6.1</v>
      </c>
      <c r="O407" s="64">
        <f>Ringkasan!O406</f>
        <v>24.08</v>
      </c>
      <c r="P407" s="64">
        <f>Ringkasan!P406</f>
        <v>83.74</v>
      </c>
      <c r="Q407" s="64">
        <f>Ringkasan!Q406</f>
        <v>1.81</v>
      </c>
      <c r="R407" s="64">
        <f>Ringkasan!R406</f>
        <v>67.49</v>
      </c>
      <c r="S407" s="64">
        <f>Ringkasan!S406</f>
        <v>44.55</v>
      </c>
      <c r="T407" s="64">
        <f>Ringkasan!T406</f>
        <v>10.26</v>
      </c>
      <c r="U407" s="64">
        <f>Ringkasan!U406</f>
        <v>1795</v>
      </c>
      <c r="V407" s="64">
        <f>Ringkasan!V406</f>
        <v>4.18</v>
      </c>
      <c r="W407" s="64">
        <f>Ringkasan!W406</f>
        <v>1805</v>
      </c>
      <c r="X407" s="64">
        <f>Ringkasan!X406</f>
        <v>1870</v>
      </c>
      <c r="Y407" s="64">
        <f>Ringkasan!Y406</f>
        <v>1805</v>
      </c>
      <c r="Z407" s="64">
        <f>Ringkasan!Z406</f>
        <v>22071200</v>
      </c>
      <c r="AA407" s="64" t="str">
        <f>Ringkasan!AA406</f>
        <v>Banks</v>
      </c>
      <c r="AB407" s="64" t="str">
        <f>Ringkasan!AB406</f>
        <v>Financials</v>
      </c>
    </row>
    <row r="408" hidden="1">
      <c r="A408" s="64" t="str">
        <f>Ringkasan!A870</f>
        <v>INCO</v>
      </c>
      <c r="B408" s="64" t="str">
        <f>Ringkasan!B870</f>
        <v>Vale Indonesia Tbk.</v>
      </c>
      <c r="C408" s="65">
        <f>Ringkasan!C870</f>
        <v>4710</v>
      </c>
      <c r="D408" s="64" t="str">
        <f>Ringkasan!D870</f>
        <v>#N/A</v>
      </c>
      <c r="E408" s="64" t="str">
        <f>Ringkasan!E870</f>
        <v>LQ45</v>
      </c>
      <c r="F408" s="64" t="str">
        <f>Ringkasan!F870</f>
        <v>31 Juli 2026</v>
      </c>
      <c r="G408" s="64">
        <f>Ringkasan!G870</f>
        <v>14</v>
      </c>
      <c r="H408" s="19">
        <f>Ringkasan!H870</f>
        <v>30.1</v>
      </c>
      <c r="I408" s="19">
        <f>Ringkasan!I870</f>
        <v>1</v>
      </c>
      <c r="J408" s="19">
        <f>Ringkasan!J870</f>
        <v>3.5</v>
      </c>
      <c r="K408" s="19">
        <f>Ringkasan!K870</f>
        <v>2.9</v>
      </c>
      <c r="L408" s="19">
        <f>Ringkasan!L870</f>
        <v>0.19</v>
      </c>
      <c r="M408" s="19">
        <f>Ringkasan!M870</f>
        <v>38.6</v>
      </c>
      <c r="N408" s="64" t="str">
        <f>Ringkasan!N870</f>
        <v/>
      </c>
      <c r="O408" s="64" t="str">
        <f>Ringkasan!O870</f>
        <v/>
      </c>
      <c r="P408" s="64" t="str">
        <f>Ringkasan!P870</f>
        <v/>
      </c>
      <c r="Q408" s="64" t="str">
        <f>Ringkasan!Q870</f>
        <v/>
      </c>
      <c r="R408" s="64" t="str">
        <f>Ringkasan!R870</f>
        <v/>
      </c>
      <c r="S408" s="64" t="str">
        <f>Ringkasan!S870</f>
        <v/>
      </c>
      <c r="T408" s="64" t="str">
        <f>Ringkasan!T870</f>
        <v/>
      </c>
      <c r="U408" s="64">
        <f>Ringkasan!U870</f>
        <v>57.53</v>
      </c>
      <c r="V408" s="64">
        <f>Ringkasan!V870</f>
        <v>0.26</v>
      </c>
      <c r="W408" s="64">
        <f>Ringkasan!W870</f>
        <v>57.97</v>
      </c>
      <c r="X408" s="64">
        <f>Ringkasan!X870</f>
        <v>58.06</v>
      </c>
      <c r="Y408" s="64">
        <f>Ringkasan!Y870</f>
        <v>57.68</v>
      </c>
      <c r="Z408" s="64">
        <f>Ringkasan!Z870</f>
        <v>5034</v>
      </c>
      <c r="AA408" s="64" t="str">
        <f>Ringkasan!AA870</f>
        <v>Metals &amp; Minerals</v>
      </c>
      <c r="AB408" s="64" t="str">
        <f>Ringkasan!AB870</f>
        <v>Basic Materials</v>
      </c>
    </row>
    <row r="409" hidden="1">
      <c r="A409" s="64" t="str">
        <f>Ringkasan!A76</f>
        <v>AKRA</v>
      </c>
      <c r="B409" s="64" t="str">
        <f>Ringkasan!B76</f>
        <v>AKR Corporindo Tbk.</v>
      </c>
      <c r="C409" s="65">
        <f>Ringkasan!C76</f>
        <v>1250</v>
      </c>
      <c r="D409" s="64" t="str">
        <f>Ringkasan!D76</f>
        <v>#N/A</v>
      </c>
      <c r="E409" s="64" t="str">
        <f>Ringkasan!E76</f>
        <v>IDXQ30</v>
      </c>
      <c r="F409" s="64" t="str">
        <f>Ringkasan!F76</f>
        <v>4 Agustus 2026</v>
      </c>
      <c r="G409" s="65">
        <f>Ringkasan!G76</f>
        <v>16</v>
      </c>
      <c r="H409" s="19">
        <f>Ringkasan!H76</f>
        <v>9.7</v>
      </c>
      <c r="I409" s="19">
        <f>Ringkasan!I76</f>
        <v>1.5</v>
      </c>
      <c r="J409" s="19">
        <f>Ringkasan!J76</f>
        <v>15.8</v>
      </c>
      <c r="K409" s="19">
        <f>Ringkasan!K76</f>
        <v>6.9</v>
      </c>
      <c r="L409" s="19">
        <f>Ringkasan!L76</f>
        <v>1.3</v>
      </c>
      <c r="M409" s="19">
        <f>Ringkasan!M76</f>
        <v>19.8</v>
      </c>
      <c r="N409" s="64" t="str">
        <f>Ringkasan!N76</f>
        <v/>
      </c>
      <c r="O409" s="64" t="str">
        <f>Ringkasan!O76</f>
        <v/>
      </c>
      <c r="P409" s="64" t="str">
        <f>Ringkasan!P76</f>
        <v/>
      </c>
      <c r="Q409" s="64" t="str">
        <f>Ringkasan!Q76</f>
        <v/>
      </c>
      <c r="R409" s="64" t="str">
        <f>Ringkasan!R76</f>
        <v/>
      </c>
      <c r="S409" s="64" t="str">
        <f>Ringkasan!S76</f>
        <v/>
      </c>
      <c r="T409" s="64" t="str">
        <f>Ringkasan!T76</f>
        <v/>
      </c>
      <c r="U409" s="64">
        <f>Ringkasan!U76</f>
        <v>1265</v>
      </c>
      <c r="V409" s="64">
        <f>Ringkasan!V76</f>
        <v>-1.19</v>
      </c>
      <c r="W409" s="64">
        <f>Ringkasan!W76</f>
        <v>1280</v>
      </c>
      <c r="X409" s="64">
        <f>Ringkasan!X76</f>
        <v>1315</v>
      </c>
      <c r="Y409" s="64">
        <f>Ringkasan!Y76</f>
        <v>1250</v>
      </c>
      <c r="Z409" s="64">
        <f>Ringkasan!Z76</f>
        <v>21209100</v>
      </c>
      <c r="AA409" s="64" t="str">
        <f>Ringkasan!AA76</f>
        <v>Oil &amp; Gas</v>
      </c>
      <c r="AB409" s="64" t="str">
        <f>Ringkasan!AB76</f>
        <v>Energy</v>
      </c>
    </row>
    <row r="410" hidden="1">
      <c r="A410" s="64" t="str">
        <f>Ringkasan!A409</f>
        <v>BRIS</v>
      </c>
      <c r="B410" s="64" t="str">
        <f>Ringkasan!B409</f>
        <v>Bank Syariah Indonesia (Persero) Tbk.</v>
      </c>
      <c r="C410" s="65" t="str">
        <f>Ringkasan!C409</f>
        <v>#N/A</v>
      </c>
      <c r="D410" s="64" t="str">
        <f>Ringkasan!D409</f>
        <v>#N/A</v>
      </c>
      <c r="E410" s="64" t="str">
        <f>Ringkasan!E409</f>
        <v>PRIMBANK-10</v>
      </c>
      <c r="F410" s="64" t="str">
        <f>Ringkasan!F409</f>
        <v>30 Juni 2026</v>
      </c>
      <c r="G410" s="64">
        <f>Ringkasan!G409</f>
        <v>13</v>
      </c>
      <c r="H410" s="19">
        <f>Ringkasan!H409</f>
        <v>11.6</v>
      </c>
      <c r="I410" s="19">
        <f>Ringkasan!I409</f>
        <v>1.8</v>
      </c>
      <c r="J410" s="19">
        <f>Ringkasan!J409</f>
        <v>15.5</v>
      </c>
      <c r="K410" s="19">
        <f>Ringkasan!K409</f>
        <v>1.7</v>
      </c>
      <c r="L410" s="19">
        <f>Ringkasan!L409</f>
        <v>2.2</v>
      </c>
      <c r="M410" s="19">
        <f>Ringkasan!M409</f>
        <v>160</v>
      </c>
      <c r="N410" s="64">
        <f>Ringkasan!N409</f>
        <v>6.1</v>
      </c>
      <c r="O410" s="64">
        <f>Ringkasan!O409</f>
        <v>24.08</v>
      </c>
      <c r="P410" s="64">
        <f>Ringkasan!P409</f>
        <v>83.74</v>
      </c>
      <c r="Q410" s="64">
        <f>Ringkasan!Q409</f>
        <v>1.81</v>
      </c>
      <c r="R410" s="64">
        <f>Ringkasan!R409</f>
        <v>67.49</v>
      </c>
      <c r="S410" s="64">
        <f>Ringkasan!S409</f>
        <v>44.55</v>
      </c>
      <c r="T410" s="64">
        <f>Ringkasan!T409</f>
        <v>10.26</v>
      </c>
      <c r="U410" s="64">
        <f>Ringkasan!U409</f>
        <v>1795</v>
      </c>
      <c r="V410" s="64">
        <f>Ringkasan!V409</f>
        <v>4.18</v>
      </c>
      <c r="W410" s="64">
        <f>Ringkasan!W409</f>
        <v>1805</v>
      </c>
      <c r="X410" s="64">
        <f>Ringkasan!X409</f>
        <v>1870</v>
      </c>
      <c r="Y410" s="64">
        <f>Ringkasan!Y409</f>
        <v>1805</v>
      </c>
      <c r="Z410" s="64">
        <f>Ringkasan!Z409</f>
        <v>22071200</v>
      </c>
      <c r="AA410" s="64" t="str">
        <f>Ringkasan!AA409</f>
        <v>Banks</v>
      </c>
      <c r="AB410" s="64" t="str">
        <f>Ringkasan!AB409</f>
        <v>Financials</v>
      </c>
    </row>
    <row r="411" hidden="1">
      <c r="A411" s="64" t="str">
        <f>Ringkasan!A257</f>
        <v>BBNI</v>
      </c>
      <c r="B411" s="64" t="str">
        <f>Ringkasan!B257</f>
        <v>PT Bank Negara Indonesia (Persero) Tbk</v>
      </c>
      <c r="C411" s="65">
        <f>Ringkasan!C257</f>
        <v>3560</v>
      </c>
      <c r="D411" s="64" t="str">
        <f>Ringkasan!D257</f>
        <v>#N/A</v>
      </c>
      <c r="E411" s="64" t="str">
        <f>Ringkasan!E257</f>
        <v>IDX30</v>
      </c>
      <c r="F411" s="64" t="str">
        <f>Ringkasan!F257</f>
        <v>31 Juli 2026</v>
      </c>
      <c r="G411" s="64">
        <f>Ringkasan!G257</f>
        <v>22</v>
      </c>
      <c r="H411" s="19">
        <f>Ringkasan!H257</f>
        <v>6.8</v>
      </c>
      <c r="I411" s="19">
        <f>Ringkasan!I257</f>
        <v>0.83</v>
      </c>
      <c r="J411" s="19">
        <f>Ringkasan!J257</f>
        <v>12.3</v>
      </c>
      <c r="K411" s="19">
        <f>Ringkasan!K257</f>
        <v>1.4</v>
      </c>
      <c r="L411" s="19">
        <f>Ringkasan!L257</f>
        <v>7.6</v>
      </c>
      <c r="M411" s="19">
        <f>Ringkasan!M257</f>
        <v>89.9</v>
      </c>
      <c r="N411" s="64">
        <f>Ringkasan!N257</f>
        <v>3.8</v>
      </c>
      <c r="O411" s="64">
        <f>Ringkasan!O257</f>
        <v>20.7</v>
      </c>
      <c r="P411" s="64">
        <f>Ringkasan!P257</f>
        <v>86.4</v>
      </c>
      <c r="Q411" s="64">
        <f>Ringkasan!Q257</f>
        <v>1.9</v>
      </c>
      <c r="R411" s="64">
        <f>Ringkasan!R257</f>
        <v>72.9</v>
      </c>
      <c r="S411" s="64">
        <f>Ringkasan!S257</f>
        <v>46.5</v>
      </c>
      <c r="T411" s="64">
        <f>Ringkasan!T257</f>
        <v>8.5</v>
      </c>
      <c r="U411" s="64">
        <f>Ringkasan!U257</f>
        <v>3500</v>
      </c>
      <c r="V411" s="64">
        <f>Ringkasan!V257</f>
        <v>1.71</v>
      </c>
      <c r="W411" s="64">
        <f>Ringkasan!W257</f>
        <v>3570</v>
      </c>
      <c r="X411" s="64">
        <f>Ringkasan!X257</f>
        <v>3650</v>
      </c>
      <c r="Y411" s="64">
        <f>Ringkasan!Y257</f>
        <v>3520</v>
      </c>
      <c r="Z411" s="64">
        <f>Ringkasan!Z257</f>
        <v>74824100</v>
      </c>
      <c r="AA411" s="64" t="str">
        <f>Ringkasan!AA257</f>
        <v>Banks</v>
      </c>
      <c r="AB411" s="64" t="str">
        <f>Ringkasan!AB257</f>
        <v>Financials</v>
      </c>
    </row>
    <row r="412" hidden="1">
      <c r="A412" s="64" t="str">
        <f>Ringkasan!A411</f>
        <v>BRIS</v>
      </c>
      <c r="B412" s="64" t="str">
        <f>Ringkasan!B411</f>
        <v>Bank Syariah Indonesia (Persero) Tbk.</v>
      </c>
      <c r="C412" s="65" t="str">
        <f>Ringkasan!C411</f>
        <v>#N/A</v>
      </c>
      <c r="D412" s="64" t="str">
        <f>Ringkasan!D411</f>
        <v>#N/A</v>
      </c>
      <c r="E412" s="64" t="str">
        <f>Ringkasan!E411</f>
        <v>IDXMESBUMN</v>
      </c>
      <c r="F412" s="66">
        <f>Ringkasan!F411</f>
        <v>46356</v>
      </c>
      <c r="G412" s="64">
        <f>Ringkasan!G411</f>
        <v>13</v>
      </c>
      <c r="H412" s="19">
        <f>Ringkasan!H411</f>
        <v>11.6</v>
      </c>
      <c r="I412" s="19">
        <f>Ringkasan!I411</f>
        <v>1.8</v>
      </c>
      <c r="J412" s="19">
        <f>Ringkasan!J411</f>
        <v>15.5</v>
      </c>
      <c r="K412" s="19">
        <f>Ringkasan!K411</f>
        <v>1.7</v>
      </c>
      <c r="L412" s="19">
        <f>Ringkasan!L411</f>
        <v>2.2</v>
      </c>
      <c r="M412" s="19">
        <f>Ringkasan!M411</f>
        <v>160</v>
      </c>
      <c r="N412" s="64">
        <f>Ringkasan!N411</f>
        <v>6.1</v>
      </c>
      <c r="O412" s="64">
        <f>Ringkasan!O411</f>
        <v>24.08</v>
      </c>
      <c r="P412" s="64">
        <f>Ringkasan!P411</f>
        <v>83.74</v>
      </c>
      <c r="Q412" s="64">
        <f>Ringkasan!Q411</f>
        <v>1.81</v>
      </c>
      <c r="R412" s="64">
        <f>Ringkasan!R411</f>
        <v>67.49</v>
      </c>
      <c r="S412" s="64">
        <f>Ringkasan!S411</f>
        <v>44.55</v>
      </c>
      <c r="T412" s="64">
        <f>Ringkasan!T411</f>
        <v>10.26</v>
      </c>
      <c r="U412" s="64">
        <f>Ringkasan!U411</f>
        <v>1795</v>
      </c>
      <c r="V412" s="64">
        <f>Ringkasan!V411</f>
        <v>4.18</v>
      </c>
      <c r="W412" s="64">
        <f>Ringkasan!W411</f>
        <v>1805</v>
      </c>
      <c r="X412" s="64">
        <f>Ringkasan!X411</f>
        <v>1870</v>
      </c>
      <c r="Y412" s="64">
        <f>Ringkasan!Y411</f>
        <v>1805</v>
      </c>
      <c r="Z412" s="64">
        <f>Ringkasan!Z411</f>
        <v>22071200</v>
      </c>
      <c r="AA412" s="64" t="str">
        <f>Ringkasan!AA411</f>
        <v>Banks</v>
      </c>
      <c r="AB412" s="64" t="str">
        <f>Ringkasan!AB411</f>
        <v>Financials</v>
      </c>
    </row>
    <row r="413" hidden="1">
      <c r="A413" s="64" t="str">
        <f>Ringkasan!A412</f>
        <v>BRIS</v>
      </c>
      <c r="B413" s="64" t="str">
        <f>Ringkasan!B412</f>
        <v>Bank Syariah Indonesia (Persero) Tbk.</v>
      </c>
      <c r="C413" s="65" t="str">
        <f>Ringkasan!C412</f>
        <v>#N/A</v>
      </c>
      <c r="D413" s="64" t="str">
        <f>Ringkasan!D412</f>
        <v>#N/A</v>
      </c>
      <c r="E413" s="64" t="str">
        <f>Ringkasan!E412</f>
        <v>IDXSHAGROW</v>
      </c>
      <c r="F413" s="66">
        <f>Ringkasan!F412</f>
        <v>46356</v>
      </c>
      <c r="G413" s="64">
        <f>Ringkasan!G412</f>
        <v>13</v>
      </c>
      <c r="H413" s="19">
        <f>Ringkasan!H412</f>
        <v>11.6</v>
      </c>
      <c r="I413" s="19">
        <f>Ringkasan!I412</f>
        <v>1.8</v>
      </c>
      <c r="J413" s="19">
        <f>Ringkasan!J412</f>
        <v>15.5</v>
      </c>
      <c r="K413" s="19">
        <f>Ringkasan!K412</f>
        <v>1.7</v>
      </c>
      <c r="L413" s="19">
        <f>Ringkasan!L412</f>
        <v>2.2</v>
      </c>
      <c r="M413" s="19">
        <f>Ringkasan!M412</f>
        <v>160</v>
      </c>
      <c r="N413" s="64">
        <f>Ringkasan!N412</f>
        <v>6.1</v>
      </c>
      <c r="O413" s="64">
        <f>Ringkasan!O412</f>
        <v>24.08</v>
      </c>
      <c r="P413" s="64">
        <f>Ringkasan!P412</f>
        <v>83.74</v>
      </c>
      <c r="Q413" s="64">
        <f>Ringkasan!Q412</f>
        <v>1.81</v>
      </c>
      <c r="R413" s="64">
        <f>Ringkasan!R412</f>
        <v>67.49</v>
      </c>
      <c r="S413" s="64">
        <f>Ringkasan!S412</f>
        <v>44.55</v>
      </c>
      <c r="T413" s="64">
        <f>Ringkasan!T412</f>
        <v>10.26</v>
      </c>
      <c r="U413" s="64">
        <f>Ringkasan!U412</f>
        <v>1795</v>
      </c>
      <c r="V413" s="64">
        <f>Ringkasan!V412</f>
        <v>4.18</v>
      </c>
      <c r="W413" s="64">
        <f>Ringkasan!W412</f>
        <v>1805</v>
      </c>
      <c r="X413" s="64">
        <f>Ringkasan!X412</f>
        <v>1870</v>
      </c>
      <c r="Y413" s="64">
        <f>Ringkasan!Y412</f>
        <v>1805</v>
      </c>
      <c r="Z413" s="64">
        <f>Ringkasan!Z412</f>
        <v>22071200</v>
      </c>
      <c r="AA413" s="64" t="str">
        <f>Ringkasan!AA412</f>
        <v>Banks</v>
      </c>
      <c r="AB413" s="64" t="str">
        <f>Ringkasan!AB412</f>
        <v>Financials</v>
      </c>
    </row>
    <row r="414" hidden="1">
      <c r="A414" s="64" t="str">
        <f>Ringkasan!A367</f>
        <v>BMRI</v>
      </c>
      <c r="B414" s="64" t="str">
        <f>Ringkasan!B367</f>
        <v>Bank Mandiri (Persero) Tbk.</v>
      </c>
      <c r="C414" s="65">
        <f>Ringkasan!C367</f>
        <v>4200</v>
      </c>
      <c r="D414" s="64" t="str">
        <f>Ringkasan!D367</f>
        <v>#N/A</v>
      </c>
      <c r="E414" s="64" t="str">
        <f>Ringkasan!E367</f>
        <v>IDXVESTA28</v>
      </c>
      <c r="F414" s="64" t="str">
        <f>Ringkasan!F367</f>
        <v>31 Agustus 2026</v>
      </c>
      <c r="G414" s="64">
        <f>Ringkasan!G367</f>
        <v>23</v>
      </c>
      <c r="H414" s="19">
        <f>Ringkasan!H367</f>
        <v>6.5</v>
      </c>
      <c r="I414" s="19">
        <f>Ringkasan!I367</f>
        <v>1.2</v>
      </c>
      <c r="J414" s="19">
        <f>Ringkasan!J367</f>
        <v>18.6</v>
      </c>
      <c r="K414" s="19">
        <f>Ringkasan!K367</f>
        <v>2.4</v>
      </c>
      <c r="L414" s="19">
        <f>Ringkasan!L367</f>
        <v>6.8</v>
      </c>
      <c r="M414" s="19">
        <f>Ringkasan!M367</f>
        <v>130</v>
      </c>
      <c r="N414" s="64">
        <f>Ringkasan!N367</f>
        <v>4.93</v>
      </c>
      <c r="O414" s="64">
        <f>Ringkasan!O367</f>
        <v>20.1</v>
      </c>
      <c r="P414" s="64">
        <f>Ringkasan!P367</f>
        <v>98.04</v>
      </c>
      <c r="Q414" s="64">
        <f>Ringkasan!Q367</f>
        <v>0.97</v>
      </c>
      <c r="R414" s="64">
        <f>Ringkasan!R367</f>
        <v>56.46</v>
      </c>
      <c r="S414" s="64">
        <f>Ringkasan!S367</f>
        <v>35.04</v>
      </c>
      <c r="T414" s="64">
        <f>Ringkasan!T367</f>
        <v>6.81</v>
      </c>
      <c r="U414" s="64">
        <f>Ringkasan!U367</f>
        <v>4250</v>
      </c>
      <c r="V414" s="64">
        <f>Ringkasan!V367</f>
        <v>-1.18</v>
      </c>
      <c r="W414" s="64">
        <f>Ringkasan!W367</f>
        <v>4320</v>
      </c>
      <c r="X414" s="64">
        <f>Ringkasan!X367</f>
        <v>4320</v>
      </c>
      <c r="Y414" s="64">
        <f>Ringkasan!Y367</f>
        <v>4200</v>
      </c>
      <c r="Z414" s="64" t="str">
        <f>Ringkasan!Z367</f>
        <v/>
      </c>
      <c r="AA414" s="64" t="str">
        <f>Ringkasan!AA367</f>
        <v>Banks</v>
      </c>
      <c r="AB414" s="64" t="str">
        <f>Ringkasan!AB367</f>
        <v>Financials</v>
      </c>
    </row>
    <row r="415" hidden="1">
      <c r="A415" s="64" t="str">
        <f>Ringkasan!A414</f>
        <v>BRIS</v>
      </c>
      <c r="B415" s="64" t="str">
        <f>Ringkasan!B414</f>
        <v>Bank Syariah Indonesia (Persero) Tbk.</v>
      </c>
      <c r="C415" s="65" t="str">
        <f>Ringkasan!C414</f>
        <v>#N/A</v>
      </c>
      <c r="D415" s="64" t="str">
        <f>Ringkasan!D414</f>
        <v>#N/A</v>
      </c>
      <c r="E415" s="64" t="str">
        <f>Ringkasan!E414</f>
        <v>JII30</v>
      </c>
      <c r="F415" s="66">
        <f>Ringkasan!F414</f>
        <v>46356</v>
      </c>
      <c r="G415" s="64">
        <f>Ringkasan!G414</f>
        <v>13</v>
      </c>
      <c r="H415" s="19">
        <f>Ringkasan!H414</f>
        <v>11.6</v>
      </c>
      <c r="I415" s="19">
        <f>Ringkasan!I414</f>
        <v>1.8</v>
      </c>
      <c r="J415" s="19">
        <f>Ringkasan!J414</f>
        <v>15.5</v>
      </c>
      <c r="K415" s="19">
        <f>Ringkasan!K414</f>
        <v>1.7</v>
      </c>
      <c r="L415" s="19">
        <f>Ringkasan!L414</f>
        <v>2.2</v>
      </c>
      <c r="M415" s="19">
        <f>Ringkasan!M414</f>
        <v>160</v>
      </c>
      <c r="N415" s="64">
        <f>Ringkasan!N414</f>
        <v>6.1</v>
      </c>
      <c r="O415" s="64">
        <f>Ringkasan!O414</f>
        <v>24.08</v>
      </c>
      <c r="P415" s="64">
        <f>Ringkasan!P414</f>
        <v>83.74</v>
      </c>
      <c r="Q415" s="64">
        <f>Ringkasan!Q414</f>
        <v>1.81</v>
      </c>
      <c r="R415" s="64">
        <f>Ringkasan!R414</f>
        <v>67.49</v>
      </c>
      <c r="S415" s="64">
        <f>Ringkasan!S414</f>
        <v>44.55</v>
      </c>
      <c r="T415" s="64">
        <f>Ringkasan!T414</f>
        <v>10.26</v>
      </c>
      <c r="U415" s="64">
        <f>Ringkasan!U414</f>
        <v>1795</v>
      </c>
      <c r="V415" s="64">
        <f>Ringkasan!V414</f>
        <v>4.18</v>
      </c>
      <c r="W415" s="64">
        <f>Ringkasan!W414</f>
        <v>1805</v>
      </c>
      <c r="X415" s="64">
        <f>Ringkasan!X414</f>
        <v>1870</v>
      </c>
      <c r="Y415" s="64">
        <f>Ringkasan!Y414</f>
        <v>1805</v>
      </c>
      <c r="Z415" s="64">
        <f>Ringkasan!Z414</f>
        <v>22071200</v>
      </c>
      <c r="AA415" s="64" t="str">
        <f>Ringkasan!AA414</f>
        <v>Banks</v>
      </c>
      <c r="AB415" s="64" t="str">
        <f>Ringkasan!AB414</f>
        <v>Financials</v>
      </c>
    </row>
    <row r="416" hidden="1">
      <c r="A416" s="64" t="str">
        <f>Ringkasan!A415</f>
        <v>BRIS</v>
      </c>
      <c r="B416" s="64" t="str">
        <f>Ringkasan!B415</f>
        <v>Bank Syariah Indonesia (Persero) Tbk.</v>
      </c>
      <c r="C416" s="65" t="str">
        <f>Ringkasan!C415</f>
        <v>#N/A</v>
      </c>
      <c r="D416" s="64" t="str">
        <f>Ringkasan!D415</f>
        <v>#N/A</v>
      </c>
      <c r="E416" s="64" t="str">
        <f>Ringkasan!E415</f>
        <v>JII70</v>
      </c>
      <c r="F416" s="66">
        <f>Ringkasan!F415</f>
        <v>46356</v>
      </c>
      <c r="G416" s="64">
        <f>Ringkasan!G415</f>
        <v>13</v>
      </c>
      <c r="H416" s="19">
        <f>Ringkasan!H415</f>
        <v>11.6</v>
      </c>
      <c r="I416" s="19">
        <f>Ringkasan!I415</f>
        <v>1.8</v>
      </c>
      <c r="J416" s="19">
        <f>Ringkasan!J415</f>
        <v>15.5</v>
      </c>
      <c r="K416" s="19">
        <f>Ringkasan!K415</f>
        <v>1.7</v>
      </c>
      <c r="L416" s="19">
        <f>Ringkasan!L415</f>
        <v>2.2</v>
      </c>
      <c r="M416" s="19">
        <f>Ringkasan!M415</f>
        <v>160</v>
      </c>
      <c r="N416" s="64">
        <f>Ringkasan!N415</f>
        <v>6.1</v>
      </c>
      <c r="O416" s="64">
        <f>Ringkasan!O415</f>
        <v>24.08</v>
      </c>
      <c r="P416" s="64">
        <f>Ringkasan!P415</f>
        <v>83.74</v>
      </c>
      <c r="Q416" s="64">
        <f>Ringkasan!Q415</f>
        <v>1.81</v>
      </c>
      <c r="R416" s="64">
        <f>Ringkasan!R415</f>
        <v>67.49</v>
      </c>
      <c r="S416" s="64">
        <f>Ringkasan!S415</f>
        <v>44.55</v>
      </c>
      <c r="T416" s="64">
        <f>Ringkasan!T415</f>
        <v>10.26</v>
      </c>
      <c r="U416" s="64">
        <f>Ringkasan!U415</f>
        <v>1795</v>
      </c>
      <c r="V416" s="64">
        <f>Ringkasan!V415</f>
        <v>4.18</v>
      </c>
      <c r="W416" s="64">
        <f>Ringkasan!W415</f>
        <v>1805</v>
      </c>
      <c r="X416" s="64">
        <f>Ringkasan!X415</f>
        <v>1870</v>
      </c>
      <c r="Y416" s="64">
        <f>Ringkasan!Y415</f>
        <v>1805</v>
      </c>
      <c r="Z416" s="64">
        <f>Ringkasan!Z415</f>
        <v>22071200</v>
      </c>
      <c r="AA416" s="64" t="str">
        <f>Ringkasan!AA415</f>
        <v>Banks</v>
      </c>
      <c r="AB416" s="64" t="str">
        <f>Ringkasan!AB415</f>
        <v>Financials</v>
      </c>
    </row>
    <row r="417" hidden="1">
      <c r="A417" s="64" t="str">
        <f>Ringkasan!A416</f>
        <v>BRMS</v>
      </c>
      <c r="B417" s="64" t="str">
        <f>Ringkasan!B416</f>
        <v>Bumi Resources Minerals Tbk.</v>
      </c>
      <c r="C417" s="65">
        <f>Ringkasan!C416</f>
        <v>530</v>
      </c>
      <c r="D417" s="64" t="str">
        <f>Ringkasan!D416</f>
        <v>#N/A</v>
      </c>
      <c r="E417" s="64" t="str">
        <f>Ringkasan!E416</f>
        <v>MSCI Global Standard</v>
      </c>
      <c r="F417" s="64" t="str">
        <f>Ringkasan!F416</f>
        <v>12 Agustus 2026</v>
      </c>
      <c r="G417" s="64">
        <f>Ringkasan!G416</f>
        <v>8</v>
      </c>
      <c r="H417" s="19">
        <f>Ringkasan!H416</f>
        <v>94</v>
      </c>
      <c r="I417" s="19">
        <f>Ringkasan!I416</f>
        <v>4.7</v>
      </c>
      <c r="J417" s="19">
        <f>Ringkasan!J416</f>
        <v>5</v>
      </c>
      <c r="K417" s="19">
        <f>Ringkasan!K416</f>
        <v>3.8</v>
      </c>
      <c r="L417" s="19">
        <f>Ringkasan!L416</f>
        <v>0.32</v>
      </c>
      <c r="M417" s="19">
        <f>Ringkasan!M416</f>
        <v>76</v>
      </c>
      <c r="N417" s="64" t="str">
        <f>Ringkasan!N416</f>
        <v/>
      </c>
      <c r="O417" s="64" t="str">
        <f>Ringkasan!O416</f>
        <v/>
      </c>
      <c r="P417" s="64" t="str">
        <f>Ringkasan!P416</f>
        <v/>
      </c>
      <c r="Q417" s="64" t="str">
        <f>Ringkasan!Q416</f>
        <v/>
      </c>
      <c r="R417" s="64" t="str">
        <f>Ringkasan!R416</f>
        <v/>
      </c>
      <c r="S417" s="64" t="str">
        <f>Ringkasan!S416</f>
        <v/>
      </c>
      <c r="T417" s="64" t="str">
        <f>Ringkasan!T416</f>
        <v/>
      </c>
      <c r="U417" s="64">
        <f>Ringkasan!U416</f>
        <v>480</v>
      </c>
      <c r="V417" s="64">
        <f>Ringkasan!V416</f>
        <v>10.42</v>
      </c>
      <c r="W417" s="64">
        <f>Ringkasan!W416</f>
        <v>494</v>
      </c>
      <c r="X417" s="64">
        <f>Ringkasan!X416</f>
        <v>565</v>
      </c>
      <c r="Y417" s="64">
        <f>Ringkasan!Y416</f>
        <v>494</v>
      </c>
      <c r="Z417" s="64">
        <f>Ringkasan!Z416</f>
        <v>592595900</v>
      </c>
      <c r="AA417" s="64" t="str">
        <f>Ringkasan!AA416</f>
        <v>Metals &amp; Minerals</v>
      </c>
      <c r="AB417" s="64" t="str">
        <f>Ringkasan!AB416</f>
        <v>Basic Materials</v>
      </c>
    </row>
    <row r="418" hidden="1">
      <c r="A418" s="64" t="str">
        <f>Ringkasan!A417</f>
        <v>BRMS</v>
      </c>
      <c r="B418" s="64" t="str">
        <f>Ringkasan!B417</f>
        <v>Bumi Resources Minerals Tbk.</v>
      </c>
      <c r="C418" s="65">
        <f>Ringkasan!C417</f>
        <v>530</v>
      </c>
      <c r="D418" s="64" t="str">
        <f>Ringkasan!D417</f>
        <v>#N/A</v>
      </c>
      <c r="E418" s="64" t="str">
        <f>Ringkasan!E417</f>
        <v>ECONOMIC30</v>
      </c>
      <c r="F418" s="64" t="str">
        <f>Ringkasan!F417</f>
        <v>31 Agustus 2026</v>
      </c>
      <c r="G418" s="64">
        <f>Ringkasan!G417</f>
        <v>8</v>
      </c>
      <c r="H418" s="19">
        <f>Ringkasan!H417</f>
        <v>94</v>
      </c>
      <c r="I418" s="19">
        <f>Ringkasan!I417</f>
        <v>4.7</v>
      </c>
      <c r="J418" s="19">
        <f>Ringkasan!J417</f>
        <v>5</v>
      </c>
      <c r="K418" s="19">
        <f>Ringkasan!K417</f>
        <v>3.8</v>
      </c>
      <c r="L418" s="19">
        <f>Ringkasan!L417</f>
        <v>0.32</v>
      </c>
      <c r="M418" s="19">
        <f>Ringkasan!M417</f>
        <v>76</v>
      </c>
      <c r="N418" s="64" t="str">
        <f>Ringkasan!N417</f>
        <v/>
      </c>
      <c r="O418" s="64" t="str">
        <f>Ringkasan!O417</f>
        <v/>
      </c>
      <c r="P418" s="64" t="str">
        <f>Ringkasan!P417</f>
        <v/>
      </c>
      <c r="Q418" s="64" t="str">
        <f>Ringkasan!Q417</f>
        <v/>
      </c>
      <c r="R418" s="64" t="str">
        <f>Ringkasan!R417</f>
        <v/>
      </c>
      <c r="S418" s="64" t="str">
        <f>Ringkasan!S417</f>
        <v/>
      </c>
      <c r="T418" s="64" t="str">
        <f>Ringkasan!T417</f>
        <v/>
      </c>
      <c r="U418" s="64">
        <f>Ringkasan!U417</f>
        <v>480</v>
      </c>
      <c r="V418" s="64">
        <f>Ringkasan!V417</f>
        <v>10.42</v>
      </c>
      <c r="W418" s="64">
        <f>Ringkasan!W417</f>
        <v>494</v>
      </c>
      <c r="X418" s="64">
        <f>Ringkasan!X417</f>
        <v>565</v>
      </c>
      <c r="Y418" s="64">
        <f>Ringkasan!Y417</f>
        <v>494</v>
      </c>
      <c r="Z418" s="64">
        <f>Ringkasan!Z417</f>
        <v>592595900</v>
      </c>
      <c r="AA418" s="64" t="str">
        <f>Ringkasan!AA417</f>
        <v>Metals &amp; Minerals</v>
      </c>
      <c r="AB418" s="64" t="str">
        <f>Ringkasan!AB417</f>
        <v>Basic Materials</v>
      </c>
    </row>
    <row r="419" hidden="1">
      <c r="A419" s="64" t="str">
        <f>Ringkasan!A418</f>
        <v>BRMS</v>
      </c>
      <c r="B419" s="64" t="str">
        <f>Ringkasan!B418</f>
        <v>Bumi Resources Minerals Tbk.</v>
      </c>
      <c r="C419" s="65">
        <f>Ringkasan!C418</f>
        <v>530</v>
      </c>
      <c r="D419" s="64" t="str">
        <f>Ringkasan!D418</f>
        <v>#N/A</v>
      </c>
      <c r="E419" s="64" t="str">
        <f>Ringkasan!E418</f>
        <v>IDX80</v>
      </c>
      <c r="F419" s="64" t="str">
        <f>Ringkasan!F418</f>
        <v>31 Juli 2026</v>
      </c>
      <c r="G419" s="64">
        <f>Ringkasan!G418</f>
        <v>8</v>
      </c>
      <c r="H419" s="19">
        <f>Ringkasan!H418</f>
        <v>94</v>
      </c>
      <c r="I419" s="19">
        <f>Ringkasan!I418</f>
        <v>4.7</v>
      </c>
      <c r="J419" s="19">
        <f>Ringkasan!J418</f>
        <v>5</v>
      </c>
      <c r="K419" s="19">
        <f>Ringkasan!K418</f>
        <v>3.8</v>
      </c>
      <c r="L419" s="19">
        <f>Ringkasan!L418</f>
        <v>0.32</v>
      </c>
      <c r="M419" s="19">
        <f>Ringkasan!M418</f>
        <v>76</v>
      </c>
      <c r="N419" s="64" t="str">
        <f>Ringkasan!N418</f>
        <v/>
      </c>
      <c r="O419" s="64" t="str">
        <f>Ringkasan!O418</f>
        <v/>
      </c>
      <c r="P419" s="64" t="str">
        <f>Ringkasan!P418</f>
        <v/>
      </c>
      <c r="Q419" s="64" t="str">
        <f>Ringkasan!Q418</f>
        <v/>
      </c>
      <c r="R419" s="64" t="str">
        <f>Ringkasan!R418</f>
        <v/>
      </c>
      <c r="S419" s="64" t="str">
        <f>Ringkasan!S418</f>
        <v/>
      </c>
      <c r="T419" s="64" t="str">
        <f>Ringkasan!T418</f>
        <v/>
      </c>
      <c r="U419" s="64">
        <f>Ringkasan!U418</f>
        <v>480</v>
      </c>
      <c r="V419" s="64">
        <f>Ringkasan!V418</f>
        <v>10.42</v>
      </c>
      <c r="W419" s="64">
        <f>Ringkasan!W418</f>
        <v>494</v>
      </c>
      <c r="X419" s="64">
        <f>Ringkasan!X418</f>
        <v>565</v>
      </c>
      <c r="Y419" s="64">
        <f>Ringkasan!Y418</f>
        <v>494</v>
      </c>
      <c r="Z419" s="64">
        <f>Ringkasan!Z418</f>
        <v>592595900</v>
      </c>
      <c r="AA419" s="64" t="str">
        <f>Ringkasan!AA418</f>
        <v>Metals &amp; Minerals</v>
      </c>
      <c r="AB419" s="64" t="str">
        <f>Ringkasan!AB418</f>
        <v>Basic Materials</v>
      </c>
    </row>
    <row r="420" hidden="1">
      <c r="A420" s="64" t="str">
        <f>Ringkasan!A419</f>
        <v>BRMS</v>
      </c>
      <c r="B420" s="64" t="str">
        <f>Ringkasan!B419</f>
        <v>Bumi Resources Minerals Tbk.</v>
      </c>
      <c r="C420" s="65">
        <f>Ringkasan!C419</f>
        <v>530</v>
      </c>
      <c r="D420" s="64" t="str">
        <f>Ringkasan!D419</f>
        <v>#N/A</v>
      </c>
      <c r="E420" s="64" t="str">
        <f>Ringkasan!E419</f>
        <v>Kompas100</v>
      </c>
      <c r="F420" s="64" t="str">
        <f>Ringkasan!F419</f>
        <v>31 Juli 2026</v>
      </c>
      <c r="G420" s="64">
        <f>Ringkasan!G419</f>
        <v>8</v>
      </c>
      <c r="H420" s="19">
        <f>Ringkasan!H419</f>
        <v>94</v>
      </c>
      <c r="I420" s="19">
        <f>Ringkasan!I419</f>
        <v>4.7</v>
      </c>
      <c r="J420" s="19">
        <f>Ringkasan!J419</f>
        <v>5</v>
      </c>
      <c r="K420" s="19">
        <f>Ringkasan!K419</f>
        <v>3.8</v>
      </c>
      <c r="L420" s="19">
        <f>Ringkasan!L419</f>
        <v>0.32</v>
      </c>
      <c r="M420" s="19">
        <f>Ringkasan!M419</f>
        <v>76</v>
      </c>
      <c r="N420" s="64" t="str">
        <f>Ringkasan!N419</f>
        <v/>
      </c>
      <c r="O420" s="64" t="str">
        <f>Ringkasan!O419</f>
        <v/>
      </c>
      <c r="P420" s="64" t="str">
        <f>Ringkasan!P419</f>
        <v/>
      </c>
      <c r="Q420" s="64" t="str">
        <f>Ringkasan!Q419</f>
        <v/>
      </c>
      <c r="R420" s="64" t="str">
        <f>Ringkasan!R419</f>
        <v/>
      </c>
      <c r="S420" s="64" t="str">
        <f>Ringkasan!S419</f>
        <v/>
      </c>
      <c r="T420" s="64" t="str">
        <f>Ringkasan!T419</f>
        <v/>
      </c>
      <c r="U420" s="64">
        <f>Ringkasan!U419</f>
        <v>480</v>
      </c>
      <c r="V420" s="64">
        <f>Ringkasan!V419</f>
        <v>10.42</v>
      </c>
      <c r="W420" s="64">
        <f>Ringkasan!W419</f>
        <v>494</v>
      </c>
      <c r="X420" s="64">
        <f>Ringkasan!X419</f>
        <v>565</v>
      </c>
      <c r="Y420" s="64">
        <f>Ringkasan!Y419</f>
        <v>494</v>
      </c>
      <c r="Z420" s="64">
        <f>Ringkasan!Z419</f>
        <v>592595900</v>
      </c>
      <c r="AA420" s="64" t="str">
        <f>Ringkasan!AA419</f>
        <v>Metals &amp; Minerals</v>
      </c>
      <c r="AB420" s="64" t="str">
        <f>Ringkasan!AB419</f>
        <v>Basic Materials</v>
      </c>
    </row>
    <row r="421" hidden="1">
      <c r="A421" s="64" t="str">
        <f>Ringkasan!A420</f>
        <v>BRMS</v>
      </c>
      <c r="B421" s="64" t="str">
        <f>Ringkasan!B420</f>
        <v>Bumi Resources Minerals Tbk.</v>
      </c>
      <c r="C421" s="65">
        <f>Ringkasan!C420</f>
        <v>530</v>
      </c>
      <c r="D421" s="64" t="str">
        <f>Ringkasan!D420</f>
        <v>#N/A</v>
      </c>
      <c r="E421" s="64" t="str">
        <f>Ringkasan!E420</f>
        <v>MNC36</v>
      </c>
      <c r="F421" s="64" t="str">
        <f>Ringkasan!F420</f>
        <v>30 Oktober 2026</v>
      </c>
      <c r="G421" s="64">
        <f>Ringkasan!G420</f>
        <v>8</v>
      </c>
      <c r="H421" s="19">
        <f>Ringkasan!H420</f>
        <v>94</v>
      </c>
      <c r="I421" s="19">
        <f>Ringkasan!I420</f>
        <v>4.7</v>
      </c>
      <c r="J421" s="19">
        <f>Ringkasan!J420</f>
        <v>5</v>
      </c>
      <c r="K421" s="19">
        <f>Ringkasan!K420</f>
        <v>3.8</v>
      </c>
      <c r="L421" s="19">
        <f>Ringkasan!L420</f>
        <v>0.32</v>
      </c>
      <c r="M421" s="19">
        <f>Ringkasan!M420</f>
        <v>76</v>
      </c>
      <c r="N421" s="64" t="str">
        <f>Ringkasan!N420</f>
        <v/>
      </c>
      <c r="O421" s="64" t="str">
        <f>Ringkasan!O420</f>
        <v/>
      </c>
      <c r="P421" s="64" t="str">
        <f>Ringkasan!P420</f>
        <v/>
      </c>
      <c r="Q421" s="64" t="str">
        <f>Ringkasan!Q420</f>
        <v/>
      </c>
      <c r="R421" s="64" t="str">
        <f>Ringkasan!R420</f>
        <v/>
      </c>
      <c r="S421" s="64" t="str">
        <f>Ringkasan!S420</f>
        <v/>
      </c>
      <c r="T421" s="64" t="str">
        <f>Ringkasan!T420</f>
        <v/>
      </c>
      <c r="U421" s="64">
        <f>Ringkasan!U420</f>
        <v>480</v>
      </c>
      <c r="V421" s="64">
        <f>Ringkasan!V420</f>
        <v>10.42</v>
      </c>
      <c r="W421" s="64">
        <f>Ringkasan!W420</f>
        <v>494</v>
      </c>
      <c r="X421" s="64">
        <f>Ringkasan!X420</f>
        <v>565</v>
      </c>
      <c r="Y421" s="64">
        <f>Ringkasan!Y420</f>
        <v>494</v>
      </c>
      <c r="Z421" s="64">
        <f>Ringkasan!Z420</f>
        <v>592595900</v>
      </c>
      <c r="AA421" s="64" t="str">
        <f>Ringkasan!AA420</f>
        <v>Metals &amp; Minerals</v>
      </c>
      <c r="AB421" s="64" t="str">
        <f>Ringkasan!AB420</f>
        <v>Basic Materials</v>
      </c>
    </row>
    <row r="422" hidden="1">
      <c r="A422" s="64" t="str">
        <f>Ringkasan!A421</f>
        <v>BRMS</v>
      </c>
      <c r="B422" s="64" t="str">
        <f>Ringkasan!B421</f>
        <v>Bumi Resources Minerals Tbk.</v>
      </c>
      <c r="C422" s="65">
        <f>Ringkasan!C421</f>
        <v>530</v>
      </c>
      <c r="D422" s="64" t="str">
        <f>Ringkasan!D421</f>
        <v>#N/A</v>
      </c>
      <c r="E422" s="64" t="str">
        <f>Ringkasan!E421</f>
        <v>BISNIS-27</v>
      </c>
      <c r="F422" s="64" t="str">
        <f>Ringkasan!F421</f>
        <v>30 Oktober 2026</v>
      </c>
      <c r="G422" s="64">
        <f>Ringkasan!G421</f>
        <v>8</v>
      </c>
      <c r="H422" s="19">
        <f>Ringkasan!H421</f>
        <v>94</v>
      </c>
      <c r="I422" s="19">
        <f>Ringkasan!I421</f>
        <v>4.7</v>
      </c>
      <c r="J422" s="19">
        <f>Ringkasan!J421</f>
        <v>5</v>
      </c>
      <c r="K422" s="19">
        <f>Ringkasan!K421</f>
        <v>3.8</v>
      </c>
      <c r="L422" s="19">
        <f>Ringkasan!L421</f>
        <v>0.32</v>
      </c>
      <c r="M422" s="19">
        <f>Ringkasan!M421</f>
        <v>76</v>
      </c>
      <c r="N422" s="19" t="str">
        <f>Ringkasan!N421</f>
        <v/>
      </c>
      <c r="O422" s="19" t="str">
        <f>Ringkasan!O421</f>
        <v/>
      </c>
      <c r="P422" s="19" t="str">
        <f>Ringkasan!P421</f>
        <v/>
      </c>
      <c r="Q422" s="19" t="str">
        <f>Ringkasan!Q421</f>
        <v/>
      </c>
      <c r="R422" s="19" t="str">
        <f>Ringkasan!R421</f>
        <v/>
      </c>
      <c r="S422" s="19" t="str">
        <f>Ringkasan!S421</f>
        <v/>
      </c>
      <c r="T422" s="19" t="str">
        <f>Ringkasan!T421</f>
        <v/>
      </c>
      <c r="U422" s="64">
        <f>Ringkasan!U421</f>
        <v>480</v>
      </c>
      <c r="V422" s="64">
        <f>Ringkasan!V421</f>
        <v>10.42</v>
      </c>
      <c r="W422" s="64">
        <f>Ringkasan!W421</f>
        <v>494</v>
      </c>
      <c r="X422" s="64">
        <f>Ringkasan!X421</f>
        <v>565</v>
      </c>
      <c r="Y422" s="64">
        <f>Ringkasan!Y421</f>
        <v>494</v>
      </c>
      <c r="Z422" s="64">
        <f>Ringkasan!Z421</f>
        <v>592595900</v>
      </c>
      <c r="AA422" s="64" t="str">
        <f>Ringkasan!AA421</f>
        <v>Metals &amp; Minerals</v>
      </c>
      <c r="AB422" s="64" t="str">
        <f>Ringkasan!AB421</f>
        <v>Basic Materials</v>
      </c>
    </row>
    <row r="423" hidden="1">
      <c r="A423" s="64" t="str">
        <f>Ringkasan!A422</f>
        <v>BRMS</v>
      </c>
      <c r="B423" s="64" t="str">
        <f>Ringkasan!B422</f>
        <v>Bumi Resources Minerals Tbk.</v>
      </c>
      <c r="C423" s="65">
        <f>Ringkasan!C422</f>
        <v>530</v>
      </c>
      <c r="D423" s="64" t="str">
        <f>Ringkasan!D422</f>
        <v>#N/A</v>
      </c>
      <c r="E423" s="64" t="str">
        <f>Ringkasan!E422</f>
        <v>JII30</v>
      </c>
      <c r="F423" s="66">
        <f>Ringkasan!F422</f>
        <v>46356</v>
      </c>
      <c r="G423" s="64">
        <f>Ringkasan!G422</f>
        <v>8</v>
      </c>
      <c r="H423" s="19">
        <f>Ringkasan!H422</f>
        <v>94</v>
      </c>
      <c r="I423" s="19">
        <f>Ringkasan!I422</f>
        <v>4.7</v>
      </c>
      <c r="J423" s="19">
        <f>Ringkasan!J422</f>
        <v>5</v>
      </c>
      <c r="K423" s="19">
        <f>Ringkasan!K422</f>
        <v>3.8</v>
      </c>
      <c r="L423" s="19">
        <f>Ringkasan!L422</f>
        <v>0.32</v>
      </c>
      <c r="M423" s="19">
        <f>Ringkasan!M422</f>
        <v>76</v>
      </c>
      <c r="N423" s="64" t="str">
        <f>Ringkasan!N422</f>
        <v/>
      </c>
      <c r="O423" s="64" t="str">
        <f>Ringkasan!O422</f>
        <v/>
      </c>
      <c r="P423" s="64" t="str">
        <f>Ringkasan!P422</f>
        <v/>
      </c>
      <c r="Q423" s="64" t="str">
        <f>Ringkasan!Q422</f>
        <v/>
      </c>
      <c r="R423" s="64" t="str">
        <f>Ringkasan!R422</f>
        <v/>
      </c>
      <c r="S423" s="64" t="str">
        <f>Ringkasan!S422</f>
        <v/>
      </c>
      <c r="T423" s="64" t="str">
        <f>Ringkasan!T422</f>
        <v/>
      </c>
      <c r="U423" s="64">
        <f>Ringkasan!U422</f>
        <v>480</v>
      </c>
      <c r="V423" s="64">
        <f>Ringkasan!V422</f>
        <v>10.42</v>
      </c>
      <c r="W423" s="64">
        <f>Ringkasan!W422</f>
        <v>494</v>
      </c>
      <c r="X423" s="64">
        <f>Ringkasan!X422</f>
        <v>565</v>
      </c>
      <c r="Y423" s="64">
        <f>Ringkasan!Y422</f>
        <v>494</v>
      </c>
      <c r="Z423" s="64">
        <f>Ringkasan!Z422</f>
        <v>592595900</v>
      </c>
      <c r="AA423" s="64" t="str">
        <f>Ringkasan!AA422</f>
        <v>Metals &amp; Minerals</v>
      </c>
      <c r="AB423" s="64" t="str">
        <f>Ringkasan!AB422</f>
        <v>Basic Materials</v>
      </c>
    </row>
    <row r="424" hidden="1">
      <c r="A424" s="64" t="str">
        <f>Ringkasan!A423</f>
        <v>BRMS</v>
      </c>
      <c r="B424" s="64" t="str">
        <f>Ringkasan!B423</f>
        <v>Bumi Resources Minerals Tbk.</v>
      </c>
      <c r="C424" s="65">
        <f>Ringkasan!C423</f>
        <v>530</v>
      </c>
      <c r="D424" s="64" t="str">
        <f>Ringkasan!D423</f>
        <v>#N/A</v>
      </c>
      <c r="E424" s="64" t="str">
        <f>Ringkasan!E423</f>
        <v>JII70</v>
      </c>
      <c r="F424" s="66">
        <f>Ringkasan!F423</f>
        <v>46356</v>
      </c>
      <c r="G424" s="64">
        <f>Ringkasan!G423</f>
        <v>8</v>
      </c>
      <c r="H424" s="19">
        <f>Ringkasan!H423</f>
        <v>94</v>
      </c>
      <c r="I424" s="19">
        <f>Ringkasan!I423</f>
        <v>4.7</v>
      </c>
      <c r="J424" s="19">
        <f>Ringkasan!J423</f>
        <v>5</v>
      </c>
      <c r="K424" s="19">
        <f>Ringkasan!K423</f>
        <v>3.8</v>
      </c>
      <c r="L424" s="19">
        <f>Ringkasan!L423</f>
        <v>0.32</v>
      </c>
      <c r="M424" s="19">
        <f>Ringkasan!M423</f>
        <v>76</v>
      </c>
      <c r="N424" s="64" t="str">
        <f>Ringkasan!N423</f>
        <v/>
      </c>
      <c r="O424" s="64" t="str">
        <f>Ringkasan!O423</f>
        <v/>
      </c>
      <c r="P424" s="64" t="str">
        <f>Ringkasan!P423</f>
        <v/>
      </c>
      <c r="Q424" s="64" t="str">
        <f>Ringkasan!Q423</f>
        <v/>
      </c>
      <c r="R424" s="64" t="str">
        <f>Ringkasan!R423</f>
        <v/>
      </c>
      <c r="S424" s="64" t="str">
        <f>Ringkasan!S423</f>
        <v/>
      </c>
      <c r="T424" s="64" t="str">
        <f>Ringkasan!T423</f>
        <v/>
      </c>
      <c r="U424" s="64">
        <f>Ringkasan!U423</f>
        <v>480</v>
      </c>
      <c r="V424" s="64">
        <f>Ringkasan!V423</f>
        <v>10.42</v>
      </c>
      <c r="W424" s="64">
        <f>Ringkasan!W423</f>
        <v>494</v>
      </c>
      <c r="X424" s="64">
        <f>Ringkasan!X423</f>
        <v>565</v>
      </c>
      <c r="Y424" s="64">
        <f>Ringkasan!Y423</f>
        <v>494</v>
      </c>
      <c r="Z424" s="64">
        <f>Ringkasan!Z423</f>
        <v>592595900</v>
      </c>
      <c r="AA424" s="64" t="str">
        <f>Ringkasan!AA423</f>
        <v>Metals &amp; Minerals</v>
      </c>
      <c r="AB424" s="64" t="str">
        <f>Ringkasan!AB423</f>
        <v>Basic Materials</v>
      </c>
    </row>
    <row r="425" hidden="1">
      <c r="A425" s="64" t="str">
        <f>Ringkasan!A424</f>
        <v>BRNA</v>
      </c>
      <c r="B425" s="64" t="str">
        <f>Ringkasan!B424</f>
        <v>Berlina Tbk.</v>
      </c>
      <c r="C425" s="65">
        <f>Ringkasan!C424</f>
        <v>595</v>
      </c>
      <c r="D425" s="64" t="str">
        <f>Ringkasan!D424</f>
        <v>#N/A</v>
      </c>
      <c r="E425" s="64" t="str">
        <f>Ringkasan!E424</f>
        <v/>
      </c>
      <c r="F425" s="64" t="str">
        <f>Ringkasan!F424</f>
        <v/>
      </c>
      <c r="G425" s="64">
        <f>Ringkasan!G424</f>
        <v>0</v>
      </c>
      <c r="H425" s="19">
        <f>Ringkasan!H424</f>
        <v>97.9</v>
      </c>
      <c r="I425" s="19">
        <f>Ringkasan!I424</f>
        <v>0.6</v>
      </c>
      <c r="J425" s="19">
        <f>Ringkasan!J424</f>
        <v>0.61</v>
      </c>
      <c r="K425" s="19">
        <f>Ringkasan!K424</f>
        <v>0.28</v>
      </c>
      <c r="L425" s="19">
        <f>Ringkasan!L424</f>
        <v>1.2</v>
      </c>
      <c r="M425" s="19">
        <f>Ringkasan!M424</f>
        <v>2.2</v>
      </c>
      <c r="N425" s="64" t="str">
        <f>Ringkasan!N424</f>
        <v/>
      </c>
      <c r="O425" s="64" t="str">
        <f>Ringkasan!O424</f>
        <v/>
      </c>
      <c r="P425" s="64" t="str">
        <f>Ringkasan!P424</f>
        <v/>
      </c>
      <c r="Q425" s="64" t="str">
        <f>Ringkasan!Q424</f>
        <v/>
      </c>
      <c r="R425" s="64" t="str">
        <f>Ringkasan!R424</f>
        <v/>
      </c>
      <c r="S425" s="64" t="str">
        <f>Ringkasan!S424</f>
        <v/>
      </c>
      <c r="T425" s="64" t="str">
        <f>Ringkasan!T424</f>
        <v/>
      </c>
      <c r="U425" s="64">
        <f>Ringkasan!U424</f>
        <v>595</v>
      </c>
      <c r="V425" s="64">
        <f>Ringkasan!V424</f>
        <v>0</v>
      </c>
      <c r="W425" s="64">
        <f>Ringkasan!W424</f>
        <v>570</v>
      </c>
      <c r="X425" s="64">
        <f>Ringkasan!X424</f>
        <v>595</v>
      </c>
      <c r="Y425" s="64">
        <f>Ringkasan!Y424</f>
        <v>565</v>
      </c>
      <c r="Z425" s="64">
        <f>Ringkasan!Z424</f>
        <v>16100</v>
      </c>
      <c r="AA425" s="64" t="str">
        <f>Ringkasan!AA424</f>
        <v>Containers &amp; Packaging</v>
      </c>
      <c r="AB425" s="64" t="str">
        <f>Ringkasan!AB424</f>
        <v>Basic Materials</v>
      </c>
    </row>
    <row r="426" hidden="1">
      <c r="A426" s="64" t="str">
        <f>Ringkasan!A440</f>
        <v>BSDE</v>
      </c>
      <c r="B426" s="64" t="str">
        <f>Ringkasan!B440</f>
        <v>Bumi Serpong Damai Tbk.</v>
      </c>
      <c r="C426" s="65">
        <f>Ringkasan!C440</f>
        <v>610</v>
      </c>
      <c r="D426" s="64" t="str">
        <f>Ringkasan!D440</f>
        <v>#N/A</v>
      </c>
      <c r="E426" s="64" t="str">
        <f>Ringkasan!E440</f>
        <v>Kompas100</v>
      </c>
      <c r="F426" s="64" t="str">
        <f>Ringkasan!F440</f>
        <v>31 Juli 2026</v>
      </c>
      <c r="G426" s="64">
        <f>Ringkasan!G440</f>
        <v>9</v>
      </c>
      <c r="H426" s="19">
        <f>Ringkasan!H440</f>
        <v>5.2</v>
      </c>
      <c r="I426" s="19">
        <f>Ringkasan!I440</f>
        <v>0.25</v>
      </c>
      <c r="J426" s="19">
        <f>Ringkasan!J440</f>
        <v>4.8</v>
      </c>
      <c r="K426" s="19">
        <f>Ringkasan!K440</f>
        <v>3.2</v>
      </c>
      <c r="L426" s="19">
        <f>Ringkasan!L440</f>
        <v>0.51</v>
      </c>
      <c r="M426" s="19">
        <f>Ringkasan!M440</f>
        <v>19.9</v>
      </c>
      <c r="N426" s="64" t="str">
        <f>Ringkasan!N440</f>
        <v/>
      </c>
      <c r="O426" s="64" t="str">
        <f>Ringkasan!O440</f>
        <v/>
      </c>
      <c r="P426" s="64" t="str">
        <f>Ringkasan!P440</f>
        <v/>
      </c>
      <c r="Q426" s="64" t="str">
        <f>Ringkasan!Q440</f>
        <v/>
      </c>
      <c r="R426" s="64" t="str">
        <f>Ringkasan!R440</f>
        <v/>
      </c>
      <c r="S426" s="64" t="str">
        <f>Ringkasan!S440</f>
        <v/>
      </c>
      <c r="T426" s="64" t="str">
        <f>Ringkasan!T440</f>
        <v/>
      </c>
      <c r="U426" s="64">
        <f>Ringkasan!U440</f>
        <v>580</v>
      </c>
      <c r="V426" s="64">
        <f>Ringkasan!V440</f>
        <v>5.17</v>
      </c>
      <c r="W426" s="64">
        <f>Ringkasan!W440</f>
        <v>590</v>
      </c>
      <c r="X426" s="64">
        <f>Ringkasan!X440</f>
        <v>615</v>
      </c>
      <c r="Y426" s="64">
        <f>Ringkasan!Y440</f>
        <v>590</v>
      </c>
      <c r="Z426" s="64">
        <f>Ringkasan!Z440</f>
        <v>14873600</v>
      </c>
      <c r="AA426" s="64" t="str">
        <f>Ringkasan!AA440</f>
        <v>Real Estate Management &amp; Development</v>
      </c>
      <c r="AB426" s="64" t="str">
        <f>Ringkasan!AB440</f>
        <v>Properties &amp; Real Estate</v>
      </c>
    </row>
    <row r="427" hidden="1">
      <c r="A427" s="64" t="str">
        <f>Ringkasan!A426</f>
        <v>BRPT</v>
      </c>
      <c r="B427" s="64" t="str">
        <f>Ringkasan!B426</f>
        <v>Barito Pacific Tbk.</v>
      </c>
      <c r="C427" s="65">
        <f>Ringkasan!C426</f>
        <v>1700</v>
      </c>
      <c r="D427" s="64" t="str">
        <f>Ringkasan!D426</f>
        <v>#N/A</v>
      </c>
      <c r="E427" s="64" t="str">
        <f>Ringkasan!E426</f>
        <v>IDXESGL</v>
      </c>
      <c r="F427" s="64" t="str">
        <f>Ringkasan!F426</f>
        <v>30 Oktober 2026</v>
      </c>
      <c r="G427" s="65">
        <f>Ringkasan!G426</f>
        <v>10</v>
      </c>
      <c r="H427" s="19">
        <f>Ringkasan!H426</f>
        <v>19.2</v>
      </c>
      <c r="I427" s="19">
        <f>Ringkasan!I426</f>
        <v>1.7</v>
      </c>
      <c r="J427" s="19">
        <f>Ringkasan!J426</f>
        <v>8.9</v>
      </c>
      <c r="K427" s="19">
        <f>Ringkasan!K426</f>
        <v>3.2</v>
      </c>
      <c r="L427" s="19">
        <f>Ringkasan!L426</f>
        <v>1.8</v>
      </c>
      <c r="M427" s="19">
        <f>Ringkasan!M426</f>
        <v>21.7</v>
      </c>
      <c r="N427" s="64" t="str">
        <f>Ringkasan!N426</f>
        <v/>
      </c>
      <c r="O427" s="64" t="str">
        <f>Ringkasan!O426</f>
        <v/>
      </c>
      <c r="P427" s="64" t="str">
        <f>Ringkasan!P426</f>
        <v/>
      </c>
      <c r="Q427" s="64" t="str">
        <f>Ringkasan!Q426</f>
        <v/>
      </c>
      <c r="R427" s="64" t="str">
        <f>Ringkasan!R426</f>
        <v/>
      </c>
      <c r="S427" s="64" t="str">
        <f>Ringkasan!S426</f>
        <v/>
      </c>
      <c r="T427" s="64" t="str">
        <f>Ringkasan!T426</f>
        <v/>
      </c>
      <c r="U427" s="64">
        <f>Ringkasan!U426</f>
        <v>1650</v>
      </c>
      <c r="V427" s="64">
        <f>Ringkasan!V426</f>
        <v>3.03</v>
      </c>
      <c r="W427" s="64">
        <f>Ringkasan!W426</f>
        <v>1700</v>
      </c>
      <c r="X427" s="64">
        <f>Ringkasan!X426</f>
        <v>1770</v>
      </c>
      <c r="Y427" s="64">
        <f>Ringkasan!Y426</f>
        <v>1680</v>
      </c>
      <c r="Z427" s="64">
        <f>Ringkasan!Z426</f>
        <v>279487700</v>
      </c>
      <c r="AA427" s="64" t="str">
        <f>Ringkasan!AA426</f>
        <v>Chemicals</v>
      </c>
      <c r="AB427" s="64" t="str">
        <f>Ringkasan!AB426</f>
        <v>Basic Materials</v>
      </c>
    </row>
    <row r="428" hidden="1">
      <c r="A428" s="64" t="str">
        <f>Ringkasan!A427</f>
        <v>BRPT</v>
      </c>
      <c r="B428" s="64" t="str">
        <f>Ringkasan!B427</f>
        <v>Barito Pacific Tbk.</v>
      </c>
      <c r="C428" s="65">
        <f>Ringkasan!C427</f>
        <v>1700</v>
      </c>
      <c r="D428" s="64" t="str">
        <f>Ringkasan!D427</f>
        <v>#N/A</v>
      </c>
      <c r="E428" s="64" t="str">
        <f>Ringkasan!E427</f>
        <v>IDX80</v>
      </c>
      <c r="F428" s="64" t="str">
        <f>Ringkasan!F427</f>
        <v>31 Juli 2026</v>
      </c>
      <c r="G428" s="64">
        <f>Ringkasan!G427</f>
        <v>10</v>
      </c>
      <c r="H428" s="19">
        <f>Ringkasan!H427</f>
        <v>19.2</v>
      </c>
      <c r="I428" s="19">
        <f>Ringkasan!I427</f>
        <v>1.7</v>
      </c>
      <c r="J428" s="19">
        <f>Ringkasan!J427</f>
        <v>8.9</v>
      </c>
      <c r="K428" s="19">
        <f>Ringkasan!K427</f>
        <v>3.2</v>
      </c>
      <c r="L428" s="19">
        <f>Ringkasan!L427</f>
        <v>1.8</v>
      </c>
      <c r="M428" s="19">
        <f>Ringkasan!M427</f>
        <v>21.7</v>
      </c>
      <c r="N428" s="64" t="str">
        <f>Ringkasan!N427</f>
        <v/>
      </c>
      <c r="O428" s="64" t="str">
        <f>Ringkasan!O427</f>
        <v/>
      </c>
      <c r="P428" s="64" t="str">
        <f>Ringkasan!P427</f>
        <v/>
      </c>
      <c r="Q428" s="64" t="str">
        <f>Ringkasan!Q427</f>
        <v/>
      </c>
      <c r="R428" s="64" t="str">
        <f>Ringkasan!R427</f>
        <v/>
      </c>
      <c r="S428" s="64" t="str">
        <f>Ringkasan!S427</f>
        <v/>
      </c>
      <c r="T428" s="64" t="str">
        <f>Ringkasan!T427</f>
        <v/>
      </c>
      <c r="U428" s="64">
        <f>Ringkasan!U427</f>
        <v>1650</v>
      </c>
      <c r="V428" s="64">
        <f>Ringkasan!V427</f>
        <v>3.03</v>
      </c>
      <c r="W428" s="64">
        <f>Ringkasan!W427</f>
        <v>1700</v>
      </c>
      <c r="X428" s="64">
        <f>Ringkasan!X427</f>
        <v>1770</v>
      </c>
      <c r="Y428" s="64">
        <f>Ringkasan!Y427</f>
        <v>1680</v>
      </c>
      <c r="Z428" s="64">
        <f>Ringkasan!Z427</f>
        <v>279487700</v>
      </c>
      <c r="AA428" s="64" t="str">
        <f>Ringkasan!AA427</f>
        <v>Chemicals</v>
      </c>
      <c r="AB428" s="64" t="str">
        <f>Ringkasan!AB427</f>
        <v>Basic Materials</v>
      </c>
    </row>
    <row r="429" hidden="1">
      <c r="A429" s="64" t="str">
        <f>Ringkasan!A428</f>
        <v>BRPT</v>
      </c>
      <c r="B429" s="64" t="str">
        <f>Ringkasan!B428</f>
        <v>Barito Pacific Tbk.</v>
      </c>
      <c r="C429" s="65">
        <f>Ringkasan!C428</f>
        <v>1700</v>
      </c>
      <c r="D429" s="64" t="str">
        <f>Ringkasan!D428</f>
        <v>#N/A</v>
      </c>
      <c r="E429" s="64" t="str">
        <f>Ringkasan!E428</f>
        <v>LQ45</v>
      </c>
      <c r="F429" s="64" t="str">
        <f>Ringkasan!F428</f>
        <v>31 Juli 2026</v>
      </c>
      <c r="G429" s="64">
        <f>Ringkasan!G428</f>
        <v>10</v>
      </c>
      <c r="H429" s="19">
        <f>Ringkasan!H428</f>
        <v>19.2</v>
      </c>
      <c r="I429" s="19">
        <f>Ringkasan!I428</f>
        <v>1.7</v>
      </c>
      <c r="J429" s="19">
        <f>Ringkasan!J428</f>
        <v>8.9</v>
      </c>
      <c r="K429" s="19">
        <f>Ringkasan!K428</f>
        <v>3.2</v>
      </c>
      <c r="L429" s="19">
        <f>Ringkasan!L428</f>
        <v>1.8</v>
      </c>
      <c r="M429" s="19">
        <f>Ringkasan!M428</f>
        <v>21.7</v>
      </c>
      <c r="N429" s="64" t="str">
        <f>Ringkasan!N428</f>
        <v/>
      </c>
      <c r="O429" s="64" t="str">
        <f>Ringkasan!O428</f>
        <v/>
      </c>
      <c r="P429" s="64" t="str">
        <f>Ringkasan!P428</f>
        <v/>
      </c>
      <c r="Q429" s="64" t="str">
        <f>Ringkasan!Q428</f>
        <v/>
      </c>
      <c r="R429" s="64" t="str">
        <f>Ringkasan!R428</f>
        <v/>
      </c>
      <c r="S429" s="64" t="str">
        <f>Ringkasan!S428</f>
        <v/>
      </c>
      <c r="T429" s="64" t="str">
        <f>Ringkasan!T428</f>
        <v/>
      </c>
      <c r="U429" s="64">
        <f>Ringkasan!U428</f>
        <v>1650</v>
      </c>
      <c r="V429" s="64">
        <f>Ringkasan!V428</f>
        <v>3.03</v>
      </c>
      <c r="W429" s="64">
        <f>Ringkasan!W428</f>
        <v>1700</v>
      </c>
      <c r="X429" s="64">
        <f>Ringkasan!X428</f>
        <v>1770</v>
      </c>
      <c r="Y429" s="64">
        <f>Ringkasan!Y428</f>
        <v>1680</v>
      </c>
      <c r="Z429" s="64">
        <f>Ringkasan!Z428</f>
        <v>279487700</v>
      </c>
      <c r="AA429" s="64" t="str">
        <f>Ringkasan!AA428</f>
        <v>Chemicals</v>
      </c>
      <c r="AB429" s="64" t="str">
        <f>Ringkasan!AB428</f>
        <v>Basic Materials</v>
      </c>
    </row>
    <row r="430" hidden="1">
      <c r="A430" s="64" t="str">
        <f>Ringkasan!A429</f>
        <v>BRPT</v>
      </c>
      <c r="B430" s="64" t="str">
        <f>Ringkasan!B429</f>
        <v>Barito Pacific Tbk.</v>
      </c>
      <c r="C430" s="65">
        <f>Ringkasan!C429</f>
        <v>1700</v>
      </c>
      <c r="D430" s="64" t="str">
        <f>Ringkasan!D429</f>
        <v>#N/A</v>
      </c>
      <c r="E430" s="64" t="str">
        <f>Ringkasan!E429</f>
        <v>Kompas100</v>
      </c>
      <c r="F430" s="64" t="str">
        <f>Ringkasan!F429</f>
        <v>31 Juli 2026</v>
      </c>
      <c r="G430" s="64">
        <f>Ringkasan!G429</f>
        <v>10</v>
      </c>
      <c r="H430" s="19">
        <f>Ringkasan!H429</f>
        <v>19.2</v>
      </c>
      <c r="I430" s="19">
        <f>Ringkasan!I429</f>
        <v>1.7</v>
      </c>
      <c r="J430" s="19">
        <f>Ringkasan!J429</f>
        <v>8.9</v>
      </c>
      <c r="K430" s="19">
        <f>Ringkasan!K429</f>
        <v>3.2</v>
      </c>
      <c r="L430" s="19">
        <f>Ringkasan!L429</f>
        <v>1.8</v>
      </c>
      <c r="M430" s="19">
        <f>Ringkasan!M429</f>
        <v>21.7</v>
      </c>
      <c r="N430" s="64" t="str">
        <f>Ringkasan!N429</f>
        <v/>
      </c>
      <c r="O430" s="64" t="str">
        <f>Ringkasan!O429</f>
        <v/>
      </c>
      <c r="P430" s="64" t="str">
        <f>Ringkasan!P429</f>
        <v/>
      </c>
      <c r="Q430" s="64" t="str">
        <f>Ringkasan!Q429</f>
        <v/>
      </c>
      <c r="R430" s="64" t="str">
        <f>Ringkasan!R429</f>
        <v/>
      </c>
      <c r="S430" s="64" t="str">
        <f>Ringkasan!S429</f>
        <v/>
      </c>
      <c r="T430" s="64" t="str">
        <f>Ringkasan!T429</f>
        <v/>
      </c>
      <c r="U430" s="64">
        <f>Ringkasan!U429</f>
        <v>1650</v>
      </c>
      <c r="V430" s="64">
        <f>Ringkasan!V429</f>
        <v>3.03</v>
      </c>
      <c r="W430" s="64">
        <f>Ringkasan!W429</f>
        <v>1700</v>
      </c>
      <c r="X430" s="64">
        <f>Ringkasan!X429</f>
        <v>1770</v>
      </c>
      <c r="Y430" s="64">
        <f>Ringkasan!Y429</f>
        <v>1680</v>
      </c>
      <c r="Z430" s="64">
        <f>Ringkasan!Z429</f>
        <v>279487700</v>
      </c>
      <c r="AA430" s="64" t="str">
        <f>Ringkasan!AA429</f>
        <v>Chemicals</v>
      </c>
      <c r="AB430" s="64" t="str">
        <f>Ringkasan!AB429</f>
        <v>Basic Materials</v>
      </c>
    </row>
    <row r="431" hidden="1">
      <c r="A431" s="64" t="str">
        <f>Ringkasan!A430</f>
        <v>BRPT</v>
      </c>
      <c r="B431" s="64" t="str">
        <f>Ringkasan!B430</f>
        <v>Barito Pacific Tbk.</v>
      </c>
      <c r="C431" s="65">
        <f>Ringkasan!C430</f>
        <v>1700</v>
      </c>
      <c r="D431" s="64" t="str">
        <f>Ringkasan!D430</f>
        <v>#N/A</v>
      </c>
      <c r="E431" s="64" t="str">
        <f>Ringkasan!E430</f>
        <v>IDX30</v>
      </c>
      <c r="F431" s="64" t="str">
        <f>Ringkasan!F430</f>
        <v>31 Juli 2026</v>
      </c>
      <c r="G431" s="64">
        <f>Ringkasan!G430</f>
        <v>10</v>
      </c>
      <c r="H431" s="19">
        <f>Ringkasan!H430</f>
        <v>19.2</v>
      </c>
      <c r="I431" s="19">
        <f>Ringkasan!I430</f>
        <v>1.7</v>
      </c>
      <c r="J431" s="19">
        <f>Ringkasan!J430</f>
        <v>8.9</v>
      </c>
      <c r="K431" s="19">
        <f>Ringkasan!K430</f>
        <v>3.2</v>
      </c>
      <c r="L431" s="19">
        <f>Ringkasan!L430</f>
        <v>1.8</v>
      </c>
      <c r="M431" s="19">
        <f>Ringkasan!M430</f>
        <v>21.7</v>
      </c>
      <c r="N431" s="64" t="str">
        <f>Ringkasan!N430</f>
        <v/>
      </c>
      <c r="O431" s="64" t="str">
        <f>Ringkasan!O430</f>
        <v/>
      </c>
      <c r="P431" s="64" t="str">
        <f>Ringkasan!P430</f>
        <v/>
      </c>
      <c r="Q431" s="64" t="str">
        <f>Ringkasan!Q430</f>
        <v/>
      </c>
      <c r="R431" s="64" t="str">
        <f>Ringkasan!R430</f>
        <v/>
      </c>
      <c r="S431" s="64" t="str">
        <f>Ringkasan!S430</f>
        <v/>
      </c>
      <c r="T431" s="64" t="str">
        <f>Ringkasan!T430</f>
        <v/>
      </c>
      <c r="U431" s="64">
        <f>Ringkasan!U430</f>
        <v>1650</v>
      </c>
      <c r="V431" s="64">
        <f>Ringkasan!V430</f>
        <v>3.03</v>
      </c>
      <c r="W431" s="64">
        <f>Ringkasan!W430</f>
        <v>1700</v>
      </c>
      <c r="X431" s="64">
        <f>Ringkasan!X430</f>
        <v>1770</v>
      </c>
      <c r="Y431" s="64">
        <f>Ringkasan!Y430</f>
        <v>1680</v>
      </c>
      <c r="Z431" s="64">
        <f>Ringkasan!Z430</f>
        <v>279487700</v>
      </c>
      <c r="AA431" s="64" t="str">
        <f>Ringkasan!AA430</f>
        <v>Chemicals</v>
      </c>
      <c r="AB431" s="64" t="str">
        <f>Ringkasan!AB430</f>
        <v>Basic Materials</v>
      </c>
    </row>
    <row r="432" hidden="1">
      <c r="A432" s="60" t="str">
        <f>Ringkasan!A463</f>
        <v>BUKA</v>
      </c>
      <c r="B432" s="60" t="str">
        <f>Ringkasan!B463</f>
        <v>Bukalapak.com Tbk.</v>
      </c>
      <c r="C432" s="61">
        <f>Ringkasan!C463</f>
        <v>113</v>
      </c>
      <c r="D432" s="60" t="str">
        <f>Ringkasan!D463</f>
        <v>#N/A</v>
      </c>
      <c r="E432" s="60" t="str">
        <f>Ringkasan!E463</f>
        <v>IDX80</v>
      </c>
      <c r="F432" s="60" t="str">
        <f>Ringkasan!F463</f>
        <v>31 Juli 2026</v>
      </c>
      <c r="G432" s="60">
        <f>Ringkasan!G463</f>
        <v>6</v>
      </c>
      <c r="H432" s="62">
        <f>Ringkasan!H463</f>
        <v>4.8</v>
      </c>
      <c r="I432" s="62">
        <f>Ringkasan!I463</f>
        <v>0.51</v>
      </c>
      <c r="J432" s="62">
        <f>Ringkasan!J463</f>
        <v>10.5</v>
      </c>
      <c r="K432" s="62">
        <f>Ringkasan!K463</f>
        <v>10.3</v>
      </c>
      <c r="L432" s="62">
        <f>Ringkasan!L463</f>
        <v>0.03</v>
      </c>
      <c r="M432" s="62">
        <f>Ringkasan!M463</f>
        <v>110</v>
      </c>
      <c r="N432" s="60" t="str">
        <f>Ringkasan!N463</f>
        <v/>
      </c>
      <c r="O432" s="60" t="str">
        <f>Ringkasan!O463</f>
        <v/>
      </c>
      <c r="P432" s="60" t="str">
        <f>Ringkasan!P463</f>
        <v/>
      </c>
      <c r="Q432" s="60" t="str">
        <f>Ringkasan!Q463</f>
        <v/>
      </c>
      <c r="R432" s="60" t="str">
        <f>Ringkasan!R463</f>
        <v/>
      </c>
      <c r="S432" s="60" t="str">
        <f>Ringkasan!S463</f>
        <v/>
      </c>
      <c r="T432" s="60" t="str">
        <f>Ringkasan!T463</f>
        <v/>
      </c>
      <c r="U432" s="60">
        <f>Ringkasan!U463</f>
        <v>114</v>
      </c>
      <c r="V432" s="60">
        <f>Ringkasan!V463</f>
        <v>-0.88</v>
      </c>
      <c r="W432" s="60">
        <f>Ringkasan!W463</f>
        <v>114</v>
      </c>
      <c r="X432" s="60">
        <f>Ringkasan!X463</f>
        <v>116</v>
      </c>
      <c r="Y432" s="60">
        <f>Ringkasan!Y463</f>
        <v>112</v>
      </c>
      <c r="Z432" s="60">
        <f>Ringkasan!Z463</f>
        <v>50129300</v>
      </c>
      <c r="AA432" s="60" t="str">
        <f>Ringkasan!AA463</f>
        <v>Online Applications &amp; Services</v>
      </c>
      <c r="AB432" s="60" t="str">
        <f>Ringkasan!AB463</f>
        <v>Technology</v>
      </c>
    </row>
    <row r="433" hidden="1">
      <c r="A433" s="64" t="str">
        <f>Ringkasan!A432</f>
        <v>BRPT</v>
      </c>
      <c r="B433" s="64" t="str">
        <f>Ringkasan!B432</f>
        <v>Barito Pacific Tbk.</v>
      </c>
      <c r="C433" s="65">
        <f>Ringkasan!C432</f>
        <v>1700</v>
      </c>
      <c r="D433" s="64" t="str">
        <f>Ringkasan!D432</f>
        <v>#N/A</v>
      </c>
      <c r="E433" s="64" t="str">
        <f>Ringkasan!E432</f>
        <v>ECONOMIC30</v>
      </c>
      <c r="F433" s="64" t="str">
        <f>Ringkasan!F432</f>
        <v>31 Agustus 2026</v>
      </c>
      <c r="G433" s="64">
        <f>Ringkasan!G432</f>
        <v>10</v>
      </c>
      <c r="H433" s="19">
        <f>Ringkasan!H432</f>
        <v>19.2</v>
      </c>
      <c r="I433" s="19">
        <f>Ringkasan!I432</f>
        <v>1.7</v>
      </c>
      <c r="J433" s="19">
        <f>Ringkasan!J432</f>
        <v>8.9</v>
      </c>
      <c r="K433" s="19">
        <f>Ringkasan!K432</f>
        <v>3.2</v>
      </c>
      <c r="L433" s="19">
        <f>Ringkasan!L432</f>
        <v>1.8</v>
      </c>
      <c r="M433" s="19">
        <f>Ringkasan!M432</f>
        <v>21.7</v>
      </c>
      <c r="N433" s="64" t="str">
        <f>Ringkasan!N432</f>
        <v/>
      </c>
      <c r="O433" s="64" t="str">
        <f>Ringkasan!O432</f>
        <v/>
      </c>
      <c r="P433" s="64" t="str">
        <f>Ringkasan!P432</f>
        <v/>
      </c>
      <c r="Q433" s="64" t="str">
        <f>Ringkasan!Q432</f>
        <v/>
      </c>
      <c r="R433" s="64" t="str">
        <f>Ringkasan!R432</f>
        <v/>
      </c>
      <c r="S433" s="64" t="str">
        <f>Ringkasan!S432</f>
        <v/>
      </c>
      <c r="T433" s="64" t="str">
        <f>Ringkasan!T432</f>
        <v/>
      </c>
      <c r="U433" s="64">
        <f>Ringkasan!U432</f>
        <v>1650</v>
      </c>
      <c r="V433" s="64">
        <f>Ringkasan!V432</f>
        <v>3.03</v>
      </c>
      <c r="W433" s="64">
        <f>Ringkasan!W432</f>
        <v>1700</v>
      </c>
      <c r="X433" s="64">
        <f>Ringkasan!X432</f>
        <v>1770</v>
      </c>
      <c r="Y433" s="64">
        <f>Ringkasan!Y432</f>
        <v>1680</v>
      </c>
      <c r="Z433" s="64">
        <f>Ringkasan!Z432</f>
        <v>279487700</v>
      </c>
      <c r="AA433" s="64" t="str">
        <f>Ringkasan!AA432</f>
        <v>Chemicals</v>
      </c>
      <c r="AB433" s="64" t="str">
        <f>Ringkasan!AB432</f>
        <v>Basic Materials</v>
      </c>
    </row>
    <row r="434" hidden="1">
      <c r="A434" s="64" t="str">
        <f>Ringkasan!A433</f>
        <v>BRPT</v>
      </c>
      <c r="B434" s="64" t="str">
        <f>Ringkasan!B433</f>
        <v>Barito Pacific Tbk.</v>
      </c>
      <c r="C434" s="65">
        <f>Ringkasan!C433</f>
        <v>1700</v>
      </c>
      <c r="D434" s="64" t="str">
        <f>Ringkasan!D433</f>
        <v>#N/A</v>
      </c>
      <c r="E434" s="64" t="str">
        <f>Ringkasan!E433</f>
        <v>FTSE Large Cap</v>
      </c>
      <c r="F434" s="64" t="str">
        <f>Ringkasan!F433</f>
        <v>Juni 2026</v>
      </c>
      <c r="G434" s="64">
        <f>Ringkasan!G433</f>
        <v>10</v>
      </c>
      <c r="H434" s="19">
        <f>Ringkasan!H433</f>
        <v>19.2</v>
      </c>
      <c r="I434" s="19">
        <f>Ringkasan!I433</f>
        <v>1.7</v>
      </c>
      <c r="J434" s="19">
        <f>Ringkasan!J433</f>
        <v>8.9</v>
      </c>
      <c r="K434" s="19">
        <f>Ringkasan!K433</f>
        <v>3.2</v>
      </c>
      <c r="L434" s="19">
        <f>Ringkasan!L433</f>
        <v>1.8</v>
      </c>
      <c r="M434" s="19">
        <f>Ringkasan!M433</f>
        <v>21.7</v>
      </c>
      <c r="N434" s="64" t="str">
        <f>Ringkasan!N433</f>
        <v/>
      </c>
      <c r="O434" s="64" t="str">
        <f>Ringkasan!O433</f>
        <v/>
      </c>
      <c r="P434" s="64" t="str">
        <f>Ringkasan!P433</f>
        <v/>
      </c>
      <c r="Q434" s="64" t="str">
        <f>Ringkasan!Q433</f>
        <v/>
      </c>
      <c r="R434" s="64" t="str">
        <f>Ringkasan!R433</f>
        <v/>
      </c>
      <c r="S434" s="64" t="str">
        <f>Ringkasan!S433</f>
        <v/>
      </c>
      <c r="T434" s="64" t="str">
        <f>Ringkasan!T433</f>
        <v/>
      </c>
      <c r="U434" s="64">
        <f>Ringkasan!U433</f>
        <v>1650</v>
      </c>
      <c r="V434" s="64">
        <f>Ringkasan!V433</f>
        <v>3.03</v>
      </c>
      <c r="W434" s="64">
        <f>Ringkasan!W433</f>
        <v>1700</v>
      </c>
      <c r="X434" s="64">
        <f>Ringkasan!X433</f>
        <v>1770</v>
      </c>
      <c r="Y434" s="64">
        <f>Ringkasan!Y433</f>
        <v>1680</v>
      </c>
      <c r="Z434" s="64">
        <f>Ringkasan!Z433</f>
        <v>279487700</v>
      </c>
      <c r="AA434" s="64" t="str">
        <f>Ringkasan!AA433</f>
        <v>Chemicals</v>
      </c>
      <c r="AB434" s="64" t="str">
        <f>Ringkasan!AB433</f>
        <v>Basic Materials</v>
      </c>
    </row>
    <row r="435" hidden="1">
      <c r="A435" s="64" t="str">
        <f>Ringkasan!A434</f>
        <v>BRPT</v>
      </c>
      <c r="B435" s="64" t="str">
        <f>Ringkasan!B434</f>
        <v>Barito Pacific Tbk.</v>
      </c>
      <c r="C435" s="65">
        <f>Ringkasan!C434</f>
        <v>1700</v>
      </c>
      <c r="D435" s="64" t="str">
        <f>Ringkasan!D434</f>
        <v>#N/A</v>
      </c>
      <c r="E435" s="64" t="str">
        <f>Ringkasan!E434</f>
        <v>Investor33</v>
      </c>
      <c r="F435" s="66">
        <f>Ringkasan!F434</f>
        <v>46356</v>
      </c>
      <c r="G435" s="64">
        <f>Ringkasan!G434</f>
        <v>10</v>
      </c>
      <c r="H435" s="19">
        <f>Ringkasan!H434</f>
        <v>19.2</v>
      </c>
      <c r="I435" s="19">
        <f>Ringkasan!I434</f>
        <v>1.7</v>
      </c>
      <c r="J435" s="19">
        <f>Ringkasan!J434</f>
        <v>8.9</v>
      </c>
      <c r="K435" s="19">
        <f>Ringkasan!K434</f>
        <v>3.2</v>
      </c>
      <c r="L435" s="19">
        <f>Ringkasan!L434</f>
        <v>1.8</v>
      </c>
      <c r="M435" s="19">
        <f>Ringkasan!M434</f>
        <v>21.7</v>
      </c>
      <c r="N435" s="64" t="str">
        <f>Ringkasan!N434</f>
        <v/>
      </c>
      <c r="O435" s="64" t="str">
        <f>Ringkasan!O434</f>
        <v/>
      </c>
      <c r="P435" s="64" t="str">
        <f>Ringkasan!P434</f>
        <v/>
      </c>
      <c r="Q435" s="64" t="str">
        <f>Ringkasan!Q434</f>
        <v/>
      </c>
      <c r="R435" s="64" t="str">
        <f>Ringkasan!R434</f>
        <v/>
      </c>
      <c r="S435" s="64" t="str">
        <f>Ringkasan!S434</f>
        <v/>
      </c>
      <c r="T435" s="64" t="str">
        <f>Ringkasan!T434</f>
        <v/>
      </c>
      <c r="U435" s="64">
        <f>Ringkasan!U434</f>
        <v>1650</v>
      </c>
      <c r="V435" s="64">
        <f>Ringkasan!V434</f>
        <v>3.03</v>
      </c>
      <c r="W435" s="64">
        <f>Ringkasan!W434</f>
        <v>1700</v>
      </c>
      <c r="X435" s="64">
        <f>Ringkasan!X434</f>
        <v>1770</v>
      </c>
      <c r="Y435" s="64">
        <f>Ringkasan!Y434</f>
        <v>1680</v>
      </c>
      <c r="Z435" s="64">
        <f>Ringkasan!Z434</f>
        <v>279487700</v>
      </c>
      <c r="AA435" s="64" t="str">
        <f>Ringkasan!AA434</f>
        <v>Chemicals</v>
      </c>
      <c r="AB435" s="64" t="str">
        <f>Ringkasan!AB434</f>
        <v>Basic Materials</v>
      </c>
    </row>
    <row r="436" hidden="1">
      <c r="A436" s="64" t="str">
        <f>Ringkasan!A435</f>
        <v>BRRC</v>
      </c>
      <c r="B436" s="64" t="str">
        <f>Ringkasan!B435</f>
        <v>Raja Roti Cemerlang Tbk.</v>
      </c>
      <c r="C436" s="65">
        <f>Ringkasan!C435</f>
        <v>57</v>
      </c>
      <c r="D436" s="64" t="str">
        <f>Ringkasan!D435</f>
        <v>#N/A</v>
      </c>
      <c r="E436" s="64" t="str">
        <f>Ringkasan!E435</f>
        <v/>
      </c>
      <c r="F436" s="64" t="str">
        <f>Ringkasan!F435</f>
        <v/>
      </c>
      <c r="G436" s="64">
        <f>Ringkasan!G435</f>
        <v>0</v>
      </c>
      <c r="H436" s="19">
        <f>Ringkasan!H435</f>
        <v>33.5</v>
      </c>
      <c r="I436" s="19">
        <f>Ringkasan!I435</f>
        <v>0.69</v>
      </c>
      <c r="J436" s="19">
        <f>Ringkasan!J435</f>
        <v>2.1</v>
      </c>
      <c r="K436" s="19">
        <f>Ringkasan!K435</f>
        <v>1.4</v>
      </c>
      <c r="L436" s="19">
        <f>Ringkasan!L435</f>
        <v>0.46</v>
      </c>
      <c r="M436" s="19">
        <f>Ringkasan!M435</f>
        <v>5.7</v>
      </c>
      <c r="N436" s="64" t="str">
        <f>Ringkasan!N435</f>
        <v/>
      </c>
      <c r="O436" s="64" t="str">
        <f>Ringkasan!O435</f>
        <v/>
      </c>
      <c r="P436" s="64" t="str">
        <f>Ringkasan!P435</f>
        <v/>
      </c>
      <c r="Q436" s="64" t="str">
        <f>Ringkasan!Q435</f>
        <v/>
      </c>
      <c r="R436" s="64" t="str">
        <f>Ringkasan!R435</f>
        <v/>
      </c>
      <c r="S436" s="64" t="str">
        <f>Ringkasan!S435</f>
        <v/>
      </c>
      <c r="T436" s="64" t="str">
        <f>Ringkasan!T435</f>
        <v/>
      </c>
      <c r="U436" s="64">
        <f>Ringkasan!U435</f>
        <v>55</v>
      </c>
      <c r="V436" s="64">
        <f>Ringkasan!V435</f>
        <v>3.64</v>
      </c>
      <c r="W436" s="64">
        <f>Ringkasan!W435</f>
        <v>56</v>
      </c>
      <c r="X436" s="64">
        <f>Ringkasan!X435</f>
        <v>59</v>
      </c>
      <c r="Y436" s="64">
        <f>Ringkasan!Y435</f>
        <v>55</v>
      </c>
      <c r="Z436" s="64">
        <f>Ringkasan!Z435</f>
        <v>9334000</v>
      </c>
      <c r="AA436" s="64" t="str">
        <f>Ringkasan!AA435</f>
        <v>Processed Foods</v>
      </c>
      <c r="AB436" s="64" t="str">
        <f>Ringkasan!AB435</f>
        <v>Consumer Non-Cyclicals</v>
      </c>
    </row>
    <row r="437" hidden="1">
      <c r="A437" s="64" t="str">
        <f>Ringkasan!A436</f>
        <v>BSBK</v>
      </c>
      <c r="B437" s="64" t="str">
        <f>Ringkasan!B436</f>
        <v>Wulandari Bangun Laksana Tbk.</v>
      </c>
      <c r="C437" s="65">
        <f>Ringkasan!C436</f>
        <v>51</v>
      </c>
      <c r="D437" s="64" t="str">
        <f>Ringkasan!D436</f>
        <v>#N/A</v>
      </c>
      <c r="E437" s="64" t="str">
        <f>Ringkasan!E436</f>
        <v/>
      </c>
      <c r="F437" s="64" t="str">
        <f>Ringkasan!F436</f>
        <v/>
      </c>
      <c r="G437" s="65">
        <f>Ringkasan!G436</f>
        <v>0</v>
      </c>
      <c r="H437" s="19">
        <f>Ringkasan!H436</f>
        <v>18.2</v>
      </c>
      <c r="I437" s="19">
        <f>Ringkasan!I436</f>
        <v>0.6</v>
      </c>
      <c r="J437" s="19">
        <f>Ringkasan!J436</f>
        <v>3.3</v>
      </c>
      <c r="K437" s="19">
        <f>Ringkasan!K436</f>
        <v>2.5</v>
      </c>
      <c r="L437" s="19">
        <f>Ringkasan!L436</f>
        <v>0.34</v>
      </c>
      <c r="M437" s="19">
        <f>Ringkasan!M436</f>
        <v>78</v>
      </c>
      <c r="N437" s="64" t="str">
        <f>Ringkasan!N436</f>
        <v/>
      </c>
      <c r="O437" s="64" t="str">
        <f>Ringkasan!O436</f>
        <v/>
      </c>
      <c r="P437" s="64" t="str">
        <f>Ringkasan!P436</f>
        <v/>
      </c>
      <c r="Q437" s="64" t="str">
        <f>Ringkasan!Q436</f>
        <v/>
      </c>
      <c r="R437" s="64" t="str">
        <f>Ringkasan!R436</f>
        <v/>
      </c>
      <c r="S437" s="64" t="str">
        <f>Ringkasan!S436</f>
        <v/>
      </c>
      <c r="T437" s="64" t="str">
        <f>Ringkasan!T436</f>
        <v/>
      </c>
      <c r="U437" s="64">
        <f>Ringkasan!U436</f>
        <v>9.01</v>
      </c>
      <c r="V437" s="64">
        <f>Ringkasan!V436</f>
        <v>0.48</v>
      </c>
      <c r="W437" s="64" t="str">
        <f>Ringkasan!W436</f>
        <v/>
      </c>
      <c r="X437" s="64">
        <f>Ringkasan!X436</f>
        <v>9.14</v>
      </c>
      <c r="Y437" s="64">
        <f>Ringkasan!Y436</f>
        <v>8.96</v>
      </c>
      <c r="Z437" s="64">
        <f>Ringkasan!Z436</f>
        <v>15254</v>
      </c>
      <c r="AA437" s="64" t="str">
        <f>Ringkasan!AA436</f>
        <v>Real Estate Management &amp; Development</v>
      </c>
      <c r="AB437" s="64" t="str">
        <f>Ringkasan!AB436</f>
        <v>Properties &amp; Real Estate</v>
      </c>
    </row>
    <row r="438" hidden="1">
      <c r="A438" s="64" t="str">
        <f>Ringkasan!A437</f>
        <v>BSDE</v>
      </c>
      <c r="B438" s="64" t="str">
        <f>Ringkasan!B437</f>
        <v>Bumi Serpong Damai Tbk.</v>
      </c>
      <c r="C438" s="65">
        <f>Ringkasan!C437</f>
        <v>610</v>
      </c>
      <c r="D438" s="64" t="str">
        <f>Ringkasan!D437</f>
        <v>#N/A</v>
      </c>
      <c r="E438" s="64" t="str">
        <f>Ringkasan!E437</f>
        <v>ESGSKEHATI</v>
      </c>
      <c r="F438" s="66">
        <f>Ringkasan!F437</f>
        <v>46356</v>
      </c>
      <c r="G438" s="64">
        <f>Ringkasan!G437</f>
        <v>9</v>
      </c>
      <c r="H438" s="19">
        <f>Ringkasan!H437</f>
        <v>5.2</v>
      </c>
      <c r="I438" s="19">
        <f>Ringkasan!I437</f>
        <v>0.25</v>
      </c>
      <c r="J438" s="19">
        <f>Ringkasan!J437</f>
        <v>4.8</v>
      </c>
      <c r="K438" s="19">
        <f>Ringkasan!K437</f>
        <v>3.2</v>
      </c>
      <c r="L438" s="19">
        <f>Ringkasan!L437</f>
        <v>0.51</v>
      </c>
      <c r="M438" s="19">
        <f>Ringkasan!M437</f>
        <v>19.9</v>
      </c>
      <c r="N438" s="64" t="str">
        <f>Ringkasan!N437</f>
        <v/>
      </c>
      <c r="O438" s="64" t="str">
        <f>Ringkasan!O437</f>
        <v/>
      </c>
      <c r="P438" s="64" t="str">
        <f>Ringkasan!P437</f>
        <v/>
      </c>
      <c r="Q438" s="64" t="str">
        <f>Ringkasan!Q437</f>
        <v/>
      </c>
      <c r="R438" s="64" t="str">
        <f>Ringkasan!R437</f>
        <v/>
      </c>
      <c r="S438" s="64" t="str">
        <f>Ringkasan!S437</f>
        <v/>
      </c>
      <c r="T438" s="64" t="str">
        <f>Ringkasan!T437</f>
        <v/>
      </c>
      <c r="U438" s="64">
        <f>Ringkasan!U437</f>
        <v>580</v>
      </c>
      <c r="V438" s="64">
        <f>Ringkasan!V437</f>
        <v>5.17</v>
      </c>
      <c r="W438" s="64">
        <f>Ringkasan!W437</f>
        <v>590</v>
      </c>
      <c r="X438" s="64">
        <f>Ringkasan!X437</f>
        <v>615</v>
      </c>
      <c r="Y438" s="64">
        <f>Ringkasan!Y437</f>
        <v>590</v>
      </c>
      <c r="Z438" s="64">
        <f>Ringkasan!Z437</f>
        <v>14873600</v>
      </c>
      <c r="AA438" s="64" t="str">
        <f>Ringkasan!AA437</f>
        <v>Real Estate Management &amp; Development</v>
      </c>
      <c r="AB438" s="64" t="str">
        <f>Ringkasan!AB437</f>
        <v>Properties &amp; Real Estate</v>
      </c>
    </row>
    <row r="439" hidden="1">
      <c r="A439" s="64" t="str">
        <f>Ringkasan!A506</f>
        <v>CHEK</v>
      </c>
      <c r="B439" s="64" t="str">
        <f>Ringkasan!B506</f>
        <v>Diastika Biotekindo Tbk.</v>
      </c>
      <c r="C439" s="65">
        <f>Ringkasan!C506</f>
        <v>118</v>
      </c>
      <c r="D439" s="64" t="str">
        <f>Ringkasan!D506</f>
        <v>#N/A</v>
      </c>
      <c r="E439" s="64" t="str">
        <f>Ringkasan!E506</f>
        <v/>
      </c>
      <c r="F439" s="64" t="str">
        <f>Ringkasan!F506</f>
        <v/>
      </c>
      <c r="G439" s="64">
        <f>Ringkasan!G506</f>
        <v>0</v>
      </c>
      <c r="H439" s="19">
        <f>Ringkasan!H506</f>
        <v>39.7</v>
      </c>
      <c r="I439" s="19">
        <f>Ringkasan!I506</f>
        <v>2.4</v>
      </c>
      <c r="J439" s="19">
        <f>Ringkasan!J506</f>
        <v>6</v>
      </c>
      <c r="K439" s="19">
        <f>Ringkasan!K506</f>
        <v>5.1</v>
      </c>
      <c r="L439" s="19">
        <f>Ringkasan!L506</f>
        <v>0.17</v>
      </c>
      <c r="M439" s="19">
        <f>Ringkasan!M506</f>
        <v>34</v>
      </c>
      <c r="N439" s="64" t="str">
        <f>Ringkasan!N506</f>
        <v/>
      </c>
      <c r="O439" s="64" t="str">
        <f>Ringkasan!O506</f>
        <v/>
      </c>
      <c r="P439" s="64" t="str">
        <f>Ringkasan!P506</f>
        <v/>
      </c>
      <c r="Q439" s="64" t="str">
        <f>Ringkasan!Q506</f>
        <v/>
      </c>
      <c r="R439" s="64" t="str">
        <f>Ringkasan!R506</f>
        <v/>
      </c>
      <c r="S439" s="64" t="str">
        <f>Ringkasan!S506</f>
        <v/>
      </c>
      <c r="T439" s="64" t="str">
        <f>Ringkasan!T506</f>
        <v/>
      </c>
      <c r="U439" s="64">
        <f>Ringkasan!U506</f>
        <v>117</v>
      </c>
      <c r="V439" s="64">
        <f>Ringkasan!V506</f>
        <v>0.85</v>
      </c>
      <c r="W439" s="64">
        <f>Ringkasan!W506</f>
        <v>119</v>
      </c>
      <c r="X439" s="64">
        <f>Ringkasan!X506</f>
        <v>120</v>
      </c>
      <c r="Y439" s="64">
        <f>Ringkasan!Y506</f>
        <v>117</v>
      </c>
      <c r="Z439" s="64">
        <f>Ringkasan!Z506</f>
        <v>685300</v>
      </c>
      <c r="AA439" s="64" t="str">
        <f>Ringkasan!AA506</f>
        <v>Healthcare Equipment &amp; Supplies</v>
      </c>
      <c r="AB439" s="64" t="str">
        <f>Ringkasan!AB506</f>
        <v>Healthcare</v>
      </c>
    </row>
    <row r="440" hidden="1">
      <c r="A440" s="64" t="str">
        <f>Ringkasan!A439</f>
        <v>BSDE</v>
      </c>
      <c r="B440" s="64" t="str">
        <f>Ringkasan!B439</f>
        <v>Bumi Serpong Damai Tbk.</v>
      </c>
      <c r="C440" s="65">
        <f>Ringkasan!C439</f>
        <v>610</v>
      </c>
      <c r="D440" s="64" t="str">
        <f>Ringkasan!D439</f>
        <v>#N/A</v>
      </c>
      <c r="E440" s="64" t="str">
        <f>Ringkasan!E439</f>
        <v>IDX80</v>
      </c>
      <c r="F440" s="64" t="str">
        <f>Ringkasan!F439</f>
        <v>31 Juli 2026</v>
      </c>
      <c r="G440" s="64">
        <f>Ringkasan!G439</f>
        <v>9</v>
      </c>
      <c r="H440" s="19">
        <f>Ringkasan!H439</f>
        <v>5.2</v>
      </c>
      <c r="I440" s="19">
        <f>Ringkasan!I439</f>
        <v>0.25</v>
      </c>
      <c r="J440" s="19">
        <f>Ringkasan!J439</f>
        <v>4.8</v>
      </c>
      <c r="K440" s="19">
        <f>Ringkasan!K439</f>
        <v>3.2</v>
      </c>
      <c r="L440" s="19">
        <f>Ringkasan!L439</f>
        <v>0.51</v>
      </c>
      <c r="M440" s="19">
        <f>Ringkasan!M439</f>
        <v>19.9</v>
      </c>
      <c r="N440" s="64" t="str">
        <f>Ringkasan!N439</f>
        <v/>
      </c>
      <c r="O440" s="64" t="str">
        <f>Ringkasan!O439</f>
        <v/>
      </c>
      <c r="P440" s="64" t="str">
        <f>Ringkasan!P439</f>
        <v/>
      </c>
      <c r="Q440" s="64" t="str">
        <f>Ringkasan!Q439</f>
        <v/>
      </c>
      <c r="R440" s="64" t="str">
        <f>Ringkasan!R439</f>
        <v/>
      </c>
      <c r="S440" s="64" t="str">
        <f>Ringkasan!S439</f>
        <v/>
      </c>
      <c r="T440" s="64" t="str">
        <f>Ringkasan!T439</f>
        <v/>
      </c>
      <c r="U440" s="64">
        <f>Ringkasan!U439</f>
        <v>580</v>
      </c>
      <c r="V440" s="64">
        <f>Ringkasan!V439</f>
        <v>5.17</v>
      </c>
      <c r="W440" s="64">
        <f>Ringkasan!W439</f>
        <v>590</v>
      </c>
      <c r="X440" s="64">
        <f>Ringkasan!X439</f>
        <v>615</v>
      </c>
      <c r="Y440" s="64">
        <f>Ringkasan!Y439</f>
        <v>590</v>
      </c>
      <c r="Z440" s="64">
        <f>Ringkasan!Z439</f>
        <v>14873600</v>
      </c>
      <c r="AA440" s="64" t="str">
        <f>Ringkasan!AA439</f>
        <v>Real Estate Management &amp; Development</v>
      </c>
      <c r="AB440" s="64" t="str">
        <f>Ringkasan!AB439</f>
        <v>Properties &amp; Real Estate</v>
      </c>
    </row>
    <row r="441" hidden="1">
      <c r="A441" s="64" t="str">
        <f>Ringkasan!A557</f>
        <v>CTBN</v>
      </c>
      <c r="B441" s="60" t="str">
        <f>Ringkasan!B557</f>
        <v>Citra Tubindo Tbk.</v>
      </c>
      <c r="C441" s="61">
        <f>Ringkasan!C557</f>
        <v>5675</v>
      </c>
      <c r="D441" s="60" t="str">
        <f>Ringkasan!D557</f>
        <v>#N/A</v>
      </c>
      <c r="E441" s="60" t="str">
        <f>Ringkasan!E557</f>
        <v/>
      </c>
      <c r="F441" s="60" t="str">
        <f>Ringkasan!F557</f>
        <v/>
      </c>
      <c r="G441" s="61">
        <f>Ringkasan!G557</f>
        <v>0</v>
      </c>
      <c r="H441" s="62">
        <f>Ringkasan!H557</f>
        <v>49</v>
      </c>
      <c r="I441" s="62">
        <f>Ringkasan!I557</f>
        <v>2.2</v>
      </c>
      <c r="J441" s="62">
        <f>Ringkasan!J557</f>
        <v>4.6</v>
      </c>
      <c r="K441" s="62">
        <f>Ringkasan!K557</f>
        <v>3.8</v>
      </c>
      <c r="L441" s="62">
        <f>Ringkasan!L557</f>
        <v>0.2</v>
      </c>
      <c r="M441" s="62">
        <f>Ringkasan!M557</f>
        <v>29.3</v>
      </c>
      <c r="N441" s="60" t="str">
        <f>Ringkasan!N557</f>
        <v/>
      </c>
      <c r="O441" s="60" t="str">
        <f>Ringkasan!O557</f>
        <v/>
      </c>
      <c r="P441" s="60" t="str">
        <f>Ringkasan!P557</f>
        <v/>
      </c>
      <c r="Q441" s="60" t="str">
        <f>Ringkasan!Q557</f>
        <v/>
      </c>
      <c r="R441" s="60" t="str">
        <f>Ringkasan!R557</f>
        <v/>
      </c>
      <c r="S441" s="60" t="str">
        <f>Ringkasan!S557</f>
        <v/>
      </c>
      <c r="T441" s="60" t="str">
        <f>Ringkasan!T557</f>
        <v/>
      </c>
      <c r="U441" s="60">
        <f>Ringkasan!U557</f>
        <v>5700</v>
      </c>
      <c r="V441" s="60">
        <f>Ringkasan!V557</f>
        <v>-0.44</v>
      </c>
      <c r="W441" s="60">
        <f>Ringkasan!W557</f>
        <v>5575</v>
      </c>
      <c r="X441" s="60">
        <f>Ringkasan!X557</f>
        <v>5700</v>
      </c>
      <c r="Y441" s="60">
        <f>Ringkasan!Y557</f>
        <v>5525</v>
      </c>
      <c r="Z441" s="60">
        <f>Ringkasan!Z557</f>
        <v>16300</v>
      </c>
      <c r="AA441" s="60" t="str">
        <f>Ringkasan!AA557</f>
        <v>Metals &amp; Minerals</v>
      </c>
      <c r="AB441" s="60" t="str">
        <f>Ringkasan!AB557</f>
        <v>Basic Materials</v>
      </c>
    </row>
    <row r="442" hidden="1">
      <c r="A442" s="64" t="str">
        <f>Ringkasan!A441</f>
        <v>BSDE</v>
      </c>
      <c r="B442" s="64" t="str">
        <f>Ringkasan!B441</f>
        <v>Bumi Serpong Damai Tbk.</v>
      </c>
      <c r="C442" s="65">
        <f>Ringkasan!C441</f>
        <v>610</v>
      </c>
      <c r="D442" s="64" t="str">
        <f>Ringkasan!D441</f>
        <v>#N/A</v>
      </c>
      <c r="E442" s="64" t="str">
        <f>Ringkasan!E441</f>
        <v>IDXESGL</v>
      </c>
      <c r="F442" s="64" t="str">
        <f>Ringkasan!F441</f>
        <v>30 Oktober 2026</v>
      </c>
      <c r="G442" s="64">
        <f>Ringkasan!G441</f>
        <v>9</v>
      </c>
      <c r="H442" s="19">
        <f>Ringkasan!H441</f>
        <v>5.2</v>
      </c>
      <c r="I442" s="19">
        <f>Ringkasan!I441</f>
        <v>0.25</v>
      </c>
      <c r="J442" s="19">
        <f>Ringkasan!J441</f>
        <v>4.8</v>
      </c>
      <c r="K442" s="19">
        <f>Ringkasan!K441</f>
        <v>3.2</v>
      </c>
      <c r="L442" s="19">
        <f>Ringkasan!L441</f>
        <v>0.51</v>
      </c>
      <c r="M442" s="19">
        <f>Ringkasan!M441</f>
        <v>19.9</v>
      </c>
      <c r="N442" s="64" t="str">
        <f>Ringkasan!N441</f>
        <v/>
      </c>
      <c r="O442" s="64" t="str">
        <f>Ringkasan!O441</f>
        <v/>
      </c>
      <c r="P442" s="64" t="str">
        <f>Ringkasan!P441</f>
        <v/>
      </c>
      <c r="Q442" s="64" t="str">
        <f>Ringkasan!Q441</f>
        <v/>
      </c>
      <c r="R442" s="64" t="str">
        <f>Ringkasan!R441</f>
        <v/>
      </c>
      <c r="S442" s="64" t="str">
        <f>Ringkasan!S441</f>
        <v/>
      </c>
      <c r="T442" s="64" t="str">
        <f>Ringkasan!T441</f>
        <v/>
      </c>
      <c r="U442" s="64">
        <f>Ringkasan!U441</f>
        <v>580</v>
      </c>
      <c r="V442" s="64">
        <f>Ringkasan!V441</f>
        <v>5.17</v>
      </c>
      <c r="W442" s="64">
        <f>Ringkasan!W441</f>
        <v>590</v>
      </c>
      <c r="X442" s="64">
        <f>Ringkasan!X441</f>
        <v>615</v>
      </c>
      <c r="Y442" s="64">
        <f>Ringkasan!Y441</f>
        <v>590</v>
      </c>
      <c r="Z442" s="64">
        <f>Ringkasan!Z441</f>
        <v>14873600</v>
      </c>
      <c r="AA442" s="64" t="str">
        <f>Ringkasan!AA441</f>
        <v>Real Estate Management &amp; Development</v>
      </c>
      <c r="AB442" s="64" t="str">
        <f>Ringkasan!AB441</f>
        <v>Properties &amp; Real Estate</v>
      </c>
    </row>
    <row r="443" hidden="1">
      <c r="A443" s="64" t="str">
        <f>Ringkasan!A442</f>
        <v>BSDE</v>
      </c>
      <c r="B443" s="64" t="str">
        <f>Ringkasan!B442</f>
        <v>Bumi Serpong Damai Tbk.</v>
      </c>
      <c r="C443" s="65">
        <f>Ringkasan!C442</f>
        <v>610</v>
      </c>
      <c r="D443" s="64" t="str">
        <f>Ringkasan!D442</f>
        <v>#N/A</v>
      </c>
      <c r="E443" s="64" t="str">
        <f>Ringkasan!E442</f>
        <v>Pefindo - iGrade</v>
      </c>
      <c r="F443" s="64" t="str">
        <f>Ringkasan!F442</f>
        <v>30 Juni 2026</v>
      </c>
      <c r="G443" s="64">
        <f>Ringkasan!G442</f>
        <v>9</v>
      </c>
      <c r="H443" s="19">
        <f>Ringkasan!H442</f>
        <v>5.2</v>
      </c>
      <c r="I443" s="19">
        <f>Ringkasan!I442</f>
        <v>0.25</v>
      </c>
      <c r="J443" s="19">
        <f>Ringkasan!J442</f>
        <v>4.8</v>
      </c>
      <c r="K443" s="19">
        <f>Ringkasan!K442</f>
        <v>3.2</v>
      </c>
      <c r="L443" s="19">
        <f>Ringkasan!L442</f>
        <v>0.51</v>
      </c>
      <c r="M443" s="19">
        <f>Ringkasan!M442</f>
        <v>19.9</v>
      </c>
      <c r="N443" s="64" t="str">
        <f>Ringkasan!N442</f>
        <v/>
      </c>
      <c r="O443" s="64" t="str">
        <f>Ringkasan!O442</f>
        <v/>
      </c>
      <c r="P443" s="64" t="str">
        <f>Ringkasan!P442</f>
        <v/>
      </c>
      <c r="Q443" s="64" t="str">
        <f>Ringkasan!Q442</f>
        <v/>
      </c>
      <c r="R443" s="64" t="str">
        <f>Ringkasan!R442</f>
        <v/>
      </c>
      <c r="S443" s="64" t="str">
        <f>Ringkasan!S442</f>
        <v/>
      </c>
      <c r="T443" s="64" t="str">
        <f>Ringkasan!T442</f>
        <v/>
      </c>
      <c r="U443" s="64">
        <f>Ringkasan!U442</f>
        <v>580</v>
      </c>
      <c r="V443" s="64">
        <f>Ringkasan!V442</f>
        <v>5.17</v>
      </c>
      <c r="W443" s="64">
        <f>Ringkasan!W442</f>
        <v>590</v>
      </c>
      <c r="X443" s="64">
        <f>Ringkasan!X442</f>
        <v>615</v>
      </c>
      <c r="Y443" s="64">
        <f>Ringkasan!Y442</f>
        <v>590</v>
      </c>
      <c r="Z443" s="64">
        <f>Ringkasan!Z442</f>
        <v>14873600</v>
      </c>
      <c r="AA443" s="64" t="str">
        <f>Ringkasan!AA442</f>
        <v>Real Estate Management &amp; Development</v>
      </c>
      <c r="AB443" s="64" t="str">
        <f>Ringkasan!AB442</f>
        <v>Properties &amp; Real Estate</v>
      </c>
    </row>
    <row r="444" hidden="1">
      <c r="A444" s="64" t="str">
        <f>Ringkasan!A443</f>
        <v>BSDE</v>
      </c>
      <c r="B444" s="64" t="str">
        <f>Ringkasan!B443</f>
        <v>Bumi Serpong Damai Tbk.</v>
      </c>
      <c r="C444" s="65">
        <f>Ringkasan!C443</f>
        <v>610</v>
      </c>
      <c r="D444" s="64" t="str">
        <f>Ringkasan!D443</f>
        <v>#N/A</v>
      </c>
      <c r="E444" s="64" t="str">
        <f>Ringkasan!E443</f>
        <v>IDXSMC-LIQ</v>
      </c>
      <c r="F444" s="64" t="str">
        <f>Ringkasan!F443</f>
        <v>4 Agustus 2026</v>
      </c>
      <c r="G444" s="64">
        <f>Ringkasan!G443</f>
        <v>9</v>
      </c>
      <c r="H444" s="19">
        <f>Ringkasan!H443</f>
        <v>5.2</v>
      </c>
      <c r="I444" s="19">
        <f>Ringkasan!I443</f>
        <v>0.25</v>
      </c>
      <c r="J444" s="19">
        <f>Ringkasan!J443</f>
        <v>4.8</v>
      </c>
      <c r="K444" s="19">
        <f>Ringkasan!K443</f>
        <v>3.2</v>
      </c>
      <c r="L444" s="19">
        <f>Ringkasan!L443</f>
        <v>0.51</v>
      </c>
      <c r="M444" s="19">
        <f>Ringkasan!M443</f>
        <v>19.9</v>
      </c>
      <c r="N444" s="64" t="str">
        <f>Ringkasan!N443</f>
        <v/>
      </c>
      <c r="O444" s="64" t="str">
        <f>Ringkasan!O443</f>
        <v/>
      </c>
      <c r="P444" s="64" t="str">
        <f>Ringkasan!P443</f>
        <v/>
      </c>
      <c r="Q444" s="64" t="str">
        <f>Ringkasan!Q443</f>
        <v/>
      </c>
      <c r="R444" s="64" t="str">
        <f>Ringkasan!R443</f>
        <v/>
      </c>
      <c r="S444" s="64" t="str">
        <f>Ringkasan!S443</f>
        <v/>
      </c>
      <c r="T444" s="64" t="str">
        <f>Ringkasan!T443</f>
        <v/>
      </c>
      <c r="U444" s="64">
        <f>Ringkasan!U443</f>
        <v>580</v>
      </c>
      <c r="V444" s="64">
        <f>Ringkasan!V443</f>
        <v>5.17</v>
      </c>
      <c r="W444" s="64">
        <f>Ringkasan!W443</f>
        <v>590</v>
      </c>
      <c r="X444" s="64">
        <f>Ringkasan!X443</f>
        <v>615</v>
      </c>
      <c r="Y444" s="64">
        <f>Ringkasan!Y443</f>
        <v>590</v>
      </c>
      <c r="Z444" s="64">
        <f>Ringkasan!Z443</f>
        <v>14873600</v>
      </c>
      <c r="AA444" s="64" t="str">
        <f>Ringkasan!AA443</f>
        <v>Real Estate Management &amp; Development</v>
      </c>
      <c r="AB444" s="64" t="str">
        <f>Ringkasan!AB443</f>
        <v>Properties &amp; Real Estate</v>
      </c>
    </row>
    <row r="445" hidden="1">
      <c r="A445" s="60" t="str">
        <f>Ringkasan!A585</f>
        <v>DEFI</v>
      </c>
      <c r="B445" s="60" t="str">
        <f>Ringkasan!B585</f>
        <v>Danasupra Erapacific Tbk.</v>
      </c>
      <c r="C445" s="61">
        <f>Ringkasan!C585</f>
        <v>113</v>
      </c>
      <c r="D445" s="60" t="str">
        <f>Ringkasan!D585</f>
        <v>#N/A</v>
      </c>
      <c r="E445" s="60" t="str">
        <f>Ringkasan!E585</f>
        <v/>
      </c>
      <c r="F445" s="60" t="str">
        <f>Ringkasan!F585</f>
        <v/>
      </c>
      <c r="G445" s="60">
        <f>Ringkasan!G585</f>
        <v>0</v>
      </c>
      <c r="H445" s="62">
        <f>Ringkasan!H585</f>
        <v>-8.3</v>
      </c>
      <c r="I445" s="62">
        <f>Ringkasan!I585</f>
        <v>3.4</v>
      </c>
      <c r="J445" s="62">
        <f>Ringkasan!J585</f>
        <v>-40.4</v>
      </c>
      <c r="K445" s="62">
        <f>Ringkasan!K585</f>
        <v>-36.1</v>
      </c>
      <c r="L445" s="62">
        <f>Ringkasan!L585</f>
        <v>0.12</v>
      </c>
      <c r="M445" s="62">
        <f>Ringkasan!M585</f>
        <v>-810</v>
      </c>
      <c r="N445" s="60" t="str">
        <f>Ringkasan!N585</f>
        <v/>
      </c>
      <c r="O445" s="60" t="str">
        <f>Ringkasan!O585</f>
        <v/>
      </c>
      <c r="P445" s="60" t="str">
        <f>Ringkasan!P585</f>
        <v/>
      </c>
      <c r="Q445" s="60" t="str">
        <f>Ringkasan!Q585</f>
        <v/>
      </c>
      <c r="R445" s="60" t="str">
        <f>Ringkasan!R585</f>
        <v/>
      </c>
      <c r="S445" s="60" t="str">
        <f>Ringkasan!S585</f>
        <v/>
      </c>
      <c r="T445" s="60" t="str">
        <f>Ringkasan!T585</f>
        <v/>
      </c>
      <c r="U445" s="60">
        <f>Ringkasan!U585</f>
        <v>69.23</v>
      </c>
      <c r="V445" s="60">
        <f>Ringkasan!V585</f>
        <v>4.14</v>
      </c>
      <c r="W445" s="60">
        <f>Ringkasan!W585</f>
        <v>71.66</v>
      </c>
      <c r="X445" s="60">
        <f>Ringkasan!X585</f>
        <v>72.09</v>
      </c>
      <c r="Y445" s="60">
        <f>Ringkasan!Y585</f>
        <v>71.66</v>
      </c>
      <c r="Z445" s="60">
        <f>Ringkasan!Z585</f>
        <v>19</v>
      </c>
      <c r="AA445" s="60" t="str">
        <f>Ringkasan!AA585</f>
        <v>Holding &amp; Investment Companies</v>
      </c>
      <c r="AB445" s="64" t="str">
        <f>Ringkasan!AB585</f>
        <v>Financials</v>
      </c>
    </row>
    <row r="446" hidden="1">
      <c r="A446" s="64" t="str">
        <f>Ringkasan!A445</f>
        <v>BSDE</v>
      </c>
      <c r="B446" s="64" t="str">
        <f>Ringkasan!B445</f>
        <v>Bumi Serpong Damai Tbk.</v>
      </c>
      <c r="C446" s="67">
        <f>Ringkasan!C445</f>
        <v>610</v>
      </c>
      <c r="D446" s="22" t="str">
        <f>Ringkasan!D445</f>
        <v>#N/A</v>
      </c>
      <c r="E446" s="64" t="str">
        <f>Ringkasan!E445</f>
        <v>JII70</v>
      </c>
      <c r="F446" s="66">
        <f>Ringkasan!F445</f>
        <v>46356</v>
      </c>
      <c r="G446" s="64">
        <f>Ringkasan!G445</f>
        <v>9</v>
      </c>
      <c r="H446" s="19">
        <f>Ringkasan!H445</f>
        <v>5.2</v>
      </c>
      <c r="I446" s="19">
        <f>Ringkasan!I445</f>
        <v>0.25</v>
      </c>
      <c r="J446" s="19">
        <f>Ringkasan!J445</f>
        <v>4.8</v>
      </c>
      <c r="K446" s="19">
        <f>Ringkasan!K445</f>
        <v>3.2</v>
      </c>
      <c r="L446" s="19">
        <f>Ringkasan!L445</f>
        <v>0.51</v>
      </c>
      <c r="M446" s="19">
        <f>Ringkasan!M445</f>
        <v>19.9</v>
      </c>
      <c r="N446" s="64" t="str">
        <f>Ringkasan!N445</f>
        <v/>
      </c>
      <c r="O446" s="64" t="str">
        <f>Ringkasan!O445</f>
        <v/>
      </c>
      <c r="P446" s="64" t="str">
        <f>Ringkasan!P445</f>
        <v/>
      </c>
      <c r="Q446" s="64" t="str">
        <f>Ringkasan!Q445</f>
        <v/>
      </c>
      <c r="R446" s="64" t="str">
        <f>Ringkasan!R445</f>
        <v/>
      </c>
      <c r="S446" s="64" t="str">
        <f>Ringkasan!S445</f>
        <v/>
      </c>
      <c r="T446" s="64" t="str">
        <f>Ringkasan!T445</f>
        <v/>
      </c>
      <c r="U446" s="22">
        <f>Ringkasan!U445</f>
        <v>580</v>
      </c>
      <c r="V446" s="22">
        <f>Ringkasan!V445</f>
        <v>5.17</v>
      </c>
      <c r="W446" s="22">
        <f>Ringkasan!W445</f>
        <v>590</v>
      </c>
      <c r="X446" s="22">
        <f>Ringkasan!X445</f>
        <v>615</v>
      </c>
      <c r="Y446" s="22">
        <f>Ringkasan!Y445</f>
        <v>590</v>
      </c>
      <c r="Z446" s="22">
        <f>Ringkasan!Z445</f>
        <v>14873600</v>
      </c>
      <c r="AA446" s="64" t="str">
        <f>Ringkasan!AA445</f>
        <v>Real Estate Management &amp; Development</v>
      </c>
      <c r="AB446" s="64" t="str">
        <f>Ringkasan!AB445</f>
        <v>Properties &amp; Real Estate</v>
      </c>
    </row>
    <row r="447" hidden="1">
      <c r="A447" s="64" t="str">
        <f>Ringkasan!A352</f>
        <v>BLTA</v>
      </c>
      <c r="B447" s="64" t="str">
        <f>Ringkasan!B352</f>
        <v>Berlian Laju Tanker Tbk</v>
      </c>
      <c r="C447" s="65">
        <f>Ringkasan!C352</f>
        <v>38</v>
      </c>
      <c r="D447" s="64" t="str">
        <f>Ringkasan!D352</f>
        <v>#N/A</v>
      </c>
      <c r="E447" s="64" t="str">
        <f>Ringkasan!E352</f>
        <v/>
      </c>
      <c r="F447" s="64" t="str">
        <f>Ringkasan!F352</f>
        <v/>
      </c>
      <c r="G447" s="64">
        <f>Ringkasan!G352</f>
        <v>0</v>
      </c>
      <c r="H447" s="19">
        <f>Ringkasan!H352</f>
        <v>15.9</v>
      </c>
      <c r="I447" s="19">
        <f>Ringkasan!I352</f>
        <v>0.83</v>
      </c>
      <c r="J447" s="19">
        <f>Ringkasan!J352</f>
        <v>5.2</v>
      </c>
      <c r="K447" s="19">
        <f>Ringkasan!K352</f>
        <v>2.4</v>
      </c>
      <c r="L447" s="19">
        <f>Ringkasan!L352</f>
        <v>1.2</v>
      </c>
      <c r="M447" s="19">
        <f>Ringkasan!M352</f>
        <v>29.5</v>
      </c>
      <c r="N447" s="64" t="str">
        <f>Ringkasan!N352</f>
        <v/>
      </c>
      <c r="O447" s="64" t="str">
        <f>Ringkasan!O352</f>
        <v/>
      </c>
      <c r="P447" s="64" t="str">
        <f>Ringkasan!P352</f>
        <v/>
      </c>
      <c r="Q447" s="64" t="str">
        <f>Ringkasan!Q352</f>
        <v/>
      </c>
      <c r="R447" s="64" t="str">
        <f>Ringkasan!R352</f>
        <v/>
      </c>
      <c r="S447" s="64" t="str">
        <f>Ringkasan!S352</f>
        <v/>
      </c>
      <c r="T447" s="64" t="str">
        <f>Ringkasan!T352</f>
        <v/>
      </c>
      <c r="U447" s="64">
        <f>Ringkasan!U352</f>
        <v>36</v>
      </c>
      <c r="V447" s="64">
        <f>Ringkasan!V352</f>
        <v>5.56</v>
      </c>
      <c r="W447" s="64">
        <f>Ringkasan!W352</f>
        <v>39</v>
      </c>
      <c r="X447" s="64">
        <f>Ringkasan!X352</f>
        <v>39</v>
      </c>
      <c r="Y447" s="64">
        <f>Ringkasan!Y352</f>
        <v>36</v>
      </c>
      <c r="Z447" s="64">
        <f>Ringkasan!Z352</f>
        <v>14448700</v>
      </c>
      <c r="AA447" s="64" t="str">
        <f>Ringkasan!AA352</f>
        <v>Logistics &amp; Deliveries</v>
      </c>
      <c r="AB447" s="64" t="str">
        <f>Ringkasan!AB352</f>
        <v>Transportation &amp; Logistic</v>
      </c>
    </row>
    <row r="448" hidden="1">
      <c r="A448" s="64" t="str">
        <f>Ringkasan!A702</f>
        <v>ESSA</v>
      </c>
      <c r="B448" s="64" t="str">
        <f>Ringkasan!B702</f>
        <v>ESSA Industries Indonesia Tbk.</v>
      </c>
      <c r="C448" s="65">
        <f>Ringkasan!C702</f>
        <v>600</v>
      </c>
      <c r="D448" s="64" t="str">
        <f>Ringkasan!D702</f>
        <v>#N/A</v>
      </c>
      <c r="E448" s="64" t="str">
        <f>Ringkasan!E702</f>
        <v>IDX80</v>
      </c>
      <c r="F448" s="64" t="str">
        <f>Ringkasan!F702</f>
        <v>31 Juli 2026</v>
      </c>
      <c r="G448" s="64">
        <f>Ringkasan!G702</f>
        <v>10</v>
      </c>
      <c r="H448" s="19">
        <f>Ringkasan!H702</f>
        <v>13.4</v>
      </c>
      <c r="I448" s="19">
        <f>Ringkasan!I702</f>
        <v>1.1</v>
      </c>
      <c r="J448" s="19">
        <f>Ringkasan!J702</f>
        <v>8.3</v>
      </c>
      <c r="K448" s="19">
        <f>Ringkasan!K702</f>
        <v>7.4</v>
      </c>
      <c r="L448" s="19">
        <f>Ringkasan!L702</f>
        <v>0.12</v>
      </c>
      <c r="M448" s="19">
        <f>Ringkasan!M702</f>
        <v>53.2</v>
      </c>
      <c r="N448" s="64" t="str">
        <f>Ringkasan!N702</f>
        <v/>
      </c>
      <c r="O448" s="64" t="str">
        <f>Ringkasan!O702</f>
        <v/>
      </c>
      <c r="P448" s="64" t="str">
        <f>Ringkasan!P702</f>
        <v/>
      </c>
      <c r="Q448" s="64" t="str">
        <f>Ringkasan!Q702</f>
        <v/>
      </c>
      <c r="R448" s="64" t="str">
        <f>Ringkasan!R702</f>
        <v/>
      </c>
      <c r="S448" s="64" t="str">
        <f>Ringkasan!S702</f>
        <v/>
      </c>
      <c r="T448" s="64" t="str">
        <f>Ringkasan!T702</f>
        <v/>
      </c>
      <c r="U448" s="64">
        <f>Ringkasan!U702</f>
        <v>605</v>
      </c>
      <c r="V448" s="64">
        <f>Ringkasan!V702</f>
        <v>-0.83</v>
      </c>
      <c r="W448" s="64">
        <f>Ringkasan!W702</f>
        <v>605</v>
      </c>
      <c r="X448" s="64">
        <f>Ringkasan!X702</f>
        <v>625</v>
      </c>
      <c r="Y448" s="64">
        <f>Ringkasan!Y702</f>
        <v>585</v>
      </c>
      <c r="Z448" s="64" t="str">
        <f>Ringkasan!Z702</f>
        <v/>
      </c>
      <c r="AA448" s="64" t="str">
        <f>Ringkasan!AA702</f>
        <v>Chemicals</v>
      </c>
      <c r="AB448" s="64" t="str">
        <f>Ringkasan!AB702</f>
        <v>Basic Materials</v>
      </c>
    </row>
    <row r="449" hidden="1">
      <c r="A449" s="60" t="str">
        <f>Ringkasan!A448</f>
        <v>BSSR</v>
      </c>
      <c r="B449" s="60" t="str">
        <f>Ringkasan!B448</f>
        <v>Baramulti Suksessarana Tbk.</v>
      </c>
      <c r="C449" s="61">
        <f>Ringkasan!C448</f>
        <v>4040</v>
      </c>
      <c r="D449" s="60" t="str">
        <f>Ringkasan!D448</f>
        <v>#N/A</v>
      </c>
      <c r="E449" s="60" t="str">
        <f>Ringkasan!E448</f>
        <v/>
      </c>
      <c r="F449" s="60" t="str">
        <f>Ringkasan!F448</f>
        <v/>
      </c>
      <c r="G449" s="61">
        <f>Ringkasan!G448</f>
        <v>0</v>
      </c>
      <c r="H449" s="62">
        <f>Ringkasan!H448</f>
        <v>6.8</v>
      </c>
      <c r="I449" s="62">
        <f>Ringkasan!I448</f>
        <v>2</v>
      </c>
      <c r="J449" s="62">
        <f>Ringkasan!J448</f>
        <v>29.9</v>
      </c>
      <c r="K449" s="62">
        <f>Ringkasan!K448</f>
        <v>22.7</v>
      </c>
      <c r="L449" s="62">
        <f>Ringkasan!L448</f>
        <v>0.32</v>
      </c>
      <c r="M449" s="62">
        <f>Ringkasan!M448</f>
        <v>53.3</v>
      </c>
      <c r="N449" s="60" t="str">
        <f>Ringkasan!N448</f>
        <v/>
      </c>
      <c r="O449" s="60" t="str">
        <f>Ringkasan!O448</f>
        <v/>
      </c>
      <c r="P449" s="60" t="str">
        <f>Ringkasan!P448</f>
        <v/>
      </c>
      <c r="Q449" s="60" t="str">
        <f>Ringkasan!Q448</f>
        <v/>
      </c>
      <c r="R449" s="60" t="str">
        <f>Ringkasan!R448</f>
        <v/>
      </c>
      <c r="S449" s="60" t="str">
        <f>Ringkasan!S448</f>
        <v/>
      </c>
      <c r="T449" s="60" t="str">
        <f>Ringkasan!T448</f>
        <v/>
      </c>
      <c r="U449" s="60">
        <f>Ringkasan!U448</f>
        <v>4010</v>
      </c>
      <c r="V449" s="60">
        <f>Ringkasan!V448</f>
        <v>0.75</v>
      </c>
      <c r="W449" s="60">
        <f>Ringkasan!W448</f>
        <v>4010</v>
      </c>
      <c r="X449" s="60">
        <f>Ringkasan!X448</f>
        <v>4050</v>
      </c>
      <c r="Y449" s="60">
        <f>Ringkasan!Y448</f>
        <v>4010</v>
      </c>
      <c r="Z449" s="60">
        <f>Ringkasan!Z448</f>
        <v>374600</v>
      </c>
      <c r="AA449" s="60" t="str">
        <f>Ringkasan!AA448</f>
        <v>Coal</v>
      </c>
      <c r="AB449" s="60" t="str">
        <f>Ringkasan!AB448</f>
        <v>Energy</v>
      </c>
    </row>
    <row r="450" hidden="1">
      <c r="A450" s="60" t="str">
        <f>Ringkasan!A396</f>
        <v>BOLT</v>
      </c>
      <c r="B450" s="60" t="str">
        <f>Ringkasan!B396</f>
        <v>Garuda Metalindo Tbk.</v>
      </c>
      <c r="C450" s="61">
        <f>Ringkasan!C396</f>
        <v>780</v>
      </c>
      <c r="D450" s="60" t="str">
        <f>Ringkasan!D396</f>
        <v>#N/A</v>
      </c>
      <c r="E450" s="60" t="str">
        <f>Ringkasan!E396</f>
        <v/>
      </c>
      <c r="F450" s="60" t="str">
        <f>Ringkasan!F396</f>
        <v/>
      </c>
      <c r="G450" s="60">
        <f>Ringkasan!G396</f>
        <v>0</v>
      </c>
      <c r="H450" s="62">
        <f>Ringkasan!H396</f>
        <v>13.4</v>
      </c>
      <c r="I450" s="62">
        <f>Ringkasan!I396</f>
        <v>1.7</v>
      </c>
      <c r="J450" s="62">
        <f>Ringkasan!J396</f>
        <v>12.9</v>
      </c>
      <c r="K450" s="62">
        <f>Ringkasan!K396</f>
        <v>8.2</v>
      </c>
      <c r="L450" s="62">
        <f>Ringkasan!L396</f>
        <v>0.57</v>
      </c>
      <c r="M450" s="62">
        <f>Ringkasan!M396</f>
        <v>33.3</v>
      </c>
      <c r="N450" s="60" t="str">
        <f>Ringkasan!N396</f>
        <v/>
      </c>
      <c r="O450" s="60" t="str">
        <f>Ringkasan!O396</f>
        <v/>
      </c>
      <c r="P450" s="60" t="str">
        <f>Ringkasan!P396</f>
        <v/>
      </c>
      <c r="Q450" s="60" t="str">
        <f>Ringkasan!Q396</f>
        <v/>
      </c>
      <c r="R450" s="60" t="str">
        <f>Ringkasan!R396</f>
        <v/>
      </c>
      <c r="S450" s="60" t="str">
        <f>Ringkasan!S396</f>
        <v/>
      </c>
      <c r="T450" s="60" t="str">
        <f>Ringkasan!T396</f>
        <v/>
      </c>
      <c r="U450" s="60">
        <f>Ringkasan!U396</f>
        <v>4.6</v>
      </c>
      <c r="V450" s="60">
        <f>Ringkasan!V396</f>
        <v>-0.87</v>
      </c>
      <c r="W450" s="60">
        <f>Ringkasan!W396</f>
        <v>4.72</v>
      </c>
      <c r="X450" s="60">
        <f>Ringkasan!X396</f>
        <v>4.92</v>
      </c>
      <c r="Y450" s="60">
        <f>Ringkasan!Y396</f>
        <v>4.47</v>
      </c>
      <c r="Z450" s="60">
        <f>Ringkasan!Z396</f>
        <v>52506</v>
      </c>
      <c r="AA450" s="60" t="str">
        <f>Ringkasan!AA396</f>
        <v>Auto Components</v>
      </c>
      <c r="AB450" s="60" t="str">
        <f>Ringkasan!AB396</f>
        <v>Consumer Cyclicals</v>
      </c>
    </row>
    <row r="451" hidden="1">
      <c r="A451" s="64" t="str">
        <f>Ringkasan!A450</f>
        <v>BTEK</v>
      </c>
      <c r="B451" s="64" t="str">
        <f>Ringkasan!B450</f>
        <v>Bumi Teknokultura Unggul Tbk</v>
      </c>
      <c r="C451" s="67">
        <f>Ringkasan!C450</f>
        <v>12</v>
      </c>
      <c r="D451" s="22" t="str">
        <f>Ringkasan!D450</f>
        <v>#N/A</v>
      </c>
      <c r="E451" s="64" t="str">
        <f>Ringkasan!E450</f>
        <v/>
      </c>
      <c r="F451" s="64" t="str">
        <f>Ringkasan!F450</f>
        <v/>
      </c>
      <c r="G451" s="64">
        <f>Ringkasan!G450</f>
        <v>0</v>
      </c>
      <c r="H451" s="19">
        <f>Ringkasan!H450</f>
        <v>-1.4</v>
      </c>
      <c r="I451" s="19">
        <f>Ringkasan!I450</f>
        <v>2.1</v>
      </c>
      <c r="J451" s="19">
        <f>Ringkasan!J450</f>
        <v>-150</v>
      </c>
      <c r="K451" s="19">
        <f>Ringkasan!K450</f>
        <v>-11.5</v>
      </c>
      <c r="L451" s="19">
        <f>Ringkasan!L450</f>
        <v>12.4</v>
      </c>
      <c r="M451" s="19">
        <f>Ringkasan!M450</f>
        <v>-8730</v>
      </c>
      <c r="N451" s="64" t="str">
        <f>Ringkasan!N450</f>
        <v/>
      </c>
      <c r="O451" s="64" t="str">
        <f>Ringkasan!O450</f>
        <v/>
      </c>
      <c r="P451" s="64" t="str">
        <f>Ringkasan!P450</f>
        <v/>
      </c>
      <c r="Q451" s="64" t="str">
        <f>Ringkasan!Q450</f>
        <v/>
      </c>
      <c r="R451" s="64" t="str">
        <f>Ringkasan!R450</f>
        <v/>
      </c>
      <c r="S451" s="64" t="str">
        <f>Ringkasan!S450</f>
        <v/>
      </c>
      <c r="T451" s="64" t="str">
        <f>Ringkasan!T450</f>
        <v/>
      </c>
      <c r="U451" s="22">
        <f>Ringkasan!U450</f>
        <v>6.43</v>
      </c>
      <c r="V451" s="22">
        <f>Ringkasan!V450</f>
        <v>0.35</v>
      </c>
      <c r="W451" s="22">
        <f>Ringkasan!W450</f>
        <v>6.42</v>
      </c>
      <c r="X451" s="22">
        <f>Ringkasan!X450</f>
        <v>6.49</v>
      </c>
      <c r="Y451" s="22">
        <f>Ringkasan!Y450</f>
        <v>6.42</v>
      </c>
      <c r="Z451" s="22">
        <f>Ringkasan!Z450</f>
        <v>23504</v>
      </c>
      <c r="AA451" s="64" t="str">
        <f>Ringkasan!AA450</f>
        <v>Agricultural Products</v>
      </c>
      <c r="AB451" s="64" t="str">
        <f>Ringkasan!AB450</f>
        <v>Consumer Non-Cyclicals</v>
      </c>
    </row>
    <row r="452" hidden="1">
      <c r="A452" s="64" t="str">
        <f>Ringkasan!A451</f>
        <v>BTEL</v>
      </c>
      <c r="B452" s="64" t="str">
        <f>Ringkasan!B451</f>
        <v>Bakrie Telecom Tbk</v>
      </c>
      <c r="C452" s="67">
        <f>Ringkasan!C451</f>
        <v>50</v>
      </c>
      <c r="D452" s="22" t="str">
        <f>Ringkasan!D451</f>
        <v>#N/A</v>
      </c>
      <c r="E452" s="64" t="str">
        <f>Ringkasan!E451</f>
        <v/>
      </c>
      <c r="F452" s="64" t="str">
        <f>Ringkasan!F451</f>
        <v/>
      </c>
      <c r="G452" s="64">
        <f>Ringkasan!G451</f>
        <v>0</v>
      </c>
      <c r="H452" s="19">
        <f>Ringkasan!H451</f>
        <v>-41.6</v>
      </c>
      <c r="I452" s="19">
        <f>Ringkasan!I451</f>
        <v>-0.31</v>
      </c>
      <c r="J452" s="19">
        <f>Ringkasan!J451</f>
        <v>0</v>
      </c>
      <c r="K452" s="19">
        <f>Ringkasan!K451</f>
        <v>-76.7</v>
      </c>
      <c r="L452" s="19">
        <f>Ringkasan!L451</f>
        <v>-1</v>
      </c>
      <c r="M452" s="19">
        <f>Ringkasan!M451</f>
        <v>-51.6</v>
      </c>
      <c r="N452" s="64" t="str">
        <f>Ringkasan!N451</f>
        <v/>
      </c>
      <c r="O452" s="64" t="str">
        <f>Ringkasan!O451</f>
        <v/>
      </c>
      <c r="P452" s="64" t="str">
        <f>Ringkasan!P451</f>
        <v/>
      </c>
      <c r="Q452" s="64" t="str">
        <f>Ringkasan!Q451</f>
        <v/>
      </c>
      <c r="R452" s="64" t="str">
        <f>Ringkasan!R451</f>
        <v/>
      </c>
      <c r="S452" s="64" t="str">
        <f>Ringkasan!S451</f>
        <v/>
      </c>
      <c r="T452" s="64" t="str">
        <f>Ringkasan!T451</f>
        <v/>
      </c>
      <c r="U452" s="22">
        <f>Ringkasan!U451</f>
        <v>50</v>
      </c>
      <c r="V452" s="22">
        <f>Ringkasan!V451</f>
        <v>0</v>
      </c>
      <c r="W452" s="22" t="str">
        <f>Ringkasan!W451</f>
        <v/>
      </c>
      <c r="X452" s="22" t="str">
        <f>Ringkasan!X451</f>
        <v/>
      </c>
      <c r="Y452" s="22" t="str">
        <f>Ringkasan!Y451</f>
        <v/>
      </c>
      <c r="Z452" s="22">
        <f>Ringkasan!Z451</f>
        <v>0</v>
      </c>
      <c r="AA452" s="64" t="str">
        <f>Ringkasan!AA451</f>
        <v>Wireless Telecommunication Services</v>
      </c>
      <c r="AB452" s="64" t="str">
        <f>Ringkasan!AB451</f>
        <v>Infrastructures</v>
      </c>
    </row>
    <row r="453" hidden="1">
      <c r="A453" s="64" t="str">
        <f>Ringkasan!A452</f>
        <v>BTON</v>
      </c>
      <c r="B453" s="64" t="str">
        <f>Ringkasan!B452</f>
        <v>Betonjaya Manunggal Tbk.</v>
      </c>
      <c r="C453" s="65">
        <f>Ringkasan!C452</f>
        <v>344</v>
      </c>
      <c r="D453" s="64" t="str">
        <f>Ringkasan!D452</f>
        <v>#N/A</v>
      </c>
      <c r="E453" s="64" t="str">
        <f>Ringkasan!E452</f>
        <v/>
      </c>
      <c r="F453" s="64" t="str">
        <f>Ringkasan!F452</f>
        <v/>
      </c>
      <c r="G453" s="64">
        <f>Ringkasan!G452</f>
        <v>0</v>
      </c>
      <c r="H453" s="19">
        <f>Ringkasan!H452</f>
        <v>12.6</v>
      </c>
      <c r="I453" s="19">
        <f>Ringkasan!I452</f>
        <v>0.87</v>
      </c>
      <c r="J453" s="19">
        <f>Ringkasan!J452</f>
        <v>6.9</v>
      </c>
      <c r="K453" s="19">
        <f>Ringkasan!K452</f>
        <v>4.7</v>
      </c>
      <c r="L453" s="19">
        <f>Ringkasan!L452</f>
        <v>0.48</v>
      </c>
      <c r="M453" s="19">
        <f>Ringkasan!M452</f>
        <v>69.6</v>
      </c>
      <c r="N453" s="64" t="str">
        <f>Ringkasan!N452</f>
        <v/>
      </c>
      <c r="O453" s="64" t="str">
        <f>Ringkasan!O452</f>
        <v/>
      </c>
      <c r="P453" s="64" t="str">
        <f>Ringkasan!P452</f>
        <v/>
      </c>
      <c r="Q453" s="64" t="str">
        <f>Ringkasan!Q452</f>
        <v/>
      </c>
      <c r="R453" s="64" t="str">
        <f>Ringkasan!R452</f>
        <v/>
      </c>
      <c r="S453" s="64" t="str">
        <f>Ringkasan!S452</f>
        <v/>
      </c>
      <c r="T453" s="64" t="str">
        <f>Ringkasan!T452</f>
        <v/>
      </c>
      <c r="U453" s="64">
        <f>Ringkasan!U452</f>
        <v>342</v>
      </c>
      <c r="V453" s="64">
        <f>Ringkasan!V452</f>
        <v>0.58</v>
      </c>
      <c r="W453" s="64">
        <f>Ringkasan!W452</f>
        <v>322</v>
      </c>
      <c r="X453" s="64">
        <f>Ringkasan!X452</f>
        <v>354</v>
      </c>
      <c r="Y453" s="64">
        <f>Ringkasan!Y452</f>
        <v>322</v>
      </c>
      <c r="Z453" s="64">
        <f>Ringkasan!Z452</f>
        <v>4700</v>
      </c>
      <c r="AA453" s="64" t="str">
        <f>Ringkasan!AA452</f>
        <v>Metals &amp; Minerals</v>
      </c>
      <c r="AB453" s="64" t="str">
        <f>Ringkasan!AB452</f>
        <v>Basic Materials</v>
      </c>
    </row>
    <row r="454" hidden="1">
      <c r="A454" s="64" t="str">
        <f>Ringkasan!A453</f>
        <v>BTPN</v>
      </c>
      <c r="B454" s="64" t="str">
        <f>Ringkasan!B453</f>
        <v>Bank SMBC Indonesia Tbk.</v>
      </c>
      <c r="C454" s="65">
        <f>Ringkasan!C453</f>
        <v>2140</v>
      </c>
      <c r="D454" s="64" t="str">
        <f>Ringkasan!D453</f>
        <v>#N/A</v>
      </c>
      <c r="E454" s="64" t="str">
        <f>Ringkasan!E453</f>
        <v>PRIMBANK-10</v>
      </c>
      <c r="F454" s="64" t="str">
        <f>Ringkasan!F453</f>
        <v>30 Juni 2026</v>
      </c>
      <c r="G454" s="64">
        <f>Ringkasan!G453</f>
        <v>1</v>
      </c>
      <c r="H454" s="19">
        <f>Ringkasan!H453</f>
        <v>55.1</v>
      </c>
      <c r="I454" s="19">
        <f>Ringkasan!I453</f>
        <v>0.46</v>
      </c>
      <c r="J454" s="19">
        <f>Ringkasan!J453</f>
        <v>0.84</v>
      </c>
      <c r="K454" s="19">
        <f>Ringkasan!K453</f>
        <v>0.18</v>
      </c>
      <c r="L454" s="19">
        <f>Ringkasan!L453</f>
        <v>3.4</v>
      </c>
      <c r="M454" s="19">
        <f>Ringkasan!M453</f>
        <v>7</v>
      </c>
      <c r="N454" s="64">
        <f>Ringkasan!N453</f>
        <v>6.4</v>
      </c>
      <c r="O454" s="64">
        <f>Ringkasan!O453</f>
        <v>29.8</v>
      </c>
      <c r="P454" s="64">
        <f>Ringkasan!P453</f>
        <v>92.2</v>
      </c>
      <c r="Q454" s="64">
        <f>Ringkasan!Q453</f>
        <v>1.3</v>
      </c>
      <c r="R454" s="64">
        <f>Ringkasan!R453</f>
        <v>83.5</v>
      </c>
      <c r="S454" s="64">
        <f>Ringkasan!S453</f>
        <v>53.2</v>
      </c>
      <c r="T454" s="64">
        <f>Ringkasan!T453</f>
        <v>11.4</v>
      </c>
      <c r="U454" s="64">
        <f>Ringkasan!U453</f>
        <v>2140</v>
      </c>
      <c r="V454" s="64">
        <f>Ringkasan!V453</f>
        <v>0</v>
      </c>
      <c r="W454" s="64">
        <f>Ringkasan!W453</f>
        <v>2140</v>
      </c>
      <c r="X454" s="64">
        <f>Ringkasan!X453</f>
        <v>2140</v>
      </c>
      <c r="Y454" s="64">
        <f>Ringkasan!Y453</f>
        <v>2070</v>
      </c>
      <c r="Z454" s="64">
        <f>Ringkasan!Z453</f>
        <v>190900</v>
      </c>
      <c r="AA454" s="64" t="str">
        <f>Ringkasan!AA453</f>
        <v>Banks</v>
      </c>
      <c r="AB454" s="64" t="str">
        <f>Ringkasan!AB453</f>
        <v>Financials</v>
      </c>
    </row>
    <row r="455" hidden="1">
      <c r="A455" s="64" t="str">
        <f>Ringkasan!A787</f>
        <v>HDFA</v>
      </c>
      <c r="B455" s="64" t="str">
        <f>Ringkasan!B787</f>
        <v>Radana Bhaskara Finance Tbk.</v>
      </c>
      <c r="C455" s="65" t="str">
        <f>Ringkasan!C787</f>
        <v>#N/A</v>
      </c>
      <c r="D455" s="64" t="str">
        <f>Ringkasan!D787</f>
        <v>#N/A</v>
      </c>
      <c r="E455" s="64" t="str">
        <f>Ringkasan!E787</f>
        <v/>
      </c>
      <c r="F455" s="64" t="str">
        <f>Ringkasan!F787</f>
        <v/>
      </c>
      <c r="G455" s="64">
        <f>Ringkasan!G787</f>
        <v>0</v>
      </c>
      <c r="H455" s="19">
        <f>Ringkasan!H787</f>
        <v>-7.1</v>
      </c>
      <c r="I455" s="19">
        <f>Ringkasan!I787</f>
        <v>1.2</v>
      </c>
      <c r="J455" s="19">
        <f>Ringkasan!J787</f>
        <v>-16.9</v>
      </c>
      <c r="K455" s="19">
        <f>Ringkasan!K787</f>
        <v>-2.7</v>
      </c>
      <c r="L455" s="19">
        <f>Ringkasan!L787</f>
        <v>5.4</v>
      </c>
      <c r="M455" s="19">
        <f>Ringkasan!M787</f>
        <v>-90.3</v>
      </c>
      <c r="N455" s="64" t="str">
        <f>Ringkasan!N787</f>
        <v/>
      </c>
      <c r="O455" s="64" t="str">
        <f>Ringkasan!O787</f>
        <v/>
      </c>
      <c r="P455" s="64" t="str">
        <f>Ringkasan!P787</f>
        <v/>
      </c>
      <c r="Q455" s="64" t="str">
        <f>Ringkasan!Q787</f>
        <v/>
      </c>
      <c r="R455" s="64" t="str">
        <f>Ringkasan!R787</f>
        <v/>
      </c>
      <c r="S455" s="64" t="str">
        <f>Ringkasan!S787</f>
        <v/>
      </c>
      <c r="T455" s="64" t="str">
        <f>Ringkasan!T787</f>
        <v/>
      </c>
      <c r="U455" s="64">
        <f>Ringkasan!U787</f>
        <v>19.9</v>
      </c>
      <c r="V455" s="64">
        <f>Ringkasan!V787</f>
        <v>1.51</v>
      </c>
      <c r="W455" s="64">
        <f>Ringkasan!W787</f>
        <v>20.2</v>
      </c>
      <c r="X455" s="64">
        <f>Ringkasan!X787</f>
        <v>20.2</v>
      </c>
      <c r="Y455" s="64">
        <f>Ringkasan!Y787</f>
        <v>20.2</v>
      </c>
      <c r="Z455" s="64">
        <f>Ringkasan!Z787</f>
        <v>0</v>
      </c>
      <c r="AA455" s="64" t="str">
        <f>Ringkasan!AA787</f>
        <v>Consumer Financing</v>
      </c>
      <c r="AB455" s="64" t="str">
        <f>Ringkasan!AB787</f>
        <v>Financials</v>
      </c>
    </row>
    <row r="456" hidden="1">
      <c r="A456" s="64" t="str">
        <f>Ringkasan!A512</f>
        <v>CLAY</v>
      </c>
      <c r="B456" s="64" t="str">
        <f>Ringkasan!B512</f>
        <v>Citra Putra Realty Tbk.</v>
      </c>
      <c r="C456" s="67">
        <f>Ringkasan!C512</f>
        <v>2750</v>
      </c>
      <c r="D456" s="22" t="str">
        <f>Ringkasan!D512</f>
        <v>#N/A</v>
      </c>
      <c r="E456" s="64" t="str">
        <f>Ringkasan!E512</f>
        <v/>
      </c>
      <c r="F456" s="64" t="str">
        <f>Ringkasan!F512</f>
        <v/>
      </c>
      <c r="G456" s="64">
        <f>Ringkasan!G512</f>
        <v>0</v>
      </c>
      <c r="H456" s="19">
        <f>Ringkasan!H512</f>
        <v>580</v>
      </c>
      <c r="I456" s="19">
        <f>Ringkasan!I512</f>
        <v>400</v>
      </c>
      <c r="J456" s="19">
        <f>Ringkasan!J512</f>
        <v>69.7</v>
      </c>
      <c r="K456" s="19">
        <f>Ringkasan!K512</f>
        <v>2.5</v>
      </c>
      <c r="L456" s="19">
        <f>Ringkasan!L512</f>
        <v>27.2</v>
      </c>
      <c r="M456" s="19">
        <f>Ringkasan!M512</f>
        <v>37.8</v>
      </c>
      <c r="N456" s="64" t="str">
        <f>Ringkasan!N512</f>
        <v/>
      </c>
      <c r="O456" s="64" t="str">
        <f>Ringkasan!O512</f>
        <v/>
      </c>
      <c r="P456" s="64" t="str">
        <f>Ringkasan!P512</f>
        <v/>
      </c>
      <c r="Q456" s="64" t="str">
        <f>Ringkasan!Q512</f>
        <v/>
      </c>
      <c r="R456" s="64" t="str">
        <f>Ringkasan!R512</f>
        <v/>
      </c>
      <c r="S456" s="64" t="str">
        <f>Ringkasan!S512</f>
        <v/>
      </c>
      <c r="T456" s="64" t="str">
        <f>Ringkasan!T512</f>
        <v/>
      </c>
      <c r="U456" s="22">
        <f>Ringkasan!U512</f>
        <v>2700</v>
      </c>
      <c r="V456" s="22">
        <f>Ringkasan!V512</f>
        <v>1.85</v>
      </c>
      <c r="W456" s="22">
        <f>Ringkasan!W512</f>
        <v>2600</v>
      </c>
      <c r="X456" s="22">
        <f>Ringkasan!X512</f>
        <v>2760</v>
      </c>
      <c r="Y456" s="22" t="str">
        <f>Ringkasan!Y512</f>
        <v/>
      </c>
      <c r="Z456" s="22">
        <f>Ringkasan!Z512</f>
        <v>11500</v>
      </c>
      <c r="AA456" s="64" t="str">
        <f>Ringkasan!AA512</f>
        <v>Tourism &amp; Recreation</v>
      </c>
      <c r="AB456" s="64" t="str">
        <f>Ringkasan!AB512</f>
        <v>Consumer Cyclicals</v>
      </c>
    </row>
    <row r="457" hidden="1">
      <c r="A457" s="64" t="str">
        <f>Ringkasan!A456</f>
        <v>BTPS</v>
      </c>
      <c r="B457" s="64" t="str">
        <f>Ringkasan!B456</f>
        <v>Bank BTPN Syariah Tbk.</v>
      </c>
      <c r="C457" s="65">
        <f>Ringkasan!C456</f>
        <v>965</v>
      </c>
      <c r="D457" s="64" t="str">
        <f>Ringkasan!D456</f>
        <v>#N/A</v>
      </c>
      <c r="E457" s="64" t="str">
        <f>Ringkasan!E456</f>
        <v>IDXV30</v>
      </c>
      <c r="F457" s="64" t="str">
        <f>Ringkasan!F456</f>
        <v>4 Agustus 2026</v>
      </c>
      <c r="G457" s="64">
        <f>Ringkasan!G456</f>
        <v>7</v>
      </c>
      <c r="H457" s="19">
        <f>Ringkasan!H456</f>
        <v>5.9</v>
      </c>
      <c r="I457" s="19">
        <f>Ringkasan!I456</f>
        <v>0.7</v>
      </c>
      <c r="J457" s="19">
        <f>Ringkasan!J456</f>
        <v>11.8</v>
      </c>
      <c r="K457" s="19">
        <f>Ringkasan!K456</f>
        <v>5.2</v>
      </c>
      <c r="L457" s="19">
        <f>Ringkasan!L456</f>
        <v>0.28</v>
      </c>
      <c r="M457" s="19">
        <f>Ringkasan!M456</f>
        <v>110</v>
      </c>
      <c r="N457" s="64">
        <f>Ringkasan!N456</f>
        <v>21.7</v>
      </c>
      <c r="O457" s="64">
        <f>Ringkasan!O456</f>
        <v>57.74</v>
      </c>
      <c r="P457" s="64">
        <f>Ringkasan!P456</f>
        <v>84.7</v>
      </c>
      <c r="Q457" s="64">
        <f>Ringkasan!Q456</f>
        <v>2.59</v>
      </c>
      <c r="R457" s="64">
        <f>Ringkasan!R456</f>
        <v>79.28</v>
      </c>
      <c r="S457" s="64">
        <f>Ringkasan!S456</f>
        <v>48.82</v>
      </c>
      <c r="T457" s="64" t="str">
        <f>Ringkasan!T456</f>
        <v/>
      </c>
      <c r="U457" s="64">
        <f>Ringkasan!U456</f>
        <v>935</v>
      </c>
      <c r="V457" s="64" t="str">
        <f>Ringkasan!V456</f>
        <v/>
      </c>
      <c r="W457" s="64">
        <f>Ringkasan!W456</f>
        <v>935</v>
      </c>
      <c r="X457" s="64">
        <f>Ringkasan!X456</f>
        <v>980</v>
      </c>
      <c r="Y457" s="64">
        <f>Ringkasan!Y456</f>
        <v>930</v>
      </c>
      <c r="Z457" s="64">
        <f>Ringkasan!Z456</f>
        <v>5453300</v>
      </c>
      <c r="AA457" s="64" t="str">
        <f>Ringkasan!AA456</f>
        <v>Banks</v>
      </c>
      <c r="AB457" s="64" t="str">
        <f>Ringkasan!AB456</f>
        <v>Financials</v>
      </c>
    </row>
    <row r="458" hidden="1">
      <c r="A458" s="64" t="str">
        <f>Ringkasan!A457</f>
        <v>BTPS</v>
      </c>
      <c r="B458" s="64" t="str">
        <f>Ringkasan!B457</f>
        <v>Bank BTPN Syariah Tbk.</v>
      </c>
      <c r="C458" s="65">
        <f>Ringkasan!C457</f>
        <v>965</v>
      </c>
      <c r="D458" s="64" t="str">
        <f>Ringkasan!D457</f>
        <v>#N/A</v>
      </c>
      <c r="E458" s="64" t="str">
        <f>Ringkasan!E457</f>
        <v>Infobank15</v>
      </c>
      <c r="F458" s="64" t="str">
        <f>Ringkasan!F457</f>
        <v>30 Juni 2026</v>
      </c>
      <c r="G458" s="64">
        <f>Ringkasan!G457</f>
        <v>7</v>
      </c>
      <c r="H458" s="19">
        <f>Ringkasan!H457</f>
        <v>5.9</v>
      </c>
      <c r="I458" s="19">
        <f>Ringkasan!I457</f>
        <v>0.7</v>
      </c>
      <c r="J458" s="19">
        <f>Ringkasan!J457</f>
        <v>11.8</v>
      </c>
      <c r="K458" s="19">
        <f>Ringkasan!K457</f>
        <v>5.2</v>
      </c>
      <c r="L458" s="19">
        <f>Ringkasan!L457</f>
        <v>0.28</v>
      </c>
      <c r="M458" s="19">
        <f>Ringkasan!M457</f>
        <v>110</v>
      </c>
      <c r="N458" s="64">
        <f>Ringkasan!N457</f>
        <v>21.7</v>
      </c>
      <c r="O458" s="64">
        <f>Ringkasan!O457</f>
        <v>57.74</v>
      </c>
      <c r="P458" s="64">
        <f>Ringkasan!P457</f>
        <v>84.7</v>
      </c>
      <c r="Q458" s="64">
        <f>Ringkasan!Q457</f>
        <v>2.59</v>
      </c>
      <c r="R458" s="64">
        <f>Ringkasan!R457</f>
        <v>79.28</v>
      </c>
      <c r="S458" s="64">
        <f>Ringkasan!S457</f>
        <v>48.82</v>
      </c>
      <c r="T458" s="64" t="str">
        <f>Ringkasan!T457</f>
        <v/>
      </c>
      <c r="U458" s="64">
        <f>Ringkasan!U457</f>
        <v>935</v>
      </c>
      <c r="V458" s="64" t="str">
        <f>Ringkasan!V457</f>
        <v/>
      </c>
      <c r="W458" s="64">
        <f>Ringkasan!W457</f>
        <v>935</v>
      </c>
      <c r="X458" s="64">
        <f>Ringkasan!X457</f>
        <v>980</v>
      </c>
      <c r="Y458" s="64">
        <f>Ringkasan!Y457</f>
        <v>930</v>
      </c>
      <c r="Z458" s="64">
        <f>Ringkasan!Z457</f>
        <v>5453300</v>
      </c>
      <c r="AA458" s="64" t="str">
        <f>Ringkasan!AA457</f>
        <v>Banks</v>
      </c>
      <c r="AB458" s="64" t="str">
        <f>Ringkasan!AB457</f>
        <v>Financials</v>
      </c>
    </row>
    <row r="459" hidden="1">
      <c r="A459" s="64" t="str">
        <f>Ringkasan!A458</f>
        <v>BTPS</v>
      </c>
      <c r="B459" s="64" t="str">
        <f>Ringkasan!B458</f>
        <v>Bank BTPN Syariah Tbk.</v>
      </c>
      <c r="C459" s="65">
        <f>Ringkasan!C458</f>
        <v>965</v>
      </c>
      <c r="D459" s="64" t="str">
        <f>Ringkasan!D458</f>
        <v>#N/A</v>
      </c>
      <c r="E459" s="64" t="str">
        <f>Ringkasan!E458</f>
        <v>Kompas100</v>
      </c>
      <c r="F459" s="64" t="str">
        <f>Ringkasan!F458</f>
        <v>31 Juli 2026</v>
      </c>
      <c r="G459" s="64">
        <f>Ringkasan!G458</f>
        <v>7</v>
      </c>
      <c r="H459" s="19">
        <f>Ringkasan!H458</f>
        <v>5.9</v>
      </c>
      <c r="I459" s="19">
        <f>Ringkasan!I458</f>
        <v>0.7</v>
      </c>
      <c r="J459" s="19">
        <f>Ringkasan!J458</f>
        <v>11.8</v>
      </c>
      <c r="K459" s="19">
        <f>Ringkasan!K458</f>
        <v>5.2</v>
      </c>
      <c r="L459" s="19">
        <f>Ringkasan!L458</f>
        <v>0.28</v>
      </c>
      <c r="M459" s="19">
        <f>Ringkasan!M458</f>
        <v>110</v>
      </c>
      <c r="N459" s="64">
        <f>Ringkasan!N458</f>
        <v>21.7</v>
      </c>
      <c r="O459" s="64">
        <f>Ringkasan!O458</f>
        <v>57.74</v>
      </c>
      <c r="P459" s="64">
        <f>Ringkasan!P458</f>
        <v>84.7</v>
      </c>
      <c r="Q459" s="64">
        <f>Ringkasan!Q458</f>
        <v>2.59</v>
      </c>
      <c r="R459" s="64">
        <f>Ringkasan!R458</f>
        <v>79.28</v>
      </c>
      <c r="S459" s="64">
        <f>Ringkasan!S458</f>
        <v>48.82</v>
      </c>
      <c r="T459" s="64" t="str">
        <f>Ringkasan!T458</f>
        <v/>
      </c>
      <c r="U459" s="64">
        <f>Ringkasan!U458</f>
        <v>935</v>
      </c>
      <c r="V459" s="64" t="str">
        <f>Ringkasan!V458</f>
        <v/>
      </c>
      <c r="W459" s="64">
        <f>Ringkasan!W458</f>
        <v>935</v>
      </c>
      <c r="X459" s="64">
        <f>Ringkasan!X458</f>
        <v>980</v>
      </c>
      <c r="Y459" s="64">
        <f>Ringkasan!Y458</f>
        <v>930</v>
      </c>
      <c r="Z459" s="64">
        <f>Ringkasan!Z458</f>
        <v>5453300</v>
      </c>
      <c r="AA459" s="64" t="str">
        <f>Ringkasan!AA458</f>
        <v>Banks</v>
      </c>
      <c r="AB459" s="64" t="str">
        <f>Ringkasan!AB458</f>
        <v>Financials</v>
      </c>
    </row>
    <row r="460">
      <c r="A460" s="60" t="str">
        <f>Ringkasan!A547</f>
        <v>CPIN</v>
      </c>
      <c r="B460" s="60" t="str">
        <f>Ringkasan!B547</f>
        <v>Charoen Pokphand Indonesia Tbk</v>
      </c>
      <c r="C460" s="61">
        <f>Ringkasan!C547</f>
        <v>3300</v>
      </c>
      <c r="D460" s="60" t="str">
        <f>Ringkasan!D547</f>
        <v>#N/A</v>
      </c>
      <c r="E460" s="60" t="str">
        <f>Ringkasan!E547</f>
        <v>JII30</v>
      </c>
      <c r="F460" s="63">
        <f>Ringkasan!F547</f>
        <v>46356</v>
      </c>
      <c r="G460" s="61">
        <f>Ringkasan!G547</f>
        <v>13</v>
      </c>
      <c r="H460" s="62">
        <f>Ringkasan!H547</f>
        <v>10.5</v>
      </c>
      <c r="I460" s="62">
        <f>Ringkasan!I547</f>
        <v>1.9</v>
      </c>
      <c r="J460" s="62">
        <f>Ringkasan!J547</f>
        <v>18.2</v>
      </c>
      <c r="K460" s="62">
        <f>Ringkasan!K547</f>
        <v>13.8</v>
      </c>
      <c r="L460" s="62">
        <f>Ringkasan!L547</f>
        <v>0.32</v>
      </c>
      <c r="M460" s="62">
        <f>Ringkasan!M547</f>
        <v>33.5</v>
      </c>
      <c r="N460" s="60" t="str">
        <f>Ringkasan!N547</f>
        <v/>
      </c>
      <c r="O460" s="60" t="str">
        <f>Ringkasan!O547</f>
        <v/>
      </c>
      <c r="P460" s="60" t="str">
        <f>Ringkasan!P547</f>
        <v/>
      </c>
      <c r="Q460" s="60" t="str">
        <f>Ringkasan!Q547</f>
        <v/>
      </c>
      <c r="R460" s="60" t="str">
        <f>Ringkasan!R547</f>
        <v/>
      </c>
      <c r="S460" s="60" t="str">
        <f>Ringkasan!S547</f>
        <v/>
      </c>
      <c r="T460" s="60" t="str">
        <f>Ringkasan!T547</f>
        <v/>
      </c>
      <c r="U460" s="60">
        <f>Ringkasan!U547</f>
        <v>3260</v>
      </c>
      <c r="V460" s="60">
        <f>Ringkasan!V547</f>
        <v>1.23</v>
      </c>
      <c r="W460" s="60">
        <f>Ringkasan!W547</f>
        <v>3340</v>
      </c>
      <c r="X460" s="60">
        <f>Ringkasan!X547</f>
        <v>3340</v>
      </c>
      <c r="Y460" s="60">
        <f>Ringkasan!Y547</f>
        <v>3240</v>
      </c>
      <c r="Z460" s="60">
        <f>Ringkasan!Z547</f>
        <v>4628500</v>
      </c>
      <c r="AA460" s="60" t="str">
        <f>Ringkasan!AA547</f>
        <v>Agricultural Products</v>
      </c>
      <c r="AB460" s="60" t="str">
        <f>Ringkasan!AB547</f>
        <v>Consumer Non-Cyclicals</v>
      </c>
    </row>
    <row r="461" hidden="1">
      <c r="A461" s="60" t="str">
        <f>Ringkasan!A460</f>
        <v>BTPS</v>
      </c>
      <c r="B461" s="60" t="str">
        <f>Ringkasan!B460</f>
        <v>Bank BTPN Syariah Tbk.</v>
      </c>
      <c r="C461" s="61">
        <f>Ringkasan!C460</f>
        <v>965</v>
      </c>
      <c r="D461" s="60" t="str">
        <f>Ringkasan!D460</f>
        <v>#N/A</v>
      </c>
      <c r="E461" s="60" t="str">
        <f>Ringkasan!E460</f>
        <v>JII70</v>
      </c>
      <c r="F461" s="63">
        <f>Ringkasan!F460</f>
        <v>46356</v>
      </c>
      <c r="G461" s="60">
        <f>Ringkasan!G460</f>
        <v>7</v>
      </c>
      <c r="H461" s="62">
        <f>Ringkasan!H460</f>
        <v>5.9</v>
      </c>
      <c r="I461" s="62">
        <f>Ringkasan!I460</f>
        <v>0.7</v>
      </c>
      <c r="J461" s="62">
        <f>Ringkasan!J460</f>
        <v>11.8</v>
      </c>
      <c r="K461" s="62">
        <f>Ringkasan!K460</f>
        <v>5.2</v>
      </c>
      <c r="L461" s="62">
        <f>Ringkasan!L460</f>
        <v>0.28</v>
      </c>
      <c r="M461" s="62">
        <f>Ringkasan!M460</f>
        <v>110</v>
      </c>
      <c r="N461" s="60">
        <f>Ringkasan!N460</f>
        <v>21.7</v>
      </c>
      <c r="O461" s="60">
        <f>Ringkasan!O460</f>
        <v>57.74</v>
      </c>
      <c r="P461" s="60">
        <f>Ringkasan!P460</f>
        <v>84.7</v>
      </c>
      <c r="Q461" s="60">
        <f>Ringkasan!Q460</f>
        <v>2.59</v>
      </c>
      <c r="R461" s="60">
        <f>Ringkasan!R460</f>
        <v>79.28</v>
      </c>
      <c r="S461" s="60">
        <f>Ringkasan!S460</f>
        <v>48.82</v>
      </c>
      <c r="T461" s="60" t="str">
        <f>Ringkasan!T460</f>
        <v/>
      </c>
      <c r="U461" s="60">
        <f>Ringkasan!U460</f>
        <v>935</v>
      </c>
      <c r="V461" s="60" t="str">
        <f>Ringkasan!V460</f>
        <v/>
      </c>
      <c r="W461" s="60">
        <f>Ringkasan!W460</f>
        <v>935</v>
      </c>
      <c r="X461" s="60">
        <f>Ringkasan!X460</f>
        <v>980</v>
      </c>
      <c r="Y461" s="60">
        <f>Ringkasan!Y460</f>
        <v>930</v>
      </c>
      <c r="Z461" s="60">
        <f>Ringkasan!Z460</f>
        <v>5453300</v>
      </c>
      <c r="AA461" s="60" t="str">
        <f>Ringkasan!AA460</f>
        <v>Banks</v>
      </c>
      <c r="AB461" s="60" t="str">
        <f>Ringkasan!AB460</f>
        <v>Financials</v>
      </c>
    </row>
    <row r="462" hidden="1">
      <c r="A462" s="60" t="str">
        <f>Ringkasan!A461</f>
        <v>BUAH</v>
      </c>
      <c r="B462" s="60" t="str">
        <f>Ringkasan!B461</f>
        <v>Segar Kumala Indonesia Tbk.</v>
      </c>
      <c r="C462" s="61">
        <f>Ringkasan!C461</f>
        <v>510</v>
      </c>
      <c r="D462" s="60" t="str">
        <f>Ringkasan!D461</f>
        <v>#N/A</v>
      </c>
      <c r="E462" s="60" t="str">
        <f>Ringkasan!E461</f>
        <v/>
      </c>
      <c r="F462" s="60" t="str">
        <f>Ringkasan!F461</f>
        <v/>
      </c>
      <c r="G462" s="60">
        <f>Ringkasan!G461</f>
        <v>0</v>
      </c>
      <c r="H462" s="62">
        <f>Ringkasan!H461</f>
        <v>17.7</v>
      </c>
      <c r="I462" s="62">
        <f>Ringkasan!I461</f>
        <v>4.9</v>
      </c>
      <c r="J462" s="62">
        <f>Ringkasan!J461</f>
        <v>27.7</v>
      </c>
      <c r="K462" s="62">
        <f>Ringkasan!K461</f>
        <v>10.8</v>
      </c>
      <c r="L462" s="62">
        <f>Ringkasan!L461</f>
        <v>1.6</v>
      </c>
      <c r="M462" s="62">
        <f>Ringkasan!M461</f>
        <v>6.7</v>
      </c>
      <c r="N462" s="60" t="str">
        <f>Ringkasan!N461</f>
        <v/>
      </c>
      <c r="O462" s="60" t="str">
        <f>Ringkasan!O461</f>
        <v/>
      </c>
      <c r="P462" s="60" t="str">
        <f>Ringkasan!P461</f>
        <v/>
      </c>
      <c r="Q462" s="60" t="str">
        <f>Ringkasan!Q461</f>
        <v/>
      </c>
      <c r="R462" s="60" t="str">
        <f>Ringkasan!R461</f>
        <v/>
      </c>
      <c r="S462" s="60" t="str">
        <f>Ringkasan!S461</f>
        <v/>
      </c>
      <c r="T462" s="60" t="str">
        <f>Ringkasan!T461</f>
        <v/>
      </c>
      <c r="U462" s="60">
        <f>Ringkasan!U461</f>
        <v>505</v>
      </c>
      <c r="V462" s="60">
        <f>Ringkasan!V461</f>
        <v>0.99</v>
      </c>
      <c r="W462" s="60">
        <f>Ringkasan!W461</f>
        <v>510</v>
      </c>
      <c r="X462" s="60">
        <f>Ringkasan!X461</f>
        <v>515</v>
      </c>
      <c r="Y462" s="60">
        <f>Ringkasan!Y461</f>
        <v>500</v>
      </c>
      <c r="Z462" s="60">
        <f>Ringkasan!Z461</f>
        <v>200600</v>
      </c>
      <c r="AA462" s="60" t="str">
        <f>Ringkasan!AA461</f>
        <v>Food &amp; Staples Retailing</v>
      </c>
      <c r="AB462" s="60" t="str">
        <f>Ringkasan!AB461</f>
        <v>Consumer Non-Cyclicals</v>
      </c>
    </row>
    <row r="463" hidden="1">
      <c r="A463" s="60" t="str">
        <f>Ringkasan!A462</f>
        <v>BUDI</v>
      </c>
      <c r="B463" s="60" t="str">
        <f>Ringkasan!B462</f>
        <v>Budi Starch &amp; Sweetener Tbk.</v>
      </c>
      <c r="C463" s="61">
        <f>Ringkasan!C462</f>
        <v>204</v>
      </c>
      <c r="D463" s="60" t="str">
        <f>Ringkasan!D462</f>
        <v>#N/A</v>
      </c>
      <c r="E463" s="60" t="str">
        <f>Ringkasan!E462</f>
        <v/>
      </c>
      <c r="F463" s="60" t="str">
        <f>Ringkasan!F462</f>
        <v/>
      </c>
      <c r="G463" s="60">
        <f>Ringkasan!G462</f>
        <v>0</v>
      </c>
      <c r="H463" s="62">
        <f>Ringkasan!H462</f>
        <v>7.5</v>
      </c>
      <c r="I463" s="62">
        <f>Ringkasan!I462</f>
        <v>0.53</v>
      </c>
      <c r="J463" s="62">
        <f>Ringkasan!J462</f>
        <v>7.1</v>
      </c>
      <c r="K463" s="62">
        <f>Ringkasan!K462</f>
        <v>3</v>
      </c>
      <c r="L463" s="62">
        <f>Ringkasan!L462</f>
        <v>1.4</v>
      </c>
      <c r="M463" s="62">
        <f>Ringkasan!M462</f>
        <v>11.8</v>
      </c>
      <c r="N463" s="60" t="str">
        <f>Ringkasan!N462</f>
        <v/>
      </c>
      <c r="O463" s="60" t="str">
        <f>Ringkasan!O462</f>
        <v/>
      </c>
      <c r="P463" s="60" t="str">
        <f>Ringkasan!P462</f>
        <v/>
      </c>
      <c r="Q463" s="60" t="str">
        <f>Ringkasan!Q462</f>
        <v/>
      </c>
      <c r="R463" s="60" t="str">
        <f>Ringkasan!R462</f>
        <v/>
      </c>
      <c r="S463" s="60" t="str">
        <f>Ringkasan!S462</f>
        <v/>
      </c>
      <c r="T463" s="60" t="str">
        <f>Ringkasan!T462</f>
        <v/>
      </c>
      <c r="U463" s="60">
        <f>Ringkasan!U462</f>
        <v>204</v>
      </c>
      <c r="V463" s="60">
        <f>Ringkasan!V462</f>
        <v>0</v>
      </c>
      <c r="W463" s="60">
        <f>Ringkasan!W462</f>
        <v>206</v>
      </c>
      <c r="X463" s="60">
        <f>Ringkasan!X462</f>
        <v>206</v>
      </c>
      <c r="Y463" s="60">
        <f>Ringkasan!Y462</f>
        <v>204</v>
      </c>
      <c r="Z463" s="60">
        <f>Ringkasan!Z462</f>
        <v>22800</v>
      </c>
      <c r="AA463" s="60" t="str">
        <f>Ringkasan!AA462</f>
        <v>Processed Foods</v>
      </c>
      <c r="AB463" s="60" t="str">
        <f>Ringkasan!AB462</f>
        <v>Consumer Non-Cyclicals</v>
      </c>
    </row>
    <row r="464" hidden="1">
      <c r="A464" s="64" t="str">
        <f>Ringkasan!A78</f>
        <v>AKRA</v>
      </c>
      <c r="B464" s="64" t="str">
        <f>Ringkasan!B78</f>
        <v>AKR Corporindo Tbk.</v>
      </c>
      <c r="C464" s="65">
        <f>Ringkasan!C78</f>
        <v>1250</v>
      </c>
      <c r="D464" s="64" t="str">
        <f>Ringkasan!D78</f>
        <v>#N/A</v>
      </c>
      <c r="E464" s="64" t="str">
        <f>Ringkasan!E78</f>
        <v>BISNIS-27</v>
      </c>
      <c r="F464" s="64" t="str">
        <f>Ringkasan!F78</f>
        <v>30 Oktober 2026</v>
      </c>
      <c r="G464" s="64">
        <f>Ringkasan!G78</f>
        <v>16</v>
      </c>
      <c r="H464" s="19">
        <f>Ringkasan!H78</f>
        <v>9.7</v>
      </c>
      <c r="I464" s="19">
        <f>Ringkasan!I78</f>
        <v>1.5</v>
      </c>
      <c r="J464" s="19">
        <f>Ringkasan!J78</f>
        <v>15.8</v>
      </c>
      <c r="K464" s="19">
        <f>Ringkasan!K78</f>
        <v>6.9</v>
      </c>
      <c r="L464" s="19">
        <f>Ringkasan!L78</f>
        <v>1.3</v>
      </c>
      <c r="M464" s="19">
        <f>Ringkasan!M78</f>
        <v>19.8</v>
      </c>
      <c r="N464" s="64" t="str">
        <f>Ringkasan!N78</f>
        <v/>
      </c>
      <c r="O464" s="64" t="str">
        <f>Ringkasan!O78</f>
        <v/>
      </c>
      <c r="P464" s="64" t="str">
        <f>Ringkasan!P78</f>
        <v/>
      </c>
      <c r="Q464" s="64" t="str">
        <f>Ringkasan!Q78</f>
        <v/>
      </c>
      <c r="R464" s="64" t="str">
        <f>Ringkasan!R78</f>
        <v/>
      </c>
      <c r="S464" s="64" t="str">
        <f>Ringkasan!S78</f>
        <v/>
      </c>
      <c r="T464" s="64" t="str">
        <f>Ringkasan!T78</f>
        <v/>
      </c>
      <c r="U464" s="64">
        <f>Ringkasan!U78</f>
        <v>1265</v>
      </c>
      <c r="V464" s="64">
        <f>Ringkasan!V78</f>
        <v>-1.19</v>
      </c>
      <c r="W464" s="64">
        <f>Ringkasan!W78</f>
        <v>1280</v>
      </c>
      <c r="X464" s="64">
        <f>Ringkasan!X78</f>
        <v>1315</v>
      </c>
      <c r="Y464" s="64">
        <f>Ringkasan!Y78</f>
        <v>1250</v>
      </c>
      <c r="Z464" s="64">
        <f>Ringkasan!Z78</f>
        <v>21209100</v>
      </c>
      <c r="AA464" s="64" t="str">
        <f>Ringkasan!AA78</f>
        <v>Oil &amp; Gas</v>
      </c>
      <c r="AB464" s="64" t="str">
        <f>Ringkasan!AB78</f>
        <v>Energy</v>
      </c>
    </row>
    <row r="465" hidden="1">
      <c r="A465" s="64" t="str">
        <f>Ringkasan!A449</f>
        <v>BSWD</v>
      </c>
      <c r="B465" s="64" t="str">
        <f>Ringkasan!B449</f>
        <v>Bank of India Indonesia Tbk</v>
      </c>
      <c r="C465" s="67">
        <f>Ringkasan!C449</f>
        <v>1400</v>
      </c>
      <c r="D465" s="22" t="str">
        <f>Ringkasan!D449</f>
        <v>#N/A</v>
      </c>
      <c r="E465" s="64" t="str">
        <f>Ringkasan!E449</f>
        <v/>
      </c>
      <c r="F465" s="64" t="str">
        <f>Ringkasan!F449</f>
        <v/>
      </c>
      <c r="G465" s="64">
        <f>Ringkasan!G449</f>
        <v>0</v>
      </c>
      <c r="H465" s="19">
        <f>Ringkasan!H449</f>
        <v>84.5</v>
      </c>
      <c r="I465" s="19">
        <f>Ringkasan!I449</f>
        <v>1.5</v>
      </c>
      <c r="J465" s="19">
        <f>Ringkasan!J449</f>
        <v>1.7</v>
      </c>
      <c r="K465" s="19">
        <f>Ringkasan!K449</f>
        <v>0.85</v>
      </c>
      <c r="L465" s="19">
        <f>Ringkasan!L449</f>
        <v>1</v>
      </c>
      <c r="M465" s="19">
        <f>Ringkasan!M449</f>
        <v>58.7</v>
      </c>
      <c r="N465" s="64">
        <f>Ringkasan!N449</f>
        <v>2.68</v>
      </c>
      <c r="O465" s="64">
        <f>Ringkasan!O449</f>
        <v>60.33</v>
      </c>
      <c r="P465" s="64">
        <f>Ringkasan!P449</f>
        <v>81.19</v>
      </c>
      <c r="Q465" s="64">
        <f>Ringkasan!Q449</f>
        <v>91.24</v>
      </c>
      <c r="R465" s="64">
        <f>Ringkasan!R449</f>
        <v>91.24</v>
      </c>
      <c r="S465" s="64">
        <f>Ringkasan!S449</f>
        <v>72.58</v>
      </c>
      <c r="T465" s="64">
        <f>Ringkasan!T449</f>
        <v>6.58</v>
      </c>
      <c r="U465" s="22">
        <f>Ringkasan!U449</f>
        <v>1400</v>
      </c>
      <c r="V465" s="22">
        <f>Ringkasan!V449</f>
        <v>0</v>
      </c>
      <c r="W465" s="22" t="str">
        <f>Ringkasan!W449</f>
        <v/>
      </c>
      <c r="X465" s="22" t="str">
        <f>Ringkasan!X449</f>
        <v/>
      </c>
      <c r="Y465" s="22" t="str">
        <f>Ringkasan!Y449</f>
        <v/>
      </c>
      <c r="Z465" s="22">
        <f>Ringkasan!Z449</f>
        <v>0</v>
      </c>
      <c r="AA465" s="64" t="str">
        <f>Ringkasan!AA449</f>
        <v>Banks</v>
      </c>
      <c r="AB465" s="64" t="str">
        <f>Ringkasan!AB449</f>
        <v>Financials</v>
      </c>
    </row>
    <row r="466" hidden="1">
      <c r="A466" s="60" t="str">
        <f>Ringkasan!A464</f>
        <v>BUKA</v>
      </c>
      <c r="B466" s="60" t="str">
        <f>Ringkasan!B464</f>
        <v>Bukalapak.com Tbk.</v>
      </c>
      <c r="C466" s="61">
        <f>Ringkasan!C464</f>
        <v>113</v>
      </c>
      <c r="D466" s="60" t="str">
        <f>Ringkasan!D464</f>
        <v>#N/A</v>
      </c>
      <c r="E466" s="60" t="str">
        <f>Ringkasan!E464</f>
        <v>Kompas100</v>
      </c>
      <c r="F466" s="60" t="str">
        <f>Ringkasan!F464</f>
        <v>31 Juli 2026</v>
      </c>
      <c r="G466" s="60">
        <f>Ringkasan!G464</f>
        <v>6</v>
      </c>
      <c r="H466" s="62">
        <f>Ringkasan!H464</f>
        <v>4.8</v>
      </c>
      <c r="I466" s="62">
        <f>Ringkasan!I464</f>
        <v>0.51</v>
      </c>
      <c r="J466" s="62">
        <f>Ringkasan!J464</f>
        <v>10.5</v>
      </c>
      <c r="K466" s="62">
        <f>Ringkasan!K464</f>
        <v>10.3</v>
      </c>
      <c r="L466" s="62">
        <f>Ringkasan!L464</f>
        <v>0.03</v>
      </c>
      <c r="M466" s="62">
        <f>Ringkasan!M464</f>
        <v>110</v>
      </c>
      <c r="N466" s="60" t="str">
        <f>Ringkasan!N464</f>
        <v/>
      </c>
      <c r="O466" s="60" t="str">
        <f>Ringkasan!O464</f>
        <v/>
      </c>
      <c r="P466" s="60" t="str">
        <f>Ringkasan!P464</f>
        <v/>
      </c>
      <c r="Q466" s="60" t="str">
        <f>Ringkasan!Q464</f>
        <v/>
      </c>
      <c r="R466" s="60" t="str">
        <f>Ringkasan!R464</f>
        <v/>
      </c>
      <c r="S466" s="60" t="str">
        <f>Ringkasan!S464</f>
        <v/>
      </c>
      <c r="T466" s="60" t="str">
        <f>Ringkasan!T464</f>
        <v/>
      </c>
      <c r="U466" s="60">
        <f>Ringkasan!U464</f>
        <v>114</v>
      </c>
      <c r="V466" s="60">
        <f>Ringkasan!V464</f>
        <v>-0.88</v>
      </c>
      <c r="W466" s="60">
        <f>Ringkasan!W464</f>
        <v>114</v>
      </c>
      <c r="X466" s="60">
        <f>Ringkasan!X464</f>
        <v>116</v>
      </c>
      <c r="Y466" s="60">
        <f>Ringkasan!Y464</f>
        <v>112</v>
      </c>
      <c r="Z466" s="60">
        <f>Ringkasan!Z464</f>
        <v>50129300</v>
      </c>
      <c r="AA466" s="60" t="str">
        <f>Ringkasan!AA464</f>
        <v>Online Applications &amp; Services</v>
      </c>
      <c r="AB466" s="60" t="str">
        <f>Ringkasan!AB464</f>
        <v>Technology</v>
      </c>
    </row>
    <row r="467" hidden="1">
      <c r="A467" s="60" t="str">
        <f>Ringkasan!A465</f>
        <v>BUKA</v>
      </c>
      <c r="B467" s="60" t="str">
        <f>Ringkasan!B465</f>
        <v>Bukalapak.com Tbk.</v>
      </c>
      <c r="C467" s="61">
        <f>Ringkasan!C465</f>
        <v>113</v>
      </c>
      <c r="D467" s="60" t="str">
        <f>Ringkasan!D465</f>
        <v>#N/A</v>
      </c>
      <c r="E467" s="60" t="str">
        <f>Ringkasan!E465</f>
        <v>IDXESGL</v>
      </c>
      <c r="F467" s="60" t="str">
        <f>Ringkasan!F465</f>
        <v>30 Oktober 2026</v>
      </c>
      <c r="G467" s="60">
        <f>Ringkasan!G465</f>
        <v>6</v>
      </c>
      <c r="H467" s="62">
        <f>Ringkasan!H465</f>
        <v>4.8</v>
      </c>
      <c r="I467" s="62">
        <f>Ringkasan!I465</f>
        <v>0.51</v>
      </c>
      <c r="J467" s="62">
        <f>Ringkasan!J465</f>
        <v>10.5</v>
      </c>
      <c r="K467" s="62">
        <f>Ringkasan!K465</f>
        <v>10.3</v>
      </c>
      <c r="L467" s="62">
        <f>Ringkasan!L465</f>
        <v>0.03</v>
      </c>
      <c r="M467" s="62">
        <f>Ringkasan!M465</f>
        <v>110</v>
      </c>
      <c r="N467" s="60" t="str">
        <f>Ringkasan!N465</f>
        <v/>
      </c>
      <c r="O467" s="60" t="str">
        <f>Ringkasan!O465</f>
        <v/>
      </c>
      <c r="P467" s="60" t="str">
        <f>Ringkasan!P465</f>
        <v/>
      </c>
      <c r="Q467" s="60" t="str">
        <f>Ringkasan!Q465</f>
        <v/>
      </c>
      <c r="R467" s="60" t="str">
        <f>Ringkasan!R465</f>
        <v/>
      </c>
      <c r="S467" s="60" t="str">
        <f>Ringkasan!S465</f>
        <v/>
      </c>
      <c r="T467" s="60" t="str">
        <f>Ringkasan!T465</f>
        <v/>
      </c>
      <c r="U467" s="60">
        <f>Ringkasan!U465</f>
        <v>114</v>
      </c>
      <c r="V467" s="60">
        <f>Ringkasan!V465</f>
        <v>-0.88</v>
      </c>
      <c r="W467" s="60">
        <f>Ringkasan!W465</f>
        <v>114</v>
      </c>
      <c r="X467" s="60">
        <f>Ringkasan!X465</f>
        <v>116</v>
      </c>
      <c r="Y467" s="60">
        <f>Ringkasan!Y465</f>
        <v>112</v>
      </c>
      <c r="Z467" s="60">
        <f>Ringkasan!Z465</f>
        <v>50129300</v>
      </c>
      <c r="AA467" s="60" t="str">
        <f>Ringkasan!AA465</f>
        <v>Online Applications &amp; Services</v>
      </c>
      <c r="AB467" s="60" t="str">
        <f>Ringkasan!AB465</f>
        <v>Technology</v>
      </c>
    </row>
    <row r="468" hidden="1">
      <c r="A468" s="60" t="str">
        <f>Ringkasan!A466</f>
        <v>BUKA</v>
      </c>
      <c r="B468" s="60" t="str">
        <f>Ringkasan!B466</f>
        <v>Bukalapak.com Tbk.</v>
      </c>
      <c r="C468" s="61">
        <f>Ringkasan!C466</f>
        <v>113</v>
      </c>
      <c r="D468" s="60" t="str">
        <f>Ringkasan!D466</f>
        <v>#N/A</v>
      </c>
      <c r="E468" s="60" t="str">
        <f>Ringkasan!E466</f>
        <v>IDXSMC-LIQ</v>
      </c>
      <c r="F468" s="60" t="str">
        <f>Ringkasan!F466</f>
        <v>4 Agustus 2026</v>
      </c>
      <c r="G468" s="60">
        <f>Ringkasan!G466</f>
        <v>6</v>
      </c>
      <c r="H468" s="62">
        <f>Ringkasan!H466</f>
        <v>4.8</v>
      </c>
      <c r="I468" s="62">
        <f>Ringkasan!I466</f>
        <v>0.51</v>
      </c>
      <c r="J468" s="62">
        <f>Ringkasan!J466</f>
        <v>10.5</v>
      </c>
      <c r="K468" s="62">
        <f>Ringkasan!K466</f>
        <v>10.3</v>
      </c>
      <c r="L468" s="62">
        <f>Ringkasan!L466</f>
        <v>0.03</v>
      </c>
      <c r="M468" s="62">
        <f>Ringkasan!M466</f>
        <v>110</v>
      </c>
      <c r="N468" s="60" t="str">
        <f>Ringkasan!N466</f>
        <v/>
      </c>
      <c r="O468" s="60" t="str">
        <f>Ringkasan!O466</f>
        <v/>
      </c>
      <c r="P468" s="60" t="str">
        <f>Ringkasan!P466</f>
        <v/>
      </c>
      <c r="Q468" s="60" t="str">
        <f>Ringkasan!Q466</f>
        <v/>
      </c>
      <c r="R468" s="60" t="str">
        <f>Ringkasan!R466</f>
        <v/>
      </c>
      <c r="S468" s="60" t="str">
        <f>Ringkasan!S466</f>
        <v/>
      </c>
      <c r="T468" s="60" t="str">
        <f>Ringkasan!T466</f>
        <v/>
      </c>
      <c r="U468" s="60">
        <f>Ringkasan!U466</f>
        <v>114</v>
      </c>
      <c r="V468" s="60">
        <f>Ringkasan!V466</f>
        <v>-0.88</v>
      </c>
      <c r="W468" s="60">
        <f>Ringkasan!W466</f>
        <v>114</v>
      </c>
      <c r="X468" s="60">
        <f>Ringkasan!X466</f>
        <v>116</v>
      </c>
      <c r="Y468" s="60">
        <f>Ringkasan!Y466</f>
        <v>112</v>
      </c>
      <c r="Z468" s="60">
        <f>Ringkasan!Z466</f>
        <v>50129300</v>
      </c>
      <c r="AA468" s="60" t="str">
        <f>Ringkasan!AA466</f>
        <v>Online Applications &amp; Services</v>
      </c>
      <c r="AB468" s="60" t="str">
        <f>Ringkasan!AB466</f>
        <v>Technology</v>
      </c>
    </row>
    <row r="469" hidden="1">
      <c r="A469" s="60" t="str">
        <f>Ringkasan!A467</f>
        <v>BUKA</v>
      </c>
      <c r="B469" s="60" t="str">
        <f>Ringkasan!B467</f>
        <v>Bukalapak.com Tbk.</v>
      </c>
      <c r="C469" s="61">
        <f>Ringkasan!C467</f>
        <v>113</v>
      </c>
      <c r="D469" s="60" t="str">
        <f>Ringkasan!D467</f>
        <v>#N/A</v>
      </c>
      <c r="E469" s="60" t="str">
        <f>Ringkasan!E467</f>
        <v>IDXV30</v>
      </c>
      <c r="F469" s="60" t="str">
        <f>Ringkasan!F467</f>
        <v>4 Agustus 2026</v>
      </c>
      <c r="G469" s="60">
        <f>Ringkasan!G467</f>
        <v>6</v>
      </c>
      <c r="H469" s="62">
        <f>Ringkasan!H467</f>
        <v>4.8</v>
      </c>
      <c r="I469" s="62">
        <f>Ringkasan!I467</f>
        <v>0.51</v>
      </c>
      <c r="J469" s="62">
        <f>Ringkasan!J467</f>
        <v>10.5</v>
      </c>
      <c r="K469" s="62">
        <f>Ringkasan!K467</f>
        <v>10.3</v>
      </c>
      <c r="L469" s="62">
        <f>Ringkasan!L467</f>
        <v>0.03</v>
      </c>
      <c r="M469" s="62">
        <f>Ringkasan!M467</f>
        <v>110</v>
      </c>
      <c r="N469" s="60" t="str">
        <f>Ringkasan!N467</f>
        <v/>
      </c>
      <c r="O469" s="60" t="str">
        <f>Ringkasan!O467</f>
        <v/>
      </c>
      <c r="P469" s="60" t="str">
        <f>Ringkasan!P467</f>
        <v/>
      </c>
      <c r="Q469" s="60" t="str">
        <f>Ringkasan!Q467</f>
        <v/>
      </c>
      <c r="R469" s="60" t="str">
        <f>Ringkasan!R467</f>
        <v/>
      </c>
      <c r="S469" s="60" t="str">
        <f>Ringkasan!S467</f>
        <v/>
      </c>
      <c r="T469" s="60" t="str">
        <f>Ringkasan!T467</f>
        <v/>
      </c>
      <c r="U469" s="60">
        <f>Ringkasan!U467</f>
        <v>114</v>
      </c>
      <c r="V469" s="60">
        <f>Ringkasan!V467</f>
        <v>-0.88</v>
      </c>
      <c r="W469" s="60">
        <f>Ringkasan!W467</f>
        <v>114</v>
      </c>
      <c r="X469" s="60">
        <f>Ringkasan!X467</f>
        <v>116</v>
      </c>
      <c r="Y469" s="60">
        <f>Ringkasan!Y467</f>
        <v>112</v>
      </c>
      <c r="Z469" s="60">
        <f>Ringkasan!Z467</f>
        <v>50129300</v>
      </c>
      <c r="AA469" s="60" t="str">
        <f>Ringkasan!AA467</f>
        <v>Online Applications &amp; Services</v>
      </c>
      <c r="AB469" s="60" t="str">
        <f>Ringkasan!AB467</f>
        <v>Technology</v>
      </c>
    </row>
    <row r="470" hidden="1">
      <c r="A470" s="60" t="str">
        <f>Ringkasan!A468</f>
        <v>BUKA</v>
      </c>
      <c r="B470" s="60" t="str">
        <f>Ringkasan!B468</f>
        <v>Bukalapak.com Tbk.</v>
      </c>
      <c r="C470" s="61">
        <f>Ringkasan!C468</f>
        <v>113</v>
      </c>
      <c r="D470" s="60" t="str">
        <f>Ringkasan!D468</f>
        <v>#N/A</v>
      </c>
      <c r="E470" s="60" t="str">
        <f>Ringkasan!E468</f>
        <v>MSCI Small Cap</v>
      </c>
      <c r="F470" s="60" t="str">
        <f>Ringkasan!F468</f>
        <v>12 Agustus 2026</v>
      </c>
      <c r="G470" s="60">
        <f>Ringkasan!G468</f>
        <v>6</v>
      </c>
      <c r="H470" s="62">
        <f>Ringkasan!H468</f>
        <v>4.8</v>
      </c>
      <c r="I470" s="62">
        <f>Ringkasan!I468</f>
        <v>0.51</v>
      </c>
      <c r="J470" s="62">
        <f>Ringkasan!J468</f>
        <v>10.5</v>
      </c>
      <c r="K470" s="62">
        <f>Ringkasan!K468</f>
        <v>10.3</v>
      </c>
      <c r="L470" s="62">
        <f>Ringkasan!L468</f>
        <v>0.03</v>
      </c>
      <c r="M470" s="62">
        <f>Ringkasan!M468</f>
        <v>110</v>
      </c>
      <c r="N470" s="60" t="str">
        <f>Ringkasan!N468</f>
        <v/>
      </c>
      <c r="O470" s="60" t="str">
        <f>Ringkasan!O468</f>
        <v/>
      </c>
      <c r="P470" s="60" t="str">
        <f>Ringkasan!P468</f>
        <v/>
      </c>
      <c r="Q470" s="60" t="str">
        <f>Ringkasan!Q468</f>
        <v/>
      </c>
      <c r="R470" s="60" t="str">
        <f>Ringkasan!R468</f>
        <v/>
      </c>
      <c r="S470" s="60" t="str">
        <f>Ringkasan!S468</f>
        <v/>
      </c>
      <c r="T470" s="60" t="str">
        <f>Ringkasan!T468</f>
        <v/>
      </c>
      <c r="U470" s="60">
        <f>Ringkasan!U468</f>
        <v>114</v>
      </c>
      <c r="V470" s="60">
        <f>Ringkasan!V468</f>
        <v>-0.88</v>
      </c>
      <c r="W470" s="60">
        <f>Ringkasan!W468</f>
        <v>114</v>
      </c>
      <c r="X470" s="60">
        <f>Ringkasan!X468</f>
        <v>116</v>
      </c>
      <c r="Y470" s="60">
        <f>Ringkasan!Y468</f>
        <v>112</v>
      </c>
      <c r="Z470" s="60">
        <f>Ringkasan!Z468</f>
        <v>50129300</v>
      </c>
      <c r="AA470" s="60" t="str">
        <f>Ringkasan!AA468</f>
        <v>Online Applications &amp; Services</v>
      </c>
      <c r="AB470" s="60" t="str">
        <f>Ringkasan!AB468</f>
        <v>Technology</v>
      </c>
    </row>
    <row r="471" hidden="1">
      <c r="A471" s="64" t="str">
        <f>Ringkasan!A470</f>
        <v>BULL</v>
      </c>
      <c r="B471" s="64" t="str">
        <f>Ringkasan!B470</f>
        <v>Buana Lintas Lautan Tbk.</v>
      </c>
      <c r="C471" s="65">
        <f>Ringkasan!C470</f>
        <v>368</v>
      </c>
      <c r="D471" s="64" t="str">
        <f>Ringkasan!D470</f>
        <v>#N/A</v>
      </c>
      <c r="E471" s="64" t="str">
        <f>Ringkasan!E470</f>
        <v>Kompas100</v>
      </c>
      <c r="F471" s="64" t="str">
        <f>Ringkasan!F470</f>
        <v>31 Juli 2026</v>
      </c>
      <c r="G471" s="64">
        <f>Ringkasan!G470</f>
        <v>1</v>
      </c>
      <c r="H471" s="19">
        <f>Ringkasan!H470</f>
        <v>14.6</v>
      </c>
      <c r="I471" s="19">
        <f>Ringkasan!I470</f>
        <v>1.8</v>
      </c>
      <c r="J471" s="19">
        <f>Ringkasan!J470</f>
        <v>12</v>
      </c>
      <c r="K471" s="19">
        <f>Ringkasan!K470</f>
        <v>6.6</v>
      </c>
      <c r="L471" s="19">
        <f>Ringkasan!L470</f>
        <v>0.82</v>
      </c>
      <c r="M471" s="19">
        <f>Ringkasan!M470</f>
        <v>16.8</v>
      </c>
      <c r="N471" s="64" t="str">
        <f>Ringkasan!N470</f>
        <v/>
      </c>
      <c r="O471" s="64" t="str">
        <f>Ringkasan!O470</f>
        <v/>
      </c>
      <c r="P471" s="64" t="str">
        <f>Ringkasan!P470</f>
        <v/>
      </c>
      <c r="Q471" s="64" t="str">
        <f>Ringkasan!Q470</f>
        <v/>
      </c>
      <c r="R471" s="64" t="str">
        <f>Ringkasan!R470</f>
        <v/>
      </c>
      <c r="S471" s="64" t="str">
        <f>Ringkasan!S470</f>
        <v/>
      </c>
      <c r="T471" s="64" t="str">
        <f>Ringkasan!T470</f>
        <v/>
      </c>
      <c r="U471" s="64">
        <f>Ringkasan!U470</f>
        <v>6.73</v>
      </c>
      <c r="V471" s="64">
        <f>Ringkasan!V470</f>
        <v>-2.82</v>
      </c>
      <c r="W471" s="64">
        <f>Ringkasan!W470</f>
        <v>6.7</v>
      </c>
      <c r="X471" s="64">
        <f>Ringkasan!X470</f>
        <v>6.81</v>
      </c>
      <c r="Y471" s="64">
        <f>Ringkasan!Y470</f>
        <v>6.42</v>
      </c>
      <c r="Z471" s="64">
        <f>Ringkasan!Z470</f>
        <v>12636785</v>
      </c>
      <c r="AA471" s="64" t="str">
        <f>Ringkasan!AA470</f>
        <v>Oil &amp; Gas</v>
      </c>
      <c r="AB471" s="64" t="str">
        <f>Ringkasan!AB470</f>
        <v>Energy</v>
      </c>
    </row>
    <row r="472" hidden="1">
      <c r="A472" s="64" t="str">
        <f>Ringkasan!A471</f>
        <v>BUMI</v>
      </c>
      <c r="B472" s="64" t="str">
        <f>Ringkasan!B471</f>
        <v>Bumi Resources Tbk.</v>
      </c>
      <c r="C472" s="65">
        <f>Ringkasan!C471</f>
        <v>157</v>
      </c>
      <c r="D472" s="64" t="str">
        <f>Ringkasan!D471</f>
        <v>#N/A</v>
      </c>
      <c r="E472" s="64" t="str">
        <f>Ringkasan!E471</f>
        <v>MNC36</v>
      </c>
      <c r="F472" s="64" t="str">
        <f>Ringkasan!F471</f>
        <v>30 Oktober 2026</v>
      </c>
      <c r="G472" s="64">
        <f>Ringkasan!G471</f>
        <v>11</v>
      </c>
      <c r="H472" s="19">
        <f>Ringkasan!H471</f>
        <v>42.3</v>
      </c>
      <c r="I472" s="19">
        <f>Ringkasan!I471</f>
        <v>1.3</v>
      </c>
      <c r="J472" s="19">
        <f>Ringkasan!J471</f>
        <v>3</v>
      </c>
      <c r="K472" s="19">
        <f>Ringkasan!K471</f>
        <v>1.9</v>
      </c>
      <c r="L472" s="19">
        <f>Ringkasan!L471</f>
        <v>0.53</v>
      </c>
      <c r="M472" s="19">
        <f>Ringkasan!M471</f>
        <v>20.8</v>
      </c>
      <c r="N472" s="64" t="str">
        <f>Ringkasan!N471</f>
        <v/>
      </c>
      <c r="O472" s="64" t="str">
        <f>Ringkasan!O471</f>
        <v/>
      </c>
      <c r="P472" s="64" t="str">
        <f>Ringkasan!P471</f>
        <v/>
      </c>
      <c r="Q472" s="64" t="str">
        <f>Ringkasan!Q471</f>
        <v/>
      </c>
      <c r="R472" s="64" t="str">
        <f>Ringkasan!R471</f>
        <v/>
      </c>
      <c r="S472" s="64" t="str">
        <f>Ringkasan!S471</f>
        <v/>
      </c>
      <c r="T472" s="64" t="str">
        <f>Ringkasan!T471</f>
        <v/>
      </c>
      <c r="U472" s="64">
        <f>Ringkasan!U471</f>
        <v>140</v>
      </c>
      <c r="V472" s="64">
        <f>Ringkasan!V471</f>
        <v>12.14</v>
      </c>
      <c r="W472" s="64">
        <f>Ringkasan!W471</f>
        <v>144</v>
      </c>
      <c r="X472" s="64">
        <f>Ringkasan!X471</f>
        <v>162</v>
      </c>
      <c r="Y472" s="64">
        <f>Ringkasan!Y471</f>
        <v>143</v>
      </c>
      <c r="Z472" s="64">
        <f>Ringkasan!Z471</f>
        <v>6630659700</v>
      </c>
      <c r="AA472" s="64" t="str">
        <f>Ringkasan!AA471</f>
        <v>Coal</v>
      </c>
      <c r="AB472" s="64" t="str">
        <f>Ringkasan!AB471</f>
        <v>Energy</v>
      </c>
    </row>
    <row r="473" hidden="1">
      <c r="A473" s="64" t="str">
        <f>Ringkasan!A472</f>
        <v>BUMI</v>
      </c>
      <c r="B473" s="64" t="str">
        <f>Ringkasan!B472</f>
        <v>Bumi Resources Tbk.</v>
      </c>
      <c r="C473" s="65">
        <f>Ringkasan!C472</f>
        <v>157</v>
      </c>
      <c r="D473" s="64" t="str">
        <f>Ringkasan!D472</f>
        <v>#N/A</v>
      </c>
      <c r="E473" s="64" t="str">
        <f>Ringkasan!E472</f>
        <v>LQ45</v>
      </c>
      <c r="F473" s="64" t="str">
        <f>Ringkasan!F472</f>
        <v>31 Juli 2026</v>
      </c>
      <c r="G473" s="64">
        <f>Ringkasan!G472</f>
        <v>11</v>
      </c>
      <c r="H473" s="19">
        <f>Ringkasan!H472</f>
        <v>42.3</v>
      </c>
      <c r="I473" s="19">
        <f>Ringkasan!I472</f>
        <v>1.3</v>
      </c>
      <c r="J473" s="19">
        <f>Ringkasan!J472</f>
        <v>3</v>
      </c>
      <c r="K473" s="19">
        <f>Ringkasan!K472</f>
        <v>1.9</v>
      </c>
      <c r="L473" s="19">
        <f>Ringkasan!L472</f>
        <v>0.53</v>
      </c>
      <c r="M473" s="19">
        <f>Ringkasan!M472</f>
        <v>20.8</v>
      </c>
      <c r="N473" s="64" t="str">
        <f>Ringkasan!N472</f>
        <v/>
      </c>
      <c r="O473" s="64" t="str">
        <f>Ringkasan!O472</f>
        <v/>
      </c>
      <c r="P473" s="64" t="str">
        <f>Ringkasan!P472</f>
        <v/>
      </c>
      <c r="Q473" s="64" t="str">
        <f>Ringkasan!Q472</f>
        <v/>
      </c>
      <c r="R473" s="64" t="str">
        <f>Ringkasan!R472</f>
        <v/>
      </c>
      <c r="S473" s="64" t="str">
        <f>Ringkasan!S472</f>
        <v/>
      </c>
      <c r="T473" s="64" t="str">
        <f>Ringkasan!T472</f>
        <v/>
      </c>
      <c r="U473" s="64">
        <f>Ringkasan!U472</f>
        <v>140</v>
      </c>
      <c r="V473" s="64">
        <f>Ringkasan!V472</f>
        <v>12.14</v>
      </c>
      <c r="W473" s="64">
        <f>Ringkasan!W472</f>
        <v>144</v>
      </c>
      <c r="X473" s="64">
        <f>Ringkasan!X472</f>
        <v>162</v>
      </c>
      <c r="Y473" s="64">
        <f>Ringkasan!Y472</f>
        <v>143</v>
      </c>
      <c r="Z473" s="64">
        <f>Ringkasan!Z472</f>
        <v>6630659700</v>
      </c>
      <c r="AA473" s="64" t="str">
        <f>Ringkasan!AA472</f>
        <v>Coal</v>
      </c>
      <c r="AB473" s="64" t="str">
        <f>Ringkasan!AB472</f>
        <v>Energy</v>
      </c>
    </row>
    <row r="474" hidden="1">
      <c r="A474" s="64" t="str">
        <f>Ringkasan!A473</f>
        <v>BUMI</v>
      </c>
      <c r="B474" s="64" t="str">
        <f>Ringkasan!B473</f>
        <v>Bumi Resources Tbk.</v>
      </c>
      <c r="C474" s="65">
        <f>Ringkasan!C473</f>
        <v>157</v>
      </c>
      <c r="D474" s="64" t="str">
        <f>Ringkasan!D473</f>
        <v>#N/A</v>
      </c>
      <c r="E474" s="64" t="str">
        <f>Ringkasan!E473</f>
        <v>Kompas100</v>
      </c>
      <c r="F474" s="64" t="str">
        <f>Ringkasan!F473</f>
        <v>31 Juli 2026</v>
      </c>
      <c r="G474" s="64">
        <f>Ringkasan!G473</f>
        <v>11</v>
      </c>
      <c r="H474" s="19">
        <f>Ringkasan!H473</f>
        <v>42.3</v>
      </c>
      <c r="I474" s="19">
        <f>Ringkasan!I473</f>
        <v>1.3</v>
      </c>
      <c r="J474" s="19">
        <f>Ringkasan!J473</f>
        <v>3</v>
      </c>
      <c r="K474" s="19">
        <f>Ringkasan!K473</f>
        <v>1.9</v>
      </c>
      <c r="L474" s="19">
        <f>Ringkasan!L473</f>
        <v>0.53</v>
      </c>
      <c r="M474" s="19">
        <f>Ringkasan!M473</f>
        <v>20.8</v>
      </c>
      <c r="N474" s="64" t="str">
        <f>Ringkasan!N473</f>
        <v/>
      </c>
      <c r="O474" s="64" t="str">
        <f>Ringkasan!O473</f>
        <v/>
      </c>
      <c r="P474" s="64" t="str">
        <f>Ringkasan!P473</f>
        <v/>
      </c>
      <c r="Q474" s="64" t="str">
        <f>Ringkasan!Q473</f>
        <v/>
      </c>
      <c r="R474" s="64" t="str">
        <f>Ringkasan!R473</f>
        <v/>
      </c>
      <c r="S474" s="64" t="str">
        <f>Ringkasan!S473</f>
        <v/>
      </c>
      <c r="T474" s="64" t="str">
        <f>Ringkasan!T473</f>
        <v/>
      </c>
      <c r="U474" s="64">
        <f>Ringkasan!U473</f>
        <v>140</v>
      </c>
      <c r="V474" s="64">
        <f>Ringkasan!V473</f>
        <v>12.14</v>
      </c>
      <c r="W474" s="64">
        <f>Ringkasan!W473</f>
        <v>144</v>
      </c>
      <c r="X474" s="64">
        <f>Ringkasan!X473</f>
        <v>162</v>
      </c>
      <c r="Y474" s="64">
        <f>Ringkasan!Y473</f>
        <v>143</v>
      </c>
      <c r="Z474" s="64">
        <f>Ringkasan!Z473</f>
        <v>6630659700</v>
      </c>
      <c r="AA474" s="64" t="str">
        <f>Ringkasan!AA473</f>
        <v>Coal</v>
      </c>
      <c r="AB474" s="64" t="str">
        <f>Ringkasan!AB473</f>
        <v>Energy</v>
      </c>
    </row>
    <row r="475" hidden="1">
      <c r="A475" s="64" t="str">
        <f>Ringkasan!A168</f>
        <v>ASII</v>
      </c>
      <c r="B475" s="64" t="str">
        <f>Ringkasan!B168</f>
        <v>Astra International Tbk</v>
      </c>
      <c r="C475" s="65">
        <f>Ringkasan!C168</f>
        <v>4740</v>
      </c>
      <c r="D475" s="64" t="str">
        <f>Ringkasan!D168</f>
        <v>#N/A</v>
      </c>
      <c r="E475" s="64" t="str">
        <f>Ringkasan!E168</f>
        <v>IDX80</v>
      </c>
      <c r="F475" s="64" t="str">
        <f>Ringkasan!F168</f>
        <v>31 Juli 2026</v>
      </c>
      <c r="G475" s="64">
        <f>Ringkasan!G168</f>
        <v>16</v>
      </c>
      <c r="H475" s="19">
        <f>Ringkasan!H168</f>
        <v>6.4</v>
      </c>
      <c r="I475" s="19">
        <f>Ringkasan!I168</f>
        <v>0.69</v>
      </c>
      <c r="J475" s="19">
        <f>Ringkasan!J168</f>
        <v>10.8</v>
      </c>
      <c r="K475" s="19">
        <f>Ringkasan!K168</f>
        <v>6.1</v>
      </c>
      <c r="L475" s="19">
        <f>Ringkasan!L168</f>
        <v>0.77</v>
      </c>
      <c r="M475" s="19">
        <f>Ringkasan!M168</f>
        <v>40.3</v>
      </c>
      <c r="N475" s="64" t="str">
        <f>Ringkasan!N168</f>
        <v/>
      </c>
      <c r="O475" s="64" t="str">
        <f>Ringkasan!O168</f>
        <v/>
      </c>
      <c r="P475" s="64" t="str">
        <f>Ringkasan!P168</f>
        <v/>
      </c>
      <c r="Q475" s="64" t="str">
        <f>Ringkasan!Q168</f>
        <v/>
      </c>
      <c r="R475" s="64" t="str">
        <f>Ringkasan!R168</f>
        <v/>
      </c>
      <c r="S475" s="64" t="str">
        <f>Ringkasan!S168</f>
        <v/>
      </c>
      <c r="T475" s="64" t="str">
        <f>Ringkasan!T168</f>
        <v/>
      </c>
      <c r="U475" s="64">
        <f>Ringkasan!U168</f>
        <v>0</v>
      </c>
      <c r="V475" s="64">
        <f>Ringkasan!V168</f>
        <v>0</v>
      </c>
      <c r="W475" s="64">
        <f>Ringkasan!W168</f>
        <v>0</v>
      </c>
      <c r="X475" s="64">
        <f>Ringkasan!X168</f>
        <v>0</v>
      </c>
      <c r="Y475" s="64">
        <f>Ringkasan!Y168</f>
        <v>0</v>
      </c>
      <c r="Z475" s="64">
        <f>Ringkasan!Z168</f>
        <v>4632235</v>
      </c>
      <c r="AA475" s="64" t="str">
        <f>Ringkasan!AA168</f>
        <v>Multi-sector Holdings</v>
      </c>
      <c r="AB475" s="64" t="str">
        <f>Ringkasan!AB168</f>
        <v>Industrials</v>
      </c>
    </row>
    <row r="476" hidden="1">
      <c r="A476" s="64" t="str">
        <f>Ringkasan!A213</f>
        <v>BALI</v>
      </c>
      <c r="B476" s="64" t="str">
        <f>Ringkasan!B213</f>
        <v>PT Bali Towerindo Sentra Tbk.</v>
      </c>
      <c r="C476" s="65">
        <f>Ringkasan!C213</f>
        <v>1210</v>
      </c>
      <c r="D476" s="64" t="str">
        <f>Ringkasan!D213</f>
        <v>#N/A</v>
      </c>
      <c r="E476" s="64" t="str">
        <f>Ringkasan!E213</f>
        <v/>
      </c>
      <c r="F476" s="64" t="str">
        <f>Ringkasan!F213</f>
        <v/>
      </c>
      <c r="G476" s="64">
        <f>Ringkasan!G213</f>
        <v>0</v>
      </c>
      <c r="H476" s="19">
        <f>Ringkasan!H213</f>
        <v>26</v>
      </c>
      <c r="I476" s="19">
        <f>Ringkasan!I213</f>
        <v>1.9</v>
      </c>
      <c r="J476" s="19">
        <f>Ringkasan!J213</f>
        <v>7.4</v>
      </c>
      <c r="K476" s="19">
        <f>Ringkasan!K213</f>
        <v>3</v>
      </c>
      <c r="L476" s="19">
        <f>Ringkasan!L213</f>
        <v>1.5</v>
      </c>
      <c r="M476" s="19">
        <f>Ringkasan!M213</f>
        <v>60.1</v>
      </c>
      <c r="N476" s="64" t="str">
        <f>Ringkasan!N213</f>
        <v/>
      </c>
      <c r="O476" s="64" t="str">
        <f>Ringkasan!O213</f>
        <v/>
      </c>
      <c r="P476" s="64" t="str">
        <f>Ringkasan!P213</f>
        <v/>
      </c>
      <c r="Q476" s="64" t="str">
        <f>Ringkasan!Q213</f>
        <v/>
      </c>
      <c r="R476" s="64" t="str">
        <f>Ringkasan!R213</f>
        <v/>
      </c>
      <c r="S476" s="64" t="str">
        <f>Ringkasan!S213</f>
        <v/>
      </c>
      <c r="T476" s="64" t="str">
        <f>Ringkasan!T213</f>
        <v/>
      </c>
      <c r="U476" s="64">
        <f>Ringkasan!U213</f>
        <v>33.45</v>
      </c>
      <c r="V476" s="64">
        <f>Ringkasan!V213</f>
        <v>0.51</v>
      </c>
      <c r="W476" s="64">
        <f>Ringkasan!W213</f>
        <v>33.55</v>
      </c>
      <c r="X476" s="64">
        <f>Ringkasan!X213</f>
        <v>33.67</v>
      </c>
      <c r="Y476" s="64">
        <f>Ringkasan!Y213</f>
        <v>33.43</v>
      </c>
      <c r="Z476" s="64">
        <f>Ringkasan!Z213</f>
        <v>12045</v>
      </c>
      <c r="AA476" s="64" t="str">
        <f>Ringkasan!AA213</f>
        <v>Wireless Telecommunication Services</v>
      </c>
      <c r="AB476" s="64" t="str">
        <f>Ringkasan!AB213</f>
        <v>Infrastructures</v>
      </c>
    </row>
    <row r="477" hidden="1">
      <c r="A477" s="60" t="str">
        <f>Ringkasan!A1803</f>
        <v>UNTR</v>
      </c>
      <c r="B477" s="60" t="str">
        <f>Ringkasan!B1803</f>
        <v>United Tractors Tbk.</v>
      </c>
      <c r="C477" s="61">
        <f>Ringkasan!C1803</f>
        <v>22500</v>
      </c>
      <c r="D477" s="60" t="str">
        <f>Ringkasan!D1803</f>
        <v>#N/A</v>
      </c>
      <c r="E477" s="60" t="str">
        <f>Ringkasan!E1803</f>
        <v>IDXG30</v>
      </c>
      <c r="F477" s="60" t="str">
        <f>Ringkasan!F1803</f>
        <v>4 Agustus 2026</v>
      </c>
      <c r="G477" s="61">
        <f>Ringkasan!G1803</f>
        <v>20</v>
      </c>
      <c r="H477" s="62">
        <f>Ringkasan!H1803</f>
        <v>7</v>
      </c>
      <c r="I477" s="62">
        <f>Ringkasan!I1803</f>
        <v>0.84</v>
      </c>
      <c r="J477" s="62">
        <f>Ringkasan!J1803</f>
        <v>12.1</v>
      </c>
      <c r="K477" s="62">
        <f>Ringkasan!K1803</f>
        <v>6.7</v>
      </c>
      <c r="L477" s="62">
        <f>Ringkasan!L1803</f>
        <v>0.8</v>
      </c>
      <c r="M477" s="62">
        <f>Ringkasan!M1803</f>
        <v>43</v>
      </c>
      <c r="N477" s="60" t="str">
        <f>Ringkasan!N1803</f>
        <v/>
      </c>
      <c r="O477" s="60" t="str">
        <f>Ringkasan!O1803</f>
        <v/>
      </c>
      <c r="P477" s="60" t="str">
        <f>Ringkasan!P1803</f>
        <v/>
      </c>
      <c r="Q477" s="60" t="str">
        <f>Ringkasan!Q1803</f>
        <v/>
      </c>
      <c r="R477" s="60" t="str">
        <f>Ringkasan!R1803</f>
        <v/>
      </c>
      <c r="S477" s="60" t="str">
        <f>Ringkasan!S1803</f>
        <v/>
      </c>
      <c r="T477" s="60" t="str">
        <f>Ringkasan!T1803</f>
        <v/>
      </c>
      <c r="U477" s="60">
        <f>Ringkasan!U1803</f>
        <v>21750</v>
      </c>
      <c r="V477" s="60">
        <f>Ringkasan!V1803</f>
        <v>3.45</v>
      </c>
      <c r="W477" s="60">
        <f>Ringkasan!W1803</f>
        <v>21900</v>
      </c>
      <c r="X477" s="60">
        <f>Ringkasan!X1803</f>
        <v>22825</v>
      </c>
      <c r="Y477" s="60">
        <f>Ringkasan!Y1803</f>
        <v>21900</v>
      </c>
      <c r="Z477" s="60">
        <f>Ringkasan!Z1803</f>
        <v>5608900</v>
      </c>
      <c r="AA477" s="60" t="str">
        <f>Ringkasan!AA1803</f>
        <v>Machinery</v>
      </c>
      <c r="AB477" s="60" t="str">
        <f>Ringkasan!AB1803</f>
        <v>Industrials</v>
      </c>
    </row>
    <row r="478" hidden="1">
      <c r="A478" s="64" t="str">
        <f>Ringkasan!A477</f>
        <v>BUMI</v>
      </c>
      <c r="B478" s="64" t="str">
        <f>Ringkasan!B477</f>
        <v>Bumi Resources Tbk.</v>
      </c>
      <c r="C478" s="65">
        <f>Ringkasan!C477</f>
        <v>157</v>
      </c>
      <c r="D478" s="64" t="str">
        <f>Ringkasan!D477</f>
        <v>#N/A</v>
      </c>
      <c r="E478" s="64" t="str">
        <f>Ringkasan!E477</f>
        <v>Pefindo - iGrade</v>
      </c>
      <c r="F478" s="64" t="str">
        <f>Ringkasan!F477</f>
        <v>30 Juni 2026</v>
      </c>
      <c r="G478" s="64">
        <f>Ringkasan!G477</f>
        <v>11</v>
      </c>
      <c r="H478" s="19">
        <f>Ringkasan!H477</f>
        <v>42.3</v>
      </c>
      <c r="I478" s="19">
        <f>Ringkasan!I477</f>
        <v>1.3</v>
      </c>
      <c r="J478" s="19">
        <f>Ringkasan!J477</f>
        <v>3</v>
      </c>
      <c r="K478" s="19">
        <f>Ringkasan!K477</f>
        <v>1.9</v>
      </c>
      <c r="L478" s="19">
        <f>Ringkasan!L477</f>
        <v>0.53</v>
      </c>
      <c r="M478" s="19">
        <f>Ringkasan!M477</f>
        <v>20.8</v>
      </c>
      <c r="N478" s="64" t="str">
        <f>Ringkasan!N477</f>
        <v/>
      </c>
      <c r="O478" s="64" t="str">
        <f>Ringkasan!O477</f>
        <v/>
      </c>
      <c r="P478" s="64" t="str">
        <f>Ringkasan!P477</f>
        <v/>
      </c>
      <c r="Q478" s="64" t="str">
        <f>Ringkasan!Q477</f>
        <v/>
      </c>
      <c r="R478" s="64" t="str">
        <f>Ringkasan!R477</f>
        <v/>
      </c>
      <c r="S478" s="64" t="str">
        <f>Ringkasan!S477</f>
        <v/>
      </c>
      <c r="T478" s="64" t="str">
        <f>Ringkasan!T477</f>
        <v/>
      </c>
      <c r="U478" s="64">
        <f>Ringkasan!U477</f>
        <v>140</v>
      </c>
      <c r="V478" s="64">
        <f>Ringkasan!V477</f>
        <v>12.14</v>
      </c>
      <c r="W478" s="64">
        <f>Ringkasan!W477</f>
        <v>144</v>
      </c>
      <c r="X478" s="64">
        <f>Ringkasan!X477</f>
        <v>162</v>
      </c>
      <c r="Y478" s="64">
        <f>Ringkasan!Y477</f>
        <v>143</v>
      </c>
      <c r="Z478" s="64">
        <f>Ringkasan!Z477</f>
        <v>6630659700</v>
      </c>
      <c r="AA478" s="64" t="str">
        <f>Ringkasan!AA477</f>
        <v>Coal</v>
      </c>
      <c r="AB478" s="64" t="str">
        <f>Ringkasan!AB477</f>
        <v>Energy</v>
      </c>
    </row>
    <row r="479" hidden="1">
      <c r="A479" s="64" t="str">
        <f>Ringkasan!A478</f>
        <v>BUMI</v>
      </c>
      <c r="B479" s="64" t="str">
        <f>Ringkasan!B478</f>
        <v>Bumi Resources Tbk.</v>
      </c>
      <c r="C479" s="65">
        <f>Ringkasan!C478</f>
        <v>157</v>
      </c>
      <c r="D479" s="64" t="str">
        <f>Ringkasan!D478</f>
        <v>#N/A</v>
      </c>
      <c r="E479" s="64" t="str">
        <f>Ringkasan!E478</f>
        <v>MSCI Small Cap</v>
      </c>
      <c r="F479" s="64" t="str">
        <f>Ringkasan!F478</f>
        <v>12 Agustus 2026</v>
      </c>
      <c r="G479" s="64">
        <f>Ringkasan!G478</f>
        <v>11</v>
      </c>
      <c r="H479" s="19">
        <f>Ringkasan!H478</f>
        <v>42.3</v>
      </c>
      <c r="I479" s="19">
        <f>Ringkasan!I478</f>
        <v>1.3</v>
      </c>
      <c r="J479" s="19">
        <f>Ringkasan!J478</f>
        <v>3</v>
      </c>
      <c r="K479" s="19">
        <f>Ringkasan!K478</f>
        <v>1.9</v>
      </c>
      <c r="L479" s="19">
        <f>Ringkasan!L478</f>
        <v>0.53</v>
      </c>
      <c r="M479" s="19">
        <f>Ringkasan!M478</f>
        <v>20.8</v>
      </c>
      <c r="N479" s="64">
        <f>Ringkasan!N478</f>
        <v>5.4</v>
      </c>
      <c r="O479" s="64">
        <f>Ringkasan!O478</f>
        <v>23.2</v>
      </c>
      <c r="P479" s="64">
        <f>Ringkasan!P478</f>
        <v>83</v>
      </c>
      <c r="Q479" s="64">
        <f>Ringkasan!Q478</f>
        <v>1.9</v>
      </c>
      <c r="R479" s="64">
        <f>Ringkasan!R478</f>
        <v>65.9</v>
      </c>
      <c r="S479" s="64">
        <f>Ringkasan!S478</f>
        <v>42.4</v>
      </c>
      <c r="T479" s="64">
        <f>Ringkasan!T478</f>
        <v>5.9</v>
      </c>
      <c r="U479" s="64">
        <f>Ringkasan!U478</f>
        <v>140</v>
      </c>
      <c r="V479" s="64">
        <f>Ringkasan!V478</f>
        <v>12.14</v>
      </c>
      <c r="W479" s="64">
        <f>Ringkasan!W478</f>
        <v>144</v>
      </c>
      <c r="X479" s="64">
        <f>Ringkasan!X478</f>
        <v>162</v>
      </c>
      <c r="Y479" s="64">
        <f>Ringkasan!Y478</f>
        <v>143</v>
      </c>
      <c r="Z479" s="64">
        <f>Ringkasan!Z478</f>
        <v>6630659700</v>
      </c>
      <c r="AA479" s="64" t="str">
        <f>Ringkasan!AA478</f>
        <v>Coal</v>
      </c>
      <c r="AB479" s="64" t="str">
        <f>Ringkasan!AB478</f>
        <v>Energy</v>
      </c>
    </row>
    <row r="480" hidden="1">
      <c r="A480" s="64" t="str">
        <f>Ringkasan!A479</f>
        <v>BUMI</v>
      </c>
      <c r="B480" s="64" t="str">
        <f>Ringkasan!B479</f>
        <v>Bumi Resources Tbk.</v>
      </c>
      <c r="C480" s="65">
        <f>Ringkasan!C479</f>
        <v>157</v>
      </c>
      <c r="D480" s="64" t="str">
        <f>Ringkasan!D479</f>
        <v>#N/A</v>
      </c>
      <c r="E480" s="64" t="str">
        <f>Ringkasan!E479</f>
        <v>IDXSHAGROW</v>
      </c>
      <c r="F480" s="66">
        <f>Ringkasan!F479</f>
        <v>46356</v>
      </c>
      <c r="G480" s="64">
        <f>Ringkasan!G479</f>
        <v>11</v>
      </c>
      <c r="H480" s="19">
        <f>Ringkasan!H479</f>
        <v>42.3</v>
      </c>
      <c r="I480" s="19">
        <f>Ringkasan!I479</f>
        <v>1.3</v>
      </c>
      <c r="J480" s="19">
        <f>Ringkasan!J479</f>
        <v>3</v>
      </c>
      <c r="K480" s="19">
        <f>Ringkasan!K479</f>
        <v>1.9</v>
      </c>
      <c r="L480" s="19">
        <f>Ringkasan!L479</f>
        <v>0.53</v>
      </c>
      <c r="M480" s="19">
        <f>Ringkasan!M479</f>
        <v>20.8</v>
      </c>
      <c r="N480" s="64" t="str">
        <f>Ringkasan!N479</f>
        <v/>
      </c>
      <c r="O480" s="64" t="str">
        <f>Ringkasan!O479</f>
        <v/>
      </c>
      <c r="P480" s="64" t="str">
        <f>Ringkasan!P479</f>
        <v/>
      </c>
      <c r="Q480" s="64" t="str">
        <f>Ringkasan!Q479</f>
        <v/>
      </c>
      <c r="R480" s="64" t="str">
        <f>Ringkasan!R479</f>
        <v/>
      </c>
      <c r="S480" s="64" t="str">
        <f>Ringkasan!S479</f>
        <v/>
      </c>
      <c r="T480" s="64" t="str">
        <f>Ringkasan!T479</f>
        <v/>
      </c>
      <c r="U480" s="64">
        <f>Ringkasan!U479</f>
        <v>140</v>
      </c>
      <c r="V480" s="64">
        <f>Ringkasan!V479</f>
        <v>12.14</v>
      </c>
      <c r="W480" s="64">
        <f>Ringkasan!W479</f>
        <v>144</v>
      </c>
      <c r="X480" s="64">
        <f>Ringkasan!X479</f>
        <v>162</v>
      </c>
      <c r="Y480" s="64">
        <f>Ringkasan!Y479</f>
        <v>143</v>
      </c>
      <c r="Z480" s="64">
        <f>Ringkasan!Z479</f>
        <v>6630659700</v>
      </c>
      <c r="AA480" s="64" t="str">
        <f>Ringkasan!AA479</f>
        <v>Coal</v>
      </c>
      <c r="AB480" s="64" t="str">
        <f>Ringkasan!AB479</f>
        <v>Energy</v>
      </c>
    </row>
    <row r="481" hidden="1">
      <c r="A481" s="64" t="str">
        <f>Ringkasan!A480</f>
        <v>BUMI</v>
      </c>
      <c r="B481" s="64" t="str">
        <f>Ringkasan!B480</f>
        <v>Bumi Resources Tbk.</v>
      </c>
      <c r="C481" s="65">
        <f>Ringkasan!C480</f>
        <v>157</v>
      </c>
      <c r="D481" s="64" t="str">
        <f>Ringkasan!D480</f>
        <v>#N/A</v>
      </c>
      <c r="E481" s="64" t="str">
        <f>Ringkasan!E480</f>
        <v>JII30</v>
      </c>
      <c r="F481" s="66">
        <f>Ringkasan!F480</f>
        <v>46356</v>
      </c>
      <c r="G481" s="64">
        <f>Ringkasan!G480</f>
        <v>11</v>
      </c>
      <c r="H481" s="19">
        <f>Ringkasan!H480</f>
        <v>42.3</v>
      </c>
      <c r="I481" s="19">
        <f>Ringkasan!I480</f>
        <v>1.3</v>
      </c>
      <c r="J481" s="19">
        <f>Ringkasan!J480</f>
        <v>3</v>
      </c>
      <c r="K481" s="19">
        <f>Ringkasan!K480</f>
        <v>1.9</v>
      </c>
      <c r="L481" s="19">
        <f>Ringkasan!L480</f>
        <v>0.53</v>
      </c>
      <c r="M481" s="19">
        <f>Ringkasan!M480</f>
        <v>20.8</v>
      </c>
      <c r="N481" s="64" t="str">
        <f>Ringkasan!N480</f>
        <v/>
      </c>
      <c r="O481" s="64" t="str">
        <f>Ringkasan!O480</f>
        <v/>
      </c>
      <c r="P481" s="64" t="str">
        <f>Ringkasan!P480</f>
        <v/>
      </c>
      <c r="Q481" s="64" t="str">
        <f>Ringkasan!Q480</f>
        <v/>
      </c>
      <c r="R481" s="64" t="str">
        <f>Ringkasan!R480</f>
        <v/>
      </c>
      <c r="S481" s="64" t="str">
        <f>Ringkasan!S480</f>
        <v/>
      </c>
      <c r="T481" s="64" t="str">
        <f>Ringkasan!T480</f>
        <v/>
      </c>
      <c r="U481" s="64">
        <f>Ringkasan!U480</f>
        <v>140</v>
      </c>
      <c r="V481" s="64">
        <f>Ringkasan!V480</f>
        <v>12.14</v>
      </c>
      <c r="W481" s="64">
        <f>Ringkasan!W480</f>
        <v>144</v>
      </c>
      <c r="X481" s="64">
        <f>Ringkasan!X480</f>
        <v>162</v>
      </c>
      <c r="Y481" s="64">
        <f>Ringkasan!Y480</f>
        <v>143</v>
      </c>
      <c r="Z481" s="64">
        <f>Ringkasan!Z480</f>
        <v>6630659700</v>
      </c>
      <c r="AA481" s="64" t="str">
        <f>Ringkasan!AA480</f>
        <v>Coal</v>
      </c>
      <c r="AB481" s="64" t="str">
        <f>Ringkasan!AB480</f>
        <v>Energy</v>
      </c>
    </row>
    <row r="482" hidden="1">
      <c r="A482" s="64" t="str">
        <f>Ringkasan!A481</f>
        <v>BUMI</v>
      </c>
      <c r="B482" s="64" t="str">
        <f>Ringkasan!B481</f>
        <v>Bumi Resources Tbk.</v>
      </c>
      <c r="C482" s="65">
        <f>Ringkasan!C481</f>
        <v>157</v>
      </c>
      <c r="D482" s="64" t="str">
        <f>Ringkasan!D481</f>
        <v>#N/A</v>
      </c>
      <c r="E482" s="64" t="str">
        <f>Ringkasan!E481</f>
        <v>JII70</v>
      </c>
      <c r="F482" s="66">
        <f>Ringkasan!F481</f>
        <v>46356</v>
      </c>
      <c r="G482" s="64">
        <f>Ringkasan!G481</f>
        <v>11</v>
      </c>
      <c r="H482" s="19">
        <f>Ringkasan!H481</f>
        <v>42.3</v>
      </c>
      <c r="I482" s="19">
        <f>Ringkasan!I481</f>
        <v>1.3</v>
      </c>
      <c r="J482" s="19">
        <f>Ringkasan!J481</f>
        <v>3</v>
      </c>
      <c r="K482" s="19">
        <f>Ringkasan!K481</f>
        <v>1.9</v>
      </c>
      <c r="L482" s="19">
        <f>Ringkasan!L481</f>
        <v>0.53</v>
      </c>
      <c r="M482" s="19">
        <f>Ringkasan!M481</f>
        <v>20.8</v>
      </c>
      <c r="N482" s="64" t="str">
        <f>Ringkasan!N481</f>
        <v/>
      </c>
      <c r="O482" s="64" t="str">
        <f>Ringkasan!O481</f>
        <v/>
      </c>
      <c r="P482" s="64" t="str">
        <f>Ringkasan!P481</f>
        <v/>
      </c>
      <c r="Q482" s="64" t="str">
        <f>Ringkasan!Q481</f>
        <v/>
      </c>
      <c r="R482" s="64" t="str">
        <f>Ringkasan!R481</f>
        <v/>
      </c>
      <c r="S482" s="64" t="str">
        <f>Ringkasan!S481</f>
        <v/>
      </c>
      <c r="T482" s="64" t="str">
        <f>Ringkasan!T481</f>
        <v/>
      </c>
      <c r="U482" s="64">
        <f>Ringkasan!U481</f>
        <v>140</v>
      </c>
      <c r="V482" s="64">
        <f>Ringkasan!V481</f>
        <v>12.14</v>
      </c>
      <c r="W482" s="64">
        <f>Ringkasan!W481</f>
        <v>144</v>
      </c>
      <c r="X482" s="64">
        <f>Ringkasan!X481</f>
        <v>162</v>
      </c>
      <c r="Y482" s="64">
        <f>Ringkasan!Y481</f>
        <v>143</v>
      </c>
      <c r="Z482" s="64">
        <f>Ringkasan!Z481</f>
        <v>6630659700</v>
      </c>
      <c r="AA482" s="64" t="str">
        <f>Ringkasan!AA481</f>
        <v>Coal</v>
      </c>
      <c r="AB482" s="64" t="str">
        <f>Ringkasan!AB481</f>
        <v>Energy</v>
      </c>
    </row>
    <row r="483" hidden="1">
      <c r="A483" s="64" t="str">
        <f>Ringkasan!A482</f>
        <v>BUVA</v>
      </c>
      <c r="B483" s="64" t="str">
        <f>Ringkasan!B482</f>
        <v>Bukit Uluwatu Villa Tbk.</v>
      </c>
      <c r="C483" s="65">
        <f>Ringkasan!C482</f>
        <v>775</v>
      </c>
      <c r="D483" s="64" t="str">
        <f>Ringkasan!D482</f>
        <v>#N/A</v>
      </c>
      <c r="E483" s="64" t="str">
        <f>Ringkasan!E482</f>
        <v>Kompas100</v>
      </c>
      <c r="F483" s="64" t="str">
        <f>Ringkasan!F482</f>
        <v>31 Juli 2026</v>
      </c>
      <c r="G483" s="64">
        <f>Ringkasan!G482</f>
        <v>1</v>
      </c>
      <c r="H483" s="19">
        <f>Ringkasan!H482</f>
        <v>940</v>
      </c>
      <c r="I483" s="19">
        <f>Ringkasan!I482</f>
        <v>9.2</v>
      </c>
      <c r="J483" s="19">
        <f>Ringkasan!J482</f>
        <v>0.97</v>
      </c>
      <c r="K483" s="19">
        <f>Ringkasan!K482</f>
        <v>0.77</v>
      </c>
      <c r="L483" s="19">
        <f>Ringkasan!L482</f>
        <v>0.27</v>
      </c>
      <c r="M483" s="19">
        <f>Ringkasan!M482</f>
        <v>31</v>
      </c>
      <c r="N483" s="64" t="str">
        <f>Ringkasan!N482</f>
        <v/>
      </c>
      <c r="O483" s="64" t="str">
        <f>Ringkasan!O482</f>
        <v/>
      </c>
      <c r="P483" s="64" t="str">
        <f>Ringkasan!P482</f>
        <v/>
      </c>
      <c r="Q483" s="64" t="str">
        <f>Ringkasan!Q482</f>
        <v/>
      </c>
      <c r="R483" s="64" t="str">
        <f>Ringkasan!R482</f>
        <v/>
      </c>
      <c r="S483" s="64" t="str">
        <f>Ringkasan!S482</f>
        <v/>
      </c>
      <c r="T483" s="64" t="str">
        <f>Ringkasan!T482</f>
        <v/>
      </c>
      <c r="U483" s="64">
        <f>Ringkasan!U482</f>
        <v>715</v>
      </c>
      <c r="V483" s="64">
        <f>Ringkasan!V482</f>
        <v>8.39</v>
      </c>
      <c r="W483" s="64">
        <f>Ringkasan!W482</f>
        <v>730</v>
      </c>
      <c r="X483" s="64">
        <f>Ringkasan!X482</f>
        <v>795</v>
      </c>
      <c r="Y483" s="64">
        <f>Ringkasan!Y482</f>
        <v>725</v>
      </c>
      <c r="Z483" s="64">
        <f>Ringkasan!Z482</f>
        <v>236437100</v>
      </c>
      <c r="AA483" s="64" t="str">
        <f>Ringkasan!AA482</f>
        <v>Tourism &amp; Recreation</v>
      </c>
      <c r="AB483" s="64" t="str">
        <f>Ringkasan!AB482</f>
        <v>Consumer Cyclicals</v>
      </c>
    </row>
    <row r="484" hidden="1">
      <c r="A484" s="64" t="str">
        <f>Ringkasan!A483</f>
        <v>BVIC</v>
      </c>
      <c r="B484" s="64" t="str">
        <f>Ringkasan!B483</f>
        <v>Bank Victoria International Tbk.</v>
      </c>
      <c r="C484" s="65">
        <f>Ringkasan!C483</f>
        <v>87</v>
      </c>
      <c r="D484" s="64" t="str">
        <f>Ringkasan!D483</f>
        <v>#N/A</v>
      </c>
      <c r="E484" s="64" t="str">
        <f>Ringkasan!E483</f>
        <v/>
      </c>
      <c r="F484" s="64" t="str">
        <f>Ringkasan!F483</f>
        <v/>
      </c>
      <c r="G484" s="64">
        <f>Ringkasan!G483</f>
        <v>0</v>
      </c>
      <c r="H484" s="19">
        <f>Ringkasan!H483</f>
        <v>13.5</v>
      </c>
      <c r="I484" s="19">
        <f>Ringkasan!I483</f>
        <v>0.42</v>
      </c>
      <c r="J484" s="19">
        <f>Ringkasan!J483</f>
        <v>3.2</v>
      </c>
      <c r="K484" s="19">
        <f>Ringkasan!K483</f>
        <v>0.4</v>
      </c>
      <c r="L484" s="19">
        <f>Ringkasan!L483</f>
        <v>6.9</v>
      </c>
      <c r="M484" s="19">
        <f>Ringkasan!M483</f>
        <v>22.6</v>
      </c>
      <c r="N484" s="64">
        <f>Ringkasan!N483</f>
        <v>2.12</v>
      </c>
      <c r="O484" s="64">
        <f>Ringkasan!O483</f>
        <v>19.45</v>
      </c>
      <c r="P484" s="64">
        <f>Ringkasan!P483</f>
        <v>81.1</v>
      </c>
      <c r="Q484" s="64">
        <f>Ringkasan!Q483</f>
        <v>4.15</v>
      </c>
      <c r="R484" s="64">
        <f>Ringkasan!R483</f>
        <v>93.4</v>
      </c>
      <c r="S484" s="64">
        <f>Ringkasan!S483</f>
        <v>60.15</v>
      </c>
      <c r="T484" s="64">
        <f>Ringkasan!T483</f>
        <v>12.11</v>
      </c>
      <c r="U484" s="64">
        <f>Ringkasan!U483</f>
        <v>84</v>
      </c>
      <c r="V484" s="64">
        <f>Ringkasan!V483</f>
        <v>3.57</v>
      </c>
      <c r="W484" s="64">
        <f>Ringkasan!W483</f>
        <v>84</v>
      </c>
      <c r="X484" s="64">
        <f>Ringkasan!X483</f>
        <v>88</v>
      </c>
      <c r="Y484" s="64">
        <f>Ringkasan!Y483</f>
        <v>84</v>
      </c>
      <c r="Z484" s="64">
        <f>Ringkasan!Z483</f>
        <v>1144900</v>
      </c>
      <c r="AA484" s="64" t="str">
        <f>Ringkasan!AA483</f>
        <v>Banks</v>
      </c>
      <c r="AB484" s="64" t="str">
        <f>Ringkasan!AB483</f>
        <v>Financials</v>
      </c>
    </row>
    <row r="485" hidden="1">
      <c r="A485" s="64" t="str">
        <f>Ringkasan!A484</f>
        <v>BWPT</v>
      </c>
      <c r="B485" s="64" t="str">
        <f>Ringkasan!B484</f>
        <v>Eagle High Plantations Tbk</v>
      </c>
      <c r="C485" s="65">
        <f>Ringkasan!C484</f>
        <v>74</v>
      </c>
      <c r="D485" s="64" t="str">
        <f>Ringkasan!D484</f>
        <v>#N/A</v>
      </c>
      <c r="E485" s="64" t="str">
        <f>Ringkasan!E484</f>
        <v>ESGSKEHATI</v>
      </c>
      <c r="F485" s="66">
        <f>Ringkasan!F484</f>
        <v>46356</v>
      </c>
      <c r="G485" s="65">
        <f>Ringkasan!G484</f>
        <v>1</v>
      </c>
      <c r="H485" s="19">
        <f>Ringkasan!H484</f>
        <v>7.1</v>
      </c>
      <c r="I485" s="19">
        <f>Ringkasan!I484</f>
        <v>0.9</v>
      </c>
      <c r="J485" s="19">
        <f>Ringkasan!J484</f>
        <v>12.7</v>
      </c>
      <c r="K485" s="19">
        <f>Ringkasan!K484</f>
        <v>3.6</v>
      </c>
      <c r="L485" s="19">
        <f>Ringkasan!L484</f>
        <v>2.5</v>
      </c>
      <c r="M485" s="19">
        <f>Ringkasan!M484</f>
        <v>26.8</v>
      </c>
      <c r="N485" s="64" t="str">
        <f>Ringkasan!N484</f>
        <v/>
      </c>
      <c r="O485" s="64" t="str">
        <f>Ringkasan!O484</f>
        <v/>
      </c>
      <c r="P485" s="64" t="str">
        <f>Ringkasan!P484</f>
        <v/>
      </c>
      <c r="Q485" s="64" t="str">
        <f>Ringkasan!Q484</f>
        <v/>
      </c>
      <c r="R485" s="64" t="str">
        <f>Ringkasan!R484</f>
        <v/>
      </c>
      <c r="S485" s="64" t="str">
        <f>Ringkasan!S484</f>
        <v/>
      </c>
      <c r="T485" s="64" t="str">
        <f>Ringkasan!T484</f>
        <v/>
      </c>
      <c r="U485" s="64">
        <f>Ringkasan!U484</f>
        <v>72</v>
      </c>
      <c r="V485" s="64">
        <f>Ringkasan!V484</f>
        <v>2.78</v>
      </c>
      <c r="W485" s="64">
        <f>Ringkasan!W484</f>
        <v>73</v>
      </c>
      <c r="X485" s="64">
        <f>Ringkasan!X484</f>
        <v>81</v>
      </c>
      <c r="Y485" s="64">
        <f>Ringkasan!Y484</f>
        <v>72</v>
      </c>
      <c r="Z485" s="64">
        <f>Ringkasan!Z484</f>
        <v>242215100</v>
      </c>
      <c r="AA485" s="64" t="str">
        <f>Ringkasan!AA484</f>
        <v>Agricultural Products</v>
      </c>
      <c r="AB485" s="64" t="str">
        <f>Ringkasan!AB484</f>
        <v>Consumer Non-Cyclicals</v>
      </c>
    </row>
    <row r="486" hidden="1">
      <c r="A486" s="64" t="str">
        <f>Ringkasan!A340</f>
        <v>BJBR</v>
      </c>
      <c r="B486" s="64" t="str">
        <f>Ringkasan!B340</f>
        <v>Bank Pembangunan Daerah Jawa Barat dan Banten Tbk</v>
      </c>
      <c r="C486" s="65">
        <f>Ringkasan!C340</f>
        <v>750</v>
      </c>
      <c r="D486" s="64" t="str">
        <f>Ringkasan!D340</f>
        <v>#N/A</v>
      </c>
      <c r="E486" s="64" t="str">
        <f>Ringkasan!E340</f>
        <v>IDXBUMN20</v>
      </c>
      <c r="F486" s="64" t="str">
        <f>Ringkasan!F340</f>
        <v>4 Agustus 2026</v>
      </c>
      <c r="G486" s="64">
        <f>Ringkasan!G340</f>
        <v>3</v>
      </c>
      <c r="H486" s="19">
        <f>Ringkasan!H340</f>
        <v>6.9</v>
      </c>
      <c r="I486" s="19">
        <f>Ringkasan!I340</f>
        <v>0.39</v>
      </c>
      <c r="J486" s="19">
        <f>Ringkasan!J340</f>
        <v>5.6</v>
      </c>
      <c r="K486" s="19">
        <f>Ringkasan!K340</f>
        <v>0.53</v>
      </c>
      <c r="L486" s="19">
        <f>Ringkasan!L340</f>
        <v>9.2</v>
      </c>
      <c r="M486" s="19">
        <f>Ringkasan!M340</f>
        <v>26.3</v>
      </c>
      <c r="N486" s="64">
        <f>Ringkasan!N340</f>
        <v>3.7</v>
      </c>
      <c r="O486" s="64">
        <f>Ringkasan!O340</f>
        <v>19.3</v>
      </c>
      <c r="P486" s="64">
        <f>Ringkasan!P340</f>
        <v>87.4</v>
      </c>
      <c r="Q486" s="64">
        <f>Ringkasan!Q340</f>
        <v>1.4</v>
      </c>
      <c r="R486" s="64">
        <f>Ringkasan!R340</f>
        <v>87.9</v>
      </c>
      <c r="S486" s="64">
        <f>Ringkasan!S340</f>
        <v>56</v>
      </c>
      <c r="T486" s="64">
        <f>Ringkasan!T340</f>
        <v>6.3</v>
      </c>
      <c r="U486" s="64">
        <f>Ringkasan!U340</f>
        <v>740</v>
      </c>
      <c r="V486" s="64">
        <f>Ringkasan!V340</f>
        <v>1.35</v>
      </c>
      <c r="W486" s="64">
        <f>Ringkasan!W340</f>
        <v>745</v>
      </c>
      <c r="X486" s="64">
        <f>Ringkasan!X340</f>
        <v>760</v>
      </c>
      <c r="Y486" s="64">
        <f>Ringkasan!Y340</f>
        <v>740</v>
      </c>
      <c r="Z486" s="64">
        <f>Ringkasan!Z340</f>
        <v>3504900</v>
      </c>
      <c r="AA486" s="64" t="str">
        <f>Ringkasan!AA340</f>
        <v>Banks</v>
      </c>
      <c r="AB486" s="64" t="str">
        <f>Ringkasan!AB340</f>
        <v>Financials</v>
      </c>
    </row>
    <row r="487" hidden="1">
      <c r="A487" s="64" t="str">
        <f>Ringkasan!A486</f>
        <v>CAKK</v>
      </c>
      <c r="B487" s="64" t="str">
        <f>Ringkasan!B486</f>
        <v>Cahayaputra Asa Keramik Tbk.</v>
      </c>
      <c r="C487" s="65">
        <f>Ringkasan!C486</f>
        <v>140</v>
      </c>
      <c r="D487" s="64" t="str">
        <f>Ringkasan!D486</f>
        <v>#N/A</v>
      </c>
      <c r="E487" s="64" t="str">
        <f>Ringkasan!E486</f>
        <v/>
      </c>
      <c r="F487" s="64" t="str">
        <f>Ringkasan!F486</f>
        <v/>
      </c>
      <c r="G487" s="64">
        <f>Ringkasan!G486</f>
        <v>0</v>
      </c>
      <c r="H487" s="19">
        <f>Ringkasan!H486</f>
        <v>-4.3</v>
      </c>
      <c r="I487" s="19">
        <f>Ringkasan!I486</f>
        <v>1.4</v>
      </c>
      <c r="J487" s="19">
        <f>Ringkasan!J486</f>
        <v>-31.6</v>
      </c>
      <c r="K487" s="19">
        <f>Ringkasan!K486</f>
        <v>-8.5</v>
      </c>
      <c r="L487" s="19">
        <f>Ringkasan!L486</f>
        <v>2.7</v>
      </c>
      <c r="M487" s="19">
        <f>Ringkasan!M486</f>
        <v>-40</v>
      </c>
      <c r="N487" s="64" t="str">
        <f>Ringkasan!N486</f>
        <v/>
      </c>
      <c r="O487" s="64" t="str">
        <f>Ringkasan!O486</f>
        <v/>
      </c>
      <c r="P487" s="64" t="str">
        <f>Ringkasan!P486</f>
        <v/>
      </c>
      <c r="Q487" s="64" t="str">
        <f>Ringkasan!Q486</f>
        <v/>
      </c>
      <c r="R487" s="64" t="str">
        <f>Ringkasan!R486</f>
        <v/>
      </c>
      <c r="S487" s="64" t="str">
        <f>Ringkasan!S486</f>
        <v/>
      </c>
      <c r="T487" s="64" t="str">
        <f>Ringkasan!T486</f>
        <v/>
      </c>
      <c r="U487" s="64">
        <f>Ringkasan!U486</f>
        <v>136</v>
      </c>
      <c r="V487" s="64" t="str">
        <f>Ringkasan!V486</f>
        <v/>
      </c>
      <c r="W487" s="64">
        <f>Ringkasan!W486</f>
        <v>137</v>
      </c>
      <c r="X487" s="64">
        <f>Ringkasan!X486</f>
        <v>140</v>
      </c>
      <c r="Y487" s="64" t="str">
        <f>Ringkasan!Y486</f>
        <v/>
      </c>
      <c r="Z487" s="64">
        <f>Ringkasan!Z486</f>
        <v>60800</v>
      </c>
      <c r="AA487" s="64" t="str">
        <f>Ringkasan!AA486</f>
        <v>Building Products &amp; Fixtures</v>
      </c>
      <c r="AB487" s="64" t="str">
        <f>Ringkasan!AB486</f>
        <v>Industrials</v>
      </c>
    </row>
    <row r="488" hidden="1">
      <c r="A488" s="64" t="str">
        <f>Ringkasan!A487</f>
        <v>CAMP</v>
      </c>
      <c r="B488" s="64" t="str">
        <f>Ringkasan!B487</f>
        <v>Campina Ice Cream Industry Tbk.</v>
      </c>
      <c r="C488" s="65" t="str">
        <f>Ringkasan!C487</f>
        <v>#N/A</v>
      </c>
      <c r="D488" s="64" t="str">
        <f>Ringkasan!D487</f>
        <v>#N/A</v>
      </c>
      <c r="E488" s="64" t="str">
        <f>Ringkasan!E487</f>
        <v/>
      </c>
      <c r="F488" s="64" t="str">
        <f>Ringkasan!F487</f>
        <v/>
      </c>
      <c r="G488" s="64">
        <f>Ringkasan!G487</f>
        <v>0</v>
      </c>
      <c r="H488" s="19">
        <f>Ringkasan!H487</f>
        <v>14.6</v>
      </c>
      <c r="I488" s="19">
        <f>Ringkasan!I487</f>
        <v>1.1</v>
      </c>
      <c r="J488" s="19">
        <f>Ringkasan!J487</f>
        <v>7.5</v>
      </c>
      <c r="K488" s="19">
        <f>Ringkasan!K487</f>
        <v>6.4</v>
      </c>
      <c r="L488" s="19">
        <f>Ringkasan!L487</f>
        <v>0.18</v>
      </c>
      <c r="M488" s="19">
        <f>Ringkasan!M487</f>
        <v>27.7</v>
      </c>
      <c r="N488" s="64" t="str">
        <f>Ringkasan!N487</f>
        <v/>
      </c>
      <c r="O488" s="64" t="str">
        <f>Ringkasan!O487</f>
        <v/>
      </c>
      <c r="P488" s="64" t="str">
        <f>Ringkasan!P487</f>
        <v/>
      </c>
      <c r="Q488" s="64" t="str">
        <f>Ringkasan!Q487</f>
        <v/>
      </c>
      <c r="R488" s="64" t="str">
        <f>Ringkasan!R487</f>
        <v/>
      </c>
      <c r="S488" s="64" t="str">
        <f>Ringkasan!S487</f>
        <v/>
      </c>
      <c r="T488" s="64" t="str">
        <f>Ringkasan!T487</f>
        <v/>
      </c>
      <c r="U488" s="64">
        <f>Ringkasan!U487</f>
        <v>4.22</v>
      </c>
      <c r="V488" s="64">
        <f>Ringkasan!V487</f>
        <v>-0.71</v>
      </c>
      <c r="W488" s="64">
        <f>Ringkasan!W487</f>
        <v>4.22</v>
      </c>
      <c r="X488" s="64">
        <f>Ringkasan!X487</f>
        <v>4.46</v>
      </c>
      <c r="Y488" s="64">
        <f>Ringkasan!Y487</f>
        <v>4.16</v>
      </c>
      <c r="Z488" s="64">
        <f>Ringkasan!Z487</f>
        <v>41032</v>
      </c>
      <c r="AA488" s="64" t="str">
        <f>Ringkasan!AA487</f>
        <v>Processed Foods</v>
      </c>
      <c r="AB488" s="64" t="str">
        <f>Ringkasan!AB487</f>
        <v>Consumer Non-Cyclicals</v>
      </c>
    </row>
    <row r="489" hidden="1">
      <c r="A489" s="64" t="str">
        <f>Ringkasan!A488</f>
        <v>CANI</v>
      </c>
      <c r="B489" s="64" t="str">
        <f>Ringkasan!B488</f>
        <v>Capitol Nusantara Indonesia Tbk.</v>
      </c>
      <c r="C489" s="65">
        <f>Ringkasan!C488</f>
        <v>148</v>
      </c>
      <c r="D489" s="64" t="str">
        <f>Ringkasan!D488</f>
        <v>#N/A</v>
      </c>
      <c r="E489" s="64" t="str">
        <f>Ringkasan!E488</f>
        <v/>
      </c>
      <c r="F489" s="64" t="str">
        <f>Ringkasan!F488</f>
        <v/>
      </c>
      <c r="G489" s="64">
        <f>Ringkasan!G488</f>
        <v>0</v>
      </c>
      <c r="H489" s="19">
        <f>Ringkasan!H488</f>
        <v>-4.1</v>
      </c>
      <c r="I489" s="19">
        <f>Ringkasan!I488</f>
        <v>-0.2</v>
      </c>
      <c r="J489" s="19">
        <f>Ringkasan!J488</f>
        <v>0</v>
      </c>
      <c r="K489" s="19">
        <f>Ringkasan!K488</f>
        <v>-23.7</v>
      </c>
      <c r="L489" s="19">
        <f>Ringkasan!L488</f>
        <v>-1.2</v>
      </c>
      <c r="M489" s="19">
        <f>Ringkasan!M488</f>
        <v>-84.4</v>
      </c>
      <c r="N489" s="64" t="str">
        <f>Ringkasan!N488</f>
        <v/>
      </c>
      <c r="O489" s="64" t="str">
        <f>Ringkasan!O488</f>
        <v/>
      </c>
      <c r="P489" s="64" t="str">
        <f>Ringkasan!P488</f>
        <v/>
      </c>
      <c r="Q489" s="64" t="str">
        <f>Ringkasan!Q488</f>
        <v/>
      </c>
      <c r="R489" s="64" t="str">
        <f>Ringkasan!R488</f>
        <v/>
      </c>
      <c r="S489" s="64" t="str">
        <f>Ringkasan!S488</f>
        <v/>
      </c>
      <c r="T489" s="64" t="str">
        <f>Ringkasan!T488</f>
        <v/>
      </c>
      <c r="U489" s="64">
        <f>Ringkasan!U488</f>
        <v>136</v>
      </c>
      <c r="V489" s="64">
        <f>Ringkasan!V488</f>
        <v>8.82</v>
      </c>
      <c r="W489" s="64">
        <f>Ringkasan!W488</f>
        <v>136</v>
      </c>
      <c r="X489" s="64">
        <f>Ringkasan!X488</f>
        <v>148</v>
      </c>
      <c r="Y489" s="64">
        <f>Ringkasan!Y488</f>
        <v>136</v>
      </c>
      <c r="Z489" s="64">
        <f>Ringkasan!Z488</f>
        <v>106300</v>
      </c>
      <c r="AA489" s="64" t="str">
        <f>Ringkasan!AA488</f>
        <v>Coal</v>
      </c>
      <c r="AB489" s="64" t="str">
        <f>Ringkasan!AB488</f>
        <v>Energy</v>
      </c>
    </row>
    <row r="490" hidden="1">
      <c r="A490" s="64" t="str">
        <f>Ringkasan!A489</f>
        <v>CARE</v>
      </c>
      <c r="B490" s="64" t="str">
        <f>Ringkasan!B489</f>
        <v>Metro Healthcare Indonesia Tbk.</v>
      </c>
      <c r="C490" s="65">
        <f>Ringkasan!C489</f>
        <v>406</v>
      </c>
      <c r="D490" s="64" t="str">
        <f>Ringkasan!D489</f>
        <v>#N/A</v>
      </c>
      <c r="E490" s="64" t="str">
        <f>Ringkasan!E489</f>
        <v/>
      </c>
      <c r="F490" s="64" t="str">
        <f>Ringkasan!F489</f>
        <v/>
      </c>
      <c r="G490" s="64">
        <f>Ringkasan!G489</f>
        <v>0</v>
      </c>
      <c r="H490" s="19">
        <f>Ringkasan!H489</f>
        <v>400</v>
      </c>
      <c r="I490" s="19">
        <f>Ringkasan!I489</f>
        <v>4.5</v>
      </c>
      <c r="J490" s="19">
        <f>Ringkasan!J489</f>
        <v>1.1</v>
      </c>
      <c r="K490" s="19">
        <f>Ringkasan!K489</f>
        <v>0.82</v>
      </c>
      <c r="L490" s="19">
        <f>Ringkasan!L489</f>
        <v>0.38</v>
      </c>
      <c r="M490" s="19">
        <f>Ringkasan!M489</f>
        <v>28.4</v>
      </c>
      <c r="N490" s="64" t="str">
        <f>Ringkasan!N489</f>
        <v/>
      </c>
      <c r="O490" s="64" t="str">
        <f>Ringkasan!O489</f>
        <v/>
      </c>
      <c r="P490" s="64" t="str">
        <f>Ringkasan!P489</f>
        <v/>
      </c>
      <c r="Q490" s="64" t="str">
        <f>Ringkasan!Q489</f>
        <v/>
      </c>
      <c r="R490" s="64" t="str">
        <f>Ringkasan!R489</f>
        <v/>
      </c>
      <c r="S490" s="64" t="str">
        <f>Ringkasan!S489</f>
        <v/>
      </c>
      <c r="T490" s="64" t="str">
        <f>Ringkasan!T489</f>
        <v/>
      </c>
      <c r="U490" s="64">
        <f>Ringkasan!U489</f>
        <v>29.56</v>
      </c>
      <c r="V490" s="64">
        <f>Ringkasan!V489</f>
        <v>1.07</v>
      </c>
      <c r="W490" s="64" t="str">
        <f>Ringkasan!W489</f>
        <v/>
      </c>
      <c r="X490" s="64">
        <f>Ringkasan!X489</f>
        <v>29.99</v>
      </c>
      <c r="Y490" s="64">
        <f>Ringkasan!Y489</f>
        <v>29.39</v>
      </c>
      <c r="Z490" s="64">
        <f>Ringkasan!Z489</f>
        <v>447721</v>
      </c>
      <c r="AA490" s="64" t="str">
        <f>Ringkasan!AA489</f>
        <v>Healthcare Providers</v>
      </c>
      <c r="AB490" s="64" t="str">
        <f>Ringkasan!AB489</f>
        <v>Healthcare</v>
      </c>
    </row>
    <row r="491" hidden="1">
      <c r="A491" s="64" t="str">
        <f>Ringkasan!A490</f>
        <v>CARS</v>
      </c>
      <c r="B491" s="64" t="str">
        <f>Ringkasan!B490</f>
        <v>PT Industri dan Perdagangan Bintraco Dharma Tbk</v>
      </c>
      <c r="C491" s="65">
        <f>Ringkasan!C490</f>
        <v>89</v>
      </c>
      <c r="D491" s="64" t="str">
        <f>Ringkasan!D490</f>
        <v>#N/A</v>
      </c>
      <c r="E491" s="64" t="str">
        <f>Ringkasan!E490</f>
        <v>ESGSKEHATI</v>
      </c>
      <c r="F491" s="66">
        <f>Ringkasan!F490</f>
        <v>46356</v>
      </c>
      <c r="G491" s="65">
        <f>Ringkasan!G490</f>
        <v>1</v>
      </c>
      <c r="H491" s="19">
        <f>Ringkasan!H490</f>
        <v>9.3</v>
      </c>
      <c r="I491" s="19">
        <f>Ringkasan!I490</f>
        <v>1</v>
      </c>
      <c r="J491" s="19">
        <f>Ringkasan!J490</f>
        <v>10.8</v>
      </c>
      <c r="K491" s="19">
        <f>Ringkasan!K490</f>
        <v>5</v>
      </c>
      <c r="L491" s="19">
        <f>Ringkasan!L490</f>
        <v>1.1</v>
      </c>
      <c r="M491" s="19">
        <f>Ringkasan!M490</f>
        <v>13.2</v>
      </c>
      <c r="N491" s="64" t="str">
        <f>Ringkasan!N490</f>
        <v/>
      </c>
      <c r="O491" s="64" t="str">
        <f>Ringkasan!O490</f>
        <v/>
      </c>
      <c r="P491" s="64" t="str">
        <f>Ringkasan!P490</f>
        <v/>
      </c>
      <c r="Q491" s="64" t="str">
        <f>Ringkasan!Q490</f>
        <v/>
      </c>
      <c r="R491" s="64" t="str">
        <f>Ringkasan!R490</f>
        <v/>
      </c>
      <c r="S491" s="64" t="str">
        <f>Ringkasan!S490</f>
        <v/>
      </c>
      <c r="T491" s="64" t="str">
        <f>Ringkasan!T490</f>
        <v/>
      </c>
      <c r="U491" s="64">
        <f>Ringkasan!U490</f>
        <v>9.56</v>
      </c>
      <c r="V491" s="64">
        <f>Ringkasan!V490</f>
        <v>-0.84</v>
      </c>
      <c r="W491" s="64">
        <f>Ringkasan!W490</f>
        <v>9.53</v>
      </c>
      <c r="X491" s="64">
        <f>Ringkasan!X490</f>
        <v>9.62</v>
      </c>
      <c r="Y491" s="64">
        <f>Ringkasan!Y490</f>
        <v>9.41</v>
      </c>
      <c r="Z491" s="64">
        <f>Ringkasan!Z490</f>
        <v>772627</v>
      </c>
      <c r="AA491" s="64" t="str">
        <f>Ringkasan!AA490</f>
        <v>Specialty Retail</v>
      </c>
      <c r="AB491" s="64" t="str">
        <f>Ringkasan!AB490</f>
        <v>Consumer Cyclicals</v>
      </c>
    </row>
    <row r="492" hidden="1">
      <c r="A492" s="64" t="str">
        <f>Ringkasan!A491</f>
        <v>CASA</v>
      </c>
      <c r="B492" s="64" t="str">
        <f>Ringkasan!B491</f>
        <v>Capital Financial Indonesia Tbk.</v>
      </c>
      <c r="C492" s="65">
        <f>Ringkasan!C491</f>
        <v>1535</v>
      </c>
      <c r="D492" s="64" t="str">
        <f>Ringkasan!D491</f>
        <v>#N/A</v>
      </c>
      <c r="E492" s="64" t="str">
        <f>Ringkasan!E491</f>
        <v/>
      </c>
      <c r="F492" s="64" t="str">
        <f>Ringkasan!F491</f>
        <v/>
      </c>
      <c r="G492" s="64">
        <f>Ringkasan!G491</f>
        <v>0</v>
      </c>
      <c r="H492" s="19">
        <f>Ringkasan!H491</f>
        <v>590</v>
      </c>
      <c r="I492" s="19">
        <f>Ringkasan!I491</f>
        <v>7.1</v>
      </c>
      <c r="J492" s="19">
        <f>Ringkasan!J491</f>
        <v>1.2</v>
      </c>
      <c r="K492" s="19">
        <f>Ringkasan!K491</f>
        <v>0.36</v>
      </c>
      <c r="L492" s="19">
        <f>Ringkasan!L491</f>
        <v>2.2</v>
      </c>
      <c r="M492" s="19">
        <f>Ringkasan!M491</f>
        <v>11.1</v>
      </c>
      <c r="N492" s="64" t="str">
        <f>Ringkasan!N491</f>
        <v/>
      </c>
      <c r="O492" s="64" t="str">
        <f>Ringkasan!O491</f>
        <v/>
      </c>
      <c r="P492" s="64" t="str">
        <f>Ringkasan!P491</f>
        <v/>
      </c>
      <c r="Q492" s="64" t="str">
        <f>Ringkasan!Q491</f>
        <v/>
      </c>
      <c r="R492" s="64" t="str">
        <f>Ringkasan!R491</f>
        <v/>
      </c>
      <c r="S492" s="64" t="str">
        <f>Ringkasan!S491</f>
        <v/>
      </c>
      <c r="T492" s="64" t="str">
        <f>Ringkasan!T491</f>
        <v/>
      </c>
      <c r="U492" s="64">
        <f>Ringkasan!U491</f>
        <v>0.1</v>
      </c>
      <c r="V492" s="64">
        <f>Ringkasan!V491</f>
        <v>-5.26</v>
      </c>
      <c r="W492" s="64">
        <f>Ringkasan!W491</f>
        <v>0.1</v>
      </c>
      <c r="X492" s="64">
        <f>Ringkasan!X491</f>
        <v>0.1</v>
      </c>
      <c r="Y492" s="64">
        <f>Ringkasan!Y491</f>
        <v>0.09</v>
      </c>
      <c r="Z492" s="64">
        <f>Ringkasan!Z491</f>
        <v>38600</v>
      </c>
      <c r="AA492" s="64" t="str">
        <f>Ringkasan!AA491</f>
        <v>Holding &amp; Investment Companies</v>
      </c>
      <c r="AB492" s="64" t="str">
        <f>Ringkasan!AB491</f>
        <v>Financials</v>
      </c>
    </row>
    <row r="493" hidden="1">
      <c r="A493" s="64" t="str">
        <f>Ringkasan!A492</f>
        <v>CASH</v>
      </c>
      <c r="B493" s="64" t="str">
        <f>Ringkasan!B492</f>
        <v>Cashlez Worldwide Indonesia Tbk.</v>
      </c>
      <c r="C493" s="65">
        <f>Ringkasan!C492</f>
        <v>177</v>
      </c>
      <c r="D493" s="64" t="str">
        <f>Ringkasan!D492</f>
        <v>#N/A</v>
      </c>
      <c r="E493" s="64" t="str">
        <f>Ringkasan!E492</f>
        <v/>
      </c>
      <c r="F493" s="64" t="str">
        <f>Ringkasan!F492</f>
        <v/>
      </c>
      <c r="G493" s="64">
        <f>Ringkasan!G492</f>
        <v>0</v>
      </c>
      <c r="H493" s="19">
        <f>Ringkasan!H492</f>
        <v>-4.5</v>
      </c>
      <c r="I493" s="19">
        <f>Ringkasan!I492</f>
        <v>4.9</v>
      </c>
      <c r="J493" s="19">
        <f>Ringkasan!J492</f>
        <v>-110</v>
      </c>
      <c r="K493" s="19">
        <f>Ringkasan!K492</f>
        <v>-25.1</v>
      </c>
      <c r="L493" s="19">
        <f>Ringkasan!L492</f>
        <v>3.4</v>
      </c>
      <c r="M493" s="19">
        <f>Ringkasan!M492</f>
        <v>-61.8</v>
      </c>
      <c r="N493" s="64" t="str">
        <f>Ringkasan!N492</f>
        <v/>
      </c>
      <c r="O493" s="64" t="str">
        <f>Ringkasan!O492</f>
        <v/>
      </c>
      <c r="P493" s="64" t="str">
        <f>Ringkasan!P492</f>
        <v/>
      </c>
      <c r="Q493" s="64" t="str">
        <f>Ringkasan!Q492</f>
        <v/>
      </c>
      <c r="R493" s="64" t="str">
        <f>Ringkasan!R492</f>
        <v/>
      </c>
      <c r="S493" s="64" t="str">
        <f>Ringkasan!S492</f>
        <v/>
      </c>
      <c r="T493" s="64" t="str">
        <f>Ringkasan!T492</f>
        <v/>
      </c>
      <c r="U493" s="64">
        <f>Ringkasan!U492</f>
        <v>82.91</v>
      </c>
      <c r="V493" s="64">
        <f>Ringkasan!V492</f>
        <v>1.52</v>
      </c>
      <c r="W493" s="64">
        <f>Ringkasan!W492</f>
        <v>83.49</v>
      </c>
      <c r="X493" s="64">
        <f>Ringkasan!X492</f>
        <v>85.26</v>
      </c>
      <c r="Y493" s="64">
        <f>Ringkasan!Y492</f>
        <v>82.93</v>
      </c>
      <c r="Z493" s="64">
        <f>Ringkasan!Z492</f>
        <v>278081</v>
      </c>
      <c r="AA493" s="64" t="str">
        <f>Ringkasan!AA492</f>
        <v>Online Applications &amp; Services</v>
      </c>
      <c r="AB493" s="64" t="str">
        <f>Ringkasan!AB492</f>
        <v>Technology</v>
      </c>
    </row>
    <row r="494" hidden="1">
      <c r="A494" s="64" t="str">
        <f>Ringkasan!A368</f>
        <v>BMRI</v>
      </c>
      <c r="B494" s="64" t="str">
        <f>Ringkasan!B368</f>
        <v>Bank Mandiri (Persero) Tbk.</v>
      </c>
      <c r="C494" s="65">
        <f>Ringkasan!C368</f>
        <v>4200</v>
      </c>
      <c r="D494" s="64" t="str">
        <f>Ringkasan!D368</f>
        <v>#N/A</v>
      </c>
      <c r="E494" s="64" t="str">
        <f>Ringkasan!E368</f>
        <v>IDXESGL</v>
      </c>
      <c r="F494" s="64" t="str">
        <f>Ringkasan!F368</f>
        <v>30 Oktober 2026</v>
      </c>
      <c r="G494" s="64">
        <f>Ringkasan!G368</f>
        <v>23</v>
      </c>
      <c r="H494" s="19">
        <f>Ringkasan!H368</f>
        <v>6.5</v>
      </c>
      <c r="I494" s="19">
        <f>Ringkasan!I368</f>
        <v>1.2</v>
      </c>
      <c r="J494" s="19">
        <f>Ringkasan!J368</f>
        <v>18.6</v>
      </c>
      <c r="K494" s="19">
        <f>Ringkasan!K368</f>
        <v>2.4</v>
      </c>
      <c r="L494" s="19">
        <f>Ringkasan!L368</f>
        <v>6.8</v>
      </c>
      <c r="M494" s="19">
        <f>Ringkasan!M368</f>
        <v>130</v>
      </c>
      <c r="N494" s="64">
        <f>Ringkasan!N368</f>
        <v>4.93</v>
      </c>
      <c r="O494" s="64">
        <f>Ringkasan!O368</f>
        <v>20.1</v>
      </c>
      <c r="P494" s="64">
        <f>Ringkasan!P368</f>
        <v>98.04</v>
      </c>
      <c r="Q494" s="64">
        <f>Ringkasan!Q368</f>
        <v>0.97</v>
      </c>
      <c r="R494" s="64">
        <f>Ringkasan!R368</f>
        <v>56.46</v>
      </c>
      <c r="S494" s="64">
        <f>Ringkasan!S368</f>
        <v>35.04</v>
      </c>
      <c r="T494" s="64">
        <f>Ringkasan!T368</f>
        <v>6.81</v>
      </c>
      <c r="U494" s="64">
        <f>Ringkasan!U368</f>
        <v>4250</v>
      </c>
      <c r="V494" s="64">
        <f>Ringkasan!V368</f>
        <v>-1.18</v>
      </c>
      <c r="W494" s="64">
        <f>Ringkasan!W368</f>
        <v>4320</v>
      </c>
      <c r="X494" s="64">
        <f>Ringkasan!X368</f>
        <v>4320</v>
      </c>
      <c r="Y494" s="64">
        <f>Ringkasan!Y368</f>
        <v>4200</v>
      </c>
      <c r="Z494" s="64" t="str">
        <f>Ringkasan!Z368</f>
        <v/>
      </c>
      <c r="AA494" s="64" t="str">
        <f>Ringkasan!AA368</f>
        <v>Banks</v>
      </c>
      <c r="AB494" s="64" t="str">
        <f>Ringkasan!AB368</f>
        <v>Financials</v>
      </c>
    </row>
    <row r="495" hidden="1">
      <c r="A495" s="64" t="str">
        <f>Ringkasan!A559</f>
        <v>CTRA</v>
      </c>
      <c r="B495" s="64" t="str">
        <f>Ringkasan!B559</f>
        <v>Ciputra Development Tbk.</v>
      </c>
      <c r="C495" s="65">
        <f>Ringkasan!C559</f>
        <v>600</v>
      </c>
      <c r="D495" s="64" t="str">
        <f>Ringkasan!D559</f>
        <v>#N/A</v>
      </c>
      <c r="E495" s="64" t="str">
        <f>Ringkasan!E559</f>
        <v>ESGSKEHATI</v>
      </c>
      <c r="F495" s="66">
        <f>Ringkasan!F559</f>
        <v>46356</v>
      </c>
      <c r="G495" s="64">
        <f>Ringkasan!G559</f>
        <v>13</v>
      </c>
      <c r="H495" s="19">
        <f>Ringkasan!H559</f>
        <v>4.7</v>
      </c>
      <c r="I495" s="19">
        <f>Ringkasan!I559</f>
        <v>0.44</v>
      </c>
      <c r="J495" s="19">
        <f>Ringkasan!J559</f>
        <v>9.2</v>
      </c>
      <c r="K495" s="19">
        <f>Ringkasan!K559</f>
        <v>5.5</v>
      </c>
      <c r="L495" s="19">
        <f>Ringkasan!L559</f>
        <v>0.67</v>
      </c>
      <c r="M495" s="19">
        <f>Ringkasan!M559</f>
        <v>98.6</v>
      </c>
      <c r="N495" s="64" t="str">
        <f>Ringkasan!N559</f>
        <v/>
      </c>
      <c r="O495" s="64" t="str">
        <f>Ringkasan!O559</f>
        <v/>
      </c>
      <c r="P495" s="64" t="str">
        <f>Ringkasan!P559</f>
        <v/>
      </c>
      <c r="Q495" s="64" t="str">
        <f>Ringkasan!Q559</f>
        <v/>
      </c>
      <c r="R495" s="64" t="str">
        <f>Ringkasan!R559</f>
        <v/>
      </c>
      <c r="S495" s="64" t="str">
        <f>Ringkasan!S559</f>
        <v/>
      </c>
      <c r="T495" s="64" t="str">
        <f>Ringkasan!T559</f>
        <v/>
      </c>
      <c r="U495" s="64">
        <f>Ringkasan!U559</f>
        <v>640</v>
      </c>
      <c r="V495" s="64">
        <f>Ringkasan!V559</f>
        <v>-100</v>
      </c>
      <c r="W495" s="64" t="str">
        <f>Ringkasan!W559</f>
        <v/>
      </c>
      <c r="X495" s="64" t="str">
        <f>Ringkasan!X559</f>
        <v/>
      </c>
      <c r="Y495" s="64" t="str">
        <f>Ringkasan!Y559</f>
        <v/>
      </c>
      <c r="Z495" s="64">
        <f>Ringkasan!Z559</f>
        <v>0</v>
      </c>
      <c r="AA495" s="64" t="str">
        <f>Ringkasan!AA559</f>
        <v>Real Estate Management &amp; Development</v>
      </c>
      <c r="AB495" s="64" t="str">
        <f>Ringkasan!AB559</f>
        <v>Properties &amp; Real Estate</v>
      </c>
    </row>
    <row r="496">
      <c r="A496" s="60" t="str">
        <f>Ringkasan!A536</f>
        <v>CPIN</v>
      </c>
      <c r="B496" s="60" t="str">
        <f>Ringkasan!B536</f>
        <v>Charoen Pokphand Indonesia Tbk</v>
      </c>
      <c r="C496" s="61">
        <f>Ringkasan!C536</f>
        <v>3300</v>
      </c>
      <c r="D496" s="60" t="str">
        <f>Ringkasan!D536</f>
        <v>#N/A</v>
      </c>
      <c r="E496" s="60" t="str">
        <f>Ringkasan!E536</f>
        <v>MSCI Global Standard</v>
      </c>
      <c r="F496" s="60" t="str">
        <f>Ringkasan!F536</f>
        <v>12 Agustus 2026</v>
      </c>
      <c r="G496" s="60">
        <f>Ringkasan!G536</f>
        <v>13</v>
      </c>
      <c r="H496" s="62">
        <f>Ringkasan!H536</f>
        <v>10.5</v>
      </c>
      <c r="I496" s="62">
        <f>Ringkasan!I536</f>
        <v>1.9</v>
      </c>
      <c r="J496" s="62">
        <f>Ringkasan!J536</f>
        <v>18.2</v>
      </c>
      <c r="K496" s="62">
        <f>Ringkasan!K536</f>
        <v>13.8</v>
      </c>
      <c r="L496" s="62">
        <f>Ringkasan!L536</f>
        <v>0.32</v>
      </c>
      <c r="M496" s="62">
        <f>Ringkasan!M536</f>
        <v>33.5</v>
      </c>
      <c r="N496" s="60" t="str">
        <f>Ringkasan!N536</f>
        <v/>
      </c>
      <c r="O496" s="60" t="str">
        <f>Ringkasan!O536</f>
        <v/>
      </c>
      <c r="P496" s="60" t="str">
        <f>Ringkasan!P536</f>
        <v/>
      </c>
      <c r="Q496" s="60" t="str">
        <f>Ringkasan!Q536</f>
        <v/>
      </c>
      <c r="R496" s="60" t="str">
        <f>Ringkasan!R536</f>
        <v/>
      </c>
      <c r="S496" s="60" t="str">
        <f>Ringkasan!S536</f>
        <v/>
      </c>
      <c r="T496" s="60" t="str">
        <f>Ringkasan!T536</f>
        <v/>
      </c>
      <c r="U496" s="60">
        <f>Ringkasan!U536</f>
        <v>3260</v>
      </c>
      <c r="V496" s="60">
        <f>Ringkasan!V536</f>
        <v>1.23</v>
      </c>
      <c r="W496" s="60">
        <f>Ringkasan!W536</f>
        <v>3340</v>
      </c>
      <c r="X496" s="60">
        <f>Ringkasan!X536</f>
        <v>3340</v>
      </c>
      <c r="Y496" s="60">
        <f>Ringkasan!Y536</f>
        <v>3240</v>
      </c>
      <c r="Z496" s="60">
        <f>Ringkasan!Z536</f>
        <v>4628500</v>
      </c>
      <c r="AA496" s="60" t="str">
        <f>Ringkasan!AA536</f>
        <v>Agricultural Products</v>
      </c>
      <c r="AB496" s="60" t="str">
        <f>Ringkasan!AB536</f>
        <v>Consumer Non-Cyclicals</v>
      </c>
    </row>
    <row r="497" hidden="1">
      <c r="A497" s="60" t="str">
        <f>Ringkasan!A469</f>
        <v>BUKK</v>
      </c>
      <c r="B497" s="60" t="str">
        <f>Ringkasan!B469</f>
        <v>Bukaka Teknik Utama Tbk.</v>
      </c>
      <c r="C497" s="61">
        <f>Ringkasan!C469</f>
        <v>1005</v>
      </c>
      <c r="D497" s="60" t="str">
        <f>Ringkasan!D469</f>
        <v>#N/A</v>
      </c>
      <c r="E497" s="60" t="str">
        <f>Ringkasan!E469</f>
        <v/>
      </c>
      <c r="F497" s="60" t="str">
        <f>Ringkasan!F469</f>
        <v/>
      </c>
      <c r="G497" s="60">
        <f>Ringkasan!G469</f>
        <v>0</v>
      </c>
      <c r="H497" s="62">
        <f>Ringkasan!H469</f>
        <v>6.7</v>
      </c>
      <c r="I497" s="62">
        <f>Ringkasan!I469</f>
        <v>0.24</v>
      </c>
      <c r="J497" s="62">
        <f>Ringkasan!J469</f>
        <v>3.6</v>
      </c>
      <c r="K497" s="62">
        <f>Ringkasan!K469</f>
        <v>1.2</v>
      </c>
      <c r="L497" s="62">
        <f>Ringkasan!L469</f>
        <v>1.9</v>
      </c>
      <c r="M497" s="62">
        <f>Ringkasan!M469</f>
        <v>36.1</v>
      </c>
      <c r="N497" s="60" t="str">
        <f>Ringkasan!N469</f>
        <v/>
      </c>
      <c r="O497" s="60" t="str">
        <f>Ringkasan!O469</f>
        <v/>
      </c>
      <c r="P497" s="60" t="str">
        <f>Ringkasan!P469</f>
        <v/>
      </c>
      <c r="Q497" s="60" t="str">
        <f>Ringkasan!Q469</f>
        <v/>
      </c>
      <c r="R497" s="60" t="str">
        <f>Ringkasan!R469</f>
        <v/>
      </c>
      <c r="S497" s="60" t="str">
        <f>Ringkasan!S469</f>
        <v/>
      </c>
      <c r="T497" s="60" t="str">
        <f>Ringkasan!T469</f>
        <v/>
      </c>
      <c r="U497" s="60">
        <f>Ringkasan!U469</f>
        <v>805</v>
      </c>
      <c r="V497" s="60">
        <f>Ringkasan!V469</f>
        <v>24.84</v>
      </c>
      <c r="W497" s="60">
        <f>Ringkasan!W469</f>
        <v>875</v>
      </c>
      <c r="X497" s="60">
        <f>Ringkasan!X469</f>
        <v>1005</v>
      </c>
      <c r="Y497" s="60">
        <f>Ringkasan!Y469</f>
        <v>875</v>
      </c>
      <c r="Z497" s="60">
        <f>Ringkasan!Z469</f>
        <v>289400</v>
      </c>
      <c r="AA497" s="60" t="str">
        <f>Ringkasan!AA469</f>
        <v>Heavy Constructions &amp; Civil Engineering</v>
      </c>
      <c r="AB497" s="60" t="str">
        <f>Ringkasan!AB469</f>
        <v>Infrastructures</v>
      </c>
    </row>
    <row r="498" hidden="1">
      <c r="A498" s="60" t="str">
        <f>Ringkasan!A497</f>
        <v>CBPE</v>
      </c>
      <c r="B498" s="60" t="str">
        <f>Ringkasan!B497</f>
        <v>PT Citra Buana Prasida Tbk</v>
      </c>
      <c r="C498" s="61">
        <f>Ringkasan!C497</f>
        <v>260</v>
      </c>
      <c r="D498" s="60" t="str">
        <f>Ringkasan!D497</f>
        <v>#N/A</v>
      </c>
      <c r="E498" s="60" t="str">
        <f>Ringkasan!E497</f>
        <v/>
      </c>
      <c r="F498" s="60" t="str">
        <f>Ringkasan!F497</f>
        <v/>
      </c>
      <c r="G498" s="61">
        <f>Ringkasan!G497</f>
        <v>0</v>
      </c>
      <c r="H498" s="62">
        <f>Ringkasan!H497</f>
        <v>6.7</v>
      </c>
      <c r="I498" s="62">
        <f>Ringkasan!I497</f>
        <v>1.2</v>
      </c>
      <c r="J498" s="62">
        <f>Ringkasan!J497</f>
        <v>17.5</v>
      </c>
      <c r="K498" s="62">
        <f>Ringkasan!K497</f>
        <v>15.3</v>
      </c>
      <c r="L498" s="62">
        <f>Ringkasan!L497</f>
        <v>0.15</v>
      </c>
      <c r="M498" s="62">
        <f>Ringkasan!M497</f>
        <v>190</v>
      </c>
      <c r="N498" s="60" t="str">
        <f>Ringkasan!N497</f>
        <v/>
      </c>
      <c r="O498" s="60" t="str">
        <f>Ringkasan!O497</f>
        <v/>
      </c>
      <c r="P498" s="60" t="str">
        <f>Ringkasan!P497</f>
        <v/>
      </c>
      <c r="Q498" s="60" t="str">
        <f>Ringkasan!Q497</f>
        <v/>
      </c>
      <c r="R498" s="60" t="str">
        <f>Ringkasan!R497</f>
        <v/>
      </c>
      <c r="S498" s="60" t="str">
        <f>Ringkasan!S497</f>
        <v/>
      </c>
      <c r="T498" s="60" t="str">
        <f>Ringkasan!T497</f>
        <v/>
      </c>
      <c r="U498" s="60">
        <f>Ringkasan!U497</f>
        <v>262</v>
      </c>
      <c r="V498" s="60">
        <f>Ringkasan!V497</f>
        <v>-0.76</v>
      </c>
      <c r="W498" s="60">
        <f>Ringkasan!W497</f>
        <v>262</v>
      </c>
      <c r="X498" s="60">
        <f>Ringkasan!X497</f>
        <v>268</v>
      </c>
      <c r="Y498" s="60">
        <f>Ringkasan!Y497</f>
        <v>260</v>
      </c>
      <c r="Z498" s="60" t="str">
        <f>Ringkasan!Z497</f>
        <v/>
      </c>
      <c r="AA498" s="60" t="str">
        <f>Ringkasan!AA497</f>
        <v>Real Estate Management &amp; Development</v>
      </c>
      <c r="AB498" s="60" t="str">
        <f>Ringkasan!AB497</f>
        <v>Properties &amp; Real Estate</v>
      </c>
    </row>
    <row r="499" hidden="1">
      <c r="A499" s="64" t="str">
        <f>Ringkasan!A498</f>
        <v>CBRE</v>
      </c>
      <c r="B499" s="64" t="str">
        <f>Ringkasan!B498</f>
        <v>PT Cakra Buana Resources Energi Tbk</v>
      </c>
      <c r="C499" s="65">
        <f>Ringkasan!C498</f>
        <v>695</v>
      </c>
      <c r="D499" s="64" t="str">
        <f>Ringkasan!D498</f>
        <v>#N/A</v>
      </c>
      <c r="E499" s="64" t="str">
        <f>Ringkasan!E498</f>
        <v/>
      </c>
      <c r="F499" s="64" t="str">
        <f>Ringkasan!F498</f>
        <v/>
      </c>
      <c r="G499" s="64">
        <f>Ringkasan!G498</f>
        <v>0</v>
      </c>
      <c r="H499" s="19">
        <f>Ringkasan!H498</f>
        <v>-57.9</v>
      </c>
      <c r="I499" s="19">
        <f>Ringkasan!I498</f>
        <v>70.4</v>
      </c>
      <c r="J499" s="19">
        <f>Ringkasan!J498</f>
        <v>-120</v>
      </c>
      <c r="K499" s="19">
        <f>Ringkasan!K498</f>
        <v>-3.2</v>
      </c>
      <c r="L499" s="19">
        <f>Ringkasan!L498</f>
        <v>36.8</v>
      </c>
      <c r="M499" s="19">
        <f>Ringkasan!M498</f>
        <v>-96.7</v>
      </c>
      <c r="N499" s="64" t="str">
        <f>Ringkasan!N498</f>
        <v/>
      </c>
      <c r="O499" s="64" t="str">
        <f>Ringkasan!O498</f>
        <v/>
      </c>
      <c r="P499" s="64" t="str">
        <f>Ringkasan!P498</f>
        <v/>
      </c>
      <c r="Q499" s="64" t="str">
        <f>Ringkasan!Q498</f>
        <v/>
      </c>
      <c r="R499" s="64" t="str">
        <f>Ringkasan!R498</f>
        <v/>
      </c>
      <c r="S499" s="64" t="str">
        <f>Ringkasan!S498</f>
        <v/>
      </c>
      <c r="T499" s="64" t="str">
        <f>Ringkasan!T498</f>
        <v/>
      </c>
      <c r="U499" s="64">
        <f>Ringkasan!U498</f>
        <v>131.91</v>
      </c>
      <c r="V499" s="64">
        <f>Ringkasan!V498</f>
        <v>1.14</v>
      </c>
      <c r="W499" s="64">
        <f>Ringkasan!W498</f>
        <v>132.46</v>
      </c>
      <c r="X499" s="64">
        <f>Ringkasan!X498</f>
        <v>134.6</v>
      </c>
      <c r="Y499" s="64">
        <f>Ringkasan!Y498</f>
        <v>131.95</v>
      </c>
      <c r="Z499" s="64">
        <f>Ringkasan!Z498</f>
        <v>1134574</v>
      </c>
      <c r="AA499" s="64" t="str">
        <f>Ringkasan!AA498</f>
        <v>Coal</v>
      </c>
      <c r="AB499" s="64" t="str">
        <f>Ringkasan!AB498</f>
        <v>Energy</v>
      </c>
    </row>
    <row r="500" hidden="1">
      <c r="A500" s="64" t="str">
        <f>Ringkasan!A499</f>
        <v>CBUT</v>
      </c>
      <c r="B500" s="64" t="str">
        <f>Ringkasan!B499</f>
        <v>Citra Borneo Utama Tbk.</v>
      </c>
      <c r="C500" s="65">
        <f>Ringkasan!C499</f>
        <v>540</v>
      </c>
      <c r="D500" s="64" t="str">
        <f>Ringkasan!D499</f>
        <v>#N/A</v>
      </c>
      <c r="E500" s="64" t="str">
        <f>Ringkasan!E499</f>
        <v/>
      </c>
      <c r="F500" s="64" t="str">
        <f>Ringkasan!F499</f>
        <v/>
      </c>
      <c r="G500" s="64">
        <f>Ringkasan!G499</f>
        <v>0</v>
      </c>
      <c r="H500" s="19">
        <f>Ringkasan!H499</f>
        <v>17</v>
      </c>
      <c r="I500" s="19">
        <f>Ringkasan!I499</f>
        <v>1.6</v>
      </c>
      <c r="J500" s="19">
        <f>Ringkasan!J499</f>
        <v>9.5</v>
      </c>
      <c r="K500" s="19">
        <f>Ringkasan!K499</f>
        <v>2.8</v>
      </c>
      <c r="L500" s="19">
        <f>Ringkasan!L499</f>
        <v>2.5</v>
      </c>
      <c r="M500" s="19">
        <f>Ringkasan!M499</f>
        <v>3.3</v>
      </c>
      <c r="N500" s="64" t="str">
        <f>Ringkasan!N499</f>
        <v/>
      </c>
      <c r="O500" s="64" t="str">
        <f>Ringkasan!O499</f>
        <v/>
      </c>
      <c r="P500" s="64" t="str">
        <f>Ringkasan!P499</f>
        <v/>
      </c>
      <c r="Q500" s="64" t="str">
        <f>Ringkasan!Q499</f>
        <v/>
      </c>
      <c r="R500" s="64" t="str">
        <f>Ringkasan!R499</f>
        <v/>
      </c>
      <c r="S500" s="64" t="str">
        <f>Ringkasan!S499</f>
        <v/>
      </c>
      <c r="T500" s="64" t="str">
        <f>Ringkasan!T499</f>
        <v/>
      </c>
      <c r="U500" s="64">
        <f>Ringkasan!U499</f>
        <v>464</v>
      </c>
      <c r="V500" s="64">
        <f>Ringkasan!V499</f>
        <v>16.38</v>
      </c>
      <c r="W500" s="64">
        <f>Ringkasan!W499</f>
        <v>474</v>
      </c>
      <c r="X500" s="64">
        <f>Ringkasan!X499</f>
        <v>580</v>
      </c>
      <c r="Y500" s="64">
        <f>Ringkasan!Y499</f>
        <v>474</v>
      </c>
      <c r="Z500" s="64">
        <f>Ringkasan!Z499</f>
        <v>2062200</v>
      </c>
      <c r="AA500" s="64" t="str">
        <f>Ringkasan!AA499</f>
        <v>Agricultural Products</v>
      </c>
      <c r="AB500" s="64" t="str">
        <f>Ringkasan!AB499</f>
        <v>Consumer Non-Cyclicals</v>
      </c>
    </row>
    <row r="501" hidden="1">
      <c r="A501" s="64" t="str">
        <f>Ringkasan!A496</f>
        <v>CBMF</v>
      </c>
      <c r="B501" s="64" t="str">
        <f>Ringkasan!B496</f>
        <v>Cahaya Bintang Medan Tbk.</v>
      </c>
      <c r="C501" s="65">
        <f>Ringkasan!C496</f>
        <v>50</v>
      </c>
      <c r="D501" s="64" t="str">
        <f>Ringkasan!D496</f>
        <v>#N/A</v>
      </c>
      <c r="E501" s="64" t="str">
        <f>Ringkasan!E496</f>
        <v/>
      </c>
      <c r="F501" s="64" t="str">
        <f>Ringkasan!F496</f>
        <v/>
      </c>
      <c r="G501" s="64">
        <f>Ringkasan!G496</f>
        <v>0</v>
      </c>
      <c r="H501" s="19">
        <f>Ringkasan!H496</f>
        <v>0</v>
      </c>
      <c r="I501" s="19">
        <f>Ringkasan!I496</f>
        <v>0.39</v>
      </c>
      <c r="J501" s="19">
        <f>Ringkasan!J496</f>
        <v>-5.8</v>
      </c>
      <c r="K501" s="19">
        <f>Ringkasan!K496</f>
        <v>-3.9</v>
      </c>
      <c r="L501" s="19">
        <f>Ringkasan!L496</f>
        <v>0.5</v>
      </c>
      <c r="M501" s="19">
        <f>Ringkasan!M496</f>
        <v>-450</v>
      </c>
      <c r="N501" s="64" t="str">
        <f>Ringkasan!N496</f>
        <v/>
      </c>
      <c r="O501" s="64" t="str">
        <f>Ringkasan!O496</f>
        <v/>
      </c>
      <c r="P501" s="64" t="str">
        <f>Ringkasan!P496</f>
        <v/>
      </c>
      <c r="Q501" s="64" t="str">
        <f>Ringkasan!Q496</f>
        <v/>
      </c>
      <c r="R501" s="64" t="str">
        <f>Ringkasan!R496</f>
        <v/>
      </c>
      <c r="S501" s="64" t="str">
        <f>Ringkasan!S496</f>
        <v/>
      </c>
      <c r="T501" s="64" t="str">
        <f>Ringkasan!T496</f>
        <v/>
      </c>
      <c r="U501" s="64">
        <f>Ringkasan!U496</f>
        <v>50</v>
      </c>
      <c r="V501" s="64">
        <f>Ringkasan!V496</f>
        <v>0</v>
      </c>
      <c r="W501" s="64" t="str">
        <f>Ringkasan!W496</f>
        <v/>
      </c>
      <c r="X501" s="64" t="str">
        <f>Ringkasan!X496</f>
        <v/>
      </c>
      <c r="Y501" s="64" t="str">
        <f>Ringkasan!Y496</f>
        <v/>
      </c>
      <c r="Z501" s="64">
        <f>Ringkasan!Z496</f>
        <v>0</v>
      </c>
      <c r="AA501" s="64" t="str">
        <f>Ringkasan!AA496</f>
        <v>Household Goods</v>
      </c>
      <c r="AB501" s="64" t="str">
        <f>Ringkasan!AB496</f>
        <v>Consumer Cyclicals</v>
      </c>
    </row>
    <row r="502" hidden="1">
      <c r="A502" s="60" t="str">
        <f>Ringkasan!A586</f>
        <v>DEPO</v>
      </c>
      <c r="B502" s="60" t="str">
        <f>Ringkasan!B586</f>
        <v>Caturkarda Depo Bangunan Tbk.</v>
      </c>
      <c r="C502" s="61">
        <f>Ringkasan!C586</f>
        <v>238</v>
      </c>
      <c r="D502" s="60" t="str">
        <f>Ringkasan!D586</f>
        <v>#N/A</v>
      </c>
      <c r="E502" s="60" t="str">
        <f>Ringkasan!E586</f>
        <v/>
      </c>
      <c r="F502" s="60" t="str">
        <f>Ringkasan!F586</f>
        <v/>
      </c>
      <c r="G502" s="60">
        <f>Ringkasan!G586</f>
        <v>0</v>
      </c>
      <c r="H502" s="62">
        <f>Ringkasan!H586</f>
        <v>22.7</v>
      </c>
      <c r="I502" s="62">
        <f>Ringkasan!I586</f>
        <v>1.2</v>
      </c>
      <c r="J502" s="62">
        <f>Ringkasan!J586</f>
        <v>5.5</v>
      </c>
      <c r="K502" s="62">
        <f>Ringkasan!K586</f>
        <v>3.3</v>
      </c>
      <c r="L502" s="62">
        <f>Ringkasan!L586</f>
        <v>0.67</v>
      </c>
      <c r="M502" s="62">
        <f>Ringkasan!M586</f>
        <v>11.7</v>
      </c>
      <c r="N502" s="60" t="str">
        <f>Ringkasan!N586</f>
        <v/>
      </c>
      <c r="O502" s="60" t="str">
        <f>Ringkasan!O586</f>
        <v/>
      </c>
      <c r="P502" s="60" t="str">
        <f>Ringkasan!P586</f>
        <v/>
      </c>
      <c r="Q502" s="60" t="str">
        <f>Ringkasan!Q586</f>
        <v/>
      </c>
      <c r="R502" s="60" t="str">
        <f>Ringkasan!R586</f>
        <v/>
      </c>
      <c r="S502" s="60" t="str">
        <f>Ringkasan!S586</f>
        <v/>
      </c>
      <c r="T502" s="60" t="str">
        <f>Ringkasan!T586</f>
        <v/>
      </c>
      <c r="U502" s="60">
        <f>Ringkasan!U586</f>
        <v>238</v>
      </c>
      <c r="V502" s="60">
        <f>Ringkasan!V586</f>
        <v>0</v>
      </c>
      <c r="W502" s="60">
        <f>Ringkasan!W586</f>
        <v>238</v>
      </c>
      <c r="X502" s="60">
        <f>Ringkasan!X586</f>
        <v>250</v>
      </c>
      <c r="Y502" s="60">
        <f>Ringkasan!Y586</f>
        <v>230</v>
      </c>
      <c r="Z502" s="60">
        <f>Ringkasan!Z586</f>
        <v>24600</v>
      </c>
      <c r="AA502" s="60" t="str">
        <f>Ringkasan!AA586</f>
        <v>Specialty Retail</v>
      </c>
      <c r="AB502" s="60" t="str">
        <f>Ringkasan!AB586</f>
        <v>Consumer Cyclicals</v>
      </c>
    </row>
    <row r="503" hidden="1">
      <c r="A503" s="64" t="str">
        <f>Ringkasan!A502</f>
        <v>CEKA</v>
      </c>
      <c r="B503" s="64" t="str">
        <f>Ringkasan!B502</f>
        <v>Wilmar Cahaya Indonesia Tbk.</v>
      </c>
      <c r="C503" s="65">
        <f>Ringkasan!C502</f>
        <v>2240</v>
      </c>
      <c r="D503" s="64" t="str">
        <f>Ringkasan!D502</f>
        <v>#N/A</v>
      </c>
      <c r="E503" s="64" t="str">
        <f>Ringkasan!E502</f>
        <v/>
      </c>
      <c r="F503" s="64" t="str">
        <f>Ringkasan!F502</f>
        <v/>
      </c>
      <c r="G503" s="64">
        <f>Ringkasan!G502</f>
        <v>0</v>
      </c>
      <c r="H503" s="19">
        <f>Ringkasan!H502</f>
        <v>8</v>
      </c>
      <c r="I503" s="19">
        <f>Ringkasan!I502</f>
        <v>0.64</v>
      </c>
      <c r="J503" s="19">
        <f>Ringkasan!J502</f>
        <v>8.1</v>
      </c>
      <c r="K503" s="19">
        <f>Ringkasan!K502</f>
        <v>6.3</v>
      </c>
      <c r="L503" s="19">
        <f>Ringkasan!L502</f>
        <v>0.28</v>
      </c>
      <c r="M503" s="19">
        <f>Ringkasan!M502</f>
        <v>7</v>
      </c>
      <c r="N503" s="64" t="str">
        <f>Ringkasan!N502</f>
        <v/>
      </c>
      <c r="O503" s="64" t="str">
        <f>Ringkasan!O502</f>
        <v/>
      </c>
      <c r="P503" s="64" t="str">
        <f>Ringkasan!P502</f>
        <v/>
      </c>
      <c r="Q503" s="64" t="str">
        <f>Ringkasan!Q502</f>
        <v/>
      </c>
      <c r="R503" s="64" t="str">
        <f>Ringkasan!R502</f>
        <v/>
      </c>
      <c r="S503" s="64" t="str">
        <f>Ringkasan!S502</f>
        <v/>
      </c>
      <c r="T503" s="64" t="str">
        <f>Ringkasan!T502</f>
        <v/>
      </c>
      <c r="U503" s="64">
        <f>Ringkasan!U502</f>
        <v>2210</v>
      </c>
      <c r="V503" s="64">
        <f>Ringkasan!V502</f>
        <v>1.36</v>
      </c>
      <c r="W503" s="64">
        <f>Ringkasan!W502</f>
        <v>2200</v>
      </c>
      <c r="X503" s="64">
        <f>Ringkasan!X502</f>
        <v>2260</v>
      </c>
      <c r="Y503" s="64">
        <f>Ringkasan!Y502</f>
        <v>2200</v>
      </c>
      <c r="Z503" s="64" t="str">
        <f>Ringkasan!Z502</f>
        <v/>
      </c>
      <c r="AA503" s="64" t="str">
        <f>Ringkasan!AA502</f>
        <v>Processed Foods</v>
      </c>
      <c r="AB503" s="64" t="str">
        <f>Ringkasan!AB502</f>
        <v>Consumer Non-Cyclicals</v>
      </c>
    </row>
    <row r="504" hidden="1">
      <c r="A504" s="64" t="str">
        <f>Ringkasan!A500</f>
        <v>CCSI</v>
      </c>
      <c r="B504" s="64" t="str">
        <f>Ringkasan!B500</f>
        <v>Communication Cable Systems Indonesia Tbk.</v>
      </c>
      <c r="C504" s="65">
        <f>Ringkasan!C500</f>
        <v>244</v>
      </c>
      <c r="D504" s="64" t="str">
        <f>Ringkasan!D500</f>
        <v>#N/A</v>
      </c>
      <c r="E504" s="64" t="str">
        <f>Ringkasan!E500</f>
        <v/>
      </c>
      <c r="F504" s="64" t="str">
        <f>Ringkasan!F500</f>
        <v/>
      </c>
      <c r="G504" s="64">
        <f>Ringkasan!G500</f>
        <v>0</v>
      </c>
      <c r="H504" s="19">
        <f>Ringkasan!H500</f>
        <v>40.4</v>
      </c>
      <c r="I504" s="19">
        <f>Ringkasan!I500</f>
        <v>0.6</v>
      </c>
      <c r="J504" s="19">
        <f>Ringkasan!J500</f>
        <v>1.5</v>
      </c>
      <c r="K504" s="19">
        <f>Ringkasan!K500</f>
        <v>1.1</v>
      </c>
      <c r="L504" s="19">
        <f>Ringkasan!L500</f>
        <v>0.37</v>
      </c>
      <c r="M504" s="19">
        <f>Ringkasan!M500</f>
        <v>10.8</v>
      </c>
      <c r="N504" s="64" t="str">
        <f>Ringkasan!N500</f>
        <v/>
      </c>
      <c r="O504" s="64" t="str">
        <f>Ringkasan!O500</f>
        <v/>
      </c>
      <c r="P504" s="64" t="str">
        <f>Ringkasan!P500</f>
        <v/>
      </c>
      <c r="Q504" s="64" t="str">
        <f>Ringkasan!Q500</f>
        <v/>
      </c>
      <c r="R504" s="64" t="str">
        <f>Ringkasan!R500</f>
        <v/>
      </c>
      <c r="S504" s="64" t="str">
        <f>Ringkasan!S500</f>
        <v/>
      </c>
      <c r="T504" s="64" t="str">
        <f>Ringkasan!T500</f>
        <v/>
      </c>
      <c r="U504" s="64">
        <f>Ringkasan!U500</f>
        <v>34.9</v>
      </c>
      <c r="V504" s="64">
        <f>Ringkasan!V500</f>
        <v>-0.26</v>
      </c>
      <c r="W504" s="64">
        <f>Ringkasan!W500</f>
        <v>34.7</v>
      </c>
      <c r="X504" s="64">
        <f>Ringkasan!X500</f>
        <v>35.62</v>
      </c>
      <c r="Y504" s="64">
        <f>Ringkasan!Y500</f>
        <v>34.23</v>
      </c>
      <c r="Z504" s="64">
        <f>Ringkasan!Z500</f>
        <v>112879</v>
      </c>
      <c r="AA504" s="64" t="str">
        <f>Ringkasan!AA500</f>
        <v>Electrical</v>
      </c>
      <c r="AB504" s="64" t="str">
        <f>Ringkasan!AB500</f>
        <v>Industrials</v>
      </c>
    </row>
    <row r="505" hidden="1">
      <c r="A505" s="64" t="str">
        <f>Ringkasan!A504</f>
        <v>CFIN</v>
      </c>
      <c r="B505" s="64" t="str">
        <f>Ringkasan!B504</f>
        <v>Clipan Finance Indonesia Tbk.</v>
      </c>
      <c r="C505" s="65">
        <f>Ringkasan!C504</f>
        <v>326</v>
      </c>
      <c r="D505" s="64" t="str">
        <f>Ringkasan!D504</f>
        <v>#N/A</v>
      </c>
      <c r="E505" s="64" t="str">
        <f>Ringkasan!E504</f>
        <v/>
      </c>
      <c r="F505" s="64" t="str">
        <f>Ringkasan!F504</f>
        <v/>
      </c>
      <c r="G505" s="64">
        <f>Ringkasan!G504</f>
        <v>0</v>
      </c>
      <c r="H505" s="19">
        <f>Ringkasan!H504</f>
        <v>5.7</v>
      </c>
      <c r="I505" s="19">
        <f>Ringkasan!I504</f>
        <v>0.23</v>
      </c>
      <c r="J505" s="19">
        <f>Ringkasan!J504</f>
        <v>4.1</v>
      </c>
      <c r="K505" s="19">
        <f>Ringkasan!K504</f>
        <v>2.5</v>
      </c>
      <c r="L505" s="19">
        <f>Ringkasan!L504</f>
        <v>0.64</v>
      </c>
      <c r="M505" s="19">
        <f>Ringkasan!M504</f>
        <v>76.1</v>
      </c>
      <c r="N505" s="64" t="str">
        <f>Ringkasan!N504</f>
        <v/>
      </c>
      <c r="O505" s="64" t="str">
        <f>Ringkasan!O504</f>
        <v/>
      </c>
      <c r="P505" s="64" t="str">
        <f>Ringkasan!P504</f>
        <v/>
      </c>
      <c r="Q505" s="64" t="str">
        <f>Ringkasan!Q504</f>
        <v/>
      </c>
      <c r="R505" s="64" t="str">
        <f>Ringkasan!R504</f>
        <v/>
      </c>
      <c r="S505" s="64" t="str">
        <f>Ringkasan!S504</f>
        <v/>
      </c>
      <c r="T505" s="64" t="str">
        <f>Ringkasan!T504</f>
        <v/>
      </c>
      <c r="U505" s="64">
        <f>Ringkasan!U504</f>
        <v>320</v>
      </c>
      <c r="V505" s="64">
        <f>Ringkasan!V504</f>
        <v>1.88</v>
      </c>
      <c r="W505" s="64">
        <f>Ringkasan!W504</f>
        <v>320</v>
      </c>
      <c r="X505" s="64">
        <f>Ringkasan!X504</f>
        <v>328</v>
      </c>
      <c r="Y505" s="64">
        <f>Ringkasan!Y504</f>
        <v>320</v>
      </c>
      <c r="Z505" s="64">
        <f>Ringkasan!Z504</f>
        <v>592100</v>
      </c>
      <c r="AA505" s="64" t="str">
        <f>Ringkasan!AA504</f>
        <v>Consumer Financing</v>
      </c>
      <c r="AB505" s="64" t="str">
        <f>Ringkasan!AB504</f>
        <v>Financials</v>
      </c>
    </row>
    <row r="506" hidden="1">
      <c r="A506" s="64" t="str">
        <f>Ringkasan!A790</f>
        <v>HEAL</v>
      </c>
      <c r="B506" s="64" t="str">
        <f>Ringkasan!B790</f>
        <v>Medikaloka Hermina Tbk.</v>
      </c>
      <c r="C506" s="65">
        <f>Ringkasan!C790</f>
        <v>845</v>
      </c>
      <c r="D506" s="64" t="str">
        <f>Ringkasan!D790</f>
        <v>#N/A</v>
      </c>
      <c r="E506" s="64" t="str">
        <f>Ringkasan!E790</f>
        <v>Kompas100</v>
      </c>
      <c r="F506" s="64" t="str">
        <f>Ringkasan!F790</f>
        <v>31 Juli 2026</v>
      </c>
      <c r="G506" s="64">
        <f>Ringkasan!G790</f>
        <v>6</v>
      </c>
      <c r="H506" s="19">
        <f>Ringkasan!H790</f>
        <v>35.8</v>
      </c>
      <c r="I506" s="19">
        <f>Ringkasan!I790</f>
        <v>2</v>
      </c>
      <c r="J506" s="19">
        <f>Ringkasan!J790</f>
        <v>5.6</v>
      </c>
      <c r="K506" s="19">
        <f>Ringkasan!K790</f>
        <v>3.4</v>
      </c>
      <c r="L506" s="19">
        <f>Ringkasan!L790</f>
        <v>0.66</v>
      </c>
      <c r="M506" s="19">
        <f>Ringkasan!M790</f>
        <v>22.8</v>
      </c>
      <c r="N506" s="64" t="str">
        <f>Ringkasan!N790</f>
        <v/>
      </c>
      <c r="O506" s="64" t="str">
        <f>Ringkasan!O790</f>
        <v/>
      </c>
      <c r="P506" s="64" t="str">
        <f>Ringkasan!P790</f>
        <v/>
      </c>
      <c r="Q506" s="64" t="str">
        <f>Ringkasan!Q790</f>
        <v/>
      </c>
      <c r="R506" s="64" t="str">
        <f>Ringkasan!R790</f>
        <v/>
      </c>
      <c r="S506" s="64" t="str">
        <f>Ringkasan!S790</f>
        <v/>
      </c>
      <c r="T506" s="64" t="str">
        <f>Ringkasan!T790</f>
        <v/>
      </c>
      <c r="U506" s="64">
        <f>Ringkasan!U790</f>
        <v>26.02</v>
      </c>
      <c r="V506" s="64">
        <f>Ringkasan!V790</f>
        <v>-1.04</v>
      </c>
      <c r="W506" s="64">
        <f>Ringkasan!W790</f>
        <v>25.76</v>
      </c>
      <c r="X506" s="64">
        <f>Ringkasan!X790</f>
        <v>26.06</v>
      </c>
      <c r="Y506" s="64">
        <f>Ringkasan!Y790</f>
        <v>25.62</v>
      </c>
      <c r="Z506" s="64">
        <f>Ringkasan!Z790</f>
        <v>4489</v>
      </c>
      <c r="AA506" s="64" t="str">
        <f>Ringkasan!AA790</f>
        <v>Healthcare Providers</v>
      </c>
      <c r="AB506" s="64" t="str">
        <f>Ringkasan!AB790</f>
        <v>Healthcare</v>
      </c>
    </row>
    <row r="507" hidden="1">
      <c r="A507" s="64" t="str">
        <f>Ringkasan!A871</f>
        <v>INCO</v>
      </c>
      <c r="B507" s="64" t="str">
        <f>Ringkasan!B871</f>
        <v>Vale Indonesia Tbk.</v>
      </c>
      <c r="C507" s="65">
        <f>Ringkasan!C871</f>
        <v>4710</v>
      </c>
      <c r="D507" s="64" t="str">
        <f>Ringkasan!D871</f>
        <v>#N/A</v>
      </c>
      <c r="E507" s="64" t="str">
        <f>Ringkasan!E871</f>
        <v>IDX80</v>
      </c>
      <c r="F507" s="64" t="str">
        <f>Ringkasan!F871</f>
        <v>31 Juli 2026</v>
      </c>
      <c r="G507" s="64">
        <f>Ringkasan!G871</f>
        <v>14</v>
      </c>
      <c r="H507" s="19">
        <f>Ringkasan!H871</f>
        <v>30.1</v>
      </c>
      <c r="I507" s="19">
        <f>Ringkasan!I871</f>
        <v>1</v>
      </c>
      <c r="J507" s="19">
        <f>Ringkasan!J871</f>
        <v>3.5</v>
      </c>
      <c r="K507" s="19">
        <f>Ringkasan!K871</f>
        <v>2.9</v>
      </c>
      <c r="L507" s="19">
        <f>Ringkasan!L871</f>
        <v>0.19</v>
      </c>
      <c r="M507" s="19">
        <f>Ringkasan!M871</f>
        <v>38.6</v>
      </c>
      <c r="N507" s="64" t="str">
        <f>Ringkasan!N871</f>
        <v/>
      </c>
      <c r="O507" s="64" t="str">
        <f>Ringkasan!O871</f>
        <v/>
      </c>
      <c r="P507" s="64" t="str">
        <f>Ringkasan!P871</f>
        <v/>
      </c>
      <c r="Q507" s="64" t="str">
        <f>Ringkasan!Q871</f>
        <v/>
      </c>
      <c r="R507" s="64" t="str">
        <f>Ringkasan!R871</f>
        <v/>
      </c>
      <c r="S507" s="64" t="str">
        <f>Ringkasan!S871</f>
        <v/>
      </c>
      <c r="T507" s="64" t="str">
        <f>Ringkasan!T871</f>
        <v/>
      </c>
      <c r="U507" s="64">
        <f>Ringkasan!U871</f>
        <v>57.53</v>
      </c>
      <c r="V507" s="64">
        <f>Ringkasan!V871</f>
        <v>0.26</v>
      </c>
      <c r="W507" s="64">
        <f>Ringkasan!W871</f>
        <v>57.97</v>
      </c>
      <c r="X507" s="64">
        <f>Ringkasan!X871</f>
        <v>58.06</v>
      </c>
      <c r="Y507" s="64">
        <f>Ringkasan!Y871</f>
        <v>57.68</v>
      </c>
      <c r="Z507" s="64">
        <f>Ringkasan!Z871</f>
        <v>5034</v>
      </c>
      <c r="AA507" s="64" t="str">
        <f>Ringkasan!AA871</f>
        <v>Metals &amp; Minerals</v>
      </c>
      <c r="AB507" s="64" t="str">
        <f>Ringkasan!AB871</f>
        <v>Basic Materials</v>
      </c>
    </row>
    <row r="508" hidden="1">
      <c r="A508" s="64" t="str">
        <f>Ringkasan!A507</f>
        <v>CHEM</v>
      </c>
      <c r="B508" s="64" t="str">
        <f>Ringkasan!B507</f>
        <v>Chemstar Indonesia Tbk.</v>
      </c>
      <c r="C508" s="65">
        <f>Ringkasan!C507</f>
        <v>62</v>
      </c>
      <c r="D508" s="64" t="str">
        <f>Ringkasan!D507</f>
        <v>#N/A</v>
      </c>
      <c r="E508" s="64" t="str">
        <f>Ringkasan!E507</f>
        <v/>
      </c>
      <c r="F508" s="64" t="str">
        <f>Ringkasan!F507</f>
        <v/>
      </c>
      <c r="G508" s="64">
        <f>Ringkasan!G507</f>
        <v>0</v>
      </c>
      <c r="H508" s="19">
        <f>Ringkasan!H507</f>
        <v>-93.7</v>
      </c>
      <c r="I508" s="19">
        <f>Ringkasan!I507</f>
        <v>1</v>
      </c>
      <c r="J508" s="19">
        <f>Ringkasan!J507</f>
        <v>-1.1</v>
      </c>
      <c r="K508" s="19">
        <f>Ringkasan!K507</f>
        <v>-0.67</v>
      </c>
      <c r="L508" s="19">
        <f>Ringkasan!L507</f>
        <v>0.65</v>
      </c>
      <c r="M508" s="19">
        <f>Ringkasan!M507</f>
        <v>-2.8</v>
      </c>
      <c r="N508" s="64" t="str">
        <f>Ringkasan!N507</f>
        <v/>
      </c>
      <c r="O508" s="64" t="str">
        <f>Ringkasan!O507</f>
        <v/>
      </c>
      <c r="P508" s="64" t="str">
        <f>Ringkasan!P507</f>
        <v/>
      </c>
      <c r="Q508" s="64" t="str">
        <f>Ringkasan!Q507</f>
        <v/>
      </c>
      <c r="R508" s="64" t="str">
        <f>Ringkasan!R507</f>
        <v/>
      </c>
      <c r="S508" s="64" t="str">
        <f>Ringkasan!S507</f>
        <v/>
      </c>
      <c r="T508" s="64" t="str">
        <f>Ringkasan!T507</f>
        <v/>
      </c>
      <c r="U508" s="64">
        <f>Ringkasan!U507</f>
        <v>59</v>
      </c>
      <c r="V508" s="64">
        <f>Ringkasan!V507</f>
        <v>5.08</v>
      </c>
      <c r="W508" s="64">
        <f>Ringkasan!W507</f>
        <v>59</v>
      </c>
      <c r="X508" s="64">
        <f>Ringkasan!X507</f>
        <v>63</v>
      </c>
      <c r="Y508" s="64">
        <f>Ringkasan!Y507</f>
        <v>59</v>
      </c>
      <c r="Z508" s="64">
        <f>Ringkasan!Z507</f>
        <v>7886700</v>
      </c>
      <c r="AA508" s="64" t="str">
        <f>Ringkasan!AA507</f>
        <v>Chemicals</v>
      </c>
      <c r="AB508" s="64" t="str">
        <f>Ringkasan!AB507</f>
        <v>Basic Materials</v>
      </c>
    </row>
    <row r="509" hidden="1">
      <c r="A509" s="64" t="str">
        <f>Ringkasan!A508</f>
        <v>CHIP</v>
      </c>
      <c r="B509" s="64" t="str">
        <f>Ringkasan!B508</f>
        <v>PT Pelita Teknologi Global Tbk</v>
      </c>
      <c r="C509" s="65">
        <f>Ringkasan!C508</f>
        <v>945</v>
      </c>
      <c r="D509" s="64" t="str">
        <f>Ringkasan!D508</f>
        <v>#N/A</v>
      </c>
      <c r="E509" s="64" t="str">
        <f>Ringkasan!E508</f>
        <v/>
      </c>
      <c r="F509" s="64" t="str">
        <f>Ringkasan!F508</f>
        <v/>
      </c>
      <c r="G509" s="64">
        <f>Ringkasan!G508</f>
        <v>0</v>
      </c>
      <c r="H509" s="19">
        <f>Ringkasan!H508</f>
        <v>170</v>
      </c>
      <c r="I509" s="19">
        <f>Ringkasan!I508</f>
        <v>11.4</v>
      </c>
      <c r="J509" s="19">
        <f>Ringkasan!J508</f>
        <v>6.8</v>
      </c>
      <c r="K509" s="19">
        <f>Ringkasan!K508</f>
        <v>4</v>
      </c>
      <c r="L509" s="19">
        <f>Ringkasan!L508</f>
        <v>0.69</v>
      </c>
      <c r="M509" s="19">
        <f>Ringkasan!M508</f>
        <v>3.4</v>
      </c>
      <c r="N509" s="64" t="str">
        <f>Ringkasan!N508</f>
        <v/>
      </c>
      <c r="O509" s="64" t="str">
        <f>Ringkasan!O508</f>
        <v/>
      </c>
      <c r="P509" s="64" t="str">
        <f>Ringkasan!P508</f>
        <v/>
      </c>
      <c r="Q509" s="64" t="str">
        <f>Ringkasan!Q508</f>
        <v/>
      </c>
      <c r="R509" s="64" t="str">
        <f>Ringkasan!R508</f>
        <v/>
      </c>
      <c r="S509" s="64" t="str">
        <f>Ringkasan!S508</f>
        <v/>
      </c>
      <c r="T509" s="64" t="str">
        <f>Ringkasan!T508</f>
        <v/>
      </c>
      <c r="U509" s="64">
        <f>Ringkasan!U508</f>
        <v>11.81</v>
      </c>
      <c r="V509" s="64">
        <f>Ringkasan!V508</f>
        <v>1.23</v>
      </c>
      <c r="W509" s="64">
        <f>Ringkasan!W508</f>
        <v>12.1</v>
      </c>
      <c r="X509" s="64">
        <f>Ringkasan!X508</f>
        <v>12.1</v>
      </c>
      <c r="Y509" s="64">
        <f>Ringkasan!Y508</f>
        <v>11.94</v>
      </c>
      <c r="Z509" s="64">
        <f>Ringkasan!Z508</f>
        <v>590</v>
      </c>
      <c r="AA509" s="64" t="str">
        <f>Ringkasan!AA508</f>
        <v>Electronic Equipment, Instruments &amp; Components</v>
      </c>
      <c r="AB509" s="64" t="str">
        <f>Ringkasan!AB508</f>
        <v>Technology</v>
      </c>
    </row>
    <row r="510" hidden="1">
      <c r="A510" s="64" t="str">
        <f>Ringkasan!A509</f>
        <v>CINT</v>
      </c>
      <c r="B510" s="64" t="str">
        <f>Ringkasan!B509</f>
        <v>Chitose Internasional Tbk.</v>
      </c>
      <c r="C510" s="65">
        <f>Ringkasan!C509</f>
        <v>168</v>
      </c>
      <c r="D510" s="64" t="str">
        <f>Ringkasan!D509</f>
        <v>#N/A</v>
      </c>
      <c r="E510" s="64" t="str">
        <f>Ringkasan!E509</f>
        <v/>
      </c>
      <c r="F510" s="64" t="str">
        <f>Ringkasan!F509</f>
        <v/>
      </c>
      <c r="G510" s="64">
        <f>Ringkasan!G509</f>
        <v>0</v>
      </c>
      <c r="H510" s="19">
        <f>Ringkasan!H509</f>
        <v>5.7</v>
      </c>
      <c r="I510" s="19">
        <f>Ringkasan!I509</f>
        <v>0.53</v>
      </c>
      <c r="J510" s="19">
        <f>Ringkasan!J509</f>
        <v>9.3</v>
      </c>
      <c r="K510" s="19">
        <f>Ringkasan!K509</f>
        <v>6.5</v>
      </c>
      <c r="L510" s="19">
        <f>Ringkasan!L509</f>
        <v>0.42</v>
      </c>
      <c r="M510" s="19">
        <f>Ringkasan!M509</f>
        <v>26.4</v>
      </c>
      <c r="N510" s="64" t="str">
        <f>Ringkasan!N509</f>
        <v/>
      </c>
      <c r="O510" s="64" t="str">
        <f>Ringkasan!O509</f>
        <v/>
      </c>
      <c r="P510" s="64" t="str">
        <f>Ringkasan!P509</f>
        <v/>
      </c>
      <c r="Q510" s="64" t="str">
        <f>Ringkasan!Q509</f>
        <v/>
      </c>
      <c r="R510" s="64" t="str">
        <f>Ringkasan!R509</f>
        <v/>
      </c>
      <c r="S510" s="64" t="str">
        <f>Ringkasan!S509</f>
        <v/>
      </c>
      <c r="T510" s="64" t="str">
        <f>Ringkasan!T509</f>
        <v/>
      </c>
      <c r="U510" s="64">
        <f>Ringkasan!U509</f>
        <v>4.08</v>
      </c>
      <c r="V510" s="64">
        <f>Ringkasan!V509</f>
        <v>-0.98</v>
      </c>
      <c r="W510" s="64">
        <f>Ringkasan!W509</f>
        <v>4.05</v>
      </c>
      <c r="X510" s="64">
        <f>Ringkasan!X509</f>
        <v>4.08</v>
      </c>
      <c r="Y510" s="64">
        <f>Ringkasan!Y509</f>
        <v>3.97</v>
      </c>
      <c r="Z510" s="64">
        <f>Ringkasan!Z509</f>
        <v>114789</v>
      </c>
      <c r="AA510" s="64" t="str">
        <f>Ringkasan!AA509</f>
        <v>Household Goods</v>
      </c>
      <c r="AB510" s="64" t="str">
        <f>Ringkasan!AB509</f>
        <v>Consumer Cyclicals</v>
      </c>
    </row>
    <row r="511" hidden="1">
      <c r="A511" s="60" t="str">
        <f>Ringkasan!A510</f>
        <v>CITA</v>
      </c>
      <c r="B511" s="60" t="str">
        <f>Ringkasan!B510</f>
        <v>Cita Mineral Investindo Tbk.</v>
      </c>
      <c r="C511" s="61">
        <f>Ringkasan!C510</f>
        <v>2910</v>
      </c>
      <c r="D511" s="60" t="str">
        <f>Ringkasan!D510</f>
        <v>#N/A</v>
      </c>
      <c r="E511" s="60" t="str">
        <f>Ringkasan!E510</f>
        <v/>
      </c>
      <c r="F511" s="60" t="str">
        <f>Ringkasan!F510</f>
        <v/>
      </c>
      <c r="G511" s="61">
        <f>Ringkasan!G510</f>
        <v>0</v>
      </c>
      <c r="H511" s="62">
        <f>Ringkasan!H510</f>
        <v>7.5</v>
      </c>
      <c r="I511" s="62">
        <f>Ringkasan!I510</f>
        <v>1.4</v>
      </c>
      <c r="J511" s="62">
        <f>Ringkasan!J510</f>
        <v>18.3</v>
      </c>
      <c r="K511" s="62">
        <f>Ringkasan!K510</f>
        <v>17.5</v>
      </c>
      <c r="L511" s="62">
        <f>Ringkasan!L510</f>
        <v>0.04</v>
      </c>
      <c r="M511" s="62">
        <f>Ringkasan!M510</f>
        <v>200</v>
      </c>
      <c r="N511" s="60" t="str">
        <f>Ringkasan!N510</f>
        <v/>
      </c>
      <c r="O511" s="60" t="str">
        <f>Ringkasan!O510</f>
        <v/>
      </c>
      <c r="P511" s="60" t="str">
        <f>Ringkasan!P510</f>
        <v/>
      </c>
      <c r="Q511" s="60" t="str">
        <f>Ringkasan!Q510</f>
        <v/>
      </c>
      <c r="R511" s="60" t="str">
        <f>Ringkasan!R510</f>
        <v/>
      </c>
      <c r="S511" s="60" t="str">
        <f>Ringkasan!S510</f>
        <v/>
      </c>
      <c r="T511" s="60" t="str">
        <f>Ringkasan!T510</f>
        <v/>
      </c>
      <c r="U511" s="60">
        <f>Ringkasan!U510</f>
        <v>2770</v>
      </c>
      <c r="V511" s="60">
        <f>Ringkasan!V510</f>
        <v>5.05</v>
      </c>
      <c r="W511" s="60">
        <f>Ringkasan!W510</f>
        <v>2820</v>
      </c>
      <c r="X511" s="60">
        <f>Ringkasan!X510</f>
        <v>3050</v>
      </c>
      <c r="Y511" s="60">
        <f>Ringkasan!Y510</f>
        <v>2820</v>
      </c>
      <c r="Z511" s="60">
        <f>Ringkasan!Z510</f>
        <v>637700</v>
      </c>
      <c r="AA511" s="60" t="str">
        <f>Ringkasan!AA510</f>
        <v>Metals &amp; Minerals</v>
      </c>
      <c r="AB511" s="60" t="str">
        <f>Ringkasan!AB510</f>
        <v>Basic Materials</v>
      </c>
    </row>
    <row r="512" hidden="1">
      <c r="A512" s="64" t="str">
        <f>Ringkasan!A511</f>
        <v>CITY</v>
      </c>
      <c r="B512" s="64" t="str">
        <f>Ringkasan!B511</f>
        <v>Natura City Developments Tbk.</v>
      </c>
      <c r="C512" s="67">
        <f>Ringkasan!C511</f>
        <v>132</v>
      </c>
      <c r="D512" s="22" t="str">
        <f>Ringkasan!D511</f>
        <v>#N/A</v>
      </c>
      <c r="E512" s="64" t="str">
        <f>Ringkasan!E511</f>
        <v/>
      </c>
      <c r="F512" s="64" t="str">
        <f>Ringkasan!F511</f>
        <v/>
      </c>
      <c r="G512" s="64">
        <f>Ringkasan!G511</f>
        <v>0</v>
      </c>
      <c r="H512" s="19">
        <f>Ringkasan!H511</f>
        <v>41.8</v>
      </c>
      <c r="I512" s="19">
        <f>Ringkasan!I511</f>
        <v>0.98</v>
      </c>
      <c r="J512" s="19">
        <f>Ringkasan!J511</f>
        <v>2.4</v>
      </c>
      <c r="K512" s="19">
        <f>Ringkasan!K511</f>
        <v>1.8</v>
      </c>
      <c r="L512" s="19">
        <f>Ringkasan!L511</f>
        <v>0.28</v>
      </c>
      <c r="M512" s="19">
        <f>Ringkasan!M511</f>
        <v>49.4</v>
      </c>
      <c r="N512" s="64" t="str">
        <f>Ringkasan!N511</f>
        <v/>
      </c>
      <c r="O512" s="64" t="str">
        <f>Ringkasan!O511</f>
        <v/>
      </c>
      <c r="P512" s="64" t="str">
        <f>Ringkasan!P511</f>
        <v/>
      </c>
      <c r="Q512" s="64" t="str">
        <f>Ringkasan!Q511</f>
        <v/>
      </c>
      <c r="R512" s="64" t="str">
        <f>Ringkasan!R511</f>
        <v/>
      </c>
      <c r="S512" s="64" t="str">
        <f>Ringkasan!S511</f>
        <v/>
      </c>
      <c r="T512" s="64" t="str">
        <f>Ringkasan!T511</f>
        <v/>
      </c>
      <c r="U512" s="22">
        <f>Ringkasan!U511</f>
        <v>10.37</v>
      </c>
      <c r="V512" s="22">
        <f>Ringkasan!V511</f>
        <v>2.7</v>
      </c>
      <c r="W512" s="22">
        <f>Ringkasan!W511</f>
        <v>10.53</v>
      </c>
      <c r="X512" s="22">
        <f>Ringkasan!X511</f>
        <v>10.65</v>
      </c>
      <c r="Y512" s="22">
        <f>Ringkasan!Y511</f>
        <v>10.53</v>
      </c>
      <c r="Z512" s="22">
        <f>Ringkasan!Z511</f>
        <v>16656</v>
      </c>
      <c r="AA512" s="64" t="str">
        <f>Ringkasan!AA511</f>
        <v>Real Estate Management &amp; Development</v>
      </c>
      <c r="AB512" s="64" t="str">
        <f>Ringkasan!AB511</f>
        <v>Properties &amp; Real Estate</v>
      </c>
    </row>
    <row r="513" hidden="1">
      <c r="A513" s="64" t="str">
        <f>Ringkasan!A957</f>
        <v>ISAT</v>
      </c>
      <c r="B513" s="64" t="str">
        <f>Ringkasan!B957</f>
        <v>PT Indosat Tbk</v>
      </c>
      <c r="C513" s="65">
        <f>Ringkasan!C957</f>
        <v>1855</v>
      </c>
      <c r="D513" s="64" t="str">
        <f>Ringkasan!D957</f>
        <v>#N/A</v>
      </c>
      <c r="E513" s="64" t="str">
        <f>Ringkasan!E957</f>
        <v>Kompas100</v>
      </c>
      <c r="F513" s="64" t="str">
        <f>Ringkasan!F957</f>
        <v>31 Juli 2026</v>
      </c>
      <c r="G513" s="64">
        <f>Ringkasan!G957</f>
        <v>13</v>
      </c>
      <c r="H513" s="19">
        <f>Ringkasan!H957</f>
        <v>12.2</v>
      </c>
      <c r="I513" s="19">
        <f>Ringkasan!I957</f>
        <v>1.7</v>
      </c>
      <c r="J513" s="19">
        <f>Ringkasan!J957</f>
        <v>13.9</v>
      </c>
      <c r="K513" s="19">
        <f>Ringkasan!K957</f>
        <v>4.7</v>
      </c>
      <c r="L513" s="19">
        <f>Ringkasan!L957</f>
        <v>2</v>
      </c>
      <c r="M513" s="19">
        <f>Ringkasan!M957</f>
        <v>37.4</v>
      </c>
      <c r="N513" s="64" t="str">
        <f>Ringkasan!N957</f>
        <v/>
      </c>
      <c r="O513" s="64" t="str">
        <f>Ringkasan!O957</f>
        <v/>
      </c>
      <c r="P513" s="64" t="str">
        <f>Ringkasan!P957</f>
        <v/>
      </c>
      <c r="Q513" s="64" t="str">
        <f>Ringkasan!Q957</f>
        <v/>
      </c>
      <c r="R513" s="64" t="str">
        <f>Ringkasan!R957</f>
        <v/>
      </c>
      <c r="S513" s="64" t="str">
        <f>Ringkasan!S957</f>
        <v/>
      </c>
      <c r="T513" s="64" t="str">
        <f>Ringkasan!T957</f>
        <v/>
      </c>
      <c r="U513" s="64">
        <f>Ringkasan!U957</f>
        <v>1895</v>
      </c>
      <c r="V513" s="64">
        <f>Ringkasan!V957</f>
        <v>-2.11</v>
      </c>
      <c r="W513" s="64">
        <f>Ringkasan!W957</f>
        <v>1905</v>
      </c>
      <c r="X513" s="64">
        <f>Ringkasan!X957</f>
        <v>1915</v>
      </c>
      <c r="Y513" s="64">
        <f>Ringkasan!Y957</f>
        <v>1830</v>
      </c>
      <c r="Z513" s="64">
        <f>Ringkasan!Z957</f>
        <v>30896800</v>
      </c>
      <c r="AA513" s="64" t="str">
        <f>Ringkasan!AA957</f>
        <v>Wireless Telecommunication Services</v>
      </c>
      <c r="AB513" s="64" t="str">
        <f>Ringkasan!AB957</f>
        <v>Infrastructures</v>
      </c>
    </row>
    <row r="514" hidden="1">
      <c r="A514" s="64" t="str">
        <f>Ringkasan!A513</f>
        <v>CLEO</v>
      </c>
      <c r="B514" s="64" t="str">
        <f>Ringkasan!B513</f>
        <v>Sariguna Primatirta Tbk.</v>
      </c>
      <c r="C514" s="67">
        <f>Ringkasan!C513</f>
        <v>380</v>
      </c>
      <c r="D514" s="22" t="str">
        <f>Ringkasan!D513</f>
        <v>#N/A</v>
      </c>
      <c r="E514" s="64" t="str">
        <f>Ringkasan!E513</f>
        <v>FTSE Micro Cap</v>
      </c>
      <c r="F514" s="64" t="str">
        <f>Ringkasan!F513</f>
        <v>4 Agustus 2026</v>
      </c>
      <c r="G514" s="65">
        <f>Ringkasan!G513</f>
        <v>1</v>
      </c>
      <c r="H514" s="19">
        <f>Ringkasan!H513</f>
        <v>24.2</v>
      </c>
      <c r="I514" s="19">
        <f>Ringkasan!I513</f>
        <v>3.8</v>
      </c>
      <c r="J514" s="19">
        <f>Ringkasan!J513</f>
        <v>15.8</v>
      </c>
      <c r="K514" s="19">
        <f>Ringkasan!K513</f>
        <v>11.8</v>
      </c>
      <c r="L514" s="19">
        <f>Ringkasan!L513</f>
        <v>0.34</v>
      </c>
      <c r="M514" s="19">
        <f>Ringkasan!M513</f>
        <v>49.7</v>
      </c>
      <c r="N514" s="64" t="str">
        <f>Ringkasan!N513</f>
        <v/>
      </c>
      <c r="O514" s="64" t="str">
        <f>Ringkasan!O513</f>
        <v/>
      </c>
      <c r="P514" s="64" t="str">
        <f>Ringkasan!P513</f>
        <v/>
      </c>
      <c r="Q514" s="64" t="str">
        <f>Ringkasan!Q513</f>
        <v/>
      </c>
      <c r="R514" s="64" t="str">
        <f>Ringkasan!R513</f>
        <v/>
      </c>
      <c r="S514" s="64" t="str">
        <f>Ringkasan!S513</f>
        <v/>
      </c>
      <c r="T514" s="64" t="str">
        <f>Ringkasan!T513</f>
        <v/>
      </c>
      <c r="U514" s="22">
        <f>Ringkasan!U513</f>
        <v>1.15</v>
      </c>
      <c r="V514" s="22">
        <f>Ringkasan!V513</f>
        <v>-100</v>
      </c>
      <c r="W514" s="22" t="str">
        <f>Ringkasan!W513</f>
        <v/>
      </c>
      <c r="X514" s="22" t="str">
        <f>Ringkasan!X513</f>
        <v/>
      </c>
      <c r="Y514" s="22" t="str">
        <f>Ringkasan!Y513</f>
        <v/>
      </c>
      <c r="Z514" s="22" t="str">
        <f>Ringkasan!Z513</f>
        <v/>
      </c>
      <c r="AA514" s="64" t="str">
        <f>Ringkasan!AA513</f>
        <v>Beverages</v>
      </c>
      <c r="AB514" s="64" t="str">
        <f>Ringkasan!AB513</f>
        <v>Consumer Non-Cyclicals</v>
      </c>
    </row>
    <row r="515" hidden="1">
      <c r="A515" s="64" t="str">
        <f>Ringkasan!A514</f>
        <v>CLPI</v>
      </c>
      <c r="B515" s="64" t="str">
        <f>Ringkasan!B514</f>
        <v>Colorpak Indonesia Tbk.</v>
      </c>
      <c r="C515" s="67">
        <f>Ringkasan!C514</f>
        <v>1595</v>
      </c>
      <c r="D515" s="22" t="str">
        <f>Ringkasan!D514</f>
        <v>#N/A</v>
      </c>
      <c r="E515" s="64" t="str">
        <f>Ringkasan!E514</f>
        <v/>
      </c>
      <c r="F515" s="64" t="str">
        <f>Ringkasan!F514</f>
        <v/>
      </c>
      <c r="G515" s="64">
        <f>Ringkasan!G514</f>
        <v>0</v>
      </c>
      <c r="H515" s="19">
        <f>Ringkasan!H514</f>
        <v>7.1</v>
      </c>
      <c r="I515" s="19">
        <f>Ringkasan!I514</f>
        <v>0.79</v>
      </c>
      <c r="J515" s="19">
        <f>Ringkasan!J514</f>
        <v>11.2</v>
      </c>
      <c r="K515" s="19">
        <f>Ringkasan!K514</f>
        <v>7.8</v>
      </c>
      <c r="L515" s="19">
        <f>Ringkasan!L514</f>
        <v>0.44</v>
      </c>
      <c r="M515" s="19">
        <f>Ringkasan!M514</f>
        <v>27.4</v>
      </c>
      <c r="N515" s="64" t="str">
        <f>Ringkasan!N514</f>
        <v/>
      </c>
      <c r="O515" s="64" t="str">
        <f>Ringkasan!O514</f>
        <v/>
      </c>
      <c r="P515" s="64" t="str">
        <f>Ringkasan!P514</f>
        <v/>
      </c>
      <c r="Q515" s="64" t="str">
        <f>Ringkasan!Q514</f>
        <v/>
      </c>
      <c r="R515" s="64" t="str">
        <f>Ringkasan!R514</f>
        <v/>
      </c>
      <c r="S515" s="64" t="str">
        <f>Ringkasan!S514</f>
        <v/>
      </c>
      <c r="T515" s="64" t="str">
        <f>Ringkasan!T514</f>
        <v/>
      </c>
      <c r="U515" s="22">
        <f>Ringkasan!U514</f>
        <v>1570</v>
      </c>
      <c r="V515" s="22">
        <f>Ringkasan!V514</f>
        <v>1.59</v>
      </c>
      <c r="W515" s="22">
        <f>Ringkasan!W514</f>
        <v>1560</v>
      </c>
      <c r="X515" s="22">
        <f>Ringkasan!X514</f>
        <v>1615</v>
      </c>
      <c r="Y515" s="22">
        <f>Ringkasan!Y514</f>
        <v>1560</v>
      </c>
      <c r="Z515" s="22">
        <f>Ringkasan!Z514</f>
        <v>195700</v>
      </c>
      <c r="AA515" s="64" t="str">
        <f>Ringkasan!AA514</f>
        <v>Chemicals</v>
      </c>
      <c r="AB515" s="64" t="str">
        <f>Ringkasan!AB514</f>
        <v>Basic Materials</v>
      </c>
    </row>
    <row r="516" hidden="1">
      <c r="A516" s="64" t="str">
        <f>Ringkasan!A515</f>
        <v>CMNP</v>
      </c>
      <c r="B516" s="64" t="str">
        <f>Ringkasan!B515</f>
        <v>Citra Marga Nusaphala Persada Tbk.</v>
      </c>
      <c r="C516" s="67">
        <f>Ringkasan!C515</f>
        <v>1380</v>
      </c>
      <c r="D516" s="22" t="str">
        <f>Ringkasan!D515</f>
        <v>#N/A</v>
      </c>
      <c r="E516" s="64" t="str">
        <f>Ringkasan!E515</f>
        <v/>
      </c>
      <c r="F516" s="64" t="str">
        <f>Ringkasan!F515</f>
        <v/>
      </c>
      <c r="G516" s="64">
        <f>Ringkasan!G515</f>
        <v>0</v>
      </c>
      <c r="H516" s="19">
        <f>Ringkasan!H515</f>
        <v>8.7</v>
      </c>
      <c r="I516" s="19">
        <f>Ringkasan!I515</f>
        <v>0.56</v>
      </c>
      <c r="J516" s="19">
        <f>Ringkasan!J515</f>
        <v>6.4</v>
      </c>
      <c r="K516" s="19">
        <f>Ringkasan!K515</f>
        <v>4.1</v>
      </c>
      <c r="L516" s="19">
        <f>Ringkasan!L515</f>
        <v>0.58</v>
      </c>
      <c r="M516" s="19">
        <f>Ringkasan!M515</f>
        <v>110</v>
      </c>
      <c r="N516" s="64" t="str">
        <f>Ringkasan!N515</f>
        <v/>
      </c>
      <c r="O516" s="64" t="str">
        <f>Ringkasan!O515</f>
        <v/>
      </c>
      <c r="P516" s="64" t="str">
        <f>Ringkasan!P515</f>
        <v/>
      </c>
      <c r="Q516" s="64" t="str">
        <f>Ringkasan!Q515</f>
        <v/>
      </c>
      <c r="R516" s="64" t="str">
        <f>Ringkasan!R515</f>
        <v/>
      </c>
      <c r="S516" s="64" t="str">
        <f>Ringkasan!S515</f>
        <v/>
      </c>
      <c r="T516" s="64" t="str">
        <f>Ringkasan!T515</f>
        <v/>
      </c>
      <c r="U516" s="22">
        <f>Ringkasan!U515</f>
        <v>1395</v>
      </c>
      <c r="V516" s="22">
        <f>Ringkasan!V515</f>
        <v>-1.08</v>
      </c>
      <c r="W516" s="22">
        <f>Ringkasan!W515</f>
        <v>1405</v>
      </c>
      <c r="X516" s="22">
        <f>Ringkasan!X515</f>
        <v>1405</v>
      </c>
      <c r="Y516" s="22">
        <f>Ringkasan!Y515</f>
        <v>1310</v>
      </c>
      <c r="Z516" s="22">
        <f>Ringkasan!Z515</f>
        <v>58200</v>
      </c>
      <c r="AA516" s="64" t="str">
        <f>Ringkasan!AA515</f>
        <v>Transport Infrastructure Operator</v>
      </c>
      <c r="AB516" s="64" t="str">
        <f>Ringkasan!AB515</f>
        <v>Infrastructures</v>
      </c>
    </row>
    <row r="517" hidden="1">
      <c r="A517" s="64" t="str">
        <f>Ringkasan!A516</f>
        <v>CMNT</v>
      </c>
      <c r="B517" s="64" t="str">
        <f>Ringkasan!B516</f>
        <v>Cemindo Gemilang Tbk.</v>
      </c>
      <c r="C517" s="65">
        <f>Ringkasan!C516</f>
        <v>815</v>
      </c>
      <c r="D517" s="64" t="str">
        <f>Ringkasan!D516</f>
        <v>#N/A</v>
      </c>
      <c r="E517" s="64" t="str">
        <f>Ringkasan!E516</f>
        <v/>
      </c>
      <c r="F517" s="64" t="str">
        <f>Ringkasan!F516</f>
        <v/>
      </c>
      <c r="G517" s="64">
        <f>Ringkasan!G516</f>
        <v>0</v>
      </c>
      <c r="H517" s="19">
        <f>Ringkasan!H516</f>
        <v>270</v>
      </c>
      <c r="I517" s="19">
        <f>Ringkasan!I516</f>
        <v>5</v>
      </c>
      <c r="J517" s="19">
        <f>Ringkasan!J516</f>
        <v>1.8</v>
      </c>
      <c r="K517" s="19">
        <f>Ringkasan!K516</f>
        <v>0.31</v>
      </c>
      <c r="L517" s="19">
        <f>Ringkasan!L516</f>
        <v>4.8</v>
      </c>
      <c r="M517" s="19">
        <f>Ringkasan!M516</f>
        <v>2.5</v>
      </c>
      <c r="N517" s="64" t="str">
        <f>Ringkasan!N516</f>
        <v/>
      </c>
      <c r="O517" s="64" t="str">
        <f>Ringkasan!O516</f>
        <v/>
      </c>
      <c r="P517" s="64" t="str">
        <f>Ringkasan!P516</f>
        <v/>
      </c>
      <c r="Q517" s="64" t="str">
        <f>Ringkasan!Q516</f>
        <v/>
      </c>
      <c r="R517" s="64" t="str">
        <f>Ringkasan!R516</f>
        <v/>
      </c>
      <c r="S517" s="64" t="str">
        <f>Ringkasan!S516</f>
        <v/>
      </c>
      <c r="T517" s="64" t="str">
        <f>Ringkasan!T516</f>
        <v/>
      </c>
      <c r="U517" s="64">
        <f>Ringkasan!U516</f>
        <v>0</v>
      </c>
      <c r="V517" s="64">
        <f>Ringkasan!V516</f>
        <v>0</v>
      </c>
      <c r="W517" s="64" t="str">
        <f>Ringkasan!W516</f>
        <v/>
      </c>
      <c r="X517" s="64" t="str">
        <f>Ringkasan!X516</f>
        <v/>
      </c>
      <c r="Y517" s="64" t="str">
        <f>Ringkasan!Y516</f>
        <v/>
      </c>
      <c r="Z517" s="64">
        <f>Ringkasan!Z516</f>
        <v>0</v>
      </c>
      <c r="AA517" s="64" t="str">
        <f>Ringkasan!AA516</f>
        <v>Construction Materials</v>
      </c>
      <c r="AB517" s="64" t="str">
        <f>Ringkasan!AB516</f>
        <v>Basic Materials</v>
      </c>
    </row>
    <row r="518" hidden="1">
      <c r="A518" s="64" t="str">
        <f>Ringkasan!A517</f>
        <v>CMPP</v>
      </c>
      <c r="B518" s="64" t="str">
        <f>Ringkasan!B517</f>
        <v>AirAsia Indonesia Tbk.</v>
      </c>
      <c r="C518" s="65">
        <f>Ringkasan!C517</f>
        <v>74</v>
      </c>
      <c r="D518" s="64" t="str">
        <f>Ringkasan!D517</f>
        <v>#N/A</v>
      </c>
      <c r="E518" s="64" t="str">
        <f>Ringkasan!E517</f>
        <v/>
      </c>
      <c r="F518" s="64" t="str">
        <f>Ringkasan!F517</f>
        <v/>
      </c>
      <c r="G518" s="64">
        <f>Ringkasan!G517</f>
        <v>0</v>
      </c>
      <c r="H518" s="19">
        <f>Ringkasan!H517</f>
        <v>-0.81</v>
      </c>
      <c r="I518" s="19">
        <f>Ringkasan!I517</f>
        <v>-0.07</v>
      </c>
      <c r="J518" s="19">
        <f>Ringkasan!J517</f>
        <v>0</v>
      </c>
      <c r="K518" s="19">
        <f>Ringkasan!K517</f>
        <v>-19.2</v>
      </c>
      <c r="L518" s="19">
        <f>Ringkasan!L517</f>
        <v>-1.4</v>
      </c>
      <c r="M518" s="19">
        <f>Ringkasan!M517</f>
        <v>-43.7</v>
      </c>
      <c r="N518" s="64" t="str">
        <f>Ringkasan!N517</f>
        <v/>
      </c>
      <c r="O518" s="64" t="str">
        <f>Ringkasan!O517</f>
        <v/>
      </c>
      <c r="P518" s="64" t="str">
        <f>Ringkasan!P517</f>
        <v/>
      </c>
      <c r="Q518" s="64" t="str">
        <f>Ringkasan!Q517</f>
        <v/>
      </c>
      <c r="R518" s="64" t="str">
        <f>Ringkasan!R517</f>
        <v/>
      </c>
      <c r="S518" s="64" t="str">
        <f>Ringkasan!S517</f>
        <v/>
      </c>
      <c r="T518" s="64" t="str">
        <f>Ringkasan!T517</f>
        <v/>
      </c>
      <c r="U518" s="64">
        <f>Ringkasan!U517</f>
        <v>72</v>
      </c>
      <c r="V518" s="64">
        <f>Ringkasan!V517</f>
        <v>2.78</v>
      </c>
      <c r="W518" s="64">
        <f>Ringkasan!W517</f>
        <v>67</v>
      </c>
      <c r="X518" s="64">
        <f>Ringkasan!X517</f>
        <v>75</v>
      </c>
      <c r="Y518" s="64">
        <f>Ringkasan!Y517</f>
        <v>67</v>
      </c>
      <c r="Z518" s="64">
        <f>Ringkasan!Z517</f>
        <v>84300</v>
      </c>
      <c r="AA518" s="64" t="str">
        <f>Ringkasan!AA517</f>
        <v>Airlines</v>
      </c>
      <c r="AB518" s="64" t="str">
        <f>Ringkasan!AB517</f>
        <v>Transportation &amp; Logistic</v>
      </c>
    </row>
    <row r="519" hidden="1">
      <c r="A519" s="64" t="str">
        <f>Ringkasan!A518</f>
        <v>CMRY</v>
      </c>
      <c r="B519" s="64" t="str">
        <f>Ringkasan!B518</f>
        <v>Cisarua Mountain Dairy Tbk.</v>
      </c>
      <c r="C519" s="67" t="str">
        <f>Ringkasan!C518</f>
        <v>#N/A</v>
      </c>
      <c r="D519" s="22" t="str">
        <f>Ringkasan!D518</f>
        <v>#N/A</v>
      </c>
      <c r="E519" s="64" t="str">
        <f>Ringkasan!E518</f>
        <v>ESGQKEHATI</v>
      </c>
      <c r="F519" s="66">
        <f>Ringkasan!F518</f>
        <v>46356</v>
      </c>
      <c r="G519" s="64">
        <f>Ringkasan!G518</f>
        <v>10</v>
      </c>
      <c r="H519" s="19">
        <f>Ringkasan!H518</f>
        <v>18.2</v>
      </c>
      <c r="I519" s="19">
        <f>Ringkasan!I518</f>
        <v>5.2</v>
      </c>
      <c r="J519" s="19">
        <f>Ringkasan!J518</f>
        <v>28.7</v>
      </c>
      <c r="K519" s="19">
        <f>Ringkasan!K518</f>
        <v>22.3</v>
      </c>
      <c r="L519" s="19">
        <f>Ringkasan!L518</f>
        <v>0.29</v>
      </c>
      <c r="M519" s="19">
        <f>Ringkasan!M518</f>
        <v>67.6</v>
      </c>
      <c r="N519" s="64" t="str">
        <f>Ringkasan!N518</f>
        <v/>
      </c>
      <c r="O519" s="64" t="str">
        <f>Ringkasan!O518</f>
        <v/>
      </c>
      <c r="P519" s="64" t="str">
        <f>Ringkasan!P518</f>
        <v/>
      </c>
      <c r="Q519" s="64" t="str">
        <f>Ringkasan!Q518</f>
        <v/>
      </c>
      <c r="R519" s="64" t="str">
        <f>Ringkasan!R518</f>
        <v/>
      </c>
      <c r="S519" s="64" t="str">
        <f>Ringkasan!S518</f>
        <v/>
      </c>
      <c r="T519" s="64" t="str">
        <f>Ringkasan!T518</f>
        <v/>
      </c>
      <c r="U519" s="22">
        <f>Ringkasan!U518</f>
        <v>4160</v>
      </c>
      <c r="V519" s="22">
        <f>Ringkasan!V518</f>
        <v>5.77</v>
      </c>
      <c r="W519" s="22">
        <f>Ringkasan!W518</f>
        <v>4180</v>
      </c>
      <c r="X519" s="22">
        <f>Ringkasan!X518</f>
        <v>4400</v>
      </c>
      <c r="Y519" s="22">
        <f>Ringkasan!Y518</f>
        <v>4160</v>
      </c>
      <c r="Z519" s="22">
        <f>Ringkasan!Z518</f>
        <v>3542800</v>
      </c>
      <c r="AA519" s="64" t="str">
        <f>Ringkasan!AA518</f>
        <v>Processed Foods</v>
      </c>
      <c r="AB519" s="64" t="str">
        <f>Ringkasan!AB518</f>
        <v>Consumer Non-Cyclicals</v>
      </c>
    </row>
    <row r="520" hidden="1">
      <c r="A520" s="64" t="str">
        <f>Ringkasan!A519</f>
        <v>CMRY</v>
      </c>
      <c r="B520" s="64" t="str">
        <f>Ringkasan!B519</f>
        <v>Cisarua Mountain Dairy Tbk.</v>
      </c>
      <c r="C520" s="67" t="str">
        <f>Ringkasan!C519</f>
        <v>#N/A</v>
      </c>
      <c r="D520" s="22" t="str">
        <f>Ringkasan!D519</f>
        <v>#N/A</v>
      </c>
      <c r="E520" s="64" t="str">
        <f>Ringkasan!E519</f>
        <v>ESGSKEHATI</v>
      </c>
      <c r="F520" s="66">
        <f>Ringkasan!F519</f>
        <v>46356</v>
      </c>
      <c r="G520" s="64">
        <f>Ringkasan!G519</f>
        <v>10</v>
      </c>
      <c r="H520" s="19">
        <f>Ringkasan!H519</f>
        <v>18.2</v>
      </c>
      <c r="I520" s="19">
        <f>Ringkasan!I519</f>
        <v>5.2</v>
      </c>
      <c r="J520" s="19">
        <f>Ringkasan!J519</f>
        <v>28.7</v>
      </c>
      <c r="K520" s="19">
        <f>Ringkasan!K519</f>
        <v>22.3</v>
      </c>
      <c r="L520" s="19">
        <f>Ringkasan!L519</f>
        <v>0.29</v>
      </c>
      <c r="M520" s="19">
        <f>Ringkasan!M519</f>
        <v>67.6</v>
      </c>
      <c r="N520" s="64" t="str">
        <f>Ringkasan!N519</f>
        <v/>
      </c>
      <c r="O520" s="64" t="str">
        <f>Ringkasan!O519</f>
        <v/>
      </c>
      <c r="P520" s="64" t="str">
        <f>Ringkasan!P519</f>
        <v/>
      </c>
      <c r="Q520" s="64" t="str">
        <f>Ringkasan!Q519</f>
        <v/>
      </c>
      <c r="R520" s="64" t="str">
        <f>Ringkasan!R519</f>
        <v/>
      </c>
      <c r="S520" s="64" t="str">
        <f>Ringkasan!S519</f>
        <v/>
      </c>
      <c r="T520" s="64" t="str">
        <f>Ringkasan!T519</f>
        <v/>
      </c>
      <c r="U520" s="22">
        <f>Ringkasan!U519</f>
        <v>4160</v>
      </c>
      <c r="V520" s="22">
        <f>Ringkasan!V519</f>
        <v>5.77</v>
      </c>
      <c r="W520" s="22">
        <f>Ringkasan!W519</f>
        <v>4180</v>
      </c>
      <c r="X520" s="22">
        <f>Ringkasan!X519</f>
        <v>4400</v>
      </c>
      <c r="Y520" s="22">
        <f>Ringkasan!Y519</f>
        <v>4160</v>
      </c>
      <c r="Z520" s="22">
        <f>Ringkasan!Z519</f>
        <v>3542800</v>
      </c>
      <c r="AA520" s="64" t="str">
        <f>Ringkasan!AA519</f>
        <v>Processed Foods</v>
      </c>
      <c r="AB520" s="64" t="str">
        <f>Ringkasan!AB519</f>
        <v>Consumer Non-Cyclicals</v>
      </c>
    </row>
    <row r="521" hidden="1">
      <c r="A521" s="64" t="str">
        <f>Ringkasan!A520</f>
        <v>CMRY</v>
      </c>
      <c r="B521" s="64" t="str">
        <f>Ringkasan!B520</f>
        <v>Cisarua Mountain Dairy Tbk.</v>
      </c>
      <c r="C521" s="67" t="str">
        <f>Ringkasan!C520</f>
        <v>#N/A</v>
      </c>
      <c r="D521" s="22" t="str">
        <f>Ringkasan!D520</f>
        <v>#N/A</v>
      </c>
      <c r="E521" s="64" t="str">
        <f>Ringkasan!E520</f>
        <v>IDXQ30</v>
      </c>
      <c r="F521" s="64" t="str">
        <f>Ringkasan!F520</f>
        <v>4 Agustus 2026</v>
      </c>
      <c r="G521" s="64">
        <f>Ringkasan!G520</f>
        <v>10</v>
      </c>
      <c r="H521" s="19">
        <f>Ringkasan!H520</f>
        <v>18.2</v>
      </c>
      <c r="I521" s="19">
        <f>Ringkasan!I520</f>
        <v>5.2</v>
      </c>
      <c r="J521" s="19">
        <f>Ringkasan!J520</f>
        <v>28.7</v>
      </c>
      <c r="K521" s="19">
        <f>Ringkasan!K520</f>
        <v>22.3</v>
      </c>
      <c r="L521" s="19">
        <f>Ringkasan!L520</f>
        <v>0.29</v>
      </c>
      <c r="M521" s="19">
        <f>Ringkasan!M520</f>
        <v>67.6</v>
      </c>
      <c r="N521" s="64" t="str">
        <f>Ringkasan!N520</f>
        <v/>
      </c>
      <c r="O521" s="64" t="str">
        <f>Ringkasan!O520</f>
        <v/>
      </c>
      <c r="P521" s="64" t="str">
        <f>Ringkasan!P520</f>
        <v/>
      </c>
      <c r="Q521" s="64" t="str">
        <f>Ringkasan!Q520</f>
        <v/>
      </c>
      <c r="R521" s="64" t="str">
        <f>Ringkasan!R520</f>
        <v/>
      </c>
      <c r="S521" s="64" t="str">
        <f>Ringkasan!S520</f>
        <v/>
      </c>
      <c r="T521" s="64" t="str">
        <f>Ringkasan!T520</f>
        <v/>
      </c>
      <c r="U521" s="22">
        <f>Ringkasan!U520</f>
        <v>4160</v>
      </c>
      <c r="V521" s="22">
        <f>Ringkasan!V520</f>
        <v>5.77</v>
      </c>
      <c r="W521" s="22">
        <f>Ringkasan!W520</f>
        <v>4180</v>
      </c>
      <c r="X521" s="22">
        <f>Ringkasan!X520</f>
        <v>4400</v>
      </c>
      <c r="Y521" s="22">
        <f>Ringkasan!Y520</f>
        <v>4160</v>
      </c>
      <c r="Z521" s="22">
        <f>Ringkasan!Z520</f>
        <v>3542800</v>
      </c>
      <c r="AA521" s="64" t="str">
        <f>Ringkasan!AA520</f>
        <v>Processed Foods</v>
      </c>
      <c r="AB521" s="64" t="str">
        <f>Ringkasan!AB520</f>
        <v>Consumer Non-Cyclicals</v>
      </c>
    </row>
    <row r="522">
      <c r="A522" s="60" t="str">
        <f>Ringkasan!A537</f>
        <v>CPIN</v>
      </c>
      <c r="B522" s="60" t="str">
        <f>Ringkasan!B537</f>
        <v>Charoen Pokphand Indonesia Tbk</v>
      </c>
      <c r="C522" s="61">
        <f>Ringkasan!C537</f>
        <v>3300</v>
      </c>
      <c r="D522" s="60" t="str">
        <f>Ringkasan!D537</f>
        <v>#N/A</v>
      </c>
      <c r="E522" s="60" t="str">
        <f>Ringkasan!E537</f>
        <v>BISNIS-27</v>
      </c>
      <c r="F522" s="60" t="str">
        <f>Ringkasan!F537</f>
        <v>30 Oktober 2026</v>
      </c>
      <c r="G522" s="60">
        <f>Ringkasan!G537</f>
        <v>13</v>
      </c>
      <c r="H522" s="62">
        <f>Ringkasan!H537</f>
        <v>10.5</v>
      </c>
      <c r="I522" s="62">
        <f>Ringkasan!I537</f>
        <v>1.9</v>
      </c>
      <c r="J522" s="62">
        <f>Ringkasan!J537</f>
        <v>18.2</v>
      </c>
      <c r="K522" s="62">
        <f>Ringkasan!K537</f>
        <v>13.8</v>
      </c>
      <c r="L522" s="62">
        <f>Ringkasan!L537</f>
        <v>0.32</v>
      </c>
      <c r="M522" s="62">
        <f>Ringkasan!M537</f>
        <v>33.5</v>
      </c>
      <c r="N522" s="62" t="str">
        <f>Ringkasan!N537</f>
        <v/>
      </c>
      <c r="O522" s="62" t="str">
        <f>Ringkasan!O537</f>
        <v/>
      </c>
      <c r="P522" s="62" t="str">
        <f>Ringkasan!P537</f>
        <v/>
      </c>
      <c r="Q522" s="62" t="str">
        <f>Ringkasan!Q537</f>
        <v/>
      </c>
      <c r="R522" s="62" t="str">
        <f>Ringkasan!R537</f>
        <v/>
      </c>
      <c r="S522" s="62" t="str">
        <f>Ringkasan!S537</f>
        <v/>
      </c>
      <c r="T522" s="62" t="str">
        <f>Ringkasan!T537</f>
        <v/>
      </c>
      <c r="U522" s="60">
        <f>Ringkasan!U537</f>
        <v>3260</v>
      </c>
      <c r="V522" s="60">
        <f>Ringkasan!V537</f>
        <v>1.23</v>
      </c>
      <c r="W522" s="60">
        <f>Ringkasan!W537</f>
        <v>3340</v>
      </c>
      <c r="X522" s="60">
        <f>Ringkasan!X537</f>
        <v>3340</v>
      </c>
      <c r="Y522" s="60">
        <f>Ringkasan!Y537</f>
        <v>3240</v>
      </c>
      <c r="Z522" s="60">
        <f>Ringkasan!Z537</f>
        <v>4628500</v>
      </c>
      <c r="AA522" s="60" t="str">
        <f>Ringkasan!AA537</f>
        <v>Agricultural Products</v>
      </c>
      <c r="AB522" s="60" t="str">
        <f>Ringkasan!AB537</f>
        <v>Consumer Non-Cyclicals</v>
      </c>
    </row>
    <row r="523" hidden="1">
      <c r="A523" s="64" t="str">
        <f>Ringkasan!A413</f>
        <v>BRIS</v>
      </c>
      <c r="B523" s="64" t="str">
        <f>Ringkasan!B413</f>
        <v>Bank Syariah Indonesia (Persero) Tbk.</v>
      </c>
      <c r="C523" s="65" t="str">
        <f>Ringkasan!C413</f>
        <v>#N/A</v>
      </c>
      <c r="D523" s="64" t="str">
        <f>Ringkasan!D413</f>
        <v>#N/A</v>
      </c>
      <c r="E523" s="64" t="str">
        <f>Ringkasan!E413</f>
        <v>Investor33</v>
      </c>
      <c r="F523" s="66">
        <f>Ringkasan!F413</f>
        <v>46356</v>
      </c>
      <c r="G523" s="64">
        <f>Ringkasan!G413</f>
        <v>13</v>
      </c>
      <c r="H523" s="19">
        <f>Ringkasan!H413</f>
        <v>11.6</v>
      </c>
      <c r="I523" s="19">
        <f>Ringkasan!I413</f>
        <v>1.8</v>
      </c>
      <c r="J523" s="19">
        <f>Ringkasan!J413</f>
        <v>15.5</v>
      </c>
      <c r="K523" s="19">
        <f>Ringkasan!K413</f>
        <v>1.7</v>
      </c>
      <c r="L523" s="19">
        <f>Ringkasan!L413</f>
        <v>2.2</v>
      </c>
      <c r="M523" s="19">
        <f>Ringkasan!M413</f>
        <v>160</v>
      </c>
      <c r="N523" s="64">
        <f>Ringkasan!N413</f>
        <v>6.1</v>
      </c>
      <c r="O523" s="64">
        <f>Ringkasan!O413</f>
        <v>24.08</v>
      </c>
      <c r="P523" s="64">
        <f>Ringkasan!P413</f>
        <v>83.74</v>
      </c>
      <c r="Q523" s="64">
        <f>Ringkasan!Q413</f>
        <v>1.81</v>
      </c>
      <c r="R523" s="64">
        <f>Ringkasan!R413</f>
        <v>67.49</v>
      </c>
      <c r="S523" s="64">
        <f>Ringkasan!S413</f>
        <v>44.55</v>
      </c>
      <c r="T523" s="64">
        <f>Ringkasan!T413</f>
        <v>10.26</v>
      </c>
      <c r="U523" s="64">
        <f>Ringkasan!U413</f>
        <v>1795</v>
      </c>
      <c r="V523" s="64">
        <f>Ringkasan!V413</f>
        <v>4.18</v>
      </c>
      <c r="W523" s="64">
        <f>Ringkasan!W413</f>
        <v>1805</v>
      </c>
      <c r="X523" s="64">
        <f>Ringkasan!X413</f>
        <v>1870</v>
      </c>
      <c r="Y523" s="64">
        <f>Ringkasan!Y413</f>
        <v>1805</v>
      </c>
      <c r="Z523" s="64">
        <f>Ringkasan!Z413</f>
        <v>22071200</v>
      </c>
      <c r="AA523" s="64" t="str">
        <f>Ringkasan!AA413</f>
        <v>Banks</v>
      </c>
      <c r="AB523" s="64" t="str">
        <f>Ringkasan!AB413</f>
        <v>Financials</v>
      </c>
    </row>
    <row r="524" hidden="1">
      <c r="A524" s="60" t="str">
        <f>Ringkasan!A523</f>
        <v>CMRY</v>
      </c>
      <c r="B524" s="60" t="str">
        <f>Ringkasan!B523</f>
        <v>Cisarua Mountain Dairy Tbk.</v>
      </c>
      <c r="C524" s="61" t="str">
        <f>Ringkasan!C523</f>
        <v>#N/A</v>
      </c>
      <c r="D524" s="60" t="str">
        <f>Ringkasan!D523</f>
        <v>#N/A</v>
      </c>
      <c r="E524" s="60" t="str">
        <f>Ringkasan!E523</f>
        <v>Kompas100</v>
      </c>
      <c r="F524" s="60" t="str">
        <f>Ringkasan!F523</f>
        <v>31 Juli 2026</v>
      </c>
      <c r="G524" s="60">
        <f>Ringkasan!G523</f>
        <v>10</v>
      </c>
      <c r="H524" s="62">
        <f>Ringkasan!H523</f>
        <v>18.2</v>
      </c>
      <c r="I524" s="62">
        <f>Ringkasan!I523</f>
        <v>5.2</v>
      </c>
      <c r="J524" s="62">
        <f>Ringkasan!J523</f>
        <v>28.7</v>
      </c>
      <c r="K524" s="62">
        <f>Ringkasan!K523</f>
        <v>22.3</v>
      </c>
      <c r="L524" s="62">
        <f>Ringkasan!L523</f>
        <v>0.29</v>
      </c>
      <c r="M524" s="62">
        <f>Ringkasan!M523</f>
        <v>67.6</v>
      </c>
      <c r="N524" s="60" t="str">
        <f>Ringkasan!N523</f>
        <v/>
      </c>
      <c r="O524" s="60" t="str">
        <f>Ringkasan!O523</f>
        <v/>
      </c>
      <c r="P524" s="60" t="str">
        <f>Ringkasan!P523</f>
        <v/>
      </c>
      <c r="Q524" s="60" t="str">
        <f>Ringkasan!Q523</f>
        <v/>
      </c>
      <c r="R524" s="60" t="str">
        <f>Ringkasan!R523</f>
        <v/>
      </c>
      <c r="S524" s="60" t="str">
        <f>Ringkasan!S523</f>
        <v/>
      </c>
      <c r="T524" s="60" t="str">
        <f>Ringkasan!T523</f>
        <v/>
      </c>
      <c r="U524" s="60">
        <f>Ringkasan!U523</f>
        <v>4160</v>
      </c>
      <c r="V524" s="60">
        <f>Ringkasan!V523</f>
        <v>5.77</v>
      </c>
      <c r="W524" s="60">
        <f>Ringkasan!W523</f>
        <v>4180</v>
      </c>
      <c r="X524" s="60">
        <f>Ringkasan!X523</f>
        <v>4400</v>
      </c>
      <c r="Y524" s="60">
        <f>Ringkasan!Y523</f>
        <v>4160</v>
      </c>
      <c r="Z524" s="60">
        <f>Ringkasan!Z523</f>
        <v>3542800</v>
      </c>
      <c r="AA524" s="60" t="str">
        <f>Ringkasan!AA523</f>
        <v>Processed Foods</v>
      </c>
      <c r="AB524" s="64" t="str">
        <f>Ringkasan!AB523</f>
        <v>Consumer Non-Cyclicals</v>
      </c>
    </row>
    <row r="525" hidden="1">
      <c r="A525" s="60" t="str">
        <f>Ringkasan!A524</f>
        <v>CMRY</v>
      </c>
      <c r="B525" s="60" t="str">
        <f>Ringkasan!B524</f>
        <v>Cisarua Mountain Dairy Tbk.</v>
      </c>
      <c r="C525" s="61" t="str">
        <f>Ringkasan!C524</f>
        <v>#N/A</v>
      </c>
      <c r="D525" s="60" t="str">
        <f>Ringkasan!D524</f>
        <v>#N/A</v>
      </c>
      <c r="E525" s="60" t="str">
        <f>Ringkasan!E524</f>
        <v>MNC36</v>
      </c>
      <c r="F525" s="60" t="str">
        <f>Ringkasan!F524</f>
        <v>30 Oktober 2026</v>
      </c>
      <c r="G525" s="60">
        <f>Ringkasan!G524</f>
        <v>10</v>
      </c>
      <c r="H525" s="62">
        <f>Ringkasan!H524</f>
        <v>18.2</v>
      </c>
      <c r="I525" s="62">
        <f>Ringkasan!I524</f>
        <v>5.2</v>
      </c>
      <c r="J525" s="62">
        <f>Ringkasan!J524</f>
        <v>28.7</v>
      </c>
      <c r="K525" s="62">
        <f>Ringkasan!K524</f>
        <v>22.3</v>
      </c>
      <c r="L525" s="62">
        <f>Ringkasan!L524</f>
        <v>0.29</v>
      </c>
      <c r="M525" s="62">
        <f>Ringkasan!M524</f>
        <v>67.6</v>
      </c>
      <c r="N525" s="60" t="str">
        <f>Ringkasan!N524</f>
        <v/>
      </c>
      <c r="O525" s="60" t="str">
        <f>Ringkasan!O524</f>
        <v/>
      </c>
      <c r="P525" s="60" t="str">
        <f>Ringkasan!P524</f>
        <v/>
      </c>
      <c r="Q525" s="60" t="str">
        <f>Ringkasan!Q524</f>
        <v/>
      </c>
      <c r="R525" s="60" t="str">
        <f>Ringkasan!R524</f>
        <v/>
      </c>
      <c r="S525" s="60" t="str">
        <f>Ringkasan!S524</f>
        <v/>
      </c>
      <c r="T525" s="60" t="str">
        <f>Ringkasan!T524</f>
        <v/>
      </c>
      <c r="U525" s="60">
        <f>Ringkasan!U524</f>
        <v>4160</v>
      </c>
      <c r="V525" s="60">
        <f>Ringkasan!V524</f>
        <v>5.77</v>
      </c>
      <c r="W525" s="60">
        <f>Ringkasan!W524</f>
        <v>4180</v>
      </c>
      <c r="X525" s="60">
        <f>Ringkasan!X524</f>
        <v>4400</v>
      </c>
      <c r="Y525" s="60">
        <f>Ringkasan!Y524</f>
        <v>4160</v>
      </c>
      <c r="Z525" s="60">
        <f>Ringkasan!Z524</f>
        <v>3542800</v>
      </c>
      <c r="AA525" s="60" t="str">
        <f>Ringkasan!AA524</f>
        <v>Processed Foods</v>
      </c>
      <c r="AB525" s="64" t="str">
        <f>Ringkasan!AB524</f>
        <v>Consumer Non-Cyclicals</v>
      </c>
    </row>
    <row r="526" hidden="1">
      <c r="A526" s="64" t="str">
        <f>Ringkasan!A525</f>
        <v>CMRY</v>
      </c>
      <c r="B526" s="64" t="str">
        <f>Ringkasan!B525</f>
        <v>Cisarua Mountain Dairy Tbk.</v>
      </c>
      <c r="C526" s="67" t="str">
        <f>Ringkasan!C525</f>
        <v>#N/A</v>
      </c>
      <c r="D526" s="22" t="str">
        <f>Ringkasan!D525</f>
        <v>#N/A</v>
      </c>
      <c r="E526" s="64" t="str">
        <f>Ringkasan!E525</f>
        <v>IDXSMC-LIQ</v>
      </c>
      <c r="F526" s="64" t="str">
        <f>Ringkasan!F525</f>
        <v>4 Agustus 2026</v>
      </c>
      <c r="G526" s="64">
        <f>Ringkasan!G525</f>
        <v>10</v>
      </c>
      <c r="H526" s="19">
        <f>Ringkasan!H525</f>
        <v>18.2</v>
      </c>
      <c r="I526" s="19">
        <f>Ringkasan!I525</f>
        <v>5.2</v>
      </c>
      <c r="J526" s="19">
        <f>Ringkasan!J525</f>
        <v>28.7</v>
      </c>
      <c r="K526" s="19">
        <f>Ringkasan!K525</f>
        <v>22.3</v>
      </c>
      <c r="L526" s="19">
        <f>Ringkasan!L525</f>
        <v>0.29</v>
      </c>
      <c r="M526" s="19">
        <f>Ringkasan!M525</f>
        <v>67.6</v>
      </c>
      <c r="N526" s="64" t="str">
        <f>Ringkasan!N525</f>
        <v/>
      </c>
      <c r="O526" s="64" t="str">
        <f>Ringkasan!O525</f>
        <v/>
      </c>
      <c r="P526" s="64" t="str">
        <f>Ringkasan!P525</f>
        <v/>
      </c>
      <c r="Q526" s="64" t="str">
        <f>Ringkasan!Q525</f>
        <v/>
      </c>
      <c r="R526" s="64" t="str">
        <f>Ringkasan!R525</f>
        <v/>
      </c>
      <c r="S526" s="64" t="str">
        <f>Ringkasan!S525</f>
        <v/>
      </c>
      <c r="T526" s="64" t="str">
        <f>Ringkasan!T525</f>
        <v/>
      </c>
      <c r="U526" s="22">
        <f>Ringkasan!U525</f>
        <v>4160</v>
      </c>
      <c r="V526" s="22">
        <f>Ringkasan!V525</f>
        <v>5.77</v>
      </c>
      <c r="W526" s="22">
        <f>Ringkasan!W525</f>
        <v>4180</v>
      </c>
      <c r="X526" s="22">
        <f>Ringkasan!X525</f>
        <v>4400</v>
      </c>
      <c r="Y526" s="22">
        <f>Ringkasan!Y525</f>
        <v>4160</v>
      </c>
      <c r="Z526" s="22">
        <f>Ringkasan!Z525</f>
        <v>3542800</v>
      </c>
      <c r="AA526" s="64" t="str">
        <f>Ringkasan!AA525</f>
        <v>Processed Foods</v>
      </c>
      <c r="AB526" s="64" t="str">
        <f>Ringkasan!AB525</f>
        <v>Consumer Non-Cyclicals</v>
      </c>
    </row>
    <row r="527" hidden="1">
      <c r="A527" s="64" t="str">
        <f>Ringkasan!A526</f>
        <v>CMRY</v>
      </c>
      <c r="B527" s="64" t="str">
        <f>Ringkasan!B526</f>
        <v>Cisarua Mountain Dairy Tbk.</v>
      </c>
      <c r="C527" s="61" t="str">
        <f>Ringkasan!C526</f>
        <v>#N/A</v>
      </c>
      <c r="D527" s="60" t="str">
        <f>Ringkasan!D526</f>
        <v>#N/A</v>
      </c>
      <c r="E527" s="64" t="str">
        <f>Ringkasan!E526</f>
        <v>MSCI Small Cap</v>
      </c>
      <c r="F527" s="64" t="str">
        <f>Ringkasan!F526</f>
        <v>12 Agustus 2026</v>
      </c>
      <c r="G527" s="64">
        <f>Ringkasan!G526</f>
        <v>10</v>
      </c>
      <c r="H527" s="19">
        <f>Ringkasan!H526</f>
        <v>18.2</v>
      </c>
      <c r="I527" s="19">
        <f>Ringkasan!I526</f>
        <v>5.2</v>
      </c>
      <c r="J527" s="19">
        <f>Ringkasan!J526</f>
        <v>28.7</v>
      </c>
      <c r="K527" s="19">
        <f>Ringkasan!K526</f>
        <v>22.3</v>
      </c>
      <c r="L527" s="19">
        <f>Ringkasan!L526</f>
        <v>0.29</v>
      </c>
      <c r="M527" s="19">
        <f>Ringkasan!M526</f>
        <v>67.6</v>
      </c>
      <c r="N527" s="64" t="str">
        <f>Ringkasan!N526</f>
        <v/>
      </c>
      <c r="O527" s="64" t="str">
        <f>Ringkasan!O526</f>
        <v/>
      </c>
      <c r="P527" s="64" t="str">
        <f>Ringkasan!P526</f>
        <v/>
      </c>
      <c r="Q527" s="64" t="str">
        <f>Ringkasan!Q526</f>
        <v/>
      </c>
      <c r="R527" s="64" t="str">
        <f>Ringkasan!R526</f>
        <v/>
      </c>
      <c r="S527" s="64" t="str">
        <f>Ringkasan!S526</f>
        <v/>
      </c>
      <c r="T527" s="64" t="str">
        <f>Ringkasan!T526</f>
        <v/>
      </c>
      <c r="U527" s="60">
        <f>Ringkasan!U526</f>
        <v>4160</v>
      </c>
      <c r="V527" s="60">
        <f>Ringkasan!V526</f>
        <v>5.77</v>
      </c>
      <c r="W527" s="60">
        <f>Ringkasan!W526</f>
        <v>4180</v>
      </c>
      <c r="X527" s="60">
        <f>Ringkasan!X526</f>
        <v>4400</v>
      </c>
      <c r="Y527" s="60">
        <f>Ringkasan!Y526</f>
        <v>4160</v>
      </c>
      <c r="Z527" s="60">
        <f>Ringkasan!Z526</f>
        <v>3542800</v>
      </c>
      <c r="AA527" s="64" t="str">
        <f>Ringkasan!AA526</f>
        <v>Processed Foods</v>
      </c>
      <c r="AB527" s="64" t="str">
        <f>Ringkasan!AB526</f>
        <v>Consumer Non-Cyclicals</v>
      </c>
    </row>
    <row r="528" hidden="1">
      <c r="A528" s="64" t="str">
        <f>Ringkasan!A527</f>
        <v>CMRY</v>
      </c>
      <c r="B528" s="64" t="str">
        <f>Ringkasan!B527</f>
        <v>Cisarua Mountain Dairy Tbk.</v>
      </c>
      <c r="C528" s="61" t="str">
        <f>Ringkasan!C527</f>
        <v>#N/A</v>
      </c>
      <c r="D528" s="60" t="str">
        <f>Ringkasan!D527</f>
        <v>#N/A</v>
      </c>
      <c r="E528" s="60" t="str">
        <f>Ringkasan!E527</f>
        <v>JII70</v>
      </c>
      <c r="F528" s="63">
        <f>Ringkasan!F527</f>
        <v>46356</v>
      </c>
      <c r="G528" s="60">
        <f>Ringkasan!G527</f>
        <v>10</v>
      </c>
      <c r="H528" s="62">
        <f>Ringkasan!H527</f>
        <v>18.2</v>
      </c>
      <c r="I528" s="62">
        <f>Ringkasan!I527</f>
        <v>5.2</v>
      </c>
      <c r="J528" s="62">
        <f>Ringkasan!J527</f>
        <v>28.7</v>
      </c>
      <c r="K528" s="62">
        <f>Ringkasan!K527</f>
        <v>22.3</v>
      </c>
      <c r="L528" s="62">
        <f>Ringkasan!L527</f>
        <v>0.29</v>
      </c>
      <c r="M528" s="62">
        <f>Ringkasan!M527</f>
        <v>67.6</v>
      </c>
      <c r="N528" s="60" t="str">
        <f>Ringkasan!N527</f>
        <v/>
      </c>
      <c r="O528" s="60" t="str">
        <f>Ringkasan!O527</f>
        <v/>
      </c>
      <c r="P528" s="60" t="str">
        <f>Ringkasan!P527</f>
        <v/>
      </c>
      <c r="Q528" s="60" t="str">
        <f>Ringkasan!Q527</f>
        <v/>
      </c>
      <c r="R528" s="60" t="str">
        <f>Ringkasan!R527</f>
        <v/>
      </c>
      <c r="S528" s="60" t="str">
        <f>Ringkasan!S527</f>
        <v/>
      </c>
      <c r="T528" s="60" t="str">
        <f>Ringkasan!T527</f>
        <v/>
      </c>
      <c r="U528" s="60">
        <f>Ringkasan!U527</f>
        <v>4160</v>
      </c>
      <c r="V528" s="60">
        <f>Ringkasan!V527</f>
        <v>5.77</v>
      </c>
      <c r="W528" s="60">
        <f>Ringkasan!W527</f>
        <v>4180</v>
      </c>
      <c r="X528" s="60">
        <f>Ringkasan!X527</f>
        <v>4400</v>
      </c>
      <c r="Y528" s="60">
        <f>Ringkasan!Y527</f>
        <v>4160</v>
      </c>
      <c r="Z528" s="60">
        <f>Ringkasan!Z527</f>
        <v>3542800</v>
      </c>
      <c r="AA528" s="60" t="str">
        <f>Ringkasan!AA527</f>
        <v>Processed Foods</v>
      </c>
      <c r="AB528" s="60" t="str">
        <f>Ringkasan!AB527</f>
        <v>Consumer Non-Cyclicals</v>
      </c>
    </row>
    <row r="529" hidden="1">
      <c r="A529" s="64" t="str">
        <f>Ringkasan!A1433</f>
        <v>PSGO</v>
      </c>
      <c r="B529" s="64" t="str">
        <f>Ringkasan!B1433</f>
        <v>Palma Serasih Tbk.</v>
      </c>
      <c r="C529" s="65">
        <f>Ringkasan!C1433</f>
        <v>190</v>
      </c>
      <c r="D529" s="64" t="str">
        <f>Ringkasan!D1433</f>
        <v>#N/A</v>
      </c>
      <c r="E529" s="64" t="str">
        <f>Ringkasan!E1433</f>
        <v/>
      </c>
      <c r="F529" s="64" t="str">
        <f>Ringkasan!F1433</f>
        <v/>
      </c>
      <c r="G529" s="65">
        <f>Ringkasan!G1433</f>
        <v>0</v>
      </c>
      <c r="H529" s="19">
        <f>Ringkasan!H1433</f>
        <v>8.4</v>
      </c>
      <c r="I529" s="19">
        <f>Ringkasan!I1433</f>
        <v>1.3</v>
      </c>
      <c r="J529" s="19">
        <f>Ringkasan!J1433</f>
        <v>15.3</v>
      </c>
      <c r="K529" s="19">
        <f>Ringkasan!K1433</f>
        <v>13.2</v>
      </c>
      <c r="L529" s="19">
        <f>Ringkasan!L1433</f>
        <v>0.16</v>
      </c>
      <c r="M529" s="19">
        <f>Ringkasan!M1433</f>
        <v>81.4</v>
      </c>
      <c r="N529" s="64" t="str">
        <f>Ringkasan!N1433</f>
        <v/>
      </c>
      <c r="O529" s="64" t="str">
        <f>Ringkasan!O1433</f>
        <v/>
      </c>
      <c r="P529" s="64" t="str">
        <f>Ringkasan!P1433</f>
        <v/>
      </c>
      <c r="Q529" s="64" t="str">
        <f>Ringkasan!Q1433</f>
        <v/>
      </c>
      <c r="R529" s="64" t="str">
        <f>Ringkasan!R1433</f>
        <v/>
      </c>
      <c r="S529" s="64" t="str">
        <f>Ringkasan!S1433</f>
        <v/>
      </c>
      <c r="T529" s="64" t="str">
        <f>Ringkasan!T1433</f>
        <v/>
      </c>
      <c r="U529" s="64">
        <f>Ringkasan!U1433</f>
        <v>190</v>
      </c>
      <c r="V529" s="64">
        <f>Ringkasan!V1433</f>
        <v>0</v>
      </c>
      <c r="W529" s="64">
        <f>Ringkasan!W1433</f>
        <v>192</v>
      </c>
      <c r="X529" s="64">
        <f>Ringkasan!X1433</f>
        <v>194</v>
      </c>
      <c r="Y529" s="64">
        <f>Ringkasan!Y1433</f>
        <v>190</v>
      </c>
      <c r="Z529" s="64">
        <f>Ringkasan!Z1433</f>
        <v>338700</v>
      </c>
      <c r="AA529" s="64" t="str">
        <f>Ringkasan!AA1433</f>
        <v>Agricultural Products</v>
      </c>
      <c r="AB529" s="64" t="str">
        <f>Ringkasan!AB1433</f>
        <v>Consumer Non-Cyclicals</v>
      </c>
    </row>
    <row r="530">
      <c r="A530" s="60" t="str">
        <f>Ringkasan!A538</f>
        <v>CPIN</v>
      </c>
      <c r="B530" s="60" t="str">
        <f>Ringkasan!B538</f>
        <v>Charoen Pokphand Indonesia Tbk</v>
      </c>
      <c r="C530" s="61">
        <f>Ringkasan!C538</f>
        <v>3300</v>
      </c>
      <c r="D530" s="60" t="str">
        <f>Ringkasan!D538</f>
        <v>#N/A</v>
      </c>
      <c r="E530" s="60" t="str">
        <f>Ringkasan!E538</f>
        <v>IDX30</v>
      </c>
      <c r="F530" s="60" t="str">
        <f>Ringkasan!F538</f>
        <v>31 Juli 2026</v>
      </c>
      <c r="G530" s="61">
        <f>Ringkasan!G538</f>
        <v>13</v>
      </c>
      <c r="H530" s="62">
        <f>Ringkasan!H538</f>
        <v>10.5</v>
      </c>
      <c r="I530" s="62">
        <f>Ringkasan!I538</f>
        <v>1.9</v>
      </c>
      <c r="J530" s="62">
        <f>Ringkasan!J538</f>
        <v>18.2</v>
      </c>
      <c r="K530" s="62">
        <f>Ringkasan!K538</f>
        <v>13.8</v>
      </c>
      <c r="L530" s="62">
        <f>Ringkasan!L538</f>
        <v>0.32</v>
      </c>
      <c r="M530" s="62">
        <f>Ringkasan!M538</f>
        <v>33.5</v>
      </c>
      <c r="N530" s="60" t="str">
        <f>Ringkasan!N538</f>
        <v/>
      </c>
      <c r="O530" s="60" t="str">
        <f>Ringkasan!O538</f>
        <v/>
      </c>
      <c r="P530" s="60" t="str">
        <f>Ringkasan!P538</f>
        <v/>
      </c>
      <c r="Q530" s="60" t="str">
        <f>Ringkasan!Q538</f>
        <v/>
      </c>
      <c r="R530" s="60" t="str">
        <f>Ringkasan!R538</f>
        <v/>
      </c>
      <c r="S530" s="60" t="str">
        <f>Ringkasan!S538</f>
        <v/>
      </c>
      <c r="T530" s="60" t="str">
        <f>Ringkasan!T538</f>
        <v/>
      </c>
      <c r="U530" s="60">
        <f>Ringkasan!U538</f>
        <v>3260</v>
      </c>
      <c r="V530" s="60">
        <f>Ringkasan!V538</f>
        <v>1.23</v>
      </c>
      <c r="W530" s="60">
        <f>Ringkasan!W538</f>
        <v>3340</v>
      </c>
      <c r="X530" s="60">
        <f>Ringkasan!X538</f>
        <v>3340</v>
      </c>
      <c r="Y530" s="60">
        <f>Ringkasan!Y538</f>
        <v>3240</v>
      </c>
      <c r="Z530" s="60">
        <f>Ringkasan!Z538</f>
        <v>4628500</v>
      </c>
      <c r="AA530" s="60" t="str">
        <f>Ringkasan!AA538</f>
        <v>Agricultural Products</v>
      </c>
      <c r="AB530" s="60" t="str">
        <f>Ringkasan!AB538</f>
        <v>Consumer Non-Cyclicals</v>
      </c>
    </row>
    <row r="531" hidden="1">
      <c r="A531" s="60" t="str">
        <f>Ringkasan!A530</f>
        <v>CNTB</v>
      </c>
      <c r="B531" s="60" t="str">
        <f>Ringkasan!B530</f>
        <v>Century Textile Industry (Seri B) Tbk.</v>
      </c>
      <c r="C531" s="61">
        <f>Ringkasan!C530</f>
        <v>0</v>
      </c>
      <c r="D531" s="60" t="str">
        <f>Ringkasan!D530</f>
        <v>#N/A</v>
      </c>
      <c r="E531" s="60" t="str">
        <f>Ringkasan!E530</f>
        <v/>
      </c>
      <c r="F531" s="60" t="str">
        <f>Ringkasan!F530</f>
        <v/>
      </c>
      <c r="G531" s="60">
        <f>Ringkasan!G530</f>
        <v>0</v>
      </c>
      <c r="H531" s="62">
        <f>Ringkasan!H530</f>
        <v>-0.22</v>
      </c>
      <c r="I531" s="62">
        <f>Ringkasan!I530</f>
        <v>-0.06</v>
      </c>
      <c r="J531" s="62">
        <f>Ringkasan!J530</f>
        <v>0</v>
      </c>
      <c r="K531" s="62">
        <f>Ringkasan!K530</f>
        <v>-31.8</v>
      </c>
      <c r="L531" s="62">
        <f>Ringkasan!L530</f>
        <v>-1.8</v>
      </c>
      <c r="M531" s="62">
        <f>Ringkasan!M530</f>
        <v>-47.6</v>
      </c>
      <c r="N531" s="60" t="str">
        <f>Ringkasan!N530</f>
        <v/>
      </c>
      <c r="O531" s="60" t="str">
        <f>Ringkasan!O530</f>
        <v/>
      </c>
      <c r="P531" s="60" t="str">
        <f>Ringkasan!P530</f>
        <v/>
      </c>
      <c r="Q531" s="60" t="str">
        <f>Ringkasan!Q530</f>
        <v/>
      </c>
      <c r="R531" s="60" t="str">
        <f>Ringkasan!R530</f>
        <v/>
      </c>
      <c r="S531" s="60" t="str">
        <f>Ringkasan!S530</f>
        <v/>
      </c>
      <c r="T531" s="60" t="str">
        <f>Ringkasan!T530</f>
        <v/>
      </c>
      <c r="U531" s="60">
        <f>Ringkasan!U530</f>
        <v>2.1</v>
      </c>
      <c r="V531" s="60">
        <f>Ringkasan!V530</f>
        <v>0.95</v>
      </c>
      <c r="W531" s="60">
        <f>Ringkasan!W530</f>
        <v>2.1</v>
      </c>
      <c r="X531" s="60">
        <f>Ringkasan!X530</f>
        <v>2.17</v>
      </c>
      <c r="Y531" s="60">
        <f>Ringkasan!Y530</f>
        <v>2.07</v>
      </c>
      <c r="Z531" s="60">
        <f>Ringkasan!Z530</f>
        <v>173605</v>
      </c>
      <c r="AA531" s="60" t="str">
        <f>Ringkasan!AA530</f>
        <v/>
      </c>
      <c r="AB531" s="60" t="str">
        <f>Ringkasan!AB530</f>
        <v>No Sector</v>
      </c>
    </row>
    <row r="532" hidden="1">
      <c r="A532" s="60" t="str">
        <f>Ringkasan!A531</f>
        <v>CNTX</v>
      </c>
      <c r="B532" s="60" t="str">
        <f>Ringkasan!B531</f>
        <v>Centex Tbk</v>
      </c>
      <c r="C532" s="61">
        <f>Ringkasan!C531</f>
        <v>142</v>
      </c>
      <c r="D532" s="60" t="str">
        <f>Ringkasan!D531</f>
        <v>#N/A</v>
      </c>
      <c r="E532" s="60" t="str">
        <f>Ringkasan!E531</f>
        <v/>
      </c>
      <c r="F532" s="60" t="str">
        <f>Ringkasan!F531</f>
        <v/>
      </c>
      <c r="G532" s="60">
        <f>Ringkasan!G531</f>
        <v>0</v>
      </c>
      <c r="H532" s="62">
        <f>Ringkasan!H531</f>
        <v>-0.07</v>
      </c>
      <c r="I532" s="62">
        <f>Ringkasan!I531</f>
        <v>-0.02</v>
      </c>
      <c r="J532" s="62">
        <f>Ringkasan!J531</f>
        <v>0</v>
      </c>
      <c r="K532" s="62">
        <f>Ringkasan!K531</f>
        <v>-31.8</v>
      </c>
      <c r="L532" s="62">
        <f>Ringkasan!L531</f>
        <v>-1.8</v>
      </c>
      <c r="M532" s="62">
        <f>Ringkasan!M531</f>
        <v>-47.6</v>
      </c>
      <c r="N532" s="60" t="str">
        <f>Ringkasan!N531</f>
        <v/>
      </c>
      <c r="O532" s="60" t="str">
        <f>Ringkasan!O531</f>
        <v/>
      </c>
      <c r="P532" s="60" t="str">
        <f>Ringkasan!P531</f>
        <v/>
      </c>
      <c r="Q532" s="60" t="str">
        <f>Ringkasan!Q531</f>
        <v/>
      </c>
      <c r="R532" s="60" t="str">
        <f>Ringkasan!R531</f>
        <v/>
      </c>
      <c r="S532" s="60" t="str">
        <f>Ringkasan!S531</f>
        <v/>
      </c>
      <c r="T532" s="60" t="str">
        <f>Ringkasan!T531</f>
        <v/>
      </c>
      <c r="U532" s="60">
        <f>Ringkasan!U531</f>
        <v>1.42</v>
      </c>
      <c r="V532" s="60">
        <f>Ringkasan!V531</f>
        <v>-2.11</v>
      </c>
      <c r="W532" s="60">
        <f>Ringkasan!W531</f>
        <v>1.43</v>
      </c>
      <c r="X532" s="60">
        <f>Ringkasan!X531</f>
        <v>1.51</v>
      </c>
      <c r="Y532" s="60">
        <f>Ringkasan!Y531</f>
        <v>1.39</v>
      </c>
      <c r="Z532" s="60">
        <f>Ringkasan!Z531</f>
        <v>498818</v>
      </c>
      <c r="AA532" s="60" t="str">
        <f>Ringkasan!AA531</f>
        <v>Apparel &amp; Luxury Goods</v>
      </c>
      <c r="AB532" s="64" t="str">
        <f>Ringkasan!AB531</f>
        <v>Consumer Cyclicals</v>
      </c>
    </row>
    <row r="533" hidden="1">
      <c r="A533" s="60" t="str">
        <f>Ringkasan!A532</f>
        <v>COAL</v>
      </c>
      <c r="B533" s="60" t="str">
        <f>Ringkasan!B532</f>
        <v>Black Diamond Resources Tbk.</v>
      </c>
      <c r="C533" s="61">
        <f>Ringkasan!C532</f>
        <v>34</v>
      </c>
      <c r="D533" s="60" t="str">
        <f>Ringkasan!D532</f>
        <v>#N/A</v>
      </c>
      <c r="E533" s="60" t="str">
        <f>Ringkasan!E532</f>
        <v/>
      </c>
      <c r="F533" s="60" t="str">
        <f>Ringkasan!F532</f>
        <v/>
      </c>
      <c r="G533" s="60">
        <f>Ringkasan!G532</f>
        <v>0</v>
      </c>
      <c r="H533" s="62">
        <f>Ringkasan!H532</f>
        <v>73</v>
      </c>
      <c r="I533" s="62">
        <f>Ringkasan!I532</f>
        <v>0.85</v>
      </c>
      <c r="J533" s="62">
        <f>Ringkasan!J532</f>
        <v>1.2</v>
      </c>
      <c r="K533" s="62">
        <f>Ringkasan!K532</f>
        <v>0.53</v>
      </c>
      <c r="L533" s="62">
        <f>Ringkasan!L532</f>
        <v>1.2</v>
      </c>
      <c r="M533" s="62">
        <f>Ringkasan!M532</f>
        <v>1.8</v>
      </c>
      <c r="N533" s="60" t="str">
        <f>Ringkasan!N532</f>
        <v/>
      </c>
      <c r="O533" s="60" t="str">
        <f>Ringkasan!O532</f>
        <v/>
      </c>
      <c r="P533" s="60" t="str">
        <f>Ringkasan!P532</f>
        <v/>
      </c>
      <c r="Q533" s="60" t="str">
        <f>Ringkasan!Q532</f>
        <v/>
      </c>
      <c r="R533" s="60" t="str">
        <f>Ringkasan!R532</f>
        <v/>
      </c>
      <c r="S533" s="60" t="str">
        <f>Ringkasan!S532</f>
        <v/>
      </c>
      <c r="T533" s="60" t="str">
        <f>Ringkasan!T532</f>
        <v/>
      </c>
      <c r="U533" s="60">
        <f>Ringkasan!U532</f>
        <v>25.97</v>
      </c>
      <c r="V533" s="60" t="str">
        <f>Ringkasan!V532</f>
        <v/>
      </c>
      <c r="W533" s="60">
        <f>Ringkasan!W532</f>
        <v>26.25</v>
      </c>
      <c r="X533" s="60" t="str">
        <f>Ringkasan!X532</f>
        <v/>
      </c>
      <c r="Y533" s="60">
        <f>Ringkasan!Y532</f>
        <v>26.25</v>
      </c>
      <c r="Z533" s="60">
        <f>Ringkasan!Z532</f>
        <v>3025</v>
      </c>
      <c r="AA533" s="60" t="str">
        <f>Ringkasan!AA532</f>
        <v>Coal</v>
      </c>
      <c r="AB533" s="64" t="str">
        <f>Ringkasan!AB532</f>
        <v>Energy</v>
      </c>
    </row>
    <row r="534" hidden="1">
      <c r="A534" s="60" t="str">
        <f>Ringkasan!A533</f>
        <v>COCO</v>
      </c>
      <c r="B534" s="60" t="str">
        <f>Ringkasan!B533</f>
        <v>Wahana Interfood Nusantara Tbk.</v>
      </c>
      <c r="C534" s="61">
        <f>Ringkasan!C533</f>
        <v>194</v>
      </c>
      <c r="D534" s="60" t="str">
        <f>Ringkasan!D533</f>
        <v>#N/A</v>
      </c>
      <c r="E534" s="60" t="str">
        <f>Ringkasan!E533</f>
        <v/>
      </c>
      <c r="F534" s="60" t="str">
        <f>Ringkasan!F533</f>
        <v/>
      </c>
      <c r="G534" s="60">
        <f>Ringkasan!G533</f>
        <v>0</v>
      </c>
      <c r="H534" s="62">
        <f>Ringkasan!H533</f>
        <v>-3.5</v>
      </c>
      <c r="I534" s="62">
        <f>Ringkasan!I533</f>
        <v>7.8</v>
      </c>
      <c r="J534" s="62">
        <f>Ringkasan!J533</f>
        <v>-220</v>
      </c>
      <c r="K534" s="62">
        <f>Ringkasan!K533</f>
        <v>-46.3</v>
      </c>
      <c r="L534" s="62">
        <f>Ringkasan!L533</f>
        <v>3.8</v>
      </c>
      <c r="M534" s="62">
        <f>Ringkasan!M533</f>
        <v>-150</v>
      </c>
      <c r="N534" s="60" t="str">
        <f>Ringkasan!N533</f>
        <v/>
      </c>
      <c r="O534" s="60" t="str">
        <f>Ringkasan!O533</f>
        <v/>
      </c>
      <c r="P534" s="60" t="str">
        <f>Ringkasan!P533</f>
        <v/>
      </c>
      <c r="Q534" s="60" t="str">
        <f>Ringkasan!Q533</f>
        <v/>
      </c>
      <c r="R534" s="60" t="str">
        <f>Ringkasan!R533</f>
        <v/>
      </c>
      <c r="S534" s="60" t="str">
        <f>Ringkasan!S533</f>
        <v/>
      </c>
      <c r="T534" s="60" t="str">
        <f>Ringkasan!T533</f>
        <v/>
      </c>
      <c r="U534" s="60">
        <f>Ringkasan!U533</f>
        <v>78.65</v>
      </c>
      <c r="V534" s="60">
        <f>Ringkasan!V533</f>
        <v>2.86</v>
      </c>
      <c r="W534" s="60">
        <f>Ringkasan!W533</f>
        <v>78.65</v>
      </c>
      <c r="X534" s="60">
        <f>Ringkasan!X533</f>
        <v>82.33</v>
      </c>
      <c r="Y534" s="60">
        <f>Ringkasan!Y533</f>
        <v>77</v>
      </c>
      <c r="Z534" s="60">
        <f>Ringkasan!Z533</f>
        <v>1463100</v>
      </c>
      <c r="AA534" s="60" t="str">
        <f>Ringkasan!AA533</f>
        <v>Processed Foods</v>
      </c>
      <c r="AB534" s="60" t="str">
        <f>Ringkasan!AB533</f>
        <v>Consumer Non-Cyclicals</v>
      </c>
    </row>
    <row r="535">
      <c r="A535" s="60" t="str">
        <f>Ringkasan!A548</f>
        <v>CPIN</v>
      </c>
      <c r="B535" s="60" t="str">
        <f>Ringkasan!B548</f>
        <v>Charoen Pokphand Indonesia Tbk</v>
      </c>
      <c r="C535" s="61">
        <f>Ringkasan!C548</f>
        <v>3300</v>
      </c>
      <c r="D535" s="60" t="str">
        <f>Ringkasan!D548</f>
        <v>#N/A</v>
      </c>
      <c r="E535" s="60" t="str">
        <f>Ringkasan!E548</f>
        <v>JII70</v>
      </c>
      <c r="F535" s="63">
        <f>Ringkasan!F548</f>
        <v>46356</v>
      </c>
      <c r="G535" s="61">
        <f>Ringkasan!G548</f>
        <v>13</v>
      </c>
      <c r="H535" s="62">
        <f>Ringkasan!H548</f>
        <v>10.5</v>
      </c>
      <c r="I535" s="62">
        <f>Ringkasan!I548</f>
        <v>1.9</v>
      </c>
      <c r="J535" s="62">
        <f>Ringkasan!J548</f>
        <v>18.2</v>
      </c>
      <c r="K535" s="62">
        <f>Ringkasan!K548</f>
        <v>13.8</v>
      </c>
      <c r="L535" s="62">
        <f>Ringkasan!L548</f>
        <v>0.32</v>
      </c>
      <c r="M535" s="62">
        <f>Ringkasan!M548</f>
        <v>33.5</v>
      </c>
      <c r="N535" s="60" t="str">
        <f>Ringkasan!N548</f>
        <v/>
      </c>
      <c r="O535" s="60" t="str">
        <f>Ringkasan!O548</f>
        <v/>
      </c>
      <c r="P535" s="60" t="str">
        <f>Ringkasan!P548</f>
        <v/>
      </c>
      <c r="Q535" s="60" t="str">
        <f>Ringkasan!Q548</f>
        <v/>
      </c>
      <c r="R535" s="60" t="str">
        <f>Ringkasan!R548</f>
        <v/>
      </c>
      <c r="S535" s="60" t="str">
        <f>Ringkasan!S548</f>
        <v/>
      </c>
      <c r="T535" s="60" t="str">
        <f>Ringkasan!T548</f>
        <v/>
      </c>
      <c r="U535" s="60">
        <f>Ringkasan!U548</f>
        <v>3260</v>
      </c>
      <c r="V535" s="60">
        <f>Ringkasan!V548</f>
        <v>1.23</v>
      </c>
      <c r="W535" s="60">
        <f>Ringkasan!W548</f>
        <v>3340</v>
      </c>
      <c r="X535" s="60">
        <f>Ringkasan!X548</f>
        <v>3340</v>
      </c>
      <c r="Y535" s="60">
        <f>Ringkasan!Y548</f>
        <v>3240</v>
      </c>
      <c r="Z535" s="60">
        <f>Ringkasan!Z548</f>
        <v>4628500</v>
      </c>
      <c r="AA535" s="60" t="str">
        <f>Ringkasan!AA548</f>
        <v>Agricultural Products</v>
      </c>
      <c r="AB535" s="60" t="str">
        <f>Ringkasan!AB548</f>
        <v>Consumer Non-Cyclicals</v>
      </c>
    </row>
    <row r="536" hidden="1">
      <c r="A536" s="60" t="str">
        <f>Ringkasan!A535</f>
        <v>COWL</v>
      </c>
      <c r="B536" s="60" t="str">
        <f>Ringkasan!B535</f>
        <v>Cowell Development Tbk.</v>
      </c>
      <c r="C536" s="61">
        <f>Ringkasan!C535</f>
        <v>50</v>
      </c>
      <c r="D536" s="60" t="str">
        <f>Ringkasan!D535</f>
        <v>#N/A</v>
      </c>
      <c r="E536" s="60" t="str">
        <f>Ringkasan!E535</f>
        <v/>
      </c>
      <c r="F536" s="60" t="str">
        <f>Ringkasan!F535</f>
        <v/>
      </c>
      <c r="G536" s="60">
        <f>Ringkasan!G535</f>
        <v>0</v>
      </c>
      <c r="H536" s="62" t="str">
        <f>Ringkasan!H535</f>
        <v/>
      </c>
      <c r="I536" s="62">
        <f>Ringkasan!I535</f>
        <v>-12.6</v>
      </c>
      <c r="J536" s="62" t="str">
        <f>Ringkasan!J535</f>
        <v/>
      </c>
      <c r="K536" s="62">
        <f>Ringkasan!K535</f>
        <v>0</v>
      </c>
      <c r="L536" s="62">
        <f>Ringkasan!L535</f>
        <v>-130</v>
      </c>
      <c r="M536" s="62">
        <f>Ringkasan!M535</f>
        <v>-210</v>
      </c>
      <c r="N536" s="60" t="str">
        <f>Ringkasan!N535</f>
        <v/>
      </c>
      <c r="O536" s="60" t="str">
        <f>Ringkasan!O535</f>
        <v/>
      </c>
      <c r="P536" s="60" t="str">
        <f>Ringkasan!P535</f>
        <v/>
      </c>
      <c r="Q536" s="60" t="str">
        <f>Ringkasan!Q535</f>
        <v/>
      </c>
      <c r="R536" s="60" t="str">
        <f>Ringkasan!R535</f>
        <v/>
      </c>
      <c r="S536" s="60" t="str">
        <f>Ringkasan!S535</f>
        <v/>
      </c>
      <c r="T536" s="60" t="str">
        <f>Ringkasan!T535</f>
        <v/>
      </c>
      <c r="U536" s="60">
        <f>Ringkasan!U535</f>
        <v>50</v>
      </c>
      <c r="V536" s="60">
        <f>Ringkasan!V535</f>
        <v>0</v>
      </c>
      <c r="W536" s="60" t="str">
        <f>Ringkasan!W535</f>
        <v/>
      </c>
      <c r="X536" s="60" t="str">
        <f>Ringkasan!X535</f>
        <v/>
      </c>
      <c r="Y536" s="60" t="str">
        <f>Ringkasan!Y535</f>
        <v/>
      </c>
      <c r="Z536" s="60">
        <f>Ringkasan!Z535</f>
        <v>0</v>
      </c>
      <c r="AA536" s="60" t="str">
        <f>Ringkasan!AA535</f>
        <v>Real Estate Management &amp; Development</v>
      </c>
      <c r="AB536" s="60" t="str">
        <f>Ringkasan!AB535</f>
        <v>Properties &amp; Real Estate</v>
      </c>
    </row>
    <row r="537">
      <c r="A537" s="60" t="str">
        <f>Ringkasan!A540</f>
        <v>CPIN</v>
      </c>
      <c r="B537" s="60" t="str">
        <f>Ringkasan!B540</f>
        <v>Charoen Pokphand Indonesia Tbk</v>
      </c>
      <c r="C537" s="61">
        <f>Ringkasan!C540</f>
        <v>3300</v>
      </c>
      <c r="D537" s="60" t="str">
        <f>Ringkasan!D540</f>
        <v>#N/A</v>
      </c>
      <c r="E537" s="60" t="str">
        <f>Ringkasan!E540</f>
        <v>IDX80</v>
      </c>
      <c r="F537" s="60" t="str">
        <f>Ringkasan!F540</f>
        <v>31 Juli 2026</v>
      </c>
      <c r="G537" s="61">
        <f>Ringkasan!G540</f>
        <v>13</v>
      </c>
      <c r="H537" s="62">
        <f>Ringkasan!H540</f>
        <v>10.5</v>
      </c>
      <c r="I537" s="62">
        <f>Ringkasan!I540</f>
        <v>1.9</v>
      </c>
      <c r="J537" s="62">
        <f>Ringkasan!J540</f>
        <v>18.2</v>
      </c>
      <c r="K537" s="62">
        <f>Ringkasan!K540</f>
        <v>13.8</v>
      </c>
      <c r="L537" s="62">
        <f>Ringkasan!L540</f>
        <v>0.32</v>
      </c>
      <c r="M537" s="62">
        <f>Ringkasan!M540</f>
        <v>33.5</v>
      </c>
      <c r="N537" s="60" t="str">
        <f>Ringkasan!N540</f>
        <v/>
      </c>
      <c r="O537" s="60" t="str">
        <f>Ringkasan!O540</f>
        <v/>
      </c>
      <c r="P537" s="60" t="str">
        <f>Ringkasan!P540</f>
        <v/>
      </c>
      <c r="Q537" s="60" t="str">
        <f>Ringkasan!Q540</f>
        <v/>
      </c>
      <c r="R537" s="60" t="str">
        <f>Ringkasan!R540</f>
        <v/>
      </c>
      <c r="S537" s="60" t="str">
        <f>Ringkasan!S540</f>
        <v/>
      </c>
      <c r="T537" s="60" t="str">
        <f>Ringkasan!T540</f>
        <v/>
      </c>
      <c r="U537" s="60">
        <f>Ringkasan!U540</f>
        <v>3260</v>
      </c>
      <c r="V537" s="60">
        <f>Ringkasan!V540</f>
        <v>1.23</v>
      </c>
      <c r="W537" s="60">
        <f>Ringkasan!W540</f>
        <v>3340</v>
      </c>
      <c r="X537" s="60">
        <f>Ringkasan!X540</f>
        <v>3340</v>
      </c>
      <c r="Y537" s="60">
        <f>Ringkasan!Y540</f>
        <v>3240</v>
      </c>
      <c r="Z537" s="60">
        <f>Ringkasan!Z540</f>
        <v>4628500</v>
      </c>
      <c r="AA537" s="60" t="str">
        <f>Ringkasan!AA540</f>
        <v>Agricultural Products</v>
      </c>
      <c r="AB537" s="60" t="str">
        <f>Ringkasan!AB540</f>
        <v>Consumer Non-Cyclicals</v>
      </c>
    </row>
    <row r="538">
      <c r="A538" s="60" t="str">
        <f>Ringkasan!A542</f>
        <v>CPIN</v>
      </c>
      <c r="B538" s="60" t="str">
        <f>Ringkasan!B542</f>
        <v>Charoen Pokphand Indonesia Tbk</v>
      </c>
      <c r="C538" s="61">
        <f>Ringkasan!C542</f>
        <v>3300</v>
      </c>
      <c r="D538" s="60" t="str">
        <f>Ringkasan!D542</f>
        <v>#N/A</v>
      </c>
      <c r="E538" s="60" t="str">
        <f>Ringkasan!E542</f>
        <v>Kompas100</v>
      </c>
      <c r="F538" s="60" t="str">
        <f>Ringkasan!F542</f>
        <v>31 Juli 2026</v>
      </c>
      <c r="G538" s="61">
        <f>Ringkasan!G542</f>
        <v>13</v>
      </c>
      <c r="H538" s="62">
        <f>Ringkasan!H542</f>
        <v>10.5</v>
      </c>
      <c r="I538" s="62">
        <f>Ringkasan!I542</f>
        <v>1.9</v>
      </c>
      <c r="J538" s="62">
        <f>Ringkasan!J542</f>
        <v>18.2</v>
      </c>
      <c r="K538" s="62">
        <f>Ringkasan!K542</f>
        <v>13.8</v>
      </c>
      <c r="L538" s="62">
        <f>Ringkasan!L542</f>
        <v>0.32</v>
      </c>
      <c r="M538" s="62">
        <f>Ringkasan!M542</f>
        <v>33.5</v>
      </c>
      <c r="N538" s="60" t="str">
        <f>Ringkasan!N542</f>
        <v/>
      </c>
      <c r="O538" s="60" t="str">
        <f>Ringkasan!O542</f>
        <v/>
      </c>
      <c r="P538" s="60" t="str">
        <f>Ringkasan!P542</f>
        <v/>
      </c>
      <c r="Q538" s="60" t="str">
        <f>Ringkasan!Q542</f>
        <v/>
      </c>
      <c r="R538" s="60" t="str">
        <f>Ringkasan!R542</f>
        <v/>
      </c>
      <c r="S538" s="60" t="str">
        <f>Ringkasan!S542</f>
        <v/>
      </c>
      <c r="T538" s="60" t="str">
        <f>Ringkasan!T542</f>
        <v/>
      </c>
      <c r="U538" s="60">
        <f>Ringkasan!U542</f>
        <v>3260</v>
      </c>
      <c r="V538" s="60">
        <f>Ringkasan!V542</f>
        <v>1.23</v>
      </c>
      <c r="W538" s="60">
        <f>Ringkasan!W542</f>
        <v>3340</v>
      </c>
      <c r="X538" s="60">
        <f>Ringkasan!X542</f>
        <v>3340</v>
      </c>
      <c r="Y538" s="60">
        <f>Ringkasan!Y542</f>
        <v>3240</v>
      </c>
      <c r="Z538" s="60">
        <f>Ringkasan!Z542</f>
        <v>4628500</v>
      </c>
      <c r="AA538" s="60" t="str">
        <f>Ringkasan!AA542</f>
        <v>Agricultural Products</v>
      </c>
      <c r="AB538" s="60" t="str">
        <f>Ringkasan!AB542</f>
        <v>Consumer Non-Cyclicals</v>
      </c>
    </row>
    <row r="539">
      <c r="A539" s="60" t="str">
        <f>Ringkasan!A541</f>
        <v>CPIN</v>
      </c>
      <c r="B539" s="60" t="str">
        <f>Ringkasan!B541</f>
        <v>Charoen Pokphand Indonesia Tbk</v>
      </c>
      <c r="C539" s="61">
        <f>Ringkasan!C541</f>
        <v>3300</v>
      </c>
      <c r="D539" s="60" t="str">
        <f>Ringkasan!D541</f>
        <v>#N/A</v>
      </c>
      <c r="E539" s="60" t="str">
        <f>Ringkasan!E541</f>
        <v>IDXVESTA28</v>
      </c>
      <c r="F539" s="60" t="str">
        <f>Ringkasan!F541</f>
        <v>31 Agustus 2026</v>
      </c>
      <c r="G539" s="61">
        <f>Ringkasan!G541</f>
        <v>13</v>
      </c>
      <c r="H539" s="62">
        <f>Ringkasan!H541</f>
        <v>10.5</v>
      </c>
      <c r="I539" s="62">
        <f>Ringkasan!I541</f>
        <v>1.9</v>
      </c>
      <c r="J539" s="62">
        <f>Ringkasan!J541</f>
        <v>18.2</v>
      </c>
      <c r="K539" s="62">
        <f>Ringkasan!K541</f>
        <v>13.8</v>
      </c>
      <c r="L539" s="62">
        <f>Ringkasan!L541</f>
        <v>0.32</v>
      </c>
      <c r="M539" s="62">
        <f>Ringkasan!M541</f>
        <v>33.5</v>
      </c>
      <c r="N539" s="60" t="str">
        <f>Ringkasan!N541</f>
        <v/>
      </c>
      <c r="O539" s="60" t="str">
        <f>Ringkasan!O541</f>
        <v/>
      </c>
      <c r="P539" s="60" t="str">
        <f>Ringkasan!P541</f>
        <v/>
      </c>
      <c r="Q539" s="60" t="str">
        <f>Ringkasan!Q541</f>
        <v/>
      </c>
      <c r="R539" s="60" t="str">
        <f>Ringkasan!R541</f>
        <v/>
      </c>
      <c r="S539" s="60" t="str">
        <f>Ringkasan!S541</f>
        <v/>
      </c>
      <c r="T539" s="60" t="str">
        <f>Ringkasan!T541</f>
        <v/>
      </c>
      <c r="U539" s="60">
        <f>Ringkasan!U541</f>
        <v>3260</v>
      </c>
      <c r="V539" s="60">
        <f>Ringkasan!V541</f>
        <v>1.23</v>
      </c>
      <c r="W539" s="60">
        <f>Ringkasan!W541</f>
        <v>3340</v>
      </c>
      <c r="X539" s="60">
        <f>Ringkasan!X541</f>
        <v>3340</v>
      </c>
      <c r="Y539" s="60">
        <f>Ringkasan!Y541</f>
        <v>3240</v>
      </c>
      <c r="Z539" s="60">
        <f>Ringkasan!Z541</f>
        <v>4628500</v>
      </c>
      <c r="AA539" s="60" t="str">
        <f>Ringkasan!AA541</f>
        <v>Agricultural Products</v>
      </c>
      <c r="AB539" s="60" t="str">
        <f>Ringkasan!AB541</f>
        <v>Consumer Non-Cyclicals</v>
      </c>
    </row>
    <row r="540" hidden="1">
      <c r="A540" s="64" t="str">
        <f>Ringkasan!A19</f>
        <v>ACES</v>
      </c>
      <c r="B540" s="64" t="str">
        <f>Ringkasan!B19</f>
        <v>Aspirasi Hidup Indonesia Tbk.</v>
      </c>
      <c r="C540" s="65">
        <f>Ringkasan!C19</f>
        <v>356</v>
      </c>
      <c r="D540" s="64" t="str">
        <f>Ringkasan!D19</f>
        <v>#N/A</v>
      </c>
      <c r="E540" s="64" t="str">
        <f>Ringkasan!E19</f>
        <v>IDXESGL</v>
      </c>
      <c r="F540" s="64" t="str">
        <f>Ringkasan!F19</f>
        <v>30 Oktober 2026</v>
      </c>
      <c r="G540" s="65">
        <f>Ringkasan!G19</f>
        <v>11</v>
      </c>
      <c r="H540" s="19">
        <f>Ringkasan!H19</f>
        <v>8.6</v>
      </c>
      <c r="I540" s="19">
        <f>Ringkasan!I19</f>
        <v>0.88</v>
      </c>
      <c r="J540" s="19">
        <f>Ringkasan!J19</f>
        <v>10.2</v>
      </c>
      <c r="K540" s="19">
        <f>Ringkasan!K19</f>
        <v>8</v>
      </c>
      <c r="L540" s="19">
        <f>Ringkasan!L19</f>
        <v>0.28</v>
      </c>
      <c r="M540" s="19">
        <f>Ringkasan!M19</f>
        <v>29.4</v>
      </c>
      <c r="N540" s="64" t="str">
        <f>Ringkasan!N19</f>
        <v/>
      </c>
      <c r="O540" s="64" t="str">
        <f>Ringkasan!O19</f>
        <v/>
      </c>
      <c r="P540" s="64" t="str">
        <f>Ringkasan!P19</f>
        <v/>
      </c>
      <c r="Q540" s="64" t="str">
        <f>Ringkasan!Q19</f>
        <v/>
      </c>
      <c r="R540" s="64" t="str">
        <f>Ringkasan!R19</f>
        <v/>
      </c>
      <c r="S540" s="64" t="str">
        <f>Ringkasan!S19</f>
        <v/>
      </c>
      <c r="T540" s="64" t="str">
        <f>Ringkasan!T19</f>
        <v/>
      </c>
      <c r="U540" s="64">
        <f>Ringkasan!U19</f>
        <v>36.5</v>
      </c>
      <c r="V540" s="64">
        <f>Ringkasan!V19</f>
        <v>1.12</v>
      </c>
      <c r="W540" s="64">
        <f>Ringkasan!W19</f>
        <v>36.6</v>
      </c>
      <c r="X540" s="64">
        <f>Ringkasan!X19</f>
        <v>36.98</v>
      </c>
      <c r="Y540" s="64">
        <f>Ringkasan!Y19</f>
        <v>36.6</v>
      </c>
      <c r="Z540" s="64">
        <f>Ringkasan!Z19</f>
        <v>846</v>
      </c>
      <c r="AA540" s="64" t="str">
        <f>Ringkasan!AA19</f>
        <v>Specialty Retail</v>
      </c>
      <c r="AB540" s="64" t="str">
        <f>Ringkasan!AB19</f>
        <v>Consumer Cyclicals</v>
      </c>
    </row>
    <row r="541">
      <c r="A541" s="60" t="str">
        <f>Ringkasan!A543</f>
        <v>CPIN</v>
      </c>
      <c r="B541" s="60" t="str">
        <f>Ringkasan!B543</f>
        <v>Charoen Pokphand Indonesia Tbk</v>
      </c>
      <c r="C541" s="61">
        <f>Ringkasan!C543</f>
        <v>3300</v>
      </c>
      <c r="D541" s="60" t="str">
        <f>Ringkasan!D543</f>
        <v>#N/A</v>
      </c>
      <c r="E541" s="60" t="str">
        <f>Ringkasan!E543</f>
        <v>IDXQ30</v>
      </c>
      <c r="F541" s="60" t="str">
        <f>Ringkasan!F543</f>
        <v>4 Agustus 2026</v>
      </c>
      <c r="G541" s="61">
        <f>Ringkasan!G543</f>
        <v>13</v>
      </c>
      <c r="H541" s="62">
        <f>Ringkasan!H543</f>
        <v>10.5</v>
      </c>
      <c r="I541" s="62">
        <f>Ringkasan!I543</f>
        <v>1.9</v>
      </c>
      <c r="J541" s="62">
        <f>Ringkasan!J543</f>
        <v>18.2</v>
      </c>
      <c r="K541" s="62">
        <f>Ringkasan!K543</f>
        <v>13.8</v>
      </c>
      <c r="L541" s="62">
        <f>Ringkasan!L543</f>
        <v>0.32</v>
      </c>
      <c r="M541" s="62">
        <f>Ringkasan!M543</f>
        <v>33.5</v>
      </c>
      <c r="N541" s="60" t="str">
        <f>Ringkasan!N543</f>
        <v/>
      </c>
      <c r="O541" s="60" t="str">
        <f>Ringkasan!O543</f>
        <v/>
      </c>
      <c r="P541" s="60" t="str">
        <f>Ringkasan!P543</f>
        <v/>
      </c>
      <c r="Q541" s="60" t="str">
        <f>Ringkasan!Q543</f>
        <v/>
      </c>
      <c r="R541" s="60" t="str">
        <f>Ringkasan!R543</f>
        <v/>
      </c>
      <c r="S541" s="60" t="str">
        <f>Ringkasan!S543</f>
        <v/>
      </c>
      <c r="T541" s="60" t="str">
        <f>Ringkasan!T543</f>
        <v/>
      </c>
      <c r="U541" s="60">
        <f>Ringkasan!U543</f>
        <v>3260</v>
      </c>
      <c r="V541" s="60">
        <f>Ringkasan!V543</f>
        <v>1.23</v>
      </c>
      <c r="W541" s="60">
        <f>Ringkasan!W543</f>
        <v>3340</v>
      </c>
      <c r="X541" s="60">
        <f>Ringkasan!X543</f>
        <v>3340</v>
      </c>
      <c r="Y541" s="60">
        <f>Ringkasan!Y543</f>
        <v>3240</v>
      </c>
      <c r="Z541" s="60">
        <f>Ringkasan!Z543</f>
        <v>4628500</v>
      </c>
      <c r="AA541" s="60" t="str">
        <f>Ringkasan!AA543</f>
        <v>Agricultural Products</v>
      </c>
      <c r="AB541" s="60" t="str">
        <f>Ringkasan!AB543</f>
        <v>Consumer Non-Cyclicals</v>
      </c>
    </row>
    <row r="542" hidden="1">
      <c r="A542" s="60" t="str">
        <f>Ringkasan!A549</f>
        <v>CPRI</v>
      </c>
      <c r="B542" s="60" t="str">
        <f>Ringkasan!B549</f>
        <v>Capri Nusa Satu Properti Tbk.</v>
      </c>
      <c r="C542" s="61">
        <f>Ringkasan!C549</f>
        <v>50</v>
      </c>
      <c r="D542" s="60" t="str">
        <f>Ringkasan!D549</f>
        <v>#N/A</v>
      </c>
      <c r="E542" s="60" t="str">
        <f>Ringkasan!E549</f>
        <v/>
      </c>
      <c r="F542" s="60" t="str">
        <f>Ringkasan!F549</f>
        <v/>
      </c>
      <c r="G542" s="60">
        <f>Ringkasan!G549</f>
        <v>0</v>
      </c>
      <c r="H542" s="62">
        <f>Ringkasan!H549</f>
        <v>0</v>
      </c>
      <c r="I542" s="62">
        <f>Ringkasan!I549</f>
        <v>0.66</v>
      </c>
      <c r="J542" s="62">
        <f>Ringkasan!J549</f>
        <v>-2</v>
      </c>
      <c r="K542" s="62">
        <f>Ringkasan!K549</f>
        <v>-1.8</v>
      </c>
      <c r="L542" s="62">
        <f>Ringkasan!L549</f>
        <v>0.14</v>
      </c>
      <c r="M542" s="62">
        <f>Ringkasan!M549</f>
        <v>-130</v>
      </c>
      <c r="N542" s="60" t="str">
        <f>Ringkasan!N549</f>
        <v/>
      </c>
      <c r="O542" s="60" t="str">
        <f>Ringkasan!O549</f>
        <v/>
      </c>
      <c r="P542" s="60" t="str">
        <f>Ringkasan!P549</f>
        <v/>
      </c>
      <c r="Q542" s="60" t="str">
        <f>Ringkasan!Q549</f>
        <v/>
      </c>
      <c r="R542" s="60" t="str">
        <f>Ringkasan!R549</f>
        <v/>
      </c>
      <c r="S542" s="60" t="str">
        <f>Ringkasan!S549</f>
        <v/>
      </c>
      <c r="T542" s="60" t="str">
        <f>Ringkasan!T549</f>
        <v/>
      </c>
      <c r="U542" s="60">
        <f>Ringkasan!U549</f>
        <v>20.85</v>
      </c>
      <c r="V542" s="60">
        <f>Ringkasan!V549</f>
        <v>2.3</v>
      </c>
      <c r="W542" s="60">
        <f>Ringkasan!W549</f>
        <v>21</v>
      </c>
      <c r="X542" s="60">
        <f>Ringkasan!X549</f>
        <v>21.94</v>
      </c>
      <c r="Y542" s="60">
        <f>Ringkasan!Y549</f>
        <v>20.99</v>
      </c>
      <c r="Z542" s="60">
        <f>Ringkasan!Z549</f>
        <v>3207411</v>
      </c>
      <c r="AA542" s="60" t="str">
        <f>Ringkasan!AA549</f>
        <v>Real Estate Management &amp; Development</v>
      </c>
      <c r="AB542" s="60" t="str">
        <f>Ringkasan!AB549</f>
        <v>Properties &amp; Real Estate</v>
      </c>
    </row>
    <row r="543" hidden="1">
      <c r="A543" s="60" t="str">
        <f>Ringkasan!A550</f>
        <v>CPRO</v>
      </c>
      <c r="B543" s="60" t="str">
        <f>Ringkasan!B550</f>
        <v>Central Proteina Prima Tbk.</v>
      </c>
      <c r="C543" s="61">
        <f>Ringkasan!C550</f>
        <v>50</v>
      </c>
      <c r="D543" s="60" t="str">
        <f>Ringkasan!D550</f>
        <v>#N/A</v>
      </c>
      <c r="E543" s="60" t="str">
        <f>Ringkasan!E550</f>
        <v/>
      </c>
      <c r="F543" s="60" t="str">
        <f>Ringkasan!F550</f>
        <v/>
      </c>
      <c r="G543" s="60">
        <f>Ringkasan!G550</f>
        <v>0</v>
      </c>
      <c r="H543" s="62">
        <f>Ringkasan!H550</f>
        <v>8.2</v>
      </c>
      <c r="I543" s="62">
        <f>Ringkasan!I550</f>
        <v>0.77</v>
      </c>
      <c r="J543" s="62">
        <f>Ringkasan!J550</f>
        <v>9.4</v>
      </c>
      <c r="K543" s="62">
        <f>Ringkasan!K550</f>
        <v>5.1</v>
      </c>
      <c r="L543" s="62">
        <f>Ringkasan!L550</f>
        <v>0.82</v>
      </c>
      <c r="M543" s="62">
        <f>Ringkasan!M550</f>
        <v>14.7</v>
      </c>
      <c r="N543" s="60" t="str">
        <f>Ringkasan!N550</f>
        <v/>
      </c>
      <c r="O543" s="60" t="str">
        <f>Ringkasan!O550</f>
        <v/>
      </c>
      <c r="P543" s="60" t="str">
        <f>Ringkasan!P550</f>
        <v/>
      </c>
      <c r="Q543" s="60" t="str">
        <f>Ringkasan!Q550</f>
        <v/>
      </c>
      <c r="R543" s="60" t="str">
        <f>Ringkasan!R550</f>
        <v/>
      </c>
      <c r="S543" s="60" t="str">
        <f>Ringkasan!S550</f>
        <v/>
      </c>
      <c r="T543" s="60" t="str">
        <f>Ringkasan!T550</f>
        <v/>
      </c>
      <c r="U543" s="60">
        <f>Ringkasan!U550</f>
        <v>27.99</v>
      </c>
      <c r="V543" s="60">
        <f>Ringkasan!V550</f>
        <v>0.11</v>
      </c>
      <c r="W543" s="60">
        <f>Ringkasan!W550</f>
        <v>28.02</v>
      </c>
      <c r="X543" s="60">
        <f>Ringkasan!X550</f>
        <v>28.02</v>
      </c>
      <c r="Y543" s="60">
        <f>Ringkasan!Y550</f>
        <v>28.02</v>
      </c>
      <c r="Z543" s="60">
        <f>Ringkasan!Z550</f>
        <v>200</v>
      </c>
      <c r="AA543" s="60" t="str">
        <f>Ringkasan!AA550</f>
        <v>Agricultural Products</v>
      </c>
      <c r="AB543" s="60" t="str">
        <f>Ringkasan!AB550</f>
        <v>Consumer Non-Cyclicals</v>
      </c>
    </row>
    <row r="544" hidden="1">
      <c r="A544" s="60" t="str">
        <f>Ringkasan!A951</f>
        <v>ISAT</v>
      </c>
      <c r="B544" s="60" t="str">
        <f>Ringkasan!B951</f>
        <v>PT Indosat Tbk</v>
      </c>
      <c r="C544" s="61">
        <f>Ringkasan!C951</f>
        <v>1855</v>
      </c>
      <c r="D544" s="60" t="str">
        <f>Ringkasan!D951</f>
        <v>#N/A</v>
      </c>
      <c r="E544" s="60" t="str">
        <f>Ringkasan!E951</f>
        <v>ESGQKEHATI</v>
      </c>
      <c r="F544" s="63">
        <f>Ringkasan!F951</f>
        <v>46356</v>
      </c>
      <c r="G544" s="61">
        <f>Ringkasan!G951</f>
        <v>13</v>
      </c>
      <c r="H544" s="62">
        <f>Ringkasan!H951</f>
        <v>12.2</v>
      </c>
      <c r="I544" s="62">
        <f>Ringkasan!I951</f>
        <v>1.7</v>
      </c>
      <c r="J544" s="62">
        <f>Ringkasan!J951</f>
        <v>13.9</v>
      </c>
      <c r="K544" s="62">
        <f>Ringkasan!K951</f>
        <v>4.7</v>
      </c>
      <c r="L544" s="62">
        <f>Ringkasan!L951</f>
        <v>2</v>
      </c>
      <c r="M544" s="62">
        <f>Ringkasan!M951</f>
        <v>37.4</v>
      </c>
      <c r="N544" s="60" t="str">
        <f>Ringkasan!N951</f>
        <v/>
      </c>
      <c r="O544" s="60" t="str">
        <f>Ringkasan!O951</f>
        <v/>
      </c>
      <c r="P544" s="60" t="str">
        <f>Ringkasan!P951</f>
        <v/>
      </c>
      <c r="Q544" s="60" t="str">
        <f>Ringkasan!Q951</f>
        <v/>
      </c>
      <c r="R544" s="60" t="str">
        <f>Ringkasan!R951</f>
        <v/>
      </c>
      <c r="S544" s="60" t="str">
        <f>Ringkasan!S951</f>
        <v/>
      </c>
      <c r="T544" s="60" t="str">
        <f>Ringkasan!T951</f>
        <v/>
      </c>
      <c r="U544" s="60">
        <f>Ringkasan!U951</f>
        <v>1895</v>
      </c>
      <c r="V544" s="60">
        <f>Ringkasan!V951</f>
        <v>-2.11</v>
      </c>
      <c r="W544" s="60">
        <f>Ringkasan!W951</f>
        <v>1905</v>
      </c>
      <c r="X544" s="60">
        <f>Ringkasan!X951</f>
        <v>1915</v>
      </c>
      <c r="Y544" s="60">
        <f>Ringkasan!Y951</f>
        <v>1830</v>
      </c>
      <c r="Z544" s="60">
        <f>Ringkasan!Z951</f>
        <v>30896800</v>
      </c>
      <c r="AA544" s="60" t="str">
        <f>Ringkasan!AA951</f>
        <v>Wireless Telecommunication Services</v>
      </c>
      <c r="AB544" s="60" t="str">
        <f>Ringkasan!AB951</f>
        <v>Infrastructures</v>
      </c>
    </row>
    <row r="545" hidden="1">
      <c r="A545" s="64" t="str">
        <f>Ringkasan!A952</f>
        <v>ISAT</v>
      </c>
      <c r="B545" s="64" t="str">
        <f>Ringkasan!B952</f>
        <v>PT Indosat Tbk</v>
      </c>
      <c r="C545" s="65">
        <f>Ringkasan!C952</f>
        <v>1855</v>
      </c>
      <c r="D545" s="64" t="str">
        <f>Ringkasan!D952</f>
        <v>#N/A</v>
      </c>
      <c r="E545" s="64" t="str">
        <f>Ringkasan!E952</f>
        <v>IDXSHAGROW</v>
      </c>
      <c r="F545" s="66">
        <f>Ringkasan!F952</f>
        <v>46356</v>
      </c>
      <c r="G545" s="64">
        <f>Ringkasan!G952</f>
        <v>13</v>
      </c>
      <c r="H545" s="19">
        <f>Ringkasan!H952</f>
        <v>12.2</v>
      </c>
      <c r="I545" s="19">
        <f>Ringkasan!I952</f>
        <v>1.7</v>
      </c>
      <c r="J545" s="19">
        <f>Ringkasan!J952</f>
        <v>13.9</v>
      </c>
      <c r="K545" s="19">
        <f>Ringkasan!K952</f>
        <v>4.7</v>
      </c>
      <c r="L545" s="19">
        <f>Ringkasan!L952</f>
        <v>2</v>
      </c>
      <c r="M545" s="19">
        <f>Ringkasan!M952</f>
        <v>37.4</v>
      </c>
      <c r="N545" s="64" t="str">
        <f>Ringkasan!N952</f>
        <v/>
      </c>
      <c r="O545" s="64" t="str">
        <f>Ringkasan!O952</f>
        <v/>
      </c>
      <c r="P545" s="64" t="str">
        <f>Ringkasan!P952</f>
        <v/>
      </c>
      <c r="Q545" s="64" t="str">
        <f>Ringkasan!Q952</f>
        <v/>
      </c>
      <c r="R545" s="64" t="str">
        <f>Ringkasan!R952</f>
        <v/>
      </c>
      <c r="S545" s="64" t="str">
        <f>Ringkasan!S952</f>
        <v/>
      </c>
      <c r="T545" s="64" t="str">
        <f>Ringkasan!T952</f>
        <v/>
      </c>
      <c r="U545" s="64">
        <f>Ringkasan!U952</f>
        <v>1895</v>
      </c>
      <c r="V545" s="64">
        <f>Ringkasan!V952</f>
        <v>-2.11</v>
      </c>
      <c r="W545" s="64">
        <f>Ringkasan!W952</f>
        <v>1905</v>
      </c>
      <c r="X545" s="64">
        <f>Ringkasan!X952</f>
        <v>1915</v>
      </c>
      <c r="Y545" s="64">
        <f>Ringkasan!Y952</f>
        <v>1830</v>
      </c>
      <c r="Z545" s="64">
        <f>Ringkasan!Z952</f>
        <v>30896800</v>
      </c>
      <c r="AA545" s="64" t="str">
        <f>Ringkasan!AA952</f>
        <v>Wireless Telecommunication Services</v>
      </c>
      <c r="AB545" s="64" t="str">
        <f>Ringkasan!AB952</f>
        <v>Infrastructures</v>
      </c>
    </row>
    <row r="546" hidden="1">
      <c r="A546" s="60" t="str">
        <f>Ringkasan!A551</f>
        <v>CRAB</v>
      </c>
      <c r="B546" s="60" t="str">
        <f>Ringkasan!B551</f>
        <v>Toba Surimi Industries Tbk.</v>
      </c>
      <c r="C546" s="61">
        <f>Ringkasan!C551</f>
        <v>212</v>
      </c>
      <c r="D546" s="60" t="str">
        <f>Ringkasan!D551</f>
        <v>#N/A</v>
      </c>
      <c r="E546" s="60" t="str">
        <f>Ringkasan!E551</f>
        <v/>
      </c>
      <c r="F546" s="60" t="str">
        <f>Ringkasan!F551</f>
        <v/>
      </c>
      <c r="G546" s="60">
        <f>Ringkasan!G551</f>
        <v>0</v>
      </c>
      <c r="H546" s="62">
        <f>Ringkasan!H551</f>
        <v>13.8</v>
      </c>
      <c r="I546" s="62">
        <f>Ringkasan!I551</f>
        <v>1.8</v>
      </c>
      <c r="J546" s="62">
        <f>Ringkasan!J551</f>
        <v>12.9</v>
      </c>
      <c r="K546" s="62">
        <f>Ringkasan!K551</f>
        <v>8.9</v>
      </c>
      <c r="L546" s="62">
        <f>Ringkasan!L551</f>
        <v>0.45</v>
      </c>
      <c r="M546" s="62">
        <f>Ringkasan!M551</f>
        <v>6.5</v>
      </c>
      <c r="N546" s="60" t="str">
        <f>Ringkasan!N551</f>
        <v/>
      </c>
      <c r="O546" s="60" t="str">
        <f>Ringkasan!O551</f>
        <v/>
      </c>
      <c r="P546" s="60" t="str">
        <f>Ringkasan!P551</f>
        <v/>
      </c>
      <c r="Q546" s="60" t="str">
        <f>Ringkasan!Q551</f>
        <v/>
      </c>
      <c r="R546" s="60" t="str">
        <f>Ringkasan!R551</f>
        <v/>
      </c>
      <c r="S546" s="60" t="str">
        <f>Ringkasan!S551</f>
        <v/>
      </c>
      <c r="T546" s="60" t="str">
        <f>Ringkasan!T551</f>
        <v/>
      </c>
      <c r="U546" s="60">
        <f>Ringkasan!U551</f>
        <v>210</v>
      </c>
      <c r="V546" s="60">
        <f>Ringkasan!V551</f>
        <v>0.95</v>
      </c>
      <c r="W546" s="60">
        <f>Ringkasan!W551</f>
        <v>212</v>
      </c>
      <c r="X546" s="60">
        <f>Ringkasan!X551</f>
        <v>212</v>
      </c>
      <c r="Y546" s="60">
        <f>Ringkasan!Y551</f>
        <v>210</v>
      </c>
      <c r="Z546" s="60">
        <f>Ringkasan!Z551</f>
        <v>143100</v>
      </c>
      <c r="AA546" s="60" t="str">
        <f>Ringkasan!AA551</f>
        <v>Agricultural Products</v>
      </c>
      <c r="AB546" s="60" t="str">
        <f>Ringkasan!AB551</f>
        <v>Consumer Non-Cyclicals</v>
      </c>
    </row>
    <row r="547">
      <c r="A547" s="60" t="str">
        <f>Ringkasan!A544</f>
        <v>CPIN</v>
      </c>
      <c r="B547" s="60" t="str">
        <f>Ringkasan!B544</f>
        <v>Charoen Pokphand Indonesia Tbk</v>
      </c>
      <c r="C547" s="61">
        <f>Ringkasan!C544</f>
        <v>3300</v>
      </c>
      <c r="D547" s="60" t="str">
        <f>Ringkasan!D544</f>
        <v>#N/A</v>
      </c>
      <c r="E547" s="60" t="str">
        <f>Ringkasan!E544</f>
        <v>MNC36</v>
      </c>
      <c r="F547" s="60" t="str">
        <f>Ringkasan!F544</f>
        <v>30 Oktober 2026</v>
      </c>
      <c r="G547" s="60">
        <f>Ringkasan!G544</f>
        <v>13</v>
      </c>
      <c r="H547" s="62">
        <f>Ringkasan!H544</f>
        <v>10.5</v>
      </c>
      <c r="I547" s="62">
        <f>Ringkasan!I544</f>
        <v>1.9</v>
      </c>
      <c r="J547" s="62">
        <f>Ringkasan!J544</f>
        <v>18.2</v>
      </c>
      <c r="K547" s="62">
        <f>Ringkasan!K544</f>
        <v>13.8</v>
      </c>
      <c r="L547" s="62">
        <f>Ringkasan!L544</f>
        <v>0.32</v>
      </c>
      <c r="M547" s="62">
        <f>Ringkasan!M544</f>
        <v>33.5</v>
      </c>
      <c r="N547" s="60" t="str">
        <f>Ringkasan!N544</f>
        <v/>
      </c>
      <c r="O547" s="60" t="str">
        <f>Ringkasan!O544</f>
        <v/>
      </c>
      <c r="P547" s="60" t="str">
        <f>Ringkasan!P544</f>
        <v/>
      </c>
      <c r="Q547" s="60" t="str">
        <f>Ringkasan!Q544</f>
        <v/>
      </c>
      <c r="R547" s="60" t="str">
        <f>Ringkasan!R544</f>
        <v/>
      </c>
      <c r="S547" s="60" t="str">
        <f>Ringkasan!S544</f>
        <v/>
      </c>
      <c r="T547" s="60" t="str">
        <f>Ringkasan!T544</f>
        <v/>
      </c>
      <c r="U547" s="60">
        <f>Ringkasan!U544</f>
        <v>3260</v>
      </c>
      <c r="V547" s="60">
        <f>Ringkasan!V544</f>
        <v>1.23</v>
      </c>
      <c r="W547" s="60">
        <f>Ringkasan!W544</f>
        <v>3340</v>
      </c>
      <c r="X547" s="60">
        <f>Ringkasan!X544</f>
        <v>3340</v>
      </c>
      <c r="Y547" s="60">
        <f>Ringkasan!Y544</f>
        <v>3240</v>
      </c>
      <c r="Z547" s="60">
        <f>Ringkasan!Z544</f>
        <v>4628500</v>
      </c>
      <c r="AA547" s="60" t="str">
        <f>Ringkasan!AA544</f>
        <v>Agricultural Products</v>
      </c>
      <c r="AB547" s="60" t="str">
        <f>Ringkasan!AB544</f>
        <v>Consumer Non-Cyclicals</v>
      </c>
    </row>
    <row r="548" hidden="1">
      <c r="A548" s="60" t="str">
        <f>Ringkasan!A552</f>
        <v>CRSN</v>
      </c>
      <c r="B548" s="60" t="str">
        <f>Ringkasan!B552</f>
        <v>PT Carsurin Tbk</v>
      </c>
      <c r="C548" s="61">
        <f>Ringkasan!C552</f>
        <v>100</v>
      </c>
      <c r="D548" s="60" t="str">
        <f>Ringkasan!D552</f>
        <v>#N/A</v>
      </c>
      <c r="E548" s="60" t="str">
        <f>Ringkasan!E552</f>
        <v/>
      </c>
      <c r="F548" s="60" t="str">
        <f>Ringkasan!F552</f>
        <v/>
      </c>
      <c r="G548" s="60">
        <f>Ringkasan!G552</f>
        <v>0</v>
      </c>
      <c r="H548" s="62">
        <f>Ringkasan!H552</f>
        <v>49.4</v>
      </c>
      <c r="I548" s="62">
        <f>Ringkasan!I552</f>
        <v>1.3</v>
      </c>
      <c r="J548" s="62">
        <f>Ringkasan!J552</f>
        <v>2.6</v>
      </c>
      <c r="K548" s="62">
        <f>Ringkasan!K552</f>
        <v>1.6</v>
      </c>
      <c r="L548" s="62">
        <f>Ringkasan!L552</f>
        <v>0.66</v>
      </c>
      <c r="M548" s="62">
        <f>Ringkasan!M552</f>
        <v>5.3</v>
      </c>
      <c r="N548" s="60" t="str">
        <f>Ringkasan!N552</f>
        <v/>
      </c>
      <c r="O548" s="60" t="str">
        <f>Ringkasan!O552</f>
        <v/>
      </c>
      <c r="P548" s="60" t="str">
        <f>Ringkasan!P552</f>
        <v/>
      </c>
      <c r="Q548" s="60" t="str">
        <f>Ringkasan!Q552</f>
        <v/>
      </c>
      <c r="R548" s="60" t="str">
        <f>Ringkasan!R552</f>
        <v/>
      </c>
      <c r="S548" s="60" t="str">
        <f>Ringkasan!S552</f>
        <v/>
      </c>
      <c r="T548" s="60" t="str">
        <f>Ringkasan!T552</f>
        <v/>
      </c>
      <c r="U548" s="60" t="str">
        <f>Ringkasan!U552</f>
        <v/>
      </c>
      <c r="V548" s="60" t="str">
        <f>Ringkasan!V552</f>
        <v/>
      </c>
      <c r="W548" s="60">
        <f>Ringkasan!W552</f>
        <v>97</v>
      </c>
      <c r="X548" s="60">
        <f>Ringkasan!X552</f>
        <v>100</v>
      </c>
      <c r="Y548" s="60">
        <f>Ringkasan!Y552</f>
        <v>95</v>
      </c>
      <c r="Z548" s="60">
        <f>Ringkasan!Z552</f>
        <v>394400</v>
      </c>
      <c r="AA548" s="60" t="str">
        <f>Ringkasan!AA552</f>
        <v>Professional Services</v>
      </c>
      <c r="AB548" s="60" t="str">
        <f>Ringkasan!AB552</f>
        <v>Industrials</v>
      </c>
    </row>
    <row r="549">
      <c r="A549" s="60" t="str">
        <f>Ringkasan!A545</f>
        <v>CPIN</v>
      </c>
      <c r="B549" s="60" t="str">
        <f>Ringkasan!B545</f>
        <v>Charoen Pokphand Indonesia Tbk</v>
      </c>
      <c r="C549" s="61">
        <f>Ringkasan!C545</f>
        <v>3300</v>
      </c>
      <c r="D549" s="60" t="str">
        <f>Ringkasan!D545</f>
        <v>#N/A</v>
      </c>
      <c r="E549" s="60" t="str">
        <f>Ringkasan!E545</f>
        <v>FTSE Large Cap</v>
      </c>
      <c r="F549" s="60" t="str">
        <f>Ringkasan!F545</f>
        <v>Juni 2026</v>
      </c>
      <c r="G549" s="60">
        <f>Ringkasan!G545</f>
        <v>13</v>
      </c>
      <c r="H549" s="62">
        <f>Ringkasan!H545</f>
        <v>10.5</v>
      </c>
      <c r="I549" s="62">
        <f>Ringkasan!I545</f>
        <v>1.9</v>
      </c>
      <c r="J549" s="62">
        <f>Ringkasan!J545</f>
        <v>18.2</v>
      </c>
      <c r="K549" s="62">
        <f>Ringkasan!K545</f>
        <v>13.8</v>
      </c>
      <c r="L549" s="62">
        <f>Ringkasan!L545</f>
        <v>0.32</v>
      </c>
      <c r="M549" s="62">
        <f>Ringkasan!M545</f>
        <v>33.5</v>
      </c>
      <c r="N549" s="60" t="str">
        <f>Ringkasan!N545</f>
        <v/>
      </c>
      <c r="O549" s="60" t="str">
        <f>Ringkasan!O545</f>
        <v/>
      </c>
      <c r="P549" s="60" t="str">
        <f>Ringkasan!P545</f>
        <v/>
      </c>
      <c r="Q549" s="60" t="str">
        <f>Ringkasan!Q545</f>
        <v/>
      </c>
      <c r="R549" s="60" t="str">
        <f>Ringkasan!R545</f>
        <v/>
      </c>
      <c r="S549" s="60" t="str">
        <f>Ringkasan!S545</f>
        <v/>
      </c>
      <c r="T549" s="60" t="str">
        <f>Ringkasan!T545</f>
        <v/>
      </c>
      <c r="U549" s="60">
        <f>Ringkasan!U545</f>
        <v>3260</v>
      </c>
      <c r="V549" s="60">
        <f>Ringkasan!V545</f>
        <v>1.23</v>
      </c>
      <c r="W549" s="60">
        <f>Ringkasan!W545</f>
        <v>3340</v>
      </c>
      <c r="X549" s="60">
        <f>Ringkasan!X545</f>
        <v>3340</v>
      </c>
      <c r="Y549" s="60">
        <f>Ringkasan!Y545</f>
        <v>3240</v>
      </c>
      <c r="Z549" s="60">
        <f>Ringkasan!Z545</f>
        <v>4628500</v>
      </c>
      <c r="AA549" s="60" t="str">
        <f>Ringkasan!AA545</f>
        <v>Agricultural Products</v>
      </c>
      <c r="AB549" s="60" t="str">
        <f>Ringkasan!AB545</f>
        <v>Consumer Non-Cyclicals</v>
      </c>
    </row>
    <row r="550">
      <c r="A550" s="60" t="str">
        <f>Ringkasan!A546</f>
        <v>CPIN</v>
      </c>
      <c r="B550" s="60" t="str">
        <f>Ringkasan!B546</f>
        <v>Charoen Pokphand Indonesia Tbk</v>
      </c>
      <c r="C550" s="61">
        <f>Ringkasan!C546</f>
        <v>3300</v>
      </c>
      <c r="D550" s="60" t="str">
        <f>Ringkasan!D546</f>
        <v>#N/A</v>
      </c>
      <c r="E550" s="60" t="str">
        <f>Ringkasan!E546</f>
        <v>Investor33</v>
      </c>
      <c r="F550" s="63">
        <f>Ringkasan!F546</f>
        <v>46356</v>
      </c>
      <c r="G550" s="61">
        <f>Ringkasan!G546</f>
        <v>13</v>
      </c>
      <c r="H550" s="62">
        <f>Ringkasan!H546</f>
        <v>10.5</v>
      </c>
      <c r="I550" s="62">
        <f>Ringkasan!I546</f>
        <v>1.9</v>
      </c>
      <c r="J550" s="62">
        <f>Ringkasan!J546</f>
        <v>18.2</v>
      </c>
      <c r="K550" s="62">
        <f>Ringkasan!K546</f>
        <v>13.8</v>
      </c>
      <c r="L550" s="62">
        <f>Ringkasan!L546</f>
        <v>0.32</v>
      </c>
      <c r="M550" s="62">
        <f>Ringkasan!M546</f>
        <v>33.5</v>
      </c>
      <c r="N550" s="60" t="str">
        <f>Ringkasan!N546</f>
        <v/>
      </c>
      <c r="O550" s="60" t="str">
        <f>Ringkasan!O546</f>
        <v/>
      </c>
      <c r="P550" s="60" t="str">
        <f>Ringkasan!P546</f>
        <v/>
      </c>
      <c r="Q550" s="60" t="str">
        <f>Ringkasan!Q546</f>
        <v/>
      </c>
      <c r="R550" s="60" t="str">
        <f>Ringkasan!R546</f>
        <v/>
      </c>
      <c r="S550" s="60" t="str">
        <f>Ringkasan!S546</f>
        <v/>
      </c>
      <c r="T550" s="60" t="str">
        <f>Ringkasan!T546</f>
        <v/>
      </c>
      <c r="U550" s="60">
        <f>Ringkasan!U546</f>
        <v>3260</v>
      </c>
      <c r="V550" s="60">
        <f>Ringkasan!V546</f>
        <v>1.23</v>
      </c>
      <c r="W550" s="60">
        <f>Ringkasan!W546</f>
        <v>3340</v>
      </c>
      <c r="X550" s="60">
        <f>Ringkasan!X546</f>
        <v>3340</v>
      </c>
      <c r="Y550" s="60">
        <f>Ringkasan!Y546</f>
        <v>3240</v>
      </c>
      <c r="Z550" s="60">
        <f>Ringkasan!Z546</f>
        <v>4628500</v>
      </c>
      <c r="AA550" s="60" t="str">
        <f>Ringkasan!AA546</f>
        <v>Agricultural Products</v>
      </c>
      <c r="AB550" s="60" t="str">
        <f>Ringkasan!AB546</f>
        <v>Consumer Non-Cyclicals</v>
      </c>
    </row>
    <row r="551">
      <c r="A551" s="60" t="str">
        <f>Ringkasan!A539</f>
        <v>CPIN</v>
      </c>
      <c r="B551" s="60" t="str">
        <f>Ringkasan!B539</f>
        <v>Charoen Pokphand Indonesia Tbk</v>
      </c>
      <c r="C551" s="61">
        <f>Ringkasan!C539</f>
        <v>3300</v>
      </c>
      <c r="D551" s="60" t="str">
        <f>Ringkasan!D539</f>
        <v>#N/A</v>
      </c>
      <c r="E551" s="60" t="str">
        <f>Ringkasan!E539</f>
        <v>LQ45</v>
      </c>
      <c r="F551" s="60" t="str">
        <f>Ringkasan!F539</f>
        <v>31 Juli 2026</v>
      </c>
      <c r="G551" s="61">
        <f>Ringkasan!G539</f>
        <v>13</v>
      </c>
      <c r="H551" s="62">
        <f>Ringkasan!H539</f>
        <v>10.5</v>
      </c>
      <c r="I551" s="62">
        <f>Ringkasan!I539</f>
        <v>1.9</v>
      </c>
      <c r="J551" s="62">
        <f>Ringkasan!J539</f>
        <v>18.2</v>
      </c>
      <c r="K551" s="62">
        <f>Ringkasan!K539</f>
        <v>13.8</v>
      </c>
      <c r="L551" s="62">
        <f>Ringkasan!L539</f>
        <v>0.32</v>
      </c>
      <c r="M551" s="62">
        <f>Ringkasan!M539</f>
        <v>33.5</v>
      </c>
      <c r="N551" s="60" t="str">
        <f>Ringkasan!N539</f>
        <v/>
      </c>
      <c r="O551" s="60" t="str">
        <f>Ringkasan!O539</f>
        <v/>
      </c>
      <c r="P551" s="60" t="str">
        <f>Ringkasan!P539</f>
        <v/>
      </c>
      <c r="Q551" s="60" t="str">
        <f>Ringkasan!Q539</f>
        <v/>
      </c>
      <c r="R551" s="60" t="str">
        <f>Ringkasan!R539</f>
        <v/>
      </c>
      <c r="S551" s="60" t="str">
        <f>Ringkasan!S539</f>
        <v/>
      </c>
      <c r="T551" s="60" t="str">
        <f>Ringkasan!T539</f>
        <v/>
      </c>
      <c r="U551" s="60">
        <f>Ringkasan!U539</f>
        <v>3260</v>
      </c>
      <c r="V551" s="60">
        <f>Ringkasan!V539</f>
        <v>1.23</v>
      </c>
      <c r="W551" s="60">
        <f>Ringkasan!W539</f>
        <v>3340</v>
      </c>
      <c r="X551" s="60">
        <f>Ringkasan!X539</f>
        <v>3340</v>
      </c>
      <c r="Y551" s="60">
        <f>Ringkasan!Y539</f>
        <v>3240</v>
      </c>
      <c r="Z551" s="60">
        <f>Ringkasan!Z539</f>
        <v>4628500</v>
      </c>
      <c r="AA551" s="60" t="str">
        <f>Ringkasan!AA539</f>
        <v>Agricultural Products</v>
      </c>
      <c r="AB551" s="60" t="str">
        <f>Ringkasan!AB539</f>
        <v>Consumer Non-Cyclicals</v>
      </c>
    </row>
    <row r="552">
      <c r="A552" s="60" t="str">
        <f>Ringkasan!A587</f>
        <v>DEWA</v>
      </c>
      <c r="B552" s="60" t="str">
        <f>Ringkasan!B587</f>
        <v>Darma Henwa Tbk</v>
      </c>
      <c r="C552" s="61">
        <f>Ringkasan!C587</f>
        <v>330</v>
      </c>
      <c r="D552" s="60" t="str">
        <f>Ringkasan!D587</f>
        <v>#N/A</v>
      </c>
      <c r="E552" s="60" t="str">
        <f>Ringkasan!E587</f>
        <v>LQ45</v>
      </c>
      <c r="F552" s="60" t="str">
        <f>Ringkasan!F587</f>
        <v>31 Juli 2026</v>
      </c>
      <c r="G552" s="60">
        <f>Ringkasan!G587</f>
        <v>7</v>
      </c>
      <c r="H552" s="62">
        <f>Ringkasan!H587</f>
        <v>3.1</v>
      </c>
      <c r="I552" s="62">
        <f>Ringkasan!I587</f>
        <v>1.7</v>
      </c>
      <c r="J552" s="62">
        <f>Ringkasan!J587</f>
        <v>54.9</v>
      </c>
      <c r="K552" s="62">
        <f>Ringkasan!K587</f>
        <v>27.2</v>
      </c>
      <c r="L552" s="62">
        <f>Ringkasan!L587</f>
        <v>1</v>
      </c>
      <c r="M552" s="62">
        <f>Ringkasan!M587</f>
        <v>280</v>
      </c>
      <c r="N552" s="60" t="str">
        <f>Ringkasan!N587</f>
        <v/>
      </c>
      <c r="O552" s="60" t="str">
        <f>Ringkasan!O587</f>
        <v/>
      </c>
      <c r="P552" s="60" t="str">
        <f>Ringkasan!P587</f>
        <v/>
      </c>
      <c r="Q552" s="60" t="str">
        <f>Ringkasan!Q587</f>
        <v/>
      </c>
      <c r="R552" s="60" t="str">
        <f>Ringkasan!R587</f>
        <v/>
      </c>
      <c r="S552" s="60" t="str">
        <f>Ringkasan!S587</f>
        <v/>
      </c>
      <c r="T552" s="60" t="str">
        <f>Ringkasan!T587</f>
        <v/>
      </c>
      <c r="U552" s="60">
        <f>Ringkasan!U587</f>
        <v>294</v>
      </c>
      <c r="V552" s="60">
        <f>Ringkasan!V587</f>
        <v>12.24</v>
      </c>
      <c r="W552" s="60">
        <f>Ringkasan!W587</f>
        <v>300</v>
      </c>
      <c r="X552" s="60">
        <f>Ringkasan!X587</f>
        <v>334</v>
      </c>
      <c r="Y552" s="60">
        <f>Ringkasan!Y587</f>
        <v>300</v>
      </c>
      <c r="Z552" s="60">
        <f>Ringkasan!Z587</f>
        <v>1053314700</v>
      </c>
      <c r="AA552" s="60" t="str">
        <f>Ringkasan!AA587</f>
        <v>Oil, Gas &amp; Coal Supports</v>
      </c>
      <c r="AB552" s="60" t="str">
        <f>Ringkasan!AB587</f>
        <v>Energy</v>
      </c>
    </row>
    <row r="553" hidden="1">
      <c r="A553" s="60" t="str">
        <f>Ringkasan!A553</f>
        <v>CSAP</v>
      </c>
      <c r="B553" s="60" t="str">
        <f>Ringkasan!B553</f>
        <v>Catur Sentosa Adiprana Tbk.</v>
      </c>
      <c r="C553" s="61">
        <f>Ringkasan!C553</f>
        <v>276</v>
      </c>
      <c r="D553" s="60" t="str">
        <f>Ringkasan!D553</f>
        <v>#N/A</v>
      </c>
      <c r="E553" s="60" t="str">
        <f>Ringkasan!E553</f>
        <v/>
      </c>
      <c r="F553" s="60" t="str">
        <f>Ringkasan!F553</f>
        <v/>
      </c>
      <c r="G553" s="60">
        <f>Ringkasan!G553</f>
        <v>0</v>
      </c>
      <c r="H553" s="62">
        <f>Ringkasan!H553</f>
        <v>11.8</v>
      </c>
      <c r="I553" s="62">
        <f>Ringkasan!I553</f>
        <v>0.4</v>
      </c>
      <c r="J553" s="62">
        <f>Ringkasan!J553</f>
        <v>3.4</v>
      </c>
      <c r="K553" s="62">
        <f>Ringkasan!K553</f>
        <v>1.1</v>
      </c>
      <c r="L553" s="62">
        <f>Ringkasan!L553</f>
        <v>2.2</v>
      </c>
      <c r="M553" s="62">
        <f>Ringkasan!M553</f>
        <v>3.1</v>
      </c>
      <c r="N553" s="60" t="str">
        <f>Ringkasan!N553</f>
        <v/>
      </c>
      <c r="O553" s="60" t="str">
        <f>Ringkasan!O553</f>
        <v/>
      </c>
      <c r="P553" s="60" t="str">
        <f>Ringkasan!P553</f>
        <v/>
      </c>
      <c r="Q553" s="60" t="str">
        <f>Ringkasan!Q553</f>
        <v/>
      </c>
      <c r="R553" s="60" t="str">
        <f>Ringkasan!R553</f>
        <v/>
      </c>
      <c r="S553" s="60" t="str">
        <f>Ringkasan!S553</f>
        <v/>
      </c>
      <c r="T553" s="60" t="str">
        <f>Ringkasan!T553</f>
        <v/>
      </c>
      <c r="U553" s="60">
        <f>Ringkasan!U553</f>
        <v>264</v>
      </c>
      <c r="V553" s="60">
        <f>Ringkasan!V553</f>
        <v>4.55</v>
      </c>
      <c r="W553" s="60">
        <f>Ringkasan!W553</f>
        <v>276</v>
      </c>
      <c r="X553" s="60">
        <f>Ringkasan!X553</f>
        <v>276</v>
      </c>
      <c r="Y553" s="60">
        <f>Ringkasan!Y553</f>
        <v>276</v>
      </c>
      <c r="Z553" s="60">
        <f>Ringkasan!Z553</f>
        <v>4300</v>
      </c>
      <c r="AA553" s="60" t="str">
        <f>Ringkasan!AA553</f>
        <v>Specialty Retail</v>
      </c>
      <c r="AB553" s="60" t="str">
        <f>Ringkasan!AB553</f>
        <v>Consumer Cyclicals</v>
      </c>
    </row>
    <row r="554">
      <c r="A554" s="60" t="str">
        <f>Ringkasan!A588</f>
        <v>DEWA</v>
      </c>
      <c r="B554" s="60" t="str">
        <f>Ringkasan!B588</f>
        <v>Darma Henwa Tbk</v>
      </c>
      <c r="C554" s="61">
        <f>Ringkasan!C588</f>
        <v>330</v>
      </c>
      <c r="D554" s="60" t="str">
        <f>Ringkasan!D588</f>
        <v>#N/A</v>
      </c>
      <c r="E554" s="60" t="str">
        <f>Ringkasan!E588</f>
        <v>Kompas100</v>
      </c>
      <c r="F554" s="60" t="str">
        <f>Ringkasan!F588</f>
        <v>31 Juli 2026</v>
      </c>
      <c r="G554" s="60">
        <f>Ringkasan!G588</f>
        <v>7</v>
      </c>
      <c r="H554" s="62">
        <f>Ringkasan!H588</f>
        <v>3.1</v>
      </c>
      <c r="I554" s="62">
        <f>Ringkasan!I588</f>
        <v>1.7</v>
      </c>
      <c r="J554" s="62">
        <f>Ringkasan!J588</f>
        <v>54.9</v>
      </c>
      <c r="K554" s="62">
        <f>Ringkasan!K588</f>
        <v>27.2</v>
      </c>
      <c r="L554" s="62">
        <f>Ringkasan!L588</f>
        <v>1</v>
      </c>
      <c r="M554" s="62">
        <f>Ringkasan!M588</f>
        <v>280</v>
      </c>
      <c r="N554" s="60" t="str">
        <f>Ringkasan!N588</f>
        <v/>
      </c>
      <c r="O554" s="60" t="str">
        <f>Ringkasan!O588</f>
        <v/>
      </c>
      <c r="P554" s="60" t="str">
        <f>Ringkasan!P588</f>
        <v/>
      </c>
      <c r="Q554" s="60" t="str">
        <f>Ringkasan!Q588</f>
        <v/>
      </c>
      <c r="R554" s="60" t="str">
        <f>Ringkasan!R588</f>
        <v/>
      </c>
      <c r="S554" s="60" t="str">
        <f>Ringkasan!S588</f>
        <v/>
      </c>
      <c r="T554" s="60" t="str">
        <f>Ringkasan!T588</f>
        <v/>
      </c>
      <c r="U554" s="60">
        <f>Ringkasan!U588</f>
        <v>294</v>
      </c>
      <c r="V554" s="60">
        <f>Ringkasan!V588</f>
        <v>12.24</v>
      </c>
      <c r="W554" s="60">
        <f>Ringkasan!W588</f>
        <v>300</v>
      </c>
      <c r="X554" s="60">
        <f>Ringkasan!X588</f>
        <v>334</v>
      </c>
      <c r="Y554" s="60">
        <f>Ringkasan!Y588</f>
        <v>300</v>
      </c>
      <c r="Z554" s="60">
        <f>Ringkasan!Z588</f>
        <v>1053314700</v>
      </c>
      <c r="AA554" s="60" t="str">
        <f>Ringkasan!AA588</f>
        <v>Oil, Gas &amp; Coal Supports</v>
      </c>
      <c r="AB554" s="60" t="str">
        <f>Ringkasan!AB588</f>
        <v>Energy</v>
      </c>
    </row>
    <row r="555" hidden="1">
      <c r="A555" s="64" t="str">
        <f>Ringkasan!A554</f>
        <v>CSIS</v>
      </c>
      <c r="B555" s="64" t="str">
        <f>Ringkasan!B554</f>
        <v>Cahayasakti Investindo Sukses Tbk.</v>
      </c>
      <c r="C555" s="65">
        <f>Ringkasan!C554</f>
        <v>140</v>
      </c>
      <c r="D555" s="64" t="str">
        <f>Ringkasan!D554</f>
        <v>#N/A</v>
      </c>
      <c r="E555" s="64" t="str">
        <f>Ringkasan!E554</f>
        <v/>
      </c>
      <c r="F555" s="64" t="str">
        <f>Ringkasan!F554</f>
        <v/>
      </c>
      <c r="G555" s="64">
        <f>Ringkasan!G554</f>
        <v>0</v>
      </c>
      <c r="H555" s="19">
        <f>Ringkasan!H554</f>
        <v>9.7</v>
      </c>
      <c r="I555" s="19">
        <f>Ringkasan!I554</f>
        <v>0.47</v>
      </c>
      <c r="J555" s="19">
        <f>Ringkasan!J554</f>
        <v>4.9</v>
      </c>
      <c r="K555" s="19">
        <f>Ringkasan!K554</f>
        <v>3.8</v>
      </c>
      <c r="L555" s="19">
        <f>Ringkasan!L554</f>
        <v>0.29</v>
      </c>
      <c r="M555" s="19">
        <f>Ringkasan!M554</f>
        <v>73.2</v>
      </c>
      <c r="N555" s="64" t="str">
        <f>Ringkasan!N554</f>
        <v/>
      </c>
      <c r="O555" s="64" t="str">
        <f>Ringkasan!O554</f>
        <v/>
      </c>
      <c r="P555" s="64" t="str">
        <f>Ringkasan!P554</f>
        <v/>
      </c>
      <c r="Q555" s="64" t="str">
        <f>Ringkasan!Q554</f>
        <v/>
      </c>
      <c r="R555" s="64" t="str">
        <f>Ringkasan!R554</f>
        <v/>
      </c>
      <c r="S555" s="64" t="str">
        <f>Ringkasan!S554</f>
        <v/>
      </c>
      <c r="T555" s="64" t="str">
        <f>Ringkasan!T554</f>
        <v/>
      </c>
      <c r="U555" s="64">
        <f>Ringkasan!U554</f>
        <v>140</v>
      </c>
      <c r="V555" s="64">
        <f>Ringkasan!V554</f>
        <v>0</v>
      </c>
      <c r="W555" s="64" t="str">
        <f>Ringkasan!W554</f>
        <v/>
      </c>
      <c r="X555" s="64">
        <f>Ringkasan!X554</f>
        <v>146</v>
      </c>
      <c r="Y555" s="64">
        <f>Ringkasan!Y554</f>
        <v>135</v>
      </c>
      <c r="Z555" s="64">
        <f>Ringkasan!Z554</f>
        <v>1274500</v>
      </c>
      <c r="AA555" s="64" t="str">
        <f>Ringkasan!AA554</f>
        <v>Real Estate Management &amp; Development</v>
      </c>
      <c r="AB555" s="64" t="str">
        <f>Ringkasan!AB554</f>
        <v>Properties &amp; Real Estate</v>
      </c>
    </row>
    <row r="556" hidden="1">
      <c r="A556" s="64" t="str">
        <f>Ringkasan!A85</f>
        <v>ALDO</v>
      </c>
      <c r="B556" s="64" t="str">
        <f>Ringkasan!B85</f>
        <v>Alkindo Naratama Tbk.</v>
      </c>
      <c r="C556" s="65">
        <f>Ringkasan!C85</f>
        <v>705</v>
      </c>
      <c r="D556" s="64" t="str">
        <f>Ringkasan!D85</f>
        <v>#N/A</v>
      </c>
      <c r="E556" s="64" t="str">
        <f>Ringkasan!E85</f>
        <v/>
      </c>
      <c r="F556" s="64" t="str">
        <f>Ringkasan!F85</f>
        <v/>
      </c>
      <c r="G556" s="64">
        <f>Ringkasan!G85</f>
        <v>0</v>
      </c>
      <c r="H556" s="19">
        <f>Ringkasan!H85</f>
        <v>44.4</v>
      </c>
      <c r="I556" s="19">
        <f>Ringkasan!I85</f>
        <v>1.7</v>
      </c>
      <c r="J556" s="19">
        <f>Ringkasan!J85</f>
        <v>3.9</v>
      </c>
      <c r="K556" s="19">
        <f>Ringkasan!K85</f>
        <v>2</v>
      </c>
      <c r="L556" s="19">
        <f>Ringkasan!L85</f>
        <v>0.97</v>
      </c>
      <c r="M556" s="19">
        <f>Ringkasan!M85</f>
        <v>7.8</v>
      </c>
      <c r="N556" s="64" t="str">
        <f>Ringkasan!N85</f>
        <v/>
      </c>
      <c r="O556" s="64" t="str">
        <f>Ringkasan!O85</f>
        <v/>
      </c>
      <c r="P556" s="64" t="str">
        <f>Ringkasan!P85</f>
        <v/>
      </c>
      <c r="Q556" s="64" t="str">
        <f>Ringkasan!Q85</f>
        <v/>
      </c>
      <c r="R556" s="64" t="str">
        <f>Ringkasan!R85</f>
        <v/>
      </c>
      <c r="S556" s="64" t="str">
        <f>Ringkasan!S85</f>
        <v/>
      </c>
      <c r="T556" s="64" t="str">
        <f>Ringkasan!T85</f>
        <v/>
      </c>
      <c r="U556" s="64" t="str">
        <f>Ringkasan!U85</f>
        <v/>
      </c>
      <c r="V556" s="64">
        <f>Ringkasan!V85</f>
        <v>-1.4</v>
      </c>
      <c r="W556" s="64">
        <f>Ringkasan!W85</f>
        <v>685</v>
      </c>
      <c r="X556" s="64">
        <f>Ringkasan!X85</f>
        <v>715</v>
      </c>
      <c r="Y556" s="64">
        <f>Ringkasan!Y85</f>
        <v>685</v>
      </c>
      <c r="Z556" s="64">
        <f>Ringkasan!Z85</f>
        <v>38000</v>
      </c>
      <c r="AA556" s="64" t="str">
        <f>Ringkasan!AA85</f>
        <v>Containers &amp; Packaging</v>
      </c>
      <c r="AB556" s="64" t="str">
        <f>Ringkasan!AB85</f>
        <v>Basic Materials</v>
      </c>
    </row>
    <row r="557" hidden="1">
      <c r="A557" s="60" t="str">
        <f>Ringkasan!A556</f>
        <v>CSRA</v>
      </c>
      <c r="B557" s="60" t="str">
        <f>Ringkasan!B556</f>
        <v>Cisadane Sawit Raya Tbk.</v>
      </c>
      <c r="C557" s="61">
        <f>Ringkasan!C556</f>
        <v>785</v>
      </c>
      <c r="D557" s="60" t="str">
        <f>Ringkasan!D556</f>
        <v>#N/A</v>
      </c>
      <c r="E557" s="60" t="str">
        <f>Ringkasan!E556</f>
        <v/>
      </c>
      <c r="F557" s="60" t="str">
        <f>Ringkasan!F556</f>
        <v/>
      </c>
      <c r="G557" s="61">
        <f>Ringkasan!G556</f>
        <v>0</v>
      </c>
      <c r="H557" s="62">
        <f>Ringkasan!H556</f>
        <v>6.3</v>
      </c>
      <c r="I557" s="62">
        <f>Ringkasan!I556</f>
        <v>1.1</v>
      </c>
      <c r="J557" s="62">
        <f>Ringkasan!J556</f>
        <v>17.6</v>
      </c>
      <c r="K557" s="62">
        <f>Ringkasan!K556</f>
        <v>10.4</v>
      </c>
      <c r="L557" s="62">
        <f>Ringkasan!L556</f>
        <v>0.7</v>
      </c>
      <c r="M557" s="62">
        <f>Ringkasan!M556</f>
        <v>50.5</v>
      </c>
      <c r="N557" s="60" t="str">
        <f>Ringkasan!N556</f>
        <v/>
      </c>
      <c r="O557" s="60" t="str">
        <f>Ringkasan!O556</f>
        <v/>
      </c>
      <c r="P557" s="60" t="str">
        <f>Ringkasan!P556</f>
        <v/>
      </c>
      <c r="Q557" s="60" t="str">
        <f>Ringkasan!Q556</f>
        <v/>
      </c>
      <c r="R557" s="60" t="str">
        <f>Ringkasan!R556</f>
        <v/>
      </c>
      <c r="S557" s="60" t="str">
        <f>Ringkasan!S556</f>
        <v/>
      </c>
      <c r="T557" s="60" t="str">
        <f>Ringkasan!T556</f>
        <v/>
      </c>
      <c r="U557" s="60">
        <f>Ringkasan!U556</f>
        <v>710</v>
      </c>
      <c r="V557" s="60">
        <f>Ringkasan!V556</f>
        <v>10.56</v>
      </c>
      <c r="W557" s="60">
        <f>Ringkasan!W556</f>
        <v>710</v>
      </c>
      <c r="X557" s="60">
        <f>Ringkasan!X556</f>
        <v>790</v>
      </c>
      <c r="Y557" s="60">
        <f>Ringkasan!Y556</f>
        <v>700</v>
      </c>
      <c r="Z557" s="60">
        <f>Ringkasan!Z556</f>
        <v>484700</v>
      </c>
      <c r="AA557" s="60" t="str">
        <f>Ringkasan!AA556</f>
        <v>Agricultural Products</v>
      </c>
      <c r="AB557" s="60" t="str">
        <f>Ringkasan!AB556</f>
        <v>Consumer Non-Cyclicals</v>
      </c>
    </row>
    <row r="558" hidden="1">
      <c r="A558" s="64" t="str">
        <f>Ringkasan!A179</f>
        <v>ASJT</v>
      </c>
      <c r="B558" s="64" t="str">
        <f>Ringkasan!B179</f>
        <v>Asuransi Jasa Tania Tbk.</v>
      </c>
      <c r="C558" s="65">
        <f>Ringkasan!C179</f>
        <v>155</v>
      </c>
      <c r="D558" s="64" t="str">
        <f>Ringkasan!D179</f>
        <v>#N/A</v>
      </c>
      <c r="E558" s="64" t="str">
        <f>Ringkasan!E179</f>
        <v/>
      </c>
      <c r="F558" s="64" t="str">
        <f>Ringkasan!F179</f>
        <v/>
      </c>
      <c r="G558" s="64">
        <f>Ringkasan!G179</f>
        <v>0</v>
      </c>
      <c r="H558" s="19">
        <f>Ringkasan!H179</f>
        <v>-54.6</v>
      </c>
      <c r="I558" s="19">
        <f>Ringkasan!I179</f>
        <v>0.77</v>
      </c>
      <c r="J558" s="19">
        <f>Ringkasan!J179</f>
        <v>-1.4</v>
      </c>
      <c r="K558" s="19">
        <f>Ringkasan!K179</f>
        <v>-0.8</v>
      </c>
      <c r="L558" s="19">
        <f>Ringkasan!L179</f>
        <v>0.76</v>
      </c>
      <c r="M558" s="19">
        <f>Ringkasan!M179</f>
        <v>-7.8</v>
      </c>
      <c r="N558" s="64" t="str">
        <f>Ringkasan!N179</f>
        <v/>
      </c>
      <c r="O558" s="64" t="str">
        <f>Ringkasan!O179</f>
        <v/>
      </c>
      <c r="P558" s="64" t="str">
        <f>Ringkasan!P179</f>
        <v/>
      </c>
      <c r="Q558" s="64" t="str">
        <f>Ringkasan!Q179</f>
        <v/>
      </c>
      <c r="R558" s="64" t="str">
        <f>Ringkasan!R179</f>
        <v/>
      </c>
      <c r="S558" s="64" t="str">
        <f>Ringkasan!S179</f>
        <v/>
      </c>
      <c r="T558" s="64" t="str">
        <f>Ringkasan!T179</f>
        <v/>
      </c>
      <c r="U558" s="64">
        <f>Ringkasan!U179</f>
        <v>141</v>
      </c>
      <c r="V558" s="64">
        <f>Ringkasan!V179</f>
        <v>9.93</v>
      </c>
      <c r="W558" s="64">
        <f>Ringkasan!W179</f>
        <v>141</v>
      </c>
      <c r="X558" s="64">
        <f>Ringkasan!X179</f>
        <v>185</v>
      </c>
      <c r="Y558" s="64">
        <f>Ringkasan!Y179</f>
        <v>140</v>
      </c>
      <c r="Z558" s="64">
        <f>Ringkasan!Z179</f>
        <v>807500</v>
      </c>
      <c r="AA558" s="64" t="str">
        <f>Ringkasan!AA179</f>
        <v>Insurance</v>
      </c>
      <c r="AB558" s="64" t="str">
        <f>Ringkasan!AB179</f>
        <v>Financials</v>
      </c>
    </row>
    <row r="559" hidden="1">
      <c r="A559" s="64" t="str">
        <f>Ringkasan!A558</f>
        <v>CTRA</v>
      </c>
      <c r="B559" s="64" t="str">
        <f>Ringkasan!B558</f>
        <v>Ciputra Development Tbk.</v>
      </c>
      <c r="C559" s="65">
        <f>Ringkasan!C558</f>
        <v>600</v>
      </c>
      <c r="D559" s="64" t="str">
        <f>Ringkasan!D558</f>
        <v>#N/A</v>
      </c>
      <c r="E559" s="64" t="str">
        <f>Ringkasan!E558</f>
        <v>ESGQKEHATI</v>
      </c>
      <c r="F559" s="66">
        <f>Ringkasan!F558</f>
        <v>46356</v>
      </c>
      <c r="G559" s="64">
        <f>Ringkasan!G558</f>
        <v>13</v>
      </c>
      <c r="H559" s="19">
        <f>Ringkasan!H558</f>
        <v>4.7</v>
      </c>
      <c r="I559" s="19">
        <f>Ringkasan!I558</f>
        <v>0.44</v>
      </c>
      <c r="J559" s="19">
        <f>Ringkasan!J558</f>
        <v>9.2</v>
      </c>
      <c r="K559" s="19">
        <f>Ringkasan!K558</f>
        <v>5.5</v>
      </c>
      <c r="L559" s="19">
        <f>Ringkasan!L558</f>
        <v>0.67</v>
      </c>
      <c r="M559" s="19">
        <f>Ringkasan!M558</f>
        <v>98.6</v>
      </c>
      <c r="N559" s="64" t="str">
        <f>Ringkasan!N558</f>
        <v/>
      </c>
      <c r="O559" s="64" t="str">
        <f>Ringkasan!O558</f>
        <v/>
      </c>
      <c r="P559" s="64" t="str">
        <f>Ringkasan!P558</f>
        <v/>
      </c>
      <c r="Q559" s="64" t="str">
        <f>Ringkasan!Q558</f>
        <v/>
      </c>
      <c r="R559" s="64" t="str">
        <f>Ringkasan!R558</f>
        <v/>
      </c>
      <c r="S559" s="64" t="str">
        <f>Ringkasan!S558</f>
        <v/>
      </c>
      <c r="T559" s="64" t="str">
        <f>Ringkasan!T558</f>
        <v/>
      </c>
      <c r="U559" s="64">
        <f>Ringkasan!U558</f>
        <v>640</v>
      </c>
      <c r="V559" s="64">
        <f>Ringkasan!V558</f>
        <v>-100</v>
      </c>
      <c r="W559" s="64" t="str">
        <f>Ringkasan!W558</f>
        <v/>
      </c>
      <c r="X559" s="64" t="str">
        <f>Ringkasan!X558</f>
        <v/>
      </c>
      <c r="Y559" s="64" t="str">
        <f>Ringkasan!Y558</f>
        <v/>
      </c>
      <c r="Z559" s="64">
        <f>Ringkasan!Z558</f>
        <v>0</v>
      </c>
      <c r="AA559" s="64" t="str">
        <f>Ringkasan!AA558</f>
        <v>Real Estate Management &amp; Development</v>
      </c>
      <c r="AB559" s="64" t="str">
        <f>Ringkasan!AB558</f>
        <v>Properties &amp; Real Estate</v>
      </c>
    </row>
    <row r="560" hidden="1">
      <c r="A560" s="60" t="str">
        <f>Ringkasan!A220</f>
        <v>BAYU</v>
      </c>
      <c r="B560" s="60" t="str">
        <f>Ringkasan!B220</f>
        <v>Bayu Buana Tbk</v>
      </c>
      <c r="C560" s="61">
        <f>Ringkasan!C220</f>
        <v>1115</v>
      </c>
      <c r="D560" s="60" t="str">
        <f>Ringkasan!D220</f>
        <v>#N/A</v>
      </c>
      <c r="E560" s="60" t="str">
        <f>Ringkasan!E220</f>
        <v/>
      </c>
      <c r="F560" s="60" t="str">
        <f>Ringkasan!F220</f>
        <v/>
      </c>
      <c r="G560" s="60">
        <f>Ringkasan!G220</f>
        <v>0</v>
      </c>
      <c r="H560" s="62">
        <f>Ringkasan!H220</f>
        <v>4.1</v>
      </c>
      <c r="I560" s="62">
        <f>Ringkasan!I220</f>
        <v>0.7</v>
      </c>
      <c r="J560" s="62">
        <f>Ringkasan!J220</f>
        <v>17.1</v>
      </c>
      <c r="K560" s="62">
        <f>Ringkasan!K220</f>
        <v>10.1</v>
      </c>
      <c r="L560" s="62">
        <f>Ringkasan!L220</f>
        <v>0.7</v>
      </c>
      <c r="M560" s="62">
        <f>Ringkasan!M220</f>
        <v>17.6</v>
      </c>
      <c r="N560" s="60" t="str">
        <f>Ringkasan!N220</f>
        <v/>
      </c>
      <c r="O560" s="60" t="str">
        <f>Ringkasan!O220</f>
        <v/>
      </c>
      <c r="P560" s="60" t="str">
        <f>Ringkasan!P220</f>
        <v/>
      </c>
      <c r="Q560" s="60" t="str">
        <f>Ringkasan!Q220</f>
        <v/>
      </c>
      <c r="R560" s="60" t="str">
        <f>Ringkasan!R220</f>
        <v/>
      </c>
      <c r="S560" s="60" t="str">
        <f>Ringkasan!S220</f>
        <v/>
      </c>
      <c r="T560" s="60" t="str">
        <f>Ringkasan!T220</f>
        <v/>
      </c>
      <c r="U560" s="60">
        <f>Ringkasan!U220</f>
        <v>1100</v>
      </c>
      <c r="V560" s="60">
        <f>Ringkasan!V220</f>
        <v>1.36</v>
      </c>
      <c r="W560" s="60">
        <f>Ringkasan!W220</f>
        <v>1100</v>
      </c>
      <c r="X560" s="60">
        <f>Ringkasan!X220</f>
        <v>1130</v>
      </c>
      <c r="Y560" s="60">
        <f>Ringkasan!Y220</f>
        <v>1100</v>
      </c>
      <c r="Z560" s="60">
        <f>Ringkasan!Z220</f>
        <v>58200</v>
      </c>
      <c r="AA560" s="60" t="str">
        <f>Ringkasan!AA220</f>
        <v>Tourism &amp; Recreation</v>
      </c>
      <c r="AB560" s="60" t="str">
        <f>Ringkasan!AB220</f>
        <v>Consumer Cyclicals</v>
      </c>
    </row>
    <row r="561">
      <c r="A561" s="60" t="str">
        <f>Ringkasan!A589</f>
        <v>DEWA</v>
      </c>
      <c r="B561" s="60" t="str">
        <f>Ringkasan!B589</f>
        <v>Darma Henwa Tbk</v>
      </c>
      <c r="C561" s="61">
        <f>Ringkasan!C589</f>
        <v>330</v>
      </c>
      <c r="D561" s="60" t="str">
        <f>Ringkasan!D589</f>
        <v>#N/A</v>
      </c>
      <c r="E561" s="60" t="str">
        <f>Ringkasan!E589</f>
        <v>IDXSMC-LIQ</v>
      </c>
      <c r="F561" s="60" t="str">
        <f>Ringkasan!F589</f>
        <v>4 Agustus 2026</v>
      </c>
      <c r="G561" s="60">
        <f>Ringkasan!G589</f>
        <v>7</v>
      </c>
      <c r="H561" s="62">
        <f>Ringkasan!H589</f>
        <v>3.1</v>
      </c>
      <c r="I561" s="62">
        <f>Ringkasan!I589</f>
        <v>1.7</v>
      </c>
      <c r="J561" s="62">
        <f>Ringkasan!J589</f>
        <v>54.9</v>
      </c>
      <c r="K561" s="62">
        <f>Ringkasan!K589</f>
        <v>27.2</v>
      </c>
      <c r="L561" s="62">
        <f>Ringkasan!L589</f>
        <v>1</v>
      </c>
      <c r="M561" s="62">
        <f>Ringkasan!M589</f>
        <v>280</v>
      </c>
      <c r="N561" s="60" t="str">
        <f>Ringkasan!N589</f>
        <v/>
      </c>
      <c r="O561" s="60" t="str">
        <f>Ringkasan!O589</f>
        <v/>
      </c>
      <c r="P561" s="60" t="str">
        <f>Ringkasan!P589</f>
        <v/>
      </c>
      <c r="Q561" s="60" t="str">
        <f>Ringkasan!Q589</f>
        <v/>
      </c>
      <c r="R561" s="60" t="str">
        <f>Ringkasan!R589</f>
        <v/>
      </c>
      <c r="S561" s="60" t="str">
        <f>Ringkasan!S589</f>
        <v/>
      </c>
      <c r="T561" s="60" t="str">
        <f>Ringkasan!T589</f>
        <v/>
      </c>
      <c r="U561" s="60">
        <f>Ringkasan!U589</f>
        <v>294</v>
      </c>
      <c r="V561" s="60">
        <f>Ringkasan!V589</f>
        <v>12.24</v>
      </c>
      <c r="W561" s="60">
        <f>Ringkasan!W589</f>
        <v>300</v>
      </c>
      <c r="X561" s="60">
        <f>Ringkasan!X589</f>
        <v>334</v>
      </c>
      <c r="Y561" s="60">
        <f>Ringkasan!Y589</f>
        <v>300</v>
      </c>
      <c r="Z561" s="60">
        <f>Ringkasan!Z589</f>
        <v>1053314700</v>
      </c>
      <c r="AA561" s="60" t="str">
        <f>Ringkasan!AA589</f>
        <v>Oil, Gas &amp; Coal Supports</v>
      </c>
      <c r="AB561" s="60" t="str">
        <f>Ringkasan!AB589</f>
        <v>Energy</v>
      </c>
    </row>
    <row r="562" hidden="1">
      <c r="A562" s="64" t="str">
        <f>Ringkasan!A560</f>
        <v>CTRA</v>
      </c>
      <c r="B562" s="64" t="str">
        <f>Ringkasan!B560</f>
        <v>Ciputra Development Tbk.</v>
      </c>
      <c r="C562" s="65">
        <f>Ringkasan!C560</f>
        <v>600</v>
      </c>
      <c r="D562" s="64" t="str">
        <f>Ringkasan!D560</f>
        <v>#N/A</v>
      </c>
      <c r="E562" s="64" t="str">
        <f>Ringkasan!E560</f>
        <v>IDXG30</v>
      </c>
      <c r="F562" s="64" t="str">
        <f>Ringkasan!F560</f>
        <v>4 Agustus 2026</v>
      </c>
      <c r="G562" s="64">
        <f>Ringkasan!G560</f>
        <v>13</v>
      </c>
      <c r="H562" s="19">
        <f>Ringkasan!H560</f>
        <v>4.7</v>
      </c>
      <c r="I562" s="19">
        <f>Ringkasan!I560</f>
        <v>0.44</v>
      </c>
      <c r="J562" s="19">
        <f>Ringkasan!J560</f>
        <v>9.2</v>
      </c>
      <c r="K562" s="19">
        <f>Ringkasan!K560</f>
        <v>5.5</v>
      </c>
      <c r="L562" s="19">
        <f>Ringkasan!L560</f>
        <v>0.67</v>
      </c>
      <c r="M562" s="19">
        <f>Ringkasan!M560</f>
        <v>98.6</v>
      </c>
      <c r="N562" s="64" t="str">
        <f>Ringkasan!N560</f>
        <v/>
      </c>
      <c r="O562" s="64" t="str">
        <f>Ringkasan!O560</f>
        <v/>
      </c>
      <c r="P562" s="64" t="str">
        <f>Ringkasan!P560</f>
        <v/>
      </c>
      <c r="Q562" s="64" t="str">
        <f>Ringkasan!Q560</f>
        <v/>
      </c>
      <c r="R562" s="64" t="str">
        <f>Ringkasan!R560</f>
        <v/>
      </c>
      <c r="S562" s="64" t="str">
        <f>Ringkasan!S560</f>
        <v/>
      </c>
      <c r="T562" s="64" t="str">
        <f>Ringkasan!T560</f>
        <v/>
      </c>
      <c r="U562" s="64">
        <f>Ringkasan!U560</f>
        <v>640</v>
      </c>
      <c r="V562" s="64">
        <f>Ringkasan!V560</f>
        <v>-100</v>
      </c>
      <c r="W562" s="64" t="str">
        <f>Ringkasan!W560</f>
        <v/>
      </c>
      <c r="X562" s="64" t="str">
        <f>Ringkasan!X560</f>
        <v/>
      </c>
      <c r="Y562" s="64" t="str">
        <f>Ringkasan!Y560</f>
        <v/>
      </c>
      <c r="Z562" s="64">
        <f>Ringkasan!Z560</f>
        <v>0</v>
      </c>
      <c r="AA562" s="64" t="str">
        <f>Ringkasan!AA560</f>
        <v>Real Estate Management &amp; Development</v>
      </c>
      <c r="AB562" s="64" t="str">
        <f>Ringkasan!AB560</f>
        <v>Properties &amp; Real Estate</v>
      </c>
    </row>
    <row r="563" hidden="1">
      <c r="A563" s="64" t="str">
        <f>Ringkasan!A562</f>
        <v>CTRA</v>
      </c>
      <c r="B563" s="64" t="str">
        <f>Ringkasan!B562</f>
        <v>Ciputra Development Tbk.</v>
      </c>
      <c r="C563" s="65">
        <f>Ringkasan!C562</f>
        <v>600</v>
      </c>
      <c r="D563" s="64" t="str">
        <f>Ringkasan!D562</f>
        <v>#N/A</v>
      </c>
      <c r="E563" s="64" t="str">
        <f>Ringkasan!E562</f>
        <v>IDX80</v>
      </c>
      <c r="F563" s="64" t="str">
        <f>Ringkasan!F562</f>
        <v>31 Juli 2026</v>
      </c>
      <c r="G563" s="64">
        <f>Ringkasan!G562</f>
        <v>13</v>
      </c>
      <c r="H563" s="19">
        <f>Ringkasan!H562</f>
        <v>4.7</v>
      </c>
      <c r="I563" s="19">
        <f>Ringkasan!I562</f>
        <v>0.44</v>
      </c>
      <c r="J563" s="19">
        <f>Ringkasan!J562</f>
        <v>9.2</v>
      </c>
      <c r="K563" s="19">
        <f>Ringkasan!K562</f>
        <v>5.5</v>
      </c>
      <c r="L563" s="19">
        <f>Ringkasan!L562</f>
        <v>0.67</v>
      </c>
      <c r="M563" s="19">
        <f>Ringkasan!M562</f>
        <v>98.6</v>
      </c>
      <c r="N563" s="64" t="str">
        <f>Ringkasan!N562</f>
        <v/>
      </c>
      <c r="O563" s="64" t="str">
        <f>Ringkasan!O562</f>
        <v/>
      </c>
      <c r="P563" s="64" t="str">
        <f>Ringkasan!P562</f>
        <v/>
      </c>
      <c r="Q563" s="64" t="str">
        <f>Ringkasan!Q562</f>
        <v/>
      </c>
      <c r="R563" s="64" t="str">
        <f>Ringkasan!R562</f>
        <v/>
      </c>
      <c r="S563" s="64" t="str">
        <f>Ringkasan!S562</f>
        <v/>
      </c>
      <c r="T563" s="64" t="str">
        <f>Ringkasan!T562</f>
        <v/>
      </c>
      <c r="U563" s="64">
        <f>Ringkasan!U562</f>
        <v>640</v>
      </c>
      <c r="V563" s="64">
        <f>Ringkasan!V562</f>
        <v>-100</v>
      </c>
      <c r="W563" s="64" t="str">
        <f>Ringkasan!W562</f>
        <v/>
      </c>
      <c r="X563" s="64" t="str">
        <f>Ringkasan!X562</f>
        <v/>
      </c>
      <c r="Y563" s="64" t="str">
        <f>Ringkasan!Y562</f>
        <v/>
      </c>
      <c r="Z563" s="64">
        <f>Ringkasan!Z562</f>
        <v>0</v>
      </c>
      <c r="AA563" s="64" t="str">
        <f>Ringkasan!AA562</f>
        <v>Real Estate Management &amp; Development</v>
      </c>
      <c r="AB563" s="64" t="str">
        <f>Ringkasan!AB562</f>
        <v>Properties &amp; Real Estate</v>
      </c>
    </row>
    <row r="564" hidden="1">
      <c r="A564" s="64" t="str">
        <f>Ringkasan!A563</f>
        <v>CTRA</v>
      </c>
      <c r="B564" s="64" t="str">
        <f>Ringkasan!B563</f>
        <v>Ciputra Development Tbk.</v>
      </c>
      <c r="C564" s="65">
        <f>Ringkasan!C563</f>
        <v>600</v>
      </c>
      <c r="D564" s="64" t="str">
        <f>Ringkasan!D563</f>
        <v>#N/A</v>
      </c>
      <c r="E564" s="64" t="str">
        <f>Ringkasan!E563</f>
        <v>IDXVESTA28</v>
      </c>
      <c r="F564" s="64" t="str">
        <f>Ringkasan!F563</f>
        <v>31 Agustus 2026</v>
      </c>
      <c r="G564" s="64">
        <f>Ringkasan!G563</f>
        <v>13</v>
      </c>
      <c r="H564" s="19">
        <f>Ringkasan!H563</f>
        <v>4.7</v>
      </c>
      <c r="I564" s="19">
        <f>Ringkasan!I563</f>
        <v>0.44</v>
      </c>
      <c r="J564" s="19">
        <f>Ringkasan!J563</f>
        <v>9.2</v>
      </c>
      <c r="K564" s="19">
        <f>Ringkasan!K563</f>
        <v>5.5</v>
      </c>
      <c r="L564" s="19">
        <f>Ringkasan!L563</f>
        <v>0.67</v>
      </c>
      <c r="M564" s="19">
        <f>Ringkasan!M563</f>
        <v>98.6</v>
      </c>
      <c r="N564" s="64" t="str">
        <f>Ringkasan!N563</f>
        <v/>
      </c>
      <c r="O564" s="64" t="str">
        <f>Ringkasan!O563</f>
        <v/>
      </c>
      <c r="P564" s="64" t="str">
        <f>Ringkasan!P563</f>
        <v/>
      </c>
      <c r="Q564" s="64" t="str">
        <f>Ringkasan!Q563</f>
        <v/>
      </c>
      <c r="R564" s="64" t="str">
        <f>Ringkasan!R563</f>
        <v/>
      </c>
      <c r="S564" s="64" t="str">
        <f>Ringkasan!S563</f>
        <v/>
      </c>
      <c r="T564" s="64" t="str">
        <f>Ringkasan!T563</f>
        <v/>
      </c>
      <c r="U564" s="64">
        <f>Ringkasan!U563</f>
        <v>640</v>
      </c>
      <c r="V564" s="64">
        <f>Ringkasan!V563</f>
        <v>-100</v>
      </c>
      <c r="W564" s="64" t="str">
        <f>Ringkasan!W563</f>
        <v/>
      </c>
      <c r="X564" s="64" t="str">
        <f>Ringkasan!X563</f>
        <v/>
      </c>
      <c r="Y564" s="64" t="str">
        <f>Ringkasan!Y563</f>
        <v/>
      </c>
      <c r="Z564" s="64">
        <f>Ringkasan!Z563</f>
        <v>0</v>
      </c>
      <c r="AA564" s="64" t="str">
        <f>Ringkasan!AA563</f>
        <v>Real Estate Management &amp; Development</v>
      </c>
      <c r="AB564" s="64" t="str">
        <f>Ringkasan!AB563</f>
        <v>Properties &amp; Real Estate</v>
      </c>
    </row>
    <row r="565" hidden="1">
      <c r="A565" s="64" t="str">
        <f>Ringkasan!A564</f>
        <v>CTRA</v>
      </c>
      <c r="B565" s="64" t="str">
        <f>Ringkasan!B564</f>
        <v>Ciputra Development Tbk.</v>
      </c>
      <c r="C565" s="65">
        <f>Ringkasan!C564</f>
        <v>600</v>
      </c>
      <c r="D565" s="64" t="str">
        <f>Ringkasan!D564</f>
        <v>#N/A</v>
      </c>
      <c r="E565" s="64" t="str">
        <f>Ringkasan!E564</f>
        <v>IDXESGL</v>
      </c>
      <c r="F565" s="64" t="str">
        <f>Ringkasan!F564</f>
        <v>30 Oktober 2026</v>
      </c>
      <c r="G565" s="64">
        <f>Ringkasan!G564</f>
        <v>13</v>
      </c>
      <c r="H565" s="19">
        <f>Ringkasan!H564</f>
        <v>4.7</v>
      </c>
      <c r="I565" s="19">
        <f>Ringkasan!I564</f>
        <v>0.44</v>
      </c>
      <c r="J565" s="19">
        <f>Ringkasan!J564</f>
        <v>9.2</v>
      </c>
      <c r="K565" s="19">
        <f>Ringkasan!K564</f>
        <v>5.5</v>
      </c>
      <c r="L565" s="19">
        <f>Ringkasan!L564</f>
        <v>0.67</v>
      </c>
      <c r="M565" s="19">
        <f>Ringkasan!M564</f>
        <v>98.6</v>
      </c>
      <c r="N565" s="64" t="str">
        <f>Ringkasan!N564</f>
        <v/>
      </c>
      <c r="O565" s="64" t="str">
        <f>Ringkasan!O564</f>
        <v/>
      </c>
      <c r="P565" s="64" t="str">
        <f>Ringkasan!P564</f>
        <v/>
      </c>
      <c r="Q565" s="64" t="str">
        <f>Ringkasan!Q564</f>
        <v/>
      </c>
      <c r="R565" s="64" t="str">
        <f>Ringkasan!R564</f>
        <v/>
      </c>
      <c r="S565" s="64" t="str">
        <f>Ringkasan!S564</f>
        <v/>
      </c>
      <c r="T565" s="64" t="str">
        <f>Ringkasan!T564</f>
        <v/>
      </c>
      <c r="U565" s="64">
        <f>Ringkasan!U564</f>
        <v>640</v>
      </c>
      <c r="V565" s="64">
        <f>Ringkasan!V564</f>
        <v>-100</v>
      </c>
      <c r="W565" s="64" t="str">
        <f>Ringkasan!W564</f>
        <v/>
      </c>
      <c r="X565" s="64" t="str">
        <f>Ringkasan!X564</f>
        <v/>
      </c>
      <c r="Y565" s="64" t="str">
        <f>Ringkasan!Y564</f>
        <v/>
      </c>
      <c r="Z565" s="64">
        <f>Ringkasan!Z564</f>
        <v>0</v>
      </c>
      <c r="AA565" s="64" t="str">
        <f>Ringkasan!AA564</f>
        <v>Real Estate Management &amp; Development</v>
      </c>
      <c r="AB565" s="64" t="str">
        <f>Ringkasan!AB564</f>
        <v>Properties &amp; Real Estate</v>
      </c>
    </row>
    <row r="566" hidden="1">
      <c r="A566" s="64" t="str">
        <f>Ringkasan!A565</f>
        <v>CTRA</v>
      </c>
      <c r="B566" s="64" t="str">
        <f>Ringkasan!B565</f>
        <v>Ciputra Development Tbk.</v>
      </c>
      <c r="C566" s="65">
        <f>Ringkasan!C565</f>
        <v>600</v>
      </c>
      <c r="D566" s="64" t="str">
        <f>Ringkasan!D565</f>
        <v>#N/A</v>
      </c>
      <c r="E566" s="64" t="str">
        <f>Ringkasan!E565</f>
        <v>Kompas100</v>
      </c>
      <c r="F566" s="64" t="str">
        <f>Ringkasan!F565</f>
        <v>31 Juli 2026</v>
      </c>
      <c r="G566" s="64">
        <f>Ringkasan!G565</f>
        <v>13</v>
      </c>
      <c r="H566" s="19">
        <f>Ringkasan!H565</f>
        <v>4.7</v>
      </c>
      <c r="I566" s="19">
        <f>Ringkasan!I565</f>
        <v>0.44</v>
      </c>
      <c r="J566" s="19">
        <f>Ringkasan!J565</f>
        <v>9.2</v>
      </c>
      <c r="K566" s="19">
        <f>Ringkasan!K565</f>
        <v>5.5</v>
      </c>
      <c r="L566" s="19">
        <f>Ringkasan!L565</f>
        <v>0.67</v>
      </c>
      <c r="M566" s="19">
        <f>Ringkasan!M565</f>
        <v>98.6</v>
      </c>
      <c r="N566" s="64" t="str">
        <f>Ringkasan!N565</f>
        <v/>
      </c>
      <c r="O566" s="64" t="str">
        <f>Ringkasan!O565</f>
        <v/>
      </c>
      <c r="P566" s="64" t="str">
        <f>Ringkasan!P565</f>
        <v/>
      </c>
      <c r="Q566" s="64" t="str">
        <f>Ringkasan!Q565</f>
        <v/>
      </c>
      <c r="R566" s="64" t="str">
        <f>Ringkasan!R565</f>
        <v/>
      </c>
      <c r="S566" s="64" t="str">
        <f>Ringkasan!S565</f>
        <v/>
      </c>
      <c r="T566" s="64" t="str">
        <f>Ringkasan!T565</f>
        <v/>
      </c>
      <c r="U566" s="64">
        <f>Ringkasan!U565</f>
        <v>640</v>
      </c>
      <c r="V566" s="64">
        <f>Ringkasan!V565</f>
        <v>-100</v>
      </c>
      <c r="W566" s="64" t="str">
        <f>Ringkasan!W565</f>
        <v/>
      </c>
      <c r="X566" s="64" t="str">
        <f>Ringkasan!X565</f>
        <v/>
      </c>
      <c r="Y566" s="64" t="str">
        <f>Ringkasan!Y565</f>
        <v/>
      </c>
      <c r="Z566" s="64">
        <f>Ringkasan!Z565</f>
        <v>0</v>
      </c>
      <c r="AA566" s="64" t="str">
        <f>Ringkasan!AA565</f>
        <v>Real Estate Management &amp; Development</v>
      </c>
      <c r="AB566" s="64" t="str">
        <f>Ringkasan!AB565</f>
        <v>Properties &amp; Real Estate</v>
      </c>
    </row>
    <row r="567" hidden="1">
      <c r="A567" s="64" t="str">
        <f>Ringkasan!A566</f>
        <v>CTRA</v>
      </c>
      <c r="B567" s="64" t="str">
        <f>Ringkasan!B566</f>
        <v>Ciputra Development Tbk.</v>
      </c>
      <c r="C567" s="65">
        <f>Ringkasan!C566</f>
        <v>600</v>
      </c>
      <c r="D567" s="64" t="str">
        <f>Ringkasan!D566</f>
        <v>#N/A</v>
      </c>
      <c r="E567" s="64" t="str">
        <f>Ringkasan!E566</f>
        <v>ECONOMIC30</v>
      </c>
      <c r="F567" s="64" t="str">
        <f>Ringkasan!F566</f>
        <v>31 Agustus 2026</v>
      </c>
      <c r="G567" s="64">
        <f>Ringkasan!G566</f>
        <v>13</v>
      </c>
      <c r="H567" s="19">
        <f>Ringkasan!H566</f>
        <v>4.7</v>
      </c>
      <c r="I567" s="19">
        <f>Ringkasan!I566</f>
        <v>0.44</v>
      </c>
      <c r="J567" s="19">
        <f>Ringkasan!J566</f>
        <v>9.2</v>
      </c>
      <c r="K567" s="19">
        <f>Ringkasan!K566</f>
        <v>5.5</v>
      </c>
      <c r="L567" s="19">
        <f>Ringkasan!L566</f>
        <v>0.67</v>
      </c>
      <c r="M567" s="19">
        <f>Ringkasan!M566</f>
        <v>98.6</v>
      </c>
      <c r="N567" s="64" t="str">
        <f>Ringkasan!N566</f>
        <v/>
      </c>
      <c r="O567" s="64" t="str">
        <f>Ringkasan!O566</f>
        <v/>
      </c>
      <c r="P567" s="64" t="str">
        <f>Ringkasan!P566</f>
        <v/>
      </c>
      <c r="Q567" s="64" t="str">
        <f>Ringkasan!Q566</f>
        <v/>
      </c>
      <c r="R567" s="64" t="str">
        <f>Ringkasan!R566</f>
        <v/>
      </c>
      <c r="S567" s="64" t="str">
        <f>Ringkasan!S566</f>
        <v/>
      </c>
      <c r="T567" s="64" t="str">
        <f>Ringkasan!T566</f>
        <v/>
      </c>
      <c r="U567" s="64">
        <f>Ringkasan!U566</f>
        <v>640</v>
      </c>
      <c r="V567" s="64">
        <f>Ringkasan!V566</f>
        <v>-100</v>
      </c>
      <c r="W567" s="64" t="str">
        <f>Ringkasan!W566</f>
        <v/>
      </c>
      <c r="X567" s="64" t="str">
        <f>Ringkasan!X566</f>
        <v/>
      </c>
      <c r="Y567" s="64" t="str">
        <f>Ringkasan!Y566</f>
        <v/>
      </c>
      <c r="Z567" s="64">
        <f>Ringkasan!Z566</f>
        <v>0</v>
      </c>
      <c r="AA567" s="64" t="str">
        <f>Ringkasan!AA566</f>
        <v>Real Estate Management &amp; Development</v>
      </c>
      <c r="AB567" s="64" t="str">
        <f>Ringkasan!AB566</f>
        <v>Properties &amp; Real Estate</v>
      </c>
    </row>
    <row r="568" hidden="1">
      <c r="A568" s="64" t="str">
        <f>Ringkasan!A567</f>
        <v>CTRA</v>
      </c>
      <c r="B568" s="64" t="str">
        <f>Ringkasan!B567</f>
        <v>Ciputra Development Tbk.</v>
      </c>
      <c r="C568" s="67">
        <f>Ringkasan!C567</f>
        <v>600</v>
      </c>
      <c r="D568" s="22" t="str">
        <f>Ringkasan!D567</f>
        <v>#N/A</v>
      </c>
      <c r="E568" s="64" t="str">
        <f>Ringkasan!E567</f>
        <v>IDXV30</v>
      </c>
      <c r="F568" s="64" t="str">
        <f>Ringkasan!F567</f>
        <v>4 Agustus 2026</v>
      </c>
      <c r="G568" s="64">
        <f>Ringkasan!G567</f>
        <v>13</v>
      </c>
      <c r="H568" s="19">
        <f>Ringkasan!H567</f>
        <v>4.7</v>
      </c>
      <c r="I568" s="19">
        <f>Ringkasan!I567</f>
        <v>0.44</v>
      </c>
      <c r="J568" s="19">
        <f>Ringkasan!J567</f>
        <v>9.2</v>
      </c>
      <c r="K568" s="19">
        <f>Ringkasan!K567</f>
        <v>5.5</v>
      </c>
      <c r="L568" s="19">
        <f>Ringkasan!L567</f>
        <v>0.67</v>
      </c>
      <c r="M568" s="19">
        <f>Ringkasan!M567</f>
        <v>98.6</v>
      </c>
      <c r="N568" s="64" t="str">
        <f>Ringkasan!N567</f>
        <v/>
      </c>
      <c r="O568" s="64" t="str">
        <f>Ringkasan!O567</f>
        <v/>
      </c>
      <c r="P568" s="64" t="str">
        <f>Ringkasan!P567</f>
        <v/>
      </c>
      <c r="Q568" s="64" t="str">
        <f>Ringkasan!Q567</f>
        <v/>
      </c>
      <c r="R568" s="64" t="str">
        <f>Ringkasan!R567</f>
        <v/>
      </c>
      <c r="S568" s="64" t="str">
        <f>Ringkasan!S567</f>
        <v/>
      </c>
      <c r="T568" s="64" t="str">
        <f>Ringkasan!T567</f>
        <v/>
      </c>
      <c r="U568" s="22">
        <f>Ringkasan!U567</f>
        <v>640</v>
      </c>
      <c r="V568" s="22">
        <f>Ringkasan!V567</f>
        <v>-100</v>
      </c>
      <c r="W568" s="22" t="str">
        <f>Ringkasan!W567</f>
        <v/>
      </c>
      <c r="X568" s="22" t="str">
        <f>Ringkasan!X567</f>
        <v/>
      </c>
      <c r="Y568" s="22" t="str">
        <f>Ringkasan!Y567</f>
        <v/>
      </c>
      <c r="Z568" s="22">
        <f>Ringkasan!Z567</f>
        <v>0</v>
      </c>
      <c r="AA568" s="64" t="str">
        <f>Ringkasan!AA567</f>
        <v>Real Estate Management &amp; Development</v>
      </c>
      <c r="AB568" s="64" t="str">
        <f>Ringkasan!AB567</f>
        <v>Properties &amp; Real Estate</v>
      </c>
    </row>
    <row r="569" hidden="1">
      <c r="A569" s="64" t="str">
        <f>Ringkasan!A568</f>
        <v>CTRA</v>
      </c>
      <c r="B569" s="64" t="str">
        <f>Ringkasan!B568</f>
        <v>Ciputra Development Tbk.</v>
      </c>
      <c r="C569" s="67">
        <f>Ringkasan!C568</f>
        <v>600</v>
      </c>
      <c r="D569" s="22" t="str">
        <f>Ringkasan!D568</f>
        <v>#N/A</v>
      </c>
      <c r="E569" s="64" t="str">
        <f>Ringkasan!E568</f>
        <v>IDXSMC-LIQ</v>
      </c>
      <c r="F569" s="64" t="str">
        <f>Ringkasan!F568</f>
        <v>4 Agustus 2026</v>
      </c>
      <c r="G569" s="64">
        <f>Ringkasan!G568</f>
        <v>13</v>
      </c>
      <c r="H569" s="19">
        <f>Ringkasan!H568</f>
        <v>4.7</v>
      </c>
      <c r="I569" s="19">
        <f>Ringkasan!I568</f>
        <v>0.44</v>
      </c>
      <c r="J569" s="19">
        <f>Ringkasan!J568</f>
        <v>9.2</v>
      </c>
      <c r="K569" s="19">
        <f>Ringkasan!K568</f>
        <v>5.5</v>
      </c>
      <c r="L569" s="19">
        <f>Ringkasan!L568</f>
        <v>0.67</v>
      </c>
      <c r="M569" s="19">
        <f>Ringkasan!M568</f>
        <v>98.6</v>
      </c>
      <c r="N569" s="64" t="str">
        <f>Ringkasan!N568</f>
        <v/>
      </c>
      <c r="O569" s="64" t="str">
        <f>Ringkasan!O568</f>
        <v/>
      </c>
      <c r="P569" s="64" t="str">
        <f>Ringkasan!P568</f>
        <v/>
      </c>
      <c r="Q569" s="64" t="str">
        <f>Ringkasan!Q568</f>
        <v/>
      </c>
      <c r="R569" s="64" t="str">
        <f>Ringkasan!R568</f>
        <v/>
      </c>
      <c r="S569" s="64" t="str">
        <f>Ringkasan!S568</f>
        <v/>
      </c>
      <c r="T569" s="64" t="str">
        <f>Ringkasan!T568</f>
        <v/>
      </c>
      <c r="U569" s="22">
        <f>Ringkasan!U568</f>
        <v>640</v>
      </c>
      <c r="V569" s="22">
        <f>Ringkasan!V568</f>
        <v>-100</v>
      </c>
      <c r="W569" s="22" t="str">
        <f>Ringkasan!W568</f>
        <v/>
      </c>
      <c r="X569" s="22" t="str">
        <f>Ringkasan!X568</f>
        <v/>
      </c>
      <c r="Y569" s="22" t="str">
        <f>Ringkasan!Y568</f>
        <v/>
      </c>
      <c r="Z569" s="22">
        <f>Ringkasan!Z568</f>
        <v>0</v>
      </c>
      <c r="AA569" s="64" t="str">
        <f>Ringkasan!AA568</f>
        <v>Real Estate Management &amp; Development</v>
      </c>
      <c r="AB569" s="64" t="str">
        <f>Ringkasan!AB568</f>
        <v>Properties &amp; Real Estate</v>
      </c>
    </row>
    <row r="570" hidden="1">
      <c r="A570" s="64" t="str">
        <f>Ringkasan!A280</f>
        <v>BBRI</v>
      </c>
      <c r="B570" s="64" t="str">
        <f>Ringkasan!B280</f>
        <v>PT Bank Rakyat Indonesia (Persero) Tbk</v>
      </c>
      <c r="C570" s="65">
        <f>Ringkasan!C280</f>
        <v>2850</v>
      </c>
      <c r="D570" s="64" t="str">
        <f>Ringkasan!D280</f>
        <v>#N/A</v>
      </c>
      <c r="E570" s="64" t="str">
        <f>Ringkasan!E280</f>
        <v>Kompas100</v>
      </c>
      <c r="F570" s="64" t="str">
        <f>Ringkasan!F280</f>
        <v>31 Juli 2026</v>
      </c>
      <c r="G570" s="64">
        <f>Ringkasan!G280</f>
        <v>23</v>
      </c>
      <c r="H570" s="19">
        <f>Ringkasan!H280</f>
        <v>7.7</v>
      </c>
      <c r="I570" s="19">
        <f>Ringkasan!I280</f>
        <v>1.3</v>
      </c>
      <c r="J570" s="19">
        <f>Ringkasan!J280</f>
        <v>17</v>
      </c>
      <c r="K570" s="19">
        <f>Ringkasan!K280</f>
        <v>2.6</v>
      </c>
      <c r="L570" s="19">
        <f>Ringkasan!L280</f>
        <v>5.5</v>
      </c>
      <c r="M570" s="19">
        <f>Ringkasan!M280</f>
        <v>96.8</v>
      </c>
      <c r="N570" s="64">
        <f>Ringkasan!N280</f>
        <v>7.65</v>
      </c>
      <c r="O570" s="64">
        <f>Ringkasan!O280</f>
        <v>24.19</v>
      </c>
      <c r="P570" s="64">
        <f>Ringkasan!P280</f>
        <v>87.43</v>
      </c>
      <c r="Q570" s="64">
        <f>Ringkasan!Q280</f>
        <v>2.86</v>
      </c>
      <c r="R570" s="64">
        <f>Ringkasan!R280</f>
        <v>68.08</v>
      </c>
      <c r="S570" s="64">
        <f>Ringkasan!S280</f>
        <v>40.89</v>
      </c>
      <c r="T570" s="64">
        <f>Ringkasan!T280</f>
        <v>10.24</v>
      </c>
      <c r="U570" s="64">
        <f>Ringkasan!U280</f>
        <v>2850</v>
      </c>
      <c r="V570" s="64">
        <f>Ringkasan!V280</f>
        <v>0</v>
      </c>
      <c r="W570" s="64">
        <f>Ringkasan!W280</f>
        <v>2880</v>
      </c>
      <c r="X570" s="64">
        <f>Ringkasan!X280</f>
        <v>2900</v>
      </c>
      <c r="Y570" s="64">
        <f>Ringkasan!Y280</f>
        <v>2830</v>
      </c>
      <c r="Z570" s="64">
        <f>Ringkasan!Z280</f>
        <v>450530000</v>
      </c>
      <c r="AA570" s="64" t="str">
        <f>Ringkasan!AA280</f>
        <v>Banks</v>
      </c>
      <c r="AB570" s="64" t="str">
        <f>Ringkasan!AB280</f>
        <v>Financials</v>
      </c>
    </row>
    <row r="571" hidden="1">
      <c r="A571" s="64" t="str">
        <f>Ringkasan!A570</f>
        <v>CTRA</v>
      </c>
      <c r="B571" s="64" t="str">
        <f>Ringkasan!B570</f>
        <v>Ciputra Development Tbk.</v>
      </c>
      <c r="C571" s="67">
        <f>Ringkasan!C570</f>
        <v>600</v>
      </c>
      <c r="D571" s="22" t="str">
        <f>Ringkasan!D570</f>
        <v>#N/A</v>
      </c>
      <c r="E571" s="64" t="str">
        <f>Ringkasan!E570</f>
        <v>JII70</v>
      </c>
      <c r="F571" s="66">
        <f>Ringkasan!F570</f>
        <v>46356</v>
      </c>
      <c r="G571" s="64">
        <f>Ringkasan!G570</f>
        <v>13</v>
      </c>
      <c r="H571" s="19">
        <f>Ringkasan!H570</f>
        <v>4.7</v>
      </c>
      <c r="I571" s="19">
        <f>Ringkasan!I570</f>
        <v>0.44</v>
      </c>
      <c r="J571" s="19">
        <f>Ringkasan!J570</f>
        <v>9.2</v>
      </c>
      <c r="K571" s="19">
        <f>Ringkasan!K570</f>
        <v>5.5</v>
      </c>
      <c r="L571" s="19">
        <f>Ringkasan!L570</f>
        <v>0.67</v>
      </c>
      <c r="M571" s="19">
        <f>Ringkasan!M570</f>
        <v>98.6</v>
      </c>
      <c r="N571" s="64" t="str">
        <f>Ringkasan!N570</f>
        <v/>
      </c>
      <c r="O571" s="64" t="str">
        <f>Ringkasan!O570</f>
        <v/>
      </c>
      <c r="P571" s="64" t="str">
        <f>Ringkasan!P570</f>
        <v/>
      </c>
      <c r="Q571" s="64" t="str">
        <f>Ringkasan!Q570</f>
        <v/>
      </c>
      <c r="R571" s="64" t="str">
        <f>Ringkasan!R570</f>
        <v/>
      </c>
      <c r="S571" s="64" t="str">
        <f>Ringkasan!S570</f>
        <v/>
      </c>
      <c r="T571" s="64" t="str">
        <f>Ringkasan!T570</f>
        <v/>
      </c>
      <c r="U571" s="22">
        <f>Ringkasan!U570</f>
        <v>640</v>
      </c>
      <c r="V571" s="22">
        <f>Ringkasan!V570</f>
        <v>-100</v>
      </c>
      <c r="W571" s="22" t="str">
        <f>Ringkasan!W570</f>
        <v/>
      </c>
      <c r="X571" s="22" t="str">
        <f>Ringkasan!X570</f>
        <v/>
      </c>
      <c r="Y571" s="22" t="str">
        <f>Ringkasan!Y570</f>
        <v/>
      </c>
      <c r="Z571" s="22">
        <f>Ringkasan!Z570</f>
        <v>0</v>
      </c>
      <c r="AA571" s="64" t="str">
        <f>Ringkasan!AA570</f>
        <v>Real Estate Management &amp; Development</v>
      </c>
      <c r="AB571" s="64" t="str">
        <f>Ringkasan!AB570</f>
        <v>Properties &amp; Real Estate</v>
      </c>
    </row>
    <row r="572" hidden="1">
      <c r="A572" s="64" t="str">
        <f>Ringkasan!A571</f>
        <v>CTTH</v>
      </c>
      <c r="B572" s="64" t="str">
        <f>Ringkasan!B571</f>
        <v>Citatah Tbk.</v>
      </c>
      <c r="C572" s="67">
        <f>Ringkasan!C571</f>
        <v>137</v>
      </c>
      <c r="D572" s="22" t="str">
        <f>Ringkasan!D571</f>
        <v>#N/A</v>
      </c>
      <c r="E572" s="64" t="str">
        <f>Ringkasan!E571</f>
        <v/>
      </c>
      <c r="F572" s="64" t="str">
        <f>Ringkasan!F571</f>
        <v/>
      </c>
      <c r="G572" s="64">
        <f>Ringkasan!G571</f>
        <v>0</v>
      </c>
      <c r="H572" s="19">
        <f>Ringkasan!H571</f>
        <v>-7.9</v>
      </c>
      <c r="I572" s="19">
        <f>Ringkasan!I571</f>
        <v>1.3</v>
      </c>
      <c r="J572" s="19">
        <f>Ringkasan!J571</f>
        <v>-16.7</v>
      </c>
      <c r="K572" s="19">
        <f>Ringkasan!K571</f>
        <v>-4</v>
      </c>
      <c r="L572" s="19">
        <f>Ringkasan!L571</f>
        <v>3.2</v>
      </c>
      <c r="M572" s="19">
        <f>Ringkasan!M571</f>
        <v>-160</v>
      </c>
      <c r="N572" s="64" t="str">
        <f>Ringkasan!N571</f>
        <v/>
      </c>
      <c r="O572" s="64" t="str">
        <f>Ringkasan!O571</f>
        <v/>
      </c>
      <c r="P572" s="64" t="str">
        <f>Ringkasan!P571</f>
        <v/>
      </c>
      <c r="Q572" s="64" t="str">
        <f>Ringkasan!Q571</f>
        <v/>
      </c>
      <c r="R572" s="64" t="str">
        <f>Ringkasan!R571</f>
        <v/>
      </c>
      <c r="S572" s="64" t="str">
        <f>Ringkasan!S571</f>
        <v/>
      </c>
      <c r="T572" s="64" t="str">
        <f>Ringkasan!T571</f>
        <v/>
      </c>
      <c r="U572" s="22">
        <f>Ringkasan!U571</f>
        <v>0.08</v>
      </c>
      <c r="V572" s="22">
        <f>Ringkasan!V571</f>
        <v>0</v>
      </c>
      <c r="W572" s="22" t="str">
        <f>Ringkasan!W571</f>
        <v/>
      </c>
      <c r="X572" s="22" t="str">
        <f>Ringkasan!X571</f>
        <v/>
      </c>
      <c r="Y572" s="22" t="str">
        <f>Ringkasan!Y571</f>
        <v/>
      </c>
      <c r="Z572" s="22">
        <f>Ringkasan!Z571</f>
        <v>0</v>
      </c>
      <c r="AA572" s="64" t="str">
        <f>Ringkasan!AA571</f>
        <v>Building Products &amp; Fixtures</v>
      </c>
      <c r="AB572" s="64" t="str">
        <f>Ringkasan!AB571</f>
        <v>Industrials</v>
      </c>
    </row>
    <row r="573" hidden="1">
      <c r="A573" s="64" t="str">
        <f>Ringkasan!A572</f>
        <v>CUAN</v>
      </c>
      <c r="B573" s="64" t="str">
        <f>Ringkasan!B572</f>
        <v>PT Petrindo Jaya Kreasi Tbk</v>
      </c>
      <c r="C573" s="65">
        <f>Ringkasan!C572</f>
        <v>720</v>
      </c>
      <c r="D573" s="64" t="str">
        <f>Ringkasan!D572</f>
        <v>#N/A</v>
      </c>
      <c r="E573" s="64" t="str">
        <f>Ringkasan!E572</f>
        <v>LQ45</v>
      </c>
      <c r="F573" s="64" t="str">
        <f>Ringkasan!F572</f>
        <v>31 Juli 2026</v>
      </c>
      <c r="G573" s="64">
        <f>Ringkasan!G572</f>
        <v>5</v>
      </c>
      <c r="H573" s="19">
        <f>Ringkasan!H572</f>
        <v>30.4</v>
      </c>
      <c r="I573" s="19">
        <f>Ringkasan!I572</f>
        <v>6.6</v>
      </c>
      <c r="J573" s="19">
        <f>Ringkasan!J572</f>
        <v>21.8</v>
      </c>
      <c r="K573" s="19">
        <f>Ringkasan!K572</f>
        <v>5</v>
      </c>
      <c r="L573" s="19">
        <f>Ringkasan!L572</f>
        <v>3.4</v>
      </c>
      <c r="M573" s="19">
        <f>Ringkasan!M572</f>
        <v>36.9</v>
      </c>
      <c r="N573" s="64" t="str">
        <f>Ringkasan!N572</f>
        <v/>
      </c>
      <c r="O573" s="64" t="str">
        <f>Ringkasan!O572</f>
        <v/>
      </c>
      <c r="P573" s="64" t="str">
        <f>Ringkasan!P572</f>
        <v/>
      </c>
      <c r="Q573" s="64" t="str">
        <f>Ringkasan!Q572</f>
        <v/>
      </c>
      <c r="R573" s="64" t="str">
        <f>Ringkasan!R572</f>
        <v/>
      </c>
      <c r="S573" s="64" t="str">
        <f>Ringkasan!S572</f>
        <v/>
      </c>
      <c r="T573" s="64" t="str">
        <f>Ringkasan!T572</f>
        <v/>
      </c>
      <c r="U573" s="64">
        <f>Ringkasan!U572</f>
        <v>0.08</v>
      </c>
      <c r="V573" s="64">
        <f>Ringkasan!V572</f>
        <v>0</v>
      </c>
      <c r="W573" s="64">
        <f>Ringkasan!W572</f>
        <v>0.08</v>
      </c>
      <c r="X573" s="64">
        <f>Ringkasan!X572</f>
        <v>0.08</v>
      </c>
      <c r="Y573" s="64">
        <f>Ringkasan!Y572</f>
        <v>0.08</v>
      </c>
      <c r="Z573" s="64" t="str">
        <f>Ringkasan!Z572</f>
        <v/>
      </c>
      <c r="AA573" s="64" t="str">
        <f>Ringkasan!AA572</f>
        <v>Coal</v>
      </c>
      <c r="AB573" s="64" t="str">
        <f>Ringkasan!AB572</f>
        <v>Energy</v>
      </c>
    </row>
    <row r="574" hidden="1">
      <c r="A574" s="64" t="str">
        <f>Ringkasan!A573</f>
        <v>CUAN</v>
      </c>
      <c r="B574" s="64" t="str">
        <f>Ringkasan!B573</f>
        <v>PT Petrindo Jaya Kreasi Tbk</v>
      </c>
      <c r="C574" s="65">
        <f>Ringkasan!C573</f>
        <v>720</v>
      </c>
      <c r="D574" s="64" t="str">
        <f>Ringkasan!D573</f>
        <v>#N/A</v>
      </c>
      <c r="E574" s="64" t="str">
        <f>Ringkasan!E573</f>
        <v>Kompas100</v>
      </c>
      <c r="F574" s="64" t="str">
        <f>Ringkasan!F573</f>
        <v>31 Juli 2026</v>
      </c>
      <c r="G574" s="64">
        <f>Ringkasan!G573</f>
        <v>5</v>
      </c>
      <c r="H574" s="19">
        <f>Ringkasan!H573</f>
        <v>30.4</v>
      </c>
      <c r="I574" s="19">
        <f>Ringkasan!I573</f>
        <v>6.6</v>
      </c>
      <c r="J574" s="19">
        <f>Ringkasan!J573</f>
        <v>21.8</v>
      </c>
      <c r="K574" s="19">
        <f>Ringkasan!K573</f>
        <v>5</v>
      </c>
      <c r="L574" s="19">
        <f>Ringkasan!L573</f>
        <v>3.4</v>
      </c>
      <c r="M574" s="19">
        <f>Ringkasan!M573</f>
        <v>36.9</v>
      </c>
      <c r="N574" s="64" t="str">
        <f>Ringkasan!N573</f>
        <v/>
      </c>
      <c r="O574" s="64" t="str">
        <f>Ringkasan!O573</f>
        <v/>
      </c>
      <c r="P574" s="64" t="str">
        <f>Ringkasan!P573</f>
        <v/>
      </c>
      <c r="Q574" s="64" t="str">
        <f>Ringkasan!Q573</f>
        <v/>
      </c>
      <c r="R574" s="64" t="str">
        <f>Ringkasan!R573</f>
        <v/>
      </c>
      <c r="S574" s="64" t="str">
        <f>Ringkasan!S573</f>
        <v/>
      </c>
      <c r="T574" s="64" t="str">
        <f>Ringkasan!T573</f>
        <v/>
      </c>
      <c r="U574" s="64">
        <f>Ringkasan!U573</f>
        <v>0.08</v>
      </c>
      <c r="V574" s="64">
        <f>Ringkasan!V573</f>
        <v>0</v>
      </c>
      <c r="W574" s="64">
        <f>Ringkasan!W573</f>
        <v>0.08</v>
      </c>
      <c r="X574" s="64">
        <f>Ringkasan!X573</f>
        <v>0.08</v>
      </c>
      <c r="Y574" s="64">
        <f>Ringkasan!Y573</f>
        <v>0.08</v>
      </c>
      <c r="Z574" s="64" t="str">
        <f>Ringkasan!Z573</f>
        <v/>
      </c>
      <c r="AA574" s="64" t="str">
        <f>Ringkasan!AA573</f>
        <v>Coal</v>
      </c>
      <c r="AB574" s="64" t="str">
        <f>Ringkasan!AB573</f>
        <v>Energy</v>
      </c>
    </row>
    <row r="575" hidden="1">
      <c r="A575" s="64" t="str">
        <f>Ringkasan!A574</f>
        <v>CUAN</v>
      </c>
      <c r="B575" s="64" t="str">
        <f>Ringkasan!B574</f>
        <v>PT Petrindo Jaya Kreasi Tbk</v>
      </c>
      <c r="C575" s="65">
        <f>Ringkasan!C574</f>
        <v>720</v>
      </c>
      <c r="D575" s="64" t="str">
        <f>Ringkasan!D574</f>
        <v>#N/A</v>
      </c>
      <c r="E575" s="64" t="str">
        <f>Ringkasan!E574</f>
        <v>IDX80</v>
      </c>
      <c r="F575" s="64" t="str">
        <f>Ringkasan!F574</f>
        <v>31 Juli 2026</v>
      </c>
      <c r="G575" s="64">
        <f>Ringkasan!G574</f>
        <v>5</v>
      </c>
      <c r="H575" s="19">
        <f>Ringkasan!H574</f>
        <v>30.4</v>
      </c>
      <c r="I575" s="19">
        <f>Ringkasan!I574</f>
        <v>6.6</v>
      </c>
      <c r="J575" s="19">
        <f>Ringkasan!J574</f>
        <v>21.8</v>
      </c>
      <c r="K575" s="19">
        <f>Ringkasan!K574</f>
        <v>5</v>
      </c>
      <c r="L575" s="19">
        <f>Ringkasan!L574</f>
        <v>3.4</v>
      </c>
      <c r="M575" s="19">
        <f>Ringkasan!M574</f>
        <v>36.9</v>
      </c>
      <c r="N575" s="64" t="str">
        <f>Ringkasan!N574</f>
        <v/>
      </c>
      <c r="O575" s="64" t="str">
        <f>Ringkasan!O574</f>
        <v/>
      </c>
      <c r="P575" s="64" t="str">
        <f>Ringkasan!P574</f>
        <v/>
      </c>
      <c r="Q575" s="64" t="str">
        <f>Ringkasan!Q574</f>
        <v/>
      </c>
      <c r="R575" s="64" t="str">
        <f>Ringkasan!R574</f>
        <v/>
      </c>
      <c r="S575" s="64" t="str">
        <f>Ringkasan!S574</f>
        <v/>
      </c>
      <c r="T575" s="64" t="str">
        <f>Ringkasan!T574</f>
        <v/>
      </c>
      <c r="U575" s="64">
        <f>Ringkasan!U574</f>
        <v>0.08</v>
      </c>
      <c r="V575" s="64">
        <f>Ringkasan!V574</f>
        <v>0</v>
      </c>
      <c r="W575" s="64">
        <f>Ringkasan!W574</f>
        <v>0.08</v>
      </c>
      <c r="X575" s="64">
        <f>Ringkasan!X574</f>
        <v>0.08</v>
      </c>
      <c r="Y575" s="64">
        <f>Ringkasan!Y574</f>
        <v>0.08</v>
      </c>
      <c r="Z575" s="64" t="str">
        <f>Ringkasan!Z574</f>
        <v/>
      </c>
      <c r="AA575" s="64" t="str">
        <f>Ringkasan!AA574</f>
        <v>Coal</v>
      </c>
      <c r="AB575" s="64" t="str">
        <f>Ringkasan!AB574</f>
        <v>Energy</v>
      </c>
    </row>
    <row r="576" hidden="1">
      <c r="A576" s="64" t="str">
        <f>Ringkasan!A575</f>
        <v>CUAN</v>
      </c>
      <c r="B576" s="64" t="str">
        <f>Ringkasan!B575</f>
        <v>PT Petrindo Jaya Kreasi Tbk</v>
      </c>
      <c r="C576" s="65">
        <f>Ringkasan!C575</f>
        <v>720</v>
      </c>
      <c r="D576" s="64" t="str">
        <f>Ringkasan!D575</f>
        <v>#N/A</v>
      </c>
      <c r="E576" s="64" t="str">
        <f>Ringkasan!E575</f>
        <v>Pefindo - iGrade</v>
      </c>
      <c r="F576" s="64" t="str">
        <f>Ringkasan!F575</f>
        <v>30 Juni 2026</v>
      </c>
      <c r="G576" s="64">
        <f>Ringkasan!G575</f>
        <v>5</v>
      </c>
      <c r="H576" s="19">
        <f>Ringkasan!H575</f>
        <v>30.4</v>
      </c>
      <c r="I576" s="19">
        <f>Ringkasan!I575</f>
        <v>6.6</v>
      </c>
      <c r="J576" s="19">
        <f>Ringkasan!J575</f>
        <v>21.8</v>
      </c>
      <c r="K576" s="19">
        <f>Ringkasan!K575</f>
        <v>5</v>
      </c>
      <c r="L576" s="19">
        <f>Ringkasan!L575</f>
        <v>3.4</v>
      </c>
      <c r="M576" s="19">
        <f>Ringkasan!M575</f>
        <v>36.9</v>
      </c>
      <c r="N576" s="64" t="str">
        <f>Ringkasan!N575</f>
        <v/>
      </c>
      <c r="O576" s="64" t="str">
        <f>Ringkasan!O575</f>
        <v/>
      </c>
      <c r="P576" s="64" t="str">
        <f>Ringkasan!P575</f>
        <v/>
      </c>
      <c r="Q576" s="64" t="str">
        <f>Ringkasan!Q575</f>
        <v/>
      </c>
      <c r="R576" s="64" t="str">
        <f>Ringkasan!R575</f>
        <v/>
      </c>
      <c r="S576" s="64" t="str">
        <f>Ringkasan!S575</f>
        <v/>
      </c>
      <c r="T576" s="64" t="str">
        <f>Ringkasan!T575</f>
        <v/>
      </c>
      <c r="U576" s="64">
        <f>Ringkasan!U575</f>
        <v>0.08</v>
      </c>
      <c r="V576" s="64">
        <f>Ringkasan!V575</f>
        <v>0</v>
      </c>
      <c r="W576" s="64">
        <f>Ringkasan!W575</f>
        <v>0.08</v>
      </c>
      <c r="X576" s="64">
        <f>Ringkasan!X575</f>
        <v>0.08</v>
      </c>
      <c r="Y576" s="64">
        <f>Ringkasan!Y575</f>
        <v>0.08</v>
      </c>
      <c r="Z576" s="64" t="str">
        <f>Ringkasan!Z575</f>
        <v/>
      </c>
      <c r="AA576" s="64" t="str">
        <f>Ringkasan!AA575</f>
        <v>Coal</v>
      </c>
      <c r="AB576" s="64" t="str">
        <f>Ringkasan!AB575</f>
        <v>Energy</v>
      </c>
    </row>
    <row r="577" hidden="1">
      <c r="A577" s="64" t="str">
        <f>Ringkasan!A444</f>
        <v>BSDE</v>
      </c>
      <c r="B577" s="64" t="str">
        <f>Ringkasan!B444</f>
        <v>Bumi Serpong Damai Tbk.</v>
      </c>
      <c r="C577" s="65">
        <f>Ringkasan!C444</f>
        <v>610</v>
      </c>
      <c r="D577" s="64" t="str">
        <f>Ringkasan!D444</f>
        <v>#N/A</v>
      </c>
      <c r="E577" s="64" t="str">
        <f>Ringkasan!E444</f>
        <v>FTSE Large Cap</v>
      </c>
      <c r="F577" s="64" t="str">
        <f>Ringkasan!F444</f>
        <v>Juni 2026</v>
      </c>
      <c r="G577" s="64">
        <f>Ringkasan!G444</f>
        <v>9</v>
      </c>
      <c r="H577" s="19">
        <f>Ringkasan!H444</f>
        <v>5.2</v>
      </c>
      <c r="I577" s="19">
        <f>Ringkasan!I444</f>
        <v>0.25</v>
      </c>
      <c r="J577" s="19">
        <f>Ringkasan!J444</f>
        <v>4.8</v>
      </c>
      <c r="K577" s="19">
        <f>Ringkasan!K444</f>
        <v>3.2</v>
      </c>
      <c r="L577" s="19">
        <f>Ringkasan!L444</f>
        <v>0.51</v>
      </c>
      <c r="M577" s="19">
        <f>Ringkasan!M444</f>
        <v>19.9</v>
      </c>
      <c r="N577" s="64" t="str">
        <f>Ringkasan!N444</f>
        <v/>
      </c>
      <c r="O577" s="64" t="str">
        <f>Ringkasan!O444</f>
        <v/>
      </c>
      <c r="P577" s="64" t="str">
        <f>Ringkasan!P444</f>
        <v/>
      </c>
      <c r="Q577" s="64" t="str">
        <f>Ringkasan!Q444</f>
        <v/>
      </c>
      <c r="R577" s="64" t="str">
        <f>Ringkasan!R444</f>
        <v/>
      </c>
      <c r="S577" s="64" t="str">
        <f>Ringkasan!S444</f>
        <v/>
      </c>
      <c r="T577" s="64" t="str">
        <f>Ringkasan!T444</f>
        <v/>
      </c>
      <c r="U577" s="64">
        <f>Ringkasan!U444</f>
        <v>580</v>
      </c>
      <c r="V577" s="64">
        <f>Ringkasan!V444</f>
        <v>5.17</v>
      </c>
      <c r="W577" s="64">
        <f>Ringkasan!W444</f>
        <v>590</v>
      </c>
      <c r="X577" s="64">
        <f>Ringkasan!X444</f>
        <v>615</v>
      </c>
      <c r="Y577" s="64">
        <f>Ringkasan!Y444</f>
        <v>590</v>
      </c>
      <c r="Z577" s="64">
        <f>Ringkasan!Z444</f>
        <v>14873600</v>
      </c>
      <c r="AA577" s="64" t="str">
        <f>Ringkasan!AA444</f>
        <v>Real Estate Management &amp; Development</v>
      </c>
      <c r="AB577" s="64" t="str">
        <f>Ringkasan!AB444</f>
        <v>Properties &amp; Real Estate</v>
      </c>
    </row>
    <row r="578" hidden="1">
      <c r="A578" s="64" t="str">
        <f>Ringkasan!A577</f>
        <v>CYBR</v>
      </c>
      <c r="B578" s="64" t="str">
        <f>Ringkasan!B577</f>
        <v>ITSEC Asia Tbk.</v>
      </c>
      <c r="C578" s="67">
        <f>Ringkasan!C577</f>
        <v>615</v>
      </c>
      <c r="D578" s="22" t="str">
        <f>Ringkasan!D577</f>
        <v>#N/A</v>
      </c>
      <c r="E578" s="64" t="str">
        <f>Ringkasan!E577</f>
        <v/>
      </c>
      <c r="F578" s="64" t="str">
        <f>Ringkasan!F577</f>
        <v/>
      </c>
      <c r="G578" s="64">
        <f>Ringkasan!G577</f>
        <v>0</v>
      </c>
      <c r="H578" s="19">
        <f>Ringkasan!H577</f>
        <v>570</v>
      </c>
      <c r="I578" s="19">
        <f>Ringkasan!I577</f>
        <v>30.8</v>
      </c>
      <c r="J578" s="19">
        <f>Ringkasan!J577</f>
        <v>5.4</v>
      </c>
      <c r="K578" s="19">
        <f>Ringkasan!K577</f>
        <v>3</v>
      </c>
      <c r="L578" s="19">
        <f>Ringkasan!L577</f>
        <v>0.81</v>
      </c>
      <c r="M578" s="19">
        <f>Ringkasan!M577</f>
        <v>15.9</v>
      </c>
      <c r="N578" s="64" t="str">
        <f>Ringkasan!N577</f>
        <v/>
      </c>
      <c r="O578" s="64" t="str">
        <f>Ringkasan!O577</f>
        <v/>
      </c>
      <c r="P578" s="64" t="str">
        <f>Ringkasan!P577</f>
        <v/>
      </c>
      <c r="Q578" s="64" t="str">
        <f>Ringkasan!Q577</f>
        <v/>
      </c>
      <c r="R578" s="64" t="str">
        <f>Ringkasan!R577</f>
        <v/>
      </c>
      <c r="S578" s="64" t="str">
        <f>Ringkasan!S577</f>
        <v/>
      </c>
      <c r="T578" s="64" t="str">
        <f>Ringkasan!T577</f>
        <v/>
      </c>
      <c r="U578" s="22">
        <f>Ringkasan!U577</f>
        <v>9.33</v>
      </c>
      <c r="V578" s="22">
        <f>Ringkasan!V577</f>
        <v>1.93</v>
      </c>
      <c r="W578" s="22">
        <f>Ringkasan!W577</f>
        <v>9.54</v>
      </c>
      <c r="X578" s="22">
        <f>Ringkasan!X577</f>
        <v>9.58</v>
      </c>
      <c r="Y578" s="22">
        <f>Ringkasan!Y577</f>
        <v>9.31</v>
      </c>
      <c r="Z578" s="22">
        <f>Ringkasan!Z577</f>
        <v>2873</v>
      </c>
      <c r="AA578" s="64" t="str">
        <f>Ringkasan!AA577</f>
        <v>IT Services &amp; Consulting</v>
      </c>
      <c r="AB578" s="64" t="str">
        <f>Ringkasan!AB577</f>
        <v>Technology</v>
      </c>
    </row>
    <row r="579" hidden="1">
      <c r="A579" s="64" t="str">
        <f>Ringkasan!A474</f>
        <v>BUMI</v>
      </c>
      <c r="B579" s="64" t="str">
        <f>Ringkasan!B474</f>
        <v>Bumi Resources Tbk.</v>
      </c>
      <c r="C579" s="65">
        <f>Ringkasan!C474</f>
        <v>157</v>
      </c>
      <c r="D579" s="64" t="str">
        <f>Ringkasan!D474</f>
        <v>#N/A</v>
      </c>
      <c r="E579" s="64" t="str">
        <f>Ringkasan!E474</f>
        <v>BISNIS-27</v>
      </c>
      <c r="F579" s="64" t="str">
        <f>Ringkasan!F474</f>
        <v>30 Oktober 2026</v>
      </c>
      <c r="G579" s="64">
        <f>Ringkasan!G474</f>
        <v>11</v>
      </c>
      <c r="H579" s="19">
        <f>Ringkasan!H474</f>
        <v>42.3</v>
      </c>
      <c r="I579" s="19">
        <f>Ringkasan!I474</f>
        <v>1.3</v>
      </c>
      <c r="J579" s="19">
        <f>Ringkasan!J474</f>
        <v>3</v>
      </c>
      <c r="K579" s="19">
        <f>Ringkasan!K474</f>
        <v>1.9</v>
      </c>
      <c r="L579" s="19">
        <f>Ringkasan!L474</f>
        <v>0.53</v>
      </c>
      <c r="M579" s="19">
        <f>Ringkasan!M474</f>
        <v>20.8</v>
      </c>
      <c r="N579" s="64" t="str">
        <f>Ringkasan!N474</f>
        <v/>
      </c>
      <c r="O579" s="64" t="str">
        <f>Ringkasan!O474</f>
        <v/>
      </c>
      <c r="P579" s="64" t="str">
        <f>Ringkasan!P474</f>
        <v/>
      </c>
      <c r="Q579" s="64" t="str">
        <f>Ringkasan!Q474</f>
        <v/>
      </c>
      <c r="R579" s="64" t="str">
        <f>Ringkasan!R474</f>
        <v/>
      </c>
      <c r="S579" s="64" t="str">
        <f>Ringkasan!S474</f>
        <v/>
      </c>
      <c r="T579" s="64" t="str">
        <f>Ringkasan!T474</f>
        <v/>
      </c>
      <c r="U579" s="64">
        <f>Ringkasan!U474</f>
        <v>140</v>
      </c>
      <c r="V579" s="64">
        <f>Ringkasan!V474</f>
        <v>12.14</v>
      </c>
      <c r="W579" s="64">
        <f>Ringkasan!W474</f>
        <v>144</v>
      </c>
      <c r="X579" s="64">
        <f>Ringkasan!X474</f>
        <v>162</v>
      </c>
      <c r="Y579" s="64">
        <f>Ringkasan!Y474</f>
        <v>143</v>
      </c>
      <c r="Z579" s="64">
        <f>Ringkasan!Z474</f>
        <v>6630659700</v>
      </c>
      <c r="AA579" s="64" t="str">
        <f>Ringkasan!AA474</f>
        <v>Coal</v>
      </c>
      <c r="AB579" s="64" t="str">
        <f>Ringkasan!AB474</f>
        <v>Energy</v>
      </c>
    </row>
    <row r="580" hidden="1">
      <c r="A580" s="64" t="str">
        <f>Ringkasan!A579</f>
        <v>DADA</v>
      </c>
      <c r="B580" s="64" t="str">
        <f>Ringkasan!B579</f>
        <v>Diamond Citra Propertindo Tbk.</v>
      </c>
      <c r="C580" s="67">
        <f>Ringkasan!C579</f>
        <v>50</v>
      </c>
      <c r="D580" s="22" t="str">
        <f>Ringkasan!D579</f>
        <v>#N/A</v>
      </c>
      <c r="E580" s="64" t="str">
        <f>Ringkasan!E579</f>
        <v/>
      </c>
      <c r="F580" s="64" t="str">
        <f>Ringkasan!F579</f>
        <v/>
      </c>
      <c r="G580" s="64">
        <f>Ringkasan!G579</f>
        <v>0</v>
      </c>
      <c r="H580" s="19">
        <f>Ringkasan!H579</f>
        <v>69.6</v>
      </c>
      <c r="I580" s="19">
        <f>Ringkasan!I579</f>
        <v>1</v>
      </c>
      <c r="J580" s="19">
        <f>Ringkasan!J579</f>
        <v>1.5</v>
      </c>
      <c r="K580" s="19">
        <f>Ringkasan!K579</f>
        <v>0.83</v>
      </c>
      <c r="L580" s="19">
        <f>Ringkasan!L579</f>
        <v>0.8</v>
      </c>
      <c r="M580" s="19">
        <f>Ringkasan!M579</f>
        <v>79</v>
      </c>
      <c r="N580" s="64" t="str">
        <f>Ringkasan!N579</f>
        <v/>
      </c>
      <c r="O580" s="64" t="str">
        <f>Ringkasan!O579</f>
        <v/>
      </c>
      <c r="P580" s="64" t="str">
        <f>Ringkasan!P579</f>
        <v/>
      </c>
      <c r="Q580" s="64" t="str">
        <f>Ringkasan!Q579</f>
        <v/>
      </c>
      <c r="R580" s="64" t="str">
        <f>Ringkasan!R579</f>
        <v/>
      </c>
      <c r="S580" s="64" t="str">
        <f>Ringkasan!S579</f>
        <v/>
      </c>
      <c r="T580" s="64" t="str">
        <f>Ringkasan!T579</f>
        <v/>
      </c>
      <c r="U580" s="22">
        <f>Ringkasan!U579</f>
        <v>50</v>
      </c>
      <c r="V580" s="22">
        <f>Ringkasan!V579</f>
        <v>0</v>
      </c>
      <c r="W580" s="22">
        <f>Ringkasan!W579</f>
        <v>50</v>
      </c>
      <c r="X580" s="22">
        <f>Ringkasan!X579</f>
        <v>50</v>
      </c>
      <c r="Y580" s="22">
        <f>Ringkasan!Y579</f>
        <v>50</v>
      </c>
      <c r="Z580" s="22" t="str">
        <f>Ringkasan!Z579</f>
        <v/>
      </c>
      <c r="AA580" s="64" t="str">
        <f>Ringkasan!AA579</f>
        <v>Real Estate Management &amp; Development</v>
      </c>
      <c r="AB580" s="64" t="str">
        <f>Ringkasan!AB579</f>
        <v>Properties &amp; Real Estate</v>
      </c>
    </row>
    <row r="581" hidden="1">
      <c r="A581" s="64" t="str">
        <f>Ringkasan!A580</f>
        <v>DART</v>
      </c>
      <c r="B581" s="64" t="str">
        <f>Ringkasan!B580</f>
        <v>Duta Anggada Realty Tbk.</v>
      </c>
      <c r="C581" s="65">
        <f>Ringkasan!C580</f>
        <v>119</v>
      </c>
      <c r="D581" s="64" t="str">
        <f>Ringkasan!D580</f>
        <v>#N/A</v>
      </c>
      <c r="E581" s="64" t="str">
        <f>Ringkasan!E580</f>
        <v/>
      </c>
      <c r="F581" s="64" t="str">
        <f>Ringkasan!F580</f>
        <v/>
      </c>
      <c r="G581" s="64">
        <f>Ringkasan!G580</f>
        <v>0</v>
      </c>
      <c r="H581" s="19">
        <f>Ringkasan!H580</f>
        <v>-1.6</v>
      </c>
      <c r="I581" s="19">
        <f>Ringkasan!I580</f>
        <v>0.35</v>
      </c>
      <c r="J581" s="19">
        <f>Ringkasan!J580</f>
        <v>-22.7</v>
      </c>
      <c r="K581" s="19">
        <f>Ringkasan!K580</f>
        <v>-4.2</v>
      </c>
      <c r="L581" s="19">
        <f>Ringkasan!L580</f>
        <v>4.4</v>
      </c>
      <c r="M581" s="19">
        <f>Ringkasan!M580</f>
        <v>-210</v>
      </c>
      <c r="N581" s="64" t="str">
        <f>Ringkasan!N580</f>
        <v/>
      </c>
      <c r="O581" s="64" t="str">
        <f>Ringkasan!O580</f>
        <v/>
      </c>
      <c r="P581" s="64" t="str">
        <f>Ringkasan!P580</f>
        <v/>
      </c>
      <c r="Q581" s="64" t="str">
        <f>Ringkasan!Q580</f>
        <v/>
      </c>
      <c r="R581" s="64" t="str">
        <f>Ringkasan!R580</f>
        <v/>
      </c>
      <c r="S581" s="64" t="str">
        <f>Ringkasan!S580</f>
        <v/>
      </c>
      <c r="T581" s="64" t="str">
        <f>Ringkasan!T580</f>
        <v/>
      </c>
      <c r="U581" s="64">
        <f>Ringkasan!U580</f>
        <v>115</v>
      </c>
      <c r="V581" s="64">
        <f>Ringkasan!V580</f>
        <v>3.48</v>
      </c>
      <c r="W581" s="64">
        <f>Ringkasan!W580</f>
        <v>119</v>
      </c>
      <c r="X581" s="64">
        <f>Ringkasan!X580</f>
        <v>120</v>
      </c>
      <c r="Y581" s="64">
        <f>Ringkasan!Y580</f>
        <v>113</v>
      </c>
      <c r="Z581" s="64" t="str">
        <f>Ringkasan!Z580</f>
        <v/>
      </c>
      <c r="AA581" s="64" t="str">
        <f>Ringkasan!AA580</f>
        <v>Real Estate Management &amp; Development</v>
      </c>
      <c r="AB581" s="64" t="str">
        <f>Ringkasan!AB580</f>
        <v>Properties &amp; Real Estate</v>
      </c>
    </row>
    <row r="582" hidden="1">
      <c r="A582" s="64" t="str">
        <f>Ringkasan!A581</f>
        <v>DATA</v>
      </c>
      <c r="B582" s="64" t="str">
        <f>Ringkasan!B581</f>
        <v>Remala Abadi Tbk.</v>
      </c>
      <c r="C582" s="65">
        <f>Ringkasan!C581</f>
        <v>1450</v>
      </c>
      <c r="D582" s="64" t="str">
        <f>Ringkasan!D581</f>
        <v>#N/A</v>
      </c>
      <c r="E582" s="64" t="str">
        <f>Ringkasan!E581</f>
        <v/>
      </c>
      <c r="F582" s="64" t="str">
        <f>Ringkasan!F581</f>
        <v/>
      </c>
      <c r="G582" s="64">
        <f>Ringkasan!G581</f>
        <v>0</v>
      </c>
      <c r="H582" s="19">
        <f>Ringkasan!H581</f>
        <v>20.3</v>
      </c>
      <c r="I582" s="19">
        <f>Ringkasan!I581</f>
        <v>5.5</v>
      </c>
      <c r="J582" s="19">
        <f>Ringkasan!J581</f>
        <v>27.1</v>
      </c>
      <c r="K582" s="19">
        <f>Ringkasan!K581</f>
        <v>10.6</v>
      </c>
      <c r="L582" s="19">
        <f>Ringkasan!L581</f>
        <v>1.6</v>
      </c>
      <c r="M582" s="19">
        <f>Ringkasan!M581</f>
        <v>96.8</v>
      </c>
      <c r="N582" s="64" t="str">
        <f>Ringkasan!N581</f>
        <v/>
      </c>
      <c r="O582" s="64" t="str">
        <f>Ringkasan!O581</f>
        <v/>
      </c>
      <c r="P582" s="64" t="str">
        <f>Ringkasan!P581</f>
        <v/>
      </c>
      <c r="Q582" s="64" t="str">
        <f>Ringkasan!Q581</f>
        <v/>
      </c>
      <c r="R582" s="64" t="str">
        <f>Ringkasan!R581</f>
        <v/>
      </c>
      <c r="S582" s="64" t="str">
        <f>Ringkasan!S581</f>
        <v/>
      </c>
      <c r="T582" s="64" t="str">
        <f>Ringkasan!T581</f>
        <v/>
      </c>
      <c r="U582" s="64">
        <f>Ringkasan!U581</f>
        <v>92.2</v>
      </c>
      <c r="V582" s="64" t="str">
        <f>Ringkasan!V581</f>
        <v/>
      </c>
      <c r="W582" s="64">
        <f>Ringkasan!W581</f>
        <v>90.5</v>
      </c>
      <c r="X582" s="64">
        <f>Ringkasan!X581</f>
        <v>98.5</v>
      </c>
      <c r="Y582" s="64">
        <f>Ringkasan!Y581</f>
        <v>90.5</v>
      </c>
      <c r="Z582" s="64">
        <f>Ringkasan!Z581</f>
        <v>2246204</v>
      </c>
      <c r="AA582" s="64" t="str">
        <f>Ringkasan!AA581</f>
        <v>Telecommunication Service</v>
      </c>
      <c r="AB582" s="64" t="str">
        <f>Ringkasan!AB581</f>
        <v>Infrastructures</v>
      </c>
    </row>
    <row r="583" hidden="1">
      <c r="A583" s="60" t="str">
        <f>Ringkasan!A582</f>
        <v>DAYA</v>
      </c>
      <c r="B583" s="60" t="str">
        <f>Ringkasan!B582</f>
        <v>Duta Intidaya Tbk.</v>
      </c>
      <c r="C583" s="61">
        <f>Ringkasan!C582</f>
        <v>1045</v>
      </c>
      <c r="D583" s="60" t="str">
        <f>Ringkasan!D582</f>
        <v>#N/A</v>
      </c>
      <c r="E583" s="60" t="str">
        <f>Ringkasan!E582</f>
        <v/>
      </c>
      <c r="F583" s="60" t="str">
        <f>Ringkasan!F582</f>
        <v/>
      </c>
      <c r="G583" s="60">
        <f>Ringkasan!G582</f>
        <v>0</v>
      </c>
      <c r="H583" s="62">
        <f>Ringkasan!H582</f>
        <v>30.1</v>
      </c>
      <c r="I583" s="62">
        <f>Ringkasan!I582</f>
        <v>16.2</v>
      </c>
      <c r="J583" s="62">
        <f>Ringkasan!J582</f>
        <v>53.8</v>
      </c>
      <c r="K583" s="62">
        <f>Ringkasan!K582</f>
        <v>7.1</v>
      </c>
      <c r="L583" s="62">
        <f>Ringkasan!L582</f>
        <v>6.6</v>
      </c>
      <c r="M583" s="62">
        <f>Ringkasan!M582</f>
        <v>10.8</v>
      </c>
      <c r="N583" s="60" t="str">
        <f>Ringkasan!N582</f>
        <v/>
      </c>
      <c r="O583" s="60" t="str">
        <f>Ringkasan!O582</f>
        <v/>
      </c>
      <c r="P583" s="60" t="str">
        <f>Ringkasan!P582</f>
        <v/>
      </c>
      <c r="Q583" s="60" t="str">
        <f>Ringkasan!Q582</f>
        <v/>
      </c>
      <c r="R583" s="60" t="str">
        <f>Ringkasan!R582</f>
        <v/>
      </c>
      <c r="S583" s="60" t="str">
        <f>Ringkasan!S582</f>
        <v/>
      </c>
      <c r="T583" s="60" t="str">
        <f>Ringkasan!T582</f>
        <v/>
      </c>
      <c r="U583" s="60">
        <f>Ringkasan!U582</f>
        <v>950</v>
      </c>
      <c r="V583" s="60">
        <f>Ringkasan!V582</f>
        <v>10</v>
      </c>
      <c r="W583" s="60">
        <f>Ringkasan!W582</f>
        <v>950</v>
      </c>
      <c r="X583" s="60">
        <f>Ringkasan!X582</f>
        <v>1060</v>
      </c>
      <c r="Y583" s="60">
        <f>Ringkasan!Y582</f>
        <v>945</v>
      </c>
      <c r="Z583" s="60">
        <f>Ringkasan!Z582</f>
        <v>39200</v>
      </c>
      <c r="AA583" s="60" t="str">
        <f>Ringkasan!AA582</f>
        <v>Food &amp; Staples Retailing</v>
      </c>
      <c r="AB583" s="64" t="str">
        <f>Ringkasan!AB582</f>
        <v>Consumer Non-Cyclicals</v>
      </c>
    </row>
    <row r="584" hidden="1">
      <c r="A584" s="60" t="str">
        <f>Ringkasan!A1804</f>
        <v>UNTR</v>
      </c>
      <c r="B584" s="60" t="str">
        <f>Ringkasan!B1804</f>
        <v>United Tractors Tbk.</v>
      </c>
      <c r="C584" s="61">
        <f>Ringkasan!C1804</f>
        <v>22500</v>
      </c>
      <c r="D584" s="60" t="str">
        <f>Ringkasan!D1804</f>
        <v>#N/A</v>
      </c>
      <c r="E584" s="60" t="str">
        <f>Ringkasan!E1804</f>
        <v>IDXQ30</v>
      </c>
      <c r="F584" s="60" t="str">
        <f>Ringkasan!F1804</f>
        <v>4 Agustus 2026</v>
      </c>
      <c r="G584" s="61">
        <f>Ringkasan!G1804</f>
        <v>20</v>
      </c>
      <c r="H584" s="62">
        <f>Ringkasan!H1804</f>
        <v>7</v>
      </c>
      <c r="I584" s="62">
        <f>Ringkasan!I1804</f>
        <v>0.84</v>
      </c>
      <c r="J584" s="62">
        <f>Ringkasan!J1804</f>
        <v>12.1</v>
      </c>
      <c r="K584" s="62">
        <f>Ringkasan!K1804</f>
        <v>6.7</v>
      </c>
      <c r="L584" s="62">
        <f>Ringkasan!L1804</f>
        <v>0.8</v>
      </c>
      <c r="M584" s="62">
        <f>Ringkasan!M1804</f>
        <v>43</v>
      </c>
      <c r="N584" s="60" t="str">
        <f>Ringkasan!N1804</f>
        <v/>
      </c>
      <c r="O584" s="60" t="str">
        <f>Ringkasan!O1804</f>
        <v/>
      </c>
      <c r="P584" s="60" t="str">
        <f>Ringkasan!P1804</f>
        <v/>
      </c>
      <c r="Q584" s="60" t="str">
        <f>Ringkasan!Q1804</f>
        <v/>
      </c>
      <c r="R584" s="60" t="str">
        <f>Ringkasan!R1804</f>
        <v/>
      </c>
      <c r="S584" s="60" t="str">
        <f>Ringkasan!S1804</f>
        <v/>
      </c>
      <c r="T584" s="60" t="str">
        <f>Ringkasan!T1804</f>
        <v/>
      </c>
      <c r="U584" s="60">
        <f>Ringkasan!U1804</f>
        <v>21750</v>
      </c>
      <c r="V584" s="60">
        <f>Ringkasan!V1804</f>
        <v>3.45</v>
      </c>
      <c r="W584" s="60">
        <f>Ringkasan!W1804</f>
        <v>21900</v>
      </c>
      <c r="X584" s="60">
        <f>Ringkasan!X1804</f>
        <v>22825</v>
      </c>
      <c r="Y584" s="60">
        <f>Ringkasan!Y1804</f>
        <v>21900</v>
      </c>
      <c r="Z584" s="60">
        <f>Ringkasan!Z1804</f>
        <v>5608900</v>
      </c>
      <c r="AA584" s="60" t="str">
        <f>Ringkasan!AA1804</f>
        <v>Machinery</v>
      </c>
      <c r="AB584" s="60" t="str">
        <f>Ringkasan!AB1804</f>
        <v>Industrials</v>
      </c>
    </row>
    <row r="585" hidden="1">
      <c r="A585" s="60" t="str">
        <f>Ringkasan!A584</f>
        <v>DEAL</v>
      </c>
      <c r="B585" s="60" t="str">
        <f>Ringkasan!B584</f>
        <v>Dewata Freightinternational Tbk.</v>
      </c>
      <c r="C585" s="61">
        <f>Ringkasan!C584</f>
        <v>6</v>
      </c>
      <c r="D585" s="60" t="str">
        <f>Ringkasan!D584</f>
        <v>#N/A</v>
      </c>
      <c r="E585" s="60" t="str">
        <f>Ringkasan!E584</f>
        <v/>
      </c>
      <c r="F585" s="60" t="str">
        <f>Ringkasan!F584</f>
        <v/>
      </c>
      <c r="G585" s="60">
        <f>Ringkasan!G584</f>
        <v>0</v>
      </c>
      <c r="H585" s="62">
        <f>Ringkasan!H584</f>
        <v>0</v>
      </c>
      <c r="I585" s="62">
        <f>Ringkasan!I584</f>
        <v>-0.12</v>
      </c>
      <c r="J585" s="62">
        <f>Ringkasan!J584</f>
        <v>0</v>
      </c>
      <c r="K585" s="62">
        <f>Ringkasan!K584</f>
        <v>-11.9</v>
      </c>
      <c r="L585" s="62">
        <f>Ringkasan!L584</f>
        <v>-3.6</v>
      </c>
      <c r="M585" s="62">
        <f>Ringkasan!M584</f>
        <v>-53.8</v>
      </c>
      <c r="N585" s="60" t="str">
        <f>Ringkasan!N584</f>
        <v/>
      </c>
      <c r="O585" s="60" t="str">
        <f>Ringkasan!O584</f>
        <v/>
      </c>
      <c r="P585" s="60" t="str">
        <f>Ringkasan!P584</f>
        <v/>
      </c>
      <c r="Q585" s="60" t="str">
        <f>Ringkasan!Q584</f>
        <v/>
      </c>
      <c r="R585" s="60" t="str">
        <f>Ringkasan!R584</f>
        <v/>
      </c>
      <c r="S585" s="60" t="str">
        <f>Ringkasan!S584</f>
        <v/>
      </c>
      <c r="T585" s="60" t="str">
        <f>Ringkasan!T584</f>
        <v/>
      </c>
      <c r="U585" s="60">
        <f>Ringkasan!U584</f>
        <v>0.01</v>
      </c>
      <c r="V585" s="60">
        <f>Ringkasan!V584</f>
        <v>0</v>
      </c>
      <c r="W585" s="60" t="str">
        <f>Ringkasan!W584</f>
        <v/>
      </c>
      <c r="X585" s="60" t="str">
        <f>Ringkasan!X584</f>
        <v/>
      </c>
      <c r="Y585" s="60" t="str">
        <f>Ringkasan!Y584</f>
        <v/>
      </c>
      <c r="Z585" s="60">
        <f>Ringkasan!Z584</f>
        <v>1</v>
      </c>
      <c r="AA585" s="60" t="str">
        <f>Ringkasan!AA584</f>
        <v>Logistics &amp; Deliveries</v>
      </c>
      <c r="AB585" s="64" t="str">
        <f>Ringkasan!AB584</f>
        <v>Transportation &amp; Logistic</v>
      </c>
    </row>
    <row r="586" hidden="1">
      <c r="A586" s="64" t="str">
        <f>Ringkasan!A722</f>
        <v>FILM</v>
      </c>
      <c r="B586" s="64" t="str">
        <f>Ringkasan!B722</f>
        <v>MD Entertainment Tbk.</v>
      </c>
      <c r="C586" s="65">
        <f>Ringkasan!C722</f>
        <v>1780</v>
      </c>
      <c r="D586" s="64" t="str">
        <f>Ringkasan!D722</f>
        <v>#N/A</v>
      </c>
      <c r="E586" s="64" t="str">
        <f>Ringkasan!E722</f>
        <v>ECONOMIC30</v>
      </c>
      <c r="F586" s="64" t="str">
        <f>Ringkasan!F722</f>
        <v>31 Agustus 2026</v>
      </c>
      <c r="G586" s="64">
        <f>Ringkasan!G722</f>
        <v>3</v>
      </c>
      <c r="H586" s="19">
        <f>Ringkasan!H722</f>
        <v>-99.5</v>
      </c>
      <c r="I586" s="19">
        <f>Ringkasan!I722</f>
        <v>7.3</v>
      </c>
      <c r="J586" s="19">
        <f>Ringkasan!J722</f>
        <v>-7.4</v>
      </c>
      <c r="K586" s="19">
        <f>Ringkasan!K722</f>
        <v>-6.3</v>
      </c>
      <c r="L586" s="19">
        <f>Ringkasan!L722</f>
        <v>0.18</v>
      </c>
      <c r="M586" s="19">
        <f>Ringkasan!M722</f>
        <v>-160</v>
      </c>
      <c r="N586" s="64" t="str">
        <f>Ringkasan!N722</f>
        <v/>
      </c>
      <c r="O586" s="64" t="str">
        <f>Ringkasan!O722</f>
        <v/>
      </c>
      <c r="P586" s="64" t="str">
        <f>Ringkasan!P722</f>
        <v/>
      </c>
      <c r="Q586" s="64" t="str">
        <f>Ringkasan!Q722</f>
        <v/>
      </c>
      <c r="R586" s="64" t="str">
        <f>Ringkasan!R722</f>
        <v/>
      </c>
      <c r="S586" s="64" t="str">
        <f>Ringkasan!S722</f>
        <v/>
      </c>
      <c r="T586" s="64" t="str">
        <f>Ringkasan!T722</f>
        <v/>
      </c>
      <c r="U586" s="64">
        <f>Ringkasan!U722</f>
        <v>1775</v>
      </c>
      <c r="V586" s="64">
        <f>Ringkasan!V722</f>
        <v>0.28</v>
      </c>
      <c r="W586" s="64">
        <f>Ringkasan!W722</f>
        <v>1785</v>
      </c>
      <c r="X586" s="64">
        <f>Ringkasan!X722</f>
        <v>1825</v>
      </c>
      <c r="Y586" s="64">
        <f>Ringkasan!Y722</f>
        <v>1750</v>
      </c>
      <c r="Z586" s="64">
        <f>Ringkasan!Z722</f>
        <v>3696900</v>
      </c>
      <c r="AA586" s="64" t="str">
        <f>Ringkasan!AA722</f>
        <v>Entertainment &amp; Movie Production</v>
      </c>
      <c r="AB586" s="64" t="str">
        <f>Ringkasan!AB722</f>
        <v>Consumer Cyclicals</v>
      </c>
    </row>
    <row r="587" hidden="1">
      <c r="A587" s="64" t="str">
        <f>Ringkasan!A835</f>
        <v>ICBP</v>
      </c>
      <c r="B587" s="64" t="str">
        <f>Ringkasan!B835</f>
        <v>Indofood CBP Sukses Makmur Tbk.</v>
      </c>
      <c r="C587" s="67">
        <f>Ringkasan!C835</f>
        <v>6350</v>
      </c>
      <c r="D587" s="22" t="str">
        <f>Ringkasan!D835</f>
        <v>#N/A</v>
      </c>
      <c r="E587" s="64" t="str">
        <f>Ringkasan!E835</f>
        <v>IDXVESTA28</v>
      </c>
      <c r="F587" s="64" t="str">
        <f>Ringkasan!F835</f>
        <v>31 Agustus 2026</v>
      </c>
      <c r="G587" s="64">
        <f>Ringkasan!G835</f>
        <v>16</v>
      </c>
      <c r="H587" s="19">
        <f>Ringkasan!H835</f>
        <v>9.1</v>
      </c>
      <c r="I587" s="19">
        <f>Ringkasan!I835</f>
        <v>1.1</v>
      </c>
      <c r="J587" s="19">
        <f>Ringkasan!J835</f>
        <v>11.9</v>
      </c>
      <c r="K587" s="19">
        <f>Ringkasan!K835</f>
        <v>6.5</v>
      </c>
      <c r="L587" s="19">
        <f>Ringkasan!L835</f>
        <v>0.82</v>
      </c>
      <c r="M587" s="19">
        <f>Ringkasan!M835</f>
        <v>42.1</v>
      </c>
      <c r="N587" s="64" t="str">
        <f>Ringkasan!N835</f>
        <v/>
      </c>
      <c r="O587" s="64" t="str">
        <f>Ringkasan!O835</f>
        <v/>
      </c>
      <c r="P587" s="64" t="str">
        <f>Ringkasan!P835</f>
        <v/>
      </c>
      <c r="Q587" s="64" t="str">
        <f>Ringkasan!Q835</f>
        <v/>
      </c>
      <c r="R587" s="64" t="str">
        <f>Ringkasan!R835</f>
        <v/>
      </c>
      <c r="S587" s="64" t="str">
        <f>Ringkasan!S835</f>
        <v/>
      </c>
      <c r="T587" s="64" t="str">
        <f>Ringkasan!T835</f>
        <v/>
      </c>
      <c r="U587" s="22">
        <f>Ringkasan!U835</f>
        <v>6250</v>
      </c>
      <c r="V587" s="22">
        <f>Ringkasan!V835</f>
        <v>1.6</v>
      </c>
      <c r="W587" s="22">
        <f>Ringkasan!W835</f>
        <v>6275</v>
      </c>
      <c r="X587" s="22">
        <f>Ringkasan!X835</f>
        <v>6450</v>
      </c>
      <c r="Y587" s="22">
        <f>Ringkasan!Y835</f>
        <v>6175</v>
      </c>
      <c r="Z587" s="22">
        <f>Ringkasan!Z835</f>
        <v>13984100</v>
      </c>
      <c r="AA587" s="64" t="str">
        <f>Ringkasan!AA835</f>
        <v>Processed Foods</v>
      </c>
      <c r="AB587" s="64" t="str">
        <f>Ringkasan!AB835</f>
        <v>Consumer Non-Cyclicals</v>
      </c>
    </row>
    <row r="588" hidden="1">
      <c r="A588" s="64" t="str">
        <f>Ringkasan!A814</f>
        <v>HRTA</v>
      </c>
      <c r="B588" s="64" t="str">
        <f>Ringkasan!B814</f>
        <v>Hartadinata Abadi Tbk.</v>
      </c>
      <c r="C588" s="65">
        <f>Ringkasan!C814</f>
        <v>1950</v>
      </c>
      <c r="D588" s="64" t="str">
        <f>Ringkasan!D814</f>
        <v>#N/A</v>
      </c>
      <c r="E588" s="64" t="str">
        <f>Ringkasan!E814</f>
        <v>Kompas100</v>
      </c>
      <c r="F588" s="64" t="str">
        <f>Ringkasan!F814</f>
        <v>31 Juli 2026</v>
      </c>
      <c r="G588" s="64">
        <f>Ringkasan!G814</f>
        <v>8</v>
      </c>
      <c r="H588" s="19">
        <f>Ringkasan!H814</f>
        <v>9.1</v>
      </c>
      <c r="I588" s="19">
        <f>Ringkasan!I814</f>
        <v>3.1</v>
      </c>
      <c r="J588" s="19">
        <f>Ringkasan!J814</f>
        <v>34.5</v>
      </c>
      <c r="K588" s="19">
        <f>Ringkasan!K814</f>
        <v>9.2</v>
      </c>
      <c r="L588" s="19">
        <f>Ringkasan!L814</f>
        <v>2.8</v>
      </c>
      <c r="M588" s="19">
        <f>Ringkasan!M814</f>
        <v>6.3</v>
      </c>
      <c r="N588" s="64" t="str">
        <f>Ringkasan!N814</f>
        <v/>
      </c>
      <c r="O588" s="64" t="str">
        <f>Ringkasan!O814</f>
        <v/>
      </c>
      <c r="P588" s="64" t="str">
        <f>Ringkasan!P814</f>
        <v/>
      </c>
      <c r="Q588" s="64" t="str">
        <f>Ringkasan!Q814</f>
        <v/>
      </c>
      <c r="R588" s="64" t="str">
        <f>Ringkasan!R814</f>
        <v/>
      </c>
      <c r="S588" s="64" t="str">
        <f>Ringkasan!S814</f>
        <v/>
      </c>
      <c r="T588" s="64" t="str">
        <f>Ringkasan!T814</f>
        <v/>
      </c>
      <c r="U588" s="64">
        <f>Ringkasan!U814</f>
        <v>1750</v>
      </c>
      <c r="V588" s="64">
        <f>Ringkasan!V814</f>
        <v>11.43</v>
      </c>
      <c r="W588" s="64">
        <f>Ringkasan!W814</f>
        <v>1885</v>
      </c>
      <c r="X588" s="64">
        <f>Ringkasan!X814</f>
        <v>1960</v>
      </c>
      <c r="Y588" s="64" t="str">
        <f>Ringkasan!Y814</f>
        <v/>
      </c>
      <c r="Z588" s="64">
        <f>Ringkasan!Z814</f>
        <v>26981900</v>
      </c>
      <c r="AA588" s="64" t="str">
        <f>Ringkasan!AA814</f>
        <v>Apparel &amp; Luxury Goods</v>
      </c>
      <c r="AB588" s="64" t="str">
        <f>Ringkasan!AB814</f>
        <v>Consumer Cyclicals</v>
      </c>
    </row>
    <row r="589">
      <c r="A589" s="60" t="str">
        <f>Ringkasan!A590</f>
        <v>DEWA</v>
      </c>
      <c r="B589" s="60" t="str">
        <f>Ringkasan!B590</f>
        <v>Darma Henwa Tbk</v>
      </c>
      <c r="C589" s="61">
        <f>Ringkasan!C590</f>
        <v>330</v>
      </c>
      <c r="D589" s="60" t="str">
        <f>Ringkasan!D590</f>
        <v>#N/A</v>
      </c>
      <c r="E589" s="60" t="str">
        <f>Ringkasan!E590</f>
        <v>IDX80</v>
      </c>
      <c r="F589" s="60" t="str">
        <f>Ringkasan!F590</f>
        <v>31 Juli 2026</v>
      </c>
      <c r="G589" s="60">
        <f>Ringkasan!G590</f>
        <v>7</v>
      </c>
      <c r="H589" s="62">
        <f>Ringkasan!H590</f>
        <v>3.1</v>
      </c>
      <c r="I589" s="62">
        <f>Ringkasan!I590</f>
        <v>1.7</v>
      </c>
      <c r="J589" s="62">
        <f>Ringkasan!J590</f>
        <v>54.9</v>
      </c>
      <c r="K589" s="62">
        <f>Ringkasan!K590</f>
        <v>27.2</v>
      </c>
      <c r="L589" s="62">
        <f>Ringkasan!L590</f>
        <v>1</v>
      </c>
      <c r="M589" s="62">
        <f>Ringkasan!M590</f>
        <v>280</v>
      </c>
      <c r="N589" s="60" t="str">
        <f>Ringkasan!N590</f>
        <v/>
      </c>
      <c r="O589" s="60" t="str">
        <f>Ringkasan!O590</f>
        <v/>
      </c>
      <c r="P589" s="60" t="str">
        <f>Ringkasan!P590</f>
        <v/>
      </c>
      <c r="Q589" s="60" t="str">
        <f>Ringkasan!Q590</f>
        <v/>
      </c>
      <c r="R589" s="60" t="str">
        <f>Ringkasan!R590</f>
        <v/>
      </c>
      <c r="S589" s="60" t="str">
        <f>Ringkasan!S590</f>
        <v/>
      </c>
      <c r="T589" s="60" t="str">
        <f>Ringkasan!T590</f>
        <v/>
      </c>
      <c r="U589" s="60">
        <f>Ringkasan!U590</f>
        <v>294</v>
      </c>
      <c r="V589" s="60">
        <f>Ringkasan!V590</f>
        <v>12.24</v>
      </c>
      <c r="W589" s="60">
        <f>Ringkasan!W590</f>
        <v>300</v>
      </c>
      <c r="X589" s="60">
        <f>Ringkasan!X590</f>
        <v>334</v>
      </c>
      <c r="Y589" s="60">
        <f>Ringkasan!Y590</f>
        <v>300</v>
      </c>
      <c r="Z589" s="60">
        <f>Ringkasan!Z590</f>
        <v>1053314700</v>
      </c>
      <c r="AA589" s="60" t="str">
        <f>Ringkasan!AA590</f>
        <v>Oil, Gas &amp; Coal Supports</v>
      </c>
      <c r="AB589" s="60" t="str">
        <f>Ringkasan!AB590</f>
        <v>Energy</v>
      </c>
    </row>
    <row r="590">
      <c r="A590" s="60" t="str">
        <f>Ringkasan!A591</f>
        <v>DEWA</v>
      </c>
      <c r="B590" s="60" t="str">
        <f>Ringkasan!B591</f>
        <v>Darma Henwa Tbk</v>
      </c>
      <c r="C590" s="61">
        <f>Ringkasan!C591</f>
        <v>330</v>
      </c>
      <c r="D590" s="60" t="str">
        <f>Ringkasan!D591</f>
        <v>#N/A</v>
      </c>
      <c r="E590" s="60" t="str">
        <f>Ringkasan!E591</f>
        <v>BISNIS-27</v>
      </c>
      <c r="F590" s="60" t="str">
        <f>Ringkasan!F591</f>
        <v>30 Oktober 2026</v>
      </c>
      <c r="G590" s="60">
        <f>Ringkasan!G591</f>
        <v>7</v>
      </c>
      <c r="H590" s="62">
        <f>Ringkasan!H591</f>
        <v>3.1</v>
      </c>
      <c r="I590" s="62">
        <f>Ringkasan!I591</f>
        <v>1.7</v>
      </c>
      <c r="J590" s="62">
        <f>Ringkasan!J591</f>
        <v>54.9</v>
      </c>
      <c r="K590" s="62">
        <f>Ringkasan!K591</f>
        <v>27.2</v>
      </c>
      <c r="L590" s="62">
        <f>Ringkasan!L591</f>
        <v>1</v>
      </c>
      <c r="M590" s="62">
        <f>Ringkasan!M591</f>
        <v>280</v>
      </c>
      <c r="N590" s="62" t="str">
        <f>Ringkasan!N591</f>
        <v/>
      </c>
      <c r="O590" s="62" t="str">
        <f>Ringkasan!O591</f>
        <v/>
      </c>
      <c r="P590" s="62" t="str">
        <f>Ringkasan!P591</f>
        <v/>
      </c>
      <c r="Q590" s="62" t="str">
        <f>Ringkasan!Q591</f>
        <v/>
      </c>
      <c r="R590" s="62" t="str">
        <f>Ringkasan!R591</f>
        <v/>
      </c>
      <c r="S590" s="62" t="str">
        <f>Ringkasan!S591</f>
        <v/>
      </c>
      <c r="T590" s="62" t="str">
        <f>Ringkasan!T591</f>
        <v/>
      </c>
      <c r="U590" s="60">
        <f>Ringkasan!U591</f>
        <v>294</v>
      </c>
      <c r="V590" s="60">
        <f>Ringkasan!V591</f>
        <v>12.24</v>
      </c>
      <c r="W590" s="60">
        <f>Ringkasan!W591</f>
        <v>300</v>
      </c>
      <c r="X590" s="60">
        <f>Ringkasan!X591</f>
        <v>334</v>
      </c>
      <c r="Y590" s="60">
        <f>Ringkasan!Y591</f>
        <v>300</v>
      </c>
      <c r="Z590" s="60">
        <f>Ringkasan!Z591</f>
        <v>1053314700</v>
      </c>
      <c r="AA590" s="60" t="str">
        <f>Ringkasan!AA591</f>
        <v>Oil, Gas &amp; Coal Supports</v>
      </c>
      <c r="AB590" s="60" t="str">
        <f>Ringkasan!AB591</f>
        <v>Energy</v>
      </c>
    </row>
    <row r="591">
      <c r="A591" s="60" t="str">
        <f>Ringkasan!A592</f>
        <v>DEWA</v>
      </c>
      <c r="B591" s="60" t="str">
        <f>Ringkasan!B592</f>
        <v>Darma Henwa Tbk</v>
      </c>
      <c r="C591" s="61">
        <f>Ringkasan!C592</f>
        <v>330</v>
      </c>
      <c r="D591" s="60" t="str">
        <f>Ringkasan!D592</f>
        <v>#N/A</v>
      </c>
      <c r="E591" s="60" t="str">
        <f>Ringkasan!E592</f>
        <v>JII30</v>
      </c>
      <c r="F591" s="63">
        <f>Ringkasan!F592</f>
        <v>46356</v>
      </c>
      <c r="G591" s="61">
        <f>Ringkasan!G592</f>
        <v>7</v>
      </c>
      <c r="H591" s="62">
        <f>Ringkasan!H592</f>
        <v>3.1</v>
      </c>
      <c r="I591" s="62">
        <f>Ringkasan!I592</f>
        <v>1.7</v>
      </c>
      <c r="J591" s="62">
        <f>Ringkasan!J592</f>
        <v>54.9</v>
      </c>
      <c r="K591" s="62">
        <f>Ringkasan!K592</f>
        <v>27.2</v>
      </c>
      <c r="L591" s="62">
        <f>Ringkasan!L592</f>
        <v>1</v>
      </c>
      <c r="M591" s="62">
        <f>Ringkasan!M592</f>
        <v>280</v>
      </c>
      <c r="N591" s="60" t="str">
        <f>Ringkasan!N592</f>
        <v/>
      </c>
      <c r="O591" s="60" t="str">
        <f>Ringkasan!O592</f>
        <v/>
      </c>
      <c r="P591" s="60" t="str">
        <f>Ringkasan!P592</f>
        <v/>
      </c>
      <c r="Q591" s="60" t="str">
        <f>Ringkasan!Q592</f>
        <v/>
      </c>
      <c r="R591" s="60" t="str">
        <f>Ringkasan!R592</f>
        <v/>
      </c>
      <c r="S591" s="60" t="str">
        <f>Ringkasan!S592</f>
        <v/>
      </c>
      <c r="T591" s="60" t="str">
        <f>Ringkasan!T592</f>
        <v/>
      </c>
      <c r="U591" s="60">
        <f>Ringkasan!U592</f>
        <v>294</v>
      </c>
      <c r="V591" s="60">
        <f>Ringkasan!V592</f>
        <v>12.24</v>
      </c>
      <c r="W591" s="60">
        <f>Ringkasan!W592</f>
        <v>300</v>
      </c>
      <c r="X591" s="60">
        <f>Ringkasan!X592</f>
        <v>334</v>
      </c>
      <c r="Y591" s="60">
        <f>Ringkasan!Y592</f>
        <v>300</v>
      </c>
      <c r="Z591" s="60">
        <f>Ringkasan!Z592</f>
        <v>1053314700</v>
      </c>
      <c r="AA591" s="60" t="str">
        <f>Ringkasan!AA592</f>
        <v>Oil, Gas &amp; Coal Supports</v>
      </c>
      <c r="AB591" s="60" t="str">
        <f>Ringkasan!AB592</f>
        <v>Energy</v>
      </c>
    </row>
    <row r="592">
      <c r="A592" s="60" t="str">
        <f>Ringkasan!A593</f>
        <v>DEWA</v>
      </c>
      <c r="B592" s="60" t="str">
        <f>Ringkasan!B593</f>
        <v>Darma Henwa Tbk</v>
      </c>
      <c r="C592" s="61">
        <f>Ringkasan!C593</f>
        <v>330</v>
      </c>
      <c r="D592" s="60" t="str">
        <f>Ringkasan!D593</f>
        <v>#N/A</v>
      </c>
      <c r="E592" s="60" t="str">
        <f>Ringkasan!E593</f>
        <v>JII70</v>
      </c>
      <c r="F592" s="63">
        <f>Ringkasan!F593</f>
        <v>46356</v>
      </c>
      <c r="G592" s="61">
        <f>Ringkasan!G593</f>
        <v>7</v>
      </c>
      <c r="H592" s="62">
        <f>Ringkasan!H593</f>
        <v>3.1</v>
      </c>
      <c r="I592" s="62">
        <f>Ringkasan!I593</f>
        <v>1.7</v>
      </c>
      <c r="J592" s="62">
        <f>Ringkasan!J593</f>
        <v>54.9</v>
      </c>
      <c r="K592" s="62">
        <f>Ringkasan!K593</f>
        <v>27.2</v>
      </c>
      <c r="L592" s="62">
        <f>Ringkasan!L593</f>
        <v>1</v>
      </c>
      <c r="M592" s="62">
        <f>Ringkasan!M593</f>
        <v>280</v>
      </c>
      <c r="N592" s="60" t="str">
        <f>Ringkasan!N593</f>
        <v/>
      </c>
      <c r="O592" s="60" t="str">
        <f>Ringkasan!O593</f>
        <v/>
      </c>
      <c r="P592" s="60" t="str">
        <f>Ringkasan!P593</f>
        <v/>
      </c>
      <c r="Q592" s="60" t="str">
        <f>Ringkasan!Q593</f>
        <v/>
      </c>
      <c r="R592" s="60" t="str">
        <f>Ringkasan!R593</f>
        <v/>
      </c>
      <c r="S592" s="60" t="str">
        <f>Ringkasan!S593</f>
        <v/>
      </c>
      <c r="T592" s="60" t="str">
        <f>Ringkasan!T593</f>
        <v/>
      </c>
      <c r="U592" s="60">
        <f>Ringkasan!U593</f>
        <v>294</v>
      </c>
      <c r="V592" s="60">
        <f>Ringkasan!V593</f>
        <v>12.24</v>
      </c>
      <c r="W592" s="60">
        <f>Ringkasan!W593</f>
        <v>300</v>
      </c>
      <c r="X592" s="60">
        <f>Ringkasan!X593</f>
        <v>334</v>
      </c>
      <c r="Y592" s="60">
        <f>Ringkasan!Y593</f>
        <v>300</v>
      </c>
      <c r="Z592" s="60">
        <f>Ringkasan!Z593</f>
        <v>1053314700</v>
      </c>
      <c r="AA592" s="60" t="str">
        <f>Ringkasan!AA593</f>
        <v>Oil, Gas &amp; Coal Supports</v>
      </c>
      <c r="AB592" s="60" t="str">
        <f>Ringkasan!AB593</f>
        <v>Energy</v>
      </c>
    </row>
    <row r="593">
      <c r="A593" s="60" t="str">
        <f>Ringkasan!A602</f>
        <v>DKFT</v>
      </c>
      <c r="B593" s="60" t="str">
        <f>Ringkasan!B602</f>
        <v>Central Omega Resources Tbk.</v>
      </c>
      <c r="C593" s="61">
        <f>Ringkasan!C602</f>
        <v>680</v>
      </c>
      <c r="D593" s="60" t="str">
        <f>Ringkasan!D602</f>
        <v>#N/A</v>
      </c>
      <c r="E593" s="60" t="str">
        <f>Ringkasan!E602</f>
        <v>IDXSHAGROW</v>
      </c>
      <c r="F593" s="63">
        <f>Ringkasan!F602</f>
        <v>46356</v>
      </c>
      <c r="G593" s="60">
        <f>Ringkasan!G602</f>
        <v>2</v>
      </c>
      <c r="H593" s="62">
        <f>Ringkasan!H602</f>
        <v>5.9</v>
      </c>
      <c r="I593" s="62">
        <f>Ringkasan!I602</f>
        <v>2.7</v>
      </c>
      <c r="J593" s="62">
        <f>Ringkasan!J602</f>
        <v>46</v>
      </c>
      <c r="K593" s="62">
        <f>Ringkasan!K602</f>
        <v>21.9</v>
      </c>
      <c r="L593" s="62">
        <f>Ringkasan!L602</f>
        <v>1.1</v>
      </c>
      <c r="M593" s="62">
        <f>Ringkasan!M602</f>
        <v>130</v>
      </c>
      <c r="N593" s="60" t="str">
        <f>Ringkasan!N602</f>
        <v/>
      </c>
      <c r="O593" s="60" t="str">
        <f>Ringkasan!O602</f>
        <v/>
      </c>
      <c r="P593" s="60" t="str">
        <f>Ringkasan!P602</f>
        <v/>
      </c>
      <c r="Q593" s="60" t="str">
        <f>Ringkasan!Q602</f>
        <v/>
      </c>
      <c r="R593" s="60" t="str">
        <f>Ringkasan!R602</f>
        <v/>
      </c>
      <c r="S593" s="60" t="str">
        <f>Ringkasan!S602</f>
        <v/>
      </c>
      <c r="T593" s="60" t="str">
        <f>Ringkasan!T602</f>
        <v/>
      </c>
      <c r="U593" s="60">
        <f>Ringkasan!U602</f>
        <v>620</v>
      </c>
      <c r="V593" s="60">
        <f>Ringkasan!V602</f>
        <v>9.68</v>
      </c>
      <c r="W593" s="60">
        <f>Ringkasan!W602</f>
        <v>625</v>
      </c>
      <c r="X593" s="60">
        <f>Ringkasan!X602</f>
        <v>710</v>
      </c>
      <c r="Y593" s="60">
        <f>Ringkasan!Y602</f>
        <v>625</v>
      </c>
      <c r="Z593" s="60">
        <f>Ringkasan!Z602</f>
        <v>12181600</v>
      </c>
      <c r="AA593" s="60" t="str">
        <f>Ringkasan!AA602</f>
        <v>Metals &amp; Minerals</v>
      </c>
      <c r="AB593" s="60" t="str">
        <f>Ringkasan!AB602</f>
        <v>Basic Materials</v>
      </c>
    </row>
    <row r="594" hidden="1">
      <c r="A594" s="64" t="str">
        <f>Ringkasan!A561</f>
        <v>CTRA</v>
      </c>
      <c r="B594" s="64" t="str">
        <f>Ringkasan!B561</f>
        <v>Ciputra Development Tbk.</v>
      </c>
      <c r="C594" s="65">
        <f>Ringkasan!C561</f>
        <v>600</v>
      </c>
      <c r="D594" s="64" t="str">
        <f>Ringkasan!D561</f>
        <v>#N/A</v>
      </c>
      <c r="E594" s="64" t="str">
        <f>Ringkasan!E561</f>
        <v>IDXQ30</v>
      </c>
      <c r="F594" s="64" t="str">
        <f>Ringkasan!F561</f>
        <v>4 Agustus 2026</v>
      </c>
      <c r="G594" s="64">
        <f>Ringkasan!G561</f>
        <v>13</v>
      </c>
      <c r="H594" s="19">
        <f>Ringkasan!H561</f>
        <v>4.7</v>
      </c>
      <c r="I594" s="19">
        <f>Ringkasan!I561</f>
        <v>0.44</v>
      </c>
      <c r="J594" s="19">
        <f>Ringkasan!J561</f>
        <v>9.2</v>
      </c>
      <c r="K594" s="19">
        <f>Ringkasan!K561</f>
        <v>5.5</v>
      </c>
      <c r="L594" s="19">
        <f>Ringkasan!L561</f>
        <v>0.67</v>
      </c>
      <c r="M594" s="19">
        <f>Ringkasan!M561</f>
        <v>98.6</v>
      </c>
      <c r="N594" s="64" t="str">
        <f>Ringkasan!N561</f>
        <v/>
      </c>
      <c r="O594" s="64" t="str">
        <f>Ringkasan!O561</f>
        <v/>
      </c>
      <c r="P594" s="64" t="str">
        <f>Ringkasan!P561</f>
        <v/>
      </c>
      <c r="Q594" s="64" t="str">
        <f>Ringkasan!Q561</f>
        <v/>
      </c>
      <c r="R594" s="64" t="str">
        <f>Ringkasan!R561</f>
        <v/>
      </c>
      <c r="S594" s="64" t="str">
        <f>Ringkasan!S561</f>
        <v/>
      </c>
      <c r="T594" s="64" t="str">
        <f>Ringkasan!T561</f>
        <v/>
      </c>
      <c r="U594" s="64">
        <f>Ringkasan!U561</f>
        <v>640</v>
      </c>
      <c r="V594" s="64">
        <f>Ringkasan!V561</f>
        <v>-100</v>
      </c>
      <c r="W594" s="64" t="str">
        <f>Ringkasan!W561</f>
        <v/>
      </c>
      <c r="X594" s="64" t="str">
        <f>Ringkasan!X561</f>
        <v/>
      </c>
      <c r="Y594" s="64" t="str">
        <f>Ringkasan!Y561</f>
        <v/>
      </c>
      <c r="Z594" s="64">
        <f>Ringkasan!Z561</f>
        <v>0</v>
      </c>
      <c r="AA594" s="64" t="str">
        <f>Ringkasan!AA561</f>
        <v>Real Estate Management &amp; Development</v>
      </c>
      <c r="AB594" s="64" t="str">
        <f>Ringkasan!AB561</f>
        <v>Properties &amp; Real Estate</v>
      </c>
    </row>
    <row r="595">
      <c r="A595" s="60" t="str">
        <f>Ringkasan!A603</f>
        <v>DKFT</v>
      </c>
      <c r="B595" s="60" t="str">
        <f>Ringkasan!B603</f>
        <v>Central Omega Resources Tbk.</v>
      </c>
      <c r="C595" s="61">
        <f>Ringkasan!C603</f>
        <v>680</v>
      </c>
      <c r="D595" s="60" t="str">
        <f>Ringkasan!D603</f>
        <v>#N/A</v>
      </c>
      <c r="E595" s="60" t="str">
        <f>Ringkasan!E603</f>
        <v>JII70</v>
      </c>
      <c r="F595" s="63">
        <f>Ringkasan!F603</f>
        <v>46356</v>
      </c>
      <c r="G595" s="61">
        <f>Ringkasan!G603</f>
        <v>2</v>
      </c>
      <c r="H595" s="62">
        <f>Ringkasan!H603</f>
        <v>5.9</v>
      </c>
      <c r="I595" s="62">
        <f>Ringkasan!I603</f>
        <v>2.7</v>
      </c>
      <c r="J595" s="62">
        <f>Ringkasan!J603</f>
        <v>46</v>
      </c>
      <c r="K595" s="62">
        <f>Ringkasan!K603</f>
        <v>21.9</v>
      </c>
      <c r="L595" s="62">
        <f>Ringkasan!L603</f>
        <v>1.1</v>
      </c>
      <c r="M595" s="62">
        <f>Ringkasan!M603</f>
        <v>130</v>
      </c>
      <c r="N595" s="60" t="str">
        <f>Ringkasan!N603</f>
        <v/>
      </c>
      <c r="O595" s="60" t="str">
        <f>Ringkasan!O603</f>
        <v/>
      </c>
      <c r="P595" s="60" t="str">
        <f>Ringkasan!P603</f>
        <v/>
      </c>
      <c r="Q595" s="60" t="str">
        <f>Ringkasan!Q603</f>
        <v/>
      </c>
      <c r="R595" s="60" t="str">
        <f>Ringkasan!R603</f>
        <v/>
      </c>
      <c r="S595" s="60" t="str">
        <f>Ringkasan!S603</f>
        <v/>
      </c>
      <c r="T595" s="60" t="str">
        <f>Ringkasan!T603</f>
        <v/>
      </c>
      <c r="U595" s="60">
        <f>Ringkasan!U603</f>
        <v>620</v>
      </c>
      <c r="V595" s="60">
        <f>Ringkasan!V603</f>
        <v>9.68</v>
      </c>
      <c r="W595" s="60">
        <f>Ringkasan!W603</f>
        <v>625</v>
      </c>
      <c r="X595" s="60">
        <f>Ringkasan!X603</f>
        <v>710</v>
      </c>
      <c r="Y595" s="60">
        <f>Ringkasan!Y603</f>
        <v>625</v>
      </c>
      <c r="Z595" s="60">
        <f>Ringkasan!Z603</f>
        <v>12181600</v>
      </c>
      <c r="AA595" s="60" t="str">
        <f>Ringkasan!AA603</f>
        <v>Metals &amp; Minerals</v>
      </c>
      <c r="AB595" s="60" t="str">
        <f>Ringkasan!AB603</f>
        <v>Basic Materials</v>
      </c>
    </row>
    <row r="596" hidden="1">
      <c r="A596" s="60" t="str">
        <f>Ringkasan!A596</f>
        <v>DGIK</v>
      </c>
      <c r="B596" s="60" t="str">
        <f>Ringkasan!B596</f>
        <v>Nusa Konstruksi Enjiniring Tbk</v>
      </c>
      <c r="C596" s="61">
        <f>Ringkasan!C596</f>
        <v>123</v>
      </c>
      <c r="D596" s="60" t="str">
        <f>Ringkasan!D596</f>
        <v>#N/A</v>
      </c>
      <c r="E596" s="60" t="str">
        <f>Ringkasan!E596</f>
        <v/>
      </c>
      <c r="F596" s="60" t="str">
        <f>Ringkasan!F596</f>
        <v/>
      </c>
      <c r="G596" s="60">
        <f>Ringkasan!G596</f>
        <v>0</v>
      </c>
      <c r="H596" s="62">
        <f>Ringkasan!H596</f>
        <v>13.7</v>
      </c>
      <c r="I596" s="62">
        <f>Ringkasan!I596</f>
        <v>0.98</v>
      </c>
      <c r="J596" s="62">
        <f>Ringkasan!J596</f>
        <v>7.2</v>
      </c>
      <c r="K596" s="62">
        <f>Ringkasan!K596</f>
        <v>3.4</v>
      </c>
      <c r="L596" s="62">
        <f>Ringkasan!L596</f>
        <v>1.1</v>
      </c>
      <c r="M596" s="62">
        <f>Ringkasan!M596</f>
        <v>23.2</v>
      </c>
      <c r="N596" s="60" t="str">
        <f>Ringkasan!N596</f>
        <v/>
      </c>
      <c r="O596" s="60" t="str">
        <f>Ringkasan!O596</f>
        <v/>
      </c>
      <c r="P596" s="60" t="str">
        <f>Ringkasan!P596</f>
        <v/>
      </c>
      <c r="Q596" s="60" t="str">
        <f>Ringkasan!Q596</f>
        <v/>
      </c>
      <c r="R596" s="60" t="str">
        <f>Ringkasan!R596</f>
        <v/>
      </c>
      <c r="S596" s="60" t="str">
        <f>Ringkasan!S596</f>
        <v/>
      </c>
      <c r="T596" s="60" t="str">
        <f>Ringkasan!T596</f>
        <v/>
      </c>
      <c r="U596" s="60">
        <f>Ringkasan!U596</f>
        <v>118</v>
      </c>
      <c r="V596" s="60" t="str">
        <f>Ringkasan!V596</f>
        <v/>
      </c>
      <c r="W596" s="60">
        <f>Ringkasan!W596</f>
        <v>127</v>
      </c>
      <c r="X596" s="60">
        <f>Ringkasan!X596</f>
        <v>128</v>
      </c>
      <c r="Y596" s="60">
        <f>Ringkasan!Y596</f>
        <v>118</v>
      </c>
      <c r="Z596" s="60">
        <f>Ringkasan!Z596</f>
        <v>3461500</v>
      </c>
      <c r="AA596" s="60" t="str">
        <f>Ringkasan!AA596</f>
        <v>Heavy Constructions &amp; Civil Engineering</v>
      </c>
      <c r="AB596" s="60" t="str">
        <f>Ringkasan!AB596</f>
        <v>Infrastructures</v>
      </c>
    </row>
    <row r="597" hidden="1">
      <c r="A597" s="60" t="str">
        <f>Ringkasan!A597</f>
        <v>DGNS</v>
      </c>
      <c r="B597" s="60" t="str">
        <f>Ringkasan!B597</f>
        <v>Diagnos Laboratorium Utama Tbk.</v>
      </c>
      <c r="C597" s="61">
        <f>Ringkasan!C597</f>
        <v>226</v>
      </c>
      <c r="D597" s="60" t="str">
        <f>Ringkasan!D597</f>
        <v>#N/A</v>
      </c>
      <c r="E597" s="60" t="str">
        <f>Ringkasan!E597</f>
        <v/>
      </c>
      <c r="F597" s="60" t="str">
        <f>Ringkasan!F597</f>
        <v/>
      </c>
      <c r="G597" s="60">
        <f>Ringkasan!G597</f>
        <v>0</v>
      </c>
      <c r="H597" s="62">
        <f>Ringkasan!H597</f>
        <v>89.5</v>
      </c>
      <c r="I597" s="62">
        <f>Ringkasan!I597</f>
        <v>1.5</v>
      </c>
      <c r="J597" s="62">
        <f>Ringkasan!J597</f>
        <v>1.7</v>
      </c>
      <c r="K597" s="62">
        <f>Ringkasan!K597</f>
        <v>1.1</v>
      </c>
      <c r="L597" s="62">
        <f>Ringkasan!L597</f>
        <v>0.57</v>
      </c>
      <c r="M597" s="62">
        <f>Ringkasan!M597</f>
        <v>8</v>
      </c>
      <c r="N597" s="60" t="str">
        <f>Ringkasan!N597</f>
        <v/>
      </c>
      <c r="O597" s="60" t="str">
        <f>Ringkasan!O597</f>
        <v/>
      </c>
      <c r="P597" s="60" t="str">
        <f>Ringkasan!P597</f>
        <v/>
      </c>
      <c r="Q597" s="60" t="str">
        <f>Ringkasan!Q597</f>
        <v/>
      </c>
      <c r="R597" s="60" t="str">
        <f>Ringkasan!R597</f>
        <v/>
      </c>
      <c r="S597" s="60" t="str">
        <f>Ringkasan!S597</f>
        <v/>
      </c>
      <c r="T597" s="60" t="str">
        <f>Ringkasan!T597</f>
        <v/>
      </c>
      <c r="U597" s="60">
        <f>Ringkasan!U597</f>
        <v>208</v>
      </c>
      <c r="V597" s="60">
        <f>Ringkasan!V597</f>
        <v>8.65</v>
      </c>
      <c r="W597" s="60">
        <f>Ringkasan!W597</f>
        <v>214</v>
      </c>
      <c r="X597" s="60">
        <f>Ringkasan!X597</f>
        <v>226</v>
      </c>
      <c r="Y597" s="60">
        <f>Ringkasan!Y597</f>
        <v>214</v>
      </c>
      <c r="Z597" s="60">
        <f>Ringkasan!Z597</f>
        <v>408000</v>
      </c>
      <c r="AA597" s="60" t="str">
        <f>Ringkasan!AA597</f>
        <v>Healthcare Providers</v>
      </c>
      <c r="AB597" s="60" t="str">
        <f>Ringkasan!AB597</f>
        <v>Healthcare</v>
      </c>
    </row>
    <row r="598" hidden="1">
      <c r="A598" s="64" t="str">
        <f>Ringkasan!A883</f>
        <v>INDF</v>
      </c>
      <c r="B598" s="64" t="str">
        <f>Ringkasan!B883</f>
        <v>Indofood Sukses Makmur Tbk.</v>
      </c>
      <c r="C598" s="65">
        <f>Ringkasan!C883</f>
        <v>6425</v>
      </c>
      <c r="D598" s="64" t="str">
        <f>Ringkasan!D883</f>
        <v>#N/A</v>
      </c>
      <c r="E598" s="64" t="str">
        <f>Ringkasan!E883</f>
        <v>LQ45</v>
      </c>
      <c r="F598" s="64" t="str">
        <f>Ringkasan!F883</f>
        <v>31 Juli 2026</v>
      </c>
      <c r="G598" s="64">
        <f>Ringkasan!G883</f>
        <v>18</v>
      </c>
      <c r="H598" s="19">
        <f>Ringkasan!H883</f>
        <v>5.6</v>
      </c>
      <c r="I598" s="19">
        <f>Ringkasan!I883</f>
        <v>0.48</v>
      </c>
      <c r="J598" s="19">
        <f>Ringkasan!J883</f>
        <v>8.7</v>
      </c>
      <c r="K598" s="19">
        <f>Ringkasan!K883</f>
        <v>4.8</v>
      </c>
      <c r="L598" s="19">
        <f>Ringkasan!L883</f>
        <v>0.8</v>
      </c>
      <c r="M598" s="19">
        <f>Ringkasan!M883</f>
        <v>32.2</v>
      </c>
      <c r="N598" s="64" t="str">
        <f>Ringkasan!N883</f>
        <v/>
      </c>
      <c r="O598" s="64" t="str">
        <f>Ringkasan!O883</f>
        <v/>
      </c>
      <c r="P598" s="64" t="str">
        <f>Ringkasan!P883</f>
        <v/>
      </c>
      <c r="Q598" s="64" t="str">
        <f>Ringkasan!Q883</f>
        <v/>
      </c>
      <c r="R598" s="64" t="str">
        <f>Ringkasan!R883</f>
        <v/>
      </c>
      <c r="S598" s="64" t="str">
        <f>Ringkasan!S883</f>
        <v/>
      </c>
      <c r="T598" s="64" t="str">
        <f>Ringkasan!T883</f>
        <v/>
      </c>
      <c r="U598" s="64">
        <f>Ringkasan!U883</f>
        <v>6225</v>
      </c>
      <c r="V598" s="64">
        <f>Ringkasan!V883</f>
        <v>3.21</v>
      </c>
      <c r="W598" s="64">
        <f>Ringkasan!W883</f>
        <v>6275</v>
      </c>
      <c r="X598" s="64">
        <f>Ringkasan!X883</f>
        <v>6675</v>
      </c>
      <c r="Y598" s="64">
        <f>Ringkasan!Y883</f>
        <v>6275</v>
      </c>
      <c r="Z598" s="64">
        <f>Ringkasan!Z883</f>
        <v>11991600</v>
      </c>
      <c r="AA598" s="64" t="str">
        <f>Ringkasan!AA883</f>
        <v>Processed Foods</v>
      </c>
      <c r="AB598" s="64" t="str">
        <f>Ringkasan!AB883</f>
        <v>Consumer Non-Cyclicals</v>
      </c>
    </row>
    <row r="599" hidden="1">
      <c r="A599" s="64" t="str">
        <f>Ringkasan!A918</f>
        <v>INKP</v>
      </c>
      <c r="B599" s="64" t="str">
        <f>Ringkasan!B918</f>
        <v>Indah Kiat Pulp &amp; Paper Tbk.</v>
      </c>
      <c r="C599" s="65">
        <f>Ringkasan!C918</f>
        <v>7700</v>
      </c>
      <c r="D599" s="64" t="str">
        <f>Ringkasan!D918</f>
        <v>#N/A</v>
      </c>
      <c r="E599" s="64" t="str">
        <f>Ringkasan!E918</f>
        <v>FTSE Large Cap</v>
      </c>
      <c r="F599" s="64" t="str">
        <f>Ringkasan!F918</f>
        <v>Juni 2026</v>
      </c>
      <c r="G599" s="64">
        <f>Ringkasan!G918</f>
        <v>16</v>
      </c>
      <c r="H599" s="19">
        <f>Ringkasan!H918</f>
        <v>5.3</v>
      </c>
      <c r="I599" s="19">
        <f>Ringkasan!I918</f>
        <v>0.35</v>
      </c>
      <c r="J599" s="19">
        <f>Ringkasan!J918</f>
        <v>6.7</v>
      </c>
      <c r="K599" s="19">
        <f>Ringkasan!K918</f>
        <v>3.7</v>
      </c>
      <c r="L599" s="19">
        <f>Ringkasan!L918</f>
        <v>0.81</v>
      </c>
      <c r="M599" s="19">
        <f>Ringkasan!M918</f>
        <v>57.2</v>
      </c>
      <c r="N599" s="64" t="str">
        <f>Ringkasan!N918</f>
        <v/>
      </c>
      <c r="O599" s="64" t="str">
        <f>Ringkasan!O918</f>
        <v/>
      </c>
      <c r="P599" s="64" t="str">
        <f>Ringkasan!P918</f>
        <v/>
      </c>
      <c r="Q599" s="64" t="str">
        <f>Ringkasan!Q918</f>
        <v/>
      </c>
      <c r="R599" s="64" t="str">
        <f>Ringkasan!R918</f>
        <v/>
      </c>
      <c r="S599" s="64" t="str">
        <f>Ringkasan!S918</f>
        <v/>
      </c>
      <c r="T599" s="64" t="str">
        <f>Ringkasan!T918</f>
        <v/>
      </c>
      <c r="U599" s="64">
        <f>Ringkasan!U918</f>
        <v>7550</v>
      </c>
      <c r="V599" s="64">
        <f>Ringkasan!V918</f>
        <v>1.99</v>
      </c>
      <c r="W599" s="64">
        <f>Ringkasan!W918</f>
        <v>7625</v>
      </c>
      <c r="X599" s="64">
        <f>Ringkasan!X918</f>
        <v>7800</v>
      </c>
      <c r="Y599" s="64">
        <f>Ringkasan!Y918</f>
        <v>7575</v>
      </c>
      <c r="Z599" s="64">
        <f>Ringkasan!Z918</f>
        <v>5343300</v>
      </c>
      <c r="AA599" s="64" t="str">
        <f>Ringkasan!AA918</f>
        <v>Forestry &amp; Paper</v>
      </c>
      <c r="AB599" s="64" t="str">
        <f>Ringkasan!AB918</f>
        <v>Basic Materials</v>
      </c>
    </row>
    <row r="600" hidden="1">
      <c r="A600" s="64" t="str">
        <f>Ringkasan!A599</f>
        <v>DIGI</v>
      </c>
      <c r="B600" s="64" t="str">
        <f>Ringkasan!B599</f>
        <v>Arkadia Digital Media Tbk.</v>
      </c>
      <c r="C600" s="67">
        <f>Ringkasan!C599</f>
        <v>31</v>
      </c>
      <c r="D600" s="22" t="str">
        <f>Ringkasan!D599</f>
        <v>#N/A</v>
      </c>
      <c r="E600" s="64" t="str">
        <f>Ringkasan!E599</f>
        <v/>
      </c>
      <c r="F600" s="64" t="str">
        <f>Ringkasan!F599</f>
        <v/>
      </c>
      <c r="G600" s="64">
        <f>Ringkasan!G599</f>
        <v>0</v>
      </c>
      <c r="H600" s="19">
        <f>Ringkasan!H599</f>
        <v>22.1</v>
      </c>
      <c r="I600" s="19">
        <f>Ringkasan!I599</f>
        <v>-8.2</v>
      </c>
      <c r="J600" s="19">
        <f>Ringkasan!J599</f>
        <v>0</v>
      </c>
      <c r="K600" s="19">
        <f>Ringkasan!K599</f>
        <v>17.5</v>
      </c>
      <c r="L600" s="19">
        <f>Ringkasan!L599</f>
        <v>-3.1</v>
      </c>
      <c r="M600" s="19">
        <f>Ringkasan!M599</f>
        <v>34</v>
      </c>
      <c r="N600" s="64" t="str">
        <f>Ringkasan!N599</f>
        <v/>
      </c>
      <c r="O600" s="64" t="str">
        <f>Ringkasan!O599</f>
        <v/>
      </c>
      <c r="P600" s="64" t="str">
        <f>Ringkasan!P599</f>
        <v/>
      </c>
      <c r="Q600" s="64" t="str">
        <f>Ringkasan!Q599</f>
        <v/>
      </c>
      <c r="R600" s="64" t="str">
        <f>Ringkasan!R599</f>
        <v/>
      </c>
      <c r="S600" s="64" t="str">
        <f>Ringkasan!S599</f>
        <v/>
      </c>
      <c r="T600" s="64" t="str">
        <f>Ringkasan!T599</f>
        <v/>
      </c>
      <c r="U600" s="22">
        <f>Ringkasan!U599</f>
        <v>0</v>
      </c>
      <c r="V600" s="22">
        <f>Ringkasan!V599</f>
        <v>0</v>
      </c>
      <c r="W600" s="22" t="str">
        <f>Ringkasan!W599</f>
        <v/>
      </c>
      <c r="X600" s="22" t="str">
        <f>Ringkasan!X599</f>
        <v/>
      </c>
      <c r="Y600" s="22" t="str">
        <f>Ringkasan!Y599</f>
        <v/>
      </c>
      <c r="Z600" s="22">
        <f>Ringkasan!Z599</f>
        <v>0</v>
      </c>
      <c r="AA600" s="64" t="str">
        <f>Ringkasan!AA599</f>
        <v>Media</v>
      </c>
      <c r="AB600" s="64" t="str">
        <f>Ringkasan!AB599</f>
        <v>Consumer Cyclicals</v>
      </c>
    </row>
    <row r="601" hidden="1">
      <c r="A601" s="64" t="str">
        <f>Ringkasan!A600</f>
        <v>DILD</v>
      </c>
      <c r="B601" s="64" t="str">
        <f>Ringkasan!B600</f>
        <v>Intiland Development Tbk.</v>
      </c>
      <c r="C601" s="67">
        <f>Ringkasan!C600</f>
        <v>115</v>
      </c>
      <c r="D601" s="22" t="str">
        <f>Ringkasan!D600</f>
        <v>#N/A</v>
      </c>
      <c r="E601" s="64" t="str">
        <f>Ringkasan!E600</f>
        <v/>
      </c>
      <c r="F601" s="64" t="str">
        <f>Ringkasan!F600</f>
        <v/>
      </c>
      <c r="G601" s="64">
        <f>Ringkasan!G600</f>
        <v>0</v>
      </c>
      <c r="H601" s="19">
        <f>Ringkasan!H600</f>
        <v>22.2</v>
      </c>
      <c r="I601" s="19">
        <f>Ringkasan!I600</f>
        <v>0.18</v>
      </c>
      <c r="J601" s="19">
        <f>Ringkasan!J600</f>
        <v>0.83</v>
      </c>
      <c r="K601" s="19">
        <f>Ringkasan!K600</f>
        <v>0.43</v>
      </c>
      <c r="L601" s="19">
        <f>Ringkasan!L600</f>
        <v>0.91</v>
      </c>
      <c r="M601" s="19">
        <f>Ringkasan!M600</f>
        <v>9.1</v>
      </c>
      <c r="N601" s="64" t="str">
        <f>Ringkasan!N600</f>
        <v/>
      </c>
      <c r="O601" s="64" t="str">
        <f>Ringkasan!O600</f>
        <v/>
      </c>
      <c r="P601" s="64" t="str">
        <f>Ringkasan!P600</f>
        <v/>
      </c>
      <c r="Q601" s="64" t="str">
        <f>Ringkasan!Q600</f>
        <v/>
      </c>
      <c r="R601" s="64" t="str">
        <f>Ringkasan!R600</f>
        <v/>
      </c>
      <c r="S601" s="64" t="str">
        <f>Ringkasan!S600</f>
        <v/>
      </c>
      <c r="T601" s="64" t="str">
        <f>Ringkasan!T600</f>
        <v/>
      </c>
      <c r="U601" s="22">
        <f>Ringkasan!U600</f>
        <v>114</v>
      </c>
      <c r="V601" s="22">
        <f>Ringkasan!V600</f>
        <v>0.88</v>
      </c>
      <c r="W601" s="22">
        <f>Ringkasan!W600</f>
        <v>114</v>
      </c>
      <c r="X601" s="22">
        <f>Ringkasan!X600</f>
        <v>116</v>
      </c>
      <c r="Y601" s="22">
        <f>Ringkasan!Y600</f>
        <v>113</v>
      </c>
      <c r="Z601" s="22">
        <f>Ringkasan!Z600</f>
        <v>10136500</v>
      </c>
      <c r="AA601" s="64" t="str">
        <f>Ringkasan!AA600</f>
        <v>Real Estate Management &amp; Development</v>
      </c>
      <c r="AB601" s="64" t="str">
        <f>Ringkasan!AB600</f>
        <v>Properties &amp; Real Estate</v>
      </c>
    </row>
    <row r="602" hidden="1">
      <c r="A602" s="64" t="str">
        <f>Ringkasan!A601</f>
        <v>DIVA</v>
      </c>
      <c r="B602" s="64" t="str">
        <f>Ringkasan!B601</f>
        <v>Distribusi Voucher Nusantara Tbk.</v>
      </c>
      <c r="C602" s="67">
        <f>Ringkasan!C601</f>
        <v>110</v>
      </c>
      <c r="D602" s="22" t="str">
        <f>Ringkasan!D601</f>
        <v>#N/A</v>
      </c>
      <c r="E602" s="64" t="str">
        <f>Ringkasan!E601</f>
        <v/>
      </c>
      <c r="F602" s="64" t="str">
        <f>Ringkasan!F601</f>
        <v/>
      </c>
      <c r="G602" s="64">
        <f>Ringkasan!G601</f>
        <v>0</v>
      </c>
      <c r="H602" s="19">
        <f>Ringkasan!H601</f>
        <v>130</v>
      </c>
      <c r="I602" s="19">
        <f>Ringkasan!I601</f>
        <v>0.27</v>
      </c>
      <c r="J602" s="19">
        <f>Ringkasan!J601</f>
        <v>0.2</v>
      </c>
      <c r="K602" s="19">
        <f>Ringkasan!K601</f>
        <v>0.18</v>
      </c>
      <c r="L602" s="19">
        <f>Ringkasan!L601</f>
        <v>0.13</v>
      </c>
      <c r="M602" s="19">
        <f>Ringkasan!M601</f>
        <v>0.19</v>
      </c>
      <c r="N602" s="64" t="str">
        <f>Ringkasan!N601</f>
        <v/>
      </c>
      <c r="O602" s="64" t="str">
        <f>Ringkasan!O601</f>
        <v/>
      </c>
      <c r="P602" s="64" t="str">
        <f>Ringkasan!P601</f>
        <v/>
      </c>
      <c r="Q602" s="64" t="str">
        <f>Ringkasan!Q601</f>
        <v/>
      </c>
      <c r="R602" s="64" t="str">
        <f>Ringkasan!R601</f>
        <v/>
      </c>
      <c r="S602" s="64" t="str">
        <f>Ringkasan!S601</f>
        <v/>
      </c>
      <c r="T602" s="64" t="str">
        <f>Ringkasan!T601</f>
        <v/>
      </c>
      <c r="U602" s="22">
        <f>Ringkasan!U601</f>
        <v>38.17</v>
      </c>
      <c r="V602" s="22">
        <f>Ringkasan!V601</f>
        <v>1.17</v>
      </c>
      <c r="W602" s="22">
        <f>Ringkasan!W601</f>
        <v>38.3</v>
      </c>
      <c r="X602" s="22">
        <f>Ringkasan!X601</f>
        <v>39.36</v>
      </c>
      <c r="Y602" s="22">
        <f>Ringkasan!Y601</f>
        <v>38.22</v>
      </c>
      <c r="Z602" s="22">
        <f>Ringkasan!Z601</f>
        <v>9817</v>
      </c>
      <c r="AA602" s="64" t="str">
        <f>Ringkasan!AA601</f>
        <v>Online Applications &amp; Services</v>
      </c>
      <c r="AB602" s="64" t="str">
        <f>Ringkasan!AB601</f>
        <v>Technology</v>
      </c>
    </row>
    <row r="603">
      <c r="A603" s="60" t="str">
        <f>Ringkasan!A620</f>
        <v>DSNG</v>
      </c>
      <c r="B603" s="60" t="str">
        <f>Ringkasan!B620</f>
        <v>PT Dharma Satya Nusantara Tbk.</v>
      </c>
      <c r="C603" s="61">
        <f>Ringkasan!C620</f>
        <v>1145</v>
      </c>
      <c r="D603" s="60" t="str">
        <f>Ringkasan!D620</f>
        <v>#N/A</v>
      </c>
      <c r="E603" s="60" t="str">
        <f>Ringkasan!E620</f>
        <v>ESGSKEHATI</v>
      </c>
      <c r="F603" s="63">
        <f>Ringkasan!F620</f>
        <v>46356</v>
      </c>
      <c r="G603" s="61">
        <f>Ringkasan!G620</f>
        <v>12</v>
      </c>
      <c r="H603" s="62">
        <f>Ringkasan!H620</f>
        <v>6.6</v>
      </c>
      <c r="I603" s="62">
        <f>Ringkasan!I620</f>
        <v>1.1</v>
      </c>
      <c r="J603" s="62">
        <f>Ringkasan!J620</f>
        <v>15.8</v>
      </c>
      <c r="K603" s="62">
        <f>Ringkasan!K620</f>
        <v>10.7</v>
      </c>
      <c r="L603" s="62">
        <f>Ringkasan!L620</f>
        <v>0.47</v>
      </c>
      <c r="M603" s="62">
        <f>Ringkasan!M620</f>
        <v>65.9</v>
      </c>
      <c r="N603" s="60" t="str">
        <f>Ringkasan!N620</f>
        <v/>
      </c>
      <c r="O603" s="60" t="str">
        <f>Ringkasan!O620</f>
        <v/>
      </c>
      <c r="P603" s="60" t="str">
        <f>Ringkasan!P620</f>
        <v/>
      </c>
      <c r="Q603" s="60" t="str">
        <f>Ringkasan!Q620</f>
        <v/>
      </c>
      <c r="R603" s="60" t="str">
        <f>Ringkasan!R620</f>
        <v/>
      </c>
      <c r="S603" s="60" t="str">
        <f>Ringkasan!S620</f>
        <v/>
      </c>
      <c r="T603" s="60" t="str">
        <f>Ringkasan!T620</f>
        <v/>
      </c>
      <c r="U603" s="60">
        <f>Ringkasan!U620</f>
        <v>1095</v>
      </c>
      <c r="V603" s="60">
        <f>Ringkasan!V620</f>
        <v>4.57</v>
      </c>
      <c r="W603" s="60">
        <f>Ringkasan!W620</f>
        <v>1105</v>
      </c>
      <c r="X603" s="60">
        <f>Ringkasan!X620</f>
        <v>1170</v>
      </c>
      <c r="Y603" s="60">
        <f>Ringkasan!Y620</f>
        <v>1100</v>
      </c>
      <c r="Z603" s="60">
        <f>Ringkasan!Z620</f>
        <v>7343000</v>
      </c>
      <c r="AA603" s="60" t="str">
        <f>Ringkasan!AA620</f>
        <v>Agricultural Products</v>
      </c>
      <c r="AB603" s="60" t="str">
        <f>Ringkasan!AB620</f>
        <v>Consumer Non-Cyclicals</v>
      </c>
    </row>
    <row r="604">
      <c r="A604" s="60" t="str">
        <f>Ringkasan!A618</f>
        <v>DSNG</v>
      </c>
      <c r="B604" s="60" t="str">
        <f>Ringkasan!B618</f>
        <v>PT Dharma Satya Nusantara Tbk.</v>
      </c>
      <c r="C604" s="61">
        <f>Ringkasan!C618</f>
        <v>1145</v>
      </c>
      <c r="D604" s="60" t="str">
        <f>Ringkasan!D618</f>
        <v>#N/A</v>
      </c>
      <c r="E604" s="60" t="str">
        <f>Ringkasan!E618</f>
        <v>ESGQKEHATI</v>
      </c>
      <c r="F604" s="63">
        <f>Ringkasan!F618</f>
        <v>46356</v>
      </c>
      <c r="G604" s="61">
        <f>Ringkasan!G618</f>
        <v>12</v>
      </c>
      <c r="H604" s="62">
        <f>Ringkasan!H618</f>
        <v>6.6</v>
      </c>
      <c r="I604" s="62">
        <f>Ringkasan!I618</f>
        <v>1.1</v>
      </c>
      <c r="J604" s="62">
        <f>Ringkasan!J618</f>
        <v>15.8</v>
      </c>
      <c r="K604" s="62">
        <f>Ringkasan!K618</f>
        <v>10.7</v>
      </c>
      <c r="L604" s="62">
        <f>Ringkasan!L618</f>
        <v>0.47</v>
      </c>
      <c r="M604" s="62">
        <f>Ringkasan!M618</f>
        <v>65.9</v>
      </c>
      <c r="N604" s="60" t="str">
        <f>Ringkasan!N618</f>
        <v/>
      </c>
      <c r="O604" s="60" t="str">
        <f>Ringkasan!O618</f>
        <v/>
      </c>
      <c r="P604" s="60" t="str">
        <f>Ringkasan!P618</f>
        <v/>
      </c>
      <c r="Q604" s="60" t="str">
        <f>Ringkasan!Q618</f>
        <v/>
      </c>
      <c r="R604" s="60" t="str">
        <f>Ringkasan!R618</f>
        <v/>
      </c>
      <c r="S604" s="60" t="str">
        <f>Ringkasan!S618</f>
        <v/>
      </c>
      <c r="T604" s="60" t="str">
        <f>Ringkasan!T618</f>
        <v/>
      </c>
      <c r="U604" s="60">
        <f>Ringkasan!U618</f>
        <v>1095</v>
      </c>
      <c r="V604" s="60">
        <f>Ringkasan!V618</f>
        <v>4.57</v>
      </c>
      <c r="W604" s="60">
        <f>Ringkasan!W618</f>
        <v>1105</v>
      </c>
      <c r="X604" s="60">
        <f>Ringkasan!X618</f>
        <v>1170</v>
      </c>
      <c r="Y604" s="60">
        <f>Ringkasan!Y618</f>
        <v>1100</v>
      </c>
      <c r="Z604" s="60">
        <f>Ringkasan!Z618</f>
        <v>7343000</v>
      </c>
      <c r="AA604" s="60" t="str">
        <f>Ringkasan!AA618</f>
        <v>Agricultural Products</v>
      </c>
      <c r="AB604" s="60" t="str">
        <f>Ringkasan!AB618</f>
        <v>Consumer Non-Cyclicals</v>
      </c>
    </row>
    <row r="605" hidden="1">
      <c r="A605" s="64" t="str">
        <f>Ringkasan!A971</f>
        <v>ITMG</v>
      </c>
      <c r="B605" s="64" t="str">
        <f>Ringkasan!B971</f>
        <v>Indo Tambangraya Megah Tbk.</v>
      </c>
      <c r="C605" s="65">
        <f>Ringkasan!C971</f>
        <v>23475</v>
      </c>
      <c r="D605" s="64" t="str">
        <f>Ringkasan!D971</f>
        <v>#N/A</v>
      </c>
      <c r="E605" s="64" t="str">
        <f>Ringkasan!E971</f>
        <v>IDX80</v>
      </c>
      <c r="F605" s="64" t="str">
        <f>Ringkasan!F971</f>
        <v>31 Juli 2026</v>
      </c>
      <c r="G605" s="64">
        <f>Ringkasan!G971</f>
        <v>12</v>
      </c>
      <c r="H605" s="19">
        <f>Ringkasan!H971</f>
        <v>8.2</v>
      </c>
      <c r="I605" s="19">
        <f>Ringkasan!I971</f>
        <v>0.76</v>
      </c>
      <c r="J605" s="19">
        <f>Ringkasan!J971</f>
        <v>9.3</v>
      </c>
      <c r="K605" s="19">
        <f>Ringkasan!K971</f>
        <v>7.5</v>
      </c>
      <c r="L605" s="19">
        <f>Ringkasan!L971</f>
        <v>0.25</v>
      </c>
      <c r="M605" s="19">
        <f>Ringkasan!M971</f>
        <v>36.2</v>
      </c>
      <c r="N605" s="64" t="str">
        <f>Ringkasan!N971</f>
        <v/>
      </c>
      <c r="O605" s="64" t="str">
        <f>Ringkasan!O971</f>
        <v/>
      </c>
      <c r="P605" s="64" t="str">
        <f>Ringkasan!P971</f>
        <v/>
      </c>
      <c r="Q605" s="64" t="str">
        <f>Ringkasan!Q971</f>
        <v/>
      </c>
      <c r="R605" s="64" t="str">
        <f>Ringkasan!R971</f>
        <v/>
      </c>
      <c r="S605" s="64" t="str">
        <f>Ringkasan!S971</f>
        <v/>
      </c>
      <c r="T605" s="64" t="str">
        <f>Ringkasan!T971</f>
        <v/>
      </c>
      <c r="U605" s="64">
        <f>Ringkasan!U971</f>
        <v>22350</v>
      </c>
      <c r="V605" s="64">
        <f>Ringkasan!V971</f>
        <v>5.03</v>
      </c>
      <c r="W605" s="64">
        <f>Ringkasan!W971</f>
        <v>22375</v>
      </c>
      <c r="X605" s="64">
        <f>Ringkasan!X971</f>
        <v>23775</v>
      </c>
      <c r="Y605" s="64">
        <f>Ringkasan!Y971</f>
        <v>22375</v>
      </c>
      <c r="Z605" s="64">
        <f>Ringkasan!Z971</f>
        <v>2791300</v>
      </c>
      <c r="AA605" s="64" t="str">
        <f>Ringkasan!AA971</f>
        <v>Coal</v>
      </c>
      <c r="AB605" s="64" t="str">
        <f>Ringkasan!AB971</f>
        <v>Energy</v>
      </c>
    </row>
    <row r="606">
      <c r="A606" s="60" t="str">
        <f>Ringkasan!A619</f>
        <v>DSNG</v>
      </c>
      <c r="B606" s="60" t="str">
        <f>Ringkasan!B619</f>
        <v>PT Dharma Satya Nusantara Tbk.</v>
      </c>
      <c r="C606" s="61">
        <f>Ringkasan!C619</f>
        <v>1145</v>
      </c>
      <c r="D606" s="60" t="str">
        <f>Ringkasan!D619</f>
        <v>#N/A</v>
      </c>
      <c r="E606" s="60" t="str">
        <f>Ringkasan!E619</f>
        <v>IDXSHAGROW</v>
      </c>
      <c r="F606" s="63">
        <f>Ringkasan!F619</f>
        <v>46356</v>
      </c>
      <c r="G606" s="61">
        <f>Ringkasan!G619</f>
        <v>12</v>
      </c>
      <c r="H606" s="62">
        <f>Ringkasan!H619</f>
        <v>6.6</v>
      </c>
      <c r="I606" s="62">
        <f>Ringkasan!I619</f>
        <v>1.1</v>
      </c>
      <c r="J606" s="62">
        <f>Ringkasan!J619</f>
        <v>15.8</v>
      </c>
      <c r="K606" s="62">
        <f>Ringkasan!K619</f>
        <v>10.7</v>
      </c>
      <c r="L606" s="62">
        <f>Ringkasan!L619</f>
        <v>0.47</v>
      </c>
      <c r="M606" s="62">
        <f>Ringkasan!M619</f>
        <v>65.9</v>
      </c>
      <c r="N606" s="60" t="str">
        <f>Ringkasan!N619</f>
        <v/>
      </c>
      <c r="O606" s="60" t="str">
        <f>Ringkasan!O619</f>
        <v/>
      </c>
      <c r="P606" s="60" t="str">
        <f>Ringkasan!P619</f>
        <v/>
      </c>
      <c r="Q606" s="60" t="str">
        <f>Ringkasan!Q619</f>
        <v/>
      </c>
      <c r="R606" s="60" t="str">
        <f>Ringkasan!R619</f>
        <v/>
      </c>
      <c r="S606" s="60" t="str">
        <f>Ringkasan!S619</f>
        <v/>
      </c>
      <c r="T606" s="60" t="str">
        <f>Ringkasan!T619</f>
        <v/>
      </c>
      <c r="U606" s="60">
        <f>Ringkasan!U619</f>
        <v>1095</v>
      </c>
      <c r="V606" s="60">
        <f>Ringkasan!V619</f>
        <v>4.57</v>
      </c>
      <c r="W606" s="60">
        <f>Ringkasan!W619</f>
        <v>1105</v>
      </c>
      <c r="X606" s="60">
        <f>Ringkasan!X619</f>
        <v>1170</v>
      </c>
      <c r="Y606" s="60">
        <f>Ringkasan!Y619</f>
        <v>1100</v>
      </c>
      <c r="Z606" s="60">
        <f>Ringkasan!Z619</f>
        <v>7343000</v>
      </c>
      <c r="AA606" s="60" t="str">
        <f>Ringkasan!AA619</f>
        <v>Agricultural Products</v>
      </c>
      <c r="AB606" s="60" t="str">
        <f>Ringkasan!AB619</f>
        <v>Consumer Non-Cyclicals</v>
      </c>
    </row>
    <row r="607">
      <c r="A607" s="60" t="str">
        <f>Ringkasan!A622</f>
        <v>DSNG</v>
      </c>
      <c r="B607" s="60" t="str">
        <f>Ringkasan!B622</f>
        <v>PT Dharma Satya Nusantara Tbk.</v>
      </c>
      <c r="C607" s="61">
        <f>Ringkasan!C622</f>
        <v>1145</v>
      </c>
      <c r="D607" s="60" t="str">
        <f>Ringkasan!D622</f>
        <v>#N/A</v>
      </c>
      <c r="E607" s="60" t="str">
        <f>Ringkasan!E622</f>
        <v>IDXVESTA28</v>
      </c>
      <c r="F607" s="60" t="str">
        <f>Ringkasan!F622</f>
        <v>31 Agustus 2026</v>
      </c>
      <c r="G607" s="61">
        <f>Ringkasan!G622</f>
        <v>12</v>
      </c>
      <c r="H607" s="62">
        <f>Ringkasan!H622</f>
        <v>6.6</v>
      </c>
      <c r="I607" s="62">
        <f>Ringkasan!I622</f>
        <v>1.1</v>
      </c>
      <c r="J607" s="62">
        <f>Ringkasan!J622</f>
        <v>15.8</v>
      </c>
      <c r="K607" s="62">
        <f>Ringkasan!K622</f>
        <v>10.7</v>
      </c>
      <c r="L607" s="62">
        <f>Ringkasan!L622</f>
        <v>0.47</v>
      </c>
      <c r="M607" s="62">
        <f>Ringkasan!M622</f>
        <v>65.9</v>
      </c>
      <c r="N607" s="60" t="str">
        <f>Ringkasan!N622</f>
        <v/>
      </c>
      <c r="O607" s="60" t="str">
        <f>Ringkasan!O622</f>
        <v/>
      </c>
      <c r="P607" s="60" t="str">
        <f>Ringkasan!P622</f>
        <v/>
      </c>
      <c r="Q607" s="60" t="str">
        <f>Ringkasan!Q622</f>
        <v/>
      </c>
      <c r="R607" s="60" t="str">
        <f>Ringkasan!R622</f>
        <v/>
      </c>
      <c r="S607" s="60" t="str">
        <f>Ringkasan!S622</f>
        <v/>
      </c>
      <c r="T607" s="60" t="str">
        <f>Ringkasan!T622</f>
        <v/>
      </c>
      <c r="U607" s="60">
        <f>Ringkasan!U622</f>
        <v>1095</v>
      </c>
      <c r="V607" s="60">
        <f>Ringkasan!V622</f>
        <v>4.57</v>
      </c>
      <c r="W607" s="60">
        <f>Ringkasan!W622</f>
        <v>1105</v>
      </c>
      <c r="X607" s="60">
        <f>Ringkasan!X622</f>
        <v>1170</v>
      </c>
      <c r="Y607" s="60">
        <f>Ringkasan!Y622</f>
        <v>1100</v>
      </c>
      <c r="Z607" s="60">
        <f>Ringkasan!Z622</f>
        <v>7343000</v>
      </c>
      <c r="AA607" s="60" t="str">
        <f>Ringkasan!AA622</f>
        <v>Agricultural Products</v>
      </c>
      <c r="AB607" s="60" t="str">
        <f>Ringkasan!AB622</f>
        <v>Consumer Non-Cyclicals</v>
      </c>
    </row>
    <row r="608" hidden="1">
      <c r="A608" s="64" t="str">
        <f>Ringkasan!A607</f>
        <v>DMMX</v>
      </c>
      <c r="B608" s="64" t="str">
        <f>Ringkasan!B607</f>
        <v>Digital Mediatama Maxima Tbk.</v>
      </c>
      <c r="C608" s="65">
        <f>Ringkasan!C607</f>
        <v>158</v>
      </c>
      <c r="D608" s="64" t="str">
        <f>Ringkasan!D607</f>
        <v>#N/A</v>
      </c>
      <c r="E608" s="64" t="str">
        <f>Ringkasan!E607</f>
        <v/>
      </c>
      <c r="F608" s="64" t="str">
        <f>Ringkasan!F607</f>
        <v/>
      </c>
      <c r="G608" s="64">
        <f>Ringkasan!G607</f>
        <v>0</v>
      </c>
      <c r="H608" s="19">
        <f>Ringkasan!H607</f>
        <v>22.4</v>
      </c>
      <c r="I608" s="19">
        <f>Ringkasan!I607</f>
        <v>2</v>
      </c>
      <c r="J608" s="19">
        <f>Ringkasan!J607</f>
        <v>8.7</v>
      </c>
      <c r="K608" s="19">
        <f>Ringkasan!K607</f>
        <v>7</v>
      </c>
      <c r="L608" s="19">
        <f>Ringkasan!L607</f>
        <v>0.25</v>
      </c>
      <c r="M608" s="19">
        <f>Ringkasan!M607</f>
        <v>79.9</v>
      </c>
      <c r="N608" s="64" t="str">
        <f>Ringkasan!N607</f>
        <v/>
      </c>
      <c r="O608" s="64" t="str">
        <f>Ringkasan!O607</f>
        <v/>
      </c>
      <c r="P608" s="64" t="str">
        <f>Ringkasan!P607</f>
        <v/>
      </c>
      <c r="Q608" s="64" t="str">
        <f>Ringkasan!Q607</f>
        <v/>
      </c>
      <c r="R608" s="64" t="str">
        <f>Ringkasan!R607</f>
        <v/>
      </c>
      <c r="S608" s="64" t="str">
        <f>Ringkasan!S607</f>
        <v/>
      </c>
      <c r="T608" s="64" t="str">
        <f>Ringkasan!T607</f>
        <v/>
      </c>
      <c r="U608" s="64">
        <f>Ringkasan!U607</f>
        <v>152</v>
      </c>
      <c r="V608" s="64">
        <f>Ringkasan!V607</f>
        <v>3.95</v>
      </c>
      <c r="W608" s="64">
        <f>Ringkasan!W607</f>
        <v>152</v>
      </c>
      <c r="X608" s="64">
        <f>Ringkasan!X607</f>
        <v>158</v>
      </c>
      <c r="Y608" s="64">
        <f>Ringkasan!Y607</f>
        <v>152</v>
      </c>
      <c r="Z608" s="64">
        <f>Ringkasan!Z607</f>
        <v>415300</v>
      </c>
      <c r="AA608" s="64" t="str">
        <f>Ringkasan!AA607</f>
        <v>IT Services &amp; Consulting</v>
      </c>
      <c r="AB608" s="64" t="str">
        <f>Ringkasan!AB607</f>
        <v>Technology</v>
      </c>
    </row>
    <row r="609" hidden="1">
      <c r="A609" s="60" t="str">
        <f>Ringkasan!A608</f>
        <v>DMND</v>
      </c>
      <c r="B609" s="60" t="str">
        <f>Ringkasan!B608</f>
        <v>Diamond Food Indonesia Tbk.</v>
      </c>
      <c r="C609" s="61">
        <f>Ringkasan!C608</f>
        <v>615</v>
      </c>
      <c r="D609" s="60" t="str">
        <f>Ringkasan!D608</f>
        <v>#N/A</v>
      </c>
      <c r="E609" s="60" t="str">
        <f>Ringkasan!E608</f>
        <v/>
      </c>
      <c r="F609" s="60" t="str">
        <f>Ringkasan!F608</f>
        <v/>
      </c>
      <c r="G609" s="60">
        <f>Ringkasan!G608</f>
        <v>0</v>
      </c>
      <c r="H609" s="62">
        <f>Ringkasan!H608</f>
        <v>12.8</v>
      </c>
      <c r="I609" s="62">
        <f>Ringkasan!I608</f>
        <v>0.87</v>
      </c>
      <c r="J609" s="62">
        <f>Ringkasan!J608</f>
        <v>6.8</v>
      </c>
      <c r="K609" s="62">
        <f>Ringkasan!K608</f>
        <v>5.4</v>
      </c>
      <c r="L609" s="62">
        <f>Ringkasan!L608</f>
        <v>0.25</v>
      </c>
      <c r="M609" s="62">
        <f>Ringkasan!M608</f>
        <v>14.3</v>
      </c>
      <c r="N609" s="60" t="str">
        <f>Ringkasan!N608</f>
        <v/>
      </c>
      <c r="O609" s="60" t="str">
        <f>Ringkasan!O608</f>
        <v/>
      </c>
      <c r="P609" s="60" t="str">
        <f>Ringkasan!P608</f>
        <v/>
      </c>
      <c r="Q609" s="60" t="str">
        <f>Ringkasan!Q608</f>
        <v/>
      </c>
      <c r="R609" s="60" t="str">
        <f>Ringkasan!R608</f>
        <v/>
      </c>
      <c r="S609" s="60" t="str">
        <f>Ringkasan!S608</f>
        <v/>
      </c>
      <c r="T609" s="60" t="str">
        <f>Ringkasan!T608</f>
        <v/>
      </c>
      <c r="U609" s="60" t="str">
        <f>Ringkasan!U608</f>
        <v/>
      </c>
      <c r="V609" s="60">
        <f>Ringkasan!V608</f>
        <v>0.82</v>
      </c>
      <c r="W609" s="60">
        <f>Ringkasan!W608</f>
        <v>610</v>
      </c>
      <c r="X609" s="60">
        <f>Ringkasan!X608</f>
        <v>615</v>
      </c>
      <c r="Y609" s="60">
        <f>Ringkasan!Y608</f>
        <v>580</v>
      </c>
      <c r="Z609" s="60">
        <f>Ringkasan!Z608</f>
        <v>25800</v>
      </c>
      <c r="AA609" s="60" t="str">
        <f>Ringkasan!AA608</f>
        <v>Food &amp; Staples Retailing</v>
      </c>
      <c r="AB609" s="64" t="str">
        <f>Ringkasan!AB608</f>
        <v>Consumer Non-Cyclicals</v>
      </c>
    </row>
    <row r="610" hidden="1">
      <c r="A610" s="60" t="str">
        <f>Ringkasan!A609</f>
        <v>DNAR</v>
      </c>
      <c r="B610" s="60" t="str">
        <f>Ringkasan!B609</f>
        <v>PT Bank Oke Indonesia Tbk.</v>
      </c>
      <c r="C610" s="61">
        <f>Ringkasan!C609</f>
        <v>114</v>
      </c>
      <c r="D610" s="60" t="str">
        <f>Ringkasan!D609</f>
        <v>#N/A</v>
      </c>
      <c r="E610" s="60" t="str">
        <f>Ringkasan!E609</f>
        <v/>
      </c>
      <c r="F610" s="60" t="str">
        <f>Ringkasan!F609</f>
        <v/>
      </c>
      <c r="G610" s="60">
        <f>Ringkasan!G609</f>
        <v>0</v>
      </c>
      <c r="H610" s="62">
        <f>Ringkasan!H609</f>
        <v>10.4</v>
      </c>
      <c r="I610" s="62">
        <f>Ringkasan!I609</f>
        <v>0.53</v>
      </c>
      <c r="J610" s="62">
        <f>Ringkasan!J609</f>
        <v>5</v>
      </c>
      <c r="K610" s="62">
        <f>Ringkasan!K609</f>
        <v>1.4</v>
      </c>
      <c r="L610" s="62">
        <f>Ringkasan!L609</f>
        <v>2.6</v>
      </c>
      <c r="M610" s="62">
        <f>Ringkasan!M609</f>
        <v>59.5</v>
      </c>
      <c r="N610" s="60">
        <f>Ringkasan!N609</f>
        <v>3.85</v>
      </c>
      <c r="O610" s="60">
        <f>Ringkasan!O609</f>
        <v>44.15</v>
      </c>
      <c r="P610" s="60">
        <f>Ringkasan!P609</f>
        <v>83.4</v>
      </c>
      <c r="Q610" s="60">
        <f>Ringkasan!Q609</f>
        <v>2.95</v>
      </c>
      <c r="R610" s="60">
        <f>Ringkasan!R609</f>
        <v>94.15</v>
      </c>
      <c r="S610" s="60">
        <f>Ringkasan!S609</f>
        <v>78.4</v>
      </c>
      <c r="T610" s="60">
        <f>Ringkasan!T609</f>
        <v>9.12</v>
      </c>
      <c r="U610" s="60">
        <f>Ringkasan!U609</f>
        <v>104</v>
      </c>
      <c r="V610" s="60">
        <f>Ringkasan!V609</f>
        <v>9.62</v>
      </c>
      <c r="W610" s="60">
        <f>Ringkasan!W609</f>
        <v>104</v>
      </c>
      <c r="X610" s="60">
        <f>Ringkasan!X609</f>
        <v>119</v>
      </c>
      <c r="Y610" s="60">
        <f>Ringkasan!Y609</f>
        <v>104</v>
      </c>
      <c r="Z610" s="60">
        <f>Ringkasan!Z609</f>
        <v>697300</v>
      </c>
      <c r="AA610" s="60" t="str">
        <f>Ringkasan!AA609</f>
        <v>Banks</v>
      </c>
      <c r="AB610" s="64" t="str">
        <f>Ringkasan!AB609</f>
        <v>Financials</v>
      </c>
    </row>
    <row r="611" hidden="1">
      <c r="A611" s="60" t="str">
        <f>Ringkasan!A594</f>
        <v>DEWI</v>
      </c>
      <c r="B611" s="60" t="str">
        <f>Ringkasan!B594</f>
        <v>Dewi Shri Farmindo Tbk.</v>
      </c>
      <c r="C611" s="61">
        <f>Ringkasan!C594</f>
        <v>118</v>
      </c>
      <c r="D611" s="60" t="str">
        <f>Ringkasan!D594</f>
        <v>#N/A</v>
      </c>
      <c r="E611" s="60" t="str">
        <f>Ringkasan!E594</f>
        <v/>
      </c>
      <c r="F611" s="60" t="str">
        <f>Ringkasan!F594</f>
        <v/>
      </c>
      <c r="G611" s="60">
        <f>Ringkasan!G594</f>
        <v>0</v>
      </c>
      <c r="H611" s="62">
        <f>Ringkasan!H594</f>
        <v>28.3</v>
      </c>
      <c r="I611" s="62">
        <f>Ringkasan!I594</f>
        <v>1.4</v>
      </c>
      <c r="J611" s="62">
        <f>Ringkasan!J594</f>
        <v>5</v>
      </c>
      <c r="K611" s="62">
        <f>Ringkasan!K594</f>
        <v>4.2</v>
      </c>
      <c r="L611" s="62">
        <f>Ringkasan!L594</f>
        <v>0.19</v>
      </c>
      <c r="M611" s="62">
        <f>Ringkasan!M594</f>
        <v>33.8</v>
      </c>
      <c r="N611" s="60" t="str">
        <f>Ringkasan!N594</f>
        <v/>
      </c>
      <c r="O611" s="60" t="str">
        <f>Ringkasan!O594</f>
        <v/>
      </c>
      <c r="P611" s="60" t="str">
        <f>Ringkasan!P594</f>
        <v/>
      </c>
      <c r="Q611" s="60" t="str">
        <f>Ringkasan!Q594</f>
        <v/>
      </c>
      <c r="R611" s="60" t="str">
        <f>Ringkasan!R594</f>
        <v/>
      </c>
      <c r="S611" s="60" t="str">
        <f>Ringkasan!S594</f>
        <v/>
      </c>
      <c r="T611" s="60" t="str">
        <f>Ringkasan!T594</f>
        <v/>
      </c>
      <c r="U611" s="60">
        <f>Ringkasan!U594</f>
        <v>117</v>
      </c>
      <c r="V611" s="60">
        <f>Ringkasan!V594</f>
        <v>0.85</v>
      </c>
      <c r="W611" s="60">
        <f>Ringkasan!W594</f>
        <v>117</v>
      </c>
      <c r="X611" s="60">
        <f>Ringkasan!X594</f>
        <v>119</v>
      </c>
      <c r="Y611" s="60">
        <f>Ringkasan!Y594</f>
        <v>115</v>
      </c>
      <c r="Z611" s="60" t="str">
        <f>Ringkasan!Z594</f>
        <v/>
      </c>
      <c r="AA611" s="60" t="str">
        <f>Ringkasan!AA594</f>
        <v>Agricultural Products</v>
      </c>
      <c r="AB611" s="60" t="str">
        <f>Ringkasan!AB594</f>
        <v>Consumer Non-Cyclicals</v>
      </c>
    </row>
    <row r="612" hidden="1">
      <c r="A612" s="60" t="str">
        <f>Ringkasan!A595</f>
        <v>DFAM</v>
      </c>
      <c r="B612" s="60" t="str">
        <f>Ringkasan!B595</f>
        <v>Dafam Property Indonesia Tbk.</v>
      </c>
      <c r="C612" s="61">
        <f>Ringkasan!C595</f>
        <v>94</v>
      </c>
      <c r="D612" s="60" t="str">
        <f>Ringkasan!D595</f>
        <v>#N/A</v>
      </c>
      <c r="E612" s="60" t="str">
        <f>Ringkasan!E595</f>
        <v/>
      </c>
      <c r="F612" s="60" t="str">
        <f>Ringkasan!F595</f>
        <v/>
      </c>
      <c r="G612" s="60">
        <f>Ringkasan!G595</f>
        <v>0</v>
      </c>
      <c r="H612" s="62">
        <f>Ringkasan!H595</f>
        <v>-28.4</v>
      </c>
      <c r="I612" s="62">
        <f>Ringkasan!I595</f>
        <v>27.2</v>
      </c>
      <c r="J612" s="62">
        <f>Ringkasan!J595</f>
        <v>-95.8</v>
      </c>
      <c r="K612" s="62">
        <f>Ringkasan!K595</f>
        <v>-3.2</v>
      </c>
      <c r="L612" s="62">
        <f>Ringkasan!L595</f>
        <v>29</v>
      </c>
      <c r="M612" s="62">
        <f>Ringkasan!M595</f>
        <v>-52.9</v>
      </c>
      <c r="N612" s="60" t="str">
        <f>Ringkasan!N595</f>
        <v/>
      </c>
      <c r="O612" s="60" t="str">
        <f>Ringkasan!O595</f>
        <v/>
      </c>
      <c r="P612" s="60" t="str">
        <f>Ringkasan!P595</f>
        <v/>
      </c>
      <c r="Q612" s="60" t="str">
        <f>Ringkasan!Q595</f>
        <v/>
      </c>
      <c r="R612" s="60" t="str">
        <f>Ringkasan!R595</f>
        <v/>
      </c>
      <c r="S612" s="60" t="str">
        <f>Ringkasan!S595</f>
        <v/>
      </c>
      <c r="T612" s="60" t="str">
        <f>Ringkasan!T595</f>
        <v/>
      </c>
      <c r="U612" s="60" t="str">
        <f>Ringkasan!U595</f>
        <v/>
      </c>
      <c r="V612" s="60">
        <f>Ringkasan!V595</f>
        <v>-6</v>
      </c>
      <c r="W612" s="60">
        <f>Ringkasan!W595</f>
        <v>101</v>
      </c>
      <c r="X612" s="60">
        <f>Ringkasan!X595</f>
        <v>101</v>
      </c>
      <c r="Y612" s="60">
        <f>Ringkasan!Y595</f>
        <v>94</v>
      </c>
      <c r="Z612" s="60">
        <f>Ringkasan!Z595</f>
        <v>20293000</v>
      </c>
      <c r="AA612" s="60" t="str">
        <f>Ringkasan!AA595</f>
        <v>Tourism &amp; Recreation</v>
      </c>
      <c r="AB612" s="60" t="str">
        <f>Ringkasan!AB595</f>
        <v>Consumer Cyclicals</v>
      </c>
    </row>
    <row r="613" hidden="1">
      <c r="A613" s="60" t="str">
        <f>Ringkasan!A1805</f>
        <v>UNTR</v>
      </c>
      <c r="B613" s="60" t="str">
        <f>Ringkasan!B1805</f>
        <v>United Tractors Tbk.</v>
      </c>
      <c r="C613" s="61">
        <f>Ringkasan!C1805</f>
        <v>22500</v>
      </c>
      <c r="D613" s="60" t="str">
        <f>Ringkasan!D1805</f>
        <v>#N/A</v>
      </c>
      <c r="E613" s="60" t="str">
        <f>Ringkasan!E1805</f>
        <v>IDXV30</v>
      </c>
      <c r="F613" s="60" t="str">
        <f>Ringkasan!F1805</f>
        <v>4 Agustus 2026</v>
      </c>
      <c r="G613" s="61">
        <f>Ringkasan!G1805</f>
        <v>20</v>
      </c>
      <c r="H613" s="62">
        <f>Ringkasan!H1805</f>
        <v>7</v>
      </c>
      <c r="I613" s="62">
        <f>Ringkasan!I1805</f>
        <v>0.84</v>
      </c>
      <c r="J613" s="62">
        <f>Ringkasan!J1805</f>
        <v>12.1</v>
      </c>
      <c r="K613" s="62">
        <f>Ringkasan!K1805</f>
        <v>6.7</v>
      </c>
      <c r="L613" s="62">
        <f>Ringkasan!L1805</f>
        <v>0.8</v>
      </c>
      <c r="M613" s="62">
        <f>Ringkasan!M1805</f>
        <v>43</v>
      </c>
      <c r="N613" s="60" t="str">
        <f>Ringkasan!N1805</f>
        <v/>
      </c>
      <c r="O613" s="60" t="str">
        <f>Ringkasan!O1805</f>
        <v/>
      </c>
      <c r="P613" s="60" t="str">
        <f>Ringkasan!P1805</f>
        <v/>
      </c>
      <c r="Q613" s="60" t="str">
        <f>Ringkasan!Q1805</f>
        <v/>
      </c>
      <c r="R613" s="60" t="str">
        <f>Ringkasan!R1805</f>
        <v/>
      </c>
      <c r="S613" s="60" t="str">
        <f>Ringkasan!S1805</f>
        <v/>
      </c>
      <c r="T613" s="60" t="str">
        <f>Ringkasan!T1805</f>
        <v/>
      </c>
      <c r="U613" s="60">
        <f>Ringkasan!U1805</f>
        <v>21750</v>
      </c>
      <c r="V613" s="60">
        <f>Ringkasan!V1805</f>
        <v>3.45</v>
      </c>
      <c r="W613" s="60">
        <f>Ringkasan!W1805</f>
        <v>21900</v>
      </c>
      <c r="X613" s="60">
        <f>Ringkasan!X1805</f>
        <v>22825</v>
      </c>
      <c r="Y613" s="60">
        <f>Ringkasan!Y1805</f>
        <v>21900</v>
      </c>
      <c r="Z613" s="60">
        <f>Ringkasan!Z1805</f>
        <v>5608900</v>
      </c>
      <c r="AA613" s="60" t="str">
        <f>Ringkasan!AA1805</f>
        <v>Machinery</v>
      </c>
      <c r="AB613" s="60" t="str">
        <f>Ringkasan!AB1805</f>
        <v>Industrials</v>
      </c>
    </row>
    <row r="614" hidden="1">
      <c r="A614" s="60" t="str">
        <f>Ringkasan!A1800</f>
        <v>UNTR</v>
      </c>
      <c r="B614" s="60" t="str">
        <f>Ringkasan!B1800</f>
        <v>United Tractors Tbk.</v>
      </c>
      <c r="C614" s="61">
        <f>Ringkasan!C1800</f>
        <v>22500</v>
      </c>
      <c r="D614" s="60" t="str">
        <f>Ringkasan!D1800</f>
        <v>#N/A</v>
      </c>
      <c r="E614" s="60" t="str">
        <f>Ringkasan!E1800</f>
        <v>MNC36</v>
      </c>
      <c r="F614" s="60" t="str">
        <f>Ringkasan!F1800</f>
        <v>30 Oktober 2026</v>
      </c>
      <c r="G614" s="61">
        <f>Ringkasan!G1800</f>
        <v>20</v>
      </c>
      <c r="H614" s="62">
        <f>Ringkasan!H1800</f>
        <v>7</v>
      </c>
      <c r="I614" s="62">
        <f>Ringkasan!I1800</f>
        <v>0.84</v>
      </c>
      <c r="J614" s="62">
        <f>Ringkasan!J1800</f>
        <v>12.1</v>
      </c>
      <c r="K614" s="62">
        <f>Ringkasan!K1800</f>
        <v>6.7</v>
      </c>
      <c r="L614" s="62">
        <f>Ringkasan!L1800</f>
        <v>0.8</v>
      </c>
      <c r="M614" s="62">
        <f>Ringkasan!M1800</f>
        <v>43</v>
      </c>
      <c r="N614" s="60" t="str">
        <f>Ringkasan!N1800</f>
        <v/>
      </c>
      <c r="O614" s="60" t="str">
        <f>Ringkasan!O1800</f>
        <v/>
      </c>
      <c r="P614" s="60" t="str">
        <f>Ringkasan!P1800</f>
        <v/>
      </c>
      <c r="Q614" s="60" t="str">
        <f>Ringkasan!Q1800</f>
        <v/>
      </c>
      <c r="R614" s="60" t="str">
        <f>Ringkasan!R1800</f>
        <v/>
      </c>
      <c r="S614" s="60" t="str">
        <f>Ringkasan!S1800</f>
        <v/>
      </c>
      <c r="T614" s="60" t="str">
        <f>Ringkasan!T1800</f>
        <v/>
      </c>
      <c r="U614" s="60">
        <f>Ringkasan!U1800</f>
        <v>21750</v>
      </c>
      <c r="V614" s="60">
        <f>Ringkasan!V1800</f>
        <v>3.45</v>
      </c>
      <c r="W614" s="60">
        <f>Ringkasan!W1800</f>
        <v>21900</v>
      </c>
      <c r="X614" s="60">
        <f>Ringkasan!X1800</f>
        <v>22825</v>
      </c>
      <c r="Y614" s="60">
        <f>Ringkasan!Y1800</f>
        <v>21900</v>
      </c>
      <c r="Z614" s="60">
        <f>Ringkasan!Z1800</f>
        <v>5608900</v>
      </c>
      <c r="AA614" s="60" t="str">
        <f>Ringkasan!AA1800</f>
        <v>Machinery</v>
      </c>
      <c r="AB614" s="60" t="str">
        <f>Ringkasan!AB1800</f>
        <v>Industrials</v>
      </c>
    </row>
    <row r="615" hidden="1">
      <c r="A615" s="64" t="str">
        <f>Ringkasan!A1257</f>
        <v>MSJA</v>
      </c>
      <c r="B615" s="64" t="str">
        <f>Ringkasan!B1257</f>
        <v>Multi Spunindo Jaya Tbk.</v>
      </c>
      <c r="C615" s="61">
        <f>Ringkasan!C1257</f>
        <v>414</v>
      </c>
      <c r="D615" s="60" t="str">
        <f>Ringkasan!D1257</f>
        <v>#N/A</v>
      </c>
      <c r="E615" s="60" t="str">
        <f>Ringkasan!E1257</f>
        <v/>
      </c>
      <c r="F615" s="60" t="str">
        <f>Ringkasan!F1257</f>
        <v/>
      </c>
      <c r="G615" s="60">
        <f>Ringkasan!G1257</f>
        <v>0</v>
      </c>
      <c r="H615" s="62">
        <f>Ringkasan!H1257</f>
        <v>22.1</v>
      </c>
      <c r="I615" s="62">
        <f>Ringkasan!I1257</f>
        <v>1.6</v>
      </c>
      <c r="J615" s="62">
        <f>Ringkasan!J1257</f>
        <v>7.3</v>
      </c>
      <c r="K615" s="62">
        <f>Ringkasan!K1257</f>
        <v>5.9</v>
      </c>
      <c r="L615" s="62">
        <f>Ringkasan!L1257</f>
        <v>0.24</v>
      </c>
      <c r="M615" s="62">
        <f>Ringkasan!M1257</f>
        <v>41.9</v>
      </c>
      <c r="N615" s="60" t="str">
        <f>Ringkasan!N1257</f>
        <v/>
      </c>
      <c r="O615" s="60" t="str">
        <f>Ringkasan!O1257</f>
        <v/>
      </c>
      <c r="P615" s="60" t="str">
        <f>Ringkasan!P1257</f>
        <v/>
      </c>
      <c r="Q615" s="60" t="str">
        <f>Ringkasan!Q1257</f>
        <v/>
      </c>
      <c r="R615" s="60" t="str">
        <f>Ringkasan!R1257</f>
        <v/>
      </c>
      <c r="S615" s="60" t="str">
        <f>Ringkasan!S1257</f>
        <v/>
      </c>
      <c r="T615" s="60" t="str">
        <f>Ringkasan!T1257</f>
        <v/>
      </c>
      <c r="U615" s="60">
        <f>Ringkasan!U1257</f>
        <v>398</v>
      </c>
      <c r="V615" s="60">
        <f>Ringkasan!V1257</f>
        <v>4.02</v>
      </c>
      <c r="W615" s="60">
        <f>Ringkasan!W1257</f>
        <v>392</v>
      </c>
      <c r="X615" s="60">
        <f>Ringkasan!X1257</f>
        <v>436</v>
      </c>
      <c r="Y615" s="60">
        <f>Ringkasan!Y1257</f>
        <v>390</v>
      </c>
      <c r="Z615" s="60" t="str">
        <f>Ringkasan!Z1257</f>
        <v/>
      </c>
      <c r="AA615" s="60" t="str">
        <f>Ringkasan!AA1257</f>
        <v>Personal Care Products</v>
      </c>
      <c r="AB615" s="64" t="str">
        <f>Ringkasan!AB1257</f>
        <v>Consumer Non-Cyclicals</v>
      </c>
    </row>
    <row r="616" hidden="1">
      <c r="A616" s="64" t="str">
        <f>Ringkasan!A1258</f>
        <v>MSKY</v>
      </c>
      <c r="B616" s="64" t="str">
        <f>Ringkasan!B1258</f>
        <v>MNC Sky Vision Tbk.</v>
      </c>
      <c r="C616" s="61">
        <f>Ringkasan!C1258</f>
        <v>62</v>
      </c>
      <c r="D616" s="60" t="str">
        <f>Ringkasan!D1258</f>
        <v>#N/A</v>
      </c>
      <c r="E616" s="60" t="str">
        <f>Ringkasan!E1258</f>
        <v/>
      </c>
      <c r="F616" s="60" t="str">
        <f>Ringkasan!F1258</f>
        <v/>
      </c>
      <c r="G616" s="60">
        <f>Ringkasan!G1258</f>
        <v>0</v>
      </c>
      <c r="H616" s="62">
        <f>Ringkasan!H1258</f>
        <v>-3.9</v>
      </c>
      <c r="I616" s="62">
        <f>Ringkasan!I1258</f>
        <v>0.16</v>
      </c>
      <c r="J616" s="62">
        <f>Ringkasan!J1258</f>
        <v>-4.2</v>
      </c>
      <c r="K616" s="62">
        <f>Ringkasan!K1258</f>
        <v>-2.6</v>
      </c>
      <c r="L616" s="62">
        <f>Ringkasan!L1258</f>
        <v>0.64</v>
      </c>
      <c r="M616" s="62">
        <f>Ringkasan!M1258</f>
        <v>-49.5</v>
      </c>
      <c r="N616" s="60" t="str">
        <f>Ringkasan!N1258</f>
        <v/>
      </c>
      <c r="O616" s="60" t="str">
        <f>Ringkasan!O1258</f>
        <v/>
      </c>
      <c r="P616" s="60" t="str">
        <f>Ringkasan!P1258</f>
        <v/>
      </c>
      <c r="Q616" s="60" t="str">
        <f>Ringkasan!Q1258</f>
        <v/>
      </c>
      <c r="R616" s="60" t="str">
        <f>Ringkasan!R1258</f>
        <v/>
      </c>
      <c r="S616" s="60" t="str">
        <f>Ringkasan!S1258</f>
        <v/>
      </c>
      <c r="T616" s="60" t="str">
        <f>Ringkasan!T1258</f>
        <v/>
      </c>
      <c r="U616" s="60">
        <f>Ringkasan!U1258</f>
        <v>62</v>
      </c>
      <c r="V616" s="60">
        <f>Ringkasan!V1258</f>
        <v>0</v>
      </c>
      <c r="W616" s="60">
        <f>Ringkasan!W1258</f>
        <v>62</v>
      </c>
      <c r="X616" s="60">
        <f>Ringkasan!X1258</f>
        <v>65</v>
      </c>
      <c r="Y616" s="60">
        <f>Ringkasan!Y1258</f>
        <v>62</v>
      </c>
      <c r="Z616" s="60">
        <f>Ringkasan!Z1258</f>
        <v>7739000</v>
      </c>
      <c r="AA616" s="60" t="str">
        <f>Ringkasan!AA1258</f>
        <v>Media</v>
      </c>
      <c r="AB616" s="64" t="str">
        <f>Ringkasan!AB1258</f>
        <v>Consumer Cyclicals</v>
      </c>
    </row>
    <row r="617" hidden="1">
      <c r="A617" s="64" t="str">
        <f>Ringkasan!A1259</f>
        <v>MSTI</v>
      </c>
      <c r="B617" s="64" t="str">
        <f>Ringkasan!B1259</f>
        <v>Mastersystem Infotama Tbk.</v>
      </c>
      <c r="C617" s="61">
        <f>Ringkasan!C1259</f>
        <v>1210</v>
      </c>
      <c r="D617" s="60" t="str">
        <f>Ringkasan!D1259</f>
        <v>#N/A</v>
      </c>
      <c r="E617" s="60" t="str">
        <f>Ringkasan!E1259</f>
        <v/>
      </c>
      <c r="F617" s="60" t="str">
        <f>Ringkasan!F1259</f>
        <v/>
      </c>
      <c r="G617" s="61">
        <f>Ringkasan!G1259</f>
        <v>0</v>
      </c>
      <c r="H617" s="62">
        <f>Ringkasan!H1259</f>
        <v>7.9</v>
      </c>
      <c r="I617" s="62">
        <f>Ringkasan!I1259</f>
        <v>1.8</v>
      </c>
      <c r="J617" s="62">
        <f>Ringkasan!J1259</f>
        <v>22.5</v>
      </c>
      <c r="K617" s="62">
        <f>Ringkasan!K1259</f>
        <v>15.9</v>
      </c>
      <c r="L617" s="62">
        <f>Ringkasan!L1259</f>
        <v>0.42</v>
      </c>
      <c r="M617" s="62">
        <f>Ringkasan!M1259</f>
        <v>49.3</v>
      </c>
      <c r="N617" s="60" t="str">
        <f>Ringkasan!N1259</f>
        <v/>
      </c>
      <c r="O617" s="60" t="str">
        <f>Ringkasan!O1259</f>
        <v/>
      </c>
      <c r="P617" s="60" t="str">
        <f>Ringkasan!P1259</f>
        <v/>
      </c>
      <c r="Q617" s="60" t="str">
        <f>Ringkasan!Q1259</f>
        <v/>
      </c>
      <c r="R617" s="60" t="str">
        <f>Ringkasan!R1259</f>
        <v/>
      </c>
      <c r="S617" s="60" t="str">
        <f>Ringkasan!S1259</f>
        <v/>
      </c>
      <c r="T617" s="60" t="str">
        <f>Ringkasan!T1259</f>
        <v/>
      </c>
      <c r="U617" s="60">
        <f>Ringkasan!U1259</f>
        <v>20.24</v>
      </c>
      <c r="V617" s="60">
        <f>Ringkasan!V1259</f>
        <v>0.25</v>
      </c>
      <c r="W617" s="60">
        <f>Ringkasan!W1259</f>
        <v>20.28</v>
      </c>
      <c r="X617" s="60">
        <f>Ringkasan!X1259</f>
        <v>20.29</v>
      </c>
      <c r="Y617" s="60">
        <f>Ringkasan!Y1259</f>
        <v>20.16</v>
      </c>
      <c r="Z617" s="60">
        <f>Ringkasan!Z1259</f>
        <v>1411</v>
      </c>
      <c r="AA617" s="60" t="str">
        <f>Ringkasan!AA1259</f>
        <v>Networking Equipment</v>
      </c>
      <c r="AB617" s="64" t="str">
        <f>Ringkasan!AB1259</f>
        <v>Technology</v>
      </c>
    </row>
    <row r="618" hidden="1">
      <c r="A618" s="60" t="str">
        <f>Ringkasan!A617</f>
        <v>DSFI</v>
      </c>
      <c r="B618" s="60" t="str">
        <f>Ringkasan!B617</f>
        <v>Dharma Samudera Fishing Industries Tbk.</v>
      </c>
      <c r="C618" s="61">
        <f>Ringkasan!C617</f>
        <v>71</v>
      </c>
      <c r="D618" s="60" t="str">
        <f>Ringkasan!D617</f>
        <v>#N/A</v>
      </c>
      <c r="E618" s="60" t="str">
        <f>Ringkasan!E617</f>
        <v/>
      </c>
      <c r="F618" s="60" t="str">
        <f>Ringkasan!F617</f>
        <v/>
      </c>
      <c r="G618" s="60">
        <f>Ringkasan!G617</f>
        <v>0</v>
      </c>
      <c r="H618" s="62">
        <f>Ringkasan!H617</f>
        <v>7.1</v>
      </c>
      <c r="I618" s="62">
        <f>Ringkasan!I617</f>
        <v>0.5</v>
      </c>
      <c r="J618" s="62">
        <f>Ringkasan!J617</f>
        <v>7</v>
      </c>
      <c r="K618" s="62">
        <f>Ringkasan!K617</f>
        <v>4.2</v>
      </c>
      <c r="L618" s="62">
        <f>Ringkasan!L617</f>
        <v>0.68</v>
      </c>
      <c r="M618" s="62">
        <f>Ringkasan!M617</f>
        <v>11.2</v>
      </c>
      <c r="N618" s="60" t="str">
        <f>Ringkasan!N617</f>
        <v/>
      </c>
      <c r="O618" s="60" t="str">
        <f>Ringkasan!O617</f>
        <v/>
      </c>
      <c r="P618" s="60" t="str">
        <f>Ringkasan!P617</f>
        <v/>
      </c>
      <c r="Q618" s="60" t="str">
        <f>Ringkasan!Q617</f>
        <v/>
      </c>
      <c r="R618" s="60" t="str">
        <f>Ringkasan!R617</f>
        <v/>
      </c>
      <c r="S618" s="60" t="str">
        <f>Ringkasan!S617</f>
        <v/>
      </c>
      <c r="T618" s="60" t="str">
        <f>Ringkasan!T617</f>
        <v/>
      </c>
      <c r="U618" s="60">
        <f>Ringkasan!U617</f>
        <v>66</v>
      </c>
      <c r="V618" s="60">
        <f>Ringkasan!V617</f>
        <v>7.58</v>
      </c>
      <c r="W618" s="60">
        <f>Ringkasan!W617</f>
        <v>66</v>
      </c>
      <c r="X618" s="60">
        <f>Ringkasan!X617</f>
        <v>71</v>
      </c>
      <c r="Y618" s="60">
        <f>Ringkasan!Y617</f>
        <v>66</v>
      </c>
      <c r="Z618" s="60">
        <f>Ringkasan!Z617</f>
        <v>3060000</v>
      </c>
      <c r="AA618" s="60" t="str">
        <f>Ringkasan!AA617</f>
        <v>Agricultural Products</v>
      </c>
      <c r="AB618" s="60" t="str">
        <f>Ringkasan!AB617</f>
        <v>Consumer Non-Cyclicals</v>
      </c>
    </row>
    <row r="619">
      <c r="A619" s="60" t="str">
        <f>Ringkasan!A621</f>
        <v>DSNG</v>
      </c>
      <c r="B619" s="60" t="str">
        <f>Ringkasan!B621</f>
        <v>PT Dharma Satya Nusantara Tbk.</v>
      </c>
      <c r="C619" s="61">
        <f>Ringkasan!C621</f>
        <v>1145</v>
      </c>
      <c r="D619" s="60" t="str">
        <f>Ringkasan!D621</f>
        <v>#N/A</v>
      </c>
      <c r="E619" s="60" t="str">
        <f>Ringkasan!E621</f>
        <v>IDX80</v>
      </c>
      <c r="F619" s="60" t="str">
        <f>Ringkasan!F621</f>
        <v>31 Juli 2026</v>
      </c>
      <c r="G619" s="61">
        <f>Ringkasan!G621</f>
        <v>12</v>
      </c>
      <c r="H619" s="62">
        <f>Ringkasan!H621</f>
        <v>6.6</v>
      </c>
      <c r="I619" s="62">
        <f>Ringkasan!I621</f>
        <v>1.1</v>
      </c>
      <c r="J619" s="62">
        <f>Ringkasan!J621</f>
        <v>15.8</v>
      </c>
      <c r="K619" s="62">
        <f>Ringkasan!K621</f>
        <v>10.7</v>
      </c>
      <c r="L619" s="62">
        <f>Ringkasan!L621</f>
        <v>0.47</v>
      </c>
      <c r="M619" s="62">
        <f>Ringkasan!M621</f>
        <v>65.9</v>
      </c>
      <c r="N619" s="60" t="str">
        <f>Ringkasan!N621</f>
        <v/>
      </c>
      <c r="O619" s="60" t="str">
        <f>Ringkasan!O621</f>
        <v/>
      </c>
      <c r="P619" s="60" t="str">
        <f>Ringkasan!P621</f>
        <v/>
      </c>
      <c r="Q619" s="60" t="str">
        <f>Ringkasan!Q621</f>
        <v/>
      </c>
      <c r="R619" s="60" t="str">
        <f>Ringkasan!R621</f>
        <v/>
      </c>
      <c r="S619" s="60" t="str">
        <f>Ringkasan!S621</f>
        <v/>
      </c>
      <c r="T619" s="60" t="str">
        <f>Ringkasan!T621</f>
        <v/>
      </c>
      <c r="U619" s="60">
        <f>Ringkasan!U621</f>
        <v>1095</v>
      </c>
      <c r="V619" s="60">
        <f>Ringkasan!V621</f>
        <v>4.57</v>
      </c>
      <c r="W619" s="60">
        <f>Ringkasan!W621</f>
        <v>1105</v>
      </c>
      <c r="X619" s="60">
        <f>Ringkasan!X621</f>
        <v>1170</v>
      </c>
      <c r="Y619" s="60">
        <f>Ringkasan!Y621</f>
        <v>1100</v>
      </c>
      <c r="Z619" s="60">
        <f>Ringkasan!Z621</f>
        <v>7343000</v>
      </c>
      <c r="AA619" s="60" t="str">
        <f>Ringkasan!AA621</f>
        <v>Agricultural Products</v>
      </c>
      <c r="AB619" s="60" t="str">
        <f>Ringkasan!AB621</f>
        <v>Consumer Non-Cyclicals</v>
      </c>
    </row>
    <row r="620">
      <c r="A620" s="60" t="str">
        <f>Ringkasan!A625</f>
        <v>DSNG</v>
      </c>
      <c r="B620" s="60" t="str">
        <f>Ringkasan!B625</f>
        <v>PT Dharma Satya Nusantara Tbk.</v>
      </c>
      <c r="C620" s="61">
        <f>Ringkasan!C625</f>
        <v>1145</v>
      </c>
      <c r="D620" s="60" t="str">
        <f>Ringkasan!D625</f>
        <v>#N/A</v>
      </c>
      <c r="E620" s="60" t="str">
        <f>Ringkasan!E625</f>
        <v>IDXQ30</v>
      </c>
      <c r="F620" s="60" t="str">
        <f>Ringkasan!F625</f>
        <v>4 Agustus 2026</v>
      </c>
      <c r="G620" s="61">
        <f>Ringkasan!G625</f>
        <v>12</v>
      </c>
      <c r="H620" s="62">
        <f>Ringkasan!H625</f>
        <v>6.6</v>
      </c>
      <c r="I620" s="62">
        <f>Ringkasan!I625</f>
        <v>1.1</v>
      </c>
      <c r="J620" s="62">
        <f>Ringkasan!J625</f>
        <v>15.8</v>
      </c>
      <c r="K620" s="62">
        <f>Ringkasan!K625</f>
        <v>10.7</v>
      </c>
      <c r="L620" s="62">
        <f>Ringkasan!L625</f>
        <v>0.47</v>
      </c>
      <c r="M620" s="62">
        <f>Ringkasan!M625</f>
        <v>65.9</v>
      </c>
      <c r="N620" s="60" t="str">
        <f>Ringkasan!N625</f>
        <v/>
      </c>
      <c r="O620" s="60" t="str">
        <f>Ringkasan!O625</f>
        <v/>
      </c>
      <c r="P620" s="60" t="str">
        <f>Ringkasan!P625</f>
        <v/>
      </c>
      <c r="Q620" s="60" t="str">
        <f>Ringkasan!Q625</f>
        <v/>
      </c>
      <c r="R620" s="60" t="str">
        <f>Ringkasan!R625</f>
        <v/>
      </c>
      <c r="S620" s="60" t="str">
        <f>Ringkasan!S625</f>
        <v/>
      </c>
      <c r="T620" s="60" t="str">
        <f>Ringkasan!T625</f>
        <v/>
      </c>
      <c r="U620" s="60">
        <f>Ringkasan!U625</f>
        <v>1095</v>
      </c>
      <c r="V620" s="60">
        <f>Ringkasan!V625</f>
        <v>4.57</v>
      </c>
      <c r="W620" s="60">
        <f>Ringkasan!W625</f>
        <v>1105</v>
      </c>
      <c r="X620" s="60">
        <f>Ringkasan!X625</f>
        <v>1170</v>
      </c>
      <c r="Y620" s="60">
        <f>Ringkasan!Y625</f>
        <v>1100</v>
      </c>
      <c r="Z620" s="60">
        <f>Ringkasan!Z625</f>
        <v>7343000</v>
      </c>
      <c r="AA620" s="60" t="str">
        <f>Ringkasan!AA625</f>
        <v>Agricultural Products</v>
      </c>
      <c r="AB620" s="60" t="str">
        <f>Ringkasan!AB625</f>
        <v>Consumer Non-Cyclicals</v>
      </c>
    </row>
    <row r="621" hidden="1">
      <c r="A621" s="60" t="str">
        <f>Ringkasan!A605</f>
        <v>DLTA</v>
      </c>
      <c r="B621" s="60" t="str">
        <f>Ringkasan!B605</f>
        <v>Delta Djakarta Tbk.</v>
      </c>
      <c r="C621" s="61">
        <f>Ringkasan!C605</f>
        <v>1835</v>
      </c>
      <c r="D621" s="60" t="str">
        <f>Ringkasan!D605</f>
        <v>#N/A</v>
      </c>
      <c r="E621" s="60" t="str">
        <f>Ringkasan!E605</f>
        <v/>
      </c>
      <c r="F621" s="60" t="str">
        <f>Ringkasan!F605</f>
        <v/>
      </c>
      <c r="G621" s="61">
        <f>Ringkasan!G605</f>
        <v>0</v>
      </c>
      <c r="H621" s="62">
        <f>Ringkasan!H605</f>
        <v>10.3</v>
      </c>
      <c r="I621" s="62">
        <f>Ringkasan!I605</f>
        <v>2</v>
      </c>
      <c r="J621" s="62">
        <f>Ringkasan!J605</f>
        <v>19.2</v>
      </c>
      <c r="K621" s="62">
        <f>Ringkasan!K605</f>
        <v>13</v>
      </c>
      <c r="L621" s="62">
        <f>Ringkasan!L605</f>
        <v>0.48</v>
      </c>
      <c r="M621" s="62">
        <f>Ringkasan!M605</f>
        <v>90</v>
      </c>
      <c r="N621" s="60" t="str">
        <f>Ringkasan!N605</f>
        <v/>
      </c>
      <c r="O621" s="60" t="str">
        <f>Ringkasan!O605</f>
        <v/>
      </c>
      <c r="P621" s="60" t="str">
        <f>Ringkasan!P605</f>
        <v/>
      </c>
      <c r="Q621" s="60" t="str">
        <f>Ringkasan!Q605</f>
        <v/>
      </c>
      <c r="R621" s="60" t="str">
        <f>Ringkasan!R605</f>
        <v/>
      </c>
      <c r="S621" s="60" t="str">
        <f>Ringkasan!S605</f>
        <v/>
      </c>
      <c r="T621" s="60" t="str">
        <f>Ringkasan!T605</f>
        <v/>
      </c>
      <c r="U621" s="60">
        <f>Ringkasan!U605</f>
        <v>0</v>
      </c>
      <c r="V621" s="60">
        <f>Ringkasan!V605</f>
        <v>0</v>
      </c>
      <c r="W621" s="60" t="str">
        <f>Ringkasan!W605</f>
        <v/>
      </c>
      <c r="X621" s="60" t="str">
        <f>Ringkasan!X605</f>
        <v/>
      </c>
      <c r="Y621" s="60" t="str">
        <f>Ringkasan!Y605</f>
        <v/>
      </c>
      <c r="Z621" s="60">
        <f>Ringkasan!Z605</f>
        <v>0</v>
      </c>
      <c r="AA621" s="60" t="str">
        <f>Ringkasan!AA605</f>
        <v>Beverages</v>
      </c>
      <c r="AB621" s="60" t="str">
        <f>Ringkasan!AB605</f>
        <v>Consumer Non-Cyclicals</v>
      </c>
    </row>
    <row r="622" hidden="1">
      <c r="A622" s="64" t="str">
        <f>Ringkasan!A1260</f>
        <v>MTDL</v>
      </c>
      <c r="B622" s="64" t="str">
        <f>Ringkasan!B1260</f>
        <v>Metrodata Electronics Tbk.</v>
      </c>
      <c r="C622" s="61">
        <f>Ringkasan!C1260</f>
        <v>535</v>
      </c>
      <c r="D622" s="60" t="str">
        <f>Ringkasan!D1260</f>
        <v>#N/A</v>
      </c>
      <c r="E622" s="60" t="str">
        <f>Ringkasan!E1260</f>
        <v/>
      </c>
      <c r="F622" s="60" t="str">
        <f>Ringkasan!F1260</f>
        <v/>
      </c>
      <c r="G622" s="61">
        <f>Ringkasan!G1260</f>
        <v>0</v>
      </c>
      <c r="H622" s="62">
        <f>Ringkasan!H1260</f>
        <v>8</v>
      </c>
      <c r="I622" s="62">
        <f>Ringkasan!I1260</f>
        <v>1</v>
      </c>
      <c r="J622" s="62">
        <f>Ringkasan!J1260</f>
        <v>12.5</v>
      </c>
      <c r="K622" s="62">
        <f>Ringkasan!K1260</f>
        <v>5.6</v>
      </c>
      <c r="L622" s="62">
        <f>Ringkasan!L1260</f>
        <v>1.2</v>
      </c>
      <c r="M622" s="62">
        <f>Ringkasan!M1260</f>
        <v>12.2</v>
      </c>
      <c r="N622" s="60" t="str">
        <f>Ringkasan!N1260</f>
        <v/>
      </c>
      <c r="O622" s="60" t="str">
        <f>Ringkasan!O1260</f>
        <v/>
      </c>
      <c r="P622" s="60" t="str">
        <f>Ringkasan!P1260</f>
        <v/>
      </c>
      <c r="Q622" s="60" t="str">
        <f>Ringkasan!Q1260</f>
        <v/>
      </c>
      <c r="R622" s="60" t="str">
        <f>Ringkasan!R1260</f>
        <v/>
      </c>
      <c r="S622" s="60" t="str">
        <f>Ringkasan!S1260</f>
        <v/>
      </c>
      <c r="T622" s="60" t="str">
        <f>Ringkasan!T1260</f>
        <v/>
      </c>
      <c r="U622" s="60">
        <f>Ringkasan!U1260</f>
        <v>510</v>
      </c>
      <c r="V622" s="60">
        <f>Ringkasan!V1260</f>
        <v>4.9</v>
      </c>
      <c r="W622" s="60">
        <f>Ringkasan!W1260</f>
        <v>510</v>
      </c>
      <c r="X622" s="60">
        <f>Ringkasan!X1260</f>
        <v>550</v>
      </c>
      <c r="Y622" s="60">
        <f>Ringkasan!Y1260</f>
        <v>510</v>
      </c>
      <c r="Z622" s="60">
        <f>Ringkasan!Z1260</f>
        <v>3419300</v>
      </c>
      <c r="AA622" s="60" t="str">
        <f>Ringkasan!AA1260</f>
        <v>Computer Hardware</v>
      </c>
      <c r="AB622" s="64" t="str">
        <f>Ringkasan!AB1260</f>
        <v>Technology</v>
      </c>
    </row>
    <row r="623">
      <c r="A623" s="60" t="str">
        <f>Ringkasan!A624</f>
        <v>DSNG</v>
      </c>
      <c r="B623" s="60" t="str">
        <f>Ringkasan!B624</f>
        <v>PT Dharma Satya Nusantara Tbk.</v>
      </c>
      <c r="C623" s="61">
        <f>Ringkasan!C624</f>
        <v>1145</v>
      </c>
      <c r="D623" s="60" t="str">
        <f>Ringkasan!D624</f>
        <v>#N/A</v>
      </c>
      <c r="E623" s="60" t="str">
        <f>Ringkasan!E624</f>
        <v>IDXG30</v>
      </c>
      <c r="F623" s="60" t="str">
        <f>Ringkasan!F624</f>
        <v>4 Agustus 2026</v>
      </c>
      <c r="G623" s="61">
        <f>Ringkasan!G624</f>
        <v>12</v>
      </c>
      <c r="H623" s="62">
        <f>Ringkasan!H624</f>
        <v>6.6</v>
      </c>
      <c r="I623" s="62">
        <f>Ringkasan!I624</f>
        <v>1.1</v>
      </c>
      <c r="J623" s="62">
        <f>Ringkasan!J624</f>
        <v>15.8</v>
      </c>
      <c r="K623" s="62">
        <f>Ringkasan!K624</f>
        <v>10.7</v>
      </c>
      <c r="L623" s="62">
        <f>Ringkasan!L624</f>
        <v>0.47</v>
      </c>
      <c r="M623" s="62">
        <f>Ringkasan!M624</f>
        <v>65.9</v>
      </c>
      <c r="N623" s="60" t="str">
        <f>Ringkasan!N624</f>
        <v/>
      </c>
      <c r="O623" s="60" t="str">
        <f>Ringkasan!O624</f>
        <v/>
      </c>
      <c r="P623" s="60" t="str">
        <f>Ringkasan!P624</f>
        <v/>
      </c>
      <c r="Q623" s="60" t="str">
        <f>Ringkasan!Q624</f>
        <v/>
      </c>
      <c r="R623" s="60" t="str">
        <f>Ringkasan!R624</f>
        <v/>
      </c>
      <c r="S623" s="60" t="str">
        <f>Ringkasan!S624</f>
        <v/>
      </c>
      <c r="T623" s="60" t="str">
        <f>Ringkasan!T624</f>
        <v/>
      </c>
      <c r="U623" s="60">
        <f>Ringkasan!U624</f>
        <v>1095</v>
      </c>
      <c r="V623" s="60">
        <f>Ringkasan!V624</f>
        <v>4.57</v>
      </c>
      <c r="W623" s="60">
        <f>Ringkasan!W624</f>
        <v>1105</v>
      </c>
      <c r="X623" s="60">
        <f>Ringkasan!X624</f>
        <v>1170</v>
      </c>
      <c r="Y623" s="60">
        <f>Ringkasan!Y624</f>
        <v>1100</v>
      </c>
      <c r="Z623" s="60">
        <f>Ringkasan!Z624</f>
        <v>7343000</v>
      </c>
      <c r="AA623" s="60" t="str">
        <f>Ringkasan!AA624</f>
        <v>Agricultural Products</v>
      </c>
      <c r="AB623" s="60" t="str">
        <f>Ringkasan!AB624</f>
        <v>Consumer Non-Cyclicals</v>
      </c>
    </row>
    <row r="624" hidden="1">
      <c r="A624" s="60" t="str">
        <f>Ringkasan!A1261</f>
        <v>MTEL</v>
      </c>
      <c r="B624" s="60" t="str">
        <f>Ringkasan!B1261</f>
        <v>Dayamitra Telekomunikasi Tbk.</v>
      </c>
      <c r="C624" s="61">
        <f>Ringkasan!C1261</f>
        <v>498</v>
      </c>
      <c r="D624" s="60" t="str">
        <f>Ringkasan!D1261</f>
        <v>#N/A</v>
      </c>
      <c r="E624" s="60" t="str">
        <f>Ringkasan!E1261</f>
        <v>ESGQKEHATI</v>
      </c>
      <c r="F624" s="63">
        <f>Ringkasan!F1261</f>
        <v>46356</v>
      </c>
      <c r="G624" s="60">
        <f>Ringkasan!G1261</f>
        <v>10</v>
      </c>
      <c r="H624" s="62">
        <f>Ringkasan!H1261</f>
        <v>20.3</v>
      </c>
      <c r="I624" s="62">
        <f>Ringkasan!I1261</f>
        <v>1.3</v>
      </c>
      <c r="J624" s="62">
        <f>Ringkasan!J1261</f>
        <v>6.4</v>
      </c>
      <c r="K624" s="62">
        <f>Ringkasan!K1261</f>
        <v>3.5</v>
      </c>
      <c r="L624" s="62">
        <f>Ringkasan!L1261</f>
        <v>0.8</v>
      </c>
      <c r="M624" s="62">
        <f>Ringkasan!M1261</f>
        <v>93.2</v>
      </c>
      <c r="N624" s="60" t="str">
        <f>Ringkasan!N1261</f>
        <v/>
      </c>
      <c r="O624" s="60" t="str">
        <f>Ringkasan!O1261</f>
        <v/>
      </c>
      <c r="P624" s="60" t="str">
        <f>Ringkasan!P1261</f>
        <v/>
      </c>
      <c r="Q624" s="60" t="str">
        <f>Ringkasan!Q1261</f>
        <v/>
      </c>
      <c r="R624" s="60" t="str">
        <f>Ringkasan!R1261</f>
        <v/>
      </c>
      <c r="S624" s="60" t="str">
        <f>Ringkasan!S1261</f>
        <v/>
      </c>
      <c r="T624" s="60" t="str">
        <f>Ringkasan!T1261</f>
        <v/>
      </c>
      <c r="U624" s="60">
        <f>Ringkasan!U1261</f>
        <v>500</v>
      </c>
      <c r="V624" s="60">
        <f>Ringkasan!V1261</f>
        <v>-0.4</v>
      </c>
      <c r="W624" s="60">
        <f>Ringkasan!W1261</f>
        <v>498</v>
      </c>
      <c r="X624" s="60">
        <f>Ringkasan!X1261</f>
        <v>500</v>
      </c>
      <c r="Y624" s="60">
        <f>Ringkasan!Y1261</f>
        <v>492</v>
      </c>
      <c r="Z624" s="60">
        <f>Ringkasan!Z1261</f>
        <v>32723600</v>
      </c>
      <c r="AA624" s="60" t="str">
        <f>Ringkasan!AA1261</f>
        <v>Wireless Telecommunication Services</v>
      </c>
      <c r="AB624" s="60" t="str">
        <f>Ringkasan!AB1261</f>
        <v>Infrastructures</v>
      </c>
    </row>
    <row r="625">
      <c r="A625" s="60" t="str">
        <f>Ringkasan!A626</f>
        <v>DSNG</v>
      </c>
      <c r="B625" s="60" t="str">
        <f>Ringkasan!B626</f>
        <v>PT Dharma Satya Nusantara Tbk.</v>
      </c>
      <c r="C625" s="61">
        <f>Ringkasan!C626</f>
        <v>1145</v>
      </c>
      <c r="D625" s="60" t="str">
        <f>Ringkasan!D626</f>
        <v>#N/A</v>
      </c>
      <c r="E625" s="60" t="str">
        <f>Ringkasan!E626</f>
        <v>IDXV30</v>
      </c>
      <c r="F625" s="60" t="str">
        <f>Ringkasan!F626</f>
        <v>4 Agustus 2026</v>
      </c>
      <c r="G625" s="61">
        <f>Ringkasan!G626</f>
        <v>12</v>
      </c>
      <c r="H625" s="62">
        <f>Ringkasan!H626</f>
        <v>6.6</v>
      </c>
      <c r="I625" s="62">
        <f>Ringkasan!I626</f>
        <v>1.1</v>
      </c>
      <c r="J625" s="62">
        <f>Ringkasan!J626</f>
        <v>15.8</v>
      </c>
      <c r="K625" s="62">
        <f>Ringkasan!K626</f>
        <v>10.7</v>
      </c>
      <c r="L625" s="62">
        <f>Ringkasan!L626</f>
        <v>0.47</v>
      </c>
      <c r="M625" s="62">
        <f>Ringkasan!M626</f>
        <v>65.9</v>
      </c>
      <c r="N625" s="60" t="str">
        <f>Ringkasan!N626</f>
        <v/>
      </c>
      <c r="O625" s="60" t="str">
        <f>Ringkasan!O626</f>
        <v/>
      </c>
      <c r="P625" s="60" t="str">
        <f>Ringkasan!P626</f>
        <v/>
      </c>
      <c r="Q625" s="60" t="str">
        <f>Ringkasan!Q626</f>
        <v/>
      </c>
      <c r="R625" s="60" t="str">
        <f>Ringkasan!R626</f>
        <v/>
      </c>
      <c r="S625" s="60" t="str">
        <f>Ringkasan!S626</f>
        <v/>
      </c>
      <c r="T625" s="60" t="str">
        <f>Ringkasan!T626</f>
        <v/>
      </c>
      <c r="U625" s="60">
        <f>Ringkasan!U626</f>
        <v>1095</v>
      </c>
      <c r="V625" s="60">
        <f>Ringkasan!V626</f>
        <v>4.57</v>
      </c>
      <c r="W625" s="60">
        <f>Ringkasan!W626</f>
        <v>1105</v>
      </c>
      <c r="X625" s="60">
        <f>Ringkasan!X626</f>
        <v>1170</v>
      </c>
      <c r="Y625" s="60">
        <f>Ringkasan!Y626</f>
        <v>1100</v>
      </c>
      <c r="Z625" s="60">
        <f>Ringkasan!Z626</f>
        <v>7343000</v>
      </c>
      <c r="AA625" s="60" t="str">
        <f>Ringkasan!AA626</f>
        <v>Agricultural Products</v>
      </c>
      <c r="AB625" s="60" t="str">
        <f>Ringkasan!AB626</f>
        <v>Consumer Non-Cyclicals</v>
      </c>
    </row>
    <row r="626">
      <c r="A626" s="60" t="str">
        <f>Ringkasan!A627</f>
        <v>DSNG</v>
      </c>
      <c r="B626" s="60" t="str">
        <f>Ringkasan!B627</f>
        <v>PT Dharma Satya Nusantara Tbk.</v>
      </c>
      <c r="C626" s="61">
        <f>Ringkasan!C627</f>
        <v>1145</v>
      </c>
      <c r="D626" s="60" t="str">
        <f>Ringkasan!D627</f>
        <v>#N/A</v>
      </c>
      <c r="E626" s="60" t="str">
        <f>Ringkasan!E627</f>
        <v>IDXSMC-LIQ</v>
      </c>
      <c r="F626" s="60" t="str">
        <f>Ringkasan!F627</f>
        <v>4 Agustus 2026</v>
      </c>
      <c r="G626" s="61">
        <f>Ringkasan!G627</f>
        <v>12</v>
      </c>
      <c r="H626" s="62">
        <f>Ringkasan!H627</f>
        <v>6.6</v>
      </c>
      <c r="I626" s="62">
        <f>Ringkasan!I627</f>
        <v>1.1</v>
      </c>
      <c r="J626" s="62">
        <f>Ringkasan!J627</f>
        <v>15.8</v>
      </c>
      <c r="K626" s="62">
        <f>Ringkasan!K627</f>
        <v>10.7</v>
      </c>
      <c r="L626" s="62">
        <f>Ringkasan!L627</f>
        <v>0.47</v>
      </c>
      <c r="M626" s="62">
        <f>Ringkasan!M627</f>
        <v>65.9</v>
      </c>
      <c r="N626" s="60" t="str">
        <f>Ringkasan!N627</f>
        <v/>
      </c>
      <c r="O626" s="60" t="str">
        <f>Ringkasan!O627</f>
        <v/>
      </c>
      <c r="P626" s="60" t="str">
        <f>Ringkasan!P627</f>
        <v/>
      </c>
      <c r="Q626" s="60" t="str">
        <f>Ringkasan!Q627</f>
        <v/>
      </c>
      <c r="R626" s="60" t="str">
        <f>Ringkasan!R627</f>
        <v/>
      </c>
      <c r="S626" s="60" t="str">
        <f>Ringkasan!S627</f>
        <v/>
      </c>
      <c r="T626" s="60" t="str">
        <f>Ringkasan!T627</f>
        <v/>
      </c>
      <c r="U626" s="60">
        <f>Ringkasan!U627</f>
        <v>1095</v>
      </c>
      <c r="V626" s="60">
        <f>Ringkasan!V627</f>
        <v>4.57</v>
      </c>
      <c r="W626" s="60">
        <f>Ringkasan!W627</f>
        <v>1105</v>
      </c>
      <c r="X626" s="60">
        <f>Ringkasan!X627</f>
        <v>1170</v>
      </c>
      <c r="Y626" s="60">
        <f>Ringkasan!Y627</f>
        <v>1100</v>
      </c>
      <c r="Z626" s="60">
        <f>Ringkasan!Z627</f>
        <v>7343000</v>
      </c>
      <c r="AA626" s="60" t="str">
        <f>Ringkasan!AA627</f>
        <v>Agricultural Products</v>
      </c>
      <c r="AB626" s="60" t="str">
        <f>Ringkasan!AB627</f>
        <v>Consumer Non-Cyclicals</v>
      </c>
    </row>
    <row r="627" hidden="1">
      <c r="A627" s="60" t="str">
        <f>Ringkasan!A606</f>
        <v>DMAS</v>
      </c>
      <c r="B627" s="60" t="str">
        <f>Ringkasan!B606</f>
        <v>Puradelta Lestari Tbk.</v>
      </c>
      <c r="C627" s="61">
        <f>Ringkasan!C606</f>
        <v>154</v>
      </c>
      <c r="D627" s="60" t="str">
        <f>Ringkasan!D606</f>
        <v>#N/A</v>
      </c>
      <c r="E627" s="60" t="str">
        <f>Ringkasan!E606</f>
        <v/>
      </c>
      <c r="F627" s="60" t="str">
        <f>Ringkasan!F606</f>
        <v/>
      </c>
      <c r="G627" s="61">
        <f>Ringkasan!G606</f>
        <v>0</v>
      </c>
      <c r="H627" s="62">
        <f>Ringkasan!H606</f>
        <v>6</v>
      </c>
      <c r="I627" s="62">
        <f>Ringkasan!I606</f>
        <v>1</v>
      </c>
      <c r="J627" s="62">
        <f>Ringkasan!J606</f>
        <v>17</v>
      </c>
      <c r="K627" s="62">
        <f>Ringkasan!K606</f>
        <v>15.6</v>
      </c>
      <c r="L627" s="62">
        <f>Ringkasan!L606</f>
        <v>0.09</v>
      </c>
      <c r="M627" s="62">
        <f>Ringkasan!M606</f>
        <v>120</v>
      </c>
      <c r="N627" s="60" t="str">
        <f>Ringkasan!N606</f>
        <v/>
      </c>
      <c r="O627" s="60" t="str">
        <f>Ringkasan!O606</f>
        <v/>
      </c>
      <c r="P627" s="60" t="str">
        <f>Ringkasan!P606</f>
        <v/>
      </c>
      <c r="Q627" s="60" t="str">
        <f>Ringkasan!Q606</f>
        <v/>
      </c>
      <c r="R627" s="60" t="str">
        <f>Ringkasan!R606</f>
        <v/>
      </c>
      <c r="S627" s="60" t="str">
        <f>Ringkasan!S606</f>
        <v/>
      </c>
      <c r="T627" s="60" t="str">
        <f>Ringkasan!T606</f>
        <v/>
      </c>
      <c r="U627" s="60">
        <f>Ringkasan!U606</f>
        <v>151</v>
      </c>
      <c r="V627" s="60">
        <f>Ringkasan!V606</f>
        <v>1.99</v>
      </c>
      <c r="W627" s="60">
        <f>Ringkasan!W606</f>
        <v>153</v>
      </c>
      <c r="X627" s="60">
        <f>Ringkasan!X606</f>
        <v>156</v>
      </c>
      <c r="Y627" s="60">
        <f>Ringkasan!Y606</f>
        <v>151</v>
      </c>
      <c r="Z627" s="60">
        <f>Ringkasan!Z606</f>
        <v>72375000</v>
      </c>
      <c r="AA627" s="60" t="str">
        <f>Ringkasan!AA606</f>
        <v>Real Estate Management &amp; Development</v>
      </c>
      <c r="AB627" s="60" t="str">
        <f>Ringkasan!AB606</f>
        <v>Properties &amp; Real Estate</v>
      </c>
    </row>
    <row r="628">
      <c r="A628" s="60" t="str">
        <f>Ringkasan!A628</f>
        <v>DSNG</v>
      </c>
      <c r="B628" s="60" t="str">
        <f>Ringkasan!B628</f>
        <v>PT Dharma Satya Nusantara Tbk.</v>
      </c>
      <c r="C628" s="61">
        <f>Ringkasan!C628</f>
        <v>1145</v>
      </c>
      <c r="D628" s="60" t="str">
        <f>Ringkasan!D628</f>
        <v>#N/A</v>
      </c>
      <c r="E628" s="60" t="str">
        <f>Ringkasan!E628</f>
        <v>SRI-KEHATI</v>
      </c>
      <c r="F628" s="63">
        <f>Ringkasan!F628</f>
        <v>46356</v>
      </c>
      <c r="G628" s="61">
        <f>Ringkasan!G628</f>
        <v>12</v>
      </c>
      <c r="H628" s="62">
        <f>Ringkasan!H628</f>
        <v>6.6</v>
      </c>
      <c r="I628" s="62">
        <f>Ringkasan!I628</f>
        <v>1.1</v>
      </c>
      <c r="J628" s="62">
        <f>Ringkasan!J628</f>
        <v>15.8</v>
      </c>
      <c r="K628" s="62">
        <f>Ringkasan!K628</f>
        <v>10.7</v>
      </c>
      <c r="L628" s="62">
        <f>Ringkasan!L628</f>
        <v>0.47</v>
      </c>
      <c r="M628" s="62">
        <f>Ringkasan!M628</f>
        <v>65.9</v>
      </c>
      <c r="N628" s="60" t="str">
        <f>Ringkasan!N628</f>
        <v/>
      </c>
      <c r="O628" s="60" t="str">
        <f>Ringkasan!O628</f>
        <v/>
      </c>
      <c r="P628" s="60" t="str">
        <f>Ringkasan!P628</f>
        <v/>
      </c>
      <c r="Q628" s="60" t="str">
        <f>Ringkasan!Q628</f>
        <v/>
      </c>
      <c r="R628" s="60" t="str">
        <f>Ringkasan!R628</f>
        <v/>
      </c>
      <c r="S628" s="60" t="str">
        <f>Ringkasan!S628</f>
        <v/>
      </c>
      <c r="T628" s="60" t="str">
        <f>Ringkasan!T628</f>
        <v/>
      </c>
      <c r="U628" s="60">
        <f>Ringkasan!U628</f>
        <v>1095</v>
      </c>
      <c r="V628" s="60">
        <f>Ringkasan!V628</f>
        <v>4.57</v>
      </c>
      <c r="W628" s="60">
        <f>Ringkasan!W628</f>
        <v>1105</v>
      </c>
      <c r="X628" s="60">
        <f>Ringkasan!X628</f>
        <v>1170</v>
      </c>
      <c r="Y628" s="60">
        <f>Ringkasan!Y628</f>
        <v>1100</v>
      </c>
      <c r="Z628" s="60">
        <f>Ringkasan!Z628</f>
        <v>7343000</v>
      </c>
      <c r="AA628" s="60" t="str">
        <f>Ringkasan!AA628</f>
        <v>Agricultural Products</v>
      </c>
      <c r="AB628" s="60" t="str">
        <f>Ringkasan!AB628</f>
        <v>Consumer Non-Cyclicals</v>
      </c>
    </row>
    <row r="629">
      <c r="A629" s="60" t="str">
        <f>Ringkasan!A629</f>
        <v>DSNG</v>
      </c>
      <c r="B629" s="60" t="str">
        <f>Ringkasan!B629</f>
        <v>PT Dharma Satya Nusantara Tbk.</v>
      </c>
      <c r="C629" s="61">
        <f>Ringkasan!C629</f>
        <v>1145</v>
      </c>
      <c r="D629" s="60" t="str">
        <f>Ringkasan!D629</f>
        <v>#N/A</v>
      </c>
      <c r="E629" s="60" t="str">
        <f>Ringkasan!E629</f>
        <v>JII70</v>
      </c>
      <c r="F629" s="63">
        <f>Ringkasan!F629</f>
        <v>46356</v>
      </c>
      <c r="G629" s="61">
        <f>Ringkasan!G629</f>
        <v>12</v>
      </c>
      <c r="H629" s="62">
        <f>Ringkasan!H629</f>
        <v>6.6</v>
      </c>
      <c r="I629" s="62">
        <f>Ringkasan!I629</f>
        <v>1.1</v>
      </c>
      <c r="J629" s="62">
        <f>Ringkasan!J629</f>
        <v>15.8</v>
      </c>
      <c r="K629" s="62">
        <f>Ringkasan!K629</f>
        <v>10.7</v>
      </c>
      <c r="L629" s="62">
        <f>Ringkasan!L629</f>
        <v>0.47</v>
      </c>
      <c r="M629" s="62">
        <f>Ringkasan!M629</f>
        <v>65.9</v>
      </c>
      <c r="N629" s="60" t="str">
        <f>Ringkasan!N629</f>
        <v/>
      </c>
      <c r="O629" s="60" t="str">
        <f>Ringkasan!O629</f>
        <v/>
      </c>
      <c r="P629" s="60" t="str">
        <f>Ringkasan!P629</f>
        <v/>
      </c>
      <c r="Q629" s="60" t="str">
        <f>Ringkasan!Q629</f>
        <v/>
      </c>
      <c r="R629" s="60" t="str">
        <f>Ringkasan!R629</f>
        <v/>
      </c>
      <c r="S629" s="60" t="str">
        <f>Ringkasan!S629</f>
        <v/>
      </c>
      <c r="T629" s="60" t="str">
        <f>Ringkasan!T629</f>
        <v/>
      </c>
      <c r="U629" s="60">
        <f>Ringkasan!U629</f>
        <v>1095</v>
      </c>
      <c r="V629" s="60">
        <f>Ringkasan!V629</f>
        <v>4.57</v>
      </c>
      <c r="W629" s="60">
        <f>Ringkasan!W629</f>
        <v>1105</v>
      </c>
      <c r="X629" s="60">
        <f>Ringkasan!X629</f>
        <v>1170</v>
      </c>
      <c r="Y629" s="60">
        <f>Ringkasan!Y629</f>
        <v>1100</v>
      </c>
      <c r="Z629" s="60">
        <f>Ringkasan!Z629</f>
        <v>7343000</v>
      </c>
      <c r="AA629" s="60" t="str">
        <f>Ringkasan!AA629</f>
        <v>Agricultural Products</v>
      </c>
      <c r="AB629" s="60" t="str">
        <f>Ringkasan!AB629</f>
        <v>Consumer Non-Cyclicals</v>
      </c>
    </row>
    <row r="630">
      <c r="A630" s="60" t="str">
        <f>Ringkasan!A623</f>
        <v>DSNG</v>
      </c>
      <c r="B630" s="60" t="str">
        <f>Ringkasan!B623</f>
        <v>PT Dharma Satya Nusantara Tbk.</v>
      </c>
      <c r="C630" s="61">
        <f>Ringkasan!C623</f>
        <v>1145</v>
      </c>
      <c r="D630" s="60" t="str">
        <f>Ringkasan!D623</f>
        <v>#N/A</v>
      </c>
      <c r="E630" s="60" t="str">
        <f>Ringkasan!E623</f>
        <v>Kompas100</v>
      </c>
      <c r="F630" s="60" t="str">
        <f>Ringkasan!F623</f>
        <v>31 Juli 2026</v>
      </c>
      <c r="G630" s="61">
        <f>Ringkasan!G623</f>
        <v>12</v>
      </c>
      <c r="H630" s="62">
        <f>Ringkasan!H623</f>
        <v>6.6</v>
      </c>
      <c r="I630" s="62">
        <f>Ringkasan!I623</f>
        <v>1.1</v>
      </c>
      <c r="J630" s="62">
        <f>Ringkasan!J623</f>
        <v>15.8</v>
      </c>
      <c r="K630" s="62">
        <f>Ringkasan!K623</f>
        <v>10.7</v>
      </c>
      <c r="L630" s="62">
        <f>Ringkasan!L623</f>
        <v>0.47</v>
      </c>
      <c r="M630" s="62">
        <f>Ringkasan!M623</f>
        <v>65.9</v>
      </c>
      <c r="N630" s="60" t="str">
        <f>Ringkasan!N623</f>
        <v/>
      </c>
      <c r="O630" s="60" t="str">
        <f>Ringkasan!O623</f>
        <v/>
      </c>
      <c r="P630" s="60" t="str">
        <f>Ringkasan!P623</f>
        <v/>
      </c>
      <c r="Q630" s="60" t="str">
        <f>Ringkasan!Q623</f>
        <v/>
      </c>
      <c r="R630" s="60" t="str">
        <f>Ringkasan!R623</f>
        <v/>
      </c>
      <c r="S630" s="60" t="str">
        <f>Ringkasan!S623</f>
        <v/>
      </c>
      <c r="T630" s="60" t="str">
        <f>Ringkasan!T623</f>
        <v/>
      </c>
      <c r="U630" s="60">
        <f>Ringkasan!U623</f>
        <v>1095</v>
      </c>
      <c r="V630" s="60">
        <f>Ringkasan!V623</f>
        <v>4.57</v>
      </c>
      <c r="W630" s="60">
        <f>Ringkasan!W623</f>
        <v>1105</v>
      </c>
      <c r="X630" s="60">
        <f>Ringkasan!X623</f>
        <v>1170</v>
      </c>
      <c r="Y630" s="60">
        <f>Ringkasan!Y623</f>
        <v>1100</v>
      </c>
      <c r="Z630" s="60">
        <f>Ringkasan!Z623</f>
        <v>7343000</v>
      </c>
      <c r="AA630" s="60" t="str">
        <f>Ringkasan!AA623</f>
        <v>Agricultural Products</v>
      </c>
      <c r="AB630" s="60" t="str">
        <f>Ringkasan!AB623</f>
        <v>Consumer Non-Cyclicals</v>
      </c>
    </row>
    <row r="631" hidden="1">
      <c r="A631" s="60" t="str">
        <f>Ringkasan!A801</f>
        <v>HKMU</v>
      </c>
      <c r="B631" s="60" t="str">
        <f>Ringkasan!B801</f>
        <v>HK Metals Utama Tbk.</v>
      </c>
      <c r="C631" s="61">
        <f>Ringkasan!C801</f>
        <v>50</v>
      </c>
      <c r="D631" s="60" t="str">
        <f>Ringkasan!D801</f>
        <v>#N/A</v>
      </c>
      <c r="E631" s="60" t="str">
        <f>Ringkasan!E801</f>
        <v/>
      </c>
      <c r="F631" s="60" t="str">
        <f>Ringkasan!F801</f>
        <v/>
      </c>
      <c r="G631" s="60">
        <f>Ringkasan!G801</f>
        <v>0</v>
      </c>
      <c r="H631" s="62">
        <f>Ringkasan!H801</f>
        <v>0</v>
      </c>
      <c r="I631" s="62">
        <f>Ringkasan!I801</f>
        <v>-2.3</v>
      </c>
      <c r="J631" s="62">
        <f>Ringkasan!J801</f>
        <v>0</v>
      </c>
      <c r="K631" s="62">
        <f>Ringkasan!K801</f>
        <v>-71</v>
      </c>
      <c r="L631" s="62">
        <f>Ringkasan!L801</f>
        <v>-6.7</v>
      </c>
      <c r="M631" s="62">
        <f>Ringkasan!M801</f>
        <v>-6710</v>
      </c>
      <c r="N631" s="60" t="str">
        <f>Ringkasan!N801</f>
        <v/>
      </c>
      <c r="O631" s="60" t="str">
        <f>Ringkasan!O801</f>
        <v/>
      </c>
      <c r="P631" s="60" t="str">
        <f>Ringkasan!P801</f>
        <v/>
      </c>
      <c r="Q631" s="60" t="str">
        <f>Ringkasan!Q801</f>
        <v/>
      </c>
      <c r="R631" s="60" t="str">
        <f>Ringkasan!R801</f>
        <v/>
      </c>
      <c r="S631" s="60" t="str">
        <f>Ringkasan!S801</f>
        <v/>
      </c>
      <c r="T631" s="60" t="str">
        <f>Ringkasan!T801</f>
        <v/>
      </c>
      <c r="U631" s="60">
        <f>Ringkasan!U801</f>
        <v>50</v>
      </c>
      <c r="V631" s="60">
        <f>Ringkasan!V801</f>
        <v>0</v>
      </c>
      <c r="W631" s="60" t="str">
        <f>Ringkasan!W801</f>
        <v/>
      </c>
      <c r="X631" s="60" t="str">
        <f>Ringkasan!X801</f>
        <v/>
      </c>
      <c r="Y631" s="60" t="str">
        <f>Ringkasan!Y801</f>
        <v/>
      </c>
      <c r="Z631" s="60">
        <f>Ringkasan!Z801</f>
        <v>0</v>
      </c>
      <c r="AA631" s="60" t="str">
        <f>Ringkasan!AA801</f>
        <v>Metals &amp; Minerals</v>
      </c>
      <c r="AB631" s="60" t="str">
        <f>Ringkasan!AB801</f>
        <v>Basic Materials</v>
      </c>
    </row>
    <row r="632">
      <c r="A632" s="60" t="str">
        <f>Ringkasan!A802</f>
        <v>HMSP</v>
      </c>
      <c r="B632" s="60" t="str">
        <f>Ringkasan!B802</f>
        <v>HM Sampoerna Tbk</v>
      </c>
      <c r="C632" s="61">
        <f>Ringkasan!C802</f>
        <v>605</v>
      </c>
      <c r="D632" s="60" t="str">
        <f>Ringkasan!D802</f>
        <v>#N/A</v>
      </c>
      <c r="E632" s="60" t="str">
        <f>Ringkasan!E802</f>
        <v>IDXHIDIV20</v>
      </c>
      <c r="F632" s="60" t="str">
        <f>Ringkasan!F802</f>
        <v>2 Februari 2027</v>
      </c>
      <c r="G632" s="60">
        <f>Ringkasan!G802</f>
        <v>2</v>
      </c>
      <c r="H632" s="62">
        <f>Ringkasan!H802</f>
        <v>12</v>
      </c>
      <c r="I632" s="62">
        <f>Ringkasan!I802</f>
        <v>2.7</v>
      </c>
      <c r="J632" s="62">
        <f>Ringkasan!J802</f>
        <v>22.2</v>
      </c>
      <c r="K632" s="62">
        <f>Ringkasan!K802</f>
        <v>13</v>
      </c>
      <c r="L632" s="62">
        <f>Ringkasan!L802</f>
        <v>0.71</v>
      </c>
      <c r="M632" s="62">
        <f>Ringkasan!M802</f>
        <v>24.8</v>
      </c>
      <c r="N632" s="60" t="str">
        <f>Ringkasan!N802</f>
        <v/>
      </c>
      <c r="O632" s="60" t="str">
        <f>Ringkasan!O802</f>
        <v/>
      </c>
      <c r="P632" s="60" t="str">
        <f>Ringkasan!P802</f>
        <v/>
      </c>
      <c r="Q632" s="60" t="str">
        <f>Ringkasan!Q802</f>
        <v/>
      </c>
      <c r="R632" s="60" t="str">
        <f>Ringkasan!R802</f>
        <v/>
      </c>
      <c r="S632" s="60" t="str">
        <f>Ringkasan!S802</f>
        <v/>
      </c>
      <c r="T632" s="60" t="str">
        <f>Ringkasan!T802</f>
        <v/>
      </c>
      <c r="U632" s="60">
        <f>Ringkasan!U802</f>
        <v>595</v>
      </c>
      <c r="V632" s="60">
        <f>Ringkasan!V802</f>
        <v>1.68</v>
      </c>
      <c r="W632" s="60">
        <f>Ringkasan!W802</f>
        <v>600</v>
      </c>
      <c r="X632" s="60">
        <f>Ringkasan!X802</f>
        <v>610</v>
      </c>
      <c r="Y632" s="60">
        <f>Ringkasan!Y802</f>
        <v>590</v>
      </c>
      <c r="Z632" s="60">
        <f>Ringkasan!Z802</f>
        <v>32621000</v>
      </c>
      <c r="AA632" s="60" t="str">
        <f>Ringkasan!AA802</f>
        <v>Tobacco</v>
      </c>
      <c r="AB632" s="60" t="str">
        <f>Ringkasan!AB802</f>
        <v>Consumer Non-Cyclicals</v>
      </c>
    </row>
    <row r="633" hidden="1">
      <c r="A633" s="60" t="str">
        <f>Ringkasan!A630</f>
        <v>DSSA</v>
      </c>
      <c r="B633" s="60" t="str">
        <f>Ringkasan!B630</f>
        <v>Dian Swastatika Sentosa Tbk</v>
      </c>
      <c r="C633" s="61">
        <f>Ringkasan!C630</f>
        <v>825</v>
      </c>
      <c r="D633" s="60" t="str">
        <f>Ringkasan!D630</f>
        <v>#N/A</v>
      </c>
      <c r="E633" s="60" t="str">
        <f>Ringkasan!E630</f>
        <v>Kompas100</v>
      </c>
      <c r="F633" s="60" t="str">
        <f>Ringkasan!F630</f>
        <v>31 Juli 2026</v>
      </c>
      <c r="G633" s="60">
        <f>Ringkasan!G630</f>
        <v>2</v>
      </c>
      <c r="H633" s="62">
        <f>Ringkasan!H630</f>
        <v>24.5</v>
      </c>
      <c r="I633" s="62">
        <f>Ringkasan!I630</f>
        <v>2.5</v>
      </c>
      <c r="J633" s="62">
        <f>Ringkasan!J630</f>
        <v>10.2</v>
      </c>
      <c r="K633" s="62">
        <f>Ringkasan!K630</f>
        <v>5.2</v>
      </c>
      <c r="L633" s="62">
        <f>Ringkasan!L630</f>
        <v>0.95</v>
      </c>
      <c r="M633" s="62">
        <f>Ringkasan!M630</f>
        <v>8.3</v>
      </c>
      <c r="N633" s="60" t="str">
        <f>Ringkasan!N630</f>
        <v/>
      </c>
      <c r="O633" s="60" t="str">
        <f>Ringkasan!O630</f>
        <v/>
      </c>
      <c r="P633" s="60" t="str">
        <f>Ringkasan!P630</f>
        <v/>
      </c>
      <c r="Q633" s="60" t="str">
        <f>Ringkasan!Q630</f>
        <v/>
      </c>
      <c r="R633" s="60" t="str">
        <f>Ringkasan!R630</f>
        <v/>
      </c>
      <c r="S633" s="60" t="str">
        <f>Ringkasan!S630</f>
        <v/>
      </c>
      <c r="T633" s="60" t="str">
        <f>Ringkasan!T630</f>
        <v/>
      </c>
      <c r="U633" s="60">
        <f>Ringkasan!U630</f>
        <v>730</v>
      </c>
      <c r="V633" s="60">
        <f>Ringkasan!V630</f>
        <v>13.01</v>
      </c>
      <c r="W633" s="60" t="str">
        <f>Ringkasan!W630</f>
        <v/>
      </c>
      <c r="X633" s="60">
        <f>Ringkasan!X630</f>
        <v>850</v>
      </c>
      <c r="Y633" s="60">
        <f>Ringkasan!Y630</f>
        <v>750</v>
      </c>
      <c r="Z633" s="60">
        <f>Ringkasan!Z630</f>
        <v>1360516800</v>
      </c>
      <c r="AA633" s="60" t="str">
        <f>Ringkasan!AA630</f>
        <v>Coal</v>
      </c>
      <c r="AB633" s="60" t="str">
        <f>Ringkasan!AB630</f>
        <v>Energy</v>
      </c>
    </row>
    <row r="634" hidden="1">
      <c r="A634" s="60" t="str">
        <f>Ringkasan!A631</f>
        <v>DSSA</v>
      </c>
      <c r="B634" s="60" t="str">
        <f>Ringkasan!B631</f>
        <v>Dian Swastatika Sentosa Tbk</v>
      </c>
      <c r="C634" s="61">
        <f>Ringkasan!C631</f>
        <v>825</v>
      </c>
      <c r="D634" s="60" t="str">
        <f>Ringkasan!D631</f>
        <v>#N/A</v>
      </c>
      <c r="E634" s="60" t="str">
        <f>Ringkasan!E631</f>
        <v>Pefindo - iGrade</v>
      </c>
      <c r="F634" s="60" t="str">
        <f>Ringkasan!F631</f>
        <v>30 Juni 2026</v>
      </c>
      <c r="G634" s="60">
        <f>Ringkasan!G631</f>
        <v>2</v>
      </c>
      <c r="H634" s="62">
        <f>Ringkasan!H631</f>
        <v>24.5</v>
      </c>
      <c r="I634" s="62">
        <f>Ringkasan!I631</f>
        <v>2.5</v>
      </c>
      <c r="J634" s="62">
        <f>Ringkasan!J631</f>
        <v>10.2</v>
      </c>
      <c r="K634" s="62">
        <f>Ringkasan!K631</f>
        <v>5.2</v>
      </c>
      <c r="L634" s="62">
        <f>Ringkasan!L631</f>
        <v>0.95</v>
      </c>
      <c r="M634" s="62">
        <f>Ringkasan!M631</f>
        <v>8.3</v>
      </c>
      <c r="N634" s="60" t="str">
        <f>Ringkasan!N631</f>
        <v/>
      </c>
      <c r="O634" s="60" t="str">
        <f>Ringkasan!O631</f>
        <v/>
      </c>
      <c r="P634" s="60" t="str">
        <f>Ringkasan!P631</f>
        <v/>
      </c>
      <c r="Q634" s="60" t="str">
        <f>Ringkasan!Q631</f>
        <v/>
      </c>
      <c r="R634" s="60" t="str">
        <f>Ringkasan!R631</f>
        <v/>
      </c>
      <c r="S634" s="60" t="str">
        <f>Ringkasan!S631</f>
        <v/>
      </c>
      <c r="T634" s="60" t="str">
        <f>Ringkasan!T631</f>
        <v/>
      </c>
      <c r="U634" s="60">
        <f>Ringkasan!U631</f>
        <v>730</v>
      </c>
      <c r="V634" s="60">
        <f>Ringkasan!V631</f>
        <v>13.01</v>
      </c>
      <c r="W634" s="60" t="str">
        <f>Ringkasan!W631</f>
        <v/>
      </c>
      <c r="X634" s="60">
        <f>Ringkasan!X631</f>
        <v>850</v>
      </c>
      <c r="Y634" s="60">
        <f>Ringkasan!Y631</f>
        <v>750</v>
      </c>
      <c r="Z634" s="60">
        <f>Ringkasan!Z631</f>
        <v>1360516800</v>
      </c>
      <c r="AA634" s="60" t="str">
        <f>Ringkasan!AA631</f>
        <v>Coal</v>
      </c>
      <c r="AB634" s="60" t="str">
        <f>Ringkasan!AB631</f>
        <v>Energy</v>
      </c>
    </row>
    <row r="635" hidden="1">
      <c r="A635" s="64" t="str">
        <f>Ringkasan!A1262</f>
        <v>MTEL</v>
      </c>
      <c r="B635" s="64" t="str">
        <f>Ringkasan!B1262</f>
        <v>Dayamitra Telekomunikasi Tbk.</v>
      </c>
      <c r="C635" s="61">
        <f>Ringkasan!C1262</f>
        <v>498</v>
      </c>
      <c r="D635" s="60" t="str">
        <f>Ringkasan!D1262</f>
        <v>#N/A</v>
      </c>
      <c r="E635" s="60" t="str">
        <f>Ringkasan!E1262</f>
        <v>IDXMESBUMN</v>
      </c>
      <c r="F635" s="63">
        <f>Ringkasan!F1262</f>
        <v>46356</v>
      </c>
      <c r="G635" s="60">
        <f>Ringkasan!G1262</f>
        <v>10</v>
      </c>
      <c r="H635" s="62">
        <f>Ringkasan!H1262</f>
        <v>20.3</v>
      </c>
      <c r="I635" s="62">
        <f>Ringkasan!I1262</f>
        <v>1.3</v>
      </c>
      <c r="J635" s="62">
        <f>Ringkasan!J1262</f>
        <v>6.4</v>
      </c>
      <c r="K635" s="62">
        <f>Ringkasan!K1262</f>
        <v>3.5</v>
      </c>
      <c r="L635" s="62">
        <f>Ringkasan!L1262</f>
        <v>0.8</v>
      </c>
      <c r="M635" s="62">
        <f>Ringkasan!M1262</f>
        <v>93.2</v>
      </c>
      <c r="N635" s="60" t="str">
        <f>Ringkasan!N1262</f>
        <v/>
      </c>
      <c r="O635" s="60" t="str">
        <f>Ringkasan!O1262</f>
        <v/>
      </c>
      <c r="P635" s="60" t="str">
        <f>Ringkasan!P1262</f>
        <v/>
      </c>
      <c r="Q635" s="60" t="str">
        <f>Ringkasan!Q1262</f>
        <v/>
      </c>
      <c r="R635" s="60" t="str">
        <f>Ringkasan!R1262</f>
        <v/>
      </c>
      <c r="S635" s="60" t="str">
        <f>Ringkasan!S1262</f>
        <v/>
      </c>
      <c r="T635" s="60" t="str">
        <f>Ringkasan!T1262</f>
        <v/>
      </c>
      <c r="U635" s="60">
        <f>Ringkasan!U1262</f>
        <v>500</v>
      </c>
      <c r="V635" s="60">
        <f>Ringkasan!V1262</f>
        <v>-0.4</v>
      </c>
      <c r="W635" s="60">
        <f>Ringkasan!W1262</f>
        <v>498</v>
      </c>
      <c r="X635" s="60">
        <f>Ringkasan!X1262</f>
        <v>500</v>
      </c>
      <c r="Y635" s="60">
        <f>Ringkasan!Y1262</f>
        <v>492</v>
      </c>
      <c r="Z635" s="60">
        <f>Ringkasan!Z1262</f>
        <v>32723600</v>
      </c>
      <c r="AA635" s="60" t="str">
        <f>Ringkasan!AA1262</f>
        <v>Wireless Telecommunication Services</v>
      </c>
      <c r="AB635" s="64" t="str">
        <f>Ringkasan!AB1262</f>
        <v>Infrastructures</v>
      </c>
    </row>
    <row r="636" hidden="1">
      <c r="A636" s="64" t="str">
        <f>Ringkasan!A1263</f>
        <v>MTEL</v>
      </c>
      <c r="B636" s="64" t="str">
        <f>Ringkasan!B1263</f>
        <v>Dayamitra Telekomunikasi Tbk.</v>
      </c>
      <c r="C636" s="61">
        <f>Ringkasan!C1263</f>
        <v>498</v>
      </c>
      <c r="D636" s="60" t="str">
        <f>Ringkasan!D1263</f>
        <v>#N/A</v>
      </c>
      <c r="E636" s="60" t="str">
        <f>Ringkasan!E1263</f>
        <v>ESGSKEHATI</v>
      </c>
      <c r="F636" s="63">
        <f>Ringkasan!F1263</f>
        <v>46356</v>
      </c>
      <c r="G636" s="60">
        <f>Ringkasan!G1263</f>
        <v>10</v>
      </c>
      <c r="H636" s="62">
        <f>Ringkasan!H1263</f>
        <v>20.3</v>
      </c>
      <c r="I636" s="62">
        <f>Ringkasan!I1263</f>
        <v>1.3</v>
      </c>
      <c r="J636" s="62">
        <f>Ringkasan!J1263</f>
        <v>6.4</v>
      </c>
      <c r="K636" s="62">
        <f>Ringkasan!K1263</f>
        <v>3.5</v>
      </c>
      <c r="L636" s="62">
        <f>Ringkasan!L1263</f>
        <v>0.8</v>
      </c>
      <c r="M636" s="62">
        <f>Ringkasan!M1263</f>
        <v>93.2</v>
      </c>
      <c r="N636" s="60" t="str">
        <f>Ringkasan!N1263</f>
        <v/>
      </c>
      <c r="O636" s="60" t="str">
        <f>Ringkasan!O1263</f>
        <v/>
      </c>
      <c r="P636" s="60" t="str">
        <f>Ringkasan!P1263</f>
        <v/>
      </c>
      <c r="Q636" s="60" t="str">
        <f>Ringkasan!Q1263</f>
        <v/>
      </c>
      <c r="R636" s="60" t="str">
        <f>Ringkasan!R1263</f>
        <v/>
      </c>
      <c r="S636" s="60" t="str">
        <f>Ringkasan!S1263</f>
        <v/>
      </c>
      <c r="T636" s="60" t="str">
        <f>Ringkasan!T1263</f>
        <v/>
      </c>
      <c r="U636" s="60">
        <f>Ringkasan!U1263</f>
        <v>500</v>
      </c>
      <c r="V636" s="60">
        <f>Ringkasan!V1263</f>
        <v>-0.4</v>
      </c>
      <c r="W636" s="60">
        <f>Ringkasan!W1263</f>
        <v>498</v>
      </c>
      <c r="X636" s="60">
        <f>Ringkasan!X1263</f>
        <v>500</v>
      </c>
      <c r="Y636" s="60">
        <f>Ringkasan!Y1263</f>
        <v>492</v>
      </c>
      <c r="Z636" s="60">
        <f>Ringkasan!Z1263</f>
        <v>32723600</v>
      </c>
      <c r="AA636" s="60" t="str">
        <f>Ringkasan!AA1263</f>
        <v>Wireless Telecommunication Services</v>
      </c>
      <c r="AB636" s="64" t="str">
        <f>Ringkasan!AB1263</f>
        <v>Infrastructures</v>
      </c>
    </row>
    <row r="637" hidden="1">
      <c r="A637" s="64" t="str">
        <f>Ringkasan!A1264</f>
        <v>MTEL</v>
      </c>
      <c r="B637" s="64" t="str">
        <f>Ringkasan!B1264</f>
        <v>Dayamitra Telekomunikasi Tbk.</v>
      </c>
      <c r="C637" s="61">
        <f>Ringkasan!C1264</f>
        <v>498</v>
      </c>
      <c r="D637" s="60" t="str">
        <f>Ringkasan!D1264</f>
        <v>#N/A</v>
      </c>
      <c r="E637" s="60" t="str">
        <f>Ringkasan!E1264</f>
        <v>IDXBUMN20</v>
      </c>
      <c r="F637" s="60" t="str">
        <f>Ringkasan!F1264</f>
        <v>4 Agustus 2026</v>
      </c>
      <c r="G637" s="60">
        <f>Ringkasan!G1264</f>
        <v>10</v>
      </c>
      <c r="H637" s="62">
        <f>Ringkasan!H1264</f>
        <v>20.3</v>
      </c>
      <c r="I637" s="62">
        <f>Ringkasan!I1264</f>
        <v>1.3</v>
      </c>
      <c r="J637" s="62">
        <f>Ringkasan!J1264</f>
        <v>6.4</v>
      </c>
      <c r="K637" s="62">
        <f>Ringkasan!K1264</f>
        <v>3.5</v>
      </c>
      <c r="L637" s="62">
        <f>Ringkasan!L1264</f>
        <v>0.8</v>
      </c>
      <c r="M637" s="62">
        <f>Ringkasan!M1264</f>
        <v>93.2</v>
      </c>
      <c r="N637" s="60" t="str">
        <f>Ringkasan!N1264</f>
        <v/>
      </c>
      <c r="O637" s="60" t="str">
        <f>Ringkasan!O1264</f>
        <v/>
      </c>
      <c r="P637" s="60" t="str">
        <f>Ringkasan!P1264</f>
        <v/>
      </c>
      <c r="Q637" s="60" t="str">
        <f>Ringkasan!Q1264</f>
        <v/>
      </c>
      <c r="R637" s="60" t="str">
        <f>Ringkasan!R1264</f>
        <v/>
      </c>
      <c r="S637" s="60" t="str">
        <f>Ringkasan!S1264</f>
        <v/>
      </c>
      <c r="T637" s="60" t="str">
        <f>Ringkasan!T1264</f>
        <v/>
      </c>
      <c r="U637" s="60">
        <f>Ringkasan!U1264</f>
        <v>500</v>
      </c>
      <c r="V637" s="60">
        <f>Ringkasan!V1264</f>
        <v>-0.4</v>
      </c>
      <c r="W637" s="60">
        <f>Ringkasan!W1264</f>
        <v>498</v>
      </c>
      <c r="X637" s="60">
        <f>Ringkasan!X1264</f>
        <v>500</v>
      </c>
      <c r="Y637" s="60">
        <f>Ringkasan!Y1264</f>
        <v>492</v>
      </c>
      <c r="Z637" s="60">
        <f>Ringkasan!Z1264</f>
        <v>32723600</v>
      </c>
      <c r="AA637" s="60" t="str">
        <f>Ringkasan!AA1264</f>
        <v>Wireless Telecommunication Services</v>
      </c>
      <c r="AB637" s="64" t="str">
        <f>Ringkasan!AB1264</f>
        <v>Infrastructures</v>
      </c>
    </row>
    <row r="638" hidden="1">
      <c r="A638" s="64" t="str">
        <f>Ringkasan!A636</f>
        <v>DYAN</v>
      </c>
      <c r="B638" s="64" t="str">
        <f>Ringkasan!B636</f>
        <v>Dyandra Media International Tbk.</v>
      </c>
      <c r="C638" s="67">
        <f>Ringkasan!C636</f>
        <v>75</v>
      </c>
      <c r="D638" s="22" t="str">
        <f>Ringkasan!D636</f>
        <v>#N/A</v>
      </c>
      <c r="E638" s="64" t="str">
        <f>Ringkasan!E636</f>
        <v/>
      </c>
      <c r="F638" s="64" t="str">
        <f>Ringkasan!F636</f>
        <v/>
      </c>
      <c r="G638" s="64">
        <f>Ringkasan!G636</f>
        <v>0</v>
      </c>
      <c r="H638" s="19">
        <f>Ringkasan!H636</f>
        <v>7.3</v>
      </c>
      <c r="I638" s="19">
        <f>Ringkasan!I636</f>
        <v>0.44</v>
      </c>
      <c r="J638" s="19">
        <f>Ringkasan!J636</f>
        <v>6.1</v>
      </c>
      <c r="K638" s="19">
        <f>Ringkasan!K636</f>
        <v>3.3</v>
      </c>
      <c r="L638" s="19">
        <f>Ringkasan!L636</f>
        <v>0.86</v>
      </c>
      <c r="M638" s="19">
        <f>Ringkasan!M636</f>
        <v>11.2</v>
      </c>
      <c r="N638" s="64" t="str">
        <f>Ringkasan!N636</f>
        <v/>
      </c>
      <c r="O638" s="64" t="str">
        <f>Ringkasan!O636</f>
        <v/>
      </c>
      <c r="P638" s="64" t="str">
        <f>Ringkasan!P636</f>
        <v/>
      </c>
      <c r="Q638" s="64" t="str">
        <f>Ringkasan!Q636</f>
        <v/>
      </c>
      <c r="R638" s="64" t="str">
        <f>Ringkasan!R636</f>
        <v/>
      </c>
      <c r="S638" s="64" t="str">
        <f>Ringkasan!S636</f>
        <v/>
      </c>
      <c r="T638" s="64" t="str">
        <f>Ringkasan!T636</f>
        <v/>
      </c>
      <c r="U638" s="22">
        <f>Ringkasan!U636</f>
        <v>75</v>
      </c>
      <c r="V638" s="22">
        <f>Ringkasan!V636</f>
        <v>0</v>
      </c>
      <c r="W638" s="22">
        <f>Ringkasan!W636</f>
        <v>74</v>
      </c>
      <c r="X638" s="22">
        <f>Ringkasan!X636</f>
        <v>76</v>
      </c>
      <c r="Y638" s="22">
        <f>Ringkasan!Y636</f>
        <v>73</v>
      </c>
      <c r="Z638" s="22">
        <f>Ringkasan!Z636</f>
        <v>1294800</v>
      </c>
      <c r="AA638" s="64" t="str">
        <f>Ringkasan!AA636</f>
        <v>Commercial Services</v>
      </c>
      <c r="AB638" s="64" t="str">
        <f>Ringkasan!AB636</f>
        <v>Industrials</v>
      </c>
    </row>
    <row r="639" hidden="1">
      <c r="A639" s="64" t="str">
        <f>Ringkasan!A638</f>
        <v>ECII</v>
      </c>
      <c r="B639" s="64" t="str">
        <f>Ringkasan!B638</f>
        <v>Electronic City Indonesia Tbk.</v>
      </c>
      <c r="C639" s="67">
        <f>Ringkasan!C638</f>
        <v>119</v>
      </c>
      <c r="D639" s="22" t="str">
        <f>Ringkasan!D638</f>
        <v>#N/A</v>
      </c>
      <c r="E639" s="64" t="str">
        <f>Ringkasan!E638</f>
        <v/>
      </c>
      <c r="F639" s="64" t="str">
        <f>Ringkasan!F638</f>
        <v/>
      </c>
      <c r="G639" s="64">
        <f>Ringkasan!G638</f>
        <v>0</v>
      </c>
      <c r="H639" s="19">
        <f>Ringkasan!H638</f>
        <v>-1.4</v>
      </c>
      <c r="I639" s="19">
        <f>Ringkasan!I638</f>
        <v>0.21</v>
      </c>
      <c r="J639" s="19">
        <f>Ringkasan!J638</f>
        <v>-14.6</v>
      </c>
      <c r="K639" s="19">
        <f>Ringkasan!K638</f>
        <v>-9.3</v>
      </c>
      <c r="L639" s="19">
        <f>Ringkasan!L638</f>
        <v>0.58</v>
      </c>
      <c r="M639" s="19">
        <f>Ringkasan!M638</f>
        <v>-24.1</v>
      </c>
      <c r="N639" s="64" t="str">
        <f>Ringkasan!N638</f>
        <v/>
      </c>
      <c r="O639" s="64" t="str">
        <f>Ringkasan!O638</f>
        <v/>
      </c>
      <c r="P639" s="64" t="str">
        <f>Ringkasan!P638</f>
        <v/>
      </c>
      <c r="Q639" s="64" t="str">
        <f>Ringkasan!Q638</f>
        <v/>
      </c>
      <c r="R639" s="64" t="str">
        <f>Ringkasan!R638</f>
        <v/>
      </c>
      <c r="S639" s="64" t="str">
        <f>Ringkasan!S638</f>
        <v/>
      </c>
      <c r="T639" s="64" t="str">
        <f>Ringkasan!T638</f>
        <v/>
      </c>
      <c r="U639" s="22">
        <f>Ringkasan!U638</f>
        <v>119</v>
      </c>
      <c r="V639" s="22">
        <f>Ringkasan!V638</f>
        <v>0</v>
      </c>
      <c r="W639" s="22">
        <f>Ringkasan!W638</f>
        <v>116</v>
      </c>
      <c r="X639" s="22">
        <f>Ringkasan!X638</f>
        <v>130</v>
      </c>
      <c r="Y639" s="22">
        <f>Ringkasan!Y638</f>
        <v>116</v>
      </c>
      <c r="Z639" s="22">
        <f>Ringkasan!Z638</f>
        <v>453900</v>
      </c>
      <c r="AA639" s="64" t="str">
        <f>Ringkasan!AA638</f>
        <v>Specialty Retail</v>
      </c>
      <c r="AB639" s="64" t="str">
        <f>Ringkasan!AB638</f>
        <v>Consumer Cyclicals</v>
      </c>
    </row>
    <row r="640" hidden="1">
      <c r="A640" s="64" t="str">
        <f>Ringkasan!A1265</f>
        <v>MTEL</v>
      </c>
      <c r="B640" s="64" t="str">
        <f>Ringkasan!B1265</f>
        <v>Dayamitra Telekomunikasi Tbk.</v>
      </c>
      <c r="C640" s="61">
        <f>Ringkasan!C1265</f>
        <v>498</v>
      </c>
      <c r="D640" s="60" t="str">
        <f>Ringkasan!D1265</f>
        <v>#N/A</v>
      </c>
      <c r="E640" s="60" t="str">
        <f>Ringkasan!E1265</f>
        <v>MNC36</v>
      </c>
      <c r="F640" s="60" t="str">
        <f>Ringkasan!F1265</f>
        <v>30 Oktober 2026</v>
      </c>
      <c r="G640" s="60">
        <f>Ringkasan!G1265</f>
        <v>10</v>
      </c>
      <c r="H640" s="62">
        <f>Ringkasan!H1265</f>
        <v>20.3</v>
      </c>
      <c r="I640" s="62">
        <f>Ringkasan!I1265</f>
        <v>1.3</v>
      </c>
      <c r="J640" s="62">
        <f>Ringkasan!J1265</f>
        <v>6.4</v>
      </c>
      <c r="K640" s="62">
        <f>Ringkasan!K1265</f>
        <v>3.5</v>
      </c>
      <c r="L640" s="62">
        <f>Ringkasan!L1265</f>
        <v>0.8</v>
      </c>
      <c r="M640" s="62">
        <f>Ringkasan!M1265</f>
        <v>93.2</v>
      </c>
      <c r="N640" s="60" t="str">
        <f>Ringkasan!N1265</f>
        <v/>
      </c>
      <c r="O640" s="60" t="str">
        <f>Ringkasan!O1265</f>
        <v/>
      </c>
      <c r="P640" s="60" t="str">
        <f>Ringkasan!P1265</f>
        <v/>
      </c>
      <c r="Q640" s="60" t="str">
        <f>Ringkasan!Q1265</f>
        <v/>
      </c>
      <c r="R640" s="60" t="str">
        <f>Ringkasan!R1265</f>
        <v/>
      </c>
      <c r="S640" s="60" t="str">
        <f>Ringkasan!S1265</f>
        <v/>
      </c>
      <c r="T640" s="60" t="str">
        <f>Ringkasan!T1265</f>
        <v/>
      </c>
      <c r="U640" s="60">
        <f>Ringkasan!U1265</f>
        <v>500</v>
      </c>
      <c r="V640" s="60">
        <f>Ringkasan!V1265</f>
        <v>-0.4</v>
      </c>
      <c r="W640" s="60">
        <f>Ringkasan!W1265</f>
        <v>498</v>
      </c>
      <c r="X640" s="60">
        <f>Ringkasan!X1265</f>
        <v>500</v>
      </c>
      <c r="Y640" s="60">
        <f>Ringkasan!Y1265</f>
        <v>492</v>
      </c>
      <c r="Z640" s="60">
        <f>Ringkasan!Z1265</f>
        <v>32723600</v>
      </c>
      <c r="AA640" s="60" t="str">
        <f>Ringkasan!AA1265</f>
        <v>Wireless Telecommunication Services</v>
      </c>
      <c r="AB640" s="64" t="str">
        <f>Ringkasan!AB1265</f>
        <v>Infrastructures</v>
      </c>
    </row>
    <row r="641" hidden="1">
      <c r="A641" s="64" t="str">
        <f>Ringkasan!A1158</f>
        <v>MBMA</v>
      </c>
      <c r="B641" s="64" t="str">
        <f>Ringkasan!B1158</f>
        <v>PT Merdeka Battery Materials Tbk</v>
      </c>
      <c r="C641" s="61">
        <f>Ringkasan!C1158</f>
        <v>482</v>
      </c>
      <c r="D641" s="60" t="str">
        <f>Ringkasan!D1158</f>
        <v>#N/A</v>
      </c>
      <c r="E641" s="60" t="str">
        <f>Ringkasan!E1158</f>
        <v>IDX30</v>
      </c>
      <c r="F641" s="60" t="str">
        <f>Ringkasan!F1158</f>
        <v>31 Juli 2026</v>
      </c>
      <c r="G641" s="60">
        <f>Ringkasan!G1158</f>
        <v>10</v>
      </c>
      <c r="H641" s="62">
        <f>Ringkasan!H1158</f>
        <v>100</v>
      </c>
      <c r="I641" s="62">
        <f>Ringkasan!I1158</f>
        <v>1.3</v>
      </c>
      <c r="J641" s="62">
        <f>Ringkasan!J1158</f>
        <v>1.3</v>
      </c>
      <c r="K641" s="62">
        <f>Ringkasan!K1158</f>
        <v>0.79</v>
      </c>
      <c r="L641" s="62">
        <f>Ringkasan!L1158</f>
        <v>0.59</v>
      </c>
      <c r="M641" s="62">
        <f>Ringkasan!M1158</f>
        <v>2.1</v>
      </c>
      <c r="N641" s="60" t="str">
        <f>Ringkasan!N1158</f>
        <v/>
      </c>
      <c r="O641" s="60" t="str">
        <f>Ringkasan!O1158</f>
        <v/>
      </c>
      <c r="P641" s="60" t="str">
        <f>Ringkasan!P1158</f>
        <v/>
      </c>
      <c r="Q641" s="60" t="str">
        <f>Ringkasan!Q1158</f>
        <v/>
      </c>
      <c r="R641" s="60" t="str">
        <f>Ringkasan!R1158</f>
        <v/>
      </c>
      <c r="S641" s="60" t="str">
        <f>Ringkasan!S1158</f>
        <v/>
      </c>
      <c r="T641" s="60" t="str">
        <f>Ringkasan!T1158</f>
        <v/>
      </c>
      <c r="U641" s="60">
        <f>Ringkasan!U1158</f>
        <v>448</v>
      </c>
      <c r="V641" s="60">
        <f>Ringkasan!V1158</f>
        <v>7.59</v>
      </c>
      <c r="W641" s="60">
        <f>Ringkasan!W1158</f>
        <v>452</v>
      </c>
      <c r="X641" s="60">
        <f>Ringkasan!X1158</f>
        <v>486</v>
      </c>
      <c r="Y641" s="60">
        <f>Ringkasan!Y1158</f>
        <v>452</v>
      </c>
      <c r="Z641" s="60">
        <f>Ringkasan!Z1158</f>
        <v>202671900</v>
      </c>
      <c r="AA641" s="60" t="str">
        <f>Ringkasan!AA1158</f>
        <v>Metals &amp; Minerals</v>
      </c>
      <c r="AB641" s="64" t="str">
        <f>Ringkasan!AB1158</f>
        <v>Basic Materials</v>
      </c>
    </row>
    <row r="642" hidden="1">
      <c r="A642" s="64" t="str">
        <f>Ringkasan!A1159</f>
        <v>MBMA</v>
      </c>
      <c r="B642" s="64" t="str">
        <f>Ringkasan!B1159</f>
        <v>PT Merdeka Battery Materials Tbk</v>
      </c>
      <c r="C642" s="61">
        <f>Ringkasan!C1159</f>
        <v>482</v>
      </c>
      <c r="D642" s="60" t="str">
        <f>Ringkasan!D1159</f>
        <v>#N/A</v>
      </c>
      <c r="E642" s="60" t="str">
        <f>Ringkasan!E1159</f>
        <v>LQ45</v>
      </c>
      <c r="F642" s="60" t="str">
        <f>Ringkasan!F1159</f>
        <v>31 Juli 2026</v>
      </c>
      <c r="G642" s="60">
        <f>Ringkasan!G1159</f>
        <v>10</v>
      </c>
      <c r="H642" s="62">
        <f>Ringkasan!H1159</f>
        <v>100</v>
      </c>
      <c r="I642" s="62">
        <f>Ringkasan!I1159</f>
        <v>1.3</v>
      </c>
      <c r="J642" s="62">
        <f>Ringkasan!J1159</f>
        <v>1.3</v>
      </c>
      <c r="K642" s="62">
        <f>Ringkasan!K1159</f>
        <v>0.79</v>
      </c>
      <c r="L642" s="62">
        <f>Ringkasan!L1159</f>
        <v>0.59</v>
      </c>
      <c r="M642" s="62">
        <f>Ringkasan!M1159</f>
        <v>2.1</v>
      </c>
      <c r="N642" s="60" t="str">
        <f>Ringkasan!N1159</f>
        <v/>
      </c>
      <c r="O642" s="60" t="str">
        <f>Ringkasan!O1159</f>
        <v/>
      </c>
      <c r="P642" s="60" t="str">
        <f>Ringkasan!P1159</f>
        <v/>
      </c>
      <c r="Q642" s="60" t="str">
        <f>Ringkasan!Q1159</f>
        <v/>
      </c>
      <c r="R642" s="60" t="str">
        <f>Ringkasan!R1159</f>
        <v/>
      </c>
      <c r="S642" s="60" t="str">
        <f>Ringkasan!S1159</f>
        <v/>
      </c>
      <c r="T642" s="60" t="str">
        <f>Ringkasan!T1159</f>
        <v/>
      </c>
      <c r="U642" s="60">
        <f>Ringkasan!U1159</f>
        <v>448</v>
      </c>
      <c r="V642" s="60">
        <f>Ringkasan!V1159</f>
        <v>7.59</v>
      </c>
      <c r="W642" s="60">
        <f>Ringkasan!W1159</f>
        <v>452</v>
      </c>
      <c r="X642" s="60">
        <f>Ringkasan!X1159</f>
        <v>486</v>
      </c>
      <c r="Y642" s="60">
        <f>Ringkasan!Y1159</f>
        <v>452</v>
      </c>
      <c r="Z642" s="60">
        <f>Ringkasan!Z1159</f>
        <v>202671900</v>
      </c>
      <c r="AA642" s="60" t="str">
        <f>Ringkasan!AA1159</f>
        <v>Metals &amp; Minerals</v>
      </c>
      <c r="AB642" s="64" t="str">
        <f>Ringkasan!AB1159</f>
        <v>Basic Materials</v>
      </c>
    </row>
    <row r="643" hidden="1">
      <c r="A643" s="60" t="str">
        <f>Ringkasan!A634</f>
        <v>DVLA</v>
      </c>
      <c r="B643" s="60" t="str">
        <f>Ringkasan!B634</f>
        <v>Darya-Varia Laboratoria Tbk.</v>
      </c>
      <c r="C643" s="61">
        <f>Ringkasan!C634</f>
        <v>1530</v>
      </c>
      <c r="D643" s="60" t="str">
        <f>Ringkasan!D634</f>
        <v>#N/A</v>
      </c>
      <c r="E643" s="60" t="str">
        <f>Ringkasan!E634</f>
        <v/>
      </c>
      <c r="F643" s="60" t="str">
        <f>Ringkasan!F634</f>
        <v/>
      </c>
      <c r="G643" s="60">
        <f>Ringkasan!G634</f>
        <v>0</v>
      </c>
      <c r="H643" s="62">
        <f>Ringkasan!H634</f>
        <v>12.6</v>
      </c>
      <c r="I643" s="62">
        <f>Ringkasan!I634</f>
        <v>1.2</v>
      </c>
      <c r="J643" s="62">
        <f>Ringkasan!J634</f>
        <v>9.2</v>
      </c>
      <c r="K643" s="62">
        <f>Ringkasan!K634</f>
        <v>5.6</v>
      </c>
      <c r="L643" s="62">
        <f>Ringkasan!L634</f>
        <v>0.64</v>
      </c>
      <c r="M643" s="62">
        <f>Ringkasan!M634</f>
        <v>23.6</v>
      </c>
      <c r="N643" s="60" t="str">
        <f>Ringkasan!N634</f>
        <v/>
      </c>
      <c r="O643" s="60" t="str">
        <f>Ringkasan!O634</f>
        <v/>
      </c>
      <c r="P643" s="60" t="str">
        <f>Ringkasan!P634</f>
        <v/>
      </c>
      <c r="Q643" s="60" t="str">
        <f>Ringkasan!Q634</f>
        <v/>
      </c>
      <c r="R643" s="60" t="str">
        <f>Ringkasan!R634</f>
        <v/>
      </c>
      <c r="S643" s="60" t="str">
        <f>Ringkasan!S634</f>
        <v/>
      </c>
      <c r="T643" s="60" t="str">
        <f>Ringkasan!T634</f>
        <v/>
      </c>
      <c r="U643" s="60">
        <f>Ringkasan!U634</f>
        <v>1535</v>
      </c>
      <c r="V643" s="60">
        <f>Ringkasan!V634</f>
        <v>-0.33</v>
      </c>
      <c r="W643" s="60">
        <f>Ringkasan!W634</f>
        <v>1545</v>
      </c>
      <c r="X643" s="60">
        <f>Ringkasan!X634</f>
        <v>1545</v>
      </c>
      <c r="Y643" s="60" t="str">
        <f>Ringkasan!Y634</f>
        <v/>
      </c>
      <c r="Z643" s="60">
        <f>Ringkasan!Z634</f>
        <v>11000</v>
      </c>
      <c r="AA643" s="60" t="str">
        <f>Ringkasan!AA634</f>
        <v>Pharmaceuticals</v>
      </c>
      <c r="AB643" s="60" t="str">
        <f>Ringkasan!AB634</f>
        <v>Healthcare</v>
      </c>
    </row>
    <row r="644" hidden="1">
      <c r="A644" s="64" t="str">
        <f>Ringkasan!A475</f>
        <v>BUMI</v>
      </c>
      <c r="B644" s="64" t="str">
        <f>Ringkasan!B475</f>
        <v>Bumi Resources Tbk.</v>
      </c>
      <c r="C644" s="65">
        <f>Ringkasan!C475</f>
        <v>157</v>
      </c>
      <c r="D644" s="64" t="str">
        <f>Ringkasan!D475</f>
        <v>#N/A</v>
      </c>
      <c r="E644" s="64" t="str">
        <f>Ringkasan!E475</f>
        <v>IDX80</v>
      </c>
      <c r="F644" s="64" t="str">
        <f>Ringkasan!F475</f>
        <v>31 Juli 2026</v>
      </c>
      <c r="G644" s="64">
        <f>Ringkasan!G475</f>
        <v>11</v>
      </c>
      <c r="H644" s="19">
        <f>Ringkasan!H475</f>
        <v>42.3</v>
      </c>
      <c r="I644" s="19">
        <f>Ringkasan!I475</f>
        <v>1.3</v>
      </c>
      <c r="J644" s="19">
        <f>Ringkasan!J475</f>
        <v>3</v>
      </c>
      <c r="K644" s="19">
        <f>Ringkasan!K475</f>
        <v>1.9</v>
      </c>
      <c r="L644" s="19">
        <f>Ringkasan!L475</f>
        <v>0.53</v>
      </c>
      <c r="M644" s="19">
        <f>Ringkasan!M475</f>
        <v>20.8</v>
      </c>
      <c r="N644" s="64" t="str">
        <f>Ringkasan!N475</f>
        <v/>
      </c>
      <c r="O644" s="64" t="str">
        <f>Ringkasan!O475</f>
        <v/>
      </c>
      <c r="P644" s="64" t="str">
        <f>Ringkasan!P475</f>
        <v/>
      </c>
      <c r="Q644" s="64" t="str">
        <f>Ringkasan!Q475</f>
        <v/>
      </c>
      <c r="R644" s="64" t="str">
        <f>Ringkasan!R475</f>
        <v/>
      </c>
      <c r="S644" s="64" t="str">
        <f>Ringkasan!S475</f>
        <v/>
      </c>
      <c r="T644" s="64" t="str">
        <f>Ringkasan!T475</f>
        <v/>
      </c>
      <c r="U644" s="64">
        <f>Ringkasan!U475</f>
        <v>140</v>
      </c>
      <c r="V644" s="64">
        <f>Ringkasan!V475</f>
        <v>12.14</v>
      </c>
      <c r="W644" s="64">
        <f>Ringkasan!W475</f>
        <v>144</v>
      </c>
      <c r="X644" s="64">
        <f>Ringkasan!X475</f>
        <v>162</v>
      </c>
      <c r="Y644" s="64">
        <f>Ringkasan!Y475</f>
        <v>143</v>
      </c>
      <c r="Z644" s="64">
        <f>Ringkasan!Z475</f>
        <v>6630659700</v>
      </c>
      <c r="AA644" s="64" t="str">
        <f>Ringkasan!AA475</f>
        <v>Coal</v>
      </c>
      <c r="AB644" s="64" t="str">
        <f>Ringkasan!AB475</f>
        <v>Energy</v>
      </c>
    </row>
    <row r="645" hidden="1">
      <c r="A645" s="64" t="str">
        <f>Ringkasan!A1160</f>
        <v>MBMA</v>
      </c>
      <c r="B645" s="64" t="str">
        <f>Ringkasan!B1160</f>
        <v>PT Merdeka Battery Materials Tbk</v>
      </c>
      <c r="C645" s="61">
        <f>Ringkasan!C1160</f>
        <v>482</v>
      </c>
      <c r="D645" s="60" t="str">
        <f>Ringkasan!D1160</f>
        <v>#N/A</v>
      </c>
      <c r="E645" s="60" t="str">
        <f>Ringkasan!E1160</f>
        <v>Kompas100</v>
      </c>
      <c r="F645" s="60" t="str">
        <f>Ringkasan!F1160</f>
        <v>31 Juli 2026</v>
      </c>
      <c r="G645" s="60">
        <f>Ringkasan!G1160</f>
        <v>10</v>
      </c>
      <c r="H645" s="62">
        <f>Ringkasan!H1160</f>
        <v>100</v>
      </c>
      <c r="I645" s="62">
        <f>Ringkasan!I1160</f>
        <v>1.3</v>
      </c>
      <c r="J645" s="62">
        <f>Ringkasan!J1160</f>
        <v>1.3</v>
      </c>
      <c r="K645" s="62">
        <f>Ringkasan!K1160</f>
        <v>0.79</v>
      </c>
      <c r="L645" s="62">
        <f>Ringkasan!L1160</f>
        <v>0.59</v>
      </c>
      <c r="M645" s="62">
        <f>Ringkasan!M1160</f>
        <v>2.1</v>
      </c>
      <c r="N645" s="60" t="str">
        <f>Ringkasan!N1160</f>
        <v/>
      </c>
      <c r="O645" s="60" t="str">
        <f>Ringkasan!O1160</f>
        <v/>
      </c>
      <c r="P645" s="60" t="str">
        <f>Ringkasan!P1160</f>
        <v/>
      </c>
      <c r="Q645" s="60" t="str">
        <f>Ringkasan!Q1160</f>
        <v/>
      </c>
      <c r="R645" s="60" t="str">
        <f>Ringkasan!R1160</f>
        <v/>
      </c>
      <c r="S645" s="60" t="str">
        <f>Ringkasan!S1160</f>
        <v/>
      </c>
      <c r="T645" s="60" t="str">
        <f>Ringkasan!T1160</f>
        <v/>
      </c>
      <c r="U645" s="60">
        <f>Ringkasan!U1160</f>
        <v>448</v>
      </c>
      <c r="V645" s="60">
        <f>Ringkasan!V1160</f>
        <v>7.59</v>
      </c>
      <c r="W645" s="60">
        <f>Ringkasan!W1160</f>
        <v>452</v>
      </c>
      <c r="X645" s="60">
        <f>Ringkasan!X1160</f>
        <v>486</v>
      </c>
      <c r="Y645" s="60">
        <f>Ringkasan!Y1160</f>
        <v>452</v>
      </c>
      <c r="Z645" s="60">
        <f>Ringkasan!Z1160</f>
        <v>202671900</v>
      </c>
      <c r="AA645" s="60" t="str">
        <f>Ringkasan!AA1160</f>
        <v>Metals &amp; Minerals</v>
      </c>
      <c r="AB645" s="64" t="str">
        <f>Ringkasan!AB1160</f>
        <v>Basic Materials</v>
      </c>
    </row>
    <row r="646" hidden="1">
      <c r="A646" s="64" t="str">
        <f>Ringkasan!A1161</f>
        <v>MBMA</v>
      </c>
      <c r="B646" s="64" t="str">
        <f>Ringkasan!B1161</f>
        <v>PT Merdeka Battery Materials Tbk</v>
      </c>
      <c r="C646" s="61">
        <f>Ringkasan!C1161</f>
        <v>482</v>
      </c>
      <c r="D646" s="60" t="str">
        <f>Ringkasan!D1161</f>
        <v>#N/A</v>
      </c>
      <c r="E646" s="60" t="str">
        <f>Ringkasan!E1161</f>
        <v>ECONOMIC30</v>
      </c>
      <c r="F646" s="60" t="str">
        <f>Ringkasan!F1161</f>
        <v>31 Agustus 2026</v>
      </c>
      <c r="G646" s="60">
        <f>Ringkasan!G1161</f>
        <v>10</v>
      </c>
      <c r="H646" s="62">
        <f>Ringkasan!H1161</f>
        <v>100</v>
      </c>
      <c r="I646" s="62">
        <f>Ringkasan!I1161</f>
        <v>1.3</v>
      </c>
      <c r="J646" s="62">
        <f>Ringkasan!J1161</f>
        <v>1.3</v>
      </c>
      <c r="K646" s="62">
        <f>Ringkasan!K1161</f>
        <v>0.79</v>
      </c>
      <c r="L646" s="62">
        <f>Ringkasan!L1161</f>
        <v>0.59</v>
      </c>
      <c r="M646" s="62">
        <f>Ringkasan!M1161</f>
        <v>2.1</v>
      </c>
      <c r="N646" s="60" t="str">
        <f>Ringkasan!N1161</f>
        <v/>
      </c>
      <c r="O646" s="60" t="str">
        <f>Ringkasan!O1161</f>
        <v/>
      </c>
      <c r="P646" s="60" t="str">
        <f>Ringkasan!P1161</f>
        <v/>
      </c>
      <c r="Q646" s="60" t="str">
        <f>Ringkasan!Q1161</f>
        <v/>
      </c>
      <c r="R646" s="60" t="str">
        <f>Ringkasan!R1161</f>
        <v/>
      </c>
      <c r="S646" s="60" t="str">
        <f>Ringkasan!S1161</f>
        <v/>
      </c>
      <c r="T646" s="60" t="str">
        <f>Ringkasan!T1161</f>
        <v/>
      </c>
      <c r="U646" s="60">
        <f>Ringkasan!U1161</f>
        <v>448</v>
      </c>
      <c r="V646" s="60">
        <f>Ringkasan!V1161</f>
        <v>7.59</v>
      </c>
      <c r="W646" s="60">
        <f>Ringkasan!W1161</f>
        <v>452</v>
      </c>
      <c r="X646" s="60">
        <f>Ringkasan!X1161</f>
        <v>486</v>
      </c>
      <c r="Y646" s="60">
        <f>Ringkasan!Y1161</f>
        <v>452</v>
      </c>
      <c r="Z646" s="60">
        <f>Ringkasan!Z1161</f>
        <v>202671900</v>
      </c>
      <c r="AA646" s="60" t="str">
        <f>Ringkasan!AA1161</f>
        <v>Metals &amp; Minerals</v>
      </c>
      <c r="AB646" s="64" t="str">
        <f>Ringkasan!AB1161</f>
        <v>Basic Materials</v>
      </c>
    </row>
    <row r="647">
      <c r="A647" s="60" t="str">
        <f>Ringkasan!A944</f>
        <v>IPCM</v>
      </c>
      <c r="B647" s="60" t="str">
        <f>Ringkasan!B944</f>
        <v>PT Jasa Armada Indonesia Tbk.</v>
      </c>
      <c r="C647" s="61">
        <f>Ringkasan!C944</f>
        <v>316</v>
      </c>
      <c r="D647" s="60" t="str">
        <f>Ringkasan!D944</f>
        <v>#N/A</v>
      </c>
      <c r="E647" s="60" t="str">
        <f>Ringkasan!E944</f>
        <v>IDXMESBUMN</v>
      </c>
      <c r="F647" s="63">
        <f>Ringkasan!F944</f>
        <v>46356</v>
      </c>
      <c r="G647" s="60">
        <f>Ringkasan!G944</f>
        <v>1</v>
      </c>
      <c r="H647" s="62">
        <f>Ringkasan!H944</f>
        <v>8.7</v>
      </c>
      <c r="I647" s="62">
        <f>Ringkasan!I944</f>
        <v>1.2</v>
      </c>
      <c r="J647" s="62">
        <f>Ringkasan!J944</f>
        <v>14.1</v>
      </c>
      <c r="K647" s="62">
        <f>Ringkasan!K944</f>
        <v>11.1</v>
      </c>
      <c r="L647" s="62">
        <f>Ringkasan!L944</f>
        <v>0.27</v>
      </c>
      <c r="M647" s="62">
        <f>Ringkasan!M944</f>
        <v>57</v>
      </c>
      <c r="N647" s="60" t="str">
        <f>Ringkasan!N944</f>
        <v/>
      </c>
      <c r="O647" s="60" t="str">
        <f>Ringkasan!O944</f>
        <v/>
      </c>
      <c r="P647" s="60" t="str">
        <f>Ringkasan!P944</f>
        <v/>
      </c>
      <c r="Q647" s="60" t="str">
        <f>Ringkasan!Q944</f>
        <v/>
      </c>
      <c r="R647" s="60" t="str">
        <f>Ringkasan!R944</f>
        <v/>
      </c>
      <c r="S647" s="60" t="str">
        <f>Ringkasan!S944</f>
        <v/>
      </c>
      <c r="T647" s="60" t="str">
        <f>Ringkasan!T944</f>
        <v/>
      </c>
      <c r="U647" s="60">
        <f>Ringkasan!U944</f>
        <v>314</v>
      </c>
      <c r="V647" s="60">
        <f>Ringkasan!V944</f>
        <v>0.64</v>
      </c>
      <c r="W647" s="60">
        <f>Ringkasan!W944</f>
        <v>314</v>
      </c>
      <c r="X647" s="60">
        <f>Ringkasan!X944</f>
        <v>316</v>
      </c>
      <c r="Y647" s="60">
        <f>Ringkasan!Y944</f>
        <v>312</v>
      </c>
      <c r="Z647" s="60">
        <f>Ringkasan!Z944</f>
        <v>467600</v>
      </c>
      <c r="AA647" s="60" t="str">
        <f>Ringkasan!AA944</f>
        <v>Transport Infrastructure Operator</v>
      </c>
      <c r="AB647" s="60" t="str">
        <f>Ringkasan!AB944</f>
        <v>Infrastructures</v>
      </c>
    </row>
    <row r="648" hidden="1">
      <c r="A648" s="60" t="str">
        <f>Ringkasan!A647</f>
        <v>ELSA</v>
      </c>
      <c r="B648" s="60" t="str">
        <f>Ringkasan!B647</f>
        <v>Elnusa Tbk.</v>
      </c>
      <c r="C648" s="61">
        <f>Ringkasan!C647</f>
        <v>620</v>
      </c>
      <c r="D648" s="60" t="str">
        <f>Ringkasan!D647</f>
        <v>#N/A</v>
      </c>
      <c r="E648" s="60" t="str">
        <f>Ringkasan!E647</f>
        <v>IDXBUMN20</v>
      </c>
      <c r="F648" s="60" t="str">
        <f>Ringkasan!F647</f>
        <v>4 Agustus 2026</v>
      </c>
      <c r="G648" s="60">
        <f>Ringkasan!G647</f>
        <v>10</v>
      </c>
      <c r="H648" s="62">
        <f>Ringkasan!H647</f>
        <v>6.2</v>
      </c>
      <c r="I648" s="62">
        <f>Ringkasan!I647</f>
        <v>0.81</v>
      </c>
      <c r="J648" s="62">
        <f>Ringkasan!J647</f>
        <v>13.1</v>
      </c>
      <c r="K648" s="62">
        <f>Ringkasan!K647</f>
        <v>6.6</v>
      </c>
      <c r="L648" s="62">
        <f>Ringkasan!L647</f>
        <v>1</v>
      </c>
      <c r="M648" s="62">
        <f>Ringkasan!M647</f>
        <v>19.9</v>
      </c>
      <c r="N648" s="60" t="str">
        <f>Ringkasan!N647</f>
        <v/>
      </c>
      <c r="O648" s="60" t="str">
        <f>Ringkasan!O647</f>
        <v/>
      </c>
      <c r="P648" s="60" t="str">
        <f>Ringkasan!P647</f>
        <v/>
      </c>
      <c r="Q648" s="60" t="str">
        <f>Ringkasan!Q647</f>
        <v/>
      </c>
      <c r="R648" s="60" t="str">
        <f>Ringkasan!R647</f>
        <v/>
      </c>
      <c r="S648" s="60" t="str">
        <f>Ringkasan!S647</f>
        <v/>
      </c>
      <c r="T648" s="60" t="str">
        <f>Ringkasan!T647</f>
        <v/>
      </c>
      <c r="U648" s="60">
        <f>Ringkasan!U647</f>
        <v>2.24</v>
      </c>
      <c r="V648" s="60">
        <f>Ringkasan!V647</f>
        <v>0</v>
      </c>
      <c r="W648" s="60" t="str">
        <f>Ringkasan!W647</f>
        <v/>
      </c>
      <c r="X648" s="60" t="str">
        <f>Ringkasan!X647</f>
        <v/>
      </c>
      <c r="Y648" s="60" t="str">
        <f>Ringkasan!Y647</f>
        <v/>
      </c>
      <c r="Z648" s="60">
        <f>Ringkasan!Z647</f>
        <v>0</v>
      </c>
      <c r="AA648" s="60" t="str">
        <f>Ringkasan!AA647</f>
        <v>Oil, Gas &amp; Coal Supports</v>
      </c>
      <c r="AB648" s="64" t="str">
        <f>Ringkasan!AB647</f>
        <v>Energy</v>
      </c>
    </row>
    <row r="649" hidden="1">
      <c r="A649" s="60" t="str">
        <f>Ringkasan!A648</f>
        <v>ELSA</v>
      </c>
      <c r="B649" s="60" t="str">
        <f>Ringkasan!B648</f>
        <v>Elnusa Tbk.</v>
      </c>
      <c r="C649" s="61">
        <f>Ringkasan!C648</f>
        <v>620</v>
      </c>
      <c r="D649" s="60" t="str">
        <f>Ringkasan!D648</f>
        <v>#N/A</v>
      </c>
      <c r="E649" s="60" t="str">
        <f>Ringkasan!E648</f>
        <v>IDX80</v>
      </c>
      <c r="F649" s="60" t="str">
        <f>Ringkasan!F648</f>
        <v>31 Juli 2026</v>
      </c>
      <c r="G649" s="60">
        <f>Ringkasan!G648</f>
        <v>10</v>
      </c>
      <c r="H649" s="62">
        <f>Ringkasan!H648</f>
        <v>6.2</v>
      </c>
      <c r="I649" s="62">
        <f>Ringkasan!I648</f>
        <v>0.81</v>
      </c>
      <c r="J649" s="62">
        <f>Ringkasan!J648</f>
        <v>13.1</v>
      </c>
      <c r="K649" s="62">
        <f>Ringkasan!K648</f>
        <v>6.6</v>
      </c>
      <c r="L649" s="62">
        <f>Ringkasan!L648</f>
        <v>1</v>
      </c>
      <c r="M649" s="62">
        <f>Ringkasan!M648</f>
        <v>19.9</v>
      </c>
      <c r="N649" s="60" t="str">
        <f>Ringkasan!N648</f>
        <v/>
      </c>
      <c r="O649" s="60" t="str">
        <f>Ringkasan!O648</f>
        <v/>
      </c>
      <c r="P649" s="60" t="str">
        <f>Ringkasan!P648</f>
        <v/>
      </c>
      <c r="Q649" s="60" t="str">
        <f>Ringkasan!Q648</f>
        <v/>
      </c>
      <c r="R649" s="60" t="str">
        <f>Ringkasan!R648</f>
        <v/>
      </c>
      <c r="S649" s="60" t="str">
        <f>Ringkasan!S648</f>
        <v/>
      </c>
      <c r="T649" s="60" t="str">
        <f>Ringkasan!T648</f>
        <v/>
      </c>
      <c r="U649" s="60">
        <f>Ringkasan!U648</f>
        <v>2.24</v>
      </c>
      <c r="V649" s="60">
        <f>Ringkasan!V648</f>
        <v>0</v>
      </c>
      <c r="W649" s="60" t="str">
        <f>Ringkasan!W648</f>
        <v/>
      </c>
      <c r="X649" s="60" t="str">
        <f>Ringkasan!X648</f>
        <v/>
      </c>
      <c r="Y649" s="60" t="str">
        <f>Ringkasan!Y648</f>
        <v/>
      </c>
      <c r="Z649" s="60">
        <f>Ringkasan!Z648</f>
        <v>0</v>
      </c>
      <c r="AA649" s="60" t="str">
        <f>Ringkasan!AA648</f>
        <v>Oil, Gas &amp; Coal Supports</v>
      </c>
      <c r="AB649" s="64" t="str">
        <f>Ringkasan!AB648</f>
        <v>Energy</v>
      </c>
    </row>
    <row r="650" hidden="1">
      <c r="A650" s="64" t="str">
        <f>Ringkasan!A521</f>
        <v>CMRY</v>
      </c>
      <c r="B650" s="64" t="str">
        <f>Ringkasan!B521</f>
        <v>Cisarua Mountain Dairy Tbk.</v>
      </c>
      <c r="C650" s="67" t="str">
        <f>Ringkasan!C521</f>
        <v>#N/A</v>
      </c>
      <c r="D650" s="22" t="str">
        <f>Ringkasan!D521</f>
        <v>#N/A</v>
      </c>
      <c r="E650" s="64" t="str">
        <f>Ringkasan!E521</f>
        <v>IDXESGL</v>
      </c>
      <c r="F650" s="64" t="str">
        <f>Ringkasan!F521</f>
        <v>30 Oktober 2026</v>
      </c>
      <c r="G650" s="64">
        <f>Ringkasan!G521</f>
        <v>10</v>
      </c>
      <c r="H650" s="19">
        <f>Ringkasan!H521</f>
        <v>18.2</v>
      </c>
      <c r="I650" s="19">
        <f>Ringkasan!I521</f>
        <v>5.2</v>
      </c>
      <c r="J650" s="19">
        <f>Ringkasan!J521</f>
        <v>28.7</v>
      </c>
      <c r="K650" s="19">
        <f>Ringkasan!K521</f>
        <v>22.3</v>
      </c>
      <c r="L650" s="19">
        <f>Ringkasan!L521</f>
        <v>0.29</v>
      </c>
      <c r="M650" s="19">
        <f>Ringkasan!M521</f>
        <v>67.6</v>
      </c>
      <c r="N650" s="64" t="str">
        <f>Ringkasan!N521</f>
        <v/>
      </c>
      <c r="O650" s="64" t="str">
        <f>Ringkasan!O521</f>
        <v/>
      </c>
      <c r="P650" s="64" t="str">
        <f>Ringkasan!P521</f>
        <v/>
      </c>
      <c r="Q650" s="64" t="str">
        <f>Ringkasan!Q521</f>
        <v/>
      </c>
      <c r="R650" s="64" t="str">
        <f>Ringkasan!R521</f>
        <v/>
      </c>
      <c r="S650" s="64" t="str">
        <f>Ringkasan!S521</f>
        <v/>
      </c>
      <c r="T650" s="64" t="str">
        <f>Ringkasan!T521</f>
        <v/>
      </c>
      <c r="U650" s="22">
        <f>Ringkasan!U521</f>
        <v>4160</v>
      </c>
      <c r="V650" s="22">
        <f>Ringkasan!V521</f>
        <v>5.77</v>
      </c>
      <c r="W650" s="22">
        <f>Ringkasan!W521</f>
        <v>4180</v>
      </c>
      <c r="X650" s="22">
        <f>Ringkasan!X521</f>
        <v>4400</v>
      </c>
      <c r="Y650" s="22">
        <f>Ringkasan!Y521</f>
        <v>4160</v>
      </c>
      <c r="Z650" s="22">
        <f>Ringkasan!Z521</f>
        <v>3542800</v>
      </c>
      <c r="AA650" s="64" t="str">
        <f>Ringkasan!AA521</f>
        <v>Processed Foods</v>
      </c>
      <c r="AB650" s="64" t="str">
        <f>Ringkasan!AB521</f>
        <v>Consumer Non-Cyclicals</v>
      </c>
    </row>
    <row r="651" hidden="1">
      <c r="A651" s="64" t="str">
        <f>Ringkasan!A1162</f>
        <v>MBMA</v>
      </c>
      <c r="B651" s="64" t="str">
        <f>Ringkasan!B1162</f>
        <v>PT Merdeka Battery Materials Tbk</v>
      </c>
      <c r="C651" s="61">
        <f>Ringkasan!C1162</f>
        <v>482</v>
      </c>
      <c r="D651" s="60" t="str">
        <f>Ringkasan!D1162</f>
        <v>#N/A</v>
      </c>
      <c r="E651" s="60" t="str">
        <f>Ringkasan!E1162</f>
        <v>BISNIS-27</v>
      </c>
      <c r="F651" s="60" t="str">
        <f>Ringkasan!F1162</f>
        <v>30 Oktober 2026</v>
      </c>
      <c r="G651" s="60">
        <f>Ringkasan!G1162</f>
        <v>10</v>
      </c>
      <c r="H651" s="62">
        <f>Ringkasan!H1162</f>
        <v>100</v>
      </c>
      <c r="I651" s="62">
        <f>Ringkasan!I1162</f>
        <v>1.3</v>
      </c>
      <c r="J651" s="62">
        <f>Ringkasan!J1162</f>
        <v>1.3</v>
      </c>
      <c r="K651" s="62">
        <f>Ringkasan!K1162</f>
        <v>0.79</v>
      </c>
      <c r="L651" s="62">
        <f>Ringkasan!L1162</f>
        <v>0.59</v>
      </c>
      <c r="M651" s="62">
        <f>Ringkasan!M1162</f>
        <v>2.1</v>
      </c>
      <c r="N651" s="62" t="str">
        <f>Ringkasan!N1162</f>
        <v/>
      </c>
      <c r="O651" s="62" t="str">
        <f>Ringkasan!O1162</f>
        <v/>
      </c>
      <c r="P651" s="62" t="str">
        <f>Ringkasan!P1162</f>
        <v/>
      </c>
      <c r="Q651" s="62" t="str">
        <f>Ringkasan!Q1162</f>
        <v/>
      </c>
      <c r="R651" s="62" t="str">
        <f>Ringkasan!R1162</f>
        <v/>
      </c>
      <c r="S651" s="62" t="str">
        <f>Ringkasan!S1162</f>
        <v/>
      </c>
      <c r="T651" s="62" t="str">
        <f>Ringkasan!T1162</f>
        <v/>
      </c>
      <c r="U651" s="60">
        <f>Ringkasan!U1162</f>
        <v>448</v>
      </c>
      <c r="V651" s="60">
        <f>Ringkasan!V1162</f>
        <v>7.59</v>
      </c>
      <c r="W651" s="60">
        <f>Ringkasan!W1162</f>
        <v>452</v>
      </c>
      <c r="X651" s="60">
        <f>Ringkasan!X1162</f>
        <v>486</v>
      </c>
      <c r="Y651" s="60">
        <f>Ringkasan!Y1162</f>
        <v>452</v>
      </c>
      <c r="Z651" s="60">
        <f>Ringkasan!Z1162</f>
        <v>202671900</v>
      </c>
      <c r="AA651" s="60" t="str">
        <f>Ringkasan!AA1162</f>
        <v>Metals &amp; Minerals</v>
      </c>
      <c r="AB651" s="64" t="str">
        <f>Ringkasan!AB1162</f>
        <v>Basic Materials</v>
      </c>
    </row>
    <row r="652" hidden="1">
      <c r="A652" s="64" t="str">
        <f>Ringkasan!A724</f>
        <v>FILM</v>
      </c>
      <c r="B652" s="64" t="str">
        <f>Ringkasan!B724</f>
        <v>MD Entertainment Tbk.</v>
      </c>
      <c r="C652" s="65">
        <f>Ringkasan!C724</f>
        <v>1780</v>
      </c>
      <c r="D652" s="64" t="str">
        <f>Ringkasan!D724</f>
        <v>#N/A</v>
      </c>
      <c r="E652" s="64" t="str">
        <f>Ringkasan!E724</f>
        <v>MSCI Small Cap</v>
      </c>
      <c r="F652" s="64" t="str">
        <f>Ringkasan!F724</f>
        <v>12 Agustus 2026</v>
      </c>
      <c r="G652" s="64">
        <f>Ringkasan!G724</f>
        <v>3</v>
      </c>
      <c r="H652" s="19">
        <f>Ringkasan!H724</f>
        <v>-99.5</v>
      </c>
      <c r="I652" s="19">
        <f>Ringkasan!I724</f>
        <v>7.3</v>
      </c>
      <c r="J652" s="19">
        <f>Ringkasan!J724</f>
        <v>-7.4</v>
      </c>
      <c r="K652" s="19">
        <f>Ringkasan!K724</f>
        <v>-6.3</v>
      </c>
      <c r="L652" s="19">
        <f>Ringkasan!L724</f>
        <v>0.18</v>
      </c>
      <c r="M652" s="19">
        <f>Ringkasan!M724</f>
        <v>-160</v>
      </c>
      <c r="N652" s="64" t="str">
        <f>Ringkasan!N724</f>
        <v/>
      </c>
      <c r="O652" s="64" t="str">
        <f>Ringkasan!O724</f>
        <v/>
      </c>
      <c r="P652" s="64" t="str">
        <f>Ringkasan!P724</f>
        <v/>
      </c>
      <c r="Q652" s="64" t="str">
        <f>Ringkasan!Q724</f>
        <v/>
      </c>
      <c r="R652" s="64" t="str">
        <f>Ringkasan!R724</f>
        <v/>
      </c>
      <c r="S652" s="64" t="str">
        <f>Ringkasan!S724</f>
        <v/>
      </c>
      <c r="T652" s="64" t="str">
        <f>Ringkasan!T724</f>
        <v/>
      </c>
      <c r="U652" s="64">
        <f>Ringkasan!U724</f>
        <v>1775</v>
      </c>
      <c r="V652" s="64">
        <f>Ringkasan!V724</f>
        <v>0.28</v>
      </c>
      <c r="W652" s="64">
        <f>Ringkasan!W724</f>
        <v>1785</v>
      </c>
      <c r="X652" s="64">
        <f>Ringkasan!X724</f>
        <v>1825</v>
      </c>
      <c r="Y652" s="64">
        <f>Ringkasan!Y724</f>
        <v>1750</v>
      </c>
      <c r="Z652" s="64">
        <f>Ringkasan!Z724</f>
        <v>3696900</v>
      </c>
      <c r="AA652" s="64" t="str">
        <f>Ringkasan!AA724</f>
        <v>Entertainment &amp; Movie Production</v>
      </c>
      <c r="AB652" s="64" t="str">
        <f>Ringkasan!AB724</f>
        <v>Consumer Cyclicals</v>
      </c>
    </row>
    <row r="653" hidden="1">
      <c r="A653" s="60" t="str">
        <f>Ringkasan!A652</f>
        <v>ELSA</v>
      </c>
      <c r="B653" s="60" t="str">
        <f>Ringkasan!B652</f>
        <v>Elnusa Tbk.</v>
      </c>
      <c r="C653" s="61">
        <f>Ringkasan!C652</f>
        <v>620</v>
      </c>
      <c r="D653" s="60" t="str">
        <f>Ringkasan!D652</f>
        <v>#N/A</v>
      </c>
      <c r="E653" s="60" t="str">
        <f>Ringkasan!E652</f>
        <v>JII70</v>
      </c>
      <c r="F653" s="63">
        <f>Ringkasan!F652</f>
        <v>46356</v>
      </c>
      <c r="G653" s="60">
        <f>Ringkasan!G652</f>
        <v>10</v>
      </c>
      <c r="H653" s="62">
        <f>Ringkasan!H652</f>
        <v>6.2</v>
      </c>
      <c r="I653" s="62">
        <f>Ringkasan!I652</f>
        <v>0.81</v>
      </c>
      <c r="J653" s="62">
        <f>Ringkasan!J652</f>
        <v>13.1</v>
      </c>
      <c r="K653" s="62">
        <f>Ringkasan!K652</f>
        <v>6.6</v>
      </c>
      <c r="L653" s="62">
        <f>Ringkasan!L652</f>
        <v>1</v>
      </c>
      <c r="M653" s="62">
        <f>Ringkasan!M652</f>
        <v>19.9</v>
      </c>
      <c r="N653" s="60" t="str">
        <f>Ringkasan!N652</f>
        <v/>
      </c>
      <c r="O653" s="60" t="str">
        <f>Ringkasan!O652</f>
        <v/>
      </c>
      <c r="P653" s="60" t="str">
        <f>Ringkasan!P652</f>
        <v/>
      </c>
      <c r="Q653" s="60" t="str">
        <f>Ringkasan!Q652</f>
        <v/>
      </c>
      <c r="R653" s="60" t="str">
        <f>Ringkasan!R652</f>
        <v/>
      </c>
      <c r="S653" s="60" t="str">
        <f>Ringkasan!S652</f>
        <v/>
      </c>
      <c r="T653" s="60" t="str">
        <f>Ringkasan!T652</f>
        <v/>
      </c>
      <c r="U653" s="60">
        <f>Ringkasan!U652</f>
        <v>2.24</v>
      </c>
      <c r="V653" s="60">
        <f>Ringkasan!V652</f>
        <v>0</v>
      </c>
      <c r="W653" s="60" t="str">
        <f>Ringkasan!W652</f>
        <v/>
      </c>
      <c r="X653" s="60" t="str">
        <f>Ringkasan!X652</f>
        <v/>
      </c>
      <c r="Y653" s="60" t="str">
        <f>Ringkasan!Y652</f>
        <v/>
      </c>
      <c r="Z653" s="60">
        <f>Ringkasan!Z652</f>
        <v>0</v>
      </c>
      <c r="AA653" s="60" t="str">
        <f>Ringkasan!AA652</f>
        <v>Oil, Gas &amp; Coal Supports</v>
      </c>
      <c r="AB653" s="60" t="str">
        <f>Ringkasan!AB652</f>
        <v>Energy</v>
      </c>
    </row>
    <row r="654" hidden="1">
      <c r="A654" s="64" t="str">
        <f>Ringkasan!A1163</f>
        <v>MBMA</v>
      </c>
      <c r="B654" s="64" t="str">
        <f>Ringkasan!B1163</f>
        <v>PT Merdeka Battery Materials Tbk</v>
      </c>
      <c r="C654" s="61">
        <f>Ringkasan!C1163</f>
        <v>482</v>
      </c>
      <c r="D654" s="60" t="str">
        <f>Ringkasan!D1163</f>
        <v>#N/A</v>
      </c>
      <c r="E654" s="60" t="str">
        <f>Ringkasan!E1163</f>
        <v>JII30</v>
      </c>
      <c r="F654" s="63">
        <f>Ringkasan!F1163</f>
        <v>46356</v>
      </c>
      <c r="G654" s="60">
        <f>Ringkasan!G1163</f>
        <v>10</v>
      </c>
      <c r="H654" s="62">
        <f>Ringkasan!H1163</f>
        <v>100</v>
      </c>
      <c r="I654" s="62">
        <f>Ringkasan!I1163</f>
        <v>1.3</v>
      </c>
      <c r="J654" s="62">
        <f>Ringkasan!J1163</f>
        <v>1.3</v>
      </c>
      <c r="K654" s="62">
        <f>Ringkasan!K1163</f>
        <v>0.79</v>
      </c>
      <c r="L654" s="62">
        <f>Ringkasan!L1163</f>
        <v>0.59</v>
      </c>
      <c r="M654" s="62">
        <f>Ringkasan!M1163</f>
        <v>2.1</v>
      </c>
      <c r="N654" s="60" t="str">
        <f>Ringkasan!N1163</f>
        <v/>
      </c>
      <c r="O654" s="60" t="str">
        <f>Ringkasan!O1163</f>
        <v/>
      </c>
      <c r="P654" s="60" t="str">
        <f>Ringkasan!P1163</f>
        <v/>
      </c>
      <c r="Q654" s="60" t="str">
        <f>Ringkasan!Q1163</f>
        <v/>
      </c>
      <c r="R654" s="60" t="str">
        <f>Ringkasan!R1163</f>
        <v/>
      </c>
      <c r="S654" s="60" t="str">
        <f>Ringkasan!S1163</f>
        <v/>
      </c>
      <c r="T654" s="60" t="str">
        <f>Ringkasan!T1163</f>
        <v/>
      </c>
      <c r="U654" s="60">
        <f>Ringkasan!U1163</f>
        <v>448</v>
      </c>
      <c r="V654" s="60">
        <f>Ringkasan!V1163</f>
        <v>7.59</v>
      </c>
      <c r="W654" s="60">
        <f>Ringkasan!W1163</f>
        <v>452</v>
      </c>
      <c r="X654" s="60">
        <f>Ringkasan!X1163</f>
        <v>486</v>
      </c>
      <c r="Y654" s="60">
        <f>Ringkasan!Y1163</f>
        <v>452</v>
      </c>
      <c r="Z654" s="60">
        <f>Ringkasan!Z1163</f>
        <v>202671900</v>
      </c>
      <c r="AA654" s="60" t="str">
        <f>Ringkasan!AA1163</f>
        <v>Metals &amp; Minerals</v>
      </c>
      <c r="AB654" s="64" t="str">
        <f>Ringkasan!AB1163</f>
        <v>Basic Materials</v>
      </c>
    </row>
    <row r="655" hidden="1">
      <c r="A655" s="60" t="str">
        <f>Ringkasan!A654</f>
        <v>EMAS</v>
      </c>
      <c r="B655" s="60" t="str">
        <f>Ringkasan!B654</f>
        <v>Merdeka Gold Resources Tbk.</v>
      </c>
      <c r="C655" s="61">
        <f>Ringkasan!C654</f>
        <v>6975</v>
      </c>
      <c r="D655" s="60" t="str">
        <f>Ringkasan!D654</f>
        <v>#N/A</v>
      </c>
      <c r="E655" s="60" t="str">
        <f>Ringkasan!E654</f>
        <v/>
      </c>
      <c r="F655" s="60" t="str">
        <f>Ringkasan!F654</f>
        <v/>
      </c>
      <c r="G655" s="60">
        <f>Ringkasan!G654</f>
        <v>0</v>
      </c>
      <c r="H655" s="62">
        <f>Ringkasan!H654</f>
        <v>-250</v>
      </c>
      <c r="I655" s="62">
        <f>Ringkasan!I654</f>
        <v>18</v>
      </c>
      <c r="J655" s="62">
        <f>Ringkasan!J654</f>
        <v>-7.2</v>
      </c>
      <c r="K655" s="62">
        <f>Ringkasan!K654</f>
        <v>-3.7</v>
      </c>
      <c r="L655" s="62">
        <f>Ringkasan!L654</f>
        <v>0.94</v>
      </c>
      <c r="M655" s="62">
        <f>Ringkasan!M654</f>
        <v>-21000</v>
      </c>
      <c r="N655" s="60" t="str">
        <f>Ringkasan!N654</f>
        <v/>
      </c>
      <c r="O655" s="60" t="str">
        <f>Ringkasan!O654</f>
        <v/>
      </c>
      <c r="P655" s="60" t="str">
        <f>Ringkasan!P654</f>
        <v/>
      </c>
      <c r="Q655" s="60" t="str">
        <f>Ringkasan!Q654</f>
        <v/>
      </c>
      <c r="R655" s="60" t="str">
        <f>Ringkasan!R654</f>
        <v/>
      </c>
      <c r="S655" s="60" t="str">
        <f>Ringkasan!S654</f>
        <v/>
      </c>
      <c r="T655" s="60" t="str">
        <f>Ringkasan!T654</f>
        <v/>
      </c>
      <c r="U655" s="60">
        <f>Ringkasan!U654</f>
        <v>98.12</v>
      </c>
      <c r="V655" s="60">
        <f>Ringkasan!V654</f>
        <v>0</v>
      </c>
      <c r="W655" s="60" t="str">
        <f>Ringkasan!W654</f>
        <v/>
      </c>
      <c r="X655" s="60" t="str">
        <f>Ringkasan!X654</f>
        <v/>
      </c>
      <c r="Y655" s="60" t="str">
        <f>Ringkasan!Y654</f>
        <v/>
      </c>
      <c r="Z655" s="60">
        <f>Ringkasan!Z654</f>
        <v>0</v>
      </c>
      <c r="AA655" s="60" t="str">
        <f>Ringkasan!AA654</f>
        <v>Metals &amp; Minerals</v>
      </c>
      <c r="AB655" s="60" t="str">
        <f>Ringkasan!AB654</f>
        <v>Basic Materials</v>
      </c>
    </row>
    <row r="656" hidden="1">
      <c r="A656" s="60" t="str">
        <f>Ringkasan!A655</f>
        <v>EMDE</v>
      </c>
      <c r="B656" s="60" t="str">
        <f>Ringkasan!B655</f>
        <v>Megapolitan Developments Tbk.</v>
      </c>
      <c r="C656" s="61">
        <f>Ringkasan!C655</f>
        <v>55</v>
      </c>
      <c r="D656" s="60" t="str">
        <f>Ringkasan!D655</f>
        <v>#N/A</v>
      </c>
      <c r="E656" s="60" t="str">
        <f>Ringkasan!E655</f>
        <v/>
      </c>
      <c r="F656" s="60" t="str">
        <f>Ringkasan!F655</f>
        <v/>
      </c>
      <c r="G656" s="60">
        <f>Ringkasan!G655</f>
        <v>0</v>
      </c>
      <c r="H656" s="62">
        <f>Ringkasan!H655</f>
        <v>-2.6</v>
      </c>
      <c r="I656" s="62">
        <f>Ringkasan!I655</f>
        <v>0.1</v>
      </c>
      <c r="J656" s="62">
        <f>Ringkasan!J655</f>
        <v>-3.8</v>
      </c>
      <c r="K656" s="62">
        <f>Ringkasan!K655</f>
        <v>-2.5</v>
      </c>
      <c r="L656" s="62">
        <f>Ringkasan!L655</f>
        <v>0.53</v>
      </c>
      <c r="M656" s="62">
        <f>Ringkasan!M655</f>
        <v>-180</v>
      </c>
      <c r="N656" s="60" t="str">
        <f>Ringkasan!N655</f>
        <v/>
      </c>
      <c r="O656" s="60" t="str">
        <f>Ringkasan!O655</f>
        <v/>
      </c>
      <c r="P656" s="60" t="str">
        <f>Ringkasan!P655</f>
        <v/>
      </c>
      <c r="Q656" s="60" t="str">
        <f>Ringkasan!Q655</f>
        <v/>
      </c>
      <c r="R656" s="60" t="str">
        <f>Ringkasan!R655</f>
        <v/>
      </c>
      <c r="S656" s="60" t="str">
        <f>Ringkasan!S655</f>
        <v/>
      </c>
      <c r="T656" s="60" t="str">
        <f>Ringkasan!T655</f>
        <v/>
      </c>
      <c r="U656" s="60">
        <f>Ringkasan!U655</f>
        <v>56</v>
      </c>
      <c r="V656" s="60">
        <f>Ringkasan!V655</f>
        <v>-1.79</v>
      </c>
      <c r="W656" s="60">
        <f>Ringkasan!W655</f>
        <v>55</v>
      </c>
      <c r="X656" s="60">
        <f>Ringkasan!X655</f>
        <v>57</v>
      </c>
      <c r="Y656" s="60">
        <f>Ringkasan!Y655</f>
        <v>53</v>
      </c>
      <c r="Z656" s="60" t="str">
        <f>Ringkasan!Z655</f>
        <v/>
      </c>
      <c r="AA656" s="60" t="str">
        <f>Ringkasan!AA655</f>
        <v>Real Estate Management &amp; Development</v>
      </c>
      <c r="AB656" s="60" t="str">
        <f>Ringkasan!AB655</f>
        <v>Properties &amp; Real Estate</v>
      </c>
    </row>
    <row r="657" hidden="1">
      <c r="A657" s="60" t="str">
        <f>Ringkasan!A662</f>
        <v>EMTK</v>
      </c>
      <c r="B657" s="60" t="str">
        <f>Ringkasan!B662</f>
        <v>Elang Mahkota Teknologi Tbk.</v>
      </c>
      <c r="C657" s="61">
        <f>Ringkasan!C662</f>
        <v>550</v>
      </c>
      <c r="D657" s="60" t="str">
        <f>Ringkasan!D662</f>
        <v>#N/A</v>
      </c>
      <c r="E657" s="60" t="str">
        <f>Ringkasan!E662</f>
        <v>IDXVESTA28</v>
      </c>
      <c r="F657" s="60" t="str">
        <f>Ringkasan!F662</f>
        <v>31 Agustus 2026</v>
      </c>
      <c r="G657" s="61">
        <f>Ringkasan!G662</f>
        <v>13</v>
      </c>
      <c r="H657" s="62">
        <f>Ringkasan!H662</f>
        <v>13.4</v>
      </c>
      <c r="I657" s="62">
        <f>Ringkasan!I662</f>
        <v>0.72</v>
      </c>
      <c r="J657" s="62">
        <f>Ringkasan!J662</f>
        <v>5.4</v>
      </c>
      <c r="K657" s="62">
        <f>Ringkasan!K662</f>
        <v>4.7</v>
      </c>
      <c r="L657" s="62">
        <f>Ringkasan!L662</f>
        <v>0.14</v>
      </c>
      <c r="M657" s="62">
        <f>Ringkasan!M662</f>
        <v>48.5</v>
      </c>
      <c r="N657" s="60" t="str">
        <f>Ringkasan!N662</f>
        <v/>
      </c>
      <c r="O657" s="60" t="str">
        <f>Ringkasan!O662</f>
        <v/>
      </c>
      <c r="P657" s="60" t="str">
        <f>Ringkasan!P662</f>
        <v/>
      </c>
      <c r="Q657" s="60" t="str">
        <f>Ringkasan!Q662</f>
        <v/>
      </c>
      <c r="R657" s="60" t="str">
        <f>Ringkasan!R662</f>
        <v/>
      </c>
      <c r="S657" s="60" t="str">
        <f>Ringkasan!S662</f>
        <v/>
      </c>
      <c r="T657" s="60" t="str">
        <f>Ringkasan!T662</f>
        <v/>
      </c>
      <c r="U657" s="60">
        <f>Ringkasan!U662</f>
        <v>525</v>
      </c>
      <c r="V657" s="60">
        <f>Ringkasan!V662</f>
        <v>4.76</v>
      </c>
      <c r="W657" s="60">
        <f>Ringkasan!W662</f>
        <v>530</v>
      </c>
      <c r="X657" s="60">
        <f>Ringkasan!X662</f>
        <v>570</v>
      </c>
      <c r="Y657" s="60">
        <f>Ringkasan!Y662</f>
        <v>530</v>
      </c>
      <c r="Z657" s="60">
        <f>Ringkasan!Z662</f>
        <v>34198900</v>
      </c>
      <c r="AA657" s="60" t="str">
        <f>Ringkasan!AA662</f>
        <v>Online Applications &amp; Services</v>
      </c>
      <c r="AB657" s="60" t="str">
        <f>Ringkasan!AB662</f>
        <v>Technology</v>
      </c>
    </row>
    <row r="658" hidden="1">
      <c r="A658" s="60" t="str">
        <f>Ringkasan!A657</f>
        <v>EMTK</v>
      </c>
      <c r="B658" s="60" t="str">
        <f>Ringkasan!B657</f>
        <v>Elang Mahkota Teknologi Tbk.</v>
      </c>
      <c r="C658" s="61">
        <f>Ringkasan!C657</f>
        <v>550</v>
      </c>
      <c r="D658" s="60" t="str">
        <f>Ringkasan!D657</f>
        <v>#N/A</v>
      </c>
      <c r="E658" s="60" t="str">
        <f>Ringkasan!E657</f>
        <v>ESGSKEHATI</v>
      </c>
      <c r="F658" s="63">
        <f>Ringkasan!F657</f>
        <v>46356</v>
      </c>
      <c r="G658" s="61">
        <f>Ringkasan!G657</f>
        <v>13</v>
      </c>
      <c r="H658" s="62">
        <f>Ringkasan!H657</f>
        <v>13.4</v>
      </c>
      <c r="I658" s="62">
        <f>Ringkasan!I657</f>
        <v>0.72</v>
      </c>
      <c r="J658" s="62">
        <f>Ringkasan!J657</f>
        <v>5.4</v>
      </c>
      <c r="K658" s="62">
        <f>Ringkasan!K657</f>
        <v>4.7</v>
      </c>
      <c r="L658" s="62">
        <f>Ringkasan!L657</f>
        <v>0.14</v>
      </c>
      <c r="M658" s="62">
        <f>Ringkasan!M657</f>
        <v>48.5</v>
      </c>
      <c r="N658" s="60" t="str">
        <f>Ringkasan!N657</f>
        <v/>
      </c>
      <c r="O658" s="60" t="str">
        <f>Ringkasan!O657</f>
        <v/>
      </c>
      <c r="P658" s="60" t="str">
        <f>Ringkasan!P657</f>
        <v/>
      </c>
      <c r="Q658" s="60" t="str">
        <f>Ringkasan!Q657</f>
        <v/>
      </c>
      <c r="R658" s="60" t="str">
        <f>Ringkasan!R657</f>
        <v/>
      </c>
      <c r="S658" s="60" t="str">
        <f>Ringkasan!S657</f>
        <v/>
      </c>
      <c r="T658" s="60" t="str">
        <f>Ringkasan!T657</f>
        <v/>
      </c>
      <c r="U658" s="60">
        <f>Ringkasan!U657</f>
        <v>525</v>
      </c>
      <c r="V658" s="60">
        <f>Ringkasan!V657</f>
        <v>4.76</v>
      </c>
      <c r="W658" s="60">
        <f>Ringkasan!W657</f>
        <v>530</v>
      </c>
      <c r="X658" s="60">
        <f>Ringkasan!X657</f>
        <v>570</v>
      </c>
      <c r="Y658" s="60">
        <f>Ringkasan!Y657</f>
        <v>530</v>
      </c>
      <c r="Z658" s="60">
        <f>Ringkasan!Z657</f>
        <v>34198900</v>
      </c>
      <c r="AA658" s="60" t="str">
        <f>Ringkasan!AA657</f>
        <v>Online Applications &amp; Services</v>
      </c>
      <c r="AB658" s="60" t="str">
        <f>Ringkasan!AB657</f>
        <v>Technology</v>
      </c>
    </row>
    <row r="659" hidden="1">
      <c r="A659" s="60" t="str">
        <f>Ringkasan!A658</f>
        <v>EMTK</v>
      </c>
      <c r="B659" s="60" t="str">
        <f>Ringkasan!B658</f>
        <v>Elang Mahkota Teknologi Tbk.</v>
      </c>
      <c r="C659" s="61">
        <f>Ringkasan!C658</f>
        <v>550</v>
      </c>
      <c r="D659" s="60" t="str">
        <f>Ringkasan!D658</f>
        <v>#N/A</v>
      </c>
      <c r="E659" s="60" t="str">
        <f>Ringkasan!E658</f>
        <v>IDX80</v>
      </c>
      <c r="F659" s="60" t="str">
        <f>Ringkasan!F658</f>
        <v>31 Juli 2026</v>
      </c>
      <c r="G659" s="61">
        <f>Ringkasan!G658</f>
        <v>13</v>
      </c>
      <c r="H659" s="62">
        <f>Ringkasan!H658</f>
        <v>13.4</v>
      </c>
      <c r="I659" s="62">
        <f>Ringkasan!I658</f>
        <v>0.72</v>
      </c>
      <c r="J659" s="62">
        <f>Ringkasan!J658</f>
        <v>5.4</v>
      </c>
      <c r="K659" s="62">
        <f>Ringkasan!K658</f>
        <v>4.7</v>
      </c>
      <c r="L659" s="62">
        <f>Ringkasan!L658</f>
        <v>0.14</v>
      </c>
      <c r="M659" s="62">
        <f>Ringkasan!M658</f>
        <v>48.5</v>
      </c>
      <c r="N659" s="60" t="str">
        <f>Ringkasan!N658</f>
        <v/>
      </c>
      <c r="O659" s="60" t="str">
        <f>Ringkasan!O658</f>
        <v/>
      </c>
      <c r="P659" s="60" t="str">
        <f>Ringkasan!P658</f>
        <v/>
      </c>
      <c r="Q659" s="60" t="str">
        <f>Ringkasan!Q658</f>
        <v/>
      </c>
      <c r="R659" s="60" t="str">
        <f>Ringkasan!R658</f>
        <v/>
      </c>
      <c r="S659" s="60" t="str">
        <f>Ringkasan!S658</f>
        <v/>
      </c>
      <c r="T659" s="60" t="str">
        <f>Ringkasan!T658</f>
        <v/>
      </c>
      <c r="U659" s="60">
        <f>Ringkasan!U658</f>
        <v>525</v>
      </c>
      <c r="V659" s="60">
        <f>Ringkasan!V658</f>
        <v>4.76</v>
      </c>
      <c r="W659" s="60">
        <f>Ringkasan!W658</f>
        <v>530</v>
      </c>
      <c r="X659" s="60">
        <f>Ringkasan!X658</f>
        <v>570</v>
      </c>
      <c r="Y659" s="60">
        <f>Ringkasan!Y658</f>
        <v>530</v>
      </c>
      <c r="Z659" s="60">
        <f>Ringkasan!Z658</f>
        <v>34198900</v>
      </c>
      <c r="AA659" s="60" t="str">
        <f>Ringkasan!AA658</f>
        <v>Online Applications &amp; Services</v>
      </c>
      <c r="AB659" s="60" t="str">
        <f>Ringkasan!AB658</f>
        <v>Technology</v>
      </c>
    </row>
    <row r="660" hidden="1">
      <c r="A660" s="60" t="str">
        <f>Ringkasan!A659</f>
        <v>EMTK</v>
      </c>
      <c r="B660" s="60" t="str">
        <f>Ringkasan!B659</f>
        <v>Elang Mahkota Teknologi Tbk.</v>
      </c>
      <c r="C660" s="61">
        <f>Ringkasan!C659</f>
        <v>550</v>
      </c>
      <c r="D660" s="60" t="str">
        <f>Ringkasan!D659</f>
        <v>#N/A</v>
      </c>
      <c r="E660" s="60" t="str">
        <f>Ringkasan!E659</f>
        <v>LQ45</v>
      </c>
      <c r="F660" s="60" t="str">
        <f>Ringkasan!F659</f>
        <v>31 Juli 2026</v>
      </c>
      <c r="G660" s="61">
        <f>Ringkasan!G659</f>
        <v>13</v>
      </c>
      <c r="H660" s="62">
        <f>Ringkasan!H659</f>
        <v>13.4</v>
      </c>
      <c r="I660" s="62">
        <f>Ringkasan!I659</f>
        <v>0.72</v>
      </c>
      <c r="J660" s="62">
        <f>Ringkasan!J659</f>
        <v>5.4</v>
      </c>
      <c r="K660" s="62">
        <f>Ringkasan!K659</f>
        <v>4.7</v>
      </c>
      <c r="L660" s="62">
        <f>Ringkasan!L659</f>
        <v>0.14</v>
      </c>
      <c r="M660" s="62">
        <f>Ringkasan!M659</f>
        <v>48.5</v>
      </c>
      <c r="N660" s="60" t="str">
        <f>Ringkasan!N659</f>
        <v/>
      </c>
      <c r="O660" s="60" t="str">
        <f>Ringkasan!O659</f>
        <v/>
      </c>
      <c r="P660" s="60" t="str">
        <f>Ringkasan!P659</f>
        <v/>
      </c>
      <c r="Q660" s="60" t="str">
        <f>Ringkasan!Q659</f>
        <v/>
      </c>
      <c r="R660" s="60" t="str">
        <f>Ringkasan!R659</f>
        <v/>
      </c>
      <c r="S660" s="60" t="str">
        <f>Ringkasan!S659</f>
        <v/>
      </c>
      <c r="T660" s="60" t="str">
        <f>Ringkasan!T659</f>
        <v/>
      </c>
      <c r="U660" s="60">
        <f>Ringkasan!U659</f>
        <v>525</v>
      </c>
      <c r="V660" s="60">
        <f>Ringkasan!V659</f>
        <v>4.76</v>
      </c>
      <c r="W660" s="60">
        <f>Ringkasan!W659</f>
        <v>530</v>
      </c>
      <c r="X660" s="60">
        <f>Ringkasan!X659</f>
        <v>570</v>
      </c>
      <c r="Y660" s="60">
        <f>Ringkasan!Y659</f>
        <v>530</v>
      </c>
      <c r="Z660" s="60">
        <f>Ringkasan!Z659</f>
        <v>34198900</v>
      </c>
      <c r="AA660" s="60" t="str">
        <f>Ringkasan!AA659</f>
        <v>Online Applications &amp; Services</v>
      </c>
      <c r="AB660" s="60" t="str">
        <f>Ringkasan!AB659</f>
        <v>Technology</v>
      </c>
    </row>
    <row r="661" hidden="1">
      <c r="A661" s="60" t="str">
        <f>Ringkasan!A660</f>
        <v>EMTK</v>
      </c>
      <c r="B661" s="60" t="str">
        <f>Ringkasan!B660</f>
        <v>Elang Mahkota Teknologi Tbk.</v>
      </c>
      <c r="C661" s="61">
        <f>Ringkasan!C660</f>
        <v>550</v>
      </c>
      <c r="D661" s="60" t="str">
        <f>Ringkasan!D660</f>
        <v>#N/A</v>
      </c>
      <c r="E661" s="60" t="str">
        <f>Ringkasan!E660</f>
        <v>IDXESGL</v>
      </c>
      <c r="F661" s="60" t="str">
        <f>Ringkasan!F660</f>
        <v>30 Oktober 2026</v>
      </c>
      <c r="G661" s="61">
        <f>Ringkasan!G660</f>
        <v>13</v>
      </c>
      <c r="H661" s="62">
        <f>Ringkasan!H660</f>
        <v>13.4</v>
      </c>
      <c r="I661" s="62">
        <f>Ringkasan!I660</f>
        <v>0.72</v>
      </c>
      <c r="J661" s="62">
        <f>Ringkasan!J660</f>
        <v>5.4</v>
      </c>
      <c r="K661" s="62">
        <f>Ringkasan!K660</f>
        <v>4.7</v>
      </c>
      <c r="L661" s="62">
        <f>Ringkasan!L660</f>
        <v>0.14</v>
      </c>
      <c r="M661" s="62">
        <f>Ringkasan!M660</f>
        <v>48.5</v>
      </c>
      <c r="N661" s="60" t="str">
        <f>Ringkasan!N660</f>
        <v/>
      </c>
      <c r="O661" s="60" t="str">
        <f>Ringkasan!O660</f>
        <v/>
      </c>
      <c r="P661" s="60" t="str">
        <f>Ringkasan!P660</f>
        <v/>
      </c>
      <c r="Q661" s="60" t="str">
        <f>Ringkasan!Q660</f>
        <v/>
      </c>
      <c r="R661" s="60" t="str">
        <f>Ringkasan!R660</f>
        <v/>
      </c>
      <c r="S661" s="60" t="str">
        <f>Ringkasan!S660</f>
        <v/>
      </c>
      <c r="T661" s="60" t="str">
        <f>Ringkasan!T660</f>
        <v/>
      </c>
      <c r="U661" s="60">
        <f>Ringkasan!U660</f>
        <v>525</v>
      </c>
      <c r="V661" s="60">
        <f>Ringkasan!V660</f>
        <v>4.76</v>
      </c>
      <c r="W661" s="60">
        <f>Ringkasan!W660</f>
        <v>530</v>
      </c>
      <c r="X661" s="60">
        <f>Ringkasan!X660</f>
        <v>570</v>
      </c>
      <c r="Y661" s="60">
        <f>Ringkasan!Y660</f>
        <v>530</v>
      </c>
      <c r="Z661" s="60">
        <f>Ringkasan!Z660</f>
        <v>34198900</v>
      </c>
      <c r="AA661" s="60" t="str">
        <f>Ringkasan!AA660</f>
        <v>Online Applications &amp; Services</v>
      </c>
      <c r="AB661" s="60" t="str">
        <f>Ringkasan!AB660</f>
        <v>Technology</v>
      </c>
    </row>
    <row r="662" hidden="1">
      <c r="A662" s="60" t="str">
        <f>Ringkasan!A663</f>
        <v>EMTK</v>
      </c>
      <c r="B662" s="60" t="str">
        <f>Ringkasan!B663</f>
        <v>Elang Mahkota Teknologi Tbk.</v>
      </c>
      <c r="C662" s="61">
        <f>Ringkasan!C663</f>
        <v>550</v>
      </c>
      <c r="D662" s="60" t="str">
        <f>Ringkasan!D663</f>
        <v>#N/A</v>
      </c>
      <c r="E662" s="60" t="str">
        <f>Ringkasan!E663</f>
        <v>Kompas100</v>
      </c>
      <c r="F662" s="60" t="str">
        <f>Ringkasan!F663</f>
        <v>31 Juli 2026</v>
      </c>
      <c r="G662" s="61">
        <f>Ringkasan!G663</f>
        <v>13</v>
      </c>
      <c r="H662" s="62">
        <f>Ringkasan!H663</f>
        <v>13.4</v>
      </c>
      <c r="I662" s="62">
        <f>Ringkasan!I663</f>
        <v>0.72</v>
      </c>
      <c r="J662" s="62">
        <f>Ringkasan!J663</f>
        <v>5.4</v>
      </c>
      <c r="K662" s="62">
        <f>Ringkasan!K663</f>
        <v>4.7</v>
      </c>
      <c r="L662" s="62">
        <f>Ringkasan!L663</f>
        <v>0.14</v>
      </c>
      <c r="M662" s="62">
        <f>Ringkasan!M663</f>
        <v>48.5</v>
      </c>
      <c r="N662" s="60" t="str">
        <f>Ringkasan!N663</f>
        <v/>
      </c>
      <c r="O662" s="60" t="str">
        <f>Ringkasan!O663</f>
        <v/>
      </c>
      <c r="P662" s="60" t="str">
        <f>Ringkasan!P663</f>
        <v/>
      </c>
      <c r="Q662" s="60" t="str">
        <f>Ringkasan!Q663</f>
        <v/>
      </c>
      <c r="R662" s="60" t="str">
        <f>Ringkasan!R663</f>
        <v/>
      </c>
      <c r="S662" s="60" t="str">
        <f>Ringkasan!S663</f>
        <v/>
      </c>
      <c r="T662" s="60" t="str">
        <f>Ringkasan!T663</f>
        <v/>
      </c>
      <c r="U662" s="60">
        <f>Ringkasan!U663</f>
        <v>525</v>
      </c>
      <c r="V662" s="60">
        <f>Ringkasan!V663</f>
        <v>4.76</v>
      </c>
      <c r="W662" s="60">
        <f>Ringkasan!W663</f>
        <v>530</v>
      </c>
      <c r="X662" s="60">
        <f>Ringkasan!X663</f>
        <v>570</v>
      </c>
      <c r="Y662" s="60">
        <f>Ringkasan!Y663</f>
        <v>530</v>
      </c>
      <c r="Z662" s="60">
        <f>Ringkasan!Z663</f>
        <v>34198900</v>
      </c>
      <c r="AA662" s="60" t="str">
        <f>Ringkasan!AA663</f>
        <v>Online Applications &amp; Services</v>
      </c>
      <c r="AB662" s="60" t="str">
        <f>Ringkasan!AB663</f>
        <v>Technology</v>
      </c>
    </row>
    <row r="663" hidden="1">
      <c r="A663" s="60" t="str">
        <f>Ringkasan!A670</f>
        <v>ENRG</v>
      </c>
      <c r="B663" s="60" t="str">
        <f>Ringkasan!B670</f>
        <v>Energi Mega Persada Tbk.</v>
      </c>
      <c r="C663" s="61">
        <f>Ringkasan!C670</f>
        <v>1390</v>
      </c>
      <c r="D663" s="60" t="str">
        <f>Ringkasan!D670</f>
        <v>#N/A</v>
      </c>
      <c r="E663" s="60" t="str">
        <f>Ringkasan!E670</f>
        <v>IDXSHAGROW</v>
      </c>
      <c r="F663" s="63">
        <f>Ringkasan!F670</f>
        <v>46356</v>
      </c>
      <c r="G663" s="60">
        <f>Ringkasan!G670</f>
        <v>9</v>
      </c>
      <c r="H663" s="62">
        <f>Ringkasan!H670</f>
        <v>23.2</v>
      </c>
      <c r="I663" s="62">
        <f>Ringkasan!I670</f>
        <v>2.6</v>
      </c>
      <c r="J663" s="62">
        <f>Ringkasan!J670</f>
        <v>11.1</v>
      </c>
      <c r="K663" s="62">
        <f>Ringkasan!K670</f>
        <v>5</v>
      </c>
      <c r="L663" s="62">
        <f>Ringkasan!L670</f>
        <v>1.2</v>
      </c>
      <c r="M663" s="62">
        <f>Ringkasan!M670</f>
        <v>18.4</v>
      </c>
      <c r="N663" s="60" t="str">
        <f>Ringkasan!N670</f>
        <v/>
      </c>
      <c r="O663" s="60" t="str">
        <f>Ringkasan!O670</f>
        <v/>
      </c>
      <c r="P663" s="60" t="str">
        <f>Ringkasan!P670</f>
        <v/>
      </c>
      <c r="Q663" s="60" t="str">
        <f>Ringkasan!Q670</f>
        <v/>
      </c>
      <c r="R663" s="60" t="str">
        <f>Ringkasan!R670</f>
        <v/>
      </c>
      <c r="S663" s="60" t="str">
        <f>Ringkasan!S670</f>
        <v/>
      </c>
      <c r="T663" s="60" t="str">
        <f>Ringkasan!T670</f>
        <v/>
      </c>
      <c r="U663" s="60">
        <f>Ringkasan!U670</f>
        <v>0.3</v>
      </c>
      <c r="V663" s="60">
        <f>Ringkasan!V670</f>
        <v>18.64</v>
      </c>
      <c r="W663" s="60">
        <f>Ringkasan!W670</f>
        <v>0.29</v>
      </c>
      <c r="X663" s="60">
        <f>Ringkasan!X670</f>
        <v>0.35</v>
      </c>
      <c r="Y663" s="60">
        <f>Ringkasan!Y670</f>
        <v>0.26</v>
      </c>
      <c r="Z663" s="60">
        <f>Ringkasan!Z670</f>
        <v>61500</v>
      </c>
      <c r="AA663" s="60" t="str">
        <f>Ringkasan!AA670</f>
        <v>Oil &amp; Gas</v>
      </c>
      <c r="AB663" s="60" t="str">
        <f>Ringkasan!AB670</f>
        <v>Energy</v>
      </c>
    </row>
    <row r="664" hidden="1">
      <c r="A664" s="60" t="str">
        <f>Ringkasan!A661</f>
        <v>EMTK</v>
      </c>
      <c r="B664" s="60" t="str">
        <f>Ringkasan!B661</f>
        <v>Elang Mahkota Teknologi Tbk.</v>
      </c>
      <c r="C664" s="61">
        <f>Ringkasan!C661</f>
        <v>550</v>
      </c>
      <c r="D664" s="60" t="str">
        <f>Ringkasan!D661</f>
        <v>#N/A</v>
      </c>
      <c r="E664" s="60" t="str">
        <f>Ringkasan!E661</f>
        <v>IDX30</v>
      </c>
      <c r="F664" s="60" t="str">
        <f>Ringkasan!F661</f>
        <v>31 Juli 2026</v>
      </c>
      <c r="G664" s="61">
        <f>Ringkasan!G661</f>
        <v>13</v>
      </c>
      <c r="H664" s="62">
        <f>Ringkasan!H661</f>
        <v>13.4</v>
      </c>
      <c r="I664" s="62">
        <f>Ringkasan!I661</f>
        <v>0.72</v>
      </c>
      <c r="J664" s="62">
        <f>Ringkasan!J661</f>
        <v>5.4</v>
      </c>
      <c r="K664" s="62">
        <f>Ringkasan!K661</f>
        <v>4.7</v>
      </c>
      <c r="L664" s="62">
        <f>Ringkasan!L661</f>
        <v>0.14</v>
      </c>
      <c r="M664" s="62">
        <f>Ringkasan!M661</f>
        <v>48.5</v>
      </c>
      <c r="N664" s="60" t="str">
        <f>Ringkasan!N661</f>
        <v/>
      </c>
      <c r="O664" s="60" t="str">
        <f>Ringkasan!O661</f>
        <v/>
      </c>
      <c r="P664" s="60" t="str">
        <f>Ringkasan!P661</f>
        <v/>
      </c>
      <c r="Q664" s="60" t="str">
        <f>Ringkasan!Q661</f>
        <v/>
      </c>
      <c r="R664" s="60" t="str">
        <f>Ringkasan!R661</f>
        <v/>
      </c>
      <c r="S664" s="60" t="str">
        <f>Ringkasan!S661</f>
        <v/>
      </c>
      <c r="T664" s="60" t="str">
        <f>Ringkasan!T661</f>
        <v/>
      </c>
      <c r="U664" s="60">
        <f>Ringkasan!U661</f>
        <v>525</v>
      </c>
      <c r="V664" s="60">
        <f>Ringkasan!V661</f>
        <v>4.76</v>
      </c>
      <c r="W664" s="60">
        <f>Ringkasan!W661</f>
        <v>530</v>
      </c>
      <c r="X664" s="60">
        <f>Ringkasan!X661</f>
        <v>570</v>
      </c>
      <c r="Y664" s="60">
        <f>Ringkasan!Y661</f>
        <v>530</v>
      </c>
      <c r="Z664" s="60">
        <f>Ringkasan!Z661</f>
        <v>34198900</v>
      </c>
      <c r="AA664" s="60" t="str">
        <f>Ringkasan!AA661</f>
        <v>Online Applications &amp; Services</v>
      </c>
      <c r="AB664" s="60" t="str">
        <f>Ringkasan!AB661</f>
        <v>Technology</v>
      </c>
    </row>
    <row r="665" hidden="1">
      <c r="A665" s="60" t="str">
        <f>Ringkasan!A1311</f>
        <v>NISP</v>
      </c>
      <c r="B665" s="60" t="str">
        <f>Ringkasan!B1311</f>
        <v>PT Bank OCBC NISP Tbk</v>
      </c>
      <c r="C665" s="61">
        <f>Ringkasan!C1311</f>
        <v>1230</v>
      </c>
      <c r="D665" s="60" t="str">
        <f>Ringkasan!D1311</f>
        <v>#N/A</v>
      </c>
      <c r="E665" s="60" t="str">
        <f>Ringkasan!E1311</f>
        <v>ESGQKEHATI</v>
      </c>
      <c r="F665" s="63">
        <f>Ringkasan!F1311</f>
        <v>46356</v>
      </c>
      <c r="G665" s="60">
        <f>Ringkasan!G1311</f>
        <v>4</v>
      </c>
      <c r="H665" s="62">
        <f>Ringkasan!H1311</f>
        <v>5.8</v>
      </c>
      <c r="I665" s="62">
        <f>Ringkasan!I1311</f>
        <v>0.67</v>
      </c>
      <c r="J665" s="62">
        <f>Ringkasan!J1311</f>
        <v>11.5</v>
      </c>
      <c r="K665" s="62">
        <f>Ringkasan!K1311</f>
        <v>1.6</v>
      </c>
      <c r="L665" s="62">
        <f>Ringkasan!L1311</f>
        <v>6</v>
      </c>
      <c r="M665" s="62">
        <f>Ringkasan!M1311</f>
        <v>100</v>
      </c>
      <c r="N665" s="60">
        <f>Ringkasan!N1311</f>
        <v>5.4</v>
      </c>
      <c r="O665" s="60">
        <f>Ringkasan!O1311</f>
        <v>23.2</v>
      </c>
      <c r="P665" s="60">
        <f>Ringkasan!P1311</f>
        <v>83</v>
      </c>
      <c r="Q665" s="60">
        <f>Ringkasan!Q1311</f>
        <v>1.9</v>
      </c>
      <c r="R665" s="60">
        <f>Ringkasan!R1311</f>
        <v>65.9</v>
      </c>
      <c r="S665" s="60">
        <f>Ringkasan!S1311</f>
        <v>42.4</v>
      </c>
      <c r="T665" s="60">
        <f>Ringkasan!T1311</f>
        <v>5.9</v>
      </c>
      <c r="U665" s="60">
        <f>Ringkasan!U1311</f>
        <v>1195</v>
      </c>
      <c r="V665" s="60">
        <f>Ringkasan!V1311</f>
        <v>2.93</v>
      </c>
      <c r="W665" s="60">
        <f>Ringkasan!W1311</f>
        <v>1200</v>
      </c>
      <c r="X665" s="60">
        <f>Ringkasan!X1311</f>
        <v>1235</v>
      </c>
      <c r="Y665" s="60">
        <f>Ringkasan!Y1311</f>
        <v>1190</v>
      </c>
      <c r="Z665" s="60">
        <f>Ringkasan!Z1311</f>
        <v>4781000</v>
      </c>
      <c r="AA665" s="60" t="str">
        <f>Ringkasan!AA1311</f>
        <v>Banks</v>
      </c>
      <c r="AB665" s="60" t="str">
        <f>Ringkasan!AB1311</f>
        <v>Financials</v>
      </c>
    </row>
    <row r="666" hidden="1">
      <c r="A666" s="60" t="str">
        <f>Ringkasan!A1312</f>
        <v>NISP</v>
      </c>
      <c r="B666" s="60" t="str">
        <f>Ringkasan!B1312</f>
        <v>PT Bank OCBC NISP Tbk</v>
      </c>
      <c r="C666" s="61">
        <f>Ringkasan!C1312</f>
        <v>1230</v>
      </c>
      <c r="D666" s="60" t="str">
        <f>Ringkasan!D1312</f>
        <v>#N/A</v>
      </c>
      <c r="E666" s="60" t="str">
        <f>Ringkasan!E1312</f>
        <v>ESGSKEHATI</v>
      </c>
      <c r="F666" s="63">
        <f>Ringkasan!F1312</f>
        <v>46356</v>
      </c>
      <c r="G666" s="60">
        <f>Ringkasan!G1312</f>
        <v>4</v>
      </c>
      <c r="H666" s="62">
        <f>Ringkasan!H1312</f>
        <v>5.8</v>
      </c>
      <c r="I666" s="62">
        <f>Ringkasan!I1312</f>
        <v>0.67</v>
      </c>
      <c r="J666" s="62">
        <f>Ringkasan!J1312</f>
        <v>11.5</v>
      </c>
      <c r="K666" s="62">
        <f>Ringkasan!K1312</f>
        <v>1.6</v>
      </c>
      <c r="L666" s="62">
        <f>Ringkasan!L1312</f>
        <v>6</v>
      </c>
      <c r="M666" s="62">
        <f>Ringkasan!M1312</f>
        <v>100</v>
      </c>
      <c r="N666" s="60">
        <f>Ringkasan!N1312</f>
        <v>5.4</v>
      </c>
      <c r="O666" s="60">
        <f>Ringkasan!O1312</f>
        <v>23.2</v>
      </c>
      <c r="P666" s="60">
        <f>Ringkasan!P1312</f>
        <v>83</v>
      </c>
      <c r="Q666" s="60">
        <f>Ringkasan!Q1312</f>
        <v>1.9</v>
      </c>
      <c r="R666" s="60">
        <f>Ringkasan!R1312</f>
        <v>65.9</v>
      </c>
      <c r="S666" s="60">
        <f>Ringkasan!S1312</f>
        <v>42.4</v>
      </c>
      <c r="T666" s="60">
        <f>Ringkasan!T1312</f>
        <v>5.9</v>
      </c>
      <c r="U666" s="60">
        <f>Ringkasan!U1312</f>
        <v>1195</v>
      </c>
      <c r="V666" s="60">
        <f>Ringkasan!V1312</f>
        <v>2.93</v>
      </c>
      <c r="W666" s="60">
        <f>Ringkasan!W1312</f>
        <v>1200</v>
      </c>
      <c r="X666" s="60">
        <f>Ringkasan!X1312</f>
        <v>1235</v>
      </c>
      <c r="Y666" s="60">
        <f>Ringkasan!Y1312</f>
        <v>1190</v>
      </c>
      <c r="Z666" s="60">
        <f>Ringkasan!Z1312</f>
        <v>4781000</v>
      </c>
      <c r="AA666" s="60" t="str">
        <f>Ringkasan!AA1312</f>
        <v>Banks</v>
      </c>
      <c r="AB666" s="60" t="str">
        <f>Ringkasan!AB1312</f>
        <v>Financials</v>
      </c>
    </row>
    <row r="667" hidden="1">
      <c r="A667" s="60" t="str">
        <f>Ringkasan!A664</f>
        <v>EMTK</v>
      </c>
      <c r="B667" s="60" t="str">
        <f>Ringkasan!B664</f>
        <v>Elang Mahkota Teknologi Tbk.</v>
      </c>
      <c r="C667" s="61">
        <f>Ringkasan!C664</f>
        <v>550</v>
      </c>
      <c r="D667" s="60" t="str">
        <f>Ringkasan!D664</f>
        <v>#N/A</v>
      </c>
      <c r="E667" s="60" t="str">
        <f>Ringkasan!E664</f>
        <v>IDXG30</v>
      </c>
      <c r="F667" s="60" t="str">
        <f>Ringkasan!F664</f>
        <v>4 Agustus 2026</v>
      </c>
      <c r="G667" s="61">
        <f>Ringkasan!G664</f>
        <v>13</v>
      </c>
      <c r="H667" s="62">
        <f>Ringkasan!H664</f>
        <v>13.4</v>
      </c>
      <c r="I667" s="62">
        <f>Ringkasan!I664</f>
        <v>0.72</v>
      </c>
      <c r="J667" s="62">
        <f>Ringkasan!J664</f>
        <v>5.4</v>
      </c>
      <c r="K667" s="62">
        <f>Ringkasan!K664</f>
        <v>4.7</v>
      </c>
      <c r="L667" s="62">
        <f>Ringkasan!L664</f>
        <v>0.14</v>
      </c>
      <c r="M667" s="62">
        <f>Ringkasan!M664</f>
        <v>48.5</v>
      </c>
      <c r="N667" s="60" t="str">
        <f>Ringkasan!N664</f>
        <v/>
      </c>
      <c r="O667" s="60" t="str">
        <f>Ringkasan!O664</f>
        <v/>
      </c>
      <c r="P667" s="60" t="str">
        <f>Ringkasan!P664</f>
        <v/>
      </c>
      <c r="Q667" s="60" t="str">
        <f>Ringkasan!Q664</f>
        <v/>
      </c>
      <c r="R667" s="60" t="str">
        <f>Ringkasan!R664</f>
        <v/>
      </c>
      <c r="S667" s="60" t="str">
        <f>Ringkasan!S664</f>
        <v/>
      </c>
      <c r="T667" s="60" t="str">
        <f>Ringkasan!T664</f>
        <v/>
      </c>
      <c r="U667" s="60">
        <f>Ringkasan!U664</f>
        <v>525</v>
      </c>
      <c r="V667" s="60">
        <f>Ringkasan!V664</f>
        <v>4.76</v>
      </c>
      <c r="W667" s="60">
        <f>Ringkasan!W664</f>
        <v>530</v>
      </c>
      <c r="X667" s="60">
        <f>Ringkasan!X664</f>
        <v>570</v>
      </c>
      <c r="Y667" s="60">
        <f>Ringkasan!Y664</f>
        <v>530</v>
      </c>
      <c r="Z667" s="60">
        <f>Ringkasan!Z664</f>
        <v>34198900</v>
      </c>
      <c r="AA667" s="60" t="str">
        <f>Ringkasan!AA664</f>
        <v>Online Applications &amp; Services</v>
      </c>
      <c r="AB667" s="60" t="str">
        <f>Ringkasan!AB664</f>
        <v>Technology</v>
      </c>
    </row>
    <row r="668" hidden="1">
      <c r="A668" s="64" t="str">
        <f>Ringkasan!A47</f>
        <v>ADRO</v>
      </c>
      <c r="B668" s="64" t="str">
        <f>Ringkasan!B47</f>
        <v>Alamtri Resources Indonesia Tbk.</v>
      </c>
      <c r="C668" s="65">
        <f>Ringkasan!C47</f>
        <v>2280</v>
      </c>
      <c r="D668" s="64" t="str">
        <f>Ringkasan!D47</f>
        <v>#N/A</v>
      </c>
      <c r="E668" s="64" t="str">
        <f>Ringkasan!E47</f>
        <v>IDXHIDIV20</v>
      </c>
      <c r="F668" s="64" t="str">
        <f>Ringkasan!F47</f>
        <v>2 Februari 2027</v>
      </c>
      <c r="G668" s="64">
        <f>Ringkasan!G47</f>
        <v>14</v>
      </c>
      <c r="H668" s="19">
        <f>Ringkasan!H47</f>
        <v>8</v>
      </c>
      <c r="I668" s="19">
        <f>Ringkasan!I47</f>
        <v>0.73</v>
      </c>
      <c r="J668" s="19">
        <f>Ringkasan!J47</f>
        <v>9.1</v>
      </c>
      <c r="K668" s="19">
        <f>Ringkasan!K47</f>
        <v>6.9</v>
      </c>
      <c r="L668" s="19">
        <f>Ringkasan!L47</f>
        <v>0.32</v>
      </c>
      <c r="M668" s="19">
        <f>Ringkasan!M47</f>
        <v>110</v>
      </c>
      <c r="N668" s="64" t="str">
        <f>Ringkasan!N47</f>
        <v/>
      </c>
      <c r="O668" s="64" t="str">
        <f>Ringkasan!O47</f>
        <v/>
      </c>
      <c r="P668" s="64" t="str">
        <f>Ringkasan!P47</f>
        <v/>
      </c>
      <c r="Q668" s="64" t="str">
        <f>Ringkasan!Q47</f>
        <v/>
      </c>
      <c r="R668" s="64" t="str">
        <f>Ringkasan!R47</f>
        <v/>
      </c>
      <c r="S668" s="64" t="str">
        <f>Ringkasan!S47</f>
        <v/>
      </c>
      <c r="T668" s="64" t="str">
        <f>Ringkasan!T47</f>
        <v/>
      </c>
      <c r="U668" s="64">
        <f>Ringkasan!U47</f>
        <v>2250</v>
      </c>
      <c r="V668" s="64">
        <f>Ringkasan!V47</f>
        <v>1.33</v>
      </c>
      <c r="W668" s="64">
        <f>Ringkasan!W47</f>
        <v>2270</v>
      </c>
      <c r="X668" s="64">
        <f>Ringkasan!X47</f>
        <v>2340</v>
      </c>
      <c r="Y668" s="64">
        <f>Ringkasan!Y47</f>
        <v>2250</v>
      </c>
      <c r="Z668" s="64">
        <f>Ringkasan!Z47</f>
        <v>36917900</v>
      </c>
      <c r="AA668" s="64" t="str">
        <f>Ringkasan!AA47</f>
        <v>Coal</v>
      </c>
      <c r="AB668" s="64" t="str">
        <f>Ringkasan!AB47</f>
        <v>Energy</v>
      </c>
    </row>
    <row r="669" hidden="1">
      <c r="A669" s="60" t="str">
        <f>Ringkasan!A665</f>
        <v>EMTK</v>
      </c>
      <c r="B669" s="60" t="str">
        <f>Ringkasan!B665</f>
        <v>Elang Mahkota Teknologi Tbk.</v>
      </c>
      <c r="C669" s="61">
        <f>Ringkasan!C665</f>
        <v>550</v>
      </c>
      <c r="D669" s="60" t="str">
        <f>Ringkasan!D665</f>
        <v>#N/A</v>
      </c>
      <c r="E669" s="60" t="str">
        <f>Ringkasan!E665</f>
        <v>IDXV30</v>
      </c>
      <c r="F669" s="60" t="str">
        <f>Ringkasan!F665</f>
        <v>4 Agustus 2026</v>
      </c>
      <c r="G669" s="61">
        <f>Ringkasan!G665</f>
        <v>13</v>
      </c>
      <c r="H669" s="62">
        <f>Ringkasan!H665</f>
        <v>13.4</v>
      </c>
      <c r="I669" s="62">
        <f>Ringkasan!I665</f>
        <v>0.72</v>
      </c>
      <c r="J669" s="62">
        <f>Ringkasan!J665</f>
        <v>5.4</v>
      </c>
      <c r="K669" s="62">
        <f>Ringkasan!K665</f>
        <v>4.7</v>
      </c>
      <c r="L669" s="62">
        <f>Ringkasan!L665</f>
        <v>0.14</v>
      </c>
      <c r="M669" s="62">
        <f>Ringkasan!M665</f>
        <v>48.5</v>
      </c>
      <c r="N669" s="60" t="str">
        <f>Ringkasan!N665</f>
        <v/>
      </c>
      <c r="O669" s="60" t="str">
        <f>Ringkasan!O665</f>
        <v/>
      </c>
      <c r="P669" s="60" t="str">
        <f>Ringkasan!P665</f>
        <v/>
      </c>
      <c r="Q669" s="60" t="str">
        <f>Ringkasan!Q665</f>
        <v/>
      </c>
      <c r="R669" s="60" t="str">
        <f>Ringkasan!R665</f>
        <v/>
      </c>
      <c r="S669" s="60" t="str">
        <f>Ringkasan!S665</f>
        <v/>
      </c>
      <c r="T669" s="60" t="str">
        <f>Ringkasan!T665</f>
        <v/>
      </c>
      <c r="U669" s="60">
        <f>Ringkasan!U665</f>
        <v>525</v>
      </c>
      <c r="V669" s="60">
        <f>Ringkasan!V665</f>
        <v>4.76</v>
      </c>
      <c r="W669" s="60">
        <f>Ringkasan!W665</f>
        <v>530</v>
      </c>
      <c r="X669" s="60">
        <f>Ringkasan!X665</f>
        <v>570</v>
      </c>
      <c r="Y669" s="60">
        <f>Ringkasan!Y665</f>
        <v>530</v>
      </c>
      <c r="Z669" s="60">
        <f>Ringkasan!Z665</f>
        <v>34198900</v>
      </c>
      <c r="AA669" s="60" t="str">
        <f>Ringkasan!AA665</f>
        <v>Online Applications &amp; Services</v>
      </c>
      <c r="AB669" s="60" t="str">
        <f>Ringkasan!AB665</f>
        <v>Technology</v>
      </c>
    </row>
    <row r="670" hidden="1">
      <c r="A670" s="60" t="str">
        <f>Ringkasan!A666</f>
        <v>EMTK</v>
      </c>
      <c r="B670" s="60" t="str">
        <f>Ringkasan!B666</f>
        <v>Elang Mahkota Teknologi Tbk.</v>
      </c>
      <c r="C670" s="61">
        <f>Ringkasan!C666</f>
        <v>550</v>
      </c>
      <c r="D670" s="60" t="str">
        <f>Ringkasan!D666</f>
        <v>#N/A</v>
      </c>
      <c r="E670" s="60" t="str">
        <f>Ringkasan!E666</f>
        <v>FTSE Large Cap</v>
      </c>
      <c r="F670" s="60" t="str">
        <f>Ringkasan!F666</f>
        <v>Juni 2026</v>
      </c>
      <c r="G670" s="60">
        <f>Ringkasan!G666</f>
        <v>13</v>
      </c>
      <c r="H670" s="62">
        <f>Ringkasan!H666</f>
        <v>13.4</v>
      </c>
      <c r="I670" s="62">
        <f>Ringkasan!I666</f>
        <v>0.72</v>
      </c>
      <c r="J670" s="62">
        <f>Ringkasan!J666</f>
        <v>5.4</v>
      </c>
      <c r="K670" s="62">
        <f>Ringkasan!K666</f>
        <v>4.7</v>
      </c>
      <c r="L670" s="62">
        <f>Ringkasan!L666</f>
        <v>0.14</v>
      </c>
      <c r="M670" s="62">
        <f>Ringkasan!M666</f>
        <v>48.5</v>
      </c>
      <c r="N670" s="60" t="str">
        <f>Ringkasan!N666</f>
        <v/>
      </c>
      <c r="O670" s="60" t="str">
        <f>Ringkasan!O666</f>
        <v/>
      </c>
      <c r="P670" s="60" t="str">
        <f>Ringkasan!P666</f>
        <v/>
      </c>
      <c r="Q670" s="60" t="str">
        <f>Ringkasan!Q666</f>
        <v/>
      </c>
      <c r="R670" s="60" t="str">
        <f>Ringkasan!R666</f>
        <v/>
      </c>
      <c r="S670" s="60" t="str">
        <f>Ringkasan!S666</f>
        <v/>
      </c>
      <c r="T670" s="60" t="str">
        <f>Ringkasan!T666</f>
        <v/>
      </c>
      <c r="U670" s="60">
        <f>Ringkasan!U666</f>
        <v>525</v>
      </c>
      <c r="V670" s="60">
        <f>Ringkasan!V666</f>
        <v>4.76</v>
      </c>
      <c r="W670" s="60">
        <f>Ringkasan!W666</f>
        <v>530</v>
      </c>
      <c r="X670" s="60">
        <f>Ringkasan!X666</f>
        <v>570</v>
      </c>
      <c r="Y670" s="60">
        <f>Ringkasan!Y666</f>
        <v>530</v>
      </c>
      <c r="Z670" s="60">
        <f>Ringkasan!Z666</f>
        <v>34198900</v>
      </c>
      <c r="AA670" s="60" t="str">
        <f>Ringkasan!AA666</f>
        <v>Online Applications &amp; Services</v>
      </c>
      <c r="AB670" s="60" t="str">
        <f>Ringkasan!AB666</f>
        <v>Technology</v>
      </c>
    </row>
    <row r="671" hidden="1">
      <c r="A671" s="60" t="str">
        <f>Ringkasan!A667</f>
        <v>EMTK</v>
      </c>
      <c r="B671" s="60" t="str">
        <f>Ringkasan!B667</f>
        <v>Elang Mahkota Teknologi Tbk.</v>
      </c>
      <c r="C671" s="61">
        <f>Ringkasan!C667</f>
        <v>550</v>
      </c>
      <c r="D671" s="60" t="str">
        <f>Ringkasan!D667</f>
        <v>#N/A</v>
      </c>
      <c r="E671" s="60" t="str">
        <f>Ringkasan!E667</f>
        <v>MSCI Small Cap</v>
      </c>
      <c r="F671" s="60" t="str">
        <f>Ringkasan!F667</f>
        <v>12 Agustus 2026</v>
      </c>
      <c r="G671" s="61">
        <f>Ringkasan!G667</f>
        <v>13</v>
      </c>
      <c r="H671" s="62">
        <f>Ringkasan!H667</f>
        <v>13.4</v>
      </c>
      <c r="I671" s="62">
        <f>Ringkasan!I667</f>
        <v>0.72</v>
      </c>
      <c r="J671" s="62">
        <f>Ringkasan!J667</f>
        <v>5.4</v>
      </c>
      <c r="K671" s="62">
        <f>Ringkasan!K667</f>
        <v>4.7</v>
      </c>
      <c r="L671" s="62">
        <f>Ringkasan!L667</f>
        <v>0.14</v>
      </c>
      <c r="M671" s="62">
        <f>Ringkasan!M667</f>
        <v>48.5</v>
      </c>
      <c r="N671" s="60" t="str">
        <f>Ringkasan!N667</f>
        <v/>
      </c>
      <c r="O671" s="60" t="str">
        <f>Ringkasan!O667</f>
        <v/>
      </c>
      <c r="P671" s="60" t="str">
        <f>Ringkasan!P667</f>
        <v/>
      </c>
      <c r="Q671" s="60" t="str">
        <f>Ringkasan!Q667</f>
        <v/>
      </c>
      <c r="R671" s="60" t="str">
        <f>Ringkasan!R667</f>
        <v/>
      </c>
      <c r="S671" s="60" t="str">
        <f>Ringkasan!S667</f>
        <v/>
      </c>
      <c r="T671" s="60" t="str">
        <f>Ringkasan!T667</f>
        <v/>
      </c>
      <c r="U671" s="60">
        <f>Ringkasan!U667</f>
        <v>525</v>
      </c>
      <c r="V671" s="60">
        <f>Ringkasan!V667</f>
        <v>4.76</v>
      </c>
      <c r="W671" s="60">
        <f>Ringkasan!W667</f>
        <v>530</v>
      </c>
      <c r="X671" s="60">
        <f>Ringkasan!X667</f>
        <v>570</v>
      </c>
      <c r="Y671" s="60">
        <f>Ringkasan!Y667</f>
        <v>530</v>
      </c>
      <c r="Z671" s="60">
        <f>Ringkasan!Z667</f>
        <v>34198900</v>
      </c>
      <c r="AA671" s="60" t="str">
        <f>Ringkasan!AA667</f>
        <v>Online Applications &amp; Services</v>
      </c>
      <c r="AB671" s="60" t="str">
        <f>Ringkasan!AB667</f>
        <v>Technology</v>
      </c>
    </row>
    <row r="672" hidden="1">
      <c r="A672" s="60" t="str">
        <f>Ringkasan!A668</f>
        <v>EMTK</v>
      </c>
      <c r="B672" s="60" t="str">
        <f>Ringkasan!B668</f>
        <v>Elang Mahkota Teknologi Tbk.</v>
      </c>
      <c r="C672" s="61">
        <f>Ringkasan!C668</f>
        <v>550</v>
      </c>
      <c r="D672" s="60" t="str">
        <f>Ringkasan!D668</f>
        <v>#N/A</v>
      </c>
      <c r="E672" s="60" t="str">
        <f>Ringkasan!E668</f>
        <v>SRI-KEHATI</v>
      </c>
      <c r="F672" s="63">
        <f>Ringkasan!F668</f>
        <v>46356</v>
      </c>
      <c r="G672" s="61">
        <f>Ringkasan!G668</f>
        <v>13</v>
      </c>
      <c r="H672" s="62">
        <f>Ringkasan!H668</f>
        <v>13.4</v>
      </c>
      <c r="I672" s="62">
        <f>Ringkasan!I668</f>
        <v>0.72</v>
      </c>
      <c r="J672" s="62">
        <f>Ringkasan!J668</f>
        <v>5.4</v>
      </c>
      <c r="K672" s="62">
        <f>Ringkasan!K668</f>
        <v>4.7</v>
      </c>
      <c r="L672" s="62">
        <f>Ringkasan!L668</f>
        <v>0.14</v>
      </c>
      <c r="M672" s="62">
        <f>Ringkasan!M668</f>
        <v>48.5</v>
      </c>
      <c r="N672" s="60" t="str">
        <f>Ringkasan!N668</f>
        <v/>
      </c>
      <c r="O672" s="60" t="str">
        <f>Ringkasan!O668</f>
        <v/>
      </c>
      <c r="P672" s="60" t="str">
        <f>Ringkasan!P668</f>
        <v/>
      </c>
      <c r="Q672" s="60" t="str">
        <f>Ringkasan!Q668</f>
        <v/>
      </c>
      <c r="R672" s="60" t="str">
        <f>Ringkasan!R668</f>
        <v/>
      </c>
      <c r="S672" s="60" t="str">
        <f>Ringkasan!S668</f>
        <v/>
      </c>
      <c r="T672" s="60" t="str">
        <f>Ringkasan!T668</f>
        <v/>
      </c>
      <c r="U672" s="60">
        <f>Ringkasan!U668</f>
        <v>525</v>
      </c>
      <c r="V672" s="60">
        <f>Ringkasan!V668</f>
        <v>4.76</v>
      </c>
      <c r="W672" s="60">
        <f>Ringkasan!W668</f>
        <v>530</v>
      </c>
      <c r="X672" s="60">
        <f>Ringkasan!X668</f>
        <v>570</v>
      </c>
      <c r="Y672" s="60">
        <f>Ringkasan!Y668</f>
        <v>530</v>
      </c>
      <c r="Z672" s="60">
        <f>Ringkasan!Z668</f>
        <v>34198900</v>
      </c>
      <c r="AA672" s="60" t="str">
        <f>Ringkasan!AA668</f>
        <v>Online Applications &amp; Services</v>
      </c>
      <c r="AB672" s="60" t="str">
        <f>Ringkasan!AB668</f>
        <v>Technology</v>
      </c>
    </row>
    <row r="673" hidden="1">
      <c r="A673" s="60" t="str">
        <f>Ringkasan!A669</f>
        <v>ENAK</v>
      </c>
      <c r="B673" s="60" t="str">
        <f>Ringkasan!B669</f>
        <v>Champ Resto Indonesia Tbk.</v>
      </c>
      <c r="C673" s="61">
        <f>Ringkasan!C669</f>
        <v>228</v>
      </c>
      <c r="D673" s="60" t="str">
        <f>Ringkasan!D669</f>
        <v>#N/A</v>
      </c>
      <c r="E673" s="60" t="str">
        <f>Ringkasan!E669</f>
        <v/>
      </c>
      <c r="F673" s="60" t="str">
        <f>Ringkasan!F669</f>
        <v/>
      </c>
      <c r="G673" s="60">
        <f>Ringkasan!G669</f>
        <v>0</v>
      </c>
      <c r="H673" s="62">
        <f>Ringkasan!H669</f>
        <v>-7.9</v>
      </c>
      <c r="I673" s="62">
        <f>Ringkasan!I669</f>
        <v>2.9</v>
      </c>
      <c r="J673" s="62">
        <f>Ringkasan!J669</f>
        <v>-36</v>
      </c>
      <c r="K673" s="62">
        <f>Ringkasan!K669</f>
        <v>-8</v>
      </c>
      <c r="L673" s="62">
        <f>Ringkasan!L669</f>
        <v>3.5</v>
      </c>
      <c r="M673" s="62">
        <f>Ringkasan!M669</f>
        <v>-24</v>
      </c>
      <c r="N673" s="60" t="str">
        <f>Ringkasan!N669</f>
        <v/>
      </c>
      <c r="O673" s="60" t="str">
        <f>Ringkasan!O669</f>
        <v/>
      </c>
      <c r="P673" s="60" t="str">
        <f>Ringkasan!P669</f>
        <v/>
      </c>
      <c r="Q673" s="60" t="str">
        <f>Ringkasan!Q669</f>
        <v/>
      </c>
      <c r="R673" s="60" t="str">
        <f>Ringkasan!R669</f>
        <v/>
      </c>
      <c r="S673" s="60" t="str">
        <f>Ringkasan!S669</f>
        <v/>
      </c>
      <c r="T673" s="60" t="str">
        <f>Ringkasan!T669</f>
        <v/>
      </c>
      <c r="U673" s="60">
        <f>Ringkasan!U669</f>
        <v>204</v>
      </c>
      <c r="V673" s="60">
        <f>Ringkasan!V669</f>
        <v>11.76</v>
      </c>
      <c r="W673" s="60">
        <f>Ringkasan!W669</f>
        <v>204</v>
      </c>
      <c r="X673" s="60">
        <f>Ringkasan!X669</f>
        <v>254</v>
      </c>
      <c r="Y673" s="60">
        <f>Ringkasan!Y669</f>
        <v>204</v>
      </c>
      <c r="Z673" s="60">
        <f>Ringkasan!Z669</f>
        <v>781200</v>
      </c>
      <c r="AA673" s="60" t="str">
        <f>Ringkasan!AA669</f>
        <v>Tourism &amp; Recreation</v>
      </c>
      <c r="AB673" s="60" t="str">
        <f>Ringkasan!AB669</f>
        <v>Consumer Cyclicals</v>
      </c>
    </row>
    <row r="674" hidden="1">
      <c r="A674" s="60" t="str">
        <f>Ringkasan!A671</f>
        <v>ENRG</v>
      </c>
      <c r="B674" s="60" t="str">
        <f>Ringkasan!B671</f>
        <v>Energi Mega Persada Tbk.</v>
      </c>
      <c r="C674" s="61">
        <f>Ringkasan!C671</f>
        <v>1390</v>
      </c>
      <c r="D674" s="60" t="str">
        <f>Ringkasan!D671</f>
        <v>#N/A</v>
      </c>
      <c r="E674" s="60" t="str">
        <f>Ringkasan!E671</f>
        <v>IDXG30</v>
      </c>
      <c r="F674" s="60" t="str">
        <f>Ringkasan!F671</f>
        <v>4 Agustus 2026</v>
      </c>
      <c r="G674" s="60">
        <f>Ringkasan!G671</f>
        <v>9</v>
      </c>
      <c r="H674" s="62">
        <f>Ringkasan!H671</f>
        <v>23.2</v>
      </c>
      <c r="I674" s="62">
        <f>Ringkasan!I671</f>
        <v>2.6</v>
      </c>
      <c r="J674" s="62">
        <f>Ringkasan!J671</f>
        <v>11.1</v>
      </c>
      <c r="K674" s="62">
        <f>Ringkasan!K671</f>
        <v>5</v>
      </c>
      <c r="L674" s="62">
        <f>Ringkasan!L671</f>
        <v>1.2</v>
      </c>
      <c r="M674" s="62">
        <f>Ringkasan!M671</f>
        <v>18.4</v>
      </c>
      <c r="N674" s="60" t="str">
        <f>Ringkasan!N671</f>
        <v/>
      </c>
      <c r="O674" s="60" t="str">
        <f>Ringkasan!O671</f>
        <v/>
      </c>
      <c r="P674" s="60" t="str">
        <f>Ringkasan!P671</f>
        <v/>
      </c>
      <c r="Q674" s="60" t="str">
        <f>Ringkasan!Q671</f>
        <v/>
      </c>
      <c r="R674" s="60" t="str">
        <f>Ringkasan!R671</f>
        <v/>
      </c>
      <c r="S674" s="60" t="str">
        <f>Ringkasan!S671</f>
        <v/>
      </c>
      <c r="T674" s="60" t="str">
        <f>Ringkasan!T671</f>
        <v/>
      </c>
      <c r="U674" s="60">
        <f>Ringkasan!U671</f>
        <v>0.3</v>
      </c>
      <c r="V674" s="60">
        <f>Ringkasan!V671</f>
        <v>18.64</v>
      </c>
      <c r="W674" s="60">
        <f>Ringkasan!W671</f>
        <v>0.29</v>
      </c>
      <c r="X674" s="60">
        <f>Ringkasan!X671</f>
        <v>0.35</v>
      </c>
      <c r="Y674" s="60">
        <f>Ringkasan!Y671</f>
        <v>0.26</v>
      </c>
      <c r="Z674" s="60">
        <f>Ringkasan!Z671</f>
        <v>61500</v>
      </c>
      <c r="AA674" s="60" t="str">
        <f>Ringkasan!AA671</f>
        <v>Oil &amp; Gas</v>
      </c>
      <c r="AB674" s="60" t="str">
        <f>Ringkasan!AB671</f>
        <v>Energy</v>
      </c>
    </row>
    <row r="675" hidden="1">
      <c r="A675" s="60" t="str">
        <f>Ringkasan!A672</f>
        <v>ENRG</v>
      </c>
      <c r="B675" s="60" t="str">
        <f>Ringkasan!B672</f>
        <v>Energi Mega Persada Tbk.</v>
      </c>
      <c r="C675" s="61">
        <f>Ringkasan!C672</f>
        <v>1390</v>
      </c>
      <c r="D675" s="60" t="str">
        <f>Ringkasan!D672</f>
        <v>#N/A</v>
      </c>
      <c r="E675" s="60" t="str">
        <f>Ringkasan!E672</f>
        <v>Kompas100</v>
      </c>
      <c r="F675" s="60" t="str">
        <f>Ringkasan!F672</f>
        <v>31 Juli 2026</v>
      </c>
      <c r="G675" s="60">
        <f>Ringkasan!G672</f>
        <v>9</v>
      </c>
      <c r="H675" s="62">
        <f>Ringkasan!H672</f>
        <v>23.2</v>
      </c>
      <c r="I675" s="62">
        <f>Ringkasan!I672</f>
        <v>2.6</v>
      </c>
      <c r="J675" s="62">
        <f>Ringkasan!J672</f>
        <v>11.1</v>
      </c>
      <c r="K675" s="62">
        <f>Ringkasan!K672</f>
        <v>5</v>
      </c>
      <c r="L675" s="62">
        <f>Ringkasan!L672</f>
        <v>1.2</v>
      </c>
      <c r="M675" s="62">
        <f>Ringkasan!M672</f>
        <v>18.4</v>
      </c>
      <c r="N675" s="60" t="str">
        <f>Ringkasan!N672</f>
        <v/>
      </c>
      <c r="O675" s="60" t="str">
        <f>Ringkasan!O672</f>
        <v/>
      </c>
      <c r="P675" s="60" t="str">
        <f>Ringkasan!P672</f>
        <v/>
      </c>
      <c r="Q675" s="60" t="str">
        <f>Ringkasan!Q672</f>
        <v/>
      </c>
      <c r="R675" s="60" t="str">
        <f>Ringkasan!R672</f>
        <v/>
      </c>
      <c r="S675" s="60" t="str">
        <f>Ringkasan!S672</f>
        <v/>
      </c>
      <c r="T675" s="60" t="str">
        <f>Ringkasan!T672</f>
        <v/>
      </c>
      <c r="U675" s="60">
        <f>Ringkasan!U672</f>
        <v>0.3</v>
      </c>
      <c r="V675" s="60">
        <f>Ringkasan!V672</f>
        <v>18.64</v>
      </c>
      <c r="W675" s="60">
        <f>Ringkasan!W672</f>
        <v>0.29</v>
      </c>
      <c r="X675" s="60">
        <f>Ringkasan!X672</f>
        <v>0.35</v>
      </c>
      <c r="Y675" s="60">
        <f>Ringkasan!Y672</f>
        <v>0.26</v>
      </c>
      <c r="Z675" s="60">
        <f>Ringkasan!Z672</f>
        <v>61500</v>
      </c>
      <c r="AA675" s="60" t="str">
        <f>Ringkasan!AA672</f>
        <v>Oil &amp; Gas</v>
      </c>
      <c r="AB675" s="60" t="str">
        <f>Ringkasan!AB672</f>
        <v>Energy</v>
      </c>
    </row>
    <row r="676" hidden="1">
      <c r="A676" s="64" t="str">
        <f>Ringkasan!A675</f>
        <v>ENRG</v>
      </c>
      <c r="B676" s="64" t="str">
        <f>Ringkasan!B675</f>
        <v>Energi Mega Persada Tbk.</v>
      </c>
      <c r="C676" s="65">
        <f>Ringkasan!C675</f>
        <v>1390</v>
      </c>
      <c r="D676" s="64" t="str">
        <f>Ringkasan!D675</f>
        <v>#N/A</v>
      </c>
      <c r="E676" s="64" t="str">
        <f>Ringkasan!E675</f>
        <v>IDXSMC-LIQ</v>
      </c>
      <c r="F676" s="64" t="str">
        <f>Ringkasan!F675</f>
        <v>4 Agustus 2026</v>
      </c>
      <c r="G676" s="64">
        <f>Ringkasan!G675</f>
        <v>9</v>
      </c>
      <c r="H676" s="19">
        <f>Ringkasan!H675</f>
        <v>23.2</v>
      </c>
      <c r="I676" s="19">
        <f>Ringkasan!I675</f>
        <v>2.6</v>
      </c>
      <c r="J676" s="19">
        <f>Ringkasan!J675</f>
        <v>11.1</v>
      </c>
      <c r="K676" s="19">
        <f>Ringkasan!K675</f>
        <v>5</v>
      </c>
      <c r="L676" s="19">
        <f>Ringkasan!L675</f>
        <v>1.2</v>
      </c>
      <c r="M676" s="19">
        <f>Ringkasan!M675</f>
        <v>18.4</v>
      </c>
      <c r="N676" s="64" t="str">
        <f>Ringkasan!N675</f>
        <v/>
      </c>
      <c r="O676" s="64" t="str">
        <f>Ringkasan!O675</f>
        <v/>
      </c>
      <c r="P676" s="64" t="str">
        <f>Ringkasan!P675</f>
        <v/>
      </c>
      <c r="Q676" s="64" t="str">
        <f>Ringkasan!Q675</f>
        <v/>
      </c>
      <c r="R676" s="64" t="str">
        <f>Ringkasan!R675</f>
        <v/>
      </c>
      <c r="S676" s="64" t="str">
        <f>Ringkasan!S675</f>
        <v/>
      </c>
      <c r="T676" s="64" t="str">
        <f>Ringkasan!T675</f>
        <v/>
      </c>
      <c r="U676" s="64">
        <f>Ringkasan!U675</f>
        <v>0.3</v>
      </c>
      <c r="V676" s="64">
        <f>Ringkasan!V675</f>
        <v>18.64</v>
      </c>
      <c r="W676" s="64">
        <f>Ringkasan!W675</f>
        <v>0.29</v>
      </c>
      <c r="X676" s="64">
        <f>Ringkasan!X675</f>
        <v>0.35</v>
      </c>
      <c r="Y676" s="64">
        <f>Ringkasan!Y675</f>
        <v>0.26</v>
      </c>
      <c r="Z676" s="64">
        <f>Ringkasan!Z675</f>
        <v>61500</v>
      </c>
      <c r="AA676" s="64" t="str">
        <f>Ringkasan!AA675</f>
        <v>Oil &amp; Gas</v>
      </c>
      <c r="AB676" s="64" t="str">
        <f>Ringkasan!AB675</f>
        <v>Energy</v>
      </c>
    </row>
    <row r="677" hidden="1">
      <c r="A677" s="64" t="str">
        <f>Ringkasan!A676</f>
        <v>ENRG</v>
      </c>
      <c r="B677" s="64" t="str">
        <f>Ringkasan!B676</f>
        <v>Energi Mega Persada Tbk.</v>
      </c>
      <c r="C677" s="65">
        <f>Ringkasan!C676</f>
        <v>1390</v>
      </c>
      <c r="D677" s="64" t="str">
        <f>Ringkasan!D676</f>
        <v>#N/A</v>
      </c>
      <c r="E677" s="64" t="str">
        <f>Ringkasan!E676</f>
        <v>MSCI Small Cap</v>
      </c>
      <c r="F677" s="64" t="str">
        <f>Ringkasan!F676</f>
        <v>12 Agustus 2026</v>
      </c>
      <c r="G677" s="64">
        <f>Ringkasan!G676</f>
        <v>9</v>
      </c>
      <c r="H677" s="19">
        <f>Ringkasan!H676</f>
        <v>23.2</v>
      </c>
      <c r="I677" s="19">
        <f>Ringkasan!I676</f>
        <v>2.6</v>
      </c>
      <c r="J677" s="19">
        <f>Ringkasan!J676</f>
        <v>11.1</v>
      </c>
      <c r="K677" s="19">
        <f>Ringkasan!K676</f>
        <v>5</v>
      </c>
      <c r="L677" s="19">
        <f>Ringkasan!L676</f>
        <v>1.2</v>
      </c>
      <c r="M677" s="19">
        <f>Ringkasan!M676</f>
        <v>18.4</v>
      </c>
      <c r="N677" s="64" t="str">
        <f>Ringkasan!N676</f>
        <v/>
      </c>
      <c r="O677" s="64" t="str">
        <f>Ringkasan!O676</f>
        <v/>
      </c>
      <c r="P677" s="64" t="str">
        <f>Ringkasan!P676</f>
        <v/>
      </c>
      <c r="Q677" s="64" t="str">
        <f>Ringkasan!Q676</f>
        <v/>
      </c>
      <c r="R677" s="64" t="str">
        <f>Ringkasan!R676</f>
        <v/>
      </c>
      <c r="S677" s="64" t="str">
        <f>Ringkasan!S676</f>
        <v/>
      </c>
      <c r="T677" s="64" t="str">
        <f>Ringkasan!T676</f>
        <v/>
      </c>
      <c r="U677" s="64">
        <f>Ringkasan!U676</f>
        <v>0.3</v>
      </c>
      <c r="V677" s="64">
        <f>Ringkasan!V676</f>
        <v>18.64</v>
      </c>
      <c r="W677" s="64">
        <f>Ringkasan!W676</f>
        <v>0.29</v>
      </c>
      <c r="X677" s="64">
        <f>Ringkasan!X676</f>
        <v>0.35</v>
      </c>
      <c r="Y677" s="64">
        <f>Ringkasan!Y676</f>
        <v>0.26</v>
      </c>
      <c r="Z677" s="64">
        <f>Ringkasan!Z676</f>
        <v>61500</v>
      </c>
      <c r="AA677" s="64" t="str">
        <f>Ringkasan!AA676</f>
        <v>Oil &amp; Gas</v>
      </c>
      <c r="AB677" s="64" t="str">
        <f>Ringkasan!AB676</f>
        <v>Energy</v>
      </c>
    </row>
    <row r="678" hidden="1">
      <c r="A678" s="64" t="str">
        <f>Ringkasan!A677</f>
        <v>ENRG</v>
      </c>
      <c r="B678" s="64" t="str">
        <f>Ringkasan!B677</f>
        <v>Energi Mega Persada Tbk.</v>
      </c>
      <c r="C678" s="65">
        <f>Ringkasan!C677</f>
        <v>1390</v>
      </c>
      <c r="D678" s="64" t="str">
        <f>Ringkasan!D677</f>
        <v>#N/A</v>
      </c>
      <c r="E678" s="64" t="str">
        <f>Ringkasan!E677</f>
        <v>JII30</v>
      </c>
      <c r="F678" s="66">
        <f>Ringkasan!F677</f>
        <v>46356</v>
      </c>
      <c r="G678" s="65">
        <f>Ringkasan!G677</f>
        <v>9</v>
      </c>
      <c r="H678" s="19">
        <f>Ringkasan!H677</f>
        <v>23.2</v>
      </c>
      <c r="I678" s="19">
        <f>Ringkasan!I677</f>
        <v>2.6</v>
      </c>
      <c r="J678" s="19">
        <f>Ringkasan!J677</f>
        <v>11.1</v>
      </c>
      <c r="K678" s="19">
        <f>Ringkasan!K677</f>
        <v>5</v>
      </c>
      <c r="L678" s="19">
        <f>Ringkasan!L677</f>
        <v>1.2</v>
      </c>
      <c r="M678" s="19">
        <f>Ringkasan!M677</f>
        <v>18.4</v>
      </c>
      <c r="N678" s="64" t="str">
        <f>Ringkasan!N677</f>
        <v/>
      </c>
      <c r="O678" s="64" t="str">
        <f>Ringkasan!O677</f>
        <v/>
      </c>
      <c r="P678" s="64" t="str">
        <f>Ringkasan!P677</f>
        <v/>
      </c>
      <c r="Q678" s="64" t="str">
        <f>Ringkasan!Q677</f>
        <v/>
      </c>
      <c r="R678" s="64" t="str">
        <f>Ringkasan!R677</f>
        <v/>
      </c>
      <c r="S678" s="64" t="str">
        <f>Ringkasan!S677</f>
        <v/>
      </c>
      <c r="T678" s="64" t="str">
        <f>Ringkasan!T677</f>
        <v/>
      </c>
      <c r="U678" s="64">
        <f>Ringkasan!U677</f>
        <v>0.3</v>
      </c>
      <c r="V678" s="64">
        <f>Ringkasan!V677</f>
        <v>18.64</v>
      </c>
      <c r="W678" s="64">
        <f>Ringkasan!W677</f>
        <v>0.29</v>
      </c>
      <c r="X678" s="64">
        <f>Ringkasan!X677</f>
        <v>0.35</v>
      </c>
      <c r="Y678" s="64">
        <f>Ringkasan!Y677</f>
        <v>0.26</v>
      </c>
      <c r="Z678" s="64">
        <f>Ringkasan!Z677</f>
        <v>61500</v>
      </c>
      <c r="AA678" s="64" t="str">
        <f>Ringkasan!AA677</f>
        <v>Oil &amp; Gas</v>
      </c>
      <c r="AB678" s="64" t="str">
        <f>Ringkasan!AB677</f>
        <v>Energy</v>
      </c>
    </row>
    <row r="679" hidden="1">
      <c r="A679" s="64" t="str">
        <f>Ringkasan!A282</f>
        <v>BBRI</v>
      </c>
      <c r="B679" s="64" t="str">
        <f>Ringkasan!B282</f>
        <v>PT Bank Rakyat Indonesia (Persero) Tbk</v>
      </c>
      <c r="C679" s="65">
        <f>Ringkasan!C282</f>
        <v>2850</v>
      </c>
      <c r="D679" s="64" t="str">
        <f>Ringkasan!D282</f>
        <v>#N/A</v>
      </c>
      <c r="E679" s="64" t="str">
        <f>Ringkasan!E282</f>
        <v>BISNIS-27</v>
      </c>
      <c r="F679" s="64" t="str">
        <f>Ringkasan!F282</f>
        <v>30 Oktober 2026</v>
      </c>
      <c r="G679" s="64">
        <f>Ringkasan!G282</f>
        <v>23</v>
      </c>
      <c r="H679" s="19">
        <f>Ringkasan!H282</f>
        <v>7.7</v>
      </c>
      <c r="I679" s="19">
        <f>Ringkasan!I282</f>
        <v>1.3</v>
      </c>
      <c r="J679" s="19">
        <f>Ringkasan!J282</f>
        <v>17</v>
      </c>
      <c r="K679" s="19">
        <f>Ringkasan!K282</f>
        <v>2.6</v>
      </c>
      <c r="L679" s="19">
        <f>Ringkasan!L282</f>
        <v>5.5</v>
      </c>
      <c r="M679" s="19">
        <f>Ringkasan!M282</f>
        <v>96.8</v>
      </c>
      <c r="N679" s="64">
        <f>Ringkasan!N282</f>
        <v>7.65</v>
      </c>
      <c r="O679" s="64">
        <f>Ringkasan!O282</f>
        <v>24.19</v>
      </c>
      <c r="P679" s="64">
        <f>Ringkasan!P282</f>
        <v>87.43</v>
      </c>
      <c r="Q679" s="64">
        <f>Ringkasan!Q282</f>
        <v>2.86</v>
      </c>
      <c r="R679" s="64">
        <f>Ringkasan!R282</f>
        <v>68.08</v>
      </c>
      <c r="S679" s="64">
        <f>Ringkasan!S282</f>
        <v>40.89</v>
      </c>
      <c r="T679" s="64">
        <f>Ringkasan!T282</f>
        <v>10.24</v>
      </c>
      <c r="U679" s="64">
        <f>Ringkasan!U282</f>
        <v>2850</v>
      </c>
      <c r="V679" s="64">
        <f>Ringkasan!V282</f>
        <v>0</v>
      </c>
      <c r="W679" s="64">
        <f>Ringkasan!W282</f>
        <v>2880</v>
      </c>
      <c r="X679" s="64">
        <f>Ringkasan!X282</f>
        <v>2900</v>
      </c>
      <c r="Y679" s="64">
        <f>Ringkasan!Y282</f>
        <v>2830</v>
      </c>
      <c r="Z679" s="64">
        <f>Ringkasan!Z282</f>
        <v>450530000</v>
      </c>
      <c r="AA679" s="64" t="str">
        <f>Ringkasan!AA282</f>
        <v>Banks</v>
      </c>
      <c r="AB679" s="64" t="str">
        <f>Ringkasan!AB282</f>
        <v>Financials</v>
      </c>
    </row>
    <row r="680" hidden="1">
      <c r="A680" s="64" t="str">
        <f>Ringkasan!A679</f>
        <v>ENVY</v>
      </c>
      <c r="B680" s="64" t="str">
        <f>Ringkasan!B679</f>
        <v>Envy Technologies Indonesia Tbk.</v>
      </c>
      <c r="C680" s="65">
        <f>Ringkasan!C679</f>
        <v>50</v>
      </c>
      <c r="D680" s="64" t="str">
        <f>Ringkasan!D679</f>
        <v>#N/A</v>
      </c>
      <c r="E680" s="64" t="str">
        <f>Ringkasan!E679</f>
        <v/>
      </c>
      <c r="F680" s="64" t="str">
        <f>Ringkasan!F679</f>
        <v/>
      </c>
      <c r="G680" s="64">
        <f>Ringkasan!G679</f>
        <v>0</v>
      </c>
      <c r="H680" s="19">
        <f>Ringkasan!H679</f>
        <v>-9.4</v>
      </c>
      <c r="I680" s="19">
        <f>Ringkasan!I679</f>
        <v>-1.7</v>
      </c>
      <c r="J680" s="19">
        <f>Ringkasan!J679</f>
        <v>0</v>
      </c>
      <c r="K680" s="19">
        <f>Ringkasan!K679</f>
        <v>-64.6</v>
      </c>
      <c r="L680" s="19">
        <f>Ringkasan!L679</f>
        <v>-1.3</v>
      </c>
      <c r="M680" s="19">
        <f>Ringkasan!M679</f>
        <v>-1690</v>
      </c>
      <c r="N680" s="64" t="str">
        <f>Ringkasan!N679</f>
        <v/>
      </c>
      <c r="O680" s="64" t="str">
        <f>Ringkasan!O679</f>
        <v/>
      </c>
      <c r="P680" s="64" t="str">
        <f>Ringkasan!P679</f>
        <v/>
      </c>
      <c r="Q680" s="64" t="str">
        <f>Ringkasan!Q679</f>
        <v/>
      </c>
      <c r="R680" s="64" t="str">
        <f>Ringkasan!R679</f>
        <v/>
      </c>
      <c r="S680" s="64" t="str">
        <f>Ringkasan!S679</f>
        <v/>
      </c>
      <c r="T680" s="64" t="str">
        <f>Ringkasan!T679</f>
        <v/>
      </c>
      <c r="U680" s="64">
        <f>Ringkasan!U679</f>
        <v>50</v>
      </c>
      <c r="V680" s="64">
        <f>Ringkasan!V679</f>
        <v>0</v>
      </c>
      <c r="W680" s="64" t="str">
        <f>Ringkasan!W679</f>
        <v/>
      </c>
      <c r="X680" s="64" t="str">
        <f>Ringkasan!X679</f>
        <v/>
      </c>
      <c r="Y680" s="64" t="str">
        <f>Ringkasan!Y679</f>
        <v/>
      </c>
      <c r="Z680" s="64">
        <f>Ringkasan!Z679</f>
        <v>0</v>
      </c>
      <c r="AA680" s="64" t="str">
        <f>Ringkasan!AA679</f>
        <v>IT Services &amp; Consulting</v>
      </c>
      <c r="AB680" s="64" t="str">
        <f>Ringkasan!AB679</f>
        <v>Technology</v>
      </c>
    </row>
    <row r="681" hidden="1">
      <c r="A681" s="64" t="str">
        <f>Ringkasan!A348</f>
        <v>BKSL</v>
      </c>
      <c r="B681" s="64" t="str">
        <f>Ringkasan!B348</f>
        <v>Sentul City Tbk.</v>
      </c>
      <c r="C681" s="65">
        <f>Ringkasan!C348</f>
        <v>68</v>
      </c>
      <c r="D681" s="64" t="str">
        <f>Ringkasan!D348</f>
        <v>#N/A</v>
      </c>
      <c r="E681" s="64" t="str">
        <f>Ringkasan!E348</f>
        <v>JII70</v>
      </c>
      <c r="F681" s="66">
        <f>Ringkasan!F348</f>
        <v>46356</v>
      </c>
      <c r="G681" s="64">
        <f>Ringkasan!G348</f>
        <v>4</v>
      </c>
      <c r="H681" s="19">
        <f>Ringkasan!H348</f>
        <v>14.6</v>
      </c>
      <c r="I681" s="19">
        <f>Ringkasan!I348</f>
        <v>0.78</v>
      </c>
      <c r="J681" s="19">
        <f>Ringkasan!J348</f>
        <v>5.4</v>
      </c>
      <c r="K681" s="19">
        <f>Ringkasan!K348</f>
        <v>3.8</v>
      </c>
      <c r="L681" s="19">
        <f>Ringkasan!L348</f>
        <v>0.42</v>
      </c>
      <c r="M681" s="19">
        <f>Ringkasan!M348</f>
        <v>240</v>
      </c>
      <c r="N681" s="64" t="str">
        <f>Ringkasan!N348</f>
        <v/>
      </c>
      <c r="O681" s="64" t="str">
        <f>Ringkasan!O348</f>
        <v/>
      </c>
      <c r="P681" s="64" t="str">
        <f>Ringkasan!P348</f>
        <v/>
      </c>
      <c r="Q681" s="64" t="str">
        <f>Ringkasan!Q348</f>
        <v/>
      </c>
      <c r="R681" s="64" t="str">
        <f>Ringkasan!R348</f>
        <v/>
      </c>
      <c r="S681" s="64" t="str">
        <f>Ringkasan!S348</f>
        <v/>
      </c>
      <c r="T681" s="64" t="str">
        <f>Ringkasan!T348</f>
        <v/>
      </c>
      <c r="U681" s="64">
        <f>Ringkasan!U348</f>
        <v>62</v>
      </c>
      <c r="V681" s="64">
        <f>Ringkasan!V348</f>
        <v>9.68</v>
      </c>
      <c r="W681" s="64">
        <f>Ringkasan!W348</f>
        <v>63</v>
      </c>
      <c r="X681" s="64">
        <f>Ringkasan!X348</f>
        <v>70</v>
      </c>
      <c r="Y681" s="64">
        <f>Ringkasan!Y348</f>
        <v>63</v>
      </c>
      <c r="Z681" s="64">
        <f>Ringkasan!Z348</f>
        <v>284600800</v>
      </c>
      <c r="AA681" s="64" t="str">
        <f>Ringkasan!AA348</f>
        <v>Real Estate Management &amp; Development</v>
      </c>
      <c r="AB681" s="64" t="str">
        <f>Ringkasan!AB348</f>
        <v>Properties &amp; Real Estate</v>
      </c>
    </row>
    <row r="682" hidden="1">
      <c r="A682" s="64" t="str">
        <f>Ringkasan!A681</f>
        <v>EPAC</v>
      </c>
      <c r="B682" s="64" t="str">
        <f>Ringkasan!B681</f>
        <v>Megalestari Epack Sentosaraya Tbk.</v>
      </c>
      <c r="C682" s="65">
        <f>Ringkasan!C681</f>
        <v>55</v>
      </c>
      <c r="D682" s="64" t="str">
        <f>Ringkasan!D681</f>
        <v>#N/A</v>
      </c>
      <c r="E682" s="64" t="str">
        <f>Ringkasan!E681</f>
        <v/>
      </c>
      <c r="F682" s="64" t="str">
        <f>Ringkasan!F681</f>
        <v/>
      </c>
      <c r="G682" s="64">
        <f>Ringkasan!G681</f>
        <v>0</v>
      </c>
      <c r="H682" s="19">
        <f>Ringkasan!H681</f>
        <v>-56.4</v>
      </c>
      <c r="I682" s="19">
        <f>Ringkasan!I681</f>
        <v>3.2</v>
      </c>
      <c r="J682" s="19">
        <f>Ringkasan!J681</f>
        <v>-5.7</v>
      </c>
      <c r="K682" s="19">
        <f>Ringkasan!K681</f>
        <v>-1.6</v>
      </c>
      <c r="L682" s="19">
        <f>Ringkasan!L681</f>
        <v>2.5</v>
      </c>
      <c r="M682" s="19">
        <f>Ringkasan!M681</f>
        <v>-10.3</v>
      </c>
      <c r="N682" s="64" t="str">
        <f>Ringkasan!N681</f>
        <v/>
      </c>
      <c r="O682" s="64" t="str">
        <f>Ringkasan!O681</f>
        <v/>
      </c>
      <c r="P682" s="64" t="str">
        <f>Ringkasan!P681</f>
        <v/>
      </c>
      <c r="Q682" s="64" t="str">
        <f>Ringkasan!Q681</f>
        <v/>
      </c>
      <c r="R682" s="64" t="str">
        <f>Ringkasan!R681</f>
        <v/>
      </c>
      <c r="S682" s="64" t="str">
        <f>Ringkasan!S681</f>
        <v/>
      </c>
      <c r="T682" s="64" t="str">
        <f>Ringkasan!T681</f>
        <v/>
      </c>
      <c r="U682" s="64">
        <f>Ringkasan!U681</f>
        <v>35.22</v>
      </c>
      <c r="V682" s="64">
        <f>Ringkasan!V681</f>
        <v>-0.48</v>
      </c>
      <c r="W682" s="64">
        <f>Ringkasan!W681</f>
        <v>35.45</v>
      </c>
      <c r="X682" s="64">
        <f>Ringkasan!X681</f>
        <v>35.52</v>
      </c>
      <c r="Y682" s="64">
        <f>Ringkasan!Y681</f>
        <v>34.91</v>
      </c>
      <c r="Z682" s="64">
        <f>Ringkasan!Z681</f>
        <v>252363</v>
      </c>
      <c r="AA682" s="64" t="str">
        <f>Ringkasan!AA681</f>
        <v>Containers &amp; Packaging</v>
      </c>
      <c r="AB682" s="64" t="str">
        <f>Ringkasan!AB681</f>
        <v>Basic Materials</v>
      </c>
    </row>
    <row r="683" hidden="1">
      <c r="A683" s="64" t="str">
        <f>Ringkasan!A682</f>
        <v>EPMT</v>
      </c>
      <c r="B683" s="64" t="str">
        <f>Ringkasan!B682</f>
        <v>Enseval Putera Megatrading Tbk.</v>
      </c>
      <c r="C683" s="65">
        <f>Ringkasan!C682</f>
        <v>2310</v>
      </c>
      <c r="D683" s="64" t="str">
        <f>Ringkasan!D682</f>
        <v>#N/A</v>
      </c>
      <c r="E683" s="64" t="str">
        <f>Ringkasan!E682</f>
        <v/>
      </c>
      <c r="F683" s="64" t="str">
        <f>Ringkasan!F682</f>
        <v/>
      </c>
      <c r="G683" s="64">
        <f>Ringkasan!G682</f>
        <v>0</v>
      </c>
      <c r="H683" s="19">
        <f>Ringkasan!H682</f>
        <v>8</v>
      </c>
      <c r="I683" s="19">
        <f>Ringkasan!I682</f>
        <v>0.76</v>
      </c>
      <c r="J683" s="19">
        <f>Ringkasan!J682</f>
        <v>9.5</v>
      </c>
      <c r="K683" s="19">
        <f>Ringkasan!K682</f>
        <v>5.5</v>
      </c>
      <c r="L683" s="19">
        <f>Ringkasan!L682</f>
        <v>0.73</v>
      </c>
      <c r="M683" s="19">
        <f>Ringkasan!M682</f>
        <v>8.6</v>
      </c>
      <c r="N683" s="64" t="str">
        <f>Ringkasan!N682</f>
        <v/>
      </c>
      <c r="O683" s="64" t="str">
        <f>Ringkasan!O682</f>
        <v/>
      </c>
      <c r="P683" s="64" t="str">
        <f>Ringkasan!P682</f>
        <v/>
      </c>
      <c r="Q683" s="64" t="str">
        <f>Ringkasan!Q682</f>
        <v/>
      </c>
      <c r="R683" s="64" t="str">
        <f>Ringkasan!R682</f>
        <v/>
      </c>
      <c r="S683" s="64" t="str">
        <f>Ringkasan!S682</f>
        <v/>
      </c>
      <c r="T683" s="64" t="str">
        <f>Ringkasan!T682</f>
        <v/>
      </c>
      <c r="U683" s="64">
        <f>Ringkasan!U682</f>
        <v>2270</v>
      </c>
      <c r="V683" s="64">
        <f>Ringkasan!V682</f>
        <v>1.76</v>
      </c>
      <c r="W683" s="64" t="str">
        <f>Ringkasan!W682</f>
        <v/>
      </c>
      <c r="X683" s="64">
        <f>Ringkasan!X682</f>
        <v>2320</v>
      </c>
      <c r="Y683" s="64">
        <f>Ringkasan!Y682</f>
        <v>2260</v>
      </c>
      <c r="Z683" s="64">
        <f>Ringkasan!Z682</f>
        <v>172600</v>
      </c>
      <c r="AA683" s="64" t="str">
        <f>Ringkasan!AA682</f>
        <v>Food &amp; Staples Retailing</v>
      </c>
      <c r="AB683" s="64" t="str">
        <f>Ringkasan!AB682</f>
        <v>Consumer Non-Cyclicals</v>
      </c>
    </row>
    <row r="684" hidden="1">
      <c r="A684" s="64" t="str">
        <f>Ringkasan!A381</f>
        <v>BMSR</v>
      </c>
      <c r="B684" s="64" t="str">
        <f>Ringkasan!B381</f>
        <v>Bintang Mitra Semestaraya Tbk</v>
      </c>
      <c r="C684" s="65">
        <f>Ringkasan!C381</f>
        <v>288</v>
      </c>
      <c r="D684" s="64" t="str">
        <f>Ringkasan!D381</f>
        <v>#N/A</v>
      </c>
      <c r="E684" s="64" t="str">
        <f>Ringkasan!E381</f>
        <v/>
      </c>
      <c r="F684" s="64" t="str">
        <f>Ringkasan!F381</f>
        <v/>
      </c>
      <c r="G684" s="64">
        <f>Ringkasan!G381</f>
        <v>0</v>
      </c>
      <c r="H684" s="19">
        <f>Ringkasan!H381</f>
        <v>3.5</v>
      </c>
      <c r="I684" s="19">
        <f>Ringkasan!I381</f>
        <v>0.38</v>
      </c>
      <c r="J684" s="19">
        <f>Ringkasan!J381</f>
        <v>10.8</v>
      </c>
      <c r="K684" s="19">
        <f>Ringkasan!K381</f>
        <v>6.1</v>
      </c>
      <c r="L684" s="19">
        <f>Ringkasan!L381</f>
        <v>0.78</v>
      </c>
      <c r="M684" s="19">
        <f>Ringkasan!M381</f>
        <v>13.4</v>
      </c>
      <c r="N684" s="64" t="str">
        <f>Ringkasan!N381</f>
        <v/>
      </c>
      <c r="O684" s="64" t="str">
        <f>Ringkasan!O381</f>
        <v/>
      </c>
      <c r="P684" s="64" t="str">
        <f>Ringkasan!P381</f>
        <v/>
      </c>
      <c r="Q684" s="64" t="str">
        <f>Ringkasan!Q381</f>
        <v/>
      </c>
      <c r="R684" s="64" t="str">
        <f>Ringkasan!R381</f>
        <v/>
      </c>
      <c r="S684" s="64" t="str">
        <f>Ringkasan!S381</f>
        <v/>
      </c>
      <c r="T684" s="64" t="str">
        <f>Ringkasan!T381</f>
        <v/>
      </c>
      <c r="U684" s="64">
        <f>Ringkasan!U381</f>
        <v>262</v>
      </c>
      <c r="V684" s="64" t="str">
        <f>Ringkasan!V381</f>
        <v/>
      </c>
      <c r="W684" s="64">
        <f>Ringkasan!W381</f>
        <v>290</v>
      </c>
      <c r="X684" s="64">
        <f>Ringkasan!X381</f>
        <v>300</v>
      </c>
      <c r="Y684" s="64">
        <f>Ringkasan!Y381</f>
        <v>264</v>
      </c>
      <c r="Z684" s="64">
        <f>Ringkasan!Z381</f>
        <v>50400</v>
      </c>
      <c r="AA684" s="64" t="str">
        <f>Ringkasan!AA381</f>
        <v>Chemicals</v>
      </c>
      <c r="AB684" s="64" t="str">
        <f>Ringkasan!AB381</f>
        <v>Basic Materials</v>
      </c>
    </row>
    <row r="685" hidden="1">
      <c r="A685" s="64" t="str">
        <f>Ringkasan!A684</f>
        <v>ERAA</v>
      </c>
      <c r="B685" s="64" t="str">
        <f>Ringkasan!B684</f>
        <v>Erajaya Swasembada Tbk.</v>
      </c>
      <c r="C685" s="65">
        <f>Ringkasan!C684</f>
        <v>364</v>
      </c>
      <c r="D685" s="64" t="str">
        <f>Ringkasan!D684</f>
        <v>#N/A</v>
      </c>
      <c r="E685" s="64" t="str">
        <f>Ringkasan!E684</f>
        <v>IDXHIDIV20</v>
      </c>
      <c r="F685" s="64" t="str">
        <f>Ringkasan!F684</f>
        <v>2 Februari 2027</v>
      </c>
      <c r="G685" s="64">
        <f>Ringkasan!G684</f>
        <v>10</v>
      </c>
      <c r="H685" s="19">
        <f>Ringkasan!H684</f>
        <v>4.1</v>
      </c>
      <c r="I685" s="19">
        <f>Ringkasan!I684</f>
        <v>0.54</v>
      </c>
      <c r="J685" s="19">
        <f>Ringkasan!J684</f>
        <v>13.2</v>
      </c>
      <c r="K685" s="19">
        <f>Ringkasan!K684</f>
        <v>4.6</v>
      </c>
      <c r="L685" s="19">
        <f>Ringkasan!L684</f>
        <v>1.9</v>
      </c>
      <c r="M685" s="19">
        <f>Ringkasan!M684</f>
        <v>6.5</v>
      </c>
      <c r="N685" s="64" t="str">
        <f>Ringkasan!N684</f>
        <v/>
      </c>
      <c r="O685" s="64" t="str">
        <f>Ringkasan!O684</f>
        <v/>
      </c>
      <c r="P685" s="64" t="str">
        <f>Ringkasan!P684</f>
        <v/>
      </c>
      <c r="Q685" s="64" t="str">
        <f>Ringkasan!Q684</f>
        <v/>
      </c>
      <c r="R685" s="64" t="str">
        <f>Ringkasan!R684</f>
        <v/>
      </c>
      <c r="S685" s="64" t="str">
        <f>Ringkasan!S684</f>
        <v/>
      </c>
      <c r="T685" s="64" t="str">
        <f>Ringkasan!T684</f>
        <v/>
      </c>
      <c r="U685" s="64" t="str">
        <f>Ringkasan!U684</f>
        <v/>
      </c>
      <c r="V685" s="64">
        <f>Ringkasan!V684</f>
        <v>2.82</v>
      </c>
      <c r="W685" s="64">
        <f>Ringkasan!W684</f>
        <v>356</v>
      </c>
      <c r="X685" s="64">
        <f>Ringkasan!X684</f>
        <v>370</v>
      </c>
      <c r="Y685" s="64">
        <f>Ringkasan!Y684</f>
        <v>356</v>
      </c>
      <c r="Z685" s="64">
        <f>Ringkasan!Z684</f>
        <v>16043800</v>
      </c>
      <c r="AA685" s="64" t="str">
        <f>Ringkasan!AA684</f>
        <v>Specialty Retail</v>
      </c>
      <c r="AB685" s="64" t="str">
        <f>Ringkasan!AB684</f>
        <v>Consumer Cyclicals</v>
      </c>
    </row>
    <row r="686" hidden="1">
      <c r="A686" s="64" t="str">
        <f>Ringkasan!A685</f>
        <v>ERAA</v>
      </c>
      <c r="B686" s="64" t="str">
        <f>Ringkasan!B685</f>
        <v>Erajaya Swasembada Tbk.</v>
      </c>
      <c r="C686" s="65">
        <f>Ringkasan!C685</f>
        <v>364</v>
      </c>
      <c r="D686" s="64" t="str">
        <f>Ringkasan!D685</f>
        <v>#N/A</v>
      </c>
      <c r="E686" s="64" t="str">
        <f>Ringkasan!E685</f>
        <v>IDXG30</v>
      </c>
      <c r="F686" s="64" t="str">
        <f>Ringkasan!F685</f>
        <v>4 Agustus 2026</v>
      </c>
      <c r="G686" s="64">
        <f>Ringkasan!G685</f>
        <v>10</v>
      </c>
      <c r="H686" s="19">
        <f>Ringkasan!H685</f>
        <v>4.1</v>
      </c>
      <c r="I686" s="19">
        <f>Ringkasan!I685</f>
        <v>0.54</v>
      </c>
      <c r="J686" s="19">
        <f>Ringkasan!J685</f>
        <v>13.2</v>
      </c>
      <c r="K686" s="19">
        <f>Ringkasan!K685</f>
        <v>4.6</v>
      </c>
      <c r="L686" s="19">
        <f>Ringkasan!L685</f>
        <v>1.9</v>
      </c>
      <c r="M686" s="19">
        <f>Ringkasan!M685</f>
        <v>6.5</v>
      </c>
      <c r="N686" s="64" t="str">
        <f>Ringkasan!N685</f>
        <v/>
      </c>
      <c r="O686" s="64" t="str">
        <f>Ringkasan!O685</f>
        <v/>
      </c>
      <c r="P686" s="64" t="str">
        <f>Ringkasan!P685</f>
        <v/>
      </c>
      <c r="Q686" s="64" t="str">
        <f>Ringkasan!Q685</f>
        <v/>
      </c>
      <c r="R686" s="64" t="str">
        <f>Ringkasan!R685</f>
        <v/>
      </c>
      <c r="S686" s="64" t="str">
        <f>Ringkasan!S685</f>
        <v/>
      </c>
      <c r="T686" s="64" t="str">
        <f>Ringkasan!T685</f>
        <v/>
      </c>
      <c r="U686" s="64" t="str">
        <f>Ringkasan!U685</f>
        <v/>
      </c>
      <c r="V686" s="64">
        <f>Ringkasan!V685</f>
        <v>2.82</v>
      </c>
      <c r="W686" s="64">
        <f>Ringkasan!W685</f>
        <v>356</v>
      </c>
      <c r="X686" s="64">
        <f>Ringkasan!X685</f>
        <v>370</v>
      </c>
      <c r="Y686" s="64">
        <f>Ringkasan!Y685</f>
        <v>356</v>
      </c>
      <c r="Z686" s="64">
        <f>Ringkasan!Z685</f>
        <v>16043800</v>
      </c>
      <c r="AA686" s="64" t="str">
        <f>Ringkasan!AA685</f>
        <v>Specialty Retail</v>
      </c>
      <c r="AB686" s="64" t="str">
        <f>Ringkasan!AB685</f>
        <v>Consumer Cyclicals</v>
      </c>
    </row>
    <row r="687" hidden="1">
      <c r="A687" s="64" t="str">
        <f>Ringkasan!A686</f>
        <v>ERAA</v>
      </c>
      <c r="B687" s="64" t="str">
        <f>Ringkasan!B686</f>
        <v>Erajaya Swasembada Tbk.</v>
      </c>
      <c r="C687" s="65">
        <f>Ringkasan!C686</f>
        <v>364</v>
      </c>
      <c r="D687" s="64" t="str">
        <f>Ringkasan!D686</f>
        <v>#N/A</v>
      </c>
      <c r="E687" s="64" t="str">
        <f>Ringkasan!E686</f>
        <v>IDX80</v>
      </c>
      <c r="F687" s="64" t="str">
        <f>Ringkasan!F686</f>
        <v>31 Juli 2026</v>
      </c>
      <c r="G687" s="64">
        <f>Ringkasan!G686</f>
        <v>10</v>
      </c>
      <c r="H687" s="19">
        <f>Ringkasan!H686</f>
        <v>4.1</v>
      </c>
      <c r="I687" s="19">
        <f>Ringkasan!I686</f>
        <v>0.54</v>
      </c>
      <c r="J687" s="19">
        <f>Ringkasan!J686</f>
        <v>13.2</v>
      </c>
      <c r="K687" s="19">
        <f>Ringkasan!K686</f>
        <v>4.6</v>
      </c>
      <c r="L687" s="19">
        <f>Ringkasan!L686</f>
        <v>1.9</v>
      </c>
      <c r="M687" s="19">
        <f>Ringkasan!M686</f>
        <v>6.5</v>
      </c>
      <c r="N687" s="64" t="str">
        <f>Ringkasan!N686</f>
        <v/>
      </c>
      <c r="O687" s="64" t="str">
        <f>Ringkasan!O686</f>
        <v/>
      </c>
      <c r="P687" s="64" t="str">
        <f>Ringkasan!P686</f>
        <v/>
      </c>
      <c r="Q687" s="64" t="str">
        <f>Ringkasan!Q686</f>
        <v/>
      </c>
      <c r="R687" s="64" t="str">
        <f>Ringkasan!R686</f>
        <v/>
      </c>
      <c r="S687" s="64" t="str">
        <f>Ringkasan!S686</f>
        <v/>
      </c>
      <c r="T687" s="64" t="str">
        <f>Ringkasan!T686</f>
        <v/>
      </c>
      <c r="U687" s="64" t="str">
        <f>Ringkasan!U686</f>
        <v/>
      </c>
      <c r="V687" s="64">
        <f>Ringkasan!V686</f>
        <v>2.82</v>
      </c>
      <c r="W687" s="64">
        <f>Ringkasan!W686</f>
        <v>356</v>
      </c>
      <c r="X687" s="64">
        <f>Ringkasan!X686</f>
        <v>370</v>
      </c>
      <c r="Y687" s="64">
        <f>Ringkasan!Y686</f>
        <v>356</v>
      </c>
      <c r="Z687" s="64">
        <f>Ringkasan!Z686</f>
        <v>16043800</v>
      </c>
      <c r="AA687" s="64" t="str">
        <f>Ringkasan!AA686</f>
        <v>Specialty Retail</v>
      </c>
      <c r="AB687" s="64" t="str">
        <f>Ringkasan!AB686</f>
        <v>Consumer Cyclicals</v>
      </c>
    </row>
    <row r="688" hidden="1">
      <c r="A688" s="64" t="str">
        <f>Ringkasan!A687</f>
        <v>ERAA</v>
      </c>
      <c r="B688" s="64" t="str">
        <f>Ringkasan!B687</f>
        <v>Erajaya Swasembada Tbk.</v>
      </c>
      <c r="C688" s="65">
        <f>Ringkasan!C687</f>
        <v>364</v>
      </c>
      <c r="D688" s="64" t="str">
        <f>Ringkasan!D687</f>
        <v>#N/A</v>
      </c>
      <c r="E688" s="64" t="str">
        <f>Ringkasan!E687</f>
        <v>Kompas100</v>
      </c>
      <c r="F688" s="64" t="str">
        <f>Ringkasan!F687</f>
        <v>31 Juli 2026</v>
      </c>
      <c r="G688" s="64">
        <f>Ringkasan!G687</f>
        <v>10</v>
      </c>
      <c r="H688" s="19">
        <f>Ringkasan!H687</f>
        <v>4.1</v>
      </c>
      <c r="I688" s="19">
        <f>Ringkasan!I687</f>
        <v>0.54</v>
      </c>
      <c r="J688" s="19">
        <f>Ringkasan!J687</f>
        <v>13.2</v>
      </c>
      <c r="K688" s="19">
        <f>Ringkasan!K687</f>
        <v>4.6</v>
      </c>
      <c r="L688" s="19">
        <f>Ringkasan!L687</f>
        <v>1.9</v>
      </c>
      <c r="M688" s="19">
        <f>Ringkasan!M687</f>
        <v>6.5</v>
      </c>
      <c r="N688" s="64" t="str">
        <f>Ringkasan!N687</f>
        <v/>
      </c>
      <c r="O688" s="64" t="str">
        <f>Ringkasan!O687</f>
        <v/>
      </c>
      <c r="P688" s="64" t="str">
        <f>Ringkasan!P687</f>
        <v/>
      </c>
      <c r="Q688" s="64" t="str">
        <f>Ringkasan!Q687</f>
        <v/>
      </c>
      <c r="R688" s="64" t="str">
        <f>Ringkasan!R687</f>
        <v/>
      </c>
      <c r="S688" s="64" t="str">
        <f>Ringkasan!S687</f>
        <v/>
      </c>
      <c r="T688" s="64" t="str">
        <f>Ringkasan!T687</f>
        <v/>
      </c>
      <c r="U688" s="64" t="str">
        <f>Ringkasan!U687</f>
        <v/>
      </c>
      <c r="V688" s="64">
        <f>Ringkasan!V687</f>
        <v>2.82</v>
      </c>
      <c r="W688" s="64">
        <f>Ringkasan!W687</f>
        <v>356</v>
      </c>
      <c r="X688" s="64">
        <f>Ringkasan!X687</f>
        <v>370</v>
      </c>
      <c r="Y688" s="64">
        <f>Ringkasan!Y687</f>
        <v>356</v>
      </c>
      <c r="Z688" s="64">
        <f>Ringkasan!Z687</f>
        <v>16043800</v>
      </c>
      <c r="AA688" s="64" t="str">
        <f>Ringkasan!AA687</f>
        <v>Specialty Retail</v>
      </c>
      <c r="AB688" s="64" t="str">
        <f>Ringkasan!AB687</f>
        <v>Consumer Cyclicals</v>
      </c>
    </row>
    <row r="689" hidden="1">
      <c r="A689" s="64" t="str">
        <f>Ringkasan!A476</f>
        <v>BUMI</v>
      </c>
      <c r="B689" s="64" t="str">
        <f>Ringkasan!B476</f>
        <v>Bumi Resources Tbk.</v>
      </c>
      <c r="C689" s="65">
        <f>Ringkasan!C476</f>
        <v>157</v>
      </c>
      <c r="D689" s="64" t="str">
        <f>Ringkasan!D476</f>
        <v>#N/A</v>
      </c>
      <c r="E689" s="64" t="str">
        <f>Ringkasan!E476</f>
        <v>IDX30</v>
      </c>
      <c r="F689" s="64" t="str">
        <f>Ringkasan!F476</f>
        <v>31 Juli 2026</v>
      </c>
      <c r="G689" s="64">
        <f>Ringkasan!G476</f>
        <v>11</v>
      </c>
      <c r="H689" s="19">
        <f>Ringkasan!H476</f>
        <v>42.3</v>
      </c>
      <c r="I689" s="19">
        <f>Ringkasan!I476</f>
        <v>1.3</v>
      </c>
      <c r="J689" s="19">
        <f>Ringkasan!J476</f>
        <v>3</v>
      </c>
      <c r="K689" s="19">
        <f>Ringkasan!K476</f>
        <v>1.9</v>
      </c>
      <c r="L689" s="19">
        <f>Ringkasan!L476</f>
        <v>0.53</v>
      </c>
      <c r="M689" s="19">
        <f>Ringkasan!M476</f>
        <v>20.8</v>
      </c>
      <c r="N689" s="64" t="str">
        <f>Ringkasan!N476</f>
        <v/>
      </c>
      <c r="O689" s="64" t="str">
        <f>Ringkasan!O476</f>
        <v/>
      </c>
      <c r="P689" s="64" t="str">
        <f>Ringkasan!P476</f>
        <v/>
      </c>
      <c r="Q689" s="64" t="str">
        <f>Ringkasan!Q476</f>
        <v/>
      </c>
      <c r="R689" s="64" t="str">
        <f>Ringkasan!R476</f>
        <v/>
      </c>
      <c r="S689" s="64" t="str">
        <f>Ringkasan!S476</f>
        <v/>
      </c>
      <c r="T689" s="64" t="str">
        <f>Ringkasan!T476</f>
        <v/>
      </c>
      <c r="U689" s="64">
        <f>Ringkasan!U476</f>
        <v>140</v>
      </c>
      <c r="V689" s="64">
        <f>Ringkasan!V476</f>
        <v>12.14</v>
      </c>
      <c r="W689" s="64">
        <f>Ringkasan!W476</f>
        <v>144</v>
      </c>
      <c r="X689" s="64">
        <f>Ringkasan!X476</f>
        <v>162</v>
      </c>
      <c r="Y689" s="64">
        <f>Ringkasan!Y476</f>
        <v>143</v>
      </c>
      <c r="Z689" s="64">
        <f>Ringkasan!Z476</f>
        <v>6630659700</v>
      </c>
      <c r="AA689" s="64" t="str">
        <f>Ringkasan!AA476</f>
        <v>Coal</v>
      </c>
      <c r="AB689" s="64" t="str">
        <f>Ringkasan!AB476</f>
        <v>Energy</v>
      </c>
    </row>
    <row r="690" hidden="1">
      <c r="A690" s="64" t="str">
        <f>Ringkasan!A689</f>
        <v>ERAA</v>
      </c>
      <c r="B690" s="64" t="str">
        <f>Ringkasan!B689</f>
        <v>Erajaya Swasembada Tbk.</v>
      </c>
      <c r="C690" s="65">
        <f>Ringkasan!C689</f>
        <v>364</v>
      </c>
      <c r="D690" s="64" t="str">
        <f>Ringkasan!D689</f>
        <v>#N/A</v>
      </c>
      <c r="E690" s="64" t="str">
        <f>Ringkasan!E689</f>
        <v>IDXESGL</v>
      </c>
      <c r="F690" s="64" t="str">
        <f>Ringkasan!F689</f>
        <v>30 Oktober 2026</v>
      </c>
      <c r="G690" s="64">
        <f>Ringkasan!G689</f>
        <v>10</v>
      </c>
      <c r="H690" s="19">
        <f>Ringkasan!H689</f>
        <v>4.1</v>
      </c>
      <c r="I690" s="19">
        <f>Ringkasan!I689</f>
        <v>0.54</v>
      </c>
      <c r="J690" s="19">
        <f>Ringkasan!J689</f>
        <v>13.2</v>
      </c>
      <c r="K690" s="19">
        <f>Ringkasan!K689</f>
        <v>4.6</v>
      </c>
      <c r="L690" s="19">
        <f>Ringkasan!L689</f>
        <v>1.9</v>
      </c>
      <c r="M690" s="19">
        <f>Ringkasan!M689</f>
        <v>6.5</v>
      </c>
      <c r="N690" s="64" t="str">
        <f>Ringkasan!N689</f>
        <v/>
      </c>
      <c r="O690" s="64" t="str">
        <f>Ringkasan!O689</f>
        <v/>
      </c>
      <c r="P690" s="64" t="str">
        <f>Ringkasan!P689</f>
        <v/>
      </c>
      <c r="Q690" s="64" t="str">
        <f>Ringkasan!Q689</f>
        <v/>
      </c>
      <c r="R690" s="64" t="str">
        <f>Ringkasan!R689</f>
        <v/>
      </c>
      <c r="S690" s="64" t="str">
        <f>Ringkasan!S689</f>
        <v/>
      </c>
      <c r="T690" s="64" t="str">
        <f>Ringkasan!T689</f>
        <v/>
      </c>
      <c r="U690" s="64" t="str">
        <f>Ringkasan!U689</f>
        <v/>
      </c>
      <c r="V690" s="64">
        <f>Ringkasan!V689</f>
        <v>2.82</v>
      </c>
      <c r="W690" s="64">
        <f>Ringkasan!W689</f>
        <v>356</v>
      </c>
      <c r="X690" s="64">
        <f>Ringkasan!X689</f>
        <v>370</v>
      </c>
      <c r="Y690" s="64">
        <f>Ringkasan!Y689</f>
        <v>356</v>
      </c>
      <c r="Z690" s="64">
        <f>Ringkasan!Z689</f>
        <v>16043800</v>
      </c>
      <c r="AA690" s="64" t="str">
        <f>Ringkasan!AA689</f>
        <v>Specialty Retail</v>
      </c>
      <c r="AB690" s="64" t="str">
        <f>Ringkasan!AB689</f>
        <v>Consumer Cyclicals</v>
      </c>
    </row>
    <row r="691" hidden="1">
      <c r="A691" s="64" t="str">
        <f>Ringkasan!A522</f>
        <v>CMRY</v>
      </c>
      <c r="B691" s="64" t="str">
        <f>Ringkasan!B522</f>
        <v>Cisarua Mountain Dairy Tbk.</v>
      </c>
      <c r="C691" s="65" t="str">
        <f>Ringkasan!C522</f>
        <v>#N/A</v>
      </c>
      <c r="D691" s="64" t="str">
        <f>Ringkasan!D522</f>
        <v>#N/A</v>
      </c>
      <c r="E691" s="64" t="str">
        <f>Ringkasan!E522</f>
        <v>IDX80</v>
      </c>
      <c r="F691" s="64" t="str">
        <f>Ringkasan!F522</f>
        <v>31 Juli 2026</v>
      </c>
      <c r="G691" s="64">
        <f>Ringkasan!G522</f>
        <v>10</v>
      </c>
      <c r="H691" s="19">
        <f>Ringkasan!H522</f>
        <v>18.2</v>
      </c>
      <c r="I691" s="19">
        <f>Ringkasan!I522</f>
        <v>5.2</v>
      </c>
      <c r="J691" s="19">
        <f>Ringkasan!J522</f>
        <v>28.7</v>
      </c>
      <c r="K691" s="19">
        <f>Ringkasan!K522</f>
        <v>22.3</v>
      </c>
      <c r="L691" s="19">
        <f>Ringkasan!L522</f>
        <v>0.29</v>
      </c>
      <c r="M691" s="19">
        <f>Ringkasan!M522</f>
        <v>67.6</v>
      </c>
      <c r="N691" s="64" t="str">
        <f>Ringkasan!N522</f>
        <v/>
      </c>
      <c r="O691" s="64" t="str">
        <f>Ringkasan!O522</f>
        <v/>
      </c>
      <c r="P691" s="64" t="str">
        <f>Ringkasan!P522</f>
        <v/>
      </c>
      <c r="Q691" s="64" t="str">
        <f>Ringkasan!Q522</f>
        <v/>
      </c>
      <c r="R691" s="64" t="str">
        <f>Ringkasan!R522</f>
        <v/>
      </c>
      <c r="S691" s="64" t="str">
        <f>Ringkasan!S522</f>
        <v/>
      </c>
      <c r="T691" s="64" t="str">
        <f>Ringkasan!T522</f>
        <v/>
      </c>
      <c r="U691" s="64">
        <f>Ringkasan!U522</f>
        <v>4160</v>
      </c>
      <c r="V691" s="64">
        <f>Ringkasan!V522</f>
        <v>5.77</v>
      </c>
      <c r="W691" s="64">
        <f>Ringkasan!W522</f>
        <v>4180</v>
      </c>
      <c r="X691" s="64">
        <f>Ringkasan!X522</f>
        <v>4400</v>
      </c>
      <c r="Y691" s="64">
        <f>Ringkasan!Y522</f>
        <v>4160</v>
      </c>
      <c r="Z691" s="64">
        <f>Ringkasan!Z522</f>
        <v>3542800</v>
      </c>
      <c r="AA691" s="64" t="str">
        <f>Ringkasan!AA522</f>
        <v>Processed Foods</v>
      </c>
      <c r="AB691" s="64" t="str">
        <f>Ringkasan!AB522</f>
        <v>Consumer Non-Cyclicals</v>
      </c>
    </row>
    <row r="692" hidden="1">
      <c r="A692" s="64" t="str">
        <f>Ringkasan!A691</f>
        <v>ERAA</v>
      </c>
      <c r="B692" s="64" t="str">
        <f>Ringkasan!B691</f>
        <v>Erajaya Swasembada Tbk.</v>
      </c>
      <c r="C692" s="65">
        <f>Ringkasan!C691</f>
        <v>364</v>
      </c>
      <c r="D692" s="64" t="str">
        <f>Ringkasan!D691</f>
        <v>#N/A</v>
      </c>
      <c r="E692" s="64" t="str">
        <f>Ringkasan!E691</f>
        <v>IDXSMC-LIQ</v>
      </c>
      <c r="F692" s="64" t="str">
        <f>Ringkasan!F691</f>
        <v>4 Agustus 2026</v>
      </c>
      <c r="G692" s="64">
        <f>Ringkasan!G691</f>
        <v>10</v>
      </c>
      <c r="H692" s="19">
        <f>Ringkasan!H691</f>
        <v>4.1</v>
      </c>
      <c r="I692" s="19">
        <f>Ringkasan!I691</f>
        <v>0.54</v>
      </c>
      <c r="J692" s="19">
        <f>Ringkasan!J691</f>
        <v>13.2</v>
      </c>
      <c r="K692" s="19">
        <f>Ringkasan!K691</f>
        <v>4.6</v>
      </c>
      <c r="L692" s="19">
        <f>Ringkasan!L691</f>
        <v>1.9</v>
      </c>
      <c r="M692" s="19">
        <f>Ringkasan!M691</f>
        <v>6.5</v>
      </c>
      <c r="N692" s="64" t="str">
        <f>Ringkasan!N691</f>
        <v/>
      </c>
      <c r="O692" s="64" t="str">
        <f>Ringkasan!O691</f>
        <v/>
      </c>
      <c r="P692" s="64" t="str">
        <f>Ringkasan!P691</f>
        <v/>
      </c>
      <c r="Q692" s="64" t="str">
        <f>Ringkasan!Q691</f>
        <v/>
      </c>
      <c r="R692" s="64" t="str">
        <f>Ringkasan!R691</f>
        <v/>
      </c>
      <c r="S692" s="64" t="str">
        <f>Ringkasan!S691</f>
        <v/>
      </c>
      <c r="T692" s="64" t="str">
        <f>Ringkasan!T691</f>
        <v/>
      </c>
      <c r="U692" s="64" t="str">
        <f>Ringkasan!U691</f>
        <v/>
      </c>
      <c r="V692" s="64">
        <f>Ringkasan!V691</f>
        <v>2.82</v>
      </c>
      <c r="W692" s="64">
        <f>Ringkasan!W691</f>
        <v>356</v>
      </c>
      <c r="X692" s="64">
        <f>Ringkasan!X691</f>
        <v>370</v>
      </c>
      <c r="Y692" s="64">
        <f>Ringkasan!Y691</f>
        <v>356</v>
      </c>
      <c r="Z692" s="64">
        <f>Ringkasan!Z691</f>
        <v>16043800</v>
      </c>
      <c r="AA692" s="64" t="str">
        <f>Ringkasan!AA691</f>
        <v>Specialty Retail</v>
      </c>
      <c r="AB692" s="64" t="str">
        <f>Ringkasan!AB691</f>
        <v>Consumer Cyclicals</v>
      </c>
    </row>
    <row r="693" hidden="1">
      <c r="A693" s="64" t="str">
        <f>Ringkasan!A692</f>
        <v>ERAA</v>
      </c>
      <c r="B693" s="64" t="str">
        <f>Ringkasan!B692</f>
        <v>Erajaya Swasembada Tbk.</v>
      </c>
      <c r="C693" s="65">
        <f>Ringkasan!C692</f>
        <v>364</v>
      </c>
      <c r="D693" s="64" t="str">
        <f>Ringkasan!D692</f>
        <v>#N/A</v>
      </c>
      <c r="E693" s="64" t="str">
        <f>Ringkasan!E692</f>
        <v>JII70</v>
      </c>
      <c r="F693" s="66">
        <f>Ringkasan!F692</f>
        <v>46356</v>
      </c>
      <c r="G693" s="64">
        <f>Ringkasan!G692</f>
        <v>10</v>
      </c>
      <c r="H693" s="19">
        <f>Ringkasan!H692</f>
        <v>4.1</v>
      </c>
      <c r="I693" s="19">
        <f>Ringkasan!I692</f>
        <v>0.54</v>
      </c>
      <c r="J693" s="19">
        <f>Ringkasan!J692</f>
        <v>13.2</v>
      </c>
      <c r="K693" s="19">
        <f>Ringkasan!K692</f>
        <v>4.6</v>
      </c>
      <c r="L693" s="19">
        <f>Ringkasan!L692</f>
        <v>1.9</v>
      </c>
      <c r="M693" s="19">
        <f>Ringkasan!M692</f>
        <v>6.5</v>
      </c>
      <c r="N693" s="64" t="str">
        <f>Ringkasan!N692</f>
        <v/>
      </c>
      <c r="O693" s="64" t="str">
        <f>Ringkasan!O692</f>
        <v/>
      </c>
      <c r="P693" s="64" t="str">
        <f>Ringkasan!P692</f>
        <v/>
      </c>
      <c r="Q693" s="64" t="str">
        <f>Ringkasan!Q692</f>
        <v/>
      </c>
      <c r="R693" s="64" t="str">
        <f>Ringkasan!R692</f>
        <v/>
      </c>
      <c r="S693" s="64" t="str">
        <f>Ringkasan!S692</f>
        <v/>
      </c>
      <c r="T693" s="64" t="str">
        <f>Ringkasan!T692</f>
        <v/>
      </c>
      <c r="U693" s="64" t="str">
        <f>Ringkasan!U692</f>
        <v/>
      </c>
      <c r="V693" s="64">
        <f>Ringkasan!V692</f>
        <v>2.82</v>
      </c>
      <c r="W693" s="64">
        <f>Ringkasan!W692</f>
        <v>356</v>
      </c>
      <c r="X693" s="64">
        <f>Ringkasan!X692</f>
        <v>370</v>
      </c>
      <c r="Y693" s="64">
        <f>Ringkasan!Y692</f>
        <v>356</v>
      </c>
      <c r="Z693" s="64">
        <f>Ringkasan!Z692</f>
        <v>16043800</v>
      </c>
      <c r="AA693" s="64" t="str">
        <f>Ringkasan!AA692</f>
        <v>Specialty Retail</v>
      </c>
      <c r="AB693" s="64" t="str">
        <f>Ringkasan!AB692</f>
        <v>Consumer Cyclicals</v>
      </c>
    </row>
    <row r="694" hidden="1">
      <c r="A694" s="64" t="str">
        <f>Ringkasan!A693</f>
        <v>ERAL</v>
      </c>
      <c r="B694" s="64" t="str">
        <f>Ringkasan!B693</f>
        <v>PT Sinar Eka Selaras Tbk</v>
      </c>
      <c r="C694" s="65">
        <f>Ringkasan!C693</f>
        <v>274</v>
      </c>
      <c r="D694" s="64" t="str">
        <f>Ringkasan!D693</f>
        <v>#N/A</v>
      </c>
      <c r="E694" s="64" t="str">
        <f>Ringkasan!E693</f>
        <v/>
      </c>
      <c r="F694" s="64" t="str">
        <f>Ringkasan!F693</f>
        <v/>
      </c>
      <c r="G694" s="65">
        <f>Ringkasan!G693</f>
        <v>0</v>
      </c>
      <c r="H694" s="19">
        <f>Ringkasan!H693</f>
        <v>8.7</v>
      </c>
      <c r="I694" s="19">
        <f>Ringkasan!I693</f>
        <v>0.83</v>
      </c>
      <c r="J694" s="19">
        <f>Ringkasan!J693</f>
        <v>9.5</v>
      </c>
      <c r="K694" s="19">
        <f>Ringkasan!K693</f>
        <v>5.2</v>
      </c>
      <c r="L694" s="19">
        <f>Ringkasan!L693</f>
        <v>0.83</v>
      </c>
      <c r="M694" s="19">
        <f>Ringkasan!M693</f>
        <v>10</v>
      </c>
      <c r="N694" s="64" t="str">
        <f>Ringkasan!N693</f>
        <v/>
      </c>
      <c r="O694" s="64" t="str">
        <f>Ringkasan!O693</f>
        <v/>
      </c>
      <c r="P694" s="64" t="str">
        <f>Ringkasan!P693</f>
        <v/>
      </c>
      <c r="Q694" s="64" t="str">
        <f>Ringkasan!Q693</f>
        <v/>
      </c>
      <c r="R694" s="64" t="str">
        <f>Ringkasan!R693</f>
        <v/>
      </c>
      <c r="S694" s="64" t="str">
        <f>Ringkasan!S693</f>
        <v/>
      </c>
      <c r="T694" s="64" t="str">
        <f>Ringkasan!T693</f>
        <v/>
      </c>
      <c r="U694" s="64">
        <f>Ringkasan!U693</f>
        <v>260</v>
      </c>
      <c r="V694" s="64">
        <f>Ringkasan!V693</f>
        <v>5.38</v>
      </c>
      <c r="W694" s="64">
        <f>Ringkasan!W693</f>
        <v>260</v>
      </c>
      <c r="X694" s="64">
        <f>Ringkasan!X693</f>
        <v>276</v>
      </c>
      <c r="Y694" s="64">
        <f>Ringkasan!Y693</f>
        <v>260</v>
      </c>
      <c r="Z694" s="64">
        <f>Ringkasan!Z693</f>
        <v>4033700</v>
      </c>
      <c r="AA694" s="64" t="str">
        <f>Ringkasan!AA693</f>
        <v>Specialty Retail</v>
      </c>
      <c r="AB694" s="64" t="str">
        <f>Ringkasan!AB693</f>
        <v>Consumer Cyclicals</v>
      </c>
    </row>
    <row r="695" hidden="1">
      <c r="A695" s="64" t="str">
        <f>Ringkasan!A694</f>
        <v>ERTX</v>
      </c>
      <c r="B695" s="64" t="str">
        <f>Ringkasan!B694</f>
        <v>Eratex Djaja Tbk.</v>
      </c>
      <c r="C695" s="65">
        <f>Ringkasan!C694</f>
        <v>135</v>
      </c>
      <c r="D695" s="64" t="str">
        <f>Ringkasan!D694</f>
        <v>#N/A</v>
      </c>
      <c r="E695" s="64" t="str">
        <f>Ringkasan!E694</f>
        <v/>
      </c>
      <c r="F695" s="64" t="str">
        <f>Ringkasan!F694</f>
        <v/>
      </c>
      <c r="G695" s="64">
        <f>Ringkasan!G694</f>
        <v>0</v>
      </c>
      <c r="H695" s="19">
        <f>Ringkasan!H694</f>
        <v>7.1</v>
      </c>
      <c r="I695" s="19">
        <f>Ringkasan!I694</f>
        <v>0.41</v>
      </c>
      <c r="J695" s="19">
        <f>Ringkasan!J694</f>
        <v>5.8</v>
      </c>
      <c r="K695" s="19">
        <f>Ringkasan!K694</f>
        <v>2.2</v>
      </c>
      <c r="L695" s="19">
        <f>Ringkasan!L694</f>
        <v>1.6</v>
      </c>
      <c r="M695" s="19">
        <f>Ringkasan!M694</f>
        <v>6</v>
      </c>
      <c r="N695" s="64" t="str">
        <f>Ringkasan!N694</f>
        <v/>
      </c>
      <c r="O695" s="64" t="str">
        <f>Ringkasan!O694</f>
        <v/>
      </c>
      <c r="P695" s="64" t="str">
        <f>Ringkasan!P694</f>
        <v/>
      </c>
      <c r="Q695" s="64" t="str">
        <f>Ringkasan!Q694</f>
        <v/>
      </c>
      <c r="R695" s="64" t="str">
        <f>Ringkasan!R694</f>
        <v/>
      </c>
      <c r="S695" s="64" t="str">
        <f>Ringkasan!S694</f>
        <v/>
      </c>
      <c r="T695" s="64" t="str">
        <f>Ringkasan!T694</f>
        <v/>
      </c>
      <c r="U695" s="64">
        <f>Ringkasan!U694</f>
        <v>137</v>
      </c>
      <c r="V695" s="64">
        <f>Ringkasan!V694</f>
        <v>-1.46</v>
      </c>
      <c r="W695" s="64">
        <f>Ringkasan!W694</f>
        <v>149</v>
      </c>
      <c r="X695" s="64">
        <f>Ringkasan!X694</f>
        <v>149</v>
      </c>
      <c r="Y695" s="64">
        <f>Ringkasan!Y694</f>
        <v>129</v>
      </c>
      <c r="Z695" s="64">
        <f>Ringkasan!Z694</f>
        <v>3016900</v>
      </c>
      <c r="AA695" s="64" t="str">
        <f>Ringkasan!AA694</f>
        <v>Apparel &amp; Luxury Goods</v>
      </c>
      <c r="AB695" s="64" t="str">
        <f>Ringkasan!AB694</f>
        <v>Consumer Cyclicals</v>
      </c>
    </row>
    <row r="696" hidden="1">
      <c r="A696" s="64" t="str">
        <f>Ringkasan!A695</f>
        <v>ESIP</v>
      </c>
      <c r="B696" s="64" t="str">
        <f>Ringkasan!B695</f>
        <v>Sinergi Inti Plastindo Tbk.</v>
      </c>
      <c r="C696" s="65">
        <f>Ringkasan!C695</f>
        <v>113</v>
      </c>
      <c r="D696" s="64" t="str">
        <f>Ringkasan!D695</f>
        <v>#N/A</v>
      </c>
      <c r="E696" s="64" t="str">
        <f>Ringkasan!E695</f>
        <v/>
      </c>
      <c r="F696" s="64" t="str">
        <f>Ringkasan!F695</f>
        <v/>
      </c>
      <c r="G696" s="64">
        <f>Ringkasan!G695</f>
        <v>0</v>
      </c>
      <c r="H696" s="19">
        <f>Ringkasan!H695</f>
        <v>54.4</v>
      </c>
      <c r="I696" s="19">
        <f>Ringkasan!I695</f>
        <v>1.5</v>
      </c>
      <c r="J696" s="19">
        <f>Ringkasan!J695</f>
        <v>2.7</v>
      </c>
      <c r="K696" s="19">
        <f>Ringkasan!K695</f>
        <v>2.6</v>
      </c>
      <c r="L696" s="19">
        <f>Ringkasan!L695</f>
        <v>0.03</v>
      </c>
      <c r="M696" s="19">
        <f>Ringkasan!M695</f>
        <v>18</v>
      </c>
      <c r="N696" s="64" t="str">
        <f>Ringkasan!N695</f>
        <v/>
      </c>
      <c r="O696" s="64" t="str">
        <f>Ringkasan!O695</f>
        <v/>
      </c>
      <c r="P696" s="64" t="str">
        <f>Ringkasan!P695</f>
        <v/>
      </c>
      <c r="Q696" s="64" t="str">
        <f>Ringkasan!Q695</f>
        <v/>
      </c>
      <c r="R696" s="64" t="str">
        <f>Ringkasan!R695</f>
        <v/>
      </c>
      <c r="S696" s="64" t="str">
        <f>Ringkasan!S695</f>
        <v/>
      </c>
      <c r="T696" s="64" t="str">
        <f>Ringkasan!T695</f>
        <v/>
      </c>
      <c r="U696" s="64">
        <f>Ringkasan!U695</f>
        <v>110</v>
      </c>
      <c r="V696" s="64">
        <f>Ringkasan!V695</f>
        <v>2.73</v>
      </c>
      <c r="W696" s="64">
        <f>Ringkasan!W695</f>
        <v>110</v>
      </c>
      <c r="X696" s="64">
        <f>Ringkasan!X695</f>
        <v>120</v>
      </c>
      <c r="Y696" s="64">
        <f>Ringkasan!Y695</f>
        <v>106</v>
      </c>
      <c r="Z696" s="64">
        <f>Ringkasan!Z695</f>
        <v>110178900</v>
      </c>
      <c r="AA696" s="64" t="str">
        <f>Ringkasan!AA695</f>
        <v>Containers &amp; Packaging</v>
      </c>
      <c r="AB696" s="64" t="str">
        <f>Ringkasan!AB695</f>
        <v>Basic Materials</v>
      </c>
    </row>
    <row r="697" hidden="1">
      <c r="A697" s="64" t="str">
        <f>Ringkasan!A696</f>
        <v>ESSA</v>
      </c>
      <c r="B697" s="64" t="str">
        <f>Ringkasan!B696</f>
        <v>ESSA Industries Indonesia Tbk.</v>
      </c>
      <c r="C697" s="65">
        <f>Ringkasan!C696</f>
        <v>600</v>
      </c>
      <c r="D697" s="64" t="str">
        <f>Ringkasan!D696</f>
        <v>#N/A</v>
      </c>
      <c r="E697" s="64" t="str">
        <f>Ringkasan!E696</f>
        <v>IDXSHAGROW</v>
      </c>
      <c r="F697" s="66">
        <f>Ringkasan!F696</f>
        <v>46356</v>
      </c>
      <c r="G697" s="64">
        <f>Ringkasan!G696</f>
        <v>10</v>
      </c>
      <c r="H697" s="19">
        <f>Ringkasan!H696</f>
        <v>13.4</v>
      </c>
      <c r="I697" s="19">
        <f>Ringkasan!I696</f>
        <v>1.1</v>
      </c>
      <c r="J697" s="19">
        <f>Ringkasan!J696</f>
        <v>8.3</v>
      </c>
      <c r="K697" s="19">
        <f>Ringkasan!K696</f>
        <v>7.4</v>
      </c>
      <c r="L697" s="19">
        <f>Ringkasan!L696</f>
        <v>0.12</v>
      </c>
      <c r="M697" s="19">
        <f>Ringkasan!M696</f>
        <v>53.2</v>
      </c>
      <c r="N697" s="64" t="str">
        <f>Ringkasan!N696</f>
        <v/>
      </c>
      <c r="O697" s="64" t="str">
        <f>Ringkasan!O696</f>
        <v/>
      </c>
      <c r="P697" s="64" t="str">
        <f>Ringkasan!P696</f>
        <v/>
      </c>
      <c r="Q697" s="64" t="str">
        <f>Ringkasan!Q696</f>
        <v/>
      </c>
      <c r="R697" s="64" t="str">
        <f>Ringkasan!R696</f>
        <v/>
      </c>
      <c r="S697" s="64" t="str">
        <f>Ringkasan!S696</f>
        <v/>
      </c>
      <c r="T697" s="64" t="str">
        <f>Ringkasan!T696</f>
        <v/>
      </c>
      <c r="U697" s="64">
        <f>Ringkasan!U696</f>
        <v>605</v>
      </c>
      <c r="V697" s="64">
        <f>Ringkasan!V696</f>
        <v>-0.83</v>
      </c>
      <c r="W697" s="64">
        <f>Ringkasan!W696</f>
        <v>605</v>
      </c>
      <c r="X697" s="64">
        <f>Ringkasan!X696</f>
        <v>625</v>
      </c>
      <c r="Y697" s="64">
        <f>Ringkasan!Y696</f>
        <v>585</v>
      </c>
      <c r="Z697" s="64" t="str">
        <f>Ringkasan!Z696</f>
        <v/>
      </c>
      <c r="AA697" s="64" t="str">
        <f>Ringkasan!AA696</f>
        <v>Chemicals</v>
      </c>
      <c r="AB697" s="64" t="str">
        <f>Ringkasan!AB696</f>
        <v>Basic Materials</v>
      </c>
    </row>
    <row r="698" hidden="1">
      <c r="A698" s="64" t="str">
        <f>Ringkasan!A697</f>
        <v>ESSA</v>
      </c>
      <c r="B698" s="64" t="str">
        <f>Ringkasan!B697</f>
        <v>ESSA Industries Indonesia Tbk.</v>
      </c>
      <c r="C698" s="65">
        <f>Ringkasan!C697</f>
        <v>600</v>
      </c>
      <c r="D698" s="64" t="str">
        <f>Ringkasan!D697</f>
        <v>#N/A</v>
      </c>
      <c r="E698" s="64" t="str">
        <f>Ringkasan!E697</f>
        <v>LQ45</v>
      </c>
      <c r="F698" s="64" t="str">
        <f>Ringkasan!F697</f>
        <v>31 Juli 2026</v>
      </c>
      <c r="G698" s="64">
        <f>Ringkasan!G697</f>
        <v>10</v>
      </c>
      <c r="H698" s="19">
        <f>Ringkasan!H697</f>
        <v>13.4</v>
      </c>
      <c r="I698" s="19">
        <f>Ringkasan!I697</f>
        <v>1.1</v>
      </c>
      <c r="J698" s="19">
        <f>Ringkasan!J697</f>
        <v>8.3</v>
      </c>
      <c r="K698" s="19">
        <f>Ringkasan!K697</f>
        <v>7.4</v>
      </c>
      <c r="L698" s="19">
        <f>Ringkasan!L697</f>
        <v>0.12</v>
      </c>
      <c r="M698" s="19">
        <f>Ringkasan!M697</f>
        <v>53.2</v>
      </c>
      <c r="N698" s="64" t="str">
        <f>Ringkasan!N697</f>
        <v/>
      </c>
      <c r="O698" s="64" t="str">
        <f>Ringkasan!O697</f>
        <v/>
      </c>
      <c r="P698" s="64" t="str">
        <f>Ringkasan!P697</f>
        <v/>
      </c>
      <c r="Q698" s="64" t="str">
        <f>Ringkasan!Q697</f>
        <v/>
      </c>
      <c r="R698" s="64" t="str">
        <f>Ringkasan!R697</f>
        <v/>
      </c>
      <c r="S698" s="64" t="str">
        <f>Ringkasan!S697</f>
        <v/>
      </c>
      <c r="T698" s="64" t="str">
        <f>Ringkasan!T697</f>
        <v/>
      </c>
      <c r="U698" s="64">
        <f>Ringkasan!U697</f>
        <v>605</v>
      </c>
      <c r="V698" s="64">
        <f>Ringkasan!V697</f>
        <v>-0.83</v>
      </c>
      <c r="W698" s="64">
        <f>Ringkasan!W697</f>
        <v>605</v>
      </c>
      <c r="X698" s="64">
        <f>Ringkasan!X697</f>
        <v>625</v>
      </c>
      <c r="Y698" s="64">
        <f>Ringkasan!Y697</f>
        <v>585</v>
      </c>
      <c r="Z698" s="64" t="str">
        <f>Ringkasan!Z697</f>
        <v/>
      </c>
      <c r="AA698" s="64" t="str">
        <f>Ringkasan!AA697</f>
        <v>Chemicals</v>
      </c>
      <c r="AB698" s="64" t="str">
        <f>Ringkasan!AB697</f>
        <v>Basic Materials</v>
      </c>
    </row>
    <row r="699" hidden="1">
      <c r="A699" s="64" t="str">
        <f>Ringkasan!A725</f>
        <v>FIMP</v>
      </c>
      <c r="B699" s="64" t="str">
        <f>Ringkasan!B725</f>
        <v>Fimperkasa Utama Tbk.</v>
      </c>
      <c r="C699" s="65">
        <f>Ringkasan!C725</f>
        <v>69</v>
      </c>
      <c r="D699" s="64" t="str">
        <f>Ringkasan!D725</f>
        <v>#N/A</v>
      </c>
      <c r="E699" s="64" t="str">
        <f>Ringkasan!E725</f>
        <v/>
      </c>
      <c r="F699" s="64" t="str">
        <f>Ringkasan!F725</f>
        <v/>
      </c>
      <c r="G699" s="64">
        <f>Ringkasan!G725</f>
        <v>0</v>
      </c>
      <c r="H699" s="19">
        <f>Ringkasan!H725</f>
        <v>-2.8</v>
      </c>
      <c r="I699" s="19">
        <f>Ringkasan!I725</f>
        <v>1.3</v>
      </c>
      <c r="J699" s="19">
        <f>Ringkasan!J725</f>
        <v>-46.2</v>
      </c>
      <c r="K699" s="19">
        <f>Ringkasan!K725</f>
        <v>-36.8</v>
      </c>
      <c r="L699" s="19">
        <f>Ringkasan!L725</f>
        <v>0.25</v>
      </c>
      <c r="M699" s="19">
        <f>Ringkasan!M725</f>
        <v>-250</v>
      </c>
      <c r="N699" s="64" t="str">
        <f>Ringkasan!N725</f>
        <v/>
      </c>
      <c r="O699" s="64" t="str">
        <f>Ringkasan!O725</f>
        <v/>
      </c>
      <c r="P699" s="64" t="str">
        <f>Ringkasan!P725</f>
        <v/>
      </c>
      <c r="Q699" s="64" t="str">
        <f>Ringkasan!Q725</f>
        <v/>
      </c>
      <c r="R699" s="64" t="str">
        <f>Ringkasan!R725</f>
        <v/>
      </c>
      <c r="S699" s="64" t="str">
        <f>Ringkasan!S725</f>
        <v/>
      </c>
      <c r="T699" s="64" t="str">
        <f>Ringkasan!T725</f>
        <v/>
      </c>
      <c r="U699" s="64">
        <f>Ringkasan!U725</f>
        <v>69</v>
      </c>
      <c r="V699" s="64">
        <f>Ringkasan!V725</f>
        <v>0</v>
      </c>
      <c r="W699" s="64" t="str">
        <f>Ringkasan!W725</f>
        <v/>
      </c>
      <c r="X699" s="64" t="str">
        <f>Ringkasan!X725</f>
        <v/>
      </c>
      <c r="Y699" s="64" t="str">
        <f>Ringkasan!Y725</f>
        <v/>
      </c>
      <c r="Z699" s="64">
        <f>Ringkasan!Z725</f>
        <v>0</v>
      </c>
      <c r="AA699" s="64" t="str">
        <f>Ringkasan!AA725</f>
        <v>Heavy Constructions &amp; Civil Engineering</v>
      </c>
      <c r="AB699" s="64" t="str">
        <f>Ringkasan!AB725</f>
        <v>Infrastructures</v>
      </c>
    </row>
    <row r="700" hidden="1">
      <c r="A700" s="64" t="str">
        <f>Ringkasan!A699</f>
        <v>ESSA</v>
      </c>
      <c r="B700" s="64" t="str">
        <f>Ringkasan!B699</f>
        <v>ESSA Industries Indonesia Tbk.</v>
      </c>
      <c r="C700" s="65">
        <f>Ringkasan!C699</f>
        <v>600</v>
      </c>
      <c r="D700" s="64" t="str">
        <f>Ringkasan!D699</f>
        <v>#N/A</v>
      </c>
      <c r="E700" s="64" t="str">
        <f>Ringkasan!E699</f>
        <v>ECONOMIC30</v>
      </c>
      <c r="F700" s="64" t="str">
        <f>Ringkasan!F699</f>
        <v>31 Agustus 2026</v>
      </c>
      <c r="G700" s="64">
        <f>Ringkasan!G699</f>
        <v>10</v>
      </c>
      <c r="H700" s="19">
        <f>Ringkasan!H699</f>
        <v>13.4</v>
      </c>
      <c r="I700" s="19">
        <f>Ringkasan!I699</f>
        <v>1.1</v>
      </c>
      <c r="J700" s="19">
        <f>Ringkasan!J699</f>
        <v>8.3</v>
      </c>
      <c r="K700" s="19">
        <f>Ringkasan!K699</f>
        <v>7.4</v>
      </c>
      <c r="L700" s="19">
        <f>Ringkasan!L699</f>
        <v>0.12</v>
      </c>
      <c r="M700" s="19">
        <f>Ringkasan!M699</f>
        <v>53.2</v>
      </c>
      <c r="N700" s="64" t="str">
        <f>Ringkasan!N699</f>
        <v/>
      </c>
      <c r="O700" s="64" t="str">
        <f>Ringkasan!O699</f>
        <v/>
      </c>
      <c r="P700" s="64" t="str">
        <f>Ringkasan!P699</f>
        <v/>
      </c>
      <c r="Q700" s="64" t="str">
        <f>Ringkasan!Q699</f>
        <v/>
      </c>
      <c r="R700" s="64" t="str">
        <f>Ringkasan!R699</f>
        <v/>
      </c>
      <c r="S700" s="64" t="str">
        <f>Ringkasan!S699</f>
        <v/>
      </c>
      <c r="T700" s="64" t="str">
        <f>Ringkasan!T699</f>
        <v/>
      </c>
      <c r="U700" s="64">
        <f>Ringkasan!U699</f>
        <v>605</v>
      </c>
      <c r="V700" s="64">
        <f>Ringkasan!V699</f>
        <v>-0.83</v>
      </c>
      <c r="W700" s="64">
        <f>Ringkasan!W699</f>
        <v>605</v>
      </c>
      <c r="X700" s="64">
        <f>Ringkasan!X699</f>
        <v>625</v>
      </c>
      <c r="Y700" s="64">
        <f>Ringkasan!Y699</f>
        <v>585</v>
      </c>
      <c r="Z700" s="64" t="str">
        <f>Ringkasan!Z699</f>
        <v/>
      </c>
      <c r="AA700" s="64" t="str">
        <f>Ringkasan!AA699</f>
        <v>Chemicals</v>
      </c>
      <c r="AB700" s="64" t="str">
        <f>Ringkasan!AB699</f>
        <v>Basic Materials</v>
      </c>
    </row>
    <row r="701" hidden="1">
      <c r="A701" s="64" t="str">
        <f>Ringkasan!A816</f>
        <v>HRTA</v>
      </c>
      <c r="B701" s="64" t="str">
        <f>Ringkasan!B816</f>
        <v>Hartadinata Abadi Tbk.</v>
      </c>
      <c r="C701" s="65">
        <f>Ringkasan!C816</f>
        <v>1950</v>
      </c>
      <c r="D701" s="64" t="str">
        <f>Ringkasan!D816</f>
        <v>#N/A</v>
      </c>
      <c r="E701" s="64" t="str">
        <f>Ringkasan!E816</f>
        <v>IDXSMC-LIQ</v>
      </c>
      <c r="F701" s="64" t="str">
        <f>Ringkasan!F816</f>
        <v>4 Agustus 2026</v>
      </c>
      <c r="G701" s="64">
        <f>Ringkasan!G816</f>
        <v>8</v>
      </c>
      <c r="H701" s="19">
        <f>Ringkasan!H816</f>
        <v>9.1</v>
      </c>
      <c r="I701" s="19">
        <f>Ringkasan!I816</f>
        <v>3.1</v>
      </c>
      <c r="J701" s="19">
        <f>Ringkasan!J816</f>
        <v>34.5</v>
      </c>
      <c r="K701" s="19">
        <f>Ringkasan!K816</f>
        <v>9.2</v>
      </c>
      <c r="L701" s="19">
        <f>Ringkasan!L816</f>
        <v>2.8</v>
      </c>
      <c r="M701" s="19">
        <f>Ringkasan!M816</f>
        <v>6.3</v>
      </c>
      <c r="N701" s="64" t="str">
        <f>Ringkasan!N816</f>
        <v/>
      </c>
      <c r="O701" s="64" t="str">
        <f>Ringkasan!O816</f>
        <v/>
      </c>
      <c r="P701" s="64" t="str">
        <f>Ringkasan!P816</f>
        <v/>
      </c>
      <c r="Q701" s="64" t="str">
        <f>Ringkasan!Q816</f>
        <v/>
      </c>
      <c r="R701" s="64" t="str">
        <f>Ringkasan!R816</f>
        <v/>
      </c>
      <c r="S701" s="64" t="str">
        <f>Ringkasan!S816</f>
        <v/>
      </c>
      <c r="T701" s="64" t="str">
        <f>Ringkasan!T816</f>
        <v/>
      </c>
      <c r="U701" s="64">
        <f>Ringkasan!U816</f>
        <v>1750</v>
      </c>
      <c r="V701" s="64">
        <f>Ringkasan!V816</f>
        <v>11.43</v>
      </c>
      <c r="W701" s="64">
        <f>Ringkasan!W816</f>
        <v>1885</v>
      </c>
      <c r="X701" s="64">
        <f>Ringkasan!X816</f>
        <v>1960</v>
      </c>
      <c r="Y701" s="64" t="str">
        <f>Ringkasan!Y816</f>
        <v/>
      </c>
      <c r="Z701" s="64">
        <f>Ringkasan!Z816</f>
        <v>26981900</v>
      </c>
      <c r="AA701" s="64" t="str">
        <f>Ringkasan!AA816</f>
        <v>Apparel &amp; Luxury Goods</v>
      </c>
      <c r="AB701" s="64" t="str">
        <f>Ringkasan!AB816</f>
        <v>Consumer Cyclicals</v>
      </c>
    </row>
    <row r="702" hidden="1">
      <c r="A702" s="64" t="str">
        <f>Ringkasan!A701</f>
        <v>ESSA</v>
      </c>
      <c r="B702" s="64" t="str">
        <f>Ringkasan!B701</f>
        <v>ESSA Industries Indonesia Tbk.</v>
      </c>
      <c r="C702" s="65">
        <f>Ringkasan!C701</f>
        <v>600</v>
      </c>
      <c r="D702" s="64" t="str">
        <f>Ringkasan!D701</f>
        <v>#N/A</v>
      </c>
      <c r="E702" s="64" t="str">
        <f>Ringkasan!E701</f>
        <v>Kompas100</v>
      </c>
      <c r="F702" s="64" t="str">
        <f>Ringkasan!F701</f>
        <v>31 Juli 2026</v>
      </c>
      <c r="G702" s="64">
        <f>Ringkasan!G701</f>
        <v>10</v>
      </c>
      <c r="H702" s="19">
        <f>Ringkasan!H701</f>
        <v>13.4</v>
      </c>
      <c r="I702" s="19">
        <f>Ringkasan!I701</f>
        <v>1.1</v>
      </c>
      <c r="J702" s="19">
        <f>Ringkasan!J701</f>
        <v>8.3</v>
      </c>
      <c r="K702" s="19">
        <f>Ringkasan!K701</f>
        <v>7.4</v>
      </c>
      <c r="L702" s="19">
        <f>Ringkasan!L701</f>
        <v>0.12</v>
      </c>
      <c r="M702" s="19">
        <f>Ringkasan!M701</f>
        <v>53.2</v>
      </c>
      <c r="N702" s="64" t="str">
        <f>Ringkasan!N701</f>
        <v/>
      </c>
      <c r="O702" s="64" t="str">
        <f>Ringkasan!O701</f>
        <v/>
      </c>
      <c r="P702" s="64" t="str">
        <f>Ringkasan!P701</f>
        <v/>
      </c>
      <c r="Q702" s="64" t="str">
        <f>Ringkasan!Q701</f>
        <v/>
      </c>
      <c r="R702" s="64" t="str">
        <f>Ringkasan!R701</f>
        <v/>
      </c>
      <c r="S702" s="64" t="str">
        <f>Ringkasan!S701</f>
        <v/>
      </c>
      <c r="T702" s="64" t="str">
        <f>Ringkasan!T701</f>
        <v/>
      </c>
      <c r="U702" s="64">
        <f>Ringkasan!U701</f>
        <v>605</v>
      </c>
      <c r="V702" s="64">
        <f>Ringkasan!V701</f>
        <v>-0.83</v>
      </c>
      <c r="W702" s="64">
        <f>Ringkasan!W701</f>
        <v>605</v>
      </c>
      <c r="X702" s="64">
        <f>Ringkasan!X701</f>
        <v>625</v>
      </c>
      <c r="Y702" s="64">
        <f>Ringkasan!Y701</f>
        <v>585</v>
      </c>
      <c r="Z702" s="64" t="str">
        <f>Ringkasan!Z701</f>
        <v/>
      </c>
      <c r="AA702" s="64" t="str">
        <f>Ringkasan!AA701</f>
        <v>Chemicals</v>
      </c>
      <c r="AB702" s="64" t="str">
        <f>Ringkasan!AB701</f>
        <v>Basic Materials</v>
      </c>
    </row>
    <row r="703" hidden="1">
      <c r="A703" s="64" t="str">
        <f>Ringkasan!A973</f>
        <v>ITMG</v>
      </c>
      <c r="B703" s="64" t="str">
        <f>Ringkasan!B973</f>
        <v>Indo Tambangraya Megah Tbk.</v>
      </c>
      <c r="C703" s="65">
        <f>Ringkasan!C973</f>
        <v>23475</v>
      </c>
      <c r="D703" s="64" t="str">
        <f>Ringkasan!D973</f>
        <v>#N/A</v>
      </c>
      <c r="E703" s="64" t="str">
        <f>Ringkasan!E973</f>
        <v>IDXVESTA28</v>
      </c>
      <c r="F703" s="64" t="str">
        <f>Ringkasan!F973</f>
        <v>31 Agustus 2026</v>
      </c>
      <c r="G703" s="64">
        <f>Ringkasan!G973</f>
        <v>12</v>
      </c>
      <c r="H703" s="19">
        <f>Ringkasan!H973</f>
        <v>8.2</v>
      </c>
      <c r="I703" s="19">
        <f>Ringkasan!I973</f>
        <v>0.76</v>
      </c>
      <c r="J703" s="19">
        <f>Ringkasan!J973</f>
        <v>9.3</v>
      </c>
      <c r="K703" s="19">
        <f>Ringkasan!K973</f>
        <v>7.5</v>
      </c>
      <c r="L703" s="19">
        <f>Ringkasan!L973</f>
        <v>0.25</v>
      </c>
      <c r="M703" s="19">
        <f>Ringkasan!M973</f>
        <v>36.2</v>
      </c>
      <c r="N703" s="64" t="str">
        <f>Ringkasan!N973</f>
        <v/>
      </c>
      <c r="O703" s="64" t="str">
        <f>Ringkasan!O973</f>
        <v/>
      </c>
      <c r="P703" s="64" t="str">
        <f>Ringkasan!P973</f>
        <v/>
      </c>
      <c r="Q703" s="64" t="str">
        <f>Ringkasan!Q973</f>
        <v/>
      </c>
      <c r="R703" s="64" t="str">
        <f>Ringkasan!R973</f>
        <v/>
      </c>
      <c r="S703" s="64" t="str">
        <f>Ringkasan!S973</f>
        <v/>
      </c>
      <c r="T703" s="64" t="str">
        <f>Ringkasan!T973</f>
        <v/>
      </c>
      <c r="U703" s="64">
        <f>Ringkasan!U973</f>
        <v>22350</v>
      </c>
      <c r="V703" s="64">
        <f>Ringkasan!V973</f>
        <v>5.03</v>
      </c>
      <c r="W703" s="64">
        <f>Ringkasan!W973</f>
        <v>22375</v>
      </c>
      <c r="X703" s="64">
        <f>Ringkasan!X973</f>
        <v>23775</v>
      </c>
      <c r="Y703" s="64">
        <f>Ringkasan!Y973</f>
        <v>22375</v>
      </c>
      <c r="Z703" s="64">
        <f>Ringkasan!Z973</f>
        <v>2791300</v>
      </c>
      <c r="AA703" s="64" t="str">
        <f>Ringkasan!AA973</f>
        <v>Coal</v>
      </c>
      <c r="AB703" s="64" t="str">
        <f>Ringkasan!AB973</f>
        <v>Energy</v>
      </c>
    </row>
    <row r="704" hidden="1">
      <c r="A704" s="64" t="str">
        <f>Ringkasan!A703</f>
        <v>ESSA</v>
      </c>
      <c r="B704" s="64" t="str">
        <f>Ringkasan!B703</f>
        <v>ESSA Industries Indonesia Tbk.</v>
      </c>
      <c r="C704" s="65">
        <f>Ringkasan!C703</f>
        <v>600</v>
      </c>
      <c r="D704" s="64" t="str">
        <f>Ringkasan!D703</f>
        <v>#N/A</v>
      </c>
      <c r="E704" s="64" t="str">
        <f>Ringkasan!E703</f>
        <v>IDXSMC-LIQ</v>
      </c>
      <c r="F704" s="64" t="str">
        <f>Ringkasan!F703</f>
        <v>4 Agustus 2026</v>
      </c>
      <c r="G704" s="64">
        <f>Ringkasan!G703</f>
        <v>10</v>
      </c>
      <c r="H704" s="19">
        <f>Ringkasan!H703</f>
        <v>13.4</v>
      </c>
      <c r="I704" s="19">
        <f>Ringkasan!I703</f>
        <v>1.1</v>
      </c>
      <c r="J704" s="19">
        <f>Ringkasan!J703</f>
        <v>8.3</v>
      </c>
      <c r="K704" s="19">
        <f>Ringkasan!K703</f>
        <v>7.4</v>
      </c>
      <c r="L704" s="19">
        <f>Ringkasan!L703</f>
        <v>0.12</v>
      </c>
      <c r="M704" s="19">
        <f>Ringkasan!M703</f>
        <v>53.2</v>
      </c>
      <c r="N704" s="64" t="str">
        <f>Ringkasan!N703</f>
        <v/>
      </c>
      <c r="O704" s="64" t="str">
        <f>Ringkasan!O703</f>
        <v/>
      </c>
      <c r="P704" s="64" t="str">
        <f>Ringkasan!P703</f>
        <v/>
      </c>
      <c r="Q704" s="64" t="str">
        <f>Ringkasan!Q703</f>
        <v/>
      </c>
      <c r="R704" s="64" t="str">
        <f>Ringkasan!R703</f>
        <v/>
      </c>
      <c r="S704" s="64" t="str">
        <f>Ringkasan!S703</f>
        <v/>
      </c>
      <c r="T704" s="64" t="str">
        <f>Ringkasan!T703</f>
        <v/>
      </c>
      <c r="U704" s="64">
        <f>Ringkasan!U703</f>
        <v>605</v>
      </c>
      <c r="V704" s="64">
        <f>Ringkasan!V703</f>
        <v>-0.83</v>
      </c>
      <c r="W704" s="64">
        <f>Ringkasan!W703</f>
        <v>605</v>
      </c>
      <c r="X704" s="64">
        <f>Ringkasan!X703</f>
        <v>625</v>
      </c>
      <c r="Y704" s="64">
        <f>Ringkasan!Y703</f>
        <v>585</v>
      </c>
      <c r="Z704" s="64" t="str">
        <f>Ringkasan!Z703</f>
        <v/>
      </c>
      <c r="AA704" s="64" t="str">
        <f>Ringkasan!AA703</f>
        <v>Chemicals</v>
      </c>
      <c r="AB704" s="64" t="str">
        <f>Ringkasan!AB703</f>
        <v>Basic Materials</v>
      </c>
    </row>
    <row r="705" hidden="1">
      <c r="A705" s="64" t="str">
        <f>Ringkasan!A704</f>
        <v>ESSA</v>
      </c>
      <c r="B705" s="64" t="str">
        <f>Ringkasan!B704</f>
        <v>ESSA Industries Indonesia Tbk.</v>
      </c>
      <c r="C705" s="65">
        <f>Ringkasan!C704</f>
        <v>600</v>
      </c>
      <c r="D705" s="64" t="str">
        <f>Ringkasan!D704</f>
        <v>#N/A</v>
      </c>
      <c r="E705" s="64" t="str">
        <f>Ringkasan!E704</f>
        <v>MSCI Small Cap</v>
      </c>
      <c r="F705" s="64" t="str">
        <f>Ringkasan!F704</f>
        <v>12 Agustus 2026</v>
      </c>
      <c r="G705" s="64">
        <f>Ringkasan!G704</f>
        <v>10</v>
      </c>
      <c r="H705" s="19">
        <f>Ringkasan!H704</f>
        <v>13.4</v>
      </c>
      <c r="I705" s="19">
        <f>Ringkasan!I704</f>
        <v>1.1</v>
      </c>
      <c r="J705" s="19">
        <f>Ringkasan!J704</f>
        <v>8.3</v>
      </c>
      <c r="K705" s="19">
        <f>Ringkasan!K704</f>
        <v>7.4</v>
      </c>
      <c r="L705" s="19">
        <f>Ringkasan!L704</f>
        <v>0.12</v>
      </c>
      <c r="M705" s="19">
        <f>Ringkasan!M704</f>
        <v>53.2</v>
      </c>
      <c r="N705" s="64" t="str">
        <f>Ringkasan!N704</f>
        <v/>
      </c>
      <c r="O705" s="64" t="str">
        <f>Ringkasan!O704</f>
        <v/>
      </c>
      <c r="P705" s="64" t="str">
        <f>Ringkasan!P704</f>
        <v/>
      </c>
      <c r="Q705" s="64" t="str">
        <f>Ringkasan!Q704</f>
        <v/>
      </c>
      <c r="R705" s="64" t="str">
        <f>Ringkasan!R704</f>
        <v/>
      </c>
      <c r="S705" s="64" t="str">
        <f>Ringkasan!S704</f>
        <v/>
      </c>
      <c r="T705" s="64" t="str">
        <f>Ringkasan!T704</f>
        <v/>
      </c>
      <c r="U705" s="64">
        <f>Ringkasan!U704</f>
        <v>605</v>
      </c>
      <c r="V705" s="64">
        <f>Ringkasan!V704</f>
        <v>-0.83</v>
      </c>
      <c r="W705" s="64">
        <f>Ringkasan!W704</f>
        <v>605</v>
      </c>
      <c r="X705" s="64">
        <f>Ringkasan!X704</f>
        <v>625</v>
      </c>
      <c r="Y705" s="64">
        <f>Ringkasan!Y704</f>
        <v>585</v>
      </c>
      <c r="Z705" s="64" t="str">
        <f>Ringkasan!Z704</f>
        <v/>
      </c>
      <c r="AA705" s="64" t="str">
        <f>Ringkasan!AA704</f>
        <v>Chemicals</v>
      </c>
      <c r="AB705" s="64" t="str">
        <f>Ringkasan!AB704</f>
        <v>Basic Materials</v>
      </c>
    </row>
    <row r="706" hidden="1">
      <c r="A706" s="64" t="str">
        <f>Ringkasan!A705</f>
        <v>ESSA</v>
      </c>
      <c r="B706" s="64" t="str">
        <f>Ringkasan!B705</f>
        <v>ESSA Industries Indonesia Tbk.</v>
      </c>
      <c r="C706" s="65">
        <f>Ringkasan!C705</f>
        <v>600</v>
      </c>
      <c r="D706" s="64" t="str">
        <f>Ringkasan!D705</f>
        <v>#N/A</v>
      </c>
      <c r="E706" s="64" t="str">
        <f>Ringkasan!E705</f>
        <v>JII70</v>
      </c>
      <c r="F706" s="66">
        <f>Ringkasan!F705</f>
        <v>46356</v>
      </c>
      <c r="G706" s="64">
        <f>Ringkasan!G705</f>
        <v>10</v>
      </c>
      <c r="H706" s="19">
        <f>Ringkasan!H705</f>
        <v>13.4</v>
      </c>
      <c r="I706" s="19">
        <f>Ringkasan!I705</f>
        <v>1.1</v>
      </c>
      <c r="J706" s="19">
        <f>Ringkasan!J705</f>
        <v>8.3</v>
      </c>
      <c r="K706" s="19">
        <f>Ringkasan!K705</f>
        <v>7.4</v>
      </c>
      <c r="L706" s="19">
        <f>Ringkasan!L705</f>
        <v>0.12</v>
      </c>
      <c r="M706" s="19">
        <f>Ringkasan!M705</f>
        <v>53.2</v>
      </c>
      <c r="N706" s="64" t="str">
        <f>Ringkasan!N705</f>
        <v/>
      </c>
      <c r="O706" s="64" t="str">
        <f>Ringkasan!O705</f>
        <v/>
      </c>
      <c r="P706" s="64" t="str">
        <f>Ringkasan!P705</f>
        <v/>
      </c>
      <c r="Q706" s="64" t="str">
        <f>Ringkasan!Q705</f>
        <v/>
      </c>
      <c r="R706" s="64" t="str">
        <f>Ringkasan!R705</f>
        <v/>
      </c>
      <c r="S706" s="64" t="str">
        <f>Ringkasan!S705</f>
        <v/>
      </c>
      <c r="T706" s="64" t="str">
        <f>Ringkasan!T705</f>
        <v/>
      </c>
      <c r="U706" s="64">
        <f>Ringkasan!U705</f>
        <v>605</v>
      </c>
      <c r="V706" s="64">
        <f>Ringkasan!V705</f>
        <v>-0.83</v>
      </c>
      <c r="W706" s="64">
        <f>Ringkasan!W705</f>
        <v>605</v>
      </c>
      <c r="X706" s="64">
        <f>Ringkasan!X705</f>
        <v>625</v>
      </c>
      <c r="Y706" s="64">
        <f>Ringkasan!Y705</f>
        <v>585</v>
      </c>
      <c r="Z706" s="64" t="str">
        <f>Ringkasan!Z705</f>
        <v/>
      </c>
      <c r="AA706" s="64" t="str">
        <f>Ringkasan!AA705</f>
        <v>Chemicals</v>
      </c>
      <c r="AB706" s="64" t="str">
        <f>Ringkasan!AB705</f>
        <v>Basic Materials</v>
      </c>
    </row>
    <row r="707" hidden="1">
      <c r="A707" s="64" t="str">
        <f>Ringkasan!A706</f>
        <v>ESTA</v>
      </c>
      <c r="B707" s="64" t="str">
        <f>Ringkasan!B706</f>
        <v>Esta Multi Usaha Tbk.</v>
      </c>
      <c r="C707" s="65">
        <f>Ringkasan!C706</f>
        <v>177</v>
      </c>
      <c r="D707" s="64" t="str">
        <f>Ringkasan!D706</f>
        <v>#N/A</v>
      </c>
      <c r="E707" s="64" t="str">
        <f>Ringkasan!E706</f>
        <v/>
      </c>
      <c r="F707" s="64" t="str">
        <f>Ringkasan!F706</f>
        <v/>
      </c>
      <c r="G707" s="64">
        <f>Ringkasan!G706</f>
        <v>0</v>
      </c>
      <c r="H707" s="19">
        <f>Ringkasan!H706</f>
        <v>-65.8</v>
      </c>
      <c r="I707" s="19">
        <f>Ringkasan!I706</f>
        <v>2.8</v>
      </c>
      <c r="J707" s="19">
        <f>Ringkasan!J706</f>
        <v>-4.3</v>
      </c>
      <c r="K707" s="19">
        <f>Ringkasan!K706</f>
        <v>-2.3</v>
      </c>
      <c r="L707" s="19">
        <f>Ringkasan!L706</f>
        <v>0.87</v>
      </c>
      <c r="M707" s="19">
        <f>Ringkasan!M706</f>
        <v>-66.9</v>
      </c>
      <c r="N707" s="64" t="str">
        <f>Ringkasan!N706</f>
        <v/>
      </c>
      <c r="O707" s="64" t="str">
        <f>Ringkasan!O706</f>
        <v/>
      </c>
      <c r="P707" s="64" t="str">
        <f>Ringkasan!P706</f>
        <v/>
      </c>
      <c r="Q707" s="64" t="str">
        <f>Ringkasan!Q706</f>
        <v/>
      </c>
      <c r="R707" s="64" t="str">
        <f>Ringkasan!R706</f>
        <v/>
      </c>
      <c r="S707" s="64" t="str">
        <f>Ringkasan!S706</f>
        <v/>
      </c>
      <c r="T707" s="64" t="str">
        <f>Ringkasan!T706</f>
        <v/>
      </c>
      <c r="U707" s="64">
        <f>Ringkasan!U706</f>
        <v>85.11</v>
      </c>
      <c r="V707" s="64">
        <f>Ringkasan!V706</f>
        <v>-3.49</v>
      </c>
      <c r="W707" s="64">
        <f>Ringkasan!W706</f>
        <v>85</v>
      </c>
      <c r="X707" s="64">
        <f>Ringkasan!X706</f>
        <v>86</v>
      </c>
      <c r="Y707" s="64">
        <f>Ringkasan!Y706</f>
        <v>81</v>
      </c>
      <c r="Z707" s="64">
        <f>Ringkasan!Z706</f>
        <v>468710</v>
      </c>
      <c r="AA707" s="64" t="str">
        <f>Ringkasan!AA706</f>
        <v>Tourism &amp; Recreation</v>
      </c>
      <c r="AB707" s="64" t="str">
        <f>Ringkasan!AB706</f>
        <v>Consumer Cyclicals</v>
      </c>
    </row>
    <row r="708" hidden="1">
      <c r="A708" s="64" t="str">
        <f>Ringkasan!A707</f>
        <v>ESTI</v>
      </c>
      <c r="B708" s="64" t="str">
        <f>Ringkasan!B707</f>
        <v>Ever Shine Textile Industry Tbk</v>
      </c>
      <c r="C708" s="65">
        <f>Ringkasan!C707</f>
        <v>117</v>
      </c>
      <c r="D708" s="64" t="str">
        <f>Ringkasan!D707</f>
        <v>#N/A</v>
      </c>
      <c r="E708" s="64" t="str">
        <f>Ringkasan!E707</f>
        <v/>
      </c>
      <c r="F708" s="64" t="str">
        <f>Ringkasan!F707</f>
        <v/>
      </c>
      <c r="G708" s="64">
        <f>Ringkasan!G707</f>
        <v>0</v>
      </c>
      <c r="H708" s="19">
        <f>Ringkasan!H707</f>
        <v>16.8</v>
      </c>
      <c r="I708" s="19">
        <f>Ringkasan!I707</f>
        <v>1.4</v>
      </c>
      <c r="J708" s="19">
        <f>Ringkasan!J707</f>
        <v>8.4</v>
      </c>
      <c r="K708" s="19">
        <f>Ringkasan!K707</f>
        <v>2.2</v>
      </c>
      <c r="L708" s="19">
        <f>Ringkasan!L707</f>
        <v>2.8</v>
      </c>
      <c r="M708" s="19">
        <f>Ringkasan!M707</f>
        <v>14.9</v>
      </c>
      <c r="N708" s="64" t="str">
        <f>Ringkasan!N707</f>
        <v/>
      </c>
      <c r="O708" s="64" t="str">
        <f>Ringkasan!O707</f>
        <v/>
      </c>
      <c r="P708" s="64" t="str">
        <f>Ringkasan!P707</f>
        <v/>
      </c>
      <c r="Q708" s="64" t="str">
        <f>Ringkasan!Q707</f>
        <v/>
      </c>
      <c r="R708" s="64" t="str">
        <f>Ringkasan!R707</f>
        <v/>
      </c>
      <c r="S708" s="64" t="str">
        <f>Ringkasan!S707</f>
        <v/>
      </c>
      <c r="T708" s="64" t="str">
        <f>Ringkasan!T707</f>
        <v/>
      </c>
      <c r="U708" s="64">
        <f>Ringkasan!U707</f>
        <v>116</v>
      </c>
      <c r="V708" s="64">
        <f>Ringkasan!V707</f>
        <v>0.86</v>
      </c>
      <c r="W708" s="64">
        <f>Ringkasan!W707</f>
        <v>117</v>
      </c>
      <c r="X708" s="64">
        <f>Ringkasan!X707</f>
        <v>125</v>
      </c>
      <c r="Y708" s="64">
        <f>Ringkasan!Y707</f>
        <v>116</v>
      </c>
      <c r="Z708" s="64">
        <f>Ringkasan!Z707</f>
        <v>3949500</v>
      </c>
      <c r="AA708" s="64" t="str">
        <f>Ringkasan!AA707</f>
        <v>Apparel &amp; Luxury Goods</v>
      </c>
      <c r="AB708" s="64" t="str">
        <f>Ringkasan!AB707</f>
        <v>Consumer Cyclicals</v>
      </c>
    </row>
    <row r="709" hidden="1">
      <c r="A709" s="64" t="str">
        <f>Ringkasan!A708</f>
        <v>ETWA</v>
      </c>
      <c r="B709" s="64" t="str">
        <f>Ringkasan!B708</f>
        <v>Eterindo Wahanatama Tbk</v>
      </c>
      <c r="C709" s="65">
        <f>Ringkasan!C708</f>
        <v>70</v>
      </c>
      <c r="D709" s="64" t="str">
        <f>Ringkasan!D708</f>
        <v>#N/A</v>
      </c>
      <c r="E709" s="64" t="str">
        <f>Ringkasan!E708</f>
        <v/>
      </c>
      <c r="F709" s="64" t="str">
        <f>Ringkasan!F708</f>
        <v/>
      </c>
      <c r="G709" s="64">
        <f>Ringkasan!G708</f>
        <v>0</v>
      </c>
      <c r="H709" s="19">
        <f>Ringkasan!H708</f>
        <v>0</v>
      </c>
      <c r="I709" s="19">
        <f>Ringkasan!I708</f>
        <v>-0.76</v>
      </c>
      <c r="J709" s="19">
        <f>Ringkasan!J708</f>
        <v>0</v>
      </c>
      <c r="K709" s="19">
        <f>Ringkasan!K708</f>
        <v>-8.8</v>
      </c>
      <c r="L709" s="19">
        <f>Ringkasan!L708</f>
        <v>-3.1</v>
      </c>
      <c r="M709" s="19">
        <f>Ringkasan!M708</f>
        <v>-1300000</v>
      </c>
      <c r="N709" s="64" t="str">
        <f>Ringkasan!N708</f>
        <v/>
      </c>
      <c r="O709" s="64" t="str">
        <f>Ringkasan!O708</f>
        <v/>
      </c>
      <c r="P709" s="64" t="str">
        <f>Ringkasan!P708</f>
        <v/>
      </c>
      <c r="Q709" s="64" t="str">
        <f>Ringkasan!Q708</f>
        <v/>
      </c>
      <c r="R709" s="64" t="str">
        <f>Ringkasan!R708</f>
        <v/>
      </c>
      <c r="S709" s="64" t="str">
        <f>Ringkasan!S708</f>
        <v/>
      </c>
      <c r="T709" s="64" t="str">
        <f>Ringkasan!T708</f>
        <v/>
      </c>
      <c r="U709" s="64">
        <f>Ringkasan!U708</f>
        <v>70</v>
      </c>
      <c r="V709" s="64">
        <f>Ringkasan!V708</f>
        <v>0</v>
      </c>
      <c r="W709" s="64" t="str">
        <f>Ringkasan!W708</f>
        <v/>
      </c>
      <c r="X709" s="64" t="str">
        <f>Ringkasan!X708</f>
        <v/>
      </c>
      <c r="Y709" s="64" t="str">
        <f>Ringkasan!Y708</f>
        <v/>
      </c>
      <c r="Z709" s="64">
        <f>Ringkasan!Z708</f>
        <v>0</v>
      </c>
      <c r="AA709" s="64" t="str">
        <f>Ringkasan!AA708</f>
        <v>Alternative Fuels</v>
      </c>
      <c r="AB709" s="64" t="str">
        <f>Ringkasan!AB708</f>
        <v>Energy</v>
      </c>
    </row>
    <row r="710" hidden="1">
      <c r="A710" s="64" t="str">
        <f>Ringkasan!A709</f>
        <v>EURO</v>
      </c>
      <c r="B710" s="64" t="str">
        <f>Ringkasan!B709</f>
        <v>Estee Gold Feet Tbk.</v>
      </c>
      <c r="C710" s="65">
        <f>Ringkasan!C709</f>
        <v>1515</v>
      </c>
      <c r="D710" s="64" t="str">
        <f>Ringkasan!D709</f>
        <v>#N/A</v>
      </c>
      <c r="E710" s="64" t="str">
        <f>Ringkasan!E709</f>
        <v/>
      </c>
      <c r="F710" s="64" t="str">
        <f>Ringkasan!F709</f>
        <v/>
      </c>
      <c r="G710" s="64">
        <f>Ringkasan!G709</f>
        <v>0</v>
      </c>
      <c r="H710" s="19">
        <f>Ringkasan!H709</f>
        <v>2040</v>
      </c>
      <c r="I710" s="19">
        <f>Ringkasan!I709</f>
        <v>76.5</v>
      </c>
      <c r="J710" s="19">
        <f>Ringkasan!J709</f>
        <v>3.8</v>
      </c>
      <c r="K710" s="19">
        <f>Ringkasan!K709</f>
        <v>3.4</v>
      </c>
      <c r="L710" s="19">
        <f>Ringkasan!L709</f>
        <v>0.12</v>
      </c>
      <c r="M710" s="19">
        <f>Ringkasan!M709</f>
        <v>8.7</v>
      </c>
      <c r="N710" s="64" t="str">
        <f>Ringkasan!N709</f>
        <v/>
      </c>
      <c r="O710" s="64" t="str">
        <f>Ringkasan!O709</f>
        <v/>
      </c>
      <c r="P710" s="64" t="str">
        <f>Ringkasan!P709</f>
        <v/>
      </c>
      <c r="Q710" s="64" t="str">
        <f>Ringkasan!Q709</f>
        <v/>
      </c>
      <c r="R710" s="64" t="str">
        <f>Ringkasan!R709</f>
        <v/>
      </c>
      <c r="S710" s="64" t="str">
        <f>Ringkasan!S709</f>
        <v/>
      </c>
      <c r="T710" s="64" t="str">
        <f>Ringkasan!T709</f>
        <v/>
      </c>
      <c r="U710" s="64">
        <f>Ringkasan!U709</f>
        <v>26.23</v>
      </c>
      <c r="V710" s="64">
        <f>Ringkasan!V709</f>
        <v>1.43</v>
      </c>
      <c r="W710" s="64" t="str">
        <f>Ringkasan!W709</f>
        <v/>
      </c>
      <c r="X710" s="64" t="str">
        <f>Ringkasan!X709</f>
        <v/>
      </c>
      <c r="Y710" s="64" t="str">
        <f>Ringkasan!Y709</f>
        <v/>
      </c>
      <c r="Z710" s="64">
        <f>Ringkasan!Z709</f>
        <v>0</v>
      </c>
      <c r="AA710" s="64" t="str">
        <f>Ringkasan!AA709</f>
        <v>Personal Care Products</v>
      </c>
      <c r="AB710" s="64" t="str">
        <f>Ringkasan!AB709</f>
        <v>Consumer Non-Cyclicals</v>
      </c>
    </row>
    <row r="711" hidden="1">
      <c r="A711" s="64" t="str">
        <f>Ringkasan!A710</f>
        <v>EXCL</v>
      </c>
      <c r="B711" s="64" t="str">
        <f>Ringkasan!B710</f>
        <v>XLSMART Telecom Sejahtera Tbk.</v>
      </c>
      <c r="C711" s="65">
        <f>Ringkasan!C710</f>
        <v>2570</v>
      </c>
      <c r="D711" s="64" t="str">
        <f>Ringkasan!D710</f>
        <v>#N/A</v>
      </c>
      <c r="E711" s="64" t="str">
        <f>Ringkasan!E710</f>
        <v>IDXVESTA28</v>
      </c>
      <c r="F711" s="64" t="str">
        <f>Ringkasan!F710</f>
        <v>31 Agustus 2026</v>
      </c>
      <c r="G711" s="64">
        <f>Ringkasan!G710</f>
        <v>9</v>
      </c>
      <c r="H711" s="19">
        <f>Ringkasan!H710</f>
        <v>-9.3</v>
      </c>
      <c r="I711" s="19">
        <f>Ringkasan!I710</f>
        <v>1.8</v>
      </c>
      <c r="J711" s="19">
        <f>Ringkasan!J710</f>
        <v>-18.9</v>
      </c>
      <c r="K711" s="19">
        <f>Ringkasan!K710</f>
        <v>-4.9</v>
      </c>
      <c r="L711" s="19">
        <f>Ringkasan!L710</f>
        <v>2.8</v>
      </c>
      <c r="M711" s="19">
        <f>Ringkasan!M710</f>
        <v>-46.8</v>
      </c>
      <c r="N711" s="64" t="str">
        <f>Ringkasan!N710</f>
        <v/>
      </c>
      <c r="O711" s="64" t="str">
        <f>Ringkasan!O710</f>
        <v/>
      </c>
      <c r="P711" s="64" t="str">
        <f>Ringkasan!P710</f>
        <v/>
      </c>
      <c r="Q711" s="64" t="str">
        <f>Ringkasan!Q710</f>
        <v/>
      </c>
      <c r="R711" s="64" t="str">
        <f>Ringkasan!R710</f>
        <v/>
      </c>
      <c r="S711" s="64" t="str">
        <f>Ringkasan!S710</f>
        <v/>
      </c>
      <c r="T711" s="64" t="str">
        <f>Ringkasan!T710</f>
        <v/>
      </c>
      <c r="U711" s="64">
        <f>Ringkasan!U710</f>
        <v>0</v>
      </c>
      <c r="V711" s="64">
        <f>Ringkasan!V710</f>
        <v>0</v>
      </c>
      <c r="W711" s="64" t="str">
        <f>Ringkasan!W710</f>
        <v/>
      </c>
      <c r="X711" s="64" t="str">
        <f>Ringkasan!X710</f>
        <v/>
      </c>
      <c r="Y711" s="64" t="str">
        <f>Ringkasan!Y710</f>
        <v/>
      </c>
      <c r="Z711" s="64">
        <f>Ringkasan!Z710</f>
        <v>0</v>
      </c>
      <c r="AA711" s="64" t="str">
        <f>Ringkasan!AA710</f>
        <v>Wireless Telecommunication Services</v>
      </c>
      <c r="AB711" s="64" t="str">
        <f>Ringkasan!AB710</f>
        <v>Infrastructures</v>
      </c>
    </row>
    <row r="712" hidden="1">
      <c r="A712" s="64" t="str">
        <f>Ringkasan!A711</f>
        <v>EXCL</v>
      </c>
      <c r="B712" s="64" t="str">
        <f>Ringkasan!B711</f>
        <v>XLSMART Telecom Sejahtera Tbk.</v>
      </c>
      <c r="C712" s="65">
        <f>Ringkasan!C711</f>
        <v>2570</v>
      </c>
      <c r="D712" s="64" t="str">
        <f>Ringkasan!D711</f>
        <v>#N/A</v>
      </c>
      <c r="E712" s="64" t="str">
        <f>Ringkasan!E711</f>
        <v>IDX80</v>
      </c>
      <c r="F712" s="64" t="str">
        <f>Ringkasan!F711</f>
        <v>31 Juli 2026</v>
      </c>
      <c r="G712" s="64">
        <f>Ringkasan!G711</f>
        <v>9</v>
      </c>
      <c r="H712" s="19">
        <f>Ringkasan!H711</f>
        <v>-9.3</v>
      </c>
      <c r="I712" s="19">
        <f>Ringkasan!I711</f>
        <v>1.8</v>
      </c>
      <c r="J712" s="19">
        <f>Ringkasan!J711</f>
        <v>-18.9</v>
      </c>
      <c r="K712" s="19">
        <f>Ringkasan!K711</f>
        <v>-4.9</v>
      </c>
      <c r="L712" s="19">
        <f>Ringkasan!L711</f>
        <v>2.8</v>
      </c>
      <c r="M712" s="19">
        <f>Ringkasan!M711</f>
        <v>-46.8</v>
      </c>
      <c r="N712" s="64" t="str">
        <f>Ringkasan!N711</f>
        <v/>
      </c>
      <c r="O712" s="64" t="str">
        <f>Ringkasan!O711</f>
        <v/>
      </c>
      <c r="P712" s="64" t="str">
        <f>Ringkasan!P711</f>
        <v/>
      </c>
      <c r="Q712" s="64" t="str">
        <f>Ringkasan!Q711</f>
        <v/>
      </c>
      <c r="R712" s="64" t="str">
        <f>Ringkasan!R711</f>
        <v/>
      </c>
      <c r="S712" s="64" t="str">
        <f>Ringkasan!S711</f>
        <v/>
      </c>
      <c r="T712" s="64" t="str">
        <f>Ringkasan!T711</f>
        <v/>
      </c>
      <c r="U712" s="64">
        <f>Ringkasan!U711</f>
        <v>0</v>
      </c>
      <c r="V712" s="64">
        <f>Ringkasan!V711</f>
        <v>0</v>
      </c>
      <c r="W712" s="64" t="str">
        <f>Ringkasan!W711</f>
        <v/>
      </c>
      <c r="X712" s="64" t="str">
        <f>Ringkasan!X711</f>
        <v/>
      </c>
      <c r="Y712" s="64" t="str">
        <f>Ringkasan!Y711</f>
        <v/>
      </c>
      <c r="Z712" s="64">
        <f>Ringkasan!Z711</f>
        <v>0</v>
      </c>
      <c r="AA712" s="64" t="str">
        <f>Ringkasan!AA711</f>
        <v>Wireless Telecommunication Services</v>
      </c>
      <c r="AB712" s="64" t="str">
        <f>Ringkasan!AB711</f>
        <v>Infrastructures</v>
      </c>
    </row>
    <row r="713" hidden="1">
      <c r="A713" s="64" t="str">
        <f>Ringkasan!A712</f>
        <v>EXCL</v>
      </c>
      <c r="B713" s="64" t="str">
        <f>Ringkasan!B712</f>
        <v>XLSMART Telecom Sejahtera Tbk.</v>
      </c>
      <c r="C713" s="65">
        <f>Ringkasan!C712</f>
        <v>2570</v>
      </c>
      <c r="D713" s="64" t="str">
        <f>Ringkasan!D712</f>
        <v>#N/A</v>
      </c>
      <c r="E713" s="64" t="str">
        <f>Ringkasan!E712</f>
        <v>LQ45</v>
      </c>
      <c r="F713" s="64" t="str">
        <f>Ringkasan!F712</f>
        <v>31 Juli 2026</v>
      </c>
      <c r="G713" s="64">
        <f>Ringkasan!G712</f>
        <v>9</v>
      </c>
      <c r="H713" s="19">
        <f>Ringkasan!H712</f>
        <v>-9.3</v>
      </c>
      <c r="I713" s="19">
        <f>Ringkasan!I712</f>
        <v>1.8</v>
      </c>
      <c r="J713" s="19">
        <f>Ringkasan!J712</f>
        <v>-18.9</v>
      </c>
      <c r="K713" s="19">
        <f>Ringkasan!K712</f>
        <v>-4.9</v>
      </c>
      <c r="L713" s="19">
        <f>Ringkasan!L712</f>
        <v>2.8</v>
      </c>
      <c r="M713" s="19">
        <f>Ringkasan!M712</f>
        <v>-46.8</v>
      </c>
      <c r="N713" s="64" t="str">
        <f>Ringkasan!N712</f>
        <v/>
      </c>
      <c r="O713" s="64" t="str">
        <f>Ringkasan!O712</f>
        <v/>
      </c>
      <c r="P713" s="64" t="str">
        <f>Ringkasan!P712</f>
        <v/>
      </c>
      <c r="Q713" s="64" t="str">
        <f>Ringkasan!Q712</f>
        <v/>
      </c>
      <c r="R713" s="64" t="str">
        <f>Ringkasan!R712</f>
        <v/>
      </c>
      <c r="S713" s="64" t="str">
        <f>Ringkasan!S712</f>
        <v/>
      </c>
      <c r="T713" s="64" t="str">
        <f>Ringkasan!T712</f>
        <v/>
      </c>
      <c r="U713" s="64">
        <f>Ringkasan!U712</f>
        <v>0</v>
      </c>
      <c r="V713" s="64">
        <f>Ringkasan!V712</f>
        <v>0</v>
      </c>
      <c r="W713" s="64" t="str">
        <f>Ringkasan!W712</f>
        <v/>
      </c>
      <c r="X713" s="64" t="str">
        <f>Ringkasan!X712</f>
        <v/>
      </c>
      <c r="Y713" s="64" t="str">
        <f>Ringkasan!Y712</f>
        <v/>
      </c>
      <c r="Z713" s="64">
        <f>Ringkasan!Z712</f>
        <v>0</v>
      </c>
      <c r="AA713" s="64" t="str">
        <f>Ringkasan!AA712</f>
        <v>Wireless Telecommunication Services</v>
      </c>
      <c r="AB713" s="64" t="str">
        <f>Ringkasan!AB712</f>
        <v>Infrastructures</v>
      </c>
    </row>
    <row r="714" hidden="1">
      <c r="A714" s="64" t="str">
        <f>Ringkasan!A713</f>
        <v>EXCL</v>
      </c>
      <c r="B714" s="64" t="str">
        <f>Ringkasan!B713</f>
        <v>XLSMART Telecom Sejahtera Tbk.</v>
      </c>
      <c r="C714" s="65">
        <f>Ringkasan!C713</f>
        <v>2570</v>
      </c>
      <c r="D714" s="64" t="str">
        <f>Ringkasan!D713</f>
        <v>#N/A</v>
      </c>
      <c r="E714" s="64" t="str">
        <f>Ringkasan!E713</f>
        <v>Kompas100</v>
      </c>
      <c r="F714" s="64" t="str">
        <f>Ringkasan!F713</f>
        <v>31 Juli 2026</v>
      </c>
      <c r="G714" s="64">
        <f>Ringkasan!G713</f>
        <v>9</v>
      </c>
      <c r="H714" s="19">
        <f>Ringkasan!H713</f>
        <v>-9.3</v>
      </c>
      <c r="I714" s="19">
        <f>Ringkasan!I713</f>
        <v>1.8</v>
      </c>
      <c r="J714" s="19">
        <f>Ringkasan!J713</f>
        <v>-18.9</v>
      </c>
      <c r="K714" s="19">
        <f>Ringkasan!K713</f>
        <v>-4.9</v>
      </c>
      <c r="L714" s="19">
        <f>Ringkasan!L713</f>
        <v>2.8</v>
      </c>
      <c r="M714" s="19">
        <f>Ringkasan!M713</f>
        <v>-46.8</v>
      </c>
      <c r="N714" s="64" t="str">
        <f>Ringkasan!N713</f>
        <v/>
      </c>
      <c r="O714" s="64" t="str">
        <f>Ringkasan!O713</f>
        <v/>
      </c>
      <c r="P714" s="64" t="str">
        <f>Ringkasan!P713</f>
        <v/>
      </c>
      <c r="Q714" s="64" t="str">
        <f>Ringkasan!Q713</f>
        <v/>
      </c>
      <c r="R714" s="64" t="str">
        <f>Ringkasan!R713</f>
        <v/>
      </c>
      <c r="S714" s="64" t="str">
        <f>Ringkasan!S713</f>
        <v/>
      </c>
      <c r="T714" s="64" t="str">
        <f>Ringkasan!T713</f>
        <v/>
      </c>
      <c r="U714" s="64">
        <f>Ringkasan!U713</f>
        <v>0</v>
      </c>
      <c r="V714" s="64">
        <f>Ringkasan!V713</f>
        <v>0</v>
      </c>
      <c r="W714" s="64" t="str">
        <f>Ringkasan!W713</f>
        <v/>
      </c>
      <c r="X714" s="64" t="str">
        <f>Ringkasan!X713</f>
        <v/>
      </c>
      <c r="Y714" s="64" t="str">
        <f>Ringkasan!Y713</f>
        <v/>
      </c>
      <c r="Z714" s="64">
        <f>Ringkasan!Z713</f>
        <v>0</v>
      </c>
      <c r="AA714" s="64" t="str">
        <f>Ringkasan!AA713</f>
        <v>Wireless Telecommunication Services</v>
      </c>
      <c r="AB714" s="64" t="str">
        <f>Ringkasan!AB713</f>
        <v>Infrastructures</v>
      </c>
    </row>
    <row r="715" hidden="1">
      <c r="A715" s="64" t="str">
        <f>Ringkasan!A714</f>
        <v>EXCL</v>
      </c>
      <c r="B715" s="64" t="str">
        <f>Ringkasan!B714</f>
        <v>XLSMART Telecom Sejahtera Tbk.</v>
      </c>
      <c r="C715" s="65">
        <f>Ringkasan!C714</f>
        <v>2570</v>
      </c>
      <c r="D715" s="64" t="str">
        <f>Ringkasan!D714</f>
        <v>#N/A</v>
      </c>
      <c r="E715" s="64" t="str">
        <f>Ringkasan!E714</f>
        <v>IDXESGL</v>
      </c>
      <c r="F715" s="64" t="str">
        <f>Ringkasan!F714</f>
        <v>30 Oktober 2026</v>
      </c>
      <c r="G715" s="64">
        <f>Ringkasan!G714</f>
        <v>9</v>
      </c>
      <c r="H715" s="19">
        <f>Ringkasan!H714</f>
        <v>-9.3</v>
      </c>
      <c r="I715" s="19">
        <f>Ringkasan!I714</f>
        <v>1.8</v>
      </c>
      <c r="J715" s="19">
        <f>Ringkasan!J714</f>
        <v>-18.9</v>
      </c>
      <c r="K715" s="19">
        <f>Ringkasan!K714</f>
        <v>-4.9</v>
      </c>
      <c r="L715" s="19">
        <f>Ringkasan!L714</f>
        <v>2.8</v>
      </c>
      <c r="M715" s="19">
        <f>Ringkasan!M714</f>
        <v>-46.8</v>
      </c>
      <c r="N715" s="64" t="str">
        <f>Ringkasan!N714</f>
        <v/>
      </c>
      <c r="O715" s="64" t="str">
        <f>Ringkasan!O714</f>
        <v/>
      </c>
      <c r="P715" s="64" t="str">
        <f>Ringkasan!P714</f>
        <v/>
      </c>
      <c r="Q715" s="64" t="str">
        <f>Ringkasan!Q714</f>
        <v/>
      </c>
      <c r="R715" s="64" t="str">
        <f>Ringkasan!R714</f>
        <v/>
      </c>
      <c r="S715" s="64" t="str">
        <f>Ringkasan!S714</f>
        <v/>
      </c>
      <c r="T715" s="64" t="str">
        <f>Ringkasan!T714</f>
        <v/>
      </c>
      <c r="U715" s="64">
        <f>Ringkasan!U714</f>
        <v>0</v>
      </c>
      <c r="V715" s="64">
        <f>Ringkasan!V714</f>
        <v>0</v>
      </c>
      <c r="W715" s="64" t="str">
        <f>Ringkasan!W714</f>
        <v/>
      </c>
      <c r="X715" s="64" t="str">
        <f>Ringkasan!X714</f>
        <v/>
      </c>
      <c r="Y715" s="64" t="str">
        <f>Ringkasan!Y714</f>
        <v/>
      </c>
      <c r="Z715" s="64">
        <f>Ringkasan!Z714</f>
        <v>0</v>
      </c>
      <c r="AA715" s="64" t="str">
        <f>Ringkasan!AA714</f>
        <v>Wireless Telecommunication Services</v>
      </c>
      <c r="AB715" s="64" t="str">
        <f>Ringkasan!AB714</f>
        <v>Infrastructures</v>
      </c>
    </row>
    <row r="716" hidden="1">
      <c r="A716" s="64" t="str">
        <f>Ringkasan!A715</f>
        <v>EXCL</v>
      </c>
      <c r="B716" s="64" t="str">
        <f>Ringkasan!B715</f>
        <v>XLSMART Telecom Sejahtera Tbk.</v>
      </c>
      <c r="C716" s="65">
        <f>Ringkasan!C715</f>
        <v>2570</v>
      </c>
      <c r="D716" s="64" t="str">
        <f>Ringkasan!D715</f>
        <v>#N/A</v>
      </c>
      <c r="E716" s="64" t="str">
        <f>Ringkasan!E715</f>
        <v>FTSE Large Cap</v>
      </c>
      <c r="F716" s="64" t="str">
        <f>Ringkasan!F715</f>
        <v>Juni 2026</v>
      </c>
      <c r="G716" s="64">
        <f>Ringkasan!G715</f>
        <v>9</v>
      </c>
      <c r="H716" s="19">
        <f>Ringkasan!H715</f>
        <v>-9.3</v>
      </c>
      <c r="I716" s="19">
        <f>Ringkasan!I715</f>
        <v>1.8</v>
      </c>
      <c r="J716" s="19">
        <f>Ringkasan!J715</f>
        <v>-18.9</v>
      </c>
      <c r="K716" s="19">
        <f>Ringkasan!K715</f>
        <v>-4.9</v>
      </c>
      <c r="L716" s="19">
        <f>Ringkasan!L715</f>
        <v>2.8</v>
      </c>
      <c r="M716" s="19">
        <f>Ringkasan!M715</f>
        <v>-46.8</v>
      </c>
      <c r="N716" s="64" t="str">
        <f>Ringkasan!N715</f>
        <v/>
      </c>
      <c r="O716" s="64" t="str">
        <f>Ringkasan!O715</f>
        <v/>
      </c>
      <c r="P716" s="64" t="str">
        <f>Ringkasan!P715</f>
        <v/>
      </c>
      <c r="Q716" s="64" t="str">
        <f>Ringkasan!Q715</f>
        <v/>
      </c>
      <c r="R716" s="64" t="str">
        <f>Ringkasan!R715</f>
        <v/>
      </c>
      <c r="S716" s="64" t="str">
        <f>Ringkasan!S715</f>
        <v/>
      </c>
      <c r="T716" s="64" t="str">
        <f>Ringkasan!T715</f>
        <v/>
      </c>
      <c r="U716" s="64">
        <f>Ringkasan!U715</f>
        <v>0</v>
      </c>
      <c r="V716" s="64">
        <f>Ringkasan!V715</f>
        <v>0</v>
      </c>
      <c r="W716" s="64" t="str">
        <f>Ringkasan!W715</f>
        <v/>
      </c>
      <c r="X716" s="64" t="str">
        <f>Ringkasan!X715</f>
        <v/>
      </c>
      <c r="Y716" s="64" t="str">
        <f>Ringkasan!Y715</f>
        <v/>
      </c>
      <c r="Z716" s="64">
        <f>Ringkasan!Z715</f>
        <v>0</v>
      </c>
      <c r="AA716" s="64" t="str">
        <f>Ringkasan!AA715</f>
        <v>Wireless Telecommunication Services</v>
      </c>
      <c r="AB716" s="64" t="str">
        <f>Ringkasan!AB715</f>
        <v>Infrastructures</v>
      </c>
    </row>
    <row r="717" hidden="1">
      <c r="A717" s="64" t="str">
        <f>Ringkasan!A716</f>
        <v>EXCL</v>
      </c>
      <c r="B717" s="64" t="str">
        <f>Ringkasan!B716</f>
        <v>XLSMART Telecom Sejahtera Tbk.</v>
      </c>
      <c r="C717" s="65">
        <f>Ringkasan!C716</f>
        <v>2570</v>
      </c>
      <c r="D717" s="64" t="str">
        <f>Ringkasan!D716</f>
        <v>#N/A</v>
      </c>
      <c r="E717" s="64" t="str">
        <f>Ringkasan!E716</f>
        <v>MSCI Small Cap</v>
      </c>
      <c r="F717" s="64" t="str">
        <f>Ringkasan!F716</f>
        <v>12 Agustus 2026</v>
      </c>
      <c r="G717" s="64">
        <f>Ringkasan!G716</f>
        <v>9</v>
      </c>
      <c r="H717" s="19">
        <f>Ringkasan!H716</f>
        <v>-9.3</v>
      </c>
      <c r="I717" s="19">
        <f>Ringkasan!I716</f>
        <v>1.8</v>
      </c>
      <c r="J717" s="19">
        <f>Ringkasan!J716</f>
        <v>-18.9</v>
      </c>
      <c r="K717" s="19">
        <f>Ringkasan!K716</f>
        <v>-4.9</v>
      </c>
      <c r="L717" s="19">
        <f>Ringkasan!L716</f>
        <v>2.8</v>
      </c>
      <c r="M717" s="19">
        <f>Ringkasan!M716</f>
        <v>-46.8</v>
      </c>
      <c r="N717" s="64" t="str">
        <f>Ringkasan!N716</f>
        <v/>
      </c>
      <c r="O717" s="64" t="str">
        <f>Ringkasan!O716</f>
        <v/>
      </c>
      <c r="P717" s="64" t="str">
        <f>Ringkasan!P716</f>
        <v/>
      </c>
      <c r="Q717" s="64" t="str">
        <f>Ringkasan!Q716</f>
        <v/>
      </c>
      <c r="R717" s="64" t="str">
        <f>Ringkasan!R716</f>
        <v/>
      </c>
      <c r="S717" s="64" t="str">
        <f>Ringkasan!S716</f>
        <v/>
      </c>
      <c r="T717" s="64" t="str">
        <f>Ringkasan!T716</f>
        <v/>
      </c>
      <c r="U717" s="64">
        <f>Ringkasan!U716</f>
        <v>0</v>
      </c>
      <c r="V717" s="64">
        <f>Ringkasan!V716</f>
        <v>0</v>
      </c>
      <c r="W717" s="64" t="str">
        <f>Ringkasan!W716</f>
        <v/>
      </c>
      <c r="X717" s="64" t="str">
        <f>Ringkasan!X716</f>
        <v/>
      </c>
      <c r="Y717" s="64" t="str">
        <f>Ringkasan!Y716</f>
        <v/>
      </c>
      <c r="Z717" s="64">
        <f>Ringkasan!Z716</f>
        <v>0</v>
      </c>
      <c r="AA717" s="64" t="str">
        <f>Ringkasan!AA716</f>
        <v>Wireless Telecommunication Services</v>
      </c>
      <c r="AB717" s="64" t="str">
        <f>Ringkasan!AB716</f>
        <v>Infrastructures</v>
      </c>
    </row>
    <row r="718" hidden="1">
      <c r="A718" s="64" t="str">
        <f>Ringkasan!A717</f>
        <v>EXCL</v>
      </c>
      <c r="B718" s="64" t="str">
        <f>Ringkasan!B717</f>
        <v>XLSMART Telecom Sejahtera Tbk.</v>
      </c>
      <c r="C718" s="65">
        <f>Ringkasan!C717</f>
        <v>2570</v>
      </c>
      <c r="D718" s="64" t="str">
        <f>Ringkasan!D717</f>
        <v>#N/A</v>
      </c>
      <c r="E718" s="64" t="str">
        <f>Ringkasan!E717</f>
        <v>JII30</v>
      </c>
      <c r="F718" s="66">
        <f>Ringkasan!F717</f>
        <v>46356</v>
      </c>
      <c r="G718" s="64">
        <f>Ringkasan!G717</f>
        <v>9</v>
      </c>
      <c r="H718" s="19">
        <f>Ringkasan!H717</f>
        <v>-9.3</v>
      </c>
      <c r="I718" s="19">
        <f>Ringkasan!I717</f>
        <v>1.8</v>
      </c>
      <c r="J718" s="19">
        <f>Ringkasan!J717</f>
        <v>-18.9</v>
      </c>
      <c r="K718" s="19">
        <f>Ringkasan!K717</f>
        <v>-4.9</v>
      </c>
      <c r="L718" s="19">
        <f>Ringkasan!L717</f>
        <v>2.8</v>
      </c>
      <c r="M718" s="19">
        <f>Ringkasan!M717</f>
        <v>-46.8</v>
      </c>
      <c r="N718" s="64" t="str">
        <f>Ringkasan!N717</f>
        <v/>
      </c>
      <c r="O718" s="64" t="str">
        <f>Ringkasan!O717</f>
        <v/>
      </c>
      <c r="P718" s="64" t="str">
        <f>Ringkasan!P717</f>
        <v/>
      </c>
      <c r="Q718" s="64" t="str">
        <f>Ringkasan!Q717</f>
        <v/>
      </c>
      <c r="R718" s="64" t="str">
        <f>Ringkasan!R717</f>
        <v/>
      </c>
      <c r="S718" s="64" t="str">
        <f>Ringkasan!S717</f>
        <v/>
      </c>
      <c r="T718" s="64" t="str">
        <f>Ringkasan!T717</f>
        <v/>
      </c>
      <c r="U718" s="64">
        <f>Ringkasan!U717</f>
        <v>0</v>
      </c>
      <c r="V718" s="64">
        <f>Ringkasan!V717</f>
        <v>0</v>
      </c>
      <c r="W718" s="64" t="str">
        <f>Ringkasan!W717</f>
        <v/>
      </c>
      <c r="X718" s="64" t="str">
        <f>Ringkasan!X717</f>
        <v/>
      </c>
      <c r="Y718" s="64" t="str">
        <f>Ringkasan!Y717</f>
        <v/>
      </c>
      <c r="Z718" s="64">
        <f>Ringkasan!Z717</f>
        <v>0</v>
      </c>
      <c r="AA718" s="64" t="str">
        <f>Ringkasan!AA717</f>
        <v>Wireless Telecommunication Services</v>
      </c>
      <c r="AB718" s="64" t="str">
        <f>Ringkasan!AB717</f>
        <v>Infrastructures</v>
      </c>
    </row>
    <row r="719" hidden="1">
      <c r="A719" s="64" t="str">
        <f>Ringkasan!A718</f>
        <v>EXCL</v>
      </c>
      <c r="B719" s="64" t="str">
        <f>Ringkasan!B718</f>
        <v>XLSMART Telecom Sejahtera Tbk.</v>
      </c>
      <c r="C719" s="65">
        <f>Ringkasan!C718</f>
        <v>2570</v>
      </c>
      <c r="D719" s="64" t="str">
        <f>Ringkasan!D718</f>
        <v>#N/A</v>
      </c>
      <c r="E719" s="64" t="str">
        <f>Ringkasan!E718</f>
        <v>JII70</v>
      </c>
      <c r="F719" s="66">
        <f>Ringkasan!F718</f>
        <v>46356</v>
      </c>
      <c r="G719" s="64">
        <f>Ringkasan!G718</f>
        <v>9</v>
      </c>
      <c r="H719" s="19">
        <f>Ringkasan!H718</f>
        <v>-9.3</v>
      </c>
      <c r="I719" s="19">
        <f>Ringkasan!I718</f>
        <v>1.8</v>
      </c>
      <c r="J719" s="19">
        <f>Ringkasan!J718</f>
        <v>-18.9</v>
      </c>
      <c r="K719" s="19">
        <f>Ringkasan!K718</f>
        <v>-4.9</v>
      </c>
      <c r="L719" s="19">
        <f>Ringkasan!L718</f>
        <v>2.8</v>
      </c>
      <c r="M719" s="19">
        <f>Ringkasan!M718</f>
        <v>-46.8</v>
      </c>
      <c r="N719" s="64" t="str">
        <f>Ringkasan!N718</f>
        <v/>
      </c>
      <c r="O719" s="64" t="str">
        <f>Ringkasan!O718</f>
        <v/>
      </c>
      <c r="P719" s="64" t="str">
        <f>Ringkasan!P718</f>
        <v/>
      </c>
      <c r="Q719" s="64" t="str">
        <f>Ringkasan!Q718</f>
        <v/>
      </c>
      <c r="R719" s="64" t="str">
        <f>Ringkasan!R718</f>
        <v/>
      </c>
      <c r="S719" s="64" t="str">
        <f>Ringkasan!S718</f>
        <v/>
      </c>
      <c r="T719" s="64" t="str">
        <f>Ringkasan!T718</f>
        <v/>
      </c>
      <c r="U719" s="64">
        <f>Ringkasan!U718</f>
        <v>0</v>
      </c>
      <c r="V719" s="64">
        <f>Ringkasan!V718</f>
        <v>0</v>
      </c>
      <c r="W719" s="64" t="str">
        <f>Ringkasan!W718</f>
        <v/>
      </c>
      <c r="X719" s="64" t="str">
        <f>Ringkasan!X718</f>
        <v/>
      </c>
      <c r="Y719" s="64" t="str">
        <f>Ringkasan!Y718</f>
        <v/>
      </c>
      <c r="Z719" s="64">
        <f>Ringkasan!Z718</f>
        <v>0</v>
      </c>
      <c r="AA719" s="64" t="str">
        <f>Ringkasan!AA718</f>
        <v>Wireless Telecommunication Services</v>
      </c>
      <c r="AB719" s="64" t="str">
        <f>Ringkasan!AB718</f>
        <v>Infrastructures</v>
      </c>
    </row>
    <row r="720" hidden="1">
      <c r="A720" s="64" t="str">
        <f>Ringkasan!A719</f>
        <v>FAPA</v>
      </c>
      <c r="B720" s="64" t="str">
        <f>Ringkasan!B719</f>
        <v>FAP Agri Tbk.</v>
      </c>
      <c r="C720" s="65">
        <f>Ringkasan!C719</f>
        <v>7275</v>
      </c>
      <c r="D720" s="64" t="str">
        <f>Ringkasan!D719</f>
        <v>#N/A</v>
      </c>
      <c r="E720" s="64" t="str">
        <f>Ringkasan!E719</f>
        <v/>
      </c>
      <c r="F720" s="64" t="str">
        <f>Ringkasan!F719</f>
        <v/>
      </c>
      <c r="G720" s="64">
        <f>Ringkasan!G719</f>
        <v>0</v>
      </c>
      <c r="H720" s="19">
        <f>Ringkasan!H719</f>
        <v>24.4</v>
      </c>
      <c r="I720" s="19">
        <f>Ringkasan!I719</f>
        <v>6.3</v>
      </c>
      <c r="J720" s="19">
        <f>Ringkasan!J719</f>
        <v>25.8</v>
      </c>
      <c r="K720" s="19">
        <f>Ringkasan!K719</f>
        <v>10.4</v>
      </c>
      <c r="L720" s="19">
        <f>Ringkasan!L719</f>
        <v>1.5</v>
      </c>
      <c r="M720" s="19">
        <f>Ringkasan!M719</f>
        <v>53.5</v>
      </c>
      <c r="N720" s="64" t="str">
        <f>Ringkasan!N719</f>
        <v/>
      </c>
      <c r="O720" s="64" t="str">
        <f>Ringkasan!O719</f>
        <v/>
      </c>
      <c r="P720" s="64" t="str">
        <f>Ringkasan!P719</f>
        <v/>
      </c>
      <c r="Q720" s="64" t="str">
        <f>Ringkasan!Q719</f>
        <v/>
      </c>
      <c r="R720" s="64" t="str">
        <f>Ringkasan!R719</f>
        <v/>
      </c>
      <c r="S720" s="64" t="str">
        <f>Ringkasan!S719</f>
        <v/>
      </c>
      <c r="T720" s="64" t="str">
        <f>Ringkasan!T719</f>
        <v/>
      </c>
      <c r="U720" s="64">
        <f>Ringkasan!U719</f>
        <v>7250</v>
      </c>
      <c r="V720" s="64">
        <f>Ringkasan!V719</f>
        <v>0.34</v>
      </c>
      <c r="W720" s="64">
        <f>Ringkasan!W719</f>
        <v>7250</v>
      </c>
      <c r="X720" s="64">
        <f>Ringkasan!X719</f>
        <v>7275</v>
      </c>
      <c r="Y720" s="64" t="str">
        <f>Ringkasan!Y719</f>
        <v/>
      </c>
      <c r="Z720" s="64">
        <f>Ringkasan!Z719</f>
        <v>900</v>
      </c>
      <c r="AA720" s="64" t="str">
        <f>Ringkasan!AA719</f>
        <v>Agricultural Products</v>
      </c>
      <c r="AB720" s="64" t="str">
        <f>Ringkasan!AB719</f>
        <v>Consumer Non-Cyclicals</v>
      </c>
    </row>
    <row r="721" hidden="1">
      <c r="A721" s="64" t="str">
        <f>Ringkasan!A720</f>
        <v>FAST</v>
      </c>
      <c r="B721" s="64" t="str">
        <f>Ringkasan!B720</f>
        <v>Fast Food Indonesia Tbk.</v>
      </c>
      <c r="C721" s="65">
        <f>Ringkasan!C720</f>
        <v>238</v>
      </c>
      <c r="D721" s="64" t="str">
        <f>Ringkasan!D720</f>
        <v>#N/A</v>
      </c>
      <c r="E721" s="64" t="str">
        <f>Ringkasan!E720</f>
        <v/>
      </c>
      <c r="F721" s="64" t="str">
        <f>Ringkasan!F720</f>
        <v/>
      </c>
      <c r="G721" s="64">
        <f>Ringkasan!G720</f>
        <v>0</v>
      </c>
      <c r="H721" s="19">
        <f>Ringkasan!H720</f>
        <v>-3.6</v>
      </c>
      <c r="I721" s="19">
        <f>Ringkasan!I720</f>
        <v>2.4</v>
      </c>
      <c r="J721" s="19">
        <f>Ringkasan!J720</f>
        <v>-68</v>
      </c>
      <c r="K721" s="19">
        <f>Ringkasan!K720</f>
        <v>-6.1</v>
      </c>
      <c r="L721" s="19">
        <f>Ringkasan!L720</f>
        <v>10.2</v>
      </c>
      <c r="M721" s="19">
        <f>Ringkasan!M720</f>
        <v>-22.2</v>
      </c>
      <c r="N721" s="64" t="str">
        <f>Ringkasan!N720</f>
        <v/>
      </c>
      <c r="O721" s="64" t="str">
        <f>Ringkasan!O720</f>
        <v/>
      </c>
      <c r="P721" s="64" t="str">
        <f>Ringkasan!P720</f>
        <v/>
      </c>
      <c r="Q721" s="64" t="str">
        <f>Ringkasan!Q720</f>
        <v/>
      </c>
      <c r="R721" s="64" t="str">
        <f>Ringkasan!R720</f>
        <v/>
      </c>
      <c r="S721" s="64" t="str">
        <f>Ringkasan!S720</f>
        <v/>
      </c>
      <c r="T721" s="64" t="str">
        <f>Ringkasan!T720</f>
        <v/>
      </c>
      <c r="U721" s="64">
        <f>Ringkasan!U720</f>
        <v>46.39</v>
      </c>
      <c r="V721" s="64">
        <f>Ringkasan!V720</f>
        <v>0.39</v>
      </c>
      <c r="W721" s="64">
        <f>Ringkasan!W720</f>
        <v>46.59</v>
      </c>
      <c r="X721" s="64">
        <f>Ringkasan!X720</f>
        <v>47.16</v>
      </c>
      <c r="Y721" s="64">
        <f>Ringkasan!Y720</f>
        <v>46.29</v>
      </c>
      <c r="Z721" s="64">
        <f>Ringkasan!Z720</f>
        <v>4629317</v>
      </c>
      <c r="AA721" s="64" t="str">
        <f>Ringkasan!AA720</f>
        <v>Tourism &amp; Recreation</v>
      </c>
      <c r="AB721" s="64" t="str">
        <f>Ringkasan!AB720</f>
        <v>Consumer Cyclicals</v>
      </c>
    </row>
    <row r="722" hidden="1">
      <c r="A722" s="64" t="str">
        <f>Ringkasan!A721</f>
        <v>FASW</v>
      </c>
      <c r="B722" s="64" t="str">
        <f>Ringkasan!B721</f>
        <v>Fajar Surya Wisesa Tbk.</v>
      </c>
      <c r="C722" s="65">
        <f>Ringkasan!C721</f>
        <v>5450</v>
      </c>
      <c r="D722" s="64" t="str">
        <f>Ringkasan!D721</f>
        <v>#N/A</v>
      </c>
      <c r="E722" s="64" t="str">
        <f>Ringkasan!E721</f>
        <v/>
      </c>
      <c r="F722" s="64" t="str">
        <f>Ringkasan!F721</f>
        <v/>
      </c>
      <c r="G722" s="64">
        <f>Ringkasan!G721</f>
        <v>0</v>
      </c>
      <c r="H722" s="19">
        <f>Ringkasan!H721</f>
        <v>-20</v>
      </c>
      <c r="I722" s="19">
        <f>Ringkasan!I721</f>
        <v>3</v>
      </c>
      <c r="J722" s="19">
        <f>Ringkasan!J721</f>
        <v>-14.8</v>
      </c>
      <c r="K722" s="19">
        <f>Ringkasan!K721</f>
        <v>-6.9</v>
      </c>
      <c r="L722" s="19">
        <f>Ringkasan!L721</f>
        <v>1.2</v>
      </c>
      <c r="M722" s="19">
        <f>Ringkasan!M721</f>
        <v>-43.5</v>
      </c>
      <c r="N722" s="64" t="str">
        <f>Ringkasan!N721</f>
        <v/>
      </c>
      <c r="O722" s="64" t="str">
        <f>Ringkasan!O721</f>
        <v/>
      </c>
      <c r="P722" s="64" t="str">
        <f>Ringkasan!P721</f>
        <v/>
      </c>
      <c r="Q722" s="64" t="str">
        <f>Ringkasan!Q721</f>
        <v/>
      </c>
      <c r="R722" s="64" t="str">
        <f>Ringkasan!R721</f>
        <v/>
      </c>
      <c r="S722" s="64" t="str">
        <f>Ringkasan!S721</f>
        <v/>
      </c>
      <c r="T722" s="64" t="str">
        <f>Ringkasan!T721</f>
        <v/>
      </c>
      <c r="U722" s="64">
        <f>Ringkasan!U721</f>
        <v>5450</v>
      </c>
      <c r="V722" s="64">
        <f>Ringkasan!V721</f>
        <v>0</v>
      </c>
      <c r="W722" s="64" t="str">
        <f>Ringkasan!W721</f>
        <v/>
      </c>
      <c r="X722" s="64" t="str">
        <f>Ringkasan!X721</f>
        <v/>
      </c>
      <c r="Y722" s="64" t="str">
        <f>Ringkasan!Y721</f>
        <v/>
      </c>
      <c r="Z722" s="64">
        <f>Ringkasan!Z721</f>
        <v>0</v>
      </c>
      <c r="AA722" s="64" t="str">
        <f>Ringkasan!AA721</f>
        <v>Containers &amp; Packaging</v>
      </c>
      <c r="AB722" s="64" t="str">
        <f>Ringkasan!AB721</f>
        <v>Basic Materials</v>
      </c>
    </row>
    <row r="723" hidden="1">
      <c r="A723" s="64" t="str">
        <f>Ringkasan!A88</f>
        <v>ALMI</v>
      </c>
      <c r="B723" s="64" t="str">
        <f>Ringkasan!B88</f>
        <v>Alumindo Light Metal Industry Tbk.</v>
      </c>
      <c r="C723" s="65">
        <f>Ringkasan!C88</f>
        <v>74</v>
      </c>
      <c r="D723" s="64" t="str">
        <f>Ringkasan!D88</f>
        <v>#N/A</v>
      </c>
      <c r="E723" s="64" t="str">
        <f>Ringkasan!E88</f>
        <v/>
      </c>
      <c r="F723" s="64" t="str">
        <f>Ringkasan!F88</f>
        <v/>
      </c>
      <c r="G723" s="64">
        <f>Ringkasan!G88</f>
        <v>0</v>
      </c>
      <c r="H723" s="19">
        <f>Ringkasan!H88</f>
        <v>-5.3</v>
      </c>
      <c r="I723" s="19">
        <f>Ringkasan!I88</f>
        <v>3.6</v>
      </c>
      <c r="J723" s="19">
        <f>Ringkasan!J88</f>
        <v>-67.6</v>
      </c>
      <c r="K723" s="19">
        <f>Ringkasan!K88</f>
        <v>-11.9</v>
      </c>
      <c r="L723" s="19">
        <f>Ringkasan!L88</f>
        <v>4.7</v>
      </c>
      <c r="M723" s="19">
        <f>Ringkasan!M88</f>
        <v>0</v>
      </c>
      <c r="N723" s="64" t="str">
        <f>Ringkasan!N88</f>
        <v/>
      </c>
      <c r="O723" s="64" t="str">
        <f>Ringkasan!O88</f>
        <v/>
      </c>
      <c r="P723" s="64" t="str">
        <f>Ringkasan!P88</f>
        <v/>
      </c>
      <c r="Q723" s="64" t="str">
        <f>Ringkasan!Q88</f>
        <v/>
      </c>
      <c r="R723" s="64" t="str">
        <f>Ringkasan!R88</f>
        <v/>
      </c>
      <c r="S723" s="64" t="str">
        <f>Ringkasan!S88</f>
        <v/>
      </c>
      <c r="T723" s="64" t="str">
        <f>Ringkasan!T88</f>
        <v/>
      </c>
      <c r="U723" s="64">
        <f>Ringkasan!U88</f>
        <v>74</v>
      </c>
      <c r="V723" s="64">
        <f>Ringkasan!V88</f>
        <v>0</v>
      </c>
      <c r="W723" s="64" t="str">
        <f>Ringkasan!W88</f>
        <v/>
      </c>
      <c r="X723" s="64" t="str">
        <f>Ringkasan!X88</f>
        <v/>
      </c>
      <c r="Y723" s="64" t="str">
        <f>Ringkasan!Y88</f>
        <v/>
      </c>
      <c r="Z723" s="64">
        <f>Ringkasan!Z88</f>
        <v>0</v>
      </c>
      <c r="AA723" s="64" t="str">
        <f>Ringkasan!AA88</f>
        <v>Metals &amp; Minerals</v>
      </c>
      <c r="AB723" s="64" t="str">
        <f>Ringkasan!AB88</f>
        <v>Basic Materials</v>
      </c>
    </row>
    <row r="724" hidden="1">
      <c r="A724" s="64" t="str">
        <f>Ringkasan!A723</f>
        <v>FILM</v>
      </c>
      <c r="B724" s="64" t="str">
        <f>Ringkasan!B723</f>
        <v>MD Entertainment Tbk.</v>
      </c>
      <c r="C724" s="65">
        <f>Ringkasan!C723</f>
        <v>1780</v>
      </c>
      <c r="D724" s="64" t="str">
        <f>Ringkasan!D723</f>
        <v>#N/A</v>
      </c>
      <c r="E724" s="64" t="str">
        <f>Ringkasan!E723</f>
        <v>Kompas100</v>
      </c>
      <c r="F724" s="64" t="str">
        <f>Ringkasan!F723</f>
        <v>31 Juli 2026</v>
      </c>
      <c r="G724" s="64">
        <f>Ringkasan!G723</f>
        <v>3</v>
      </c>
      <c r="H724" s="19">
        <f>Ringkasan!H723</f>
        <v>-99.5</v>
      </c>
      <c r="I724" s="19">
        <f>Ringkasan!I723</f>
        <v>7.3</v>
      </c>
      <c r="J724" s="19">
        <f>Ringkasan!J723</f>
        <v>-7.4</v>
      </c>
      <c r="K724" s="19">
        <f>Ringkasan!K723</f>
        <v>-6.3</v>
      </c>
      <c r="L724" s="19">
        <f>Ringkasan!L723</f>
        <v>0.18</v>
      </c>
      <c r="M724" s="19">
        <f>Ringkasan!M723</f>
        <v>-160</v>
      </c>
      <c r="N724" s="64" t="str">
        <f>Ringkasan!N723</f>
        <v/>
      </c>
      <c r="O724" s="64" t="str">
        <f>Ringkasan!O723</f>
        <v/>
      </c>
      <c r="P724" s="64" t="str">
        <f>Ringkasan!P723</f>
        <v/>
      </c>
      <c r="Q724" s="64" t="str">
        <f>Ringkasan!Q723</f>
        <v/>
      </c>
      <c r="R724" s="64" t="str">
        <f>Ringkasan!R723</f>
        <v/>
      </c>
      <c r="S724" s="64" t="str">
        <f>Ringkasan!S723</f>
        <v/>
      </c>
      <c r="T724" s="64" t="str">
        <f>Ringkasan!T723</f>
        <v/>
      </c>
      <c r="U724" s="64">
        <f>Ringkasan!U723</f>
        <v>1775</v>
      </c>
      <c r="V724" s="64">
        <f>Ringkasan!V723</f>
        <v>0.28</v>
      </c>
      <c r="W724" s="64">
        <f>Ringkasan!W723</f>
        <v>1785</v>
      </c>
      <c r="X724" s="64">
        <f>Ringkasan!X723</f>
        <v>1825</v>
      </c>
      <c r="Y724" s="64">
        <f>Ringkasan!Y723</f>
        <v>1750</v>
      </c>
      <c r="Z724" s="64">
        <f>Ringkasan!Z723</f>
        <v>3696900</v>
      </c>
      <c r="AA724" s="64" t="str">
        <f>Ringkasan!AA723</f>
        <v>Entertainment &amp; Movie Production</v>
      </c>
      <c r="AB724" s="64" t="str">
        <f>Ringkasan!AB723</f>
        <v>Consumer Cyclicals</v>
      </c>
    </row>
    <row r="725" hidden="1">
      <c r="A725" s="64" t="str">
        <f>Ringkasan!A182</f>
        <v>ASMI</v>
      </c>
      <c r="B725" s="64" t="str">
        <f>Ringkasan!B182</f>
        <v>Asuransi Maximus Graha Persada Tbk.</v>
      </c>
      <c r="C725" s="67">
        <f>Ringkasan!C182</f>
        <v>15</v>
      </c>
      <c r="D725" s="22" t="str">
        <f>Ringkasan!D182</f>
        <v>#N/A</v>
      </c>
      <c r="E725" s="64" t="str">
        <f>Ringkasan!E182</f>
        <v/>
      </c>
      <c r="F725" s="64" t="str">
        <f>Ringkasan!F182</f>
        <v/>
      </c>
      <c r="G725" s="64">
        <f>Ringkasan!G182</f>
        <v>0</v>
      </c>
      <c r="H725" s="19">
        <f>Ringkasan!H182</f>
        <v>5.8</v>
      </c>
      <c r="I725" s="19">
        <f>Ringkasan!I182</f>
        <v>0.39</v>
      </c>
      <c r="J725" s="19">
        <f>Ringkasan!J182</f>
        <v>6.7</v>
      </c>
      <c r="K725" s="19">
        <f>Ringkasan!K182</f>
        <v>1.8</v>
      </c>
      <c r="L725" s="19">
        <f>Ringkasan!L182</f>
        <v>2.7</v>
      </c>
      <c r="M725" s="19">
        <f>Ringkasan!M182</f>
        <v>1.8</v>
      </c>
      <c r="N725" s="64" t="str">
        <f>Ringkasan!N182</f>
        <v/>
      </c>
      <c r="O725" s="64" t="str">
        <f>Ringkasan!O182</f>
        <v/>
      </c>
      <c r="P725" s="64" t="str">
        <f>Ringkasan!P182</f>
        <v/>
      </c>
      <c r="Q725" s="64" t="str">
        <f>Ringkasan!Q182</f>
        <v/>
      </c>
      <c r="R725" s="64" t="str">
        <f>Ringkasan!R182</f>
        <v/>
      </c>
      <c r="S725" s="64" t="str">
        <f>Ringkasan!S182</f>
        <v/>
      </c>
      <c r="T725" s="64" t="str">
        <f>Ringkasan!T182</f>
        <v/>
      </c>
      <c r="U725" s="22">
        <f>Ringkasan!U182</f>
        <v>14</v>
      </c>
      <c r="V725" s="22">
        <f>Ringkasan!V182</f>
        <v>7.14</v>
      </c>
      <c r="W725" s="22">
        <f>Ringkasan!W182</f>
        <v>14</v>
      </c>
      <c r="X725" s="22">
        <f>Ringkasan!X182</f>
        <v>15</v>
      </c>
      <c r="Y725" s="22">
        <f>Ringkasan!Y182</f>
        <v>14</v>
      </c>
      <c r="Z725" s="22">
        <f>Ringkasan!Z182</f>
        <v>3254400</v>
      </c>
      <c r="AA725" s="64" t="str">
        <f>Ringkasan!AA182</f>
        <v>Insurance</v>
      </c>
      <c r="AB725" s="64" t="str">
        <f>Ringkasan!AB182</f>
        <v>Financials</v>
      </c>
    </row>
    <row r="726" hidden="1">
      <c r="A726" s="64" t="str">
        <f>Ringkasan!A288</f>
        <v>BBRI</v>
      </c>
      <c r="B726" s="64" t="str">
        <f>Ringkasan!B288</f>
        <v>PT Bank Rakyat Indonesia (Persero) Tbk</v>
      </c>
      <c r="C726" s="65">
        <f>Ringkasan!C288</f>
        <v>2850</v>
      </c>
      <c r="D726" s="64" t="str">
        <f>Ringkasan!D288</f>
        <v>#N/A</v>
      </c>
      <c r="E726" s="64" t="str">
        <f>Ringkasan!E288</f>
        <v>ESGSKEHATI</v>
      </c>
      <c r="F726" s="66">
        <f>Ringkasan!F288</f>
        <v>46356</v>
      </c>
      <c r="G726" s="64">
        <f>Ringkasan!G288</f>
        <v>23</v>
      </c>
      <c r="H726" s="19">
        <f>Ringkasan!H288</f>
        <v>7.7</v>
      </c>
      <c r="I726" s="19">
        <f>Ringkasan!I288</f>
        <v>1.3</v>
      </c>
      <c r="J726" s="19">
        <f>Ringkasan!J288</f>
        <v>17</v>
      </c>
      <c r="K726" s="19">
        <f>Ringkasan!K288</f>
        <v>2.6</v>
      </c>
      <c r="L726" s="19">
        <f>Ringkasan!L288</f>
        <v>5.5</v>
      </c>
      <c r="M726" s="19">
        <f>Ringkasan!M288</f>
        <v>96.8</v>
      </c>
      <c r="N726" s="64">
        <f>Ringkasan!N288</f>
        <v>7.65</v>
      </c>
      <c r="O726" s="64">
        <f>Ringkasan!O288</f>
        <v>24.19</v>
      </c>
      <c r="P726" s="64">
        <f>Ringkasan!P288</f>
        <v>87.43</v>
      </c>
      <c r="Q726" s="64">
        <f>Ringkasan!Q288</f>
        <v>2.86</v>
      </c>
      <c r="R726" s="64">
        <f>Ringkasan!R288</f>
        <v>68.08</v>
      </c>
      <c r="S726" s="64">
        <f>Ringkasan!S288</f>
        <v>40.89</v>
      </c>
      <c r="T726" s="64">
        <f>Ringkasan!T288</f>
        <v>10.24</v>
      </c>
      <c r="U726" s="64">
        <f>Ringkasan!U288</f>
        <v>2850</v>
      </c>
      <c r="V726" s="64">
        <f>Ringkasan!V288</f>
        <v>0</v>
      </c>
      <c r="W726" s="64">
        <f>Ringkasan!W288</f>
        <v>2880</v>
      </c>
      <c r="X726" s="64">
        <f>Ringkasan!X288</f>
        <v>2900</v>
      </c>
      <c r="Y726" s="64">
        <f>Ringkasan!Y288</f>
        <v>2830</v>
      </c>
      <c r="Z726" s="64">
        <f>Ringkasan!Z288</f>
        <v>450530000</v>
      </c>
      <c r="AA726" s="64" t="str">
        <f>Ringkasan!AA288</f>
        <v>Banks</v>
      </c>
      <c r="AB726" s="64" t="str">
        <f>Ringkasan!AB288</f>
        <v>Financials</v>
      </c>
    </row>
    <row r="727" hidden="1">
      <c r="A727" s="64" t="str">
        <f>Ringkasan!A726</f>
        <v>FIRE</v>
      </c>
      <c r="B727" s="64" t="str">
        <f>Ringkasan!B726</f>
        <v>Alfa Energi Investama Tbk.</v>
      </c>
      <c r="C727" s="65">
        <f>Ringkasan!C726</f>
        <v>107</v>
      </c>
      <c r="D727" s="64" t="str">
        <f>Ringkasan!D726</f>
        <v>#N/A</v>
      </c>
      <c r="E727" s="64" t="str">
        <f>Ringkasan!E726</f>
        <v/>
      </c>
      <c r="F727" s="64" t="str">
        <f>Ringkasan!F726</f>
        <v/>
      </c>
      <c r="G727" s="64">
        <f>Ringkasan!G726</f>
        <v>0</v>
      </c>
      <c r="H727" s="19">
        <f>Ringkasan!H726</f>
        <v>-40.1</v>
      </c>
      <c r="I727" s="19">
        <f>Ringkasan!I726</f>
        <v>0.66</v>
      </c>
      <c r="J727" s="19">
        <f>Ringkasan!J726</f>
        <v>-1.6</v>
      </c>
      <c r="K727" s="19">
        <f>Ringkasan!K726</f>
        <v>-1.2</v>
      </c>
      <c r="L727" s="19">
        <f>Ringkasan!L726</f>
        <v>0.41</v>
      </c>
      <c r="M727" s="19">
        <f>Ringkasan!M726</f>
        <v>-8.1</v>
      </c>
      <c r="N727" s="64" t="str">
        <f>Ringkasan!N726</f>
        <v/>
      </c>
      <c r="O727" s="64" t="str">
        <f>Ringkasan!O726</f>
        <v/>
      </c>
      <c r="P727" s="64" t="str">
        <f>Ringkasan!P726</f>
        <v/>
      </c>
      <c r="Q727" s="64" t="str">
        <f>Ringkasan!Q726</f>
        <v/>
      </c>
      <c r="R727" s="64" t="str">
        <f>Ringkasan!R726</f>
        <v/>
      </c>
      <c r="S727" s="64" t="str">
        <f>Ringkasan!S726</f>
        <v/>
      </c>
      <c r="T727" s="64" t="str">
        <f>Ringkasan!T726</f>
        <v/>
      </c>
      <c r="U727" s="64">
        <f>Ringkasan!U726</f>
        <v>11.06</v>
      </c>
      <c r="V727" s="64">
        <f>Ringkasan!V726</f>
        <v>3.8</v>
      </c>
      <c r="W727" s="64">
        <f>Ringkasan!W726</f>
        <v>11.38</v>
      </c>
      <c r="X727" s="64">
        <f>Ringkasan!X726</f>
        <v>11.48</v>
      </c>
      <c r="Y727" s="64">
        <f>Ringkasan!Y726</f>
        <v>11.35</v>
      </c>
      <c r="Z727" s="64">
        <f>Ringkasan!Z726</f>
        <v>0</v>
      </c>
      <c r="AA727" s="64" t="str">
        <f>Ringkasan!AA726</f>
        <v>Coal</v>
      </c>
      <c r="AB727" s="64" t="str">
        <f>Ringkasan!AB726</f>
        <v>Energy</v>
      </c>
    </row>
    <row r="728" hidden="1">
      <c r="A728" s="64" t="str">
        <f>Ringkasan!A727</f>
        <v>FISH</v>
      </c>
      <c r="B728" s="64" t="str">
        <f>Ringkasan!B727</f>
        <v>FKS Multi Agro Tbk</v>
      </c>
      <c r="C728" s="65">
        <f>Ringkasan!C727</f>
        <v>620</v>
      </c>
      <c r="D728" s="64" t="str">
        <f>Ringkasan!D727</f>
        <v>#N/A</v>
      </c>
      <c r="E728" s="64" t="str">
        <f>Ringkasan!E727</f>
        <v/>
      </c>
      <c r="F728" s="64" t="str">
        <f>Ringkasan!F727</f>
        <v/>
      </c>
      <c r="G728" s="64">
        <f>Ringkasan!G727</f>
        <v>0</v>
      </c>
      <c r="H728" s="19">
        <f>Ringkasan!H727</f>
        <v>16.8</v>
      </c>
      <c r="I728" s="19">
        <f>Ringkasan!I727</f>
        <v>1.1</v>
      </c>
      <c r="J728" s="19">
        <f>Ringkasan!J727</f>
        <v>6.3</v>
      </c>
      <c r="K728" s="19">
        <f>Ringkasan!K727</f>
        <v>2.4</v>
      </c>
      <c r="L728" s="19">
        <f>Ringkasan!L727</f>
        <v>1.6</v>
      </c>
      <c r="M728" s="19">
        <f>Ringkasan!M727</f>
        <v>4.3</v>
      </c>
      <c r="N728" s="64" t="str">
        <f>Ringkasan!N727</f>
        <v/>
      </c>
      <c r="O728" s="64" t="str">
        <f>Ringkasan!O727</f>
        <v/>
      </c>
      <c r="P728" s="64" t="str">
        <f>Ringkasan!P727</f>
        <v/>
      </c>
      <c r="Q728" s="64" t="str">
        <f>Ringkasan!Q727</f>
        <v/>
      </c>
      <c r="R728" s="64" t="str">
        <f>Ringkasan!R727</f>
        <v/>
      </c>
      <c r="S728" s="64" t="str">
        <f>Ringkasan!S727</f>
        <v/>
      </c>
      <c r="T728" s="64" t="str">
        <f>Ringkasan!T727</f>
        <v/>
      </c>
      <c r="U728" s="64">
        <f>Ringkasan!U727</f>
        <v>4.2</v>
      </c>
      <c r="V728" s="64">
        <f>Ringkasan!V727</f>
        <v>4.05</v>
      </c>
      <c r="W728" s="64">
        <f>Ringkasan!W727</f>
        <v>4.21</v>
      </c>
      <c r="X728" s="64">
        <f>Ringkasan!X727</f>
        <v>4.37</v>
      </c>
      <c r="Y728" s="64">
        <f>Ringkasan!Y727</f>
        <v>4.2</v>
      </c>
      <c r="Z728" s="64">
        <f>Ringkasan!Z727</f>
        <v>86703</v>
      </c>
      <c r="AA728" s="64" t="str">
        <f>Ringkasan!AA727</f>
        <v>Agricultural Products</v>
      </c>
      <c r="AB728" s="64" t="str">
        <f>Ringkasan!AB727</f>
        <v>Consumer Non-Cyclicals</v>
      </c>
    </row>
    <row r="729" hidden="1">
      <c r="A729" s="64" t="str">
        <f>Ringkasan!A728</f>
        <v>FITT</v>
      </c>
      <c r="B729" s="64" t="str">
        <f>Ringkasan!B728</f>
        <v>Hotel Fitra International Tbk.</v>
      </c>
      <c r="C729" s="65">
        <f>Ringkasan!C728</f>
        <v>394</v>
      </c>
      <c r="D729" s="64" t="str">
        <f>Ringkasan!D728</f>
        <v>#N/A</v>
      </c>
      <c r="E729" s="64" t="str">
        <f>Ringkasan!E728</f>
        <v/>
      </c>
      <c r="F729" s="64" t="str">
        <f>Ringkasan!F728</f>
        <v/>
      </c>
      <c r="G729" s="64">
        <f>Ringkasan!G728</f>
        <v>0</v>
      </c>
      <c r="H729" s="19">
        <f>Ringkasan!H728</f>
        <v>-88.6</v>
      </c>
      <c r="I729" s="19">
        <f>Ringkasan!I728</f>
        <v>6.3</v>
      </c>
      <c r="J729" s="19">
        <f>Ringkasan!J728</f>
        <v>-7.1</v>
      </c>
      <c r="K729" s="19">
        <f>Ringkasan!K728</f>
        <v>-4.3</v>
      </c>
      <c r="L729" s="19">
        <f>Ringkasan!L728</f>
        <v>0.65</v>
      </c>
      <c r="M729" s="19">
        <f>Ringkasan!M728</f>
        <v>-61.9</v>
      </c>
      <c r="N729" s="64" t="str">
        <f>Ringkasan!N728</f>
        <v/>
      </c>
      <c r="O729" s="64" t="str">
        <f>Ringkasan!O728</f>
        <v/>
      </c>
      <c r="P729" s="64" t="str">
        <f>Ringkasan!P728</f>
        <v/>
      </c>
      <c r="Q729" s="64" t="str">
        <f>Ringkasan!Q728</f>
        <v/>
      </c>
      <c r="R729" s="64" t="str">
        <f>Ringkasan!R728</f>
        <v/>
      </c>
      <c r="S729" s="64" t="str">
        <f>Ringkasan!S728</f>
        <v/>
      </c>
      <c r="T729" s="64" t="str">
        <f>Ringkasan!T728</f>
        <v/>
      </c>
      <c r="U729" s="64">
        <f>Ringkasan!U728</f>
        <v>346</v>
      </c>
      <c r="V729" s="64">
        <f>Ringkasan!V728</f>
        <v>13.87</v>
      </c>
      <c r="W729" s="64">
        <f>Ringkasan!W728</f>
        <v>346</v>
      </c>
      <c r="X729" s="64">
        <f>Ringkasan!X728</f>
        <v>400</v>
      </c>
      <c r="Y729" s="64">
        <f>Ringkasan!Y728</f>
        <v>340</v>
      </c>
      <c r="Z729" s="64">
        <f>Ringkasan!Z728</f>
        <v>448600</v>
      </c>
      <c r="AA729" s="64" t="str">
        <f>Ringkasan!AA728</f>
        <v>Tourism &amp; Recreation</v>
      </c>
      <c r="AB729" s="64" t="str">
        <f>Ringkasan!AB728</f>
        <v>Consumer Cyclicals</v>
      </c>
    </row>
    <row r="730" hidden="1">
      <c r="A730" s="64" t="str">
        <f>Ringkasan!A729</f>
        <v>FLMC</v>
      </c>
      <c r="B730" s="64" t="str">
        <f>Ringkasan!B729</f>
        <v>Falmaco Nonwoven Industri Tbk.</v>
      </c>
      <c r="C730" s="65">
        <f>Ringkasan!C729</f>
        <v>92</v>
      </c>
      <c r="D730" s="64" t="str">
        <f>Ringkasan!D729</f>
        <v>#N/A</v>
      </c>
      <c r="E730" s="64" t="str">
        <f>Ringkasan!E729</f>
        <v/>
      </c>
      <c r="F730" s="64" t="str">
        <f>Ringkasan!F729</f>
        <v/>
      </c>
      <c r="G730" s="64">
        <f>Ringkasan!G729</f>
        <v>0</v>
      </c>
      <c r="H730" s="19">
        <f>Ringkasan!H729</f>
        <v>-5.2</v>
      </c>
      <c r="I730" s="19">
        <f>Ringkasan!I729</f>
        <v>5.8</v>
      </c>
      <c r="J730" s="19">
        <f>Ringkasan!J729</f>
        <v>-110</v>
      </c>
      <c r="K730" s="19">
        <f>Ringkasan!K729</f>
        <v>-41.7</v>
      </c>
      <c r="L730" s="19">
        <f>Ringkasan!L729</f>
        <v>1.7</v>
      </c>
      <c r="M730" s="19">
        <f>Ringkasan!M729</f>
        <v>-160</v>
      </c>
      <c r="N730" s="64" t="str">
        <f>Ringkasan!N729</f>
        <v/>
      </c>
      <c r="O730" s="64" t="str">
        <f>Ringkasan!O729</f>
        <v/>
      </c>
      <c r="P730" s="64" t="str">
        <f>Ringkasan!P729</f>
        <v/>
      </c>
      <c r="Q730" s="64" t="str">
        <f>Ringkasan!Q729</f>
        <v/>
      </c>
      <c r="R730" s="64" t="str">
        <f>Ringkasan!R729</f>
        <v/>
      </c>
      <c r="S730" s="64" t="str">
        <f>Ringkasan!S729</f>
        <v/>
      </c>
      <c r="T730" s="64" t="str">
        <f>Ringkasan!T729</f>
        <v/>
      </c>
      <c r="U730" s="64">
        <f>Ringkasan!U729</f>
        <v>99</v>
      </c>
      <c r="V730" s="64">
        <f>Ringkasan!V729</f>
        <v>-7.07</v>
      </c>
      <c r="W730" s="64">
        <f>Ringkasan!W729</f>
        <v>90</v>
      </c>
      <c r="X730" s="64">
        <f>Ringkasan!X729</f>
        <v>98</v>
      </c>
      <c r="Y730" s="64">
        <f>Ringkasan!Y729</f>
        <v>90</v>
      </c>
      <c r="Z730" s="64">
        <f>Ringkasan!Z729</f>
        <v>26948300</v>
      </c>
      <c r="AA730" s="64" t="str">
        <f>Ringkasan!AA729</f>
        <v>Personal Care Products</v>
      </c>
      <c r="AB730" s="64" t="str">
        <f>Ringkasan!AB729</f>
        <v>Consumer Non-Cyclicals</v>
      </c>
    </row>
    <row r="731" hidden="1">
      <c r="A731" s="64" t="str">
        <f>Ringkasan!A730</f>
        <v>FMII</v>
      </c>
      <c r="B731" s="64" t="str">
        <f>Ringkasan!B730</f>
        <v>Fortune Mate Indonesia Tbk</v>
      </c>
      <c r="C731" s="65">
        <f>Ringkasan!C730</f>
        <v>252</v>
      </c>
      <c r="D731" s="64" t="str">
        <f>Ringkasan!D730</f>
        <v>#N/A</v>
      </c>
      <c r="E731" s="64" t="str">
        <f>Ringkasan!E730</f>
        <v/>
      </c>
      <c r="F731" s="64" t="str">
        <f>Ringkasan!F730</f>
        <v/>
      </c>
      <c r="G731" s="64">
        <f>Ringkasan!G730</f>
        <v>0</v>
      </c>
      <c r="H731" s="19">
        <f>Ringkasan!H730</f>
        <v>-200</v>
      </c>
      <c r="I731" s="19">
        <f>Ringkasan!I730</f>
        <v>2.1</v>
      </c>
      <c r="J731" s="19">
        <f>Ringkasan!J730</f>
        <v>-1.1</v>
      </c>
      <c r="K731" s="19">
        <f>Ringkasan!K730</f>
        <v>-0.96</v>
      </c>
      <c r="L731" s="19">
        <f>Ringkasan!L730</f>
        <v>0.09</v>
      </c>
      <c r="M731" s="19">
        <f>Ringkasan!M730</f>
        <v>0</v>
      </c>
      <c r="N731" s="64" t="str">
        <f>Ringkasan!N730</f>
        <v/>
      </c>
      <c r="O731" s="64" t="str">
        <f>Ringkasan!O730</f>
        <v/>
      </c>
      <c r="P731" s="64" t="str">
        <f>Ringkasan!P730</f>
        <v/>
      </c>
      <c r="Q731" s="64" t="str">
        <f>Ringkasan!Q730</f>
        <v/>
      </c>
      <c r="R731" s="64" t="str">
        <f>Ringkasan!R730</f>
        <v/>
      </c>
      <c r="S731" s="64" t="str">
        <f>Ringkasan!S730</f>
        <v/>
      </c>
      <c r="T731" s="64" t="str">
        <f>Ringkasan!T730</f>
        <v/>
      </c>
      <c r="U731" s="64">
        <f>Ringkasan!U730</f>
        <v>252</v>
      </c>
      <c r="V731" s="64">
        <f>Ringkasan!V730</f>
        <v>0</v>
      </c>
      <c r="W731" s="64">
        <f>Ringkasan!W730</f>
        <v>234</v>
      </c>
      <c r="X731" s="64">
        <f>Ringkasan!X730</f>
        <v>264</v>
      </c>
      <c r="Y731" s="64">
        <f>Ringkasan!Y730</f>
        <v>234</v>
      </c>
      <c r="Z731" s="64">
        <f>Ringkasan!Z730</f>
        <v>56100</v>
      </c>
      <c r="AA731" s="64" t="str">
        <f>Ringkasan!AA730</f>
        <v>Real Estate Management &amp; Development</v>
      </c>
      <c r="AB731" s="64" t="str">
        <f>Ringkasan!AB730</f>
        <v>Properties &amp; Real Estate</v>
      </c>
    </row>
    <row r="732" hidden="1">
      <c r="A732" s="64" t="str">
        <f>Ringkasan!A731</f>
        <v>FOLK</v>
      </c>
      <c r="B732" s="64" t="str">
        <f>Ringkasan!B731</f>
        <v>PT Multi Garam Utama Tbk.</v>
      </c>
      <c r="C732" s="65">
        <f>Ringkasan!C731</f>
        <v>206</v>
      </c>
      <c r="D732" s="64" t="str">
        <f>Ringkasan!D731</f>
        <v>#N/A</v>
      </c>
      <c r="E732" s="64" t="str">
        <f>Ringkasan!E731</f>
        <v/>
      </c>
      <c r="F732" s="64" t="str">
        <f>Ringkasan!F731</f>
        <v/>
      </c>
      <c r="G732" s="64">
        <f>Ringkasan!G731</f>
        <v>0</v>
      </c>
      <c r="H732" s="19">
        <f>Ringkasan!H731</f>
        <v>200</v>
      </c>
      <c r="I732" s="19">
        <f>Ringkasan!I731</f>
        <v>6.4</v>
      </c>
      <c r="J732" s="19">
        <f>Ringkasan!J731</f>
        <v>3.2</v>
      </c>
      <c r="K732" s="19">
        <f>Ringkasan!K731</f>
        <v>3</v>
      </c>
      <c r="L732" s="19">
        <f>Ringkasan!L731</f>
        <v>0.07</v>
      </c>
      <c r="M732" s="19">
        <f>Ringkasan!M731</f>
        <v>110</v>
      </c>
      <c r="N732" s="64" t="str">
        <f>Ringkasan!N731</f>
        <v/>
      </c>
      <c r="O732" s="64" t="str">
        <f>Ringkasan!O731</f>
        <v/>
      </c>
      <c r="P732" s="64" t="str">
        <f>Ringkasan!P731</f>
        <v/>
      </c>
      <c r="Q732" s="64" t="str">
        <f>Ringkasan!Q731</f>
        <v/>
      </c>
      <c r="R732" s="64" t="str">
        <f>Ringkasan!R731</f>
        <v/>
      </c>
      <c r="S732" s="64" t="str">
        <f>Ringkasan!S731</f>
        <v/>
      </c>
      <c r="T732" s="64" t="str">
        <f>Ringkasan!T731</f>
        <v/>
      </c>
      <c r="U732" s="64">
        <f>Ringkasan!U731</f>
        <v>218</v>
      </c>
      <c r="V732" s="64">
        <f>Ringkasan!V731</f>
        <v>-5.5</v>
      </c>
      <c r="W732" s="64">
        <f>Ringkasan!W731</f>
        <v>216</v>
      </c>
      <c r="X732" s="64">
        <f>Ringkasan!X731</f>
        <v>232</v>
      </c>
      <c r="Y732" s="64">
        <f>Ringkasan!Y731</f>
        <v>200</v>
      </c>
      <c r="Z732" s="64">
        <f>Ringkasan!Z731</f>
        <v>14382900</v>
      </c>
      <c r="AA732" s="64" t="str">
        <f>Ringkasan!AA731</f>
        <v>Multi-sector Holdings</v>
      </c>
      <c r="AB732" s="64" t="str">
        <f>Ringkasan!AB731</f>
        <v>Industrials</v>
      </c>
    </row>
    <row r="733" hidden="1">
      <c r="A733" s="64" t="str">
        <f>Ringkasan!A732</f>
        <v>FOOD</v>
      </c>
      <c r="B733" s="64" t="str">
        <f>Ringkasan!B732</f>
        <v>Sentra Food Indonesia Tbk.</v>
      </c>
      <c r="C733" s="65">
        <f>Ringkasan!C732</f>
        <v>161</v>
      </c>
      <c r="D733" s="64" t="str">
        <f>Ringkasan!D732</f>
        <v>#N/A</v>
      </c>
      <c r="E733" s="64" t="str">
        <f>Ringkasan!E732</f>
        <v/>
      </c>
      <c r="F733" s="64" t="str">
        <f>Ringkasan!F732</f>
        <v/>
      </c>
      <c r="G733" s="64">
        <f>Ringkasan!G732</f>
        <v>0</v>
      </c>
      <c r="H733" s="19">
        <f>Ringkasan!H732</f>
        <v>-7.6</v>
      </c>
      <c r="I733" s="19">
        <f>Ringkasan!I732</f>
        <v>-3.8</v>
      </c>
      <c r="J733" s="19">
        <f>Ringkasan!J732</f>
        <v>0</v>
      </c>
      <c r="K733" s="19">
        <f>Ringkasan!K732</f>
        <v>-34.5</v>
      </c>
      <c r="L733" s="19">
        <f>Ringkasan!L732</f>
        <v>-2.4</v>
      </c>
      <c r="M733" s="19">
        <f>Ringkasan!M732</f>
        <v>-64.3</v>
      </c>
      <c r="N733" s="64" t="str">
        <f>Ringkasan!N732</f>
        <v/>
      </c>
      <c r="O733" s="64" t="str">
        <f>Ringkasan!O732</f>
        <v/>
      </c>
      <c r="P733" s="64" t="str">
        <f>Ringkasan!P732</f>
        <v/>
      </c>
      <c r="Q733" s="64" t="str">
        <f>Ringkasan!Q732</f>
        <v/>
      </c>
      <c r="R733" s="64" t="str">
        <f>Ringkasan!R732</f>
        <v/>
      </c>
      <c r="S733" s="64" t="str">
        <f>Ringkasan!S732</f>
        <v/>
      </c>
      <c r="T733" s="64" t="str">
        <f>Ringkasan!T732</f>
        <v/>
      </c>
      <c r="U733" s="64">
        <f>Ringkasan!U732</f>
        <v>3.69</v>
      </c>
      <c r="V733" s="64">
        <f>Ringkasan!V732</f>
        <v>1.67</v>
      </c>
      <c r="W733" s="64">
        <f>Ringkasan!W732</f>
        <v>3.76</v>
      </c>
      <c r="X733" s="64">
        <f>Ringkasan!X732</f>
        <v>3.79</v>
      </c>
      <c r="Y733" s="64">
        <f>Ringkasan!Y732</f>
        <v>3.74</v>
      </c>
      <c r="Z733" s="64">
        <f>Ringkasan!Z732</f>
        <v>392</v>
      </c>
      <c r="AA733" s="64" t="str">
        <f>Ringkasan!AA732</f>
        <v>Processed Foods</v>
      </c>
      <c r="AB733" s="64" t="str">
        <f>Ringkasan!AB732</f>
        <v>Consumer Non-Cyclicals</v>
      </c>
    </row>
    <row r="734" hidden="1">
      <c r="A734" s="64" t="str">
        <f>Ringkasan!A446</f>
        <v>BSIM</v>
      </c>
      <c r="B734" s="64" t="str">
        <f>Ringkasan!B446</f>
        <v>Bank Sinarmas Tbk</v>
      </c>
      <c r="C734" s="67">
        <f>Ringkasan!C446</f>
        <v>730</v>
      </c>
      <c r="D734" s="22" t="str">
        <f>Ringkasan!D446</f>
        <v>#N/A</v>
      </c>
      <c r="E734" s="64" t="str">
        <f>Ringkasan!E446</f>
        <v/>
      </c>
      <c r="F734" s="64" t="str">
        <f>Ringkasan!F446</f>
        <v/>
      </c>
      <c r="G734" s="64">
        <f>Ringkasan!G446</f>
        <v>0</v>
      </c>
      <c r="H734" s="19">
        <f>Ringkasan!H446</f>
        <v>55.2</v>
      </c>
      <c r="I734" s="19">
        <f>Ringkasan!I446</f>
        <v>1.8</v>
      </c>
      <c r="J734" s="19">
        <f>Ringkasan!J446</f>
        <v>3.2</v>
      </c>
      <c r="K734" s="19">
        <f>Ringkasan!K446</f>
        <v>0.51</v>
      </c>
      <c r="L734" s="19">
        <f>Ringkasan!L446</f>
        <v>4.8</v>
      </c>
      <c r="M734" s="19">
        <f>Ringkasan!M446</f>
        <v>35.8</v>
      </c>
      <c r="N734" s="64">
        <f>Ringkasan!N446</f>
        <v>6.1</v>
      </c>
      <c r="O734" s="64">
        <f>Ringkasan!O446</f>
        <v>30.55</v>
      </c>
      <c r="P734" s="64">
        <f>Ringkasan!P446</f>
        <v>81.42</v>
      </c>
      <c r="Q734" s="64">
        <f>Ringkasan!Q446</f>
        <v>2.33</v>
      </c>
      <c r="R734" s="64">
        <f>Ringkasan!R446</f>
        <v>95.95</v>
      </c>
      <c r="S734" s="64">
        <f>Ringkasan!S446</f>
        <v>75.41</v>
      </c>
      <c r="T734" s="64">
        <f>Ringkasan!T446</f>
        <v>12.05</v>
      </c>
      <c r="U734" s="22">
        <f>Ringkasan!U446</f>
        <v>720</v>
      </c>
      <c r="V734" s="22">
        <f>Ringkasan!V446</f>
        <v>1.39</v>
      </c>
      <c r="W734" s="22">
        <f>Ringkasan!W446</f>
        <v>720</v>
      </c>
      <c r="X734" s="22">
        <f>Ringkasan!X446</f>
        <v>735</v>
      </c>
      <c r="Y734" s="22">
        <f>Ringkasan!Y446</f>
        <v>710</v>
      </c>
      <c r="Z734" s="22">
        <f>Ringkasan!Z446</f>
        <v>51600</v>
      </c>
      <c r="AA734" s="64" t="str">
        <f>Ringkasan!AA446</f>
        <v>Banks</v>
      </c>
      <c r="AB734" s="64" t="str">
        <f>Ringkasan!AB446</f>
        <v>Financials</v>
      </c>
    </row>
    <row r="735" hidden="1">
      <c r="A735" s="64" t="str">
        <f>Ringkasan!A734</f>
        <v>FORU</v>
      </c>
      <c r="B735" s="64" t="str">
        <f>Ringkasan!B734</f>
        <v>Fortune Indonesia Tbk</v>
      </c>
      <c r="C735" s="65">
        <f>Ringkasan!C734</f>
        <v>3770</v>
      </c>
      <c r="D735" s="64" t="str">
        <f>Ringkasan!D734</f>
        <v>#N/A</v>
      </c>
      <c r="E735" s="64" t="str">
        <f>Ringkasan!E734</f>
        <v/>
      </c>
      <c r="F735" s="64" t="str">
        <f>Ringkasan!F734</f>
        <v/>
      </c>
      <c r="G735" s="64">
        <f>Ringkasan!G734</f>
        <v>0</v>
      </c>
      <c r="H735" s="19">
        <f>Ringkasan!H734</f>
        <v>-94.1</v>
      </c>
      <c r="I735" s="19">
        <f>Ringkasan!I734</f>
        <v>36.3</v>
      </c>
      <c r="J735" s="19">
        <f>Ringkasan!J734</f>
        <v>-38.6</v>
      </c>
      <c r="K735" s="19">
        <f>Ringkasan!K734</f>
        <v>-22.1</v>
      </c>
      <c r="L735" s="19">
        <f>Ringkasan!L734</f>
        <v>0.74</v>
      </c>
      <c r="M735" s="19">
        <f>Ringkasan!M734</f>
        <v>-140</v>
      </c>
      <c r="N735" s="64" t="str">
        <f>Ringkasan!N734</f>
        <v/>
      </c>
      <c r="O735" s="64" t="str">
        <f>Ringkasan!O734</f>
        <v/>
      </c>
      <c r="P735" s="64" t="str">
        <f>Ringkasan!P734</f>
        <v/>
      </c>
      <c r="Q735" s="64" t="str">
        <f>Ringkasan!Q734</f>
        <v/>
      </c>
      <c r="R735" s="64" t="str">
        <f>Ringkasan!R734</f>
        <v/>
      </c>
      <c r="S735" s="64" t="str">
        <f>Ringkasan!S734</f>
        <v/>
      </c>
      <c r="T735" s="64" t="str">
        <f>Ringkasan!T734</f>
        <v/>
      </c>
      <c r="U735" s="64">
        <f>Ringkasan!U734</f>
        <v>0</v>
      </c>
      <c r="V735" s="64">
        <f>Ringkasan!V734</f>
        <v>0</v>
      </c>
      <c r="W735" s="64" t="str">
        <f>Ringkasan!W734</f>
        <v/>
      </c>
      <c r="X735" s="64" t="str">
        <f>Ringkasan!X734</f>
        <v/>
      </c>
      <c r="Y735" s="64" t="str">
        <f>Ringkasan!Y734</f>
        <v/>
      </c>
      <c r="Z735" s="64">
        <f>Ringkasan!Z734</f>
        <v>0</v>
      </c>
      <c r="AA735" s="64" t="str">
        <f>Ringkasan!AA734</f>
        <v>Media</v>
      </c>
      <c r="AB735" s="64" t="str">
        <f>Ringkasan!AB734</f>
        <v>Consumer Cyclicals</v>
      </c>
    </row>
    <row r="736" hidden="1">
      <c r="A736" s="64" t="str">
        <f>Ringkasan!A735</f>
        <v>FPNI</v>
      </c>
      <c r="B736" s="64" t="str">
        <f>Ringkasan!B735</f>
        <v>Lotte Chemical Titan Tbk.</v>
      </c>
      <c r="C736" s="65" t="str">
        <f>Ringkasan!C735</f>
        <v>#N/A</v>
      </c>
      <c r="D736" s="64" t="str">
        <f>Ringkasan!D735</f>
        <v>#N/A</v>
      </c>
      <c r="E736" s="64" t="str">
        <f>Ringkasan!E735</f>
        <v/>
      </c>
      <c r="F736" s="64" t="str">
        <f>Ringkasan!F735</f>
        <v/>
      </c>
      <c r="G736" s="64">
        <f>Ringkasan!G735</f>
        <v>0</v>
      </c>
      <c r="H736" s="19">
        <f>Ringkasan!H735</f>
        <v>16.4</v>
      </c>
      <c r="I736" s="19">
        <f>Ringkasan!I735</f>
        <v>1.2</v>
      </c>
      <c r="J736" s="19">
        <f>Ringkasan!J735</f>
        <v>7</v>
      </c>
      <c r="K736" s="19">
        <f>Ringkasan!K735</f>
        <v>4.5</v>
      </c>
      <c r="L736" s="19">
        <f>Ringkasan!L735</f>
        <v>0.56</v>
      </c>
      <c r="M736" s="19">
        <f>Ringkasan!M735</f>
        <v>9.1</v>
      </c>
      <c r="N736" s="64" t="str">
        <f>Ringkasan!N735</f>
        <v/>
      </c>
      <c r="O736" s="64" t="str">
        <f>Ringkasan!O735</f>
        <v/>
      </c>
      <c r="P736" s="64" t="str">
        <f>Ringkasan!P735</f>
        <v/>
      </c>
      <c r="Q736" s="64" t="str">
        <f>Ringkasan!Q735</f>
        <v/>
      </c>
      <c r="R736" s="64" t="str">
        <f>Ringkasan!R735</f>
        <v/>
      </c>
      <c r="S736" s="64" t="str">
        <f>Ringkasan!S735</f>
        <v/>
      </c>
      <c r="T736" s="64" t="str">
        <f>Ringkasan!T735</f>
        <v/>
      </c>
      <c r="U736" s="64">
        <f>Ringkasan!U735</f>
        <v>300</v>
      </c>
      <c r="V736" s="64">
        <f>Ringkasan!V735</f>
        <v>3.33</v>
      </c>
      <c r="W736" s="64">
        <f>Ringkasan!W735</f>
        <v>300</v>
      </c>
      <c r="X736" s="64">
        <f>Ringkasan!X735</f>
        <v>314</v>
      </c>
      <c r="Y736" s="64">
        <f>Ringkasan!Y735</f>
        <v>300</v>
      </c>
      <c r="Z736" s="64">
        <f>Ringkasan!Z735</f>
        <v>2552100</v>
      </c>
      <c r="AA736" s="64" t="str">
        <f>Ringkasan!AA735</f>
        <v>Chemicals</v>
      </c>
      <c r="AB736" s="64" t="str">
        <f>Ringkasan!AB735</f>
        <v>Basic Materials</v>
      </c>
    </row>
    <row r="737" hidden="1">
      <c r="A737" s="64" t="str">
        <f>Ringkasan!A736</f>
        <v>FREN</v>
      </c>
      <c r="B737" s="64" t="str">
        <f>Ringkasan!B736</f>
        <v>Smartfren Telecom Tbk</v>
      </c>
      <c r="C737" s="65" t="str">
        <f>Ringkasan!C736</f>
        <v>#N/A</v>
      </c>
      <c r="D737" s="64" t="str">
        <f>Ringkasan!D736</f>
        <v>#N/A</v>
      </c>
      <c r="E737" s="64" t="str">
        <f>Ringkasan!E736</f>
        <v/>
      </c>
      <c r="F737" s="64" t="str">
        <f>Ringkasan!F736</f>
        <v/>
      </c>
      <c r="G737" s="64">
        <f>Ringkasan!G736</f>
        <v>0</v>
      </c>
      <c r="H737" s="19" t="str">
        <f>Ringkasan!H736</f>
        <v/>
      </c>
      <c r="I737" s="19" t="str">
        <f>Ringkasan!I736</f>
        <v/>
      </c>
      <c r="J737" s="19" t="str">
        <f>Ringkasan!J736</f>
        <v/>
      </c>
      <c r="K737" s="19" t="str">
        <f>Ringkasan!K736</f>
        <v/>
      </c>
      <c r="L737" s="19" t="str">
        <f>Ringkasan!L736</f>
        <v/>
      </c>
      <c r="M737" s="19" t="str">
        <f>Ringkasan!M736</f>
        <v/>
      </c>
      <c r="N737" s="64" t="str">
        <f>Ringkasan!N736</f>
        <v/>
      </c>
      <c r="O737" s="64" t="str">
        <f>Ringkasan!O736</f>
        <v/>
      </c>
      <c r="P737" s="64" t="str">
        <f>Ringkasan!P736</f>
        <v/>
      </c>
      <c r="Q737" s="64" t="str">
        <f>Ringkasan!Q736</f>
        <v/>
      </c>
      <c r="R737" s="64" t="str">
        <f>Ringkasan!R736</f>
        <v/>
      </c>
      <c r="S737" s="64" t="str">
        <f>Ringkasan!S736</f>
        <v/>
      </c>
      <c r="T737" s="64" t="str">
        <f>Ringkasan!T736</f>
        <v/>
      </c>
      <c r="U737" s="64">
        <f>Ringkasan!U736</f>
        <v>791.93</v>
      </c>
      <c r="V737" s="64">
        <f>Ringkasan!V736</f>
        <v>0</v>
      </c>
      <c r="W737" s="64" t="str">
        <f>Ringkasan!W736</f>
        <v/>
      </c>
      <c r="X737" s="64" t="str">
        <f>Ringkasan!X736</f>
        <v/>
      </c>
      <c r="Y737" s="64" t="str">
        <f>Ringkasan!Y736</f>
        <v/>
      </c>
      <c r="Z737" s="64">
        <f>Ringkasan!Z736</f>
        <v>0</v>
      </c>
      <c r="AA737" s="64" t="str">
        <f>Ringkasan!AA736</f>
        <v>Wireless Telecommunication Services</v>
      </c>
      <c r="AB737" s="64" t="str">
        <f>Ringkasan!AB736</f>
        <v>Infrastructures</v>
      </c>
    </row>
    <row r="738" hidden="1">
      <c r="A738" s="64" t="str">
        <f>Ringkasan!A737</f>
        <v>FUJI</v>
      </c>
      <c r="B738" s="64" t="str">
        <f>Ringkasan!B737</f>
        <v>Fuji Finance Indonesia Tbk.</v>
      </c>
      <c r="C738" s="65">
        <f>Ringkasan!C737</f>
        <v>278</v>
      </c>
      <c r="D738" s="64" t="str">
        <f>Ringkasan!D737</f>
        <v>#N/A</v>
      </c>
      <c r="E738" s="64" t="str">
        <f>Ringkasan!E737</f>
        <v/>
      </c>
      <c r="F738" s="64" t="str">
        <f>Ringkasan!F737</f>
        <v/>
      </c>
      <c r="G738" s="64">
        <f>Ringkasan!G737</f>
        <v>0</v>
      </c>
      <c r="H738" s="19">
        <f>Ringkasan!H737</f>
        <v>61.2</v>
      </c>
      <c r="I738" s="19">
        <f>Ringkasan!I737</f>
        <v>2</v>
      </c>
      <c r="J738" s="19">
        <f>Ringkasan!J737</f>
        <v>3.2</v>
      </c>
      <c r="K738" s="19">
        <f>Ringkasan!K737</f>
        <v>3.1</v>
      </c>
      <c r="L738" s="19">
        <f>Ringkasan!L737</f>
        <v>0.03</v>
      </c>
      <c r="M738" s="19">
        <f>Ringkasan!M737</f>
        <v>690</v>
      </c>
      <c r="N738" s="64" t="str">
        <f>Ringkasan!N737</f>
        <v/>
      </c>
      <c r="O738" s="64" t="str">
        <f>Ringkasan!O737</f>
        <v/>
      </c>
      <c r="P738" s="64" t="str">
        <f>Ringkasan!P737</f>
        <v/>
      </c>
      <c r="Q738" s="64" t="str">
        <f>Ringkasan!Q737</f>
        <v/>
      </c>
      <c r="R738" s="64" t="str">
        <f>Ringkasan!R737</f>
        <v/>
      </c>
      <c r="S738" s="64" t="str">
        <f>Ringkasan!S737</f>
        <v/>
      </c>
      <c r="T738" s="64" t="str">
        <f>Ringkasan!T737</f>
        <v/>
      </c>
      <c r="U738" s="64">
        <f>Ringkasan!U737</f>
        <v>11.61</v>
      </c>
      <c r="V738" s="64">
        <f>Ringkasan!V737</f>
        <v>2.05</v>
      </c>
      <c r="W738" s="64">
        <f>Ringkasan!W737</f>
        <v>11.7</v>
      </c>
      <c r="X738" s="64">
        <f>Ringkasan!X737</f>
        <v>11.85</v>
      </c>
      <c r="Y738" s="64">
        <f>Ringkasan!Y737</f>
        <v>11.7</v>
      </c>
      <c r="Z738" s="64">
        <f>Ringkasan!Z737</f>
        <v>919</v>
      </c>
      <c r="AA738" s="64" t="str">
        <f>Ringkasan!AA737</f>
        <v>Consumer Financing</v>
      </c>
      <c r="AB738" s="64" t="str">
        <f>Ringkasan!AB737</f>
        <v>Financials</v>
      </c>
    </row>
    <row r="739" hidden="1">
      <c r="A739" s="64" t="str">
        <f>Ringkasan!A738</f>
        <v>FUTR</v>
      </c>
      <c r="B739" s="64" t="str">
        <f>Ringkasan!B738</f>
        <v>Futura Energi Global Tbk.</v>
      </c>
      <c r="C739" s="65">
        <f>Ringkasan!C738</f>
        <v>156</v>
      </c>
      <c r="D739" s="64" t="str">
        <f>Ringkasan!D738</f>
        <v>#N/A</v>
      </c>
      <c r="E739" s="64" t="str">
        <f>Ringkasan!E738</f>
        <v/>
      </c>
      <c r="F739" s="64" t="str">
        <f>Ringkasan!F738</f>
        <v/>
      </c>
      <c r="G739" s="64">
        <f>Ringkasan!G738</f>
        <v>0</v>
      </c>
      <c r="H739" s="19">
        <f>Ringkasan!H738</f>
        <v>150</v>
      </c>
      <c r="I739" s="19">
        <f>Ringkasan!I738</f>
        <v>5.4</v>
      </c>
      <c r="J739" s="19">
        <f>Ringkasan!J738</f>
        <v>3.5</v>
      </c>
      <c r="K739" s="19">
        <f>Ringkasan!K738</f>
        <v>3.2</v>
      </c>
      <c r="L739" s="19">
        <f>Ringkasan!L738</f>
        <v>0.09</v>
      </c>
      <c r="M739" s="19">
        <f>Ringkasan!M738</f>
        <v>22.9</v>
      </c>
      <c r="N739" s="64" t="str">
        <f>Ringkasan!N738</f>
        <v/>
      </c>
      <c r="O739" s="64" t="str">
        <f>Ringkasan!O738</f>
        <v/>
      </c>
      <c r="P739" s="64" t="str">
        <f>Ringkasan!P738</f>
        <v/>
      </c>
      <c r="Q739" s="64" t="str">
        <f>Ringkasan!Q738</f>
        <v/>
      </c>
      <c r="R739" s="64" t="str">
        <f>Ringkasan!R738</f>
        <v/>
      </c>
      <c r="S739" s="64" t="str">
        <f>Ringkasan!S738</f>
        <v/>
      </c>
      <c r="T739" s="64" t="str">
        <f>Ringkasan!T738</f>
        <v/>
      </c>
      <c r="U739" s="64">
        <f>Ringkasan!U738</f>
        <v>0.24</v>
      </c>
      <c r="V739" s="64">
        <f>Ringkasan!V738</f>
        <v>0</v>
      </c>
      <c r="W739" s="64">
        <f>Ringkasan!W738</f>
        <v>0.24</v>
      </c>
      <c r="X739" s="64">
        <f>Ringkasan!X738</f>
        <v>0.24</v>
      </c>
      <c r="Y739" s="64">
        <f>Ringkasan!Y738</f>
        <v>0.24</v>
      </c>
      <c r="Z739" s="64">
        <f>Ringkasan!Z738</f>
        <v>1525</v>
      </c>
      <c r="AA739" s="64" t="str">
        <f>Ringkasan!AA738</f>
        <v>Media</v>
      </c>
      <c r="AB739" s="64" t="str">
        <f>Ringkasan!AB738</f>
        <v>Consumer Cyclicals</v>
      </c>
    </row>
    <row r="740" hidden="1">
      <c r="A740" s="64" t="str">
        <f>Ringkasan!A739</f>
        <v>FWCT</v>
      </c>
      <c r="B740" s="64" t="str">
        <f>Ringkasan!B739</f>
        <v>PT Wijaya Cahaya Timber Tbk</v>
      </c>
      <c r="C740" s="65">
        <f>Ringkasan!C739</f>
        <v>73</v>
      </c>
      <c r="D740" s="64" t="str">
        <f>Ringkasan!D739</f>
        <v>#N/A</v>
      </c>
      <c r="E740" s="64" t="str">
        <f>Ringkasan!E739</f>
        <v/>
      </c>
      <c r="F740" s="64" t="str">
        <f>Ringkasan!F739</f>
        <v/>
      </c>
      <c r="G740" s="64">
        <f>Ringkasan!G739</f>
        <v>0</v>
      </c>
      <c r="H740" s="19">
        <f>Ringkasan!H739</f>
        <v>-7.6</v>
      </c>
      <c r="I740" s="19">
        <f>Ringkasan!I739</f>
        <v>0.49</v>
      </c>
      <c r="J740" s="19">
        <f>Ringkasan!J739</f>
        <v>-6.4</v>
      </c>
      <c r="K740" s="19">
        <f>Ringkasan!K739</f>
        <v>-2.5</v>
      </c>
      <c r="L740" s="19">
        <f>Ringkasan!L739</f>
        <v>1.6</v>
      </c>
      <c r="M740" s="19">
        <f>Ringkasan!M739</f>
        <v>-17.2</v>
      </c>
      <c r="N740" s="64" t="str">
        <f>Ringkasan!N739</f>
        <v/>
      </c>
      <c r="O740" s="64" t="str">
        <f>Ringkasan!O739</f>
        <v/>
      </c>
      <c r="P740" s="64" t="str">
        <f>Ringkasan!P739</f>
        <v/>
      </c>
      <c r="Q740" s="64" t="str">
        <f>Ringkasan!Q739</f>
        <v/>
      </c>
      <c r="R740" s="64" t="str">
        <f>Ringkasan!R739</f>
        <v/>
      </c>
      <c r="S740" s="64" t="str">
        <f>Ringkasan!S739</f>
        <v/>
      </c>
      <c r="T740" s="64" t="str">
        <f>Ringkasan!T739</f>
        <v/>
      </c>
      <c r="U740" s="64">
        <f>Ringkasan!U739</f>
        <v>70</v>
      </c>
      <c r="V740" s="64">
        <f>Ringkasan!V739</f>
        <v>4.29</v>
      </c>
      <c r="W740" s="64" t="str">
        <f>Ringkasan!W739</f>
        <v/>
      </c>
      <c r="X740" s="64">
        <f>Ringkasan!X739</f>
        <v>74</v>
      </c>
      <c r="Y740" s="64">
        <f>Ringkasan!Y739</f>
        <v>70</v>
      </c>
      <c r="Z740" s="64">
        <f>Ringkasan!Z739</f>
        <v>1606200</v>
      </c>
      <c r="AA740" s="64" t="str">
        <f>Ringkasan!AA739</f>
        <v>Oil &amp; Gas</v>
      </c>
      <c r="AB740" s="64" t="str">
        <f>Ringkasan!AB739</f>
        <v>Energy</v>
      </c>
    </row>
    <row r="741" hidden="1">
      <c r="A741" s="64" t="str">
        <f>Ringkasan!A740</f>
        <v>GAMA</v>
      </c>
      <c r="B741" s="64" t="str">
        <f>Ringkasan!B740</f>
        <v>Aksara Global Development Tbk.</v>
      </c>
      <c r="C741" s="65">
        <f>Ringkasan!C740</f>
        <v>18</v>
      </c>
      <c r="D741" s="64" t="str">
        <f>Ringkasan!D740</f>
        <v>#N/A</v>
      </c>
      <c r="E741" s="64" t="str">
        <f>Ringkasan!E740</f>
        <v/>
      </c>
      <c r="F741" s="64" t="str">
        <f>Ringkasan!F740</f>
        <v/>
      </c>
      <c r="G741" s="64">
        <f>Ringkasan!G740</f>
        <v>0</v>
      </c>
      <c r="H741" s="19">
        <f>Ringkasan!H740</f>
        <v>0</v>
      </c>
      <c r="I741" s="19">
        <f>Ringkasan!I740</f>
        <v>0.17</v>
      </c>
      <c r="J741" s="19">
        <f>Ringkasan!J740</f>
        <v>-3.3</v>
      </c>
      <c r="K741" s="19">
        <f>Ringkasan!K740</f>
        <v>-2.5</v>
      </c>
      <c r="L741" s="19">
        <f>Ringkasan!L740</f>
        <v>0.31</v>
      </c>
      <c r="M741" s="19">
        <f>Ringkasan!M740</f>
        <v>-300</v>
      </c>
      <c r="N741" s="64" t="str">
        <f>Ringkasan!N740</f>
        <v/>
      </c>
      <c r="O741" s="64" t="str">
        <f>Ringkasan!O740</f>
        <v/>
      </c>
      <c r="P741" s="64" t="str">
        <f>Ringkasan!P740</f>
        <v/>
      </c>
      <c r="Q741" s="64" t="str">
        <f>Ringkasan!Q740</f>
        <v/>
      </c>
      <c r="R741" s="64" t="str">
        <f>Ringkasan!R740</f>
        <v/>
      </c>
      <c r="S741" s="64" t="str">
        <f>Ringkasan!S740</f>
        <v/>
      </c>
      <c r="T741" s="64" t="str">
        <f>Ringkasan!T740</f>
        <v/>
      </c>
      <c r="U741" s="64">
        <f>Ringkasan!U740</f>
        <v>0.11</v>
      </c>
      <c r="V741" s="64">
        <f>Ringkasan!V740</f>
        <v>0</v>
      </c>
      <c r="W741" s="64" t="str">
        <f>Ringkasan!W740</f>
        <v/>
      </c>
      <c r="X741" s="64" t="str">
        <f>Ringkasan!X740</f>
        <v/>
      </c>
      <c r="Y741" s="64" t="str">
        <f>Ringkasan!Y740</f>
        <v/>
      </c>
      <c r="Z741" s="64">
        <f>Ringkasan!Z740</f>
        <v>0</v>
      </c>
      <c r="AA741" s="64" t="str">
        <f>Ringkasan!AA740</f>
        <v>Real Estate Management &amp; Development</v>
      </c>
      <c r="AB741" s="64" t="str">
        <f>Ringkasan!AB740</f>
        <v>Properties &amp; Real Estate</v>
      </c>
    </row>
    <row r="742" hidden="1">
      <c r="A742" s="64" t="str">
        <f>Ringkasan!A528</f>
        <v>CNKO</v>
      </c>
      <c r="B742" s="64" t="str">
        <f>Ringkasan!B528</f>
        <v>Exploitasi Energi Indonesia Tbk.</v>
      </c>
      <c r="C742" s="61">
        <f>Ringkasan!C528</f>
        <v>39</v>
      </c>
      <c r="D742" s="60" t="str">
        <f>Ringkasan!D528</f>
        <v>#N/A</v>
      </c>
      <c r="E742" s="60" t="str">
        <f>Ringkasan!E528</f>
        <v/>
      </c>
      <c r="F742" s="60" t="str">
        <f>Ringkasan!F528</f>
        <v/>
      </c>
      <c r="G742" s="60">
        <f>Ringkasan!G528</f>
        <v>0</v>
      </c>
      <c r="H742" s="62">
        <f>Ringkasan!H528</f>
        <v>2.1</v>
      </c>
      <c r="I742" s="62">
        <f>Ringkasan!I528</f>
        <v>-0.39</v>
      </c>
      <c r="J742" s="62">
        <f>Ringkasan!J528</f>
        <v>0</v>
      </c>
      <c r="K742" s="62">
        <f>Ringkasan!K528</f>
        <v>19.2</v>
      </c>
      <c r="L742" s="62">
        <f>Ringkasan!L528</f>
        <v>-2</v>
      </c>
      <c r="M742" s="62">
        <f>Ringkasan!M528</f>
        <v>41</v>
      </c>
      <c r="N742" s="60" t="str">
        <f>Ringkasan!N528</f>
        <v/>
      </c>
      <c r="O742" s="60" t="str">
        <f>Ringkasan!O528</f>
        <v/>
      </c>
      <c r="P742" s="60" t="str">
        <f>Ringkasan!P528</f>
        <v/>
      </c>
      <c r="Q742" s="60" t="str">
        <f>Ringkasan!Q528</f>
        <v/>
      </c>
      <c r="R742" s="60" t="str">
        <f>Ringkasan!R528</f>
        <v/>
      </c>
      <c r="S742" s="60" t="str">
        <f>Ringkasan!S528</f>
        <v/>
      </c>
      <c r="T742" s="60" t="str">
        <f>Ringkasan!T528</f>
        <v/>
      </c>
      <c r="U742" s="60">
        <f>Ringkasan!U528</f>
        <v>36</v>
      </c>
      <c r="V742" s="60">
        <f>Ringkasan!V528</f>
        <v>8.33</v>
      </c>
      <c r="W742" s="60">
        <f>Ringkasan!W528</f>
        <v>39</v>
      </c>
      <c r="X742" s="60">
        <f>Ringkasan!X528</f>
        <v>39</v>
      </c>
      <c r="Y742" s="60">
        <f>Ringkasan!Y528</f>
        <v>39</v>
      </c>
      <c r="Z742" s="60">
        <f>Ringkasan!Z528</f>
        <v>6766500</v>
      </c>
      <c r="AA742" s="60" t="str">
        <f>Ringkasan!AA528</f>
        <v>Coal</v>
      </c>
      <c r="AB742" s="60" t="str">
        <f>Ringkasan!AB528</f>
        <v>Energy</v>
      </c>
    </row>
    <row r="743" hidden="1">
      <c r="A743" s="64" t="str">
        <f>Ringkasan!A742</f>
        <v>GDYR</v>
      </c>
      <c r="B743" s="64" t="str">
        <f>Ringkasan!B742</f>
        <v>Goodyear Indonesia Tbk.</v>
      </c>
      <c r="C743" s="65">
        <f>Ringkasan!C742</f>
        <v>1090</v>
      </c>
      <c r="D743" s="64" t="str">
        <f>Ringkasan!D742</f>
        <v>#N/A</v>
      </c>
      <c r="E743" s="64" t="str">
        <f>Ringkasan!E742</f>
        <v/>
      </c>
      <c r="F743" s="64" t="str">
        <f>Ringkasan!F742</f>
        <v/>
      </c>
      <c r="G743" s="64">
        <f>Ringkasan!G742</f>
        <v>0</v>
      </c>
      <c r="H743" s="19">
        <f>Ringkasan!H742</f>
        <v>12.2</v>
      </c>
      <c r="I743" s="19">
        <f>Ringkasan!I742</f>
        <v>0.43</v>
      </c>
      <c r="J743" s="19">
        <f>Ringkasan!J742</f>
        <v>3.5</v>
      </c>
      <c r="K743" s="19">
        <f>Ringkasan!K742</f>
        <v>2.1</v>
      </c>
      <c r="L743" s="19">
        <f>Ringkasan!L742</f>
        <v>0.71</v>
      </c>
      <c r="M743" s="19">
        <f>Ringkasan!M742</f>
        <v>6.1</v>
      </c>
      <c r="N743" s="64" t="str">
        <f>Ringkasan!N742</f>
        <v/>
      </c>
      <c r="O743" s="64" t="str">
        <f>Ringkasan!O742</f>
        <v/>
      </c>
      <c r="P743" s="64" t="str">
        <f>Ringkasan!P742</f>
        <v/>
      </c>
      <c r="Q743" s="64" t="str">
        <f>Ringkasan!Q742</f>
        <v/>
      </c>
      <c r="R743" s="64" t="str">
        <f>Ringkasan!R742</f>
        <v/>
      </c>
      <c r="S743" s="64" t="str">
        <f>Ringkasan!S742</f>
        <v/>
      </c>
      <c r="T743" s="64" t="str">
        <f>Ringkasan!T742</f>
        <v/>
      </c>
      <c r="U743" s="64">
        <f>Ringkasan!U742</f>
        <v>1090</v>
      </c>
      <c r="V743" s="64">
        <f>Ringkasan!V742</f>
        <v>0</v>
      </c>
      <c r="W743" s="64">
        <f>Ringkasan!W742</f>
        <v>1090</v>
      </c>
      <c r="X743" s="64">
        <f>Ringkasan!X742</f>
        <v>1100</v>
      </c>
      <c r="Y743" s="64">
        <f>Ringkasan!Y742</f>
        <v>1090</v>
      </c>
      <c r="Z743" s="64">
        <f>Ringkasan!Z742</f>
        <v>2300</v>
      </c>
      <c r="AA743" s="64" t="str">
        <f>Ringkasan!AA742</f>
        <v>Auto Components</v>
      </c>
      <c r="AB743" s="64" t="str">
        <f>Ringkasan!AB742</f>
        <v>Consumer Cyclicals</v>
      </c>
    </row>
    <row r="744" hidden="1">
      <c r="A744" s="64" t="str">
        <f>Ringkasan!A743</f>
        <v>GEMA</v>
      </c>
      <c r="B744" s="64" t="str">
        <f>Ringkasan!B743</f>
        <v>Gema Grahasarana Tbk.</v>
      </c>
      <c r="C744" s="65">
        <f>Ringkasan!C743</f>
        <v>78</v>
      </c>
      <c r="D744" s="64" t="str">
        <f>Ringkasan!D743</f>
        <v>#N/A</v>
      </c>
      <c r="E744" s="64" t="str">
        <f>Ringkasan!E743</f>
        <v/>
      </c>
      <c r="F744" s="64" t="str">
        <f>Ringkasan!F743</f>
        <v/>
      </c>
      <c r="G744" s="64">
        <f>Ringkasan!G743</f>
        <v>0</v>
      </c>
      <c r="H744" s="19">
        <f>Ringkasan!H743</f>
        <v>11.9</v>
      </c>
      <c r="I744" s="19">
        <f>Ringkasan!I743</f>
        <v>0.32</v>
      </c>
      <c r="J744" s="19">
        <f>Ringkasan!J743</f>
        <v>2.7</v>
      </c>
      <c r="K744" s="19">
        <f>Ringkasan!K743</f>
        <v>0.93</v>
      </c>
      <c r="L744" s="19">
        <f>Ringkasan!L743</f>
        <v>1.8</v>
      </c>
      <c r="M744" s="19">
        <f>Ringkasan!M743</f>
        <v>3.4</v>
      </c>
      <c r="N744" s="64" t="str">
        <f>Ringkasan!N743</f>
        <v/>
      </c>
      <c r="O744" s="64" t="str">
        <f>Ringkasan!O743</f>
        <v/>
      </c>
      <c r="P744" s="64" t="str">
        <f>Ringkasan!P743</f>
        <v/>
      </c>
      <c r="Q744" s="64" t="str">
        <f>Ringkasan!Q743</f>
        <v/>
      </c>
      <c r="R744" s="64" t="str">
        <f>Ringkasan!R743</f>
        <v/>
      </c>
      <c r="S744" s="64" t="str">
        <f>Ringkasan!S743</f>
        <v/>
      </c>
      <c r="T744" s="64" t="str">
        <f>Ringkasan!T743</f>
        <v/>
      </c>
      <c r="U744" s="64">
        <f>Ringkasan!U743</f>
        <v>76</v>
      </c>
      <c r="V744" s="64">
        <f>Ringkasan!V743</f>
        <v>2.63</v>
      </c>
      <c r="W744" s="64">
        <f>Ringkasan!W743</f>
        <v>76</v>
      </c>
      <c r="X744" s="64">
        <f>Ringkasan!X743</f>
        <v>80</v>
      </c>
      <c r="Y744" s="64">
        <f>Ringkasan!Y743</f>
        <v>76</v>
      </c>
      <c r="Z744" s="64">
        <f>Ringkasan!Z743</f>
        <v>1872700</v>
      </c>
      <c r="AA744" s="64" t="str">
        <f>Ringkasan!AA743</f>
        <v>Household Goods</v>
      </c>
      <c r="AB744" s="64" t="str">
        <f>Ringkasan!AB743</f>
        <v>Consumer Cyclicals</v>
      </c>
    </row>
    <row r="745" hidden="1">
      <c r="A745" s="64" t="str">
        <f>Ringkasan!A744</f>
        <v>GEMS</v>
      </c>
      <c r="B745" s="64" t="str">
        <f>Ringkasan!B744</f>
        <v>Golden Energy Mines Tbk.</v>
      </c>
      <c r="C745" s="65">
        <f>Ringkasan!C744</f>
        <v>6750</v>
      </c>
      <c r="D745" s="64" t="str">
        <f>Ringkasan!D744</f>
        <v>#N/A</v>
      </c>
      <c r="E745" s="64" t="str">
        <f>Ringkasan!E744</f>
        <v/>
      </c>
      <c r="F745" s="64" t="str">
        <f>Ringkasan!F744</f>
        <v/>
      </c>
      <c r="G745" s="64">
        <f>Ringkasan!G744</f>
        <v>0</v>
      </c>
      <c r="H745" s="19">
        <f>Ringkasan!H744</f>
        <v>10.2</v>
      </c>
      <c r="I745" s="19">
        <f>Ringkasan!I744</f>
        <v>3.7</v>
      </c>
      <c r="J745" s="19">
        <f>Ringkasan!J744</f>
        <v>36.4</v>
      </c>
      <c r="K745" s="19">
        <f>Ringkasan!K744</f>
        <v>21.6</v>
      </c>
      <c r="L745" s="19">
        <f>Ringkasan!L744</f>
        <v>0.69</v>
      </c>
      <c r="M745" s="19">
        <f>Ringkasan!M744</f>
        <v>10.7</v>
      </c>
      <c r="N745" s="64" t="str">
        <f>Ringkasan!N744</f>
        <v/>
      </c>
      <c r="O745" s="64" t="str">
        <f>Ringkasan!O744</f>
        <v/>
      </c>
      <c r="P745" s="64" t="str">
        <f>Ringkasan!P744</f>
        <v/>
      </c>
      <c r="Q745" s="64" t="str">
        <f>Ringkasan!Q744</f>
        <v/>
      </c>
      <c r="R745" s="64" t="str">
        <f>Ringkasan!R744</f>
        <v/>
      </c>
      <c r="S745" s="64" t="str">
        <f>Ringkasan!S744</f>
        <v/>
      </c>
      <c r="T745" s="64" t="str">
        <f>Ringkasan!T744</f>
        <v/>
      </c>
      <c r="U745" s="64">
        <f>Ringkasan!U744</f>
        <v>51.32</v>
      </c>
      <c r="V745" s="64">
        <f>Ringkasan!V744</f>
        <v>0.65</v>
      </c>
      <c r="W745" s="64" t="str">
        <f>Ringkasan!W744</f>
        <v/>
      </c>
      <c r="X745" s="64" t="str">
        <f>Ringkasan!X744</f>
        <v/>
      </c>
      <c r="Y745" s="64" t="str">
        <f>Ringkasan!Y744</f>
        <v/>
      </c>
      <c r="Z745" s="64">
        <f>Ringkasan!Z744</f>
        <v>0</v>
      </c>
      <c r="AA745" s="64" t="str">
        <f>Ringkasan!AA744</f>
        <v>Coal</v>
      </c>
      <c r="AB745" s="64" t="str">
        <f>Ringkasan!AB744</f>
        <v>Energy</v>
      </c>
    </row>
    <row r="746" hidden="1">
      <c r="A746" s="64" t="str">
        <f>Ringkasan!A745</f>
        <v>GGRM</v>
      </c>
      <c r="B746" s="64" t="str">
        <f>Ringkasan!B745</f>
        <v>Gudang Garam Tbk</v>
      </c>
      <c r="C746" s="65">
        <f>Ringkasan!C745</f>
        <v>15000</v>
      </c>
      <c r="D746" s="64" t="str">
        <f>Ringkasan!D745</f>
        <v>#N/A</v>
      </c>
      <c r="E746" s="64" t="str">
        <f>Ringkasan!E745</f>
        <v>IDXSMC-LIQ</v>
      </c>
      <c r="F746" s="64" t="str">
        <f>Ringkasan!F745</f>
        <v>4 Agustus 2026</v>
      </c>
      <c r="G746" s="64">
        <f>Ringkasan!G745</f>
        <v>4</v>
      </c>
      <c r="H746" s="19">
        <f>Ringkasan!H745</f>
        <v>10.9</v>
      </c>
      <c r="I746" s="19">
        <f>Ringkasan!I745</f>
        <v>0.51</v>
      </c>
      <c r="J746" s="19">
        <f>Ringkasan!J745</f>
        <v>4.7</v>
      </c>
      <c r="K746" s="19">
        <f>Ringkasan!K745</f>
        <v>3.9</v>
      </c>
      <c r="L746" s="19">
        <f>Ringkasan!L745</f>
        <v>0.2</v>
      </c>
      <c r="M746" s="19">
        <f>Ringkasan!M745</f>
        <v>14.9</v>
      </c>
      <c r="N746" s="64" t="str">
        <f>Ringkasan!N745</f>
        <v/>
      </c>
      <c r="O746" s="64" t="str">
        <f>Ringkasan!O745</f>
        <v/>
      </c>
      <c r="P746" s="64" t="str">
        <f>Ringkasan!P745</f>
        <v/>
      </c>
      <c r="Q746" s="64" t="str">
        <f>Ringkasan!Q745</f>
        <v/>
      </c>
      <c r="R746" s="64" t="str">
        <f>Ringkasan!R745</f>
        <v/>
      </c>
      <c r="S746" s="64" t="str">
        <f>Ringkasan!S745</f>
        <v/>
      </c>
      <c r="T746" s="64" t="str">
        <f>Ringkasan!T745</f>
        <v/>
      </c>
      <c r="U746" s="64">
        <f>Ringkasan!U745</f>
        <v>15050</v>
      </c>
      <c r="V746" s="64" t="str">
        <f>Ringkasan!V745</f>
        <v/>
      </c>
      <c r="W746" s="64">
        <f>Ringkasan!W745</f>
        <v>15050</v>
      </c>
      <c r="X746" s="64">
        <f>Ringkasan!X745</f>
        <v>15200</v>
      </c>
      <c r="Y746" s="64">
        <f>Ringkasan!Y745</f>
        <v>14825</v>
      </c>
      <c r="Z746" s="64">
        <f>Ringkasan!Z745</f>
        <v>690400</v>
      </c>
      <c r="AA746" s="64" t="str">
        <f>Ringkasan!AA745</f>
        <v>Tobacco</v>
      </c>
      <c r="AB746" s="64" t="str">
        <f>Ringkasan!AB745</f>
        <v>Consumer Non-Cyclicals</v>
      </c>
    </row>
    <row r="747" hidden="1">
      <c r="A747" s="64" t="str">
        <f>Ringkasan!A746</f>
        <v>GGRM</v>
      </c>
      <c r="B747" s="64" t="str">
        <f>Ringkasan!B746</f>
        <v>Gudang Garam Tbk</v>
      </c>
      <c r="C747" s="65">
        <f>Ringkasan!C746</f>
        <v>15000</v>
      </c>
      <c r="D747" s="64" t="str">
        <f>Ringkasan!D746</f>
        <v>#N/A</v>
      </c>
      <c r="E747" s="64" t="str">
        <f>Ringkasan!E746</f>
        <v>IDX80</v>
      </c>
      <c r="F747" s="64" t="str">
        <f>Ringkasan!F746</f>
        <v>31 Juli 2026</v>
      </c>
      <c r="G747" s="64">
        <f>Ringkasan!G746</f>
        <v>4</v>
      </c>
      <c r="H747" s="19">
        <f>Ringkasan!H746</f>
        <v>10.9</v>
      </c>
      <c r="I747" s="19">
        <f>Ringkasan!I746</f>
        <v>0.51</v>
      </c>
      <c r="J747" s="19">
        <f>Ringkasan!J746</f>
        <v>4.7</v>
      </c>
      <c r="K747" s="19">
        <f>Ringkasan!K746</f>
        <v>3.9</v>
      </c>
      <c r="L747" s="19">
        <f>Ringkasan!L746</f>
        <v>0.2</v>
      </c>
      <c r="M747" s="19">
        <f>Ringkasan!M746</f>
        <v>14.9</v>
      </c>
      <c r="N747" s="64" t="str">
        <f>Ringkasan!N746</f>
        <v/>
      </c>
      <c r="O747" s="64" t="str">
        <f>Ringkasan!O746</f>
        <v/>
      </c>
      <c r="P747" s="64" t="str">
        <f>Ringkasan!P746</f>
        <v/>
      </c>
      <c r="Q747" s="64" t="str">
        <f>Ringkasan!Q746</f>
        <v/>
      </c>
      <c r="R747" s="64" t="str">
        <f>Ringkasan!R746</f>
        <v/>
      </c>
      <c r="S747" s="64" t="str">
        <f>Ringkasan!S746</f>
        <v/>
      </c>
      <c r="T747" s="64" t="str">
        <f>Ringkasan!T746</f>
        <v/>
      </c>
      <c r="U747" s="64">
        <f>Ringkasan!U746</f>
        <v>15050</v>
      </c>
      <c r="V747" s="64" t="str">
        <f>Ringkasan!V746</f>
        <v/>
      </c>
      <c r="W747" s="64">
        <f>Ringkasan!W746</f>
        <v>15050</v>
      </c>
      <c r="X747" s="64">
        <f>Ringkasan!X746</f>
        <v>15200</v>
      </c>
      <c r="Y747" s="64">
        <f>Ringkasan!Y746</f>
        <v>14825</v>
      </c>
      <c r="Z747" s="64">
        <f>Ringkasan!Z746</f>
        <v>690400</v>
      </c>
      <c r="AA747" s="64" t="str">
        <f>Ringkasan!AA746</f>
        <v>Tobacco</v>
      </c>
      <c r="AB747" s="64" t="str">
        <f>Ringkasan!AB746</f>
        <v>Consumer Non-Cyclicals</v>
      </c>
    </row>
    <row r="748" hidden="1">
      <c r="A748" s="64" t="str">
        <f>Ringkasan!A1164</f>
        <v>MBMA</v>
      </c>
      <c r="B748" s="64" t="str">
        <f>Ringkasan!B1164</f>
        <v>PT Merdeka Battery Materials Tbk</v>
      </c>
      <c r="C748" s="61">
        <f>Ringkasan!C1164</f>
        <v>482</v>
      </c>
      <c r="D748" s="60" t="str">
        <f>Ringkasan!D1164</f>
        <v>#N/A</v>
      </c>
      <c r="E748" s="60" t="str">
        <f>Ringkasan!E1164</f>
        <v>JII70</v>
      </c>
      <c r="F748" s="63">
        <f>Ringkasan!F1164</f>
        <v>46356</v>
      </c>
      <c r="G748" s="60">
        <f>Ringkasan!G1164</f>
        <v>10</v>
      </c>
      <c r="H748" s="62">
        <f>Ringkasan!H1164</f>
        <v>100</v>
      </c>
      <c r="I748" s="62">
        <f>Ringkasan!I1164</f>
        <v>1.3</v>
      </c>
      <c r="J748" s="62">
        <f>Ringkasan!J1164</f>
        <v>1.3</v>
      </c>
      <c r="K748" s="62">
        <f>Ringkasan!K1164</f>
        <v>0.79</v>
      </c>
      <c r="L748" s="62">
        <f>Ringkasan!L1164</f>
        <v>0.59</v>
      </c>
      <c r="M748" s="62">
        <f>Ringkasan!M1164</f>
        <v>2.1</v>
      </c>
      <c r="N748" s="60" t="str">
        <f>Ringkasan!N1164</f>
        <v/>
      </c>
      <c r="O748" s="60" t="str">
        <f>Ringkasan!O1164</f>
        <v/>
      </c>
      <c r="P748" s="60" t="str">
        <f>Ringkasan!P1164</f>
        <v/>
      </c>
      <c r="Q748" s="60" t="str">
        <f>Ringkasan!Q1164</f>
        <v/>
      </c>
      <c r="R748" s="60" t="str">
        <f>Ringkasan!R1164</f>
        <v/>
      </c>
      <c r="S748" s="60" t="str">
        <f>Ringkasan!S1164</f>
        <v/>
      </c>
      <c r="T748" s="60" t="str">
        <f>Ringkasan!T1164</f>
        <v/>
      </c>
      <c r="U748" s="60">
        <f>Ringkasan!U1164</f>
        <v>448</v>
      </c>
      <c r="V748" s="60">
        <f>Ringkasan!V1164</f>
        <v>7.59</v>
      </c>
      <c r="W748" s="60">
        <f>Ringkasan!W1164</f>
        <v>452</v>
      </c>
      <c r="X748" s="60">
        <f>Ringkasan!X1164</f>
        <v>486</v>
      </c>
      <c r="Y748" s="60">
        <f>Ringkasan!Y1164</f>
        <v>452</v>
      </c>
      <c r="Z748" s="60">
        <f>Ringkasan!Z1164</f>
        <v>202671900</v>
      </c>
      <c r="AA748" s="60" t="str">
        <f>Ringkasan!AA1164</f>
        <v>Metals &amp; Minerals</v>
      </c>
      <c r="AB748" s="64" t="str">
        <f>Ringkasan!AB1164</f>
        <v>Basic Materials</v>
      </c>
    </row>
    <row r="749" hidden="1">
      <c r="A749" s="64" t="str">
        <f>Ringkasan!A748</f>
        <v>GGRM</v>
      </c>
      <c r="B749" s="64" t="str">
        <f>Ringkasan!B748</f>
        <v>Gudang Garam Tbk</v>
      </c>
      <c r="C749" s="65">
        <f>Ringkasan!C748</f>
        <v>15000</v>
      </c>
      <c r="D749" s="64" t="str">
        <f>Ringkasan!D748</f>
        <v>#N/A</v>
      </c>
      <c r="E749" s="64" t="str">
        <f>Ringkasan!E748</f>
        <v>MSCI Small Cap</v>
      </c>
      <c r="F749" s="64" t="str">
        <f>Ringkasan!F748</f>
        <v>12 Agustus 2026</v>
      </c>
      <c r="G749" s="64">
        <f>Ringkasan!G748</f>
        <v>4</v>
      </c>
      <c r="H749" s="19">
        <f>Ringkasan!H748</f>
        <v>10.9</v>
      </c>
      <c r="I749" s="19">
        <f>Ringkasan!I748</f>
        <v>0.51</v>
      </c>
      <c r="J749" s="19">
        <f>Ringkasan!J748</f>
        <v>4.7</v>
      </c>
      <c r="K749" s="19">
        <f>Ringkasan!K748</f>
        <v>3.9</v>
      </c>
      <c r="L749" s="19">
        <f>Ringkasan!L748</f>
        <v>0.2</v>
      </c>
      <c r="M749" s="19">
        <f>Ringkasan!M748</f>
        <v>14.9</v>
      </c>
      <c r="N749" s="64" t="str">
        <f>Ringkasan!N748</f>
        <v/>
      </c>
      <c r="O749" s="64" t="str">
        <f>Ringkasan!O748</f>
        <v/>
      </c>
      <c r="P749" s="64" t="str">
        <f>Ringkasan!P748</f>
        <v/>
      </c>
      <c r="Q749" s="64" t="str">
        <f>Ringkasan!Q748</f>
        <v/>
      </c>
      <c r="R749" s="64" t="str">
        <f>Ringkasan!R748</f>
        <v/>
      </c>
      <c r="S749" s="64" t="str">
        <f>Ringkasan!S748</f>
        <v/>
      </c>
      <c r="T749" s="64" t="str">
        <f>Ringkasan!T748</f>
        <v/>
      </c>
      <c r="U749" s="64">
        <f>Ringkasan!U748</f>
        <v>15050</v>
      </c>
      <c r="V749" s="64" t="str">
        <f>Ringkasan!V748</f>
        <v/>
      </c>
      <c r="W749" s="64">
        <f>Ringkasan!W748</f>
        <v>15050</v>
      </c>
      <c r="X749" s="64">
        <f>Ringkasan!X748</f>
        <v>15200</v>
      </c>
      <c r="Y749" s="64">
        <f>Ringkasan!Y748</f>
        <v>14825</v>
      </c>
      <c r="Z749" s="64">
        <f>Ringkasan!Z748</f>
        <v>690400</v>
      </c>
      <c r="AA749" s="64" t="str">
        <f>Ringkasan!AA748</f>
        <v>Tobacco</v>
      </c>
      <c r="AB749" s="64" t="str">
        <f>Ringkasan!AB748</f>
        <v>Consumer Non-Cyclicals</v>
      </c>
    </row>
    <row r="750" hidden="1">
      <c r="A750" s="64" t="str">
        <f>Ringkasan!A749</f>
        <v>GGRP</v>
      </c>
      <c r="B750" s="64" t="str">
        <f>Ringkasan!B749</f>
        <v>Gunung Raja Paksi Tbk.</v>
      </c>
      <c r="C750" s="65">
        <f>Ringkasan!C749</f>
        <v>292</v>
      </c>
      <c r="D750" s="64" t="str">
        <f>Ringkasan!D749</f>
        <v>#N/A</v>
      </c>
      <c r="E750" s="64" t="str">
        <f>Ringkasan!E749</f>
        <v/>
      </c>
      <c r="F750" s="64" t="str">
        <f>Ringkasan!F749</f>
        <v/>
      </c>
      <c r="G750" s="64">
        <f>Ringkasan!G749</f>
        <v>0</v>
      </c>
      <c r="H750" s="19">
        <f>Ringkasan!H749</f>
        <v>-6.9</v>
      </c>
      <c r="I750" s="19">
        <f>Ringkasan!I749</f>
        <v>0.32</v>
      </c>
      <c r="J750" s="19">
        <f>Ringkasan!J749</f>
        <v>-4.6</v>
      </c>
      <c r="K750" s="19">
        <f>Ringkasan!K749</f>
        <v>-3.9</v>
      </c>
      <c r="L750" s="19">
        <f>Ringkasan!L749</f>
        <v>0.18</v>
      </c>
      <c r="M750" s="19">
        <f>Ringkasan!M749</f>
        <v>-65.3</v>
      </c>
      <c r="N750" s="64" t="str">
        <f>Ringkasan!N749</f>
        <v/>
      </c>
      <c r="O750" s="64" t="str">
        <f>Ringkasan!O749</f>
        <v/>
      </c>
      <c r="P750" s="64" t="str">
        <f>Ringkasan!P749</f>
        <v/>
      </c>
      <c r="Q750" s="64" t="str">
        <f>Ringkasan!Q749</f>
        <v/>
      </c>
      <c r="R750" s="64" t="str">
        <f>Ringkasan!R749</f>
        <v/>
      </c>
      <c r="S750" s="64" t="str">
        <f>Ringkasan!S749</f>
        <v/>
      </c>
      <c r="T750" s="64" t="str">
        <f>Ringkasan!T749</f>
        <v/>
      </c>
      <c r="U750" s="64">
        <f>Ringkasan!U749</f>
        <v>0.85</v>
      </c>
      <c r="V750" s="64">
        <f>Ringkasan!V749</f>
        <v>-5.05</v>
      </c>
      <c r="W750" s="64">
        <f>Ringkasan!W749</f>
        <v>0.81</v>
      </c>
      <c r="X750" s="64">
        <f>Ringkasan!X749</f>
        <v>0.85</v>
      </c>
      <c r="Y750" s="64">
        <f>Ringkasan!Y749</f>
        <v>0.78</v>
      </c>
      <c r="Z750" s="64">
        <f>Ringkasan!Z749</f>
        <v>55882</v>
      </c>
      <c r="AA750" s="64" t="str">
        <f>Ringkasan!AA749</f>
        <v>Metals &amp; Minerals</v>
      </c>
      <c r="AB750" s="64" t="str">
        <f>Ringkasan!AB749</f>
        <v>Basic Materials</v>
      </c>
    </row>
    <row r="751" hidden="1">
      <c r="A751" s="64" t="str">
        <f>Ringkasan!A733</f>
        <v>FORE</v>
      </c>
      <c r="B751" s="64" t="str">
        <f>Ringkasan!B733</f>
        <v>Fore Kopi Indonesia Tbk.</v>
      </c>
      <c r="C751" s="65">
        <f>Ringkasan!C733</f>
        <v>700</v>
      </c>
      <c r="D751" s="64" t="str">
        <f>Ringkasan!D733</f>
        <v>#N/A</v>
      </c>
      <c r="E751" s="64" t="str">
        <f>Ringkasan!E733</f>
        <v/>
      </c>
      <c r="F751" s="64" t="str">
        <f>Ringkasan!F733</f>
        <v/>
      </c>
      <c r="G751" s="64">
        <f>Ringkasan!G733</f>
        <v>0</v>
      </c>
      <c r="H751" s="19">
        <f>Ringkasan!H733</f>
        <v>67.1</v>
      </c>
      <c r="I751" s="19">
        <f>Ringkasan!I733</f>
        <v>9.1</v>
      </c>
      <c r="J751" s="19">
        <f>Ringkasan!J733</f>
        <v>13.6</v>
      </c>
      <c r="K751" s="19">
        <f>Ringkasan!K733</f>
        <v>8.1</v>
      </c>
      <c r="L751" s="19">
        <f>Ringkasan!L733</f>
        <v>0.69</v>
      </c>
      <c r="M751" s="19">
        <f>Ringkasan!M733</f>
        <v>21.1</v>
      </c>
      <c r="N751" s="64" t="str">
        <f>Ringkasan!N733</f>
        <v/>
      </c>
      <c r="O751" s="64" t="str">
        <f>Ringkasan!O733</f>
        <v/>
      </c>
      <c r="P751" s="64" t="str">
        <f>Ringkasan!P733</f>
        <v/>
      </c>
      <c r="Q751" s="64" t="str">
        <f>Ringkasan!Q733</f>
        <v/>
      </c>
      <c r="R751" s="64" t="str">
        <f>Ringkasan!R733</f>
        <v/>
      </c>
      <c r="S751" s="64" t="str">
        <f>Ringkasan!S733</f>
        <v/>
      </c>
      <c r="T751" s="64" t="str">
        <f>Ringkasan!T733</f>
        <v/>
      </c>
      <c r="U751" s="64">
        <f>Ringkasan!U733</f>
        <v>765</v>
      </c>
      <c r="V751" s="64">
        <f>Ringkasan!V733</f>
        <v>0</v>
      </c>
      <c r="W751" s="64" t="str">
        <f>Ringkasan!W733</f>
        <v/>
      </c>
      <c r="X751" s="64" t="str">
        <f>Ringkasan!X733</f>
        <v/>
      </c>
      <c r="Y751" s="64" t="str">
        <f>Ringkasan!Y733</f>
        <v/>
      </c>
      <c r="Z751" s="64">
        <f>Ringkasan!Z733</f>
        <v>0</v>
      </c>
      <c r="AA751" s="64" t="str">
        <f>Ringkasan!AA733</f>
        <v>Beverages</v>
      </c>
      <c r="AB751" s="64" t="str">
        <f>Ringkasan!AB733</f>
        <v>Consumer Non-Cyclicals</v>
      </c>
    </row>
    <row r="752" hidden="1">
      <c r="A752" s="64" t="str">
        <f>Ringkasan!A751</f>
        <v>GIAA</v>
      </c>
      <c r="B752" s="64" t="str">
        <f>Ringkasan!B751</f>
        <v>Garuda Indonesia (Persero) Tbk.</v>
      </c>
      <c r="C752" s="65">
        <f>Ringkasan!C751</f>
        <v>56</v>
      </c>
      <c r="D752" s="64" t="str">
        <f>Ringkasan!D751</f>
        <v>#N/A</v>
      </c>
      <c r="E752" s="64" t="str">
        <f>Ringkasan!E751</f>
        <v/>
      </c>
      <c r="F752" s="64" t="str">
        <f>Ringkasan!F751</f>
        <v/>
      </c>
      <c r="G752" s="64">
        <f>Ringkasan!G751</f>
        <v>0</v>
      </c>
      <c r="H752" s="19">
        <f>Ringkasan!H751</f>
        <v>-4.8</v>
      </c>
      <c r="I752" s="19">
        <f>Ringkasan!I751</f>
        <v>20.4</v>
      </c>
      <c r="J752" s="19">
        <f>Ringkasan!J751</f>
        <v>-430</v>
      </c>
      <c r="K752" s="19">
        <f>Ringkasan!K751</f>
        <v>-3.9</v>
      </c>
      <c r="L752" s="19">
        <f>Ringkasan!L751</f>
        <v>110</v>
      </c>
      <c r="M752" s="19">
        <f>Ringkasan!M751</f>
        <v>-38</v>
      </c>
      <c r="N752" s="64" t="str">
        <f>Ringkasan!N751</f>
        <v/>
      </c>
      <c r="O752" s="64" t="str">
        <f>Ringkasan!O751</f>
        <v/>
      </c>
      <c r="P752" s="64" t="str">
        <f>Ringkasan!P751</f>
        <v/>
      </c>
      <c r="Q752" s="64" t="str">
        <f>Ringkasan!Q751</f>
        <v/>
      </c>
      <c r="R752" s="64" t="str">
        <f>Ringkasan!R751</f>
        <v/>
      </c>
      <c r="S752" s="64" t="str">
        <f>Ringkasan!S751</f>
        <v/>
      </c>
      <c r="T752" s="64" t="str">
        <f>Ringkasan!T751</f>
        <v/>
      </c>
      <c r="U752" s="64">
        <f>Ringkasan!U751</f>
        <v>54</v>
      </c>
      <c r="V752" s="64">
        <f>Ringkasan!V751</f>
        <v>3.7</v>
      </c>
      <c r="W752" s="64">
        <f>Ringkasan!W751</f>
        <v>54</v>
      </c>
      <c r="X752" s="64">
        <f>Ringkasan!X751</f>
        <v>57</v>
      </c>
      <c r="Y752" s="64">
        <f>Ringkasan!Y751</f>
        <v>54</v>
      </c>
      <c r="Z752" s="64">
        <f>Ringkasan!Z751</f>
        <v>35670300</v>
      </c>
      <c r="AA752" s="64" t="str">
        <f>Ringkasan!AA751</f>
        <v>Airlines</v>
      </c>
      <c r="AB752" s="64" t="str">
        <f>Ringkasan!AB751</f>
        <v>Transportation &amp; Logistic</v>
      </c>
    </row>
    <row r="753" hidden="1">
      <c r="A753" s="64" t="str">
        <f>Ringkasan!A752</f>
        <v>GJTL</v>
      </c>
      <c r="B753" s="64" t="str">
        <f>Ringkasan!B752</f>
        <v>Gajah Tunggal Tbk.</v>
      </c>
      <c r="C753" s="65">
        <f>Ringkasan!C752</f>
        <v>1100</v>
      </c>
      <c r="D753" s="64" t="str">
        <f>Ringkasan!D752</f>
        <v>#N/A</v>
      </c>
      <c r="E753" s="64" t="str">
        <f>Ringkasan!E752</f>
        <v>ESGSKEHATI</v>
      </c>
      <c r="F753" s="66">
        <f>Ringkasan!F752</f>
        <v>46356</v>
      </c>
      <c r="G753" s="64">
        <f>Ringkasan!G752</f>
        <v>1</v>
      </c>
      <c r="H753" s="19">
        <f>Ringkasan!H752</f>
        <v>3.3</v>
      </c>
      <c r="I753" s="19">
        <f>Ringkasan!I752</f>
        <v>0.39</v>
      </c>
      <c r="J753" s="19">
        <f>Ringkasan!J752</f>
        <v>11.7</v>
      </c>
      <c r="K753" s="19">
        <f>Ringkasan!K752</f>
        <v>5.7</v>
      </c>
      <c r="L753" s="19">
        <f>Ringkasan!L752</f>
        <v>1.1</v>
      </c>
      <c r="M753" s="19">
        <f>Ringkasan!M752</f>
        <v>30.3</v>
      </c>
      <c r="N753" s="64" t="str">
        <f>Ringkasan!N752</f>
        <v/>
      </c>
      <c r="O753" s="64" t="str">
        <f>Ringkasan!O752</f>
        <v/>
      </c>
      <c r="P753" s="64" t="str">
        <f>Ringkasan!P752</f>
        <v/>
      </c>
      <c r="Q753" s="64" t="str">
        <f>Ringkasan!Q752</f>
        <v/>
      </c>
      <c r="R753" s="64" t="str">
        <f>Ringkasan!R752</f>
        <v/>
      </c>
      <c r="S753" s="64" t="str">
        <f>Ringkasan!S752</f>
        <v/>
      </c>
      <c r="T753" s="64" t="str">
        <f>Ringkasan!T752</f>
        <v/>
      </c>
      <c r="U753" s="64">
        <f>Ringkasan!U752</f>
        <v>1075</v>
      </c>
      <c r="V753" s="64">
        <f>Ringkasan!V752</f>
        <v>2.33</v>
      </c>
      <c r="W753" s="64">
        <f>Ringkasan!W752</f>
        <v>1075</v>
      </c>
      <c r="X753" s="64">
        <f>Ringkasan!X752</f>
        <v>1110</v>
      </c>
      <c r="Y753" s="64">
        <f>Ringkasan!Y752</f>
        <v>1075</v>
      </c>
      <c r="Z753" s="64">
        <f>Ringkasan!Z752</f>
        <v>2252900</v>
      </c>
      <c r="AA753" s="64" t="str">
        <f>Ringkasan!AA752</f>
        <v>Auto Components</v>
      </c>
      <c r="AB753" s="64" t="str">
        <f>Ringkasan!AB752</f>
        <v>Consumer Cyclicals</v>
      </c>
    </row>
    <row r="754" hidden="1">
      <c r="A754" s="64" t="str">
        <f>Ringkasan!A1165</f>
        <v>MBSS</v>
      </c>
      <c r="B754" s="64" t="str">
        <f>Ringkasan!B1165</f>
        <v>Mitrabahtera Segara Sejati Tbk.</v>
      </c>
      <c r="C754" s="61" t="str">
        <f>Ringkasan!C1165</f>
        <v>#N/A</v>
      </c>
      <c r="D754" s="60" t="str">
        <f>Ringkasan!D1165</f>
        <v>#N/A</v>
      </c>
      <c r="E754" s="60" t="str">
        <f>Ringkasan!E1165</f>
        <v/>
      </c>
      <c r="F754" s="60" t="str">
        <f>Ringkasan!F1165</f>
        <v/>
      </c>
      <c r="G754" s="60">
        <f>Ringkasan!G1165</f>
        <v>0</v>
      </c>
      <c r="H754" s="62">
        <f>Ringkasan!H1165</f>
        <v>17</v>
      </c>
      <c r="I754" s="62">
        <f>Ringkasan!I1165</f>
        <v>1.1</v>
      </c>
      <c r="J754" s="62">
        <f>Ringkasan!J1165</f>
        <v>6.4</v>
      </c>
      <c r="K754" s="62">
        <f>Ringkasan!K1165</f>
        <v>5.9</v>
      </c>
      <c r="L754" s="62">
        <f>Ringkasan!L1165</f>
        <v>0.09</v>
      </c>
      <c r="M754" s="62">
        <f>Ringkasan!M1165</f>
        <v>140</v>
      </c>
      <c r="N754" s="60" t="str">
        <f>Ringkasan!N1165</f>
        <v/>
      </c>
      <c r="O754" s="60" t="str">
        <f>Ringkasan!O1165</f>
        <v/>
      </c>
      <c r="P754" s="60" t="str">
        <f>Ringkasan!P1165</f>
        <v/>
      </c>
      <c r="Q754" s="60" t="str">
        <f>Ringkasan!Q1165</f>
        <v/>
      </c>
      <c r="R754" s="60" t="str">
        <f>Ringkasan!R1165</f>
        <v/>
      </c>
      <c r="S754" s="60" t="str">
        <f>Ringkasan!S1165</f>
        <v/>
      </c>
      <c r="T754" s="60" t="str">
        <f>Ringkasan!T1165</f>
        <v/>
      </c>
      <c r="U754" s="60">
        <f>Ringkasan!U1165</f>
        <v>2390</v>
      </c>
      <c r="V754" s="60">
        <f>Ringkasan!V1165</f>
        <v>6.28</v>
      </c>
      <c r="W754" s="60" t="str">
        <f>Ringkasan!W1165</f>
        <v/>
      </c>
      <c r="X754" s="60">
        <f>Ringkasan!X1165</f>
        <v>2600</v>
      </c>
      <c r="Y754" s="60">
        <f>Ringkasan!Y1165</f>
        <v>2340</v>
      </c>
      <c r="Z754" s="60">
        <f>Ringkasan!Z1165</f>
        <v>4192000</v>
      </c>
      <c r="AA754" s="60" t="str">
        <f>Ringkasan!AA1165</f>
        <v>Coal</v>
      </c>
      <c r="AB754" s="64" t="str">
        <f>Ringkasan!AB1165</f>
        <v>Energy</v>
      </c>
    </row>
    <row r="755" hidden="1">
      <c r="A755" s="64" t="str">
        <f>Ringkasan!A754</f>
        <v>GLVA</v>
      </c>
      <c r="B755" s="64" t="str">
        <f>Ringkasan!B754</f>
        <v>Galva Technologies Tbk.</v>
      </c>
      <c r="C755" s="65">
        <f>Ringkasan!C754</f>
        <v>304</v>
      </c>
      <c r="D755" s="64" t="str">
        <f>Ringkasan!D754</f>
        <v>#N/A</v>
      </c>
      <c r="E755" s="64" t="str">
        <f>Ringkasan!E754</f>
        <v/>
      </c>
      <c r="F755" s="64" t="str">
        <f>Ringkasan!F754</f>
        <v/>
      </c>
      <c r="G755" s="64">
        <f>Ringkasan!G754</f>
        <v>0</v>
      </c>
      <c r="H755" s="19">
        <f>Ringkasan!H754</f>
        <v>17.3</v>
      </c>
      <c r="I755" s="19">
        <f>Ringkasan!I754</f>
        <v>1.1</v>
      </c>
      <c r="J755" s="19">
        <f>Ringkasan!J754</f>
        <v>6.1</v>
      </c>
      <c r="K755" s="19">
        <f>Ringkasan!K754</f>
        <v>2.8</v>
      </c>
      <c r="L755" s="19">
        <f>Ringkasan!L754</f>
        <v>1.2</v>
      </c>
      <c r="M755" s="19">
        <f>Ringkasan!M754</f>
        <v>7.7</v>
      </c>
      <c r="N755" s="64" t="str">
        <f>Ringkasan!N754</f>
        <v/>
      </c>
      <c r="O755" s="64" t="str">
        <f>Ringkasan!O754</f>
        <v/>
      </c>
      <c r="P755" s="64" t="str">
        <f>Ringkasan!P754</f>
        <v/>
      </c>
      <c r="Q755" s="64" t="str">
        <f>Ringkasan!Q754</f>
        <v/>
      </c>
      <c r="R755" s="64" t="str">
        <f>Ringkasan!R754</f>
        <v/>
      </c>
      <c r="S755" s="64" t="str">
        <f>Ringkasan!S754</f>
        <v/>
      </c>
      <c r="T755" s="64" t="str">
        <f>Ringkasan!T754</f>
        <v/>
      </c>
      <c r="U755" s="64">
        <f>Ringkasan!U754</f>
        <v>300</v>
      </c>
      <c r="V755" s="64">
        <f>Ringkasan!V754</f>
        <v>1.33</v>
      </c>
      <c r="W755" s="64">
        <f>Ringkasan!W754</f>
        <v>312</v>
      </c>
      <c r="X755" s="64">
        <f>Ringkasan!X754</f>
        <v>320</v>
      </c>
      <c r="Y755" s="64">
        <f>Ringkasan!Y754</f>
        <v>304</v>
      </c>
      <c r="Z755" s="64">
        <f>Ringkasan!Z754</f>
        <v>10300</v>
      </c>
      <c r="AA755" s="64" t="str">
        <f>Ringkasan!AA754</f>
        <v>Electronic Equipment, Instruments &amp; Components</v>
      </c>
      <c r="AB755" s="64" t="str">
        <f>Ringkasan!AB754</f>
        <v>Technology</v>
      </c>
    </row>
    <row r="756" hidden="1">
      <c r="A756" s="64" t="str">
        <f>Ringkasan!A755</f>
        <v>GMFI</v>
      </c>
      <c r="B756" s="64" t="str">
        <f>Ringkasan!B755</f>
        <v>Garuda Maintenance Facility Aero Asia Tbk.</v>
      </c>
      <c r="C756" s="65">
        <f>Ringkasan!C755</f>
        <v>52</v>
      </c>
      <c r="D756" s="64" t="str">
        <f>Ringkasan!D755</f>
        <v>#N/A</v>
      </c>
      <c r="E756" s="64" t="str">
        <f>Ringkasan!E755</f>
        <v/>
      </c>
      <c r="F756" s="64" t="str">
        <f>Ringkasan!F755</f>
        <v/>
      </c>
      <c r="G756" s="64">
        <f>Ringkasan!G755</f>
        <v>0</v>
      </c>
      <c r="H756" s="19">
        <f>Ringkasan!H755</f>
        <v>10.6</v>
      </c>
      <c r="I756" s="19">
        <f>Ringkasan!I755</f>
        <v>2.8</v>
      </c>
      <c r="J756" s="19">
        <f>Ringkasan!J755</f>
        <v>26</v>
      </c>
      <c r="K756" s="19">
        <f>Ringkasan!K755</f>
        <v>4</v>
      </c>
      <c r="L756" s="19">
        <f>Ringkasan!L755</f>
        <v>5.5</v>
      </c>
      <c r="M756" s="19">
        <f>Ringkasan!M755</f>
        <v>31.8</v>
      </c>
      <c r="N756" s="64" t="str">
        <f>Ringkasan!N755</f>
        <v/>
      </c>
      <c r="O756" s="64" t="str">
        <f>Ringkasan!O755</f>
        <v/>
      </c>
      <c r="P756" s="64" t="str">
        <f>Ringkasan!P755</f>
        <v/>
      </c>
      <c r="Q756" s="64" t="str">
        <f>Ringkasan!Q755</f>
        <v/>
      </c>
      <c r="R756" s="64" t="str">
        <f>Ringkasan!R755</f>
        <v/>
      </c>
      <c r="S756" s="64" t="str">
        <f>Ringkasan!S755</f>
        <v/>
      </c>
      <c r="T756" s="64" t="str">
        <f>Ringkasan!T755</f>
        <v/>
      </c>
      <c r="U756" s="64">
        <f>Ringkasan!U755</f>
        <v>50</v>
      </c>
      <c r="V756" s="64">
        <f>Ringkasan!V755</f>
        <v>4</v>
      </c>
      <c r="W756" s="64">
        <f>Ringkasan!W755</f>
        <v>50</v>
      </c>
      <c r="X756" s="64">
        <f>Ringkasan!X755</f>
        <v>53</v>
      </c>
      <c r="Y756" s="64">
        <f>Ringkasan!Y755</f>
        <v>50</v>
      </c>
      <c r="Z756" s="64">
        <f>Ringkasan!Z755</f>
        <v>79460400</v>
      </c>
      <c r="AA756" s="64" t="str">
        <f>Ringkasan!AA755</f>
        <v>Transport Infrastructure Operator</v>
      </c>
      <c r="AB756" s="64" t="str">
        <f>Ringkasan!AB755</f>
        <v>Infrastructures</v>
      </c>
    </row>
    <row r="757" hidden="1">
      <c r="A757" s="64" t="str">
        <f>Ringkasan!A756</f>
        <v>GMTD</v>
      </c>
      <c r="B757" s="64" t="str">
        <f>Ringkasan!B756</f>
        <v>Gowa Makassar Tourism Development Tbk.</v>
      </c>
      <c r="C757" s="65">
        <f>Ringkasan!C756</f>
        <v>1380</v>
      </c>
      <c r="D757" s="64" t="str">
        <f>Ringkasan!D756</f>
        <v>#N/A</v>
      </c>
      <c r="E757" s="64" t="str">
        <f>Ringkasan!E756</f>
        <v/>
      </c>
      <c r="F757" s="64" t="str">
        <f>Ringkasan!F756</f>
        <v/>
      </c>
      <c r="G757" s="64">
        <f>Ringkasan!G756</f>
        <v>0</v>
      </c>
      <c r="H757" s="19">
        <f>Ringkasan!H756</f>
        <v>54.6</v>
      </c>
      <c r="I757" s="19">
        <f>Ringkasan!I756</f>
        <v>2</v>
      </c>
      <c r="J757" s="19">
        <f>Ringkasan!J756</f>
        <v>3.7</v>
      </c>
      <c r="K757" s="19">
        <f>Ringkasan!K756</f>
        <v>2.3</v>
      </c>
      <c r="L757" s="19">
        <f>Ringkasan!L756</f>
        <v>0.63</v>
      </c>
      <c r="M757" s="19">
        <f>Ringkasan!M756</f>
        <v>11.2</v>
      </c>
      <c r="N757" s="64" t="str">
        <f>Ringkasan!N756</f>
        <v/>
      </c>
      <c r="O757" s="64" t="str">
        <f>Ringkasan!O756</f>
        <v/>
      </c>
      <c r="P757" s="64" t="str">
        <f>Ringkasan!P756</f>
        <v/>
      </c>
      <c r="Q757" s="64" t="str">
        <f>Ringkasan!Q756</f>
        <v/>
      </c>
      <c r="R757" s="64" t="str">
        <f>Ringkasan!R756</f>
        <v/>
      </c>
      <c r="S757" s="64" t="str">
        <f>Ringkasan!S756</f>
        <v/>
      </c>
      <c r="T757" s="64" t="str">
        <f>Ringkasan!T756</f>
        <v/>
      </c>
      <c r="U757" s="64">
        <f>Ringkasan!U756</f>
        <v>1350</v>
      </c>
      <c r="V757" s="64">
        <f>Ringkasan!V756</f>
        <v>2.22</v>
      </c>
      <c r="W757" s="64">
        <f>Ringkasan!W756</f>
        <v>1325</v>
      </c>
      <c r="X757" s="64">
        <f>Ringkasan!X756</f>
        <v>1380</v>
      </c>
      <c r="Y757" s="64">
        <f>Ringkasan!Y756</f>
        <v>1325</v>
      </c>
      <c r="Z757" s="64">
        <f>Ringkasan!Z756</f>
        <v>4200</v>
      </c>
      <c r="AA757" s="64" t="str">
        <f>Ringkasan!AA756</f>
        <v>Real Estate Management &amp; Development</v>
      </c>
      <c r="AB757" s="64" t="str">
        <f>Ringkasan!AB756</f>
        <v>Properties &amp; Real Estate</v>
      </c>
    </row>
    <row r="758" hidden="1">
      <c r="A758" s="64" t="str">
        <f>Ringkasan!A757</f>
        <v>GOLD</v>
      </c>
      <c r="B758" s="64" t="str">
        <f>Ringkasan!B757</f>
        <v>PT Visi Telekomunikasi Infrastruktur Tbk.</v>
      </c>
      <c r="C758" s="65">
        <f>Ringkasan!C757</f>
        <v>242</v>
      </c>
      <c r="D758" s="64" t="str">
        <f>Ringkasan!D757</f>
        <v>#N/A</v>
      </c>
      <c r="E758" s="64" t="str">
        <f>Ringkasan!E757</f>
        <v/>
      </c>
      <c r="F758" s="64" t="str">
        <f>Ringkasan!F757</f>
        <v/>
      </c>
      <c r="G758" s="64">
        <f>Ringkasan!G757</f>
        <v>0</v>
      </c>
      <c r="H758" s="19">
        <f>Ringkasan!H757</f>
        <v>17.3</v>
      </c>
      <c r="I758" s="19">
        <f>Ringkasan!I757</f>
        <v>0.76</v>
      </c>
      <c r="J758" s="19">
        <f>Ringkasan!J757</f>
        <v>4.4</v>
      </c>
      <c r="K758" s="19">
        <f>Ringkasan!K757</f>
        <v>4.1</v>
      </c>
      <c r="L758" s="19">
        <f>Ringkasan!L757</f>
        <v>0.08</v>
      </c>
      <c r="M758" s="19">
        <f>Ringkasan!M757</f>
        <v>130</v>
      </c>
      <c r="N758" s="64" t="str">
        <f>Ringkasan!N757</f>
        <v/>
      </c>
      <c r="O758" s="64" t="str">
        <f>Ringkasan!O757</f>
        <v/>
      </c>
      <c r="P758" s="64" t="str">
        <f>Ringkasan!P757</f>
        <v/>
      </c>
      <c r="Q758" s="64" t="str">
        <f>Ringkasan!Q757</f>
        <v/>
      </c>
      <c r="R758" s="64" t="str">
        <f>Ringkasan!R757</f>
        <v/>
      </c>
      <c r="S758" s="64" t="str">
        <f>Ringkasan!S757</f>
        <v/>
      </c>
      <c r="T758" s="64" t="str">
        <f>Ringkasan!T757</f>
        <v/>
      </c>
      <c r="U758" s="64">
        <f>Ringkasan!U757</f>
        <v>43.29</v>
      </c>
      <c r="V758" s="64">
        <f>Ringkasan!V757</f>
        <v>2.17</v>
      </c>
      <c r="W758" s="64">
        <f>Ringkasan!W757</f>
        <v>43.3</v>
      </c>
      <c r="X758" s="64">
        <f>Ringkasan!X757</f>
        <v>44.35</v>
      </c>
      <c r="Y758" s="64">
        <f>Ringkasan!Y757</f>
        <v>42.61</v>
      </c>
      <c r="Z758" s="64">
        <f>Ringkasan!Z757</f>
        <v>412935</v>
      </c>
      <c r="AA758" s="64" t="str">
        <f>Ringkasan!AA757</f>
        <v>Wireless Telecommunication Services</v>
      </c>
      <c r="AB758" s="64" t="str">
        <f>Ringkasan!AB757</f>
        <v>Infrastructures</v>
      </c>
    </row>
    <row r="759" hidden="1">
      <c r="A759" s="64" t="str">
        <f>Ringkasan!A758</f>
        <v>GOLF</v>
      </c>
      <c r="B759" s="64" t="str">
        <f>Ringkasan!B758</f>
        <v>Intra Golflink Resorts Tbk.</v>
      </c>
      <c r="C759" s="65">
        <f>Ringkasan!C758</f>
        <v>168</v>
      </c>
      <c r="D759" s="64" t="str">
        <f>Ringkasan!D758</f>
        <v>#N/A</v>
      </c>
      <c r="E759" s="64" t="str">
        <f>Ringkasan!E758</f>
        <v/>
      </c>
      <c r="F759" s="64" t="str">
        <f>Ringkasan!F758</f>
        <v/>
      </c>
      <c r="G759" s="64">
        <f>Ringkasan!G758</f>
        <v>0</v>
      </c>
      <c r="H759" s="19">
        <f>Ringkasan!H758</f>
        <v>59.9</v>
      </c>
      <c r="I759" s="19">
        <f>Ringkasan!I758</f>
        <v>0.39</v>
      </c>
      <c r="J759" s="19">
        <f>Ringkasan!J758</f>
        <v>0.65</v>
      </c>
      <c r="K759" s="19">
        <f>Ringkasan!K758</f>
        <v>0.6</v>
      </c>
      <c r="L759" s="19">
        <f>Ringkasan!L758</f>
        <v>0.08</v>
      </c>
      <c r="M759" s="19">
        <f>Ringkasan!M758</f>
        <v>180</v>
      </c>
      <c r="N759" s="64" t="str">
        <f>Ringkasan!N758</f>
        <v/>
      </c>
      <c r="O759" s="64" t="str">
        <f>Ringkasan!O758</f>
        <v/>
      </c>
      <c r="P759" s="64" t="str">
        <f>Ringkasan!P758</f>
        <v/>
      </c>
      <c r="Q759" s="64" t="str">
        <f>Ringkasan!Q758</f>
        <v/>
      </c>
      <c r="R759" s="64" t="str">
        <f>Ringkasan!R758</f>
        <v/>
      </c>
      <c r="S759" s="64" t="str">
        <f>Ringkasan!S758</f>
        <v/>
      </c>
      <c r="T759" s="64" t="str">
        <f>Ringkasan!T758</f>
        <v/>
      </c>
      <c r="U759" s="64">
        <f>Ringkasan!U758</f>
        <v>99.44</v>
      </c>
      <c r="V759" s="64">
        <f>Ringkasan!V758</f>
        <v>-1.29</v>
      </c>
      <c r="W759" s="64">
        <f>Ringkasan!W758</f>
        <v>99.95</v>
      </c>
      <c r="X759" s="64">
        <f>Ringkasan!X758</f>
        <v>101.06</v>
      </c>
      <c r="Y759" s="64">
        <f>Ringkasan!Y758</f>
        <v>97.98</v>
      </c>
      <c r="Z759" s="64">
        <f>Ringkasan!Z758</f>
        <v>370170</v>
      </c>
      <c r="AA759" s="64" t="str">
        <f>Ringkasan!AA758</f>
        <v>Tourism &amp; Recreation</v>
      </c>
      <c r="AB759" s="64" t="str">
        <f>Ringkasan!AB758</f>
        <v>Consumer Cyclicals</v>
      </c>
    </row>
    <row r="760" hidden="1">
      <c r="A760" s="64" t="str">
        <f>Ringkasan!A759</f>
        <v>GOLL</v>
      </c>
      <c r="B760" s="64" t="str">
        <f>Ringkasan!B759</f>
        <v>PT Golden Plantation Tbk</v>
      </c>
      <c r="C760" s="65">
        <f>Ringkasan!C759</f>
        <v>50</v>
      </c>
      <c r="D760" s="64" t="str">
        <f>Ringkasan!D759</f>
        <v>#N/A</v>
      </c>
      <c r="E760" s="64" t="str">
        <f>Ringkasan!E759</f>
        <v/>
      </c>
      <c r="F760" s="64" t="str">
        <f>Ringkasan!F759</f>
        <v/>
      </c>
      <c r="G760" s="64">
        <f>Ringkasan!G759</f>
        <v>0</v>
      </c>
      <c r="H760" s="19">
        <f>Ringkasan!H759</f>
        <v>0</v>
      </c>
      <c r="I760" s="19">
        <f>Ringkasan!I759</f>
        <v>2.3</v>
      </c>
      <c r="J760" s="19">
        <f>Ringkasan!J759</f>
        <v>-21.3</v>
      </c>
      <c r="K760" s="19">
        <f>Ringkasan!K759</f>
        <v>-3.5</v>
      </c>
      <c r="L760" s="19">
        <f>Ringkasan!L759</f>
        <v>5</v>
      </c>
      <c r="M760" s="19">
        <f>Ringkasan!M759</f>
        <v>-450</v>
      </c>
      <c r="N760" s="64" t="str">
        <f>Ringkasan!N759</f>
        <v/>
      </c>
      <c r="O760" s="64" t="str">
        <f>Ringkasan!O759</f>
        <v/>
      </c>
      <c r="P760" s="64" t="str">
        <f>Ringkasan!P759</f>
        <v/>
      </c>
      <c r="Q760" s="64" t="str">
        <f>Ringkasan!Q759</f>
        <v/>
      </c>
      <c r="R760" s="64" t="str">
        <f>Ringkasan!R759</f>
        <v/>
      </c>
      <c r="S760" s="64" t="str">
        <f>Ringkasan!S759</f>
        <v/>
      </c>
      <c r="T760" s="64" t="str">
        <f>Ringkasan!T759</f>
        <v/>
      </c>
      <c r="U760" s="64">
        <f>Ringkasan!U759</f>
        <v>50</v>
      </c>
      <c r="V760" s="64">
        <f>Ringkasan!V759</f>
        <v>0</v>
      </c>
      <c r="W760" s="64" t="str">
        <f>Ringkasan!W759</f>
        <v/>
      </c>
      <c r="X760" s="64" t="str">
        <f>Ringkasan!X759</f>
        <v/>
      </c>
      <c r="Y760" s="64" t="str">
        <f>Ringkasan!Y759</f>
        <v/>
      </c>
      <c r="Z760" s="64">
        <f>Ringkasan!Z759</f>
        <v>0</v>
      </c>
      <c r="AA760" s="64" t="str">
        <f>Ringkasan!AA759</f>
        <v>Agricultural Products</v>
      </c>
      <c r="AB760" s="64" t="str">
        <f>Ringkasan!AB759</f>
        <v>Consumer Non-Cyclicals</v>
      </c>
    </row>
    <row r="761" hidden="1">
      <c r="A761" s="64" t="str">
        <f>Ringkasan!A925</f>
        <v>INPS</v>
      </c>
      <c r="B761" s="64" t="str">
        <f>Ringkasan!B925</f>
        <v>Indah Prakasa Sentosa Tbk.</v>
      </c>
      <c r="C761" s="65">
        <f>Ringkasan!C925</f>
        <v>700</v>
      </c>
      <c r="D761" s="64" t="str">
        <f>Ringkasan!D925</f>
        <v>#N/A</v>
      </c>
      <c r="E761" s="64" t="str">
        <f>Ringkasan!E925</f>
        <v/>
      </c>
      <c r="F761" s="64" t="str">
        <f>Ringkasan!F925</f>
        <v/>
      </c>
      <c r="G761" s="64">
        <f>Ringkasan!G925</f>
        <v>0</v>
      </c>
      <c r="H761" s="19">
        <f>Ringkasan!H925</f>
        <v>-20.3</v>
      </c>
      <c r="I761" s="19">
        <f>Ringkasan!I925</f>
        <v>-9.1</v>
      </c>
      <c r="J761" s="19">
        <f>Ringkasan!J925</f>
        <v>0</v>
      </c>
      <c r="K761" s="19">
        <f>Ringkasan!K925</f>
        <v>-14</v>
      </c>
      <c r="L761" s="19">
        <f>Ringkasan!L925</f>
        <v>-4.2</v>
      </c>
      <c r="M761" s="19">
        <f>Ringkasan!M925</f>
        <v>-32.8</v>
      </c>
      <c r="N761" s="64" t="str">
        <f>Ringkasan!N925</f>
        <v/>
      </c>
      <c r="O761" s="64" t="str">
        <f>Ringkasan!O925</f>
        <v/>
      </c>
      <c r="P761" s="64" t="str">
        <f>Ringkasan!P925</f>
        <v/>
      </c>
      <c r="Q761" s="64" t="str">
        <f>Ringkasan!Q925</f>
        <v/>
      </c>
      <c r="R761" s="64" t="str">
        <f>Ringkasan!R925</f>
        <v/>
      </c>
      <c r="S761" s="64" t="str">
        <f>Ringkasan!S925</f>
        <v/>
      </c>
      <c r="T761" s="64" t="str">
        <f>Ringkasan!T925</f>
        <v/>
      </c>
      <c r="U761" s="64">
        <f>Ringkasan!U925</f>
        <v>650</v>
      </c>
      <c r="V761" s="64">
        <f>Ringkasan!V925</f>
        <v>7.69</v>
      </c>
      <c r="W761" s="64" t="str">
        <f>Ringkasan!W925</f>
        <v/>
      </c>
      <c r="X761" s="64">
        <f>Ringkasan!X925</f>
        <v>700</v>
      </c>
      <c r="Y761" s="64">
        <f>Ringkasan!Y925</f>
        <v>645</v>
      </c>
      <c r="Z761" s="64">
        <f>Ringkasan!Z925</f>
        <v>194000</v>
      </c>
      <c r="AA761" s="64" t="str">
        <f>Ringkasan!AA925</f>
        <v>Oil &amp; Gas</v>
      </c>
      <c r="AB761" s="64" t="str">
        <f>Ringkasan!AB925</f>
        <v>Energy</v>
      </c>
    </row>
    <row r="762" hidden="1">
      <c r="A762" s="64" t="str">
        <f>Ringkasan!A761</f>
        <v>GOTO</v>
      </c>
      <c r="B762" s="64" t="str">
        <f>Ringkasan!B761</f>
        <v>GoTo Gojek Tokopedia Tbk.</v>
      </c>
      <c r="C762" s="65">
        <f>Ringkasan!C761</f>
        <v>50</v>
      </c>
      <c r="D762" s="64" t="str">
        <f>Ringkasan!D761</f>
        <v>#N/A</v>
      </c>
      <c r="E762" s="64" t="str">
        <f>Ringkasan!E761</f>
        <v>MSCI Global Standard</v>
      </c>
      <c r="F762" s="64" t="str">
        <f>Ringkasan!F761</f>
        <v>12 Agustus 2026</v>
      </c>
      <c r="G762" s="64">
        <f>Ringkasan!G761</f>
        <v>6</v>
      </c>
      <c r="H762" s="19">
        <f>Ringkasan!H761</f>
        <v>-88.5</v>
      </c>
      <c r="I762" s="19">
        <f>Ringkasan!I761</f>
        <v>2</v>
      </c>
      <c r="J762" s="19">
        <f>Ringkasan!J761</f>
        <v>-2.2</v>
      </c>
      <c r="K762" s="19">
        <f>Ringkasan!K761</f>
        <v>-1.4</v>
      </c>
      <c r="L762" s="19">
        <f>Ringkasan!L761</f>
        <v>0.62</v>
      </c>
      <c r="M762" s="19">
        <f>Ringkasan!M761</f>
        <v>-12.1</v>
      </c>
      <c r="N762" s="64" t="str">
        <f>Ringkasan!N761</f>
        <v/>
      </c>
      <c r="O762" s="64" t="str">
        <f>Ringkasan!O761</f>
        <v/>
      </c>
      <c r="P762" s="64" t="str">
        <f>Ringkasan!P761</f>
        <v/>
      </c>
      <c r="Q762" s="64" t="str">
        <f>Ringkasan!Q761</f>
        <v/>
      </c>
      <c r="R762" s="64" t="str">
        <f>Ringkasan!R761</f>
        <v/>
      </c>
      <c r="S762" s="64" t="str">
        <f>Ringkasan!S761</f>
        <v/>
      </c>
      <c r="T762" s="64" t="str">
        <f>Ringkasan!T761</f>
        <v/>
      </c>
      <c r="U762" s="64">
        <f>Ringkasan!U761</f>
        <v>50</v>
      </c>
      <c r="V762" s="64">
        <f>Ringkasan!V761</f>
        <v>0</v>
      </c>
      <c r="W762" s="64">
        <f>Ringkasan!W761</f>
        <v>50</v>
      </c>
      <c r="X762" s="64">
        <f>Ringkasan!X761</f>
        <v>50</v>
      </c>
      <c r="Y762" s="64">
        <f>Ringkasan!Y761</f>
        <v>50</v>
      </c>
      <c r="Z762" s="64">
        <f>Ringkasan!Z761</f>
        <v>67675000</v>
      </c>
      <c r="AA762" s="64" t="str">
        <f>Ringkasan!AA761</f>
        <v>Software</v>
      </c>
      <c r="AB762" s="64" t="str">
        <f>Ringkasan!AB761</f>
        <v>Technology</v>
      </c>
    </row>
    <row r="763" hidden="1">
      <c r="A763" s="64" t="str">
        <f>Ringkasan!A762</f>
        <v>GOTO</v>
      </c>
      <c r="B763" s="64" t="str">
        <f>Ringkasan!B762</f>
        <v>GoTo Gojek Tokopedia Tbk.</v>
      </c>
      <c r="C763" s="65">
        <f>Ringkasan!C762</f>
        <v>50</v>
      </c>
      <c r="D763" s="64" t="str">
        <f>Ringkasan!D762</f>
        <v>#N/A</v>
      </c>
      <c r="E763" s="64" t="str">
        <f>Ringkasan!E762</f>
        <v>IDX80</v>
      </c>
      <c r="F763" s="64" t="str">
        <f>Ringkasan!F762</f>
        <v>31 Juli 2026</v>
      </c>
      <c r="G763" s="64">
        <f>Ringkasan!G762</f>
        <v>6</v>
      </c>
      <c r="H763" s="19">
        <f>Ringkasan!H762</f>
        <v>-88.5</v>
      </c>
      <c r="I763" s="19">
        <f>Ringkasan!I762</f>
        <v>2</v>
      </c>
      <c r="J763" s="19">
        <f>Ringkasan!J762</f>
        <v>-2.2</v>
      </c>
      <c r="K763" s="19">
        <f>Ringkasan!K762</f>
        <v>-1.4</v>
      </c>
      <c r="L763" s="19">
        <f>Ringkasan!L762</f>
        <v>0.62</v>
      </c>
      <c r="M763" s="19">
        <f>Ringkasan!M762</f>
        <v>-12.1</v>
      </c>
      <c r="N763" s="64" t="str">
        <f>Ringkasan!N762</f>
        <v/>
      </c>
      <c r="O763" s="64" t="str">
        <f>Ringkasan!O762</f>
        <v/>
      </c>
      <c r="P763" s="64" t="str">
        <f>Ringkasan!P762</f>
        <v/>
      </c>
      <c r="Q763" s="64" t="str">
        <f>Ringkasan!Q762</f>
        <v/>
      </c>
      <c r="R763" s="64" t="str">
        <f>Ringkasan!R762</f>
        <v/>
      </c>
      <c r="S763" s="64" t="str">
        <f>Ringkasan!S762</f>
        <v/>
      </c>
      <c r="T763" s="64" t="str">
        <f>Ringkasan!T762</f>
        <v/>
      </c>
      <c r="U763" s="64">
        <f>Ringkasan!U762</f>
        <v>50</v>
      </c>
      <c r="V763" s="64">
        <f>Ringkasan!V762</f>
        <v>0</v>
      </c>
      <c r="W763" s="64">
        <f>Ringkasan!W762</f>
        <v>50</v>
      </c>
      <c r="X763" s="64">
        <f>Ringkasan!X762</f>
        <v>50</v>
      </c>
      <c r="Y763" s="64">
        <f>Ringkasan!Y762</f>
        <v>50</v>
      </c>
      <c r="Z763" s="64">
        <f>Ringkasan!Z762</f>
        <v>67675000</v>
      </c>
      <c r="AA763" s="64" t="str">
        <f>Ringkasan!AA762</f>
        <v>Software</v>
      </c>
      <c r="AB763" s="64" t="str">
        <f>Ringkasan!AB762</f>
        <v>Technology</v>
      </c>
    </row>
    <row r="764" hidden="1">
      <c r="A764" s="64" t="str">
        <f>Ringkasan!A763</f>
        <v>GOTO</v>
      </c>
      <c r="B764" s="64" t="str">
        <f>Ringkasan!B763</f>
        <v>GoTo Gojek Tokopedia Tbk.</v>
      </c>
      <c r="C764" s="65">
        <f>Ringkasan!C763</f>
        <v>50</v>
      </c>
      <c r="D764" s="64" t="str">
        <f>Ringkasan!D763</f>
        <v>#N/A</v>
      </c>
      <c r="E764" s="64" t="str">
        <f>Ringkasan!E763</f>
        <v>LQ45</v>
      </c>
      <c r="F764" s="64" t="str">
        <f>Ringkasan!F763</f>
        <v>31 Juli 2026</v>
      </c>
      <c r="G764" s="64">
        <f>Ringkasan!G763</f>
        <v>6</v>
      </c>
      <c r="H764" s="19">
        <f>Ringkasan!H763</f>
        <v>-88.5</v>
      </c>
      <c r="I764" s="19">
        <f>Ringkasan!I763</f>
        <v>2</v>
      </c>
      <c r="J764" s="19">
        <f>Ringkasan!J763</f>
        <v>-2.2</v>
      </c>
      <c r="K764" s="19">
        <f>Ringkasan!K763</f>
        <v>-1.4</v>
      </c>
      <c r="L764" s="19">
        <f>Ringkasan!L763</f>
        <v>0.62</v>
      </c>
      <c r="M764" s="19">
        <f>Ringkasan!M763</f>
        <v>-12.1</v>
      </c>
      <c r="N764" s="64" t="str">
        <f>Ringkasan!N763</f>
        <v/>
      </c>
      <c r="O764" s="64" t="str">
        <f>Ringkasan!O763</f>
        <v/>
      </c>
      <c r="P764" s="64" t="str">
        <f>Ringkasan!P763</f>
        <v/>
      </c>
      <c r="Q764" s="64" t="str">
        <f>Ringkasan!Q763</f>
        <v/>
      </c>
      <c r="R764" s="64" t="str">
        <f>Ringkasan!R763</f>
        <v/>
      </c>
      <c r="S764" s="64" t="str">
        <f>Ringkasan!S763</f>
        <v/>
      </c>
      <c r="T764" s="64" t="str">
        <f>Ringkasan!T763</f>
        <v/>
      </c>
      <c r="U764" s="64">
        <f>Ringkasan!U763</f>
        <v>50</v>
      </c>
      <c r="V764" s="64">
        <f>Ringkasan!V763</f>
        <v>0</v>
      </c>
      <c r="W764" s="64">
        <f>Ringkasan!W763</f>
        <v>50</v>
      </c>
      <c r="X764" s="64">
        <f>Ringkasan!X763</f>
        <v>50</v>
      </c>
      <c r="Y764" s="64">
        <f>Ringkasan!Y763</f>
        <v>50</v>
      </c>
      <c r="Z764" s="64">
        <f>Ringkasan!Z763</f>
        <v>67675000</v>
      </c>
      <c r="AA764" s="64" t="str">
        <f>Ringkasan!AA763</f>
        <v>Software</v>
      </c>
      <c r="AB764" s="64" t="str">
        <f>Ringkasan!AB763</f>
        <v>Technology</v>
      </c>
    </row>
    <row r="765" hidden="1">
      <c r="A765" s="64" t="str">
        <f>Ringkasan!A764</f>
        <v>GOTO</v>
      </c>
      <c r="B765" s="64" t="str">
        <f>Ringkasan!B764</f>
        <v>GoTo Gojek Tokopedia Tbk.</v>
      </c>
      <c r="C765" s="65">
        <f>Ringkasan!C764</f>
        <v>50</v>
      </c>
      <c r="D765" s="64" t="str">
        <f>Ringkasan!D764</f>
        <v>#N/A</v>
      </c>
      <c r="E765" s="64" t="str">
        <f>Ringkasan!E764</f>
        <v>IDX30</v>
      </c>
      <c r="F765" s="64" t="str">
        <f>Ringkasan!F764</f>
        <v>31 Juli 2026</v>
      </c>
      <c r="G765" s="64">
        <f>Ringkasan!G764</f>
        <v>6</v>
      </c>
      <c r="H765" s="19">
        <f>Ringkasan!H764</f>
        <v>-88.5</v>
      </c>
      <c r="I765" s="19">
        <f>Ringkasan!I764</f>
        <v>2</v>
      </c>
      <c r="J765" s="19">
        <f>Ringkasan!J764</f>
        <v>-2.2</v>
      </c>
      <c r="K765" s="19">
        <f>Ringkasan!K764</f>
        <v>-1.4</v>
      </c>
      <c r="L765" s="19">
        <f>Ringkasan!L764</f>
        <v>0.62</v>
      </c>
      <c r="M765" s="19">
        <f>Ringkasan!M764</f>
        <v>-12.1</v>
      </c>
      <c r="N765" s="64" t="str">
        <f>Ringkasan!N764</f>
        <v/>
      </c>
      <c r="O765" s="64" t="str">
        <f>Ringkasan!O764</f>
        <v/>
      </c>
      <c r="P765" s="64" t="str">
        <f>Ringkasan!P764</f>
        <v/>
      </c>
      <c r="Q765" s="64" t="str">
        <f>Ringkasan!Q764</f>
        <v/>
      </c>
      <c r="R765" s="64" t="str">
        <f>Ringkasan!R764</f>
        <v/>
      </c>
      <c r="S765" s="64" t="str">
        <f>Ringkasan!S764</f>
        <v/>
      </c>
      <c r="T765" s="64" t="str">
        <f>Ringkasan!T764</f>
        <v/>
      </c>
      <c r="U765" s="64">
        <f>Ringkasan!U764</f>
        <v>50</v>
      </c>
      <c r="V765" s="64">
        <f>Ringkasan!V764</f>
        <v>0</v>
      </c>
      <c r="W765" s="64">
        <f>Ringkasan!W764</f>
        <v>50</v>
      </c>
      <c r="X765" s="64">
        <f>Ringkasan!X764</f>
        <v>50</v>
      </c>
      <c r="Y765" s="64">
        <f>Ringkasan!Y764</f>
        <v>50</v>
      </c>
      <c r="Z765" s="64">
        <f>Ringkasan!Z764</f>
        <v>67675000</v>
      </c>
      <c r="AA765" s="64" t="str">
        <f>Ringkasan!AA764</f>
        <v>Software</v>
      </c>
      <c r="AB765" s="64" t="str">
        <f>Ringkasan!AB764</f>
        <v>Technology</v>
      </c>
    </row>
    <row r="766" hidden="1">
      <c r="A766" s="64" t="str">
        <f>Ringkasan!A765</f>
        <v>GOTO</v>
      </c>
      <c r="B766" s="64" t="str">
        <f>Ringkasan!B765</f>
        <v>GoTo Gojek Tokopedia Tbk.</v>
      </c>
      <c r="C766" s="65">
        <f>Ringkasan!C765</f>
        <v>50</v>
      </c>
      <c r="D766" s="64" t="str">
        <f>Ringkasan!D765</f>
        <v>#N/A</v>
      </c>
      <c r="E766" s="64" t="str">
        <f>Ringkasan!E765</f>
        <v>Kompas100</v>
      </c>
      <c r="F766" s="64" t="str">
        <f>Ringkasan!F765</f>
        <v>31 Juli 2026</v>
      </c>
      <c r="G766" s="64">
        <f>Ringkasan!G765</f>
        <v>6</v>
      </c>
      <c r="H766" s="19">
        <f>Ringkasan!H765</f>
        <v>-88.5</v>
      </c>
      <c r="I766" s="19">
        <f>Ringkasan!I765</f>
        <v>2</v>
      </c>
      <c r="J766" s="19">
        <f>Ringkasan!J765</f>
        <v>-2.2</v>
      </c>
      <c r="K766" s="19">
        <f>Ringkasan!K765</f>
        <v>-1.4</v>
      </c>
      <c r="L766" s="19">
        <f>Ringkasan!L765</f>
        <v>0.62</v>
      </c>
      <c r="M766" s="19">
        <f>Ringkasan!M765</f>
        <v>-12.1</v>
      </c>
      <c r="N766" s="64" t="str">
        <f>Ringkasan!N765</f>
        <v/>
      </c>
      <c r="O766" s="64" t="str">
        <f>Ringkasan!O765</f>
        <v/>
      </c>
      <c r="P766" s="64" t="str">
        <f>Ringkasan!P765</f>
        <v/>
      </c>
      <c r="Q766" s="64" t="str">
        <f>Ringkasan!Q765</f>
        <v/>
      </c>
      <c r="R766" s="64" t="str">
        <f>Ringkasan!R765</f>
        <v/>
      </c>
      <c r="S766" s="64" t="str">
        <f>Ringkasan!S765</f>
        <v/>
      </c>
      <c r="T766" s="64" t="str">
        <f>Ringkasan!T765</f>
        <v/>
      </c>
      <c r="U766" s="64">
        <f>Ringkasan!U765</f>
        <v>50</v>
      </c>
      <c r="V766" s="64">
        <f>Ringkasan!V765</f>
        <v>0</v>
      </c>
      <c r="W766" s="64">
        <f>Ringkasan!W765</f>
        <v>50</v>
      </c>
      <c r="X766" s="64">
        <f>Ringkasan!X765</f>
        <v>50</v>
      </c>
      <c r="Y766" s="64">
        <f>Ringkasan!Y765</f>
        <v>50</v>
      </c>
      <c r="Z766" s="64">
        <f>Ringkasan!Z765</f>
        <v>67675000</v>
      </c>
      <c r="AA766" s="64" t="str">
        <f>Ringkasan!AA765</f>
        <v>Software</v>
      </c>
      <c r="AB766" s="64" t="str">
        <f>Ringkasan!AB765</f>
        <v>Technology</v>
      </c>
    </row>
    <row r="767" hidden="1">
      <c r="A767" s="64" t="str">
        <f>Ringkasan!A766</f>
        <v>GOTO</v>
      </c>
      <c r="B767" s="64" t="str">
        <f>Ringkasan!B766</f>
        <v>GoTo Gojek Tokopedia Tbk.</v>
      </c>
      <c r="C767" s="65">
        <f>Ringkasan!C766</f>
        <v>50</v>
      </c>
      <c r="D767" s="64" t="str">
        <f>Ringkasan!D766</f>
        <v>#N/A</v>
      </c>
      <c r="E767" s="64" t="str">
        <f>Ringkasan!E766</f>
        <v>IDXESGL</v>
      </c>
      <c r="F767" s="64" t="str">
        <f>Ringkasan!F766</f>
        <v>30 Oktober 2026</v>
      </c>
      <c r="G767" s="64">
        <f>Ringkasan!G766</f>
        <v>6</v>
      </c>
      <c r="H767" s="19">
        <f>Ringkasan!H766</f>
        <v>-88.5</v>
      </c>
      <c r="I767" s="19">
        <f>Ringkasan!I766</f>
        <v>2</v>
      </c>
      <c r="J767" s="19">
        <f>Ringkasan!J766</f>
        <v>-2.2</v>
      </c>
      <c r="K767" s="19">
        <f>Ringkasan!K766</f>
        <v>-1.4</v>
      </c>
      <c r="L767" s="19">
        <f>Ringkasan!L766</f>
        <v>0.62</v>
      </c>
      <c r="M767" s="19">
        <f>Ringkasan!M766</f>
        <v>-12.1</v>
      </c>
      <c r="N767" s="64" t="str">
        <f>Ringkasan!N766</f>
        <v/>
      </c>
      <c r="O767" s="64" t="str">
        <f>Ringkasan!O766</f>
        <v/>
      </c>
      <c r="P767" s="64" t="str">
        <f>Ringkasan!P766</f>
        <v/>
      </c>
      <c r="Q767" s="64" t="str">
        <f>Ringkasan!Q766</f>
        <v/>
      </c>
      <c r="R767" s="64" t="str">
        <f>Ringkasan!R766</f>
        <v/>
      </c>
      <c r="S767" s="64" t="str">
        <f>Ringkasan!S766</f>
        <v/>
      </c>
      <c r="T767" s="64" t="str">
        <f>Ringkasan!T766</f>
        <v/>
      </c>
      <c r="U767" s="64">
        <f>Ringkasan!U766</f>
        <v>50</v>
      </c>
      <c r="V767" s="64">
        <f>Ringkasan!V766</f>
        <v>0</v>
      </c>
      <c r="W767" s="64">
        <f>Ringkasan!W766</f>
        <v>50</v>
      </c>
      <c r="X767" s="64">
        <f>Ringkasan!X766</f>
        <v>50</v>
      </c>
      <c r="Y767" s="64">
        <f>Ringkasan!Y766</f>
        <v>50</v>
      </c>
      <c r="Z767" s="64">
        <f>Ringkasan!Z766</f>
        <v>67675000</v>
      </c>
      <c r="AA767" s="64" t="str">
        <f>Ringkasan!AA766</f>
        <v>Software</v>
      </c>
      <c r="AB767" s="64" t="str">
        <f>Ringkasan!AB766</f>
        <v>Technology</v>
      </c>
    </row>
    <row r="768" hidden="1">
      <c r="A768" s="64" t="str">
        <f>Ringkasan!A767</f>
        <v>GOTOM</v>
      </c>
      <c r="B768" s="64" t="str">
        <f>Ringkasan!B767</f>
        <v>MVS GoTo Gojek Tokopedia Tbk.</v>
      </c>
      <c r="C768" s="65">
        <f>Ringkasan!C767</f>
        <v>0</v>
      </c>
      <c r="D768" s="64" t="str">
        <f>Ringkasan!D767</f>
        <v>#N/A</v>
      </c>
      <c r="E768" s="64" t="str">
        <f>Ringkasan!E767</f>
        <v/>
      </c>
      <c r="F768" s="64" t="str">
        <f>Ringkasan!F767</f>
        <v/>
      </c>
      <c r="G768" s="64">
        <f>Ringkasan!G767</f>
        <v>0</v>
      </c>
      <c r="H768" s="19">
        <f>Ringkasan!H767</f>
        <v>-5.3</v>
      </c>
      <c r="I768" s="19">
        <f>Ringkasan!I767</f>
        <v>0.12</v>
      </c>
      <c r="J768" s="19">
        <f>Ringkasan!J767</f>
        <v>-2.2</v>
      </c>
      <c r="K768" s="19">
        <f>Ringkasan!K767</f>
        <v>-1.4</v>
      </c>
      <c r="L768" s="19">
        <f>Ringkasan!L767</f>
        <v>0.62</v>
      </c>
      <c r="M768" s="19">
        <f>Ringkasan!M767</f>
        <v>-12.1</v>
      </c>
      <c r="N768" s="64" t="str">
        <f>Ringkasan!N767</f>
        <v/>
      </c>
      <c r="O768" s="64" t="str">
        <f>Ringkasan!O767</f>
        <v/>
      </c>
      <c r="P768" s="64" t="str">
        <f>Ringkasan!P767</f>
        <v/>
      </c>
      <c r="Q768" s="64" t="str">
        <f>Ringkasan!Q767</f>
        <v/>
      </c>
      <c r="R768" s="64" t="str">
        <f>Ringkasan!R767</f>
        <v/>
      </c>
      <c r="S768" s="64" t="str">
        <f>Ringkasan!S767</f>
        <v/>
      </c>
      <c r="T768" s="64" t="str">
        <f>Ringkasan!T767</f>
        <v/>
      </c>
      <c r="U768" s="64" t="str">
        <f>Ringkasan!U767</f>
        <v/>
      </c>
      <c r="V768" s="64" t="str">
        <f>Ringkasan!V767</f>
        <v/>
      </c>
      <c r="W768" s="64" t="str">
        <f>Ringkasan!W767</f>
        <v/>
      </c>
      <c r="X768" s="64" t="str">
        <f>Ringkasan!X767</f>
        <v/>
      </c>
      <c r="Y768" s="64" t="str">
        <f>Ringkasan!Y767</f>
        <v/>
      </c>
      <c r="Z768" s="64">
        <f>Ringkasan!Z767</f>
        <v>0</v>
      </c>
      <c r="AA768" s="64" t="str">
        <f>Ringkasan!AA767</f>
        <v>Online Applications &amp; Services</v>
      </c>
      <c r="AB768" s="64" t="str">
        <f>Ringkasan!AB767</f>
        <v>Technology</v>
      </c>
    </row>
    <row r="769" hidden="1">
      <c r="A769" s="64" t="str">
        <f>Ringkasan!A768</f>
        <v>GPRA</v>
      </c>
      <c r="B769" s="64" t="str">
        <f>Ringkasan!B768</f>
        <v>Perdana Gapuraprima Tbk.</v>
      </c>
      <c r="C769" s="65">
        <f>Ringkasan!C768</f>
        <v>105</v>
      </c>
      <c r="D769" s="64" t="str">
        <f>Ringkasan!D768</f>
        <v>#N/A</v>
      </c>
      <c r="E769" s="64" t="str">
        <f>Ringkasan!E768</f>
        <v/>
      </c>
      <c r="F769" s="64" t="str">
        <f>Ringkasan!F768</f>
        <v/>
      </c>
      <c r="G769" s="64">
        <f>Ringkasan!G768</f>
        <v>0</v>
      </c>
      <c r="H769" s="19">
        <f>Ringkasan!H768</f>
        <v>8.5</v>
      </c>
      <c r="I769" s="19">
        <f>Ringkasan!I768</f>
        <v>0.3</v>
      </c>
      <c r="J769" s="19">
        <f>Ringkasan!J768</f>
        <v>3.5</v>
      </c>
      <c r="K769" s="19">
        <f>Ringkasan!K768</f>
        <v>2.6</v>
      </c>
      <c r="L769" s="19">
        <f>Ringkasan!L768</f>
        <v>0.37</v>
      </c>
      <c r="M769" s="19">
        <f>Ringkasan!M768</f>
        <v>62.9</v>
      </c>
      <c r="N769" s="64" t="str">
        <f>Ringkasan!N768</f>
        <v/>
      </c>
      <c r="O769" s="64" t="str">
        <f>Ringkasan!O768</f>
        <v/>
      </c>
      <c r="P769" s="64" t="str">
        <f>Ringkasan!P768</f>
        <v/>
      </c>
      <c r="Q769" s="64" t="str">
        <f>Ringkasan!Q768</f>
        <v/>
      </c>
      <c r="R769" s="64" t="str">
        <f>Ringkasan!R768</f>
        <v/>
      </c>
      <c r="S769" s="64" t="str">
        <f>Ringkasan!S768</f>
        <v/>
      </c>
      <c r="T769" s="64" t="str">
        <f>Ringkasan!T768</f>
        <v/>
      </c>
      <c r="U769" s="64">
        <f>Ringkasan!U768</f>
        <v>104</v>
      </c>
      <c r="V769" s="64">
        <f>Ringkasan!V768</f>
        <v>0.96</v>
      </c>
      <c r="W769" s="64" t="str">
        <f>Ringkasan!W768</f>
        <v/>
      </c>
      <c r="X769" s="64">
        <f>Ringkasan!X768</f>
        <v>107</v>
      </c>
      <c r="Y769" s="64">
        <f>Ringkasan!Y768</f>
        <v>103</v>
      </c>
      <c r="Z769" s="64">
        <f>Ringkasan!Z768</f>
        <v>9944800</v>
      </c>
      <c r="AA769" s="64" t="str">
        <f>Ringkasan!AA768</f>
        <v>Real Estate Management &amp; Development</v>
      </c>
      <c r="AB769" s="64" t="str">
        <f>Ringkasan!AB768</f>
        <v>Properties &amp; Real Estate</v>
      </c>
    </row>
    <row r="770" hidden="1">
      <c r="A770" s="64" t="str">
        <f>Ringkasan!A769</f>
        <v>GPSO</v>
      </c>
      <c r="B770" s="64" t="str">
        <f>Ringkasan!B769</f>
        <v>Geoprima Solusi Tbk.</v>
      </c>
      <c r="C770" s="65">
        <f>Ringkasan!C769</f>
        <v>336</v>
      </c>
      <c r="D770" s="64" t="str">
        <f>Ringkasan!D769</f>
        <v>#N/A</v>
      </c>
      <c r="E770" s="64" t="str">
        <f>Ringkasan!E769</f>
        <v/>
      </c>
      <c r="F770" s="64" t="str">
        <f>Ringkasan!F769</f>
        <v/>
      </c>
      <c r="G770" s="64">
        <f>Ringkasan!G769</f>
        <v>0</v>
      </c>
      <c r="H770" s="19">
        <f>Ringkasan!H769</f>
        <v>-190</v>
      </c>
      <c r="I770" s="19">
        <f>Ringkasan!I769</f>
        <v>8</v>
      </c>
      <c r="J770" s="19">
        <f>Ringkasan!J769</f>
        <v>-4.2</v>
      </c>
      <c r="K770" s="19">
        <f>Ringkasan!K769</f>
        <v>-3.8</v>
      </c>
      <c r="L770" s="19">
        <f>Ringkasan!L769</f>
        <v>0.13</v>
      </c>
      <c r="M770" s="19">
        <f>Ringkasan!M769</f>
        <v>-380</v>
      </c>
      <c r="N770" s="64" t="str">
        <f>Ringkasan!N769</f>
        <v/>
      </c>
      <c r="O770" s="64" t="str">
        <f>Ringkasan!O769</f>
        <v/>
      </c>
      <c r="P770" s="64" t="str">
        <f>Ringkasan!P769</f>
        <v/>
      </c>
      <c r="Q770" s="64" t="str">
        <f>Ringkasan!Q769</f>
        <v/>
      </c>
      <c r="R770" s="64" t="str">
        <f>Ringkasan!R769</f>
        <v/>
      </c>
      <c r="S770" s="64" t="str">
        <f>Ringkasan!S769</f>
        <v/>
      </c>
      <c r="T770" s="64" t="str">
        <f>Ringkasan!T769</f>
        <v/>
      </c>
      <c r="U770" s="64">
        <f>Ringkasan!U769</f>
        <v>312</v>
      </c>
      <c r="V770" s="64">
        <f>Ringkasan!V769</f>
        <v>7.69</v>
      </c>
      <c r="W770" s="64">
        <f>Ringkasan!W769</f>
        <v>310</v>
      </c>
      <c r="X770" s="64">
        <f>Ringkasan!X769</f>
        <v>336</v>
      </c>
      <c r="Y770" s="64">
        <f>Ringkasan!Y769</f>
        <v>308</v>
      </c>
      <c r="Z770" s="64">
        <f>Ringkasan!Z769</f>
        <v>57424900</v>
      </c>
      <c r="AA770" s="64" t="str">
        <f>Ringkasan!AA769</f>
        <v>Machinery</v>
      </c>
      <c r="AB770" s="64" t="str">
        <f>Ringkasan!AB769</f>
        <v>Industrials</v>
      </c>
    </row>
    <row r="771" hidden="1">
      <c r="A771" s="64" t="str">
        <f>Ringkasan!A770</f>
        <v>GRIA</v>
      </c>
      <c r="B771" s="64" t="str">
        <f>Ringkasan!B770</f>
        <v>PT Ingria Pratama Capitalindo Tbk</v>
      </c>
      <c r="C771" s="65">
        <f>Ringkasan!C770</f>
        <v>109</v>
      </c>
      <c r="D771" s="64" t="str">
        <f>Ringkasan!D770</f>
        <v>#N/A</v>
      </c>
      <c r="E771" s="64" t="str">
        <f>Ringkasan!E770</f>
        <v/>
      </c>
      <c r="F771" s="64" t="str">
        <f>Ringkasan!F770</f>
        <v/>
      </c>
      <c r="G771" s="64">
        <f>Ringkasan!G770</f>
        <v>0</v>
      </c>
      <c r="H771" s="19">
        <f>Ringkasan!H770</f>
        <v>140</v>
      </c>
      <c r="I771" s="19">
        <f>Ringkasan!I770</f>
        <v>2.6</v>
      </c>
      <c r="J771" s="19">
        <f>Ringkasan!J770</f>
        <v>1.8</v>
      </c>
      <c r="K771" s="19">
        <f>Ringkasan!K770</f>
        <v>1.6</v>
      </c>
      <c r="L771" s="19">
        <f>Ringkasan!L770</f>
        <v>0.18</v>
      </c>
      <c r="M771" s="19">
        <f>Ringkasan!M770</f>
        <v>160</v>
      </c>
      <c r="N771" s="64" t="str">
        <f>Ringkasan!N770</f>
        <v/>
      </c>
      <c r="O771" s="64" t="str">
        <f>Ringkasan!O770</f>
        <v/>
      </c>
      <c r="P771" s="64" t="str">
        <f>Ringkasan!P770</f>
        <v/>
      </c>
      <c r="Q771" s="64" t="str">
        <f>Ringkasan!Q770</f>
        <v/>
      </c>
      <c r="R771" s="64" t="str">
        <f>Ringkasan!R770</f>
        <v/>
      </c>
      <c r="S771" s="64" t="str">
        <f>Ringkasan!S770</f>
        <v/>
      </c>
      <c r="T771" s="64" t="str">
        <f>Ringkasan!T770</f>
        <v/>
      </c>
      <c r="U771" s="64">
        <f>Ringkasan!U770</f>
        <v>109</v>
      </c>
      <c r="V771" s="64">
        <f>Ringkasan!V770</f>
        <v>0</v>
      </c>
      <c r="W771" s="64">
        <f>Ringkasan!W770</f>
        <v>109</v>
      </c>
      <c r="X771" s="64">
        <f>Ringkasan!X770</f>
        <v>118</v>
      </c>
      <c r="Y771" s="64">
        <f>Ringkasan!Y770</f>
        <v>107</v>
      </c>
      <c r="Z771" s="64">
        <f>Ringkasan!Z770</f>
        <v>26839700</v>
      </c>
      <c r="AA771" s="64" t="str">
        <f>Ringkasan!AA770</f>
        <v>Real Estate Management &amp; Development</v>
      </c>
      <c r="AB771" s="64" t="str">
        <f>Ringkasan!AB770</f>
        <v>Properties &amp; Real Estate</v>
      </c>
    </row>
    <row r="772" hidden="1">
      <c r="A772" s="64" t="str">
        <f>Ringkasan!A771</f>
        <v>GRPH</v>
      </c>
      <c r="B772" s="64" t="str">
        <f>Ringkasan!B771</f>
        <v>Griptha Putra Persada Tbk.</v>
      </c>
      <c r="C772" s="65">
        <f>Ringkasan!C771</f>
        <v>61</v>
      </c>
      <c r="D772" s="64" t="str">
        <f>Ringkasan!D771</f>
        <v>#N/A</v>
      </c>
      <c r="E772" s="64" t="str">
        <f>Ringkasan!E771</f>
        <v/>
      </c>
      <c r="F772" s="64" t="str">
        <f>Ringkasan!F771</f>
        <v/>
      </c>
      <c r="G772" s="64">
        <f>Ringkasan!G771</f>
        <v>0</v>
      </c>
      <c r="H772" s="19">
        <f>Ringkasan!H771</f>
        <v>19.8</v>
      </c>
      <c r="I772" s="19">
        <f>Ringkasan!I771</f>
        <v>0.81</v>
      </c>
      <c r="J772" s="19">
        <f>Ringkasan!J771</f>
        <v>4.1</v>
      </c>
      <c r="K772" s="19">
        <f>Ringkasan!K771</f>
        <v>3.2</v>
      </c>
      <c r="L772" s="19">
        <f>Ringkasan!L771</f>
        <v>0.28</v>
      </c>
      <c r="M772" s="19">
        <f>Ringkasan!M771</f>
        <v>42.8</v>
      </c>
      <c r="N772" s="64" t="str">
        <f>Ringkasan!N771</f>
        <v/>
      </c>
      <c r="O772" s="64" t="str">
        <f>Ringkasan!O771</f>
        <v/>
      </c>
      <c r="P772" s="64" t="str">
        <f>Ringkasan!P771</f>
        <v/>
      </c>
      <c r="Q772" s="64" t="str">
        <f>Ringkasan!Q771</f>
        <v/>
      </c>
      <c r="R772" s="64" t="str">
        <f>Ringkasan!R771</f>
        <v/>
      </c>
      <c r="S772" s="64" t="str">
        <f>Ringkasan!S771</f>
        <v/>
      </c>
      <c r="T772" s="64" t="str">
        <f>Ringkasan!T771</f>
        <v/>
      </c>
      <c r="U772" s="64">
        <f>Ringkasan!U771</f>
        <v>56</v>
      </c>
      <c r="V772" s="64">
        <f>Ringkasan!V771</f>
        <v>8.93</v>
      </c>
      <c r="W772" s="64">
        <f>Ringkasan!W771</f>
        <v>57</v>
      </c>
      <c r="X772" s="64">
        <f>Ringkasan!X771</f>
        <v>71</v>
      </c>
      <c r="Y772" s="64">
        <f>Ringkasan!Y771</f>
        <v>57</v>
      </c>
      <c r="Z772" s="64">
        <f>Ringkasan!Z771</f>
        <v>51946600</v>
      </c>
      <c r="AA772" s="64" t="str">
        <f>Ringkasan!AA771</f>
        <v>Tourism &amp; Recreation</v>
      </c>
      <c r="AB772" s="64" t="str">
        <f>Ringkasan!AB771</f>
        <v>Consumer Cyclicals</v>
      </c>
    </row>
    <row r="773" hidden="1">
      <c r="A773" s="64" t="str">
        <f>Ringkasan!A772</f>
        <v>GRPM</v>
      </c>
      <c r="B773" s="64" t="str">
        <f>Ringkasan!B772</f>
        <v>PT Graha Prima Mentari Tbk.</v>
      </c>
      <c r="C773" s="65">
        <f>Ringkasan!C772</f>
        <v>226</v>
      </c>
      <c r="D773" s="64" t="str">
        <f>Ringkasan!D772</f>
        <v>#N/A</v>
      </c>
      <c r="E773" s="64" t="str">
        <f>Ringkasan!E772</f>
        <v/>
      </c>
      <c r="F773" s="64" t="str">
        <f>Ringkasan!F772</f>
        <v/>
      </c>
      <c r="G773" s="64">
        <f>Ringkasan!G772</f>
        <v>0</v>
      </c>
      <c r="H773" s="19">
        <f>Ringkasan!H772</f>
        <v>130</v>
      </c>
      <c r="I773" s="19">
        <f>Ringkasan!I772</f>
        <v>4.5</v>
      </c>
      <c r="J773" s="19">
        <f>Ringkasan!J772</f>
        <v>3.4</v>
      </c>
      <c r="K773" s="19">
        <f>Ringkasan!K772</f>
        <v>1.6</v>
      </c>
      <c r="L773" s="19">
        <f>Ringkasan!L772</f>
        <v>1.1</v>
      </c>
      <c r="M773" s="19">
        <f>Ringkasan!M772</f>
        <v>0.4</v>
      </c>
      <c r="N773" s="64" t="str">
        <f>Ringkasan!N772</f>
        <v/>
      </c>
      <c r="O773" s="64" t="str">
        <f>Ringkasan!O772</f>
        <v/>
      </c>
      <c r="P773" s="64" t="str">
        <f>Ringkasan!P772</f>
        <v/>
      </c>
      <c r="Q773" s="64" t="str">
        <f>Ringkasan!Q772</f>
        <v/>
      </c>
      <c r="R773" s="64" t="str">
        <f>Ringkasan!R772</f>
        <v/>
      </c>
      <c r="S773" s="64" t="str">
        <f>Ringkasan!S772</f>
        <v/>
      </c>
      <c r="T773" s="64" t="str">
        <f>Ringkasan!T772</f>
        <v/>
      </c>
      <c r="U773" s="64">
        <f>Ringkasan!U772</f>
        <v>128.98</v>
      </c>
      <c r="V773" s="64">
        <f>Ringkasan!V772</f>
        <v>1.09</v>
      </c>
      <c r="W773" s="64">
        <f>Ringkasan!W772</f>
        <v>129.8</v>
      </c>
      <c r="X773" s="64">
        <f>Ringkasan!X772</f>
        <v>130.39</v>
      </c>
      <c r="Y773" s="64">
        <f>Ringkasan!Y772</f>
        <v>129.8</v>
      </c>
      <c r="Z773" s="64">
        <f>Ringkasan!Z772</f>
        <v>77</v>
      </c>
      <c r="AA773" s="64" t="str">
        <f>Ringkasan!AA772</f>
        <v>Beverages</v>
      </c>
      <c r="AB773" s="64" t="str">
        <f>Ringkasan!AB772</f>
        <v>Consumer Non-Cyclicals</v>
      </c>
    </row>
    <row r="774" hidden="1">
      <c r="A774" s="64" t="str">
        <f>Ringkasan!A773</f>
        <v>GSMF</v>
      </c>
      <c r="B774" s="64" t="str">
        <f>Ringkasan!B773</f>
        <v>Equity Development Investment Tbk.</v>
      </c>
      <c r="C774" s="65">
        <f>Ringkasan!C773</f>
        <v>72</v>
      </c>
      <c r="D774" s="64" t="str">
        <f>Ringkasan!D773</f>
        <v>#N/A</v>
      </c>
      <c r="E774" s="64" t="str">
        <f>Ringkasan!E773</f>
        <v/>
      </c>
      <c r="F774" s="64" t="str">
        <f>Ringkasan!F773</f>
        <v/>
      </c>
      <c r="G774" s="64">
        <f>Ringkasan!G773</f>
        <v>0</v>
      </c>
      <c r="H774" s="19">
        <f>Ringkasan!H773</f>
        <v>23.7</v>
      </c>
      <c r="I774" s="19">
        <f>Ringkasan!I773</f>
        <v>0.55</v>
      </c>
      <c r="J774" s="19">
        <f>Ringkasan!J773</f>
        <v>2.3</v>
      </c>
      <c r="K774" s="19">
        <f>Ringkasan!K773</f>
        <v>1.1</v>
      </c>
      <c r="L774" s="19">
        <f>Ringkasan!L773</f>
        <v>1.2</v>
      </c>
      <c r="M774" s="19">
        <f>Ringkasan!M773</f>
        <v>18.1</v>
      </c>
      <c r="N774" s="64" t="str">
        <f>Ringkasan!N773</f>
        <v/>
      </c>
      <c r="O774" s="64" t="str">
        <f>Ringkasan!O773</f>
        <v/>
      </c>
      <c r="P774" s="64" t="str">
        <f>Ringkasan!P773</f>
        <v/>
      </c>
      <c r="Q774" s="64" t="str">
        <f>Ringkasan!Q773</f>
        <v/>
      </c>
      <c r="R774" s="64" t="str">
        <f>Ringkasan!R773</f>
        <v/>
      </c>
      <c r="S774" s="64" t="str">
        <f>Ringkasan!S773</f>
        <v/>
      </c>
      <c r="T774" s="64" t="str">
        <f>Ringkasan!T773</f>
        <v/>
      </c>
      <c r="U774" s="64">
        <f>Ringkasan!U773</f>
        <v>69</v>
      </c>
      <c r="V774" s="64">
        <f>Ringkasan!V773</f>
        <v>4.35</v>
      </c>
      <c r="W774" s="64">
        <f>Ringkasan!W773</f>
        <v>77</v>
      </c>
      <c r="X774" s="64">
        <f>Ringkasan!X773</f>
        <v>80</v>
      </c>
      <c r="Y774" s="64">
        <f>Ringkasan!Y773</f>
        <v>71</v>
      </c>
      <c r="Z774" s="64" t="str">
        <f>Ringkasan!Z773</f>
        <v/>
      </c>
      <c r="AA774" s="64" t="str">
        <f>Ringkasan!AA773</f>
        <v>Holding &amp; Investment Companies</v>
      </c>
      <c r="AB774" s="64" t="str">
        <f>Ringkasan!AB773</f>
        <v>Financials</v>
      </c>
    </row>
    <row r="775" hidden="1">
      <c r="A775" s="64" t="str">
        <f>Ringkasan!A774</f>
        <v>GTBO</v>
      </c>
      <c r="B775" s="64" t="str">
        <f>Ringkasan!B774</f>
        <v>Garda Tujuh Buana Tbk</v>
      </c>
      <c r="C775" s="65">
        <f>Ringkasan!C774</f>
        <v>180</v>
      </c>
      <c r="D775" s="64" t="str">
        <f>Ringkasan!D774</f>
        <v>#N/A</v>
      </c>
      <c r="E775" s="64" t="str">
        <f>Ringkasan!E774</f>
        <v/>
      </c>
      <c r="F775" s="64" t="str">
        <f>Ringkasan!F774</f>
        <v/>
      </c>
      <c r="G775" s="64">
        <f>Ringkasan!G774</f>
        <v>0</v>
      </c>
      <c r="H775" s="19">
        <f>Ringkasan!H774</f>
        <v>-6.4</v>
      </c>
      <c r="I775" s="19">
        <f>Ringkasan!I774</f>
        <v>0.62</v>
      </c>
      <c r="J775" s="19">
        <f>Ringkasan!J774</f>
        <v>-9.6</v>
      </c>
      <c r="K775" s="19">
        <f>Ringkasan!K774</f>
        <v>-8.2</v>
      </c>
      <c r="L775" s="19">
        <f>Ringkasan!L774</f>
        <v>0.18</v>
      </c>
      <c r="M775" s="19">
        <f>Ringkasan!M774</f>
        <v>-43.4</v>
      </c>
      <c r="N775" s="64" t="str">
        <f>Ringkasan!N774</f>
        <v/>
      </c>
      <c r="O775" s="64" t="str">
        <f>Ringkasan!O774</f>
        <v/>
      </c>
      <c r="P775" s="64" t="str">
        <f>Ringkasan!P774</f>
        <v/>
      </c>
      <c r="Q775" s="64" t="str">
        <f>Ringkasan!Q774</f>
        <v/>
      </c>
      <c r="R775" s="64" t="str">
        <f>Ringkasan!R774</f>
        <v/>
      </c>
      <c r="S775" s="64" t="str">
        <f>Ringkasan!S774</f>
        <v/>
      </c>
      <c r="T775" s="64" t="str">
        <f>Ringkasan!T774</f>
        <v/>
      </c>
      <c r="U775" s="64">
        <f>Ringkasan!U774</f>
        <v>175</v>
      </c>
      <c r="V775" s="64">
        <f>Ringkasan!V774</f>
        <v>2.86</v>
      </c>
      <c r="W775" s="64">
        <f>Ringkasan!W774</f>
        <v>174</v>
      </c>
      <c r="X775" s="64">
        <f>Ringkasan!X774</f>
        <v>188</v>
      </c>
      <c r="Y775" s="64" t="str">
        <f>Ringkasan!Y774</f>
        <v/>
      </c>
      <c r="Z775" s="64">
        <f>Ringkasan!Z774</f>
        <v>942600</v>
      </c>
      <c r="AA775" s="64" t="str">
        <f>Ringkasan!AA774</f>
        <v>Coal</v>
      </c>
      <c r="AB775" s="64" t="str">
        <f>Ringkasan!AB774</f>
        <v>Energy</v>
      </c>
    </row>
    <row r="776" hidden="1">
      <c r="A776" s="64" t="str">
        <f>Ringkasan!A775</f>
        <v>GTRA</v>
      </c>
      <c r="B776" s="64" t="str">
        <f>Ringkasan!B775</f>
        <v>PT Grahaprima Suksesmandiri Tbk</v>
      </c>
      <c r="C776" s="65">
        <f>Ringkasan!C775</f>
        <v>189</v>
      </c>
      <c r="D776" s="64" t="str">
        <f>Ringkasan!D775</f>
        <v>#N/A</v>
      </c>
      <c r="E776" s="64" t="str">
        <f>Ringkasan!E775</f>
        <v/>
      </c>
      <c r="F776" s="64" t="str">
        <f>Ringkasan!F775</f>
        <v/>
      </c>
      <c r="G776" s="64">
        <f>Ringkasan!G775</f>
        <v>0</v>
      </c>
      <c r="H776" s="19">
        <f>Ringkasan!H775</f>
        <v>5.5</v>
      </c>
      <c r="I776" s="19">
        <f>Ringkasan!I775</f>
        <v>0.97</v>
      </c>
      <c r="J776" s="19">
        <f>Ringkasan!J775</f>
        <v>17.5</v>
      </c>
      <c r="K776" s="19">
        <f>Ringkasan!K775</f>
        <v>5</v>
      </c>
      <c r="L776" s="19">
        <f>Ringkasan!L775</f>
        <v>2.5</v>
      </c>
      <c r="M776" s="19">
        <f>Ringkasan!M775</f>
        <v>36</v>
      </c>
      <c r="N776" s="64" t="str">
        <f>Ringkasan!N775</f>
        <v/>
      </c>
      <c r="O776" s="64" t="str">
        <f>Ringkasan!O775</f>
        <v/>
      </c>
      <c r="P776" s="64" t="str">
        <f>Ringkasan!P775</f>
        <v/>
      </c>
      <c r="Q776" s="64" t="str">
        <f>Ringkasan!Q775</f>
        <v/>
      </c>
      <c r="R776" s="64" t="str">
        <f>Ringkasan!R775</f>
        <v/>
      </c>
      <c r="S776" s="64" t="str">
        <f>Ringkasan!S775</f>
        <v/>
      </c>
      <c r="T776" s="64" t="str">
        <f>Ringkasan!T775</f>
        <v/>
      </c>
      <c r="U776" s="64">
        <f>Ringkasan!U775</f>
        <v>174</v>
      </c>
      <c r="V776" s="64">
        <f>Ringkasan!V775</f>
        <v>8.62</v>
      </c>
      <c r="W776" s="64">
        <f>Ringkasan!W775</f>
        <v>173</v>
      </c>
      <c r="X776" s="64">
        <f>Ringkasan!X775</f>
        <v>200</v>
      </c>
      <c r="Y776" s="64">
        <f>Ringkasan!Y775</f>
        <v>171</v>
      </c>
      <c r="Z776" s="64">
        <f>Ringkasan!Z775</f>
        <v>625800</v>
      </c>
      <c r="AA776" s="64" t="str">
        <f>Ringkasan!AA775</f>
        <v>Logistics &amp; Deliveries</v>
      </c>
      <c r="AB776" s="64" t="str">
        <f>Ringkasan!AB775</f>
        <v>Transportation &amp; Logistic</v>
      </c>
    </row>
    <row r="777" hidden="1">
      <c r="A777" s="64" t="str">
        <f>Ringkasan!A776</f>
        <v>GTSI</v>
      </c>
      <c r="B777" s="64" t="str">
        <f>Ringkasan!B776</f>
        <v>GTS Internasional Tbk.</v>
      </c>
      <c r="C777" s="65">
        <f>Ringkasan!C776</f>
        <v>134</v>
      </c>
      <c r="D777" s="64" t="str">
        <f>Ringkasan!D776</f>
        <v>#N/A</v>
      </c>
      <c r="E777" s="64" t="str">
        <f>Ringkasan!E776</f>
        <v/>
      </c>
      <c r="F777" s="64" t="str">
        <f>Ringkasan!F776</f>
        <v/>
      </c>
      <c r="G777" s="64">
        <f>Ringkasan!G776</f>
        <v>0</v>
      </c>
      <c r="H777" s="19">
        <f>Ringkasan!H776</f>
        <v>84.9</v>
      </c>
      <c r="I777" s="19">
        <f>Ringkasan!I776</f>
        <v>2.3</v>
      </c>
      <c r="J777" s="19">
        <f>Ringkasan!J776</f>
        <v>2.7</v>
      </c>
      <c r="K777" s="19">
        <f>Ringkasan!K776</f>
        <v>1.2</v>
      </c>
      <c r="L777" s="19">
        <f>Ringkasan!L776</f>
        <v>1.3</v>
      </c>
      <c r="M777" s="19">
        <f>Ringkasan!M776</f>
        <v>5.1</v>
      </c>
      <c r="N777" s="64" t="str">
        <f>Ringkasan!N776</f>
        <v/>
      </c>
      <c r="O777" s="64" t="str">
        <f>Ringkasan!O776</f>
        <v/>
      </c>
      <c r="P777" s="64" t="str">
        <f>Ringkasan!P776</f>
        <v/>
      </c>
      <c r="Q777" s="64" t="str">
        <f>Ringkasan!Q776</f>
        <v/>
      </c>
      <c r="R777" s="64" t="str">
        <f>Ringkasan!R776</f>
        <v/>
      </c>
      <c r="S777" s="64" t="str">
        <f>Ringkasan!S776</f>
        <v/>
      </c>
      <c r="T777" s="64" t="str">
        <f>Ringkasan!T776</f>
        <v/>
      </c>
      <c r="U777" s="64">
        <f>Ringkasan!U776</f>
        <v>124</v>
      </c>
      <c r="V777" s="64">
        <f>Ringkasan!V776</f>
        <v>8.06</v>
      </c>
      <c r="W777" s="64">
        <f>Ringkasan!W776</f>
        <v>134</v>
      </c>
      <c r="X777" s="64">
        <f>Ringkasan!X776</f>
        <v>139</v>
      </c>
      <c r="Y777" s="64">
        <f>Ringkasan!Y776</f>
        <v>128</v>
      </c>
      <c r="Z777" s="64">
        <f>Ringkasan!Z776</f>
        <v>57220200</v>
      </c>
      <c r="AA777" s="64" t="str">
        <f>Ringkasan!AA776</f>
        <v>Oil &amp; Gas</v>
      </c>
      <c r="AB777" s="64" t="str">
        <f>Ringkasan!AB776</f>
        <v>Energy</v>
      </c>
    </row>
    <row r="778" hidden="1">
      <c r="A778" s="64" t="str">
        <f>Ringkasan!A1007</f>
        <v>JSMR</v>
      </c>
      <c r="B778" s="64" t="str">
        <f>Ringkasan!B1007</f>
        <v>Jasa Marga (Persero) Tbk.</v>
      </c>
      <c r="C778" s="65">
        <f>Ringkasan!C1007</f>
        <v>2600</v>
      </c>
      <c r="D778" s="64" t="str">
        <f>Ringkasan!D1007</f>
        <v>#N/A</v>
      </c>
      <c r="E778" s="64" t="str">
        <f>Ringkasan!E1007</f>
        <v>Investor33</v>
      </c>
      <c r="F778" s="66">
        <f>Ringkasan!F1007</f>
        <v>46356</v>
      </c>
      <c r="G778" s="64">
        <f>Ringkasan!G1007</f>
        <v>17</v>
      </c>
      <c r="H778" s="19">
        <f>Ringkasan!H1007</f>
        <v>6.2</v>
      </c>
      <c r="I778" s="19">
        <f>Ringkasan!I1007</f>
        <v>0.34</v>
      </c>
      <c r="J778" s="19">
        <f>Ringkasan!J1007</f>
        <v>5.5</v>
      </c>
      <c r="K778" s="19">
        <f>Ringkasan!K1007</f>
        <v>2.2</v>
      </c>
      <c r="L778" s="19">
        <f>Ringkasan!L1007</f>
        <v>1.5</v>
      </c>
      <c r="M778" s="19">
        <f>Ringkasan!M1007</f>
        <v>54.4</v>
      </c>
      <c r="N778" s="64" t="str">
        <f>Ringkasan!N1007</f>
        <v/>
      </c>
      <c r="O778" s="64" t="str">
        <f>Ringkasan!O1007</f>
        <v/>
      </c>
      <c r="P778" s="64" t="str">
        <f>Ringkasan!P1007</f>
        <v/>
      </c>
      <c r="Q778" s="64" t="str">
        <f>Ringkasan!Q1007</f>
        <v/>
      </c>
      <c r="R778" s="64" t="str">
        <f>Ringkasan!R1007</f>
        <v/>
      </c>
      <c r="S778" s="64" t="str">
        <f>Ringkasan!S1007</f>
        <v/>
      </c>
      <c r="T778" s="64" t="str">
        <f>Ringkasan!T1007</f>
        <v/>
      </c>
      <c r="U778" s="64">
        <f>Ringkasan!U1007</f>
        <v>2620</v>
      </c>
      <c r="V778" s="64">
        <f>Ringkasan!V1007</f>
        <v>-0.76</v>
      </c>
      <c r="W778" s="64">
        <f>Ringkasan!W1007</f>
        <v>2630</v>
      </c>
      <c r="X778" s="64">
        <f>Ringkasan!X1007</f>
        <v>2650</v>
      </c>
      <c r="Y778" s="64">
        <f>Ringkasan!Y1007</f>
        <v>2600</v>
      </c>
      <c r="Z778" s="64">
        <f>Ringkasan!Z1007</f>
        <v>9670400</v>
      </c>
      <c r="AA778" s="64" t="str">
        <f>Ringkasan!AA1007</f>
        <v>Transport Infrastructure Operator</v>
      </c>
      <c r="AB778" s="64" t="str">
        <f>Ringkasan!AB1007</f>
        <v>Infrastructures</v>
      </c>
    </row>
    <row r="779" hidden="1">
      <c r="A779" s="64" t="str">
        <f>Ringkasan!A778</f>
        <v>GUNA</v>
      </c>
      <c r="B779" s="64" t="str">
        <f>Ringkasan!B778</f>
        <v>Gunanusa Eramandiri Tbk.</v>
      </c>
      <c r="C779" s="65">
        <f>Ringkasan!C778</f>
        <v>160</v>
      </c>
      <c r="D779" s="64" t="str">
        <f>Ringkasan!D778</f>
        <v>#N/A</v>
      </c>
      <c r="E779" s="64" t="str">
        <f>Ringkasan!E778</f>
        <v/>
      </c>
      <c r="F779" s="64" t="str">
        <f>Ringkasan!F778</f>
        <v/>
      </c>
      <c r="G779" s="64">
        <f>Ringkasan!G778</f>
        <v>0</v>
      </c>
      <c r="H779" s="19">
        <f>Ringkasan!H778</f>
        <v>8</v>
      </c>
      <c r="I779" s="19">
        <f>Ringkasan!I778</f>
        <v>0.61</v>
      </c>
      <c r="J779" s="19">
        <f>Ringkasan!J778</f>
        <v>7.7</v>
      </c>
      <c r="K779" s="19">
        <f>Ringkasan!K778</f>
        <v>4.8</v>
      </c>
      <c r="L779" s="19">
        <f>Ringkasan!L778</f>
        <v>0.61</v>
      </c>
      <c r="M779" s="19">
        <f>Ringkasan!M778</f>
        <v>12.8</v>
      </c>
      <c r="N779" s="64" t="str">
        <f>Ringkasan!N778</f>
        <v/>
      </c>
      <c r="O779" s="64" t="str">
        <f>Ringkasan!O778</f>
        <v/>
      </c>
      <c r="P779" s="64" t="str">
        <f>Ringkasan!P778</f>
        <v/>
      </c>
      <c r="Q779" s="64" t="str">
        <f>Ringkasan!Q778</f>
        <v/>
      </c>
      <c r="R779" s="64" t="str">
        <f>Ringkasan!R778</f>
        <v/>
      </c>
      <c r="S779" s="64" t="str">
        <f>Ringkasan!S778</f>
        <v/>
      </c>
      <c r="T779" s="64" t="str">
        <f>Ringkasan!T778</f>
        <v/>
      </c>
      <c r="U779" s="64">
        <f>Ringkasan!U778</f>
        <v>150</v>
      </c>
      <c r="V779" s="64">
        <f>Ringkasan!V778</f>
        <v>6.67</v>
      </c>
      <c r="W779" s="64">
        <f>Ringkasan!W778</f>
        <v>150</v>
      </c>
      <c r="X779" s="64">
        <f>Ringkasan!X778</f>
        <v>161</v>
      </c>
      <c r="Y779" s="64">
        <f>Ringkasan!Y778</f>
        <v>150</v>
      </c>
      <c r="Z779" s="64">
        <f>Ringkasan!Z778</f>
        <v>285100</v>
      </c>
      <c r="AA779" s="64" t="str">
        <f>Ringkasan!AA778</f>
        <v>Agricultural Products</v>
      </c>
      <c r="AB779" s="64" t="str">
        <f>Ringkasan!AB778</f>
        <v>Consumer Non-Cyclicals</v>
      </c>
    </row>
    <row r="780" hidden="1">
      <c r="A780" s="64" t="str">
        <f>Ringkasan!A779</f>
        <v>GWSA</v>
      </c>
      <c r="B780" s="64" t="str">
        <f>Ringkasan!B779</f>
        <v>Greenwood Sejahtera Tbk.</v>
      </c>
      <c r="C780" s="65">
        <f>Ringkasan!C779</f>
        <v>125</v>
      </c>
      <c r="D780" s="64" t="str">
        <f>Ringkasan!D779</f>
        <v>#N/A</v>
      </c>
      <c r="E780" s="64" t="str">
        <f>Ringkasan!E779</f>
        <v/>
      </c>
      <c r="F780" s="64" t="str">
        <f>Ringkasan!F779</f>
        <v/>
      </c>
      <c r="G780" s="64">
        <f>Ringkasan!G779</f>
        <v>0</v>
      </c>
      <c r="H780" s="19">
        <f>Ringkasan!H779</f>
        <v>7.6</v>
      </c>
      <c r="I780" s="19">
        <f>Ringkasan!I779</f>
        <v>0.14</v>
      </c>
      <c r="J780" s="19">
        <f>Ringkasan!J779</f>
        <v>1.8</v>
      </c>
      <c r="K780" s="19">
        <f>Ringkasan!K779</f>
        <v>1.7</v>
      </c>
      <c r="L780" s="19">
        <f>Ringkasan!L779</f>
        <v>0.05</v>
      </c>
      <c r="M780" s="19">
        <f>Ringkasan!M779</f>
        <v>1070</v>
      </c>
      <c r="N780" s="64" t="str">
        <f>Ringkasan!N779</f>
        <v/>
      </c>
      <c r="O780" s="64" t="str">
        <f>Ringkasan!O779</f>
        <v/>
      </c>
      <c r="P780" s="64" t="str">
        <f>Ringkasan!P779</f>
        <v/>
      </c>
      <c r="Q780" s="64" t="str">
        <f>Ringkasan!Q779</f>
        <v/>
      </c>
      <c r="R780" s="64" t="str">
        <f>Ringkasan!R779</f>
        <v/>
      </c>
      <c r="S780" s="64" t="str">
        <f>Ringkasan!S779</f>
        <v/>
      </c>
      <c r="T780" s="64" t="str">
        <f>Ringkasan!T779</f>
        <v/>
      </c>
      <c r="U780" s="64">
        <f>Ringkasan!U779</f>
        <v>121</v>
      </c>
      <c r="V780" s="64">
        <f>Ringkasan!V779</f>
        <v>3.31</v>
      </c>
      <c r="W780" s="64">
        <f>Ringkasan!W779</f>
        <v>122</v>
      </c>
      <c r="X780" s="64">
        <f>Ringkasan!X779</f>
        <v>127</v>
      </c>
      <c r="Y780" s="64">
        <f>Ringkasan!Y779</f>
        <v>122</v>
      </c>
      <c r="Z780" s="64">
        <f>Ringkasan!Z779</f>
        <v>576300</v>
      </c>
      <c r="AA780" s="64" t="str">
        <f>Ringkasan!AA779</f>
        <v>Tourism &amp; Recreation</v>
      </c>
      <c r="AB780" s="64" t="str">
        <f>Ringkasan!AB779</f>
        <v>Consumer Cyclicals</v>
      </c>
    </row>
    <row r="781" hidden="1">
      <c r="A781" s="64" t="str">
        <f>Ringkasan!A780</f>
        <v>GZCO</v>
      </c>
      <c r="B781" s="64" t="str">
        <f>Ringkasan!B780</f>
        <v>Gozco Plantations Tbk</v>
      </c>
      <c r="C781" s="65">
        <f>Ringkasan!C780</f>
        <v>145</v>
      </c>
      <c r="D781" s="64" t="str">
        <f>Ringkasan!D780</f>
        <v>#N/A</v>
      </c>
      <c r="E781" s="64" t="str">
        <f>Ringkasan!E780</f>
        <v/>
      </c>
      <c r="F781" s="64" t="str">
        <f>Ringkasan!F780</f>
        <v/>
      </c>
      <c r="G781" s="64">
        <f>Ringkasan!G780</f>
        <v>0</v>
      </c>
      <c r="H781" s="19">
        <f>Ringkasan!H780</f>
        <v>9.9</v>
      </c>
      <c r="I781" s="19">
        <f>Ringkasan!I780</f>
        <v>0.76</v>
      </c>
      <c r="J781" s="19">
        <f>Ringkasan!J780</f>
        <v>7.7</v>
      </c>
      <c r="K781" s="19">
        <f>Ringkasan!K780</f>
        <v>4.3</v>
      </c>
      <c r="L781" s="19">
        <f>Ringkasan!L780</f>
        <v>0.77</v>
      </c>
      <c r="M781" s="19">
        <f>Ringkasan!M780</f>
        <v>67.3</v>
      </c>
      <c r="N781" s="64" t="str">
        <f>Ringkasan!N780</f>
        <v/>
      </c>
      <c r="O781" s="64" t="str">
        <f>Ringkasan!O780</f>
        <v/>
      </c>
      <c r="P781" s="64" t="str">
        <f>Ringkasan!P780</f>
        <v/>
      </c>
      <c r="Q781" s="64" t="str">
        <f>Ringkasan!Q780</f>
        <v/>
      </c>
      <c r="R781" s="64" t="str">
        <f>Ringkasan!R780</f>
        <v/>
      </c>
      <c r="S781" s="64" t="str">
        <f>Ringkasan!S780</f>
        <v/>
      </c>
      <c r="T781" s="64" t="str">
        <f>Ringkasan!T780</f>
        <v/>
      </c>
      <c r="U781" s="64">
        <f>Ringkasan!U780</f>
        <v>136</v>
      </c>
      <c r="V781" s="64">
        <f>Ringkasan!V780</f>
        <v>6.62</v>
      </c>
      <c r="W781" s="64">
        <f>Ringkasan!W780</f>
        <v>139</v>
      </c>
      <c r="X781" s="64">
        <f>Ringkasan!X780</f>
        <v>148</v>
      </c>
      <c r="Y781" s="64">
        <f>Ringkasan!Y780</f>
        <v>139</v>
      </c>
      <c r="Z781" s="64">
        <f>Ringkasan!Z780</f>
        <v>10415100</v>
      </c>
      <c r="AA781" s="64" t="str">
        <f>Ringkasan!AA780</f>
        <v>Agricultural Products</v>
      </c>
      <c r="AB781" s="64" t="str">
        <f>Ringkasan!AB780</f>
        <v>Consumer Non-Cyclicals</v>
      </c>
    </row>
    <row r="782" hidden="1">
      <c r="A782" s="64" t="str">
        <f>Ringkasan!A781</f>
        <v>HADE</v>
      </c>
      <c r="B782" s="64" t="str">
        <f>Ringkasan!B781</f>
        <v>Himalaya Energi Perkasa Tbk.</v>
      </c>
      <c r="C782" s="65">
        <f>Ringkasan!C781</f>
        <v>17</v>
      </c>
      <c r="D782" s="64" t="str">
        <f>Ringkasan!D781</f>
        <v>#N/A</v>
      </c>
      <c r="E782" s="64" t="str">
        <f>Ringkasan!E781</f>
        <v/>
      </c>
      <c r="F782" s="64" t="str">
        <f>Ringkasan!F781</f>
        <v/>
      </c>
      <c r="G782" s="64">
        <f>Ringkasan!G781</f>
        <v>0</v>
      </c>
      <c r="H782" s="19">
        <f>Ringkasan!H781</f>
        <v>-12.9</v>
      </c>
      <c r="I782" s="19">
        <f>Ringkasan!I781</f>
        <v>4.3</v>
      </c>
      <c r="J782" s="19">
        <f>Ringkasan!J781</f>
        <v>-33.3</v>
      </c>
      <c r="K782" s="19">
        <f>Ringkasan!K781</f>
        <v>-28.3</v>
      </c>
      <c r="L782" s="19">
        <f>Ringkasan!L781</f>
        <v>0.18</v>
      </c>
      <c r="M782" s="19">
        <f>Ringkasan!M781</f>
        <v>-250</v>
      </c>
      <c r="N782" s="64" t="str">
        <f>Ringkasan!N781</f>
        <v/>
      </c>
      <c r="O782" s="64" t="str">
        <f>Ringkasan!O781</f>
        <v/>
      </c>
      <c r="P782" s="64" t="str">
        <f>Ringkasan!P781</f>
        <v/>
      </c>
      <c r="Q782" s="64" t="str">
        <f>Ringkasan!Q781</f>
        <v/>
      </c>
      <c r="R782" s="64" t="str">
        <f>Ringkasan!R781</f>
        <v/>
      </c>
      <c r="S782" s="64" t="str">
        <f>Ringkasan!S781</f>
        <v/>
      </c>
      <c r="T782" s="64" t="str">
        <f>Ringkasan!T781</f>
        <v/>
      </c>
      <c r="U782" s="64">
        <f>Ringkasan!U781</f>
        <v>16</v>
      </c>
      <c r="V782" s="64">
        <f>Ringkasan!V781</f>
        <v>6.25</v>
      </c>
      <c r="W782" s="64">
        <f>Ringkasan!W781</f>
        <v>16</v>
      </c>
      <c r="X782" s="64">
        <f>Ringkasan!X781</f>
        <v>17</v>
      </c>
      <c r="Y782" s="64">
        <f>Ringkasan!Y781</f>
        <v>16</v>
      </c>
      <c r="Z782" s="64">
        <f>Ringkasan!Z781</f>
        <v>4283900</v>
      </c>
      <c r="AA782" s="64" t="str">
        <f>Ringkasan!AA781</f>
        <v>Gas Utilities</v>
      </c>
      <c r="AB782" s="64" t="str">
        <f>Ringkasan!AB781</f>
        <v>Infrastructures</v>
      </c>
    </row>
    <row r="783" hidden="1">
      <c r="A783" s="64" t="str">
        <f>Ringkasan!A782</f>
        <v>HAIS</v>
      </c>
      <c r="B783" s="64" t="str">
        <f>Ringkasan!B782</f>
        <v>Hasnur Internasional Shipping Tbk.</v>
      </c>
      <c r="C783" s="65">
        <f>Ringkasan!C782</f>
        <v>176</v>
      </c>
      <c r="D783" s="64" t="str">
        <f>Ringkasan!D782</f>
        <v>#N/A</v>
      </c>
      <c r="E783" s="64" t="str">
        <f>Ringkasan!E782</f>
        <v/>
      </c>
      <c r="F783" s="64" t="str">
        <f>Ringkasan!F782</f>
        <v/>
      </c>
      <c r="G783" s="64">
        <f>Ringkasan!G782</f>
        <v>0</v>
      </c>
      <c r="H783" s="19">
        <f>Ringkasan!H782</f>
        <v>6.2</v>
      </c>
      <c r="I783" s="19">
        <f>Ringkasan!I782</f>
        <v>0.54</v>
      </c>
      <c r="J783" s="19">
        <f>Ringkasan!J782</f>
        <v>8.7</v>
      </c>
      <c r="K783" s="19">
        <f>Ringkasan!K782</f>
        <v>4.7</v>
      </c>
      <c r="L783" s="19">
        <f>Ringkasan!L782</f>
        <v>0.85</v>
      </c>
      <c r="M783" s="19">
        <f>Ringkasan!M782</f>
        <v>44.9</v>
      </c>
      <c r="N783" s="64" t="str">
        <f>Ringkasan!N782</f>
        <v/>
      </c>
      <c r="O783" s="64" t="str">
        <f>Ringkasan!O782</f>
        <v/>
      </c>
      <c r="P783" s="64" t="str">
        <f>Ringkasan!P782</f>
        <v/>
      </c>
      <c r="Q783" s="64" t="str">
        <f>Ringkasan!Q782</f>
        <v/>
      </c>
      <c r="R783" s="64" t="str">
        <f>Ringkasan!R782</f>
        <v/>
      </c>
      <c r="S783" s="64" t="str">
        <f>Ringkasan!S782</f>
        <v/>
      </c>
      <c r="T783" s="64" t="str">
        <f>Ringkasan!T782</f>
        <v/>
      </c>
      <c r="U783" s="64">
        <f>Ringkasan!U782</f>
        <v>172</v>
      </c>
      <c r="V783" s="64">
        <f>Ringkasan!V782</f>
        <v>2.33</v>
      </c>
      <c r="W783" s="64">
        <f>Ringkasan!W782</f>
        <v>172</v>
      </c>
      <c r="X783" s="64">
        <f>Ringkasan!X782</f>
        <v>189</v>
      </c>
      <c r="Y783" s="64">
        <f>Ringkasan!Y782</f>
        <v>172</v>
      </c>
      <c r="Z783" s="64">
        <f>Ringkasan!Z782</f>
        <v>1127000</v>
      </c>
      <c r="AA783" s="64" t="str">
        <f>Ringkasan!AA782</f>
        <v>Logistics &amp; Deliveries</v>
      </c>
      <c r="AB783" s="64" t="str">
        <f>Ringkasan!AB782</f>
        <v>Transportation &amp; Logistic</v>
      </c>
    </row>
    <row r="784" hidden="1">
      <c r="A784" s="64" t="str">
        <f>Ringkasan!A183</f>
        <v>ASPI</v>
      </c>
      <c r="B784" s="64" t="str">
        <f>Ringkasan!B183</f>
        <v>Andalan Sakti Primaindo Tbk.</v>
      </c>
      <c r="C784" s="67">
        <f>Ringkasan!C183</f>
        <v>340</v>
      </c>
      <c r="D784" s="22" t="str">
        <f>Ringkasan!D183</f>
        <v>#N/A</v>
      </c>
      <c r="E784" s="64" t="str">
        <f>Ringkasan!E183</f>
        <v/>
      </c>
      <c r="F784" s="64" t="str">
        <f>Ringkasan!F183</f>
        <v/>
      </c>
      <c r="G784" s="64">
        <f>Ringkasan!G183</f>
        <v>0</v>
      </c>
      <c r="H784" s="19">
        <f>Ringkasan!H183</f>
        <v>-21.5</v>
      </c>
      <c r="I784" s="19">
        <f>Ringkasan!I183</f>
        <v>4.3</v>
      </c>
      <c r="J784" s="19">
        <f>Ringkasan!J183</f>
        <v>-20.2</v>
      </c>
      <c r="K784" s="19">
        <f>Ringkasan!K183</f>
        <v>-13.1</v>
      </c>
      <c r="L784" s="19">
        <f>Ringkasan!L183</f>
        <v>0.53</v>
      </c>
      <c r="M784" s="19">
        <f>Ringkasan!M183</f>
        <v>-460</v>
      </c>
      <c r="N784" s="64" t="str">
        <f>Ringkasan!N183</f>
        <v/>
      </c>
      <c r="O784" s="64" t="str">
        <f>Ringkasan!O183</f>
        <v/>
      </c>
      <c r="P784" s="64" t="str">
        <f>Ringkasan!P183</f>
        <v/>
      </c>
      <c r="Q784" s="64" t="str">
        <f>Ringkasan!Q183</f>
        <v/>
      </c>
      <c r="R784" s="64" t="str">
        <f>Ringkasan!R183</f>
        <v/>
      </c>
      <c r="S784" s="64" t="str">
        <f>Ringkasan!S183</f>
        <v/>
      </c>
      <c r="T784" s="64" t="str">
        <f>Ringkasan!T183</f>
        <v/>
      </c>
      <c r="U784" s="22">
        <f>Ringkasan!U183</f>
        <v>6.23</v>
      </c>
      <c r="V784" s="22">
        <f>Ringkasan!V183</f>
        <v>5.14</v>
      </c>
      <c r="W784" s="22">
        <f>Ringkasan!W183</f>
        <v>6.3</v>
      </c>
      <c r="X784" s="22">
        <f>Ringkasan!X183</f>
        <v>6.84</v>
      </c>
      <c r="Y784" s="22">
        <f>Ringkasan!Y183</f>
        <v>6.25</v>
      </c>
      <c r="Z784" s="22">
        <f>Ringkasan!Z183</f>
        <v>5160161</v>
      </c>
      <c r="AA784" s="64" t="str">
        <f>Ringkasan!AA183</f>
        <v>Real Estate Management &amp; Development</v>
      </c>
      <c r="AB784" s="64" t="str">
        <f>Ringkasan!AB183</f>
        <v>Properties &amp; Real Estate</v>
      </c>
    </row>
    <row r="785" hidden="1">
      <c r="A785" s="64" t="str">
        <f>Ringkasan!A784</f>
        <v>HALO</v>
      </c>
      <c r="B785" s="64" t="str">
        <f>Ringkasan!B784</f>
        <v>PT Haloni Jane Tbk</v>
      </c>
      <c r="C785" s="65">
        <f>Ringkasan!C784</f>
        <v>62</v>
      </c>
      <c r="D785" s="64" t="str">
        <f>Ringkasan!D784</f>
        <v>#N/A</v>
      </c>
      <c r="E785" s="64" t="str">
        <f>Ringkasan!E784</f>
        <v/>
      </c>
      <c r="F785" s="64" t="str">
        <f>Ringkasan!F784</f>
        <v/>
      </c>
      <c r="G785" s="64">
        <f>Ringkasan!G784</f>
        <v>0</v>
      </c>
      <c r="H785" s="19">
        <f>Ringkasan!H784</f>
        <v>71.9</v>
      </c>
      <c r="I785" s="19">
        <f>Ringkasan!I784</f>
        <v>1.8</v>
      </c>
      <c r="J785" s="19">
        <f>Ringkasan!J784</f>
        <v>2.5</v>
      </c>
      <c r="K785" s="19">
        <f>Ringkasan!K784</f>
        <v>1.8</v>
      </c>
      <c r="L785" s="19">
        <f>Ringkasan!L784</f>
        <v>0.37</v>
      </c>
      <c r="M785" s="19">
        <f>Ringkasan!M784</f>
        <v>14.3</v>
      </c>
      <c r="N785" s="64" t="str">
        <f>Ringkasan!N784</f>
        <v/>
      </c>
      <c r="O785" s="64" t="str">
        <f>Ringkasan!O784</f>
        <v/>
      </c>
      <c r="P785" s="64" t="str">
        <f>Ringkasan!P784</f>
        <v/>
      </c>
      <c r="Q785" s="64" t="str">
        <f>Ringkasan!Q784</f>
        <v/>
      </c>
      <c r="R785" s="64" t="str">
        <f>Ringkasan!R784</f>
        <v/>
      </c>
      <c r="S785" s="64" t="str">
        <f>Ringkasan!S784</f>
        <v/>
      </c>
      <c r="T785" s="64" t="str">
        <f>Ringkasan!T784</f>
        <v/>
      </c>
      <c r="U785" s="64">
        <f>Ringkasan!U784</f>
        <v>70.73</v>
      </c>
      <c r="V785" s="64">
        <f>Ringkasan!V784</f>
        <v>-1.74</v>
      </c>
      <c r="W785" s="64">
        <f>Ringkasan!W784</f>
        <v>71.01</v>
      </c>
      <c r="X785" s="64">
        <f>Ringkasan!X784</f>
        <v>71.81</v>
      </c>
      <c r="Y785" s="64">
        <f>Ringkasan!Y784</f>
        <v>69.32</v>
      </c>
      <c r="Z785" s="64">
        <f>Ringkasan!Z784</f>
        <v>1042049</v>
      </c>
      <c r="AA785" s="64" t="str">
        <f>Ringkasan!AA784</f>
        <v>Healthcare Equipment &amp; Supplies</v>
      </c>
      <c r="AB785" s="64" t="str">
        <f>Ringkasan!AB784</f>
        <v>Healthcare</v>
      </c>
    </row>
    <row r="786" hidden="1">
      <c r="A786" s="64" t="str">
        <f>Ringkasan!A785</f>
        <v>HATM</v>
      </c>
      <c r="B786" s="64" t="str">
        <f>Ringkasan!B785</f>
        <v>Habco Trans Maritima Tbk.</v>
      </c>
      <c r="C786" s="65">
        <f>Ringkasan!C785</f>
        <v>330</v>
      </c>
      <c r="D786" s="64" t="str">
        <f>Ringkasan!D785</f>
        <v>#N/A</v>
      </c>
      <c r="E786" s="64" t="str">
        <f>Ringkasan!E785</f>
        <v/>
      </c>
      <c r="F786" s="64" t="str">
        <f>Ringkasan!F785</f>
        <v/>
      </c>
      <c r="G786" s="64">
        <f>Ringkasan!G785</f>
        <v>0</v>
      </c>
      <c r="H786" s="19">
        <f>Ringkasan!H785</f>
        <v>53</v>
      </c>
      <c r="I786" s="19">
        <f>Ringkasan!I785</f>
        <v>1.8</v>
      </c>
      <c r="J786" s="19">
        <f>Ringkasan!J785</f>
        <v>3.4</v>
      </c>
      <c r="K786" s="19">
        <f>Ringkasan!K785</f>
        <v>2.9</v>
      </c>
      <c r="L786" s="19">
        <f>Ringkasan!L785</f>
        <v>0.17</v>
      </c>
      <c r="M786" s="19">
        <f>Ringkasan!M785</f>
        <v>24.2</v>
      </c>
      <c r="N786" s="64" t="str">
        <f>Ringkasan!N785</f>
        <v/>
      </c>
      <c r="O786" s="64" t="str">
        <f>Ringkasan!O785</f>
        <v/>
      </c>
      <c r="P786" s="64" t="str">
        <f>Ringkasan!P785</f>
        <v/>
      </c>
      <c r="Q786" s="64" t="str">
        <f>Ringkasan!Q785</f>
        <v/>
      </c>
      <c r="R786" s="64" t="str">
        <f>Ringkasan!R785</f>
        <v/>
      </c>
      <c r="S786" s="64" t="str">
        <f>Ringkasan!S785</f>
        <v/>
      </c>
      <c r="T786" s="64" t="str">
        <f>Ringkasan!T785</f>
        <v/>
      </c>
      <c r="U786" s="64">
        <f>Ringkasan!U785</f>
        <v>320</v>
      </c>
      <c r="V786" s="64">
        <f>Ringkasan!V785</f>
        <v>3.13</v>
      </c>
      <c r="W786" s="64">
        <f>Ringkasan!W785</f>
        <v>320</v>
      </c>
      <c r="X786" s="64">
        <f>Ringkasan!X785</f>
        <v>332</v>
      </c>
      <c r="Y786" s="64">
        <f>Ringkasan!Y785</f>
        <v>320</v>
      </c>
      <c r="Z786" s="64">
        <f>Ringkasan!Z785</f>
        <v>27098500</v>
      </c>
      <c r="AA786" s="64" t="str">
        <f>Ringkasan!AA785</f>
        <v>Logistics &amp; Deliveries</v>
      </c>
      <c r="AB786" s="64" t="str">
        <f>Ringkasan!AB785</f>
        <v>Transportation &amp; Logistic</v>
      </c>
    </row>
    <row r="787" hidden="1">
      <c r="A787" s="64" t="str">
        <f>Ringkasan!A447</f>
        <v>BSML</v>
      </c>
      <c r="B787" s="64" t="str">
        <f>Ringkasan!B447</f>
        <v>Bintang Samudera Mandiri Lines Tbk.</v>
      </c>
      <c r="C787" s="67">
        <f>Ringkasan!C447</f>
        <v>428</v>
      </c>
      <c r="D787" s="22" t="str">
        <f>Ringkasan!D447</f>
        <v>#N/A</v>
      </c>
      <c r="E787" s="64" t="str">
        <f>Ringkasan!E447</f>
        <v/>
      </c>
      <c r="F787" s="64" t="str">
        <f>Ringkasan!F447</f>
        <v/>
      </c>
      <c r="G787" s="64">
        <f>Ringkasan!G447</f>
        <v>0</v>
      </c>
      <c r="H787" s="19">
        <f>Ringkasan!H447</f>
        <v>350</v>
      </c>
      <c r="I787" s="19">
        <f>Ringkasan!I447</f>
        <v>5.7</v>
      </c>
      <c r="J787" s="19">
        <f>Ringkasan!J447</f>
        <v>1.7</v>
      </c>
      <c r="K787" s="19">
        <f>Ringkasan!K447</f>
        <v>1.1</v>
      </c>
      <c r="L787" s="19">
        <f>Ringkasan!L447</f>
        <v>0.5</v>
      </c>
      <c r="M787" s="19">
        <f>Ringkasan!M447</f>
        <v>20.6</v>
      </c>
      <c r="N787" s="64" t="str">
        <f>Ringkasan!N447</f>
        <v/>
      </c>
      <c r="O787" s="64" t="str">
        <f>Ringkasan!O447</f>
        <v/>
      </c>
      <c r="P787" s="64" t="str">
        <f>Ringkasan!P447</f>
        <v/>
      </c>
      <c r="Q787" s="64" t="str">
        <f>Ringkasan!Q447</f>
        <v/>
      </c>
      <c r="R787" s="64" t="str">
        <f>Ringkasan!R447</f>
        <v/>
      </c>
      <c r="S787" s="64" t="str">
        <f>Ringkasan!S447</f>
        <v/>
      </c>
      <c r="T787" s="64" t="str">
        <f>Ringkasan!T447</f>
        <v/>
      </c>
      <c r="U787" s="22">
        <f>Ringkasan!U447</f>
        <v>402</v>
      </c>
      <c r="V787" s="22">
        <f>Ringkasan!V447</f>
        <v>6.47</v>
      </c>
      <c r="W787" s="22">
        <f>Ringkasan!W447</f>
        <v>402</v>
      </c>
      <c r="X787" s="22">
        <f>Ringkasan!X447</f>
        <v>434</v>
      </c>
      <c r="Y787" s="22" t="str">
        <f>Ringkasan!Y447</f>
        <v/>
      </c>
      <c r="Z787" s="22">
        <f>Ringkasan!Z447</f>
        <v>19569900</v>
      </c>
      <c r="AA787" s="64" t="str">
        <f>Ringkasan!AA447</f>
        <v>Coal</v>
      </c>
      <c r="AB787" s="64" t="str">
        <f>Ringkasan!AB447</f>
        <v>Energy</v>
      </c>
    </row>
    <row r="788" hidden="1">
      <c r="A788" s="64" t="str">
        <f>Ringkasan!A569</f>
        <v>CTRA</v>
      </c>
      <c r="B788" s="64" t="str">
        <f>Ringkasan!B569</f>
        <v>Ciputra Development Tbk.</v>
      </c>
      <c r="C788" s="67">
        <f>Ringkasan!C569</f>
        <v>600</v>
      </c>
      <c r="D788" s="22" t="str">
        <f>Ringkasan!D569</f>
        <v>#N/A</v>
      </c>
      <c r="E788" s="64" t="str">
        <f>Ringkasan!E569</f>
        <v>MSCI Small Cap</v>
      </c>
      <c r="F788" s="64" t="str">
        <f>Ringkasan!F569</f>
        <v>12 Agustus 2026</v>
      </c>
      <c r="G788" s="65">
        <f>Ringkasan!G569</f>
        <v>13</v>
      </c>
      <c r="H788" s="19">
        <f>Ringkasan!H569</f>
        <v>4.7</v>
      </c>
      <c r="I788" s="19">
        <f>Ringkasan!I569</f>
        <v>0.44</v>
      </c>
      <c r="J788" s="19">
        <f>Ringkasan!J569</f>
        <v>9.2</v>
      </c>
      <c r="K788" s="19">
        <f>Ringkasan!K569</f>
        <v>5.5</v>
      </c>
      <c r="L788" s="19">
        <f>Ringkasan!L569</f>
        <v>0.67</v>
      </c>
      <c r="M788" s="19">
        <f>Ringkasan!M569</f>
        <v>98.6</v>
      </c>
      <c r="N788" s="64" t="str">
        <f>Ringkasan!N569</f>
        <v/>
      </c>
      <c r="O788" s="64" t="str">
        <f>Ringkasan!O569</f>
        <v/>
      </c>
      <c r="P788" s="64" t="str">
        <f>Ringkasan!P569</f>
        <v/>
      </c>
      <c r="Q788" s="64" t="str">
        <f>Ringkasan!Q569</f>
        <v/>
      </c>
      <c r="R788" s="64" t="str">
        <f>Ringkasan!R569</f>
        <v/>
      </c>
      <c r="S788" s="64" t="str">
        <f>Ringkasan!S569</f>
        <v/>
      </c>
      <c r="T788" s="64" t="str">
        <f>Ringkasan!T569</f>
        <v/>
      </c>
      <c r="U788" s="22">
        <f>Ringkasan!U569</f>
        <v>640</v>
      </c>
      <c r="V788" s="22">
        <f>Ringkasan!V569</f>
        <v>-100</v>
      </c>
      <c r="W788" s="22" t="str">
        <f>Ringkasan!W569</f>
        <v/>
      </c>
      <c r="X788" s="22" t="str">
        <f>Ringkasan!X569</f>
        <v/>
      </c>
      <c r="Y788" s="22" t="str">
        <f>Ringkasan!Y569</f>
        <v/>
      </c>
      <c r="Z788" s="22">
        <f>Ringkasan!Z569</f>
        <v>0</v>
      </c>
      <c r="AA788" s="64" t="str">
        <f>Ringkasan!AA569</f>
        <v>Real Estate Management &amp; Development</v>
      </c>
      <c r="AB788" s="64" t="str">
        <f>Ringkasan!AB569</f>
        <v>Properties &amp; Real Estate</v>
      </c>
    </row>
    <row r="789" hidden="1">
      <c r="A789" s="64" t="str">
        <f>Ringkasan!A788</f>
        <v>HDIT</v>
      </c>
      <c r="B789" s="64" t="str">
        <f>Ringkasan!B788</f>
        <v>Hensel Davest Indonesia Tbk.</v>
      </c>
      <c r="C789" s="65">
        <f>Ringkasan!C788</f>
        <v>51</v>
      </c>
      <c r="D789" s="64" t="str">
        <f>Ringkasan!D788</f>
        <v>#N/A</v>
      </c>
      <c r="E789" s="64" t="str">
        <f>Ringkasan!E788</f>
        <v/>
      </c>
      <c r="F789" s="64" t="str">
        <f>Ringkasan!F788</f>
        <v/>
      </c>
      <c r="G789" s="64">
        <f>Ringkasan!G788</f>
        <v>0</v>
      </c>
      <c r="H789" s="19">
        <f>Ringkasan!H788</f>
        <v>-12.5</v>
      </c>
      <c r="I789" s="19">
        <f>Ringkasan!I788</f>
        <v>0.33</v>
      </c>
      <c r="J789" s="19">
        <f>Ringkasan!J788</f>
        <v>-2.7</v>
      </c>
      <c r="K789" s="19">
        <f>Ringkasan!K788</f>
        <v>-2.2</v>
      </c>
      <c r="L789" s="19">
        <f>Ringkasan!L788</f>
        <v>0.2</v>
      </c>
      <c r="M789" s="19">
        <f>Ringkasan!M788</f>
        <v>-2470</v>
      </c>
      <c r="N789" s="64" t="str">
        <f>Ringkasan!N788</f>
        <v/>
      </c>
      <c r="O789" s="64" t="str">
        <f>Ringkasan!O788</f>
        <v/>
      </c>
      <c r="P789" s="64" t="str">
        <f>Ringkasan!P788</f>
        <v/>
      </c>
      <c r="Q789" s="64" t="str">
        <f>Ringkasan!Q788</f>
        <v/>
      </c>
      <c r="R789" s="64" t="str">
        <f>Ringkasan!R788</f>
        <v/>
      </c>
      <c r="S789" s="64" t="str">
        <f>Ringkasan!S788</f>
        <v/>
      </c>
      <c r="T789" s="64" t="str">
        <f>Ringkasan!T788</f>
        <v/>
      </c>
      <c r="U789" s="64">
        <f>Ringkasan!U788</f>
        <v>50</v>
      </c>
      <c r="V789" s="64">
        <f>Ringkasan!V788</f>
        <v>2</v>
      </c>
      <c r="W789" s="64">
        <f>Ringkasan!W788</f>
        <v>51</v>
      </c>
      <c r="X789" s="64">
        <f>Ringkasan!X788</f>
        <v>53</v>
      </c>
      <c r="Y789" s="64">
        <f>Ringkasan!Y788</f>
        <v>50</v>
      </c>
      <c r="Z789" s="64">
        <f>Ringkasan!Z788</f>
        <v>7960800</v>
      </c>
      <c r="AA789" s="64" t="str">
        <f>Ringkasan!AA788</f>
        <v>Online Applications &amp; Services</v>
      </c>
      <c r="AB789" s="64" t="str">
        <f>Ringkasan!AB788</f>
        <v>Technology</v>
      </c>
    </row>
    <row r="790" hidden="1">
      <c r="A790" s="64" t="str">
        <f>Ringkasan!A789</f>
        <v>HEAL</v>
      </c>
      <c r="B790" s="64" t="str">
        <f>Ringkasan!B789</f>
        <v>Medikaloka Hermina Tbk.</v>
      </c>
      <c r="C790" s="65">
        <f>Ringkasan!C789</f>
        <v>845</v>
      </c>
      <c r="D790" s="64" t="str">
        <f>Ringkasan!D789</f>
        <v>#N/A</v>
      </c>
      <c r="E790" s="64" t="str">
        <f>Ringkasan!E789</f>
        <v>IDX80</v>
      </c>
      <c r="F790" s="64" t="str">
        <f>Ringkasan!F789</f>
        <v>31 Juli 2026</v>
      </c>
      <c r="G790" s="64">
        <f>Ringkasan!G789</f>
        <v>6</v>
      </c>
      <c r="H790" s="19">
        <f>Ringkasan!H789</f>
        <v>35.8</v>
      </c>
      <c r="I790" s="19">
        <f>Ringkasan!I789</f>
        <v>2</v>
      </c>
      <c r="J790" s="19">
        <f>Ringkasan!J789</f>
        <v>5.6</v>
      </c>
      <c r="K790" s="19">
        <f>Ringkasan!K789</f>
        <v>3.4</v>
      </c>
      <c r="L790" s="19">
        <f>Ringkasan!L789</f>
        <v>0.66</v>
      </c>
      <c r="M790" s="19">
        <f>Ringkasan!M789</f>
        <v>22.8</v>
      </c>
      <c r="N790" s="64" t="str">
        <f>Ringkasan!N789</f>
        <v/>
      </c>
      <c r="O790" s="64" t="str">
        <f>Ringkasan!O789</f>
        <v/>
      </c>
      <c r="P790" s="64" t="str">
        <f>Ringkasan!P789</f>
        <v/>
      </c>
      <c r="Q790" s="64" t="str">
        <f>Ringkasan!Q789</f>
        <v/>
      </c>
      <c r="R790" s="64" t="str">
        <f>Ringkasan!R789</f>
        <v/>
      </c>
      <c r="S790" s="64" t="str">
        <f>Ringkasan!S789</f>
        <v/>
      </c>
      <c r="T790" s="64" t="str">
        <f>Ringkasan!T789</f>
        <v/>
      </c>
      <c r="U790" s="64">
        <f>Ringkasan!U789</f>
        <v>26.02</v>
      </c>
      <c r="V790" s="64">
        <f>Ringkasan!V789</f>
        <v>-1.04</v>
      </c>
      <c r="W790" s="64">
        <f>Ringkasan!W789</f>
        <v>25.76</v>
      </c>
      <c r="X790" s="64">
        <f>Ringkasan!X789</f>
        <v>26.06</v>
      </c>
      <c r="Y790" s="64">
        <f>Ringkasan!Y789</f>
        <v>25.62</v>
      </c>
      <c r="Z790" s="64">
        <f>Ringkasan!Z789</f>
        <v>4489</v>
      </c>
      <c r="AA790" s="64" t="str">
        <f>Ringkasan!AA789</f>
        <v>Healthcare Providers</v>
      </c>
      <c r="AB790" s="64" t="str">
        <f>Ringkasan!AB789</f>
        <v>Healthcare</v>
      </c>
    </row>
    <row r="791" hidden="1">
      <c r="A791" s="64" t="str">
        <f>Ringkasan!A1166</f>
        <v>MBTO</v>
      </c>
      <c r="B791" s="64" t="str">
        <f>Ringkasan!B1166</f>
        <v>Martina Berto Tbk</v>
      </c>
      <c r="C791" s="61">
        <f>Ringkasan!C1166</f>
        <v>115</v>
      </c>
      <c r="D791" s="60" t="str">
        <f>Ringkasan!D1166</f>
        <v>#N/A</v>
      </c>
      <c r="E791" s="60" t="str">
        <f>Ringkasan!E1166</f>
        <v/>
      </c>
      <c r="F791" s="60" t="str">
        <f>Ringkasan!F1166</f>
        <v/>
      </c>
      <c r="G791" s="60">
        <f>Ringkasan!G1166</f>
        <v>0</v>
      </c>
      <c r="H791" s="62">
        <f>Ringkasan!H1166</f>
        <v>-9.1</v>
      </c>
      <c r="I791" s="62">
        <f>Ringkasan!I1166</f>
        <v>0.35</v>
      </c>
      <c r="J791" s="62">
        <f>Ringkasan!J1166</f>
        <v>-3.8</v>
      </c>
      <c r="K791" s="62">
        <f>Ringkasan!K1166</f>
        <v>-2</v>
      </c>
      <c r="L791" s="62">
        <f>Ringkasan!L1166</f>
        <v>0.9</v>
      </c>
      <c r="M791" s="62">
        <f>Ringkasan!M1166</f>
        <v>-11.7</v>
      </c>
      <c r="N791" s="60" t="str">
        <f>Ringkasan!N1166</f>
        <v/>
      </c>
      <c r="O791" s="60" t="str">
        <f>Ringkasan!O1166</f>
        <v/>
      </c>
      <c r="P791" s="60" t="str">
        <f>Ringkasan!P1166</f>
        <v/>
      </c>
      <c r="Q791" s="60" t="str">
        <f>Ringkasan!Q1166</f>
        <v/>
      </c>
      <c r="R791" s="60" t="str">
        <f>Ringkasan!R1166</f>
        <v/>
      </c>
      <c r="S791" s="60" t="str">
        <f>Ringkasan!S1166</f>
        <v/>
      </c>
      <c r="T791" s="60" t="str">
        <f>Ringkasan!T1166</f>
        <v/>
      </c>
      <c r="U791" s="60">
        <f>Ringkasan!U1166</f>
        <v>103</v>
      </c>
      <c r="V791" s="60">
        <f>Ringkasan!V1166</f>
        <v>11.65</v>
      </c>
      <c r="W791" s="60">
        <f>Ringkasan!W1166</f>
        <v>101</v>
      </c>
      <c r="X791" s="60">
        <f>Ringkasan!X1166</f>
        <v>128</v>
      </c>
      <c r="Y791" s="60">
        <f>Ringkasan!Y1166</f>
        <v>101</v>
      </c>
      <c r="Z791" s="60">
        <f>Ringkasan!Z1166</f>
        <v>2516600</v>
      </c>
      <c r="AA791" s="60" t="str">
        <f>Ringkasan!AA1166</f>
        <v>Personal Care Products</v>
      </c>
      <c r="AB791" s="64" t="str">
        <f>Ringkasan!AB1166</f>
        <v>Consumer Non-Cyclicals</v>
      </c>
    </row>
    <row r="792" hidden="1">
      <c r="A792" s="64" t="str">
        <f>Ringkasan!A791</f>
        <v>HEAL</v>
      </c>
      <c r="B792" s="64" t="str">
        <f>Ringkasan!B791</f>
        <v>Medikaloka Hermina Tbk.</v>
      </c>
      <c r="C792" s="65">
        <f>Ringkasan!C791</f>
        <v>845</v>
      </c>
      <c r="D792" s="64" t="str">
        <f>Ringkasan!D791</f>
        <v>#N/A</v>
      </c>
      <c r="E792" s="64" t="str">
        <f>Ringkasan!E791</f>
        <v>Pefindo - iGrade</v>
      </c>
      <c r="F792" s="64" t="str">
        <f>Ringkasan!F791</f>
        <v>30 Juni 2026</v>
      </c>
      <c r="G792" s="64">
        <f>Ringkasan!G791</f>
        <v>6</v>
      </c>
      <c r="H792" s="19">
        <f>Ringkasan!H791</f>
        <v>35.8</v>
      </c>
      <c r="I792" s="19">
        <f>Ringkasan!I791</f>
        <v>2</v>
      </c>
      <c r="J792" s="19">
        <f>Ringkasan!J791</f>
        <v>5.6</v>
      </c>
      <c r="K792" s="19">
        <f>Ringkasan!K791</f>
        <v>3.4</v>
      </c>
      <c r="L792" s="19">
        <f>Ringkasan!L791</f>
        <v>0.66</v>
      </c>
      <c r="M792" s="19">
        <f>Ringkasan!M791</f>
        <v>22.8</v>
      </c>
      <c r="N792" s="64" t="str">
        <f>Ringkasan!N791</f>
        <v/>
      </c>
      <c r="O792" s="64" t="str">
        <f>Ringkasan!O791</f>
        <v/>
      </c>
      <c r="P792" s="64" t="str">
        <f>Ringkasan!P791</f>
        <v/>
      </c>
      <c r="Q792" s="64" t="str">
        <f>Ringkasan!Q791</f>
        <v/>
      </c>
      <c r="R792" s="64" t="str">
        <f>Ringkasan!R791</f>
        <v/>
      </c>
      <c r="S792" s="64" t="str">
        <f>Ringkasan!S791</f>
        <v/>
      </c>
      <c r="T792" s="64" t="str">
        <f>Ringkasan!T791</f>
        <v/>
      </c>
      <c r="U792" s="64">
        <f>Ringkasan!U791</f>
        <v>26.02</v>
      </c>
      <c r="V792" s="64">
        <f>Ringkasan!V791</f>
        <v>-1.04</v>
      </c>
      <c r="W792" s="64">
        <f>Ringkasan!W791</f>
        <v>25.76</v>
      </c>
      <c r="X792" s="64">
        <f>Ringkasan!X791</f>
        <v>26.06</v>
      </c>
      <c r="Y792" s="64">
        <f>Ringkasan!Y791</f>
        <v>25.62</v>
      </c>
      <c r="Z792" s="64">
        <f>Ringkasan!Z791</f>
        <v>4489</v>
      </c>
      <c r="AA792" s="64" t="str">
        <f>Ringkasan!AA791</f>
        <v>Healthcare Providers</v>
      </c>
      <c r="AB792" s="64" t="str">
        <f>Ringkasan!AB791</f>
        <v>Healthcare</v>
      </c>
    </row>
    <row r="793" hidden="1">
      <c r="A793" s="64" t="str">
        <f>Ringkasan!A792</f>
        <v>HEAL</v>
      </c>
      <c r="B793" s="64" t="str">
        <f>Ringkasan!B792</f>
        <v>Medikaloka Hermina Tbk.</v>
      </c>
      <c r="C793" s="65">
        <f>Ringkasan!C792</f>
        <v>845</v>
      </c>
      <c r="D793" s="64" t="str">
        <f>Ringkasan!D792</f>
        <v>#N/A</v>
      </c>
      <c r="E793" s="64" t="str">
        <f>Ringkasan!E792</f>
        <v>IDXSMC-LIQ</v>
      </c>
      <c r="F793" s="64" t="str">
        <f>Ringkasan!F792</f>
        <v>4 Agustus 2026</v>
      </c>
      <c r="G793" s="64">
        <f>Ringkasan!G792</f>
        <v>6</v>
      </c>
      <c r="H793" s="19">
        <f>Ringkasan!H792</f>
        <v>35.8</v>
      </c>
      <c r="I793" s="19">
        <f>Ringkasan!I792</f>
        <v>2</v>
      </c>
      <c r="J793" s="19">
        <f>Ringkasan!J792</f>
        <v>5.6</v>
      </c>
      <c r="K793" s="19">
        <f>Ringkasan!K792</f>
        <v>3.4</v>
      </c>
      <c r="L793" s="19">
        <f>Ringkasan!L792</f>
        <v>0.66</v>
      </c>
      <c r="M793" s="19">
        <f>Ringkasan!M792</f>
        <v>22.8</v>
      </c>
      <c r="N793" s="64" t="str">
        <f>Ringkasan!N792</f>
        <v/>
      </c>
      <c r="O793" s="64" t="str">
        <f>Ringkasan!O792</f>
        <v/>
      </c>
      <c r="P793" s="64" t="str">
        <f>Ringkasan!P792</f>
        <v/>
      </c>
      <c r="Q793" s="64" t="str">
        <f>Ringkasan!Q792</f>
        <v/>
      </c>
      <c r="R793" s="64" t="str">
        <f>Ringkasan!R792</f>
        <v/>
      </c>
      <c r="S793" s="64" t="str">
        <f>Ringkasan!S792</f>
        <v/>
      </c>
      <c r="T793" s="64" t="str">
        <f>Ringkasan!T792</f>
        <v/>
      </c>
      <c r="U793" s="64">
        <f>Ringkasan!U792</f>
        <v>26.02</v>
      </c>
      <c r="V793" s="64">
        <f>Ringkasan!V792</f>
        <v>-1.04</v>
      </c>
      <c r="W793" s="64">
        <f>Ringkasan!W792</f>
        <v>25.76</v>
      </c>
      <c r="X793" s="64">
        <f>Ringkasan!X792</f>
        <v>26.06</v>
      </c>
      <c r="Y793" s="64">
        <f>Ringkasan!Y792</f>
        <v>25.62</v>
      </c>
      <c r="Z793" s="64">
        <f>Ringkasan!Z792</f>
        <v>4489</v>
      </c>
      <c r="AA793" s="64" t="str">
        <f>Ringkasan!AA792</f>
        <v>Healthcare Providers</v>
      </c>
      <c r="AB793" s="64" t="str">
        <f>Ringkasan!AB792</f>
        <v>Healthcare</v>
      </c>
    </row>
    <row r="794" hidden="1">
      <c r="A794" s="64" t="str">
        <f>Ringkasan!A793</f>
        <v>HEAL</v>
      </c>
      <c r="B794" s="64" t="str">
        <f>Ringkasan!B793</f>
        <v>Medikaloka Hermina Tbk.</v>
      </c>
      <c r="C794" s="65">
        <f>Ringkasan!C793</f>
        <v>845</v>
      </c>
      <c r="D794" s="64" t="str">
        <f>Ringkasan!D793</f>
        <v>#N/A</v>
      </c>
      <c r="E794" s="64" t="str">
        <f>Ringkasan!E793</f>
        <v>MSCI Small Cap</v>
      </c>
      <c r="F794" s="64" t="str">
        <f>Ringkasan!F793</f>
        <v>12 Agustus 2026</v>
      </c>
      <c r="G794" s="64">
        <f>Ringkasan!G793</f>
        <v>6</v>
      </c>
      <c r="H794" s="19">
        <f>Ringkasan!H793</f>
        <v>35.8</v>
      </c>
      <c r="I794" s="19">
        <f>Ringkasan!I793</f>
        <v>2</v>
      </c>
      <c r="J794" s="19">
        <f>Ringkasan!J793</f>
        <v>5.6</v>
      </c>
      <c r="K794" s="19">
        <f>Ringkasan!K793</f>
        <v>3.4</v>
      </c>
      <c r="L794" s="19">
        <f>Ringkasan!L793</f>
        <v>0.66</v>
      </c>
      <c r="M794" s="19">
        <f>Ringkasan!M793</f>
        <v>22.8</v>
      </c>
      <c r="N794" s="64" t="str">
        <f>Ringkasan!N793</f>
        <v/>
      </c>
      <c r="O794" s="64" t="str">
        <f>Ringkasan!O793</f>
        <v/>
      </c>
      <c r="P794" s="64" t="str">
        <f>Ringkasan!P793</f>
        <v/>
      </c>
      <c r="Q794" s="64" t="str">
        <f>Ringkasan!Q793</f>
        <v/>
      </c>
      <c r="R794" s="64" t="str">
        <f>Ringkasan!R793</f>
        <v/>
      </c>
      <c r="S794" s="64" t="str">
        <f>Ringkasan!S793</f>
        <v/>
      </c>
      <c r="T794" s="64" t="str">
        <f>Ringkasan!T793</f>
        <v/>
      </c>
      <c r="U794" s="64">
        <f>Ringkasan!U793</f>
        <v>26.02</v>
      </c>
      <c r="V794" s="64">
        <f>Ringkasan!V793</f>
        <v>-1.04</v>
      </c>
      <c r="W794" s="64">
        <f>Ringkasan!W793</f>
        <v>25.76</v>
      </c>
      <c r="X794" s="64">
        <f>Ringkasan!X793</f>
        <v>26.06</v>
      </c>
      <c r="Y794" s="64">
        <f>Ringkasan!Y793</f>
        <v>25.62</v>
      </c>
      <c r="Z794" s="64">
        <f>Ringkasan!Z793</f>
        <v>4489</v>
      </c>
      <c r="AA794" s="64" t="str">
        <f>Ringkasan!AA793</f>
        <v>Healthcare Providers</v>
      </c>
      <c r="AB794" s="64" t="str">
        <f>Ringkasan!AB793</f>
        <v>Healthcare</v>
      </c>
    </row>
    <row r="795" hidden="1">
      <c r="A795" s="60" t="str">
        <f>Ringkasan!A794</f>
        <v>HEAL</v>
      </c>
      <c r="B795" s="60" t="str">
        <f>Ringkasan!B794</f>
        <v>Medikaloka Hermina Tbk.</v>
      </c>
      <c r="C795" s="61">
        <f>Ringkasan!C794</f>
        <v>845</v>
      </c>
      <c r="D795" s="60" t="str">
        <f>Ringkasan!D794</f>
        <v>#N/A</v>
      </c>
      <c r="E795" s="60" t="str">
        <f>Ringkasan!E794</f>
        <v>JII70</v>
      </c>
      <c r="F795" s="63">
        <f>Ringkasan!F794</f>
        <v>46356</v>
      </c>
      <c r="G795" s="60">
        <f>Ringkasan!G794</f>
        <v>6</v>
      </c>
      <c r="H795" s="62">
        <f>Ringkasan!H794</f>
        <v>35.8</v>
      </c>
      <c r="I795" s="62">
        <f>Ringkasan!I794</f>
        <v>2</v>
      </c>
      <c r="J795" s="62">
        <f>Ringkasan!J794</f>
        <v>5.6</v>
      </c>
      <c r="K795" s="62">
        <f>Ringkasan!K794</f>
        <v>3.4</v>
      </c>
      <c r="L795" s="62">
        <f>Ringkasan!L794</f>
        <v>0.66</v>
      </c>
      <c r="M795" s="62">
        <f>Ringkasan!M794</f>
        <v>22.8</v>
      </c>
      <c r="N795" s="60" t="str">
        <f>Ringkasan!N794</f>
        <v/>
      </c>
      <c r="O795" s="60" t="str">
        <f>Ringkasan!O794</f>
        <v/>
      </c>
      <c r="P795" s="60" t="str">
        <f>Ringkasan!P794</f>
        <v/>
      </c>
      <c r="Q795" s="60" t="str">
        <f>Ringkasan!Q794</f>
        <v/>
      </c>
      <c r="R795" s="60" t="str">
        <f>Ringkasan!R794</f>
        <v/>
      </c>
      <c r="S795" s="60" t="str">
        <f>Ringkasan!S794</f>
        <v/>
      </c>
      <c r="T795" s="60" t="str">
        <f>Ringkasan!T794</f>
        <v/>
      </c>
      <c r="U795" s="60">
        <f>Ringkasan!U794</f>
        <v>26.02</v>
      </c>
      <c r="V795" s="60">
        <f>Ringkasan!V794</f>
        <v>-1.04</v>
      </c>
      <c r="W795" s="60">
        <f>Ringkasan!W794</f>
        <v>25.76</v>
      </c>
      <c r="X795" s="60">
        <f>Ringkasan!X794</f>
        <v>26.06</v>
      </c>
      <c r="Y795" s="60">
        <f>Ringkasan!Y794</f>
        <v>25.62</v>
      </c>
      <c r="Z795" s="60">
        <f>Ringkasan!Z794</f>
        <v>4489</v>
      </c>
      <c r="AA795" s="60" t="str">
        <f>Ringkasan!AA794</f>
        <v>Healthcare Providers</v>
      </c>
      <c r="AB795" s="60" t="str">
        <f>Ringkasan!AB794</f>
        <v>Healthcare</v>
      </c>
    </row>
    <row r="796" hidden="1">
      <c r="A796" s="64" t="str">
        <f>Ringkasan!A795</f>
        <v>HELI</v>
      </c>
      <c r="B796" s="64" t="str">
        <f>Ringkasan!B795</f>
        <v>Jaya Trishindo Tbk.</v>
      </c>
      <c r="C796" s="65">
        <f>Ringkasan!C795</f>
        <v>175</v>
      </c>
      <c r="D796" s="64" t="str">
        <f>Ringkasan!D795</f>
        <v>#N/A</v>
      </c>
      <c r="E796" s="64" t="str">
        <f>Ringkasan!E795</f>
        <v/>
      </c>
      <c r="F796" s="64" t="str">
        <f>Ringkasan!F795</f>
        <v/>
      </c>
      <c r="G796" s="65">
        <f>Ringkasan!G795</f>
        <v>0</v>
      </c>
      <c r="H796" s="19">
        <f>Ringkasan!H795</f>
        <v>5.3</v>
      </c>
      <c r="I796" s="19">
        <f>Ringkasan!I795</f>
        <v>1.5</v>
      </c>
      <c r="J796" s="19">
        <f>Ringkasan!J795</f>
        <v>29.1</v>
      </c>
      <c r="K796" s="19">
        <f>Ringkasan!K795</f>
        <v>14.1</v>
      </c>
      <c r="L796" s="19">
        <f>Ringkasan!L795</f>
        <v>1.1</v>
      </c>
      <c r="M796" s="19">
        <f>Ringkasan!M795</f>
        <v>89</v>
      </c>
      <c r="N796" s="64" t="str">
        <f>Ringkasan!N795</f>
        <v/>
      </c>
      <c r="O796" s="64" t="str">
        <f>Ringkasan!O795</f>
        <v/>
      </c>
      <c r="P796" s="64" t="str">
        <f>Ringkasan!P795</f>
        <v/>
      </c>
      <c r="Q796" s="64" t="str">
        <f>Ringkasan!Q795</f>
        <v/>
      </c>
      <c r="R796" s="64" t="str">
        <f>Ringkasan!R795</f>
        <v/>
      </c>
      <c r="S796" s="64" t="str">
        <f>Ringkasan!S795</f>
        <v/>
      </c>
      <c r="T796" s="64" t="str">
        <f>Ringkasan!T795</f>
        <v/>
      </c>
      <c r="U796" s="64">
        <f>Ringkasan!U795</f>
        <v>0.04</v>
      </c>
      <c r="V796" s="64">
        <f>Ringkasan!V795</f>
        <v>-12.5</v>
      </c>
      <c r="W796" s="64">
        <f>Ringkasan!W795</f>
        <v>0.04</v>
      </c>
      <c r="X796" s="64">
        <f>Ringkasan!X795</f>
        <v>0.04</v>
      </c>
      <c r="Y796" s="64">
        <f>Ringkasan!Y795</f>
        <v>0.04</v>
      </c>
      <c r="Z796" s="64">
        <f>Ringkasan!Z795</f>
        <v>151383</v>
      </c>
      <c r="AA796" s="64" t="str">
        <f>Ringkasan!AA795</f>
        <v>Airlines</v>
      </c>
      <c r="AB796" s="64" t="str">
        <f>Ringkasan!AB795</f>
        <v>Transportation &amp; Logistic</v>
      </c>
    </row>
    <row r="797" hidden="1">
      <c r="A797" s="64" t="str">
        <f>Ringkasan!A796</f>
        <v>HERO</v>
      </c>
      <c r="B797" s="64" t="str">
        <f>Ringkasan!B796</f>
        <v>DFI Retail Nusantara Tbk.</v>
      </c>
      <c r="C797" s="65">
        <f>Ringkasan!C796</f>
        <v>318</v>
      </c>
      <c r="D797" s="64" t="str">
        <f>Ringkasan!D796</f>
        <v>#N/A</v>
      </c>
      <c r="E797" s="64" t="str">
        <f>Ringkasan!E796</f>
        <v/>
      </c>
      <c r="F797" s="64" t="str">
        <f>Ringkasan!F796</f>
        <v/>
      </c>
      <c r="G797" s="64">
        <f>Ringkasan!G796</f>
        <v>0</v>
      </c>
      <c r="H797" s="19">
        <f>Ringkasan!H796</f>
        <v>7.4</v>
      </c>
      <c r="I797" s="19">
        <f>Ringkasan!I796</f>
        <v>0.93</v>
      </c>
      <c r="J797" s="19">
        <f>Ringkasan!J796</f>
        <v>12.6</v>
      </c>
      <c r="K797" s="19">
        <f>Ringkasan!K796</f>
        <v>5.1</v>
      </c>
      <c r="L797" s="19">
        <f>Ringkasan!L796</f>
        <v>1.5</v>
      </c>
      <c r="M797" s="19">
        <f>Ringkasan!M796</f>
        <v>15.6</v>
      </c>
      <c r="N797" s="64" t="str">
        <f>Ringkasan!N796</f>
        <v/>
      </c>
      <c r="O797" s="64" t="str">
        <f>Ringkasan!O796</f>
        <v/>
      </c>
      <c r="P797" s="64" t="str">
        <f>Ringkasan!P796</f>
        <v/>
      </c>
      <c r="Q797" s="64" t="str">
        <f>Ringkasan!Q796</f>
        <v/>
      </c>
      <c r="R797" s="64" t="str">
        <f>Ringkasan!R796</f>
        <v/>
      </c>
      <c r="S797" s="64" t="str">
        <f>Ringkasan!S796</f>
        <v/>
      </c>
      <c r="T797" s="64" t="str">
        <f>Ringkasan!T796</f>
        <v/>
      </c>
      <c r="U797" s="64">
        <f>Ringkasan!U796</f>
        <v>24.78</v>
      </c>
      <c r="V797" s="64">
        <f>Ringkasan!V796</f>
        <v>-0.52</v>
      </c>
      <c r="W797" s="64">
        <f>Ringkasan!W796</f>
        <v>24.44</v>
      </c>
      <c r="X797" s="64">
        <f>Ringkasan!X796</f>
        <v>24.69</v>
      </c>
      <c r="Y797" s="64">
        <f>Ringkasan!Y796</f>
        <v>24.36</v>
      </c>
      <c r="Z797" s="64">
        <f>Ringkasan!Z796</f>
        <v>3623</v>
      </c>
      <c r="AA797" s="64" t="str">
        <f>Ringkasan!AA796</f>
        <v>Food &amp; Staples Retailing</v>
      </c>
      <c r="AB797" s="64" t="str">
        <f>Ringkasan!AB796</f>
        <v>Consumer Non-Cyclicals</v>
      </c>
    </row>
    <row r="798" hidden="1">
      <c r="A798" s="64" t="str">
        <f>Ringkasan!A797</f>
        <v>HEXA</v>
      </c>
      <c r="B798" s="64" t="str">
        <f>Ringkasan!B797</f>
        <v>Hexindo Adiperkasa Tbk.</v>
      </c>
      <c r="C798" s="65">
        <f>Ringkasan!C797</f>
        <v>4410</v>
      </c>
      <c r="D798" s="64" t="str">
        <f>Ringkasan!D797</f>
        <v>#N/A</v>
      </c>
      <c r="E798" s="64" t="str">
        <f>Ringkasan!E797</f>
        <v/>
      </c>
      <c r="F798" s="64" t="str">
        <f>Ringkasan!F797</f>
        <v/>
      </c>
      <c r="G798" s="64">
        <f>Ringkasan!G797</f>
        <v>0</v>
      </c>
      <c r="H798" s="19">
        <f>Ringkasan!H797</f>
        <v>7.6</v>
      </c>
      <c r="I798" s="19">
        <f>Ringkasan!I797</f>
        <v>1.3</v>
      </c>
      <c r="J798" s="19">
        <f>Ringkasan!J797</f>
        <v>17.2</v>
      </c>
      <c r="K798" s="19">
        <f>Ringkasan!K797</f>
        <v>6.7</v>
      </c>
      <c r="L798" s="19">
        <f>Ringkasan!L797</f>
        <v>1.6</v>
      </c>
      <c r="M798" s="19">
        <f>Ringkasan!M797</f>
        <v>7.2</v>
      </c>
      <c r="N798" s="64" t="str">
        <f>Ringkasan!N797</f>
        <v/>
      </c>
      <c r="O798" s="64" t="str">
        <f>Ringkasan!O797</f>
        <v/>
      </c>
      <c r="P798" s="64" t="str">
        <f>Ringkasan!P797</f>
        <v/>
      </c>
      <c r="Q798" s="64" t="str">
        <f>Ringkasan!Q797</f>
        <v/>
      </c>
      <c r="R798" s="64" t="str">
        <f>Ringkasan!R797</f>
        <v/>
      </c>
      <c r="S798" s="64" t="str">
        <f>Ringkasan!S797</f>
        <v/>
      </c>
      <c r="T798" s="64" t="str">
        <f>Ringkasan!T797</f>
        <v/>
      </c>
      <c r="U798" s="64">
        <f>Ringkasan!U797</f>
        <v>4340</v>
      </c>
      <c r="V798" s="64">
        <f>Ringkasan!V797</f>
        <v>1.61</v>
      </c>
      <c r="W798" s="64">
        <f>Ringkasan!W797</f>
        <v>4350</v>
      </c>
      <c r="X798" s="64">
        <f>Ringkasan!X797</f>
        <v>4430</v>
      </c>
      <c r="Y798" s="64">
        <f>Ringkasan!Y797</f>
        <v>4350</v>
      </c>
      <c r="Z798" s="64">
        <f>Ringkasan!Z797</f>
        <v>156800</v>
      </c>
      <c r="AA798" s="64" t="str">
        <f>Ringkasan!AA797</f>
        <v>Machinery</v>
      </c>
      <c r="AB798" s="64" t="str">
        <f>Ringkasan!AB797</f>
        <v>Industrials</v>
      </c>
    </row>
    <row r="799" hidden="1">
      <c r="A799" s="64" t="str">
        <f>Ringkasan!A798</f>
        <v>HGII</v>
      </c>
      <c r="B799" s="64" t="str">
        <f>Ringkasan!B798</f>
        <v>Hero Global Investment Tbk.</v>
      </c>
      <c r="C799" s="65">
        <f>Ringkasan!C798</f>
        <v>132</v>
      </c>
      <c r="D799" s="64" t="str">
        <f>Ringkasan!D798</f>
        <v>#N/A</v>
      </c>
      <c r="E799" s="64" t="str">
        <f>Ringkasan!E798</f>
        <v/>
      </c>
      <c r="F799" s="64" t="str">
        <f>Ringkasan!F798</f>
        <v/>
      </c>
      <c r="G799" s="64">
        <f>Ringkasan!G798</f>
        <v>0</v>
      </c>
      <c r="H799" s="19">
        <f>Ringkasan!H798</f>
        <v>53.6</v>
      </c>
      <c r="I799" s="19">
        <f>Ringkasan!I798</f>
        <v>1.1</v>
      </c>
      <c r="J799" s="19">
        <f>Ringkasan!J798</f>
        <v>2.1</v>
      </c>
      <c r="K799" s="19">
        <f>Ringkasan!K798</f>
        <v>1.7</v>
      </c>
      <c r="L799" s="19">
        <f>Ringkasan!L798</f>
        <v>0.26</v>
      </c>
      <c r="M799" s="19">
        <f>Ringkasan!M798</f>
        <v>89.2</v>
      </c>
      <c r="N799" s="64" t="str">
        <f>Ringkasan!N798</f>
        <v/>
      </c>
      <c r="O799" s="64" t="str">
        <f>Ringkasan!O798</f>
        <v/>
      </c>
      <c r="P799" s="64" t="str">
        <f>Ringkasan!P798</f>
        <v/>
      </c>
      <c r="Q799" s="64" t="str">
        <f>Ringkasan!Q798</f>
        <v/>
      </c>
      <c r="R799" s="64" t="str">
        <f>Ringkasan!R798</f>
        <v/>
      </c>
      <c r="S799" s="64" t="str">
        <f>Ringkasan!S798</f>
        <v/>
      </c>
      <c r="T799" s="64" t="str">
        <f>Ringkasan!T798</f>
        <v/>
      </c>
      <c r="U799" s="64">
        <f>Ringkasan!U798</f>
        <v>132</v>
      </c>
      <c r="V799" s="64">
        <f>Ringkasan!V798</f>
        <v>0</v>
      </c>
      <c r="W799" s="64">
        <f>Ringkasan!W798</f>
        <v>132</v>
      </c>
      <c r="X799" s="64">
        <f>Ringkasan!X798</f>
        <v>133</v>
      </c>
      <c r="Y799" s="64">
        <f>Ringkasan!Y798</f>
        <v>128</v>
      </c>
      <c r="Z799" s="64">
        <f>Ringkasan!Z798</f>
        <v>353300</v>
      </c>
      <c r="AA799" s="64" t="str">
        <f>Ringkasan!AA798</f>
        <v>Electric Utilities</v>
      </c>
      <c r="AB799" s="64" t="str">
        <f>Ringkasan!AB798</f>
        <v>Infrastructures</v>
      </c>
    </row>
    <row r="800" hidden="1">
      <c r="A800" s="60" t="str">
        <f>Ringkasan!A673</f>
        <v>ENRG</v>
      </c>
      <c r="B800" s="60" t="str">
        <f>Ringkasan!B673</f>
        <v>Energi Mega Persada Tbk.</v>
      </c>
      <c r="C800" s="61">
        <f>Ringkasan!C673</f>
        <v>1390</v>
      </c>
      <c r="D800" s="60" t="str">
        <f>Ringkasan!D673</f>
        <v>#N/A</v>
      </c>
      <c r="E800" s="60" t="str">
        <f>Ringkasan!E673</f>
        <v>IDX80</v>
      </c>
      <c r="F800" s="60" t="str">
        <f>Ringkasan!F673</f>
        <v>31 Juli 2026</v>
      </c>
      <c r="G800" s="60">
        <f>Ringkasan!G673</f>
        <v>9</v>
      </c>
      <c r="H800" s="62">
        <f>Ringkasan!H673</f>
        <v>23.2</v>
      </c>
      <c r="I800" s="62">
        <f>Ringkasan!I673</f>
        <v>2.6</v>
      </c>
      <c r="J800" s="62">
        <f>Ringkasan!J673</f>
        <v>11.1</v>
      </c>
      <c r="K800" s="62">
        <f>Ringkasan!K673</f>
        <v>5</v>
      </c>
      <c r="L800" s="62">
        <f>Ringkasan!L673</f>
        <v>1.2</v>
      </c>
      <c r="M800" s="62">
        <f>Ringkasan!M673</f>
        <v>18.4</v>
      </c>
      <c r="N800" s="60" t="str">
        <f>Ringkasan!N673</f>
        <v/>
      </c>
      <c r="O800" s="60" t="str">
        <f>Ringkasan!O673</f>
        <v/>
      </c>
      <c r="P800" s="60" t="str">
        <f>Ringkasan!P673</f>
        <v/>
      </c>
      <c r="Q800" s="60" t="str">
        <f>Ringkasan!Q673</f>
        <v/>
      </c>
      <c r="R800" s="60" t="str">
        <f>Ringkasan!R673</f>
        <v/>
      </c>
      <c r="S800" s="60" t="str">
        <f>Ringkasan!S673</f>
        <v/>
      </c>
      <c r="T800" s="60" t="str">
        <f>Ringkasan!T673</f>
        <v/>
      </c>
      <c r="U800" s="60">
        <f>Ringkasan!U673</f>
        <v>0.3</v>
      </c>
      <c r="V800" s="60">
        <f>Ringkasan!V673</f>
        <v>18.64</v>
      </c>
      <c r="W800" s="60">
        <f>Ringkasan!W673</f>
        <v>0.29</v>
      </c>
      <c r="X800" s="60">
        <f>Ringkasan!X673</f>
        <v>0.35</v>
      </c>
      <c r="Y800" s="60">
        <f>Ringkasan!Y673</f>
        <v>0.26</v>
      </c>
      <c r="Z800" s="60">
        <f>Ringkasan!Z673</f>
        <v>61500</v>
      </c>
      <c r="AA800" s="60" t="str">
        <f>Ringkasan!AA673</f>
        <v>Oil &amp; Gas</v>
      </c>
      <c r="AB800" s="60" t="str">
        <f>Ringkasan!AB673</f>
        <v>Energy</v>
      </c>
    </row>
    <row r="801" hidden="1">
      <c r="A801" s="64" t="str">
        <f>Ringkasan!A800</f>
        <v>HITS</v>
      </c>
      <c r="B801" s="64" t="str">
        <f>Ringkasan!B800</f>
        <v>Humpuss Intermoda Transportasi Tbk.</v>
      </c>
      <c r="C801" s="65" t="str">
        <f>Ringkasan!C800</f>
        <v>#N/A</v>
      </c>
      <c r="D801" s="64" t="str">
        <f>Ringkasan!D800</f>
        <v>#N/A</v>
      </c>
      <c r="E801" s="64" t="str">
        <f>Ringkasan!E800</f>
        <v/>
      </c>
      <c r="F801" s="64" t="str">
        <f>Ringkasan!F800</f>
        <v/>
      </c>
      <c r="G801" s="64">
        <f>Ringkasan!G800</f>
        <v>0</v>
      </c>
      <c r="H801" s="19">
        <f>Ringkasan!H800</f>
        <v>-11.5</v>
      </c>
      <c r="I801" s="19">
        <f>Ringkasan!I800</f>
        <v>0.42</v>
      </c>
      <c r="J801" s="19">
        <f>Ringkasan!J800</f>
        <v>-3.6</v>
      </c>
      <c r="K801" s="19">
        <f>Ringkasan!K800</f>
        <v>-1.3</v>
      </c>
      <c r="L801" s="19">
        <f>Ringkasan!L800</f>
        <v>1.8</v>
      </c>
      <c r="M801" s="19">
        <f>Ringkasan!M800</f>
        <v>-4.3</v>
      </c>
      <c r="N801" s="64" t="str">
        <f>Ringkasan!N800</f>
        <v/>
      </c>
      <c r="O801" s="64" t="str">
        <f>Ringkasan!O800</f>
        <v/>
      </c>
      <c r="P801" s="64" t="str">
        <f>Ringkasan!P800</f>
        <v/>
      </c>
      <c r="Q801" s="64" t="str">
        <f>Ringkasan!Q800</f>
        <v/>
      </c>
      <c r="R801" s="64" t="str">
        <f>Ringkasan!R800</f>
        <v/>
      </c>
      <c r="S801" s="64" t="str">
        <f>Ringkasan!S800</f>
        <v/>
      </c>
      <c r="T801" s="64" t="str">
        <f>Ringkasan!T800</f>
        <v/>
      </c>
      <c r="U801" s="64" t="str">
        <f>Ringkasan!U800</f>
        <v/>
      </c>
      <c r="V801" s="64" t="str">
        <f>Ringkasan!V800</f>
        <v/>
      </c>
      <c r="W801" s="64" t="str">
        <f>Ringkasan!W800</f>
        <v/>
      </c>
      <c r="X801" s="64" t="str">
        <f>Ringkasan!X800</f>
        <v/>
      </c>
      <c r="Y801" s="64" t="str">
        <f>Ringkasan!Y800</f>
        <v/>
      </c>
      <c r="Z801" s="64" t="str">
        <f>Ringkasan!Z800</f>
        <v/>
      </c>
      <c r="AA801" s="64" t="str">
        <f>Ringkasan!AA800</f>
        <v>Oil &amp; Gas</v>
      </c>
      <c r="AB801" s="64" t="str">
        <f>Ringkasan!AB800</f>
        <v>Energy</v>
      </c>
    </row>
    <row r="802">
      <c r="A802" s="60" t="str">
        <f>Ringkasan!A990</f>
        <v>JPFA</v>
      </c>
      <c r="B802" s="60" t="str">
        <f>Ringkasan!B990</f>
        <v>Japfa Comfeed Indonesia Tbk.</v>
      </c>
      <c r="C802" s="61">
        <f>Ringkasan!C990</f>
        <v>1905</v>
      </c>
      <c r="D802" s="60" t="str">
        <f>Ringkasan!D990</f>
        <v>#N/A</v>
      </c>
      <c r="E802" s="60" t="str">
        <f>Ringkasan!E990</f>
        <v>LQ45</v>
      </c>
      <c r="F802" s="60" t="str">
        <f>Ringkasan!F990</f>
        <v>31 Juli 2026</v>
      </c>
      <c r="G802" s="61">
        <f>Ringkasan!G990</f>
        <v>13</v>
      </c>
      <c r="H802" s="62">
        <f>Ringkasan!H990</f>
        <v>5.6</v>
      </c>
      <c r="I802" s="62">
        <f>Ringkasan!I990</f>
        <v>1.3</v>
      </c>
      <c r="J802" s="62">
        <f>Ringkasan!J990</f>
        <v>23.3</v>
      </c>
      <c r="K802" s="62">
        <f>Ringkasan!K990</f>
        <v>13.1</v>
      </c>
      <c r="L802" s="62">
        <f>Ringkasan!L990</f>
        <v>0.79</v>
      </c>
      <c r="M802" s="62">
        <f>Ringkasan!M990</f>
        <v>29</v>
      </c>
      <c r="N802" s="60" t="str">
        <f>Ringkasan!N990</f>
        <v/>
      </c>
      <c r="O802" s="60" t="str">
        <f>Ringkasan!O990</f>
        <v/>
      </c>
      <c r="P802" s="60" t="str">
        <f>Ringkasan!P990</f>
        <v/>
      </c>
      <c r="Q802" s="60" t="str">
        <f>Ringkasan!Q990</f>
        <v/>
      </c>
      <c r="R802" s="60" t="str">
        <f>Ringkasan!R990</f>
        <v/>
      </c>
      <c r="S802" s="60" t="str">
        <f>Ringkasan!S990</f>
        <v/>
      </c>
      <c r="T802" s="60" t="str">
        <f>Ringkasan!T990</f>
        <v/>
      </c>
      <c r="U802" s="60">
        <f>Ringkasan!U990</f>
        <v>1860</v>
      </c>
      <c r="V802" s="60">
        <f>Ringkasan!V990</f>
        <v>2.42</v>
      </c>
      <c r="W802" s="60">
        <f>Ringkasan!W990</f>
        <v>1865</v>
      </c>
      <c r="X802" s="60">
        <f>Ringkasan!X990</f>
        <v>1930</v>
      </c>
      <c r="Y802" s="60">
        <f>Ringkasan!Y990</f>
        <v>1840</v>
      </c>
      <c r="Z802" s="60">
        <f>Ringkasan!Z990</f>
        <v>30207300</v>
      </c>
      <c r="AA802" s="60" t="str">
        <f>Ringkasan!AA990</f>
        <v>Agricultural Products</v>
      </c>
      <c r="AB802" s="60" t="str">
        <f>Ringkasan!AB990</f>
        <v>Consumer Non-Cyclicals</v>
      </c>
    </row>
    <row r="803">
      <c r="A803" s="60" t="str">
        <f>Ringkasan!A991</f>
        <v>JPFA</v>
      </c>
      <c r="B803" s="60" t="str">
        <f>Ringkasan!B991</f>
        <v>Japfa Comfeed Indonesia Tbk.</v>
      </c>
      <c r="C803" s="61">
        <f>Ringkasan!C991</f>
        <v>1905</v>
      </c>
      <c r="D803" s="60" t="str">
        <f>Ringkasan!D991</f>
        <v>#N/A</v>
      </c>
      <c r="E803" s="60" t="str">
        <f>Ringkasan!E991</f>
        <v>IDX30</v>
      </c>
      <c r="F803" s="60" t="str">
        <f>Ringkasan!F991</f>
        <v>31 Juli 2026</v>
      </c>
      <c r="G803" s="61">
        <f>Ringkasan!G991</f>
        <v>13</v>
      </c>
      <c r="H803" s="62">
        <f>Ringkasan!H991</f>
        <v>5.6</v>
      </c>
      <c r="I803" s="62">
        <f>Ringkasan!I991</f>
        <v>1.3</v>
      </c>
      <c r="J803" s="62">
        <f>Ringkasan!J991</f>
        <v>23.3</v>
      </c>
      <c r="K803" s="62">
        <f>Ringkasan!K991</f>
        <v>13.1</v>
      </c>
      <c r="L803" s="62">
        <f>Ringkasan!L991</f>
        <v>0.79</v>
      </c>
      <c r="M803" s="62">
        <f>Ringkasan!M991</f>
        <v>29</v>
      </c>
      <c r="N803" s="60" t="str">
        <f>Ringkasan!N991</f>
        <v/>
      </c>
      <c r="O803" s="60" t="str">
        <f>Ringkasan!O991</f>
        <v/>
      </c>
      <c r="P803" s="60" t="str">
        <f>Ringkasan!P991</f>
        <v/>
      </c>
      <c r="Q803" s="60" t="str">
        <f>Ringkasan!Q991</f>
        <v/>
      </c>
      <c r="R803" s="60" t="str">
        <f>Ringkasan!R991</f>
        <v/>
      </c>
      <c r="S803" s="60" t="str">
        <f>Ringkasan!S991</f>
        <v/>
      </c>
      <c r="T803" s="60" t="str">
        <f>Ringkasan!T991</f>
        <v/>
      </c>
      <c r="U803" s="60">
        <f>Ringkasan!U991</f>
        <v>1860</v>
      </c>
      <c r="V803" s="60">
        <f>Ringkasan!V991</f>
        <v>2.42</v>
      </c>
      <c r="W803" s="60">
        <f>Ringkasan!W991</f>
        <v>1865</v>
      </c>
      <c r="X803" s="60">
        <f>Ringkasan!X991</f>
        <v>1930</v>
      </c>
      <c r="Y803" s="60">
        <f>Ringkasan!Y991</f>
        <v>1840</v>
      </c>
      <c r="Z803" s="60">
        <f>Ringkasan!Z991</f>
        <v>30207300</v>
      </c>
      <c r="AA803" s="60" t="str">
        <f>Ringkasan!AA991</f>
        <v>Agricultural Products</v>
      </c>
      <c r="AB803" s="60" t="str">
        <f>Ringkasan!AB991</f>
        <v>Consumer Non-Cyclicals</v>
      </c>
    </row>
    <row r="804">
      <c r="A804" s="64" t="str">
        <f>Ringkasan!A803</f>
        <v>HMSP</v>
      </c>
      <c r="B804" s="64" t="str">
        <f>Ringkasan!B803</f>
        <v>HM Sampoerna Tbk</v>
      </c>
      <c r="C804" s="65">
        <f>Ringkasan!C803</f>
        <v>605</v>
      </c>
      <c r="D804" s="64" t="str">
        <f>Ringkasan!D803</f>
        <v>#N/A</v>
      </c>
      <c r="E804" s="64" t="str">
        <f>Ringkasan!E803</f>
        <v>Kompas100</v>
      </c>
      <c r="F804" s="64" t="str">
        <f>Ringkasan!F803</f>
        <v>31 Juli 2026</v>
      </c>
      <c r="G804" s="64">
        <f>Ringkasan!G803</f>
        <v>2</v>
      </c>
      <c r="H804" s="19">
        <f>Ringkasan!H803</f>
        <v>12</v>
      </c>
      <c r="I804" s="19">
        <f>Ringkasan!I803</f>
        <v>2.7</v>
      </c>
      <c r="J804" s="19">
        <f>Ringkasan!J803</f>
        <v>22.2</v>
      </c>
      <c r="K804" s="19">
        <f>Ringkasan!K803</f>
        <v>13</v>
      </c>
      <c r="L804" s="19">
        <f>Ringkasan!L803</f>
        <v>0.71</v>
      </c>
      <c r="M804" s="19">
        <f>Ringkasan!M803</f>
        <v>24.8</v>
      </c>
      <c r="N804" s="64" t="str">
        <f>Ringkasan!N803</f>
        <v/>
      </c>
      <c r="O804" s="64" t="str">
        <f>Ringkasan!O803</f>
        <v/>
      </c>
      <c r="P804" s="64" t="str">
        <f>Ringkasan!P803</f>
        <v/>
      </c>
      <c r="Q804" s="64" t="str">
        <f>Ringkasan!Q803</f>
        <v/>
      </c>
      <c r="R804" s="64" t="str">
        <f>Ringkasan!R803</f>
        <v/>
      </c>
      <c r="S804" s="64" t="str">
        <f>Ringkasan!S803</f>
        <v/>
      </c>
      <c r="T804" s="64" t="str">
        <f>Ringkasan!T803</f>
        <v/>
      </c>
      <c r="U804" s="64">
        <f>Ringkasan!U803</f>
        <v>595</v>
      </c>
      <c r="V804" s="64">
        <f>Ringkasan!V803</f>
        <v>1.68</v>
      </c>
      <c r="W804" s="64">
        <f>Ringkasan!W803</f>
        <v>600</v>
      </c>
      <c r="X804" s="64">
        <f>Ringkasan!X803</f>
        <v>610</v>
      </c>
      <c r="Y804" s="64">
        <f>Ringkasan!Y803</f>
        <v>590</v>
      </c>
      <c r="Z804" s="64">
        <f>Ringkasan!Z803</f>
        <v>32621000</v>
      </c>
      <c r="AA804" s="64" t="str">
        <f>Ringkasan!AA803</f>
        <v>Tobacco</v>
      </c>
      <c r="AB804" s="64" t="str">
        <f>Ringkasan!AB803</f>
        <v>Consumer Non-Cyclicals</v>
      </c>
    </row>
    <row r="805" hidden="1">
      <c r="A805" s="64" t="str">
        <f>Ringkasan!A804</f>
        <v>HOKI</v>
      </c>
      <c r="B805" s="64" t="str">
        <f>Ringkasan!B804</f>
        <v>Buyung Poetra Sembada Tbk.</v>
      </c>
      <c r="C805" s="65">
        <f>Ringkasan!C804</f>
        <v>54</v>
      </c>
      <c r="D805" s="64" t="str">
        <f>Ringkasan!D804</f>
        <v>#N/A</v>
      </c>
      <c r="E805" s="64" t="str">
        <f>Ringkasan!E804</f>
        <v/>
      </c>
      <c r="F805" s="64" t="str">
        <f>Ringkasan!F804</f>
        <v/>
      </c>
      <c r="G805" s="64">
        <f>Ringkasan!G804</f>
        <v>0</v>
      </c>
      <c r="H805" s="19">
        <f>Ringkasan!H804</f>
        <v>-15.3</v>
      </c>
      <c r="I805" s="19">
        <f>Ringkasan!I804</f>
        <v>1.1</v>
      </c>
      <c r="J805" s="19">
        <f>Ringkasan!J804</f>
        <v>-6.9</v>
      </c>
      <c r="K805" s="19">
        <f>Ringkasan!K804</f>
        <v>-4.2</v>
      </c>
      <c r="L805" s="19">
        <f>Ringkasan!L804</f>
        <v>0.64</v>
      </c>
      <c r="M805" s="19">
        <f>Ringkasan!M804</f>
        <v>-7.3</v>
      </c>
      <c r="N805" s="64" t="str">
        <f>Ringkasan!N804</f>
        <v/>
      </c>
      <c r="O805" s="64" t="str">
        <f>Ringkasan!O804</f>
        <v/>
      </c>
      <c r="P805" s="64" t="str">
        <f>Ringkasan!P804</f>
        <v/>
      </c>
      <c r="Q805" s="64" t="str">
        <f>Ringkasan!Q804</f>
        <v/>
      </c>
      <c r="R805" s="64" t="str">
        <f>Ringkasan!R804</f>
        <v/>
      </c>
      <c r="S805" s="64" t="str">
        <f>Ringkasan!S804</f>
        <v/>
      </c>
      <c r="T805" s="64" t="str">
        <f>Ringkasan!T804</f>
        <v/>
      </c>
      <c r="U805" s="64">
        <f>Ringkasan!U804</f>
        <v>52</v>
      </c>
      <c r="V805" s="64">
        <f>Ringkasan!V804</f>
        <v>3.85</v>
      </c>
      <c r="W805" s="64">
        <f>Ringkasan!W804</f>
        <v>52</v>
      </c>
      <c r="X805" s="64">
        <f>Ringkasan!X804</f>
        <v>56</v>
      </c>
      <c r="Y805" s="64">
        <f>Ringkasan!Y804</f>
        <v>52</v>
      </c>
      <c r="Z805" s="64">
        <f>Ringkasan!Z804</f>
        <v>20888100</v>
      </c>
      <c r="AA805" s="64" t="str">
        <f>Ringkasan!AA804</f>
        <v>Processed Foods</v>
      </c>
      <c r="AB805" s="64" t="str">
        <f>Ringkasan!AB804</f>
        <v>Consumer Non-Cyclicals</v>
      </c>
    </row>
    <row r="806" hidden="1">
      <c r="A806" s="64" t="str">
        <f>Ringkasan!A805</f>
        <v>HOME</v>
      </c>
      <c r="B806" s="64" t="str">
        <f>Ringkasan!B805</f>
        <v>Hotel Mandarine Regency Tbk.</v>
      </c>
      <c r="C806" s="65">
        <f>Ringkasan!C805</f>
        <v>50</v>
      </c>
      <c r="D806" s="64" t="str">
        <f>Ringkasan!D805</f>
        <v>#N/A</v>
      </c>
      <c r="E806" s="64" t="str">
        <f>Ringkasan!E805</f>
        <v/>
      </c>
      <c r="F806" s="64" t="str">
        <f>Ringkasan!F805</f>
        <v/>
      </c>
      <c r="G806" s="64">
        <f>Ringkasan!G805</f>
        <v>0</v>
      </c>
      <c r="H806" s="19">
        <f>Ringkasan!H805</f>
        <v>0</v>
      </c>
      <c r="I806" s="19">
        <f>Ringkasan!I805</f>
        <v>0.52</v>
      </c>
      <c r="J806" s="19">
        <f>Ringkasan!J805</f>
        <v>-1.7</v>
      </c>
      <c r="K806" s="19">
        <f>Ringkasan!K805</f>
        <v>-1.4</v>
      </c>
      <c r="L806" s="19">
        <f>Ringkasan!L805</f>
        <v>0.16</v>
      </c>
      <c r="M806" s="19">
        <f>Ringkasan!M805</f>
        <v>-340</v>
      </c>
      <c r="N806" s="64" t="str">
        <f>Ringkasan!N805</f>
        <v/>
      </c>
      <c r="O806" s="64" t="str">
        <f>Ringkasan!O805</f>
        <v/>
      </c>
      <c r="P806" s="64" t="str">
        <f>Ringkasan!P805</f>
        <v/>
      </c>
      <c r="Q806" s="64" t="str">
        <f>Ringkasan!Q805</f>
        <v/>
      </c>
      <c r="R806" s="64" t="str">
        <f>Ringkasan!R805</f>
        <v/>
      </c>
      <c r="S806" s="64" t="str">
        <f>Ringkasan!S805</f>
        <v/>
      </c>
      <c r="T806" s="64" t="str">
        <f>Ringkasan!T805</f>
        <v/>
      </c>
      <c r="U806" s="64">
        <f>Ringkasan!U805</f>
        <v>9.95</v>
      </c>
      <c r="V806" s="64">
        <f>Ringkasan!V805</f>
        <v>-0.38</v>
      </c>
      <c r="W806" s="64">
        <f>Ringkasan!W805</f>
        <v>9.91</v>
      </c>
      <c r="X806" s="64">
        <f>Ringkasan!X805</f>
        <v>9.91</v>
      </c>
      <c r="Y806" s="64">
        <f>Ringkasan!Y805</f>
        <v>9.81</v>
      </c>
      <c r="Z806" s="64">
        <f>Ringkasan!Z805</f>
        <v>259807</v>
      </c>
      <c r="AA806" s="64" t="str">
        <f>Ringkasan!AA805</f>
        <v>Tourism &amp; Recreation</v>
      </c>
      <c r="AB806" s="64" t="str">
        <f>Ringkasan!AB805</f>
        <v>Consumer Cyclicals</v>
      </c>
    </row>
    <row r="807" hidden="1">
      <c r="A807" s="64" t="str">
        <f>Ringkasan!A806</f>
        <v>HOMI</v>
      </c>
      <c r="B807" s="64" t="str">
        <f>Ringkasan!B806</f>
        <v>Grand House Mulia Tbk.</v>
      </c>
      <c r="C807" s="65">
        <f>Ringkasan!C806</f>
        <v>194</v>
      </c>
      <c r="D807" s="64" t="str">
        <f>Ringkasan!D806</f>
        <v>#N/A</v>
      </c>
      <c r="E807" s="64" t="str">
        <f>Ringkasan!E806</f>
        <v/>
      </c>
      <c r="F807" s="64" t="str">
        <f>Ringkasan!F806</f>
        <v/>
      </c>
      <c r="G807" s="64">
        <f>Ringkasan!G806</f>
        <v>0</v>
      </c>
      <c r="H807" s="19">
        <f>Ringkasan!H806</f>
        <v>360</v>
      </c>
      <c r="I807" s="19">
        <f>Ringkasan!I806</f>
        <v>2.4</v>
      </c>
      <c r="J807" s="19">
        <f>Ringkasan!J806</f>
        <v>0.67</v>
      </c>
      <c r="K807" s="19">
        <f>Ringkasan!K806</f>
        <v>0.49</v>
      </c>
      <c r="L807" s="19">
        <f>Ringkasan!L806</f>
        <v>0.36</v>
      </c>
      <c r="M807" s="19">
        <f>Ringkasan!M806</f>
        <v>16.5</v>
      </c>
      <c r="N807" s="64" t="str">
        <f>Ringkasan!N806</f>
        <v/>
      </c>
      <c r="O807" s="64" t="str">
        <f>Ringkasan!O806</f>
        <v/>
      </c>
      <c r="P807" s="64" t="str">
        <f>Ringkasan!P806</f>
        <v/>
      </c>
      <c r="Q807" s="64" t="str">
        <f>Ringkasan!Q806</f>
        <v/>
      </c>
      <c r="R807" s="64" t="str">
        <f>Ringkasan!R806</f>
        <v/>
      </c>
      <c r="S807" s="64" t="str">
        <f>Ringkasan!S806</f>
        <v/>
      </c>
      <c r="T807" s="64" t="str">
        <f>Ringkasan!T806</f>
        <v/>
      </c>
      <c r="U807" s="64">
        <f>Ringkasan!U806</f>
        <v>19.92</v>
      </c>
      <c r="V807" s="64">
        <f>Ringkasan!V806</f>
        <v>-0.3</v>
      </c>
      <c r="W807" s="64">
        <f>Ringkasan!W806</f>
        <v>20.55</v>
      </c>
      <c r="X807" s="64">
        <f>Ringkasan!X806</f>
        <v>20.6</v>
      </c>
      <c r="Y807" s="64">
        <f>Ringkasan!Y806</f>
        <v>19.86</v>
      </c>
      <c r="Z807" s="64">
        <f>Ringkasan!Z806</f>
        <v>18352</v>
      </c>
      <c r="AA807" s="64" t="str">
        <f>Ringkasan!AA806</f>
        <v>Real Estate Management &amp; Development</v>
      </c>
      <c r="AB807" s="64" t="str">
        <f>Ringkasan!AB806</f>
        <v>Properties &amp; Real Estate</v>
      </c>
    </row>
    <row r="808" hidden="1">
      <c r="A808" s="60" t="str">
        <f>Ringkasan!A807</f>
        <v>HOPE</v>
      </c>
      <c r="B808" s="60" t="str">
        <f>Ringkasan!B807</f>
        <v>Harapan Duta Pertiwi Tbk.</v>
      </c>
      <c r="C808" s="61">
        <f>Ringkasan!C807</f>
        <v>130</v>
      </c>
      <c r="D808" s="60" t="str">
        <f>Ringkasan!D807</f>
        <v>#N/A</v>
      </c>
      <c r="E808" s="60" t="str">
        <f>Ringkasan!E807</f>
        <v/>
      </c>
      <c r="F808" s="60" t="str">
        <f>Ringkasan!F807</f>
        <v/>
      </c>
      <c r="G808" s="60">
        <f>Ringkasan!G807</f>
        <v>0</v>
      </c>
      <c r="H808" s="62">
        <f>Ringkasan!H807</f>
        <v>-16.4</v>
      </c>
      <c r="I808" s="62">
        <f>Ringkasan!I807</f>
        <v>2</v>
      </c>
      <c r="J808" s="62">
        <f>Ringkasan!J807</f>
        <v>-12.1</v>
      </c>
      <c r="K808" s="62">
        <f>Ringkasan!K807</f>
        <v>-4.2</v>
      </c>
      <c r="L808" s="62">
        <f>Ringkasan!L807</f>
        <v>1.9</v>
      </c>
      <c r="M808" s="62">
        <f>Ringkasan!M807</f>
        <v>-43.6</v>
      </c>
      <c r="N808" s="60" t="str">
        <f>Ringkasan!N807</f>
        <v/>
      </c>
      <c r="O808" s="60" t="str">
        <f>Ringkasan!O807</f>
        <v/>
      </c>
      <c r="P808" s="60" t="str">
        <f>Ringkasan!P807</f>
        <v/>
      </c>
      <c r="Q808" s="60" t="str">
        <f>Ringkasan!Q807</f>
        <v/>
      </c>
      <c r="R808" s="60" t="str">
        <f>Ringkasan!R807</f>
        <v/>
      </c>
      <c r="S808" s="60" t="str">
        <f>Ringkasan!S807</f>
        <v/>
      </c>
      <c r="T808" s="60" t="str">
        <f>Ringkasan!T807</f>
        <v/>
      </c>
      <c r="U808" s="60">
        <f>Ringkasan!U807</f>
        <v>13.01</v>
      </c>
      <c r="V808" s="60">
        <f>Ringkasan!V807</f>
        <v>1.38</v>
      </c>
      <c r="W808" s="60" t="str">
        <f>Ringkasan!W807</f>
        <v/>
      </c>
      <c r="X808" s="60">
        <f>Ringkasan!X807</f>
        <v>13.19</v>
      </c>
      <c r="Y808" s="60">
        <f>Ringkasan!Y807</f>
        <v>13.05</v>
      </c>
      <c r="Z808" s="60">
        <f>Ringkasan!Z807</f>
        <v>699471</v>
      </c>
      <c r="AA808" s="60" t="str">
        <f>Ringkasan!AA807</f>
        <v>Machinery</v>
      </c>
      <c r="AB808" s="60" t="str">
        <f>Ringkasan!AB807</f>
        <v>Industrials</v>
      </c>
    </row>
    <row r="809" hidden="1">
      <c r="A809" s="64" t="str">
        <f>Ringkasan!A808</f>
        <v>HOTL</v>
      </c>
      <c r="B809" s="64" t="str">
        <f>Ringkasan!B808</f>
        <v>Saraswati Griya Lestari Tbk.</v>
      </c>
      <c r="C809" s="65">
        <f>Ringkasan!C808</f>
        <v>50</v>
      </c>
      <c r="D809" s="64" t="str">
        <f>Ringkasan!D808</f>
        <v>#N/A</v>
      </c>
      <c r="E809" s="64" t="str">
        <f>Ringkasan!E808</f>
        <v/>
      </c>
      <c r="F809" s="64" t="str">
        <f>Ringkasan!F808</f>
        <v/>
      </c>
      <c r="G809" s="65">
        <f>Ringkasan!G808</f>
        <v>0</v>
      </c>
      <c r="H809" s="19">
        <f>Ringkasan!H808</f>
        <v>0</v>
      </c>
      <c r="I809" s="19">
        <f>Ringkasan!I808</f>
        <v>0.49</v>
      </c>
      <c r="J809" s="19">
        <f>Ringkasan!J808</f>
        <v>19.1</v>
      </c>
      <c r="K809" s="19">
        <f>Ringkasan!K808</f>
        <v>15.8</v>
      </c>
      <c r="L809" s="19">
        <f>Ringkasan!L808</f>
        <v>0.21</v>
      </c>
      <c r="M809" s="19">
        <f>Ringkasan!M808</f>
        <v>3300</v>
      </c>
      <c r="N809" s="64" t="str">
        <f>Ringkasan!N808</f>
        <v/>
      </c>
      <c r="O809" s="64" t="str">
        <f>Ringkasan!O808</f>
        <v/>
      </c>
      <c r="P809" s="64" t="str">
        <f>Ringkasan!P808</f>
        <v/>
      </c>
      <c r="Q809" s="64" t="str">
        <f>Ringkasan!Q808</f>
        <v/>
      </c>
      <c r="R809" s="64" t="str">
        <f>Ringkasan!R808</f>
        <v/>
      </c>
      <c r="S809" s="64" t="str">
        <f>Ringkasan!S808</f>
        <v/>
      </c>
      <c r="T809" s="64" t="str">
        <f>Ringkasan!T808</f>
        <v/>
      </c>
      <c r="U809" s="64">
        <f>Ringkasan!U808</f>
        <v>50</v>
      </c>
      <c r="V809" s="64">
        <f>Ringkasan!V808</f>
        <v>0</v>
      </c>
      <c r="W809" s="64" t="str">
        <f>Ringkasan!W808</f>
        <v/>
      </c>
      <c r="X809" s="64" t="str">
        <f>Ringkasan!X808</f>
        <v/>
      </c>
      <c r="Y809" s="64" t="str">
        <f>Ringkasan!Y808</f>
        <v/>
      </c>
      <c r="Z809" s="64">
        <f>Ringkasan!Z808</f>
        <v>0</v>
      </c>
      <c r="AA809" s="64" t="str">
        <f>Ringkasan!AA808</f>
        <v>Tourism &amp; Recreation</v>
      </c>
      <c r="AB809" s="64" t="str">
        <f>Ringkasan!AB808</f>
        <v>Consumer Cyclicals</v>
      </c>
    </row>
    <row r="810" hidden="1">
      <c r="A810" s="64" t="str">
        <f>Ringkasan!A809</f>
        <v>HRME</v>
      </c>
      <c r="B810" s="64" t="str">
        <f>Ringkasan!B809</f>
        <v>Menteng Heritage Realty Tbk.</v>
      </c>
      <c r="C810" s="65">
        <f>Ringkasan!C809</f>
        <v>47</v>
      </c>
      <c r="D810" s="64" t="str">
        <f>Ringkasan!D809</f>
        <v>#N/A</v>
      </c>
      <c r="E810" s="64" t="str">
        <f>Ringkasan!E809</f>
        <v/>
      </c>
      <c r="F810" s="64" t="str">
        <f>Ringkasan!F809</f>
        <v/>
      </c>
      <c r="G810" s="64">
        <f>Ringkasan!G809</f>
        <v>0</v>
      </c>
      <c r="H810" s="19">
        <f>Ringkasan!H809</f>
        <v>-51.9</v>
      </c>
      <c r="I810" s="19">
        <f>Ringkasan!I809</f>
        <v>0.53</v>
      </c>
      <c r="J810" s="19">
        <f>Ringkasan!J809</f>
        <v>-1</v>
      </c>
      <c r="K810" s="19">
        <f>Ringkasan!K809</f>
        <v>-0.64</v>
      </c>
      <c r="L810" s="19">
        <f>Ringkasan!L809</f>
        <v>0.6</v>
      </c>
      <c r="M810" s="19">
        <f>Ringkasan!M809</f>
        <v>-23.1</v>
      </c>
      <c r="N810" s="64" t="str">
        <f>Ringkasan!N809</f>
        <v/>
      </c>
      <c r="O810" s="64" t="str">
        <f>Ringkasan!O809</f>
        <v/>
      </c>
      <c r="P810" s="64" t="str">
        <f>Ringkasan!P809</f>
        <v/>
      </c>
      <c r="Q810" s="64" t="str">
        <f>Ringkasan!Q809</f>
        <v/>
      </c>
      <c r="R810" s="64" t="str">
        <f>Ringkasan!R809</f>
        <v/>
      </c>
      <c r="S810" s="64" t="str">
        <f>Ringkasan!S809</f>
        <v/>
      </c>
      <c r="T810" s="64" t="str">
        <f>Ringkasan!T809</f>
        <v/>
      </c>
      <c r="U810" s="64">
        <f>Ringkasan!U809</f>
        <v>47</v>
      </c>
      <c r="V810" s="64">
        <f>Ringkasan!V809</f>
        <v>0</v>
      </c>
      <c r="W810" s="64">
        <f>Ringkasan!W809</f>
        <v>47</v>
      </c>
      <c r="X810" s="64">
        <f>Ringkasan!X809</f>
        <v>47</v>
      </c>
      <c r="Y810" s="64">
        <f>Ringkasan!Y809</f>
        <v>47</v>
      </c>
      <c r="Z810" s="64">
        <f>Ringkasan!Z809</f>
        <v>588800</v>
      </c>
      <c r="AA810" s="64" t="str">
        <f>Ringkasan!AA809</f>
        <v>Tourism &amp; Recreation</v>
      </c>
      <c r="AB810" s="64" t="str">
        <f>Ringkasan!AB809</f>
        <v>Consumer Cyclicals</v>
      </c>
    </row>
    <row r="811" hidden="1">
      <c r="A811" s="64" t="str">
        <f>Ringkasan!A810</f>
        <v>HRTA</v>
      </c>
      <c r="B811" s="64" t="str">
        <f>Ringkasan!B810</f>
        <v>Hartadinata Abadi Tbk.</v>
      </c>
      <c r="C811" s="65">
        <f>Ringkasan!C810</f>
        <v>1950</v>
      </c>
      <c r="D811" s="64" t="str">
        <f>Ringkasan!D810</f>
        <v>#N/A</v>
      </c>
      <c r="E811" s="64" t="str">
        <f>Ringkasan!E810</f>
        <v>LQ45</v>
      </c>
      <c r="F811" s="64" t="str">
        <f>Ringkasan!F810</f>
        <v>31 Juli 2026</v>
      </c>
      <c r="G811" s="64">
        <f>Ringkasan!G810</f>
        <v>8</v>
      </c>
      <c r="H811" s="19">
        <f>Ringkasan!H810</f>
        <v>9.1</v>
      </c>
      <c r="I811" s="19">
        <f>Ringkasan!I810</f>
        <v>3.1</v>
      </c>
      <c r="J811" s="19">
        <f>Ringkasan!J810</f>
        <v>34.5</v>
      </c>
      <c r="K811" s="19">
        <f>Ringkasan!K810</f>
        <v>9.2</v>
      </c>
      <c r="L811" s="19">
        <f>Ringkasan!L810</f>
        <v>2.8</v>
      </c>
      <c r="M811" s="19">
        <f>Ringkasan!M810</f>
        <v>6.3</v>
      </c>
      <c r="N811" s="64" t="str">
        <f>Ringkasan!N810</f>
        <v/>
      </c>
      <c r="O811" s="64" t="str">
        <f>Ringkasan!O810</f>
        <v/>
      </c>
      <c r="P811" s="64" t="str">
        <f>Ringkasan!P810</f>
        <v/>
      </c>
      <c r="Q811" s="64" t="str">
        <f>Ringkasan!Q810</f>
        <v/>
      </c>
      <c r="R811" s="64" t="str">
        <f>Ringkasan!R810</f>
        <v/>
      </c>
      <c r="S811" s="64" t="str">
        <f>Ringkasan!S810</f>
        <v/>
      </c>
      <c r="T811" s="64" t="str">
        <f>Ringkasan!T810</f>
        <v/>
      </c>
      <c r="U811" s="64">
        <f>Ringkasan!U810</f>
        <v>1750</v>
      </c>
      <c r="V811" s="64">
        <f>Ringkasan!V810</f>
        <v>11.43</v>
      </c>
      <c r="W811" s="64">
        <f>Ringkasan!W810</f>
        <v>1885</v>
      </c>
      <c r="X811" s="64">
        <f>Ringkasan!X810</f>
        <v>1960</v>
      </c>
      <c r="Y811" s="64" t="str">
        <f>Ringkasan!Y810</f>
        <v/>
      </c>
      <c r="Z811" s="64">
        <f>Ringkasan!Z810</f>
        <v>26981900</v>
      </c>
      <c r="AA811" s="64" t="str">
        <f>Ringkasan!AA810</f>
        <v>Apparel &amp; Luxury Goods</v>
      </c>
      <c r="AB811" s="64" t="str">
        <f>Ringkasan!AB810</f>
        <v>Consumer Cyclicals</v>
      </c>
    </row>
    <row r="812" hidden="1">
      <c r="A812" s="64" t="str">
        <f>Ringkasan!A811</f>
        <v>HRTA</v>
      </c>
      <c r="B812" s="64" t="str">
        <f>Ringkasan!B811</f>
        <v>Hartadinata Abadi Tbk.</v>
      </c>
      <c r="C812" s="65">
        <f>Ringkasan!C811</f>
        <v>1950</v>
      </c>
      <c r="D812" s="64" t="str">
        <f>Ringkasan!D811</f>
        <v>#N/A</v>
      </c>
      <c r="E812" s="64" t="str">
        <f>Ringkasan!E811</f>
        <v>IDXQ30</v>
      </c>
      <c r="F812" s="64" t="str">
        <f>Ringkasan!F811</f>
        <v>4 Agustus 2026</v>
      </c>
      <c r="G812" s="64">
        <f>Ringkasan!G811</f>
        <v>8</v>
      </c>
      <c r="H812" s="19">
        <f>Ringkasan!H811</f>
        <v>9.1</v>
      </c>
      <c r="I812" s="19">
        <f>Ringkasan!I811</f>
        <v>3.1</v>
      </c>
      <c r="J812" s="19">
        <f>Ringkasan!J811</f>
        <v>34.5</v>
      </c>
      <c r="K812" s="19">
        <f>Ringkasan!K811</f>
        <v>9.2</v>
      </c>
      <c r="L812" s="19">
        <f>Ringkasan!L811</f>
        <v>2.8</v>
      </c>
      <c r="M812" s="19">
        <f>Ringkasan!M811</f>
        <v>6.3</v>
      </c>
      <c r="N812" s="64" t="str">
        <f>Ringkasan!N811</f>
        <v/>
      </c>
      <c r="O812" s="64" t="str">
        <f>Ringkasan!O811</f>
        <v/>
      </c>
      <c r="P812" s="64" t="str">
        <f>Ringkasan!P811</f>
        <v/>
      </c>
      <c r="Q812" s="64" t="str">
        <f>Ringkasan!Q811</f>
        <v/>
      </c>
      <c r="R812" s="64" t="str">
        <f>Ringkasan!R811</f>
        <v/>
      </c>
      <c r="S812" s="64" t="str">
        <f>Ringkasan!S811</f>
        <v/>
      </c>
      <c r="T812" s="64" t="str">
        <f>Ringkasan!T811</f>
        <v/>
      </c>
      <c r="U812" s="64">
        <f>Ringkasan!U811</f>
        <v>1750</v>
      </c>
      <c r="V812" s="64">
        <f>Ringkasan!V811</f>
        <v>11.43</v>
      </c>
      <c r="W812" s="64">
        <f>Ringkasan!W811</f>
        <v>1885</v>
      </c>
      <c r="X812" s="64">
        <f>Ringkasan!X811</f>
        <v>1960</v>
      </c>
      <c r="Y812" s="64" t="str">
        <f>Ringkasan!Y811</f>
        <v/>
      </c>
      <c r="Z812" s="64">
        <f>Ringkasan!Z811</f>
        <v>26981900</v>
      </c>
      <c r="AA812" s="64" t="str">
        <f>Ringkasan!AA811</f>
        <v>Apparel &amp; Luxury Goods</v>
      </c>
      <c r="AB812" s="64" t="str">
        <f>Ringkasan!AB811</f>
        <v>Consumer Cyclicals</v>
      </c>
    </row>
    <row r="813" hidden="1">
      <c r="A813" s="64" t="str">
        <f>Ringkasan!A799</f>
        <v>HILL</v>
      </c>
      <c r="B813" s="64" t="str">
        <f>Ringkasan!B799</f>
        <v>PT Hillcon Tbk</v>
      </c>
      <c r="C813" s="65">
        <f>Ringkasan!C799</f>
        <v>17</v>
      </c>
      <c r="D813" s="64" t="str">
        <f>Ringkasan!D799</f>
        <v>#N/A</v>
      </c>
      <c r="E813" s="64" t="str">
        <f>Ringkasan!E799</f>
        <v/>
      </c>
      <c r="F813" s="64" t="str">
        <f>Ringkasan!F799</f>
        <v/>
      </c>
      <c r="G813" s="64">
        <f>Ringkasan!G799</f>
        <v>0</v>
      </c>
      <c r="H813" s="19">
        <f>Ringkasan!H799</f>
        <v>-0.23</v>
      </c>
      <c r="I813" s="19">
        <f>Ringkasan!I799</f>
        <v>0.56</v>
      </c>
      <c r="J813" s="19">
        <f>Ringkasan!J799</f>
        <v>-250</v>
      </c>
      <c r="K813" s="19">
        <f>Ringkasan!K799</f>
        <v>-19.5</v>
      </c>
      <c r="L813" s="19">
        <f>Ringkasan!L799</f>
        <v>11.6</v>
      </c>
      <c r="M813" s="19">
        <f>Ringkasan!M799</f>
        <v>-29.8</v>
      </c>
      <c r="N813" s="64" t="str">
        <f>Ringkasan!N799</f>
        <v/>
      </c>
      <c r="O813" s="64" t="str">
        <f>Ringkasan!O799</f>
        <v/>
      </c>
      <c r="P813" s="64" t="str">
        <f>Ringkasan!P799</f>
        <v/>
      </c>
      <c r="Q813" s="64" t="str">
        <f>Ringkasan!Q799</f>
        <v/>
      </c>
      <c r="R813" s="64" t="str">
        <f>Ringkasan!R799</f>
        <v/>
      </c>
      <c r="S813" s="64" t="str">
        <f>Ringkasan!S799</f>
        <v/>
      </c>
      <c r="T813" s="64" t="str">
        <f>Ringkasan!T799</f>
        <v/>
      </c>
      <c r="U813" s="64">
        <f>Ringkasan!U799</f>
        <v>16</v>
      </c>
      <c r="V813" s="64">
        <f>Ringkasan!V799</f>
        <v>6.25</v>
      </c>
      <c r="W813" s="64">
        <f>Ringkasan!W799</f>
        <v>17</v>
      </c>
      <c r="X813" s="64">
        <f>Ringkasan!X799</f>
        <v>17</v>
      </c>
      <c r="Y813" s="64">
        <f>Ringkasan!Y799</f>
        <v>17</v>
      </c>
      <c r="Z813" s="64">
        <f>Ringkasan!Z799</f>
        <v>17960300</v>
      </c>
      <c r="AA813" s="64" t="str">
        <f>Ringkasan!AA799</f>
        <v>Oil, Gas &amp; Coal Supports</v>
      </c>
      <c r="AB813" s="64" t="str">
        <f>Ringkasan!AB799</f>
        <v>Energy</v>
      </c>
    </row>
    <row r="814" hidden="1">
      <c r="A814" s="64" t="str">
        <f>Ringkasan!A813</f>
        <v>HRTA</v>
      </c>
      <c r="B814" s="64" t="str">
        <f>Ringkasan!B813</f>
        <v>Hartadinata Abadi Tbk.</v>
      </c>
      <c r="C814" s="65">
        <f>Ringkasan!C813</f>
        <v>1950</v>
      </c>
      <c r="D814" s="64" t="str">
        <f>Ringkasan!D813</f>
        <v>#N/A</v>
      </c>
      <c r="E814" s="64" t="str">
        <f>Ringkasan!E813</f>
        <v>IDX80</v>
      </c>
      <c r="F814" s="64" t="str">
        <f>Ringkasan!F813</f>
        <v>31 Juli 2026</v>
      </c>
      <c r="G814" s="64">
        <f>Ringkasan!G813</f>
        <v>8</v>
      </c>
      <c r="H814" s="19">
        <f>Ringkasan!H813</f>
        <v>9.1</v>
      </c>
      <c r="I814" s="19">
        <f>Ringkasan!I813</f>
        <v>3.1</v>
      </c>
      <c r="J814" s="19">
        <f>Ringkasan!J813</f>
        <v>34.5</v>
      </c>
      <c r="K814" s="19">
        <f>Ringkasan!K813</f>
        <v>9.2</v>
      </c>
      <c r="L814" s="19">
        <f>Ringkasan!L813</f>
        <v>2.8</v>
      </c>
      <c r="M814" s="19">
        <f>Ringkasan!M813</f>
        <v>6.3</v>
      </c>
      <c r="N814" s="64" t="str">
        <f>Ringkasan!N813</f>
        <v/>
      </c>
      <c r="O814" s="64" t="str">
        <f>Ringkasan!O813</f>
        <v/>
      </c>
      <c r="P814" s="64" t="str">
        <f>Ringkasan!P813</f>
        <v/>
      </c>
      <c r="Q814" s="64" t="str">
        <f>Ringkasan!Q813</f>
        <v/>
      </c>
      <c r="R814" s="64" t="str">
        <f>Ringkasan!R813</f>
        <v/>
      </c>
      <c r="S814" s="64" t="str">
        <f>Ringkasan!S813</f>
        <v/>
      </c>
      <c r="T814" s="64" t="str">
        <f>Ringkasan!T813</f>
        <v/>
      </c>
      <c r="U814" s="64">
        <f>Ringkasan!U813</f>
        <v>1750</v>
      </c>
      <c r="V814" s="64">
        <f>Ringkasan!V813</f>
        <v>11.43</v>
      </c>
      <c r="W814" s="64">
        <f>Ringkasan!W813</f>
        <v>1885</v>
      </c>
      <c r="X814" s="64">
        <f>Ringkasan!X813</f>
        <v>1960</v>
      </c>
      <c r="Y814" s="64" t="str">
        <f>Ringkasan!Y813</f>
        <v/>
      </c>
      <c r="Z814" s="64">
        <f>Ringkasan!Z813</f>
        <v>26981900</v>
      </c>
      <c r="AA814" s="64" t="str">
        <f>Ringkasan!AA813</f>
        <v>Apparel &amp; Luxury Goods</v>
      </c>
      <c r="AB814" s="64" t="str">
        <f>Ringkasan!AB813</f>
        <v>Consumer Cyclicals</v>
      </c>
    </row>
    <row r="815" hidden="1">
      <c r="A815" s="64" t="str">
        <f>Ringkasan!A97</f>
        <v>AMMN</v>
      </c>
      <c r="B815" s="64" t="str">
        <f>Ringkasan!B97</f>
        <v>PT Amman Mineral Internasional Tbk.</v>
      </c>
      <c r="C815" s="65">
        <f>Ringkasan!C97</f>
        <v>3450</v>
      </c>
      <c r="D815" s="64" t="str">
        <f>Ringkasan!D97</f>
        <v>#N/A</v>
      </c>
      <c r="E815" s="64" t="str">
        <f>Ringkasan!E97</f>
        <v>Kompas100</v>
      </c>
      <c r="F815" s="64" t="str">
        <f>Ringkasan!F97</f>
        <v>31 Juli 2026</v>
      </c>
      <c r="G815" s="64">
        <f>Ringkasan!G97</f>
        <v>5</v>
      </c>
      <c r="H815" s="19">
        <f>Ringkasan!H97</f>
        <v>26</v>
      </c>
      <c r="I815" s="19">
        <f>Ringkasan!I97</f>
        <v>2.5</v>
      </c>
      <c r="J815" s="19">
        <f>Ringkasan!J97</f>
        <v>9.7</v>
      </c>
      <c r="K815" s="19">
        <f>Ringkasan!K97</f>
        <v>3.9</v>
      </c>
      <c r="L815" s="19">
        <f>Ringkasan!L97</f>
        <v>1.5</v>
      </c>
      <c r="M815" s="19">
        <f>Ringkasan!M97</f>
        <v>67</v>
      </c>
      <c r="N815" s="64" t="str">
        <f>Ringkasan!N97</f>
        <v/>
      </c>
      <c r="O815" s="64" t="str">
        <f>Ringkasan!O97</f>
        <v/>
      </c>
      <c r="P815" s="64" t="str">
        <f>Ringkasan!P97</f>
        <v/>
      </c>
      <c r="Q815" s="64" t="str">
        <f>Ringkasan!Q97</f>
        <v/>
      </c>
      <c r="R815" s="64" t="str">
        <f>Ringkasan!R97</f>
        <v/>
      </c>
      <c r="S815" s="64" t="str">
        <f>Ringkasan!S97</f>
        <v/>
      </c>
      <c r="T815" s="64" t="str">
        <f>Ringkasan!T97</f>
        <v/>
      </c>
      <c r="U815" s="64">
        <f>Ringkasan!U97</f>
        <v>3060</v>
      </c>
      <c r="V815" s="64">
        <f>Ringkasan!V97</f>
        <v>12.75</v>
      </c>
      <c r="W815" s="64">
        <f>Ringkasan!W97</f>
        <v>3150</v>
      </c>
      <c r="X815" s="64">
        <f>Ringkasan!X97</f>
        <v>3540</v>
      </c>
      <c r="Y815" s="64">
        <f>Ringkasan!Y97</f>
        <v>3110</v>
      </c>
      <c r="Z815" s="64">
        <f>Ringkasan!Z97</f>
        <v>170357600</v>
      </c>
      <c r="AA815" s="64" t="str">
        <f>Ringkasan!AA97</f>
        <v>Metals &amp; Minerals</v>
      </c>
      <c r="AB815" s="64" t="str">
        <f>Ringkasan!AB97</f>
        <v>Basic Materials</v>
      </c>
    </row>
    <row r="816" hidden="1">
      <c r="A816" s="64" t="str">
        <f>Ringkasan!A815</f>
        <v>HRTA</v>
      </c>
      <c r="B816" s="64" t="str">
        <f>Ringkasan!B815</f>
        <v>Hartadinata Abadi Tbk.</v>
      </c>
      <c r="C816" s="65">
        <f>Ringkasan!C815</f>
        <v>1950</v>
      </c>
      <c r="D816" s="64" t="str">
        <f>Ringkasan!D815</f>
        <v>#N/A</v>
      </c>
      <c r="E816" s="64" t="str">
        <f>Ringkasan!E815</f>
        <v>Pefindo - iGrade</v>
      </c>
      <c r="F816" s="64" t="str">
        <f>Ringkasan!F815</f>
        <v>30 Juni 2026</v>
      </c>
      <c r="G816" s="64">
        <f>Ringkasan!G815</f>
        <v>8</v>
      </c>
      <c r="H816" s="19">
        <f>Ringkasan!H815</f>
        <v>9.1</v>
      </c>
      <c r="I816" s="19">
        <f>Ringkasan!I815</f>
        <v>3.1</v>
      </c>
      <c r="J816" s="19">
        <f>Ringkasan!J815</f>
        <v>34.5</v>
      </c>
      <c r="K816" s="19">
        <f>Ringkasan!K815</f>
        <v>9.2</v>
      </c>
      <c r="L816" s="19">
        <f>Ringkasan!L815</f>
        <v>2.8</v>
      </c>
      <c r="M816" s="19">
        <f>Ringkasan!M815</f>
        <v>6.3</v>
      </c>
      <c r="N816" s="64" t="str">
        <f>Ringkasan!N815</f>
        <v/>
      </c>
      <c r="O816" s="64" t="str">
        <f>Ringkasan!O815</f>
        <v/>
      </c>
      <c r="P816" s="64" t="str">
        <f>Ringkasan!P815</f>
        <v/>
      </c>
      <c r="Q816" s="64" t="str">
        <f>Ringkasan!Q815</f>
        <v/>
      </c>
      <c r="R816" s="64" t="str">
        <f>Ringkasan!R815</f>
        <v/>
      </c>
      <c r="S816" s="64" t="str">
        <f>Ringkasan!S815</f>
        <v/>
      </c>
      <c r="T816" s="64" t="str">
        <f>Ringkasan!T815</f>
        <v/>
      </c>
      <c r="U816" s="64">
        <f>Ringkasan!U815</f>
        <v>1750</v>
      </c>
      <c r="V816" s="64">
        <f>Ringkasan!V815</f>
        <v>11.43</v>
      </c>
      <c r="W816" s="64">
        <f>Ringkasan!W815</f>
        <v>1885</v>
      </c>
      <c r="X816" s="64">
        <f>Ringkasan!X815</f>
        <v>1960</v>
      </c>
      <c r="Y816" s="64" t="str">
        <f>Ringkasan!Y815</f>
        <v/>
      </c>
      <c r="Z816" s="64">
        <f>Ringkasan!Z815</f>
        <v>26981900</v>
      </c>
      <c r="AA816" s="64" t="str">
        <f>Ringkasan!AA815</f>
        <v>Apparel &amp; Luxury Goods</v>
      </c>
      <c r="AB816" s="64" t="str">
        <f>Ringkasan!AB815</f>
        <v>Consumer Cyclicals</v>
      </c>
    </row>
    <row r="817" hidden="1">
      <c r="A817" s="64" t="str">
        <f>Ringkasan!A148</f>
        <v>ARKO</v>
      </c>
      <c r="B817" s="64" t="str">
        <f>Ringkasan!B148</f>
        <v>Arkora Hydro Tbk.</v>
      </c>
      <c r="C817" s="65">
        <f>Ringkasan!C148</f>
        <v>5375</v>
      </c>
      <c r="D817" s="64" t="str">
        <f>Ringkasan!D148</f>
        <v>#N/A</v>
      </c>
      <c r="E817" s="64" t="str">
        <f>Ringkasan!E148</f>
        <v/>
      </c>
      <c r="F817" s="64" t="str">
        <f>Ringkasan!F148</f>
        <v/>
      </c>
      <c r="G817" s="64">
        <f>Ringkasan!G148</f>
        <v>0</v>
      </c>
      <c r="H817" s="19">
        <f>Ringkasan!H148</f>
        <v>300</v>
      </c>
      <c r="I817" s="19">
        <f>Ringkasan!I148</f>
        <v>33.6</v>
      </c>
      <c r="J817" s="19">
        <f>Ringkasan!J148</f>
        <v>11.3</v>
      </c>
      <c r="K817" s="19">
        <f>Ringkasan!K148</f>
        <v>3.5</v>
      </c>
      <c r="L817" s="19">
        <f>Ringkasan!L148</f>
        <v>2.2</v>
      </c>
      <c r="M817" s="19">
        <f>Ringkasan!M148</f>
        <v>88.3</v>
      </c>
      <c r="N817" s="64" t="str">
        <f>Ringkasan!N148</f>
        <v/>
      </c>
      <c r="O817" s="64" t="str">
        <f>Ringkasan!O148</f>
        <v/>
      </c>
      <c r="P817" s="64" t="str">
        <f>Ringkasan!P148</f>
        <v/>
      </c>
      <c r="Q817" s="64" t="str">
        <f>Ringkasan!Q148</f>
        <v/>
      </c>
      <c r="R817" s="64" t="str">
        <f>Ringkasan!R148</f>
        <v/>
      </c>
      <c r="S817" s="64" t="str">
        <f>Ringkasan!S148</f>
        <v/>
      </c>
      <c r="T817" s="64" t="str">
        <f>Ringkasan!T148</f>
        <v/>
      </c>
      <c r="U817" s="64">
        <f>Ringkasan!U148</f>
        <v>8.64</v>
      </c>
      <c r="V817" s="64">
        <f>Ringkasan!V148</f>
        <v>-0.12</v>
      </c>
      <c r="W817" s="64">
        <f>Ringkasan!W148</f>
        <v>8.67</v>
      </c>
      <c r="X817" s="64">
        <f>Ringkasan!X148</f>
        <v>8.76</v>
      </c>
      <c r="Y817" s="64">
        <f>Ringkasan!Y148</f>
        <v>8.38</v>
      </c>
      <c r="Z817" s="64">
        <f>Ringkasan!Z148</f>
        <v>664190</v>
      </c>
      <c r="AA817" s="64" t="str">
        <f>Ringkasan!AA148</f>
        <v>Electric Utilities</v>
      </c>
      <c r="AB817" s="64" t="str">
        <f>Ringkasan!AB148</f>
        <v>Infrastructures</v>
      </c>
    </row>
    <row r="818" hidden="1">
      <c r="A818" s="64" t="str">
        <f>Ringkasan!A817</f>
        <v>HRTA</v>
      </c>
      <c r="B818" s="64" t="str">
        <f>Ringkasan!B817</f>
        <v>Hartadinata Abadi Tbk.</v>
      </c>
      <c r="C818" s="65">
        <f>Ringkasan!C817</f>
        <v>1950</v>
      </c>
      <c r="D818" s="64" t="str">
        <f>Ringkasan!D817</f>
        <v>#N/A</v>
      </c>
      <c r="E818" s="64" t="str">
        <f>Ringkasan!E817</f>
        <v>JII70</v>
      </c>
      <c r="F818" s="66">
        <f>Ringkasan!F817</f>
        <v>46356</v>
      </c>
      <c r="G818" s="65">
        <f>Ringkasan!G817</f>
        <v>8</v>
      </c>
      <c r="H818" s="19">
        <f>Ringkasan!H817</f>
        <v>9.1</v>
      </c>
      <c r="I818" s="19">
        <f>Ringkasan!I817</f>
        <v>3.1</v>
      </c>
      <c r="J818" s="19">
        <f>Ringkasan!J817</f>
        <v>34.5</v>
      </c>
      <c r="K818" s="19">
        <f>Ringkasan!K817</f>
        <v>9.2</v>
      </c>
      <c r="L818" s="19">
        <f>Ringkasan!L817</f>
        <v>2.8</v>
      </c>
      <c r="M818" s="19">
        <f>Ringkasan!M817</f>
        <v>6.3</v>
      </c>
      <c r="N818" s="64" t="str">
        <f>Ringkasan!N817</f>
        <v/>
      </c>
      <c r="O818" s="64" t="str">
        <f>Ringkasan!O817</f>
        <v/>
      </c>
      <c r="P818" s="64" t="str">
        <f>Ringkasan!P817</f>
        <v/>
      </c>
      <c r="Q818" s="64" t="str">
        <f>Ringkasan!Q817</f>
        <v/>
      </c>
      <c r="R818" s="64" t="str">
        <f>Ringkasan!R817</f>
        <v/>
      </c>
      <c r="S818" s="64" t="str">
        <f>Ringkasan!S817</f>
        <v/>
      </c>
      <c r="T818" s="64" t="str">
        <f>Ringkasan!T817</f>
        <v/>
      </c>
      <c r="U818" s="64">
        <f>Ringkasan!U817</f>
        <v>1750</v>
      </c>
      <c r="V818" s="64">
        <f>Ringkasan!V817</f>
        <v>11.43</v>
      </c>
      <c r="W818" s="64">
        <f>Ringkasan!W817</f>
        <v>1885</v>
      </c>
      <c r="X818" s="64">
        <f>Ringkasan!X817</f>
        <v>1960</v>
      </c>
      <c r="Y818" s="64" t="str">
        <f>Ringkasan!Y817</f>
        <v/>
      </c>
      <c r="Z818" s="64">
        <f>Ringkasan!Z817</f>
        <v>26981900</v>
      </c>
      <c r="AA818" s="64" t="str">
        <f>Ringkasan!AA817</f>
        <v>Apparel &amp; Luxury Goods</v>
      </c>
      <c r="AB818" s="64" t="str">
        <f>Ringkasan!AB817</f>
        <v>Consumer Cyclicals</v>
      </c>
    </row>
    <row r="819" hidden="1">
      <c r="A819" s="64" t="str">
        <f>Ringkasan!A818</f>
        <v>HRUM</v>
      </c>
      <c r="B819" s="64" t="str">
        <f>Ringkasan!B818</f>
        <v>Harum Energy Tbk.</v>
      </c>
      <c r="C819" s="65">
        <f>Ringkasan!C818</f>
        <v>785</v>
      </c>
      <c r="D819" s="64" t="str">
        <f>Ringkasan!D818</f>
        <v>#N/A</v>
      </c>
      <c r="E819" s="64" t="str">
        <f>Ringkasan!E818</f>
        <v>IDXSHAGROW</v>
      </c>
      <c r="F819" s="66">
        <f>Ringkasan!F818</f>
        <v>46356</v>
      </c>
      <c r="G819" s="64">
        <f>Ringkasan!G818</f>
        <v>5</v>
      </c>
      <c r="H819" s="19">
        <f>Ringkasan!H818</f>
        <v>15.5</v>
      </c>
      <c r="I819" s="19">
        <f>Ringkasan!I818</f>
        <v>0.34</v>
      </c>
      <c r="J819" s="19">
        <f>Ringkasan!J818</f>
        <v>2.2</v>
      </c>
      <c r="K819" s="19">
        <f>Ringkasan!K818</f>
        <v>1.1</v>
      </c>
      <c r="L819" s="19">
        <f>Ringkasan!L818</f>
        <v>1</v>
      </c>
      <c r="M819" s="19">
        <f>Ringkasan!M818</f>
        <v>11.7</v>
      </c>
      <c r="N819" s="64" t="str">
        <f>Ringkasan!N818</f>
        <v/>
      </c>
      <c r="O819" s="64" t="str">
        <f>Ringkasan!O818</f>
        <v/>
      </c>
      <c r="P819" s="64" t="str">
        <f>Ringkasan!P818</f>
        <v/>
      </c>
      <c r="Q819" s="64" t="str">
        <f>Ringkasan!Q818</f>
        <v/>
      </c>
      <c r="R819" s="64" t="str">
        <f>Ringkasan!R818</f>
        <v/>
      </c>
      <c r="S819" s="64" t="str">
        <f>Ringkasan!S818</f>
        <v/>
      </c>
      <c r="T819" s="64" t="str">
        <f>Ringkasan!T818</f>
        <v/>
      </c>
      <c r="U819" s="64">
        <f>Ringkasan!U818</f>
        <v>710</v>
      </c>
      <c r="V819" s="64" t="str">
        <f>Ringkasan!V818</f>
        <v/>
      </c>
      <c r="W819" s="64">
        <f>Ringkasan!W818</f>
        <v>730</v>
      </c>
      <c r="X819" s="64">
        <f>Ringkasan!X818</f>
        <v>800</v>
      </c>
      <c r="Y819" s="64" t="str">
        <f>Ringkasan!Y818</f>
        <v/>
      </c>
      <c r="Z819" s="64">
        <f>Ringkasan!Z818</f>
        <v>18631700</v>
      </c>
      <c r="AA819" s="64" t="str">
        <f>Ringkasan!AA818</f>
        <v>Coal</v>
      </c>
      <c r="AB819" s="64" t="str">
        <f>Ringkasan!AB818</f>
        <v>Energy</v>
      </c>
    </row>
    <row r="820" hidden="1">
      <c r="A820" s="64" t="str">
        <f>Ringkasan!A819</f>
        <v>HRUM</v>
      </c>
      <c r="B820" s="64" t="str">
        <f>Ringkasan!B819</f>
        <v>Harum Energy Tbk.</v>
      </c>
      <c r="C820" s="65">
        <f>Ringkasan!C819</f>
        <v>785</v>
      </c>
      <c r="D820" s="64" t="str">
        <f>Ringkasan!D819</f>
        <v>#N/A</v>
      </c>
      <c r="E820" s="64" t="str">
        <f>Ringkasan!E819</f>
        <v>IDX80</v>
      </c>
      <c r="F820" s="64" t="str">
        <f>Ringkasan!F819</f>
        <v>31 Juli 2026</v>
      </c>
      <c r="G820" s="64">
        <f>Ringkasan!G819</f>
        <v>5</v>
      </c>
      <c r="H820" s="19">
        <f>Ringkasan!H819</f>
        <v>15.5</v>
      </c>
      <c r="I820" s="19">
        <f>Ringkasan!I819</f>
        <v>0.34</v>
      </c>
      <c r="J820" s="19">
        <f>Ringkasan!J819</f>
        <v>2.2</v>
      </c>
      <c r="K820" s="19">
        <f>Ringkasan!K819</f>
        <v>1.1</v>
      </c>
      <c r="L820" s="19">
        <f>Ringkasan!L819</f>
        <v>1</v>
      </c>
      <c r="M820" s="19">
        <f>Ringkasan!M819</f>
        <v>11.7</v>
      </c>
      <c r="N820" s="64" t="str">
        <f>Ringkasan!N819</f>
        <v/>
      </c>
      <c r="O820" s="64" t="str">
        <f>Ringkasan!O819</f>
        <v/>
      </c>
      <c r="P820" s="64" t="str">
        <f>Ringkasan!P819</f>
        <v/>
      </c>
      <c r="Q820" s="64" t="str">
        <f>Ringkasan!Q819</f>
        <v/>
      </c>
      <c r="R820" s="64" t="str">
        <f>Ringkasan!R819</f>
        <v/>
      </c>
      <c r="S820" s="64" t="str">
        <f>Ringkasan!S819</f>
        <v/>
      </c>
      <c r="T820" s="64" t="str">
        <f>Ringkasan!T819</f>
        <v/>
      </c>
      <c r="U820" s="64">
        <f>Ringkasan!U819</f>
        <v>710</v>
      </c>
      <c r="V820" s="64" t="str">
        <f>Ringkasan!V819</f>
        <v/>
      </c>
      <c r="W820" s="64">
        <f>Ringkasan!W819</f>
        <v>730</v>
      </c>
      <c r="X820" s="64">
        <f>Ringkasan!X819</f>
        <v>800</v>
      </c>
      <c r="Y820" s="64" t="str">
        <f>Ringkasan!Y819</f>
        <v/>
      </c>
      <c r="Z820" s="64">
        <f>Ringkasan!Z819</f>
        <v>18631700</v>
      </c>
      <c r="AA820" s="64" t="str">
        <f>Ringkasan!AA819</f>
        <v>Coal</v>
      </c>
      <c r="AB820" s="64" t="str">
        <f>Ringkasan!AB819</f>
        <v>Energy</v>
      </c>
    </row>
    <row r="821" hidden="1">
      <c r="A821" s="64" t="str">
        <f>Ringkasan!A820</f>
        <v>HRUM</v>
      </c>
      <c r="B821" s="64" t="str">
        <f>Ringkasan!B820</f>
        <v>Harum Energy Tbk.</v>
      </c>
      <c r="C821" s="65">
        <f>Ringkasan!C820</f>
        <v>785</v>
      </c>
      <c r="D821" s="64" t="str">
        <f>Ringkasan!D820</f>
        <v>#N/A</v>
      </c>
      <c r="E821" s="64" t="str">
        <f>Ringkasan!E820</f>
        <v>Kompas100</v>
      </c>
      <c r="F821" s="64" t="str">
        <f>Ringkasan!F820</f>
        <v>31 Juli 2026</v>
      </c>
      <c r="G821" s="64">
        <f>Ringkasan!G820</f>
        <v>5</v>
      </c>
      <c r="H821" s="19">
        <f>Ringkasan!H820</f>
        <v>15.5</v>
      </c>
      <c r="I821" s="19">
        <f>Ringkasan!I820</f>
        <v>0.34</v>
      </c>
      <c r="J821" s="19">
        <f>Ringkasan!J820</f>
        <v>2.2</v>
      </c>
      <c r="K821" s="19">
        <f>Ringkasan!K820</f>
        <v>1.1</v>
      </c>
      <c r="L821" s="19">
        <f>Ringkasan!L820</f>
        <v>1</v>
      </c>
      <c r="M821" s="19">
        <f>Ringkasan!M820</f>
        <v>11.7</v>
      </c>
      <c r="N821" s="64" t="str">
        <f>Ringkasan!N820</f>
        <v/>
      </c>
      <c r="O821" s="64" t="str">
        <f>Ringkasan!O820</f>
        <v/>
      </c>
      <c r="P821" s="64" t="str">
        <f>Ringkasan!P820</f>
        <v/>
      </c>
      <c r="Q821" s="64" t="str">
        <f>Ringkasan!Q820</f>
        <v/>
      </c>
      <c r="R821" s="64" t="str">
        <f>Ringkasan!R820</f>
        <v/>
      </c>
      <c r="S821" s="64" t="str">
        <f>Ringkasan!S820</f>
        <v/>
      </c>
      <c r="T821" s="64" t="str">
        <f>Ringkasan!T820</f>
        <v/>
      </c>
      <c r="U821" s="64">
        <f>Ringkasan!U820</f>
        <v>710</v>
      </c>
      <c r="V821" s="64" t="str">
        <f>Ringkasan!V820</f>
        <v/>
      </c>
      <c r="W821" s="64">
        <f>Ringkasan!W820</f>
        <v>730</v>
      </c>
      <c r="X821" s="64">
        <f>Ringkasan!X820</f>
        <v>800</v>
      </c>
      <c r="Y821" s="64" t="str">
        <f>Ringkasan!Y820</f>
        <v/>
      </c>
      <c r="Z821" s="64">
        <f>Ringkasan!Z820</f>
        <v>18631700</v>
      </c>
      <c r="AA821" s="64" t="str">
        <f>Ringkasan!AA820</f>
        <v>Coal</v>
      </c>
      <c r="AB821" s="64" t="str">
        <f>Ringkasan!AB820</f>
        <v>Energy</v>
      </c>
    </row>
    <row r="822" hidden="1">
      <c r="A822" s="64" t="str">
        <f>Ringkasan!A1167</f>
        <v>MCAS</v>
      </c>
      <c r="B822" s="64" t="str">
        <f>Ringkasan!B1167</f>
        <v>M Cash Integrasi Tbk.</v>
      </c>
      <c r="C822" s="61">
        <f>Ringkasan!C1167</f>
        <v>194</v>
      </c>
      <c r="D822" s="60" t="str">
        <f>Ringkasan!D1167</f>
        <v>#N/A</v>
      </c>
      <c r="E822" s="60" t="str">
        <f>Ringkasan!E1167</f>
        <v/>
      </c>
      <c r="F822" s="60" t="str">
        <f>Ringkasan!F1167</f>
        <v/>
      </c>
      <c r="G822" s="60">
        <f>Ringkasan!G1167</f>
        <v>0</v>
      </c>
      <c r="H822" s="62">
        <f>Ringkasan!H1167</f>
        <v>-4.9</v>
      </c>
      <c r="I822" s="62">
        <f>Ringkasan!I1167</f>
        <v>0.2</v>
      </c>
      <c r="J822" s="62">
        <f>Ringkasan!J1167</f>
        <v>-4.2</v>
      </c>
      <c r="K822" s="62">
        <f>Ringkasan!K1167</f>
        <v>-2.4</v>
      </c>
      <c r="L822" s="62">
        <f>Ringkasan!L1167</f>
        <v>0.75</v>
      </c>
      <c r="M822" s="62">
        <f>Ringkasan!M1167</f>
        <v>-5.3</v>
      </c>
      <c r="N822" s="60" t="str">
        <f>Ringkasan!N1167</f>
        <v/>
      </c>
      <c r="O822" s="60" t="str">
        <f>Ringkasan!O1167</f>
        <v/>
      </c>
      <c r="P822" s="60" t="str">
        <f>Ringkasan!P1167</f>
        <v/>
      </c>
      <c r="Q822" s="60" t="str">
        <f>Ringkasan!Q1167</f>
        <v/>
      </c>
      <c r="R822" s="60" t="str">
        <f>Ringkasan!R1167</f>
        <v/>
      </c>
      <c r="S822" s="60" t="str">
        <f>Ringkasan!S1167</f>
        <v/>
      </c>
      <c r="T822" s="60" t="str">
        <f>Ringkasan!T1167</f>
        <v/>
      </c>
      <c r="U822" s="60">
        <f>Ringkasan!U1167</f>
        <v>180</v>
      </c>
      <c r="V822" s="60">
        <f>Ringkasan!V1167</f>
        <v>7.78</v>
      </c>
      <c r="W822" s="60">
        <f>Ringkasan!W1167</f>
        <v>180</v>
      </c>
      <c r="X822" s="60">
        <f>Ringkasan!X1167</f>
        <v>195</v>
      </c>
      <c r="Y822" s="60">
        <f>Ringkasan!Y1167</f>
        <v>179</v>
      </c>
      <c r="Z822" s="60">
        <f>Ringkasan!Z1167</f>
        <v>512000</v>
      </c>
      <c r="AA822" s="60" t="str">
        <f>Ringkasan!AA1167</f>
        <v>Online Applications &amp; Services</v>
      </c>
      <c r="AB822" s="64" t="str">
        <f>Ringkasan!AB1167</f>
        <v>Technology</v>
      </c>
    </row>
    <row r="823" hidden="1">
      <c r="A823" s="64" t="str">
        <f>Ringkasan!A1530</f>
        <v>SAPX</v>
      </c>
      <c r="B823" s="64" t="str">
        <f>Ringkasan!B1530</f>
        <v>Satria Antaran Prima Tbk.</v>
      </c>
      <c r="C823" s="61">
        <f>Ringkasan!C1530</f>
        <v>216</v>
      </c>
      <c r="D823" s="60" t="str">
        <f>Ringkasan!D1530</f>
        <v>#N/A</v>
      </c>
      <c r="E823" s="60" t="str">
        <f>Ringkasan!E1530</f>
        <v/>
      </c>
      <c r="F823" s="60" t="str">
        <f>Ringkasan!F1530</f>
        <v/>
      </c>
      <c r="G823" s="60">
        <f>Ringkasan!G1530</f>
        <v>0</v>
      </c>
      <c r="H823" s="62">
        <f>Ringkasan!H1530</f>
        <v>150</v>
      </c>
      <c r="I823" s="62">
        <f>Ringkasan!I1530</f>
        <v>0.79</v>
      </c>
      <c r="J823" s="62">
        <f>Ringkasan!J1530</f>
        <v>0.53</v>
      </c>
      <c r="K823" s="62">
        <f>Ringkasan!K1530</f>
        <v>0.26</v>
      </c>
      <c r="L823" s="62">
        <f>Ringkasan!L1530</f>
        <v>1</v>
      </c>
      <c r="M823" s="62">
        <f>Ringkasan!M1530</f>
        <v>0.99</v>
      </c>
      <c r="N823" s="60" t="str">
        <f>Ringkasan!N1530</f>
        <v/>
      </c>
      <c r="O823" s="60" t="str">
        <f>Ringkasan!O1530</f>
        <v/>
      </c>
      <c r="P823" s="60" t="str">
        <f>Ringkasan!P1530</f>
        <v/>
      </c>
      <c r="Q823" s="60" t="str">
        <f>Ringkasan!Q1530</f>
        <v/>
      </c>
      <c r="R823" s="60" t="str">
        <f>Ringkasan!R1530</f>
        <v/>
      </c>
      <c r="S823" s="60" t="str">
        <f>Ringkasan!S1530</f>
        <v/>
      </c>
      <c r="T823" s="60" t="str">
        <f>Ringkasan!T1530</f>
        <v/>
      </c>
      <c r="U823" s="60">
        <f>Ringkasan!U1530</f>
        <v>0</v>
      </c>
      <c r="V823" s="60">
        <f>Ringkasan!V1530</f>
        <v>0</v>
      </c>
      <c r="W823" s="60" t="str">
        <f>Ringkasan!W1530</f>
        <v/>
      </c>
      <c r="X823" s="60" t="str">
        <f>Ringkasan!X1530</f>
        <v/>
      </c>
      <c r="Y823" s="60" t="str">
        <f>Ringkasan!Y1530</f>
        <v/>
      </c>
      <c r="Z823" s="60">
        <f>Ringkasan!Z1530</f>
        <v>0</v>
      </c>
      <c r="AA823" s="60" t="str">
        <f>Ringkasan!AA1530</f>
        <v>Logistics &amp; Deliveries</v>
      </c>
      <c r="AB823" s="64" t="str">
        <f>Ringkasan!AB1530</f>
        <v>Transportation &amp; Logistic</v>
      </c>
    </row>
    <row r="824" hidden="1">
      <c r="A824" s="64" t="str">
        <f>Ringkasan!A57</f>
        <v>AEGS</v>
      </c>
      <c r="B824" s="64" t="str">
        <f>Ringkasan!B57</f>
        <v>PT Anugerah Spareparts Sejahtera Tbk.</v>
      </c>
      <c r="C824" s="65">
        <f>Ringkasan!C57</f>
        <v>40</v>
      </c>
      <c r="D824" s="64" t="str">
        <f>Ringkasan!D57</f>
        <v>#N/A</v>
      </c>
      <c r="E824" s="64" t="str">
        <f>Ringkasan!E57</f>
        <v/>
      </c>
      <c r="F824" s="64" t="str">
        <f>Ringkasan!F57</f>
        <v/>
      </c>
      <c r="G824" s="64">
        <f>Ringkasan!G57</f>
        <v>0</v>
      </c>
      <c r="H824" s="19">
        <f>Ringkasan!H57</f>
        <v>190</v>
      </c>
      <c r="I824" s="19">
        <f>Ringkasan!I57</f>
        <v>0.7</v>
      </c>
      <c r="J824" s="19">
        <f>Ringkasan!J57</f>
        <v>0.37</v>
      </c>
      <c r="K824" s="19">
        <f>Ringkasan!K57</f>
        <v>0.35</v>
      </c>
      <c r="L824" s="19">
        <f>Ringkasan!L57</f>
        <v>0.06</v>
      </c>
      <c r="M824" s="19">
        <f>Ringkasan!M57</f>
        <v>1</v>
      </c>
      <c r="N824" s="64" t="str">
        <f>Ringkasan!N57</f>
        <v/>
      </c>
      <c r="O824" s="64" t="str">
        <f>Ringkasan!O57</f>
        <v/>
      </c>
      <c r="P824" s="64" t="str">
        <f>Ringkasan!P57</f>
        <v/>
      </c>
      <c r="Q824" s="64" t="str">
        <f>Ringkasan!Q57</f>
        <v/>
      </c>
      <c r="R824" s="64" t="str">
        <f>Ringkasan!R57</f>
        <v/>
      </c>
      <c r="S824" s="64" t="str">
        <f>Ringkasan!S57</f>
        <v/>
      </c>
      <c r="T824" s="64" t="str">
        <f>Ringkasan!T57</f>
        <v/>
      </c>
      <c r="U824" s="64">
        <f>Ringkasan!U57</f>
        <v>39</v>
      </c>
      <c r="V824" s="64">
        <f>Ringkasan!V57</f>
        <v>2.56</v>
      </c>
      <c r="W824" s="64">
        <f>Ringkasan!W57</f>
        <v>39</v>
      </c>
      <c r="X824" s="64">
        <f>Ringkasan!X57</f>
        <v>41</v>
      </c>
      <c r="Y824" s="64">
        <f>Ringkasan!Y57</f>
        <v>39</v>
      </c>
      <c r="Z824" s="64">
        <f>Ringkasan!Z57</f>
        <v>1070500</v>
      </c>
      <c r="AA824" s="64" t="str">
        <f>Ringkasan!AA57</f>
        <v>Auto Components</v>
      </c>
      <c r="AB824" s="64" t="str">
        <f>Ringkasan!AB57</f>
        <v>Consumer Cyclicals</v>
      </c>
    </row>
    <row r="825">
      <c r="A825" s="60" t="str">
        <f>Ringkasan!A992</f>
        <v>JPFA</v>
      </c>
      <c r="B825" s="60" t="str">
        <f>Ringkasan!B992</f>
        <v>Japfa Comfeed Indonesia Tbk.</v>
      </c>
      <c r="C825" s="61">
        <f>Ringkasan!C992</f>
        <v>1905</v>
      </c>
      <c r="D825" s="60" t="str">
        <f>Ringkasan!D992</f>
        <v>#N/A</v>
      </c>
      <c r="E825" s="60" t="str">
        <f>Ringkasan!E992</f>
        <v>IDX80</v>
      </c>
      <c r="F825" s="60" t="str">
        <f>Ringkasan!F992</f>
        <v>31 Juli 2026</v>
      </c>
      <c r="G825" s="61">
        <f>Ringkasan!G992</f>
        <v>13</v>
      </c>
      <c r="H825" s="62">
        <f>Ringkasan!H992</f>
        <v>5.6</v>
      </c>
      <c r="I825" s="62">
        <f>Ringkasan!I992</f>
        <v>1.3</v>
      </c>
      <c r="J825" s="62">
        <f>Ringkasan!J992</f>
        <v>23.3</v>
      </c>
      <c r="K825" s="62">
        <f>Ringkasan!K992</f>
        <v>13.1</v>
      </c>
      <c r="L825" s="62">
        <f>Ringkasan!L992</f>
        <v>0.79</v>
      </c>
      <c r="M825" s="62">
        <f>Ringkasan!M992</f>
        <v>29</v>
      </c>
      <c r="N825" s="60" t="str">
        <f>Ringkasan!N992</f>
        <v/>
      </c>
      <c r="O825" s="60" t="str">
        <f>Ringkasan!O992</f>
        <v/>
      </c>
      <c r="P825" s="60" t="str">
        <f>Ringkasan!P992</f>
        <v/>
      </c>
      <c r="Q825" s="60" t="str">
        <f>Ringkasan!Q992</f>
        <v/>
      </c>
      <c r="R825" s="60" t="str">
        <f>Ringkasan!R992</f>
        <v/>
      </c>
      <c r="S825" s="60" t="str">
        <f>Ringkasan!S992</f>
        <v/>
      </c>
      <c r="T825" s="60" t="str">
        <f>Ringkasan!T992</f>
        <v/>
      </c>
      <c r="U825" s="60">
        <f>Ringkasan!U992</f>
        <v>1860</v>
      </c>
      <c r="V825" s="60">
        <f>Ringkasan!V992</f>
        <v>2.42</v>
      </c>
      <c r="W825" s="60">
        <f>Ringkasan!W992</f>
        <v>1865</v>
      </c>
      <c r="X825" s="60">
        <f>Ringkasan!X992</f>
        <v>1930</v>
      </c>
      <c r="Y825" s="60">
        <f>Ringkasan!Y992</f>
        <v>1840</v>
      </c>
      <c r="Z825" s="60">
        <f>Ringkasan!Z992</f>
        <v>30207300</v>
      </c>
      <c r="AA825" s="60" t="str">
        <f>Ringkasan!AA992</f>
        <v>Agricultural Products</v>
      </c>
      <c r="AB825" s="60" t="str">
        <f>Ringkasan!AB992</f>
        <v>Consumer Non-Cyclicals</v>
      </c>
    </row>
    <row r="826" hidden="1">
      <c r="A826" s="60" t="str">
        <f>Ringkasan!A1531</f>
        <v>SATU</v>
      </c>
      <c r="B826" s="60" t="str">
        <f>Ringkasan!B1531</f>
        <v>Kota Satu Properti Tbk.</v>
      </c>
      <c r="C826" s="61">
        <f>Ringkasan!C1531</f>
        <v>272</v>
      </c>
      <c r="D826" s="60" t="str">
        <f>Ringkasan!D1531</f>
        <v>#N/A</v>
      </c>
      <c r="E826" s="60" t="str">
        <f>Ringkasan!E1531</f>
        <v/>
      </c>
      <c r="F826" s="60" t="str">
        <f>Ringkasan!F1531</f>
        <v/>
      </c>
      <c r="G826" s="60">
        <f>Ringkasan!G1531</f>
        <v>0</v>
      </c>
      <c r="H826" s="62">
        <f>Ringkasan!H1531</f>
        <v>-130</v>
      </c>
      <c r="I826" s="62">
        <f>Ringkasan!I1531</f>
        <v>7.9</v>
      </c>
      <c r="J826" s="62">
        <f>Ringkasan!J1531</f>
        <v>-6</v>
      </c>
      <c r="K826" s="62">
        <f>Ringkasan!K1531</f>
        <v>-1.3</v>
      </c>
      <c r="L826" s="62">
        <f>Ringkasan!L1531</f>
        <v>3.7</v>
      </c>
      <c r="M826" s="62">
        <f>Ringkasan!M1531</f>
        <v>-37</v>
      </c>
      <c r="N826" s="60" t="str">
        <f>Ringkasan!N1531</f>
        <v/>
      </c>
      <c r="O826" s="60" t="str">
        <f>Ringkasan!O1531</f>
        <v/>
      </c>
      <c r="P826" s="60" t="str">
        <f>Ringkasan!P1531</f>
        <v/>
      </c>
      <c r="Q826" s="60" t="str">
        <f>Ringkasan!Q1531</f>
        <v/>
      </c>
      <c r="R826" s="60" t="str">
        <f>Ringkasan!R1531</f>
        <v/>
      </c>
      <c r="S826" s="60" t="str">
        <f>Ringkasan!S1531</f>
        <v/>
      </c>
      <c r="T826" s="60" t="str">
        <f>Ringkasan!T1531</f>
        <v/>
      </c>
      <c r="U826" s="60">
        <f>Ringkasan!U1531</f>
        <v>270</v>
      </c>
      <c r="V826" s="60">
        <f>Ringkasan!V1531</f>
        <v>0.74</v>
      </c>
      <c r="W826" s="60">
        <f>Ringkasan!W1531</f>
        <v>270</v>
      </c>
      <c r="X826" s="60">
        <f>Ringkasan!X1531</f>
        <v>272</v>
      </c>
      <c r="Y826" s="60">
        <f>Ringkasan!Y1531</f>
        <v>268</v>
      </c>
      <c r="Z826" s="60">
        <f>Ringkasan!Z1531</f>
        <v>939800</v>
      </c>
      <c r="AA826" s="60" t="str">
        <f>Ringkasan!AA1531</f>
        <v>Real Estate Management &amp; Development</v>
      </c>
      <c r="AB826" s="60" t="str">
        <f>Ringkasan!AB1531</f>
        <v>Properties &amp; Real Estate</v>
      </c>
    </row>
    <row r="827" hidden="1">
      <c r="A827" s="64" t="str">
        <f>Ringkasan!A1532</f>
        <v>SBAT</v>
      </c>
      <c r="B827" s="64" t="str">
        <f>Ringkasan!B1532</f>
        <v>Sejahtera Bintang Abadi Textile Tbk.</v>
      </c>
      <c r="C827" s="61">
        <f>Ringkasan!C1532</f>
        <v>1</v>
      </c>
      <c r="D827" s="60" t="str">
        <f>Ringkasan!D1532</f>
        <v>#N/A</v>
      </c>
      <c r="E827" s="60" t="str">
        <f>Ringkasan!E1532</f>
        <v/>
      </c>
      <c r="F827" s="60" t="str">
        <f>Ringkasan!F1532</f>
        <v/>
      </c>
      <c r="G827" s="60">
        <f>Ringkasan!G1532</f>
        <v>0</v>
      </c>
      <c r="H827" s="62">
        <f>Ringkasan!H1532</f>
        <v>0</v>
      </c>
      <c r="I827" s="62">
        <f>Ringkasan!I1532</f>
        <v>0.03</v>
      </c>
      <c r="J827" s="62">
        <f>Ringkasan!J1532</f>
        <v>-49.5</v>
      </c>
      <c r="K827" s="62">
        <f>Ringkasan!K1532</f>
        <v>-11.4</v>
      </c>
      <c r="L827" s="62">
        <f>Ringkasan!L1532</f>
        <v>3.4</v>
      </c>
      <c r="M827" s="62">
        <f>Ringkasan!M1532</f>
        <v>-660</v>
      </c>
      <c r="N827" s="60" t="str">
        <f>Ringkasan!N1532</f>
        <v/>
      </c>
      <c r="O827" s="60" t="str">
        <f>Ringkasan!O1532</f>
        <v/>
      </c>
      <c r="P827" s="60" t="str">
        <f>Ringkasan!P1532</f>
        <v/>
      </c>
      <c r="Q827" s="60" t="str">
        <f>Ringkasan!Q1532</f>
        <v/>
      </c>
      <c r="R827" s="60" t="str">
        <f>Ringkasan!R1532</f>
        <v/>
      </c>
      <c r="S827" s="60" t="str">
        <f>Ringkasan!S1532</f>
        <v/>
      </c>
      <c r="T827" s="60" t="str">
        <f>Ringkasan!T1532</f>
        <v/>
      </c>
      <c r="U827" s="60">
        <f>Ringkasan!U1532</f>
        <v>1</v>
      </c>
      <c r="V827" s="60">
        <f>Ringkasan!V1532</f>
        <v>0</v>
      </c>
      <c r="W827" s="60" t="str">
        <f>Ringkasan!W1532</f>
        <v/>
      </c>
      <c r="X827" s="60" t="str">
        <f>Ringkasan!X1532</f>
        <v/>
      </c>
      <c r="Y827" s="60" t="str">
        <f>Ringkasan!Y1532</f>
        <v/>
      </c>
      <c r="Z827" s="60">
        <f>Ringkasan!Z1532</f>
        <v>0</v>
      </c>
      <c r="AA827" s="60" t="str">
        <f>Ringkasan!AA1532</f>
        <v>Apparel &amp; Luxury Goods</v>
      </c>
      <c r="AB827" s="64" t="str">
        <f>Ringkasan!AB1532</f>
        <v>Consumer Cyclicals</v>
      </c>
    </row>
    <row r="828" hidden="1">
      <c r="A828" s="64" t="str">
        <f>Ringkasan!A1533</f>
        <v>SBMA</v>
      </c>
      <c r="B828" s="64" t="str">
        <f>Ringkasan!B1533</f>
        <v>Surya Biru Murni Acetylene Tbk.</v>
      </c>
      <c r="C828" s="61">
        <f>Ringkasan!C1533</f>
        <v>105</v>
      </c>
      <c r="D828" s="60" t="str">
        <f>Ringkasan!D1533</f>
        <v>#N/A</v>
      </c>
      <c r="E828" s="60" t="str">
        <f>Ringkasan!E1533</f>
        <v/>
      </c>
      <c r="F828" s="60" t="str">
        <f>Ringkasan!F1533</f>
        <v/>
      </c>
      <c r="G828" s="60">
        <f>Ringkasan!G1533</f>
        <v>0</v>
      </c>
      <c r="H828" s="62">
        <f>Ringkasan!H1533</f>
        <v>10.3</v>
      </c>
      <c r="I828" s="62">
        <f>Ringkasan!I1533</f>
        <v>0.43</v>
      </c>
      <c r="J828" s="62">
        <f>Ringkasan!J1533</f>
        <v>4.2</v>
      </c>
      <c r="K828" s="62">
        <f>Ringkasan!K1533</f>
        <v>3.5</v>
      </c>
      <c r="L828" s="62">
        <f>Ringkasan!L1533</f>
        <v>0.21</v>
      </c>
      <c r="M828" s="62">
        <f>Ringkasan!M1533</f>
        <v>32</v>
      </c>
      <c r="N828" s="60" t="str">
        <f>Ringkasan!N1533</f>
        <v/>
      </c>
      <c r="O828" s="60" t="str">
        <f>Ringkasan!O1533</f>
        <v/>
      </c>
      <c r="P828" s="60" t="str">
        <f>Ringkasan!P1533</f>
        <v/>
      </c>
      <c r="Q828" s="60" t="str">
        <f>Ringkasan!Q1533</f>
        <v/>
      </c>
      <c r="R828" s="60" t="str">
        <f>Ringkasan!R1533</f>
        <v/>
      </c>
      <c r="S828" s="60" t="str">
        <f>Ringkasan!S1533</f>
        <v/>
      </c>
      <c r="T828" s="60" t="str">
        <f>Ringkasan!T1533</f>
        <v/>
      </c>
      <c r="U828" s="60">
        <f>Ringkasan!U1533</f>
        <v>104</v>
      </c>
      <c r="V828" s="60">
        <f>Ringkasan!V1533</f>
        <v>0.96</v>
      </c>
      <c r="W828" s="60">
        <f>Ringkasan!W1533</f>
        <v>105</v>
      </c>
      <c r="X828" s="60">
        <f>Ringkasan!X1533</f>
        <v>106</v>
      </c>
      <c r="Y828" s="60">
        <f>Ringkasan!Y1533</f>
        <v>101</v>
      </c>
      <c r="Z828" s="60">
        <f>Ringkasan!Z1533</f>
        <v>1017400</v>
      </c>
      <c r="AA828" s="60" t="str">
        <f>Ringkasan!AA1533</f>
        <v>Chemicals</v>
      </c>
      <c r="AB828" s="64" t="str">
        <f>Ringkasan!AB1533</f>
        <v>Basic Materials</v>
      </c>
    </row>
    <row r="829" hidden="1">
      <c r="A829" s="64" t="str">
        <f>Ringkasan!A1534</f>
        <v>SCCO</v>
      </c>
      <c r="B829" s="64" t="str">
        <f>Ringkasan!B1534</f>
        <v>Supreme Cable Manufacturing &amp; Commerce Tbk.</v>
      </c>
      <c r="C829" s="61">
        <f>Ringkasan!C1534</f>
        <v>2270</v>
      </c>
      <c r="D829" s="60" t="str">
        <f>Ringkasan!D1534</f>
        <v>#N/A</v>
      </c>
      <c r="E829" s="60" t="str">
        <f>Ringkasan!E1534</f>
        <v/>
      </c>
      <c r="F829" s="60" t="str">
        <f>Ringkasan!F1534</f>
        <v/>
      </c>
      <c r="G829" s="60">
        <f>Ringkasan!G1534</f>
        <v>0</v>
      </c>
      <c r="H829" s="62">
        <f>Ringkasan!H1534</f>
        <v>6.3</v>
      </c>
      <c r="I829" s="62">
        <f>Ringkasan!I1534</f>
        <v>0.35</v>
      </c>
      <c r="J829" s="62">
        <f>Ringkasan!J1534</f>
        <v>5.5</v>
      </c>
      <c r="K829" s="62">
        <f>Ringkasan!K1534</f>
        <v>5.2</v>
      </c>
      <c r="L829" s="62">
        <f>Ringkasan!L1534</f>
        <v>0.06</v>
      </c>
      <c r="M829" s="62">
        <f>Ringkasan!M1534</f>
        <v>16</v>
      </c>
      <c r="N829" s="60" t="str">
        <f>Ringkasan!N1534</f>
        <v/>
      </c>
      <c r="O829" s="60" t="str">
        <f>Ringkasan!O1534</f>
        <v/>
      </c>
      <c r="P829" s="60" t="str">
        <f>Ringkasan!P1534</f>
        <v/>
      </c>
      <c r="Q829" s="60" t="str">
        <f>Ringkasan!Q1534</f>
        <v/>
      </c>
      <c r="R829" s="60" t="str">
        <f>Ringkasan!R1534</f>
        <v/>
      </c>
      <c r="S829" s="60" t="str">
        <f>Ringkasan!S1534</f>
        <v/>
      </c>
      <c r="T829" s="60" t="str">
        <f>Ringkasan!T1534</f>
        <v/>
      </c>
      <c r="U829" s="60">
        <f>Ringkasan!U1534</f>
        <v>182.16</v>
      </c>
      <c r="V829" s="60" t="str">
        <f>Ringkasan!V1534</f>
        <v/>
      </c>
      <c r="W829" s="60">
        <f>Ringkasan!W1534</f>
        <v>185.49</v>
      </c>
      <c r="X829" s="60">
        <f>Ringkasan!X1534</f>
        <v>190.47</v>
      </c>
      <c r="Y829" s="60">
        <f>Ringkasan!Y1534</f>
        <v>184.69</v>
      </c>
      <c r="Z829" s="60">
        <f>Ringkasan!Z1534</f>
        <v>1119421</v>
      </c>
      <c r="AA829" s="60" t="str">
        <f>Ringkasan!AA1534</f>
        <v>Electrical</v>
      </c>
      <c r="AB829" s="64" t="str">
        <f>Ringkasan!AB1534</f>
        <v>Industrials</v>
      </c>
    </row>
    <row r="830" hidden="1">
      <c r="A830" s="64" t="str">
        <f>Ringkasan!A1535</f>
        <v>SCMA</v>
      </c>
      <c r="B830" s="64" t="str">
        <f>Ringkasan!B1535</f>
        <v>Surya Citra Media Tbk.</v>
      </c>
      <c r="C830" s="61">
        <f>Ringkasan!C1535</f>
        <v>200</v>
      </c>
      <c r="D830" s="60" t="str">
        <f>Ringkasan!D1535</f>
        <v>#N/A</v>
      </c>
      <c r="E830" s="60" t="str">
        <f>Ringkasan!E1535</f>
        <v>ESGQKEHATI</v>
      </c>
      <c r="F830" s="63">
        <f>Ringkasan!F1535</f>
        <v>46356</v>
      </c>
      <c r="G830" s="60">
        <f>Ringkasan!G1535</f>
        <v>11</v>
      </c>
      <c r="H830" s="62">
        <f>Ringkasan!H1535</f>
        <v>18.1</v>
      </c>
      <c r="I830" s="62">
        <f>Ringkasan!I1535</f>
        <v>2.1</v>
      </c>
      <c r="J830" s="62">
        <f>Ringkasan!J1535</f>
        <v>11.7</v>
      </c>
      <c r="K830" s="62">
        <f>Ringkasan!K1535</f>
        <v>9</v>
      </c>
      <c r="L830" s="62">
        <f>Ringkasan!L1535</f>
        <v>0.3</v>
      </c>
      <c r="M830" s="62">
        <f>Ringkasan!M1535</f>
        <v>49.6</v>
      </c>
      <c r="N830" s="60" t="str">
        <f>Ringkasan!N1535</f>
        <v/>
      </c>
      <c r="O830" s="60" t="str">
        <f>Ringkasan!O1535</f>
        <v/>
      </c>
      <c r="P830" s="60" t="str">
        <f>Ringkasan!P1535</f>
        <v/>
      </c>
      <c r="Q830" s="60" t="str">
        <f>Ringkasan!Q1535</f>
        <v/>
      </c>
      <c r="R830" s="60" t="str">
        <f>Ringkasan!R1535</f>
        <v/>
      </c>
      <c r="S830" s="60" t="str">
        <f>Ringkasan!S1535</f>
        <v/>
      </c>
      <c r="T830" s="60" t="str">
        <f>Ringkasan!T1535</f>
        <v/>
      </c>
      <c r="U830" s="60">
        <f>Ringkasan!U1535</f>
        <v>194</v>
      </c>
      <c r="V830" s="60">
        <f>Ringkasan!V1535</f>
        <v>3.09</v>
      </c>
      <c r="W830" s="60">
        <f>Ringkasan!W1535</f>
        <v>198</v>
      </c>
      <c r="X830" s="60">
        <f>Ringkasan!X1535</f>
        <v>206</v>
      </c>
      <c r="Y830" s="60">
        <f>Ringkasan!Y1535</f>
        <v>196</v>
      </c>
      <c r="Z830" s="60">
        <f>Ringkasan!Z1535</f>
        <v>35260000</v>
      </c>
      <c r="AA830" s="60" t="str">
        <f>Ringkasan!AA1535</f>
        <v>Media</v>
      </c>
      <c r="AB830" s="64" t="str">
        <f>Ringkasan!AB1535</f>
        <v>Consumer Cyclicals</v>
      </c>
    </row>
    <row r="831" hidden="1">
      <c r="A831" s="64" t="str">
        <f>Ringkasan!A830</f>
        <v>ICBP</v>
      </c>
      <c r="B831" s="64" t="str">
        <f>Ringkasan!B830</f>
        <v>Indofood CBP Sukses Makmur Tbk.</v>
      </c>
      <c r="C831" s="65">
        <f>Ringkasan!C830</f>
        <v>6350</v>
      </c>
      <c r="D831" s="64" t="str">
        <f>Ringkasan!D830</f>
        <v>#N/A</v>
      </c>
      <c r="E831" s="64" t="str">
        <f>Ringkasan!E830</f>
        <v>IDXSHAGROW</v>
      </c>
      <c r="F831" s="66">
        <f>Ringkasan!F830</f>
        <v>46356</v>
      </c>
      <c r="G831" s="64">
        <f>Ringkasan!G830</f>
        <v>16</v>
      </c>
      <c r="H831" s="19">
        <f>Ringkasan!H830</f>
        <v>9.1</v>
      </c>
      <c r="I831" s="19">
        <f>Ringkasan!I830</f>
        <v>1.1</v>
      </c>
      <c r="J831" s="19">
        <f>Ringkasan!J830</f>
        <v>11.9</v>
      </c>
      <c r="K831" s="19">
        <f>Ringkasan!K830</f>
        <v>6.5</v>
      </c>
      <c r="L831" s="19">
        <f>Ringkasan!L830</f>
        <v>0.82</v>
      </c>
      <c r="M831" s="19">
        <f>Ringkasan!M830</f>
        <v>42.1</v>
      </c>
      <c r="N831" s="64" t="str">
        <f>Ringkasan!N830</f>
        <v/>
      </c>
      <c r="O831" s="64" t="str">
        <f>Ringkasan!O830</f>
        <v/>
      </c>
      <c r="P831" s="64" t="str">
        <f>Ringkasan!P830</f>
        <v/>
      </c>
      <c r="Q831" s="64" t="str">
        <f>Ringkasan!Q830</f>
        <v/>
      </c>
      <c r="R831" s="64" t="str">
        <f>Ringkasan!R830</f>
        <v/>
      </c>
      <c r="S831" s="64" t="str">
        <f>Ringkasan!S830</f>
        <v/>
      </c>
      <c r="T831" s="64" t="str">
        <f>Ringkasan!T830</f>
        <v/>
      </c>
      <c r="U831" s="64">
        <f>Ringkasan!U830</f>
        <v>6250</v>
      </c>
      <c r="V831" s="64">
        <f>Ringkasan!V830</f>
        <v>1.6</v>
      </c>
      <c r="W831" s="64">
        <f>Ringkasan!W830</f>
        <v>6275</v>
      </c>
      <c r="X831" s="64">
        <f>Ringkasan!X830</f>
        <v>6450</v>
      </c>
      <c r="Y831" s="64">
        <f>Ringkasan!Y830</f>
        <v>6175</v>
      </c>
      <c r="Z831" s="64">
        <f>Ringkasan!Z830</f>
        <v>13984100</v>
      </c>
      <c r="AA831" s="64" t="str">
        <f>Ringkasan!AA830</f>
        <v>Processed Foods</v>
      </c>
      <c r="AB831" s="64" t="str">
        <f>Ringkasan!AB830</f>
        <v>Consumer Non-Cyclicals</v>
      </c>
    </row>
    <row r="832" hidden="1">
      <c r="A832" s="64" t="str">
        <f>Ringkasan!A831</f>
        <v>ICBP</v>
      </c>
      <c r="B832" s="64" t="str">
        <f>Ringkasan!B831</f>
        <v>Indofood CBP Sukses Makmur Tbk.</v>
      </c>
      <c r="C832" s="65">
        <f>Ringkasan!C831</f>
        <v>6350</v>
      </c>
      <c r="D832" s="64" t="str">
        <f>Ringkasan!D831</f>
        <v>#N/A</v>
      </c>
      <c r="E832" s="64" t="str">
        <f>Ringkasan!E831</f>
        <v>ESGSKEHATI</v>
      </c>
      <c r="F832" s="66">
        <f>Ringkasan!F831</f>
        <v>46356</v>
      </c>
      <c r="G832" s="64">
        <f>Ringkasan!G831</f>
        <v>16</v>
      </c>
      <c r="H832" s="19">
        <f>Ringkasan!H831</f>
        <v>9.1</v>
      </c>
      <c r="I832" s="19">
        <f>Ringkasan!I831</f>
        <v>1.1</v>
      </c>
      <c r="J832" s="19">
        <f>Ringkasan!J831</f>
        <v>11.9</v>
      </c>
      <c r="K832" s="19">
        <f>Ringkasan!K831</f>
        <v>6.5</v>
      </c>
      <c r="L832" s="19">
        <f>Ringkasan!L831</f>
        <v>0.82</v>
      </c>
      <c r="M832" s="19">
        <f>Ringkasan!M831</f>
        <v>42.1</v>
      </c>
      <c r="N832" s="64" t="str">
        <f>Ringkasan!N831</f>
        <v/>
      </c>
      <c r="O832" s="64" t="str">
        <f>Ringkasan!O831</f>
        <v/>
      </c>
      <c r="P832" s="64" t="str">
        <f>Ringkasan!P831</f>
        <v/>
      </c>
      <c r="Q832" s="64" t="str">
        <f>Ringkasan!Q831</f>
        <v/>
      </c>
      <c r="R832" s="64" t="str">
        <f>Ringkasan!R831</f>
        <v/>
      </c>
      <c r="S832" s="64" t="str">
        <f>Ringkasan!S831</f>
        <v/>
      </c>
      <c r="T832" s="64" t="str">
        <f>Ringkasan!T831</f>
        <v/>
      </c>
      <c r="U832" s="64">
        <f>Ringkasan!U831</f>
        <v>6250</v>
      </c>
      <c r="V832" s="64">
        <f>Ringkasan!V831</f>
        <v>1.6</v>
      </c>
      <c r="W832" s="64">
        <f>Ringkasan!W831</f>
        <v>6275</v>
      </c>
      <c r="X832" s="64">
        <f>Ringkasan!X831</f>
        <v>6450</v>
      </c>
      <c r="Y832" s="64">
        <f>Ringkasan!Y831</f>
        <v>6175</v>
      </c>
      <c r="Z832" s="64">
        <f>Ringkasan!Z831</f>
        <v>13984100</v>
      </c>
      <c r="AA832" s="64" t="str">
        <f>Ringkasan!AA831</f>
        <v>Processed Foods</v>
      </c>
      <c r="AB832" s="64" t="str">
        <f>Ringkasan!AB831</f>
        <v>Consumer Non-Cyclicals</v>
      </c>
    </row>
    <row r="833" hidden="1">
      <c r="A833" s="64" t="str">
        <f>Ringkasan!A832</f>
        <v>ICBP</v>
      </c>
      <c r="B833" s="64" t="str">
        <f>Ringkasan!B832</f>
        <v>Indofood CBP Sukses Makmur Tbk.</v>
      </c>
      <c r="C833" s="65">
        <f>Ringkasan!C832</f>
        <v>6350</v>
      </c>
      <c r="D833" s="64" t="str">
        <f>Ringkasan!D832</f>
        <v>#N/A</v>
      </c>
      <c r="E833" s="64" t="str">
        <f>Ringkasan!E832</f>
        <v>IDXG30</v>
      </c>
      <c r="F833" s="64" t="str">
        <f>Ringkasan!F832</f>
        <v>4 Agustus 2026</v>
      </c>
      <c r="G833" s="64">
        <f>Ringkasan!G832</f>
        <v>16</v>
      </c>
      <c r="H833" s="19">
        <f>Ringkasan!H832</f>
        <v>9.1</v>
      </c>
      <c r="I833" s="19">
        <f>Ringkasan!I832</f>
        <v>1.1</v>
      </c>
      <c r="J833" s="19">
        <f>Ringkasan!J832</f>
        <v>11.9</v>
      </c>
      <c r="K833" s="19">
        <f>Ringkasan!K832</f>
        <v>6.5</v>
      </c>
      <c r="L833" s="19">
        <f>Ringkasan!L832</f>
        <v>0.82</v>
      </c>
      <c r="M833" s="19">
        <f>Ringkasan!M832</f>
        <v>42.1</v>
      </c>
      <c r="N833" s="64" t="str">
        <f>Ringkasan!N832</f>
        <v/>
      </c>
      <c r="O833" s="64" t="str">
        <f>Ringkasan!O832</f>
        <v/>
      </c>
      <c r="P833" s="64" t="str">
        <f>Ringkasan!P832</f>
        <v/>
      </c>
      <c r="Q833" s="64" t="str">
        <f>Ringkasan!Q832</f>
        <v/>
      </c>
      <c r="R833" s="64" t="str">
        <f>Ringkasan!R832</f>
        <v/>
      </c>
      <c r="S833" s="64" t="str">
        <f>Ringkasan!S832</f>
        <v/>
      </c>
      <c r="T833" s="64" t="str">
        <f>Ringkasan!T832</f>
        <v/>
      </c>
      <c r="U833" s="64">
        <f>Ringkasan!U832</f>
        <v>6250</v>
      </c>
      <c r="V833" s="64">
        <f>Ringkasan!V832</f>
        <v>1.6</v>
      </c>
      <c r="W833" s="64">
        <f>Ringkasan!W832</f>
        <v>6275</v>
      </c>
      <c r="X833" s="64">
        <f>Ringkasan!X832</f>
        <v>6450</v>
      </c>
      <c r="Y833" s="64">
        <f>Ringkasan!Y832</f>
        <v>6175</v>
      </c>
      <c r="Z833" s="64">
        <f>Ringkasan!Z832</f>
        <v>13984100</v>
      </c>
      <c r="AA833" s="64" t="str">
        <f>Ringkasan!AA832</f>
        <v>Processed Foods</v>
      </c>
      <c r="AB833" s="64" t="str">
        <f>Ringkasan!AB832</f>
        <v>Consumer Non-Cyclicals</v>
      </c>
    </row>
    <row r="834" hidden="1">
      <c r="A834" s="64" t="str">
        <f>Ringkasan!A833</f>
        <v>ICBP</v>
      </c>
      <c r="B834" s="64" t="str">
        <f>Ringkasan!B833</f>
        <v>Indofood CBP Sukses Makmur Tbk.</v>
      </c>
      <c r="C834" s="65">
        <f>Ringkasan!C833</f>
        <v>6350</v>
      </c>
      <c r="D834" s="64" t="str">
        <f>Ringkasan!D833</f>
        <v>#N/A</v>
      </c>
      <c r="E834" s="64" t="str">
        <f>Ringkasan!E833</f>
        <v>Kompas100</v>
      </c>
      <c r="F834" s="64" t="str">
        <f>Ringkasan!F833</f>
        <v>31 Juli 2026</v>
      </c>
      <c r="G834" s="64">
        <f>Ringkasan!G833</f>
        <v>16</v>
      </c>
      <c r="H834" s="19">
        <f>Ringkasan!H833</f>
        <v>9.1</v>
      </c>
      <c r="I834" s="19">
        <f>Ringkasan!I833</f>
        <v>1.1</v>
      </c>
      <c r="J834" s="19">
        <f>Ringkasan!J833</f>
        <v>11.9</v>
      </c>
      <c r="K834" s="19">
        <f>Ringkasan!K833</f>
        <v>6.5</v>
      </c>
      <c r="L834" s="19">
        <f>Ringkasan!L833</f>
        <v>0.82</v>
      </c>
      <c r="M834" s="19">
        <f>Ringkasan!M833</f>
        <v>42.1</v>
      </c>
      <c r="N834" s="64" t="str">
        <f>Ringkasan!N833</f>
        <v/>
      </c>
      <c r="O834" s="64" t="str">
        <f>Ringkasan!O833</f>
        <v/>
      </c>
      <c r="P834" s="64" t="str">
        <f>Ringkasan!P833</f>
        <v/>
      </c>
      <c r="Q834" s="64" t="str">
        <f>Ringkasan!Q833</f>
        <v/>
      </c>
      <c r="R834" s="64" t="str">
        <f>Ringkasan!R833</f>
        <v/>
      </c>
      <c r="S834" s="64" t="str">
        <f>Ringkasan!S833</f>
        <v/>
      </c>
      <c r="T834" s="64" t="str">
        <f>Ringkasan!T833</f>
        <v/>
      </c>
      <c r="U834" s="64">
        <f>Ringkasan!U833</f>
        <v>6250</v>
      </c>
      <c r="V834" s="64">
        <f>Ringkasan!V833</f>
        <v>1.6</v>
      </c>
      <c r="W834" s="64">
        <f>Ringkasan!W833</f>
        <v>6275</v>
      </c>
      <c r="X834" s="64">
        <f>Ringkasan!X833</f>
        <v>6450</v>
      </c>
      <c r="Y834" s="64">
        <f>Ringkasan!Y833</f>
        <v>6175</v>
      </c>
      <c r="Z834" s="64">
        <f>Ringkasan!Z833</f>
        <v>13984100</v>
      </c>
      <c r="AA834" s="64" t="str">
        <f>Ringkasan!AA833</f>
        <v>Processed Foods</v>
      </c>
      <c r="AB834" s="64" t="str">
        <f>Ringkasan!AB833</f>
        <v>Consumer Non-Cyclicals</v>
      </c>
    </row>
    <row r="835" hidden="1">
      <c r="A835" s="64" t="str">
        <f>Ringkasan!A834</f>
        <v>ICBP</v>
      </c>
      <c r="B835" s="64" t="str">
        <f>Ringkasan!B834</f>
        <v>Indofood CBP Sukses Makmur Tbk.</v>
      </c>
      <c r="C835" s="65">
        <f>Ringkasan!C834</f>
        <v>6350</v>
      </c>
      <c r="D835" s="64" t="str">
        <f>Ringkasan!D834</f>
        <v>#N/A</v>
      </c>
      <c r="E835" s="64" t="str">
        <f>Ringkasan!E834</f>
        <v>MNC36</v>
      </c>
      <c r="F835" s="64" t="str">
        <f>Ringkasan!F834</f>
        <v>30 Oktober 2026</v>
      </c>
      <c r="G835" s="64">
        <f>Ringkasan!G834</f>
        <v>16</v>
      </c>
      <c r="H835" s="19">
        <f>Ringkasan!H834</f>
        <v>9.1</v>
      </c>
      <c r="I835" s="19">
        <f>Ringkasan!I834</f>
        <v>1.1</v>
      </c>
      <c r="J835" s="19">
        <f>Ringkasan!J834</f>
        <v>11.9</v>
      </c>
      <c r="K835" s="19">
        <f>Ringkasan!K834</f>
        <v>6.5</v>
      </c>
      <c r="L835" s="19">
        <f>Ringkasan!L834</f>
        <v>0.82</v>
      </c>
      <c r="M835" s="19">
        <f>Ringkasan!M834</f>
        <v>42.1</v>
      </c>
      <c r="N835" s="64" t="str">
        <f>Ringkasan!N834</f>
        <v/>
      </c>
      <c r="O835" s="64" t="str">
        <f>Ringkasan!O834</f>
        <v/>
      </c>
      <c r="P835" s="64" t="str">
        <f>Ringkasan!P834</f>
        <v/>
      </c>
      <c r="Q835" s="64" t="str">
        <f>Ringkasan!Q834</f>
        <v/>
      </c>
      <c r="R835" s="64" t="str">
        <f>Ringkasan!R834</f>
        <v/>
      </c>
      <c r="S835" s="64" t="str">
        <f>Ringkasan!S834</f>
        <v/>
      </c>
      <c r="T835" s="64" t="str">
        <f>Ringkasan!T834</f>
        <v/>
      </c>
      <c r="U835" s="64">
        <f>Ringkasan!U834</f>
        <v>6250</v>
      </c>
      <c r="V835" s="64">
        <f>Ringkasan!V834</f>
        <v>1.6</v>
      </c>
      <c r="W835" s="64">
        <f>Ringkasan!W834</f>
        <v>6275</v>
      </c>
      <c r="X835" s="64">
        <f>Ringkasan!X834</f>
        <v>6450</v>
      </c>
      <c r="Y835" s="64">
        <f>Ringkasan!Y834</f>
        <v>6175</v>
      </c>
      <c r="Z835" s="64">
        <f>Ringkasan!Z834</f>
        <v>13984100</v>
      </c>
      <c r="AA835" s="64" t="str">
        <f>Ringkasan!AA834</f>
        <v>Processed Foods</v>
      </c>
      <c r="AB835" s="64" t="str">
        <f>Ringkasan!AB834</f>
        <v>Consumer Non-Cyclicals</v>
      </c>
    </row>
    <row r="836" hidden="1">
      <c r="A836" s="64" t="str">
        <f>Ringkasan!A637</f>
        <v>EAST</v>
      </c>
      <c r="B836" s="64" t="str">
        <f>Ringkasan!B637</f>
        <v>Eastparc Hotel Tbk.</v>
      </c>
      <c r="C836" s="67">
        <f>Ringkasan!C637</f>
        <v>89</v>
      </c>
      <c r="D836" s="22" t="str">
        <f>Ringkasan!D637</f>
        <v>#N/A</v>
      </c>
      <c r="E836" s="64" t="str">
        <f>Ringkasan!E637</f>
        <v/>
      </c>
      <c r="F836" s="64" t="str">
        <f>Ringkasan!F637</f>
        <v/>
      </c>
      <c r="G836" s="64">
        <f>Ringkasan!G637</f>
        <v>0</v>
      </c>
      <c r="H836" s="19">
        <f>Ringkasan!H637</f>
        <v>11.5</v>
      </c>
      <c r="I836" s="19">
        <f>Ringkasan!I637</f>
        <v>0.79</v>
      </c>
      <c r="J836" s="19">
        <f>Ringkasan!J637</f>
        <v>6.9</v>
      </c>
      <c r="K836" s="19">
        <f>Ringkasan!K637</f>
        <v>6.5</v>
      </c>
      <c r="L836" s="19">
        <f>Ringkasan!L637</f>
        <v>0.05</v>
      </c>
      <c r="M836" s="19">
        <f>Ringkasan!M637</f>
        <v>150</v>
      </c>
      <c r="N836" s="64" t="str">
        <f>Ringkasan!N637</f>
        <v/>
      </c>
      <c r="O836" s="64" t="str">
        <f>Ringkasan!O637</f>
        <v/>
      </c>
      <c r="P836" s="64" t="str">
        <f>Ringkasan!P637</f>
        <v/>
      </c>
      <c r="Q836" s="64" t="str">
        <f>Ringkasan!Q637</f>
        <v/>
      </c>
      <c r="R836" s="64" t="str">
        <f>Ringkasan!R637</f>
        <v/>
      </c>
      <c r="S836" s="64" t="str">
        <f>Ringkasan!S637</f>
        <v/>
      </c>
      <c r="T836" s="64" t="str">
        <f>Ringkasan!T637</f>
        <v/>
      </c>
      <c r="U836" s="22">
        <f>Ringkasan!U637</f>
        <v>49.38</v>
      </c>
      <c r="V836" s="22">
        <f>Ringkasan!V637</f>
        <v>0.29</v>
      </c>
      <c r="W836" s="22" t="str">
        <f>Ringkasan!W637</f>
        <v/>
      </c>
      <c r="X836" s="22" t="str">
        <f>Ringkasan!X637</f>
        <v/>
      </c>
      <c r="Y836" s="22" t="str">
        <f>Ringkasan!Y637</f>
        <v/>
      </c>
      <c r="Z836" s="22">
        <f>Ringkasan!Z637</f>
        <v>0</v>
      </c>
      <c r="AA836" s="64" t="str">
        <f>Ringkasan!AA637</f>
        <v>Tourism &amp; Recreation</v>
      </c>
      <c r="AB836" s="64" t="str">
        <f>Ringkasan!AB637</f>
        <v>Consumer Cyclicals</v>
      </c>
    </row>
    <row r="837" hidden="1">
      <c r="A837" s="64" t="str">
        <f>Ringkasan!A836</f>
        <v>ICBP</v>
      </c>
      <c r="B837" s="64" t="str">
        <f>Ringkasan!B836</f>
        <v>Indofood CBP Sukses Makmur Tbk.</v>
      </c>
      <c r="C837" s="65">
        <f>Ringkasan!C836</f>
        <v>6350</v>
      </c>
      <c r="D837" s="64" t="str">
        <f>Ringkasan!D836</f>
        <v>#N/A</v>
      </c>
      <c r="E837" s="64" t="str">
        <f>Ringkasan!E836</f>
        <v>IDX30</v>
      </c>
      <c r="F837" s="64" t="str">
        <f>Ringkasan!F836</f>
        <v>31 Juli 2026</v>
      </c>
      <c r="G837" s="64">
        <f>Ringkasan!G836</f>
        <v>16</v>
      </c>
      <c r="H837" s="19">
        <f>Ringkasan!H836</f>
        <v>9.1</v>
      </c>
      <c r="I837" s="19">
        <f>Ringkasan!I836</f>
        <v>1.1</v>
      </c>
      <c r="J837" s="19">
        <f>Ringkasan!J836</f>
        <v>11.9</v>
      </c>
      <c r="K837" s="19">
        <f>Ringkasan!K836</f>
        <v>6.5</v>
      </c>
      <c r="L837" s="19">
        <f>Ringkasan!L836</f>
        <v>0.82</v>
      </c>
      <c r="M837" s="19">
        <f>Ringkasan!M836</f>
        <v>42.1</v>
      </c>
      <c r="N837" s="64" t="str">
        <f>Ringkasan!N836</f>
        <v/>
      </c>
      <c r="O837" s="64" t="str">
        <f>Ringkasan!O836</f>
        <v/>
      </c>
      <c r="P837" s="64" t="str">
        <f>Ringkasan!P836</f>
        <v/>
      </c>
      <c r="Q837" s="64" t="str">
        <f>Ringkasan!Q836</f>
        <v/>
      </c>
      <c r="R837" s="64" t="str">
        <f>Ringkasan!R836</f>
        <v/>
      </c>
      <c r="S837" s="64" t="str">
        <f>Ringkasan!S836</f>
        <v/>
      </c>
      <c r="T837" s="64" t="str">
        <f>Ringkasan!T836</f>
        <v/>
      </c>
      <c r="U837" s="64">
        <f>Ringkasan!U836</f>
        <v>6250</v>
      </c>
      <c r="V837" s="64">
        <f>Ringkasan!V836</f>
        <v>1.6</v>
      </c>
      <c r="W837" s="64">
        <f>Ringkasan!W836</f>
        <v>6275</v>
      </c>
      <c r="X837" s="64">
        <f>Ringkasan!X836</f>
        <v>6450</v>
      </c>
      <c r="Y837" s="64">
        <f>Ringkasan!Y836</f>
        <v>6175</v>
      </c>
      <c r="Z837" s="64">
        <f>Ringkasan!Z836</f>
        <v>13984100</v>
      </c>
      <c r="AA837" s="64" t="str">
        <f>Ringkasan!AA836</f>
        <v>Processed Foods</v>
      </c>
      <c r="AB837" s="64" t="str">
        <f>Ringkasan!AB836</f>
        <v>Consumer Non-Cyclicals</v>
      </c>
    </row>
    <row r="838" hidden="1">
      <c r="A838" s="64" t="str">
        <f>Ringkasan!A837</f>
        <v>ICBP</v>
      </c>
      <c r="B838" s="64" t="str">
        <f>Ringkasan!B837</f>
        <v>Indofood CBP Sukses Makmur Tbk.</v>
      </c>
      <c r="C838" s="65">
        <f>Ringkasan!C837</f>
        <v>6350</v>
      </c>
      <c r="D838" s="64" t="str">
        <f>Ringkasan!D837</f>
        <v>#N/A</v>
      </c>
      <c r="E838" s="64" t="str">
        <f>Ringkasan!E837</f>
        <v>LQ45</v>
      </c>
      <c r="F838" s="64" t="str">
        <f>Ringkasan!F837</f>
        <v>31 Juli 2026</v>
      </c>
      <c r="G838" s="64">
        <f>Ringkasan!G837</f>
        <v>16</v>
      </c>
      <c r="H838" s="19">
        <f>Ringkasan!H837</f>
        <v>9.1</v>
      </c>
      <c r="I838" s="19">
        <f>Ringkasan!I837</f>
        <v>1.1</v>
      </c>
      <c r="J838" s="19">
        <f>Ringkasan!J837</f>
        <v>11.9</v>
      </c>
      <c r="K838" s="19">
        <f>Ringkasan!K837</f>
        <v>6.5</v>
      </c>
      <c r="L838" s="19">
        <f>Ringkasan!L837</f>
        <v>0.82</v>
      </c>
      <c r="M838" s="19">
        <f>Ringkasan!M837</f>
        <v>42.1</v>
      </c>
      <c r="N838" s="64" t="str">
        <f>Ringkasan!N837</f>
        <v/>
      </c>
      <c r="O838" s="64" t="str">
        <f>Ringkasan!O837</f>
        <v/>
      </c>
      <c r="P838" s="64" t="str">
        <f>Ringkasan!P837</f>
        <v/>
      </c>
      <c r="Q838" s="64" t="str">
        <f>Ringkasan!Q837</f>
        <v/>
      </c>
      <c r="R838" s="64" t="str">
        <f>Ringkasan!R837</f>
        <v/>
      </c>
      <c r="S838" s="64" t="str">
        <f>Ringkasan!S837</f>
        <v/>
      </c>
      <c r="T838" s="64" t="str">
        <f>Ringkasan!T837</f>
        <v/>
      </c>
      <c r="U838" s="64">
        <f>Ringkasan!U837</f>
        <v>6250</v>
      </c>
      <c r="V838" s="64">
        <f>Ringkasan!V837</f>
        <v>1.6</v>
      </c>
      <c r="W838" s="64">
        <f>Ringkasan!W837</f>
        <v>6275</v>
      </c>
      <c r="X838" s="64">
        <f>Ringkasan!X837</f>
        <v>6450</v>
      </c>
      <c r="Y838" s="64">
        <f>Ringkasan!Y837</f>
        <v>6175</v>
      </c>
      <c r="Z838" s="64">
        <f>Ringkasan!Z837</f>
        <v>13984100</v>
      </c>
      <c r="AA838" s="64" t="str">
        <f>Ringkasan!AA837</f>
        <v>Processed Foods</v>
      </c>
      <c r="AB838" s="64" t="str">
        <f>Ringkasan!AB837</f>
        <v>Consumer Non-Cyclicals</v>
      </c>
    </row>
    <row r="839" hidden="1">
      <c r="A839" s="64" t="str">
        <f>Ringkasan!A838</f>
        <v>ICBP</v>
      </c>
      <c r="B839" s="64" t="str">
        <f>Ringkasan!B838</f>
        <v>Indofood CBP Sukses Makmur Tbk.</v>
      </c>
      <c r="C839" s="65">
        <f>Ringkasan!C838</f>
        <v>6350</v>
      </c>
      <c r="D839" s="64" t="str">
        <f>Ringkasan!D838</f>
        <v>#N/A</v>
      </c>
      <c r="E839" s="64" t="str">
        <f>Ringkasan!E838</f>
        <v>IDX80</v>
      </c>
      <c r="F839" s="64" t="str">
        <f>Ringkasan!F838</f>
        <v>31 Juli 2026</v>
      </c>
      <c r="G839" s="64">
        <f>Ringkasan!G838</f>
        <v>16</v>
      </c>
      <c r="H839" s="19">
        <f>Ringkasan!H838</f>
        <v>9.1</v>
      </c>
      <c r="I839" s="19">
        <f>Ringkasan!I838</f>
        <v>1.1</v>
      </c>
      <c r="J839" s="19">
        <f>Ringkasan!J838</f>
        <v>11.9</v>
      </c>
      <c r="K839" s="19">
        <f>Ringkasan!K838</f>
        <v>6.5</v>
      </c>
      <c r="L839" s="19">
        <f>Ringkasan!L838</f>
        <v>0.82</v>
      </c>
      <c r="M839" s="19">
        <f>Ringkasan!M838</f>
        <v>42.1</v>
      </c>
      <c r="N839" s="64" t="str">
        <f>Ringkasan!N838</f>
        <v/>
      </c>
      <c r="O839" s="64" t="str">
        <f>Ringkasan!O838</f>
        <v/>
      </c>
      <c r="P839" s="64" t="str">
        <f>Ringkasan!P838</f>
        <v/>
      </c>
      <c r="Q839" s="64" t="str">
        <f>Ringkasan!Q838</f>
        <v/>
      </c>
      <c r="R839" s="64" t="str">
        <f>Ringkasan!R838</f>
        <v/>
      </c>
      <c r="S839" s="64" t="str">
        <f>Ringkasan!S838</f>
        <v/>
      </c>
      <c r="T839" s="64" t="str">
        <f>Ringkasan!T838</f>
        <v/>
      </c>
      <c r="U839" s="64">
        <f>Ringkasan!U838</f>
        <v>6250</v>
      </c>
      <c r="V839" s="64">
        <f>Ringkasan!V838</f>
        <v>1.6</v>
      </c>
      <c r="W839" s="64">
        <f>Ringkasan!W838</f>
        <v>6275</v>
      </c>
      <c r="X839" s="64">
        <f>Ringkasan!X838</f>
        <v>6450</v>
      </c>
      <c r="Y839" s="64">
        <f>Ringkasan!Y838</f>
        <v>6175</v>
      </c>
      <c r="Z839" s="64">
        <f>Ringkasan!Z838</f>
        <v>13984100</v>
      </c>
      <c r="AA839" s="64" t="str">
        <f>Ringkasan!AA838</f>
        <v>Processed Foods</v>
      </c>
      <c r="AB839" s="64" t="str">
        <f>Ringkasan!AB838</f>
        <v>Consumer Non-Cyclicals</v>
      </c>
    </row>
    <row r="840" hidden="1">
      <c r="A840" s="64" t="str">
        <f>Ringkasan!A839</f>
        <v>ICBP</v>
      </c>
      <c r="B840" s="64" t="str">
        <f>Ringkasan!B839</f>
        <v>Indofood CBP Sukses Makmur Tbk.</v>
      </c>
      <c r="C840" s="65">
        <f>Ringkasan!C839</f>
        <v>6350</v>
      </c>
      <c r="D840" s="64" t="str">
        <f>Ringkasan!D839</f>
        <v>#N/A</v>
      </c>
      <c r="E840" s="64" t="str">
        <f>Ringkasan!E839</f>
        <v>BISNIS-27</v>
      </c>
      <c r="F840" s="64" t="str">
        <f>Ringkasan!F839</f>
        <v>30 Oktober 2026</v>
      </c>
      <c r="G840" s="64">
        <f>Ringkasan!G839</f>
        <v>16</v>
      </c>
      <c r="H840" s="19">
        <f>Ringkasan!H839</f>
        <v>9.1</v>
      </c>
      <c r="I840" s="19">
        <f>Ringkasan!I839</f>
        <v>1.1</v>
      </c>
      <c r="J840" s="19">
        <f>Ringkasan!J839</f>
        <v>11.9</v>
      </c>
      <c r="K840" s="19">
        <f>Ringkasan!K839</f>
        <v>6.5</v>
      </c>
      <c r="L840" s="19">
        <f>Ringkasan!L839</f>
        <v>0.82</v>
      </c>
      <c r="M840" s="19">
        <f>Ringkasan!M839</f>
        <v>42.1</v>
      </c>
      <c r="N840" s="19" t="str">
        <f>Ringkasan!N839</f>
        <v/>
      </c>
      <c r="O840" s="19" t="str">
        <f>Ringkasan!O839</f>
        <v/>
      </c>
      <c r="P840" s="19" t="str">
        <f>Ringkasan!P839</f>
        <v/>
      </c>
      <c r="Q840" s="19" t="str">
        <f>Ringkasan!Q839</f>
        <v/>
      </c>
      <c r="R840" s="19" t="str">
        <f>Ringkasan!R839</f>
        <v/>
      </c>
      <c r="S840" s="19" t="str">
        <f>Ringkasan!S839</f>
        <v/>
      </c>
      <c r="T840" s="19" t="str">
        <f>Ringkasan!T839</f>
        <v/>
      </c>
      <c r="U840" s="64">
        <f>Ringkasan!U839</f>
        <v>6250</v>
      </c>
      <c r="V840" s="64">
        <f>Ringkasan!V839</f>
        <v>1.6</v>
      </c>
      <c r="W840" s="64">
        <f>Ringkasan!W839</f>
        <v>6275</v>
      </c>
      <c r="X840" s="64">
        <f>Ringkasan!X839</f>
        <v>6450</v>
      </c>
      <c r="Y840" s="64">
        <f>Ringkasan!Y839</f>
        <v>6175</v>
      </c>
      <c r="Z840" s="64">
        <f>Ringkasan!Z839</f>
        <v>13984100</v>
      </c>
      <c r="AA840" s="64" t="str">
        <f>Ringkasan!AA839</f>
        <v>Processed Foods</v>
      </c>
      <c r="AB840" s="64" t="str">
        <f>Ringkasan!AB839</f>
        <v>Consumer Non-Cyclicals</v>
      </c>
    </row>
    <row r="841" hidden="1">
      <c r="A841" s="64" t="str">
        <f>Ringkasan!A840</f>
        <v>ICBP</v>
      </c>
      <c r="B841" s="64" t="str">
        <f>Ringkasan!B840</f>
        <v>Indofood CBP Sukses Makmur Tbk.</v>
      </c>
      <c r="C841" s="65">
        <f>Ringkasan!C840</f>
        <v>6350</v>
      </c>
      <c r="D841" s="64" t="str">
        <f>Ringkasan!D840</f>
        <v>#N/A</v>
      </c>
      <c r="E841" s="64" t="str">
        <f>Ringkasan!E840</f>
        <v>FTSE Large Cap</v>
      </c>
      <c r="F841" s="64" t="str">
        <f>Ringkasan!F840</f>
        <v>Juni 2026</v>
      </c>
      <c r="G841" s="64">
        <f>Ringkasan!G840</f>
        <v>16</v>
      </c>
      <c r="H841" s="19">
        <f>Ringkasan!H840</f>
        <v>9.1</v>
      </c>
      <c r="I841" s="19">
        <f>Ringkasan!I840</f>
        <v>1.1</v>
      </c>
      <c r="J841" s="19">
        <f>Ringkasan!J840</f>
        <v>11.9</v>
      </c>
      <c r="K841" s="19">
        <f>Ringkasan!K840</f>
        <v>6.5</v>
      </c>
      <c r="L841" s="19">
        <f>Ringkasan!L840</f>
        <v>0.82</v>
      </c>
      <c r="M841" s="19">
        <f>Ringkasan!M840</f>
        <v>42.1</v>
      </c>
      <c r="N841" s="64" t="str">
        <f>Ringkasan!N840</f>
        <v/>
      </c>
      <c r="O841" s="64" t="str">
        <f>Ringkasan!O840</f>
        <v/>
      </c>
      <c r="P841" s="64" t="str">
        <f>Ringkasan!P840</f>
        <v/>
      </c>
      <c r="Q841" s="64" t="str">
        <f>Ringkasan!Q840</f>
        <v/>
      </c>
      <c r="R841" s="64" t="str">
        <f>Ringkasan!R840</f>
        <v/>
      </c>
      <c r="S841" s="64" t="str">
        <f>Ringkasan!S840</f>
        <v/>
      </c>
      <c r="T841" s="64" t="str">
        <f>Ringkasan!T840</f>
        <v/>
      </c>
      <c r="U841" s="64">
        <f>Ringkasan!U840</f>
        <v>6250</v>
      </c>
      <c r="V841" s="64">
        <f>Ringkasan!V840</f>
        <v>1.6</v>
      </c>
      <c r="W841" s="64">
        <f>Ringkasan!W840</f>
        <v>6275</v>
      </c>
      <c r="X841" s="64">
        <f>Ringkasan!X840</f>
        <v>6450</v>
      </c>
      <c r="Y841" s="64">
        <f>Ringkasan!Y840</f>
        <v>6175</v>
      </c>
      <c r="Z841" s="64">
        <f>Ringkasan!Z840</f>
        <v>13984100</v>
      </c>
      <c r="AA841" s="64" t="str">
        <f>Ringkasan!AA840</f>
        <v>Processed Foods</v>
      </c>
      <c r="AB841" s="64" t="str">
        <f>Ringkasan!AB840</f>
        <v>Consumer Non-Cyclicals</v>
      </c>
    </row>
    <row r="842" hidden="1">
      <c r="A842" s="64" t="str">
        <f>Ringkasan!A841</f>
        <v>ICBP</v>
      </c>
      <c r="B842" s="64" t="str">
        <f>Ringkasan!B841</f>
        <v>Indofood CBP Sukses Makmur Tbk.</v>
      </c>
      <c r="C842" s="65">
        <f>Ringkasan!C841</f>
        <v>6350</v>
      </c>
      <c r="D842" s="64" t="str">
        <f>Ringkasan!D841</f>
        <v>#N/A</v>
      </c>
      <c r="E842" s="64" t="str">
        <f>Ringkasan!E841</f>
        <v>SRI-KEHATI</v>
      </c>
      <c r="F842" s="66">
        <f>Ringkasan!F841</f>
        <v>46356</v>
      </c>
      <c r="G842" s="64">
        <f>Ringkasan!G841</f>
        <v>16</v>
      </c>
      <c r="H842" s="19">
        <f>Ringkasan!H841</f>
        <v>9.1</v>
      </c>
      <c r="I842" s="19">
        <f>Ringkasan!I841</f>
        <v>1.1</v>
      </c>
      <c r="J842" s="19">
        <f>Ringkasan!J841</f>
        <v>11.9</v>
      </c>
      <c r="K842" s="19">
        <f>Ringkasan!K841</f>
        <v>6.5</v>
      </c>
      <c r="L842" s="19">
        <f>Ringkasan!L841</f>
        <v>0.82</v>
      </c>
      <c r="M842" s="19">
        <f>Ringkasan!M841</f>
        <v>42.1</v>
      </c>
      <c r="N842" s="64" t="str">
        <f>Ringkasan!N841</f>
        <v/>
      </c>
      <c r="O842" s="64" t="str">
        <f>Ringkasan!O841</f>
        <v/>
      </c>
      <c r="P842" s="64" t="str">
        <f>Ringkasan!P841</f>
        <v/>
      </c>
      <c r="Q842" s="64" t="str">
        <f>Ringkasan!Q841</f>
        <v/>
      </c>
      <c r="R842" s="64" t="str">
        <f>Ringkasan!R841</f>
        <v/>
      </c>
      <c r="S842" s="64" t="str">
        <f>Ringkasan!S841</f>
        <v/>
      </c>
      <c r="T842" s="64" t="str">
        <f>Ringkasan!T841</f>
        <v/>
      </c>
      <c r="U842" s="64">
        <f>Ringkasan!U841</f>
        <v>6250</v>
      </c>
      <c r="V842" s="64">
        <f>Ringkasan!V841</f>
        <v>1.6</v>
      </c>
      <c r="W842" s="64">
        <f>Ringkasan!W841</f>
        <v>6275</v>
      </c>
      <c r="X842" s="64">
        <f>Ringkasan!X841</f>
        <v>6450</v>
      </c>
      <c r="Y842" s="64">
        <f>Ringkasan!Y841</f>
        <v>6175</v>
      </c>
      <c r="Z842" s="64">
        <f>Ringkasan!Z841</f>
        <v>13984100</v>
      </c>
      <c r="AA842" s="64" t="str">
        <f>Ringkasan!AA841</f>
        <v>Processed Foods</v>
      </c>
      <c r="AB842" s="64" t="str">
        <f>Ringkasan!AB841</f>
        <v>Consumer Non-Cyclicals</v>
      </c>
    </row>
    <row r="843" hidden="1">
      <c r="A843" s="64" t="str">
        <f>Ringkasan!A842</f>
        <v>ICBP</v>
      </c>
      <c r="B843" s="64" t="str">
        <f>Ringkasan!B842</f>
        <v>Indofood CBP Sukses Makmur Tbk.</v>
      </c>
      <c r="C843" s="65">
        <f>Ringkasan!C842</f>
        <v>6350</v>
      </c>
      <c r="D843" s="64" t="str">
        <f>Ringkasan!D842</f>
        <v>#N/A</v>
      </c>
      <c r="E843" s="64" t="str">
        <f>Ringkasan!E842</f>
        <v>Investor33</v>
      </c>
      <c r="F843" s="66">
        <f>Ringkasan!F842</f>
        <v>46356</v>
      </c>
      <c r="G843" s="64">
        <f>Ringkasan!G842</f>
        <v>16</v>
      </c>
      <c r="H843" s="19">
        <f>Ringkasan!H842</f>
        <v>9.1</v>
      </c>
      <c r="I843" s="19">
        <f>Ringkasan!I842</f>
        <v>1.1</v>
      </c>
      <c r="J843" s="19">
        <f>Ringkasan!J842</f>
        <v>11.9</v>
      </c>
      <c r="K843" s="19">
        <f>Ringkasan!K842</f>
        <v>6.5</v>
      </c>
      <c r="L843" s="19">
        <f>Ringkasan!L842</f>
        <v>0.82</v>
      </c>
      <c r="M843" s="19">
        <f>Ringkasan!M842</f>
        <v>42.1</v>
      </c>
      <c r="N843" s="64" t="str">
        <f>Ringkasan!N842</f>
        <v/>
      </c>
      <c r="O843" s="64" t="str">
        <f>Ringkasan!O842</f>
        <v/>
      </c>
      <c r="P843" s="64" t="str">
        <f>Ringkasan!P842</f>
        <v/>
      </c>
      <c r="Q843" s="64" t="str">
        <f>Ringkasan!Q842</f>
        <v/>
      </c>
      <c r="R843" s="64" t="str">
        <f>Ringkasan!R842</f>
        <v/>
      </c>
      <c r="S843" s="64" t="str">
        <f>Ringkasan!S842</f>
        <v/>
      </c>
      <c r="T843" s="64" t="str">
        <f>Ringkasan!T842</f>
        <v/>
      </c>
      <c r="U843" s="64">
        <f>Ringkasan!U842</f>
        <v>6250</v>
      </c>
      <c r="V843" s="64">
        <f>Ringkasan!V842</f>
        <v>1.6</v>
      </c>
      <c r="W843" s="64">
        <f>Ringkasan!W842</f>
        <v>6275</v>
      </c>
      <c r="X843" s="64">
        <f>Ringkasan!X842</f>
        <v>6450</v>
      </c>
      <c r="Y843" s="64">
        <f>Ringkasan!Y842</f>
        <v>6175</v>
      </c>
      <c r="Z843" s="64">
        <f>Ringkasan!Z842</f>
        <v>13984100</v>
      </c>
      <c r="AA843" s="64" t="str">
        <f>Ringkasan!AA842</f>
        <v>Processed Foods</v>
      </c>
      <c r="AB843" s="64" t="str">
        <f>Ringkasan!AB842</f>
        <v>Consumer Non-Cyclicals</v>
      </c>
    </row>
    <row r="844" hidden="1">
      <c r="A844" s="64" t="str">
        <f>Ringkasan!A843</f>
        <v>ICBP</v>
      </c>
      <c r="B844" s="64" t="str">
        <f>Ringkasan!B843</f>
        <v>Indofood CBP Sukses Makmur Tbk.</v>
      </c>
      <c r="C844" s="65">
        <f>Ringkasan!C843</f>
        <v>6350</v>
      </c>
      <c r="D844" s="64" t="str">
        <f>Ringkasan!D843</f>
        <v>#N/A</v>
      </c>
      <c r="E844" s="64" t="str">
        <f>Ringkasan!E843</f>
        <v>JII30</v>
      </c>
      <c r="F844" s="66">
        <f>Ringkasan!F843</f>
        <v>46356</v>
      </c>
      <c r="G844" s="64">
        <f>Ringkasan!G843</f>
        <v>16</v>
      </c>
      <c r="H844" s="19">
        <f>Ringkasan!H843</f>
        <v>9.1</v>
      </c>
      <c r="I844" s="19">
        <f>Ringkasan!I843</f>
        <v>1.1</v>
      </c>
      <c r="J844" s="19">
        <f>Ringkasan!J843</f>
        <v>11.9</v>
      </c>
      <c r="K844" s="19">
        <f>Ringkasan!K843</f>
        <v>6.5</v>
      </c>
      <c r="L844" s="19">
        <f>Ringkasan!L843</f>
        <v>0.82</v>
      </c>
      <c r="M844" s="19">
        <f>Ringkasan!M843</f>
        <v>42.1</v>
      </c>
      <c r="N844" s="64" t="str">
        <f>Ringkasan!N843</f>
        <v/>
      </c>
      <c r="O844" s="64" t="str">
        <f>Ringkasan!O843</f>
        <v/>
      </c>
      <c r="P844" s="64" t="str">
        <f>Ringkasan!P843</f>
        <v/>
      </c>
      <c r="Q844" s="64" t="str">
        <f>Ringkasan!Q843</f>
        <v/>
      </c>
      <c r="R844" s="64" t="str">
        <f>Ringkasan!R843</f>
        <v/>
      </c>
      <c r="S844" s="64" t="str">
        <f>Ringkasan!S843</f>
        <v/>
      </c>
      <c r="T844" s="64" t="str">
        <f>Ringkasan!T843</f>
        <v/>
      </c>
      <c r="U844" s="64">
        <f>Ringkasan!U843</f>
        <v>6250</v>
      </c>
      <c r="V844" s="64">
        <f>Ringkasan!V843</f>
        <v>1.6</v>
      </c>
      <c r="W844" s="64">
        <f>Ringkasan!W843</f>
        <v>6275</v>
      </c>
      <c r="X844" s="64">
        <f>Ringkasan!X843</f>
        <v>6450</v>
      </c>
      <c r="Y844" s="64">
        <f>Ringkasan!Y843</f>
        <v>6175</v>
      </c>
      <c r="Z844" s="64">
        <f>Ringkasan!Z843</f>
        <v>13984100</v>
      </c>
      <c r="AA844" s="64" t="str">
        <f>Ringkasan!AA843</f>
        <v>Processed Foods</v>
      </c>
      <c r="AB844" s="64" t="str">
        <f>Ringkasan!AB843</f>
        <v>Consumer Non-Cyclicals</v>
      </c>
    </row>
    <row r="845" hidden="1">
      <c r="A845" s="64" t="str">
        <f>Ringkasan!A844</f>
        <v>ICBP</v>
      </c>
      <c r="B845" s="64" t="str">
        <f>Ringkasan!B844</f>
        <v>Indofood CBP Sukses Makmur Tbk.</v>
      </c>
      <c r="C845" s="65">
        <f>Ringkasan!C844</f>
        <v>6350</v>
      </c>
      <c r="D845" s="64" t="str">
        <f>Ringkasan!D844</f>
        <v>#N/A</v>
      </c>
      <c r="E845" s="64" t="str">
        <f>Ringkasan!E844</f>
        <v>JII70</v>
      </c>
      <c r="F845" s="66">
        <f>Ringkasan!F844</f>
        <v>46356</v>
      </c>
      <c r="G845" s="64">
        <f>Ringkasan!G844</f>
        <v>16</v>
      </c>
      <c r="H845" s="19">
        <f>Ringkasan!H844</f>
        <v>9.1</v>
      </c>
      <c r="I845" s="19">
        <f>Ringkasan!I844</f>
        <v>1.1</v>
      </c>
      <c r="J845" s="19">
        <f>Ringkasan!J844</f>
        <v>11.9</v>
      </c>
      <c r="K845" s="19">
        <f>Ringkasan!K844</f>
        <v>6.5</v>
      </c>
      <c r="L845" s="19">
        <f>Ringkasan!L844</f>
        <v>0.82</v>
      </c>
      <c r="M845" s="19">
        <f>Ringkasan!M844</f>
        <v>42.1</v>
      </c>
      <c r="N845" s="64" t="str">
        <f>Ringkasan!N844</f>
        <v/>
      </c>
      <c r="O845" s="64" t="str">
        <f>Ringkasan!O844</f>
        <v/>
      </c>
      <c r="P845" s="64" t="str">
        <f>Ringkasan!P844</f>
        <v/>
      </c>
      <c r="Q845" s="64" t="str">
        <f>Ringkasan!Q844</f>
        <v/>
      </c>
      <c r="R845" s="64" t="str">
        <f>Ringkasan!R844</f>
        <v/>
      </c>
      <c r="S845" s="64" t="str">
        <f>Ringkasan!S844</f>
        <v/>
      </c>
      <c r="T845" s="64" t="str">
        <f>Ringkasan!T844</f>
        <v/>
      </c>
      <c r="U845" s="64">
        <f>Ringkasan!U844</f>
        <v>6250</v>
      </c>
      <c r="V845" s="64">
        <f>Ringkasan!V844</f>
        <v>1.6</v>
      </c>
      <c r="W845" s="64">
        <f>Ringkasan!W844</f>
        <v>6275</v>
      </c>
      <c r="X845" s="64">
        <f>Ringkasan!X844</f>
        <v>6450</v>
      </c>
      <c r="Y845" s="64">
        <f>Ringkasan!Y844</f>
        <v>6175</v>
      </c>
      <c r="Z845" s="64">
        <f>Ringkasan!Z844</f>
        <v>13984100</v>
      </c>
      <c r="AA845" s="64" t="str">
        <f>Ringkasan!AA844</f>
        <v>Processed Foods</v>
      </c>
      <c r="AB845" s="64" t="str">
        <f>Ringkasan!AB844</f>
        <v>Consumer Non-Cyclicals</v>
      </c>
    </row>
    <row r="846" hidden="1">
      <c r="A846" s="64" t="str">
        <f>Ringkasan!A741</f>
        <v>GDST</v>
      </c>
      <c r="B846" s="64" t="str">
        <f>Ringkasan!B741</f>
        <v>Gunawan Dianjaya Steel Tbk.</v>
      </c>
      <c r="C846" s="65">
        <f>Ringkasan!C741</f>
        <v>79</v>
      </c>
      <c r="D846" s="64" t="str">
        <f>Ringkasan!D741</f>
        <v>#N/A</v>
      </c>
      <c r="E846" s="64" t="str">
        <f>Ringkasan!E741</f>
        <v/>
      </c>
      <c r="F846" s="64" t="str">
        <f>Ringkasan!F741</f>
        <v/>
      </c>
      <c r="G846" s="64">
        <f>Ringkasan!G741</f>
        <v>0</v>
      </c>
      <c r="H846" s="19">
        <f>Ringkasan!H741</f>
        <v>17.5</v>
      </c>
      <c r="I846" s="19">
        <f>Ringkasan!I741</f>
        <v>0.58</v>
      </c>
      <c r="J846" s="19">
        <f>Ringkasan!J741</f>
        <v>3.3</v>
      </c>
      <c r="K846" s="19">
        <f>Ringkasan!K741</f>
        <v>1.4</v>
      </c>
      <c r="L846" s="19">
        <f>Ringkasan!L741</f>
        <v>1.4</v>
      </c>
      <c r="M846" s="19">
        <f>Ringkasan!M741</f>
        <v>10.1</v>
      </c>
      <c r="N846" s="64" t="str">
        <f>Ringkasan!N741</f>
        <v/>
      </c>
      <c r="O846" s="64" t="str">
        <f>Ringkasan!O741</f>
        <v/>
      </c>
      <c r="P846" s="64" t="str">
        <f>Ringkasan!P741</f>
        <v/>
      </c>
      <c r="Q846" s="64" t="str">
        <f>Ringkasan!Q741</f>
        <v/>
      </c>
      <c r="R846" s="64" t="str">
        <f>Ringkasan!R741</f>
        <v/>
      </c>
      <c r="S846" s="64" t="str">
        <f>Ringkasan!S741</f>
        <v/>
      </c>
      <c r="T846" s="64" t="str">
        <f>Ringkasan!T741</f>
        <v/>
      </c>
      <c r="U846" s="64">
        <f>Ringkasan!U741</f>
        <v>12.5</v>
      </c>
      <c r="V846" s="64">
        <f>Ringkasan!V741</f>
        <v>0</v>
      </c>
      <c r="W846" s="64" t="str">
        <f>Ringkasan!W741</f>
        <v/>
      </c>
      <c r="X846" s="64" t="str">
        <f>Ringkasan!X741</f>
        <v/>
      </c>
      <c r="Y846" s="64" t="str">
        <f>Ringkasan!Y741</f>
        <v/>
      </c>
      <c r="Z846" s="64">
        <f>Ringkasan!Z741</f>
        <v>0</v>
      </c>
      <c r="AA846" s="64" t="str">
        <f>Ringkasan!AA741</f>
        <v>Metals &amp; Minerals</v>
      </c>
      <c r="AB846" s="64" t="str">
        <f>Ringkasan!AB741</f>
        <v>Basic Materials</v>
      </c>
    </row>
    <row r="847" hidden="1">
      <c r="A847" s="64" t="str">
        <f>Ringkasan!A846</f>
        <v>IDEA</v>
      </c>
      <c r="B847" s="64" t="str">
        <f>Ringkasan!B846</f>
        <v>Idea Indonesia Akademi Tbk.</v>
      </c>
      <c r="C847" s="65">
        <f>Ringkasan!C846</f>
        <v>64</v>
      </c>
      <c r="D847" s="64" t="str">
        <f>Ringkasan!D846</f>
        <v>#N/A</v>
      </c>
      <c r="E847" s="64" t="str">
        <f>Ringkasan!E846</f>
        <v/>
      </c>
      <c r="F847" s="64" t="str">
        <f>Ringkasan!F846</f>
        <v/>
      </c>
      <c r="G847" s="64">
        <f>Ringkasan!G846</f>
        <v>0</v>
      </c>
      <c r="H847" s="19">
        <f>Ringkasan!H846</f>
        <v>25.3</v>
      </c>
      <c r="I847" s="19">
        <f>Ringkasan!I846</f>
        <v>1.1</v>
      </c>
      <c r="J847" s="19">
        <f>Ringkasan!J846</f>
        <v>4.4</v>
      </c>
      <c r="K847" s="19">
        <f>Ringkasan!K846</f>
        <v>3.6</v>
      </c>
      <c r="L847" s="19">
        <f>Ringkasan!L846</f>
        <v>0.21</v>
      </c>
      <c r="M847" s="19">
        <f>Ringkasan!M846</f>
        <v>10.9</v>
      </c>
      <c r="N847" s="64" t="str">
        <f>Ringkasan!N846</f>
        <v/>
      </c>
      <c r="O847" s="64" t="str">
        <f>Ringkasan!O846</f>
        <v/>
      </c>
      <c r="P847" s="64" t="str">
        <f>Ringkasan!P846</f>
        <v/>
      </c>
      <c r="Q847" s="64" t="str">
        <f>Ringkasan!Q846</f>
        <v/>
      </c>
      <c r="R847" s="64" t="str">
        <f>Ringkasan!R846</f>
        <v/>
      </c>
      <c r="S847" s="64" t="str">
        <f>Ringkasan!S846</f>
        <v/>
      </c>
      <c r="T847" s="64" t="str">
        <f>Ringkasan!T846</f>
        <v/>
      </c>
      <c r="U847" s="64">
        <f>Ringkasan!U846</f>
        <v>0.03</v>
      </c>
      <c r="V847" s="64">
        <f>Ringkasan!V846</f>
        <v>0</v>
      </c>
      <c r="W847" s="64" t="str">
        <f>Ringkasan!W846</f>
        <v/>
      </c>
      <c r="X847" s="64" t="str">
        <f>Ringkasan!X846</f>
        <v/>
      </c>
      <c r="Y847" s="64" t="str">
        <f>Ringkasan!Y846</f>
        <v/>
      </c>
      <c r="Z847" s="64">
        <f>Ringkasan!Z846</f>
        <v>15</v>
      </c>
      <c r="AA847" s="64" t="str">
        <f>Ringkasan!AA846</f>
        <v>Education &amp; Support Services</v>
      </c>
      <c r="AB847" s="64" t="str">
        <f>Ringkasan!AB846</f>
        <v>Consumer Cyclicals</v>
      </c>
    </row>
    <row r="848" hidden="1">
      <c r="A848" s="64" t="str">
        <f>Ringkasan!A847</f>
        <v>IDPR</v>
      </c>
      <c r="B848" s="60" t="str">
        <f>Ringkasan!B847</f>
        <v>PT Indonesia Pondasi Raya Tbk.</v>
      </c>
      <c r="C848" s="61">
        <f>Ringkasan!C847</f>
        <v>296</v>
      </c>
      <c r="D848" s="60" t="str">
        <f>Ringkasan!D847</f>
        <v>#N/A</v>
      </c>
      <c r="E848" s="60" t="str">
        <f>Ringkasan!E847</f>
        <v/>
      </c>
      <c r="F848" s="60" t="str">
        <f>Ringkasan!F847</f>
        <v/>
      </c>
      <c r="G848" s="60">
        <f>Ringkasan!G847</f>
        <v>0</v>
      </c>
      <c r="H848" s="62">
        <f>Ringkasan!H847</f>
        <v>20.2</v>
      </c>
      <c r="I848" s="62">
        <f>Ringkasan!I847</f>
        <v>0.86</v>
      </c>
      <c r="J848" s="62">
        <f>Ringkasan!J847</f>
        <v>4.2</v>
      </c>
      <c r="K848" s="62">
        <f>Ringkasan!K847</f>
        <v>1.7</v>
      </c>
      <c r="L848" s="62">
        <f>Ringkasan!L847</f>
        <v>1.5</v>
      </c>
      <c r="M848" s="62">
        <f>Ringkasan!M847</f>
        <v>7.4</v>
      </c>
      <c r="N848" s="60" t="str">
        <f>Ringkasan!N847</f>
        <v/>
      </c>
      <c r="O848" s="60" t="str">
        <f>Ringkasan!O847</f>
        <v/>
      </c>
      <c r="P848" s="60" t="str">
        <f>Ringkasan!P847</f>
        <v/>
      </c>
      <c r="Q848" s="60" t="str">
        <f>Ringkasan!Q847</f>
        <v/>
      </c>
      <c r="R848" s="60" t="str">
        <f>Ringkasan!R847</f>
        <v/>
      </c>
      <c r="S848" s="60" t="str">
        <f>Ringkasan!S847</f>
        <v/>
      </c>
      <c r="T848" s="60" t="str">
        <f>Ringkasan!T847</f>
        <v/>
      </c>
      <c r="U848" s="60" t="str">
        <f>Ringkasan!U847</f>
        <v/>
      </c>
      <c r="V848" s="60">
        <f>Ringkasan!V847</f>
        <v>-0.67</v>
      </c>
      <c r="W848" s="60">
        <f>Ringkasan!W847</f>
        <v>296</v>
      </c>
      <c r="X848" s="60">
        <f>Ringkasan!X847</f>
        <v>300</v>
      </c>
      <c r="Y848" s="60">
        <f>Ringkasan!Y847</f>
        <v>296</v>
      </c>
      <c r="Z848" s="60">
        <f>Ringkasan!Z847</f>
        <v>147000</v>
      </c>
      <c r="AA848" s="60" t="str">
        <f>Ringkasan!AA847</f>
        <v>Heavy Constructions &amp; Civil Engineering</v>
      </c>
      <c r="AB848" s="60" t="str">
        <f>Ringkasan!AB847</f>
        <v>Infrastructures</v>
      </c>
    </row>
    <row r="849" hidden="1">
      <c r="A849" s="64" t="str">
        <f>Ringkasan!A848</f>
        <v>IFII</v>
      </c>
      <c r="B849" s="64" t="str">
        <f>Ringkasan!B848</f>
        <v>Indonesia Fibreboard Industry Tbk.</v>
      </c>
      <c r="C849" s="65">
        <f>Ringkasan!C848</f>
        <v>222</v>
      </c>
      <c r="D849" s="64" t="str">
        <f>Ringkasan!D848</f>
        <v>#N/A</v>
      </c>
      <c r="E849" s="64" t="str">
        <f>Ringkasan!E848</f>
        <v/>
      </c>
      <c r="F849" s="64" t="str">
        <f>Ringkasan!F848</f>
        <v/>
      </c>
      <c r="G849" s="65">
        <f>Ringkasan!G848</f>
        <v>0</v>
      </c>
      <c r="H849" s="19">
        <f>Ringkasan!H848</f>
        <v>14.1</v>
      </c>
      <c r="I849" s="19">
        <f>Ringkasan!I848</f>
        <v>1.5</v>
      </c>
      <c r="J849" s="19">
        <f>Ringkasan!J848</f>
        <v>10.6</v>
      </c>
      <c r="K849" s="19">
        <f>Ringkasan!K848</f>
        <v>8.5</v>
      </c>
      <c r="L849" s="19">
        <f>Ringkasan!L848</f>
        <v>0.24</v>
      </c>
      <c r="M849" s="19">
        <f>Ringkasan!M848</f>
        <v>45.6</v>
      </c>
      <c r="N849" s="64" t="str">
        <f>Ringkasan!N848</f>
        <v/>
      </c>
      <c r="O849" s="64" t="str">
        <f>Ringkasan!O848</f>
        <v/>
      </c>
      <c r="P849" s="64" t="str">
        <f>Ringkasan!P848</f>
        <v/>
      </c>
      <c r="Q849" s="64" t="str">
        <f>Ringkasan!Q848</f>
        <v/>
      </c>
      <c r="R849" s="64" t="str">
        <f>Ringkasan!R848</f>
        <v/>
      </c>
      <c r="S849" s="64" t="str">
        <f>Ringkasan!S848</f>
        <v/>
      </c>
      <c r="T849" s="64" t="str">
        <f>Ringkasan!T848</f>
        <v/>
      </c>
      <c r="U849" s="64">
        <f>Ringkasan!U848</f>
        <v>224</v>
      </c>
      <c r="V849" s="64">
        <f>Ringkasan!V848</f>
        <v>-0.89</v>
      </c>
      <c r="W849" s="64">
        <f>Ringkasan!W848</f>
        <v>224</v>
      </c>
      <c r="X849" s="64">
        <f>Ringkasan!X848</f>
        <v>224</v>
      </c>
      <c r="Y849" s="64">
        <f>Ringkasan!Y848</f>
        <v>218</v>
      </c>
      <c r="Z849" s="64">
        <f>Ringkasan!Z848</f>
        <v>39400</v>
      </c>
      <c r="AA849" s="64" t="str">
        <f>Ringkasan!AA848</f>
        <v>Forestry &amp; Paper</v>
      </c>
      <c r="AB849" s="64" t="str">
        <f>Ringkasan!AB848</f>
        <v>Basic Materials</v>
      </c>
    </row>
    <row r="850" hidden="1">
      <c r="A850" s="64" t="str">
        <f>Ringkasan!A812</f>
        <v>HRTA</v>
      </c>
      <c r="B850" s="64" t="str">
        <f>Ringkasan!B812</f>
        <v>Hartadinata Abadi Tbk.</v>
      </c>
      <c r="C850" s="65">
        <f>Ringkasan!C812</f>
        <v>1950</v>
      </c>
      <c r="D850" s="64" t="str">
        <f>Ringkasan!D812</f>
        <v>#N/A</v>
      </c>
      <c r="E850" s="64" t="str">
        <f>Ringkasan!E812</f>
        <v>IDXG30</v>
      </c>
      <c r="F850" s="64" t="str">
        <f>Ringkasan!F812</f>
        <v>4 Agustus 2026</v>
      </c>
      <c r="G850" s="64">
        <f>Ringkasan!G812</f>
        <v>8</v>
      </c>
      <c r="H850" s="19">
        <f>Ringkasan!H812</f>
        <v>9.1</v>
      </c>
      <c r="I850" s="19">
        <f>Ringkasan!I812</f>
        <v>3.1</v>
      </c>
      <c r="J850" s="19">
        <f>Ringkasan!J812</f>
        <v>34.5</v>
      </c>
      <c r="K850" s="19">
        <f>Ringkasan!K812</f>
        <v>9.2</v>
      </c>
      <c r="L850" s="19">
        <f>Ringkasan!L812</f>
        <v>2.8</v>
      </c>
      <c r="M850" s="19">
        <f>Ringkasan!M812</f>
        <v>6.3</v>
      </c>
      <c r="N850" s="64" t="str">
        <f>Ringkasan!N812</f>
        <v/>
      </c>
      <c r="O850" s="64" t="str">
        <f>Ringkasan!O812</f>
        <v/>
      </c>
      <c r="P850" s="64" t="str">
        <f>Ringkasan!P812</f>
        <v/>
      </c>
      <c r="Q850" s="64" t="str">
        <f>Ringkasan!Q812</f>
        <v/>
      </c>
      <c r="R850" s="64" t="str">
        <f>Ringkasan!R812</f>
        <v/>
      </c>
      <c r="S850" s="64" t="str">
        <f>Ringkasan!S812</f>
        <v/>
      </c>
      <c r="T850" s="64" t="str">
        <f>Ringkasan!T812</f>
        <v/>
      </c>
      <c r="U850" s="64">
        <f>Ringkasan!U812</f>
        <v>1750</v>
      </c>
      <c r="V850" s="64">
        <f>Ringkasan!V812</f>
        <v>11.43</v>
      </c>
      <c r="W850" s="64">
        <f>Ringkasan!W812</f>
        <v>1885</v>
      </c>
      <c r="X850" s="64">
        <f>Ringkasan!X812</f>
        <v>1960</v>
      </c>
      <c r="Y850" s="64" t="str">
        <f>Ringkasan!Y812</f>
        <v/>
      </c>
      <c r="Z850" s="64">
        <f>Ringkasan!Z812</f>
        <v>26981900</v>
      </c>
      <c r="AA850" s="64" t="str">
        <f>Ringkasan!AA812</f>
        <v>Apparel &amp; Luxury Goods</v>
      </c>
      <c r="AB850" s="64" t="str">
        <f>Ringkasan!AB812</f>
        <v>Consumer Cyclicals</v>
      </c>
    </row>
    <row r="851" hidden="1">
      <c r="A851" s="64" t="str">
        <f>Ringkasan!A850</f>
        <v>IGAR</v>
      </c>
      <c r="B851" s="64" t="str">
        <f>Ringkasan!B850</f>
        <v>Champion Pacific Indonesia Tbk.</v>
      </c>
      <c r="C851" s="65" t="str">
        <f>Ringkasan!C850</f>
        <v>#N/A</v>
      </c>
      <c r="D851" s="64" t="str">
        <f>Ringkasan!D850</f>
        <v>#N/A</v>
      </c>
      <c r="E851" s="64" t="str">
        <f>Ringkasan!E850</f>
        <v/>
      </c>
      <c r="F851" s="64" t="str">
        <f>Ringkasan!F850</f>
        <v/>
      </c>
      <c r="G851" s="64">
        <f>Ringkasan!G850</f>
        <v>0</v>
      </c>
      <c r="H851" s="19">
        <f>Ringkasan!H850</f>
        <v>7.3</v>
      </c>
      <c r="I851" s="19">
        <f>Ringkasan!I850</f>
        <v>0.45</v>
      </c>
      <c r="J851" s="19">
        <f>Ringkasan!J850</f>
        <v>6.2</v>
      </c>
      <c r="K851" s="19">
        <f>Ringkasan!K850</f>
        <v>5.4</v>
      </c>
      <c r="L851" s="19">
        <f>Ringkasan!L850</f>
        <v>0.15</v>
      </c>
      <c r="M851" s="19">
        <f>Ringkasan!M850</f>
        <v>26.9</v>
      </c>
      <c r="N851" s="64" t="str">
        <f>Ringkasan!N850</f>
        <v/>
      </c>
      <c r="O851" s="64" t="str">
        <f>Ringkasan!O850</f>
        <v/>
      </c>
      <c r="P851" s="64" t="str">
        <f>Ringkasan!P850</f>
        <v/>
      </c>
      <c r="Q851" s="64" t="str">
        <f>Ringkasan!Q850</f>
        <v/>
      </c>
      <c r="R851" s="64" t="str">
        <f>Ringkasan!R850</f>
        <v/>
      </c>
      <c r="S851" s="64" t="str">
        <f>Ringkasan!S850</f>
        <v/>
      </c>
      <c r="T851" s="64" t="str">
        <f>Ringkasan!T850</f>
        <v/>
      </c>
      <c r="U851" s="64">
        <f>Ringkasan!U850</f>
        <v>416</v>
      </c>
      <c r="V851" s="64">
        <f>Ringkasan!V850</f>
        <v>1.92</v>
      </c>
      <c r="W851" s="64">
        <f>Ringkasan!W850</f>
        <v>426</v>
      </c>
      <c r="X851" s="64">
        <f>Ringkasan!X850</f>
        <v>426</v>
      </c>
      <c r="Y851" s="64">
        <f>Ringkasan!Y850</f>
        <v>416</v>
      </c>
      <c r="Z851" s="64">
        <f>Ringkasan!Z850</f>
        <v>5300</v>
      </c>
      <c r="AA851" s="64" t="str">
        <f>Ringkasan!AA850</f>
        <v>Containers &amp; Packaging</v>
      </c>
      <c r="AB851" s="64" t="str">
        <f>Ringkasan!AB850</f>
        <v>Basic Materials</v>
      </c>
    </row>
    <row r="852" hidden="1">
      <c r="A852" s="64" t="str">
        <f>Ringkasan!A851</f>
        <v>IIKP</v>
      </c>
      <c r="B852" s="64" t="str">
        <f>Ringkasan!B851</f>
        <v>Inti Agri Resources Tbk</v>
      </c>
      <c r="C852" s="65">
        <f>Ringkasan!C851</f>
        <v>50</v>
      </c>
      <c r="D852" s="64" t="str">
        <f>Ringkasan!D851</f>
        <v>#N/A</v>
      </c>
      <c r="E852" s="64" t="str">
        <f>Ringkasan!E851</f>
        <v/>
      </c>
      <c r="F852" s="64" t="str">
        <f>Ringkasan!F851</f>
        <v/>
      </c>
      <c r="G852" s="64">
        <f>Ringkasan!G851</f>
        <v>0</v>
      </c>
      <c r="H852" s="19">
        <f>Ringkasan!H851</f>
        <v>-150</v>
      </c>
      <c r="I852" s="19">
        <f>Ringkasan!I851</f>
        <v>10.7</v>
      </c>
      <c r="J852" s="19">
        <f>Ringkasan!J851</f>
        <v>-7.4</v>
      </c>
      <c r="K852" s="19">
        <f>Ringkasan!K851</f>
        <v>-6.4</v>
      </c>
      <c r="L852" s="19">
        <f>Ringkasan!L851</f>
        <v>0.14</v>
      </c>
      <c r="M852" s="19">
        <f>Ringkasan!M851</f>
        <v>-46000</v>
      </c>
      <c r="N852" s="64" t="str">
        <f>Ringkasan!N851</f>
        <v/>
      </c>
      <c r="O852" s="64" t="str">
        <f>Ringkasan!O851</f>
        <v/>
      </c>
      <c r="P852" s="64" t="str">
        <f>Ringkasan!P851</f>
        <v/>
      </c>
      <c r="Q852" s="64" t="str">
        <f>Ringkasan!Q851</f>
        <v/>
      </c>
      <c r="R852" s="64" t="str">
        <f>Ringkasan!R851</f>
        <v/>
      </c>
      <c r="S852" s="64" t="str">
        <f>Ringkasan!S851</f>
        <v/>
      </c>
      <c r="T852" s="64" t="str">
        <f>Ringkasan!T851</f>
        <v/>
      </c>
      <c r="U852" s="64">
        <f>Ringkasan!U851</f>
        <v>50</v>
      </c>
      <c r="V852" s="64">
        <f>Ringkasan!V851</f>
        <v>0</v>
      </c>
      <c r="W852" s="64" t="str">
        <f>Ringkasan!W851</f>
        <v/>
      </c>
      <c r="X852" s="64" t="str">
        <f>Ringkasan!X851</f>
        <v/>
      </c>
      <c r="Y852" s="64" t="str">
        <f>Ringkasan!Y851</f>
        <v/>
      </c>
      <c r="Z852" s="64">
        <f>Ringkasan!Z851</f>
        <v>0</v>
      </c>
      <c r="AA852" s="64" t="str">
        <f>Ringkasan!AA851</f>
        <v>Sport Equipment &amp; Hobbies Goods</v>
      </c>
      <c r="AB852" s="64" t="str">
        <f>Ringkasan!AB851</f>
        <v>Consumer Cyclicals</v>
      </c>
    </row>
    <row r="853" hidden="1">
      <c r="A853" s="64" t="str">
        <f>Ringkasan!A852</f>
        <v>IKAI</v>
      </c>
      <c r="B853" s="64" t="str">
        <f>Ringkasan!B852</f>
        <v>Intikeramik Alamasri Industri Tbk.</v>
      </c>
      <c r="C853" s="65">
        <f>Ringkasan!C852</f>
        <v>20</v>
      </c>
      <c r="D853" s="64" t="str">
        <f>Ringkasan!D852</f>
        <v>#N/A</v>
      </c>
      <c r="E853" s="64" t="str">
        <f>Ringkasan!E852</f>
        <v/>
      </c>
      <c r="F853" s="64" t="str">
        <f>Ringkasan!F852</f>
        <v/>
      </c>
      <c r="G853" s="64">
        <f>Ringkasan!G852</f>
        <v>0</v>
      </c>
      <c r="H853" s="19">
        <f>Ringkasan!H852</f>
        <v>-5.2</v>
      </c>
      <c r="I853" s="19">
        <f>Ringkasan!I852</f>
        <v>0.46</v>
      </c>
      <c r="J853" s="19">
        <f>Ringkasan!J852</f>
        <v>-8.9</v>
      </c>
      <c r="K853" s="19">
        <f>Ringkasan!K852</f>
        <v>-5</v>
      </c>
      <c r="L853" s="19">
        <f>Ringkasan!L852</f>
        <v>0.78</v>
      </c>
      <c r="M853" s="19">
        <f>Ringkasan!M852</f>
        <v>-180</v>
      </c>
      <c r="N853" s="64" t="str">
        <f>Ringkasan!N852</f>
        <v/>
      </c>
      <c r="O853" s="64" t="str">
        <f>Ringkasan!O852</f>
        <v/>
      </c>
      <c r="P853" s="64" t="str">
        <f>Ringkasan!P852</f>
        <v/>
      </c>
      <c r="Q853" s="64" t="str">
        <f>Ringkasan!Q852</f>
        <v/>
      </c>
      <c r="R853" s="64" t="str">
        <f>Ringkasan!R852</f>
        <v/>
      </c>
      <c r="S853" s="64" t="str">
        <f>Ringkasan!S852</f>
        <v/>
      </c>
      <c r="T853" s="64" t="str">
        <f>Ringkasan!T852</f>
        <v/>
      </c>
      <c r="U853" s="64">
        <f>Ringkasan!U852</f>
        <v>19</v>
      </c>
      <c r="V853" s="64">
        <f>Ringkasan!V852</f>
        <v>5.26</v>
      </c>
      <c r="W853" s="64" t="str">
        <f>Ringkasan!W852</f>
        <v/>
      </c>
      <c r="X853" s="64">
        <f>Ringkasan!X852</f>
        <v>20</v>
      </c>
      <c r="Y853" s="64">
        <f>Ringkasan!Y852</f>
        <v>20</v>
      </c>
      <c r="Z853" s="64">
        <f>Ringkasan!Z852</f>
        <v>6312100</v>
      </c>
      <c r="AA853" s="64" t="str">
        <f>Ringkasan!AA852</f>
        <v>Building Products &amp; Fixtures</v>
      </c>
      <c r="AB853" s="64" t="str">
        <f>Ringkasan!AB852</f>
        <v>Industrials</v>
      </c>
    </row>
    <row r="854" hidden="1">
      <c r="A854" s="64" t="str">
        <f>Ringkasan!A27</f>
        <v>ACRO</v>
      </c>
      <c r="B854" s="64" t="str">
        <f>Ringkasan!B27</f>
        <v>Samcro Hyosung Adilestari Tbk.</v>
      </c>
      <c r="C854" s="65">
        <f>Ringkasan!C27</f>
        <v>61</v>
      </c>
      <c r="D854" s="64" t="str">
        <f>Ringkasan!D27</f>
        <v>#N/A</v>
      </c>
      <c r="E854" s="64" t="str">
        <f>Ringkasan!E27</f>
        <v/>
      </c>
      <c r="F854" s="64" t="str">
        <f>Ringkasan!F27</f>
        <v/>
      </c>
      <c r="G854" s="64">
        <f>Ringkasan!G27</f>
        <v>0</v>
      </c>
      <c r="H854" s="19">
        <f>Ringkasan!H27</f>
        <v>26.8</v>
      </c>
      <c r="I854" s="19">
        <f>Ringkasan!I27</f>
        <v>1.2</v>
      </c>
      <c r="J854" s="19">
        <f>Ringkasan!J27</f>
        <v>4.6</v>
      </c>
      <c r="K854" s="19">
        <f>Ringkasan!K27</f>
        <v>3.5</v>
      </c>
      <c r="L854" s="19">
        <f>Ringkasan!L27</f>
        <v>0.29</v>
      </c>
      <c r="M854" s="19">
        <f>Ringkasan!M27</f>
        <v>70.6</v>
      </c>
      <c r="N854" s="64" t="str">
        <f>Ringkasan!N27</f>
        <v/>
      </c>
      <c r="O854" s="64" t="str">
        <f>Ringkasan!O27</f>
        <v/>
      </c>
      <c r="P854" s="64" t="str">
        <f>Ringkasan!P27</f>
        <v/>
      </c>
      <c r="Q854" s="64" t="str">
        <f>Ringkasan!Q27</f>
        <v/>
      </c>
      <c r="R854" s="64" t="str">
        <f>Ringkasan!R27</f>
        <v/>
      </c>
      <c r="S854" s="64" t="str">
        <f>Ringkasan!S27</f>
        <v/>
      </c>
      <c r="T854" s="64" t="str">
        <f>Ringkasan!T27</f>
        <v/>
      </c>
      <c r="U854" s="64">
        <f>Ringkasan!U27</f>
        <v>60</v>
      </c>
      <c r="V854" s="64">
        <f>Ringkasan!V27</f>
        <v>1.67</v>
      </c>
      <c r="W854" s="64">
        <f>Ringkasan!W27</f>
        <v>60</v>
      </c>
      <c r="X854" s="64">
        <f>Ringkasan!X27</f>
        <v>65</v>
      </c>
      <c r="Y854" s="64">
        <f>Ringkasan!Y27</f>
        <v>60</v>
      </c>
      <c r="Z854" s="64">
        <f>Ringkasan!Z27</f>
        <v>3937300</v>
      </c>
      <c r="AA854" s="64" t="str">
        <f>Ringkasan!AA27</f>
        <v>Apparel &amp; Luxury Goods</v>
      </c>
      <c r="AB854" s="64" t="str">
        <f>Ringkasan!AB27</f>
        <v>Consumer Cyclicals</v>
      </c>
    </row>
    <row r="855" hidden="1">
      <c r="A855" s="64" t="str">
        <f>Ringkasan!A854</f>
        <v>IKBI</v>
      </c>
      <c r="B855" s="64" t="str">
        <f>Ringkasan!B854</f>
        <v>Sumi Indo Kabel Tbk.</v>
      </c>
      <c r="C855" s="65">
        <f>Ringkasan!C854</f>
        <v>515</v>
      </c>
      <c r="D855" s="64" t="str">
        <f>Ringkasan!D854</f>
        <v>#N/A</v>
      </c>
      <c r="E855" s="64" t="str">
        <f>Ringkasan!E854</f>
        <v/>
      </c>
      <c r="F855" s="64" t="str">
        <f>Ringkasan!F854</f>
        <v/>
      </c>
      <c r="G855" s="64">
        <f>Ringkasan!G854</f>
        <v>0</v>
      </c>
      <c r="H855" s="19">
        <f>Ringkasan!H854</f>
        <v>4.1</v>
      </c>
      <c r="I855" s="19">
        <f>Ringkasan!I854</f>
        <v>0.43</v>
      </c>
      <c r="J855" s="19">
        <f>Ringkasan!J854</f>
        <v>10.6</v>
      </c>
      <c r="K855" s="19">
        <f>Ringkasan!K854</f>
        <v>8.2</v>
      </c>
      <c r="L855" s="19">
        <f>Ringkasan!L854</f>
        <v>0.3</v>
      </c>
      <c r="M855" s="19">
        <f>Ringkasan!M854</f>
        <v>5</v>
      </c>
      <c r="N855" s="64" t="str">
        <f>Ringkasan!N854</f>
        <v/>
      </c>
      <c r="O855" s="64" t="str">
        <f>Ringkasan!O854</f>
        <v/>
      </c>
      <c r="P855" s="64" t="str">
        <f>Ringkasan!P854</f>
        <v/>
      </c>
      <c r="Q855" s="64" t="str">
        <f>Ringkasan!Q854</f>
        <v/>
      </c>
      <c r="R855" s="64" t="str">
        <f>Ringkasan!R854</f>
        <v/>
      </c>
      <c r="S855" s="64" t="str">
        <f>Ringkasan!S854</f>
        <v/>
      </c>
      <c r="T855" s="64" t="str">
        <f>Ringkasan!T854</f>
        <v/>
      </c>
      <c r="U855" s="64">
        <f>Ringkasan!U854</f>
        <v>500</v>
      </c>
      <c r="V855" s="64">
        <f>Ringkasan!V854</f>
        <v>3</v>
      </c>
      <c r="W855" s="64">
        <f>Ringkasan!W854</f>
        <v>498</v>
      </c>
      <c r="X855" s="64">
        <f>Ringkasan!X854</f>
        <v>520</v>
      </c>
      <c r="Y855" s="64">
        <f>Ringkasan!Y854</f>
        <v>494</v>
      </c>
      <c r="Z855" s="64">
        <f>Ringkasan!Z854</f>
        <v>30500</v>
      </c>
      <c r="AA855" s="64" t="str">
        <f>Ringkasan!AA854</f>
        <v>Electrical</v>
      </c>
      <c r="AB855" s="64" t="str">
        <f>Ringkasan!AB854</f>
        <v>Industrials</v>
      </c>
    </row>
    <row r="856" hidden="1">
      <c r="A856" s="64" t="str">
        <f>Ringkasan!A855</f>
        <v>IKPM</v>
      </c>
      <c r="B856" s="64" t="str">
        <f>Ringkasan!B855</f>
        <v>Ikapharmindo Putramas Tbk.</v>
      </c>
      <c r="C856" s="65">
        <f>Ringkasan!C855</f>
        <v>181</v>
      </c>
      <c r="D856" s="64" t="str">
        <f>Ringkasan!D855</f>
        <v>#N/A</v>
      </c>
      <c r="E856" s="64" t="str">
        <f>Ringkasan!E855</f>
        <v/>
      </c>
      <c r="F856" s="64" t="str">
        <f>Ringkasan!F855</f>
        <v/>
      </c>
      <c r="G856" s="64">
        <f>Ringkasan!G855</f>
        <v>0</v>
      </c>
      <c r="H856" s="19">
        <f>Ringkasan!H855</f>
        <v>-11.8</v>
      </c>
      <c r="I856" s="19">
        <f>Ringkasan!I855</f>
        <v>1.4</v>
      </c>
      <c r="J856" s="19">
        <f>Ringkasan!J855</f>
        <v>-12.1</v>
      </c>
      <c r="K856" s="19">
        <f>Ringkasan!K855</f>
        <v>-5.6</v>
      </c>
      <c r="L856" s="19">
        <f>Ringkasan!L855</f>
        <v>1.2</v>
      </c>
      <c r="M856" s="19">
        <f>Ringkasan!M855</f>
        <v>-25.5</v>
      </c>
      <c r="N856" s="64" t="str">
        <f>Ringkasan!N855</f>
        <v/>
      </c>
      <c r="O856" s="64" t="str">
        <f>Ringkasan!O855</f>
        <v/>
      </c>
      <c r="P856" s="64" t="str">
        <f>Ringkasan!P855</f>
        <v/>
      </c>
      <c r="Q856" s="64" t="str">
        <f>Ringkasan!Q855</f>
        <v/>
      </c>
      <c r="R856" s="64" t="str">
        <f>Ringkasan!R855</f>
        <v/>
      </c>
      <c r="S856" s="64" t="str">
        <f>Ringkasan!S855</f>
        <v/>
      </c>
      <c r="T856" s="64" t="str">
        <f>Ringkasan!T855</f>
        <v/>
      </c>
      <c r="U856" s="64">
        <f>Ringkasan!U855</f>
        <v>175</v>
      </c>
      <c r="V856" s="64">
        <f>Ringkasan!V855</f>
        <v>3.43</v>
      </c>
      <c r="W856" s="64">
        <f>Ringkasan!W855</f>
        <v>175</v>
      </c>
      <c r="X856" s="64">
        <f>Ringkasan!X855</f>
        <v>181</v>
      </c>
      <c r="Y856" s="64">
        <f>Ringkasan!Y855</f>
        <v>172</v>
      </c>
      <c r="Z856" s="64">
        <f>Ringkasan!Z855</f>
        <v>27600</v>
      </c>
      <c r="AA856" s="64" t="str">
        <f>Ringkasan!AA855</f>
        <v>Pharmaceuticals</v>
      </c>
      <c r="AB856" s="64" t="str">
        <f>Ringkasan!AB855</f>
        <v>Healthcare</v>
      </c>
    </row>
    <row r="857" hidden="1">
      <c r="A857" s="64" t="str">
        <f>Ringkasan!A856</f>
        <v>IMAS</v>
      </c>
      <c r="B857" s="64" t="str">
        <f>Ringkasan!B856</f>
        <v>Indomobil Sukses Internasional Tbk</v>
      </c>
      <c r="C857" s="65">
        <f>Ringkasan!C856</f>
        <v>885</v>
      </c>
      <c r="D857" s="64" t="str">
        <f>Ringkasan!D856</f>
        <v>#N/A</v>
      </c>
      <c r="E857" s="64" t="str">
        <f>Ringkasan!E856</f>
        <v/>
      </c>
      <c r="F857" s="64" t="str">
        <f>Ringkasan!F856</f>
        <v/>
      </c>
      <c r="G857" s="64">
        <f>Ringkasan!G856</f>
        <v>0</v>
      </c>
      <c r="H857" s="19">
        <f>Ringkasan!H856</f>
        <v>28.7</v>
      </c>
      <c r="I857" s="19">
        <f>Ringkasan!I856</f>
        <v>0.23</v>
      </c>
      <c r="J857" s="19">
        <f>Ringkasan!J856</f>
        <v>0.79</v>
      </c>
      <c r="K857" s="19">
        <f>Ringkasan!K856</f>
        <v>0.16</v>
      </c>
      <c r="L857" s="19">
        <f>Ringkasan!L856</f>
        <v>4</v>
      </c>
      <c r="M857" s="19">
        <f>Ringkasan!M856</f>
        <v>1.5</v>
      </c>
      <c r="N857" s="64" t="str">
        <f>Ringkasan!N856</f>
        <v/>
      </c>
      <c r="O857" s="64" t="str">
        <f>Ringkasan!O856</f>
        <v/>
      </c>
      <c r="P857" s="64" t="str">
        <f>Ringkasan!P856</f>
        <v/>
      </c>
      <c r="Q857" s="64" t="str">
        <f>Ringkasan!Q856</f>
        <v/>
      </c>
      <c r="R857" s="64" t="str">
        <f>Ringkasan!R856</f>
        <v/>
      </c>
      <c r="S857" s="64" t="str">
        <f>Ringkasan!S856</f>
        <v/>
      </c>
      <c r="T857" s="64" t="str">
        <f>Ringkasan!T856</f>
        <v/>
      </c>
      <c r="U857" s="64">
        <f>Ringkasan!U856</f>
        <v>850</v>
      </c>
      <c r="V857" s="64">
        <f>Ringkasan!V856</f>
        <v>4.12</v>
      </c>
      <c r="W857" s="64">
        <f>Ringkasan!W856</f>
        <v>850</v>
      </c>
      <c r="X857" s="64">
        <f>Ringkasan!X856</f>
        <v>900</v>
      </c>
      <c r="Y857" s="64">
        <f>Ringkasan!Y856</f>
        <v>825</v>
      </c>
      <c r="Z857" s="64">
        <f>Ringkasan!Z856</f>
        <v>785500</v>
      </c>
      <c r="AA857" s="64" t="str">
        <f>Ringkasan!AA856</f>
        <v>Specialty Retail</v>
      </c>
      <c r="AB857" s="64" t="str">
        <f>Ringkasan!AB856</f>
        <v>Consumer Cyclicals</v>
      </c>
    </row>
    <row r="858" hidden="1">
      <c r="A858" s="64" t="str">
        <f>Ringkasan!A857</f>
        <v>IMJS</v>
      </c>
      <c r="B858" s="64" t="str">
        <f>Ringkasan!B857</f>
        <v>Indomobil Multi Jasa Tbk.</v>
      </c>
      <c r="C858" s="65">
        <f>Ringkasan!C857</f>
        <v>140</v>
      </c>
      <c r="D858" s="64" t="str">
        <f>Ringkasan!D857</f>
        <v>#N/A</v>
      </c>
      <c r="E858" s="64" t="str">
        <f>Ringkasan!E857</f>
        <v/>
      </c>
      <c r="F858" s="64" t="str">
        <f>Ringkasan!F857</f>
        <v/>
      </c>
      <c r="G858" s="64">
        <f>Ringkasan!G857</f>
        <v>0</v>
      </c>
      <c r="H858" s="19">
        <f>Ringkasan!H857</f>
        <v>10.4</v>
      </c>
      <c r="I858" s="19">
        <f>Ringkasan!I857</f>
        <v>0.31</v>
      </c>
      <c r="J858" s="19">
        <f>Ringkasan!J857</f>
        <v>3</v>
      </c>
      <c r="K858" s="19">
        <f>Ringkasan!K857</f>
        <v>0.48</v>
      </c>
      <c r="L858" s="19">
        <f>Ringkasan!L857</f>
        <v>5.3</v>
      </c>
      <c r="M858" s="19">
        <f>Ringkasan!M857</f>
        <v>9.8</v>
      </c>
      <c r="N858" s="64" t="str">
        <f>Ringkasan!N857</f>
        <v/>
      </c>
      <c r="O858" s="64" t="str">
        <f>Ringkasan!O857</f>
        <v/>
      </c>
      <c r="P858" s="64" t="str">
        <f>Ringkasan!P857</f>
        <v/>
      </c>
      <c r="Q858" s="64" t="str">
        <f>Ringkasan!Q857</f>
        <v/>
      </c>
      <c r="R858" s="64" t="str">
        <f>Ringkasan!R857</f>
        <v/>
      </c>
      <c r="S858" s="64" t="str">
        <f>Ringkasan!S857</f>
        <v/>
      </c>
      <c r="T858" s="64" t="str">
        <f>Ringkasan!T857</f>
        <v/>
      </c>
      <c r="U858" s="64">
        <f>Ringkasan!U857</f>
        <v>135</v>
      </c>
      <c r="V858" s="64">
        <f>Ringkasan!V857</f>
        <v>3.7</v>
      </c>
      <c r="W858" s="64" t="str">
        <f>Ringkasan!W857</f>
        <v/>
      </c>
      <c r="X858" s="64">
        <f>Ringkasan!X857</f>
        <v>144</v>
      </c>
      <c r="Y858" s="64" t="str">
        <f>Ringkasan!Y857</f>
        <v/>
      </c>
      <c r="Z858" s="64">
        <f>Ringkasan!Z857</f>
        <v>3619900</v>
      </c>
      <c r="AA858" s="64" t="str">
        <f>Ringkasan!AA857</f>
        <v>Passenger Land Transportation</v>
      </c>
      <c r="AB858" s="64" t="str">
        <f>Ringkasan!AB857</f>
        <v>Transportation &amp; Logistic</v>
      </c>
    </row>
    <row r="859" hidden="1">
      <c r="A859" s="64" t="str">
        <f>Ringkasan!A858</f>
        <v>IMPC</v>
      </c>
      <c r="B859" s="64" t="str">
        <f>Ringkasan!B858</f>
        <v>Impack Pratama Industri Tbk.</v>
      </c>
      <c r="C859" s="65">
        <f>Ringkasan!C858</f>
        <v>1665</v>
      </c>
      <c r="D859" s="64" t="str">
        <f>Ringkasan!D858</f>
        <v>#N/A</v>
      </c>
      <c r="E859" s="64" t="str">
        <f>Ringkasan!E858</f>
        <v>Kompas100</v>
      </c>
      <c r="F859" s="64" t="str">
        <f>Ringkasan!F858</f>
        <v>31 Juli 2026</v>
      </c>
      <c r="G859" s="64">
        <f>Ringkasan!G858</f>
        <v>2</v>
      </c>
      <c r="H859" s="19">
        <f>Ringkasan!H858</f>
        <v>150</v>
      </c>
      <c r="I859" s="19">
        <f>Ringkasan!I858</f>
        <v>30.9</v>
      </c>
      <c r="J859" s="19">
        <f>Ringkasan!J858</f>
        <v>20.7</v>
      </c>
      <c r="K859" s="19">
        <f>Ringkasan!K858</f>
        <v>13</v>
      </c>
      <c r="L859" s="19">
        <f>Ringkasan!L858</f>
        <v>0.6</v>
      </c>
      <c r="M859" s="19">
        <f>Ringkasan!M858</f>
        <v>57</v>
      </c>
      <c r="N859" s="64" t="str">
        <f>Ringkasan!N858</f>
        <v/>
      </c>
      <c r="O859" s="64" t="str">
        <f>Ringkasan!O858</f>
        <v/>
      </c>
      <c r="P859" s="64" t="str">
        <f>Ringkasan!P858</f>
        <v/>
      </c>
      <c r="Q859" s="64" t="str">
        <f>Ringkasan!Q858</f>
        <v/>
      </c>
      <c r="R859" s="64" t="str">
        <f>Ringkasan!R858</f>
        <v/>
      </c>
      <c r="S859" s="64" t="str">
        <f>Ringkasan!S858</f>
        <v/>
      </c>
      <c r="T859" s="64" t="str">
        <f>Ringkasan!T858</f>
        <v/>
      </c>
      <c r="U859" s="64">
        <f>Ringkasan!U858</f>
        <v>1600</v>
      </c>
      <c r="V859" s="64">
        <f>Ringkasan!V858</f>
        <v>4.06</v>
      </c>
      <c r="W859" s="64">
        <f>Ringkasan!W858</f>
        <v>1635</v>
      </c>
      <c r="X859" s="64">
        <f>Ringkasan!X858</f>
        <v>1745</v>
      </c>
      <c r="Y859" s="64">
        <f>Ringkasan!Y858</f>
        <v>1610</v>
      </c>
      <c r="Z859" s="64">
        <f>Ringkasan!Z858</f>
        <v>44187400</v>
      </c>
      <c r="AA859" s="64" t="str">
        <f>Ringkasan!AA858</f>
        <v>Building Products &amp; Fixtures</v>
      </c>
      <c r="AB859" s="64" t="str">
        <f>Ringkasan!AB858</f>
        <v>Industrials</v>
      </c>
    </row>
    <row r="860" hidden="1">
      <c r="A860" s="64" t="str">
        <f>Ringkasan!A188</f>
        <v>ASSA</v>
      </c>
      <c r="B860" s="64" t="str">
        <f>Ringkasan!B188</f>
        <v>Adi Sarana Armada Tbk</v>
      </c>
      <c r="C860" s="61" t="str">
        <f>Ringkasan!C188</f>
        <v>#N/A</v>
      </c>
      <c r="D860" s="60" t="str">
        <f>Ringkasan!D188</f>
        <v>#N/A</v>
      </c>
      <c r="E860" s="60" t="str">
        <f>Ringkasan!E188</f>
        <v>IDXSMC-LIQ</v>
      </c>
      <c r="F860" s="60" t="str">
        <f>Ringkasan!F188</f>
        <v>4 Agustus 2026</v>
      </c>
      <c r="G860" s="60">
        <f>Ringkasan!G188</f>
        <v>3</v>
      </c>
      <c r="H860" s="62">
        <f>Ringkasan!H188</f>
        <v>5.7</v>
      </c>
      <c r="I860" s="62">
        <f>Ringkasan!I188</f>
        <v>0.7</v>
      </c>
      <c r="J860" s="62">
        <f>Ringkasan!J188</f>
        <v>12.2</v>
      </c>
      <c r="K860" s="62">
        <f>Ringkasan!K188</f>
        <v>4.7</v>
      </c>
      <c r="L860" s="62">
        <f>Ringkasan!L188</f>
        <v>1.6</v>
      </c>
      <c r="M860" s="62">
        <f>Ringkasan!M188</f>
        <v>26.9</v>
      </c>
      <c r="N860" s="60" t="str">
        <f>Ringkasan!N188</f>
        <v/>
      </c>
      <c r="O860" s="60" t="str">
        <f>Ringkasan!O188</f>
        <v/>
      </c>
      <c r="P860" s="60" t="str">
        <f>Ringkasan!P188</f>
        <v/>
      </c>
      <c r="Q860" s="60" t="str">
        <f>Ringkasan!Q188</f>
        <v/>
      </c>
      <c r="R860" s="60" t="str">
        <f>Ringkasan!R188</f>
        <v/>
      </c>
      <c r="S860" s="60" t="str">
        <f>Ringkasan!S188</f>
        <v/>
      </c>
      <c r="T860" s="60" t="str">
        <f>Ringkasan!T188</f>
        <v/>
      </c>
      <c r="U860" s="60">
        <f>Ringkasan!U188</f>
        <v>595</v>
      </c>
      <c r="V860" s="60">
        <f>Ringkasan!V188</f>
        <v>6.72</v>
      </c>
      <c r="W860" s="60" t="str">
        <f>Ringkasan!W188</f>
        <v/>
      </c>
      <c r="X860" s="60">
        <f>Ringkasan!X188</f>
        <v>645</v>
      </c>
      <c r="Y860" s="60">
        <f>Ringkasan!Y188</f>
        <v>600</v>
      </c>
      <c r="Z860" s="60">
        <f>Ringkasan!Z188</f>
        <v>13169500</v>
      </c>
      <c r="AA860" s="60" t="str">
        <f>Ringkasan!AA188</f>
        <v>Passenger Land Transportation</v>
      </c>
      <c r="AB860" s="60" t="str">
        <f>Ringkasan!AB188</f>
        <v>Transportation &amp; Logistic</v>
      </c>
    </row>
    <row r="861" hidden="1">
      <c r="A861" s="64" t="str">
        <f>Ringkasan!A860</f>
        <v>INAF</v>
      </c>
      <c r="B861" s="64" t="str">
        <f>Ringkasan!B860</f>
        <v>Indofarma Tbk.</v>
      </c>
      <c r="C861" s="65">
        <f>Ringkasan!C860</f>
        <v>126</v>
      </c>
      <c r="D861" s="64" t="str">
        <f>Ringkasan!D860</f>
        <v>#N/A</v>
      </c>
      <c r="E861" s="64" t="str">
        <f>Ringkasan!E860</f>
        <v/>
      </c>
      <c r="F861" s="64" t="str">
        <f>Ringkasan!F860</f>
        <v/>
      </c>
      <c r="G861" s="64">
        <f>Ringkasan!G860</f>
        <v>0</v>
      </c>
      <c r="H861" s="19">
        <f>Ringkasan!H860</f>
        <v>-5</v>
      </c>
      <c r="I861" s="19">
        <f>Ringkasan!I860</f>
        <v>-0.55</v>
      </c>
      <c r="J861" s="19">
        <f>Ringkasan!J860</f>
        <v>0</v>
      </c>
      <c r="K861" s="19">
        <f>Ringkasan!K860</f>
        <v>-14.6</v>
      </c>
      <c r="L861" s="19">
        <f>Ringkasan!L860</f>
        <v>-1.8</v>
      </c>
      <c r="M861" s="19">
        <f>Ringkasan!M860</f>
        <v>-51.5</v>
      </c>
      <c r="N861" s="64" t="str">
        <f>Ringkasan!N860</f>
        <v/>
      </c>
      <c r="O861" s="64" t="str">
        <f>Ringkasan!O860</f>
        <v/>
      </c>
      <c r="P861" s="64" t="str">
        <f>Ringkasan!P860</f>
        <v/>
      </c>
      <c r="Q861" s="64" t="str">
        <f>Ringkasan!Q860</f>
        <v/>
      </c>
      <c r="R861" s="64" t="str">
        <f>Ringkasan!R860</f>
        <v/>
      </c>
      <c r="S861" s="64" t="str">
        <f>Ringkasan!S860</f>
        <v/>
      </c>
      <c r="T861" s="64" t="str">
        <f>Ringkasan!T860</f>
        <v/>
      </c>
      <c r="U861" s="64">
        <f>Ringkasan!U860</f>
        <v>126</v>
      </c>
      <c r="V861" s="64">
        <f>Ringkasan!V860</f>
        <v>0</v>
      </c>
      <c r="W861" s="64" t="str">
        <f>Ringkasan!W860</f>
        <v/>
      </c>
      <c r="X861" s="64" t="str">
        <f>Ringkasan!X860</f>
        <v/>
      </c>
      <c r="Y861" s="64" t="str">
        <f>Ringkasan!Y860</f>
        <v/>
      </c>
      <c r="Z861" s="64">
        <f>Ringkasan!Z860</f>
        <v>0</v>
      </c>
      <c r="AA861" s="64" t="str">
        <f>Ringkasan!AA860</f>
        <v>Pharmaceuticals</v>
      </c>
      <c r="AB861" s="64" t="str">
        <f>Ringkasan!AB860</f>
        <v>Healthcare</v>
      </c>
    </row>
    <row r="862" hidden="1">
      <c r="A862" s="64" t="str">
        <f>Ringkasan!A861</f>
        <v>INAI</v>
      </c>
      <c r="B862" s="64" t="str">
        <f>Ringkasan!B861</f>
        <v>Indal Aluminium Industry Tbk.</v>
      </c>
      <c r="C862" s="65">
        <f>Ringkasan!C861</f>
        <v>128</v>
      </c>
      <c r="D862" s="64" t="str">
        <f>Ringkasan!D861</f>
        <v>#N/A</v>
      </c>
      <c r="E862" s="64" t="str">
        <f>Ringkasan!E861</f>
        <v/>
      </c>
      <c r="F862" s="64" t="str">
        <f>Ringkasan!F861</f>
        <v/>
      </c>
      <c r="G862" s="64">
        <f>Ringkasan!G861</f>
        <v>0</v>
      </c>
      <c r="H862" s="19">
        <f>Ringkasan!H861</f>
        <v>-1</v>
      </c>
      <c r="I862" s="19">
        <f>Ringkasan!I861</f>
        <v>1.5</v>
      </c>
      <c r="J862" s="19">
        <f>Ringkasan!J861</f>
        <v>-150</v>
      </c>
      <c r="K862" s="19">
        <f>Ringkasan!K861</f>
        <v>-9</v>
      </c>
      <c r="L862" s="19">
        <f>Ringkasan!L861</f>
        <v>15.7</v>
      </c>
      <c r="M862" s="19">
        <f>Ringkasan!M861</f>
        <v>-59.4</v>
      </c>
      <c r="N862" s="64" t="str">
        <f>Ringkasan!N861</f>
        <v/>
      </c>
      <c r="O862" s="64" t="str">
        <f>Ringkasan!O861</f>
        <v/>
      </c>
      <c r="P862" s="64" t="str">
        <f>Ringkasan!P861</f>
        <v/>
      </c>
      <c r="Q862" s="64" t="str">
        <f>Ringkasan!Q861</f>
        <v/>
      </c>
      <c r="R862" s="64" t="str">
        <f>Ringkasan!R861</f>
        <v/>
      </c>
      <c r="S862" s="64" t="str">
        <f>Ringkasan!S861</f>
        <v/>
      </c>
      <c r="T862" s="64" t="str">
        <f>Ringkasan!T861</f>
        <v/>
      </c>
      <c r="U862" s="64">
        <f>Ringkasan!U861</f>
        <v>50.01</v>
      </c>
      <c r="V862" s="64">
        <f>Ringkasan!V861</f>
        <v>0.62</v>
      </c>
      <c r="W862" s="64">
        <f>Ringkasan!W861</f>
        <v>49.7</v>
      </c>
      <c r="X862" s="64">
        <f>Ringkasan!X861</f>
        <v>50.61</v>
      </c>
      <c r="Y862" s="64">
        <f>Ringkasan!Y861</f>
        <v>49.63</v>
      </c>
      <c r="Z862" s="64">
        <f>Ringkasan!Z861</f>
        <v>2736</v>
      </c>
      <c r="AA862" s="64" t="str">
        <f>Ringkasan!AA861</f>
        <v>Metals &amp; Minerals</v>
      </c>
      <c r="AB862" s="64" t="str">
        <f>Ringkasan!AB861</f>
        <v>Basic Materials</v>
      </c>
    </row>
    <row r="863" hidden="1">
      <c r="A863" s="64" t="str">
        <f>Ringkasan!A862</f>
        <v>INCF</v>
      </c>
      <c r="B863" s="64" t="str">
        <f>Ringkasan!B862</f>
        <v>PT Indo Komoditi Korpora Tbk</v>
      </c>
      <c r="C863" s="65">
        <f>Ringkasan!C862</f>
        <v>50</v>
      </c>
      <c r="D863" s="64" t="str">
        <f>Ringkasan!D862</f>
        <v>#N/A</v>
      </c>
      <c r="E863" s="64" t="str">
        <f>Ringkasan!E862</f>
        <v/>
      </c>
      <c r="F863" s="64" t="str">
        <f>Ringkasan!F862</f>
        <v/>
      </c>
      <c r="G863" s="64">
        <f>Ringkasan!G862</f>
        <v>0</v>
      </c>
      <c r="H863" s="19">
        <f>Ringkasan!H862</f>
        <v>-85.2</v>
      </c>
      <c r="I863" s="19">
        <f>Ringkasan!I862</f>
        <v>0.48</v>
      </c>
      <c r="J863" s="19">
        <f>Ringkasan!J862</f>
        <v>-0.56</v>
      </c>
      <c r="K863" s="19">
        <f>Ringkasan!K862</f>
        <v>-0.2</v>
      </c>
      <c r="L863" s="19">
        <f>Ringkasan!L862</f>
        <v>1.8</v>
      </c>
      <c r="M863" s="19">
        <f>Ringkasan!M862</f>
        <v>-0.79</v>
      </c>
      <c r="N863" s="64" t="str">
        <f>Ringkasan!N862</f>
        <v/>
      </c>
      <c r="O863" s="64" t="str">
        <f>Ringkasan!O862</f>
        <v/>
      </c>
      <c r="P863" s="64" t="str">
        <f>Ringkasan!P862</f>
        <v/>
      </c>
      <c r="Q863" s="64" t="str">
        <f>Ringkasan!Q862</f>
        <v/>
      </c>
      <c r="R863" s="64" t="str">
        <f>Ringkasan!R862</f>
        <v/>
      </c>
      <c r="S863" s="64" t="str">
        <f>Ringkasan!S862</f>
        <v/>
      </c>
      <c r="T863" s="64" t="str">
        <f>Ringkasan!T862</f>
        <v/>
      </c>
      <c r="U863" s="64">
        <f>Ringkasan!U862</f>
        <v>50</v>
      </c>
      <c r="V863" s="64">
        <f>Ringkasan!V862</f>
        <v>0</v>
      </c>
      <c r="W863" s="64">
        <f>Ringkasan!W862</f>
        <v>50</v>
      </c>
      <c r="X863" s="64">
        <f>Ringkasan!X862</f>
        <v>50</v>
      </c>
      <c r="Y863" s="64">
        <f>Ringkasan!Y862</f>
        <v>50</v>
      </c>
      <c r="Z863" s="64">
        <f>Ringkasan!Z862</f>
        <v>329200</v>
      </c>
      <c r="AA863" s="64" t="str">
        <f>Ringkasan!AA862</f>
        <v/>
      </c>
      <c r="AB863" s="64" t="str">
        <f>Ringkasan!AB862</f>
        <v>BASIC INDUSTRY AND CHEMICALS</v>
      </c>
    </row>
    <row r="864" hidden="1">
      <c r="A864" s="64" t="str">
        <f>Ringkasan!A863</f>
        <v>INCI</v>
      </c>
      <c r="B864" s="64" t="str">
        <f>Ringkasan!B863</f>
        <v>Intanwijaya Internasional Tbk</v>
      </c>
      <c r="C864" s="65">
        <f>Ringkasan!C863</f>
        <v>635</v>
      </c>
      <c r="D864" s="64" t="str">
        <f>Ringkasan!D863</f>
        <v>#N/A</v>
      </c>
      <c r="E864" s="64" t="str">
        <f>Ringkasan!E863</f>
        <v/>
      </c>
      <c r="F864" s="64" t="str">
        <f>Ringkasan!F863</f>
        <v/>
      </c>
      <c r="G864" s="64">
        <f>Ringkasan!G863</f>
        <v>0</v>
      </c>
      <c r="H864" s="19">
        <f>Ringkasan!H863</f>
        <v>5.1</v>
      </c>
      <c r="I864" s="19">
        <f>Ringkasan!I863</f>
        <v>0.28</v>
      </c>
      <c r="J864" s="19">
        <f>Ringkasan!J863</f>
        <v>5.6</v>
      </c>
      <c r="K864" s="19">
        <f>Ringkasan!K863</f>
        <v>4.8</v>
      </c>
      <c r="L864" s="19">
        <f>Ringkasan!L863</f>
        <v>0.17</v>
      </c>
      <c r="M864" s="19">
        <f>Ringkasan!M863</f>
        <v>30</v>
      </c>
      <c r="N864" s="64" t="str">
        <f>Ringkasan!N863</f>
        <v/>
      </c>
      <c r="O864" s="64" t="str">
        <f>Ringkasan!O863</f>
        <v/>
      </c>
      <c r="P864" s="64" t="str">
        <f>Ringkasan!P863</f>
        <v/>
      </c>
      <c r="Q864" s="64" t="str">
        <f>Ringkasan!Q863</f>
        <v/>
      </c>
      <c r="R864" s="64" t="str">
        <f>Ringkasan!R863</f>
        <v/>
      </c>
      <c r="S864" s="64" t="str">
        <f>Ringkasan!S863</f>
        <v/>
      </c>
      <c r="T864" s="64" t="str">
        <f>Ringkasan!T863</f>
        <v/>
      </c>
      <c r="U864" s="64">
        <f>Ringkasan!U863</f>
        <v>610</v>
      </c>
      <c r="V864" s="64">
        <f>Ringkasan!V863</f>
        <v>4.1</v>
      </c>
      <c r="W864" s="64">
        <f>Ringkasan!W863</f>
        <v>615</v>
      </c>
      <c r="X864" s="64">
        <f>Ringkasan!X863</f>
        <v>715</v>
      </c>
      <c r="Y864" s="64">
        <f>Ringkasan!Y863</f>
        <v>615</v>
      </c>
      <c r="Z864" s="64">
        <f>Ringkasan!Z863</f>
        <v>154000</v>
      </c>
      <c r="AA864" s="64" t="str">
        <f>Ringkasan!AA863</f>
        <v>Chemicals</v>
      </c>
      <c r="AB864" s="64" t="str">
        <f>Ringkasan!AB863</f>
        <v>Basic Materials</v>
      </c>
    </row>
    <row r="865" hidden="1">
      <c r="A865" s="64" t="str">
        <f>Ringkasan!A864</f>
        <v>INCO</v>
      </c>
      <c r="B865" s="64" t="str">
        <f>Ringkasan!B864</f>
        <v>Vale Indonesia Tbk.</v>
      </c>
      <c r="C865" s="65">
        <f>Ringkasan!C864</f>
        <v>4710</v>
      </c>
      <c r="D865" s="64" t="str">
        <f>Ringkasan!D864</f>
        <v>#N/A</v>
      </c>
      <c r="E865" s="64" t="str">
        <f>Ringkasan!E864</f>
        <v>ESGQKEHATI</v>
      </c>
      <c r="F865" s="66">
        <f>Ringkasan!F864</f>
        <v>46356</v>
      </c>
      <c r="G865" s="64">
        <f>Ringkasan!G864</f>
        <v>14</v>
      </c>
      <c r="H865" s="19">
        <f>Ringkasan!H864</f>
        <v>30.1</v>
      </c>
      <c r="I865" s="19">
        <f>Ringkasan!I864</f>
        <v>1</v>
      </c>
      <c r="J865" s="19">
        <f>Ringkasan!J864</f>
        <v>3.5</v>
      </c>
      <c r="K865" s="19">
        <f>Ringkasan!K864</f>
        <v>2.9</v>
      </c>
      <c r="L865" s="19">
        <f>Ringkasan!L864</f>
        <v>0.19</v>
      </c>
      <c r="M865" s="19">
        <f>Ringkasan!M864</f>
        <v>38.6</v>
      </c>
      <c r="N865" s="64" t="str">
        <f>Ringkasan!N864</f>
        <v/>
      </c>
      <c r="O865" s="64" t="str">
        <f>Ringkasan!O864</f>
        <v/>
      </c>
      <c r="P865" s="64" t="str">
        <f>Ringkasan!P864</f>
        <v/>
      </c>
      <c r="Q865" s="64" t="str">
        <f>Ringkasan!Q864</f>
        <v/>
      </c>
      <c r="R865" s="64" t="str">
        <f>Ringkasan!R864</f>
        <v/>
      </c>
      <c r="S865" s="64" t="str">
        <f>Ringkasan!S864</f>
        <v/>
      </c>
      <c r="T865" s="64" t="str">
        <f>Ringkasan!T864</f>
        <v/>
      </c>
      <c r="U865" s="64">
        <f>Ringkasan!U864</f>
        <v>57.53</v>
      </c>
      <c r="V865" s="64">
        <f>Ringkasan!V864</f>
        <v>0.26</v>
      </c>
      <c r="W865" s="64">
        <f>Ringkasan!W864</f>
        <v>57.97</v>
      </c>
      <c r="X865" s="64">
        <f>Ringkasan!X864</f>
        <v>58.06</v>
      </c>
      <c r="Y865" s="64">
        <f>Ringkasan!Y864</f>
        <v>57.68</v>
      </c>
      <c r="Z865" s="64">
        <f>Ringkasan!Z864</f>
        <v>5034</v>
      </c>
      <c r="AA865" s="64" t="str">
        <f>Ringkasan!AA864</f>
        <v>Metals &amp; Minerals</v>
      </c>
      <c r="AB865" s="64" t="str">
        <f>Ringkasan!AB864</f>
        <v>Basic Materials</v>
      </c>
    </row>
    <row r="866" hidden="1">
      <c r="A866" s="64" t="str">
        <f>Ringkasan!A865</f>
        <v>INCO</v>
      </c>
      <c r="B866" s="64" t="str">
        <f>Ringkasan!B865</f>
        <v>Vale Indonesia Tbk.</v>
      </c>
      <c r="C866" s="65">
        <f>Ringkasan!C865</f>
        <v>4710</v>
      </c>
      <c r="D866" s="64" t="str">
        <f>Ringkasan!D865</f>
        <v>#N/A</v>
      </c>
      <c r="E866" s="64" t="str">
        <f>Ringkasan!E865</f>
        <v>ESGSKEHATI</v>
      </c>
      <c r="F866" s="66">
        <f>Ringkasan!F865</f>
        <v>46356</v>
      </c>
      <c r="G866" s="64">
        <f>Ringkasan!G865</f>
        <v>14</v>
      </c>
      <c r="H866" s="19">
        <f>Ringkasan!H865</f>
        <v>30.1</v>
      </c>
      <c r="I866" s="19">
        <f>Ringkasan!I865</f>
        <v>1</v>
      </c>
      <c r="J866" s="19">
        <f>Ringkasan!J865</f>
        <v>3.5</v>
      </c>
      <c r="K866" s="19">
        <f>Ringkasan!K865</f>
        <v>2.9</v>
      </c>
      <c r="L866" s="19">
        <f>Ringkasan!L865</f>
        <v>0.19</v>
      </c>
      <c r="M866" s="19">
        <f>Ringkasan!M865</f>
        <v>38.6</v>
      </c>
      <c r="N866" s="64" t="str">
        <f>Ringkasan!N865</f>
        <v/>
      </c>
      <c r="O866" s="64" t="str">
        <f>Ringkasan!O865</f>
        <v/>
      </c>
      <c r="P866" s="64" t="str">
        <f>Ringkasan!P865</f>
        <v/>
      </c>
      <c r="Q866" s="64" t="str">
        <f>Ringkasan!Q865</f>
        <v/>
      </c>
      <c r="R866" s="64" t="str">
        <f>Ringkasan!R865</f>
        <v/>
      </c>
      <c r="S866" s="64" t="str">
        <f>Ringkasan!S865</f>
        <v/>
      </c>
      <c r="T866" s="64" t="str">
        <f>Ringkasan!T865</f>
        <v/>
      </c>
      <c r="U866" s="64">
        <f>Ringkasan!U865</f>
        <v>57.53</v>
      </c>
      <c r="V866" s="64">
        <f>Ringkasan!V865</f>
        <v>0.26</v>
      </c>
      <c r="W866" s="64">
        <f>Ringkasan!W865</f>
        <v>57.97</v>
      </c>
      <c r="X866" s="64">
        <f>Ringkasan!X865</f>
        <v>58.06</v>
      </c>
      <c r="Y866" s="64">
        <f>Ringkasan!Y865</f>
        <v>57.68</v>
      </c>
      <c r="Z866" s="64">
        <f>Ringkasan!Z865</f>
        <v>5034</v>
      </c>
      <c r="AA866" s="64" t="str">
        <f>Ringkasan!AA865</f>
        <v>Metals &amp; Minerals</v>
      </c>
      <c r="AB866" s="64" t="str">
        <f>Ringkasan!AB865</f>
        <v>Basic Materials</v>
      </c>
    </row>
    <row r="867" hidden="1">
      <c r="A867" s="64" t="str">
        <f>Ringkasan!A866</f>
        <v>INCO</v>
      </c>
      <c r="B867" s="64" t="str">
        <f>Ringkasan!B866</f>
        <v>Vale Indonesia Tbk.</v>
      </c>
      <c r="C867" s="65">
        <f>Ringkasan!C866</f>
        <v>4710</v>
      </c>
      <c r="D867" s="64" t="str">
        <f>Ringkasan!D866</f>
        <v>#N/A</v>
      </c>
      <c r="E867" s="64" t="str">
        <f>Ringkasan!E866</f>
        <v>IDXESGL</v>
      </c>
      <c r="F867" s="64" t="str">
        <f>Ringkasan!F866</f>
        <v>30 Oktober 2026</v>
      </c>
      <c r="G867" s="64">
        <f>Ringkasan!G866</f>
        <v>14</v>
      </c>
      <c r="H867" s="19">
        <f>Ringkasan!H866</f>
        <v>30.1</v>
      </c>
      <c r="I867" s="19">
        <f>Ringkasan!I866</f>
        <v>1</v>
      </c>
      <c r="J867" s="19">
        <f>Ringkasan!J866</f>
        <v>3.5</v>
      </c>
      <c r="K867" s="19">
        <f>Ringkasan!K866</f>
        <v>2.9</v>
      </c>
      <c r="L867" s="19">
        <f>Ringkasan!L866</f>
        <v>0.19</v>
      </c>
      <c r="M867" s="19">
        <f>Ringkasan!M866</f>
        <v>38.6</v>
      </c>
      <c r="N867" s="64" t="str">
        <f>Ringkasan!N866</f>
        <v/>
      </c>
      <c r="O867" s="64" t="str">
        <f>Ringkasan!O866</f>
        <v/>
      </c>
      <c r="P867" s="64" t="str">
        <f>Ringkasan!P866</f>
        <v/>
      </c>
      <c r="Q867" s="64" t="str">
        <f>Ringkasan!Q866</f>
        <v/>
      </c>
      <c r="R867" s="64" t="str">
        <f>Ringkasan!R866</f>
        <v/>
      </c>
      <c r="S867" s="64" t="str">
        <f>Ringkasan!S866</f>
        <v/>
      </c>
      <c r="T867" s="64" t="str">
        <f>Ringkasan!T866</f>
        <v/>
      </c>
      <c r="U867" s="64">
        <f>Ringkasan!U866</f>
        <v>57.53</v>
      </c>
      <c r="V867" s="64">
        <f>Ringkasan!V866</f>
        <v>0.26</v>
      </c>
      <c r="W867" s="64">
        <f>Ringkasan!W866</f>
        <v>57.97</v>
      </c>
      <c r="X867" s="64">
        <f>Ringkasan!X866</f>
        <v>58.06</v>
      </c>
      <c r="Y867" s="64">
        <f>Ringkasan!Y866</f>
        <v>57.68</v>
      </c>
      <c r="Z867" s="64">
        <f>Ringkasan!Z866</f>
        <v>5034</v>
      </c>
      <c r="AA867" s="64" t="str">
        <f>Ringkasan!AA866</f>
        <v>Metals &amp; Minerals</v>
      </c>
      <c r="AB867" s="64" t="str">
        <f>Ringkasan!AB866</f>
        <v>Basic Materials</v>
      </c>
    </row>
    <row r="868" hidden="1">
      <c r="A868" s="64" t="str">
        <f>Ringkasan!A867</f>
        <v>INCO</v>
      </c>
      <c r="B868" s="64" t="str">
        <f>Ringkasan!B867</f>
        <v>Vale Indonesia Tbk.</v>
      </c>
      <c r="C868" s="65">
        <f>Ringkasan!C867</f>
        <v>4710</v>
      </c>
      <c r="D868" s="64" t="str">
        <f>Ringkasan!D867</f>
        <v>#N/A</v>
      </c>
      <c r="E868" s="64" t="str">
        <f>Ringkasan!E867</f>
        <v>IDXG30</v>
      </c>
      <c r="F868" s="64" t="str">
        <f>Ringkasan!F867</f>
        <v>4 Agustus 2026</v>
      </c>
      <c r="G868" s="64">
        <f>Ringkasan!G867</f>
        <v>14</v>
      </c>
      <c r="H868" s="19">
        <f>Ringkasan!H867</f>
        <v>30.1</v>
      </c>
      <c r="I868" s="19">
        <f>Ringkasan!I867</f>
        <v>1</v>
      </c>
      <c r="J868" s="19">
        <f>Ringkasan!J867</f>
        <v>3.5</v>
      </c>
      <c r="K868" s="19">
        <f>Ringkasan!K867</f>
        <v>2.9</v>
      </c>
      <c r="L868" s="19">
        <f>Ringkasan!L867</f>
        <v>0.19</v>
      </c>
      <c r="M868" s="19">
        <f>Ringkasan!M867</f>
        <v>38.6</v>
      </c>
      <c r="N868" s="64" t="str">
        <f>Ringkasan!N867</f>
        <v/>
      </c>
      <c r="O868" s="64" t="str">
        <f>Ringkasan!O867</f>
        <v/>
      </c>
      <c r="P868" s="64" t="str">
        <f>Ringkasan!P867</f>
        <v/>
      </c>
      <c r="Q868" s="64" t="str">
        <f>Ringkasan!Q867</f>
        <v/>
      </c>
      <c r="R868" s="64" t="str">
        <f>Ringkasan!R867</f>
        <v/>
      </c>
      <c r="S868" s="64" t="str">
        <f>Ringkasan!S867</f>
        <v/>
      </c>
      <c r="T868" s="64" t="str">
        <f>Ringkasan!T867</f>
        <v/>
      </c>
      <c r="U868" s="64">
        <f>Ringkasan!U867</f>
        <v>57.53</v>
      </c>
      <c r="V868" s="64">
        <f>Ringkasan!V867</f>
        <v>0.26</v>
      </c>
      <c r="W868" s="64">
        <f>Ringkasan!W867</f>
        <v>57.97</v>
      </c>
      <c r="X868" s="64">
        <f>Ringkasan!X867</f>
        <v>58.06</v>
      </c>
      <c r="Y868" s="64">
        <f>Ringkasan!Y867</f>
        <v>57.68</v>
      </c>
      <c r="Z868" s="64">
        <f>Ringkasan!Z867</f>
        <v>5034</v>
      </c>
      <c r="AA868" s="64" t="str">
        <f>Ringkasan!AA867</f>
        <v>Metals &amp; Minerals</v>
      </c>
      <c r="AB868" s="64" t="str">
        <f>Ringkasan!AB867</f>
        <v>Basic Materials</v>
      </c>
    </row>
    <row r="869" hidden="1">
      <c r="A869" s="64" t="str">
        <f>Ringkasan!A227</f>
        <v>BBCA</v>
      </c>
      <c r="B869" s="64" t="str">
        <f>Ringkasan!B227</f>
        <v>Bank Central Asia Tbk.</v>
      </c>
      <c r="C869" s="65" t="str">
        <f>Ringkasan!C227</f>
        <v>#N/A</v>
      </c>
      <c r="D869" s="64" t="str">
        <f>Ringkasan!D227</f>
        <v>#N/A</v>
      </c>
      <c r="E869" s="64" t="str">
        <f>Ringkasan!E227</f>
        <v>ECONOMIC30</v>
      </c>
      <c r="F869" s="64" t="str">
        <f>Ringkasan!F227</f>
        <v>31 Agustus 2026</v>
      </c>
      <c r="G869" s="64">
        <f>Ringkasan!G227</f>
        <v>21</v>
      </c>
      <c r="H869" s="19">
        <f>Ringkasan!H227</f>
        <v>12.1</v>
      </c>
      <c r="I869" s="19">
        <f>Ringkasan!I227</f>
        <v>2.7</v>
      </c>
      <c r="J869" s="19">
        <f>Ringkasan!J227</f>
        <v>22.4</v>
      </c>
      <c r="K869" s="19">
        <f>Ringkasan!K227</f>
        <v>3.5</v>
      </c>
      <c r="L869" s="19">
        <f>Ringkasan!L227</f>
        <v>5.3</v>
      </c>
      <c r="M869" s="19">
        <f>Ringkasan!M227</f>
        <v>220</v>
      </c>
      <c r="N869" s="64">
        <f>Ringkasan!N227</f>
        <v>5.33</v>
      </c>
      <c r="O869" s="64">
        <f>Ringkasan!O227</f>
        <v>27.52</v>
      </c>
      <c r="P869" s="64">
        <f>Ringkasan!P227</f>
        <v>74.1</v>
      </c>
      <c r="Q869" s="64">
        <f>Ringkasan!Q227</f>
        <v>1.85</v>
      </c>
      <c r="R869" s="64">
        <f>Ringkasan!R227</f>
        <v>39.87</v>
      </c>
      <c r="S869" s="64">
        <f>Ringkasan!S227</f>
        <v>27.32</v>
      </c>
      <c r="T869" s="64">
        <f>Ringkasan!T227</f>
        <v>2.09</v>
      </c>
      <c r="U869" s="64">
        <f>Ringkasan!U227</f>
        <v>100.74</v>
      </c>
      <c r="V869" s="64">
        <f>Ringkasan!V227</f>
        <v>0.51</v>
      </c>
      <c r="W869" s="64">
        <f>Ringkasan!W227</f>
        <v>100.94</v>
      </c>
      <c r="X869" s="64">
        <f>Ringkasan!X227</f>
        <v>101.77</v>
      </c>
      <c r="Y869" s="64">
        <f>Ringkasan!Y227</f>
        <v>100.74</v>
      </c>
      <c r="Z869" s="64">
        <f>Ringkasan!Z227</f>
        <v>51924</v>
      </c>
      <c r="AA869" s="64" t="str">
        <f>Ringkasan!AA227</f>
        <v>Banks</v>
      </c>
      <c r="AB869" s="64" t="str">
        <f>Ringkasan!AB227</f>
        <v>Financials</v>
      </c>
    </row>
    <row r="870" hidden="1">
      <c r="A870" s="64" t="str">
        <f>Ringkasan!A869</f>
        <v>INCO</v>
      </c>
      <c r="B870" s="64" t="str">
        <f>Ringkasan!B869</f>
        <v>Vale Indonesia Tbk.</v>
      </c>
      <c r="C870" s="65">
        <f>Ringkasan!C869</f>
        <v>4710</v>
      </c>
      <c r="D870" s="64" t="str">
        <f>Ringkasan!D869</f>
        <v>#N/A</v>
      </c>
      <c r="E870" s="64" t="str">
        <f>Ringkasan!E869</f>
        <v>Kompas100</v>
      </c>
      <c r="F870" s="64" t="str">
        <f>Ringkasan!F869</f>
        <v>31 Juli 2026</v>
      </c>
      <c r="G870" s="64">
        <f>Ringkasan!G869</f>
        <v>14</v>
      </c>
      <c r="H870" s="19">
        <f>Ringkasan!H869</f>
        <v>30.1</v>
      </c>
      <c r="I870" s="19">
        <f>Ringkasan!I869</f>
        <v>1</v>
      </c>
      <c r="J870" s="19">
        <f>Ringkasan!J869</f>
        <v>3.5</v>
      </c>
      <c r="K870" s="19">
        <f>Ringkasan!K869</f>
        <v>2.9</v>
      </c>
      <c r="L870" s="19">
        <f>Ringkasan!L869</f>
        <v>0.19</v>
      </c>
      <c r="M870" s="19">
        <f>Ringkasan!M869</f>
        <v>38.6</v>
      </c>
      <c r="N870" s="64" t="str">
        <f>Ringkasan!N869</f>
        <v/>
      </c>
      <c r="O870" s="64" t="str">
        <f>Ringkasan!O869</f>
        <v/>
      </c>
      <c r="P870" s="64" t="str">
        <f>Ringkasan!P869</f>
        <v/>
      </c>
      <c r="Q870" s="64" t="str">
        <f>Ringkasan!Q869</f>
        <v/>
      </c>
      <c r="R870" s="64" t="str">
        <f>Ringkasan!R869</f>
        <v/>
      </c>
      <c r="S870" s="64" t="str">
        <f>Ringkasan!S869</f>
        <v/>
      </c>
      <c r="T870" s="64" t="str">
        <f>Ringkasan!T869</f>
        <v/>
      </c>
      <c r="U870" s="64">
        <f>Ringkasan!U869</f>
        <v>57.53</v>
      </c>
      <c r="V870" s="64">
        <f>Ringkasan!V869</f>
        <v>0.26</v>
      </c>
      <c r="W870" s="64">
        <f>Ringkasan!W869</f>
        <v>57.97</v>
      </c>
      <c r="X870" s="64">
        <f>Ringkasan!X869</f>
        <v>58.06</v>
      </c>
      <c r="Y870" s="64">
        <f>Ringkasan!Y869</f>
        <v>57.68</v>
      </c>
      <c r="Z870" s="64">
        <f>Ringkasan!Z869</f>
        <v>5034</v>
      </c>
      <c r="AA870" s="64" t="str">
        <f>Ringkasan!AA869</f>
        <v>Metals &amp; Minerals</v>
      </c>
      <c r="AB870" s="64" t="str">
        <f>Ringkasan!AB869</f>
        <v>Basic Materials</v>
      </c>
    </row>
    <row r="871" hidden="1">
      <c r="A871" s="64" t="str">
        <f>Ringkasan!A304</f>
        <v>BBTN</v>
      </c>
      <c r="B871" s="64" t="str">
        <f>Ringkasan!B304</f>
        <v>PT Bank Tabungan Negara (Persero) Tbk</v>
      </c>
      <c r="C871" s="65">
        <f>Ringkasan!C304</f>
        <v>1260</v>
      </c>
      <c r="D871" s="64" t="str">
        <f>Ringkasan!D304</f>
        <v>#N/A</v>
      </c>
      <c r="E871" s="64" t="str">
        <f>Ringkasan!E304</f>
        <v>MSCI Small Cap</v>
      </c>
      <c r="F871" s="64" t="str">
        <f>Ringkasan!F304</f>
        <v>12 Agustus 2026</v>
      </c>
      <c r="G871" s="64">
        <f>Ringkasan!G304</f>
        <v>14</v>
      </c>
      <c r="H871" s="19">
        <f>Ringkasan!H304</f>
        <v>4.8</v>
      </c>
      <c r="I871" s="19">
        <f>Ringkasan!I304</f>
        <v>0.48</v>
      </c>
      <c r="J871" s="19">
        <f>Ringkasan!J304</f>
        <v>10.1</v>
      </c>
      <c r="K871" s="19">
        <f>Ringkasan!K304</f>
        <v>0.72</v>
      </c>
      <c r="L871" s="19">
        <f>Ringkasan!L304</f>
        <v>12.3</v>
      </c>
      <c r="M871" s="19">
        <f>Ringkasan!M304</f>
        <v>48.5</v>
      </c>
      <c r="N871" s="64">
        <f>Ringkasan!N304</f>
        <v>2.86</v>
      </c>
      <c r="O871" s="64">
        <f>Ringkasan!O304</f>
        <v>18.5</v>
      </c>
      <c r="P871" s="64">
        <f>Ringkasan!P304</f>
        <v>93.79</v>
      </c>
      <c r="Q871" s="64">
        <f>Ringkasan!Q304</f>
        <v>3.16</v>
      </c>
      <c r="R871" s="64">
        <f>Ringkasan!R304</f>
        <v>88.7</v>
      </c>
      <c r="S871" s="64">
        <f>Ringkasan!S304</f>
        <v>57.15</v>
      </c>
      <c r="T871" s="64">
        <f>Ringkasan!T304</f>
        <v>19.65</v>
      </c>
      <c r="U871" s="64">
        <f>Ringkasan!U304</f>
        <v>1185</v>
      </c>
      <c r="V871" s="64">
        <f>Ringkasan!V304</f>
        <v>6.33</v>
      </c>
      <c r="W871" s="64">
        <f>Ringkasan!W304</f>
        <v>1200</v>
      </c>
      <c r="X871" s="64">
        <f>Ringkasan!X304</f>
        <v>1295</v>
      </c>
      <c r="Y871" s="64">
        <f>Ringkasan!Y304</f>
        <v>1190</v>
      </c>
      <c r="Z871" s="64">
        <f>Ringkasan!Z304</f>
        <v>35491400</v>
      </c>
      <c r="AA871" s="64" t="str">
        <f>Ringkasan!AA304</f>
        <v>Banks</v>
      </c>
      <c r="AB871" s="64" t="str">
        <f>Ringkasan!AB304</f>
        <v>Financials</v>
      </c>
    </row>
    <row r="872" hidden="1">
      <c r="A872" s="64" t="str">
        <f>Ringkasan!A329</f>
        <v>BHIT</v>
      </c>
      <c r="B872" s="64" t="str">
        <f>Ringkasan!B329</f>
        <v>PT MNC Investama Tbk.</v>
      </c>
      <c r="C872" s="65">
        <f>Ringkasan!C329</f>
        <v>27</v>
      </c>
      <c r="D872" s="64" t="str">
        <f>Ringkasan!D329</f>
        <v>#N/A</v>
      </c>
      <c r="E872" s="64" t="str">
        <f>Ringkasan!E329</f>
        <v/>
      </c>
      <c r="F872" s="64" t="str">
        <f>Ringkasan!F329</f>
        <v/>
      </c>
      <c r="G872" s="64">
        <f>Ringkasan!G329</f>
        <v>0</v>
      </c>
      <c r="H872" s="19">
        <f>Ringkasan!H329</f>
        <v>5.3</v>
      </c>
      <c r="I872" s="19">
        <f>Ringkasan!I329</f>
        <v>0.06</v>
      </c>
      <c r="J872" s="19">
        <f>Ringkasan!J329</f>
        <v>1.2</v>
      </c>
      <c r="K872" s="19">
        <f>Ringkasan!K329</f>
        <v>0.65</v>
      </c>
      <c r="L872" s="19">
        <f>Ringkasan!L329</f>
        <v>0.85</v>
      </c>
      <c r="M872" s="19">
        <f>Ringkasan!M329</f>
        <v>13.2</v>
      </c>
      <c r="N872" s="64" t="str">
        <f>Ringkasan!N329</f>
        <v/>
      </c>
      <c r="O872" s="64" t="str">
        <f>Ringkasan!O329</f>
        <v/>
      </c>
      <c r="P872" s="64" t="str">
        <f>Ringkasan!P329</f>
        <v/>
      </c>
      <c r="Q872" s="64" t="str">
        <f>Ringkasan!Q329</f>
        <v/>
      </c>
      <c r="R872" s="64" t="str">
        <f>Ringkasan!R329</f>
        <v/>
      </c>
      <c r="S872" s="64" t="str">
        <f>Ringkasan!S329</f>
        <v/>
      </c>
      <c r="T872" s="64" t="str">
        <f>Ringkasan!T329</f>
        <v/>
      </c>
      <c r="U872" s="64" t="str">
        <f>Ringkasan!U329</f>
        <v/>
      </c>
      <c r="V872" s="64">
        <f>Ringkasan!V329</f>
        <v>0</v>
      </c>
      <c r="W872" s="64">
        <f>Ringkasan!W329</f>
        <v>26</v>
      </c>
      <c r="X872" s="64">
        <f>Ringkasan!X329</f>
        <v>27</v>
      </c>
      <c r="Y872" s="64">
        <f>Ringkasan!Y329</f>
        <v>26</v>
      </c>
      <c r="Z872" s="64">
        <f>Ringkasan!Z329</f>
        <v>7314700</v>
      </c>
      <c r="AA872" s="64" t="str">
        <f>Ringkasan!AA329</f>
        <v>Multi-sector Holdings</v>
      </c>
      <c r="AB872" s="64" t="str">
        <f>Ringkasan!AB329</f>
        <v>Industrials</v>
      </c>
    </row>
    <row r="873" hidden="1">
      <c r="A873" s="64" t="str">
        <f>Ringkasan!A872</f>
        <v>INCO</v>
      </c>
      <c r="B873" s="64" t="str">
        <f>Ringkasan!B872</f>
        <v>Vale Indonesia Tbk.</v>
      </c>
      <c r="C873" s="65">
        <f>Ringkasan!C872</f>
        <v>4710</v>
      </c>
      <c r="D873" s="64" t="str">
        <f>Ringkasan!D872</f>
        <v>#N/A</v>
      </c>
      <c r="E873" s="64" t="str">
        <f>Ringkasan!E872</f>
        <v>IDX30</v>
      </c>
      <c r="F873" s="64" t="str">
        <f>Ringkasan!F872</f>
        <v>31 Juli 2026</v>
      </c>
      <c r="G873" s="64">
        <f>Ringkasan!G872</f>
        <v>14</v>
      </c>
      <c r="H873" s="19">
        <f>Ringkasan!H872</f>
        <v>30.1</v>
      </c>
      <c r="I873" s="19">
        <f>Ringkasan!I872</f>
        <v>1</v>
      </c>
      <c r="J873" s="19">
        <f>Ringkasan!J872</f>
        <v>3.5</v>
      </c>
      <c r="K873" s="19">
        <f>Ringkasan!K872</f>
        <v>2.9</v>
      </c>
      <c r="L873" s="19">
        <f>Ringkasan!L872</f>
        <v>0.19</v>
      </c>
      <c r="M873" s="19">
        <f>Ringkasan!M872</f>
        <v>38.6</v>
      </c>
      <c r="N873" s="64" t="str">
        <f>Ringkasan!N872</f>
        <v/>
      </c>
      <c r="O873" s="64" t="str">
        <f>Ringkasan!O872</f>
        <v/>
      </c>
      <c r="P873" s="64" t="str">
        <f>Ringkasan!P872</f>
        <v/>
      </c>
      <c r="Q873" s="64" t="str">
        <f>Ringkasan!Q872</f>
        <v/>
      </c>
      <c r="R873" s="64" t="str">
        <f>Ringkasan!R872</f>
        <v/>
      </c>
      <c r="S873" s="64" t="str">
        <f>Ringkasan!S872</f>
        <v/>
      </c>
      <c r="T873" s="64" t="str">
        <f>Ringkasan!T872</f>
        <v/>
      </c>
      <c r="U873" s="64">
        <f>Ringkasan!U872</f>
        <v>57.53</v>
      </c>
      <c r="V873" s="64">
        <f>Ringkasan!V872</f>
        <v>0.26</v>
      </c>
      <c r="W873" s="64">
        <f>Ringkasan!W872</f>
        <v>57.97</v>
      </c>
      <c r="X873" s="64">
        <f>Ringkasan!X872</f>
        <v>58.06</v>
      </c>
      <c r="Y873" s="64">
        <f>Ringkasan!Y872</f>
        <v>57.68</v>
      </c>
      <c r="Z873" s="64">
        <f>Ringkasan!Z872</f>
        <v>5034</v>
      </c>
      <c r="AA873" s="64" t="str">
        <f>Ringkasan!AA872</f>
        <v>Metals &amp; Minerals</v>
      </c>
      <c r="AB873" s="64" t="str">
        <f>Ringkasan!AB872</f>
        <v>Basic Materials</v>
      </c>
    </row>
    <row r="874" hidden="1">
      <c r="A874" s="64" t="str">
        <f>Ringkasan!A873</f>
        <v>INCO</v>
      </c>
      <c r="B874" s="64" t="str">
        <f>Ringkasan!B873</f>
        <v>Vale Indonesia Tbk.</v>
      </c>
      <c r="C874" s="65">
        <f>Ringkasan!C873</f>
        <v>4710</v>
      </c>
      <c r="D874" s="64" t="str">
        <f>Ringkasan!D873</f>
        <v>#N/A</v>
      </c>
      <c r="E874" s="64" t="str">
        <f>Ringkasan!E873</f>
        <v>BISNIS-27</v>
      </c>
      <c r="F874" s="64" t="str">
        <f>Ringkasan!F873</f>
        <v>30 Oktober 2026</v>
      </c>
      <c r="G874" s="64">
        <f>Ringkasan!G873</f>
        <v>14</v>
      </c>
      <c r="H874" s="19">
        <f>Ringkasan!H873</f>
        <v>30.1</v>
      </c>
      <c r="I874" s="19">
        <f>Ringkasan!I873</f>
        <v>1</v>
      </c>
      <c r="J874" s="19">
        <f>Ringkasan!J873</f>
        <v>3.5</v>
      </c>
      <c r="K874" s="19">
        <f>Ringkasan!K873</f>
        <v>2.9</v>
      </c>
      <c r="L874" s="19">
        <f>Ringkasan!L873</f>
        <v>0.19</v>
      </c>
      <c r="M874" s="19">
        <f>Ringkasan!M873</f>
        <v>38.6</v>
      </c>
      <c r="N874" s="64" t="str">
        <f>Ringkasan!N873</f>
        <v/>
      </c>
      <c r="O874" s="64" t="str">
        <f>Ringkasan!O873</f>
        <v/>
      </c>
      <c r="P874" s="64" t="str">
        <f>Ringkasan!P873</f>
        <v/>
      </c>
      <c r="Q874" s="64" t="str">
        <f>Ringkasan!Q873</f>
        <v/>
      </c>
      <c r="R874" s="64" t="str">
        <f>Ringkasan!R873</f>
        <v/>
      </c>
      <c r="S874" s="64" t="str">
        <f>Ringkasan!S873</f>
        <v/>
      </c>
      <c r="T874" s="64" t="str">
        <f>Ringkasan!T873</f>
        <v/>
      </c>
      <c r="U874" s="64">
        <f>Ringkasan!U873</f>
        <v>57.53</v>
      </c>
      <c r="V874" s="64">
        <f>Ringkasan!V873</f>
        <v>0.26</v>
      </c>
      <c r="W874" s="64">
        <f>Ringkasan!W873</f>
        <v>57.97</v>
      </c>
      <c r="X874" s="64">
        <f>Ringkasan!X873</f>
        <v>58.06</v>
      </c>
      <c r="Y874" s="64">
        <f>Ringkasan!Y873</f>
        <v>57.68</v>
      </c>
      <c r="Z874" s="64">
        <f>Ringkasan!Z873</f>
        <v>5034</v>
      </c>
      <c r="AA874" s="64" t="str">
        <f>Ringkasan!AA873</f>
        <v>Metals &amp; Minerals</v>
      </c>
      <c r="AB874" s="64" t="str">
        <f>Ringkasan!AB873</f>
        <v>Basic Materials</v>
      </c>
    </row>
    <row r="875" hidden="1">
      <c r="A875" s="64" t="str">
        <f>Ringkasan!A874</f>
        <v>INCO</v>
      </c>
      <c r="B875" s="64" t="str">
        <f>Ringkasan!B874</f>
        <v>Vale Indonesia Tbk.</v>
      </c>
      <c r="C875" s="65">
        <f>Ringkasan!C874</f>
        <v>4710</v>
      </c>
      <c r="D875" s="64" t="str">
        <f>Ringkasan!D874</f>
        <v>#N/A</v>
      </c>
      <c r="E875" s="64" t="str">
        <f>Ringkasan!E874</f>
        <v>MNC36</v>
      </c>
      <c r="F875" s="64" t="str">
        <f>Ringkasan!F874</f>
        <v>30 Oktober 2026</v>
      </c>
      <c r="G875" s="64">
        <f>Ringkasan!G874</f>
        <v>14</v>
      </c>
      <c r="H875" s="19">
        <f>Ringkasan!H874</f>
        <v>30.1</v>
      </c>
      <c r="I875" s="19">
        <f>Ringkasan!I874</f>
        <v>1</v>
      </c>
      <c r="J875" s="19">
        <f>Ringkasan!J874</f>
        <v>3.5</v>
      </c>
      <c r="K875" s="19">
        <f>Ringkasan!K874</f>
        <v>2.9</v>
      </c>
      <c r="L875" s="19">
        <f>Ringkasan!L874</f>
        <v>0.19</v>
      </c>
      <c r="M875" s="19">
        <f>Ringkasan!M874</f>
        <v>38.6</v>
      </c>
      <c r="N875" s="64" t="str">
        <f>Ringkasan!N874</f>
        <v/>
      </c>
      <c r="O875" s="64" t="str">
        <f>Ringkasan!O874</f>
        <v/>
      </c>
      <c r="P875" s="64" t="str">
        <f>Ringkasan!P874</f>
        <v/>
      </c>
      <c r="Q875" s="64" t="str">
        <f>Ringkasan!Q874</f>
        <v/>
      </c>
      <c r="R875" s="64" t="str">
        <f>Ringkasan!R874</f>
        <v/>
      </c>
      <c r="S875" s="64" t="str">
        <f>Ringkasan!S874</f>
        <v/>
      </c>
      <c r="T875" s="64" t="str">
        <f>Ringkasan!T874</f>
        <v/>
      </c>
      <c r="U875" s="64">
        <f>Ringkasan!U874</f>
        <v>57.53</v>
      </c>
      <c r="V875" s="64">
        <f>Ringkasan!V874</f>
        <v>0.26</v>
      </c>
      <c r="W875" s="64">
        <f>Ringkasan!W874</f>
        <v>57.97</v>
      </c>
      <c r="X875" s="64">
        <f>Ringkasan!X874</f>
        <v>58.06</v>
      </c>
      <c r="Y875" s="64">
        <f>Ringkasan!Y874</f>
        <v>57.68</v>
      </c>
      <c r="Z875" s="64">
        <f>Ringkasan!Z874</f>
        <v>5034</v>
      </c>
      <c r="AA875" s="64" t="str">
        <f>Ringkasan!AA874</f>
        <v>Metals &amp; Minerals</v>
      </c>
      <c r="AB875" s="64" t="str">
        <f>Ringkasan!AB874</f>
        <v>Basic Materials</v>
      </c>
    </row>
    <row r="876" hidden="1">
      <c r="A876" s="64" t="str">
        <f>Ringkasan!A875</f>
        <v>INCO</v>
      </c>
      <c r="B876" s="64" t="str">
        <f>Ringkasan!B875</f>
        <v>Vale Indonesia Tbk.</v>
      </c>
      <c r="C876" s="65">
        <f>Ringkasan!C875</f>
        <v>4710</v>
      </c>
      <c r="D876" s="64" t="str">
        <f>Ringkasan!D875</f>
        <v>#N/A</v>
      </c>
      <c r="E876" s="64" t="str">
        <f>Ringkasan!E875</f>
        <v>FTSE Large Cap</v>
      </c>
      <c r="F876" s="64" t="str">
        <f>Ringkasan!F875</f>
        <v>Juni 2026</v>
      </c>
      <c r="G876" s="64">
        <f>Ringkasan!G875</f>
        <v>14</v>
      </c>
      <c r="H876" s="19">
        <f>Ringkasan!H875</f>
        <v>30.1</v>
      </c>
      <c r="I876" s="19">
        <f>Ringkasan!I875</f>
        <v>1</v>
      </c>
      <c r="J876" s="19">
        <f>Ringkasan!J875</f>
        <v>3.5</v>
      </c>
      <c r="K876" s="19">
        <f>Ringkasan!K875</f>
        <v>2.9</v>
      </c>
      <c r="L876" s="19">
        <f>Ringkasan!L875</f>
        <v>0.19</v>
      </c>
      <c r="M876" s="19">
        <f>Ringkasan!M875</f>
        <v>38.6</v>
      </c>
      <c r="N876" s="64" t="str">
        <f>Ringkasan!N875</f>
        <v/>
      </c>
      <c r="O876" s="64" t="str">
        <f>Ringkasan!O875</f>
        <v/>
      </c>
      <c r="P876" s="64" t="str">
        <f>Ringkasan!P875</f>
        <v/>
      </c>
      <c r="Q876" s="64" t="str">
        <f>Ringkasan!Q875</f>
        <v/>
      </c>
      <c r="R876" s="64" t="str">
        <f>Ringkasan!R875</f>
        <v/>
      </c>
      <c r="S876" s="64" t="str">
        <f>Ringkasan!S875</f>
        <v/>
      </c>
      <c r="T876" s="64" t="str">
        <f>Ringkasan!T875</f>
        <v/>
      </c>
      <c r="U876" s="64">
        <f>Ringkasan!U875</f>
        <v>57.53</v>
      </c>
      <c r="V876" s="64">
        <f>Ringkasan!V875</f>
        <v>0.26</v>
      </c>
      <c r="W876" s="64">
        <f>Ringkasan!W875</f>
        <v>57.97</v>
      </c>
      <c r="X876" s="64">
        <f>Ringkasan!X875</f>
        <v>58.06</v>
      </c>
      <c r="Y876" s="64">
        <f>Ringkasan!Y875</f>
        <v>57.68</v>
      </c>
      <c r="Z876" s="64">
        <f>Ringkasan!Z875</f>
        <v>5034</v>
      </c>
      <c r="AA876" s="64" t="str">
        <f>Ringkasan!AA875</f>
        <v>Metals &amp; Minerals</v>
      </c>
      <c r="AB876" s="64" t="str">
        <f>Ringkasan!AB875</f>
        <v>Basic Materials</v>
      </c>
    </row>
    <row r="877" hidden="1">
      <c r="A877" s="64" t="str">
        <f>Ringkasan!A876</f>
        <v>INCO</v>
      </c>
      <c r="B877" s="64" t="str">
        <f>Ringkasan!B876</f>
        <v>Vale Indonesia Tbk.</v>
      </c>
      <c r="C877" s="65">
        <f>Ringkasan!C876</f>
        <v>4710</v>
      </c>
      <c r="D877" s="64" t="str">
        <f>Ringkasan!D876</f>
        <v>#N/A</v>
      </c>
      <c r="E877" s="64" t="str">
        <f>Ringkasan!E876</f>
        <v>MSCI Small Cap</v>
      </c>
      <c r="F877" s="64" t="str">
        <f>Ringkasan!F876</f>
        <v>12 Agustus 2026</v>
      </c>
      <c r="G877" s="64">
        <f>Ringkasan!G876</f>
        <v>14</v>
      </c>
      <c r="H877" s="19">
        <f>Ringkasan!H876</f>
        <v>30.1</v>
      </c>
      <c r="I877" s="19">
        <f>Ringkasan!I876</f>
        <v>1</v>
      </c>
      <c r="J877" s="19">
        <f>Ringkasan!J876</f>
        <v>3.5</v>
      </c>
      <c r="K877" s="19">
        <f>Ringkasan!K876</f>
        <v>2.9</v>
      </c>
      <c r="L877" s="19">
        <f>Ringkasan!L876</f>
        <v>0.19</v>
      </c>
      <c r="M877" s="19">
        <f>Ringkasan!M876</f>
        <v>38.6</v>
      </c>
      <c r="N877" s="64" t="str">
        <f>Ringkasan!N876</f>
        <v/>
      </c>
      <c r="O877" s="64" t="str">
        <f>Ringkasan!O876</f>
        <v/>
      </c>
      <c r="P877" s="64" t="str">
        <f>Ringkasan!P876</f>
        <v/>
      </c>
      <c r="Q877" s="64" t="str">
        <f>Ringkasan!Q876</f>
        <v/>
      </c>
      <c r="R877" s="64" t="str">
        <f>Ringkasan!R876</f>
        <v/>
      </c>
      <c r="S877" s="64" t="str">
        <f>Ringkasan!S876</f>
        <v/>
      </c>
      <c r="T877" s="64" t="str">
        <f>Ringkasan!T876</f>
        <v/>
      </c>
      <c r="U877" s="64">
        <f>Ringkasan!U876</f>
        <v>57.53</v>
      </c>
      <c r="V877" s="64">
        <f>Ringkasan!V876</f>
        <v>0.26</v>
      </c>
      <c r="W877" s="64">
        <f>Ringkasan!W876</f>
        <v>57.97</v>
      </c>
      <c r="X877" s="64">
        <f>Ringkasan!X876</f>
        <v>58.06</v>
      </c>
      <c r="Y877" s="64">
        <f>Ringkasan!Y876</f>
        <v>57.68</v>
      </c>
      <c r="Z877" s="64">
        <f>Ringkasan!Z876</f>
        <v>5034</v>
      </c>
      <c r="AA877" s="64" t="str">
        <f>Ringkasan!AA876</f>
        <v>Metals &amp; Minerals</v>
      </c>
      <c r="AB877" s="64" t="str">
        <f>Ringkasan!AB876</f>
        <v>Basic Materials</v>
      </c>
    </row>
    <row r="878" hidden="1">
      <c r="A878" s="64" t="str">
        <f>Ringkasan!A877</f>
        <v>INCO</v>
      </c>
      <c r="B878" s="64" t="str">
        <f>Ringkasan!B877</f>
        <v>Vale Indonesia Tbk.</v>
      </c>
      <c r="C878" s="65">
        <f>Ringkasan!C877</f>
        <v>4710</v>
      </c>
      <c r="D878" s="64" t="str">
        <f>Ringkasan!D877</f>
        <v>#N/A</v>
      </c>
      <c r="E878" s="64" t="str">
        <f>Ringkasan!E877</f>
        <v>Investor33</v>
      </c>
      <c r="F878" s="66">
        <f>Ringkasan!F877</f>
        <v>46356</v>
      </c>
      <c r="G878" s="64">
        <f>Ringkasan!G877</f>
        <v>14</v>
      </c>
      <c r="H878" s="19">
        <f>Ringkasan!H877</f>
        <v>30.1</v>
      </c>
      <c r="I878" s="19">
        <f>Ringkasan!I877</f>
        <v>1</v>
      </c>
      <c r="J878" s="19">
        <f>Ringkasan!J877</f>
        <v>3.5</v>
      </c>
      <c r="K878" s="19">
        <f>Ringkasan!K877</f>
        <v>2.9</v>
      </c>
      <c r="L878" s="19">
        <f>Ringkasan!L877</f>
        <v>0.19</v>
      </c>
      <c r="M878" s="19">
        <f>Ringkasan!M877</f>
        <v>38.6</v>
      </c>
      <c r="N878" s="64" t="str">
        <f>Ringkasan!N877</f>
        <v/>
      </c>
      <c r="O878" s="64" t="str">
        <f>Ringkasan!O877</f>
        <v/>
      </c>
      <c r="P878" s="64" t="str">
        <f>Ringkasan!P877</f>
        <v/>
      </c>
      <c r="Q878" s="64" t="str">
        <f>Ringkasan!Q877</f>
        <v/>
      </c>
      <c r="R878" s="64" t="str">
        <f>Ringkasan!R877</f>
        <v/>
      </c>
      <c r="S878" s="64" t="str">
        <f>Ringkasan!S877</f>
        <v/>
      </c>
      <c r="T878" s="64" t="str">
        <f>Ringkasan!T877</f>
        <v/>
      </c>
      <c r="U878" s="64">
        <f>Ringkasan!U877</f>
        <v>57.53</v>
      </c>
      <c r="V878" s="64">
        <f>Ringkasan!V877</f>
        <v>0.26</v>
      </c>
      <c r="W878" s="64">
        <f>Ringkasan!W877</f>
        <v>57.97</v>
      </c>
      <c r="X878" s="64">
        <f>Ringkasan!X877</f>
        <v>58.06</v>
      </c>
      <c r="Y878" s="64">
        <f>Ringkasan!Y877</f>
        <v>57.68</v>
      </c>
      <c r="Z878" s="64">
        <f>Ringkasan!Z877</f>
        <v>5034</v>
      </c>
      <c r="AA878" s="64" t="str">
        <f>Ringkasan!AA877</f>
        <v>Metals &amp; Minerals</v>
      </c>
      <c r="AB878" s="64" t="str">
        <f>Ringkasan!AB877</f>
        <v>Basic Materials</v>
      </c>
    </row>
    <row r="879" hidden="1">
      <c r="A879" s="64" t="str">
        <f>Ringkasan!A878</f>
        <v>INDF</v>
      </c>
      <c r="B879" s="64" t="str">
        <f>Ringkasan!B878</f>
        <v>Indofood Sukses Makmur Tbk.</v>
      </c>
      <c r="C879" s="65">
        <f>Ringkasan!C878</f>
        <v>6425</v>
      </c>
      <c r="D879" s="64" t="str">
        <f>Ringkasan!D878</f>
        <v>#N/A</v>
      </c>
      <c r="E879" s="64" t="str">
        <f>Ringkasan!E878</f>
        <v>ESGQKEHATI</v>
      </c>
      <c r="F879" s="66">
        <f>Ringkasan!F878</f>
        <v>46356</v>
      </c>
      <c r="G879" s="64">
        <f>Ringkasan!G878</f>
        <v>18</v>
      </c>
      <c r="H879" s="19">
        <f>Ringkasan!H878</f>
        <v>5.6</v>
      </c>
      <c r="I879" s="19">
        <f>Ringkasan!I878</f>
        <v>0.48</v>
      </c>
      <c r="J879" s="19">
        <f>Ringkasan!J878</f>
        <v>8.7</v>
      </c>
      <c r="K879" s="19">
        <f>Ringkasan!K878</f>
        <v>4.8</v>
      </c>
      <c r="L879" s="19">
        <f>Ringkasan!L878</f>
        <v>0.8</v>
      </c>
      <c r="M879" s="19">
        <f>Ringkasan!M878</f>
        <v>32.2</v>
      </c>
      <c r="N879" s="64" t="str">
        <f>Ringkasan!N878</f>
        <v/>
      </c>
      <c r="O879" s="64" t="str">
        <f>Ringkasan!O878</f>
        <v/>
      </c>
      <c r="P879" s="64" t="str">
        <f>Ringkasan!P878</f>
        <v/>
      </c>
      <c r="Q879" s="64" t="str">
        <f>Ringkasan!Q878</f>
        <v/>
      </c>
      <c r="R879" s="64" t="str">
        <f>Ringkasan!R878</f>
        <v/>
      </c>
      <c r="S879" s="64" t="str">
        <f>Ringkasan!S878</f>
        <v/>
      </c>
      <c r="T879" s="64" t="str">
        <f>Ringkasan!T878</f>
        <v/>
      </c>
      <c r="U879" s="64">
        <f>Ringkasan!U878</f>
        <v>6225</v>
      </c>
      <c r="V879" s="64">
        <f>Ringkasan!V878</f>
        <v>3.21</v>
      </c>
      <c r="W879" s="64">
        <f>Ringkasan!W878</f>
        <v>6275</v>
      </c>
      <c r="X879" s="64">
        <f>Ringkasan!X878</f>
        <v>6675</v>
      </c>
      <c r="Y879" s="64">
        <f>Ringkasan!Y878</f>
        <v>6275</v>
      </c>
      <c r="Z879" s="64">
        <f>Ringkasan!Z878</f>
        <v>11991600</v>
      </c>
      <c r="AA879" s="64" t="str">
        <f>Ringkasan!AA878</f>
        <v>Processed Foods</v>
      </c>
      <c r="AB879" s="64" t="str">
        <f>Ringkasan!AB878</f>
        <v>Consumer Non-Cyclicals</v>
      </c>
    </row>
    <row r="880" hidden="1">
      <c r="A880" s="64" t="str">
        <f>Ringkasan!A879</f>
        <v>INDF</v>
      </c>
      <c r="B880" s="64" t="str">
        <f>Ringkasan!B879</f>
        <v>Indofood Sukses Makmur Tbk.</v>
      </c>
      <c r="C880" s="65">
        <f>Ringkasan!C879</f>
        <v>6425</v>
      </c>
      <c r="D880" s="64" t="str">
        <f>Ringkasan!D879</f>
        <v>#N/A</v>
      </c>
      <c r="E880" s="64" t="str">
        <f>Ringkasan!E879</f>
        <v>IDXSHAGROW</v>
      </c>
      <c r="F880" s="66">
        <f>Ringkasan!F879</f>
        <v>46356</v>
      </c>
      <c r="G880" s="64">
        <f>Ringkasan!G879</f>
        <v>18</v>
      </c>
      <c r="H880" s="19">
        <f>Ringkasan!H879</f>
        <v>5.6</v>
      </c>
      <c r="I880" s="19">
        <f>Ringkasan!I879</f>
        <v>0.48</v>
      </c>
      <c r="J880" s="19">
        <f>Ringkasan!J879</f>
        <v>8.7</v>
      </c>
      <c r="K880" s="19">
        <f>Ringkasan!K879</f>
        <v>4.8</v>
      </c>
      <c r="L880" s="19">
        <f>Ringkasan!L879</f>
        <v>0.8</v>
      </c>
      <c r="M880" s="19">
        <f>Ringkasan!M879</f>
        <v>32.2</v>
      </c>
      <c r="N880" s="64" t="str">
        <f>Ringkasan!N879</f>
        <v/>
      </c>
      <c r="O880" s="64" t="str">
        <f>Ringkasan!O879</f>
        <v/>
      </c>
      <c r="P880" s="64" t="str">
        <f>Ringkasan!P879</f>
        <v/>
      </c>
      <c r="Q880" s="64" t="str">
        <f>Ringkasan!Q879</f>
        <v/>
      </c>
      <c r="R880" s="64" t="str">
        <f>Ringkasan!R879</f>
        <v/>
      </c>
      <c r="S880" s="64" t="str">
        <f>Ringkasan!S879</f>
        <v/>
      </c>
      <c r="T880" s="64" t="str">
        <f>Ringkasan!T879</f>
        <v/>
      </c>
      <c r="U880" s="64">
        <f>Ringkasan!U879</f>
        <v>6225</v>
      </c>
      <c r="V880" s="64">
        <f>Ringkasan!V879</f>
        <v>3.21</v>
      </c>
      <c r="W880" s="64">
        <f>Ringkasan!W879</f>
        <v>6275</v>
      </c>
      <c r="X880" s="64">
        <f>Ringkasan!X879</f>
        <v>6675</v>
      </c>
      <c r="Y880" s="64">
        <f>Ringkasan!Y879</f>
        <v>6275</v>
      </c>
      <c r="Z880" s="64">
        <f>Ringkasan!Z879</f>
        <v>11991600</v>
      </c>
      <c r="AA880" s="64" t="str">
        <f>Ringkasan!AA879</f>
        <v>Processed Foods</v>
      </c>
      <c r="AB880" s="64" t="str">
        <f>Ringkasan!AB879</f>
        <v>Consumer Non-Cyclicals</v>
      </c>
    </row>
    <row r="881" hidden="1">
      <c r="A881" s="64" t="str">
        <f>Ringkasan!A880</f>
        <v>INDF</v>
      </c>
      <c r="B881" s="64" t="str">
        <f>Ringkasan!B880</f>
        <v>Indofood Sukses Makmur Tbk.</v>
      </c>
      <c r="C881" s="65">
        <f>Ringkasan!C880</f>
        <v>6425</v>
      </c>
      <c r="D881" s="64" t="str">
        <f>Ringkasan!D880</f>
        <v>#N/A</v>
      </c>
      <c r="E881" s="64" t="str">
        <f>Ringkasan!E880</f>
        <v>ESGSKEHATI</v>
      </c>
      <c r="F881" s="66">
        <f>Ringkasan!F880</f>
        <v>46356</v>
      </c>
      <c r="G881" s="64">
        <f>Ringkasan!G880</f>
        <v>18</v>
      </c>
      <c r="H881" s="19">
        <f>Ringkasan!H880</f>
        <v>5.6</v>
      </c>
      <c r="I881" s="19">
        <f>Ringkasan!I880</f>
        <v>0.48</v>
      </c>
      <c r="J881" s="19">
        <f>Ringkasan!J880</f>
        <v>8.7</v>
      </c>
      <c r="K881" s="19">
        <f>Ringkasan!K880</f>
        <v>4.8</v>
      </c>
      <c r="L881" s="19">
        <f>Ringkasan!L880</f>
        <v>0.8</v>
      </c>
      <c r="M881" s="19">
        <f>Ringkasan!M880</f>
        <v>32.2</v>
      </c>
      <c r="N881" s="64" t="str">
        <f>Ringkasan!N880</f>
        <v/>
      </c>
      <c r="O881" s="64" t="str">
        <f>Ringkasan!O880</f>
        <v/>
      </c>
      <c r="P881" s="64" t="str">
        <f>Ringkasan!P880</f>
        <v/>
      </c>
      <c r="Q881" s="64" t="str">
        <f>Ringkasan!Q880</f>
        <v/>
      </c>
      <c r="R881" s="64" t="str">
        <f>Ringkasan!R880</f>
        <v/>
      </c>
      <c r="S881" s="64" t="str">
        <f>Ringkasan!S880</f>
        <v/>
      </c>
      <c r="T881" s="64" t="str">
        <f>Ringkasan!T880</f>
        <v/>
      </c>
      <c r="U881" s="64">
        <f>Ringkasan!U880</f>
        <v>6225</v>
      </c>
      <c r="V881" s="64">
        <f>Ringkasan!V880</f>
        <v>3.21</v>
      </c>
      <c r="W881" s="64">
        <f>Ringkasan!W880</f>
        <v>6275</v>
      </c>
      <c r="X881" s="64">
        <f>Ringkasan!X880</f>
        <v>6675</v>
      </c>
      <c r="Y881" s="64">
        <f>Ringkasan!Y880</f>
        <v>6275</v>
      </c>
      <c r="Z881" s="64">
        <f>Ringkasan!Z880</f>
        <v>11991600</v>
      </c>
      <c r="AA881" s="64" t="str">
        <f>Ringkasan!AA880</f>
        <v>Processed Foods</v>
      </c>
      <c r="AB881" s="64" t="str">
        <f>Ringkasan!AB880</f>
        <v>Consumer Non-Cyclicals</v>
      </c>
    </row>
    <row r="882" hidden="1">
      <c r="A882" s="64" t="str">
        <f>Ringkasan!A881</f>
        <v>INDF</v>
      </c>
      <c r="B882" s="64" t="str">
        <f>Ringkasan!B881</f>
        <v>Indofood Sukses Makmur Tbk.</v>
      </c>
      <c r="C882" s="65">
        <f>Ringkasan!C881</f>
        <v>6425</v>
      </c>
      <c r="D882" s="64" t="str">
        <f>Ringkasan!D881</f>
        <v>#N/A</v>
      </c>
      <c r="E882" s="64" t="str">
        <f>Ringkasan!E881</f>
        <v>IDXV30</v>
      </c>
      <c r="F882" s="64" t="str">
        <f>Ringkasan!F881</f>
        <v>4 Agustus 2026</v>
      </c>
      <c r="G882" s="64">
        <f>Ringkasan!G881</f>
        <v>18</v>
      </c>
      <c r="H882" s="19">
        <f>Ringkasan!H881</f>
        <v>5.6</v>
      </c>
      <c r="I882" s="19">
        <f>Ringkasan!I881</f>
        <v>0.48</v>
      </c>
      <c r="J882" s="19">
        <f>Ringkasan!J881</f>
        <v>8.7</v>
      </c>
      <c r="K882" s="19">
        <f>Ringkasan!K881</f>
        <v>4.8</v>
      </c>
      <c r="L882" s="19">
        <f>Ringkasan!L881</f>
        <v>0.8</v>
      </c>
      <c r="M882" s="19">
        <f>Ringkasan!M881</f>
        <v>32.2</v>
      </c>
      <c r="N882" s="64" t="str">
        <f>Ringkasan!N881</f>
        <v/>
      </c>
      <c r="O882" s="64" t="str">
        <f>Ringkasan!O881</f>
        <v/>
      </c>
      <c r="P882" s="64" t="str">
        <f>Ringkasan!P881</f>
        <v/>
      </c>
      <c r="Q882" s="64" t="str">
        <f>Ringkasan!Q881</f>
        <v/>
      </c>
      <c r="R882" s="64" t="str">
        <f>Ringkasan!R881</f>
        <v/>
      </c>
      <c r="S882" s="64" t="str">
        <f>Ringkasan!S881</f>
        <v/>
      </c>
      <c r="T882" s="64" t="str">
        <f>Ringkasan!T881</f>
        <v/>
      </c>
      <c r="U882" s="64">
        <f>Ringkasan!U881</f>
        <v>6225</v>
      </c>
      <c r="V882" s="64">
        <f>Ringkasan!V881</f>
        <v>3.21</v>
      </c>
      <c r="W882" s="64">
        <f>Ringkasan!W881</f>
        <v>6275</v>
      </c>
      <c r="X882" s="64">
        <f>Ringkasan!X881</f>
        <v>6675</v>
      </c>
      <c r="Y882" s="64">
        <f>Ringkasan!Y881</f>
        <v>6275</v>
      </c>
      <c r="Z882" s="64">
        <f>Ringkasan!Z881</f>
        <v>11991600</v>
      </c>
      <c r="AA882" s="64" t="str">
        <f>Ringkasan!AA881</f>
        <v>Processed Foods</v>
      </c>
      <c r="AB882" s="64" t="str">
        <f>Ringkasan!AB881</f>
        <v>Consumer Non-Cyclicals</v>
      </c>
    </row>
    <row r="883" hidden="1">
      <c r="A883" s="64" t="str">
        <f>Ringkasan!A882</f>
        <v>INDF</v>
      </c>
      <c r="B883" s="64" t="str">
        <f>Ringkasan!B882</f>
        <v>Indofood Sukses Makmur Tbk.</v>
      </c>
      <c r="C883" s="65">
        <f>Ringkasan!C882</f>
        <v>6425</v>
      </c>
      <c r="D883" s="64" t="str">
        <f>Ringkasan!D882</f>
        <v>#N/A</v>
      </c>
      <c r="E883" s="64" t="str">
        <f>Ringkasan!E882</f>
        <v>IDXG30</v>
      </c>
      <c r="F883" s="64" t="str">
        <f>Ringkasan!F882</f>
        <v>4 Agustus 2026</v>
      </c>
      <c r="G883" s="64">
        <f>Ringkasan!G882</f>
        <v>18</v>
      </c>
      <c r="H883" s="19">
        <f>Ringkasan!H882</f>
        <v>5.6</v>
      </c>
      <c r="I883" s="19">
        <f>Ringkasan!I882</f>
        <v>0.48</v>
      </c>
      <c r="J883" s="19">
        <f>Ringkasan!J882</f>
        <v>8.7</v>
      </c>
      <c r="K883" s="19">
        <f>Ringkasan!K882</f>
        <v>4.8</v>
      </c>
      <c r="L883" s="19">
        <f>Ringkasan!L882</f>
        <v>0.8</v>
      </c>
      <c r="M883" s="19">
        <f>Ringkasan!M882</f>
        <v>32.2</v>
      </c>
      <c r="N883" s="64" t="str">
        <f>Ringkasan!N882</f>
        <v/>
      </c>
      <c r="O883" s="64" t="str">
        <f>Ringkasan!O882</f>
        <v/>
      </c>
      <c r="P883" s="64" t="str">
        <f>Ringkasan!P882</f>
        <v/>
      </c>
      <c r="Q883" s="64" t="str">
        <f>Ringkasan!Q882</f>
        <v/>
      </c>
      <c r="R883" s="64" t="str">
        <f>Ringkasan!R882</f>
        <v/>
      </c>
      <c r="S883" s="64" t="str">
        <f>Ringkasan!S882</f>
        <v/>
      </c>
      <c r="T883" s="64" t="str">
        <f>Ringkasan!T882</f>
        <v/>
      </c>
      <c r="U883" s="64">
        <f>Ringkasan!U882</f>
        <v>6225</v>
      </c>
      <c r="V883" s="64">
        <f>Ringkasan!V882</f>
        <v>3.21</v>
      </c>
      <c r="W883" s="64">
        <f>Ringkasan!W882</f>
        <v>6275</v>
      </c>
      <c r="X883" s="64">
        <f>Ringkasan!X882</f>
        <v>6675</v>
      </c>
      <c r="Y883" s="64">
        <f>Ringkasan!Y882</f>
        <v>6275</v>
      </c>
      <c r="Z883" s="64">
        <f>Ringkasan!Z882</f>
        <v>11991600</v>
      </c>
      <c r="AA883" s="64" t="str">
        <f>Ringkasan!AA882</f>
        <v>Processed Foods</v>
      </c>
      <c r="AB883" s="64" t="str">
        <f>Ringkasan!AB882</f>
        <v>Consumer Non-Cyclicals</v>
      </c>
    </row>
    <row r="884" hidden="1">
      <c r="A884" s="64" t="str">
        <f>Ringkasan!A356</f>
        <v>BMBL</v>
      </c>
      <c r="B884" s="64" t="str">
        <f>Ringkasan!B356</f>
        <v>PT Lavender Bina Cendikia Tbk</v>
      </c>
      <c r="C884" s="65">
        <f>Ringkasan!C356</f>
        <v>33</v>
      </c>
      <c r="D884" s="64" t="str">
        <f>Ringkasan!D356</f>
        <v>#N/A</v>
      </c>
      <c r="E884" s="64" t="str">
        <f>Ringkasan!E356</f>
        <v/>
      </c>
      <c r="F884" s="64" t="str">
        <f>Ringkasan!F356</f>
        <v/>
      </c>
      <c r="G884" s="64">
        <f>Ringkasan!G356</f>
        <v>0</v>
      </c>
      <c r="H884" s="19">
        <f>Ringkasan!H356</f>
        <v>-15.5</v>
      </c>
      <c r="I884" s="19">
        <f>Ringkasan!I356</f>
        <v>0.5</v>
      </c>
      <c r="J884" s="19">
        <f>Ringkasan!J356</f>
        <v>-3.2</v>
      </c>
      <c r="K884" s="19">
        <f>Ringkasan!K356</f>
        <v>-3</v>
      </c>
      <c r="L884" s="19">
        <f>Ringkasan!L356</f>
        <v>0.07</v>
      </c>
      <c r="M884" s="19">
        <f>Ringkasan!M356</f>
        <v>-14.8</v>
      </c>
      <c r="N884" s="64" t="str">
        <f>Ringkasan!N356</f>
        <v/>
      </c>
      <c r="O884" s="64" t="str">
        <f>Ringkasan!O356</f>
        <v/>
      </c>
      <c r="P884" s="64" t="str">
        <f>Ringkasan!P356</f>
        <v/>
      </c>
      <c r="Q884" s="64" t="str">
        <f>Ringkasan!Q356</f>
        <v/>
      </c>
      <c r="R884" s="64" t="str">
        <f>Ringkasan!R356</f>
        <v/>
      </c>
      <c r="S884" s="64" t="str">
        <f>Ringkasan!S356</f>
        <v/>
      </c>
      <c r="T884" s="64" t="str">
        <f>Ringkasan!T356</f>
        <v/>
      </c>
      <c r="U884" s="64">
        <f>Ringkasan!U356</f>
        <v>2.73</v>
      </c>
      <c r="V884" s="64">
        <f>Ringkasan!V356</f>
        <v>-0.37</v>
      </c>
      <c r="W884" s="64">
        <f>Ringkasan!W356</f>
        <v>2.75</v>
      </c>
      <c r="X884" s="64">
        <f>Ringkasan!X356</f>
        <v>2.76</v>
      </c>
      <c r="Y884" s="64">
        <f>Ringkasan!Y356</f>
        <v>2.7</v>
      </c>
      <c r="Z884" s="64">
        <f>Ringkasan!Z356</f>
        <v>1776866</v>
      </c>
      <c r="AA884" s="64" t="str">
        <f>Ringkasan!AA356</f>
        <v>Education &amp; Support Services</v>
      </c>
      <c r="AB884" s="64" t="str">
        <f>Ringkasan!AB356</f>
        <v>Consumer Cyclicals</v>
      </c>
    </row>
    <row r="885" hidden="1">
      <c r="A885" s="64" t="str">
        <f>Ringkasan!A884</f>
        <v>INDF</v>
      </c>
      <c r="B885" s="64" t="str">
        <f>Ringkasan!B884</f>
        <v>Indofood Sukses Makmur Tbk.</v>
      </c>
      <c r="C885" s="65">
        <f>Ringkasan!C884</f>
        <v>6425</v>
      </c>
      <c r="D885" s="64" t="str">
        <f>Ringkasan!D884</f>
        <v>#N/A</v>
      </c>
      <c r="E885" s="64" t="str">
        <f>Ringkasan!E884</f>
        <v>IDX80</v>
      </c>
      <c r="F885" s="64" t="str">
        <f>Ringkasan!F884</f>
        <v>31 Juli 2026</v>
      </c>
      <c r="G885" s="64">
        <f>Ringkasan!G884</f>
        <v>18</v>
      </c>
      <c r="H885" s="19">
        <f>Ringkasan!H884</f>
        <v>5.6</v>
      </c>
      <c r="I885" s="19">
        <f>Ringkasan!I884</f>
        <v>0.48</v>
      </c>
      <c r="J885" s="19">
        <f>Ringkasan!J884</f>
        <v>8.7</v>
      </c>
      <c r="K885" s="19">
        <f>Ringkasan!K884</f>
        <v>4.8</v>
      </c>
      <c r="L885" s="19">
        <f>Ringkasan!L884</f>
        <v>0.8</v>
      </c>
      <c r="M885" s="19">
        <f>Ringkasan!M884</f>
        <v>32.2</v>
      </c>
      <c r="N885" s="64" t="str">
        <f>Ringkasan!N884</f>
        <v/>
      </c>
      <c r="O885" s="64" t="str">
        <f>Ringkasan!O884</f>
        <v/>
      </c>
      <c r="P885" s="64" t="str">
        <f>Ringkasan!P884</f>
        <v/>
      </c>
      <c r="Q885" s="64" t="str">
        <f>Ringkasan!Q884</f>
        <v/>
      </c>
      <c r="R885" s="64" t="str">
        <f>Ringkasan!R884</f>
        <v/>
      </c>
      <c r="S885" s="64" t="str">
        <f>Ringkasan!S884</f>
        <v/>
      </c>
      <c r="T885" s="64" t="str">
        <f>Ringkasan!T884</f>
        <v/>
      </c>
      <c r="U885" s="64">
        <f>Ringkasan!U884</f>
        <v>6225</v>
      </c>
      <c r="V885" s="64">
        <f>Ringkasan!V884</f>
        <v>3.21</v>
      </c>
      <c r="W885" s="64">
        <f>Ringkasan!W884</f>
        <v>6275</v>
      </c>
      <c r="X885" s="64">
        <f>Ringkasan!X884</f>
        <v>6675</v>
      </c>
      <c r="Y885" s="64">
        <f>Ringkasan!Y884</f>
        <v>6275</v>
      </c>
      <c r="Z885" s="64">
        <f>Ringkasan!Z884</f>
        <v>11991600</v>
      </c>
      <c r="AA885" s="64" t="str">
        <f>Ringkasan!AA884</f>
        <v>Processed Foods</v>
      </c>
      <c r="AB885" s="64" t="str">
        <f>Ringkasan!AB884</f>
        <v>Consumer Non-Cyclicals</v>
      </c>
    </row>
    <row r="886" hidden="1">
      <c r="A886" s="64" t="str">
        <f>Ringkasan!A885</f>
        <v>INDF</v>
      </c>
      <c r="B886" s="64" t="str">
        <f>Ringkasan!B885</f>
        <v>Indofood Sukses Makmur Tbk.</v>
      </c>
      <c r="C886" s="65">
        <f>Ringkasan!C885</f>
        <v>6425</v>
      </c>
      <c r="D886" s="64" t="str">
        <f>Ringkasan!D885</f>
        <v>#N/A</v>
      </c>
      <c r="E886" s="64" t="str">
        <f>Ringkasan!E885</f>
        <v>IDXHIDIV20</v>
      </c>
      <c r="F886" s="64" t="str">
        <f>Ringkasan!F885</f>
        <v>2 Februari 2027</v>
      </c>
      <c r="G886" s="64">
        <f>Ringkasan!G885</f>
        <v>18</v>
      </c>
      <c r="H886" s="19">
        <f>Ringkasan!H885</f>
        <v>5.6</v>
      </c>
      <c r="I886" s="19">
        <f>Ringkasan!I885</f>
        <v>0.48</v>
      </c>
      <c r="J886" s="19">
        <f>Ringkasan!J885</f>
        <v>8.7</v>
      </c>
      <c r="K886" s="19">
        <f>Ringkasan!K885</f>
        <v>4.8</v>
      </c>
      <c r="L886" s="19">
        <f>Ringkasan!L885</f>
        <v>0.8</v>
      </c>
      <c r="M886" s="19">
        <f>Ringkasan!M885</f>
        <v>32.2</v>
      </c>
      <c r="N886" s="64" t="str">
        <f>Ringkasan!N885</f>
        <v/>
      </c>
      <c r="O886" s="64" t="str">
        <f>Ringkasan!O885</f>
        <v/>
      </c>
      <c r="P886" s="64" t="str">
        <f>Ringkasan!P885</f>
        <v/>
      </c>
      <c r="Q886" s="64" t="str">
        <f>Ringkasan!Q885</f>
        <v/>
      </c>
      <c r="R886" s="64" t="str">
        <f>Ringkasan!R885</f>
        <v/>
      </c>
      <c r="S886" s="64" t="str">
        <f>Ringkasan!S885</f>
        <v/>
      </c>
      <c r="T886" s="64" t="str">
        <f>Ringkasan!T885</f>
        <v/>
      </c>
      <c r="U886" s="64">
        <f>Ringkasan!U885</f>
        <v>6225</v>
      </c>
      <c r="V886" s="64">
        <f>Ringkasan!V885</f>
        <v>3.21</v>
      </c>
      <c r="W886" s="64">
        <f>Ringkasan!W885</f>
        <v>6275</v>
      </c>
      <c r="X886" s="64">
        <f>Ringkasan!X885</f>
        <v>6675</v>
      </c>
      <c r="Y886" s="64">
        <f>Ringkasan!Y885</f>
        <v>6275</v>
      </c>
      <c r="Z886" s="64">
        <f>Ringkasan!Z885</f>
        <v>11991600</v>
      </c>
      <c r="AA886" s="64" t="str">
        <f>Ringkasan!AA885</f>
        <v>Processed Foods</v>
      </c>
      <c r="AB886" s="64" t="str">
        <f>Ringkasan!AB885</f>
        <v>Consumer Non-Cyclicals</v>
      </c>
    </row>
    <row r="887" hidden="1">
      <c r="A887" s="64" t="str">
        <f>Ringkasan!A886</f>
        <v>INDF</v>
      </c>
      <c r="B887" s="64" t="str">
        <f>Ringkasan!B886</f>
        <v>Indofood Sukses Makmur Tbk.</v>
      </c>
      <c r="C887" s="65">
        <f>Ringkasan!C886</f>
        <v>6425</v>
      </c>
      <c r="D887" s="64" t="str">
        <f>Ringkasan!D886</f>
        <v>#N/A</v>
      </c>
      <c r="E887" s="64" t="str">
        <f>Ringkasan!E886</f>
        <v>IDX30</v>
      </c>
      <c r="F887" s="64" t="str">
        <f>Ringkasan!F886</f>
        <v>31 Juli 2026</v>
      </c>
      <c r="G887" s="64">
        <f>Ringkasan!G886</f>
        <v>18</v>
      </c>
      <c r="H887" s="19">
        <f>Ringkasan!H886</f>
        <v>5.6</v>
      </c>
      <c r="I887" s="19">
        <f>Ringkasan!I886</f>
        <v>0.48</v>
      </c>
      <c r="J887" s="19">
        <f>Ringkasan!J886</f>
        <v>8.7</v>
      </c>
      <c r="K887" s="19">
        <f>Ringkasan!K886</f>
        <v>4.8</v>
      </c>
      <c r="L887" s="19">
        <f>Ringkasan!L886</f>
        <v>0.8</v>
      </c>
      <c r="M887" s="19">
        <f>Ringkasan!M886</f>
        <v>32.2</v>
      </c>
      <c r="N887" s="64" t="str">
        <f>Ringkasan!N886</f>
        <v/>
      </c>
      <c r="O887" s="64" t="str">
        <f>Ringkasan!O886</f>
        <v/>
      </c>
      <c r="P887" s="64" t="str">
        <f>Ringkasan!P886</f>
        <v/>
      </c>
      <c r="Q887" s="64" t="str">
        <f>Ringkasan!Q886</f>
        <v/>
      </c>
      <c r="R887" s="64" t="str">
        <f>Ringkasan!R886</f>
        <v/>
      </c>
      <c r="S887" s="64" t="str">
        <f>Ringkasan!S886</f>
        <v/>
      </c>
      <c r="T887" s="64" t="str">
        <f>Ringkasan!T886</f>
        <v/>
      </c>
      <c r="U887" s="64">
        <f>Ringkasan!U886</f>
        <v>6225</v>
      </c>
      <c r="V887" s="64">
        <f>Ringkasan!V886</f>
        <v>3.21</v>
      </c>
      <c r="W887" s="64">
        <f>Ringkasan!W886</f>
        <v>6275</v>
      </c>
      <c r="X887" s="64">
        <f>Ringkasan!X886</f>
        <v>6675</v>
      </c>
      <c r="Y887" s="64">
        <f>Ringkasan!Y886</f>
        <v>6275</v>
      </c>
      <c r="Z887" s="64">
        <f>Ringkasan!Z886</f>
        <v>11991600</v>
      </c>
      <c r="AA887" s="64" t="str">
        <f>Ringkasan!AA886</f>
        <v>Processed Foods</v>
      </c>
      <c r="AB887" s="64" t="str">
        <f>Ringkasan!AB886</f>
        <v>Consumer Non-Cyclicals</v>
      </c>
    </row>
    <row r="888" hidden="1">
      <c r="A888" s="64" t="str">
        <f>Ringkasan!A887</f>
        <v>INDF</v>
      </c>
      <c r="B888" s="64" t="str">
        <f>Ringkasan!B887</f>
        <v>Indofood Sukses Makmur Tbk.</v>
      </c>
      <c r="C888" s="65">
        <f>Ringkasan!C887</f>
        <v>6425</v>
      </c>
      <c r="D888" s="64" t="str">
        <f>Ringkasan!D887</f>
        <v>#N/A</v>
      </c>
      <c r="E888" s="64" t="str">
        <f>Ringkasan!E887</f>
        <v>Kompas100</v>
      </c>
      <c r="F888" s="64" t="str">
        <f>Ringkasan!F887</f>
        <v>31 Juli 2026</v>
      </c>
      <c r="G888" s="64">
        <f>Ringkasan!G887</f>
        <v>18</v>
      </c>
      <c r="H888" s="19">
        <f>Ringkasan!H887</f>
        <v>5.6</v>
      </c>
      <c r="I888" s="19">
        <f>Ringkasan!I887</f>
        <v>0.48</v>
      </c>
      <c r="J888" s="19">
        <f>Ringkasan!J887</f>
        <v>8.7</v>
      </c>
      <c r="K888" s="19">
        <f>Ringkasan!K887</f>
        <v>4.8</v>
      </c>
      <c r="L888" s="19">
        <f>Ringkasan!L887</f>
        <v>0.8</v>
      </c>
      <c r="M888" s="19">
        <f>Ringkasan!M887</f>
        <v>32.2</v>
      </c>
      <c r="N888" s="64" t="str">
        <f>Ringkasan!N887</f>
        <v/>
      </c>
      <c r="O888" s="64" t="str">
        <f>Ringkasan!O887</f>
        <v/>
      </c>
      <c r="P888" s="64" t="str">
        <f>Ringkasan!P887</f>
        <v/>
      </c>
      <c r="Q888" s="64" t="str">
        <f>Ringkasan!Q887</f>
        <v/>
      </c>
      <c r="R888" s="64" t="str">
        <f>Ringkasan!R887</f>
        <v/>
      </c>
      <c r="S888" s="64" t="str">
        <f>Ringkasan!S887</f>
        <v/>
      </c>
      <c r="T888" s="64" t="str">
        <f>Ringkasan!T887</f>
        <v/>
      </c>
      <c r="U888" s="64">
        <f>Ringkasan!U887</f>
        <v>6225</v>
      </c>
      <c r="V888" s="64">
        <f>Ringkasan!V887</f>
        <v>3.21</v>
      </c>
      <c r="W888" s="64">
        <f>Ringkasan!W887</f>
        <v>6275</v>
      </c>
      <c r="X888" s="64">
        <f>Ringkasan!X887</f>
        <v>6675</v>
      </c>
      <c r="Y888" s="64">
        <f>Ringkasan!Y887</f>
        <v>6275</v>
      </c>
      <c r="Z888" s="64">
        <f>Ringkasan!Z887</f>
        <v>11991600</v>
      </c>
      <c r="AA888" s="64" t="str">
        <f>Ringkasan!AA887</f>
        <v>Processed Foods</v>
      </c>
      <c r="AB888" s="64" t="str">
        <f>Ringkasan!AB887</f>
        <v>Consumer Non-Cyclicals</v>
      </c>
    </row>
    <row r="889" hidden="1">
      <c r="A889" s="64" t="str">
        <f>Ringkasan!A888</f>
        <v>INDF</v>
      </c>
      <c r="B889" s="64" t="str">
        <f>Ringkasan!B888</f>
        <v>Indofood Sukses Makmur Tbk.</v>
      </c>
      <c r="C889" s="65">
        <f>Ringkasan!C888</f>
        <v>6425</v>
      </c>
      <c r="D889" s="64" t="str">
        <f>Ringkasan!D888</f>
        <v>#N/A</v>
      </c>
      <c r="E889" s="64" t="str">
        <f>Ringkasan!E888</f>
        <v>MNC36</v>
      </c>
      <c r="F889" s="64" t="str">
        <f>Ringkasan!F888</f>
        <v>30 Oktober 2026</v>
      </c>
      <c r="G889" s="64">
        <f>Ringkasan!G888</f>
        <v>18</v>
      </c>
      <c r="H889" s="19">
        <f>Ringkasan!H888</f>
        <v>5.6</v>
      </c>
      <c r="I889" s="19">
        <f>Ringkasan!I888</f>
        <v>0.48</v>
      </c>
      <c r="J889" s="19">
        <f>Ringkasan!J888</f>
        <v>8.7</v>
      </c>
      <c r="K889" s="19">
        <f>Ringkasan!K888</f>
        <v>4.8</v>
      </c>
      <c r="L889" s="19">
        <f>Ringkasan!L888</f>
        <v>0.8</v>
      </c>
      <c r="M889" s="19">
        <f>Ringkasan!M888</f>
        <v>32.2</v>
      </c>
      <c r="N889" s="64" t="str">
        <f>Ringkasan!N888</f>
        <v/>
      </c>
      <c r="O889" s="64" t="str">
        <f>Ringkasan!O888</f>
        <v/>
      </c>
      <c r="P889" s="64" t="str">
        <f>Ringkasan!P888</f>
        <v/>
      </c>
      <c r="Q889" s="64" t="str">
        <f>Ringkasan!Q888</f>
        <v/>
      </c>
      <c r="R889" s="64" t="str">
        <f>Ringkasan!R888</f>
        <v/>
      </c>
      <c r="S889" s="64" t="str">
        <f>Ringkasan!S888</f>
        <v/>
      </c>
      <c r="T889" s="64" t="str">
        <f>Ringkasan!T888</f>
        <v/>
      </c>
      <c r="U889" s="64">
        <f>Ringkasan!U888</f>
        <v>6225</v>
      </c>
      <c r="V889" s="64">
        <f>Ringkasan!V888</f>
        <v>3.21</v>
      </c>
      <c r="W889" s="64">
        <f>Ringkasan!W888</f>
        <v>6275</v>
      </c>
      <c r="X889" s="64">
        <f>Ringkasan!X888</f>
        <v>6675</v>
      </c>
      <c r="Y889" s="64">
        <f>Ringkasan!Y888</f>
        <v>6275</v>
      </c>
      <c r="Z889" s="64">
        <f>Ringkasan!Z888</f>
        <v>11991600</v>
      </c>
      <c r="AA889" s="64" t="str">
        <f>Ringkasan!AA888</f>
        <v>Processed Foods</v>
      </c>
      <c r="AB889" s="64" t="str">
        <f>Ringkasan!AB888</f>
        <v>Consumer Non-Cyclicals</v>
      </c>
    </row>
    <row r="890" hidden="1">
      <c r="A890" s="64" t="str">
        <f>Ringkasan!A889</f>
        <v>INDF</v>
      </c>
      <c r="B890" s="64" t="str">
        <f>Ringkasan!B889</f>
        <v>Indofood Sukses Makmur Tbk.</v>
      </c>
      <c r="C890" s="65">
        <f>Ringkasan!C889</f>
        <v>6425</v>
      </c>
      <c r="D890" s="64" t="str">
        <f>Ringkasan!D889</f>
        <v>#N/A</v>
      </c>
      <c r="E890" s="64" t="str">
        <f>Ringkasan!E889</f>
        <v>IDXVESTA28</v>
      </c>
      <c r="F890" s="64" t="str">
        <f>Ringkasan!F889</f>
        <v>31 Agustus 2026</v>
      </c>
      <c r="G890" s="64">
        <f>Ringkasan!G889</f>
        <v>18</v>
      </c>
      <c r="H890" s="19">
        <f>Ringkasan!H889</f>
        <v>5.6</v>
      </c>
      <c r="I890" s="19">
        <f>Ringkasan!I889</f>
        <v>0.48</v>
      </c>
      <c r="J890" s="19">
        <f>Ringkasan!J889</f>
        <v>8.7</v>
      </c>
      <c r="K890" s="19">
        <f>Ringkasan!K889</f>
        <v>4.8</v>
      </c>
      <c r="L890" s="19">
        <f>Ringkasan!L889</f>
        <v>0.8</v>
      </c>
      <c r="M890" s="19">
        <f>Ringkasan!M889</f>
        <v>32.2</v>
      </c>
      <c r="N890" s="64" t="str">
        <f>Ringkasan!N889</f>
        <v/>
      </c>
      <c r="O890" s="64" t="str">
        <f>Ringkasan!O889</f>
        <v/>
      </c>
      <c r="P890" s="64" t="str">
        <f>Ringkasan!P889</f>
        <v/>
      </c>
      <c r="Q890" s="64" t="str">
        <f>Ringkasan!Q889</f>
        <v/>
      </c>
      <c r="R890" s="64" t="str">
        <f>Ringkasan!R889</f>
        <v/>
      </c>
      <c r="S890" s="64" t="str">
        <f>Ringkasan!S889</f>
        <v/>
      </c>
      <c r="T890" s="64" t="str">
        <f>Ringkasan!T889</f>
        <v/>
      </c>
      <c r="U890" s="64">
        <f>Ringkasan!U889</f>
        <v>6225</v>
      </c>
      <c r="V890" s="64">
        <f>Ringkasan!V889</f>
        <v>3.21</v>
      </c>
      <c r="W890" s="64">
        <f>Ringkasan!W889</f>
        <v>6275</v>
      </c>
      <c r="X890" s="64">
        <f>Ringkasan!X889</f>
        <v>6675</v>
      </c>
      <c r="Y890" s="64">
        <f>Ringkasan!Y889</f>
        <v>6275</v>
      </c>
      <c r="Z890" s="64">
        <f>Ringkasan!Z889</f>
        <v>11991600</v>
      </c>
      <c r="AA890" s="64" t="str">
        <f>Ringkasan!AA889</f>
        <v>Processed Foods</v>
      </c>
      <c r="AB890" s="64" t="str">
        <f>Ringkasan!AB889</f>
        <v>Consumer Non-Cyclicals</v>
      </c>
    </row>
    <row r="891" hidden="1">
      <c r="A891" s="64" t="str">
        <f>Ringkasan!A890</f>
        <v>INDF</v>
      </c>
      <c r="B891" s="64" t="str">
        <f>Ringkasan!B890</f>
        <v>Indofood Sukses Makmur Tbk.</v>
      </c>
      <c r="C891" s="65">
        <f>Ringkasan!C890</f>
        <v>6425</v>
      </c>
      <c r="D891" s="64" t="str">
        <f>Ringkasan!D890</f>
        <v>#N/A</v>
      </c>
      <c r="E891" s="64" t="str">
        <f>Ringkasan!E890</f>
        <v>FTSE Large Cap</v>
      </c>
      <c r="F891" s="64" t="str">
        <f>Ringkasan!F890</f>
        <v>Juni 2026</v>
      </c>
      <c r="G891" s="64">
        <f>Ringkasan!G890</f>
        <v>18</v>
      </c>
      <c r="H891" s="19">
        <f>Ringkasan!H890</f>
        <v>5.6</v>
      </c>
      <c r="I891" s="19">
        <f>Ringkasan!I890</f>
        <v>0.48</v>
      </c>
      <c r="J891" s="19">
        <f>Ringkasan!J890</f>
        <v>8.7</v>
      </c>
      <c r="K891" s="19">
        <f>Ringkasan!K890</f>
        <v>4.8</v>
      </c>
      <c r="L891" s="19">
        <f>Ringkasan!L890</f>
        <v>0.8</v>
      </c>
      <c r="M891" s="19">
        <f>Ringkasan!M890</f>
        <v>32.2</v>
      </c>
      <c r="N891" s="64" t="str">
        <f>Ringkasan!N890</f>
        <v/>
      </c>
      <c r="O891" s="64" t="str">
        <f>Ringkasan!O890</f>
        <v/>
      </c>
      <c r="P891" s="64" t="str">
        <f>Ringkasan!P890</f>
        <v/>
      </c>
      <c r="Q891" s="64" t="str">
        <f>Ringkasan!Q890</f>
        <v/>
      </c>
      <c r="R891" s="64" t="str">
        <f>Ringkasan!R890</f>
        <v/>
      </c>
      <c r="S891" s="64" t="str">
        <f>Ringkasan!S890</f>
        <v/>
      </c>
      <c r="T891" s="64" t="str">
        <f>Ringkasan!T890</f>
        <v/>
      </c>
      <c r="U891" s="64">
        <f>Ringkasan!U890</f>
        <v>6225</v>
      </c>
      <c r="V891" s="64">
        <f>Ringkasan!V890</f>
        <v>3.21</v>
      </c>
      <c r="W891" s="64">
        <f>Ringkasan!W890</f>
        <v>6275</v>
      </c>
      <c r="X891" s="64">
        <f>Ringkasan!X890</f>
        <v>6675</v>
      </c>
      <c r="Y891" s="64">
        <f>Ringkasan!Y890</f>
        <v>6275</v>
      </c>
      <c r="Z891" s="64">
        <f>Ringkasan!Z890</f>
        <v>11991600</v>
      </c>
      <c r="AA891" s="64" t="str">
        <f>Ringkasan!AA890</f>
        <v>Processed Foods</v>
      </c>
      <c r="AB891" s="64" t="str">
        <f>Ringkasan!AB890</f>
        <v>Consumer Non-Cyclicals</v>
      </c>
    </row>
    <row r="892" hidden="1">
      <c r="A892" s="64" t="str">
        <f>Ringkasan!A891</f>
        <v>INDF</v>
      </c>
      <c r="B892" s="64" t="str">
        <f>Ringkasan!B891</f>
        <v>Indofood Sukses Makmur Tbk.</v>
      </c>
      <c r="C892" s="65">
        <f>Ringkasan!C891</f>
        <v>6425</v>
      </c>
      <c r="D892" s="64" t="str">
        <f>Ringkasan!D891</f>
        <v>#N/A</v>
      </c>
      <c r="E892" s="64" t="str">
        <f>Ringkasan!E891</f>
        <v>MSCI Small Cap</v>
      </c>
      <c r="F892" s="64" t="str">
        <f>Ringkasan!F891</f>
        <v>12 Agustus 2026</v>
      </c>
      <c r="G892" s="64">
        <f>Ringkasan!G891</f>
        <v>18</v>
      </c>
      <c r="H892" s="19">
        <f>Ringkasan!H891</f>
        <v>5.6</v>
      </c>
      <c r="I892" s="19">
        <f>Ringkasan!I891</f>
        <v>0.48</v>
      </c>
      <c r="J892" s="19">
        <f>Ringkasan!J891</f>
        <v>8.7</v>
      </c>
      <c r="K892" s="19">
        <f>Ringkasan!K891</f>
        <v>4.8</v>
      </c>
      <c r="L892" s="19">
        <f>Ringkasan!L891</f>
        <v>0.8</v>
      </c>
      <c r="M892" s="19">
        <f>Ringkasan!M891</f>
        <v>32.2</v>
      </c>
      <c r="N892" s="64" t="str">
        <f>Ringkasan!N891</f>
        <v/>
      </c>
      <c r="O892" s="64" t="str">
        <f>Ringkasan!O891</f>
        <v/>
      </c>
      <c r="P892" s="64" t="str">
        <f>Ringkasan!P891</f>
        <v/>
      </c>
      <c r="Q892" s="64" t="str">
        <f>Ringkasan!Q891</f>
        <v/>
      </c>
      <c r="R892" s="64" t="str">
        <f>Ringkasan!R891</f>
        <v/>
      </c>
      <c r="S892" s="64" t="str">
        <f>Ringkasan!S891</f>
        <v/>
      </c>
      <c r="T892" s="64" t="str">
        <f>Ringkasan!T891</f>
        <v/>
      </c>
      <c r="U892" s="64">
        <f>Ringkasan!U891</f>
        <v>6225</v>
      </c>
      <c r="V892" s="64">
        <f>Ringkasan!V891</f>
        <v>3.21</v>
      </c>
      <c r="W892" s="64">
        <f>Ringkasan!W891</f>
        <v>6275</v>
      </c>
      <c r="X892" s="64">
        <f>Ringkasan!X891</f>
        <v>6675</v>
      </c>
      <c r="Y892" s="64">
        <f>Ringkasan!Y891</f>
        <v>6275</v>
      </c>
      <c r="Z892" s="64">
        <f>Ringkasan!Z891</f>
        <v>11991600</v>
      </c>
      <c r="AA892" s="64" t="str">
        <f>Ringkasan!AA891</f>
        <v>Processed Foods</v>
      </c>
      <c r="AB892" s="64" t="str">
        <f>Ringkasan!AB891</f>
        <v>Consumer Non-Cyclicals</v>
      </c>
    </row>
    <row r="893" hidden="1">
      <c r="A893" s="64" t="str">
        <f>Ringkasan!A892</f>
        <v>INDF</v>
      </c>
      <c r="B893" s="64" t="str">
        <f>Ringkasan!B892</f>
        <v>Indofood Sukses Makmur Tbk.</v>
      </c>
      <c r="C893" s="65">
        <f>Ringkasan!C892</f>
        <v>6425</v>
      </c>
      <c r="D893" s="64" t="str">
        <f>Ringkasan!D892</f>
        <v>#N/A</v>
      </c>
      <c r="E893" s="64" t="str">
        <f>Ringkasan!E892</f>
        <v>SRI-KEHATI</v>
      </c>
      <c r="F893" s="66">
        <f>Ringkasan!F892</f>
        <v>46356</v>
      </c>
      <c r="G893" s="64">
        <f>Ringkasan!G892</f>
        <v>18</v>
      </c>
      <c r="H893" s="19">
        <f>Ringkasan!H892</f>
        <v>5.6</v>
      </c>
      <c r="I893" s="19">
        <f>Ringkasan!I892</f>
        <v>0.48</v>
      </c>
      <c r="J893" s="19">
        <f>Ringkasan!J892</f>
        <v>8.7</v>
      </c>
      <c r="K893" s="19">
        <f>Ringkasan!K892</f>
        <v>4.8</v>
      </c>
      <c r="L893" s="19">
        <f>Ringkasan!L892</f>
        <v>0.8</v>
      </c>
      <c r="M893" s="19">
        <f>Ringkasan!M892</f>
        <v>32.2</v>
      </c>
      <c r="N893" s="64" t="str">
        <f>Ringkasan!N892</f>
        <v/>
      </c>
      <c r="O893" s="64" t="str">
        <f>Ringkasan!O892</f>
        <v/>
      </c>
      <c r="P893" s="64" t="str">
        <f>Ringkasan!P892</f>
        <v/>
      </c>
      <c r="Q893" s="64" t="str">
        <f>Ringkasan!Q892</f>
        <v/>
      </c>
      <c r="R893" s="64" t="str">
        <f>Ringkasan!R892</f>
        <v/>
      </c>
      <c r="S893" s="64" t="str">
        <f>Ringkasan!S892</f>
        <v/>
      </c>
      <c r="T893" s="64" t="str">
        <f>Ringkasan!T892</f>
        <v/>
      </c>
      <c r="U893" s="64">
        <f>Ringkasan!U892</f>
        <v>6225</v>
      </c>
      <c r="V893" s="64">
        <f>Ringkasan!V892</f>
        <v>3.21</v>
      </c>
      <c r="W893" s="64">
        <f>Ringkasan!W892</f>
        <v>6275</v>
      </c>
      <c r="X893" s="64">
        <f>Ringkasan!X892</f>
        <v>6675</v>
      </c>
      <c r="Y893" s="64">
        <f>Ringkasan!Y892</f>
        <v>6275</v>
      </c>
      <c r="Z893" s="64">
        <f>Ringkasan!Z892</f>
        <v>11991600</v>
      </c>
      <c r="AA893" s="64" t="str">
        <f>Ringkasan!AA892</f>
        <v>Processed Foods</v>
      </c>
      <c r="AB893" s="64" t="str">
        <f>Ringkasan!AB892</f>
        <v>Consumer Non-Cyclicals</v>
      </c>
    </row>
    <row r="894" hidden="1">
      <c r="A894" s="64" t="str">
        <f>Ringkasan!A387</f>
        <v>BNGA</v>
      </c>
      <c r="B894" s="64" t="str">
        <f>Ringkasan!B387</f>
        <v>PT Bank CIMB Niaga Tbk</v>
      </c>
      <c r="C894" s="65">
        <f>Ringkasan!C387</f>
        <v>1550</v>
      </c>
      <c r="D894" s="64" t="str">
        <f>Ringkasan!D387</f>
        <v>#N/A</v>
      </c>
      <c r="E894" s="64" t="str">
        <f>Ringkasan!E387</f>
        <v>PRIMBANK-10</v>
      </c>
      <c r="F894" s="64" t="str">
        <f>Ringkasan!F387</f>
        <v>30 Juni 2026</v>
      </c>
      <c r="G894" s="64">
        <f>Ringkasan!G387</f>
        <v>5</v>
      </c>
      <c r="H894" s="19">
        <f>Ringkasan!H387</f>
        <v>5.9</v>
      </c>
      <c r="I894" s="19">
        <f>Ringkasan!I387</f>
        <v>0.69</v>
      </c>
      <c r="J894" s="19">
        <f>Ringkasan!J387</f>
        <v>11.6</v>
      </c>
      <c r="K894" s="19">
        <f>Ringkasan!K387</f>
        <v>1.9</v>
      </c>
      <c r="L894" s="19">
        <f>Ringkasan!L387</f>
        <v>5.2</v>
      </c>
      <c r="M894" s="19">
        <f>Ringkasan!M387</f>
        <v>110</v>
      </c>
      <c r="N894" s="64">
        <f>Ringkasan!N387</f>
        <v>4.37</v>
      </c>
      <c r="O894" s="64">
        <f>Ringkasan!O387</f>
        <v>24.83</v>
      </c>
      <c r="P894" s="64">
        <f>Ringkasan!P387</f>
        <v>86.81</v>
      </c>
      <c r="Q894" s="64">
        <f>Ringkasan!Q387</f>
        <v>2.05</v>
      </c>
      <c r="R894" s="64">
        <f>Ringkasan!R387</f>
        <v>73.11</v>
      </c>
      <c r="S894" s="64">
        <f>Ringkasan!S387</f>
        <v>45.21</v>
      </c>
      <c r="T894" s="64">
        <f>Ringkasan!T387</f>
        <v>10.03</v>
      </c>
      <c r="U894" s="64">
        <f>Ringkasan!U387</f>
        <v>1525</v>
      </c>
      <c r="V894" s="64">
        <f>Ringkasan!V387</f>
        <v>1.64</v>
      </c>
      <c r="W894" s="64">
        <f>Ringkasan!W387</f>
        <v>1525</v>
      </c>
      <c r="X894" s="64">
        <f>Ringkasan!X387</f>
        <v>1560</v>
      </c>
      <c r="Y894" s="64">
        <f>Ringkasan!Y387</f>
        <v>1525</v>
      </c>
      <c r="Z894" s="64">
        <f>Ringkasan!Z387</f>
        <v>4464900</v>
      </c>
      <c r="AA894" s="64" t="str">
        <f>Ringkasan!AA387</f>
        <v>Banks</v>
      </c>
      <c r="AB894" s="64" t="str">
        <f>Ringkasan!AB387</f>
        <v>Financials</v>
      </c>
    </row>
    <row r="895" hidden="1">
      <c r="A895" s="64" t="str">
        <f>Ringkasan!A894</f>
        <v>INDF</v>
      </c>
      <c r="B895" s="64" t="str">
        <f>Ringkasan!B894</f>
        <v>Indofood Sukses Makmur Tbk.</v>
      </c>
      <c r="C895" s="65">
        <f>Ringkasan!C894</f>
        <v>6425</v>
      </c>
      <c r="D895" s="64" t="str">
        <f>Ringkasan!D894</f>
        <v>#N/A</v>
      </c>
      <c r="E895" s="64" t="str">
        <f>Ringkasan!E894</f>
        <v>JII30</v>
      </c>
      <c r="F895" s="66">
        <f>Ringkasan!F894</f>
        <v>46356</v>
      </c>
      <c r="G895" s="64">
        <f>Ringkasan!G894</f>
        <v>18</v>
      </c>
      <c r="H895" s="19">
        <f>Ringkasan!H894</f>
        <v>5.6</v>
      </c>
      <c r="I895" s="19">
        <f>Ringkasan!I894</f>
        <v>0.48</v>
      </c>
      <c r="J895" s="19">
        <f>Ringkasan!J894</f>
        <v>8.7</v>
      </c>
      <c r="K895" s="19">
        <f>Ringkasan!K894</f>
        <v>4.8</v>
      </c>
      <c r="L895" s="19">
        <f>Ringkasan!L894</f>
        <v>0.8</v>
      </c>
      <c r="M895" s="19">
        <f>Ringkasan!M894</f>
        <v>32.2</v>
      </c>
      <c r="N895" s="64" t="str">
        <f>Ringkasan!N894</f>
        <v/>
      </c>
      <c r="O895" s="64" t="str">
        <f>Ringkasan!O894</f>
        <v/>
      </c>
      <c r="P895" s="64" t="str">
        <f>Ringkasan!P894</f>
        <v/>
      </c>
      <c r="Q895" s="64" t="str">
        <f>Ringkasan!Q894</f>
        <v/>
      </c>
      <c r="R895" s="64" t="str">
        <f>Ringkasan!R894</f>
        <v/>
      </c>
      <c r="S895" s="64" t="str">
        <f>Ringkasan!S894</f>
        <v/>
      </c>
      <c r="T895" s="64" t="str">
        <f>Ringkasan!T894</f>
        <v/>
      </c>
      <c r="U895" s="64">
        <f>Ringkasan!U894</f>
        <v>6225</v>
      </c>
      <c r="V895" s="64">
        <f>Ringkasan!V894</f>
        <v>3.21</v>
      </c>
      <c r="W895" s="64">
        <f>Ringkasan!W894</f>
        <v>6275</v>
      </c>
      <c r="X895" s="64">
        <f>Ringkasan!X894</f>
        <v>6675</v>
      </c>
      <c r="Y895" s="64">
        <f>Ringkasan!Y894</f>
        <v>6275</v>
      </c>
      <c r="Z895" s="64">
        <f>Ringkasan!Z894</f>
        <v>11991600</v>
      </c>
      <c r="AA895" s="64" t="str">
        <f>Ringkasan!AA894</f>
        <v>Processed Foods</v>
      </c>
      <c r="AB895" s="64" t="str">
        <f>Ringkasan!AB894</f>
        <v>Consumer Non-Cyclicals</v>
      </c>
    </row>
    <row r="896" hidden="1">
      <c r="A896" s="64" t="str">
        <f>Ringkasan!A407</f>
        <v>BRIS</v>
      </c>
      <c r="B896" s="64" t="str">
        <f>Ringkasan!B407</f>
        <v>Bank Syariah Indonesia (Persero) Tbk.</v>
      </c>
      <c r="C896" s="65" t="str">
        <f>Ringkasan!C407</f>
        <v>#N/A</v>
      </c>
      <c r="D896" s="64" t="str">
        <f>Ringkasan!D407</f>
        <v>#N/A</v>
      </c>
      <c r="E896" s="64" t="str">
        <f>Ringkasan!E407</f>
        <v>Pefindo - iGrade</v>
      </c>
      <c r="F896" s="64" t="str">
        <f>Ringkasan!F407</f>
        <v>30 Juni 2026</v>
      </c>
      <c r="G896" s="64">
        <f>Ringkasan!G407</f>
        <v>13</v>
      </c>
      <c r="H896" s="19">
        <f>Ringkasan!H407</f>
        <v>11.6</v>
      </c>
      <c r="I896" s="19">
        <f>Ringkasan!I407</f>
        <v>1.8</v>
      </c>
      <c r="J896" s="19">
        <f>Ringkasan!J407</f>
        <v>15.5</v>
      </c>
      <c r="K896" s="19">
        <f>Ringkasan!K407</f>
        <v>1.7</v>
      </c>
      <c r="L896" s="19">
        <f>Ringkasan!L407</f>
        <v>2.2</v>
      </c>
      <c r="M896" s="19">
        <f>Ringkasan!M407</f>
        <v>160</v>
      </c>
      <c r="N896" s="64">
        <f>Ringkasan!N407</f>
        <v>6.1</v>
      </c>
      <c r="O896" s="64">
        <f>Ringkasan!O407</f>
        <v>24.08</v>
      </c>
      <c r="P896" s="64">
        <f>Ringkasan!P407</f>
        <v>83.74</v>
      </c>
      <c r="Q896" s="64">
        <f>Ringkasan!Q407</f>
        <v>1.81</v>
      </c>
      <c r="R896" s="64">
        <f>Ringkasan!R407</f>
        <v>67.49</v>
      </c>
      <c r="S896" s="64">
        <f>Ringkasan!S407</f>
        <v>44.55</v>
      </c>
      <c r="T896" s="64">
        <f>Ringkasan!T407</f>
        <v>10.26</v>
      </c>
      <c r="U896" s="64">
        <f>Ringkasan!U407</f>
        <v>1795</v>
      </c>
      <c r="V896" s="64">
        <f>Ringkasan!V407</f>
        <v>4.18</v>
      </c>
      <c r="W896" s="64">
        <f>Ringkasan!W407</f>
        <v>1805</v>
      </c>
      <c r="X896" s="64">
        <f>Ringkasan!X407</f>
        <v>1870</v>
      </c>
      <c r="Y896" s="64">
        <f>Ringkasan!Y407</f>
        <v>1805</v>
      </c>
      <c r="Z896" s="64">
        <f>Ringkasan!Z407</f>
        <v>22071200</v>
      </c>
      <c r="AA896" s="64" t="str">
        <f>Ringkasan!AA407</f>
        <v>Banks</v>
      </c>
      <c r="AB896" s="64" t="str">
        <f>Ringkasan!AB407</f>
        <v>Financials</v>
      </c>
    </row>
    <row r="897" hidden="1">
      <c r="A897" s="64" t="str">
        <f>Ringkasan!A1536</f>
        <v>SCMA</v>
      </c>
      <c r="B897" s="64" t="str">
        <f>Ringkasan!B1536</f>
        <v>Surya Citra Media Tbk.</v>
      </c>
      <c r="C897" s="61">
        <f>Ringkasan!C1536</f>
        <v>200</v>
      </c>
      <c r="D897" s="60" t="str">
        <f>Ringkasan!D1536</f>
        <v>#N/A</v>
      </c>
      <c r="E897" s="60" t="str">
        <f>Ringkasan!E1536</f>
        <v>ESGSKEHATI</v>
      </c>
      <c r="F897" s="63">
        <f>Ringkasan!F1536</f>
        <v>46356</v>
      </c>
      <c r="G897" s="60">
        <f>Ringkasan!G1536</f>
        <v>11</v>
      </c>
      <c r="H897" s="62">
        <f>Ringkasan!H1536</f>
        <v>18.1</v>
      </c>
      <c r="I897" s="62">
        <f>Ringkasan!I1536</f>
        <v>2.1</v>
      </c>
      <c r="J897" s="62">
        <f>Ringkasan!J1536</f>
        <v>11.7</v>
      </c>
      <c r="K897" s="62">
        <f>Ringkasan!K1536</f>
        <v>9</v>
      </c>
      <c r="L897" s="62">
        <f>Ringkasan!L1536</f>
        <v>0.3</v>
      </c>
      <c r="M897" s="62">
        <f>Ringkasan!M1536</f>
        <v>49.6</v>
      </c>
      <c r="N897" s="60" t="str">
        <f>Ringkasan!N1536</f>
        <v/>
      </c>
      <c r="O897" s="60" t="str">
        <f>Ringkasan!O1536</f>
        <v/>
      </c>
      <c r="P897" s="60" t="str">
        <f>Ringkasan!P1536</f>
        <v/>
      </c>
      <c r="Q897" s="60" t="str">
        <f>Ringkasan!Q1536</f>
        <v/>
      </c>
      <c r="R897" s="60" t="str">
        <f>Ringkasan!R1536</f>
        <v/>
      </c>
      <c r="S897" s="60" t="str">
        <f>Ringkasan!S1536</f>
        <v/>
      </c>
      <c r="T897" s="60" t="str">
        <f>Ringkasan!T1536</f>
        <v/>
      </c>
      <c r="U897" s="60">
        <f>Ringkasan!U1536</f>
        <v>194</v>
      </c>
      <c r="V897" s="60">
        <f>Ringkasan!V1536</f>
        <v>3.09</v>
      </c>
      <c r="W897" s="60">
        <f>Ringkasan!W1536</f>
        <v>198</v>
      </c>
      <c r="X897" s="60">
        <f>Ringkasan!X1536</f>
        <v>206</v>
      </c>
      <c r="Y897" s="60">
        <f>Ringkasan!Y1536</f>
        <v>196</v>
      </c>
      <c r="Z897" s="60">
        <f>Ringkasan!Z1536</f>
        <v>35260000</v>
      </c>
      <c r="AA897" s="60" t="str">
        <f>Ringkasan!AA1536</f>
        <v>Media</v>
      </c>
      <c r="AB897" s="64" t="str">
        <f>Ringkasan!AB1536</f>
        <v>Consumer Cyclicals</v>
      </c>
    </row>
    <row r="898" hidden="1">
      <c r="A898" s="64" t="str">
        <f>Ringkasan!A1537</f>
        <v>SCMA</v>
      </c>
      <c r="B898" s="64" t="str">
        <f>Ringkasan!B1537</f>
        <v>Surya Citra Media Tbk.</v>
      </c>
      <c r="C898" s="61">
        <f>Ringkasan!C1537</f>
        <v>200</v>
      </c>
      <c r="D898" s="60" t="str">
        <f>Ringkasan!D1537</f>
        <v>#N/A</v>
      </c>
      <c r="E898" s="60" t="str">
        <f>Ringkasan!E1537</f>
        <v>IDXQ30</v>
      </c>
      <c r="F898" s="60" t="str">
        <f>Ringkasan!F1537</f>
        <v>4 Agustus 2026</v>
      </c>
      <c r="G898" s="60">
        <f>Ringkasan!G1537</f>
        <v>11</v>
      </c>
      <c r="H898" s="62">
        <f>Ringkasan!H1537</f>
        <v>18.1</v>
      </c>
      <c r="I898" s="62">
        <f>Ringkasan!I1537</f>
        <v>2.1</v>
      </c>
      <c r="J898" s="62">
        <f>Ringkasan!J1537</f>
        <v>11.7</v>
      </c>
      <c r="K898" s="62">
        <f>Ringkasan!K1537</f>
        <v>9</v>
      </c>
      <c r="L898" s="62">
        <f>Ringkasan!L1537</f>
        <v>0.3</v>
      </c>
      <c r="M898" s="62">
        <f>Ringkasan!M1537</f>
        <v>49.6</v>
      </c>
      <c r="N898" s="60" t="str">
        <f>Ringkasan!N1537</f>
        <v/>
      </c>
      <c r="O898" s="60" t="str">
        <f>Ringkasan!O1537</f>
        <v/>
      </c>
      <c r="P898" s="60" t="str">
        <f>Ringkasan!P1537</f>
        <v/>
      </c>
      <c r="Q898" s="60" t="str">
        <f>Ringkasan!Q1537</f>
        <v/>
      </c>
      <c r="R898" s="60" t="str">
        <f>Ringkasan!R1537</f>
        <v/>
      </c>
      <c r="S898" s="60" t="str">
        <f>Ringkasan!S1537</f>
        <v/>
      </c>
      <c r="T898" s="60" t="str">
        <f>Ringkasan!T1537</f>
        <v/>
      </c>
      <c r="U898" s="60">
        <f>Ringkasan!U1537</f>
        <v>194</v>
      </c>
      <c r="V898" s="60">
        <f>Ringkasan!V1537</f>
        <v>3.09</v>
      </c>
      <c r="W898" s="60">
        <f>Ringkasan!W1537</f>
        <v>198</v>
      </c>
      <c r="X898" s="60">
        <f>Ringkasan!X1537</f>
        <v>206</v>
      </c>
      <c r="Y898" s="60">
        <f>Ringkasan!Y1537</f>
        <v>196</v>
      </c>
      <c r="Z898" s="60">
        <f>Ringkasan!Z1537</f>
        <v>35260000</v>
      </c>
      <c r="AA898" s="60" t="str">
        <f>Ringkasan!AA1537</f>
        <v>Media</v>
      </c>
      <c r="AB898" s="64" t="str">
        <f>Ringkasan!AB1537</f>
        <v>Consumer Cyclicals</v>
      </c>
    </row>
    <row r="899" hidden="1">
      <c r="A899" s="64" t="str">
        <f>Ringkasan!A898</f>
        <v>INDS</v>
      </c>
      <c r="B899" s="64" t="str">
        <f>Ringkasan!B898</f>
        <v>Indospring Tbk.</v>
      </c>
      <c r="C899" s="65">
        <f>Ringkasan!C898</f>
        <v>272</v>
      </c>
      <c r="D899" s="64" t="str">
        <f>Ringkasan!D898</f>
        <v>#N/A</v>
      </c>
      <c r="E899" s="64" t="str">
        <f>Ringkasan!E898</f>
        <v/>
      </c>
      <c r="F899" s="64" t="str">
        <f>Ringkasan!F898</f>
        <v/>
      </c>
      <c r="G899" s="64">
        <f>Ringkasan!G898</f>
        <v>0</v>
      </c>
      <c r="H899" s="19">
        <f>Ringkasan!H898</f>
        <v>34.5</v>
      </c>
      <c r="I899" s="19">
        <f>Ringkasan!I898</f>
        <v>0.53</v>
      </c>
      <c r="J899" s="19">
        <f>Ringkasan!J898</f>
        <v>1.5</v>
      </c>
      <c r="K899" s="19">
        <f>Ringkasan!K898</f>
        <v>1.2</v>
      </c>
      <c r="L899" s="19">
        <f>Ringkasan!L898</f>
        <v>0.25</v>
      </c>
      <c r="M899" s="19">
        <f>Ringkasan!M898</f>
        <v>6.5</v>
      </c>
      <c r="N899" s="64" t="str">
        <f>Ringkasan!N898</f>
        <v/>
      </c>
      <c r="O899" s="64" t="str">
        <f>Ringkasan!O898</f>
        <v/>
      </c>
      <c r="P899" s="64" t="str">
        <f>Ringkasan!P898</f>
        <v/>
      </c>
      <c r="Q899" s="64" t="str">
        <f>Ringkasan!Q898</f>
        <v/>
      </c>
      <c r="R899" s="64" t="str">
        <f>Ringkasan!R898</f>
        <v/>
      </c>
      <c r="S899" s="64" t="str">
        <f>Ringkasan!S898</f>
        <v/>
      </c>
      <c r="T899" s="64" t="str">
        <f>Ringkasan!T898</f>
        <v/>
      </c>
      <c r="U899" s="64">
        <f>Ringkasan!U898</f>
        <v>40.84</v>
      </c>
      <c r="V899" s="64">
        <f>Ringkasan!V898</f>
        <v>0.22</v>
      </c>
      <c r="W899" s="64">
        <f>Ringkasan!W898</f>
        <v>40.77</v>
      </c>
      <c r="X899" s="64">
        <f>Ringkasan!X898</f>
        <v>40.93</v>
      </c>
      <c r="Y899" s="64">
        <f>Ringkasan!Y898</f>
        <v>40.77</v>
      </c>
      <c r="Z899" s="64" t="str">
        <f>Ringkasan!Z898</f>
        <v/>
      </c>
      <c r="AA899" s="64" t="str">
        <f>Ringkasan!AA898</f>
        <v>Auto Components</v>
      </c>
      <c r="AB899" s="64" t="str">
        <f>Ringkasan!AB898</f>
        <v>Consumer Cyclicals</v>
      </c>
    </row>
    <row r="900" hidden="1">
      <c r="A900" s="64" t="str">
        <f>Ringkasan!A425</f>
        <v>BRPT</v>
      </c>
      <c r="B900" s="64" t="str">
        <f>Ringkasan!B425</f>
        <v>Barito Pacific Tbk.</v>
      </c>
      <c r="C900" s="65">
        <f>Ringkasan!C425</f>
        <v>1700</v>
      </c>
      <c r="D900" s="64" t="str">
        <f>Ringkasan!D425</f>
        <v>#N/A</v>
      </c>
      <c r="E900" s="64" t="str">
        <f>Ringkasan!E425</f>
        <v>MSCI Global Standard</v>
      </c>
      <c r="F900" s="64" t="str">
        <f>Ringkasan!F425</f>
        <v>12 Agustus 2026</v>
      </c>
      <c r="G900" s="64">
        <f>Ringkasan!G425</f>
        <v>10</v>
      </c>
      <c r="H900" s="19">
        <f>Ringkasan!H425</f>
        <v>19.2</v>
      </c>
      <c r="I900" s="19">
        <f>Ringkasan!I425</f>
        <v>1.7</v>
      </c>
      <c r="J900" s="19">
        <f>Ringkasan!J425</f>
        <v>8.9</v>
      </c>
      <c r="K900" s="19">
        <f>Ringkasan!K425</f>
        <v>3.2</v>
      </c>
      <c r="L900" s="19">
        <f>Ringkasan!L425</f>
        <v>1.8</v>
      </c>
      <c r="M900" s="19">
        <f>Ringkasan!M425</f>
        <v>21.7</v>
      </c>
      <c r="N900" s="64">
        <f>Ringkasan!N425</f>
        <v>4.93</v>
      </c>
      <c r="O900" s="64">
        <f>Ringkasan!O425</f>
        <v>20.1</v>
      </c>
      <c r="P900" s="64">
        <f>Ringkasan!P425</f>
        <v>98.04</v>
      </c>
      <c r="Q900" s="64">
        <f>Ringkasan!Q425</f>
        <v>0.97</v>
      </c>
      <c r="R900" s="64">
        <f>Ringkasan!R425</f>
        <v>56.46</v>
      </c>
      <c r="S900" s="64">
        <f>Ringkasan!S425</f>
        <v>35.04</v>
      </c>
      <c r="T900" s="64">
        <f>Ringkasan!T425</f>
        <v>6.81</v>
      </c>
      <c r="U900" s="64">
        <f>Ringkasan!U425</f>
        <v>1650</v>
      </c>
      <c r="V900" s="64">
        <f>Ringkasan!V425</f>
        <v>3.03</v>
      </c>
      <c r="W900" s="64">
        <f>Ringkasan!W425</f>
        <v>1700</v>
      </c>
      <c r="X900" s="64">
        <f>Ringkasan!X425</f>
        <v>1770</v>
      </c>
      <c r="Y900" s="64">
        <f>Ringkasan!Y425</f>
        <v>1680</v>
      </c>
      <c r="Z900" s="64">
        <f>Ringkasan!Z425</f>
        <v>279487700</v>
      </c>
      <c r="AA900" s="64" t="str">
        <f>Ringkasan!AA425</f>
        <v>Chemicals</v>
      </c>
      <c r="AB900" s="64" t="str">
        <f>Ringkasan!AB425</f>
        <v>Basic Materials</v>
      </c>
    </row>
    <row r="901" hidden="1">
      <c r="A901" s="64" t="str">
        <f>Ringkasan!A900</f>
        <v>INDY</v>
      </c>
      <c r="B901" s="64" t="str">
        <f>Ringkasan!B900</f>
        <v>Indika Energy Tbk.</v>
      </c>
      <c r="C901" s="65">
        <f>Ringkasan!C900</f>
        <v>2260</v>
      </c>
      <c r="D901" s="64" t="str">
        <f>Ringkasan!D900</f>
        <v>#N/A</v>
      </c>
      <c r="E901" s="64" t="str">
        <f>Ringkasan!E900</f>
        <v>Kompas100</v>
      </c>
      <c r="F901" s="64" t="str">
        <f>Ringkasan!F900</f>
        <v>31 Juli 2026</v>
      </c>
      <c r="G901" s="64">
        <f>Ringkasan!G900</f>
        <v>4</v>
      </c>
      <c r="H901" s="19">
        <f>Ringkasan!H900</f>
        <v>68.9</v>
      </c>
      <c r="I901" s="19">
        <f>Ringkasan!I900</f>
        <v>0.52</v>
      </c>
      <c r="J901" s="19">
        <f>Ringkasan!J900</f>
        <v>0.75</v>
      </c>
      <c r="K901" s="19">
        <f>Ringkasan!K900</f>
        <v>0.34</v>
      </c>
      <c r="L901" s="19">
        <f>Ringkasan!L900</f>
        <v>1.2</v>
      </c>
      <c r="M901" s="19">
        <f>Ringkasan!M900</f>
        <v>2.1</v>
      </c>
      <c r="N901" s="64" t="str">
        <f>Ringkasan!N900</f>
        <v/>
      </c>
      <c r="O901" s="64" t="str">
        <f>Ringkasan!O900</f>
        <v/>
      </c>
      <c r="P901" s="64" t="str">
        <f>Ringkasan!P900</f>
        <v/>
      </c>
      <c r="Q901" s="64" t="str">
        <f>Ringkasan!Q900</f>
        <v/>
      </c>
      <c r="R901" s="64" t="str">
        <f>Ringkasan!R900</f>
        <v/>
      </c>
      <c r="S901" s="64" t="str">
        <f>Ringkasan!S900</f>
        <v/>
      </c>
      <c r="T901" s="64" t="str">
        <f>Ringkasan!T900</f>
        <v/>
      </c>
      <c r="U901" s="64">
        <f>Ringkasan!U900</f>
        <v>42.23</v>
      </c>
      <c r="V901" s="64">
        <f>Ringkasan!V900</f>
        <v>1.11</v>
      </c>
      <c r="W901" s="64">
        <f>Ringkasan!W900</f>
        <v>42.69</v>
      </c>
      <c r="X901" s="64">
        <f>Ringkasan!X900</f>
        <v>42.9</v>
      </c>
      <c r="Y901" s="64">
        <f>Ringkasan!Y900</f>
        <v>42.58</v>
      </c>
      <c r="Z901" s="64">
        <f>Ringkasan!Z900</f>
        <v>229335</v>
      </c>
      <c r="AA901" s="64" t="str">
        <f>Ringkasan!AA900</f>
        <v>Coal</v>
      </c>
      <c r="AB901" s="64" t="str">
        <f>Ringkasan!AB900</f>
        <v>Energy</v>
      </c>
    </row>
    <row r="902" hidden="1">
      <c r="A902" s="64" t="str">
        <f>Ringkasan!A454</f>
        <v>BTPS</v>
      </c>
      <c r="B902" s="64" t="str">
        <f>Ringkasan!B454</f>
        <v>Bank BTPN Syariah Tbk.</v>
      </c>
      <c r="C902" s="65">
        <f>Ringkasan!C454</f>
        <v>965</v>
      </c>
      <c r="D902" s="64" t="str">
        <f>Ringkasan!D454</f>
        <v>#N/A</v>
      </c>
      <c r="E902" s="64" t="str">
        <f>Ringkasan!E454</f>
        <v>ESGQKEHATI</v>
      </c>
      <c r="F902" s="66">
        <f>Ringkasan!F454</f>
        <v>46356</v>
      </c>
      <c r="G902" s="64">
        <f>Ringkasan!G454</f>
        <v>7</v>
      </c>
      <c r="H902" s="19">
        <f>Ringkasan!H454</f>
        <v>5.9</v>
      </c>
      <c r="I902" s="19">
        <f>Ringkasan!I454</f>
        <v>0.7</v>
      </c>
      <c r="J902" s="19">
        <f>Ringkasan!J454</f>
        <v>11.8</v>
      </c>
      <c r="K902" s="19">
        <f>Ringkasan!K454</f>
        <v>5.2</v>
      </c>
      <c r="L902" s="19">
        <f>Ringkasan!L454</f>
        <v>0.28</v>
      </c>
      <c r="M902" s="19">
        <f>Ringkasan!M454</f>
        <v>110</v>
      </c>
      <c r="N902" s="64">
        <f>Ringkasan!N454</f>
        <v>21.7</v>
      </c>
      <c r="O902" s="64">
        <f>Ringkasan!O454</f>
        <v>57.74</v>
      </c>
      <c r="P902" s="64">
        <f>Ringkasan!P454</f>
        <v>84.7</v>
      </c>
      <c r="Q902" s="64">
        <f>Ringkasan!Q454</f>
        <v>2.59</v>
      </c>
      <c r="R902" s="64">
        <f>Ringkasan!R454</f>
        <v>79.28</v>
      </c>
      <c r="S902" s="64">
        <f>Ringkasan!S454</f>
        <v>48.82</v>
      </c>
      <c r="T902" s="64" t="str">
        <f>Ringkasan!T454</f>
        <v/>
      </c>
      <c r="U902" s="64">
        <f>Ringkasan!U454</f>
        <v>935</v>
      </c>
      <c r="V902" s="64" t="str">
        <f>Ringkasan!V454</f>
        <v/>
      </c>
      <c r="W902" s="64">
        <f>Ringkasan!W454</f>
        <v>935</v>
      </c>
      <c r="X902" s="64">
        <f>Ringkasan!X454</f>
        <v>980</v>
      </c>
      <c r="Y902" s="64">
        <f>Ringkasan!Y454</f>
        <v>930</v>
      </c>
      <c r="Z902" s="64">
        <f>Ringkasan!Z454</f>
        <v>5453300</v>
      </c>
      <c r="AA902" s="64" t="str">
        <f>Ringkasan!AA454</f>
        <v>Banks</v>
      </c>
      <c r="AB902" s="64" t="str">
        <f>Ringkasan!AB454</f>
        <v>Financials</v>
      </c>
    </row>
    <row r="903" hidden="1">
      <c r="A903" s="64" t="str">
        <f>Ringkasan!A902</f>
        <v>INDY</v>
      </c>
      <c r="B903" s="64" t="str">
        <f>Ringkasan!B902</f>
        <v>Indika Energy Tbk.</v>
      </c>
      <c r="C903" s="65">
        <f>Ringkasan!C902</f>
        <v>2260</v>
      </c>
      <c r="D903" s="64" t="str">
        <f>Ringkasan!D902</f>
        <v>#N/A</v>
      </c>
      <c r="E903" s="64" t="str">
        <f>Ringkasan!E902</f>
        <v>IDXSMC-LIQ</v>
      </c>
      <c r="F903" s="64" t="str">
        <f>Ringkasan!F902</f>
        <v>4 Agustus 2026</v>
      </c>
      <c r="G903" s="64">
        <f>Ringkasan!G902</f>
        <v>4</v>
      </c>
      <c r="H903" s="19">
        <f>Ringkasan!H902</f>
        <v>68.9</v>
      </c>
      <c r="I903" s="19">
        <f>Ringkasan!I902</f>
        <v>0.52</v>
      </c>
      <c r="J903" s="19">
        <f>Ringkasan!J902</f>
        <v>0.75</v>
      </c>
      <c r="K903" s="19">
        <f>Ringkasan!K902</f>
        <v>0.34</v>
      </c>
      <c r="L903" s="19">
        <f>Ringkasan!L902</f>
        <v>1.2</v>
      </c>
      <c r="M903" s="19">
        <f>Ringkasan!M902</f>
        <v>2.1</v>
      </c>
      <c r="N903" s="64" t="str">
        <f>Ringkasan!N902</f>
        <v/>
      </c>
      <c r="O903" s="64" t="str">
        <f>Ringkasan!O902</f>
        <v/>
      </c>
      <c r="P903" s="64" t="str">
        <f>Ringkasan!P902</f>
        <v/>
      </c>
      <c r="Q903" s="64" t="str">
        <f>Ringkasan!Q902</f>
        <v/>
      </c>
      <c r="R903" s="64" t="str">
        <f>Ringkasan!R902</f>
        <v/>
      </c>
      <c r="S903" s="64" t="str">
        <f>Ringkasan!S902</f>
        <v/>
      </c>
      <c r="T903" s="64" t="str">
        <f>Ringkasan!T902</f>
        <v/>
      </c>
      <c r="U903" s="64">
        <f>Ringkasan!U902</f>
        <v>42.23</v>
      </c>
      <c r="V903" s="64">
        <f>Ringkasan!V902</f>
        <v>1.11</v>
      </c>
      <c r="W903" s="64">
        <f>Ringkasan!W902</f>
        <v>42.69</v>
      </c>
      <c r="X903" s="64">
        <f>Ringkasan!X902</f>
        <v>42.9</v>
      </c>
      <c r="Y903" s="64">
        <f>Ringkasan!Y902</f>
        <v>42.58</v>
      </c>
      <c r="Z903" s="64">
        <f>Ringkasan!Z902</f>
        <v>229335</v>
      </c>
      <c r="AA903" s="64" t="str">
        <f>Ringkasan!AA902</f>
        <v>Coal</v>
      </c>
      <c r="AB903" s="64" t="str">
        <f>Ringkasan!AB902</f>
        <v>Energy</v>
      </c>
    </row>
    <row r="904" hidden="1">
      <c r="A904" s="64" t="str">
        <f>Ringkasan!A903</f>
        <v>INDY</v>
      </c>
      <c r="B904" s="64" t="str">
        <f>Ringkasan!B903</f>
        <v>Indika Energy Tbk.</v>
      </c>
      <c r="C904" s="65">
        <f>Ringkasan!C903</f>
        <v>2260</v>
      </c>
      <c r="D904" s="64" t="str">
        <f>Ringkasan!D903</f>
        <v>#N/A</v>
      </c>
      <c r="E904" s="64" t="str">
        <f>Ringkasan!E903</f>
        <v>JII70</v>
      </c>
      <c r="F904" s="66">
        <f>Ringkasan!F903</f>
        <v>46356</v>
      </c>
      <c r="G904" s="64">
        <f>Ringkasan!G903</f>
        <v>4</v>
      </c>
      <c r="H904" s="19">
        <f>Ringkasan!H903</f>
        <v>68.9</v>
      </c>
      <c r="I904" s="19">
        <f>Ringkasan!I903</f>
        <v>0.52</v>
      </c>
      <c r="J904" s="19">
        <f>Ringkasan!J903</f>
        <v>0.75</v>
      </c>
      <c r="K904" s="19">
        <f>Ringkasan!K903</f>
        <v>0.34</v>
      </c>
      <c r="L904" s="19">
        <f>Ringkasan!L903</f>
        <v>1.2</v>
      </c>
      <c r="M904" s="19">
        <f>Ringkasan!M903</f>
        <v>2.1</v>
      </c>
      <c r="N904" s="64" t="str">
        <f>Ringkasan!N903</f>
        <v/>
      </c>
      <c r="O904" s="64" t="str">
        <f>Ringkasan!O903</f>
        <v/>
      </c>
      <c r="P904" s="64" t="str">
        <f>Ringkasan!P903</f>
        <v/>
      </c>
      <c r="Q904" s="64" t="str">
        <f>Ringkasan!Q903</f>
        <v/>
      </c>
      <c r="R904" s="64" t="str">
        <f>Ringkasan!R903</f>
        <v/>
      </c>
      <c r="S904" s="64" t="str">
        <f>Ringkasan!S903</f>
        <v/>
      </c>
      <c r="T904" s="64" t="str">
        <f>Ringkasan!T903</f>
        <v/>
      </c>
      <c r="U904" s="64">
        <f>Ringkasan!U903</f>
        <v>42.23</v>
      </c>
      <c r="V904" s="64">
        <f>Ringkasan!V903</f>
        <v>1.11</v>
      </c>
      <c r="W904" s="64">
        <f>Ringkasan!W903</f>
        <v>42.69</v>
      </c>
      <c r="X904" s="64">
        <f>Ringkasan!X903</f>
        <v>42.9</v>
      </c>
      <c r="Y904" s="64">
        <f>Ringkasan!Y903</f>
        <v>42.58</v>
      </c>
      <c r="Z904" s="64">
        <f>Ringkasan!Z903</f>
        <v>229335</v>
      </c>
      <c r="AA904" s="64" t="str">
        <f>Ringkasan!AA903</f>
        <v>Coal</v>
      </c>
      <c r="AB904" s="64" t="str">
        <f>Ringkasan!AB903</f>
        <v>Energy</v>
      </c>
    </row>
    <row r="905" hidden="1">
      <c r="A905" s="64" t="str">
        <f>Ringkasan!A904</f>
        <v>INET</v>
      </c>
      <c r="B905" s="64" t="str">
        <f>Ringkasan!B904</f>
        <v>PT Sinergi Inti Andalan Prima Tbk.</v>
      </c>
      <c r="C905" s="65">
        <f>Ringkasan!C904</f>
        <v>199</v>
      </c>
      <c r="D905" s="64" t="str">
        <f>Ringkasan!D904</f>
        <v>#N/A</v>
      </c>
      <c r="E905" s="64" t="str">
        <f>Ringkasan!E904</f>
        <v>Kompas100</v>
      </c>
      <c r="F905" s="64" t="str">
        <f>Ringkasan!F904</f>
        <v>31 Juli 2026</v>
      </c>
      <c r="G905" s="64">
        <f>Ringkasan!G904</f>
        <v>2</v>
      </c>
      <c r="H905" s="19">
        <f>Ringkasan!H904</f>
        <v>140</v>
      </c>
      <c r="I905" s="19">
        <f>Ringkasan!I904</f>
        <v>1.4</v>
      </c>
      <c r="J905" s="19">
        <f>Ringkasan!J904</f>
        <v>0.98</v>
      </c>
      <c r="K905" s="19">
        <f>Ringkasan!K904</f>
        <v>0.64</v>
      </c>
      <c r="L905" s="19">
        <f>Ringkasan!L904</f>
        <v>0.52</v>
      </c>
      <c r="M905" s="19">
        <f>Ringkasan!M904</f>
        <v>9.5</v>
      </c>
      <c r="N905" s="64" t="str">
        <f>Ringkasan!N904</f>
        <v/>
      </c>
      <c r="O905" s="64" t="str">
        <f>Ringkasan!O904</f>
        <v/>
      </c>
      <c r="P905" s="64" t="str">
        <f>Ringkasan!P904</f>
        <v/>
      </c>
      <c r="Q905" s="64" t="str">
        <f>Ringkasan!Q904</f>
        <v/>
      </c>
      <c r="R905" s="64" t="str">
        <f>Ringkasan!R904</f>
        <v/>
      </c>
      <c r="S905" s="64" t="str">
        <f>Ringkasan!S904</f>
        <v/>
      </c>
      <c r="T905" s="64" t="str">
        <f>Ringkasan!T904</f>
        <v/>
      </c>
      <c r="U905" s="64" t="str">
        <f>Ringkasan!U904</f>
        <v/>
      </c>
      <c r="V905" s="64" t="str">
        <f>Ringkasan!V904</f>
        <v/>
      </c>
      <c r="W905" s="64" t="str">
        <f>Ringkasan!W904</f>
        <v/>
      </c>
      <c r="X905" s="64" t="str">
        <f>Ringkasan!X904</f>
        <v/>
      </c>
      <c r="Y905" s="64" t="str">
        <f>Ringkasan!Y904</f>
        <v/>
      </c>
      <c r="Z905" s="64" t="str">
        <f>Ringkasan!Z904</f>
        <v/>
      </c>
      <c r="AA905" s="64" t="str">
        <f>Ringkasan!AA904</f>
        <v>Telecommunication Service</v>
      </c>
      <c r="AB905" s="64" t="str">
        <f>Ringkasan!AB904</f>
        <v>Infrastructures</v>
      </c>
    </row>
    <row r="906" hidden="1">
      <c r="A906" s="64" t="str">
        <f>Ringkasan!A905</f>
        <v>INET</v>
      </c>
      <c r="B906" s="64" t="str">
        <f>Ringkasan!B905</f>
        <v>PT Sinergi Inti Andalan Prima Tbk.</v>
      </c>
      <c r="C906" s="65">
        <f>Ringkasan!C905</f>
        <v>199</v>
      </c>
      <c r="D906" s="64" t="str">
        <f>Ringkasan!D905</f>
        <v>#N/A</v>
      </c>
      <c r="E906" s="64" t="str">
        <f>Ringkasan!E905</f>
        <v>IDXSMC-LIQ</v>
      </c>
      <c r="F906" s="64" t="str">
        <f>Ringkasan!F905</f>
        <v>4 Agustus 2026</v>
      </c>
      <c r="G906" s="64">
        <f>Ringkasan!G905</f>
        <v>2</v>
      </c>
      <c r="H906" s="19">
        <f>Ringkasan!H905</f>
        <v>140</v>
      </c>
      <c r="I906" s="19">
        <f>Ringkasan!I905</f>
        <v>1.4</v>
      </c>
      <c r="J906" s="19">
        <f>Ringkasan!J905</f>
        <v>0.98</v>
      </c>
      <c r="K906" s="19">
        <f>Ringkasan!K905</f>
        <v>0.64</v>
      </c>
      <c r="L906" s="19">
        <f>Ringkasan!L905</f>
        <v>0.52</v>
      </c>
      <c r="M906" s="19">
        <f>Ringkasan!M905</f>
        <v>9.5</v>
      </c>
      <c r="N906" s="64" t="str">
        <f>Ringkasan!N905</f>
        <v/>
      </c>
      <c r="O906" s="64" t="str">
        <f>Ringkasan!O905</f>
        <v/>
      </c>
      <c r="P906" s="64" t="str">
        <f>Ringkasan!P905</f>
        <v/>
      </c>
      <c r="Q906" s="64" t="str">
        <f>Ringkasan!Q905</f>
        <v/>
      </c>
      <c r="R906" s="64" t="str">
        <f>Ringkasan!R905</f>
        <v/>
      </c>
      <c r="S906" s="64" t="str">
        <f>Ringkasan!S905</f>
        <v/>
      </c>
      <c r="T906" s="64" t="str">
        <f>Ringkasan!T905</f>
        <v/>
      </c>
      <c r="U906" s="64" t="str">
        <f>Ringkasan!U905</f>
        <v/>
      </c>
      <c r="V906" s="64" t="str">
        <f>Ringkasan!V905</f>
        <v/>
      </c>
      <c r="W906" s="64" t="str">
        <f>Ringkasan!W905</f>
        <v/>
      </c>
      <c r="X906" s="64" t="str">
        <f>Ringkasan!X905</f>
        <v/>
      </c>
      <c r="Y906" s="64" t="str">
        <f>Ringkasan!Y905</f>
        <v/>
      </c>
      <c r="Z906" s="64" t="str">
        <f>Ringkasan!Z905</f>
        <v/>
      </c>
      <c r="AA906" s="64" t="str">
        <f>Ringkasan!AA905</f>
        <v>Telecommunication Service</v>
      </c>
      <c r="AB906" s="64" t="str">
        <f>Ringkasan!AB905</f>
        <v>Infrastructures</v>
      </c>
    </row>
    <row r="907" hidden="1">
      <c r="A907" s="64" t="str">
        <f>Ringkasan!A906</f>
        <v>INKP</v>
      </c>
      <c r="B907" s="64" t="str">
        <f>Ringkasan!B906</f>
        <v>Indah Kiat Pulp &amp; Paper Tbk.</v>
      </c>
      <c r="C907" s="65">
        <f>Ringkasan!C906</f>
        <v>7700</v>
      </c>
      <c r="D907" s="64" t="str">
        <f>Ringkasan!D906</f>
        <v>#N/A</v>
      </c>
      <c r="E907" s="64" t="str">
        <f>Ringkasan!E906</f>
        <v>IDXSHAGROW</v>
      </c>
      <c r="F907" s="66">
        <f>Ringkasan!F906</f>
        <v>46356</v>
      </c>
      <c r="G907" s="64">
        <f>Ringkasan!G906</f>
        <v>16</v>
      </c>
      <c r="H907" s="19">
        <f>Ringkasan!H906</f>
        <v>5.3</v>
      </c>
      <c r="I907" s="19">
        <f>Ringkasan!I906</f>
        <v>0.35</v>
      </c>
      <c r="J907" s="19">
        <f>Ringkasan!J906</f>
        <v>6.7</v>
      </c>
      <c r="K907" s="19">
        <f>Ringkasan!K906</f>
        <v>3.7</v>
      </c>
      <c r="L907" s="19">
        <f>Ringkasan!L906</f>
        <v>0.81</v>
      </c>
      <c r="M907" s="19">
        <f>Ringkasan!M906</f>
        <v>57.2</v>
      </c>
      <c r="N907" s="64" t="str">
        <f>Ringkasan!N906</f>
        <v/>
      </c>
      <c r="O907" s="64" t="str">
        <f>Ringkasan!O906</f>
        <v/>
      </c>
      <c r="P907" s="64" t="str">
        <f>Ringkasan!P906</f>
        <v/>
      </c>
      <c r="Q907" s="64" t="str">
        <f>Ringkasan!Q906</f>
        <v/>
      </c>
      <c r="R907" s="64" t="str">
        <f>Ringkasan!R906</f>
        <v/>
      </c>
      <c r="S907" s="64" t="str">
        <f>Ringkasan!S906</f>
        <v/>
      </c>
      <c r="T907" s="64" t="str">
        <f>Ringkasan!T906</f>
        <v/>
      </c>
      <c r="U907" s="64">
        <f>Ringkasan!U906</f>
        <v>7550</v>
      </c>
      <c r="V907" s="64">
        <f>Ringkasan!V906</f>
        <v>1.99</v>
      </c>
      <c r="W907" s="64">
        <f>Ringkasan!W906</f>
        <v>7625</v>
      </c>
      <c r="X907" s="64">
        <f>Ringkasan!X906</f>
        <v>7800</v>
      </c>
      <c r="Y907" s="64">
        <f>Ringkasan!Y906</f>
        <v>7575</v>
      </c>
      <c r="Z907" s="64">
        <f>Ringkasan!Z906</f>
        <v>5343300</v>
      </c>
      <c r="AA907" s="64" t="str">
        <f>Ringkasan!AA906</f>
        <v>Forestry &amp; Paper</v>
      </c>
      <c r="AB907" s="64" t="str">
        <f>Ringkasan!AB906</f>
        <v>Basic Materials</v>
      </c>
    </row>
    <row r="908" hidden="1">
      <c r="A908" s="64" t="str">
        <f>Ringkasan!A907</f>
        <v>INKP</v>
      </c>
      <c r="B908" s="64" t="str">
        <f>Ringkasan!B907</f>
        <v>Indah Kiat Pulp &amp; Paper Tbk.</v>
      </c>
      <c r="C908" s="65">
        <f>Ringkasan!C907</f>
        <v>7700</v>
      </c>
      <c r="D908" s="64" t="str">
        <f>Ringkasan!D907</f>
        <v>#N/A</v>
      </c>
      <c r="E908" s="64" t="str">
        <f>Ringkasan!E907</f>
        <v>IDXG30</v>
      </c>
      <c r="F908" s="64" t="str">
        <f>Ringkasan!F907</f>
        <v>4 Agustus 2026</v>
      </c>
      <c r="G908" s="64">
        <f>Ringkasan!G907</f>
        <v>16</v>
      </c>
      <c r="H908" s="19">
        <f>Ringkasan!H907</f>
        <v>5.3</v>
      </c>
      <c r="I908" s="19">
        <f>Ringkasan!I907</f>
        <v>0.35</v>
      </c>
      <c r="J908" s="19">
        <f>Ringkasan!J907</f>
        <v>6.7</v>
      </c>
      <c r="K908" s="19">
        <f>Ringkasan!K907</f>
        <v>3.7</v>
      </c>
      <c r="L908" s="19">
        <f>Ringkasan!L907</f>
        <v>0.81</v>
      </c>
      <c r="M908" s="19">
        <f>Ringkasan!M907</f>
        <v>57.2</v>
      </c>
      <c r="N908" s="64" t="str">
        <f>Ringkasan!N907</f>
        <v/>
      </c>
      <c r="O908" s="64" t="str">
        <f>Ringkasan!O907</f>
        <v/>
      </c>
      <c r="P908" s="64" t="str">
        <f>Ringkasan!P907</f>
        <v/>
      </c>
      <c r="Q908" s="64" t="str">
        <f>Ringkasan!Q907</f>
        <v/>
      </c>
      <c r="R908" s="64" t="str">
        <f>Ringkasan!R907</f>
        <v/>
      </c>
      <c r="S908" s="64" t="str">
        <f>Ringkasan!S907</f>
        <v/>
      </c>
      <c r="T908" s="64" t="str">
        <f>Ringkasan!T907</f>
        <v/>
      </c>
      <c r="U908" s="64">
        <f>Ringkasan!U907</f>
        <v>7550</v>
      </c>
      <c r="V908" s="64">
        <f>Ringkasan!V907</f>
        <v>1.99</v>
      </c>
      <c r="W908" s="64">
        <f>Ringkasan!W907</f>
        <v>7625</v>
      </c>
      <c r="X908" s="64">
        <f>Ringkasan!X907</f>
        <v>7800</v>
      </c>
      <c r="Y908" s="64">
        <f>Ringkasan!Y907</f>
        <v>7575</v>
      </c>
      <c r="Z908" s="64">
        <f>Ringkasan!Z907</f>
        <v>5343300</v>
      </c>
      <c r="AA908" s="64" t="str">
        <f>Ringkasan!AA907</f>
        <v>Forestry &amp; Paper</v>
      </c>
      <c r="AB908" s="64" t="str">
        <f>Ringkasan!AB907</f>
        <v>Basic Materials</v>
      </c>
    </row>
    <row r="909" hidden="1">
      <c r="A909" s="64" t="str">
        <f>Ringkasan!A908</f>
        <v>INKP</v>
      </c>
      <c r="B909" s="64" t="str">
        <f>Ringkasan!B908</f>
        <v>Indah Kiat Pulp &amp; Paper Tbk.</v>
      </c>
      <c r="C909" s="65">
        <f>Ringkasan!C908</f>
        <v>7700</v>
      </c>
      <c r="D909" s="64" t="str">
        <f>Ringkasan!D908</f>
        <v>#N/A</v>
      </c>
      <c r="E909" s="64" t="str">
        <f>Ringkasan!E908</f>
        <v>IDXV30</v>
      </c>
      <c r="F909" s="64" t="str">
        <f>Ringkasan!F908</f>
        <v>4 Agustus 2026</v>
      </c>
      <c r="G909" s="64">
        <f>Ringkasan!G908</f>
        <v>16</v>
      </c>
      <c r="H909" s="19">
        <f>Ringkasan!H908</f>
        <v>5.3</v>
      </c>
      <c r="I909" s="19">
        <f>Ringkasan!I908</f>
        <v>0.35</v>
      </c>
      <c r="J909" s="19">
        <f>Ringkasan!J908</f>
        <v>6.7</v>
      </c>
      <c r="K909" s="19">
        <f>Ringkasan!K908</f>
        <v>3.7</v>
      </c>
      <c r="L909" s="19">
        <f>Ringkasan!L908</f>
        <v>0.81</v>
      </c>
      <c r="M909" s="19">
        <f>Ringkasan!M908</f>
        <v>57.2</v>
      </c>
      <c r="N909" s="64" t="str">
        <f>Ringkasan!N908</f>
        <v/>
      </c>
      <c r="O909" s="64" t="str">
        <f>Ringkasan!O908</f>
        <v/>
      </c>
      <c r="P909" s="64" t="str">
        <f>Ringkasan!P908</f>
        <v/>
      </c>
      <c r="Q909" s="64" t="str">
        <f>Ringkasan!Q908</f>
        <v/>
      </c>
      <c r="R909" s="64" t="str">
        <f>Ringkasan!R908</f>
        <v/>
      </c>
      <c r="S909" s="64" t="str">
        <f>Ringkasan!S908</f>
        <v/>
      </c>
      <c r="T909" s="64" t="str">
        <f>Ringkasan!T908</f>
        <v/>
      </c>
      <c r="U909" s="64">
        <f>Ringkasan!U908</f>
        <v>7550</v>
      </c>
      <c r="V909" s="64">
        <f>Ringkasan!V908</f>
        <v>1.99</v>
      </c>
      <c r="W909" s="64">
        <f>Ringkasan!W908</f>
        <v>7625</v>
      </c>
      <c r="X909" s="64">
        <f>Ringkasan!X908</f>
        <v>7800</v>
      </c>
      <c r="Y909" s="64">
        <f>Ringkasan!Y908</f>
        <v>7575</v>
      </c>
      <c r="Z909" s="64">
        <f>Ringkasan!Z908</f>
        <v>5343300</v>
      </c>
      <c r="AA909" s="64" t="str">
        <f>Ringkasan!AA908</f>
        <v>Forestry &amp; Paper</v>
      </c>
      <c r="AB909" s="64" t="str">
        <f>Ringkasan!AB908</f>
        <v>Basic Materials</v>
      </c>
    </row>
    <row r="910" hidden="1">
      <c r="A910" s="64" t="str">
        <f>Ringkasan!A909</f>
        <v>INKP</v>
      </c>
      <c r="B910" s="64" t="str">
        <f>Ringkasan!B909</f>
        <v>Indah Kiat Pulp &amp; Paper Tbk.</v>
      </c>
      <c r="C910" s="65">
        <f>Ringkasan!C909</f>
        <v>7700</v>
      </c>
      <c r="D910" s="64" t="str">
        <f>Ringkasan!D909</f>
        <v>#N/A</v>
      </c>
      <c r="E910" s="64" t="str">
        <f>Ringkasan!E909</f>
        <v>ECONOMIC30</v>
      </c>
      <c r="F910" s="64" t="str">
        <f>Ringkasan!F909</f>
        <v>31 Agustus 2026</v>
      </c>
      <c r="G910" s="64">
        <f>Ringkasan!G909</f>
        <v>16</v>
      </c>
      <c r="H910" s="19">
        <f>Ringkasan!H909</f>
        <v>5.3</v>
      </c>
      <c r="I910" s="19">
        <f>Ringkasan!I909</f>
        <v>0.35</v>
      </c>
      <c r="J910" s="19">
        <f>Ringkasan!J909</f>
        <v>6.7</v>
      </c>
      <c r="K910" s="19">
        <f>Ringkasan!K909</f>
        <v>3.7</v>
      </c>
      <c r="L910" s="19">
        <f>Ringkasan!L909</f>
        <v>0.81</v>
      </c>
      <c r="M910" s="19">
        <f>Ringkasan!M909</f>
        <v>57.2</v>
      </c>
      <c r="N910" s="64" t="str">
        <f>Ringkasan!N909</f>
        <v/>
      </c>
      <c r="O910" s="64" t="str">
        <f>Ringkasan!O909</f>
        <v/>
      </c>
      <c r="P910" s="64" t="str">
        <f>Ringkasan!P909</f>
        <v/>
      </c>
      <c r="Q910" s="64" t="str">
        <f>Ringkasan!Q909</f>
        <v/>
      </c>
      <c r="R910" s="64" t="str">
        <f>Ringkasan!R909</f>
        <v/>
      </c>
      <c r="S910" s="64" t="str">
        <f>Ringkasan!S909</f>
        <v/>
      </c>
      <c r="T910" s="64" t="str">
        <f>Ringkasan!T909</f>
        <v/>
      </c>
      <c r="U910" s="64">
        <f>Ringkasan!U909</f>
        <v>7550</v>
      </c>
      <c r="V910" s="64">
        <f>Ringkasan!V909</f>
        <v>1.99</v>
      </c>
      <c r="W910" s="64">
        <f>Ringkasan!W909</f>
        <v>7625</v>
      </c>
      <c r="X910" s="64">
        <f>Ringkasan!X909</f>
        <v>7800</v>
      </c>
      <c r="Y910" s="64">
        <f>Ringkasan!Y909</f>
        <v>7575</v>
      </c>
      <c r="Z910" s="64">
        <f>Ringkasan!Z909</f>
        <v>5343300</v>
      </c>
      <c r="AA910" s="64" t="str">
        <f>Ringkasan!AA909</f>
        <v>Forestry &amp; Paper</v>
      </c>
      <c r="AB910" s="64" t="str">
        <f>Ringkasan!AB909</f>
        <v>Basic Materials</v>
      </c>
    </row>
    <row r="911" hidden="1">
      <c r="A911" s="64" t="str">
        <f>Ringkasan!A910</f>
        <v>INKP</v>
      </c>
      <c r="B911" s="64" t="str">
        <f>Ringkasan!B910</f>
        <v>Indah Kiat Pulp &amp; Paper Tbk.</v>
      </c>
      <c r="C911" s="67">
        <f>Ringkasan!C910</f>
        <v>7700</v>
      </c>
      <c r="D911" s="22" t="str">
        <f>Ringkasan!D910</f>
        <v>#N/A</v>
      </c>
      <c r="E911" s="64" t="str">
        <f>Ringkasan!E910</f>
        <v>Pefindo - iGrade</v>
      </c>
      <c r="F911" s="64" t="str">
        <f>Ringkasan!F910</f>
        <v>30 Juni 2026</v>
      </c>
      <c r="G911" s="64">
        <f>Ringkasan!G910</f>
        <v>16</v>
      </c>
      <c r="H911" s="19">
        <f>Ringkasan!H910</f>
        <v>5.3</v>
      </c>
      <c r="I911" s="19">
        <f>Ringkasan!I910</f>
        <v>0.35</v>
      </c>
      <c r="J911" s="19">
        <f>Ringkasan!J910</f>
        <v>6.7</v>
      </c>
      <c r="K911" s="19">
        <f>Ringkasan!K910</f>
        <v>3.7</v>
      </c>
      <c r="L911" s="19">
        <f>Ringkasan!L910</f>
        <v>0.81</v>
      </c>
      <c r="M911" s="19">
        <f>Ringkasan!M910</f>
        <v>57.2</v>
      </c>
      <c r="N911" s="64" t="str">
        <f>Ringkasan!N910</f>
        <v/>
      </c>
      <c r="O911" s="64" t="str">
        <f>Ringkasan!O910</f>
        <v/>
      </c>
      <c r="P911" s="64" t="str">
        <f>Ringkasan!P910</f>
        <v/>
      </c>
      <c r="Q911" s="64" t="str">
        <f>Ringkasan!Q910</f>
        <v/>
      </c>
      <c r="R911" s="64" t="str">
        <f>Ringkasan!R910</f>
        <v/>
      </c>
      <c r="S911" s="64" t="str">
        <f>Ringkasan!S910</f>
        <v/>
      </c>
      <c r="T911" s="64" t="str">
        <f>Ringkasan!T910</f>
        <v/>
      </c>
      <c r="U911" s="22">
        <f>Ringkasan!U910</f>
        <v>7550</v>
      </c>
      <c r="V911" s="22">
        <f>Ringkasan!V910</f>
        <v>1.99</v>
      </c>
      <c r="W911" s="22">
        <f>Ringkasan!W910</f>
        <v>7625</v>
      </c>
      <c r="X911" s="22">
        <f>Ringkasan!X910</f>
        <v>7800</v>
      </c>
      <c r="Y911" s="22">
        <f>Ringkasan!Y910</f>
        <v>7575</v>
      </c>
      <c r="Z911" s="22">
        <f>Ringkasan!Z910</f>
        <v>5343300</v>
      </c>
      <c r="AA911" s="64" t="str">
        <f>Ringkasan!AA910</f>
        <v>Forestry &amp; Paper</v>
      </c>
      <c r="AB911" s="64" t="str">
        <f>Ringkasan!AB910</f>
        <v>Basic Materials</v>
      </c>
    </row>
    <row r="912" hidden="1">
      <c r="A912" s="60" t="str">
        <f>Ringkasan!A649</f>
        <v>ELSA</v>
      </c>
      <c r="B912" s="60" t="str">
        <f>Ringkasan!B649</f>
        <v>Elnusa Tbk.</v>
      </c>
      <c r="C912" s="61">
        <f>Ringkasan!C649</f>
        <v>620</v>
      </c>
      <c r="D912" s="60" t="str">
        <f>Ringkasan!D649</f>
        <v>#N/A</v>
      </c>
      <c r="E912" s="60" t="str">
        <f>Ringkasan!E649</f>
        <v>IDXV30</v>
      </c>
      <c r="F912" s="60" t="str">
        <f>Ringkasan!F649</f>
        <v>4 Agustus 2026</v>
      </c>
      <c r="G912" s="60">
        <f>Ringkasan!G649</f>
        <v>10</v>
      </c>
      <c r="H912" s="62">
        <f>Ringkasan!H649</f>
        <v>6.2</v>
      </c>
      <c r="I912" s="62">
        <f>Ringkasan!I649</f>
        <v>0.81</v>
      </c>
      <c r="J912" s="62">
        <f>Ringkasan!J649</f>
        <v>13.1</v>
      </c>
      <c r="K912" s="62">
        <f>Ringkasan!K649</f>
        <v>6.6</v>
      </c>
      <c r="L912" s="62">
        <f>Ringkasan!L649</f>
        <v>1</v>
      </c>
      <c r="M912" s="62">
        <f>Ringkasan!M649</f>
        <v>19.9</v>
      </c>
      <c r="N912" s="60" t="str">
        <f>Ringkasan!N649</f>
        <v/>
      </c>
      <c r="O912" s="60" t="str">
        <f>Ringkasan!O649</f>
        <v/>
      </c>
      <c r="P912" s="60" t="str">
        <f>Ringkasan!P649</f>
        <v/>
      </c>
      <c r="Q912" s="60" t="str">
        <f>Ringkasan!Q649</f>
        <v/>
      </c>
      <c r="R912" s="60" t="str">
        <f>Ringkasan!R649</f>
        <v/>
      </c>
      <c r="S912" s="60" t="str">
        <f>Ringkasan!S649</f>
        <v/>
      </c>
      <c r="T912" s="60" t="str">
        <f>Ringkasan!T649</f>
        <v/>
      </c>
      <c r="U912" s="60">
        <f>Ringkasan!U649</f>
        <v>2.24</v>
      </c>
      <c r="V912" s="60">
        <f>Ringkasan!V649</f>
        <v>0</v>
      </c>
      <c r="W912" s="60" t="str">
        <f>Ringkasan!W649</f>
        <v/>
      </c>
      <c r="X912" s="60" t="str">
        <f>Ringkasan!X649</f>
        <v/>
      </c>
      <c r="Y912" s="60" t="str">
        <f>Ringkasan!Y649</f>
        <v/>
      </c>
      <c r="Z912" s="60">
        <f>Ringkasan!Z649</f>
        <v>0</v>
      </c>
      <c r="AA912" s="60" t="str">
        <f>Ringkasan!AA649</f>
        <v>Oil, Gas &amp; Coal Supports</v>
      </c>
      <c r="AB912" s="64" t="str">
        <f>Ringkasan!AB649</f>
        <v>Energy</v>
      </c>
    </row>
    <row r="913" hidden="1">
      <c r="A913" s="64" t="str">
        <f>Ringkasan!A912</f>
        <v>INKP</v>
      </c>
      <c r="B913" s="64" t="str">
        <f>Ringkasan!B912</f>
        <v>Indah Kiat Pulp &amp; Paper Tbk.</v>
      </c>
      <c r="C913" s="65">
        <f>Ringkasan!C912</f>
        <v>7700</v>
      </c>
      <c r="D913" s="64" t="str">
        <f>Ringkasan!D912</f>
        <v>#N/A</v>
      </c>
      <c r="E913" s="64" t="str">
        <f>Ringkasan!E912</f>
        <v>LQ45</v>
      </c>
      <c r="F913" s="64" t="str">
        <f>Ringkasan!F912</f>
        <v>31 Juli 2026</v>
      </c>
      <c r="G913" s="64">
        <f>Ringkasan!G912</f>
        <v>16</v>
      </c>
      <c r="H913" s="19">
        <f>Ringkasan!H912</f>
        <v>5.3</v>
      </c>
      <c r="I913" s="19">
        <f>Ringkasan!I912</f>
        <v>0.35</v>
      </c>
      <c r="J913" s="19">
        <f>Ringkasan!J912</f>
        <v>6.7</v>
      </c>
      <c r="K913" s="19">
        <f>Ringkasan!K912</f>
        <v>3.7</v>
      </c>
      <c r="L913" s="19">
        <f>Ringkasan!L912</f>
        <v>0.81</v>
      </c>
      <c r="M913" s="19">
        <f>Ringkasan!M912</f>
        <v>57.2</v>
      </c>
      <c r="N913" s="64" t="str">
        <f>Ringkasan!N912</f>
        <v/>
      </c>
      <c r="O913" s="64" t="str">
        <f>Ringkasan!O912</f>
        <v/>
      </c>
      <c r="P913" s="64" t="str">
        <f>Ringkasan!P912</f>
        <v/>
      </c>
      <c r="Q913" s="64" t="str">
        <f>Ringkasan!Q912</f>
        <v/>
      </c>
      <c r="R913" s="64" t="str">
        <f>Ringkasan!R912</f>
        <v/>
      </c>
      <c r="S913" s="64" t="str">
        <f>Ringkasan!S912</f>
        <v/>
      </c>
      <c r="T913" s="64" t="str">
        <f>Ringkasan!T912</f>
        <v/>
      </c>
      <c r="U913" s="64">
        <f>Ringkasan!U912</f>
        <v>7550</v>
      </c>
      <c r="V913" s="64">
        <f>Ringkasan!V912</f>
        <v>1.99</v>
      </c>
      <c r="W913" s="64">
        <f>Ringkasan!W912</f>
        <v>7625</v>
      </c>
      <c r="X913" s="64">
        <f>Ringkasan!X912</f>
        <v>7800</v>
      </c>
      <c r="Y913" s="64">
        <f>Ringkasan!Y912</f>
        <v>7575</v>
      </c>
      <c r="Z913" s="64">
        <f>Ringkasan!Z912</f>
        <v>5343300</v>
      </c>
      <c r="AA913" s="64" t="str">
        <f>Ringkasan!AA912</f>
        <v>Forestry &amp; Paper</v>
      </c>
      <c r="AB913" s="64" t="str">
        <f>Ringkasan!AB912</f>
        <v>Basic Materials</v>
      </c>
    </row>
    <row r="914" hidden="1">
      <c r="A914" s="64" t="str">
        <f>Ringkasan!A913</f>
        <v>INKP</v>
      </c>
      <c r="B914" s="64" t="str">
        <f>Ringkasan!B913</f>
        <v>Indah Kiat Pulp &amp; Paper Tbk.</v>
      </c>
      <c r="C914" s="67">
        <f>Ringkasan!C913</f>
        <v>7700</v>
      </c>
      <c r="D914" s="22" t="str">
        <f>Ringkasan!D913</f>
        <v>#N/A</v>
      </c>
      <c r="E914" s="64" t="str">
        <f>Ringkasan!E913</f>
        <v>IDX80</v>
      </c>
      <c r="F914" s="64" t="str">
        <f>Ringkasan!F913</f>
        <v>31 Juli 2026</v>
      </c>
      <c r="G914" s="64">
        <f>Ringkasan!G913</f>
        <v>16</v>
      </c>
      <c r="H914" s="19">
        <f>Ringkasan!H913</f>
        <v>5.3</v>
      </c>
      <c r="I914" s="19">
        <f>Ringkasan!I913</f>
        <v>0.35</v>
      </c>
      <c r="J914" s="19">
        <f>Ringkasan!J913</f>
        <v>6.7</v>
      </c>
      <c r="K914" s="19">
        <f>Ringkasan!K913</f>
        <v>3.7</v>
      </c>
      <c r="L914" s="19">
        <f>Ringkasan!L913</f>
        <v>0.81</v>
      </c>
      <c r="M914" s="19">
        <f>Ringkasan!M913</f>
        <v>57.2</v>
      </c>
      <c r="N914" s="64" t="str">
        <f>Ringkasan!N913</f>
        <v/>
      </c>
      <c r="O914" s="64" t="str">
        <f>Ringkasan!O913</f>
        <v/>
      </c>
      <c r="P914" s="64" t="str">
        <f>Ringkasan!P913</f>
        <v/>
      </c>
      <c r="Q914" s="64" t="str">
        <f>Ringkasan!Q913</f>
        <v/>
      </c>
      <c r="R914" s="64" t="str">
        <f>Ringkasan!R913</f>
        <v/>
      </c>
      <c r="S914" s="64" t="str">
        <f>Ringkasan!S913</f>
        <v/>
      </c>
      <c r="T914" s="64" t="str">
        <f>Ringkasan!T913</f>
        <v/>
      </c>
      <c r="U914" s="22">
        <f>Ringkasan!U913</f>
        <v>7550</v>
      </c>
      <c r="V914" s="22">
        <f>Ringkasan!V913</f>
        <v>1.99</v>
      </c>
      <c r="W914" s="22">
        <f>Ringkasan!W913</f>
        <v>7625</v>
      </c>
      <c r="X914" s="22">
        <f>Ringkasan!X913</f>
        <v>7800</v>
      </c>
      <c r="Y914" s="22">
        <f>Ringkasan!Y913</f>
        <v>7575</v>
      </c>
      <c r="Z914" s="22">
        <f>Ringkasan!Z913</f>
        <v>5343300</v>
      </c>
      <c r="AA914" s="64" t="str">
        <f>Ringkasan!AA913</f>
        <v>Forestry &amp; Paper</v>
      </c>
      <c r="AB914" s="64" t="str">
        <f>Ringkasan!AB913</f>
        <v>Basic Materials</v>
      </c>
    </row>
    <row r="915" hidden="1">
      <c r="A915" s="64" t="str">
        <f>Ringkasan!A914</f>
        <v>INKP</v>
      </c>
      <c r="B915" s="64" t="str">
        <f>Ringkasan!B914</f>
        <v>Indah Kiat Pulp &amp; Paper Tbk.</v>
      </c>
      <c r="C915" s="65">
        <f>Ringkasan!C914</f>
        <v>7700</v>
      </c>
      <c r="D915" s="64" t="str">
        <f>Ringkasan!D914</f>
        <v>#N/A</v>
      </c>
      <c r="E915" s="64" t="str">
        <f>Ringkasan!E914</f>
        <v>IDXVESTA28</v>
      </c>
      <c r="F915" s="64" t="str">
        <f>Ringkasan!F914</f>
        <v>31 Agustus 2026</v>
      </c>
      <c r="G915" s="64">
        <f>Ringkasan!G914</f>
        <v>16</v>
      </c>
      <c r="H915" s="19">
        <f>Ringkasan!H914</f>
        <v>5.3</v>
      </c>
      <c r="I915" s="19">
        <f>Ringkasan!I914</f>
        <v>0.35</v>
      </c>
      <c r="J915" s="19">
        <f>Ringkasan!J914</f>
        <v>6.7</v>
      </c>
      <c r="K915" s="19">
        <f>Ringkasan!K914</f>
        <v>3.7</v>
      </c>
      <c r="L915" s="19">
        <f>Ringkasan!L914</f>
        <v>0.81</v>
      </c>
      <c r="M915" s="19">
        <f>Ringkasan!M914</f>
        <v>57.2</v>
      </c>
      <c r="N915" s="64" t="str">
        <f>Ringkasan!N914</f>
        <v/>
      </c>
      <c r="O915" s="64" t="str">
        <f>Ringkasan!O914</f>
        <v/>
      </c>
      <c r="P915" s="64" t="str">
        <f>Ringkasan!P914</f>
        <v/>
      </c>
      <c r="Q915" s="64" t="str">
        <f>Ringkasan!Q914</f>
        <v/>
      </c>
      <c r="R915" s="64" t="str">
        <f>Ringkasan!R914</f>
        <v/>
      </c>
      <c r="S915" s="64" t="str">
        <f>Ringkasan!S914</f>
        <v/>
      </c>
      <c r="T915" s="64" t="str">
        <f>Ringkasan!T914</f>
        <v/>
      </c>
      <c r="U915" s="64">
        <f>Ringkasan!U914</f>
        <v>7550</v>
      </c>
      <c r="V915" s="64">
        <f>Ringkasan!V914</f>
        <v>1.99</v>
      </c>
      <c r="W915" s="64">
        <f>Ringkasan!W914</f>
        <v>7625</v>
      </c>
      <c r="X915" s="64">
        <f>Ringkasan!X914</f>
        <v>7800</v>
      </c>
      <c r="Y915" s="64">
        <f>Ringkasan!Y914</f>
        <v>7575</v>
      </c>
      <c r="Z915" s="64">
        <f>Ringkasan!Z914</f>
        <v>5343300</v>
      </c>
      <c r="AA915" s="64" t="str">
        <f>Ringkasan!AA914</f>
        <v>Forestry &amp; Paper</v>
      </c>
      <c r="AB915" s="64" t="str">
        <f>Ringkasan!AB914</f>
        <v>Basic Materials</v>
      </c>
    </row>
    <row r="916" hidden="1">
      <c r="A916" s="64" t="str">
        <f>Ringkasan!A915</f>
        <v>INKP</v>
      </c>
      <c r="B916" s="64" t="str">
        <f>Ringkasan!B915</f>
        <v>Indah Kiat Pulp &amp; Paper Tbk.</v>
      </c>
      <c r="C916" s="65">
        <f>Ringkasan!C915</f>
        <v>7700</v>
      </c>
      <c r="D916" s="64" t="str">
        <f>Ringkasan!D915</f>
        <v>#N/A</v>
      </c>
      <c r="E916" s="64" t="str">
        <f>Ringkasan!E915</f>
        <v>Kompas100</v>
      </c>
      <c r="F916" s="64" t="str">
        <f>Ringkasan!F915</f>
        <v>31 Juli 2026</v>
      </c>
      <c r="G916" s="64">
        <f>Ringkasan!G915</f>
        <v>16</v>
      </c>
      <c r="H916" s="19">
        <f>Ringkasan!H915</f>
        <v>5.3</v>
      </c>
      <c r="I916" s="19">
        <f>Ringkasan!I915</f>
        <v>0.35</v>
      </c>
      <c r="J916" s="19">
        <f>Ringkasan!J915</f>
        <v>6.7</v>
      </c>
      <c r="K916" s="19">
        <f>Ringkasan!K915</f>
        <v>3.7</v>
      </c>
      <c r="L916" s="19">
        <f>Ringkasan!L915</f>
        <v>0.81</v>
      </c>
      <c r="M916" s="19">
        <f>Ringkasan!M915</f>
        <v>57.2</v>
      </c>
      <c r="N916" s="64" t="str">
        <f>Ringkasan!N915</f>
        <v/>
      </c>
      <c r="O916" s="64" t="str">
        <f>Ringkasan!O915</f>
        <v/>
      </c>
      <c r="P916" s="64" t="str">
        <f>Ringkasan!P915</f>
        <v/>
      </c>
      <c r="Q916" s="64" t="str">
        <f>Ringkasan!Q915</f>
        <v/>
      </c>
      <c r="R916" s="64" t="str">
        <f>Ringkasan!R915</f>
        <v/>
      </c>
      <c r="S916" s="64" t="str">
        <f>Ringkasan!S915</f>
        <v/>
      </c>
      <c r="T916" s="64" t="str">
        <f>Ringkasan!T915</f>
        <v/>
      </c>
      <c r="U916" s="64">
        <f>Ringkasan!U915</f>
        <v>7550</v>
      </c>
      <c r="V916" s="64">
        <f>Ringkasan!V915</f>
        <v>1.99</v>
      </c>
      <c r="W916" s="64">
        <f>Ringkasan!W915</f>
        <v>7625</v>
      </c>
      <c r="X916" s="64">
        <f>Ringkasan!X915</f>
        <v>7800</v>
      </c>
      <c r="Y916" s="64">
        <f>Ringkasan!Y915</f>
        <v>7575</v>
      </c>
      <c r="Z916" s="64">
        <f>Ringkasan!Z915</f>
        <v>5343300</v>
      </c>
      <c r="AA916" s="64" t="str">
        <f>Ringkasan!AA915</f>
        <v>Forestry &amp; Paper</v>
      </c>
      <c r="AB916" s="64" t="str">
        <f>Ringkasan!AB915</f>
        <v>Basic Materials</v>
      </c>
    </row>
    <row r="917" hidden="1">
      <c r="A917" s="64" t="str">
        <f>Ringkasan!A916</f>
        <v>INKP</v>
      </c>
      <c r="B917" s="64" t="str">
        <f>Ringkasan!B916</f>
        <v>Indah Kiat Pulp &amp; Paper Tbk.</v>
      </c>
      <c r="C917" s="65">
        <f>Ringkasan!C916</f>
        <v>7700</v>
      </c>
      <c r="D917" s="64" t="str">
        <f>Ringkasan!D916</f>
        <v>#N/A</v>
      </c>
      <c r="E917" s="64" t="str">
        <f>Ringkasan!E916</f>
        <v>IDX30</v>
      </c>
      <c r="F917" s="64" t="str">
        <f>Ringkasan!F916</f>
        <v>31 Juli 2026</v>
      </c>
      <c r="G917" s="64">
        <f>Ringkasan!G916</f>
        <v>16</v>
      </c>
      <c r="H917" s="19">
        <f>Ringkasan!H916</f>
        <v>5.3</v>
      </c>
      <c r="I917" s="19">
        <f>Ringkasan!I916</f>
        <v>0.35</v>
      </c>
      <c r="J917" s="19">
        <f>Ringkasan!J916</f>
        <v>6.7</v>
      </c>
      <c r="K917" s="19">
        <f>Ringkasan!K916</f>
        <v>3.7</v>
      </c>
      <c r="L917" s="19">
        <f>Ringkasan!L916</f>
        <v>0.81</v>
      </c>
      <c r="M917" s="19">
        <f>Ringkasan!M916</f>
        <v>57.2</v>
      </c>
      <c r="N917" s="64" t="str">
        <f>Ringkasan!N916</f>
        <v/>
      </c>
      <c r="O917" s="64" t="str">
        <f>Ringkasan!O916</f>
        <v/>
      </c>
      <c r="P917" s="64" t="str">
        <f>Ringkasan!P916</f>
        <v/>
      </c>
      <c r="Q917" s="64" t="str">
        <f>Ringkasan!Q916</f>
        <v/>
      </c>
      <c r="R917" s="64" t="str">
        <f>Ringkasan!R916</f>
        <v/>
      </c>
      <c r="S917" s="64" t="str">
        <f>Ringkasan!S916</f>
        <v/>
      </c>
      <c r="T917" s="64" t="str">
        <f>Ringkasan!T916</f>
        <v/>
      </c>
      <c r="U917" s="64">
        <f>Ringkasan!U916</f>
        <v>7550</v>
      </c>
      <c r="V917" s="64">
        <f>Ringkasan!V916</f>
        <v>1.99</v>
      </c>
      <c r="W917" s="64">
        <f>Ringkasan!W916</f>
        <v>7625</v>
      </c>
      <c r="X917" s="64">
        <f>Ringkasan!X916</f>
        <v>7800</v>
      </c>
      <c r="Y917" s="64">
        <f>Ringkasan!Y916</f>
        <v>7575</v>
      </c>
      <c r="Z917" s="64">
        <f>Ringkasan!Z916</f>
        <v>5343300</v>
      </c>
      <c r="AA917" s="64" t="str">
        <f>Ringkasan!AA916</f>
        <v>Forestry &amp; Paper</v>
      </c>
      <c r="AB917" s="64" t="str">
        <f>Ringkasan!AB916</f>
        <v>Basic Materials</v>
      </c>
    </row>
    <row r="918" hidden="1">
      <c r="A918" s="64" t="str">
        <f>Ringkasan!A917</f>
        <v>INKP</v>
      </c>
      <c r="B918" s="64" t="str">
        <f>Ringkasan!B917</f>
        <v>Indah Kiat Pulp &amp; Paper Tbk.</v>
      </c>
      <c r="C918" s="65">
        <f>Ringkasan!C917</f>
        <v>7700</v>
      </c>
      <c r="D918" s="64" t="str">
        <f>Ringkasan!D917</f>
        <v>#N/A</v>
      </c>
      <c r="E918" s="64" t="str">
        <f>Ringkasan!E917</f>
        <v>MNC36</v>
      </c>
      <c r="F918" s="64" t="str">
        <f>Ringkasan!F917</f>
        <v>30 Oktober 2026</v>
      </c>
      <c r="G918" s="64">
        <f>Ringkasan!G917</f>
        <v>16</v>
      </c>
      <c r="H918" s="19">
        <f>Ringkasan!H917</f>
        <v>5.3</v>
      </c>
      <c r="I918" s="19">
        <f>Ringkasan!I917</f>
        <v>0.35</v>
      </c>
      <c r="J918" s="19">
        <f>Ringkasan!J917</f>
        <v>6.7</v>
      </c>
      <c r="K918" s="19">
        <f>Ringkasan!K917</f>
        <v>3.7</v>
      </c>
      <c r="L918" s="19">
        <f>Ringkasan!L917</f>
        <v>0.81</v>
      </c>
      <c r="M918" s="19">
        <f>Ringkasan!M917</f>
        <v>57.2</v>
      </c>
      <c r="N918" s="64" t="str">
        <f>Ringkasan!N917</f>
        <v/>
      </c>
      <c r="O918" s="64" t="str">
        <f>Ringkasan!O917</f>
        <v/>
      </c>
      <c r="P918" s="64" t="str">
        <f>Ringkasan!P917</f>
        <v/>
      </c>
      <c r="Q918" s="64" t="str">
        <f>Ringkasan!Q917</f>
        <v/>
      </c>
      <c r="R918" s="64" t="str">
        <f>Ringkasan!R917</f>
        <v/>
      </c>
      <c r="S918" s="64" t="str">
        <f>Ringkasan!S917</f>
        <v/>
      </c>
      <c r="T918" s="64" t="str">
        <f>Ringkasan!T917</f>
        <v/>
      </c>
      <c r="U918" s="64">
        <f>Ringkasan!U917</f>
        <v>7550</v>
      </c>
      <c r="V918" s="64">
        <f>Ringkasan!V917</f>
        <v>1.99</v>
      </c>
      <c r="W918" s="64">
        <f>Ringkasan!W917</f>
        <v>7625</v>
      </c>
      <c r="X918" s="64">
        <f>Ringkasan!X917</f>
        <v>7800</v>
      </c>
      <c r="Y918" s="64">
        <f>Ringkasan!Y917</f>
        <v>7575</v>
      </c>
      <c r="Z918" s="64">
        <f>Ringkasan!Z917</f>
        <v>5343300</v>
      </c>
      <c r="AA918" s="64" t="str">
        <f>Ringkasan!AA917</f>
        <v>Forestry &amp; Paper</v>
      </c>
      <c r="AB918" s="64" t="str">
        <f>Ringkasan!AB917</f>
        <v>Basic Materials</v>
      </c>
    </row>
    <row r="919" hidden="1">
      <c r="A919" s="64" t="str">
        <f>Ringkasan!A678</f>
        <v>ENRG</v>
      </c>
      <c r="B919" s="64" t="str">
        <f>Ringkasan!B678</f>
        <v>Energi Mega Persada Tbk.</v>
      </c>
      <c r="C919" s="65">
        <f>Ringkasan!C678</f>
        <v>1390</v>
      </c>
      <c r="D919" s="64" t="str">
        <f>Ringkasan!D678</f>
        <v>#N/A</v>
      </c>
      <c r="E919" s="64" t="str">
        <f>Ringkasan!E678</f>
        <v>JII70</v>
      </c>
      <c r="F919" s="66">
        <f>Ringkasan!F678</f>
        <v>46356</v>
      </c>
      <c r="G919" s="64">
        <f>Ringkasan!G678</f>
        <v>9</v>
      </c>
      <c r="H919" s="19">
        <f>Ringkasan!H678</f>
        <v>23.2</v>
      </c>
      <c r="I919" s="19">
        <f>Ringkasan!I678</f>
        <v>2.6</v>
      </c>
      <c r="J919" s="19">
        <f>Ringkasan!J678</f>
        <v>11.1</v>
      </c>
      <c r="K919" s="19">
        <f>Ringkasan!K678</f>
        <v>5</v>
      </c>
      <c r="L919" s="19">
        <f>Ringkasan!L678</f>
        <v>1.2</v>
      </c>
      <c r="M919" s="19">
        <f>Ringkasan!M678</f>
        <v>18.4</v>
      </c>
      <c r="N919" s="64" t="str">
        <f>Ringkasan!N678</f>
        <v/>
      </c>
      <c r="O919" s="64" t="str">
        <f>Ringkasan!O678</f>
        <v/>
      </c>
      <c r="P919" s="64" t="str">
        <f>Ringkasan!P678</f>
        <v/>
      </c>
      <c r="Q919" s="64" t="str">
        <f>Ringkasan!Q678</f>
        <v/>
      </c>
      <c r="R919" s="64" t="str">
        <f>Ringkasan!R678</f>
        <v/>
      </c>
      <c r="S919" s="64" t="str">
        <f>Ringkasan!S678</f>
        <v/>
      </c>
      <c r="T919" s="64" t="str">
        <f>Ringkasan!T678</f>
        <v/>
      </c>
      <c r="U919" s="64">
        <f>Ringkasan!U678</f>
        <v>0.3</v>
      </c>
      <c r="V919" s="64">
        <f>Ringkasan!V678</f>
        <v>18.64</v>
      </c>
      <c r="W919" s="64">
        <f>Ringkasan!W678</f>
        <v>0.29</v>
      </c>
      <c r="X919" s="64">
        <f>Ringkasan!X678</f>
        <v>0.35</v>
      </c>
      <c r="Y919" s="64">
        <f>Ringkasan!Y678</f>
        <v>0.26</v>
      </c>
      <c r="Z919" s="64">
        <f>Ringkasan!Z678</f>
        <v>61500</v>
      </c>
      <c r="AA919" s="64" t="str">
        <f>Ringkasan!AA678</f>
        <v>Oil &amp; Gas</v>
      </c>
      <c r="AB919" s="64" t="str">
        <f>Ringkasan!AB678</f>
        <v>Energy</v>
      </c>
    </row>
    <row r="920" hidden="1">
      <c r="A920" s="64" t="str">
        <f>Ringkasan!A919</f>
        <v>INKP</v>
      </c>
      <c r="B920" s="64" t="str">
        <f>Ringkasan!B919</f>
        <v>Indah Kiat Pulp &amp; Paper Tbk.</v>
      </c>
      <c r="C920" s="65">
        <f>Ringkasan!C919</f>
        <v>7700</v>
      </c>
      <c r="D920" s="64" t="str">
        <f>Ringkasan!D919</f>
        <v>#N/A</v>
      </c>
      <c r="E920" s="64" t="str">
        <f>Ringkasan!E919</f>
        <v>MSCI Small Cap</v>
      </c>
      <c r="F920" s="64" t="str">
        <f>Ringkasan!F919</f>
        <v>12 Agustus 2026</v>
      </c>
      <c r="G920" s="64">
        <f>Ringkasan!G919</f>
        <v>16</v>
      </c>
      <c r="H920" s="19">
        <f>Ringkasan!H919</f>
        <v>5.3</v>
      </c>
      <c r="I920" s="19">
        <f>Ringkasan!I919</f>
        <v>0.35</v>
      </c>
      <c r="J920" s="19">
        <f>Ringkasan!J919</f>
        <v>6.7</v>
      </c>
      <c r="K920" s="19">
        <f>Ringkasan!K919</f>
        <v>3.7</v>
      </c>
      <c r="L920" s="19">
        <f>Ringkasan!L919</f>
        <v>0.81</v>
      </c>
      <c r="M920" s="19">
        <f>Ringkasan!M919</f>
        <v>57.2</v>
      </c>
      <c r="N920" s="64" t="str">
        <f>Ringkasan!N919</f>
        <v/>
      </c>
      <c r="O920" s="64" t="str">
        <f>Ringkasan!O919</f>
        <v/>
      </c>
      <c r="P920" s="64" t="str">
        <f>Ringkasan!P919</f>
        <v/>
      </c>
      <c r="Q920" s="64" t="str">
        <f>Ringkasan!Q919</f>
        <v/>
      </c>
      <c r="R920" s="64" t="str">
        <f>Ringkasan!R919</f>
        <v/>
      </c>
      <c r="S920" s="64" t="str">
        <f>Ringkasan!S919</f>
        <v/>
      </c>
      <c r="T920" s="64" t="str">
        <f>Ringkasan!T919</f>
        <v/>
      </c>
      <c r="U920" s="64">
        <f>Ringkasan!U919</f>
        <v>7550</v>
      </c>
      <c r="V920" s="64">
        <f>Ringkasan!V919</f>
        <v>1.99</v>
      </c>
      <c r="W920" s="64">
        <f>Ringkasan!W919</f>
        <v>7625</v>
      </c>
      <c r="X920" s="64">
        <f>Ringkasan!X919</f>
        <v>7800</v>
      </c>
      <c r="Y920" s="64">
        <f>Ringkasan!Y919</f>
        <v>7575</v>
      </c>
      <c r="Z920" s="64">
        <f>Ringkasan!Z919</f>
        <v>5343300</v>
      </c>
      <c r="AA920" s="64" t="str">
        <f>Ringkasan!AA919</f>
        <v>Forestry &amp; Paper</v>
      </c>
      <c r="AB920" s="64" t="str">
        <f>Ringkasan!AB919</f>
        <v>Basic Materials</v>
      </c>
    </row>
    <row r="921" hidden="1">
      <c r="A921" s="64" t="str">
        <f>Ringkasan!A920</f>
        <v>INKP</v>
      </c>
      <c r="B921" s="64" t="str">
        <f>Ringkasan!B920</f>
        <v>Indah Kiat Pulp &amp; Paper Tbk.</v>
      </c>
      <c r="C921" s="65">
        <f>Ringkasan!C920</f>
        <v>7700</v>
      </c>
      <c r="D921" s="64" t="str">
        <f>Ringkasan!D920</f>
        <v>#N/A</v>
      </c>
      <c r="E921" s="64" t="str">
        <f>Ringkasan!E920</f>
        <v>JII30</v>
      </c>
      <c r="F921" s="66">
        <f>Ringkasan!F920</f>
        <v>46356</v>
      </c>
      <c r="G921" s="64">
        <f>Ringkasan!G920</f>
        <v>16</v>
      </c>
      <c r="H921" s="19">
        <f>Ringkasan!H920</f>
        <v>5.3</v>
      </c>
      <c r="I921" s="19">
        <f>Ringkasan!I920</f>
        <v>0.35</v>
      </c>
      <c r="J921" s="19">
        <f>Ringkasan!J920</f>
        <v>6.7</v>
      </c>
      <c r="K921" s="19">
        <f>Ringkasan!K920</f>
        <v>3.7</v>
      </c>
      <c r="L921" s="19">
        <f>Ringkasan!L920</f>
        <v>0.81</v>
      </c>
      <c r="M921" s="19">
        <f>Ringkasan!M920</f>
        <v>57.2</v>
      </c>
      <c r="N921" s="64" t="str">
        <f>Ringkasan!N920</f>
        <v/>
      </c>
      <c r="O921" s="64" t="str">
        <f>Ringkasan!O920</f>
        <v/>
      </c>
      <c r="P921" s="64" t="str">
        <f>Ringkasan!P920</f>
        <v/>
      </c>
      <c r="Q921" s="64" t="str">
        <f>Ringkasan!Q920</f>
        <v/>
      </c>
      <c r="R921" s="64" t="str">
        <f>Ringkasan!R920</f>
        <v/>
      </c>
      <c r="S921" s="64" t="str">
        <f>Ringkasan!S920</f>
        <v/>
      </c>
      <c r="T921" s="64" t="str">
        <f>Ringkasan!T920</f>
        <v/>
      </c>
      <c r="U921" s="64">
        <f>Ringkasan!U920</f>
        <v>7550</v>
      </c>
      <c r="V921" s="64">
        <f>Ringkasan!V920</f>
        <v>1.99</v>
      </c>
      <c r="W921" s="64">
        <f>Ringkasan!W920</f>
        <v>7625</v>
      </c>
      <c r="X921" s="64">
        <f>Ringkasan!X920</f>
        <v>7800</v>
      </c>
      <c r="Y921" s="64">
        <f>Ringkasan!Y920</f>
        <v>7575</v>
      </c>
      <c r="Z921" s="64">
        <f>Ringkasan!Z920</f>
        <v>5343300</v>
      </c>
      <c r="AA921" s="64" t="str">
        <f>Ringkasan!AA920</f>
        <v>Forestry &amp; Paper</v>
      </c>
      <c r="AB921" s="64" t="str">
        <f>Ringkasan!AB920</f>
        <v>Basic Materials</v>
      </c>
    </row>
    <row r="922" hidden="1">
      <c r="A922" s="64" t="str">
        <f>Ringkasan!A921</f>
        <v>INKP</v>
      </c>
      <c r="B922" s="64" t="str">
        <f>Ringkasan!B921</f>
        <v>Indah Kiat Pulp &amp; Paper Tbk.</v>
      </c>
      <c r="C922" s="67">
        <f>Ringkasan!C921</f>
        <v>7700</v>
      </c>
      <c r="D922" s="22" t="str">
        <f>Ringkasan!D921</f>
        <v>#N/A</v>
      </c>
      <c r="E922" s="64" t="str">
        <f>Ringkasan!E921</f>
        <v>JII70</v>
      </c>
      <c r="F922" s="66">
        <f>Ringkasan!F921</f>
        <v>46356</v>
      </c>
      <c r="G922" s="64">
        <f>Ringkasan!G921</f>
        <v>16</v>
      </c>
      <c r="H922" s="19">
        <f>Ringkasan!H921</f>
        <v>5.3</v>
      </c>
      <c r="I922" s="19">
        <f>Ringkasan!I921</f>
        <v>0.35</v>
      </c>
      <c r="J922" s="19">
        <f>Ringkasan!J921</f>
        <v>6.7</v>
      </c>
      <c r="K922" s="19">
        <f>Ringkasan!K921</f>
        <v>3.7</v>
      </c>
      <c r="L922" s="19">
        <f>Ringkasan!L921</f>
        <v>0.81</v>
      </c>
      <c r="M922" s="19">
        <f>Ringkasan!M921</f>
        <v>57.2</v>
      </c>
      <c r="N922" s="64" t="str">
        <f>Ringkasan!N921</f>
        <v/>
      </c>
      <c r="O922" s="64" t="str">
        <f>Ringkasan!O921</f>
        <v/>
      </c>
      <c r="P922" s="64" t="str">
        <f>Ringkasan!P921</f>
        <v/>
      </c>
      <c r="Q922" s="64" t="str">
        <f>Ringkasan!Q921</f>
        <v/>
      </c>
      <c r="R922" s="64" t="str">
        <f>Ringkasan!R921</f>
        <v/>
      </c>
      <c r="S922" s="64" t="str">
        <f>Ringkasan!S921</f>
        <v/>
      </c>
      <c r="T922" s="64" t="str">
        <f>Ringkasan!T921</f>
        <v/>
      </c>
      <c r="U922" s="22">
        <f>Ringkasan!U921</f>
        <v>7550</v>
      </c>
      <c r="V922" s="22">
        <f>Ringkasan!V921</f>
        <v>1.99</v>
      </c>
      <c r="W922" s="22">
        <f>Ringkasan!W921</f>
        <v>7625</v>
      </c>
      <c r="X922" s="22">
        <f>Ringkasan!X921</f>
        <v>7800</v>
      </c>
      <c r="Y922" s="22">
        <f>Ringkasan!Y921</f>
        <v>7575</v>
      </c>
      <c r="Z922" s="22">
        <f>Ringkasan!Z921</f>
        <v>5343300</v>
      </c>
      <c r="AA922" s="64" t="str">
        <f>Ringkasan!AA921</f>
        <v>Forestry &amp; Paper</v>
      </c>
      <c r="AB922" s="64" t="str">
        <f>Ringkasan!AB921</f>
        <v>Basic Materials</v>
      </c>
    </row>
    <row r="923" hidden="1">
      <c r="A923" s="64" t="str">
        <f>Ringkasan!A922</f>
        <v>INOV</v>
      </c>
      <c r="B923" s="64" t="str">
        <f>Ringkasan!B922</f>
        <v>Inocycle Technology Group Tbk.</v>
      </c>
      <c r="C923" s="65">
        <f>Ringkasan!C922</f>
        <v>112</v>
      </c>
      <c r="D923" s="64" t="str">
        <f>Ringkasan!D922</f>
        <v>#N/A</v>
      </c>
      <c r="E923" s="64" t="str">
        <f>Ringkasan!E922</f>
        <v/>
      </c>
      <c r="F923" s="64" t="str">
        <f>Ringkasan!F922</f>
        <v/>
      </c>
      <c r="G923" s="64">
        <f>Ringkasan!G922</f>
        <v>0</v>
      </c>
      <c r="H923" s="19">
        <f>Ringkasan!H922</f>
        <v>4.9</v>
      </c>
      <c r="I923" s="19">
        <f>Ringkasan!I922</f>
        <v>0.66</v>
      </c>
      <c r="J923" s="19">
        <f>Ringkasan!J922</f>
        <v>13.6</v>
      </c>
      <c r="K923" s="19">
        <f>Ringkasan!K922</f>
        <v>4.6</v>
      </c>
      <c r="L923" s="19">
        <f>Ringkasan!L922</f>
        <v>2</v>
      </c>
      <c r="M923" s="19">
        <f>Ringkasan!M922</f>
        <v>26.2</v>
      </c>
      <c r="N923" s="64" t="str">
        <f>Ringkasan!N922</f>
        <v/>
      </c>
      <c r="O923" s="64" t="str">
        <f>Ringkasan!O922</f>
        <v/>
      </c>
      <c r="P923" s="64" t="str">
        <f>Ringkasan!P922</f>
        <v/>
      </c>
      <c r="Q923" s="64" t="str">
        <f>Ringkasan!Q922</f>
        <v/>
      </c>
      <c r="R923" s="64" t="str">
        <f>Ringkasan!R922</f>
        <v/>
      </c>
      <c r="S923" s="64" t="str">
        <f>Ringkasan!S922</f>
        <v/>
      </c>
      <c r="T923" s="64" t="str">
        <f>Ringkasan!T922</f>
        <v/>
      </c>
      <c r="U923" s="64" t="str">
        <f>Ringkasan!U922</f>
        <v/>
      </c>
      <c r="V923" s="64">
        <f>Ringkasan!V922</f>
        <v>1.57</v>
      </c>
      <c r="W923" s="64">
        <f>Ringkasan!W922</f>
        <v>36.49</v>
      </c>
      <c r="X923" s="64">
        <f>Ringkasan!X922</f>
        <v>36.6</v>
      </c>
      <c r="Y923" s="64">
        <f>Ringkasan!Y922</f>
        <v>36.49</v>
      </c>
      <c r="Z923" s="64">
        <f>Ringkasan!Z922</f>
        <v>175</v>
      </c>
      <c r="AA923" s="64" t="str">
        <f>Ringkasan!AA922</f>
        <v>Apparel &amp; Luxury Goods</v>
      </c>
      <c r="AB923" s="64" t="str">
        <f>Ringkasan!AB922</f>
        <v>Consumer Cyclicals</v>
      </c>
    </row>
    <row r="924" hidden="1">
      <c r="A924" s="64" t="str">
        <f>Ringkasan!A923</f>
        <v>INPC</v>
      </c>
      <c r="B924" s="64" t="str">
        <f>Ringkasan!B923</f>
        <v>Bank Artha Graha Internasional Tbk</v>
      </c>
      <c r="C924" s="65">
        <f>Ringkasan!C923</f>
        <v>132</v>
      </c>
      <c r="D924" s="64" t="str">
        <f>Ringkasan!D923</f>
        <v>#N/A</v>
      </c>
      <c r="E924" s="64" t="str">
        <f>Ringkasan!E923</f>
        <v/>
      </c>
      <c r="F924" s="64" t="str">
        <f>Ringkasan!F923</f>
        <v/>
      </c>
      <c r="G924" s="64">
        <f>Ringkasan!G923</f>
        <v>0</v>
      </c>
      <c r="H924" s="19">
        <f>Ringkasan!H923</f>
        <v>-5.3</v>
      </c>
      <c r="I924" s="19">
        <f>Ringkasan!I923</f>
        <v>0.73</v>
      </c>
      <c r="J924" s="19">
        <f>Ringkasan!J923</f>
        <v>-13.8</v>
      </c>
      <c r="K924" s="19">
        <f>Ringkasan!K923</f>
        <v>-1.7</v>
      </c>
      <c r="L924" s="19">
        <f>Ringkasan!L923</f>
        <v>6.9</v>
      </c>
      <c r="M924" s="19">
        <f>Ringkasan!M923</f>
        <v>-130</v>
      </c>
      <c r="N924" s="64">
        <f>Ringkasan!N923</f>
        <v>2.78</v>
      </c>
      <c r="O924" s="64">
        <f>Ringkasan!O923</f>
        <v>18.15</v>
      </c>
      <c r="P924" s="64">
        <f>Ringkasan!P923</f>
        <v>43.23</v>
      </c>
      <c r="Q924" s="64">
        <f>Ringkasan!Q923</f>
        <v>0.85</v>
      </c>
      <c r="R924" s="64">
        <f>Ringkasan!R923</f>
        <v>124.31</v>
      </c>
      <c r="S924" s="64">
        <f>Ringkasan!S923</f>
        <v>95.12</v>
      </c>
      <c r="T924" s="64">
        <f>Ringkasan!T923</f>
        <v>12.45</v>
      </c>
      <c r="U924" s="64">
        <f>Ringkasan!U923</f>
        <v>130</v>
      </c>
      <c r="V924" s="64">
        <f>Ringkasan!V923</f>
        <v>1.54</v>
      </c>
      <c r="W924" s="64">
        <f>Ringkasan!W923</f>
        <v>130</v>
      </c>
      <c r="X924" s="64">
        <f>Ringkasan!X923</f>
        <v>135</v>
      </c>
      <c r="Y924" s="64">
        <f>Ringkasan!Y923</f>
        <v>130</v>
      </c>
      <c r="Z924" s="64">
        <f>Ringkasan!Z923</f>
        <v>2306700</v>
      </c>
      <c r="AA924" s="64" t="str">
        <f>Ringkasan!AA923</f>
        <v>Banks</v>
      </c>
      <c r="AB924" s="64" t="str">
        <f>Ringkasan!AB923</f>
        <v>Financials</v>
      </c>
    </row>
    <row r="925" hidden="1">
      <c r="A925" s="64" t="str">
        <f>Ringkasan!A924</f>
        <v>INPP</v>
      </c>
      <c r="B925" s="64" t="str">
        <f>Ringkasan!B924</f>
        <v>Indonesian Paradise Property Tbk.</v>
      </c>
      <c r="C925" s="65" t="str">
        <f>Ringkasan!C924</f>
        <v>#N/A</v>
      </c>
      <c r="D925" s="64" t="str">
        <f>Ringkasan!D924</f>
        <v>#N/A</v>
      </c>
      <c r="E925" s="64" t="str">
        <f>Ringkasan!E924</f>
        <v/>
      </c>
      <c r="F925" s="64" t="str">
        <f>Ringkasan!F924</f>
        <v/>
      </c>
      <c r="G925" s="64">
        <f>Ringkasan!G924</f>
        <v>0</v>
      </c>
      <c r="H925" s="19">
        <f>Ringkasan!H924</f>
        <v>-19.7</v>
      </c>
      <c r="I925" s="19">
        <f>Ringkasan!I924</f>
        <v>1.3</v>
      </c>
      <c r="J925" s="19">
        <f>Ringkasan!J924</f>
        <v>-6.6</v>
      </c>
      <c r="K925" s="19">
        <f>Ringkasan!K924</f>
        <v>-4.4</v>
      </c>
      <c r="L925" s="19">
        <f>Ringkasan!L924</f>
        <v>0.51</v>
      </c>
      <c r="M925" s="19">
        <f>Ringkasan!M924</f>
        <v>-140</v>
      </c>
      <c r="N925" s="64" t="str">
        <f>Ringkasan!N924</f>
        <v/>
      </c>
      <c r="O925" s="64" t="str">
        <f>Ringkasan!O924</f>
        <v/>
      </c>
      <c r="P925" s="64" t="str">
        <f>Ringkasan!P924</f>
        <v/>
      </c>
      <c r="Q925" s="64" t="str">
        <f>Ringkasan!Q924</f>
        <v/>
      </c>
      <c r="R925" s="64" t="str">
        <f>Ringkasan!R924</f>
        <v/>
      </c>
      <c r="S925" s="64" t="str">
        <f>Ringkasan!S924</f>
        <v/>
      </c>
      <c r="T925" s="64" t="str">
        <f>Ringkasan!T924</f>
        <v/>
      </c>
      <c r="U925" s="64">
        <f>Ringkasan!U924</f>
        <v>137.2</v>
      </c>
      <c r="V925" s="64">
        <f>Ringkasan!V924</f>
        <v>1.17</v>
      </c>
      <c r="W925" s="64">
        <f>Ringkasan!W924</f>
        <v>138.6</v>
      </c>
      <c r="X925" s="64">
        <f>Ringkasan!X924</f>
        <v>140.2</v>
      </c>
      <c r="Y925" s="64">
        <f>Ringkasan!Y924</f>
        <v>137.92</v>
      </c>
      <c r="Z925" s="64">
        <f>Ringkasan!Z924</f>
        <v>2656290</v>
      </c>
      <c r="AA925" s="64" t="str">
        <f>Ringkasan!AA924</f>
        <v>Real Estate Management &amp; Development</v>
      </c>
      <c r="AB925" s="64" t="str">
        <f>Ringkasan!AB924</f>
        <v>Properties &amp; Real Estate</v>
      </c>
    </row>
    <row r="926" hidden="1">
      <c r="A926" s="64" t="str">
        <f>Ringkasan!A747</f>
        <v>GGRM</v>
      </c>
      <c r="B926" s="64" t="str">
        <f>Ringkasan!B747</f>
        <v>Gudang Garam Tbk</v>
      </c>
      <c r="C926" s="65">
        <f>Ringkasan!C747</f>
        <v>15000</v>
      </c>
      <c r="D926" s="64" t="str">
        <f>Ringkasan!D747</f>
        <v>#N/A</v>
      </c>
      <c r="E926" s="64" t="str">
        <f>Ringkasan!E747</f>
        <v>FTSE Large Cap</v>
      </c>
      <c r="F926" s="64" t="str">
        <f>Ringkasan!F747</f>
        <v>Juni 2026</v>
      </c>
      <c r="G926" s="64">
        <f>Ringkasan!G747</f>
        <v>4</v>
      </c>
      <c r="H926" s="19">
        <f>Ringkasan!H747</f>
        <v>10.9</v>
      </c>
      <c r="I926" s="19">
        <f>Ringkasan!I747</f>
        <v>0.51</v>
      </c>
      <c r="J926" s="19">
        <f>Ringkasan!J747</f>
        <v>4.7</v>
      </c>
      <c r="K926" s="19">
        <f>Ringkasan!K747</f>
        <v>3.9</v>
      </c>
      <c r="L926" s="19">
        <f>Ringkasan!L747</f>
        <v>0.2</v>
      </c>
      <c r="M926" s="19">
        <f>Ringkasan!M747</f>
        <v>14.9</v>
      </c>
      <c r="N926" s="64" t="str">
        <f>Ringkasan!N747</f>
        <v/>
      </c>
      <c r="O926" s="64" t="str">
        <f>Ringkasan!O747</f>
        <v/>
      </c>
      <c r="P926" s="64" t="str">
        <f>Ringkasan!P747</f>
        <v/>
      </c>
      <c r="Q926" s="64" t="str">
        <f>Ringkasan!Q747</f>
        <v/>
      </c>
      <c r="R926" s="64" t="str">
        <f>Ringkasan!R747</f>
        <v/>
      </c>
      <c r="S926" s="64" t="str">
        <f>Ringkasan!S747</f>
        <v/>
      </c>
      <c r="T926" s="64" t="str">
        <f>Ringkasan!T747</f>
        <v/>
      </c>
      <c r="U926" s="64">
        <f>Ringkasan!U747</f>
        <v>15050</v>
      </c>
      <c r="V926" s="64" t="str">
        <f>Ringkasan!V747</f>
        <v/>
      </c>
      <c r="W926" s="64">
        <f>Ringkasan!W747</f>
        <v>15050</v>
      </c>
      <c r="X926" s="64">
        <f>Ringkasan!X747</f>
        <v>15200</v>
      </c>
      <c r="Y926" s="64">
        <f>Ringkasan!Y747</f>
        <v>14825</v>
      </c>
      <c r="Z926" s="64">
        <f>Ringkasan!Z747</f>
        <v>690400</v>
      </c>
      <c r="AA926" s="64" t="str">
        <f>Ringkasan!AA747</f>
        <v>Tobacco</v>
      </c>
      <c r="AB926" s="64" t="str">
        <f>Ringkasan!AB747</f>
        <v>Consumer Non-Cyclicals</v>
      </c>
    </row>
    <row r="927" hidden="1">
      <c r="A927" s="64" t="str">
        <f>Ringkasan!A926</f>
        <v>INTA</v>
      </c>
      <c r="B927" s="64" t="str">
        <f>Ringkasan!B926</f>
        <v>Intraco Penta Tbk.</v>
      </c>
      <c r="C927" s="65">
        <f>Ringkasan!C926</f>
        <v>63</v>
      </c>
      <c r="D927" s="64" t="str">
        <f>Ringkasan!D926</f>
        <v>#N/A</v>
      </c>
      <c r="E927" s="64" t="str">
        <f>Ringkasan!E926</f>
        <v/>
      </c>
      <c r="F927" s="64" t="str">
        <f>Ringkasan!F926</f>
        <v/>
      </c>
      <c r="G927" s="64">
        <f>Ringkasan!G926</f>
        <v>0</v>
      </c>
      <c r="H927" s="19">
        <f>Ringkasan!H926</f>
        <v>-3</v>
      </c>
      <c r="I927" s="19">
        <f>Ringkasan!I926</f>
        <v>-0.11</v>
      </c>
      <c r="J927" s="19">
        <f>Ringkasan!J926</f>
        <v>0</v>
      </c>
      <c r="K927" s="19">
        <f>Ringkasan!K926</f>
        <v>-3.6</v>
      </c>
      <c r="L927" s="19">
        <f>Ringkasan!L926</f>
        <v>-2.1</v>
      </c>
      <c r="M927" s="19">
        <f>Ringkasan!M926</f>
        <v>-38.3</v>
      </c>
      <c r="N927" s="64" t="str">
        <f>Ringkasan!N926</f>
        <v/>
      </c>
      <c r="O927" s="64" t="str">
        <f>Ringkasan!O926</f>
        <v/>
      </c>
      <c r="P927" s="64" t="str">
        <f>Ringkasan!P926</f>
        <v/>
      </c>
      <c r="Q927" s="64" t="str">
        <f>Ringkasan!Q926</f>
        <v/>
      </c>
      <c r="R927" s="64" t="str">
        <f>Ringkasan!R926</f>
        <v/>
      </c>
      <c r="S927" s="64" t="str">
        <f>Ringkasan!S926</f>
        <v/>
      </c>
      <c r="T927" s="64" t="str">
        <f>Ringkasan!T926</f>
        <v/>
      </c>
      <c r="U927" s="64">
        <f>Ringkasan!U926</f>
        <v>23.2</v>
      </c>
      <c r="V927" s="64">
        <f>Ringkasan!V926</f>
        <v>3.02</v>
      </c>
      <c r="W927" s="64">
        <f>Ringkasan!W926</f>
        <v>23.2</v>
      </c>
      <c r="X927" s="64">
        <f>Ringkasan!X926</f>
        <v>24.18</v>
      </c>
      <c r="Y927" s="64">
        <f>Ringkasan!Y926</f>
        <v>22.3</v>
      </c>
      <c r="Z927" s="64">
        <f>Ringkasan!Z926</f>
        <v>943795</v>
      </c>
      <c r="AA927" s="64" t="str">
        <f>Ringkasan!AA926</f>
        <v>Machinery</v>
      </c>
      <c r="AB927" s="64" t="str">
        <f>Ringkasan!AB926</f>
        <v>Industrials</v>
      </c>
    </row>
    <row r="928" hidden="1">
      <c r="A928" s="64" t="str">
        <f>Ringkasan!A927</f>
        <v>INTD</v>
      </c>
      <c r="B928" s="64" t="str">
        <f>Ringkasan!B927</f>
        <v>Inter Delta Tbk</v>
      </c>
      <c r="C928" s="65">
        <f>Ringkasan!C927</f>
        <v>234</v>
      </c>
      <c r="D928" s="64" t="str">
        <f>Ringkasan!D927</f>
        <v>#N/A</v>
      </c>
      <c r="E928" s="64" t="str">
        <f>Ringkasan!E927</f>
        <v/>
      </c>
      <c r="F928" s="64" t="str">
        <f>Ringkasan!F927</f>
        <v/>
      </c>
      <c r="G928" s="64">
        <f>Ringkasan!G927</f>
        <v>0</v>
      </c>
      <c r="H928" s="19">
        <f>Ringkasan!H927</f>
        <v>-51.9</v>
      </c>
      <c r="I928" s="19">
        <f>Ringkasan!I927</f>
        <v>4.2</v>
      </c>
      <c r="J928" s="19">
        <f>Ringkasan!J927</f>
        <v>-8.1</v>
      </c>
      <c r="K928" s="19">
        <f>Ringkasan!K927</f>
        <v>-7.5</v>
      </c>
      <c r="L928" s="19">
        <f>Ringkasan!L927</f>
        <v>0.07</v>
      </c>
      <c r="M928" s="19">
        <f>Ringkasan!M927</f>
        <v>-32.1</v>
      </c>
      <c r="N928" s="64" t="str">
        <f>Ringkasan!N927</f>
        <v/>
      </c>
      <c r="O928" s="64" t="str">
        <f>Ringkasan!O927</f>
        <v/>
      </c>
      <c r="P928" s="64" t="str">
        <f>Ringkasan!P927</f>
        <v/>
      </c>
      <c r="Q928" s="64" t="str">
        <f>Ringkasan!Q927</f>
        <v/>
      </c>
      <c r="R928" s="64" t="str">
        <f>Ringkasan!R927</f>
        <v/>
      </c>
      <c r="S928" s="64" t="str">
        <f>Ringkasan!S927</f>
        <v/>
      </c>
      <c r="T928" s="64" t="str">
        <f>Ringkasan!T927</f>
        <v/>
      </c>
      <c r="U928" s="64">
        <f>Ringkasan!U927</f>
        <v>224</v>
      </c>
      <c r="V928" s="64">
        <f>Ringkasan!V927</f>
        <v>4.46</v>
      </c>
      <c r="W928" s="64">
        <f>Ringkasan!W927</f>
        <v>250</v>
      </c>
      <c r="X928" s="64">
        <f>Ringkasan!X927</f>
        <v>258</v>
      </c>
      <c r="Y928" s="64">
        <f>Ringkasan!Y927</f>
        <v>228</v>
      </c>
      <c r="Z928" s="64">
        <f>Ringkasan!Z927</f>
        <v>78600</v>
      </c>
      <c r="AA928" s="64" t="str">
        <f>Ringkasan!AA927</f>
        <v>Forestry &amp; Paper</v>
      </c>
      <c r="AB928" s="64" t="str">
        <f>Ringkasan!AB927</f>
        <v>Basic Materials</v>
      </c>
    </row>
    <row r="929" hidden="1">
      <c r="A929" s="64" t="str">
        <f>Ringkasan!A928</f>
        <v>INTP</v>
      </c>
      <c r="B929" s="64" t="str">
        <f>Ringkasan!B928</f>
        <v>Indocement Tunggal Prakarsa Tbk.</v>
      </c>
      <c r="C929" s="65">
        <f>Ringkasan!C928</f>
        <v>4110</v>
      </c>
      <c r="D929" s="64" t="str">
        <f>Ringkasan!D928</f>
        <v>#N/A</v>
      </c>
      <c r="E929" s="64" t="str">
        <f>Ringkasan!E928</f>
        <v>ESGQKEHATI</v>
      </c>
      <c r="F929" s="66">
        <f>Ringkasan!F928</f>
        <v>46356</v>
      </c>
      <c r="G929" s="64">
        <f>Ringkasan!G928</f>
        <v>13</v>
      </c>
      <c r="H929" s="19">
        <f>Ringkasan!H928</f>
        <v>7.6</v>
      </c>
      <c r="I929" s="19">
        <f>Ringkasan!I928</f>
        <v>0.74</v>
      </c>
      <c r="J929" s="19">
        <f>Ringkasan!J928</f>
        <v>9.7</v>
      </c>
      <c r="K929" s="19">
        <f>Ringkasan!K928</f>
        <v>7.2</v>
      </c>
      <c r="L929" s="19">
        <f>Ringkasan!L928</f>
        <v>0.34</v>
      </c>
      <c r="M929" s="19">
        <f>Ringkasan!M928</f>
        <v>58.6</v>
      </c>
      <c r="N929" s="64" t="str">
        <f>Ringkasan!N928</f>
        <v/>
      </c>
      <c r="O929" s="64" t="str">
        <f>Ringkasan!O928</f>
        <v/>
      </c>
      <c r="P929" s="64" t="str">
        <f>Ringkasan!P928</f>
        <v/>
      </c>
      <c r="Q929" s="64" t="str">
        <f>Ringkasan!Q928</f>
        <v/>
      </c>
      <c r="R929" s="64" t="str">
        <f>Ringkasan!R928</f>
        <v/>
      </c>
      <c r="S929" s="64" t="str">
        <f>Ringkasan!S928</f>
        <v/>
      </c>
      <c r="T929" s="64" t="str">
        <f>Ringkasan!T928</f>
        <v/>
      </c>
      <c r="U929" s="64">
        <f>Ringkasan!U928</f>
        <v>4160</v>
      </c>
      <c r="V929" s="64" t="str">
        <f>Ringkasan!V928</f>
        <v/>
      </c>
      <c r="W929" s="64">
        <f>Ringkasan!W928</f>
        <v>4190</v>
      </c>
      <c r="X929" s="64">
        <f>Ringkasan!X928</f>
        <v>4240</v>
      </c>
      <c r="Y929" s="64">
        <f>Ringkasan!Y928</f>
        <v>4090</v>
      </c>
      <c r="Z929" s="64">
        <f>Ringkasan!Z928</f>
        <v>2337500</v>
      </c>
      <c r="AA929" s="64" t="str">
        <f>Ringkasan!AA928</f>
        <v>Construction Materials</v>
      </c>
      <c r="AB929" s="64" t="str">
        <f>Ringkasan!AB928</f>
        <v>Basic Materials</v>
      </c>
    </row>
    <row r="930" hidden="1">
      <c r="A930" s="64" t="str">
        <f>Ringkasan!A929</f>
        <v>INTP</v>
      </c>
      <c r="B930" s="64" t="str">
        <f>Ringkasan!B929</f>
        <v>Indocement Tunggal Prakarsa Tbk.</v>
      </c>
      <c r="C930" s="65">
        <f>Ringkasan!C929</f>
        <v>4110</v>
      </c>
      <c r="D930" s="64" t="str">
        <f>Ringkasan!D929</f>
        <v>#N/A</v>
      </c>
      <c r="E930" s="64" t="str">
        <f>Ringkasan!E929</f>
        <v>ESGSKEHATI</v>
      </c>
      <c r="F930" s="66">
        <f>Ringkasan!F929</f>
        <v>46356</v>
      </c>
      <c r="G930" s="64">
        <f>Ringkasan!G929</f>
        <v>13</v>
      </c>
      <c r="H930" s="19">
        <f>Ringkasan!H929</f>
        <v>7.6</v>
      </c>
      <c r="I930" s="19">
        <f>Ringkasan!I929</f>
        <v>0.74</v>
      </c>
      <c r="J930" s="19">
        <f>Ringkasan!J929</f>
        <v>9.7</v>
      </c>
      <c r="K930" s="19">
        <f>Ringkasan!K929</f>
        <v>7.2</v>
      </c>
      <c r="L930" s="19">
        <f>Ringkasan!L929</f>
        <v>0.34</v>
      </c>
      <c r="M930" s="19">
        <f>Ringkasan!M929</f>
        <v>58.6</v>
      </c>
      <c r="N930" s="64" t="str">
        <f>Ringkasan!N929</f>
        <v/>
      </c>
      <c r="O930" s="64" t="str">
        <f>Ringkasan!O929</f>
        <v/>
      </c>
      <c r="P930" s="64" t="str">
        <f>Ringkasan!P929</f>
        <v/>
      </c>
      <c r="Q930" s="64" t="str">
        <f>Ringkasan!Q929</f>
        <v/>
      </c>
      <c r="R930" s="64" t="str">
        <f>Ringkasan!R929</f>
        <v/>
      </c>
      <c r="S930" s="64" t="str">
        <f>Ringkasan!S929</f>
        <v/>
      </c>
      <c r="T930" s="64" t="str">
        <f>Ringkasan!T929</f>
        <v/>
      </c>
      <c r="U930" s="64">
        <f>Ringkasan!U929</f>
        <v>4160</v>
      </c>
      <c r="V930" s="64" t="str">
        <f>Ringkasan!V929</f>
        <v/>
      </c>
      <c r="W930" s="64">
        <f>Ringkasan!W929</f>
        <v>4190</v>
      </c>
      <c r="X930" s="64">
        <f>Ringkasan!X929</f>
        <v>4240</v>
      </c>
      <c r="Y930" s="64">
        <f>Ringkasan!Y929</f>
        <v>4090</v>
      </c>
      <c r="Z930" s="64">
        <f>Ringkasan!Z929</f>
        <v>2337500</v>
      </c>
      <c r="AA930" s="64" t="str">
        <f>Ringkasan!AA929</f>
        <v>Construction Materials</v>
      </c>
      <c r="AB930" s="64" t="str">
        <f>Ringkasan!AB929</f>
        <v>Basic Materials</v>
      </c>
    </row>
    <row r="931" hidden="1">
      <c r="A931" s="64" t="str">
        <f>Ringkasan!A930</f>
        <v>INTP</v>
      </c>
      <c r="B931" s="64" t="str">
        <f>Ringkasan!B930</f>
        <v>Indocement Tunggal Prakarsa Tbk.</v>
      </c>
      <c r="C931" s="65">
        <f>Ringkasan!C930</f>
        <v>4110</v>
      </c>
      <c r="D931" s="64" t="str">
        <f>Ringkasan!D930</f>
        <v>#N/A</v>
      </c>
      <c r="E931" s="64" t="str">
        <f>Ringkasan!E930</f>
        <v>IDXQ30</v>
      </c>
      <c r="F931" s="64" t="str">
        <f>Ringkasan!F930</f>
        <v>4 Agustus 2026</v>
      </c>
      <c r="G931" s="64">
        <f>Ringkasan!G930</f>
        <v>13</v>
      </c>
      <c r="H931" s="19">
        <f>Ringkasan!H930</f>
        <v>7.6</v>
      </c>
      <c r="I931" s="19">
        <f>Ringkasan!I930</f>
        <v>0.74</v>
      </c>
      <c r="J931" s="19">
        <f>Ringkasan!J930</f>
        <v>9.7</v>
      </c>
      <c r="K931" s="19">
        <f>Ringkasan!K930</f>
        <v>7.2</v>
      </c>
      <c r="L931" s="19">
        <f>Ringkasan!L930</f>
        <v>0.34</v>
      </c>
      <c r="M931" s="19">
        <f>Ringkasan!M930</f>
        <v>58.6</v>
      </c>
      <c r="N931" s="64" t="str">
        <f>Ringkasan!N930</f>
        <v/>
      </c>
      <c r="O931" s="64" t="str">
        <f>Ringkasan!O930</f>
        <v/>
      </c>
      <c r="P931" s="64" t="str">
        <f>Ringkasan!P930</f>
        <v/>
      </c>
      <c r="Q931" s="64" t="str">
        <f>Ringkasan!Q930</f>
        <v/>
      </c>
      <c r="R931" s="64" t="str">
        <f>Ringkasan!R930</f>
        <v/>
      </c>
      <c r="S931" s="64" t="str">
        <f>Ringkasan!S930</f>
        <v/>
      </c>
      <c r="T931" s="64" t="str">
        <f>Ringkasan!T930</f>
        <v/>
      </c>
      <c r="U931" s="64">
        <f>Ringkasan!U930</f>
        <v>4160</v>
      </c>
      <c r="V931" s="64" t="str">
        <f>Ringkasan!V930</f>
        <v/>
      </c>
      <c r="W931" s="64">
        <f>Ringkasan!W930</f>
        <v>4190</v>
      </c>
      <c r="X931" s="64">
        <f>Ringkasan!X930</f>
        <v>4240</v>
      </c>
      <c r="Y931" s="64">
        <f>Ringkasan!Y930</f>
        <v>4090</v>
      </c>
      <c r="Z931" s="64">
        <f>Ringkasan!Z930</f>
        <v>2337500</v>
      </c>
      <c r="AA931" s="64" t="str">
        <f>Ringkasan!AA930</f>
        <v>Construction Materials</v>
      </c>
      <c r="AB931" s="64" t="str">
        <f>Ringkasan!AB930</f>
        <v>Basic Materials</v>
      </c>
    </row>
    <row r="932" hidden="1">
      <c r="A932" s="64" t="str">
        <f>Ringkasan!A845</f>
        <v>ICON</v>
      </c>
      <c r="B932" s="64" t="str">
        <f>Ringkasan!B845</f>
        <v>Island Concepts Indonesia Tbk.</v>
      </c>
      <c r="C932" s="65" t="str">
        <f>Ringkasan!C845</f>
        <v>#N/A</v>
      </c>
      <c r="D932" s="64" t="str">
        <f>Ringkasan!D845</f>
        <v>#N/A</v>
      </c>
      <c r="E932" s="64" t="str">
        <f>Ringkasan!E845</f>
        <v/>
      </c>
      <c r="F932" s="64" t="str">
        <f>Ringkasan!F845</f>
        <v/>
      </c>
      <c r="G932" s="64">
        <f>Ringkasan!G845</f>
        <v>0</v>
      </c>
      <c r="H932" s="19">
        <f>Ringkasan!H845</f>
        <v>30</v>
      </c>
      <c r="I932" s="19">
        <f>Ringkasan!I845</f>
        <v>0.51</v>
      </c>
      <c r="J932" s="19">
        <f>Ringkasan!J845</f>
        <v>1.7</v>
      </c>
      <c r="K932" s="19">
        <f>Ringkasan!K845</f>
        <v>1</v>
      </c>
      <c r="L932" s="19">
        <f>Ringkasan!L845</f>
        <v>0.65</v>
      </c>
      <c r="M932" s="19">
        <f>Ringkasan!M845</f>
        <v>6.4</v>
      </c>
      <c r="N932" s="64" t="str">
        <f>Ringkasan!N845</f>
        <v/>
      </c>
      <c r="O932" s="64" t="str">
        <f>Ringkasan!O845</f>
        <v/>
      </c>
      <c r="P932" s="64" t="str">
        <f>Ringkasan!P845</f>
        <v/>
      </c>
      <c r="Q932" s="64" t="str">
        <f>Ringkasan!Q845</f>
        <v/>
      </c>
      <c r="R932" s="64" t="str">
        <f>Ringkasan!R845</f>
        <v/>
      </c>
      <c r="S932" s="64" t="str">
        <f>Ringkasan!S845</f>
        <v/>
      </c>
      <c r="T932" s="64" t="str">
        <f>Ringkasan!T845</f>
        <v/>
      </c>
      <c r="U932" s="64">
        <f>Ringkasan!U845</f>
        <v>0.91</v>
      </c>
      <c r="V932" s="64">
        <f>Ringkasan!V845</f>
        <v>2.74</v>
      </c>
      <c r="W932" s="64">
        <f>Ringkasan!W845</f>
        <v>0.86</v>
      </c>
      <c r="X932" s="64">
        <f>Ringkasan!X845</f>
        <v>0.97</v>
      </c>
      <c r="Y932" s="64">
        <f>Ringkasan!Y845</f>
        <v>0.86</v>
      </c>
      <c r="Z932" s="64">
        <f>Ringkasan!Z845</f>
        <v>220743</v>
      </c>
      <c r="AA932" s="64" t="str">
        <f>Ringkasan!AA845</f>
        <v>Commercial Services</v>
      </c>
      <c r="AB932" s="64" t="str">
        <f>Ringkasan!AB845</f>
        <v>Industrials</v>
      </c>
    </row>
    <row r="933" hidden="1">
      <c r="A933" s="64" t="str">
        <f>Ringkasan!A893</f>
        <v>INDF</v>
      </c>
      <c r="B933" s="64" t="str">
        <f>Ringkasan!B893</f>
        <v>Indofood Sukses Makmur Tbk.</v>
      </c>
      <c r="C933" s="65">
        <f>Ringkasan!C893</f>
        <v>6425</v>
      </c>
      <c r="D933" s="64" t="str">
        <f>Ringkasan!D893</f>
        <v>#N/A</v>
      </c>
      <c r="E933" s="64" t="str">
        <f>Ringkasan!E893</f>
        <v>Investor33</v>
      </c>
      <c r="F933" s="66">
        <f>Ringkasan!F893</f>
        <v>46356</v>
      </c>
      <c r="G933" s="64">
        <f>Ringkasan!G893</f>
        <v>18</v>
      </c>
      <c r="H933" s="19">
        <f>Ringkasan!H893</f>
        <v>5.6</v>
      </c>
      <c r="I933" s="19">
        <f>Ringkasan!I893</f>
        <v>0.48</v>
      </c>
      <c r="J933" s="19">
        <f>Ringkasan!J893</f>
        <v>8.7</v>
      </c>
      <c r="K933" s="19">
        <f>Ringkasan!K893</f>
        <v>4.8</v>
      </c>
      <c r="L933" s="19">
        <f>Ringkasan!L893</f>
        <v>0.8</v>
      </c>
      <c r="M933" s="19">
        <f>Ringkasan!M893</f>
        <v>32.2</v>
      </c>
      <c r="N933" s="64" t="str">
        <f>Ringkasan!N893</f>
        <v/>
      </c>
      <c r="O933" s="64" t="str">
        <f>Ringkasan!O893</f>
        <v/>
      </c>
      <c r="P933" s="64" t="str">
        <f>Ringkasan!P893</f>
        <v/>
      </c>
      <c r="Q933" s="64" t="str">
        <f>Ringkasan!Q893</f>
        <v/>
      </c>
      <c r="R933" s="64" t="str">
        <f>Ringkasan!R893</f>
        <v/>
      </c>
      <c r="S933" s="64" t="str">
        <f>Ringkasan!S893</f>
        <v/>
      </c>
      <c r="T933" s="64" t="str">
        <f>Ringkasan!T893</f>
        <v/>
      </c>
      <c r="U933" s="64">
        <f>Ringkasan!U893</f>
        <v>6225</v>
      </c>
      <c r="V933" s="64">
        <f>Ringkasan!V893</f>
        <v>3.21</v>
      </c>
      <c r="W933" s="64">
        <f>Ringkasan!W893</f>
        <v>6275</v>
      </c>
      <c r="X933" s="64">
        <f>Ringkasan!X893</f>
        <v>6675</v>
      </c>
      <c r="Y933" s="64">
        <f>Ringkasan!Y893</f>
        <v>6275</v>
      </c>
      <c r="Z933" s="64">
        <f>Ringkasan!Z893</f>
        <v>11991600</v>
      </c>
      <c r="AA933" s="64" t="str">
        <f>Ringkasan!AA893</f>
        <v>Processed Foods</v>
      </c>
      <c r="AB933" s="64" t="str">
        <f>Ringkasan!AB893</f>
        <v>Consumer Non-Cyclicals</v>
      </c>
    </row>
    <row r="934" hidden="1">
      <c r="A934" s="64" t="str">
        <f>Ringkasan!A931</f>
        <v>INTP</v>
      </c>
      <c r="B934" s="64" t="str">
        <f>Ringkasan!B931</f>
        <v>Indocement Tunggal Prakarsa Tbk.</v>
      </c>
      <c r="C934" s="65">
        <f>Ringkasan!C931</f>
        <v>4110</v>
      </c>
      <c r="D934" s="64" t="str">
        <f>Ringkasan!D931</f>
        <v>#N/A</v>
      </c>
      <c r="E934" s="64" t="str">
        <f>Ringkasan!E931</f>
        <v>IDXV30</v>
      </c>
      <c r="F934" s="64" t="str">
        <f>Ringkasan!F931</f>
        <v>4 Agustus 2026</v>
      </c>
      <c r="G934" s="64">
        <f>Ringkasan!G931</f>
        <v>13</v>
      </c>
      <c r="H934" s="19">
        <f>Ringkasan!H931</f>
        <v>7.6</v>
      </c>
      <c r="I934" s="19">
        <f>Ringkasan!I931</f>
        <v>0.74</v>
      </c>
      <c r="J934" s="19">
        <f>Ringkasan!J931</f>
        <v>9.7</v>
      </c>
      <c r="K934" s="19">
        <f>Ringkasan!K931</f>
        <v>7.2</v>
      </c>
      <c r="L934" s="19">
        <f>Ringkasan!L931</f>
        <v>0.34</v>
      </c>
      <c r="M934" s="19">
        <f>Ringkasan!M931</f>
        <v>58.6</v>
      </c>
      <c r="N934" s="64" t="str">
        <f>Ringkasan!N931</f>
        <v/>
      </c>
      <c r="O934" s="64" t="str">
        <f>Ringkasan!O931</f>
        <v/>
      </c>
      <c r="P934" s="64" t="str">
        <f>Ringkasan!P931</f>
        <v/>
      </c>
      <c r="Q934" s="64" t="str">
        <f>Ringkasan!Q931</f>
        <v/>
      </c>
      <c r="R934" s="64" t="str">
        <f>Ringkasan!R931</f>
        <v/>
      </c>
      <c r="S934" s="64" t="str">
        <f>Ringkasan!S931</f>
        <v/>
      </c>
      <c r="T934" s="64" t="str">
        <f>Ringkasan!T931</f>
        <v/>
      </c>
      <c r="U934" s="64">
        <f>Ringkasan!U931</f>
        <v>4160</v>
      </c>
      <c r="V934" s="64" t="str">
        <f>Ringkasan!V931</f>
        <v/>
      </c>
      <c r="W934" s="64">
        <f>Ringkasan!W931</f>
        <v>4190</v>
      </c>
      <c r="X934" s="64">
        <f>Ringkasan!X931</f>
        <v>4240</v>
      </c>
      <c r="Y934" s="64">
        <f>Ringkasan!Y931</f>
        <v>4090</v>
      </c>
      <c r="Z934" s="64">
        <f>Ringkasan!Z931</f>
        <v>2337500</v>
      </c>
      <c r="AA934" s="64" t="str">
        <f>Ringkasan!AA931</f>
        <v>Construction Materials</v>
      </c>
      <c r="AB934" s="64" t="str">
        <f>Ringkasan!AB931</f>
        <v>Basic Materials</v>
      </c>
    </row>
    <row r="935" hidden="1">
      <c r="A935" s="64" t="str">
        <f>Ringkasan!A1538</f>
        <v>SCMA</v>
      </c>
      <c r="B935" s="64" t="str">
        <f>Ringkasan!B1538</f>
        <v>Surya Citra Media Tbk.</v>
      </c>
      <c r="C935" s="61">
        <f>Ringkasan!C1538</f>
        <v>200</v>
      </c>
      <c r="D935" s="60" t="str">
        <f>Ringkasan!D1538</f>
        <v>#N/A</v>
      </c>
      <c r="E935" s="60" t="str">
        <f>Ringkasan!E1538</f>
        <v>IDXHIDIV20</v>
      </c>
      <c r="F935" s="60" t="str">
        <f>Ringkasan!F1538</f>
        <v>2 Februari 2027</v>
      </c>
      <c r="G935" s="60">
        <f>Ringkasan!G1538</f>
        <v>11</v>
      </c>
      <c r="H935" s="62">
        <f>Ringkasan!H1538</f>
        <v>18.1</v>
      </c>
      <c r="I935" s="62">
        <f>Ringkasan!I1538</f>
        <v>2.1</v>
      </c>
      <c r="J935" s="62">
        <f>Ringkasan!J1538</f>
        <v>11.7</v>
      </c>
      <c r="K935" s="62">
        <f>Ringkasan!K1538</f>
        <v>9</v>
      </c>
      <c r="L935" s="62">
        <f>Ringkasan!L1538</f>
        <v>0.3</v>
      </c>
      <c r="M935" s="62">
        <f>Ringkasan!M1538</f>
        <v>49.6</v>
      </c>
      <c r="N935" s="60" t="str">
        <f>Ringkasan!N1538</f>
        <v/>
      </c>
      <c r="O935" s="60" t="str">
        <f>Ringkasan!O1538</f>
        <v/>
      </c>
      <c r="P935" s="60" t="str">
        <f>Ringkasan!P1538</f>
        <v/>
      </c>
      <c r="Q935" s="60" t="str">
        <f>Ringkasan!Q1538</f>
        <v/>
      </c>
      <c r="R935" s="60" t="str">
        <f>Ringkasan!R1538</f>
        <v/>
      </c>
      <c r="S935" s="60" t="str">
        <f>Ringkasan!S1538</f>
        <v/>
      </c>
      <c r="T935" s="60" t="str">
        <f>Ringkasan!T1538</f>
        <v/>
      </c>
      <c r="U935" s="60">
        <f>Ringkasan!U1538</f>
        <v>194</v>
      </c>
      <c r="V935" s="60">
        <f>Ringkasan!V1538</f>
        <v>3.09</v>
      </c>
      <c r="W935" s="60">
        <f>Ringkasan!W1538</f>
        <v>198</v>
      </c>
      <c r="X935" s="60">
        <f>Ringkasan!X1538</f>
        <v>206</v>
      </c>
      <c r="Y935" s="60">
        <f>Ringkasan!Y1538</f>
        <v>196</v>
      </c>
      <c r="Z935" s="60">
        <f>Ringkasan!Z1538</f>
        <v>35260000</v>
      </c>
      <c r="AA935" s="60" t="str">
        <f>Ringkasan!AA1538</f>
        <v>Media</v>
      </c>
      <c r="AB935" s="64" t="str">
        <f>Ringkasan!AB1538</f>
        <v>Consumer Cyclicals</v>
      </c>
    </row>
    <row r="936" hidden="1">
      <c r="A936" s="64" t="str">
        <f>Ringkasan!A1539</f>
        <v>SCMA</v>
      </c>
      <c r="B936" s="64" t="str">
        <f>Ringkasan!B1539</f>
        <v>Surya Citra Media Tbk.</v>
      </c>
      <c r="C936" s="61">
        <f>Ringkasan!C1539</f>
        <v>200</v>
      </c>
      <c r="D936" s="60" t="str">
        <f>Ringkasan!D1539</f>
        <v>#N/A</v>
      </c>
      <c r="E936" s="60" t="str">
        <f>Ringkasan!E1539</f>
        <v>IDXG30</v>
      </c>
      <c r="F936" s="60" t="str">
        <f>Ringkasan!F1539</f>
        <v>4 Agustus 2026</v>
      </c>
      <c r="G936" s="60">
        <f>Ringkasan!G1539</f>
        <v>11</v>
      </c>
      <c r="H936" s="62">
        <f>Ringkasan!H1539</f>
        <v>18.1</v>
      </c>
      <c r="I936" s="62">
        <f>Ringkasan!I1539</f>
        <v>2.1</v>
      </c>
      <c r="J936" s="62">
        <f>Ringkasan!J1539</f>
        <v>11.7</v>
      </c>
      <c r="K936" s="62">
        <f>Ringkasan!K1539</f>
        <v>9</v>
      </c>
      <c r="L936" s="62">
        <f>Ringkasan!L1539</f>
        <v>0.3</v>
      </c>
      <c r="M936" s="62">
        <f>Ringkasan!M1539</f>
        <v>49.6</v>
      </c>
      <c r="N936" s="60" t="str">
        <f>Ringkasan!N1539</f>
        <v/>
      </c>
      <c r="O936" s="60" t="str">
        <f>Ringkasan!O1539</f>
        <v/>
      </c>
      <c r="P936" s="60" t="str">
        <f>Ringkasan!P1539</f>
        <v/>
      </c>
      <c r="Q936" s="60" t="str">
        <f>Ringkasan!Q1539</f>
        <v/>
      </c>
      <c r="R936" s="60" t="str">
        <f>Ringkasan!R1539</f>
        <v/>
      </c>
      <c r="S936" s="60" t="str">
        <f>Ringkasan!S1539</f>
        <v/>
      </c>
      <c r="T936" s="60" t="str">
        <f>Ringkasan!T1539</f>
        <v/>
      </c>
      <c r="U936" s="60">
        <f>Ringkasan!U1539</f>
        <v>194</v>
      </c>
      <c r="V936" s="60">
        <f>Ringkasan!V1539</f>
        <v>3.09</v>
      </c>
      <c r="W936" s="60">
        <f>Ringkasan!W1539</f>
        <v>198</v>
      </c>
      <c r="X936" s="60">
        <f>Ringkasan!X1539</f>
        <v>206</v>
      </c>
      <c r="Y936" s="60">
        <f>Ringkasan!Y1539</f>
        <v>196</v>
      </c>
      <c r="Z936" s="60">
        <f>Ringkasan!Z1539</f>
        <v>35260000</v>
      </c>
      <c r="AA936" s="60" t="str">
        <f>Ringkasan!AA1539</f>
        <v>Media</v>
      </c>
      <c r="AB936" s="64" t="str">
        <f>Ringkasan!AB1539</f>
        <v>Consumer Cyclicals</v>
      </c>
    </row>
    <row r="937" hidden="1">
      <c r="A937" s="64" t="str">
        <f>Ringkasan!A1540</f>
        <v>SCMA</v>
      </c>
      <c r="B937" s="64" t="str">
        <f>Ringkasan!B1540</f>
        <v>Surya Citra Media Tbk.</v>
      </c>
      <c r="C937" s="61">
        <f>Ringkasan!C1540</f>
        <v>200</v>
      </c>
      <c r="D937" s="60" t="str">
        <f>Ringkasan!D1540</f>
        <v>#N/A</v>
      </c>
      <c r="E937" s="60" t="str">
        <f>Ringkasan!E1540</f>
        <v>ECONOMIC30</v>
      </c>
      <c r="F937" s="60" t="str">
        <f>Ringkasan!F1540</f>
        <v>31 Agustus 2026</v>
      </c>
      <c r="G937" s="60">
        <f>Ringkasan!G1540</f>
        <v>11</v>
      </c>
      <c r="H937" s="62">
        <f>Ringkasan!H1540</f>
        <v>18.1</v>
      </c>
      <c r="I937" s="62">
        <f>Ringkasan!I1540</f>
        <v>2.1</v>
      </c>
      <c r="J937" s="62">
        <f>Ringkasan!J1540</f>
        <v>11.7</v>
      </c>
      <c r="K937" s="62">
        <f>Ringkasan!K1540</f>
        <v>9</v>
      </c>
      <c r="L937" s="62">
        <f>Ringkasan!L1540</f>
        <v>0.3</v>
      </c>
      <c r="M937" s="62">
        <f>Ringkasan!M1540</f>
        <v>49.6</v>
      </c>
      <c r="N937" s="60" t="str">
        <f>Ringkasan!N1540</f>
        <v/>
      </c>
      <c r="O937" s="60" t="str">
        <f>Ringkasan!O1540</f>
        <v/>
      </c>
      <c r="P937" s="60" t="str">
        <f>Ringkasan!P1540</f>
        <v/>
      </c>
      <c r="Q937" s="60" t="str">
        <f>Ringkasan!Q1540</f>
        <v/>
      </c>
      <c r="R937" s="60" t="str">
        <f>Ringkasan!R1540</f>
        <v/>
      </c>
      <c r="S937" s="60" t="str">
        <f>Ringkasan!S1540</f>
        <v/>
      </c>
      <c r="T937" s="60" t="str">
        <f>Ringkasan!T1540</f>
        <v/>
      </c>
      <c r="U937" s="60">
        <f>Ringkasan!U1540</f>
        <v>194</v>
      </c>
      <c r="V937" s="60">
        <f>Ringkasan!V1540</f>
        <v>3.09</v>
      </c>
      <c r="W937" s="60">
        <f>Ringkasan!W1540</f>
        <v>198</v>
      </c>
      <c r="X937" s="60">
        <f>Ringkasan!X1540</f>
        <v>206</v>
      </c>
      <c r="Y937" s="60">
        <f>Ringkasan!Y1540</f>
        <v>196</v>
      </c>
      <c r="Z937" s="60">
        <f>Ringkasan!Z1540</f>
        <v>35260000</v>
      </c>
      <c r="AA937" s="60" t="str">
        <f>Ringkasan!AA1540</f>
        <v>Media</v>
      </c>
      <c r="AB937" s="64" t="str">
        <f>Ringkasan!AB1540</f>
        <v>Consumer Cyclicals</v>
      </c>
    </row>
    <row r="938" hidden="1">
      <c r="A938" s="64" t="str">
        <f>Ringkasan!A1541</f>
        <v>SCMA</v>
      </c>
      <c r="B938" s="64" t="str">
        <f>Ringkasan!B1541</f>
        <v>Surya Citra Media Tbk.</v>
      </c>
      <c r="C938" s="61">
        <f>Ringkasan!C1541</f>
        <v>200</v>
      </c>
      <c r="D938" s="60" t="str">
        <f>Ringkasan!D1541</f>
        <v>#N/A</v>
      </c>
      <c r="E938" s="60" t="str">
        <f>Ringkasan!E1541</f>
        <v>IDX80</v>
      </c>
      <c r="F938" s="60" t="str">
        <f>Ringkasan!F1541</f>
        <v>31 Juli 2026</v>
      </c>
      <c r="G938" s="60">
        <f>Ringkasan!G1541</f>
        <v>11</v>
      </c>
      <c r="H938" s="62">
        <f>Ringkasan!H1541</f>
        <v>18.1</v>
      </c>
      <c r="I938" s="62">
        <f>Ringkasan!I1541</f>
        <v>2.1</v>
      </c>
      <c r="J938" s="62">
        <f>Ringkasan!J1541</f>
        <v>11.7</v>
      </c>
      <c r="K938" s="62">
        <f>Ringkasan!K1541</f>
        <v>9</v>
      </c>
      <c r="L938" s="62">
        <f>Ringkasan!L1541</f>
        <v>0.3</v>
      </c>
      <c r="M938" s="62">
        <f>Ringkasan!M1541</f>
        <v>49.6</v>
      </c>
      <c r="N938" s="60" t="str">
        <f>Ringkasan!N1541</f>
        <v/>
      </c>
      <c r="O938" s="60" t="str">
        <f>Ringkasan!O1541</f>
        <v/>
      </c>
      <c r="P938" s="60" t="str">
        <f>Ringkasan!P1541</f>
        <v/>
      </c>
      <c r="Q938" s="60" t="str">
        <f>Ringkasan!Q1541</f>
        <v/>
      </c>
      <c r="R938" s="60" t="str">
        <f>Ringkasan!R1541</f>
        <v/>
      </c>
      <c r="S938" s="60" t="str">
        <f>Ringkasan!S1541</f>
        <v/>
      </c>
      <c r="T938" s="60" t="str">
        <f>Ringkasan!T1541</f>
        <v/>
      </c>
      <c r="U938" s="60">
        <f>Ringkasan!U1541</f>
        <v>194</v>
      </c>
      <c r="V938" s="60">
        <f>Ringkasan!V1541</f>
        <v>3.09</v>
      </c>
      <c r="W938" s="60">
        <f>Ringkasan!W1541</f>
        <v>198</v>
      </c>
      <c r="X938" s="60">
        <f>Ringkasan!X1541</f>
        <v>206</v>
      </c>
      <c r="Y938" s="60">
        <f>Ringkasan!Y1541</f>
        <v>196</v>
      </c>
      <c r="Z938" s="60">
        <f>Ringkasan!Z1541</f>
        <v>35260000</v>
      </c>
      <c r="AA938" s="60" t="str">
        <f>Ringkasan!AA1541</f>
        <v>Media</v>
      </c>
      <c r="AB938" s="64" t="str">
        <f>Ringkasan!AB1541</f>
        <v>Consumer Cyclicals</v>
      </c>
    </row>
    <row r="939" hidden="1">
      <c r="A939" s="64" t="str">
        <f>Ringkasan!A1542</f>
        <v>SCMA</v>
      </c>
      <c r="B939" s="64" t="str">
        <f>Ringkasan!B1542</f>
        <v>Surya Citra Media Tbk.</v>
      </c>
      <c r="C939" s="61">
        <f>Ringkasan!C1542</f>
        <v>200</v>
      </c>
      <c r="D939" s="60" t="str">
        <f>Ringkasan!D1542</f>
        <v>#N/A</v>
      </c>
      <c r="E939" s="60" t="str">
        <f>Ringkasan!E1542</f>
        <v>Kompas100</v>
      </c>
      <c r="F939" s="60" t="str">
        <f>Ringkasan!F1542</f>
        <v>31 Juli 2026</v>
      </c>
      <c r="G939" s="60">
        <f>Ringkasan!G1542</f>
        <v>11</v>
      </c>
      <c r="H939" s="62">
        <f>Ringkasan!H1542</f>
        <v>18.1</v>
      </c>
      <c r="I939" s="62">
        <f>Ringkasan!I1542</f>
        <v>2.1</v>
      </c>
      <c r="J939" s="62">
        <f>Ringkasan!J1542</f>
        <v>11.7</v>
      </c>
      <c r="K939" s="62">
        <f>Ringkasan!K1542</f>
        <v>9</v>
      </c>
      <c r="L939" s="62">
        <f>Ringkasan!L1542</f>
        <v>0.3</v>
      </c>
      <c r="M939" s="62">
        <f>Ringkasan!M1542</f>
        <v>49.6</v>
      </c>
      <c r="N939" s="60" t="str">
        <f>Ringkasan!N1542</f>
        <v/>
      </c>
      <c r="O939" s="60" t="str">
        <f>Ringkasan!O1542</f>
        <v/>
      </c>
      <c r="P939" s="60" t="str">
        <f>Ringkasan!P1542</f>
        <v/>
      </c>
      <c r="Q939" s="60" t="str">
        <f>Ringkasan!Q1542</f>
        <v/>
      </c>
      <c r="R939" s="60" t="str">
        <f>Ringkasan!R1542</f>
        <v/>
      </c>
      <c r="S939" s="60" t="str">
        <f>Ringkasan!S1542</f>
        <v/>
      </c>
      <c r="T939" s="60" t="str">
        <f>Ringkasan!T1542</f>
        <v/>
      </c>
      <c r="U939" s="60">
        <f>Ringkasan!U1542</f>
        <v>194</v>
      </c>
      <c r="V939" s="60">
        <f>Ringkasan!V1542</f>
        <v>3.09</v>
      </c>
      <c r="W939" s="60">
        <f>Ringkasan!W1542</f>
        <v>198</v>
      </c>
      <c r="X939" s="60">
        <f>Ringkasan!X1542</f>
        <v>206</v>
      </c>
      <c r="Y939" s="60">
        <f>Ringkasan!Y1542</f>
        <v>196</v>
      </c>
      <c r="Z939" s="60">
        <f>Ringkasan!Z1542</f>
        <v>35260000</v>
      </c>
      <c r="AA939" s="60" t="str">
        <f>Ringkasan!AA1542</f>
        <v>Media</v>
      </c>
      <c r="AB939" s="64" t="str">
        <f>Ringkasan!AB1542</f>
        <v>Consumer Cyclicals</v>
      </c>
    </row>
    <row r="940" hidden="1">
      <c r="A940" s="64" t="str">
        <f>Ringkasan!A1543</f>
        <v>SCMA</v>
      </c>
      <c r="B940" s="64" t="str">
        <f>Ringkasan!B1543</f>
        <v>Surya Citra Media Tbk.</v>
      </c>
      <c r="C940" s="61">
        <f>Ringkasan!C1543</f>
        <v>200</v>
      </c>
      <c r="D940" s="60" t="str">
        <f>Ringkasan!D1543</f>
        <v>#N/A</v>
      </c>
      <c r="E940" s="60" t="str">
        <f>Ringkasan!E1543</f>
        <v>LQ45</v>
      </c>
      <c r="F940" s="60" t="str">
        <f>Ringkasan!F1543</f>
        <v>31 Juli 2026</v>
      </c>
      <c r="G940" s="60">
        <f>Ringkasan!G1543</f>
        <v>11</v>
      </c>
      <c r="H940" s="62">
        <f>Ringkasan!H1543</f>
        <v>18.1</v>
      </c>
      <c r="I940" s="62">
        <f>Ringkasan!I1543</f>
        <v>2.1</v>
      </c>
      <c r="J940" s="62">
        <f>Ringkasan!J1543</f>
        <v>11.7</v>
      </c>
      <c r="K940" s="62">
        <f>Ringkasan!K1543</f>
        <v>9</v>
      </c>
      <c r="L940" s="62">
        <f>Ringkasan!L1543</f>
        <v>0.3</v>
      </c>
      <c r="M940" s="62">
        <f>Ringkasan!M1543</f>
        <v>49.6</v>
      </c>
      <c r="N940" s="60" t="str">
        <f>Ringkasan!N1543</f>
        <v/>
      </c>
      <c r="O940" s="60" t="str">
        <f>Ringkasan!O1543</f>
        <v/>
      </c>
      <c r="P940" s="60" t="str">
        <f>Ringkasan!P1543</f>
        <v/>
      </c>
      <c r="Q940" s="60" t="str">
        <f>Ringkasan!Q1543</f>
        <v/>
      </c>
      <c r="R940" s="60" t="str">
        <f>Ringkasan!R1543</f>
        <v/>
      </c>
      <c r="S940" s="60" t="str">
        <f>Ringkasan!S1543</f>
        <v/>
      </c>
      <c r="T940" s="60" t="str">
        <f>Ringkasan!T1543</f>
        <v/>
      </c>
      <c r="U940" s="60">
        <f>Ringkasan!U1543</f>
        <v>194</v>
      </c>
      <c r="V940" s="60">
        <f>Ringkasan!V1543</f>
        <v>3.09</v>
      </c>
      <c r="W940" s="60">
        <f>Ringkasan!W1543</f>
        <v>198</v>
      </c>
      <c r="X940" s="60">
        <f>Ringkasan!X1543</f>
        <v>206</v>
      </c>
      <c r="Y940" s="60">
        <f>Ringkasan!Y1543</f>
        <v>196</v>
      </c>
      <c r="Z940" s="60">
        <f>Ringkasan!Z1543</f>
        <v>35260000</v>
      </c>
      <c r="AA940" s="60" t="str">
        <f>Ringkasan!AA1543</f>
        <v>Media</v>
      </c>
      <c r="AB940" s="64" t="str">
        <f>Ringkasan!AB1543</f>
        <v>Consumer Cyclicals</v>
      </c>
    </row>
    <row r="941" hidden="1">
      <c r="A941" s="64" t="str">
        <f>Ringkasan!A1544</f>
        <v>SCMA</v>
      </c>
      <c r="B941" s="64" t="str">
        <f>Ringkasan!B1544</f>
        <v>Surya Citra Media Tbk.</v>
      </c>
      <c r="C941" s="61">
        <f>Ringkasan!C1544</f>
        <v>200</v>
      </c>
      <c r="D941" s="60" t="str">
        <f>Ringkasan!D1544</f>
        <v>#N/A</v>
      </c>
      <c r="E941" s="60" t="str">
        <f>Ringkasan!E1544</f>
        <v>IDXESGL</v>
      </c>
      <c r="F941" s="60" t="str">
        <f>Ringkasan!F1544</f>
        <v>30 Oktober 2026</v>
      </c>
      <c r="G941" s="60">
        <f>Ringkasan!G1544</f>
        <v>11</v>
      </c>
      <c r="H941" s="62">
        <f>Ringkasan!H1544</f>
        <v>18.1</v>
      </c>
      <c r="I941" s="62">
        <f>Ringkasan!I1544</f>
        <v>2.1</v>
      </c>
      <c r="J941" s="62">
        <f>Ringkasan!J1544</f>
        <v>11.7</v>
      </c>
      <c r="K941" s="62">
        <f>Ringkasan!K1544</f>
        <v>9</v>
      </c>
      <c r="L941" s="62">
        <f>Ringkasan!L1544</f>
        <v>0.3</v>
      </c>
      <c r="M941" s="62">
        <f>Ringkasan!M1544</f>
        <v>49.6</v>
      </c>
      <c r="N941" s="60" t="str">
        <f>Ringkasan!N1544</f>
        <v/>
      </c>
      <c r="O941" s="60" t="str">
        <f>Ringkasan!O1544</f>
        <v/>
      </c>
      <c r="P941" s="60" t="str">
        <f>Ringkasan!P1544</f>
        <v/>
      </c>
      <c r="Q941" s="60" t="str">
        <f>Ringkasan!Q1544</f>
        <v/>
      </c>
      <c r="R941" s="60" t="str">
        <f>Ringkasan!R1544</f>
        <v/>
      </c>
      <c r="S941" s="60" t="str">
        <f>Ringkasan!S1544</f>
        <v/>
      </c>
      <c r="T941" s="60" t="str">
        <f>Ringkasan!T1544</f>
        <v/>
      </c>
      <c r="U941" s="60">
        <f>Ringkasan!U1544</f>
        <v>194</v>
      </c>
      <c r="V941" s="60">
        <f>Ringkasan!V1544</f>
        <v>3.09</v>
      </c>
      <c r="W941" s="60">
        <f>Ringkasan!W1544</f>
        <v>198</v>
      </c>
      <c r="X941" s="60">
        <f>Ringkasan!X1544</f>
        <v>206</v>
      </c>
      <c r="Y941" s="60">
        <f>Ringkasan!Y1544</f>
        <v>196</v>
      </c>
      <c r="Z941" s="60">
        <f>Ringkasan!Z1544</f>
        <v>35260000</v>
      </c>
      <c r="AA941" s="60" t="str">
        <f>Ringkasan!AA1544</f>
        <v>Media</v>
      </c>
      <c r="AB941" s="64" t="str">
        <f>Ringkasan!AB1544</f>
        <v>Consumer Cyclicals</v>
      </c>
    </row>
    <row r="942" hidden="1">
      <c r="A942" s="64" t="str">
        <f>Ringkasan!A1545</f>
        <v>SCMA</v>
      </c>
      <c r="B942" s="64" t="str">
        <f>Ringkasan!B1545</f>
        <v>Surya Citra Media Tbk.</v>
      </c>
      <c r="C942" s="61">
        <f>Ringkasan!C1545</f>
        <v>200</v>
      </c>
      <c r="D942" s="60" t="str">
        <f>Ringkasan!D1545</f>
        <v>#N/A</v>
      </c>
      <c r="E942" s="60" t="str">
        <f>Ringkasan!E1545</f>
        <v>IDXSMC-LIQ</v>
      </c>
      <c r="F942" s="60" t="str">
        <f>Ringkasan!F1545</f>
        <v>4 Agustus 2026</v>
      </c>
      <c r="G942" s="60">
        <f>Ringkasan!G1545</f>
        <v>11</v>
      </c>
      <c r="H942" s="62">
        <f>Ringkasan!H1545</f>
        <v>18.1</v>
      </c>
      <c r="I942" s="62">
        <f>Ringkasan!I1545</f>
        <v>2.1</v>
      </c>
      <c r="J942" s="62">
        <f>Ringkasan!J1545</f>
        <v>11.7</v>
      </c>
      <c r="K942" s="62">
        <f>Ringkasan!K1545</f>
        <v>9</v>
      </c>
      <c r="L942" s="62">
        <f>Ringkasan!L1545</f>
        <v>0.3</v>
      </c>
      <c r="M942" s="62">
        <f>Ringkasan!M1545</f>
        <v>49.6</v>
      </c>
      <c r="N942" s="60" t="str">
        <f>Ringkasan!N1545</f>
        <v/>
      </c>
      <c r="O942" s="60" t="str">
        <f>Ringkasan!O1545</f>
        <v/>
      </c>
      <c r="P942" s="60" t="str">
        <f>Ringkasan!P1545</f>
        <v/>
      </c>
      <c r="Q942" s="60" t="str">
        <f>Ringkasan!Q1545</f>
        <v/>
      </c>
      <c r="R942" s="60" t="str">
        <f>Ringkasan!R1545</f>
        <v/>
      </c>
      <c r="S942" s="60" t="str">
        <f>Ringkasan!S1545</f>
        <v/>
      </c>
      <c r="T942" s="60" t="str">
        <f>Ringkasan!T1545</f>
        <v/>
      </c>
      <c r="U942" s="60">
        <f>Ringkasan!U1545</f>
        <v>194</v>
      </c>
      <c r="V942" s="60">
        <f>Ringkasan!V1545</f>
        <v>3.09</v>
      </c>
      <c r="W942" s="60">
        <f>Ringkasan!W1545</f>
        <v>198</v>
      </c>
      <c r="X942" s="60">
        <f>Ringkasan!X1545</f>
        <v>206</v>
      </c>
      <c r="Y942" s="60">
        <f>Ringkasan!Y1545</f>
        <v>196</v>
      </c>
      <c r="Z942" s="60">
        <f>Ringkasan!Z1545</f>
        <v>35260000</v>
      </c>
      <c r="AA942" s="60" t="str">
        <f>Ringkasan!AA1545</f>
        <v>Media</v>
      </c>
      <c r="AB942" s="64" t="str">
        <f>Ringkasan!AB1545</f>
        <v>Consumer Cyclicals</v>
      </c>
    </row>
    <row r="943" hidden="1">
      <c r="A943" s="64" t="str">
        <f>Ringkasan!A1546</f>
        <v>SCNP</v>
      </c>
      <c r="B943" s="64" t="str">
        <f>Ringkasan!B1546</f>
        <v>Selaras Citra Nusantara Perkasa Tbk.</v>
      </c>
      <c r="C943" s="61">
        <f>Ringkasan!C1546</f>
        <v>142</v>
      </c>
      <c r="D943" s="60" t="str">
        <f>Ringkasan!D1546</f>
        <v>#N/A</v>
      </c>
      <c r="E943" s="60" t="str">
        <f>Ringkasan!E1546</f>
        <v/>
      </c>
      <c r="F943" s="60" t="str">
        <f>Ringkasan!F1546</f>
        <v/>
      </c>
      <c r="G943" s="60">
        <f>Ringkasan!G1546</f>
        <v>0</v>
      </c>
      <c r="H943" s="62">
        <f>Ringkasan!H1546</f>
        <v>27.6</v>
      </c>
      <c r="I943" s="62">
        <f>Ringkasan!I1546</f>
        <v>1.1</v>
      </c>
      <c r="J943" s="62">
        <f>Ringkasan!J1546</f>
        <v>4</v>
      </c>
      <c r="K943" s="62">
        <f>Ringkasan!K1546</f>
        <v>3.2</v>
      </c>
      <c r="L943" s="62">
        <f>Ringkasan!L1546</f>
        <v>0.26</v>
      </c>
      <c r="M943" s="62">
        <f>Ringkasan!M1546</f>
        <v>20.1</v>
      </c>
      <c r="N943" s="60" t="str">
        <f>Ringkasan!N1546</f>
        <v/>
      </c>
      <c r="O943" s="60" t="str">
        <f>Ringkasan!O1546</f>
        <v/>
      </c>
      <c r="P943" s="60" t="str">
        <f>Ringkasan!P1546</f>
        <v/>
      </c>
      <c r="Q943" s="60" t="str">
        <f>Ringkasan!Q1546</f>
        <v/>
      </c>
      <c r="R943" s="60" t="str">
        <f>Ringkasan!R1546</f>
        <v/>
      </c>
      <c r="S943" s="60" t="str">
        <f>Ringkasan!S1546</f>
        <v/>
      </c>
      <c r="T943" s="60" t="str">
        <f>Ringkasan!T1546</f>
        <v/>
      </c>
      <c r="U943" s="60">
        <f>Ringkasan!U1546</f>
        <v>140</v>
      </c>
      <c r="V943" s="60">
        <f>Ringkasan!V1546</f>
        <v>1.43</v>
      </c>
      <c r="W943" s="60">
        <f>Ringkasan!W1546</f>
        <v>140</v>
      </c>
      <c r="X943" s="60" t="str">
        <f>Ringkasan!X1546</f>
        <v/>
      </c>
      <c r="Y943" s="60">
        <f>Ringkasan!Y1546</f>
        <v>139</v>
      </c>
      <c r="Z943" s="60">
        <f>Ringkasan!Z1546</f>
        <v>279600</v>
      </c>
      <c r="AA943" s="60" t="str">
        <f>Ringkasan!AA1546</f>
        <v>Household Goods</v>
      </c>
      <c r="AB943" s="64" t="str">
        <f>Ringkasan!AB1546</f>
        <v>Consumer Cyclicals</v>
      </c>
    </row>
    <row r="944" hidden="1">
      <c r="A944" s="64" t="str">
        <f>Ringkasan!A1015</f>
        <v>JSMR</v>
      </c>
      <c r="B944" s="64" t="str">
        <f>Ringkasan!B1015</f>
        <v>Jasa Marga (Persero) Tbk.</v>
      </c>
      <c r="C944" s="65">
        <f>Ringkasan!C1015</f>
        <v>2600</v>
      </c>
      <c r="D944" s="64" t="str">
        <f>Ringkasan!D1015</f>
        <v>#N/A</v>
      </c>
      <c r="E944" s="64" t="str">
        <f>Ringkasan!E1015</f>
        <v>IDXV30</v>
      </c>
      <c r="F944" s="64" t="str">
        <f>Ringkasan!F1015</f>
        <v>4 Agustus 2026</v>
      </c>
      <c r="G944" s="64">
        <f>Ringkasan!G1015</f>
        <v>17</v>
      </c>
      <c r="H944" s="19">
        <f>Ringkasan!H1015</f>
        <v>6.2</v>
      </c>
      <c r="I944" s="19">
        <f>Ringkasan!I1015</f>
        <v>0.34</v>
      </c>
      <c r="J944" s="19">
        <f>Ringkasan!J1015</f>
        <v>5.5</v>
      </c>
      <c r="K944" s="19">
        <f>Ringkasan!K1015</f>
        <v>2.2</v>
      </c>
      <c r="L944" s="19">
        <f>Ringkasan!L1015</f>
        <v>1.5</v>
      </c>
      <c r="M944" s="19">
        <f>Ringkasan!M1015</f>
        <v>54.4</v>
      </c>
      <c r="N944" s="64" t="str">
        <f>Ringkasan!N1015</f>
        <v/>
      </c>
      <c r="O944" s="64" t="str">
        <f>Ringkasan!O1015</f>
        <v/>
      </c>
      <c r="P944" s="64" t="str">
        <f>Ringkasan!P1015</f>
        <v/>
      </c>
      <c r="Q944" s="64" t="str">
        <f>Ringkasan!Q1015</f>
        <v/>
      </c>
      <c r="R944" s="64" t="str">
        <f>Ringkasan!R1015</f>
        <v/>
      </c>
      <c r="S944" s="64" t="str">
        <f>Ringkasan!S1015</f>
        <v/>
      </c>
      <c r="T944" s="64" t="str">
        <f>Ringkasan!T1015</f>
        <v/>
      </c>
      <c r="U944" s="64">
        <f>Ringkasan!U1015</f>
        <v>2620</v>
      </c>
      <c r="V944" s="64">
        <f>Ringkasan!V1015</f>
        <v>-0.76</v>
      </c>
      <c r="W944" s="64">
        <f>Ringkasan!W1015</f>
        <v>2630</v>
      </c>
      <c r="X944" s="64">
        <f>Ringkasan!X1015</f>
        <v>2650</v>
      </c>
      <c r="Y944" s="64">
        <f>Ringkasan!Y1015</f>
        <v>2600</v>
      </c>
      <c r="Z944" s="64">
        <f>Ringkasan!Z1015</f>
        <v>9670400</v>
      </c>
      <c r="AA944" s="64" t="str">
        <f>Ringkasan!AA1015</f>
        <v>Transport Infrastructure Operator</v>
      </c>
      <c r="AB944" s="64" t="str">
        <f>Ringkasan!AB1015</f>
        <v>Infrastructures</v>
      </c>
    </row>
    <row r="945" hidden="1">
      <c r="A945" s="64" t="str">
        <f>Ringkasan!A1042</f>
        <v>KIJA</v>
      </c>
      <c r="B945" s="64" t="str">
        <f>Ringkasan!B1042</f>
        <v>Kawasan Industri Jababeka Tbk.</v>
      </c>
      <c r="C945" s="67">
        <f>Ringkasan!C1042</f>
        <v>116</v>
      </c>
      <c r="D945" s="22" t="str">
        <f>Ringkasan!D1042</f>
        <v>#N/A</v>
      </c>
      <c r="E945" s="64" t="str">
        <f>Ringkasan!E1042</f>
        <v>JII70</v>
      </c>
      <c r="F945" s="66">
        <f>Ringkasan!F1042</f>
        <v>46356</v>
      </c>
      <c r="G945" s="64">
        <f>Ringkasan!G1042</f>
        <v>5</v>
      </c>
      <c r="H945" s="19">
        <f>Ringkasan!H1042</f>
        <v>5.9</v>
      </c>
      <c r="I945" s="19">
        <f>Ringkasan!I1042</f>
        <v>0.31</v>
      </c>
      <c r="J945" s="19">
        <f>Ringkasan!J1042</f>
        <v>5.3</v>
      </c>
      <c r="K945" s="19">
        <f>Ringkasan!K1042</f>
        <v>2.9</v>
      </c>
      <c r="L945" s="19">
        <f>Ringkasan!L1042</f>
        <v>0.85</v>
      </c>
      <c r="M945" s="19">
        <f>Ringkasan!M1042</f>
        <v>36.7</v>
      </c>
      <c r="N945" s="64" t="str">
        <f>Ringkasan!N1042</f>
        <v/>
      </c>
      <c r="O945" s="64" t="str">
        <f>Ringkasan!O1042</f>
        <v/>
      </c>
      <c r="P945" s="64" t="str">
        <f>Ringkasan!P1042</f>
        <v/>
      </c>
      <c r="Q945" s="64" t="str">
        <f>Ringkasan!Q1042</f>
        <v/>
      </c>
      <c r="R945" s="64" t="str">
        <f>Ringkasan!R1042</f>
        <v/>
      </c>
      <c r="S945" s="64" t="str">
        <f>Ringkasan!S1042</f>
        <v/>
      </c>
      <c r="T945" s="64" t="str">
        <f>Ringkasan!T1042</f>
        <v/>
      </c>
      <c r="U945" s="22">
        <f>Ringkasan!U1042</f>
        <v>114</v>
      </c>
      <c r="V945" s="22">
        <f>Ringkasan!V1042</f>
        <v>1.75</v>
      </c>
      <c r="W945" s="22">
        <f>Ringkasan!W1042</f>
        <v>115</v>
      </c>
      <c r="X945" s="22">
        <f>Ringkasan!X1042</f>
        <v>117</v>
      </c>
      <c r="Y945" s="22">
        <f>Ringkasan!Y1042</f>
        <v>114</v>
      </c>
      <c r="Z945" s="22">
        <f>Ringkasan!Z1042</f>
        <v>74925800</v>
      </c>
      <c r="AA945" s="64" t="str">
        <f>Ringkasan!AA1042</f>
        <v>Real Estate Management &amp; Development</v>
      </c>
      <c r="AB945" s="64" t="str">
        <f>Ringkasan!AB1042</f>
        <v>Properties &amp; Real Estate</v>
      </c>
    </row>
    <row r="946" hidden="1">
      <c r="A946" s="64" t="str">
        <f>Ringkasan!A1547</f>
        <v>SCPI</v>
      </c>
      <c r="B946" s="64" t="str">
        <f>Ringkasan!B1547</f>
        <v>Organon Pharma Indonesia Tbk.</v>
      </c>
      <c r="C946" s="61">
        <f>Ringkasan!C1547</f>
        <v>0</v>
      </c>
      <c r="D946" s="60" t="str">
        <f>Ringkasan!D1547</f>
        <v>#N/A</v>
      </c>
      <c r="E946" s="60" t="str">
        <f>Ringkasan!E1547</f>
        <v/>
      </c>
      <c r="F946" s="60" t="str">
        <f>Ringkasan!F1547</f>
        <v/>
      </c>
      <c r="G946" s="61">
        <f>Ringkasan!G1547</f>
        <v>0</v>
      </c>
      <c r="H946" s="62">
        <f>Ringkasan!H1547</f>
        <v>0.35</v>
      </c>
      <c r="I946" s="62">
        <f>Ringkasan!I1547</f>
        <v>0.07</v>
      </c>
      <c r="J946" s="62">
        <f>Ringkasan!J1547</f>
        <v>20.9</v>
      </c>
      <c r="K946" s="62">
        <f>Ringkasan!K1547</f>
        <v>13.2</v>
      </c>
      <c r="L946" s="62">
        <f>Ringkasan!L1547</f>
        <v>0.58</v>
      </c>
      <c r="M946" s="62">
        <f>Ringkasan!M1547</f>
        <v>34.2</v>
      </c>
      <c r="N946" s="60" t="str">
        <f>Ringkasan!N1547</f>
        <v/>
      </c>
      <c r="O946" s="60" t="str">
        <f>Ringkasan!O1547</f>
        <v/>
      </c>
      <c r="P946" s="60" t="str">
        <f>Ringkasan!P1547</f>
        <v/>
      </c>
      <c r="Q946" s="60" t="str">
        <f>Ringkasan!Q1547</f>
        <v/>
      </c>
      <c r="R946" s="60" t="str">
        <f>Ringkasan!R1547</f>
        <v/>
      </c>
      <c r="S946" s="60" t="str">
        <f>Ringkasan!S1547</f>
        <v/>
      </c>
      <c r="T946" s="60" t="str">
        <f>Ringkasan!T1547</f>
        <v/>
      </c>
      <c r="U946" s="60">
        <f>Ringkasan!U1547</f>
        <v>29000</v>
      </c>
      <c r="V946" s="60">
        <f>Ringkasan!V1547</f>
        <v>-100</v>
      </c>
      <c r="W946" s="60" t="str">
        <f>Ringkasan!W1547</f>
        <v/>
      </c>
      <c r="X946" s="60" t="str">
        <f>Ringkasan!X1547</f>
        <v/>
      </c>
      <c r="Y946" s="60" t="str">
        <f>Ringkasan!Y1547</f>
        <v/>
      </c>
      <c r="Z946" s="60">
        <f>Ringkasan!Z1547</f>
        <v>0</v>
      </c>
      <c r="AA946" s="60" t="str">
        <f>Ringkasan!AA1547</f>
        <v>Pharmaceuticals</v>
      </c>
      <c r="AB946" s="64" t="str">
        <f>Ringkasan!AB1547</f>
        <v>Healthcare</v>
      </c>
    </row>
    <row r="947" hidden="1">
      <c r="A947" s="64" t="str">
        <f>Ringkasan!A1548</f>
        <v>SDMU</v>
      </c>
      <c r="B947" s="64" t="str">
        <f>Ringkasan!B1548</f>
        <v>Sidomulyo Selaras Tbk</v>
      </c>
      <c r="C947" s="61">
        <f>Ringkasan!C1548</f>
        <v>64</v>
      </c>
      <c r="D947" s="60" t="str">
        <f>Ringkasan!D1548</f>
        <v>#N/A</v>
      </c>
      <c r="E947" s="60" t="str">
        <f>Ringkasan!E1548</f>
        <v/>
      </c>
      <c r="F947" s="60" t="str">
        <f>Ringkasan!F1548</f>
        <v/>
      </c>
      <c r="G947" s="60">
        <f>Ringkasan!G1548</f>
        <v>0</v>
      </c>
      <c r="H947" s="62">
        <f>Ringkasan!H1548</f>
        <v>-13.8</v>
      </c>
      <c r="I947" s="62">
        <f>Ringkasan!I1548</f>
        <v>2.2</v>
      </c>
      <c r="J947" s="62">
        <f>Ringkasan!J1548</f>
        <v>-16</v>
      </c>
      <c r="K947" s="62">
        <f>Ringkasan!K1548</f>
        <v>-9.6</v>
      </c>
      <c r="L947" s="62">
        <f>Ringkasan!L1548</f>
        <v>0.66</v>
      </c>
      <c r="M947" s="62">
        <f>Ringkasan!M1548</f>
        <v>-67.8</v>
      </c>
      <c r="N947" s="60" t="str">
        <f>Ringkasan!N1548</f>
        <v/>
      </c>
      <c r="O947" s="60" t="str">
        <f>Ringkasan!O1548</f>
        <v/>
      </c>
      <c r="P947" s="60" t="str">
        <f>Ringkasan!P1548</f>
        <v/>
      </c>
      <c r="Q947" s="60" t="str">
        <f>Ringkasan!Q1548</f>
        <v/>
      </c>
      <c r="R947" s="60" t="str">
        <f>Ringkasan!R1548</f>
        <v/>
      </c>
      <c r="S947" s="60" t="str">
        <f>Ringkasan!S1548</f>
        <v/>
      </c>
      <c r="T947" s="60" t="str">
        <f>Ringkasan!T1548</f>
        <v/>
      </c>
      <c r="U947" s="60">
        <f>Ringkasan!U1548</f>
        <v>63</v>
      </c>
      <c r="V947" s="60">
        <f>Ringkasan!V1548</f>
        <v>1.59</v>
      </c>
      <c r="W947" s="60">
        <f>Ringkasan!W1548</f>
        <v>63</v>
      </c>
      <c r="X947" s="60">
        <f>Ringkasan!X1548</f>
        <v>69</v>
      </c>
      <c r="Y947" s="60">
        <f>Ringkasan!Y1548</f>
        <v>63</v>
      </c>
      <c r="Z947" s="60">
        <f>Ringkasan!Z1548</f>
        <v>10020800</v>
      </c>
      <c r="AA947" s="60" t="str">
        <f>Ringkasan!AA1548</f>
        <v>Logistics &amp; Deliveries</v>
      </c>
      <c r="AB947" s="64" t="str">
        <f>Ringkasan!AB1548</f>
        <v>Transportation &amp; Logistic</v>
      </c>
    </row>
    <row r="948" hidden="1">
      <c r="A948" s="64" t="str">
        <f>Ringkasan!A1417</f>
        <v>POOL</v>
      </c>
      <c r="B948" s="64" t="str">
        <f>Ringkasan!B1417</f>
        <v>Pool Advista Indonesia Tbk.</v>
      </c>
      <c r="C948" s="61" t="str">
        <f>Ringkasan!C1417</f>
        <v>#N/A</v>
      </c>
      <c r="D948" s="60" t="str">
        <f>Ringkasan!D1417</f>
        <v>#N/A</v>
      </c>
      <c r="E948" s="60" t="str">
        <f>Ringkasan!E1417</f>
        <v/>
      </c>
      <c r="F948" s="60" t="str">
        <f>Ringkasan!F1417</f>
        <v/>
      </c>
      <c r="G948" s="60">
        <f>Ringkasan!G1417</f>
        <v>0</v>
      </c>
      <c r="H948" s="62">
        <f>Ringkasan!H1417</f>
        <v>0</v>
      </c>
      <c r="I948" s="62">
        <f>Ringkasan!I1417</f>
        <v>0.28</v>
      </c>
      <c r="J948" s="62">
        <f>Ringkasan!J1417</f>
        <v>-8.4</v>
      </c>
      <c r="K948" s="62">
        <f>Ringkasan!K1417</f>
        <v>-8.2</v>
      </c>
      <c r="L948" s="62">
        <f>Ringkasan!L1417</f>
        <v>0.03</v>
      </c>
      <c r="M948" s="62">
        <f>Ringkasan!M1417</f>
        <v>-290</v>
      </c>
      <c r="N948" s="60" t="str">
        <f>Ringkasan!N1417</f>
        <v/>
      </c>
      <c r="O948" s="60" t="str">
        <f>Ringkasan!O1417</f>
        <v/>
      </c>
      <c r="P948" s="60" t="str">
        <f>Ringkasan!P1417</f>
        <v/>
      </c>
      <c r="Q948" s="60" t="str">
        <f>Ringkasan!Q1417</f>
        <v/>
      </c>
      <c r="R948" s="60" t="str">
        <f>Ringkasan!R1417</f>
        <v/>
      </c>
      <c r="S948" s="60" t="str">
        <f>Ringkasan!S1417</f>
        <v/>
      </c>
      <c r="T948" s="60" t="str">
        <f>Ringkasan!T1417</f>
        <v/>
      </c>
      <c r="U948" s="60">
        <f>Ringkasan!U1417</f>
        <v>192.34</v>
      </c>
      <c r="V948" s="60">
        <f>Ringkasan!V1417</f>
        <v>1.38</v>
      </c>
      <c r="W948" s="60">
        <f>Ringkasan!W1417</f>
        <v>191.93</v>
      </c>
      <c r="X948" s="60">
        <f>Ringkasan!X1417</f>
        <v>197.21</v>
      </c>
      <c r="Y948" s="60">
        <f>Ringkasan!Y1417</f>
        <v>190.98</v>
      </c>
      <c r="Z948" s="60">
        <f>Ringkasan!Z1417</f>
        <v>677414</v>
      </c>
      <c r="AA948" s="60" t="str">
        <f>Ringkasan!AA1417</f>
        <v>Holding &amp; Investment Companies</v>
      </c>
      <c r="AB948" s="64" t="str">
        <f>Ringkasan!AB1417</f>
        <v>Financials</v>
      </c>
    </row>
    <row r="949" hidden="1">
      <c r="A949" s="64" t="str">
        <f>Ringkasan!A1418</f>
        <v>PORT</v>
      </c>
      <c r="B949" s="64" t="str">
        <f>Ringkasan!B1418</f>
        <v>PT Nusantara Pelabuhan Handal Tbk.</v>
      </c>
      <c r="C949" s="61">
        <f>Ringkasan!C1418</f>
        <v>890</v>
      </c>
      <c r="D949" s="60" t="str">
        <f>Ringkasan!D1418</f>
        <v>#N/A</v>
      </c>
      <c r="E949" s="60" t="str">
        <f>Ringkasan!E1418</f>
        <v/>
      </c>
      <c r="F949" s="60" t="str">
        <f>Ringkasan!F1418</f>
        <v/>
      </c>
      <c r="G949" s="60">
        <f>Ringkasan!G1418</f>
        <v>0</v>
      </c>
      <c r="H949" s="62">
        <f>Ringkasan!H1418</f>
        <v>21.5</v>
      </c>
      <c r="I949" s="62">
        <f>Ringkasan!I1418</f>
        <v>2.1</v>
      </c>
      <c r="J949" s="62">
        <f>Ringkasan!J1418</f>
        <v>9.7</v>
      </c>
      <c r="K949" s="62">
        <f>Ringkasan!K1418</f>
        <v>5.3</v>
      </c>
      <c r="L949" s="62">
        <f>Ringkasan!L1418</f>
        <v>0.85</v>
      </c>
      <c r="M949" s="62">
        <f>Ringkasan!M1418</f>
        <v>45.6</v>
      </c>
      <c r="N949" s="60" t="str">
        <f>Ringkasan!N1418</f>
        <v/>
      </c>
      <c r="O949" s="60" t="str">
        <f>Ringkasan!O1418</f>
        <v/>
      </c>
      <c r="P949" s="60" t="str">
        <f>Ringkasan!P1418</f>
        <v/>
      </c>
      <c r="Q949" s="60" t="str">
        <f>Ringkasan!Q1418</f>
        <v/>
      </c>
      <c r="R949" s="60" t="str">
        <f>Ringkasan!R1418</f>
        <v/>
      </c>
      <c r="S949" s="60" t="str">
        <f>Ringkasan!S1418</f>
        <v/>
      </c>
      <c r="T949" s="60" t="str">
        <f>Ringkasan!T1418</f>
        <v/>
      </c>
      <c r="U949" s="60" t="str">
        <f>Ringkasan!U1418</f>
        <v/>
      </c>
      <c r="V949" s="60" t="str">
        <f>Ringkasan!V1418</f>
        <v/>
      </c>
      <c r="W949" s="60" t="str">
        <f>Ringkasan!W1418</f>
        <v/>
      </c>
      <c r="X949" s="60" t="str">
        <f>Ringkasan!X1418</f>
        <v/>
      </c>
      <c r="Y949" s="60" t="str">
        <f>Ringkasan!Y1418</f>
        <v/>
      </c>
      <c r="Z949" s="60" t="str">
        <f>Ringkasan!Z1418</f>
        <v/>
      </c>
      <c r="AA949" s="60" t="str">
        <f>Ringkasan!AA1418</f>
        <v>Transport Infrastructure Operator</v>
      </c>
      <c r="AB949" s="64" t="str">
        <f>Ringkasan!AB1418</f>
        <v>Infrastructures</v>
      </c>
    </row>
    <row r="950" hidden="1">
      <c r="A950" s="64" t="str">
        <f>Ringkasan!A1416</f>
        <v>POLY</v>
      </c>
      <c r="B950" s="64" t="str">
        <f>Ringkasan!B1416</f>
        <v>Asia Pacific Fibers Tbk</v>
      </c>
      <c r="C950" s="61">
        <f>Ringkasan!C1416</f>
        <v>32</v>
      </c>
      <c r="D950" s="60" t="str">
        <f>Ringkasan!D1416</f>
        <v>#N/A</v>
      </c>
      <c r="E950" s="60" t="str">
        <f>Ringkasan!E1416</f>
        <v/>
      </c>
      <c r="F950" s="60" t="str">
        <f>Ringkasan!F1416</f>
        <v/>
      </c>
      <c r="G950" s="60">
        <f>Ringkasan!G1416</f>
        <v>0</v>
      </c>
      <c r="H950" s="62">
        <f>Ringkasan!H1416</f>
        <v>-0.23</v>
      </c>
      <c r="I950" s="62">
        <f>Ringkasan!I1416</f>
        <v>0</v>
      </c>
      <c r="J950" s="62">
        <f>Ringkasan!J1416</f>
        <v>0</v>
      </c>
      <c r="K950" s="62">
        <f>Ringkasan!K1416</f>
        <v>-26</v>
      </c>
      <c r="L950" s="62">
        <f>Ringkasan!L1416</f>
        <v>-1.1</v>
      </c>
      <c r="M950" s="62">
        <f>Ringkasan!M1416</f>
        <v>-200</v>
      </c>
      <c r="N950" s="60" t="str">
        <f>Ringkasan!N1416</f>
        <v/>
      </c>
      <c r="O950" s="60" t="str">
        <f>Ringkasan!O1416</f>
        <v/>
      </c>
      <c r="P950" s="60" t="str">
        <f>Ringkasan!P1416</f>
        <v/>
      </c>
      <c r="Q950" s="60" t="str">
        <f>Ringkasan!Q1416</f>
        <v/>
      </c>
      <c r="R950" s="60" t="str">
        <f>Ringkasan!R1416</f>
        <v/>
      </c>
      <c r="S950" s="60" t="str">
        <f>Ringkasan!S1416</f>
        <v/>
      </c>
      <c r="T950" s="60" t="str">
        <f>Ringkasan!T1416</f>
        <v/>
      </c>
      <c r="U950" s="60">
        <f>Ringkasan!U1416</f>
        <v>0.79</v>
      </c>
      <c r="V950" s="60">
        <f>Ringkasan!V1416</f>
        <v>1.92</v>
      </c>
      <c r="W950" s="60">
        <f>Ringkasan!W1416</f>
        <v>0.81</v>
      </c>
      <c r="X950" s="60">
        <f>Ringkasan!X1416</f>
        <v>0.81</v>
      </c>
      <c r="Y950" s="60">
        <f>Ringkasan!Y1416</f>
        <v>0.81</v>
      </c>
      <c r="Z950" s="60">
        <f>Ringkasan!Z1416</f>
        <v>1</v>
      </c>
      <c r="AA950" s="60" t="str">
        <f>Ringkasan!AA1416</f>
        <v>Apparel &amp; Luxury Goods</v>
      </c>
      <c r="AB950" s="64" t="str">
        <f>Ringkasan!AB1416</f>
        <v>Consumer Cyclicals</v>
      </c>
    </row>
    <row r="951" hidden="1">
      <c r="A951" s="64" t="str">
        <f>Ringkasan!A932</f>
        <v>INTP</v>
      </c>
      <c r="B951" s="64" t="str">
        <f>Ringkasan!B932</f>
        <v>Indocement Tunggal Prakarsa Tbk.</v>
      </c>
      <c r="C951" s="65">
        <f>Ringkasan!C932</f>
        <v>4110</v>
      </c>
      <c r="D951" s="64" t="str">
        <f>Ringkasan!D932</f>
        <v>#N/A</v>
      </c>
      <c r="E951" s="64" t="str">
        <f>Ringkasan!E932</f>
        <v>IDX80</v>
      </c>
      <c r="F951" s="64" t="str">
        <f>Ringkasan!F932</f>
        <v>31 Juli 2026</v>
      </c>
      <c r="G951" s="64">
        <f>Ringkasan!G932</f>
        <v>13</v>
      </c>
      <c r="H951" s="19">
        <f>Ringkasan!H932</f>
        <v>7.6</v>
      </c>
      <c r="I951" s="19">
        <f>Ringkasan!I932</f>
        <v>0.74</v>
      </c>
      <c r="J951" s="19">
        <f>Ringkasan!J932</f>
        <v>9.7</v>
      </c>
      <c r="K951" s="19">
        <f>Ringkasan!K932</f>
        <v>7.2</v>
      </c>
      <c r="L951" s="19">
        <f>Ringkasan!L932</f>
        <v>0.34</v>
      </c>
      <c r="M951" s="19">
        <f>Ringkasan!M932</f>
        <v>58.6</v>
      </c>
      <c r="N951" s="64" t="str">
        <f>Ringkasan!N932</f>
        <v/>
      </c>
      <c r="O951" s="64" t="str">
        <f>Ringkasan!O932</f>
        <v/>
      </c>
      <c r="P951" s="64" t="str">
        <f>Ringkasan!P932</f>
        <v/>
      </c>
      <c r="Q951" s="64" t="str">
        <f>Ringkasan!Q932</f>
        <v/>
      </c>
      <c r="R951" s="64" t="str">
        <f>Ringkasan!R932</f>
        <v/>
      </c>
      <c r="S951" s="64" t="str">
        <f>Ringkasan!S932</f>
        <v/>
      </c>
      <c r="T951" s="64" t="str">
        <f>Ringkasan!T932</f>
        <v/>
      </c>
      <c r="U951" s="64">
        <f>Ringkasan!U932</f>
        <v>4160</v>
      </c>
      <c r="V951" s="64" t="str">
        <f>Ringkasan!V932</f>
        <v/>
      </c>
      <c r="W951" s="64">
        <f>Ringkasan!W932</f>
        <v>4190</v>
      </c>
      <c r="X951" s="64">
        <f>Ringkasan!X932</f>
        <v>4240</v>
      </c>
      <c r="Y951" s="64">
        <f>Ringkasan!Y932</f>
        <v>4090</v>
      </c>
      <c r="Z951" s="64">
        <f>Ringkasan!Z932</f>
        <v>2337500</v>
      </c>
      <c r="AA951" s="64" t="str">
        <f>Ringkasan!AA932</f>
        <v>Construction Materials</v>
      </c>
      <c r="AB951" s="64" t="str">
        <f>Ringkasan!AB932</f>
        <v>Basic Materials</v>
      </c>
    </row>
    <row r="952" hidden="1">
      <c r="A952" s="64" t="str">
        <f>Ringkasan!A1029</f>
        <v>KBLI</v>
      </c>
      <c r="B952" s="64" t="str">
        <f>Ringkasan!B1029</f>
        <v>KMI Wire &amp; Cable Tbk.</v>
      </c>
      <c r="C952" s="67">
        <f>Ringkasan!C1029</f>
        <v>318</v>
      </c>
      <c r="D952" s="22" t="str">
        <f>Ringkasan!D1029</f>
        <v>#N/A</v>
      </c>
      <c r="E952" s="64" t="str">
        <f>Ringkasan!E1029</f>
        <v/>
      </c>
      <c r="F952" s="64" t="str">
        <f>Ringkasan!F1029</f>
        <v/>
      </c>
      <c r="G952" s="64">
        <f>Ringkasan!G1029</f>
        <v>0</v>
      </c>
      <c r="H952" s="19">
        <f>Ringkasan!H1029</f>
        <v>6.5</v>
      </c>
      <c r="I952" s="19">
        <f>Ringkasan!I1029</f>
        <v>0.43</v>
      </c>
      <c r="J952" s="19">
        <f>Ringkasan!J1029</f>
        <v>6.6</v>
      </c>
      <c r="K952" s="19">
        <f>Ringkasan!K1029</f>
        <v>5.7</v>
      </c>
      <c r="L952" s="19">
        <f>Ringkasan!L1029</f>
        <v>0.17</v>
      </c>
      <c r="M952" s="19">
        <f>Ringkasan!M1029</f>
        <v>22.7</v>
      </c>
      <c r="N952" s="64" t="str">
        <f>Ringkasan!N1029</f>
        <v/>
      </c>
      <c r="O952" s="64" t="str">
        <f>Ringkasan!O1029</f>
        <v/>
      </c>
      <c r="P952" s="64" t="str">
        <f>Ringkasan!P1029</f>
        <v/>
      </c>
      <c r="Q952" s="64" t="str">
        <f>Ringkasan!Q1029</f>
        <v/>
      </c>
      <c r="R952" s="64" t="str">
        <f>Ringkasan!R1029</f>
        <v/>
      </c>
      <c r="S952" s="64" t="str">
        <f>Ringkasan!S1029</f>
        <v/>
      </c>
      <c r="T952" s="64" t="str">
        <f>Ringkasan!T1029</f>
        <v/>
      </c>
      <c r="U952" s="22">
        <f>Ringkasan!U1029</f>
        <v>312</v>
      </c>
      <c r="V952" s="22">
        <f>Ringkasan!V1029</f>
        <v>1.92</v>
      </c>
      <c r="W952" s="22">
        <f>Ringkasan!W1029</f>
        <v>316</v>
      </c>
      <c r="X952" s="22">
        <f>Ringkasan!X1029</f>
        <v>328</v>
      </c>
      <c r="Y952" s="22">
        <f>Ringkasan!Y1029</f>
        <v>316</v>
      </c>
      <c r="Z952" s="22">
        <f>Ringkasan!Z1029</f>
        <v>530100</v>
      </c>
      <c r="AA952" s="64" t="str">
        <f>Ringkasan!AA1029</f>
        <v>Electrical</v>
      </c>
      <c r="AB952" s="64" t="str">
        <f>Ringkasan!AB1029</f>
        <v>Industrials</v>
      </c>
    </row>
    <row r="953">
      <c r="A953" s="60" t="str">
        <f>Ringkasan!A993</f>
        <v>JPFA</v>
      </c>
      <c r="B953" s="60" t="str">
        <f>Ringkasan!B993</f>
        <v>Japfa Comfeed Indonesia Tbk.</v>
      </c>
      <c r="C953" s="61">
        <f>Ringkasan!C993</f>
        <v>1905</v>
      </c>
      <c r="D953" s="60" t="str">
        <f>Ringkasan!D993</f>
        <v>#N/A</v>
      </c>
      <c r="E953" s="60" t="str">
        <f>Ringkasan!E993</f>
        <v>BISNIS-27</v>
      </c>
      <c r="F953" s="60" t="str">
        <f>Ringkasan!F993</f>
        <v>30 Oktober 2026</v>
      </c>
      <c r="G953" s="61">
        <f>Ringkasan!G993</f>
        <v>13</v>
      </c>
      <c r="H953" s="62">
        <f>Ringkasan!H993</f>
        <v>5.6</v>
      </c>
      <c r="I953" s="62">
        <f>Ringkasan!I993</f>
        <v>1.3</v>
      </c>
      <c r="J953" s="62">
        <f>Ringkasan!J993</f>
        <v>23.3</v>
      </c>
      <c r="K953" s="62">
        <f>Ringkasan!K993</f>
        <v>13.1</v>
      </c>
      <c r="L953" s="62">
        <f>Ringkasan!L993</f>
        <v>0.79</v>
      </c>
      <c r="M953" s="62">
        <f>Ringkasan!M993</f>
        <v>29</v>
      </c>
      <c r="N953" s="60" t="str">
        <f>Ringkasan!N993</f>
        <v/>
      </c>
      <c r="O953" s="60" t="str">
        <f>Ringkasan!O993</f>
        <v/>
      </c>
      <c r="P953" s="60" t="str">
        <f>Ringkasan!P993</f>
        <v/>
      </c>
      <c r="Q953" s="60" t="str">
        <f>Ringkasan!Q993</f>
        <v/>
      </c>
      <c r="R953" s="60" t="str">
        <f>Ringkasan!R993</f>
        <v/>
      </c>
      <c r="S953" s="60" t="str">
        <f>Ringkasan!S993</f>
        <v/>
      </c>
      <c r="T953" s="60" t="str">
        <f>Ringkasan!T993</f>
        <v/>
      </c>
      <c r="U953" s="60">
        <f>Ringkasan!U993</f>
        <v>1860</v>
      </c>
      <c r="V953" s="60">
        <f>Ringkasan!V993</f>
        <v>2.42</v>
      </c>
      <c r="W953" s="60">
        <f>Ringkasan!W993</f>
        <v>1865</v>
      </c>
      <c r="X953" s="60">
        <f>Ringkasan!X993</f>
        <v>1930</v>
      </c>
      <c r="Y953" s="60">
        <f>Ringkasan!Y993</f>
        <v>1840</v>
      </c>
      <c r="Z953" s="60">
        <f>Ringkasan!Z993</f>
        <v>30207300</v>
      </c>
      <c r="AA953" s="60" t="str">
        <f>Ringkasan!AA993</f>
        <v>Agricultural Products</v>
      </c>
      <c r="AB953" s="60" t="str">
        <f>Ringkasan!AB993</f>
        <v>Consumer Non-Cyclicals</v>
      </c>
    </row>
    <row r="954" hidden="1">
      <c r="A954" s="64" t="str">
        <f>Ringkasan!A642</f>
        <v>ELPI</v>
      </c>
      <c r="B954" s="64" t="str">
        <f>Ringkasan!B642</f>
        <v>Pelayaran Nasional Ekalya Purnamasari Tbk.</v>
      </c>
      <c r="C954" s="61">
        <f>Ringkasan!C642</f>
        <v>1230</v>
      </c>
      <c r="D954" s="60" t="str">
        <f>Ringkasan!D642</f>
        <v>#N/A</v>
      </c>
      <c r="E954" s="60" t="str">
        <f>Ringkasan!E642</f>
        <v/>
      </c>
      <c r="F954" s="60" t="str">
        <f>Ringkasan!F642</f>
        <v/>
      </c>
      <c r="G954" s="61">
        <f>Ringkasan!G642</f>
        <v>0</v>
      </c>
      <c r="H954" s="62">
        <f>Ringkasan!H642</f>
        <v>68.1</v>
      </c>
      <c r="I954" s="62">
        <f>Ringkasan!I642</f>
        <v>4.8</v>
      </c>
      <c r="J954" s="62">
        <f>Ringkasan!J642</f>
        <v>7</v>
      </c>
      <c r="K954" s="62">
        <f>Ringkasan!K642</f>
        <v>5.3</v>
      </c>
      <c r="L954" s="62">
        <f>Ringkasan!L642</f>
        <v>0.31</v>
      </c>
      <c r="M954" s="62">
        <f>Ringkasan!M642</f>
        <v>97.5</v>
      </c>
      <c r="N954" s="60" t="str">
        <f>Ringkasan!N642</f>
        <v/>
      </c>
      <c r="O954" s="60" t="str">
        <f>Ringkasan!O642</f>
        <v/>
      </c>
      <c r="P954" s="60" t="str">
        <f>Ringkasan!P642</f>
        <v/>
      </c>
      <c r="Q954" s="60" t="str">
        <f>Ringkasan!Q642</f>
        <v/>
      </c>
      <c r="R954" s="60" t="str">
        <f>Ringkasan!R642</f>
        <v/>
      </c>
      <c r="S954" s="60" t="str">
        <f>Ringkasan!S642</f>
        <v/>
      </c>
      <c r="T954" s="60" t="str">
        <f>Ringkasan!T642</f>
        <v/>
      </c>
      <c r="U954" s="60">
        <f>Ringkasan!U642</f>
        <v>1150</v>
      </c>
      <c r="V954" s="60">
        <f>Ringkasan!V642</f>
        <v>6.96</v>
      </c>
      <c r="W954" s="60">
        <f>Ringkasan!W642</f>
        <v>1155</v>
      </c>
      <c r="X954" s="60" t="str">
        <f>Ringkasan!X642</f>
        <v/>
      </c>
      <c r="Y954" s="60">
        <f>Ringkasan!Y642</f>
        <v>1150</v>
      </c>
      <c r="Z954" s="60">
        <f>Ringkasan!Z642</f>
        <v>618300</v>
      </c>
      <c r="AA954" s="60" t="str">
        <f>Ringkasan!AA642</f>
        <v>Logistics &amp; Deliveries</v>
      </c>
      <c r="AB954" s="64" t="str">
        <f>Ringkasan!AB642</f>
        <v>Transportation &amp; Logistic</v>
      </c>
    </row>
    <row r="955" hidden="1">
      <c r="A955" s="64" t="str">
        <f>Ringkasan!A954</f>
        <v>ISAT</v>
      </c>
      <c r="B955" s="64" t="str">
        <f>Ringkasan!B954</f>
        <v>PT Indosat Tbk</v>
      </c>
      <c r="C955" s="65">
        <f>Ringkasan!C954</f>
        <v>1855</v>
      </c>
      <c r="D955" s="64" t="str">
        <f>Ringkasan!D954</f>
        <v>#N/A</v>
      </c>
      <c r="E955" s="64" t="str">
        <f>Ringkasan!E954</f>
        <v>IDXG30</v>
      </c>
      <c r="F955" s="64" t="str">
        <f>Ringkasan!F954</f>
        <v>4 Agustus 2026</v>
      </c>
      <c r="G955" s="64">
        <f>Ringkasan!G954</f>
        <v>13</v>
      </c>
      <c r="H955" s="19">
        <f>Ringkasan!H954</f>
        <v>12.2</v>
      </c>
      <c r="I955" s="19">
        <f>Ringkasan!I954</f>
        <v>1.7</v>
      </c>
      <c r="J955" s="19">
        <f>Ringkasan!J954</f>
        <v>13.9</v>
      </c>
      <c r="K955" s="19">
        <f>Ringkasan!K954</f>
        <v>4.7</v>
      </c>
      <c r="L955" s="19">
        <f>Ringkasan!L954</f>
        <v>2</v>
      </c>
      <c r="M955" s="19">
        <f>Ringkasan!M954</f>
        <v>37.4</v>
      </c>
      <c r="N955" s="64" t="str">
        <f>Ringkasan!N954</f>
        <v/>
      </c>
      <c r="O955" s="64" t="str">
        <f>Ringkasan!O954</f>
        <v/>
      </c>
      <c r="P955" s="64" t="str">
        <f>Ringkasan!P954</f>
        <v/>
      </c>
      <c r="Q955" s="64" t="str">
        <f>Ringkasan!Q954</f>
        <v/>
      </c>
      <c r="R955" s="64" t="str">
        <f>Ringkasan!R954</f>
        <v/>
      </c>
      <c r="S955" s="64" t="str">
        <f>Ringkasan!S954</f>
        <v/>
      </c>
      <c r="T955" s="64" t="str">
        <f>Ringkasan!T954</f>
        <v/>
      </c>
      <c r="U955" s="64">
        <f>Ringkasan!U954</f>
        <v>1895</v>
      </c>
      <c r="V955" s="64">
        <f>Ringkasan!V954</f>
        <v>-2.11</v>
      </c>
      <c r="W955" s="64">
        <f>Ringkasan!W954</f>
        <v>1905</v>
      </c>
      <c r="X955" s="64">
        <f>Ringkasan!X954</f>
        <v>1915</v>
      </c>
      <c r="Y955" s="64">
        <f>Ringkasan!Y954</f>
        <v>1830</v>
      </c>
      <c r="Z955" s="64">
        <f>Ringkasan!Z954</f>
        <v>30896800</v>
      </c>
      <c r="AA955" s="64" t="str">
        <f>Ringkasan!AA954</f>
        <v>Wireless Telecommunication Services</v>
      </c>
      <c r="AB955" s="64" t="str">
        <f>Ringkasan!AB954</f>
        <v>Infrastructures</v>
      </c>
    </row>
    <row r="956" hidden="1">
      <c r="A956" s="64" t="str">
        <f>Ringkasan!A955</f>
        <v>ISAT</v>
      </c>
      <c r="B956" s="64" t="str">
        <f>Ringkasan!B955</f>
        <v>PT Indosat Tbk</v>
      </c>
      <c r="C956" s="65">
        <f>Ringkasan!C955</f>
        <v>1855</v>
      </c>
      <c r="D956" s="64" t="str">
        <f>Ringkasan!D955</f>
        <v>#N/A</v>
      </c>
      <c r="E956" s="64" t="str">
        <f>Ringkasan!E955</f>
        <v>Pefindo - iGrade</v>
      </c>
      <c r="F956" s="64" t="str">
        <f>Ringkasan!F955</f>
        <v>30 Juni 2026</v>
      </c>
      <c r="G956" s="64">
        <f>Ringkasan!G955</f>
        <v>13</v>
      </c>
      <c r="H956" s="19">
        <f>Ringkasan!H955</f>
        <v>12.2</v>
      </c>
      <c r="I956" s="19">
        <f>Ringkasan!I955</f>
        <v>1.7</v>
      </c>
      <c r="J956" s="19">
        <f>Ringkasan!J955</f>
        <v>13.9</v>
      </c>
      <c r="K956" s="19">
        <f>Ringkasan!K955</f>
        <v>4.7</v>
      </c>
      <c r="L956" s="19">
        <f>Ringkasan!L955</f>
        <v>2</v>
      </c>
      <c r="M956" s="19">
        <f>Ringkasan!M955</f>
        <v>37.4</v>
      </c>
      <c r="N956" s="64" t="str">
        <f>Ringkasan!N955</f>
        <v/>
      </c>
      <c r="O956" s="64" t="str">
        <f>Ringkasan!O955</f>
        <v/>
      </c>
      <c r="P956" s="64" t="str">
        <f>Ringkasan!P955</f>
        <v/>
      </c>
      <c r="Q956" s="64" t="str">
        <f>Ringkasan!Q955</f>
        <v/>
      </c>
      <c r="R956" s="64" t="str">
        <f>Ringkasan!R955</f>
        <v/>
      </c>
      <c r="S956" s="64" t="str">
        <f>Ringkasan!S955</f>
        <v/>
      </c>
      <c r="T956" s="64" t="str">
        <f>Ringkasan!T955</f>
        <v/>
      </c>
      <c r="U956" s="64">
        <f>Ringkasan!U955</f>
        <v>1895</v>
      </c>
      <c r="V956" s="64">
        <f>Ringkasan!V955</f>
        <v>-2.11</v>
      </c>
      <c r="W956" s="64">
        <f>Ringkasan!W955</f>
        <v>1905</v>
      </c>
      <c r="X956" s="64">
        <f>Ringkasan!X955</f>
        <v>1915</v>
      </c>
      <c r="Y956" s="64">
        <f>Ringkasan!Y955</f>
        <v>1830</v>
      </c>
      <c r="Z956" s="64">
        <f>Ringkasan!Z955</f>
        <v>30896800</v>
      </c>
      <c r="AA956" s="64" t="str">
        <f>Ringkasan!AA955</f>
        <v>Wireless Telecommunication Services</v>
      </c>
      <c r="AB956" s="64" t="str">
        <f>Ringkasan!AB955</f>
        <v>Infrastructures</v>
      </c>
    </row>
    <row r="957" hidden="1">
      <c r="A957" s="64" t="str">
        <f>Ringkasan!A956</f>
        <v>ISAT</v>
      </c>
      <c r="B957" s="64" t="str">
        <f>Ringkasan!B956</f>
        <v>PT Indosat Tbk</v>
      </c>
      <c r="C957" s="65">
        <f>Ringkasan!C956</f>
        <v>1855</v>
      </c>
      <c r="D957" s="64" t="str">
        <f>Ringkasan!D956</f>
        <v>#N/A</v>
      </c>
      <c r="E957" s="64" t="str">
        <f>Ringkasan!E956</f>
        <v>LQ45</v>
      </c>
      <c r="F957" s="64" t="str">
        <f>Ringkasan!F956</f>
        <v>31 Juli 2026</v>
      </c>
      <c r="G957" s="64">
        <f>Ringkasan!G956</f>
        <v>13</v>
      </c>
      <c r="H957" s="19">
        <f>Ringkasan!H956</f>
        <v>12.2</v>
      </c>
      <c r="I957" s="19">
        <f>Ringkasan!I956</f>
        <v>1.7</v>
      </c>
      <c r="J957" s="19">
        <f>Ringkasan!J956</f>
        <v>13.9</v>
      </c>
      <c r="K957" s="19">
        <f>Ringkasan!K956</f>
        <v>4.7</v>
      </c>
      <c r="L957" s="19">
        <f>Ringkasan!L956</f>
        <v>2</v>
      </c>
      <c r="M957" s="19">
        <f>Ringkasan!M956</f>
        <v>37.4</v>
      </c>
      <c r="N957" s="64" t="str">
        <f>Ringkasan!N956</f>
        <v/>
      </c>
      <c r="O957" s="64" t="str">
        <f>Ringkasan!O956</f>
        <v/>
      </c>
      <c r="P957" s="64" t="str">
        <f>Ringkasan!P956</f>
        <v/>
      </c>
      <c r="Q957" s="64" t="str">
        <f>Ringkasan!Q956</f>
        <v/>
      </c>
      <c r="R957" s="64" t="str">
        <f>Ringkasan!R956</f>
        <v/>
      </c>
      <c r="S957" s="64" t="str">
        <f>Ringkasan!S956</f>
        <v/>
      </c>
      <c r="T957" s="64" t="str">
        <f>Ringkasan!T956</f>
        <v/>
      </c>
      <c r="U957" s="64">
        <f>Ringkasan!U956</f>
        <v>1895</v>
      </c>
      <c r="V957" s="64">
        <f>Ringkasan!V956</f>
        <v>-2.11</v>
      </c>
      <c r="W957" s="64">
        <f>Ringkasan!W956</f>
        <v>1905</v>
      </c>
      <c r="X957" s="64">
        <f>Ringkasan!X956</f>
        <v>1915</v>
      </c>
      <c r="Y957" s="64">
        <f>Ringkasan!Y956</f>
        <v>1830</v>
      </c>
      <c r="Z957" s="64">
        <f>Ringkasan!Z956</f>
        <v>30896800</v>
      </c>
      <c r="AA957" s="64" t="str">
        <f>Ringkasan!AA956</f>
        <v>Wireless Telecommunication Services</v>
      </c>
      <c r="AB957" s="64" t="str">
        <f>Ringkasan!AB956</f>
        <v>Infrastructures</v>
      </c>
    </row>
    <row r="958" hidden="1">
      <c r="A958" s="64" t="str">
        <f>Ringkasan!A28</f>
        <v>ACST</v>
      </c>
      <c r="B958" s="64" t="str">
        <f>Ringkasan!B28</f>
        <v>PT Acset Indonusa Tbk.</v>
      </c>
      <c r="C958" s="65">
        <f>Ringkasan!C28</f>
        <v>71</v>
      </c>
      <c r="D958" s="64" t="str">
        <f>Ringkasan!D28</f>
        <v>#N/A</v>
      </c>
      <c r="E958" s="64" t="str">
        <f>Ringkasan!E28</f>
        <v/>
      </c>
      <c r="F958" s="64" t="str">
        <f>Ringkasan!F28</f>
        <v/>
      </c>
      <c r="G958" s="64">
        <f>Ringkasan!G28</f>
        <v>0</v>
      </c>
      <c r="H958" s="19">
        <f>Ringkasan!H28</f>
        <v>-2.1</v>
      </c>
      <c r="I958" s="19">
        <f>Ringkasan!I28</f>
        <v>-4.4</v>
      </c>
      <c r="J958" s="19">
        <f>Ringkasan!J28</f>
        <v>0</v>
      </c>
      <c r="K958" s="19">
        <f>Ringkasan!K28</f>
        <v>-23.3</v>
      </c>
      <c r="L958" s="19">
        <f>Ringkasan!L28</f>
        <v>-9.9</v>
      </c>
      <c r="M958" s="19">
        <f>Ringkasan!M28</f>
        <v>-150</v>
      </c>
      <c r="N958" s="64" t="str">
        <f>Ringkasan!N28</f>
        <v/>
      </c>
      <c r="O958" s="64" t="str">
        <f>Ringkasan!O28</f>
        <v/>
      </c>
      <c r="P958" s="64" t="str">
        <f>Ringkasan!P28</f>
        <v/>
      </c>
      <c r="Q958" s="64" t="str">
        <f>Ringkasan!Q28</f>
        <v/>
      </c>
      <c r="R958" s="64" t="str">
        <f>Ringkasan!R28</f>
        <v/>
      </c>
      <c r="S958" s="64" t="str">
        <f>Ringkasan!S28</f>
        <v/>
      </c>
      <c r="T958" s="64" t="str">
        <f>Ringkasan!T28</f>
        <v/>
      </c>
      <c r="U958" s="64">
        <f>Ringkasan!U28</f>
        <v>70</v>
      </c>
      <c r="V958" s="64">
        <f>Ringkasan!V28</f>
        <v>1.43</v>
      </c>
      <c r="W958" s="64">
        <f>Ringkasan!W28</f>
        <v>70</v>
      </c>
      <c r="X958" s="64">
        <f>Ringkasan!X28</f>
        <v>71</v>
      </c>
      <c r="Y958" s="64">
        <f>Ringkasan!Y28</f>
        <v>70</v>
      </c>
      <c r="Z958" s="64">
        <f>Ringkasan!Z28</f>
        <v>173800</v>
      </c>
      <c r="AA958" s="64" t="str">
        <f>Ringkasan!AA28</f>
        <v>Heavy Constructions &amp; Civil Engineering</v>
      </c>
      <c r="AB958" s="64" t="str">
        <f>Ringkasan!AB28</f>
        <v>Infrastructures</v>
      </c>
    </row>
    <row r="959" hidden="1">
      <c r="A959" s="64" t="str">
        <f>Ringkasan!A958</f>
        <v>ISAT</v>
      </c>
      <c r="B959" s="64" t="str">
        <f>Ringkasan!B958</f>
        <v>PT Indosat Tbk</v>
      </c>
      <c r="C959" s="65">
        <f>Ringkasan!C958</f>
        <v>1855</v>
      </c>
      <c r="D959" s="64" t="str">
        <f>Ringkasan!D958</f>
        <v>#N/A</v>
      </c>
      <c r="E959" s="64" t="str">
        <f>Ringkasan!E958</f>
        <v>IDX80</v>
      </c>
      <c r="F959" s="64" t="str">
        <f>Ringkasan!F958</f>
        <v>31 Juli 2026</v>
      </c>
      <c r="G959" s="64">
        <f>Ringkasan!G958</f>
        <v>13</v>
      </c>
      <c r="H959" s="19">
        <f>Ringkasan!H958</f>
        <v>12.2</v>
      </c>
      <c r="I959" s="19">
        <f>Ringkasan!I958</f>
        <v>1.7</v>
      </c>
      <c r="J959" s="19">
        <f>Ringkasan!J958</f>
        <v>13.9</v>
      </c>
      <c r="K959" s="19">
        <f>Ringkasan!K958</f>
        <v>4.7</v>
      </c>
      <c r="L959" s="19">
        <f>Ringkasan!L958</f>
        <v>2</v>
      </c>
      <c r="M959" s="19">
        <f>Ringkasan!M958</f>
        <v>37.4</v>
      </c>
      <c r="N959" s="64" t="str">
        <f>Ringkasan!N958</f>
        <v/>
      </c>
      <c r="O959" s="64" t="str">
        <f>Ringkasan!O958</f>
        <v/>
      </c>
      <c r="P959" s="64" t="str">
        <f>Ringkasan!P958</f>
        <v/>
      </c>
      <c r="Q959" s="64" t="str">
        <f>Ringkasan!Q958</f>
        <v/>
      </c>
      <c r="R959" s="64" t="str">
        <f>Ringkasan!R958</f>
        <v/>
      </c>
      <c r="S959" s="64" t="str">
        <f>Ringkasan!S958</f>
        <v/>
      </c>
      <c r="T959" s="64" t="str">
        <f>Ringkasan!T958</f>
        <v/>
      </c>
      <c r="U959" s="64">
        <f>Ringkasan!U958</f>
        <v>1895</v>
      </c>
      <c r="V959" s="64">
        <f>Ringkasan!V958</f>
        <v>-2.11</v>
      </c>
      <c r="W959" s="64">
        <f>Ringkasan!W958</f>
        <v>1905</v>
      </c>
      <c r="X959" s="64">
        <f>Ringkasan!X958</f>
        <v>1915</v>
      </c>
      <c r="Y959" s="64">
        <f>Ringkasan!Y958</f>
        <v>1830</v>
      </c>
      <c r="Z959" s="64">
        <f>Ringkasan!Z958</f>
        <v>30896800</v>
      </c>
      <c r="AA959" s="64" t="str">
        <f>Ringkasan!AA958</f>
        <v>Wireless Telecommunication Services</v>
      </c>
      <c r="AB959" s="64" t="str">
        <f>Ringkasan!AB958</f>
        <v>Infrastructures</v>
      </c>
    </row>
    <row r="960" hidden="1">
      <c r="A960" s="64" t="str">
        <f>Ringkasan!A959</f>
        <v>ISAT</v>
      </c>
      <c r="B960" s="64" t="str">
        <f>Ringkasan!B959</f>
        <v>PT Indosat Tbk</v>
      </c>
      <c r="C960" s="65">
        <f>Ringkasan!C959</f>
        <v>1855</v>
      </c>
      <c r="D960" s="64" t="str">
        <f>Ringkasan!D959</f>
        <v>#N/A</v>
      </c>
      <c r="E960" s="64" t="str">
        <f>Ringkasan!E959</f>
        <v>SMINFRA18</v>
      </c>
      <c r="F960" s="64" t="str">
        <f>Ringkasan!F959</f>
        <v>30 Oktober 2026</v>
      </c>
      <c r="G960" s="64">
        <f>Ringkasan!G959</f>
        <v>13</v>
      </c>
      <c r="H960" s="19">
        <f>Ringkasan!H959</f>
        <v>12.2</v>
      </c>
      <c r="I960" s="19">
        <f>Ringkasan!I959</f>
        <v>1.7</v>
      </c>
      <c r="J960" s="19">
        <f>Ringkasan!J959</f>
        <v>13.9</v>
      </c>
      <c r="K960" s="19">
        <f>Ringkasan!K959</f>
        <v>4.7</v>
      </c>
      <c r="L960" s="19">
        <f>Ringkasan!L959</f>
        <v>2</v>
      </c>
      <c r="M960" s="19">
        <f>Ringkasan!M959</f>
        <v>37.4</v>
      </c>
      <c r="N960" s="64" t="str">
        <f>Ringkasan!N959</f>
        <v/>
      </c>
      <c r="O960" s="64" t="str">
        <f>Ringkasan!O959</f>
        <v/>
      </c>
      <c r="P960" s="64" t="str">
        <f>Ringkasan!P959</f>
        <v/>
      </c>
      <c r="Q960" s="64" t="str">
        <f>Ringkasan!Q959</f>
        <v/>
      </c>
      <c r="R960" s="64" t="str">
        <f>Ringkasan!R959</f>
        <v/>
      </c>
      <c r="S960" s="64" t="str">
        <f>Ringkasan!S959</f>
        <v/>
      </c>
      <c r="T960" s="64" t="str">
        <f>Ringkasan!T959</f>
        <v/>
      </c>
      <c r="U960" s="64">
        <f>Ringkasan!U959</f>
        <v>1895</v>
      </c>
      <c r="V960" s="64">
        <f>Ringkasan!V959</f>
        <v>-2.11</v>
      </c>
      <c r="W960" s="64">
        <f>Ringkasan!W959</f>
        <v>1905</v>
      </c>
      <c r="X960" s="64">
        <f>Ringkasan!X959</f>
        <v>1915</v>
      </c>
      <c r="Y960" s="64">
        <f>Ringkasan!Y959</f>
        <v>1830</v>
      </c>
      <c r="Z960" s="64">
        <f>Ringkasan!Z959</f>
        <v>30896800</v>
      </c>
      <c r="AA960" s="64" t="str">
        <f>Ringkasan!AA959</f>
        <v>Wireless Telecommunication Services</v>
      </c>
      <c r="AB960" s="64" t="str">
        <f>Ringkasan!AB959</f>
        <v>Infrastructures</v>
      </c>
    </row>
    <row r="961" hidden="1">
      <c r="A961" s="64" t="str">
        <f>Ringkasan!A960</f>
        <v>ISAT</v>
      </c>
      <c r="B961" s="64" t="str">
        <f>Ringkasan!B960</f>
        <v>PT Indosat Tbk</v>
      </c>
      <c r="C961" s="65">
        <f>Ringkasan!C960</f>
        <v>1855</v>
      </c>
      <c r="D961" s="64" t="str">
        <f>Ringkasan!D960</f>
        <v>#N/A</v>
      </c>
      <c r="E961" s="64" t="str">
        <f>Ringkasan!E960</f>
        <v>IDXVESTA28</v>
      </c>
      <c r="F961" s="64" t="str">
        <f>Ringkasan!F960</f>
        <v>31 Agustus 2026</v>
      </c>
      <c r="G961" s="64">
        <f>Ringkasan!G960</f>
        <v>13</v>
      </c>
      <c r="H961" s="19">
        <f>Ringkasan!H960</f>
        <v>12.2</v>
      </c>
      <c r="I961" s="19">
        <f>Ringkasan!I960</f>
        <v>1.7</v>
      </c>
      <c r="J961" s="19">
        <f>Ringkasan!J960</f>
        <v>13.9</v>
      </c>
      <c r="K961" s="19">
        <f>Ringkasan!K960</f>
        <v>4.7</v>
      </c>
      <c r="L961" s="19">
        <f>Ringkasan!L960</f>
        <v>2</v>
      </c>
      <c r="M961" s="19">
        <f>Ringkasan!M960</f>
        <v>37.4</v>
      </c>
      <c r="N961" s="64" t="str">
        <f>Ringkasan!N960</f>
        <v/>
      </c>
      <c r="O961" s="64" t="str">
        <f>Ringkasan!O960</f>
        <v/>
      </c>
      <c r="P961" s="64" t="str">
        <f>Ringkasan!P960</f>
        <v/>
      </c>
      <c r="Q961" s="64" t="str">
        <f>Ringkasan!Q960</f>
        <v/>
      </c>
      <c r="R961" s="64" t="str">
        <f>Ringkasan!R960</f>
        <v/>
      </c>
      <c r="S961" s="64" t="str">
        <f>Ringkasan!S960</f>
        <v/>
      </c>
      <c r="T961" s="64" t="str">
        <f>Ringkasan!T960</f>
        <v/>
      </c>
      <c r="U961" s="64">
        <f>Ringkasan!U960</f>
        <v>1895</v>
      </c>
      <c r="V961" s="64">
        <f>Ringkasan!V960</f>
        <v>-2.11</v>
      </c>
      <c r="W961" s="64">
        <f>Ringkasan!W960</f>
        <v>1905</v>
      </c>
      <c r="X961" s="64">
        <f>Ringkasan!X960</f>
        <v>1915</v>
      </c>
      <c r="Y961" s="64">
        <f>Ringkasan!Y960</f>
        <v>1830</v>
      </c>
      <c r="Z961" s="64">
        <f>Ringkasan!Z960</f>
        <v>30896800</v>
      </c>
      <c r="AA961" s="64" t="str">
        <f>Ringkasan!AA960</f>
        <v>Wireless Telecommunication Services</v>
      </c>
      <c r="AB961" s="64" t="str">
        <f>Ringkasan!AB960</f>
        <v>Infrastructures</v>
      </c>
    </row>
    <row r="962" hidden="1">
      <c r="A962" s="64" t="str">
        <f>Ringkasan!A961</f>
        <v>ISAT</v>
      </c>
      <c r="B962" s="64" t="str">
        <f>Ringkasan!B961</f>
        <v>PT Indosat Tbk</v>
      </c>
      <c r="C962" s="65">
        <f>Ringkasan!C961</f>
        <v>1855</v>
      </c>
      <c r="D962" s="64" t="str">
        <f>Ringkasan!D961</f>
        <v>#N/A</v>
      </c>
      <c r="E962" s="64" t="str">
        <f>Ringkasan!E961</f>
        <v>FTSE Large Cap</v>
      </c>
      <c r="F962" s="64" t="str">
        <f>Ringkasan!F961</f>
        <v>Juni 2026</v>
      </c>
      <c r="G962" s="64">
        <f>Ringkasan!G961</f>
        <v>13</v>
      </c>
      <c r="H962" s="19">
        <f>Ringkasan!H961</f>
        <v>12.2</v>
      </c>
      <c r="I962" s="19">
        <f>Ringkasan!I961</f>
        <v>1.7</v>
      </c>
      <c r="J962" s="19">
        <f>Ringkasan!J961</f>
        <v>13.9</v>
      </c>
      <c r="K962" s="19">
        <f>Ringkasan!K961</f>
        <v>4.7</v>
      </c>
      <c r="L962" s="19">
        <f>Ringkasan!L961</f>
        <v>2</v>
      </c>
      <c r="M962" s="19">
        <f>Ringkasan!M961</f>
        <v>37.4</v>
      </c>
      <c r="N962" s="64" t="str">
        <f>Ringkasan!N961</f>
        <v/>
      </c>
      <c r="O962" s="64" t="str">
        <f>Ringkasan!O961</f>
        <v/>
      </c>
      <c r="P962" s="64" t="str">
        <f>Ringkasan!P961</f>
        <v/>
      </c>
      <c r="Q962" s="64" t="str">
        <f>Ringkasan!Q961</f>
        <v/>
      </c>
      <c r="R962" s="64" t="str">
        <f>Ringkasan!R961</f>
        <v/>
      </c>
      <c r="S962" s="64" t="str">
        <f>Ringkasan!S961</f>
        <v/>
      </c>
      <c r="T962" s="64" t="str">
        <f>Ringkasan!T961</f>
        <v/>
      </c>
      <c r="U962" s="64">
        <f>Ringkasan!U961</f>
        <v>1895</v>
      </c>
      <c r="V962" s="64">
        <f>Ringkasan!V961</f>
        <v>-2.11</v>
      </c>
      <c r="W962" s="64">
        <f>Ringkasan!W961</f>
        <v>1905</v>
      </c>
      <c r="X962" s="64">
        <f>Ringkasan!X961</f>
        <v>1915</v>
      </c>
      <c r="Y962" s="64">
        <f>Ringkasan!Y961</f>
        <v>1830</v>
      </c>
      <c r="Z962" s="64">
        <f>Ringkasan!Z961</f>
        <v>30896800</v>
      </c>
      <c r="AA962" s="64" t="str">
        <f>Ringkasan!AA961</f>
        <v>Wireless Telecommunication Services</v>
      </c>
      <c r="AB962" s="64" t="str">
        <f>Ringkasan!AB961</f>
        <v>Infrastructures</v>
      </c>
    </row>
    <row r="963" hidden="1">
      <c r="A963" s="64" t="str">
        <f>Ringkasan!A962</f>
        <v>ISAT</v>
      </c>
      <c r="B963" s="64" t="str">
        <f>Ringkasan!B962</f>
        <v>PT Indosat Tbk</v>
      </c>
      <c r="C963" s="65">
        <f>Ringkasan!C962</f>
        <v>1855</v>
      </c>
      <c r="D963" s="64" t="str">
        <f>Ringkasan!D962</f>
        <v>#N/A</v>
      </c>
      <c r="E963" s="64" t="str">
        <f>Ringkasan!E962</f>
        <v>SRI-KEHATI</v>
      </c>
      <c r="F963" s="66">
        <f>Ringkasan!F962</f>
        <v>46356</v>
      </c>
      <c r="G963" s="65">
        <f>Ringkasan!G962</f>
        <v>13</v>
      </c>
      <c r="H963" s="19">
        <f>Ringkasan!H962</f>
        <v>12.2</v>
      </c>
      <c r="I963" s="19">
        <f>Ringkasan!I962</f>
        <v>1.7</v>
      </c>
      <c r="J963" s="19">
        <f>Ringkasan!J962</f>
        <v>13.9</v>
      </c>
      <c r="K963" s="19">
        <f>Ringkasan!K962</f>
        <v>4.7</v>
      </c>
      <c r="L963" s="19">
        <f>Ringkasan!L962</f>
        <v>2</v>
      </c>
      <c r="M963" s="19">
        <f>Ringkasan!M962</f>
        <v>37.4</v>
      </c>
      <c r="N963" s="64" t="str">
        <f>Ringkasan!N962</f>
        <v/>
      </c>
      <c r="O963" s="64" t="str">
        <f>Ringkasan!O962</f>
        <v/>
      </c>
      <c r="P963" s="64" t="str">
        <f>Ringkasan!P962</f>
        <v/>
      </c>
      <c r="Q963" s="64" t="str">
        <f>Ringkasan!Q962</f>
        <v/>
      </c>
      <c r="R963" s="64" t="str">
        <f>Ringkasan!R962</f>
        <v/>
      </c>
      <c r="S963" s="64" t="str">
        <f>Ringkasan!S962</f>
        <v/>
      </c>
      <c r="T963" s="64" t="str">
        <f>Ringkasan!T962</f>
        <v/>
      </c>
      <c r="U963" s="64">
        <f>Ringkasan!U962</f>
        <v>1895</v>
      </c>
      <c r="V963" s="64">
        <f>Ringkasan!V962</f>
        <v>-2.11</v>
      </c>
      <c r="W963" s="64">
        <f>Ringkasan!W962</f>
        <v>1905</v>
      </c>
      <c r="X963" s="64">
        <f>Ringkasan!X962</f>
        <v>1915</v>
      </c>
      <c r="Y963" s="64">
        <f>Ringkasan!Y962</f>
        <v>1830</v>
      </c>
      <c r="Z963" s="64">
        <f>Ringkasan!Z962</f>
        <v>30896800</v>
      </c>
      <c r="AA963" s="64" t="str">
        <f>Ringkasan!AA962</f>
        <v>Wireless Telecommunication Services</v>
      </c>
      <c r="AB963" s="64" t="str">
        <f>Ringkasan!AB962</f>
        <v>Infrastructures</v>
      </c>
    </row>
    <row r="964" hidden="1">
      <c r="A964" s="64" t="str">
        <f>Ringkasan!A963</f>
        <v>ISAT</v>
      </c>
      <c r="B964" s="64" t="str">
        <f>Ringkasan!B963</f>
        <v>PT Indosat Tbk</v>
      </c>
      <c r="C964" s="65">
        <f>Ringkasan!C963</f>
        <v>1855</v>
      </c>
      <c r="D964" s="64" t="str">
        <f>Ringkasan!D963</f>
        <v>#N/A</v>
      </c>
      <c r="E964" s="64" t="str">
        <f>Ringkasan!E963</f>
        <v>JII70</v>
      </c>
      <c r="F964" s="66">
        <f>Ringkasan!F963</f>
        <v>46356</v>
      </c>
      <c r="G964" s="64">
        <f>Ringkasan!G963</f>
        <v>13</v>
      </c>
      <c r="H964" s="19">
        <f>Ringkasan!H963</f>
        <v>12.2</v>
      </c>
      <c r="I964" s="19">
        <f>Ringkasan!I963</f>
        <v>1.7</v>
      </c>
      <c r="J964" s="19">
        <f>Ringkasan!J963</f>
        <v>13.9</v>
      </c>
      <c r="K964" s="19">
        <f>Ringkasan!K963</f>
        <v>4.7</v>
      </c>
      <c r="L964" s="19">
        <f>Ringkasan!L963</f>
        <v>2</v>
      </c>
      <c r="M964" s="19">
        <f>Ringkasan!M963</f>
        <v>37.4</v>
      </c>
      <c r="N964" s="64" t="str">
        <f>Ringkasan!N963</f>
        <v/>
      </c>
      <c r="O964" s="64" t="str">
        <f>Ringkasan!O963</f>
        <v/>
      </c>
      <c r="P964" s="64" t="str">
        <f>Ringkasan!P963</f>
        <v/>
      </c>
      <c r="Q964" s="64" t="str">
        <f>Ringkasan!Q963</f>
        <v/>
      </c>
      <c r="R964" s="64" t="str">
        <f>Ringkasan!R963</f>
        <v/>
      </c>
      <c r="S964" s="64" t="str">
        <f>Ringkasan!S963</f>
        <v/>
      </c>
      <c r="T964" s="64" t="str">
        <f>Ringkasan!T963</f>
        <v/>
      </c>
      <c r="U964" s="64">
        <f>Ringkasan!U963</f>
        <v>1895</v>
      </c>
      <c r="V964" s="64">
        <f>Ringkasan!V963</f>
        <v>-2.11</v>
      </c>
      <c r="W964" s="64">
        <f>Ringkasan!W963</f>
        <v>1905</v>
      </c>
      <c r="X964" s="64">
        <f>Ringkasan!X963</f>
        <v>1915</v>
      </c>
      <c r="Y964" s="64">
        <f>Ringkasan!Y963</f>
        <v>1830</v>
      </c>
      <c r="Z964" s="64">
        <f>Ringkasan!Z963</f>
        <v>30896800</v>
      </c>
      <c r="AA964" s="64" t="str">
        <f>Ringkasan!AA963</f>
        <v>Wireless Telecommunication Services</v>
      </c>
      <c r="AB964" s="64" t="str">
        <f>Ringkasan!AB963</f>
        <v>Infrastructures</v>
      </c>
    </row>
    <row r="965" hidden="1">
      <c r="A965" s="64" t="str">
        <f>Ringkasan!A964</f>
        <v>ISEA</v>
      </c>
      <c r="B965" s="64" t="str">
        <f>Ringkasan!B964</f>
        <v>Indo American Seafoods Tbk.</v>
      </c>
      <c r="C965" s="65">
        <f>Ringkasan!C964</f>
        <v>65</v>
      </c>
      <c r="D965" s="64" t="str">
        <f>Ringkasan!D964</f>
        <v>#N/A</v>
      </c>
      <c r="E965" s="64" t="str">
        <f>Ringkasan!E964</f>
        <v/>
      </c>
      <c r="F965" s="64" t="str">
        <f>Ringkasan!F964</f>
        <v/>
      </c>
      <c r="G965" s="64">
        <f>Ringkasan!G964</f>
        <v>0</v>
      </c>
      <c r="H965" s="19">
        <f>Ringkasan!H964</f>
        <v>7.6</v>
      </c>
      <c r="I965" s="19">
        <f>Ringkasan!I964</f>
        <v>0.52</v>
      </c>
      <c r="J965" s="19">
        <f>Ringkasan!J964</f>
        <v>6.9</v>
      </c>
      <c r="K965" s="19">
        <f>Ringkasan!K964</f>
        <v>2.9</v>
      </c>
      <c r="L965" s="19">
        <f>Ringkasan!L964</f>
        <v>1.3</v>
      </c>
      <c r="M965" s="19">
        <f>Ringkasan!M964</f>
        <v>7.1</v>
      </c>
      <c r="N965" s="64" t="str">
        <f>Ringkasan!N964</f>
        <v/>
      </c>
      <c r="O965" s="64" t="str">
        <f>Ringkasan!O964</f>
        <v/>
      </c>
      <c r="P965" s="64" t="str">
        <f>Ringkasan!P964</f>
        <v/>
      </c>
      <c r="Q965" s="64" t="str">
        <f>Ringkasan!Q964</f>
        <v/>
      </c>
      <c r="R965" s="64" t="str">
        <f>Ringkasan!R964</f>
        <v/>
      </c>
      <c r="S965" s="64" t="str">
        <f>Ringkasan!S964</f>
        <v/>
      </c>
      <c r="T965" s="64" t="str">
        <f>Ringkasan!T964</f>
        <v/>
      </c>
      <c r="U965" s="64">
        <f>Ringkasan!U964</f>
        <v>63</v>
      </c>
      <c r="V965" s="64">
        <f>Ringkasan!V964</f>
        <v>3.17</v>
      </c>
      <c r="W965" s="64">
        <f>Ringkasan!W964</f>
        <v>63</v>
      </c>
      <c r="X965" s="64">
        <f>Ringkasan!X964</f>
        <v>66</v>
      </c>
      <c r="Y965" s="64">
        <f>Ringkasan!Y964</f>
        <v>62</v>
      </c>
      <c r="Z965" s="64">
        <f>Ringkasan!Z964</f>
        <v>1613200</v>
      </c>
      <c r="AA965" s="64" t="str">
        <f>Ringkasan!AA964</f>
        <v>Agricultural Products</v>
      </c>
      <c r="AB965" s="64" t="str">
        <f>Ringkasan!AB964</f>
        <v>Consumer Non-Cyclicals</v>
      </c>
    </row>
    <row r="966" hidden="1">
      <c r="A966" s="64" t="str">
        <f>Ringkasan!A965</f>
        <v>ISSP</v>
      </c>
      <c r="B966" s="64" t="str">
        <f>Ringkasan!B965</f>
        <v>Steel Pipe Industry of Indonesia Tbk.</v>
      </c>
      <c r="C966" s="65">
        <f>Ringkasan!C965</f>
        <v>398</v>
      </c>
      <c r="D966" s="64" t="str">
        <f>Ringkasan!D965</f>
        <v>#N/A</v>
      </c>
      <c r="E966" s="64" t="str">
        <f>Ringkasan!E965</f>
        <v/>
      </c>
      <c r="F966" s="64" t="str">
        <f>Ringkasan!F965</f>
        <v/>
      </c>
      <c r="G966" s="64">
        <f>Ringkasan!G965</f>
        <v>0</v>
      </c>
      <c r="H966" s="19">
        <f>Ringkasan!H965</f>
        <v>5.8</v>
      </c>
      <c r="I966" s="19">
        <f>Ringkasan!I965</f>
        <v>0.53</v>
      </c>
      <c r="J966" s="19">
        <f>Ringkasan!J965</f>
        <v>9.2</v>
      </c>
      <c r="K966" s="19">
        <f>Ringkasan!K965</f>
        <v>5.9</v>
      </c>
      <c r="L966" s="19">
        <f>Ringkasan!L965</f>
        <v>0.56</v>
      </c>
      <c r="M966" s="19">
        <f>Ringkasan!M965</f>
        <v>43.1</v>
      </c>
      <c r="N966" s="64" t="str">
        <f>Ringkasan!N965</f>
        <v/>
      </c>
      <c r="O966" s="64" t="str">
        <f>Ringkasan!O965</f>
        <v/>
      </c>
      <c r="P966" s="64" t="str">
        <f>Ringkasan!P965</f>
        <v/>
      </c>
      <c r="Q966" s="64" t="str">
        <f>Ringkasan!Q965</f>
        <v/>
      </c>
      <c r="R966" s="64" t="str">
        <f>Ringkasan!R965</f>
        <v/>
      </c>
      <c r="S966" s="64" t="str">
        <f>Ringkasan!S965</f>
        <v/>
      </c>
      <c r="T966" s="64" t="str">
        <f>Ringkasan!T965</f>
        <v/>
      </c>
      <c r="U966" s="64" t="str">
        <f>Ringkasan!U965</f>
        <v/>
      </c>
      <c r="V966" s="64">
        <f>Ringkasan!V965</f>
        <v>0</v>
      </c>
      <c r="W966" s="64">
        <f>Ringkasan!W965</f>
        <v>400</v>
      </c>
      <c r="X966" s="64">
        <f>Ringkasan!X965</f>
        <v>404</v>
      </c>
      <c r="Y966" s="64">
        <f>Ringkasan!Y965</f>
        <v>390</v>
      </c>
      <c r="Z966" s="64">
        <f>Ringkasan!Z965</f>
        <v>3069300</v>
      </c>
      <c r="AA966" s="64" t="str">
        <f>Ringkasan!AA965</f>
        <v>Metals &amp; Minerals</v>
      </c>
      <c r="AB966" s="64" t="str">
        <f>Ringkasan!AB965</f>
        <v>Basic Materials</v>
      </c>
    </row>
    <row r="967" hidden="1">
      <c r="A967" s="64" t="str">
        <f>Ringkasan!A966</f>
        <v>ITIC</v>
      </c>
      <c r="B967" s="64" t="str">
        <f>Ringkasan!B966</f>
        <v>Indonesian Tobacco Tbk.</v>
      </c>
      <c r="C967" s="65">
        <f>Ringkasan!C966</f>
        <v>195</v>
      </c>
      <c r="D967" s="64" t="str">
        <f>Ringkasan!D966</f>
        <v>#N/A</v>
      </c>
      <c r="E967" s="64" t="str">
        <f>Ringkasan!E966</f>
        <v/>
      </c>
      <c r="F967" s="64" t="str">
        <f>Ringkasan!F966</f>
        <v/>
      </c>
      <c r="G967" s="64">
        <f>Ringkasan!G966</f>
        <v>0</v>
      </c>
      <c r="H967" s="19">
        <f>Ringkasan!H966</f>
        <v>9.9</v>
      </c>
      <c r="I967" s="19">
        <f>Ringkasan!I966</f>
        <v>0.42</v>
      </c>
      <c r="J967" s="19">
        <f>Ringkasan!J966</f>
        <v>4.3</v>
      </c>
      <c r="K967" s="19">
        <f>Ringkasan!K966</f>
        <v>3.2</v>
      </c>
      <c r="L967" s="19">
        <f>Ringkasan!L966</f>
        <v>0.34</v>
      </c>
      <c r="M967" s="19">
        <f>Ringkasan!M966</f>
        <v>30.4</v>
      </c>
      <c r="N967" s="64" t="str">
        <f>Ringkasan!N966</f>
        <v/>
      </c>
      <c r="O967" s="64" t="str">
        <f>Ringkasan!O966</f>
        <v/>
      </c>
      <c r="P967" s="64" t="str">
        <f>Ringkasan!P966</f>
        <v/>
      </c>
      <c r="Q967" s="64" t="str">
        <f>Ringkasan!Q966</f>
        <v/>
      </c>
      <c r="R967" s="64" t="str">
        <f>Ringkasan!R966</f>
        <v/>
      </c>
      <c r="S967" s="64" t="str">
        <f>Ringkasan!S966</f>
        <v/>
      </c>
      <c r="T967" s="64" t="str">
        <f>Ringkasan!T966</f>
        <v/>
      </c>
      <c r="U967" s="64">
        <f>Ringkasan!U966</f>
        <v>250.16</v>
      </c>
      <c r="V967" s="64">
        <f>Ringkasan!V966</f>
        <v>1.42</v>
      </c>
      <c r="W967" s="64">
        <f>Ringkasan!W966</f>
        <v>252.47</v>
      </c>
      <c r="X967" s="64">
        <f>Ringkasan!X966</f>
        <v>256.15</v>
      </c>
      <c r="Y967" s="64">
        <f>Ringkasan!Y966</f>
        <v>252.47</v>
      </c>
      <c r="Z967" s="64">
        <f>Ringkasan!Z966</f>
        <v>50251</v>
      </c>
      <c r="AA967" s="64" t="str">
        <f>Ringkasan!AA966</f>
        <v>Tobacco</v>
      </c>
      <c r="AB967" s="64" t="str">
        <f>Ringkasan!AB966</f>
        <v>Consumer Non-Cyclicals</v>
      </c>
    </row>
    <row r="968" hidden="1">
      <c r="A968" s="64" t="str">
        <f>Ringkasan!A967</f>
        <v>ITMA</v>
      </c>
      <c r="B968" s="64" t="str">
        <f>Ringkasan!B967</f>
        <v>SUMBER ENERGI ANDALAN Tbk</v>
      </c>
      <c r="C968" s="65">
        <f>Ringkasan!C967</f>
        <v>1480</v>
      </c>
      <c r="D968" s="64" t="str">
        <f>Ringkasan!D967</f>
        <v>#N/A</v>
      </c>
      <c r="E968" s="64" t="str">
        <f>Ringkasan!E967</f>
        <v/>
      </c>
      <c r="F968" s="64" t="str">
        <f>Ringkasan!F967</f>
        <v/>
      </c>
      <c r="G968" s="64">
        <f>Ringkasan!G967</f>
        <v>0</v>
      </c>
      <c r="H968" s="19">
        <f>Ringkasan!H967</f>
        <v>45.6</v>
      </c>
      <c r="I968" s="19">
        <f>Ringkasan!I967</f>
        <v>0.47</v>
      </c>
      <c r="J968" s="19">
        <f>Ringkasan!J967</f>
        <v>1</v>
      </c>
      <c r="K968" s="19">
        <f>Ringkasan!K967</f>
        <v>0.86</v>
      </c>
      <c r="L968" s="19">
        <f>Ringkasan!L967</f>
        <v>0.2</v>
      </c>
      <c r="M968" s="19">
        <f>Ringkasan!M967</f>
        <v>300</v>
      </c>
      <c r="N968" s="64" t="str">
        <f>Ringkasan!N967</f>
        <v/>
      </c>
      <c r="O968" s="64" t="str">
        <f>Ringkasan!O967</f>
        <v/>
      </c>
      <c r="P968" s="64" t="str">
        <f>Ringkasan!P967</f>
        <v/>
      </c>
      <c r="Q968" s="64" t="str">
        <f>Ringkasan!Q967</f>
        <v/>
      </c>
      <c r="R968" s="64" t="str">
        <f>Ringkasan!R967</f>
        <v/>
      </c>
      <c r="S968" s="64" t="str">
        <f>Ringkasan!S967</f>
        <v/>
      </c>
      <c r="T968" s="64" t="str">
        <f>Ringkasan!T967</f>
        <v/>
      </c>
      <c r="U968" s="64">
        <f>Ringkasan!U967</f>
        <v>1480</v>
      </c>
      <c r="V968" s="64">
        <f>Ringkasan!V967</f>
        <v>0</v>
      </c>
      <c r="W968" s="64">
        <f>Ringkasan!W967</f>
        <v>1475</v>
      </c>
      <c r="X968" s="64">
        <f>Ringkasan!X967</f>
        <v>1500</v>
      </c>
      <c r="Y968" s="64">
        <f>Ringkasan!Y967</f>
        <v>1450</v>
      </c>
      <c r="Z968" s="64">
        <f>Ringkasan!Z967</f>
        <v>101300</v>
      </c>
      <c r="AA968" s="64" t="str">
        <f>Ringkasan!AA967</f>
        <v>Oil, Gas &amp; Coal Supports</v>
      </c>
      <c r="AB968" s="64" t="str">
        <f>Ringkasan!AB967</f>
        <v>Energy</v>
      </c>
    </row>
    <row r="969" hidden="1">
      <c r="A969" s="64" t="str">
        <f>Ringkasan!A968</f>
        <v>ITMG</v>
      </c>
      <c r="B969" s="64" t="str">
        <f>Ringkasan!B968</f>
        <v>Indo Tambangraya Megah Tbk.</v>
      </c>
      <c r="C969" s="65">
        <f>Ringkasan!C968</f>
        <v>23475</v>
      </c>
      <c r="D969" s="64" t="str">
        <f>Ringkasan!D968</f>
        <v>#N/A</v>
      </c>
      <c r="E969" s="64" t="str">
        <f>Ringkasan!E968</f>
        <v>IDXSHAGROW</v>
      </c>
      <c r="F969" s="66">
        <f>Ringkasan!F968</f>
        <v>46356</v>
      </c>
      <c r="G969" s="64">
        <f>Ringkasan!G968</f>
        <v>12</v>
      </c>
      <c r="H969" s="19">
        <f>Ringkasan!H968</f>
        <v>8.2</v>
      </c>
      <c r="I969" s="19">
        <f>Ringkasan!I968</f>
        <v>0.76</v>
      </c>
      <c r="J969" s="19">
        <f>Ringkasan!J968</f>
        <v>9.3</v>
      </c>
      <c r="K969" s="19">
        <f>Ringkasan!K968</f>
        <v>7.5</v>
      </c>
      <c r="L969" s="19">
        <f>Ringkasan!L968</f>
        <v>0.25</v>
      </c>
      <c r="M969" s="19">
        <f>Ringkasan!M968</f>
        <v>36.2</v>
      </c>
      <c r="N969" s="64" t="str">
        <f>Ringkasan!N968</f>
        <v/>
      </c>
      <c r="O969" s="64" t="str">
        <f>Ringkasan!O968</f>
        <v/>
      </c>
      <c r="P969" s="64" t="str">
        <f>Ringkasan!P968</f>
        <v/>
      </c>
      <c r="Q969" s="64" t="str">
        <f>Ringkasan!Q968</f>
        <v/>
      </c>
      <c r="R969" s="64" t="str">
        <f>Ringkasan!R968</f>
        <v/>
      </c>
      <c r="S969" s="64" t="str">
        <f>Ringkasan!S968</f>
        <v/>
      </c>
      <c r="T969" s="64" t="str">
        <f>Ringkasan!T968</f>
        <v/>
      </c>
      <c r="U969" s="64">
        <f>Ringkasan!U968</f>
        <v>22350</v>
      </c>
      <c r="V969" s="64">
        <f>Ringkasan!V968</f>
        <v>5.03</v>
      </c>
      <c r="W969" s="64">
        <f>Ringkasan!W968</f>
        <v>22375</v>
      </c>
      <c r="X969" s="64">
        <f>Ringkasan!X968</f>
        <v>23775</v>
      </c>
      <c r="Y969" s="64">
        <f>Ringkasan!Y968</f>
        <v>22375</v>
      </c>
      <c r="Z969" s="64">
        <f>Ringkasan!Z968</f>
        <v>2791300</v>
      </c>
      <c r="AA969" s="64" t="str">
        <f>Ringkasan!AA968</f>
        <v>Coal</v>
      </c>
      <c r="AB969" s="64" t="str">
        <f>Ringkasan!AB968</f>
        <v>Energy</v>
      </c>
    </row>
    <row r="970" hidden="1">
      <c r="A970" s="64" t="str">
        <f>Ringkasan!A969</f>
        <v>ITMG</v>
      </c>
      <c r="B970" s="64" t="str">
        <f>Ringkasan!B969</f>
        <v>Indo Tambangraya Megah Tbk.</v>
      </c>
      <c r="C970" s="65">
        <f>Ringkasan!C969</f>
        <v>23475</v>
      </c>
      <c r="D970" s="64" t="str">
        <f>Ringkasan!D969</f>
        <v>#N/A</v>
      </c>
      <c r="E970" s="64" t="str">
        <f>Ringkasan!E969</f>
        <v>Investor33</v>
      </c>
      <c r="F970" s="66">
        <f>Ringkasan!F969</f>
        <v>46356</v>
      </c>
      <c r="G970" s="64">
        <f>Ringkasan!G969</f>
        <v>12</v>
      </c>
      <c r="H970" s="19">
        <f>Ringkasan!H969</f>
        <v>8.2</v>
      </c>
      <c r="I970" s="19">
        <f>Ringkasan!I969</f>
        <v>0.76</v>
      </c>
      <c r="J970" s="19">
        <f>Ringkasan!J969</f>
        <v>9.3</v>
      </c>
      <c r="K970" s="19">
        <f>Ringkasan!K969</f>
        <v>7.5</v>
      </c>
      <c r="L970" s="19">
        <f>Ringkasan!L969</f>
        <v>0.25</v>
      </c>
      <c r="M970" s="19">
        <f>Ringkasan!M969</f>
        <v>36.2</v>
      </c>
      <c r="N970" s="64" t="str">
        <f>Ringkasan!N969</f>
        <v/>
      </c>
      <c r="O970" s="64" t="str">
        <f>Ringkasan!O969</f>
        <v/>
      </c>
      <c r="P970" s="64" t="str">
        <f>Ringkasan!P969</f>
        <v/>
      </c>
      <c r="Q970" s="64" t="str">
        <f>Ringkasan!Q969</f>
        <v/>
      </c>
      <c r="R970" s="64" t="str">
        <f>Ringkasan!R969</f>
        <v/>
      </c>
      <c r="S970" s="64" t="str">
        <f>Ringkasan!S969</f>
        <v/>
      </c>
      <c r="T970" s="64" t="str">
        <f>Ringkasan!T969</f>
        <v/>
      </c>
      <c r="U970" s="64">
        <f>Ringkasan!U969</f>
        <v>22350</v>
      </c>
      <c r="V970" s="64">
        <f>Ringkasan!V969</f>
        <v>5.03</v>
      </c>
      <c r="W970" s="64">
        <f>Ringkasan!W969</f>
        <v>22375</v>
      </c>
      <c r="X970" s="64">
        <f>Ringkasan!X969</f>
        <v>23775</v>
      </c>
      <c r="Y970" s="64">
        <f>Ringkasan!Y969</f>
        <v>22375</v>
      </c>
      <c r="Z970" s="64">
        <f>Ringkasan!Z969</f>
        <v>2791300</v>
      </c>
      <c r="AA970" s="64" t="str">
        <f>Ringkasan!AA969</f>
        <v>Coal</v>
      </c>
      <c r="AB970" s="64" t="str">
        <f>Ringkasan!AB969</f>
        <v>Energy</v>
      </c>
    </row>
    <row r="971" hidden="1">
      <c r="A971" s="64" t="str">
        <f>Ringkasan!A970</f>
        <v>ITMG</v>
      </c>
      <c r="B971" s="64" t="str">
        <f>Ringkasan!B970</f>
        <v>Indo Tambangraya Megah Tbk.</v>
      </c>
      <c r="C971" s="65">
        <f>Ringkasan!C970</f>
        <v>23475</v>
      </c>
      <c r="D971" s="64" t="str">
        <f>Ringkasan!D970</f>
        <v>#N/A</v>
      </c>
      <c r="E971" s="64" t="str">
        <f>Ringkasan!E970</f>
        <v>IDXG30</v>
      </c>
      <c r="F971" s="64" t="str">
        <f>Ringkasan!F970</f>
        <v>4 Agustus 2026</v>
      </c>
      <c r="G971" s="64">
        <f>Ringkasan!G970</f>
        <v>12</v>
      </c>
      <c r="H971" s="19">
        <f>Ringkasan!H970</f>
        <v>8.2</v>
      </c>
      <c r="I971" s="19">
        <f>Ringkasan!I970</f>
        <v>0.76</v>
      </c>
      <c r="J971" s="19">
        <f>Ringkasan!J970</f>
        <v>9.3</v>
      </c>
      <c r="K971" s="19">
        <f>Ringkasan!K970</f>
        <v>7.5</v>
      </c>
      <c r="L971" s="19">
        <f>Ringkasan!L970</f>
        <v>0.25</v>
      </c>
      <c r="M971" s="19">
        <f>Ringkasan!M970</f>
        <v>36.2</v>
      </c>
      <c r="N971" s="64" t="str">
        <f>Ringkasan!N970</f>
        <v/>
      </c>
      <c r="O971" s="64" t="str">
        <f>Ringkasan!O970</f>
        <v/>
      </c>
      <c r="P971" s="64" t="str">
        <f>Ringkasan!P970</f>
        <v/>
      </c>
      <c r="Q971" s="64" t="str">
        <f>Ringkasan!Q970</f>
        <v/>
      </c>
      <c r="R971" s="64" t="str">
        <f>Ringkasan!R970</f>
        <v/>
      </c>
      <c r="S971" s="64" t="str">
        <f>Ringkasan!S970</f>
        <v/>
      </c>
      <c r="T971" s="64" t="str">
        <f>Ringkasan!T970</f>
        <v/>
      </c>
      <c r="U971" s="64">
        <f>Ringkasan!U970</f>
        <v>22350</v>
      </c>
      <c r="V971" s="64">
        <f>Ringkasan!V970</f>
        <v>5.03</v>
      </c>
      <c r="W971" s="64">
        <f>Ringkasan!W970</f>
        <v>22375</v>
      </c>
      <c r="X971" s="64">
        <f>Ringkasan!X970</f>
        <v>23775</v>
      </c>
      <c r="Y971" s="64">
        <f>Ringkasan!Y970</f>
        <v>22375</v>
      </c>
      <c r="Z971" s="64">
        <f>Ringkasan!Z970</f>
        <v>2791300</v>
      </c>
      <c r="AA971" s="64" t="str">
        <f>Ringkasan!AA970</f>
        <v>Coal</v>
      </c>
      <c r="AB971" s="64" t="str">
        <f>Ringkasan!AB970</f>
        <v>Energy</v>
      </c>
    </row>
    <row r="972">
      <c r="A972" s="60" t="str">
        <f>Ringkasan!A994</f>
        <v>JPFA</v>
      </c>
      <c r="B972" s="60" t="str">
        <f>Ringkasan!B994</f>
        <v>Japfa Comfeed Indonesia Tbk.</v>
      </c>
      <c r="C972" s="61">
        <f>Ringkasan!C994</f>
        <v>1905</v>
      </c>
      <c r="D972" s="60" t="str">
        <f>Ringkasan!D994</f>
        <v>#N/A</v>
      </c>
      <c r="E972" s="60" t="str">
        <f>Ringkasan!E994</f>
        <v>MNC36</v>
      </c>
      <c r="F972" s="60" t="str">
        <f>Ringkasan!F994</f>
        <v>30 Oktober 2026</v>
      </c>
      <c r="G972" s="61">
        <f>Ringkasan!G994</f>
        <v>13</v>
      </c>
      <c r="H972" s="62">
        <f>Ringkasan!H994</f>
        <v>5.6</v>
      </c>
      <c r="I972" s="62">
        <f>Ringkasan!I994</f>
        <v>1.3</v>
      </c>
      <c r="J972" s="62">
        <f>Ringkasan!J994</f>
        <v>23.3</v>
      </c>
      <c r="K972" s="62">
        <f>Ringkasan!K994</f>
        <v>13.1</v>
      </c>
      <c r="L972" s="62">
        <f>Ringkasan!L994</f>
        <v>0.79</v>
      </c>
      <c r="M972" s="62">
        <f>Ringkasan!M994</f>
        <v>29</v>
      </c>
      <c r="N972" s="60" t="str">
        <f>Ringkasan!N994</f>
        <v/>
      </c>
      <c r="O972" s="60" t="str">
        <f>Ringkasan!O994</f>
        <v/>
      </c>
      <c r="P972" s="60" t="str">
        <f>Ringkasan!P994</f>
        <v/>
      </c>
      <c r="Q972" s="60" t="str">
        <f>Ringkasan!Q994</f>
        <v/>
      </c>
      <c r="R972" s="60" t="str">
        <f>Ringkasan!R994</f>
        <v/>
      </c>
      <c r="S972" s="60" t="str">
        <f>Ringkasan!S994</f>
        <v/>
      </c>
      <c r="T972" s="60" t="str">
        <f>Ringkasan!T994</f>
        <v/>
      </c>
      <c r="U972" s="60">
        <f>Ringkasan!U994</f>
        <v>1860</v>
      </c>
      <c r="V972" s="60">
        <f>Ringkasan!V994</f>
        <v>2.42</v>
      </c>
      <c r="W972" s="60">
        <f>Ringkasan!W994</f>
        <v>1865</v>
      </c>
      <c r="X972" s="60">
        <f>Ringkasan!X994</f>
        <v>1930</v>
      </c>
      <c r="Y972" s="60">
        <f>Ringkasan!Y994</f>
        <v>1840</v>
      </c>
      <c r="Z972" s="60">
        <f>Ringkasan!Z994</f>
        <v>30207300</v>
      </c>
      <c r="AA972" s="60" t="str">
        <f>Ringkasan!AA994</f>
        <v>Agricultural Products</v>
      </c>
      <c r="AB972" s="60" t="str">
        <f>Ringkasan!AB994</f>
        <v>Consumer Non-Cyclicals</v>
      </c>
    </row>
    <row r="973" hidden="1">
      <c r="A973" s="64" t="str">
        <f>Ringkasan!A972</f>
        <v>ITMG</v>
      </c>
      <c r="B973" s="64" t="str">
        <f>Ringkasan!B972</f>
        <v>Indo Tambangraya Megah Tbk.</v>
      </c>
      <c r="C973" s="65">
        <f>Ringkasan!C972</f>
        <v>23475</v>
      </c>
      <c r="D973" s="64" t="str">
        <f>Ringkasan!D972</f>
        <v>#N/A</v>
      </c>
      <c r="E973" s="64" t="str">
        <f>Ringkasan!E972</f>
        <v>IDXHIDIV20</v>
      </c>
      <c r="F973" s="64" t="str">
        <f>Ringkasan!F972</f>
        <v>2 Februari 2027</v>
      </c>
      <c r="G973" s="64">
        <f>Ringkasan!G972</f>
        <v>12</v>
      </c>
      <c r="H973" s="19">
        <f>Ringkasan!H972</f>
        <v>8.2</v>
      </c>
      <c r="I973" s="19">
        <f>Ringkasan!I972</f>
        <v>0.76</v>
      </c>
      <c r="J973" s="19">
        <f>Ringkasan!J972</f>
        <v>9.3</v>
      </c>
      <c r="K973" s="19">
        <f>Ringkasan!K972</f>
        <v>7.5</v>
      </c>
      <c r="L973" s="19">
        <f>Ringkasan!L972</f>
        <v>0.25</v>
      </c>
      <c r="M973" s="19">
        <f>Ringkasan!M972</f>
        <v>36.2</v>
      </c>
      <c r="N973" s="64" t="str">
        <f>Ringkasan!N972</f>
        <v/>
      </c>
      <c r="O973" s="64" t="str">
        <f>Ringkasan!O972</f>
        <v/>
      </c>
      <c r="P973" s="64" t="str">
        <f>Ringkasan!P972</f>
        <v/>
      </c>
      <c r="Q973" s="64" t="str">
        <f>Ringkasan!Q972</f>
        <v/>
      </c>
      <c r="R973" s="64" t="str">
        <f>Ringkasan!R972</f>
        <v/>
      </c>
      <c r="S973" s="64" t="str">
        <f>Ringkasan!S972</f>
        <v/>
      </c>
      <c r="T973" s="64" t="str">
        <f>Ringkasan!T972</f>
        <v/>
      </c>
      <c r="U973" s="64">
        <f>Ringkasan!U972</f>
        <v>22350</v>
      </c>
      <c r="V973" s="64">
        <f>Ringkasan!V972</f>
        <v>5.03</v>
      </c>
      <c r="W973" s="64">
        <f>Ringkasan!W972</f>
        <v>22375</v>
      </c>
      <c r="X973" s="64">
        <f>Ringkasan!X972</f>
        <v>23775</v>
      </c>
      <c r="Y973" s="64">
        <f>Ringkasan!Y972</f>
        <v>22375</v>
      </c>
      <c r="Z973" s="64">
        <f>Ringkasan!Z972</f>
        <v>2791300</v>
      </c>
      <c r="AA973" s="64" t="str">
        <f>Ringkasan!AA972</f>
        <v>Coal</v>
      </c>
      <c r="AB973" s="64" t="str">
        <f>Ringkasan!AB972</f>
        <v>Energy</v>
      </c>
    </row>
    <row r="974" hidden="1">
      <c r="A974" s="64" t="str">
        <f>Ringkasan!A151</f>
        <v>ARTA</v>
      </c>
      <c r="B974" s="64" t="str">
        <f>Ringkasan!B151</f>
        <v>Arthavest Tbk</v>
      </c>
      <c r="C974" s="65">
        <f>Ringkasan!C151</f>
        <v>2280</v>
      </c>
      <c r="D974" s="64" t="str">
        <f>Ringkasan!D151</f>
        <v>#N/A</v>
      </c>
      <c r="E974" s="64" t="str">
        <f>Ringkasan!E151</f>
        <v/>
      </c>
      <c r="F974" s="64" t="str">
        <f>Ringkasan!F151</f>
        <v/>
      </c>
      <c r="G974" s="64">
        <f>Ringkasan!G151</f>
        <v>0</v>
      </c>
      <c r="H974" s="19">
        <f>Ringkasan!H151</f>
        <v>-300</v>
      </c>
      <c r="I974" s="19">
        <f>Ringkasan!I151</f>
        <v>4.1</v>
      </c>
      <c r="J974" s="19">
        <f>Ringkasan!J151</f>
        <v>-1.4</v>
      </c>
      <c r="K974" s="19">
        <f>Ringkasan!K151</f>
        <v>-1.3</v>
      </c>
      <c r="L974" s="19">
        <f>Ringkasan!L151</f>
        <v>0.03</v>
      </c>
      <c r="M974" s="19">
        <f>Ringkasan!M151</f>
        <v>-30.6</v>
      </c>
      <c r="N974" s="64" t="str">
        <f>Ringkasan!N151</f>
        <v/>
      </c>
      <c r="O974" s="64" t="str">
        <f>Ringkasan!O151</f>
        <v/>
      </c>
      <c r="P974" s="64" t="str">
        <f>Ringkasan!P151</f>
        <v/>
      </c>
      <c r="Q974" s="64" t="str">
        <f>Ringkasan!Q151</f>
        <v/>
      </c>
      <c r="R974" s="64" t="str">
        <f>Ringkasan!R151</f>
        <v/>
      </c>
      <c r="S974" s="64" t="str">
        <f>Ringkasan!S151</f>
        <v/>
      </c>
      <c r="T974" s="64" t="str">
        <f>Ringkasan!T151</f>
        <v/>
      </c>
      <c r="U974" s="64">
        <f>Ringkasan!U151</f>
        <v>2200</v>
      </c>
      <c r="V974" s="64">
        <f>Ringkasan!V151</f>
        <v>3.64</v>
      </c>
      <c r="W974" s="64">
        <f>Ringkasan!W151</f>
        <v>2210</v>
      </c>
      <c r="X974" s="64">
        <f>Ringkasan!X151</f>
        <v>2280</v>
      </c>
      <c r="Y974" s="64">
        <f>Ringkasan!Y151</f>
        <v>2210</v>
      </c>
      <c r="Z974" s="64">
        <f>Ringkasan!Z151</f>
        <v>500</v>
      </c>
      <c r="AA974" s="64" t="str">
        <f>Ringkasan!AA151</f>
        <v>Tourism &amp; Recreation</v>
      </c>
      <c r="AB974" s="64" t="str">
        <f>Ringkasan!AB151</f>
        <v>Consumer Cyclicals</v>
      </c>
    </row>
    <row r="975" hidden="1">
      <c r="A975" s="64" t="str">
        <f>Ringkasan!A974</f>
        <v>ITMG</v>
      </c>
      <c r="B975" s="64" t="str">
        <f>Ringkasan!B974</f>
        <v>Indo Tambangraya Megah Tbk.</v>
      </c>
      <c r="C975" s="65">
        <f>Ringkasan!C974</f>
        <v>23475</v>
      </c>
      <c r="D975" s="64" t="str">
        <f>Ringkasan!D974</f>
        <v>#N/A</v>
      </c>
      <c r="E975" s="64" t="str">
        <f>Ringkasan!E974</f>
        <v>LQ45</v>
      </c>
      <c r="F975" s="64" t="str">
        <f>Ringkasan!F974</f>
        <v>31 Juli 2026</v>
      </c>
      <c r="G975" s="64">
        <f>Ringkasan!G974</f>
        <v>12</v>
      </c>
      <c r="H975" s="19">
        <f>Ringkasan!H974</f>
        <v>8.2</v>
      </c>
      <c r="I975" s="19">
        <f>Ringkasan!I974</f>
        <v>0.76</v>
      </c>
      <c r="J975" s="19">
        <f>Ringkasan!J974</f>
        <v>9.3</v>
      </c>
      <c r="K975" s="19">
        <f>Ringkasan!K974</f>
        <v>7.5</v>
      </c>
      <c r="L975" s="19">
        <f>Ringkasan!L974</f>
        <v>0.25</v>
      </c>
      <c r="M975" s="19">
        <f>Ringkasan!M974</f>
        <v>36.2</v>
      </c>
      <c r="N975" s="64" t="str">
        <f>Ringkasan!N974</f>
        <v/>
      </c>
      <c r="O975" s="64" t="str">
        <f>Ringkasan!O974</f>
        <v/>
      </c>
      <c r="P975" s="64" t="str">
        <f>Ringkasan!P974</f>
        <v/>
      </c>
      <c r="Q975" s="64" t="str">
        <f>Ringkasan!Q974</f>
        <v/>
      </c>
      <c r="R975" s="64" t="str">
        <f>Ringkasan!R974</f>
        <v/>
      </c>
      <c r="S975" s="64" t="str">
        <f>Ringkasan!S974</f>
        <v/>
      </c>
      <c r="T975" s="64" t="str">
        <f>Ringkasan!T974</f>
        <v/>
      </c>
      <c r="U975" s="64">
        <f>Ringkasan!U974</f>
        <v>22350</v>
      </c>
      <c r="V975" s="64">
        <f>Ringkasan!V974</f>
        <v>5.03</v>
      </c>
      <c r="W975" s="64">
        <f>Ringkasan!W974</f>
        <v>22375</v>
      </c>
      <c r="X975" s="64">
        <f>Ringkasan!X974</f>
        <v>23775</v>
      </c>
      <c r="Y975" s="64">
        <f>Ringkasan!Y974</f>
        <v>22375</v>
      </c>
      <c r="Z975" s="64">
        <f>Ringkasan!Z974</f>
        <v>2791300</v>
      </c>
      <c r="AA975" s="64" t="str">
        <f>Ringkasan!AA974</f>
        <v>Coal</v>
      </c>
      <c r="AB975" s="64" t="str">
        <f>Ringkasan!AB974</f>
        <v>Energy</v>
      </c>
    </row>
    <row r="976" hidden="1">
      <c r="A976" s="64" t="str">
        <f>Ringkasan!A975</f>
        <v>ITMG</v>
      </c>
      <c r="B976" s="64" t="str">
        <f>Ringkasan!B975</f>
        <v>Indo Tambangraya Megah Tbk.</v>
      </c>
      <c r="C976" s="65">
        <f>Ringkasan!C975</f>
        <v>23475</v>
      </c>
      <c r="D976" s="64" t="str">
        <f>Ringkasan!D975</f>
        <v>#N/A</v>
      </c>
      <c r="E976" s="64" t="str">
        <f>Ringkasan!E975</f>
        <v>Kompas100</v>
      </c>
      <c r="F976" s="64" t="str">
        <f>Ringkasan!F975</f>
        <v>31 Juli 2026</v>
      </c>
      <c r="G976" s="64">
        <f>Ringkasan!G975</f>
        <v>12</v>
      </c>
      <c r="H976" s="19">
        <f>Ringkasan!H975</f>
        <v>8.2</v>
      </c>
      <c r="I976" s="19">
        <f>Ringkasan!I975</f>
        <v>0.76</v>
      </c>
      <c r="J976" s="19">
        <f>Ringkasan!J975</f>
        <v>9.3</v>
      </c>
      <c r="K976" s="19">
        <f>Ringkasan!K975</f>
        <v>7.5</v>
      </c>
      <c r="L976" s="19">
        <f>Ringkasan!L975</f>
        <v>0.25</v>
      </c>
      <c r="M976" s="19">
        <f>Ringkasan!M975</f>
        <v>36.2</v>
      </c>
      <c r="N976" s="64" t="str">
        <f>Ringkasan!N975</f>
        <v/>
      </c>
      <c r="O976" s="64" t="str">
        <f>Ringkasan!O975</f>
        <v/>
      </c>
      <c r="P976" s="64" t="str">
        <f>Ringkasan!P975</f>
        <v/>
      </c>
      <c r="Q976" s="64" t="str">
        <f>Ringkasan!Q975</f>
        <v/>
      </c>
      <c r="R976" s="64" t="str">
        <f>Ringkasan!R975</f>
        <v/>
      </c>
      <c r="S976" s="64" t="str">
        <f>Ringkasan!S975</f>
        <v/>
      </c>
      <c r="T976" s="64" t="str">
        <f>Ringkasan!T975</f>
        <v/>
      </c>
      <c r="U976" s="64">
        <f>Ringkasan!U975</f>
        <v>22350</v>
      </c>
      <c r="V976" s="64">
        <f>Ringkasan!V975</f>
        <v>5.03</v>
      </c>
      <c r="W976" s="64">
        <f>Ringkasan!W975</f>
        <v>22375</v>
      </c>
      <c r="X976" s="64">
        <f>Ringkasan!X975</f>
        <v>23775</v>
      </c>
      <c r="Y976" s="64">
        <f>Ringkasan!Y975</f>
        <v>22375</v>
      </c>
      <c r="Z976" s="64">
        <f>Ringkasan!Z975</f>
        <v>2791300</v>
      </c>
      <c r="AA976" s="64" t="str">
        <f>Ringkasan!AA975</f>
        <v>Coal</v>
      </c>
      <c r="AB976" s="64" t="str">
        <f>Ringkasan!AB975</f>
        <v>Energy</v>
      </c>
    </row>
    <row r="977" hidden="1">
      <c r="A977" s="64" t="str">
        <f>Ringkasan!A976</f>
        <v>ITMG</v>
      </c>
      <c r="B977" s="64" t="str">
        <f>Ringkasan!B976</f>
        <v>Indo Tambangraya Megah Tbk.</v>
      </c>
      <c r="C977" s="65">
        <f>Ringkasan!C976</f>
        <v>23475</v>
      </c>
      <c r="D977" s="64" t="str">
        <f>Ringkasan!D976</f>
        <v>#N/A</v>
      </c>
      <c r="E977" s="64" t="str">
        <f>Ringkasan!E976</f>
        <v>IDXV30</v>
      </c>
      <c r="F977" s="64" t="str">
        <f>Ringkasan!F976</f>
        <v>4 Agustus 2026</v>
      </c>
      <c r="G977" s="64">
        <f>Ringkasan!G976</f>
        <v>12</v>
      </c>
      <c r="H977" s="19">
        <f>Ringkasan!H976</f>
        <v>8.2</v>
      </c>
      <c r="I977" s="19">
        <f>Ringkasan!I976</f>
        <v>0.76</v>
      </c>
      <c r="J977" s="19">
        <f>Ringkasan!J976</f>
        <v>9.3</v>
      </c>
      <c r="K977" s="19">
        <f>Ringkasan!K976</f>
        <v>7.5</v>
      </c>
      <c r="L977" s="19">
        <f>Ringkasan!L976</f>
        <v>0.25</v>
      </c>
      <c r="M977" s="19">
        <f>Ringkasan!M976</f>
        <v>36.2</v>
      </c>
      <c r="N977" s="64" t="str">
        <f>Ringkasan!N976</f>
        <v/>
      </c>
      <c r="O977" s="64" t="str">
        <f>Ringkasan!O976</f>
        <v/>
      </c>
      <c r="P977" s="64" t="str">
        <f>Ringkasan!P976</f>
        <v/>
      </c>
      <c r="Q977" s="64" t="str">
        <f>Ringkasan!Q976</f>
        <v/>
      </c>
      <c r="R977" s="64" t="str">
        <f>Ringkasan!R976</f>
        <v/>
      </c>
      <c r="S977" s="64" t="str">
        <f>Ringkasan!S976</f>
        <v/>
      </c>
      <c r="T977" s="64" t="str">
        <f>Ringkasan!T976</f>
        <v/>
      </c>
      <c r="U977" s="64">
        <f>Ringkasan!U976</f>
        <v>22350</v>
      </c>
      <c r="V977" s="64">
        <f>Ringkasan!V976</f>
        <v>5.03</v>
      </c>
      <c r="W977" s="64">
        <f>Ringkasan!W976</f>
        <v>22375</v>
      </c>
      <c r="X977" s="64">
        <f>Ringkasan!X976</f>
        <v>23775</v>
      </c>
      <c r="Y977" s="64">
        <f>Ringkasan!Y976</f>
        <v>22375</v>
      </c>
      <c r="Z977" s="64">
        <f>Ringkasan!Z976</f>
        <v>2791300</v>
      </c>
      <c r="AA977" s="64" t="str">
        <f>Ringkasan!AA976</f>
        <v>Coal</v>
      </c>
      <c r="AB977" s="64" t="str">
        <f>Ringkasan!AB976</f>
        <v>Energy</v>
      </c>
    </row>
    <row r="978" hidden="1">
      <c r="A978" s="64" t="str">
        <f>Ringkasan!A977</f>
        <v>ITMG</v>
      </c>
      <c r="B978" s="64" t="str">
        <f>Ringkasan!B977</f>
        <v>Indo Tambangraya Megah Tbk.</v>
      </c>
      <c r="C978" s="65">
        <f>Ringkasan!C977</f>
        <v>23475</v>
      </c>
      <c r="D978" s="64" t="str">
        <f>Ringkasan!D977</f>
        <v>#N/A</v>
      </c>
      <c r="E978" s="64" t="str">
        <f>Ringkasan!E977</f>
        <v>IDXSMC-LIQ</v>
      </c>
      <c r="F978" s="64" t="str">
        <f>Ringkasan!F977</f>
        <v>4 Agustus 2026</v>
      </c>
      <c r="G978" s="64">
        <f>Ringkasan!G977</f>
        <v>12</v>
      </c>
      <c r="H978" s="19">
        <f>Ringkasan!H977</f>
        <v>8.2</v>
      </c>
      <c r="I978" s="19">
        <f>Ringkasan!I977</f>
        <v>0.76</v>
      </c>
      <c r="J978" s="19">
        <f>Ringkasan!J977</f>
        <v>9.3</v>
      </c>
      <c r="K978" s="19">
        <f>Ringkasan!K977</f>
        <v>7.5</v>
      </c>
      <c r="L978" s="19">
        <f>Ringkasan!L977</f>
        <v>0.25</v>
      </c>
      <c r="M978" s="19">
        <f>Ringkasan!M977</f>
        <v>36.2</v>
      </c>
      <c r="N978" s="64" t="str">
        <f>Ringkasan!N977</f>
        <v/>
      </c>
      <c r="O978" s="64" t="str">
        <f>Ringkasan!O977</f>
        <v/>
      </c>
      <c r="P978" s="64" t="str">
        <f>Ringkasan!P977</f>
        <v/>
      </c>
      <c r="Q978" s="64" t="str">
        <f>Ringkasan!Q977</f>
        <v/>
      </c>
      <c r="R978" s="64" t="str">
        <f>Ringkasan!R977</f>
        <v/>
      </c>
      <c r="S978" s="64" t="str">
        <f>Ringkasan!S977</f>
        <v/>
      </c>
      <c r="T978" s="64" t="str">
        <f>Ringkasan!T977</f>
        <v/>
      </c>
      <c r="U978" s="64">
        <f>Ringkasan!U977</f>
        <v>22350</v>
      </c>
      <c r="V978" s="64">
        <f>Ringkasan!V977</f>
        <v>5.03</v>
      </c>
      <c r="W978" s="64">
        <f>Ringkasan!W977</f>
        <v>22375</v>
      </c>
      <c r="X978" s="64">
        <f>Ringkasan!X977</f>
        <v>23775</v>
      </c>
      <c r="Y978" s="64">
        <f>Ringkasan!Y977</f>
        <v>22375</v>
      </c>
      <c r="Z978" s="64">
        <f>Ringkasan!Z977</f>
        <v>2791300</v>
      </c>
      <c r="AA978" s="64" t="str">
        <f>Ringkasan!AA977</f>
        <v>Coal</v>
      </c>
      <c r="AB978" s="64" t="str">
        <f>Ringkasan!AB977</f>
        <v>Energy</v>
      </c>
    </row>
    <row r="979" hidden="1">
      <c r="A979" s="64" t="str">
        <f>Ringkasan!A978</f>
        <v>ITMG</v>
      </c>
      <c r="B979" s="64" t="str">
        <f>Ringkasan!B978</f>
        <v>Indo Tambangraya Megah Tbk.</v>
      </c>
      <c r="C979" s="65">
        <f>Ringkasan!C978</f>
        <v>23475</v>
      </c>
      <c r="D979" s="64" t="str">
        <f>Ringkasan!D978</f>
        <v>#N/A</v>
      </c>
      <c r="E979" s="64" t="str">
        <f>Ringkasan!E978</f>
        <v>MSCI Small Cap</v>
      </c>
      <c r="F979" s="64" t="str">
        <f>Ringkasan!F978</f>
        <v>12 Agustus 2026</v>
      </c>
      <c r="G979" s="64">
        <f>Ringkasan!G978</f>
        <v>12</v>
      </c>
      <c r="H979" s="19">
        <f>Ringkasan!H978</f>
        <v>8.2</v>
      </c>
      <c r="I979" s="19">
        <f>Ringkasan!I978</f>
        <v>0.76</v>
      </c>
      <c r="J979" s="19">
        <f>Ringkasan!J978</f>
        <v>9.3</v>
      </c>
      <c r="K979" s="19">
        <f>Ringkasan!K978</f>
        <v>7.5</v>
      </c>
      <c r="L979" s="19">
        <f>Ringkasan!L978</f>
        <v>0.25</v>
      </c>
      <c r="M979" s="19">
        <f>Ringkasan!M978</f>
        <v>36.2</v>
      </c>
      <c r="N979" s="64" t="str">
        <f>Ringkasan!N978</f>
        <v/>
      </c>
      <c r="O979" s="64" t="str">
        <f>Ringkasan!O978</f>
        <v/>
      </c>
      <c r="P979" s="64" t="str">
        <f>Ringkasan!P978</f>
        <v/>
      </c>
      <c r="Q979" s="64" t="str">
        <f>Ringkasan!Q978</f>
        <v/>
      </c>
      <c r="R979" s="64" t="str">
        <f>Ringkasan!R978</f>
        <v/>
      </c>
      <c r="S979" s="64" t="str">
        <f>Ringkasan!S978</f>
        <v/>
      </c>
      <c r="T979" s="64" t="str">
        <f>Ringkasan!T978</f>
        <v/>
      </c>
      <c r="U979" s="64">
        <f>Ringkasan!U978</f>
        <v>22350</v>
      </c>
      <c r="V979" s="64">
        <f>Ringkasan!V978</f>
        <v>5.03</v>
      </c>
      <c r="W979" s="64">
        <f>Ringkasan!W978</f>
        <v>22375</v>
      </c>
      <c r="X979" s="64">
        <f>Ringkasan!X978</f>
        <v>23775</v>
      </c>
      <c r="Y979" s="64">
        <f>Ringkasan!Y978</f>
        <v>22375</v>
      </c>
      <c r="Z979" s="64">
        <f>Ringkasan!Z978</f>
        <v>2791300</v>
      </c>
      <c r="AA979" s="64" t="str">
        <f>Ringkasan!AA978</f>
        <v>Coal</v>
      </c>
      <c r="AB979" s="64" t="str">
        <f>Ringkasan!AB978</f>
        <v>Energy</v>
      </c>
    </row>
    <row r="980" hidden="1">
      <c r="A980" s="64" t="str">
        <f>Ringkasan!A979</f>
        <v>ITMG</v>
      </c>
      <c r="B980" s="64" t="str">
        <f>Ringkasan!B979</f>
        <v>Indo Tambangraya Megah Tbk.</v>
      </c>
      <c r="C980" s="65">
        <f>Ringkasan!C979</f>
        <v>23475</v>
      </c>
      <c r="D980" s="64" t="str">
        <f>Ringkasan!D979</f>
        <v>#N/A</v>
      </c>
      <c r="E980" s="64" t="str">
        <f>Ringkasan!E979</f>
        <v>JII70</v>
      </c>
      <c r="F980" s="66">
        <f>Ringkasan!F979</f>
        <v>46356</v>
      </c>
      <c r="G980" s="64">
        <f>Ringkasan!G979</f>
        <v>12</v>
      </c>
      <c r="H980" s="19">
        <f>Ringkasan!H979</f>
        <v>8.2</v>
      </c>
      <c r="I980" s="19">
        <f>Ringkasan!I979</f>
        <v>0.76</v>
      </c>
      <c r="J980" s="19">
        <f>Ringkasan!J979</f>
        <v>9.3</v>
      </c>
      <c r="K980" s="19">
        <f>Ringkasan!K979</f>
        <v>7.5</v>
      </c>
      <c r="L980" s="19">
        <f>Ringkasan!L979</f>
        <v>0.25</v>
      </c>
      <c r="M980" s="19">
        <f>Ringkasan!M979</f>
        <v>36.2</v>
      </c>
      <c r="N980" s="64" t="str">
        <f>Ringkasan!N979</f>
        <v/>
      </c>
      <c r="O980" s="64" t="str">
        <f>Ringkasan!O979</f>
        <v/>
      </c>
      <c r="P980" s="64" t="str">
        <f>Ringkasan!P979</f>
        <v/>
      </c>
      <c r="Q980" s="64" t="str">
        <f>Ringkasan!Q979</f>
        <v/>
      </c>
      <c r="R980" s="64" t="str">
        <f>Ringkasan!R979</f>
        <v/>
      </c>
      <c r="S980" s="64" t="str">
        <f>Ringkasan!S979</f>
        <v/>
      </c>
      <c r="T980" s="64" t="str">
        <f>Ringkasan!T979</f>
        <v/>
      </c>
      <c r="U980" s="64">
        <f>Ringkasan!U979</f>
        <v>22350</v>
      </c>
      <c r="V980" s="64">
        <f>Ringkasan!V979</f>
        <v>5.03</v>
      </c>
      <c r="W980" s="64">
        <f>Ringkasan!W979</f>
        <v>22375</v>
      </c>
      <c r="X980" s="64">
        <f>Ringkasan!X979</f>
        <v>23775</v>
      </c>
      <c r="Y980" s="64">
        <f>Ringkasan!Y979</f>
        <v>22375</v>
      </c>
      <c r="Z980" s="64">
        <f>Ringkasan!Z979</f>
        <v>2791300</v>
      </c>
      <c r="AA980" s="64" t="str">
        <f>Ringkasan!AA979</f>
        <v>Coal</v>
      </c>
      <c r="AB980" s="64" t="str">
        <f>Ringkasan!AB979</f>
        <v>Energy</v>
      </c>
    </row>
    <row r="981" hidden="1">
      <c r="A981" s="64" t="str">
        <f>Ringkasan!A980</f>
        <v>JARR</v>
      </c>
      <c r="B981" s="64" t="str">
        <f>Ringkasan!B980</f>
        <v>Jhonlin Agro Raya Tbk.</v>
      </c>
      <c r="C981" s="65">
        <f>Ringkasan!C980</f>
        <v>1610</v>
      </c>
      <c r="D981" s="64" t="str">
        <f>Ringkasan!D980</f>
        <v>#N/A</v>
      </c>
      <c r="E981" s="64" t="str">
        <f>Ringkasan!E980</f>
        <v/>
      </c>
      <c r="F981" s="64" t="str">
        <f>Ringkasan!F980</f>
        <v/>
      </c>
      <c r="G981" s="64">
        <f>Ringkasan!G980</f>
        <v>0</v>
      </c>
      <c r="H981" s="19">
        <f>Ringkasan!H980</f>
        <v>59.6</v>
      </c>
      <c r="I981" s="19">
        <f>Ringkasan!I980</f>
        <v>7.6</v>
      </c>
      <c r="J981" s="19">
        <f>Ringkasan!J980</f>
        <v>12.8</v>
      </c>
      <c r="K981" s="19">
        <f>Ringkasan!K980</f>
        <v>6.3</v>
      </c>
      <c r="L981" s="19">
        <f>Ringkasan!L980</f>
        <v>1</v>
      </c>
      <c r="M981" s="19">
        <f>Ringkasan!M980</f>
        <v>32.2</v>
      </c>
      <c r="N981" s="64" t="str">
        <f>Ringkasan!N980</f>
        <v/>
      </c>
      <c r="O981" s="64" t="str">
        <f>Ringkasan!O980</f>
        <v/>
      </c>
      <c r="P981" s="64" t="str">
        <f>Ringkasan!P980</f>
        <v/>
      </c>
      <c r="Q981" s="64" t="str">
        <f>Ringkasan!Q980</f>
        <v/>
      </c>
      <c r="R981" s="64" t="str">
        <f>Ringkasan!R980</f>
        <v/>
      </c>
      <c r="S981" s="64" t="str">
        <f>Ringkasan!S980</f>
        <v/>
      </c>
      <c r="T981" s="64" t="str">
        <f>Ringkasan!T980</f>
        <v/>
      </c>
      <c r="U981" s="64">
        <f>Ringkasan!U980</f>
        <v>1515</v>
      </c>
      <c r="V981" s="64" t="str">
        <f>Ringkasan!V980</f>
        <v/>
      </c>
      <c r="W981" s="64">
        <f>Ringkasan!W980</f>
        <v>1520</v>
      </c>
      <c r="X981" s="64">
        <f>Ringkasan!X980</f>
        <v>1675</v>
      </c>
      <c r="Y981" s="64" t="str">
        <f>Ringkasan!Y980</f>
        <v/>
      </c>
      <c r="Z981" s="64">
        <f>Ringkasan!Z980</f>
        <v>1607200</v>
      </c>
      <c r="AA981" s="64" t="str">
        <f>Ringkasan!AA980</f>
        <v>Agricultural Products</v>
      </c>
      <c r="AB981" s="64" t="str">
        <f>Ringkasan!AB980</f>
        <v>Consumer Non-Cyclicals</v>
      </c>
    </row>
    <row r="982" hidden="1">
      <c r="A982" s="64" t="str">
        <f>Ringkasan!A981</f>
        <v>JAST</v>
      </c>
      <c r="B982" s="64" t="str">
        <f>Ringkasan!B981</f>
        <v>Jasnita Telekomindo Tbk.</v>
      </c>
      <c r="C982" s="65">
        <f>Ringkasan!C981</f>
        <v>80</v>
      </c>
      <c r="D982" s="64" t="str">
        <f>Ringkasan!D981</f>
        <v>#N/A</v>
      </c>
      <c r="E982" s="64" t="str">
        <f>Ringkasan!E981</f>
        <v/>
      </c>
      <c r="F982" s="64" t="str">
        <f>Ringkasan!F981</f>
        <v/>
      </c>
      <c r="G982" s="64">
        <f>Ringkasan!G981</f>
        <v>0</v>
      </c>
      <c r="H982" s="19">
        <f>Ringkasan!H981</f>
        <v>-26.2</v>
      </c>
      <c r="I982" s="19">
        <f>Ringkasan!I981</f>
        <v>1</v>
      </c>
      <c r="J982" s="19">
        <f>Ringkasan!J981</f>
        <v>-3.8</v>
      </c>
      <c r="K982" s="19">
        <f>Ringkasan!K981</f>
        <v>-2</v>
      </c>
      <c r="L982" s="19">
        <f>Ringkasan!L981</f>
        <v>0.9</v>
      </c>
      <c r="M982" s="19">
        <f>Ringkasan!M981</f>
        <v>-6.3</v>
      </c>
      <c r="N982" s="64" t="str">
        <f>Ringkasan!N981</f>
        <v/>
      </c>
      <c r="O982" s="64" t="str">
        <f>Ringkasan!O981</f>
        <v/>
      </c>
      <c r="P982" s="64" t="str">
        <f>Ringkasan!P981</f>
        <v/>
      </c>
      <c r="Q982" s="64" t="str">
        <f>Ringkasan!Q981</f>
        <v/>
      </c>
      <c r="R982" s="64" t="str">
        <f>Ringkasan!R981</f>
        <v/>
      </c>
      <c r="S982" s="64" t="str">
        <f>Ringkasan!S981</f>
        <v/>
      </c>
      <c r="T982" s="64" t="str">
        <f>Ringkasan!T981</f>
        <v/>
      </c>
      <c r="U982" s="64">
        <f>Ringkasan!U981</f>
        <v>73</v>
      </c>
      <c r="V982" s="64">
        <f>Ringkasan!V981</f>
        <v>9.59</v>
      </c>
      <c r="W982" s="64">
        <f>Ringkasan!W981</f>
        <v>73</v>
      </c>
      <c r="X982" s="64">
        <f>Ringkasan!X981</f>
        <v>81</v>
      </c>
      <c r="Y982" s="64">
        <f>Ringkasan!Y981</f>
        <v>73</v>
      </c>
      <c r="Z982" s="64">
        <f>Ringkasan!Z981</f>
        <v>10491700</v>
      </c>
      <c r="AA982" s="64" t="str">
        <f>Ringkasan!AA981</f>
        <v>Telecommunication Service</v>
      </c>
      <c r="AB982" s="64" t="str">
        <f>Ringkasan!AB981</f>
        <v>Infrastructures</v>
      </c>
    </row>
    <row r="983" hidden="1">
      <c r="A983" s="64" t="str">
        <f>Ringkasan!A982</f>
        <v>JATI</v>
      </c>
      <c r="B983" s="64" t="str">
        <f>Ringkasan!B982</f>
        <v>PT Informasi Teknologi Indonesia Tbk.</v>
      </c>
      <c r="C983" s="65">
        <f>Ringkasan!C982</f>
        <v>95</v>
      </c>
      <c r="D983" s="64" t="str">
        <f>Ringkasan!D982</f>
        <v>#N/A</v>
      </c>
      <c r="E983" s="64" t="str">
        <f>Ringkasan!E982</f>
        <v/>
      </c>
      <c r="F983" s="64" t="str">
        <f>Ringkasan!F982</f>
        <v/>
      </c>
      <c r="G983" s="64">
        <f>Ringkasan!G982</f>
        <v>0</v>
      </c>
      <c r="H983" s="19">
        <f>Ringkasan!H982</f>
        <v>18.2</v>
      </c>
      <c r="I983" s="19">
        <f>Ringkasan!I982</f>
        <v>1.9</v>
      </c>
      <c r="J983" s="19">
        <f>Ringkasan!J982</f>
        <v>10.2</v>
      </c>
      <c r="K983" s="19">
        <f>Ringkasan!K982</f>
        <v>3.8</v>
      </c>
      <c r="L983" s="19">
        <f>Ringkasan!L982</f>
        <v>1.7</v>
      </c>
      <c r="M983" s="19">
        <f>Ringkasan!M982</f>
        <v>10.5</v>
      </c>
      <c r="N983" s="64" t="str">
        <f>Ringkasan!N982</f>
        <v/>
      </c>
      <c r="O983" s="64" t="str">
        <f>Ringkasan!O982</f>
        <v/>
      </c>
      <c r="P983" s="64" t="str">
        <f>Ringkasan!P982</f>
        <v/>
      </c>
      <c r="Q983" s="64" t="str">
        <f>Ringkasan!Q982</f>
        <v/>
      </c>
      <c r="R983" s="64" t="str">
        <f>Ringkasan!R982</f>
        <v/>
      </c>
      <c r="S983" s="64" t="str">
        <f>Ringkasan!S982</f>
        <v/>
      </c>
      <c r="T983" s="64" t="str">
        <f>Ringkasan!T982</f>
        <v/>
      </c>
      <c r="U983" s="64">
        <f>Ringkasan!U982</f>
        <v>90</v>
      </c>
      <c r="V983" s="64">
        <f>Ringkasan!V982</f>
        <v>5.56</v>
      </c>
      <c r="W983" s="64">
        <f>Ringkasan!W982</f>
        <v>92</v>
      </c>
      <c r="X983" s="64">
        <f>Ringkasan!X982</f>
        <v>97</v>
      </c>
      <c r="Y983" s="64">
        <f>Ringkasan!Y982</f>
        <v>91</v>
      </c>
      <c r="Z983" s="64">
        <f>Ringkasan!Z982</f>
        <v>5213600</v>
      </c>
      <c r="AA983" s="64" t="str">
        <f>Ringkasan!AA982</f>
        <v>Online Applications &amp; Services</v>
      </c>
      <c r="AB983" s="64" t="str">
        <f>Ringkasan!AB982</f>
        <v>Technology</v>
      </c>
    </row>
    <row r="984" hidden="1">
      <c r="A984" s="64" t="str">
        <f>Ringkasan!A983</f>
        <v>JAWA</v>
      </c>
      <c r="B984" s="64" t="str">
        <f>Ringkasan!B983</f>
        <v>Jaya Agra Wattie Tbk</v>
      </c>
      <c r="C984" s="65">
        <f>Ringkasan!C983</f>
        <v>118</v>
      </c>
      <c r="D984" s="64" t="str">
        <f>Ringkasan!D983</f>
        <v>#N/A</v>
      </c>
      <c r="E984" s="64" t="str">
        <f>Ringkasan!E983</f>
        <v/>
      </c>
      <c r="F984" s="64" t="str">
        <f>Ringkasan!F983</f>
        <v/>
      </c>
      <c r="G984" s="64">
        <f>Ringkasan!G983</f>
        <v>0</v>
      </c>
      <c r="H984" s="19">
        <f>Ringkasan!H983</f>
        <v>-28.7</v>
      </c>
      <c r="I984" s="19">
        <f>Ringkasan!I983</f>
        <v>1.6</v>
      </c>
      <c r="J984" s="19">
        <f>Ringkasan!J983</f>
        <v>-5.6</v>
      </c>
      <c r="K984" s="19">
        <f>Ringkasan!K983</f>
        <v>-1.9</v>
      </c>
      <c r="L984" s="19">
        <f>Ringkasan!L983</f>
        <v>2</v>
      </c>
      <c r="M984" s="19">
        <f>Ringkasan!M983</f>
        <v>-21.1</v>
      </c>
      <c r="N984" s="64" t="str">
        <f>Ringkasan!N983</f>
        <v/>
      </c>
      <c r="O984" s="64" t="str">
        <f>Ringkasan!O983</f>
        <v/>
      </c>
      <c r="P984" s="64" t="str">
        <f>Ringkasan!P983</f>
        <v/>
      </c>
      <c r="Q984" s="64" t="str">
        <f>Ringkasan!Q983</f>
        <v/>
      </c>
      <c r="R984" s="64" t="str">
        <f>Ringkasan!R983</f>
        <v/>
      </c>
      <c r="S984" s="64" t="str">
        <f>Ringkasan!S983</f>
        <v/>
      </c>
      <c r="T984" s="64" t="str">
        <f>Ringkasan!T983</f>
        <v/>
      </c>
      <c r="U984" s="64">
        <f>Ringkasan!U983</f>
        <v>117</v>
      </c>
      <c r="V984" s="64">
        <f>Ringkasan!V983</f>
        <v>0.85</v>
      </c>
      <c r="W984" s="64">
        <f>Ringkasan!W983</f>
        <v>117</v>
      </c>
      <c r="X984" s="64">
        <f>Ringkasan!X983</f>
        <v>120</v>
      </c>
      <c r="Y984" s="64">
        <f>Ringkasan!Y983</f>
        <v>113</v>
      </c>
      <c r="Z984" s="64">
        <f>Ringkasan!Z983</f>
        <v>1123400</v>
      </c>
      <c r="AA984" s="64" t="str">
        <f>Ringkasan!AA983</f>
        <v>Agricultural Products</v>
      </c>
      <c r="AB984" s="64" t="str">
        <f>Ringkasan!AB983</f>
        <v>Consumer Non-Cyclicals</v>
      </c>
    </row>
    <row r="985" hidden="1">
      <c r="A985" s="64" t="str">
        <f>Ringkasan!A984</f>
        <v>JAYA</v>
      </c>
      <c r="B985" s="64" t="str">
        <f>Ringkasan!B984</f>
        <v>Armada Berjaya Trans Tbk.</v>
      </c>
      <c r="C985" s="65">
        <f>Ringkasan!C984</f>
        <v>121</v>
      </c>
      <c r="D985" s="64" t="str">
        <f>Ringkasan!D984</f>
        <v>#N/A</v>
      </c>
      <c r="E985" s="64" t="str">
        <f>Ringkasan!E984</f>
        <v/>
      </c>
      <c r="F985" s="64" t="str">
        <f>Ringkasan!F984</f>
        <v/>
      </c>
      <c r="G985" s="64">
        <f>Ringkasan!G984</f>
        <v>0</v>
      </c>
      <c r="H985" s="19">
        <f>Ringkasan!H984</f>
        <v>15.7</v>
      </c>
      <c r="I985" s="19">
        <f>Ringkasan!I984</f>
        <v>0.81</v>
      </c>
      <c r="J985" s="19">
        <f>Ringkasan!J984</f>
        <v>5.2</v>
      </c>
      <c r="K985" s="19">
        <f>Ringkasan!K984</f>
        <v>1.6</v>
      </c>
      <c r="L985" s="19">
        <f>Ringkasan!L984</f>
        <v>2.3</v>
      </c>
      <c r="M985" s="19">
        <f>Ringkasan!M984</f>
        <v>24.3</v>
      </c>
      <c r="N985" s="64" t="str">
        <f>Ringkasan!N984</f>
        <v/>
      </c>
      <c r="O985" s="64" t="str">
        <f>Ringkasan!O984</f>
        <v/>
      </c>
      <c r="P985" s="64" t="str">
        <f>Ringkasan!P984</f>
        <v/>
      </c>
      <c r="Q985" s="64" t="str">
        <f>Ringkasan!Q984</f>
        <v/>
      </c>
      <c r="R985" s="64" t="str">
        <f>Ringkasan!R984</f>
        <v/>
      </c>
      <c r="S985" s="64" t="str">
        <f>Ringkasan!S984</f>
        <v/>
      </c>
      <c r="T985" s="64" t="str">
        <f>Ringkasan!T984</f>
        <v/>
      </c>
      <c r="U985" s="64">
        <f>Ringkasan!U984</f>
        <v>118</v>
      </c>
      <c r="V985" s="64">
        <f>Ringkasan!V984</f>
        <v>2.54</v>
      </c>
      <c r="W985" s="64">
        <f>Ringkasan!W984</f>
        <v>121</v>
      </c>
      <c r="X985" s="64">
        <f>Ringkasan!X984</f>
        <v>125</v>
      </c>
      <c r="Y985" s="64">
        <f>Ringkasan!Y984</f>
        <v>118</v>
      </c>
      <c r="Z985" s="64">
        <f>Ringkasan!Z984</f>
        <v>1372800</v>
      </c>
      <c r="AA985" s="64" t="str">
        <f>Ringkasan!AA984</f>
        <v>Logistics &amp; Deliveries</v>
      </c>
      <c r="AB985" s="64" t="str">
        <f>Ringkasan!AB984</f>
        <v>Transportation &amp; Logistic</v>
      </c>
    </row>
    <row r="986" hidden="1">
      <c r="A986" s="64" t="str">
        <f>Ringkasan!A639</f>
        <v>EDGE</v>
      </c>
      <c r="B986" s="64" t="str">
        <f>Ringkasan!B639</f>
        <v>Indointernet Tbk.</v>
      </c>
      <c r="C986" s="61">
        <f>Ringkasan!C639</f>
        <v>4790</v>
      </c>
      <c r="D986" s="60" t="str">
        <f>Ringkasan!D639</f>
        <v>#N/A</v>
      </c>
      <c r="E986" s="60" t="str">
        <f>Ringkasan!E639</f>
        <v/>
      </c>
      <c r="F986" s="60" t="str">
        <f>Ringkasan!F639</f>
        <v/>
      </c>
      <c r="G986" s="60">
        <f>Ringkasan!G639</f>
        <v>0</v>
      </c>
      <c r="H986" s="62">
        <f>Ringkasan!H639</f>
        <v>80.9</v>
      </c>
      <c r="I986" s="62">
        <f>Ringkasan!I639</f>
        <v>5.2</v>
      </c>
      <c r="J986" s="62">
        <f>Ringkasan!J639</f>
        <v>6.4</v>
      </c>
      <c r="K986" s="62">
        <f>Ringkasan!K639</f>
        <v>1.6</v>
      </c>
      <c r="L986" s="62">
        <f>Ringkasan!L639</f>
        <v>3</v>
      </c>
      <c r="M986" s="62">
        <f>Ringkasan!M639</f>
        <v>49.2</v>
      </c>
      <c r="N986" s="60" t="str">
        <f>Ringkasan!N639</f>
        <v/>
      </c>
      <c r="O986" s="60" t="str">
        <f>Ringkasan!O639</f>
        <v/>
      </c>
      <c r="P986" s="60" t="str">
        <f>Ringkasan!P639</f>
        <v/>
      </c>
      <c r="Q986" s="60" t="str">
        <f>Ringkasan!Q639</f>
        <v/>
      </c>
      <c r="R986" s="60" t="str">
        <f>Ringkasan!R639</f>
        <v/>
      </c>
      <c r="S986" s="60" t="str">
        <f>Ringkasan!S639</f>
        <v/>
      </c>
      <c r="T986" s="60" t="str">
        <f>Ringkasan!T639</f>
        <v/>
      </c>
      <c r="U986" s="60">
        <f>Ringkasan!U639</f>
        <v>49.92</v>
      </c>
      <c r="V986" s="60">
        <f>Ringkasan!V639</f>
        <v>0.56</v>
      </c>
      <c r="W986" s="60">
        <f>Ringkasan!W639</f>
        <v>50.2</v>
      </c>
      <c r="X986" s="60">
        <f>Ringkasan!X639</f>
        <v>50.2</v>
      </c>
      <c r="Y986" s="60">
        <f>Ringkasan!Y639</f>
        <v>50.2</v>
      </c>
      <c r="Z986" s="60">
        <f>Ringkasan!Z639</f>
        <v>267</v>
      </c>
      <c r="AA986" s="60" t="str">
        <f>Ringkasan!AA639</f>
        <v>IT Services &amp; Consulting</v>
      </c>
      <c r="AB986" s="64" t="str">
        <f>Ringkasan!AB639</f>
        <v>Technology</v>
      </c>
    </row>
    <row r="987" hidden="1">
      <c r="A987" s="64" t="str">
        <f>Ringkasan!A640</f>
        <v>EKAD</v>
      </c>
      <c r="B987" s="64" t="str">
        <f>Ringkasan!B640</f>
        <v>Ekadharma International Tbk.</v>
      </c>
      <c r="C987" s="61">
        <f>Ringkasan!C640</f>
        <v>158</v>
      </c>
      <c r="D987" s="60" t="str">
        <f>Ringkasan!D640</f>
        <v>#N/A</v>
      </c>
      <c r="E987" s="60" t="str">
        <f>Ringkasan!E640</f>
        <v/>
      </c>
      <c r="F987" s="60" t="str">
        <f>Ringkasan!F640</f>
        <v/>
      </c>
      <c r="G987" s="60">
        <f>Ringkasan!G640</f>
        <v>0</v>
      </c>
      <c r="H987" s="62">
        <f>Ringkasan!H640</f>
        <v>12</v>
      </c>
      <c r="I987" s="62">
        <f>Ringkasan!I640</f>
        <v>0.47</v>
      </c>
      <c r="J987" s="62">
        <f>Ringkasan!J640</f>
        <v>4</v>
      </c>
      <c r="K987" s="62">
        <f>Ringkasan!K640</f>
        <v>3.7</v>
      </c>
      <c r="L987" s="62">
        <f>Ringkasan!L640</f>
        <v>0.08</v>
      </c>
      <c r="M987" s="62">
        <f>Ringkasan!M640</f>
        <v>35.2</v>
      </c>
      <c r="N987" s="60" t="str">
        <f>Ringkasan!N640</f>
        <v/>
      </c>
      <c r="O987" s="60" t="str">
        <f>Ringkasan!O640</f>
        <v/>
      </c>
      <c r="P987" s="60" t="str">
        <f>Ringkasan!P640</f>
        <v/>
      </c>
      <c r="Q987" s="60" t="str">
        <f>Ringkasan!Q640</f>
        <v/>
      </c>
      <c r="R987" s="60" t="str">
        <f>Ringkasan!R640</f>
        <v/>
      </c>
      <c r="S987" s="60" t="str">
        <f>Ringkasan!S640</f>
        <v/>
      </c>
      <c r="T987" s="60" t="str">
        <f>Ringkasan!T640</f>
        <v/>
      </c>
      <c r="U987" s="60">
        <f>Ringkasan!U640</f>
        <v>158</v>
      </c>
      <c r="V987" s="60">
        <f>Ringkasan!V640</f>
        <v>0</v>
      </c>
      <c r="W987" s="60">
        <f>Ringkasan!W640</f>
        <v>155</v>
      </c>
      <c r="X987" s="60">
        <f>Ringkasan!X640</f>
        <v>167</v>
      </c>
      <c r="Y987" s="60">
        <f>Ringkasan!Y640</f>
        <v>147</v>
      </c>
      <c r="Z987" s="60">
        <f>Ringkasan!Z640</f>
        <v>1068500</v>
      </c>
      <c r="AA987" s="60" t="str">
        <f>Ringkasan!AA640</f>
        <v>Chemicals</v>
      </c>
      <c r="AB987" s="64" t="str">
        <f>Ringkasan!AB640</f>
        <v>Basic Materials</v>
      </c>
    </row>
    <row r="988" hidden="1">
      <c r="A988" s="60" t="str">
        <f>Ringkasan!A641</f>
        <v>ELIT</v>
      </c>
      <c r="B988" s="60" t="str">
        <f>Ringkasan!B641</f>
        <v>PT Data Sinergitama Jaya Tbk</v>
      </c>
      <c r="C988" s="61">
        <f>Ringkasan!C641</f>
        <v>176</v>
      </c>
      <c r="D988" s="60" t="str">
        <f>Ringkasan!D641</f>
        <v>#N/A</v>
      </c>
      <c r="E988" s="60" t="str">
        <f>Ringkasan!E641</f>
        <v/>
      </c>
      <c r="F988" s="60" t="str">
        <f>Ringkasan!F641</f>
        <v/>
      </c>
      <c r="G988" s="60">
        <f>Ringkasan!G641</f>
        <v>0</v>
      </c>
      <c r="H988" s="62">
        <f>Ringkasan!H641</f>
        <v>11.1</v>
      </c>
      <c r="I988" s="62">
        <f>Ringkasan!I641</f>
        <v>2.3</v>
      </c>
      <c r="J988" s="62">
        <f>Ringkasan!J641</f>
        <v>20.7</v>
      </c>
      <c r="K988" s="62">
        <f>Ringkasan!K641</f>
        <v>11.1</v>
      </c>
      <c r="L988" s="62">
        <f>Ringkasan!L641</f>
        <v>0.86</v>
      </c>
      <c r="M988" s="62">
        <f>Ringkasan!M641</f>
        <v>40.5</v>
      </c>
      <c r="N988" s="60" t="str">
        <f>Ringkasan!N641</f>
        <v/>
      </c>
      <c r="O988" s="60" t="str">
        <f>Ringkasan!O641</f>
        <v/>
      </c>
      <c r="P988" s="60" t="str">
        <f>Ringkasan!P641</f>
        <v/>
      </c>
      <c r="Q988" s="60" t="str">
        <f>Ringkasan!Q641</f>
        <v/>
      </c>
      <c r="R988" s="60" t="str">
        <f>Ringkasan!R641</f>
        <v/>
      </c>
      <c r="S988" s="60" t="str">
        <f>Ringkasan!S641</f>
        <v/>
      </c>
      <c r="T988" s="60" t="str">
        <f>Ringkasan!T641</f>
        <v/>
      </c>
      <c r="U988" s="60">
        <f>Ringkasan!U641</f>
        <v>171</v>
      </c>
      <c r="V988" s="60">
        <f>Ringkasan!V641</f>
        <v>2.92</v>
      </c>
      <c r="W988" s="60">
        <f>Ringkasan!W641</f>
        <v>172</v>
      </c>
      <c r="X988" s="60">
        <f>Ringkasan!X641</f>
        <v>185</v>
      </c>
      <c r="Y988" s="60">
        <f>Ringkasan!Y641</f>
        <v>171</v>
      </c>
      <c r="Z988" s="60">
        <f>Ringkasan!Z641</f>
        <v>3516200</v>
      </c>
      <c r="AA988" s="60" t="str">
        <f>Ringkasan!AA641</f>
        <v>IT Services &amp; Consulting</v>
      </c>
      <c r="AB988" s="60" t="str">
        <f>Ringkasan!AB641</f>
        <v>Technology</v>
      </c>
    </row>
    <row r="989" hidden="1">
      <c r="A989" s="64" t="str">
        <f>Ringkasan!A644</f>
        <v>ELSA</v>
      </c>
      <c r="B989" s="64" t="str">
        <f>Ringkasan!B644</f>
        <v>Elnusa Tbk.</v>
      </c>
      <c r="C989" s="61">
        <f>Ringkasan!C644</f>
        <v>620</v>
      </c>
      <c r="D989" s="60" t="str">
        <f>Ringkasan!D644</f>
        <v>#N/A</v>
      </c>
      <c r="E989" s="60" t="str">
        <f>Ringkasan!E644</f>
        <v>IDXMESBUMN</v>
      </c>
      <c r="F989" s="63">
        <f>Ringkasan!F644</f>
        <v>46356</v>
      </c>
      <c r="G989" s="60">
        <f>Ringkasan!G644</f>
        <v>10</v>
      </c>
      <c r="H989" s="62">
        <f>Ringkasan!H644</f>
        <v>6.2</v>
      </c>
      <c r="I989" s="62">
        <f>Ringkasan!I644</f>
        <v>0.81</v>
      </c>
      <c r="J989" s="62">
        <f>Ringkasan!J644</f>
        <v>13.1</v>
      </c>
      <c r="K989" s="62">
        <f>Ringkasan!K644</f>
        <v>6.6</v>
      </c>
      <c r="L989" s="62">
        <f>Ringkasan!L644</f>
        <v>1</v>
      </c>
      <c r="M989" s="62">
        <f>Ringkasan!M644</f>
        <v>19.9</v>
      </c>
      <c r="N989" s="60" t="str">
        <f>Ringkasan!N644</f>
        <v/>
      </c>
      <c r="O989" s="60" t="str">
        <f>Ringkasan!O644</f>
        <v/>
      </c>
      <c r="P989" s="60" t="str">
        <f>Ringkasan!P644</f>
        <v/>
      </c>
      <c r="Q989" s="60" t="str">
        <f>Ringkasan!Q644</f>
        <v/>
      </c>
      <c r="R989" s="60" t="str">
        <f>Ringkasan!R644</f>
        <v/>
      </c>
      <c r="S989" s="60" t="str">
        <f>Ringkasan!S644</f>
        <v/>
      </c>
      <c r="T989" s="60" t="str">
        <f>Ringkasan!T644</f>
        <v/>
      </c>
      <c r="U989" s="60">
        <f>Ringkasan!U644</f>
        <v>2.24</v>
      </c>
      <c r="V989" s="60">
        <f>Ringkasan!V644</f>
        <v>0</v>
      </c>
      <c r="W989" s="60" t="str">
        <f>Ringkasan!W644</f>
        <v/>
      </c>
      <c r="X989" s="60" t="str">
        <f>Ringkasan!X644</f>
        <v/>
      </c>
      <c r="Y989" s="60" t="str">
        <f>Ringkasan!Y644</f>
        <v/>
      </c>
      <c r="Z989" s="60">
        <f>Ringkasan!Z644</f>
        <v>0</v>
      </c>
      <c r="AA989" s="60" t="str">
        <f>Ringkasan!AA644</f>
        <v>Oil, Gas &amp; Coal Supports</v>
      </c>
      <c r="AB989" s="64" t="str">
        <f>Ringkasan!AB644</f>
        <v>Energy</v>
      </c>
    </row>
    <row r="990" hidden="1">
      <c r="A990" s="64" t="str">
        <f>Ringkasan!A989</f>
        <v>JMAS</v>
      </c>
      <c r="B990" s="64" t="str">
        <f>Ringkasan!B989</f>
        <v>Asuransi Jiwa Syariah Jasa Mitra Abadi Tbk.</v>
      </c>
      <c r="C990" s="65">
        <f>Ringkasan!C989</f>
        <v>242</v>
      </c>
      <c r="D990" s="64" t="str">
        <f>Ringkasan!D989</f>
        <v>#N/A</v>
      </c>
      <c r="E990" s="64" t="str">
        <f>Ringkasan!E989</f>
        <v/>
      </c>
      <c r="F990" s="64" t="str">
        <f>Ringkasan!F989</f>
        <v/>
      </c>
      <c r="G990" s="64">
        <f>Ringkasan!G989</f>
        <v>0</v>
      </c>
      <c r="H990" s="19">
        <f>Ringkasan!H989</f>
        <v>57.8</v>
      </c>
      <c r="I990" s="19">
        <f>Ringkasan!I989</f>
        <v>2.2</v>
      </c>
      <c r="J990" s="19">
        <f>Ringkasan!J989</f>
        <v>3.8</v>
      </c>
      <c r="K990" s="19">
        <f>Ringkasan!K989</f>
        <v>1.2</v>
      </c>
      <c r="L990" s="19">
        <f>Ringkasan!L989</f>
        <v>2.6</v>
      </c>
      <c r="M990" s="19">
        <f>Ringkasan!M989</f>
        <v>8</v>
      </c>
      <c r="N990" s="64" t="str">
        <f>Ringkasan!N989</f>
        <v/>
      </c>
      <c r="O990" s="64" t="str">
        <f>Ringkasan!O989</f>
        <v/>
      </c>
      <c r="P990" s="64" t="str">
        <f>Ringkasan!P989</f>
        <v/>
      </c>
      <c r="Q990" s="64" t="str">
        <f>Ringkasan!Q989</f>
        <v/>
      </c>
      <c r="R990" s="64" t="str">
        <f>Ringkasan!R989</f>
        <v/>
      </c>
      <c r="S990" s="64" t="str">
        <f>Ringkasan!S989</f>
        <v/>
      </c>
      <c r="T990" s="64" t="str">
        <f>Ringkasan!T989</f>
        <v/>
      </c>
      <c r="U990" s="64">
        <f>Ringkasan!U989</f>
        <v>252</v>
      </c>
      <c r="V990" s="64">
        <f>Ringkasan!V989</f>
        <v>-3.97</v>
      </c>
      <c r="W990" s="64">
        <f>Ringkasan!W989</f>
        <v>242</v>
      </c>
      <c r="X990" s="64">
        <f>Ringkasan!X989</f>
        <v>250</v>
      </c>
      <c r="Y990" s="64">
        <f>Ringkasan!Y989</f>
        <v>238</v>
      </c>
      <c r="Z990" s="64">
        <f>Ringkasan!Z989</f>
        <v>6198700</v>
      </c>
      <c r="AA990" s="64" t="str">
        <f>Ringkasan!AA989</f>
        <v>Insurance</v>
      </c>
      <c r="AB990" s="64" t="str">
        <f>Ringkasan!AB989</f>
        <v>Financials</v>
      </c>
    </row>
    <row r="991">
      <c r="A991" s="60" t="str">
        <f>Ringkasan!A995</f>
        <v>JPFA</v>
      </c>
      <c r="B991" s="60" t="str">
        <f>Ringkasan!B995</f>
        <v>Japfa Comfeed Indonesia Tbk.</v>
      </c>
      <c r="C991" s="61">
        <f>Ringkasan!C995</f>
        <v>1905</v>
      </c>
      <c r="D991" s="60" t="str">
        <f>Ringkasan!D995</f>
        <v>#N/A</v>
      </c>
      <c r="E991" s="60" t="str">
        <f>Ringkasan!E995</f>
        <v>IDXVESTA28</v>
      </c>
      <c r="F991" s="60" t="str">
        <f>Ringkasan!F995</f>
        <v>31 Agustus 2026</v>
      </c>
      <c r="G991" s="61">
        <f>Ringkasan!G995</f>
        <v>13</v>
      </c>
      <c r="H991" s="62">
        <f>Ringkasan!H995</f>
        <v>5.6</v>
      </c>
      <c r="I991" s="62">
        <f>Ringkasan!I995</f>
        <v>1.3</v>
      </c>
      <c r="J991" s="62">
        <f>Ringkasan!J995</f>
        <v>23.3</v>
      </c>
      <c r="K991" s="62">
        <f>Ringkasan!K995</f>
        <v>13.1</v>
      </c>
      <c r="L991" s="62">
        <f>Ringkasan!L995</f>
        <v>0.79</v>
      </c>
      <c r="M991" s="62">
        <f>Ringkasan!M995</f>
        <v>29</v>
      </c>
      <c r="N991" s="60" t="str">
        <f>Ringkasan!N995</f>
        <v/>
      </c>
      <c r="O991" s="60" t="str">
        <f>Ringkasan!O995</f>
        <v/>
      </c>
      <c r="P991" s="60" t="str">
        <f>Ringkasan!P995</f>
        <v/>
      </c>
      <c r="Q991" s="60" t="str">
        <f>Ringkasan!Q995</f>
        <v/>
      </c>
      <c r="R991" s="60" t="str">
        <f>Ringkasan!R995</f>
        <v/>
      </c>
      <c r="S991" s="60" t="str">
        <f>Ringkasan!S995</f>
        <v/>
      </c>
      <c r="T991" s="60" t="str">
        <f>Ringkasan!T995</f>
        <v/>
      </c>
      <c r="U991" s="60">
        <f>Ringkasan!U995</f>
        <v>1860</v>
      </c>
      <c r="V991" s="60">
        <f>Ringkasan!V995</f>
        <v>2.42</v>
      </c>
      <c r="W991" s="60">
        <f>Ringkasan!W995</f>
        <v>1865</v>
      </c>
      <c r="X991" s="60">
        <f>Ringkasan!X995</f>
        <v>1930</v>
      </c>
      <c r="Y991" s="60">
        <f>Ringkasan!Y995</f>
        <v>1840</v>
      </c>
      <c r="Z991" s="60">
        <f>Ringkasan!Z995</f>
        <v>30207300</v>
      </c>
      <c r="AA991" s="60" t="str">
        <f>Ringkasan!AA995</f>
        <v>Agricultural Products</v>
      </c>
      <c r="AB991" s="60" t="str">
        <f>Ringkasan!AB995</f>
        <v>Consumer Non-Cyclicals</v>
      </c>
    </row>
    <row r="992">
      <c r="A992" s="60" t="str">
        <f>Ringkasan!A996</f>
        <v>JPFA</v>
      </c>
      <c r="B992" s="60" t="str">
        <f>Ringkasan!B996</f>
        <v>Japfa Comfeed Indonesia Tbk.</v>
      </c>
      <c r="C992" s="61">
        <f>Ringkasan!C996</f>
        <v>1905</v>
      </c>
      <c r="D992" s="60" t="str">
        <f>Ringkasan!D996</f>
        <v>#N/A</v>
      </c>
      <c r="E992" s="60" t="str">
        <f>Ringkasan!E996</f>
        <v>Kompas100</v>
      </c>
      <c r="F992" s="60" t="str">
        <f>Ringkasan!F996</f>
        <v>31 Juli 2026</v>
      </c>
      <c r="G992" s="61">
        <f>Ringkasan!G996</f>
        <v>13</v>
      </c>
      <c r="H992" s="62">
        <f>Ringkasan!H996</f>
        <v>5.6</v>
      </c>
      <c r="I992" s="62">
        <f>Ringkasan!I996</f>
        <v>1.3</v>
      </c>
      <c r="J992" s="62">
        <f>Ringkasan!J996</f>
        <v>23.3</v>
      </c>
      <c r="K992" s="62">
        <f>Ringkasan!K996</f>
        <v>13.1</v>
      </c>
      <c r="L992" s="62">
        <f>Ringkasan!L996</f>
        <v>0.79</v>
      </c>
      <c r="M992" s="62">
        <f>Ringkasan!M996</f>
        <v>29</v>
      </c>
      <c r="N992" s="60" t="str">
        <f>Ringkasan!N996</f>
        <v/>
      </c>
      <c r="O992" s="60" t="str">
        <f>Ringkasan!O996</f>
        <v/>
      </c>
      <c r="P992" s="60" t="str">
        <f>Ringkasan!P996</f>
        <v/>
      </c>
      <c r="Q992" s="60" t="str">
        <f>Ringkasan!Q996</f>
        <v/>
      </c>
      <c r="R992" s="60" t="str">
        <f>Ringkasan!R996</f>
        <v/>
      </c>
      <c r="S992" s="60" t="str">
        <f>Ringkasan!S996</f>
        <v/>
      </c>
      <c r="T992" s="60" t="str">
        <f>Ringkasan!T996</f>
        <v/>
      </c>
      <c r="U992" s="60">
        <f>Ringkasan!U996</f>
        <v>1860</v>
      </c>
      <c r="V992" s="60">
        <f>Ringkasan!V996</f>
        <v>2.42</v>
      </c>
      <c r="W992" s="60">
        <f>Ringkasan!W996</f>
        <v>1865</v>
      </c>
      <c r="X992" s="60">
        <f>Ringkasan!X996</f>
        <v>1930</v>
      </c>
      <c r="Y992" s="60">
        <f>Ringkasan!Y996</f>
        <v>1840</v>
      </c>
      <c r="Z992" s="60">
        <f>Ringkasan!Z996</f>
        <v>30207300</v>
      </c>
      <c r="AA992" s="60" t="str">
        <f>Ringkasan!AA996</f>
        <v>Agricultural Products</v>
      </c>
      <c r="AB992" s="60" t="str">
        <f>Ringkasan!AB996</f>
        <v>Consumer Non-Cyclicals</v>
      </c>
    </row>
    <row r="993">
      <c r="A993" s="60" t="str">
        <f>Ringkasan!A997</f>
        <v>JPFA</v>
      </c>
      <c r="B993" s="60" t="str">
        <f>Ringkasan!B997</f>
        <v>Japfa Comfeed Indonesia Tbk.</v>
      </c>
      <c r="C993" s="61">
        <f>Ringkasan!C997</f>
        <v>1905</v>
      </c>
      <c r="D993" s="60" t="str">
        <f>Ringkasan!D997</f>
        <v>#N/A</v>
      </c>
      <c r="E993" s="60" t="str">
        <f>Ringkasan!E997</f>
        <v>IDXQ30</v>
      </c>
      <c r="F993" s="60" t="str">
        <f>Ringkasan!F997</f>
        <v>4 Agustus 2026</v>
      </c>
      <c r="G993" s="61">
        <f>Ringkasan!G997</f>
        <v>13</v>
      </c>
      <c r="H993" s="62">
        <f>Ringkasan!H997</f>
        <v>5.6</v>
      </c>
      <c r="I993" s="62">
        <f>Ringkasan!I997</f>
        <v>1.3</v>
      </c>
      <c r="J993" s="62">
        <f>Ringkasan!J997</f>
        <v>23.3</v>
      </c>
      <c r="K993" s="62">
        <f>Ringkasan!K997</f>
        <v>13.1</v>
      </c>
      <c r="L993" s="62">
        <f>Ringkasan!L997</f>
        <v>0.79</v>
      </c>
      <c r="M993" s="62">
        <f>Ringkasan!M997</f>
        <v>29</v>
      </c>
      <c r="N993" s="60" t="str">
        <f>Ringkasan!N997</f>
        <v/>
      </c>
      <c r="O993" s="60" t="str">
        <f>Ringkasan!O997</f>
        <v/>
      </c>
      <c r="P993" s="60" t="str">
        <f>Ringkasan!P997</f>
        <v/>
      </c>
      <c r="Q993" s="60" t="str">
        <f>Ringkasan!Q997</f>
        <v/>
      </c>
      <c r="R993" s="60" t="str">
        <f>Ringkasan!R997</f>
        <v/>
      </c>
      <c r="S993" s="60" t="str">
        <f>Ringkasan!S997</f>
        <v/>
      </c>
      <c r="T993" s="60" t="str">
        <f>Ringkasan!T997</f>
        <v/>
      </c>
      <c r="U993" s="60">
        <f>Ringkasan!U997</f>
        <v>1860</v>
      </c>
      <c r="V993" s="60">
        <f>Ringkasan!V997</f>
        <v>2.42</v>
      </c>
      <c r="W993" s="60">
        <f>Ringkasan!W997</f>
        <v>1865</v>
      </c>
      <c r="X993" s="60">
        <f>Ringkasan!X997</f>
        <v>1930</v>
      </c>
      <c r="Y993" s="60">
        <f>Ringkasan!Y997</f>
        <v>1840</v>
      </c>
      <c r="Z993" s="60">
        <f>Ringkasan!Z997</f>
        <v>30207300</v>
      </c>
      <c r="AA993" s="60" t="str">
        <f>Ringkasan!AA997</f>
        <v>Agricultural Products</v>
      </c>
      <c r="AB993" s="60" t="str">
        <f>Ringkasan!AB997</f>
        <v>Consumer Non-Cyclicals</v>
      </c>
    </row>
    <row r="994">
      <c r="A994" s="60" t="str">
        <f>Ringkasan!A998</f>
        <v>JPFA</v>
      </c>
      <c r="B994" s="60" t="str">
        <f>Ringkasan!B998</f>
        <v>Japfa Comfeed Indonesia Tbk.</v>
      </c>
      <c r="C994" s="61">
        <f>Ringkasan!C998</f>
        <v>1905</v>
      </c>
      <c r="D994" s="60" t="str">
        <f>Ringkasan!D998</f>
        <v>#N/A</v>
      </c>
      <c r="E994" s="60" t="str">
        <f>Ringkasan!E998</f>
        <v>IDXG30</v>
      </c>
      <c r="F994" s="60" t="str">
        <f>Ringkasan!F998</f>
        <v>4 Agustus 2026</v>
      </c>
      <c r="G994" s="61">
        <f>Ringkasan!G998</f>
        <v>13</v>
      </c>
      <c r="H994" s="62">
        <f>Ringkasan!H998</f>
        <v>5.6</v>
      </c>
      <c r="I994" s="62">
        <f>Ringkasan!I998</f>
        <v>1.3</v>
      </c>
      <c r="J994" s="62">
        <f>Ringkasan!J998</f>
        <v>23.3</v>
      </c>
      <c r="K994" s="62">
        <f>Ringkasan!K998</f>
        <v>13.1</v>
      </c>
      <c r="L994" s="62">
        <f>Ringkasan!L998</f>
        <v>0.79</v>
      </c>
      <c r="M994" s="62">
        <f>Ringkasan!M998</f>
        <v>29</v>
      </c>
      <c r="N994" s="60" t="str">
        <f>Ringkasan!N998</f>
        <v/>
      </c>
      <c r="O994" s="60" t="str">
        <f>Ringkasan!O998</f>
        <v/>
      </c>
      <c r="P994" s="60" t="str">
        <f>Ringkasan!P998</f>
        <v/>
      </c>
      <c r="Q994" s="60" t="str">
        <f>Ringkasan!Q998</f>
        <v/>
      </c>
      <c r="R994" s="60" t="str">
        <f>Ringkasan!R998</f>
        <v/>
      </c>
      <c r="S994" s="60" t="str">
        <f>Ringkasan!S998</f>
        <v/>
      </c>
      <c r="T994" s="60" t="str">
        <f>Ringkasan!T998</f>
        <v/>
      </c>
      <c r="U994" s="60">
        <f>Ringkasan!U998</f>
        <v>1860</v>
      </c>
      <c r="V994" s="60">
        <f>Ringkasan!V998</f>
        <v>2.42</v>
      </c>
      <c r="W994" s="60">
        <f>Ringkasan!W998</f>
        <v>1865</v>
      </c>
      <c r="X994" s="60">
        <f>Ringkasan!X998</f>
        <v>1930</v>
      </c>
      <c r="Y994" s="60">
        <f>Ringkasan!Y998</f>
        <v>1840</v>
      </c>
      <c r="Z994" s="60">
        <f>Ringkasan!Z998</f>
        <v>30207300</v>
      </c>
      <c r="AA994" s="60" t="str">
        <f>Ringkasan!AA998</f>
        <v>Agricultural Products</v>
      </c>
      <c r="AB994" s="60" t="str">
        <f>Ringkasan!AB998</f>
        <v>Consumer Non-Cyclicals</v>
      </c>
    </row>
    <row r="995">
      <c r="A995" s="60" t="str">
        <f>Ringkasan!A999</f>
        <v>JPFA</v>
      </c>
      <c r="B995" s="60" t="str">
        <f>Ringkasan!B999</f>
        <v>Japfa Comfeed Indonesia Tbk.</v>
      </c>
      <c r="C995" s="61">
        <f>Ringkasan!C999</f>
        <v>1905</v>
      </c>
      <c r="D995" s="60" t="str">
        <f>Ringkasan!D999</f>
        <v>#N/A</v>
      </c>
      <c r="E995" s="60" t="str">
        <f>Ringkasan!E999</f>
        <v>IDXSMC-LIQ</v>
      </c>
      <c r="F995" s="60" t="str">
        <f>Ringkasan!F999</f>
        <v>4 Agustus 2026</v>
      </c>
      <c r="G995" s="61">
        <f>Ringkasan!G999</f>
        <v>13</v>
      </c>
      <c r="H995" s="62">
        <f>Ringkasan!H999</f>
        <v>5.6</v>
      </c>
      <c r="I995" s="62">
        <f>Ringkasan!I999</f>
        <v>1.3</v>
      </c>
      <c r="J995" s="62">
        <f>Ringkasan!J999</f>
        <v>23.3</v>
      </c>
      <c r="K995" s="62">
        <f>Ringkasan!K999</f>
        <v>13.1</v>
      </c>
      <c r="L995" s="62">
        <f>Ringkasan!L999</f>
        <v>0.79</v>
      </c>
      <c r="M995" s="62">
        <f>Ringkasan!M999</f>
        <v>29</v>
      </c>
      <c r="N995" s="60" t="str">
        <f>Ringkasan!N999</f>
        <v/>
      </c>
      <c r="O995" s="60" t="str">
        <f>Ringkasan!O999</f>
        <v/>
      </c>
      <c r="P995" s="60" t="str">
        <f>Ringkasan!P999</f>
        <v/>
      </c>
      <c r="Q995" s="60" t="str">
        <f>Ringkasan!Q999</f>
        <v/>
      </c>
      <c r="R995" s="60" t="str">
        <f>Ringkasan!R999</f>
        <v/>
      </c>
      <c r="S995" s="60" t="str">
        <f>Ringkasan!S999</f>
        <v/>
      </c>
      <c r="T995" s="60" t="str">
        <f>Ringkasan!T999</f>
        <v/>
      </c>
      <c r="U995" s="60">
        <f>Ringkasan!U999</f>
        <v>1860</v>
      </c>
      <c r="V995" s="60">
        <f>Ringkasan!V999</f>
        <v>2.42</v>
      </c>
      <c r="W995" s="60">
        <f>Ringkasan!W999</f>
        <v>1865</v>
      </c>
      <c r="X995" s="60">
        <f>Ringkasan!X999</f>
        <v>1930</v>
      </c>
      <c r="Y995" s="60">
        <f>Ringkasan!Y999</f>
        <v>1840</v>
      </c>
      <c r="Z995" s="60">
        <f>Ringkasan!Z999</f>
        <v>30207300</v>
      </c>
      <c r="AA995" s="60" t="str">
        <f>Ringkasan!AA999</f>
        <v>Agricultural Products</v>
      </c>
      <c r="AB995" s="60" t="str">
        <f>Ringkasan!AB999</f>
        <v>Consumer Non-Cyclicals</v>
      </c>
    </row>
    <row r="996">
      <c r="A996" s="60" t="str">
        <f>Ringkasan!A1000</f>
        <v>JPFA</v>
      </c>
      <c r="B996" s="60" t="str">
        <f>Ringkasan!B1000</f>
        <v>Japfa Comfeed Indonesia Tbk.</v>
      </c>
      <c r="C996" s="61">
        <f>Ringkasan!C1000</f>
        <v>1905</v>
      </c>
      <c r="D996" s="60" t="str">
        <f>Ringkasan!D1000</f>
        <v>#N/A</v>
      </c>
      <c r="E996" s="60" t="str">
        <f>Ringkasan!E1000</f>
        <v>MSCI Small Cap</v>
      </c>
      <c r="F996" s="60" t="str">
        <f>Ringkasan!F1000</f>
        <v>12 Agustus 2026</v>
      </c>
      <c r="G996" s="61">
        <f>Ringkasan!G1000</f>
        <v>13</v>
      </c>
      <c r="H996" s="62">
        <f>Ringkasan!H1000</f>
        <v>5.6</v>
      </c>
      <c r="I996" s="62">
        <f>Ringkasan!I1000</f>
        <v>1.3</v>
      </c>
      <c r="J996" s="62">
        <f>Ringkasan!J1000</f>
        <v>23.3</v>
      </c>
      <c r="K996" s="62">
        <f>Ringkasan!K1000</f>
        <v>13.1</v>
      </c>
      <c r="L996" s="62">
        <f>Ringkasan!L1000</f>
        <v>0.79</v>
      </c>
      <c r="M996" s="62">
        <f>Ringkasan!M1000</f>
        <v>29</v>
      </c>
      <c r="N996" s="60" t="str">
        <f>Ringkasan!N1000</f>
        <v/>
      </c>
      <c r="O996" s="60" t="str">
        <f>Ringkasan!O1000</f>
        <v/>
      </c>
      <c r="P996" s="60" t="str">
        <f>Ringkasan!P1000</f>
        <v/>
      </c>
      <c r="Q996" s="60" t="str">
        <f>Ringkasan!Q1000</f>
        <v/>
      </c>
      <c r="R996" s="60" t="str">
        <f>Ringkasan!R1000</f>
        <v/>
      </c>
      <c r="S996" s="60" t="str">
        <f>Ringkasan!S1000</f>
        <v/>
      </c>
      <c r="T996" s="60" t="str">
        <f>Ringkasan!T1000</f>
        <v/>
      </c>
      <c r="U996" s="60">
        <f>Ringkasan!U1000</f>
        <v>1860</v>
      </c>
      <c r="V996" s="60">
        <f>Ringkasan!V1000</f>
        <v>2.42</v>
      </c>
      <c r="W996" s="60">
        <f>Ringkasan!W1000</f>
        <v>1865</v>
      </c>
      <c r="X996" s="60">
        <f>Ringkasan!X1000</f>
        <v>1930</v>
      </c>
      <c r="Y996" s="60">
        <f>Ringkasan!Y1000</f>
        <v>1840</v>
      </c>
      <c r="Z996" s="60">
        <f>Ringkasan!Z1000</f>
        <v>30207300</v>
      </c>
      <c r="AA996" s="60" t="str">
        <f>Ringkasan!AA1000</f>
        <v>Agricultural Products</v>
      </c>
      <c r="AB996" s="60" t="str">
        <f>Ringkasan!AB1000</f>
        <v>Consumer Non-Cyclicals</v>
      </c>
    </row>
    <row r="997">
      <c r="A997" s="60" t="str">
        <f>Ringkasan!A1001</f>
        <v>JPFA</v>
      </c>
      <c r="B997" s="60" t="str">
        <f>Ringkasan!B1001</f>
        <v>Japfa Comfeed Indonesia Tbk.</v>
      </c>
      <c r="C997" s="61">
        <f>Ringkasan!C1001</f>
        <v>1905</v>
      </c>
      <c r="D997" s="60" t="str">
        <f>Ringkasan!D1001</f>
        <v>#N/A</v>
      </c>
      <c r="E997" s="60" t="str">
        <f>Ringkasan!E1001</f>
        <v>JII30</v>
      </c>
      <c r="F997" s="63">
        <f>Ringkasan!F1001</f>
        <v>46356</v>
      </c>
      <c r="G997" s="61">
        <f>Ringkasan!G1001</f>
        <v>13</v>
      </c>
      <c r="H997" s="62">
        <f>Ringkasan!H1001</f>
        <v>5.6</v>
      </c>
      <c r="I997" s="62">
        <f>Ringkasan!I1001</f>
        <v>1.3</v>
      </c>
      <c r="J997" s="62">
        <f>Ringkasan!J1001</f>
        <v>23.3</v>
      </c>
      <c r="K997" s="62">
        <f>Ringkasan!K1001</f>
        <v>13.1</v>
      </c>
      <c r="L997" s="62">
        <f>Ringkasan!L1001</f>
        <v>0.79</v>
      </c>
      <c r="M997" s="62">
        <f>Ringkasan!M1001</f>
        <v>29</v>
      </c>
      <c r="N997" s="60" t="str">
        <f>Ringkasan!N1001</f>
        <v/>
      </c>
      <c r="O997" s="60" t="str">
        <f>Ringkasan!O1001</f>
        <v/>
      </c>
      <c r="P997" s="60" t="str">
        <f>Ringkasan!P1001</f>
        <v/>
      </c>
      <c r="Q997" s="60" t="str">
        <f>Ringkasan!Q1001</f>
        <v/>
      </c>
      <c r="R997" s="60" t="str">
        <f>Ringkasan!R1001</f>
        <v/>
      </c>
      <c r="S997" s="60" t="str">
        <f>Ringkasan!S1001</f>
        <v/>
      </c>
      <c r="T997" s="60" t="str">
        <f>Ringkasan!T1001</f>
        <v/>
      </c>
      <c r="U997" s="60">
        <f>Ringkasan!U1001</f>
        <v>1860</v>
      </c>
      <c r="V997" s="60">
        <f>Ringkasan!V1001</f>
        <v>2.42</v>
      </c>
      <c r="W997" s="60">
        <f>Ringkasan!W1001</f>
        <v>1865</v>
      </c>
      <c r="X997" s="60">
        <f>Ringkasan!X1001</f>
        <v>1930</v>
      </c>
      <c r="Y997" s="60">
        <f>Ringkasan!Y1001</f>
        <v>1840</v>
      </c>
      <c r="Z997" s="60">
        <f>Ringkasan!Z1001</f>
        <v>30207300</v>
      </c>
      <c r="AA997" s="60" t="str">
        <f>Ringkasan!AA1001</f>
        <v>Agricultural Products</v>
      </c>
      <c r="AB997" s="60" t="str">
        <f>Ringkasan!AB1001</f>
        <v>Consumer Non-Cyclicals</v>
      </c>
    </row>
    <row r="998" hidden="1">
      <c r="A998" s="64" t="str">
        <f>Ringkasan!A645</f>
        <v>ELSA</v>
      </c>
      <c r="B998" s="64" t="str">
        <f>Ringkasan!B645</f>
        <v>Elnusa Tbk.</v>
      </c>
      <c r="C998" s="61">
        <f>Ringkasan!C645</f>
        <v>620</v>
      </c>
      <c r="D998" s="60" t="str">
        <f>Ringkasan!D645</f>
        <v>#N/A</v>
      </c>
      <c r="E998" s="60" t="str">
        <f>Ringkasan!E645</f>
        <v>IDXSHAGROW</v>
      </c>
      <c r="F998" s="63">
        <f>Ringkasan!F645</f>
        <v>46356</v>
      </c>
      <c r="G998" s="60">
        <f>Ringkasan!G645</f>
        <v>10</v>
      </c>
      <c r="H998" s="62">
        <f>Ringkasan!H645</f>
        <v>6.2</v>
      </c>
      <c r="I998" s="62">
        <f>Ringkasan!I645</f>
        <v>0.81</v>
      </c>
      <c r="J998" s="62">
        <f>Ringkasan!J645</f>
        <v>13.1</v>
      </c>
      <c r="K998" s="62">
        <f>Ringkasan!K645</f>
        <v>6.6</v>
      </c>
      <c r="L998" s="62">
        <f>Ringkasan!L645</f>
        <v>1</v>
      </c>
      <c r="M998" s="62">
        <f>Ringkasan!M645</f>
        <v>19.9</v>
      </c>
      <c r="N998" s="60" t="str">
        <f>Ringkasan!N645</f>
        <v/>
      </c>
      <c r="O998" s="60" t="str">
        <f>Ringkasan!O645</f>
        <v/>
      </c>
      <c r="P998" s="60" t="str">
        <f>Ringkasan!P645</f>
        <v/>
      </c>
      <c r="Q998" s="60" t="str">
        <f>Ringkasan!Q645</f>
        <v/>
      </c>
      <c r="R998" s="60" t="str">
        <f>Ringkasan!R645</f>
        <v/>
      </c>
      <c r="S998" s="60" t="str">
        <f>Ringkasan!S645</f>
        <v/>
      </c>
      <c r="T998" s="60" t="str">
        <f>Ringkasan!T645</f>
        <v/>
      </c>
      <c r="U998" s="60">
        <f>Ringkasan!U645</f>
        <v>2.24</v>
      </c>
      <c r="V998" s="60">
        <f>Ringkasan!V645</f>
        <v>0</v>
      </c>
      <c r="W998" s="60" t="str">
        <f>Ringkasan!W645</f>
        <v/>
      </c>
      <c r="X998" s="60" t="str">
        <f>Ringkasan!X645</f>
        <v/>
      </c>
      <c r="Y998" s="60" t="str">
        <f>Ringkasan!Y645</f>
        <v/>
      </c>
      <c r="Z998" s="60">
        <f>Ringkasan!Z645</f>
        <v>0</v>
      </c>
      <c r="AA998" s="60" t="str">
        <f>Ringkasan!AA645</f>
        <v>Oil, Gas &amp; Coal Supports</v>
      </c>
      <c r="AB998" s="64" t="str">
        <f>Ringkasan!AB645</f>
        <v>Energy</v>
      </c>
    </row>
    <row r="999" hidden="1">
      <c r="A999" s="64" t="str">
        <f>Ringkasan!A646</f>
        <v>ELSA</v>
      </c>
      <c r="B999" s="64" t="str">
        <f>Ringkasan!B646</f>
        <v>Elnusa Tbk.</v>
      </c>
      <c r="C999" s="61">
        <f>Ringkasan!C646</f>
        <v>620</v>
      </c>
      <c r="D999" s="60" t="str">
        <f>Ringkasan!D646</f>
        <v>#N/A</v>
      </c>
      <c r="E999" s="60" t="str">
        <f>Ringkasan!E646</f>
        <v>Kompas100</v>
      </c>
      <c r="F999" s="60" t="str">
        <f>Ringkasan!F646</f>
        <v>31 Juli 2026</v>
      </c>
      <c r="G999" s="60">
        <f>Ringkasan!G646</f>
        <v>10</v>
      </c>
      <c r="H999" s="62">
        <f>Ringkasan!H646</f>
        <v>6.2</v>
      </c>
      <c r="I999" s="62">
        <f>Ringkasan!I646</f>
        <v>0.81</v>
      </c>
      <c r="J999" s="62">
        <f>Ringkasan!J646</f>
        <v>13.1</v>
      </c>
      <c r="K999" s="62">
        <f>Ringkasan!K646</f>
        <v>6.6</v>
      </c>
      <c r="L999" s="62">
        <f>Ringkasan!L646</f>
        <v>1</v>
      </c>
      <c r="M999" s="62">
        <f>Ringkasan!M646</f>
        <v>19.9</v>
      </c>
      <c r="N999" s="60" t="str">
        <f>Ringkasan!N646</f>
        <v/>
      </c>
      <c r="O999" s="60" t="str">
        <f>Ringkasan!O646</f>
        <v/>
      </c>
      <c r="P999" s="60" t="str">
        <f>Ringkasan!P646</f>
        <v/>
      </c>
      <c r="Q999" s="60" t="str">
        <f>Ringkasan!Q646</f>
        <v/>
      </c>
      <c r="R999" s="60" t="str">
        <f>Ringkasan!R646</f>
        <v/>
      </c>
      <c r="S999" s="60" t="str">
        <f>Ringkasan!S646</f>
        <v/>
      </c>
      <c r="T999" s="60" t="str">
        <f>Ringkasan!T646</f>
        <v/>
      </c>
      <c r="U999" s="60">
        <f>Ringkasan!U646</f>
        <v>2.24</v>
      </c>
      <c r="V999" s="60">
        <f>Ringkasan!V646</f>
        <v>0</v>
      </c>
      <c r="W999" s="60" t="str">
        <f>Ringkasan!W646</f>
        <v/>
      </c>
      <c r="X999" s="60" t="str">
        <f>Ringkasan!X646</f>
        <v/>
      </c>
      <c r="Y999" s="60" t="str">
        <f>Ringkasan!Y646</f>
        <v/>
      </c>
      <c r="Z999" s="60">
        <f>Ringkasan!Z646</f>
        <v>0</v>
      </c>
      <c r="AA999" s="60" t="str">
        <f>Ringkasan!AA646</f>
        <v>Oil, Gas &amp; Coal Supports</v>
      </c>
      <c r="AB999" s="64" t="str">
        <f>Ringkasan!AB646</f>
        <v>Energy</v>
      </c>
    </row>
    <row r="1000" hidden="1">
      <c r="A1000" s="64" t="str">
        <f>Ringkasan!A643</f>
        <v>ELSA</v>
      </c>
      <c r="B1000" s="64" t="str">
        <f>Ringkasan!B643</f>
        <v>Elnusa Tbk.</v>
      </c>
      <c r="C1000" s="61">
        <f>Ringkasan!C643</f>
        <v>620</v>
      </c>
      <c r="D1000" s="60" t="str">
        <f>Ringkasan!D643</f>
        <v>#N/A</v>
      </c>
      <c r="E1000" s="60" t="str">
        <f>Ringkasan!E643</f>
        <v>ESGQKEHATI</v>
      </c>
      <c r="F1000" s="63">
        <f>Ringkasan!F643</f>
        <v>46356</v>
      </c>
      <c r="G1000" s="61">
        <f>Ringkasan!G643</f>
        <v>10</v>
      </c>
      <c r="H1000" s="62">
        <f>Ringkasan!H643</f>
        <v>6.2</v>
      </c>
      <c r="I1000" s="62">
        <f>Ringkasan!I643</f>
        <v>0.81</v>
      </c>
      <c r="J1000" s="62">
        <f>Ringkasan!J643</f>
        <v>13.1</v>
      </c>
      <c r="K1000" s="62">
        <f>Ringkasan!K643</f>
        <v>6.6</v>
      </c>
      <c r="L1000" s="62">
        <f>Ringkasan!L643</f>
        <v>1</v>
      </c>
      <c r="M1000" s="62">
        <f>Ringkasan!M643</f>
        <v>19.9</v>
      </c>
      <c r="N1000" s="60" t="str">
        <f>Ringkasan!N643</f>
        <v/>
      </c>
      <c r="O1000" s="60" t="str">
        <f>Ringkasan!O643</f>
        <v/>
      </c>
      <c r="P1000" s="60" t="str">
        <f>Ringkasan!P643</f>
        <v/>
      </c>
      <c r="Q1000" s="60" t="str">
        <f>Ringkasan!Q643</f>
        <v/>
      </c>
      <c r="R1000" s="60" t="str">
        <f>Ringkasan!R643</f>
        <v/>
      </c>
      <c r="S1000" s="60" t="str">
        <f>Ringkasan!S643</f>
        <v/>
      </c>
      <c r="T1000" s="60" t="str">
        <f>Ringkasan!T643</f>
        <v/>
      </c>
      <c r="U1000" s="60">
        <f>Ringkasan!U643</f>
        <v>2.24</v>
      </c>
      <c r="V1000" s="60">
        <f>Ringkasan!V643</f>
        <v>0</v>
      </c>
      <c r="W1000" s="60" t="str">
        <f>Ringkasan!W643</f>
        <v/>
      </c>
      <c r="X1000" s="60" t="str">
        <f>Ringkasan!X643</f>
        <v/>
      </c>
      <c r="Y1000" s="60" t="str">
        <f>Ringkasan!Y643</f>
        <v/>
      </c>
      <c r="Z1000" s="60">
        <f>Ringkasan!Z643</f>
        <v>0</v>
      </c>
      <c r="AA1000" s="60" t="str">
        <f>Ringkasan!AA643</f>
        <v>Oil, Gas &amp; Coal Supports</v>
      </c>
      <c r="AB1000" s="64" t="str">
        <f>Ringkasan!AB643</f>
        <v>Energy</v>
      </c>
    </row>
    <row r="1001">
      <c r="A1001" s="60" t="str">
        <f>Ringkasan!A1002</f>
        <v>JPFA</v>
      </c>
      <c r="B1001" s="60" t="str">
        <f>Ringkasan!B1002</f>
        <v>Japfa Comfeed Indonesia Tbk.</v>
      </c>
      <c r="C1001" s="61">
        <f>Ringkasan!C1002</f>
        <v>1905</v>
      </c>
      <c r="D1001" s="60" t="str">
        <f>Ringkasan!D1002</f>
        <v>#N/A</v>
      </c>
      <c r="E1001" s="60" t="str">
        <f>Ringkasan!E1002</f>
        <v>JII70</v>
      </c>
      <c r="F1001" s="63">
        <f>Ringkasan!F1002</f>
        <v>46356</v>
      </c>
      <c r="G1001" s="61">
        <f>Ringkasan!G1002</f>
        <v>13</v>
      </c>
      <c r="H1001" s="62">
        <f>Ringkasan!H1002</f>
        <v>5.6</v>
      </c>
      <c r="I1001" s="62">
        <f>Ringkasan!I1002</f>
        <v>1.3</v>
      </c>
      <c r="J1001" s="62">
        <f>Ringkasan!J1002</f>
        <v>23.3</v>
      </c>
      <c r="K1001" s="62">
        <f>Ringkasan!K1002</f>
        <v>13.1</v>
      </c>
      <c r="L1001" s="62">
        <f>Ringkasan!L1002</f>
        <v>0.79</v>
      </c>
      <c r="M1001" s="62">
        <f>Ringkasan!M1002</f>
        <v>29</v>
      </c>
      <c r="N1001" s="60" t="str">
        <f>Ringkasan!N1002</f>
        <v/>
      </c>
      <c r="O1001" s="60" t="str">
        <f>Ringkasan!O1002</f>
        <v/>
      </c>
      <c r="P1001" s="60" t="str">
        <f>Ringkasan!P1002</f>
        <v/>
      </c>
      <c r="Q1001" s="60" t="str">
        <f>Ringkasan!Q1002</f>
        <v/>
      </c>
      <c r="R1001" s="60" t="str">
        <f>Ringkasan!R1002</f>
        <v/>
      </c>
      <c r="S1001" s="60" t="str">
        <f>Ringkasan!S1002</f>
        <v/>
      </c>
      <c r="T1001" s="60" t="str">
        <f>Ringkasan!T1002</f>
        <v/>
      </c>
      <c r="U1001" s="60">
        <f>Ringkasan!U1002</f>
        <v>1860</v>
      </c>
      <c r="V1001" s="60">
        <f>Ringkasan!V1002</f>
        <v>2.42</v>
      </c>
      <c r="W1001" s="60">
        <f>Ringkasan!W1002</f>
        <v>1865</v>
      </c>
      <c r="X1001" s="60">
        <f>Ringkasan!X1002</f>
        <v>1930</v>
      </c>
      <c r="Y1001" s="60">
        <f>Ringkasan!Y1002</f>
        <v>1840</v>
      </c>
      <c r="Z1001" s="60">
        <f>Ringkasan!Z1002</f>
        <v>30207300</v>
      </c>
      <c r="AA1001" s="60" t="str">
        <f>Ringkasan!AA1002</f>
        <v>Agricultural Products</v>
      </c>
      <c r="AB1001" s="60" t="str">
        <f>Ringkasan!AB1002</f>
        <v>Consumer Non-Cyclicals</v>
      </c>
    </row>
    <row r="1002">
      <c r="A1002" s="60" t="str">
        <f>Ringkasan!A1052</f>
        <v>KLBF</v>
      </c>
      <c r="B1002" s="60" t="str">
        <f>Ringkasan!B1052</f>
        <v>Kalbe Farma Tbk.</v>
      </c>
      <c r="C1002" s="61">
        <f>Ringkasan!C1052</f>
        <v>740</v>
      </c>
      <c r="D1002" s="60" t="str">
        <f>Ringkasan!D1052</f>
        <v>#N/A</v>
      </c>
      <c r="E1002" s="60" t="str">
        <f>Ringkasan!E1052</f>
        <v>Investor33</v>
      </c>
      <c r="F1002" s="63">
        <f>Ringkasan!F1052</f>
        <v>46356</v>
      </c>
      <c r="G1002" s="61">
        <f>Ringkasan!G1052</f>
        <v>17</v>
      </c>
      <c r="H1002" s="62">
        <f>Ringkasan!H1052</f>
        <v>10</v>
      </c>
      <c r="I1002" s="62">
        <f>Ringkasan!I1052</f>
        <v>1.4</v>
      </c>
      <c r="J1002" s="62">
        <f>Ringkasan!J1052</f>
        <v>14.1</v>
      </c>
      <c r="K1002" s="62">
        <f>Ringkasan!K1052</f>
        <v>11.3</v>
      </c>
      <c r="L1002" s="62">
        <f>Ringkasan!L1052</f>
        <v>0.24</v>
      </c>
      <c r="M1002" s="62">
        <f>Ringkasan!M1052</f>
        <v>37.4</v>
      </c>
      <c r="N1002" s="60" t="str">
        <f>Ringkasan!N1052</f>
        <v/>
      </c>
      <c r="O1002" s="60" t="str">
        <f>Ringkasan!O1052</f>
        <v/>
      </c>
      <c r="P1002" s="60" t="str">
        <f>Ringkasan!P1052</f>
        <v/>
      </c>
      <c r="Q1002" s="60" t="str">
        <f>Ringkasan!Q1052</f>
        <v/>
      </c>
      <c r="R1002" s="60" t="str">
        <f>Ringkasan!R1052</f>
        <v/>
      </c>
      <c r="S1002" s="60" t="str">
        <f>Ringkasan!S1052</f>
        <v/>
      </c>
      <c r="T1002" s="60" t="str">
        <f>Ringkasan!T1052</f>
        <v/>
      </c>
      <c r="U1002" s="60">
        <f>Ringkasan!U1052</f>
        <v>725</v>
      </c>
      <c r="V1002" s="60">
        <f>Ringkasan!V1052</f>
        <v>2.07</v>
      </c>
      <c r="W1002" s="60">
        <f>Ringkasan!W1052</f>
        <v>760</v>
      </c>
      <c r="X1002" s="60">
        <f>Ringkasan!X1052</f>
        <v>760</v>
      </c>
      <c r="Y1002" s="60">
        <f>Ringkasan!Y1052</f>
        <v>715</v>
      </c>
      <c r="Z1002" s="60">
        <f>Ringkasan!Z1052</f>
        <v>92741200</v>
      </c>
      <c r="AA1002" s="60" t="str">
        <f>Ringkasan!AA1052</f>
        <v>Pharmaceuticals</v>
      </c>
      <c r="AB1002" s="60" t="str">
        <f>Ringkasan!AB1052</f>
        <v>Healthcare</v>
      </c>
    </row>
    <row r="1003" hidden="1">
      <c r="A1003" s="64" t="str">
        <f>Ringkasan!A1573</f>
        <v>SINI</v>
      </c>
      <c r="B1003" s="64" t="str">
        <f>Ringkasan!B1573</f>
        <v>Singaraja Putra Tbk.</v>
      </c>
      <c r="C1003" s="61">
        <f>Ringkasan!C1573</f>
        <v>9725</v>
      </c>
      <c r="D1003" s="60" t="str">
        <f>Ringkasan!D1573</f>
        <v>#N/A</v>
      </c>
      <c r="E1003" s="60" t="str">
        <f>Ringkasan!E1573</f>
        <v/>
      </c>
      <c r="F1003" s="60" t="str">
        <f>Ringkasan!F1573</f>
        <v/>
      </c>
      <c r="G1003" s="60">
        <f>Ringkasan!G1573</f>
        <v>0</v>
      </c>
      <c r="H1003" s="62">
        <f>Ringkasan!H1573</f>
        <v>-78.9</v>
      </c>
      <c r="I1003" s="62">
        <f>Ringkasan!I1573</f>
        <v>-8.8</v>
      </c>
      <c r="J1003" s="62" t="str">
        <f>Ringkasan!J1573</f>
        <v/>
      </c>
      <c r="K1003" s="62">
        <f>Ringkasan!K1573</f>
        <v>-2.8</v>
      </c>
      <c r="L1003" s="62">
        <f>Ringkasan!L1573</f>
        <v>-3.4</v>
      </c>
      <c r="M1003" s="62">
        <f>Ringkasan!M1573</f>
        <v>-14.1</v>
      </c>
      <c r="N1003" s="60" t="str">
        <f>Ringkasan!N1573</f>
        <v/>
      </c>
      <c r="O1003" s="60" t="str">
        <f>Ringkasan!O1573</f>
        <v/>
      </c>
      <c r="P1003" s="60" t="str">
        <f>Ringkasan!P1573</f>
        <v/>
      </c>
      <c r="Q1003" s="60" t="str">
        <f>Ringkasan!Q1573</f>
        <v/>
      </c>
      <c r="R1003" s="60" t="str">
        <f>Ringkasan!R1573</f>
        <v/>
      </c>
      <c r="S1003" s="60" t="str">
        <f>Ringkasan!S1573</f>
        <v/>
      </c>
      <c r="T1003" s="60" t="str">
        <f>Ringkasan!T1573</f>
        <v/>
      </c>
      <c r="U1003" s="60">
        <f>Ringkasan!U1573</f>
        <v>9000</v>
      </c>
      <c r="V1003" s="60">
        <f>Ringkasan!V1573</f>
        <v>8.06</v>
      </c>
      <c r="W1003" s="60">
        <f>Ringkasan!W1573</f>
        <v>9250</v>
      </c>
      <c r="X1003" s="60">
        <f>Ringkasan!X1573</f>
        <v>9900</v>
      </c>
      <c r="Y1003" s="60">
        <f>Ringkasan!Y1573</f>
        <v>9250</v>
      </c>
      <c r="Z1003" s="60">
        <f>Ringkasan!Z1573</f>
        <v>521200</v>
      </c>
      <c r="AA1003" s="60" t="str">
        <f>Ringkasan!AA1573</f>
        <v>Building Products &amp; Fixtures</v>
      </c>
      <c r="AB1003" s="64" t="str">
        <f>Ringkasan!AB1573</f>
        <v>Industrials</v>
      </c>
    </row>
    <row r="1004" hidden="1">
      <c r="A1004" s="64" t="str">
        <f>Ringkasan!A1003</f>
        <v>JRPT</v>
      </c>
      <c r="B1004" s="64" t="str">
        <f>Ringkasan!B1003</f>
        <v>Jaya Real Property Tbk.</v>
      </c>
      <c r="C1004" s="65">
        <f>Ringkasan!C1003</f>
        <v>1080</v>
      </c>
      <c r="D1004" s="64" t="str">
        <f>Ringkasan!D1003</f>
        <v>#N/A</v>
      </c>
      <c r="E1004" s="64" t="str">
        <f>Ringkasan!E1003</f>
        <v>IDXMESBUMN</v>
      </c>
      <c r="F1004" s="66">
        <f>Ringkasan!F1003</f>
        <v>46356</v>
      </c>
      <c r="G1004" s="64">
        <f>Ringkasan!G1003</f>
        <v>1</v>
      </c>
      <c r="H1004" s="19">
        <f>Ringkasan!H1003</f>
        <v>10.6</v>
      </c>
      <c r="I1004" s="19">
        <f>Ringkasan!I1003</f>
        <v>1.3</v>
      </c>
      <c r="J1004" s="19">
        <f>Ringkasan!J1003</f>
        <v>11.9</v>
      </c>
      <c r="K1004" s="19">
        <f>Ringkasan!K1003</f>
        <v>8.7</v>
      </c>
      <c r="L1004" s="19">
        <f>Ringkasan!L1003</f>
        <v>0.36</v>
      </c>
      <c r="M1004" s="19">
        <f>Ringkasan!M1003</f>
        <v>180</v>
      </c>
      <c r="N1004" s="64" t="str">
        <f>Ringkasan!N1003</f>
        <v/>
      </c>
      <c r="O1004" s="64" t="str">
        <f>Ringkasan!O1003</f>
        <v/>
      </c>
      <c r="P1004" s="64" t="str">
        <f>Ringkasan!P1003</f>
        <v/>
      </c>
      <c r="Q1004" s="64" t="str">
        <f>Ringkasan!Q1003</f>
        <v/>
      </c>
      <c r="R1004" s="64" t="str">
        <f>Ringkasan!R1003</f>
        <v/>
      </c>
      <c r="S1004" s="64" t="str">
        <f>Ringkasan!S1003</f>
        <v/>
      </c>
      <c r="T1004" s="64" t="str">
        <f>Ringkasan!T1003</f>
        <v/>
      </c>
      <c r="U1004" s="64">
        <f>Ringkasan!U1003</f>
        <v>1080</v>
      </c>
      <c r="V1004" s="64">
        <f>Ringkasan!V1003</f>
        <v>0</v>
      </c>
      <c r="W1004" s="64">
        <f>Ringkasan!W1003</f>
        <v>1080</v>
      </c>
      <c r="X1004" s="64">
        <f>Ringkasan!X1003</f>
        <v>1085</v>
      </c>
      <c r="Y1004" s="64">
        <f>Ringkasan!Y1003</f>
        <v>1070</v>
      </c>
      <c r="Z1004" s="64">
        <f>Ringkasan!Z1003</f>
        <v>365600</v>
      </c>
      <c r="AA1004" s="64" t="str">
        <f>Ringkasan!AA1003</f>
        <v>Real Estate Management &amp; Development</v>
      </c>
      <c r="AB1004" s="64" t="str">
        <f>Ringkasan!AB1003</f>
        <v>Properties &amp; Real Estate</v>
      </c>
    </row>
    <row r="1005" hidden="1">
      <c r="A1005" s="64" t="str">
        <f>Ringkasan!A1004</f>
        <v>JSKY</v>
      </c>
      <c r="B1005" s="64" t="str">
        <f>Ringkasan!B1004</f>
        <v>Sky Energy Indonesia Tbk.</v>
      </c>
      <c r="C1005" s="65">
        <f>Ringkasan!C1004</f>
        <v>52</v>
      </c>
      <c r="D1005" s="64" t="str">
        <f>Ringkasan!D1004</f>
        <v>#N/A</v>
      </c>
      <c r="E1005" s="64" t="str">
        <f>Ringkasan!E1004</f>
        <v/>
      </c>
      <c r="F1005" s="64" t="str">
        <f>Ringkasan!F1004</f>
        <v/>
      </c>
      <c r="G1005" s="64">
        <f>Ringkasan!G1004</f>
        <v>0</v>
      </c>
      <c r="H1005" s="19">
        <f>Ringkasan!H1004</f>
        <v>0</v>
      </c>
      <c r="I1005" s="19">
        <f>Ringkasan!I1004</f>
        <v>-7.8</v>
      </c>
      <c r="J1005" s="19">
        <f>Ringkasan!J1004</f>
        <v>0</v>
      </c>
      <c r="K1005" s="19">
        <f>Ringkasan!K1004</f>
        <v>-50.3</v>
      </c>
      <c r="L1005" s="19">
        <f>Ringkasan!L1004</f>
        <v>-19.1</v>
      </c>
      <c r="M1005" s="19">
        <f>Ringkasan!M1004</f>
        <v>-150</v>
      </c>
      <c r="N1005" s="64" t="str">
        <f>Ringkasan!N1004</f>
        <v/>
      </c>
      <c r="O1005" s="64" t="str">
        <f>Ringkasan!O1004</f>
        <v/>
      </c>
      <c r="P1005" s="64" t="str">
        <f>Ringkasan!P1004</f>
        <v/>
      </c>
      <c r="Q1005" s="64" t="str">
        <f>Ringkasan!Q1004</f>
        <v/>
      </c>
      <c r="R1005" s="64" t="str">
        <f>Ringkasan!R1004</f>
        <v/>
      </c>
      <c r="S1005" s="64" t="str">
        <f>Ringkasan!S1004</f>
        <v/>
      </c>
      <c r="T1005" s="64" t="str">
        <f>Ringkasan!T1004</f>
        <v/>
      </c>
      <c r="U1005" s="64">
        <f>Ringkasan!U1004</f>
        <v>52</v>
      </c>
      <c r="V1005" s="64">
        <f>Ringkasan!V1004</f>
        <v>0</v>
      </c>
      <c r="W1005" s="64" t="str">
        <f>Ringkasan!W1004</f>
        <v/>
      </c>
      <c r="X1005" s="64" t="str">
        <f>Ringkasan!X1004</f>
        <v/>
      </c>
      <c r="Y1005" s="64" t="str">
        <f>Ringkasan!Y1004</f>
        <v/>
      </c>
      <c r="Z1005" s="64">
        <f>Ringkasan!Z1004</f>
        <v>0</v>
      </c>
      <c r="AA1005" s="64" t="str">
        <f>Ringkasan!AA1004</f>
        <v>Alternative Energy Equipment</v>
      </c>
      <c r="AB1005" s="64" t="str">
        <f>Ringkasan!AB1004</f>
        <v>Energy</v>
      </c>
    </row>
    <row r="1006" hidden="1">
      <c r="A1006" s="64" t="str">
        <f>Ringkasan!A1005</f>
        <v>JSMR</v>
      </c>
      <c r="B1006" s="64" t="str">
        <f>Ringkasan!B1005</f>
        <v>Jasa Marga (Persero) Tbk.</v>
      </c>
      <c r="C1006" s="65">
        <f>Ringkasan!C1005</f>
        <v>2600</v>
      </c>
      <c r="D1006" s="64" t="str">
        <f>Ringkasan!D1005</f>
        <v>#N/A</v>
      </c>
      <c r="E1006" s="64" t="str">
        <f>Ringkasan!E1005</f>
        <v>ESGQKEHATI</v>
      </c>
      <c r="F1006" s="66">
        <f>Ringkasan!F1005</f>
        <v>46356</v>
      </c>
      <c r="G1006" s="64">
        <f>Ringkasan!G1005</f>
        <v>17</v>
      </c>
      <c r="H1006" s="19">
        <f>Ringkasan!H1005</f>
        <v>6.2</v>
      </c>
      <c r="I1006" s="19">
        <f>Ringkasan!I1005</f>
        <v>0.34</v>
      </c>
      <c r="J1006" s="19">
        <f>Ringkasan!J1005</f>
        <v>5.5</v>
      </c>
      <c r="K1006" s="19">
        <f>Ringkasan!K1005</f>
        <v>2.2</v>
      </c>
      <c r="L1006" s="19">
        <f>Ringkasan!L1005</f>
        <v>1.5</v>
      </c>
      <c r="M1006" s="19">
        <f>Ringkasan!M1005</f>
        <v>54.4</v>
      </c>
      <c r="N1006" s="64" t="str">
        <f>Ringkasan!N1005</f>
        <v/>
      </c>
      <c r="O1006" s="64" t="str">
        <f>Ringkasan!O1005</f>
        <v/>
      </c>
      <c r="P1006" s="64" t="str">
        <f>Ringkasan!P1005</f>
        <v/>
      </c>
      <c r="Q1006" s="64" t="str">
        <f>Ringkasan!Q1005</f>
        <v/>
      </c>
      <c r="R1006" s="64" t="str">
        <f>Ringkasan!R1005</f>
        <v/>
      </c>
      <c r="S1006" s="64" t="str">
        <f>Ringkasan!S1005</f>
        <v/>
      </c>
      <c r="T1006" s="64" t="str">
        <f>Ringkasan!T1005</f>
        <v/>
      </c>
      <c r="U1006" s="64">
        <f>Ringkasan!U1005</f>
        <v>2620</v>
      </c>
      <c r="V1006" s="64">
        <f>Ringkasan!V1005</f>
        <v>-0.76</v>
      </c>
      <c r="W1006" s="64">
        <f>Ringkasan!W1005</f>
        <v>2630</v>
      </c>
      <c r="X1006" s="64">
        <f>Ringkasan!X1005</f>
        <v>2650</v>
      </c>
      <c r="Y1006" s="64">
        <f>Ringkasan!Y1005</f>
        <v>2600</v>
      </c>
      <c r="Z1006" s="64">
        <f>Ringkasan!Z1005</f>
        <v>9670400</v>
      </c>
      <c r="AA1006" s="64" t="str">
        <f>Ringkasan!AA1005</f>
        <v>Transport Infrastructure Operator</v>
      </c>
      <c r="AB1006" s="64" t="str">
        <f>Ringkasan!AB1005</f>
        <v>Infrastructures</v>
      </c>
    </row>
    <row r="1007" hidden="1">
      <c r="A1007" s="64" t="str">
        <f>Ringkasan!A1006</f>
        <v>JSMR</v>
      </c>
      <c r="B1007" s="64" t="str">
        <f>Ringkasan!B1006</f>
        <v>Jasa Marga (Persero) Tbk.</v>
      </c>
      <c r="C1007" s="65">
        <f>Ringkasan!C1006</f>
        <v>2600</v>
      </c>
      <c r="D1007" s="64" t="str">
        <f>Ringkasan!D1006</f>
        <v>#N/A</v>
      </c>
      <c r="E1007" s="64" t="str">
        <f>Ringkasan!E1006</f>
        <v>IDXMESBUMN</v>
      </c>
      <c r="F1007" s="66">
        <f>Ringkasan!F1006</f>
        <v>46356</v>
      </c>
      <c r="G1007" s="64">
        <f>Ringkasan!G1006</f>
        <v>17</v>
      </c>
      <c r="H1007" s="19">
        <f>Ringkasan!H1006</f>
        <v>6.2</v>
      </c>
      <c r="I1007" s="19">
        <f>Ringkasan!I1006</f>
        <v>0.34</v>
      </c>
      <c r="J1007" s="19">
        <f>Ringkasan!J1006</f>
        <v>5.5</v>
      </c>
      <c r="K1007" s="19">
        <f>Ringkasan!K1006</f>
        <v>2.2</v>
      </c>
      <c r="L1007" s="19">
        <f>Ringkasan!L1006</f>
        <v>1.5</v>
      </c>
      <c r="M1007" s="19">
        <f>Ringkasan!M1006</f>
        <v>54.4</v>
      </c>
      <c r="N1007" s="64" t="str">
        <f>Ringkasan!N1006</f>
        <v/>
      </c>
      <c r="O1007" s="64" t="str">
        <f>Ringkasan!O1006</f>
        <v/>
      </c>
      <c r="P1007" s="64" t="str">
        <f>Ringkasan!P1006</f>
        <v/>
      </c>
      <c r="Q1007" s="64" t="str">
        <f>Ringkasan!Q1006</f>
        <v/>
      </c>
      <c r="R1007" s="64" t="str">
        <f>Ringkasan!R1006</f>
        <v/>
      </c>
      <c r="S1007" s="64" t="str">
        <f>Ringkasan!S1006</f>
        <v/>
      </c>
      <c r="T1007" s="64" t="str">
        <f>Ringkasan!T1006</f>
        <v/>
      </c>
      <c r="U1007" s="64">
        <f>Ringkasan!U1006</f>
        <v>2620</v>
      </c>
      <c r="V1007" s="64">
        <f>Ringkasan!V1006</f>
        <v>-0.76</v>
      </c>
      <c r="W1007" s="64">
        <f>Ringkasan!W1006</f>
        <v>2630</v>
      </c>
      <c r="X1007" s="64">
        <f>Ringkasan!X1006</f>
        <v>2650</v>
      </c>
      <c r="Y1007" s="64">
        <f>Ringkasan!Y1006</f>
        <v>2600</v>
      </c>
      <c r="Z1007" s="64">
        <f>Ringkasan!Z1006</f>
        <v>9670400</v>
      </c>
      <c r="AA1007" s="64" t="str">
        <f>Ringkasan!AA1006</f>
        <v>Transport Infrastructure Operator</v>
      </c>
      <c r="AB1007" s="64" t="str">
        <f>Ringkasan!AB1006</f>
        <v>Infrastructures</v>
      </c>
    </row>
    <row r="1008" hidden="1">
      <c r="A1008" s="64" t="str">
        <f>Ringkasan!A190</f>
        <v>ATAP</v>
      </c>
      <c r="B1008" s="64" t="str">
        <f>Ringkasan!B190</f>
        <v>Trimitra Prawara Goldland Tbk.</v>
      </c>
      <c r="C1008" s="61" t="str">
        <f>Ringkasan!C190</f>
        <v>#N/A</v>
      </c>
      <c r="D1008" s="60" t="str">
        <f>Ringkasan!D190</f>
        <v>#N/A</v>
      </c>
      <c r="E1008" s="60" t="str">
        <f>Ringkasan!E190</f>
        <v/>
      </c>
      <c r="F1008" s="60" t="str">
        <f>Ringkasan!F190</f>
        <v/>
      </c>
      <c r="G1008" s="60">
        <f>Ringkasan!G190</f>
        <v>0</v>
      </c>
      <c r="H1008" s="62">
        <f>Ringkasan!H190</f>
        <v>-11000</v>
      </c>
      <c r="I1008" s="62">
        <f>Ringkasan!I190</f>
        <v>6.9</v>
      </c>
      <c r="J1008" s="62">
        <f>Ringkasan!J190</f>
        <v>-0.06</v>
      </c>
      <c r="K1008" s="62">
        <f>Ringkasan!K190</f>
        <v>-0.04</v>
      </c>
      <c r="L1008" s="62">
        <f>Ringkasan!L190</f>
        <v>0.38</v>
      </c>
      <c r="M1008" s="62">
        <f>Ringkasan!M190</f>
        <v>-1.5</v>
      </c>
      <c r="N1008" s="60" t="str">
        <f>Ringkasan!N190</f>
        <v/>
      </c>
      <c r="O1008" s="60" t="str">
        <f>Ringkasan!O190</f>
        <v/>
      </c>
      <c r="P1008" s="60" t="str">
        <f>Ringkasan!P190</f>
        <v/>
      </c>
      <c r="Q1008" s="60" t="str">
        <f>Ringkasan!Q190</f>
        <v/>
      </c>
      <c r="R1008" s="60" t="str">
        <f>Ringkasan!R190</f>
        <v/>
      </c>
      <c r="S1008" s="60" t="str">
        <f>Ringkasan!S190</f>
        <v/>
      </c>
      <c r="T1008" s="60" t="str">
        <f>Ringkasan!T190</f>
        <v/>
      </c>
      <c r="U1008" s="60">
        <f>Ringkasan!U190</f>
        <v>352</v>
      </c>
      <c r="V1008" s="60">
        <f>Ringkasan!V190</f>
        <v>0.57</v>
      </c>
      <c r="W1008" s="60">
        <f>Ringkasan!W190</f>
        <v>362</v>
      </c>
      <c r="X1008" s="60" t="str">
        <f>Ringkasan!X190</f>
        <v/>
      </c>
      <c r="Y1008" s="60">
        <f>Ringkasan!Y190</f>
        <v>352</v>
      </c>
      <c r="Z1008" s="60">
        <f>Ringkasan!Z190</f>
        <v>615900</v>
      </c>
      <c r="AA1008" s="60" t="str">
        <f>Ringkasan!AA190</f>
        <v>Real Estate Management &amp; Development</v>
      </c>
      <c r="AB1008" s="60" t="str">
        <f>Ringkasan!AB190</f>
        <v>Properties &amp; Real Estate</v>
      </c>
    </row>
    <row r="1009" hidden="1">
      <c r="A1009" s="64" t="str">
        <f>Ringkasan!A1008</f>
        <v>JSMR</v>
      </c>
      <c r="B1009" s="64" t="str">
        <f>Ringkasan!B1008</f>
        <v>Jasa Marga (Persero) Tbk.</v>
      </c>
      <c r="C1009" s="65">
        <f>Ringkasan!C1008</f>
        <v>2600</v>
      </c>
      <c r="D1009" s="64" t="str">
        <f>Ringkasan!D1008</f>
        <v>#N/A</v>
      </c>
      <c r="E1009" s="64" t="str">
        <f>Ringkasan!E1008</f>
        <v>ESGSKEHATI</v>
      </c>
      <c r="F1009" s="66">
        <f>Ringkasan!F1008</f>
        <v>46356</v>
      </c>
      <c r="G1009" s="64">
        <f>Ringkasan!G1008</f>
        <v>17</v>
      </c>
      <c r="H1009" s="19">
        <f>Ringkasan!H1008</f>
        <v>6.2</v>
      </c>
      <c r="I1009" s="19">
        <f>Ringkasan!I1008</f>
        <v>0.34</v>
      </c>
      <c r="J1009" s="19">
        <f>Ringkasan!J1008</f>
        <v>5.5</v>
      </c>
      <c r="K1009" s="19">
        <f>Ringkasan!K1008</f>
        <v>2.2</v>
      </c>
      <c r="L1009" s="19">
        <f>Ringkasan!L1008</f>
        <v>1.5</v>
      </c>
      <c r="M1009" s="19">
        <f>Ringkasan!M1008</f>
        <v>54.4</v>
      </c>
      <c r="N1009" s="64" t="str">
        <f>Ringkasan!N1008</f>
        <v/>
      </c>
      <c r="O1009" s="64" t="str">
        <f>Ringkasan!O1008</f>
        <v/>
      </c>
      <c r="P1009" s="64" t="str">
        <f>Ringkasan!P1008</f>
        <v/>
      </c>
      <c r="Q1009" s="64" t="str">
        <f>Ringkasan!Q1008</f>
        <v/>
      </c>
      <c r="R1009" s="64" t="str">
        <f>Ringkasan!R1008</f>
        <v/>
      </c>
      <c r="S1009" s="64" t="str">
        <f>Ringkasan!S1008</f>
        <v/>
      </c>
      <c r="T1009" s="64" t="str">
        <f>Ringkasan!T1008</f>
        <v/>
      </c>
      <c r="U1009" s="64">
        <f>Ringkasan!U1008</f>
        <v>2620</v>
      </c>
      <c r="V1009" s="64">
        <f>Ringkasan!V1008</f>
        <v>-0.76</v>
      </c>
      <c r="W1009" s="64">
        <f>Ringkasan!W1008</f>
        <v>2630</v>
      </c>
      <c r="X1009" s="64">
        <f>Ringkasan!X1008</f>
        <v>2650</v>
      </c>
      <c r="Y1009" s="64">
        <f>Ringkasan!Y1008</f>
        <v>2600</v>
      </c>
      <c r="Z1009" s="64">
        <f>Ringkasan!Z1008</f>
        <v>9670400</v>
      </c>
      <c r="AA1009" s="64" t="str">
        <f>Ringkasan!AA1008</f>
        <v>Transport Infrastructure Operator</v>
      </c>
      <c r="AB1009" s="64" t="str">
        <f>Ringkasan!AB1008</f>
        <v>Infrastructures</v>
      </c>
    </row>
    <row r="1010" hidden="1">
      <c r="A1010" s="64" t="str">
        <f>Ringkasan!A1009</f>
        <v>JSMR</v>
      </c>
      <c r="B1010" s="64" t="str">
        <f>Ringkasan!B1009</f>
        <v>Jasa Marga (Persero) Tbk.</v>
      </c>
      <c r="C1010" s="67">
        <f>Ringkasan!C1009</f>
        <v>2600</v>
      </c>
      <c r="D1010" s="22" t="str">
        <f>Ringkasan!D1009</f>
        <v>#N/A</v>
      </c>
      <c r="E1010" s="64" t="str">
        <f>Ringkasan!E1009</f>
        <v>Pefindo - iGrade</v>
      </c>
      <c r="F1010" s="64" t="str">
        <f>Ringkasan!F1009</f>
        <v>30 Juni 2026</v>
      </c>
      <c r="G1010" s="64">
        <f>Ringkasan!G1009</f>
        <v>17</v>
      </c>
      <c r="H1010" s="19">
        <f>Ringkasan!H1009</f>
        <v>6.2</v>
      </c>
      <c r="I1010" s="19">
        <f>Ringkasan!I1009</f>
        <v>0.34</v>
      </c>
      <c r="J1010" s="19">
        <f>Ringkasan!J1009</f>
        <v>5.5</v>
      </c>
      <c r="K1010" s="19">
        <f>Ringkasan!K1009</f>
        <v>2.2</v>
      </c>
      <c r="L1010" s="19">
        <f>Ringkasan!L1009</f>
        <v>1.5</v>
      </c>
      <c r="M1010" s="19">
        <f>Ringkasan!M1009</f>
        <v>54.4</v>
      </c>
      <c r="N1010" s="64" t="str">
        <f>Ringkasan!N1009</f>
        <v/>
      </c>
      <c r="O1010" s="64" t="str">
        <f>Ringkasan!O1009</f>
        <v/>
      </c>
      <c r="P1010" s="64" t="str">
        <f>Ringkasan!P1009</f>
        <v/>
      </c>
      <c r="Q1010" s="64" t="str">
        <f>Ringkasan!Q1009</f>
        <v/>
      </c>
      <c r="R1010" s="64" t="str">
        <f>Ringkasan!R1009</f>
        <v/>
      </c>
      <c r="S1010" s="64" t="str">
        <f>Ringkasan!S1009</f>
        <v/>
      </c>
      <c r="T1010" s="64" t="str">
        <f>Ringkasan!T1009</f>
        <v/>
      </c>
      <c r="U1010" s="22">
        <f>Ringkasan!U1009</f>
        <v>2620</v>
      </c>
      <c r="V1010" s="22">
        <f>Ringkasan!V1009</f>
        <v>-0.76</v>
      </c>
      <c r="W1010" s="22">
        <f>Ringkasan!W1009</f>
        <v>2630</v>
      </c>
      <c r="X1010" s="22">
        <f>Ringkasan!X1009</f>
        <v>2650</v>
      </c>
      <c r="Y1010" s="22">
        <f>Ringkasan!Y1009</f>
        <v>2600</v>
      </c>
      <c r="Z1010" s="22">
        <f>Ringkasan!Z1009</f>
        <v>9670400</v>
      </c>
      <c r="AA1010" s="64" t="str">
        <f>Ringkasan!AA1009</f>
        <v>Transport Infrastructure Operator</v>
      </c>
      <c r="AB1010" s="64" t="str">
        <f>Ringkasan!AB1009</f>
        <v>Infrastructures</v>
      </c>
    </row>
    <row r="1011" hidden="1">
      <c r="A1011" s="64" t="str">
        <f>Ringkasan!A1010</f>
        <v>JSMR</v>
      </c>
      <c r="B1011" s="64" t="str">
        <f>Ringkasan!B1010</f>
        <v>Jasa Marga (Persero) Tbk.</v>
      </c>
      <c r="C1011" s="67">
        <f>Ringkasan!C1010</f>
        <v>2600</v>
      </c>
      <c r="D1011" s="22" t="str">
        <f>Ringkasan!D1010</f>
        <v>#N/A</v>
      </c>
      <c r="E1011" s="64" t="str">
        <f>Ringkasan!E1010</f>
        <v>IDXBUMN20</v>
      </c>
      <c r="F1011" s="64" t="str">
        <f>Ringkasan!F1010</f>
        <v>4 Agustus 2026</v>
      </c>
      <c r="G1011" s="64">
        <f>Ringkasan!G1010</f>
        <v>17</v>
      </c>
      <c r="H1011" s="19">
        <f>Ringkasan!H1010</f>
        <v>6.2</v>
      </c>
      <c r="I1011" s="19">
        <f>Ringkasan!I1010</f>
        <v>0.34</v>
      </c>
      <c r="J1011" s="19">
        <f>Ringkasan!J1010</f>
        <v>5.5</v>
      </c>
      <c r="K1011" s="19">
        <f>Ringkasan!K1010</f>
        <v>2.2</v>
      </c>
      <c r="L1011" s="19">
        <f>Ringkasan!L1010</f>
        <v>1.5</v>
      </c>
      <c r="M1011" s="19">
        <f>Ringkasan!M1010</f>
        <v>54.4</v>
      </c>
      <c r="N1011" s="64" t="str">
        <f>Ringkasan!N1010</f>
        <v/>
      </c>
      <c r="O1011" s="64" t="str">
        <f>Ringkasan!O1010</f>
        <v/>
      </c>
      <c r="P1011" s="64" t="str">
        <f>Ringkasan!P1010</f>
        <v/>
      </c>
      <c r="Q1011" s="64" t="str">
        <f>Ringkasan!Q1010</f>
        <v/>
      </c>
      <c r="R1011" s="64" t="str">
        <f>Ringkasan!R1010</f>
        <v/>
      </c>
      <c r="S1011" s="64" t="str">
        <f>Ringkasan!S1010</f>
        <v/>
      </c>
      <c r="T1011" s="64" t="str">
        <f>Ringkasan!T1010</f>
        <v/>
      </c>
      <c r="U1011" s="22">
        <f>Ringkasan!U1010</f>
        <v>2620</v>
      </c>
      <c r="V1011" s="22">
        <f>Ringkasan!V1010</f>
        <v>-0.76</v>
      </c>
      <c r="W1011" s="22">
        <f>Ringkasan!W1010</f>
        <v>2630</v>
      </c>
      <c r="X1011" s="22">
        <f>Ringkasan!X1010</f>
        <v>2650</v>
      </c>
      <c r="Y1011" s="22">
        <f>Ringkasan!Y1010</f>
        <v>2600</v>
      </c>
      <c r="Z1011" s="22">
        <f>Ringkasan!Z1010</f>
        <v>9670400</v>
      </c>
      <c r="AA1011" s="64" t="str">
        <f>Ringkasan!AA1010</f>
        <v>Transport Infrastructure Operator</v>
      </c>
      <c r="AB1011" s="64" t="str">
        <f>Ringkasan!AB1010</f>
        <v>Infrastructures</v>
      </c>
    </row>
    <row r="1012" hidden="1">
      <c r="A1012" s="64" t="str">
        <f>Ringkasan!A1011</f>
        <v>JSMR</v>
      </c>
      <c r="B1012" s="64" t="str">
        <f>Ringkasan!B1011</f>
        <v>Jasa Marga (Persero) Tbk.</v>
      </c>
      <c r="C1012" s="67">
        <f>Ringkasan!C1011</f>
        <v>2600</v>
      </c>
      <c r="D1012" s="22" t="str">
        <f>Ringkasan!D1011</f>
        <v>#N/A</v>
      </c>
      <c r="E1012" s="64" t="str">
        <f>Ringkasan!E1011</f>
        <v>Kompas100</v>
      </c>
      <c r="F1012" s="64" t="str">
        <f>Ringkasan!F1011</f>
        <v>31 Juli 2026</v>
      </c>
      <c r="G1012" s="64">
        <f>Ringkasan!G1011</f>
        <v>17</v>
      </c>
      <c r="H1012" s="19">
        <f>Ringkasan!H1011</f>
        <v>6.2</v>
      </c>
      <c r="I1012" s="19">
        <f>Ringkasan!I1011</f>
        <v>0.34</v>
      </c>
      <c r="J1012" s="19">
        <f>Ringkasan!J1011</f>
        <v>5.5</v>
      </c>
      <c r="K1012" s="19">
        <f>Ringkasan!K1011</f>
        <v>2.2</v>
      </c>
      <c r="L1012" s="19">
        <f>Ringkasan!L1011</f>
        <v>1.5</v>
      </c>
      <c r="M1012" s="19">
        <f>Ringkasan!M1011</f>
        <v>54.4</v>
      </c>
      <c r="N1012" s="64" t="str">
        <f>Ringkasan!N1011</f>
        <v/>
      </c>
      <c r="O1012" s="64" t="str">
        <f>Ringkasan!O1011</f>
        <v/>
      </c>
      <c r="P1012" s="64" t="str">
        <f>Ringkasan!P1011</f>
        <v/>
      </c>
      <c r="Q1012" s="64" t="str">
        <f>Ringkasan!Q1011</f>
        <v/>
      </c>
      <c r="R1012" s="64" t="str">
        <f>Ringkasan!R1011</f>
        <v/>
      </c>
      <c r="S1012" s="64" t="str">
        <f>Ringkasan!S1011</f>
        <v/>
      </c>
      <c r="T1012" s="64" t="str">
        <f>Ringkasan!T1011</f>
        <v/>
      </c>
      <c r="U1012" s="22">
        <f>Ringkasan!U1011</f>
        <v>2620</v>
      </c>
      <c r="V1012" s="22">
        <f>Ringkasan!V1011</f>
        <v>-0.76</v>
      </c>
      <c r="W1012" s="22">
        <f>Ringkasan!W1011</f>
        <v>2630</v>
      </c>
      <c r="X1012" s="22">
        <f>Ringkasan!X1011</f>
        <v>2650</v>
      </c>
      <c r="Y1012" s="22">
        <f>Ringkasan!Y1011</f>
        <v>2600</v>
      </c>
      <c r="Z1012" s="22">
        <f>Ringkasan!Z1011</f>
        <v>9670400</v>
      </c>
      <c r="AA1012" s="64" t="str">
        <f>Ringkasan!AA1011</f>
        <v>Transport Infrastructure Operator</v>
      </c>
      <c r="AB1012" s="64" t="str">
        <f>Ringkasan!AB1011</f>
        <v>Infrastructures</v>
      </c>
    </row>
    <row r="1013" hidden="1">
      <c r="A1013" s="64" t="str">
        <f>Ringkasan!A1012</f>
        <v>JSMR</v>
      </c>
      <c r="B1013" s="64" t="str">
        <f>Ringkasan!B1012</f>
        <v>Jasa Marga (Persero) Tbk.</v>
      </c>
      <c r="C1013" s="67">
        <f>Ringkasan!C1012</f>
        <v>2600</v>
      </c>
      <c r="D1013" s="22" t="str">
        <f>Ringkasan!D1012</f>
        <v>#N/A</v>
      </c>
      <c r="E1013" s="64" t="str">
        <f>Ringkasan!E1012</f>
        <v>IDX80</v>
      </c>
      <c r="F1013" s="64" t="str">
        <f>Ringkasan!F1012</f>
        <v>31 Juli 2026</v>
      </c>
      <c r="G1013" s="64">
        <f>Ringkasan!G1012</f>
        <v>17</v>
      </c>
      <c r="H1013" s="19">
        <f>Ringkasan!H1012</f>
        <v>6.2</v>
      </c>
      <c r="I1013" s="19">
        <f>Ringkasan!I1012</f>
        <v>0.34</v>
      </c>
      <c r="J1013" s="19">
        <f>Ringkasan!J1012</f>
        <v>5.5</v>
      </c>
      <c r="K1013" s="19">
        <f>Ringkasan!K1012</f>
        <v>2.2</v>
      </c>
      <c r="L1013" s="19">
        <f>Ringkasan!L1012</f>
        <v>1.5</v>
      </c>
      <c r="M1013" s="19">
        <f>Ringkasan!M1012</f>
        <v>54.4</v>
      </c>
      <c r="N1013" s="64" t="str">
        <f>Ringkasan!N1012</f>
        <v/>
      </c>
      <c r="O1013" s="64" t="str">
        <f>Ringkasan!O1012</f>
        <v/>
      </c>
      <c r="P1013" s="64" t="str">
        <f>Ringkasan!P1012</f>
        <v/>
      </c>
      <c r="Q1013" s="64" t="str">
        <f>Ringkasan!Q1012</f>
        <v/>
      </c>
      <c r="R1013" s="64" t="str">
        <f>Ringkasan!R1012</f>
        <v/>
      </c>
      <c r="S1013" s="64" t="str">
        <f>Ringkasan!S1012</f>
        <v/>
      </c>
      <c r="T1013" s="64" t="str">
        <f>Ringkasan!T1012</f>
        <v/>
      </c>
      <c r="U1013" s="22">
        <f>Ringkasan!U1012</f>
        <v>2620</v>
      </c>
      <c r="V1013" s="22">
        <f>Ringkasan!V1012</f>
        <v>-0.76</v>
      </c>
      <c r="W1013" s="22">
        <f>Ringkasan!W1012</f>
        <v>2630</v>
      </c>
      <c r="X1013" s="22">
        <f>Ringkasan!X1012</f>
        <v>2650</v>
      </c>
      <c r="Y1013" s="22">
        <f>Ringkasan!Y1012</f>
        <v>2600</v>
      </c>
      <c r="Z1013" s="22">
        <f>Ringkasan!Z1012</f>
        <v>9670400</v>
      </c>
      <c r="AA1013" s="64" t="str">
        <f>Ringkasan!AA1012</f>
        <v>Transport Infrastructure Operator</v>
      </c>
      <c r="AB1013" s="64" t="str">
        <f>Ringkasan!AB1012</f>
        <v>Infrastructures</v>
      </c>
    </row>
    <row r="1014" hidden="1">
      <c r="A1014" s="64" t="str">
        <f>Ringkasan!A1013</f>
        <v>JSMR</v>
      </c>
      <c r="B1014" s="64" t="str">
        <f>Ringkasan!B1013</f>
        <v>Jasa Marga (Persero) Tbk.</v>
      </c>
      <c r="C1014" s="67">
        <f>Ringkasan!C1013</f>
        <v>2600</v>
      </c>
      <c r="D1014" s="22" t="str">
        <f>Ringkasan!D1013</f>
        <v>#N/A</v>
      </c>
      <c r="E1014" s="64" t="str">
        <f>Ringkasan!E1013</f>
        <v>SMINFRA18</v>
      </c>
      <c r="F1014" s="64" t="str">
        <f>Ringkasan!F1013</f>
        <v>30 Oktober 2026</v>
      </c>
      <c r="G1014" s="64">
        <f>Ringkasan!G1013</f>
        <v>17</v>
      </c>
      <c r="H1014" s="19">
        <f>Ringkasan!H1013</f>
        <v>6.2</v>
      </c>
      <c r="I1014" s="19">
        <f>Ringkasan!I1013</f>
        <v>0.34</v>
      </c>
      <c r="J1014" s="19">
        <f>Ringkasan!J1013</f>
        <v>5.5</v>
      </c>
      <c r="K1014" s="19">
        <f>Ringkasan!K1013</f>
        <v>2.2</v>
      </c>
      <c r="L1014" s="19">
        <f>Ringkasan!L1013</f>
        <v>1.5</v>
      </c>
      <c r="M1014" s="19">
        <f>Ringkasan!M1013</f>
        <v>54.4</v>
      </c>
      <c r="N1014" s="64" t="str">
        <f>Ringkasan!N1013</f>
        <v/>
      </c>
      <c r="O1014" s="64" t="str">
        <f>Ringkasan!O1013</f>
        <v/>
      </c>
      <c r="P1014" s="64" t="str">
        <f>Ringkasan!P1013</f>
        <v/>
      </c>
      <c r="Q1014" s="64" t="str">
        <f>Ringkasan!Q1013</f>
        <v/>
      </c>
      <c r="R1014" s="64" t="str">
        <f>Ringkasan!R1013</f>
        <v/>
      </c>
      <c r="S1014" s="64" t="str">
        <f>Ringkasan!S1013</f>
        <v/>
      </c>
      <c r="T1014" s="64" t="str">
        <f>Ringkasan!T1013</f>
        <v/>
      </c>
      <c r="U1014" s="22">
        <f>Ringkasan!U1013</f>
        <v>2620</v>
      </c>
      <c r="V1014" s="22">
        <f>Ringkasan!V1013</f>
        <v>-0.76</v>
      </c>
      <c r="W1014" s="22">
        <f>Ringkasan!W1013</f>
        <v>2630</v>
      </c>
      <c r="X1014" s="22">
        <f>Ringkasan!X1013</f>
        <v>2650</v>
      </c>
      <c r="Y1014" s="22">
        <f>Ringkasan!Y1013</f>
        <v>2600</v>
      </c>
      <c r="Z1014" s="22">
        <f>Ringkasan!Z1013</f>
        <v>9670400</v>
      </c>
      <c r="AA1014" s="64" t="str">
        <f>Ringkasan!AA1013</f>
        <v>Transport Infrastructure Operator</v>
      </c>
      <c r="AB1014" s="64" t="str">
        <f>Ringkasan!AB1013</f>
        <v>Infrastructures</v>
      </c>
    </row>
    <row r="1015" hidden="1">
      <c r="A1015" s="64" t="str">
        <f>Ringkasan!A1014</f>
        <v>JSMR</v>
      </c>
      <c r="B1015" s="64" t="str">
        <f>Ringkasan!B1014</f>
        <v>Jasa Marga (Persero) Tbk.</v>
      </c>
      <c r="C1015" s="67">
        <f>Ringkasan!C1014</f>
        <v>2600</v>
      </c>
      <c r="D1015" s="22" t="str">
        <f>Ringkasan!D1014</f>
        <v>#N/A</v>
      </c>
      <c r="E1015" s="64" t="str">
        <f>Ringkasan!E1014</f>
        <v>IDXESGL</v>
      </c>
      <c r="F1015" s="64" t="str">
        <f>Ringkasan!F1014</f>
        <v>30 Oktober 2026</v>
      </c>
      <c r="G1015" s="64">
        <f>Ringkasan!G1014</f>
        <v>17</v>
      </c>
      <c r="H1015" s="19">
        <f>Ringkasan!H1014</f>
        <v>6.2</v>
      </c>
      <c r="I1015" s="19">
        <f>Ringkasan!I1014</f>
        <v>0.34</v>
      </c>
      <c r="J1015" s="19">
        <f>Ringkasan!J1014</f>
        <v>5.5</v>
      </c>
      <c r="K1015" s="19">
        <f>Ringkasan!K1014</f>
        <v>2.2</v>
      </c>
      <c r="L1015" s="19">
        <f>Ringkasan!L1014</f>
        <v>1.5</v>
      </c>
      <c r="M1015" s="19">
        <f>Ringkasan!M1014</f>
        <v>54.4</v>
      </c>
      <c r="N1015" s="64" t="str">
        <f>Ringkasan!N1014</f>
        <v/>
      </c>
      <c r="O1015" s="64" t="str">
        <f>Ringkasan!O1014</f>
        <v/>
      </c>
      <c r="P1015" s="64" t="str">
        <f>Ringkasan!P1014</f>
        <v/>
      </c>
      <c r="Q1015" s="64" t="str">
        <f>Ringkasan!Q1014</f>
        <v/>
      </c>
      <c r="R1015" s="64" t="str">
        <f>Ringkasan!R1014</f>
        <v/>
      </c>
      <c r="S1015" s="64" t="str">
        <f>Ringkasan!S1014</f>
        <v/>
      </c>
      <c r="T1015" s="64" t="str">
        <f>Ringkasan!T1014</f>
        <v/>
      </c>
      <c r="U1015" s="22">
        <f>Ringkasan!U1014</f>
        <v>2620</v>
      </c>
      <c r="V1015" s="22">
        <f>Ringkasan!V1014</f>
        <v>-0.76</v>
      </c>
      <c r="W1015" s="22">
        <f>Ringkasan!W1014</f>
        <v>2630</v>
      </c>
      <c r="X1015" s="22">
        <f>Ringkasan!X1014</f>
        <v>2650</v>
      </c>
      <c r="Y1015" s="22">
        <f>Ringkasan!Y1014</f>
        <v>2600</v>
      </c>
      <c r="Z1015" s="22">
        <f>Ringkasan!Z1014</f>
        <v>9670400</v>
      </c>
      <c r="AA1015" s="64" t="str">
        <f>Ringkasan!AA1014</f>
        <v>Transport Infrastructure Operator</v>
      </c>
      <c r="AB1015" s="64" t="str">
        <f>Ringkasan!AB1014</f>
        <v>Infrastructures</v>
      </c>
    </row>
    <row r="1016" hidden="1">
      <c r="A1016" s="64" t="str">
        <f>Ringkasan!A228</f>
        <v>BBCA</v>
      </c>
      <c r="B1016" s="64" t="str">
        <f>Ringkasan!B228</f>
        <v>Bank Central Asia Tbk.</v>
      </c>
      <c r="C1016" s="65" t="str">
        <f>Ringkasan!C228</f>
        <v>#N/A</v>
      </c>
      <c r="D1016" s="64" t="str">
        <f>Ringkasan!D228</f>
        <v>#N/A</v>
      </c>
      <c r="E1016" s="64" t="str">
        <f>Ringkasan!E228</f>
        <v>IDXESGL</v>
      </c>
      <c r="F1016" s="64" t="str">
        <f>Ringkasan!F228</f>
        <v>30 Oktober 2026</v>
      </c>
      <c r="G1016" s="64">
        <f>Ringkasan!G228</f>
        <v>21</v>
      </c>
      <c r="H1016" s="19">
        <f>Ringkasan!H228</f>
        <v>12.1</v>
      </c>
      <c r="I1016" s="19">
        <f>Ringkasan!I228</f>
        <v>2.7</v>
      </c>
      <c r="J1016" s="19">
        <f>Ringkasan!J228</f>
        <v>22.4</v>
      </c>
      <c r="K1016" s="19">
        <f>Ringkasan!K228</f>
        <v>3.5</v>
      </c>
      <c r="L1016" s="19">
        <f>Ringkasan!L228</f>
        <v>5.3</v>
      </c>
      <c r="M1016" s="19">
        <f>Ringkasan!M228</f>
        <v>220</v>
      </c>
      <c r="N1016" s="64">
        <f>Ringkasan!N228</f>
        <v>5.33</v>
      </c>
      <c r="O1016" s="64">
        <f>Ringkasan!O228</f>
        <v>27.52</v>
      </c>
      <c r="P1016" s="64">
        <f>Ringkasan!P228</f>
        <v>74.1</v>
      </c>
      <c r="Q1016" s="64">
        <f>Ringkasan!Q228</f>
        <v>1.85</v>
      </c>
      <c r="R1016" s="64">
        <f>Ringkasan!R228</f>
        <v>39.87</v>
      </c>
      <c r="S1016" s="64">
        <f>Ringkasan!S228</f>
        <v>27.32</v>
      </c>
      <c r="T1016" s="64">
        <f>Ringkasan!T228</f>
        <v>2.09</v>
      </c>
      <c r="U1016" s="64">
        <f>Ringkasan!U228</f>
        <v>100.74</v>
      </c>
      <c r="V1016" s="64">
        <f>Ringkasan!V228</f>
        <v>0.51</v>
      </c>
      <c r="W1016" s="64">
        <f>Ringkasan!W228</f>
        <v>100.94</v>
      </c>
      <c r="X1016" s="64">
        <f>Ringkasan!X228</f>
        <v>101.77</v>
      </c>
      <c r="Y1016" s="64">
        <f>Ringkasan!Y228</f>
        <v>100.74</v>
      </c>
      <c r="Z1016" s="64">
        <f>Ringkasan!Z228</f>
        <v>51924</v>
      </c>
      <c r="AA1016" s="64" t="str">
        <f>Ringkasan!AA228</f>
        <v>Banks</v>
      </c>
      <c r="AB1016" s="64" t="str">
        <f>Ringkasan!AB228</f>
        <v>Financials</v>
      </c>
    </row>
    <row r="1017" hidden="1">
      <c r="A1017" s="64" t="str">
        <f>Ringkasan!A1016</f>
        <v>JSMR</v>
      </c>
      <c r="B1017" s="64" t="str">
        <f>Ringkasan!B1016</f>
        <v>Jasa Marga (Persero) Tbk.</v>
      </c>
      <c r="C1017" s="65">
        <f>Ringkasan!C1016</f>
        <v>2600</v>
      </c>
      <c r="D1017" s="64" t="str">
        <f>Ringkasan!D1016</f>
        <v>#N/A</v>
      </c>
      <c r="E1017" s="64" t="str">
        <f>Ringkasan!E1016</f>
        <v>IDXVESTA28</v>
      </c>
      <c r="F1017" s="64" t="str">
        <f>Ringkasan!F1016</f>
        <v>31 Agustus 2026</v>
      </c>
      <c r="G1017" s="64">
        <f>Ringkasan!G1016</f>
        <v>17</v>
      </c>
      <c r="H1017" s="19">
        <f>Ringkasan!H1016</f>
        <v>6.2</v>
      </c>
      <c r="I1017" s="19">
        <f>Ringkasan!I1016</f>
        <v>0.34</v>
      </c>
      <c r="J1017" s="19">
        <f>Ringkasan!J1016</f>
        <v>5.5</v>
      </c>
      <c r="K1017" s="19">
        <f>Ringkasan!K1016</f>
        <v>2.2</v>
      </c>
      <c r="L1017" s="19">
        <f>Ringkasan!L1016</f>
        <v>1.5</v>
      </c>
      <c r="M1017" s="19">
        <f>Ringkasan!M1016</f>
        <v>54.4</v>
      </c>
      <c r="N1017" s="64" t="str">
        <f>Ringkasan!N1016</f>
        <v/>
      </c>
      <c r="O1017" s="64" t="str">
        <f>Ringkasan!O1016</f>
        <v/>
      </c>
      <c r="P1017" s="64" t="str">
        <f>Ringkasan!P1016</f>
        <v/>
      </c>
      <c r="Q1017" s="64" t="str">
        <f>Ringkasan!Q1016</f>
        <v/>
      </c>
      <c r="R1017" s="64" t="str">
        <f>Ringkasan!R1016</f>
        <v/>
      </c>
      <c r="S1017" s="64" t="str">
        <f>Ringkasan!S1016</f>
        <v/>
      </c>
      <c r="T1017" s="64" t="str">
        <f>Ringkasan!T1016</f>
        <v/>
      </c>
      <c r="U1017" s="64">
        <f>Ringkasan!U1016</f>
        <v>2620</v>
      </c>
      <c r="V1017" s="64">
        <f>Ringkasan!V1016</f>
        <v>-0.76</v>
      </c>
      <c r="W1017" s="64">
        <f>Ringkasan!W1016</f>
        <v>2630</v>
      </c>
      <c r="X1017" s="64">
        <f>Ringkasan!X1016</f>
        <v>2650</v>
      </c>
      <c r="Y1017" s="64">
        <f>Ringkasan!Y1016</f>
        <v>2600</v>
      </c>
      <c r="Z1017" s="64">
        <f>Ringkasan!Z1016</f>
        <v>9670400</v>
      </c>
      <c r="AA1017" s="64" t="str">
        <f>Ringkasan!AA1016</f>
        <v>Transport Infrastructure Operator</v>
      </c>
      <c r="AB1017" s="64" t="str">
        <f>Ringkasan!AB1016</f>
        <v>Infrastructures</v>
      </c>
    </row>
    <row r="1018" hidden="1">
      <c r="A1018" s="64" t="str">
        <f>Ringkasan!A1017</f>
        <v>JSMR</v>
      </c>
      <c r="B1018" s="64" t="str">
        <f>Ringkasan!B1017</f>
        <v>Jasa Marga (Persero) Tbk.</v>
      </c>
      <c r="C1018" s="65">
        <f>Ringkasan!C1017</f>
        <v>2600</v>
      </c>
      <c r="D1018" s="64" t="str">
        <f>Ringkasan!D1017</f>
        <v>#N/A</v>
      </c>
      <c r="E1018" s="64" t="str">
        <f>Ringkasan!E1017</f>
        <v>IDXSMC-LIQ</v>
      </c>
      <c r="F1018" s="64" t="str">
        <f>Ringkasan!F1017</f>
        <v>4 Agustus 2026</v>
      </c>
      <c r="G1018" s="64">
        <f>Ringkasan!G1017</f>
        <v>17</v>
      </c>
      <c r="H1018" s="19">
        <f>Ringkasan!H1017</f>
        <v>6.2</v>
      </c>
      <c r="I1018" s="19">
        <f>Ringkasan!I1017</f>
        <v>0.34</v>
      </c>
      <c r="J1018" s="19">
        <f>Ringkasan!J1017</f>
        <v>5.5</v>
      </c>
      <c r="K1018" s="19">
        <f>Ringkasan!K1017</f>
        <v>2.2</v>
      </c>
      <c r="L1018" s="19">
        <f>Ringkasan!L1017</f>
        <v>1.5</v>
      </c>
      <c r="M1018" s="19">
        <f>Ringkasan!M1017</f>
        <v>54.4</v>
      </c>
      <c r="N1018" s="64" t="str">
        <f>Ringkasan!N1017</f>
        <v/>
      </c>
      <c r="O1018" s="64" t="str">
        <f>Ringkasan!O1017</f>
        <v/>
      </c>
      <c r="P1018" s="64" t="str">
        <f>Ringkasan!P1017</f>
        <v/>
      </c>
      <c r="Q1018" s="64" t="str">
        <f>Ringkasan!Q1017</f>
        <v/>
      </c>
      <c r="R1018" s="64" t="str">
        <f>Ringkasan!R1017</f>
        <v/>
      </c>
      <c r="S1018" s="64" t="str">
        <f>Ringkasan!S1017</f>
        <v/>
      </c>
      <c r="T1018" s="64" t="str">
        <f>Ringkasan!T1017</f>
        <v/>
      </c>
      <c r="U1018" s="64">
        <f>Ringkasan!U1017</f>
        <v>2620</v>
      </c>
      <c r="V1018" s="64">
        <f>Ringkasan!V1017</f>
        <v>-0.76</v>
      </c>
      <c r="W1018" s="64">
        <f>Ringkasan!W1017</f>
        <v>2630</v>
      </c>
      <c r="X1018" s="64">
        <f>Ringkasan!X1017</f>
        <v>2650</v>
      </c>
      <c r="Y1018" s="64">
        <f>Ringkasan!Y1017</f>
        <v>2600</v>
      </c>
      <c r="Z1018" s="64">
        <f>Ringkasan!Z1017</f>
        <v>9670400</v>
      </c>
      <c r="AA1018" s="64" t="str">
        <f>Ringkasan!AA1017</f>
        <v>Transport Infrastructure Operator</v>
      </c>
      <c r="AB1018" s="64" t="str">
        <f>Ringkasan!AB1017</f>
        <v>Infrastructures</v>
      </c>
    </row>
    <row r="1019" hidden="1">
      <c r="A1019" s="64" t="str">
        <f>Ringkasan!A1018</f>
        <v>JSMR</v>
      </c>
      <c r="B1019" s="64" t="str">
        <f>Ringkasan!B1018</f>
        <v>Jasa Marga (Persero) Tbk.</v>
      </c>
      <c r="C1019" s="65">
        <f>Ringkasan!C1018</f>
        <v>2600</v>
      </c>
      <c r="D1019" s="64" t="str">
        <f>Ringkasan!D1018</f>
        <v>#N/A</v>
      </c>
      <c r="E1019" s="64" t="str">
        <f>Ringkasan!E1018</f>
        <v>FTSE Large Cap</v>
      </c>
      <c r="F1019" s="64" t="str">
        <f>Ringkasan!F1018</f>
        <v>Juni 2026</v>
      </c>
      <c r="G1019" s="64">
        <f>Ringkasan!G1018</f>
        <v>17</v>
      </c>
      <c r="H1019" s="19">
        <f>Ringkasan!H1018</f>
        <v>6.2</v>
      </c>
      <c r="I1019" s="19">
        <f>Ringkasan!I1018</f>
        <v>0.34</v>
      </c>
      <c r="J1019" s="19">
        <f>Ringkasan!J1018</f>
        <v>5.5</v>
      </c>
      <c r="K1019" s="19">
        <f>Ringkasan!K1018</f>
        <v>2.2</v>
      </c>
      <c r="L1019" s="19">
        <f>Ringkasan!L1018</f>
        <v>1.5</v>
      </c>
      <c r="M1019" s="19">
        <f>Ringkasan!M1018</f>
        <v>54.4</v>
      </c>
      <c r="N1019" s="64" t="str">
        <f>Ringkasan!N1018</f>
        <v/>
      </c>
      <c r="O1019" s="64" t="str">
        <f>Ringkasan!O1018</f>
        <v/>
      </c>
      <c r="P1019" s="64" t="str">
        <f>Ringkasan!P1018</f>
        <v/>
      </c>
      <c r="Q1019" s="64" t="str">
        <f>Ringkasan!Q1018</f>
        <v/>
      </c>
      <c r="R1019" s="64" t="str">
        <f>Ringkasan!R1018</f>
        <v/>
      </c>
      <c r="S1019" s="64" t="str">
        <f>Ringkasan!S1018</f>
        <v/>
      </c>
      <c r="T1019" s="64" t="str">
        <f>Ringkasan!T1018</f>
        <v/>
      </c>
      <c r="U1019" s="64">
        <f>Ringkasan!U1018</f>
        <v>2620</v>
      </c>
      <c r="V1019" s="64">
        <f>Ringkasan!V1018</f>
        <v>-0.76</v>
      </c>
      <c r="W1019" s="64">
        <f>Ringkasan!W1018</f>
        <v>2630</v>
      </c>
      <c r="X1019" s="64">
        <f>Ringkasan!X1018</f>
        <v>2650</v>
      </c>
      <c r="Y1019" s="64">
        <f>Ringkasan!Y1018</f>
        <v>2600</v>
      </c>
      <c r="Z1019" s="64">
        <f>Ringkasan!Z1018</f>
        <v>9670400</v>
      </c>
      <c r="AA1019" s="64" t="str">
        <f>Ringkasan!AA1018</f>
        <v>Transport Infrastructure Operator</v>
      </c>
      <c r="AB1019" s="64" t="str">
        <f>Ringkasan!AB1018</f>
        <v>Infrastructures</v>
      </c>
    </row>
    <row r="1020" hidden="1">
      <c r="A1020" s="64" t="str">
        <f>Ringkasan!A1019</f>
        <v>JSMR</v>
      </c>
      <c r="B1020" s="64" t="str">
        <f>Ringkasan!B1019</f>
        <v>Jasa Marga (Persero) Tbk.</v>
      </c>
      <c r="C1020" s="65">
        <f>Ringkasan!C1019</f>
        <v>2600</v>
      </c>
      <c r="D1020" s="64" t="str">
        <f>Ringkasan!D1019</f>
        <v>#N/A</v>
      </c>
      <c r="E1020" s="64" t="str">
        <f>Ringkasan!E1019</f>
        <v>MSCI Small Cap</v>
      </c>
      <c r="F1020" s="64" t="str">
        <f>Ringkasan!F1019</f>
        <v>12 Agustus 2026</v>
      </c>
      <c r="G1020" s="65">
        <f>Ringkasan!G1019</f>
        <v>17</v>
      </c>
      <c r="H1020" s="19">
        <f>Ringkasan!H1019</f>
        <v>6.2</v>
      </c>
      <c r="I1020" s="19">
        <f>Ringkasan!I1019</f>
        <v>0.34</v>
      </c>
      <c r="J1020" s="19">
        <f>Ringkasan!J1019</f>
        <v>5.5</v>
      </c>
      <c r="K1020" s="19">
        <f>Ringkasan!K1019</f>
        <v>2.2</v>
      </c>
      <c r="L1020" s="19">
        <f>Ringkasan!L1019</f>
        <v>1.5</v>
      </c>
      <c r="M1020" s="19">
        <f>Ringkasan!M1019</f>
        <v>54.4</v>
      </c>
      <c r="N1020" s="64" t="str">
        <f>Ringkasan!N1019</f>
        <v/>
      </c>
      <c r="O1020" s="64" t="str">
        <f>Ringkasan!O1019</f>
        <v/>
      </c>
      <c r="P1020" s="64" t="str">
        <f>Ringkasan!P1019</f>
        <v/>
      </c>
      <c r="Q1020" s="64" t="str">
        <f>Ringkasan!Q1019</f>
        <v/>
      </c>
      <c r="R1020" s="64" t="str">
        <f>Ringkasan!R1019</f>
        <v/>
      </c>
      <c r="S1020" s="64" t="str">
        <f>Ringkasan!S1019</f>
        <v/>
      </c>
      <c r="T1020" s="64" t="str">
        <f>Ringkasan!T1019</f>
        <v/>
      </c>
      <c r="U1020" s="64">
        <f>Ringkasan!U1019</f>
        <v>2620</v>
      </c>
      <c r="V1020" s="64">
        <f>Ringkasan!V1019</f>
        <v>-0.76</v>
      </c>
      <c r="W1020" s="64">
        <f>Ringkasan!W1019</f>
        <v>2630</v>
      </c>
      <c r="X1020" s="64">
        <f>Ringkasan!X1019</f>
        <v>2650</v>
      </c>
      <c r="Y1020" s="64">
        <f>Ringkasan!Y1019</f>
        <v>2600</v>
      </c>
      <c r="Z1020" s="64">
        <f>Ringkasan!Z1019</f>
        <v>9670400</v>
      </c>
      <c r="AA1020" s="64" t="str">
        <f>Ringkasan!AA1019</f>
        <v>Transport Infrastructure Operator</v>
      </c>
      <c r="AB1020" s="64" t="str">
        <f>Ringkasan!AB1019</f>
        <v>Infrastructures</v>
      </c>
    </row>
    <row r="1021" hidden="1">
      <c r="A1021" s="64" t="str">
        <f>Ringkasan!A1020</f>
        <v>JSMR</v>
      </c>
      <c r="B1021" s="64" t="str">
        <f>Ringkasan!B1020</f>
        <v>Jasa Marga (Persero) Tbk.</v>
      </c>
      <c r="C1021" s="65">
        <f>Ringkasan!C1020</f>
        <v>2600</v>
      </c>
      <c r="D1021" s="64" t="str">
        <f>Ringkasan!D1020</f>
        <v>#N/A</v>
      </c>
      <c r="E1021" s="64" t="str">
        <f>Ringkasan!E1020</f>
        <v>SRI-KEHATI</v>
      </c>
      <c r="F1021" s="66">
        <f>Ringkasan!F1020</f>
        <v>46356</v>
      </c>
      <c r="G1021" s="64">
        <f>Ringkasan!G1020</f>
        <v>17</v>
      </c>
      <c r="H1021" s="19">
        <f>Ringkasan!H1020</f>
        <v>6.2</v>
      </c>
      <c r="I1021" s="19">
        <f>Ringkasan!I1020</f>
        <v>0.34</v>
      </c>
      <c r="J1021" s="19">
        <f>Ringkasan!J1020</f>
        <v>5.5</v>
      </c>
      <c r="K1021" s="19">
        <f>Ringkasan!K1020</f>
        <v>2.2</v>
      </c>
      <c r="L1021" s="19">
        <f>Ringkasan!L1020</f>
        <v>1.5</v>
      </c>
      <c r="M1021" s="19">
        <f>Ringkasan!M1020</f>
        <v>54.4</v>
      </c>
      <c r="N1021" s="64" t="str">
        <f>Ringkasan!N1020</f>
        <v/>
      </c>
      <c r="O1021" s="64" t="str">
        <f>Ringkasan!O1020</f>
        <v/>
      </c>
      <c r="P1021" s="64" t="str">
        <f>Ringkasan!P1020</f>
        <v/>
      </c>
      <c r="Q1021" s="64" t="str">
        <f>Ringkasan!Q1020</f>
        <v/>
      </c>
      <c r="R1021" s="64" t="str">
        <f>Ringkasan!R1020</f>
        <v/>
      </c>
      <c r="S1021" s="64" t="str">
        <f>Ringkasan!S1020</f>
        <v/>
      </c>
      <c r="T1021" s="64" t="str">
        <f>Ringkasan!T1020</f>
        <v/>
      </c>
      <c r="U1021" s="64">
        <f>Ringkasan!U1020</f>
        <v>2620</v>
      </c>
      <c r="V1021" s="64">
        <f>Ringkasan!V1020</f>
        <v>-0.76</v>
      </c>
      <c r="W1021" s="64">
        <f>Ringkasan!W1020</f>
        <v>2630</v>
      </c>
      <c r="X1021" s="64">
        <f>Ringkasan!X1020</f>
        <v>2650</v>
      </c>
      <c r="Y1021" s="64">
        <f>Ringkasan!Y1020</f>
        <v>2600</v>
      </c>
      <c r="Z1021" s="64">
        <f>Ringkasan!Z1020</f>
        <v>9670400</v>
      </c>
      <c r="AA1021" s="64" t="str">
        <f>Ringkasan!AA1020</f>
        <v>Transport Infrastructure Operator</v>
      </c>
      <c r="AB1021" s="64" t="str">
        <f>Ringkasan!AB1020</f>
        <v>Infrastructures</v>
      </c>
    </row>
    <row r="1022" hidden="1">
      <c r="A1022" s="64" t="str">
        <f>Ringkasan!A1574</f>
        <v>SIPD</v>
      </c>
      <c r="B1022" s="64" t="str">
        <f>Ringkasan!B1574</f>
        <v>Sreeya Sewu Indonesia Tbk.</v>
      </c>
      <c r="C1022" s="61">
        <f>Ringkasan!C1574</f>
        <v>725</v>
      </c>
      <c r="D1022" s="60" t="str">
        <f>Ringkasan!D1574</f>
        <v>#N/A</v>
      </c>
      <c r="E1022" s="60" t="str">
        <f>Ringkasan!E1574</f>
        <v/>
      </c>
      <c r="F1022" s="60" t="str">
        <f>Ringkasan!F1574</f>
        <v/>
      </c>
      <c r="G1022" s="60">
        <f>Ringkasan!G1574</f>
        <v>0</v>
      </c>
      <c r="H1022" s="62">
        <f>Ringkasan!H1574</f>
        <v>44.9</v>
      </c>
      <c r="I1022" s="62">
        <f>Ringkasan!I1574</f>
        <v>1.2</v>
      </c>
      <c r="J1022" s="62">
        <f>Ringkasan!J1574</f>
        <v>2.8</v>
      </c>
      <c r="K1022" s="62">
        <f>Ringkasan!K1574</f>
        <v>1.1</v>
      </c>
      <c r="L1022" s="62">
        <f>Ringkasan!L1574</f>
        <v>1.4</v>
      </c>
      <c r="M1022" s="62">
        <f>Ringkasan!M1574</f>
        <v>2.4</v>
      </c>
      <c r="N1022" s="60" t="str">
        <f>Ringkasan!N1574</f>
        <v/>
      </c>
      <c r="O1022" s="60" t="str">
        <f>Ringkasan!O1574</f>
        <v/>
      </c>
      <c r="P1022" s="60" t="str">
        <f>Ringkasan!P1574</f>
        <v/>
      </c>
      <c r="Q1022" s="60" t="str">
        <f>Ringkasan!Q1574</f>
        <v/>
      </c>
      <c r="R1022" s="60" t="str">
        <f>Ringkasan!R1574</f>
        <v/>
      </c>
      <c r="S1022" s="60" t="str">
        <f>Ringkasan!S1574</f>
        <v/>
      </c>
      <c r="T1022" s="60" t="str">
        <f>Ringkasan!T1574</f>
        <v/>
      </c>
      <c r="U1022" s="60">
        <f>Ringkasan!U1574</f>
        <v>710</v>
      </c>
      <c r="V1022" s="60">
        <f>Ringkasan!V1574</f>
        <v>2.11</v>
      </c>
      <c r="W1022" s="60">
        <f>Ringkasan!W1574</f>
        <v>710</v>
      </c>
      <c r="X1022" s="60">
        <f>Ringkasan!X1574</f>
        <v>730</v>
      </c>
      <c r="Y1022" s="60">
        <f>Ringkasan!Y1574</f>
        <v>670</v>
      </c>
      <c r="Z1022" s="60" t="str">
        <f>Ringkasan!Z1574</f>
        <v/>
      </c>
      <c r="AA1022" s="60" t="str">
        <f>Ringkasan!AA1574</f>
        <v>Agricultural Products</v>
      </c>
      <c r="AB1022" s="64" t="str">
        <f>Ringkasan!AB1574</f>
        <v>Consumer Non-Cyclicals</v>
      </c>
    </row>
    <row r="1023" hidden="1">
      <c r="A1023" s="64" t="str">
        <f>Ringkasan!A1022</f>
        <v>JSPT</v>
      </c>
      <c r="B1023" s="64" t="str">
        <f>Ringkasan!B1022</f>
        <v>Jakarta Setiabudi Internasional Tbk.</v>
      </c>
      <c r="C1023" s="67">
        <f>Ringkasan!C1022</f>
        <v>1170</v>
      </c>
      <c r="D1023" s="22" t="str">
        <f>Ringkasan!D1022</f>
        <v>#N/A</v>
      </c>
      <c r="E1023" s="64" t="str">
        <f>Ringkasan!E1022</f>
        <v/>
      </c>
      <c r="F1023" s="64" t="str">
        <f>Ringkasan!F1022</f>
        <v/>
      </c>
      <c r="G1023" s="64">
        <f>Ringkasan!G1022</f>
        <v>0</v>
      </c>
      <c r="H1023" s="19">
        <f>Ringkasan!H1022</f>
        <v>7.7</v>
      </c>
      <c r="I1023" s="19">
        <f>Ringkasan!I1022</f>
        <v>0.88</v>
      </c>
      <c r="J1023" s="19">
        <f>Ringkasan!J1022</f>
        <v>11.4</v>
      </c>
      <c r="K1023" s="19">
        <f>Ringkasan!K1022</f>
        <v>5.8</v>
      </c>
      <c r="L1023" s="19">
        <f>Ringkasan!L1022</f>
        <v>0.98</v>
      </c>
      <c r="M1023" s="19">
        <f>Ringkasan!M1022</f>
        <v>55.8</v>
      </c>
      <c r="N1023" s="64" t="str">
        <f>Ringkasan!N1022</f>
        <v/>
      </c>
      <c r="O1023" s="64" t="str">
        <f>Ringkasan!O1022</f>
        <v/>
      </c>
      <c r="P1023" s="64" t="str">
        <f>Ringkasan!P1022</f>
        <v/>
      </c>
      <c r="Q1023" s="64" t="str">
        <f>Ringkasan!Q1022</f>
        <v/>
      </c>
      <c r="R1023" s="64" t="str">
        <f>Ringkasan!R1022</f>
        <v/>
      </c>
      <c r="S1023" s="64" t="str">
        <f>Ringkasan!S1022</f>
        <v/>
      </c>
      <c r="T1023" s="64" t="str">
        <f>Ringkasan!T1022</f>
        <v/>
      </c>
      <c r="U1023" s="22">
        <f>Ringkasan!U1022</f>
        <v>1145</v>
      </c>
      <c r="V1023" s="22">
        <f>Ringkasan!V1022</f>
        <v>2.18</v>
      </c>
      <c r="W1023" s="22">
        <f>Ringkasan!W1022</f>
        <v>1165</v>
      </c>
      <c r="X1023" s="22">
        <f>Ringkasan!X1022</f>
        <v>1365</v>
      </c>
      <c r="Y1023" s="22">
        <f>Ringkasan!Y1022</f>
        <v>1130</v>
      </c>
      <c r="Z1023" s="22">
        <f>Ringkasan!Z1022</f>
        <v>44000</v>
      </c>
      <c r="AA1023" s="64" t="str">
        <f>Ringkasan!AA1022</f>
        <v>Tourism &amp; Recreation</v>
      </c>
      <c r="AB1023" s="64" t="str">
        <f>Ringkasan!AB1022</f>
        <v>Consumer Cyclicals</v>
      </c>
    </row>
    <row r="1024" hidden="1">
      <c r="A1024" s="60" t="str">
        <f>Ringkasan!A1023</f>
        <v>JTPE</v>
      </c>
      <c r="B1024" s="60" t="str">
        <f>Ringkasan!B1023</f>
        <v>Jasuindo Tiga Perkasa Tbk.</v>
      </c>
      <c r="C1024" s="61">
        <f>Ringkasan!C1023</f>
        <v>605</v>
      </c>
      <c r="D1024" s="60" t="str">
        <f>Ringkasan!D1023</f>
        <v>#N/A</v>
      </c>
      <c r="E1024" s="60" t="str">
        <f>Ringkasan!E1023</f>
        <v/>
      </c>
      <c r="F1024" s="60" t="str">
        <f>Ringkasan!F1023</f>
        <v/>
      </c>
      <c r="G1024" s="60">
        <f>Ringkasan!G1023</f>
        <v>0</v>
      </c>
      <c r="H1024" s="62">
        <f>Ringkasan!H1023</f>
        <v>13.5</v>
      </c>
      <c r="I1024" s="62">
        <f>Ringkasan!I1023</f>
        <v>2.9</v>
      </c>
      <c r="J1024" s="62">
        <f>Ringkasan!J1023</f>
        <v>21.6</v>
      </c>
      <c r="K1024" s="62">
        <f>Ringkasan!K1023</f>
        <v>12.4</v>
      </c>
      <c r="L1024" s="62">
        <f>Ringkasan!L1023</f>
        <v>0.74</v>
      </c>
      <c r="M1024" s="62">
        <f>Ringkasan!M1023</f>
        <v>120</v>
      </c>
      <c r="N1024" s="60" t="str">
        <f>Ringkasan!N1023</f>
        <v/>
      </c>
      <c r="O1024" s="60" t="str">
        <f>Ringkasan!O1023</f>
        <v/>
      </c>
      <c r="P1024" s="60" t="str">
        <f>Ringkasan!P1023</f>
        <v/>
      </c>
      <c r="Q1024" s="60" t="str">
        <f>Ringkasan!Q1023</f>
        <v/>
      </c>
      <c r="R1024" s="60" t="str">
        <f>Ringkasan!R1023</f>
        <v/>
      </c>
      <c r="S1024" s="60" t="str">
        <f>Ringkasan!S1023</f>
        <v/>
      </c>
      <c r="T1024" s="60" t="str">
        <f>Ringkasan!T1023</f>
        <v/>
      </c>
      <c r="U1024" s="60">
        <f>Ringkasan!U1023</f>
        <v>585</v>
      </c>
      <c r="V1024" s="60">
        <f>Ringkasan!V1023</f>
        <v>3.42</v>
      </c>
      <c r="W1024" s="60">
        <f>Ringkasan!W1023</f>
        <v>580</v>
      </c>
      <c r="X1024" s="60">
        <f>Ringkasan!X1023</f>
        <v>605</v>
      </c>
      <c r="Y1024" s="60">
        <f>Ringkasan!Y1023</f>
        <v>580</v>
      </c>
      <c r="Z1024" s="60">
        <f>Ringkasan!Z1023</f>
        <v>3171100</v>
      </c>
      <c r="AA1024" s="60" t="str">
        <f>Ringkasan!AA1023</f>
        <v>Commercial Services</v>
      </c>
      <c r="AB1024" s="60" t="str">
        <f>Ringkasan!AB1023</f>
        <v>Industrials</v>
      </c>
    </row>
    <row r="1025" hidden="1">
      <c r="A1025" s="64" t="str">
        <f>Ringkasan!A1024</f>
        <v>KAEF</v>
      </c>
      <c r="B1025" s="64" t="str">
        <f>Ringkasan!B1024</f>
        <v>Kimia Farma Tbk.</v>
      </c>
      <c r="C1025" s="67">
        <f>Ringkasan!C1024</f>
        <v>444</v>
      </c>
      <c r="D1025" s="22" t="str">
        <f>Ringkasan!D1024</f>
        <v>#N/A</v>
      </c>
      <c r="E1025" s="64" t="str">
        <f>Ringkasan!E1024</f>
        <v/>
      </c>
      <c r="F1025" s="64" t="str">
        <f>Ringkasan!F1024</f>
        <v/>
      </c>
      <c r="G1025" s="64">
        <f>Ringkasan!G1024</f>
        <v>0</v>
      </c>
      <c r="H1025" s="19">
        <f>Ringkasan!H1024</f>
        <v>-16.9</v>
      </c>
      <c r="I1025" s="19">
        <f>Ringkasan!I1024</f>
        <v>0.93</v>
      </c>
      <c r="J1025" s="19">
        <f>Ringkasan!J1024</f>
        <v>-5.5</v>
      </c>
      <c r="K1025" s="19">
        <f>Ringkasan!K1024</f>
        <v>-1.1</v>
      </c>
      <c r="L1025" s="19">
        <f>Ringkasan!L1024</f>
        <v>4</v>
      </c>
      <c r="M1025" s="19">
        <f>Ringkasan!M1024</f>
        <v>-7.8</v>
      </c>
      <c r="N1025" s="64" t="str">
        <f>Ringkasan!N1024</f>
        <v/>
      </c>
      <c r="O1025" s="64" t="str">
        <f>Ringkasan!O1024</f>
        <v/>
      </c>
      <c r="P1025" s="64" t="str">
        <f>Ringkasan!P1024</f>
        <v/>
      </c>
      <c r="Q1025" s="64" t="str">
        <f>Ringkasan!Q1024</f>
        <v/>
      </c>
      <c r="R1025" s="64" t="str">
        <f>Ringkasan!R1024</f>
        <v/>
      </c>
      <c r="S1025" s="64" t="str">
        <f>Ringkasan!S1024</f>
        <v/>
      </c>
      <c r="T1025" s="64" t="str">
        <f>Ringkasan!T1024</f>
        <v/>
      </c>
      <c r="U1025" s="22">
        <f>Ringkasan!U1024</f>
        <v>426</v>
      </c>
      <c r="V1025" s="22">
        <f>Ringkasan!V1024</f>
        <v>4.23</v>
      </c>
      <c r="W1025" s="22">
        <f>Ringkasan!W1024</f>
        <v>428</v>
      </c>
      <c r="X1025" s="22">
        <f>Ringkasan!X1024</f>
        <v>446</v>
      </c>
      <c r="Y1025" s="22">
        <f>Ringkasan!Y1024</f>
        <v>426</v>
      </c>
      <c r="Z1025" s="22">
        <f>Ringkasan!Z1024</f>
        <v>531500</v>
      </c>
      <c r="AA1025" s="64" t="str">
        <f>Ringkasan!AA1024</f>
        <v>Pharmaceuticals</v>
      </c>
      <c r="AB1025" s="64" t="str">
        <f>Ringkasan!AB1024</f>
        <v>Healthcare</v>
      </c>
    </row>
    <row r="1026" hidden="1">
      <c r="A1026" s="64" t="str">
        <f>Ringkasan!A1025</f>
        <v>KAQI</v>
      </c>
      <c r="B1026" s="64" t="str">
        <f>Ringkasan!B1025</f>
        <v>Jantra Grupo Indonesia Tbk.</v>
      </c>
      <c r="C1026" s="67">
        <f>Ringkasan!C1025</f>
        <v>91</v>
      </c>
      <c r="D1026" s="22" t="str">
        <f>Ringkasan!D1025</f>
        <v>#N/A</v>
      </c>
      <c r="E1026" s="64" t="str">
        <f>Ringkasan!E1025</f>
        <v/>
      </c>
      <c r="F1026" s="64" t="str">
        <f>Ringkasan!F1025</f>
        <v/>
      </c>
      <c r="G1026" s="64">
        <f>Ringkasan!G1025</f>
        <v>0</v>
      </c>
      <c r="H1026" s="19">
        <f>Ringkasan!H1025</f>
        <v>15.9</v>
      </c>
      <c r="I1026" s="19">
        <f>Ringkasan!I1025</f>
        <v>1.6</v>
      </c>
      <c r="J1026" s="19">
        <f>Ringkasan!J1025</f>
        <v>9.9</v>
      </c>
      <c r="K1026" s="19">
        <f>Ringkasan!K1025</f>
        <v>8.6</v>
      </c>
      <c r="L1026" s="19">
        <f>Ringkasan!L1025</f>
        <v>0.15</v>
      </c>
      <c r="M1026" s="19">
        <f>Ringkasan!M1025</f>
        <v>66.4</v>
      </c>
      <c r="N1026" s="64" t="str">
        <f>Ringkasan!N1025</f>
        <v/>
      </c>
      <c r="O1026" s="64" t="str">
        <f>Ringkasan!O1025</f>
        <v/>
      </c>
      <c r="P1026" s="64" t="str">
        <f>Ringkasan!P1025</f>
        <v/>
      </c>
      <c r="Q1026" s="64" t="str">
        <f>Ringkasan!Q1025</f>
        <v/>
      </c>
      <c r="R1026" s="64" t="str">
        <f>Ringkasan!R1025</f>
        <v/>
      </c>
      <c r="S1026" s="64" t="str">
        <f>Ringkasan!S1025</f>
        <v/>
      </c>
      <c r="T1026" s="64" t="str">
        <f>Ringkasan!T1025</f>
        <v/>
      </c>
      <c r="U1026" s="22">
        <f>Ringkasan!U1025</f>
        <v>89</v>
      </c>
      <c r="V1026" s="22">
        <f>Ringkasan!V1025</f>
        <v>2.25</v>
      </c>
      <c r="W1026" s="22">
        <f>Ringkasan!W1025</f>
        <v>89</v>
      </c>
      <c r="X1026" s="22">
        <f>Ringkasan!X1025</f>
        <v>95</v>
      </c>
      <c r="Y1026" s="22">
        <f>Ringkasan!Y1025</f>
        <v>89</v>
      </c>
      <c r="Z1026" s="22">
        <f>Ringkasan!Z1025</f>
        <v>78551500</v>
      </c>
      <c r="AA1026" s="64" t="str">
        <f>Ringkasan!AA1025</f>
        <v>Auto Components</v>
      </c>
      <c r="AB1026" s="64" t="str">
        <f>Ringkasan!AB1025</f>
        <v>Consumer Cyclicals</v>
      </c>
    </row>
    <row r="1027" hidden="1">
      <c r="A1027" s="64" t="str">
        <f>Ringkasan!A1026</f>
        <v>KARW</v>
      </c>
      <c r="B1027" s="64" t="str">
        <f>Ringkasan!B1026</f>
        <v>Meratus Jasa Prima Tbk.</v>
      </c>
      <c r="C1027" s="67">
        <f>Ringkasan!C1026</f>
        <v>274</v>
      </c>
      <c r="D1027" s="22" t="str">
        <f>Ringkasan!D1026</f>
        <v>#N/A</v>
      </c>
      <c r="E1027" s="64" t="str">
        <f>Ringkasan!E1026</f>
        <v/>
      </c>
      <c r="F1027" s="64" t="str">
        <f>Ringkasan!F1026</f>
        <v/>
      </c>
      <c r="G1027" s="64">
        <f>Ringkasan!G1026</f>
        <v>0</v>
      </c>
      <c r="H1027" s="19">
        <f>Ringkasan!H1026</f>
        <v>-64.5</v>
      </c>
      <c r="I1027" s="19">
        <f>Ringkasan!I1026</f>
        <v>-0.29</v>
      </c>
      <c r="J1027" s="19">
        <f>Ringkasan!J1026</f>
        <v>0</v>
      </c>
      <c r="K1027" s="19">
        <f>Ringkasan!K1026</f>
        <v>-1.1</v>
      </c>
      <c r="L1027" s="19">
        <f>Ringkasan!L1026</f>
        <v>-1.4</v>
      </c>
      <c r="M1027" s="19">
        <f>Ringkasan!M1026</f>
        <v>-10.9</v>
      </c>
      <c r="N1027" s="64" t="str">
        <f>Ringkasan!N1026</f>
        <v/>
      </c>
      <c r="O1027" s="64" t="str">
        <f>Ringkasan!O1026</f>
        <v/>
      </c>
      <c r="P1027" s="64" t="str">
        <f>Ringkasan!P1026</f>
        <v/>
      </c>
      <c r="Q1027" s="64" t="str">
        <f>Ringkasan!Q1026</f>
        <v/>
      </c>
      <c r="R1027" s="64" t="str">
        <f>Ringkasan!R1026</f>
        <v/>
      </c>
      <c r="S1027" s="64" t="str">
        <f>Ringkasan!S1026</f>
        <v/>
      </c>
      <c r="T1027" s="64" t="str">
        <f>Ringkasan!T1026</f>
        <v/>
      </c>
      <c r="U1027" s="22">
        <f>Ringkasan!U1026</f>
        <v>250</v>
      </c>
      <c r="V1027" s="22">
        <f>Ringkasan!V1026</f>
        <v>9.6</v>
      </c>
      <c r="W1027" s="22">
        <f>Ringkasan!W1026</f>
        <v>274</v>
      </c>
      <c r="X1027" s="22">
        <f>Ringkasan!X1026</f>
        <v>274</v>
      </c>
      <c r="Y1027" s="22">
        <f>Ringkasan!Y1026</f>
        <v>274</v>
      </c>
      <c r="Z1027" s="22">
        <f>Ringkasan!Z1026</f>
        <v>315100</v>
      </c>
      <c r="AA1027" s="64" t="str">
        <f>Ringkasan!AA1026</f>
        <v>Transport Infrastructure Operator</v>
      </c>
      <c r="AB1027" s="64" t="str">
        <f>Ringkasan!AB1026</f>
        <v>Infrastructures</v>
      </c>
    </row>
    <row r="1028" hidden="1">
      <c r="A1028" s="64" t="str">
        <f>Ringkasan!A1027</f>
        <v>KAYU</v>
      </c>
      <c r="B1028" s="64" t="str">
        <f>Ringkasan!B1027</f>
        <v>Darmi Bersaudara Tbk.</v>
      </c>
      <c r="C1028" s="67">
        <f>Ringkasan!C1027</f>
        <v>18</v>
      </c>
      <c r="D1028" s="22" t="str">
        <f>Ringkasan!D1027</f>
        <v>#N/A</v>
      </c>
      <c r="E1028" s="64" t="str">
        <f>Ringkasan!E1027</f>
        <v/>
      </c>
      <c r="F1028" s="64" t="str">
        <f>Ringkasan!F1027</f>
        <v/>
      </c>
      <c r="G1028" s="64">
        <f>Ringkasan!G1027</f>
        <v>0</v>
      </c>
      <c r="H1028" s="19">
        <f>Ringkasan!H1027</f>
        <v>0</v>
      </c>
      <c r="I1028" s="19">
        <f>Ringkasan!I1027</f>
        <v>0.15</v>
      </c>
      <c r="J1028" s="19">
        <f>Ringkasan!J1027</f>
        <v>0.99</v>
      </c>
      <c r="K1028" s="19">
        <f>Ringkasan!K1027</f>
        <v>0.82</v>
      </c>
      <c r="L1028" s="19">
        <f>Ringkasan!L1027</f>
        <v>0.22</v>
      </c>
      <c r="M1028" s="19">
        <f>Ringkasan!M1027</f>
        <v>12</v>
      </c>
      <c r="N1028" s="64" t="str">
        <f>Ringkasan!N1027</f>
        <v/>
      </c>
      <c r="O1028" s="64" t="str">
        <f>Ringkasan!O1027</f>
        <v/>
      </c>
      <c r="P1028" s="64" t="str">
        <f>Ringkasan!P1027</f>
        <v/>
      </c>
      <c r="Q1028" s="64" t="str">
        <f>Ringkasan!Q1027</f>
        <v/>
      </c>
      <c r="R1028" s="64" t="str">
        <f>Ringkasan!R1027</f>
        <v/>
      </c>
      <c r="S1028" s="64" t="str">
        <f>Ringkasan!S1027</f>
        <v/>
      </c>
      <c r="T1028" s="64" t="str">
        <f>Ringkasan!T1027</f>
        <v/>
      </c>
      <c r="U1028" s="22">
        <f>Ringkasan!U1027</f>
        <v>18</v>
      </c>
      <c r="V1028" s="22">
        <f>Ringkasan!V1027</f>
        <v>0</v>
      </c>
      <c r="W1028" s="22" t="str">
        <f>Ringkasan!W1027</f>
        <v/>
      </c>
      <c r="X1028" s="22" t="str">
        <f>Ringkasan!X1027</f>
        <v/>
      </c>
      <c r="Y1028" s="22" t="str">
        <f>Ringkasan!Y1027</f>
        <v/>
      </c>
      <c r="Z1028" s="22">
        <f>Ringkasan!Z1027</f>
        <v>0</v>
      </c>
      <c r="AA1028" s="64" t="str">
        <f>Ringkasan!AA1027</f>
        <v>Forestry &amp; Paper</v>
      </c>
      <c r="AB1028" s="64" t="str">
        <f>Ringkasan!AB1027</f>
        <v>Basic Materials</v>
      </c>
    </row>
    <row r="1029" hidden="1">
      <c r="A1029" s="64" t="str">
        <f>Ringkasan!A1028</f>
        <v>KBAG</v>
      </c>
      <c r="B1029" s="64" t="str">
        <f>Ringkasan!B1028</f>
        <v>Karya Bersama Anugerah Tbk.</v>
      </c>
      <c r="C1029" s="67">
        <f>Ringkasan!C1028</f>
        <v>38</v>
      </c>
      <c r="D1029" s="22" t="str">
        <f>Ringkasan!D1028</f>
        <v>#N/A</v>
      </c>
      <c r="E1029" s="64" t="str">
        <f>Ringkasan!E1028</f>
        <v/>
      </c>
      <c r="F1029" s="64" t="str">
        <f>Ringkasan!F1028</f>
        <v/>
      </c>
      <c r="G1029" s="64">
        <f>Ringkasan!G1028</f>
        <v>0</v>
      </c>
      <c r="H1029" s="19">
        <f>Ringkasan!H1028</f>
        <v>-36.9</v>
      </c>
      <c r="I1029" s="19">
        <f>Ringkasan!I1028</f>
        <v>0.85</v>
      </c>
      <c r="J1029" s="19">
        <f>Ringkasan!J1028</f>
        <v>-2.3</v>
      </c>
      <c r="K1029" s="19">
        <f>Ringkasan!K1028</f>
        <v>-2</v>
      </c>
      <c r="L1029" s="19">
        <f>Ringkasan!L1028</f>
        <v>0.17</v>
      </c>
      <c r="M1029" s="19">
        <f>Ringkasan!M1028</f>
        <v>-380</v>
      </c>
      <c r="N1029" s="64" t="str">
        <f>Ringkasan!N1028</f>
        <v/>
      </c>
      <c r="O1029" s="64" t="str">
        <f>Ringkasan!O1028</f>
        <v/>
      </c>
      <c r="P1029" s="64" t="str">
        <f>Ringkasan!P1028</f>
        <v/>
      </c>
      <c r="Q1029" s="64" t="str">
        <f>Ringkasan!Q1028</f>
        <v/>
      </c>
      <c r="R1029" s="64" t="str">
        <f>Ringkasan!R1028</f>
        <v/>
      </c>
      <c r="S1029" s="64" t="str">
        <f>Ringkasan!S1028</f>
        <v/>
      </c>
      <c r="T1029" s="64" t="str">
        <f>Ringkasan!T1028</f>
        <v/>
      </c>
      <c r="U1029" s="22">
        <f>Ringkasan!U1028</f>
        <v>38</v>
      </c>
      <c r="V1029" s="22">
        <f>Ringkasan!V1028</f>
        <v>0</v>
      </c>
      <c r="W1029" s="22">
        <f>Ringkasan!W1028</f>
        <v>38</v>
      </c>
      <c r="X1029" s="22">
        <f>Ringkasan!X1028</f>
        <v>38</v>
      </c>
      <c r="Y1029" s="22">
        <f>Ringkasan!Y1028</f>
        <v>38</v>
      </c>
      <c r="Z1029" s="22">
        <f>Ringkasan!Z1028</f>
        <v>10301400</v>
      </c>
      <c r="AA1029" s="64" t="str">
        <f>Ringkasan!AA1028</f>
        <v>Real Estate Management &amp; Development</v>
      </c>
      <c r="AB1029" s="64" t="str">
        <f>Ringkasan!AB1028</f>
        <v>Properties &amp; Real Estate</v>
      </c>
    </row>
    <row r="1030" hidden="1">
      <c r="A1030" s="64" t="str">
        <f>Ringkasan!A259</f>
        <v>BBNI</v>
      </c>
      <c r="B1030" s="64" t="str">
        <f>Ringkasan!B259</f>
        <v>PT Bank Negara Indonesia (Persero) Tbk</v>
      </c>
      <c r="C1030" s="61">
        <f>Ringkasan!C259</f>
        <v>3560</v>
      </c>
      <c r="D1030" s="60" t="str">
        <f>Ringkasan!D259</f>
        <v>#N/A</v>
      </c>
      <c r="E1030" s="60" t="str">
        <f>Ringkasan!E259</f>
        <v>SMINFRA18</v>
      </c>
      <c r="F1030" s="60" t="str">
        <f>Ringkasan!F259</f>
        <v>30 Oktober 2026</v>
      </c>
      <c r="G1030" s="60">
        <f>Ringkasan!G259</f>
        <v>22</v>
      </c>
      <c r="H1030" s="62">
        <f>Ringkasan!H259</f>
        <v>6.8</v>
      </c>
      <c r="I1030" s="62">
        <f>Ringkasan!I259</f>
        <v>0.83</v>
      </c>
      <c r="J1030" s="62">
        <f>Ringkasan!J259</f>
        <v>12.3</v>
      </c>
      <c r="K1030" s="62">
        <f>Ringkasan!K259</f>
        <v>1.4</v>
      </c>
      <c r="L1030" s="62">
        <f>Ringkasan!L259</f>
        <v>7.6</v>
      </c>
      <c r="M1030" s="62">
        <f>Ringkasan!M259</f>
        <v>89.9</v>
      </c>
      <c r="N1030" s="60">
        <f>Ringkasan!N259</f>
        <v>3.8</v>
      </c>
      <c r="O1030" s="60">
        <f>Ringkasan!O259</f>
        <v>20.7</v>
      </c>
      <c r="P1030" s="60">
        <f>Ringkasan!P259</f>
        <v>86.4</v>
      </c>
      <c r="Q1030" s="60">
        <f>Ringkasan!Q259</f>
        <v>1.9</v>
      </c>
      <c r="R1030" s="60">
        <f>Ringkasan!R259</f>
        <v>72.9</v>
      </c>
      <c r="S1030" s="60">
        <f>Ringkasan!S259</f>
        <v>46.5</v>
      </c>
      <c r="T1030" s="60">
        <f>Ringkasan!T259</f>
        <v>8.5</v>
      </c>
      <c r="U1030" s="60">
        <f>Ringkasan!U259</f>
        <v>3500</v>
      </c>
      <c r="V1030" s="60">
        <f>Ringkasan!V259</f>
        <v>1.71</v>
      </c>
      <c r="W1030" s="60">
        <f>Ringkasan!W259</f>
        <v>3570</v>
      </c>
      <c r="X1030" s="60">
        <f>Ringkasan!X259</f>
        <v>3650</v>
      </c>
      <c r="Y1030" s="60">
        <f>Ringkasan!Y259</f>
        <v>3520</v>
      </c>
      <c r="Z1030" s="60">
        <f>Ringkasan!Z259</f>
        <v>74824100</v>
      </c>
      <c r="AA1030" s="60" t="str">
        <f>Ringkasan!AA259</f>
        <v>Banks</v>
      </c>
      <c r="AB1030" s="64" t="str">
        <f>Ringkasan!AB259</f>
        <v>Financials</v>
      </c>
    </row>
    <row r="1031" hidden="1">
      <c r="A1031" s="64" t="str">
        <f>Ringkasan!A1030</f>
        <v>KBLM</v>
      </c>
      <c r="B1031" s="64" t="str">
        <f>Ringkasan!B1030</f>
        <v>Kabelindo Murni Tbk.</v>
      </c>
      <c r="C1031" s="67">
        <f>Ringkasan!C1030</f>
        <v>288</v>
      </c>
      <c r="D1031" s="22" t="str">
        <f>Ringkasan!D1030</f>
        <v>#N/A</v>
      </c>
      <c r="E1031" s="64" t="str">
        <f>Ringkasan!E1030</f>
        <v/>
      </c>
      <c r="F1031" s="64" t="str">
        <f>Ringkasan!F1030</f>
        <v/>
      </c>
      <c r="G1031" s="64">
        <f>Ringkasan!G1030</f>
        <v>0</v>
      </c>
      <c r="H1031" s="19">
        <f>Ringkasan!H1030</f>
        <v>18</v>
      </c>
      <c r="I1031" s="19">
        <f>Ringkasan!I1030</f>
        <v>0.23</v>
      </c>
      <c r="J1031" s="19">
        <f>Ringkasan!J1030</f>
        <v>1.3</v>
      </c>
      <c r="K1031" s="19">
        <f>Ringkasan!K1030</f>
        <v>0.95</v>
      </c>
      <c r="L1031" s="19">
        <f>Ringkasan!L1030</f>
        <v>0.36</v>
      </c>
      <c r="M1031" s="19">
        <f>Ringkasan!M1030</f>
        <v>2.7</v>
      </c>
      <c r="N1031" s="64" t="str">
        <f>Ringkasan!N1030</f>
        <v/>
      </c>
      <c r="O1031" s="64" t="str">
        <f>Ringkasan!O1030</f>
        <v/>
      </c>
      <c r="P1031" s="64" t="str">
        <f>Ringkasan!P1030</f>
        <v/>
      </c>
      <c r="Q1031" s="64" t="str">
        <f>Ringkasan!Q1030</f>
        <v/>
      </c>
      <c r="R1031" s="64" t="str">
        <f>Ringkasan!R1030</f>
        <v/>
      </c>
      <c r="S1031" s="64" t="str">
        <f>Ringkasan!S1030</f>
        <v/>
      </c>
      <c r="T1031" s="64" t="str">
        <f>Ringkasan!T1030</f>
        <v/>
      </c>
      <c r="U1031" s="22">
        <f>Ringkasan!U1030</f>
        <v>278</v>
      </c>
      <c r="V1031" s="22">
        <f>Ringkasan!V1030</f>
        <v>3.6</v>
      </c>
      <c r="W1031" s="22">
        <f>Ringkasan!W1030</f>
        <v>288</v>
      </c>
      <c r="X1031" s="22">
        <f>Ringkasan!X1030</f>
        <v>292</v>
      </c>
      <c r="Y1031" s="22">
        <f>Ringkasan!Y1030</f>
        <v>288</v>
      </c>
      <c r="Z1031" s="22">
        <f>Ringkasan!Z1030</f>
        <v>50900</v>
      </c>
      <c r="AA1031" s="64" t="str">
        <f>Ringkasan!AA1030</f>
        <v>Electrical</v>
      </c>
      <c r="AB1031" s="64" t="str">
        <f>Ringkasan!AB1030</f>
        <v>Industrials</v>
      </c>
    </row>
    <row r="1032" hidden="1">
      <c r="A1032" s="64" t="str">
        <f>Ringkasan!A1031</f>
        <v>KBLV</v>
      </c>
      <c r="B1032" s="64" t="str">
        <f>Ringkasan!B1031</f>
        <v>First Media Tbk.</v>
      </c>
      <c r="C1032" s="67">
        <f>Ringkasan!C1031</f>
        <v>97</v>
      </c>
      <c r="D1032" s="22" t="str">
        <f>Ringkasan!D1031</f>
        <v>#N/A</v>
      </c>
      <c r="E1032" s="64" t="str">
        <f>Ringkasan!E1031</f>
        <v/>
      </c>
      <c r="F1032" s="64" t="str">
        <f>Ringkasan!F1031</f>
        <v/>
      </c>
      <c r="G1032" s="64">
        <f>Ringkasan!G1031</f>
        <v>0</v>
      </c>
      <c r="H1032" s="19">
        <f>Ringkasan!H1031</f>
        <v>61.7</v>
      </c>
      <c r="I1032" s="19">
        <f>Ringkasan!I1031</f>
        <v>0.33</v>
      </c>
      <c r="J1032" s="19">
        <f>Ringkasan!J1031</f>
        <v>0.54</v>
      </c>
      <c r="K1032" s="19">
        <f>Ringkasan!K1031</f>
        <v>0.14</v>
      </c>
      <c r="L1032" s="19">
        <f>Ringkasan!L1031</f>
        <v>3</v>
      </c>
      <c r="M1032" s="19">
        <f>Ringkasan!M1031</f>
        <v>1370</v>
      </c>
      <c r="N1032" s="64" t="str">
        <f>Ringkasan!N1031</f>
        <v/>
      </c>
      <c r="O1032" s="64" t="str">
        <f>Ringkasan!O1031</f>
        <v/>
      </c>
      <c r="P1032" s="64" t="str">
        <f>Ringkasan!P1031</f>
        <v/>
      </c>
      <c r="Q1032" s="64" t="str">
        <f>Ringkasan!Q1031</f>
        <v/>
      </c>
      <c r="R1032" s="64" t="str">
        <f>Ringkasan!R1031</f>
        <v/>
      </c>
      <c r="S1032" s="64" t="str">
        <f>Ringkasan!S1031</f>
        <v/>
      </c>
      <c r="T1032" s="64" t="str">
        <f>Ringkasan!T1031</f>
        <v/>
      </c>
      <c r="U1032" s="22">
        <f>Ringkasan!U1031</f>
        <v>102</v>
      </c>
      <c r="V1032" s="22">
        <f>Ringkasan!V1031</f>
        <v>-4.9</v>
      </c>
      <c r="W1032" s="22">
        <f>Ringkasan!W1031</f>
        <v>102</v>
      </c>
      <c r="X1032" s="22">
        <f>Ringkasan!X1031</f>
        <v>104</v>
      </c>
      <c r="Y1032" s="22">
        <f>Ringkasan!Y1031</f>
        <v>93</v>
      </c>
      <c r="Z1032" s="22">
        <f>Ringkasan!Z1031</f>
        <v>23029900</v>
      </c>
      <c r="AA1032" s="64" t="str">
        <f>Ringkasan!AA1031</f>
        <v>Telecommunication Service</v>
      </c>
      <c r="AB1032" s="64" t="str">
        <f>Ringkasan!AB1031</f>
        <v>Infrastructures</v>
      </c>
    </row>
    <row r="1033" hidden="1">
      <c r="A1033" s="64" t="str">
        <f>Ringkasan!A1032</f>
        <v>KBRI</v>
      </c>
      <c r="B1033" s="64" t="str">
        <f>Ringkasan!B1032</f>
        <v>Kertas Basuki Rachmat Indonesia Tbk.</v>
      </c>
      <c r="C1033" s="67">
        <f>Ringkasan!C1032</f>
        <v>50</v>
      </c>
      <c r="D1033" s="22" t="str">
        <f>Ringkasan!D1032</f>
        <v>#N/A</v>
      </c>
      <c r="E1033" s="64" t="str">
        <f>Ringkasan!E1032</f>
        <v/>
      </c>
      <c r="F1033" s="64" t="str">
        <f>Ringkasan!F1032</f>
        <v/>
      </c>
      <c r="G1033" s="64">
        <f>Ringkasan!G1032</f>
        <v>0</v>
      </c>
      <c r="H1033" s="19">
        <f>Ringkasan!H1032</f>
        <v>0</v>
      </c>
      <c r="I1033" s="19">
        <f>Ringkasan!I1032</f>
        <v>3.2</v>
      </c>
      <c r="J1033" s="19">
        <f>Ringkasan!J1032</f>
        <v>-25.2</v>
      </c>
      <c r="K1033" s="19">
        <f>Ringkasan!K1032</f>
        <v>-3.4</v>
      </c>
      <c r="L1033" s="19">
        <f>Ringkasan!L1032</f>
        <v>6.5</v>
      </c>
      <c r="M1033" s="19">
        <f>Ringkasan!M1032</f>
        <v>-8950</v>
      </c>
      <c r="N1033" s="64" t="str">
        <f>Ringkasan!N1032</f>
        <v/>
      </c>
      <c r="O1033" s="64" t="str">
        <f>Ringkasan!O1032</f>
        <v/>
      </c>
      <c r="P1033" s="64" t="str">
        <f>Ringkasan!P1032</f>
        <v/>
      </c>
      <c r="Q1033" s="64" t="str">
        <f>Ringkasan!Q1032</f>
        <v/>
      </c>
      <c r="R1033" s="64" t="str">
        <f>Ringkasan!R1032</f>
        <v/>
      </c>
      <c r="S1033" s="64" t="str">
        <f>Ringkasan!S1032</f>
        <v/>
      </c>
      <c r="T1033" s="64" t="str">
        <f>Ringkasan!T1032</f>
        <v/>
      </c>
      <c r="U1033" s="22">
        <f>Ringkasan!U1032</f>
        <v>50</v>
      </c>
      <c r="V1033" s="22">
        <f>Ringkasan!V1032</f>
        <v>0</v>
      </c>
      <c r="W1033" s="22" t="str">
        <f>Ringkasan!W1032</f>
        <v/>
      </c>
      <c r="X1033" s="22" t="str">
        <f>Ringkasan!X1032</f>
        <v/>
      </c>
      <c r="Y1033" s="22" t="str">
        <f>Ringkasan!Y1032</f>
        <v/>
      </c>
      <c r="Z1033" s="22">
        <f>Ringkasan!Z1032</f>
        <v>0</v>
      </c>
      <c r="AA1033" s="64" t="str">
        <f>Ringkasan!AA1032</f>
        <v>Forestry &amp; Paper</v>
      </c>
      <c r="AB1033" s="64" t="str">
        <f>Ringkasan!AB1032</f>
        <v>Basic Materials</v>
      </c>
    </row>
    <row r="1034" hidden="1">
      <c r="A1034" s="64" t="str">
        <f>Ringkasan!A1033</f>
        <v>KDSI</v>
      </c>
      <c r="B1034" s="64" t="str">
        <f>Ringkasan!B1033</f>
        <v>Kedawung Setia Industrial Tbk.</v>
      </c>
      <c r="C1034" s="67">
        <f>Ringkasan!C1033</f>
        <v>444</v>
      </c>
      <c r="D1034" s="22" t="str">
        <f>Ringkasan!D1033</f>
        <v>#N/A</v>
      </c>
      <c r="E1034" s="64" t="str">
        <f>Ringkasan!E1033</f>
        <v/>
      </c>
      <c r="F1034" s="64" t="str">
        <f>Ringkasan!F1033</f>
        <v/>
      </c>
      <c r="G1034" s="64">
        <f>Ringkasan!G1033</f>
        <v>0</v>
      </c>
      <c r="H1034" s="19">
        <f>Ringkasan!H1033</f>
        <v>24.6</v>
      </c>
      <c r="I1034" s="19">
        <f>Ringkasan!I1033</f>
        <v>0.91</v>
      </c>
      <c r="J1034" s="19">
        <f>Ringkasan!J1033</f>
        <v>3.7</v>
      </c>
      <c r="K1034" s="19">
        <f>Ringkasan!K1033</f>
        <v>2.5</v>
      </c>
      <c r="L1034" s="19">
        <f>Ringkasan!L1033</f>
        <v>0.49</v>
      </c>
      <c r="M1034" s="19">
        <f>Ringkasan!M1033</f>
        <v>6.2</v>
      </c>
      <c r="N1034" s="64" t="str">
        <f>Ringkasan!N1033</f>
        <v/>
      </c>
      <c r="O1034" s="64" t="str">
        <f>Ringkasan!O1033</f>
        <v/>
      </c>
      <c r="P1034" s="64" t="str">
        <f>Ringkasan!P1033</f>
        <v/>
      </c>
      <c r="Q1034" s="64" t="str">
        <f>Ringkasan!Q1033</f>
        <v/>
      </c>
      <c r="R1034" s="64" t="str">
        <f>Ringkasan!R1033</f>
        <v/>
      </c>
      <c r="S1034" s="64" t="str">
        <f>Ringkasan!S1033</f>
        <v/>
      </c>
      <c r="T1034" s="64" t="str">
        <f>Ringkasan!T1033</f>
        <v/>
      </c>
      <c r="U1034" s="22">
        <f>Ringkasan!U1033</f>
        <v>432</v>
      </c>
      <c r="V1034" s="22">
        <f>Ringkasan!V1033</f>
        <v>2.78</v>
      </c>
      <c r="W1034" s="22">
        <f>Ringkasan!W1033</f>
        <v>432</v>
      </c>
      <c r="X1034" s="22">
        <f>Ringkasan!X1033</f>
        <v>446</v>
      </c>
      <c r="Y1034" s="22">
        <f>Ringkasan!Y1033</f>
        <v>410</v>
      </c>
      <c r="Z1034" s="22">
        <f>Ringkasan!Z1033</f>
        <v>27400</v>
      </c>
      <c r="AA1034" s="64" t="str">
        <f>Ringkasan!AA1033</f>
        <v>Containers &amp; Packaging</v>
      </c>
      <c r="AB1034" s="64" t="str">
        <f>Ringkasan!AB1033</f>
        <v>Basic Materials</v>
      </c>
    </row>
    <row r="1035" hidden="1">
      <c r="A1035" s="64" t="str">
        <f>Ringkasan!A1034</f>
        <v>KDTN</v>
      </c>
      <c r="B1035" s="64" t="str">
        <f>Ringkasan!B1034</f>
        <v>Puri Sentul Permai Tbk.</v>
      </c>
      <c r="C1035" s="67">
        <f>Ringkasan!C1034</f>
        <v>740</v>
      </c>
      <c r="D1035" s="22" t="str">
        <f>Ringkasan!D1034</f>
        <v>#N/A</v>
      </c>
      <c r="E1035" s="64" t="str">
        <f>Ringkasan!E1034</f>
        <v/>
      </c>
      <c r="F1035" s="64" t="str">
        <f>Ringkasan!F1034</f>
        <v/>
      </c>
      <c r="G1035" s="64">
        <f>Ringkasan!G1034</f>
        <v>0</v>
      </c>
      <c r="H1035" s="19">
        <f>Ringkasan!H1034</f>
        <v>420</v>
      </c>
      <c r="I1035" s="19">
        <f>Ringkasan!I1034</f>
        <v>15.5</v>
      </c>
      <c r="J1035" s="19">
        <f>Ringkasan!J1034</f>
        <v>3.7</v>
      </c>
      <c r="K1035" s="19">
        <f>Ringkasan!K1034</f>
        <v>3.1</v>
      </c>
      <c r="L1035" s="19">
        <f>Ringkasan!L1034</f>
        <v>0.19</v>
      </c>
      <c r="M1035" s="19">
        <f>Ringkasan!M1034</f>
        <v>27.6</v>
      </c>
      <c r="N1035" s="64" t="str">
        <f>Ringkasan!N1034</f>
        <v/>
      </c>
      <c r="O1035" s="64" t="str">
        <f>Ringkasan!O1034</f>
        <v/>
      </c>
      <c r="P1035" s="64" t="str">
        <f>Ringkasan!P1034</f>
        <v/>
      </c>
      <c r="Q1035" s="64" t="str">
        <f>Ringkasan!Q1034</f>
        <v/>
      </c>
      <c r="R1035" s="64" t="str">
        <f>Ringkasan!R1034</f>
        <v/>
      </c>
      <c r="S1035" s="64" t="str">
        <f>Ringkasan!S1034</f>
        <v/>
      </c>
      <c r="T1035" s="64" t="str">
        <f>Ringkasan!T1034</f>
        <v/>
      </c>
      <c r="U1035" s="22">
        <f>Ringkasan!U1034</f>
        <v>735</v>
      </c>
      <c r="V1035" s="22">
        <f>Ringkasan!V1034</f>
        <v>0.68</v>
      </c>
      <c r="W1035" s="22">
        <f>Ringkasan!W1034</f>
        <v>725</v>
      </c>
      <c r="X1035" s="22" t="str">
        <f>Ringkasan!X1034</f>
        <v/>
      </c>
      <c r="Y1035" s="22">
        <f>Ringkasan!Y1034</f>
        <v>720</v>
      </c>
      <c r="Z1035" s="22">
        <f>Ringkasan!Z1034</f>
        <v>354300</v>
      </c>
      <c r="AA1035" s="64" t="str">
        <f>Ringkasan!AA1034</f>
        <v>Tourism &amp; Recreation</v>
      </c>
      <c r="AB1035" s="64" t="str">
        <f>Ringkasan!AB1034</f>
        <v>Consumer Cyclicals</v>
      </c>
    </row>
    <row r="1036" hidden="1">
      <c r="A1036" s="64" t="str">
        <f>Ringkasan!A1035</f>
        <v>KEEN</v>
      </c>
      <c r="B1036" s="64" t="str">
        <f>Ringkasan!B1035</f>
        <v>Kencana Energi Lestari Tbk.</v>
      </c>
      <c r="C1036" s="67">
        <f>Ringkasan!C1035</f>
        <v>845</v>
      </c>
      <c r="D1036" s="22" t="str">
        <f>Ringkasan!D1035</f>
        <v>#N/A</v>
      </c>
      <c r="E1036" s="64" t="str">
        <f>Ringkasan!E1035</f>
        <v>FTSE Micro Cap</v>
      </c>
      <c r="F1036" s="64" t="str">
        <f>Ringkasan!F1035</f>
        <v>4 Agustus 2026</v>
      </c>
      <c r="G1036" s="65">
        <f>Ringkasan!G1035</f>
        <v>1</v>
      </c>
      <c r="H1036" s="19">
        <f>Ringkasan!H1035</f>
        <v>25.1</v>
      </c>
      <c r="I1036" s="19">
        <f>Ringkasan!I1035</f>
        <v>0.91</v>
      </c>
      <c r="J1036" s="19">
        <f>Ringkasan!J1035</f>
        <v>3.6</v>
      </c>
      <c r="K1036" s="19">
        <f>Ringkasan!K1035</f>
        <v>2</v>
      </c>
      <c r="L1036" s="19">
        <f>Ringkasan!L1035</f>
        <v>0.77</v>
      </c>
      <c r="M1036" s="19">
        <f>Ringkasan!M1035</f>
        <v>82.1</v>
      </c>
      <c r="N1036" s="64" t="str">
        <f>Ringkasan!N1035</f>
        <v/>
      </c>
      <c r="O1036" s="64" t="str">
        <f>Ringkasan!O1035</f>
        <v/>
      </c>
      <c r="P1036" s="64" t="str">
        <f>Ringkasan!P1035</f>
        <v/>
      </c>
      <c r="Q1036" s="64" t="str">
        <f>Ringkasan!Q1035</f>
        <v/>
      </c>
      <c r="R1036" s="64" t="str">
        <f>Ringkasan!R1035</f>
        <v/>
      </c>
      <c r="S1036" s="64" t="str">
        <f>Ringkasan!S1035</f>
        <v/>
      </c>
      <c r="T1036" s="64" t="str">
        <f>Ringkasan!T1035</f>
        <v/>
      </c>
      <c r="U1036" s="22">
        <f>Ringkasan!U1035</f>
        <v>810</v>
      </c>
      <c r="V1036" s="22">
        <f>Ringkasan!V1035</f>
        <v>4.32</v>
      </c>
      <c r="W1036" s="22">
        <f>Ringkasan!W1035</f>
        <v>810</v>
      </c>
      <c r="X1036" s="22">
        <f>Ringkasan!X1035</f>
        <v>855</v>
      </c>
      <c r="Y1036" s="22">
        <f>Ringkasan!Y1035</f>
        <v>810</v>
      </c>
      <c r="Z1036" s="22">
        <f>Ringkasan!Z1035</f>
        <v>11165100</v>
      </c>
      <c r="AA1036" s="64" t="str">
        <f>Ringkasan!AA1035</f>
        <v>Electric Utilities</v>
      </c>
      <c r="AB1036" s="64" t="str">
        <f>Ringkasan!AB1035</f>
        <v>Infrastructures</v>
      </c>
    </row>
    <row r="1037" hidden="1">
      <c r="A1037" s="64" t="str">
        <f>Ringkasan!A1036</f>
        <v>KEJU</v>
      </c>
      <c r="B1037" s="64" t="str">
        <f>Ringkasan!B1036</f>
        <v>Mulia Boga Raya Tbk.</v>
      </c>
      <c r="C1037" s="67">
        <f>Ringkasan!C1036</f>
        <v>600</v>
      </c>
      <c r="D1037" s="22" t="str">
        <f>Ringkasan!D1036</f>
        <v>#N/A</v>
      </c>
      <c r="E1037" s="64" t="str">
        <f>Ringkasan!E1036</f>
        <v/>
      </c>
      <c r="F1037" s="64" t="str">
        <f>Ringkasan!F1036</f>
        <v/>
      </c>
      <c r="G1037" s="64">
        <f>Ringkasan!G1036</f>
        <v>0</v>
      </c>
      <c r="H1037" s="19">
        <f>Ringkasan!H1036</f>
        <v>18.8</v>
      </c>
      <c r="I1037" s="19">
        <f>Ringkasan!I1036</f>
        <v>3.8</v>
      </c>
      <c r="J1037" s="19">
        <f>Ringkasan!J1036</f>
        <v>20</v>
      </c>
      <c r="K1037" s="19">
        <f>Ringkasan!K1036</f>
        <v>13.5</v>
      </c>
      <c r="L1037" s="19">
        <f>Ringkasan!L1036</f>
        <v>0.48</v>
      </c>
      <c r="M1037" s="19">
        <f>Ringkasan!M1036</f>
        <v>37.8</v>
      </c>
      <c r="N1037" s="64" t="str">
        <f>Ringkasan!N1036</f>
        <v/>
      </c>
      <c r="O1037" s="64" t="str">
        <f>Ringkasan!O1036</f>
        <v/>
      </c>
      <c r="P1037" s="64" t="str">
        <f>Ringkasan!P1036</f>
        <v/>
      </c>
      <c r="Q1037" s="64" t="str">
        <f>Ringkasan!Q1036</f>
        <v/>
      </c>
      <c r="R1037" s="64" t="str">
        <f>Ringkasan!R1036</f>
        <v/>
      </c>
      <c r="S1037" s="64" t="str">
        <f>Ringkasan!S1036</f>
        <v/>
      </c>
      <c r="T1037" s="64" t="str">
        <f>Ringkasan!T1036</f>
        <v/>
      </c>
      <c r="U1037" s="22">
        <f>Ringkasan!U1036</f>
        <v>605</v>
      </c>
      <c r="V1037" s="22">
        <f>Ringkasan!V1036</f>
        <v>-0.83</v>
      </c>
      <c r="W1037" s="22">
        <f>Ringkasan!W1036</f>
        <v>605</v>
      </c>
      <c r="X1037" s="22">
        <f>Ringkasan!X1036</f>
        <v>615</v>
      </c>
      <c r="Y1037" s="22">
        <f>Ringkasan!Y1036</f>
        <v>600</v>
      </c>
      <c r="Z1037" s="22">
        <f>Ringkasan!Z1036</f>
        <v>246000</v>
      </c>
      <c r="AA1037" s="64" t="str">
        <f>Ringkasan!AA1036</f>
        <v>Processed Foods</v>
      </c>
      <c r="AB1037" s="64" t="str">
        <f>Ringkasan!AB1036</f>
        <v>Consumer Non-Cyclicals</v>
      </c>
    </row>
    <row r="1038" hidden="1">
      <c r="A1038" s="64" t="str">
        <f>Ringkasan!A1037</f>
        <v>KICI</v>
      </c>
      <c r="B1038" s="64" t="str">
        <f>Ringkasan!B1037</f>
        <v>Kedaung Indah Can Tbk</v>
      </c>
      <c r="C1038" s="67">
        <f>Ringkasan!C1037</f>
        <v>173</v>
      </c>
      <c r="D1038" s="22" t="str">
        <f>Ringkasan!D1037</f>
        <v>#N/A</v>
      </c>
      <c r="E1038" s="64" t="str">
        <f>Ringkasan!E1037</f>
        <v/>
      </c>
      <c r="F1038" s="64" t="str">
        <f>Ringkasan!F1037</f>
        <v/>
      </c>
      <c r="G1038" s="64">
        <f>Ringkasan!G1037</f>
        <v>0</v>
      </c>
      <c r="H1038" s="19">
        <f>Ringkasan!H1037</f>
        <v>-9.1</v>
      </c>
      <c r="I1038" s="19">
        <f>Ringkasan!I1037</f>
        <v>0.5</v>
      </c>
      <c r="J1038" s="19">
        <f>Ringkasan!J1037</f>
        <v>-5.5</v>
      </c>
      <c r="K1038" s="19">
        <f>Ringkasan!K1037</f>
        <v>-2.8</v>
      </c>
      <c r="L1038" s="19">
        <f>Ringkasan!L1037</f>
        <v>0.93</v>
      </c>
      <c r="M1038" s="19">
        <f>Ringkasan!M1037</f>
        <v>-28.7</v>
      </c>
      <c r="N1038" s="64" t="str">
        <f>Ringkasan!N1037</f>
        <v/>
      </c>
      <c r="O1038" s="64" t="str">
        <f>Ringkasan!O1037</f>
        <v/>
      </c>
      <c r="P1038" s="64" t="str">
        <f>Ringkasan!P1037</f>
        <v/>
      </c>
      <c r="Q1038" s="64" t="str">
        <f>Ringkasan!Q1037</f>
        <v/>
      </c>
      <c r="R1038" s="64" t="str">
        <f>Ringkasan!R1037</f>
        <v/>
      </c>
      <c r="S1038" s="64" t="str">
        <f>Ringkasan!S1037</f>
        <v/>
      </c>
      <c r="T1038" s="64" t="str">
        <f>Ringkasan!T1037</f>
        <v/>
      </c>
      <c r="U1038" s="22">
        <f>Ringkasan!U1037</f>
        <v>169</v>
      </c>
      <c r="V1038" s="22">
        <f>Ringkasan!V1037</f>
        <v>2.37</v>
      </c>
      <c r="W1038" s="22">
        <f>Ringkasan!W1037</f>
        <v>165</v>
      </c>
      <c r="X1038" s="22">
        <f>Ringkasan!X1037</f>
        <v>176</v>
      </c>
      <c r="Y1038" s="22">
        <f>Ringkasan!Y1037</f>
        <v>160</v>
      </c>
      <c r="Z1038" s="22">
        <f>Ringkasan!Z1037</f>
        <v>111700</v>
      </c>
      <c r="AA1038" s="64" t="str">
        <f>Ringkasan!AA1037</f>
        <v>Household Goods</v>
      </c>
      <c r="AB1038" s="64" t="str">
        <f>Ringkasan!AB1037</f>
        <v>Consumer Cyclicals</v>
      </c>
    </row>
    <row r="1039" hidden="1">
      <c r="A1039" s="64" t="str">
        <f>Ringkasan!A1038</f>
        <v>KIJA</v>
      </c>
      <c r="B1039" s="64" t="str">
        <f>Ringkasan!B1038</f>
        <v>Kawasan Industri Jababeka Tbk.</v>
      </c>
      <c r="C1039" s="67">
        <f>Ringkasan!C1038</f>
        <v>116</v>
      </c>
      <c r="D1039" s="22" t="str">
        <f>Ringkasan!D1038</f>
        <v>#N/A</v>
      </c>
      <c r="E1039" s="64" t="str">
        <f>Ringkasan!E1038</f>
        <v>IDXG30</v>
      </c>
      <c r="F1039" s="64" t="str">
        <f>Ringkasan!F1038</f>
        <v>4 Agustus 2026</v>
      </c>
      <c r="G1039" s="64">
        <f>Ringkasan!G1038</f>
        <v>5</v>
      </c>
      <c r="H1039" s="19">
        <f>Ringkasan!H1038</f>
        <v>5.9</v>
      </c>
      <c r="I1039" s="19">
        <f>Ringkasan!I1038</f>
        <v>0.31</v>
      </c>
      <c r="J1039" s="19">
        <f>Ringkasan!J1038</f>
        <v>5.3</v>
      </c>
      <c r="K1039" s="19">
        <f>Ringkasan!K1038</f>
        <v>2.9</v>
      </c>
      <c r="L1039" s="19">
        <f>Ringkasan!L1038</f>
        <v>0.85</v>
      </c>
      <c r="M1039" s="19">
        <f>Ringkasan!M1038</f>
        <v>36.7</v>
      </c>
      <c r="N1039" s="64" t="str">
        <f>Ringkasan!N1038</f>
        <v/>
      </c>
      <c r="O1039" s="64" t="str">
        <f>Ringkasan!O1038</f>
        <v/>
      </c>
      <c r="P1039" s="64" t="str">
        <f>Ringkasan!P1038</f>
        <v/>
      </c>
      <c r="Q1039" s="64" t="str">
        <f>Ringkasan!Q1038</f>
        <v/>
      </c>
      <c r="R1039" s="64" t="str">
        <f>Ringkasan!R1038</f>
        <v/>
      </c>
      <c r="S1039" s="64" t="str">
        <f>Ringkasan!S1038</f>
        <v/>
      </c>
      <c r="T1039" s="64" t="str">
        <f>Ringkasan!T1038</f>
        <v/>
      </c>
      <c r="U1039" s="22">
        <f>Ringkasan!U1038</f>
        <v>114</v>
      </c>
      <c r="V1039" s="22">
        <f>Ringkasan!V1038</f>
        <v>1.75</v>
      </c>
      <c r="W1039" s="22">
        <f>Ringkasan!W1038</f>
        <v>115</v>
      </c>
      <c r="X1039" s="22">
        <f>Ringkasan!X1038</f>
        <v>117</v>
      </c>
      <c r="Y1039" s="22">
        <f>Ringkasan!Y1038</f>
        <v>114</v>
      </c>
      <c r="Z1039" s="22">
        <f>Ringkasan!Z1038</f>
        <v>74925800</v>
      </c>
      <c r="AA1039" s="64" t="str">
        <f>Ringkasan!AA1038</f>
        <v>Real Estate Management &amp; Development</v>
      </c>
      <c r="AB1039" s="64" t="str">
        <f>Ringkasan!AB1038</f>
        <v>Properties &amp; Real Estate</v>
      </c>
    </row>
    <row r="1040" hidden="1">
      <c r="A1040" s="64" t="str">
        <f>Ringkasan!A1039</f>
        <v>KIJA</v>
      </c>
      <c r="B1040" s="64" t="str">
        <f>Ringkasan!B1039</f>
        <v>Kawasan Industri Jababeka Tbk.</v>
      </c>
      <c r="C1040" s="67">
        <f>Ringkasan!C1039</f>
        <v>116</v>
      </c>
      <c r="D1040" s="22" t="str">
        <f>Ringkasan!D1039</f>
        <v>#N/A</v>
      </c>
      <c r="E1040" s="64" t="str">
        <f>Ringkasan!E1039</f>
        <v>IDX80</v>
      </c>
      <c r="F1040" s="64" t="str">
        <f>Ringkasan!F1039</f>
        <v>31 Juli 2026</v>
      </c>
      <c r="G1040" s="64">
        <f>Ringkasan!G1039</f>
        <v>5</v>
      </c>
      <c r="H1040" s="19">
        <f>Ringkasan!H1039</f>
        <v>5.9</v>
      </c>
      <c r="I1040" s="19">
        <f>Ringkasan!I1039</f>
        <v>0.31</v>
      </c>
      <c r="J1040" s="19">
        <f>Ringkasan!J1039</f>
        <v>5.3</v>
      </c>
      <c r="K1040" s="19">
        <f>Ringkasan!K1039</f>
        <v>2.9</v>
      </c>
      <c r="L1040" s="19">
        <f>Ringkasan!L1039</f>
        <v>0.85</v>
      </c>
      <c r="M1040" s="19">
        <f>Ringkasan!M1039</f>
        <v>36.7</v>
      </c>
      <c r="N1040" s="64" t="str">
        <f>Ringkasan!N1039</f>
        <v/>
      </c>
      <c r="O1040" s="64" t="str">
        <f>Ringkasan!O1039</f>
        <v/>
      </c>
      <c r="P1040" s="64" t="str">
        <f>Ringkasan!P1039</f>
        <v/>
      </c>
      <c r="Q1040" s="64" t="str">
        <f>Ringkasan!Q1039</f>
        <v/>
      </c>
      <c r="R1040" s="64" t="str">
        <f>Ringkasan!R1039</f>
        <v/>
      </c>
      <c r="S1040" s="64" t="str">
        <f>Ringkasan!S1039</f>
        <v/>
      </c>
      <c r="T1040" s="64" t="str">
        <f>Ringkasan!T1039</f>
        <v/>
      </c>
      <c r="U1040" s="22">
        <f>Ringkasan!U1039</f>
        <v>114</v>
      </c>
      <c r="V1040" s="22">
        <f>Ringkasan!V1039</f>
        <v>1.75</v>
      </c>
      <c r="W1040" s="22">
        <f>Ringkasan!W1039</f>
        <v>115</v>
      </c>
      <c r="X1040" s="22">
        <f>Ringkasan!X1039</f>
        <v>117</v>
      </c>
      <c r="Y1040" s="22">
        <f>Ringkasan!Y1039</f>
        <v>114</v>
      </c>
      <c r="Z1040" s="22">
        <f>Ringkasan!Z1039</f>
        <v>74925800</v>
      </c>
      <c r="AA1040" s="64" t="str">
        <f>Ringkasan!AA1039</f>
        <v>Real Estate Management &amp; Development</v>
      </c>
      <c r="AB1040" s="64" t="str">
        <f>Ringkasan!AB1039</f>
        <v>Properties &amp; Real Estate</v>
      </c>
    </row>
    <row r="1041" hidden="1">
      <c r="A1041" s="64" t="str">
        <f>Ringkasan!A1040</f>
        <v>KIJA</v>
      </c>
      <c r="B1041" s="64" t="str">
        <f>Ringkasan!B1040</f>
        <v>Kawasan Industri Jababeka Tbk.</v>
      </c>
      <c r="C1041" s="67">
        <f>Ringkasan!C1040</f>
        <v>116</v>
      </c>
      <c r="D1041" s="22" t="str">
        <f>Ringkasan!D1040</f>
        <v>#N/A</v>
      </c>
      <c r="E1041" s="64" t="str">
        <f>Ringkasan!E1040</f>
        <v>Kompas100</v>
      </c>
      <c r="F1041" s="64" t="str">
        <f>Ringkasan!F1040</f>
        <v>31 Juli 2026</v>
      </c>
      <c r="G1041" s="64">
        <f>Ringkasan!G1040</f>
        <v>5</v>
      </c>
      <c r="H1041" s="19">
        <f>Ringkasan!H1040</f>
        <v>5.9</v>
      </c>
      <c r="I1041" s="19">
        <f>Ringkasan!I1040</f>
        <v>0.31</v>
      </c>
      <c r="J1041" s="19">
        <f>Ringkasan!J1040</f>
        <v>5.3</v>
      </c>
      <c r="K1041" s="19">
        <f>Ringkasan!K1040</f>
        <v>2.9</v>
      </c>
      <c r="L1041" s="19">
        <f>Ringkasan!L1040</f>
        <v>0.85</v>
      </c>
      <c r="M1041" s="19">
        <f>Ringkasan!M1040</f>
        <v>36.7</v>
      </c>
      <c r="N1041" s="64" t="str">
        <f>Ringkasan!N1040</f>
        <v/>
      </c>
      <c r="O1041" s="64" t="str">
        <f>Ringkasan!O1040</f>
        <v/>
      </c>
      <c r="P1041" s="64" t="str">
        <f>Ringkasan!P1040</f>
        <v/>
      </c>
      <c r="Q1041" s="64" t="str">
        <f>Ringkasan!Q1040</f>
        <v/>
      </c>
      <c r="R1041" s="64" t="str">
        <f>Ringkasan!R1040</f>
        <v/>
      </c>
      <c r="S1041" s="64" t="str">
        <f>Ringkasan!S1040</f>
        <v/>
      </c>
      <c r="T1041" s="64" t="str">
        <f>Ringkasan!T1040</f>
        <v/>
      </c>
      <c r="U1041" s="22">
        <f>Ringkasan!U1040</f>
        <v>114</v>
      </c>
      <c r="V1041" s="22">
        <f>Ringkasan!V1040</f>
        <v>1.75</v>
      </c>
      <c r="W1041" s="22">
        <f>Ringkasan!W1040</f>
        <v>115</v>
      </c>
      <c r="X1041" s="22">
        <f>Ringkasan!X1040</f>
        <v>117</v>
      </c>
      <c r="Y1041" s="22">
        <f>Ringkasan!Y1040</f>
        <v>114</v>
      </c>
      <c r="Z1041" s="22">
        <f>Ringkasan!Z1040</f>
        <v>74925800</v>
      </c>
      <c r="AA1041" s="64" t="str">
        <f>Ringkasan!AA1040</f>
        <v>Real Estate Management &amp; Development</v>
      </c>
      <c r="AB1041" s="64" t="str">
        <f>Ringkasan!AB1040</f>
        <v>Properties &amp; Real Estate</v>
      </c>
    </row>
    <row r="1042" hidden="1">
      <c r="A1042" s="64" t="str">
        <f>Ringkasan!A1041</f>
        <v>KIJA</v>
      </c>
      <c r="B1042" s="64" t="str">
        <f>Ringkasan!B1041</f>
        <v>Kawasan Industri Jababeka Tbk.</v>
      </c>
      <c r="C1042" s="67">
        <f>Ringkasan!C1041</f>
        <v>116</v>
      </c>
      <c r="D1042" s="22" t="str">
        <f>Ringkasan!D1041</f>
        <v>#N/A</v>
      </c>
      <c r="E1042" s="64" t="str">
        <f>Ringkasan!E1041</f>
        <v>IDXESGL</v>
      </c>
      <c r="F1042" s="64" t="str">
        <f>Ringkasan!F1041</f>
        <v>30 Oktober 2026</v>
      </c>
      <c r="G1042" s="64">
        <f>Ringkasan!G1041</f>
        <v>5</v>
      </c>
      <c r="H1042" s="19">
        <f>Ringkasan!H1041</f>
        <v>5.9</v>
      </c>
      <c r="I1042" s="19">
        <f>Ringkasan!I1041</f>
        <v>0.31</v>
      </c>
      <c r="J1042" s="19">
        <f>Ringkasan!J1041</f>
        <v>5.3</v>
      </c>
      <c r="K1042" s="19">
        <f>Ringkasan!K1041</f>
        <v>2.9</v>
      </c>
      <c r="L1042" s="19">
        <f>Ringkasan!L1041</f>
        <v>0.85</v>
      </c>
      <c r="M1042" s="19">
        <f>Ringkasan!M1041</f>
        <v>36.7</v>
      </c>
      <c r="N1042" s="64" t="str">
        <f>Ringkasan!N1041</f>
        <v/>
      </c>
      <c r="O1042" s="64" t="str">
        <f>Ringkasan!O1041</f>
        <v/>
      </c>
      <c r="P1042" s="64" t="str">
        <f>Ringkasan!P1041</f>
        <v/>
      </c>
      <c r="Q1042" s="64" t="str">
        <f>Ringkasan!Q1041</f>
        <v/>
      </c>
      <c r="R1042" s="64" t="str">
        <f>Ringkasan!R1041</f>
        <v/>
      </c>
      <c r="S1042" s="64" t="str">
        <f>Ringkasan!S1041</f>
        <v/>
      </c>
      <c r="T1042" s="64" t="str">
        <f>Ringkasan!T1041</f>
        <v/>
      </c>
      <c r="U1042" s="22">
        <f>Ringkasan!U1041</f>
        <v>114</v>
      </c>
      <c r="V1042" s="22">
        <f>Ringkasan!V1041</f>
        <v>1.75</v>
      </c>
      <c r="W1042" s="22">
        <f>Ringkasan!W1041</f>
        <v>115</v>
      </c>
      <c r="X1042" s="22">
        <f>Ringkasan!X1041</f>
        <v>117</v>
      </c>
      <c r="Y1042" s="22">
        <f>Ringkasan!Y1041</f>
        <v>114</v>
      </c>
      <c r="Z1042" s="22">
        <f>Ringkasan!Z1041</f>
        <v>74925800</v>
      </c>
      <c r="AA1042" s="64" t="str">
        <f>Ringkasan!AA1041</f>
        <v>Real Estate Management &amp; Development</v>
      </c>
      <c r="AB1042" s="64" t="str">
        <f>Ringkasan!AB1041</f>
        <v>Properties &amp; Real Estate</v>
      </c>
    </row>
    <row r="1043" hidden="1">
      <c r="A1043" s="64" t="str">
        <f>Ringkasan!A307</f>
        <v>BBTN</v>
      </c>
      <c r="B1043" s="64" t="str">
        <f>Ringkasan!B307</f>
        <v>PT Bank Tabungan Negara (Persero) Tbk</v>
      </c>
      <c r="C1043" s="65">
        <f>Ringkasan!C307</f>
        <v>1260</v>
      </c>
      <c r="D1043" s="64" t="str">
        <f>Ringkasan!D307</f>
        <v>#N/A</v>
      </c>
      <c r="E1043" s="64" t="str">
        <f>Ringkasan!E307</f>
        <v>Investor33</v>
      </c>
      <c r="F1043" s="66">
        <f>Ringkasan!F307</f>
        <v>46356</v>
      </c>
      <c r="G1043" s="64">
        <f>Ringkasan!G307</f>
        <v>14</v>
      </c>
      <c r="H1043" s="19">
        <f>Ringkasan!H307</f>
        <v>4.8</v>
      </c>
      <c r="I1043" s="19">
        <f>Ringkasan!I307</f>
        <v>0.48</v>
      </c>
      <c r="J1043" s="19">
        <f>Ringkasan!J307</f>
        <v>10.1</v>
      </c>
      <c r="K1043" s="19">
        <f>Ringkasan!K307</f>
        <v>0.72</v>
      </c>
      <c r="L1043" s="19">
        <f>Ringkasan!L307</f>
        <v>12.3</v>
      </c>
      <c r="M1043" s="19">
        <f>Ringkasan!M307</f>
        <v>48.5</v>
      </c>
      <c r="N1043" s="64">
        <f>Ringkasan!N307</f>
        <v>2.86</v>
      </c>
      <c r="O1043" s="64">
        <f>Ringkasan!O307</f>
        <v>18.5</v>
      </c>
      <c r="P1043" s="64">
        <f>Ringkasan!P307</f>
        <v>93.79</v>
      </c>
      <c r="Q1043" s="64">
        <f>Ringkasan!Q307</f>
        <v>3.16</v>
      </c>
      <c r="R1043" s="64">
        <f>Ringkasan!R307</f>
        <v>88.7</v>
      </c>
      <c r="S1043" s="64">
        <f>Ringkasan!S307</f>
        <v>57.15</v>
      </c>
      <c r="T1043" s="64">
        <f>Ringkasan!T307</f>
        <v>19.65</v>
      </c>
      <c r="U1043" s="64">
        <f>Ringkasan!U307</f>
        <v>1185</v>
      </c>
      <c r="V1043" s="64">
        <f>Ringkasan!V307</f>
        <v>6.33</v>
      </c>
      <c r="W1043" s="64">
        <f>Ringkasan!W307</f>
        <v>1200</v>
      </c>
      <c r="X1043" s="64">
        <f>Ringkasan!X307</f>
        <v>1295</v>
      </c>
      <c r="Y1043" s="64">
        <f>Ringkasan!Y307</f>
        <v>1190</v>
      </c>
      <c r="Z1043" s="64">
        <f>Ringkasan!Z307</f>
        <v>35491400</v>
      </c>
      <c r="AA1043" s="64" t="str">
        <f>Ringkasan!AA307</f>
        <v>Banks</v>
      </c>
      <c r="AB1043" s="64" t="str">
        <f>Ringkasan!AB307</f>
        <v>Financials</v>
      </c>
    </row>
    <row r="1044" hidden="1">
      <c r="A1044" s="64" t="str">
        <f>Ringkasan!A1043</f>
        <v>KING</v>
      </c>
      <c r="B1044" s="64" t="str">
        <f>Ringkasan!B1043</f>
        <v>PT Hoffmen Cleanindo Tbk</v>
      </c>
      <c r="C1044" s="67">
        <f>Ringkasan!C1043</f>
        <v>460</v>
      </c>
      <c r="D1044" s="22" t="str">
        <f>Ringkasan!D1043</f>
        <v>#N/A</v>
      </c>
      <c r="E1044" s="64" t="str">
        <f>Ringkasan!E1043</f>
        <v/>
      </c>
      <c r="F1044" s="64" t="str">
        <f>Ringkasan!F1043</f>
        <v/>
      </c>
      <c r="G1044" s="64">
        <f>Ringkasan!G1043</f>
        <v>0</v>
      </c>
      <c r="H1044" s="19">
        <f>Ringkasan!H1043</f>
        <v>260</v>
      </c>
      <c r="I1044" s="19">
        <f>Ringkasan!I1043</f>
        <v>21.4</v>
      </c>
      <c r="J1044" s="19">
        <f>Ringkasan!J1043</f>
        <v>8.2</v>
      </c>
      <c r="K1044" s="19">
        <f>Ringkasan!K1043</f>
        <v>4</v>
      </c>
      <c r="L1044" s="19">
        <f>Ringkasan!L1043</f>
        <v>1</v>
      </c>
      <c r="M1044" s="19">
        <f>Ringkasan!M1043</f>
        <v>4.6</v>
      </c>
      <c r="N1044" s="64" t="str">
        <f>Ringkasan!N1043</f>
        <v/>
      </c>
      <c r="O1044" s="64" t="str">
        <f>Ringkasan!O1043</f>
        <v/>
      </c>
      <c r="P1044" s="64" t="str">
        <f>Ringkasan!P1043</f>
        <v/>
      </c>
      <c r="Q1044" s="64" t="str">
        <f>Ringkasan!Q1043</f>
        <v/>
      </c>
      <c r="R1044" s="64" t="str">
        <f>Ringkasan!R1043</f>
        <v/>
      </c>
      <c r="S1044" s="64" t="str">
        <f>Ringkasan!S1043</f>
        <v/>
      </c>
      <c r="T1044" s="64" t="str">
        <f>Ringkasan!T1043</f>
        <v/>
      </c>
      <c r="U1044" s="22">
        <f>Ringkasan!U1043</f>
        <v>0.52</v>
      </c>
      <c r="V1044" s="22">
        <f>Ringkasan!V1043</f>
        <v>5.77</v>
      </c>
      <c r="W1044" s="22">
        <f>Ringkasan!W1043</f>
        <v>0.54</v>
      </c>
      <c r="X1044" s="22" t="str">
        <f>Ringkasan!X1043</f>
        <v/>
      </c>
      <c r="Y1044" s="22">
        <f>Ringkasan!Y1043</f>
        <v>0.54</v>
      </c>
      <c r="Z1044" s="22">
        <f>Ringkasan!Z1043</f>
        <v>13500</v>
      </c>
      <c r="AA1044" s="64" t="str">
        <f>Ringkasan!AA1043</f>
        <v>Professional Services</v>
      </c>
      <c r="AB1044" s="64" t="str">
        <f>Ringkasan!AB1043</f>
        <v>Industrials</v>
      </c>
    </row>
    <row r="1045" hidden="1">
      <c r="A1045" s="64" t="str">
        <f>Ringkasan!A388</f>
        <v>BNGA</v>
      </c>
      <c r="B1045" s="64" t="str">
        <f>Ringkasan!B388</f>
        <v>PT Bank CIMB Niaga Tbk</v>
      </c>
      <c r="C1045" s="65">
        <f>Ringkasan!C388</f>
        <v>1550</v>
      </c>
      <c r="D1045" s="64" t="str">
        <f>Ringkasan!D388</f>
        <v>#N/A</v>
      </c>
      <c r="E1045" s="64" t="str">
        <f>Ringkasan!E388</f>
        <v>IDXSMC-LIQ</v>
      </c>
      <c r="F1045" s="64" t="str">
        <f>Ringkasan!F388</f>
        <v>4 Agustus 2026</v>
      </c>
      <c r="G1045" s="64">
        <f>Ringkasan!G388</f>
        <v>5</v>
      </c>
      <c r="H1045" s="19">
        <f>Ringkasan!H388</f>
        <v>5.9</v>
      </c>
      <c r="I1045" s="19">
        <f>Ringkasan!I388</f>
        <v>0.69</v>
      </c>
      <c r="J1045" s="19">
        <f>Ringkasan!J388</f>
        <v>11.6</v>
      </c>
      <c r="K1045" s="19">
        <f>Ringkasan!K388</f>
        <v>1.9</v>
      </c>
      <c r="L1045" s="19">
        <f>Ringkasan!L388</f>
        <v>5.2</v>
      </c>
      <c r="M1045" s="19">
        <f>Ringkasan!M388</f>
        <v>110</v>
      </c>
      <c r="N1045" s="64">
        <f>Ringkasan!N388</f>
        <v>4.37</v>
      </c>
      <c r="O1045" s="64">
        <f>Ringkasan!O388</f>
        <v>24.83</v>
      </c>
      <c r="P1045" s="64">
        <f>Ringkasan!P388</f>
        <v>86.81</v>
      </c>
      <c r="Q1045" s="64">
        <f>Ringkasan!Q388</f>
        <v>2.05</v>
      </c>
      <c r="R1045" s="64">
        <f>Ringkasan!R388</f>
        <v>73.11</v>
      </c>
      <c r="S1045" s="64">
        <f>Ringkasan!S388</f>
        <v>45.21</v>
      </c>
      <c r="T1045" s="64">
        <f>Ringkasan!T388</f>
        <v>10.03</v>
      </c>
      <c r="U1045" s="64">
        <f>Ringkasan!U388</f>
        <v>1525</v>
      </c>
      <c r="V1045" s="64">
        <f>Ringkasan!V388</f>
        <v>1.64</v>
      </c>
      <c r="W1045" s="64">
        <f>Ringkasan!W388</f>
        <v>1525</v>
      </c>
      <c r="X1045" s="64">
        <f>Ringkasan!X388</f>
        <v>1560</v>
      </c>
      <c r="Y1045" s="64">
        <f>Ringkasan!Y388</f>
        <v>1525</v>
      </c>
      <c r="Z1045" s="64">
        <f>Ringkasan!Z388</f>
        <v>4464900</v>
      </c>
      <c r="AA1045" s="64" t="str">
        <f>Ringkasan!AA388</f>
        <v>Banks</v>
      </c>
      <c r="AB1045" s="64" t="str">
        <f>Ringkasan!AB388</f>
        <v>Financials</v>
      </c>
    </row>
    <row r="1046" hidden="1">
      <c r="A1046" s="64" t="str">
        <f>Ringkasan!A1045</f>
        <v>KIOS</v>
      </c>
      <c r="B1046" s="64" t="str">
        <f>Ringkasan!B1045</f>
        <v>Kioson Komersial Indonesia Tbk.</v>
      </c>
      <c r="C1046" s="65">
        <f>Ringkasan!C1045</f>
        <v>91</v>
      </c>
      <c r="D1046" s="64" t="str">
        <f>Ringkasan!D1045</f>
        <v>#N/A</v>
      </c>
      <c r="E1046" s="64" t="str">
        <f>Ringkasan!E1045</f>
        <v/>
      </c>
      <c r="F1046" s="64" t="str">
        <f>Ringkasan!F1045</f>
        <v/>
      </c>
      <c r="G1046" s="64">
        <f>Ringkasan!G1045</f>
        <v>0</v>
      </c>
      <c r="H1046" s="19">
        <f>Ringkasan!H1045</f>
        <v>74.3</v>
      </c>
      <c r="I1046" s="19">
        <f>Ringkasan!I1045</f>
        <v>0.66</v>
      </c>
      <c r="J1046" s="19">
        <f>Ringkasan!J1045</f>
        <v>0.89</v>
      </c>
      <c r="K1046" s="19">
        <f>Ringkasan!K1045</f>
        <v>0.82</v>
      </c>
      <c r="L1046" s="19">
        <f>Ringkasan!L1045</f>
        <v>0.08</v>
      </c>
      <c r="M1046" s="19">
        <f>Ringkasan!M1045</f>
        <v>66.1</v>
      </c>
      <c r="N1046" s="64" t="str">
        <f>Ringkasan!N1045</f>
        <v/>
      </c>
      <c r="O1046" s="64" t="str">
        <f>Ringkasan!O1045</f>
        <v/>
      </c>
      <c r="P1046" s="64" t="str">
        <f>Ringkasan!P1045</f>
        <v/>
      </c>
      <c r="Q1046" s="64" t="str">
        <f>Ringkasan!Q1045</f>
        <v/>
      </c>
      <c r="R1046" s="64" t="str">
        <f>Ringkasan!R1045</f>
        <v/>
      </c>
      <c r="S1046" s="64" t="str">
        <f>Ringkasan!S1045</f>
        <v/>
      </c>
      <c r="T1046" s="64" t="str">
        <f>Ringkasan!T1045</f>
        <v/>
      </c>
      <c r="U1046" s="64">
        <f>Ringkasan!U1045</f>
        <v>68</v>
      </c>
      <c r="V1046" s="64">
        <f>Ringkasan!V1045</f>
        <v>33.82</v>
      </c>
      <c r="W1046" s="64">
        <f>Ringkasan!W1045</f>
        <v>68</v>
      </c>
      <c r="X1046" s="64">
        <f>Ringkasan!X1045</f>
        <v>91</v>
      </c>
      <c r="Y1046" s="64">
        <f>Ringkasan!Y1045</f>
        <v>67</v>
      </c>
      <c r="Z1046" s="64">
        <f>Ringkasan!Z1045</f>
        <v>49168300</v>
      </c>
      <c r="AA1046" s="64" t="str">
        <f>Ringkasan!AA1045</f>
        <v>Online Applications &amp; Services</v>
      </c>
      <c r="AB1046" s="64" t="str">
        <f>Ringkasan!AB1045</f>
        <v>Technology</v>
      </c>
    </row>
    <row r="1047" hidden="1">
      <c r="A1047" s="64" t="str">
        <f>Ringkasan!A1046</f>
        <v>KJEN</v>
      </c>
      <c r="B1047" s="64" t="str">
        <f>Ringkasan!B1046</f>
        <v>Krida Jaringan Nusantara Tbk.</v>
      </c>
      <c r="C1047" s="65">
        <f>Ringkasan!C1046</f>
        <v>115</v>
      </c>
      <c r="D1047" s="64" t="str">
        <f>Ringkasan!D1046</f>
        <v>#N/A</v>
      </c>
      <c r="E1047" s="64" t="str">
        <f>Ringkasan!E1046</f>
        <v/>
      </c>
      <c r="F1047" s="64" t="str">
        <f>Ringkasan!F1046</f>
        <v/>
      </c>
      <c r="G1047" s="64">
        <f>Ringkasan!G1046</f>
        <v>0</v>
      </c>
      <c r="H1047" s="19">
        <f>Ringkasan!H1046</f>
        <v>5920</v>
      </c>
      <c r="I1047" s="19">
        <f>Ringkasan!I1046</f>
        <v>1.7</v>
      </c>
      <c r="J1047" s="19">
        <f>Ringkasan!J1046</f>
        <v>0.03</v>
      </c>
      <c r="K1047" s="19">
        <f>Ringkasan!K1046</f>
        <v>0.03</v>
      </c>
      <c r="L1047" s="19">
        <f>Ringkasan!L1046</f>
        <v>0.07</v>
      </c>
      <c r="M1047" s="19">
        <f>Ringkasan!M1046</f>
        <v>1.8</v>
      </c>
      <c r="N1047" s="64" t="str">
        <f>Ringkasan!N1046</f>
        <v/>
      </c>
      <c r="O1047" s="64" t="str">
        <f>Ringkasan!O1046</f>
        <v/>
      </c>
      <c r="P1047" s="64" t="str">
        <f>Ringkasan!P1046</f>
        <v/>
      </c>
      <c r="Q1047" s="64" t="str">
        <f>Ringkasan!Q1046</f>
        <v/>
      </c>
      <c r="R1047" s="64" t="str">
        <f>Ringkasan!R1046</f>
        <v/>
      </c>
      <c r="S1047" s="64" t="str">
        <f>Ringkasan!S1046</f>
        <v/>
      </c>
      <c r="T1047" s="64" t="str">
        <f>Ringkasan!T1046</f>
        <v/>
      </c>
      <c r="U1047" s="64">
        <f>Ringkasan!U1046</f>
        <v>115</v>
      </c>
      <c r="V1047" s="64">
        <f>Ringkasan!V1046</f>
        <v>0</v>
      </c>
      <c r="W1047" s="64">
        <f>Ringkasan!W1046</f>
        <v>115</v>
      </c>
      <c r="X1047" s="64">
        <f>Ringkasan!X1046</f>
        <v>119</v>
      </c>
      <c r="Y1047" s="64">
        <f>Ringkasan!Y1046</f>
        <v>114</v>
      </c>
      <c r="Z1047" s="64">
        <f>Ringkasan!Z1046</f>
        <v>6240800</v>
      </c>
      <c r="AA1047" s="64" t="str">
        <f>Ringkasan!AA1046</f>
        <v>Logistics &amp; Deliveries</v>
      </c>
      <c r="AB1047" s="64" t="str">
        <f>Ringkasan!AB1046</f>
        <v>Transportation &amp; Logistic</v>
      </c>
    </row>
    <row r="1048" hidden="1">
      <c r="A1048" s="64" t="str">
        <f>Ringkasan!A408</f>
        <v>BRIS</v>
      </c>
      <c r="B1048" s="64" t="str">
        <f>Ringkasan!B408</f>
        <v>Bank Syariah Indonesia (Persero) Tbk.</v>
      </c>
      <c r="C1048" s="65" t="str">
        <f>Ringkasan!C408</f>
        <v>#N/A</v>
      </c>
      <c r="D1048" s="64" t="str">
        <f>Ringkasan!D408</f>
        <v>#N/A</v>
      </c>
      <c r="E1048" s="64" t="str">
        <f>Ringkasan!E408</f>
        <v>ECONOMIC30</v>
      </c>
      <c r="F1048" s="64" t="str">
        <f>Ringkasan!F408</f>
        <v>31 Agustus 2026</v>
      </c>
      <c r="G1048" s="64">
        <f>Ringkasan!G408</f>
        <v>13</v>
      </c>
      <c r="H1048" s="19">
        <f>Ringkasan!H408</f>
        <v>11.6</v>
      </c>
      <c r="I1048" s="19">
        <f>Ringkasan!I408</f>
        <v>1.8</v>
      </c>
      <c r="J1048" s="19">
        <f>Ringkasan!J408</f>
        <v>15.5</v>
      </c>
      <c r="K1048" s="19">
        <f>Ringkasan!K408</f>
        <v>1.7</v>
      </c>
      <c r="L1048" s="19">
        <f>Ringkasan!L408</f>
        <v>2.2</v>
      </c>
      <c r="M1048" s="19">
        <f>Ringkasan!M408</f>
        <v>160</v>
      </c>
      <c r="N1048" s="64">
        <f>Ringkasan!N408</f>
        <v>6.1</v>
      </c>
      <c r="O1048" s="64">
        <f>Ringkasan!O408</f>
        <v>24.08</v>
      </c>
      <c r="P1048" s="64">
        <f>Ringkasan!P408</f>
        <v>83.74</v>
      </c>
      <c r="Q1048" s="64">
        <f>Ringkasan!Q408</f>
        <v>1.81</v>
      </c>
      <c r="R1048" s="64">
        <f>Ringkasan!R408</f>
        <v>67.49</v>
      </c>
      <c r="S1048" s="64">
        <f>Ringkasan!S408</f>
        <v>44.55</v>
      </c>
      <c r="T1048" s="64">
        <f>Ringkasan!T408</f>
        <v>10.26</v>
      </c>
      <c r="U1048" s="64">
        <f>Ringkasan!U408</f>
        <v>1795</v>
      </c>
      <c r="V1048" s="64">
        <f>Ringkasan!V408</f>
        <v>4.18</v>
      </c>
      <c r="W1048" s="64">
        <f>Ringkasan!W408</f>
        <v>1805</v>
      </c>
      <c r="X1048" s="64">
        <f>Ringkasan!X408</f>
        <v>1870</v>
      </c>
      <c r="Y1048" s="64">
        <f>Ringkasan!Y408</f>
        <v>1805</v>
      </c>
      <c r="Z1048" s="64">
        <f>Ringkasan!Z408</f>
        <v>22071200</v>
      </c>
      <c r="AA1048" s="64" t="str">
        <f>Ringkasan!AA408</f>
        <v>Banks</v>
      </c>
      <c r="AB1048" s="64" t="str">
        <f>Ringkasan!AB408</f>
        <v>Financials</v>
      </c>
    </row>
    <row r="1049" hidden="1">
      <c r="A1049" s="64" t="str">
        <f>Ringkasan!A1048</f>
        <v>KKGI</v>
      </c>
      <c r="B1049" s="64" t="str">
        <f>Ringkasan!B1048</f>
        <v>Resource Alam Indonesia Tbk.</v>
      </c>
      <c r="C1049" s="65">
        <f>Ringkasan!C1048</f>
        <v>280</v>
      </c>
      <c r="D1049" s="64" t="str">
        <f>Ringkasan!D1048</f>
        <v>#N/A</v>
      </c>
      <c r="E1049" s="64" t="str">
        <f>Ringkasan!E1048</f>
        <v/>
      </c>
      <c r="F1049" s="64" t="str">
        <f>Ringkasan!F1048</f>
        <v/>
      </c>
      <c r="G1049" s="64">
        <f>Ringkasan!G1048</f>
        <v>0</v>
      </c>
      <c r="H1049" s="19">
        <f>Ringkasan!H1048</f>
        <v>31.1</v>
      </c>
      <c r="I1049" s="19">
        <f>Ringkasan!I1048</f>
        <v>0.56</v>
      </c>
      <c r="J1049" s="19">
        <f>Ringkasan!J1048</f>
        <v>1.8</v>
      </c>
      <c r="K1049" s="19">
        <f>Ringkasan!K1048</f>
        <v>1.5</v>
      </c>
      <c r="L1049" s="19">
        <f>Ringkasan!L1048</f>
        <v>0.17</v>
      </c>
      <c r="M1049" s="19">
        <f>Ringkasan!M1048</f>
        <v>8.6</v>
      </c>
      <c r="N1049" s="64" t="str">
        <f>Ringkasan!N1048</f>
        <v/>
      </c>
      <c r="O1049" s="64" t="str">
        <f>Ringkasan!O1048</f>
        <v/>
      </c>
      <c r="P1049" s="64" t="str">
        <f>Ringkasan!P1048</f>
        <v/>
      </c>
      <c r="Q1049" s="64" t="str">
        <f>Ringkasan!Q1048</f>
        <v/>
      </c>
      <c r="R1049" s="64" t="str">
        <f>Ringkasan!R1048</f>
        <v/>
      </c>
      <c r="S1049" s="64" t="str">
        <f>Ringkasan!S1048</f>
        <v/>
      </c>
      <c r="T1049" s="64" t="str">
        <f>Ringkasan!T1048</f>
        <v/>
      </c>
      <c r="U1049" s="64">
        <f>Ringkasan!U1048</f>
        <v>264</v>
      </c>
      <c r="V1049" s="64">
        <f>Ringkasan!V1048</f>
        <v>6.06</v>
      </c>
      <c r="W1049" s="64">
        <f>Ringkasan!W1048</f>
        <v>266</v>
      </c>
      <c r="X1049" s="64">
        <f>Ringkasan!X1048</f>
        <v>284</v>
      </c>
      <c r="Y1049" s="64">
        <f>Ringkasan!Y1048</f>
        <v>264</v>
      </c>
      <c r="Z1049" s="64">
        <f>Ringkasan!Z1048</f>
        <v>1952600</v>
      </c>
      <c r="AA1049" s="64" t="str">
        <f>Ringkasan!AA1048</f>
        <v>Coal</v>
      </c>
      <c r="AB1049" s="64" t="str">
        <f>Ringkasan!AB1048</f>
        <v>Energy</v>
      </c>
    </row>
    <row r="1050" hidden="1">
      <c r="A1050" s="64" t="str">
        <f>Ringkasan!A485</f>
        <v>BYAN</v>
      </c>
      <c r="B1050" s="64" t="str">
        <f>Ringkasan!B485</f>
        <v>Bayan Resources Tbk.</v>
      </c>
      <c r="C1050" s="65">
        <f>Ringkasan!C485</f>
        <v>9700</v>
      </c>
      <c r="D1050" s="64" t="str">
        <f>Ringkasan!D485</f>
        <v>#N/A</v>
      </c>
      <c r="E1050" s="64" t="str">
        <f>Ringkasan!E485</f>
        <v/>
      </c>
      <c r="F1050" s="64" t="str">
        <f>Ringkasan!F485</f>
        <v/>
      </c>
      <c r="G1050" s="64">
        <f>Ringkasan!G485</f>
        <v>0</v>
      </c>
      <c r="H1050" s="19">
        <f>Ringkasan!H485</f>
        <v>26.2</v>
      </c>
      <c r="I1050" s="19">
        <f>Ringkasan!I485</f>
        <v>6.7</v>
      </c>
      <c r="J1050" s="19">
        <f>Ringkasan!J485</f>
        <v>25.5</v>
      </c>
      <c r="K1050" s="19">
        <f>Ringkasan!K485</f>
        <v>21</v>
      </c>
      <c r="L1050" s="19">
        <f>Ringkasan!L485</f>
        <v>0.21</v>
      </c>
      <c r="M1050" s="19">
        <f>Ringkasan!M485</f>
        <v>89.6</v>
      </c>
      <c r="N1050" s="64" t="str">
        <f>Ringkasan!N485</f>
        <v/>
      </c>
      <c r="O1050" s="64" t="str">
        <f>Ringkasan!O485</f>
        <v/>
      </c>
      <c r="P1050" s="64" t="str">
        <f>Ringkasan!P485</f>
        <v/>
      </c>
      <c r="Q1050" s="64" t="str">
        <f>Ringkasan!Q485</f>
        <v/>
      </c>
      <c r="R1050" s="64" t="str">
        <f>Ringkasan!R485</f>
        <v/>
      </c>
      <c r="S1050" s="64" t="str">
        <f>Ringkasan!S485</f>
        <v/>
      </c>
      <c r="T1050" s="64" t="str">
        <f>Ringkasan!T485</f>
        <v/>
      </c>
      <c r="U1050" s="64">
        <f>Ringkasan!U485</f>
        <v>9700</v>
      </c>
      <c r="V1050" s="64">
        <f>Ringkasan!V485</f>
        <v>0</v>
      </c>
      <c r="W1050" s="64">
        <f>Ringkasan!W485</f>
        <v>9700</v>
      </c>
      <c r="X1050" s="64">
        <f>Ringkasan!X485</f>
        <v>10000</v>
      </c>
      <c r="Y1050" s="64" t="str">
        <f>Ringkasan!Y485</f>
        <v/>
      </c>
      <c r="Z1050" s="64">
        <f>Ringkasan!Z485</f>
        <v>224500</v>
      </c>
      <c r="AA1050" s="64" t="str">
        <f>Ringkasan!AA485</f>
        <v>Coal</v>
      </c>
      <c r="AB1050" s="64" t="str">
        <f>Ringkasan!AB485</f>
        <v>Energy</v>
      </c>
    </row>
    <row r="1051">
      <c r="A1051" s="60" t="str">
        <f>Ringkasan!A1050</f>
        <v>KLBF</v>
      </c>
      <c r="B1051" s="60" t="str">
        <f>Ringkasan!B1050</f>
        <v>Kalbe Farma Tbk.</v>
      </c>
      <c r="C1051" s="61">
        <f>Ringkasan!C1050</f>
        <v>740</v>
      </c>
      <c r="D1051" s="60" t="str">
        <f>Ringkasan!D1050</f>
        <v>#N/A</v>
      </c>
      <c r="E1051" s="60" t="str">
        <f>Ringkasan!E1050</f>
        <v>ESGQKEHATI</v>
      </c>
      <c r="F1051" s="63">
        <f>Ringkasan!F1050</f>
        <v>46356</v>
      </c>
      <c r="G1051" s="61">
        <f>Ringkasan!G1050</f>
        <v>17</v>
      </c>
      <c r="H1051" s="62">
        <f>Ringkasan!H1050</f>
        <v>10</v>
      </c>
      <c r="I1051" s="62">
        <f>Ringkasan!I1050</f>
        <v>1.4</v>
      </c>
      <c r="J1051" s="62">
        <f>Ringkasan!J1050</f>
        <v>14.1</v>
      </c>
      <c r="K1051" s="62">
        <f>Ringkasan!K1050</f>
        <v>11.3</v>
      </c>
      <c r="L1051" s="62">
        <f>Ringkasan!L1050</f>
        <v>0.24</v>
      </c>
      <c r="M1051" s="62">
        <f>Ringkasan!M1050</f>
        <v>37.4</v>
      </c>
      <c r="N1051" s="60" t="str">
        <f>Ringkasan!N1050</f>
        <v/>
      </c>
      <c r="O1051" s="60" t="str">
        <f>Ringkasan!O1050</f>
        <v/>
      </c>
      <c r="P1051" s="60" t="str">
        <f>Ringkasan!P1050</f>
        <v/>
      </c>
      <c r="Q1051" s="60" t="str">
        <f>Ringkasan!Q1050</f>
        <v/>
      </c>
      <c r="R1051" s="60" t="str">
        <f>Ringkasan!R1050</f>
        <v/>
      </c>
      <c r="S1051" s="60" t="str">
        <f>Ringkasan!S1050</f>
        <v/>
      </c>
      <c r="T1051" s="60" t="str">
        <f>Ringkasan!T1050</f>
        <v/>
      </c>
      <c r="U1051" s="60">
        <f>Ringkasan!U1050</f>
        <v>725</v>
      </c>
      <c r="V1051" s="60">
        <f>Ringkasan!V1050</f>
        <v>2.07</v>
      </c>
      <c r="W1051" s="60">
        <f>Ringkasan!W1050</f>
        <v>760</v>
      </c>
      <c r="X1051" s="60">
        <f>Ringkasan!X1050</f>
        <v>760</v>
      </c>
      <c r="Y1051" s="60">
        <f>Ringkasan!Y1050</f>
        <v>715</v>
      </c>
      <c r="Z1051" s="60">
        <f>Ringkasan!Z1050</f>
        <v>92741200</v>
      </c>
      <c r="AA1051" s="60" t="str">
        <f>Ringkasan!AA1050</f>
        <v>Pharmaceuticals</v>
      </c>
      <c r="AB1051" s="64" t="str">
        <f>Ringkasan!AB1050</f>
        <v>Healthcare</v>
      </c>
    </row>
    <row r="1052">
      <c r="A1052" s="60" t="str">
        <f>Ringkasan!A1051</f>
        <v>KLBF</v>
      </c>
      <c r="B1052" s="60" t="str">
        <f>Ringkasan!B1051</f>
        <v>Kalbe Farma Tbk.</v>
      </c>
      <c r="C1052" s="61">
        <f>Ringkasan!C1051</f>
        <v>740</v>
      </c>
      <c r="D1052" s="60" t="str">
        <f>Ringkasan!D1051</f>
        <v>#N/A</v>
      </c>
      <c r="E1052" s="60" t="str">
        <f>Ringkasan!E1051</f>
        <v>IDXSHAGROW</v>
      </c>
      <c r="F1052" s="63">
        <f>Ringkasan!F1051</f>
        <v>46356</v>
      </c>
      <c r="G1052" s="60">
        <f>Ringkasan!G1051</f>
        <v>17</v>
      </c>
      <c r="H1052" s="62">
        <f>Ringkasan!H1051</f>
        <v>10</v>
      </c>
      <c r="I1052" s="62">
        <f>Ringkasan!I1051</f>
        <v>1.4</v>
      </c>
      <c r="J1052" s="62">
        <f>Ringkasan!J1051</f>
        <v>14.1</v>
      </c>
      <c r="K1052" s="62">
        <f>Ringkasan!K1051</f>
        <v>11.3</v>
      </c>
      <c r="L1052" s="62">
        <f>Ringkasan!L1051</f>
        <v>0.24</v>
      </c>
      <c r="M1052" s="62">
        <f>Ringkasan!M1051</f>
        <v>37.4</v>
      </c>
      <c r="N1052" s="60" t="str">
        <f>Ringkasan!N1051</f>
        <v/>
      </c>
      <c r="O1052" s="60" t="str">
        <f>Ringkasan!O1051</f>
        <v/>
      </c>
      <c r="P1052" s="60" t="str">
        <f>Ringkasan!P1051</f>
        <v/>
      </c>
      <c r="Q1052" s="60" t="str">
        <f>Ringkasan!Q1051</f>
        <v/>
      </c>
      <c r="R1052" s="60" t="str">
        <f>Ringkasan!R1051</f>
        <v/>
      </c>
      <c r="S1052" s="60" t="str">
        <f>Ringkasan!S1051</f>
        <v/>
      </c>
      <c r="T1052" s="60" t="str">
        <f>Ringkasan!T1051</f>
        <v/>
      </c>
      <c r="U1052" s="60">
        <f>Ringkasan!U1051</f>
        <v>725</v>
      </c>
      <c r="V1052" s="60">
        <f>Ringkasan!V1051</f>
        <v>2.07</v>
      </c>
      <c r="W1052" s="60">
        <f>Ringkasan!W1051</f>
        <v>760</v>
      </c>
      <c r="X1052" s="60">
        <f>Ringkasan!X1051</f>
        <v>760</v>
      </c>
      <c r="Y1052" s="60">
        <f>Ringkasan!Y1051</f>
        <v>715</v>
      </c>
      <c r="Z1052" s="60">
        <f>Ringkasan!Z1051</f>
        <v>92741200</v>
      </c>
      <c r="AA1052" s="60" t="str">
        <f>Ringkasan!AA1051</f>
        <v>Pharmaceuticals</v>
      </c>
      <c r="AB1052" s="60" t="str">
        <f>Ringkasan!AB1051</f>
        <v>Healthcare</v>
      </c>
    </row>
    <row r="1053" hidden="1">
      <c r="A1053" s="64" t="str">
        <f>Ringkasan!A1581</f>
        <v>SMBR</v>
      </c>
      <c r="B1053" s="64" t="str">
        <f>Ringkasan!B1581</f>
        <v>Semen Baturaja (Persero) Tbk.</v>
      </c>
      <c r="C1053" s="61">
        <f>Ringkasan!C1581</f>
        <v>146</v>
      </c>
      <c r="D1053" s="60" t="str">
        <f>Ringkasan!D1581</f>
        <v>#N/A</v>
      </c>
      <c r="E1053" s="60" t="str">
        <f>Ringkasan!E1581</f>
        <v>IDXMESBUMN</v>
      </c>
      <c r="F1053" s="63">
        <f>Ringkasan!F1581</f>
        <v>46356</v>
      </c>
      <c r="G1053" s="60">
        <f>Ringkasan!G1581</f>
        <v>2</v>
      </c>
      <c r="H1053" s="62">
        <f>Ringkasan!H1581</f>
        <v>11.8</v>
      </c>
      <c r="I1053" s="62">
        <f>Ringkasan!I1581</f>
        <v>0.48</v>
      </c>
      <c r="J1053" s="62">
        <f>Ringkasan!J1581</f>
        <v>4.1</v>
      </c>
      <c r="K1053" s="62">
        <f>Ringkasan!K1581</f>
        <v>3</v>
      </c>
      <c r="L1053" s="62">
        <f>Ringkasan!L1581</f>
        <v>0.38</v>
      </c>
      <c r="M1053" s="62">
        <f>Ringkasan!M1581</f>
        <v>31.9</v>
      </c>
      <c r="N1053" s="60" t="str">
        <f>Ringkasan!N1581</f>
        <v/>
      </c>
      <c r="O1053" s="60" t="str">
        <f>Ringkasan!O1581</f>
        <v/>
      </c>
      <c r="P1053" s="60" t="str">
        <f>Ringkasan!P1581</f>
        <v/>
      </c>
      <c r="Q1053" s="60" t="str">
        <f>Ringkasan!Q1581</f>
        <v/>
      </c>
      <c r="R1053" s="60" t="str">
        <f>Ringkasan!R1581</f>
        <v/>
      </c>
      <c r="S1053" s="60" t="str">
        <f>Ringkasan!S1581</f>
        <v/>
      </c>
      <c r="T1053" s="60" t="str">
        <f>Ringkasan!T1581</f>
        <v/>
      </c>
      <c r="U1053" s="60">
        <f>Ringkasan!U1581</f>
        <v>143</v>
      </c>
      <c r="V1053" s="60">
        <f>Ringkasan!V1581</f>
        <v>2.1</v>
      </c>
      <c r="W1053" s="60">
        <f>Ringkasan!W1581</f>
        <v>143</v>
      </c>
      <c r="X1053" s="60">
        <f>Ringkasan!X1581</f>
        <v>148</v>
      </c>
      <c r="Y1053" s="60">
        <f>Ringkasan!Y1581</f>
        <v>141</v>
      </c>
      <c r="Z1053" s="60">
        <f>Ringkasan!Z1581</f>
        <v>5707200</v>
      </c>
      <c r="AA1053" s="60" t="str">
        <f>Ringkasan!AA1581</f>
        <v>Construction Materials</v>
      </c>
      <c r="AB1053" s="64" t="str">
        <f>Ringkasan!AB1581</f>
        <v>Basic Materials</v>
      </c>
    </row>
    <row r="1054" hidden="1">
      <c r="A1054" s="60" t="str">
        <f>Ringkasan!A1582</f>
        <v>SMBR</v>
      </c>
      <c r="B1054" s="60" t="str">
        <f>Ringkasan!B1582</f>
        <v>Semen Baturaja (Persero) Tbk.</v>
      </c>
      <c r="C1054" s="61">
        <f>Ringkasan!C1582</f>
        <v>146</v>
      </c>
      <c r="D1054" s="60" t="str">
        <f>Ringkasan!D1582</f>
        <v>#N/A</v>
      </c>
      <c r="E1054" s="60" t="str">
        <f>Ringkasan!E1582</f>
        <v>IDXBUMN20</v>
      </c>
      <c r="F1054" s="60" t="str">
        <f>Ringkasan!F1582</f>
        <v>4 Agustus 2026</v>
      </c>
      <c r="G1054" s="60">
        <f>Ringkasan!G1582</f>
        <v>2</v>
      </c>
      <c r="H1054" s="62">
        <f>Ringkasan!H1582</f>
        <v>11.8</v>
      </c>
      <c r="I1054" s="62">
        <f>Ringkasan!I1582</f>
        <v>0.48</v>
      </c>
      <c r="J1054" s="62">
        <f>Ringkasan!J1582</f>
        <v>4.1</v>
      </c>
      <c r="K1054" s="62">
        <f>Ringkasan!K1582</f>
        <v>3</v>
      </c>
      <c r="L1054" s="62">
        <f>Ringkasan!L1582</f>
        <v>0.38</v>
      </c>
      <c r="M1054" s="62">
        <f>Ringkasan!M1582</f>
        <v>31.9</v>
      </c>
      <c r="N1054" s="60" t="str">
        <f>Ringkasan!N1582</f>
        <v/>
      </c>
      <c r="O1054" s="60" t="str">
        <f>Ringkasan!O1582</f>
        <v/>
      </c>
      <c r="P1054" s="60" t="str">
        <f>Ringkasan!P1582</f>
        <v/>
      </c>
      <c r="Q1054" s="60" t="str">
        <f>Ringkasan!Q1582</f>
        <v/>
      </c>
      <c r="R1054" s="60" t="str">
        <f>Ringkasan!R1582</f>
        <v/>
      </c>
      <c r="S1054" s="60" t="str">
        <f>Ringkasan!S1582</f>
        <v/>
      </c>
      <c r="T1054" s="60" t="str">
        <f>Ringkasan!T1582</f>
        <v/>
      </c>
      <c r="U1054" s="60">
        <f>Ringkasan!U1582</f>
        <v>143</v>
      </c>
      <c r="V1054" s="60">
        <f>Ringkasan!V1582</f>
        <v>2.1</v>
      </c>
      <c r="W1054" s="60">
        <f>Ringkasan!W1582</f>
        <v>143</v>
      </c>
      <c r="X1054" s="60">
        <f>Ringkasan!X1582</f>
        <v>148</v>
      </c>
      <c r="Y1054" s="60">
        <f>Ringkasan!Y1582</f>
        <v>141</v>
      </c>
      <c r="Z1054" s="60">
        <f>Ringkasan!Z1582</f>
        <v>5707200</v>
      </c>
      <c r="AA1054" s="60" t="str">
        <f>Ringkasan!AA1582</f>
        <v>Construction Materials</v>
      </c>
      <c r="AB1054" s="60" t="str">
        <f>Ringkasan!AB1582</f>
        <v>Basic Materials</v>
      </c>
    </row>
    <row r="1055" hidden="1">
      <c r="A1055" s="64" t="str">
        <f>Ringkasan!A1583</f>
        <v>SMCB</v>
      </c>
      <c r="B1055" s="64" t="str">
        <f>Ringkasan!B1583</f>
        <v>Solusi Bangun Indonesia Tbk.</v>
      </c>
      <c r="C1055" s="61">
        <f>Ringkasan!C1583</f>
        <v>775</v>
      </c>
      <c r="D1055" s="60" t="str">
        <f>Ringkasan!D1583</f>
        <v>#N/A</v>
      </c>
      <c r="E1055" s="60" t="str">
        <f>Ringkasan!E1583</f>
        <v/>
      </c>
      <c r="F1055" s="60" t="str">
        <f>Ringkasan!F1583</f>
        <v/>
      </c>
      <c r="G1055" s="60">
        <f>Ringkasan!G1583</f>
        <v>0</v>
      </c>
      <c r="H1055" s="62">
        <f>Ringkasan!H1583</f>
        <v>9.8</v>
      </c>
      <c r="I1055" s="62">
        <f>Ringkasan!I1583</f>
        <v>0.53</v>
      </c>
      <c r="J1055" s="62">
        <f>Ringkasan!J1583</f>
        <v>5.4</v>
      </c>
      <c r="K1055" s="62">
        <f>Ringkasan!K1583</f>
        <v>3.5</v>
      </c>
      <c r="L1055" s="62">
        <f>Ringkasan!L1583</f>
        <v>0.53</v>
      </c>
      <c r="M1055" s="62">
        <f>Ringkasan!M1583</f>
        <v>27.9</v>
      </c>
      <c r="N1055" s="60" t="str">
        <f>Ringkasan!N1583</f>
        <v/>
      </c>
      <c r="O1055" s="60" t="str">
        <f>Ringkasan!O1583</f>
        <v/>
      </c>
      <c r="P1055" s="60" t="str">
        <f>Ringkasan!P1583</f>
        <v/>
      </c>
      <c r="Q1055" s="60" t="str">
        <f>Ringkasan!Q1583</f>
        <v/>
      </c>
      <c r="R1055" s="60" t="str">
        <f>Ringkasan!R1583</f>
        <v/>
      </c>
      <c r="S1055" s="60" t="str">
        <f>Ringkasan!S1583</f>
        <v/>
      </c>
      <c r="T1055" s="60" t="str">
        <f>Ringkasan!T1583</f>
        <v/>
      </c>
      <c r="U1055" s="60">
        <f>Ringkasan!U1583</f>
        <v>775</v>
      </c>
      <c r="V1055" s="60">
        <f>Ringkasan!V1583</f>
        <v>0</v>
      </c>
      <c r="W1055" s="60" t="str">
        <f>Ringkasan!W1583</f>
        <v/>
      </c>
      <c r="X1055" s="60" t="str">
        <f>Ringkasan!X1583</f>
        <v/>
      </c>
      <c r="Y1055" s="60" t="str">
        <f>Ringkasan!Y1583</f>
        <v/>
      </c>
      <c r="Z1055" s="60">
        <f>Ringkasan!Z1583</f>
        <v>0</v>
      </c>
      <c r="AA1055" s="60" t="str">
        <f>Ringkasan!AA1583</f>
        <v>Construction Materials</v>
      </c>
      <c r="AB1055" s="64" t="str">
        <f>Ringkasan!AB1583</f>
        <v>Basic Materials</v>
      </c>
    </row>
    <row r="1056" hidden="1">
      <c r="A1056" s="64" t="str">
        <f>Ringkasan!A455</f>
        <v>BTPS</v>
      </c>
      <c r="B1056" s="64" t="str">
        <f>Ringkasan!B455</f>
        <v>Bank BTPN Syariah Tbk.</v>
      </c>
      <c r="C1056" s="67">
        <f>Ringkasan!C455</f>
        <v>965</v>
      </c>
      <c r="D1056" s="22" t="str">
        <f>Ringkasan!D455</f>
        <v>#N/A</v>
      </c>
      <c r="E1056" s="64" t="str">
        <f>Ringkasan!E455</f>
        <v>IDXQ30</v>
      </c>
      <c r="F1056" s="64" t="str">
        <f>Ringkasan!F455</f>
        <v>4 Agustus 2026</v>
      </c>
      <c r="G1056" s="64">
        <f>Ringkasan!G455</f>
        <v>7</v>
      </c>
      <c r="H1056" s="19">
        <f>Ringkasan!H455</f>
        <v>5.9</v>
      </c>
      <c r="I1056" s="19">
        <f>Ringkasan!I455</f>
        <v>0.7</v>
      </c>
      <c r="J1056" s="19">
        <f>Ringkasan!J455</f>
        <v>11.8</v>
      </c>
      <c r="K1056" s="19">
        <f>Ringkasan!K455</f>
        <v>5.2</v>
      </c>
      <c r="L1056" s="19">
        <f>Ringkasan!L455</f>
        <v>0.28</v>
      </c>
      <c r="M1056" s="19">
        <f>Ringkasan!M455</f>
        <v>110</v>
      </c>
      <c r="N1056" s="64">
        <f>Ringkasan!N455</f>
        <v>21.7</v>
      </c>
      <c r="O1056" s="64">
        <f>Ringkasan!O455</f>
        <v>57.74</v>
      </c>
      <c r="P1056" s="64">
        <f>Ringkasan!P455</f>
        <v>84.7</v>
      </c>
      <c r="Q1056" s="64">
        <f>Ringkasan!Q455</f>
        <v>2.59</v>
      </c>
      <c r="R1056" s="64">
        <f>Ringkasan!R455</f>
        <v>79.28</v>
      </c>
      <c r="S1056" s="64">
        <f>Ringkasan!S455</f>
        <v>48.82</v>
      </c>
      <c r="T1056" s="64" t="str">
        <f>Ringkasan!T455</f>
        <v/>
      </c>
      <c r="U1056" s="22">
        <f>Ringkasan!U455</f>
        <v>935</v>
      </c>
      <c r="V1056" s="22" t="str">
        <f>Ringkasan!V455</f>
        <v/>
      </c>
      <c r="W1056" s="22">
        <f>Ringkasan!W455</f>
        <v>935</v>
      </c>
      <c r="X1056" s="22">
        <f>Ringkasan!X455</f>
        <v>980</v>
      </c>
      <c r="Y1056" s="22">
        <f>Ringkasan!Y455</f>
        <v>930</v>
      </c>
      <c r="Z1056" s="22">
        <f>Ringkasan!Z455</f>
        <v>5453300</v>
      </c>
      <c r="AA1056" s="64" t="str">
        <f>Ringkasan!AA455</f>
        <v>Banks</v>
      </c>
      <c r="AB1056" s="64" t="str">
        <f>Ringkasan!AB455</f>
        <v>Financials</v>
      </c>
    </row>
    <row r="1057" hidden="1">
      <c r="A1057" s="64" t="str">
        <f>Ringkasan!A576</f>
        <v>CUAN</v>
      </c>
      <c r="B1057" s="64" t="str">
        <f>Ringkasan!B576</f>
        <v>PT Petrindo Jaya Kreasi Tbk</v>
      </c>
      <c r="C1057" s="67">
        <f>Ringkasan!C576</f>
        <v>720</v>
      </c>
      <c r="D1057" s="22" t="str">
        <f>Ringkasan!D576</f>
        <v>#N/A</v>
      </c>
      <c r="E1057" s="64" t="str">
        <f>Ringkasan!E576</f>
        <v>FTSE Large Cap</v>
      </c>
      <c r="F1057" s="64" t="str">
        <f>Ringkasan!F576</f>
        <v>Juni 2026</v>
      </c>
      <c r="G1057" s="64">
        <f>Ringkasan!G576</f>
        <v>5</v>
      </c>
      <c r="H1057" s="19">
        <f>Ringkasan!H576</f>
        <v>30.4</v>
      </c>
      <c r="I1057" s="19">
        <f>Ringkasan!I576</f>
        <v>6.6</v>
      </c>
      <c r="J1057" s="19">
        <f>Ringkasan!J576</f>
        <v>21.8</v>
      </c>
      <c r="K1057" s="19">
        <f>Ringkasan!K576</f>
        <v>5</v>
      </c>
      <c r="L1057" s="19">
        <f>Ringkasan!L576</f>
        <v>3.4</v>
      </c>
      <c r="M1057" s="19">
        <f>Ringkasan!M576</f>
        <v>36.9</v>
      </c>
      <c r="N1057" s="64" t="str">
        <f>Ringkasan!N576</f>
        <v/>
      </c>
      <c r="O1057" s="64" t="str">
        <f>Ringkasan!O576</f>
        <v/>
      </c>
      <c r="P1057" s="64" t="str">
        <f>Ringkasan!P576</f>
        <v/>
      </c>
      <c r="Q1057" s="64" t="str">
        <f>Ringkasan!Q576</f>
        <v/>
      </c>
      <c r="R1057" s="64" t="str">
        <f>Ringkasan!R576</f>
        <v/>
      </c>
      <c r="S1057" s="64" t="str">
        <f>Ringkasan!S576</f>
        <v/>
      </c>
      <c r="T1057" s="64" t="str">
        <f>Ringkasan!T576</f>
        <v/>
      </c>
      <c r="U1057" s="22">
        <f>Ringkasan!U576</f>
        <v>0.08</v>
      </c>
      <c r="V1057" s="22">
        <f>Ringkasan!V576</f>
        <v>0</v>
      </c>
      <c r="W1057" s="22">
        <f>Ringkasan!W576</f>
        <v>0.08</v>
      </c>
      <c r="X1057" s="22">
        <f>Ringkasan!X576</f>
        <v>0.08</v>
      </c>
      <c r="Y1057" s="22">
        <f>Ringkasan!Y576</f>
        <v>0.08</v>
      </c>
      <c r="Z1057" s="22" t="str">
        <f>Ringkasan!Z576</f>
        <v/>
      </c>
      <c r="AA1057" s="64" t="str">
        <f>Ringkasan!AA576</f>
        <v>Coal</v>
      </c>
      <c r="AB1057" s="64" t="str">
        <f>Ringkasan!AB576</f>
        <v>Energy</v>
      </c>
    </row>
    <row r="1058" hidden="1">
      <c r="A1058" s="64" t="str">
        <f>Ringkasan!A1584</f>
        <v>SMDM</v>
      </c>
      <c r="B1058" s="64" t="str">
        <f>Ringkasan!B1584</f>
        <v>Suryamas Dutamakmur Tbk.</v>
      </c>
      <c r="C1058" s="61">
        <f>Ringkasan!C1584</f>
        <v>505</v>
      </c>
      <c r="D1058" s="60" t="str">
        <f>Ringkasan!D1584</f>
        <v>#N/A</v>
      </c>
      <c r="E1058" s="60" t="str">
        <f>Ringkasan!E1584</f>
        <v/>
      </c>
      <c r="F1058" s="60" t="str">
        <f>Ringkasan!F1584</f>
        <v/>
      </c>
      <c r="G1058" s="60">
        <f>Ringkasan!G1584</f>
        <v>0</v>
      </c>
      <c r="H1058" s="62">
        <f>Ringkasan!H1584</f>
        <v>110</v>
      </c>
      <c r="I1058" s="62">
        <f>Ringkasan!I1584</f>
        <v>0.75</v>
      </c>
      <c r="J1058" s="62">
        <f>Ringkasan!J1584</f>
        <v>0.68</v>
      </c>
      <c r="K1058" s="62">
        <f>Ringkasan!K1584</f>
        <v>0.63</v>
      </c>
      <c r="L1058" s="62">
        <f>Ringkasan!L1584</f>
        <v>0.08</v>
      </c>
      <c r="M1058" s="62">
        <f>Ringkasan!M1584</f>
        <v>5.7</v>
      </c>
      <c r="N1058" s="60" t="str">
        <f>Ringkasan!N1584</f>
        <v/>
      </c>
      <c r="O1058" s="60" t="str">
        <f>Ringkasan!O1584</f>
        <v/>
      </c>
      <c r="P1058" s="60" t="str">
        <f>Ringkasan!P1584</f>
        <v/>
      </c>
      <c r="Q1058" s="60" t="str">
        <f>Ringkasan!Q1584</f>
        <v/>
      </c>
      <c r="R1058" s="60" t="str">
        <f>Ringkasan!R1584</f>
        <v/>
      </c>
      <c r="S1058" s="60" t="str">
        <f>Ringkasan!S1584</f>
        <v/>
      </c>
      <c r="T1058" s="60" t="str">
        <f>Ringkasan!T1584</f>
        <v/>
      </c>
      <c r="U1058" s="60" t="str">
        <f>Ringkasan!U1584</f>
        <v/>
      </c>
      <c r="V1058" s="60">
        <f>Ringkasan!V1584</f>
        <v>4.34</v>
      </c>
      <c r="W1058" s="60">
        <f>Ringkasan!W1584</f>
        <v>484</v>
      </c>
      <c r="X1058" s="60">
        <f>Ringkasan!X1584</f>
        <v>505</v>
      </c>
      <c r="Y1058" s="60">
        <f>Ringkasan!Y1584</f>
        <v>480</v>
      </c>
      <c r="Z1058" s="60">
        <f>Ringkasan!Z1584</f>
        <v>35500</v>
      </c>
      <c r="AA1058" s="60" t="str">
        <f>Ringkasan!AA1584</f>
        <v>Real Estate Management &amp; Development</v>
      </c>
      <c r="AB1058" s="64" t="str">
        <f>Ringkasan!AB1584</f>
        <v>Properties &amp; Real Estate</v>
      </c>
    </row>
    <row r="1059" hidden="1">
      <c r="A1059" s="64" t="str">
        <f>Ringkasan!A1585</f>
        <v>SMDR</v>
      </c>
      <c r="B1059" s="64" t="str">
        <f>Ringkasan!B1585</f>
        <v>Samudera Indonesia Tbk.</v>
      </c>
      <c r="C1059" s="61">
        <f>Ringkasan!C1585</f>
        <v>286</v>
      </c>
      <c r="D1059" s="60" t="str">
        <f>Ringkasan!D1585</f>
        <v>#N/A</v>
      </c>
      <c r="E1059" s="60" t="str">
        <f>Ringkasan!E1585</f>
        <v>IDXVESTA28</v>
      </c>
      <c r="F1059" s="60" t="str">
        <f>Ringkasan!F1585</f>
        <v>31 Agustus 2026</v>
      </c>
      <c r="G1059" s="60">
        <f>Ringkasan!G1585</f>
        <v>2</v>
      </c>
      <c r="H1059" s="62">
        <f>Ringkasan!H1585</f>
        <v>6.2</v>
      </c>
      <c r="I1059" s="62">
        <f>Ringkasan!I1585</f>
        <v>0.37</v>
      </c>
      <c r="J1059" s="62">
        <f>Ringkasan!J1585</f>
        <v>5.9</v>
      </c>
      <c r="K1059" s="62">
        <f>Ringkasan!K1585</f>
        <v>3.2</v>
      </c>
      <c r="L1059" s="62">
        <f>Ringkasan!L1585</f>
        <v>0.86</v>
      </c>
      <c r="M1059" s="62">
        <f>Ringkasan!M1585</f>
        <v>25.2</v>
      </c>
      <c r="N1059" s="60" t="str">
        <f>Ringkasan!N1585</f>
        <v/>
      </c>
      <c r="O1059" s="60" t="str">
        <f>Ringkasan!O1585</f>
        <v/>
      </c>
      <c r="P1059" s="60" t="str">
        <f>Ringkasan!P1585</f>
        <v/>
      </c>
      <c r="Q1059" s="60" t="str">
        <f>Ringkasan!Q1585</f>
        <v/>
      </c>
      <c r="R1059" s="60" t="str">
        <f>Ringkasan!R1585</f>
        <v/>
      </c>
      <c r="S1059" s="60" t="str">
        <f>Ringkasan!S1585</f>
        <v/>
      </c>
      <c r="T1059" s="60" t="str">
        <f>Ringkasan!T1585</f>
        <v/>
      </c>
      <c r="U1059" s="60">
        <f>Ringkasan!U1585</f>
        <v>274</v>
      </c>
      <c r="V1059" s="60">
        <f>Ringkasan!V1585</f>
        <v>4.38</v>
      </c>
      <c r="W1059" s="60">
        <f>Ringkasan!W1585</f>
        <v>274</v>
      </c>
      <c r="X1059" s="60">
        <f>Ringkasan!X1585</f>
        <v>290</v>
      </c>
      <c r="Y1059" s="60">
        <f>Ringkasan!Y1585</f>
        <v>274</v>
      </c>
      <c r="Z1059" s="60">
        <f>Ringkasan!Z1585</f>
        <v>10521900</v>
      </c>
      <c r="AA1059" s="60" t="str">
        <f>Ringkasan!AA1585</f>
        <v>Logistics &amp; Deliveries</v>
      </c>
      <c r="AB1059" s="64" t="str">
        <f>Ringkasan!AB1585</f>
        <v>Transportation &amp; Logistic</v>
      </c>
    </row>
    <row r="1060" hidden="1">
      <c r="A1060" s="64" t="str">
        <f>Ringkasan!A1586</f>
        <v>SMDR</v>
      </c>
      <c r="B1060" s="64" t="str">
        <f>Ringkasan!B1586</f>
        <v>Samudera Indonesia Tbk.</v>
      </c>
      <c r="C1060" s="61">
        <f>Ringkasan!C1586</f>
        <v>286</v>
      </c>
      <c r="D1060" s="60" t="str">
        <f>Ringkasan!D1586</f>
        <v>#N/A</v>
      </c>
      <c r="E1060" s="60" t="str">
        <f>Ringkasan!E1586</f>
        <v>Pefindo - iGrade</v>
      </c>
      <c r="F1060" s="60" t="str">
        <f>Ringkasan!F1586</f>
        <v>30 Juni 2026</v>
      </c>
      <c r="G1060" s="60">
        <f>Ringkasan!G1586</f>
        <v>2</v>
      </c>
      <c r="H1060" s="62">
        <f>Ringkasan!H1586</f>
        <v>6.2</v>
      </c>
      <c r="I1060" s="62">
        <f>Ringkasan!I1586</f>
        <v>0.37</v>
      </c>
      <c r="J1060" s="62">
        <f>Ringkasan!J1586</f>
        <v>5.9</v>
      </c>
      <c r="K1060" s="62">
        <f>Ringkasan!K1586</f>
        <v>3.2</v>
      </c>
      <c r="L1060" s="62">
        <f>Ringkasan!L1586</f>
        <v>0.86</v>
      </c>
      <c r="M1060" s="62">
        <f>Ringkasan!M1586</f>
        <v>25.2</v>
      </c>
      <c r="N1060" s="60" t="str">
        <f>Ringkasan!N1586</f>
        <v/>
      </c>
      <c r="O1060" s="60" t="str">
        <f>Ringkasan!O1586</f>
        <v/>
      </c>
      <c r="P1060" s="60" t="str">
        <f>Ringkasan!P1586</f>
        <v/>
      </c>
      <c r="Q1060" s="60" t="str">
        <f>Ringkasan!Q1586</f>
        <v/>
      </c>
      <c r="R1060" s="60" t="str">
        <f>Ringkasan!R1586</f>
        <v/>
      </c>
      <c r="S1060" s="60" t="str">
        <f>Ringkasan!S1586</f>
        <v/>
      </c>
      <c r="T1060" s="60" t="str">
        <f>Ringkasan!T1586</f>
        <v/>
      </c>
      <c r="U1060" s="60">
        <f>Ringkasan!U1586</f>
        <v>274</v>
      </c>
      <c r="V1060" s="60">
        <f>Ringkasan!V1586</f>
        <v>4.38</v>
      </c>
      <c r="W1060" s="60">
        <f>Ringkasan!W1586</f>
        <v>274</v>
      </c>
      <c r="X1060" s="60">
        <f>Ringkasan!X1586</f>
        <v>290</v>
      </c>
      <c r="Y1060" s="60">
        <f>Ringkasan!Y1586</f>
        <v>274</v>
      </c>
      <c r="Z1060" s="60">
        <f>Ringkasan!Z1586</f>
        <v>10521900</v>
      </c>
      <c r="AA1060" s="60" t="str">
        <f>Ringkasan!AA1586</f>
        <v>Logistics &amp; Deliveries</v>
      </c>
      <c r="AB1060" s="64" t="str">
        <f>Ringkasan!AB1586</f>
        <v>Transportation &amp; Logistic</v>
      </c>
    </row>
    <row r="1061" hidden="1">
      <c r="A1061" s="64" t="str">
        <f>Ringkasan!A1587</f>
        <v>SMGA</v>
      </c>
      <c r="B1061" s="64" t="str">
        <f>Ringkasan!B1587</f>
        <v>Sumber Mineral Global Abadi Tbk.</v>
      </c>
      <c r="C1061" s="61">
        <f>Ringkasan!C1587</f>
        <v>67</v>
      </c>
      <c r="D1061" s="60" t="str">
        <f>Ringkasan!D1587</f>
        <v>#N/A</v>
      </c>
      <c r="E1061" s="60" t="str">
        <f>Ringkasan!E1587</f>
        <v/>
      </c>
      <c r="F1061" s="60" t="str">
        <f>Ringkasan!F1587</f>
        <v/>
      </c>
      <c r="G1061" s="60">
        <f>Ringkasan!G1587</f>
        <v>0</v>
      </c>
      <c r="H1061" s="62">
        <f>Ringkasan!H1587</f>
        <v>11.7</v>
      </c>
      <c r="I1061" s="62">
        <f>Ringkasan!I1587</f>
        <v>1.5</v>
      </c>
      <c r="J1061" s="62">
        <f>Ringkasan!J1587</f>
        <v>13.1</v>
      </c>
      <c r="K1061" s="62">
        <f>Ringkasan!K1587</f>
        <v>4.4</v>
      </c>
      <c r="L1061" s="62">
        <f>Ringkasan!L1587</f>
        <v>2</v>
      </c>
      <c r="M1061" s="62">
        <f>Ringkasan!M1587</f>
        <v>7.6</v>
      </c>
      <c r="N1061" s="60" t="str">
        <f>Ringkasan!N1587</f>
        <v/>
      </c>
      <c r="O1061" s="60" t="str">
        <f>Ringkasan!O1587</f>
        <v/>
      </c>
      <c r="P1061" s="60" t="str">
        <f>Ringkasan!P1587</f>
        <v/>
      </c>
      <c r="Q1061" s="60" t="str">
        <f>Ringkasan!Q1587</f>
        <v/>
      </c>
      <c r="R1061" s="60" t="str">
        <f>Ringkasan!R1587</f>
        <v/>
      </c>
      <c r="S1061" s="60" t="str">
        <f>Ringkasan!S1587</f>
        <v/>
      </c>
      <c r="T1061" s="60" t="str">
        <f>Ringkasan!T1587</f>
        <v/>
      </c>
      <c r="U1061" s="60">
        <f>Ringkasan!U1587</f>
        <v>60</v>
      </c>
      <c r="V1061" s="60">
        <f>Ringkasan!V1587</f>
        <v>11.67</v>
      </c>
      <c r="W1061" s="60">
        <f>Ringkasan!W1587</f>
        <v>61</v>
      </c>
      <c r="X1061" s="60">
        <f>Ringkasan!X1587</f>
        <v>73</v>
      </c>
      <c r="Y1061" s="60">
        <f>Ringkasan!Y1587</f>
        <v>61</v>
      </c>
      <c r="Z1061" s="60">
        <f>Ringkasan!Z1587</f>
        <v>14508400</v>
      </c>
      <c r="AA1061" s="60" t="str">
        <f>Ringkasan!AA1587</f>
        <v>Metals &amp; Minerals</v>
      </c>
      <c r="AB1061" s="64" t="str">
        <f>Ringkasan!AB1587</f>
        <v>Basic Materials</v>
      </c>
    </row>
    <row r="1062" hidden="1">
      <c r="A1062" s="64" t="str">
        <f>Ringkasan!A1588</f>
        <v>SMGR</v>
      </c>
      <c r="B1062" s="64" t="str">
        <f>Ringkasan!B1588</f>
        <v>Semen Indonesia (Persero) Tbk.</v>
      </c>
      <c r="C1062" s="61">
        <f>Ringkasan!C1588</f>
        <v>1530</v>
      </c>
      <c r="D1062" s="60" t="str">
        <f>Ringkasan!D1588</f>
        <v>#N/A</v>
      </c>
      <c r="E1062" s="60" t="str">
        <f>Ringkasan!E1588</f>
        <v>ESGQKEHATI</v>
      </c>
      <c r="F1062" s="63">
        <f>Ringkasan!F1588</f>
        <v>46356</v>
      </c>
      <c r="G1062" s="60">
        <f>Ringkasan!G1588</f>
        <v>17</v>
      </c>
      <c r="H1062" s="62">
        <f>Ringkasan!H1588</f>
        <v>49.9</v>
      </c>
      <c r="I1062" s="62">
        <f>Ringkasan!I1588</f>
        <v>0.24</v>
      </c>
      <c r="J1062" s="62">
        <f>Ringkasan!J1588</f>
        <v>0.48</v>
      </c>
      <c r="K1062" s="62">
        <f>Ringkasan!K1588</f>
        <v>0.3</v>
      </c>
      <c r="L1062" s="62">
        <f>Ringkasan!L1588</f>
        <v>0.58</v>
      </c>
      <c r="M1062" s="62">
        <f>Ringkasan!M1588</f>
        <v>2.8</v>
      </c>
      <c r="N1062" s="60" t="str">
        <f>Ringkasan!N1588</f>
        <v/>
      </c>
      <c r="O1062" s="60" t="str">
        <f>Ringkasan!O1588</f>
        <v/>
      </c>
      <c r="P1062" s="60" t="str">
        <f>Ringkasan!P1588</f>
        <v/>
      </c>
      <c r="Q1062" s="60" t="str">
        <f>Ringkasan!Q1588</f>
        <v/>
      </c>
      <c r="R1062" s="60" t="str">
        <f>Ringkasan!R1588</f>
        <v/>
      </c>
      <c r="S1062" s="60" t="str">
        <f>Ringkasan!S1588</f>
        <v/>
      </c>
      <c r="T1062" s="60" t="str">
        <f>Ringkasan!T1588</f>
        <v/>
      </c>
      <c r="U1062" s="60">
        <f>Ringkasan!U1588</f>
        <v>1550</v>
      </c>
      <c r="V1062" s="60">
        <f>Ringkasan!V1588</f>
        <v>-1.29</v>
      </c>
      <c r="W1062" s="60">
        <f>Ringkasan!W1588</f>
        <v>1550</v>
      </c>
      <c r="X1062" s="60">
        <f>Ringkasan!X1588</f>
        <v>1585</v>
      </c>
      <c r="Y1062" s="60">
        <f>Ringkasan!Y1588</f>
        <v>1525</v>
      </c>
      <c r="Z1062" s="60">
        <f>Ringkasan!Z1588</f>
        <v>15467300</v>
      </c>
      <c r="AA1062" s="60" t="str">
        <f>Ringkasan!AA1588</f>
        <v>Construction Materials</v>
      </c>
      <c r="AB1062" s="64" t="str">
        <f>Ringkasan!AB1588</f>
        <v>Basic Materials</v>
      </c>
    </row>
    <row r="1063" hidden="1">
      <c r="A1063" s="64" t="str">
        <f>Ringkasan!A1589</f>
        <v>SMGR</v>
      </c>
      <c r="B1063" s="64" t="str">
        <f>Ringkasan!B1589</f>
        <v>Semen Indonesia (Persero) Tbk.</v>
      </c>
      <c r="C1063" s="61">
        <f>Ringkasan!C1589</f>
        <v>1530</v>
      </c>
      <c r="D1063" s="60" t="str">
        <f>Ringkasan!D1589</f>
        <v>#N/A</v>
      </c>
      <c r="E1063" s="60" t="str">
        <f>Ringkasan!E1589</f>
        <v>IDXMESBUMN</v>
      </c>
      <c r="F1063" s="63">
        <f>Ringkasan!F1589</f>
        <v>46356</v>
      </c>
      <c r="G1063" s="60">
        <f>Ringkasan!G1589</f>
        <v>17</v>
      </c>
      <c r="H1063" s="62">
        <f>Ringkasan!H1589</f>
        <v>49.9</v>
      </c>
      <c r="I1063" s="62">
        <f>Ringkasan!I1589</f>
        <v>0.24</v>
      </c>
      <c r="J1063" s="62">
        <f>Ringkasan!J1589</f>
        <v>0.48</v>
      </c>
      <c r="K1063" s="62">
        <f>Ringkasan!K1589</f>
        <v>0.3</v>
      </c>
      <c r="L1063" s="62">
        <f>Ringkasan!L1589</f>
        <v>0.58</v>
      </c>
      <c r="M1063" s="62">
        <f>Ringkasan!M1589</f>
        <v>2.8</v>
      </c>
      <c r="N1063" s="60" t="str">
        <f>Ringkasan!N1589</f>
        <v/>
      </c>
      <c r="O1063" s="60" t="str">
        <f>Ringkasan!O1589</f>
        <v/>
      </c>
      <c r="P1063" s="60" t="str">
        <f>Ringkasan!P1589</f>
        <v/>
      </c>
      <c r="Q1063" s="60" t="str">
        <f>Ringkasan!Q1589</f>
        <v/>
      </c>
      <c r="R1063" s="60" t="str">
        <f>Ringkasan!R1589</f>
        <v/>
      </c>
      <c r="S1063" s="60" t="str">
        <f>Ringkasan!S1589</f>
        <v/>
      </c>
      <c r="T1063" s="60" t="str">
        <f>Ringkasan!T1589</f>
        <v/>
      </c>
      <c r="U1063" s="60">
        <f>Ringkasan!U1589</f>
        <v>1550</v>
      </c>
      <c r="V1063" s="60">
        <f>Ringkasan!V1589</f>
        <v>-1.29</v>
      </c>
      <c r="W1063" s="60">
        <f>Ringkasan!W1589</f>
        <v>1550</v>
      </c>
      <c r="X1063" s="60">
        <f>Ringkasan!X1589</f>
        <v>1585</v>
      </c>
      <c r="Y1063" s="60">
        <f>Ringkasan!Y1589</f>
        <v>1525</v>
      </c>
      <c r="Z1063" s="60">
        <f>Ringkasan!Z1589</f>
        <v>15467300</v>
      </c>
      <c r="AA1063" s="60" t="str">
        <f>Ringkasan!AA1589</f>
        <v>Construction Materials</v>
      </c>
      <c r="AB1063" s="64" t="str">
        <f>Ringkasan!AB1589</f>
        <v>Basic Materials</v>
      </c>
    </row>
    <row r="1064" hidden="1">
      <c r="A1064" s="64" t="str">
        <f>Ringkasan!A1590</f>
        <v>SMGR</v>
      </c>
      <c r="B1064" s="64" t="str">
        <f>Ringkasan!B1590</f>
        <v>Semen Indonesia (Persero) Tbk.</v>
      </c>
      <c r="C1064" s="61">
        <f>Ringkasan!C1590</f>
        <v>1530</v>
      </c>
      <c r="D1064" s="60" t="str">
        <f>Ringkasan!D1590</f>
        <v>#N/A</v>
      </c>
      <c r="E1064" s="60" t="str">
        <f>Ringkasan!E1590</f>
        <v>Investor33</v>
      </c>
      <c r="F1064" s="63">
        <f>Ringkasan!F1590</f>
        <v>46356</v>
      </c>
      <c r="G1064" s="60">
        <f>Ringkasan!G1590</f>
        <v>17</v>
      </c>
      <c r="H1064" s="62">
        <f>Ringkasan!H1590</f>
        <v>49.9</v>
      </c>
      <c r="I1064" s="62">
        <f>Ringkasan!I1590</f>
        <v>0.24</v>
      </c>
      <c r="J1064" s="62">
        <f>Ringkasan!J1590</f>
        <v>0.48</v>
      </c>
      <c r="K1064" s="62">
        <f>Ringkasan!K1590</f>
        <v>0.3</v>
      </c>
      <c r="L1064" s="62">
        <f>Ringkasan!L1590</f>
        <v>0.58</v>
      </c>
      <c r="M1064" s="62">
        <f>Ringkasan!M1590</f>
        <v>2.8</v>
      </c>
      <c r="N1064" s="60" t="str">
        <f>Ringkasan!N1590</f>
        <v/>
      </c>
      <c r="O1064" s="60" t="str">
        <f>Ringkasan!O1590</f>
        <v/>
      </c>
      <c r="P1064" s="60" t="str">
        <f>Ringkasan!P1590</f>
        <v/>
      </c>
      <c r="Q1064" s="60" t="str">
        <f>Ringkasan!Q1590</f>
        <v/>
      </c>
      <c r="R1064" s="60" t="str">
        <f>Ringkasan!R1590</f>
        <v/>
      </c>
      <c r="S1064" s="60" t="str">
        <f>Ringkasan!S1590</f>
        <v/>
      </c>
      <c r="T1064" s="60" t="str">
        <f>Ringkasan!T1590</f>
        <v/>
      </c>
      <c r="U1064" s="60">
        <f>Ringkasan!U1590</f>
        <v>1550</v>
      </c>
      <c r="V1064" s="60">
        <f>Ringkasan!V1590</f>
        <v>-1.29</v>
      </c>
      <c r="W1064" s="60">
        <f>Ringkasan!W1590</f>
        <v>1550</v>
      </c>
      <c r="X1064" s="60">
        <f>Ringkasan!X1590</f>
        <v>1585</v>
      </c>
      <c r="Y1064" s="60">
        <f>Ringkasan!Y1590</f>
        <v>1525</v>
      </c>
      <c r="Z1064" s="60">
        <f>Ringkasan!Z1590</f>
        <v>15467300</v>
      </c>
      <c r="AA1064" s="60" t="str">
        <f>Ringkasan!AA1590</f>
        <v>Construction Materials</v>
      </c>
      <c r="AB1064" s="64" t="str">
        <f>Ringkasan!AB1590</f>
        <v>Basic Materials</v>
      </c>
    </row>
    <row r="1065" hidden="1">
      <c r="A1065" s="64" t="str">
        <f>Ringkasan!A1591</f>
        <v>SMGR</v>
      </c>
      <c r="B1065" s="64" t="str">
        <f>Ringkasan!B1591</f>
        <v>Semen Indonesia (Persero) Tbk.</v>
      </c>
      <c r="C1065" s="61">
        <f>Ringkasan!C1591</f>
        <v>1530</v>
      </c>
      <c r="D1065" s="60" t="str">
        <f>Ringkasan!D1591</f>
        <v>#N/A</v>
      </c>
      <c r="E1065" s="60" t="str">
        <f>Ringkasan!E1591</f>
        <v>ESGSKEHATI</v>
      </c>
      <c r="F1065" s="63">
        <f>Ringkasan!F1591</f>
        <v>46356</v>
      </c>
      <c r="G1065" s="60">
        <f>Ringkasan!G1591</f>
        <v>17</v>
      </c>
      <c r="H1065" s="62">
        <f>Ringkasan!H1591</f>
        <v>49.9</v>
      </c>
      <c r="I1065" s="62">
        <f>Ringkasan!I1591</f>
        <v>0.24</v>
      </c>
      <c r="J1065" s="62">
        <f>Ringkasan!J1591</f>
        <v>0.48</v>
      </c>
      <c r="K1065" s="62">
        <f>Ringkasan!K1591</f>
        <v>0.3</v>
      </c>
      <c r="L1065" s="62">
        <f>Ringkasan!L1591</f>
        <v>0.58</v>
      </c>
      <c r="M1065" s="62">
        <f>Ringkasan!M1591</f>
        <v>2.8</v>
      </c>
      <c r="N1065" s="60" t="str">
        <f>Ringkasan!N1591</f>
        <v/>
      </c>
      <c r="O1065" s="60" t="str">
        <f>Ringkasan!O1591</f>
        <v/>
      </c>
      <c r="P1065" s="60" t="str">
        <f>Ringkasan!P1591</f>
        <v/>
      </c>
      <c r="Q1065" s="60" t="str">
        <f>Ringkasan!Q1591</f>
        <v/>
      </c>
      <c r="R1065" s="60" t="str">
        <f>Ringkasan!R1591</f>
        <v/>
      </c>
      <c r="S1065" s="60" t="str">
        <f>Ringkasan!S1591</f>
        <v/>
      </c>
      <c r="T1065" s="60" t="str">
        <f>Ringkasan!T1591</f>
        <v/>
      </c>
      <c r="U1065" s="60">
        <f>Ringkasan!U1591</f>
        <v>1550</v>
      </c>
      <c r="V1065" s="60">
        <f>Ringkasan!V1591</f>
        <v>-1.29</v>
      </c>
      <c r="W1065" s="60">
        <f>Ringkasan!W1591</f>
        <v>1550</v>
      </c>
      <c r="X1065" s="60">
        <f>Ringkasan!X1591</f>
        <v>1585</v>
      </c>
      <c r="Y1065" s="60">
        <f>Ringkasan!Y1591</f>
        <v>1525</v>
      </c>
      <c r="Z1065" s="60">
        <f>Ringkasan!Z1591</f>
        <v>15467300</v>
      </c>
      <c r="AA1065" s="60" t="str">
        <f>Ringkasan!AA1591</f>
        <v>Construction Materials</v>
      </c>
      <c r="AB1065" s="64" t="str">
        <f>Ringkasan!AB1591</f>
        <v>Basic Materials</v>
      </c>
    </row>
    <row r="1066">
      <c r="A1066" s="60" t="str">
        <f>Ringkasan!A1053</f>
        <v>KLBF</v>
      </c>
      <c r="B1066" s="60" t="str">
        <f>Ringkasan!B1053</f>
        <v>Kalbe Farma Tbk.</v>
      </c>
      <c r="C1066" s="61">
        <f>Ringkasan!C1053</f>
        <v>740</v>
      </c>
      <c r="D1066" s="60" t="str">
        <f>Ringkasan!D1053</f>
        <v>#N/A</v>
      </c>
      <c r="E1066" s="60" t="str">
        <f>Ringkasan!E1053</f>
        <v>ESGSKEHATI</v>
      </c>
      <c r="F1066" s="63">
        <f>Ringkasan!F1053</f>
        <v>46356</v>
      </c>
      <c r="G1066" s="61">
        <f>Ringkasan!G1053</f>
        <v>17</v>
      </c>
      <c r="H1066" s="62">
        <f>Ringkasan!H1053</f>
        <v>10</v>
      </c>
      <c r="I1066" s="62">
        <f>Ringkasan!I1053</f>
        <v>1.4</v>
      </c>
      <c r="J1066" s="62">
        <f>Ringkasan!J1053</f>
        <v>14.1</v>
      </c>
      <c r="K1066" s="62">
        <f>Ringkasan!K1053</f>
        <v>11.3</v>
      </c>
      <c r="L1066" s="62">
        <f>Ringkasan!L1053</f>
        <v>0.24</v>
      </c>
      <c r="M1066" s="62">
        <f>Ringkasan!M1053</f>
        <v>37.4</v>
      </c>
      <c r="N1066" s="60" t="str">
        <f>Ringkasan!N1053</f>
        <v/>
      </c>
      <c r="O1066" s="60" t="str">
        <f>Ringkasan!O1053</f>
        <v/>
      </c>
      <c r="P1066" s="60" t="str">
        <f>Ringkasan!P1053</f>
        <v/>
      </c>
      <c r="Q1066" s="60" t="str">
        <f>Ringkasan!Q1053</f>
        <v/>
      </c>
      <c r="R1066" s="60" t="str">
        <f>Ringkasan!R1053</f>
        <v/>
      </c>
      <c r="S1066" s="60" t="str">
        <f>Ringkasan!S1053</f>
        <v/>
      </c>
      <c r="T1066" s="60" t="str">
        <f>Ringkasan!T1053</f>
        <v/>
      </c>
      <c r="U1066" s="60">
        <f>Ringkasan!U1053</f>
        <v>725</v>
      </c>
      <c r="V1066" s="60">
        <f>Ringkasan!V1053</f>
        <v>2.07</v>
      </c>
      <c r="W1066" s="60">
        <f>Ringkasan!W1053</f>
        <v>760</v>
      </c>
      <c r="X1066" s="60">
        <f>Ringkasan!X1053</f>
        <v>760</v>
      </c>
      <c r="Y1066" s="60">
        <f>Ringkasan!Y1053</f>
        <v>715</v>
      </c>
      <c r="Z1066" s="60">
        <f>Ringkasan!Z1053</f>
        <v>92741200</v>
      </c>
      <c r="AA1066" s="60" t="str">
        <f>Ringkasan!AA1053</f>
        <v>Pharmaceuticals</v>
      </c>
      <c r="AB1066" s="60" t="str">
        <f>Ringkasan!AB1053</f>
        <v>Healthcare</v>
      </c>
    </row>
    <row r="1067">
      <c r="A1067" s="60" t="str">
        <f>Ringkasan!A1066</f>
        <v>KLBF</v>
      </c>
      <c r="B1067" s="60" t="str">
        <f>Ringkasan!B1066</f>
        <v>Kalbe Farma Tbk.</v>
      </c>
      <c r="C1067" s="61">
        <f>Ringkasan!C1066</f>
        <v>740</v>
      </c>
      <c r="D1067" s="60" t="str">
        <f>Ringkasan!D1066</f>
        <v>#N/A</v>
      </c>
      <c r="E1067" s="60" t="str">
        <f>Ringkasan!E1066</f>
        <v>JII70</v>
      </c>
      <c r="F1067" s="63">
        <f>Ringkasan!F1066</f>
        <v>46356</v>
      </c>
      <c r="G1067" s="61">
        <f>Ringkasan!G1066</f>
        <v>17</v>
      </c>
      <c r="H1067" s="62">
        <f>Ringkasan!H1066</f>
        <v>10</v>
      </c>
      <c r="I1067" s="62">
        <f>Ringkasan!I1066</f>
        <v>1.4</v>
      </c>
      <c r="J1067" s="62">
        <f>Ringkasan!J1066</f>
        <v>14.1</v>
      </c>
      <c r="K1067" s="62">
        <f>Ringkasan!K1066</f>
        <v>11.3</v>
      </c>
      <c r="L1067" s="62">
        <f>Ringkasan!L1066</f>
        <v>0.24</v>
      </c>
      <c r="M1067" s="62">
        <f>Ringkasan!M1066</f>
        <v>37.4</v>
      </c>
      <c r="N1067" s="60" t="str">
        <f>Ringkasan!N1066</f>
        <v/>
      </c>
      <c r="O1067" s="60" t="str">
        <f>Ringkasan!O1066</f>
        <v/>
      </c>
      <c r="P1067" s="60" t="str">
        <f>Ringkasan!P1066</f>
        <v/>
      </c>
      <c r="Q1067" s="60" t="str">
        <f>Ringkasan!Q1066</f>
        <v/>
      </c>
      <c r="R1067" s="60" t="str">
        <f>Ringkasan!R1066</f>
        <v/>
      </c>
      <c r="S1067" s="60" t="str">
        <f>Ringkasan!S1066</f>
        <v/>
      </c>
      <c r="T1067" s="60" t="str">
        <f>Ringkasan!T1066</f>
        <v/>
      </c>
      <c r="U1067" s="60">
        <f>Ringkasan!U1066</f>
        <v>725</v>
      </c>
      <c r="V1067" s="60">
        <f>Ringkasan!V1066</f>
        <v>2.07</v>
      </c>
      <c r="W1067" s="60">
        <f>Ringkasan!W1066</f>
        <v>760</v>
      </c>
      <c r="X1067" s="60">
        <f>Ringkasan!X1066</f>
        <v>760</v>
      </c>
      <c r="Y1067" s="60">
        <f>Ringkasan!Y1066</f>
        <v>715</v>
      </c>
      <c r="Z1067" s="60">
        <f>Ringkasan!Z1066</f>
        <v>92741200</v>
      </c>
      <c r="AA1067" s="60" t="str">
        <f>Ringkasan!AA1066</f>
        <v>Pharmaceuticals</v>
      </c>
      <c r="AB1067" s="60" t="str">
        <f>Ringkasan!AB1066</f>
        <v>Healthcare</v>
      </c>
    </row>
    <row r="1068" hidden="1">
      <c r="A1068" s="60" t="str">
        <f>Ringkasan!A1067</f>
        <v>KLIN</v>
      </c>
      <c r="B1068" s="60" t="str">
        <f>Ringkasan!B1067</f>
        <v>Klinko Karya Imaji Tbk.</v>
      </c>
      <c r="C1068" s="61">
        <f>Ringkasan!C1067</f>
        <v>102</v>
      </c>
      <c r="D1068" s="60" t="str">
        <f>Ringkasan!D1067</f>
        <v>#N/A</v>
      </c>
      <c r="E1068" s="60" t="str">
        <f>Ringkasan!E1067</f>
        <v/>
      </c>
      <c r="F1068" s="60" t="str">
        <f>Ringkasan!F1067</f>
        <v/>
      </c>
      <c r="G1068" s="60">
        <f>Ringkasan!G1067</f>
        <v>0</v>
      </c>
      <c r="H1068" s="62">
        <f>Ringkasan!H1067</f>
        <v>-35</v>
      </c>
      <c r="I1068" s="62">
        <f>Ringkasan!I1067</f>
        <v>5.2</v>
      </c>
      <c r="J1068" s="62">
        <f>Ringkasan!J1067</f>
        <v>-15</v>
      </c>
      <c r="K1068" s="62">
        <f>Ringkasan!K1067</f>
        <v>-14.2</v>
      </c>
      <c r="L1068" s="62">
        <f>Ringkasan!L1067</f>
        <v>0.05</v>
      </c>
      <c r="M1068" s="62">
        <f>Ringkasan!M1067</f>
        <v>-54.8</v>
      </c>
      <c r="N1068" s="60" t="str">
        <f>Ringkasan!N1067</f>
        <v/>
      </c>
      <c r="O1068" s="60" t="str">
        <f>Ringkasan!O1067</f>
        <v/>
      </c>
      <c r="P1068" s="60" t="str">
        <f>Ringkasan!P1067</f>
        <v/>
      </c>
      <c r="Q1068" s="60" t="str">
        <f>Ringkasan!Q1067</f>
        <v/>
      </c>
      <c r="R1068" s="60" t="str">
        <f>Ringkasan!R1067</f>
        <v/>
      </c>
      <c r="S1068" s="60" t="str">
        <f>Ringkasan!S1067</f>
        <v/>
      </c>
      <c r="T1068" s="60" t="str">
        <f>Ringkasan!T1067</f>
        <v/>
      </c>
      <c r="U1068" s="60">
        <f>Ringkasan!U1067</f>
        <v>101</v>
      </c>
      <c r="V1068" s="60">
        <f>Ringkasan!V1067</f>
        <v>0.99</v>
      </c>
      <c r="W1068" s="60">
        <f>Ringkasan!W1067</f>
        <v>102</v>
      </c>
      <c r="X1068" s="60">
        <f>Ringkasan!X1067</f>
        <v>103</v>
      </c>
      <c r="Y1068" s="60">
        <f>Ringkasan!Y1067</f>
        <v>100</v>
      </c>
      <c r="Z1068" s="60">
        <f>Ringkasan!Z1067</f>
        <v>16400</v>
      </c>
      <c r="AA1068" s="60" t="str">
        <f>Ringkasan!AA1067</f>
        <v>Specialty Retail</v>
      </c>
      <c r="AB1068" s="60" t="str">
        <f>Ringkasan!AB1067</f>
        <v>Consumer Cyclicals</v>
      </c>
    </row>
    <row r="1069" hidden="1">
      <c r="A1069" s="60" t="str">
        <f>Ringkasan!A1068</f>
        <v>KMDS</v>
      </c>
      <c r="B1069" s="60" t="str">
        <f>Ringkasan!B1068</f>
        <v>Kurniamitra Duta Sentosa Tbk.</v>
      </c>
      <c r="C1069" s="61">
        <f>Ringkasan!C1068</f>
        <v>525</v>
      </c>
      <c r="D1069" s="60" t="str">
        <f>Ringkasan!D1068</f>
        <v>#N/A</v>
      </c>
      <c r="E1069" s="60" t="str">
        <f>Ringkasan!E1068</f>
        <v/>
      </c>
      <c r="F1069" s="60" t="str">
        <f>Ringkasan!F1068</f>
        <v/>
      </c>
      <c r="G1069" s="61">
        <f>Ringkasan!G1068</f>
        <v>0</v>
      </c>
      <c r="H1069" s="62">
        <f>Ringkasan!H1068</f>
        <v>8.2</v>
      </c>
      <c r="I1069" s="62">
        <f>Ringkasan!I1068</f>
        <v>1.7</v>
      </c>
      <c r="J1069" s="62">
        <f>Ringkasan!J1068</f>
        <v>20.3</v>
      </c>
      <c r="K1069" s="62">
        <f>Ringkasan!K1068</f>
        <v>16.6</v>
      </c>
      <c r="L1069" s="62">
        <f>Ringkasan!L1068</f>
        <v>0.22</v>
      </c>
      <c r="M1069" s="62">
        <f>Ringkasan!M1068</f>
        <v>50</v>
      </c>
      <c r="N1069" s="60" t="str">
        <f>Ringkasan!N1068</f>
        <v/>
      </c>
      <c r="O1069" s="60" t="str">
        <f>Ringkasan!O1068</f>
        <v/>
      </c>
      <c r="P1069" s="60" t="str">
        <f>Ringkasan!P1068</f>
        <v/>
      </c>
      <c r="Q1069" s="60" t="str">
        <f>Ringkasan!Q1068</f>
        <v/>
      </c>
      <c r="R1069" s="60" t="str">
        <f>Ringkasan!R1068</f>
        <v/>
      </c>
      <c r="S1069" s="60" t="str">
        <f>Ringkasan!S1068</f>
        <v/>
      </c>
      <c r="T1069" s="60" t="str">
        <f>Ringkasan!T1068</f>
        <v/>
      </c>
      <c r="U1069" s="60">
        <f>Ringkasan!U1068</f>
        <v>525</v>
      </c>
      <c r="V1069" s="60">
        <f>Ringkasan!V1068</f>
        <v>0</v>
      </c>
      <c r="W1069" s="60">
        <f>Ringkasan!W1068</f>
        <v>530</v>
      </c>
      <c r="X1069" s="60">
        <f>Ringkasan!X1068</f>
        <v>530</v>
      </c>
      <c r="Y1069" s="60">
        <f>Ringkasan!Y1068</f>
        <v>510</v>
      </c>
      <c r="Z1069" s="60">
        <f>Ringkasan!Z1068</f>
        <v>51200</v>
      </c>
      <c r="AA1069" s="60" t="str">
        <f>Ringkasan!AA1068</f>
        <v>Food &amp; Staples Retailing</v>
      </c>
      <c r="AB1069" s="60" t="str">
        <f>Ringkasan!AB1068</f>
        <v>Consumer Non-Cyclicals</v>
      </c>
    </row>
    <row r="1070">
      <c r="A1070" s="60" t="str">
        <f>Ringkasan!A1055</f>
        <v>KLBF</v>
      </c>
      <c r="B1070" s="60" t="str">
        <f>Ringkasan!B1055</f>
        <v>Kalbe Farma Tbk.</v>
      </c>
      <c r="C1070" s="61">
        <f>Ringkasan!C1055</f>
        <v>740</v>
      </c>
      <c r="D1070" s="60" t="str">
        <f>Ringkasan!D1055</f>
        <v>#N/A</v>
      </c>
      <c r="E1070" s="60" t="str">
        <f>Ringkasan!E1055</f>
        <v>MNC36</v>
      </c>
      <c r="F1070" s="60" t="str">
        <f>Ringkasan!F1055</f>
        <v>30 Oktober 2026</v>
      </c>
      <c r="G1070" s="61">
        <f>Ringkasan!G1055</f>
        <v>17</v>
      </c>
      <c r="H1070" s="62">
        <f>Ringkasan!H1055</f>
        <v>10</v>
      </c>
      <c r="I1070" s="62">
        <f>Ringkasan!I1055</f>
        <v>1.4</v>
      </c>
      <c r="J1070" s="62">
        <f>Ringkasan!J1055</f>
        <v>14.1</v>
      </c>
      <c r="K1070" s="62">
        <f>Ringkasan!K1055</f>
        <v>11.3</v>
      </c>
      <c r="L1070" s="62">
        <f>Ringkasan!L1055</f>
        <v>0.24</v>
      </c>
      <c r="M1070" s="62">
        <f>Ringkasan!M1055</f>
        <v>37.4</v>
      </c>
      <c r="N1070" s="60" t="str">
        <f>Ringkasan!N1055</f>
        <v/>
      </c>
      <c r="O1070" s="60" t="str">
        <f>Ringkasan!O1055</f>
        <v/>
      </c>
      <c r="P1070" s="60" t="str">
        <f>Ringkasan!P1055</f>
        <v/>
      </c>
      <c r="Q1070" s="60" t="str">
        <f>Ringkasan!Q1055</f>
        <v/>
      </c>
      <c r="R1070" s="60" t="str">
        <f>Ringkasan!R1055</f>
        <v/>
      </c>
      <c r="S1070" s="60" t="str">
        <f>Ringkasan!S1055</f>
        <v/>
      </c>
      <c r="T1070" s="60" t="str">
        <f>Ringkasan!T1055</f>
        <v/>
      </c>
      <c r="U1070" s="60">
        <f>Ringkasan!U1055</f>
        <v>725</v>
      </c>
      <c r="V1070" s="60">
        <f>Ringkasan!V1055</f>
        <v>2.07</v>
      </c>
      <c r="W1070" s="60">
        <f>Ringkasan!W1055</f>
        <v>760</v>
      </c>
      <c r="X1070" s="60">
        <f>Ringkasan!X1055</f>
        <v>760</v>
      </c>
      <c r="Y1070" s="60">
        <f>Ringkasan!Y1055</f>
        <v>715</v>
      </c>
      <c r="Z1070" s="60">
        <f>Ringkasan!Z1055</f>
        <v>92741200</v>
      </c>
      <c r="AA1070" s="60" t="str">
        <f>Ringkasan!AA1055</f>
        <v>Pharmaceuticals</v>
      </c>
      <c r="AB1070" s="60" t="str">
        <f>Ringkasan!AB1055</f>
        <v>Healthcare</v>
      </c>
    </row>
    <row r="1071">
      <c r="A1071" s="60" t="str">
        <f>Ringkasan!A1056</f>
        <v>KLBF</v>
      </c>
      <c r="B1071" s="60" t="str">
        <f>Ringkasan!B1056</f>
        <v>Kalbe Farma Tbk.</v>
      </c>
      <c r="C1071" s="61">
        <f>Ringkasan!C1056</f>
        <v>740</v>
      </c>
      <c r="D1071" s="60" t="str">
        <f>Ringkasan!D1056</f>
        <v>#N/A</v>
      </c>
      <c r="E1071" s="60" t="str">
        <f>Ringkasan!E1056</f>
        <v>IDX30</v>
      </c>
      <c r="F1071" s="60" t="str">
        <f>Ringkasan!F1056</f>
        <v>31 Juli 2026</v>
      </c>
      <c r="G1071" s="61">
        <f>Ringkasan!G1056</f>
        <v>17</v>
      </c>
      <c r="H1071" s="62">
        <f>Ringkasan!H1056</f>
        <v>10</v>
      </c>
      <c r="I1071" s="62">
        <f>Ringkasan!I1056</f>
        <v>1.4</v>
      </c>
      <c r="J1071" s="62">
        <f>Ringkasan!J1056</f>
        <v>14.1</v>
      </c>
      <c r="K1071" s="62">
        <f>Ringkasan!K1056</f>
        <v>11.3</v>
      </c>
      <c r="L1071" s="62">
        <f>Ringkasan!L1056</f>
        <v>0.24</v>
      </c>
      <c r="M1071" s="62">
        <f>Ringkasan!M1056</f>
        <v>37.4</v>
      </c>
      <c r="N1071" s="60" t="str">
        <f>Ringkasan!N1056</f>
        <v/>
      </c>
      <c r="O1071" s="60" t="str">
        <f>Ringkasan!O1056</f>
        <v/>
      </c>
      <c r="P1071" s="60" t="str">
        <f>Ringkasan!P1056</f>
        <v/>
      </c>
      <c r="Q1071" s="60" t="str">
        <f>Ringkasan!Q1056</f>
        <v/>
      </c>
      <c r="R1071" s="60" t="str">
        <f>Ringkasan!R1056</f>
        <v/>
      </c>
      <c r="S1071" s="60" t="str">
        <f>Ringkasan!S1056</f>
        <v/>
      </c>
      <c r="T1071" s="60" t="str">
        <f>Ringkasan!T1056</f>
        <v/>
      </c>
      <c r="U1071" s="60">
        <f>Ringkasan!U1056</f>
        <v>725</v>
      </c>
      <c r="V1071" s="60">
        <f>Ringkasan!V1056</f>
        <v>2.07</v>
      </c>
      <c r="W1071" s="60">
        <f>Ringkasan!W1056</f>
        <v>760</v>
      </c>
      <c r="X1071" s="60">
        <f>Ringkasan!X1056</f>
        <v>760</v>
      </c>
      <c r="Y1071" s="60">
        <f>Ringkasan!Y1056</f>
        <v>715</v>
      </c>
      <c r="Z1071" s="60">
        <f>Ringkasan!Z1056</f>
        <v>92741200</v>
      </c>
      <c r="AA1071" s="60" t="str">
        <f>Ringkasan!AA1056</f>
        <v>Pharmaceuticals</v>
      </c>
      <c r="AB1071" s="60" t="str">
        <f>Ringkasan!AB1056</f>
        <v>Healthcare</v>
      </c>
    </row>
    <row r="1072" hidden="1">
      <c r="A1072" s="60" t="str">
        <f>Ringkasan!A1069</f>
        <v>KMTR</v>
      </c>
      <c r="B1072" s="60" t="str">
        <f>Ringkasan!B1069</f>
        <v>PT Kirana Megatara Tbk.</v>
      </c>
      <c r="C1072" s="61">
        <f>Ringkasan!C1069</f>
        <v>230</v>
      </c>
      <c r="D1072" s="60" t="str">
        <f>Ringkasan!D1069</f>
        <v>#N/A</v>
      </c>
      <c r="E1072" s="60" t="str">
        <f>Ringkasan!E1069</f>
        <v/>
      </c>
      <c r="F1072" s="60" t="str">
        <f>Ringkasan!F1069</f>
        <v/>
      </c>
      <c r="G1072" s="60">
        <f>Ringkasan!G1069</f>
        <v>0</v>
      </c>
      <c r="H1072" s="62">
        <f>Ringkasan!H1069</f>
        <v>30.8</v>
      </c>
      <c r="I1072" s="62">
        <f>Ringkasan!I1069</f>
        <v>0.83</v>
      </c>
      <c r="J1072" s="62">
        <f>Ringkasan!J1069</f>
        <v>2.7</v>
      </c>
      <c r="K1072" s="62">
        <f>Ringkasan!K1069</f>
        <v>1.1</v>
      </c>
      <c r="L1072" s="62">
        <f>Ringkasan!L1069</f>
        <v>1.4</v>
      </c>
      <c r="M1072" s="62">
        <f>Ringkasan!M1069</f>
        <v>2.1</v>
      </c>
      <c r="N1072" s="60" t="str">
        <f>Ringkasan!N1069</f>
        <v/>
      </c>
      <c r="O1072" s="60" t="str">
        <f>Ringkasan!O1069</f>
        <v/>
      </c>
      <c r="P1072" s="60" t="str">
        <f>Ringkasan!P1069</f>
        <v/>
      </c>
      <c r="Q1072" s="60" t="str">
        <f>Ringkasan!Q1069</f>
        <v/>
      </c>
      <c r="R1072" s="60" t="str">
        <f>Ringkasan!R1069</f>
        <v/>
      </c>
      <c r="S1072" s="60" t="str">
        <f>Ringkasan!S1069</f>
        <v/>
      </c>
      <c r="T1072" s="60" t="str">
        <f>Ringkasan!T1069</f>
        <v/>
      </c>
      <c r="U1072" s="60">
        <f>Ringkasan!U1069</f>
        <v>226</v>
      </c>
      <c r="V1072" s="60">
        <f>Ringkasan!V1069</f>
        <v>1.77</v>
      </c>
      <c r="W1072" s="60">
        <f>Ringkasan!W1069</f>
        <v>226</v>
      </c>
      <c r="X1072" s="60">
        <f>Ringkasan!X1069</f>
        <v>238</v>
      </c>
      <c r="Y1072" s="60">
        <f>Ringkasan!Y1069</f>
        <v>226</v>
      </c>
      <c r="Z1072" s="60">
        <f>Ringkasan!Z1069</f>
        <v>27500</v>
      </c>
      <c r="AA1072" s="60" t="str">
        <f>Ringkasan!AA1069</f>
        <v>Forestry &amp; Paper</v>
      </c>
      <c r="AB1072" s="60" t="str">
        <f>Ringkasan!AB1069</f>
        <v>Basic Materials</v>
      </c>
    </row>
    <row r="1073" hidden="1">
      <c r="A1073" s="60" t="str">
        <f>Ringkasan!A1070</f>
        <v>KOBX</v>
      </c>
      <c r="B1073" s="60" t="str">
        <f>Ringkasan!B1070</f>
        <v>Kobexindo Tractors Tbk.</v>
      </c>
      <c r="C1073" s="61">
        <f>Ringkasan!C1070</f>
        <v>142</v>
      </c>
      <c r="D1073" s="60" t="str">
        <f>Ringkasan!D1070</f>
        <v>#N/A</v>
      </c>
      <c r="E1073" s="60" t="str">
        <f>Ringkasan!E1070</f>
        <v/>
      </c>
      <c r="F1073" s="60" t="str">
        <f>Ringkasan!F1070</f>
        <v/>
      </c>
      <c r="G1073" s="60">
        <f>Ringkasan!G1070</f>
        <v>0</v>
      </c>
      <c r="H1073" s="62">
        <f>Ringkasan!H1070</f>
        <v>-2.8</v>
      </c>
      <c r="I1073" s="62">
        <f>Ringkasan!I1070</f>
        <v>0.67</v>
      </c>
      <c r="J1073" s="62">
        <f>Ringkasan!J1070</f>
        <v>-23.9</v>
      </c>
      <c r="K1073" s="62">
        <f>Ringkasan!K1070</f>
        <v>-3.8</v>
      </c>
      <c r="L1073" s="62">
        <f>Ringkasan!L1070</f>
        <v>5.3</v>
      </c>
      <c r="M1073" s="62">
        <f>Ringkasan!M1070</f>
        <v>-28.3</v>
      </c>
      <c r="N1073" s="60" t="str">
        <f>Ringkasan!N1070</f>
        <v/>
      </c>
      <c r="O1073" s="60" t="str">
        <f>Ringkasan!O1070</f>
        <v/>
      </c>
      <c r="P1073" s="60" t="str">
        <f>Ringkasan!P1070</f>
        <v/>
      </c>
      <c r="Q1073" s="60" t="str">
        <f>Ringkasan!Q1070</f>
        <v/>
      </c>
      <c r="R1073" s="60" t="str">
        <f>Ringkasan!R1070</f>
        <v/>
      </c>
      <c r="S1073" s="60" t="str">
        <f>Ringkasan!S1070</f>
        <v/>
      </c>
      <c r="T1073" s="60" t="str">
        <f>Ringkasan!T1070</f>
        <v/>
      </c>
      <c r="U1073" s="60">
        <f>Ringkasan!U1070</f>
        <v>141</v>
      </c>
      <c r="V1073" s="60">
        <f>Ringkasan!V1070</f>
        <v>0.71</v>
      </c>
      <c r="W1073" s="60">
        <f>Ringkasan!W1070</f>
        <v>141</v>
      </c>
      <c r="X1073" s="60">
        <f>Ringkasan!X1070</f>
        <v>147</v>
      </c>
      <c r="Y1073" s="60">
        <f>Ringkasan!Y1070</f>
        <v>141</v>
      </c>
      <c r="Z1073" s="60">
        <f>Ringkasan!Z1070</f>
        <v>2294600</v>
      </c>
      <c r="AA1073" s="60" t="str">
        <f>Ringkasan!AA1070</f>
        <v>Machinery</v>
      </c>
      <c r="AB1073" s="60" t="str">
        <f>Ringkasan!AB1070</f>
        <v>Industrials</v>
      </c>
    </row>
    <row r="1074" hidden="1">
      <c r="A1074" s="60" t="str">
        <f>Ringkasan!A1077</f>
        <v>KPIG</v>
      </c>
      <c r="B1074" s="60" t="str">
        <f>Ringkasan!B1077</f>
        <v>MNC Tourism Indonesia Tbk.</v>
      </c>
      <c r="C1074" s="61">
        <f>Ringkasan!C1077</f>
        <v>85</v>
      </c>
      <c r="D1074" s="60" t="str">
        <f>Ringkasan!D1077</f>
        <v>#N/A</v>
      </c>
      <c r="E1074" s="60" t="str">
        <f>Ringkasan!E1077</f>
        <v>IDX80</v>
      </c>
      <c r="F1074" s="60" t="str">
        <f>Ringkasan!F1077</f>
        <v>31 Juli 2026</v>
      </c>
      <c r="G1074" s="60">
        <f>Ringkasan!G1077</f>
        <v>6</v>
      </c>
      <c r="H1074" s="62">
        <f>Ringkasan!H1077</f>
        <v>12.4</v>
      </c>
      <c r="I1074" s="62">
        <f>Ringkasan!I1077</f>
        <v>0.32</v>
      </c>
      <c r="J1074" s="62">
        <f>Ringkasan!J1077</f>
        <v>2.6</v>
      </c>
      <c r="K1074" s="62">
        <f>Ringkasan!K1077</f>
        <v>2.1</v>
      </c>
      <c r="L1074" s="62">
        <f>Ringkasan!L1077</f>
        <v>0.24</v>
      </c>
      <c r="M1074" s="62">
        <f>Ringkasan!M1077</f>
        <v>130</v>
      </c>
      <c r="N1074" s="60" t="str">
        <f>Ringkasan!N1077</f>
        <v/>
      </c>
      <c r="O1074" s="60" t="str">
        <f>Ringkasan!O1077</f>
        <v/>
      </c>
      <c r="P1074" s="60" t="str">
        <f>Ringkasan!P1077</f>
        <v/>
      </c>
      <c r="Q1074" s="60" t="str">
        <f>Ringkasan!Q1077</f>
        <v/>
      </c>
      <c r="R1074" s="60" t="str">
        <f>Ringkasan!R1077</f>
        <v/>
      </c>
      <c r="S1074" s="60" t="str">
        <f>Ringkasan!S1077</f>
        <v/>
      </c>
      <c r="T1074" s="60" t="str">
        <f>Ringkasan!T1077</f>
        <v/>
      </c>
      <c r="U1074" s="60">
        <f>Ringkasan!U1077</f>
        <v>83</v>
      </c>
      <c r="V1074" s="60">
        <f>Ringkasan!V1077</f>
        <v>2.41</v>
      </c>
      <c r="W1074" s="60">
        <f>Ringkasan!W1077</f>
        <v>83</v>
      </c>
      <c r="X1074" s="60">
        <f>Ringkasan!X1077</f>
        <v>86</v>
      </c>
      <c r="Y1074" s="60">
        <f>Ringkasan!Y1077</f>
        <v>82</v>
      </c>
      <c r="Z1074" s="60">
        <f>Ringkasan!Z1077</f>
        <v>64987500</v>
      </c>
      <c r="AA1074" s="60" t="str">
        <f>Ringkasan!AA1077</f>
        <v>Tourism &amp; Recreation</v>
      </c>
      <c r="AB1074" s="60" t="str">
        <f>Ringkasan!AB1077</f>
        <v>Consumer Cyclicals</v>
      </c>
    </row>
    <row r="1075" hidden="1">
      <c r="A1075" s="64" t="str">
        <f>Ringkasan!A1104</f>
        <v>LMSH</v>
      </c>
      <c r="B1075" s="64" t="str">
        <f>Ringkasan!B1104</f>
        <v>Lionmesh Prima Tbk.</v>
      </c>
      <c r="C1075" s="67">
        <f>Ringkasan!C1104</f>
        <v>256</v>
      </c>
      <c r="D1075" s="22" t="str">
        <f>Ringkasan!D1104</f>
        <v>#N/A</v>
      </c>
      <c r="E1075" s="64" t="str">
        <f>Ringkasan!E1104</f>
        <v/>
      </c>
      <c r="F1075" s="64" t="str">
        <f>Ringkasan!F1104</f>
        <v/>
      </c>
      <c r="G1075" s="64">
        <f>Ringkasan!G1104</f>
        <v>0</v>
      </c>
      <c r="H1075" s="19">
        <f>Ringkasan!H1104</f>
        <v>-5.1</v>
      </c>
      <c r="I1075" s="19">
        <f>Ringkasan!I1104</f>
        <v>0.27</v>
      </c>
      <c r="J1075" s="19">
        <f>Ringkasan!J1104</f>
        <v>-5.3</v>
      </c>
      <c r="K1075" s="19">
        <f>Ringkasan!K1104</f>
        <v>-4.4</v>
      </c>
      <c r="L1075" s="19">
        <f>Ringkasan!L1104</f>
        <v>0.18</v>
      </c>
      <c r="M1075" s="19">
        <f>Ringkasan!M1104</f>
        <v>-27.9</v>
      </c>
      <c r="N1075" s="64" t="str">
        <f>Ringkasan!N1104</f>
        <v/>
      </c>
      <c r="O1075" s="64" t="str">
        <f>Ringkasan!O1104</f>
        <v/>
      </c>
      <c r="P1075" s="64" t="str">
        <f>Ringkasan!P1104</f>
        <v/>
      </c>
      <c r="Q1075" s="64" t="str">
        <f>Ringkasan!Q1104</f>
        <v/>
      </c>
      <c r="R1075" s="64" t="str">
        <f>Ringkasan!R1104</f>
        <v/>
      </c>
      <c r="S1075" s="64" t="str">
        <f>Ringkasan!S1104</f>
        <v/>
      </c>
      <c r="T1075" s="64" t="str">
        <f>Ringkasan!T1104</f>
        <v/>
      </c>
      <c r="U1075" s="22">
        <f>Ringkasan!U1104</f>
        <v>256</v>
      </c>
      <c r="V1075" s="22">
        <f>Ringkasan!V1104</f>
        <v>0</v>
      </c>
      <c r="W1075" s="22" t="str">
        <f>Ringkasan!W1104</f>
        <v/>
      </c>
      <c r="X1075" s="22" t="str">
        <f>Ringkasan!X1104</f>
        <v/>
      </c>
      <c r="Y1075" s="22" t="str">
        <f>Ringkasan!Y1104</f>
        <v/>
      </c>
      <c r="Z1075" s="22">
        <f>Ringkasan!Z1104</f>
        <v>0</v>
      </c>
      <c r="AA1075" s="64" t="str">
        <f>Ringkasan!AA1104</f>
        <v>Metals &amp; Minerals</v>
      </c>
      <c r="AB1075" s="64" t="str">
        <f>Ringkasan!AB1104</f>
        <v>Basic Materials</v>
      </c>
    </row>
    <row r="1076">
      <c r="A1076" s="60" t="str">
        <f>Ringkasan!A1058</f>
        <v>KLBF</v>
      </c>
      <c r="B1076" s="60" t="str">
        <f>Ringkasan!B1058</f>
        <v>Kalbe Farma Tbk.</v>
      </c>
      <c r="C1076" s="61">
        <f>Ringkasan!C1058</f>
        <v>740</v>
      </c>
      <c r="D1076" s="60" t="str">
        <f>Ringkasan!D1058</f>
        <v>#N/A</v>
      </c>
      <c r="E1076" s="60" t="str">
        <f>Ringkasan!E1058</f>
        <v>BISNIS-27</v>
      </c>
      <c r="F1076" s="60" t="str">
        <f>Ringkasan!F1058</f>
        <v>30 Oktober 2026</v>
      </c>
      <c r="G1076" s="61">
        <f>Ringkasan!G1058</f>
        <v>17</v>
      </c>
      <c r="H1076" s="62">
        <f>Ringkasan!H1058</f>
        <v>10</v>
      </c>
      <c r="I1076" s="62">
        <f>Ringkasan!I1058</f>
        <v>1.4</v>
      </c>
      <c r="J1076" s="62">
        <f>Ringkasan!J1058</f>
        <v>14.1</v>
      </c>
      <c r="K1076" s="62">
        <f>Ringkasan!K1058</f>
        <v>11.3</v>
      </c>
      <c r="L1076" s="62">
        <f>Ringkasan!L1058</f>
        <v>0.24</v>
      </c>
      <c r="M1076" s="62">
        <f>Ringkasan!M1058</f>
        <v>37.4</v>
      </c>
      <c r="N1076" s="60" t="str">
        <f>Ringkasan!N1058</f>
        <v/>
      </c>
      <c r="O1076" s="60" t="str">
        <f>Ringkasan!O1058</f>
        <v/>
      </c>
      <c r="P1076" s="60" t="str">
        <f>Ringkasan!P1058</f>
        <v/>
      </c>
      <c r="Q1076" s="60" t="str">
        <f>Ringkasan!Q1058</f>
        <v/>
      </c>
      <c r="R1076" s="60" t="str">
        <f>Ringkasan!R1058</f>
        <v/>
      </c>
      <c r="S1076" s="60" t="str">
        <f>Ringkasan!S1058</f>
        <v/>
      </c>
      <c r="T1076" s="60" t="str">
        <f>Ringkasan!T1058</f>
        <v/>
      </c>
      <c r="U1076" s="60">
        <f>Ringkasan!U1058</f>
        <v>725</v>
      </c>
      <c r="V1076" s="60">
        <f>Ringkasan!V1058</f>
        <v>2.07</v>
      </c>
      <c r="W1076" s="60">
        <f>Ringkasan!W1058</f>
        <v>760</v>
      </c>
      <c r="X1076" s="60">
        <f>Ringkasan!X1058</f>
        <v>760</v>
      </c>
      <c r="Y1076" s="60">
        <f>Ringkasan!Y1058</f>
        <v>715</v>
      </c>
      <c r="Z1076" s="60">
        <f>Ringkasan!Z1058</f>
        <v>92741200</v>
      </c>
      <c r="AA1076" s="60" t="str">
        <f>Ringkasan!AA1058</f>
        <v>Pharmaceuticals</v>
      </c>
      <c r="AB1076" s="60" t="str">
        <f>Ringkasan!AB1058</f>
        <v>Healthcare</v>
      </c>
    </row>
    <row r="1077" hidden="1">
      <c r="A1077" s="64" t="str">
        <f>Ringkasan!A604</f>
        <v>DKHH</v>
      </c>
      <c r="B1077" s="64" t="str">
        <f>Ringkasan!B604</f>
        <v>PT Cipta Sarana Medika Tbk</v>
      </c>
      <c r="C1077" s="67">
        <f>Ringkasan!C604</f>
        <v>56</v>
      </c>
      <c r="D1077" s="22" t="str">
        <f>Ringkasan!D604</f>
        <v>#N/A</v>
      </c>
      <c r="E1077" s="64" t="str">
        <f>Ringkasan!E604</f>
        <v/>
      </c>
      <c r="F1077" s="64" t="str">
        <f>Ringkasan!F604</f>
        <v/>
      </c>
      <c r="G1077" s="64">
        <f>Ringkasan!G604</f>
        <v>0</v>
      </c>
      <c r="H1077" s="19">
        <f>Ringkasan!H604</f>
        <v>31.1</v>
      </c>
      <c r="I1077" s="19">
        <f>Ringkasan!I604</f>
        <v>0.77</v>
      </c>
      <c r="J1077" s="19">
        <f>Ringkasan!J604</f>
        <v>2.5</v>
      </c>
      <c r="K1077" s="19">
        <f>Ringkasan!K604</f>
        <v>1.6</v>
      </c>
      <c r="L1077" s="19">
        <f>Ringkasan!L604</f>
        <v>0.52</v>
      </c>
      <c r="M1077" s="19">
        <f>Ringkasan!M604</f>
        <v>13.8</v>
      </c>
      <c r="N1077" s="64" t="str">
        <f>Ringkasan!N604</f>
        <v/>
      </c>
      <c r="O1077" s="64" t="str">
        <f>Ringkasan!O604</f>
        <v/>
      </c>
      <c r="P1077" s="64" t="str">
        <f>Ringkasan!P604</f>
        <v/>
      </c>
      <c r="Q1077" s="64" t="str">
        <f>Ringkasan!Q604</f>
        <v/>
      </c>
      <c r="R1077" s="64" t="str">
        <f>Ringkasan!R604</f>
        <v/>
      </c>
      <c r="S1077" s="64" t="str">
        <f>Ringkasan!S604</f>
        <v/>
      </c>
      <c r="T1077" s="64" t="str">
        <f>Ringkasan!T604</f>
        <v/>
      </c>
      <c r="U1077" s="22">
        <f>Ringkasan!U604</f>
        <v>55</v>
      </c>
      <c r="V1077" s="22">
        <f>Ringkasan!V604</f>
        <v>1.82</v>
      </c>
      <c r="W1077" s="22">
        <f>Ringkasan!W604</f>
        <v>56</v>
      </c>
      <c r="X1077" s="22">
        <f>Ringkasan!X604</f>
        <v>58</v>
      </c>
      <c r="Y1077" s="22">
        <f>Ringkasan!Y604</f>
        <v>55</v>
      </c>
      <c r="Z1077" s="22">
        <f>Ringkasan!Z604</f>
        <v>5810600</v>
      </c>
      <c r="AA1077" s="64" t="str">
        <f>Ringkasan!AA604</f>
        <v>Healthcare Providers</v>
      </c>
      <c r="AB1077" s="64" t="str">
        <f>Ringkasan!AB604</f>
        <v>Healthcare</v>
      </c>
    </row>
    <row r="1078" hidden="1">
      <c r="A1078" s="60" t="str">
        <f>Ringkasan!A651</f>
        <v>ELSA</v>
      </c>
      <c r="B1078" s="60" t="str">
        <f>Ringkasan!B651</f>
        <v>Elnusa Tbk.</v>
      </c>
      <c r="C1078" s="61">
        <f>Ringkasan!C651</f>
        <v>620</v>
      </c>
      <c r="D1078" s="60" t="str">
        <f>Ringkasan!D651</f>
        <v>#N/A</v>
      </c>
      <c r="E1078" s="60" t="str">
        <f>Ringkasan!E651</f>
        <v>SMINFRA18</v>
      </c>
      <c r="F1078" s="60" t="str">
        <f>Ringkasan!F651</f>
        <v>30 Oktober 2026</v>
      </c>
      <c r="G1078" s="60">
        <f>Ringkasan!G651</f>
        <v>10</v>
      </c>
      <c r="H1078" s="62">
        <f>Ringkasan!H651</f>
        <v>6.2</v>
      </c>
      <c r="I1078" s="62">
        <f>Ringkasan!I651</f>
        <v>0.81</v>
      </c>
      <c r="J1078" s="62">
        <f>Ringkasan!J651</f>
        <v>13.1</v>
      </c>
      <c r="K1078" s="62">
        <f>Ringkasan!K651</f>
        <v>6.6</v>
      </c>
      <c r="L1078" s="62">
        <f>Ringkasan!L651</f>
        <v>1</v>
      </c>
      <c r="M1078" s="62">
        <f>Ringkasan!M651</f>
        <v>19.9</v>
      </c>
      <c r="N1078" s="60" t="str">
        <f>Ringkasan!N651</f>
        <v/>
      </c>
      <c r="O1078" s="60" t="str">
        <f>Ringkasan!O651</f>
        <v/>
      </c>
      <c r="P1078" s="60" t="str">
        <f>Ringkasan!P651</f>
        <v/>
      </c>
      <c r="Q1078" s="60" t="str">
        <f>Ringkasan!Q651</f>
        <v/>
      </c>
      <c r="R1078" s="60" t="str">
        <f>Ringkasan!R651</f>
        <v/>
      </c>
      <c r="S1078" s="60" t="str">
        <f>Ringkasan!S651</f>
        <v/>
      </c>
      <c r="T1078" s="60" t="str">
        <f>Ringkasan!T651</f>
        <v/>
      </c>
      <c r="U1078" s="60">
        <f>Ringkasan!U651</f>
        <v>2.24</v>
      </c>
      <c r="V1078" s="60">
        <f>Ringkasan!V651</f>
        <v>0</v>
      </c>
      <c r="W1078" s="60" t="str">
        <f>Ringkasan!W651</f>
        <v/>
      </c>
      <c r="X1078" s="60" t="str">
        <f>Ringkasan!X651</f>
        <v/>
      </c>
      <c r="Y1078" s="60" t="str">
        <f>Ringkasan!Y651</f>
        <v/>
      </c>
      <c r="Z1078" s="60">
        <f>Ringkasan!Z651</f>
        <v>0</v>
      </c>
      <c r="AA1078" s="60" t="str">
        <f>Ringkasan!AA651</f>
        <v>Oil, Gas &amp; Coal Supports</v>
      </c>
      <c r="AB1078" s="60" t="str">
        <f>Ringkasan!AB651</f>
        <v>Energy</v>
      </c>
    </row>
    <row r="1079" hidden="1">
      <c r="A1079" s="64" t="str">
        <f>Ringkasan!A1078</f>
        <v>KPIG</v>
      </c>
      <c r="B1079" s="64" t="str">
        <f>Ringkasan!B1078</f>
        <v>MNC Tourism Indonesia Tbk.</v>
      </c>
      <c r="C1079" s="67">
        <f>Ringkasan!C1078</f>
        <v>85</v>
      </c>
      <c r="D1079" s="22" t="str">
        <f>Ringkasan!D1078</f>
        <v>#N/A</v>
      </c>
      <c r="E1079" s="64" t="str">
        <f>Ringkasan!E1078</f>
        <v>Kompas100</v>
      </c>
      <c r="F1079" s="64" t="str">
        <f>Ringkasan!F1078</f>
        <v>31 Juli 2026</v>
      </c>
      <c r="G1079" s="64">
        <f>Ringkasan!G1078</f>
        <v>6</v>
      </c>
      <c r="H1079" s="19">
        <f>Ringkasan!H1078</f>
        <v>12.4</v>
      </c>
      <c r="I1079" s="19">
        <f>Ringkasan!I1078</f>
        <v>0.32</v>
      </c>
      <c r="J1079" s="19">
        <f>Ringkasan!J1078</f>
        <v>2.6</v>
      </c>
      <c r="K1079" s="19">
        <f>Ringkasan!K1078</f>
        <v>2.1</v>
      </c>
      <c r="L1079" s="19">
        <f>Ringkasan!L1078</f>
        <v>0.24</v>
      </c>
      <c r="M1079" s="19">
        <f>Ringkasan!M1078</f>
        <v>130</v>
      </c>
      <c r="N1079" s="64" t="str">
        <f>Ringkasan!N1078</f>
        <v/>
      </c>
      <c r="O1079" s="64" t="str">
        <f>Ringkasan!O1078</f>
        <v/>
      </c>
      <c r="P1079" s="64" t="str">
        <f>Ringkasan!P1078</f>
        <v/>
      </c>
      <c r="Q1079" s="64" t="str">
        <f>Ringkasan!Q1078</f>
        <v/>
      </c>
      <c r="R1079" s="64" t="str">
        <f>Ringkasan!R1078</f>
        <v/>
      </c>
      <c r="S1079" s="64" t="str">
        <f>Ringkasan!S1078</f>
        <v/>
      </c>
      <c r="T1079" s="64" t="str">
        <f>Ringkasan!T1078</f>
        <v/>
      </c>
      <c r="U1079" s="22">
        <f>Ringkasan!U1078</f>
        <v>83</v>
      </c>
      <c r="V1079" s="22">
        <f>Ringkasan!V1078</f>
        <v>2.41</v>
      </c>
      <c r="W1079" s="22">
        <f>Ringkasan!W1078</f>
        <v>83</v>
      </c>
      <c r="X1079" s="22">
        <f>Ringkasan!X1078</f>
        <v>86</v>
      </c>
      <c r="Y1079" s="22">
        <f>Ringkasan!Y1078</f>
        <v>82</v>
      </c>
      <c r="Z1079" s="22">
        <f>Ringkasan!Z1078</f>
        <v>64987500</v>
      </c>
      <c r="AA1079" s="64" t="str">
        <f>Ringkasan!AA1078</f>
        <v>Tourism &amp; Recreation</v>
      </c>
      <c r="AB1079" s="64" t="str">
        <f>Ringkasan!AB1078</f>
        <v>Consumer Cyclicals</v>
      </c>
    </row>
    <row r="1080" hidden="1">
      <c r="A1080" s="64" t="str">
        <f>Ringkasan!A1079</f>
        <v>KPIG</v>
      </c>
      <c r="B1080" s="64" t="str">
        <f>Ringkasan!B1079</f>
        <v>MNC Tourism Indonesia Tbk.</v>
      </c>
      <c r="C1080" s="67">
        <f>Ringkasan!C1079</f>
        <v>85</v>
      </c>
      <c r="D1080" s="22" t="str">
        <f>Ringkasan!D1079</f>
        <v>#N/A</v>
      </c>
      <c r="E1080" s="64" t="str">
        <f>Ringkasan!E1079</f>
        <v>IDXV30</v>
      </c>
      <c r="F1080" s="64" t="str">
        <f>Ringkasan!F1079</f>
        <v>4 Agustus 2026</v>
      </c>
      <c r="G1080" s="64">
        <f>Ringkasan!G1079</f>
        <v>6</v>
      </c>
      <c r="H1080" s="19">
        <f>Ringkasan!H1079</f>
        <v>12.4</v>
      </c>
      <c r="I1080" s="19">
        <f>Ringkasan!I1079</f>
        <v>0.32</v>
      </c>
      <c r="J1080" s="19">
        <f>Ringkasan!J1079</f>
        <v>2.6</v>
      </c>
      <c r="K1080" s="19">
        <f>Ringkasan!K1079</f>
        <v>2.1</v>
      </c>
      <c r="L1080" s="19">
        <f>Ringkasan!L1079</f>
        <v>0.24</v>
      </c>
      <c r="M1080" s="19">
        <f>Ringkasan!M1079</f>
        <v>130</v>
      </c>
      <c r="N1080" s="64" t="str">
        <f>Ringkasan!N1079</f>
        <v/>
      </c>
      <c r="O1080" s="64" t="str">
        <f>Ringkasan!O1079</f>
        <v/>
      </c>
      <c r="P1080" s="64" t="str">
        <f>Ringkasan!P1079</f>
        <v/>
      </c>
      <c r="Q1080" s="64" t="str">
        <f>Ringkasan!Q1079</f>
        <v/>
      </c>
      <c r="R1080" s="64" t="str">
        <f>Ringkasan!R1079</f>
        <v/>
      </c>
      <c r="S1080" s="64" t="str">
        <f>Ringkasan!S1079</f>
        <v/>
      </c>
      <c r="T1080" s="64" t="str">
        <f>Ringkasan!T1079</f>
        <v/>
      </c>
      <c r="U1080" s="22">
        <f>Ringkasan!U1079</f>
        <v>83</v>
      </c>
      <c r="V1080" s="22">
        <f>Ringkasan!V1079</f>
        <v>2.41</v>
      </c>
      <c r="W1080" s="22">
        <f>Ringkasan!W1079</f>
        <v>83</v>
      </c>
      <c r="X1080" s="22">
        <f>Ringkasan!X1079</f>
        <v>86</v>
      </c>
      <c r="Y1080" s="22">
        <f>Ringkasan!Y1079</f>
        <v>82</v>
      </c>
      <c r="Z1080" s="22">
        <f>Ringkasan!Z1079</f>
        <v>64987500</v>
      </c>
      <c r="AA1080" s="64" t="str">
        <f>Ringkasan!AA1079</f>
        <v>Tourism &amp; Recreation</v>
      </c>
      <c r="AB1080" s="64" t="str">
        <f>Ringkasan!AB1079</f>
        <v>Consumer Cyclicals</v>
      </c>
    </row>
    <row r="1081" hidden="1">
      <c r="A1081" s="64" t="str">
        <f>Ringkasan!A1080</f>
        <v>KPIG</v>
      </c>
      <c r="B1081" s="64" t="str">
        <f>Ringkasan!B1080</f>
        <v>MNC Tourism Indonesia Tbk.</v>
      </c>
      <c r="C1081" s="67">
        <f>Ringkasan!C1080</f>
        <v>85</v>
      </c>
      <c r="D1081" s="22" t="str">
        <f>Ringkasan!D1080</f>
        <v>#N/A</v>
      </c>
      <c r="E1081" s="64" t="str">
        <f>Ringkasan!E1080</f>
        <v>IDXESGL</v>
      </c>
      <c r="F1081" s="64" t="str">
        <f>Ringkasan!F1080</f>
        <v>30 Oktober 2026</v>
      </c>
      <c r="G1081" s="64">
        <f>Ringkasan!G1080</f>
        <v>6</v>
      </c>
      <c r="H1081" s="19">
        <f>Ringkasan!H1080</f>
        <v>12.4</v>
      </c>
      <c r="I1081" s="19">
        <f>Ringkasan!I1080</f>
        <v>0.32</v>
      </c>
      <c r="J1081" s="19">
        <f>Ringkasan!J1080</f>
        <v>2.6</v>
      </c>
      <c r="K1081" s="19">
        <f>Ringkasan!K1080</f>
        <v>2.1</v>
      </c>
      <c r="L1081" s="19">
        <f>Ringkasan!L1080</f>
        <v>0.24</v>
      </c>
      <c r="M1081" s="19">
        <f>Ringkasan!M1080</f>
        <v>130</v>
      </c>
      <c r="N1081" s="64" t="str">
        <f>Ringkasan!N1080</f>
        <v/>
      </c>
      <c r="O1081" s="64" t="str">
        <f>Ringkasan!O1080</f>
        <v/>
      </c>
      <c r="P1081" s="64" t="str">
        <f>Ringkasan!P1080</f>
        <v/>
      </c>
      <c r="Q1081" s="64" t="str">
        <f>Ringkasan!Q1080</f>
        <v/>
      </c>
      <c r="R1081" s="64" t="str">
        <f>Ringkasan!R1080</f>
        <v/>
      </c>
      <c r="S1081" s="64" t="str">
        <f>Ringkasan!S1080</f>
        <v/>
      </c>
      <c r="T1081" s="64" t="str">
        <f>Ringkasan!T1080</f>
        <v/>
      </c>
      <c r="U1081" s="22">
        <f>Ringkasan!U1080</f>
        <v>83</v>
      </c>
      <c r="V1081" s="22">
        <f>Ringkasan!V1080</f>
        <v>2.41</v>
      </c>
      <c r="W1081" s="22">
        <f>Ringkasan!W1080</f>
        <v>83</v>
      </c>
      <c r="X1081" s="22">
        <f>Ringkasan!X1080</f>
        <v>86</v>
      </c>
      <c r="Y1081" s="22">
        <f>Ringkasan!Y1080</f>
        <v>82</v>
      </c>
      <c r="Z1081" s="22">
        <f>Ringkasan!Z1080</f>
        <v>64987500</v>
      </c>
      <c r="AA1081" s="64" t="str">
        <f>Ringkasan!AA1080</f>
        <v>Tourism &amp; Recreation</v>
      </c>
      <c r="AB1081" s="64" t="str">
        <f>Ringkasan!AB1080</f>
        <v>Consumer Cyclicals</v>
      </c>
    </row>
    <row r="1082" hidden="1">
      <c r="A1082" s="64" t="str">
        <f>Ringkasan!A1081</f>
        <v>KPIG</v>
      </c>
      <c r="B1082" s="64" t="str">
        <f>Ringkasan!B1081</f>
        <v>MNC Tourism Indonesia Tbk.</v>
      </c>
      <c r="C1082" s="67">
        <f>Ringkasan!C1081</f>
        <v>85</v>
      </c>
      <c r="D1082" s="22" t="str">
        <f>Ringkasan!D1081</f>
        <v>#N/A</v>
      </c>
      <c r="E1082" s="64" t="str">
        <f>Ringkasan!E1081</f>
        <v>MSCI Small Cap</v>
      </c>
      <c r="F1082" s="64" t="str">
        <f>Ringkasan!F1081</f>
        <v>12 Agustus 2026</v>
      </c>
      <c r="G1082" s="64">
        <f>Ringkasan!G1081</f>
        <v>6</v>
      </c>
      <c r="H1082" s="19">
        <f>Ringkasan!H1081</f>
        <v>12.4</v>
      </c>
      <c r="I1082" s="19">
        <f>Ringkasan!I1081</f>
        <v>0.32</v>
      </c>
      <c r="J1082" s="19">
        <f>Ringkasan!J1081</f>
        <v>2.6</v>
      </c>
      <c r="K1082" s="19">
        <f>Ringkasan!K1081</f>
        <v>2.1</v>
      </c>
      <c r="L1082" s="19">
        <f>Ringkasan!L1081</f>
        <v>0.24</v>
      </c>
      <c r="M1082" s="19">
        <f>Ringkasan!M1081</f>
        <v>130</v>
      </c>
      <c r="N1082" s="64" t="str">
        <f>Ringkasan!N1081</f>
        <v/>
      </c>
      <c r="O1082" s="64" t="str">
        <f>Ringkasan!O1081</f>
        <v/>
      </c>
      <c r="P1082" s="64" t="str">
        <f>Ringkasan!P1081</f>
        <v/>
      </c>
      <c r="Q1082" s="64" t="str">
        <f>Ringkasan!Q1081</f>
        <v/>
      </c>
      <c r="R1082" s="64" t="str">
        <f>Ringkasan!R1081</f>
        <v/>
      </c>
      <c r="S1082" s="64" t="str">
        <f>Ringkasan!S1081</f>
        <v/>
      </c>
      <c r="T1082" s="64" t="str">
        <f>Ringkasan!T1081</f>
        <v/>
      </c>
      <c r="U1082" s="22">
        <f>Ringkasan!U1081</f>
        <v>83</v>
      </c>
      <c r="V1082" s="22">
        <f>Ringkasan!V1081</f>
        <v>2.41</v>
      </c>
      <c r="W1082" s="22">
        <f>Ringkasan!W1081</f>
        <v>83</v>
      </c>
      <c r="X1082" s="22">
        <f>Ringkasan!X1081</f>
        <v>86</v>
      </c>
      <c r="Y1082" s="22">
        <f>Ringkasan!Y1081</f>
        <v>82</v>
      </c>
      <c r="Z1082" s="22">
        <f>Ringkasan!Z1081</f>
        <v>64987500</v>
      </c>
      <c r="AA1082" s="64" t="str">
        <f>Ringkasan!AA1081</f>
        <v>Tourism &amp; Recreation</v>
      </c>
      <c r="AB1082" s="64" t="str">
        <f>Ringkasan!AB1081</f>
        <v>Consumer Cyclicals</v>
      </c>
    </row>
    <row r="1083" hidden="1">
      <c r="A1083" s="64" t="str">
        <f>Ringkasan!A1082</f>
        <v>KPIG</v>
      </c>
      <c r="B1083" s="64" t="str">
        <f>Ringkasan!B1082</f>
        <v>MNC Tourism Indonesia Tbk.</v>
      </c>
      <c r="C1083" s="67">
        <f>Ringkasan!C1082</f>
        <v>85</v>
      </c>
      <c r="D1083" s="22" t="str">
        <f>Ringkasan!D1082</f>
        <v>#N/A</v>
      </c>
      <c r="E1083" s="64" t="str">
        <f>Ringkasan!E1082</f>
        <v>JII70</v>
      </c>
      <c r="F1083" s="66">
        <f>Ringkasan!F1082</f>
        <v>46356</v>
      </c>
      <c r="G1083" s="64">
        <f>Ringkasan!G1082</f>
        <v>6</v>
      </c>
      <c r="H1083" s="19">
        <f>Ringkasan!H1082</f>
        <v>12.4</v>
      </c>
      <c r="I1083" s="19">
        <f>Ringkasan!I1082</f>
        <v>0.32</v>
      </c>
      <c r="J1083" s="19">
        <f>Ringkasan!J1082</f>
        <v>2.6</v>
      </c>
      <c r="K1083" s="19">
        <f>Ringkasan!K1082</f>
        <v>2.1</v>
      </c>
      <c r="L1083" s="19">
        <f>Ringkasan!L1082</f>
        <v>0.24</v>
      </c>
      <c r="M1083" s="19">
        <f>Ringkasan!M1082</f>
        <v>130</v>
      </c>
      <c r="N1083" s="64" t="str">
        <f>Ringkasan!N1082</f>
        <v/>
      </c>
      <c r="O1083" s="64" t="str">
        <f>Ringkasan!O1082</f>
        <v/>
      </c>
      <c r="P1083" s="64" t="str">
        <f>Ringkasan!P1082</f>
        <v/>
      </c>
      <c r="Q1083" s="64" t="str">
        <f>Ringkasan!Q1082</f>
        <v/>
      </c>
      <c r="R1083" s="64" t="str">
        <f>Ringkasan!R1082</f>
        <v/>
      </c>
      <c r="S1083" s="64" t="str">
        <f>Ringkasan!S1082</f>
        <v/>
      </c>
      <c r="T1083" s="64" t="str">
        <f>Ringkasan!T1082</f>
        <v/>
      </c>
      <c r="U1083" s="22">
        <f>Ringkasan!U1082</f>
        <v>83</v>
      </c>
      <c r="V1083" s="22">
        <f>Ringkasan!V1082</f>
        <v>2.41</v>
      </c>
      <c r="W1083" s="22">
        <f>Ringkasan!W1082</f>
        <v>83</v>
      </c>
      <c r="X1083" s="22">
        <f>Ringkasan!X1082</f>
        <v>86</v>
      </c>
      <c r="Y1083" s="22">
        <f>Ringkasan!Y1082</f>
        <v>82</v>
      </c>
      <c r="Z1083" s="22">
        <f>Ringkasan!Z1082</f>
        <v>64987500</v>
      </c>
      <c r="AA1083" s="64" t="str">
        <f>Ringkasan!AA1082</f>
        <v>Tourism &amp; Recreation</v>
      </c>
      <c r="AB1083" s="64" t="str">
        <f>Ringkasan!AB1082</f>
        <v>Consumer Cyclicals</v>
      </c>
    </row>
    <row r="1084" hidden="1">
      <c r="A1084" s="64" t="str">
        <f>Ringkasan!A1083</f>
        <v>KRAS</v>
      </c>
      <c r="B1084" s="64" t="str">
        <f>Ringkasan!B1083</f>
        <v>Krakatau Steel (Persero) Tbk.</v>
      </c>
      <c r="C1084" s="65">
        <f>Ringkasan!C1083</f>
        <v>195</v>
      </c>
      <c r="D1084" s="64" t="str">
        <f>Ringkasan!D1083</f>
        <v>#N/A</v>
      </c>
      <c r="E1084" s="64" t="str">
        <f>Ringkasan!E1083</f>
        <v/>
      </c>
      <c r="F1084" s="64" t="str">
        <f>Ringkasan!F1083</f>
        <v/>
      </c>
      <c r="G1084" s="64">
        <f>Ringkasan!G1083</f>
        <v>0</v>
      </c>
      <c r="H1084" s="19">
        <f>Ringkasan!H1083</f>
        <v>0.66</v>
      </c>
      <c r="I1084" s="19">
        <f>Ringkasan!I1083</f>
        <v>0.33</v>
      </c>
      <c r="J1084" s="19">
        <f>Ringkasan!J1083</f>
        <v>49.6</v>
      </c>
      <c r="K1084" s="19">
        <f>Ringkasan!K1083</f>
        <v>12.7</v>
      </c>
      <c r="L1084" s="19">
        <f>Ringkasan!L1083</f>
        <v>2.9</v>
      </c>
      <c r="M1084" s="19">
        <f>Ringkasan!M1083</f>
        <v>140</v>
      </c>
      <c r="N1084" s="64" t="str">
        <f>Ringkasan!N1083</f>
        <v/>
      </c>
      <c r="O1084" s="64" t="str">
        <f>Ringkasan!O1083</f>
        <v/>
      </c>
      <c r="P1084" s="64" t="str">
        <f>Ringkasan!P1083</f>
        <v/>
      </c>
      <c r="Q1084" s="64" t="str">
        <f>Ringkasan!Q1083</f>
        <v/>
      </c>
      <c r="R1084" s="64" t="str">
        <f>Ringkasan!R1083</f>
        <v/>
      </c>
      <c r="S1084" s="64" t="str">
        <f>Ringkasan!S1083</f>
        <v/>
      </c>
      <c r="T1084" s="64" t="str">
        <f>Ringkasan!T1083</f>
        <v/>
      </c>
      <c r="U1084" s="64">
        <f>Ringkasan!U1083</f>
        <v>195</v>
      </c>
      <c r="V1084" s="64">
        <f>Ringkasan!V1083</f>
        <v>0</v>
      </c>
      <c r="W1084" s="64">
        <f>Ringkasan!W1083</f>
        <v>195</v>
      </c>
      <c r="X1084" s="64">
        <f>Ringkasan!X1083</f>
        <v>202</v>
      </c>
      <c r="Y1084" s="64">
        <f>Ringkasan!Y1083</f>
        <v>192</v>
      </c>
      <c r="Z1084" s="64">
        <f>Ringkasan!Z1083</f>
        <v>11265300</v>
      </c>
      <c r="AA1084" s="64" t="str">
        <f>Ringkasan!AA1083</f>
        <v>Metals &amp; Minerals</v>
      </c>
      <c r="AB1084" s="64" t="str">
        <f>Ringkasan!AB1083</f>
        <v>Basic Materials</v>
      </c>
    </row>
    <row r="1085" hidden="1">
      <c r="A1085" s="64" t="str">
        <f>Ringkasan!A1084</f>
        <v>KREN</v>
      </c>
      <c r="B1085" s="64" t="str">
        <f>Ringkasan!B1084</f>
        <v>Quantum Clovera Investama Tbk.</v>
      </c>
      <c r="C1085" s="67">
        <f>Ringkasan!C1084</f>
        <v>13</v>
      </c>
      <c r="D1085" s="22" t="str">
        <f>Ringkasan!D1084</f>
        <v>#N/A</v>
      </c>
      <c r="E1085" s="64" t="str">
        <f>Ringkasan!E1084</f>
        <v/>
      </c>
      <c r="F1085" s="64" t="str">
        <f>Ringkasan!F1084</f>
        <v/>
      </c>
      <c r="G1085" s="64">
        <f>Ringkasan!G1084</f>
        <v>0</v>
      </c>
      <c r="H1085" s="19">
        <f>Ringkasan!H1084</f>
        <v>-1.9</v>
      </c>
      <c r="I1085" s="19">
        <f>Ringkasan!I1084</f>
        <v>0.16</v>
      </c>
      <c r="J1085" s="19">
        <f>Ringkasan!J1084</f>
        <v>-8.7</v>
      </c>
      <c r="K1085" s="19">
        <f>Ringkasan!K1084</f>
        <v>-6</v>
      </c>
      <c r="L1085" s="19">
        <f>Ringkasan!L1084</f>
        <v>0.45</v>
      </c>
      <c r="M1085" s="19">
        <f>Ringkasan!M1084</f>
        <v>-19.4</v>
      </c>
      <c r="N1085" s="64" t="str">
        <f>Ringkasan!N1084</f>
        <v/>
      </c>
      <c r="O1085" s="64" t="str">
        <f>Ringkasan!O1084</f>
        <v/>
      </c>
      <c r="P1085" s="64" t="str">
        <f>Ringkasan!P1084</f>
        <v/>
      </c>
      <c r="Q1085" s="64" t="str">
        <f>Ringkasan!Q1084</f>
        <v/>
      </c>
      <c r="R1085" s="64" t="str">
        <f>Ringkasan!R1084</f>
        <v/>
      </c>
      <c r="S1085" s="64" t="str">
        <f>Ringkasan!S1084</f>
        <v/>
      </c>
      <c r="T1085" s="64" t="str">
        <f>Ringkasan!T1084</f>
        <v/>
      </c>
      <c r="U1085" s="22">
        <f>Ringkasan!U1084</f>
        <v>12</v>
      </c>
      <c r="V1085" s="22">
        <f>Ringkasan!V1084</f>
        <v>8.33</v>
      </c>
      <c r="W1085" s="22">
        <f>Ringkasan!W1084</f>
        <v>13</v>
      </c>
      <c r="X1085" s="22">
        <f>Ringkasan!X1084</f>
        <v>13</v>
      </c>
      <c r="Y1085" s="22">
        <f>Ringkasan!Y1084</f>
        <v>13</v>
      </c>
      <c r="Z1085" s="22">
        <f>Ringkasan!Z1084</f>
        <v>23808700</v>
      </c>
      <c r="AA1085" s="64" t="str">
        <f>Ringkasan!AA1084</f>
        <v>Online Applications &amp; Services</v>
      </c>
      <c r="AB1085" s="64" t="str">
        <f>Ringkasan!AB1084</f>
        <v>Technology</v>
      </c>
    </row>
    <row r="1086" hidden="1">
      <c r="A1086" s="64" t="str">
        <f>Ringkasan!A1085</f>
        <v>KRYA</v>
      </c>
      <c r="B1086" s="64" t="str">
        <f>Ringkasan!B1085</f>
        <v>Bangun Karya Perkasa Jaya Tbk.</v>
      </c>
      <c r="C1086" s="67">
        <f>Ringkasan!C1085</f>
        <v>59</v>
      </c>
      <c r="D1086" s="22" t="str">
        <f>Ringkasan!D1085</f>
        <v>#N/A</v>
      </c>
      <c r="E1086" s="64" t="str">
        <f>Ringkasan!E1085</f>
        <v/>
      </c>
      <c r="F1086" s="64" t="str">
        <f>Ringkasan!F1085</f>
        <v/>
      </c>
      <c r="G1086" s="64">
        <f>Ringkasan!G1085</f>
        <v>0</v>
      </c>
      <c r="H1086" s="19">
        <f>Ringkasan!H1085</f>
        <v>-1.4</v>
      </c>
      <c r="I1086" s="19">
        <f>Ringkasan!I1085</f>
        <v>3.1</v>
      </c>
      <c r="J1086" s="19">
        <f>Ringkasan!J1085</f>
        <v>-220</v>
      </c>
      <c r="K1086" s="19">
        <f>Ringkasan!K1085</f>
        <v>-55.1</v>
      </c>
      <c r="L1086" s="19">
        <f>Ringkasan!L1085</f>
        <v>3</v>
      </c>
      <c r="M1086" s="19">
        <f>Ringkasan!M1085</f>
        <v>-89.1</v>
      </c>
      <c r="N1086" s="64" t="str">
        <f>Ringkasan!N1085</f>
        <v/>
      </c>
      <c r="O1086" s="64" t="str">
        <f>Ringkasan!O1085</f>
        <v/>
      </c>
      <c r="P1086" s="64" t="str">
        <f>Ringkasan!P1085</f>
        <v/>
      </c>
      <c r="Q1086" s="64" t="str">
        <f>Ringkasan!Q1085</f>
        <v/>
      </c>
      <c r="R1086" s="64" t="str">
        <f>Ringkasan!R1085</f>
        <v/>
      </c>
      <c r="S1086" s="64" t="str">
        <f>Ringkasan!S1085</f>
        <v/>
      </c>
      <c r="T1086" s="64" t="str">
        <f>Ringkasan!T1085</f>
        <v/>
      </c>
      <c r="U1086" s="22">
        <f>Ringkasan!U1085</f>
        <v>56</v>
      </c>
      <c r="V1086" s="22">
        <f>Ringkasan!V1085</f>
        <v>5.36</v>
      </c>
      <c r="W1086" s="22">
        <f>Ringkasan!W1085</f>
        <v>56</v>
      </c>
      <c r="X1086" s="22">
        <f>Ringkasan!X1085</f>
        <v>60</v>
      </c>
      <c r="Y1086" s="22">
        <f>Ringkasan!Y1085</f>
        <v>56</v>
      </c>
      <c r="Z1086" s="22">
        <f>Ringkasan!Z1085</f>
        <v>19644500</v>
      </c>
      <c r="AA1086" s="64" t="str">
        <f>Ringkasan!AA1085</f>
        <v>Heavy Constructions &amp; Civil Engineering</v>
      </c>
      <c r="AB1086" s="64" t="str">
        <f>Ringkasan!AB1085</f>
        <v>Infrastructures</v>
      </c>
    </row>
    <row r="1087" hidden="1">
      <c r="A1087" s="64" t="str">
        <f>Ringkasan!A1086</f>
        <v>KSIX</v>
      </c>
      <c r="B1087" s="64" t="str">
        <f>Ringkasan!B1086</f>
        <v>Kentanix Supra International Tbk.</v>
      </c>
      <c r="C1087" s="67">
        <f>Ringkasan!C1086</f>
        <v>354</v>
      </c>
      <c r="D1087" s="22" t="str">
        <f>Ringkasan!D1086</f>
        <v>#N/A</v>
      </c>
      <c r="E1087" s="64" t="str">
        <f>Ringkasan!E1086</f>
        <v/>
      </c>
      <c r="F1087" s="64" t="str">
        <f>Ringkasan!F1086</f>
        <v/>
      </c>
      <c r="G1087" s="64">
        <f>Ringkasan!G1086</f>
        <v>0</v>
      </c>
      <c r="H1087" s="19">
        <f>Ringkasan!H1086</f>
        <v>61</v>
      </c>
      <c r="I1087" s="19">
        <f>Ringkasan!I1086</f>
        <v>0.53</v>
      </c>
      <c r="J1087" s="19">
        <f>Ringkasan!J1086</f>
        <v>0.87</v>
      </c>
      <c r="K1087" s="19">
        <f>Ringkasan!K1086</f>
        <v>0.86</v>
      </c>
      <c r="L1087" s="19">
        <f>Ringkasan!L1086</f>
        <v>0.01</v>
      </c>
      <c r="M1087" s="19">
        <f>Ringkasan!M1086</f>
        <v>110</v>
      </c>
      <c r="N1087" s="64" t="str">
        <f>Ringkasan!N1086</f>
        <v/>
      </c>
      <c r="O1087" s="64" t="str">
        <f>Ringkasan!O1086</f>
        <v/>
      </c>
      <c r="P1087" s="64" t="str">
        <f>Ringkasan!P1086</f>
        <v/>
      </c>
      <c r="Q1087" s="64" t="str">
        <f>Ringkasan!Q1086</f>
        <v/>
      </c>
      <c r="R1087" s="64" t="str">
        <f>Ringkasan!R1086</f>
        <v/>
      </c>
      <c r="S1087" s="64" t="str">
        <f>Ringkasan!S1086</f>
        <v/>
      </c>
      <c r="T1087" s="64" t="str">
        <f>Ringkasan!T1086</f>
        <v/>
      </c>
      <c r="U1087" s="22">
        <f>Ringkasan!U1086</f>
        <v>338</v>
      </c>
      <c r="V1087" s="22">
        <f>Ringkasan!V1086</f>
        <v>4.73</v>
      </c>
      <c r="W1087" s="22">
        <f>Ringkasan!W1086</f>
        <v>334</v>
      </c>
      <c r="X1087" s="22">
        <f>Ringkasan!X1086</f>
        <v>354</v>
      </c>
      <c r="Y1087" s="22">
        <f>Ringkasan!Y1086</f>
        <v>328</v>
      </c>
      <c r="Z1087" s="22">
        <f>Ringkasan!Z1086</f>
        <v>69600</v>
      </c>
      <c r="AA1087" s="64" t="str">
        <f>Ringkasan!AA1086</f>
        <v>Real Estate Management &amp; Development</v>
      </c>
      <c r="AB1087" s="64" t="str">
        <f>Ringkasan!AB1086</f>
        <v>Properties &amp; Real Estate</v>
      </c>
    </row>
    <row r="1088" hidden="1">
      <c r="A1088" s="64" t="str">
        <f>Ringkasan!A1087</f>
        <v>KUAS</v>
      </c>
      <c r="B1088" s="64" t="str">
        <f>Ringkasan!B1087</f>
        <v>Ace Oldfields Tbk.</v>
      </c>
      <c r="C1088" s="67">
        <f>Ringkasan!C1087</f>
        <v>93</v>
      </c>
      <c r="D1088" s="22" t="str">
        <f>Ringkasan!D1087</f>
        <v>#N/A</v>
      </c>
      <c r="E1088" s="64" t="str">
        <f>Ringkasan!E1087</f>
        <v/>
      </c>
      <c r="F1088" s="64" t="str">
        <f>Ringkasan!F1087</f>
        <v/>
      </c>
      <c r="G1088" s="64">
        <f>Ringkasan!G1087</f>
        <v>0</v>
      </c>
      <c r="H1088" s="19">
        <f>Ringkasan!H1087</f>
        <v>12.1</v>
      </c>
      <c r="I1088" s="19">
        <f>Ringkasan!I1087</f>
        <v>0.69</v>
      </c>
      <c r="J1088" s="19">
        <f>Ringkasan!J1087</f>
        <v>5.7</v>
      </c>
      <c r="K1088" s="19">
        <f>Ringkasan!K1087</f>
        <v>3.2</v>
      </c>
      <c r="L1088" s="19">
        <f>Ringkasan!L1087</f>
        <v>0.81</v>
      </c>
      <c r="M1088" s="19">
        <f>Ringkasan!M1087</f>
        <v>37.4</v>
      </c>
      <c r="N1088" s="64" t="str">
        <f>Ringkasan!N1087</f>
        <v/>
      </c>
      <c r="O1088" s="64" t="str">
        <f>Ringkasan!O1087</f>
        <v/>
      </c>
      <c r="P1088" s="64" t="str">
        <f>Ringkasan!P1087</f>
        <v/>
      </c>
      <c r="Q1088" s="64" t="str">
        <f>Ringkasan!Q1087</f>
        <v/>
      </c>
      <c r="R1088" s="64" t="str">
        <f>Ringkasan!R1087</f>
        <v/>
      </c>
      <c r="S1088" s="64" t="str">
        <f>Ringkasan!S1087</f>
        <v/>
      </c>
      <c r="T1088" s="64" t="str">
        <f>Ringkasan!T1087</f>
        <v/>
      </c>
      <c r="U1088" s="22">
        <f>Ringkasan!U1087</f>
        <v>91</v>
      </c>
      <c r="V1088" s="22">
        <f>Ringkasan!V1087</f>
        <v>2.2</v>
      </c>
      <c r="W1088" s="22">
        <f>Ringkasan!W1087</f>
        <v>93</v>
      </c>
      <c r="X1088" s="22">
        <f>Ringkasan!X1087</f>
        <v>96</v>
      </c>
      <c r="Y1088" s="22">
        <f>Ringkasan!Y1087</f>
        <v>90</v>
      </c>
      <c r="Z1088" s="22">
        <f>Ringkasan!Z1087</f>
        <v>47999600</v>
      </c>
      <c r="AA1088" s="64" t="str">
        <f>Ringkasan!AA1087</f>
        <v>Building Products &amp; Fixtures</v>
      </c>
      <c r="AB1088" s="64" t="str">
        <f>Ringkasan!AB1087</f>
        <v>Industrials</v>
      </c>
    </row>
    <row r="1089" hidden="1">
      <c r="A1089" s="64" t="str">
        <f>Ringkasan!A1088</f>
        <v>LABA</v>
      </c>
      <c r="B1089" s="64" t="str">
        <f>Ringkasan!B1088</f>
        <v>Green Power Group Tbk.</v>
      </c>
      <c r="C1089" s="67">
        <f>Ringkasan!C1088</f>
        <v>86</v>
      </c>
      <c r="D1089" s="22" t="str">
        <f>Ringkasan!D1088</f>
        <v>#N/A</v>
      </c>
      <c r="E1089" s="64" t="str">
        <f>Ringkasan!E1088</f>
        <v/>
      </c>
      <c r="F1089" s="64" t="str">
        <f>Ringkasan!F1088</f>
        <v/>
      </c>
      <c r="G1089" s="64">
        <f>Ringkasan!G1088</f>
        <v>0</v>
      </c>
      <c r="H1089" s="19">
        <f>Ringkasan!H1088</f>
        <v>450</v>
      </c>
      <c r="I1089" s="19">
        <f>Ringkasan!I1088</f>
        <v>0.88</v>
      </c>
      <c r="J1089" s="19">
        <f>Ringkasan!J1088</f>
        <v>0.2</v>
      </c>
      <c r="K1089" s="19">
        <f>Ringkasan!K1088</f>
        <v>0.15</v>
      </c>
      <c r="L1089" s="19">
        <f>Ringkasan!L1088</f>
        <v>0.34</v>
      </c>
      <c r="M1089" s="19">
        <f>Ringkasan!M1088</f>
        <v>0.74</v>
      </c>
      <c r="N1089" s="64" t="str">
        <f>Ringkasan!N1088</f>
        <v/>
      </c>
      <c r="O1089" s="64" t="str">
        <f>Ringkasan!O1088</f>
        <v/>
      </c>
      <c r="P1089" s="64" t="str">
        <f>Ringkasan!P1088</f>
        <v/>
      </c>
      <c r="Q1089" s="64" t="str">
        <f>Ringkasan!Q1088</f>
        <v/>
      </c>
      <c r="R1089" s="64" t="str">
        <f>Ringkasan!R1088</f>
        <v/>
      </c>
      <c r="S1089" s="64" t="str">
        <f>Ringkasan!S1088</f>
        <v/>
      </c>
      <c r="T1089" s="64" t="str">
        <f>Ringkasan!T1088</f>
        <v/>
      </c>
      <c r="U1089" s="22">
        <f>Ringkasan!U1088</f>
        <v>82</v>
      </c>
      <c r="V1089" s="22">
        <f>Ringkasan!V1088</f>
        <v>4.88</v>
      </c>
      <c r="W1089" s="22">
        <f>Ringkasan!W1088</f>
        <v>83</v>
      </c>
      <c r="X1089" s="22">
        <f>Ringkasan!X1088</f>
        <v>90</v>
      </c>
      <c r="Y1089" s="22">
        <f>Ringkasan!Y1088</f>
        <v>82</v>
      </c>
      <c r="Z1089" s="22">
        <f>Ringkasan!Z1088</f>
        <v>9498400</v>
      </c>
      <c r="AA1089" s="64" t="str">
        <f>Ringkasan!AA1088</f>
        <v>Machinery</v>
      </c>
      <c r="AB1089" s="64" t="str">
        <f>Ringkasan!AB1088</f>
        <v>Industrials</v>
      </c>
    </row>
    <row r="1090" hidden="1">
      <c r="A1090" s="64" t="str">
        <f>Ringkasan!A1089</f>
        <v>LABS</v>
      </c>
      <c r="B1090" s="64" t="str">
        <f>Ringkasan!B1089</f>
        <v>UBC Medical Indonesia Tbk.</v>
      </c>
      <c r="C1090" s="67">
        <f>Ringkasan!C1089</f>
        <v>140</v>
      </c>
      <c r="D1090" s="22" t="str">
        <f>Ringkasan!D1089</f>
        <v>#N/A</v>
      </c>
      <c r="E1090" s="64" t="str">
        <f>Ringkasan!E1089</f>
        <v/>
      </c>
      <c r="F1090" s="64" t="str">
        <f>Ringkasan!F1089</f>
        <v/>
      </c>
      <c r="G1090" s="64">
        <f>Ringkasan!G1089</f>
        <v>0</v>
      </c>
      <c r="H1090" s="19">
        <f>Ringkasan!H1089</f>
        <v>44.8</v>
      </c>
      <c r="I1090" s="19">
        <f>Ringkasan!I1089</f>
        <v>3.5</v>
      </c>
      <c r="J1090" s="19">
        <f>Ringkasan!J1089</f>
        <v>7.9</v>
      </c>
      <c r="K1090" s="19">
        <f>Ringkasan!K1089</f>
        <v>5.5</v>
      </c>
      <c r="L1090" s="19">
        <f>Ringkasan!L1089</f>
        <v>0.43</v>
      </c>
      <c r="M1090" s="19">
        <f>Ringkasan!M1089</f>
        <v>30.2</v>
      </c>
      <c r="N1090" s="64" t="str">
        <f>Ringkasan!N1089</f>
        <v/>
      </c>
      <c r="O1090" s="64" t="str">
        <f>Ringkasan!O1089</f>
        <v/>
      </c>
      <c r="P1090" s="64" t="str">
        <f>Ringkasan!P1089</f>
        <v/>
      </c>
      <c r="Q1090" s="64" t="str">
        <f>Ringkasan!Q1089</f>
        <v/>
      </c>
      <c r="R1090" s="64" t="str">
        <f>Ringkasan!R1089</f>
        <v/>
      </c>
      <c r="S1090" s="64" t="str">
        <f>Ringkasan!S1089</f>
        <v/>
      </c>
      <c r="T1090" s="64" t="str">
        <f>Ringkasan!T1089</f>
        <v/>
      </c>
      <c r="U1090" s="22">
        <f>Ringkasan!U1089</f>
        <v>0.07</v>
      </c>
      <c r="V1090" s="22">
        <f>Ringkasan!V1089</f>
        <v>7.14</v>
      </c>
      <c r="W1090" s="22">
        <f>Ringkasan!W1089</f>
        <v>0.08</v>
      </c>
      <c r="X1090" s="22">
        <f>Ringkasan!X1089</f>
        <v>0.08</v>
      </c>
      <c r="Y1090" s="22">
        <f>Ringkasan!Y1089</f>
        <v>0.07</v>
      </c>
      <c r="Z1090" s="22">
        <f>Ringkasan!Z1089</f>
        <v>76864</v>
      </c>
      <c r="AA1090" s="64" t="str">
        <f>Ringkasan!AA1089</f>
        <v>Healthcare Equipment &amp; Supplies</v>
      </c>
      <c r="AB1090" s="64" t="str">
        <f>Ringkasan!AB1089</f>
        <v>Healthcare</v>
      </c>
    </row>
    <row r="1091" hidden="1">
      <c r="A1091" s="64" t="str">
        <f>Ringkasan!A1090</f>
        <v>LAJU</v>
      </c>
      <c r="B1091" s="64" t="str">
        <f>Ringkasan!B1090</f>
        <v>PT Jasa Berdikari Logistics Tbk</v>
      </c>
      <c r="C1091" s="67">
        <f>Ringkasan!C1090</f>
        <v>59</v>
      </c>
      <c r="D1091" s="22" t="str">
        <f>Ringkasan!D1090</f>
        <v>#N/A</v>
      </c>
      <c r="E1091" s="64" t="str">
        <f>Ringkasan!E1090</f>
        <v/>
      </c>
      <c r="F1091" s="64" t="str">
        <f>Ringkasan!F1090</f>
        <v/>
      </c>
      <c r="G1091" s="64">
        <f>Ringkasan!G1090</f>
        <v>0</v>
      </c>
      <c r="H1091" s="19">
        <f>Ringkasan!H1090</f>
        <v>16.9</v>
      </c>
      <c r="I1091" s="19">
        <f>Ringkasan!I1090</f>
        <v>1.1</v>
      </c>
      <c r="J1091" s="19">
        <f>Ringkasan!J1090</f>
        <v>6.5</v>
      </c>
      <c r="K1091" s="19">
        <f>Ringkasan!K1090</f>
        <v>3.6</v>
      </c>
      <c r="L1091" s="19">
        <f>Ringkasan!L1090</f>
        <v>0.78</v>
      </c>
      <c r="M1091" s="19">
        <f>Ringkasan!M1090</f>
        <v>18.2</v>
      </c>
      <c r="N1091" s="64" t="str">
        <f>Ringkasan!N1090</f>
        <v/>
      </c>
      <c r="O1091" s="64" t="str">
        <f>Ringkasan!O1090</f>
        <v/>
      </c>
      <c r="P1091" s="64" t="str">
        <f>Ringkasan!P1090</f>
        <v/>
      </c>
      <c r="Q1091" s="64" t="str">
        <f>Ringkasan!Q1090</f>
        <v/>
      </c>
      <c r="R1091" s="64" t="str">
        <f>Ringkasan!R1090</f>
        <v/>
      </c>
      <c r="S1091" s="64" t="str">
        <f>Ringkasan!S1090</f>
        <v/>
      </c>
      <c r="T1091" s="64" t="str">
        <f>Ringkasan!T1090</f>
        <v/>
      </c>
      <c r="U1091" s="22">
        <f>Ringkasan!U1090</f>
        <v>56</v>
      </c>
      <c r="V1091" s="22">
        <f>Ringkasan!V1090</f>
        <v>5.36</v>
      </c>
      <c r="W1091" s="22">
        <f>Ringkasan!W1090</f>
        <v>55</v>
      </c>
      <c r="X1091" s="22">
        <f>Ringkasan!X1090</f>
        <v>61</v>
      </c>
      <c r="Y1091" s="22">
        <f>Ringkasan!Y1090</f>
        <v>55</v>
      </c>
      <c r="Z1091" s="22">
        <f>Ringkasan!Z1090</f>
        <v>24802200</v>
      </c>
      <c r="AA1091" s="64" t="str">
        <f>Ringkasan!AA1090</f>
        <v>Logistics &amp; Deliveries</v>
      </c>
      <c r="AB1091" s="64" t="str">
        <f>Ringkasan!AB1090</f>
        <v>Transportation &amp; Logistic</v>
      </c>
    </row>
    <row r="1092" hidden="1">
      <c r="A1092" s="64" t="str">
        <f>Ringkasan!A1091</f>
        <v>LAND</v>
      </c>
      <c r="B1092" s="64" t="str">
        <f>Ringkasan!B1091</f>
        <v>Trimitra Propertindo Tbk.</v>
      </c>
      <c r="C1092" s="67">
        <f>Ringkasan!C1091</f>
        <v>55</v>
      </c>
      <c r="D1092" s="22" t="str">
        <f>Ringkasan!D1091</f>
        <v>#N/A</v>
      </c>
      <c r="E1092" s="64" t="str">
        <f>Ringkasan!E1091</f>
        <v/>
      </c>
      <c r="F1092" s="64" t="str">
        <f>Ringkasan!F1091</f>
        <v/>
      </c>
      <c r="G1092" s="64">
        <f>Ringkasan!G1091</f>
        <v>0</v>
      </c>
      <c r="H1092" s="19">
        <f>Ringkasan!H1091</f>
        <v>83.8</v>
      </c>
      <c r="I1092" s="19">
        <f>Ringkasan!I1091</f>
        <v>0.38</v>
      </c>
      <c r="J1092" s="19">
        <f>Ringkasan!J1091</f>
        <v>0.45</v>
      </c>
      <c r="K1092" s="19">
        <f>Ringkasan!K1091</f>
        <v>0.25</v>
      </c>
      <c r="L1092" s="19">
        <f>Ringkasan!L1091</f>
        <v>0.77</v>
      </c>
      <c r="M1092" s="19">
        <f>Ringkasan!M1091</f>
        <v>21.1</v>
      </c>
      <c r="N1092" s="64" t="str">
        <f>Ringkasan!N1091</f>
        <v/>
      </c>
      <c r="O1092" s="64" t="str">
        <f>Ringkasan!O1091</f>
        <v/>
      </c>
      <c r="P1092" s="64" t="str">
        <f>Ringkasan!P1091</f>
        <v/>
      </c>
      <c r="Q1092" s="64" t="str">
        <f>Ringkasan!Q1091</f>
        <v/>
      </c>
      <c r="R1092" s="64" t="str">
        <f>Ringkasan!R1091</f>
        <v/>
      </c>
      <c r="S1092" s="64" t="str">
        <f>Ringkasan!S1091</f>
        <v/>
      </c>
      <c r="T1092" s="64" t="str">
        <f>Ringkasan!T1091</f>
        <v/>
      </c>
      <c r="U1092" s="22">
        <f>Ringkasan!U1091</f>
        <v>9</v>
      </c>
      <c r="V1092" s="22">
        <f>Ringkasan!V1091</f>
        <v>-0.44</v>
      </c>
      <c r="W1092" s="22">
        <f>Ringkasan!W1091</f>
        <v>9.06</v>
      </c>
      <c r="X1092" s="22">
        <f>Ringkasan!X1091</f>
        <v>9.09</v>
      </c>
      <c r="Y1092" s="22">
        <f>Ringkasan!Y1091</f>
        <v>8.93</v>
      </c>
      <c r="Z1092" s="22">
        <f>Ringkasan!Z1091</f>
        <v>690627</v>
      </c>
      <c r="AA1092" s="64" t="str">
        <f>Ringkasan!AA1091</f>
        <v>Real Estate Management &amp; Development</v>
      </c>
      <c r="AB1092" s="64" t="str">
        <f>Ringkasan!AB1091</f>
        <v>Properties &amp; Real Estate</v>
      </c>
    </row>
    <row r="1093" hidden="1">
      <c r="A1093" s="64" t="str">
        <f>Ringkasan!A1092</f>
        <v>LAPD</v>
      </c>
      <c r="B1093" s="64" t="str">
        <f>Ringkasan!B1092</f>
        <v>Leyand International Tbk.</v>
      </c>
      <c r="C1093" s="67">
        <f>Ringkasan!C1092</f>
        <v>61</v>
      </c>
      <c r="D1093" s="22" t="str">
        <f>Ringkasan!D1092</f>
        <v>#N/A</v>
      </c>
      <c r="E1093" s="64" t="str">
        <f>Ringkasan!E1092</f>
        <v/>
      </c>
      <c r="F1093" s="64" t="str">
        <f>Ringkasan!F1092</f>
        <v/>
      </c>
      <c r="G1093" s="64">
        <f>Ringkasan!G1092</f>
        <v>0</v>
      </c>
      <c r="H1093" s="19">
        <f>Ringkasan!H1092</f>
        <v>-40.8</v>
      </c>
      <c r="I1093" s="19">
        <f>Ringkasan!I1092</f>
        <v>15.1</v>
      </c>
      <c r="J1093" s="19">
        <f>Ringkasan!J1092</f>
        <v>-37.1</v>
      </c>
      <c r="K1093" s="19">
        <f>Ringkasan!K1092</f>
        <v>-5</v>
      </c>
      <c r="L1093" s="19">
        <f>Ringkasan!L1092</f>
        <v>6.4</v>
      </c>
      <c r="M1093" s="19">
        <f>Ringkasan!M1092</f>
        <v>-430</v>
      </c>
      <c r="N1093" s="64" t="str">
        <f>Ringkasan!N1092</f>
        <v/>
      </c>
      <c r="O1093" s="64" t="str">
        <f>Ringkasan!O1092</f>
        <v/>
      </c>
      <c r="P1093" s="64" t="str">
        <f>Ringkasan!P1092</f>
        <v/>
      </c>
      <c r="Q1093" s="64" t="str">
        <f>Ringkasan!Q1092</f>
        <v/>
      </c>
      <c r="R1093" s="64" t="str">
        <f>Ringkasan!R1092</f>
        <v/>
      </c>
      <c r="S1093" s="64" t="str">
        <f>Ringkasan!S1092</f>
        <v/>
      </c>
      <c r="T1093" s="64" t="str">
        <f>Ringkasan!T1092</f>
        <v/>
      </c>
      <c r="U1093" s="22">
        <f>Ringkasan!U1092</f>
        <v>65</v>
      </c>
      <c r="V1093" s="22">
        <f>Ringkasan!V1092</f>
        <v>-6.15</v>
      </c>
      <c r="W1093" s="22">
        <f>Ringkasan!W1092</f>
        <v>65</v>
      </c>
      <c r="X1093" s="22">
        <f>Ringkasan!X1092</f>
        <v>66</v>
      </c>
      <c r="Y1093" s="22">
        <f>Ringkasan!Y1092</f>
        <v>60</v>
      </c>
      <c r="Z1093" s="22">
        <f>Ringkasan!Z1092</f>
        <v>44577100</v>
      </c>
      <c r="AA1093" s="64" t="str">
        <f>Ringkasan!AA1092</f>
        <v>Food &amp; Staples Retailing</v>
      </c>
      <c r="AB1093" s="64" t="str">
        <f>Ringkasan!AB1092</f>
        <v>Consumer Non-Cyclicals</v>
      </c>
    </row>
    <row r="1094" hidden="1">
      <c r="A1094" s="64" t="str">
        <f>Ringkasan!A1093</f>
        <v>LCGP</v>
      </c>
      <c r="B1094" s="64" t="str">
        <f>Ringkasan!B1093</f>
        <v>Eureka Prima Jakarta Tbk.</v>
      </c>
      <c r="C1094" s="67">
        <f>Ringkasan!C1093</f>
        <v>114</v>
      </c>
      <c r="D1094" s="22" t="str">
        <f>Ringkasan!D1093</f>
        <v>#N/A</v>
      </c>
      <c r="E1094" s="64" t="str">
        <f>Ringkasan!E1093</f>
        <v/>
      </c>
      <c r="F1094" s="64" t="str">
        <f>Ringkasan!F1093</f>
        <v/>
      </c>
      <c r="G1094" s="64">
        <f>Ringkasan!G1093</f>
        <v>0</v>
      </c>
      <c r="H1094" s="19">
        <f>Ringkasan!H1093</f>
        <v>0</v>
      </c>
      <c r="I1094" s="19">
        <f>Ringkasan!I1093</f>
        <v>0.4</v>
      </c>
      <c r="J1094" s="19">
        <f>Ringkasan!J1093</f>
        <v>0.02</v>
      </c>
      <c r="K1094" s="19">
        <f>Ringkasan!K1093</f>
        <v>0.02</v>
      </c>
      <c r="L1094" s="19">
        <f>Ringkasan!L1093</f>
        <v>0.03</v>
      </c>
      <c r="M1094" s="19">
        <f>Ringkasan!M1093</f>
        <v>19.5</v>
      </c>
      <c r="N1094" s="64" t="str">
        <f>Ringkasan!N1093</f>
        <v/>
      </c>
      <c r="O1094" s="64" t="str">
        <f>Ringkasan!O1093</f>
        <v/>
      </c>
      <c r="P1094" s="64" t="str">
        <f>Ringkasan!P1093</f>
        <v/>
      </c>
      <c r="Q1094" s="64" t="str">
        <f>Ringkasan!Q1093</f>
        <v/>
      </c>
      <c r="R1094" s="64" t="str">
        <f>Ringkasan!R1093</f>
        <v/>
      </c>
      <c r="S1094" s="64" t="str">
        <f>Ringkasan!S1093</f>
        <v/>
      </c>
      <c r="T1094" s="64" t="str">
        <f>Ringkasan!T1093</f>
        <v/>
      </c>
      <c r="U1094" s="22">
        <f>Ringkasan!U1093</f>
        <v>114</v>
      </c>
      <c r="V1094" s="22">
        <f>Ringkasan!V1093</f>
        <v>0</v>
      </c>
      <c r="W1094" s="22" t="str">
        <f>Ringkasan!W1093</f>
        <v/>
      </c>
      <c r="X1094" s="22" t="str">
        <f>Ringkasan!X1093</f>
        <v/>
      </c>
      <c r="Y1094" s="22" t="str">
        <f>Ringkasan!Y1093</f>
        <v/>
      </c>
      <c r="Z1094" s="22">
        <f>Ringkasan!Z1093</f>
        <v>0</v>
      </c>
      <c r="AA1094" s="64" t="str">
        <f>Ringkasan!AA1093</f>
        <v>Real Estate Management &amp; Development</v>
      </c>
      <c r="AB1094" s="64" t="str">
        <f>Ringkasan!AB1093</f>
        <v>Properties &amp; Real Estate</v>
      </c>
    </row>
    <row r="1095" hidden="1">
      <c r="A1095" s="64" t="str">
        <f>Ringkasan!A1094</f>
        <v>LCKM</v>
      </c>
      <c r="B1095" s="64" t="str">
        <f>Ringkasan!B1094</f>
        <v>LCK Global Kedaton Tbk.</v>
      </c>
      <c r="C1095" s="67">
        <f>Ringkasan!C1094</f>
        <v>131</v>
      </c>
      <c r="D1095" s="22" t="str">
        <f>Ringkasan!D1094</f>
        <v>#N/A</v>
      </c>
      <c r="E1095" s="64" t="str">
        <f>Ringkasan!E1094</f>
        <v/>
      </c>
      <c r="F1095" s="64" t="str">
        <f>Ringkasan!F1094</f>
        <v/>
      </c>
      <c r="G1095" s="64">
        <f>Ringkasan!G1094</f>
        <v>0</v>
      </c>
      <c r="H1095" s="19">
        <f>Ringkasan!H1094</f>
        <v>48</v>
      </c>
      <c r="I1095" s="19">
        <f>Ringkasan!I1094</f>
        <v>0.79</v>
      </c>
      <c r="J1095" s="19">
        <f>Ringkasan!J1094</f>
        <v>1.7</v>
      </c>
      <c r="K1095" s="19">
        <f>Ringkasan!K1094</f>
        <v>1.6</v>
      </c>
      <c r="L1095" s="19">
        <f>Ringkasan!L1094</f>
        <v>0.05</v>
      </c>
      <c r="M1095" s="19">
        <f>Ringkasan!M1094</f>
        <v>720</v>
      </c>
      <c r="N1095" s="64" t="str">
        <f>Ringkasan!N1094</f>
        <v/>
      </c>
      <c r="O1095" s="64" t="str">
        <f>Ringkasan!O1094</f>
        <v/>
      </c>
      <c r="P1095" s="64" t="str">
        <f>Ringkasan!P1094</f>
        <v/>
      </c>
      <c r="Q1095" s="64" t="str">
        <f>Ringkasan!Q1094</f>
        <v/>
      </c>
      <c r="R1095" s="64" t="str">
        <f>Ringkasan!R1094</f>
        <v/>
      </c>
      <c r="S1095" s="64" t="str">
        <f>Ringkasan!S1094</f>
        <v/>
      </c>
      <c r="T1095" s="64" t="str">
        <f>Ringkasan!T1094</f>
        <v/>
      </c>
      <c r="U1095" s="22">
        <f>Ringkasan!U1094</f>
        <v>153</v>
      </c>
      <c r="V1095" s="22">
        <f>Ringkasan!V1094</f>
        <v>-14.38</v>
      </c>
      <c r="W1095" s="22">
        <f>Ringkasan!W1094</f>
        <v>153</v>
      </c>
      <c r="X1095" s="22">
        <f>Ringkasan!X1094</f>
        <v>163</v>
      </c>
      <c r="Y1095" s="22">
        <f>Ringkasan!Y1094</f>
        <v>131</v>
      </c>
      <c r="Z1095" s="22">
        <f>Ringkasan!Z1094</f>
        <v>441175300</v>
      </c>
      <c r="AA1095" s="64" t="str">
        <f>Ringkasan!AA1094</f>
        <v>Wireless Telecommunication Services</v>
      </c>
      <c r="AB1095" s="64" t="str">
        <f>Ringkasan!AB1094</f>
        <v>Infrastructures</v>
      </c>
    </row>
    <row r="1096" hidden="1">
      <c r="A1096" s="64" t="str">
        <f>Ringkasan!A1095</f>
        <v>LEAD</v>
      </c>
      <c r="B1096" s="64" t="str">
        <f>Ringkasan!B1095</f>
        <v>Logindo Samudramakmur Tbk.</v>
      </c>
      <c r="C1096" s="67">
        <f>Ringkasan!C1095</f>
        <v>97</v>
      </c>
      <c r="D1096" s="22" t="str">
        <f>Ringkasan!D1095</f>
        <v>#N/A</v>
      </c>
      <c r="E1096" s="64" t="str">
        <f>Ringkasan!E1095</f>
        <v/>
      </c>
      <c r="F1096" s="64" t="str">
        <f>Ringkasan!F1095</f>
        <v/>
      </c>
      <c r="G1096" s="64">
        <f>Ringkasan!G1095</f>
        <v>0</v>
      </c>
      <c r="H1096" s="19">
        <f>Ringkasan!H1095</f>
        <v>3.1</v>
      </c>
      <c r="I1096" s="19">
        <f>Ringkasan!I1095</f>
        <v>0.62</v>
      </c>
      <c r="J1096" s="19">
        <f>Ringkasan!J1095</f>
        <v>20.1</v>
      </c>
      <c r="K1096" s="19">
        <f>Ringkasan!K1095</f>
        <v>10.8</v>
      </c>
      <c r="L1096" s="19">
        <f>Ringkasan!L1095</f>
        <v>0.87</v>
      </c>
      <c r="M1096" s="19">
        <f>Ringkasan!M1095</f>
        <v>150</v>
      </c>
      <c r="N1096" s="64" t="str">
        <f>Ringkasan!N1095</f>
        <v/>
      </c>
      <c r="O1096" s="64" t="str">
        <f>Ringkasan!O1095</f>
        <v/>
      </c>
      <c r="P1096" s="64" t="str">
        <f>Ringkasan!P1095</f>
        <v/>
      </c>
      <c r="Q1096" s="64" t="str">
        <f>Ringkasan!Q1095</f>
        <v/>
      </c>
      <c r="R1096" s="64" t="str">
        <f>Ringkasan!R1095</f>
        <v/>
      </c>
      <c r="S1096" s="64" t="str">
        <f>Ringkasan!S1095</f>
        <v/>
      </c>
      <c r="T1096" s="64" t="str">
        <f>Ringkasan!T1095</f>
        <v/>
      </c>
      <c r="U1096" s="22">
        <f>Ringkasan!U1095</f>
        <v>20.61</v>
      </c>
      <c r="V1096" s="22">
        <f>Ringkasan!V1095</f>
        <v>-1.89</v>
      </c>
      <c r="W1096" s="22" t="str">
        <f>Ringkasan!W1095</f>
        <v/>
      </c>
      <c r="X1096" s="22" t="str">
        <f>Ringkasan!X1095</f>
        <v/>
      </c>
      <c r="Y1096" s="22" t="str">
        <f>Ringkasan!Y1095</f>
        <v/>
      </c>
      <c r="Z1096" s="22">
        <f>Ringkasan!Z1095</f>
        <v>0</v>
      </c>
      <c r="AA1096" s="64" t="str">
        <f>Ringkasan!AA1095</f>
        <v>Oil &amp; Gas</v>
      </c>
      <c r="AB1096" s="64" t="str">
        <f>Ringkasan!AB1095</f>
        <v>Energy</v>
      </c>
    </row>
    <row r="1097" hidden="1">
      <c r="A1097" s="64" t="str">
        <f>Ringkasan!A1096</f>
        <v>LFLO</v>
      </c>
      <c r="B1097" s="64" t="str">
        <f>Ringkasan!B1096</f>
        <v>Imago Mulia Persada Tbk.</v>
      </c>
      <c r="C1097" s="67">
        <f>Ringkasan!C1096</f>
        <v>498</v>
      </c>
      <c r="D1097" s="22" t="str">
        <f>Ringkasan!D1096</f>
        <v>#N/A</v>
      </c>
      <c r="E1097" s="64" t="str">
        <f>Ringkasan!E1096</f>
        <v/>
      </c>
      <c r="F1097" s="64" t="str">
        <f>Ringkasan!F1096</f>
        <v/>
      </c>
      <c r="G1097" s="64">
        <f>Ringkasan!G1096</f>
        <v>0</v>
      </c>
      <c r="H1097" s="19">
        <f>Ringkasan!H1096</f>
        <v>31.6</v>
      </c>
      <c r="I1097" s="19">
        <f>Ringkasan!I1096</f>
        <v>7.7</v>
      </c>
      <c r="J1097" s="19">
        <f>Ringkasan!J1096</f>
        <v>24.3</v>
      </c>
      <c r="K1097" s="19">
        <f>Ringkasan!K1096</f>
        <v>11.5</v>
      </c>
      <c r="L1097" s="19">
        <f>Ringkasan!L1096</f>
        <v>1.1</v>
      </c>
      <c r="M1097" s="19">
        <f>Ringkasan!M1096</f>
        <v>12.2</v>
      </c>
      <c r="N1097" s="64" t="str">
        <f>Ringkasan!N1096</f>
        <v/>
      </c>
      <c r="O1097" s="64" t="str">
        <f>Ringkasan!O1096</f>
        <v/>
      </c>
      <c r="P1097" s="64" t="str">
        <f>Ringkasan!P1096</f>
        <v/>
      </c>
      <c r="Q1097" s="64" t="str">
        <f>Ringkasan!Q1096</f>
        <v/>
      </c>
      <c r="R1097" s="64" t="str">
        <f>Ringkasan!R1096</f>
        <v/>
      </c>
      <c r="S1097" s="64" t="str">
        <f>Ringkasan!S1096</f>
        <v/>
      </c>
      <c r="T1097" s="64" t="str">
        <f>Ringkasan!T1096</f>
        <v/>
      </c>
      <c r="U1097" s="22">
        <f>Ringkasan!U1096</f>
        <v>468</v>
      </c>
      <c r="V1097" s="22">
        <f>Ringkasan!V1096</f>
        <v>6.41</v>
      </c>
      <c r="W1097" s="22">
        <f>Ringkasan!W1096</f>
        <v>468</v>
      </c>
      <c r="X1097" s="22">
        <f>Ringkasan!X1096</f>
        <v>498</v>
      </c>
      <c r="Y1097" s="22">
        <f>Ringkasan!Y1096</f>
        <v>450</v>
      </c>
      <c r="Z1097" s="22">
        <f>Ringkasan!Z1096</f>
        <v>20700</v>
      </c>
      <c r="AA1097" s="64" t="str">
        <f>Ringkasan!AA1096</f>
        <v>Household Goods</v>
      </c>
      <c r="AB1097" s="64" t="str">
        <f>Ringkasan!AB1096</f>
        <v>Consumer Cyclicals</v>
      </c>
    </row>
    <row r="1098" hidden="1">
      <c r="A1098" s="60" t="str">
        <f>Ringkasan!A1097</f>
        <v>LIFE</v>
      </c>
      <c r="B1098" s="60" t="str">
        <f>Ringkasan!B1097</f>
        <v>MSIG Life Insurance Indonesia Tbk.</v>
      </c>
      <c r="C1098" s="61">
        <f>Ringkasan!C1097</f>
        <v>5700</v>
      </c>
      <c r="D1098" s="60" t="str">
        <f>Ringkasan!D1097</f>
        <v>#N/A</v>
      </c>
      <c r="E1098" s="60" t="str">
        <f>Ringkasan!E1097</f>
        <v/>
      </c>
      <c r="F1098" s="60" t="str">
        <f>Ringkasan!F1097</f>
        <v/>
      </c>
      <c r="G1098" s="60">
        <f>Ringkasan!G1097</f>
        <v>0</v>
      </c>
      <c r="H1098" s="62">
        <f>Ringkasan!H1097</f>
        <v>47</v>
      </c>
      <c r="I1098" s="62">
        <f>Ringkasan!I1097</f>
        <v>1.5</v>
      </c>
      <c r="J1098" s="62">
        <f>Ringkasan!J1097</f>
        <v>3.2</v>
      </c>
      <c r="K1098" s="62">
        <f>Ringkasan!K1097</f>
        <v>1.7</v>
      </c>
      <c r="L1098" s="62">
        <f>Ringkasan!L1097</f>
        <v>0.86</v>
      </c>
      <c r="M1098" s="62">
        <f>Ringkasan!M1097</f>
        <v>47.9</v>
      </c>
      <c r="N1098" s="60" t="str">
        <f>Ringkasan!N1097</f>
        <v/>
      </c>
      <c r="O1098" s="60" t="str">
        <f>Ringkasan!O1097</f>
        <v/>
      </c>
      <c r="P1098" s="60" t="str">
        <f>Ringkasan!P1097</f>
        <v/>
      </c>
      <c r="Q1098" s="60" t="str">
        <f>Ringkasan!Q1097</f>
        <v/>
      </c>
      <c r="R1098" s="60" t="str">
        <f>Ringkasan!R1097</f>
        <v/>
      </c>
      <c r="S1098" s="60" t="str">
        <f>Ringkasan!S1097</f>
        <v/>
      </c>
      <c r="T1098" s="60" t="str">
        <f>Ringkasan!T1097</f>
        <v/>
      </c>
      <c r="U1098" s="60">
        <f>Ringkasan!U1097</f>
        <v>17.18</v>
      </c>
      <c r="V1098" s="60">
        <f>Ringkasan!V1097</f>
        <v>-9.14</v>
      </c>
      <c r="W1098" s="60">
        <f>Ringkasan!W1097</f>
        <v>17.12</v>
      </c>
      <c r="X1098" s="60">
        <f>Ringkasan!X1097</f>
        <v>17.2</v>
      </c>
      <c r="Y1098" s="60">
        <f>Ringkasan!Y1097</f>
        <v>15.33</v>
      </c>
      <c r="Z1098" s="60">
        <f>Ringkasan!Z1097</f>
        <v>786152</v>
      </c>
      <c r="AA1098" s="60" t="str">
        <f>Ringkasan!AA1097</f>
        <v>Insurance</v>
      </c>
      <c r="AB1098" s="60" t="str">
        <f>Ringkasan!AB1097</f>
        <v>Financials</v>
      </c>
    </row>
    <row r="1099" hidden="1">
      <c r="A1099" s="64" t="str">
        <f>Ringkasan!A1098</f>
        <v>LINK</v>
      </c>
      <c r="B1099" s="64" t="str">
        <f>Ringkasan!B1098</f>
        <v>Link Net Tbk.</v>
      </c>
      <c r="C1099" s="67">
        <f>Ringkasan!C1098</f>
        <v>1330</v>
      </c>
      <c r="D1099" s="22" t="str">
        <f>Ringkasan!D1098</f>
        <v>#N/A</v>
      </c>
      <c r="E1099" s="64" t="str">
        <f>Ringkasan!E1098</f>
        <v/>
      </c>
      <c r="F1099" s="64" t="str">
        <f>Ringkasan!F1098</f>
        <v/>
      </c>
      <c r="G1099" s="64">
        <f>Ringkasan!G1098</f>
        <v>0</v>
      </c>
      <c r="H1099" s="19">
        <f>Ringkasan!H1098</f>
        <v>-2.1</v>
      </c>
      <c r="I1099" s="19">
        <f>Ringkasan!I1098</f>
        <v>1</v>
      </c>
      <c r="J1099" s="19">
        <f>Ringkasan!J1098</f>
        <v>-48.8</v>
      </c>
      <c r="K1099" s="19">
        <f>Ringkasan!K1098</f>
        <v>-11.2</v>
      </c>
      <c r="L1099" s="19">
        <f>Ringkasan!L1098</f>
        <v>3.4</v>
      </c>
      <c r="M1099" s="19">
        <f>Ringkasan!M1098</f>
        <v>-230</v>
      </c>
      <c r="N1099" s="64" t="str">
        <f>Ringkasan!N1098</f>
        <v/>
      </c>
      <c r="O1099" s="64" t="str">
        <f>Ringkasan!O1098</f>
        <v/>
      </c>
      <c r="P1099" s="64" t="str">
        <f>Ringkasan!P1098</f>
        <v/>
      </c>
      <c r="Q1099" s="64" t="str">
        <f>Ringkasan!Q1098</f>
        <v/>
      </c>
      <c r="R1099" s="64" t="str">
        <f>Ringkasan!R1098</f>
        <v/>
      </c>
      <c r="S1099" s="64" t="str">
        <f>Ringkasan!S1098</f>
        <v/>
      </c>
      <c r="T1099" s="64" t="str">
        <f>Ringkasan!T1098</f>
        <v/>
      </c>
      <c r="U1099" s="22">
        <f>Ringkasan!U1098</f>
        <v>4.47</v>
      </c>
      <c r="V1099" s="22">
        <f>Ringkasan!V1098</f>
        <v>-1.79</v>
      </c>
      <c r="W1099" s="22">
        <f>Ringkasan!W1098</f>
        <v>4.46</v>
      </c>
      <c r="X1099" s="22">
        <f>Ringkasan!X1098</f>
        <v>4.53</v>
      </c>
      <c r="Y1099" s="22">
        <f>Ringkasan!Y1098</f>
        <v>4.32</v>
      </c>
      <c r="Z1099" s="22">
        <f>Ringkasan!Z1098</f>
        <v>8511</v>
      </c>
      <c r="AA1099" s="64" t="str">
        <f>Ringkasan!AA1098</f>
        <v>Telecommunication Service</v>
      </c>
      <c r="AB1099" s="64" t="str">
        <f>Ringkasan!AB1098</f>
        <v>Infrastructures</v>
      </c>
    </row>
    <row r="1100" hidden="1">
      <c r="A1100" s="64" t="str">
        <f>Ringkasan!A1099</f>
        <v>LION</v>
      </c>
      <c r="B1100" s="64" t="str">
        <f>Ringkasan!B1099</f>
        <v>Lion Metal Works Tbk.</v>
      </c>
      <c r="C1100" s="67">
        <f>Ringkasan!C1099</f>
        <v>330</v>
      </c>
      <c r="D1100" s="22" t="str">
        <f>Ringkasan!D1099</f>
        <v>#N/A</v>
      </c>
      <c r="E1100" s="64" t="str">
        <f>Ringkasan!E1099</f>
        <v/>
      </c>
      <c r="F1100" s="64" t="str">
        <f>Ringkasan!F1099</f>
        <v/>
      </c>
      <c r="G1100" s="64">
        <f>Ringkasan!G1099</f>
        <v>0</v>
      </c>
      <c r="H1100" s="19">
        <f>Ringkasan!H1099</f>
        <v>-8.6</v>
      </c>
      <c r="I1100" s="19">
        <f>Ringkasan!I1099</f>
        <v>0.43</v>
      </c>
      <c r="J1100" s="19">
        <f>Ringkasan!J1099</f>
        <v>-5</v>
      </c>
      <c r="K1100" s="19">
        <f>Ringkasan!K1099</f>
        <v>-3.8</v>
      </c>
      <c r="L1100" s="19">
        <f>Ringkasan!L1099</f>
        <v>0.31</v>
      </c>
      <c r="M1100" s="19">
        <f>Ringkasan!M1099</f>
        <v>-34.4</v>
      </c>
      <c r="N1100" s="64" t="str">
        <f>Ringkasan!N1099</f>
        <v/>
      </c>
      <c r="O1100" s="64" t="str">
        <f>Ringkasan!O1099</f>
        <v/>
      </c>
      <c r="P1100" s="64" t="str">
        <f>Ringkasan!P1099</f>
        <v/>
      </c>
      <c r="Q1100" s="64" t="str">
        <f>Ringkasan!Q1099</f>
        <v/>
      </c>
      <c r="R1100" s="64" t="str">
        <f>Ringkasan!R1099</f>
        <v/>
      </c>
      <c r="S1100" s="64" t="str">
        <f>Ringkasan!S1099</f>
        <v/>
      </c>
      <c r="T1100" s="64" t="str">
        <f>Ringkasan!T1099</f>
        <v/>
      </c>
      <c r="U1100" s="22">
        <f>Ringkasan!U1099</f>
        <v>13.92</v>
      </c>
      <c r="V1100" s="22">
        <f>Ringkasan!V1099</f>
        <v>2.87</v>
      </c>
      <c r="W1100" s="22">
        <f>Ringkasan!W1099</f>
        <v>13.96</v>
      </c>
      <c r="X1100" s="22">
        <f>Ringkasan!X1099</f>
        <v>14.49</v>
      </c>
      <c r="Y1100" s="22">
        <f>Ringkasan!Y1099</f>
        <v>13.62</v>
      </c>
      <c r="Z1100" s="22">
        <f>Ringkasan!Z1099</f>
        <v>3302163</v>
      </c>
      <c r="AA1100" s="64" t="str">
        <f>Ringkasan!AA1099</f>
        <v>Commercial Services</v>
      </c>
      <c r="AB1100" s="64" t="str">
        <f>Ringkasan!AB1099</f>
        <v>Industrials</v>
      </c>
    </row>
    <row r="1101" hidden="1">
      <c r="A1101" s="64" t="str">
        <f>Ringkasan!A1100</f>
        <v>LIVE</v>
      </c>
      <c r="B1101" s="64" t="str">
        <f>Ringkasan!B1100</f>
        <v>Homeco Victoria Makmur Tbk.</v>
      </c>
      <c r="C1101" s="67">
        <f>Ringkasan!C1100</f>
        <v>250</v>
      </c>
      <c r="D1101" s="22" t="str">
        <f>Ringkasan!D1100</f>
        <v>#N/A</v>
      </c>
      <c r="E1101" s="64" t="str">
        <f>Ringkasan!E1100</f>
        <v/>
      </c>
      <c r="F1101" s="64" t="str">
        <f>Ringkasan!F1100</f>
        <v/>
      </c>
      <c r="G1101" s="64">
        <f>Ringkasan!G1100</f>
        <v>0</v>
      </c>
      <c r="H1101" s="19">
        <f>Ringkasan!H1100</f>
        <v>630</v>
      </c>
      <c r="I1101" s="19">
        <f>Ringkasan!I1100</f>
        <v>2.8</v>
      </c>
      <c r="J1101" s="19">
        <f>Ringkasan!J1100</f>
        <v>0.45</v>
      </c>
      <c r="K1101" s="19">
        <f>Ringkasan!K1100</f>
        <v>0.29</v>
      </c>
      <c r="L1101" s="19">
        <f>Ringkasan!L1100</f>
        <v>0.56</v>
      </c>
      <c r="M1101" s="19">
        <f>Ringkasan!M1100</f>
        <v>3.3</v>
      </c>
      <c r="N1101" s="64" t="str">
        <f>Ringkasan!N1100</f>
        <v/>
      </c>
      <c r="O1101" s="64" t="str">
        <f>Ringkasan!O1100</f>
        <v/>
      </c>
      <c r="P1101" s="64" t="str">
        <f>Ringkasan!P1100</f>
        <v/>
      </c>
      <c r="Q1101" s="64" t="str">
        <f>Ringkasan!Q1100</f>
        <v/>
      </c>
      <c r="R1101" s="64" t="str">
        <f>Ringkasan!R1100</f>
        <v/>
      </c>
      <c r="S1101" s="64" t="str">
        <f>Ringkasan!S1100</f>
        <v/>
      </c>
      <c r="T1101" s="64" t="str">
        <f>Ringkasan!T1100</f>
        <v/>
      </c>
      <c r="U1101" s="22">
        <f>Ringkasan!U1100</f>
        <v>9.45</v>
      </c>
      <c r="V1101" s="22">
        <f>Ringkasan!V1100</f>
        <v>4.82</v>
      </c>
      <c r="W1101" s="22">
        <f>Ringkasan!W1100</f>
        <v>9.25</v>
      </c>
      <c r="X1101" s="22">
        <f>Ringkasan!X1100</f>
        <v>9.9</v>
      </c>
      <c r="Y1101" s="22">
        <f>Ringkasan!Y1100</f>
        <v>9.18</v>
      </c>
      <c r="Z1101" s="22">
        <f>Ringkasan!Z1100</f>
        <v>7282</v>
      </c>
      <c r="AA1101" s="64" t="str">
        <f>Ringkasan!AA1100</f>
        <v>Household Goods</v>
      </c>
      <c r="AB1101" s="64" t="str">
        <f>Ringkasan!AB1100</f>
        <v>Consumer Cyclicals</v>
      </c>
    </row>
    <row r="1102" hidden="1">
      <c r="A1102" s="64" t="str">
        <f>Ringkasan!A1101</f>
        <v>LMAS</v>
      </c>
      <c r="B1102" s="64" t="str">
        <f>Ringkasan!B1101</f>
        <v>Limas Indonesia Makmur Tbk</v>
      </c>
      <c r="C1102" s="67">
        <f>Ringkasan!C1101</f>
        <v>50</v>
      </c>
      <c r="D1102" s="22" t="str">
        <f>Ringkasan!D1101</f>
        <v>#N/A</v>
      </c>
      <c r="E1102" s="64" t="str">
        <f>Ringkasan!E1101</f>
        <v/>
      </c>
      <c r="F1102" s="64" t="str">
        <f>Ringkasan!F1101</f>
        <v/>
      </c>
      <c r="G1102" s="64">
        <f>Ringkasan!G1101</f>
        <v>0</v>
      </c>
      <c r="H1102" s="19">
        <f>Ringkasan!H1101</f>
        <v>0</v>
      </c>
      <c r="I1102" s="19">
        <f>Ringkasan!I1101</f>
        <v>0.32</v>
      </c>
      <c r="J1102" s="19">
        <f>Ringkasan!J1101</f>
        <v>1.6</v>
      </c>
      <c r="K1102" s="19">
        <f>Ringkasan!K1101</f>
        <v>0.59</v>
      </c>
      <c r="L1102" s="19">
        <f>Ringkasan!L1101</f>
        <v>1.8</v>
      </c>
      <c r="M1102" s="19">
        <f>Ringkasan!M1101</f>
        <v>6.4</v>
      </c>
      <c r="N1102" s="64" t="str">
        <f>Ringkasan!N1101</f>
        <v/>
      </c>
      <c r="O1102" s="64" t="str">
        <f>Ringkasan!O1101</f>
        <v/>
      </c>
      <c r="P1102" s="64" t="str">
        <f>Ringkasan!P1101</f>
        <v/>
      </c>
      <c r="Q1102" s="64" t="str">
        <f>Ringkasan!Q1101</f>
        <v/>
      </c>
      <c r="R1102" s="64" t="str">
        <f>Ringkasan!R1101</f>
        <v/>
      </c>
      <c r="S1102" s="64" t="str">
        <f>Ringkasan!S1101</f>
        <v/>
      </c>
      <c r="T1102" s="64" t="str">
        <f>Ringkasan!T1101</f>
        <v/>
      </c>
      <c r="U1102" s="22">
        <f>Ringkasan!U1101</f>
        <v>50</v>
      </c>
      <c r="V1102" s="22">
        <f>Ringkasan!V1101</f>
        <v>0</v>
      </c>
      <c r="W1102" s="22" t="str">
        <f>Ringkasan!W1101</f>
        <v/>
      </c>
      <c r="X1102" s="22" t="str">
        <f>Ringkasan!X1101</f>
        <v/>
      </c>
      <c r="Y1102" s="22" t="str">
        <f>Ringkasan!Y1101</f>
        <v/>
      </c>
      <c r="Z1102" s="22">
        <f>Ringkasan!Z1101</f>
        <v>0</v>
      </c>
      <c r="AA1102" s="64" t="str">
        <f>Ringkasan!AA1101</f>
        <v>IT Services &amp; Consulting</v>
      </c>
      <c r="AB1102" s="64" t="str">
        <f>Ringkasan!AB1101</f>
        <v>Technology</v>
      </c>
    </row>
    <row r="1103" hidden="1">
      <c r="A1103" s="64" t="str">
        <f>Ringkasan!A1102</f>
        <v>LMAX</v>
      </c>
      <c r="B1103" s="64" t="str">
        <f>Ringkasan!B1102</f>
        <v>PT Lupromax Pelumas Indonesia Tbk.</v>
      </c>
      <c r="C1103" s="67">
        <f>Ringkasan!C1102</f>
        <v>81</v>
      </c>
      <c r="D1103" s="22" t="str">
        <f>Ringkasan!D1102</f>
        <v>#N/A</v>
      </c>
      <c r="E1103" s="64" t="str">
        <f>Ringkasan!E1102</f>
        <v/>
      </c>
      <c r="F1103" s="64" t="str">
        <f>Ringkasan!F1102</f>
        <v/>
      </c>
      <c r="G1103" s="64">
        <f>Ringkasan!G1102</f>
        <v>0</v>
      </c>
      <c r="H1103" s="19">
        <f>Ringkasan!H1102</f>
        <v>100</v>
      </c>
      <c r="I1103" s="19">
        <f>Ringkasan!I1102</f>
        <v>1.5</v>
      </c>
      <c r="J1103" s="19">
        <f>Ringkasan!J1102</f>
        <v>1.4</v>
      </c>
      <c r="K1103" s="19">
        <f>Ringkasan!K1102</f>
        <v>1</v>
      </c>
      <c r="L1103" s="19">
        <f>Ringkasan!L1102</f>
        <v>0.38</v>
      </c>
      <c r="M1103" s="19">
        <f>Ringkasan!M1102</f>
        <v>1.1</v>
      </c>
      <c r="N1103" s="64" t="str">
        <f>Ringkasan!N1102</f>
        <v/>
      </c>
      <c r="O1103" s="64" t="str">
        <f>Ringkasan!O1102</f>
        <v/>
      </c>
      <c r="P1103" s="64" t="str">
        <f>Ringkasan!P1102</f>
        <v/>
      </c>
      <c r="Q1103" s="64" t="str">
        <f>Ringkasan!Q1102</f>
        <v/>
      </c>
      <c r="R1103" s="64" t="str">
        <f>Ringkasan!R1102</f>
        <v/>
      </c>
      <c r="S1103" s="64" t="str">
        <f>Ringkasan!S1102</f>
        <v/>
      </c>
      <c r="T1103" s="64" t="str">
        <f>Ringkasan!T1102</f>
        <v/>
      </c>
      <c r="U1103" s="22">
        <f>Ringkasan!U1102</f>
        <v>13.36</v>
      </c>
      <c r="V1103" s="22">
        <f>Ringkasan!V1102</f>
        <v>0.22</v>
      </c>
      <c r="W1103" s="22">
        <f>Ringkasan!W1102</f>
        <v>13.45</v>
      </c>
      <c r="X1103" s="22">
        <f>Ringkasan!X1102</f>
        <v>13.45</v>
      </c>
      <c r="Y1103" s="22">
        <f>Ringkasan!Y1102</f>
        <v>13.35</v>
      </c>
      <c r="Z1103" s="22">
        <f>Ringkasan!Z1102</f>
        <v>40825</v>
      </c>
      <c r="AA1103" s="64" t="str">
        <f>Ringkasan!AA1102</f>
        <v>Auto Components</v>
      </c>
      <c r="AB1103" s="64" t="str">
        <f>Ringkasan!AB1102</f>
        <v>Consumer Cyclicals</v>
      </c>
    </row>
    <row r="1104" hidden="1">
      <c r="A1104" s="64" t="str">
        <f>Ringkasan!A1103</f>
        <v>LMPI</v>
      </c>
      <c r="B1104" s="64" t="str">
        <f>Ringkasan!B1103</f>
        <v>Langgeng Makmur Industri Tbk</v>
      </c>
      <c r="C1104" s="67">
        <f>Ringkasan!C1103</f>
        <v>137</v>
      </c>
      <c r="D1104" s="22" t="str">
        <f>Ringkasan!D1103</f>
        <v>#N/A</v>
      </c>
      <c r="E1104" s="64" t="str">
        <f>Ringkasan!E1103</f>
        <v/>
      </c>
      <c r="F1104" s="64" t="str">
        <f>Ringkasan!F1103</f>
        <v/>
      </c>
      <c r="G1104" s="64">
        <f>Ringkasan!G1103</f>
        <v>0</v>
      </c>
      <c r="H1104" s="19">
        <f>Ringkasan!H1103</f>
        <v>-1.7</v>
      </c>
      <c r="I1104" s="19">
        <f>Ringkasan!I1103</f>
        <v>4.1</v>
      </c>
      <c r="J1104" s="19">
        <f>Ringkasan!J1103</f>
        <v>-250</v>
      </c>
      <c r="K1104" s="19">
        <f>Ringkasan!K1103</f>
        <v>-15.1</v>
      </c>
      <c r="L1104" s="19">
        <f>Ringkasan!L1103</f>
        <v>15.4</v>
      </c>
      <c r="M1104" s="19">
        <f>Ringkasan!M1103</f>
        <v>-130</v>
      </c>
      <c r="N1104" s="64" t="str">
        <f>Ringkasan!N1103</f>
        <v/>
      </c>
      <c r="O1104" s="64" t="str">
        <f>Ringkasan!O1103</f>
        <v/>
      </c>
      <c r="P1104" s="64" t="str">
        <f>Ringkasan!P1103</f>
        <v/>
      </c>
      <c r="Q1104" s="64" t="str">
        <f>Ringkasan!Q1103</f>
        <v/>
      </c>
      <c r="R1104" s="64" t="str">
        <f>Ringkasan!R1103</f>
        <v/>
      </c>
      <c r="S1104" s="64" t="str">
        <f>Ringkasan!S1103</f>
        <v/>
      </c>
      <c r="T1104" s="64" t="str">
        <f>Ringkasan!T1103</f>
        <v/>
      </c>
      <c r="U1104" s="22">
        <f>Ringkasan!U1103</f>
        <v>130</v>
      </c>
      <c r="V1104" s="22">
        <f>Ringkasan!V1103</f>
        <v>5.38</v>
      </c>
      <c r="W1104" s="22">
        <f>Ringkasan!W1103</f>
        <v>129</v>
      </c>
      <c r="X1104" s="22">
        <f>Ringkasan!X1103</f>
        <v>137</v>
      </c>
      <c r="Y1104" s="22">
        <f>Ringkasan!Y1103</f>
        <v>129</v>
      </c>
      <c r="Z1104" s="22">
        <f>Ringkasan!Z1103</f>
        <v>175100</v>
      </c>
      <c r="AA1104" s="64" t="str">
        <f>Ringkasan!AA1103</f>
        <v>Household Goods</v>
      </c>
      <c r="AB1104" s="64" t="str">
        <f>Ringkasan!AB1103</f>
        <v>Consumer Cyclicals</v>
      </c>
    </row>
    <row r="1105" hidden="1">
      <c r="A1105" s="60" t="str">
        <f>Ringkasan!A1125</f>
        <v>MAIN</v>
      </c>
      <c r="B1105" s="60" t="str">
        <f>Ringkasan!B1125</f>
        <v>Malindo Feedmill Tbk.</v>
      </c>
      <c r="C1105" s="61">
        <f>Ringkasan!C1125</f>
        <v>685</v>
      </c>
      <c r="D1105" s="60" t="str">
        <f>Ringkasan!D1125</f>
        <v>#N/A</v>
      </c>
      <c r="E1105" s="60" t="str">
        <f>Ringkasan!E1125</f>
        <v/>
      </c>
      <c r="F1105" s="60" t="str">
        <f>Ringkasan!F1125</f>
        <v/>
      </c>
      <c r="G1105" s="60">
        <f>Ringkasan!G1125</f>
        <v>0</v>
      </c>
      <c r="H1105" s="62">
        <f>Ringkasan!H1125</f>
        <v>4.1</v>
      </c>
      <c r="I1105" s="62">
        <f>Ringkasan!I1125</f>
        <v>0.62</v>
      </c>
      <c r="J1105" s="62">
        <f>Ringkasan!J1125</f>
        <v>15.1</v>
      </c>
      <c r="K1105" s="62">
        <f>Ringkasan!K1125</f>
        <v>7.4</v>
      </c>
      <c r="L1105" s="62">
        <f>Ringkasan!L1125</f>
        <v>1</v>
      </c>
      <c r="M1105" s="62">
        <f>Ringkasan!M1125</f>
        <v>12.3</v>
      </c>
      <c r="N1105" s="60" t="str">
        <f>Ringkasan!N1125</f>
        <v/>
      </c>
      <c r="O1105" s="60" t="str">
        <f>Ringkasan!O1125</f>
        <v/>
      </c>
      <c r="P1105" s="60" t="str">
        <f>Ringkasan!P1125</f>
        <v/>
      </c>
      <c r="Q1105" s="60" t="str">
        <f>Ringkasan!Q1125</f>
        <v/>
      </c>
      <c r="R1105" s="60" t="str">
        <f>Ringkasan!R1125</f>
        <v/>
      </c>
      <c r="S1105" s="60" t="str">
        <f>Ringkasan!S1125</f>
        <v/>
      </c>
      <c r="T1105" s="60" t="str">
        <f>Ringkasan!T1125</f>
        <v/>
      </c>
      <c r="U1105" s="60">
        <f>Ringkasan!U1125</f>
        <v>51.74</v>
      </c>
      <c r="V1105" s="60">
        <f>Ringkasan!V1125</f>
        <v>0.54</v>
      </c>
      <c r="W1105" s="60">
        <f>Ringkasan!W1125</f>
        <v>51.9</v>
      </c>
      <c r="X1105" s="60">
        <f>Ringkasan!X1125</f>
        <v>52.45</v>
      </c>
      <c r="Y1105" s="60">
        <f>Ringkasan!Y1125</f>
        <v>51.5</v>
      </c>
      <c r="Z1105" s="60">
        <f>Ringkasan!Z1125</f>
        <v>385627</v>
      </c>
      <c r="AA1105" s="60" t="str">
        <f>Ringkasan!AA1125</f>
        <v>Agricultural Products</v>
      </c>
      <c r="AB1105" s="60" t="str">
        <f>Ringkasan!AB1125</f>
        <v>Consumer Non-Cyclicals</v>
      </c>
    </row>
    <row r="1106" hidden="1">
      <c r="A1106" s="64" t="str">
        <f>Ringkasan!A1105</f>
        <v>LOPI</v>
      </c>
      <c r="B1106" s="64" t="str">
        <f>Ringkasan!B1105</f>
        <v>PT Logisticsplus International Tbk</v>
      </c>
      <c r="C1106" s="67">
        <f>Ringkasan!C1105</f>
        <v>62</v>
      </c>
      <c r="D1106" s="22" t="str">
        <f>Ringkasan!D1105</f>
        <v>#N/A</v>
      </c>
      <c r="E1106" s="64" t="str">
        <f>Ringkasan!E1105</f>
        <v/>
      </c>
      <c r="F1106" s="64" t="str">
        <f>Ringkasan!F1105</f>
        <v/>
      </c>
      <c r="G1106" s="64">
        <f>Ringkasan!G1105</f>
        <v>0</v>
      </c>
      <c r="H1106" s="19">
        <f>Ringkasan!H1105</f>
        <v>31.3</v>
      </c>
      <c r="I1106" s="19">
        <f>Ringkasan!I1105</f>
        <v>1.8</v>
      </c>
      <c r="J1106" s="19">
        <f>Ringkasan!J1105</f>
        <v>5.6</v>
      </c>
      <c r="K1106" s="19">
        <f>Ringkasan!K1105</f>
        <v>3.3</v>
      </c>
      <c r="L1106" s="19">
        <f>Ringkasan!L1105</f>
        <v>0.73</v>
      </c>
      <c r="M1106" s="19">
        <f>Ringkasan!M1105</f>
        <v>2.7</v>
      </c>
      <c r="N1106" s="64" t="str">
        <f>Ringkasan!N1105</f>
        <v/>
      </c>
      <c r="O1106" s="64" t="str">
        <f>Ringkasan!O1105</f>
        <v/>
      </c>
      <c r="P1106" s="64" t="str">
        <f>Ringkasan!P1105</f>
        <v/>
      </c>
      <c r="Q1106" s="64" t="str">
        <f>Ringkasan!Q1105</f>
        <v/>
      </c>
      <c r="R1106" s="64" t="str">
        <f>Ringkasan!R1105</f>
        <v/>
      </c>
      <c r="S1106" s="64" t="str">
        <f>Ringkasan!S1105</f>
        <v/>
      </c>
      <c r="T1106" s="64" t="str">
        <f>Ringkasan!T1105</f>
        <v/>
      </c>
      <c r="U1106" s="22">
        <f>Ringkasan!U1105</f>
        <v>60</v>
      </c>
      <c r="V1106" s="22">
        <f>Ringkasan!V1105</f>
        <v>3.33</v>
      </c>
      <c r="W1106" s="22">
        <f>Ringkasan!W1105</f>
        <v>62</v>
      </c>
      <c r="X1106" s="22">
        <f>Ringkasan!X1105</f>
        <v>65</v>
      </c>
      <c r="Y1106" s="22">
        <f>Ringkasan!Y1105</f>
        <v>58</v>
      </c>
      <c r="Z1106" s="22">
        <f>Ringkasan!Z1105</f>
        <v>2177100</v>
      </c>
      <c r="AA1106" s="64" t="str">
        <f>Ringkasan!AA1105</f>
        <v>Logistics &amp; Deliveries</v>
      </c>
      <c r="AB1106" s="64" t="str">
        <f>Ringkasan!AB1105</f>
        <v>Transportation &amp; Logistic</v>
      </c>
    </row>
    <row r="1107" hidden="1">
      <c r="A1107" s="64" t="str">
        <f>Ringkasan!A1106</f>
        <v>LPCK</v>
      </c>
      <c r="B1107" s="64" t="str">
        <f>Ringkasan!B1106</f>
        <v>Lippo Cikarang Tbk</v>
      </c>
      <c r="C1107" s="67">
        <f>Ringkasan!C1106</f>
        <v>520</v>
      </c>
      <c r="D1107" s="22" t="str">
        <f>Ringkasan!D1106</f>
        <v>#N/A</v>
      </c>
      <c r="E1107" s="64" t="str">
        <f>Ringkasan!E1106</f>
        <v/>
      </c>
      <c r="F1107" s="64" t="str">
        <f>Ringkasan!F1106</f>
        <v/>
      </c>
      <c r="G1107" s="64">
        <f>Ringkasan!G1106</f>
        <v>0</v>
      </c>
      <c r="H1107" s="19">
        <f>Ringkasan!H1106</f>
        <v>16.9</v>
      </c>
      <c r="I1107" s="19">
        <f>Ringkasan!I1106</f>
        <v>0.38</v>
      </c>
      <c r="J1107" s="19">
        <f>Ringkasan!J1106</f>
        <v>2.3</v>
      </c>
      <c r="K1107" s="19">
        <f>Ringkasan!K1106</f>
        <v>1.4</v>
      </c>
      <c r="L1107" s="19">
        <f>Ringkasan!L1106</f>
        <v>0.65</v>
      </c>
      <c r="M1107" s="19">
        <f>Ringkasan!M1106</f>
        <v>20</v>
      </c>
      <c r="N1107" s="64" t="str">
        <f>Ringkasan!N1106</f>
        <v/>
      </c>
      <c r="O1107" s="64" t="str">
        <f>Ringkasan!O1106</f>
        <v/>
      </c>
      <c r="P1107" s="64" t="str">
        <f>Ringkasan!P1106</f>
        <v/>
      </c>
      <c r="Q1107" s="64" t="str">
        <f>Ringkasan!Q1106</f>
        <v/>
      </c>
      <c r="R1107" s="64" t="str">
        <f>Ringkasan!R1106</f>
        <v/>
      </c>
      <c r="S1107" s="64" t="str">
        <f>Ringkasan!S1106</f>
        <v/>
      </c>
      <c r="T1107" s="64" t="str">
        <f>Ringkasan!T1106</f>
        <v/>
      </c>
      <c r="U1107" s="22">
        <f>Ringkasan!U1106</f>
        <v>520</v>
      </c>
      <c r="V1107" s="22">
        <f>Ringkasan!V1106</f>
        <v>0</v>
      </c>
      <c r="W1107" s="22">
        <f>Ringkasan!W1106</f>
        <v>550</v>
      </c>
      <c r="X1107" s="22">
        <f>Ringkasan!X1106</f>
        <v>550</v>
      </c>
      <c r="Y1107" s="22" t="str">
        <f>Ringkasan!Y1106</f>
        <v/>
      </c>
      <c r="Z1107" s="22">
        <f>Ringkasan!Z1106</f>
        <v>332300</v>
      </c>
      <c r="AA1107" s="64" t="str">
        <f>Ringkasan!AA1106</f>
        <v>Real Estate Management &amp; Development</v>
      </c>
      <c r="AB1107" s="64" t="str">
        <f>Ringkasan!AB1106</f>
        <v>Properties &amp; Real Estate</v>
      </c>
    </row>
    <row r="1108" hidden="1">
      <c r="A1108" s="64" t="str">
        <f>Ringkasan!A1107</f>
        <v>LPGI</v>
      </c>
      <c r="B1108" s="64" t="str">
        <f>Ringkasan!B1107</f>
        <v>Lippo General Insurance Tbk.</v>
      </c>
      <c r="C1108" s="67">
        <f>Ringkasan!C1107</f>
        <v>660</v>
      </c>
      <c r="D1108" s="22" t="str">
        <f>Ringkasan!D1107</f>
        <v>#N/A</v>
      </c>
      <c r="E1108" s="64" t="str">
        <f>Ringkasan!E1107</f>
        <v/>
      </c>
      <c r="F1108" s="64" t="str">
        <f>Ringkasan!F1107</f>
        <v/>
      </c>
      <c r="G1108" s="64">
        <f>Ringkasan!G1107</f>
        <v>0</v>
      </c>
      <c r="H1108" s="19">
        <f>Ringkasan!H1107</f>
        <v>14</v>
      </c>
      <c r="I1108" s="19">
        <f>Ringkasan!I1107</f>
        <v>2</v>
      </c>
      <c r="J1108" s="19">
        <f>Ringkasan!J1107</f>
        <v>14</v>
      </c>
      <c r="K1108" s="19">
        <f>Ringkasan!K1107</f>
        <v>4.2</v>
      </c>
      <c r="L1108" s="19">
        <f>Ringkasan!L1107</f>
        <v>2.3</v>
      </c>
      <c r="M1108" s="19">
        <f>Ringkasan!M1107</f>
        <v>13</v>
      </c>
      <c r="N1108" s="64" t="str">
        <f>Ringkasan!N1107</f>
        <v/>
      </c>
      <c r="O1108" s="64" t="str">
        <f>Ringkasan!O1107</f>
        <v/>
      </c>
      <c r="P1108" s="64" t="str">
        <f>Ringkasan!P1107</f>
        <v/>
      </c>
      <c r="Q1108" s="64" t="str">
        <f>Ringkasan!Q1107</f>
        <v/>
      </c>
      <c r="R1108" s="64" t="str">
        <f>Ringkasan!R1107</f>
        <v/>
      </c>
      <c r="S1108" s="64" t="str">
        <f>Ringkasan!S1107</f>
        <v/>
      </c>
      <c r="T1108" s="64" t="str">
        <f>Ringkasan!T1107</f>
        <v/>
      </c>
      <c r="U1108" s="22">
        <f>Ringkasan!U1107</f>
        <v>660</v>
      </c>
      <c r="V1108" s="22">
        <f>Ringkasan!V1107</f>
        <v>0</v>
      </c>
      <c r="W1108" s="22">
        <f>Ringkasan!W1107</f>
        <v>675</v>
      </c>
      <c r="X1108" s="22">
        <f>Ringkasan!X1107</f>
        <v>675</v>
      </c>
      <c r="Y1108" s="22">
        <f>Ringkasan!Y1107</f>
        <v>605</v>
      </c>
      <c r="Z1108" s="22">
        <f>Ringkasan!Z1107</f>
        <v>8300</v>
      </c>
      <c r="AA1108" s="64" t="str">
        <f>Ringkasan!AA1107</f>
        <v>Insurance</v>
      </c>
      <c r="AB1108" s="64" t="str">
        <f>Ringkasan!AB1107</f>
        <v>Financials</v>
      </c>
    </row>
    <row r="1109" hidden="1">
      <c r="A1109" s="64" t="str">
        <f>Ringkasan!A1108</f>
        <v>LPIN</v>
      </c>
      <c r="B1109" s="64" t="str">
        <f>Ringkasan!B1108</f>
        <v>Multi Prima Sejahtera Tbk</v>
      </c>
      <c r="C1109" s="67">
        <f>Ringkasan!C1108</f>
        <v>396</v>
      </c>
      <c r="D1109" s="22" t="str">
        <f>Ringkasan!D1108</f>
        <v>#N/A</v>
      </c>
      <c r="E1109" s="64" t="str">
        <f>Ringkasan!E1108</f>
        <v/>
      </c>
      <c r="F1109" s="64" t="str">
        <f>Ringkasan!F1108</f>
        <v/>
      </c>
      <c r="G1109" s="64">
        <f>Ringkasan!G1108</f>
        <v>0</v>
      </c>
      <c r="H1109" s="19">
        <f>Ringkasan!H1108</f>
        <v>5.3</v>
      </c>
      <c r="I1109" s="19">
        <f>Ringkasan!I1108</f>
        <v>0.47</v>
      </c>
      <c r="J1109" s="19">
        <f>Ringkasan!J1108</f>
        <v>9</v>
      </c>
      <c r="K1109" s="19">
        <f>Ringkasan!K1108</f>
        <v>8.3</v>
      </c>
      <c r="L1109" s="19">
        <f>Ringkasan!L1108</f>
        <v>0.09</v>
      </c>
      <c r="M1109" s="19">
        <f>Ringkasan!M1108</f>
        <v>77</v>
      </c>
      <c r="N1109" s="64" t="str">
        <f>Ringkasan!N1108</f>
        <v/>
      </c>
      <c r="O1109" s="64" t="str">
        <f>Ringkasan!O1108</f>
        <v/>
      </c>
      <c r="P1109" s="64" t="str">
        <f>Ringkasan!P1108</f>
        <v/>
      </c>
      <c r="Q1109" s="64" t="str">
        <f>Ringkasan!Q1108</f>
        <v/>
      </c>
      <c r="R1109" s="64" t="str">
        <f>Ringkasan!R1108</f>
        <v/>
      </c>
      <c r="S1109" s="64" t="str">
        <f>Ringkasan!S1108</f>
        <v/>
      </c>
      <c r="T1109" s="64" t="str">
        <f>Ringkasan!T1108</f>
        <v/>
      </c>
      <c r="U1109" s="22">
        <f>Ringkasan!U1108</f>
        <v>390</v>
      </c>
      <c r="V1109" s="22">
        <f>Ringkasan!V1108</f>
        <v>1.54</v>
      </c>
      <c r="W1109" s="22">
        <f>Ringkasan!W1108</f>
        <v>390</v>
      </c>
      <c r="X1109" s="22">
        <f>Ringkasan!X1108</f>
        <v>396</v>
      </c>
      <c r="Y1109" s="22">
        <f>Ringkasan!Y1108</f>
        <v>390</v>
      </c>
      <c r="Z1109" s="22">
        <f>Ringkasan!Z1108</f>
        <v>31700</v>
      </c>
      <c r="AA1109" s="64" t="str">
        <f>Ringkasan!AA1108</f>
        <v>Auto Components</v>
      </c>
      <c r="AB1109" s="64" t="str">
        <f>Ringkasan!AB1108</f>
        <v>Consumer Cyclicals</v>
      </c>
    </row>
    <row r="1110" hidden="1">
      <c r="A1110" s="64" t="str">
        <f>Ringkasan!A1109</f>
        <v>LPKR</v>
      </c>
      <c r="B1110" s="64" t="str">
        <f>Ringkasan!B1109</f>
        <v>Lippo Karawaci Tbk.</v>
      </c>
      <c r="C1110" s="67">
        <f>Ringkasan!C1109</f>
        <v>64</v>
      </c>
      <c r="D1110" s="22" t="str">
        <f>Ringkasan!D1109</f>
        <v>#N/A</v>
      </c>
      <c r="E1110" s="64" t="str">
        <f>Ringkasan!E1109</f>
        <v/>
      </c>
      <c r="F1110" s="64" t="str">
        <f>Ringkasan!F1109</f>
        <v/>
      </c>
      <c r="G1110" s="64">
        <f>Ringkasan!G1109</f>
        <v>0</v>
      </c>
      <c r="H1110" s="19">
        <f>Ringkasan!H1109</f>
        <v>12</v>
      </c>
      <c r="I1110" s="19">
        <f>Ringkasan!I1109</f>
        <v>0.16</v>
      </c>
      <c r="J1110" s="19">
        <f>Ringkasan!J1109</f>
        <v>1.3</v>
      </c>
      <c r="K1110" s="19">
        <f>Ringkasan!K1109</f>
        <v>0.84</v>
      </c>
      <c r="L1110" s="19">
        <f>Ringkasan!L1109</f>
        <v>0.59</v>
      </c>
      <c r="M1110" s="19">
        <f>Ringkasan!M1109</f>
        <v>22.6</v>
      </c>
      <c r="N1110" s="64" t="str">
        <f>Ringkasan!N1109</f>
        <v/>
      </c>
      <c r="O1110" s="64" t="str">
        <f>Ringkasan!O1109</f>
        <v/>
      </c>
      <c r="P1110" s="64" t="str">
        <f>Ringkasan!P1109</f>
        <v/>
      </c>
      <c r="Q1110" s="64" t="str">
        <f>Ringkasan!Q1109</f>
        <v/>
      </c>
      <c r="R1110" s="64" t="str">
        <f>Ringkasan!R1109</f>
        <v/>
      </c>
      <c r="S1110" s="64" t="str">
        <f>Ringkasan!S1109</f>
        <v/>
      </c>
      <c r="T1110" s="64" t="str">
        <f>Ringkasan!T1109</f>
        <v/>
      </c>
      <c r="U1110" s="22">
        <f>Ringkasan!U1109</f>
        <v>61</v>
      </c>
      <c r="V1110" s="22">
        <f>Ringkasan!V1109</f>
        <v>4.92</v>
      </c>
      <c r="W1110" s="22" t="str">
        <f>Ringkasan!W1109</f>
        <v/>
      </c>
      <c r="X1110" s="22">
        <f>Ringkasan!X1109</f>
        <v>65</v>
      </c>
      <c r="Y1110" s="22">
        <f>Ringkasan!Y1109</f>
        <v>62</v>
      </c>
      <c r="Z1110" s="22">
        <f>Ringkasan!Z1109</f>
        <v>76873800</v>
      </c>
      <c r="AA1110" s="64" t="str">
        <f>Ringkasan!AA1109</f>
        <v>Real Estate Management &amp; Development</v>
      </c>
      <c r="AB1110" s="64" t="str">
        <f>Ringkasan!AB1109</f>
        <v>Properties &amp; Real Estate</v>
      </c>
    </row>
    <row r="1111" hidden="1">
      <c r="A1111" s="64" t="str">
        <f>Ringkasan!A1110</f>
        <v>LPLI</v>
      </c>
      <c r="B1111" s="64" t="str">
        <f>Ringkasan!B1110</f>
        <v>Star Pacific Tbk</v>
      </c>
      <c r="C1111" s="65">
        <f>Ringkasan!C1110</f>
        <v>246</v>
      </c>
      <c r="D1111" s="64" t="str">
        <f>Ringkasan!D1110</f>
        <v>#N/A</v>
      </c>
      <c r="E1111" s="64" t="str">
        <f>Ringkasan!E1110</f>
        <v/>
      </c>
      <c r="F1111" s="64" t="str">
        <f>Ringkasan!F1110</f>
        <v/>
      </c>
      <c r="G1111" s="64">
        <f>Ringkasan!G1110</f>
        <v>0</v>
      </c>
      <c r="H1111" s="19">
        <f>Ringkasan!H1110</f>
        <v>0.34</v>
      </c>
      <c r="I1111" s="19">
        <f>Ringkasan!I1110</f>
        <v>0.15</v>
      </c>
      <c r="J1111" s="19">
        <f>Ringkasan!J1110</f>
        <v>44.1</v>
      </c>
      <c r="K1111" s="19">
        <f>Ringkasan!K1110</f>
        <v>43.6</v>
      </c>
      <c r="L1111" s="19">
        <f>Ringkasan!L1110</f>
        <v>0.01</v>
      </c>
      <c r="M1111" s="19">
        <f>Ringkasan!M1110</f>
        <v>34000</v>
      </c>
      <c r="N1111" s="64" t="str">
        <f>Ringkasan!N1110</f>
        <v/>
      </c>
      <c r="O1111" s="64" t="str">
        <f>Ringkasan!O1110</f>
        <v/>
      </c>
      <c r="P1111" s="64" t="str">
        <f>Ringkasan!P1110</f>
        <v/>
      </c>
      <c r="Q1111" s="64" t="str">
        <f>Ringkasan!Q1110</f>
        <v/>
      </c>
      <c r="R1111" s="64" t="str">
        <f>Ringkasan!R1110</f>
        <v/>
      </c>
      <c r="S1111" s="64" t="str">
        <f>Ringkasan!S1110</f>
        <v/>
      </c>
      <c r="T1111" s="64" t="str">
        <f>Ringkasan!T1110</f>
        <v/>
      </c>
      <c r="U1111" s="64">
        <f>Ringkasan!U1110</f>
        <v>240</v>
      </c>
      <c r="V1111" s="64">
        <f>Ringkasan!V1110</f>
        <v>2.5</v>
      </c>
      <c r="W1111" s="64" t="str">
        <f>Ringkasan!W1110</f>
        <v/>
      </c>
      <c r="X1111" s="64">
        <f>Ringkasan!X1110</f>
        <v>246</v>
      </c>
      <c r="Y1111" s="64">
        <f>Ringkasan!Y1110</f>
        <v>224</v>
      </c>
      <c r="Z1111" s="64">
        <f>Ringkasan!Z1110</f>
        <v>83400</v>
      </c>
      <c r="AA1111" s="64" t="str">
        <f>Ringkasan!AA1110</f>
        <v>Real Estate Management &amp; Development</v>
      </c>
      <c r="AB1111" s="64" t="str">
        <f>Ringkasan!AB1110</f>
        <v>Properties &amp; Real Estate</v>
      </c>
    </row>
    <row r="1112" hidden="1">
      <c r="A1112" s="64" t="str">
        <f>Ringkasan!A1111</f>
        <v>LPPF</v>
      </c>
      <c r="B1112" s="64" t="str">
        <f>Ringkasan!B1111</f>
        <v>MDS Retailing Tbk.</v>
      </c>
      <c r="C1112" s="65">
        <f>Ringkasan!C1111</f>
        <v>1595</v>
      </c>
      <c r="D1112" s="64" t="str">
        <f>Ringkasan!D1111</f>
        <v>#N/A</v>
      </c>
      <c r="E1112" s="64" t="str">
        <f>Ringkasan!E1111</f>
        <v/>
      </c>
      <c r="F1112" s="64" t="str">
        <f>Ringkasan!F1111</f>
        <v/>
      </c>
      <c r="G1112" s="64">
        <f>Ringkasan!G1111</f>
        <v>0</v>
      </c>
      <c r="H1112" s="19">
        <f>Ringkasan!H1111</f>
        <v>4.7</v>
      </c>
      <c r="I1112" s="19">
        <f>Ringkasan!I1111</f>
        <v>3.6</v>
      </c>
      <c r="J1112" s="19">
        <f>Ringkasan!J1111</f>
        <v>76.8</v>
      </c>
      <c r="K1112" s="19">
        <f>Ringkasan!K1111</f>
        <v>11.3</v>
      </c>
      <c r="L1112" s="19">
        <f>Ringkasan!L1111</f>
        <v>5.8</v>
      </c>
      <c r="M1112" s="19">
        <f>Ringkasan!M1111</f>
        <v>31.1</v>
      </c>
      <c r="N1112" s="64" t="str">
        <f>Ringkasan!N1111</f>
        <v/>
      </c>
      <c r="O1112" s="64" t="str">
        <f>Ringkasan!O1111</f>
        <v/>
      </c>
      <c r="P1112" s="64" t="str">
        <f>Ringkasan!P1111</f>
        <v/>
      </c>
      <c r="Q1112" s="64" t="str">
        <f>Ringkasan!Q1111</f>
        <v/>
      </c>
      <c r="R1112" s="64" t="str">
        <f>Ringkasan!R1111</f>
        <v/>
      </c>
      <c r="S1112" s="64" t="str">
        <f>Ringkasan!S1111</f>
        <v/>
      </c>
      <c r="T1112" s="64" t="str">
        <f>Ringkasan!T1111</f>
        <v/>
      </c>
      <c r="U1112" s="64">
        <f>Ringkasan!U1111</f>
        <v>1540</v>
      </c>
      <c r="V1112" s="64">
        <f>Ringkasan!V1111</f>
        <v>3.57</v>
      </c>
      <c r="W1112" s="64">
        <f>Ringkasan!W1111</f>
        <v>1540</v>
      </c>
      <c r="X1112" s="64">
        <f>Ringkasan!X1111</f>
        <v>1595</v>
      </c>
      <c r="Y1112" s="64">
        <f>Ringkasan!Y1111</f>
        <v>1540</v>
      </c>
      <c r="Z1112" s="64">
        <f>Ringkasan!Z1111</f>
        <v>1279900</v>
      </c>
      <c r="AA1112" s="64" t="str">
        <f>Ringkasan!AA1111</f>
        <v>Department Stores</v>
      </c>
      <c r="AB1112" s="64" t="str">
        <f>Ringkasan!AB1111</f>
        <v>Consumer Cyclicals</v>
      </c>
    </row>
    <row r="1113" hidden="1">
      <c r="A1113" s="60" t="str">
        <f>Ringkasan!A1112</f>
        <v>LPPS</v>
      </c>
      <c r="B1113" s="60" t="str">
        <f>Ringkasan!B1112</f>
        <v>PT Lenox Pasifik Investama Tbk</v>
      </c>
      <c r="C1113" s="61">
        <f>Ringkasan!C1112</f>
        <v>68</v>
      </c>
      <c r="D1113" s="60" t="str">
        <f>Ringkasan!D1112</f>
        <v>#N/A</v>
      </c>
      <c r="E1113" s="60" t="str">
        <f>Ringkasan!E1112</f>
        <v/>
      </c>
      <c r="F1113" s="60" t="str">
        <f>Ringkasan!F1112</f>
        <v/>
      </c>
      <c r="G1113" s="61">
        <f>Ringkasan!G1112</f>
        <v>0</v>
      </c>
      <c r="H1113" s="62">
        <f>Ringkasan!H1112</f>
        <v>13.1</v>
      </c>
      <c r="I1113" s="62">
        <f>Ringkasan!I1112</f>
        <v>0.26</v>
      </c>
      <c r="J1113" s="62">
        <f>Ringkasan!J1112</f>
        <v>2</v>
      </c>
      <c r="K1113" s="62">
        <f>Ringkasan!K1112</f>
        <v>2</v>
      </c>
      <c r="L1113" s="62">
        <f>Ringkasan!L1112</f>
        <v>0</v>
      </c>
      <c r="M1113" s="62">
        <f>Ringkasan!M1112</f>
        <v>16000</v>
      </c>
      <c r="N1113" s="60" t="str">
        <f>Ringkasan!N1112</f>
        <v/>
      </c>
      <c r="O1113" s="60" t="str">
        <f>Ringkasan!O1112</f>
        <v/>
      </c>
      <c r="P1113" s="60" t="str">
        <f>Ringkasan!P1112</f>
        <v/>
      </c>
      <c r="Q1113" s="60" t="str">
        <f>Ringkasan!Q1112</f>
        <v/>
      </c>
      <c r="R1113" s="60" t="str">
        <f>Ringkasan!R1112</f>
        <v/>
      </c>
      <c r="S1113" s="60" t="str">
        <f>Ringkasan!S1112</f>
        <v/>
      </c>
      <c r="T1113" s="60" t="str">
        <f>Ringkasan!T1112</f>
        <v/>
      </c>
      <c r="U1113" s="60">
        <f>Ringkasan!U1112</f>
        <v>66</v>
      </c>
      <c r="V1113" s="60">
        <f>Ringkasan!V1112</f>
        <v>3.03</v>
      </c>
      <c r="W1113" s="60">
        <f>Ringkasan!W1112</f>
        <v>67</v>
      </c>
      <c r="X1113" s="60">
        <f>Ringkasan!X1112</f>
        <v>71</v>
      </c>
      <c r="Y1113" s="60">
        <f>Ringkasan!Y1112</f>
        <v>67</v>
      </c>
      <c r="Z1113" s="60">
        <f>Ringkasan!Z1112</f>
        <v>1177900</v>
      </c>
      <c r="AA1113" s="60" t="str">
        <f>Ringkasan!AA1112</f>
        <v>Holding &amp; Investment Companies</v>
      </c>
      <c r="AB1113" s="60" t="str">
        <f>Ringkasan!AB1112</f>
        <v>Financials</v>
      </c>
    </row>
    <row r="1114" hidden="1">
      <c r="A1114" s="60" t="str">
        <f>Ringkasan!A1113</f>
        <v>LRNA</v>
      </c>
      <c r="B1114" s="60" t="str">
        <f>Ringkasan!B1113</f>
        <v>PT Eka Sari Lorena Transport Tbk.</v>
      </c>
      <c r="C1114" s="61">
        <f>Ringkasan!C1113</f>
        <v>181</v>
      </c>
      <c r="D1114" s="60" t="str">
        <f>Ringkasan!D1113</f>
        <v>#N/A</v>
      </c>
      <c r="E1114" s="60" t="str">
        <f>Ringkasan!E1113</f>
        <v/>
      </c>
      <c r="F1114" s="60" t="str">
        <f>Ringkasan!F1113</f>
        <v/>
      </c>
      <c r="G1114" s="60">
        <f>Ringkasan!G1113</f>
        <v>0</v>
      </c>
      <c r="H1114" s="62">
        <f>Ringkasan!H1113</f>
        <v>-2.9</v>
      </c>
      <c r="I1114" s="62">
        <f>Ringkasan!I1113</f>
        <v>0.26</v>
      </c>
      <c r="J1114" s="62">
        <f>Ringkasan!J1113</f>
        <v>-8.8</v>
      </c>
      <c r="K1114" s="62">
        <f>Ringkasan!K1113</f>
        <v>-7.7</v>
      </c>
      <c r="L1114" s="62">
        <f>Ringkasan!L1113</f>
        <v>0.14</v>
      </c>
      <c r="M1114" s="62">
        <f>Ringkasan!M1113</f>
        <v>-160</v>
      </c>
      <c r="N1114" s="60" t="str">
        <f>Ringkasan!N1113</f>
        <v/>
      </c>
      <c r="O1114" s="60" t="str">
        <f>Ringkasan!O1113</f>
        <v/>
      </c>
      <c r="P1114" s="60" t="str">
        <f>Ringkasan!P1113</f>
        <v/>
      </c>
      <c r="Q1114" s="60" t="str">
        <f>Ringkasan!Q1113</f>
        <v/>
      </c>
      <c r="R1114" s="60" t="str">
        <f>Ringkasan!R1113</f>
        <v/>
      </c>
      <c r="S1114" s="60" t="str">
        <f>Ringkasan!S1113</f>
        <v/>
      </c>
      <c r="T1114" s="60" t="str">
        <f>Ringkasan!T1113</f>
        <v/>
      </c>
      <c r="U1114" s="60">
        <f>Ringkasan!U1113</f>
        <v>174</v>
      </c>
      <c r="V1114" s="60" t="str">
        <f>Ringkasan!V1113</f>
        <v/>
      </c>
      <c r="W1114" s="60">
        <f>Ringkasan!W1113</f>
        <v>173</v>
      </c>
      <c r="X1114" s="60">
        <f>Ringkasan!X1113</f>
        <v>182</v>
      </c>
      <c r="Y1114" s="60">
        <f>Ringkasan!Y1113</f>
        <v>173</v>
      </c>
      <c r="Z1114" s="60">
        <f>Ringkasan!Z1113</f>
        <v>264800</v>
      </c>
      <c r="AA1114" s="60" t="str">
        <f>Ringkasan!AA1113</f>
        <v>Passenger Land Transportation</v>
      </c>
      <c r="AB1114" s="64" t="str">
        <f>Ringkasan!AB1113</f>
        <v>Transportation &amp; Logistic</v>
      </c>
    </row>
    <row r="1115">
      <c r="A1115" s="60" t="str">
        <f>Ringkasan!A1114</f>
        <v>LSIP</v>
      </c>
      <c r="B1115" s="60" t="str">
        <f>Ringkasan!B1114</f>
        <v>PP London Sumatra Indonesia Tbk</v>
      </c>
      <c r="C1115" s="61">
        <f>Ringkasan!C1114</f>
        <v>1250</v>
      </c>
      <c r="D1115" s="60" t="str">
        <f>Ringkasan!D1114</f>
        <v>#N/A</v>
      </c>
      <c r="E1115" s="60" t="str">
        <f>Ringkasan!E1114</f>
        <v>IDXSHAGROW</v>
      </c>
      <c r="F1115" s="63">
        <f>Ringkasan!F1114</f>
        <v>46356</v>
      </c>
      <c r="G1115" s="61">
        <f>Ringkasan!G1114</f>
        <v>5</v>
      </c>
      <c r="H1115" s="62">
        <f>Ringkasan!H1114</f>
        <v>4.7</v>
      </c>
      <c r="I1115" s="62">
        <f>Ringkasan!I1114</f>
        <v>0.61</v>
      </c>
      <c r="J1115" s="62">
        <f>Ringkasan!J1114</f>
        <v>13.1</v>
      </c>
      <c r="K1115" s="62">
        <f>Ringkasan!K1114</f>
        <v>12</v>
      </c>
      <c r="L1115" s="62">
        <f>Ringkasan!L1114</f>
        <v>0.1</v>
      </c>
      <c r="M1115" s="62">
        <f>Ringkasan!M1114</f>
        <v>140</v>
      </c>
      <c r="N1115" s="60" t="str">
        <f>Ringkasan!N1114</f>
        <v/>
      </c>
      <c r="O1115" s="60" t="str">
        <f>Ringkasan!O1114</f>
        <v/>
      </c>
      <c r="P1115" s="60" t="str">
        <f>Ringkasan!P1114</f>
        <v/>
      </c>
      <c r="Q1115" s="60" t="str">
        <f>Ringkasan!Q1114</f>
        <v/>
      </c>
      <c r="R1115" s="60" t="str">
        <f>Ringkasan!R1114</f>
        <v/>
      </c>
      <c r="S1115" s="60" t="str">
        <f>Ringkasan!S1114</f>
        <v/>
      </c>
      <c r="T1115" s="60" t="str">
        <f>Ringkasan!T1114</f>
        <v/>
      </c>
      <c r="U1115" s="60">
        <f>Ringkasan!U1114</f>
        <v>1195</v>
      </c>
      <c r="V1115" s="60">
        <f>Ringkasan!V1114</f>
        <v>4.6</v>
      </c>
      <c r="W1115" s="60">
        <f>Ringkasan!W1114</f>
        <v>1200</v>
      </c>
      <c r="X1115" s="60">
        <f>Ringkasan!X1114</f>
        <v>1285</v>
      </c>
      <c r="Y1115" s="60">
        <f>Ringkasan!Y1114</f>
        <v>1200</v>
      </c>
      <c r="Z1115" s="60">
        <f>Ringkasan!Z1114</f>
        <v>19224200</v>
      </c>
      <c r="AA1115" s="60" t="str">
        <f>Ringkasan!AA1114</f>
        <v>Agricultural Products</v>
      </c>
      <c r="AB1115" s="64" t="str">
        <f>Ringkasan!AB1114</f>
        <v>Consumer Non-Cyclicals</v>
      </c>
    </row>
    <row r="1116">
      <c r="A1116" s="60" t="str">
        <f>Ringkasan!A1115</f>
        <v>LSIP</v>
      </c>
      <c r="B1116" s="60" t="str">
        <f>Ringkasan!B1115</f>
        <v>PP London Sumatra Indonesia Tbk</v>
      </c>
      <c r="C1116" s="61">
        <f>Ringkasan!C1115</f>
        <v>1250</v>
      </c>
      <c r="D1116" s="60" t="str">
        <f>Ringkasan!D1115</f>
        <v>#N/A</v>
      </c>
      <c r="E1116" s="60" t="str">
        <f>Ringkasan!E1115</f>
        <v>ESGSKEHATI</v>
      </c>
      <c r="F1116" s="63">
        <f>Ringkasan!F1115</f>
        <v>46356</v>
      </c>
      <c r="G1116" s="61">
        <f>Ringkasan!G1115</f>
        <v>5</v>
      </c>
      <c r="H1116" s="62">
        <f>Ringkasan!H1115</f>
        <v>4.7</v>
      </c>
      <c r="I1116" s="62">
        <f>Ringkasan!I1115</f>
        <v>0.61</v>
      </c>
      <c r="J1116" s="62">
        <f>Ringkasan!J1115</f>
        <v>13.1</v>
      </c>
      <c r="K1116" s="62">
        <f>Ringkasan!K1115</f>
        <v>12</v>
      </c>
      <c r="L1116" s="62">
        <f>Ringkasan!L1115</f>
        <v>0.1</v>
      </c>
      <c r="M1116" s="62">
        <f>Ringkasan!M1115</f>
        <v>140</v>
      </c>
      <c r="N1116" s="60" t="str">
        <f>Ringkasan!N1115</f>
        <v/>
      </c>
      <c r="O1116" s="60" t="str">
        <f>Ringkasan!O1115</f>
        <v/>
      </c>
      <c r="P1116" s="60" t="str">
        <f>Ringkasan!P1115</f>
        <v/>
      </c>
      <c r="Q1116" s="60" t="str">
        <f>Ringkasan!Q1115</f>
        <v/>
      </c>
      <c r="R1116" s="60" t="str">
        <f>Ringkasan!R1115</f>
        <v/>
      </c>
      <c r="S1116" s="60" t="str">
        <f>Ringkasan!S1115</f>
        <v/>
      </c>
      <c r="T1116" s="60" t="str">
        <f>Ringkasan!T1115</f>
        <v/>
      </c>
      <c r="U1116" s="60">
        <f>Ringkasan!U1115</f>
        <v>1195</v>
      </c>
      <c r="V1116" s="60">
        <f>Ringkasan!V1115</f>
        <v>4.6</v>
      </c>
      <c r="W1116" s="60">
        <f>Ringkasan!W1115</f>
        <v>1200</v>
      </c>
      <c r="X1116" s="60">
        <f>Ringkasan!X1115</f>
        <v>1285</v>
      </c>
      <c r="Y1116" s="60">
        <f>Ringkasan!Y1115</f>
        <v>1200</v>
      </c>
      <c r="Z1116" s="60">
        <f>Ringkasan!Z1115</f>
        <v>19224200</v>
      </c>
      <c r="AA1116" s="60" t="str">
        <f>Ringkasan!AA1115</f>
        <v>Agricultural Products</v>
      </c>
      <c r="AB1116" s="64" t="str">
        <f>Ringkasan!AB1115</f>
        <v>Consumer Non-Cyclicals</v>
      </c>
    </row>
    <row r="1117">
      <c r="A1117" s="60" t="str">
        <f>Ringkasan!A1054</f>
        <v>KLBF</v>
      </c>
      <c r="B1117" s="60" t="str">
        <f>Ringkasan!B1054</f>
        <v>Kalbe Farma Tbk.</v>
      </c>
      <c r="C1117" s="61">
        <f>Ringkasan!C1054</f>
        <v>740</v>
      </c>
      <c r="D1117" s="60" t="str">
        <f>Ringkasan!D1054</f>
        <v>#N/A</v>
      </c>
      <c r="E1117" s="60" t="str">
        <f>Ringkasan!E1054</f>
        <v>LQ45</v>
      </c>
      <c r="F1117" s="60" t="str">
        <f>Ringkasan!F1054</f>
        <v>31 Juli 2026</v>
      </c>
      <c r="G1117" s="61">
        <f>Ringkasan!G1054</f>
        <v>17</v>
      </c>
      <c r="H1117" s="62">
        <f>Ringkasan!H1054</f>
        <v>10</v>
      </c>
      <c r="I1117" s="62">
        <f>Ringkasan!I1054</f>
        <v>1.4</v>
      </c>
      <c r="J1117" s="62">
        <f>Ringkasan!J1054</f>
        <v>14.1</v>
      </c>
      <c r="K1117" s="62">
        <f>Ringkasan!K1054</f>
        <v>11.3</v>
      </c>
      <c r="L1117" s="62">
        <f>Ringkasan!L1054</f>
        <v>0.24</v>
      </c>
      <c r="M1117" s="62">
        <f>Ringkasan!M1054</f>
        <v>37.4</v>
      </c>
      <c r="N1117" s="60" t="str">
        <f>Ringkasan!N1054</f>
        <v/>
      </c>
      <c r="O1117" s="60" t="str">
        <f>Ringkasan!O1054</f>
        <v/>
      </c>
      <c r="P1117" s="60" t="str">
        <f>Ringkasan!P1054</f>
        <v/>
      </c>
      <c r="Q1117" s="60" t="str">
        <f>Ringkasan!Q1054</f>
        <v/>
      </c>
      <c r="R1117" s="60" t="str">
        <f>Ringkasan!R1054</f>
        <v/>
      </c>
      <c r="S1117" s="60" t="str">
        <f>Ringkasan!S1054</f>
        <v/>
      </c>
      <c r="T1117" s="60" t="str">
        <f>Ringkasan!T1054</f>
        <v/>
      </c>
      <c r="U1117" s="60">
        <f>Ringkasan!U1054</f>
        <v>725</v>
      </c>
      <c r="V1117" s="60">
        <f>Ringkasan!V1054</f>
        <v>2.07</v>
      </c>
      <c r="W1117" s="60">
        <f>Ringkasan!W1054</f>
        <v>760</v>
      </c>
      <c r="X1117" s="60">
        <f>Ringkasan!X1054</f>
        <v>760</v>
      </c>
      <c r="Y1117" s="60">
        <f>Ringkasan!Y1054</f>
        <v>715</v>
      </c>
      <c r="Z1117" s="60">
        <f>Ringkasan!Z1054</f>
        <v>92741200</v>
      </c>
      <c r="AA1117" s="60" t="str">
        <f>Ringkasan!AA1054</f>
        <v>Pharmaceuticals</v>
      </c>
      <c r="AB1117" s="60" t="str">
        <f>Ringkasan!AB1054</f>
        <v>Healthcare</v>
      </c>
    </row>
    <row r="1118">
      <c r="A1118" s="60" t="str">
        <f>Ringkasan!A1057</f>
        <v>KLBF</v>
      </c>
      <c r="B1118" s="60" t="str">
        <f>Ringkasan!B1057</f>
        <v>Kalbe Farma Tbk.</v>
      </c>
      <c r="C1118" s="61">
        <f>Ringkasan!C1057</f>
        <v>740</v>
      </c>
      <c r="D1118" s="60" t="str">
        <f>Ringkasan!D1057</f>
        <v>#N/A</v>
      </c>
      <c r="E1118" s="60" t="str">
        <f>Ringkasan!E1057</f>
        <v>IDX80</v>
      </c>
      <c r="F1118" s="60" t="str">
        <f>Ringkasan!F1057</f>
        <v>31 Juli 2026</v>
      </c>
      <c r="G1118" s="61">
        <f>Ringkasan!G1057</f>
        <v>17</v>
      </c>
      <c r="H1118" s="62">
        <f>Ringkasan!H1057</f>
        <v>10</v>
      </c>
      <c r="I1118" s="62">
        <f>Ringkasan!I1057</f>
        <v>1.4</v>
      </c>
      <c r="J1118" s="62">
        <f>Ringkasan!J1057</f>
        <v>14.1</v>
      </c>
      <c r="K1118" s="62">
        <f>Ringkasan!K1057</f>
        <v>11.3</v>
      </c>
      <c r="L1118" s="62">
        <f>Ringkasan!L1057</f>
        <v>0.24</v>
      </c>
      <c r="M1118" s="62">
        <f>Ringkasan!M1057</f>
        <v>37.4</v>
      </c>
      <c r="N1118" s="60" t="str">
        <f>Ringkasan!N1057</f>
        <v/>
      </c>
      <c r="O1118" s="60" t="str">
        <f>Ringkasan!O1057</f>
        <v/>
      </c>
      <c r="P1118" s="60" t="str">
        <f>Ringkasan!P1057</f>
        <v/>
      </c>
      <c r="Q1118" s="60" t="str">
        <f>Ringkasan!Q1057</f>
        <v/>
      </c>
      <c r="R1118" s="60" t="str">
        <f>Ringkasan!R1057</f>
        <v/>
      </c>
      <c r="S1118" s="60" t="str">
        <f>Ringkasan!S1057</f>
        <v/>
      </c>
      <c r="T1118" s="60" t="str">
        <f>Ringkasan!T1057</f>
        <v/>
      </c>
      <c r="U1118" s="60">
        <f>Ringkasan!U1057</f>
        <v>725</v>
      </c>
      <c r="V1118" s="60">
        <f>Ringkasan!V1057</f>
        <v>2.07</v>
      </c>
      <c r="W1118" s="60">
        <f>Ringkasan!W1057</f>
        <v>760</v>
      </c>
      <c r="X1118" s="60">
        <f>Ringkasan!X1057</f>
        <v>760</v>
      </c>
      <c r="Y1118" s="60">
        <f>Ringkasan!Y1057</f>
        <v>715</v>
      </c>
      <c r="Z1118" s="60">
        <f>Ringkasan!Z1057</f>
        <v>92741200</v>
      </c>
      <c r="AA1118" s="60" t="str">
        <f>Ringkasan!AA1057</f>
        <v>Pharmaceuticals</v>
      </c>
      <c r="AB1118" s="60" t="str">
        <f>Ringkasan!AB1057</f>
        <v>Healthcare</v>
      </c>
    </row>
    <row r="1119">
      <c r="A1119" s="60" t="str">
        <f>Ringkasan!A1062</f>
        <v>KLBF</v>
      </c>
      <c r="B1119" s="60" t="str">
        <f>Ringkasan!B1062</f>
        <v>Kalbe Farma Tbk.</v>
      </c>
      <c r="C1119" s="61">
        <f>Ringkasan!C1062</f>
        <v>740</v>
      </c>
      <c r="D1119" s="60" t="str">
        <f>Ringkasan!D1062</f>
        <v>#N/A</v>
      </c>
      <c r="E1119" s="60" t="str">
        <f>Ringkasan!E1062</f>
        <v>FTSE Large Cap</v>
      </c>
      <c r="F1119" s="60" t="str">
        <f>Ringkasan!F1062</f>
        <v>Juni 2026</v>
      </c>
      <c r="G1119" s="60">
        <f>Ringkasan!G1062</f>
        <v>17</v>
      </c>
      <c r="H1119" s="62">
        <f>Ringkasan!H1062</f>
        <v>10</v>
      </c>
      <c r="I1119" s="62">
        <f>Ringkasan!I1062</f>
        <v>1.4</v>
      </c>
      <c r="J1119" s="62">
        <f>Ringkasan!J1062</f>
        <v>14.1</v>
      </c>
      <c r="K1119" s="62">
        <f>Ringkasan!K1062</f>
        <v>11.3</v>
      </c>
      <c r="L1119" s="62">
        <f>Ringkasan!L1062</f>
        <v>0.24</v>
      </c>
      <c r="M1119" s="62">
        <f>Ringkasan!M1062</f>
        <v>37.4</v>
      </c>
      <c r="N1119" s="60" t="str">
        <f>Ringkasan!N1062</f>
        <v/>
      </c>
      <c r="O1119" s="60" t="str">
        <f>Ringkasan!O1062</f>
        <v/>
      </c>
      <c r="P1119" s="60" t="str">
        <f>Ringkasan!P1062</f>
        <v/>
      </c>
      <c r="Q1119" s="60" t="str">
        <f>Ringkasan!Q1062</f>
        <v/>
      </c>
      <c r="R1119" s="60" t="str">
        <f>Ringkasan!R1062</f>
        <v/>
      </c>
      <c r="S1119" s="60" t="str">
        <f>Ringkasan!S1062</f>
        <v/>
      </c>
      <c r="T1119" s="60" t="str">
        <f>Ringkasan!T1062</f>
        <v/>
      </c>
      <c r="U1119" s="60">
        <f>Ringkasan!U1062</f>
        <v>725</v>
      </c>
      <c r="V1119" s="60">
        <f>Ringkasan!V1062</f>
        <v>2.07</v>
      </c>
      <c r="W1119" s="60">
        <f>Ringkasan!W1062</f>
        <v>760</v>
      </c>
      <c r="X1119" s="60">
        <f>Ringkasan!X1062</f>
        <v>760</v>
      </c>
      <c r="Y1119" s="60">
        <f>Ringkasan!Y1062</f>
        <v>715</v>
      </c>
      <c r="Z1119" s="60">
        <f>Ringkasan!Z1062</f>
        <v>92741200</v>
      </c>
      <c r="AA1119" s="60" t="str">
        <f>Ringkasan!AA1062</f>
        <v>Pharmaceuticals</v>
      </c>
      <c r="AB1119" s="60" t="str">
        <f>Ringkasan!AB1062</f>
        <v>Healthcare</v>
      </c>
    </row>
    <row r="1120" hidden="1">
      <c r="A1120" s="60" t="str">
        <f>Ringkasan!A1126</f>
        <v>MANG</v>
      </c>
      <c r="B1120" s="60" t="str">
        <f>Ringkasan!B1126</f>
        <v>Manggung Polahraya Tbk.</v>
      </c>
      <c r="C1120" s="61">
        <f>Ringkasan!C1126</f>
        <v>42</v>
      </c>
      <c r="D1120" s="60" t="str">
        <f>Ringkasan!D1126</f>
        <v>#N/A</v>
      </c>
      <c r="E1120" s="60" t="str">
        <f>Ringkasan!E1126</f>
        <v/>
      </c>
      <c r="F1120" s="60" t="str">
        <f>Ringkasan!F1126</f>
        <v/>
      </c>
      <c r="G1120" s="60">
        <f>Ringkasan!G1126</f>
        <v>0</v>
      </c>
      <c r="H1120" s="62">
        <f>Ringkasan!H1126</f>
        <v>-14.3</v>
      </c>
      <c r="I1120" s="62">
        <f>Ringkasan!I1126</f>
        <v>1.4</v>
      </c>
      <c r="J1120" s="62">
        <f>Ringkasan!J1126</f>
        <v>-9.5</v>
      </c>
      <c r="K1120" s="62">
        <f>Ringkasan!K1126</f>
        <v>-7.8</v>
      </c>
      <c r="L1120" s="62">
        <f>Ringkasan!L1126</f>
        <v>0.22</v>
      </c>
      <c r="M1120" s="62">
        <f>Ringkasan!M1126</f>
        <v>-390</v>
      </c>
      <c r="N1120" s="60" t="str">
        <f>Ringkasan!N1126</f>
        <v/>
      </c>
      <c r="O1120" s="60" t="str">
        <f>Ringkasan!O1126</f>
        <v/>
      </c>
      <c r="P1120" s="60" t="str">
        <f>Ringkasan!P1126</f>
        <v/>
      </c>
      <c r="Q1120" s="60" t="str">
        <f>Ringkasan!Q1126</f>
        <v/>
      </c>
      <c r="R1120" s="60" t="str">
        <f>Ringkasan!R1126</f>
        <v/>
      </c>
      <c r="S1120" s="60" t="str">
        <f>Ringkasan!S1126</f>
        <v/>
      </c>
      <c r="T1120" s="60" t="str">
        <f>Ringkasan!T1126</f>
        <v/>
      </c>
      <c r="U1120" s="60">
        <f>Ringkasan!U1126</f>
        <v>42</v>
      </c>
      <c r="V1120" s="60">
        <f>Ringkasan!V1126</f>
        <v>0</v>
      </c>
      <c r="W1120" s="60">
        <f>Ringkasan!W1126</f>
        <v>42</v>
      </c>
      <c r="X1120" s="60">
        <f>Ringkasan!X1126</f>
        <v>42</v>
      </c>
      <c r="Y1120" s="60">
        <f>Ringkasan!Y1126</f>
        <v>41</v>
      </c>
      <c r="Z1120" s="60">
        <f>Ringkasan!Z1126</f>
        <v>5273100</v>
      </c>
      <c r="AA1120" s="60" t="str">
        <f>Ringkasan!AA1126</f>
        <v>Heavy Constructions &amp; Civil Engineering</v>
      </c>
      <c r="AB1120" s="60" t="str">
        <f>Ringkasan!AB1126</f>
        <v>Infrastructures</v>
      </c>
    </row>
    <row r="1121">
      <c r="A1121" s="60" t="str">
        <f>Ringkasan!A1059</f>
        <v>KLBF</v>
      </c>
      <c r="B1121" s="60" t="str">
        <f>Ringkasan!B1059</f>
        <v>Kalbe Farma Tbk.</v>
      </c>
      <c r="C1121" s="61">
        <f>Ringkasan!C1059</f>
        <v>740</v>
      </c>
      <c r="D1121" s="60" t="str">
        <f>Ringkasan!D1059</f>
        <v>#N/A</v>
      </c>
      <c r="E1121" s="60" t="str">
        <f>Ringkasan!E1059</f>
        <v>IDXVESTA28</v>
      </c>
      <c r="F1121" s="60" t="str">
        <f>Ringkasan!F1059</f>
        <v>31 Agustus 2026</v>
      </c>
      <c r="G1121" s="61">
        <f>Ringkasan!G1059</f>
        <v>17</v>
      </c>
      <c r="H1121" s="62">
        <f>Ringkasan!H1059</f>
        <v>10</v>
      </c>
      <c r="I1121" s="62">
        <f>Ringkasan!I1059</f>
        <v>1.4</v>
      </c>
      <c r="J1121" s="62">
        <f>Ringkasan!J1059</f>
        <v>14.1</v>
      </c>
      <c r="K1121" s="62">
        <f>Ringkasan!K1059</f>
        <v>11.3</v>
      </c>
      <c r="L1121" s="62">
        <f>Ringkasan!L1059</f>
        <v>0.24</v>
      </c>
      <c r="M1121" s="62">
        <f>Ringkasan!M1059</f>
        <v>37.4</v>
      </c>
      <c r="N1121" s="60" t="str">
        <f>Ringkasan!N1059</f>
        <v/>
      </c>
      <c r="O1121" s="60" t="str">
        <f>Ringkasan!O1059</f>
        <v/>
      </c>
      <c r="P1121" s="60" t="str">
        <f>Ringkasan!P1059</f>
        <v/>
      </c>
      <c r="Q1121" s="60" t="str">
        <f>Ringkasan!Q1059</f>
        <v/>
      </c>
      <c r="R1121" s="60" t="str">
        <f>Ringkasan!R1059</f>
        <v/>
      </c>
      <c r="S1121" s="60" t="str">
        <f>Ringkasan!S1059</f>
        <v/>
      </c>
      <c r="T1121" s="60" t="str">
        <f>Ringkasan!T1059</f>
        <v/>
      </c>
      <c r="U1121" s="60">
        <f>Ringkasan!U1059</f>
        <v>725</v>
      </c>
      <c r="V1121" s="60">
        <f>Ringkasan!V1059</f>
        <v>2.07</v>
      </c>
      <c r="W1121" s="60">
        <f>Ringkasan!W1059</f>
        <v>760</v>
      </c>
      <c r="X1121" s="60">
        <f>Ringkasan!X1059</f>
        <v>760</v>
      </c>
      <c r="Y1121" s="60">
        <f>Ringkasan!Y1059</f>
        <v>715</v>
      </c>
      <c r="Z1121" s="60">
        <f>Ringkasan!Z1059</f>
        <v>92741200</v>
      </c>
      <c r="AA1121" s="60" t="str">
        <f>Ringkasan!AA1059</f>
        <v>Pharmaceuticals</v>
      </c>
      <c r="AB1121" s="60" t="str">
        <f>Ringkasan!AB1059</f>
        <v>Healthcare</v>
      </c>
    </row>
    <row r="1122" hidden="1">
      <c r="A1122" s="64" t="str">
        <f>Ringkasan!A1121</f>
        <v>LUCY</v>
      </c>
      <c r="B1122" s="64" t="str">
        <f>Ringkasan!B1121</f>
        <v>Lima Dua Lima Tiga Tbk.</v>
      </c>
      <c r="C1122" s="61">
        <f>Ringkasan!C1121</f>
        <v>1490</v>
      </c>
      <c r="D1122" s="60" t="str">
        <f>Ringkasan!D1121</f>
        <v>#N/A</v>
      </c>
      <c r="E1122" s="60" t="str">
        <f>Ringkasan!E1121</f>
        <v/>
      </c>
      <c r="F1122" s="60" t="str">
        <f>Ringkasan!F1121</f>
        <v/>
      </c>
      <c r="G1122" s="60">
        <f>Ringkasan!G1121</f>
        <v>0</v>
      </c>
      <c r="H1122" s="62">
        <f>Ringkasan!H1121</f>
        <v>-35.8</v>
      </c>
      <c r="I1122" s="62">
        <f>Ringkasan!I1121</f>
        <v>60.1</v>
      </c>
      <c r="J1122" s="62">
        <f>Ringkasan!J1121</f>
        <v>-170</v>
      </c>
      <c r="K1122" s="62">
        <f>Ringkasan!K1121</f>
        <v>-51.8</v>
      </c>
      <c r="L1122" s="62">
        <f>Ringkasan!L1121</f>
        <v>2.2</v>
      </c>
      <c r="M1122" s="62">
        <f>Ringkasan!M1121</f>
        <v>-52.4</v>
      </c>
      <c r="N1122" s="60" t="str">
        <f>Ringkasan!N1121</f>
        <v/>
      </c>
      <c r="O1122" s="60" t="str">
        <f>Ringkasan!O1121</f>
        <v/>
      </c>
      <c r="P1122" s="60" t="str">
        <f>Ringkasan!P1121</f>
        <v/>
      </c>
      <c r="Q1122" s="60" t="str">
        <f>Ringkasan!Q1121</f>
        <v/>
      </c>
      <c r="R1122" s="60" t="str">
        <f>Ringkasan!R1121</f>
        <v/>
      </c>
      <c r="S1122" s="60" t="str">
        <f>Ringkasan!S1121</f>
        <v/>
      </c>
      <c r="T1122" s="60" t="str">
        <f>Ringkasan!T1121</f>
        <v/>
      </c>
      <c r="U1122" s="60">
        <f>Ringkasan!U1121</f>
        <v>0.89</v>
      </c>
      <c r="V1122" s="60">
        <f>Ringkasan!V1121</f>
        <v>-2.1</v>
      </c>
      <c r="W1122" s="60">
        <f>Ringkasan!W1121</f>
        <v>0.88</v>
      </c>
      <c r="X1122" s="60">
        <f>Ringkasan!X1121</f>
        <v>0.92</v>
      </c>
      <c r="Y1122" s="60">
        <f>Ringkasan!Y1121</f>
        <v>0.87</v>
      </c>
      <c r="Z1122" s="60">
        <f>Ringkasan!Z1121</f>
        <v>59685</v>
      </c>
      <c r="AA1122" s="60" t="str">
        <f>Ringkasan!AA1121</f>
        <v>Tourism &amp; Recreation</v>
      </c>
      <c r="AB1122" s="60" t="str">
        <f>Ringkasan!AB1121</f>
        <v>Consumer Cyclicals</v>
      </c>
    </row>
    <row r="1123" hidden="1">
      <c r="A1123" s="64" t="str">
        <f>Ringkasan!A1122</f>
        <v>MABA</v>
      </c>
      <c r="B1123" s="64" t="str">
        <f>Ringkasan!B1122</f>
        <v>Marga Abhinaya Abadi Tbk.</v>
      </c>
      <c r="C1123" s="65">
        <f>Ringkasan!C1122</f>
        <v>50</v>
      </c>
      <c r="D1123" s="64" t="str">
        <f>Ringkasan!D1122</f>
        <v>#N/A</v>
      </c>
      <c r="E1123" s="64" t="str">
        <f>Ringkasan!E1122</f>
        <v/>
      </c>
      <c r="F1123" s="64" t="str">
        <f>Ringkasan!F1122</f>
        <v/>
      </c>
      <c r="G1123" s="64">
        <f>Ringkasan!G1122</f>
        <v>0</v>
      </c>
      <c r="H1123" s="19">
        <f>Ringkasan!H1122</f>
        <v>0</v>
      </c>
      <c r="I1123" s="19">
        <f>Ringkasan!I1122</f>
        <v>2.7</v>
      </c>
      <c r="J1123" s="19">
        <f>Ringkasan!J1122</f>
        <v>-92.1</v>
      </c>
      <c r="K1123" s="19">
        <f>Ringkasan!K1122</f>
        <v>-11.8</v>
      </c>
      <c r="L1123" s="19">
        <f>Ringkasan!L1122</f>
        <v>6.8</v>
      </c>
      <c r="M1123" s="19">
        <f>Ringkasan!M1122</f>
        <v>-580</v>
      </c>
      <c r="N1123" s="64" t="str">
        <f>Ringkasan!N1122</f>
        <v/>
      </c>
      <c r="O1123" s="64" t="str">
        <f>Ringkasan!O1122</f>
        <v/>
      </c>
      <c r="P1123" s="64" t="str">
        <f>Ringkasan!P1122</f>
        <v/>
      </c>
      <c r="Q1123" s="64" t="str">
        <f>Ringkasan!Q1122</f>
        <v/>
      </c>
      <c r="R1123" s="64" t="str">
        <f>Ringkasan!R1122</f>
        <v/>
      </c>
      <c r="S1123" s="64" t="str">
        <f>Ringkasan!S1122</f>
        <v/>
      </c>
      <c r="T1123" s="64" t="str">
        <f>Ringkasan!T1122</f>
        <v/>
      </c>
      <c r="U1123" s="64">
        <f>Ringkasan!U1122</f>
        <v>50</v>
      </c>
      <c r="V1123" s="64">
        <f>Ringkasan!V1122</f>
        <v>0</v>
      </c>
      <c r="W1123" s="64" t="str">
        <f>Ringkasan!W1122</f>
        <v/>
      </c>
      <c r="X1123" s="64" t="str">
        <f>Ringkasan!X1122</f>
        <v/>
      </c>
      <c r="Y1123" s="64" t="str">
        <f>Ringkasan!Y1122</f>
        <v/>
      </c>
      <c r="Z1123" s="64">
        <f>Ringkasan!Z1122</f>
        <v>0</v>
      </c>
      <c r="AA1123" s="64" t="str">
        <f>Ringkasan!AA1122</f>
        <v>Tourism &amp; Recreation</v>
      </c>
      <c r="AB1123" s="64" t="str">
        <f>Ringkasan!AB1122</f>
        <v>Consumer Cyclicals</v>
      </c>
    </row>
    <row r="1124">
      <c r="A1124" s="60" t="str">
        <f>Ringkasan!A1127</f>
        <v>MAPA</v>
      </c>
      <c r="B1124" s="60" t="str">
        <f>Ringkasan!B1127</f>
        <v>Map Aktif Adiperkasa Tbk.</v>
      </c>
      <c r="C1124" s="61">
        <f>Ringkasan!C1127</f>
        <v>565</v>
      </c>
      <c r="D1124" s="60" t="str">
        <f>Ringkasan!D1127</f>
        <v>#N/A</v>
      </c>
      <c r="E1124" s="60" t="str">
        <f>Ringkasan!E1127</f>
        <v>IDXSHAGROW</v>
      </c>
      <c r="F1124" s="63">
        <f>Ringkasan!F1127</f>
        <v>46356</v>
      </c>
      <c r="G1124" s="61">
        <f>Ringkasan!G1127</f>
        <v>9</v>
      </c>
      <c r="H1124" s="62">
        <f>Ringkasan!H1127</f>
        <v>9.9</v>
      </c>
      <c r="I1124" s="62">
        <f>Ringkasan!I1127</f>
        <v>2</v>
      </c>
      <c r="J1124" s="62">
        <f>Ringkasan!J1127</f>
        <v>20</v>
      </c>
      <c r="K1124" s="62">
        <f>Ringkasan!K1127</f>
        <v>12.7</v>
      </c>
      <c r="L1124" s="62">
        <f>Ringkasan!L1127</f>
        <v>0.57</v>
      </c>
      <c r="M1124" s="62">
        <f>Ringkasan!M1127</f>
        <v>37.4</v>
      </c>
      <c r="N1124" s="60" t="str">
        <f>Ringkasan!N1127</f>
        <v/>
      </c>
      <c r="O1124" s="60" t="str">
        <f>Ringkasan!O1127</f>
        <v/>
      </c>
      <c r="P1124" s="60" t="str">
        <f>Ringkasan!P1127</f>
        <v/>
      </c>
      <c r="Q1124" s="60" t="str">
        <f>Ringkasan!Q1127</f>
        <v/>
      </c>
      <c r="R1124" s="60" t="str">
        <f>Ringkasan!R1127</f>
        <v/>
      </c>
      <c r="S1124" s="60" t="str">
        <f>Ringkasan!S1127</f>
        <v/>
      </c>
      <c r="T1124" s="60" t="str">
        <f>Ringkasan!T1127</f>
        <v/>
      </c>
      <c r="U1124" s="60">
        <f>Ringkasan!U1127</f>
        <v>565</v>
      </c>
      <c r="V1124" s="60">
        <f>Ringkasan!V1127</f>
        <v>0</v>
      </c>
      <c r="W1124" s="60">
        <f>Ringkasan!W1127</f>
        <v>565</v>
      </c>
      <c r="X1124" s="60">
        <f>Ringkasan!X1127</f>
        <v>570</v>
      </c>
      <c r="Y1124" s="60">
        <f>Ringkasan!Y1127</f>
        <v>545</v>
      </c>
      <c r="Z1124" s="60">
        <f>Ringkasan!Z1127</f>
        <v>22530400</v>
      </c>
      <c r="AA1124" s="60" t="str">
        <f>Ringkasan!AA1127</f>
        <v>Specialty Retail</v>
      </c>
      <c r="AB1124" s="60" t="str">
        <f>Ringkasan!AB1127</f>
        <v>Consumer Cyclicals</v>
      </c>
    </row>
    <row r="1125" hidden="1">
      <c r="A1125" s="64" t="str">
        <f>Ringkasan!A1123</f>
        <v>MAGP</v>
      </c>
      <c r="B1125" s="64" t="str">
        <f>Ringkasan!B1123</f>
        <v>Multi Agro Gemilang Plantation Tbk</v>
      </c>
      <c r="C1125" s="65">
        <f>Ringkasan!C1123</f>
        <v>50</v>
      </c>
      <c r="D1125" s="64" t="str">
        <f>Ringkasan!D1123</f>
        <v>#N/A</v>
      </c>
      <c r="E1125" s="64" t="str">
        <f>Ringkasan!E1123</f>
        <v/>
      </c>
      <c r="F1125" s="64" t="str">
        <f>Ringkasan!F1123</f>
        <v/>
      </c>
      <c r="G1125" s="64">
        <f>Ringkasan!G1123</f>
        <v>0</v>
      </c>
      <c r="H1125" s="19">
        <f>Ringkasan!H1123</f>
        <v>0</v>
      </c>
      <c r="I1125" s="19">
        <f>Ringkasan!I1123</f>
        <v>5.9</v>
      </c>
      <c r="J1125" s="19">
        <f>Ringkasan!J1123</f>
        <v>-83.7</v>
      </c>
      <c r="K1125" s="19">
        <f>Ringkasan!K1123</f>
        <v>-7.6</v>
      </c>
      <c r="L1125" s="19">
        <f>Ringkasan!L1123</f>
        <v>10.1</v>
      </c>
      <c r="M1125" s="19">
        <f>Ringkasan!M1123</f>
        <v>-200</v>
      </c>
      <c r="N1125" s="64" t="str">
        <f>Ringkasan!N1123</f>
        <v/>
      </c>
      <c r="O1125" s="64" t="str">
        <f>Ringkasan!O1123</f>
        <v/>
      </c>
      <c r="P1125" s="64" t="str">
        <f>Ringkasan!P1123</f>
        <v/>
      </c>
      <c r="Q1125" s="64" t="str">
        <f>Ringkasan!Q1123</f>
        <v/>
      </c>
      <c r="R1125" s="64" t="str">
        <f>Ringkasan!R1123</f>
        <v/>
      </c>
      <c r="S1125" s="64" t="str">
        <f>Ringkasan!S1123</f>
        <v/>
      </c>
      <c r="T1125" s="64" t="str">
        <f>Ringkasan!T1123</f>
        <v/>
      </c>
      <c r="U1125" s="64">
        <f>Ringkasan!U1123</f>
        <v>50</v>
      </c>
      <c r="V1125" s="64">
        <f>Ringkasan!V1123</f>
        <v>0</v>
      </c>
      <c r="W1125" s="64" t="str">
        <f>Ringkasan!W1123</f>
        <v/>
      </c>
      <c r="X1125" s="64" t="str">
        <f>Ringkasan!X1123</f>
        <v/>
      </c>
      <c r="Y1125" s="64" t="str">
        <f>Ringkasan!Y1123</f>
        <v/>
      </c>
      <c r="Z1125" s="64">
        <f>Ringkasan!Z1123</f>
        <v>0</v>
      </c>
      <c r="AA1125" s="64" t="str">
        <f>Ringkasan!AA1123</f>
        <v>Agricultural Products</v>
      </c>
      <c r="AB1125" s="64" t="str">
        <f>Ringkasan!AB1123</f>
        <v>Consumer Non-Cyclicals</v>
      </c>
    </row>
    <row r="1126" hidden="1">
      <c r="A1126" s="64" t="str">
        <f>Ringkasan!A680</f>
        <v>ENZO</v>
      </c>
      <c r="B1126" s="64" t="str">
        <f>Ringkasan!B680</f>
        <v>Morenzo Abadi Perkasa Tbk.</v>
      </c>
      <c r="C1126" s="65" t="str">
        <f>Ringkasan!C680</f>
        <v>#N/A</v>
      </c>
      <c r="D1126" s="64" t="str">
        <f>Ringkasan!D680</f>
        <v>#N/A</v>
      </c>
      <c r="E1126" s="64" t="str">
        <f>Ringkasan!E680</f>
        <v/>
      </c>
      <c r="F1126" s="64" t="str">
        <f>Ringkasan!F680</f>
        <v/>
      </c>
      <c r="G1126" s="64">
        <f>Ringkasan!G680</f>
        <v>0</v>
      </c>
      <c r="H1126" s="19">
        <f>Ringkasan!H680</f>
        <v>33.7</v>
      </c>
      <c r="I1126" s="19">
        <f>Ringkasan!I680</f>
        <v>0.94</v>
      </c>
      <c r="J1126" s="19">
        <f>Ringkasan!J680</f>
        <v>2.8</v>
      </c>
      <c r="K1126" s="19">
        <f>Ringkasan!K680</f>
        <v>1.1</v>
      </c>
      <c r="L1126" s="19">
        <f>Ringkasan!L680</f>
        <v>1.6</v>
      </c>
      <c r="M1126" s="19">
        <f>Ringkasan!M680</f>
        <v>5.1</v>
      </c>
      <c r="N1126" s="64" t="str">
        <f>Ringkasan!N680</f>
        <v/>
      </c>
      <c r="O1126" s="64" t="str">
        <f>Ringkasan!O680</f>
        <v/>
      </c>
      <c r="P1126" s="64" t="str">
        <f>Ringkasan!P680</f>
        <v/>
      </c>
      <c r="Q1126" s="64" t="str">
        <f>Ringkasan!Q680</f>
        <v/>
      </c>
      <c r="R1126" s="64" t="str">
        <f>Ringkasan!R680</f>
        <v/>
      </c>
      <c r="S1126" s="64" t="str">
        <f>Ringkasan!S680</f>
        <v/>
      </c>
      <c r="T1126" s="64" t="str">
        <f>Ringkasan!T680</f>
        <v/>
      </c>
      <c r="U1126" s="64">
        <f>Ringkasan!U680</f>
        <v>60</v>
      </c>
      <c r="V1126" s="64">
        <f>Ringkasan!V680</f>
        <v>11.67</v>
      </c>
      <c r="W1126" s="64">
        <f>Ringkasan!W680</f>
        <v>60</v>
      </c>
      <c r="X1126" s="64">
        <f>Ringkasan!X680</f>
        <v>70</v>
      </c>
      <c r="Y1126" s="64">
        <f>Ringkasan!Y680</f>
        <v>60</v>
      </c>
      <c r="Z1126" s="64">
        <f>Ringkasan!Z680</f>
        <v>20232300</v>
      </c>
      <c r="AA1126" s="64" t="str">
        <f>Ringkasan!AA680</f>
        <v>Agricultural Products</v>
      </c>
      <c r="AB1126" s="64" t="str">
        <f>Ringkasan!AB680</f>
        <v>Consumer Non-Cyclicals</v>
      </c>
    </row>
    <row r="1127" hidden="1">
      <c r="A1127" s="64" t="str">
        <f>Ringkasan!A750</f>
        <v>GHON</v>
      </c>
      <c r="B1127" s="64" t="str">
        <f>Ringkasan!B750</f>
        <v>Gihon Telekomunikasi Indonesia Tbk.</v>
      </c>
      <c r="C1127" s="65">
        <f>Ringkasan!C750</f>
        <v>1925</v>
      </c>
      <c r="D1127" s="64" t="str">
        <f>Ringkasan!D750</f>
        <v>#N/A</v>
      </c>
      <c r="E1127" s="64" t="str">
        <f>Ringkasan!E750</f>
        <v/>
      </c>
      <c r="F1127" s="64" t="str">
        <f>Ringkasan!F750</f>
        <v/>
      </c>
      <c r="G1127" s="64">
        <f>Ringkasan!G750</f>
        <v>0</v>
      </c>
      <c r="H1127" s="19">
        <f>Ringkasan!H750</f>
        <v>13.5</v>
      </c>
      <c r="I1127" s="19">
        <f>Ringkasan!I750</f>
        <v>1.3</v>
      </c>
      <c r="J1127" s="19">
        <f>Ringkasan!J750</f>
        <v>9.3</v>
      </c>
      <c r="K1127" s="19">
        <f>Ringkasan!K750</f>
        <v>5.2</v>
      </c>
      <c r="L1127" s="19">
        <f>Ringkasan!L750</f>
        <v>0.79</v>
      </c>
      <c r="M1127" s="19">
        <f>Ringkasan!M750</f>
        <v>140</v>
      </c>
      <c r="N1127" s="64" t="str">
        <f>Ringkasan!N750</f>
        <v/>
      </c>
      <c r="O1127" s="64" t="str">
        <f>Ringkasan!O750</f>
        <v/>
      </c>
      <c r="P1127" s="64" t="str">
        <f>Ringkasan!P750</f>
        <v/>
      </c>
      <c r="Q1127" s="64" t="str">
        <f>Ringkasan!Q750</f>
        <v/>
      </c>
      <c r="R1127" s="64" t="str">
        <f>Ringkasan!R750</f>
        <v/>
      </c>
      <c r="S1127" s="64" t="str">
        <f>Ringkasan!S750</f>
        <v/>
      </c>
      <c r="T1127" s="64" t="str">
        <f>Ringkasan!T750</f>
        <v/>
      </c>
      <c r="U1127" s="64">
        <f>Ringkasan!U750</f>
        <v>1890</v>
      </c>
      <c r="V1127" s="64">
        <f>Ringkasan!V750</f>
        <v>1.85</v>
      </c>
      <c r="W1127" s="64">
        <f>Ringkasan!W750</f>
        <v>1920</v>
      </c>
      <c r="X1127" s="64">
        <f>Ringkasan!X750</f>
        <v>1950</v>
      </c>
      <c r="Y1127" s="64">
        <f>Ringkasan!Y750</f>
        <v>1910</v>
      </c>
      <c r="Z1127" s="64" t="str">
        <f>Ringkasan!Z750</f>
        <v/>
      </c>
      <c r="AA1127" s="64" t="str">
        <f>Ringkasan!AA750</f>
        <v>Wireless Telecommunication Services</v>
      </c>
      <c r="AB1127" s="64" t="str">
        <f>Ringkasan!AB750</f>
        <v>Infrastructures</v>
      </c>
    </row>
    <row r="1128" hidden="1">
      <c r="A1128" s="64" t="str">
        <f>Ringkasan!A849</f>
        <v>IFSH</v>
      </c>
      <c r="B1128" s="64" t="str">
        <f>Ringkasan!B849</f>
        <v>Ifishdeco Tbk.</v>
      </c>
      <c r="C1128" s="65">
        <f>Ringkasan!C849</f>
        <v>1075</v>
      </c>
      <c r="D1128" s="64" t="str">
        <f>Ringkasan!D849</f>
        <v>#N/A</v>
      </c>
      <c r="E1128" s="64" t="str">
        <f>Ringkasan!E849</f>
        <v/>
      </c>
      <c r="F1128" s="64" t="str">
        <f>Ringkasan!F849</f>
        <v/>
      </c>
      <c r="G1128" s="64">
        <f>Ringkasan!G849</f>
        <v>0</v>
      </c>
      <c r="H1128" s="19">
        <f>Ringkasan!H849</f>
        <v>51.9</v>
      </c>
      <c r="I1128" s="19">
        <f>Ringkasan!I849</f>
        <v>3.4</v>
      </c>
      <c r="J1128" s="19">
        <f>Ringkasan!J849</f>
        <v>6.6</v>
      </c>
      <c r="K1128" s="19">
        <f>Ringkasan!K849</f>
        <v>5.5</v>
      </c>
      <c r="L1128" s="19">
        <f>Ringkasan!L849</f>
        <v>0.19</v>
      </c>
      <c r="M1128" s="19">
        <f>Ringkasan!M849</f>
        <v>20</v>
      </c>
      <c r="N1128" s="64" t="str">
        <f>Ringkasan!N849</f>
        <v/>
      </c>
      <c r="O1128" s="64" t="str">
        <f>Ringkasan!O849</f>
        <v/>
      </c>
      <c r="P1128" s="64" t="str">
        <f>Ringkasan!P849</f>
        <v/>
      </c>
      <c r="Q1128" s="64" t="str">
        <f>Ringkasan!Q849</f>
        <v/>
      </c>
      <c r="R1128" s="64" t="str">
        <f>Ringkasan!R849</f>
        <v/>
      </c>
      <c r="S1128" s="64" t="str">
        <f>Ringkasan!S849</f>
        <v/>
      </c>
      <c r="T1128" s="64" t="str">
        <f>Ringkasan!T849</f>
        <v/>
      </c>
      <c r="U1128" s="64">
        <f>Ringkasan!U849</f>
        <v>980</v>
      </c>
      <c r="V1128" s="64">
        <f>Ringkasan!V849</f>
        <v>9.69</v>
      </c>
      <c r="W1128" s="64">
        <f>Ringkasan!W849</f>
        <v>1075</v>
      </c>
      <c r="X1128" s="64">
        <f>Ringkasan!X849</f>
        <v>1075</v>
      </c>
      <c r="Y1128" s="64">
        <f>Ringkasan!Y849</f>
        <v>1075</v>
      </c>
      <c r="Z1128" s="64">
        <f>Ringkasan!Z849</f>
        <v>44800</v>
      </c>
      <c r="AA1128" s="64" t="str">
        <f>Ringkasan!AA849</f>
        <v>Metals &amp; Minerals</v>
      </c>
      <c r="AB1128" s="64" t="str">
        <f>Ringkasan!AB849</f>
        <v>Basic Materials</v>
      </c>
    </row>
    <row r="1129" hidden="1">
      <c r="A1129" s="64" t="str">
        <f>Ringkasan!A895</f>
        <v>INDF</v>
      </c>
      <c r="B1129" s="64" t="str">
        <f>Ringkasan!B895</f>
        <v>Indofood Sukses Makmur Tbk.</v>
      </c>
      <c r="C1129" s="65">
        <f>Ringkasan!C895</f>
        <v>6425</v>
      </c>
      <c r="D1129" s="64" t="str">
        <f>Ringkasan!D895</f>
        <v>#N/A</v>
      </c>
      <c r="E1129" s="64" t="str">
        <f>Ringkasan!E895</f>
        <v>JII70</v>
      </c>
      <c r="F1129" s="66">
        <f>Ringkasan!F895</f>
        <v>46356</v>
      </c>
      <c r="G1129" s="64">
        <f>Ringkasan!G895</f>
        <v>18</v>
      </c>
      <c r="H1129" s="19">
        <f>Ringkasan!H895</f>
        <v>5.6</v>
      </c>
      <c r="I1129" s="19">
        <f>Ringkasan!I895</f>
        <v>0.48</v>
      </c>
      <c r="J1129" s="19">
        <f>Ringkasan!J895</f>
        <v>8.7</v>
      </c>
      <c r="K1129" s="19">
        <f>Ringkasan!K895</f>
        <v>4.8</v>
      </c>
      <c r="L1129" s="19">
        <f>Ringkasan!L895</f>
        <v>0.8</v>
      </c>
      <c r="M1129" s="19">
        <f>Ringkasan!M895</f>
        <v>32.2</v>
      </c>
      <c r="N1129" s="64" t="str">
        <f>Ringkasan!N895</f>
        <v/>
      </c>
      <c r="O1129" s="64" t="str">
        <f>Ringkasan!O895</f>
        <v/>
      </c>
      <c r="P1129" s="64" t="str">
        <f>Ringkasan!P895</f>
        <v/>
      </c>
      <c r="Q1129" s="64" t="str">
        <f>Ringkasan!Q895</f>
        <v/>
      </c>
      <c r="R1129" s="64" t="str">
        <f>Ringkasan!R895</f>
        <v/>
      </c>
      <c r="S1129" s="64" t="str">
        <f>Ringkasan!S895</f>
        <v/>
      </c>
      <c r="T1129" s="64" t="str">
        <f>Ringkasan!T895</f>
        <v/>
      </c>
      <c r="U1129" s="64">
        <f>Ringkasan!U895</f>
        <v>6225</v>
      </c>
      <c r="V1129" s="64">
        <f>Ringkasan!V895</f>
        <v>3.21</v>
      </c>
      <c r="W1129" s="64">
        <f>Ringkasan!W895</f>
        <v>6275</v>
      </c>
      <c r="X1129" s="64">
        <f>Ringkasan!X895</f>
        <v>6675</v>
      </c>
      <c r="Y1129" s="64">
        <f>Ringkasan!Y895</f>
        <v>6275</v>
      </c>
      <c r="Z1129" s="64">
        <f>Ringkasan!Z895</f>
        <v>11991600</v>
      </c>
      <c r="AA1129" s="64" t="str">
        <f>Ringkasan!AA895</f>
        <v>Processed Foods</v>
      </c>
      <c r="AB1129" s="64" t="str">
        <f>Ringkasan!AB895</f>
        <v>Consumer Non-Cyclicals</v>
      </c>
    </row>
    <row r="1130" hidden="1">
      <c r="A1130" s="64" t="str">
        <f>Ringkasan!A1124</f>
        <v>MAHA</v>
      </c>
      <c r="B1130" s="64" t="str">
        <f>Ringkasan!B1124</f>
        <v>PT Mandiri Herindo Adiperkasa Tbk</v>
      </c>
      <c r="C1130" s="65">
        <f>Ringkasan!C1124</f>
        <v>134</v>
      </c>
      <c r="D1130" s="64" t="str">
        <f>Ringkasan!D1124</f>
        <v>#N/A</v>
      </c>
      <c r="E1130" s="64" t="str">
        <f>Ringkasan!E1124</f>
        <v/>
      </c>
      <c r="F1130" s="64" t="str">
        <f>Ringkasan!F1124</f>
        <v/>
      </c>
      <c r="G1130" s="64">
        <f>Ringkasan!G1124</f>
        <v>0</v>
      </c>
      <c r="H1130" s="19">
        <f>Ringkasan!H1124</f>
        <v>7.6</v>
      </c>
      <c r="I1130" s="19">
        <f>Ringkasan!I1124</f>
        <v>1.2</v>
      </c>
      <c r="J1130" s="19">
        <f>Ringkasan!J1124</f>
        <v>16</v>
      </c>
      <c r="K1130" s="19">
        <f>Ringkasan!K1124</f>
        <v>10.6</v>
      </c>
      <c r="L1130" s="19">
        <f>Ringkasan!L1124</f>
        <v>0.52</v>
      </c>
      <c r="M1130" s="19">
        <f>Ringkasan!M1124</f>
        <v>44</v>
      </c>
      <c r="N1130" s="64" t="str">
        <f>Ringkasan!N1124</f>
        <v/>
      </c>
      <c r="O1130" s="64" t="str">
        <f>Ringkasan!O1124</f>
        <v/>
      </c>
      <c r="P1130" s="64" t="str">
        <f>Ringkasan!P1124</f>
        <v/>
      </c>
      <c r="Q1130" s="64" t="str">
        <f>Ringkasan!Q1124</f>
        <v/>
      </c>
      <c r="R1130" s="64" t="str">
        <f>Ringkasan!R1124</f>
        <v/>
      </c>
      <c r="S1130" s="64" t="str">
        <f>Ringkasan!S1124</f>
        <v/>
      </c>
      <c r="T1130" s="64" t="str">
        <f>Ringkasan!T1124</f>
        <v/>
      </c>
      <c r="U1130" s="64">
        <f>Ringkasan!U1124</f>
        <v>129</v>
      </c>
      <c r="V1130" s="64">
        <f>Ringkasan!V1124</f>
        <v>3.88</v>
      </c>
      <c r="W1130" s="64">
        <f>Ringkasan!W1124</f>
        <v>129</v>
      </c>
      <c r="X1130" s="64">
        <f>Ringkasan!X1124</f>
        <v>135</v>
      </c>
      <c r="Y1130" s="64">
        <f>Ringkasan!Y1124</f>
        <v>128</v>
      </c>
      <c r="Z1130" s="64">
        <f>Ringkasan!Z1124</f>
        <v>1820200</v>
      </c>
      <c r="AA1130" s="64" t="str">
        <f>Ringkasan!AA1124</f>
        <v>Coal</v>
      </c>
      <c r="AB1130" s="64" t="str">
        <f>Ringkasan!AB1124</f>
        <v>Energy</v>
      </c>
    </row>
    <row r="1131">
      <c r="A1131" s="60" t="str">
        <f>Ringkasan!A1060</f>
        <v>KLBF</v>
      </c>
      <c r="B1131" s="60" t="str">
        <f>Ringkasan!B1060</f>
        <v>Kalbe Farma Tbk.</v>
      </c>
      <c r="C1131" s="61">
        <f>Ringkasan!C1060</f>
        <v>740</v>
      </c>
      <c r="D1131" s="60" t="str">
        <f>Ringkasan!D1060</f>
        <v>#N/A</v>
      </c>
      <c r="E1131" s="60" t="str">
        <f>Ringkasan!E1060</f>
        <v>Kompas100</v>
      </c>
      <c r="F1131" s="60" t="str">
        <f>Ringkasan!F1060</f>
        <v>31 Juli 2026</v>
      </c>
      <c r="G1131" s="61">
        <f>Ringkasan!G1060</f>
        <v>17</v>
      </c>
      <c r="H1131" s="62">
        <f>Ringkasan!H1060</f>
        <v>10</v>
      </c>
      <c r="I1131" s="62">
        <f>Ringkasan!I1060</f>
        <v>1.4</v>
      </c>
      <c r="J1131" s="62">
        <f>Ringkasan!J1060</f>
        <v>14.1</v>
      </c>
      <c r="K1131" s="62">
        <f>Ringkasan!K1060</f>
        <v>11.3</v>
      </c>
      <c r="L1131" s="62">
        <f>Ringkasan!L1060</f>
        <v>0.24</v>
      </c>
      <c r="M1131" s="62">
        <f>Ringkasan!M1060</f>
        <v>37.4</v>
      </c>
      <c r="N1131" s="60" t="str">
        <f>Ringkasan!N1060</f>
        <v/>
      </c>
      <c r="O1131" s="60" t="str">
        <f>Ringkasan!O1060</f>
        <v/>
      </c>
      <c r="P1131" s="60" t="str">
        <f>Ringkasan!P1060</f>
        <v/>
      </c>
      <c r="Q1131" s="60" t="str">
        <f>Ringkasan!Q1060</f>
        <v/>
      </c>
      <c r="R1131" s="60" t="str">
        <f>Ringkasan!R1060</f>
        <v/>
      </c>
      <c r="S1131" s="60" t="str">
        <f>Ringkasan!S1060</f>
        <v/>
      </c>
      <c r="T1131" s="60" t="str">
        <f>Ringkasan!T1060</f>
        <v/>
      </c>
      <c r="U1131" s="60">
        <f>Ringkasan!U1060</f>
        <v>725</v>
      </c>
      <c r="V1131" s="60">
        <f>Ringkasan!V1060</f>
        <v>2.07</v>
      </c>
      <c r="W1131" s="60">
        <f>Ringkasan!W1060</f>
        <v>760</v>
      </c>
      <c r="X1131" s="60">
        <f>Ringkasan!X1060</f>
        <v>760</v>
      </c>
      <c r="Y1131" s="60">
        <f>Ringkasan!Y1060</f>
        <v>715</v>
      </c>
      <c r="Z1131" s="60">
        <f>Ringkasan!Z1060</f>
        <v>92741200</v>
      </c>
      <c r="AA1131" s="60" t="str">
        <f>Ringkasan!AA1060</f>
        <v>Pharmaceuticals</v>
      </c>
      <c r="AB1131" s="60" t="str">
        <f>Ringkasan!AB1060</f>
        <v>Healthcare</v>
      </c>
    </row>
    <row r="1132">
      <c r="A1132" s="60" t="str">
        <f>Ringkasan!A1061</f>
        <v>KLBF</v>
      </c>
      <c r="B1132" s="60" t="str">
        <f>Ringkasan!B1061</f>
        <v>Kalbe Farma Tbk.</v>
      </c>
      <c r="C1132" s="61">
        <f>Ringkasan!C1061</f>
        <v>740</v>
      </c>
      <c r="D1132" s="60" t="str">
        <f>Ringkasan!D1061</f>
        <v>#N/A</v>
      </c>
      <c r="E1132" s="60" t="str">
        <f>Ringkasan!E1061</f>
        <v>IDXQ30</v>
      </c>
      <c r="F1132" s="60" t="str">
        <f>Ringkasan!F1061</f>
        <v>4 Agustus 2026</v>
      </c>
      <c r="G1132" s="61">
        <f>Ringkasan!G1061</f>
        <v>17</v>
      </c>
      <c r="H1132" s="62">
        <f>Ringkasan!H1061</f>
        <v>10</v>
      </c>
      <c r="I1132" s="62">
        <f>Ringkasan!I1061</f>
        <v>1.4</v>
      </c>
      <c r="J1132" s="62">
        <f>Ringkasan!J1061</f>
        <v>14.1</v>
      </c>
      <c r="K1132" s="62">
        <f>Ringkasan!K1061</f>
        <v>11.3</v>
      </c>
      <c r="L1132" s="62">
        <f>Ringkasan!L1061</f>
        <v>0.24</v>
      </c>
      <c r="M1132" s="62">
        <f>Ringkasan!M1061</f>
        <v>37.4</v>
      </c>
      <c r="N1132" s="60" t="str">
        <f>Ringkasan!N1061</f>
        <v/>
      </c>
      <c r="O1132" s="60" t="str">
        <f>Ringkasan!O1061</f>
        <v/>
      </c>
      <c r="P1132" s="60" t="str">
        <f>Ringkasan!P1061</f>
        <v/>
      </c>
      <c r="Q1132" s="60" t="str">
        <f>Ringkasan!Q1061</f>
        <v/>
      </c>
      <c r="R1132" s="60" t="str">
        <f>Ringkasan!R1061</f>
        <v/>
      </c>
      <c r="S1132" s="60" t="str">
        <f>Ringkasan!S1061</f>
        <v/>
      </c>
      <c r="T1132" s="60" t="str">
        <f>Ringkasan!T1061</f>
        <v/>
      </c>
      <c r="U1132" s="60">
        <f>Ringkasan!U1061</f>
        <v>725</v>
      </c>
      <c r="V1132" s="60">
        <f>Ringkasan!V1061</f>
        <v>2.07</v>
      </c>
      <c r="W1132" s="60">
        <f>Ringkasan!W1061</f>
        <v>760</v>
      </c>
      <c r="X1132" s="60">
        <f>Ringkasan!X1061</f>
        <v>760</v>
      </c>
      <c r="Y1132" s="60">
        <f>Ringkasan!Y1061</f>
        <v>715</v>
      </c>
      <c r="Z1132" s="60">
        <f>Ringkasan!Z1061</f>
        <v>92741200</v>
      </c>
      <c r="AA1132" s="60" t="str">
        <f>Ringkasan!AA1061</f>
        <v>Pharmaceuticals</v>
      </c>
      <c r="AB1132" s="60" t="str">
        <f>Ringkasan!AB1061</f>
        <v>Healthcare</v>
      </c>
    </row>
    <row r="1133">
      <c r="A1133" s="60" t="str">
        <f>Ringkasan!A1063</f>
        <v>KLBF</v>
      </c>
      <c r="B1133" s="60" t="str">
        <f>Ringkasan!B1063</f>
        <v>Kalbe Farma Tbk.</v>
      </c>
      <c r="C1133" s="61">
        <f>Ringkasan!C1063</f>
        <v>740</v>
      </c>
      <c r="D1133" s="60" t="str">
        <f>Ringkasan!D1063</f>
        <v>#N/A</v>
      </c>
      <c r="E1133" s="60" t="str">
        <f>Ringkasan!E1063</f>
        <v>MSCI Small Cap</v>
      </c>
      <c r="F1133" s="60" t="str">
        <f>Ringkasan!F1063</f>
        <v>12 Agustus 2026</v>
      </c>
      <c r="G1133" s="60">
        <f>Ringkasan!G1063</f>
        <v>17</v>
      </c>
      <c r="H1133" s="62">
        <f>Ringkasan!H1063</f>
        <v>10</v>
      </c>
      <c r="I1133" s="62">
        <f>Ringkasan!I1063</f>
        <v>1.4</v>
      </c>
      <c r="J1133" s="62">
        <f>Ringkasan!J1063</f>
        <v>14.1</v>
      </c>
      <c r="K1133" s="62">
        <f>Ringkasan!K1063</f>
        <v>11.3</v>
      </c>
      <c r="L1133" s="62">
        <f>Ringkasan!L1063</f>
        <v>0.24</v>
      </c>
      <c r="M1133" s="62">
        <f>Ringkasan!M1063</f>
        <v>37.4</v>
      </c>
      <c r="N1133" s="60" t="str">
        <f>Ringkasan!N1063</f>
        <v/>
      </c>
      <c r="O1133" s="60" t="str">
        <f>Ringkasan!O1063</f>
        <v/>
      </c>
      <c r="P1133" s="60" t="str">
        <f>Ringkasan!P1063</f>
        <v/>
      </c>
      <c r="Q1133" s="60" t="str">
        <f>Ringkasan!Q1063</f>
        <v/>
      </c>
      <c r="R1133" s="60" t="str">
        <f>Ringkasan!R1063</f>
        <v/>
      </c>
      <c r="S1133" s="60" t="str">
        <f>Ringkasan!S1063</f>
        <v/>
      </c>
      <c r="T1133" s="60" t="str">
        <f>Ringkasan!T1063</f>
        <v/>
      </c>
      <c r="U1133" s="60">
        <f>Ringkasan!U1063</f>
        <v>725</v>
      </c>
      <c r="V1133" s="60">
        <f>Ringkasan!V1063</f>
        <v>2.07</v>
      </c>
      <c r="W1133" s="60">
        <f>Ringkasan!W1063</f>
        <v>760</v>
      </c>
      <c r="X1133" s="60">
        <f>Ringkasan!X1063</f>
        <v>760</v>
      </c>
      <c r="Y1133" s="60">
        <f>Ringkasan!Y1063</f>
        <v>715</v>
      </c>
      <c r="Z1133" s="60">
        <f>Ringkasan!Z1063</f>
        <v>92741200</v>
      </c>
      <c r="AA1133" s="60" t="str">
        <f>Ringkasan!AA1063</f>
        <v>Pharmaceuticals</v>
      </c>
      <c r="AB1133" s="60" t="str">
        <f>Ringkasan!AB1063</f>
        <v>Healthcare</v>
      </c>
    </row>
    <row r="1134">
      <c r="A1134" s="60" t="str">
        <f>Ringkasan!A1064</f>
        <v>KLBF</v>
      </c>
      <c r="B1134" s="60" t="str">
        <f>Ringkasan!B1064</f>
        <v>Kalbe Farma Tbk.</v>
      </c>
      <c r="C1134" s="61">
        <f>Ringkasan!C1064</f>
        <v>740</v>
      </c>
      <c r="D1134" s="60" t="str">
        <f>Ringkasan!D1064</f>
        <v>#N/A</v>
      </c>
      <c r="E1134" s="60" t="str">
        <f>Ringkasan!E1064</f>
        <v>SRI-KEHATI</v>
      </c>
      <c r="F1134" s="63">
        <f>Ringkasan!F1064</f>
        <v>46356</v>
      </c>
      <c r="G1134" s="61">
        <f>Ringkasan!G1064</f>
        <v>17</v>
      </c>
      <c r="H1134" s="62">
        <f>Ringkasan!H1064</f>
        <v>10</v>
      </c>
      <c r="I1134" s="62">
        <f>Ringkasan!I1064</f>
        <v>1.4</v>
      </c>
      <c r="J1134" s="62">
        <f>Ringkasan!J1064</f>
        <v>14.1</v>
      </c>
      <c r="K1134" s="62">
        <f>Ringkasan!K1064</f>
        <v>11.3</v>
      </c>
      <c r="L1134" s="62">
        <f>Ringkasan!L1064</f>
        <v>0.24</v>
      </c>
      <c r="M1134" s="62">
        <f>Ringkasan!M1064</f>
        <v>37.4</v>
      </c>
      <c r="N1134" s="60" t="str">
        <f>Ringkasan!N1064</f>
        <v/>
      </c>
      <c r="O1134" s="60" t="str">
        <f>Ringkasan!O1064</f>
        <v/>
      </c>
      <c r="P1134" s="60" t="str">
        <f>Ringkasan!P1064</f>
        <v/>
      </c>
      <c r="Q1134" s="60" t="str">
        <f>Ringkasan!Q1064</f>
        <v/>
      </c>
      <c r="R1134" s="60" t="str">
        <f>Ringkasan!R1064</f>
        <v/>
      </c>
      <c r="S1134" s="60" t="str">
        <f>Ringkasan!S1064</f>
        <v/>
      </c>
      <c r="T1134" s="60" t="str">
        <f>Ringkasan!T1064</f>
        <v/>
      </c>
      <c r="U1134" s="60">
        <f>Ringkasan!U1064</f>
        <v>725</v>
      </c>
      <c r="V1134" s="60">
        <f>Ringkasan!V1064</f>
        <v>2.07</v>
      </c>
      <c r="W1134" s="60">
        <f>Ringkasan!W1064</f>
        <v>760</v>
      </c>
      <c r="X1134" s="60">
        <f>Ringkasan!X1064</f>
        <v>760</v>
      </c>
      <c r="Y1134" s="60">
        <f>Ringkasan!Y1064</f>
        <v>715</v>
      </c>
      <c r="Z1134" s="60">
        <f>Ringkasan!Z1064</f>
        <v>92741200</v>
      </c>
      <c r="AA1134" s="60" t="str">
        <f>Ringkasan!AA1064</f>
        <v>Pharmaceuticals</v>
      </c>
      <c r="AB1134" s="60" t="str">
        <f>Ringkasan!AB1064</f>
        <v>Healthcare</v>
      </c>
    </row>
    <row r="1135">
      <c r="A1135" s="60" t="str">
        <f>Ringkasan!A1065</f>
        <v>KLBF</v>
      </c>
      <c r="B1135" s="60" t="str">
        <f>Ringkasan!B1065</f>
        <v>Kalbe Farma Tbk.</v>
      </c>
      <c r="C1135" s="61">
        <f>Ringkasan!C1065</f>
        <v>740</v>
      </c>
      <c r="D1135" s="60" t="str">
        <f>Ringkasan!D1065</f>
        <v>#N/A</v>
      </c>
      <c r="E1135" s="60" t="str">
        <f>Ringkasan!E1065</f>
        <v>JII30</v>
      </c>
      <c r="F1135" s="63">
        <f>Ringkasan!F1065</f>
        <v>46356</v>
      </c>
      <c r="G1135" s="61">
        <f>Ringkasan!G1065</f>
        <v>17</v>
      </c>
      <c r="H1135" s="62">
        <f>Ringkasan!H1065</f>
        <v>10</v>
      </c>
      <c r="I1135" s="62">
        <f>Ringkasan!I1065</f>
        <v>1.4</v>
      </c>
      <c r="J1135" s="62">
        <f>Ringkasan!J1065</f>
        <v>14.1</v>
      </c>
      <c r="K1135" s="62">
        <f>Ringkasan!K1065</f>
        <v>11.3</v>
      </c>
      <c r="L1135" s="62">
        <f>Ringkasan!L1065</f>
        <v>0.24</v>
      </c>
      <c r="M1135" s="62">
        <f>Ringkasan!M1065</f>
        <v>37.4</v>
      </c>
      <c r="N1135" s="60" t="str">
        <f>Ringkasan!N1065</f>
        <v/>
      </c>
      <c r="O1135" s="60" t="str">
        <f>Ringkasan!O1065</f>
        <v/>
      </c>
      <c r="P1135" s="60" t="str">
        <f>Ringkasan!P1065</f>
        <v/>
      </c>
      <c r="Q1135" s="60" t="str">
        <f>Ringkasan!Q1065</f>
        <v/>
      </c>
      <c r="R1135" s="60" t="str">
        <f>Ringkasan!R1065</f>
        <v/>
      </c>
      <c r="S1135" s="60" t="str">
        <f>Ringkasan!S1065</f>
        <v/>
      </c>
      <c r="T1135" s="60" t="str">
        <f>Ringkasan!T1065</f>
        <v/>
      </c>
      <c r="U1135" s="60">
        <f>Ringkasan!U1065</f>
        <v>725</v>
      </c>
      <c r="V1135" s="60">
        <f>Ringkasan!V1065</f>
        <v>2.07</v>
      </c>
      <c r="W1135" s="60">
        <f>Ringkasan!W1065</f>
        <v>760</v>
      </c>
      <c r="X1135" s="60">
        <f>Ringkasan!X1065</f>
        <v>760</v>
      </c>
      <c r="Y1135" s="60">
        <f>Ringkasan!Y1065</f>
        <v>715</v>
      </c>
      <c r="Z1135" s="60">
        <f>Ringkasan!Z1065</f>
        <v>92741200</v>
      </c>
      <c r="AA1135" s="60" t="str">
        <f>Ringkasan!AA1065</f>
        <v>Pharmaceuticals</v>
      </c>
      <c r="AB1135" s="60" t="str">
        <f>Ringkasan!AB1065</f>
        <v>Healthcare</v>
      </c>
    </row>
    <row r="1136" hidden="1">
      <c r="A1136" s="60" t="str">
        <f>Ringkasan!A1119</f>
        <v>LTLS</v>
      </c>
      <c r="B1136" s="60" t="str">
        <f>Ringkasan!B1119</f>
        <v>Lautan Luas Tbk.</v>
      </c>
      <c r="C1136" s="61">
        <f>Ringkasan!C1119</f>
        <v>715</v>
      </c>
      <c r="D1136" s="60" t="str">
        <f>Ringkasan!D1119</f>
        <v>#N/A</v>
      </c>
      <c r="E1136" s="60" t="str">
        <f>Ringkasan!E1119</f>
        <v/>
      </c>
      <c r="F1136" s="60" t="str">
        <f>Ringkasan!F1119</f>
        <v/>
      </c>
      <c r="G1136" s="60">
        <f>Ringkasan!G1119</f>
        <v>0</v>
      </c>
      <c r="H1136" s="62">
        <f>Ringkasan!H1119</f>
        <v>8.1</v>
      </c>
      <c r="I1136" s="62">
        <f>Ringkasan!I1119</f>
        <v>0.35</v>
      </c>
      <c r="J1136" s="62">
        <f>Ringkasan!J1119</f>
        <v>4.3</v>
      </c>
      <c r="K1136" s="62">
        <f>Ringkasan!K1119</f>
        <v>2.1</v>
      </c>
      <c r="L1136" s="62">
        <f>Ringkasan!L1119</f>
        <v>1</v>
      </c>
      <c r="M1136" s="62">
        <f>Ringkasan!M1119</f>
        <v>6.6</v>
      </c>
      <c r="N1136" s="60" t="str">
        <f>Ringkasan!N1119</f>
        <v/>
      </c>
      <c r="O1136" s="60" t="str">
        <f>Ringkasan!O1119</f>
        <v/>
      </c>
      <c r="P1136" s="60" t="str">
        <f>Ringkasan!P1119</f>
        <v/>
      </c>
      <c r="Q1136" s="60" t="str">
        <f>Ringkasan!Q1119</f>
        <v/>
      </c>
      <c r="R1136" s="60" t="str">
        <f>Ringkasan!R1119</f>
        <v/>
      </c>
      <c r="S1136" s="60" t="str">
        <f>Ringkasan!S1119</f>
        <v/>
      </c>
      <c r="T1136" s="60" t="str">
        <f>Ringkasan!T1119</f>
        <v/>
      </c>
      <c r="U1136" s="60">
        <f>Ringkasan!U1119</f>
        <v>710</v>
      </c>
      <c r="V1136" s="60">
        <f>Ringkasan!V1119</f>
        <v>0.7</v>
      </c>
      <c r="W1136" s="60">
        <f>Ringkasan!W1119</f>
        <v>710</v>
      </c>
      <c r="X1136" s="60">
        <f>Ringkasan!X1119</f>
        <v>760</v>
      </c>
      <c r="Y1136" s="60">
        <f>Ringkasan!Y1119</f>
        <v>670</v>
      </c>
      <c r="Z1136" s="60">
        <f>Ringkasan!Z1119</f>
        <v>101400</v>
      </c>
      <c r="AA1136" s="60" t="str">
        <f>Ringkasan!AA1119</f>
        <v>Chemicals</v>
      </c>
      <c r="AB1136" s="60" t="str">
        <f>Ringkasan!AB1119</f>
        <v>Basic Materials</v>
      </c>
    </row>
    <row r="1137">
      <c r="A1137" s="60" t="str">
        <f>Ringkasan!A1138</f>
        <v>MAPI</v>
      </c>
      <c r="B1137" s="60" t="str">
        <f>Ringkasan!B1138</f>
        <v>Mitra Adiperkasa Tbk.</v>
      </c>
      <c r="C1137" s="61">
        <f>Ringkasan!C1138</f>
        <v>1490</v>
      </c>
      <c r="D1137" s="60" t="str">
        <f>Ringkasan!D1138</f>
        <v>#N/A</v>
      </c>
      <c r="E1137" s="60" t="str">
        <f>Ringkasan!E1138</f>
        <v>ECONOMIC30</v>
      </c>
      <c r="F1137" s="60" t="str">
        <f>Ringkasan!F1138</f>
        <v>31 Agustus 2026</v>
      </c>
      <c r="G1137" s="60">
        <f>Ringkasan!G1138</f>
        <v>12</v>
      </c>
      <c r="H1137" s="62">
        <f>Ringkasan!H1138</f>
        <v>10.4</v>
      </c>
      <c r="I1137" s="62">
        <f>Ringkasan!I1138</f>
        <v>1.4</v>
      </c>
      <c r="J1137" s="62">
        <f>Ringkasan!J1138</f>
        <v>13.3</v>
      </c>
      <c r="K1137" s="62">
        <f>Ringkasan!K1138</f>
        <v>7</v>
      </c>
      <c r="L1137" s="62">
        <f>Ringkasan!L1138</f>
        <v>0.9</v>
      </c>
      <c r="M1137" s="62">
        <f>Ringkasan!M1138</f>
        <v>19.4</v>
      </c>
      <c r="N1137" s="60" t="str">
        <f>Ringkasan!N1138</f>
        <v/>
      </c>
      <c r="O1137" s="60" t="str">
        <f>Ringkasan!O1138</f>
        <v/>
      </c>
      <c r="P1137" s="60" t="str">
        <f>Ringkasan!P1138</f>
        <v/>
      </c>
      <c r="Q1137" s="60" t="str">
        <f>Ringkasan!Q1138</f>
        <v/>
      </c>
      <c r="R1137" s="60" t="str">
        <f>Ringkasan!R1138</f>
        <v/>
      </c>
      <c r="S1137" s="60" t="str">
        <f>Ringkasan!S1138</f>
        <v/>
      </c>
      <c r="T1137" s="60" t="str">
        <f>Ringkasan!T1138</f>
        <v/>
      </c>
      <c r="U1137" s="60">
        <f>Ringkasan!U1138</f>
        <v>1485</v>
      </c>
      <c r="V1137" s="60">
        <f>Ringkasan!V1138</f>
        <v>0.34</v>
      </c>
      <c r="W1137" s="60">
        <f>Ringkasan!W1138</f>
        <v>1485</v>
      </c>
      <c r="X1137" s="60">
        <f>Ringkasan!X1138</f>
        <v>1490</v>
      </c>
      <c r="Y1137" s="60">
        <f>Ringkasan!Y1138</f>
        <v>1485</v>
      </c>
      <c r="Z1137" s="60">
        <f>Ringkasan!Z1138</f>
        <v>73594900</v>
      </c>
      <c r="AA1137" s="60" t="str">
        <f>Ringkasan!AA1138</f>
        <v>Specialty Retail</v>
      </c>
      <c r="AB1137" s="60" t="str">
        <f>Ringkasan!AB1138</f>
        <v>Consumer Cyclicals</v>
      </c>
    </row>
    <row r="1138">
      <c r="A1138" s="60" t="str">
        <f>Ringkasan!A1116</f>
        <v>LSIP</v>
      </c>
      <c r="B1138" s="60" t="str">
        <f>Ringkasan!B1116</f>
        <v>PP London Sumatra Indonesia Tbk</v>
      </c>
      <c r="C1138" s="61">
        <f>Ringkasan!C1116</f>
        <v>1250</v>
      </c>
      <c r="D1138" s="60" t="str">
        <f>Ringkasan!D1116</f>
        <v>#N/A</v>
      </c>
      <c r="E1138" s="60" t="str">
        <f>Ringkasan!E1116</f>
        <v>IDXVESTA28</v>
      </c>
      <c r="F1138" s="60" t="str">
        <f>Ringkasan!F1116</f>
        <v>31 Agustus 2026</v>
      </c>
      <c r="G1138" s="61">
        <f>Ringkasan!G1116</f>
        <v>5</v>
      </c>
      <c r="H1138" s="62">
        <f>Ringkasan!H1116</f>
        <v>4.7</v>
      </c>
      <c r="I1138" s="62">
        <f>Ringkasan!I1116</f>
        <v>0.61</v>
      </c>
      <c r="J1138" s="62">
        <f>Ringkasan!J1116</f>
        <v>13.1</v>
      </c>
      <c r="K1138" s="62">
        <f>Ringkasan!K1116</f>
        <v>12</v>
      </c>
      <c r="L1138" s="62">
        <f>Ringkasan!L1116</f>
        <v>0.1</v>
      </c>
      <c r="M1138" s="62">
        <f>Ringkasan!M1116</f>
        <v>140</v>
      </c>
      <c r="N1138" s="60" t="str">
        <f>Ringkasan!N1116</f>
        <v/>
      </c>
      <c r="O1138" s="60" t="str">
        <f>Ringkasan!O1116</f>
        <v/>
      </c>
      <c r="P1138" s="60" t="str">
        <f>Ringkasan!P1116</f>
        <v/>
      </c>
      <c r="Q1138" s="60" t="str">
        <f>Ringkasan!Q1116</f>
        <v/>
      </c>
      <c r="R1138" s="60" t="str">
        <f>Ringkasan!R1116</f>
        <v/>
      </c>
      <c r="S1138" s="60" t="str">
        <f>Ringkasan!S1116</f>
        <v/>
      </c>
      <c r="T1138" s="60" t="str">
        <f>Ringkasan!T1116</f>
        <v/>
      </c>
      <c r="U1138" s="60">
        <f>Ringkasan!U1116</f>
        <v>1195</v>
      </c>
      <c r="V1138" s="60">
        <f>Ringkasan!V1116</f>
        <v>4.6</v>
      </c>
      <c r="W1138" s="60">
        <f>Ringkasan!W1116</f>
        <v>1200</v>
      </c>
      <c r="X1138" s="60">
        <f>Ringkasan!X1116</f>
        <v>1285</v>
      </c>
      <c r="Y1138" s="60">
        <f>Ringkasan!Y1116</f>
        <v>1200</v>
      </c>
      <c r="Z1138" s="60">
        <f>Ringkasan!Z1116</f>
        <v>19224200</v>
      </c>
      <c r="AA1138" s="60" t="str">
        <f>Ringkasan!AA1116</f>
        <v>Agricultural Products</v>
      </c>
      <c r="AB1138" s="60" t="str">
        <f>Ringkasan!AB1116</f>
        <v>Consumer Non-Cyclicals</v>
      </c>
    </row>
    <row r="1139" hidden="1">
      <c r="A1139" s="64" t="str">
        <f>Ringkasan!A1592</f>
        <v>SMGR</v>
      </c>
      <c r="B1139" s="64" t="str">
        <f>Ringkasan!B1592</f>
        <v>Semen Indonesia (Persero) Tbk.</v>
      </c>
      <c r="C1139" s="61">
        <f>Ringkasan!C1592</f>
        <v>1530</v>
      </c>
      <c r="D1139" s="60" t="str">
        <f>Ringkasan!D1592</f>
        <v>#N/A</v>
      </c>
      <c r="E1139" s="60" t="str">
        <f>Ringkasan!E1592</f>
        <v>Pefindo - iGrade</v>
      </c>
      <c r="F1139" s="60" t="str">
        <f>Ringkasan!F1592</f>
        <v>30 Juni 2026</v>
      </c>
      <c r="G1139" s="60">
        <f>Ringkasan!G1592</f>
        <v>17</v>
      </c>
      <c r="H1139" s="62">
        <f>Ringkasan!H1592</f>
        <v>49.9</v>
      </c>
      <c r="I1139" s="62">
        <f>Ringkasan!I1592</f>
        <v>0.24</v>
      </c>
      <c r="J1139" s="62">
        <f>Ringkasan!J1592</f>
        <v>0.48</v>
      </c>
      <c r="K1139" s="62">
        <f>Ringkasan!K1592</f>
        <v>0.3</v>
      </c>
      <c r="L1139" s="62">
        <f>Ringkasan!L1592</f>
        <v>0.58</v>
      </c>
      <c r="M1139" s="62">
        <f>Ringkasan!M1592</f>
        <v>2.8</v>
      </c>
      <c r="N1139" s="60" t="str">
        <f>Ringkasan!N1592</f>
        <v/>
      </c>
      <c r="O1139" s="60" t="str">
        <f>Ringkasan!O1592</f>
        <v/>
      </c>
      <c r="P1139" s="60" t="str">
        <f>Ringkasan!P1592</f>
        <v/>
      </c>
      <c r="Q1139" s="60" t="str">
        <f>Ringkasan!Q1592</f>
        <v/>
      </c>
      <c r="R1139" s="60" t="str">
        <f>Ringkasan!R1592</f>
        <v/>
      </c>
      <c r="S1139" s="60" t="str">
        <f>Ringkasan!S1592</f>
        <v/>
      </c>
      <c r="T1139" s="60" t="str">
        <f>Ringkasan!T1592</f>
        <v/>
      </c>
      <c r="U1139" s="60">
        <f>Ringkasan!U1592</f>
        <v>1550</v>
      </c>
      <c r="V1139" s="60">
        <f>Ringkasan!V1592</f>
        <v>-1.29</v>
      </c>
      <c r="W1139" s="60">
        <f>Ringkasan!W1592</f>
        <v>1550</v>
      </c>
      <c r="X1139" s="60">
        <f>Ringkasan!X1592</f>
        <v>1585</v>
      </c>
      <c r="Y1139" s="60">
        <f>Ringkasan!Y1592</f>
        <v>1525</v>
      </c>
      <c r="Z1139" s="60">
        <f>Ringkasan!Z1592</f>
        <v>15467300</v>
      </c>
      <c r="AA1139" s="60" t="str">
        <f>Ringkasan!AA1592</f>
        <v>Construction Materials</v>
      </c>
      <c r="AB1139" s="64" t="str">
        <f>Ringkasan!AB1592</f>
        <v>Basic Materials</v>
      </c>
    </row>
    <row r="1140" hidden="1">
      <c r="A1140" s="60" t="str">
        <f>Ringkasan!A598</f>
        <v>DGWG</v>
      </c>
      <c r="B1140" s="60" t="str">
        <f>Ringkasan!B598</f>
        <v>Delta Giri Wacana Tbk.</v>
      </c>
      <c r="C1140" s="61">
        <f>Ringkasan!C598</f>
        <v>304</v>
      </c>
      <c r="D1140" s="60" t="str">
        <f>Ringkasan!D598</f>
        <v>#N/A</v>
      </c>
      <c r="E1140" s="60" t="str">
        <f>Ringkasan!E598</f>
        <v/>
      </c>
      <c r="F1140" s="60" t="str">
        <f>Ringkasan!F598</f>
        <v/>
      </c>
      <c r="G1140" s="60">
        <f>Ringkasan!G598</f>
        <v>0</v>
      </c>
      <c r="H1140" s="62">
        <f>Ringkasan!H598</f>
        <v>8.1</v>
      </c>
      <c r="I1140" s="62">
        <f>Ringkasan!I598</f>
        <v>1.7</v>
      </c>
      <c r="J1140" s="62">
        <f>Ringkasan!J598</f>
        <v>21.2</v>
      </c>
      <c r="K1140" s="62">
        <f>Ringkasan!K598</f>
        <v>6.1</v>
      </c>
      <c r="L1140" s="62">
        <f>Ringkasan!L598</f>
        <v>2.5</v>
      </c>
      <c r="M1140" s="62">
        <f>Ringkasan!M598</f>
        <v>22</v>
      </c>
      <c r="N1140" s="60" t="str">
        <f>Ringkasan!N598</f>
        <v/>
      </c>
      <c r="O1140" s="60" t="str">
        <f>Ringkasan!O598</f>
        <v/>
      </c>
      <c r="P1140" s="60" t="str">
        <f>Ringkasan!P598</f>
        <v/>
      </c>
      <c r="Q1140" s="60" t="str">
        <f>Ringkasan!Q598</f>
        <v/>
      </c>
      <c r="R1140" s="60" t="str">
        <f>Ringkasan!R598</f>
        <v/>
      </c>
      <c r="S1140" s="60" t="str">
        <f>Ringkasan!S598</f>
        <v/>
      </c>
      <c r="T1140" s="60" t="str">
        <f>Ringkasan!T598</f>
        <v/>
      </c>
      <c r="U1140" s="60">
        <f>Ringkasan!U598</f>
        <v>294</v>
      </c>
      <c r="V1140" s="60">
        <f>Ringkasan!V598</f>
        <v>3.4</v>
      </c>
      <c r="W1140" s="60">
        <f>Ringkasan!W598</f>
        <v>296</v>
      </c>
      <c r="X1140" s="60">
        <f>Ringkasan!X598</f>
        <v>306</v>
      </c>
      <c r="Y1140" s="60">
        <f>Ringkasan!Y598</f>
        <v>296</v>
      </c>
      <c r="Z1140" s="60">
        <f>Ringkasan!Z598</f>
        <v>15547100</v>
      </c>
      <c r="AA1140" s="60" t="str">
        <f>Ringkasan!AA598</f>
        <v>Chemicals</v>
      </c>
      <c r="AB1140" s="60" t="str">
        <f>Ringkasan!AB598</f>
        <v>Basic Materials</v>
      </c>
    </row>
    <row r="1141" hidden="1">
      <c r="A1141" s="64" t="str">
        <f>Ringkasan!A1593</f>
        <v>SMGR</v>
      </c>
      <c r="B1141" s="64" t="str">
        <f>Ringkasan!B1593</f>
        <v>Semen Indonesia (Persero) Tbk.</v>
      </c>
      <c r="C1141" s="61">
        <f>Ringkasan!C1593</f>
        <v>1530</v>
      </c>
      <c r="D1141" s="60" t="str">
        <f>Ringkasan!D1593</f>
        <v>#N/A</v>
      </c>
      <c r="E1141" s="60" t="str">
        <f>Ringkasan!E1593</f>
        <v>Kompas100</v>
      </c>
      <c r="F1141" s="60" t="str">
        <f>Ringkasan!F1593</f>
        <v>31 Juli 2026</v>
      </c>
      <c r="G1141" s="60">
        <f>Ringkasan!G1593</f>
        <v>17</v>
      </c>
      <c r="H1141" s="62">
        <f>Ringkasan!H1593</f>
        <v>49.9</v>
      </c>
      <c r="I1141" s="62">
        <f>Ringkasan!I1593</f>
        <v>0.24</v>
      </c>
      <c r="J1141" s="62">
        <f>Ringkasan!J1593</f>
        <v>0.48</v>
      </c>
      <c r="K1141" s="62">
        <f>Ringkasan!K1593</f>
        <v>0.3</v>
      </c>
      <c r="L1141" s="62">
        <f>Ringkasan!L1593</f>
        <v>0.58</v>
      </c>
      <c r="M1141" s="62">
        <f>Ringkasan!M1593</f>
        <v>2.8</v>
      </c>
      <c r="N1141" s="60" t="str">
        <f>Ringkasan!N1593</f>
        <v/>
      </c>
      <c r="O1141" s="60" t="str">
        <f>Ringkasan!O1593</f>
        <v/>
      </c>
      <c r="P1141" s="60" t="str">
        <f>Ringkasan!P1593</f>
        <v/>
      </c>
      <c r="Q1141" s="60" t="str">
        <f>Ringkasan!Q1593</f>
        <v/>
      </c>
      <c r="R1141" s="60" t="str">
        <f>Ringkasan!R1593</f>
        <v/>
      </c>
      <c r="S1141" s="60" t="str">
        <f>Ringkasan!S1593</f>
        <v/>
      </c>
      <c r="T1141" s="60" t="str">
        <f>Ringkasan!T1593</f>
        <v/>
      </c>
      <c r="U1141" s="60">
        <f>Ringkasan!U1593</f>
        <v>1550</v>
      </c>
      <c r="V1141" s="60">
        <f>Ringkasan!V1593</f>
        <v>-1.29</v>
      </c>
      <c r="W1141" s="60">
        <f>Ringkasan!W1593</f>
        <v>1550</v>
      </c>
      <c r="X1141" s="60">
        <f>Ringkasan!X1593</f>
        <v>1585</v>
      </c>
      <c r="Y1141" s="60">
        <f>Ringkasan!Y1593</f>
        <v>1525</v>
      </c>
      <c r="Z1141" s="60">
        <f>Ringkasan!Z1593</f>
        <v>15467300</v>
      </c>
      <c r="AA1141" s="60" t="str">
        <f>Ringkasan!AA1593</f>
        <v>Construction Materials</v>
      </c>
      <c r="AB1141" s="64" t="str">
        <f>Ringkasan!AB1593</f>
        <v>Basic Materials</v>
      </c>
    </row>
    <row r="1142" hidden="1">
      <c r="A1142" s="60" t="str">
        <f>Ringkasan!A612</f>
        <v>DOOH</v>
      </c>
      <c r="B1142" s="60" t="str">
        <f>Ringkasan!B612</f>
        <v>PT Era Media Sejahtera Tbk</v>
      </c>
      <c r="C1142" s="61">
        <f>Ringkasan!C612</f>
        <v>125</v>
      </c>
      <c r="D1142" s="60" t="str">
        <f>Ringkasan!D612</f>
        <v>#N/A</v>
      </c>
      <c r="E1142" s="60" t="str">
        <f>Ringkasan!E612</f>
        <v/>
      </c>
      <c r="F1142" s="60" t="str">
        <f>Ringkasan!F612</f>
        <v/>
      </c>
      <c r="G1142" s="60">
        <f>Ringkasan!G612</f>
        <v>0</v>
      </c>
      <c r="H1142" s="62">
        <f>Ringkasan!H612</f>
        <v>43.1</v>
      </c>
      <c r="I1142" s="62">
        <f>Ringkasan!I612</f>
        <v>4.3</v>
      </c>
      <c r="J1142" s="62">
        <f>Ringkasan!J612</f>
        <v>10.1</v>
      </c>
      <c r="K1142" s="62">
        <f>Ringkasan!K612</f>
        <v>8.3</v>
      </c>
      <c r="L1142" s="62">
        <f>Ringkasan!L612</f>
        <v>0.22</v>
      </c>
      <c r="M1142" s="62">
        <f>Ringkasan!M612</f>
        <v>83.6</v>
      </c>
      <c r="N1142" s="60" t="str">
        <f>Ringkasan!N612</f>
        <v/>
      </c>
      <c r="O1142" s="60" t="str">
        <f>Ringkasan!O612</f>
        <v/>
      </c>
      <c r="P1142" s="60" t="str">
        <f>Ringkasan!P612</f>
        <v/>
      </c>
      <c r="Q1142" s="60" t="str">
        <f>Ringkasan!Q612</f>
        <v/>
      </c>
      <c r="R1142" s="60" t="str">
        <f>Ringkasan!R612</f>
        <v/>
      </c>
      <c r="S1142" s="60" t="str">
        <f>Ringkasan!S612</f>
        <v/>
      </c>
      <c r="T1142" s="60" t="str">
        <f>Ringkasan!T612</f>
        <v/>
      </c>
      <c r="U1142" s="60">
        <f>Ringkasan!U612</f>
        <v>121</v>
      </c>
      <c r="V1142" s="60">
        <f>Ringkasan!V612</f>
        <v>3.31</v>
      </c>
      <c r="W1142" s="60">
        <f>Ringkasan!W612</f>
        <v>121</v>
      </c>
      <c r="X1142" s="60">
        <f>Ringkasan!X612</f>
        <v>139</v>
      </c>
      <c r="Y1142" s="60">
        <f>Ringkasan!Y612</f>
        <v>120</v>
      </c>
      <c r="Z1142" s="60">
        <f>Ringkasan!Z612</f>
        <v>62484900</v>
      </c>
      <c r="AA1142" s="60" t="str">
        <f>Ringkasan!AA612</f>
        <v>Media</v>
      </c>
      <c r="AB1142" s="60" t="str">
        <f>Ringkasan!AB612</f>
        <v>Consumer Cyclicals</v>
      </c>
    </row>
    <row r="1143" hidden="1">
      <c r="A1143" s="60" t="str">
        <f>Ringkasan!A613</f>
        <v>DOSS</v>
      </c>
      <c r="B1143" s="60" t="str">
        <f>Ringkasan!B613</f>
        <v>Global Sukses Digital Tbk.</v>
      </c>
      <c r="C1143" s="61">
        <f>Ringkasan!C613</f>
        <v>135</v>
      </c>
      <c r="D1143" s="60" t="str">
        <f>Ringkasan!D613</f>
        <v>#N/A</v>
      </c>
      <c r="E1143" s="60" t="str">
        <f>Ringkasan!E613</f>
        <v/>
      </c>
      <c r="F1143" s="60" t="str">
        <f>Ringkasan!F613</f>
        <v/>
      </c>
      <c r="G1143" s="60">
        <f>Ringkasan!G613</f>
        <v>0</v>
      </c>
      <c r="H1143" s="62">
        <f>Ringkasan!H613</f>
        <v>5.5</v>
      </c>
      <c r="I1143" s="62">
        <f>Ringkasan!I613</f>
        <v>1.1</v>
      </c>
      <c r="J1143" s="62">
        <f>Ringkasan!J613</f>
        <v>19.2</v>
      </c>
      <c r="K1143" s="62">
        <f>Ringkasan!K613</f>
        <v>13.1</v>
      </c>
      <c r="L1143" s="62">
        <f>Ringkasan!L613</f>
        <v>0.46</v>
      </c>
      <c r="M1143" s="62">
        <f>Ringkasan!M613</f>
        <v>14</v>
      </c>
      <c r="N1143" s="60" t="str">
        <f>Ringkasan!N613</f>
        <v/>
      </c>
      <c r="O1143" s="60" t="str">
        <f>Ringkasan!O613</f>
        <v/>
      </c>
      <c r="P1143" s="60" t="str">
        <f>Ringkasan!P613</f>
        <v/>
      </c>
      <c r="Q1143" s="60" t="str">
        <f>Ringkasan!Q613</f>
        <v/>
      </c>
      <c r="R1143" s="60" t="str">
        <f>Ringkasan!R613</f>
        <v/>
      </c>
      <c r="S1143" s="60" t="str">
        <f>Ringkasan!S613</f>
        <v/>
      </c>
      <c r="T1143" s="60" t="str">
        <f>Ringkasan!T613</f>
        <v/>
      </c>
      <c r="U1143" s="60">
        <f>Ringkasan!U613</f>
        <v>127</v>
      </c>
      <c r="V1143" s="60">
        <f>Ringkasan!V613</f>
        <v>6.3</v>
      </c>
      <c r="W1143" s="60">
        <f>Ringkasan!W613</f>
        <v>123</v>
      </c>
      <c r="X1143" s="60">
        <f>Ringkasan!X613</f>
        <v>135</v>
      </c>
      <c r="Y1143" s="60">
        <f>Ringkasan!Y613</f>
        <v>123</v>
      </c>
      <c r="Z1143" s="60">
        <f>Ringkasan!Z613</f>
        <v>272200</v>
      </c>
      <c r="AA1143" s="60" t="str">
        <f>Ringkasan!AA613</f>
        <v>Consumer Electronics</v>
      </c>
      <c r="AB1143" s="60" t="str">
        <f>Ringkasan!AB613</f>
        <v>Consumer Cyclicals</v>
      </c>
    </row>
    <row r="1144">
      <c r="A1144" s="60" t="str">
        <f>Ringkasan!A1117</f>
        <v>LSIP</v>
      </c>
      <c r="B1144" s="60" t="str">
        <f>Ringkasan!B1117</f>
        <v>PP London Sumatra Indonesia Tbk</v>
      </c>
      <c r="C1144" s="61">
        <f>Ringkasan!C1117</f>
        <v>1250</v>
      </c>
      <c r="D1144" s="60" t="str">
        <f>Ringkasan!D1117</f>
        <v>#N/A</v>
      </c>
      <c r="E1144" s="60" t="str">
        <f>Ringkasan!E1117</f>
        <v>IDXSMC-LIQ</v>
      </c>
      <c r="F1144" s="60" t="str">
        <f>Ringkasan!F1117</f>
        <v>4 Agustus 2026</v>
      </c>
      <c r="G1144" s="61">
        <f>Ringkasan!G1117</f>
        <v>5</v>
      </c>
      <c r="H1144" s="62">
        <f>Ringkasan!H1117</f>
        <v>4.7</v>
      </c>
      <c r="I1144" s="62">
        <f>Ringkasan!I1117</f>
        <v>0.61</v>
      </c>
      <c r="J1144" s="62">
        <f>Ringkasan!J1117</f>
        <v>13.1</v>
      </c>
      <c r="K1144" s="62">
        <f>Ringkasan!K1117</f>
        <v>12</v>
      </c>
      <c r="L1144" s="62">
        <f>Ringkasan!L1117</f>
        <v>0.1</v>
      </c>
      <c r="M1144" s="62">
        <f>Ringkasan!M1117</f>
        <v>140</v>
      </c>
      <c r="N1144" s="60" t="str">
        <f>Ringkasan!N1117</f>
        <v/>
      </c>
      <c r="O1144" s="60" t="str">
        <f>Ringkasan!O1117</f>
        <v/>
      </c>
      <c r="P1144" s="60" t="str">
        <f>Ringkasan!P1117</f>
        <v/>
      </c>
      <c r="Q1144" s="60" t="str">
        <f>Ringkasan!Q1117</f>
        <v/>
      </c>
      <c r="R1144" s="60" t="str">
        <f>Ringkasan!R1117</f>
        <v/>
      </c>
      <c r="S1144" s="60" t="str">
        <f>Ringkasan!S1117</f>
        <v/>
      </c>
      <c r="T1144" s="60" t="str">
        <f>Ringkasan!T1117</f>
        <v/>
      </c>
      <c r="U1144" s="60">
        <f>Ringkasan!U1117</f>
        <v>1195</v>
      </c>
      <c r="V1144" s="60">
        <f>Ringkasan!V1117</f>
        <v>4.6</v>
      </c>
      <c r="W1144" s="60">
        <f>Ringkasan!W1117</f>
        <v>1200</v>
      </c>
      <c r="X1144" s="60">
        <f>Ringkasan!X1117</f>
        <v>1285</v>
      </c>
      <c r="Y1144" s="60">
        <f>Ringkasan!Y1117</f>
        <v>1200</v>
      </c>
      <c r="Z1144" s="60">
        <f>Ringkasan!Z1117</f>
        <v>19224200</v>
      </c>
      <c r="AA1144" s="60" t="str">
        <f>Ringkasan!AA1117</f>
        <v>Agricultural Products</v>
      </c>
      <c r="AB1144" s="60" t="str">
        <f>Ringkasan!AB1117</f>
        <v>Consumer Non-Cyclicals</v>
      </c>
    </row>
    <row r="1145" hidden="1">
      <c r="A1145" s="60" t="str">
        <f>Ringkasan!A1633</f>
        <v>SPTO</v>
      </c>
      <c r="B1145" s="60" t="str">
        <f>Ringkasan!B1633</f>
        <v>Surya Pertiwi Tbk.</v>
      </c>
      <c r="C1145" s="61">
        <f>Ringkasan!C1633</f>
        <v>540</v>
      </c>
      <c r="D1145" s="60" t="str">
        <f>Ringkasan!D1633</f>
        <v>#N/A</v>
      </c>
      <c r="E1145" s="60" t="str">
        <f>Ringkasan!E1633</f>
        <v/>
      </c>
      <c r="F1145" s="60" t="str">
        <f>Ringkasan!F1633</f>
        <v/>
      </c>
      <c r="G1145" s="60">
        <f>Ringkasan!G1633</f>
        <v>0</v>
      </c>
      <c r="H1145" s="62">
        <f>Ringkasan!H1633</f>
        <v>6.3</v>
      </c>
      <c r="I1145" s="62">
        <f>Ringkasan!I1633</f>
        <v>0.62</v>
      </c>
      <c r="J1145" s="62">
        <f>Ringkasan!J1633</f>
        <v>9.7</v>
      </c>
      <c r="K1145" s="62">
        <f>Ringkasan!K1633</f>
        <v>7.3</v>
      </c>
      <c r="L1145" s="62">
        <f>Ringkasan!L1633</f>
        <v>0.33</v>
      </c>
      <c r="M1145" s="62">
        <f>Ringkasan!M1633</f>
        <v>38.6</v>
      </c>
      <c r="N1145" s="60" t="str">
        <f>Ringkasan!N1633</f>
        <v/>
      </c>
      <c r="O1145" s="60" t="str">
        <f>Ringkasan!O1633</f>
        <v/>
      </c>
      <c r="P1145" s="60" t="str">
        <f>Ringkasan!P1633</f>
        <v/>
      </c>
      <c r="Q1145" s="60" t="str">
        <f>Ringkasan!Q1633</f>
        <v/>
      </c>
      <c r="R1145" s="60" t="str">
        <f>Ringkasan!R1633</f>
        <v/>
      </c>
      <c r="S1145" s="60" t="str">
        <f>Ringkasan!S1633</f>
        <v/>
      </c>
      <c r="T1145" s="60" t="str">
        <f>Ringkasan!T1633</f>
        <v/>
      </c>
      <c r="U1145" s="60">
        <f>Ringkasan!U1633</f>
        <v>535</v>
      </c>
      <c r="V1145" s="60">
        <f>Ringkasan!V1633</f>
        <v>0.93</v>
      </c>
      <c r="W1145" s="60">
        <f>Ringkasan!W1633</f>
        <v>535</v>
      </c>
      <c r="X1145" s="60">
        <f>Ringkasan!X1633</f>
        <v>540</v>
      </c>
      <c r="Y1145" s="60">
        <f>Ringkasan!Y1633</f>
        <v>525</v>
      </c>
      <c r="Z1145" s="60">
        <f>Ringkasan!Z1633</f>
        <v>1037900</v>
      </c>
      <c r="AA1145" s="60" t="str">
        <f>Ringkasan!AA1633</f>
        <v>Building Products &amp; Fixtures</v>
      </c>
      <c r="AB1145" s="60" t="str">
        <f>Ringkasan!AB1633</f>
        <v>Industrials</v>
      </c>
    </row>
    <row r="1146" hidden="1">
      <c r="A1146" s="60" t="str">
        <f>Ringkasan!A1634</f>
        <v>SQMI</v>
      </c>
      <c r="B1146" s="60" t="str">
        <f>Ringkasan!B1634</f>
        <v>Wilton Makmur Indonesia Tbk.</v>
      </c>
      <c r="C1146" s="61">
        <f>Ringkasan!C1634</f>
        <v>44</v>
      </c>
      <c r="D1146" s="60" t="str">
        <f>Ringkasan!D1634</f>
        <v>#N/A</v>
      </c>
      <c r="E1146" s="60" t="str">
        <f>Ringkasan!E1634</f>
        <v/>
      </c>
      <c r="F1146" s="60" t="str">
        <f>Ringkasan!F1634</f>
        <v/>
      </c>
      <c r="G1146" s="60">
        <f>Ringkasan!G1634</f>
        <v>0</v>
      </c>
      <c r="H1146" s="62">
        <f>Ringkasan!H1634</f>
        <v>-8.1</v>
      </c>
      <c r="I1146" s="62">
        <f>Ringkasan!I1634</f>
        <v>-24.1</v>
      </c>
      <c r="J1146" s="62">
        <f>Ringkasan!J1634</f>
        <v>0</v>
      </c>
      <c r="K1146" s="62">
        <f>Ringkasan!K1634</f>
        <v>-16.5</v>
      </c>
      <c r="L1146" s="62">
        <f>Ringkasan!L1634</f>
        <v>-19</v>
      </c>
      <c r="M1146" s="62">
        <f>Ringkasan!M1634</f>
        <v>-5970</v>
      </c>
      <c r="N1146" s="60" t="str">
        <f>Ringkasan!N1634</f>
        <v/>
      </c>
      <c r="O1146" s="60" t="str">
        <f>Ringkasan!O1634</f>
        <v/>
      </c>
      <c r="P1146" s="60" t="str">
        <f>Ringkasan!P1634</f>
        <v/>
      </c>
      <c r="Q1146" s="60" t="str">
        <f>Ringkasan!Q1634</f>
        <v/>
      </c>
      <c r="R1146" s="60" t="str">
        <f>Ringkasan!R1634</f>
        <v/>
      </c>
      <c r="S1146" s="60" t="str">
        <f>Ringkasan!S1634</f>
        <v/>
      </c>
      <c r="T1146" s="60" t="str">
        <f>Ringkasan!T1634</f>
        <v/>
      </c>
      <c r="U1146" s="60">
        <f>Ringkasan!U1634</f>
        <v>43</v>
      </c>
      <c r="V1146" s="60">
        <f>Ringkasan!V1634</f>
        <v>2.33</v>
      </c>
      <c r="W1146" s="60">
        <f>Ringkasan!W1634</f>
        <v>44</v>
      </c>
      <c r="X1146" s="60">
        <f>Ringkasan!X1634</f>
        <v>44</v>
      </c>
      <c r="Y1146" s="60">
        <f>Ringkasan!Y1634</f>
        <v>44</v>
      </c>
      <c r="Z1146" s="60">
        <f>Ringkasan!Z1634</f>
        <v>4322400</v>
      </c>
      <c r="AA1146" s="60" t="str">
        <f>Ringkasan!AA1634</f>
        <v>Metals &amp; Minerals</v>
      </c>
      <c r="AB1146" s="60" t="str">
        <f>Ringkasan!AB1634</f>
        <v>Basic Materials</v>
      </c>
    </row>
    <row r="1147" hidden="1">
      <c r="A1147" s="60" t="str">
        <f>Ringkasan!A674</f>
        <v>ENRG</v>
      </c>
      <c r="B1147" s="60" t="str">
        <f>Ringkasan!B674</f>
        <v>Energi Mega Persada Tbk.</v>
      </c>
      <c r="C1147" s="61">
        <f>Ringkasan!C674</f>
        <v>1390</v>
      </c>
      <c r="D1147" s="60" t="str">
        <f>Ringkasan!D674</f>
        <v>#N/A</v>
      </c>
      <c r="E1147" s="60" t="str">
        <f>Ringkasan!E674</f>
        <v>MNC36</v>
      </c>
      <c r="F1147" s="60" t="str">
        <f>Ringkasan!F674</f>
        <v>30 Oktober 2026</v>
      </c>
      <c r="G1147" s="60">
        <f>Ringkasan!G674</f>
        <v>9</v>
      </c>
      <c r="H1147" s="62">
        <f>Ringkasan!H674</f>
        <v>23.2</v>
      </c>
      <c r="I1147" s="62">
        <f>Ringkasan!I674</f>
        <v>2.6</v>
      </c>
      <c r="J1147" s="62">
        <f>Ringkasan!J674</f>
        <v>11.1</v>
      </c>
      <c r="K1147" s="62">
        <f>Ringkasan!K674</f>
        <v>5</v>
      </c>
      <c r="L1147" s="62">
        <f>Ringkasan!L674</f>
        <v>1.2</v>
      </c>
      <c r="M1147" s="62">
        <f>Ringkasan!M674</f>
        <v>18.4</v>
      </c>
      <c r="N1147" s="60" t="str">
        <f>Ringkasan!N674</f>
        <v/>
      </c>
      <c r="O1147" s="60" t="str">
        <f>Ringkasan!O674</f>
        <v/>
      </c>
      <c r="P1147" s="60" t="str">
        <f>Ringkasan!P674</f>
        <v/>
      </c>
      <c r="Q1147" s="60" t="str">
        <f>Ringkasan!Q674</f>
        <v/>
      </c>
      <c r="R1147" s="60" t="str">
        <f>Ringkasan!R674</f>
        <v/>
      </c>
      <c r="S1147" s="60" t="str">
        <f>Ringkasan!S674</f>
        <v/>
      </c>
      <c r="T1147" s="60" t="str">
        <f>Ringkasan!T674</f>
        <v/>
      </c>
      <c r="U1147" s="60">
        <f>Ringkasan!U674</f>
        <v>0.3</v>
      </c>
      <c r="V1147" s="60">
        <f>Ringkasan!V674</f>
        <v>18.64</v>
      </c>
      <c r="W1147" s="60">
        <f>Ringkasan!W674</f>
        <v>0.29</v>
      </c>
      <c r="X1147" s="60">
        <f>Ringkasan!X674</f>
        <v>0.35</v>
      </c>
      <c r="Y1147" s="60">
        <f>Ringkasan!Y674</f>
        <v>0.26</v>
      </c>
      <c r="Z1147" s="60">
        <f>Ringkasan!Z674</f>
        <v>61500</v>
      </c>
      <c r="AA1147" s="60" t="str">
        <f>Ringkasan!AA674</f>
        <v>Oil &amp; Gas</v>
      </c>
      <c r="AB1147" s="60" t="str">
        <f>Ringkasan!AB674</f>
        <v>Energy</v>
      </c>
    </row>
    <row r="1148">
      <c r="A1148" s="60" t="str">
        <f>Ringkasan!A1118</f>
        <v>LSIP</v>
      </c>
      <c r="B1148" s="60" t="str">
        <f>Ringkasan!B1118</f>
        <v>PP London Sumatra Indonesia Tbk</v>
      </c>
      <c r="C1148" s="61">
        <f>Ringkasan!C1118</f>
        <v>1250</v>
      </c>
      <c r="D1148" s="60" t="str">
        <f>Ringkasan!D1118</f>
        <v>#N/A</v>
      </c>
      <c r="E1148" s="60" t="str">
        <f>Ringkasan!E1118</f>
        <v>JII70</v>
      </c>
      <c r="F1148" s="63">
        <f>Ringkasan!F1118</f>
        <v>46356</v>
      </c>
      <c r="G1148" s="61">
        <f>Ringkasan!G1118</f>
        <v>5</v>
      </c>
      <c r="H1148" s="62">
        <f>Ringkasan!H1118</f>
        <v>4.7</v>
      </c>
      <c r="I1148" s="62">
        <f>Ringkasan!I1118</f>
        <v>0.61</v>
      </c>
      <c r="J1148" s="62">
        <f>Ringkasan!J1118</f>
        <v>13.1</v>
      </c>
      <c r="K1148" s="62">
        <f>Ringkasan!K1118</f>
        <v>12</v>
      </c>
      <c r="L1148" s="62">
        <f>Ringkasan!L1118</f>
        <v>0.1</v>
      </c>
      <c r="M1148" s="62">
        <f>Ringkasan!M1118</f>
        <v>140</v>
      </c>
      <c r="N1148" s="60" t="str">
        <f>Ringkasan!N1118</f>
        <v/>
      </c>
      <c r="O1148" s="60" t="str">
        <f>Ringkasan!O1118</f>
        <v/>
      </c>
      <c r="P1148" s="60" t="str">
        <f>Ringkasan!P1118</f>
        <v/>
      </c>
      <c r="Q1148" s="60" t="str">
        <f>Ringkasan!Q1118</f>
        <v/>
      </c>
      <c r="R1148" s="60" t="str">
        <f>Ringkasan!R1118</f>
        <v/>
      </c>
      <c r="S1148" s="60" t="str">
        <f>Ringkasan!S1118</f>
        <v/>
      </c>
      <c r="T1148" s="60" t="str">
        <f>Ringkasan!T1118</f>
        <v/>
      </c>
      <c r="U1148" s="60">
        <f>Ringkasan!U1118</f>
        <v>1195</v>
      </c>
      <c r="V1148" s="60">
        <f>Ringkasan!V1118</f>
        <v>4.6</v>
      </c>
      <c r="W1148" s="60">
        <f>Ringkasan!W1118</f>
        <v>1200</v>
      </c>
      <c r="X1148" s="60">
        <f>Ringkasan!X1118</f>
        <v>1285</v>
      </c>
      <c r="Y1148" s="60">
        <f>Ringkasan!Y1118</f>
        <v>1200</v>
      </c>
      <c r="Z1148" s="60">
        <f>Ringkasan!Z1118</f>
        <v>19224200</v>
      </c>
      <c r="AA1148" s="60" t="str">
        <f>Ringkasan!AA1118</f>
        <v>Agricultural Products</v>
      </c>
      <c r="AB1148" s="60" t="str">
        <f>Ringkasan!AB1118</f>
        <v>Consumer Non-Cyclicals</v>
      </c>
    </row>
    <row r="1149" hidden="1">
      <c r="A1149" s="60" t="str">
        <f>Ringkasan!A1120</f>
        <v>LUCK</v>
      </c>
      <c r="B1149" s="60" t="str">
        <f>Ringkasan!B1120</f>
        <v>Sentral Mitra Informatika Tbk.</v>
      </c>
      <c r="C1149" s="61">
        <f>Ringkasan!C1120</f>
        <v>101</v>
      </c>
      <c r="D1149" s="60" t="str">
        <f>Ringkasan!D1120</f>
        <v>#N/A</v>
      </c>
      <c r="E1149" s="60" t="str">
        <f>Ringkasan!E1120</f>
        <v/>
      </c>
      <c r="F1149" s="60" t="str">
        <f>Ringkasan!F1120</f>
        <v/>
      </c>
      <c r="G1149" s="60">
        <f>Ringkasan!G1120</f>
        <v>0</v>
      </c>
      <c r="H1149" s="62">
        <f>Ringkasan!H1120</f>
        <v>-5.9</v>
      </c>
      <c r="I1149" s="62">
        <f>Ringkasan!I1120</f>
        <v>0.69</v>
      </c>
      <c r="J1149" s="62">
        <f>Ringkasan!J1120</f>
        <v>-11.7</v>
      </c>
      <c r="K1149" s="62">
        <f>Ringkasan!K1120</f>
        <v>-9.2</v>
      </c>
      <c r="L1149" s="62">
        <f>Ringkasan!L1120</f>
        <v>0.27</v>
      </c>
      <c r="M1149" s="62">
        <f>Ringkasan!M1120</f>
        <v>-24</v>
      </c>
      <c r="N1149" s="60" t="str">
        <f>Ringkasan!N1120</f>
        <v/>
      </c>
      <c r="O1149" s="60" t="str">
        <f>Ringkasan!O1120</f>
        <v/>
      </c>
      <c r="P1149" s="60" t="str">
        <f>Ringkasan!P1120</f>
        <v/>
      </c>
      <c r="Q1149" s="60" t="str">
        <f>Ringkasan!Q1120</f>
        <v/>
      </c>
      <c r="R1149" s="60" t="str">
        <f>Ringkasan!R1120</f>
        <v/>
      </c>
      <c r="S1149" s="60" t="str">
        <f>Ringkasan!S1120</f>
        <v/>
      </c>
      <c r="T1149" s="60" t="str">
        <f>Ringkasan!T1120</f>
        <v/>
      </c>
      <c r="U1149" s="60">
        <f>Ringkasan!U1120</f>
        <v>8.81</v>
      </c>
      <c r="V1149" s="60">
        <f>Ringkasan!V1120</f>
        <v>-0.57</v>
      </c>
      <c r="W1149" s="60">
        <f>Ringkasan!W1120</f>
        <v>8.8</v>
      </c>
      <c r="X1149" s="60">
        <f>Ringkasan!X1120</f>
        <v>9.01</v>
      </c>
      <c r="Y1149" s="60">
        <f>Ringkasan!Y1120</f>
        <v>8.73</v>
      </c>
      <c r="Z1149" s="60">
        <f>Ringkasan!Z1120</f>
        <v>133776</v>
      </c>
      <c r="AA1149" s="60" t="str">
        <f>Ringkasan!AA1120</f>
        <v>Computer Hardware</v>
      </c>
      <c r="AB1149" s="60" t="str">
        <f>Ringkasan!AB1120</f>
        <v>Technology</v>
      </c>
    </row>
    <row r="1150" hidden="1">
      <c r="A1150" s="60" t="str">
        <f>Ringkasan!A614</f>
        <v>DPNS</v>
      </c>
      <c r="B1150" s="60" t="str">
        <f>Ringkasan!B614</f>
        <v>Duta Pertiwi Nusantara Tbk.</v>
      </c>
      <c r="C1150" s="61">
        <f>Ringkasan!C614</f>
        <v>310</v>
      </c>
      <c r="D1150" s="60" t="str">
        <f>Ringkasan!D614</f>
        <v>#N/A</v>
      </c>
      <c r="E1150" s="60" t="str">
        <f>Ringkasan!E614</f>
        <v/>
      </c>
      <c r="F1150" s="60" t="str">
        <f>Ringkasan!F614</f>
        <v/>
      </c>
      <c r="G1150" s="60">
        <f>Ringkasan!G614</f>
        <v>0</v>
      </c>
      <c r="H1150" s="62">
        <f>Ringkasan!H614</f>
        <v>170</v>
      </c>
      <c r="I1150" s="62">
        <f>Ringkasan!I614</f>
        <v>0.3</v>
      </c>
      <c r="J1150" s="62">
        <f>Ringkasan!J614</f>
        <v>0.18</v>
      </c>
      <c r="K1150" s="62">
        <f>Ringkasan!K614</f>
        <v>0.17</v>
      </c>
      <c r="L1150" s="62">
        <f>Ringkasan!L614</f>
        <v>0.02</v>
      </c>
      <c r="M1150" s="62">
        <f>Ringkasan!M614</f>
        <v>4.6</v>
      </c>
      <c r="N1150" s="60" t="str">
        <f>Ringkasan!N614</f>
        <v/>
      </c>
      <c r="O1150" s="60" t="str">
        <f>Ringkasan!O614</f>
        <v/>
      </c>
      <c r="P1150" s="60" t="str">
        <f>Ringkasan!P614</f>
        <v/>
      </c>
      <c r="Q1150" s="60" t="str">
        <f>Ringkasan!Q614</f>
        <v/>
      </c>
      <c r="R1150" s="60" t="str">
        <f>Ringkasan!R614</f>
        <v/>
      </c>
      <c r="S1150" s="60" t="str">
        <f>Ringkasan!S614</f>
        <v/>
      </c>
      <c r="T1150" s="60" t="str">
        <f>Ringkasan!T614</f>
        <v/>
      </c>
      <c r="U1150" s="60">
        <f>Ringkasan!U614</f>
        <v>310</v>
      </c>
      <c r="V1150" s="60">
        <f>Ringkasan!V614</f>
        <v>0</v>
      </c>
      <c r="W1150" s="60" t="str">
        <f>Ringkasan!W614</f>
        <v/>
      </c>
      <c r="X1150" s="60" t="str">
        <f>Ringkasan!X614</f>
        <v/>
      </c>
      <c r="Y1150" s="60" t="str">
        <f>Ringkasan!Y614</f>
        <v/>
      </c>
      <c r="Z1150" s="60">
        <f>Ringkasan!Z614</f>
        <v>0</v>
      </c>
      <c r="AA1150" s="60" t="str">
        <f>Ringkasan!AA614</f>
        <v>Chemicals</v>
      </c>
      <c r="AB1150" s="60" t="str">
        <f>Ringkasan!AB614</f>
        <v>Basic Materials</v>
      </c>
    </row>
    <row r="1151" hidden="1">
      <c r="A1151" s="60" t="str">
        <f>Ringkasan!A615</f>
        <v>DPUM</v>
      </c>
      <c r="B1151" s="60" t="str">
        <f>Ringkasan!B615</f>
        <v>Dua Putra Utama Makmur Tbk.</v>
      </c>
      <c r="C1151" s="61">
        <f>Ringkasan!C615</f>
        <v>116</v>
      </c>
      <c r="D1151" s="60" t="str">
        <f>Ringkasan!D615</f>
        <v>#N/A</v>
      </c>
      <c r="E1151" s="60" t="str">
        <f>Ringkasan!E615</f>
        <v/>
      </c>
      <c r="F1151" s="60" t="str">
        <f>Ringkasan!F615</f>
        <v/>
      </c>
      <c r="G1151" s="60">
        <f>Ringkasan!G615</f>
        <v>0</v>
      </c>
      <c r="H1151" s="62">
        <f>Ringkasan!H615</f>
        <v>-19</v>
      </c>
      <c r="I1151" s="62">
        <f>Ringkasan!I615</f>
        <v>2.4</v>
      </c>
      <c r="J1151" s="62">
        <f>Ringkasan!J615</f>
        <v>-12.5</v>
      </c>
      <c r="K1151" s="62">
        <f>Ringkasan!K615</f>
        <v>-3.9</v>
      </c>
      <c r="L1151" s="62">
        <f>Ringkasan!L615</f>
        <v>2.2</v>
      </c>
      <c r="M1151" s="62">
        <f>Ringkasan!M615</f>
        <v>-20</v>
      </c>
      <c r="N1151" s="60" t="str">
        <f>Ringkasan!N615</f>
        <v/>
      </c>
      <c r="O1151" s="60" t="str">
        <f>Ringkasan!O615</f>
        <v/>
      </c>
      <c r="P1151" s="60" t="str">
        <f>Ringkasan!P615</f>
        <v/>
      </c>
      <c r="Q1151" s="60" t="str">
        <f>Ringkasan!Q615</f>
        <v/>
      </c>
      <c r="R1151" s="60" t="str">
        <f>Ringkasan!R615</f>
        <v/>
      </c>
      <c r="S1151" s="60" t="str">
        <f>Ringkasan!S615</f>
        <v/>
      </c>
      <c r="T1151" s="60" t="str">
        <f>Ringkasan!T615</f>
        <v/>
      </c>
      <c r="U1151" s="60">
        <f>Ringkasan!U615</f>
        <v>20.39</v>
      </c>
      <c r="V1151" s="60">
        <f>Ringkasan!V615</f>
        <v>0.92</v>
      </c>
      <c r="W1151" s="60">
        <f>Ringkasan!W615</f>
        <v>20.73</v>
      </c>
      <c r="X1151" s="60">
        <f>Ringkasan!X615</f>
        <v>20.73</v>
      </c>
      <c r="Y1151" s="60">
        <f>Ringkasan!Y615</f>
        <v>20.58</v>
      </c>
      <c r="Z1151" s="60">
        <f>Ringkasan!Z615</f>
        <v>1216</v>
      </c>
      <c r="AA1151" s="60" t="str">
        <f>Ringkasan!AA615</f>
        <v>Agricultural Products</v>
      </c>
      <c r="AB1151" s="60" t="str">
        <f>Ringkasan!AB615</f>
        <v>Consumer Non-Cyclicals</v>
      </c>
    </row>
    <row r="1152" hidden="1">
      <c r="A1152" s="60" t="str">
        <f>Ringkasan!A616</f>
        <v>DRMA</v>
      </c>
      <c r="B1152" s="60" t="str">
        <f>Ringkasan!B616</f>
        <v>Dharma Polimetal Tbk.</v>
      </c>
      <c r="C1152" s="61">
        <f>Ringkasan!C616</f>
        <v>940</v>
      </c>
      <c r="D1152" s="60" t="str">
        <f>Ringkasan!D616</f>
        <v>#N/A</v>
      </c>
      <c r="E1152" s="60" t="str">
        <f>Ringkasan!E616</f>
        <v/>
      </c>
      <c r="F1152" s="60" t="str">
        <f>Ringkasan!F616</f>
        <v/>
      </c>
      <c r="G1152" s="61">
        <f>Ringkasan!G616</f>
        <v>0</v>
      </c>
      <c r="H1152" s="62">
        <f>Ringkasan!H616</f>
        <v>7</v>
      </c>
      <c r="I1152" s="62">
        <f>Ringkasan!I616</f>
        <v>1.5</v>
      </c>
      <c r="J1152" s="62">
        <f>Ringkasan!J616</f>
        <v>21.3</v>
      </c>
      <c r="K1152" s="62">
        <f>Ringkasan!K616</f>
        <v>14.6</v>
      </c>
      <c r="L1152" s="62">
        <f>Ringkasan!L616</f>
        <v>0.46</v>
      </c>
      <c r="M1152" s="62">
        <f>Ringkasan!M616</f>
        <v>42.3</v>
      </c>
      <c r="N1152" s="60" t="str">
        <f>Ringkasan!N616</f>
        <v/>
      </c>
      <c r="O1152" s="60" t="str">
        <f>Ringkasan!O616</f>
        <v/>
      </c>
      <c r="P1152" s="60" t="str">
        <f>Ringkasan!P616</f>
        <v/>
      </c>
      <c r="Q1152" s="60" t="str">
        <f>Ringkasan!Q616</f>
        <v/>
      </c>
      <c r="R1152" s="60" t="str">
        <f>Ringkasan!R616</f>
        <v/>
      </c>
      <c r="S1152" s="60" t="str">
        <f>Ringkasan!S616</f>
        <v/>
      </c>
      <c r="T1152" s="60" t="str">
        <f>Ringkasan!T616</f>
        <v/>
      </c>
      <c r="U1152" s="60">
        <f>Ringkasan!U616</f>
        <v>1.22</v>
      </c>
      <c r="V1152" s="60">
        <f>Ringkasan!V616</f>
        <v>-3.28</v>
      </c>
      <c r="W1152" s="60">
        <f>Ringkasan!W616</f>
        <v>1.23</v>
      </c>
      <c r="X1152" s="60">
        <f>Ringkasan!X616</f>
        <v>1.24</v>
      </c>
      <c r="Y1152" s="60">
        <f>Ringkasan!Y616</f>
        <v>1.17</v>
      </c>
      <c r="Z1152" s="60">
        <f>Ringkasan!Z616</f>
        <v>41158</v>
      </c>
      <c r="AA1152" s="60" t="str">
        <f>Ringkasan!AA616</f>
        <v>Auto Components</v>
      </c>
      <c r="AB1152" s="60" t="str">
        <f>Ringkasan!AB616</f>
        <v>Consumer Cyclicals</v>
      </c>
    </row>
    <row r="1153" hidden="1">
      <c r="A1153" s="60" t="str">
        <f>Ringkasan!A610</f>
        <v>DNET</v>
      </c>
      <c r="B1153" s="60" t="str">
        <f>Ringkasan!B610</f>
        <v>PT Indoritel Makmur Internasional Tbk.</v>
      </c>
      <c r="C1153" s="61">
        <f>Ringkasan!C610</f>
        <v>10150</v>
      </c>
      <c r="D1153" s="60" t="str">
        <f>Ringkasan!D610</f>
        <v>#N/A</v>
      </c>
      <c r="E1153" s="60" t="str">
        <f>Ringkasan!E610</f>
        <v/>
      </c>
      <c r="F1153" s="60" t="str">
        <f>Ringkasan!F610</f>
        <v/>
      </c>
      <c r="G1153" s="60">
        <f>Ringkasan!G610</f>
        <v>0</v>
      </c>
      <c r="H1153" s="62">
        <f>Ringkasan!H610</f>
        <v>120</v>
      </c>
      <c r="I1153" s="62">
        <f>Ringkasan!I610</f>
        <v>9.9</v>
      </c>
      <c r="J1153" s="62">
        <f>Ringkasan!J610</f>
        <v>8.2</v>
      </c>
      <c r="K1153" s="62">
        <f>Ringkasan!K610</f>
        <v>5.4</v>
      </c>
      <c r="L1153" s="62">
        <f>Ringkasan!L610</f>
        <v>0.51</v>
      </c>
      <c r="M1153" s="62">
        <f>Ringkasan!M610</f>
        <v>300</v>
      </c>
      <c r="N1153" s="60" t="str">
        <f>Ringkasan!N610</f>
        <v/>
      </c>
      <c r="O1153" s="60" t="str">
        <f>Ringkasan!O610</f>
        <v/>
      </c>
      <c r="P1153" s="60" t="str">
        <f>Ringkasan!P610</f>
        <v/>
      </c>
      <c r="Q1153" s="60" t="str">
        <f>Ringkasan!Q610</f>
        <v/>
      </c>
      <c r="R1153" s="60" t="str">
        <f>Ringkasan!R610</f>
        <v/>
      </c>
      <c r="S1153" s="60" t="str">
        <f>Ringkasan!S610</f>
        <v/>
      </c>
      <c r="T1153" s="60" t="str">
        <f>Ringkasan!T610</f>
        <v/>
      </c>
      <c r="U1153" s="60">
        <f>Ringkasan!U610</f>
        <v>10400</v>
      </c>
      <c r="V1153" s="60">
        <f>Ringkasan!V610</f>
        <v>-2.4</v>
      </c>
      <c r="W1153" s="60">
        <f>Ringkasan!W610</f>
        <v>10500</v>
      </c>
      <c r="X1153" s="60">
        <f>Ringkasan!X610</f>
        <v>10500</v>
      </c>
      <c r="Y1153" s="60">
        <f>Ringkasan!Y610</f>
        <v>9975</v>
      </c>
      <c r="Z1153" s="60">
        <f>Ringkasan!Z610</f>
        <v>2400</v>
      </c>
      <c r="AA1153" s="60" t="str">
        <f>Ringkasan!AA610</f>
        <v>Holding &amp; Investment Companies</v>
      </c>
      <c r="AB1153" s="64" t="str">
        <f>Ringkasan!AB610</f>
        <v>Financials</v>
      </c>
    </row>
    <row r="1154" hidden="1">
      <c r="A1154" s="60" t="str">
        <f>Ringkasan!A611</f>
        <v>DOID</v>
      </c>
      <c r="B1154" s="60" t="str">
        <f>Ringkasan!B611</f>
        <v>BUMA Internasional Grup Tbk.</v>
      </c>
      <c r="C1154" s="61">
        <f>Ringkasan!C611</f>
        <v>206</v>
      </c>
      <c r="D1154" s="60" t="str">
        <f>Ringkasan!D611</f>
        <v>#N/A</v>
      </c>
      <c r="E1154" s="60" t="str">
        <f>Ringkasan!E611</f>
        <v/>
      </c>
      <c r="F1154" s="60" t="str">
        <f>Ringkasan!F611</f>
        <v/>
      </c>
      <c r="G1154" s="60">
        <f>Ringkasan!G611</f>
        <v>0</v>
      </c>
      <c r="H1154" s="62">
        <f>Ringkasan!H611</f>
        <v>-1.3</v>
      </c>
      <c r="I1154" s="62">
        <f>Ringkasan!I611</f>
        <v>3.7</v>
      </c>
      <c r="J1154" s="62">
        <f>Ringkasan!J611</f>
        <v>-300</v>
      </c>
      <c r="K1154" s="62">
        <f>Ringkasan!K611</f>
        <v>-5.1</v>
      </c>
      <c r="L1154" s="62">
        <f>Ringkasan!L611</f>
        <v>57.8</v>
      </c>
      <c r="M1154" s="62">
        <f>Ringkasan!M611</f>
        <v>-23.6</v>
      </c>
      <c r="N1154" s="60" t="str">
        <f>Ringkasan!N611</f>
        <v/>
      </c>
      <c r="O1154" s="60" t="str">
        <f>Ringkasan!O611</f>
        <v/>
      </c>
      <c r="P1154" s="60" t="str">
        <f>Ringkasan!P611</f>
        <v/>
      </c>
      <c r="Q1154" s="60" t="str">
        <f>Ringkasan!Q611</f>
        <v/>
      </c>
      <c r="R1154" s="60" t="str">
        <f>Ringkasan!R611</f>
        <v/>
      </c>
      <c r="S1154" s="60" t="str">
        <f>Ringkasan!S611</f>
        <v/>
      </c>
      <c r="T1154" s="60" t="str">
        <f>Ringkasan!T611</f>
        <v/>
      </c>
      <c r="U1154" s="60">
        <f>Ringkasan!U611</f>
        <v>195</v>
      </c>
      <c r="V1154" s="60">
        <f>Ringkasan!V611</f>
        <v>5.64</v>
      </c>
      <c r="W1154" s="60">
        <f>Ringkasan!W611</f>
        <v>195</v>
      </c>
      <c r="X1154" s="60">
        <f>Ringkasan!X611</f>
        <v>208</v>
      </c>
      <c r="Y1154" s="60">
        <f>Ringkasan!Y611</f>
        <v>195</v>
      </c>
      <c r="Z1154" s="60">
        <f>Ringkasan!Z611</f>
        <v>7962300</v>
      </c>
      <c r="AA1154" s="60" t="str">
        <f>Ringkasan!AA611</f>
        <v>Oil, Gas &amp; Coal Supports</v>
      </c>
      <c r="AB1154" s="64" t="str">
        <f>Ringkasan!AB611</f>
        <v>Energy</v>
      </c>
    </row>
    <row r="1155">
      <c r="A1155" s="60" t="str">
        <f>Ringkasan!A1129</f>
        <v>MAPA</v>
      </c>
      <c r="B1155" s="60" t="str">
        <f>Ringkasan!B1129</f>
        <v>Map Aktif Adiperkasa Tbk.</v>
      </c>
      <c r="C1155" s="61">
        <f>Ringkasan!C1129</f>
        <v>565</v>
      </c>
      <c r="D1155" s="60" t="str">
        <f>Ringkasan!D1129</f>
        <v>#N/A</v>
      </c>
      <c r="E1155" s="60" t="str">
        <f>Ringkasan!E1129</f>
        <v>IDX80</v>
      </c>
      <c r="F1155" s="60" t="str">
        <f>Ringkasan!F1129</f>
        <v>31 Juli 2026</v>
      </c>
      <c r="G1155" s="61">
        <f>Ringkasan!G1129</f>
        <v>9</v>
      </c>
      <c r="H1155" s="62">
        <f>Ringkasan!H1129</f>
        <v>9.9</v>
      </c>
      <c r="I1155" s="62">
        <f>Ringkasan!I1129</f>
        <v>2</v>
      </c>
      <c r="J1155" s="62">
        <f>Ringkasan!J1129</f>
        <v>20</v>
      </c>
      <c r="K1155" s="62">
        <f>Ringkasan!K1129</f>
        <v>12.7</v>
      </c>
      <c r="L1155" s="62">
        <f>Ringkasan!L1129</f>
        <v>0.57</v>
      </c>
      <c r="M1155" s="62">
        <f>Ringkasan!M1129</f>
        <v>37.4</v>
      </c>
      <c r="N1155" s="60" t="str">
        <f>Ringkasan!N1129</f>
        <v/>
      </c>
      <c r="O1155" s="60" t="str">
        <f>Ringkasan!O1129</f>
        <v/>
      </c>
      <c r="P1155" s="60" t="str">
        <f>Ringkasan!P1129</f>
        <v/>
      </c>
      <c r="Q1155" s="60" t="str">
        <f>Ringkasan!Q1129</f>
        <v/>
      </c>
      <c r="R1155" s="60" t="str">
        <f>Ringkasan!R1129</f>
        <v/>
      </c>
      <c r="S1155" s="60" t="str">
        <f>Ringkasan!S1129</f>
        <v/>
      </c>
      <c r="T1155" s="60" t="str">
        <f>Ringkasan!T1129</f>
        <v/>
      </c>
      <c r="U1155" s="60">
        <f>Ringkasan!U1129</f>
        <v>565</v>
      </c>
      <c r="V1155" s="60">
        <f>Ringkasan!V1129</f>
        <v>0</v>
      </c>
      <c r="W1155" s="60">
        <f>Ringkasan!W1129</f>
        <v>565</v>
      </c>
      <c r="X1155" s="60">
        <f>Ringkasan!X1129</f>
        <v>570</v>
      </c>
      <c r="Y1155" s="60">
        <f>Ringkasan!Y1129</f>
        <v>545</v>
      </c>
      <c r="Z1155" s="60">
        <f>Ringkasan!Z1129</f>
        <v>22530400</v>
      </c>
      <c r="AA1155" s="60" t="str">
        <f>Ringkasan!AA1129</f>
        <v>Specialty Retail</v>
      </c>
      <c r="AB1155" s="60" t="str">
        <f>Ringkasan!AB1129</f>
        <v>Consumer Cyclicals</v>
      </c>
    </row>
    <row r="1156">
      <c r="A1156" s="60" t="str">
        <f>Ringkasan!A1130</f>
        <v>MAPA</v>
      </c>
      <c r="B1156" s="60" t="str">
        <f>Ringkasan!B1130</f>
        <v>Map Aktif Adiperkasa Tbk.</v>
      </c>
      <c r="C1156" s="61">
        <f>Ringkasan!C1130</f>
        <v>565</v>
      </c>
      <c r="D1156" s="60" t="str">
        <f>Ringkasan!D1130</f>
        <v>#N/A</v>
      </c>
      <c r="E1156" s="60" t="str">
        <f>Ringkasan!E1130</f>
        <v>ECONOMIC30</v>
      </c>
      <c r="F1156" s="60" t="str">
        <f>Ringkasan!F1130</f>
        <v>31 Agustus 2026</v>
      </c>
      <c r="G1156" s="61">
        <f>Ringkasan!G1130</f>
        <v>9</v>
      </c>
      <c r="H1156" s="62">
        <f>Ringkasan!H1130</f>
        <v>9.9</v>
      </c>
      <c r="I1156" s="62">
        <f>Ringkasan!I1130</f>
        <v>2</v>
      </c>
      <c r="J1156" s="62">
        <f>Ringkasan!J1130</f>
        <v>20</v>
      </c>
      <c r="K1156" s="62">
        <f>Ringkasan!K1130</f>
        <v>12.7</v>
      </c>
      <c r="L1156" s="62">
        <f>Ringkasan!L1130</f>
        <v>0.57</v>
      </c>
      <c r="M1156" s="62">
        <f>Ringkasan!M1130</f>
        <v>37.4</v>
      </c>
      <c r="N1156" s="60" t="str">
        <f>Ringkasan!N1130</f>
        <v/>
      </c>
      <c r="O1156" s="60" t="str">
        <f>Ringkasan!O1130</f>
        <v/>
      </c>
      <c r="P1156" s="60" t="str">
        <f>Ringkasan!P1130</f>
        <v/>
      </c>
      <c r="Q1156" s="60" t="str">
        <f>Ringkasan!Q1130</f>
        <v/>
      </c>
      <c r="R1156" s="60" t="str">
        <f>Ringkasan!R1130</f>
        <v/>
      </c>
      <c r="S1156" s="60" t="str">
        <f>Ringkasan!S1130</f>
        <v/>
      </c>
      <c r="T1156" s="60" t="str">
        <f>Ringkasan!T1130</f>
        <v/>
      </c>
      <c r="U1156" s="60">
        <f>Ringkasan!U1130</f>
        <v>565</v>
      </c>
      <c r="V1156" s="60">
        <f>Ringkasan!V1130</f>
        <v>0</v>
      </c>
      <c r="W1156" s="60">
        <f>Ringkasan!W1130</f>
        <v>565</v>
      </c>
      <c r="X1156" s="60">
        <f>Ringkasan!X1130</f>
        <v>570</v>
      </c>
      <c r="Y1156" s="60">
        <f>Ringkasan!Y1130</f>
        <v>545</v>
      </c>
      <c r="Z1156" s="60">
        <f>Ringkasan!Z1130</f>
        <v>22530400</v>
      </c>
      <c r="AA1156" s="60" t="str">
        <f>Ringkasan!AA1130</f>
        <v>Specialty Retail</v>
      </c>
      <c r="AB1156" s="60" t="str">
        <f>Ringkasan!AB1130</f>
        <v>Consumer Cyclicals</v>
      </c>
    </row>
    <row r="1157">
      <c r="A1157" s="60" t="str">
        <f>Ringkasan!A1131</f>
        <v>MAPA</v>
      </c>
      <c r="B1157" s="60" t="str">
        <f>Ringkasan!B1131</f>
        <v>Map Aktif Adiperkasa Tbk.</v>
      </c>
      <c r="C1157" s="61">
        <f>Ringkasan!C1131</f>
        <v>565</v>
      </c>
      <c r="D1157" s="60" t="str">
        <f>Ringkasan!D1131</f>
        <v>#N/A</v>
      </c>
      <c r="E1157" s="60" t="str">
        <f>Ringkasan!E1131</f>
        <v>Kompas100</v>
      </c>
      <c r="F1157" s="60" t="str">
        <f>Ringkasan!F1131</f>
        <v>31 Juli 2026</v>
      </c>
      <c r="G1157" s="61">
        <f>Ringkasan!G1131</f>
        <v>9</v>
      </c>
      <c r="H1157" s="62">
        <f>Ringkasan!H1131</f>
        <v>9.9</v>
      </c>
      <c r="I1157" s="62">
        <f>Ringkasan!I1131</f>
        <v>2</v>
      </c>
      <c r="J1157" s="62">
        <f>Ringkasan!J1131</f>
        <v>20</v>
      </c>
      <c r="K1157" s="62">
        <f>Ringkasan!K1131</f>
        <v>12.7</v>
      </c>
      <c r="L1157" s="62">
        <f>Ringkasan!L1131</f>
        <v>0.57</v>
      </c>
      <c r="M1157" s="62">
        <f>Ringkasan!M1131</f>
        <v>37.4</v>
      </c>
      <c r="N1157" s="60" t="str">
        <f>Ringkasan!N1131</f>
        <v/>
      </c>
      <c r="O1157" s="60" t="str">
        <f>Ringkasan!O1131</f>
        <v/>
      </c>
      <c r="P1157" s="60" t="str">
        <f>Ringkasan!P1131</f>
        <v/>
      </c>
      <c r="Q1157" s="60" t="str">
        <f>Ringkasan!Q1131</f>
        <v/>
      </c>
      <c r="R1157" s="60" t="str">
        <f>Ringkasan!R1131</f>
        <v/>
      </c>
      <c r="S1157" s="60" t="str">
        <f>Ringkasan!S1131</f>
        <v/>
      </c>
      <c r="T1157" s="60" t="str">
        <f>Ringkasan!T1131</f>
        <v/>
      </c>
      <c r="U1157" s="60">
        <f>Ringkasan!U1131</f>
        <v>565</v>
      </c>
      <c r="V1157" s="60">
        <f>Ringkasan!V1131</f>
        <v>0</v>
      </c>
      <c r="W1157" s="60">
        <f>Ringkasan!W1131</f>
        <v>565</v>
      </c>
      <c r="X1157" s="60">
        <f>Ringkasan!X1131</f>
        <v>570</v>
      </c>
      <c r="Y1157" s="60">
        <f>Ringkasan!Y1131</f>
        <v>545</v>
      </c>
      <c r="Z1157" s="60">
        <f>Ringkasan!Z1131</f>
        <v>22530400</v>
      </c>
      <c r="AA1157" s="60" t="str">
        <f>Ringkasan!AA1131</f>
        <v>Specialty Retail</v>
      </c>
      <c r="AB1157" s="60" t="str">
        <f>Ringkasan!AB1131</f>
        <v>Consumer Cyclicals</v>
      </c>
    </row>
    <row r="1158">
      <c r="A1158" s="60" t="str">
        <f>Ringkasan!A1132</f>
        <v>MAPA</v>
      </c>
      <c r="B1158" s="60" t="str">
        <f>Ringkasan!B1132</f>
        <v>Map Aktif Adiperkasa Tbk.</v>
      </c>
      <c r="C1158" s="61">
        <f>Ringkasan!C1132</f>
        <v>565</v>
      </c>
      <c r="D1158" s="60" t="str">
        <f>Ringkasan!D1132</f>
        <v>#N/A</v>
      </c>
      <c r="E1158" s="60" t="str">
        <f>Ringkasan!E1132</f>
        <v>IDXG30</v>
      </c>
      <c r="F1158" s="60" t="str">
        <f>Ringkasan!F1132</f>
        <v>4 Agustus 2026</v>
      </c>
      <c r="G1158" s="61">
        <f>Ringkasan!G1132</f>
        <v>9</v>
      </c>
      <c r="H1158" s="62">
        <f>Ringkasan!H1132</f>
        <v>9.9</v>
      </c>
      <c r="I1158" s="62">
        <f>Ringkasan!I1132</f>
        <v>2</v>
      </c>
      <c r="J1158" s="62">
        <f>Ringkasan!J1132</f>
        <v>20</v>
      </c>
      <c r="K1158" s="62">
        <f>Ringkasan!K1132</f>
        <v>12.7</v>
      </c>
      <c r="L1158" s="62">
        <f>Ringkasan!L1132</f>
        <v>0.57</v>
      </c>
      <c r="M1158" s="62">
        <f>Ringkasan!M1132</f>
        <v>37.4</v>
      </c>
      <c r="N1158" s="60" t="str">
        <f>Ringkasan!N1132</f>
        <v/>
      </c>
      <c r="O1158" s="60" t="str">
        <f>Ringkasan!O1132</f>
        <v/>
      </c>
      <c r="P1158" s="60" t="str">
        <f>Ringkasan!P1132</f>
        <v/>
      </c>
      <c r="Q1158" s="60" t="str">
        <f>Ringkasan!Q1132</f>
        <v/>
      </c>
      <c r="R1158" s="60" t="str">
        <f>Ringkasan!R1132</f>
        <v/>
      </c>
      <c r="S1158" s="60" t="str">
        <f>Ringkasan!S1132</f>
        <v/>
      </c>
      <c r="T1158" s="60" t="str">
        <f>Ringkasan!T1132</f>
        <v/>
      </c>
      <c r="U1158" s="60">
        <f>Ringkasan!U1132</f>
        <v>565</v>
      </c>
      <c r="V1158" s="60">
        <f>Ringkasan!V1132</f>
        <v>0</v>
      </c>
      <c r="W1158" s="60">
        <f>Ringkasan!W1132</f>
        <v>565</v>
      </c>
      <c r="X1158" s="60">
        <f>Ringkasan!X1132</f>
        <v>570</v>
      </c>
      <c r="Y1158" s="60">
        <f>Ringkasan!Y1132</f>
        <v>545</v>
      </c>
      <c r="Z1158" s="60">
        <f>Ringkasan!Z1132</f>
        <v>22530400</v>
      </c>
      <c r="AA1158" s="60" t="str">
        <f>Ringkasan!AA1132</f>
        <v>Specialty Retail</v>
      </c>
      <c r="AB1158" s="60" t="str">
        <f>Ringkasan!AB1132</f>
        <v>Consumer Cyclicals</v>
      </c>
    </row>
    <row r="1159">
      <c r="A1159" s="60" t="str">
        <f>Ringkasan!A1133</f>
        <v>MAPA</v>
      </c>
      <c r="B1159" s="60" t="str">
        <f>Ringkasan!B1133</f>
        <v>Map Aktif Adiperkasa Tbk.</v>
      </c>
      <c r="C1159" s="61">
        <f>Ringkasan!C1133</f>
        <v>565</v>
      </c>
      <c r="D1159" s="60" t="str">
        <f>Ringkasan!D1133</f>
        <v>#N/A</v>
      </c>
      <c r="E1159" s="60" t="str">
        <f>Ringkasan!E1133</f>
        <v>IDXSMC-LIQ</v>
      </c>
      <c r="F1159" s="60" t="str">
        <f>Ringkasan!F1133</f>
        <v>4 Agustus 2026</v>
      </c>
      <c r="G1159" s="61">
        <f>Ringkasan!G1133</f>
        <v>9</v>
      </c>
      <c r="H1159" s="62">
        <f>Ringkasan!H1133</f>
        <v>9.9</v>
      </c>
      <c r="I1159" s="62">
        <f>Ringkasan!I1133</f>
        <v>2</v>
      </c>
      <c r="J1159" s="62">
        <f>Ringkasan!J1133</f>
        <v>20</v>
      </c>
      <c r="K1159" s="62">
        <f>Ringkasan!K1133</f>
        <v>12.7</v>
      </c>
      <c r="L1159" s="62">
        <f>Ringkasan!L1133</f>
        <v>0.57</v>
      </c>
      <c r="M1159" s="62">
        <f>Ringkasan!M1133</f>
        <v>37.4</v>
      </c>
      <c r="N1159" s="60" t="str">
        <f>Ringkasan!N1133</f>
        <v/>
      </c>
      <c r="O1159" s="60" t="str">
        <f>Ringkasan!O1133</f>
        <v/>
      </c>
      <c r="P1159" s="60" t="str">
        <f>Ringkasan!P1133</f>
        <v/>
      </c>
      <c r="Q1159" s="60" t="str">
        <f>Ringkasan!Q1133</f>
        <v/>
      </c>
      <c r="R1159" s="60" t="str">
        <f>Ringkasan!R1133</f>
        <v/>
      </c>
      <c r="S1159" s="60" t="str">
        <f>Ringkasan!S1133</f>
        <v/>
      </c>
      <c r="T1159" s="60" t="str">
        <f>Ringkasan!T1133</f>
        <v/>
      </c>
      <c r="U1159" s="60">
        <f>Ringkasan!U1133</f>
        <v>565</v>
      </c>
      <c r="V1159" s="60">
        <f>Ringkasan!V1133</f>
        <v>0</v>
      </c>
      <c r="W1159" s="60">
        <f>Ringkasan!W1133</f>
        <v>565</v>
      </c>
      <c r="X1159" s="60">
        <f>Ringkasan!X1133</f>
        <v>570</v>
      </c>
      <c r="Y1159" s="60">
        <f>Ringkasan!Y1133</f>
        <v>545</v>
      </c>
      <c r="Z1159" s="60">
        <f>Ringkasan!Z1133</f>
        <v>22530400</v>
      </c>
      <c r="AA1159" s="60" t="str">
        <f>Ringkasan!AA1133</f>
        <v>Specialty Retail</v>
      </c>
      <c r="AB1159" s="60" t="str">
        <f>Ringkasan!AB1133</f>
        <v>Consumer Cyclicals</v>
      </c>
    </row>
    <row r="1160">
      <c r="A1160" s="60" t="str">
        <f>Ringkasan!A1134</f>
        <v>MAPA</v>
      </c>
      <c r="B1160" s="60" t="str">
        <f>Ringkasan!B1134</f>
        <v>Map Aktif Adiperkasa Tbk.</v>
      </c>
      <c r="C1160" s="61">
        <f>Ringkasan!C1134</f>
        <v>565</v>
      </c>
      <c r="D1160" s="60" t="str">
        <f>Ringkasan!D1134</f>
        <v>#N/A</v>
      </c>
      <c r="E1160" s="60" t="str">
        <f>Ringkasan!E1134</f>
        <v>MSCI Small Cap</v>
      </c>
      <c r="F1160" s="60" t="str">
        <f>Ringkasan!F1134</f>
        <v>12 Agustus 2026</v>
      </c>
      <c r="G1160" s="60">
        <f>Ringkasan!G1134</f>
        <v>9</v>
      </c>
      <c r="H1160" s="62">
        <f>Ringkasan!H1134</f>
        <v>9.9</v>
      </c>
      <c r="I1160" s="62">
        <f>Ringkasan!I1134</f>
        <v>2</v>
      </c>
      <c r="J1160" s="62">
        <f>Ringkasan!J1134</f>
        <v>20</v>
      </c>
      <c r="K1160" s="62">
        <f>Ringkasan!K1134</f>
        <v>12.7</v>
      </c>
      <c r="L1160" s="62">
        <f>Ringkasan!L1134</f>
        <v>0.57</v>
      </c>
      <c r="M1160" s="62">
        <f>Ringkasan!M1134</f>
        <v>37.4</v>
      </c>
      <c r="N1160" s="60" t="str">
        <f>Ringkasan!N1134</f>
        <v/>
      </c>
      <c r="O1160" s="60" t="str">
        <f>Ringkasan!O1134</f>
        <v/>
      </c>
      <c r="P1160" s="60" t="str">
        <f>Ringkasan!P1134</f>
        <v/>
      </c>
      <c r="Q1160" s="60" t="str">
        <f>Ringkasan!Q1134</f>
        <v/>
      </c>
      <c r="R1160" s="60" t="str">
        <f>Ringkasan!R1134</f>
        <v/>
      </c>
      <c r="S1160" s="60" t="str">
        <f>Ringkasan!S1134</f>
        <v/>
      </c>
      <c r="T1160" s="60" t="str">
        <f>Ringkasan!T1134</f>
        <v/>
      </c>
      <c r="U1160" s="60">
        <f>Ringkasan!U1134</f>
        <v>565</v>
      </c>
      <c r="V1160" s="60">
        <f>Ringkasan!V1134</f>
        <v>0</v>
      </c>
      <c r="W1160" s="60">
        <f>Ringkasan!W1134</f>
        <v>565</v>
      </c>
      <c r="X1160" s="60">
        <f>Ringkasan!X1134</f>
        <v>570</v>
      </c>
      <c r="Y1160" s="60">
        <f>Ringkasan!Y1134</f>
        <v>545</v>
      </c>
      <c r="Z1160" s="60">
        <f>Ringkasan!Z1134</f>
        <v>22530400</v>
      </c>
      <c r="AA1160" s="60" t="str">
        <f>Ringkasan!AA1134</f>
        <v>Specialty Retail</v>
      </c>
      <c r="AB1160" s="60" t="str">
        <f>Ringkasan!AB1134</f>
        <v>Consumer Cyclicals</v>
      </c>
    </row>
    <row r="1161">
      <c r="A1161" s="60" t="str">
        <f>Ringkasan!A1135</f>
        <v>MAPA</v>
      </c>
      <c r="B1161" s="60" t="str">
        <f>Ringkasan!B1135</f>
        <v>Map Aktif Adiperkasa Tbk.</v>
      </c>
      <c r="C1161" s="61">
        <f>Ringkasan!C1135</f>
        <v>565</v>
      </c>
      <c r="D1161" s="60" t="str">
        <f>Ringkasan!D1135</f>
        <v>#N/A</v>
      </c>
      <c r="E1161" s="60" t="str">
        <f>Ringkasan!E1135</f>
        <v>JII70</v>
      </c>
      <c r="F1161" s="63">
        <f>Ringkasan!F1135</f>
        <v>46356</v>
      </c>
      <c r="G1161" s="61">
        <f>Ringkasan!G1135</f>
        <v>9</v>
      </c>
      <c r="H1161" s="62">
        <f>Ringkasan!H1135</f>
        <v>9.9</v>
      </c>
      <c r="I1161" s="62">
        <f>Ringkasan!I1135</f>
        <v>2</v>
      </c>
      <c r="J1161" s="62">
        <f>Ringkasan!J1135</f>
        <v>20</v>
      </c>
      <c r="K1161" s="62">
        <f>Ringkasan!K1135</f>
        <v>12.7</v>
      </c>
      <c r="L1161" s="62">
        <f>Ringkasan!L1135</f>
        <v>0.57</v>
      </c>
      <c r="M1161" s="62">
        <f>Ringkasan!M1135</f>
        <v>37.4</v>
      </c>
      <c r="N1161" s="60" t="str">
        <f>Ringkasan!N1135</f>
        <v/>
      </c>
      <c r="O1161" s="60" t="str">
        <f>Ringkasan!O1135</f>
        <v/>
      </c>
      <c r="P1161" s="60" t="str">
        <f>Ringkasan!P1135</f>
        <v/>
      </c>
      <c r="Q1161" s="60" t="str">
        <f>Ringkasan!Q1135</f>
        <v/>
      </c>
      <c r="R1161" s="60" t="str">
        <f>Ringkasan!R1135</f>
        <v/>
      </c>
      <c r="S1161" s="60" t="str">
        <f>Ringkasan!S1135</f>
        <v/>
      </c>
      <c r="T1161" s="60" t="str">
        <f>Ringkasan!T1135</f>
        <v/>
      </c>
      <c r="U1161" s="60">
        <f>Ringkasan!U1135</f>
        <v>565</v>
      </c>
      <c r="V1161" s="60">
        <f>Ringkasan!V1135</f>
        <v>0</v>
      </c>
      <c r="W1161" s="60">
        <f>Ringkasan!W1135</f>
        <v>565</v>
      </c>
      <c r="X1161" s="60">
        <f>Ringkasan!X1135</f>
        <v>570</v>
      </c>
      <c r="Y1161" s="60">
        <f>Ringkasan!Y1135</f>
        <v>545</v>
      </c>
      <c r="Z1161" s="60">
        <f>Ringkasan!Z1135</f>
        <v>22530400</v>
      </c>
      <c r="AA1161" s="60" t="str">
        <f>Ringkasan!AA1135</f>
        <v>Specialty Retail</v>
      </c>
      <c r="AB1161" s="60" t="str">
        <f>Ringkasan!AB1135</f>
        <v>Consumer Cyclicals</v>
      </c>
    </row>
    <row r="1162" hidden="1">
      <c r="A1162" s="60" t="str">
        <f>Ringkasan!A1136</f>
        <v>MAPB</v>
      </c>
      <c r="B1162" s="60" t="str">
        <f>Ringkasan!B1136</f>
        <v>MAP Boga Adiperkasa Tbk.</v>
      </c>
      <c r="C1162" s="61">
        <f>Ringkasan!C1136</f>
        <v>1150</v>
      </c>
      <c r="D1162" s="60" t="str">
        <f>Ringkasan!D1136</f>
        <v>#N/A</v>
      </c>
      <c r="E1162" s="60" t="str">
        <f>Ringkasan!E1136</f>
        <v/>
      </c>
      <c r="F1162" s="60" t="str">
        <f>Ringkasan!F1136</f>
        <v/>
      </c>
      <c r="G1162" s="60">
        <f>Ringkasan!G1136</f>
        <v>0</v>
      </c>
      <c r="H1162" s="62">
        <f>Ringkasan!H1136</f>
        <v>-23.6</v>
      </c>
      <c r="I1162" s="62">
        <f>Ringkasan!I1136</f>
        <v>2.6</v>
      </c>
      <c r="J1162" s="62">
        <f>Ringkasan!J1136</f>
        <v>-11.1</v>
      </c>
      <c r="K1162" s="62">
        <f>Ringkasan!K1136</f>
        <v>-5.5</v>
      </c>
      <c r="L1162" s="62">
        <f>Ringkasan!L1136</f>
        <v>1</v>
      </c>
      <c r="M1162" s="62">
        <f>Ringkasan!M1136</f>
        <v>-18.5</v>
      </c>
      <c r="N1162" s="60" t="str">
        <f>Ringkasan!N1136</f>
        <v/>
      </c>
      <c r="O1162" s="60" t="str">
        <f>Ringkasan!O1136</f>
        <v/>
      </c>
      <c r="P1162" s="60" t="str">
        <f>Ringkasan!P1136</f>
        <v/>
      </c>
      <c r="Q1162" s="60" t="str">
        <f>Ringkasan!Q1136</f>
        <v/>
      </c>
      <c r="R1162" s="60" t="str">
        <f>Ringkasan!R1136</f>
        <v/>
      </c>
      <c r="S1162" s="60" t="str">
        <f>Ringkasan!S1136</f>
        <v/>
      </c>
      <c r="T1162" s="60" t="str">
        <f>Ringkasan!T1136</f>
        <v/>
      </c>
      <c r="U1162" s="60">
        <f>Ringkasan!U1136</f>
        <v>1200</v>
      </c>
      <c r="V1162" s="60">
        <f>Ringkasan!V1136</f>
        <v>-4.17</v>
      </c>
      <c r="W1162" s="60">
        <f>Ringkasan!W1136</f>
        <v>1205</v>
      </c>
      <c r="X1162" s="60">
        <f>Ringkasan!X1136</f>
        <v>1205</v>
      </c>
      <c r="Y1162" s="60">
        <f>Ringkasan!Y1136</f>
        <v>1150</v>
      </c>
      <c r="Z1162" s="60">
        <f>Ringkasan!Z1136</f>
        <v>2100</v>
      </c>
      <c r="AA1162" s="60" t="str">
        <f>Ringkasan!AA1136</f>
        <v>Tourism &amp; Recreation</v>
      </c>
      <c r="AB1162" s="60" t="str">
        <f>Ringkasan!AB1136</f>
        <v>Consumer Cyclicals</v>
      </c>
    </row>
    <row r="1163">
      <c r="A1163" s="60" t="str">
        <f>Ringkasan!A1137</f>
        <v>MAPI</v>
      </c>
      <c r="B1163" s="60" t="str">
        <f>Ringkasan!B1137</f>
        <v>Mitra Adiperkasa Tbk.</v>
      </c>
      <c r="C1163" s="61">
        <f>Ringkasan!C1137</f>
        <v>1490</v>
      </c>
      <c r="D1163" s="60" t="str">
        <f>Ringkasan!D1137</f>
        <v>#N/A</v>
      </c>
      <c r="E1163" s="60" t="str">
        <f>Ringkasan!E1137</f>
        <v>ESGSKEHATI</v>
      </c>
      <c r="F1163" s="63">
        <f>Ringkasan!F1137</f>
        <v>46356</v>
      </c>
      <c r="G1163" s="60">
        <f>Ringkasan!G1137</f>
        <v>12</v>
      </c>
      <c r="H1163" s="62">
        <f>Ringkasan!H1137</f>
        <v>10.4</v>
      </c>
      <c r="I1163" s="62">
        <f>Ringkasan!I1137</f>
        <v>1.4</v>
      </c>
      <c r="J1163" s="62">
        <f>Ringkasan!J1137</f>
        <v>13.3</v>
      </c>
      <c r="K1163" s="62">
        <f>Ringkasan!K1137</f>
        <v>7</v>
      </c>
      <c r="L1163" s="62">
        <f>Ringkasan!L1137</f>
        <v>0.9</v>
      </c>
      <c r="M1163" s="62">
        <f>Ringkasan!M1137</f>
        <v>19.4</v>
      </c>
      <c r="N1163" s="60" t="str">
        <f>Ringkasan!N1137</f>
        <v/>
      </c>
      <c r="O1163" s="60" t="str">
        <f>Ringkasan!O1137</f>
        <v/>
      </c>
      <c r="P1163" s="60" t="str">
        <f>Ringkasan!P1137</f>
        <v/>
      </c>
      <c r="Q1163" s="60" t="str">
        <f>Ringkasan!Q1137</f>
        <v/>
      </c>
      <c r="R1163" s="60" t="str">
        <f>Ringkasan!R1137</f>
        <v/>
      </c>
      <c r="S1163" s="60" t="str">
        <f>Ringkasan!S1137</f>
        <v/>
      </c>
      <c r="T1163" s="60" t="str">
        <f>Ringkasan!T1137</f>
        <v/>
      </c>
      <c r="U1163" s="60">
        <f>Ringkasan!U1137</f>
        <v>1485</v>
      </c>
      <c r="V1163" s="60">
        <f>Ringkasan!V1137</f>
        <v>0.34</v>
      </c>
      <c r="W1163" s="60">
        <f>Ringkasan!W1137</f>
        <v>1485</v>
      </c>
      <c r="X1163" s="60">
        <f>Ringkasan!X1137</f>
        <v>1490</v>
      </c>
      <c r="Y1163" s="60">
        <f>Ringkasan!Y1137</f>
        <v>1485</v>
      </c>
      <c r="Z1163" s="60">
        <f>Ringkasan!Z1137</f>
        <v>73594900</v>
      </c>
      <c r="AA1163" s="60" t="str">
        <f>Ringkasan!AA1137</f>
        <v>Specialty Retail</v>
      </c>
      <c r="AB1163" s="60" t="str">
        <f>Ringkasan!AB1137</f>
        <v>Consumer Cyclicals</v>
      </c>
    </row>
    <row r="1164">
      <c r="A1164" s="60" t="str">
        <f>Ringkasan!A1145</f>
        <v>MAPI</v>
      </c>
      <c r="B1164" s="60" t="str">
        <f>Ringkasan!B1145</f>
        <v>Mitra Adiperkasa Tbk.</v>
      </c>
      <c r="C1164" s="61">
        <f>Ringkasan!C1145</f>
        <v>1490</v>
      </c>
      <c r="D1164" s="60" t="str">
        <f>Ringkasan!D1145</f>
        <v>#N/A</v>
      </c>
      <c r="E1164" s="60" t="str">
        <f>Ringkasan!E1145</f>
        <v>IDXV30</v>
      </c>
      <c r="F1164" s="60" t="str">
        <f>Ringkasan!F1145</f>
        <v>4 Agustus 2026</v>
      </c>
      <c r="G1164" s="60">
        <f>Ringkasan!G1145</f>
        <v>12</v>
      </c>
      <c r="H1164" s="62">
        <f>Ringkasan!H1145</f>
        <v>10.4</v>
      </c>
      <c r="I1164" s="62">
        <f>Ringkasan!I1145</f>
        <v>1.4</v>
      </c>
      <c r="J1164" s="62">
        <f>Ringkasan!J1145</f>
        <v>13.3</v>
      </c>
      <c r="K1164" s="62">
        <f>Ringkasan!K1145</f>
        <v>7</v>
      </c>
      <c r="L1164" s="62">
        <f>Ringkasan!L1145</f>
        <v>0.9</v>
      </c>
      <c r="M1164" s="62">
        <f>Ringkasan!M1145</f>
        <v>19.4</v>
      </c>
      <c r="N1164" s="60" t="str">
        <f>Ringkasan!N1145</f>
        <v/>
      </c>
      <c r="O1164" s="60" t="str">
        <f>Ringkasan!O1145</f>
        <v/>
      </c>
      <c r="P1164" s="60" t="str">
        <f>Ringkasan!P1145</f>
        <v/>
      </c>
      <c r="Q1164" s="60" t="str">
        <f>Ringkasan!Q1145</f>
        <v/>
      </c>
      <c r="R1164" s="60" t="str">
        <f>Ringkasan!R1145</f>
        <v/>
      </c>
      <c r="S1164" s="60" t="str">
        <f>Ringkasan!S1145</f>
        <v/>
      </c>
      <c r="T1164" s="60" t="str">
        <f>Ringkasan!T1145</f>
        <v/>
      </c>
      <c r="U1164" s="60">
        <f>Ringkasan!U1145</f>
        <v>1485</v>
      </c>
      <c r="V1164" s="60">
        <f>Ringkasan!V1145</f>
        <v>0.34</v>
      </c>
      <c r="W1164" s="60">
        <f>Ringkasan!W1145</f>
        <v>1485</v>
      </c>
      <c r="X1164" s="60">
        <f>Ringkasan!X1145</f>
        <v>1490</v>
      </c>
      <c r="Y1164" s="60">
        <f>Ringkasan!Y1145</f>
        <v>1485</v>
      </c>
      <c r="Z1164" s="60">
        <f>Ringkasan!Z1145</f>
        <v>73594900</v>
      </c>
      <c r="AA1164" s="60" t="str">
        <f>Ringkasan!AA1145</f>
        <v>Specialty Retail</v>
      </c>
      <c r="AB1164" s="60" t="str">
        <f>Ringkasan!AB1145</f>
        <v>Consumer Cyclicals</v>
      </c>
    </row>
    <row r="1165">
      <c r="A1165" s="60" t="str">
        <f>Ringkasan!A1142</f>
        <v>MAPI</v>
      </c>
      <c r="B1165" s="60" t="str">
        <f>Ringkasan!B1142</f>
        <v>Mitra Adiperkasa Tbk.</v>
      </c>
      <c r="C1165" s="61">
        <f>Ringkasan!C1142</f>
        <v>1490</v>
      </c>
      <c r="D1165" s="60" t="str">
        <f>Ringkasan!D1142</f>
        <v>#N/A</v>
      </c>
      <c r="E1165" s="60" t="str">
        <f>Ringkasan!E1142</f>
        <v>BISNIS-27</v>
      </c>
      <c r="F1165" s="60" t="str">
        <f>Ringkasan!F1142</f>
        <v>30 Oktober 2026</v>
      </c>
      <c r="G1165" s="60">
        <f>Ringkasan!G1142</f>
        <v>12</v>
      </c>
      <c r="H1165" s="62">
        <f>Ringkasan!H1142</f>
        <v>10.4</v>
      </c>
      <c r="I1165" s="62">
        <f>Ringkasan!I1142</f>
        <v>1.4</v>
      </c>
      <c r="J1165" s="62">
        <f>Ringkasan!J1142</f>
        <v>13.3</v>
      </c>
      <c r="K1165" s="62">
        <f>Ringkasan!K1142</f>
        <v>7</v>
      </c>
      <c r="L1165" s="62">
        <f>Ringkasan!L1142</f>
        <v>0.9</v>
      </c>
      <c r="M1165" s="62">
        <f>Ringkasan!M1142</f>
        <v>19.4</v>
      </c>
      <c r="N1165" s="60" t="str">
        <f>Ringkasan!N1142</f>
        <v/>
      </c>
      <c r="O1165" s="60" t="str">
        <f>Ringkasan!O1142</f>
        <v/>
      </c>
      <c r="P1165" s="60" t="str">
        <f>Ringkasan!P1142</f>
        <v/>
      </c>
      <c r="Q1165" s="60" t="str">
        <f>Ringkasan!Q1142</f>
        <v/>
      </c>
      <c r="R1165" s="60" t="str">
        <f>Ringkasan!R1142</f>
        <v/>
      </c>
      <c r="S1165" s="60" t="str">
        <f>Ringkasan!S1142</f>
        <v/>
      </c>
      <c r="T1165" s="60" t="str">
        <f>Ringkasan!T1142</f>
        <v/>
      </c>
      <c r="U1165" s="60">
        <f>Ringkasan!U1142</f>
        <v>1485</v>
      </c>
      <c r="V1165" s="60">
        <f>Ringkasan!V1142</f>
        <v>0.34</v>
      </c>
      <c r="W1165" s="60">
        <f>Ringkasan!W1142</f>
        <v>1485</v>
      </c>
      <c r="X1165" s="60">
        <f>Ringkasan!X1142</f>
        <v>1490</v>
      </c>
      <c r="Y1165" s="60">
        <f>Ringkasan!Y1142</f>
        <v>1485</v>
      </c>
      <c r="Z1165" s="60">
        <f>Ringkasan!Z1142</f>
        <v>73594900</v>
      </c>
      <c r="AA1165" s="60" t="str">
        <f>Ringkasan!AA1142</f>
        <v>Specialty Retail</v>
      </c>
      <c r="AB1165" s="60" t="str">
        <f>Ringkasan!AB1142</f>
        <v>Consumer Cyclicals</v>
      </c>
    </row>
    <row r="1166">
      <c r="A1166" s="60" t="str">
        <f>Ringkasan!A1143</f>
        <v>MAPI</v>
      </c>
      <c r="B1166" s="60" t="str">
        <f>Ringkasan!B1143</f>
        <v>Mitra Adiperkasa Tbk.</v>
      </c>
      <c r="C1166" s="61">
        <f>Ringkasan!C1143</f>
        <v>1490</v>
      </c>
      <c r="D1166" s="60" t="str">
        <f>Ringkasan!D1143</f>
        <v>#N/A</v>
      </c>
      <c r="E1166" s="60" t="str">
        <f>Ringkasan!E1143</f>
        <v>MNC36</v>
      </c>
      <c r="F1166" s="60" t="str">
        <f>Ringkasan!F1143</f>
        <v>30 Oktober 2026</v>
      </c>
      <c r="G1166" s="60">
        <f>Ringkasan!G1143</f>
        <v>12</v>
      </c>
      <c r="H1166" s="62">
        <f>Ringkasan!H1143</f>
        <v>10.4</v>
      </c>
      <c r="I1166" s="62">
        <f>Ringkasan!I1143</f>
        <v>1.4</v>
      </c>
      <c r="J1166" s="62">
        <f>Ringkasan!J1143</f>
        <v>13.3</v>
      </c>
      <c r="K1166" s="62">
        <f>Ringkasan!K1143</f>
        <v>7</v>
      </c>
      <c r="L1166" s="62">
        <f>Ringkasan!L1143</f>
        <v>0.9</v>
      </c>
      <c r="M1166" s="62">
        <f>Ringkasan!M1143</f>
        <v>19.4</v>
      </c>
      <c r="N1166" s="60" t="str">
        <f>Ringkasan!N1143</f>
        <v/>
      </c>
      <c r="O1166" s="60" t="str">
        <f>Ringkasan!O1143</f>
        <v/>
      </c>
      <c r="P1166" s="60" t="str">
        <f>Ringkasan!P1143</f>
        <v/>
      </c>
      <c r="Q1166" s="60" t="str">
        <f>Ringkasan!Q1143</f>
        <v/>
      </c>
      <c r="R1166" s="60" t="str">
        <f>Ringkasan!R1143</f>
        <v/>
      </c>
      <c r="S1166" s="60" t="str">
        <f>Ringkasan!S1143</f>
        <v/>
      </c>
      <c r="T1166" s="60" t="str">
        <f>Ringkasan!T1143</f>
        <v/>
      </c>
      <c r="U1166" s="60">
        <f>Ringkasan!U1143</f>
        <v>1485</v>
      </c>
      <c r="V1166" s="60">
        <f>Ringkasan!V1143</f>
        <v>0.34</v>
      </c>
      <c r="W1166" s="60">
        <f>Ringkasan!W1143</f>
        <v>1485</v>
      </c>
      <c r="X1166" s="60">
        <f>Ringkasan!X1143</f>
        <v>1490</v>
      </c>
      <c r="Y1166" s="60">
        <f>Ringkasan!Y1143</f>
        <v>1485</v>
      </c>
      <c r="Z1166" s="60">
        <f>Ringkasan!Z1143</f>
        <v>73594900</v>
      </c>
      <c r="AA1166" s="60" t="str">
        <f>Ringkasan!AA1143</f>
        <v>Specialty Retail</v>
      </c>
      <c r="AB1166" s="60" t="str">
        <f>Ringkasan!AB1143</f>
        <v>Consumer Cyclicals</v>
      </c>
    </row>
    <row r="1167" hidden="1">
      <c r="A1167" s="64" t="str">
        <f>Ringkasan!A896</f>
        <v>INDO</v>
      </c>
      <c r="B1167" s="64" t="str">
        <f>Ringkasan!B896</f>
        <v>Royalindo Investa Wijaya Tbk.</v>
      </c>
      <c r="C1167" s="61">
        <f>Ringkasan!C896</f>
        <v>167</v>
      </c>
      <c r="D1167" s="60" t="str">
        <f>Ringkasan!D896</f>
        <v>#N/A</v>
      </c>
      <c r="E1167" s="60" t="str">
        <f>Ringkasan!E896</f>
        <v/>
      </c>
      <c r="F1167" s="60" t="str">
        <f>Ringkasan!F896</f>
        <v/>
      </c>
      <c r="G1167" s="60">
        <f>Ringkasan!G896</f>
        <v>0</v>
      </c>
      <c r="H1167" s="62">
        <f>Ringkasan!H896</f>
        <v>22.1</v>
      </c>
      <c r="I1167" s="62">
        <f>Ringkasan!I896</f>
        <v>0.63</v>
      </c>
      <c r="J1167" s="62">
        <f>Ringkasan!J896</f>
        <v>2.9</v>
      </c>
      <c r="K1167" s="62">
        <f>Ringkasan!K896</f>
        <v>2.8</v>
      </c>
      <c r="L1167" s="62">
        <f>Ringkasan!L896</f>
        <v>0.01</v>
      </c>
      <c r="M1167" s="62">
        <f>Ringkasan!M896</f>
        <v>480</v>
      </c>
      <c r="N1167" s="60" t="str">
        <f>Ringkasan!N896</f>
        <v/>
      </c>
      <c r="O1167" s="60" t="str">
        <f>Ringkasan!O896</f>
        <v/>
      </c>
      <c r="P1167" s="60" t="str">
        <f>Ringkasan!P896</f>
        <v/>
      </c>
      <c r="Q1167" s="60" t="str">
        <f>Ringkasan!Q896</f>
        <v/>
      </c>
      <c r="R1167" s="60" t="str">
        <f>Ringkasan!R896</f>
        <v/>
      </c>
      <c r="S1167" s="60" t="str">
        <f>Ringkasan!S896</f>
        <v/>
      </c>
      <c r="T1167" s="60" t="str">
        <f>Ringkasan!T896</f>
        <v/>
      </c>
      <c r="U1167" s="60">
        <f>Ringkasan!U896</f>
        <v>2.69</v>
      </c>
      <c r="V1167" s="60">
        <f>Ringkasan!V896</f>
        <v>-2.97</v>
      </c>
      <c r="W1167" s="60">
        <f>Ringkasan!W896</f>
        <v>2.68</v>
      </c>
      <c r="X1167" s="60">
        <f>Ringkasan!X896</f>
        <v>2.75</v>
      </c>
      <c r="Y1167" s="60">
        <f>Ringkasan!Y896</f>
        <v>2.58</v>
      </c>
      <c r="Z1167" s="60">
        <f>Ringkasan!Z896</f>
        <v>642345</v>
      </c>
      <c r="AA1167" s="60" t="str">
        <f>Ringkasan!AA896</f>
        <v>Real Estate Management &amp; Development</v>
      </c>
      <c r="AB1167" s="64" t="str">
        <f>Ringkasan!AB896</f>
        <v>Properties &amp; Real Estate</v>
      </c>
    </row>
    <row r="1168" hidden="1">
      <c r="A1168" s="64" t="str">
        <f>Ringkasan!A897</f>
        <v>INDR</v>
      </c>
      <c r="B1168" s="64" t="str">
        <f>Ringkasan!B897</f>
        <v>Indorama Synthetics Tbk</v>
      </c>
      <c r="C1168" s="61">
        <f>Ringkasan!C897</f>
        <v>1805</v>
      </c>
      <c r="D1168" s="60" t="str">
        <f>Ringkasan!D897</f>
        <v>#N/A</v>
      </c>
      <c r="E1168" s="60" t="str">
        <f>Ringkasan!E897</f>
        <v/>
      </c>
      <c r="F1168" s="60" t="str">
        <f>Ringkasan!F897</f>
        <v/>
      </c>
      <c r="G1168" s="60">
        <f>Ringkasan!G897</f>
        <v>0</v>
      </c>
      <c r="H1168" s="62">
        <f>Ringkasan!H897</f>
        <v>-4.6</v>
      </c>
      <c r="I1168" s="62">
        <f>Ringkasan!I897</f>
        <v>0.22</v>
      </c>
      <c r="J1168" s="62">
        <f>Ringkasan!J897</f>
        <v>-4.9</v>
      </c>
      <c r="K1168" s="62">
        <f>Ringkasan!K897</f>
        <v>-2.4</v>
      </c>
      <c r="L1168" s="62">
        <f>Ringkasan!L897</f>
        <v>1.1</v>
      </c>
      <c r="M1168" s="62">
        <f>Ringkasan!M897</f>
        <v>-9.5</v>
      </c>
      <c r="N1168" s="60" t="str">
        <f>Ringkasan!N897</f>
        <v/>
      </c>
      <c r="O1168" s="60" t="str">
        <f>Ringkasan!O897</f>
        <v/>
      </c>
      <c r="P1168" s="60" t="str">
        <f>Ringkasan!P897</f>
        <v/>
      </c>
      <c r="Q1168" s="60" t="str">
        <f>Ringkasan!Q897</f>
        <v/>
      </c>
      <c r="R1168" s="60" t="str">
        <f>Ringkasan!R897</f>
        <v/>
      </c>
      <c r="S1168" s="60" t="str">
        <f>Ringkasan!S897</f>
        <v/>
      </c>
      <c r="T1168" s="60" t="str">
        <f>Ringkasan!T897</f>
        <v/>
      </c>
      <c r="U1168" s="60">
        <f>Ringkasan!U897</f>
        <v>0</v>
      </c>
      <c r="V1168" s="60">
        <f>Ringkasan!V897</f>
        <v>0</v>
      </c>
      <c r="W1168" s="60" t="str">
        <f>Ringkasan!W897</f>
        <v/>
      </c>
      <c r="X1168" s="60" t="str">
        <f>Ringkasan!X897</f>
        <v/>
      </c>
      <c r="Y1168" s="60" t="str">
        <f>Ringkasan!Y897</f>
        <v/>
      </c>
      <c r="Z1168" s="60">
        <f>Ringkasan!Z897</f>
        <v>0</v>
      </c>
      <c r="AA1168" s="60" t="str">
        <f>Ringkasan!AA897</f>
        <v>Apparel &amp; Luxury Goods</v>
      </c>
      <c r="AB1168" s="64" t="str">
        <f>Ringkasan!AB897</f>
        <v>Consumer Cyclicals</v>
      </c>
    </row>
    <row r="1169" hidden="1">
      <c r="A1169" s="64" t="str">
        <f>Ringkasan!A1168</f>
        <v>MCOL</v>
      </c>
      <c r="B1169" s="64" t="str">
        <f>Ringkasan!B1168</f>
        <v>Prima Andalan Mandiri Tbk.</v>
      </c>
      <c r="C1169" s="65">
        <f>Ringkasan!C1168</f>
        <v>3650</v>
      </c>
      <c r="D1169" s="64" t="str">
        <f>Ringkasan!D1168</f>
        <v>#N/A</v>
      </c>
      <c r="E1169" s="64" t="str">
        <f>Ringkasan!E1168</f>
        <v/>
      </c>
      <c r="F1169" s="64" t="str">
        <f>Ringkasan!F1168</f>
        <v/>
      </c>
      <c r="G1169" s="64">
        <f>Ringkasan!G1168</f>
        <v>0</v>
      </c>
      <c r="H1169" s="19">
        <f>Ringkasan!H1168</f>
        <v>10</v>
      </c>
      <c r="I1169" s="19">
        <f>Ringkasan!I1168</f>
        <v>1.3</v>
      </c>
      <c r="J1169" s="19">
        <f>Ringkasan!J1168</f>
        <v>12.6</v>
      </c>
      <c r="K1169" s="19">
        <f>Ringkasan!K1168</f>
        <v>10.1</v>
      </c>
      <c r="L1169" s="19">
        <f>Ringkasan!L1168</f>
        <v>0.25</v>
      </c>
      <c r="M1169" s="19">
        <f>Ringkasan!M1168</f>
        <v>46.6</v>
      </c>
      <c r="N1169" s="64" t="str">
        <f>Ringkasan!N1168</f>
        <v/>
      </c>
      <c r="O1169" s="64" t="str">
        <f>Ringkasan!O1168</f>
        <v/>
      </c>
      <c r="P1169" s="64" t="str">
        <f>Ringkasan!P1168</f>
        <v/>
      </c>
      <c r="Q1169" s="64" t="str">
        <f>Ringkasan!Q1168</f>
        <v/>
      </c>
      <c r="R1169" s="64" t="str">
        <f>Ringkasan!R1168</f>
        <v/>
      </c>
      <c r="S1169" s="64" t="str">
        <f>Ringkasan!S1168</f>
        <v/>
      </c>
      <c r="T1169" s="64" t="str">
        <f>Ringkasan!T1168</f>
        <v/>
      </c>
      <c r="U1169" s="64">
        <f>Ringkasan!U1168</f>
        <v>3290</v>
      </c>
      <c r="V1169" s="64">
        <f>Ringkasan!V1168</f>
        <v>10.94</v>
      </c>
      <c r="W1169" s="64">
        <f>Ringkasan!W1168</f>
        <v>3290</v>
      </c>
      <c r="X1169" s="64">
        <f>Ringkasan!X1168</f>
        <v>3670</v>
      </c>
      <c r="Y1169" s="64">
        <f>Ringkasan!Y1168</f>
        <v>3290</v>
      </c>
      <c r="Z1169" s="64">
        <f>Ringkasan!Z1168</f>
        <v>100900</v>
      </c>
      <c r="AA1169" s="64" t="str">
        <f>Ringkasan!AA1168</f>
        <v>Coal</v>
      </c>
      <c r="AB1169" s="64" t="str">
        <f>Ringkasan!AB1168</f>
        <v>Energy</v>
      </c>
    </row>
    <row r="1170" hidden="1">
      <c r="A1170" s="64" t="str">
        <f>Ringkasan!A1169</f>
        <v>MCOR</v>
      </c>
      <c r="B1170" s="64" t="str">
        <f>Ringkasan!B1169</f>
        <v>PT Bank China Construction Bank Indonesia Tbk</v>
      </c>
      <c r="C1170" s="65">
        <f>Ringkasan!C1169</f>
        <v>64</v>
      </c>
      <c r="D1170" s="64" t="str">
        <f>Ringkasan!D1169</f>
        <v>#N/A</v>
      </c>
      <c r="E1170" s="64" t="str">
        <f>Ringkasan!E1169</f>
        <v/>
      </c>
      <c r="F1170" s="64" t="str">
        <f>Ringkasan!F1169</f>
        <v/>
      </c>
      <c r="G1170" s="64">
        <f>Ringkasan!G1169</f>
        <v>0</v>
      </c>
      <c r="H1170" s="19">
        <f>Ringkasan!H1169</f>
        <v>8.7</v>
      </c>
      <c r="I1170" s="19">
        <f>Ringkasan!I1169</f>
        <v>0.36</v>
      </c>
      <c r="J1170" s="19">
        <f>Ringkasan!J1169</f>
        <v>4.2</v>
      </c>
      <c r="K1170" s="19">
        <f>Ringkasan!K1169</f>
        <v>0.81</v>
      </c>
      <c r="L1170" s="19">
        <f>Ringkasan!L1169</f>
        <v>4.1</v>
      </c>
      <c r="M1170" s="19">
        <f>Ringkasan!M1169</f>
        <v>54.2</v>
      </c>
      <c r="N1170" s="64">
        <f>Ringkasan!N1169</f>
        <v>2.98</v>
      </c>
      <c r="O1170" s="64">
        <f>Ringkasan!O1169</f>
        <v>29.48</v>
      </c>
      <c r="P1170" s="64">
        <f>Ringkasan!P1169</f>
        <v>84.15</v>
      </c>
      <c r="Q1170" s="64">
        <f>Ringkasan!Q1169</f>
        <v>2.11</v>
      </c>
      <c r="R1170" s="64">
        <f>Ringkasan!R1169</f>
        <v>88.4</v>
      </c>
      <c r="S1170" s="64">
        <f>Ringkasan!S1169</f>
        <v>52.15</v>
      </c>
      <c r="T1170" s="64">
        <f>Ringkasan!T1169</f>
        <v>7.12</v>
      </c>
      <c r="U1170" s="64" t="str">
        <f>Ringkasan!U1169</f>
        <v/>
      </c>
      <c r="V1170" s="64">
        <f>Ringkasan!V1169</f>
        <v>-0.4</v>
      </c>
      <c r="W1170" s="64" t="str">
        <f>Ringkasan!W1169</f>
        <v/>
      </c>
      <c r="X1170" s="64" t="str">
        <f>Ringkasan!X1169</f>
        <v/>
      </c>
      <c r="Y1170" s="64" t="str">
        <f>Ringkasan!Y1169</f>
        <v/>
      </c>
      <c r="Z1170" s="64" t="str">
        <f>Ringkasan!Z1169</f>
        <v/>
      </c>
      <c r="AA1170" s="64" t="str">
        <f>Ringkasan!AA1169</f>
        <v>Banks</v>
      </c>
      <c r="AB1170" s="64" t="str">
        <f>Ringkasan!AB1169</f>
        <v>Financials</v>
      </c>
    </row>
    <row r="1171" hidden="1">
      <c r="A1171" s="60" t="str">
        <f>Ringkasan!A1170</f>
        <v>MDIA</v>
      </c>
      <c r="B1171" s="60" t="str">
        <f>Ringkasan!B1170</f>
        <v>Intermedia Capital Tbk.</v>
      </c>
      <c r="C1171" s="61">
        <f>Ringkasan!C1170</f>
        <v>72</v>
      </c>
      <c r="D1171" s="60" t="str">
        <f>Ringkasan!D1170</f>
        <v>#N/A</v>
      </c>
      <c r="E1171" s="60" t="str">
        <f>Ringkasan!E1170</f>
        <v/>
      </c>
      <c r="F1171" s="60" t="str">
        <f>Ringkasan!F1170</f>
        <v/>
      </c>
      <c r="G1171" s="60">
        <f>Ringkasan!G1170</f>
        <v>0</v>
      </c>
      <c r="H1171" s="62">
        <f>Ringkasan!H1170</f>
        <v>-72</v>
      </c>
      <c r="I1171" s="62">
        <f>Ringkasan!I1170</f>
        <v>3.6</v>
      </c>
      <c r="J1171" s="62">
        <f>Ringkasan!J1170</f>
        <v>-5</v>
      </c>
      <c r="K1171" s="62">
        <f>Ringkasan!K1170</f>
        <v>-1.4</v>
      </c>
      <c r="L1171" s="62">
        <f>Ringkasan!L1170</f>
        <v>2.5</v>
      </c>
      <c r="M1171" s="62">
        <f>Ringkasan!M1170</f>
        <v>-7.8</v>
      </c>
      <c r="N1171" s="60" t="str">
        <f>Ringkasan!N1170</f>
        <v/>
      </c>
      <c r="O1171" s="60" t="str">
        <f>Ringkasan!O1170</f>
        <v/>
      </c>
      <c r="P1171" s="60" t="str">
        <f>Ringkasan!P1170</f>
        <v/>
      </c>
      <c r="Q1171" s="60" t="str">
        <f>Ringkasan!Q1170</f>
        <v/>
      </c>
      <c r="R1171" s="60" t="str">
        <f>Ringkasan!R1170</f>
        <v/>
      </c>
      <c r="S1171" s="60" t="str">
        <f>Ringkasan!S1170</f>
        <v/>
      </c>
      <c r="T1171" s="60" t="str">
        <f>Ringkasan!T1170</f>
        <v/>
      </c>
      <c r="U1171" s="60">
        <f>Ringkasan!U1170</f>
        <v>0.82</v>
      </c>
      <c r="V1171" s="60">
        <f>Ringkasan!V1170</f>
        <v>-8.7</v>
      </c>
      <c r="W1171" s="60">
        <f>Ringkasan!W1170</f>
        <v>0.8</v>
      </c>
      <c r="X1171" s="60">
        <f>Ringkasan!X1170</f>
        <v>0.86</v>
      </c>
      <c r="Y1171" s="60">
        <f>Ringkasan!Y1170</f>
        <v>0.73</v>
      </c>
      <c r="Z1171" s="60">
        <f>Ringkasan!Z1170</f>
        <v>175450</v>
      </c>
      <c r="AA1171" s="60" t="str">
        <f>Ringkasan!AA1170</f>
        <v>Media</v>
      </c>
      <c r="AB1171" s="60" t="str">
        <f>Ringkasan!AB1170</f>
        <v>Consumer Cyclicals</v>
      </c>
    </row>
    <row r="1172" hidden="1">
      <c r="A1172" s="64" t="str">
        <f>Ringkasan!A1171</f>
        <v>MDIY</v>
      </c>
      <c r="B1172" s="64" t="str">
        <f>Ringkasan!B1171</f>
        <v>Daya Intiguna Yasa Tbk.</v>
      </c>
      <c r="C1172" s="65">
        <f>Ringkasan!C1171</f>
        <v>850</v>
      </c>
      <c r="D1172" s="64" t="str">
        <f>Ringkasan!D1171</f>
        <v>#N/A</v>
      </c>
      <c r="E1172" s="64" t="str">
        <f>Ringkasan!E1171</f>
        <v/>
      </c>
      <c r="F1172" s="64" t="str">
        <f>Ringkasan!F1171</f>
        <v/>
      </c>
      <c r="G1172" s="64">
        <f>Ringkasan!G1171</f>
        <v>0</v>
      </c>
      <c r="H1172" s="19">
        <f>Ringkasan!H1171</f>
        <v>18.7</v>
      </c>
      <c r="I1172" s="19">
        <f>Ringkasan!I1171</f>
        <v>4.9</v>
      </c>
      <c r="J1172" s="19">
        <f>Ringkasan!J1171</f>
        <v>26.3</v>
      </c>
      <c r="K1172" s="19">
        <f>Ringkasan!K1171</f>
        <v>15.4</v>
      </c>
      <c r="L1172" s="19">
        <f>Ringkasan!L1171</f>
        <v>0.7</v>
      </c>
      <c r="M1172" s="19">
        <f>Ringkasan!M1171</f>
        <v>50.3</v>
      </c>
      <c r="N1172" s="64" t="str">
        <f>Ringkasan!N1171</f>
        <v/>
      </c>
      <c r="O1172" s="64" t="str">
        <f>Ringkasan!O1171</f>
        <v/>
      </c>
      <c r="P1172" s="64" t="str">
        <f>Ringkasan!P1171</f>
        <v/>
      </c>
      <c r="Q1172" s="64" t="str">
        <f>Ringkasan!Q1171</f>
        <v/>
      </c>
      <c r="R1172" s="64" t="str">
        <f>Ringkasan!R1171</f>
        <v/>
      </c>
      <c r="S1172" s="64" t="str">
        <f>Ringkasan!S1171</f>
        <v/>
      </c>
      <c r="T1172" s="64" t="str">
        <f>Ringkasan!T1171</f>
        <v/>
      </c>
      <c r="U1172" s="64">
        <f>Ringkasan!U1171</f>
        <v>850</v>
      </c>
      <c r="V1172" s="64">
        <f>Ringkasan!V1171</f>
        <v>0</v>
      </c>
      <c r="W1172" s="64">
        <f>Ringkasan!W1171</f>
        <v>850</v>
      </c>
      <c r="X1172" s="64">
        <f>Ringkasan!X1171</f>
        <v>885</v>
      </c>
      <c r="Y1172" s="64">
        <f>Ringkasan!Y1171</f>
        <v>830</v>
      </c>
      <c r="Z1172" s="64">
        <f>Ringkasan!Z1171</f>
        <v>3173900</v>
      </c>
      <c r="AA1172" s="64" t="str">
        <f>Ringkasan!AA1171</f>
        <v>Specialty Retail</v>
      </c>
      <c r="AB1172" s="64" t="str">
        <f>Ringkasan!AB1171</f>
        <v>Consumer Cyclicals</v>
      </c>
    </row>
    <row r="1173" hidden="1">
      <c r="A1173" s="64" t="str">
        <f>Ringkasan!A1172</f>
        <v>MDKA</v>
      </c>
      <c r="B1173" s="64" t="str">
        <f>Ringkasan!B1172</f>
        <v>Merdeka Copper Gold Tbk.</v>
      </c>
      <c r="C1173" s="65">
        <f>Ringkasan!C1172</f>
        <v>2540</v>
      </c>
      <c r="D1173" s="64" t="str">
        <f>Ringkasan!D1172</f>
        <v>#N/A</v>
      </c>
      <c r="E1173" s="64" t="str">
        <f>Ringkasan!E1172</f>
        <v>JII30</v>
      </c>
      <c r="F1173" s="66">
        <f>Ringkasan!F1172</f>
        <v>46356</v>
      </c>
      <c r="G1173" s="64">
        <f>Ringkasan!G1172</f>
        <v>11</v>
      </c>
      <c r="H1173" s="19">
        <f>Ringkasan!H1172</f>
        <v>-60.9</v>
      </c>
      <c r="I1173" s="19">
        <f>Ringkasan!I1172</f>
        <v>1.3</v>
      </c>
      <c r="J1173" s="19">
        <f>Ringkasan!J1172</f>
        <v>-2.1</v>
      </c>
      <c r="K1173" s="19">
        <f>Ringkasan!K1172</f>
        <v>-1.1</v>
      </c>
      <c r="L1173" s="19">
        <f>Ringkasan!L1172</f>
        <v>0.95</v>
      </c>
      <c r="M1173" s="19">
        <f>Ringkasan!M1172</f>
        <v>-3.3</v>
      </c>
      <c r="N1173" s="64" t="str">
        <f>Ringkasan!N1172</f>
        <v/>
      </c>
      <c r="O1173" s="64" t="str">
        <f>Ringkasan!O1172</f>
        <v/>
      </c>
      <c r="P1173" s="64" t="str">
        <f>Ringkasan!P1172</f>
        <v/>
      </c>
      <c r="Q1173" s="64" t="str">
        <f>Ringkasan!Q1172</f>
        <v/>
      </c>
      <c r="R1173" s="64" t="str">
        <f>Ringkasan!R1172</f>
        <v/>
      </c>
      <c r="S1173" s="64" t="str">
        <f>Ringkasan!S1172</f>
        <v/>
      </c>
      <c r="T1173" s="64" t="str">
        <f>Ringkasan!T1172</f>
        <v/>
      </c>
      <c r="U1173" s="64">
        <f>Ringkasan!U1172</f>
        <v>2470</v>
      </c>
      <c r="V1173" s="64" t="str">
        <f>Ringkasan!V1172</f>
        <v/>
      </c>
      <c r="W1173" s="64">
        <f>Ringkasan!W1172</f>
        <v>2520</v>
      </c>
      <c r="X1173" s="64" t="str">
        <f>Ringkasan!X1172</f>
        <v/>
      </c>
      <c r="Y1173" s="64">
        <f>Ringkasan!Y1172</f>
        <v>2520</v>
      </c>
      <c r="Z1173" s="64" t="str">
        <f>Ringkasan!Z1172</f>
        <v/>
      </c>
      <c r="AA1173" s="64" t="str">
        <f>Ringkasan!AA1172</f>
        <v>Metals &amp; Minerals</v>
      </c>
      <c r="AB1173" s="64" t="str">
        <f>Ringkasan!AB1172</f>
        <v>Basic Materials</v>
      </c>
    </row>
    <row r="1174" hidden="1">
      <c r="A1174" s="64" t="str">
        <f>Ringkasan!A1173</f>
        <v>MDKA</v>
      </c>
      <c r="B1174" s="64" t="str">
        <f>Ringkasan!B1173</f>
        <v>Merdeka Copper Gold Tbk.</v>
      </c>
      <c r="C1174" s="65">
        <f>Ringkasan!C1173</f>
        <v>2540</v>
      </c>
      <c r="D1174" s="64" t="str">
        <f>Ringkasan!D1173</f>
        <v>#N/A</v>
      </c>
      <c r="E1174" s="64" t="str">
        <f>Ringkasan!E1173</f>
        <v>Pefindo - iGrade</v>
      </c>
      <c r="F1174" s="64" t="str">
        <f>Ringkasan!F1173</f>
        <v>30 Juni 2026</v>
      </c>
      <c r="G1174" s="64">
        <f>Ringkasan!G1173</f>
        <v>11</v>
      </c>
      <c r="H1174" s="19">
        <f>Ringkasan!H1173</f>
        <v>-60.9</v>
      </c>
      <c r="I1174" s="19">
        <f>Ringkasan!I1173</f>
        <v>1.3</v>
      </c>
      <c r="J1174" s="19">
        <f>Ringkasan!J1173</f>
        <v>-2.1</v>
      </c>
      <c r="K1174" s="19">
        <f>Ringkasan!K1173</f>
        <v>-1.1</v>
      </c>
      <c r="L1174" s="19">
        <f>Ringkasan!L1173</f>
        <v>0.95</v>
      </c>
      <c r="M1174" s="19">
        <f>Ringkasan!M1173</f>
        <v>-3.3</v>
      </c>
      <c r="N1174" s="64" t="str">
        <f>Ringkasan!N1173</f>
        <v/>
      </c>
      <c r="O1174" s="64" t="str">
        <f>Ringkasan!O1173</f>
        <v/>
      </c>
      <c r="P1174" s="64" t="str">
        <f>Ringkasan!P1173</f>
        <v/>
      </c>
      <c r="Q1174" s="64" t="str">
        <f>Ringkasan!Q1173</f>
        <v/>
      </c>
      <c r="R1174" s="64" t="str">
        <f>Ringkasan!R1173</f>
        <v/>
      </c>
      <c r="S1174" s="64" t="str">
        <f>Ringkasan!S1173</f>
        <v/>
      </c>
      <c r="T1174" s="64" t="str">
        <f>Ringkasan!T1173</f>
        <v/>
      </c>
      <c r="U1174" s="64">
        <f>Ringkasan!U1173</f>
        <v>2470</v>
      </c>
      <c r="V1174" s="64" t="str">
        <f>Ringkasan!V1173</f>
        <v/>
      </c>
      <c r="W1174" s="64">
        <f>Ringkasan!W1173</f>
        <v>2520</v>
      </c>
      <c r="X1174" s="64" t="str">
        <f>Ringkasan!X1173</f>
        <v/>
      </c>
      <c r="Y1174" s="64">
        <f>Ringkasan!Y1173</f>
        <v>2520</v>
      </c>
      <c r="Z1174" s="64" t="str">
        <f>Ringkasan!Z1173</f>
        <v/>
      </c>
      <c r="AA1174" s="64" t="str">
        <f>Ringkasan!AA1173</f>
        <v>Metals &amp; Minerals</v>
      </c>
      <c r="AB1174" s="64" t="str">
        <f>Ringkasan!AB1173</f>
        <v>Basic Materials</v>
      </c>
    </row>
    <row r="1175" hidden="1">
      <c r="A1175" s="64" t="str">
        <f>Ringkasan!A1174</f>
        <v>MDKA</v>
      </c>
      <c r="B1175" s="64" t="str">
        <f>Ringkasan!B1174</f>
        <v>Merdeka Copper Gold Tbk.</v>
      </c>
      <c r="C1175" s="65">
        <f>Ringkasan!C1174</f>
        <v>2540</v>
      </c>
      <c r="D1175" s="64" t="str">
        <f>Ringkasan!D1174</f>
        <v>#N/A</v>
      </c>
      <c r="E1175" s="64" t="str">
        <f>Ringkasan!E1174</f>
        <v>LQ45</v>
      </c>
      <c r="F1175" s="64" t="str">
        <f>Ringkasan!F1174</f>
        <v>31 Juli 2026</v>
      </c>
      <c r="G1175" s="64">
        <f>Ringkasan!G1174</f>
        <v>11</v>
      </c>
      <c r="H1175" s="19">
        <f>Ringkasan!H1174</f>
        <v>-60.9</v>
      </c>
      <c r="I1175" s="19">
        <f>Ringkasan!I1174</f>
        <v>1.3</v>
      </c>
      <c r="J1175" s="19">
        <f>Ringkasan!J1174</f>
        <v>-2.1</v>
      </c>
      <c r="K1175" s="19">
        <f>Ringkasan!K1174</f>
        <v>-1.1</v>
      </c>
      <c r="L1175" s="19">
        <f>Ringkasan!L1174</f>
        <v>0.95</v>
      </c>
      <c r="M1175" s="19">
        <f>Ringkasan!M1174</f>
        <v>-3.3</v>
      </c>
      <c r="N1175" s="64" t="str">
        <f>Ringkasan!N1174</f>
        <v/>
      </c>
      <c r="O1175" s="64" t="str">
        <f>Ringkasan!O1174</f>
        <v/>
      </c>
      <c r="P1175" s="64" t="str">
        <f>Ringkasan!P1174</f>
        <v/>
      </c>
      <c r="Q1175" s="64" t="str">
        <f>Ringkasan!Q1174</f>
        <v/>
      </c>
      <c r="R1175" s="64" t="str">
        <f>Ringkasan!R1174</f>
        <v/>
      </c>
      <c r="S1175" s="64" t="str">
        <f>Ringkasan!S1174</f>
        <v/>
      </c>
      <c r="T1175" s="64" t="str">
        <f>Ringkasan!T1174</f>
        <v/>
      </c>
      <c r="U1175" s="64">
        <f>Ringkasan!U1174</f>
        <v>2470</v>
      </c>
      <c r="V1175" s="64" t="str">
        <f>Ringkasan!V1174</f>
        <v/>
      </c>
      <c r="W1175" s="64">
        <f>Ringkasan!W1174</f>
        <v>2520</v>
      </c>
      <c r="X1175" s="64" t="str">
        <f>Ringkasan!X1174</f>
        <v/>
      </c>
      <c r="Y1175" s="64">
        <f>Ringkasan!Y1174</f>
        <v>2520</v>
      </c>
      <c r="Z1175" s="64" t="str">
        <f>Ringkasan!Z1174</f>
        <v/>
      </c>
      <c r="AA1175" s="64" t="str">
        <f>Ringkasan!AA1174</f>
        <v>Metals &amp; Minerals</v>
      </c>
      <c r="AB1175" s="64" t="str">
        <f>Ringkasan!AB1174</f>
        <v>Basic Materials</v>
      </c>
    </row>
    <row r="1176" hidden="1">
      <c r="A1176" s="64" t="str">
        <f>Ringkasan!A1175</f>
        <v>MDKA</v>
      </c>
      <c r="B1176" s="64" t="str">
        <f>Ringkasan!B1175</f>
        <v>Merdeka Copper Gold Tbk.</v>
      </c>
      <c r="C1176" s="65">
        <f>Ringkasan!C1175</f>
        <v>2540</v>
      </c>
      <c r="D1176" s="64" t="str">
        <f>Ringkasan!D1175</f>
        <v>#N/A</v>
      </c>
      <c r="E1176" s="64" t="str">
        <f>Ringkasan!E1175</f>
        <v>IDX80</v>
      </c>
      <c r="F1176" s="64" t="str">
        <f>Ringkasan!F1175</f>
        <v>31 Juli 2026</v>
      </c>
      <c r="G1176" s="64">
        <f>Ringkasan!G1175</f>
        <v>11</v>
      </c>
      <c r="H1176" s="19">
        <f>Ringkasan!H1175</f>
        <v>-60.9</v>
      </c>
      <c r="I1176" s="19">
        <f>Ringkasan!I1175</f>
        <v>1.3</v>
      </c>
      <c r="J1176" s="19">
        <f>Ringkasan!J1175</f>
        <v>-2.1</v>
      </c>
      <c r="K1176" s="19">
        <f>Ringkasan!K1175</f>
        <v>-1.1</v>
      </c>
      <c r="L1176" s="19">
        <f>Ringkasan!L1175</f>
        <v>0.95</v>
      </c>
      <c r="M1176" s="19">
        <f>Ringkasan!M1175</f>
        <v>-3.3</v>
      </c>
      <c r="N1176" s="64" t="str">
        <f>Ringkasan!N1175</f>
        <v/>
      </c>
      <c r="O1176" s="64" t="str">
        <f>Ringkasan!O1175</f>
        <v/>
      </c>
      <c r="P1176" s="64" t="str">
        <f>Ringkasan!P1175</f>
        <v/>
      </c>
      <c r="Q1176" s="64" t="str">
        <f>Ringkasan!Q1175</f>
        <v/>
      </c>
      <c r="R1176" s="64" t="str">
        <f>Ringkasan!R1175</f>
        <v/>
      </c>
      <c r="S1176" s="64" t="str">
        <f>Ringkasan!S1175</f>
        <v/>
      </c>
      <c r="T1176" s="64" t="str">
        <f>Ringkasan!T1175</f>
        <v/>
      </c>
      <c r="U1176" s="64">
        <f>Ringkasan!U1175</f>
        <v>2470</v>
      </c>
      <c r="V1176" s="64" t="str">
        <f>Ringkasan!V1175</f>
        <v/>
      </c>
      <c r="W1176" s="64">
        <f>Ringkasan!W1175</f>
        <v>2520</v>
      </c>
      <c r="X1176" s="64" t="str">
        <f>Ringkasan!X1175</f>
        <v/>
      </c>
      <c r="Y1176" s="64">
        <f>Ringkasan!Y1175</f>
        <v>2520</v>
      </c>
      <c r="Z1176" s="64" t="str">
        <f>Ringkasan!Z1175</f>
        <v/>
      </c>
      <c r="AA1176" s="64" t="str">
        <f>Ringkasan!AA1175</f>
        <v>Metals &amp; Minerals</v>
      </c>
      <c r="AB1176" s="64" t="str">
        <f>Ringkasan!AB1175</f>
        <v>Basic Materials</v>
      </c>
    </row>
    <row r="1177" hidden="1">
      <c r="A1177" s="64" t="str">
        <f>Ringkasan!A1176</f>
        <v>MDKA</v>
      </c>
      <c r="B1177" s="64" t="str">
        <f>Ringkasan!B1176</f>
        <v>Merdeka Copper Gold Tbk.</v>
      </c>
      <c r="C1177" s="65">
        <f>Ringkasan!C1176</f>
        <v>2540</v>
      </c>
      <c r="D1177" s="64" t="str">
        <f>Ringkasan!D1176</f>
        <v>#N/A</v>
      </c>
      <c r="E1177" s="64" t="str">
        <f>Ringkasan!E1176</f>
        <v>MNC36</v>
      </c>
      <c r="F1177" s="64" t="str">
        <f>Ringkasan!F1176</f>
        <v>30 Oktober 2026</v>
      </c>
      <c r="G1177" s="64">
        <f>Ringkasan!G1176</f>
        <v>11</v>
      </c>
      <c r="H1177" s="19">
        <f>Ringkasan!H1176</f>
        <v>-60.9</v>
      </c>
      <c r="I1177" s="19">
        <f>Ringkasan!I1176</f>
        <v>1.3</v>
      </c>
      <c r="J1177" s="19">
        <f>Ringkasan!J1176</f>
        <v>-2.1</v>
      </c>
      <c r="K1177" s="19">
        <f>Ringkasan!K1176</f>
        <v>-1.1</v>
      </c>
      <c r="L1177" s="19">
        <f>Ringkasan!L1176</f>
        <v>0.95</v>
      </c>
      <c r="M1177" s="19">
        <f>Ringkasan!M1176</f>
        <v>-3.3</v>
      </c>
      <c r="N1177" s="64" t="str">
        <f>Ringkasan!N1176</f>
        <v/>
      </c>
      <c r="O1177" s="64" t="str">
        <f>Ringkasan!O1176</f>
        <v/>
      </c>
      <c r="P1177" s="64" t="str">
        <f>Ringkasan!P1176</f>
        <v/>
      </c>
      <c r="Q1177" s="64" t="str">
        <f>Ringkasan!Q1176</f>
        <v/>
      </c>
      <c r="R1177" s="64" t="str">
        <f>Ringkasan!R1176</f>
        <v/>
      </c>
      <c r="S1177" s="64" t="str">
        <f>Ringkasan!S1176</f>
        <v/>
      </c>
      <c r="T1177" s="64" t="str">
        <f>Ringkasan!T1176</f>
        <v/>
      </c>
      <c r="U1177" s="64">
        <f>Ringkasan!U1176</f>
        <v>2470</v>
      </c>
      <c r="V1177" s="64" t="str">
        <f>Ringkasan!V1176</f>
        <v/>
      </c>
      <c r="W1177" s="64">
        <f>Ringkasan!W1176</f>
        <v>2520</v>
      </c>
      <c r="X1177" s="64" t="str">
        <f>Ringkasan!X1176</f>
        <v/>
      </c>
      <c r="Y1177" s="64">
        <f>Ringkasan!Y1176</f>
        <v>2520</v>
      </c>
      <c r="Z1177" s="64" t="str">
        <f>Ringkasan!Z1176</f>
        <v/>
      </c>
      <c r="AA1177" s="64" t="str">
        <f>Ringkasan!AA1176</f>
        <v>Metals &amp; Minerals</v>
      </c>
      <c r="AB1177" s="64" t="str">
        <f>Ringkasan!AB1176</f>
        <v>Basic Materials</v>
      </c>
    </row>
    <row r="1178" hidden="1">
      <c r="A1178" s="64" t="str">
        <f>Ringkasan!A1177</f>
        <v>MDKA</v>
      </c>
      <c r="B1178" s="64" t="str">
        <f>Ringkasan!B1177</f>
        <v>Merdeka Copper Gold Tbk.</v>
      </c>
      <c r="C1178" s="65">
        <f>Ringkasan!C1177</f>
        <v>2540</v>
      </c>
      <c r="D1178" s="64" t="str">
        <f>Ringkasan!D1177</f>
        <v>#N/A</v>
      </c>
      <c r="E1178" s="64" t="str">
        <f>Ringkasan!E1177</f>
        <v>Kompas100</v>
      </c>
      <c r="F1178" s="64" t="str">
        <f>Ringkasan!F1177</f>
        <v>31 Juli 2026</v>
      </c>
      <c r="G1178" s="64">
        <f>Ringkasan!G1177</f>
        <v>11</v>
      </c>
      <c r="H1178" s="19">
        <f>Ringkasan!H1177</f>
        <v>-60.9</v>
      </c>
      <c r="I1178" s="19">
        <f>Ringkasan!I1177</f>
        <v>1.3</v>
      </c>
      <c r="J1178" s="19">
        <f>Ringkasan!J1177</f>
        <v>-2.1</v>
      </c>
      <c r="K1178" s="19">
        <f>Ringkasan!K1177</f>
        <v>-1.1</v>
      </c>
      <c r="L1178" s="19">
        <f>Ringkasan!L1177</f>
        <v>0.95</v>
      </c>
      <c r="M1178" s="19">
        <f>Ringkasan!M1177</f>
        <v>-3.3</v>
      </c>
      <c r="N1178" s="64" t="str">
        <f>Ringkasan!N1177</f>
        <v/>
      </c>
      <c r="O1178" s="64" t="str">
        <f>Ringkasan!O1177</f>
        <v/>
      </c>
      <c r="P1178" s="64" t="str">
        <f>Ringkasan!P1177</f>
        <v/>
      </c>
      <c r="Q1178" s="64" t="str">
        <f>Ringkasan!Q1177</f>
        <v/>
      </c>
      <c r="R1178" s="64" t="str">
        <f>Ringkasan!R1177</f>
        <v/>
      </c>
      <c r="S1178" s="64" t="str">
        <f>Ringkasan!S1177</f>
        <v/>
      </c>
      <c r="T1178" s="64" t="str">
        <f>Ringkasan!T1177</f>
        <v/>
      </c>
      <c r="U1178" s="64">
        <f>Ringkasan!U1177</f>
        <v>2470</v>
      </c>
      <c r="V1178" s="64" t="str">
        <f>Ringkasan!V1177</f>
        <v/>
      </c>
      <c r="W1178" s="64">
        <f>Ringkasan!W1177</f>
        <v>2520</v>
      </c>
      <c r="X1178" s="64" t="str">
        <f>Ringkasan!X1177</f>
        <v/>
      </c>
      <c r="Y1178" s="64">
        <f>Ringkasan!Y1177</f>
        <v>2520</v>
      </c>
      <c r="Z1178" s="64" t="str">
        <f>Ringkasan!Z1177</f>
        <v/>
      </c>
      <c r="AA1178" s="64" t="str">
        <f>Ringkasan!AA1177</f>
        <v>Metals &amp; Minerals</v>
      </c>
      <c r="AB1178" s="64" t="str">
        <f>Ringkasan!AB1177</f>
        <v>Basic Materials</v>
      </c>
    </row>
    <row r="1179" hidden="1">
      <c r="A1179" s="64" t="str">
        <f>Ringkasan!A1178</f>
        <v>MDKA</v>
      </c>
      <c r="B1179" s="64" t="str">
        <f>Ringkasan!B1178</f>
        <v>Merdeka Copper Gold Tbk.</v>
      </c>
      <c r="C1179" s="65">
        <f>Ringkasan!C1178</f>
        <v>2540</v>
      </c>
      <c r="D1179" s="64" t="str">
        <f>Ringkasan!D1178</f>
        <v>#N/A</v>
      </c>
      <c r="E1179" s="64" t="str">
        <f>Ringkasan!E1178</f>
        <v>IDX30</v>
      </c>
      <c r="F1179" s="64" t="str">
        <f>Ringkasan!F1178</f>
        <v>31 Juli 2026</v>
      </c>
      <c r="G1179" s="64">
        <f>Ringkasan!G1178</f>
        <v>11</v>
      </c>
      <c r="H1179" s="19">
        <f>Ringkasan!H1178</f>
        <v>-60.9</v>
      </c>
      <c r="I1179" s="19">
        <f>Ringkasan!I1178</f>
        <v>1.3</v>
      </c>
      <c r="J1179" s="19">
        <f>Ringkasan!J1178</f>
        <v>-2.1</v>
      </c>
      <c r="K1179" s="19">
        <f>Ringkasan!K1178</f>
        <v>-1.1</v>
      </c>
      <c r="L1179" s="19">
        <f>Ringkasan!L1178</f>
        <v>0.95</v>
      </c>
      <c r="M1179" s="19">
        <f>Ringkasan!M1178</f>
        <v>-3.3</v>
      </c>
      <c r="N1179" s="64" t="str">
        <f>Ringkasan!N1178</f>
        <v/>
      </c>
      <c r="O1179" s="64" t="str">
        <f>Ringkasan!O1178</f>
        <v/>
      </c>
      <c r="P1179" s="64" t="str">
        <f>Ringkasan!P1178</f>
        <v/>
      </c>
      <c r="Q1179" s="64" t="str">
        <f>Ringkasan!Q1178</f>
        <v/>
      </c>
      <c r="R1179" s="64" t="str">
        <f>Ringkasan!R1178</f>
        <v/>
      </c>
      <c r="S1179" s="64" t="str">
        <f>Ringkasan!S1178</f>
        <v/>
      </c>
      <c r="T1179" s="64" t="str">
        <f>Ringkasan!T1178</f>
        <v/>
      </c>
      <c r="U1179" s="64">
        <f>Ringkasan!U1178</f>
        <v>2470</v>
      </c>
      <c r="V1179" s="64" t="str">
        <f>Ringkasan!V1178</f>
        <v/>
      </c>
      <c r="W1179" s="64">
        <f>Ringkasan!W1178</f>
        <v>2520</v>
      </c>
      <c r="X1179" s="64" t="str">
        <f>Ringkasan!X1178</f>
        <v/>
      </c>
      <c r="Y1179" s="64">
        <f>Ringkasan!Y1178</f>
        <v>2520</v>
      </c>
      <c r="Z1179" s="64" t="str">
        <f>Ringkasan!Z1178</f>
        <v/>
      </c>
      <c r="AA1179" s="64" t="str">
        <f>Ringkasan!AA1178</f>
        <v>Metals &amp; Minerals</v>
      </c>
      <c r="AB1179" s="64" t="str">
        <f>Ringkasan!AB1178</f>
        <v>Basic Materials</v>
      </c>
    </row>
    <row r="1180" hidden="1">
      <c r="A1180" s="64" t="str">
        <f>Ringkasan!A1179</f>
        <v>MDKA</v>
      </c>
      <c r="B1180" s="64" t="str">
        <f>Ringkasan!B1179</f>
        <v>Merdeka Copper Gold Tbk.</v>
      </c>
      <c r="C1180" s="65">
        <f>Ringkasan!C1179</f>
        <v>2540</v>
      </c>
      <c r="D1180" s="64" t="str">
        <f>Ringkasan!D1179</f>
        <v>#N/A</v>
      </c>
      <c r="E1180" s="64" t="str">
        <f>Ringkasan!E1179</f>
        <v>ECONOMIC30</v>
      </c>
      <c r="F1180" s="64" t="str">
        <f>Ringkasan!F1179</f>
        <v>31 Agustus 2026</v>
      </c>
      <c r="G1180" s="64">
        <f>Ringkasan!G1179</f>
        <v>11</v>
      </c>
      <c r="H1180" s="19">
        <f>Ringkasan!H1179</f>
        <v>-60.9</v>
      </c>
      <c r="I1180" s="19">
        <f>Ringkasan!I1179</f>
        <v>1.3</v>
      </c>
      <c r="J1180" s="19">
        <f>Ringkasan!J1179</f>
        <v>-2.1</v>
      </c>
      <c r="K1180" s="19">
        <f>Ringkasan!K1179</f>
        <v>-1.1</v>
      </c>
      <c r="L1180" s="19">
        <f>Ringkasan!L1179</f>
        <v>0.95</v>
      </c>
      <c r="M1180" s="19">
        <f>Ringkasan!M1179</f>
        <v>-3.3</v>
      </c>
      <c r="N1180" s="64" t="str">
        <f>Ringkasan!N1179</f>
        <v/>
      </c>
      <c r="O1180" s="64" t="str">
        <f>Ringkasan!O1179</f>
        <v/>
      </c>
      <c r="P1180" s="64" t="str">
        <f>Ringkasan!P1179</f>
        <v/>
      </c>
      <c r="Q1180" s="64" t="str">
        <f>Ringkasan!Q1179</f>
        <v/>
      </c>
      <c r="R1180" s="64" t="str">
        <f>Ringkasan!R1179</f>
        <v/>
      </c>
      <c r="S1180" s="64" t="str">
        <f>Ringkasan!S1179</f>
        <v/>
      </c>
      <c r="T1180" s="64" t="str">
        <f>Ringkasan!T1179</f>
        <v/>
      </c>
      <c r="U1180" s="64">
        <f>Ringkasan!U1179</f>
        <v>2470</v>
      </c>
      <c r="V1180" s="64" t="str">
        <f>Ringkasan!V1179</f>
        <v/>
      </c>
      <c r="W1180" s="64">
        <f>Ringkasan!W1179</f>
        <v>2520</v>
      </c>
      <c r="X1180" s="64" t="str">
        <f>Ringkasan!X1179</f>
        <v/>
      </c>
      <c r="Y1180" s="64">
        <f>Ringkasan!Y1179</f>
        <v>2520</v>
      </c>
      <c r="Z1180" s="64" t="str">
        <f>Ringkasan!Z1179</f>
        <v/>
      </c>
      <c r="AA1180" s="64" t="str">
        <f>Ringkasan!AA1179</f>
        <v>Metals &amp; Minerals</v>
      </c>
      <c r="AB1180" s="64" t="str">
        <f>Ringkasan!AB1179</f>
        <v>Basic Materials</v>
      </c>
    </row>
    <row r="1181" hidden="1">
      <c r="A1181" s="64" t="str">
        <f>Ringkasan!A1180</f>
        <v>MDKA</v>
      </c>
      <c r="B1181" s="64" t="str">
        <f>Ringkasan!B1180</f>
        <v>Merdeka Copper Gold Tbk.</v>
      </c>
      <c r="C1181" s="65">
        <f>Ringkasan!C1180</f>
        <v>2540</v>
      </c>
      <c r="D1181" s="64" t="str">
        <f>Ringkasan!D1180</f>
        <v>#N/A</v>
      </c>
      <c r="E1181" s="64" t="str">
        <f>Ringkasan!E1180</f>
        <v>FTSE Large Cap</v>
      </c>
      <c r="F1181" s="64" t="str">
        <f>Ringkasan!F1180</f>
        <v>Juni 2026</v>
      </c>
      <c r="G1181" s="64">
        <f>Ringkasan!G1180</f>
        <v>11</v>
      </c>
      <c r="H1181" s="19">
        <f>Ringkasan!H1180</f>
        <v>-60.9</v>
      </c>
      <c r="I1181" s="19">
        <f>Ringkasan!I1180</f>
        <v>1.3</v>
      </c>
      <c r="J1181" s="19">
        <f>Ringkasan!J1180</f>
        <v>-2.1</v>
      </c>
      <c r="K1181" s="19">
        <f>Ringkasan!K1180</f>
        <v>-1.1</v>
      </c>
      <c r="L1181" s="19">
        <f>Ringkasan!L1180</f>
        <v>0.95</v>
      </c>
      <c r="M1181" s="19">
        <f>Ringkasan!M1180</f>
        <v>-3.3</v>
      </c>
      <c r="N1181" s="64" t="str">
        <f>Ringkasan!N1180</f>
        <v/>
      </c>
      <c r="O1181" s="64" t="str">
        <f>Ringkasan!O1180</f>
        <v/>
      </c>
      <c r="P1181" s="64" t="str">
        <f>Ringkasan!P1180</f>
        <v/>
      </c>
      <c r="Q1181" s="64" t="str">
        <f>Ringkasan!Q1180</f>
        <v/>
      </c>
      <c r="R1181" s="64" t="str">
        <f>Ringkasan!R1180</f>
        <v/>
      </c>
      <c r="S1181" s="64" t="str">
        <f>Ringkasan!S1180</f>
        <v/>
      </c>
      <c r="T1181" s="64" t="str">
        <f>Ringkasan!T1180</f>
        <v/>
      </c>
      <c r="U1181" s="64">
        <f>Ringkasan!U1180</f>
        <v>2470</v>
      </c>
      <c r="V1181" s="64" t="str">
        <f>Ringkasan!V1180</f>
        <v/>
      </c>
      <c r="W1181" s="64">
        <f>Ringkasan!W1180</f>
        <v>2520</v>
      </c>
      <c r="X1181" s="64" t="str">
        <f>Ringkasan!X1180</f>
        <v/>
      </c>
      <c r="Y1181" s="64">
        <f>Ringkasan!Y1180</f>
        <v>2520</v>
      </c>
      <c r="Z1181" s="64" t="str">
        <f>Ringkasan!Z1180</f>
        <v/>
      </c>
      <c r="AA1181" s="64" t="str">
        <f>Ringkasan!AA1180</f>
        <v>Metals &amp; Minerals</v>
      </c>
      <c r="AB1181" s="64" t="str">
        <f>Ringkasan!AB1180</f>
        <v>Basic Materials</v>
      </c>
    </row>
    <row r="1182" hidden="1">
      <c r="A1182" s="64" t="str">
        <f>Ringkasan!A1181</f>
        <v>MDKA</v>
      </c>
      <c r="B1182" s="64" t="str">
        <f>Ringkasan!B1181</f>
        <v>Merdeka Copper Gold Tbk.</v>
      </c>
      <c r="C1182" s="65">
        <f>Ringkasan!C1181</f>
        <v>2540</v>
      </c>
      <c r="D1182" s="64" t="str">
        <f>Ringkasan!D1181</f>
        <v>#N/A</v>
      </c>
      <c r="E1182" s="64" t="str">
        <f>Ringkasan!E1181</f>
        <v>MSCI Small Cap</v>
      </c>
      <c r="F1182" s="64" t="str">
        <f>Ringkasan!F1181</f>
        <v>12 Agustus 2026</v>
      </c>
      <c r="G1182" s="64">
        <f>Ringkasan!G1181</f>
        <v>11</v>
      </c>
      <c r="H1182" s="19">
        <f>Ringkasan!H1181</f>
        <v>-60.9</v>
      </c>
      <c r="I1182" s="19">
        <f>Ringkasan!I1181</f>
        <v>1.3</v>
      </c>
      <c r="J1182" s="19">
        <f>Ringkasan!J1181</f>
        <v>-2.1</v>
      </c>
      <c r="K1182" s="19">
        <f>Ringkasan!K1181</f>
        <v>-1.1</v>
      </c>
      <c r="L1182" s="19">
        <f>Ringkasan!L1181</f>
        <v>0.95</v>
      </c>
      <c r="M1182" s="19">
        <f>Ringkasan!M1181</f>
        <v>-3.3</v>
      </c>
      <c r="N1182" s="64" t="str">
        <f>Ringkasan!N1181</f>
        <v/>
      </c>
      <c r="O1182" s="64" t="str">
        <f>Ringkasan!O1181</f>
        <v/>
      </c>
      <c r="P1182" s="64" t="str">
        <f>Ringkasan!P1181</f>
        <v/>
      </c>
      <c r="Q1182" s="64" t="str">
        <f>Ringkasan!Q1181</f>
        <v/>
      </c>
      <c r="R1182" s="64" t="str">
        <f>Ringkasan!R1181</f>
        <v/>
      </c>
      <c r="S1182" s="64" t="str">
        <f>Ringkasan!S1181</f>
        <v/>
      </c>
      <c r="T1182" s="64" t="str">
        <f>Ringkasan!T1181</f>
        <v/>
      </c>
      <c r="U1182" s="64">
        <f>Ringkasan!U1181</f>
        <v>2470</v>
      </c>
      <c r="V1182" s="64" t="str">
        <f>Ringkasan!V1181</f>
        <v/>
      </c>
      <c r="W1182" s="64">
        <f>Ringkasan!W1181</f>
        <v>2520</v>
      </c>
      <c r="X1182" s="64" t="str">
        <f>Ringkasan!X1181</f>
        <v/>
      </c>
      <c r="Y1182" s="64">
        <f>Ringkasan!Y1181</f>
        <v>2520</v>
      </c>
      <c r="Z1182" s="64" t="str">
        <f>Ringkasan!Z1181</f>
        <v/>
      </c>
      <c r="AA1182" s="64" t="str">
        <f>Ringkasan!AA1181</f>
        <v>Metals &amp; Minerals</v>
      </c>
      <c r="AB1182" s="64" t="str">
        <f>Ringkasan!AB1181</f>
        <v>Basic Materials</v>
      </c>
    </row>
    <row r="1183" hidden="1">
      <c r="A1183" s="64" t="str">
        <f>Ringkasan!A1182</f>
        <v>MDKA</v>
      </c>
      <c r="B1183" s="64" t="str">
        <f>Ringkasan!B1182</f>
        <v>Merdeka Copper Gold Tbk.</v>
      </c>
      <c r="C1183" s="65">
        <f>Ringkasan!C1182</f>
        <v>2540</v>
      </c>
      <c r="D1183" s="64" t="str">
        <f>Ringkasan!D1182</f>
        <v>#N/A</v>
      </c>
      <c r="E1183" s="64" t="str">
        <f>Ringkasan!E1182</f>
        <v>JII70</v>
      </c>
      <c r="F1183" s="66">
        <f>Ringkasan!F1182</f>
        <v>46356</v>
      </c>
      <c r="G1183" s="64">
        <f>Ringkasan!G1182</f>
        <v>11</v>
      </c>
      <c r="H1183" s="19">
        <f>Ringkasan!H1182</f>
        <v>-60.9</v>
      </c>
      <c r="I1183" s="19">
        <f>Ringkasan!I1182</f>
        <v>1.3</v>
      </c>
      <c r="J1183" s="19">
        <f>Ringkasan!J1182</f>
        <v>-2.1</v>
      </c>
      <c r="K1183" s="19">
        <f>Ringkasan!K1182</f>
        <v>-1.1</v>
      </c>
      <c r="L1183" s="19">
        <f>Ringkasan!L1182</f>
        <v>0.95</v>
      </c>
      <c r="M1183" s="19">
        <f>Ringkasan!M1182</f>
        <v>-3.3</v>
      </c>
      <c r="N1183" s="64" t="str">
        <f>Ringkasan!N1182</f>
        <v/>
      </c>
      <c r="O1183" s="64" t="str">
        <f>Ringkasan!O1182</f>
        <v/>
      </c>
      <c r="P1183" s="64" t="str">
        <f>Ringkasan!P1182</f>
        <v/>
      </c>
      <c r="Q1183" s="64" t="str">
        <f>Ringkasan!Q1182</f>
        <v/>
      </c>
      <c r="R1183" s="64" t="str">
        <f>Ringkasan!R1182</f>
        <v/>
      </c>
      <c r="S1183" s="64" t="str">
        <f>Ringkasan!S1182</f>
        <v/>
      </c>
      <c r="T1183" s="64" t="str">
        <f>Ringkasan!T1182</f>
        <v/>
      </c>
      <c r="U1183" s="64">
        <f>Ringkasan!U1182</f>
        <v>2470</v>
      </c>
      <c r="V1183" s="64" t="str">
        <f>Ringkasan!V1182</f>
        <v/>
      </c>
      <c r="W1183" s="64">
        <f>Ringkasan!W1182</f>
        <v>2520</v>
      </c>
      <c r="X1183" s="64" t="str">
        <f>Ringkasan!X1182</f>
        <v/>
      </c>
      <c r="Y1183" s="64">
        <f>Ringkasan!Y1182</f>
        <v>2520</v>
      </c>
      <c r="Z1183" s="64" t="str">
        <f>Ringkasan!Z1182</f>
        <v/>
      </c>
      <c r="AA1183" s="64" t="str">
        <f>Ringkasan!AA1182</f>
        <v>Metals &amp; Minerals</v>
      </c>
      <c r="AB1183" s="64" t="str">
        <f>Ringkasan!AB1182</f>
        <v>Basic Materials</v>
      </c>
    </row>
    <row r="1184" hidden="1">
      <c r="A1184" s="64" t="str">
        <f>Ringkasan!A1183</f>
        <v>MDKI</v>
      </c>
      <c r="B1184" s="64" t="str">
        <f>Ringkasan!B1183</f>
        <v>Emdeki Utama Tbk.</v>
      </c>
      <c r="C1184" s="65">
        <f>Ringkasan!C1183</f>
        <v>178</v>
      </c>
      <c r="D1184" s="64" t="str">
        <f>Ringkasan!D1183</f>
        <v>#N/A</v>
      </c>
      <c r="E1184" s="64" t="str">
        <f>Ringkasan!E1183</f>
        <v/>
      </c>
      <c r="F1184" s="64" t="str">
        <f>Ringkasan!F1183</f>
        <v/>
      </c>
      <c r="G1184" s="64">
        <f>Ringkasan!G1183</f>
        <v>0</v>
      </c>
      <c r="H1184" s="19">
        <f>Ringkasan!H1183</f>
        <v>15.4</v>
      </c>
      <c r="I1184" s="19">
        <f>Ringkasan!I1183</f>
        <v>0.47</v>
      </c>
      <c r="J1184" s="19">
        <f>Ringkasan!J1183</f>
        <v>3.1</v>
      </c>
      <c r="K1184" s="19">
        <f>Ringkasan!K1183</f>
        <v>2.9</v>
      </c>
      <c r="L1184" s="19">
        <f>Ringkasan!L1183</f>
        <v>0.07</v>
      </c>
      <c r="M1184" s="19">
        <f>Ringkasan!M1183</f>
        <v>42.9</v>
      </c>
      <c r="N1184" s="64" t="str">
        <f>Ringkasan!N1183</f>
        <v/>
      </c>
      <c r="O1184" s="64" t="str">
        <f>Ringkasan!O1183</f>
        <v/>
      </c>
      <c r="P1184" s="64" t="str">
        <f>Ringkasan!P1183</f>
        <v/>
      </c>
      <c r="Q1184" s="64" t="str">
        <f>Ringkasan!Q1183</f>
        <v/>
      </c>
      <c r="R1184" s="64" t="str">
        <f>Ringkasan!R1183</f>
        <v/>
      </c>
      <c r="S1184" s="64" t="str">
        <f>Ringkasan!S1183</f>
        <v/>
      </c>
      <c r="T1184" s="64" t="str">
        <f>Ringkasan!T1183</f>
        <v/>
      </c>
      <c r="U1184" s="64">
        <f>Ringkasan!U1183</f>
        <v>173</v>
      </c>
      <c r="V1184" s="64">
        <f>Ringkasan!V1183</f>
        <v>2.89</v>
      </c>
      <c r="W1184" s="64">
        <f>Ringkasan!W1183</f>
        <v>171</v>
      </c>
      <c r="X1184" s="64">
        <f>Ringkasan!X1183</f>
        <v>178</v>
      </c>
      <c r="Y1184" s="64">
        <f>Ringkasan!Y1183</f>
        <v>171</v>
      </c>
      <c r="Z1184" s="64">
        <f>Ringkasan!Z1183</f>
        <v>90200</v>
      </c>
      <c r="AA1184" s="64" t="str">
        <f>Ringkasan!AA1183</f>
        <v>Chemicals</v>
      </c>
      <c r="AB1184" s="64" t="str">
        <f>Ringkasan!AB1183</f>
        <v>Basic Materials</v>
      </c>
    </row>
    <row r="1185" hidden="1">
      <c r="A1185" s="64" t="str">
        <f>Ringkasan!A1184</f>
        <v>MDLA</v>
      </c>
      <c r="B1185" s="64" t="str">
        <f>Ringkasan!B1184</f>
        <v>Medela Potentia Tbk.</v>
      </c>
      <c r="C1185" s="65">
        <f>Ringkasan!C1184</f>
        <v>200</v>
      </c>
      <c r="D1185" s="64" t="str">
        <f>Ringkasan!D1184</f>
        <v>#N/A</v>
      </c>
      <c r="E1185" s="64" t="str">
        <f>Ringkasan!E1184</f>
        <v/>
      </c>
      <c r="F1185" s="64" t="str">
        <f>Ringkasan!F1184</f>
        <v/>
      </c>
      <c r="G1185" s="64">
        <f>Ringkasan!G1184</f>
        <v>0</v>
      </c>
      <c r="H1185" s="19">
        <f>Ringkasan!H1184</f>
        <v>7.2</v>
      </c>
      <c r="I1185" s="19">
        <f>Ringkasan!I1184</f>
        <v>0.89</v>
      </c>
      <c r="J1185" s="19">
        <f>Ringkasan!J1184</f>
        <v>12.4</v>
      </c>
      <c r="K1185" s="19">
        <f>Ringkasan!K1184</f>
        <v>5.8</v>
      </c>
      <c r="L1185" s="19">
        <f>Ringkasan!L1184</f>
        <v>1.1</v>
      </c>
      <c r="M1185" s="19">
        <f>Ringkasan!M1184</f>
        <v>9.9</v>
      </c>
      <c r="N1185" s="64" t="str">
        <f>Ringkasan!N1184</f>
        <v/>
      </c>
      <c r="O1185" s="64" t="str">
        <f>Ringkasan!O1184</f>
        <v/>
      </c>
      <c r="P1185" s="64" t="str">
        <f>Ringkasan!P1184</f>
        <v/>
      </c>
      <c r="Q1185" s="64" t="str">
        <f>Ringkasan!Q1184</f>
        <v/>
      </c>
      <c r="R1185" s="64" t="str">
        <f>Ringkasan!R1184</f>
        <v/>
      </c>
      <c r="S1185" s="64" t="str">
        <f>Ringkasan!S1184</f>
        <v/>
      </c>
      <c r="T1185" s="64" t="str">
        <f>Ringkasan!T1184</f>
        <v/>
      </c>
      <c r="U1185" s="64">
        <f>Ringkasan!U1184</f>
        <v>196</v>
      </c>
      <c r="V1185" s="64">
        <f>Ringkasan!V1184</f>
        <v>2.04</v>
      </c>
      <c r="W1185" s="64">
        <f>Ringkasan!W1184</f>
        <v>197</v>
      </c>
      <c r="X1185" s="64">
        <f>Ringkasan!X1184</f>
        <v>202</v>
      </c>
      <c r="Y1185" s="64">
        <f>Ringkasan!Y1184</f>
        <v>197</v>
      </c>
      <c r="Z1185" s="64">
        <f>Ringkasan!Z1184</f>
        <v>2800100</v>
      </c>
      <c r="AA1185" s="64" t="str">
        <f>Ringkasan!AA1184</f>
        <v>Pharmaceuticals</v>
      </c>
      <c r="AB1185" s="64" t="str">
        <f>Ringkasan!AB1184</f>
        <v>Healthcare</v>
      </c>
    </row>
    <row r="1186" hidden="1">
      <c r="A1186" s="64" t="str">
        <f>Ringkasan!A1185</f>
        <v>MDLN</v>
      </c>
      <c r="B1186" s="64" t="str">
        <f>Ringkasan!B1185</f>
        <v>Modernland Realty Tbk.</v>
      </c>
      <c r="C1186" s="65">
        <f>Ringkasan!C1185</f>
        <v>52</v>
      </c>
      <c r="D1186" s="64" t="str">
        <f>Ringkasan!D1185</f>
        <v>#N/A</v>
      </c>
      <c r="E1186" s="64" t="str">
        <f>Ringkasan!E1185</f>
        <v/>
      </c>
      <c r="F1186" s="64" t="str">
        <f>Ringkasan!F1185</f>
        <v/>
      </c>
      <c r="G1186" s="64">
        <f>Ringkasan!G1185</f>
        <v>0</v>
      </c>
      <c r="H1186" s="19">
        <f>Ringkasan!H1185</f>
        <v>-0.84</v>
      </c>
      <c r="I1186" s="19">
        <f>Ringkasan!I1185</f>
        <v>0.18</v>
      </c>
      <c r="J1186" s="19">
        <f>Ringkasan!J1185</f>
        <v>-21.6</v>
      </c>
      <c r="K1186" s="19">
        <f>Ringkasan!K1185</f>
        <v>-5.7</v>
      </c>
      <c r="L1186" s="19">
        <f>Ringkasan!L1185</f>
        <v>2.8</v>
      </c>
      <c r="M1186" s="19">
        <f>Ringkasan!M1185</f>
        <v>-530</v>
      </c>
      <c r="N1186" s="64" t="str">
        <f>Ringkasan!N1185</f>
        <v/>
      </c>
      <c r="O1186" s="64" t="str">
        <f>Ringkasan!O1185</f>
        <v/>
      </c>
      <c r="P1186" s="64" t="str">
        <f>Ringkasan!P1185</f>
        <v/>
      </c>
      <c r="Q1186" s="64" t="str">
        <f>Ringkasan!Q1185</f>
        <v/>
      </c>
      <c r="R1186" s="64" t="str">
        <f>Ringkasan!R1185</f>
        <v/>
      </c>
      <c r="S1186" s="64" t="str">
        <f>Ringkasan!S1185</f>
        <v/>
      </c>
      <c r="T1186" s="64" t="str">
        <f>Ringkasan!T1185</f>
        <v/>
      </c>
      <c r="U1186" s="64">
        <f>Ringkasan!U1185</f>
        <v>37.13</v>
      </c>
      <c r="V1186" s="64">
        <f>Ringkasan!V1185</f>
        <v>-1.4</v>
      </c>
      <c r="W1186" s="64">
        <f>Ringkasan!W1185</f>
        <v>35.94</v>
      </c>
      <c r="X1186" s="64">
        <f>Ringkasan!X1185</f>
        <v>36.74</v>
      </c>
      <c r="Y1186" s="64">
        <f>Ringkasan!Y1185</f>
        <v>34.95</v>
      </c>
      <c r="Z1186" s="64">
        <f>Ringkasan!Z1185</f>
        <v>12484668</v>
      </c>
      <c r="AA1186" s="64" t="str">
        <f>Ringkasan!AA1185</f>
        <v>Real Estate Management &amp; Development</v>
      </c>
      <c r="AB1186" s="64" t="str">
        <f>Ringkasan!AB1185</f>
        <v>Properties &amp; Real Estate</v>
      </c>
    </row>
    <row r="1187" hidden="1">
      <c r="A1187" s="64" t="str">
        <f>Ringkasan!A1186</f>
        <v>MDRN</v>
      </c>
      <c r="B1187" s="64" t="str">
        <f>Ringkasan!B1186</f>
        <v>Modern Internasional Tbk.</v>
      </c>
      <c r="C1187" s="65">
        <f>Ringkasan!C1186</f>
        <v>29</v>
      </c>
      <c r="D1187" s="64" t="str">
        <f>Ringkasan!D1186</f>
        <v>#N/A</v>
      </c>
      <c r="E1187" s="64" t="str">
        <f>Ringkasan!E1186</f>
        <v/>
      </c>
      <c r="F1187" s="64" t="str">
        <f>Ringkasan!F1186</f>
        <v/>
      </c>
      <c r="G1187" s="64">
        <f>Ringkasan!G1186</f>
        <v>0</v>
      </c>
      <c r="H1187" s="19">
        <f>Ringkasan!H1186</f>
        <v>2.4</v>
      </c>
      <c r="I1187" s="19">
        <f>Ringkasan!I1186</f>
        <v>-1.2</v>
      </c>
      <c r="J1187" s="19">
        <f>Ringkasan!J1186</f>
        <v>0</v>
      </c>
      <c r="K1187" s="19">
        <f>Ringkasan!K1186</f>
        <v>59.1</v>
      </c>
      <c r="L1187" s="19">
        <f>Ringkasan!L1186</f>
        <v>-1.9</v>
      </c>
      <c r="M1187" s="19">
        <f>Ringkasan!M1186</f>
        <v>1330</v>
      </c>
      <c r="N1187" s="64" t="str">
        <f>Ringkasan!N1186</f>
        <v/>
      </c>
      <c r="O1187" s="64" t="str">
        <f>Ringkasan!O1186</f>
        <v/>
      </c>
      <c r="P1187" s="64" t="str">
        <f>Ringkasan!P1186</f>
        <v/>
      </c>
      <c r="Q1187" s="64" t="str">
        <f>Ringkasan!Q1186</f>
        <v/>
      </c>
      <c r="R1187" s="64" t="str">
        <f>Ringkasan!R1186</f>
        <v/>
      </c>
      <c r="S1187" s="64" t="str">
        <f>Ringkasan!S1186</f>
        <v/>
      </c>
      <c r="T1187" s="64" t="str">
        <f>Ringkasan!T1186</f>
        <v/>
      </c>
      <c r="U1187" s="64">
        <f>Ringkasan!U1186</f>
        <v>29</v>
      </c>
      <c r="V1187" s="64">
        <f>Ringkasan!V1186</f>
        <v>0</v>
      </c>
      <c r="W1187" s="64">
        <f>Ringkasan!W1186</f>
        <v>28</v>
      </c>
      <c r="X1187" s="64">
        <f>Ringkasan!X1186</f>
        <v>29</v>
      </c>
      <c r="Y1187" s="64">
        <f>Ringkasan!Y1186</f>
        <v>28</v>
      </c>
      <c r="Z1187" s="64">
        <f>Ringkasan!Z1186</f>
        <v>2861800</v>
      </c>
      <c r="AA1187" s="64" t="str">
        <f>Ringkasan!AA1186</f>
        <v>Commercial Services</v>
      </c>
      <c r="AB1187" s="64" t="str">
        <f>Ringkasan!AB1186</f>
        <v>Industrials</v>
      </c>
    </row>
    <row r="1188" hidden="1">
      <c r="A1188" s="64" t="str">
        <f>Ringkasan!A1187</f>
        <v>MEDC</v>
      </c>
      <c r="B1188" s="64" t="str">
        <f>Ringkasan!B1187</f>
        <v>Medco Energi Internasional Tbk.</v>
      </c>
      <c r="C1188" s="65">
        <f>Ringkasan!C1187</f>
        <v>1225</v>
      </c>
      <c r="D1188" s="64" t="str">
        <f>Ringkasan!D1187</f>
        <v>#N/A</v>
      </c>
      <c r="E1188" s="64" t="str">
        <f>Ringkasan!E1187</f>
        <v>ESGQKEHATI</v>
      </c>
      <c r="F1188" s="66">
        <f>Ringkasan!F1187</f>
        <v>46356</v>
      </c>
      <c r="G1188" s="64">
        <f>Ringkasan!G1187</f>
        <v>17</v>
      </c>
      <c r="H1188" s="19">
        <f>Ringkasan!H1187</f>
        <v>11.9</v>
      </c>
      <c r="I1188" s="19">
        <f>Ringkasan!I1187</f>
        <v>0.74</v>
      </c>
      <c r="J1188" s="19">
        <f>Ringkasan!J1187</f>
        <v>6.2</v>
      </c>
      <c r="K1188" s="19">
        <f>Ringkasan!K1187</f>
        <v>1.8</v>
      </c>
      <c r="L1188" s="19">
        <f>Ringkasan!L1187</f>
        <v>2.4</v>
      </c>
      <c r="M1188" s="19">
        <f>Ringkasan!M1187</f>
        <v>22.4</v>
      </c>
      <c r="N1188" s="64" t="str">
        <f>Ringkasan!N1187</f>
        <v/>
      </c>
      <c r="O1188" s="64" t="str">
        <f>Ringkasan!O1187</f>
        <v/>
      </c>
      <c r="P1188" s="64" t="str">
        <f>Ringkasan!P1187</f>
        <v/>
      </c>
      <c r="Q1188" s="64" t="str">
        <f>Ringkasan!Q1187</f>
        <v/>
      </c>
      <c r="R1188" s="64" t="str">
        <f>Ringkasan!R1187</f>
        <v/>
      </c>
      <c r="S1188" s="64" t="str">
        <f>Ringkasan!S1187</f>
        <v/>
      </c>
      <c r="T1188" s="64" t="str">
        <f>Ringkasan!T1187</f>
        <v/>
      </c>
      <c r="U1188" s="64">
        <f>Ringkasan!U1187</f>
        <v>1215</v>
      </c>
      <c r="V1188" s="64" t="str">
        <f>Ringkasan!V1187</f>
        <v/>
      </c>
      <c r="W1188" s="64">
        <f>Ringkasan!W1187</f>
        <v>1185</v>
      </c>
      <c r="X1188" s="64">
        <f>Ringkasan!X1187</f>
        <v>1265</v>
      </c>
      <c r="Y1188" s="64">
        <f>Ringkasan!Y1187</f>
        <v>1185</v>
      </c>
      <c r="Z1188" s="64">
        <f>Ringkasan!Z1187</f>
        <v>96851900</v>
      </c>
      <c r="AA1188" s="64" t="str">
        <f>Ringkasan!AA1187</f>
        <v>Oil &amp; Gas</v>
      </c>
      <c r="AB1188" s="64" t="str">
        <f>Ringkasan!AB1187</f>
        <v>Energy</v>
      </c>
    </row>
    <row r="1189" hidden="1">
      <c r="A1189" s="64" t="str">
        <f>Ringkasan!A1188</f>
        <v>MEDC</v>
      </c>
      <c r="B1189" s="64" t="str">
        <f>Ringkasan!B1188</f>
        <v>Medco Energi Internasional Tbk.</v>
      </c>
      <c r="C1189" s="65">
        <f>Ringkasan!C1188</f>
        <v>1225</v>
      </c>
      <c r="D1189" s="64" t="str">
        <f>Ringkasan!D1188</f>
        <v>#N/A</v>
      </c>
      <c r="E1189" s="64" t="str">
        <f>Ringkasan!E1188</f>
        <v>IDXSHAGROW</v>
      </c>
      <c r="F1189" s="66">
        <f>Ringkasan!F1188</f>
        <v>46356</v>
      </c>
      <c r="G1189" s="64">
        <f>Ringkasan!G1188</f>
        <v>17</v>
      </c>
      <c r="H1189" s="19">
        <f>Ringkasan!H1188</f>
        <v>11.9</v>
      </c>
      <c r="I1189" s="19">
        <f>Ringkasan!I1188</f>
        <v>0.74</v>
      </c>
      <c r="J1189" s="19">
        <f>Ringkasan!J1188</f>
        <v>6.2</v>
      </c>
      <c r="K1189" s="19">
        <f>Ringkasan!K1188</f>
        <v>1.8</v>
      </c>
      <c r="L1189" s="19">
        <f>Ringkasan!L1188</f>
        <v>2.4</v>
      </c>
      <c r="M1189" s="19">
        <f>Ringkasan!M1188</f>
        <v>22.4</v>
      </c>
      <c r="N1189" s="64" t="str">
        <f>Ringkasan!N1188</f>
        <v/>
      </c>
      <c r="O1189" s="64" t="str">
        <f>Ringkasan!O1188</f>
        <v/>
      </c>
      <c r="P1189" s="64" t="str">
        <f>Ringkasan!P1188</f>
        <v/>
      </c>
      <c r="Q1189" s="64" t="str">
        <f>Ringkasan!Q1188</f>
        <v/>
      </c>
      <c r="R1189" s="64" t="str">
        <f>Ringkasan!R1188</f>
        <v/>
      </c>
      <c r="S1189" s="64" t="str">
        <f>Ringkasan!S1188</f>
        <v/>
      </c>
      <c r="T1189" s="64" t="str">
        <f>Ringkasan!T1188</f>
        <v/>
      </c>
      <c r="U1189" s="64">
        <f>Ringkasan!U1188</f>
        <v>1215</v>
      </c>
      <c r="V1189" s="64" t="str">
        <f>Ringkasan!V1188</f>
        <v/>
      </c>
      <c r="W1189" s="64">
        <f>Ringkasan!W1188</f>
        <v>1185</v>
      </c>
      <c r="X1189" s="64">
        <f>Ringkasan!X1188</f>
        <v>1265</v>
      </c>
      <c r="Y1189" s="64">
        <f>Ringkasan!Y1188</f>
        <v>1185</v>
      </c>
      <c r="Z1189" s="64">
        <f>Ringkasan!Z1188</f>
        <v>96851900</v>
      </c>
      <c r="AA1189" s="64" t="str">
        <f>Ringkasan!AA1188</f>
        <v>Oil &amp; Gas</v>
      </c>
      <c r="AB1189" s="64" t="str">
        <f>Ringkasan!AB1188</f>
        <v>Energy</v>
      </c>
    </row>
    <row r="1190" hidden="1">
      <c r="A1190" s="64" t="str">
        <f>Ringkasan!A1189</f>
        <v>MEDC</v>
      </c>
      <c r="B1190" s="64" t="str">
        <f>Ringkasan!B1189</f>
        <v>Medco Energi Internasional Tbk.</v>
      </c>
      <c r="C1190" s="65">
        <f>Ringkasan!C1189</f>
        <v>1225</v>
      </c>
      <c r="D1190" s="64" t="str">
        <f>Ringkasan!D1189</f>
        <v>#N/A</v>
      </c>
      <c r="E1190" s="64" t="str">
        <f>Ringkasan!E1189</f>
        <v>JII30</v>
      </c>
      <c r="F1190" s="66">
        <f>Ringkasan!F1189</f>
        <v>46356</v>
      </c>
      <c r="G1190" s="64">
        <f>Ringkasan!G1189</f>
        <v>17</v>
      </c>
      <c r="H1190" s="19">
        <f>Ringkasan!H1189</f>
        <v>11.9</v>
      </c>
      <c r="I1190" s="19">
        <f>Ringkasan!I1189</f>
        <v>0.74</v>
      </c>
      <c r="J1190" s="19">
        <f>Ringkasan!J1189</f>
        <v>6.2</v>
      </c>
      <c r="K1190" s="19">
        <f>Ringkasan!K1189</f>
        <v>1.8</v>
      </c>
      <c r="L1190" s="19">
        <f>Ringkasan!L1189</f>
        <v>2.4</v>
      </c>
      <c r="M1190" s="19">
        <f>Ringkasan!M1189</f>
        <v>22.4</v>
      </c>
      <c r="N1190" s="64" t="str">
        <f>Ringkasan!N1189</f>
        <v/>
      </c>
      <c r="O1190" s="64" t="str">
        <f>Ringkasan!O1189</f>
        <v/>
      </c>
      <c r="P1190" s="64" t="str">
        <f>Ringkasan!P1189</f>
        <v/>
      </c>
      <c r="Q1190" s="64" t="str">
        <f>Ringkasan!Q1189</f>
        <v/>
      </c>
      <c r="R1190" s="64" t="str">
        <f>Ringkasan!R1189</f>
        <v/>
      </c>
      <c r="S1190" s="64" t="str">
        <f>Ringkasan!S1189</f>
        <v/>
      </c>
      <c r="T1190" s="64" t="str">
        <f>Ringkasan!T1189</f>
        <v/>
      </c>
      <c r="U1190" s="64">
        <f>Ringkasan!U1189</f>
        <v>1215</v>
      </c>
      <c r="V1190" s="64" t="str">
        <f>Ringkasan!V1189</f>
        <v/>
      </c>
      <c r="W1190" s="64">
        <f>Ringkasan!W1189</f>
        <v>1185</v>
      </c>
      <c r="X1190" s="64">
        <f>Ringkasan!X1189</f>
        <v>1265</v>
      </c>
      <c r="Y1190" s="64">
        <f>Ringkasan!Y1189</f>
        <v>1185</v>
      </c>
      <c r="Z1190" s="64">
        <f>Ringkasan!Z1189</f>
        <v>96851900</v>
      </c>
      <c r="AA1190" s="64" t="str">
        <f>Ringkasan!AA1189</f>
        <v>Oil &amp; Gas</v>
      </c>
      <c r="AB1190" s="64" t="str">
        <f>Ringkasan!AB1189</f>
        <v>Energy</v>
      </c>
    </row>
    <row r="1191" hidden="1">
      <c r="A1191" s="64" t="str">
        <f>Ringkasan!A1190</f>
        <v>MEDC</v>
      </c>
      <c r="B1191" s="64" t="str">
        <f>Ringkasan!B1190</f>
        <v>Medco Energi Internasional Tbk.</v>
      </c>
      <c r="C1191" s="65">
        <f>Ringkasan!C1190</f>
        <v>1225</v>
      </c>
      <c r="D1191" s="64" t="str">
        <f>Ringkasan!D1190</f>
        <v>#N/A</v>
      </c>
      <c r="E1191" s="64" t="str">
        <f>Ringkasan!E1190</f>
        <v>ESGSKEHATI</v>
      </c>
      <c r="F1191" s="66">
        <f>Ringkasan!F1190</f>
        <v>46356</v>
      </c>
      <c r="G1191" s="64">
        <f>Ringkasan!G1190</f>
        <v>17</v>
      </c>
      <c r="H1191" s="19">
        <f>Ringkasan!H1190</f>
        <v>11.9</v>
      </c>
      <c r="I1191" s="19">
        <f>Ringkasan!I1190</f>
        <v>0.74</v>
      </c>
      <c r="J1191" s="19">
        <f>Ringkasan!J1190</f>
        <v>6.2</v>
      </c>
      <c r="K1191" s="19">
        <f>Ringkasan!K1190</f>
        <v>1.8</v>
      </c>
      <c r="L1191" s="19">
        <f>Ringkasan!L1190</f>
        <v>2.4</v>
      </c>
      <c r="M1191" s="19">
        <f>Ringkasan!M1190</f>
        <v>22.4</v>
      </c>
      <c r="N1191" s="64" t="str">
        <f>Ringkasan!N1190</f>
        <v/>
      </c>
      <c r="O1191" s="64" t="str">
        <f>Ringkasan!O1190</f>
        <v/>
      </c>
      <c r="P1191" s="64" t="str">
        <f>Ringkasan!P1190</f>
        <v/>
      </c>
      <c r="Q1191" s="64" t="str">
        <f>Ringkasan!Q1190</f>
        <v/>
      </c>
      <c r="R1191" s="64" t="str">
        <f>Ringkasan!R1190</f>
        <v/>
      </c>
      <c r="S1191" s="64" t="str">
        <f>Ringkasan!S1190</f>
        <v/>
      </c>
      <c r="T1191" s="64" t="str">
        <f>Ringkasan!T1190</f>
        <v/>
      </c>
      <c r="U1191" s="64">
        <f>Ringkasan!U1190</f>
        <v>1215</v>
      </c>
      <c r="V1191" s="64" t="str">
        <f>Ringkasan!V1190</f>
        <v/>
      </c>
      <c r="W1191" s="64">
        <f>Ringkasan!W1190</f>
        <v>1185</v>
      </c>
      <c r="X1191" s="64">
        <f>Ringkasan!X1190</f>
        <v>1265</v>
      </c>
      <c r="Y1191" s="64">
        <f>Ringkasan!Y1190</f>
        <v>1185</v>
      </c>
      <c r="Z1191" s="64">
        <f>Ringkasan!Z1190</f>
        <v>96851900</v>
      </c>
      <c r="AA1191" s="64" t="str">
        <f>Ringkasan!AA1190</f>
        <v>Oil &amp; Gas</v>
      </c>
      <c r="AB1191" s="64" t="str">
        <f>Ringkasan!AB1190</f>
        <v>Energy</v>
      </c>
    </row>
    <row r="1192" hidden="1">
      <c r="A1192" s="64" t="str">
        <f>Ringkasan!A1191</f>
        <v>MEDC</v>
      </c>
      <c r="B1192" s="64" t="str">
        <f>Ringkasan!B1191</f>
        <v>Medco Energi Internasional Tbk.</v>
      </c>
      <c r="C1192" s="65">
        <f>Ringkasan!C1191</f>
        <v>1225</v>
      </c>
      <c r="D1192" s="64" t="str">
        <f>Ringkasan!D1191</f>
        <v>#N/A</v>
      </c>
      <c r="E1192" s="64" t="str">
        <f>Ringkasan!E1191</f>
        <v>IDXG30</v>
      </c>
      <c r="F1192" s="64" t="str">
        <f>Ringkasan!F1191</f>
        <v>4 Agustus 2026</v>
      </c>
      <c r="G1192" s="64">
        <f>Ringkasan!G1191</f>
        <v>17</v>
      </c>
      <c r="H1192" s="19">
        <f>Ringkasan!H1191</f>
        <v>11.9</v>
      </c>
      <c r="I1192" s="19">
        <f>Ringkasan!I1191</f>
        <v>0.74</v>
      </c>
      <c r="J1192" s="19">
        <f>Ringkasan!J1191</f>
        <v>6.2</v>
      </c>
      <c r="K1192" s="19">
        <f>Ringkasan!K1191</f>
        <v>1.8</v>
      </c>
      <c r="L1192" s="19">
        <f>Ringkasan!L1191</f>
        <v>2.4</v>
      </c>
      <c r="M1192" s="19">
        <f>Ringkasan!M1191</f>
        <v>22.4</v>
      </c>
      <c r="N1192" s="64" t="str">
        <f>Ringkasan!N1191</f>
        <v/>
      </c>
      <c r="O1192" s="64" t="str">
        <f>Ringkasan!O1191</f>
        <v/>
      </c>
      <c r="P1192" s="64" t="str">
        <f>Ringkasan!P1191</f>
        <v/>
      </c>
      <c r="Q1192" s="64" t="str">
        <f>Ringkasan!Q1191</f>
        <v/>
      </c>
      <c r="R1192" s="64" t="str">
        <f>Ringkasan!R1191</f>
        <v/>
      </c>
      <c r="S1192" s="64" t="str">
        <f>Ringkasan!S1191</f>
        <v/>
      </c>
      <c r="T1192" s="64" t="str">
        <f>Ringkasan!T1191</f>
        <v/>
      </c>
      <c r="U1192" s="64">
        <f>Ringkasan!U1191</f>
        <v>1215</v>
      </c>
      <c r="V1192" s="64" t="str">
        <f>Ringkasan!V1191</f>
        <v/>
      </c>
      <c r="W1192" s="64">
        <f>Ringkasan!W1191</f>
        <v>1185</v>
      </c>
      <c r="X1192" s="64">
        <f>Ringkasan!X1191</f>
        <v>1265</v>
      </c>
      <c r="Y1192" s="64">
        <f>Ringkasan!Y1191</f>
        <v>1185</v>
      </c>
      <c r="Z1192" s="64">
        <f>Ringkasan!Z1191</f>
        <v>96851900</v>
      </c>
      <c r="AA1192" s="64" t="str">
        <f>Ringkasan!AA1191</f>
        <v>Oil &amp; Gas</v>
      </c>
      <c r="AB1192" s="64" t="str">
        <f>Ringkasan!AB1191</f>
        <v>Energy</v>
      </c>
    </row>
    <row r="1193" hidden="1">
      <c r="A1193" s="64" t="str">
        <f>Ringkasan!A1192</f>
        <v>MEDC</v>
      </c>
      <c r="B1193" s="64" t="str">
        <f>Ringkasan!B1192</f>
        <v>Medco Energi Internasional Tbk.</v>
      </c>
      <c r="C1193" s="65">
        <f>Ringkasan!C1192</f>
        <v>1225</v>
      </c>
      <c r="D1193" s="64" t="str">
        <f>Ringkasan!D1192</f>
        <v>#N/A</v>
      </c>
      <c r="E1193" s="64" t="str">
        <f>Ringkasan!E1192</f>
        <v>Pefindo - iGrade</v>
      </c>
      <c r="F1193" s="64" t="str">
        <f>Ringkasan!F1192</f>
        <v>30 Juni 2026</v>
      </c>
      <c r="G1193" s="64">
        <f>Ringkasan!G1192</f>
        <v>17</v>
      </c>
      <c r="H1193" s="19">
        <f>Ringkasan!H1192</f>
        <v>11.9</v>
      </c>
      <c r="I1193" s="19">
        <f>Ringkasan!I1192</f>
        <v>0.74</v>
      </c>
      <c r="J1193" s="19">
        <f>Ringkasan!J1192</f>
        <v>6.2</v>
      </c>
      <c r="K1193" s="19">
        <f>Ringkasan!K1192</f>
        <v>1.8</v>
      </c>
      <c r="L1193" s="19">
        <f>Ringkasan!L1192</f>
        <v>2.4</v>
      </c>
      <c r="M1193" s="19">
        <f>Ringkasan!M1192</f>
        <v>22.4</v>
      </c>
      <c r="N1193" s="64" t="str">
        <f>Ringkasan!N1192</f>
        <v/>
      </c>
      <c r="O1193" s="64" t="str">
        <f>Ringkasan!O1192</f>
        <v/>
      </c>
      <c r="P1193" s="64" t="str">
        <f>Ringkasan!P1192</f>
        <v/>
      </c>
      <c r="Q1193" s="64" t="str">
        <f>Ringkasan!Q1192</f>
        <v/>
      </c>
      <c r="R1193" s="64" t="str">
        <f>Ringkasan!R1192</f>
        <v/>
      </c>
      <c r="S1193" s="64" t="str">
        <f>Ringkasan!S1192</f>
        <v/>
      </c>
      <c r="T1193" s="64" t="str">
        <f>Ringkasan!T1192</f>
        <v/>
      </c>
      <c r="U1193" s="64">
        <f>Ringkasan!U1192</f>
        <v>1215</v>
      </c>
      <c r="V1193" s="64" t="str">
        <f>Ringkasan!V1192</f>
        <v/>
      </c>
      <c r="W1193" s="64">
        <f>Ringkasan!W1192</f>
        <v>1185</v>
      </c>
      <c r="X1193" s="64">
        <f>Ringkasan!X1192</f>
        <v>1265</v>
      </c>
      <c r="Y1193" s="64">
        <f>Ringkasan!Y1192</f>
        <v>1185</v>
      </c>
      <c r="Z1193" s="64">
        <f>Ringkasan!Z1192</f>
        <v>96851900</v>
      </c>
      <c r="AA1193" s="64" t="str">
        <f>Ringkasan!AA1192</f>
        <v>Oil &amp; Gas</v>
      </c>
      <c r="AB1193" s="64" t="str">
        <f>Ringkasan!AB1192</f>
        <v>Energy</v>
      </c>
    </row>
    <row r="1194" hidden="1">
      <c r="A1194" s="64" t="str">
        <f>Ringkasan!A1193</f>
        <v>MEDC</v>
      </c>
      <c r="B1194" s="64" t="str">
        <f>Ringkasan!B1193</f>
        <v>Medco Energi Internasional Tbk.</v>
      </c>
      <c r="C1194" s="65">
        <f>Ringkasan!C1193</f>
        <v>1225</v>
      </c>
      <c r="D1194" s="64" t="str">
        <f>Ringkasan!D1193</f>
        <v>#N/A</v>
      </c>
      <c r="E1194" s="64" t="str">
        <f>Ringkasan!E1193</f>
        <v>LQ45</v>
      </c>
      <c r="F1194" s="64" t="str">
        <f>Ringkasan!F1193</f>
        <v>31 Juli 2026</v>
      </c>
      <c r="G1194" s="64">
        <f>Ringkasan!G1193</f>
        <v>17</v>
      </c>
      <c r="H1194" s="19">
        <f>Ringkasan!H1193</f>
        <v>11.9</v>
      </c>
      <c r="I1194" s="19">
        <f>Ringkasan!I1193</f>
        <v>0.74</v>
      </c>
      <c r="J1194" s="19">
        <f>Ringkasan!J1193</f>
        <v>6.2</v>
      </c>
      <c r="K1194" s="19">
        <f>Ringkasan!K1193</f>
        <v>1.8</v>
      </c>
      <c r="L1194" s="19">
        <f>Ringkasan!L1193</f>
        <v>2.4</v>
      </c>
      <c r="M1194" s="19">
        <f>Ringkasan!M1193</f>
        <v>22.4</v>
      </c>
      <c r="N1194" s="64" t="str">
        <f>Ringkasan!N1193</f>
        <v/>
      </c>
      <c r="O1194" s="64" t="str">
        <f>Ringkasan!O1193</f>
        <v/>
      </c>
      <c r="P1194" s="64" t="str">
        <f>Ringkasan!P1193</f>
        <v/>
      </c>
      <c r="Q1194" s="64" t="str">
        <f>Ringkasan!Q1193</f>
        <v/>
      </c>
      <c r="R1194" s="64" t="str">
        <f>Ringkasan!R1193</f>
        <v/>
      </c>
      <c r="S1194" s="64" t="str">
        <f>Ringkasan!S1193</f>
        <v/>
      </c>
      <c r="T1194" s="64" t="str">
        <f>Ringkasan!T1193</f>
        <v/>
      </c>
      <c r="U1194" s="64">
        <f>Ringkasan!U1193</f>
        <v>1215</v>
      </c>
      <c r="V1194" s="64" t="str">
        <f>Ringkasan!V1193</f>
        <v/>
      </c>
      <c r="W1194" s="64">
        <f>Ringkasan!W1193</f>
        <v>1185</v>
      </c>
      <c r="X1194" s="64">
        <f>Ringkasan!X1193</f>
        <v>1265</v>
      </c>
      <c r="Y1194" s="64">
        <f>Ringkasan!Y1193</f>
        <v>1185</v>
      </c>
      <c r="Z1194" s="64">
        <f>Ringkasan!Z1193</f>
        <v>96851900</v>
      </c>
      <c r="AA1194" s="64" t="str">
        <f>Ringkasan!AA1193</f>
        <v>Oil &amp; Gas</v>
      </c>
      <c r="AB1194" s="64" t="str">
        <f>Ringkasan!AB1193</f>
        <v>Energy</v>
      </c>
    </row>
    <row r="1195" hidden="1">
      <c r="A1195" s="64" t="str">
        <f>Ringkasan!A1194</f>
        <v>MEDC</v>
      </c>
      <c r="B1195" s="64" t="str">
        <f>Ringkasan!B1194</f>
        <v>Medco Energi Internasional Tbk.</v>
      </c>
      <c r="C1195" s="65">
        <f>Ringkasan!C1194</f>
        <v>1225</v>
      </c>
      <c r="D1195" s="64" t="str">
        <f>Ringkasan!D1194</f>
        <v>#N/A</v>
      </c>
      <c r="E1195" s="64" t="str">
        <f>Ringkasan!E1194</f>
        <v>IDX80</v>
      </c>
      <c r="F1195" s="64" t="str">
        <f>Ringkasan!F1194</f>
        <v>31 Juli 2026</v>
      </c>
      <c r="G1195" s="64">
        <f>Ringkasan!G1194</f>
        <v>17</v>
      </c>
      <c r="H1195" s="19">
        <f>Ringkasan!H1194</f>
        <v>11.9</v>
      </c>
      <c r="I1195" s="19">
        <f>Ringkasan!I1194</f>
        <v>0.74</v>
      </c>
      <c r="J1195" s="19">
        <f>Ringkasan!J1194</f>
        <v>6.2</v>
      </c>
      <c r="K1195" s="19">
        <f>Ringkasan!K1194</f>
        <v>1.8</v>
      </c>
      <c r="L1195" s="19">
        <f>Ringkasan!L1194</f>
        <v>2.4</v>
      </c>
      <c r="M1195" s="19">
        <f>Ringkasan!M1194</f>
        <v>22.4</v>
      </c>
      <c r="N1195" s="64" t="str">
        <f>Ringkasan!N1194</f>
        <v/>
      </c>
      <c r="O1195" s="64" t="str">
        <f>Ringkasan!O1194</f>
        <v/>
      </c>
      <c r="P1195" s="64" t="str">
        <f>Ringkasan!P1194</f>
        <v/>
      </c>
      <c r="Q1195" s="64" t="str">
        <f>Ringkasan!Q1194</f>
        <v/>
      </c>
      <c r="R1195" s="64" t="str">
        <f>Ringkasan!R1194</f>
        <v/>
      </c>
      <c r="S1195" s="64" t="str">
        <f>Ringkasan!S1194</f>
        <v/>
      </c>
      <c r="T1195" s="64" t="str">
        <f>Ringkasan!T1194</f>
        <v/>
      </c>
      <c r="U1195" s="64">
        <f>Ringkasan!U1194</f>
        <v>1215</v>
      </c>
      <c r="V1195" s="64" t="str">
        <f>Ringkasan!V1194</f>
        <v/>
      </c>
      <c r="W1195" s="64">
        <f>Ringkasan!W1194</f>
        <v>1185</v>
      </c>
      <c r="X1195" s="64">
        <f>Ringkasan!X1194</f>
        <v>1265</v>
      </c>
      <c r="Y1195" s="64">
        <f>Ringkasan!Y1194</f>
        <v>1185</v>
      </c>
      <c r="Z1195" s="64">
        <f>Ringkasan!Z1194</f>
        <v>96851900</v>
      </c>
      <c r="AA1195" s="64" t="str">
        <f>Ringkasan!AA1194</f>
        <v>Oil &amp; Gas</v>
      </c>
      <c r="AB1195" s="64" t="str">
        <f>Ringkasan!AB1194</f>
        <v>Energy</v>
      </c>
    </row>
    <row r="1196" hidden="1">
      <c r="A1196" s="64" t="str">
        <f>Ringkasan!A1195</f>
        <v>MEDC</v>
      </c>
      <c r="B1196" s="64" t="str">
        <f>Ringkasan!B1195</f>
        <v>Medco Energi Internasional Tbk.</v>
      </c>
      <c r="C1196" s="65">
        <f>Ringkasan!C1195</f>
        <v>1225</v>
      </c>
      <c r="D1196" s="64" t="str">
        <f>Ringkasan!D1195</f>
        <v>#N/A</v>
      </c>
      <c r="E1196" s="64" t="str">
        <f>Ringkasan!E1195</f>
        <v>IDXVESTA28</v>
      </c>
      <c r="F1196" s="64" t="str">
        <f>Ringkasan!F1195</f>
        <v>31 Agustus 2026</v>
      </c>
      <c r="G1196" s="64">
        <f>Ringkasan!G1195</f>
        <v>17</v>
      </c>
      <c r="H1196" s="19">
        <f>Ringkasan!H1195</f>
        <v>11.9</v>
      </c>
      <c r="I1196" s="19">
        <f>Ringkasan!I1195</f>
        <v>0.74</v>
      </c>
      <c r="J1196" s="19">
        <f>Ringkasan!J1195</f>
        <v>6.2</v>
      </c>
      <c r="K1196" s="19">
        <f>Ringkasan!K1195</f>
        <v>1.8</v>
      </c>
      <c r="L1196" s="19">
        <f>Ringkasan!L1195</f>
        <v>2.4</v>
      </c>
      <c r="M1196" s="19">
        <f>Ringkasan!M1195</f>
        <v>22.4</v>
      </c>
      <c r="N1196" s="64" t="str">
        <f>Ringkasan!N1195</f>
        <v/>
      </c>
      <c r="O1196" s="64" t="str">
        <f>Ringkasan!O1195</f>
        <v/>
      </c>
      <c r="P1196" s="64" t="str">
        <f>Ringkasan!P1195</f>
        <v/>
      </c>
      <c r="Q1196" s="64" t="str">
        <f>Ringkasan!Q1195</f>
        <v/>
      </c>
      <c r="R1196" s="64" t="str">
        <f>Ringkasan!R1195</f>
        <v/>
      </c>
      <c r="S1196" s="64" t="str">
        <f>Ringkasan!S1195</f>
        <v/>
      </c>
      <c r="T1196" s="64" t="str">
        <f>Ringkasan!T1195</f>
        <v/>
      </c>
      <c r="U1196" s="64">
        <f>Ringkasan!U1195</f>
        <v>1215</v>
      </c>
      <c r="V1196" s="64" t="str">
        <f>Ringkasan!V1195</f>
        <v/>
      </c>
      <c r="W1196" s="64">
        <f>Ringkasan!W1195</f>
        <v>1185</v>
      </c>
      <c r="X1196" s="64">
        <f>Ringkasan!X1195</f>
        <v>1265</v>
      </c>
      <c r="Y1196" s="64">
        <f>Ringkasan!Y1195</f>
        <v>1185</v>
      </c>
      <c r="Z1196" s="64">
        <f>Ringkasan!Z1195</f>
        <v>96851900</v>
      </c>
      <c r="AA1196" s="64" t="str">
        <f>Ringkasan!AA1195</f>
        <v>Oil &amp; Gas</v>
      </c>
      <c r="AB1196" s="64" t="str">
        <f>Ringkasan!AB1195</f>
        <v>Energy</v>
      </c>
    </row>
    <row r="1197" hidden="1">
      <c r="A1197" s="64" t="str">
        <f>Ringkasan!A1196</f>
        <v>MEDC</v>
      </c>
      <c r="B1197" s="64" t="str">
        <f>Ringkasan!B1196</f>
        <v>Medco Energi Internasional Tbk.</v>
      </c>
      <c r="C1197" s="65">
        <f>Ringkasan!C1196</f>
        <v>1225</v>
      </c>
      <c r="D1197" s="64" t="str">
        <f>Ringkasan!D1196</f>
        <v>#N/A</v>
      </c>
      <c r="E1197" s="64" t="str">
        <f>Ringkasan!E1196</f>
        <v>SMINFRA18</v>
      </c>
      <c r="F1197" s="64" t="str">
        <f>Ringkasan!F1196</f>
        <v>30 Oktober 2026</v>
      </c>
      <c r="G1197" s="64">
        <f>Ringkasan!G1196</f>
        <v>17</v>
      </c>
      <c r="H1197" s="19">
        <f>Ringkasan!H1196</f>
        <v>11.9</v>
      </c>
      <c r="I1197" s="19">
        <f>Ringkasan!I1196</f>
        <v>0.74</v>
      </c>
      <c r="J1197" s="19">
        <f>Ringkasan!J1196</f>
        <v>6.2</v>
      </c>
      <c r="K1197" s="19">
        <f>Ringkasan!K1196</f>
        <v>1.8</v>
      </c>
      <c r="L1197" s="19">
        <f>Ringkasan!L1196</f>
        <v>2.4</v>
      </c>
      <c r="M1197" s="19">
        <f>Ringkasan!M1196</f>
        <v>22.4</v>
      </c>
      <c r="N1197" s="64" t="str">
        <f>Ringkasan!N1196</f>
        <v/>
      </c>
      <c r="O1197" s="64" t="str">
        <f>Ringkasan!O1196</f>
        <v/>
      </c>
      <c r="P1197" s="64" t="str">
        <f>Ringkasan!P1196</f>
        <v/>
      </c>
      <c r="Q1197" s="64" t="str">
        <f>Ringkasan!Q1196</f>
        <v/>
      </c>
      <c r="R1197" s="64" t="str">
        <f>Ringkasan!R1196</f>
        <v/>
      </c>
      <c r="S1197" s="64" t="str">
        <f>Ringkasan!S1196</f>
        <v/>
      </c>
      <c r="T1197" s="64" t="str">
        <f>Ringkasan!T1196</f>
        <v/>
      </c>
      <c r="U1197" s="64">
        <f>Ringkasan!U1196</f>
        <v>1215</v>
      </c>
      <c r="V1197" s="64" t="str">
        <f>Ringkasan!V1196</f>
        <v/>
      </c>
      <c r="W1197" s="64">
        <f>Ringkasan!W1196</f>
        <v>1185</v>
      </c>
      <c r="X1197" s="64">
        <f>Ringkasan!X1196</f>
        <v>1265</v>
      </c>
      <c r="Y1197" s="64">
        <f>Ringkasan!Y1196</f>
        <v>1185</v>
      </c>
      <c r="Z1197" s="64">
        <f>Ringkasan!Z1196</f>
        <v>96851900</v>
      </c>
      <c r="AA1197" s="64" t="str">
        <f>Ringkasan!AA1196</f>
        <v>Oil &amp; Gas</v>
      </c>
      <c r="AB1197" s="64" t="str">
        <f>Ringkasan!AB1196</f>
        <v>Energy</v>
      </c>
    </row>
    <row r="1198" hidden="1">
      <c r="A1198" s="64" t="str">
        <f>Ringkasan!A1197</f>
        <v>MEDC</v>
      </c>
      <c r="B1198" s="64" t="str">
        <f>Ringkasan!B1197</f>
        <v>Medco Energi Internasional Tbk.</v>
      </c>
      <c r="C1198" s="65">
        <f>Ringkasan!C1197</f>
        <v>1225</v>
      </c>
      <c r="D1198" s="64" t="str">
        <f>Ringkasan!D1197</f>
        <v>#N/A</v>
      </c>
      <c r="E1198" s="64" t="str">
        <f>Ringkasan!E1197</f>
        <v>IDX30</v>
      </c>
      <c r="F1198" s="64" t="str">
        <f>Ringkasan!F1197</f>
        <v>31 Juli 2026</v>
      </c>
      <c r="G1198" s="64">
        <f>Ringkasan!G1197</f>
        <v>17</v>
      </c>
      <c r="H1198" s="19">
        <f>Ringkasan!H1197</f>
        <v>11.9</v>
      </c>
      <c r="I1198" s="19">
        <f>Ringkasan!I1197</f>
        <v>0.74</v>
      </c>
      <c r="J1198" s="19">
        <f>Ringkasan!J1197</f>
        <v>6.2</v>
      </c>
      <c r="K1198" s="19">
        <f>Ringkasan!K1197</f>
        <v>1.8</v>
      </c>
      <c r="L1198" s="19">
        <f>Ringkasan!L1197</f>
        <v>2.4</v>
      </c>
      <c r="M1198" s="19">
        <f>Ringkasan!M1197</f>
        <v>22.4</v>
      </c>
      <c r="N1198" s="64" t="str">
        <f>Ringkasan!N1197</f>
        <v/>
      </c>
      <c r="O1198" s="64" t="str">
        <f>Ringkasan!O1197</f>
        <v/>
      </c>
      <c r="P1198" s="64" t="str">
        <f>Ringkasan!P1197</f>
        <v/>
      </c>
      <c r="Q1198" s="64" t="str">
        <f>Ringkasan!Q1197</f>
        <v/>
      </c>
      <c r="R1198" s="64" t="str">
        <f>Ringkasan!R1197</f>
        <v/>
      </c>
      <c r="S1198" s="64" t="str">
        <f>Ringkasan!S1197</f>
        <v/>
      </c>
      <c r="T1198" s="64" t="str">
        <f>Ringkasan!T1197</f>
        <v/>
      </c>
      <c r="U1198" s="64">
        <f>Ringkasan!U1197</f>
        <v>1215</v>
      </c>
      <c r="V1198" s="64" t="str">
        <f>Ringkasan!V1197</f>
        <v/>
      </c>
      <c r="W1198" s="64">
        <f>Ringkasan!W1197</f>
        <v>1185</v>
      </c>
      <c r="X1198" s="64">
        <f>Ringkasan!X1197</f>
        <v>1265</v>
      </c>
      <c r="Y1198" s="64">
        <f>Ringkasan!Y1197</f>
        <v>1185</v>
      </c>
      <c r="Z1198" s="64">
        <f>Ringkasan!Z1197</f>
        <v>96851900</v>
      </c>
      <c r="AA1198" s="64" t="str">
        <f>Ringkasan!AA1197</f>
        <v>Oil &amp; Gas</v>
      </c>
      <c r="AB1198" s="64" t="str">
        <f>Ringkasan!AB1197</f>
        <v>Energy</v>
      </c>
    </row>
    <row r="1199" hidden="1">
      <c r="A1199" s="64" t="str">
        <f>Ringkasan!A1198</f>
        <v>MEDC</v>
      </c>
      <c r="B1199" s="64" t="str">
        <f>Ringkasan!B1198</f>
        <v>Medco Energi Internasional Tbk.</v>
      </c>
      <c r="C1199" s="65">
        <f>Ringkasan!C1198</f>
        <v>1225</v>
      </c>
      <c r="D1199" s="64" t="str">
        <f>Ringkasan!D1198</f>
        <v>#N/A</v>
      </c>
      <c r="E1199" s="64" t="str">
        <f>Ringkasan!E1198</f>
        <v>Kompas100</v>
      </c>
      <c r="F1199" s="64" t="str">
        <f>Ringkasan!F1198</f>
        <v>31 Juli 2026</v>
      </c>
      <c r="G1199" s="64">
        <f>Ringkasan!G1198</f>
        <v>17</v>
      </c>
      <c r="H1199" s="19">
        <f>Ringkasan!H1198</f>
        <v>11.9</v>
      </c>
      <c r="I1199" s="19">
        <f>Ringkasan!I1198</f>
        <v>0.74</v>
      </c>
      <c r="J1199" s="19">
        <f>Ringkasan!J1198</f>
        <v>6.2</v>
      </c>
      <c r="K1199" s="19">
        <f>Ringkasan!K1198</f>
        <v>1.8</v>
      </c>
      <c r="L1199" s="19">
        <f>Ringkasan!L1198</f>
        <v>2.4</v>
      </c>
      <c r="M1199" s="19">
        <f>Ringkasan!M1198</f>
        <v>22.4</v>
      </c>
      <c r="N1199" s="64" t="str">
        <f>Ringkasan!N1198</f>
        <v/>
      </c>
      <c r="O1199" s="64" t="str">
        <f>Ringkasan!O1198</f>
        <v/>
      </c>
      <c r="P1199" s="64" t="str">
        <f>Ringkasan!P1198</f>
        <v/>
      </c>
      <c r="Q1199" s="64" t="str">
        <f>Ringkasan!Q1198</f>
        <v/>
      </c>
      <c r="R1199" s="64" t="str">
        <f>Ringkasan!R1198</f>
        <v/>
      </c>
      <c r="S1199" s="64" t="str">
        <f>Ringkasan!S1198</f>
        <v/>
      </c>
      <c r="T1199" s="64" t="str">
        <f>Ringkasan!T1198</f>
        <v/>
      </c>
      <c r="U1199" s="64">
        <f>Ringkasan!U1198</f>
        <v>1215</v>
      </c>
      <c r="V1199" s="64" t="str">
        <f>Ringkasan!V1198</f>
        <v/>
      </c>
      <c r="W1199" s="64">
        <f>Ringkasan!W1198</f>
        <v>1185</v>
      </c>
      <c r="X1199" s="64">
        <f>Ringkasan!X1198</f>
        <v>1265</v>
      </c>
      <c r="Y1199" s="64">
        <f>Ringkasan!Y1198</f>
        <v>1185</v>
      </c>
      <c r="Z1199" s="64">
        <f>Ringkasan!Z1198</f>
        <v>96851900</v>
      </c>
      <c r="AA1199" s="64" t="str">
        <f>Ringkasan!AA1198</f>
        <v>Oil &amp; Gas</v>
      </c>
      <c r="AB1199" s="64" t="str">
        <f>Ringkasan!AB1198</f>
        <v>Energy</v>
      </c>
    </row>
    <row r="1200" hidden="1">
      <c r="A1200" s="64" t="str">
        <f>Ringkasan!A1199</f>
        <v>MEDC</v>
      </c>
      <c r="B1200" s="64" t="str">
        <f>Ringkasan!B1199</f>
        <v>Medco Energi Internasional Tbk.</v>
      </c>
      <c r="C1200" s="65">
        <f>Ringkasan!C1199</f>
        <v>1225</v>
      </c>
      <c r="D1200" s="64" t="str">
        <f>Ringkasan!D1199</f>
        <v>#N/A</v>
      </c>
      <c r="E1200" s="64" t="str">
        <f>Ringkasan!E1199</f>
        <v>BISNIS-27</v>
      </c>
      <c r="F1200" s="64" t="str">
        <f>Ringkasan!F1199</f>
        <v>30 Oktober 2026</v>
      </c>
      <c r="G1200" s="64">
        <f>Ringkasan!G1199</f>
        <v>17</v>
      </c>
      <c r="H1200" s="19">
        <f>Ringkasan!H1199</f>
        <v>11.9</v>
      </c>
      <c r="I1200" s="19">
        <f>Ringkasan!I1199</f>
        <v>0.74</v>
      </c>
      <c r="J1200" s="19">
        <f>Ringkasan!J1199</f>
        <v>6.2</v>
      </c>
      <c r="K1200" s="19">
        <f>Ringkasan!K1199</f>
        <v>1.8</v>
      </c>
      <c r="L1200" s="19">
        <f>Ringkasan!L1199</f>
        <v>2.4</v>
      </c>
      <c r="M1200" s="19">
        <f>Ringkasan!M1199</f>
        <v>22.4</v>
      </c>
      <c r="N1200" s="64" t="str">
        <f>Ringkasan!N1199</f>
        <v/>
      </c>
      <c r="O1200" s="64" t="str">
        <f>Ringkasan!O1199</f>
        <v/>
      </c>
      <c r="P1200" s="64" t="str">
        <f>Ringkasan!P1199</f>
        <v/>
      </c>
      <c r="Q1200" s="64" t="str">
        <f>Ringkasan!Q1199</f>
        <v/>
      </c>
      <c r="R1200" s="64" t="str">
        <f>Ringkasan!R1199</f>
        <v/>
      </c>
      <c r="S1200" s="64" t="str">
        <f>Ringkasan!S1199</f>
        <v/>
      </c>
      <c r="T1200" s="64" t="str">
        <f>Ringkasan!T1199</f>
        <v/>
      </c>
      <c r="U1200" s="64">
        <f>Ringkasan!U1199</f>
        <v>1215</v>
      </c>
      <c r="V1200" s="64" t="str">
        <f>Ringkasan!V1199</f>
        <v/>
      </c>
      <c r="W1200" s="64">
        <f>Ringkasan!W1199</f>
        <v>1185</v>
      </c>
      <c r="X1200" s="64">
        <f>Ringkasan!X1199</f>
        <v>1265</v>
      </c>
      <c r="Y1200" s="64">
        <f>Ringkasan!Y1199</f>
        <v>1185</v>
      </c>
      <c r="Z1200" s="64">
        <f>Ringkasan!Z1199</f>
        <v>96851900</v>
      </c>
      <c r="AA1200" s="64" t="str">
        <f>Ringkasan!AA1199</f>
        <v>Oil &amp; Gas</v>
      </c>
      <c r="AB1200" s="64" t="str">
        <f>Ringkasan!AB1199</f>
        <v>Energy</v>
      </c>
    </row>
    <row r="1201" hidden="1">
      <c r="A1201" s="64" t="str">
        <f>Ringkasan!A1200</f>
        <v>MEDC</v>
      </c>
      <c r="B1201" s="64" t="str">
        <f>Ringkasan!B1200</f>
        <v>Medco Energi Internasional Tbk.</v>
      </c>
      <c r="C1201" s="65">
        <f>Ringkasan!C1200</f>
        <v>1225</v>
      </c>
      <c r="D1201" s="64" t="str">
        <f>Ringkasan!D1200</f>
        <v>#N/A</v>
      </c>
      <c r="E1201" s="64" t="str">
        <f>Ringkasan!E1200</f>
        <v>IDXV30</v>
      </c>
      <c r="F1201" s="64" t="str">
        <f>Ringkasan!F1200</f>
        <v>4 Agustus 2026</v>
      </c>
      <c r="G1201" s="64">
        <f>Ringkasan!G1200</f>
        <v>17</v>
      </c>
      <c r="H1201" s="19">
        <f>Ringkasan!H1200</f>
        <v>11.9</v>
      </c>
      <c r="I1201" s="19">
        <f>Ringkasan!I1200</f>
        <v>0.74</v>
      </c>
      <c r="J1201" s="19">
        <f>Ringkasan!J1200</f>
        <v>6.2</v>
      </c>
      <c r="K1201" s="19">
        <f>Ringkasan!K1200</f>
        <v>1.8</v>
      </c>
      <c r="L1201" s="19">
        <f>Ringkasan!L1200</f>
        <v>2.4</v>
      </c>
      <c r="M1201" s="19">
        <f>Ringkasan!M1200</f>
        <v>22.4</v>
      </c>
      <c r="N1201" s="64" t="str">
        <f>Ringkasan!N1200</f>
        <v/>
      </c>
      <c r="O1201" s="64" t="str">
        <f>Ringkasan!O1200</f>
        <v/>
      </c>
      <c r="P1201" s="64" t="str">
        <f>Ringkasan!P1200</f>
        <v/>
      </c>
      <c r="Q1201" s="64" t="str">
        <f>Ringkasan!Q1200</f>
        <v/>
      </c>
      <c r="R1201" s="64" t="str">
        <f>Ringkasan!R1200</f>
        <v/>
      </c>
      <c r="S1201" s="64" t="str">
        <f>Ringkasan!S1200</f>
        <v/>
      </c>
      <c r="T1201" s="64" t="str">
        <f>Ringkasan!T1200</f>
        <v/>
      </c>
      <c r="U1201" s="64">
        <f>Ringkasan!U1200</f>
        <v>1215</v>
      </c>
      <c r="V1201" s="64" t="str">
        <f>Ringkasan!V1200</f>
        <v/>
      </c>
      <c r="W1201" s="64">
        <f>Ringkasan!W1200</f>
        <v>1185</v>
      </c>
      <c r="X1201" s="64">
        <f>Ringkasan!X1200</f>
        <v>1265</v>
      </c>
      <c r="Y1201" s="64">
        <f>Ringkasan!Y1200</f>
        <v>1185</v>
      </c>
      <c r="Z1201" s="64">
        <f>Ringkasan!Z1200</f>
        <v>96851900</v>
      </c>
      <c r="AA1201" s="64" t="str">
        <f>Ringkasan!AA1200</f>
        <v>Oil &amp; Gas</v>
      </c>
      <c r="AB1201" s="64" t="str">
        <f>Ringkasan!AB1200</f>
        <v>Energy</v>
      </c>
    </row>
    <row r="1202" hidden="1">
      <c r="A1202" s="64" t="str">
        <f>Ringkasan!A1201</f>
        <v>MEDC</v>
      </c>
      <c r="B1202" s="64" t="str">
        <f>Ringkasan!B1201</f>
        <v>Medco Energi Internasional Tbk.</v>
      </c>
      <c r="C1202" s="65">
        <f>Ringkasan!C1201</f>
        <v>1225</v>
      </c>
      <c r="D1202" s="64" t="str">
        <f>Ringkasan!D1201</f>
        <v>#N/A</v>
      </c>
      <c r="E1202" s="64" t="str">
        <f>Ringkasan!E1201</f>
        <v>IDXSMC-LIQ</v>
      </c>
      <c r="F1202" s="64" t="str">
        <f>Ringkasan!F1201</f>
        <v>4 Agustus 2026</v>
      </c>
      <c r="G1202" s="64">
        <f>Ringkasan!G1201</f>
        <v>17</v>
      </c>
      <c r="H1202" s="19">
        <f>Ringkasan!H1201</f>
        <v>11.9</v>
      </c>
      <c r="I1202" s="19">
        <f>Ringkasan!I1201</f>
        <v>0.74</v>
      </c>
      <c r="J1202" s="19">
        <f>Ringkasan!J1201</f>
        <v>6.2</v>
      </c>
      <c r="K1202" s="19">
        <f>Ringkasan!K1201</f>
        <v>1.8</v>
      </c>
      <c r="L1202" s="19">
        <f>Ringkasan!L1201</f>
        <v>2.4</v>
      </c>
      <c r="M1202" s="19">
        <f>Ringkasan!M1201</f>
        <v>22.4</v>
      </c>
      <c r="N1202" s="64" t="str">
        <f>Ringkasan!N1201</f>
        <v/>
      </c>
      <c r="O1202" s="64" t="str">
        <f>Ringkasan!O1201</f>
        <v/>
      </c>
      <c r="P1202" s="64" t="str">
        <f>Ringkasan!P1201</f>
        <v/>
      </c>
      <c r="Q1202" s="64" t="str">
        <f>Ringkasan!Q1201</f>
        <v/>
      </c>
      <c r="R1202" s="64" t="str">
        <f>Ringkasan!R1201</f>
        <v/>
      </c>
      <c r="S1202" s="64" t="str">
        <f>Ringkasan!S1201</f>
        <v/>
      </c>
      <c r="T1202" s="64" t="str">
        <f>Ringkasan!T1201</f>
        <v/>
      </c>
      <c r="U1202" s="64">
        <f>Ringkasan!U1201</f>
        <v>1215</v>
      </c>
      <c r="V1202" s="64" t="str">
        <f>Ringkasan!V1201</f>
        <v/>
      </c>
      <c r="W1202" s="64">
        <f>Ringkasan!W1201</f>
        <v>1185</v>
      </c>
      <c r="X1202" s="64">
        <f>Ringkasan!X1201</f>
        <v>1265</v>
      </c>
      <c r="Y1202" s="64">
        <f>Ringkasan!Y1201</f>
        <v>1185</v>
      </c>
      <c r="Z1202" s="64">
        <f>Ringkasan!Z1201</f>
        <v>96851900</v>
      </c>
      <c r="AA1202" s="64" t="str">
        <f>Ringkasan!AA1201</f>
        <v>Oil &amp; Gas</v>
      </c>
      <c r="AB1202" s="64" t="str">
        <f>Ringkasan!AB1201</f>
        <v>Energy</v>
      </c>
    </row>
    <row r="1203" hidden="1">
      <c r="A1203" s="64" t="str">
        <f>Ringkasan!A1202</f>
        <v>MEDC</v>
      </c>
      <c r="B1203" s="64" t="str">
        <f>Ringkasan!B1202</f>
        <v>Medco Energi Internasional Tbk.</v>
      </c>
      <c r="C1203" s="65">
        <f>Ringkasan!C1202</f>
        <v>1225</v>
      </c>
      <c r="D1203" s="64" t="str">
        <f>Ringkasan!D1202</f>
        <v>#N/A</v>
      </c>
      <c r="E1203" s="64" t="str">
        <f>Ringkasan!E1202</f>
        <v>MSCI Small Cap</v>
      </c>
      <c r="F1203" s="64" t="str">
        <f>Ringkasan!F1202</f>
        <v>12 Agustus 2026</v>
      </c>
      <c r="G1203" s="64">
        <f>Ringkasan!G1202</f>
        <v>17</v>
      </c>
      <c r="H1203" s="19">
        <f>Ringkasan!H1202</f>
        <v>11.9</v>
      </c>
      <c r="I1203" s="19">
        <f>Ringkasan!I1202</f>
        <v>0.74</v>
      </c>
      <c r="J1203" s="19">
        <f>Ringkasan!J1202</f>
        <v>6.2</v>
      </c>
      <c r="K1203" s="19">
        <f>Ringkasan!K1202</f>
        <v>1.8</v>
      </c>
      <c r="L1203" s="19">
        <f>Ringkasan!L1202</f>
        <v>2.4</v>
      </c>
      <c r="M1203" s="19">
        <f>Ringkasan!M1202</f>
        <v>22.4</v>
      </c>
      <c r="N1203" s="64" t="str">
        <f>Ringkasan!N1202</f>
        <v/>
      </c>
      <c r="O1203" s="64" t="str">
        <f>Ringkasan!O1202</f>
        <v/>
      </c>
      <c r="P1203" s="64" t="str">
        <f>Ringkasan!P1202</f>
        <v/>
      </c>
      <c r="Q1203" s="64" t="str">
        <f>Ringkasan!Q1202</f>
        <v/>
      </c>
      <c r="R1203" s="64" t="str">
        <f>Ringkasan!R1202</f>
        <v/>
      </c>
      <c r="S1203" s="64" t="str">
        <f>Ringkasan!S1202</f>
        <v/>
      </c>
      <c r="T1203" s="64" t="str">
        <f>Ringkasan!T1202</f>
        <v/>
      </c>
      <c r="U1203" s="64">
        <f>Ringkasan!U1202</f>
        <v>1215</v>
      </c>
      <c r="V1203" s="64" t="str">
        <f>Ringkasan!V1202</f>
        <v/>
      </c>
      <c r="W1203" s="64">
        <f>Ringkasan!W1202</f>
        <v>1185</v>
      </c>
      <c r="X1203" s="64">
        <f>Ringkasan!X1202</f>
        <v>1265</v>
      </c>
      <c r="Y1203" s="64">
        <f>Ringkasan!Y1202</f>
        <v>1185</v>
      </c>
      <c r="Z1203" s="64">
        <f>Ringkasan!Z1202</f>
        <v>96851900</v>
      </c>
      <c r="AA1203" s="64" t="str">
        <f>Ringkasan!AA1202</f>
        <v>Oil &amp; Gas</v>
      </c>
      <c r="AB1203" s="64" t="str">
        <f>Ringkasan!AB1202</f>
        <v>Energy</v>
      </c>
    </row>
    <row r="1204" hidden="1">
      <c r="A1204" s="64" t="str">
        <f>Ringkasan!A1203</f>
        <v>MEDC</v>
      </c>
      <c r="B1204" s="64" t="str">
        <f>Ringkasan!B1203</f>
        <v>Medco Energi Internasional Tbk.</v>
      </c>
      <c r="C1204" s="65">
        <f>Ringkasan!C1203</f>
        <v>1225</v>
      </c>
      <c r="D1204" s="64" t="str">
        <f>Ringkasan!D1203</f>
        <v>#N/A</v>
      </c>
      <c r="E1204" s="64" t="str">
        <f>Ringkasan!E1203</f>
        <v>JII70</v>
      </c>
      <c r="F1204" s="66">
        <f>Ringkasan!F1203</f>
        <v>46356</v>
      </c>
      <c r="G1204" s="64">
        <f>Ringkasan!G1203</f>
        <v>17</v>
      </c>
      <c r="H1204" s="19">
        <f>Ringkasan!H1203</f>
        <v>11.9</v>
      </c>
      <c r="I1204" s="19">
        <f>Ringkasan!I1203</f>
        <v>0.74</v>
      </c>
      <c r="J1204" s="19">
        <f>Ringkasan!J1203</f>
        <v>6.2</v>
      </c>
      <c r="K1204" s="19">
        <f>Ringkasan!K1203</f>
        <v>1.8</v>
      </c>
      <c r="L1204" s="19">
        <f>Ringkasan!L1203</f>
        <v>2.4</v>
      </c>
      <c r="M1204" s="19">
        <f>Ringkasan!M1203</f>
        <v>22.4</v>
      </c>
      <c r="N1204" s="64" t="str">
        <f>Ringkasan!N1203</f>
        <v/>
      </c>
      <c r="O1204" s="64" t="str">
        <f>Ringkasan!O1203</f>
        <v/>
      </c>
      <c r="P1204" s="64" t="str">
        <f>Ringkasan!P1203</f>
        <v/>
      </c>
      <c r="Q1204" s="64" t="str">
        <f>Ringkasan!Q1203</f>
        <v/>
      </c>
      <c r="R1204" s="64" t="str">
        <f>Ringkasan!R1203</f>
        <v/>
      </c>
      <c r="S1204" s="64" t="str">
        <f>Ringkasan!S1203</f>
        <v/>
      </c>
      <c r="T1204" s="64" t="str">
        <f>Ringkasan!T1203</f>
        <v/>
      </c>
      <c r="U1204" s="64">
        <f>Ringkasan!U1203</f>
        <v>1215</v>
      </c>
      <c r="V1204" s="64" t="str">
        <f>Ringkasan!V1203</f>
        <v/>
      </c>
      <c r="W1204" s="64">
        <f>Ringkasan!W1203</f>
        <v>1185</v>
      </c>
      <c r="X1204" s="64">
        <f>Ringkasan!X1203</f>
        <v>1265</v>
      </c>
      <c r="Y1204" s="64">
        <f>Ringkasan!Y1203</f>
        <v>1185</v>
      </c>
      <c r="Z1204" s="64">
        <f>Ringkasan!Z1203</f>
        <v>96851900</v>
      </c>
      <c r="AA1204" s="64" t="str">
        <f>Ringkasan!AA1203</f>
        <v>Oil &amp; Gas</v>
      </c>
      <c r="AB1204" s="64" t="str">
        <f>Ringkasan!AB1203</f>
        <v>Energy</v>
      </c>
    </row>
    <row r="1205" hidden="1">
      <c r="A1205" s="64" t="str">
        <f>Ringkasan!A1204</f>
        <v>MEDS</v>
      </c>
      <c r="B1205" s="64" t="str">
        <f>Ringkasan!B1204</f>
        <v>Hetzer Medical Indonesia Tbk.</v>
      </c>
      <c r="C1205" s="65">
        <f>Ringkasan!C1204</f>
        <v>73</v>
      </c>
      <c r="D1205" s="64" t="str">
        <f>Ringkasan!D1204</f>
        <v>#N/A</v>
      </c>
      <c r="E1205" s="64" t="str">
        <f>Ringkasan!E1204</f>
        <v/>
      </c>
      <c r="F1205" s="64" t="str">
        <f>Ringkasan!F1204</f>
        <v/>
      </c>
      <c r="G1205" s="64">
        <f>Ringkasan!G1204</f>
        <v>0</v>
      </c>
      <c r="H1205" s="19">
        <f>Ringkasan!H1204</f>
        <v>-22.5</v>
      </c>
      <c r="I1205" s="19">
        <f>Ringkasan!I1204</f>
        <v>2.9</v>
      </c>
      <c r="J1205" s="19">
        <f>Ringkasan!J1204</f>
        <v>-12.8</v>
      </c>
      <c r="K1205" s="19">
        <f>Ringkasan!K1204</f>
        <v>-9.8</v>
      </c>
      <c r="L1205" s="19">
        <f>Ringkasan!L1204</f>
        <v>0.31</v>
      </c>
      <c r="M1205" s="19">
        <f>Ringkasan!M1204</f>
        <v>-130</v>
      </c>
      <c r="N1205" s="64" t="str">
        <f>Ringkasan!N1204</f>
        <v/>
      </c>
      <c r="O1205" s="64" t="str">
        <f>Ringkasan!O1204</f>
        <v/>
      </c>
      <c r="P1205" s="64" t="str">
        <f>Ringkasan!P1204</f>
        <v/>
      </c>
      <c r="Q1205" s="64" t="str">
        <f>Ringkasan!Q1204</f>
        <v/>
      </c>
      <c r="R1205" s="64" t="str">
        <f>Ringkasan!R1204</f>
        <v/>
      </c>
      <c r="S1205" s="64" t="str">
        <f>Ringkasan!S1204</f>
        <v/>
      </c>
      <c r="T1205" s="64" t="str">
        <f>Ringkasan!T1204</f>
        <v/>
      </c>
      <c r="U1205" s="64">
        <f>Ringkasan!U1204</f>
        <v>69</v>
      </c>
      <c r="V1205" s="64">
        <f>Ringkasan!V1204</f>
        <v>5.8</v>
      </c>
      <c r="W1205" s="64">
        <f>Ringkasan!W1204</f>
        <v>69</v>
      </c>
      <c r="X1205" s="64">
        <f>Ringkasan!X1204</f>
        <v>74</v>
      </c>
      <c r="Y1205" s="64">
        <f>Ringkasan!Y1204</f>
        <v>68</v>
      </c>
      <c r="Z1205" s="64">
        <f>Ringkasan!Z1204</f>
        <v>32076000</v>
      </c>
      <c r="AA1205" s="64" t="str">
        <f>Ringkasan!AA1204</f>
        <v>Healthcare Equipment &amp; Supplies</v>
      </c>
      <c r="AB1205" s="64" t="str">
        <f>Ringkasan!AB1204</f>
        <v>Healthcare</v>
      </c>
    </row>
    <row r="1206" hidden="1">
      <c r="A1206" s="60" t="str">
        <f>Ringkasan!A650</f>
        <v>ELSA</v>
      </c>
      <c r="B1206" s="60" t="str">
        <f>Ringkasan!B650</f>
        <v>Elnusa Tbk.</v>
      </c>
      <c r="C1206" s="61">
        <f>Ringkasan!C650</f>
        <v>620</v>
      </c>
      <c r="D1206" s="60" t="str">
        <f>Ringkasan!D650</f>
        <v>#N/A</v>
      </c>
      <c r="E1206" s="60" t="str">
        <f>Ringkasan!E650</f>
        <v>IDXSMC-LIQ</v>
      </c>
      <c r="F1206" s="60" t="str">
        <f>Ringkasan!F650</f>
        <v>4 Agustus 2026</v>
      </c>
      <c r="G1206" s="60">
        <f>Ringkasan!G650</f>
        <v>10</v>
      </c>
      <c r="H1206" s="62">
        <f>Ringkasan!H650</f>
        <v>6.2</v>
      </c>
      <c r="I1206" s="62">
        <f>Ringkasan!I650</f>
        <v>0.81</v>
      </c>
      <c r="J1206" s="62">
        <f>Ringkasan!J650</f>
        <v>13.1</v>
      </c>
      <c r="K1206" s="62">
        <f>Ringkasan!K650</f>
        <v>6.6</v>
      </c>
      <c r="L1206" s="62">
        <f>Ringkasan!L650</f>
        <v>1</v>
      </c>
      <c r="M1206" s="62">
        <f>Ringkasan!M650</f>
        <v>19.9</v>
      </c>
      <c r="N1206" s="60" t="str">
        <f>Ringkasan!N650</f>
        <v/>
      </c>
      <c r="O1206" s="60" t="str">
        <f>Ringkasan!O650</f>
        <v/>
      </c>
      <c r="P1206" s="60" t="str">
        <f>Ringkasan!P650</f>
        <v/>
      </c>
      <c r="Q1206" s="60" t="str">
        <f>Ringkasan!Q650</f>
        <v/>
      </c>
      <c r="R1206" s="60" t="str">
        <f>Ringkasan!R650</f>
        <v/>
      </c>
      <c r="S1206" s="60" t="str">
        <f>Ringkasan!S650</f>
        <v/>
      </c>
      <c r="T1206" s="60" t="str">
        <f>Ringkasan!T650</f>
        <v/>
      </c>
      <c r="U1206" s="60">
        <f>Ringkasan!U650</f>
        <v>2.24</v>
      </c>
      <c r="V1206" s="60">
        <f>Ringkasan!V650</f>
        <v>0</v>
      </c>
      <c r="W1206" s="60" t="str">
        <f>Ringkasan!W650</f>
        <v/>
      </c>
      <c r="X1206" s="60" t="str">
        <f>Ringkasan!X650</f>
        <v/>
      </c>
      <c r="Y1206" s="60" t="str">
        <f>Ringkasan!Y650</f>
        <v/>
      </c>
      <c r="Z1206" s="60">
        <f>Ringkasan!Z650</f>
        <v>0</v>
      </c>
      <c r="AA1206" s="60" t="str">
        <f>Ringkasan!AA650</f>
        <v>Oil, Gas &amp; Coal Supports</v>
      </c>
      <c r="AB1206" s="64" t="str">
        <f>Ringkasan!AB650</f>
        <v>Energy</v>
      </c>
    </row>
    <row r="1207" hidden="1">
      <c r="A1207" s="64" t="str">
        <f>Ringkasan!A1355</f>
        <v>PGAS</v>
      </c>
      <c r="B1207" s="64" t="str">
        <f>Ringkasan!B1355</f>
        <v>Perusahaan Gas Negara (Persero) Tbk.</v>
      </c>
      <c r="C1207" s="61">
        <f>Ringkasan!C1355</f>
        <v>1530</v>
      </c>
      <c r="D1207" s="60" t="str">
        <f>Ringkasan!D1355</f>
        <v>#N/A</v>
      </c>
      <c r="E1207" s="60" t="str">
        <f>Ringkasan!E1355</f>
        <v>Investor33</v>
      </c>
      <c r="F1207" s="63">
        <f>Ringkasan!F1355</f>
        <v>46356</v>
      </c>
      <c r="G1207" s="60">
        <f>Ringkasan!G1355</f>
        <v>22</v>
      </c>
      <c r="H1207" s="62">
        <f>Ringkasan!H1355</f>
        <v>10.7</v>
      </c>
      <c r="I1207" s="62">
        <f>Ringkasan!I1355</f>
        <v>0.7</v>
      </c>
      <c r="J1207" s="62">
        <f>Ringkasan!J1355</f>
        <v>6.5</v>
      </c>
      <c r="K1207" s="62">
        <f>Ringkasan!K1355</f>
        <v>3.9</v>
      </c>
      <c r="L1207" s="62">
        <f>Ringkasan!L1355</f>
        <v>0.66</v>
      </c>
      <c r="M1207" s="62">
        <f>Ringkasan!M1355</f>
        <v>26.1</v>
      </c>
      <c r="N1207" s="60" t="str">
        <f>Ringkasan!N1355</f>
        <v/>
      </c>
      <c r="O1207" s="60" t="str">
        <f>Ringkasan!O1355</f>
        <v/>
      </c>
      <c r="P1207" s="60" t="str">
        <f>Ringkasan!P1355</f>
        <v/>
      </c>
      <c r="Q1207" s="60" t="str">
        <f>Ringkasan!Q1355</f>
        <v/>
      </c>
      <c r="R1207" s="60" t="str">
        <f>Ringkasan!R1355</f>
        <v/>
      </c>
      <c r="S1207" s="60" t="str">
        <f>Ringkasan!S1355</f>
        <v/>
      </c>
      <c r="T1207" s="60" t="str">
        <f>Ringkasan!T1355</f>
        <v/>
      </c>
      <c r="U1207" s="60">
        <f>Ringkasan!U1355</f>
        <v>1500</v>
      </c>
      <c r="V1207" s="60">
        <f>Ringkasan!V1355</f>
        <v>2</v>
      </c>
      <c r="W1207" s="60">
        <f>Ringkasan!W1355</f>
        <v>1550</v>
      </c>
      <c r="X1207" s="60">
        <f>Ringkasan!X1355</f>
        <v>1560</v>
      </c>
      <c r="Y1207" s="60">
        <f>Ringkasan!Y1355</f>
        <v>1510</v>
      </c>
      <c r="Z1207" s="60" t="str">
        <f>Ringkasan!Z1355</f>
        <v/>
      </c>
      <c r="AA1207" s="60" t="str">
        <f>Ringkasan!AA1355</f>
        <v>Oil &amp; Gas</v>
      </c>
      <c r="AB1207" s="64" t="str">
        <f>Ringkasan!AB1355</f>
        <v>Energy</v>
      </c>
    </row>
    <row r="1208" hidden="1">
      <c r="A1208" s="64" t="str">
        <f>Ringkasan!A1356</f>
        <v>PGAS</v>
      </c>
      <c r="B1208" s="64" t="str">
        <f>Ringkasan!B1356</f>
        <v>Perusahaan Gas Negara (Persero) Tbk.</v>
      </c>
      <c r="C1208" s="61">
        <f>Ringkasan!C1356</f>
        <v>1530</v>
      </c>
      <c r="D1208" s="60" t="str">
        <f>Ringkasan!D1356</f>
        <v>#N/A</v>
      </c>
      <c r="E1208" s="60" t="str">
        <f>Ringkasan!E1356</f>
        <v>JII30</v>
      </c>
      <c r="F1208" s="63">
        <f>Ringkasan!F1356</f>
        <v>46356</v>
      </c>
      <c r="G1208" s="60">
        <f>Ringkasan!G1356</f>
        <v>22</v>
      </c>
      <c r="H1208" s="62">
        <f>Ringkasan!H1356</f>
        <v>10.7</v>
      </c>
      <c r="I1208" s="62">
        <f>Ringkasan!I1356</f>
        <v>0.7</v>
      </c>
      <c r="J1208" s="62">
        <f>Ringkasan!J1356</f>
        <v>6.5</v>
      </c>
      <c r="K1208" s="62">
        <f>Ringkasan!K1356</f>
        <v>3.9</v>
      </c>
      <c r="L1208" s="62">
        <f>Ringkasan!L1356</f>
        <v>0.66</v>
      </c>
      <c r="M1208" s="62">
        <f>Ringkasan!M1356</f>
        <v>26.1</v>
      </c>
      <c r="N1208" s="60" t="str">
        <f>Ringkasan!N1356</f>
        <v/>
      </c>
      <c r="O1208" s="60" t="str">
        <f>Ringkasan!O1356</f>
        <v/>
      </c>
      <c r="P1208" s="60" t="str">
        <f>Ringkasan!P1356</f>
        <v/>
      </c>
      <c r="Q1208" s="60" t="str">
        <f>Ringkasan!Q1356</f>
        <v/>
      </c>
      <c r="R1208" s="60" t="str">
        <f>Ringkasan!R1356</f>
        <v/>
      </c>
      <c r="S1208" s="60" t="str">
        <f>Ringkasan!S1356</f>
        <v/>
      </c>
      <c r="T1208" s="60" t="str">
        <f>Ringkasan!T1356</f>
        <v/>
      </c>
      <c r="U1208" s="60">
        <f>Ringkasan!U1356</f>
        <v>1500</v>
      </c>
      <c r="V1208" s="60">
        <f>Ringkasan!V1356</f>
        <v>2</v>
      </c>
      <c r="W1208" s="60">
        <f>Ringkasan!W1356</f>
        <v>1550</v>
      </c>
      <c r="X1208" s="60">
        <f>Ringkasan!X1356</f>
        <v>1560</v>
      </c>
      <c r="Y1208" s="60">
        <f>Ringkasan!Y1356</f>
        <v>1510</v>
      </c>
      <c r="Z1208" s="60" t="str">
        <f>Ringkasan!Z1356</f>
        <v/>
      </c>
      <c r="AA1208" s="60" t="str">
        <f>Ringkasan!AA1356</f>
        <v>Oil &amp; Gas</v>
      </c>
      <c r="AB1208" s="64" t="str">
        <f>Ringkasan!AB1356</f>
        <v>Energy</v>
      </c>
    </row>
    <row r="1209" hidden="1">
      <c r="A1209" s="64" t="str">
        <f>Ringkasan!A1357</f>
        <v>PGAS</v>
      </c>
      <c r="B1209" s="64" t="str">
        <f>Ringkasan!B1357</f>
        <v>Perusahaan Gas Negara (Persero) Tbk.</v>
      </c>
      <c r="C1209" s="61">
        <f>Ringkasan!C1357</f>
        <v>1530</v>
      </c>
      <c r="D1209" s="60" t="str">
        <f>Ringkasan!D1357</f>
        <v>#N/A</v>
      </c>
      <c r="E1209" s="60" t="str">
        <f>Ringkasan!E1357</f>
        <v>ESGSKEHATI</v>
      </c>
      <c r="F1209" s="63">
        <f>Ringkasan!F1357</f>
        <v>46356</v>
      </c>
      <c r="G1209" s="60">
        <f>Ringkasan!G1357</f>
        <v>22</v>
      </c>
      <c r="H1209" s="62">
        <f>Ringkasan!H1357</f>
        <v>10.7</v>
      </c>
      <c r="I1209" s="62">
        <f>Ringkasan!I1357</f>
        <v>0.7</v>
      </c>
      <c r="J1209" s="62">
        <f>Ringkasan!J1357</f>
        <v>6.5</v>
      </c>
      <c r="K1209" s="62">
        <f>Ringkasan!K1357</f>
        <v>3.9</v>
      </c>
      <c r="L1209" s="62">
        <f>Ringkasan!L1357</f>
        <v>0.66</v>
      </c>
      <c r="M1209" s="62">
        <f>Ringkasan!M1357</f>
        <v>26.1</v>
      </c>
      <c r="N1209" s="60" t="str">
        <f>Ringkasan!N1357</f>
        <v/>
      </c>
      <c r="O1209" s="60" t="str">
        <f>Ringkasan!O1357</f>
        <v/>
      </c>
      <c r="P1209" s="60" t="str">
        <f>Ringkasan!P1357</f>
        <v/>
      </c>
      <c r="Q1209" s="60" t="str">
        <f>Ringkasan!Q1357</f>
        <v/>
      </c>
      <c r="R1209" s="60" t="str">
        <f>Ringkasan!R1357</f>
        <v/>
      </c>
      <c r="S1209" s="60" t="str">
        <f>Ringkasan!S1357</f>
        <v/>
      </c>
      <c r="T1209" s="60" t="str">
        <f>Ringkasan!T1357</f>
        <v/>
      </c>
      <c r="U1209" s="60">
        <f>Ringkasan!U1357</f>
        <v>1500</v>
      </c>
      <c r="V1209" s="60">
        <f>Ringkasan!V1357</f>
        <v>2</v>
      </c>
      <c r="W1209" s="60">
        <f>Ringkasan!W1357</f>
        <v>1550</v>
      </c>
      <c r="X1209" s="60">
        <f>Ringkasan!X1357</f>
        <v>1560</v>
      </c>
      <c r="Y1209" s="60">
        <f>Ringkasan!Y1357</f>
        <v>1510</v>
      </c>
      <c r="Z1209" s="60" t="str">
        <f>Ringkasan!Z1357</f>
        <v/>
      </c>
      <c r="AA1209" s="60" t="str">
        <f>Ringkasan!AA1357</f>
        <v>Oil &amp; Gas</v>
      </c>
      <c r="AB1209" s="64" t="str">
        <f>Ringkasan!AB1357</f>
        <v>Energy</v>
      </c>
    </row>
    <row r="1210" hidden="1">
      <c r="A1210" s="64" t="str">
        <f>Ringkasan!A1358</f>
        <v>PGAS</v>
      </c>
      <c r="B1210" s="64" t="str">
        <f>Ringkasan!B1358</f>
        <v>Perusahaan Gas Negara (Persero) Tbk.</v>
      </c>
      <c r="C1210" s="61">
        <f>Ringkasan!C1358</f>
        <v>1530</v>
      </c>
      <c r="D1210" s="60" t="str">
        <f>Ringkasan!D1358</f>
        <v>#N/A</v>
      </c>
      <c r="E1210" s="60" t="str">
        <f>Ringkasan!E1358</f>
        <v>IDXHIDIV20</v>
      </c>
      <c r="F1210" s="60" t="str">
        <f>Ringkasan!F1358</f>
        <v>2 Februari 2027</v>
      </c>
      <c r="G1210" s="60">
        <f>Ringkasan!G1358</f>
        <v>22</v>
      </c>
      <c r="H1210" s="62">
        <f>Ringkasan!H1358</f>
        <v>10.7</v>
      </c>
      <c r="I1210" s="62">
        <f>Ringkasan!I1358</f>
        <v>0.7</v>
      </c>
      <c r="J1210" s="62">
        <f>Ringkasan!J1358</f>
        <v>6.5</v>
      </c>
      <c r="K1210" s="62">
        <f>Ringkasan!K1358</f>
        <v>3.9</v>
      </c>
      <c r="L1210" s="62">
        <f>Ringkasan!L1358</f>
        <v>0.66</v>
      </c>
      <c r="M1210" s="62">
        <f>Ringkasan!M1358</f>
        <v>26.1</v>
      </c>
      <c r="N1210" s="60" t="str">
        <f>Ringkasan!N1358</f>
        <v/>
      </c>
      <c r="O1210" s="60" t="str">
        <f>Ringkasan!O1358</f>
        <v/>
      </c>
      <c r="P1210" s="60" t="str">
        <f>Ringkasan!P1358</f>
        <v/>
      </c>
      <c r="Q1210" s="60" t="str">
        <f>Ringkasan!Q1358</f>
        <v/>
      </c>
      <c r="R1210" s="60" t="str">
        <f>Ringkasan!R1358</f>
        <v/>
      </c>
      <c r="S1210" s="60" t="str">
        <f>Ringkasan!S1358</f>
        <v/>
      </c>
      <c r="T1210" s="60" t="str">
        <f>Ringkasan!T1358</f>
        <v/>
      </c>
      <c r="U1210" s="60">
        <f>Ringkasan!U1358</f>
        <v>1500</v>
      </c>
      <c r="V1210" s="60">
        <f>Ringkasan!V1358</f>
        <v>2</v>
      </c>
      <c r="W1210" s="60">
        <f>Ringkasan!W1358</f>
        <v>1550</v>
      </c>
      <c r="X1210" s="60">
        <f>Ringkasan!X1358</f>
        <v>1560</v>
      </c>
      <c r="Y1210" s="60">
        <f>Ringkasan!Y1358</f>
        <v>1510</v>
      </c>
      <c r="Z1210" s="60" t="str">
        <f>Ringkasan!Z1358</f>
        <v/>
      </c>
      <c r="AA1210" s="60" t="str">
        <f>Ringkasan!AA1358</f>
        <v>Oil &amp; Gas</v>
      </c>
      <c r="AB1210" s="64" t="str">
        <f>Ringkasan!AB1358</f>
        <v>Energy</v>
      </c>
    </row>
    <row r="1211" hidden="1">
      <c r="A1211" s="64" t="str">
        <f>Ringkasan!A1359</f>
        <v>PGAS</v>
      </c>
      <c r="B1211" s="64" t="str">
        <f>Ringkasan!B1359</f>
        <v>Perusahaan Gas Negara (Persero) Tbk.</v>
      </c>
      <c r="C1211" s="61">
        <f>Ringkasan!C1359</f>
        <v>1530</v>
      </c>
      <c r="D1211" s="60" t="str">
        <f>Ringkasan!D1359</f>
        <v>#N/A</v>
      </c>
      <c r="E1211" s="60" t="str">
        <f>Ringkasan!E1359</f>
        <v>IDXG30</v>
      </c>
      <c r="F1211" s="60" t="str">
        <f>Ringkasan!F1359</f>
        <v>4 Agustus 2026</v>
      </c>
      <c r="G1211" s="60">
        <f>Ringkasan!G1359</f>
        <v>22</v>
      </c>
      <c r="H1211" s="62">
        <f>Ringkasan!H1359</f>
        <v>10.7</v>
      </c>
      <c r="I1211" s="62">
        <f>Ringkasan!I1359</f>
        <v>0.7</v>
      </c>
      <c r="J1211" s="62">
        <f>Ringkasan!J1359</f>
        <v>6.5</v>
      </c>
      <c r="K1211" s="62">
        <f>Ringkasan!K1359</f>
        <v>3.9</v>
      </c>
      <c r="L1211" s="62">
        <f>Ringkasan!L1359</f>
        <v>0.66</v>
      </c>
      <c r="M1211" s="62">
        <f>Ringkasan!M1359</f>
        <v>26.1</v>
      </c>
      <c r="N1211" s="60" t="str">
        <f>Ringkasan!N1359</f>
        <v/>
      </c>
      <c r="O1211" s="60" t="str">
        <f>Ringkasan!O1359</f>
        <v/>
      </c>
      <c r="P1211" s="60" t="str">
        <f>Ringkasan!P1359</f>
        <v/>
      </c>
      <c r="Q1211" s="60" t="str">
        <f>Ringkasan!Q1359</f>
        <v/>
      </c>
      <c r="R1211" s="60" t="str">
        <f>Ringkasan!R1359</f>
        <v/>
      </c>
      <c r="S1211" s="60" t="str">
        <f>Ringkasan!S1359</f>
        <v/>
      </c>
      <c r="T1211" s="60" t="str">
        <f>Ringkasan!T1359</f>
        <v/>
      </c>
      <c r="U1211" s="60">
        <f>Ringkasan!U1359</f>
        <v>1500</v>
      </c>
      <c r="V1211" s="60">
        <f>Ringkasan!V1359</f>
        <v>2</v>
      </c>
      <c r="W1211" s="60">
        <f>Ringkasan!W1359</f>
        <v>1550</v>
      </c>
      <c r="X1211" s="60">
        <f>Ringkasan!X1359</f>
        <v>1560</v>
      </c>
      <c r="Y1211" s="60">
        <f>Ringkasan!Y1359</f>
        <v>1510</v>
      </c>
      <c r="Z1211" s="60" t="str">
        <f>Ringkasan!Z1359</f>
        <v/>
      </c>
      <c r="AA1211" s="60" t="str">
        <f>Ringkasan!AA1359</f>
        <v>Oil &amp; Gas</v>
      </c>
      <c r="AB1211" s="64" t="str">
        <f>Ringkasan!AB1359</f>
        <v>Energy</v>
      </c>
    </row>
    <row r="1212" hidden="1">
      <c r="A1212" s="64" t="str">
        <f>Ringkasan!A1360</f>
        <v>PGAS</v>
      </c>
      <c r="B1212" s="64" t="str">
        <f>Ringkasan!B1360</f>
        <v>Perusahaan Gas Negara (Persero) Tbk.</v>
      </c>
      <c r="C1212" s="61">
        <f>Ringkasan!C1360</f>
        <v>1530</v>
      </c>
      <c r="D1212" s="60" t="str">
        <f>Ringkasan!D1360</f>
        <v>#N/A</v>
      </c>
      <c r="E1212" s="60" t="str">
        <f>Ringkasan!E1360</f>
        <v>IDXBUMN20</v>
      </c>
      <c r="F1212" s="60" t="str">
        <f>Ringkasan!F1360</f>
        <v>4 Agustus 2026</v>
      </c>
      <c r="G1212" s="60">
        <f>Ringkasan!G1360</f>
        <v>22</v>
      </c>
      <c r="H1212" s="62">
        <f>Ringkasan!H1360</f>
        <v>10.7</v>
      </c>
      <c r="I1212" s="62">
        <f>Ringkasan!I1360</f>
        <v>0.7</v>
      </c>
      <c r="J1212" s="62">
        <f>Ringkasan!J1360</f>
        <v>6.5</v>
      </c>
      <c r="K1212" s="62">
        <f>Ringkasan!K1360</f>
        <v>3.9</v>
      </c>
      <c r="L1212" s="62">
        <f>Ringkasan!L1360</f>
        <v>0.66</v>
      </c>
      <c r="M1212" s="62">
        <f>Ringkasan!M1360</f>
        <v>26.1</v>
      </c>
      <c r="N1212" s="60" t="str">
        <f>Ringkasan!N1360</f>
        <v/>
      </c>
      <c r="O1212" s="60" t="str">
        <f>Ringkasan!O1360</f>
        <v/>
      </c>
      <c r="P1212" s="60" t="str">
        <f>Ringkasan!P1360</f>
        <v/>
      </c>
      <c r="Q1212" s="60" t="str">
        <f>Ringkasan!Q1360</f>
        <v/>
      </c>
      <c r="R1212" s="60" t="str">
        <f>Ringkasan!R1360</f>
        <v/>
      </c>
      <c r="S1212" s="60" t="str">
        <f>Ringkasan!S1360</f>
        <v/>
      </c>
      <c r="T1212" s="60" t="str">
        <f>Ringkasan!T1360</f>
        <v/>
      </c>
      <c r="U1212" s="60">
        <f>Ringkasan!U1360</f>
        <v>1500</v>
      </c>
      <c r="V1212" s="60">
        <f>Ringkasan!V1360</f>
        <v>2</v>
      </c>
      <c r="W1212" s="60">
        <f>Ringkasan!W1360</f>
        <v>1550</v>
      </c>
      <c r="X1212" s="60">
        <f>Ringkasan!X1360</f>
        <v>1560</v>
      </c>
      <c r="Y1212" s="60">
        <f>Ringkasan!Y1360</f>
        <v>1510</v>
      </c>
      <c r="Z1212" s="60" t="str">
        <f>Ringkasan!Z1360</f>
        <v/>
      </c>
      <c r="AA1212" s="60" t="str">
        <f>Ringkasan!AA1360</f>
        <v>Oil &amp; Gas</v>
      </c>
      <c r="AB1212" s="64" t="str">
        <f>Ringkasan!AB1360</f>
        <v>Energy</v>
      </c>
    </row>
    <row r="1213" hidden="1">
      <c r="A1213" s="64" t="str">
        <f>Ringkasan!A1361</f>
        <v>PGAS</v>
      </c>
      <c r="B1213" s="64" t="str">
        <f>Ringkasan!B1361</f>
        <v>Perusahaan Gas Negara (Persero) Tbk.</v>
      </c>
      <c r="C1213" s="61">
        <f>Ringkasan!C1361</f>
        <v>1530</v>
      </c>
      <c r="D1213" s="60" t="str">
        <f>Ringkasan!D1361</f>
        <v>#N/A</v>
      </c>
      <c r="E1213" s="60" t="str">
        <f>Ringkasan!E1361</f>
        <v>Kompas100</v>
      </c>
      <c r="F1213" s="60" t="str">
        <f>Ringkasan!F1361</f>
        <v>31 Juli 2026</v>
      </c>
      <c r="G1213" s="60">
        <f>Ringkasan!G1361</f>
        <v>22</v>
      </c>
      <c r="H1213" s="62">
        <f>Ringkasan!H1361</f>
        <v>10.7</v>
      </c>
      <c r="I1213" s="62">
        <f>Ringkasan!I1361</f>
        <v>0.7</v>
      </c>
      <c r="J1213" s="62">
        <f>Ringkasan!J1361</f>
        <v>6.5</v>
      </c>
      <c r="K1213" s="62">
        <f>Ringkasan!K1361</f>
        <v>3.9</v>
      </c>
      <c r="L1213" s="62">
        <f>Ringkasan!L1361</f>
        <v>0.66</v>
      </c>
      <c r="M1213" s="62">
        <f>Ringkasan!M1361</f>
        <v>26.1</v>
      </c>
      <c r="N1213" s="60" t="str">
        <f>Ringkasan!N1361</f>
        <v/>
      </c>
      <c r="O1213" s="60" t="str">
        <f>Ringkasan!O1361</f>
        <v/>
      </c>
      <c r="P1213" s="60" t="str">
        <f>Ringkasan!P1361</f>
        <v/>
      </c>
      <c r="Q1213" s="60" t="str">
        <f>Ringkasan!Q1361</f>
        <v/>
      </c>
      <c r="R1213" s="60" t="str">
        <f>Ringkasan!R1361</f>
        <v/>
      </c>
      <c r="S1213" s="60" t="str">
        <f>Ringkasan!S1361</f>
        <v/>
      </c>
      <c r="T1213" s="60" t="str">
        <f>Ringkasan!T1361</f>
        <v/>
      </c>
      <c r="U1213" s="60">
        <f>Ringkasan!U1361</f>
        <v>1500</v>
      </c>
      <c r="V1213" s="60">
        <f>Ringkasan!V1361</f>
        <v>2</v>
      </c>
      <c r="W1213" s="60">
        <f>Ringkasan!W1361</f>
        <v>1550</v>
      </c>
      <c r="X1213" s="60">
        <f>Ringkasan!X1361</f>
        <v>1560</v>
      </c>
      <c r="Y1213" s="60">
        <f>Ringkasan!Y1361</f>
        <v>1510</v>
      </c>
      <c r="Z1213" s="60" t="str">
        <f>Ringkasan!Z1361</f>
        <v/>
      </c>
      <c r="AA1213" s="60" t="str">
        <f>Ringkasan!AA1361</f>
        <v>Oil &amp; Gas</v>
      </c>
      <c r="AB1213" s="64" t="str">
        <f>Ringkasan!AB1361</f>
        <v>Energy</v>
      </c>
    </row>
    <row r="1214" hidden="1">
      <c r="A1214" s="64" t="str">
        <f>Ringkasan!A1362</f>
        <v>PGAS</v>
      </c>
      <c r="B1214" s="64" t="str">
        <f>Ringkasan!B1362</f>
        <v>Perusahaan Gas Negara (Persero) Tbk.</v>
      </c>
      <c r="C1214" s="61">
        <f>Ringkasan!C1362</f>
        <v>1530</v>
      </c>
      <c r="D1214" s="60" t="str">
        <f>Ringkasan!D1362</f>
        <v>#N/A</v>
      </c>
      <c r="E1214" s="60" t="str">
        <f>Ringkasan!E1362</f>
        <v>LQ45</v>
      </c>
      <c r="F1214" s="60" t="str">
        <f>Ringkasan!F1362</f>
        <v>31 Juli 2026</v>
      </c>
      <c r="G1214" s="60">
        <f>Ringkasan!G1362</f>
        <v>22</v>
      </c>
      <c r="H1214" s="62">
        <f>Ringkasan!H1362</f>
        <v>10.7</v>
      </c>
      <c r="I1214" s="62">
        <f>Ringkasan!I1362</f>
        <v>0.7</v>
      </c>
      <c r="J1214" s="62">
        <f>Ringkasan!J1362</f>
        <v>6.5</v>
      </c>
      <c r="K1214" s="62">
        <f>Ringkasan!K1362</f>
        <v>3.9</v>
      </c>
      <c r="L1214" s="62">
        <f>Ringkasan!L1362</f>
        <v>0.66</v>
      </c>
      <c r="M1214" s="62">
        <f>Ringkasan!M1362</f>
        <v>26.1</v>
      </c>
      <c r="N1214" s="60" t="str">
        <f>Ringkasan!N1362</f>
        <v/>
      </c>
      <c r="O1214" s="60" t="str">
        <f>Ringkasan!O1362</f>
        <v/>
      </c>
      <c r="P1214" s="60" t="str">
        <f>Ringkasan!P1362</f>
        <v/>
      </c>
      <c r="Q1214" s="60" t="str">
        <f>Ringkasan!Q1362</f>
        <v/>
      </c>
      <c r="R1214" s="60" t="str">
        <f>Ringkasan!R1362</f>
        <v/>
      </c>
      <c r="S1214" s="60" t="str">
        <f>Ringkasan!S1362</f>
        <v/>
      </c>
      <c r="T1214" s="60" t="str">
        <f>Ringkasan!T1362</f>
        <v/>
      </c>
      <c r="U1214" s="60">
        <f>Ringkasan!U1362</f>
        <v>1500</v>
      </c>
      <c r="V1214" s="60">
        <f>Ringkasan!V1362</f>
        <v>2</v>
      </c>
      <c r="W1214" s="60">
        <f>Ringkasan!W1362</f>
        <v>1550</v>
      </c>
      <c r="X1214" s="60">
        <f>Ringkasan!X1362</f>
        <v>1560</v>
      </c>
      <c r="Y1214" s="60">
        <f>Ringkasan!Y1362</f>
        <v>1510</v>
      </c>
      <c r="Z1214" s="60" t="str">
        <f>Ringkasan!Z1362</f>
        <v/>
      </c>
      <c r="AA1214" s="60" t="str">
        <f>Ringkasan!AA1362</f>
        <v>Oil &amp; Gas</v>
      </c>
      <c r="AB1214" s="64" t="str">
        <f>Ringkasan!AB1362</f>
        <v>Energy</v>
      </c>
    </row>
    <row r="1215" hidden="1">
      <c r="A1215" s="64" t="str">
        <f>Ringkasan!A1363</f>
        <v>PGAS</v>
      </c>
      <c r="B1215" s="64" t="str">
        <f>Ringkasan!B1363</f>
        <v>Perusahaan Gas Negara (Persero) Tbk.</v>
      </c>
      <c r="C1215" s="61">
        <f>Ringkasan!C1363</f>
        <v>1530</v>
      </c>
      <c r="D1215" s="60" t="str">
        <f>Ringkasan!D1363</f>
        <v>#N/A</v>
      </c>
      <c r="E1215" s="60" t="str">
        <f>Ringkasan!E1363</f>
        <v>IDX80</v>
      </c>
      <c r="F1215" s="60" t="str">
        <f>Ringkasan!F1363</f>
        <v>31 Juli 2026</v>
      </c>
      <c r="G1215" s="60">
        <f>Ringkasan!G1363</f>
        <v>22</v>
      </c>
      <c r="H1215" s="62">
        <f>Ringkasan!H1363</f>
        <v>10.7</v>
      </c>
      <c r="I1215" s="62">
        <f>Ringkasan!I1363</f>
        <v>0.7</v>
      </c>
      <c r="J1215" s="62">
        <f>Ringkasan!J1363</f>
        <v>6.5</v>
      </c>
      <c r="K1215" s="62">
        <f>Ringkasan!K1363</f>
        <v>3.9</v>
      </c>
      <c r="L1215" s="62">
        <f>Ringkasan!L1363</f>
        <v>0.66</v>
      </c>
      <c r="M1215" s="62">
        <f>Ringkasan!M1363</f>
        <v>26.1</v>
      </c>
      <c r="N1215" s="60" t="str">
        <f>Ringkasan!N1363</f>
        <v/>
      </c>
      <c r="O1215" s="60" t="str">
        <f>Ringkasan!O1363</f>
        <v/>
      </c>
      <c r="P1215" s="60" t="str">
        <f>Ringkasan!P1363</f>
        <v/>
      </c>
      <c r="Q1215" s="60" t="str">
        <f>Ringkasan!Q1363</f>
        <v/>
      </c>
      <c r="R1215" s="60" t="str">
        <f>Ringkasan!R1363</f>
        <v/>
      </c>
      <c r="S1215" s="60" t="str">
        <f>Ringkasan!S1363</f>
        <v/>
      </c>
      <c r="T1215" s="60" t="str">
        <f>Ringkasan!T1363</f>
        <v/>
      </c>
      <c r="U1215" s="60">
        <f>Ringkasan!U1363</f>
        <v>1500</v>
      </c>
      <c r="V1215" s="60">
        <f>Ringkasan!V1363</f>
        <v>2</v>
      </c>
      <c r="W1215" s="60">
        <f>Ringkasan!W1363</f>
        <v>1550</v>
      </c>
      <c r="X1215" s="60">
        <f>Ringkasan!X1363</f>
        <v>1560</v>
      </c>
      <c r="Y1215" s="60">
        <f>Ringkasan!Y1363</f>
        <v>1510</v>
      </c>
      <c r="Z1215" s="60" t="str">
        <f>Ringkasan!Z1363</f>
        <v/>
      </c>
      <c r="AA1215" s="60" t="str">
        <f>Ringkasan!AA1363</f>
        <v>Oil &amp; Gas</v>
      </c>
      <c r="AB1215" s="64" t="str">
        <f>Ringkasan!AB1363</f>
        <v>Energy</v>
      </c>
    </row>
    <row r="1216" hidden="1">
      <c r="A1216" s="64" t="str">
        <f>Ringkasan!A1364</f>
        <v>PGAS</v>
      </c>
      <c r="B1216" s="64" t="str">
        <f>Ringkasan!B1364</f>
        <v>Perusahaan Gas Negara (Persero) Tbk.</v>
      </c>
      <c r="C1216" s="61">
        <f>Ringkasan!C1364</f>
        <v>1530</v>
      </c>
      <c r="D1216" s="60" t="str">
        <f>Ringkasan!D1364</f>
        <v>#N/A</v>
      </c>
      <c r="E1216" s="60" t="str">
        <f>Ringkasan!E1364</f>
        <v>IDX30</v>
      </c>
      <c r="F1216" s="60" t="str">
        <f>Ringkasan!F1364</f>
        <v>31 Juli 2026</v>
      </c>
      <c r="G1216" s="60">
        <f>Ringkasan!G1364</f>
        <v>22</v>
      </c>
      <c r="H1216" s="62">
        <f>Ringkasan!H1364</f>
        <v>10.7</v>
      </c>
      <c r="I1216" s="62">
        <f>Ringkasan!I1364</f>
        <v>0.7</v>
      </c>
      <c r="J1216" s="62">
        <f>Ringkasan!J1364</f>
        <v>6.5</v>
      </c>
      <c r="K1216" s="62">
        <f>Ringkasan!K1364</f>
        <v>3.9</v>
      </c>
      <c r="L1216" s="62">
        <f>Ringkasan!L1364</f>
        <v>0.66</v>
      </c>
      <c r="M1216" s="62">
        <f>Ringkasan!M1364</f>
        <v>26.1</v>
      </c>
      <c r="N1216" s="60" t="str">
        <f>Ringkasan!N1364</f>
        <v/>
      </c>
      <c r="O1216" s="60" t="str">
        <f>Ringkasan!O1364</f>
        <v/>
      </c>
      <c r="P1216" s="60" t="str">
        <f>Ringkasan!P1364</f>
        <v/>
      </c>
      <c r="Q1216" s="60" t="str">
        <f>Ringkasan!Q1364</f>
        <v/>
      </c>
      <c r="R1216" s="60" t="str">
        <f>Ringkasan!R1364</f>
        <v/>
      </c>
      <c r="S1216" s="60" t="str">
        <f>Ringkasan!S1364</f>
        <v/>
      </c>
      <c r="T1216" s="60" t="str">
        <f>Ringkasan!T1364</f>
        <v/>
      </c>
      <c r="U1216" s="60">
        <f>Ringkasan!U1364</f>
        <v>1500</v>
      </c>
      <c r="V1216" s="60">
        <f>Ringkasan!V1364</f>
        <v>2</v>
      </c>
      <c r="W1216" s="60">
        <f>Ringkasan!W1364</f>
        <v>1550</v>
      </c>
      <c r="X1216" s="60">
        <f>Ringkasan!X1364</f>
        <v>1560</v>
      </c>
      <c r="Y1216" s="60">
        <f>Ringkasan!Y1364</f>
        <v>1510</v>
      </c>
      <c r="Z1216" s="60" t="str">
        <f>Ringkasan!Z1364</f>
        <v/>
      </c>
      <c r="AA1216" s="60" t="str">
        <f>Ringkasan!AA1364</f>
        <v>Oil &amp; Gas</v>
      </c>
      <c r="AB1216" s="64" t="str">
        <f>Ringkasan!AB1364</f>
        <v>Energy</v>
      </c>
    </row>
    <row r="1217" hidden="1">
      <c r="A1217" s="64" t="str">
        <f>Ringkasan!A1365</f>
        <v>PGAS</v>
      </c>
      <c r="B1217" s="64" t="str">
        <f>Ringkasan!B1365</f>
        <v>Perusahaan Gas Negara (Persero) Tbk.</v>
      </c>
      <c r="C1217" s="61">
        <f>Ringkasan!C1365</f>
        <v>1530</v>
      </c>
      <c r="D1217" s="60" t="str">
        <f>Ringkasan!D1365</f>
        <v>#N/A</v>
      </c>
      <c r="E1217" s="60" t="str">
        <f>Ringkasan!E1365</f>
        <v>IDXV30</v>
      </c>
      <c r="F1217" s="60" t="str">
        <f>Ringkasan!F1365</f>
        <v>4 Agustus 2026</v>
      </c>
      <c r="G1217" s="60">
        <f>Ringkasan!G1365</f>
        <v>22</v>
      </c>
      <c r="H1217" s="62">
        <f>Ringkasan!H1365</f>
        <v>10.7</v>
      </c>
      <c r="I1217" s="62">
        <f>Ringkasan!I1365</f>
        <v>0.7</v>
      </c>
      <c r="J1217" s="62">
        <f>Ringkasan!J1365</f>
        <v>6.5</v>
      </c>
      <c r="K1217" s="62">
        <f>Ringkasan!K1365</f>
        <v>3.9</v>
      </c>
      <c r="L1217" s="62">
        <f>Ringkasan!L1365</f>
        <v>0.66</v>
      </c>
      <c r="M1217" s="62">
        <f>Ringkasan!M1365</f>
        <v>26.1</v>
      </c>
      <c r="N1217" s="60" t="str">
        <f>Ringkasan!N1365</f>
        <v/>
      </c>
      <c r="O1217" s="60" t="str">
        <f>Ringkasan!O1365</f>
        <v/>
      </c>
      <c r="P1217" s="60" t="str">
        <f>Ringkasan!P1365</f>
        <v/>
      </c>
      <c r="Q1217" s="60" t="str">
        <f>Ringkasan!Q1365</f>
        <v/>
      </c>
      <c r="R1217" s="60" t="str">
        <f>Ringkasan!R1365</f>
        <v/>
      </c>
      <c r="S1217" s="60" t="str">
        <f>Ringkasan!S1365</f>
        <v/>
      </c>
      <c r="T1217" s="60" t="str">
        <f>Ringkasan!T1365</f>
        <v/>
      </c>
      <c r="U1217" s="60">
        <f>Ringkasan!U1365</f>
        <v>1500</v>
      </c>
      <c r="V1217" s="60">
        <f>Ringkasan!V1365</f>
        <v>2</v>
      </c>
      <c r="W1217" s="60">
        <f>Ringkasan!W1365</f>
        <v>1550</v>
      </c>
      <c r="X1217" s="60">
        <f>Ringkasan!X1365</f>
        <v>1560</v>
      </c>
      <c r="Y1217" s="60">
        <f>Ringkasan!Y1365</f>
        <v>1510</v>
      </c>
      <c r="Z1217" s="60" t="str">
        <f>Ringkasan!Z1365</f>
        <v/>
      </c>
      <c r="AA1217" s="60" t="str">
        <f>Ringkasan!AA1365</f>
        <v>Oil &amp; Gas</v>
      </c>
      <c r="AB1217" s="64" t="str">
        <f>Ringkasan!AB1365</f>
        <v>Energy</v>
      </c>
    </row>
    <row r="1218">
      <c r="A1218" s="64" t="str">
        <f>Ringkasan!A1217</f>
        <v>MIDI</v>
      </c>
      <c r="B1218" s="64" t="str">
        <f>Ringkasan!B1217</f>
        <v>Midi Utama Indonesia Tbk</v>
      </c>
      <c r="C1218" s="65">
        <f>Ringkasan!C1217</f>
        <v>300</v>
      </c>
      <c r="D1218" s="64" t="str">
        <f>Ringkasan!D1217</f>
        <v>#N/A</v>
      </c>
      <c r="E1218" s="64" t="str">
        <f>Ringkasan!E1217</f>
        <v>FTSE Micro Cap</v>
      </c>
      <c r="F1218" s="64" t="str">
        <f>Ringkasan!F1217</f>
        <v>4 Agustus 2026</v>
      </c>
      <c r="G1218" s="65">
        <f>Ringkasan!G1217</f>
        <v>2</v>
      </c>
      <c r="H1218" s="19">
        <f>Ringkasan!H1217</f>
        <v>10.6</v>
      </c>
      <c r="I1218" s="19">
        <f>Ringkasan!I1217</f>
        <v>1.9</v>
      </c>
      <c r="J1218" s="19">
        <f>Ringkasan!J1217</f>
        <v>18.1</v>
      </c>
      <c r="K1218" s="19">
        <f>Ringkasan!K1217</f>
        <v>9</v>
      </c>
      <c r="L1218" s="19">
        <f>Ringkasan!L1217</f>
        <v>1</v>
      </c>
      <c r="M1218" s="19">
        <f>Ringkasan!M1217</f>
        <v>14.8</v>
      </c>
      <c r="N1218" s="64" t="str">
        <f>Ringkasan!N1217</f>
        <v/>
      </c>
      <c r="O1218" s="64" t="str">
        <f>Ringkasan!O1217</f>
        <v/>
      </c>
      <c r="P1218" s="64" t="str">
        <f>Ringkasan!P1217</f>
        <v/>
      </c>
      <c r="Q1218" s="64" t="str">
        <f>Ringkasan!Q1217</f>
        <v/>
      </c>
      <c r="R1218" s="64" t="str">
        <f>Ringkasan!R1217</f>
        <v/>
      </c>
      <c r="S1218" s="64" t="str">
        <f>Ringkasan!S1217</f>
        <v/>
      </c>
      <c r="T1218" s="64" t="str">
        <f>Ringkasan!T1217</f>
        <v/>
      </c>
      <c r="U1218" s="64">
        <f>Ringkasan!U1217</f>
        <v>296</v>
      </c>
      <c r="V1218" s="64">
        <f>Ringkasan!V1217</f>
        <v>1.35</v>
      </c>
      <c r="W1218" s="64">
        <f>Ringkasan!W1217</f>
        <v>300</v>
      </c>
      <c r="X1218" s="64">
        <f>Ringkasan!X1217</f>
        <v>302</v>
      </c>
      <c r="Y1218" s="64">
        <f>Ringkasan!Y1217</f>
        <v>290</v>
      </c>
      <c r="Z1218" s="64">
        <f>Ringkasan!Z1217</f>
        <v>10713300</v>
      </c>
      <c r="AA1218" s="64" t="str">
        <f>Ringkasan!AA1217</f>
        <v>Food &amp; Staples Retailing</v>
      </c>
      <c r="AB1218" s="64" t="str">
        <f>Ringkasan!AB1217</f>
        <v>Consumer Non-Cyclicals</v>
      </c>
    </row>
    <row r="1219" hidden="1">
      <c r="A1219" s="64" t="str">
        <f>Ringkasan!A1366</f>
        <v>PGAS</v>
      </c>
      <c r="B1219" s="64" t="str">
        <f>Ringkasan!B1366</f>
        <v>Perusahaan Gas Negara (Persero) Tbk.</v>
      </c>
      <c r="C1219" s="61">
        <f>Ringkasan!C1366</f>
        <v>1530</v>
      </c>
      <c r="D1219" s="60" t="str">
        <f>Ringkasan!D1366</f>
        <v>#N/A</v>
      </c>
      <c r="E1219" s="60" t="str">
        <f>Ringkasan!E1366</f>
        <v>SMINFRA18</v>
      </c>
      <c r="F1219" s="60" t="str">
        <f>Ringkasan!F1366</f>
        <v>30 Oktober 2026</v>
      </c>
      <c r="G1219" s="60">
        <f>Ringkasan!G1366</f>
        <v>22</v>
      </c>
      <c r="H1219" s="62">
        <f>Ringkasan!H1366</f>
        <v>10.7</v>
      </c>
      <c r="I1219" s="62">
        <f>Ringkasan!I1366</f>
        <v>0.7</v>
      </c>
      <c r="J1219" s="62">
        <f>Ringkasan!J1366</f>
        <v>6.5</v>
      </c>
      <c r="K1219" s="62">
        <f>Ringkasan!K1366</f>
        <v>3.9</v>
      </c>
      <c r="L1219" s="62">
        <f>Ringkasan!L1366</f>
        <v>0.66</v>
      </c>
      <c r="M1219" s="62">
        <f>Ringkasan!M1366</f>
        <v>26.1</v>
      </c>
      <c r="N1219" s="60" t="str">
        <f>Ringkasan!N1366</f>
        <v/>
      </c>
      <c r="O1219" s="60" t="str">
        <f>Ringkasan!O1366</f>
        <v/>
      </c>
      <c r="P1219" s="60" t="str">
        <f>Ringkasan!P1366</f>
        <v/>
      </c>
      <c r="Q1219" s="60" t="str">
        <f>Ringkasan!Q1366</f>
        <v/>
      </c>
      <c r="R1219" s="60" t="str">
        <f>Ringkasan!R1366</f>
        <v/>
      </c>
      <c r="S1219" s="60" t="str">
        <f>Ringkasan!S1366</f>
        <v/>
      </c>
      <c r="T1219" s="60" t="str">
        <f>Ringkasan!T1366</f>
        <v/>
      </c>
      <c r="U1219" s="60">
        <f>Ringkasan!U1366</f>
        <v>1500</v>
      </c>
      <c r="V1219" s="60">
        <f>Ringkasan!V1366</f>
        <v>2</v>
      </c>
      <c r="W1219" s="60">
        <f>Ringkasan!W1366</f>
        <v>1550</v>
      </c>
      <c r="X1219" s="60">
        <f>Ringkasan!X1366</f>
        <v>1560</v>
      </c>
      <c r="Y1219" s="60">
        <f>Ringkasan!Y1366</f>
        <v>1510</v>
      </c>
      <c r="Z1219" s="60" t="str">
        <f>Ringkasan!Z1366</f>
        <v/>
      </c>
      <c r="AA1219" s="60" t="str">
        <f>Ringkasan!AA1366</f>
        <v>Oil &amp; Gas</v>
      </c>
      <c r="AB1219" s="64" t="str">
        <f>Ringkasan!AB1366</f>
        <v>Energy</v>
      </c>
    </row>
    <row r="1220" hidden="1">
      <c r="A1220" s="64" t="str">
        <f>Ringkasan!A1367</f>
        <v>PGAS</v>
      </c>
      <c r="B1220" s="64" t="str">
        <f>Ringkasan!B1367</f>
        <v>Perusahaan Gas Negara (Persero) Tbk.</v>
      </c>
      <c r="C1220" s="61">
        <f>Ringkasan!C1367</f>
        <v>1530</v>
      </c>
      <c r="D1220" s="60" t="str">
        <f>Ringkasan!D1367</f>
        <v>#N/A</v>
      </c>
      <c r="E1220" s="60" t="str">
        <f>Ringkasan!E1367</f>
        <v>IDXVESTA28</v>
      </c>
      <c r="F1220" s="60" t="str">
        <f>Ringkasan!F1367</f>
        <v>31 Agustus 2026</v>
      </c>
      <c r="G1220" s="60">
        <f>Ringkasan!G1367</f>
        <v>22</v>
      </c>
      <c r="H1220" s="62">
        <f>Ringkasan!H1367</f>
        <v>10.7</v>
      </c>
      <c r="I1220" s="62">
        <f>Ringkasan!I1367</f>
        <v>0.7</v>
      </c>
      <c r="J1220" s="62">
        <f>Ringkasan!J1367</f>
        <v>6.5</v>
      </c>
      <c r="K1220" s="62">
        <f>Ringkasan!K1367</f>
        <v>3.9</v>
      </c>
      <c r="L1220" s="62">
        <f>Ringkasan!L1367</f>
        <v>0.66</v>
      </c>
      <c r="M1220" s="62">
        <f>Ringkasan!M1367</f>
        <v>26.1</v>
      </c>
      <c r="N1220" s="60" t="str">
        <f>Ringkasan!N1367</f>
        <v/>
      </c>
      <c r="O1220" s="60" t="str">
        <f>Ringkasan!O1367</f>
        <v/>
      </c>
      <c r="P1220" s="60" t="str">
        <f>Ringkasan!P1367</f>
        <v/>
      </c>
      <c r="Q1220" s="60" t="str">
        <f>Ringkasan!Q1367</f>
        <v/>
      </c>
      <c r="R1220" s="60" t="str">
        <f>Ringkasan!R1367</f>
        <v/>
      </c>
      <c r="S1220" s="60" t="str">
        <f>Ringkasan!S1367</f>
        <v/>
      </c>
      <c r="T1220" s="60" t="str">
        <f>Ringkasan!T1367</f>
        <v/>
      </c>
      <c r="U1220" s="60">
        <f>Ringkasan!U1367</f>
        <v>1500</v>
      </c>
      <c r="V1220" s="60">
        <f>Ringkasan!V1367</f>
        <v>2</v>
      </c>
      <c r="W1220" s="60">
        <f>Ringkasan!W1367</f>
        <v>1550</v>
      </c>
      <c r="X1220" s="60">
        <f>Ringkasan!X1367</f>
        <v>1560</v>
      </c>
      <c r="Y1220" s="60">
        <f>Ringkasan!Y1367</f>
        <v>1510</v>
      </c>
      <c r="Z1220" s="60" t="str">
        <f>Ringkasan!Z1367</f>
        <v/>
      </c>
      <c r="AA1220" s="60" t="str">
        <f>Ringkasan!AA1367</f>
        <v>Oil &amp; Gas</v>
      </c>
      <c r="AB1220" s="64" t="str">
        <f>Ringkasan!AB1367</f>
        <v>Energy</v>
      </c>
    </row>
    <row r="1221">
      <c r="A1221" s="60" t="str">
        <f>Ringkasan!A1144</f>
        <v>MAPI</v>
      </c>
      <c r="B1221" s="60" t="str">
        <f>Ringkasan!B1144</f>
        <v>Mitra Adiperkasa Tbk.</v>
      </c>
      <c r="C1221" s="61">
        <f>Ringkasan!C1144</f>
        <v>1490</v>
      </c>
      <c r="D1221" s="60" t="str">
        <f>Ringkasan!D1144</f>
        <v>#N/A</v>
      </c>
      <c r="E1221" s="60" t="str">
        <f>Ringkasan!E1144</f>
        <v>IDXESGL</v>
      </c>
      <c r="F1221" s="60" t="str">
        <f>Ringkasan!F1144</f>
        <v>30 Oktober 2026</v>
      </c>
      <c r="G1221" s="60">
        <f>Ringkasan!G1144</f>
        <v>12</v>
      </c>
      <c r="H1221" s="62">
        <f>Ringkasan!H1144</f>
        <v>10.4</v>
      </c>
      <c r="I1221" s="62">
        <f>Ringkasan!I1144</f>
        <v>1.4</v>
      </c>
      <c r="J1221" s="62">
        <f>Ringkasan!J1144</f>
        <v>13.3</v>
      </c>
      <c r="K1221" s="62">
        <f>Ringkasan!K1144</f>
        <v>7</v>
      </c>
      <c r="L1221" s="62">
        <f>Ringkasan!L1144</f>
        <v>0.9</v>
      </c>
      <c r="M1221" s="62">
        <f>Ringkasan!M1144</f>
        <v>19.4</v>
      </c>
      <c r="N1221" s="60" t="str">
        <f>Ringkasan!N1144</f>
        <v/>
      </c>
      <c r="O1221" s="60" t="str">
        <f>Ringkasan!O1144</f>
        <v/>
      </c>
      <c r="P1221" s="60" t="str">
        <f>Ringkasan!P1144</f>
        <v/>
      </c>
      <c r="Q1221" s="60" t="str">
        <f>Ringkasan!Q1144</f>
        <v/>
      </c>
      <c r="R1221" s="60" t="str">
        <f>Ringkasan!R1144</f>
        <v/>
      </c>
      <c r="S1221" s="60" t="str">
        <f>Ringkasan!S1144</f>
        <v/>
      </c>
      <c r="T1221" s="60" t="str">
        <f>Ringkasan!T1144</f>
        <v/>
      </c>
      <c r="U1221" s="60">
        <f>Ringkasan!U1144</f>
        <v>1485</v>
      </c>
      <c r="V1221" s="60">
        <f>Ringkasan!V1144</f>
        <v>0.34</v>
      </c>
      <c r="W1221" s="60">
        <f>Ringkasan!W1144</f>
        <v>1485</v>
      </c>
      <c r="X1221" s="60">
        <f>Ringkasan!X1144</f>
        <v>1490</v>
      </c>
      <c r="Y1221" s="60">
        <f>Ringkasan!Y1144</f>
        <v>1485</v>
      </c>
      <c r="Z1221" s="60">
        <f>Ringkasan!Z1144</f>
        <v>73594900</v>
      </c>
      <c r="AA1221" s="60" t="str">
        <f>Ringkasan!AA1144</f>
        <v>Specialty Retail</v>
      </c>
      <c r="AB1221" s="60" t="str">
        <f>Ringkasan!AB1144</f>
        <v>Consumer Cyclicals</v>
      </c>
    </row>
    <row r="1222" hidden="1">
      <c r="A1222" s="64" t="str">
        <f>Ringkasan!A1221</f>
        <v>MIKA</v>
      </c>
      <c r="B1222" s="64" t="str">
        <f>Ringkasan!B1221</f>
        <v>PT Mitra Keluarga Karyasehat Tbk.</v>
      </c>
      <c r="C1222" s="65">
        <f>Ringkasan!C1221</f>
        <v>1530</v>
      </c>
      <c r="D1222" s="64" t="str">
        <f>Ringkasan!D1221</f>
        <v>#N/A</v>
      </c>
      <c r="E1222" s="64" t="str">
        <f>Ringkasan!E1221</f>
        <v>IDXVESTA28</v>
      </c>
      <c r="F1222" s="64" t="str">
        <f>Ringkasan!F1221</f>
        <v>31 Agustus 2026</v>
      </c>
      <c r="G1222" s="64">
        <f>Ringkasan!G1221</f>
        <v>10</v>
      </c>
      <c r="H1222" s="19">
        <f>Ringkasan!H1221</f>
        <v>16.3</v>
      </c>
      <c r="I1222" s="19">
        <f>Ringkasan!I1221</f>
        <v>2.7</v>
      </c>
      <c r="J1222" s="19">
        <f>Ringkasan!J1221</f>
        <v>16.2</v>
      </c>
      <c r="K1222" s="19">
        <f>Ringkasan!K1221</f>
        <v>14.3</v>
      </c>
      <c r="L1222" s="19">
        <f>Ringkasan!L1221</f>
        <v>0.13</v>
      </c>
      <c r="M1222" s="19">
        <f>Ringkasan!M1221</f>
        <v>100</v>
      </c>
      <c r="N1222" s="64" t="str">
        <f>Ringkasan!N1221</f>
        <v/>
      </c>
      <c r="O1222" s="64" t="str">
        <f>Ringkasan!O1221</f>
        <v/>
      </c>
      <c r="P1222" s="64" t="str">
        <f>Ringkasan!P1221</f>
        <v/>
      </c>
      <c r="Q1222" s="64" t="str">
        <f>Ringkasan!Q1221</f>
        <v/>
      </c>
      <c r="R1222" s="64" t="str">
        <f>Ringkasan!R1221</f>
        <v/>
      </c>
      <c r="S1222" s="64" t="str">
        <f>Ringkasan!S1221</f>
        <v/>
      </c>
      <c r="T1222" s="64" t="str">
        <f>Ringkasan!T1221</f>
        <v/>
      </c>
      <c r="U1222" s="64">
        <f>Ringkasan!U1221</f>
        <v>1500</v>
      </c>
      <c r="V1222" s="64">
        <f>Ringkasan!V1221</f>
        <v>2</v>
      </c>
      <c r="W1222" s="64">
        <f>Ringkasan!W1221</f>
        <v>1500</v>
      </c>
      <c r="X1222" s="64">
        <f>Ringkasan!X1221</f>
        <v>1570</v>
      </c>
      <c r="Y1222" s="64">
        <f>Ringkasan!Y1221</f>
        <v>1500</v>
      </c>
      <c r="Z1222" s="64">
        <f>Ringkasan!Z1221</f>
        <v>3752200</v>
      </c>
      <c r="AA1222" s="64" t="str">
        <f>Ringkasan!AA1221</f>
        <v>Healthcare Providers</v>
      </c>
      <c r="AB1222" s="64" t="str">
        <f>Ringkasan!AB1221</f>
        <v>Healthcare</v>
      </c>
    </row>
    <row r="1223" hidden="1">
      <c r="A1223" s="64" t="str">
        <f>Ringkasan!A1222</f>
        <v>MIKA</v>
      </c>
      <c r="B1223" s="64" t="str">
        <f>Ringkasan!B1222</f>
        <v>PT Mitra Keluarga Karyasehat Tbk.</v>
      </c>
      <c r="C1223" s="65">
        <f>Ringkasan!C1222</f>
        <v>1530</v>
      </c>
      <c r="D1223" s="64" t="str">
        <f>Ringkasan!D1222</f>
        <v>#N/A</v>
      </c>
      <c r="E1223" s="64" t="str">
        <f>Ringkasan!E1222</f>
        <v>MNC36</v>
      </c>
      <c r="F1223" s="64" t="str">
        <f>Ringkasan!F1222</f>
        <v>30 Oktober 2026</v>
      </c>
      <c r="G1223" s="64">
        <f>Ringkasan!G1222</f>
        <v>10</v>
      </c>
      <c r="H1223" s="19">
        <f>Ringkasan!H1222</f>
        <v>16.3</v>
      </c>
      <c r="I1223" s="19">
        <f>Ringkasan!I1222</f>
        <v>2.7</v>
      </c>
      <c r="J1223" s="19">
        <f>Ringkasan!J1222</f>
        <v>16.2</v>
      </c>
      <c r="K1223" s="19">
        <f>Ringkasan!K1222</f>
        <v>14.3</v>
      </c>
      <c r="L1223" s="19">
        <f>Ringkasan!L1222</f>
        <v>0.13</v>
      </c>
      <c r="M1223" s="19">
        <f>Ringkasan!M1222</f>
        <v>100</v>
      </c>
      <c r="N1223" s="64" t="str">
        <f>Ringkasan!N1222</f>
        <v/>
      </c>
      <c r="O1223" s="64" t="str">
        <f>Ringkasan!O1222</f>
        <v/>
      </c>
      <c r="P1223" s="64" t="str">
        <f>Ringkasan!P1222</f>
        <v/>
      </c>
      <c r="Q1223" s="64" t="str">
        <f>Ringkasan!Q1222</f>
        <v/>
      </c>
      <c r="R1223" s="64" t="str">
        <f>Ringkasan!R1222</f>
        <v/>
      </c>
      <c r="S1223" s="64" t="str">
        <f>Ringkasan!S1222</f>
        <v/>
      </c>
      <c r="T1223" s="64" t="str">
        <f>Ringkasan!T1222</f>
        <v/>
      </c>
      <c r="U1223" s="64">
        <f>Ringkasan!U1222</f>
        <v>1500</v>
      </c>
      <c r="V1223" s="64">
        <f>Ringkasan!V1222</f>
        <v>2</v>
      </c>
      <c r="W1223" s="64">
        <f>Ringkasan!W1222</f>
        <v>1500</v>
      </c>
      <c r="X1223" s="64">
        <f>Ringkasan!X1222</f>
        <v>1570</v>
      </c>
      <c r="Y1223" s="64">
        <f>Ringkasan!Y1222</f>
        <v>1500</v>
      </c>
      <c r="Z1223" s="64">
        <f>Ringkasan!Z1222</f>
        <v>3752200</v>
      </c>
      <c r="AA1223" s="64" t="str">
        <f>Ringkasan!AA1222</f>
        <v>Healthcare Providers</v>
      </c>
      <c r="AB1223" s="64" t="str">
        <f>Ringkasan!AB1222</f>
        <v>Healthcare</v>
      </c>
    </row>
    <row r="1224" hidden="1">
      <c r="A1224" s="64" t="str">
        <f>Ringkasan!A1223</f>
        <v>MIKA</v>
      </c>
      <c r="B1224" s="64" t="str">
        <f>Ringkasan!B1223</f>
        <v>PT Mitra Keluarga Karyasehat Tbk.</v>
      </c>
      <c r="C1224" s="65">
        <f>Ringkasan!C1223</f>
        <v>1530</v>
      </c>
      <c r="D1224" s="64" t="str">
        <f>Ringkasan!D1223</f>
        <v>#N/A</v>
      </c>
      <c r="E1224" s="64" t="str">
        <f>Ringkasan!E1223</f>
        <v>IDX80</v>
      </c>
      <c r="F1224" s="64" t="str">
        <f>Ringkasan!F1223</f>
        <v>31 Juli 2026</v>
      </c>
      <c r="G1224" s="64">
        <f>Ringkasan!G1223</f>
        <v>10</v>
      </c>
      <c r="H1224" s="19">
        <f>Ringkasan!H1223</f>
        <v>16.3</v>
      </c>
      <c r="I1224" s="19">
        <f>Ringkasan!I1223</f>
        <v>2.7</v>
      </c>
      <c r="J1224" s="19">
        <f>Ringkasan!J1223</f>
        <v>16.2</v>
      </c>
      <c r="K1224" s="19">
        <f>Ringkasan!K1223</f>
        <v>14.3</v>
      </c>
      <c r="L1224" s="19">
        <f>Ringkasan!L1223</f>
        <v>0.13</v>
      </c>
      <c r="M1224" s="19">
        <f>Ringkasan!M1223</f>
        <v>100</v>
      </c>
      <c r="N1224" s="64" t="str">
        <f>Ringkasan!N1223</f>
        <v/>
      </c>
      <c r="O1224" s="64" t="str">
        <f>Ringkasan!O1223</f>
        <v/>
      </c>
      <c r="P1224" s="64" t="str">
        <f>Ringkasan!P1223</f>
        <v/>
      </c>
      <c r="Q1224" s="64" t="str">
        <f>Ringkasan!Q1223</f>
        <v/>
      </c>
      <c r="R1224" s="64" t="str">
        <f>Ringkasan!R1223</f>
        <v/>
      </c>
      <c r="S1224" s="64" t="str">
        <f>Ringkasan!S1223</f>
        <v/>
      </c>
      <c r="T1224" s="64" t="str">
        <f>Ringkasan!T1223</f>
        <v/>
      </c>
      <c r="U1224" s="64">
        <f>Ringkasan!U1223</f>
        <v>1500</v>
      </c>
      <c r="V1224" s="64">
        <f>Ringkasan!V1223</f>
        <v>2</v>
      </c>
      <c r="W1224" s="64">
        <f>Ringkasan!W1223</f>
        <v>1500</v>
      </c>
      <c r="X1224" s="64">
        <f>Ringkasan!X1223</f>
        <v>1570</v>
      </c>
      <c r="Y1224" s="64">
        <f>Ringkasan!Y1223</f>
        <v>1500</v>
      </c>
      <c r="Z1224" s="64">
        <f>Ringkasan!Z1223</f>
        <v>3752200</v>
      </c>
      <c r="AA1224" s="64" t="str">
        <f>Ringkasan!AA1223</f>
        <v>Healthcare Providers</v>
      </c>
      <c r="AB1224" s="64" t="str">
        <f>Ringkasan!AB1223</f>
        <v>Healthcare</v>
      </c>
    </row>
    <row r="1225" hidden="1">
      <c r="A1225" s="64" t="str">
        <f>Ringkasan!A1224</f>
        <v>MIKA</v>
      </c>
      <c r="B1225" s="64" t="str">
        <f>Ringkasan!B1224</f>
        <v>PT Mitra Keluarga Karyasehat Tbk.</v>
      </c>
      <c r="C1225" s="65">
        <f>Ringkasan!C1224</f>
        <v>1530</v>
      </c>
      <c r="D1225" s="64" t="str">
        <f>Ringkasan!D1224</f>
        <v>#N/A</v>
      </c>
      <c r="E1225" s="64" t="str">
        <f>Ringkasan!E1224</f>
        <v>BISNIS-27</v>
      </c>
      <c r="F1225" s="64" t="str">
        <f>Ringkasan!F1224</f>
        <v>30 Oktober 2026</v>
      </c>
      <c r="G1225" s="64">
        <f>Ringkasan!G1224</f>
        <v>10</v>
      </c>
      <c r="H1225" s="19">
        <f>Ringkasan!H1224</f>
        <v>16.3</v>
      </c>
      <c r="I1225" s="19">
        <f>Ringkasan!I1224</f>
        <v>2.7</v>
      </c>
      <c r="J1225" s="19">
        <f>Ringkasan!J1224</f>
        <v>16.2</v>
      </c>
      <c r="K1225" s="19">
        <f>Ringkasan!K1224</f>
        <v>14.3</v>
      </c>
      <c r="L1225" s="19">
        <f>Ringkasan!L1224</f>
        <v>0.13</v>
      </c>
      <c r="M1225" s="19">
        <f>Ringkasan!M1224</f>
        <v>100</v>
      </c>
      <c r="N1225" s="64" t="str">
        <f>Ringkasan!N1224</f>
        <v/>
      </c>
      <c r="O1225" s="64" t="str">
        <f>Ringkasan!O1224</f>
        <v/>
      </c>
      <c r="P1225" s="64" t="str">
        <f>Ringkasan!P1224</f>
        <v/>
      </c>
      <c r="Q1225" s="64" t="str">
        <f>Ringkasan!Q1224</f>
        <v/>
      </c>
      <c r="R1225" s="64" t="str">
        <f>Ringkasan!R1224</f>
        <v/>
      </c>
      <c r="S1225" s="64" t="str">
        <f>Ringkasan!S1224</f>
        <v/>
      </c>
      <c r="T1225" s="64" t="str">
        <f>Ringkasan!T1224</f>
        <v/>
      </c>
      <c r="U1225" s="64">
        <f>Ringkasan!U1224</f>
        <v>1500</v>
      </c>
      <c r="V1225" s="64">
        <f>Ringkasan!V1224</f>
        <v>2</v>
      </c>
      <c r="W1225" s="64">
        <f>Ringkasan!W1224</f>
        <v>1500</v>
      </c>
      <c r="X1225" s="64">
        <f>Ringkasan!X1224</f>
        <v>1570</v>
      </c>
      <c r="Y1225" s="64">
        <f>Ringkasan!Y1224</f>
        <v>1500</v>
      </c>
      <c r="Z1225" s="64">
        <f>Ringkasan!Z1224</f>
        <v>3752200</v>
      </c>
      <c r="AA1225" s="64" t="str">
        <f>Ringkasan!AA1224</f>
        <v>Healthcare Providers</v>
      </c>
      <c r="AB1225" s="64" t="str">
        <f>Ringkasan!AB1224</f>
        <v>Healthcare</v>
      </c>
    </row>
    <row r="1226" hidden="1">
      <c r="A1226" s="64" t="str">
        <f>Ringkasan!A1225</f>
        <v>MIKA</v>
      </c>
      <c r="B1226" s="64" t="str">
        <f>Ringkasan!B1225</f>
        <v>PT Mitra Keluarga Karyasehat Tbk.</v>
      </c>
      <c r="C1226" s="65">
        <f>Ringkasan!C1225</f>
        <v>1530</v>
      </c>
      <c r="D1226" s="64" t="str">
        <f>Ringkasan!D1225</f>
        <v>#N/A</v>
      </c>
      <c r="E1226" s="64" t="str">
        <f>Ringkasan!E1225</f>
        <v>IDXESGL</v>
      </c>
      <c r="F1226" s="64" t="str">
        <f>Ringkasan!F1225</f>
        <v>30 Oktober 2026</v>
      </c>
      <c r="G1226" s="64">
        <f>Ringkasan!G1225</f>
        <v>10</v>
      </c>
      <c r="H1226" s="19">
        <f>Ringkasan!H1225</f>
        <v>16.3</v>
      </c>
      <c r="I1226" s="19">
        <f>Ringkasan!I1225</f>
        <v>2.7</v>
      </c>
      <c r="J1226" s="19">
        <f>Ringkasan!J1225</f>
        <v>16.2</v>
      </c>
      <c r="K1226" s="19">
        <f>Ringkasan!K1225</f>
        <v>14.3</v>
      </c>
      <c r="L1226" s="19">
        <f>Ringkasan!L1225</f>
        <v>0.13</v>
      </c>
      <c r="M1226" s="19">
        <f>Ringkasan!M1225</f>
        <v>100</v>
      </c>
      <c r="N1226" s="64" t="str">
        <f>Ringkasan!N1225</f>
        <v/>
      </c>
      <c r="O1226" s="64" t="str">
        <f>Ringkasan!O1225</f>
        <v/>
      </c>
      <c r="P1226" s="64" t="str">
        <f>Ringkasan!P1225</f>
        <v/>
      </c>
      <c r="Q1226" s="64" t="str">
        <f>Ringkasan!Q1225</f>
        <v/>
      </c>
      <c r="R1226" s="64" t="str">
        <f>Ringkasan!R1225</f>
        <v/>
      </c>
      <c r="S1226" s="64" t="str">
        <f>Ringkasan!S1225</f>
        <v/>
      </c>
      <c r="T1226" s="64" t="str">
        <f>Ringkasan!T1225</f>
        <v/>
      </c>
      <c r="U1226" s="64">
        <f>Ringkasan!U1225</f>
        <v>1500</v>
      </c>
      <c r="V1226" s="64">
        <f>Ringkasan!V1225</f>
        <v>2</v>
      </c>
      <c r="W1226" s="64">
        <f>Ringkasan!W1225</f>
        <v>1500</v>
      </c>
      <c r="X1226" s="64">
        <f>Ringkasan!X1225</f>
        <v>1570</v>
      </c>
      <c r="Y1226" s="64">
        <f>Ringkasan!Y1225</f>
        <v>1500</v>
      </c>
      <c r="Z1226" s="64">
        <f>Ringkasan!Z1225</f>
        <v>3752200</v>
      </c>
      <c r="AA1226" s="64" t="str">
        <f>Ringkasan!AA1225</f>
        <v>Healthcare Providers</v>
      </c>
      <c r="AB1226" s="64" t="str">
        <f>Ringkasan!AB1225</f>
        <v>Healthcare</v>
      </c>
    </row>
    <row r="1227" hidden="1">
      <c r="A1227" s="64" t="str">
        <f>Ringkasan!A1226</f>
        <v>MIKA</v>
      </c>
      <c r="B1227" s="64" t="str">
        <f>Ringkasan!B1226</f>
        <v>PT Mitra Keluarga Karyasehat Tbk.</v>
      </c>
      <c r="C1227" s="65">
        <f>Ringkasan!C1226</f>
        <v>1530</v>
      </c>
      <c r="D1227" s="64" t="str">
        <f>Ringkasan!D1226</f>
        <v>#N/A</v>
      </c>
      <c r="E1227" s="64" t="str">
        <f>Ringkasan!E1226</f>
        <v>IDXSMC-LIQ</v>
      </c>
      <c r="F1227" s="64" t="str">
        <f>Ringkasan!F1226</f>
        <v>4 Agustus 2026</v>
      </c>
      <c r="G1227" s="64">
        <f>Ringkasan!G1226</f>
        <v>10</v>
      </c>
      <c r="H1227" s="19">
        <f>Ringkasan!H1226</f>
        <v>16.3</v>
      </c>
      <c r="I1227" s="19">
        <f>Ringkasan!I1226</f>
        <v>2.7</v>
      </c>
      <c r="J1227" s="19">
        <f>Ringkasan!J1226</f>
        <v>16.2</v>
      </c>
      <c r="K1227" s="19">
        <f>Ringkasan!K1226</f>
        <v>14.3</v>
      </c>
      <c r="L1227" s="19">
        <f>Ringkasan!L1226</f>
        <v>0.13</v>
      </c>
      <c r="M1227" s="19">
        <f>Ringkasan!M1226</f>
        <v>100</v>
      </c>
      <c r="N1227" s="64" t="str">
        <f>Ringkasan!N1226</f>
        <v/>
      </c>
      <c r="O1227" s="64" t="str">
        <f>Ringkasan!O1226</f>
        <v/>
      </c>
      <c r="P1227" s="64" t="str">
        <f>Ringkasan!P1226</f>
        <v/>
      </c>
      <c r="Q1227" s="64" t="str">
        <f>Ringkasan!Q1226</f>
        <v/>
      </c>
      <c r="R1227" s="64" t="str">
        <f>Ringkasan!R1226</f>
        <v/>
      </c>
      <c r="S1227" s="64" t="str">
        <f>Ringkasan!S1226</f>
        <v/>
      </c>
      <c r="T1227" s="64" t="str">
        <f>Ringkasan!T1226</f>
        <v/>
      </c>
      <c r="U1227" s="64">
        <f>Ringkasan!U1226</f>
        <v>1500</v>
      </c>
      <c r="V1227" s="64">
        <f>Ringkasan!V1226</f>
        <v>2</v>
      </c>
      <c r="W1227" s="64">
        <f>Ringkasan!W1226</f>
        <v>1500</v>
      </c>
      <c r="X1227" s="64">
        <f>Ringkasan!X1226</f>
        <v>1570</v>
      </c>
      <c r="Y1227" s="64">
        <f>Ringkasan!Y1226</f>
        <v>1500</v>
      </c>
      <c r="Z1227" s="64">
        <f>Ringkasan!Z1226</f>
        <v>3752200</v>
      </c>
      <c r="AA1227" s="64" t="str">
        <f>Ringkasan!AA1226</f>
        <v>Healthcare Providers</v>
      </c>
      <c r="AB1227" s="64" t="str">
        <f>Ringkasan!AB1226</f>
        <v>Healthcare</v>
      </c>
    </row>
    <row r="1228" hidden="1">
      <c r="A1228" s="64" t="str">
        <f>Ringkasan!A1227</f>
        <v>MIKA</v>
      </c>
      <c r="B1228" s="64" t="str">
        <f>Ringkasan!B1227</f>
        <v>PT Mitra Keluarga Karyasehat Tbk.</v>
      </c>
      <c r="C1228" s="65">
        <f>Ringkasan!C1227</f>
        <v>1530</v>
      </c>
      <c r="D1228" s="64" t="str">
        <f>Ringkasan!D1227</f>
        <v>#N/A</v>
      </c>
      <c r="E1228" s="64" t="str">
        <f>Ringkasan!E1227</f>
        <v>SMINFRA18</v>
      </c>
      <c r="F1228" s="64" t="str">
        <f>Ringkasan!F1227</f>
        <v>30 Oktober 2026</v>
      </c>
      <c r="G1228" s="64">
        <f>Ringkasan!G1227</f>
        <v>10</v>
      </c>
      <c r="H1228" s="19">
        <f>Ringkasan!H1227</f>
        <v>16.3</v>
      </c>
      <c r="I1228" s="19">
        <f>Ringkasan!I1227</f>
        <v>2.7</v>
      </c>
      <c r="J1228" s="19">
        <f>Ringkasan!J1227</f>
        <v>16.2</v>
      </c>
      <c r="K1228" s="19">
        <f>Ringkasan!K1227</f>
        <v>14.3</v>
      </c>
      <c r="L1228" s="19">
        <f>Ringkasan!L1227</f>
        <v>0.13</v>
      </c>
      <c r="M1228" s="19">
        <f>Ringkasan!M1227</f>
        <v>100</v>
      </c>
      <c r="N1228" s="64" t="str">
        <f>Ringkasan!N1227</f>
        <v/>
      </c>
      <c r="O1228" s="64" t="str">
        <f>Ringkasan!O1227</f>
        <v/>
      </c>
      <c r="P1228" s="64" t="str">
        <f>Ringkasan!P1227</f>
        <v/>
      </c>
      <c r="Q1228" s="64" t="str">
        <f>Ringkasan!Q1227</f>
        <v/>
      </c>
      <c r="R1228" s="64" t="str">
        <f>Ringkasan!R1227</f>
        <v/>
      </c>
      <c r="S1228" s="64" t="str">
        <f>Ringkasan!S1227</f>
        <v/>
      </c>
      <c r="T1228" s="64" t="str">
        <f>Ringkasan!T1227</f>
        <v/>
      </c>
      <c r="U1228" s="64">
        <f>Ringkasan!U1227</f>
        <v>1500</v>
      </c>
      <c r="V1228" s="64">
        <f>Ringkasan!V1227</f>
        <v>2</v>
      </c>
      <c r="W1228" s="64">
        <f>Ringkasan!W1227</f>
        <v>1500</v>
      </c>
      <c r="X1228" s="64">
        <f>Ringkasan!X1227</f>
        <v>1570</v>
      </c>
      <c r="Y1228" s="64">
        <f>Ringkasan!Y1227</f>
        <v>1500</v>
      </c>
      <c r="Z1228" s="64">
        <f>Ringkasan!Z1227</f>
        <v>3752200</v>
      </c>
      <c r="AA1228" s="64" t="str">
        <f>Ringkasan!AA1227</f>
        <v>Healthcare Providers</v>
      </c>
      <c r="AB1228" s="64" t="str">
        <f>Ringkasan!AB1227</f>
        <v>Healthcare</v>
      </c>
    </row>
    <row r="1229" hidden="1">
      <c r="A1229" s="64" t="str">
        <f>Ringkasan!A1228</f>
        <v>MIKA</v>
      </c>
      <c r="B1229" s="64" t="str">
        <f>Ringkasan!B1228</f>
        <v>PT Mitra Keluarga Karyasehat Tbk.</v>
      </c>
      <c r="C1229" s="65">
        <f>Ringkasan!C1228</f>
        <v>1530</v>
      </c>
      <c r="D1229" s="64" t="str">
        <f>Ringkasan!D1228</f>
        <v>#N/A</v>
      </c>
      <c r="E1229" s="64" t="str">
        <f>Ringkasan!E1228</f>
        <v>JII70</v>
      </c>
      <c r="F1229" s="66">
        <f>Ringkasan!F1228</f>
        <v>46356</v>
      </c>
      <c r="G1229" s="64">
        <f>Ringkasan!G1228</f>
        <v>10</v>
      </c>
      <c r="H1229" s="19">
        <f>Ringkasan!H1228</f>
        <v>16.3</v>
      </c>
      <c r="I1229" s="19">
        <f>Ringkasan!I1228</f>
        <v>2.7</v>
      </c>
      <c r="J1229" s="19">
        <f>Ringkasan!J1228</f>
        <v>16.2</v>
      </c>
      <c r="K1229" s="19">
        <f>Ringkasan!K1228</f>
        <v>14.3</v>
      </c>
      <c r="L1229" s="19">
        <f>Ringkasan!L1228</f>
        <v>0.13</v>
      </c>
      <c r="M1229" s="19">
        <f>Ringkasan!M1228</f>
        <v>100</v>
      </c>
      <c r="N1229" s="64" t="str">
        <f>Ringkasan!N1228</f>
        <v/>
      </c>
      <c r="O1229" s="64" t="str">
        <f>Ringkasan!O1228</f>
        <v/>
      </c>
      <c r="P1229" s="64" t="str">
        <f>Ringkasan!P1228</f>
        <v/>
      </c>
      <c r="Q1229" s="64" t="str">
        <f>Ringkasan!Q1228</f>
        <v/>
      </c>
      <c r="R1229" s="64" t="str">
        <f>Ringkasan!R1228</f>
        <v/>
      </c>
      <c r="S1229" s="64" t="str">
        <f>Ringkasan!S1228</f>
        <v/>
      </c>
      <c r="T1229" s="64" t="str">
        <f>Ringkasan!T1228</f>
        <v/>
      </c>
      <c r="U1229" s="64">
        <f>Ringkasan!U1228</f>
        <v>1500</v>
      </c>
      <c r="V1229" s="64">
        <f>Ringkasan!V1228</f>
        <v>2</v>
      </c>
      <c r="W1229" s="64">
        <f>Ringkasan!W1228</f>
        <v>1500</v>
      </c>
      <c r="X1229" s="64">
        <f>Ringkasan!X1228</f>
        <v>1570</v>
      </c>
      <c r="Y1229" s="64">
        <f>Ringkasan!Y1228</f>
        <v>1500</v>
      </c>
      <c r="Z1229" s="64">
        <f>Ringkasan!Z1228</f>
        <v>3752200</v>
      </c>
      <c r="AA1229" s="64" t="str">
        <f>Ringkasan!AA1228</f>
        <v>Healthcare Providers</v>
      </c>
      <c r="AB1229" s="64" t="str">
        <f>Ringkasan!AB1228</f>
        <v>Healthcare</v>
      </c>
    </row>
    <row r="1230" hidden="1">
      <c r="A1230" s="64" t="str">
        <f>Ringkasan!A1229</f>
        <v>MINA</v>
      </c>
      <c r="B1230" s="64" t="str">
        <f>Ringkasan!B1229</f>
        <v>Sanurhasta Mitra Tbk.</v>
      </c>
      <c r="C1230" s="65">
        <f>Ringkasan!C1229</f>
        <v>288</v>
      </c>
      <c r="D1230" s="64" t="str">
        <f>Ringkasan!D1229</f>
        <v>#N/A</v>
      </c>
      <c r="E1230" s="64" t="str">
        <f>Ringkasan!E1229</f>
        <v/>
      </c>
      <c r="F1230" s="64" t="str">
        <f>Ringkasan!F1229</f>
        <v/>
      </c>
      <c r="G1230" s="64">
        <f>Ringkasan!G1229</f>
        <v>0</v>
      </c>
      <c r="H1230" s="19">
        <f>Ringkasan!H1229</f>
        <v>-2030</v>
      </c>
      <c r="I1230" s="19">
        <f>Ringkasan!I1229</f>
        <v>13.2</v>
      </c>
      <c r="J1230" s="19">
        <f>Ringkasan!J1229</f>
        <v>-0.65</v>
      </c>
      <c r="K1230" s="19">
        <f>Ringkasan!K1229</f>
        <v>-0.64</v>
      </c>
      <c r="L1230" s="19">
        <f>Ringkasan!L1229</f>
        <v>0.01</v>
      </c>
      <c r="M1230" s="19">
        <f>Ringkasan!M1229</f>
        <v>-86.9</v>
      </c>
      <c r="N1230" s="64" t="str">
        <f>Ringkasan!N1229</f>
        <v/>
      </c>
      <c r="O1230" s="64" t="str">
        <f>Ringkasan!O1229</f>
        <v/>
      </c>
      <c r="P1230" s="64" t="str">
        <f>Ringkasan!P1229</f>
        <v/>
      </c>
      <c r="Q1230" s="64" t="str">
        <f>Ringkasan!Q1229</f>
        <v/>
      </c>
      <c r="R1230" s="64" t="str">
        <f>Ringkasan!R1229</f>
        <v/>
      </c>
      <c r="S1230" s="64" t="str">
        <f>Ringkasan!S1229</f>
        <v/>
      </c>
      <c r="T1230" s="64" t="str">
        <f>Ringkasan!T1229</f>
        <v/>
      </c>
      <c r="U1230" s="64" t="str">
        <f>Ringkasan!U1229</f>
        <v/>
      </c>
      <c r="V1230" s="64" t="str">
        <f>Ringkasan!V1229</f>
        <v/>
      </c>
      <c r="W1230" s="64" t="str">
        <f>Ringkasan!W1229</f>
        <v/>
      </c>
      <c r="X1230" s="64" t="str">
        <f>Ringkasan!X1229</f>
        <v/>
      </c>
      <c r="Y1230" s="64" t="str">
        <f>Ringkasan!Y1229</f>
        <v/>
      </c>
      <c r="Z1230" s="64">
        <f>Ringkasan!Z1229</f>
        <v>0</v>
      </c>
      <c r="AA1230" s="64" t="str">
        <f>Ringkasan!AA1229</f>
        <v>Tourism &amp; Recreation</v>
      </c>
      <c r="AB1230" s="64" t="str">
        <f>Ringkasan!AB1229</f>
        <v>Consumer Cyclicals</v>
      </c>
    </row>
    <row r="1231" hidden="1">
      <c r="A1231" s="64" t="str">
        <f>Ringkasan!A1230</f>
        <v>MINE</v>
      </c>
      <c r="B1231" s="64" t="str">
        <f>Ringkasan!B1230</f>
        <v>Sinar Terang Mandiri Tbk.</v>
      </c>
      <c r="C1231" s="67">
        <f>Ringkasan!C1230</f>
        <v>216</v>
      </c>
      <c r="D1231" s="22" t="str">
        <f>Ringkasan!D1230</f>
        <v>#N/A</v>
      </c>
      <c r="E1231" s="64" t="str">
        <f>Ringkasan!E1230</f>
        <v/>
      </c>
      <c r="F1231" s="64" t="str">
        <f>Ringkasan!F1230</f>
        <v/>
      </c>
      <c r="G1231" s="65">
        <f>Ringkasan!G1230</f>
        <v>0</v>
      </c>
      <c r="H1231" s="19">
        <f>Ringkasan!H1230</f>
        <v>4.9</v>
      </c>
      <c r="I1231" s="19">
        <f>Ringkasan!I1230</f>
        <v>0.99</v>
      </c>
      <c r="J1231" s="19">
        <f>Ringkasan!J1230</f>
        <v>20.2</v>
      </c>
      <c r="K1231" s="19">
        <f>Ringkasan!K1230</f>
        <v>10.2</v>
      </c>
      <c r="L1231" s="19">
        <f>Ringkasan!L1230</f>
        <v>0.99</v>
      </c>
      <c r="M1231" s="19">
        <f>Ringkasan!M1230</f>
        <v>29.8</v>
      </c>
      <c r="N1231" s="64" t="str">
        <f>Ringkasan!N1230</f>
        <v/>
      </c>
      <c r="O1231" s="64" t="str">
        <f>Ringkasan!O1230</f>
        <v/>
      </c>
      <c r="P1231" s="64" t="str">
        <f>Ringkasan!P1230</f>
        <v/>
      </c>
      <c r="Q1231" s="64" t="str">
        <f>Ringkasan!Q1230</f>
        <v/>
      </c>
      <c r="R1231" s="64" t="str">
        <f>Ringkasan!R1230</f>
        <v/>
      </c>
      <c r="S1231" s="64" t="str">
        <f>Ringkasan!S1230</f>
        <v/>
      </c>
      <c r="T1231" s="64" t="str">
        <f>Ringkasan!T1230</f>
        <v/>
      </c>
      <c r="U1231" s="22">
        <f>Ringkasan!U1230</f>
        <v>2.69</v>
      </c>
      <c r="V1231" s="22">
        <f>Ringkasan!V1230</f>
        <v>-1.49</v>
      </c>
      <c r="W1231" s="22">
        <f>Ringkasan!W1230</f>
        <v>2.66</v>
      </c>
      <c r="X1231" s="22">
        <f>Ringkasan!X1230</f>
        <v>2.75</v>
      </c>
      <c r="Y1231" s="22">
        <f>Ringkasan!Y1230</f>
        <v>2.62</v>
      </c>
      <c r="Z1231" s="22">
        <f>Ringkasan!Z1230</f>
        <v>54396</v>
      </c>
      <c r="AA1231" s="64" t="str">
        <f>Ringkasan!AA1230</f>
        <v>Metals &amp; Minerals</v>
      </c>
      <c r="AB1231" s="64" t="str">
        <f>Ringkasan!AB1230</f>
        <v>Basic Materials</v>
      </c>
    </row>
    <row r="1232" hidden="1">
      <c r="A1232" s="64" t="str">
        <f>Ringkasan!A1231</f>
        <v>MIRA</v>
      </c>
      <c r="B1232" s="64" t="str">
        <f>Ringkasan!B1231</f>
        <v>Mitra International Resources Tbk</v>
      </c>
      <c r="C1232" s="65">
        <f>Ringkasan!C1231</f>
        <v>22</v>
      </c>
      <c r="D1232" s="64" t="str">
        <f>Ringkasan!D1231</f>
        <v>#N/A</v>
      </c>
      <c r="E1232" s="64" t="str">
        <f>Ringkasan!E1231</f>
        <v/>
      </c>
      <c r="F1232" s="64" t="str">
        <f>Ringkasan!F1231</f>
        <v/>
      </c>
      <c r="G1232" s="64">
        <f>Ringkasan!G1231</f>
        <v>0</v>
      </c>
      <c r="H1232" s="19">
        <f>Ringkasan!H1231</f>
        <v>-10.5</v>
      </c>
      <c r="I1232" s="19">
        <f>Ringkasan!I1231</f>
        <v>0.55</v>
      </c>
      <c r="J1232" s="19">
        <f>Ringkasan!J1231</f>
        <v>-5.3</v>
      </c>
      <c r="K1232" s="19">
        <f>Ringkasan!K1231</f>
        <v>-3.3</v>
      </c>
      <c r="L1232" s="19">
        <f>Ringkasan!L1231</f>
        <v>0.6</v>
      </c>
      <c r="M1232" s="19">
        <f>Ringkasan!M1231</f>
        <v>-56.3</v>
      </c>
      <c r="N1232" s="64" t="str">
        <f>Ringkasan!N1231</f>
        <v/>
      </c>
      <c r="O1232" s="64" t="str">
        <f>Ringkasan!O1231</f>
        <v/>
      </c>
      <c r="P1232" s="64" t="str">
        <f>Ringkasan!P1231</f>
        <v/>
      </c>
      <c r="Q1232" s="64" t="str">
        <f>Ringkasan!Q1231</f>
        <v/>
      </c>
      <c r="R1232" s="64" t="str">
        <f>Ringkasan!R1231</f>
        <v/>
      </c>
      <c r="S1232" s="64" t="str">
        <f>Ringkasan!S1231</f>
        <v/>
      </c>
      <c r="T1232" s="64" t="str">
        <f>Ringkasan!T1231</f>
        <v/>
      </c>
      <c r="U1232" s="64">
        <f>Ringkasan!U1231</f>
        <v>0.96</v>
      </c>
      <c r="V1232" s="64">
        <f>Ringkasan!V1231</f>
        <v>-2.08</v>
      </c>
      <c r="W1232" s="64">
        <f>Ringkasan!W1231</f>
        <v>0.96</v>
      </c>
      <c r="X1232" s="64">
        <f>Ringkasan!X1231</f>
        <v>0.98</v>
      </c>
      <c r="Y1232" s="64">
        <f>Ringkasan!Y1231</f>
        <v>0.94</v>
      </c>
      <c r="Z1232" s="64" t="str">
        <f>Ringkasan!Z1231</f>
        <v/>
      </c>
      <c r="AA1232" s="64" t="str">
        <f>Ringkasan!AA1231</f>
        <v>Logistics &amp; Deliveries</v>
      </c>
      <c r="AB1232" s="64" t="str">
        <f>Ringkasan!AB1231</f>
        <v>Transportation &amp; Logistic</v>
      </c>
    </row>
    <row r="1233" hidden="1">
      <c r="A1233" s="60" t="str">
        <f>Ringkasan!A1232</f>
        <v>MITI</v>
      </c>
      <c r="B1233" s="60" t="str">
        <f>Ringkasan!B1232</f>
        <v>Mitra Investindo Tbk.</v>
      </c>
      <c r="C1233" s="61">
        <f>Ringkasan!C1232</f>
        <v>166</v>
      </c>
      <c r="D1233" s="60" t="str">
        <f>Ringkasan!D1232</f>
        <v>#N/A</v>
      </c>
      <c r="E1233" s="60" t="str">
        <f>Ringkasan!E1232</f>
        <v/>
      </c>
      <c r="F1233" s="60" t="str">
        <f>Ringkasan!F1232</f>
        <v/>
      </c>
      <c r="G1233" s="60">
        <f>Ringkasan!G1232</f>
        <v>0</v>
      </c>
      <c r="H1233" s="62">
        <f>Ringkasan!H1232</f>
        <v>55.1</v>
      </c>
      <c r="I1233" s="62">
        <f>Ringkasan!I1232</f>
        <v>1.4</v>
      </c>
      <c r="J1233" s="62">
        <f>Ringkasan!J1232</f>
        <v>2.5</v>
      </c>
      <c r="K1233" s="62">
        <f>Ringkasan!K1232</f>
        <v>2.2</v>
      </c>
      <c r="L1233" s="62">
        <f>Ringkasan!L1232</f>
        <v>0.16</v>
      </c>
      <c r="M1233" s="62">
        <f>Ringkasan!M1232</f>
        <v>30.6</v>
      </c>
      <c r="N1233" s="60" t="str">
        <f>Ringkasan!N1232</f>
        <v/>
      </c>
      <c r="O1233" s="60" t="str">
        <f>Ringkasan!O1232</f>
        <v/>
      </c>
      <c r="P1233" s="60" t="str">
        <f>Ringkasan!P1232</f>
        <v/>
      </c>
      <c r="Q1233" s="60" t="str">
        <f>Ringkasan!Q1232</f>
        <v/>
      </c>
      <c r="R1233" s="60" t="str">
        <f>Ringkasan!R1232</f>
        <v/>
      </c>
      <c r="S1233" s="60" t="str">
        <f>Ringkasan!S1232</f>
        <v/>
      </c>
      <c r="T1233" s="60" t="str">
        <f>Ringkasan!T1232</f>
        <v/>
      </c>
      <c r="U1233" s="60">
        <f>Ringkasan!U1232</f>
        <v>0.09</v>
      </c>
      <c r="V1233" s="60">
        <f>Ringkasan!V1232</f>
        <v>-9.09</v>
      </c>
      <c r="W1233" s="60">
        <f>Ringkasan!W1232</f>
        <v>0.07</v>
      </c>
      <c r="X1233" s="60">
        <f>Ringkasan!X1232</f>
        <v>0.09</v>
      </c>
      <c r="Y1233" s="60">
        <f>Ringkasan!Y1232</f>
        <v>0.06</v>
      </c>
      <c r="Z1233" s="60">
        <f>Ringkasan!Z1232</f>
        <v>52830</v>
      </c>
      <c r="AA1233" s="60" t="str">
        <f>Ringkasan!AA1232</f>
        <v>Logistics &amp; Deliveries</v>
      </c>
      <c r="AB1233" s="60" t="str">
        <f>Ringkasan!AB1232</f>
        <v>Transportation &amp; Logistic</v>
      </c>
    </row>
    <row r="1234" hidden="1">
      <c r="A1234" s="64" t="str">
        <f>Ringkasan!A1233</f>
        <v>MKAP</v>
      </c>
      <c r="B1234" s="64" t="str">
        <f>Ringkasan!B1233</f>
        <v>Multikarya Asia Pasifik Raya Tbk.</v>
      </c>
      <c r="C1234" s="65">
        <f>Ringkasan!C1233</f>
        <v>1045</v>
      </c>
      <c r="D1234" s="64" t="str">
        <f>Ringkasan!D1233</f>
        <v>#N/A</v>
      </c>
      <c r="E1234" s="64" t="str">
        <f>Ringkasan!E1233</f>
        <v/>
      </c>
      <c r="F1234" s="64" t="str">
        <f>Ringkasan!F1233</f>
        <v/>
      </c>
      <c r="G1234" s="64">
        <f>Ringkasan!G1233</f>
        <v>0</v>
      </c>
      <c r="H1234" s="19">
        <f>Ringkasan!H1233</f>
        <v>81.1</v>
      </c>
      <c r="I1234" s="19">
        <f>Ringkasan!I1233</f>
        <v>10.6</v>
      </c>
      <c r="J1234" s="19">
        <f>Ringkasan!J1233</f>
        <v>13</v>
      </c>
      <c r="K1234" s="19">
        <f>Ringkasan!K1233</f>
        <v>8</v>
      </c>
      <c r="L1234" s="19">
        <f>Ringkasan!L1233</f>
        <v>0.62</v>
      </c>
      <c r="M1234" s="19">
        <f>Ringkasan!M1233</f>
        <v>47.7</v>
      </c>
      <c r="N1234" s="64" t="str">
        <f>Ringkasan!N1233</f>
        <v/>
      </c>
      <c r="O1234" s="64" t="str">
        <f>Ringkasan!O1233</f>
        <v/>
      </c>
      <c r="P1234" s="64" t="str">
        <f>Ringkasan!P1233</f>
        <v/>
      </c>
      <c r="Q1234" s="64" t="str">
        <f>Ringkasan!Q1233</f>
        <v/>
      </c>
      <c r="R1234" s="64" t="str">
        <f>Ringkasan!R1233</f>
        <v/>
      </c>
      <c r="S1234" s="64" t="str">
        <f>Ringkasan!S1233</f>
        <v/>
      </c>
      <c r="T1234" s="64" t="str">
        <f>Ringkasan!T1233</f>
        <v/>
      </c>
      <c r="U1234" s="64">
        <f>Ringkasan!U1233</f>
        <v>1050</v>
      </c>
      <c r="V1234" s="64">
        <f>Ringkasan!V1233</f>
        <v>-0.48</v>
      </c>
      <c r="W1234" s="64">
        <f>Ringkasan!W1233</f>
        <v>1045</v>
      </c>
      <c r="X1234" s="64">
        <f>Ringkasan!X1233</f>
        <v>1050</v>
      </c>
      <c r="Y1234" s="64">
        <f>Ringkasan!Y1233</f>
        <v>1045</v>
      </c>
      <c r="Z1234" s="64">
        <f>Ringkasan!Z1233</f>
        <v>170300</v>
      </c>
      <c r="AA1234" s="64" t="str">
        <f>Ringkasan!AA1233</f>
        <v>Oil, Gas &amp; Coal Supports</v>
      </c>
      <c r="AB1234" s="64" t="str">
        <f>Ringkasan!AB1233</f>
        <v>Energy</v>
      </c>
    </row>
    <row r="1235" hidden="1">
      <c r="A1235" s="64" t="str">
        <f>Ringkasan!A1234</f>
        <v>MKNT</v>
      </c>
      <c r="B1235" s="64" t="str">
        <f>Ringkasan!B1234</f>
        <v>Mitra Komunikasi Nusantara Tbk.</v>
      </c>
      <c r="C1235" s="65">
        <f>Ringkasan!C1234</f>
        <v>1</v>
      </c>
      <c r="D1235" s="64" t="str">
        <f>Ringkasan!D1234</f>
        <v>#N/A</v>
      </c>
      <c r="E1235" s="64" t="str">
        <f>Ringkasan!E1234</f>
        <v/>
      </c>
      <c r="F1235" s="64" t="str">
        <f>Ringkasan!F1234</f>
        <v/>
      </c>
      <c r="G1235" s="64">
        <f>Ringkasan!G1234</f>
        <v>0</v>
      </c>
      <c r="H1235" s="19">
        <f>Ringkasan!H1234</f>
        <v>-3.6</v>
      </c>
      <c r="I1235" s="19">
        <f>Ringkasan!I1234</f>
        <v>-0.75</v>
      </c>
      <c r="J1235" s="19">
        <f>Ringkasan!J1234</f>
        <v>0</v>
      </c>
      <c r="K1235" s="19">
        <f>Ringkasan!K1234</f>
        <v>-0.19</v>
      </c>
      <c r="L1235" s="19">
        <f>Ringkasan!L1234</f>
        <v>-110</v>
      </c>
      <c r="M1235" s="19">
        <f>Ringkasan!M1234</f>
        <v>-41.6</v>
      </c>
      <c r="N1235" s="64" t="str">
        <f>Ringkasan!N1234</f>
        <v/>
      </c>
      <c r="O1235" s="64" t="str">
        <f>Ringkasan!O1234</f>
        <v/>
      </c>
      <c r="P1235" s="64" t="str">
        <f>Ringkasan!P1234</f>
        <v/>
      </c>
      <c r="Q1235" s="64" t="str">
        <f>Ringkasan!Q1234</f>
        <v/>
      </c>
      <c r="R1235" s="64" t="str">
        <f>Ringkasan!R1234</f>
        <v/>
      </c>
      <c r="S1235" s="64" t="str">
        <f>Ringkasan!S1234</f>
        <v/>
      </c>
      <c r="T1235" s="64" t="str">
        <f>Ringkasan!T1234</f>
        <v/>
      </c>
      <c r="U1235" s="64">
        <f>Ringkasan!U1234</f>
        <v>1</v>
      </c>
      <c r="V1235" s="64">
        <f>Ringkasan!V1234</f>
        <v>0</v>
      </c>
      <c r="W1235" s="64" t="str">
        <f>Ringkasan!W1234</f>
        <v/>
      </c>
      <c r="X1235" s="64" t="str">
        <f>Ringkasan!X1234</f>
        <v/>
      </c>
      <c r="Y1235" s="64" t="str">
        <f>Ringkasan!Y1234</f>
        <v/>
      </c>
      <c r="Z1235" s="64">
        <f>Ringkasan!Z1234</f>
        <v>0</v>
      </c>
      <c r="AA1235" s="64" t="str">
        <f>Ringkasan!AA1234</f>
        <v>Consumer Distributors</v>
      </c>
      <c r="AB1235" s="64" t="str">
        <f>Ringkasan!AB1234</f>
        <v>Consumer Cyclicals</v>
      </c>
    </row>
    <row r="1236" hidden="1">
      <c r="A1236" s="64" t="str">
        <f>Ringkasan!A1235</f>
        <v>MKPI</v>
      </c>
      <c r="B1236" s="64" t="str">
        <f>Ringkasan!B1235</f>
        <v>Metropolitan Kentjana Tbk.</v>
      </c>
      <c r="C1236" s="65">
        <f>Ringkasan!C1235</f>
        <v>21850</v>
      </c>
      <c r="D1236" s="64" t="str">
        <f>Ringkasan!D1235</f>
        <v>#N/A</v>
      </c>
      <c r="E1236" s="64" t="str">
        <f>Ringkasan!E1235</f>
        <v/>
      </c>
      <c r="F1236" s="64" t="str">
        <f>Ringkasan!F1235</f>
        <v/>
      </c>
      <c r="G1236" s="64">
        <f>Ringkasan!G1235</f>
        <v>0</v>
      </c>
      <c r="H1236" s="19">
        <f>Ringkasan!H1235</f>
        <v>17.8</v>
      </c>
      <c r="I1236" s="19">
        <f>Ringkasan!I1235</f>
        <v>2.6</v>
      </c>
      <c r="J1236" s="19">
        <f>Ringkasan!J1235</f>
        <v>14.5</v>
      </c>
      <c r="K1236" s="19">
        <f>Ringkasan!K1235</f>
        <v>11.8</v>
      </c>
      <c r="L1236" s="19">
        <f>Ringkasan!L1235</f>
        <v>0.23</v>
      </c>
      <c r="M1236" s="19">
        <f>Ringkasan!M1235</f>
        <v>170</v>
      </c>
      <c r="N1236" s="64" t="str">
        <f>Ringkasan!N1235</f>
        <v/>
      </c>
      <c r="O1236" s="64" t="str">
        <f>Ringkasan!O1235</f>
        <v/>
      </c>
      <c r="P1236" s="64" t="str">
        <f>Ringkasan!P1235</f>
        <v/>
      </c>
      <c r="Q1236" s="64" t="str">
        <f>Ringkasan!Q1235</f>
        <v/>
      </c>
      <c r="R1236" s="64" t="str">
        <f>Ringkasan!R1235</f>
        <v/>
      </c>
      <c r="S1236" s="64" t="str">
        <f>Ringkasan!S1235</f>
        <v/>
      </c>
      <c r="T1236" s="64" t="str">
        <f>Ringkasan!T1235</f>
        <v/>
      </c>
      <c r="U1236" s="64">
        <f>Ringkasan!U1235</f>
        <v>21825</v>
      </c>
      <c r="V1236" s="64">
        <f>Ringkasan!V1235</f>
        <v>0.11</v>
      </c>
      <c r="W1236" s="64">
        <f>Ringkasan!W1235</f>
        <v>21750</v>
      </c>
      <c r="X1236" s="64">
        <f>Ringkasan!X1235</f>
        <v>21850</v>
      </c>
      <c r="Y1236" s="64">
        <f>Ringkasan!Y1235</f>
        <v>21750</v>
      </c>
      <c r="Z1236" s="64">
        <f>Ringkasan!Z1235</f>
        <v>41000</v>
      </c>
      <c r="AA1236" s="64" t="str">
        <f>Ringkasan!AA1235</f>
        <v>Real Estate Management &amp; Development</v>
      </c>
      <c r="AB1236" s="64" t="str">
        <f>Ringkasan!AB1235</f>
        <v>Properties &amp; Real Estate</v>
      </c>
    </row>
    <row r="1237" hidden="1">
      <c r="A1237" s="64" t="str">
        <f>Ringkasan!A1236</f>
        <v>MKTR</v>
      </c>
      <c r="B1237" s="64" t="str">
        <f>Ringkasan!B1236</f>
        <v>Menthobi Karyatama Raya Tbk.</v>
      </c>
      <c r="C1237" s="65">
        <f>Ringkasan!C1236</f>
        <v>123</v>
      </c>
      <c r="D1237" s="64" t="str">
        <f>Ringkasan!D1236</f>
        <v>#N/A</v>
      </c>
      <c r="E1237" s="64" t="str">
        <f>Ringkasan!E1236</f>
        <v/>
      </c>
      <c r="F1237" s="64" t="str">
        <f>Ringkasan!F1236</f>
        <v/>
      </c>
      <c r="G1237" s="64">
        <f>Ringkasan!G1236</f>
        <v>0</v>
      </c>
      <c r="H1237" s="19">
        <f>Ringkasan!H1236</f>
        <v>26.3</v>
      </c>
      <c r="I1237" s="19">
        <f>Ringkasan!I1236</f>
        <v>2.2</v>
      </c>
      <c r="J1237" s="19">
        <f>Ringkasan!J1236</f>
        <v>8.5</v>
      </c>
      <c r="K1237" s="19">
        <f>Ringkasan!K1236</f>
        <v>3.8</v>
      </c>
      <c r="L1237" s="19">
        <f>Ringkasan!L1236</f>
        <v>1.3</v>
      </c>
      <c r="M1237" s="19">
        <f>Ringkasan!M1236</f>
        <v>17.8</v>
      </c>
      <c r="N1237" s="64" t="str">
        <f>Ringkasan!N1236</f>
        <v/>
      </c>
      <c r="O1237" s="64" t="str">
        <f>Ringkasan!O1236</f>
        <v/>
      </c>
      <c r="P1237" s="64" t="str">
        <f>Ringkasan!P1236</f>
        <v/>
      </c>
      <c r="Q1237" s="64" t="str">
        <f>Ringkasan!Q1236</f>
        <v/>
      </c>
      <c r="R1237" s="64" t="str">
        <f>Ringkasan!R1236</f>
        <v/>
      </c>
      <c r="S1237" s="64" t="str">
        <f>Ringkasan!S1236</f>
        <v/>
      </c>
      <c r="T1237" s="64" t="str">
        <f>Ringkasan!T1236</f>
        <v/>
      </c>
      <c r="U1237" s="64">
        <f>Ringkasan!U1236</f>
        <v>123</v>
      </c>
      <c r="V1237" s="64">
        <f>Ringkasan!V1236</f>
        <v>0</v>
      </c>
      <c r="W1237" s="64">
        <f>Ringkasan!W1236</f>
        <v>125</v>
      </c>
      <c r="X1237" s="64">
        <f>Ringkasan!X1236</f>
        <v>125</v>
      </c>
      <c r="Y1237" s="64">
        <f>Ringkasan!Y1236</f>
        <v>114</v>
      </c>
      <c r="Z1237" s="64">
        <f>Ringkasan!Z1236</f>
        <v>175000</v>
      </c>
      <c r="AA1237" s="64" t="str">
        <f>Ringkasan!AA1236</f>
        <v>Agricultural Products</v>
      </c>
      <c r="AB1237" s="64" t="str">
        <f>Ringkasan!AB1236</f>
        <v>Consumer Non-Cyclicals</v>
      </c>
    </row>
    <row r="1238" hidden="1">
      <c r="A1238" s="64" t="str">
        <f>Ringkasan!A1237</f>
        <v>MLBI</v>
      </c>
      <c r="B1238" s="64" t="str">
        <f>Ringkasan!B1237</f>
        <v>Multi Bintang Indonesia Tbk.</v>
      </c>
      <c r="C1238" s="65">
        <f>Ringkasan!C1237</f>
        <v>6000</v>
      </c>
      <c r="D1238" s="64" t="str">
        <f>Ringkasan!D1237</f>
        <v>#N/A</v>
      </c>
      <c r="E1238" s="64" t="str">
        <f>Ringkasan!E1237</f>
        <v>FTSE Micro Cap</v>
      </c>
      <c r="F1238" s="64" t="str">
        <f>Ringkasan!F1237</f>
        <v>4 Agustus 2026</v>
      </c>
      <c r="G1238" s="65">
        <f>Ringkasan!G1237</f>
        <v>1</v>
      </c>
      <c r="H1238" s="19">
        <f>Ringkasan!H1237</f>
        <v>10.4</v>
      </c>
      <c r="I1238" s="19">
        <f>Ringkasan!I1237</f>
        <v>8</v>
      </c>
      <c r="J1238" s="19">
        <f>Ringkasan!J1237</f>
        <v>76.7</v>
      </c>
      <c r="K1238" s="19">
        <f>Ringkasan!K1237</f>
        <v>33.6</v>
      </c>
      <c r="L1238" s="19">
        <f>Ringkasan!L1237</f>
        <v>1.3</v>
      </c>
      <c r="M1238" s="19">
        <f>Ringkasan!M1237</f>
        <v>160</v>
      </c>
      <c r="N1238" s="64" t="str">
        <f>Ringkasan!N1237</f>
        <v/>
      </c>
      <c r="O1238" s="64" t="str">
        <f>Ringkasan!O1237</f>
        <v/>
      </c>
      <c r="P1238" s="64" t="str">
        <f>Ringkasan!P1237</f>
        <v/>
      </c>
      <c r="Q1238" s="64" t="str">
        <f>Ringkasan!Q1237</f>
        <v/>
      </c>
      <c r="R1238" s="64" t="str">
        <f>Ringkasan!R1237</f>
        <v/>
      </c>
      <c r="S1238" s="64" t="str">
        <f>Ringkasan!S1237</f>
        <v/>
      </c>
      <c r="T1238" s="64" t="str">
        <f>Ringkasan!T1237</f>
        <v/>
      </c>
      <c r="U1238" s="64">
        <f>Ringkasan!U1237</f>
        <v>6000</v>
      </c>
      <c r="V1238" s="64">
        <f>Ringkasan!V1237</f>
        <v>0</v>
      </c>
      <c r="W1238" s="64">
        <f>Ringkasan!W1237</f>
        <v>6000</v>
      </c>
      <c r="X1238" s="64">
        <f>Ringkasan!X1237</f>
        <v>6025</v>
      </c>
      <c r="Y1238" s="64">
        <f>Ringkasan!Y1237</f>
        <v>5975</v>
      </c>
      <c r="Z1238" s="64">
        <f>Ringkasan!Z1237</f>
        <v>162700</v>
      </c>
      <c r="AA1238" s="64" t="str">
        <f>Ringkasan!AA1237</f>
        <v>Beverages</v>
      </c>
      <c r="AB1238" s="64" t="str">
        <f>Ringkasan!AB1237</f>
        <v>Consumer Non-Cyclicals</v>
      </c>
    </row>
    <row r="1239" hidden="1">
      <c r="A1239" s="64" t="str">
        <f>Ringkasan!A1238</f>
        <v>MLIA</v>
      </c>
      <c r="B1239" s="64" t="str">
        <f>Ringkasan!B1238</f>
        <v>Mulia Industrindo Tbk</v>
      </c>
      <c r="C1239" s="67">
        <f>Ringkasan!C1238</f>
        <v>236</v>
      </c>
      <c r="D1239" s="22" t="str">
        <f>Ringkasan!D1238</f>
        <v>#N/A</v>
      </c>
      <c r="E1239" s="64" t="str">
        <f>Ringkasan!E1238</f>
        <v/>
      </c>
      <c r="F1239" s="64" t="str">
        <f>Ringkasan!F1238</f>
        <v/>
      </c>
      <c r="G1239" s="64">
        <f>Ringkasan!G1238</f>
        <v>0</v>
      </c>
      <c r="H1239" s="19">
        <f>Ringkasan!H1238</f>
        <v>-20.9</v>
      </c>
      <c r="I1239" s="19">
        <f>Ringkasan!I1238</f>
        <v>0.31</v>
      </c>
      <c r="J1239" s="19">
        <f>Ringkasan!J1238</f>
        <v>-1.5</v>
      </c>
      <c r="K1239" s="19">
        <f>Ringkasan!K1238</f>
        <v>-1.1</v>
      </c>
      <c r="L1239" s="19">
        <f>Ringkasan!L1238</f>
        <v>0.38</v>
      </c>
      <c r="M1239" s="19">
        <f>Ringkasan!M1238</f>
        <v>-8.9</v>
      </c>
      <c r="N1239" s="64" t="str">
        <f>Ringkasan!N1238</f>
        <v/>
      </c>
      <c r="O1239" s="64" t="str">
        <f>Ringkasan!O1238</f>
        <v/>
      </c>
      <c r="P1239" s="64" t="str">
        <f>Ringkasan!P1238</f>
        <v/>
      </c>
      <c r="Q1239" s="64" t="str">
        <f>Ringkasan!Q1238</f>
        <v/>
      </c>
      <c r="R1239" s="64" t="str">
        <f>Ringkasan!R1238</f>
        <v/>
      </c>
      <c r="S1239" s="64" t="str">
        <f>Ringkasan!S1238</f>
        <v/>
      </c>
      <c r="T1239" s="64" t="str">
        <f>Ringkasan!T1238</f>
        <v/>
      </c>
      <c r="U1239" s="22">
        <f>Ringkasan!U1238</f>
        <v>236</v>
      </c>
      <c r="V1239" s="22">
        <f>Ringkasan!V1238</f>
        <v>0</v>
      </c>
      <c r="W1239" s="22">
        <f>Ringkasan!W1238</f>
        <v>236</v>
      </c>
      <c r="X1239" s="22">
        <f>Ringkasan!X1238</f>
        <v>236</v>
      </c>
      <c r="Y1239" s="22">
        <f>Ringkasan!Y1238</f>
        <v>234</v>
      </c>
      <c r="Z1239" s="22" t="str">
        <f>Ringkasan!Z1238</f>
        <v/>
      </c>
      <c r="AA1239" s="64" t="str">
        <f>Ringkasan!AA1238</f>
        <v>Building Products &amp; Fixtures</v>
      </c>
      <c r="AB1239" s="64" t="str">
        <f>Ringkasan!AB1238</f>
        <v>Industrials</v>
      </c>
    </row>
    <row r="1240">
      <c r="A1240" s="60" t="str">
        <f>Ringkasan!A1146</f>
        <v>MAPI</v>
      </c>
      <c r="B1240" s="60" t="str">
        <f>Ringkasan!B1146</f>
        <v>Mitra Adiperkasa Tbk.</v>
      </c>
      <c r="C1240" s="61">
        <f>Ringkasan!C1146</f>
        <v>1490</v>
      </c>
      <c r="D1240" s="60" t="str">
        <f>Ringkasan!D1146</f>
        <v>#N/A</v>
      </c>
      <c r="E1240" s="60" t="str">
        <f>Ringkasan!E1146</f>
        <v>IDXSMC-LIQ</v>
      </c>
      <c r="F1240" s="60" t="str">
        <f>Ringkasan!F1146</f>
        <v>4 Agustus 2026</v>
      </c>
      <c r="G1240" s="60">
        <f>Ringkasan!G1146</f>
        <v>12</v>
      </c>
      <c r="H1240" s="62">
        <f>Ringkasan!H1146</f>
        <v>10.4</v>
      </c>
      <c r="I1240" s="62">
        <f>Ringkasan!I1146</f>
        <v>1.4</v>
      </c>
      <c r="J1240" s="62">
        <f>Ringkasan!J1146</f>
        <v>13.3</v>
      </c>
      <c r="K1240" s="62">
        <f>Ringkasan!K1146</f>
        <v>7</v>
      </c>
      <c r="L1240" s="62">
        <f>Ringkasan!L1146</f>
        <v>0.9</v>
      </c>
      <c r="M1240" s="62">
        <f>Ringkasan!M1146</f>
        <v>19.4</v>
      </c>
      <c r="N1240" s="60" t="str">
        <f>Ringkasan!N1146</f>
        <v/>
      </c>
      <c r="O1240" s="60" t="str">
        <f>Ringkasan!O1146</f>
        <v/>
      </c>
      <c r="P1240" s="60" t="str">
        <f>Ringkasan!P1146</f>
        <v/>
      </c>
      <c r="Q1240" s="60" t="str">
        <f>Ringkasan!Q1146</f>
        <v/>
      </c>
      <c r="R1240" s="60" t="str">
        <f>Ringkasan!R1146</f>
        <v/>
      </c>
      <c r="S1240" s="60" t="str">
        <f>Ringkasan!S1146</f>
        <v/>
      </c>
      <c r="T1240" s="60" t="str">
        <f>Ringkasan!T1146</f>
        <v/>
      </c>
      <c r="U1240" s="60">
        <f>Ringkasan!U1146</f>
        <v>1485</v>
      </c>
      <c r="V1240" s="60">
        <f>Ringkasan!V1146</f>
        <v>0.34</v>
      </c>
      <c r="W1240" s="60">
        <f>Ringkasan!W1146</f>
        <v>1485</v>
      </c>
      <c r="X1240" s="60">
        <f>Ringkasan!X1146</f>
        <v>1490</v>
      </c>
      <c r="Y1240" s="60">
        <f>Ringkasan!Y1146</f>
        <v>1485</v>
      </c>
      <c r="Z1240" s="60">
        <f>Ringkasan!Z1146</f>
        <v>73594900</v>
      </c>
      <c r="AA1240" s="60" t="str">
        <f>Ringkasan!AA1146</f>
        <v>Specialty Retail</v>
      </c>
      <c r="AB1240" s="60" t="str">
        <f>Ringkasan!AB1146</f>
        <v>Consumer Cyclicals</v>
      </c>
    </row>
    <row r="1241" hidden="1">
      <c r="A1241" s="64" t="str">
        <f>Ringkasan!A1240</f>
        <v>MLPT</v>
      </c>
      <c r="B1241" s="64" t="str">
        <f>Ringkasan!B1240</f>
        <v>Multipolar Technology Tbk.</v>
      </c>
      <c r="C1241" s="67">
        <f>Ringkasan!C1240</f>
        <v>20200</v>
      </c>
      <c r="D1241" s="22" t="str">
        <f>Ringkasan!D1240</f>
        <v>#N/A</v>
      </c>
      <c r="E1241" s="64" t="str">
        <f>Ringkasan!E1240</f>
        <v/>
      </c>
      <c r="F1241" s="64" t="str">
        <f>Ringkasan!F1240</f>
        <v/>
      </c>
      <c r="G1241" s="64">
        <f>Ringkasan!G1240</f>
        <v>0</v>
      </c>
      <c r="H1241" s="19">
        <f>Ringkasan!H1240</f>
        <v>120</v>
      </c>
      <c r="I1241" s="19">
        <f>Ringkasan!I1240</f>
        <v>45.2</v>
      </c>
      <c r="J1241" s="19">
        <f>Ringkasan!J1240</f>
        <v>38.4</v>
      </c>
      <c r="K1241" s="19">
        <f>Ringkasan!K1240</f>
        <v>7.8</v>
      </c>
      <c r="L1241" s="19">
        <f>Ringkasan!L1240</f>
        <v>3.9</v>
      </c>
      <c r="M1241" s="19">
        <f>Ringkasan!M1240</f>
        <v>36.1</v>
      </c>
      <c r="N1241" s="64" t="str">
        <f>Ringkasan!N1240</f>
        <v/>
      </c>
      <c r="O1241" s="64" t="str">
        <f>Ringkasan!O1240</f>
        <v/>
      </c>
      <c r="P1241" s="64" t="str">
        <f>Ringkasan!P1240</f>
        <v/>
      </c>
      <c r="Q1241" s="64" t="str">
        <f>Ringkasan!Q1240</f>
        <v/>
      </c>
      <c r="R1241" s="64" t="str">
        <f>Ringkasan!R1240</f>
        <v/>
      </c>
      <c r="S1241" s="64" t="str">
        <f>Ringkasan!S1240</f>
        <v/>
      </c>
      <c r="T1241" s="64" t="str">
        <f>Ringkasan!T1240</f>
        <v/>
      </c>
      <c r="U1241" s="22">
        <f>Ringkasan!U1240</f>
        <v>20400</v>
      </c>
      <c r="V1241" s="22">
        <f>Ringkasan!V1240</f>
        <v>-0.98</v>
      </c>
      <c r="W1241" s="22" t="str">
        <f>Ringkasan!W1240</f>
        <v/>
      </c>
      <c r="X1241" s="22">
        <f>Ringkasan!X1240</f>
        <v>22175</v>
      </c>
      <c r="Y1241" s="22">
        <f>Ringkasan!Y1240</f>
        <v>20175</v>
      </c>
      <c r="Z1241" s="22">
        <f>Ringkasan!Z1240</f>
        <v>74800</v>
      </c>
      <c r="AA1241" s="64" t="str">
        <f>Ringkasan!AA1240</f>
        <v>IT Services &amp; Consulting</v>
      </c>
      <c r="AB1241" s="64" t="str">
        <f>Ringkasan!AB1240</f>
        <v>Technology</v>
      </c>
    </row>
    <row r="1242" hidden="1">
      <c r="A1242" s="64" t="str">
        <f>Ringkasan!A1241</f>
        <v>MMIX</v>
      </c>
      <c r="B1242" s="64" t="str">
        <f>Ringkasan!B1241</f>
        <v>PT Multi Medika Internasional Tbk</v>
      </c>
      <c r="C1242" s="67" t="str">
        <f>Ringkasan!C1241</f>
        <v>#N/A</v>
      </c>
      <c r="D1242" s="22" t="str">
        <f>Ringkasan!D1241</f>
        <v>#N/A</v>
      </c>
      <c r="E1242" s="64" t="str">
        <f>Ringkasan!E1241</f>
        <v/>
      </c>
      <c r="F1242" s="64" t="str">
        <f>Ringkasan!F1241</f>
        <v/>
      </c>
      <c r="G1242" s="64">
        <f>Ringkasan!G1241</f>
        <v>0</v>
      </c>
      <c r="H1242" s="19">
        <f>Ringkasan!H1241</f>
        <v>370</v>
      </c>
      <c r="I1242" s="19">
        <f>Ringkasan!I1241</f>
        <v>10.8</v>
      </c>
      <c r="J1242" s="19">
        <f>Ringkasan!J1241</f>
        <v>2.9</v>
      </c>
      <c r="K1242" s="19">
        <f>Ringkasan!K1241</f>
        <v>1.3</v>
      </c>
      <c r="L1242" s="19">
        <f>Ringkasan!L1241</f>
        <v>1.3</v>
      </c>
      <c r="M1242" s="19">
        <f>Ringkasan!M1241</f>
        <v>11</v>
      </c>
      <c r="N1242" s="64" t="str">
        <f>Ringkasan!N1241</f>
        <v/>
      </c>
      <c r="O1242" s="64" t="str">
        <f>Ringkasan!O1241</f>
        <v/>
      </c>
      <c r="P1242" s="64" t="str">
        <f>Ringkasan!P1241</f>
        <v/>
      </c>
      <c r="Q1242" s="64" t="str">
        <f>Ringkasan!Q1241</f>
        <v/>
      </c>
      <c r="R1242" s="64" t="str">
        <f>Ringkasan!R1241</f>
        <v/>
      </c>
      <c r="S1242" s="64" t="str">
        <f>Ringkasan!S1241</f>
        <v/>
      </c>
      <c r="T1242" s="64" t="str">
        <f>Ringkasan!T1241</f>
        <v/>
      </c>
      <c r="U1242" s="22">
        <f>Ringkasan!U1241</f>
        <v>750</v>
      </c>
      <c r="V1242" s="22">
        <f>Ringkasan!V1241</f>
        <v>0</v>
      </c>
      <c r="W1242" s="22" t="str">
        <f>Ringkasan!W1241</f>
        <v/>
      </c>
      <c r="X1242" s="22" t="str">
        <f>Ringkasan!X1241</f>
        <v/>
      </c>
      <c r="Y1242" s="22" t="str">
        <f>Ringkasan!Y1241</f>
        <v/>
      </c>
      <c r="Z1242" s="22">
        <f>Ringkasan!Z1241</f>
        <v>0</v>
      </c>
      <c r="AA1242" s="64" t="str">
        <f>Ringkasan!AA1241</f>
        <v>Healthcare Equipment &amp; Supplies</v>
      </c>
      <c r="AB1242" s="64" t="str">
        <f>Ringkasan!AB1241</f>
        <v>Healthcare</v>
      </c>
    </row>
    <row r="1243" hidden="1">
      <c r="A1243" s="64" t="str">
        <f>Ringkasan!A1242</f>
        <v>MMLP</v>
      </c>
      <c r="B1243" s="64" t="str">
        <f>Ringkasan!B1242</f>
        <v>Mega Manunggal Property Tbk.</v>
      </c>
      <c r="C1243" s="67">
        <f>Ringkasan!C1242</f>
        <v>308</v>
      </c>
      <c r="D1243" s="22" t="str">
        <f>Ringkasan!D1242</f>
        <v>#N/A</v>
      </c>
      <c r="E1243" s="64" t="str">
        <f>Ringkasan!E1242</f>
        <v/>
      </c>
      <c r="F1243" s="64" t="str">
        <f>Ringkasan!F1242</f>
        <v/>
      </c>
      <c r="G1243" s="65">
        <f>Ringkasan!G1242</f>
        <v>0</v>
      </c>
      <c r="H1243" s="19">
        <f>Ringkasan!H1242</f>
        <v>25.1</v>
      </c>
      <c r="I1243" s="19">
        <f>Ringkasan!I1242</f>
        <v>0.45</v>
      </c>
      <c r="J1243" s="19">
        <f>Ringkasan!J1242</f>
        <v>1.8</v>
      </c>
      <c r="K1243" s="19">
        <f>Ringkasan!K1242</f>
        <v>1.3</v>
      </c>
      <c r="L1243" s="19">
        <f>Ringkasan!L1242</f>
        <v>0.38</v>
      </c>
      <c r="M1243" s="19">
        <f>Ringkasan!M1242</f>
        <v>92.8</v>
      </c>
      <c r="N1243" s="64" t="str">
        <f>Ringkasan!N1242</f>
        <v/>
      </c>
      <c r="O1243" s="64" t="str">
        <f>Ringkasan!O1242</f>
        <v/>
      </c>
      <c r="P1243" s="64" t="str">
        <f>Ringkasan!P1242</f>
        <v/>
      </c>
      <c r="Q1243" s="64" t="str">
        <f>Ringkasan!Q1242</f>
        <v/>
      </c>
      <c r="R1243" s="64" t="str">
        <f>Ringkasan!R1242</f>
        <v/>
      </c>
      <c r="S1243" s="64" t="str">
        <f>Ringkasan!S1242</f>
        <v/>
      </c>
      <c r="T1243" s="64" t="str">
        <f>Ringkasan!T1242</f>
        <v/>
      </c>
      <c r="U1243" s="22">
        <f>Ringkasan!U1242</f>
        <v>2.94</v>
      </c>
      <c r="V1243" s="22">
        <f>Ringkasan!V1242</f>
        <v>-8.67</v>
      </c>
      <c r="W1243" s="22">
        <f>Ringkasan!W1242</f>
        <v>2.92</v>
      </c>
      <c r="X1243" s="22">
        <f>Ringkasan!X1242</f>
        <v>2.97</v>
      </c>
      <c r="Y1243" s="22" t="str">
        <f>Ringkasan!Y1242</f>
        <v/>
      </c>
      <c r="Z1243" s="22">
        <f>Ringkasan!Z1242</f>
        <v>70569</v>
      </c>
      <c r="AA1243" s="64" t="str">
        <f>Ringkasan!AA1242</f>
        <v>Real Estate Management &amp; Development</v>
      </c>
      <c r="AB1243" s="64" t="str">
        <f>Ringkasan!AB1242</f>
        <v>Properties &amp; Real Estate</v>
      </c>
    </row>
    <row r="1244" hidden="1">
      <c r="A1244" s="64" t="str">
        <f>Ringkasan!A1243</f>
        <v>MNCN</v>
      </c>
      <c r="B1244" s="64" t="str">
        <f>Ringkasan!B1243</f>
        <v>Media Nusantara Citra Tbk.</v>
      </c>
      <c r="C1244" s="67">
        <f>Ringkasan!C1243</f>
        <v>214</v>
      </c>
      <c r="D1244" s="22" t="str">
        <f>Ringkasan!D1243</f>
        <v>#N/A</v>
      </c>
      <c r="E1244" s="64" t="str">
        <f>Ringkasan!E1243</f>
        <v>MNC36</v>
      </c>
      <c r="F1244" s="64" t="str">
        <f>Ringkasan!F1243</f>
        <v>30 Oktober 2026</v>
      </c>
      <c r="G1244" s="64">
        <f>Ringkasan!G1243</f>
        <v>2</v>
      </c>
      <c r="H1244" s="19">
        <f>Ringkasan!H1243</f>
        <v>2.5</v>
      </c>
      <c r="I1244" s="19">
        <f>Ringkasan!I1243</f>
        <v>0.14</v>
      </c>
      <c r="J1244" s="19">
        <f>Ringkasan!J1243</f>
        <v>5.4</v>
      </c>
      <c r="K1244" s="19">
        <f>Ringkasan!K1243</f>
        <v>5</v>
      </c>
      <c r="L1244" s="19">
        <f>Ringkasan!L1243</f>
        <v>0.08</v>
      </c>
      <c r="M1244" s="19">
        <f>Ringkasan!M1243</f>
        <v>67.4</v>
      </c>
      <c r="N1244" s="64" t="str">
        <f>Ringkasan!N1243</f>
        <v/>
      </c>
      <c r="O1244" s="64" t="str">
        <f>Ringkasan!O1243</f>
        <v/>
      </c>
      <c r="P1244" s="64" t="str">
        <f>Ringkasan!P1243</f>
        <v/>
      </c>
      <c r="Q1244" s="64" t="str">
        <f>Ringkasan!Q1243</f>
        <v/>
      </c>
      <c r="R1244" s="64" t="str">
        <f>Ringkasan!R1243</f>
        <v/>
      </c>
      <c r="S1244" s="64" t="str">
        <f>Ringkasan!S1243</f>
        <v/>
      </c>
      <c r="T1244" s="64" t="str">
        <f>Ringkasan!T1243</f>
        <v/>
      </c>
      <c r="U1244" s="22">
        <f>Ringkasan!U1243</f>
        <v>210</v>
      </c>
      <c r="V1244" s="22">
        <f>Ringkasan!V1243</f>
        <v>1.9</v>
      </c>
      <c r="W1244" s="22">
        <f>Ringkasan!W1243</f>
        <v>212</v>
      </c>
      <c r="X1244" s="22">
        <f>Ringkasan!X1243</f>
        <v>216</v>
      </c>
      <c r="Y1244" s="22">
        <f>Ringkasan!Y1243</f>
        <v>210</v>
      </c>
      <c r="Z1244" s="22">
        <f>Ringkasan!Z1243</f>
        <v>16623500</v>
      </c>
      <c r="AA1244" s="64" t="str">
        <f>Ringkasan!AA1243</f>
        <v>Media</v>
      </c>
      <c r="AB1244" s="64" t="str">
        <f>Ringkasan!AB1243</f>
        <v>Consumer Cyclicals</v>
      </c>
    </row>
    <row r="1245" hidden="1">
      <c r="A1245" s="64" t="str">
        <f>Ringkasan!A1244</f>
        <v>MNCN</v>
      </c>
      <c r="B1245" s="64" t="str">
        <f>Ringkasan!B1244</f>
        <v>Media Nusantara Citra Tbk.</v>
      </c>
      <c r="C1245" s="65">
        <f>Ringkasan!C1244</f>
        <v>214</v>
      </c>
      <c r="D1245" s="64" t="str">
        <f>Ringkasan!D1244</f>
        <v>#N/A</v>
      </c>
      <c r="E1245" s="64" t="str">
        <f>Ringkasan!E1244</f>
        <v>IDXSMC-LIQ</v>
      </c>
      <c r="F1245" s="64" t="str">
        <f>Ringkasan!F1244</f>
        <v>4 Agustus 2026</v>
      </c>
      <c r="G1245" s="64">
        <f>Ringkasan!G1244</f>
        <v>2</v>
      </c>
      <c r="H1245" s="19">
        <f>Ringkasan!H1244</f>
        <v>2.5</v>
      </c>
      <c r="I1245" s="19">
        <f>Ringkasan!I1244</f>
        <v>0.14</v>
      </c>
      <c r="J1245" s="19">
        <f>Ringkasan!J1244</f>
        <v>5.4</v>
      </c>
      <c r="K1245" s="19">
        <f>Ringkasan!K1244</f>
        <v>5</v>
      </c>
      <c r="L1245" s="19">
        <f>Ringkasan!L1244</f>
        <v>0.08</v>
      </c>
      <c r="M1245" s="19">
        <f>Ringkasan!M1244</f>
        <v>67.4</v>
      </c>
      <c r="N1245" s="64" t="str">
        <f>Ringkasan!N1244</f>
        <v/>
      </c>
      <c r="O1245" s="64" t="str">
        <f>Ringkasan!O1244</f>
        <v/>
      </c>
      <c r="P1245" s="64" t="str">
        <f>Ringkasan!P1244</f>
        <v/>
      </c>
      <c r="Q1245" s="64" t="str">
        <f>Ringkasan!Q1244</f>
        <v/>
      </c>
      <c r="R1245" s="64" t="str">
        <f>Ringkasan!R1244</f>
        <v/>
      </c>
      <c r="S1245" s="64" t="str">
        <f>Ringkasan!S1244</f>
        <v/>
      </c>
      <c r="T1245" s="64" t="str">
        <f>Ringkasan!T1244</f>
        <v/>
      </c>
      <c r="U1245" s="64">
        <f>Ringkasan!U1244</f>
        <v>210</v>
      </c>
      <c r="V1245" s="64">
        <f>Ringkasan!V1244</f>
        <v>1.9</v>
      </c>
      <c r="W1245" s="64">
        <f>Ringkasan!W1244</f>
        <v>212</v>
      </c>
      <c r="X1245" s="64">
        <f>Ringkasan!X1244</f>
        <v>216</v>
      </c>
      <c r="Y1245" s="64">
        <f>Ringkasan!Y1244</f>
        <v>210</v>
      </c>
      <c r="Z1245" s="64">
        <f>Ringkasan!Z1244</f>
        <v>16623500</v>
      </c>
      <c r="AA1245" s="64" t="str">
        <f>Ringkasan!AA1244</f>
        <v>Media</v>
      </c>
      <c r="AB1245" s="64" t="str">
        <f>Ringkasan!AB1244</f>
        <v>Consumer Cyclicals</v>
      </c>
    </row>
    <row r="1246" hidden="1">
      <c r="A1246" s="64" t="str">
        <f>Ringkasan!A1245</f>
        <v>MOLI</v>
      </c>
      <c r="B1246" s="64" t="str">
        <f>Ringkasan!B1245</f>
        <v>Madusari Murni Indah Tbk.</v>
      </c>
      <c r="C1246" s="65">
        <f>Ringkasan!C1245</f>
        <v>234</v>
      </c>
      <c r="D1246" s="64" t="str">
        <f>Ringkasan!D1245</f>
        <v>#N/A</v>
      </c>
      <c r="E1246" s="64" t="str">
        <f>Ringkasan!E1245</f>
        <v/>
      </c>
      <c r="F1246" s="64" t="str">
        <f>Ringkasan!F1245</f>
        <v/>
      </c>
      <c r="G1246" s="64">
        <f>Ringkasan!G1245</f>
        <v>0</v>
      </c>
      <c r="H1246" s="19">
        <f>Ringkasan!H1245</f>
        <v>6.3</v>
      </c>
      <c r="I1246" s="19">
        <f>Ringkasan!I1245</f>
        <v>0.41</v>
      </c>
      <c r="J1246" s="19">
        <f>Ringkasan!J1245</f>
        <v>6.6</v>
      </c>
      <c r="K1246" s="19">
        <f>Ringkasan!K1245</f>
        <v>5.9</v>
      </c>
      <c r="L1246" s="19">
        <f>Ringkasan!L1245</f>
        <v>0.11</v>
      </c>
      <c r="M1246" s="19">
        <f>Ringkasan!M1245</f>
        <v>30.3</v>
      </c>
      <c r="N1246" s="64" t="str">
        <f>Ringkasan!N1245</f>
        <v/>
      </c>
      <c r="O1246" s="64" t="str">
        <f>Ringkasan!O1245</f>
        <v/>
      </c>
      <c r="P1246" s="64" t="str">
        <f>Ringkasan!P1245</f>
        <v/>
      </c>
      <c r="Q1246" s="64" t="str">
        <f>Ringkasan!Q1245</f>
        <v/>
      </c>
      <c r="R1246" s="64" t="str">
        <f>Ringkasan!R1245</f>
        <v/>
      </c>
      <c r="S1246" s="64" t="str">
        <f>Ringkasan!S1245</f>
        <v/>
      </c>
      <c r="T1246" s="64" t="str">
        <f>Ringkasan!T1245</f>
        <v/>
      </c>
      <c r="U1246" s="64">
        <f>Ringkasan!U1245</f>
        <v>2805</v>
      </c>
      <c r="V1246" s="64">
        <f>Ringkasan!V1245</f>
        <v>-4.46</v>
      </c>
      <c r="W1246" s="64">
        <f>Ringkasan!W1245</f>
        <v>2850</v>
      </c>
      <c r="X1246" s="64">
        <f>Ringkasan!X1245</f>
        <v>2850</v>
      </c>
      <c r="Y1246" s="64">
        <f>Ringkasan!Y1245</f>
        <v>2610</v>
      </c>
      <c r="Z1246" s="64">
        <f>Ringkasan!Z1245</f>
        <v>26414</v>
      </c>
      <c r="AA1246" s="64" t="str">
        <f>Ringkasan!AA1245</f>
        <v>Chemicals</v>
      </c>
      <c r="AB1246" s="64" t="str">
        <f>Ringkasan!AB1245</f>
        <v>Basic Materials</v>
      </c>
    </row>
    <row r="1247" hidden="1">
      <c r="A1247" s="64" t="str">
        <f>Ringkasan!A1246</f>
        <v>MORA</v>
      </c>
      <c r="B1247" s="64" t="str">
        <f>Ringkasan!B1246</f>
        <v>Ekamas Mora Republik Tbk.</v>
      </c>
      <c r="C1247" s="65">
        <f>Ringkasan!C1246</f>
        <v>6325</v>
      </c>
      <c r="D1247" s="64" t="str">
        <f>Ringkasan!D1246</f>
        <v>#N/A</v>
      </c>
      <c r="E1247" s="64" t="str">
        <f>Ringkasan!E1246</f>
        <v/>
      </c>
      <c r="F1247" s="64" t="str">
        <f>Ringkasan!F1246</f>
        <v/>
      </c>
      <c r="G1247" s="64">
        <f>Ringkasan!G1246</f>
        <v>0</v>
      </c>
      <c r="H1247" s="19">
        <f>Ringkasan!H1246</f>
        <v>700</v>
      </c>
      <c r="I1247" s="19">
        <f>Ringkasan!I1246</f>
        <v>40.9</v>
      </c>
      <c r="J1247" s="19">
        <f>Ringkasan!J1246</f>
        <v>5.9</v>
      </c>
      <c r="K1247" s="19">
        <f>Ringkasan!K1246</f>
        <v>3.2</v>
      </c>
      <c r="L1247" s="19">
        <f>Ringkasan!L1246</f>
        <v>0.85</v>
      </c>
      <c r="M1247" s="19">
        <f>Ringkasan!M1246</f>
        <v>49.1</v>
      </c>
      <c r="N1247" s="64" t="str">
        <f>Ringkasan!N1246</f>
        <v/>
      </c>
      <c r="O1247" s="64" t="str">
        <f>Ringkasan!O1246</f>
        <v/>
      </c>
      <c r="P1247" s="64" t="str">
        <f>Ringkasan!P1246</f>
        <v/>
      </c>
      <c r="Q1247" s="64" t="str">
        <f>Ringkasan!Q1246</f>
        <v/>
      </c>
      <c r="R1247" s="64" t="str">
        <f>Ringkasan!R1246</f>
        <v/>
      </c>
      <c r="S1247" s="64" t="str">
        <f>Ringkasan!S1246</f>
        <v/>
      </c>
      <c r="T1247" s="64" t="str">
        <f>Ringkasan!T1246</f>
        <v/>
      </c>
      <c r="U1247" s="64">
        <f>Ringkasan!U1246</f>
        <v>6325</v>
      </c>
      <c r="V1247" s="64">
        <f>Ringkasan!V1246</f>
        <v>0</v>
      </c>
      <c r="W1247" s="64">
        <f>Ringkasan!W1246</f>
        <v>6350</v>
      </c>
      <c r="X1247" s="64">
        <f>Ringkasan!X1246</f>
        <v>6575</v>
      </c>
      <c r="Y1247" s="64">
        <f>Ringkasan!Y1246</f>
        <v>6150</v>
      </c>
      <c r="Z1247" s="64">
        <f>Ringkasan!Z1246</f>
        <v>347600</v>
      </c>
      <c r="AA1247" s="64" t="str">
        <f>Ringkasan!AA1246</f>
        <v>Telecommunication Service</v>
      </c>
      <c r="AB1247" s="64" t="str">
        <f>Ringkasan!AB1246</f>
        <v>Infrastructures</v>
      </c>
    </row>
    <row r="1248" hidden="1">
      <c r="A1248" s="64" t="str">
        <f>Ringkasan!A1247</f>
        <v>MPIX</v>
      </c>
      <c r="B1248" s="64" t="str">
        <f>Ringkasan!B1247</f>
        <v>Mitra Pedagang Indonesia Tbk.</v>
      </c>
      <c r="C1248" s="65">
        <f>Ringkasan!C1247</f>
        <v>85</v>
      </c>
      <c r="D1248" s="64" t="str">
        <f>Ringkasan!D1247</f>
        <v>#N/A</v>
      </c>
      <c r="E1248" s="64" t="str">
        <f>Ringkasan!E1247</f>
        <v/>
      </c>
      <c r="F1248" s="64" t="str">
        <f>Ringkasan!F1247</f>
        <v/>
      </c>
      <c r="G1248" s="64">
        <f>Ringkasan!G1247</f>
        <v>0</v>
      </c>
      <c r="H1248" s="19">
        <f>Ringkasan!H1247</f>
        <v>15.1</v>
      </c>
      <c r="I1248" s="19">
        <f>Ringkasan!I1247</f>
        <v>0.84</v>
      </c>
      <c r="J1248" s="19">
        <f>Ringkasan!J1247</f>
        <v>5.6</v>
      </c>
      <c r="K1248" s="19">
        <f>Ringkasan!K1247</f>
        <v>5.1</v>
      </c>
      <c r="L1248" s="19">
        <f>Ringkasan!L1247</f>
        <v>0.1</v>
      </c>
      <c r="M1248" s="19">
        <f>Ringkasan!M1247</f>
        <v>1.6</v>
      </c>
      <c r="N1248" s="64" t="str">
        <f>Ringkasan!N1247</f>
        <v/>
      </c>
      <c r="O1248" s="64" t="str">
        <f>Ringkasan!O1247</f>
        <v/>
      </c>
      <c r="P1248" s="64" t="str">
        <f>Ringkasan!P1247</f>
        <v/>
      </c>
      <c r="Q1248" s="64" t="str">
        <f>Ringkasan!Q1247</f>
        <v/>
      </c>
      <c r="R1248" s="64" t="str">
        <f>Ringkasan!R1247</f>
        <v/>
      </c>
      <c r="S1248" s="64" t="str">
        <f>Ringkasan!S1247</f>
        <v/>
      </c>
      <c r="T1248" s="64" t="str">
        <f>Ringkasan!T1247</f>
        <v/>
      </c>
      <c r="U1248" s="64">
        <f>Ringkasan!U1247</f>
        <v>82</v>
      </c>
      <c r="V1248" s="64">
        <f>Ringkasan!V1247</f>
        <v>3.66</v>
      </c>
      <c r="W1248" s="64">
        <f>Ringkasan!W1247</f>
        <v>82</v>
      </c>
      <c r="X1248" s="64">
        <f>Ringkasan!X1247</f>
        <v>85</v>
      </c>
      <c r="Y1248" s="64">
        <f>Ringkasan!Y1247</f>
        <v>82</v>
      </c>
      <c r="Z1248" s="64">
        <f>Ringkasan!Z1247</f>
        <v>3165000</v>
      </c>
      <c r="AA1248" s="64" t="str">
        <f>Ringkasan!AA1247</f>
        <v>Online Applications &amp; Services</v>
      </c>
      <c r="AB1248" s="64" t="str">
        <f>Ringkasan!AB1247</f>
        <v>Technology</v>
      </c>
    </row>
    <row r="1249" hidden="1">
      <c r="A1249" s="64" t="str">
        <f>Ringkasan!A1248</f>
        <v>MPMX</v>
      </c>
      <c r="B1249" s="64" t="str">
        <f>Ringkasan!B1248</f>
        <v>PT Mitra Pinasthika Mustika Tbk.</v>
      </c>
      <c r="C1249" s="67">
        <f>Ringkasan!C1248</f>
        <v>945</v>
      </c>
      <c r="D1249" s="22" t="str">
        <f>Ringkasan!D1248</f>
        <v>#N/A</v>
      </c>
      <c r="E1249" s="64" t="str">
        <f>Ringkasan!E1248</f>
        <v/>
      </c>
      <c r="F1249" s="64" t="str">
        <f>Ringkasan!F1248</f>
        <v/>
      </c>
      <c r="G1249" s="65">
        <f>Ringkasan!G1248</f>
        <v>0</v>
      </c>
      <c r="H1249" s="19">
        <f>Ringkasan!H1248</f>
        <v>10.3</v>
      </c>
      <c r="I1249" s="19">
        <f>Ringkasan!I1248</f>
        <v>0.81</v>
      </c>
      <c r="J1249" s="19">
        <f>Ringkasan!J1248</f>
        <v>7.8</v>
      </c>
      <c r="K1249" s="19">
        <f>Ringkasan!K1248</f>
        <v>5.8</v>
      </c>
      <c r="L1249" s="19">
        <f>Ringkasan!L1248</f>
        <v>0.35</v>
      </c>
      <c r="M1249" s="19">
        <f>Ringkasan!M1248</f>
        <v>12</v>
      </c>
      <c r="N1249" s="64" t="str">
        <f>Ringkasan!N1248</f>
        <v/>
      </c>
      <c r="O1249" s="64" t="str">
        <f>Ringkasan!O1248</f>
        <v/>
      </c>
      <c r="P1249" s="64" t="str">
        <f>Ringkasan!P1248</f>
        <v/>
      </c>
      <c r="Q1249" s="64" t="str">
        <f>Ringkasan!Q1248</f>
        <v/>
      </c>
      <c r="R1249" s="64" t="str">
        <f>Ringkasan!R1248</f>
        <v/>
      </c>
      <c r="S1249" s="64" t="str">
        <f>Ringkasan!S1248</f>
        <v/>
      </c>
      <c r="T1249" s="64" t="str">
        <f>Ringkasan!T1248</f>
        <v/>
      </c>
      <c r="U1249" s="22">
        <f>Ringkasan!U1248</f>
        <v>925</v>
      </c>
      <c r="V1249" s="22">
        <f>Ringkasan!V1248</f>
        <v>2.16</v>
      </c>
      <c r="W1249" s="22">
        <f>Ringkasan!W1248</f>
        <v>925</v>
      </c>
      <c r="X1249" s="22">
        <f>Ringkasan!X1248</f>
        <v>945</v>
      </c>
      <c r="Y1249" s="22">
        <f>Ringkasan!Y1248</f>
        <v>925</v>
      </c>
      <c r="Z1249" s="22">
        <f>Ringkasan!Z1248</f>
        <v>7391800</v>
      </c>
      <c r="AA1249" s="64" t="str">
        <f>Ringkasan!AA1248</f>
        <v>Specialty Retail</v>
      </c>
      <c r="AB1249" s="64" t="str">
        <f>Ringkasan!AB1248</f>
        <v>Consumer Cyclicals</v>
      </c>
    </row>
    <row r="1250" hidden="1">
      <c r="A1250" s="64" t="str">
        <f>Ringkasan!A1249</f>
        <v>MPOW</v>
      </c>
      <c r="B1250" s="64" t="str">
        <f>Ringkasan!B1249</f>
        <v>Megapower Makmur Tbk.</v>
      </c>
      <c r="C1250" s="67">
        <f>Ringkasan!C1249</f>
        <v>97</v>
      </c>
      <c r="D1250" s="22" t="str">
        <f>Ringkasan!D1249</f>
        <v>#N/A</v>
      </c>
      <c r="E1250" s="64" t="str">
        <f>Ringkasan!E1249</f>
        <v/>
      </c>
      <c r="F1250" s="64" t="str">
        <f>Ringkasan!F1249</f>
        <v/>
      </c>
      <c r="G1250" s="64">
        <f>Ringkasan!G1249</f>
        <v>0</v>
      </c>
      <c r="H1250" s="19">
        <f>Ringkasan!H1249</f>
        <v>-6.7</v>
      </c>
      <c r="I1250" s="19">
        <f>Ringkasan!I1249</f>
        <v>0.93</v>
      </c>
      <c r="J1250" s="19">
        <f>Ringkasan!J1249</f>
        <v>-14</v>
      </c>
      <c r="K1250" s="19">
        <f>Ringkasan!K1249</f>
        <v>-10.4</v>
      </c>
      <c r="L1250" s="19">
        <f>Ringkasan!L1249</f>
        <v>0.35</v>
      </c>
      <c r="M1250" s="19">
        <f>Ringkasan!M1249</f>
        <v>-400</v>
      </c>
      <c r="N1250" s="64" t="str">
        <f>Ringkasan!N1249</f>
        <v/>
      </c>
      <c r="O1250" s="64" t="str">
        <f>Ringkasan!O1249</f>
        <v/>
      </c>
      <c r="P1250" s="64" t="str">
        <f>Ringkasan!P1249</f>
        <v/>
      </c>
      <c r="Q1250" s="64" t="str">
        <f>Ringkasan!Q1249</f>
        <v/>
      </c>
      <c r="R1250" s="64" t="str">
        <f>Ringkasan!R1249</f>
        <v/>
      </c>
      <c r="S1250" s="64" t="str">
        <f>Ringkasan!S1249</f>
        <v/>
      </c>
      <c r="T1250" s="64" t="str">
        <f>Ringkasan!T1249</f>
        <v/>
      </c>
      <c r="U1250" s="22">
        <f>Ringkasan!U1249</f>
        <v>96</v>
      </c>
      <c r="V1250" s="22">
        <f>Ringkasan!V1249</f>
        <v>1.04</v>
      </c>
      <c r="W1250" s="22">
        <f>Ringkasan!W1249</f>
        <v>94</v>
      </c>
      <c r="X1250" s="22">
        <f>Ringkasan!X1249</f>
        <v>100</v>
      </c>
      <c r="Y1250" s="22">
        <f>Ringkasan!Y1249</f>
        <v>94</v>
      </c>
      <c r="Z1250" s="22">
        <f>Ringkasan!Z1249</f>
        <v>5406200</v>
      </c>
      <c r="AA1250" s="64" t="str">
        <f>Ringkasan!AA1249</f>
        <v>Electric Utilities</v>
      </c>
      <c r="AB1250" s="64" t="str">
        <f>Ringkasan!AB1249</f>
        <v>Infrastructures</v>
      </c>
    </row>
    <row r="1251" hidden="1">
      <c r="A1251" s="64" t="str">
        <f>Ringkasan!A1250</f>
        <v>MPPA</v>
      </c>
      <c r="B1251" s="64" t="str">
        <f>Ringkasan!B1250</f>
        <v>Matahari Putra Prima Tbk</v>
      </c>
      <c r="C1251" s="67">
        <f>Ringkasan!C1250</f>
        <v>41</v>
      </c>
      <c r="D1251" s="22" t="str">
        <f>Ringkasan!D1250</f>
        <v>#N/A</v>
      </c>
      <c r="E1251" s="64" t="str">
        <f>Ringkasan!E1250</f>
        <v/>
      </c>
      <c r="F1251" s="64" t="str">
        <f>Ringkasan!F1250</f>
        <v/>
      </c>
      <c r="G1251" s="64">
        <f>Ringkasan!G1250</f>
        <v>0</v>
      </c>
      <c r="H1251" s="19">
        <f>Ringkasan!H1250</f>
        <v>-4.9</v>
      </c>
      <c r="I1251" s="19">
        <f>Ringkasan!I1250</f>
        <v>-1040</v>
      </c>
      <c r="J1251" s="19">
        <f>Ringkasan!J1250</f>
        <v>0</v>
      </c>
      <c r="K1251" s="19">
        <f>Ringkasan!K1250</f>
        <v>-4</v>
      </c>
      <c r="L1251" s="19">
        <f>Ringkasan!L1250</f>
        <v>-5380</v>
      </c>
      <c r="M1251" s="19">
        <f>Ringkasan!M1250</f>
        <v>-5.8</v>
      </c>
      <c r="N1251" s="64" t="str">
        <f>Ringkasan!N1250</f>
        <v/>
      </c>
      <c r="O1251" s="64" t="str">
        <f>Ringkasan!O1250</f>
        <v/>
      </c>
      <c r="P1251" s="64" t="str">
        <f>Ringkasan!P1250</f>
        <v/>
      </c>
      <c r="Q1251" s="64" t="str">
        <f>Ringkasan!Q1250</f>
        <v/>
      </c>
      <c r="R1251" s="64" t="str">
        <f>Ringkasan!R1250</f>
        <v/>
      </c>
      <c r="S1251" s="64" t="str">
        <f>Ringkasan!S1250</f>
        <v/>
      </c>
      <c r="T1251" s="64" t="str">
        <f>Ringkasan!T1250</f>
        <v/>
      </c>
      <c r="U1251" s="22">
        <f>Ringkasan!U1250</f>
        <v>40</v>
      </c>
      <c r="V1251" s="22">
        <f>Ringkasan!V1250</f>
        <v>2.5</v>
      </c>
      <c r="W1251" s="22">
        <f>Ringkasan!W1250</f>
        <v>39</v>
      </c>
      <c r="X1251" s="22">
        <f>Ringkasan!X1250</f>
        <v>41</v>
      </c>
      <c r="Y1251" s="22">
        <f>Ringkasan!Y1250</f>
        <v>39</v>
      </c>
      <c r="Z1251" s="22">
        <f>Ringkasan!Z1250</f>
        <v>28277200</v>
      </c>
      <c r="AA1251" s="64" t="str">
        <f>Ringkasan!AA1250</f>
        <v>Food &amp; Staples Retailing</v>
      </c>
      <c r="AB1251" s="64" t="str">
        <f>Ringkasan!AB1250</f>
        <v>Consumer Non-Cyclicals</v>
      </c>
    </row>
    <row r="1252" hidden="1">
      <c r="A1252" s="64" t="str">
        <f>Ringkasan!A1251</f>
        <v>MPRO</v>
      </c>
      <c r="B1252" s="64" t="str">
        <f>Ringkasan!B1251</f>
        <v>Maha Properti Indonesia Tbk.</v>
      </c>
      <c r="C1252" s="67">
        <f>Ringkasan!C1251</f>
        <v>7000</v>
      </c>
      <c r="D1252" s="22" t="str">
        <f>Ringkasan!D1251</f>
        <v>#N/A</v>
      </c>
      <c r="E1252" s="64" t="str">
        <f>Ringkasan!E1251</f>
        <v/>
      </c>
      <c r="F1252" s="64" t="str">
        <f>Ringkasan!F1251</f>
        <v/>
      </c>
      <c r="G1252" s="64">
        <f>Ringkasan!G1251</f>
        <v>0</v>
      </c>
      <c r="H1252" s="19">
        <f>Ringkasan!H1251</f>
        <v>-1510</v>
      </c>
      <c r="I1252" s="19">
        <f>Ringkasan!I1251</f>
        <v>76</v>
      </c>
      <c r="J1252" s="19">
        <f>Ringkasan!J1251</f>
        <v>-5</v>
      </c>
      <c r="K1252" s="19">
        <f>Ringkasan!K1251</f>
        <v>-3.5</v>
      </c>
      <c r="L1252" s="19">
        <f>Ringkasan!L1251</f>
        <v>0.42</v>
      </c>
      <c r="M1252" s="19">
        <f>Ringkasan!M1251</f>
        <v>-5390</v>
      </c>
      <c r="N1252" s="64" t="str">
        <f>Ringkasan!N1251</f>
        <v/>
      </c>
      <c r="O1252" s="64" t="str">
        <f>Ringkasan!O1251</f>
        <v/>
      </c>
      <c r="P1252" s="64" t="str">
        <f>Ringkasan!P1251</f>
        <v/>
      </c>
      <c r="Q1252" s="64" t="str">
        <f>Ringkasan!Q1251</f>
        <v/>
      </c>
      <c r="R1252" s="64" t="str">
        <f>Ringkasan!R1251</f>
        <v/>
      </c>
      <c r="S1252" s="64" t="str">
        <f>Ringkasan!S1251</f>
        <v/>
      </c>
      <c r="T1252" s="64" t="str">
        <f>Ringkasan!T1251</f>
        <v/>
      </c>
      <c r="U1252" s="22">
        <f>Ringkasan!U1251</f>
        <v>32.64</v>
      </c>
      <c r="V1252" s="22">
        <f>Ringkasan!V1251</f>
        <v>0.07</v>
      </c>
      <c r="W1252" s="22">
        <f>Ringkasan!W1251</f>
        <v>32.64</v>
      </c>
      <c r="X1252" s="22">
        <f>Ringkasan!X1251</f>
        <v>32.66</v>
      </c>
      <c r="Y1252" s="22">
        <f>Ringkasan!Y1251</f>
        <v>32.64</v>
      </c>
      <c r="Z1252" s="22">
        <f>Ringkasan!Z1251</f>
        <v>43</v>
      </c>
      <c r="AA1252" s="64" t="str">
        <f>Ringkasan!AA1251</f>
        <v>Real Estate Management &amp; Development</v>
      </c>
      <c r="AB1252" s="64" t="str">
        <f>Ringkasan!AB1251</f>
        <v>Properties &amp; Real Estate</v>
      </c>
    </row>
    <row r="1253" hidden="1">
      <c r="A1253" s="64" t="str">
        <f>Ringkasan!A1252</f>
        <v>MPXL</v>
      </c>
      <c r="B1253" s="64" t="str">
        <f>Ringkasan!B1252</f>
        <v>PT MPX Logistics International Tbk</v>
      </c>
      <c r="C1253" s="67">
        <f>Ringkasan!C1252</f>
        <v>145</v>
      </c>
      <c r="D1253" s="22" t="str">
        <f>Ringkasan!D1252</f>
        <v>#N/A</v>
      </c>
      <c r="E1253" s="64" t="str">
        <f>Ringkasan!E1252</f>
        <v/>
      </c>
      <c r="F1253" s="64" t="str">
        <f>Ringkasan!F1252</f>
        <v/>
      </c>
      <c r="G1253" s="64">
        <f>Ringkasan!G1252</f>
        <v>0</v>
      </c>
      <c r="H1253" s="19">
        <f>Ringkasan!H1252</f>
        <v>-40.9</v>
      </c>
      <c r="I1253" s="19">
        <f>Ringkasan!I1252</f>
        <v>3.4</v>
      </c>
      <c r="J1253" s="19">
        <f>Ringkasan!J1252</f>
        <v>-8.3</v>
      </c>
      <c r="K1253" s="19">
        <f>Ringkasan!K1252</f>
        <v>-3.7</v>
      </c>
      <c r="L1253" s="19">
        <f>Ringkasan!L1252</f>
        <v>1.2</v>
      </c>
      <c r="M1253" s="19">
        <f>Ringkasan!M1252</f>
        <v>-21</v>
      </c>
      <c r="N1253" s="64" t="str">
        <f>Ringkasan!N1252</f>
        <v/>
      </c>
      <c r="O1253" s="64" t="str">
        <f>Ringkasan!O1252</f>
        <v/>
      </c>
      <c r="P1253" s="64" t="str">
        <f>Ringkasan!P1252</f>
        <v/>
      </c>
      <c r="Q1253" s="64" t="str">
        <f>Ringkasan!Q1252</f>
        <v/>
      </c>
      <c r="R1253" s="64" t="str">
        <f>Ringkasan!R1252</f>
        <v/>
      </c>
      <c r="S1253" s="64" t="str">
        <f>Ringkasan!S1252</f>
        <v/>
      </c>
      <c r="T1253" s="64" t="str">
        <f>Ringkasan!T1252</f>
        <v/>
      </c>
      <c r="U1253" s="22">
        <f>Ringkasan!U1252</f>
        <v>145</v>
      </c>
      <c r="V1253" s="22">
        <f>Ringkasan!V1252</f>
        <v>0</v>
      </c>
      <c r="W1253" s="22">
        <f>Ringkasan!W1252</f>
        <v>145</v>
      </c>
      <c r="X1253" s="22">
        <f>Ringkasan!X1252</f>
        <v>150</v>
      </c>
      <c r="Y1253" s="22">
        <f>Ringkasan!Y1252</f>
        <v>139</v>
      </c>
      <c r="Z1253" s="22">
        <f>Ringkasan!Z1252</f>
        <v>478600</v>
      </c>
      <c r="AA1253" s="64" t="str">
        <f>Ringkasan!AA1252</f>
        <v>Logistics &amp; Deliveries</v>
      </c>
      <c r="AB1253" s="64" t="str">
        <f>Ringkasan!AB1252</f>
        <v>Transportation &amp; Logistic</v>
      </c>
    </row>
    <row r="1254" hidden="1">
      <c r="A1254" s="64" t="str">
        <f>Ringkasan!A1253</f>
        <v>MRAT</v>
      </c>
      <c r="B1254" s="64" t="str">
        <f>Ringkasan!B1253</f>
        <v>Mustika Ratu Tbk</v>
      </c>
      <c r="C1254" s="67">
        <f>Ringkasan!C1253</f>
        <v>450</v>
      </c>
      <c r="D1254" s="22" t="str">
        <f>Ringkasan!D1253</f>
        <v>#N/A</v>
      </c>
      <c r="E1254" s="64" t="str">
        <f>Ringkasan!E1253</f>
        <v/>
      </c>
      <c r="F1254" s="64" t="str">
        <f>Ringkasan!F1253</f>
        <v/>
      </c>
      <c r="G1254" s="64">
        <f>Ringkasan!G1253</f>
        <v>0</v>
      </c>
      <c r="H1254" s="19">
        <f>Ringkasan!H1253</f>
        <v>150</v>
      </c>
      <c r="I1254" s="19">
        <f>Ringkasan!I1253</f>
        <v>0.3</v>
      </c>
      <c r="J1254" s="19">
        <f>Ringkasan!J1253</f>
        <v>0.2</v>
      </c>
      <c r="K1254" s="19">
        <f>Ringkasan!K1253</f>
        <v>0.15</v>
      </c>
      <c r="L1254" s="19">
        <f>Ringkasan!L1253</f>
        <v>0.37</v>
      </c>
      <c r="M1254" s="19">
        <f>Ringkasan!M1253</f>
        <v>1</v>
      </c>
      <c r="N1254" s="64" t="str">
        <f>Ringkasan!N1253</f>
        <v/>
      </c>
      <c r="O1254" s="64" t="str">
        <f>Ringkasan!O1253</f>
        <v/>
      </c>
      <c r="P1254" s="64" t="str">
        <f>Ringkasan!P1253</f>
        <v/>
      </c>
      <c r="Q1254" s="64" t="str">
        <f>Ringkasan!Q1253</f>
        <v/>
      </c>
      <c r="R1254" s="64" t="str">
        <f>Ringkasan!R1253</f>
        <v/>
      </c>
      <c r="S1254" s="64" t="str">
        <f>Ringkasan!S1253</f>
        <v/>
      </c>
      <c r="T1254" s="64" t="str">
        <f>Ringkasan!T1253</f>
        <v/>
      </c>
      <c r="U1254" s="22">
        <f>Ringkasan!U1253</f>
        <v>430</v>
      </c>
      <c r="V1254" s="22">
        <f>Ringkasan!V1253</f>
        <v>4.65</v>
      </c>
      <c r="W1254" s="22">
        <f>Ringkasan!W1253</f>
        <v>440</v>
      </c>
      <c r="X1254" s="22">
        <f>Ringkasan!X1253</f>
        <v>450</v>
      </c>
      <c r="Y1254" s="22">
        <f>Ringkasan!Y1253</f>
        <v>430</v>
      </c>
      <c r="Z1254" s="22">
        <f>Ringkasan!Z1253</f>
        <v>294300</v>
      </c>
      <c r="AA1254" s="64" t="str">
        <f>Ringkasan!AA1253</f>
        <v>Personal Care Products</v>
      </c>
      <c r="AB1254" s="64" t="str">
        <f>Ringkasan!AB1253</f>
        <v>Consumer Non-Cyclicals</v>
      </c>
    </row>
    <row r="1255" hidden="1">
      <c r="A1255" s="64" t="str">
        <f>Ringkasan!A1254</f>
        <v>MREI</v>
      </c>
      <c r="B1255" s="64" t="str">
        <f>Ringkasan!B1254</f>
        <v>Maskapai Reasuransi Indonesia Tbk</v>
      </c>
      <c r="C1255" s="67">
        <f>Ringkasan!C1254</f>
        <v>985</v>
      </c>
      <c r="D1255" s="22" t="str">
        <f>Ringkasan!D1254</f>
        <v>#N/A</v>
      </c>
      <c r="E1255" s="64" t="str">
        <f>Ringkasan!E1254</f>
        <v/>
      </c>
      <c r="F1255" s="64" t="str">
        <f>Ringkasan!F1254</f>
        <v/>
      </c>
      <c r="G1255" s="64">
        <f>Ringkasan!G1254</f>
        <v>0</v>
      </c>
      <c r="H1255" s="19">
        <f>Ringkasan!H1254</f>
        <v>5.5</v>
      </c>
      <c r="I1255" s="19">
        <f>Ringkasan!I1254</f>
        <v>0.31</v>
      </c>
      <c r="J1255" s="19">
        <f>Ringkasan!J1254</f>
        <v>5.6</v>
      </c>
      <c r="K1255" s="19">
        <f>Ringkasan!K1254</f>
        <v>1.7</v>
      </c>
      <c r="L1255" s="19">
        <f>Ringkasan!L1254</f>
        <v>2.3</v>
      </c>
      <c r="M1255" s="19">
        <f>Ringkasan!M1254</f>
        <v>3.1</v>
      </c>
      <c r="N1255" s="64" t="str">
        <f>Ringkasan!N1254</f>
        <v/>
      </c>
      <c r="O1255" s="64" t="str">
        <f>Ringkasan!O1254</f>
        <v/>
      </c>
      <c r="P1255" s="64" t="str">
        <f>Ringkasan!P1254</f>
        <v/>
      </c>
      <c r="Q1255" s="64" t="str">
        <f>Ringkasan!Q1254</f>
        <v/>
      </c>
      <c r="R1255" s="64" t="str">
        <f>Ringkasan!R1254</f>
        <v/>
      </c>
      <c r="S1255" s="64" t="str">
        <f>Ringkasan!S1254</f>
        <v/>
      </c>
      <c r="T1255" s="64" t="str">
        <f>Ringkasan!T1254</f>
        <v/>
      </c>
      <c r="U1255" s="22">
        <f>Ringkasan!U1254</f>
        <v>970</v>
      </c>
      <c r="V1255" s="22">
        <f>Ringkasan!V1254</f>
        <v>1.55</v>
      </c>
      <c r="W1255" s="22">
        <f>Ringkasan!W1254</f>
        <v>1000</v>
      </c>
      <c r="X1255" s="22">
        <f>Ringkasan!X1254</f>
        <v>1000</v>
      </c>
      <c r="Y1255" s="22">
        <f>Ringkasan!Y1254</f>
        <v>965</v>
      </c>
      <c r="Z1255" s="22">
        <f>Ringkasan!Z1254</f>
        <v>40800</v>
      </c>
      <c r="AA1255" s="64" t="str">
        <f>Ringkasan!AA1254</f>
        <v>Insurance</v>
      </c>
      <c r="AB1255" s="64" t="str">
        <f>Ringkasan!AB1254</f>
        <v>Financials</v>
      </c>
    </row>
    <row r="1256" hidden="1">
      <c r="A1256" s="64" t="str">
        <f>Ringkasan!A1255</f>
        <v>MSIE</v>
      </c>
      <c r="B1256" s="64" t="str">
        <f>Ringkasan!B1255</f>
        <v>PT Multisarana Intan Eduka Tbk</v>
      </c>
      <c r="C1256" s="67">
        <f>Ringkasan!C1255</f>
        <v>97</v>
      </c>
      <c r="D1256" s="22" t="str">
        <f>Ringkasan!D1255</f>
        <v>#N/A</v>
      </c>
      <c r="E1256" s="64" t="str">
        <f>Ringkasan!E1255</f>
        <v/>
      </c>
      <c r="F1256" s="64" t="str">
        <f>Ringkasan!F1255</f>
        <v/>
      </c>
      <c r="G1256" s="64">
        <f>Ringkasan!G1255</f>
        <v>0</v>
      </c>
      <c r="H1256" s="19">
        <f>Ringkasan!H1255</f>
        <v>310</v>
      </c>
      <c r="I1256" s="19">
        <f>Ringkasan!I1255</f>
        <v>1.9</v>
      </c>
      <c r="J1256" s="19">
        <f>Ringkasan!J1255</f>
        <v>0.61</v>
      </c>
      <c r="K1256" s="19">
        <f>Ringkasan!K1255</f>
        <v>0.55</v>
      </c>
      <c r="L1256" s="19">
        <f>Ringkasan!L1255</f>
        <v>0.1</v>
      </c>
      <c r="M1256" s="19">
        <f>Ringkasan!M1255</f>
        <v>38.6</v>
      </c>
      <c r="N1256" s="64" t="str">
        <f>Ringkasan!N1255</f>
        <v/>
      </c>
      <c r="O1256" s="64" t="str">
        <f>Ringkasan!O1255</f>
        <v/>
      </c>
      <c r="P1256" s="64" t="str">
        <f>Ringkasan!P1255</f>
        <v/>
      </c>
      <c r="Q1256" s="64" t="str">
        <f>Ringkasan!Q1255</f>
        <v/>
      </c>
      <c r="R1256" s="64" t="str">
        <f>Ringkasan!R1255</f>
        <v/>
      </c>
      <c r="S1256" s="64" t="str">
        <f>Ringkasan!S1255</f>
        <v/>
      </c>
      <c r="T1256" s="64" t="str">
        <f>Ringkasan!T1255</f>
        <v/>
      </c>
      <c r="U1256" s="22">
        <f>Ringkasan!U1255</f>
        <v>89</v>
      </c>
      <c r="V1256" s="22">
        <f>Ringkasan!V1255</f>
        <v>8.99</v>
      </c>
      <c r="W1256" s="22">
        <f>Ringkasan!W1255</f>
        <v>82</v>
      </c>
      <c r="X1256" s="22">
        <f>Ringkasan!X1255</f>
        <v>97</v>
      </c>
      <c r="Y1256" s="22">
        <f>Ringkasan!Y1255</f>
        <v>81</v>
      </c>
      <c r="Z1256" s="22">
        <f>Ringkasan!Z1255</f>
        <v>18944400</v>
      </c>
      <c r="AA1256" s="64" t="str">
        <f>Ringkasan!AA1255</f>
        <v>Real Estate Management &amp; Development</v>
      </c>
      <c r="AB1256" s="64" t="str">
        <f>Ringkasan!AB1255</f>
        <v>Properties &amp; Real Estate</v>
      </c>
    </row>
    <row r="1257" hidden="1">
      <c r="A1257" s="64" t="str">
        <f>Ringkasan!A1256</f>
        <v>MSIN</v>
      </c>
      <c r="B1257" s="64" t="str">
        <f>Ringkasan!B1256</f>
        <v>MNC Digital Entertainment Tbk.</v>
      </c>
      <c r="C1257" s="65">
        <f>Ringkasan!C1256</f>
        <v>530</v>
      </c>
      <c r="D1257" s="64" t="str">
        <f>Ringkasan!D1256</f>
        <v>#N/A</v>
      </c>
      <c r="E1257" s="64" t="str">
        <f>Ringkasan!E1256</f>
        <v>MNC36</v>
      </c>
      <c r="F1257" s="64" t="str">
        <f>Ringkasan!F1256</f>
        <v>30 Oktober 2026</v>
      </c>
      <c r="G1257" s="64">
        <f>Ringkasan!G1256</f>
        <v>1</v>
      </c>
      <c r="H1257" s="19">
        <f>Ringkasan!H1256</f>
        <v>24.5</v>
      </c>
      <c r="I1257" s="19">
        <f>Ringkasan!I1256</f>
        <v>3.6</v>
      </c>
      <c r="J1257" s="19">
        <f>Ringkasan!J1256</f>
        <v>14.5</v>
      </c>
      <c r="K1257" s="19">
        <f>Ringkasan!K1256</f>
        <v>12.1</v>
      </c>
      <c r="L1257" s="19">
        <f>Ringkasan!L1256</f>
        <v>0.2</v>
      </c>
      <c r="M1257" s="19">
        <f>Ringkasan!M1256</f>
        <v>95.3</v>
      </c>
      <c r="N1257" s="64" t="str">
        <f>Ringkasan!N1256</f>
        <v/>
      </c>
      <c r="O1257" s="64" t="str">
        <f>Ringkasan!O1256</f>
        <v/>
      </c>
      <c r="P1257" s="64" t="str">
        <f>Ringkasan!P1256</f>
        <v/>
      </c>
      <c r="Q1257" s="64" t="str">
        <f>Ringkasan!Q1256</f>
        <v/>
      </c>
      <c r="R1257" s="64" t="str">
        <f>Ringkasan!R1256</f>
        <v/>
      </c>
      <c r="S1257" s="64" t="str">
        <f>Ringkasan!S1256</f>
        <v/>
      </c>
      <c r="T1257" s="64" t="str">
        <f>Ringkasan!T1256</f>
        <v/>
      </c>
      <c r="U1257" s="64">
        <f>Ringkasan!U1256</f>
        <v>510</v>
      </c>
      <c r="V1257" s="64">
        <f>Ringkasan!V1256</f>
        <v>3.92</v>
      </c>
      <c r="W1257" s="64">
        <f>Ringkasan!W1256</f>
        <v>510</v>
      </c>
      <c r="X1257" s="64">
        <f>Ringkasan!X1256</f>
        <v>530</v>
      </c>
      <c r="Y1257" s="64">
        <f>Ringkasan!Y1256</f>
        <v>500</v>
      </c>
      <c r="Z1257" s="64">
        <f>Ringkasan!Z1256</f>
        <v>24798600</v>
      </c>
      <c r="AA1257" s="64" t="str">
        <f>Ringkasan!AA1256</f>
        <v>Entertainment &amp; Movie Production</v>
      </c>
      <c r="AB1257" s="64" t="str">
        <f>Ringkasan!AB1256</f>
        <v>Consumer Cyclicals</v>
      </c>
    </row>
    <row r="1258" hidden="1">
      <c r="A1258" s="64" t="str">
        <f>Ringkasan!A945</f>
        <v>IPOL</v>
      </c>
      <c r="B1258" s="64" t="str">
        <f>Ringkasan!B945</f>
        <v>Indopoly Swakarsa Industry Tbk.</v>
      </c>
      <c r="C1258" s="61">
        <f>Ringkasan!C945</f>
        <v>107</v>
      </c>
      <c r="D1258" s="60" t="str">
        <f>Ringkasan!D945</f>
        <v>#N/A</v>
      </c>
      <c r="E1258" s="60" t="str">
        <f>Ringkasan!E945</f>
        <v/>
      </c>
      <c r="F1258" s="60" t="str">
        <f>Ringkasan!F945</f>
        <v/>
      </c>
      <c r="G1258" s="60">
        <f>Ringkasan!G945</f>
        <v>0</v>
      </c>
      <c r="H1258" s="62">
        <f>Ringkasan!H945</f>
        <v>42.2</v>
      </c>
      <c r="I1258" s="62">
        <f>Ringkasan!I945</f>
        <v>0.25</v>
      </c>
      <c r="J1258" s="62">
        <f>Ringkasan!J945</f>
        <v>0.58</v>
      </c>
      <c r="K1258" s="62">
        <f>Ringkasan!K945</f>
        <v>0.28</v>
      </c>
      <c r="L1258" s="62">
        <f>Ringkasan!L945</f>
        <v>1.1</v>
      </c>
      <c r="M1258" s="62">
        <f>Ringkasan!M945</f>
        <v>1.7</v>
      </c>
      <c r="N1258" s="60" t="str">
        <f>Ringkasan!N945</f>
        <v/>
      </c>
      <c r="O1258" s="60" t="str">
        <f>Ringkasan!O945</f>
        <v/>
      </c>
      <c r="P1258" s="60" t="str">
        <f>Ringkasan!P945</f>
        <v/>
      </c>
      <c r="Q1258" s="60" t="str">
        <f>Ringkasan!Q945</f>
        <v/>
      </c>
      <c r="R1258" s="60" t="str">
        <f>Ringkasan!R945</f>
        <v/>
      </c>
      <c r="S1258" s="60" t="str">
        <f>Ringkasan!S945</f>
        <v/>
      </c>
      <c r="T1258" s="60" t="str">
        <f>Ringkasan!T945</f>
        <v/>
      </c>
      <c r="U1258" s="60">
        <f>Ringkasan!U945</f>
        <v>37.1</v>
      </c>
      <c r="V1258" s="60">
        <f>Ringkasan!V945</f>
        <v>3.54</v>
      </c>
      <c r="W1258" s="60">
        <f>Ringkasan!W945</f>
        <v>37.76</v>
      </c>
      <c r="X1258" s="60">
        <f>Ringkasan!X945</f>
        <v>38.49</v>
      </c>
      <c r="Y1258" s="60">
        <f>Ringkasan!Y945</f>
        <v>37.46</v>
      </c>
      <c r="Z1258" s="60">
        <f>Ringkasan!Z945</f>
        <v>20837</v>
      </c>
      <c r="AA1258" s="60" t="str">
        <f>Ringkasan!AA945</f>
        <v>Containers &amp; Packaging</v>
      </c>
      <c r="AB1258" s="64" t="str">
        <f>Ringkasan!AB945</f>
        <v>Basic Materials</v>
      </c>
    </row>
    <row r="1259" hidden="1">
      <c r="A1259" s="64" t="str">
        <f>Ringkasan!A941</f>
        <v>IOTF</v>
      </c>
      <c r="B1259" s="64" t="str">
        <f>Ringkasan!B941</f>
        <v>PT Sumber Sinergi Makmur Tbk</v>
      </c>
      <c r="C1259" s="61">
        <f>Ringkasan!C941</f>
        <v>52</v>
      </c>
      <c r="D1259" s="60" t="str">
        <f>Ringkasan!D941</f>
        <v>#N/A</v>
      </c>
      <c r="E1259" s="60" t="str">
        <f>Ringkasan!E941</f>
        <v/>
      </c>
      <c r="F1259" s="60" t="str">
        <f>Ringkasan!F941</f>
        <v/>
      </c>
      <c r="G1259" s="60">
        <f>Ringkasan!G941</f>
        <v>0</v>
      </c>
      <c r="H1259" s="62">
        <f>Ringkasan!H941</f>
        <v>770</v>
      </c>
      <c r="I1259" s="62">
        <f>Ringkasan!I941</f>
        <v>1.9</v>
      </c>
      <c r="J1259" s="62">
        <f>Ringkasan!J941</f>
        <v>0.25</v>
      </c>
      <c r="K1259" s="62">
        <f>Ringkasan!K941</f>
        <v>0.22</v>
      </c>
      <c r="L1259" s="62">
        <f>Ringkasan!L941</f>
        <v>0.11</v>
      </c>
      <c r="M1259" s="62">
        <f>Ringkasan!M941</f>
        <v>2.4</v>
      </c>
      <c r="N1259" s="60" t="str">
        <f>Ringkasan!N941</f>
        <v/>
      </c>
      <c r="O1259" s="60" t="str">
        <f>Ringkasan!O941</f>
        <v/>
      </c>
      <c r="P1259" s="60" t="str">
        <f>Ringkasan!P941</f>
        <v/>
      </c>
      <c r="Q1259" s="60" t="str">
        <f>Ringkasan!Q941</f>
        <v/>
      </c>
      <c r="R1259" s="60" t="str">
        <f>Ringkasan!R941</f>
        <v/>
      </c>
      <c r="S1259" s="60" t="str">
        <f>Ringkasan!S941</f>
        <v/>
      </c>
      <c r="T1259" s="60" t="str">
        <f>Ringkasan!T941</f>
        <v/>
      </c>
      <c r="U1259" s="60">
        <f>Ringkasan!U941</f>
        <v>52</v>
      </c>
      <c r="V1259" s="60">
        <f>Ringkasan!V941</f>
        <v>0</v>
      </c>
      <c r="W1259" s="60">
        <f>Ringkasan!W941</f>
        <v>53</v>
      </c>
      <c r="X1259" s="60">
        <f>Ringkasan!X941</f>
        <v>54</v>
      </c>
      <c r="Y1259" s="60">
        <f>Ringkasan!Y941</f>
        <v>52</v>
      </c>
      <c r="Z1259" s="60">
        <f>Ringkasan!Z941</f>
        <v>8438000</v>
      </c>
      <c r="AA1259" s="60" t="str">
        <f>Ringkasan!AA941</f>
        <v>Electronic Equipment, Instruments &amp; Components</v>
      </c>
      <c r="AB1259" s="60" t="str">
        <f>Ringkasan!AB941</f>
        <v>Technology</v>
      </c>
    </row>
    <row r="1260">
      <c r="A1260" s="60" t="str">
        <f>Ringkasan!A1147</f>
        <v>MAPI</v>
      </c>
      <c r="B1260" s="60" t="str">
        <f>Ringkasan!B1147</f>
        <v>Mitra Adiperkasa Tbk.</v>
      </c>
      <c r="C1260" s="61">
        <f>Ringkasan!C1147</f>
        <v>1490</v>
      </c>
      <c r="D1260" s="60" t="str">
        <f>Ringkasan!D1147</f>
        <v>#N/A</v>
      </c>
      <c r="E1260" s="60" t="str">
        <f>Ringkasan!E1147</f>
        <v>MSCI Small Cap</v>
      </c>
      <c r="F1260" s="60" t="str">
        <f>Ringkasan!F1147</f>
        <v>12 Agustus 2026</v>
      </c>
      <c r="G1260" s="60">
        <f>Ringkasan!G1147</f>
        <v>12</v>
      </c>
      <c r="H1260" s="62">
        <f>Ringkasan!H1147</f>
        <v>10.4</v>
      </c>
      <c r="I1260" s="62">
        <f>Ringkasan!I1147</f>
        <v>1.4</v>
      </c>
      <c r="J1260" s="62">
        <f>Ringkasan!J1147</f>
        <v>13.3</v>
      </c>
      <c r="K1260" s="62">
        <f>Ringkasan!K1147</f>
        <v>7</v>
      </c>
      <c r="L1260" s="62">
        <f>Ringkasan!L1147</f>
        <v>0.9</v>
      </c>
      <c r="M1260" s="62">
        <f>Ringkasan!M1147</f>
        <v>19.4</v>
      </c>
      <c r="N1260" s="60" t="str">
        <f>Ringkasan!N1147</f>
        <v/>
      </c>
      <c r="O1260" s="60" t="str">
        <f>Ringkasan!O1147</f>
        <v/>
      </c>
      <c r="P1260" s="60" t="str">
        <f>Ringkasan!P1147</f>
        <v/>
      </c>
      <c r="Q1260" s="60" t="str">
        <f>Ringkasan!Q1147</f>
        <v/>
      </c>
      <c r="R1260" s="60" t="str">
        <f>Ringkasan!R1147</f>
        <v/>
      </c>
      <c r="S1260" s="60" t="str">
        <f>Ringkasan!S1147</f>
        <v/>
      </c>
      <c r="T1260" s="60" t="str">
        <f>Ringkasan!T1147</f>
        <v/>
      </c>
      <c r="U1260" s="60">
        <f>Ringkasan!U1147</f>
        <v>1485</v>
      </c>
      <c r="V1260" s="60">
        <f>Ringkasan!V1147</f>
        <v>0.34</v>
      </c>
      <c r="W1260" s="60">
        <f>Ringkasan!W1147</f>
        <v>1485</v>
      </c>
      <c r="X1260" s="60">
        <f>Ringkasan!X1147</f>
        <v>1490</v>
      </c>
      <c r="Y1260" s="60">
        <f>Ringkasan!Y1147</f>
        <v>1485</v>
      </c>
      <c r="Z1260" s="60">
        <f>Ringkasan!Z1147</f>
        <v>73594900</v>
      </c>
      <c r="AA1260" s="60" t="str">
        <f>Ringkasan!AA1147</f>
        <v>Specialty Retail</v>
      </c>
      <c r="AB1260" s="60" t="str">
        <f>Ringkasan!AB1147</f>
        <v>Consumer Cyclicals</v>
      </c>
    </row>
    <row r="1261" hidden="1">
      <c r="A1261" s="64" t="str">
        <f>Ringkasan!A934</f>
        <v>INTP</v>
      </c>
      <c r="B1261" s="64" t="str">
        <f>Ringkasan!B934</f>
        <v>Indocement Tunggal Prakarsa Tbk.</v>
      </c>
      <c r="C1261" s="61">
        <f>Ringkasan!C934</f>
        <v>4110</v>
      </c>
      <c r="D1261" s="60" t="str">
        <f>Ringkasan!D934</f>
        <v>#N/A</v>
      </c>
      <c r="E1261" s="60" t="str">
        <f>Ringkasan!E934</f>
        <v>SMINFRA18</v>
      </c>
      <c r="F1261" s="60" t="str">
        <f>Ringkasan!F934</f>
        <v>30 Oktober 2026</v>
      </c>
      <c r="G1261" s="60">
        <f>Ringkasan!G934</f>
        <v>13</v>
      </c>
      <c r="H1261" s="62">
        <f>Ringkasan!H934</f>
        <v>7.6</v>
      </c>
      <c r="I1261" s="62">
        <f>Ringkasan!I934</f>
        <v>0.74</v>
      </c>
      <c r="J1261" s="62">
        <f>Ringkasan!J934</f>
        <v>9.7</v>
      </c>
      <c r="K1261" s="62">
        <f>Ringkasan!K934</f>
        <v>7.2</v>
      </c>
      <c r="L1261" s="62">
        <f>Ringkasan!L934</f>
        <v>0.34</v>
      </c>
      <c r="M1261" s="62">
        <f>Ringkasan!M934</f>
        <v>58.6</v>
      </c>
      <c r="N1261" s="60" t="str">
        <f>Ringkasan!N934</f>
        <v/>
      </c>
      <c r="O1261" s="60" t="str">
        <f>Ringkasan!O934</f>
        <v/>
      </c>
      <c r="P1261" s="60" t="str">
        <f>Ringkasan!P934</f>
        <v/>
      </c>
      <c r="Q1261" s="60" t="str">
        <f>Ringkasan!Q934</f>
        <v/>
      </c>
      <c r="R1261" s="60" t="str">
        <f>Ringkasan!R934</f>
        <v/>
      </c>
      <c r="S1261" s="60" t="str">
        <f>Ringkasan!S934</f>
        <v/>
      </c>
      <c r="T1261" s="60" t="str">
        <f>Ringkasan!T934</f>
        <v/>
      </c>
      <c r="U1261" s="60">
        <f>Ringkasan!U934</f>
        <v>4160</v>
      </c>
      <c r="V1261" s="60" t="str">
        <f>Ringkasan!V934</f>
        <v/>
      </c>
      <c r="W1261" s="60">
        <f>Ringkasan!W934</f>
        <v>4190</v>
      </c>
      <c r="X1261" s="60">
        <f>Ringkasan!X934</f>
        <v>4240</v>
      </c>
      <c r="Y1261" s="60">
        <f>Ringkasan!Y934</f>
        <v>4090</v>
      </c>
      <c r="Z1261" s="60">
        <f>Ringkasan!Z934</f>
        <v>2337500</v>
      </c>
      <c r="AA1261" s="60" t="str">
        <f>Ringkasan!AA934</f>
        <v>Construction Materials</v>
      </c>
      <c r="AB1261" s="64" t="str">
        <f>Ringkasan!AB934</f>
        <v>Basic Materials</v>
      </c>
    </row>
    <row r="1262" hidden="1">
      <c r="A1262" s="64" t="str">
        <f>Ringkasan!A935</f>
        <v>INTP</v>
      </c>
      <c r="B1262" s="64" t="str">
        <f>Ringkasan!B935</f>
        <v>Indocement Tunggal Prakarsa Tbk.</v>
      </c>
      <c r="C1262" s="61">
        <f>Ringkasan!C935</f>
        <v>4110</v>
      </c>
      <c r="D1262" s="60" t="str">
        <f>Ringkasan!D935</f>
        <v>#N/A</v>
      </c>
      <c r="E1262" s="60" t="str">
        <f>Ringkasan!E935</f>
        <v>IDXSMC-LIQ</v>
      </c>
      <c r="F1262" s="60" t="str">
        <f>Ringkasan!F935</f>
        <v>4 Agustus 2026</v>
      </c>
      <c r="G1262" s="60">
        <f>Ringkasan!G935</f>
        <v>13</v>
      </c>
      <c r="H1262" s="62">
        <f>Ringkasan!H935</f>
        <v>7.6</v>
      </c>
      <c r="I1262" s="62">
        <f>Ringkasan!I935</f>
        <v>0.74</v>
      </c>
      <c r="J1262" s="62">
        <f>Ringkasan!J935</f>
        <v>9.7</v>
      </c>
      <c r="K1262" s="62">
        <f>Ringkasan!K935</f>
        <v>7.2</v>
      </c>
      <c r="L1262" s="62">
        <f>Ringkasan!L935</f>
        <v>0.34</v>
      </c>
      <c r="M1262" s="62">
        <f>Ringkasan!M935</f>
        <v>58.6</v>
      </c>
      <c r="N1262" s="60" t="str">
        <f>Ringkasan!N935</f>
        <v/>
      </c>
      <c r="O1262" s="60" t="str">
        <f>Ringkasan!O935</f>
        <v/>
      </c>
      <c r="P1262" s="60" t="str">
        <f>Ringkasan!P935</f>
        <v/>
      </c>
      <c r="Q1262" s="60" t="str">
        <f>Ringkasan!Q935</f>
        <v/>
      </c>
      <c r="R1262" s="60" t="str">
        <f>Ringkasan!R935</f>
        <v/>
      </c>
      <c r="S1262" s="60" t="str">
        <f>Ringkasan!S935</f>
        <v/>
      </c>
      <c r="T1262" s="60" t="str">
        <f>Ringkasan!T935</f>
        <v/>
      </c>
      <c r="U1262" s="60">
        <f>Ringkasan!U935</f>
        <v>4160</v>
      </c>
      <c r="V1262" s="60" t="str">
        <f>Ringkasan!V935</f>
        <v/>
      </c>
      <c r="W1262" s="60">
        <f>Ringkasan!W935</f>
        <v>4190</v>
      </c>
      <c r="X1262" s="60">
        <f>Ringkasan!X935</f>
        <v>4240</v>
      </c>
      <c r="Y1262" s="60">
        <f>Ringkasan!Y935</f>
        <v>4090</v>
      </c>
      <c r="Z1262" s="60">
        <f>Ringkasan!Z935</f>
        <v>2337500</v>
      </c>
      <c r="AA1262" s="60" t="str">
        <f>Ringkasan!AA935</f>
        <v>Construction Materials</v>
      </c>
      <c r="AB1262" s="64" t="str">
        <f>Ringkasan!AB935</f>
        <v>Basic Materials</v>
      </c>
    </row>
    <row r="1263" hidden="1">
      <c r="A1263" s="64" t="str">
        <f>Ringkasan!A936</f>
        <v>INTP</v>
      </c>
      <c r="B1263" s="64" t="str">
        <f>Ringkasan!B936</f>
        <v>Indocement Tunggal Prakarsa Tbk.</v>
      </c>
      <c r="C1263" s="61">
        <f>Ringkasan!C936</f>
        <v>4110</v>
      </c>
      <c r="D1263" s="60" t="str">
        <f>Ringkasan!D936</f>
        <v>#N/A</v>
      </c>
      <c r="E1263" s="60" t="str">
        <f>Ringkasan!E936</f>
        <v>FTSE Large Cap</v>
      </c>
      <c r="F1263" s="60" t="str">
        <f>Ringkasan!F936</f>
        <v>Juni 2026</v>
      </c>
      <c r="G1263" s="60">
        <f>Ringkasan!G936</f>
        <v>13</v>
      </c>
      <c r="H1263" s="62">
        <f>Ringkasan!H936</f>
        <v>7.6</v>
      </c>
      <c r="I1263" s="62">
        <f>Ringkasan!I936</f>
        <v>0.74</v>
      </c>
      <c r="J1263" s="62">
        <f>Ringkasan!J936</f>
        <v>9.7</v>
      </c>
      <c r="K1263" s="62">
        <f>Ringkasan!K936</f>
        <v>7.2</v>
      </c>
      <c r="L1263" s="62">
        <f>Ringkasan!L936</f>
        <v>0.34</v>
      </c>
      <c r="M1263" s="62">
        <f>Ringkasan!M936</f>
        <v>58.6</v>
      </c>
      <c r="N1263" s="60" t="str">
        <f>Ringkasan!N936</f>
        <v/>
      </c>
      <c r="O1263" s="60" t="str">
        <f>Ringkasan!O936</f>
        <v/>
      </c>
      <c r="P1263" s="60" t="str">
        <f>Ringkasan!P936</f>
        <v/>
      </c>
      <c r="Q1263" s="60" t="str">
        <f>Ringkasan!Q936</f>
        <v/>
      </c>
      <c r="R1263" s="60" t="str">
        <f>Ringkasan!R936</f>
        <v/>
      </c>
      <c r="S1263" s="60" t="str">
        <f>Ringkasan!S936</f>
        <v/>
      </c>
      <c r="T1263" s="60" t="str">
        <f>Ringkasan!T936</f>
        <v/>
      </c>
      <c r="U1263" s="60">
        <f>Ringkasan!U936</f>
        <v>4160</v>
      </c>
      <c r="V1263" s="60" t="str">
        <f>Ringkasan!V936</f>
        <v/>
      </c>
      <c r="W1263" s="60">
        <f>Ringkasan!W936</f>
        <v>4190</v>
      </c>
      <c r="X1263" s="60">
        <f>Ringkasan!X936</f>
        <v>4240</v>
      </c>
      <c r="Y1263" s="60">
        <f>Ringkasan!Y936</f>
        <v>4090</v>
      </c>
      <c r="Z1263" s="60">
        <f>Ringkasan!Z936</f>
        <v>2337500</v>
      </c>
      <c r="AA1263" s="60" t="str">
        <f>Ringkasan!AA936</f>
        <v>Construction Materials</v>
      </c>
      <c r="AB1263" s="64" t="str">
        <f>Ringkasan!AB936</f>
        <v>Basic Materials</v>
      </c>
    </row>
    <row r="1264" hidden="1">
      <c r="A1264" s="60" t="str">
        <f>Ringkasan!A937</f>
        <v>INTP</v>
      </c>
      <c r="B1264" s="60" t="str">
        <f>Ringkasan!B937</f>
        <v>Indocement Tunggal Prakarsa Tbk.</v>
      </c>
      <c r="C1264" s="61">
        <f>Ringkasan!C937</f>
        <v>4110</v>
      </c>
      <c r="D1264" s="60" t="str">
        <f>Ringkasan!D937</f>
        <v>#N/A</v>
      </c>
      <c r="E1264" s="60" t="str">
        <f>Ringkasan!E937</f>
        <v>MSCI Small Cap</v>
      </c>
      <c r="F1264" s="60" t="str">
        <f>Ringkasan!F937</f>
        <v>12 Agustus 2026</v>
      </c>
      <c r="G1264" s="60">
        <f>Ringkasan!G937</f>
        <v>13</v>
      </c>
      <c r="H1264" s="62">
        <f>Ringkasan!H937</f>
        <v>7.6</v>
      </c>
      <c r="I1264" s="62">
        <f>Ringkasan!I937</f>
        <v>0.74</v>
      </c>
      <c r="J1264" s="62">
        <f>Ringkasan!J937</f>
        <v>9.7</v>
      </c>
      <c r="K1264" s="62">
        <f>Ringkasan!K937</f>
        <v>7.2</v>
      </c>
      <c r="L1264" s="62">
        <f>Ringkasan!L937</f>
        <v>0.34</v>
      </c>
      <c r="M1264" s="62">
        <f>Ringkasan!M937</f>
        <v>58.6</v>
      </c>
      <c r="N1264" s="60">
        <f>Ringkasan!N937</f>
        <v>5.4</v>
      </c>
      <c r="O1264" s="60">
        <f>Ringkasan!O937</f>
        <v>23.2</v>
      </c>
      <c r="P1264" s="60">
        <f>Ringkasan!P937</f>
        <v>83</v>
      </c>
      <c r="Q1264" s="60">
        <f>Ringkasan!Q937</f>
        <v>1.9</v>
      </c>
      <c r="R1264" s="60">
        <f>Ringkasan!R937</f>
        <v>65.9</v>
      </c>
      <c r="S1264" s="60">
        <f>Ringkasan!S937</f>
        <v>42.4</v>
      </c>
      <c r="T1264" s="60">
        <f>Ringkasan!T937</f>
        <v>5.9</v>
      </c>
      <c r="U1264" s="60">
        <f>Ringkasan!U937</f>
        <v>4160</v>
      </c>
      <c r="V1264" s="60" t="str">
        <f>Ringkasan!V937</f>
        <v/>
      </c>
      <c r="W1264" s="60">
        <f>Ringkasan!W937</f>
        <v>4190</v>
      </c>
      <c r="X1264" s="60">
        <f>Ringkasan!X937</f>
        <v>4240</v>
      </c>
      <c r="Y1264" s="60">
        <f>Ringkasan!Y937</f>
        <v>4090</v>
      </c>
      <c r="Z1264" s="60">
        <f>Ringkasan!Z937</f>
        <v>2337500</v>
      </c>
      <c r="AA1264" s="60" t="str">
        <f>Ringkasan!AA937</f>
        <v>Construction Materials</v>
      </c>
      <c r="AB1264" s="64" t="str">
        <f>Ringkasan!AB937</f>
        <v>Basic Materials</v>
      </c>
    </row>
    <row r="1265" hidden="1">
      <c r="A1265" s="64" t="str">
        <f>Ringkasan!A938</f>
        <v>INTP</v>
      </c>
      <c r="B1265" s="64" t="str">
        <f>Ringkasan!B938</f>
        <v>Indocement Tunggal Prakarsa Tbk.</v>
      </c>
      <c r="C1265" s="61">
        <f>Ringkasan!C938</f>
        <v>4110</v>
      </c>
      <c r="D1265" s="60" t="str">
        <f>Ringkasan!D938</f>
        <v>#N/A</v>
      </c>
      <c r="E1265" s="60" t="str">
        <f>Ringkasan!E938</f>
        <v>SRI-KEHATI</v>
      </c>
      <c r="F1265" s="63">
        <f>Ringkasan!F938</f>
        <v>46356</v>
      </c>
      <c r="G1265" s="60">
        <f>Ringkasan!G938</f>
        <v>13</v>
      </c>
      <c r="H1265" s="62">
        <f>Ringkasan!H938</f>
        <v>7.6</v>
      </c>
      <c r="I1265" s="62">
        <f>Ringkasan!I938</f>
        <v>0.74</v>
      </c>
      <c r="J1265" s="62">
        <f>Ringkasan!J938</f>
        <v>9.7</v>
      </c>
      <c r="K1265" s="62">
        <f>Ringkasan!K938</f>
        <v>7.2</v>
      </c>
      <c r="L1265" s="62">
        <f>Ringkasan!L938</f>
        <v>0.34</v>
      </c>
      <c r="M1265" s="62">
        <f>Ringkasan!M938</f>
        <v>58.6</v>
      </c>
      <c r="N1265" s="60" t="str">
        <f>Ringkasan!N938</f>
        <v/>
      </c>
      <c r="O1265" s="60" t="str">
        <f>Ringkasan!O938</f>
        <v/>
      </c>
      <c r="P1265" s="60" t="str">
        <f>Ringkasan!P938</f>
        <v/>
      </c>
      <c r="Q1265" s="60" t="str">
        <f>Ringkasan!Q938</f>
        <v/>
      </c>
      <c r="R1265" s="60" t="str">
        <f>Ringkasan!R938</f>
        <v/>
      </c>
      <c r="S1265" s="60" t="str">
        <f>Ringkasan!S938</f>
        <v/>
      </c>
      <c r="T1265" s="60" t="str">
        <f>Ringkasan!T938</f>
        <v/>
      </c>
      <c r="U1265" s="60">
        <f>Ringkasan!U938</f>
        <v>4160</v>
      </c>
      <c r="V1265" s="60" t="str">
        <f>Ringkasan!V938</f>
        <v/>
      </c>
      <c r="W1265" s="60">
        <f>Ringkasan!W938</f>
        <v>4190</v>
      </c>
      <c r="X1265" s="60">
        <f>Ringkasan!X938</f>
        <v>4240</v>
      </c>
      <c r="Y1265" s="60">
        <f>Ringkasan!Y938</f>
        <v>4090</v>
      </c>
      <c r="Z1265" s="60">
        <f>Ringkasan!Z938</f>
        <v>2337500</v>
      </c>
      <c r="AA1265" s="60" t="str">
        <f>Ringkasan!AA938</f>
        <v>Construction Materials</v>
      </c>
      <c r="AB1265" s="64" t="str">
        <f>Ringkasan!AB938</f>
        <v>Basic Materials</v>
      </c>
    </row>
    <row r="1266" hidden="1">
      <c r="A1266" s="64" t="str">
        <f>Ringkasan!A939</f>
        <v>INTP</v>
      </c>
      <c r="B1266" s="64" t="str">
        <f>Ringkasan!B939</f>
        <v>Indocement Tunggal Prakarsa Tbk.</v>
      </c>
      <c r="C1266" s="61">
        <f>Ringkasan!C939</f>
        <v>4110</v>
      </c>
      <c r="D1266" s="60" t="str">
        <f>Ringkasan!D939</f>
        <v>#N/A</v>
      </c>
      <c r="E1266" s="60" t="str">
        <f>Ringkasan!E939</f>
        <v>Investor33</v>
      </c>
      <c r="F1266" s="63">
        <f>Ringkasan!F939</f>
        <v>46356</v>
      </c>
      <c r="G1266" s="60">
        <f>Ringkasan!G939</f>
        <v>13</v>
      </c>
      <c r="H1266" s="62">
        <f>Ringkasan!H939</f>
        <v>7.6</v>
      </c>
      <c r="I1266" s="62">
        <f>Ringkasan!I939</f>
        <v>0.74</v>
      </c>
      <c r="J1266" s="62">
        <f>Ringkasan!J939</f>
        <v>9.7</v>
      </c>
      <c r="K1266" s="62">
        <f>Ringkasan!K939</f>
        <v>7.2</v>
      </c>
      <c r="L1266" s="62">
        <f>Ringkasan!L939</f>
        <v>0.34</v>
      </c>
      <c r="M1266" s="62">
        <f>Ringkasan!M939</f>
        <v>58.6</v>
      </c>
      <c r="N1266" s="60" t="str">
        <f>Ringkasan!N939</f>
        <v/>
      </c>
      <c r="O1266" s="60" t="str">
        <f>Ringkasan!O939</f>
        <v/>
      </c>
      <c r="P1266" s="60" t="str">
        <f>Ringkasan!P939</f>
        <v/>
      </c>
      <c r="Q1266" s="60" t="str">
        <f>Ringkasan!Q939</f>
        <v/>
      </c>
      <c r="R1266" s="60" t="str">
        <f>Ringkasan!R939</f>
        <v/>
      </c>
      <c r="S1266" s="60" t="str">
        <f>Ringkasan!S939</f>
        <v/>
      </c>
      <c r="T1266" s="60" t="str">
        <f>Ringkasan!T939</f>
        <v/>
      </c>
      <c r="U1266" s="60">
        <f>Ringkasan!U939</f>
        <v>4160</v>
      </c>
      <c r="V1266" s="60" t="str">
        <f>Ringkasan!V939</f>
        <v/>
      </c>
      <c r="W1266" s="60">
        <f>Ringkasan!W939</f>
        <v>4190</v>
      </c>
      <c r="X1266" s="60">
        <f>Ringkasan!X939</f>
        <v>4240</v>
      </c>
      <c r="Y1266" s="60">
        <f>Ringkasan!Y939</f>
        <v>4090</v>
      </c>
      <c r="Z1266" s="60">
        <f>Ringkasan!Z939</f>
        <v>2337500</v>
      </c>
      <c r="AA1266" s="60" t="str">
        <f>Ringkasan!AA939</f>
        <v>Construction Materials</v>
      </c>
      <c r="AB1266" s="64" t="str">
        <f>Ringkasan!AB939</f>
        <v>Basic Materials</v>
      </c>
    </row>
    <row r="1267" hidden="1">
      <c r="A1267" s="64" t="str">
        <f>Ringkasan!A1266</f>
        <v>MTEL</v>
      </c>
      <c r="B1267" s="64" t="str">
        <f>Ringkasan!B1266</f>
        <v>Dayamitra Telekomunikasi Tbk.</v>
      </c>
      <c r="C1267" s="67">
        <f>Ringkasan!C1266</f>
        <v>498</v>
      </c>
      <c r="D1267" s="22" t="str">
        <f>Ringkasan!D1266</f>
        <v>#N/A</v>
      </c>
      <c r="E1267" s="64" t="str">
        <f>Ringkasan!E1266</f>
        <v>Kompas100</v>
      </c>
      <c r="F1267" s="64" t="str">
        <f>Ringkasan!F1266</f>
        <v>31 Juli 2026</v>
      </c>
      <c r="G1267" s="64">
        <f>Ringkasan!G1266</f>
        <v>10</v>
      </c>
      <c r="H1267" s="19">
        <f>Ringkasan!H1266</f>
        <v>20.3</v>
      </c>
      <c r="I1267" s="19">
        <f>Ringkasan!I1266</f>
        <v>1.3</v>
      </c>
      <c r="J1267" s="19">
        <f>Ringkasan!J1266</f>
        <v>6.4</v>
      </c>
      <c r="K1267" s="19">
        <f>Ringkasan!K1266</f>
        <v>3.5</v>
      </c>
      <c r="L1267" s="19">
        <f>Ringkasan!L1266</f>
        <v>0.8</v>
      </c>
      <c r="M1267" s="19">
        <f>Ringkasan!M1266</f>
        <v>93.2</v>
      </c>
      <c r="N1267" s="64" t="str">
        <f>Ringkasan!N1266</f>
        <v/>
      </c>
      <c r="O1267" s="64" t="str">
        <f>Ringkasan!O1266</f>
        <v/>
      </c>
      <c r="P1267" s="64" t="str">
        <f>Ringkasan!P1266</f>
        <v/>
      </c>
      <c r="Q1267" s="64" t="str">
        <f>Ringkasan!Q1266</f>
        <v/>
      </c>
      <c r="R1267" s="64" t="str">
        <f>Ringkasan!R1266</f>
        <v/>
      </c>
      <c r="S1267" s="64" t="str">
        <f>Ringkasan!S1266</f>
        <v/>
      </c>
      <c r="T1267" s="64" t="str">
        <f>Ringkasan!T1266</f>
        <v/>
      </c>
      <c r="U1267" s="22">
        <f>Ringkasan!U1266</f>
        <v>500</v>
      </c>
      <c r="V1267" s="22">
        <f>Ringkasan!V1266</f>
        <v>-0.4</v>
      </c>
      <c r="W1267" s="22">
        <f>Ringkasan!W1266</f>
        <v>498</v>
      </c>
      <c r="X1267" s="22">
        <f>Ringkasan!X1266</f>
        <v>500</v>
      </c>
      <c r="Y1267" s="22">
        <f>Ringkasan!Y1266</f>
        <v>492</v>
      </c>
      <c r="Z1267" s="22">
        <f>Ringkasan!Z1266</f>
        <v>32723600</v>
      </c>
      <c r="AA1267" s="64" t="str">
        <f>Ringkasan!AA1266</f>
        <v>Wireless Telecommunication Services</v>
      </c>
      <c r="AB1267" s="64" t="str">
        <f>Ringkasan!AB1266</f>
        <v>Infrastructures</v>
      </c>
    </row>
    <row r="1268" hidden="1">
      <c r="A1268" s="64" t="str">
        <f>Ringkasan!A1267</f>
        <v>MTEL</v>
      </c>
      <c r="B1268" s="64" t="str">
        <f>Ringkasan!B1267</f>
        <v>Dayamitra Telekomunikasi Tbk.</v>
      </c>
      <c r="C1268" s="67">
        <f>Ringkasan!C1267</f>
        <v>498</v>
      </c>
      <c r="D1268" s="22" t="str">
        <f>Ringkasan!D1267</f>
        <v>#N/A</v>
      </c>
      <c r="E1268" s="64" t="str">
        <f>Ringkasan!E1267</f>
        <v>FTSE Large Cap</v>
      </c>
      <c r="F1268" s="64" t="str">
        <f>Ringkasan!F1267</f>
        <v>Juni 2026</v>
      </c>
      <c r="G1268" s="64">
        <f>Ringkasan!G1267</f>
        <v>10</v>
      </c>
      <c r="H1268" s="19">
        <f>Ringkasan!H1267</f>
        <v>20.3</v>
      </c>
      <c r="I1268" s="19">
        <f>Ringkasan!I1267</f>
        <v>1.3</v>
      </c>
      <c r="J1268" s="19">
        <f>Ringkasan!J1267</f>
        <v>6.4</v>
      </c>
      <c r="K1268" s="19">
        <f>Ringkasan!K1267</f>
        <v>3.5</v>
      </c>
      <c r="L1268" s="19">
        <f>Ringkasan!L1267</f>
        <v>0.8</v>
      </c>
      <c r="M1268" s="19">
        <f>Ringkasan!M1267</f>
        <v>93.2</v>
      </c>
      <c r="N1268" s="64" t="str">
        <f>Ringkasan!N1267</f>
        <v/>
      </c>
      <c r="O1268" s="64" t="str">
        <f>Ringkasan!O1267</f>
        <v/>
      </c>
      <c r="P1268" s="64" t="str">
        <f>Ringkasan!P1267</f>
        <v/>
      </c>
      <c r="Q1268" s="64" t="str">
        <f>Ringkasan!Q1267</f>
        <v/>
      </c>
      <c r="R1268" s="64" t="str">
        <f>Ringkasan!R1267</f>
        <v/>
      </c>
      <c r="S1268" s="64" t="str">
        <f>Ringkasan!S1267</f>
        <v/>
      </c>
      <c r="T1268" s="64" t="str">
        <f>Ringkasan!T1267</f>
        <v/>
      </c>
      <c r="U1268" s="22">
        <f>Ringkasan!U1267</f>
        <v>500</v>
      </c>
      <c r="V1268" s="22">
        <f>Ringkasan!V1267</f>
        <v>-0.4</v>
      </c>
      <c r="W1268" s="22">
        <f>Ringkasan!W1267</f>
        <v>498</v>
      </c>
      <c r="X1268" s="22">
        <f>Ringkasan!X1267</f>
        <v>500</v>
      </c>
      <c r="Y1268" s="22">
        <f>Ringkasan!Y1267</f>
        <v>492</v>
      </c>
      <c r="Z1268" s="22">
        <f>Ringkasan!Z1267</f>
        <v>32723600</v>
      </c>
      <c r="AA1268" s="64" t="str">
        <f>Ringkasan!AA1267</f>
        <v>Wireless Telecommunication Services</v>
      </c>
      <c r="AB1268" s="64" t="str">
        <f>Ringkasan!AB1267</f>
        <v>Infrastructures</v>
      </c>
    </row>
    <row r="1269" hidden="1">
      <c r="A1269" s="64" t="str">
        <f>Ringkasan!A1268</f>
        <v>MTEL</v>
      </c>
      <c r="B1269" s="64" t="str">
        <f>Ringkasan!B1268</f>
        <v>Dayamitra Telekomunikasi Tbk.</v>
      </c>
      <c r="C1269" s="65">
        <f>Ringkasan!C1268</f>
        <v>498</v>
      </c>
      <c r="D1269" s="64" t="str">
        <f>Ringkasan!D1268</f>
        <v>#N/A</v>
      </c>
      <c r="E1269" s="64" t="str">
        <f>Ringkasan!E1268</f>
        <v>MSCI Small Cap</v>
      </c>
      <c r="F1269" s="64" t="str">
        <f>Ringkasan!F1268</f>
        <v>12 Agustus 2026</v>
      </c>
      <c r="G1269" s="64">
        <f>Ringkasan!G1268</f>
        <v>10</v>
      </c>
      <c r="H1269" s="19">
        <f>Ringkasan!H1268</f>
        <v>20.3</v>
      </c>
      <c r="I1269" s="19">
        <f>Ringkasan!I1268</f>
        <v>1.3</v>
      </c>
      <c r="J1269" s="19">
        <f>Ringkasan!J1268</f>
        <v>6.4</v>
      </c>
      <c r="K1269" s="19">
        <f>Ringkasan!K1268</f>
        <v>3.5</v>
      </c>
      <c r="L1269" s="19">
        <f>Ringkasan!L1268</f>
        <v>0.8</v>
      </c>
      <c r="M1269" s="19">
        <f>Ringkasan!M1268</f>
        <v>93.2</v>
      </c>
      <c r="N1269" s="64" t="str">
        <f>Ringkasan!N1268</f>
        <v/>
      </c>
      <c r="O1269" s="64" t="str">
        <f>Ringkasan!O1268</f>
        <v/>
      </c>
      <c r="P1269" s="64" t="str">
        <f>Ringkasan!P1268</f>
        <v/>
      </c>
      <c r="Q1269" s="64" t="str">
        <f>Ringkasan!Q1268</f>
        <v/>
      </c>
      <c r="R1269" s="64" t="str">
        <f>Ringkasan!R1268</f>
        <v/>
      </c>
      <c r="S1269" s="64" t="str">
        <f>Ringkasan!S1268</f>
        <v/>
      </c>
      <c r="T1269" s="64" t="str">
        <f>Ringkasan!T1268</f>
        <v/>
      </c>
      <c r="U1269" s="64">
        <f>Ringkasan!U1268</f>
        <v>500</v>
      </c>
      <c r="V1269" s="64">
        <f>Ringkasan!V1268</f>
        <v>-0.4</v>
      </c>
      <c r="W1269" s="64">
        <f>Ringkasan!W1268</f>
        <v>498</v>
      </c>
      <c r="X1269" s="64">
        <f>Ringkasan!X1268</f>
        <v>500</v>
      </c>
      <c r="Y1269" s="64">
        <f>Ringkasan!Y1268</f>
        <v>492</v>
      </c>
      <c r="Z1269" s="64">
        <f>Ringkasan!Z1268</f>
        <v>32723600</v>
      </c>
      <c r="AA1269" s="64" t="str">
        <f>Ringkasan!AA1268</f>
        <v>Wireless Telecommunication Services</v>
      </c>
      <c r="AB1269" s="64" t="str">
        <f>Ringkasan!AB1268</f>
        <v>Infrastructures</v>
      </c>
    </row>
    <row r="1270">
      <c r="A1270" s="64" t="str">
        <f>Ringkasan!A1218</f>
        <v>MIDI</v>
      </c>
      <c r="B1270" s="64" t="str">
        <f>Ringkasan!B1218</f>
        <v>Midi Utama Indonesia Tbk</v>
      </c>
      <c r="C1270" s="65">
        <f>Ringkasan!C1218</f>
        <v>300</v>
      </c>
      <c r="D1270" s="64" t="str">
        <f>Ringkasan!D1218</f>
        <v>#N/A</v>
      </c>
      <c r="E1270" s="64" t="str">
        <f>Ringkasan!E1218</f>
        <v>IDXSMC-LIQ</v>
      </c>
      <c r="F1270" s="64" t="str">
        <f>Ringkasan!F1218</f>
        <v>4 Agustus 2026</v>
      </c>
      <c r="G1270" s="64">
        <f>Ringkasan!G1218</f>
        <v>2</v>
      </c>
      <c r="H1270" s="19">
        <f>Ringkasan!H1218</f>
        <v>10.6</v>
      </c>
      <c r="I1270" s="19">
        <f>Ringkasan!I1218</f>
        <v>1.9</v>
      </c>
      <c r="J1270" s="19">
        <f>Ringkasan!J1218</f>
        <v>18.1</v>
      </c>
      <c r="K1270" s="19">
        <f>Ringkasan!K1218</f>
        <v>9</v>
      </c>
      <c r="L1270" s="19">
        <f>Ringkasan!L1218</f>
        <v>1</v>
      </c>
      <c r="M1270" s="19">
        <f>Ringkasan!M1218</f>
        <v>14.8</v>
      </c>
      <c r="N1270" s="64" t="str">
        <f>Ringkasan!N1218</f>
        <v/>
      </c>
      <c r="O1270" s="64" t="str">
        <f>Ringkasan!O1218</f>
        <v/>
      </c>
      <c r="P1270" s="64" t="str">
        <f>Ringkasan!P1218</f>
        <v/>
      </c>
      <c r="Q1270" s="64" t="str">
        <f>Ringkasan!Q1218</f>
        <v/>
      </c>
      <c r="R1270" s="64" t="str">
        <f>Ringkasan!R1218</f>
        <v/>
      </c>
      <c r="S1270" s="64" t="str">
        <f>Ringkasan!S1218</f>
        <v/>
      </c>
      <c r="T1270" s="64" t="str">
        <f>Ringkasan!T1218</f>
        <v/>
      </c>
      <c r="U1270" s="64">
        <f>Ringkasan!U1218</f>
        <v>296</v>
      </c>
      <c r="V1270" s="64">
        <f>Ringkasan!V1218</f>
        <v>1.35</v>
      </c>
      <c r="W1270" s="64">
        <f>Ringkasan!W1218</f>
        <v>300</v>
      </c>
      <c r="X1270" s="64">
        <f>Ringkasan!X1218</f>
        <v>302</v>
      </c>
      <c r="Y1270" s="64">
        <f>Ringkasan!Y1218</f>
        <v>290</v>
      </c>
      <c r="Z1270" s="64">
        <f>Ringkasan!Z1218</f>
        <v>10713300</v>
      </c>
      <c r="AA1270" s="64" t="str">
        <f>Ringkasan!AA1218</f>
        <v>Food &amp; Staples Retailing</v>
      </c>
      <c r="AB1270" s="64" t="str">
        <f>Ringkasan!AB1218</f>
        <v>Consumer Non-Cyclicals</v>
      </c>
    </row>
    <row r="1271" hidden="1">
      <c r="A1271" s="64" t="str">
        <f>Ringkasan!A1270</f>
        <v>MTEL</v>
      </c>
      <c r="B1271" s="64" t="str">
        <f>Ringkasan!B1270</f>
        <v>Dayamitra Telekomunikasi Tbk.</v>
      </c>
      <c r="C1271" s="65">
        <f>Ringkasan!C1270</f>
        <v>498</v>
      </c>
      <c r="D1271" s="64" t="str">
        <f>Ringkasan!D1270</f>
        <v>#N/A</v>
      </c>
      <c r="E1271" s="64" t="str">
        <f>Ringkasan!E1270</f>
        <v>JII70</v>
      </c>
      <c r="F1271" s="66">
        <f>Ringkasan!F1270</f>
        <v>46356</v>
      </c>
      <c r="G1271" s="64">
        <f>Ringkasan!G1270</f>
        <v>10</v>
      </c>
      <c r="H1271" s="19">
        <f>Ringkasan!H1270</f>
        <v>20.3</v>
      </c>
      <c r="I1271" s="19">
        <f>Ringkasan!I1270</f>
        <v>1.3</v>
      </c>
      <c r="J1271" s="19">
        <f>Ringkasan!J1270</f>
        <v>6.4</v>
      </c>
      <c r="K1271" s="19">
        <f>Ringkasan!K1270</f>
        <v>3.5</v>
      </c>
      <c r="L1271" s="19">
        <f>Ringkasan!L1270</f>
        <v>0.8</v>
      </c>
      <c r="M1271" s="19">
        <f>Ringkasan!M1270</f>
        <v>93.2</v>
      </c>
      <c r="N1271" s="64" t="str">
        <f>Ringkasan!N1270</f>
        <v/>
      </c>
      <c r="O1271" s="64" t="str">
        <f>Ringkasan!O1270</f>
        <v/>
      </c>
      <c r="P1271" s="64" t="str">
        <f>Ringkasan!P1270</f>
        <v/>
      </c>
      <c r="Q1271" s="64" t="str">
        <f>Ringkasan!Q1270</f>
        <v/>
      </c>
      <c r="R1271" s="64" t="str">
        <f>Ringkasan!R1270</f>
        <v/>
      </c>
      <c r="S1271" s="64" t="str">
        <f>Ringkasan!S1270</f>
        <v/>
      </c>
      <c r="T1271" s="64" t="str">
        <f>Ringkasan!T1270</f>
        <v/>
      </c>
      <c r="U1271" s="64">
        <f>Ringkasan!U1270</f>
        <v>500</v>
      </c>
      <c r="V1271" s="64">
        <f>Ringkasan!V1270</f>
        <v>-0.4</v>
      </c>
      <c r="W1271" s="64">
        <f>Ringkasan!W1270</f>
        <v>498</v>
      </c>
      <c r="X1271" s="64">
        <f>Ringkasan!X1270</f>
        <v>500</v>
      </c>
      <c r="Y1271" s="64">
        <f>Ringkasan!Y1270</f>
        <v>492</v>
      </c>
      <c r="Z1271" s="64">
        <f>Ringkasan!Z1270</f>
        <v>32723600</v>
      </c>
      <c r="AA1271" s="64" t="str">
        <f>Ringkasan!AA1270</f>
        <v>Wireless Telecommunication Services</v>
      </c>
      <c r="AB1271" s="64" t="str">
        <f>Ringkasan!AB1270</f>
        <v>Infrastructures</v>
      </c>
    </row>
    <row r="1272" hidden="1">
      <c r="A1272" s="64" t="str">
        <f>Ringkasan!A1271</f>
        <v>MTFN</v>
      </c>
      <c r="B1272" s="64" t="str">
        <f>Ringkasan!B1271</f>
        <v>Capitalinc Investment Tbk.</v>
      </c>
      <c r="C1272" s="65">
        <f>Ringkasan!C1271</f>
        <v>15</v>
      </c>
      <c r="D1272" s="64" t="str">
        <f>Ringkasan!D1271</f>
        <v>#N/A</v>
      </c>
      <c r="E1272" s="64" t="str">
        <f>Ringkasan!E1271</f>
        <v/>
      </c>
      <c r="F1272" s="64" t="str">
        <f>Ringkasan!F1271</f>
        <v/>
      </c>
      <c r="G1272" s="64">
        <f>Ringkasan!G1271</f>
        <v>0</v>
      </c>
      <c r="H1272" s="19">
        <f>Ringkasan!H1271</f>
        <v>-6.9</v>
      </c>
      <c r="I1272" s="19">
        <f>Ringkasan!I1271</f>
        <v>-1.1</v>
      </c>
      <c r="J1272" s="19">
        <f>Ringkasan!J1271</f>
        <v>0</v>
      </c>
      <c r="K1272" s="19">
        <f>Ringkasan!K1271</f>
        <v>-16.1</v>
      </c>
      <c r="L1272" s="19">
        <f>Ringkasan!L1271</f>
        <v>-2</v>
      </c>
      <c r="M1272" s="19">
        <f>Ringkasan!M1271</f>
        <v>-20.4</v>
      </c>
      <c r="N1272" s="64" t="str">
        <f>Ringkasan!N1271</f>
        <v/>
      </c>
      <c r="O1272" s="64" t="str">
        <f>Ringkasan!O1271</f>
        <v/>
      </c>
      <c r="P1272" s="64" t="str">
        <f>Ringkasan!P1271</f>
        <v/>
      </c>
      <c r="Q1272" s="64" t="str">
        <f>Ringkasan!Q1271</f>
        <v/>
      </c>
      <c r="R1272" s="64" t="str">
        <f>Ringkasan!R1271</f>
        <v/>
      </c>
      <c r="S1272" s="64" t="str">
        <f>Ringkasan!S1271</f>
        <v/>
      </c>
      <c r="T1272" s="64" t="str">
        <f>Ringkasan!T1271</f>
        <v/>
      </c>
      <c r="U1272" s="64">
        <f>Ringkasan!U1271</f>
        <v>14</v>
      </c>
      <c r="V1272" s="64">
        <f>Ringkasan!V1271</f>
        <v>7.14</v>
      </c>
      <c r="W1272" s="64">
        <f>Ringkasan!W1271</f>
        <v>15</v>
      </c>
      <c r="X1272" s="64">
        <f>Ringkasan!X1271</f>
        <v>15</v>
      </c>
      <c r="Y1272" s="64">
        <f>Ringkasan!Y1271</f>
        <v>15</v>
      </c>
      <c r="Z1272" s="64">
        <f>Ringkasan!Z1271</f>
        <v>16375200</v>
      </c>
      <c r="AA1272" s="64" t="str">
        <f>Ringkasan!AA1271</f>
        <v>Oil &amp; Gas</v>
      </c>
      <c r="AB1272" s="64" t="str">
        <f>Ringkasan!AB1271</f>
        <v>Energy</v>
      </c>
    </row>
    <row r="1273" hidden="1">
      <c r="A1273" s="64" t="str">
        <f>Ringkasan!A1272</f>
        <v>MTLA</v>
      </c>
      <c r="B1273" s="64" t="str">
        <f>Ringkasan!B1272</f>
        <v>Metropolitan Land Tbk.</v>
      </c>
      <c r="C1273" s="65">
        <f>Ringkasan!C1272</f>
        <v>488</v>
      </c>
      <c r="D1273" s="64" t="str">
        <f>Ringkasan!D1272</f>
        <v>#N/A</v>
      </c>
      <c r="E1273" s="64" t="str">
        <f>Ringkasan!E1272</f>
        <v/>
      </c>
      <c r="F1273" s="64" t="str">
        <f>Ringkasan!F1272</f>
        <v/>
      </c>
      <c r="G1273" s="64">
        <f>Ringkasan!G1272</f>
        <v>0</v>
      </c>
      <c r="H1273" s="19">
        <f>Ringkasan!H1272</f>
        <v>9.8</v>
      </c>
      <c r="I1273" s="19">
        <f>Ringkasan!I1272</f>
        <v>0.64</v>
      </c>
      <c r="J1273" s="19">
        <f>Ringkasan!J1272</f>
        <v>6.6</v>
      </c>
      <c r="K1273" s="19">
        <f>Ringkasan!K1272</f>
        <v>4.9</v>
      </c>
      <c r="L1273" s="19">
        <f>Ringkasan!L1272</f>
        <v>0.35</v>
      </c>
      <c r="M1273" s="19">
        <f>Ringkasan!M1272</f>
        <v>110</v>
      </c>
      <c r="N1273" s="64" t="str">
        <f>Ringkasan!N1272</f>
        <v/>
      </c>
      <c r="O1273" s="64" t="str">
        <f>Ringkasan!O1272</f>
        <v/>
      </c>
      <c r="P1273" s="64" t="str">
        <f>Ringkasan!P1272</f>
        <v/>
      </c>
      <c r="Q1273" s="64" t="str">
        <f>Ringkasan!Q1272</f>
        <v/>
      </c>
      <c r="R1273" s="64" t="str">
        <f>Ringkasan!R1272</f>
        <v/>
      </c>
      <c r="S1273" s="64" t="str">
        <f>Ringkasan!S1272</f>
        <v/>
      </c>
      <c r="T1273" s="64" t="str">
        <f>Ringkasan!T1272</f>
        <v/>
      </c>
      <c r="U1273" s="64">
        <f>Ringkasan!U1272</f>
        <v>353.5</v>
      </c>
      <c r="V1273" s="64">
        <f>Ringkasan!V1272</f>
        <v>-0.76</v>
      </c>
      <c r="W1273" s="64">
        <f>Ringkasan!W1272</f>
        <v>355.9</v>
      </c>
      <c r="X1273" s="64">
        <f>Ringkasan!X1272</f>
        <v>355.9</v>
      </c>
      <c r="Y1273" s="64">
        <f>Ringkasan!Y1272</f>
        <v>350.8</v>
      </c>
      <c r="Z1273" s="64">
        <f>Ringkasan!Z1272</f>
        <v>1</v>
      </c>
      <c r="AA1273" s="64" t="str">
        <f>Ringkasan!AA1272</f>
        <v>Real Estate Management &amp; Development</v>
      </c>
      <c r="AB1273" s="64" t="str">
        <f>Ringkasan!AB1272</f>
        <v>Properties &amp; Real Estate</v>
      </c>
    </row>
    <row r="1274" hidden="1">
      <c r="A1274" s="64" t="str">
        <f>Ringkasan!A1273</f>
        <v>MTMH</v>
      </c>
      <c r="B1274" s="64" t="str">
        <f>Ringkasan!B1273</f>
        <v>Murni Sadar Tbk.</v>
      </c>
      <c r="C1274" s="65">
        <f>Ringkasan!C1273</f>
        <v>985</v>
      </c>
      <c r="D1274" s="64" t="str">
        <f>Ringkasan!D1273</f>
        <v>#N/A</v>
      </c>
      <c r="E1274" s="64" t="str">
        <f>Ringkasan!E1273</f>
        <v/>
      </c>
      <c r="F1274" s="64" t="str">
        <f>Ringkasan!F1273</f>
        <v/>
      </c>
      <c r="G1274" s="64">
        <f>Ringkasan!G1273</f>
        <v>0</v>
      </c>
      <c r="H1274" s="19">
        <f>Ringkasan!H1273</f>
        <v>48.1</v>
      </c>
      <c r="I1274" s="19">
        <f>Ringkasan!I1273</f>
        <v>1.3</v>
      </c>
      <c r="J1274" s="19">
        <f>Ringkasan!J1273</f>
        <v>2.6</v>
      </c>
      <c r="K1274" s="19">
        <f>Ringkasan!K1273</f>
        <v>1.5</v>
      </c>
      <c r="L1274" s="19">
        <f>Ringkasan!L1273</f>
        <v>0.79</v>
      </c>
      <c r="M1274" s="19">
        <f>Ringkasan!M1273</f>
        <v>10.7</v>
      </c>
      <c r="N1274" s="64" t="str">
        <f>Ringkasan!N1273</f>
        <v/>
      </c>
      <c r="O1274" s="64" t="str">
        <f>Ringkasan!O1273</f>
        <v/>
      </c>
      <c r="P1274" s="64" t="str">
        <f>Ringkasan!P1273</f>
        <v/>
      </c>
      <c r="Q1274" s="64" t="str">
        <f>Ringkasan!Q1273</f>
        <v/>
      </c>
      <c r="R1274" s="64" t="str">
        <f>Ringkasan!R1273</f>
        <v/>
      </c>
      <c r="S1274" s="64" t="str">
        <f>Ringkasan!S1273</f>
        <v/>
      </c>
      <c r="T1274" s="64" t="str">
        <f>Ringkasan!T1273</f>
        <v/>
      </c>
      <c r="U1274" s="64">
        <f>Ringkasan!U1273</f>
        <v>930</v>
      </c>
      <c r="V1274" s="64">
        <f>Ringkasan!V1273</f>
        <v>5.91</v>
      </c>
      <c r="W1274" s="64">
        <f>Ringkasan!W1273</f>
        <v>935</v>
      </c>
      <c r="X1274" s="64">
        <f>Ringkasan!X1273</f>
        <v>1000</v>
      </c>
      <c r="Y1274" s="64" t="str">
        <f>Ringkasan!Y1273</f>
        <v/>
      </c>
      <c r="Z1274" s="64">
        <f>Ringkasan!Z1273</f>
        <v>5000</v>
      </c>
      <c r="AA1274" s="64" t="str">
        <f>Ringkasan!AA1273</f>
        <v>Healthcare Providers</v>
      </c>
      <c r="AB1274" s="64" t="str">
        <f>Ringkasan!AB1273</f>
        <v>Healthcare</v>
      </c>
    </row>
    <row r="1275" hidden="1">
      <c r="A1275" s="64" t="str">
        <f>Ringkasan!A1274</f>
        <v>MTPS</v>
      </c>
      <c r="B1275" s="64" t="str">
        <f>Ringkasan!B1274</f>
        <v>Meta Epsi Tbk.</v>
      </c>
      <c r="C1275" s="65">
        <f>Ringkasan!C1274</f>
        <v>81</v>
      </c>
      <c r="D1275" s="64" t="str">
        <f>Ringkasan!D1274</f>
        <v>#N/A</v>
      </c>
      <c r="E1275" s="64" t="str">
        <f>Ringkasan!E1274</f>
        <v/>
      </c>
      <c r="F1275" s="64" t="str">
        <f>Ringkasan!F1274</f>
        <v/>
      </c>
      <c r="G1275" s="64">
        <f>Ringkasan!G1274</f>
        <v>0</v>
      </c>
      <c r="H1275" s="19">
        <f>Ringkasan!H1274</f>
        <v>-55.8</v>
      </c>
      <c r="I1275" s="19">
        <f>Ringkasan!I1274</f>
        <v>4.3</v>
      </c>
      <c r="J1275" s="19">
        <f>Ringkasan!J1274</f>
        <v>-7.6</v>
      </c>
      <c r="K1275" s="19">
        <f>Ringkasan!K1274</f>
        <v>-3.8</v>
      </c>
      <c r="L1275" s="19">
        <f>Ringkasan!L1274</f>
        <v>0.99</v>
      </c>
      <c r="M1275" s="19">
        <f>Ringkasan!M1274</f>
        <v>0</v>
      </c>
      <c r="N1275" s="64" t="str">
        <f>Ringkasan!N1274</f>
        <v/>
      </c>
      <c r="O1275" s="64" t="str">
        <f>Ringkasan!O1274</f>
        <v/>
      </c>
      <c r="P1275" s="64" t="str">
        <f>Ringkasan!P1274</f>
        <v/>
      </c>
      <c r="Q1275" s="64" t="str">
        <f>Ringkasan!Q1274</f>
        <v/>
      </c>
      <c r="R1275" s="64" t="str">
        <f>Ringkasan!R1274</f>
        <v/>
      </c>
      <c r="S1275" s="64" t="str">
        <f>Ringkasan!S1274</f>
        <v/>
      </c>
      <c r="T1275" s="64" t="str">
        <f>Ringkasan!T1274</f>
        <v/>
      </c>
      <c r="U1275" s="64">
        <f>Ringkasan!U1274</f>
        <v>81</v>
      </c>
      <c r="V1275" s="64">
        <f>Ringkasan!V1274</f>
        <v>0</v>
      </c>
      <c r="W1275" s="64" t="str">
        <f>Ringkasan!W1274</f>
        <v/>
      </c>
      <c r="X1275" s="64" t="str">
        <f>Ringkasan!X1274</f>
        <v/>
      </c>
      <c r="Y1275" s="64" t="str">
        <f>Ringkasan!Y1274</f>
        <v/>
      </c>
      <c r="Z1275" s="64">
        <f>Ringkasan!Z1274</f>
        <v>0</v>
      </c>
      <c r="AA1275" s="64" t="str">
        <f>Ringkasan!AA1274</f>
        <v>Heavy Constructions &amp; Civil Engineering</v>
      </c>
      <c r="AB1275" s="64" t="str">
        <f>Ringkasan!AB1274</f>
        <v>Infrastructures</v>
      </c>
    </row>
    <row r="1276" hidden="1">
      <c r="A1276" s="64" t="str">
        <f>Ringkasan!A1275</f>
        <v>MTRA</v>
      </c>
      <c r="B1276" s="64" t="str">
        <f>Ringkasan!B1275</f>
        <v>PT Mitra Pemuda Tbk.</v>
      </c>
      <c r="C1276" s="65">
        <f>Ringkasan!C1275</f>
        <v>244</v>
      </c>
      <c r="D1276" s="64" t="str">
        <f>Ringkasan!D1275</f>
        <v>#N/A</v>
      </c>
      <c r="E1276" s="64" t="str">
        <f>Ringkasan!E1275</f>
        <v/>
      </c>
      <c r="F1276" s="64" t="str">
        <f>Ringkasan!F1275</f>
        <v/>
      </c>
      <c r="G1276" s="64">
        <f>Ringkasan!G1275</f>
        <v>0</v>
      </c>
      <c r="H1276" s="19">
        <f>Ringkasan!H1275</f>
        <v>0</v>
      </c>
      <c r="I1276" s="19">
        <f>Ringkasan!I1275</f>
        <v>-2.6</v>
      </c>
      <c r="J1276" s="19">
        <f>Ringkasan!J1275</f>
        <v>0</v>
      </c>
      <c r="K1276" s="19">
        <f>Ringkasan!K1275</f>
        <v>-56.6</v>
      </c>
      <c r="L1276" s="19">
        <f>Ringkasan!L1275</f>
        <v>-2.9</v>
      </c>
      <c r="M1276" s="19">
        <f>Ringkasan!M1275</f>
        <v>-1460</v>
      </c>
      <c r="N1276" s="64" t="str">
        <f>Ringkasan!N1275</f>
        <v/>
      </c>
      <c r="O1276" s="64" t="str">
        <f>Ringkasan!O1275</f>
        <v/>
      </c>
      <c r="P1276" s="64" t="str">
        <f>Ringkasan!P1275</f>
        <v/>
      </c>
      <c r="Q1276" s="64" t="str">
        <f>Ringkasan!Q1275</f>
        <v/>
      </c>
      <c r="R1276" s="64" t="str">
        <f>Ringkasan!R1275</f>
        <v/>
      </c>
      <c r="S1276" s="64" t="str">
        <f>Ringkasan!S1275</f>
        <v/>
      </c>
      <c r="T1276" s="64" t="str">
        <f>Ringkasan!T1275</f>
        <v/>
      </c>
      <c r="U1276" s="64">
        <f>Ringkasan!U1275</f>
        <v>26.4</v>
      </c>
      <c r="V1276" s="64">
        <f>Ringkasan!V1275</f>
        <v>0.36</v>
      </c>
      <c r="W1276" s="64">
        <f>Ringkasan!W1275</f>
        <v>26.4</v>
      </c>
      <c r="X1276" s="64">
        <f>Ringkasan!X1275</f>
        <v>26.49</v>
      </c>
      <c r="Y1276" s="64">
        <f>Ringkasan!Y1275</f>
        <v>26.4</v>
      </c>
      <c r="Z1276" s="64">
        <f>Ringkasan!Z1275</f>
        <v>38</v>
      </c>
      <c r="AA1276" s="64" t="str">
        <f>Ringkasan!AA1275</f>
        <v>Heavy Constructions &amp; Civil Engineering</v>
      </c>
      <c r="AB1276" s="64" t="str">
        <f>Ringkasan!AB1275</f>
        <v>Infrastructures</v>
      </c>
    </row>
    <row r="1277" hidden="1">
      <c r="A1277" s="64" t="str">
        <f>Ringkasan!A1276</f>
        <v>MTSM</v>
      </c>
      <c r="B1277" s="64" t="str">
        <f>Ringkasan!B1276</f>
        <v>Metro Realty Tbk.</v>
      </c>
      <c r="C1277" s="65">
        <f>Ringkasan!C1276</f>
        <v>500</v>
      </c>
      <c r="D1277" s="64" t="str">
        <f>Ringkasan!D1276</f>
        <v>#N/A</v>
      </c>
      <c r="E1277" s="64" t="str">
        <f>Ringkasan!E1276</f>
        <v/>
      </c>
      <c r="F1277" s="64" t="str">
        <f>Ringkasan!F1276</f>
        <v/>
      </c>
      <c r="G1277" s="64">
        <f>Ringkasan!G1276</f>
        <v>0</v>
      </c>
      <c r="H1277" s="19">
        <f>Ringkasan!H1276</f>
        <v>-1970</v>
      </c>
      <c r="I1277" s="19">
        <f>Ringkasan!I1276</f>
        <v>4.1</v>
      </c>
      <c r="J1277" s="19">
        <f>Ringkasan!J1276</f>
        <v>-0.21</v>
      </c>
      <c r="K1277" s="19">
        <f>Ringkasan!K1276</f>
        <v>-0.13</v>
      </c>
      <c r="L1277" s="19">
        <f>Ringkasan!L1276</f>
        <v>0.62</v>
      </c>
      <c r="M1277" s="19">
        <f>Ringkasan!M1276</f>
        <v>-0.18</v>
      </c>
      <c r="N1277" s="64" t="str">
        <f>Ringkasan!N1276</f>
        <v/>
      </c>
      <c r="O1277" s="64" t="str">
        <f>Ringkasan!O1276</f>
        <v/>
      </c>
      <c r="P1277" s="64" t="str">
        <f>Ringkasan!P1276</f>
        <v/>
      </c>
      <c r="Q1277" s="64" t="str">
        <f>Ringkasan!Q1276</f>
        <v/>
      </c>
      <c r="R1277" s="64" t="str">
        <f>Ringkasan!R1276</f>
        <v/>
      </c>
      <c r="S1277" s="64" t="str">
        <f>Ringkasan!S1276</f>
        <v/>
      </c>
      <c r="T1277" s="64" t="str">
        <f>Ringkasan!T1276</f>
        <v/>
      </c>
      <c r="U1277" s="64">
        <f>Ringkasan!U1276</f>
        <v>500</v>
      </c>
      <c r="V1277" s="64">
        <f>Ringkasan!V1276</f>
        <v>0</v>
      </c>
      <c r="W1277" s="64" t="str">
        <f>Ringkasan!W1276</f>
        <v/>
      </c>
      <c r="X1277" s="64" t="str">
        <f>Ringkasan!X1276</f>
        <v/>
      </c>
      <c r="Y1277" s="64" t="str">
        <f>Ringkasan!Y1276</f>
        <v/>
      </c>
      <c r="Z1277" s="64">
        <f>Ringkasan!Z1276</f>
        <v>0</v>
      </c>
      <c r="AA1277" s="64" t="str">
        <f>Ringkasan!AA1276</f>
        <v>Real Estate Management &amp; Development</v>
      </c>
      <c r="AB1277" s="64" t="str">
        <f>Ringkasan!AB1276</f>
        <v>Properties &amp; Real Estate</v>
      </c>
    </row>
    <row r="1278" hidden="1">
      <c r="A1278" s="64" t="str">
        <f>Ringkasan!A1277</f>
        <v>MTWI</v>
      </c>
      <c r="B1278" s="64" t="str">
        <f>Ringkasan!B1277</f>
        <v>Malacca Trust Wuwungan Insurance Tbk.</v>
      </c>
      <c r="C1278" s="65">
        <f>Ringkasan!C1277</f>
        <v>266</v>
      </c>
      <c r="D1278" s="64" t="str">
        <f>Ringkasan!D1277</f>
        <v>#N/A</v>
      </c>
      <c r="E1278" s="64" t="str">
        <f>Ringkasan!E1277</f>
        <v/>
      </c>
      <c r="F1278" s="64" t="str">
        <f>Ringkasan!F1277</f>
        <v/>
      </c>
      <c r="G1278" s="64">
        <f>Ringkasan!G1277</f>
        <v>0</v>
      </c>
      <c r="H1278" s="19">
        <f>Ringkasan!H1277</f>
        <v>15.3</v>
      </c>
      <c r="I1278" s="19">
        <f>Ringkasan!I1277</f>
        <v>1.9</v>
      </c>
      <c r="J1278" s="19">
        <f>Ringkasan!J1277</f>
        <v>12.3</v>
      </c>
      <c r="K1278" s="19">
        <f>Ringkasan!K1277</f>
        <v>1.5</v>
      </c>
      <c r="L1278" s="19">
        <f>Ringkasan!L1277</f>
        <v>7</v>
      </c>
      <c r="M1278" s="19">
        <f>Ringkasan!M1277</f>
        <v>10.4</v>
      </c>
      <c r="N1278" s="64" t="str">
        <f>Ringkasan!N1277</f>
        <v/>
      </c>
      <c r="O1278" s="64" t="str">
        <f>Ringkasan!O1277</f>
        <v/>
      </c>
      <c r="P1278" s="64" t="str">
        <f>Ringkasan!P1277</f>
        <v/>
      </c>
      <c r="Q1278" s="64" t="str">
        <f>Ringkasan!Q1277</f>
        <v/>
      </c>
      <c r="R1278" s="64" t="str">
        <f>Ringkasan!R1277</f>
        <v/>
      </c>
      <c r="S1278" s="64" t="str">
        <f>Ringkasan!S1277</f>
        <v/>
      </c>
      <c r="T1278" s="64" t="str">
        <f>Ringkasan!T1277</f>
        <v/>
      </c>
      <c r="U1278" s="64">
        <f>Ringkasan!U1277</f>
        <v>257.86</v>
      </c>
      <c r="V1278" s="64">
        <f>Ringkasan!V1277</f>
        <v>3.16</v>
      </c>
      <c r="W1278" s="64">
        <f>Ringkasan!W1277</f>
        <v>258</v>
      </c>
      <c r="X1278" s="64">
        <f>Ringkasan!X1277</f>
        <v>266</v>
      </c>
      <c r="Y1278" s="64">
        <f>Ringkasan!Y1277</f>
        <v>246</v>
      </c>
      <c r="Z1278" s="64">
        <f>Ringkasan!Z1277</f>
        <v>15900</v>
      </c>
      <c r="AA1278" s="64" t="str">
        <f>Ringkasan!AA1277</f>
        <v>Insurance</v>
      </c>
      <c r="AB1278" s="64" t="str">
        <f>Ringkasan!AB1277</f>
        <v>Financials</v>
      </c>
    </row>
    <row r="1279" hidden="1">
      <c r="A1279" s="60" t="str">
        <f>Ringkasan!A1278</f>
        <v>MUTU</v>
      </c>
      <c r="B1279" s="60" t="str">
        <f>Ringkasan!B1278</f>
        <v>PT Mutuagung Lestari Tbk</v>
      </c>
      <c r="C1279" s="61">
        <f>Ringkasan!C1278</f>
        <v>105</v>
      </c>
      <c r="D1279" s="60" t="str">
        <f>Ringkasan!D1278</f>
        <v>#N/A</v>
      </c>
      <c r="E1279" s="60" t="str">
        <f>Ringkasan!E1278</f>
        <v/>
      </c>
      <c r="F1279" s="60" t="str">
        <f>Ringkasan!F1278</f>
        <v/>
      </c>
      <c r="G1279" s="60">
        <f>Ringkasan!G1278</f>
        <v>0</v>
      </c>
      <c r="H1279" s="62">
        <f>Ringkasan!H1278</f>
        <v>14.2</v>
      </c>
      <c r="I1279" s="62">
        <f>Ringkasan!I1278</f>
        <v>1.4</v>
      </c>
      <c r="J1279" s="62">
        <f>Ringkasan!J1278</f>
        <v>9.8</v>
      </c>
      <c r="K1279" s="62">
        <f>Ringkasan!K1278</f>
        <v>7</v>
      </c>
      <c r="L1279" s="62">
        <f>Ringkasan!L1278</f>
        <v>0.39</v>
      </c>
      <c r="M1279" s="62">
        <f>Ringkasan!M1278</f>
        <v>34</v>
      </c>
      <c r="N1279" s="60" t="str">
        <f>Ringkasan!N1278</f>
        <v/>
      </c>
      <c r="O1279" s="60" t="str">
        <f>Ringkasan!O1278</f>
        <v/>
      </c>
      <c r="P1279" s="60" t="str">
        <f>Ringkasan!P1278</f>
        <v/>
      </c>
      <c r="Q1279" s="60" t="str">
        <f>Ringkasan!Q1278</f>
        <v/>
      </c>
      <c r="R1279" s="60" t="str">
        <f>Ringkasan!R1278</f>
        <v/>
      </c>
      <c r="S1279" s="60" t="str">
        <f>Ringkasan!S1278</f>
        <v/>
      </c>
      <c r="T1279" s="60" t="str">
        <f>Ringkasan!T1278</f>
        <v/>
      </c>
      <c r="U1279" s="60">
        <f>Ringkasan!U1278</f>
        <v>105</v>
      </c>
      <c r="V1279" s="60">
        <f>Ringkasan!V1278</f>
        <v>0</v>
      </c>
      <c r="W1279" s="60">
        <f>Ringkasan!W1278</f>
        <v>107</v>
      </c>
      <c r="X1279" s="60">
        <f>Ringkasan!X1278</f>
        <v>110</v>
      </c>
      <c r="Y1279" s="60">
        <f>Ringkasan!Y1278</f>
        <v>105</v>
      </c>
      <c r="Z1279" s="60">
        <f>Ringkasan!Z1278</f>
        <v>9337400</v>
      </c>
      <c r="AA1279" s="60" t="str">
        <f>Ringkasan!AA1278</f>
        <v>Professional Services</v>
      </c>
      <c r="AB1279" s="60" t="str">
        <f>Ringkasan!AB1278</f>
        <v>Industrials</v>
      </c>
    </row>
    <row r="1280" hidden="1">
      <c r="A1280" s="60" t="str">
        <f>Ringkasan!A1279</f>
        <v>MYOH</v>
      </c>
      <c r="B1280" s="60" t="str">
        <f>Ringkasan!B1279</f>
        <v>Samindo Resources Tbk</v>
      </c>
      <c r="C1280" s="61">
        <f>Ringkasan!C1279</f>
        <v>1020</v>
      </c>
      <c r="D1280" s="60" t="str">
        <f>Ringkasan!D1279</f>
        <v>#N/A</v>
      </c>
      <c r="E1280" s="60" t="str">
        <f>Ringkasan!E1279</f>
        <v/>
      </c>
      <c r="F1280" s="60" t="str">
        <f>Ringkasan!F1279</f>
        <v/>
      </c>
      <c r="G1280" s="60">
        <f>Ringkasan!G1279</f>
        <v>0</v>
      </c>
      <c r="H1280" s="62">
        <f>Ringkasan!H1279</f>
        <v>10.3</v>
      </c>
      <c r="I1280" s="62">
        <f>Ringkasan!I1279</f>
        <v>0.82</v>
      </c>
      <c r="J1280" s="62">
        <f>Ringkasan!J1279</f>
        <v>8</v>
      </c>
      <c r="K1280" s="62">
        <f>Ringkasan!K1279</f>
        <v>6.7</v>
      </c>
      <c r="L1280" s="62">
        <f>Ringkasan!L1279</f>
        <v>0.21</v>
      </c>
      <c r="M1280" s="62">
        <f>Ringkasan!M1279</f>
        <v>36.2</v>
      </c>
      <c r="N1280" s="60" t="str">
        <f>Ringkasan!N1279</f>
        <v/>
      </c>
      <c r="O1280" s="60" t="str">
        <f>Ringkasan!O1279</f>
        <v/>
      </c>
      <c r="P1280" s="60" t="str">
        <f>Ringkasan!P1279</f>
        <v/>
      </c>
      <c r="Q1280" s="60" t="str">
        <f>Ringkasan!Q1279</f>
        <v/>
      </c>
      <c r="R1280" s="60" t="str">
        <f>Ringkasan!R1279</f>
        <v/>
      </c>
      <c r="S1280" s="60" t="str">
        <f>Ringkasan!S1279</f>
        <v/>
      </c>
      <c r="T1280" s="60" t="str">
        <f>Ringkasan!T1279</f>
        <v/>
      </c>
      <c r="U1280" s="60">
        <f>Ringkasan!U1279</f>
        <v>1050</v>
      </c>
      <c r="V1280" s="60">
        <f>Ringkasan!V1279</f>
        <v>-2.86</v>
      </c>
      <c r="W1280" s="60">
        <f>Ringkasan!W1279</f>
        <v>1050</v>
      </c>
      <c r="X1280" s="60">
        <f>Ringkasan!X1279</f>
        <v>1080</v>
      </c>
      <c r="Y1280" s="60">
        <f>Ringkasan!Y1279</f>
        <v>980</v>
      </c>
      <c r="Z1280" s="60">
        <f>Ringkasan!Z1279</f>
        <v>63200</v>
      </c>
      <c r="AA1280" s="60" t="str">
        <f>Ringkasan!AA1279</f>
        <v>Oil, Gas &amp; Coal Supports</v>
      </c>
      <c r="AB1280" s="60" t="str">
        <f>Ringkasan!AB1279</f>
        <v>Energy</v>
      </c>
    </row>
    <row r="1281">
      <c r="A1281" s="60" t="str">
        <f>Ringkasan!A1280</f>
        <v>MYOR</v>
      </c>
      <c r="B1281" s="60" t="str">
        <f>Ringkasan!B1280</f>
        <v>Mayora Indah Tbk.</v>
      </c>
      <c r="C1281" s="61">
        <f>Ringkasan!C1280</f>
        <v>1700</v>
      </c>
      <c r="D1281" s="60" t="str">
        <f>Ringkasan!D1280</f>
        <v>#N/A</v>
      </c>
      <c r="E1281" s="60" t="str">
        <f>Ringkasan!E1280</f>
        <v>ESGQKEHATI</v>
      </c>
      <c r="F1281" s="63">
        <f>Ringkasan!F1280</f>
        <v>46356</v>
      </c>
      <c r="G1281" s="61">
        <f>Ringkasan!G1280</f>
        <v>10</v>
      </c>
      <c r="H1281" s="62">
        <f>Ringkasan!H1280</f>
        <v>13.2</v>
      </c>
      <c r="I1281" s="62">
        <f>Ringkasan!I1280</f>
        <v>2.1</v>
      </c>
      <c r="J1281" s="62">
        <f>Ringkasan!J1280</f>
        <v>16.3</v>
      </c>
      <c r="K1281" s="62">
        <f>Ringkasan!K1280</f>
        <v>10.9</v>
      </c>
      <c r="L1281" s="62">
        <f>Ringkasan!L1280</f>
        <v>0.49</v>
      </c>
      <c r="M1281" s="62">
        <f>Ringkasan!M1280</f>
        <v>33.2</v>
      </c>
      <c r="N1281" s="60" t="str">
        <f>Ringkasan!N1280</f>
        <v/>
      </c>
      <c r="O1281" s="60" t="str">
        <f>Ringkasan!O1280</f>
        <v/>
      </c>
      <c r="P1281" s="60" t="str">
        <f>Ringkasan!P1280</f>
        <v/>
      </c>
      <c r="Q1281" s="60" t="str">
        <f>Ringkasan!Q1280</f>
        <v/>
      </c>
      <c r="R1281" s="60" t="str">
        <f>Ringkasan!R1280</f>
        <v/>
      </c>
      <c r="S1281" s="60" t="str">
        <f>Ringkasan!S1280</f>
        <v/>
      </c>
      <c r="T1281" s="60" t="str">
        <f>Ringkasan!T1280</f>
        <v/>
      </c>
      <c r="U1281" s="60">
        <f>Ringkasan!U1280</f>
        <v>1645</v>
      </c>
      <c r="V1281" s="60">
        <f>Ringkasan!V1280</f>
        <v>3.34</v>
      </c>
      <c r="W1281" s="60">
        <f>Ringkasan!W1280</f>
        <v>1645</v>
      </c>
      <c r="X1281" s="60">
        <f>Ringkasan!X1280</f>
        <v>1700</v>
      </c>
      <c r="Y1281" s="60">
        <f>Ringkasan!Y1280</f>
        <v>1630</v>
      </c>
      <c r="Z1281" s="60">
        <f>Ringkasan!Z1280</f>
        <v>7817400</v>
      </c>
      <c r="AA1281" s="60" t="str">
        <f>Ringkasan!AA1280</f>
        <v>Processed Foods</v>
      </c>
      <c r="AB1281" s="60" t="str">
        <f>Ringkasan!AB1280</f>
        <v>Consumer Non-Cyclicals</v>
      </c>
    </row>
    <row r="1282">
      <c r="A1282" s="60" t="str">
        <f>Ringkasan!A1281</f>
        <v>MYOR</v>
      </c>
      <c r="B1282" s="60" t="str">
        <f>Ringkasan!B1281</f>
        <v>Mayora Indah Tbk.</v>
      </c>
      <c r="C1282" s="61">
        <f>Ringkasan!C1281</f>
        <v>1700</v>
      </c>
      <c r="D1282" s="60" t="str">
        <f>Ringkasan!D1281</f>
        <v>#N/A</v>
      </c>
      <c r="E1282" s="60" t="str">
        <f>Ringkasan!E1281</f>
        <v>Investor33</v>
      </c>
      <c r="F1282" s="63">
        <f>Ringkasan!F1281</f>
        <v>46356</v>
      </c>
      <c r="G1282" s="60">
        <f>Ringkasan!G1281</f>
        <v>10</v>
      </c>
      <c r="H1282" s="62">
        <f>Ringkasan!H1281</f>
        <v>13.2</v>
      </c>
      <c r="I1282" s="62">
        <f>Ringkasan!I1281</f>
        <v>2.1</v>
      </c>
      <c r="J1282" s="62">
        <f>Ringkasan!J1281</f>
        <v>16.3</v>
      </c>
      <c r="K1282" s="62">
        <f>Ringkasan!K1281</f>
        <v>10.9</v>
      </c>
      <c r="L1282" s="62">
        <f>Ringkasan!L1281</f>
        <v>0.49</v>
      </c>
      <c r="M1282" s="62">
        <f>Ringkasan!M1281</f>
        <v>33.2</v>
      </c>
      <c r="N1282" s="60" t="str">
        <f>Ringkasan!N1281</f>
        <v/>
      </c>
      <c r="O1282" s="60" t="str">
        <f>Ringkasan!O1281</f>
        <v/>
      </c>
      <c r="P1282" s="60" t="str">
        <f>Ringkasan!P1281</f>
        <v/>
      </c>
      <c r="Q1282" s="60" t="str">
        <f>Ringkasan!Q1281</f>
        <v/>
      </c>
      <c r="R1282" s="60" t="str">
        <f>Ringkasan!R1281</f>
        <v/>
      </c>
      <c r="S1282" s="60" t="str">
        <f>Ringkasan!S1281</f>
        <v/>
      </c>
      <c r="T1282" s="60" t="str">
        <f>Ringkasan!T1281</f>
        <v/>
      </c>
      <c r="U1282" s="60">
        <f>Ringkasan!U1281</f>
        <v>1645</v>
      </c>
      <c r="V1282" s="60">
        <f>Ringkasan!V1281</f>
        <v>3.34</v>
      </c>
      <c r="W1282" s="60">
        <f>Ringkasan!W1281</f>
        <v>1645</v>
      </c>
      <c r="X1282" s="60">
        <f>Ringkasan!X1281</f>
        <v>1700</v>
      </c>
      <c r="Y1282" s="60">
        <f>Ringkasan!Y1281</f>
        <v>1630</v>
      </c>
      <c r="Z1282" s="60">
        <f>Ringkasan!Z1281</f>
        <v>7817400</v>
      </c>
      <c r="AA1282" s="60" t="str">
        <f>Ringkasan!AA1281</f>
        <v>Processed Foods</v>
      </c>
      <c r="AB1282" s="60" t="str">
        <f>Ringkasan!AB1281</f>
        <v>Consumer Non-Cyclicals</v>
      </c>
    </row>
    <row r="1283">
      <c r="A1283" s="60" t="str">
        <f>Ringkasan!A1148</f>
        <v>MAPI</v>
      </c>
      <c r="B1283" s="60" t="str">
        <f>Ringkasan!B1148</f>
        <v>Mitra Adiperkasa Tbk.</v>
      </c>
      <c r="C1283" s="61">
        <f>Ringkasan!C1148</f>
        <v>1490</v>
      </c>
      <c r="D1283" s="60" t="str">
        <f>Ringkasan!D1148</f>
        <v>#N/A</v>
      </c>
      <c r="E1283" s="60" t="str">
        <f>Ringkasan!E1148</f>
        <v>JII70</v>
      </c>
      <c r="F1283" s="63">
        <f>Ringkasan!F1148</f>
        <v>46356</v>
      </c>
      <c r="G1283" s="60">
        <f>Ringkasan!G1148</f>
        <v>12</v>
      </c>
      <c r="H1283" s="62">
        <f>Ringkasan!H1148</f>
        <v>10.4</v>
      </c>
      <c r="I1283" s="62">
        <f>Ringkasan!I1148</f>
        <v>1.4</v>
      </c>
      <c r="J1283" s="62">
        <f>Ringkasan!J1148</f>
        <v>13.3</v>
      </c>
      <c r="K1283" s="62">
        <f>Ringkasan!K1148</f>
        <v>7</v>
      </c>
      <c r="L1283" s="62">
        <f>Ringkasan!L1148</f>
        <v>0.9</v>
      </c>
      <c r="M1283" s="62">
        <f>Ringkasan!M1148</f>
        <v>19.4</v>
      </c>
      <c r="N1283" s="60" t="str">
        <f>Ringkasan!N1148</f>
        <v/>
      </c>
      <c r="O1283" s="60" t="str">
        <f>Ringkasan!O1148</f>
        <v/>
      </c>
      <c r="P1283" s="60" t="str">
        <f>Ringkasan!P1148</f>
        <v/>
      </c>
      <c r="Q1283" s="60" t="str">
        <f>Ringkasan!Q1148</f>
        <v/>
      </c>
      <c r="R1283" s="60" t="str">
        <f>Ringkasan!R1148</f>
        <v/>
      </c>
      <c r="S1283" s="60" t="str">
        <f>Ringkasan!S1148</f>
        <v/>
      </c>
      <c r="T1283" s="60" t="str">
        <f>Ringkasan!T1148</f>
        <v/>
      </c>
      <c r="U1283" s="60">
        <f>Ringkasan!U1148</f>
        <v>1485</v>
      </c>
      <c r="V1283" s="60">
        <f>Ringkasan!V1148</f>
        <v>0.34</v>
      </c>
      <c r="W1283" s="60">
        <f>Ringkasan!W1148</f>
        <v>1485</v>
      </c>
      <c r="X1283" s="60">
        <f>Ringkasan!X1148</f>
        <v>1490</v>
      </c>
      <c r="Y1283" s="60">
        <f>Ringkasan!Y1148</f>
        <v>1485</v>
      </c>
      <c r="Z1283" s="60">
        <f>Ringkasan!Z1148</f>
        <v>73594900</v>
      </c>
      <c r="AA1283" s="60" t="str">
        <f>Ringkasan!AA1148</f>
        <v>Specialty Retail</v>
      </c>
      <c r="AB1283" s="60" t="str">
        <f>Ringkasan!AB1148</f>
        <v>Consumer Cyclicals</v>
      </c>
    </row>
    <row r="1284" hidden="1">
      <c r="A1284" s="60" t="str">
        <f>Ringkasan!A1149</f>
        <v>MARI</v>
      </c>
      <c r="B1284" s="60" t="str">
        <f>Ringkasan!B1149</f>
        <v>Mahaka Radio Integra Tbk.</v>
      </c>
      <c r="C1284" s="61">
        <f>Ringkasan!C1149</f>
        <v>23</v>
      </c>
      <c r="D1284" s="60" t="str">
        <f>Ringkasan!D1149</f>
        <v>#N/A</v>
      </c>
      <c r="E1284" s="60" t="str">
        <f>Ringkasan!E1149</f>
        <v/>
      </c>
      <c r="F1284" s="60" t="str">
        <f>Ringkasan!F1149</f>
        <v/>
      </c>
      <c r="G1284" s="60">
        <f>Ringkasan!G1149</f>
        <v>0</v>
      </c>
      <c r="H1284" s="62">
        <f>Ringkasan!H1149</f>
        <v>-4.7</v>
      </c>
      <c r="I1284" s="62">
        <f>Ringkasan!I1149</f>
        <v>-1.3</v>
      </c>
      <c r="J1284" s="62">
        <f>Ringkasan!J1149</f>
        <v>0</v>
      </c>
      <c r="K1284" s="62">
        <f>Ringkasan!K1149</f>
        <v>-9.3</v>
      </c>
      <c r="L1284" s="62">
        <f>Ringkasan!L1149</f>
        <v>-3.9</v>
      </c>
      <c r="M1284" s="62">
        <f>Ringkasan!M1149</f>
        <v>-83</v>
      </c>
      <c r="N1284" s="60" t="str">
        <f>Ringkasan!N1149</f>
        <v/>
      </c>
      <c r="O1284" s="60" t="str">
        <f>Ringkasan!O1149</f>
        <v/>
      </c>
      <c r="P1284" s="60" t="str">
        <f>Ringkasan!P1149</f>
        <v/>
      </c>
      <c r="Q1284" s="60" t="str">
        <f>Ringkasan!Q1149</f>
        <v/>
      </c>
      <c r="R1284" s="60" t="str">
        <f>Ringkasan!R1149</f>
        <v/>
      </c>
      <c r="S1284" s="60" t="str">
        <f>Ringkasan!S1149</f>
        <v/>
      </c>
      <c r="T1284" s="60" t="str">
        <f>Ringkasan!T1149</f>
        <v/>
      </c>
      <c r="U1284" s="60">
        <f>Ringkasan!U1149</f>
        <v>8.01</v>
      </c>
      <c r="V1284" s="60">
        <f>Ringkasan!V1149</f>
        <v>-0.25</v>
      </c>
      <c r="W1284" s="60">
        <f>Ringkasan!W1149</f>
        <v>8.18</v>
      </c>
      <c r="X1284" s="60">
        <f>Ringkasan!X1149</f>
        <v>8.25</v>
      </c>
      <c r="Y1284" s="60">
        <f>Ringkasan!Y1149</f>
        <v>7.9</v>
      </c>
      <c r="Z1284" s="60">
        <f>Ringkasan!Z1149</f>
        <v>108227</v>
      </c>
      <c r="AA1284" s="60" t="str">
        <f>Ringkasan!AA1149</f>
        <v>Media</v>
      </c>
      <c r="AB1284" s="60" t="str">
        <f>Ringkasan!AB1149</f>
        <v>Consumer Cyclicals</v>
      </c>
    </row>
    <row r="1285" hidden="1">
      <c r="A1285" s="60" t="str">
        <f>Ringkasan!A1150</f>
        <v>MARK</v>
      </c>
      <c r="B1285" s="60" t="str">
        <f>Ringkasan!B1150</f>
        <v>PT Mark Dynamics Indonesia Tbk.</v>
      </c>
      <c r="C1285" s="61">
        <f>Ringkasan!C1150</f>
        <v>850</v>
      </c>
      <c r="D1285" s="60" t="str">
        <f>Ringkasan!D1150</f>
        <v>#N/A</v>
      </c>
      <c r="E1285" s="60" t="str">
        <f>Ringkasan!E1150</f>
        <v>JII70</v>
      </c>
      <c r="F1285" s="63">
        <f>Ringkasan!F1150</f>
        <v>46356</v>
      </c>
      <c r="G1285" s="60">
        <f>Ringkasan!G1150</f>
        <v>1</v>
      </c>
      <c r="H1285" s="62">
        <f>Ringkasan!H1150</f>
        <v>10.2</v>
      </c>
      <c r="I1285" s="62">
        <f>Ringkasan!I1150</f>
        <v>3.1</v>
      </c>
      <c r="J1285" s="62">
        <f>Ringkasan!J1150</f>
        <v>30.2</v>
      </c>
      <c r="K1285" s="62">
        <f>Ringkasan!K1150</f>
        <v>27.6</v>
      </c>
      <c r="L1285" s="62">
        <f>Ringkasan!L1150</f>
        <v>0.1</v>
      </c>
      <c r="M1285" s="62">
        <f>Ringkasan!M1150</f>
        <v>120</v>
      </c>
      <c r="N1285" s="60" t="str">
        <f>Ringkasan!N1150</f>
        <v/>
      </c>
      <c r="O1285" s="60" t="str">
        <f>Ringkasan!O1150</f>
        <v/>
      </c>
      <c r="P1285" s="60" t="str">
        <f>Ringkasan!P1150</f>
        <v/>
      </c>
      <c r="Q1285" s="60" t="str">
        <f>Ringkasan!Q1150</f>
        <v/>
      </c>
      <c r="R1285" s="60" t="str">
        <f>Ringkasan!R1150</f>
        <v/>
      </c>
      <c r="S1285" s="60" t="str">
        <f>Ringkasan!S1150</f>
        <v/>
      </c>
      <c r="T1285" s="60" t="str">
        <f>Ringkasan!T1150</f>
        <v/>
      </c>
      <c r="U1285" s="60">
        <f>Ringkasan!U1150</f>
        <v>0</v>
      </c>
      <c r="V1285" s="60">
        <f>Ringkasan!V1150</f>
        <v>42.86</v>
      </c>
      <c r="W1285" s="60">
        <f>Ringkasan!W1150</f>
        <v>0</v>
      </c>
      <c r="X1285" s="60">
        <f>Ringkasan!X1150</f>
        <v>0</v>
      </c>
      <c r="Y1285" s="60">
        <f>Ringkasan!Y1150</f>
        <v>0</v>
      </c>
      <c r="Z1285" s="60">
        <f>Ringkasan!Z1150</f>
        <v>4687</v>
      </c>
      <c r="AA1285" s="60" t="str">
        <f>Ringkasan!AA1150</f>
        <v>Machinery</v>
      </c>
      <c r="AB1285" s="60" t="str">
        <f>Ringkasan!AB1150</f>
        <v>Industrials</v>
      </c>
    </row>
    <row r="1286">
      <c r="A1286" s="60" t="str">
        <f>Ringkasan!A1139</f>
        <v>MAPI</v>
      </c>
      <c r="B1286" s="60" t="str">
        <f>Ringkasan!B1139</f>
        <v>Mitra Adiperkasa Tbk.</v>
      </c>
      <c r="C1286" s="61">
        <f>Ringkasan!C1139</f>
        <v>1490</v>
      </c>
      <c r="D1286" s="60" t="str">
        <f>Ringkasan!D1139</f>
        <v>#N/A</v>
      </c>
      <c r="E1286" s="60" t="str">
        <f>Ringkasan!E1139</f>
        <v>IDX80</v>
      </c>
      <c r="F1286" s="60" t="str">
        <f>Ringkasan!F1139</f>
        <v>31 Juli 2026</v>
      </c>
      <c r="G1286" s="60">
        <f>Ringkasan!G1139</f>
        <v>12</v>
      </c>
      <c r="H1286" s="62">
        <f>Ringkasan!H1139</f>
        <v>10.4</v>
      </c>
      <c r="I1286" s="62">
        <f>Ringkasan!I1139</f>
        <v>1.4</v>
      </c>
      <c r="J1286" s="62">
        <f>Ringkasan!J1139</f>
        <v>13.3</v>
      </c>
      <c r="K1286" s="62">
        <f>Ringkasan!K1139</f>
        <v>7</v>
      </c>
      <c r="L1286" s="62">
        <f>Ringkasan!L1139</f>
        <v>0.9</v>
      </c>
      <c r="M1286" s="62">
        <f>Ringkasan!M1139</f>
        <v>19.4</v>
      </c>
      <c r="N1286" s="60" t="str">
        <f>Ringkasan!N1139</f>
        <v/>
      </c>
      <c r="O1286" s="60" t="str">
        <f>Ringkasan!O1139</f>
        <v/>
      </c>
      <c r="P1286" s="60" t="str">
        <f>Ringkasan!P1139</f>
        <v/>
      </c>
      <c r="Q1286" s="60" t="str">
        <f>Ringkasan!Q1139</f>
        <v/>
      </c>
      <c r="R1286" s="60" t="str">
        <f>Ringkasan!R1139</f>
        <v/>
      </c>
      <c r="S1286" s="60" t="str">
        <f>Ringkasan!S1139</f>
        <v/>
      </c>
      <c r="T1286" s="60" t="str">
        <f>Ringkasan!T1139</f>
        <v/>
      </c>
      <c r="U1286" s="60">
        <f>Ringkasan!U1139</f>
        <v>1485</v>
      </c>
      <c r="V1286" s="60">
        <f>Ringkasan!V1139</f>
        <v>0.34</v>
      </c>
      <c r="W1286" s="60">
        <f>Ringkasan!W1139</f>
        <v>1485</v>
      </c>
      <c r="X1286" s="60">
        <f>Ringkasan!X1139</f>
        <v>1490</v>
      </c>
      <c r="Y1286" s="60">
        <f>Ringkasan!Y1139</f>
        <v>1485</v>
      </c>
      <c r="Z1286" s="60">
        <f>Ringkasan!Z1139</f>
        <v>73594900</v>
      </c>
      <c r="AA1286" s="60" t="str">
        <f>Ringkasan!AA1139</f>
        <v>Specialty Retail</v>
      </c>
      <c r="AB1286" s="60" t="str">
        <f>Ringkasan!AB1139</f>
        <v>Consumer Cyclicals</v>
      </c>
    </row>
    <row r="1287">
      <c r="A1287" s="60" t="str">
        <f>Ringkasan!A1140</f>
        <v>MAPI</v>
      </c>
      <c r="B1287" s="60" t="str">
        <f>Ringkasan!B1140</f>
        <v>Mitra Adiperkasa Tbk.</v>
      </c>
      <c r="C1287" s="61">
        <f>Ringkasan!C1140</f>
        <v>1490</v>
      </c>
      <c r="D1287" s="60" t="str">
        <f>Ringkasan!D1140</f>
        <v>#N/A</v>
      </c>
      <c r="E1287" s="60" t="str">
        <f>Ringkasan!E1140</f>
        <v>LQ45</v>
      </c>
      <c r="F1287" s="60" t="str">
        <f>Ringkasan!F1140</f>
        <v>31 Juli 2026</v>
      </c>
      <c r="G1287" s="60">
        <f>Ringkasan!G1140</f>
        <v>12</v>
      </c>
      <c r="H1287" s="62">
        <f>Ringkasan!H1140</f>
        <v>10.4</v>
      </c>
      <c r="I1287" s="62">
        <f>Ringkasan!I1140</f>
        <v>1.4</v>
      </c>
      <c r="J1287" s="62">
        <f>Ringkasan!J1140</f>
        <v>13.3</v>
      </c>
      <c r="K1287" s="62">
        <f>Ringkasan!K1140</f>
        <v>7</v>
      </c>
      <c r="L1287" s="62">
        <f>Ringkasan!L1140</f>
        <v>0.9</v>
      </c>
      <c r="M1287" s="62">
        <f>Ringkasan!M1140</f>
        <v>19.4</v>
      </c>
      <c r="N1287" s="60" t="str">
        <f>Ringkasan!N1140</f>
        <v/>
      </c>
      <c r="O1287" s="60" t="str">
        <f>Ringkasan!O1140</f>
        <v/>
      </c>
      <c r="P1287" s="60" t="str">
        <f>Ringkasan!P1140</f>
        <v/>
      </c>
      <c r="Q1287" s="60" t="str">
        <f>Ringkasan!Q1140</f>
        <v/>
      </c>
      <c r="R1287" s="60" t="str">
        <f>Ringkasan!R1140</f>
        <v/>
      </c>
      <c r="S1287" s="60" t="str">
        <f>Ringkasan!S1140</f>
        <v/>
      </c>
      <c r="T1287" s="60" t="str">
        <f>Ringkasan!T1140</f>
        <v/>
      </c>
      <c r="U1287" s="60">
        <f>Ringkasan!U1140</f>
        <v>1485</v>
      </c>
      <c r="V1287" s="60">
        <f>Ringkasan!V1140</f>
        <v>0.34</v>
      </c>
      <c r="W1287" s="60">
        <f>Ringkasan!W1140</f>
        <v>1485</v>
      </c>
      <c r="X1287" s="60">
        <f>Ringkasan!X1140</f>
        <v>1490</v>
      </c>
      <c r="Y1287" s="60">
        <f>Ringkasan!Y1140</f>
        <v>1485</v>
      </c>
      <c r="Z1287" s="60">
        <f>Ringkasan!Z1140</f>
        <v>73594900</v>
      </c>
      <c r="AA1287" s="60" t="str">
        <f>Ringkasan!AA1140</f>
        <v>Specialty Retail</v>
      </c>
      <c r="AB1287" s="60" t="str">
        <f>Ringkasan!AB1140</f>
        <v>Consumer Cyclicals</v>
      </c>
    </row>
    <row r="1288">
      <c r="A1288" s="60" t="str">
        <f>Ringkasan!A1141</f>
        <v>MAPI</v>
      </c>
      <c r="B1288" s="60" t="str">
        <f>Ringkasan!B1141</f>
        <v>Mitra Adiperkasa Tbk.</v>
      </c>
      <c r="C1288" s="61">
        <f>Ringkasan!C1141</f>
        <v>1490</v>
      </c>
      <c r="D1288" s="60" t="str">
        <f>Ringkasan!D1141</f>
        <v>#N/A</v>
      </c>
      <c r="E1288" s="60" t="str">
        <f>Ringkasan!E1141</f>
        <v>Kompas100</v>
      </c>
      <c r="F1288" s="60" t="str">
        <f>Ringkasan!F1141</f>
        <v>31 Juli 2026</v>
      </c>
      <c r="G1288" s="60">
        <f>Ringkasan!G1141</f>
        <v>12</v>
      </c>
      <c r="H1288" s="62">
        <f>Ringkasan!H1141</f>
        <v>10.4</v>
      </c>
      <c r="I1288" s="62">
        <f>Ringkasan!I1141</f>
        <v>1.4</v>
      </c>
      <c r="J1288" s="62">
        <f>Ringkasan!J1141</f>
        <v>13.3</v>
      </c>
      <c r="K1288" s="62">
        <f>Ringkasan!K1141</f>
        <v>7</v>
      </c>
      <c r="L1288" s="62">
        <f>Ringkasan!L1141</f>
        <v>0.9</v>
      </c>
      <c r="M1288" s="62">
        <f>Ringkasan!M1141</f>
        <v>19.4</v>
      </c>
      <c r="N1288" s="60" t="str">
        <f>Ringkasan!N1141</f>
        <v/>
      </c>
      <c r="O1288" s="60" t="str">
        <f>Ringkasan!O1141</f>
        <v/>
      </c>
      <c r="P1288" s="60" t="str">
        <f>Ringkasan!P1141</f>
        <v/>
      </c>
      <c r="Q1288" s="60" t="str">
        <f>Ringkasan!Q1141</f>
        <v/>
      </c>
      <c r="R1288" s="60" t="str">
        <f>Ringkasan!R1141</f>
        <v/>
      </c>
      <c r="S1288" s="60" t="str">
        <f>Ringkasan!S1141</f>
        <v/>
      </c>
      <c r="T1288" s="60" t="str">
        <f>Ringkasan!T1141</f>
        <v/>
      </c>
      <c r="U1288" s="60">
        <f>Ringkasan!U1141</f>
        <v>1485</v>
      </c>
      <c r="V1288" s="60">
        <f>Ringkasan!V1141</f>
        <v>0.34</v>
      </c>
      <c r="W1288" s="60">
        <f>Ringkasan!W1141</f>
        <v>1485</v>
      </c>
      <c r="X1288" s="60">
        <f>Ringkasan!X1141</f>
        <v>1490</v>
      </c>
      <c r="Y1288" s="60">
        <f>Ringkasan!Y1141</f>
        <v>1485</v>
      </c>
      <c r="Z1288" s="60">
        <f>Ringkasan!Z1141</f>
        <v>73594900</v>
      </c>
      <c r="AA1288" s="60" t="str">
        <f>Ringkasan!AA1141</f>
        <v>Specialty Retail</v>
      </c>
      <c r="AB1288" s="60" t="str">
        <f>Ringkasan!AB1141</f>
        <v>Consumer Cyclicals</v>
      </c>
    </row>
    <row r="1289" hidden="1">
      <c r="A1289" s="60" t="str">
        <f>Ringkasan!A1219</f>
        <v>MIKA</v>
      </c>
      <c r="B1289" s="60" t="str">
        <f>Ringkasan!B1219</f>
        <v>PT Mitra Keluarga Karyasehat Tbk.</v>
      </c>
      <c r="C1289" s="61">
        <f>Ringkasan!C1219</f>
        <v>1530</v>
      </c>
      <c r="D1289" s="60" t="str">
        <f>Ringkasan!D1219</f>
        <v>#N/A</v>
      </c>
      <c r="E1289" s="60" t="str">
        <f>Ringkasan!E1219</f>
        <v>IDXQ30</v>
      </c>
      <c r="F1289" s="60" t="str">
        <f>Ringkasan!F1219</f>
        <v>4 Agustus 2026</v>
      </c>
      <c r="G1289" s="60">
        <f>Ringkasan!G1219</f>
        <v>10</v>
      </c>
      <c r="H1289" s="62">
        <f>Ringkasan!H1219</f>
        <v>16.3</v>
      </c>
      <c r="I1289" s="62">
        <f>Ringkasan!I1219</f>
        <v>2.7</v>
      </c>
      <c r="J1289" s="62">
        <f>Ringkasan!J1219</f>
        <v>16.2</v>
      </c>
      <c r="K1289" s="62">
        <f>Ringkasan!K1219</f>
        <v>14.3</v>
      </c>
      <c r="L1289" s="62">
        <f>Ringkasan!L1219</f>
        <v>0.13</v>
      </c>
      <c r="M1289" s="62">
        <f>Ringkasan!M1219</f>
        <v>100</v>
      </c>
      <c r="N1289" s="60" t="str">
        <f>Ringkasan!N1219</f>
        <v/>
      </c>
      <c r="O1289" s="60" t="str">
        <f>Ringkasan!O1219</f>
        <v/>
      </c>
      <c r="P1289" s="60" t="str">
        <f>Ringkasan!P1219</f>
        <v/>
      </c>
      <c r="Q1289" s="60" t="str">
        <f>Ringkasan!Q1219</f>
        <v/>
      </c>
      <c r="R1289" s="60" t="str">
        <f>Ringkasan!R1219</f>
        <v/>
      </c>
      <c r="S1289" s="60" t="str">
        <f>Ringkasan!S1219</f>
        <v/>
      </c>
      <c r="T1289" s="60" t="str">
        <f>Ringkasan!T1219</f>
        <v/>
      </c>
      <c r="U1289" s="60">
        <f>Ringkasan!U1219</f>
        <v>1500</v>
      </c>
      <c r="V1289" s="60">
        <f>Ringkasan!V1219</f>
        <v>2</v>
      </c>
      <c r="W1289" s="60">
        <f>Ringkasan!W1219</f>
        <v>1500</v>
      </c>
      <c r="X1289" s="60">
        <f>Ringkasan!X1219</f>
        <v>1570</v>
      </c>
      <c r="Y1289" s="60">
        <f>Ringkasan!Y1219</f>
        <v>1500</v>
      </c>
      <c r="Z1289" s="60">
        <f>Ringkasan!Z1219</f>
        <v>3752200</v>
      </c>
      <c r="AA1289" s="60" t="str">
        <f>Ringkasan!AA1219</f>
        <v>Healthcare Providers</v>
      </c>
      <c r="AB1289" s="60" t="str">
        <f>Ringkasan!AB1219</f>
        <v>Healthcare</v>
      </c>
    </row>
    <row r="1290" hidden="1">
      <c r="A1290" s="60" t="str">
        <f>Ringkasan!A1220</f>
        <v>MIKA</v>
      </c>
      <c r="B1290" s="60" t="str">
        <f>Ringkasan!B1220</f>
        <v>PT Mitra Keluarga Karyasehat Tbk.</v>
      </c>
      <c r="C1290" s="61">
        <f>Ringkasan!C1220</f>
        <v>1530</v>
      </c>
      <c r="D1290" s="60" t="str">
        <f>Ringkasan!D1220</f>
        <v>#N/A</v>
      </c>
      <c r="E1290" s="60" t="str">
        <f>Ringkasan!E1220</f>
        <v>Kompas100</v>
      </c>
      <c r="F1290" s="60" t="str">
        <f>Ringkasan!F1220</f>
        <v>31 Juli 2026</v>
      </c>
      <c r="G1290" s="60">
        <f>Ringkasan!G1220</f>
        <v>10</v>
      </c>
      <c r="H1290" s="62">
        <f>Ringkasan!H1220</f>
        <v>16.3</v>
      </c>
      <c r="I1290" s="62">
        <f>Ringkasan!I1220</f>
        <v>2.7</v>
      </c>
      <c r="J1290" s="62">
        <f>Ringkasan!J1220</f>
        <v>16.2</v>
      </c>
      <c r="K1290" s="62">
        <f>Ringkasan!K1220</f>
        <v>14.3</v>
      </c>
      <c r="L1290" s="62">
        <f>Ringkasan!L1220</f>
        <v>0.13</v>
      </c>
      <c r="M1290" s="62">
        <f>Ringkasan!M1220</f>
        <v>100</v>
      </c>
      <c r="N1290" s="60" t="str">
        <f>Ringkasan!N1220</f>
        <v/>
      </c>
      <c r="O1290" s="60" t="str">
        <f>Ringkasan!O1220</f>
        <v/>
      </c>
      <c r="P1290" s="60" t="str">
        <f>Ringkasan!P1220</f>
        <v/>
      </c>
      <c r="Q1290" s="60" t="str">
        <f>Ringkasan!Q1220</f>
        <v/>
      </c>
      <c r="R1290" s="60" t="str">
        <f>Ringkasan!R1220</f>
        <v/>
      </c>
      <c r="S1290" s="60" t="str">
        <f>Ringkasan!S1220</f>
        <v/>
      </c>
      <c r="T1290" s="60" t="str">
        <f>Ringkasan!T1220</f>
        <v/>
      </c>
      <c r="U1290" s="60">
        <f>Ringkasan!U1220</f>
        <v>1500</v>
      </c>
      <c r="V1290" s="60">
        <f>Ringkasan!V1220</f>
        <v>2</v>
      </c>
      <c r="W1290" s="60">
        <f>Ringkasan!W1220</f>
        <v>1500</v>
      </c>
      <c r="X1290" s="60">
        <f>Ringkasan!X1220</f>
        <v>1570</v>
      </c>
      <c r="Y1290" s="60">
        <f>Ringkasan!Y1220</f>
        <v>1500</v>
      </c>
      <c r="Z1290" s="60">
        <f>Ringkasan!Z1220</f>
        <v>3752200</v>
      </c>
      <c r="AA1290" s="60" t="str">
        <f>Ringkasan!AA1220</f>
        <v>Healthcare Providers</v>
      </c>
      <c r="AB1290" s="60" t="str">
        <f>Ringkasan!AB1220</f>
        <v>Healthcare</v>
      </c>
    </row>
    <row r="1291" hidden="1">
      <c r="A1291" s="64" t="str">
        <f>Ringkasan!A1239</f>
        <v>MLPL</v>
      </c>
      <c r="B1291" s="64" t="str">
        <f>Ringkasan!B1239</f>
        <v>Multipolar Tbk</v>
      </c>
      <c r="C1291" s="67">
        <f>Ringkasan!C1239</f>
        <v>80</v>
      </c>
      <c r="D1291" s="22" t="str">
        <f>Ringkasan!D1239</f>
        <v>#N/A</v>
      </c>
      <c r="E1291" s="64" t="str">
        <f>Ringkasan!E1239</f>
        <v/>
      </c>
      <c r="F1291" s="64" t="str">
        <f>Ringkasan!F1239</f>
        <v/>
      </c>
      <c r="G1291" s="64">
        <f>Ringkasan!G1239</f>
        <v>0</v>
      </c>
      <c r="H1291" s="19">
        <f>Ringkasan!H1239</f>
        <v>-27.6</v>
      </c>
      <c r="I1291" s="19">
        <f>Ringkasan!I1239</f>
        <v>0.25</v>
      </c>
      <c r="J1291" s="19">
        <f>Ringkasan!J1239</f>
        <v>-0.92</v>
      </c>
      <c r="K1291" s="19">
        <f>Ringkasan!K1239</f>
        <v>-0.34</v>
      </c>
      <c r="L1291" s="19">
        <f>Ringkasan!L1239</f>
        <v>1.7</v>
      </c>
      <c r="M1291" s="19">
        <f>Ringkasan!M1239</f>
        <v>-1.5</v>
      </c>
      <c r="N1291" s="64" t="str">
        <f>Ringkasan!N1239</f>
        <v/>
      </c>
      <c r="O1291" s="64" t="str">
        <f>Ringkasan!O1239</f>
        <v/>
      </c>
      <c r="P1291" s="64" t="str">
        <f>Ringkasan!P1239</f>
        <v/>
      </c>
      <c r="Q1291" s="64" t="str">
        <f>Ringkasan!Q1239</f>
        <v/>
      </c>
      <c r="R1291" s="64" t="str">
        <f>Ringkasan!R1239</f>
        <v/>
      </c>
      <c r="S1291" s="64" t="str">
        <f>Ringkasan!S1239</f>
        <v/>
      </c>
      <c r="T1291" s="64" t="str">
        <f>Ringkasan!T1239</f>
        <v/>
      </c>
      <c r="U1291" s="22">
        <f>Ringkasan!U1239</f>
        <v>77</v>
      </c>
      <c r="V1291" s="22">
        <f>Ringkasan!V1239</f>
        <v>3.9</v>
      </c>
      <c r="W1291" s="22">
        <f>Ringkasan!W1239</f>
        <v>80</v>
      </c>
      <c r="X1291" s="22">
        <f>Ringkasan!X1239</f>
        <v>81</v>
      </c>
      <c r="Y1291" s="22">
        <f>Ringkasan!Y1239</f>
        <v>79</v>
      </c>
      <c r="Z1291" s="22">
        <f>Ringkasan!Z1239</f>
        <v>13054900</v>
      </c>
      <c r="AA1291" s="64" t="str">
        <f>Ringkasan!AA1239</f>
        <v>Multi-sector Holdings</v>
      </c>
      <c r="AB1291" s="64" t="str">
        <f>Ringkasan!AB1239</f>
        <v>Industrials</v>
      </c>
    </row>
    <row r="1292" hidden="1">
      <c r="A1292" s="64" t="str">
        <f>Ringkasan!A1269</f>
        <v>MTEL</v>
      </c>
      <c r="B1292" s="64" t="str">
        <f>Ringkasan!B1269</f>
        <v>Dayamitra Telekomunikasi Tbk.</v>
      </c>
      <c r="C1292" s="65">
        <f>Ringkasan!C1269</f>
        <v>498</v>
      </c>
      <c r="D1292" s="64" t="str">
        <f>Ringkasan!D1269</f>
        <v>#N/A</v>
      </c>
      <c r="E1292" s="64" t="str">
        <f>Ringkasan!E1269</f>
        <v>SRI-KEHATI</v>
      </c>
      <c r="F1292" s="66">
        <f>Ringkasan!F1269</f>
        <v>46356</v>
      </c>
      <c r="G1292" s="64">
        <f>Ringkasan!G1269</f>
        <v>10</v>
      </c>
      <c r="H1292" s="19">
        <f>Ringkasan!H1269</f>
        <v>20.3</v>
      </c>
      <c r="I1292" s="19">
        <f>Ringkasan!I1269</f>
        <v>1.3</v>
      </c>
      <c r="J1292" s="19">
        <f>Ringkasan!J1269</f>
        <v>6.4</v>
      </c>
      <c r="K1292" s="19">
        <f>Ringkasan!K1269</f>
        <v>3.5</v>
      </c>
      <c r="L1292" s="19">
        <f>Ringkasan!L1269</f>
        <v>0.8</v>
      </c>
      <c r="M1292" s="19">
        <f>Ringkasan!M1269</f>
        <v>93.2</v>
      </c>
      <c r="N1292" s="64" t="str">
        <f>Ringkasan!N1269</f>
        <v/>
      </c>
      <c r="O1292" s="64" t="str">
        <f>Ringkasan!O1269</f>
        <v/>
      </c>
      <c r="P1292" s="64" t="str">
        <f>Ringkasan!P1269</f>
        <v/>
      </c>
      <c r="Q1292" s="64" t="str">
        <f>Ringkasan!Q1269</f>
        <v/>
      </c>
      <c r="R1292" s="64" t="str">
        <f>Ringkasan!R1269</f>
        <v/>
      </c>
      <c r="S1292" s="64" t="str">
        <f>Ringkasan!S1269</f>
        <v/>
      </c>
      <c r="T1292" s="64" t="str">
        <f>Ringkasan!T1269</f>
        <v/>
      </c>
      <c r="U1292" s="64">
        <f>Ringkasan!U1269</f>
        <v>500</v>
      </c>
      <c r="V1292" s="64">
        <f>Ringkasan!V1269</f>
        <v>-0.4</v>
      </c>
      <c r="W1292" s="64">
        <f>Ringkasan!W1269</f>
        <v>498</v>
      </c>
      <c r="X1292" s="64">
        <f>Ringkasan!X1269</f>
        <v>500</v>
      </c>
      <c r="Y1292" s="64">
        <f>Ringkasan!Y1269</f>
        <v>492</v>
      </c>
      <c r="Z1292" s="64">
        <f>Ringkasan!Z1269</f>
        <v>32723600</v>
      </c>
      <c r="AA1292" s="64" t="str">
        <f>Ringkasan!AA1269</f>
        <v>Wireless Telecommunication Services</v>
      </c>
      <c r="AB1292" s="64" t="str">
        <f>Ringkasan!AB1269</f>
        <v>Infrastructures</v>
      </c>
    </row>
    <row r="1293" hidden="1">
      <c r="A1293" s="60" t="str">
        <f>Ringkasan!A1292</f>
        <v>NANO</v>
      </c>
      <c r="B1293" s="60" t="str">
        <f>Ringkasan!B1292</f>
        <v>Nanotech Indonesia Global Tbk.</v>
      </c>
      <c r="C1293" s="61" t="str">
        <f>Ringkasan!C1292</f>
        <v>#N/A</v>
      </c>
      <c r="D1293" s="60" t="str">
        <f>Ringkasan!D1292</f>
        <v>#N/A</v>
      </c>
      <c r="E1293" s="60" t="str">
        <f>Ringkasan!E1292</f>
        <v/>
      </c>
      <c r="F1293" s="60" t="str">
        <f>Ringkasan!F1292</f>
        <v/>
      </c>
      <c r="G1293" s="60">
        <f>Ringkasan!G1292</f>
        <v>0</v>
      </c>
      <c r="H1293" s="62">
        <f>Ringkasan!H1292</f>
        <v>54.2</v>
      </c>
      <c r="I1293" s="62">
        <f>Ringkasan!I1292</f>
        <v>0.65</v>
      </c>
      <c r="J1293" s="62">
        <f>Ringkasan!J1292</f>
        <v>1.2</v>
      </c>
      <c r="K1293" s="62">
        <f>Ringkasan!K1292</f>
        <v>0.98</v>
      </c>
      <c r="L1293" s="62">
        <f>Ringkasan!L1292</f>
        <v>0.21</v>
      </c>
      <c r="M1293" s="62">
        <f>Ringkasan!M1292</f>
        <v>2.9</v>
      </c>
      <c r="N1293" s="60" t="str">
        <f>Ringkasan!N1292</f>
        <v/>
      </c>
      <c r="O1293" s="60" t="str">
        <f>Ringkasan!O1292</f>
        <v/>
      </c>
      <c r="P1293" s="60" t="str">
        <f>Ringkasan!P1292</f>
        <v/>
      </c>
      <c r="Q1293" s="60" t="str">
        <f>Ringkasan!Q1292</f>
        <v/>
      </c>
      <c r="R1293" s="60" t="str">
        <f>Ringkasan!R1292</f>
        <v/>
      </c>
      <c r="S1293" s="60" t="str">
        <f>Ringkasan!S1292</f>
        <v/>
      </c>
      <c r="T1293" s="60" t="str">
        <f>Ringkasan!T1292</f>
        <v/>
      </c>
      <c r="U1293" s="60">
        <f>Ringkasan!U1292</f>
        <v>2.2</v>
      </c>
      <c r="V1293" s="60">
        <f>Ringkasan!V1292</f>
        <v>36.36</v>
      </c>
      <c r="W1293" s="60">
        <f>Ringkasan!W1292</f>
        <v>2.3</v>
      </c>
      <c r="X1293" s="60">
        <f>Ringkasan!X1292</f>
        <v>3</v>
      </c>
      <c r="Y1293" s="60">
        <f>Ringkasan!Y1292</f>
        <v>2.24</v>
      </c>
      <c r="Z1293" s="60">
        <f>Ringkasan!Z1292</f>
        <v>5679787</v>
      </c>
      <c r="AA1293" s="60" t="str">
        <f>Ringkasan!AA1292</f>
        <v>Personal Care Products</v>
      </c>
      <c r="AB1293" s="60" t="str">
        <f>Ringkasan!AB1292</f>
        <v>Consumer Non-Cyclicals</v>
      </c>
    </row>
    <row r="1294" hidden="1">
      <c r="A1294" s="60" t="str">
        <f>Ringkasan!A1293</f>
        <v>NASA</v>
      </c>
      <c r="B1294" s="60" t="str">
        <f>Ringkasan!B1293</f>
        <v>Andalan Perkasa Abadi Tbk.</v>
      </c>
      <c r="C1294" s="61">
        <f>Ringkasan!C1293</f>
        <v>34</v>
      </c>
      <c r="D1294" s="60" t="str">
        <f>Ringkasan!D1293</f>
        <v>#N/A</v>
      </c>
      <c r="E1294" s="60" t="str">
        <f>Ringkasan!E1293</f>
        <v/>
      </c>
      <c r="F1294" s="60" t="str">
        <f>Ringkasan!F1293</f>
        <v/>
      </c>
      <c r="G1294" s="60">
        <f>Ringkasan!G1293</f>
        <v>0</v>
      </c>
      <c r="H1294" s="62">
        <f>Ringkasan!H1293</f>
        <v>220</v>
      </c>
      <c r="I1294" s="62">
        <f>Ringkasan!I1293</f>
        <v>0.37</v>
      </c>
      <c r="J1294" s="62">
        <f>Ringkasan!J1293</f>
        <v>0.17</v>
      </c>
      <c r="K1294" s="62">
        <f>Ringkasan!K1293</f>
        <v>0.16</v>
      </c>
      <c r="L1294" s="62">
        <f>Ringkasan!L1293</f>
        <v>0.02</v>
      </c>
      <c r="M1294" s="62">
        <f>Ringkasan!M1293</f>
        <v>240</v>
      </c>
      <c r="N1294" s="60" t="str">
        <f>Ringkasan!N1293</f>
        <v/>
      </c>
      <c r="O1294" s="60" t="str">
        <f>Ringkasan!O1293</f>
        <v/>
      </c>
      <c r="P1294" s="60" t="str">
        <f>Ringkasan!P1293</f>
        <v/>
      </c>
      <c r="Q1294" s="60" t="str">
        <f>Ringkasan!Q1293</f>
        <v/>
      </c>
      <c r="R1294" s="60" t="str">
        <f>Ringkasan!R1293</f>
        <v/>
      </c>
      <c r="S1294" s="60" t="str">
        <f>Ringkasan!S1293</f>
        <v/>
      </c>
      <c r="T1294" s="60" t="str">
        <f>Ringkasan!T1293</f>
        <v/>
      </c>
      <c r="U1294" s="60">
        <f>Ringkasan!U1293</f>
        <v>35.24</v>
      </c>
      <c r="V1294" s="60">
        <f>Ringkasan!V1293</f>
        <v>-9.39</v>
      </c>
      <c r="W1294" s="60">
        <f>Ringkasan!W1293</f>
        <v>35.23</v>
      </c>
      <c r="X1294" s="60">
        <f>Ringkasan!X1293</f>
        <v>35.26</v>
      </c>
      <c r="Y1294" s="60">
        <f>Ringkasan!Y1293</f>
        <v>31.41</v>
      </c>
      <c r="Z1294" s="60">
        <f>Ringkasan!Z1293</f>
        <v>6998039</v>
      </c>
      <c r="AA1294" s="60" t="str">
        <f>Ringkasan!AA1293</f>
        <v>Real Estate Management &amp; Development</v>
      </c>
      <c r="AB1294" s="60" t="str">
        <f>Ringkasan!AB1293</f>
        <v>Properties &amp; Real Estate</v>
      </c>
    </row>
    <row r="1295" hidden="1">
      <c r="A1295" s="60" t="str">
        <f>Ringkasan!A1294</f>
        <v>NASI</v>
      </c>
      <c r="B1295" s="60" t="str">
        <f>Ringkasan!B1294</f>
        <v>Wahana Inti Makmur Tbk.</v>
      </c>
      <c r="C1295" s="61">
        <f>Ringkasan!C1294</f>
        <v>104</v>
      </c>
      <c r="D1295" s="60" t="str">
        <f>Ringkasan!D1294</f>
        <v>#N/A</v>
      </c>
      <c r="E1295" s="60" t="str">
        <f>Ringkasan!E1294</f>
        <v/>
      </c>
      <c r="F1295" s="60" t="str">
        <f>Ringkasan!F1294</f>
        <v/>
      </c>
      <c r="G1295" s="60">
        <f>Ringkasan!G1294</f>
        <v>0</v>
      </c>
      <c r="H1295" s="62">
        <f>Ringkasan!H1294</f>
        <v>-22.9</v>
      </c>
      <c r="I1295" s="62">
        <f>Ringkasan!I1294</f>
        <v>1.8</v>
      </c>
      <c r="J1295" s="62">
        <f>Ringkasan!J1294</f>
        <v>-7.9</v>
      </c>
      <c r="K1295" s="62">
        <f>Ringkasan!K1294</f>
        <v>-6.6</v>
      </c>
      <c r="L1295" s="62">
        <f>Ringkasan!L1294</f>
        <v>0.2</v>
      </c>
      <c r="M1295" s="62">
        <f>Ringkasan!M1294</f>
        <v>-51.1</v>
      </c>
      <c r="N1295" s="60" t="str">
        <f>Ringkasan!N1294</f>
        <v/>
      </c>
      <c r="O1295" s="60" t="str">
        <f>Ringkasan!O1294</f>
        <v/>
      </c>
      <c r="P1295" s="60" t="str">
        <f>Ringkasan!P1294</f>
        <v/>
      </c>
      <c r="Q1295" s="60" t="str">
        <f>Ringkasan!Q1294</f>
        <v/>
      </c>
      <c r="R1295" s="60" t="str">
        <f>Ringkasan!R1294</f>
        <v/>
      </c>
      <c r="S1295" s="60" t="str">
        <f>Ringkasan!S1294</f>
        <v/>
      </c>
      <c r="T1295" s="60" t="str">
        <f>Ringkasan!T1294</f>
        <v/>
      </c>
      <c r="U1295" s="60">
        <f>Ringkasan!U1294</f>
        <v>99</v>
      </c>
      <c r="V1295" s="60">
        <f>Ringkasan!V1294</f>
        <v>5.05</v>
      </c>
      <c r="W1295" s="60">
        <f>Ringkasan!W1294</f>
        <v>100</v>
      </c>
      <c r="X1295" s="60">
        <f>Ringkasan!X1294</f>
        <v>105</v>
      </c>
      <c r="Y1295" s="60">
        <f>Ringkasan!Y1294</f>
        <v>99</v>
      </c>
      <c r="Z1295" s="60">
        <f>Ringkasan!Z1294</f>
        <v>1918500</v>
      </c>
      <c r="AA1295" s="60" t="str">
        <f>Ringkasan!AA1294</f>
        <v>Processed Foods</v>
      </c>
      <c r="AB1295" s="60" t="str">
        <f>Ringkasan!AB1294</f>
        <v>Consumer Non-Cyclicals</v>
      </c>
    </row>
    <row r="1296" hidden="1">
      <c r="A1296" s="60" t="str">
        <f>Ringkasan!A1652</f>
        <v>SUGI</v>
      </c>
      <c r="B1296" s="60" t="str">
        <f>Ringkasan!B1652</f>
        <v>Sugih Energy Tbk.</v>
      </c>
      <c r="C1296" s="61">
        <f>Ringkasan!C1652</f>
        <v>50</v>
      </c>
      <c r="D1296" s="60" t="str">
        <f>Ringkasan!D1652</f>
        <v>#N/A</v>
      </c>
      <c r="E1296" s="60" t="str">
        <f>Ringkasan!E1652</f>
        <v/>
      </c>
      <c r="F1296" s="60" t="str">
        <f>Ringkasan!F1652</f>
        <v/>
      </c>
      <c r="G1296" s="60">
        <f>Ringkasan!G1652</f>
        <v>0</v>
      </c>
      <c r="H1296" s="62" t="str">
        <f>Ringkasan!H1652</f>
        <v/>
      </c>
      <c r="I1296" s="62">
        <f>Ringkasan!I1652</f>
        <v>0.54</v>
      </c>
      <c r="J1296" s="62">
        <f>Ringkasan!J1652</f>
        <v>-1.1</v>
      </c>
      <c r="K1296" s="62">
        <f>Ringkasan!K1652</f>
        <v>0</v>
      </c>
      <c r="L1296" s="62">
        <f>Ringkasan!L1652</f>
        <v>2.1</v>
      </c>
      <c r="M1296" s="62">
        <f>Ringkasan!M1652</f>
        <v>-210</v>
      </c>
      <c r="N1296" s="60" t="str">
        <f>Ringkasan!N1652</f>
        <v/>
      </c>
      <c r="O1296" s="60" t="str">
        <f>Ringkasan!O1652</f>
        <v/>
      </c>
      <c r="P1296" s="60" t="str">
        <f>Ringkasan!P1652</f>
        <v/>
      </c>
      <c r="Q1296" s="60" t="str">
        <f>Ringkasan!Q1652</f>
        <v/>
      </c>
      <c r="R1296" s="60" t="str">
        <f>Ringkasan!R1652</f>
        <v/>
      </c>
      <c r="S1296" s="60" t="str">
        <f>Ringkasan!S1652</f>
        <v/>
      </c>
      <c r="T1296" s="60" t="str">
        <f>Ringkasan!T1652</f>
        <v/>
      </c>
      <c r="U1296" s="60">
        <f>Ringkasan!U1652</f>
        <v>50</v>
      </c>
      <c r="V1296" s="60">
        <f>Ringkasan!V1652</f>
        <v>0</v>
      </c>
      <c r="W1296" s="60" t="str">
        <f>Ringkasan!W1652</f>
        <v/>
      </c>
      <c r="X1296" s="60" t="str">
        <f>Ringkasan!X1652</f>
        <v/>
      </c>
      <c r="Y1296" s="60" t="str">
        <f>Ringkasan!Y1652</f>
        <v/>
      </c>
      <c r="Z1296" s="60">
        <f>Ringkasan!Z1652</f>
        <v>0</v>
      </c>
      <c r="AA1296" s="60" t="str">
        <f>Ringkasan!AA1652</f>
        <v>Oil &amp; Gas</v>
      </c>
      <c r="AB1296" s="60" t="str">
        <f>Ringkasan!AB1652</f>
        <v>Energy</v>
      </c>
    </row>
    <row r="1297" hidden="1">
      <c r="A1297" s="60" t="str">
        <f>Ringkasan!A1653</f>
        <v>SULI</v>
      </c>
      <c r="B1297" s="60" t="str">
        <f>Ringkasan!B1653</f>
        <v>SLJ Global Tbk.</v>
      </c>
      <c r="C1297" s="61">
        <f>Ringkasan!C1653</f>
        <v>77</v>
      </c>
      <c r="D1297" s="60" t="str">
        <f>Ringkasan!D1653</f>
        <v>#N/A</v>
      </c>
      <c r="E1297" s="60" t="str">
        <f>Ringkasan!E1653</f>
        <v/>
      </c>
      <c r="F1297" s="60" t="str">
        <f>Ringkasan!F1653</f>
        <v/>
      </c>
      <c r="G1297" s="60">
        <f>Ringkasan!G1653</f>
        <v>0</v>
      </c>
      <c r="H1297" s="62">
        <f>Ringkasan!H1653</f>
        <v>-7.7</v>
      </c>
      <c r="I1297" s="62">
        <f>Ringkasan!I1653</f>
        <v>2.4</v>
      </c>
      <c r="J1297" s="62">
        <f>Ringkasan!J1653</f>
        <v>-31</v>
      </c>
      <c r="K1297" s="62">
        <f>Ringkasan!K1653</f>
        <v>-9.7</v>
      </c>
      <c r="L1297" s="62">
        <f>Ringkasan!L1653</f>
        <v>2.2</v>
      </c>
      <c r="M1297" s="62">
        <f>Ringkasan!M1653</f>
        <v>-130</v>
      </c>
      <c r="N1297" s="60" t="str">
        <f>Ringkasan!N1653</f>
        <v/>
      </c>
      <c r="O1297" s="60" t="str">
        <f>Ringkasan!O1653</f>
        <v/>
      </c>
      <c r="P1297" s="60" t="str">
        <f>Ringkasan!P1653</f>
        <v/>
      </c>
      <c r="Q1297" s="60" t="str">
        <f>Ringkasan!Q1653</f>
        <v/>
      </c>
      <c r="R1297" s="60" t="str">
        <f>Ringkasan!R1653</f>
        <v/>
      </c>
      <c r="S1297" s="60" t="str">
        <f>Ringkasan!S1653</f>
        <v/>
      </c>
      <c r="T1297" s="60" t="str">
        <f>Ringkasan!T1653</f>
        <v/>
      </c>
      <c r="U1297" s="60">
        <f>Ringkasan!U1653</f>
        <v>73</v>
      </c>
      <c r="V1297" s="60">
        <f>Ringkasan!V1653</f>
        <v>5.48</v>
      </c>
      <c r="W1297" s="60">
        <f>Ringkasan!W1653</f>
        <v>74</v>
      </c>
      <c r="X1297" s="60">
        <f>Ringkasan!X1653</f>
        <v>80</v>
      </c>
      <c r="Y1297" s="60">
        <f>Ringkasan!Y1653</f>
        <v>72</v>
      </c>
      <c r="Z1297" s="60">
        <f>Ringkasan!Z1653</f>
        <v>2488300</v>
      </c>
      <c r="AA1297" s="60" t="str">
        <f>Ringkasan!AA1653</f>
        <v>Forestry &amp; Paper</v>
      </c>
      <c r="AB1297" s="60" t="str">
        <f>Ringkasan!AB1653</f>
        <v>Basic Materials</v>
      </c>
    </row>
    <row r="1298" hidden="1">
      <c r="A1298" s="60" t="str">
        <f>Ringkasan!A1661</f>
        <v>TALF</v>
      </c>
      <c r="B1298" s="60" t="str">
        <f>Ringkasan!B1661</f>
        <v>Tunas Alfin Tbk.</v>
      </c>
      <c r="C1298" s="61">
        <f>Ringkasan!C1661</f>
        <v>685</v>
      </c>
      <c r="D1298" s="60" t="str">
        <f>Ringkasan!D1661</f>
        <v>#N/A</v>
      </c>
      <c r="E1298" s="60" t="str">
        <f>Ringkasan!E1661</f>
        <v/>
      </c>
      <c r="F1298" s="60" t="str">
        <f>Ringkasan!F1661</f>
        <v/>
      </c>
      <c r="G1298" s="60">
        <f>Ringkasan!G1661</f>
        <v>0</v>
      </c>
      <c r="H1298" s="62">
        <f>Ringkasan!H1661</f>
        <v>23.9</v>
      </c>
      <c r="I1298" s="62">
        <f>Ringkasan!I1661</f>
        <v>0.72</v>
      </c>
      <c r="J1298" s="62">
        <f>Ringkasan!J1661</f>
        <v>3</v>
      </c>
      <c r="K1298" s="62">
        <f>Ringkasan!K1661</f>
        <v>2.2</v>
      </c>
      <c r="L1298" s="62">
        <f>Ringkasan!L1661</f>
        <v>0.38</v>
      </c>
      <c r="M1298" s="62">
        <f>Ringkasan!M1661</f>
        <v>13.7</v>
      </c>
      <c r="N1298" s="60" t="str">
        <f>Ringkasan!N1661</f>
        <v/>
      </c>
      <c r="O1298" s="60" t="str">
        <f>Ringkasan!O1661</f>
        <v/>
      </c>
      <c r="P1298" s="60" t="str">
        <f>Ringkasan!P1661</f>
        <v/>
      </c>
      <c r="Q1298" s="60" t="str">
        <f>Ringkasan!Q1661</f>
        <v/>
      </c>
      <c r="R1298" s="60" t="str">
        <f>Ringkasan!R1661</f>
        <v/>
      </c>
      <c r="S1298" s="60" t="str">
        <f>Ringkasan!S1661</f>
        <v/>
      </c>
      <c r="T1298" s="60" t="str">
        <f>Ringkasan!T1661</f>
        <v/>
      </c>
      <c r="U1298" s="60">
        <f>Ringkasan!U1661</f>
        <v>660</v>
      </c>
      <c r="V1298" s="60">
        <f>Ringkasan!V1661</f>
        <v>3.79</v>
      </c>
      <c r="W1298" s="60">
        <f>Ringkasan!W1661</f>
        <v>690</v>
      </c>
      <c r="X1298" s="60">
        <f>Ringkasan!X1661</f>
        <v>690</v>
      </c>
      <c r="Y1298" s="60">
        <f>Ringkasan!Y1661</f>
        <v>660</v>
      </c>
      <c r="Z1298" s="60">
        <f>Ringkasan!Z1661</f>
        <v>236300</v>
      </c>
      <c r="AA1298" s="60" t="str">
        <f>Ringkasan!AA1661</f>
        <v>Containers &amp; Packaging</v>
      </c>
      <c r="AB1298" s="60" t="str">
        <f>Ringkasan!AB1661</f>
        <v>Basic Materials</v>
      </c>
    </row>
    <row r="1299" hidden="1">
      <c r="A1299" s="60" t="str">
        <f>Ringkasan!A1295</f>
        <v>NATO</v>
      </c>
      <c r="B1299" s="60" t="str">
        <f>Ringkasan!B1295</f>
        <v>Olympus Strategic Indonesia Tbk.</v>
      </c>
      <c r="C1299" s="61">
        <f>Ringkasan!C1295</f>
        <v>590</v>
      </c>
      <c r="D1299" s="60" t="str">
        <f>Ringkasan!D1295</f>
        <v>#N/A</v>
      </c>
      <c r="E1299" s="60" t="str">
        <f>Ringkasan!E1295</f>
        <v/>
      </c>
      <c r="F1299" s="60" t="str">
        <f>Ringkasan!F1295</f>
        <v/>
      </c>
      <c r="G1299" s="60">
        <f>Ringkasan!G1295</f>
        <v>0</v>
      </c>
      <c r="H1299" s="62">
        <f>Ringkasan!H1295</f>
        <v>-57.1</v>
      </c>
      <c r="I1299" s="62">
        <f>Ringkasan!I1295</f>
        <v>2.4</v>
      </c>
      <c r="J1299" s="62">
        <f>Ringkasan!J1295</f>
        <v>-4.2</v>
      </c>
      <c r="K1299" s="62">
        <f>Ringkasan!K1295</f>
        <v>-1.9</v>
      </c>
      <c r="L1299" s="62">
        <f>Ringkasan!L1295</f>
        <v>1.2</v>
      </c>
      <c r="M1299" s="62">
        <f>Ringkasan!M1295</f>
        <v>-24.2</v>
      </c>
      <c r="N1299" s="60" t="str">
        <f>Ringkasan!N1295</f>
        <v/>
      </c>
      <c r="O1299" s="60" t="str">
        <f>Ringkasan!O1295</f>
        <v/>
      </c>
      <c r="P1299" s="60" t="str">
        <f>Ringkasan!P1295</f>
        <v/>
      </c>
      <c r="Q1299" s="60" t="str">
        <f>Ringkasan!Q1295</f>
        <v/>
      </c>
      <c r="R1299" s="60" t="str">
        <f>Ringkasan!R1295</f>
        <v/>
      </c>
      <c r="S1299" s="60" t="str">
        <f>Ringkasan!S1295</f>
        <v/>
      </c>
      <c r="T1299" s="60" t="str">
        <f>Ringkasan!T1295</f>
        <v/>
      </c>
      <c r="U1299" s="60">
        <f>Ringkasan!U1295</f>
        <v>40.04</v>
      </c>
      <c r="V1299" s="60" t="str">
        <f>Ringkasan!V1295</f>
        <v/>
      </c>
      <c r="W1299" s="60">
        <f>Ringkasan!W1295</f>
        <v>40.11</v>
      </c>
      <c r="X1299" s="60">
        <f>Ringkasan!X1295</f>
        <v>40.11</v>
      </c>
      <c r="Y1299" s="60">
        <f>Ringkasan!Y1295</f>
        <v>39.8</v>
      </c>
      <c r="Z1299" s="60">
        <f>Ringkasan!Z1295</f>
        <v>16896</v>
      </c>
      <c r="AA1299" s="60" t="str">
        <f>Ringkasan!AA1295</f>
        <v>Tourism &amp; Recreation</v>
      </c>
      <c r="AB1299" s="60" t="str">
        <f>Ringkasan!AB1295</f>
        <v>Consumer Cyclicals</v>
      </c>
    </row>
    <row r="1300" hidden="1">
      <c r="A1300" s="60" t="str">
        <f>Ringkasan!A1296</f>
        <v>NAYZ</v>
      </c>
      <c r="B1300" s="60" t="str">
        <f>Ringkasan!B1296</f>
        <v>PT Hassana Boga Sejahtera Tbk</v>
      </c>
      <c r="C1300" s="61">
        <f>Ringkasan!C1296</f>
        <v>55</v>
      </c>
      <c r="D1300" s="60" t="str">
        <f>Ringkasan!D1296</f>
        <v>#N/A</v>
      </c>
      <c r="E1300" s="60" t="str">
        <f>Ringkasan!E1296</f>
        <v/>
      </c>
      <c r="F1300" s="60" t="str">
        <f>Ringkasan!F1296</f>
        <v/>
      </c>
      <c r="G1300" s="60">
        <f>Ringkasan!G1296</f>
        <v>0</v>
      </c>
      <c r="H1300" s="62">
        <f>Ringkasan!H1296</f>
        <v>-30.3</v>
      </c>
      <c r="I1300" s="62">
        <f>Ringkasan!I1296</f>
        <v>2</v>
      </c>
      <c r="J1300" s="62">
        <f>Ringkasan!J1296</f>
        <v>-6.5</v>
      </c>
      <c r="K1300" s="62">
        <f>Ringkasan!K1296</f>
        <v>-6.3</v>
      </c>
      <c r="L1300" s="62">
        <f>Ringkasan!L1296</f>
        <v>0.04</v>
      </c>
      <c r="M1300" s="62">
        <f>Ringkasan!M1296</f>
        <v>-18</v>
      </c>
      <c r="N1300" s="60" t="str">
        <f>Ringkasan!N1296</f>
        <v/>
      </c>
      <c r="O1300" s="60" t="str">
        <f>Ringkasan!O1296</f>
        <v/>
      </c>
      <c r="P1300" s="60" t="str">
        <f>Ringkasan!P1296</f>
        <v/>
      </c>
      <c r="Q1300" s="60" t="str">
        <f>Ringkasan!Q1296</f>
        <v/>
      </c>
      <c r="R1300" s="60" t="str">
        <f>Ringkasan!R1296</f>
        <v/>
      </c>
      <c r="S1300" s="60" t="str">
        <f>Ringkasan!S1296</f>
        <v/>
      </c>
      <c r="T1300" s="60" t="str">
        <f>Ringkasan!T1296</f>
        <v/>
      </c>
      <c r="U1300" s="60">
        <f>Ringkasan!U1296</f>
        <v>57</v>
      </c>
      <c r="V1300" s="60">
        <f>Ringkasan!V1296</f>
        <v>-3.51</v>
      </c>
      <c r="W1300" s="60">
        <f>Ringkasan!W1296</f>
        <v>57</v>
      </c>
      <c r="X1300" s="60">
        <f>Ringkasan!X1296</f>
        <v>58</v>
      </c>
      <c r="Y1300" s="60">
        <f>Ringkasan!Y1296</f>
        <v>54</v>
      </c>
      <c r="Z1300" s="60">
        <f>Ringkasan!Z1296</f>
        <v>13831100</v>
      </c>
      <c r="AA1300" s="60" t="str">
        <f>Ringkasan!AA1296</f>
        <v>Processed Foods</v>
      </c>
      <c r="AB1300" s="60" t="str">
        <f>Ringkasan!AB1296</f>
        <v>Consumer Non-Cyclicals</v>
      </c>
    </row>
    <row r="1301" hidden="1">
      <c r="A1301" s="64" t="str">
        <f>Ringkasan!A940</f>
        <v>INTP</v>
      </c>
      <c r="B1301" s="64" t="str">
        <f>Ringkasan!B940</f>
        <v>Indocement Tunggal Prakarsa Tbk.</v>
      </c>
      <c r="C1301" s="61">
        <f>Ringkasan!C940</f>
        <v>4110</v>
      </c>
      <c r="D1301" s="60" t="str">
        <f>Ringkasan!D940</f>
        <v>#N/A</v>
      </c>
      <c r="E1301" s="60" t="str">
        <f>Ringkasan!E940</f>
        <v>JII70</v>
      </c>
      <c r="F1301" s="63">
        <f>Ringkasan!F940</f>
        <v>46356</v>
      </c>
      <c r="G1301" s="60">
        <f>Ringkasan!G940</f>
        <v>13</v>
      </c>
      <c r="H1301" s="62">
        <f>Ringkasan!H940</f>
        <v>7.6</v>
      </c>
      <c r="I1301" s="62">
        <f>Ringkasan!I940</f>
        <v>0.74</v>
      </c>
      <c r="J1301" s="62">
        <f>Ringkasan!J940</f>
        <v>9.7</v>
      </c>
      <c r="K1301" s="62">
        <f>Ringkasan!K940</f>
        <v>7.2</v>
      </c>
      <c r="L1301" s="62">
        <f>Ringkasan!L940</f>
        <v>0.34</v>
      </c>
      <c r="M1301" s="62">
        <f>Ringkasan!M940</f>
        <v>58.6</v>
      </c>
      <c r="N1301" s="60" t="str">
        <f>Ringkasan!N940</f>
        <v/>
      </c>
      <c r="O1301" s="60" t="str">
        <f>Ringkasan!O940</f>
        <v/>
      </c>
      <c r="P1301" s="60" t="str">
        <f>Ringkasan!P940</f>
        <v/>
      </c>
      <c r="Q1301" s="60" t="str">
        <f>Ringkasan!Q940</f>
        <v/>
      </c>
      <c r="R1301" s="60" t="str">
        <f>Ringkasan!R940</f>
        <v/>
      </c>
      <c r="S1301" s="60" t="str">
        <f>Ringkasan!S940</f>
        <v/>
      </c>
      <c r="T1301" s="60" t="str">
        <f>Ringkasan!T940</f>
        <v/>
      </c>
      <c r="U1301" s="60">
        <f>Ringkasan!U940</f>
        <v>4160</v>
      </c>
      <c r="V1301" s="60" t="str">
        <f>Ringkasan!V940</f>
        <v/>
      </c>
      <c r="W1301" s="60">
        <f>Ringkasan!W940</f>
        <v>4190</v>
      </c>
      <c r="X1301" s="60">
        <f>Ringkasan!X940</f>
        <v>4240</v>
      </c>
      <c r="Y1301" s="60">
        <f>Ringkasan!Y940</f>
        <v>4090</v>
      </c>
      <c r="Z1301" s="60">
        <f>Ringkasan!Z940</f>
        <v>2337500</v>
      </c>
      <c r="AA1301" s="60" t="str">
        <f>Ringkasan!AA940</f>
        <v>Construction Materials</v>
      </c>
      <c r="AB1301" s="64" t="str">
        <f>Ringkasan!AB940</f>
        <v>Basic Materials</v>
      </c>
    </row>
    <row r="1302" hidden="1">
      <c r="A1302" s="60" t="str">
        <f>Ringkasan!A534</f>
        <v>COIN</v>
      </c>
      <c r="B1302" s="60" t="str">
        <f>Ringkasan!B534</f>
        <v>Indokripto Koin Semesta Tbk.</v>
      </c>
      <c r="C1302" s="61">
        <f>Ringkasan!C534</f>
        <v>750</v>
      </c>
      <c r="D1302" s="60" t="str">
        <f>Ringkasan!D534</f>
        <v>#N/A</v>
      </c>
      <c r="E1302" s="60" t="str">
        <f>Ringkasan!E534</f>
        <v/>
      </c>
      <c r="F1302" s="60" t="str">
        <f>Ringkasan!F534</f>
        <v/>
      </c>
      <c r="G1302" s="60">
        <f>Ringkasan!G534</f>
        <v>0</v>
      </c>
      <c r="H1302" s="62">
        <f>Ringkasan!H534</f>
        <v>430</v>
      </c>
      <c r="I1302" s="62">
        <f>Ringkasan!I534</f>
        <v>7.8</v>
      </c>
      <c r="J1302" s="62">
        <f>Ringkasan!J534</f>
        <v>1.8</v>
      </c>
      <c r="K1302" s="62">
        <f>Ringkasan!K534</f>
        <v>1.8</v>
      </c>
      <c r="L1302" s="62">
        <f>Ringkasan!L534</f>
        <v>0.03</v>
      </c>
      <c r="M1302" s="62">
        <f>Ringkasan!M534</f>
        <v>66.9</v>
      </c>
      <c r="N1302" s="60" t="str">
        <f>Ringkasan!N534</f>
        <v/>
      </c>
      <c r="O1302" s="60" t="str">
        <f>Ringkasan!O534</f>
        <v/>
      </c>
      <c r="P1302" s="60" t="str">
        <f>Ringkasan!P534</f>
        <v/>
      </c>
      <c r="Q1302" s="60" t="str">
        <f>Ringkasan!Q534</f>
        <v/>
      </c>
      <c r="R1302" s="60" t="str">
        <f>Ringkasan!R534</f>
        <v/>
      </c>
      <c r="S1302" s="60" t="str">
        <f>Ringkasan!S534</f>
        <v/>
      </c>
      <c r="T1302" s="60" t="str">
        <f>Ringkasan!T534</f>
        <v/>
      </c>
      <c r="U1302" s="60">
        <f>Ringkasan!U534</f>
        <v>160.43</v>
      </c>
      <c r="V1302" s="60">
        <f>Ringkasan!V534</f>
        <v>-0.41</v>
      </c>
      <c r="W1302" s="60">
        <f>Ringkasan!W534</f>
        <v>160.43</v>
      </c>
      <c r="X1302" s="60">
        <f>Ringkasan!X534</f>
        <v>165.49</v>
      </c>
      <c r="Y1302" s="60">
        <f>Ringkasan!Y534</f>
        <v>155.42</v>
      </c>
      <c r="Z1302" s="60">
        <f>Ringkasan!Z534</f>
        <v>6508340</v>
      </c>
      <c r="AA1302" s="60" t="str">
        <f>Ringkasan!AA534</f>
        <v>Holding &amp; Investment Companies</v>
      </c>
      <c r="AB1302" s="60" t="str">
        <f>Ringkasan!AB534</f>
        <v>Financials</v>
      </c>
    </row>
    <row r="1303">
      <c r="A1303" s="60" t="str">
        <f>Ringkasan!A1282</f>
        <v>MYOR</v>
      </c>
      <c r="B1303" s="60" t="str">
        <f>Ringkasan!B1282</f>
        <v>Mayora Indah Tbk.</v>
      </c>
      <c r="C1303" s="61">
        <f>Ringkasan!C1282</f>
        <v>1700</v>
      </c>
      <c r="D1303" s="60" t="str">
        <f>Ringkasan!D1282</f>
        <v>#N/A</v>
      </c>
      <c r="E1303" s="60" t="str">
        <f>Ringkasan!E1282</f>
        <v>IDXQ30</v>
      </c>
      <c r="F1303" s="60" t="str">
        <f>Ringkasan!F1282</f>
        <v>4 Agustus 2026</v>
      </c>
      <c r="G1303" s="60">
        <f>Ringkasan!G1282</f>
        <v>10</v>
      </c>
      <c r="H1303" s="62">
        <f>Ringkasan!H1282</f>
        <v>13.2</v>
      </c>
      <c r="I1303" s="62">
        <f>Ringkasan!I1282</f>
        <v>2.1</v>
      </c>
      <c r="J1303" s="62">
        <f>Ringkasan!J1282</f>
        <v>16.3</v>
      </c>
      <c r="K1303" s="62">
        <f>Ringkasan!K1282</f>
        <v>10.9</v>
      </c>
      <c r="L1303" s="62">
        <f>Ringkasan!L1282</f>
        <v>0.49</v>
      </c>
      <c r="M1303" s="62">
        <f>Ringkasan!M1282</f>
        <v>33.2</v>
      </c>
      <c r="N1303" s="60" t="str">
        <f>Ringkasan!N1282</f>
        <v/>
      </c>
      <c r="O1303" s="60" t="str">
        <f>Ringkasan!O1282</f>
        <v/>
      </c>
      <c r="P1303" s="60" t="str">
        <f>Ringkasan!P1282</f>
        <v/>
      </c>
      <c r="Q1303" s="60" t="str">
        <f>Ringkasan!Q1282</f>
        <v/>
      </c>
      <c r="R1303" s="60" t="str">
        <f>Ringkasan!R1282</f>
        <v/>
      </c>
      <c r="S1303" s="60" t="str">
        <f>Ringkasan!S1282</f>
        <v/>
      </c>
      <c r="T1303" s="60" t="str">
        <f>Ringkasan!T1282</f>
        <v/>
      </c>
      <c r="U1303" s="60">
        <f>Ringkasan!U1282</f>
        <v>1645</v>
      </c>
      <c r="V1303" s="60">
        <f>Ringkasan!V1282</f>
        <v>3.34</v>
      </c>
      <c r="W1303" s="60">
        <f>Ringkasan!W1282</f>
        <v>1645</v>
      </c>
      <c r="X1303" s="60">
        <f>Ringkasan!X1282</f>
        <v>1700</v>
      </c>
      <c r="Y1303" s="60">
        <f>Ringkasan!Y1282</f>
        <v>1630</v>
      </c>
      <c r="Z1303" s="60">
        <f>Ringkasan!Z1282</f>
        <v>7817400</v>
      </c>
      <c r="AA1303" s="60" t="str">
        <f>Ringkasan!AA1282</f>
        <v>Processed Foods</v>
      </c>
      <c r="AB1303" s="60" t="str">
        <f>Ringkasan!AB1282</f>
        <v>Consumer Non-Cyclicals</v>
      </c>
    </row>
    <row r="1304" hidden="1">
      <c r="A1304" s="60" t="str">
        <f>Ringkasan!A943</f>
        <v>IPCC</v>
      </c>
      <c r="B1304" s="60" t="str">
        <f>Ringkasan!B943</f>
        <v>Indonesia Kendaraan Terminal Tbk.</v>
      </c>
      <c r="C1304" s="61">
        <f>Ringkasan!C943</f>
        <v>1215</v>
      </c>
      <c r="D1304" s="60" t="str">
        <f>Ringkasan!D943</f>
        <v>#N/A</v>
      </c>
      <c r="E1304" s="60" t="str">
        <f>Ringkasan!E943</f>
        <v/>
      </c>
      <c r="F1304" s="60" t="str">
        <f>Ringkasan!F943</f>
        <v/>
      </c>
      <c r="G1304" s="61">
        <f>Ringkasan!G943</f>
        <v>0</v>
      </c>
      <c r="H1304" s="62">
        <f>Ringkasan!H943</f>
        <v>8.5</v>
      </c>
      <c r="I1304" s="62">
        <f>Ringkasan!I943</f>
        <v>1.6</v>
      </c>
      <c r="J1304" s="62">
        <f>Ringkasan!J943</f>
        <v>18.3</v>
      </c>
      <c r="K1304" s="62">
        <f>Ringkasan!K943</f>
        <v>12.7</v>
      </c>
      <c r="L1304" s="62">
        <f>Ringkasan!L943</f>
        <v>0.44</v>
      </c>
      <c r="M1304" s="62">
        <f>Ringkasan!M943</f>
        <v>130</v>
      </c>
      <c r="N1304" s="60" t="str">
        <f>Ringkasan!N943</f>
        <v/>
      </c>
      <c r="O1304" s="60" t="str">
        <f>Ringkasan!O943</f>
        <v/>
      </c>
      <c r="P1304" s="60" t="str">
        <f>Ringkasan!P943</f>
        <v/>
      </c>
      <c r="Q1304" s="60" t="str">
        <f>Ringkasan!Q943</f>
        <v/>
      </c>
      <c r="R1304" s="60" t="str">
        <f>Ringkasan!R943</f>
        <v/>
      </c>
      <c r="S1304" s="60" t="str">
        <f>Ringkasan!S943</f>
        <v/>
      </c>
      <c r="T1304" s="60" t="str">
        <f>Ringkasan!T943</f>
        <v/>
      </c>
      <c r="U1304" s="60">
        <f>Ringkasan!U943</f>
        <v>1205</v>
      </c>
      <c r="V1304" s="60">
        <f>Ringkasan!V943</f>
        <v>0.83</v>
      </c>
      <c r="W1304" s="60">
        <f>Ringkasan!W943</f>
        <v>1205</v>
      </c>
      <c r="X1304" s="60">
        <f>Ringkasan!X943</f>
        <v>1215</v>
      </c>
      <c r="Y1304" s="60">
        <f>Ringkasan!Y943</f>
        <v>1195</v>
      </c>
      <c r="Z1304" s="60">
        <f>Ringkasan!Z943</f>
        <v>1892300</v>
      </c>
      <c r="AA1304" s="60" t="str">
        <f>Ringkasan!AA943</f>
        <v>Transport Infrastructure Operator</v>
      </c>
      <c r="AB1304" s="60" t="str">
        <f>Ringkasan!AB943</f>
        <v>Infrastructures</v>
      </c>
    </row>
    <row r="1305" hidden="1">
      <c r="A1305" s="60" t="str">
        <f>Ringkasan!A942</f>
        <v>IPAC</v>
      </c>
      <c r="B1305" s="60" t="str">
        <f>Ringkasan!B942</f>
        <v>Era Graharealty Tbk.</v>
      </c>
      <c r="C1305" s="61">
        <f>Ringkasan!C942</f>
        <v>160</v>
      </c>
      <c r="D1305" s="60" t="str">
        <f>Ringkasan!D942</f>
        <v>#N/A</v>
      </c>
      <c r="E1305" s="60" t="str">
        <f>Ringkasan!E942</f>
        <v/>
      </c>
      <c r="F1305" s="60" t="str">
        <f>Ringkasan!F942</f>
        <v/>
      </c>
      <c r="G1305" s="60">
        <f>Ringkasan!G942</f>
        <v>0</v>
      </c>
      <c r="H1305" s="62">
        <f>Ringkasan!H942</f>
        <v>110</v>
      </c>
      <c r="I1305" s="62">
        <f>Ringkasan!I942</f>
        <v>3.4</v>
      </c>
      <c r="J1305" s="62">
        <f>Ringkasan!J942</f>
        <v>3</v>
      </c>
      <c r="K1305" s="62">
        <f>Ringkasan!K942</f>
        <v>2.2</v>
      </c>
      <c r="L1305" s="62">
        <f>Ringkasan!L942</f>
        <v>0.37</v>
      </c>
      <c r="M1305" s="62">
        <f>Ringkasan!M942</f>
        <v>9.1</v>
      </c>
      <c r="N1305" s="60" t="str">
        <f>Ringkasan!N942</f>
        <v/>
      </c>
      <c r="O1305" s="60" t="str">
        <f>Ringkasan!O942</f>
        <v/>
      </c>
      <c r="P1305" s="60" t="str">
        <f>Ringkasan!P942</f>
        <v/>
      </c>
      <c r="Q1305" s="60" t="str">
        <f>Ringkasan!Q942</f>
        <v/>
      </c>
      <c r="R1305" s="60" t="str">
        <f>Ringkasan!R942</f>
        <v/>
      </c>
      <c r="S1305" s="60" t="str">
        <f>Ringkasan!S942</f>
        <v/>
      </c>
      <c r="T1305" s="60" t="str">
        <f>Ringkasan!T942</f>
        <v/>
      </c>
      <c r="U1305" s="60">
        <f>Ringkasan!U942</f>
        <v>82.03</v>
      </c>
      <c r="V1305" s="60">
        <f>Ringkasan!V942</f>
        <v>0.55</v>
      </c>
      <c r="W1305" s="60">
        <f>Ringkasan!W942</f>
        <v>82.18</v>
      </c>
      <c r="X1305" s="60">
        <f>Ringkasan!X942</f>
        <v>82.6</v>
      </c>
      <c r="Y1305" s="60">
        <f>Ringkasan!Y942</f>
        <v>82.02</v>
      </c>
      <c r="Z1305" s="60">
        <f>Ringkasan!Z942</f>
        <v>6584</v>
      </c>
      <c r="AA1305" s="60" t="str">
        <f>Ringkasan!AA942</f>
        <v>Real Estate Management &amp; Development</v>
      </c>
      <c r="AB1305" s="60" t="str">
        <f>Ringkasan!AB942</f>
        <v>Properties &amp; Real Estate</v>
      </c>
    </row>
    <row r="1306" hidden="1">
      <c r="A1306" s="64" t="str">
        <f>Ringkasan!A948</f>
        <v>IRRA</v>
      </c>
      <c r="B1306" s="64" t="str">
        <f>Ringkasan!B948</f>
        <v>Itama Ranoraya Tbk.</v>
      </c>
      <c r="C1306" s="61">
        <f>Ringkasan!C948</f>
        <v>352</v>
      </c>
      <c r="D1306" s="60" t="str">
        <f>Ringkasan!D948</f>
        <v>#N/A</v>
      </c>
      <c r="E1306" s="60" t="str">
        <f>Ringkasan!E948</f>
        <v/>
      </c>
      <c r="F1306" s="60" t="str">
        <f>Ringkasan!F948</f>
        <v/>
      </c>
      <c r="G1306" s="60">
        <f>Ringkasan!G948</f>
        <v>0</v>
      </c>
      <c r="H1306" s="62">
        <f>Ringkasan!H948</f>
        <v>9.2</v>
      </c>
      <c r="I1306" s="62">
        <f>Ringkasan!I948</f>
        <v>1</v>
      </c>
      <c r="J1306" s="62">
        <f>Ringkasan!J948</f>
        <v>11.2</v>
      </c>
      <c r="K1306" s="62">
        <f>Ringkasan!K948</f>
        <v>2.6</v>
      </c>
      <c r="L1306" s="62">
        <f>Ringkasan!L948</f>
        <v>3.4</v>
      </c>
      <c r="M1306" s="62">
        <f>Ringkasan!M948</f>
        <v>27.1</v>
      </c>
      <c r="N1306" s="60" t="str">
        <f>Ringkasan!N948</f>
        <v/>
      </c>
      <c r="O1306" s="60" t="str">
        <f>Ringkasan!O948</f>
        <v/>
      </c>
      <c r="P1306" s="60" t="str">
        <f>Ringkasan!P948</f>
        <v/>
      </c>
      <c r="Q1306" s="60" t="str">
        <f>Ringkasan!Q948</f>
        <v/>
      </c>
      <c r="R1306" s="60" t="str">
        <f>Ringkasan!R948</f>
        <v/>
      </c>
      <c r="S1306" s="60" t="str">
        <f>Ringkasan!S948</f>
        <v/>
      </c>
      <c r="T1306" s="60" t="str">
        <f>Ringkasan!T948</f>
        <v/>
      </c>
      <c r="U1306" s="60">
        <f>Ringkasan!U948</f>
        <v>344</v>
      </c>
      <c r="V1306" s="60">
        <f>Ringkasan!V948</f>
        <v>2.33</v>
      </c>
      <c r="W1306" s="60">
        <f>Ringkasan!W948</f>
        <v>344</v>
      </c>
      <c r="X1306" s="60">
        <f>Ringkasan!X948</f>
        <v>358</v>
      </c>
      <c r="Y1306" s="60">
        <f>Ringkasan!Y948</f>
        <v>340</v>
      </c>
      <c r="Z1306" s="60">
        <f>Ringkasan!Z948</f>
        <v>1441200</v>
      </c>
      <c r="AA1306" s="60" t="str">
        <f>Ringkasan!AA948</f>
        <v>Healthcare Equipment &amp; Supplies</v>
      </c>
      <c r="AB1306" s="64" t="str">
        <f>Ringkasan!AB948</f>
        <v>Healthcare</v>
      </c>
    </row>
    <row r="1307" hidden="1">
      <c r="A1307" s="64" t="str">
        <f>Ringkasan!A946</f>
        <v>IPPE</v>
      </c>
      <c r="B1307" s="64" t="str">
        <f>Ringkasan!B946</f>
        <v>Indo Pureco Pratama Tbk.</v>
      </c>
      <c r="C1307" s="61">
        <f>Ringkasan!C946</f>
        <v>14</v>
      </c>
      <c r="D1307" s="60" t="str">
        <f>Ringkasan!D946</f>
        <v>#N/A</v>
      </c>
      <c r="E1307" s="60" t="str">
        <f>Ringkasan!E946</f>
        <v/>
      </c>
      <c r="F1307" s="60" t="str">
        <f>Ringkasan!F946</f>
        <v/>
      </c>
      <c r="G1307" s="60">
        <f>Ringkasan!G946</f>
        <v>0</v>
      </c>
      <c r="H1307" s="62">
        <f>Ringkasan!H946</f>
        <v>0</v>
      </c>
      <c r="I1307" s="62">
        <f>Ringkasan!I946</f>
        <v>0.22</v>
      </c>
      <c r="J1307" s="62">
        <f>Ringkasan!J946</f>
        <v>0.64</v>
      </c>
      <c r="K1307" s="62">
        <f>Ringkasan!K946</f>
        <v>0.61</v>
      </c>
      <c r="L1307" s="62">
        <f>Ringkasan!L946</f>
        <v>0.05</v>
      </c>
      <c r="M1307" s="62">
        <f>Ringkasan!M946</f>
        <v>9</v>
      </c>
      <c r="N1307" s="60" t="str">
        <f>Ringkasan!N946</f>
        <v/>
      </c>
      <c r="O1307" s="60" t="str">
        <f>Ringkasan!O946</f>
        <v/>
      </c>
      <c r="P1307" s="60" t="str">
        <f>Ringkasan!P946</f>
        <v/>
      </c>
      <c r="Q1307" s="60" t="str">
        <f>Ringkasan!Q946</f>
        <v/>
      </c>
      <c r="R1307" s="60" t="str">
        <f>Ringkasan!R946</f>
        <v/>
      </c>
      <c r="S1307" s="60" t="str">
        <f>Ringkasan!S946</f>
        <v/>
      </c>
      <c r="T1307" s="60" t="str">
        <f>Ringkasan!T946</f>
        <v/>
      </c>
      <c r="U1307" s="60">
        <f>Ringkasan!U946</f>
        <v>14</v>
      </c>
      <c r="V1307" s="60">
        <f>Ringkasan!V946</f>
        <v>0</v>
      </c>
      <c r="W1307" s="60" t="str">
        <f>Ringkasan!W946</f>
        <v/>
      </c>
      <c r="X1307" s="60" t="str">
        <f>Ringkasan!X946</f>
        <v/>
      </c>
      <c r="Y1307" s="60" t="str">
        <f>Ringkasan!Y946</f>
        <v/>
      </c>
      <c r="Z1307" s="60">
        <f>Ringkasan!Z946</f>
        <v>0</v>
      </c>
      <c r="AA1307" s="60" t="str">
        <f>Ringkasan!AA946</f>
        <v>Agricultural Products</v>
      </c>
      <c r="AB1307" s="64" t="str">
        <f>Ringkasan!AB946</f>
        <v>Consumer Non-Cyclicals</v>
      </c>
    </row>
    <row r="1308" hidden="1">
      <c r="A1308" s="64" t="str">
        <f>Ringkasan!A947</f>
        <v>IPTV</v>
      </c>
      <c r="B1308" s="64" t="str">
        <f>Ringkasan!B947</f>
        <v>MNC Vision Networks Tbk.</v>
      </c>
      <c r="C1308" s="61">
        <f>Ringkasan!C947</f>
        <v>28</v>
      </c>
      <c r="D1308" s="60" t="str">
        <f>Ringkasan!D947</f>
        <v>#N/A</v>
      </c>
      <c r="E1308" s="60" t="str">
        <f>Ringkasan!E947</f>
        <v/>
      </c>
      <c r="F1308" s="60" t="str">
        <f>Ringkasan!F947</f>
        <v/>
      </c>
      <c r="G1308" s="60">
        <f>Ringkasan!G947</f>
        <v>0</v>
      </c>
      <c r="H1308" s="62">
        <f>Ringkasan!H947</f>
        <v>-8.6</v>
      </c>
      <c r="I1308" s="62">
        <f>Ringkasan!I947</f>
        <v>0.24</v>
      </c>
      <c r="J1308" s="62">
        <f>Ringkasan!J947</f>
        <v>-2.9</v>
      </c>
      <c r="K1308" s="62">
        <f>Ringkasan!K947</f>
        <v>-2.5</v>
      </c>
      <c r="L1308" s="62">
        <f>Ringkasan!L947</f>
        <v>0.16</v>
      </c>
      <c r="M1308" s="62">
        <f>Ringkasan!M947</f>
        <v>-43.8</v>
      </c>
      <c r="N1308" s="60" t="str">
        <f>Ringkasan!N947</f>
        <v/>
      </c>
      <c r="O1308" s="60" t="str">
        <f>Ringkasan!O947</f>
        <v/>
      </c>
      <c r="P1308" s="60" t="str">
        <f>Ringkasan!P947</f>
        <v/>
      </c>
      <c r="Q1308" s="60" t="str">
        <f>Ringkasan!Q947</f>
        <v/>
      </c>
      <c r="R1308" s="60" t="str">
        <f>Ringkasan!R947</f>
        <v/>
      </c>
      <c r="S1308" s="60" t="str">
        <f>Ringkasan!S947</f>
        <v/>
      </c>
      <c r="T1308" s="60" t="str">
        <f>Ringkasan!T947</f>
        <v/>
      </c>
      <c r="U1308" s="60">
        <f>Ringkasan!U947</f>
        <v>30</v>
      </c>
      <c r="V1308" s="60">
        <f>Ringkasan!V947</f>
        <v>-6.67</v>
      </c>
      <c r="W1308" s="60">
        <f>Ringkasan!W947</f>
        <v>29</v>
      </c>
      <c r="X1308" s="60">
        <f>Ringkasan!X947</f>
        <v>29</v>
      </c>
      <c r="Y1308" s="60">
        <f>Ringkasan!Y947</f>
        <v>27</v>
      </c>
      <c r="Z1308" s="60">
        <f>Ringkasan!Z947</f>
        <v>29349200</v>
      </c>
      <c r="AA1308" s="60" t="str">
        <f>Ringkasan!AA947</f>
        <v>Media</v>
      </c>
      <c r="AB1308" s="64" t="str">
        <f>Ringkasan!AB947</f>
        <v>Consumer Cyclicals</v>
      </c>
    </row>
    <row r="1309">
      <c r="A1309" s="60" t="str">
        <f>Ringkasan!A1283</f>
        <v>MYOR</v>
      </c>
      <c r="B1309" s="60" t="str">
        <f>Ringkasan!B1283</f>
        <v>Mayora Indah Tbk.</v>
      </c>
      <c r="C1309" s="61">
        <f>Ringkasan!C1283</f>
        <v>1700</v>
      </c>
      <c r="D1309" s="60" t="str">
        <f>Ringkasan!D1283</f>
        <v>#N/A</v>
      </c>
      <c r="E1309" s="60" t="str">
        <f>Ringkasan!E1283</f>
        <v>Pefindo - iGrade</v>
      </c>
      <c r="F1309" s="60" t="str">
        <f>Ringkasan!F1283</f>
        <v>30 Juni 2026</v>
      </c>
      <c r="G1309" s="60">
        <f>Ringkasan!G1283</f>
        <v>10</v>
      </c>
      <c r="H1309" s="62">
        <f>Ringkasan!H1283</f>
        <v>13.2</v>
      </c>
      <c r="I1309" s="62">
        <f>Ringkasan!I1283</f>
        <v>2.1</v>
      </c>
      <c r="J1309" s="62">
        <f>Ringkasan!J1283</f>
        <v>16.3</v>
      </c>
      <c r="K1309" s="62">
        <f>Ringkasan!K1283</f>
        <v>10.9</v>
      </c>
      <c r="L1309" s="62">
        <f>Ringkasan!L1283</f>
        <v>0.49</v>
      </c>
      <c r="M1309" s="62">
        <f>Ringkasan!M1283</f>
        <v>33.2</v>
      </c>
      <c r="N1309" s="60" t="str">
        <f>Ringkasan!N1283</f>
        <v/>
      </c>
      <c r="O1309" s="60" t="str">
        <f>Ringkasan!O1283</f>
        <v/>
      </c>
      <c r="P1309" s="60" t="str">
        <f>Ringkasan!P1283</f>
        <v/>
      </c>
      <c r="Q1309" s="60" t="str">
        <f>Ringkasan!Q1283</f>
        <v/>
      </c>
      <c r="R1309" s="60" t="str">
        <f>Ringkasan!R1283</f>
        <v/>
      </c>
      <c r="S1309" s="60" t="str">
        <f>Ringkasan!S1283</f>
        <v/>
      </c>
      <c r="T1309" s="60" t="str">
        <f>Ringkasan!T1283</f>
        <v/>
      </c>
      <c r="U1309" s="60">
        <f>Ringkasan!U1283</f>
        <v>1645</v>
      </c>
      <c r="V1309" s="60">
        <f>Ringkasan!V1283</f>
        <v>3.34</v>
      </c>
      <c r="W1309" s="60">
        <f>Ringkasan!W1283</f>
        <v>1645</v>
      </c>
      <c r="X1309" s="60">
        <f>Ringkasan!X1283</f>
        <v>1700</v>
      </c>
      <c r="Y1309" s="60">
        <f>Ringkasan!Y1283</f>
        <v>1630</v>
      </c>
      <c r="Z1309" s="60">
        <f>Ringkasan!Z1283</f>
        <v>7817400</v>
      </c>
      <c r="AA1309" s="60" t="str">
        <f>Ringkasan!AA1283</f>
        <v>Processed Foods</v>
      </c>
      <c r="AB1309" s="60" t="str">
        <f>Ringkasan!AB1283</f>
        <v>Consumer Non-Cyclicals</v>
      </c>
    </row>
    <row r="1310" hidden="1">
      <c r="A1310" s="64" t="str">
        <f>Ringkasan!A950</f>
        <v>ISAP</v>
      </c>
      <c r="B1310" s="64" t="str">
        <f>Ringkasan!B950</f>
        <v>Isra Presisi Indonesia Tbk.</v>
      </c>
      <c r="C1310" s="61">
        <f>Ringkasan!C950</f>
        <v>25</v>
      </c>
      <c r="D1310" s="60" t="str">
        <f>Ringkasan!D950</f>
        <v>#N/A</v>
      </c>
      <c r="E1310" s="60" t="str">
        <f>Ringkasan!E950</f>
        <v/>
      </c>
      <c r="F1310" s="60" t="str">
        <f>Ringkasan!F950</f>
        <v/>
      </c>
      <c r="G1310" s="60">
        <f>Ringkasan!G950</f>
        <v>0</v>
      </c>
      <c r="H1310" s="62">
        <f>Ringkasan!H950</f>
        <v>64.5</v>
      </c>
      <c r="I1310" s="62">
        <f>Ringkasan!I950</f>
        <v>0.61</v>
      </c>
      <c r="J1310" s="62">
        <f>Ringkasan!J950</f>
        <v>0.94</v>
      </c>
      <c r="K1310" s="62">
        <f>Ringkasan!K950</f>
        <v>0.89</v>
      </c>
      <c r="L1310" s="62">
        <f>Ringkasan!L950</f>
        <v>0.05</v>
      </c>
      <c r="M1310" s="62">
        <f>Ringkasan!M950</f>
        <v>6.7</v>
      </c>
      <c r="N1310" s="60" t="str">
        <f>Ringkasan!N950</f>
        <v/>
      </c>
      <c r="O1310" s="60" t="str">
        <f>Ringkasan!O950</f>
        <v/>
      </c>
      <c r="P1310" s="60" t="str">
        <f>Ringkasan!P950</f>
        <v/>
      </c>
      <c r="Q1310" s="60" t="str">
        <f>Ringkasan!Q950</f>
        <v/>
      </c>
      <c r="R1310" s="60" t="str">
        <f>Ringkasan!R950</f>
        <v/>
      </c>
      <c r="S1310" s="60" t="str">
        <f>Ringkasan!S950</f>
        <v/>
      </c>
      <c r="T1310" s="60" t="str">
        <f>Ringkasan!T950</f>
        <v/>
      </c>
      <c r="U1310" s="60">
        <f>Ringkasan!U950</f>
        <v>23</v>
      </c>
      <c r="V1310" s="60">
        <f>Ringkasan!V950</f>
        <v>8.7</v>
      </c>
      <c r="W1310" s="60">
        <f>Ringkasan!W950</f>
        <v>24</v>
      </c>
      <c r="X1310" s="60">
        <f>Ringkasan!X950</f>
        <v>25</v>
      </c>
      <c r="Y1310" s="60">
        <f>Ringkasan!Y950</f>
        <v>23</v>
      </c>
      <c r="Z1310" s="60">
        <f>Ringkasan!Z950</f>
        <v>19038400</v>
      </c>
      <c r="AA1310" s="60" t="str">
        <f>Ringkasan!AA950</f>
        <v>Auto Components</v>
      </c>
      <c r="AB1310" s="64" t="str">
        <f>Ringkasan!AB950</f>
        <v>Consumer Cyclicals</v>
      </c>
    </row>
    <row r="1311" hidden="1">
      <c r="A1311" s="64" t="str">
        <f>Ringkasan!A949</f>
        <v>IRSX</v>
      </c>
      <c r="B1311" s="64" t="str">
        <f>Ringkasan!B949</f>
        <v>Folago Global Nusantara Tbk.</v>
      </c>
      <c r="C1311" s="61">
        <f>Ringkasan!C949</f>
        <v>294</v>
      </c>
      <c r="D1311" s="60" t="str">
        <f>Ringkasan!D949</f>
        <v>#N/A</v>
      </c>
      <c r="E1311" s="60" t="str">
        <f>Ringkasan!E949</f>
        <v/>
      </c>
      <c r="F1311" s="60" t="str">
        <f>Ringkasan!F949</f>
        <v/>
      </c>
      <c r="G1311" s="60">
        <f>Ringkasan!G949</f>
        <v>0</v>
      </c>
      <c r="H1311" s="62">
        <f>Ringkasan!H949</f>
        <v>79.4</v>
      </c>
      <c r="I1311" s="62">
        <f>Ringkasan!I949</f>
        <v>7.3</v>
      </c>
      <c r="J1311" s="62">
        <f>Ringkasan!J949</f>
        <v>9.2</v>
      </c>
      <c r="K1311" s="62">
        <f>Ringkasan!K949</f>
        <v>7.9</v>
      </c>
      <c r="L1311" s="62">
        <f>Ringkasan!L949</f>
        <v>0.17</v>
      </c>
      <c r="M1311" s="62">
        <f>Ringkasan!M949</f>
        <v>17.1</v>
      </c>
      <c r="N1311" s="60" t="str">
        <f>Ringkasan!N949</f>
        <v/>
      </c>
      <c r="O1311" s="60" t="str">
        <f>Ringkasan!O949</f>
        <v/>
      </c>
      <c r="P1311" s="60" t="str">
        <f>Ringkasan!P949</f>
        <v/>
      </c>
      <c r="Q1311" s="60" t="str">
        <f>Ringkasan!Q949</f>
        <v/>
      </c>
      <c r="R1311" s="60" t="str">
        <f>Ringkasan!R949</f>
        <v/>
      </c>
      <c r="S1311" s="60" t="str">
        <f>Ringkasan!S949</f>
        <v/>
      </c>
      <c r="T1311" s="60" t="str">
        <f>Ringkasan!T949</f>
        <v/>
      </c>
      <c r="U1311" s="60">
        <f>Ringkasan!U949</f>
        <v>282</v>
      </c>
      <c r="V1311" s="60">
        <f>Ringkasan!V949</f>
        <v>4.26</v>
      </c>
      <c r="W1311" s="60">
        <f>Ringkasan!W949</f>
        <v>284</v>
      </c>
      <c r="X1311" s="60">
        <f>Ringkasan!X949</f>
        <v>326</v>
      </c>
      <c r="Y1311" s="60">
        <f>Ringkasan!Y949</f>
        <v>284</v>
      </c>
      <c r="Z1311" s="60">
        <f>Ringkasan!Z949</f>
        <v>86107800</v>
      </c>
      <c r="AA1311" s="60" t="str">
        <f>Ringkasan!AA949</f>
        <v>Software</v>
      </c>
      <c r="AB1311" s="64" t="str">
        <f>Ringkasan!AB949</f>
        <v>Technology</v>
      </c>
    </row>
    <row r="1312" hidden="1">
      <c r="A1312" s="60" t="str">
        <f>Ringkasan!A1071</f>
        <v>KOCI</v>
      </c>
      <c r="B1312" s="60" t="str">
        <f>Ringkasan!B1071</f>
        <v>PT Kokoh Exa Nusantara</v>
      </c>
      <c r="C1312" s="61">
        <f>Ringkasan!C1071</f>
        <v>88</v>
      </c>
      <c r="D1312" s="60" t="str">
        <f>Ringkasan!D1071</f>
        <v>#N/A</v>
      </c>
      <c r="E1312" s="60" t="str">
        <f>Ringkasan!E1071</f>
        <v/>
      </c>
      <c r="F1312" s="60" t="str">
        <f>Ringkasan!F1071</f>
        <v/>
      </c>
      <c r="G1312" s="60">
        <f>Ringkasan!G1071</f>
        <v>0</v>
      </c>
      <c r="H1312" s="62">
        <f>Ringkasan!H1071</f>
        <v>30.6</v>
      </c>
      <c r="I1312" s="62">
        <f>Ringkasan!I1071</f>
        <v>3.1</v>
      </c>
      <c r="J1312" s="62">
        <f>Ringkasan!J1071</f>
        <v>10</v>
      </c>
      <c r="K1312" s="62">
        <f>Ringkasan!K1071</f>
        <v>9.3</v>
      </c>
      <c r="L1312" s="62">
        <f>Ringkasan!L1071</f>
        <v>0.07</v>
      </c>
      <c r="M1312" s="62">
        <f>Ringkasan!M1071</f>
        <v>150</v>
      </c>
      <c r="N1312" s="60" t="str">
        <f>Ringkasan!N1071</f>
        <v/>
      </c>
      <c r="O1312" s="60" t="str">
        <f>Ringkasan!O1071</f>
        <v/>
      </c>
      <c r="P1312" s="60" t="str">
        <f>Ringkasan!P1071</f>
        <v/>
      </c>
      <c r="Q1312" s="60" t="str">
        <f>Ringkasan!Q1071</f>
        <v/>
      </c>
      <c r="R1312" s="60" t="str">
        <f>Ringkasan!R1071</f>
        <v/>
      </c>
      <c r="S1312" s="60" t="str">
        <f>Ringkasan!S1071</f>
        <v/>
      </c>
      <c r="T1312" s="60" t="str">
        <f>Ringkasan!T1071</f>
        <v/>
      </c>
      <c r="U1312" s="60">
        <f>Ringkasan!U1071</f>
        <v>81</v>
      </c>
      <c r="V1312" s="60" t="str">
        <f>Ringkasan!V1071</f>
        <v/>
      </c>
      <c r="W1312" s="60">
        <f>Ringkasan!W1071</f>
        <v>81</v>
      </c>
      <c r="X1312" s="60">
        <f>Ringkasan!X1071</f>
        <v>97</v>
      </c>
      <c r="Y1312" s="60">
        <f>Ringkasan!Y1071</f>
        <v>81</v>
      </c>
      <c r="Z1312" s="60">
        <f>Ringkasan!Z1071</f>
        <v>29069400</v>
      </c>
      <c r="AA1312" s="60" t="str">
        <f>Ringkasan!AA1071</f>
        <v>Real Estate Management &amp; Development</v>
      </c>
      <c r="AB1312" s="60" t="str">
        <f>Ringkasan!AB1071</f>
        <v>Properties &amp; Real Estate</v>
      </c>
    </row>
    <row r="1313" hidden="1">
      <c r="A1313" s="60" t="str">
        <f>Ringkasan!A1309</f>
        <v>NINE</v>
      </c>
      <c r="B1313" s="60" t="str">
        <f>Ringkasan!B1309</f>
        <v>PT Techno9 Indonesia Tbk</v>
      </c>
      <c r="C1313" s="61">
        <f>Ringkasan!C1309</f>
        <v>81</v>
      </c>
      <c r="D1313" s="60" t="str">
        <f>Ringkasan!D1309</f>
        <v>#N/A</v>
      </c>
      <c r="E1313" s="60" t="str">
        <f>Ringkasan!E1309</f>
        <v/>
      </c>
      <c r="F1313" s="60" t="str">
        <f>Ringkasan!F1309</f>
        <v/>
      </c>
      <c r="G1313" s="60">
        <f>Ringkasan!G1309</f>
        <v>0</v>
      </c>
      <c r="H1313" s="62">
        <f>Ringkasan!H1309</f>
        <v>-32.5</v>
      </c>
      <c r="I1313" s="62">
        <f>Ringkasan!I1309</f>
        <v>6.6</v>
      </c>
      <c r="J1313" s="62">
        <f>Ringkasan!J1309</f>
        <v>-20.3</v>
      </c>
      <c r="K1313" s="62">
        <f>Ringkasan!K1309</f>
        <v>-18.6</v>
      </c>
      <c r="L1313" s="62">
        <f>Ringkasan!L1309</f>
        <v>0.09</v>
      </c>
      <c r="M1313" s="62">
        <f>Ringkasan!M1309</f>
        <v>-560</v>
      </c>
      <c r="N1313" s="60" t="str">
        <f>Ringkasan!N1309</f>
        <v/>
      </c>
      <c r="O1313" s="60" t="str">
        <f>Ringkasan!O1309</f>
        <v/>
      </c>
      <c r="P1313" s="60" t="str">
        <f>Ringkasan!P1309</f>
        <v/>
      </c>
      <c r="Q1313" s="60" t="str">
        <f>Ringkasan!Q1309</f>
        <v/>
      </c>
      <c r="R1313" s="60" t="str">
        <f>Ringkasan!R1309</f>
        <v/>
      </c>
      <c r="S1313" s="60" t="str">
        <f>Ringkasan!S1309</f>
        <v/>
      </c>
      <c r="T1313" s="60" t="str">
        <f>Ringkasan!T1309</f>
        <v/>
      </c>
      <c r="U1313" s="60">
        <f>Ringkasan!U1309</f>
        <v>9.92</v>
      </c>
      <c r="V1313" s="60">
        <f>Ringkasan!V1309</f>
        <v>4.94</v>
      </c>
      <c r="W1313" s="60">
        <f>Ringkasan!W1309</f>
        <v>10.02</v>
      </c>
      <c r="X1313" s="60">
        <f>Ringkasan!X1309</f>
        <v>10.55</v>
      </c>
      <c r="Y1313" s="60">
        <f>Ringkasan!Y1309</f>
        <v>10.02</v>
      </c>
      <c r="Z1313" s="60">
        <f>Ringkasan!Z1309</f>
        <v>48874</v>
      </c>
      <c r="AA1313" s="60" t="str">
        <f>Ringkasan!AA1309</f>
        <v>Computer Hardware</v>
      </c>
      <c r="AB1313" s="60" t="str">
        <f>Ringkasan!AB1309</f>
        <v>Technology</v>
      </c>
    </row>
    <row r="1314" hidden="1">
      <c r="A1314" s="64" t="str">
        <f>Ringkasan!A1313</f>
        <v>NISP</v>
      </c>
      <c r="B1314" s="64" t="str">
        <f>Ringkasan!B1313</f>
        <v>PT Bank OCBC NISP Tbk</v>
      </c>
      <c r="C1314" s="65">
        <f>Ringkasan!C1313</f>
        <v>1230</v>
      </c>
      <c r="D1314" s="64" t="str">
        <f>Ringkasan!D1313</f>
        <v>#N/A</v>
      </c>
      <c r="E1314" s="64" t="str">
        <f>Ringkasan!E1313</f>
        <v>IDXVESTA28</v>
      </c>
      <c r="F1314" s="64" t="str">
        <f>Ringkasan!F1313</f>
        <v>31 Agustus 2026</v>
      </c>
      <c r="G1314" s="64">
        <f>Ringkasan!G1313</f>
        <v>4</v>
      </c>
      <c r="H1314" s="19">
        <f>Ringkasan!H1313</f>
        <v>5.8</v>
      </c>
      <c r="I1314" s="19">
        <f>Ringkasan!I1313</f>
        <v>0.67</v>
      </c>
      <c r="J1314" s="19">
        <f>Ringkasan!J1313</f>
        <v>11.5</v>
      </c>
      <c r="K1314" s="19">
        <f>Ringkasan!K1313</f>
        <v>1.6</v>
      </c>
      <c r="L1314" s="19">
        <f>Ringkasan!L1313</f>
        <v>6</v>
      </c>
      <c r="M1314" s="19">
        <f>Ringkasan!M1313</f>
        <v>100</v>
      </c>
      <c r="N1314" s="64">
        <f>Ringkasan!N1313</f>
        <v>5.4</v>
      </c>
      <c r="O1314" s="64">
        <f>Ringkasan!O1313</f>
        <v>23.2</v>
      </c>
      <c r="P1314" s="64">
        <f>Ringkasan!P1313</f>
        <v>83</v>
      </c>
      <c r="Q1314" s="64">
        <f>Ringkasan!Q1313</f>
        <v>1.9</v>
      </c>
      <c r="R1314" s="64">
        <f>Ringkasan!R1313</f>
        <v>65.9</v>
      </c>
      <c r="S1314" s="64">
        <f>Ringkasan!S1313</f>
        <v>42.4</v>
      </c>
      <c r="T1314" s="64">
        <f>Ringkasan!T1313</f>
        <v>5.9</v>
      </c>
      <c r="U1314" s="64">
        <f>Ringkasan!U1313</f>
        <v>1195</v>
      </c>
      <c r="V1314" s="64">
        <f>Ringkasan!V1313</f>
        <v>2.93</v>
      </c>
      <c r="W1314" s="64">
        <f>Ringkasan!W1313</f>
        <v>1200</v>
      </c>
      <c r="X1314" s="64">
        <f>Ringkasan!X1313</f>
        <v>1235</v>
      </c>
      <c r="Y1314" s="64">
        <f>Ringkasan!Y1313</f>
        <v>1190</v>
      </c>
      <c r="Z1314" s="64">
        <f>Ringkasan!Z1313</f>
        <v>4781000</v>
      </c>
      <c r="AA1314" s="64" t="str">
        <f>Ringkasan!AA1313</f>
        <v>Banks</v>
      </c>
      <c r="AB1314" s="64" t="str">
        <f>Ringkasan!AB1313</f>
        <v>Financials</v>
      </c>
    </row>
    <row r="1315" hidden="1">
      <c r="A1315" s="64" t="str">
        <f>Ringkasan!A1314</f>
        <v>NISP</v>
      </c>
      <c r="B1315" s="64" t="str">
        <f>Ringkasan!B1314</f>
        <v>PT Bank OCBC NISP Tbk</v>
      </c>
      <c r="C1315" s="65">
        <f>Ringkasan!C1314</f>
        <v>1230</v>
      </c>
      <c r="D1315" s="64" t="str">
        <f>Ringkasan!D1314</f>
        <v>#N/A</v>
      </c>
      <c r="E1315" s="64" t="str">
        <f>Ringkasan!E1314</f>
        <v>Infobank15</v>
      </c>
      <c r="F1315" s="64" t="str">
        <f>Ringkasan!F1314</f>
        <v>30 Juni 2026</v>
      </c>
      <c r="G1315" s="64">
        <f>Ringkasan!G1314</f>
        <v>4</v>
      </c>
      <c r="H1315" s="19">
        <f>Ringkasan!H1314</f>
        <v>5.8</v>
      </c>
      <c r="I1315" s="19">
        <f>Ringkasan!I1314</f>
        <v>0.67</v>
      </c>
      <c r="J1315" s="19">
        <f>Ringkasan!J1314</f>
        <v>11.5</v>
      </c>
      <c r="K1315" s="19">
        <f>Ringkasan!K1314</f>
        <v>1.6</v>
      </c>
      <c r="L1315" s="19">
        <f>Ringkasan!L1314</f>
        <v>6</v>
      </c>
      <c r="M1315" s="19">
        <f>Ringkasan!M1314</f>
        <v>100</v>
      </c>
      <c r="N1315" s="64">
        <f>Ringkasan!N1314</f>
        <v>5.4</v>
      </c>
      <c r="O1315" s="64">
        <f>Ringkasan!O1314</f>
        <v>23.2</v>
      </c>
      <c r="P1315" s="64">
        <f>Ringkasan!P1314</f>
        <v>83</v>
      </c>
      <c r="Q1315" s="64">
        <f>Ringkasan!Q1314</f>
        <v>1.9</v>
      </c>
      <c r="R1315" s="64">
        <f>Ringkasan!R1314</f>
        <v>65.9</v>
      </c>
      <c r="S1315" s="64">
        <f>Ringkasan!S1314</f>
        <v>42.4</v>
      </c>
      <c r="T1315" s="64">
        <f>Ringkasan!T1314</f>
        <v>5.9</v>
      </c>
      <c r="U1315" s="64">
        <f>Ringkasan!U1314</f>
        <v>1195</v>
      </c>
      <c r="V1315" s="64">
        <f>Ringkasan!V1314</f>
        <v>2.93</v>
      </c>
      <c r="W1315" s="64">
        <f>Ringkasan!W1314</f>
        <v>1200</v>
      </c>
      <c r="X1315" s="64">
        <f>Ringkasan!X1314</f>
        <v>1235</v>
      </c>
      <c r="Y1315" s="64">
        <f>Ringkasan!Y1314</f>
        <v>1190</v>
      </c>
      <c r="Z1315" s="64">
        <f>Ringkasan!Z1314</f>
        <v>4781000</v>
      </c>
      <c r="AA1315" s="64" t="str">
        <f>Ringkasan!AA1314</f>
        <v>Banks</v>
      </c>
      <c r="AB1315" s="64" t="str">
        <f>Ringkasan!AB1314</f>
        <v>Financials</v>
      </c>
    </row>
    <row r="1316" hidden="1">
      <c r="A1316" s="64" t="str">
        <f>Ringkasan!A1315</f>
        <v>NOBU</v>
      </c>
      <c r="B1316" s="64" t="str">
        <f>Ringkasan!B1315</f>
        <v>PT Bank Nationalnobu Tbk.</v>
      </c>
      <c r="C1316" s="65">
        <f>Ringkasan!C1315</f>
        <v>440</v>
      </c>
      <c r="D1316" s="64" t="str">
        <f>Ringkasan!D1315</f>
        <v>#N/A</v>
      </c>
      <c r="E1316" s="64" t="str">
        <f>Ringkasan!E1315</f>
        <v/>
      </c>
      <c r="F1316" s="64" t="str">
        <f>Ringkasan!F1315</f>
        <v/>
      </c>
      <c r="G1316" s="64">
        <f>Ringkasan!G1315</f>
        <v>0</v>
      </c>
      <c r="H1316" s="19">
        <f>Ringkasan!H1315</f>
        <v>6.6</v>
      </c>
      <c r="I1316" s="19">
        <f>Ringkasan!I1315</f>
        <v>0.8</v>
      </c>
      <c r="J1316" s="19">
        <f>Ringkasan!J1315</f>
        <v>12.2</v>
      </c>
      <c r="K1316" s="19">
        <f>Ringkasan!K1315</f>
        <v>1.3</v>
      </c>
      <c r="L1316" s="19">
        <f>Ringkasan!L1315</f>
        <v>8.8</v>
      </c>
      <c r="M1316" s="19">
        <f>Ringkasan!M1315</f>
        <v>63.3</v>
      </c>
      <c r="N1316" s="64" t="str">
        <f>Ringkasan!N1315</f>
        <v/>
      </c>
      <c r="O1316" s="64">
        <f>Ringkasan!O1315</f>
        <v>23.84</v>
      </c>
      <c r="P1316" s="64" t="str">
        <f>Ringkasan!P1315</f>
        <v/>
      </c>
      <c r="Q1316" s="64" t="str">
        <f>Ringkasan!Q1315</f>
        <v/>
      </c>
      <c r="R1316" s="64" t="str">
        <f>Ringkasan!R1315</f>
        <v/>
      </c>
      <c r="S1316" s="64" t="str">
        <f>Ringkasan!S1315</f>
        <v/>
      </c>
      <c r="T1316" s="64" t="str">
        <f>Ringkasan!T1315</f>
        <v/>
      </c>
      <c r="U1316" s="64">
        <f>Ringkasan!U1315</f>
        <v>426</v>
      </c>
      <c r="V1316" s="64">
        <f>Ringkasan!V1315</f>
        <v>3.29</v>
      </c>
      <c r="W1316" s="64">
        <f>Ringkasan!W1315</f>
        <v>430</v>
      </c>
      <c r="X1316" s="64">
        <f>Ringkasan!X1315</f>
        <v>454</v>
      </c>
      <c r="Y1316" s="64">
        <f>Ringkasan!Y1315</f>
        <v>430</v>
      </c>
      <c r="Z1316" s="64">
        <f>Ringkasan!Z1315</f>
        <v>1907900</v>
      </c>
      <c r="AA1316" s="64" t="str">
        <f>Ringkasan!AA1315</f>
        <v>Banks</v>
      </c>
      <c r="AB1316" s="64" t="str">
        <f>Ringkasan!AB1315</f>
        <v>Financials</v>
      </c>
    </row>
    <row r="1317" hidden="1">
      <c r="A1317" s="60" t="str">
        <f>Ringkasan!A1310</f>
        <v>NIRO</v>
      </c>
      <c r="B1317" s="60" t="str">
        <f>Ringkasan!B1310</f>
        <v>City Retail Developments Tbk.</v>
      </c>
      <c r="C1317" s="61">
        <f>Ringkasan!C1310</f>
        <v>151</v>
      </c>
      <c r="D1317" s="60" t="str">
        <f>Ringkasan!D1310</f>
        <v>#N/A</v>
      </c>
      <c r="E1317" s="60" t="str">
        <f>Ringkasan!E1310</f>
        <v/>
      </c>
      <c r="F1317" s="60" t="str">
        <f>Ringkasan!F1310</f>
        <v/>
      </c>
      <c r="G1317" s="60">
        <f>Ringkasan!G1310</f>
        <v>0</v>
      </c>
      <c r="H1317" s="62">
        <f>Ringkasan!H1310</f>
        <v>-18.6</v>
      </c>
      <c r="I1317" s="62">
        <f>Ringkasan!I1310</f>
        <v>0.77</v>
      </c>
      <c r="J1317" s="62">
        <f>Ringkasan!J1310</f>
        <v>-4.1</v>
      </c>
      <c r="K1317" s="62">
        <f>Ringkasan!K1310</f>
        <v>-1.4</v>
      </c>
      <c r="L1317" s="62">
        <f>Ringkasan!L1310</f>
        <v>2.1</v>
      </c>
      <c r="M1317" s="62">
        <f>Ringkasan!M1310</f>
        <v>-47.2</v>
      </c>
      <c r="N1317" s="60" t="str">
        <f>Ringkasan!N1310</f>
        <v/>
      </c>
      <c r="O1317" s="60" t="str">
        <f>Ringkasan!O1310</f>
        <v/>
      </c>
      <c r="P1317" s="60" t="str">
        <f>Ringkasan!P1310</f>
        <v/>
      </c>
      <c r="Q1317" s="60" t="str">
        <f>Ringkasan!Q1310</f>
        <v/>
      </c>
      <c r="R1317" s="60" t="str">
        <f>Ringkasan!R1310</f>
        <v/>
      </c>
      <c r="S1317" s="60" t="str">
        <f>Ringkasan!S1310</f>
        <v/>
      </c>
      <c r="T1317" s="60" t="str">
        <f>Ringkasan!T1310</f>
        <v/>
      </c>
      <c r="U1317" s="60">
        <f>Ringkasan!U1310</f>
        <v>148</v>
      </c>
      <c r="V1317" s="60">
        <f>Ringkasan!V1310</f>
        <v>2.03</v>
      </c>
      <c r="W1317" s="60">
        <f>Ringkasan!W1310</f>
        <v>146</v>
      </c>
      <c r="X1317" s="60">
        <f>Ringkasan!X1310</f>
        <v>160</v>
      </c>
      <c r="Y1317" s="60">
        <f>Ringkasan!Y1310</f>
        <v>142</v>
      </c>
      <c r="Z1317" s="60">
        <f>Ringkasan!Z1310</f>
        <v>740700</v>
      </c>
      <c r="AA1317" s="60" t="str">
        <f>Ringkasan!AA1310</f>
        <v>Real Estate Management &amp; Development</v>
      </c>
      <c r="AB1317" s="60" t="str">
        <f>Ringkasan!AB1310</f>
        <v>Properties &amp; Real Estate</v>
      </c>
    </row>
    <row r="1318" hidden="1">
      <c r="A1318" s="64" t="str">
        <f>Ringkasan!A1317</f>
        <v>NRCA</v>
      </c>
      <c r="B1318" s="64" t="str">
        <f>Ringkasan!B1317</f>
        <v>PT Nusa Raya Cipta Tbk.</v>
      </c>
      <c r="C1318" s="65" t="str">
        <f>Ringkasan!C1317</f>
        <v>#N/A</v>
      </c>
      <c r="D1318" s="64" t="str">
        <f>Ringkasan!D1317</f>
        <v>#N/A</v>
      </c>
      <c r="E1318" s="64" t="str">
        <f>Ringkasan!E1317</f>
        <v/>
      </c>
      <c r="F1318" s="64" t="str">
        <f>Ringkasan!F1317</f>
        <v/>
      </c>
      <c r="G1318" s="64">
        <f>Ringkasan!G1317</f>
        <v>0</v>
      </c>
      <c r="H1318" s="19">
        <f>Ringkasan!H1317</f>
        <v>7.1</v>
      </c>
      <c r="I1318" s="19">
        <f>Ringkasan!I1317</f>
        <v>0.87</v>
      </c>
      <c r="J1318" s="19">
        <f>Ringkasan!J1317</f>
        <v>12.3</v>
      </c>
      <c r="K1318" s="19">
        <f>Ringkasan!K1317</f>
        <v>5.9</v>
      </c>
      <c r="L1318" s="19">
        <f>Ringkasan!L1317</f>
        <v>1.1</v>
      </c>
      <c r="M1318" s="19">
        <f>Ringkasan!M1317</f>
        <v>20.7</v>
      </c>
      <c r="N1318" s="64" t="str">
        <f>Ringkasan!N1317</f>
        <v/>
      </c>
      <c r="O1318" s="64" t="str">
        <f>Ringkasan!O1317</f>
        <v/>
      </c>
      <c r="P1318" s="64" t="str">
        <f>Ringkasan!P1317</f>
        <v/>
      </c>
      <c r="Q1318" s="64" t="str">
        <f>Ringkasan!Q1317</f>
        <v/>
      </c>
      <c r="R1318" s="64" t="str">
        <f>Ringkasan!R1317</f>
        <v/>
      </c>
      <c r="S1318" s="64" t="str">
        <f>Ringkasan!S1317</f>
        <v/>
      </c>
      <c r="T1318" s="64" t="str">
        <f>Ringkasan!T1317</f>
        <v/>
      </c>
      <c r="U1318" s="64">
        <f>Ringkasan!U1317</f>
        <v>400</v>
      </c>
      <c r="V1318" s="64">
        <f>Ringkasan!V1317</f>
        <v>3.5</v>
      </c>
      <c r="W1318" s="64">
        <f>Ringkasan!W1317</f>
        <v>400</v>
      </c>
      <c r="X1318" s="64">
        <f>Ringkasan!X1317</f>
        <v>422</v>
      </c>
      <c r="Y1318" s="64">
        <f>Ringkasan!Y1317</f>
        <v>400</v>
      </c>
      <c r="Z1318" s="64">
        <f>Ringkasan!Z1317</f>
        <v>4115900</v>
      </c>
      <c r="AA1318" s="64" t="str">
        <f>Ringkasan!AA1317</f>
        <v>Heavy Constructions &amp; Civil Engineering</v>
      </c>
      <c r="AB1318" s="64" t="str">
        <f>Ringkasan!AB1317</f>
        <v>Infrastructures</v>
      </c>
    </row>
    <row r="1319" hidden="1">
      <c r="A1319" s="64" t="str">
        <f>Ringkasan!A1318</f>
        <v>NSSS</v>
      </c>
      <c r="B1319" s="64" t="str">
        <f>Ringkasan!B1318</f>
        <v>PT Nusantara Sawit Sejahtera Tbk</v>
      </c>
      <c r="C1319" s="65">
        <f>Ringkasan!C1318</f>
        <v>442</v>
      </c>
      <c r="D1319" s="64" t="str">
        <f>Ringkasan!D1318</f>
        <v>#N/A</v>
      </c>
      <c r="E1319" s="64" t="str">
        <f>Ringkasan!E1318</f>
        <v/>
      </c>
      <c r="F1319" s="64" t="str">
        <f>Ringkasan!F1318</f>
        <v/>
      </c>
      <c r="G1319" s="64">
        <f>Ringkasan!G1318</f>
        <v>0</v>
      </c>
      <c r="H1319" s="19">
        <f>Ringkasan!H1318</f>
        <v>17.5</v>
      </c>
      <c r="I1319" s="19">
        <f>Ringkasan!I1318</f>
        <v>5.3</v>
      </c>
      <c r="J1319" s="19">
        <f>Ringkasan!J1318</f>
        <v>30.1</v>
      </c>
      <c r="K1319" s="19">
        <f>Ringkasan!K1318</f>
        <v>14.8</v>
      </c>
      <c r="L1319" s="19">
        <f>Ringkasan!L1318</f>
        <v>1</v>
      </c>
      <c r="M1319" s="19">
        <f>Ringkasan!M1318</f>
        <v>120</v>
      </c>
      <c r="N1319" s="64" t="str">
        <f>Ringkasan!N1318</f>
        <v/>
      </c>
      <c r="O1319" s="64" t="str">
        <f>Ringkasan!O1318</f>
        <v/>
      </c>
      <c r="P1319" s="64" t="str">
        <f>Ringkasan!P1318</f>
        <v/>
      </c>
      <c r="Q1319" s="64" t="str">
        <f>Ringkasan!Q1318</f>
        <v/>
      </c>
      <c r="R1319" s="64" t="str">
        <f>Ringkasan!R1318</f>
        <v/>
      </c>
      <c r="S1319" s="64" t="str">
        <f>Ringkasan!S1318</f>
        <v/>
      </c>
      <c r="T1319" s="64" t="str">
        <f>Ringkasan!T1318</f>
        <v/>
      </c>
      <c r="U1319" s="64">
        <f>Ringkasan!U1318</f>
        <v>366</v>
      </c>
      <c r="V1319" s="64">
        <f>Ringkasan!V1318</f>
        <v>20.77</v>
      </c>
      <c r="W1319" s="64">
        <f>Ringkasan!W1318</f>
        <v>370</v>
      </c>
      <c r="X1319" s="64">
        <f>Ringkasan!X1318</f>
        <v>454</v>
      </c>
      <c r="Y1319" s="64">
        <f>Ringkasan!Y1318</f>
        <v>370</v>
      </c>
      <c r="Z1319" s="64">
        <f>Ringkasan!Z1318</f>
        <v>27851400</v>
      </c>
      <c r="AA1319" s="64" t="str">
        <f>Ringkasan!AA1318</f>
        <v>Agricultural Products</v>
      </c>
      <c r="AB1319" s="64" t="str">
        <f>Ringkasan!AB1318</f>
        <v>Consumer Non-Cyclicals</v>
      </c>
    </row>
    <row r="1320" hidden="1">
      <c r="A1320" s="64" t="str">
        <f>Ringkasan!A1319</f>
        <v>NTBK</v>
      </c>
      <c r="B1320" s="64" t="str">
        <f>Ringkasan!B1319</f>
        <v>Nusatama Berkah Tbk.</v>
      </c>
      <c r="C1320" s="65" t="str">
        <f>Ringkasan!C1319</f>
        <v>#N/A</v>
      </c>
      <c r="D1320" s="64" t="str">
        <f>Ringkasan!D1319</f>
        <v>#N/A</v>
      </c>
      <c r="E1320" s="64" t="str">
        <f>Ringkasan!E1319</f>
        <v/>
      </c>
      <c r="F1320" s="64" t="str">
        <f>Ringkasan!F1319</f>
        <v/>
      </c>
      <c r="G1320" s="64">
        <f>Ringkasan!G1319</f>
        <v>0</v>
      </c>
      <c r="H1320" s="19">
        <f>Ringkasan!H1319</f>
        <v>-170</v>
      </c>
      <c r="I1320" s="19">
        <f>Ringkasan!I1319</f>
        <v>2.2</v>
      </c>
      <c r="J1320" s="19">
        <f>Ringkasan!J1319</f>
        <v>-1.3</v>
      </c>
      <c r="K1320" s="19">
        <f>Ringkasan!K1319</f>
        <v>-0.79</v>
      </c>
      <c r="L1320" s="19">
        <f>Ringkasan!L1319</f>
        <v>0.63</v>
      </c>
      <c r="M1320" s="19">
        <f>Ringkasan!M1319</f>
        <v>-7.7</v>
      </c>
      <c r="N1320" s="64" t="str">
        <f>Ringkasan!N1319</f>
        <v/>
      </c>
      <c r="O1320" s="64" t="str">
        <f>Ringkasan!O1319</f>
        <v/>
      </c>
      <c r="P1320" s="64" t="str">
        <f>Ringkasan!P1319</f>
        <v/>
      </c>
      <c r="Q1320" s="64" t="str">
        <f>Ringkasan!Q1319</f>
        <v/>
      </c>
      <c r="R1320" s="64" t="str">
        <f>Ringkasan!R1319</f>
        <v/>
      </c>
      <c r="S1320" s="64" t="str">
        <f>Ringkasan!S1319</f>
        <v/>
      </c>
      <c r="T1320" s="64" t="str">
        <f>Ringkasan!T1319</f>
        <v/>
      </c>
      <c r="U1320" s="64">
        <f>Ringkasan!U1319</f>
        <v>55</v>
      </c>
      <c r="V1320" s="64">
        <f>Ringkasan!V1319</f>
        <v>7.27</v>
      </c>
      <c r="W1320" s="64">
        <f>Ringkasan!W1319</f>
        <v>56</v>
      </c>
      <c r="X1320" s="64">
        <f>Ringkasan!X1319</f>
        <v>63</v>
      </c>
      <c r="Y1320" s="64">
        <f>Ringkasan!Y1319</f>
        <v>56</v>
      </c>
      <c r="Z1320" s="64">
        <f>Ringkasan!Z1319</f>
        <v>46303600</v>
      </c>
      <c r="AA1320" s="64" t="str">
        <f>Ringkasan!AA1319</f>
        <v>Machinery</v>
      </c>
      <c r="AB1320" s="64" t="str">
        <f>Ringkasan!AB1319</f>
        <v>Industrials</v>
      </c>
    </row>
    <row r="1321" hidden="1">
      <c r="A1321" s="64" t="str">
        <f>Ringkasan!A1320</f>
        <v>NUSA</v>
      </c>
      <c r="B1321" s="64" t="str">
        <f>Ringkasan!B1320</f>
        <v>Sinergi Megah Internusa Tbk.</v>
      </c>
      <c r="C1321" s="65">
        <f>Ringkasan!C1320</f>
        <v>50</v>
      </c>
      <c r="D1321" s="64" t="str">
        <f>Ringkasan!D1320</f>
        <v>#N/A</v>
      </c>
      <c r="E1321" s="64" t="str">
        <f>Ringkasan!E1320</f>
        <v/>
      </c>
      <c r="F1321" s="64" t="str">
        <f>Ringkasan!F1320</f>
        <v/>
      </c>
      <c r="G1321" s="64">
        <f>Ringkasan!G1320</f>
        <v>0</v>
      </c>
      <c r="H1321" s="19">
        <f>Ringkasan!H1320</f>
        <v>0</v>
      </c>
      <c r="I1321" s="19">
        <f>Ringkasan!I1320</f>
        <v>0.51</v>
      </c>
      <c r="J1321" s="19">
        <f>Ringkasan!J1320</f>
        <v>-1.6</v>
      </c>
      <c r="K1321" s="19">
        <f>Ringkasan!K1320</f>
        <v>-1.4</v>
      </c>
      <c r="L1321" s="19">
        <f>Ringkasan!L1320</f>
        <v>0.09</v>
      </c>
      <c r="M1321" s="19">
        <f>Ringkasan!M1320</f>
        <v>-130</v>
      </c>
      <c r="N1321" s="64" t="str">
        <f>Ringkasan!N1320</f>
        <v/>
      </c>
      <c r="O1321" s="64" t="str">
        <f>Ringkasan!O1320</f>
        <v/>
      </c>
      <c r="P1321" s="64" t="str">
        <f>Ringkasan!P1320</f>
        <v/>
      </c>
      <c r="Q1321" s="64" t="str">
        <f>Ringkasan!Q1320</f>
        <v/>
      </c>
      <c r="R1321" s="64" t="str">
        <f>Ringkasan!R1320</f>
        <v/>
      </c>
      <c r="S1321" s="64" t="str">
        <f>Ringkasan!S1320</f>
        <v/>
      </c>
      <c r="T1321" s="64" t="str">
        <f>Ringkasan!T1320</f>
        <v/>
      </c>
      <c r="U1321" s="64">
        <f>Ringkasan!U1320</f>
        <v>23.16</v>
      </c>
      <c r="V1321" s="64">
        <f>Ringkasan!V1320</f>
        <v>-0.06</v>
      </c>
      <c r="W1321" s="64">
        <f>Ringkasan!W1320</f>
        <v>23.14</v>
      </c>
      <c r="X1321" s="64">
        <f>Ringkasan!X1320</f>
        <v>23.15</v>
      </c>
      <c r="Y1321" s="64" t="str">
        <f>Ringkasan!Y1320</f>
        <v/>
      </c>
      <c r="Z1321" s="64">
        <f>Ringkasan!Z1320</f>
        <v>101</v>
      </c>
      <c r="AA1321" s="64" t="str">
        <f>Ringkasan!AA1320</f>
        <v>Tourism &amp; Recreation</v>
      </c>
      <c r="AB1321" s="64" t="str">
        <f>Ringkasan!AB1320</f>
        <v>Consumer Cyclicals</v>
      </c>
    </row>
    <row r="1322" hidden="1">
      <c r="A1322" s="64" t="str">
        <f>Ringkasan!A1321</f>
        <v>NZIA</v>
      </c>
      <c r="B1322" s="64" t="str">
        <f>Ringkasan!B1321</f>
        <v>Nusantara Almazia Tbk.</v>
      </c>
      <c r="C1322" s="65">
        <f>Ringkasan!C1321</f>
        <v>177</v>
      </c>
      <c r="D1322" s="64" t="str">
        <f>Ringkasan!D1321</f>
        <v>#N/A</v>
      </c>
      <c r="E1322" s="64" t="str">
        <f>Ringkasan!E1321</f>
        <v/>
      </c>
      <c r="F1322" s="64" t="str">
        <f>Ringkasan!F1321</f>
        <v/>
      </c>
      <c r="G1322" s="64">
        <f>Ringkasan!G1321</f>
        <v>0</v>
      </c>
      <c r="H1322" s="19">
        <f>Ringkasan!H1321</f>
        <v>-21.2</v>
      </c>
      <c r="I1322" s="19">
        <f>Ringkasan!I1321</f>
        <v>0.61</v>
      </c>
      <c r="J1322" s="19">
        <f>Ringkasan!J1321</f>
        <v>-2.9</v>
      </c>
      <c r="K1322" s="19">
        <f>Ringkasan!K1321</f>
        <v>-2.5</v>
      </c>
      <c r="L1322" s="19">
        <f>Ringkasan!L1321</f>
        <v>0.17</v>
      </c>
      <c r="M1322" s="19">
        <f>Ringkasan!M1321</f>
        <v>-310</v>
      </c>
      <c r="N1322" s="64" t="str">
        <f>Ringkasan!N1321</f>
        <v/>
      </c>
      <c r="O1322" s="64" t="str">
        <f>Ringkasan!O1321</f>
        <v/>
      </c>
      <c r="P1322" s="64" t="str">
        <f>Ringkasan!P1321</f>
        <v/>
      </c>
      <c r="Q1322" s="64" t="str">
        <f>Ringkasan!Q1321</f>
        <v/>
      </c>
      <c r="R1322" s="64" t="str">
        <f>Ringkasan!R1321</f>
        <v/>
      </c>
      <c r="S1322" s="64" t="str">
        <f>Ringkasan!S1321</f>
        <v/>
      </c>
      <c r="T1322" s="64" t="str">
        <f>Ringkasan!T1321</f>
        <v/>
      </c>
      <c r="U1322" s="64">
        <f>Ringkasan!U1321</f>
        <v>168</v>
      </c>
      <c r="V1322" s="64">
        <f>Ringkasan!V1321</f>
        <v>5.36</v>
      </c>
      <c r="W1322" s="64">
        <f>Ringkasan!W1321</f>
        <v>170</v>
      </c>
      <c r="X1322" s="64">
        <f>Ringkasan!X1321</f>
        <v>183</v>
      </c>
      <c r="Y1322" s="64" t="str">
        <f>Ringkasan!Y1321</f>
        <v/>
      </c>
      <c r="Z1322" s="64">
        <f>Ringkasan!Z1321</f>
        <v>12398000</v>
      </c>
      <c r="AA1322" s="64" t="str">
        <f>Ringkasan!AA1321</f>
        <v>Real Estate Management &amp; Development</v>
      </c>
      <c r="AB1322" s="64" t="str">
        <f>Ringkasan!AB1321</f>
        <v>Properties &amp; Real Estate</v>
      </c>
    </row>
    <row r="1323" hidden="1">
      <c r="A1323" s="64" t="str">
        <f>Ringkasan!A1322</f>
        <v>OASA</v>
      </c>
      <c r="B1323" s="64" t="str">
        <f>Ringkasan!B1322</f>
        <v>PT Protech Mitra Perkasa Tbk</v>
      </c>
      <c r="C1323" s="65">
        <f>Ringkasan!C1322</f>
        <v>260</v>
      </c>
      <c r="D1323" s="64" t="str">
        <f>Ringkasan!D1322</f>
        <v>#N/A</v>
      </c>
      <c r="E1323" s="64" t="str">
        <f>Ringkasan!E1322</f>
        <v/>
      </c>
      <c r="F1323" s="64" t="str">
        <f>Ringkasan!F1322</f>
        <v/>
      </c>
      <c r="G1323" s="64">
        <f>Ringkasan!G1322</f>
        <v>0</v>
      </c>
      <c r="H1323" s="19">
        <f>Ringkasan!H1322</f>
        <v>-29.1</v>
      </c>
      <c r="I1323" s="19">
        <f>Ringkasan!I1322</f>
        <v>3.8</v>
      </c>
      <c r="J1323" s="19">
        <f>Ringkasan!J1322</f>
        <v>-13</v>
      </c>
      <c r="K1323" s="19">
        <f>Ringkasan!K1322</f>
        <v>-11.5</v>
      </c>
      <c r="L1323" s="19">
        <f>Ringkasan!L1322</f>
        <v>0.13</v>
      </c>
      <c r="M1323" s="19">
        <f>Ringkasan!M1322</f>
        <v>-250</v>
      </c>
      <c r="N1323" s="64" t="str">
        <f>Ringkasan!N1322</f>
        <v/>
      </c>
      <c r="O1323" s="64" t="str">
        <f>Ringkasan!O1322</f>
        <v/>
      </c>
      <c r="P1323" s="64" t="str">
        <f>Ringkasan!P1322</f>
        <v/>
      </c>
      <c r="Q1323" s="64" t="str">
        <f>Ringkasan!Q1322</f>
        <v/>
      </c>
      <c r="R1323" s="64" t="str">
        <f>Ringkasan!R1322</f>
        <v/>
      </c>
      <c r="S1323" s="64" t="str">
        <f>Ringkasan!S1322</f>
        <v/>
      </c>
      <c r="T1323" s="64" t="str">
        <f>Ringkasan!T1322</f>
        <v/>
      </c>
      <c r="U1323" s="64">
        <f>Ringkasan!U1322</f>
        <v>236</v>
      </c>
      <c r="V1323" s="64">
        <f>Ringkasan!V1322</f>
        <v>10.17</v>
      </c>
      <c r="W1323" s="64">
        <f>Ringkasan!W1322</f>
        <v>240</v>
      </c>
      <c r="X1323" s="64">
        <f>Ringkasan!X1322</f>
        <v>262</v>
      </c>
      <c r="Y1323" s="64">
        <f>Ringkasan!Y1322</f>
        <v>240</v>
      </c>
      <c r="Z1323" s="64">
        <f>Ringkasan!Z1322</f>
        <v>45585200</v>
      </c>
      <c r="AA1323" s="64" t="str">
        <f>Ringkasan!AA1322</f>
        <v>Wireless Telecommunication Services</v>
      </c>
      <c r="AB1323" s="64" t="str">
        <f>Ringkasan!AB1322</f>
        <v>Infrastructures</v>
      </c>
    </row>
    <row r="1324" hidden="1">
      <c r="A1324" s="64" t="str">
        <f>Ringkasan!A1323</f>
        <v>OBAT</v>
      </c>
      <c r="B1324" s="64" t="str">
        <f>Ringkasan!B1323</f>
        <v>Brigit Biofarmaka Teknologi Tbk.</v>
      </c>
      <c r="C1324" s="65">
        <f>Ringkasan!C1323</f>
        <v>234</v>
      </c>
      <c r="D1324" s="64" t="str">
        <f>Ringkasan!D1323</f>
        <v>#N/A</v>
      </c>
      <c r="E1324" s="64" t="str">
        <f>Ringkasan!E1323</f>
        <v/>
      </c>
      <c r="F1324" s="64" t="str">
        <f>Ringkasan!F1323</f>
        <v/>
      </c>
      <c r="G1324" s="65">
        <f>Ringkasan!G1323</f>
        <v>0</v>
      </c>
      <c r="H1324" s="19">
        <f>Ringkasan!H1323</f>
        <v>10</v>
      </c>
      <c r="I1324" s="19">
        <f>Ringkasan!I1323</f>
        <v>1.3</v>
      </c>
      <c r="J1324" s="19">
        <f>Ringkasan!J1323</f>
        <v>13.2</v>
      </c>
      <c r="K1324" s="19">
        <f>Ringkasan!K1323</f>
        <v>11.3</v>
      </c>
      <c r="L1324" s="19">
        <f>Ringkasan!L1323</f>
        <v>0.17</v>
      </c>
      <c r="M1324" s="19">
        <f>Ringkasan!M1323</f>
        <v>43</v>
      </c>
      <c r="N1324" s="64" t="str">
        <f>Ringkasan!N1323</f>
        <v/>
      </c>
      <c r="O1324" s="64" t="str">
        <f>Ringkasan!O1323</f>
        <v/>
      </c>
      <c r="P1324" s="64" t="str">
        <f>Ringkasan!P1323</f>
        <v/>
      </c>
      <c r="Q1324" s="64" t="str">
        <f>Ringkasan!Q1323</f>
        <v/>
      </c>
      <c r="R1324" s="64" t="str">
        <f>Ringkasan!R1323</f>
        <v/>
      </c>
      <c r="S1324" s="64" t="str">
        <f>Ringkasan!S1323</f>
        <v/>
      </c>
      <c r="T1324" s="64" t="str">
        <f>Ringkasan!T1323</f>
        <v/>
      </c>
      <c r="U1324" s="64">
        <f>Ringkasan!U1323</f>
        <v>230</v>
      </c>
      <c r="V1324" s="64">
        <f>Ringkasan!V1323</f>
        <v>1.74</v>
      </c>
      <c r="W1324" s="64">
        <f>Ringkasan!W1323</f>
        <v>230</v>
      </c>
      <c r="X1324" s="64">
        <f>Ringkasan!X1323</f>
        <v>244</v>
      </c>
      <c r="Y1324" s="64">
        <f>Ringkasan!Y1323</f>
        <v>228</v>
      </c>
      <c r="Z1324" s="64">
        <f>Ringkasan!Z1323</f>
        <v>244500</v>
      </c>
      <c r="AA1324" s="64" t="str">
        <f>Ringkasan!AA1323</f>
        <v>Pharmaceuticals</v>
      </c>
      <c r="AB1324" s="64" t="str">
        <f>Ringkasan!AB1323</f>
        <v>Healthcare</v>
      </c>
    </row>
    <row r="1325" hidden="1">
      <c r="A1325" s="64" t="str">
        <f>Ringkasan!A1324</f>
        <v>OBMD</v>
      </c>
      <c r="B1325" s="64" t="str">
        <f>Ringkasan!B1324</f>
        <v>OBM Drilchem Tbk.</v>
      </c>
      <c r="C1325" s="65">
        <f>Ringkasan!C1324</f>
        <v>164</v>
      </c>
      <c r="D1325" s="64" t="str">
        <f>Ringkasan!D1324</f>
        <v>#N/A</v>
      </c>
      <c r="E1325" s="64" t="str">
        <f>Ringkasan!E1324</f>
        <v/>
      </c>
      <c r="F1325" s="64" t="str">
        <f>Ringkasan!F1324</f>
        <v/>
      </c>
      <c r="G1325" s="65">
        <f>Ringkasan!G1324</f>
        <v>0</v>
      </c>
      <c r="H1325" s="19">
        <f>Ringkasan!H1324</f>
        <v>4.9</v>
      </c>
      <c r="I1325" s="19">
        <f>Ringkasan!I1324</f>
        <v>0.8</v>
      </c>
      <c r="J1325" s="19">
        <f>Ringkasan!J1324</f>
        <v>16.3</v>
      </c>
      <c r="K1325" s="19">
        <f>Ringkasan!K1324</f>
        <v>14.8</v>
      </c>
      <c r="L1325" s="19">
        <f>Ringkasan!L1324</f>
        <v>0.1</v>
      </c>
      <c r="M1325" s="19">
        <f>Ringkasan!M1324</f>
        <v>19.7</v>
      </c>
      <c r="N1325" s="64" t="str">
        <f>Ringkasan!N1324</f>
        <v/>
      </c>
      <c r="O1325" s="64" t="str">
        <f>Ringkasan!O1324</f>
        <v/>
      </c>
      <c r="P1325" s="64" t="str">
        <f>Ringkasan!P1324</f>
        <v/>
      </c>
      <c r="Q1325" s="64" t="str">
        <f>Ringkasan!Q1324</f>
        <v/>
      </c>
      <c r="R1325" s="64" t="str">
        <f>Ringkasan!R1324</f>
        <v/>
      </c>
      <c r="S1325" s="64" t="str">
        <f>Ringkasan!S1324</f>
        <v/>
      </c>
      <c r="T1325" s="64" t="str">
        <f>Ringkasan!T1324</f>
        <v/>
      </c>
      <c r="U1325" s="64">
        <f>Ringkasan!U1324</f>
        <v>164</v>
      </c>
      <c r="V1325" s="64">
        <f>Ringkasan!V1324</f>
        <v>0</v>
      </c>
      <c r="W1325" s="64">
        <f>Ringkasan!W1324</f>
        <v>164</v>
      </c>
      <c r="X1325" s="64">
        <f>Ringkasan!X1324</f>
        <v>167</v>
      </c>
      <c r="Y1325" s="64">
        <f>Ringkasan!Y1324</f>
        <v>152</v>
      </c>
      <c r="Z1325" s="64">
        <f>Ringkasan!Z1324</f>
        <v>956400</v>
      </c>
      <c r="AA1325" s="64" t="str">
        <f>Ringkasan!AA1324</f>
        <v>Chemicals</v>
      </c>
      <c r="AB1325" s="64" t="str">
        <f>Ringkasan!AB1324</f>
        <v>Basic Materials</v>
      </c>
    </row>
    <row r="1326" hidden="1">
      <c r="A1326" s="60" t="str">
        <f>Ringkasan!A1325</f>
        <v>OCAP</v>
      </c>
      <c r="B1326" s="60" t="str">
        <f>Ringkasan!B1325</f>
        <v>Onix Capital Tbk.</v>
      </c>
      <c r="C1326" s="61">
        <f>Ringkasan!C1325</f>
        <v>159</v>
      </c>
      <c r="D1326" s="60" t="str">
        <f>Ringkasan!D1325</f>
        <v>#N/A</v>
      </c>
      <c r="E1326" s="60" t="str">
        <f>Ringkasan!E1325</f>
        <v/>
      </c>
      <c r="F1326" s="60" t="str">
        <f>Ringkasan!F1325</f>
        <v/>
      </c>
      <c r="G1326" s="60">
        <f>Ringkasan!G1325</f>
        <v>0</v>
      </c>
      <c r="H1326" s="62">
        <f>Ringkasan!H1325</f>
        <v>-1.9</v>
      </c>
      <c r="I1326" s="62">
        <f>Ringkasan!I1325</f>
        <v>-0.15</v>
      </c>
      <c r="J1326" s="62">
        <f>Ringkasan!J1325</f>
        <v>0</v>
      </c>
      <c r="K1326" s="62">
        <f>Ringkasan!K1325</f>
        <v>-280</v>
      </c>
      <c r="L1326" s="62">
        <f>Ringkasan!L1325</f>
        <v>-1</v>
      </c>
      <c r="M1326" s="62">
        <f>Ringkasan!M1325</f>
        <v>0</v>
      </c>
      <c r="N1326" s="60" t="str">
        <f>Ringkasan!N1325</f>
        <v/>
      </c>
      <c r="O1326" s="60" t="str">
        <f>Ringkasan!O1325</f>
        <v/>
      </c>
      <c r="P1326" s="60" t="str">
        <f>Ringkasan!P1325</f>
        <v/>
      </c>
      <c r="Q1326" s="60" t="str">
        <f>Ringkasan!Q1325</f>
        <v/>
      </c>
      <c r="R1326" s="60" t="str">
        <f>Ringkasan!R1325</f>
        <v/>
      </c>
      <c r="S1326" s="60" t="str">
        <f>Ringkasan!S1325</f>
        <v/>
      </c>
      <c r="T1326" s="60" t="str">
        <f>Ringkasan!T1325</f>
        <v/>
      </c>
      <c r="U1326" s="60">
        <f>Ringkasan!U1325</f>
        <v>159</v>
      </c>
      <c r="V1326" s="60">
        <f>Ringkasan!V1325</f>
        <v>0</v>
      </c>
      <c r="W1326" s="60" t="str">
        <f>Ringkasan!W1325</f>
        <v/>
      </c>
      <c r="X1326" s="60" t="str">
        <f>Ringkasan!X1325</f>
        <v/>
      </c>
      <c r="Y1326" s="60" t="str">
        <f>Ringkasan!Y1325</f>
        <v/>
      </c>
      <c r="Z1326" s="60">
        <f>Ringkasan!Z1325</f>
        <v>0</v>
      </c>
      <c r="AA1326" s="60" t="str">
        <f>Ringkasan!AA1325</f>
        <v>Holding &amp; Investment Companies</v>
      </c>
      <c r="AB1326" s="60" t="str">
        <f>Ringkasan!AB1325</f>
        <v>Financials</v>
      </c>
    </row>
    <row r="1327" hidden="1">
      <c r="A1327" s="60" t="str">
        <f>Ringkasan!A1326</f>
        <v>OILS</v>
      </c>
      <c r="B1327" s="60" t="str">
        <f>Ringkasan!B1326</f>
        <v>Indo Oil Perkasa Tbk.</v>
      </c>
      <c r="C1327" s="61">
        <f>Ringkasan!C1326</f>
        <v>202</v>
      </c>
      <c r="D1327" s="60" t="str">
        <f>Ringkasan!D1326</f>
        <v>#N/A</v>
      </c>
      <c r="E1327" s="60" t="str">
        <f>Ringkasan!E1326</f>
        <v/>
      </c>
      <c r="F1327" s="60" t="str">
        <f>Ringkasan!F1326</f>
        <v/>
      </c>
      <c r="G1327" s="60">
        <f>Ringkasan!G1326</f>
        <v>0</v>
      </c>
      <c r="H1327" s="62">
        <f>Ringkasan!H1326</f>
        <v>8.2</v>
      </c>
      <c r="I1327" s="62">
        <f>Ringkasan!I1326</f>
        <v>0.84</v>
      </c>
      <c r="J1327" s="62">
        <f>Ringkasan!J1326</f>
        <v>10.2</v>
      </c>
      <c r="K1327" s="62">
        <f>Ringkasan!K1326</f>
        <v>3.4</v>
      </c>
      <c r="L1327" s="62">
        <f>Ringkasan!L1326</f>
        <v>2</v>
      </c>
      <c r="M1327" s="62">
        <f>Ringkasan!M1326</f>
        <v>3.5</v>
      </c>
      <c r="N1327" s="60" t="str">
        <f>Ringkasan!N1326</f>
        <v/>
      </c>
      <c r="O1327" s="60" t="str">
        <f>Ringkasan!O1326</f>
        <v/>
      </c>
      <c r="P1327" s="60" t="str">
        <f>Ringkasan!P1326</f>
        <v/>
      </c>
      <c r="Q1327" s="60" t="str">
        <f>Ringkasan!Q1326</f>
        <v/>
      </c>
      <c r="R1327" s="60" t="str">
        <f>Ringkasan!R1326</f>
        <v/>
      </c>
      <c r="S1327" s="60" t="str">
        <f>Ringkasan!S1326</f>
        <v/>
      </c>
      <c r="T1327" s="60" t="str">
        <f>Ringkasan!T1326</f>
        <v/>
      </c>
      <c r="U1327" s="60">
        <f>Ringkasan!U1326</f>
        <v>0.05</v>
      </c>
      <c r="V1327" s="60">
        <f>Ringkasan!V1326</f>
        <v>0</v>
      </c>
      <c r="W1327" s="60">
        <f>Ringkasan!W1326</f>
        <v>0.05</v>
      </c>
      <c r="X1327" s="60">
        <f>Ringkasan!X1326</f>
        <v>0.05</v>
      </c>
      <c r="Y1327" s="60">
        <f>Ringkasan!Y1326</f>
        <v>0.05</v>
      </c>
      <c r="Z1327" s="60">
        <f>Ringkasan!Z1326</f>
        <v>12000</v>
      </c>
      <c r="AA1327" s="60" t="str">
        <f>Ringkasan!AA1326</f>
        <v>Agricultural Products</v>
      </c>
      <c r="AB1327" s="60" t="str">
        <f>Ringkasan!AB1326</f>
        <v>Consumer Non-Cyclicals</v>
      </c>
    </row>
    <row r="1328" hidden="1">
      <c r="A1328" s="64" t="str">
        <f>Ringkasan!A1327</f>
        <v>OKAS</v>
      </c>
      <c r="B1328" s="64" t="str">
        <f>Ringkasan!B1327</f>
        <v>Ancora Indonesia Resources Tbk.</v>
      </c>
      <c r="C1328" s="65">
        <f>Ringkasan!C1327</f>
        <v>95</v>
      </c>
      <c r="D1328" s="64" t="str">
        <f>Ringkasan!D1327</f>
        <v>#N/A</v>
      </c>
      <c r="E1328" s="64" t="str">
        <f>Ringkasan!E1327</f>
        <v/>
      </c>
      <c r="F1328" s="64" t="str">
        <f>Ringkasan!F1327</f>
        <v/>
      </c>
      <c r="G1328" s="64">
        <f>Ringkasan!G1327</f>
        <v>0</v>
      </c>
      <c r="H1328" s="19">
        <f>Ringkasan!H1327</f>
        <v>-3.7</v>
      </c>
      <c r="I1328" s="19">
        <f>Ringkasan!I1327</f>
        <v>0.26</v>
      </c>
      <c r="J1328" s="19">
        <f>Ringkasan!J1327</f>
        <v>-6.9</v>
      </c>
      <c r="K1328" s="19">
        <f>Ringkasan!K1327</f>
        <v>-2.5</v>
      </c>
      <c r="L1328" s="19">
        <f>Ringkasan!L1327</f>
        <v>1.8</v>
      </c>
      <c r="M1328" s="19">
        <f>Ringkasan!M1327</f>
        <v>-10.6</v>
      </c>
      <c r="N1328" s="64" t="str">
        <f>Ringkasan!N1327</f>
        <v/>
      </c>
      <c r="O1328" s="64" t="str">
        <f>Ringkasan!O1327</f>
        <v/>
      </c>
      <c r="P1328" s="64" t="str">
        <f>Ringkasan!P1327</f>
        <v/>
      </c>
      <c r="Q1328" s="64" t="str">
        <f>Ringkasan!Q1327</f>
        <v/>
      </c>
      <c r="R1328" s="64" t="str">
        <f>Ringkasan!R1327</f>
        <v/>
      </c>
      <c r="S1328" s="64" t="str">
        <f>Ringkasan!S1327</f>
        <v/>
      </c>
      <c r="T1328" s="64" t="str">
        <f>Ringkasan!T1327</f>
        <v/>
      </c>
      <c r="U1328" s="64">
        <f>Ringkasan!U1327</f>
        <v>90</v>
      </c>
      <c r="V1328" s="64">
        <f>Ringkasan!V1327</f>
        <v>5.56</v>
      </c>
      <c r="W1328" s="64">
        <f>Ringkasan!W1327</f>
        <v>90</v>
      </c>
      <c r="X1328" s="64">
        <f>Ringkasan!X1327</f>
        <v>97</v>
      </c>
      <c r="Y1328" s="64">
        <f>Ringkasan!Y1327</f>
        <v>90</v>
      </c>
      <c r="Z1328" s="64">
        <f>Ringkasan!Z1327</f>
        <v>2631100</v>
      </c>
      <c r="AA1328" s="64" t="str">
        <f>Ringkasan!AA1327</f>
        <v>Chemicals</v>
      </c>
      <c r="AB1328" s="64" t="str">
        <f>Ringkasan!AB1327</f>
        <v>Basic Materials</v>
      </c>
    </row>
    <row r="1329" hidden="1">
      <c r="A1329" s="64" t="str">
        <f>Ringkasan!A1328</f>
        <v>OLIV</v>
      </c>
      <c r="B1329" s="64" t="str">
        <f>Ringkasan!B1328</f>
        <v>Oscar Mitra Sukses Sejahtera Tbk.</v>
      </c>
      <c r="C1329" s="65">
        <f>Ringkasan!C1328</f>
        <v>51</v>
      </c>
      <c r="D1329" s="64" t="str">
        <f>Ringkasan!D1328</f>
        <v>#N/A</v>
      </c>
      <c r="E1329" s="64" t="str">
        <f>Ringkasan!E1328</f>
        <v/>
      </c>
      <c r="F1329" s="64" t="str">
        <f>Ringkasan!F1328</f>
        <v/>
      </c>
      <c r="G1329" s="64">
        <f>Ringkasan!G1328</f>
        <v>0</v>
      </c>
      <c r="H1329" s="19">
        <f>Ringkasan!H1328</f>
        <v>-12.4</v>
      </c>
      <c r="I1329" s="19">
        <f>Ringkasan!I1328</f>
        <v>2.8</v>
      </c>
      <c r="J1329" s="19">
        <f>Ringkasan!J1328</f>
        <v>-22.2</v>
      </c>
      <c r="K1329" s="19">
        <f>Ringkasan!K1328</f>
        <v>-20.2</v>
      </c>
      <c r="L1329" s="19">
        <f>Ringkasan!L1328</f>
        <v>0.1</v>
      </c>
      <c r="M1329" s="19">
        <f>Ringkasan!M1328</f>
        <v>-81.1</v>
      </c>
      <c r="N1329" s="64" t="str">
        <f>Ringkasan!N1328</f>
        <v/>
      </c>
      <c r="O1329" s="64" t="str">
        <f>Ringkasan!O1328</f>
        <v/>
      </c>
      <c r="P1329" s="64" t="str">
        <f>Ringkasan!P1328</f>
        <v/>
      </c>
      <c r="Q1329" s="64" t="str">
        <f>Ringkasan!Q1328</f>
        <v/>
      </c>
      <c r="R1329" s="64" t="str">
        <f>Ringkasan!R1328</f>
        <v/>
      </c>
      <c r="S1329" s="64" t="str">
        <f>Ringkasan!S1328</f>
        <v/>
      </c>
      <c r="T1329" s="64" t="str">
        <f>Ringkasan!T1328</f>
        <v/>
      </c>
      <c r="U1329" s="64">
        <f>Ringkasan!U1328</f>
        <v>52</v>
      </c>
      <c r="V1329" s="64">
        <f>Ringkasan!V1328</f>
        <v>-1.92</v>
      </c>
      <c r="W1329" s="64">
        <f>Ringkasan!W1328</f>
        <v>57</v>
      </c>
      <c r="X1329" s="64">
        <f>Ringkasan!X1328</f>
        <v>57</v>
      </c>
      <c r="Y1329" s="64">
        <f>Ringkasan!Y1328</f>
        <v>50</v>
      </c>
      <c r="Z1329" s="64">
        <f>Ringkasan!Z1328</f>
        <v>3746200</v>
      </c>
      <c r="AA1329" s="64" t="str">
        <f>Ringkasan!AA1328</f>
        <v>Household Goods</v>
      </c>
      <c r="AB1329" s="64" t="str">
        <f>Ringkasan!AB1328</f>
        <v>Consumer Cyclicals</v>
      </c>
    </row>
    <row r="1330" hidden="1">
      <c r="A1330" s="64" t="str">
        <f>Ringkasan!A1329</f>
        <v>OMED</v>
      </c>
      <c r="B1330" s="64" t="str">
        <f>Ringkasan!B1329</f>
        <v>Jayamas Medica Industri Tbk.</v>
      </c>
      <c r="C1330" s="65">
        <f>Ringkasan!C1329</f>
        <v>196</v>
      </c>
      <c r="D1330" s="64" t="str">
        <f>Ringkasan!D1329</f>
        <v>#N/A</v>
      </c>
      <c r="E1330" s="64" t="str">
        <f>Ringkasan!E1329</f>
        <v/>
      </c>
      <c r="F1330" s="64" t="str">
        <f>Ringkasan!F1329</f>
        <v/>
      </c>
      <c r="G1330" s="64">
        <f>Ringkasan!G1329</f>
        <v>0</v>
      </c>
      <c r="H1330" s="19">
        <f>Ringkasan!H1329</f>
        <v>15.9</v>
      </c>
      <c r="I1330" s="19">
        <f>Ringkasan!I1329</f>
        <v>2.2</v>
      </c>
      <c r="J1330" s="19">
        <f>Ringkasan!J1329</f>
        <v>13.8</v>
      </c>
      <c r="K1330" s="19">
        <f>Ringkasan!K1329</f>
        <v>11.8</v>
      </c>
      <c r="L1330" s="19">
        <f>Ringkasan!L1329</f>
        <v>0.16</v>
      </c>
      <c r="M1330" s="19">
        <f>Ringkasan!M1329</f>
        <v>68.6</v>
      </c>
      <c r="N1330" s="64" t="str">
        <f>Ringkasan!N1329</f>
        <v/>
      </c>
      <c r="O1330" s="64" t="str">
        <f>Ringkasan!O1329</f>
        <v/>
      </c>
      <c r="P1330" s="64" t="str">
        <f>Ringkasan!P1329</f>
        <v/>
      </c>
      <c r="Q1330" s="64" t="str">
        <f>Ringkasan!Q1329</f>
        <v/>
      </c>
      <c r="R1330" s="64" t="str">
        <f>Ringkasan!R1329</f>
        <v/>
      </c>
      <c r="S1330" s="64" t="str">
        <f>Ringkasan!S1329</f>
        <v/>
      </c>
      <c r="T1330" s="64" t="str">
        <f>Ringkasan!T1329</f>
        <v/>
      </c>
      <c r="U1330" s="64">
        <f>Ringkasan!U1329</f>
        <v>196</v>
      </c>
      <c r="V1330" s="64">
        <f>Ringkasan!V1329</f>
        <v>0</v>
      </c>
      <c r="W1330" s="64">
        <f>Ringkasan!W1329</f>
        <v>200</v>
      </c>
      <c r="X1330" s="64">
        <f>Ringkasan!X1329</f>
        <v>206</v>
      </c>
      <c r="Y1330" s="64">
        <f>Ringkasan!Y1329</f>
        <v>195</v>
      </c>
      <c r="Z1330" s="64">
        <f>Ringkasan!Z1329</f>
        <v>44515400</v>
      </c>
      <c r="AA1330" s="64" t="str">
        <f>Ringkasan!AA1329</f>
        <v>Healthcare Equipment &amp; Supplies</v>
      </c>
      <c r="AB1330" s="64" t="str">
        <f>Ringkasan!AB1329</f>
        <v>Healthcare</v>
      </c>
    </row>
    <row r="1331" hidden="1">
      <c r="A1331" s="64" t="str">
        <f>Ringkasan!A1330</f>
        <v>OMRE</v>
      </c>
      <c r="B1331" s="64" t="str">
        <f>Ringkasan!B1330</f>
        <v>Indonesia Prima Property Tbk</v>
      </c>
      <c r="C1331" s="65">
        <f>Ringkasan!C1330</f>
        <v>1075</v>
      </c>
      <c r="D1331" s="64" t="str">
        <f>Ringkasan!D1330</f>
        <v>#N/A</v>
      </c>
      <c r="E1331" s="64" t="str">
        <f>Ringkasan!E1330</f>
        <v/>
      </c>
      <c r="F1331" s="64" t="str">
        <f>Ringkasan!F1330</f>
        <v/>
      </c>
      <c r="G1331" s="64">
        <f>Ringkasan!G1330</f>
        <v>0</v>
      </c>
      <c r="H1331" s="19">
        <f>Ringkasan!H1330</f>
        <v>-16.8</v>
      </c>
      <c r="I1331" s="19">
        <f>Ringkasan!I1330</f>
        <v>0.94</v>
      </c>
      <c r="J1331" s="19">
        <f>Ringkasan!J1330</f>
        <v>-5.6</v>
      </c>
      <c r="K1331" s="19">
        <f>Ringkasan!K1330</f>
        <v>-4.6</v>
      </c>
      <c r="L1331" s="19">
        <f>Ringkasan!L1330</f>
        <v>0.22</v>
      </c>
      <c r="M1331" s="19">
        <f>Ringkasan!M1330</f>
        <v>-1870</v>
      </c>
      <c r="N1331" s="64" t="str">
        <f>Ringkasan!N1330</f>
        <v/>
      </c>
      <c r="O1331" s="64" t="str">
        <f>Ringkasan!O1330</f>
        <v/>
      </c>
      <c r="P1331" s="64" t="str">
        <f>Ringkasan!P1330</f>
        <v/>
      </c>
      <c r="Q1331" s="64" t="str">
        <f>Ringkasan!Q1330</f>
        <v/>
      </c>
      <c r="R1331" s="64" t="str">
        <f>Ringkasan!R1330</f>
        <v/>
      </c>
      <c r="S1331" s="64" t="str">
        <f>Ringkasan!S1330</f>
        <v/>
      </c>
      <c r="T1331" s="64" t="str">
        <f>Ringkasan!T1330</f>
        <v/>
      </c>
      <c r="U1331" s="64">
        <f>Ringkasan!U1330</f>
        <v>995</v>
      </c>
      <c r="V1331" s="64">
        <f>Ringkasan!V1330</f>
        <v>8.04</v>
      </c>
      <c r="W1331" s="64">
        <f>Ringkasan!W1330</f>
        <v>995</v>
      </c>
      <c r="X1331" s="64">
        <f>Ringkasan!X1330</f>
        <v>1080</v>
      </c>
      <c r="Y1331" s="64">
        <f>Ringkasan!Y1330</f>
        <v>995</v>
      </c>
      <c r="Z1331" s="64">
        <f>Ringkasan!Z1330</f>
        <v>3100</v>
      </c>
      <c r="AA1331" s="64" t="str">
        <f>Ringkasan!AA1330</f>
        <v>Real Estate Management &amp; Development</v>
      </c>
      <c r="AB1331" s="64" t="str">
        <f>Ringkasan!AB1330</f>
        <v>Properties &amp; Real Estate</v>
      </c>
    </row>
    <row r="1332" hidden="1">
      <c r="A1332" s="64" t="str">
        <f>Ringkasan!A1331</f>
        <v>OPMS</v>
      </c>
      <c r="B1332" s="64" t="str">
        <f>Ringkasan!B1331</f>
        <v>Optima Prima Metal Sinergi Tbk.</v>
      </c>
      <c r="C1332" s="65">
        <f>Ringkasan!C1331</f>
        <v>91</v>
      </c>
      <c r="D1332" s="64" t="str">
        <f>Ringkasan!D1331</f>
        <v>#N/A</v>
      </c>
      <c r="E1332" s="64" t="str">
        <f>Ringkasan!E1331</f>
        <v/>
      </c>
      <c r="F1332" s="64" t="str">
        <f>Ringkasan!F1331</f>
        <v/>
      </c>
      <c r="G1332" s="64">
        <f>Ringkasan!G1331</f>
        <v>0</v>
      </c>
      <c r="H1332" s="19">
        <f>Ringkasan!H1331</f>
        <v>-16.9</v>
      </c>
      <c r="I1332" s="19">
        <f>Ringkasan!I1331</f>
        <v>1.5</v>
      </c>
      <c r="J1332" s="19">
        <f>Ringkasan!J1331</f>
        <v>-8.9</v>
      </c>
      <c r="K1332" s="19">
        <f>Ringkasan!K1331</f>
        <v>-8.7</v>
      </c>
      <c r="L1332" s="19">
        <f>Ringkasan!L1331</f>
        <v>0.02</v>
      </c>
      <c r="M1332" s="19">
        <f>Ringkasan!M1331</f>
        <v>-620</v>
      </c>
      <c r="N1332" s="64" t="str">
        <f>Ringkasan!N1331</f>
        <v/>
      </c>
      <c r="O1332" s="64" t="str">
        <f>Ringkasan!O1331</f>
        <v/>
      </c>
      <c r="P1332" s="64" t="str">
        <f>Ringkasan!P1331</f>
        <v/>
      </c>
      <c r="Q1332" s="64" t="str">
        <f>Ringkasan!Q1331</f>
        <v/>
      </c>
      <c r="R1332" s="64" t="str">
        <f>Ringkasan!R1331</f>
        <v/>
      </c>
      <c r="S1332" s="64" t="str">
        <f>Ringkasan!S1331</f>
        <v/>
      </c>
      <c r="T1332" s="64" t="str">
        <f>Ringkasan!T1331</f>
        <v/>
      </c>
      <c r="U1332" s="64">
        <f>Ringkasan!U1331</f>
        <v>91</v>
      </c>
      <c r="V1332" s="64">
        <f>Ringkasan!V1331</f>
        <v>0</v>
      </c>
      <c r="W1332" s="64">
        <f>Ringkasan!W1331</f>
        <v>96</v>
      </c>
      <c r="X1332" s="64">
        <f>Ringkasan!X1331</f>
        <v>96</v>
      </c>
      <c r="Y1332" s="64">
        <f>Ringkasan!Y1331</f>
        <v>86</v>
      </c>
      <c r="Z1332" s="64">
        <f>Ringkasan!Z1331</f>
        <v>4196800</v>
      </c>
      <c r="AA1332" s="64" t="str">
        <f>Ringkasan!AA1331</f>
        <v>Metals &amp; Minerals</v>
      </c>
      <c r="AB1332" s="64" t="str">
        <f>Ringkasan!AB1331</f>
        <v>Basic Materials</v>
      </c>
    </row>
    <row r="1333" hidden="1">
      <c r="A1333" s="64" t="str">
        <f>Ringkasan!A1332</f>
        <v>PACK</v>
      </c>
      <c r="B1333" s="64" t="str">
        <f>Ringkasan!B1332</f>
        <v>Abadi Nusantara Hijau Investama Tbk.</v>
      </c>
      <c r="C1333" s="65">
        <f>Ringkasan!C1332</f>
        <v>252</v>
      </c>
      <c r="D1333" s="64" t="str">
        <f>Ringkasan!D1332</f>
        <v>#N/A</v>
      </c>
      <c r="E1333" s="64" t="str">
        <f>Ringkasan!E1332</f>
        <v/>
      </c>
      <c r="F1333" s="64" t="str">
        <f>Ringkasan!F1332</f>
        <v/>
      </c>
      <c r="G1333" s="64">
        <f>Ringkasan!G1332</f>
        <v>0</v>
      </c>
      <c r="H1333" s="19">
        <f>Ringkasan!H1332</f>
        <v>350</v>
      </c>
      <c r="I1333" s="19">
        <f>Ringkasan!I1332</f>
        <v>94.5</v>
      </c>
      <c r="J1333" s="19">
        <f>Ringkasan!J1332</f>
        <v>27.1</v>
      </c>
      <c r="K1333" s="19">
        <f>Ringkasan!K1332</f>
        <v>0.95</v>
      </c>
      <c r="L1333" s="19">
        <f>Ringkasan!L1332</f>
        <v>27.4</v>
      </c>
      <c r="M1333" s="19">
        <f>Ringkasan!M1332</f>
        <v>13.2</v>
      </c>
      <c r="N1333" s="64" t="str">
        <f>Ringkasan!N1332</f>
        <v/>
      </c>
      <c r="O1333" s="64" t="str">
        <f>Ringkasan!O1332</f>
        <v/>
      </c>
      <c r="P1333" s="64" t="str">
        <f>Ringkasan!P1332</f>
        <v/>
      </c>
      <c r="Q1333" s="64" t="str">
        <f>Ringkasan!Q1332</f>
        <v/>
      </c>
      <c r="R1333" s="64" t="str">
        <f>Ringkasan!R1332</f>
        <v/>
      </c>
      <c r="S1333" s="64" t="str">
        <f>Ringkasan!S1332</f>
        <v/>
      </c>
      <c r="T1333" s="64" t="str">
        <f>Ringkasan!T1332</f>
        <v/>
      </c>
      <c r="U1333" s="64">
        <f>Ringkasan!U1332</f>
        <v>7.14</v>
      </c>
      <c r="V1333" s="64">
        <f>Ringkasan!V1332</f>
        <v>2.24</v>
      </c>
      <c r="W1333" s="64">
        <f>Ringkasan!W1332</f>
        <v>7.23</v>
      </c>
      <c r="X1333" s="64">
        <f>Ringkasan!X1332</f>
        <v>7.4</v>
      </c>
      <c r="Y1333" s="64">
        <f>Ringkasan!Y1332</f>
        <v>7.13</v>
      </c>
      <c r="Z1333" s="64">
        <f>Ringkasan!Z1332</f>
        <v>450320</v>
      </c>
      <c r="AA1333" s="64" t="str">
        <f>Ringkasan!AA1332</f>
        <v>Containers &amp; Packaging</v>
      </c>
      <c r="AB1333" s="64" t="str">
        <f>Ringkasan!AB1332</f>
        <v>Basic Materials</v>
      </c>
    </row>
    <row r="1334" hidden="1">
      <c r="A1334" s="64" t="str">
        <f>Ringkasan!A1333</f>
        <v>PADA</v>
      </c>
      <c r="B1334" s="64" t="str">
        <f>Ringkasan!B1333</f>
        <v>PT Personel Alih Daya Tbk</v>
      </c>
      <c r="C1334" s="65">
        <f>Ringkasan!C1333</f>
        <v>127</v>
      </c>
      <c r="D1334" s="64" t="str">
        <f>Ringkasan!D1333</f>
        <v>#N/A</v>
      </c>
      <c r="E1334" s="64" t="str">
        <f>Ringkasan!E1333</f>
        <v/>
      </c>
      <c r="F1334" s="64" t="str">
        <f>Ringkasan!F1333</f>
        <v/>
      </c>
      <c r="G1334" s="64">
        <f>Ringkasan!G1333</f>
        <v>0</v>
      </c>
      <c r="H1334" s="19">
        <f>Ringkasan!H1333</f>
        <v>84.3</v>
      </c>
      <c r="I1334" s="19">
        <f>Ringkasan!I1333</f>
        <v>3.6</v>
      </c>
      <c r="J1334" s="19">
        <f>Ringkasan!J1333</f>
        <v>4.2</v>
      </c>
      <c r="K1334" s="19">
        <f>Ringkasan!K1333</f>
        <v>1.5</v>
      </c>
      <c r="L1334" s="19">
        <f>Ringkasan!L1333</f>
        <v>1.9</v>
      </c>
      <c r="M1334" s="19">
        <f>Ringkasan!M1333</f>
        <v>1.1</v>
      </c>
      <c r="N1334" s="64" t="str">
        <f>Ringkasan!N1333</f>
        <v/>
      </c>
      <c r="O1334" s="64" t="str">
        <f>Ringkasan!O1333</f>
        <v/>
      </c>
      <c r="P1334" s="64" t="str">
        <f>Ringkasan!P1333</f>
        <v/>
      </c>
      <c r="Q1334" s="64" t="str">
        <f>Ringkasan!Q1333</f>
        <v/>
      </c>
      <c r="R1334" s="64" t="str">
        <f>Ringkasan!R1333</f>
        <v/>
      </c>
      <c r="S1334" s="64" t="str">
        <f>Ringkasan!S1333</f>
        <v/>
      </c>
      <c r="T1334" s="64" t="str">
        <f>Ringkasan!T1333</f>
        <v/>
      </c>
      <c r="U1334" s="64">
        <f>Ringkasan!U1333</f>
        <v>108</v>
      </c>
      <c r="V1334" s="64">
        <f>Ringkasan!V1333</f>
        <v>17.59</v>
      </c>
      <c r="W1334" s="64">
        <f>Ringkasan!W1333</f>
        <v>110</v>
      </c>
      <c r="X1334" s="64">
        <f>Ringkasan!X1333</f>
        <v>143</v>
      </c>
      <c r="Y1334" s="64">
        <f>Ringkasan!Y1333</f>
        <v>110</v>
      </c>
      <c r="Z1334" s="64">
        <f>Ringkasan!Z1333</f>
        <v>67964500</v>
      </c>
      <c r="AA1334" s="64" t="str">
        <f>Ringkasan!AA1333</f>
        <v>Professional Services</v>
      </c>
      <c r="AB1334" s="64" t="str">
        <f>Ringkasan!AB1333</f>
        <v>Industrials</v>
      </c>
    </row>
    <row r="1335" hidden="1">
      <c r="A1335" s="60" t="str">
        <f>Ringkasan!A1072</f>
        <v>KOIN</v>
      </c>
      <c r="B1335" s="60" t="str">
        <f>Ringkasan!B1072</f>
        <v>Kokoh Inti Arebama Tbk</v>
      </c>
      <c r="C1335" s="61">
        <f>Ringkasan!C1072</f>
        <v>74</v>
      </c>
      <c r="D1335" s="60" t="str">
        <f>Ringkasan!D1072</f>
        <v>#N/A</v>
      </c>
      <c r="E1335" s="60" t="str">
        <f>Ringkasan!E1072</f>
        <v/>
      </c>
      <c r="F1335" s="60" t="str">
        <f>Ringkasan!F1072</f>
        <v/>
      </c>
      <c r="G1335" s="60">
        <f>Ringkasan!G1072</f>
        <v>0</v>
      </c>
      <c r="H1335" s="62">
        <f>Ringkasan!H1072</f>
        <v>-14</v>
      </c>
      <c r="I1335" s="62">
        <f>Ringkasan!I1072</f>
        <v>-0.8</v>
      </c>
      <c r="J1335" s="62">
        <f>Ringkasan!J1072</f>
        <v>0</v>
      </c>
      <c r="K1335" s="62">
        <f>Ringkasan!K1072</f>
        <v>-0.72</v>
      </c>
      <c r="L1335" s="62">
        <f>Ringkasan!L1072</f>
        <v>-8.9</v>
      </c>
      <c r="M1335" s="62">
        <f>Ringkasan!M1072</f>
        <v>-0.79</v>
      </c>
      <c r="N1335" s="60" t="str">
        <f>Ringkasan!N1072</f>
        <v/>
      </c>
      <c r="O1335" s="60" t="str">
        <f>Ringkasan!O1072</f>
        <v/>
      </c>
      <c r="P1335" s="60" t="str">
        <f>Ringkasan!P1072</f>
        <v/>
      </c>
      <c r="Q1335" s="60" t="str">
        <f>Ringkasan!Q1072</f>
        <v/>
      </c>
      <c r="R1335" s="60" t="str">
        <f>Ringkasan!R1072</f>
        <v/>
      </c>
      <c r="S1335" s="60" t="str">
        <f>Ringkasan!S1072</f>
        <v/>
      </c>
      <c r="T1335" s="60" t="str">
        <f>Ringkasan!T1072</f>
        <v/>
      </c>
      <c r="U1335" s="60">
        <f>Ringkasan!U1072</f>
        <v>74</v>
      </c>
      <c r="V1335" s="60">
        <f>Ringkasan!V1072</f>
        <v>0</v>
      </c>
      <c r="W1335" s="60">
        <f>Ringkasan!W1072</f>
        <v>74</v>
      </c>
      <c r="X1335" s="60">
        <f>Ringkasan!X1072</f>
        <v>74</v>
      </c>
      <c r="Y1335" s="60">
        <f>Ringkasan!Y1072</f>
        <v>74</v>
      </c>
      <c r="Z1335" s="60">
        <f>Ringkasan!Z1072</f>
        <v>73600</v>
      </c>
      <c r="AA1335" s="60" t="str">
        <f>Ringkasan!AA1072</f>
        <v>Building Products &amp; Fixtures</v>
      </c>
      <c r="AB1335" s="60" t="str">
        <f>Ringkasan!AB1072</f>
        <v>Industrials</v>
      </c>
    </row>
    <row r="1336" hidden="1">
      <c r="A1336" s="60" t="str">
        <f>Ringkasan!A1073</f>
        <v>KOKA</v>
      </c>
      <c r="B1336" s="60" t="str">
        <f>Ringkasan!B1073</f>
        <v>PT Koka Indonesia Tbk.</v>
      </c>
      <c r="C1336" s="61">
        <f>Ringkasan!C1073</f>
        <v>94</v>
      </c>
      <c r="D1336" s="60" t="str">
        <f>Ringkasan!D1073</f>
        <v>#N/A</v>
      </c>
      <c r="E1336" s="60" t="str">
        <f>Ringkasan!E1073</f>
        <v/>
      </c>
      <c r="F1336" s="60" t="str">
        <f>Ringkasan!F1073</f>
        <v/>
      </c>
      <c r="G1336" s="60">
        <f>Ringkasan!G1073</f>
        <v>0</v>
      </c>
      <c r="H1336" s="62">
        <f>Ringkasan!H1073</f>
        <v>-11.6</v>
      </c>
      <c r="I1336" s="62">
        <f>Ringkasan!I1073</f>
        <v>2.2</v>
      </c>
      <c r="J1336" s="62">
        <f>Ringkasan!J1073</f>
        <v>-18.6</v>
      </c>
      <c r="K1336" s="62">
        <f>Ringkasan!K1073</f>
        <v>-15.7</v>
      </c>
      <c r="L1336" s="62">
        <f>Ringkasan!L1073</f>
        <v>0.19</v>
      </c>
      <c r="M1336" s="62">
        <f>Ringkasan!M1073</f>
        <v>-960</v>
      </c>
      <c r="N1336" s="60" t="str">
        <f>Ringkasan!N1073</f>
        <v/>
      </c>
      <c r="O1336" s="60" t="str">
        <f>Ringkasan!O1073</f>
        <v/>
      </c>
      <c r="P1336" s="60" t="str">
        <f>Ringkasan!P1073</f>
        <v/>
      </c>
      <c r="Q1336" s="60" t="str">
        <f>Ringkasan!Q1073</f>
        <v/>
      </c>
      <c r="R1336" s="60" t="str">
        <f>Ringkasan!R1073</f>
        <v/>
      </c>
      <c r="S1336" s="60" t="str">
        <f>Ringkasan!S1073</f>
        <v/>
      </c>
      <c r="T1336" s="60" t="str">
        <f>Ringkasan!T1073</f>
        <v/>
      </c>
      <c r="U1336" s="60">
        <f>Ringkasan!U1073</f>
        <v>89</v>
      </c>
      <c r="V1336" s="60">
        <f>Ringkasan!V1073</f>
        <v>5.62</v>
      </c>
      <c r="W1336" s="60">
        <f>Ringkasan!W1073</f>
        <v>98</v>
      </c>
      <c r="X1336" s="60">
        <f>Ringkasan!X1073</f>
        <v>100</v>
      </c>
      <c r="Y1336" s="60">
        <f>Ringkasan!Y1073</f>
        <v>88</v>
      </c>
      <c r="Z1336" s="60">
        <f>Ringkasan!Z1073</f>
        <v>34941800</v>
      </c>
      <c r="AA1336" s="60" t="str">
        <f>Ringkasan!AA1073</f>
        <v>Heavy Constructions &amp; Civil Engineering</v>
      </c>
      <c r="AB1336" s="60" t="str">
        <f>Ringkasan!AB1073</f>
        <v>Infrastructures</v>
      </c>
    </row>
    <row r="1337" hidden="1">
      <c r="A1337" s="64" t="str">
        <f>Ringkasan!A1336</f>
        <v>PAMG</v>
      </c>
      <c r="B1337" s="64" t="str">
        <f>Ringkasan!B1336</f>
        <v>Bima Sakti Pertiwi Tbk.</v>
      </c>
      <c r="C1337" s="65">
        <f>Ringkasan!C1336</f>
        <v>51</v>
      </c>
      <c r="D1337" s="64" t="str">
        <f>Ringkasan!D1336</f>
        <v>#N/A</v>
      </c>
      <c r="E1337" s="64" t="str">
        <f>Ringkasan!E1336</f>
        <v/>
      </c>
      <c r="F1337" s="64" t="str">
        <f>Ringkasan!F1336</f>
        <v/>
      </c>
      <c r="G1337" s="64">
        <f>Ringkasan!G1336</f>
        <v>0</v>
      </c>
      <c r="H1337" s="19">
        <f>Ringkasan!H1336</f>
        <v>-340</v>
      </c>
      <c r="I1337" s="19">
        <f>Ringkasan!I1336</f>
        <v>0.38</v>
      </c>
      <c r="J1337" s="19">
        <f>Ringkasan!J1336</f>
        <v>-0.11</v>
      </c>
      <c r="K1337" s="19">
        <f>Ringkasan!K1336</f>
        <v>-0.08</v>
      </c>
      <c r="L1337" s="19">
        <f>Ringkasan!L1336</f>
        <v>0.38</v>
      </c>
      <c r="M1337" s="19">
        <f>Ringkasan!M1336</f>
        <v>-4.2</v>
      </c>
      <c r="N1337" s="64" t="str">
        <f>Ringkasan!N1336</f>
        <v/>
      </c>
      <c r="O1337" s="64" t="str">
        <f>Ringkasan!O1336</f>
        <v/>
      </c>
      <c r="P1337" s="64" t="str">
        <f>Ringkasan!P1336</f>
        <v/>
      </c>
      <c r="Q1337" s="64" t="str">
        <f>Ringkasan!Q1336</f>
        <v/>
      </c>
      <c r="R1337" s="64" t="str">
        <f>Ringkasan!R1336</f>
        <v/>
      </c>
      <c r="S1337" s="64" t="str">
        <f>Ringkasan!S1336</f>
        <v/>
      </c>
      <c r="T1337" s="64" t="str">
        <f>Ringkasan!T1336</f>
        <v/>
      </c>
      <c r="U1337" s="64">
        <f>Ringkasan!U1336</f>
        <v>50</v>
      </c>
      <c r="V1337" s="64">
        <f>Ringkasan!V1336</f>
        <v>2</v>
      </c>
      <c r="W1337" s="64">
        <f>Ringkasan!W1336</f>
        <v>50</v>
      </c>
      <c r="X1337" s="64">
        <f>Ringkasan!X1336</f>
        <v>53</v>
      </c>
      <c r="Y1337" s="64">
        <f>Ringkasan!Y1336</f>
        <v>50</v>
      </c>
      <c r="Z1337" s="64">
        <f>Ringkasan!Z1336</f>
        <v>6881100</v>
      </c>
      <c r="AA1337" s="64" t="str">
        <f>Ringkasan!AA1336</f>
        <v>Real Estate Management &amp; Development</v>
      </c>
      <c r="AB1337" s="64" t="str">
        <f>Ringkasan!AB1336</f>
        <v>Properties &amp; Real Estate</v>
      </c>
    </row>
    <row r="1338" hidden="1">
      <c r="A1338" s="60" t="str">
        <f>Ringkasan!A1337</f>
        <v>PANI</v>
      </c>
      <c r="B1338" s="60" t="str">
        <f>Ringkasan!B1337</f>
        <v>Pantai Indah Kapuk Dua Tbk.</v>
      </c>
      <c r="C1338" s="61">
        <f>Ringkasan!C1337</f>
        <v>6850</v>
      </c>
      <c r="D1338" s="60" t="str">
        <f>Ringkasan!D1337</f>
        <v>#N/A</v>
      </c>
      <c r="E1338" s="60" t="str">
        <f>Ringkasan!E1337</f>
        <v>ECONOMIC30</v>
      </c>
      <c r="F1338" s="60" t="str">
        <f>Ringkasan!F1337</f>
        <v>31 Agustus 2026</v>
      </c>
      <c r="G1338" s="60">
        <f>Ringkasan!G1337</f>
        <v>3</v>
      </c>
      <c r="H1338" s="62">
        <f>Ringkasan!H1337</f>
        <v>79.7</v>
      </c>
      <c r="I1338" s="62">
        <f>Ringkasan!I1337</f>
        <v>4.2</v>
      </c>
      <c r="J1338" s="62">
        <f>Ringkasan!J1337</f>
        <v>5.2</v>
      </c>
      <c r="K1338" s="62">
        <f>Ringkasan!K1337</f>
        <v>3.3</v>
      </c>
      <c r="L1338" s="62">
        <f>Ringkasan!L1337</f>
        <v>0.57</v>
      </c>
      <c r="M1338" s="62">
        <f>Ringkasan!M1337</f>
        <v>150</v>
      </c>
      <c r="N1338" s="60" t="str">
        <f>Ringkasan!N1337</f>
        <v/>
      </c>
      <c r="O1338" s="60" t="str">
        <f>Ringkasan!O1337</f>
        <v/>
      </c>
      <c r="P1338" s="60" t="str">
        <f>Ringkasan!P1337</f>
        <v/>
      </c>
      <c r="Q1338" s="60" t="str">
        <f>Ringkasan!Q1337</f>
        <v/>
      </c>
      <c r="R1338" s="60" t="str">
        <f>Ringkasan!R1337</f>
        <v/>
      </c>
      <c r="S1338" s="60" t="str">
        <f>Ringkasan!S1337</f>
        <v/>
      </c>
      <c r="T1338" s="60" t="str">
        <f>Ringkasan!T1337</f>
        <v/>
      </c>
      <c r="U1338" s="60">
        <f>Ringkasan!U1337</f>
        <v>6275</v>
      </c>
      <c r="V1338" s="60">
        <f>Ringkasan!V1337</f>
        <v>9.16</v>
      </c>
      <c r="W1338" s="60" t="str">
        <f>Ringkasan!W1337</f>
        <v/>
      </c>
      <c r="X1338" s="60">
        <f>Ringkasan!X1337</f>
        <v>6850</v>
      </c>
      <c r="Y1338" s="60">
        <f>Ringkasan!Y1337</f>
        <v>6300</v>
      </c>
      <c r="Z1338" s="60">
        <f>Ringkasan!Z1337</f>
        <v>5972800</v>
      </c>
      <c r="AA1338" s="60" t="str">
        <f>Ringkasan!AA1337</f>
        <v>Real Estate Management &amp; Development</v>
      </c>
      <c r="AB1338" s="60" t="str">
        <f>Ringkasan!AB1337</f>
        <v>Properties &amp; Real Estate</v>
      </c>
    </row>
    <row r="1339" hidden="1">
      <c r="A1339" s="64" t="str">
        <f>Ringkasan!A1338</f>
        <v>PANI</v>
      </c>
      <c r="B1339" s="64" t="str">
        <f>Ringkasan!B1338</f>
        <v>Pantai Indah Kapuk Dua Tbk.</v>
      </c>
      <c r="C1339" s="65">
        <f>Ringkasan!C1338</f>
        <v>6850</v>
      </c>
      <c r="D1339" s="64" t="str">
        <f>Ringkasan!D1338</f>
        <v>#N/A</v>
      </c>
      <c r="E1339" s="64" t="str">
        <f>Ringkasan!E1338</f>
        <v>Kompas100</v>
      </c>
      <c r="F1339" s="64" t="str">
        <f>Ringkasan!F1338</f>
        <v>31 Juli 2026</v>
      </c>
      <c r="G1339" s="64">
        <f>Ringkasan!G1338</f>
        <v>3</v>
      </c>
      <c r="H1339" s="19">
        <f>Ringkasan!H1338</f>
        <v>79.7</v>
      </c>
      <c r="I1339" s="19">
        <f>Ringkasan!I1338</f>
        <v>4.2</v>
      </c>
      <c r="J1339" s="19">
        <f>Ringkasan!J1338</f>
        <v>5.2</v>
      </c>
      <c r="K1339" s="19">
        <f>Ringkasan!K1338</f>
        <v>3.3</v>
      </c>
      <c r="L1339" s="19">
        <f>Ringkasan!L1338</f>
        <v>0.57</v>
      </c>
      <c r="M1339" s="19">
        <f>Ringkasan!M1338</f>
        <v>150</v>
      </c>
      <c r="N1339" s="64" t="str">
        <f>Ringkasan!N1338</f>
        <v/>
      </c>
      <c r="O1339" s="64" t="str">
        <f>Ringkasan!O1338</f>
        <v/>
      </c>
      <c r="P1339" s="64" t="str">
        <f>Ringkasan!P1338</f>
        <v/>
      </c>
      <c r="Q1339" s="64" t="str">
        <f>Ringkasan!Q1338</f>
        <v/>
      </c>
      <c r="R1339" s="64" t="str">
        <f>Ringkasan!R1338</f>
        <v/>
      </c>
      <c r="S1339" s="64" t="str">
        <f>Ringkasan!S1338</f>
        <v/>
      </c>
      <c r="T1339" s="64" t="str">
        <f>Ringkasan!T1338</f>
        <v/>
      </c>
      <c r="U1339" s="64">
        <f>Ringkasan!U1338</f>
        <v>6275</v>
      </c>
      <c r="V1339" s="64">
        <f>Ringkasan!V1338</f>
        <v>9.16</v>
      </c>
      <c r="W1339" s="64" t="str">
        <f>Ringkasan!W1338</f>
        <v/>
      </c>
      <c r="X1339" s="64">
        <f>Ringkasan!X1338</f>
        <v>6850</v>
      </c>
      <c r="Y1339" s="64">
        <f>Ringkasan!Y1338</f>
        <v>6300</v>
      </c>
      <c r="Z1339" s="64">
        <f>Ringkasan!Z1338</f>
        <v>5972800</v>
      </c>
      <c r="AA1339" s="64" t="str">
        <f>Ringkasan!AA1338</f>
        <v>Real Estate Management &amp; Development</v>
      </c>
      <c r="AB1339" s="64" t="str">
        <f>Ringkasan!AB1338</f>
        <v>Properties &amp; Real Estate</v>
      </c>
    </row>
    <row r="1340" hidden="1">
      <c r="A1340" s="64" t="str">
        <f>Ringkasan!A1339</f>
        <v>PANI</v>
      </c>
      <c r="B1340" s="64" t="str">
        <f>Ringkasan!B1339</f>
        <v>Pantai Indah Kapuk Dua Tbk.</v>
      </c>
      <c r="C1340" s="65">
        <f>Ringkasan!C1339</f>
        <v>6850</v>
      </c>
      <c r="D1340" s="64" t="str">
        <f>Ringkasan!D1339</f>
        <v>#N/A</v>
      </c>
      <c r="E1340" s="64" t="str">
        <f>Ringkasan!E1339</f>
        <v>IDX80</v>
      </c>
      <c r="F1340" s="64" t="str">
        <f>Ringkasan!F1339</f>
        <v>31 Juli 2026</v>
      </c>
      <c r="G1340" s="64">
        <f>Ringkasan!G1339</f>
        <v>3</v>
      </c>
      <c r="H1340" s="19">
        <f>Ringkasan!H1339</f>
        <v>79.7</v>
      </c>
      <c r="I1340" s="19">
        <f>Ringkasan!I1339</f>
        <v>4.2</v>
      </c>
      <c r="J1340" s="19">
        <f>Ringkasan!J1339</f>
        <v>5.2</v>
      </c>
      <c r="K1340" s="19">
        <f>Ringkasan!K1339</f>
        <v>3.3</v>
      </c>
      <c r="L1340" s="19">
        <f>Ringkasan!L1339</f>
        <v>0.57</v>
      </c>
      <c r="M1340" s="19">
        <f>Ringkasan!M1339</f>
        <v>150</v>
      </c>
      <c r="N1340" s="64" t="str">
        <f>Ringkasan!N1339</f>
        <v/>
      </c>
      <c r="O1340" s="64" t="str">
        <f>Ringkasan!O1339</f>
        <v/>
      </c>
      <c r="P1340" s="64" t="str">
        <f>Ringkasan!P1339</f>
        <v/>
      </c>
      <c r="Q1340" s="64" t="str">
        <f>Ringkasan!Q1339</f>
        <v/>
      </c>
      <c r="R1340" s="64" t="str">
        <f>Ringkasan!R1339</f>
        <v/>
      </c>
      <c r="S1340" s="64" t="str">
        <f>Ringkasan!S1339</f>
        <v/>
      </c>
      <c r="T1340" s="64" t="str">
        <f>Ringkasan!T1339</f>
        <v/>
      </c>
      <c r="U1340" s="64">
        <f>Ringkasan!U1339</f>
        <v>6275</v>
      </c>
      <c r="V1340" s="64">
        <f>Ringkasan!V1339</f>
        <v>9.16</v>
      </c>
      <c r="W1340" s="64" t="str">
        <f>Ringkasan!W1339</f>
        <v/>
      </c>
      <c r="X1340" s="64">
        <f>Ringkasan!X1339</f>
        <v>6850</v>
      </c>
      <c r="Y1340" s="64">
        <f>Ringkasan!Y1339</f>
        <v>6300</v>
      </c>
      <c r="Z1340" s="64">
        <f>Ringkasan!Z1339</f>
        <v>5972800</v>
      </c>
      <c r="AA1340" s="64" t="str">
        <f>Ringkasan!AA1339</f>
        <v>Real Estate Management &amp; Development</v>
      </c>
      <c r="AB1340" s="64" t="str">
        <f>Ringkasan!AB1339</f>
        <v>Properties &amp; Real Estate</v>
      </c>
    </row>
    <row r="1341" hidden="1">
      <c r="A1341" s="64" t="str">
        <f>Ringkasan!A1340</f>
        <v>PANR</v>
      </c>
      <c r="B1341" s="64" t="str">
        <f>Ringkasan!B1340</f>
        <v>Panorama Sentrawisata Tbk.</v>
      </c>
      <c r="C1341" s="65">
        <f>Ringkasan!C1340</f>
        <v>450</v>
      </c>
      <c r="D1341" s="64" t="str">
        <f>Ringkasan!D1340</f>
        <v>#N/A</v>
      </c>
      <c r="E1341" s="64" t="str">
        <f>Ringkasan!E1340</f>
        <v/>
      </c>
      <c r="F1341" s="64" t="str">
        <f>Ringkasan!F1340</f>
        <v/>
      </c>
      <c r="G1341" s="65">
        <f>Ringkasan!G1340</f>
        <v>0</v>
      </c>
      <c r="H1341" s="19">
        <f>Ringkasan!H1340</f>
        <v>7.4</v>
      </c>
      <c r="I1341" s="19">
        <f>Ringkasan!I1340</f>
        <v>0.52</v>
      </c>
      <c r="J1341" s="19">
        <f>Ringkasan!J1340</f>
        <v>7</v>
      </c>
      <c r="K1341" s="19">
        <f>Ringkasan!K1340</f>
        <v>4.4</v>
      </c>
      <c r="L1341" s="19">
        <f>Ringkasan!L1340</f>
        <v>0.59</v>
      </c>
      <c r="M1341" s="19">
        <f>Ringkasan!M1340</f>
        <v>9</v>
      </c>
      <c r="N1341" s="64" t="str">
        <f>Ringkasan!N1340</f>
        <v/>
      </c>
      <c r="O1341" s="64" t="str">
        <f>Ringkasan!O1340</f>
        <v/>
      </c>
      <c r="P1341" s="64" t="str">
        <f>Ringkasan!P1340</f>
        <v/>
      </c>
      <c r="Q1341" s="64" t="str">
        <f>Ringkasan!Q1340</f>
        <v/>
      </c>
      <c r="R1341" s="64" t="str">
        <f>Ringkasan!R1340</f>
        <v/>
      </c>
      <c r="S1341" s="64" t="str">
        <f>Ringkasan!S1340</f>
        <v/>
      </c>
      <c r="T1341" s="64" t="str">
        <f>Ringkasan!T1340</f>
        <v/>
      </c>
      <c r="U1341" s="64">
        <f>Ringkasan!U1340</f>
        <v>16.12</v>
      </c>
      <c r="V1341" s="64">
        <f>Ringkasan!V1340</f>
        <v>-1.92</v>
      </c>
      <c r="W1341" s="64">
        <f>Ringkasan!W1340</f>
        <v>15.75</v>
      </c>
      <c r="X1341" s="64">
        <f>Ringkasan!X1340</f>
        <v>16.15</v>
      </c>
      <c r="Y1341" s="64">
        <f>Ringkasan!Y1340</f>
        <v>14.79</v>
      </c>
      <c r="Z1341" s="64">
        <f>Ringkasan!Z1340</f>
        <v>4730612</v>
      </c>
      <c r="AA1341" s="64" t="str">
        <f>Ringkasan!AA1340</f>
        <v>Tourism &amp; Recreation</v>
      </c>
      <c r="AB1341" s="64" t="str">
        <f>Ringkasan!AB1340</f>
        <v>Consumer Cyclicals</v>
      </c>
    </row>
    <row r="1342" hidden="1">
      <c r="A1342" s="64" t="str">
        <f>Ringkasan!A1341</f>
        <v>PANS</v>
      </c>
      <c r="B1342" s="64" t="str">
        <f>Ringkasan!B1341</f>
        <v>Panin Sekuritas Tbk.</v>
      </c>
      <c r="C1342" s="65">
        <f>Ringkasan!C1341</f>
        <v>1675</v>
      </c>
      <c r="D1342" s="64" t="str">
        <f>Ringkasan!D1341</f>
        <v>#N/A</v>
      </c>
      <c r="E1342" s="64" t="str">
        <f>Ringkasan!E1341</f>
        <v/>
      </c>
      <c r="F1342" s="64" t="str">
        <f>Ringkasan!F1341</f>
        <v/>
      </c>
      <c r="G1342" s="64">
        <f>Ringkasan!G1341</f>
        <v>0</v>
      </c>
      <c r="H1342" s="19">
        <f>Ringkasan!H1341</f>
        <v>5.7</v>
      </c>
      <c r="I1342" s="19">
        <f>Ringkasan!I1341</f>
        <v>0.75</v>
      </c>
      <c r="J1342" s="19">
        <f>Ringkasan!J1341</f>
        <v>13.3</v>
      </c>
      <c r="K1342" s="19">
        <f>Ringkasan!K1341</f>
        <v>9.1</v>
      </c>
      <c r="L1342" s="19">
        <f>Ringkasan!L1341</f>
        <v>0.45</v>
      </c>
      <c r="M1342" s="19">
        <f>Ringkasan!M1341</f>
        <v>250</v>
      </c>
      <c r="N1342" s="64" t="str">
        <f>Ringkasan!N1341</f>
        <v/>
      </c>
      <c r="O1342" s="64" t="str">
        <f>Ringkasan!O1341</f>
        <v/>
      </c>
      <c r="P1342" s="64" t="str">
        <f>Ringkasan!P1341</f>
        <v/>
      </c>
      <c r="Q1342" s="64" t="str">
        <f>Ringkasan!Q1341</f>
        <v/>
      </c>
      <c r="R1342" s="64" t="str">
        <f>Ringkasan!R1341</f>
        <v/>
      </c>
      <c r="S1342" s="64" t="str">
        <f>Ringkasan!S1341</f>
        <v/>
      </c>
      <c r="T1342" s="64" t="str">
        <f>Ringkasan!T1341</f>
        <v/>
      </c>
      <c r="U1342" s="64">
        <f>Ringkasan!U1341</f>
        <v>1650</v>
      </c>
      <c r="V1342" s="64">
        <f>Ringkasan!V1341</f>
        <v>1.52</v>
      </c>
      <c r="W1342" s="64">
        <f>Ringkasan!W1341</f>
        <v>1645</v>
      </c>
      <c r="X1342" s="64">
        <f>Ringkasan!X1341</f>
        <v>1710</v>
      </c>
      <c r="Y1342" s="64">
        <f>Ringkasan!Y1341</f>
        <v>1645</v>
      </c>
      <c r="Z1342" s="64">
        <f>Ringkasan!Z1341</f>
        <v>159100</v>
      </c>
      <c r="AA1342" s="64" t="str">
        <f>Ringkasan!AA1341</f>
        <v>Investment Services</v>
      </c>
      <c r="AB1342" s="64" t="str">
        <f>Ringkasan!AB1341</f>
        <v>Financials</v>
      </c>
    </row>
    <row r="1343" hidden="1">
      <c r="A1343" s="64" t="str">
        <f>Ringkasan!A1342</f>
        <v>PART</v>
      </c>
      <c r="B1343" s="64" t="str">
        <f>Ringkasan!B1342</f>
        <v>Cipta Perdana Lancar Tbk.</v>
      </c>
      <c r="C1343" s="65">
        <f>Ringkasan!C1342</f>
        <v>100</v>
      </c>
      <c r="D1343" s="64" t="str">
        <f>Ringkasan!D1342</f>
        <v>#N/A</v>
      </c>
      <c r="E1343" s="64" t="str">
        <f>Ringkasan!E1342</f>
        <v/>
      </c>
      <c r="F1343" s="64" t="str">
        <f>Ringkasan!F1342</f>
        <v/>
      </c>
      <c r="G1343" s="64">
        <f>Ringkasan!G1342</f>
        <v>0</v>
      </c>
      <c r="H1343" s="19">
        <f>Ringkasan!H1342</f>
        <v>9</v>
      </c>
      <c r="I1343" s="19">
        <f>Ringkasan!I1342</f>
        <v>1.4</v>
      </c>
      <c r="J1343" s="19">
        <f>Ringkasan!J1342</f>
        <v>15.4</v>
      </c>
      <c r="K1343" s="19">
        <f>Ringkasan!K1342</f>
        <v>7.6</v>
      </c>
      <c r="L1343" s="19">
        <f>Ringkasan!L1342</f>
        <v>1</v>
      </c>
      <c r="M1343" s="19">
        <f>Ringkasan!M1342</f>
        <v>32.3</v>
      </c>
      <c r="N1343" s="64" t="str">
        <f>Ringkasan!N1342</f>
        <v/>
      </c>
      <c r="O1343" s="64" t="str">
        <f>Ringkasan!O1342</f>
        <v/>
      </c>
      <c r="P1343" s="64" t="str">
        <f>Ringkasan!P1342</f>
        <v/>
      </c>
      <c r="Q1343" s="64" t="str">
        <f>Ringkasan!Q1342</f>
        <v/>
      </c>
      <c r="R1343" s="64" t="str">
        <f>Ringkasan!R1342</f>
        <v/>
      </c>
      <c r="S1343" s="64" t="str">
        <f>Ringkasan!S1342</f>
        <v/>
      </c>
      <c r="T1343" s="64" t="str">
        <f>Ringkasan!T1342</f>
        <v/>
      </c>
      <c r="U1343" s="64">
        <f>Ringkasan!U1342</f>
        <v>80</v>
      </c>
      <c r="V1343" s="64">
        <f>Ringkasan!V1342</f>
        <v>25</v>
      </c>
      <c r="W1343" s="64">
        <f>Ringkasan!W1342</f>
        <v>83</v>
      </c>
      <c r="X1343" s="64">
        <f>Ringkasan!X1342</f>
        <v>104</v>
      </c>
      <c r="Y1343" s="64">
        <f>Ringkasan!Y1342</f>
        <v>80</v>
      </c>
      <c r="Z1343" s="64">
        <f>Ringkasan!Z1342</f>
        <v>27542300</v>
      </c>
      <c r="AA1343" s="64" t="str">
        <f>Ringkasan!AA1342</f>
        <v>Auto Components</v>
      </c>
      <c r="AB1343" s="64" t="str">
        <f>Ringkasan!AB1342</f>
        <v>Consumer Cyclicals</v>
      </c>
    </row>
    <row r="1344" hidden="1">
      <c r="A1344" s="60" t="str">
        <f>Ringkasan!A1343</f>
        <v>PBID</v>
      </c>
      <c r="B1344" s="60" t="str">
        <f>Ringkasan!B1343</f>
        <v>Panca Budi Idaman Tbk.</v>
      </c>
      <c r="C1344" s="61">
        <f>Ringkasan!C1343</f>
        <v>476</v>
      </c>
      <c r="D1344" s="60" t="str">
        <f>Ringkasan!D1343</f>
        <v>#N/A</v>
      </c>
      <c r="E1344" s="60" t="str">
        <f>Ringkasan!E1343</f>
        <v/>
      </c>
      <c r="F1344" s="60" t="str">
        <f>Ringkasan!F1343</f>
        <v/>
      </c>
      <c r="G1344" s="61">
        <f>Ringkasan!G1343</f>
        <v>0</v>
      </c>
      <c r="H1344" s="62">
        <f>Ringkasan!H1343</f>
        <v>8.8</v>
      </c>
      <c r="I1344" s="62">
        <f>Ringkasan!I1343</f>
        <v>1.2</v>
      </c>
      <c r="J1344" s="62">
        <f>Ringkasan!J1343</f>
        <v>13.8</v>
      </c>
      <c r="K1344" s="62">
        <f>Ringkasan!K1343</f>
        <v>11.6</v>
      </c>
      <c r="L1344" s="62">
        <f>Ringkasan!L1343</f>
        <v>0.19</v>
      </c>
      <c r="M1344" s="62">
        <f>Ringkasan!M1343</f>
        <v>32.8</v>
      </c>
      <c r="N1344" s="60" t="str">
        <f>Ringkasan!N1343</f>
        <v/>
      </c>
      <c r="O1344" s="60" t="str">
        <f>Ringkasan!O1343</f>
        <v/>
      </c>
      <c r="P1344" s="60" t="str">
        <f>Ringkasan!P1343</f>
        <v/>
      </c>
      <c r="Q1344" s="60" t="str">
        <f>Ringkasan!Q1343</f>
        <v/>
      </c>
      <c r="R1344" s="60" t="str">
        <f>Ringkasan!R1343</f>
        <v/>
      </c>
      <c r="S1344" s="60" t="str">
        <f>Ringkasan!S1343</f>
        <v/>
      </c>
      <c r="T1344" s="60" t="str">
        <f>Ringkasan!T1343</f>
        <v/>
      </c>
      <c r="U1344" s="60">
        <f>Ringkasan!U1343</f>
        <v>472</v>
      </c>
      <c r="V1344" s="60">
        <f>Ringkasan!V1343</f>
        <v>0.85</v>
      </c>
      <c r="W1344" s="60">
        <f>Ringkasan!W1343</f>
        <v>472</v>
      </c>
      <c r="X1344" s="60">
        <f>Ringkasan!X1343</f>
        <v>478</v>
      </c>
      <c r="Y1344" s="60">
        <f>Ringkasan!Y1343</f>
        <v>468</v>
      </c>
      <c r="Z1344" s="60">
        <f>Ringkasan!Z1343</f>
        <v>388900</v>
      </c>
      <c r="AA1344" s="60" t="str">
        <f>Ringkasan!AA1343</f>
        <v>Containers &amp; Packaging</v>
      </c>
      <c r="AB1344" s="60" t="str">
        <f>Ringkasan!AB1343</f>
        <v>Basic Materials</v>
      </c>
    </row>
    <row r="1345" hidden="1">
      <c r="A1345" s="60" t="str">
        <f>Ringkasan!A1344</f>
        <v>PBRX</v>
      </c>
      <c r="B1345" s="60" t="str">
        <f>Ringkasan!B1344</f>
        <v>Pan Brothers Tbk.</v>
      </c>
      <c r="C1345" s="61">
        <f>Ringkasan!C1344</f>
        <v>29</v>
      </c>
      <c r="D1345" s="60" t="str">
        <f>Ringkasan!D1344</f>
        <v>#N/A</v>
      </c>
      <c r="E1345" s="60" t="str">
        <f>Ringkasan!E1344</f>
        <v/>
      </c>
      <c r="F1345" s="60" t="str">
        <f>Ringkasan!F1344</f>
        <v/>
      </c>
      <c r="G1345" s="61">
        <f>Ringkasan!G1344</f>
        <v>0</v>
      </c>
      <c r="H1345" s="62">
        <f>Ringkasan!H1344</f>
        <v>-0.56</v>
      </c>
      <c r="I1345" s="62">
        <f>Ringkasan!I1344</f>
        <v>0.65</v>
      </c>
      <c r="J1345" s="62">
        <f>Ringkasan!J1344</f>
        <v>-120</v>
      </c>
      <c r="K1345" s="62">
        <f>Ringkasan!K1344</f>
        <v>-31.9</v>
      </c>
      <c r="L1345" s="62">
        <f>Ringkasan!L1344</f>
        <v>2.7</v>
      </c>
      <c r="M1345" s="62">
        <f>Ringkasan!M1344</f>
        <v>-120</v>
      </c>
      <c r="N1345" s="60" t="str">
        <f>Ringkasan!N1344</f>
        <v/>
      </c>
      <c r="O1345" s="60" t="str">
        <f>Ringkasan!O1344</f>
        <v/>
      </c>
      <c r="P1345" s="60" t="str">
        <f>Ringkasan!P1344</f>
        <v/>
      </c>
      <c r="Q1345" s="60" t="str">
        <f>Ringkasan!Q1344</f>
        <v/>
      </c>
      <c r="R1345" s="60" t="str">
        <f>Ringkasan!R1344</f>
        <v/>
      </c>
      <c r="S1345" s="60" t="str">
        <f>Ringkasan!S1344</f>
        <v/>
      </c>
      <c r="T1345" s="60" t="str">
        <f>Ringkasan!T1344</f>
        <v/>
      </c>
      <c r="U1345" s="60">
        <f>Ringkasan!U1344</f>
        <v>27</v>
      </c>
      <c r="V1345" s="60">
        <f>Ringkasan!V1344</f>
        <v>7.41</v>
      </c>
      <c r="W1345" s="60">
        <f>Ringkasan!W1344</f>
        <v>28</v>
      </c>
      <c r="X1345" s="60">
        <f>Ringkasan!X1344</f>
        <v>29</v>
      </c>
      <c r="Y1345" s="60">
        <f>Ringkasan!Y1344</f>
        <v>28</v>
      </c>
      <c r="Z1345" s="60">
        <f>Ringkasan!Z1344</f>
        <v>2795700</v>
      </c>
      <c r="AA1345" s="60" t="str">
        <f>Ringkasan!AA1344</f>
        <v>Apparel &amp; Luxury Goods</v>
      </c>
      <c r="AB1345" s="60" t="str">
        <f>Ringkasan!AB1344</f>
        <v>Consumer Cyclicals</v>
      </c>
    </row>
    <row r="1346" hidden="1">
      <c r="A1346" s="60" t="str">
        <f>Ringkasan!A1345</f>
        <v>PBSA</v>
      </c>
      <c r="B1346" s="60" t="str">
        <f>Ringkasan!B1345</f>
        <v>PT Paramita Bangun Sarana Tbk</v>
      </c>
      <c r="C1346" s="61">
        <f>Ringkasan!C1345</f>
        <v>710</v>
      </c>
      <c r="D1346" s="60" t="str">
        <f>Ringkasan!D1345</f>
        <v>#N/A</v>
      </c>
      <c r="E1346" s="60" t="str">
        <f>Ringkasan!E1345</f>
        <v/>
      </c>
      <c r="F1346" s="60" t="str">
        <f>Ringkasan!F1345</f>
        <v/>
      </c>
      <c r="G1346" s="60">
        <f>Ringkasan!G1345</f>
        <v>0</v>
      </c>
      <c r="H1346" s="62">
        <f>Ringkasan!H1345</f>
        <v>8.8</v>
      </c>
      <c r="I1346" s="62">
        <f>Ringkasan!I1345</f>
        <v>2.9</v>
      </c>
      <c r="J1346" s="62">
        <f>Ringkasan!J1345</f>
        <v>32.4</v>
      </c>
      <c r="K1346" s="62">
        <f>Ringkasan!K1345</f>
        <v>21.1</v>
      </c>
      <c r="L1346" s="62">
        <f>Ringkasan!L1345</f>
        <v>0.54</v>
      </c>
      <c r="M1346" s="62">
        <f>Ringkasan!M1345</f>
        <v>72</v>
      </c>
      <c r="N1346" s="60" t="str">
        <f>Ringkasan!N1345</f>
        <v/>
      </c>
      <c r="O1346" s="60" t="str">
        <f>Ringkasan!O1345</f>
        <v/>
      </c>
      <c r="P1346" s="60" t="str">
        <f>Ringkasan!P1345</f>
        <v/>
      </c>
      <c r="Q1346" s="60" t="str">
        <f>Ringkasan!Q1345</f>
        <v/>
      </c>
      <c r="R1346" s="60" t="str">
        <f>Ringkasan!R1345</f>
        <v/>
      </c>
      <c r="S1346" s="60" t="str">
        <f>Ringkasan!S1345</f>
        <v/>
      </c>
      <c r="T1346" s="60" t="str">
        <f>Ringkasan!T1345</f>
        <v/>
      </c>
      <c r="U1346" s="60">
        <f>Ringkasan!U1345</f>
        <v>695</v>
      </c>
      <c r="V1346" s="60">
        <f>Ringkasan!V1345</f>
        <v>2.16</v>
      </c>
      <c r="W1346" s="60">
        <f>Ringkasan!W1345</f>
        <v>695</v>
      </c>
      <c r="X1346" s="60">
        <f>Ringkasan!X1345</f>
        <v>750</v>
      </c>
      <c r="Y1346" s="60">
        <f>Ringkasan!Y1345</f>
        <v>695</v>
      </c>
      <c r="Z1346" s="60">
        <f>Ringkasan!Z1345</f>
        <v>501800</v>
      </c>
      <c r="AA1346" s="60" t="str">
        <f>Ringkasan!AA1345</f>
        <v>Heavy Constructions &amp; Civil Engineering</v>
      </c>
      <c r="AB1346" s="60" t="str">
        <f>Ringkasan!AB1345</f>
        <v>Infrastructures</v>
      </c>
    </row>
    <row r="1347" hidden="1">
      <c r="A1347" s="64" t="str">
        <f>Ringkasan!A1316</f>
        <v>NPGF</v>
      </c>
      <c r="B1347" s="64" t="str">
        <f>Ringkasan!B1316</f>
        <v>Nusa Palapa Gemilang Tbk.</v>
      </c>
      <c r="C1347" s="65">
        <f>Ringkasan!C1316</f>
        <v>61</v>
      </c>
      <c r="D1347" s="64" t="str">
        <f>Ringkasan!D1316</f>
        <v>#N/A</v>
      </c>
      <c r="E1347" s="64" t="str">
        <f>Ringkasan!E1316</f>
        <v/>
      </c>
      <c r="F1347" s="64" t="str">
        <f>Ringkasan!F1316</f>
        <v/>
      </c>
      <c r="G1347" s="64">
        <f>Ringkasan!G1316</f>
        <v>0</v>
      </c>
      <c r="H1347" s="19">
        <f>Ringkasan!H1316</f>
        <v>54.1</v>
      </c>
      <c r="I1347" s="19">
        <f>Ringkasan!I1316</f>
        <v>0.83</v>
      </c>
      <c r="J1347" s="19">
        <f>Ringkasan!J1316</f>
        <v>1.5</v>
      </c>
      <c r="K1347" s="19">
        <f>Ringkasan!K1316</f>
        <v>1.1</v>
      </c>
      <c r="L1347" s="19">
        <f>Ringkasan!L1316</f>
        <v>0.38</v>
      </c>
      <c r="M1347" s="19">
        <f>Ringkasan!M1316</f>
        <v>2.8</v>
      </c>
      <c r="N1347" s="64" t="str">
        <f>Ringkasan!N1316</f>
        <v/>
      </c>
      <c r="O1347" s="64" t="str">
        <f>Ringkasan!O1316</f>
        <v/>
      </c>
      <c r="P1347" s="64" t="str">
        <f>Ringkasan!P1316</f>
        <v/>
      </c>
      <c r="Q1347" s="64" t="str">
        <f>Ringkasan!Q1316</f>
        <v/>
      </c>
      <c r="R1347" s="64" t="str">
        <f>Ringkasan!R1316</f>
        <v/>
      </c>
      <c r="S1347" s="64" t="str">
        <f>Ringkasan!S1316</f>
        <v/>
      </c>
      <c r="T1347" s="64" t="str">
        <f>Ringkasan!T1316</f>
        <v/>
      </c>
      <c r="U1347" s="64">
        <f>Ringkasan!U1316</f>
        <v>65</v>
      </c>
      <c r="V1347" s="64">
        <f>Ringkasan!V1316</f>
        <v>-6.15</v>
      </c>
      <c r="W1347" s="64">
        <f>Ringkasan!W1316</f>
        <v>67</v>
      </c>
      <c r="X1347" s="64">
        <f>Ringkasan!X1316</f>
        <v>69</v>
      </c>
      <c r="Y1347" s="64">
        <f>Ringkasan!Y1316</f>
        <v>61</v>
      </c>
      <c r="Z1347" s="64">
        <f>Ringkasan!Z1316</f>
        <v>42630800</v>
      </c>
      <c r="AA1347" s="64" t="str">
        <f>Ringkasan!AA1316</f>
        <v>Chemicals</v>
      </c>
      <c r="AB1347" s="64" t="str">
        <f>Ringkasan!AB1316</f>
        <v>Basic Materials</v>
      </c>
    </row>
    <row r="1348" hidden="1">
      <c r="A1348" s="60" t="str">
        <f>Ringkasan!A1347</f>
        <v>PDES</v>
      </c>
      <c r="B1348" s="60" t="str">
        <f>Ringkasan!B1347</f>
        <v>Destinasi Tirta Nusantara Tbk</v>
      </c>
      <c r="C1348" s="61">
        <f>Ringkasan!C1347</f>
        <v>510</v>
      </c>
      <c r="D1348" s="60" t="str">
        <f>Ringkasan!D1347</f>
        <v>#N/A</v>
      </c>
      <c r="E1348" s="60" t="str">
        <f>Ringkasan!E1347</f>
        <v/>
      </c>
      <c r="F1348" s="60" t="str">
        <f>Ringkasan!F1347</f>
        <v/>
      </c>
      <c r="G1348" s="60">
        <f>Ringkasan!G1347</f>
        <v>0</v>
      </c>
      <c r="H1348" s="62">
        <f>Ringkasan!H1347</f>
        <v>11.3</v>
      </c>
      <c r="I1348" s="62">
        <f>Ringkasan!I1347</f>
        <v>2.9</v>
      </c>
      <c r="J1348" s="62">
        <f>Ringkasan!J1347</f>
        <v>25.7</v>
      </c>
      <c r="K1348" s="62">
        <f>Ringkasan!K1347</f>
        <v>9</v>
      </c>
      <c r="L1348" s="62">
        <f>Ringkasan!L1347</f>
        <v>1.9</v>
      </c>
      <c r="M1348" s="62">
        <f>Ringkasan!M1347</f>
        <v>15.5</v>
      </c>
      <c r="N1348" s="60" t="str">
        <f>Ringkasan!N1347</f>
        <v/>
      </c>
      <c r="O1348" s="60" t="str">
        <f>Ringkasan!O1347</f>
        <v/>
      </c>
      <c r="P1348" s="60" t="str">
        <f>Ringkasan!P1347</f>
        <v/>
      </c>
      <c r="Q1348" s="60" t="str">
        <f>Ringkasan!Q1347</f>
        <v/>
      </c>
      <c r="R1348" s="60" t="str">
        <f>Ringkasan!R1347</f>
        <v/>
      </c>
      <c r="S1348" s="60" t="str">
        <f>Ringkasan!S1347</f>
        <v/>
      </c>
      <c r="T1348" s="60" t="str">
        <f>Ringkasan!T1347</f>
        <v/>
      </c>
      <c r="U1348" s="60">
        <f>Ringkasan!U1347</f>
        <v>505</v>
      </c>
      <c r="V1348" s="60">
        <f>Ringkasan!V1347</f>
        <v>0.99</v>
      </c>
      <c r="W1348" s="60">
        <f>Ringkasan!W1347</f>
        <v>505</v>
      </c>
      <c r="X1348" s="60">
        <f>Ringkasan!X1347</f>
        <v>510</v>
      </c>
      <c r="Y1348" s="60">
        <f>Ringkasan!Y1347</f>
        <v>505</v>
      </c>
      <c r="Z1348" s="60">
        <f>Ringkasan!Z1347</f>
        <v>2900</v>
      </c>
      <c r="AA1348" s="60" t="str">
        <f>Ringkasan!AA1347</f>
        <v>Tourism &amp; Recreation</v>
      </c>
      <c r="AB1348" s="60" t="str">
        <f>Ringkasan!AB1347</f>
        <v>Consumer Cyclicals</v>
      </c>
    </row>
    <row r="1349" hidden="1">
      <c r="A1349" s="64" t="str">
        <f>Ringkasan!A1348</f>
        <v>PDPP</v>
      </c>
      <c r="B1349" s="64" t="str">
        <f>Ringkasan!B1348</f>
        <v>Primadaya Plastisindo Tbk.</v>
      </c>
      <c r="C1349" s="65">
        <f>Ringkasan!C1348</f>
        <v>254</v>
      </c>
      <c r="D1349" s="64" t="str">
        <f>Ringkasan!D1348</f>
        <v>#N/A</v>
      </c>
      <c r="E1349" s="64" t="str">
        <f>Ringkasan!E1348</f>
        <v/>
      </c>
      <c r="F1349" s="64" t="str">
        <f>Ringkasan!F1348</f>
        <v/>
      </c>
      <c r="G1349" s="64">
        <f>Ringkasan!G1348</f>
        <v>0</v>
      </c>
      <c r="H1349" s="19">
        <f>Ringkasan!H1348</f>
        <v>20.3</v>
      </c>
      <c r="I1349" s="19">
        <f>Ringkasan!I1348</f>
        <v>1.9</v>
      </c>
      <c r="J1349" s="19">
        <f>Ringkasan!J1348</f>
        <v>9.5</v>
      </c>
      <c r="K1349" s="19">
        <f>Ringkasan!K1348</f>
        <v>6.5</v>
      </c>
      <c r="L1349" s="19">
        <f>Ringkasan!L1348</f>
        <v>0.46</v>
      </c>
      <c r="M1349" s="19">
        <f>Ringkasan!M1348</f>
        <v>25.1</v>
      </c>
      <c r="N1349" s="64" t="str">
        <f>Ringkasan!N1348</f>
        <v/>
      </c>
      <c r="O1349" s="64" t="str">
        <f>Ringkasan!O1348</f>
        <v/>
      </c>
      <c r="P1349" s="64" t="str">
        <f>Ringkasan!P1348</f>
        <v/>
      </c>
      <c r="Q1349" s="64" t="str">
        <f>Ringkasan!Q1348</f>
        <v/>
      </c>
      <c r="R1349" s="64" t="str">
        <f>Ringkasan!R1348</f>
        <v/>
      </c>
      <c r="S1349" s="64" t="str">
        <f>Ringkasan!S1348</f>
        <v/>
      </c>
      <c r="T1349" s="64" t="str">
        <f>Ringkasan!T1348</f>
        <v/>
      </c>
      <c r="U1349" s="64">
        <f>Ringkasan!U1348</f>
        <v>244</v>
      </c>
      <c r="V1349" s="64">
        <f>Ringkasan!V1348</f>
        <v>4.1</v>
      </c>
      <c r="W1349" s="64">
        <f>Ringkasan!W1348</f>
        <v>268</v>
      </c>
      <c r="X1349" s="64">
        <f>Ringkasan!X1348</f>
        <v>268</v>
      </c>
      <c r="Y1349" s="64">
        <f>Ringkasan!Y1348</f>
        <v>242</v>
      </c>
      <c r="Z1349" s="64">
        <f>Ringkasan!Z1348</f>
        <v>192700</v>
      </c>
      <c r="AA1349" s="64" t="str">
        <f>Ringkasan!AA1348</f>
        <v>Containers &amp; Packaging</v>
      </c>
      <c r="AB1349" s="64" t="str">
        <f>Ringkasan!AB1348</f>
        <v>Basic Materials</v>
      </c>
    </row>
    <row r="1350" hidden="1">
      <c r="A1350" s="64" t="str">
        <f>Ringkasan!A1349</f>
        <v>PEGE</v>
      </c>
      <c r="B1350" s="64" t="str">
        <f>Ringkasan!B1349</f>
        <v>Panca Global Kapital Tbk.</v>
      </c>
      <c r="C1350" s="65">
        <f>Ringkasan!C1349</f>
        <v>105</v>
      </c>
      <c r="D1350" s="64" t="str">
        <f>Ringkasan!D1349</f>
        <v>#N/A</v>
      </c>
      <c r="E1350" s="64" t="str">
        <f>Ringkasan!E1349</f>
        <v/>
      </c>
      <c r="F1350" s="64" t="str">
        <f>Ringkasan!F1349</f>
        <v/>
      </c>
      <c r="G1350" s="64">
        <f>Ringkasan!G1349</f>
        <v>0</v>
      </c>
      <c r="H1350" s="19">
        <f>Ringkasan!H1349</f>
        <v>-6.5</v>
      </c>
      <c r="I1350" s="19">
        <f>Ringkasan!I1349</f>
        <v>2.3</v>
      </c>
      <c r="J1350" s="19">
        <f>Ringkasan!J1349</f>
        <v>-35.7</v>
      </c>
      <c r="K1350" s="19">
        <f>Ringkasan!K1349</f>
        <v>-30.6</v>
      </c>
      <c r="L1350" s="19">
        <f>Ringkasan!L1349</f>
        <v>0.17</v>
      </c>
      <c r="M1350" s="19">
        <f>Ringkasan!M1349</f>
        <v>0</v>
      </c>
      <c r="N1350" s="64" t="str">
        <f>Ringkasan!N1349</f>
        <v/>
      </c>
      <c r="O1350" s="64" t="str">
        <f>Ringkasan!O1349</f>
        <v/>
      </c>
      <c r="P1350" s="64" t="str">
        <f>Ringkasan!P1349</f>
        <v/>
      </c>
      <c r="Q1350" s="64" t="str">
        <f>Ringkasan!Q1349</f>
        <v/>
      </c>
      <c r="R1350" s="64" t="str">
        <f>Ringkasan!R1349</f>
        <v/>
      </c>
      <c r="S1350" s="64" t="str">
        <f>Ringkasan!S1349</f>
        <v/>
      </c>
      <c r="T1350" s="64" t="str">
        <f>Ringkasan!T1349</f>
        <v/>
      </c>
      <c r="U1350" s="64">
        <f>Ringkasan!U1349</f>
        <v>100</v>
      </c>
      <c r="V1350" s="64">
        <f>Ringkasan!V1349</f>
        <v>5</v>
      </c>
      <c r="W1350" s="64">
        <f>Ringkasan!W1349</f>
        <v>98</v>
      </c>
      <c r="X1350" s="64">
        <f>Ringkasan!X1349</f>
        <v>114</v>
      </c>
      <c r="Y1350" s="64">
        <f>Ringkasan!Y1349</f>
        <v>98</v>
      </c>
      <c r="Z1350" s="64">
        <f>Ringkasan!Z1349</f>
        <v>1424100</v>
      </c>
      <c r="AA1350" s="64" t="str">
        <f>Ringkasan!AA1349</f>
        <v>Holding &amp; Investment Companies</v>
      </c>
      <c r="AB1350" s="64" t="str">
        <f>Ringkasan!AB1349</f>
        <v>Financials</v>
      </c>
    </row>
    <row r="1351" hidden="1">
      <c r="A1351" s="64" t="str">
        <f>Ringkasan!A1350</f>
        <v>PEHA</v>
      </c>
      <c r="B1351" s="64" t="str">
        <f>Ringkasan!B1350</f>
        <v>Phapros Tbk.</v>
      </c>
      <c r="C1351" s="65">
        <f>Ringkasan!C1350</f>
        <v>244</v>
      </c>
      <c r="D1351" s="64" t="str">
        <f>Ringkasan!D1350</f>
        <v>#N/A</v>
      </c>
      <c r="E1351" s="64" t="str">
        <f>Ringkasan!E1350</f>
        <v/>
      </c>
      <c r="F1351" s="64" t="str">
        <f>Ringkasan!F1350</f>
        <v/>
      </c>
      <c r="G1351" s="64">
        <f>Ringkasan!G1350</f>
        <v>0</v>
      </c>
      <c r="H1351" s="19">
        <f>Ringkasan!H1350</f>
        <v>6.5</v>
      </c>
      <c r="I1351" s="19">
        <f>Ringkasan!I1350</f>
        <v>0.54</v>
      </c>
      <c r="J1351" s="19">
        <f>Ringkasan!J1350</f>
        <v>8.3</v>
      </c>
      <c r="K1351" s="19">
        <f>Ringkasan!K1350</f>
        <v>2.5</v>
      </c>
      <c r="L1351" s="19">
        <f>Ringkasan!L1350</f>
        <v>2.3</v>
      </c>
      <c r="M1351" s="19">
        <f>Ringkasan!M1350</f>
        <v>16</v>
      </c>
      <c r="N1351" s="64" t="str">
        <f>Ringkasan!N1350</f>
        <v/>
      </c>
      <c r="O1351" s="64" t="str">
        <f>Ringkasan!O1350</f>
        <v/>
      </c>
      <c r="P1351" s="64" t="str">
        <f>Ringkasan!P1350</f>
        <v/>
      </c>
      <c r="Q1351" s="64" t="str">
        <f>Ringkasan!Q1350</f>
        <v/>
      </c>
      <c r="R1351" s="64" t="str">
        <f>Ringkasan!R1350</f>
        <v/>
      </c>
      <c r="S1351" s="64" t="str">
        <f>Ringkasan!S1350</f>
        <v/>
      </c>
      <c r="T1351" s="64" t="str">
        <f>Ringkasan!T1350</f>
        <v/>
      </c>
      <c r="U1351" s="64">
        <f>Ringkasan!U1350</f>
        <v>230</v>
      </c>
      <c r="V1351" s="64">
        <f>Ringkasan!V1350</f>
        <v>6.09</v>
      </c>
      <c r="W1351" s="64">
        <f>Ringkasan!W1350</f>
        <v>238</v>
      </c>
      <c r="X1351" s="64">
        <f>Ringkasan!X1350</f>
        <v>264</v>
      </c>
      <c r="Y1351" s="64">
        <f>Ringkasan!Y1350</f>
        <v>234</v>
      </c>
      <c r="Z1351" s="64">
        <f>Ringkasan!Z1350</f>
        <v>361100</v>
      </c>
      <c r="AA1351" s="64" t="str">
        <f>Ringkasan!AA1350</f>
        <v>Pharmaceuticals</v>
      </c>
      <c r="AB1351" s="64" t="str">
        <f>Ringkasan!AB1350</f>
        <v>Healthcare</v>
      </c>
    </row>
    <row r="1352" hidden="1">
      <c r="A1352" s="64" t="str">
        <f>Ringkasan!A1351</f>
        <v>PEVE</v>
      </c>
      <c r="B1352" s="64" t="str">
        <f>Ringkasan!B1351</f>
        <v>PT Penta Valent Tbk</v>
      </c>
      <c r="C1352" s="65">
        <f>Ringkasan!C1351</f>
        <v>312</v>
      </c>
      <c r="D1352" s="64" t="str">
        <f>Ringkasan!D1351</f>
        <v>#N/A</v>
      </c>
      <c r="E1352" s="64" t="str">
        <f>Ringkasan!E1351</f>
        <v/>
      </c>
      <c r="F1352" s="64" t="str">
        <f>Ringkasan!F1351</f>
        <v/>
      </c>
      <c r="G1352" s="64">
        <f>Ringkasan!G1351</f>
        <v>0</v>
      </c>
      <c r="H1352" s="19">
        <f>Ringkasan!H1351</f>
        <v>10.5</v>
      </c>
      <c r="I1352" s="19">
        <f>Ringkasan!I1351</f>
        <v>1.6</v>
      </c>
      <c r="J1352" s="19">
        <f>Ringkasan!J1351</f>
        <v>15.5</v>
      </c>
      <c r="K1352" s="19">
        <f>Ringkasan!K1351</f>
        <v>4.1</v>
      </c>
      <c r="L1352" s="19">
        <f>Ringkasan!L1351</f>
        <v>2.8</v>
      </c>
      <c r="M1352" s="19">
        <f>Ringkasan!M1351</f>
        <v>6.4</v>
      </c>
      <c r="N1352" s="64" t="str">
        <f>Ringkasan!N1351</f>
        <v/>
      </c>
      <c r="O1352" s="64" t="str">
        <f>Ringkasan!O1351</f>
        <v/>
      </c>
      <c r="P1352" s="64" t="str">
        <f>Ringkasan!P1351</f>
        <v/>
      </c>
      <c r="Q1352" s="64" t="str">
        <f>Ringkasan!Q1351</f>
        <v/>
      </c>
      <c r="R1352" s="64" t="str">
        <f>Ringkasan!R1351</f>
        <v/>
      </c>
      <c r="S1352" s="64" t="str">
        <f>Ringkasan!S1351</f>
        <v/>
      </c>
      <c r="T1352" s="64" t="str">
        <f>Ringkasan!T1351</f>
        <v/>
      </c>
      <c r="U1352" s="64">
        <f>Ringkasan!U1351</f>
        <v>300</v>
      </c>
      <c r="V1352" s="64">
        <f>Ringkasan!V1351</f>
        <v>4</v>
      </c>
      <c r="W1352" s="64">
        <f>Ringkasan!W1351</f>
        <v>290</v>
      </c>
      <c r="X1352" s="64">
        <f>Ringkasan!X1351</f>
        <v>318</v>
      </c>
      <c r="Y1352" s="64">
        <f>Ringkasan!Y1351</f>
        <v>290</v>
      </c>
      <c r="Z1352" s="64">
        <f>Ringkasan!Z1351</f>
        <v>13700</v>
      </c>
      <c r="AA1352" s="64" t="str">
        <f>Ringkasan!AA1351</f>
        <v>Pharmaceuticals</v>
      </c>
      <c r="AB1352" s="64" t="str">
        <f>Ringkasan!AB1351</f>
        <v>Healthcare</v>
      </c>
    </row>
    <row r="1353" hidden="1">
      <c r="A1353" s="64" t="str">
        <f>Ringkasan!A1352</f>
        <v>PGAS</v>
      </c>
      <c r="B1353" s="64" t="str">
        <f>Ringkasan!B1352</f>
        <v>Perusahaan Gas Negara (Persero) Tbk.</v>
      </c>
      <c r="C1353" s="65">
        <f>Ringkasan!C1352</f>
        <v>1530</v>
      </c>
      <c r="D1353" s="64" t="str">
        <f>Ringkasan!D1352</f>
        <v>#N/A</v>
      </c>
      <c r="E1353" s="64" t="str">
        <f>Ringkasan!E1352</f>
        <v>ESGQKEHATI</v>
      </c>
      <c r="F1353" s="66">
        <f>Ringkasan!F1352</f>
        <v>46356</v>
      </c>
      <c r="G1353" s="64">
        <f>Ringkasan!G1352</f>
        <v>22</v>
      </c>
      <c r="H1353" s="19">
        <f>Ringkasan!H1352</f>
        <v>10.7</v>
      </c>
      <c r="I1353" s="19">
        <f>Ringkasan!I1352</f>
        <v>0.7</v>
      </c>
      <c r="J1353" s="19">
        <f>Ringkasan!J1352</f>
        <v>6.5</v>
      </c>
      <c r="K1353" s="19">
        <f>Ringkasan!K1352</f>
        <v>3.9</v>
      </c>
      <c r="L1353" s="19">
        <f>Ringkasan!L1352</f>
        <v>0.66</v>
      </c>
      <c r="M1353" s="19">
        <f>Ringkasan!M1352</f>
        <v>26.1</v>
      </c>
      <c r="N1353" s="64" t="str">
        <f>Ringkasan!N1352</f>
        <v/>
      </c>
      <c r="O1353" s="64" t="str">
        <f>Ringkasan!O1352</f>
        <v/>
      </c>
      <c r="P1353" s="64" t="str">
        <f>Ringkasan!P1352</f>
        <v/>
      </c>
      <c r="Q1353" s="64" t="str">
        <f>Ringkasan!Q1352</f>
        <v/>
      </c>
      <c r="R1353" s="64" t="str">
        <f>Ringkasan!R1352</f>
        <v/>
      </c>
      <c r="S1353" s="64" t="str">
        <f>Ringkasan!S1352</f>
        <v/>
      </c>
      <c r="T1353" s="64" t="str">
        <f>Ringkasan!T1352</f>
        <v/>
      </c>
      <c r="U1353" s="64">
        <f>Ringkasan!U1352</f>
        <v>1500</v>
      </c>
      <c r="V1353" s="64">
        <f>Ringkasan!V1352</f>
        <v>2</v>
      </c>
      <c r="W1353" s="64">
        <f>Ringkasan!W1352</f>
        <v>1550</v>
      </c>
      <c r="X1353" s="64">
        <f>Ringkasan!X1352</f>
        <v>1560</v>
      </c>
      <c r="Y1353" s="64">
        <f>Ringkasan!Y1352</f>
        <v>1510</v>
      </c>
      <c r="Z1353" s="64" t="str">
        <f>Ringkasan!Z1352</f>
        <v/>
      </c>
      <c r="AA1353" s="64" t="str">
        <f>Ringkasan!AA1352</f>
        <v>Oil &amp; Gas</v>
      </c>
      <c r="AB1353" s="64" t="str">
        <f>Ringkasan!AB1352</f>
        <v>Energy</v>
      </c>
    </row>
    <row r="1354" hidden="1">
      <c r="A1354" s="64" t="str">
        <f>Ringkasan!A1334</f>
        <v>PADI</v>
      </c>
      <c r="B1354" s="64" t="str">
        <f>Ringkasan!B1334</f>
        <v>Minna Padi Investama Sekuritas Tbk.</v>
      </c>
      <c r="C1354" s="65">
        <f>Ringkasan!C1334</f>
        <v>74</v>
      </c>
      <c r="D1354" s="64" t="str">
        <f>Ringkasan!D1334</f>
        <v>#N/A</v>
      </c>
      <c r="E1354" s="64" t="str">
        <f>Ringkasan!E1334</f>
        <v/>
      </c>
      <c r="F1354" s="64" t="str">
        <f>Ringkasan!F1334</f>
        <v/>
      </c>
      <c r="G1354" s="64">
        <f>Ringkasan!G1334</f>
        <v>0</v>
      </c>
      <c r="H1354" s="19">
        <f>Ringkasan!H1334</f>
        <v>110</v>
      </c>
      <c r="I1354" s="19">
        <f>Ringkasan!I1334</f>
        <v>6.3</v>
      </c>
      <c r="J1354" s="19">
        <f>Ringkasan!J1334</f>
        <v>5.7</v>
      </c>
      <c r="K1354" s="19">
        <f>Ringkasan!K1334</f>
        <v>4.4</v>
      </c>
      <c r="L1354" s="19">
        <f>Ringkasan!L1334</f>
        <v>0.29</v>
      </c>
      <c r="M1354" s="19">
        <f>Ringkasan!M1334</f>
        <v>67.6</v>
      </c>
      <c r="N1354" s="64" t="str">
        <f>Ringkasan!N1334</f>
        <v/>
      </c>
      <c r="O1354" s="64" t="str">
        <f>Ringkasan!O1334</f>
        <v/>
      </c>
      <c r="P1354" s="64" t="str">
        <f>Ringkasan!P1334</f>
        <v/>
      </c>
      <c r="Q1354" s="64" t="str">
        <f>Ringkasan!Q1334</f>
        <v/>
      </c>
      <c r="R1354" s="64" t="str">
        <f>Ringkasan!R1334</f>
        <v/>
      </c>
      <c r="S1354" s="64" t="str">
        <f>Ringkasan!S1334</f>
        <v/>
      </c>
      <c r="T1354" s="64" t="str">
        <f>Ringkasan!T1334</f>
        <v/>
      </c>
      <c r="U1354" s="64">
        <f>Ringkasan!U1334</f>
        <v>68</v>
      </c>
      <c r="V1354" s="64">
        <f>Ringkasan!V1334</f>
        <v>8.82</v>
      </c>
      <c r="W1354" s="64">
        <f>Ringkasan!W1334</f>
        <v>69</v>
      </c>
      <c r="X1354" s="64">
        <f>Ringkasan!X1334</f>
        <v>78</v>
      </c>
      <c r="Y1354" s="64">
        <f>Ringkasan!Y1334</f>
        <v>68</v>
      </c>
      <c r="Z1354" s="64">
        <f>Ringkasan!Z1334</f>
        <v>260888000</v>
      </c>
      <c r="AA1354" s="64" t="str">
        <f>Ringkasan!AA1334</f>
        <v>Investment Services</v>
      </c>
      <c r="AB1354" s="64" t="str">
        <f>Ringkasan!AB1334</f>
        <v>Financials</v>
      </c>
    </row>
    <row r="1355" hidden="1">
      <c r="A1355" s="64" t="str">
        <f>Ringkasan!A1335</f>
        <v>PALM</v>
      </c>
      <c r="B1355" s="64" t="str">
        <f>Ringkasan!B1335</f>
        <v>PT Provident Investasi Bersama Tbk</v>
      </c>
      <c r="C1355" s="65">
        <f>Ringkasan!C1335</f>
        <v>328</v>
      </c>
      <c r="D1355" s="64" t="str">
        <f>Ringkasan!D1335</f>
        <v>#N/A</v>
      </c>
      <c r="E1355" s="64" t="str">
        <f>Ringkasan!E1335</f>
        <v/>
      </c>
      <c r="F1355" s="64" t="str">
        <f>Ringkasan!F1335</f>
        <v/>
      </c>
      <c r="G1355" s="64">
        <f>Ringkasan!G1335</f>
        <v>0</v>
      </c>
      <c r="H1355" s="19">
        <f>Ringkasan!H1335</f>
        <v>0.96</v>
      </c>
      <c r="I1355" s="19">
        <f>Ringkasan!I1335</f>
        <v>0.65</v>
      </c>
      <c r="J1355" s="19">
        <f>Ringkasan!J1335</f>
        <v>67.7</v>
      </c>
      <c r="K1355" s="19">
        <f>Ringkasan!K1335</f>
        <v>48.5</v>
      </c>
      <c r="L1355" s="19">
        <f>Ringkasan!L1335</f>
        <v>0.4</v>
      </c>
      <c r="M1355" s="19">
        <f>Ringkasan!M1335</f>
        <v>140000</v>
      </c>
      <c r="N1355" s="64" t="str">
        <f>Ringkasan!N1335</f>
        <v/>
      </c>
      <c r="O1355" s="64" t="str">
        <f>Ringkasan!O1335</f>
        <v/>
      </c>
      <c r="P1355" s="64" t="str">
        <f>Ringkasan!P1335</f>
        <v/>
      </c>
      <c r="Q1355" s="64" t="str">
        <f>Ringkasan!Q1335</f>
        <v/>
      </c>
      <c r="R1355" s="64" t="str">
        <f>Ringkasan!R1335</f>
        <v/>
      </c>
      <c r="S1355" s="64" t="str">
        <f>Ringkasan!S1335</f>
        <v/>
      </c>
      <c r="T1355" s="64" t="str">
        <f>Ringkasan!T1335</f>
        <v/>
      </c>
      <c r="U1355" s="64">
        <f>Ringkasan!U1335</f>
        <v>155</v>
      </c>
      <c r="V1355" s="64">
        <f>Ringkasan!V1335</f>
        <v>-0.65</v>
      </c>
      <c r="W1355" s="64">
        <f>Ringkasan!W1335</f>
        <v>165</v>
      </c>
      <c r="X1355" s="64">
        <f>Ringkasan!X1335</f>
        <v>165</v>
      </c>
      <c r="Y1355" s="64">
        <f>Ringkasan!Y1335</f>
        <v>145</v>
      </c>
      <c r="Z1355" s="64">
        <f>Ringkasan!Z1335</f>
        <v>75433</v>
      </c>
      <c r="AA1355" s="64" t="str">
        <f>Ringkasan!AA1335</f>
        <v>Agricultural Products</v>
      </c>
      <c r="AB1355" s="64" t="str">
        <f>Ringkasan!AB1335</f>
        <v>Consumer Non-Cyclicals</v>
      </c>
    </row>
    <row r="1356" hidden="1">
      <c r="A1356" s="60" t="str">
        <f>Ringkasan!A1074</f>
        <v>KONI</v>
      </c>
      <c r="B1356" s="60" t="str">
        <f>Ringkasan!B1074</f>
        <v>Perdana Bangun Pusaka Tbk</v>
      </c>
      <c r="C1356" s="61">
        <f>Ringkasan!C1074</f>
        <v>2320</v>
      </c>
      <c r="D1356" s="60" t="str">
        <f>Ringkasan!D1074</f>
        <v>#N/A</v>
      </c>
      <c r="E1356" s="60" t="str">
        <f>Ringkasan!E1074</f>
        <v/>
      </c>
      <c r="F1356" s="60" t="str">
        <f>Ringkasan!F1074</f>
        <v/>
      </c>
      <c r="G1356" s="60">
        <f>Ringkasan!G1074</f>
        <v>0</v>
      </c>
      <c r="H1356" s="62">
        <f>Ringkasan!H1074</f>
        <v>37.7</v>
      </c>
      <c r="I1356" s="62">
        <f>Ringkasan!I1074</f>
        <v>4.2</v>
      </c>
      <c r="J1356" s="62">
        <f>Ringkasan!J1074</f>
        <v>11.3</v>
      </c>
      <c r="K1356" s="62">
        <f>Ringkasan!K1074</f>
        <v>10.3</v>
      </c>
      <c r="L1356" s="62">
        <f>Ringkasan!L1074</f>
        <v>0.09</v>
      </c>
      <c r="M1356" s="62">
        <f>Ringkasan!M1074</f>
        <v>30.2</v>
      </c>
      <c r="N1356" s="60" t="str">
        <f>Ringkasan!N1074</f>
        <v/>
      </c>
      <c r="O1356" s="60" t="str">
        <f>Ringkasan!O1074</f>
        <v/>
      </c>
      <c r="P1356" s="60" t="str">
        <f>Ringkasan!P1074</f>
        <v/>
      </c>
      <c r="Q1356" s="60" t="str">
        <f>Ringkasan!Q1074</f>
        <v/>
      </c>
      <c r="R1356" s="60" t="str">
        <f>Ringkasan!R1074</f>
        <v/>
      </c>
      <c r="S1356" s="60" t="str">
        <f>Ringkasan!S1074</f>
        <v/>
      </c>
      <c r="T1356" s="60" t="str">
        <f>Ringkasan!T1074</f>
        <v/>
      </c>
      <c r="U1356" s="60">
        <f>Ringkasan!U1074</f>
        <v>2280</v>
      </c>
      <c r="V1356" s="60">
        <f>Ringkasan!V1074</f>
        <v>1.75</v>
      </c>
      <c r="W1356" s="60">
        <f>Ringkasan!W1074</f>
        <v>2280</v>
      </c>
      <c r="X1356" s="60">
        <f>Ringkasan!X1074</f>
        <v>2450</v>
      </c>
      <c r="Y1356" s="60">
        <f>Ringkasan!Y1074</f>
        <v>2200</v>
      </c>
      <c r="Z1356" s="60">
        <f>Ringkasan!Z1074</f>
        <v>59200</v>
      </c>
      <c r="AA1356" s="60" t="str">
        <f>Ringkasan!AA1074</f>
        <v>Commercial Services</v>
      </c>
      <c r="AB1356" s="60" t="str">
        <f>Ringkasan!AB1074</f>
        <v>Industrials</v>
      </c>
    </row>
    <row r="1357" hidden="1">
      <c r="A1357" s="60" t="str">
        <f>Ringkasan!A1075</f>
        <v>KOPI</v>
      </c>
      <c r="B1357" s="60" t="str">
        <f>Ringkasan!B1075</f>
        <v>Mitra Energi Persada Tbk.</v>
      </c>
      <c r="C1357" s="61">
        <f>Ringkasan!C1075</f>
        <v>187</v>
      </c>
      <c r="D1357" s="60" t="str">
        <f>Ringkasan!D1075</f>
        <v>#N/A</v>
      </c>
      <c r="E1357" s="60" t="str">
        <f>Ringkasan!E1075</f>
        <v/>
      </c>
      <c r="F1357" s="60" t="str">
        <f>Ringkasan!F1075</f>
        <v/>
      </c>
      <c r="G1357" s="60">
        <f>Ringkasan!G1075</f>
        <v>0</v>
      </c>
      <c r="H1357" s="62">
        <f>Ringkasan!H1075</f>
        <v>120</v>
      </c>
      <c r="I1357" s="62">
        <f>Ringkasan!I1075</f>
        <v>1.8</v>
      </c>
      <c r="J1357" s="62">
        <f>Ringkasan!J1075</f>
        <v>1.5</v>
      </c>
      <c r="K1357" s="62">
        <f>Ringkasan!K1075</f>
        <v>0.4</v>
      </c>
      <c r="L1357" s="62">
        <f>Ringkasan!L1075</f>
        <v>2.8</v>
      </c>
      <c r="M1357" s="62">
        <f>Ringkasan!M1075</f>
        <v>1.6</v>
      </c>
      <c r="N1357" s="60" t="str">
        <f>Ringkasan!N1075</f>
        <v/>
      </c>
      <c r="O1357" s="60" t="str">
        <f>Ringkasan!O1075</f>
        <v/>
      </c>
      <c r="P1357" s="60" t="str">
        <f>Ringkasan!P1075</f>
        <v/>
      </c>
      <c r="Q1357" s="60" t="str">
        <f>Ringkasan!Q1075</f>
        <v/>
      </c>
      <c r="R1357" s="60" t="str">
        <f>Ringkasan!R1075</f>
        <v/>
      </c>
      <c r="S1357" s="60" t="str">
        <f>Ringkasan!S1075</f>
        <v/>
      </c>
      <c r="T1357" s="60" t="str">
        <f>Ringkasan!T1075</f>
        <v/>
      </c>
      <c r="U1357" s="60">
        <f>Ringkasan!U1075</f>
        <v>202</v>
      </c>
      <c r="V1357" s="60">
        <f>Ringkasan!V1075</f>
        <v>-7.43</v>
      </c>
      <c r="W1357" s="60">
        <f>Ringkasan!W1075</f>
        <v>216</v>
      </c>
      <c r="X1357" s="60">
        <f>Ringkasan!X1075</f>
        <v>240</v>
      </c>
      <c r="Y1357" s="60">
        <f>Ringkasan!Y1075</f>
        <v>180</v>
      </c>
      <c r="Z1357" s="60">
        <f>Ringkasan!Z1075</f>
        <v>5035400</v>
      </c>
      <c r="AA1357" s="60" t="str">
        <f>Ringkasan!AA1075</f>
        <v>Oil &amp; Gas</v>
      </c>
      <c r="AB1357" s="60" t="str">
        <f>Ringkasan!AB1075</f>
        <v>Energy</v>
      </c>
    </row>
    <row r="1358" hidden="1">
      <c r="A1358" s="64" t="str">
        <f>Ringkasan!A823</f>
        <v>HUMI</v>
      </c>
      <c r="B1358" s="64" t="str">
        <f>Ringkasan!B823</f>
        <v>PT Humpuss Maritim Internasional Tbk</v>
      </c>
      <c r="C1358" s="61">
        <f>Ringkasan!C823</f>
        <v>125</v>
      </c>
      <c r="D1358" s="60" t="str">
        <f>Ringkasan!D823</f>
        <v>#N/A</v>
      </c>
      <c r="E1358" s="60" t="str">
        <f>Ringkasan!E823</f>
        <v/>
      </c>
      <c r="F1358" s="60" t="str">
        <f>Ringkasan!F823</f>
        <v/>
      </c>
      <c r="G1358" s="60">
        <f>Ringkasan!G823</f>
        <v>0</v>
      </c>
      <c r="H1358" s="62">
        <f>Ringkasan!H823</f>
        <v>14.4</v>
      </c>
      <c r="I1358" s="62">
        <f>Ringkasan!I823</f>
        <v>0.9</v>
      </c>
      <c r="J1358" s="62">
        <f>Ringkasan!J823</f>
        <v>6.2</v>
      </c>
      <c r="K1358" s="62">
        <f>Ringkasan!K823</f>
        <v>3.4</v>
      </c>
      <c r="L1358" s="62">
        <f>Ringkasan!L823</f>
        <v>0.83</v>
      </c>
      <c r="M1358" s="62">
        <f>Ringkasan!M823</f>
        <v>11.4</v>
      </c>
      <c r="N1358" s="60" t="str">
        <f>Ringkasan!N823</f>
        <v/>
      </c>
      <c r="O1358" s="60" t="str">
        <f>Ringkasan!O823</f>
        <v/>
      </c>
      <c r="P1358" s="60" t="str">
        <f>Ringkasan!P823</f>
        <v/>
      </c>
      <c r="Q1358" s="60" t="str">
        <f>Ringkasan!Q823</f>
        <v/>
      </c>
      <c r="R1358" s="60" t="str">
        <f>Ringkasan!R823</f>
        <v/>
      </c>
      <c r="S1358" s="60" t="str">
        <f>Ringkasan!S823</f>
        <v/>
      </c>
      <c r="T1358" s="60" t="str">
        <f>Ringkasan!T823</f>
        <v/>
      </c>
      <c r="U1358" s="60">
        <f>Ringkasan!U823</f>
        <v>114</v>
      </c>
      <c r="V1358" s="60">
        <f>Ringkasan!V823</f>
        <v>9.65</v>
      </c>
      <c r="W1358" s="60">
        <f>Ringkasan!W823</f>
        <v>114</v>
      </c>
      <c r="X1358" s="60">
        <f>Ringkasan!X823</f>
        <v>127</v>
      </c>
      <c r="Y1358" s="60">
        <f>Ringkasan!Y823</f>
        <v>114</v>
      </c>
      <c r="Z1358" s="60" t="str">
        <f>Ringkasan!Z823</f>
        <v/>
      </c>
      <c r="AA1358" s="60" t="str">
        <f>Ringkasan!AA823</f>
        <v>Oil &amp; Gas</v>
      </c>
      <c r="AB1358" s="64" t="str">
        <f>Ringkasan!AB823</f>
        <v>Energy</v>
      </c>
    </row>
    <row r="1359" hidden="1">
      <c r="A1359" s="64" t="str">
        <f>Ringkasan!A824</f>
        <v>HYGN</v>
      </c>
      <c r="B1359" s="64" t="str">
        <f>Ringkasan!B824</f>
        <v>Ecocare Indo Pasifik Tbk.</v>
      </c>
      <c r="C1359" s="61">
        <f>Ringkasan!C824</f>
        <v>142</v>
      </c>
      <c r="D1359" s="60" t="str">
        <f>Ringkasan!D824</f>
        <v>#N/A</v>
      </c>
      <c r="E1359" s="60" t="str">
        <f>Ringkasan!E824</f>
        <v/>
      </c>
      <c r="F1359" s="60" t="str">
        <f>Ringkasan!F824</f>
        <v/>
      </c>
      <c r="G1359" s="60">
        <f>Ringkasan!G824</f>
        <v>0</v>
      </c>
      <c r="H1359" s="62">
        <f>Ringkasan!H824</f>
        <v>17.4</v>
      </c>
      <c r="I1359" s="62">
        <f>Ringkasan!I824</f>
        <v>2.1</v>
      </c>
      <c r="J1359" s="62">
        <f>Ringkasan!J824</f>
        <v>12.3</v>
      </c>
      <c r="K1359" s="62">
        <f>Ringkasan!K824</f>
        <v>8.7</v>
      </c>
      <c r="L1359" s="62">
        <f>Ringkasan!L824</f>
        <v>0.41</v>
      </c>
      <c r="M1359" s="62">
        <f>Ringkasan!M824</f>
        <v>21</v>
      </c>
      <c r="N1359" s="60" t="str">
        <f>Ringkasan!N824</f>
        <v/>
      </c>
      <c r="O1359" s="60" t="str">
        <f>Ringkasan!O824</f>
        <v/>
      </c>
      <c r="P1359" s="60" t="str">
        <f>Ringkasan!P824</f>
        <v/>
      </c>
      <c r="Q1359" s="60" t="str">
        <f>Ringkasan!Q824</f>
        <v/>
      </c>
      <c r="R1359" s="60" t="str">
        <f>Ringkasan!R824</f>
        <v/>
      </c>
      <c r="S1359" s="60" t="str">
        <f>Ringkasan!S824</f>
        <v/>
      </c>
      <c r="T1359" s="60" t="str">
        <f>Ringkasan!T824</f>
        <v/>
      </c>
      <c r="U1359" s="60">
        <f>Ringkasan!U824</f>
        <v>0</v>
      </c>
      <c r="V1359" s="60">
        <f>Ringkasan!V824</f>
        <v>0</v>
      </c>
      <c r="W1359" s="60" t="str">
        <f>Ringkasan!W824</f>
        <v/>
      </c>
      <c r="X1359" s="60" t="str">
        <f>Ringkasan!X824</f>
        <v/>
      </c>
      <c r="Y1359" s="60" t="str">
        <f>Ringkasan!Y824</f>
        <v/>
      </c>
      <c r="Z1359" s="60">
        <f>Ringkasan!Z824</f>
        <v>26</v>
      </c>
      <c r="AA1359" s="60" t="str">
        <f>Ringkasan!AA824</f>
        <v>Commercial Services</v>
      </c>
      <c r="AB1359" s="64" t="str">
        <f>Ringkasan!AB824</f>
        <v>Industrials</v>
      </c>
    </row>
    <row r="1360" hidden="1">
      <c r="A1360" s="64" t="str">
        <f>Ringkasan!A821</f>
        <v>HRUM</v>
      </c>
      <c r="B1360" s="64" t="str">
        <f>Ringkasan!B821</f>
        <v>Harum Energy Tbk.</v>
      </c>
      <c r="C1360" s="61">
        <f>Ringkasan!C821</f>
        <v>785</v>
      </c>
      <c r="D1360" s="60" t="str">
        <f>Ringkasan!D821</f>
        <v>#N/A</v>
      </c>
      <c r="E1360" s="60" t="str">
        <f>Ringkasan!E821</f>
        <v>IDXSMC-LIQ</v>
      </c>
      <c r="F1360" s="60" t="str">
        <f>Ringkasan!F821</f>
        <v>4 Agustus 2026</v>
      </c>
      <c r="G1360" s="60">
        <f>Ringkasan!G821</f>
        <v>5</v>
      </c>
      <c r="H1360" s="62">
        <f>Ringkasan!H821</f>
        <v>15.5</v>
      </c>
      <c r="I1360" s="62">
        <f>Ringkasan!I821</f>
        <v>0.34</v>
      </c>
      <c r="J1360" s="62">
        <f>Ringkasan!J821</f>
        <v>2.2</v>
      </c>
      <c r="K1360" s="62">
        <f>Ringkasan!K821</f>
        <v>1.1</v>
      </c>
      <c r="L1360" s="62">
        <f>Ringkasan!L821</f>
        <v>1</v>
      </c>
      <c r="M1360" s="62">
        <f>Ringkasan!M821</f>
        <v>11.7</v>
      </c>
      <c r="N1360" s="60" t="str">
        <f>Ringkasan!N821</f>
        <v/>
      </c>
      <c r="O1360" s="60" t="str">
        <f>Ringkasan!O821</f>
        <v/>
      </c>
      <c r="P1360" s="60" t="str">
        <f>Ringkasan!P821</f>
        <v/>
      </c>
      <c r="Q1360" s="60" t="str">
        <f>Ringkasan!Q821</f>
        <v/>
      </c>
      <c r="R1360" s="60" t="str">
        <f>Ringkasan!R821</f>
        <v/>
      </c>
      <c r="S1360" s="60" t="str">
        <f>Ringkasan!S821</f>
        <v/>
      </c>
      <c r="T1360" s="60" t="str">
        <f>Ringkasan!T821</f>
        <v/>
      </c>
      <c r="U1360" s="60">
        <f>Ringkasan!U821</f>
        <v>710</v>
      </c>
      <c r="V1360" s="60" t="str">
        <f>Ringkasan!V821</f>
        <v/>
      </c>
      <c r="W1360" s="60">
        <f>Ringkasan!W821</f>
        <v>730</v>
      </c>
      <c r="X1360" s="60">
        <f>Ringkasan!X821</f>
        <v>800</v>
      </c>
      <c r="Y1360" s="60" t="str">
        <f>Ringkasan!Y821</f>
        <v/>
      </c>
      <c r="Z1360" s="60">
        <f>Ringkasan!Z821</f>
        <v>18631700</v>
      </c>
      <c r="AA1360" s="60" t="str">
        <f>Ringkasan!AA821</f>
        <v>Coal</v>
      </c>
      <c r="AB1360" s="64" t="str">
        <f>Ringkasan!AB821</f>
        <v>Energy</v>
      </c>
    </row>
    <row r="1361" hidden="1">
      <c r="A1361" s="64" t="str">
        <f>Ringkasan!A822</f>
        <v>HRUM</v>
      </c>
      <c r="B1361" s="64" t="str">
        <f>Ringkasan!B822</f>
        <v>Harum Energy Tbk.</v>
      </c>
      <c r="C1361" s="61">
        <f>Ringkasan!C822</f>
        <v>785</v>
      </c>
      <c r="D1361" s="60" t="str">
        <f>Ringkasan!D822</f>
        <v>#N/A</v>
      </c>
      <c r="E1361" s="60" t="str">
        <f>Ringkasan!E822</f>
        <v>JII70</v>
      </c>
      <c r="F1361" s="63">
        <f>Ringkasan!F822</f>
        <v>46356</v>
      </c>
      <c r="G1361" s="60">
        <f>Ringkasan!G822</f>
        <v>5</v>
      </c>
      <c r="H1361" s="62">
        <f>Ringkasan!H822</f>
        <v>15.5</v>
      </c>
      <c r="I1361" s="62">
        <f>Ringkasan!I822</f>
        <v>0.34</v>
      </c>
      <c r="J1361" s="62">
        <f>Ringkasan!J822</f>
        <v>2.2</v>
      </c>
      <c r="K1361" s="62">
        <f>Ringkasan!K822</f>
        <v>1.1</v>
      </c>
      <c r="L1361" s="62">
        <f>Ringkasan!L822</f>
        <v>1</v>
      </c>
      <c r="M1361" s="62">
        <f>Ringkasan!M822</f>
        <v>11.7</v>
      </c>
      <c r="N1361" s="60" t="str">
        <f>Ringkasan!N822</f>
        <v/>
      </c>
      <c r="O1361" s="60" t="str">
        <f>Ringkasan!O822</f>
        <v/>
      </c>
      <c r="P1361" s="60" t="str">
        <f>Ringkasan!P822</f>
        <v/>
      </c>
      <c r="Q1361" s="60" t="str">
        <f>Ringkasan!Q822</f>
        <v/>
      </c>
      <c r="R1361" s="60" t="str">
        <f>Ringkasan!R822</f>
        <v/>
      </c>
      <c r="S1361" s="60" t="str">
        <f>Ringkasan!S822</f>
        <v/>
      </c>
      <c r="T1361" s="60" t="str">
        <f>Ringkasan!T822</f>
        <v/>
      </c>
      <c r="U1361" s="60">
        <f>Ringkasan!U822</f>
        <v>710</v>
      </c>
      <c r="V1361" s="60" t="str">
        <f>Ringkasan!V822</f>
        <v/>
      </c>
      <c r="W1361" s="60">
        <f>Ringkasan!W822</f>
        <v>730</v>
      </c>
      <c r="X1361" s="60">
        <f>Ringkasan!X822</f>
        <v>800</v>
      </c>
      <c r="Y1361" s="60" t="str">
        <f>Ringkasan!Y822</f>
        <v/>
      </c>
      <c r="Z1361" s="60">
        <f>Ringkasan!Z822</f>
        <v>18631700</v>
      </c>
      <c r="AA1361" s="60" t="str">
        <f>Ringkasan!AA822</f>
        <v>Coal</v>
      </c>
      <c r="AB1361" s="64" t="str">
        <f>Ringkasan!AB822</f>
        <v>Energy</v>
      </c>
    </row>
    <row r="1362" hidden="1">
      <c r="A1362" s="64" t="str">
        <f>Ringkasan!A825</f>
        <v>IATA</v>
      </c>
      <c r="B1362" s="64" t="str">
        <f>Ringkasan!B825</f>
        <v>MNC Energy Investments Tbk.</v>
      </c>
      <c r="C1362" s="61">
        <f>Ringkasan!C825</f>
        <v>63</v>
      </c>
      <c r="D1362" s="60" t="str">
        <f>Ringkasan!D825</f>
        <v>#N/A</v>
      </c>
      <c r="E1362" s="60" t="str">
        <f>Ringkasan!E825</f>
        <v/>
      </c>
      <c r="F1362" s="60" t="str">
        <f>Ringkasan!F825</f>
        <v/>
      </c>
      <c r="G1362" s="60">
        <f>Ringkasan!G825</f>
        <v>0</v>
      </c>
      <c r="H1362" s="62">
        <f>Ringkasan!H825</f>
        <v>19.6</v>
      </c>
      <c r="I1362" s="62">
        <f>Ringkasan!I825</f>
        <v>0.93</v>
      </c>
      <c r="J1362" s="62">
        <f>Ringkasan!J825</f>
        <v>4.7</v>
      </c>
      <c r="K1362" s="62">
        <f>Ringkasan!K825</f>
        <v>2.6</v>
      </c>
      <c r="L1362" s="62">
        <f>Ringkasan!L825</f>
        <v>0.81</v>
      </c>
      <c r="M1362" s="62">
        <f>Ringkasan!M825</f>
        <v>29.5</v>
      </c>
      <c r="N1362" s="60" t="str">
        <f>Ringkasan!N825</f>
        <v/>
      </c>
      <c r="O1362" s="60" t="str">
        <f>Ringkasan!O825</f>
        <v/>
      </c>
      <c r="P1362" s="60" t="str">
        <f>Ringkasan!P825</f>
        <v/>
      </c>
      <c r="Q1362" s="60" t="str">
        <f>Ringkasan!Q825</f>
        <v/>
      </c>
      <c r="R1362" s="60" t="str">
        <f>Ringkasan!R825</f>
        <v/>
      </c>
      <c r="S1362" s="60" t="str">
        <f>Ringkasan!S825</f>
        <v/>
      </c>
      <c r="T1362" s="60" t="str">
        <f>Ringkasan!T825</f>
        <v/>
      </c>
      <c r="U1362" s="60">
        <f>Ringkasan!U825</f>
        <v>60</v>
      </c>
      <c r="V1362" s="60">
        <f>Ringkasan!V825</f>
        <v>5</v>
      </c>
      <c r="W1362" s="60">
        <f>Ringkasan!W825</f>
        <v>60</v>
      </c>
      <c r="X1362" s="60">
        <f>Ringkasan!X825</f>
        <v>65</v>
      </c>
      <c r="Y1362" s="60">
        <f>Ringkasan!Y825</f>
        <v>60</v>
      </c>
      <c r="Z1362" s="60">
        <f>Ringkasan!Z825</f>
        <v>178155700</v>
      </c>
      <c r="AA1362" s="60" t="str">
        <f>Ringkasan!AA825</f>
        <v>Coal</v>
      </c>
      <c r="AB1362" s="64" t="str">
        <f>Ringkasan!AB825</f>
        <v>Energy</v>
      </c>
    </row>
    <row r="1363" hidden="1">
      <c r="A1363" s="64" t="str">
        <f>Ringkasan!A826</f>
        <v>IBFN</v>
      </c>
      <c r="B1363" s="64" t="str">
        <f>Ringkasan!B826</f>
        <v>Intan Baru Prana Tbk.</v>
      </c>
      <c r="C1363" s="61">
        <f>Ringkasan!C826</f>
        <v>58</v>
      </c>
      <c r="D1363" s="60" t="str">
        <f>Ringkasan!D826</f>
        <v>#N/A</v>
      </c>
      <c r="E1363" s="60" t="str">
        <f>Ringkasan!E826</f>
        <v/>
      </c>
      <c r="F1363" s="60" t="str">
        <f>Ringkasan!F826</f>
        <v/>
      </c>
      <c r="G1363" s="60">
        <f>Ringkasan!G826</f>
        <v>0</v>
      </c>
      <c r="H1363" s="62">
        <f>Ringkasan!H826</f>
        <v>-4.2</v>
      </c>
      <c r="I1363" s="62">
        <f>Ringkasan!I826</f>
        <v>-0.14</v>
      </c>
      <c r="J1363" s="62">
        <f>Ringkasan!J826</f>
        <v>0</v>
      </c>
      <c r="K1363" s="62">
        <f>Ringkasan!K826</f>
        <v>-5.2</v>
      </c>
      <c r="L1363" s="62">
        <f>Ringkasan!L826</f>
        <v>-1.6</v>
      </c>
      <c r="M1363" s="62">
        <f>Ringkasan!M826</f>
        <v>-47.2</v>
      </c>
      <c r="N1363" s="60" t="str">
        <f>Ringkasan!N826</f>
        <v/>
      </c>
      <c r="O1363" s="60" t="str">
        <f>Ringkasan!O826</f>
        <v/>
      </c>
      <c r="P1363" s="60" t="str">
        <f>Ringkasan!P826</f>
        <v/>
      </c>
      <c r="Q1363" s="60" t="str">
        <f>Ringkasan!Q826</f>
        <v/>
      </c>
      <c r="R1363" s="60" t="str">
        <f>Ringkasan!R826</f>
        <v/>
      </c>
      <c r="S1363" s="60" t="str">
        <f>Ringkasan!S826</f>
        <v/>
      </c>
      <c r="T1363" s="60" t="str">
        <f>Ringkasan!T826</f>
        <v/>
      </c>
      <c r="U1363" s="60">
        <f>Ringkasan!U826</f>
        <v>59</v>
      </c>
      <c r="V1363" s="60">
        <f>Ringkasan!V826</f>
        <v>-1.69</v>
      </c>
      <c r="W1363" s="60">
        <f>Ringkasan!W826</f>
        <v>59</v>
      </c>
      <c r="X1363" s="60">
        <f>Ringkasan!X826</f>
        <v>62</v>
      </c>
      <c r="Y1363" s="60">
        <f>Ringkasan!Y826</f>
        <v>58</v>
      </c>
      <c r="Z1363" s="60">
        <f>Ringkasan!Z826</f>
        <v>112600</v>
      </c>
      <c r="AA1363" s="60" t="str">
        <f>Ringkasan!AA826</f>
        <v>Machinery</v>
      </c>
      <c r="AB1363" s="64" t="str">
        <f>Ringkasan!AB826</f>
        <v>Industrials</v>
      </c>
    </row>
    <row r="1364" hidden="1">
      <c r="A1364" s="64" t="str">
        <f>Ringkasan!A827</f>
        <v>IBOS</v>
      </c>
      <c r="B1364" s="64" t="str">
        <f>Ringkasan!B827</f>
        <v>Indo Boga Sukses Tbk.</v>
      </c>
      <c r="C1364" s="61">
        <f>Ringkasan!C827</f>
        <v>83</v>
      </c>
      <c r="D1364" s="60" t="str">
        <f>Ringkasan!D827</f>
        <v>#N/A</v>
      </c>
      <c r="E1364" s="60" t="str">
        <f>Ringkasan!E827</f>
        <v/>
      </c>
      <c r="F1364" s="60" t="str">
        <f>Ringkasan!F827</f>
        <v/>
      </c>
      <c r="G1364" s="60">
        <f>Ringkasan!G827</f>
        <v>0</v>
      </c>
      <c r="H1364" s="62">
        <f>Ringkasan!H827</f>
        <v>350</v>
      </c>
      <c r="I1364" s="62">
        <f>Ringkasan!I827</f>
        <v>2.2</v>
      </c>
      <c r="J1364" s="62">
        <f>Ringkasan!J827</f>
        <v>0.62</v>
      </c>
      <c r="K1364" s="62">
        <f>Ringkasan!K827</f>
        <v>0.58</v>
      </c>
      <c r="L1364" s="62">
        <f>Ringkasan!L827</f>
        <v>0.07</v>
      </c>
      <c r="M1364" s="62">
        <f>Ringkasan!M827</f>
        <v>5</v>
      </c>
      <c r="N1364" s="60" t="str">
        <f>Ringkasan!N827</f>
        <v/>
      </c>
      <c r="O1364" s="60" t="str">
        <f>Ringkasan!O827</f>
        <v/>
      </c>
      <c r="P1364" s="60" t="str">
        <f>Ringkasan!P827</f>
        <v/>
      </c>
      <c r="Q1364" s="60" t="str">
        <f>Ringkasan!Q827</f>
        <v/>
      </c>
      <c r="R1364" s="60" t="str">
        <f>Ringkasan!R827</f>
        <v/>
      </c>
      <c r="S1364" s="60" t="str">
        <f>Ringkasan!S827</f>
        <v/>
      </c>
      <c r="T1364" s="60" t="str">
        <f>Ringkasan!T827</f>
        <v/>
      </c>
      <c r="U1364" s="60">
        <f>Ringkasan!U827</f>
        <v>84</v>
      </c>
      <c r="V1364" s="60">
        <f>Ringkasan!V827</f>
        <v>-1.19</v>
      </c>
      <c r="W1364" s="60">
        <f>Ringkasan!W827</f>
        <v>84</v>
      </c>
      <c r="X1364" s="60">
        <f>Ringkasan!X827</f>
        <v>88</v>
      </c>
      <c r="Y1364" s="60">
        <f>Ringkasan!Y827</f>
        <v>81</v>
      </c>
      <c r="Z1364" s="60">
        <f>Ringkasan!Z827</f>
        <v>5170800</v>
      </c>
      <c r="AA1364" s="60" t="str">
        <f>Ringkasan!AA827</f>
        <v>Agricultural Products</v>
      </c>
      <c r="AB1364" s="64" t="str">
        <f>Ringkasan!AB827</f>
        <v>Consumer Non-Cyclicals</v>
      </c>
    </row>
    <row r="1365" hidden="1">
      <c r="A1365" s="64" t="str">
        <f>Ringkasan!A828</f>
        <v>IBST</v>
      </c>
      <c r="B1365" s="64" t="str">
        <f>Ringkasan!B828</f>
        <v>Inti Bangun Sejahtera Tbk</v>
      </c>
      <c r="C1365" s="61">
        <f>Ringkasan!C828</f>
        <v>8475</v>
      </c>
      <c r="D1365" s="60" t="str">
        <f>Ringkasan!D828</f>
        <v>#N/A</v>
      </c>
      <c r="E1365" s="60" t="str">
        <f>Ringkasan!E828</f>
        <v/>
      </c>
      <c r="F1365" s="60" t="str">
        <f>Ringkasan!F828</f>
        <v/>
      </c>
      <c r="G1365" s="60">
        <f>Ringkasan!G828</f>
        <v>0</v>
      </c>
      <c r="H1365" s="62">
        <f>Ringkasan!H828</f>
        <v>27.8</v>
      </c>
      <c r="I1365" s="62">
        <f>Ringkasan!I828</f>
        <v>4.4</v>
      </c>
      <c r="J1365" s="62">
        <f>Ringkasan!J828</f>
        <v>16</v>
      </c>
      <c r="K1365" s="62">
        <f>Ringkasan!K828</f>
        <v>10.4</v>
      </c>
      <c r="L1365" s="62">
        <f>Ringkasan!L828</f>
        <v>0.53</v>
      </c>
      <c r="M1365" s="62">
        <f>Ringkasan!M828</f>
        <v>47.2</v>
      </c>
      <c r="N1365" s="60" t="str">
        <f>Ringkasan!N828</f>
        <v/>
      </c>
      <c r="O1365" s="60" t="str">
        <f>Ringkasan!O828</f>
        <v/>
      </c>
      <c r="P1365" s="60" t="str">
        <f>Ringkasan!P828</f>
        <v/>
      </c>
      <c r="Q1365" s="60" t="str">
        <f>Ringkasan!Q828</f>
        <v/>
      </c>
      <c r="R1365" s="60" t="str">
        <f>Ringkasan!R828</f>
        <v/>
      </c>
      <c r="S1365" s="60" t="str">
        <f>Ringkasan!S828</f>
        <v/>
      </c>
      <c r="T1365" s="60" t="str">
        <f>Ringkasan!T828</f>
        <v/>
      </c>
      <c r="U1365" s="60">
        <f>Ringkasan!U828</f>
        <v>91.85</v>
      </c>
      <c r="V1365" s="60">
        <f>Ringkasan!V828</f>
        <v>3.43</v>
      </c>
      <c r="W1365" s="60">
        <f>Ringkasan!W828</f>
        <v>91.55</v>
      </c>
      <c r="X1365" s="60">
        <f>Ringkasan!X828</f>
        <v>97.3</v>
      </c>
      <c r="Y1365" s="60">
        <f>Ringkasan!Y828</f>
        <v>91.55</v>
      </c>
      <c r="Z1365" s="60">
        <f>Ringkasan!Z828</f>
        <v>791717</v>
      </c>
      <c r="AA1365" s="60" t="str">
        <f>Ringkasan!AA828</f>
        <v>Wireless Telecommunication Services</v>
      </c>
      <c r="AB1365" s="64" t="str">
        <f>Ringkasan!AB828</f>
        <v>Infrastructures</v>
      </c>
    </row>
    <row r="1366" hidden="1">
      <c r="A1366" s="64" t="str">
        <f>Ringkasan!A829</f>
        <v>ICBP</v>
      </c>
      <c r="B1366" s="64" t="str">
        <f>Ringkasan!B829</f>
        <v>Indofood CBP Sukses Makmur Tbk.</v>
      </c>
      <c r="C1366" s="61">
        <f>Ringkasan!C829</f>
        <v>6350</v>
      </c>
      <c r="D1366" s="60" t="str">
        <f>Ringkasan!D829</f>
        <v>#N/A</v>
      </c>
      <c r="E1366" s="60" t="str">
        <f>Ringkasan!E829</f>
        <v>ESGQKEHATI</v>
      </c>
      <c r="F1366" s="63">
        <f>Ringkasan!F829</f>
        <v>46356</v>
      </c>
      <c r="G1366" s="60">
        <f>Ringkasan!G829</f>
        <v>16</v>
      </c>
      <c r="H1366" s="62">
        <f>Ringkasan!H829</f>
        <v>9.1</v>
      </c>
      <c r="I1366" s="62">
        <f>Ringkasan!I829</f>
        <v>1.1</v>
      </c>
      <c r="J1366" s="62">
        <f>Ringkasan!J829</f>
        <v>11.9</v>
      </c>
      <c r="K1366" s="62">
        <f>Ringkasan!K829</f>
        <v>6.5</v>
      </c>
      <c r="L1366" s="62">
        <f>Ringkasan!L829</f>
        <v>0.82</v>
      </c>
      <c r="M1366" s="62">
        <f>Ringkasan!M829</f>
        <v>42.1</v>
      </c>
      <c r="N1366" s="60" t="str">
        <f>Ringkasan!N829</f>
        <v/>
      </c>
      <c r="O1366" s="60" t="str">
        <f>Ringkasan!O829</f>
        <v/>
      </c>
      <c r="P1366" s="60" t="str">
        <f>Ringkasan!P829</f>
        <v/>
      </c>
      <c r="Q1366" s="60" t="str">
        <f>Ringkasan!Q829</f>
        <v/>
      </c>
      <c r="R1366" s="60" t="str">
        <f>Ringkasan!R829</f>
        <v/>
      </c>
      <c r="S1366" s="60" t="str">
        <f>Ringkasan!S829</f>
        <v/>
      </c>
      <c r="T1366" s="60" t="str">
        <f>Ringkasan!T829</f>
        <v/>
      </c>
      <c r="U1366" s="60">
        <f>Ringkasan!U829</f>
        <v>6250</v>
      </c>
      <c r="V1366" s="60">
        <f>Ringkasan!V829</f>
        <v>1.6</v>
      </c>
      <c r="W1366" s="60">
        <f>Ringkasan!W829</f>
        <v>6275</v>
      </c>
      <c r="X1366" s="60">
        <f>Ringkasan!X829</f>
        <v>6450</v>
      </c>
      <c r="Y1366" s="60">
        <f>Ringkasan!Y829</f>
        <v>6175</v>
      </c>
      <c r="Z1366" s="60">
        <f>Ringkasan!Z829</f>
        <v>13984100</v>
      </c>
      <c r="AA1366" s="60" t="str">
        <f>Ringkasan!AA829</f>
        <v>Processed Foods</v>
      </c>
      <c r="AB1366" s="64" t="str">
        <f>Ringkasan!AB829</f>
        <v>Consumer Non-Cyclicals</v>
      </c>
    </row>
    <row r="1367" hidden="1">
      <c r="A1367" s="64" t="str">
        <f>Ringkasan!A1205</f>
        <v>MEGA</v>
      </c>
      <c r="B1367" s="64" t="str">
        <f>Ringkasan!B1205</f>
        <v>Bank Mega Tbk</v>
      </c>
      <c r="C1367" s="61">
        <f>Ringkasan!C1205</f>
        <v>2010</v>
      </c>
      <c r="D1367" s="60" t="str">
        <f>Ringkasan!D1205</f>
        <v>#N/A</v>
      </c>
      <c r="E1367" s="60" t="str">
        <f>Ringkasan!E1205</f>
        <v/>
      </c>
      <c r="F1367" s="60" t="str">
        <f>Ringkasan!F1205</f>
        <v/>
      </c>
      <c r="G1367" s="60">
        <f>Ringkasan!G1205</f>
        <v>0</v>
      </c>
      <c r="H1367" s="62">
        <f>Ringkasan!H1205</f>
        <v>12.1</v>
      </c>
      <c r="I1367" s="62">
        <f>Ringkasan!I1205</f>
        <v>1.7</v>
      </c>
      <c r="J1367" s="62">
        <f>Ringkasan!J1205</f>
        <v>14.3</v>
      </c>
      <c r="K1367" s="62">
        <f>Ringkasan!K1205</f>
        <v>2.6</v>
      </c>
      <c r="L1367" s="62">
        <f>Ringkasan!L1205</f>
        <v>4.5</v>
      </c>
      <c r="M1367" s="62">
        <f>Ringkasan!M1205</f>
        <v>130</v>
      </c>
      <c r="N1367" s="60">
        <f>Ringkasan!N1205</f>
        <v>5.12</v>
      </c>
      <c r="O1367" s="60">
        <f>Ringkasan!O1205</f>
        <v>26.85</v>
      </c>
      <c r="P1367" s="60">
        <f>Ringkasan!P1205</f>
        <v>68.4</v>
      </c>
      <c r="Q1367" s="60">
        <f>Ringkasan!Q1205</f>
        <v>1.62</v>
      </c>
      <c r="R1367" s="60">
        <f>Ringkasan!R1205</f>
        <v>69.58</v>
      </c>
      <c r="S1367" s="60">
        <f>Ringkasan!S1205</f>
        <v>43.22</v>
      </c>
      <c r="T1367" s="60">
        <f>Ringkasan!T1205</f>
        <v>6.15</v>
      </c>
      <c r="U1367" s="60">
        <f>Ringkasan!U1205</f>
        <v>0.37</v>
      </c>
      <c r="V1367" s="60">
        <f>Ringkasan!V1205</f>
        <v>0</v>
      </c>
      <c r="W1367" s="60" t="str">
        <f>Ringkasan!W1205</f>
        <v/>
      </c>
      <c r="X1367" s="60" t="str">
        <f>Ringkasan!X1205</f>
        <v/>
      </c>
      <c r="Y1367" s="60" t="str">
        <f>Ringkasan!Y1205</f>
        <v/>
      </c>
      <c r="Z1367" s="60">
        <f>Ringkasan!Z1205</f>
        <v>0</v>
      </c>
      <c r="AA1367" s="60" t="str">
        <f>Ringkasan!AA1205</f>
        <v>Banks</v>
      </c>
      <c r="AB1367" s="64" t="str">
        <f>Ringkasan!AB1205</f>
        <v>Financials</v>
      </c>
    </row>
    <row r="1368" hidden="1">
      <c r="A1368" s="64" t="str">
        <f>Ringkasan!A1206</f>
        <v>MEJA</v>
      </c>
      <c r="B1368" s="64" t="str">
        <f>Ringkasan!B1206</f>
        <v>Harta Djaya Karya Tbk.</v>
      </c>
      <c r="C1368" s="61">
        <f>Ringkasan!C1206</f>
        <v>80</v>
      </c>
      <c r="D1368" s="60" t="str">
        <f>Ringkasan!D1206</f>
        <v>#N/A</v>
      </c>
      <c r="E1368" s="60" t="str">
        <f>Ringkasan!E1206</f>
        <v/>
      </c>
      <c r="F1368" s="60" t="str">
        <f>Ringkasan!F1206</f>
        <v/>
      </c>
      <c r="G1368" s="60">
        <f>Ringkasan!G1206</f>
        <v>0</v>
      </c>
      <c r="H1368" s="62">
        <f>Ringkasan!H1206</f>
        <v>-11.3</v>
      </c>
      <c r="I1368" s="62">
        <f>Ringkasan!I1206</f>
        <v>3.9</v>
      </c>
      <c r="J1368" s="62">
        <f>Ringkasan!J1206</f>
        <v>-34</v>
      </c>
      <c r="K1368" s="62">
        <f>Ringkasan!K1206</f>
        <v>-24.4</v>
      </c>
      <c r="L1368" s="62">
        <f>Ringkasan!L1206</f>
        <v>0.4</v>
      </c>
      <c r="M1368" s="62">
        <f>Ringkasan!M1206</f>
        <v>-77</v>
      </c>
      <c r="N1368" s="60" t="str">
        <f>Ringkasan!N1206</f>
        <v/>
      </c>
      <c r="O1368" s="60" t="str">
        <f>Ringkasan!O1206</f>
        <v/>
      </c>
      <c r="P1368" s="60" t="str">
        <f>Ringkasan!P1206</f>
        <v/>
      </c>
      <c r="Q1368" s="60" t="str">
        <f>Ringkasan!Q1206</f>
        <v/>
      </c>
      <c r="R1368" s="60" t="str">
        <f>Ringkasan!R1206</f>
        <v/>
      </c>
      <c r="S1368" s="60" t="str">
        <f>Ringkasan!S1206</f>
        <v/>
      </c>
      <c r="T1368" s="60" t="str">
        <f>Ringkasan!T1206</f>
        <v/>
      </c>
      <c r="U1368" s="60">
        <f>Ringkasan!U1206</f>
        <v>79</v>
      </c>
      <c r="V1368" s="60">
        <f>Ringkasan!V1206</f>
        <v>1.27</v>
      </c>
      <c r="W1368" s="60">
        <f>Ringkasan!W1206</f>
        <v>80</v>
      </c>
      <c r="X1368" s="60">
        <f>Ringkasan!X1206</f>
        <v>82</v>
      </c>
      <c r="Y1368" s="60">
        <f>Ringkasan!Y1206</f>
        <v>77</v>
      </c>
      <c r="Z1368" s="60">
        <f>Ringkasan!Z1206</f>
        <v>14157400</v>
      </c>
      <c r="AA1368" s="60" t="str">
        <f>Ringkasan!AA1206</f>
        <v>Household Goods</v>
      </c>
      <c r="AB1368" s="64" t="str">
        <f>Ringkasan!AB1206</f>
        <v>Consumer Cyclicals</v>
      </c>
    </row>
    <row r="1369" hidden="1">
      <c r="A1369" s="64" t="str">
        <f>Ringkasan!A1368</f>
        <v>PGAS</v>
      </c>
      <c r="B1369" s="64" t="str">
        <f>Ringkasan!B1368</f>
        <v>Perusahaan Gas Negara (Persero) Tbk.</v>
      </c>
      <c r="C1369" s="65">
        <f>Ringkasan!C1368</f>
        <v>1530</v>
      </c>
      <c r="D1369" s="64" t="str">
        <f>Ringkasan!D1368</f>
        <v>#N/A</v>
      </c>
      <c r="E1369" s="64" t="str">
        <f>Ringkasan!E1368</f>
        <v>IDXSMC-LIQ</v>
      </c>
      <c r="F1369" s="64" t="str">
        <f>Ringkasan!F1368</f>
        <v>4 Agustus 2026</v>
      </c>
      <c r="G1369" s="64">
        <f>Ringkasan!G1368</f>
        <v>22</v>
      </c>
      <c r="H1369" s="19">
        <f>Ringkasan!H1368</f>
        <v>10.7</v>
      </c>
      <c r="I1369" s="19">
        <f>Ringkasan!I1368</f>
        <v>0.7</v>
      </c>
      <c r="J1369" s="19">
        <f>Ringkasan!J1368</f>
        <v>6.5</v>
      </c>
      <c r="K1369" s="19">
        <f>Ringkasan!K1368</f>
        <v>3.9</v>
      </c>
      <c r="L1369" s="19">
        <f>Ringkasan!L1368</f>
        <v>0.66</v>
      </c>
      <c r="M1369" s="19">
        <f>Ringkasan!M1368</f>
        <v>26.1</v>
      </c>
      <c r="N1369" s="64" t="str">
        <f>Ringkasan!N1368</f>
        <v/>
      </c>
      <c r="O1369" s="64" t="str">
        <f>Ringkasan!O1368</f>
        <v/>
      </c>
      <c r="P1369" s="64" t="str">
        <f>Ringkasan!P1368</f>
        <v/>
      </c>
      <c r="Q1369" s="64" t="str">
        <f>Ringkasan!Q1368</f>
        <v/>
      </c>
      <c r="R1369" s="64" t="str">
        <f>Ringkasan!R1368</f>
        <v/>
      </c>
      <c r="S1369" s="64" t="str">
        <f>Ringkasan!S1368</f>
        <v/>
      </c>
      <c r="T1369" s="64" t="str">
        <f>Ringkasan!T1368</f>
        <v/>
      </c>
      <c r="U1369" s="64">
        <f>Ringkasan!U1368</f>
        <v>1500</v>
      </c>
      <c r="V1369" s="64">
        <f>Ringkasan!V1368</f>
        <v>2</v>
      </c>
      <c r="W1369" s="64">
        <f>Ringkasan!W1368</f>
        <v>1550</v>
      </c>
      <c r="X1369" s="64">
        <f>Ringkasan!X1368</f>
        <v>1560</v>
      </c>
      <c r="Y1369" s="64">
        <f>Ringkasan!Y1368</f>
        <v>1510</v>
      </c>
      <c r="Z1369" s="64" t="str">
        <f>Ringkasan!Z1368</f>
        <v/>
      </c>
      <c r="AA1369" s="64" t="str">
        <f>Ringkasan!AA1368</f>
        <v>Oil &amp; Gas</v>
      </c>
      <c r="AB1369" s="64" t="str">
        <f>Ringkasan!AB1368</f>
        <v>Energy</v>
      </c>
    </row>
    <row r="1370" hidden="1">
      <c r="A1370" s="64" t="str">
        <f>Ringkasan!A1369</f>
        <v>PGAS</v>
      </c>
      <c r="B1370" s="64" t="str">
        <f>Ringkasan!B1369</f>
        <v>Perusahaan Gas Negara (Persero) Tbk.</v>
      </c>
      <c r="C1370" s="65">
        <f>Ringkasan!C1369</f>
        <v>1530</v>
      </c>
      <c r="D1370" s="64" t="str">
        <f>Ringkasan!D1369</f>
        <v>#N/A</v>
      </c>
      <c r="E1370" s="64" t="str">
        <f>Ringkasan!E1369</f>
        <v>BISNIS-27</v>
      </c>
      <c r="F1370" s="64" t="str">
        <f>Ringkasan!F1369</f>
        <v>30 Oktober 2026</v>
      </c>
      <c r="G1370" s="65">
        <f>Ringkasan!G1369</f>
        <v>22</v>
      </c>
      <c r="H1370" s="19">
        <f>Ringkasan!H1369</f>
        <v>10.7</v>
      </c>
      <c r="I1370" s="19">
        <f>Ringkasan!I1369</f>
        <v>0.7</v>
      </c>
      <c r="J1370" s="19">
        <f>Ringkasan!J1369</f>
        <v>6.5</v>
      </c>
      <c r="K1370" s="19">
        <f>Ringkasan!K1369</f>
        <v>3.9</v>
      </c>
      <c r="L1370" s="19">
        <f>Ringkasan!L1369</f>
        <v>0.66</v>
      </c>
      <c r="M1370" s="19">
        <f>Ringkasan!M1369</f>
        <v>26.1</v>
      </c>
      <c r="N1370" s="19" t="str">
        <f>Ringkasan!N1369</f>
        <v/>
      </c>
      <c r="O1370" s="19" t="str">
        <f>Ringkasan!O1369</f>
        <v/>
      </c>
      <c r="P1370" s="19" t="str">
        <f>Ringkasan!P1369</f>
        <v/>
      </c>
      <c r="Q1370" s="19" t="str">
        <f>Ringkasan!Q1369</f>
        <v/>
      </c>
      <c r="R1370" s="19" t="str">
        <f>Ringkasan!R1369</f>
        <v/>
      </c>
      <c r="S1370" s="19" t="str">
        <f>Ringkasan!S1369</f>
        <v/>
      </c>
      <c r="T1370" s="19" t="str">
        <f>Ringkasan!T1369</f>
        <v/>
      </c>
      <c r="U1370" s="64">
        <f>Ringkasan!U1369</f>
        <v>1500</v>
      </c>
      <c r="V1370" s="64">
        <f>Ringkasan!V1369</f>
        <v>2</v>
      </c>
      <c r="W1370" s="64">
        <f>Ringkasan!W1369</f>
        <v>1550</v>
      </c>
      <c r="X1370" s="64">
        <f>Ringkasan!X1369</f>
        <v>1560</v>
      </c>
      <c r="Y1370" s="64">
        <f>Ringkasan!Y1369</f>
        <v>1510</v>
      </c>
      <c r="Z1370" s="64" t="str">
        <f>Ringkasan!Z1369</f>
        <v/>
      </c>
      <c r="AA1370" s="64" t="str">
        <f>Ringkasan!AA1369</f>
        <v>Oil &amp; Gas</v>
      </c>
      <c r="AB1370" s="64" t="str">
        <f>Ringkasan!AB1369</f>
        <v>Energy</v>
      </c>
    </row>
    <row r="1371" hidden="1">
      <c r="A1371" s="64" t="str">
        <f>Ringkasan!A1370</f>
        <v>PGAS</v>
      </c>
      <c r="B1371" s="64" t="str">
        <f>Ringkasan!B1370</f>
        <v>Perusahaan Gas Negara (Persero) Tbk.</v>
      </c>
      <c r="C1371" s="65">
        <f>Ringkasan!C1370</f>
        <v>1530</v>
      </c>
      <c r="D1371" s="64" t="str">
        <f>Ringkasan!D1370</f>
        <v>#N/A</v>
      </c>
      <c r="E1371" s="64" t="str">
        <f>Ringkasan!E1370</f>
        <v>FTSE Large Cap</v>
      </c>
      <c r="F1371" s="64" t="str">
        <f>Ringkasan!F1370</f>
        <v>Juni 2026</v>
      </c>
      <c r="G1371" s="64">
        <f>Ringkasan!G1370</f>
        <v>22</v>
      </c>
      <c r="H1371" s="19">
        <f>Ringkasan!H1370</f>
        <v>10.7</v>
      </c>
      <c r="I1371" s="19">
        <f>Ringkasan!I1370</f>
        <v>0.7</v>
      </c>
      <c r="J1371" s="19">
        <f>Ringkasan!J1370</f>
        <v>6.5</v>
      </c>
      <c r="K1371" s="19">
        <f>Ringkasan!K1370</f>
        <v>3.9</v>
      </c>
      <c r="L1371" s="19">
        <f>Ringkasan!L1370</f>
        <v>0.66</v>
      </c>
      <c r="M1371" s="19">
        <f>Ringkasan!M1370</f>
        <v>26.1</v>
      </c>
      <c r="N1371" s="64" t="str">
        <f>Ringkasan!N1370</f>
        <v/>
      </c>
      <c r="O1371" s="64" t="str">
        <f>Ringkasan!O1370</f>
        <v/>
      </c>
      <c r="P1371" s="64" t="str">
        <f>Ringkasan!P1370</f>
        <v/>
      </c>
      <c r="Q1371" s="64" t="str">
        <f>Ringkasan!Q1370</f>
        <v/>
      </c>
      <c r="R1371" s="64" t="str">
        <f>Ringkasan!R1370</f>
        <v/>
      </c>
      <c r="S1371" s="64" t="str">
        <f>Ringkasan!S1370</f>
        <v/>
      </c>
      <c r="T1371" s="64" t="str">
        <f>Ringkasan!T1370</f>
        <v/>
      </c>
      <c r="U1371" s="64">
        <f>Ringkasan!U1370</f>
        <v>1500</v>
      </c>
      <c r="V1371" s="64">
        <f>Ringkasan!V1370</f>
        <v>2</v>
      </c>
      <c r="W1371" s="64">
        <f>Ringkasan!W1370</f>
        <v>1550</v>
      </c>
      <c r="X1371" s="64">
        <f>Ringkasan!X1370</f>
        <v>1560</v>
      </c>
      <c r="Y1371" s="64">
        <f>Ringkasan!Y1370</f>
        <v>1510</v>
      </c>
      <c r="Z1371" s="64" t="str">
        <f>Ringkasan!Z1370</f>
        <v/>
      </c>
      <c r="AA1371" s="64" t="str">
        <f>Ringkasan!AA1370</f>
        <v>Oil &amp; Gas</v>
      </c>
      <c r="AB1371" s="64" t="str">
        <f>Ringkasan!AB1370</f>
        <v>Energy</v>
      </c>
    </row>
    <row r="1372" hidden="1">
      <c r="A1372" s="64" t="str">
        <f>Ringkasan!A1371</f>
        <v>PGAS</v>
      </c>
      <c r="B1372" s="64" t="str">
        <f>Ringkasan!B1371</f>
        <v>Perusahaan Gas Negara (Persero) Tbk.</v>
      </c>
      <c r="C1372" s="65">
        <f>Ringkasan!C1371</f>
        <v>1530</v>
      </c>
      <c r="D1372" s="64" t="str">
        <f>Ringkasan!D1371</f>
        <v>#N/A</v>
      </c>
      <c r="E1372" s="64" t="str">
        <f>Ringkasan!E1371</f>
        <v>MSCI Small Cap</v>
      </c>
      <c r="F1372" s="64" t="str">
        <f>Ringkasan!F1371</f>
        <v>12 Agustus 2026</v>
      </c>
      <c r="G1372" s="64">
        <f>Ringkasan!G1371</f>
        <v>22</v>
      </c>
      <c r="H1372" s="19">
        <f>Ringkasan!H1371</f>
        <v>10.7</v>
      </c>
      <c r="I1372" s="19">
        <f>Ringkasan!I1371</f>
        <v>0.7</v>
      </c>
      <c r="J1372" s="19">
        <f>Ringkasan!J1371</f>
        <v>6.5</v>
      </c>
      <c r="K1372" s="19">
        <f>Ringkasan!K1371</f>
        <v>3.9</v>
      </c>
      <c r="L1372" s="19">
        <f>Ringkasan!L1371</f>
        <v>0.66</v>
      </c>
      <c r="M1372" s="19">
        <f>Ringkasan!M1371</f>
        <v>26.1</v>
      </c>
      <c r="N1372" s="64">
        <f>Ringkasan!N1371</f>
        <v>5.4</v>
      </c>
      <c r="O1372" s="64">
        <f>Ringkasan!O1371</f>
        <v>23.2</v>
      </c>
      <c r="P1372" s="64">
        <f>Ringkasan!P1371</f>
        <v>83</v>
      </c>
      <c r="Q1372" s="64">
        <f>Ringkasan!Q1371</f>
        <v>1.9</v>
      </c>
      <c r="R1372" s="64">
        <f>Ringkasan!R1371</f>
        <v>65.9</v>
      </c>
      <c r="S1372" s="64">
        <f>Ringkasan!S1371</f>
        <v>42.4</v>
      </c>
      <c r="T1372" s="64">
        <f>Ringkasan!T1371</f>
        <v>5.9</v>
      </c>
      <c r="U1372" s="64">
        <f>Ringkasan!U1371</f>
        <v>1500</v>
      </c>
      <c r="V1372" s="64">
        <f>Ringkasan!V1371</f>
        <v>2</v>
      </c>
      <c r="W1372" s="64">
        <f>Ringkasan!W1371</f>
        <v>1550</v>
      </c>
      <c r="X1372" s="64">
        <f>Ringkasan!X1371</f>
        <v>1560</v>
      </c>
      <c r="Y1372" s="64">
        <f>Ringkasan!Y1371</f>
        <v>1510</v>
      </c>
      <c r="Z1372" s="64" t="str">
        <f>Ringkasan!Z1371</f>
        <v/>
      </c>
      <c r="AA1372" s="64" t="str">
        <f>Ringkasan!AA1371</f>
        <v>Oil &amp; Gas</v>
      </c>
      <c r="AB1372" s="64" t="str">
        <f>Ringkasan!AB1371</f>
        <v>Energy</v>
      </c>
    </row>
    <row r="1373" hidden="1">
      <c r="A1373" s="64" t="str">
        <f>Ringkasan!A1372</f>
        <v>PGAS</v>
      </c>
      <c r="B1373" s="64" t="str">
        <f>Ringkasan!B1372</f>
        <v>Perusahaan Gas Negara (Persero) Tbk.</v>
      </c>
      <c r="C1373" s="65">
        <f>Ringkasan!C1372</f>
        <v>1530</v>
      </c>
      <c r="D1373" s="64" t="str">
        <f>Ringkasan!D1372</f>
        <v>#N/A</v>
      </c>
      <c r="E1373" s="64" t="str">
        <f>Ringkasan!E1372</f>
        <v>SRI-KEHATI</v>
      </c>
      <c r="F1373" s="66">
        <f>Ringkasan!F1372</f>
        <v>46356</v>
      </c>
      <c r="G1373" s="64">
        <f>Ringkasan!G1372</f>
        <v>22</v>
      </c>
      <c r="H1373" s="19">
        <f>Ringkasan!H1372</f>
        <v>10.7</v>
      </c>
      <c r="I1373" s="19">
        <f>Ringkasan!I1372</f>
        <v>0.7</v>
      </c>
      <c r="J1373" s="19">
        <f>Ringkasan!J1372</f>
        <v>6.5</v>
      </c>
      <c r="K1373" s="19">
        <f>Ringkasan!K1372</f>
        <v>3.9</v>
      </c>
      <c r="L1373" s="19">
        <f>Ringkasan!L1372</f>
        <v>0.66</v>
      </c>
      <c r="M1373" s="19">
        <f>Ringkasan!M1372</f>
        <v>26.1</v>
      </c>
      <c r="N1373" s="64" t="str">
        <f>Ringkasan!N1372</f>
        <v/>
      </c>
      <c r="O1373" s="64" t="str">
        <f>Ringkasan!O1372</f>
        <v/>
      </c>
      <c r="P1373" s="64" t="str">
        <f>Ringkasan!P1372</f>
        <v/>
      </c>
      <c r="Q1373" s="64" t="str">
        <f>Ringkasan!Q1372</f>
        <v/>
      </c>
      <c r="R1373" s="64" t="str">
        <f>Ringkasan!R1372</f>
        <v/>
      </c>
      <c r="S1373" s="64" t="str">
        <f>Ringkasan!S1372</f>
        <v/>
      </c>
      <c r="T1373" s="64" t="str">
        <f>Ringkasan!T1372</f>
        <v/>
      </c>
      <c r="U1373" s="64">
        <f>Ringkasan!U1372</f>
        <v>1500</v>
      </c>
      <c r="V1373" s="64">
        <f>Ringkasan!V1372</f>
        <v>2</v>
      </c>
      <c r="W1373" s="64">
        <f>Ringkasan!W1372</f>
        <v>1550</v>
      </c>
      <c r="X1373" s="64">
        <f>Ringkasan!X1372</f>
        <v>1560</v>
      </c>
      <c r="Y1373" s="64">
        <f>Ringkasan!Y1372</f>
        <v>1510</v>
      </c>
      <c r="Z1373" s="64" t="str">
        <f>Ringkasan!Z1372</f>
        <v/>
      </c>
      <c r="AA1373" s="64" t="str">
        <f>Ringkasan!AA1372</f>
        <v>Oil &amp; Gas</v>
      </c>
      <c r="AB1373" s="64" t="str">
        <f>Ringkasan!AB1372</f>
        <v>Energy</v>
      </c>
    </row>
    <row r="1374" hidden="1">
      <c r="A1374" s="64" t="str">
        <f>Ringkasan!A1373</f>
        <v>PGAS</v>
      </c>
      <c r="B1374" s="64" t="str">
        <f>Ringkasan!B1373</f>
        <v>Perusahaan Gas Negara (Persero) Tbk.</v>
      </c>
      <c r="C1374" s="65">
        <f>Ringkasan!C1373</f>
        <v>1530</v>
      </c>
      <c r="D1374" s="64" t="str">
        <f>Ringkasan!D1373</f>
        <v>#N/A</v>
      </c>
      <c r="E1374" s="64" t="str">
        <f>Ringkasan!E1373</f>
        <v>JII70</v>
      </c>
      <c r="F1374" s="66">
        <f>Ringkasan!F1373</f>
        <v>46356</v>
      </c>
      <c r="G1374" s="64">
        <f>Ringkasan!G1373</f>
        <v>22</v>
      </c>
      <c r="H1374" s="19">
        <f>Ringkasan!H1373</f>
        <v>10.7</v>
      </c>
      <c r="I1374" s="19">
        <f>Ringkasan!I1373</f>
        <v>0.7</v>
      </c>
      <c r="J1374" s="19">
        <f>Ringkasan!J1373</f>
        <v>6.5</v>
      </c>
      <c r="K1374" s="19">
        <f>Ringkasan!K1373</f>
        <v>3.9</v>
      </c>
      <c r="L1374" s="19">
        <f>Ringkasan!L1373</f>
        <v>0.66</v>
      </c>
      <c r="M1374" s="19">
        <f>Ringkasan!M1373</f>
        <v>26.1</v>
      </c>
      <c r="N1374" s="64" t="str">
        <f>Ringkasan!N1373</f>
        <v/>
      </c>
      <c r="O1374" s="64" t="str">
        <f>Ringkasan!O1373</f>
        <v/>
      </c>
      <c r="P1374" s="64" t="str">
        <f>Ringkasan!P1373</f>
        <v/>
      </c>
      <c r="Q1374" s="64" t="str">
        <f>Ringkasan!Q1373</f>
        <v/>
      </c>
      <c r="R1374" s="64" t="str">
        <f>Ringkasan!R1373</f>
        <v/>
      </c>
      <c r="S1374" s="64" t="str">
        <f>Ringkasan!S1373</f>
        <v/>
      </c>
      <c r="T1374" s="64" t="str">
        <f>Ringkasan!T1373</f>
        <v/>
      </c>
      <c r="U1374" s="64">
        <f>Ringkasan!U1373</f>
        <v>1500</v>
      </c>
      <c r="V1374" s="64">
        <f>Ringkasan!V1373</f>
        <v>2</v>
      </c>
      <c r="W1374" s="64">
        <f>Ringkasan!W1373</f>
        <v>1550</v>
      </c>
      <c r="X1374" s="64">
        <f>Ringkasan!X1373</f>
        <v>1560</v>
      </c>
      <c r="Y1374" s="64">
        <f>Ringkasan!Y1373</f>
        <v>1510</v>
      </c>
      <c r="Z1374" s="64" t="str">
        <f>Ringkasan!Z1373</f>
        <v/>
      </c>
      <c r="AA1374" s="64" t="str">
        <f>Ringkasan!AA1373</f>
        <v>Oil &amp; Gas</v>
      </c>
      <c r="AB1374" s="64" t="str">
        <f>Ringkasan!AB1373</f>
        <v>Energy</v>
      </c>
    </row>
    <row r="1375" hidden="1">
      <c r="A1375" s="64" t="str">
        <f>Ringkasan!A1374</f>
        <v>PGEO</v>
      </c>
      <c r="B1375" s="64" t="str">
        <f>Ringkasan!B1374</f>
        <v>PT Pertamina Geothermal Energy Tbk</v>
      </c>
      <c r="C1375" s="65">
        <f>Ringkasan!C1374</f>
        <v>865</v>
      </c>
      <c r="D1375" s="64" t="str">
        <f>Ringkasan!D1374</f>
        <v>#N/A</v>
      </c>
      <c r="E1375" s="64" t="str">
        <f>Ringkasan!E1374</f>
        <v>ESGQKEHATI</v>
      </c>
      <c r="F1375" s="66">
        <f>Ringkasan!F1374</f>
        <v>46356</v>
      </c>
      <c r="G1375" s="64">
        <f>Ringkasan!G1374</f>
        <v>13</v>
      </c>
      <c r="H1375" s="19">
        <f>Ringkasan!H1374</f>
        <v>14.8</v>
      </c>
      <c r="I1375" s="19">
        <f>Ringkasan!I1374</f>
        <v>1.1</v>
      </c>
      <c r="J1375" s="19">
        <f>Ringkasan!J1374</f>
        <v>7.1</v>
      </c>
      <c r="K1375" s="19">
        <f>Ringkasan!K1374</f>
        <v>4.9</v>
      </c>
      <c r="L1375" s="19">
        <f>Ringkasan!L1374</f>
        <v>0.46</v>
      </c>
      <c r="M1375" s="19">
        <f>Ringkasan!M1374</f>
        <v>130</v>
      </c>
      <c r="N1375" s="64" t="str">
        <f>Ringkasan!N1374</f>
        <v/>
      </c>
      <c r="O1375" s="64" t="str">
        <f>Ringkasan!O1374</f>
        <v/>
      </c>
      <c r="P1375" s="64" t="str">
        <f>Ringkasan!P1374</f>
        <v/>
      </c>
      <c r="Q1375" s="64" t="str">
        <f>Ringkasan!Q1374</f>
        <v/>
      </c>
      <c r="R1375" s="64" t="str">
        <f>Ringkasan!R1374</f>
        <v/>
      </c>
      <c r="S1375" s="64" t="str">
        <f>Ringkasan!S1374</f>
        <v/>
      </c>
      <c r="T1375" s="64" t="str">
        <f>Ringkasan!T1374</f>
        <v/>
      </c>
      <c r="U1375" s="64">
        <f>Ringkasan!U1374</f>
        <v>825</v>
      </c>
      <c r="V1375" s="64">
        <f>Ringkasan!V1374</f>
        <v>4.85</v>
      </c>
      <c r="W1375" s="64" t="str">
        <f>Ringkasan!W1374</f>
        <v/>
      </c>
      <c r="X1375" s="64">
        <f>Ringkasan!X1374</f>
        <v>875</v>
      </c>
      <c r="Y1375" s="64">
        <f>Ringkasan!Y1374</f>
        <v>840</v>
      </c>
      <c r="Z1375" s="64">
        <f>Ringkasan!Z1374</f>
        <v>11591300</v>
      </c>
      <c r="AA1375" s="64" t="str">
        <f>Ringkasan!AA1374</f>
        <v>Electric Utilities</v>
      </c>
      <c r="AB1375" s="64" t="str">
        <f>Ringkasan!AB1374</f>
        <v>Infrastructures</v>
      </c>
    </row>
    <row r="1376" hidden="1">
      <c r="A1376" s="64" t="str">
        <f>Ringkasan!A1375</f>
        <v>PGEO</v>
      </c>
      <c r="B1376" s="64" t="str">
        <f>Ringkasan!B1375</f>
        <v>PT Pertamina Geothermal Energy Tbk</v>
      </c>
      <c r="C1376" s="65">
        <f>Ringkasan!C1375</f>
        <v>865</v>
      </c>
      <c r="D1376" s="64" t="str">
        <f>Ringkasan!D1375</f>
        <v>#N/A</v>
      </c>
      <c r="E1376" s="64" t="str">
        <f>Ringkasan!E1375</f>
        <v>ESGSKEHATI</v>
      </c>
      <c r="F1376" s="66">
        <f>Ringkasan!F1375</f>
        <v>46356</v>
      </c>
      <c r="G1376" s="64">
        <f>Ringkasan!G1375</f>
        <v>13</v>
      </c>
      <c r="H1376" s="19">
        <f>Ringkasan!H1375</f>
        <v>14.8</v>
      </c>
      <c r="I1376" s="19">
        <f>Ringkasan!I1375</f>
        <v>1.1</v>
      </c>
      <c r="J1376" s="19">
        <f>Ringkasan!J1375</f>
        <v>7.1</v>
      </c>
      <c r="K1376" s="19">
        <f>Ringkasan!K1375</f>
        <v>4.9</v>
      </c>
      <c r="L1376" s="19">
        <f>Ringkasan!L1375</f>
        <v>0.46</v>
      </c>
      <c r="M1376" s="19">
        <f>Ringkasan!M1375</f>
        <v>130</v>
      </c>
      <c r="N1376" s="64" t="str">
        <f>Ringkasan!N1375</f>
        <v/>
      </c>
      <c r="O1376" s="64" t="str">
        <f>Ringkasan!O1375</f>
        <v/>
      </c>
      <c r="P1376" s="64" t="str">
        <f>Ringkasan!P1375</f>
        <v/>
      </c>
      <c r="Q1376" s="64" t="str">
        <f>Ringkasan!Q1375</f>
        <v/>
      </c>
      <c r="R1376" s="64" t="str">
        <f>Ringkasan!R1375</f>
        <v/>
      </c>
      <c r="S1376" s="64" t="str">
        <f>Ringkasan!S1375</f>
        <v/>
      </c>
      <c r="T1376" s="64" t="str">
        <f>Ringkasan!T1375</f>
        <v/>
      </c>
      <c r="U1376" s="64">
        <f>Ringkasan!U1375</f>
        <v>825</v>
      </c>
      <c r="V1376" s="64">
        <f>Ringkasan!V1375</f>
        <v>4.85</v>
      </c>
      <c r="W1376" s="64" t="str">
        <f>Ringkasan!W1375</f>
        <v/>
      </c>
      <c r="X1376" s="64">
        <f>Ringkasan!X1375</f>
        <v>875</v>
      </c>
      <c r="Y1376" s="64">
        <f>Ringkasan!Y1375</f>
        <v>840</v>
      </c>
      <c r="Z1376" s="64">
        <f>Ringkasan!Z1375</f>
        <v>11591300</v>
      </c>
      <c r="AA1376" s="64" t="str">
        <f>Ringkasan!AA1375</f>
        <v>Electric Utilities</v>
      </c>
      <c r="AB1376" s="64" t="str">
        <f>Ringkasan!AB1375</f>
        <v>Infrastructures</v>
      </c>
    </row>
    <row r="1377" hidden="1">
      <c r="A1377" s="64" t="str">
        <f>Ringkasan!A1376</f>
        <v>PGEO</v>
      </c>
      <c r="B1377" s="64" t="str">
        <f>Ringkasan!B1376</f>
        <v>PT Pertamina Geothermal Energy Tbk</v>
      </c>
      <c r="C1377" s="65">
        <f>Ringkasan!C1376</f>
        <v>865</v>
      </c>
      <c r="D1377" s="64" t="str">
        <f>Ringkasan!D1376</f>
        <v>#N/A</v>
      </c>
      <c r="E1377" s="64" t="str">
        <f>Ringkasan!E1376</f>
        <v>IDXQ30</v>
      </c>
      <c r="F1377" s="64" t="str">
        <f>Ringkasan!F1376</f>
        <v>4 Agustus 2026</v>
      </c>
      <c r="G1377" s="64">
        <f>Ringkasan!G1376</f>
        <v>13</v>
      </c>
      <c r="H1377" s="19">
        <f>Ringkasan!H1376</f>
        <v>14.8</v>
      </c>
      <c r="I1377" s="19">
        <f>Ringkasan!I1376</f>
        <v>1.1</v>
      </c>
      <c r="J1377" s="19">
        <f>Ringkasan!J1376</f>
        <v>7.1</v>
      </c>
      <c r="K1377" s="19">
        <f>Ringkasan!K1376</f>
        <v>4.9</v>
      </c>
      <c r="L1377" s="19">
        <f>Ringkasan!L1376</f>
        <v>0.46</v>
      </c>
      <c r="M1377" s="19">
        <f>Ringkasan!M1376</f>
        <v>130</v>
      </c>
      <c r="N1377" s="64" t="str">
        <f>Ringkasan!N1376</f>
        <v/>
      </c>
      <c r="O1377" s="64" t="str">
        <f>Ringkasan!O1376</f>
        <v/>
      </c>
      <c r="P1377" s="64" t="str">
        <f>Ringkasan!P1376</f>
        <v/>
      </c>
      <c r="Q1377" s="64" t="str">
        <f>Ringkasan!Q1376</f>
        <v/>
      </c>
      <c r="R1377" s="64" t="str">
        <f>Ringkasan!R1376</f>
        <v/>
      </c>
      <c r="S1377" s="64" t="str">
        <f>Ringkasan!S1376</f>
        <v/>
      </c>
      <c r="T1377" s="64" t="str">
        <f>Ringkasan!T1376</f>
        <v/>
      </c>
      <c r="U1377" s="64">
        <f>Ringkasan!U1376</f>
        <v>825</v>
      </c>
      <c r="V1377" s="64">
        <f>Ringkasan!V1376</f>
        <v>4.85</v>
      </c>
      <c r="W1377" s="64" t="str">
        <f>Ringkasan!W1376</f>
        <v/>
      </c>
      <c r="X1377" s="64">
        <f>Ringkasan!X1376</f>
        <v>875</v>
      </c>
      <c r="Y1377" s="64">
        <f>Ringkasan!Y1376</f>
        <v>840</v>
      </c>
      <c r="Z1377" s="64">
        <f>Ringkasan!Z1376</f>
        <v>11591300</v>
      </c>
      <c r="AA1377" s="64" t="str">
        <f>Ringkasan!AA1376</f>
        <v>Electric Utilities</v>
      </c>
      <c r="AB1377" s="64" t="str">
        <f>Ringkasan!AB1376</f>
        <v>Infrastructures</v>
      </c>
    </row>
    <row r="1378" hidden="1">
      <c r="A1378" s="64" t="str">
        <f>Ringkasan!A1377</f>
        <v>PGEO</v>
      </c>
      <c r="B1378" s="64" t="str">
        <f>Ringkasan!B1377</f>
        <v>PT Pertamina Geothermal Energy Tbk</v>
      </c>
      <c r="C1378" s="65">
        <f>Ringkasan!C1377</f>
        <v>865</v>
      </c>
      <c r="D1378" s="64" t="str">
        <f>Ringkasan!D1377</f>
        <v>#N/A</v>
      </c>
      <c r="E1378" s="64" t="str">
        <f>Ringkasan!E1377</f>
        <v>IDXBUMN20</v>
      </c>
      <c r="F1378" s="64" t="str">
        <f>Ringkasan!F1377</f>
        <v>4 Agustus 2026</v>
      </c>
      <c r="G1378" s="64">
        <f>Ringkasan!G1377</f>
        <v>13</v>
      </c>
      <c r="H1378" s="19">
        <f>Ringkasan!H1377</f>
        <v>14.8</v>
      </c>
      <c r="I1378" s="19">
        <f>Ringkasan!I1377</f>
        <v>1.1</v>
      </c>
      <c r="J1378" s="19">
        <f>Ringkasan!J1377</f>
        <v>7.1</v>
      </c>
      <c r="K1378" s="19">
        <f>Ringkasan!K1377</f>
        <v>4.9</v>
      </c>
      <c r="L1378" s="19">
        <f>Ringkasan!L1377</f>
        <v>0.46</v>
      </c>
      <c r="M1378" s="19">
        <f>Ringkasan!M1377</f>
        <v>130</v>
      </c>
      <c r="N1378" s="64" t="str">
        <f>Ringkasan!N1377</f>
        <v/>
      </c>
      <c r="O1378" s="64" t="str">
        <f>Ringkasan!O1377</f>
        <v/>
      </c>
      <c r="P1378" s="64" t="str">
        <f>Ringkasan!P1377</f>
        <v/>
      </c>
      <c r="Q1378" s="64" t="str">
        <f>Ringkasan!Q1377</f>
        <v/>
      </c>
      <c r="R1378" s="64" t="str">
        <f>Ringkasan!R1377</f>
        <v/>
      </c>
      <c r="S1378" s="64" t="str">
        <f>Ringkasan!S1377</f>
        <v/>
      </c>
      <c r="T1378" s="64" t="str">
        <f>Ringkasan!T1377</f>
        <v/>
      </c>
      <c r="U1378" s="64">
        <f>Ringkasan!U1377</f>
        <v>825</v>
      </c>
      <c r="V1378" s="64">
        <f>Ringkasan!V1377</f>
        <v>4.85</v>
      </c>
      <c r="W1378" s="64" t="str">
        <f>Ringkasan!W1377</f>
        <v/>
      </c>
      <c r="X1378" s="64">
        <f>Ringkasan!X1377</f>
        <v>875</v>
      </c>
      <c r="Y1378" s="64">
        <f>Ringkasan!Y1377</f>
        <v>840</v>
      </c>
      <c r="Z1378" s="64">
        <f>Ringkasan!Z1377</f>
        <v>11591300</v>
      </c>
      <c r="AA1378" s="64" t="str">
        <f>Ringkasan!AA1377</f>
        <v>Electric Utilities</v>
      </c>
      <c r="AB1378" s="64" t="str">
        <f>Ringkasan!AB1377</f>
        <v>Infrastructures</v>
      </c>
    </row>
    <row r="1379" hidden="1">
      <c r="A1379" s="64" t="str">
        <f>Ringkasan!A1378</f>
        <v>PGEO</v>
      </c>
      <c r="B1379" s="64" t="str">
        <f>Ringkasan!B1378</f>
        <v>PT Pertamina Geothermal Energy Tbk</v>
      </c>
      <c r="C1379" s="65">
        <f>Ringkasan!C1378</f>
        <v>865</v>
      </c>
      <c r="D1379" s="64" t="str">
        <f>Ringkasan!D1378</f>
        <v>#N/A</v>
      </c>
      <c r="E1379" s="64" t="str">
        <f>Ringkasan!E1378</f>
        <v>IDX30</v>
      </c>
      <c r="F1379" s="64" t="str">
        <f>Ringkasan!F1378</f>
        <v>31 Juli 2026</v>
      </c>
      <c r="G1379" s="64">
        <f>Ringkasan!G1378</f>
        <v>13</v>
      </c>
      <c r="H1379" s="19">
        <f>Ringkasan!H1378</f>
        <v>14.8</v>
      </c>
      <c r="I1379" s="19">
        <f>Ringkasan!I1378</f>
        <v>1.1</v>
      </c>
      <c r="J1379" s="19">
        <f>Ringkasan!J1378</f>
        <v>7.1</v>
      </c>
      <c r="K1379" s="19">
        <f>Ringkasan!K1378</f>
        <v>4.9</v>
      </c>
      <c r="L1379" s="19">
        <f>Ringkasan!L1378</f>
        <v>0.46</v>
      </c>
      <c r="M1379" s="19">
        <f>Ringkasan!M1378</f>
        <v>130</v>
      </c>
      <c r="N1379" s="64" t="str">
        <f>Ringkasan!N1378</f>
        <v/>
      </c>
      <c r="O1379" s="64" t="str">
        <f>Ringkasan!O1378</f>
        <v/>
      </c>
      <c r="P1379" s="64" t="str">
        <f>Ringkasan!P1378</f>
        <v/>
      </c>
      <c r="Q1379" s="64" t="str">
        <f>Ringkasan!Q1378</f>
        <v/>
      </c>
      <c r="R1379" s="64" t="str">
        <f>Ringkasan!R1378</f>
        <v/>
      </c>
      <c r="S1379" s="64" t="str">
        <f>Ringkasan!S1378</f>
        <v/>
      </c>
      <c r="T1379" s="64" t="str">
        <f>Ringkasan!T1378</f>
        <v/>
      </c>
      <c r="U1379" s="64">
        <f>Ringkasan!U1378</f>
        <v>825</v>
      </c>
      <c r="V1379" s="64">
        <f>Ringkasan!V1378</f>
        <v>4.85</v>
      </c>
      <c r="W1379" s="64" t="str">
        <f>Ringkasan!W1378</f>
        <v/>
      </c>
      <c r="X1379" s="64">
        <f>Ringkasan!X1378</f>
        <v>875</v>
      </c>
      <c r="Y1379" s="64">
        <f>Ringkasan!Y1378</f>
        <v>840</v>
      </c>
      <c r="Z1379" s="64">
        <f>Ringkasan!Z1378</f>
        <v>11591300</v>
      </c>
      <c r="AA1379" s="64" t="str">
        <f>Ringkasan!AA1378</f>
        <v>Electric Utilities</v>
      </c>
      <c r="AB1379" s="64" t="str">
        <f>Ringkasan!AB1378</f>
        <v>Infrastructures</v>
      </c>
    </row>
    <row r="1380" hidden="1">
      <c r="A1380" s="64" t="str">
        <f>Ringkasan!A1379</f>
        <v>PGEO</v>
      </c>
      <c r="B1380" s="64" t="str">
        <f>Ringkasan!B1379</f>
        <v>PT Pertamina Geothermal Energy Tbk</v>
      </c>
      <c r="C1380" s="65">
        <f>Ringkasan!C1379</f>
        <v>865</v>
      </c>
      <c r="D1380" s="64" t="str">
        <f>Ringkasan!D1379</f>
        <v>#N/A</v>
      </c>
      <c r="E1380" s="64" t="str">
        <f>Ringkasan!E1379</f>
        <v>IDX80</v>
      </c>
      <c r="F1380" s="64" t="str">
        <f>Ringkasan!F1379</f>
        <v>31 Juli 2026</v>
      </c>
      <c r="G1380" s="64">
        <f>Ringkasan!G1379</f>
        <v>13</v>
      </c>
      <c r="H1380" s="19">
        <f>Ringkasan!H1379</f>
        <v>14.8</v>
      </c>
      <c r="I1380" s="19">
        <f>Ringkasan!I1379</f>
        <v>1.1</v>
      </c>
      <c r="J1380" s="19">
        <f>Ringkasan!J1379</f>
        <v>7.1</v>
      </c>
      <c r="K1380" s="19">
        <f>Ringkasan!K1379</f>
        <v>4.9</v>
      </c>
      <c r="L1380" s="19">
        <f>Ringkasan!L1379</f>
        <v>0.46</v>
      </c>
      <c r="M1380" s="19">
        <f>Ringkasan!M1379</f>
        <v>130</v>
      </c>
      <c r="N1380" s="64" t="str">
        <f>Ringkasan!N1379</f>
        <v/>
      </c>
      <c r="O1380" s="64" t="str">
        <f>Ringkasan!O1379</f>
        <v/>
      </c>
      <c r="P1380" s="64" t="str">
        <f>Ringkasan!P1379</f>
        <v/>
      </c>
      <c r="Q1380" s="64" t="str">
        <f>Ringkasan!Q1379</f>
        <v/>
      </c>
      <c r="R1380" s="64" t="str">
        <f>Ringkasan!R1379</f>
        <v/>
      </c>
      <c r="S1380" s="64" t="str">
        <f>Ringkasan!S1379</f>
        <v/>
      </c>
      <c r="T1380" s="64" t="str">
        <f>Ringkasan!T1379</f>
        <v/>
      </c>
      <c r="U1380" s="64">
        <f>Ringkasan!U1379</f>
        <v>825</v>
      </c>
      <c r="V1380" s="64">
        <f>Ringkasan!V1379</f>
        <v>4.85</v>
      </c>
      <c r="W1380" s="64" t="str">
        <f>Ringkasan!W1379</f>
        <v/>
      </c>
      <c r="X1380" s="64">
        <f>Ringkasan!X1379</f>
        <v>875</v>
      </c>
      <c r="Y1380" s="64">
        <f>Ringkasan!Y1379</f>
        <v>840</v>
      </c>
      <c r="Z1380" s="64">
        <f>Ringkasan!Z1379</f>
        <v>11591300</v>
      </c>
      <c r="AA1380" s="64" t="str">
        <f>Ringkasan!AA1379</f>
        <v>Electric Utilities</v>
      </c>
      <c r="AB1380" s="64" t="str">
        <f>Ringkasan!AB1379</f>
        <v>Infrastructures</v>
      </c>
    </row>
    <row r="1381" hidden="1">
      <c r="A1381" s="64" t="str">
        <f>Ringkasan!A1380</f>
        <v>PGEO</v>
      </c>
      <c r="B1381" s="64" t="str">
        <f>Ringkasan!B1380</f>
        <v>PT Pertamina Geothermal Energy Tbk</v>
      </c>
      <c r="C1381" s="65">
        <f>Ringkasan!C1380</f>
        <v>865</v>
      </c>
      <c r="D1381" s="64" t="str">
        <f>Ringkasan!D1380</f>
        <v>#N/A</v>
      </c>
      <c r="E1381" s="64" t="str">
        <f>Ringkasan!E1380</f>
        <v>Kompas100</v>
      </c>
      <c r="F1381" s="64" t="str">
        <f>Ringkasan!F1380</f>
        <v>31 Juli 2026</v>
      </c>
      <c r="G1381" s="64">
        <f>Ringkasan!G1380</f>
        <v>13</v>
      </c>
      <c r="H1381" s="19">
        <f>Ringkasan!H1380</f>
        <v>14.8</v>
      </c>
      <c r="I1381" s="19">
        <f>Ringkasan!I1380</f>
        <v>1.1</v>
      </c>
      <c r="J1381" s="19">
        <f>Ringkasan!J1380</f>
        <v>7.1</v>
      </c>
      <c r="K1381" s="19">
        <f>Ringkasan!K1380</f>
        <v>4.9</v>
      </c>
      <c r="L1381" s="19">
        <f>Ringkasan!L1380</f>
        <v>0.46</v>
      </c>
      <c r="M1381" s="19">
        <f>Ringkasan!M1380</f>
        <v>130</v>
      </c>
      <c r="N1381" s="64" t="str">
        <f>Ringkasan!N1380</f>
        <v/>
      </c>
      <c r="O1381" s="64" t="str">
        <f>Ringkasan!O1380</f>
        <v/>
      </c>
      <c r="P1381" s="64" t="str">
        <f>Ringkasan!P1380</f>
        <v/>
      </c>
      <c r="Q1381" s="64" t="str">
        <f>Ringkasan!Q1380</f>
        <v/>
      </c>
      <c r="R1381" s="64" t="str">
        <f>Ringkasan!R1380</f>
        <v/>
      </c>
      <c r="S1381" s="64" t="str">
        <f>Ringkasan!S1380</f>
        <v/>
      </c>
      <c r="T1381" s="64" t="str">
        <f>Ringkasan!T1380</f>
        <v/>
      </c>
      <c r="U1381" s="64">
        <f>Ringkasan!U1380</f>
        <v>825</v>
      </c>
      <c r="V1381" s="64">
        <f>Ringkasan!V1380</f>
        <v>4.85</v>
      </c>
      <c r="W1381" s="64" t="str">
        <f>Ringkasan!W1380</f>
        <v/>
      </c>
      <c r="X1381" s="64">
        <f>Ringkasan!X1380</f>
        <v>875</v>
      </c>
      <c r="Y1381" s="64">
        <f>Ringkasan!Y1380</f>
        <v>840</v>
      </c>
      <c r="Z1381" s="64">
        <f>Ringkasan!Z1380</f>
        <v>11591300</v>
      </c>
      <c r="AA1381" s="64" t="str">
        <f>Ringkasan!AA1380</f>
        <v>Electric Utilities</v>
      </c>
      <c r="AB1381" s="64" t="str">
        <f>Ringkasan!AB1380</f>
        <v>Infrastructures</v>
      </c>
    </row>
    <row r="1382" hidden="1">
      <c r="A1382" s="64" t="str">
        <f>Ringkasan!A1381</f>
        <v>PGEO</v>
      </c>
      <c r="B1382" s="64" t="str">
        <f>Ringkasan!B1381</f>
        <v>PT Pertamina Geothermal Energy Tbk</v>
      </c>
      <c r="C1382" s="65">
        <f>Ringkasan!C1381</f>
        <v>865</v>
      </c>
      <c r="D1382" s="64" t="str">
        <f>Ringkasan!D1381</f>
        <v>#N/A</v>
      </c>
      <c r="E1382" s="64" t="str">
        <f>Ringkasan!E1381</f>
        <v>LQ45</v>
      </c>
      <c r="F1382" s="64" t="str">
        <f>Ringkasan!F1381</f>
        <v>31 Juli 2026</v>
      </c>
      <c r="G1382" s="64">
        <f>Ringkasan!G1381</f>
        <v>13</v>
      </c>
      <c r="H1382" s="19">
        <f>Ringkasan!H1381</f>
        <v>14.8</v>
      </c>
      <c r="I1382" s="19">
        <f>Ringkasan!I1381</f>
        <v>1.1</v>
      </c>
      <c r="J1382" s="19">
        <f>Ringkasan!J1381</f>
        <v>7.1</v>
      </c>
      <c r="K1382" s="19">
        <f>Ringkasan!K1381</f>
        <v>4.9</v>
      </c>
      <c r="L1382" s="19">
        <f>Ringkasan!L1381</f>
        <v>0.46</v>
      </c>
      <c r="M1382" s="19">
        <f>Ringkasan!M1381</f>
        <v>130</v>
      </c>
      <c r="N1382" s="64" t="str">
        <f>Ringkasan!N1381</f>
        <v/>
      </c>
      <c r="O1382" s="64" t="str">
        <f>Ringkasan!O1381</f>
        <v/>
      </c>
      <c r="P1382" s="64" t="str">
        <f>Ringkasan!P1381</f>
        <v/>
      </c>
      <c r="Q1382" s="64" t="str">
        <f>Ringkasan!Q1381</f>
        <v/>
      </c>
      <c r="R1382" s="64" t="str">
        <f>Ringkasan!R1381</f>
        <v/>
      </c>
      <c r="S1382" s="64" t="str">
        <f>Ringkasan!S1381</f>
        <v/>
      </c>
      <c r="T1382" s="64" t="str">
        <f>Ringkasan!T1381</f>
        <v/>
      </c>
      <c r="U1382" s="64">
        <f>Ringkasan!U1381</f>
        <v>825</v>
      </c>
      <c r="V1382" s="64">
        <f>Ringkasan!V1381</f>
        <v>4.85</v>
      </c>
      <c r="W1382" s="64" t="str">
        <f>Ringkasan!W1381</f>
        <v/>
      </c>
      <c r="X1382" s="64">
        <f>Ringkasan!X1381</f>
        <v>875</v>
      </c>
      <c r="Y1382" s="64">
        <f>Ringkasan!Y1381</f>
        <v>840</v>
      </c>
      <c r="Z1382" s="64">
        <f>Ringkasan!Z1381</f>
        <v>11591300</v>
      </c>
      <c r="AA1382" s="64" t="str">
        <f>Ringkasan!AA1381</f>
        <v>Electric Utilities</v>
      </c>
      <c r="AB1382" s="64" t="str">
        <f>Ringkasan!AB1381</f>
        <v>Infrastructures</v>
      </c>
    </row>
    <row r="1383" hidden="1">
      <c r="A1383" s="64" t="str">
        <f>Ringkasan!A1382</f>
        <v>PGEO</v>
      </c>
      <c r="B1383" s="64" t="str">
        <f>Ringkasan!B1382</f>
        <v>PT Pertamina Geothermal Energy Tbk</v>
      </c>
      <c r="C1383" s="65">
        <f>Ringkasan!C1382</f>
        <v>865</v>
      </c>
      <c r="D1383" s="64" t="str">
        <f>Ringkasan!D1382</f>
        <v>#N/A</v>
      </c>
      <c r="E1383" s="64" t="str">
        <f>Ringkasan!E1382</f>
        <v>MNC36</v>
      </c>
      <c r="F1383" s="64" t="str">
        <f>Ringkasan!F1382</f>
        <v>30 Oktober 2026</v>
      </c>
      <c r="G1383" s="64">
        <f>Ringkasan!G1382</f>
        <v>13</v>
      </c>
      <c r="H1383" s="19">
        <f>Ringkasan!H1382</f>
        <v>14.8</v>
      </c>
      <c r="I1383" s="19">
        <f>Ringkasan!I1382</f>
        <v>1.1</v>
      </c>
      <c r="J1383" s="19">
        <f>Ringkasan!J1382</f>
        <v>7.1</v>
      </c>
      <c r="K1383" s="19">
        <f>Ringkasan!K1382</f>
        <v>4.9</v>
      </c>
      <c r="L1383" s="19">
        <f>Ringkasan!L1382</f>
        <v>0.46</v>
      </c>
      <c r="M1383" s="19">
        <f>Ringkasan!M1382</f>
        <v>130</v>
      </c>
      <c r="N1383" s="64" t="str">
        <f>Ringkasan!N1382</f>
        <v/>
      </c>
      <c r="O1383" s="64" t="str">
        <f>Ringkasan!O1382</f>
        <v/>
      </c>
      <c r="P1383" s="64" t="str">
        <f>Ringkasan!P1382</f>
        <v/>
      </c>
      <c r="Q1383" s="64" t="str">
        <f>Ringkasan!Q1382</f>
        <v/>
      </c>
      <c r="R1383" s="64" t="str">
        <f>Ringkasan!R1382</f>
        <v/>
      </c>
      <c r="S1383" s="64" t="str">
        <f>Ringkasan!S1382</f>
        <v/>
      </c>
      <c r="T1383" s="64" t="str">
        <f>Ringkasan!T1382</f>
        <v/>
      </c>
      <c r="U1383" s="64">
        <f>Ringkasan!U1382</f>
        <v>825</v>
      </c>
      <c r="V1383" s="64">
        <f>Ringkasan!V1382</f>
        <v>4.85</v>
      </c>
      <c r="W1383" s="64" t="str">
        <f>Ringkasan!W1382</f>
        <v/>
      </c>
      <c r="X1383" s="64">
        <f>Ringkasan!X1382</f>
        <v>875</v>
      </c>
      <c r="Y1383" s="64">
        <f>Ringkasan!Y1382</f>
        <v>840</v>
      </c>
      <c r="Z1383" s="64">
        <f>Ringkasan!Z1382</f>
        <v>11591300</v>
      </c>
      <c r="AA1383" s="64" t="str">
        <f>Ringkasan!AA1382</f>
        <v>Electric Utilities</v>
      </c>
      <c r="AB1383" s="64" t="str">
        <f>Ringkasan!AB1382</f>
        <v>Infrastructures</v>
      </c>
    </row>
    <row r="1384" hidden="1">
      <c r="A1384" s="64" t="str">
        <f>Ringkasan!A1383</f>
        <v>PGEO</v>
      </c>
      <c r="B1384" s="64" t="str">
        <f>Ringkasan!B1383</f>
        <v>PT Pertamina Geothermal Energy Tbk</v>
      </c>
      <c r="C1384" s="65">
        <f>Ringkasan!C1383</f>
        <v>865</v>
      </c>
      <c r="D1384" s="64" t="str">
        <f>Ringkasan!D1383</f>
        <v>#N/A</v>
      </c>
      <c r="E1384" s="64" t="str">
        <f>Ringkasan!E1383</f>
        <v>SMINFRA18</v>
      </c>
      <c r="F1384" s="64" t="str">
        <f>Ringkasan!F1383</f>
        <v>30 Oktober 2026</v>
      </c>
      <c r="G1384" s="64">
        <f>Ringkasan!G1383</f>
        <v>13</v>
      </c>
      <c r="H1384" s="19">
        <f>Ringkasan!H1383</f>
        <v>14.8</v>
      </c>
      <c r="I1384" s="19">
        <f>Ringkasan!I1383</f>
        <v>1.1</v>
      </c>
      <c r="J1384" s="19">
        <f>Ringkasan!J1383</f>
        <v>7.1</v>
      </c>
      <c r="K1384" s="19">
        <f>Ringkasan!K1383</f>
        <v>4.9</v>
      </c>
      <c r="L1384" s="19">
        <f>Ringkasan!L1383</f>
        <v>0.46</v>
      </c>
      <c r="M1384" s="19">
        <f>Ringkasan!M1383</f>
        <v>130</v>
      </c>
      <c r="N1384" s="64" t="str">
        <f>Ringkasan!N1383</f>
        <v/>
      </c>
      <c r="O1384" s="64" t="str">
        <f>Ringkasan!O1383</f>
        <v/>
      </c>
      <c r="P1384" s="64" t="str">
        <f>Ringkasan!P1383</f>
        <v/>
      </c>
      <c r="Q1384" s="64" t="str">
        <f>Ringkasan!Q1383</f>
        <v/>
      </c>
      <c r="R1384" s="64" t="str">
        <f>Ringkasan!R1383</f>
        <v/>
      </c>
      <c r="S1384" s="64" t="str">
        <f>Ringkasan!S1383</f>
        <v/>
      </c>
      <c r="T1384" s="64" t="str">
        <f>Ringkasan!T1383</f>
        <v/>
      </c>
      <c r="U1384" s="64">
        <f>Ringkasan!U1383</f>
        <v>825</v>
      </c>
      <c r="V1384" s="64">
        <f>Ringkasan!V1383</f>
        <v>4.85</v>
      </c>
      <c r="W1384" s="64" t="str">
        <f>Ringkasan!W1383</f>
        <v/>
      </c>
      <c r="X1384" s="64">
        <f>Ringkasan!X1383</f>
        <v>875</v>
      </c>
      <c r="Y1384" s="64">
        <f>Ringkasan!Y1383</f>
        <v>840</v>
      </c>
      <c r="Z1384" s="64">
        <f>Ringkasan!Z1383</f>
        <v>11591300</v>
      </c>
      <c r="AA1384" s="64" t="str">
        <f>Ringkasan!AA1383</f>
        <v>Electric Utilities</v>
      </c>
      <c r="AB1384" s="64" t="str">
        <f>Ringkasan!AB1383</f>
        <v>Infrastructures</v>
      </c>
    </row>
    <row r="1385" hidden="1">
      <c r="A1385" s="64" t="str">
        <f>Ringkasan!A1384</f>
        <v>PGEO</v>
      </c>
      <c r="B1385" s="64" t="str">
        <f>Ringkasan!B1384</f>
        <v>PT Pertamina Geothermal Energy Tbk</v>
      </c>
      <c r="C1385" s="65">
        <f>Ringkasan!C1384</f>
        <v>865</v>
      </c>
      <c r="D1385" s="64" t="str">
        <f>Ringkasan!D1384</f>
        <v>#N/A</v>
      </c>
      <c r="E1385" s="64" t="str">
        <f>Ringkasan!E1384</f>
        <v>IDXESGL</v>
      </c>
      <c r="F1385" s="64" t="str">
        <f>Ringkasan!F1384</f>
        <v>30 Oktober 2026</v>
      </c>
      <c r="G1385" s="64">
        <f>Ringkasan!G1384</f>
        <v>13</v>
      </c>
      <c r="H1385" s="19">
        <f>Ringkasan!H1384</f>
        <v>14.8</v>
      </c>
      <c r="I1385" s="19">
        <f>Ringkasan!I1384</f>
        <v>1.1</v>
      </c>
      <c r="J1385" s="19">
        <f>Ringkasan!J1384</f>
        <v>7.1</v>
      </c>
      <c r="K1385" s="19">
        <f>Ringkasan!K1384</f>
        <v>4.9</v>
      </c>
      <c r="L1385" s="19">
        <f>Ringkasan!L1384</f>
        <v>0.46</v>
      </c>
      <c r="M1385" s="19">
        <f>Ringkasan!M1384</f>
        <v>130</v>
      </c>
      <c r="N1385" s="64" t="str">
        <f>Ringkasan!N1384</f>
        <v/>
      </c>
      <c r="O1385" s="64" t="str">
        <f>Ringkasan!O1384</f>
        <v/>
      </c>
      <c r="P1385" s="64" t="str">
        <f>Ringkasan!P1384</f>
        <v/>
      </c>
      <c r="Q1385" s="64" t="str">
        <f>Ringkasan!Q1384</f>
        <v/>
      </c>
      <c r="R1385" s="64" t="str">
        <f>Ringkasan!R1384</f>
        <v/>
      </c>
      <c r="S1385" s="64" t="str">
        <f>Ringkasan!S1384</f>
        <v/>
      </c>
      <c r="T1385" s="64" t="str">
        <f>Ringkasan!T1384</f>
        <v/>
      </c>
      <c r="U1385" s="64">
        <f>Ringkasan!U1384</f>
        <v>825</v>
      </c>
      <c r="V1385" s="64">
        <f>Ringkasan!V1384</f>
        <v>4.85</v>
      </c>
      <c r="W1385" s="64" t="str">
        <f>Ringkasan!W1384</f>
        <v/>
      </c>
      <c r="X1385" s="64">
        <f>Ringkasan!X1384</f>
        <v>875</v>
      </c>
      <c r="Y1385" s="64">
        <f>Ringkasan!Y1384</f>
        <v>840</v>
      </c>
      <c r="Z1385" s="64">
        <f>Ringkasan!Z1384</f>
        <v>11591300</v>
      </c>
      <c r="AA1385" s="64" t="str">
        <f>Ringkasan!AA1384</f>
        <v>Electric Utilities</v>
      </c>
      <c r="AB1385" s="64" t="str">
        <f>Ringkasan!AB1384</f>
        <v>Infrastructures</v>
      </c>
    </row>
    <row r="1386" hidden="1">
      <c r="A1386" s="64" t="str">
        <f>Ringkasan!A1385</f>
        <v>PGEO</v>
      </c>
      <c r="B1386" s="64" t="str">
        <f>Ringkasan!B1385</f>
        <v>PT Pertamina Geothermal Energy Tbk</v>
      </c>
      <c r="C1386" s="65">
        <f>Ringkasan!C1385</f>
        <v>865</v>
      </c>
      <c r="D1386" s="64" t="str">
        <f>Ringkasan!D1385</f>
        <v>#N/A</v>
      </c>
      <c r="E1386" s="64" t="str">
        <f>Ringkasan!E1385</f>
        <v>IDXSMC-LIQ</v>
      </c>
      <c r="F1386" s="64" t="str">
        <f>Ringkasan!F1385</f>
        <v>4 Agustus 2026</v>
      </c>
      <c r="G1386" s="64">
        <f>Ringkasan!G1385</f>
        <v>13</v>
      </c>
      <c r="H1386" s="19">
        <f>Ringkasan!H1385</f>
        <v>14.8</v>
      </c>
      <c r="I1386" s="19">
        <f>Ringkasan!I1385</f>
        <v>1.1</v>
      </c>
      <c r="J1386" s="19">
        <f>Ringkasan!J1385</f>
        <v>7.1</v>
      </c>
      <c r="K1386" s="19">
        <f>Ringkasan!K1385</f>
        <v>4.9</v>
      </c>
      <c r="L1386" s="19">
        <f>Ringkasan!L1385</f>
        <v>0.46</v>
      </c>
      <c r="M1386" s="19">
        <f>Ringkasan!M1385</f>
        <v>130</v>
      </c>
      <c r="N1386" s="64" t="str">
        <f>Ringkasan!N1385</f>
        <v/>
      </c>
      <c r="O1386" s="64" t="str">
        <f>Ringkasan!O1385</f>
        <v/>
      </c>
      <c r="P1386" s="64" t="str">
        <f>Ringkasan!P1385</f>
        <v/>
      </c>
      <c r="Q1386" s="64" t="str">
        <f>Ringkasan!Q1385</f>
        <v/>
      </c>
      <c r="R1386" s="64" t="str">
        <f>Ringkasan!R1385</f>
        <v/>
      </c>
      <c r="S1386" s="64" t="str">
        <f>Ringkasan!S1385</f>
        <v/>
      </c>
      <c r="T1386" s="64" t="str">
        <f>Ringkasan!T1385</f>
        <v/>
      </c>
      <c r="U1386" s="64">
        <f>Ringkasan!U1385</f>
        <v>825</v>
      </c>
      <c r="V1386" s="64">
        <f>Ringkasan!V1385</f>
        <v>4.85</v>
      </c>
      <c r="W1386" s="64" t="str">
        <f>Ringkasan!W1385</f>
        <v/>
      </c>
      <c r="X1386" s="64">
        <f>Ringkasan!X1385</f>
        <v>875</v>
      </c>
      <c r="Y1386" s="64">
        <f>Ringkasan!Y1385</f>
        <v>840</v>
      </c>
      <c r="Z1386" s="64">
        <f>Ringkasan!Z1385</f>
        <v>11591300</v>
      </c>
      <c r="AA1386" s="64" t="str">
        <f>Ringkasan!AA1385</f>
        <v>Electric Utilities</v>
      </c>
      <c r="AB1386" s="64" t="str">
        <f>Ringkasan!AB1385</f>
        <v>Infrastructures</v>
      </c>
    </row>
    <row r="1387" hidden="1">
      <c r="A1387" s="64" t="str">
        <f>Ringkasan!A1386</f>
        <v>PGEO</v>
      </c>
      <c r="B1387" s="64" t="str">
        <f>Ringkasan!B1386</f>
        <v>PT Pertamina Geothermal Energy Tbk</v>
      </c>
      <c r="C1387" s="65">
        <f>Ringkasan!C1386</f>
        <v>865</v>
      </c>
      <c r="D1387" s="64" t="str">
        <f>Ringkasan!D1386</f>
        <v>#N/A</v>
      </c>
      <c r="E1387" s="64" t="str">
        <f>Ringkasan!E1386</f>
        <v>SRI-KEHATI</v>
      </c>
      <c r="F1387" s="66">
        <f>Ringkasan!F1386</f>
        <v>46356</v>
      </c>
      <c r="G1387" s="64">
        <f>Ringkasan!G1386</f>
        <v>13</v>
      </c>
      <c r="H1387" s="19">
        <f>Ringkasan!H1386</f>
        <v>14.8</v>
      </c>
      <c r="I1387" s="19">
        <f>Ringkasan!I1386</f>
        <v>1.1</v>
      </c>
      <c r="J1387" s="19">
        <f>Ringkasan!J1386</f>
        <v>7.1</v>
      </c>
      <c r="K1387" s="19">
        <f>Ringkasan!K1386</f>
        <v>4.9</v>
      </c>
      <c r="L1387" s="19">
        <f>Ringkasan!L1386</f>
        <v>0.46</v>
      </c>
      <c r="M1387" s="19">
        <f>Ringkasan!M1386</f>
        <v>130</v>
      </c>
      <c r="N1387" s="64" t="str">
        <f>Ringkasan!N1386</f>
        <v/>
      </c>
      <c r="O1387" s="64" t="str">
        <f>Ringkasan!O1386</f>
        <v/>
      </c>
      <c r="P1387" s="64" t="str">
        <f>Ringkasan!P1386</f>
        <v/>
      </c>
      <c r="Q1387" s="64" t="str">
        <f>Ringkasan!Q1386</f>
        <v/>
      </c>
      <c r="R1387" s="64" t="str">
        <f>Ringkasan!R1386</f>
        <v/>
      </c>
      <c r="S1387" s="64" t="str">
        <f>Ringkasan!S1386</f>
        <v/>
      </c>
      <c r="T1387" s="64" t="str">
        <f>Ringkasan!T1386</f>
        <v/>
      </c>
      <c r="U1387" s="64">
        <f>Ringkasan!U1386</f>
        <v>825</v>
      </c>
      <c r="V1387" s="64">
        <f>Ringkasan!V1386</f>
        <v>4.85</v>
      </c>
      <c r="W1387" s="64" t="str">
        <f>Ringkasan!W1386</f>
        <v/>
      </c>
      <c r="X1387" s="64">
        <f>Ringkasan!X1386</f>
        <v>875</v>
      </c>
      <c r="Y1387" s="64">
        <f>Ringkasan!Y1386</f>
        <v>840</v>
      </c>
      <c r="Z1387" s="64">
        <f>Ringkasan!Z1386</f>
        <v>11591300</v>
      </c>
      <c r="AA1387" s="64" t="str">
        <f>Ringkasan!AA1386</f>
        <v>Electric Utilities</v>
      </c>
      <c r="AB1387" s="64" t="str">
        <f>Ringkasan!AB1386</f>
        <v>Infrastructures</v>
      </c>
    </row>
    <row r="1388" hidden="1">
      <c r="A1388" s="64" t="str">
        <f>Ringkasan!A1387</f>
        <v>PGJO</v>
      </c>
      <c r="B1388" s="64" t="str">
        <f>Ringkasan!B1387</f>
        <v>Bahtera Bumi Raya Tbk.</v>
      </c>
      <c r="C1388" s="65">
        <f>Ringkasan!C1387</f>
        <v>790</v>
      </c>
      <c r="D1388" s="64" t="str">
        <f>Ringkasan!D1387</f>
        <v>#N/A</v>
      </c>
      <c r="E1388" s="64" t="str">
        <f>Ringkasan!E1387</f>
        <v/>
      </c>
      <c r="F1388" s="64" t="str">
        <f>Ringkasan!F1387</f>
        <v/>
      </c>
      <c r="G1388" s="64">
        <f>Ringkasan!G1387</f>
        <v>0</v>
      </c>
      <c r="H1388" s="19">
        <f>Ringkasan!H1387</f>
        <v>-100</v>
      </c>
      <c r="I1388" s="19">
        <f>Ringkasan!I1387</f>
        <v>-350</v>
      </c>
      <c r="J1388" s="19">
        <f>Ringkasan!J1387</f>
        <v>0</v>
      </c>
      <c r="K1388" s="19">
        <f>Ringkasan!K1387</f>
        <v>-22.4</v>
      </c>
      <c r="L1388" s="19">
        <f>Ringkasan!L1387</f>
        <v>-16.2</v>
      </c>
      <c r="M1388" s="19">
        <f>Ringkasan!M1387</f>
        <v>-24.3</v>
      </c>
      <c r="N1388" s="64" t="str">
        <f>Ringkasan!N1387</f>
        <v/>
      </c>
      <c r="O1388" s="64" t="str">
        <f>Ringkasan!O1387</f>
        <v/>
      </c>
      <c r="P1388" s="64" t="str">
        <f>Ringkasan!P1387</f>
        <v/>
      </c>
      <c r="Q1388" s="64" t="str">
        <f>Ringkasan!Q1387</f>
        <v/>
      </c>
      <c r="R1388" s="64" t="str">
        <f>Ringkasan!R1387</f>
        <v/>
      </c>
      <c r="S1388" s="64" t="str">
        <f>Ringkasan!S1387</f>
        <v/>
      </c>
      <c r="T1388" s="64" t="str">
        <f>Ringkasan!T1387</f>
        <v/>
      </c>
      <c r="U1388" s="64">
        <f>Ringkasan!U1387</f>
        <v>795</v>
      </c>
      <c r="V1388" s="64">
        <f>Ringkasan!V1387</f>
        <v>-0.63</v>
      </c>
      <c r="W1388" s="64">
        <f>Ringkasan!W1387</f>
        <v>795</v>
      </c>
      <c r="X1388" s="64">
        <f>Ringkasan!X1387</f>
        <v>795</v>
      </c>
      <c r="Y1388" s="64">
        <f>Ringkasan!Y1387</f>
        <v>790</v>
      </c>
      <c r="Z1388" s="64">
        <f>Ringkasan!Z1387</f>
        <v>155800</v>
      </c>
      <c r="AA1388" s="64" t="str">
        <f>Ringkasan!AA1387</f>
        <v>Online Applications &amp; Services</v>
      </c>
      <c r="AB1388" s="64" t="str">
        <f>Ringkasan!AB1387</f>
        <v>Technology</v>
      </c>
    </row>
    <row r="1389" hidden="1">
      <c r="A1389" s="64" t="str">
        <f>Ringkasan!A1388</f>
        <v>PGLI</v>
      </c>
      <c r="B1389" s="64" t="str">
        <f>Ringkasan!B1388</f>
        <v>Pembangunan Graha Lestari Indah Tbk.</v>
      </c>
      <c r="C1389" s="65">
        <f>Ringkasan!C1388</f>
        <v>186</v>
      </c>
      <c r="D1389" s="64" t="str">
        <f>Ringkasan!D1388</f>
        <v>#N/A</v>
      </c>
      <c r="E1389" s="64" t="str">
        <f>Ringkasan!E1388</f>
        <v/>
      </c>
      <c r="F1389" s="64" t="str">
        <f>Ringkasan!F1388</f>
        <v/>
      </c>
      <c r="G1389" s="64">
        <f>Ringkasan!G1388</f>
        <v>0</v>
      </c>
      <c r="H1389" s="19">
        <f>Ringkasan!H1388</f>
        <v>-32.3</v>
      </c>
      <c r="I1389" s="19">
        <f>Ringkasan!I1388</f>
        <v>6.8</v>
      </c>
      <c r="J1389" s="19">
        <f>Ringkasan!J1388</f>
        <v>-21</v>
      </c>
      <c r="K1389" s="19">
        <f>Ringkasan!K1388</f>
        <v>-7.6</v>
      </c>
      <c r="L1389" s="19">
        <f>Ringkasan!L1388</f>
        <v>1.8</v>
      </c>
      <c r="M1389" s="19">
        <f>Ringkasan!M1388</f>
        <v>-49</v>
      </c>
      <c r="N1389" s="64" t="str">
        <f>Ringkasan!N1388</f>
        <v/>
      </c>
      <c r="O1389" s="64" t="str">
        <f>Ringkasan!O1388</f>
        <v/>
      </c>
      <c r="P1389" s="64" t="str">
        <f>Ringkasan!P1388</f>
        <v/>
      </c>
      <c r="Q1389" s="64" t="str">
        <f>Ringkasan!Q1388</f>
        <v/>
      </c>
      <c r="R1389" s="64" t="str">
        <f>Ringkasan!R1388</f>
        <v/>
      </c>
      <c r="S1389" s="64" t="str">
        <f>Ringkasan!S1388</f>
        <v/>
      </c>
      <c r="T1389" s="64" t="str">
        <f>Ringkasan!T1388</f>
        <v/>
      </c>
      <c r="U1389" s="64">
        <f>Ringkasan!U1388</f>
        <v>184</v>
      </c>
      <c r="V1389" s="64">
        <f>Ringkasan!V1388</f>
        <v>1.09</v>
      </c>
      <c r="W1389" s="64">
        <f>Ringkasan!W1388</f>
        <v>190</v>
      </c>
      <c r="X1389" s="64">
        <f>Ringkasan!X1388</f>
        <v>190</v>
      </c>
      <c r="Y1389" s="64">
        <f>Ringkasan!Y1388</f>
        <v>174</v>
      </c>
      <c r="Z1389" s="64">
        <f>Ringkasan!Z1388</f>
        <v>48700</v>
      </c>
      <c r="AA1389" s="64" t="str">
        <f>Ringkasan!AA1388</f>
        <v>Tourism &amp; Recreation</v>
      </c>
      <c r="AB1389" s="64" t="str">
        <f>Ringkasan!AB1388</f>
        <v>Consumer Cyclicals</v>
      </c>
    </row>
    <row r="1390" hidden="1">
      <c r="A1390" s="64" t="str">
        <f>Ringkasan!A1389</f>
        <v>PGUN</v>
      </c>
      <c r="B1390" s="64" t="str">
        <f>Ringkasan!B1389</f>
        <v>Pradiksi Gunatama Tbk.</v>
      </c>
      <c r="C1390" s="65">
        <f>Ringkasan!C1389</f>
        <v>7625</v>
      </c>
      <c r="D1390" s="64" t="str">
        <f>Ringkasan!D1389</f>
        <v>#N/A</v>
      </c>
      <c r="E1390" s="64" t="str">
        <f>Ringkasan!E1389</f>
        <v/>
      </c>
      <c r="F1390" s="64" t="str">
        <f>Ringkasan!F1389</f>
        <v/>
      </c>
      <c r="G1390" s="64">
        <f>Ringkasan!G1389</f>
        <v>0</v>
      </c>
      <c r="H1390" s="19">
        <f>Ringkasan!H1389</f>
        <v>300</v>
      </c>
      <c r="I1390" s="19">
        <f>Ringkasan!I1389</f>
        <v>22.1</v>
      </c>
      <c r="J1390" s="19">
        <f>Ringkasan!J1389</f>
        <v>7.5</v>
      </c>
      <c r="K1390" s="19">
        <f>Ringkasan!K1389</f>
        <v>5.8</v>
      </c>
      <c r="L1390" s="19">
        <f>Ringkasan!L1389</f>
        <v>0.29</v>
      </c>
      <c r="M1390" s="19">
        <f>Ringkasan!M1389</f>
        <v>87.9</v>
      </c>
      <c r="N1390" s="64" t="str">
        <f>Ringkasan!N1389</f>
        <v/>
      </c>
      <c r="O1390" s="64" t="str">
        <f>Ringkasan!O1389</f>
        <v/>
      </c>
      <c r="P1390" s="64" t="str">
        <f>Ringkasan!P1389</f>
        <v/>
      </c>
      <c r="Q1390" s="64" t="str">
        <f>Ringkasan!Q1389</f>
        <v/>
      </c>
      <c r="R1390" s="64" t="str">
        <f>Ringkasan!R1389</f>
        <v/>
      </c>
      <c r="S1390" s="64" t="str">
        <f>Ringkasan!S1389</f>
        <v/>
      </c>
      <c r="T1390" s="64" t="str">
        <f>Ringkasan!T1389</f>
        <v/>
      </c>
      <c r="U1390" s="64">
        <f>Ringkasan!U1389</f>
        <v>7350</v>
      </c>
      <c r="V1390" s="64">
        <f>Ringkasan!V1389</f>
        <v>3.74</v>
      </c>
      <c r="W1390" s="64">
        <f>Ringkasan!W1389</f>
        <v>7350</v>
      </c>
      <c r="X1390" s="64">
        <f>Ringkasan!X1389</f>
        <v>8400</v>
      </c>
      <c r="Y1390" s="64">
        <f>Ringkasan!Y1389</f>
        <v>7350</v>
      </c>
      <c r="Z1390" s="64">
        <f>Ringkasan!Z1389</f>
        <v>27100</v>
      </c>
      <c r="AA1390" s="64" t="str">
        <f>Ringkasan!AA1389</f>
        <v>Agricultural Products</v>
      </c>
      <c r="AB1390" s="64" t="str">
        <f>Ringkasan!AB1389</f>
        <v>Consumer Non-Cyclicals</v>
      </c>
    </row>
    <row r="1391" hidden="1">
      <c r="A1391" s="64" t="str">
        <f>Ringkasan!A1390</f>
        <v>PICO</v>
      </c>
      <c r="B1391" s="64" t="str">
        <f>Ringkasan!B1390</f>
        <v>Pelangi Indah Canindo Tbk</v>
      </c>
      <c r="C1391" s="65">
        <f>Ringkasan!C1390</f>
        <v>126</v>
      </c>
      <c r="D1391" s="64" t="str">
        <f>Ringkasan!D1390</f>
        <v>#N/A</v>
      </c>
      <c r="E1391" s="64" t="str">
        <f>Ringkasan!E1390</f>
        <v/>
      </c>
      <c r="F1391" s="64" t="str">
        <f>Ringkasan!F1390</f>
        <v/>
      </c>
      <c r="G1391" s="64">
        <f>Ringkasan!G1390</f>
        <v>0</v>
      </c>
      <c r="H1391" s="19">
        <f>Ringkasan!H1390</f>
        <v>19.6</v>
      </c>
      <c r="I1391" s="19">
        <f>Ringkasan!I1390</f>
        <v>0.38</v>
      </c>
      <c r="J1391" s="19">
        <f>Ringkasan!J1390</f>
        <v>2</v>
      </c>
      <c r="K1391" s="19">
        <f>Ringkasan!K1390</f>
        <v>0.61</v>
      </c>
      <c r="L1391" s="19">
        <f>Ringkasan!L1390</f>
        <v>2.2</v>
      </c>
      <c r="M1391" s="19">
        <f>Ringkasan!M1390</f>
        <v>3</v>
      </c>
      <c r="N1391" s="64" t="str">
        <f>Ringkasan!N1390</f>
        <v/>
      </c>
      <c r="O1391" s="64" t="str">
        <f>Ringkasan!O1390</f>
        <v/>
      </c>
      <c r="P1391" s="64" t="str">
        <f>Ringkasan!P1390</f>
        <v/>
      </c>
      <c r="Q1391" s="64" t="str">
        <f>Ringkasan!Q1390</f>
        <v/>
      </c>
      <c r="R1391" s="64" t="str">
        <f>Ringkasan!R1390</f>
        <v/>
      </c>
      <c r="S1391" s="64" t="str">
        <f>Ringkasan!S1390</f>
        <v/>
      </c>
      <c r="T1391" s="64" t="str">
        <f>Ringkasan!T1390</f>
        <v/>
      </c>
      <c r="U1391" s="64" t="str">
        <f>Ringkasan!U1390</f>
        <v/>
      </c>
      <c r="V1391" s="64" t="str">
        <f>Ringkasan!V1390</f>
        <v/>
      </c>
      <c r="W1391" s="64" t="str">
        <f>Ringkasan!W1390</f>
        <v/>
      </c>
      <c r="X1391" s="64" t="str">
        <f>Ringkasan!X1390</f>
        <v/>
      </c>
      <c r="Y1391" s="64" t="str">
        <f>Ringkasan!Y1390</f>
        <v/>
      </c>
      <c r="Z1391" s="64" t="str">
        <f>Ringkasan!Z1390</f>
        <v/>
      </c>
      <c r="AA1391" s="64" t="str">
        <f>Ringkasan!AA1390</f>
        <v>Containers &amp; Packaging</v>
      </c>
      <c r="AB1391" s="64" t="str">
        <f>Ringkasan!AB1390</f>
        <v>Basic Materials</v>
      </c>
    </row>
    <row r="1392" hidden="1">
      <c r="A1392" s="64" t="str">
        <f>Ringkasan!A1391</f>
        <v>PIPA</v>
      </c>
      <c r="B1392" s="64" t="str">
        <f>Ringkasan!B1391</f>
        <v>PT Multi Makmur Lemindo Tbk.</v>
      </c>
      <c r="C1392" s="65">
        <f>Ringkasan!C1391</f>
        <v>111</v>
      </c>
      <c r="D1392" s="64" t="str">
        <f>Ringkasan!D1391</f>
        <v>#N/A</v>
      </c>
      <c r="E1392" s="64" t="str">
        <f>Ringkasan!E1391</f>
        <v/>
      </c>
      <c r="F1392" s="64" t="str">
        <f>Ringkasan!F1391</f>
        <v/>
      </c>
      <c r="G1392" s="64">
        <f>Ringkasan!G1391</f>
        <v>0</v>
      </c>
      <c r="H1392" s="19">
        <f>Ringkasan!H1391</f>
        <v>110</v>
      </c>
      <c r="I1392" s="19">
        <f>Ringkasan!I1391</f>
        <v>2.7</v>
      </c>
      <c r="J1392" s="19">
        <f>Ringkasan!J1391</f>
        <v>2.5</v>
      </c>
      <c r="K1392" s="19">
        <f>Ringkasan!K1391</f>
        <v>2.1</v>
      </c>
      <c r="L1392" s="19">
        <f>Ringkasan!L1391</f>
        <v>0.16</v>
      </c>
      <c r="M1392" s="19">
        <f>Ringkasan!M1391</f>
        <v>14.2</v>
      </c>
      <c r="N1392" s="64" t="str">
        <f>Ringkasan!N1391</f>
        <v/>
      </c>
      <c r="O1392" s="64" t="str">
        <f>Ringkasan!O1391</f>
        <v/>
      </c>
      <c r="P1392" s="64" t="str">
        <f>Ringkasan!P1391</f>
        <v/>
      </c>
      <c r="Q1392" s="64" t="str">
        <f>Ringkasan!Q1391</f>
        <v/>
      </c>
      <c r="R1392" s="64" t="str">
        <f>Ringkasan!R1391</f>
        <v/>
      </c>
      <c r="S1392" s="64" t="str">
        <f>Ringkasan!S1391</f>
        <v/>
      </c>
      <c r="T1392" s="64" t="str">
        <f>Ringkasan!T1391</f>
        <v/>
      </c>
      <c r="U1392" s="64">
        <f>Ringkasan!U1391</f>
        <v>100</v>
      </c>
      <c r="V1392" s="64">
        <f>Ringkasan!V1391</f>
        <v>11</v>
      </c>
      <c r="W1392" s="64">
        <f>Ringkasan!W1391</f>
        <v>97</v>
      </c>
      <c r="X1392" s="64">
        <f>Ringkasan!X1391</f>
        <v>113</v>
      </c>
      <c r="Y1392" s="64">
        <f>Ringkasan!Y1391</f>
        <v>94</v>
      </c>
      <c r="Z1392" s="64">
        <f>Ringkasan!Z1391</f>
        <v>88890700</v>
      </c>
      <c r="AA1392" s="64" t="str">
        <f>Ringkasan!AA1391</f>
        <v>Building Products &amp; Fixtures</v>
      </c>
      <c r="AB1392" s="64" t="str">
        <f>Ringkasan!AB1391</f>
        <v>Industrials</v>
      </c>
    </row>
    <row r="1393" hidden="1">
      <c r="A1393" s="64" t="str">
        <f>Ringkasan!A1392</f>
        <v>PJAA</v>
      </c>
      <c r="B1393" s="64" t="str">
        <f>Ringkasan!B1392</f>
        <v>Pembangunan Jaya Ancol Tbk.</v>
      </c>
      <c r="C1393" s="65">
        <f>Ringkasan!C1392</f>
        <v>440</v>
      </c>
      <c r="D1393" s="64" t="str">
        <f>Ringkasan!D1392</f>
        <v>#N/A</v>
      </c>
      <c r="E1393" s="64" t="str">
        <f>Ringkasan!E1392</f>
        <v/>
      </c>
      <c r="F1393" s="64" t="str">
        <f>Ringkasan!F1392</f>
        <v/>
      </c>
      <c r="G1393" s="64">
        <f>Ringkasan!G1392</f>
        <v>0</v>
      </c>
      <c r="H1393" s="19">
        <f>Ringkasan!H1392</f>
        <v>5</v>
      </c>
      <c r="I1393" s="19">
        <f>Ringkasan!I1392</f>
        <v>0.42</v>
      </c>
      <c r="J1393" s="19">
        <f>Ringkasan!J1392</f>
        <v>8.4</v>
      </c>
      <c r="K1393" s="19">
        <f>Ringkasan!K1392</f>
        <v>4.3</v>
      </c>
      <c r="L1393" s="19">
        <f>Ringkasan!L1392</f>
        <v>0.94</v>
      </c>
      <c r="M1393" s="19">
        <f>Ringkasan!M1392</f>
        <v>73.5</v>
      </c>
      <c r="N1393" s="64" t="str">
        <f>Ringkasan!N1392</f>
        <v/>
      </c>
      <c r="O1393" s="64" t="str">
        <f>Ringkasan!O1392</f>
        <v/>
      </c>
      <c r="P1393" s="64" t="str">
        <f>Ringkasan!P1392</f>
        <v/>
      </c>
      <c r="Q1393" s="64" t="str">
        <f>Ringkasan!Q1392</f>
        <v/>
      </c>
      <c r="R1393" s="64" t="str">
        <f>Ringkasan!R1392</f>
        <v/>
      </c>
      <c r="S1393" s="64" t="str">
        <f>Ringkasan!S1392</f>
        <v/>
      </c>
      <c r="T1393" s="64" t="str">
        <f>Ringkasan!T1392</f>
        <v/>
      </c>
      <c r="U1393" s="64">
        <f>Ringkasan!U1392</f>
        <v>428</v>
      </c>
      <c r="V1393" s="64">
        <f>Ringkasan!V1392</f>
        <v>2.8</v>
      </c>
      <c r="W1393" s="64">
        <f>Ringkasan!W1392</f>
        <v>436</v>
      </c>
      <c r="X1393" s="64">
        <f>Ringkasan!X1392</f>
        <v>444</v>
      </c>
      <c r="Y1393" s="64">
        <f>Ringkasan!Y1392</f>
        <v>434</v>
      </c>
      <c r="Z1393" s="64">
        <f>Ringkasan!Z1392</f>
        <v>18800</v>
      </c>
      <c r="AA1393" s="64" t="str">
        <f>Ringkasan!AA1392</f>
        <v>Tourism &amp; Recreation</v>
      </c>
      <c r="AB1393" s="64" t="str">
        <f>Ringkasan!AB1392</f>
        <v>Consumer Cyclicals</v>
      </c>
    </row>
    <row r="1394" hidden="1">
      <c r="A1394" s="64" t="str">
        <f>Ringkasan!A1393</f>
        <v>PJHB</v>
      </c>
      <c r="B1394" s="64" t="str">
        <f>Ringkasan!B1393</f>
        <v>Pelayaran Jaya Hidup Baru Tbk.</v>
      </c>
      <c r="C1394" s="65">
        <f>Ringkasan!C1393</f>
        <v>177</v>
      </c>
      <c r="D1394" s="64" t="str">
        <f>Ringkasan!D1393</f>
        <v>#N/A</v>
      </c>
      <c r="E1394" s="64" t="str">
        <f>Ringkasan!E1393</f>
        <v/>
      </c>
      <c r="F1394" s="64" t="str">
        <f>Ringkasan!F1393</f>
        <v/>
      </c>
      <c r="G1394" s="64">
        <f>Ringkasan!G1393</f>
        <v>0</v>
      </c>
      <c r="H1394" s="19">
        <f>Ringkasan!H1393</f>
        <v>28.7</v>
      </c>
      <c r="I1394" s="19">
        <f>Ringkasan!I1393</f>
        <v>1.1</v>
      </c>
      <c r="J1394" s="19">
        <f>Ringkasan!J1393</f>
        <v>3.9</v>
      </c>
      <c r="K1394" s="19">
        <f>Ringkasan!K1393</f>
        <v>0</v>
      </c>
      <c r="L1394" s="19">
        <f>Ringkasan!L1393</f>
        <v>0.05</v>
      </c>
      <c r="M1394" s="19">
        <f>Ringkasan!M1393</f>
        <v>74.4</v>
      </c>
      <c r="N1394" s="64" t="str">
        <f>Ringkasan!N1393</f>
        <v/>
      </c>
      <c r="O1394" s="64" t="str">
        <f>Ringkasan!O1393</f>
        <v/>
      </c>
      <c r="P1394" s="64" t="str">
        <f>Ringkasan!P1393</f>
        <v/>
      </c>
      <c r="Q1394" s="64" t="str">
        <f>Ringkasan!Q1393</f>
        <v/>
      </c>
      <c r="R1394" s="64" t="str">
        <f>Ringkasan!R1393</f>
        <v/>
      </c>
      <c r="S1394" s="64" t="str">
        <f>Ringkasan!S1393</f>
        <v/>
      </c>
      <c r="T1394" s="64" t="str">
        <f>Ringkasan!T1393</f>
        <v/>
      </c>
      <c r="U1394" s="64">
        <f>Ringkasan!U1393</f>
        <v>172</v>
      </c>
      <c r="V1394" s="64">
        <f>Ringkasan!V1393</f>
        <v>2.91</v>
      </c>
      <c r="W1394" s="64">
        <f>Ringkasan!W1393</f>
        <v>174</v>
      </c>
      <c r="X1394" s="64">
        <f>Ringkasan!X1393</f>
        <v>180</v>
      </c>
      <c r="Y1394" s="64">
        <f>Ringkasan!Y1393</f>
        <v>173</v>
      </c>
      <c r="Z1394" s="64">
        <f>Ringkasan!Z1393</f>
        <v>3101300</v>
      </c>
      <c r="AA1394" s="64" t="str">
        <f>Ringkasan!AA1393</f>
        <v>Logistics &amp; Deliveries</v>
      </c>
      <c r="AB1394" s="64" t="str">
        <f>Ringkasan!AB1393</f>
        <v>Transportation &amp; Logistic</v>
      </c>
    </row>
    <row r="1395" hidden="1">
      <c r="A1395" s="64" t="str">
        <f>Ringkasan!A1394</f>
        <v>PKPK</v>
      </c>
      <c r="B1395" s="64" t="str">
        <f>Ringkasan!B1394</f>
        <v>Paragon Karya Perkasa Tbk.</v>
      </c>
      <c r="C1395" s="65">
        <f>Ringkasan!C1394</f>
        <v>2670</v>
      </c>
      <c r="D1395" s="64" t="str">
        <f>Ringkasan!D1394</f>
        <v>#N/A</v>
      </c>
      <c r="E1395" s="64" t="str">
        <f>Ringkasan!E1394</f>
        <v/>
      </c>
      <c r="F1395" s="64" t="str">
        <f>Ringkasan!F1394</f>
        <v/>
      </c>
      <c r="G1395" s="64">
        <f>Ringkasan!G1394</f>
        <v>0</v>
      </c>
      <c r="H1395" s="19">
        <f>Ringkasan!H1394</f>
        <v>63.5</v>
      </c>
      <c r="I1395" s="19">
        <f>Ringkasan!I1394</f>
        <v>10.5</v>
      </c>
      <c r="J1395" s="19">
        <f>Ringkasan!J1394</f>
        <v>16.5</v>
      </c>
      <c r="K1395" s="19">
        <f>Ringkasan!K1394</f>
        <v>7.9</v>
      </c>
      <c r="L1395" s="19">
        <f>Ringkasan!L1394</f>
        <v>1.1</v>
      </c>
      <c r="M1395" s="19">
        <f>Ringkasan!M1394</f>
        <v>28.4</v>
      </c>
      <c r="N1395" s="64" t="str">
        <f>Ringkasan!N1394</f>
        <v/>
      </c>
      <c r="O1395" s="64" t="str">
        <f>Ringkasan!O1394</f>
        <v/>
      </c>
      <c r="P1395" s="64" t="str">
        <f>Ringkasan!P1394</f>
        <v/>
      </c>
      <c r="Q1395" s="64" t="str">
        <f>Ringkasan!Q1394</f>
        <v/>
      </c>
      <c r="R1395" s="64" t="str">
        <f>Ringkasan!R1394</f>
        <v/>
      </c>
      <c r="S1395" s="64" t="str">
        <f>Ringkasan!S1394</f>
        <v/>
      </c>
      <c r="T1395" s="64" t="str">
        <f>Ringkasan!T1394</f>
        <v/>
      </c>
      <c r="U1395" s="64">
        <f>Ringkasan!U1394</f>
        <v>2680</v>
      </c>
      <c r="V1395" s="64">
        <f>Ringkasan!V1394</f>
        <v>-0.37</v>
      </c>
      <c r="W1395" s="64">
        <f>Ringkasan!W1394</f>
        <v>2600</v>
      </c>
      <c r="X1395" s="64">
        <f>Ringkasan!X1394</f>
        <v>2760</v>
      </c>
      <c r="Y1395" s="64" t="str">
        <f>Ringkasan!Y1394</f>
        <v/>
      </c>
      <c r="Z1395" s="64">
        <f>Ringkasan!Z1394</f>
        <v>864700</v>
      </c>
      <c r="AA1395" s="64" t="str">
        <f>Ringkasan!AA1394</f>
        <v>Oil, Gas &amp; Coal Supports</v>
      </c>
      <c r="AB1395" s="64" t="str">
        <f>Ringkasan!AB1394</f>
        <v>Energy</v>
      </c>
    </row>
    <row r="1396" hidden="1">
      <c r="A1396" s="64" t="str">
        <f>Ringkasan!A1395</f>
        <v>PLAN</v>
      </c>
      <c r="B1396" s="64" t="str">
        <f>Ringkasan!B1395</f>
        <v>Planet Properindo Jaya Tbk.</v>
      </c>
      <c r="C1396" s="65">
        <f>Ringkasan!C1395</f>
        <v>39</v>
      </c>
      <c r="D1396" s="64" t="str">
        <f>Ringkasan!D1395</f>
        <v>#N/A</v>
      </c>
      <c r="E1396" s="64" t="str">
        <f>Ringkasan!E1395</f>
        <v/>
      </c>
      <c r="F1396" s="64" t="str">
        <f>Ringkasan!F1395</f>
        <v/>
      </c>
      <c r="G1396" s="64">
        <f>Ringkasan!G1395</f>
        <v>0</v>
      </c>
      <c r="H1396" s="19">
        <f>Ringkasan!H1395</f>
        <v>-6.7</v>
      </c>
      <c r="I1396" s="19">
        <f>Ringkasan!I1395</f>
        <v>0.67</v>
      </c>
      <c r="J1396" s="19">
        <f>Ringkasan!J1395</f>
        <v>-9.9</v>
      </c>
      <c r="K1396" s="19">
        <f>Ringkasan!K1395</f>
        <v>-6.7</v>
      </c>
      <c r="L1396" s="19">
        <f>Ringkasan!L1395</f>
        <v>0.48</v>
      </c>
      <c r="M1396" s="19">
        <f>Ringkasan!M1395</f>
        <v>-42.1</v>
      </c>
      <c r="N1396" s="64" t="str">
        <f>Ringkasan!N1395</f>
        <v/>
      </c>
      <c r="O1396" s="64" t="str">
        <f>Ringkasan!O1395</f>
        <v/>
      </c>
      <c r="P1396" s="64" t="str">
        <f>Ringkasan!P1395</f>
        <v/>
      </c>
      <c r="Q1396" s="64" t="str">
        <f>Ringkasan!Q1395</f>
        <v/>
      </c>
      <c r="R1396" s="64" t="str">
        <f>Ringkasan!R1395</f>
        <v/>
      </c>
      <c r="S1396" s="64" t="str">
        <f>Ringkasan!S1395</f>
        <v/>
      </c>
      <c r="T1396" s="64" t="str">
        <f>Ringkasan!T1395</f>
        <v/>
      </c>
      <c r="U1396" s="64">
        <f>Ringkasan!U1395</f>
        <v>0.37</v>
      </c>
      <c r="V1396" s="64">
        <f>Ringkasan!V1395</f>
        <v>-5.41</v>
      </c>
      <c r="W1396" s="64">
        <f>Ringkasan!W1395</f>
        <v>0.35</v>
      </c>
      <c r="X1396" s="64">
        <f>Ringkasan!X1395</f>
        <v>0.35</v>
      </c>
      <c r="Y1396" s="64">
        <f>Ringkasan!Y1395</f>
        <v>0.35</v>
      </c>
      <c r="Z1396" s="64">
        <f>Ringkasan!Z1395</f>
        <v>2375</v>
      </c>
      <c r="AA1396" s="64" t="str">
        <f>Ringkasan!AA1395</f>
        <v>Tourism &amp; Recreation</v>
      </c>
      <c r="AB1396" s="64" t="str">
        <f>Ringkasan!AB1395</f>
        <v>Consumer Cyclicals</v>
      </c>
    </row>
    <row r="1397" hidden="1">
      <c r="A1397" s="64" t="str">
        <f>Ringkasan!A1396</f>
        <v>PLAS</v>
      </c>
      <c r="B1397" s="64" t="str">
        <f>Ringkasan!B1396</f>
        <v>Polaris Investama Tbk</v>
      </c>
      <c r="C1397" s="65">
        <f>Ringkasan!C1396</f>
        <v>50</v>
      </c>
      <c r="D1397" s="64" t="str">
        <f>Ringkasan!D1396</f>
        <v>#N/A</v>
      </c>
      <c r="E1397" s="64" t="str">
        <f>Ringkasan!E1396</f>
        <v/>
      </c>
      <c r="F1397" s="64" t="str">
        <f>Ringkasan!F1396</f>
        <v/>
      </c>
      <c r="G1397" s="64">
        <f>Ringkasan!G1396</f>
        <v>0</v>
      </c>
      <c r="H1397" s="19">
        <f>Ringkasan!H1396</f>
        <v>0</v>
      </c>
      <c r="I1397" s="19">
        <f>Ringkasan!I1396</f>
        <v>0.38</v>
      </c>
      <c r="J1397" s="19">
        <f>Ringkasan!J1396</f>
        <v>-0.24</v>
      </c>
      <c r="K1397" s="19">
        <f>Ringkasan!K1396</f>
        <v>-0.2</v>
      </c>
      <c r="L1397" s="19">
        <f>Ringkasan!L1396</f>
        <v>0.2</v>
      </c>
      <c r="M1397" s="19">
        <f>Ringkasan!M1396</f>
        <v>-18.9</v>
      </c>
      <c r="N1397" s="64" t="str">
        <f>Ringkasan!N1396</f>
        <v/>
      </c>
      <c r="O1397" s="64" t="str">
        <f>Ringkasan!O1396</f>
        <v/>
      </c>
      <c r="P1397" s="64" t="str">
        <f>Ringkasan!P1396</f>
        <v/>
      </c>
      <c r="Q1397" s="64" t="str">
        <f>Ringkasan!Q1396</f>
        <v/>
      </c>
      <c r="R1397" s="64" t="str">
        <f>Ringkasan!R1396</f>
        <v/>
      </c>
      <c r="S1397" s="64" t="str">
        <f>Ringkasan!S1396</f>
        <v/>
      </c>
      <c r="T1397" s="64" t="str">
        <f>Ringkasan!T1396</f>
        <v/>
      </c>
      <c r="U1397" s="64">
        <f>Ringkasan!U1396</f>
        <v>0.2</v>
      </c>
      <c r="V1397" s="64">
        <f>Ringkasan!V1396</f>
        <v>-2.5</v>
      </c>
      <c r="W1397" s="64">
        <f>Ringkasan!W1396</f>
        <v>0.19</v>
      </c>
      <c r="X1397" s="64">
        <f>Ringkasan!X1396</f>
        <v>0.21</v>
      </c>
      <c r="Y1397" s="64">
        <f>Ringkasan!Y1396</f>
        <v>0.19</v>
      </c>
      <c r="Z1397" s="64">
        <f>Ringkasan!Z1396</f>
        <v>361526</v>
      </c>
      <c r="AA1397" s="64" t="str">
        <f>Ringkasan!AA1396</f>
        <v>Holding &amp; Investment Companies</v>
      </c>
      <c r="AB1397" s="64" t="str">
        <f>Ringkasan!AB1396</f>
        <v>Financials</v>
      </c>
    </row>
    <row r="1398" hidden="1">
      <c r="A1398" s="64" t="str">
        <f>Ringkasan!A1397</f>
        <v>PLIN</v>
      </c>
      <c r="B1398" s="64" t="str">
        <f>Ringkasan!B1397</f>
        <v>Plaza Indonesia Realty Tbk.</v>
      </c>
      <c r="C1398" s="65">
        <f>Ringkasan!C1397</f>
        <v>2510</v>
      </c>
      <c r="D1398" s="64" t="str">
        <f>Ringkasan!D1397</f>
        <v>#N/A</v>
      </c>
      <c r="E1398" s="64" t="str">
        <f>Ringkasan!E1397</f>
        <v/>
      </c>
      <c r="F1398" s="64" t="str">
        <f>Ringkasan!F1397</f>
        <v/>
      </c>
      <c r="G1398" s="64">
        <f>Ringkasan!G1397</f>
        <v>0</v>
      </c>
      <c r="H1398" s="19">
        <f>Ringkasan!H1397</f>
        <v>13.6</v>
      </c>
      <c r="I1398" s="19">
        <f>Ringkasan!I1397</f>
        <v>0.77</v>
      </c>
      <c r="J1398" s="19">
        <f>Ringkasan!J1397</f>
        <v>5.7</v>
      </c>
      <c r="K1398" s="19">
        <f>Ringkasan!K1397</f>
        <v>5</v>
      </c>
      <c r="L1398" s="19">
        <f>Ringkasan!L1397</f>
        <v>0.13</v>
      </c>
      <c r="M1398" s="19">
        <f>Ringkasan!M1397</f>
        <v>180</v>
      </c>
      <c r="N1398" s="64" t="str">
        <f>Ringkasan!N1397</f>
        <v/>
      </c>
      <c r="O1398" s="64" t="str">
        <f>Ringkasan!O1397</f>
        <v/>
      </c>
      <c r="P1398" s="64" t="str">
        <f>Ringkasan!P1397</f>
        <v/>
      </c>
      <c r="Q1398" s="64" t="str">
        <f>Ringkasan!Q1397</f>
        <v/>
      </c>
      <c r="R1398" s="64" t="str">
        <f>Ringkasan!R1397</f>
        <v/>
      </c>
      <c r="S1398" s="64" t="str">
        <f>Ringkasan!S1397</f>
        <v/>
      </c>
      <c r="T1398" s="64" t="str">
        <f>Ringkasan!T1397</f>
        <v/>
      </c>
      <c r="U1398" s="64">
        <f>Ringkasan!U1397</f>
        <v>2510</v>
      </c>
      <c r="V1398" s="64">
        <f>Ringkasan!V1397</f>
        <v>0</v>
      </c>
      <c r="W1398" s="64" t="str">
        <f>Ringkasan!W1397</f>
        <v/>
      </c>
      <c r="X1398" s="64" t="str">
        <f>Ringkasan!X1397</f>
        <v/>
      </c>
      <c r="Y1398" s="64" t="str">
        <f>Ringkasan!Y1397</f>
        <v/>
      </c>
      <c r="Z1398" s="64">
        <f>Ringkasan!Z1397</f>
        <v>0</v>
      </c>
      <c r="AA1398" s="64" t="str">
        <f>Ringkasan!AA1397</f>
        <v>Real Estate Management &amp; Development</v>
      </c>
      <c r="AB1398" s="64" t="str">
        <f>Ringkasan!AB1397</f>
        <v>Properties &amp; Real Estate</v>
      </c>
    </row>
    <row r="1399" hidden="1">
      <c r="A1399" s="64" t="str">
        <f>Ringkasan!A1398</f>
        <v>PMJS</v>
      </c>
      <c r="B1399" s="64" t="str">
        <f>Ringkasan!B1398</f>
        <v>Putra Mandiri Jembar Tbk.</v>
      </c>
      <c r="C1399" s="65">
        <f>Ringkasan!C1398</f>
        <v>106</v>
      </c>
      <c r="D1399" s="64" t="str">
        <f>Ringkasan!D1398</f>
        <v>#N/A</v>
      </c>
      <c r="E1399" s="64" t="str">
        <f>Ringkasan!E1398</f>
        <v/>
      </c>
      <c r="F1399" s="64" t="str">
        <f>Ringkasan!F1398</f>
        <v/>
      </c>
      <c r="G1399" s="64">
        <f>Ringkasan!G1398</f>
        <v>0</v>
      </c>
      <c r="H1399" s="19">
        <f>Ringkasan!H1398</f>
        <v>11.7</v>
      </c>
      <c r="I1399" s="19">
        <f>Ringkasan!I1398</f>
        <v>0.47</v>
      </c>
      <c r="J1399" s="19">
        <f>Ringkasan!J1398</f>
        <v>4.1</v>
      </c>
      <c r="K1399" s="19">
        <f>Ringkasan!K1398</f>
        <v>1.6</v>
      </c>
      <c r="L1399" s="19">
        <f>Ringkasan!L1398</f>
        <v>1.5</v>
      </c>
      <c r="M1399" s="19">
        <f>Ringkasan!M1398</f>
        <v>5.5</v>
      </c>
      <c r="N1399" s="64" t="str">
        <f>Ringkasan!N1398</f>
        <v/>
      </c>
      <c r="O1399" s="64" t="str">
        <f>Ringkasan!O1398</f>
        <v/>
      </c>
      <c r="P1399" s="64" t="str">
        <f>Ringkasan!P1398</f>
        <v/>
      </c>
      <c r="Q1399" s="64" t="str">
        <f>Ringkasan!Q1398</f>
        <v/>
      </c>
      <c r="R1399" s="64" t="str">
        <f>Ringkasan!R1398</f>
        <v/>
      </c>
      <c r="S1399" s="64" t="str">
        <f>Ringkasan!S1398</f>
        <v/>
      </c>
      <c r="T1399" s="64" t="str">
        <f>Ringkasan!T1398</f>
        <v/>
      </c>
      <c r="U1399" s="64">
        <f>Ringkasan!U1398</f>
        <v>106</v>
      </c>
      <c r="V1399" s="64">
        <f>Ringkasan!V1398</f>
        <v>0</v>
      </c>
      <c r="W1399" s="64">
        <f>Ringkasan!W1398</f>
        <v>106</v>
      </c>
      <c r="X1399" s="64">
        <f>Ringkasan!X1398</f>
        <v>112</v>
      </c>
      <c r="Y1399" s="64">
        <f>Ringkasan!Y1398</f>
        <v>105</v>
      </c>
      <c r="Z1399" s="64">
        <f>Ringkasan!Z1398</f>
        <v>857400</v>
      </c>
      <c r="AA1399" s="64" t="str">
        <f>Ringkasan!AA1398</f>
        <v>Specialty Retail</v>
      </c>
      <c r="AB1399" s="64" t="str">
        <f>Ringkasan!AB1398</f>
        <v>Consumer Cyclicals</v>
      </c>
    </row>
    <row r="1400" hidden="1">
      <c r="A1400" s="64" t="str">
        <f>Ringkasan!A1399</f>
        <v>PMMP</v>
      </c>
      <c r="B1400" s="64" t="str">
        <f>Ringkasan!B1399</f>
        <v>Panca Mitra Multiperdana Tbk.</v>
      </c>
      <c r="C1400" s="65">
        <f>Ringkasan!C1399</f>
        <v>50</v>
      </c>
      <c r="D1400" s="64" t="str">
        <f>Ringkasan!D1399</f>
        <v>#N/A</v>
      </c>
      <c r="E1400" s="64" t="str">
        <f>Ringkasan!E1399</f>
        <v/>
      </c>
      <c r="F1400" s="64" t="str">
        <f>Ringkasan!F1399</f>
        <v/>
      </c>
      <c r="G1400" s="64">
        <f>Ringkasan!G1399</f>
        <v>0</v>
      </c>
      <c r="H1400" s="19">
        <f>Ringkasan!H1399</f>
        <v>-0.05</v>
      </c>
      <c r="I1400" s="19">
        <f>Ringkasan!I1399</f>
        <v>-0.1</v>
      </c>
      <c r="J1400" s="19">
        <f>Ringkasan!J1399</f>
        <v>0</v>
      </c>
      <c r="K1400" s="19">
        <f>Ringkasan!K1399</f>
        <v>-92.3</v>
      </c>
      <c r="L1400" s="19">
        <f>Ringkasan!L1399</f>
        <v>-3.1</v>
      </c>
      <c r="M1400" s="19">
        <f>Ringkasan!M1399</f>
        <v>-460</v>
      </c>
      <c r="N1400" s="64" t="str">
        <f>Ringkasan!N1399</f>
        <v/>
      </c>
      <c r="O1400" s="64" t="str">
        <f>Ringkasan!O1399</f>
        <v/>
      </c>
      <c r="P1400" s="64" t="str">
        <f>Ringkasan!P1399</f>
        <v/>
      </c>
      <c r="Q1400" s="64" t="str">
        <f>Ringkasan!Q1399</f>
        <v/>
      </c>
      <c r="R1400" s="64" t="str">
        <f>Ringkasan!R1399</f>
        <v/>
      </c>
      <c r="S1400" s="64" t="str">
        <f>Ringkasan!S1399</f>
        <v/>
      </c>
      <c r="T1400" s="64" t="str">
        <f>Ringkasan!T1399</f>
        <v/>
      </c>
      <c r="U1400" s="64">
        <f>Ringkasan!U1399</f>
        <v>50</v>
      </c>
      <c r="V1400" s="64">
        <f>Ringkasan!V1399</f>
        <v>0</v>
      </c>
      <c r="W1400" s="64" t="str">
        <f>Ringkasan!W1399</f>
        <v/>
      </c>
      <c r="X1400" s="64" t="str">
        <f>Ringkasan!X1399</f>
        <v/>
      </c>
      <c r="Y1400" s="64" t="str">
        <f>Ringkasan!Y1399</f>
        <v/>
      </c>
      <c r="Z1400" s="64">
        <f>Ringkasan!Z1399</f>
        <v>0</v>
      </c>
      <c r="AA1400" s="64" t="str">
        <f>Ringkasan!AA1399</f>
        <v>Processed Foods</v>
      </c>
      <c r="AB1400" s="64" t="str">
        <f>Ringkasan!AB1399</f>
        <v>Consumer Non-Cyclicals</v>
      </c>
    </row>
    <row r="1401" hidden="1">
      <c r="A1401" s="64" t="str">
        <f>Ringkasan!A1400</f>
        <v>PMUI</v>
      </c>
      <c r="B1401" s="64" t="str">
        <f>Ringkasan!B1400</f>
        <v>Prima Multi Usaha Indonesia Tbk.</v>
      </c>
      <c r="C1401" s="65">
        <f>Ringkasan!C1400</f>
        <v>68</v>
      </c>
      <c r="D1401" s="64" t="str">
        <f>Ringkasan!D1400</f>
        <v>#N/A</v>
      </c>
      <c r="E1401" s="64" t="str">
        <f>Ringkasan!E1400</f>
        <v/>
      </c>
      <c r="F1401" s="64" t="str">
        <f>Ringkasan!F1400</f>
        <v/>
      </c>
      <c r="G1401" s="64">
        <f>Ringkasan!G1400</f>
        <v>0</v>
      </c>
      <c r="H1401" s="19">
        <f>Ringkasan!H1400</f>
        <v>10.2</v>
      </c>
      <c r="I1401" s="19">
        <f>Ringkasan!I1400</f>
        <v>0.9</v>
      </c>
      <c r="J1401" s="19">
        <f>Ringkasan!J1400</f>
        <v>8.8</v>
      </c>
      <c r="K1401" s="19">
        <f>Ringkasan!K1400</f>
        <v>6.7</v>
      </c>
      <c r="L1401" s="19">
        <f>Ringkasan!L1400</f>
        <v>0.31</v>
      </c>
      <c r="M1401" s="19">
        <f>Ringkasan!M1400</f>
        <v>3.5</v>
      </c>
      <c r="N1401" s="64" t="str">
        <f>Ringkasan!N1400</f>
        <v/>
      </c>
      <c r="O1401" s="64" t="str">
        <f>Ringkasan!O1400</f>
        <v/>
      </c>
      <c r="P1401" s="64" t="str">
        <f>Ringkasan!P1400</f>
        <v/>
      </c>
      <c r="Q1401" s="64" t="str">
        <f>Ringkasan!Q1400</f>
        <v/>
      </c>
      <c r="R1401" s="64" t="str">
        <f>Ringkasan!R1400</f>
        <v/>
      </c>
      <c r="S1401" s="64" t="str">
        <f>Ringkasan!S1400</f>
        <v/>
      </c>
      <c r="T1401" s="64" t="str">
        <f>Ringkasan!T1400</f>
        <v/>
      </c>
      <c r="U1401" s="64">
        <f>Ringkasan!U1400</f>
        <v>65</v>
      </c>
      <c r="V1401" s="64" t="str">
        <f>Ringkasan!V1400</f>
        <v/>
      </c>
      <c r="W1401" s="64" t="str">
        <f>Ringkasan!W1400</f>
        <v/>
      </c>
      <c r="X1401" s="64">
        <f>Ringkasan!X1400</f>
        <v>70</v>
      </c>
      <c r="Y1401" s="64">
        <f>Ringkasan!Y1400</f>
        <v>65</v>
      </c>
      <c r="Z1401" s="64">
        <f>Ringkasan!Z1400</f>
        <v>2309400</v>
      </c>
      <c r="AA1401" s="64" t="str">
        <f>Ringkasan!AA1400</f>
        <v>Consumer Distributors</v>
      </c>
      <c r="AB1401" s="64" t="str">
        <f>Ringkasan!AB1400</f>
        <v>Consumer Cyclicals</v>
      </c>
    </row>
    <row r="1402" hidden="1">
      <c r="A1402" s="64" t="str">
        <f>Ringkasan!A1401</f>
        <v>PNBN</v>
      </c>
      <c r="B1402" s="64" t="str">
        <f>Ringkasan!B1401</f>
        <v>Bank Pan Indonesia Tbk</v>
      </c>
      <c r="C1402" s="65" t="str">
        <f>Ringkasan!C1401</f>
        <v>#N/A</v>
      </c>
      <c r="D1402" s="64" t="str">
        <f>Ringkasan!D1401</f>
        <v>#N/A</v>
      </c>
      <c r="E1402" s="64" t="str">
        <f>Ringkasan!E1401</f>
        <v>Infobank15</v>
      </c>
      <c r="F1402" s="64" t="str">
        <f>Ringkasan!F1401</f>
        <v>30 Juni 2026</v>
      </c>
      <c r="G1402" s="64">
        <f>Ringkasan!G1401</f>
        <v>3</v>
      </c>
      <c r="H1402" s="19">
        <f>Ringkasan!H1401</f>
        <v>8.4</v>
      </c>
      <c r="I1402" s="19">
        <f>Ringkasan!I1401</f>
        <v>0.39</v>
      </c>
      <c r="J1402" s="19">
        <f>Ringkasan!J1401</f>
        <v>4.7</v>
      </c>
      <c r="K1402" s="19">
        <f>Ringkasan!K1401</f>
        <v>1.2</v>
      </c>
      <c r="L1402" s="19">
        <f>Ringkasan!L1401</f>
        <v>2.6</v>
      </c>
      <c r="M1402" s="19">
        <f>Ringkasan!M1401</f>
        <v>70.4</v>
      </c>
      <c r="N1402" s="64">
        <f>Ringkasan!N1401</f>
        <v>3.67</v>
      </c>
      <c r="O1402" s="64">
        <f>Ringkasan!O1401</f>
        <v>32.41</v>
      </c>
      <c r="P1402" s="64">
        <f>Ringkasan!P1401</f>
        <v>87.4</v>
      </c>
      <c r="Q1402" s="64">
        <f>Ringkasan!Q1401</f>
        <v>3.03</v>
      </c>
      <c r="R1402" s="64">
        <f>Ringkasan!R1401</f>
        <v>81.11</v>
      </c>
      <c r="S1402" s="64">
        <f>Ringkasan!S1401</f>
        <v>50.49</v>
      </c>
      <c r="T1402" s="64">
        <f>Ringkasan!T1401</f>
        <v>9.47</v>
      </c>
      <c r="U1402" s="64">
        <f>Ringkasan!U1401</f>
        <v>915</v>
      </c>
      <c r="V1402" s="64">
        <f>Ringkasan!V1401</f>
        <v>0</v>
      </c>
      <c r="W1402" s="64">
        <f>Ringkasan!W1401</f>
        <v>930</v>
      </c>
      <c r="X1402" s="64">
        <f>Ringkasan!X1401</f>
        <v>940</v>
      </c>
      <c r="Y1402" s="64">
        <f>Ringkasan!Y1401</f>
        <v>915</v>
      </c>
      <c r="Z1402" s="64">
        <f>Ringkasan!Z1401</f>
        <v>527900</v>
      </c>
      <c r="AA1402" s="64" t="str">
        <f>Ringkasan!AA1401</f>
        <v>Banks</v>
      </c>
      <c r="AB1402" s="64" t="str">
        <f>Ringkasan!AB1401</f>
        <v>Financials</v>
      </c>
    </row>
    <row r="1403" hidden="1">
      <c r="A1403" s="64" t="str">
        <f>Ringkasan!A1402</f>
        <v>PNBN</v>
      </c>
      <c r="B1403" s="64" t="str">
        <f>Ringkasan!B1402</f>
        <v>Bank Pan Indonesia Tbk</v>
      </c>
      <c r="C1403" s="65" t="str">
        <f>Ringkasan!C1402</f>
        <v>#N/A</v>
      </c>
      <c r="D1403" s="64" t="str">
        <f>Ringkasan!D1402</f>
        <v>#N/A</v>
      </c>
      <c r="E1403" s="64" t="str">
        <f>Ringkasan!E1402</f>
        <v>Pefindo - iGrade</v>
      </c>
      <c r="F1403" s="64" t="str">
        <f>Ringkasan!F1402</f>
        <v>30 Juni 2026</v>
      </c>
      <c r="G1403" s="64">
        <f>Ringkasan!G1402</f>
        <v>3</v>
      </c>
      <c r="H1403" s="19">
        <f>Ringkasan!H1402</f>
        <v>8.4</v>
      </c>
      <c r="I1403" s="19">
        <f>Ringkasan!I1402</f>
        <v>0.39</v>
      </c>
      <c r="J1403" s="19">
        <f>Ringkasan!J1402</f>
        <v>4.7</v>
      </c>
      <c r="K1403" s="19">
        <f>Ringkasan!K1402</f>
        <v>1.2</v>
      </c>
      <c r="L1403" s="19">
        <f>Ringkasan!L1402</f>
        <v>2.6</v>
      </c>
      <c r="M1403" s="19">
        <f>Ringkasan!M1402</f>
        <v>70.4</v>
      </c>
      <c r="N1403" s="64">
        <f>Ringkasan!N1402</f>
        <v>3.67</v>
      </c>
      <c r="O1403" s="64">
        <f>Ringkasan!O1402</f>
        <v>32.41</v>
      </c>
      <c r="P1403" s="64">
        <f>Ringkasan!P1402</f>
        <v>87.4</v>
      </c>
      <c r="Q1403" s="64">
        <f>Ringkasan!Q1402</f>
        <v>3.03</v>
      </c>
      <c r="R1403" s="64">
        <f>Ringkasan!R1402</f>
        <v>81.11</v>
      </c>
      <c r="S1403" s="64">
        <f>Ringkasan!S1402</f>
        <v>50.49</v>
      </c>
      <c r="T1403" s="64">
        <f>Ringkasan!T1402</f>
        <v>9.47</v>
      </c>
      <c r="U1403" s="64">
        <f>Ringkasan!U1402</f>
        <v>915</v>
      </c>
      <c r="V1403" s="64">
        <f>Ringkasan!V1402</f>
        <v>0</v>
      </c>
      <c r="W1403" s="64">
        <f>Ringkasan!W1402</f>
        <v>930</v>
      </c>
      <c r="X1403" s="64">
        <f>Ringkasan!X1402</f>
        <v>940</v>
      </c>
      <c r="Y1403" s="64">
        <f>Ringkasan!Y1402</f>
        <v>915</v>
      </c>
      <c r="Z1403" s="64">
        <f>Ringkasan!Z1402</f>
        <v>527900</v>
      </c>
      <c r="AA1403" s="64" t="str">
        <f>Ringkasan!AA1402</f>
        <v>Banks</v>
      </c>
      <c r="AB1403" s="64" t="str">
        <f>Ringkasan!AB1402</f>
        <v>Financials</v>
      </c>
    </row>
    <row r="1404" hidden="1">
      <c r="A1404" s="64" t="str">
        <f>Ringkasan!A1403</f>
        <v>PNBN</v>
      </c>
      <c r="B1404" s="64" t="str">
        <f>Ringkasan!B1403</f>
        <v>Bank Pan Indonesia Tbk</v>
      </c>
      <c r="C1404" s="65" t="str">
        <f>Ringkasan!C1403</f>
        <v>#N/A</v>
      </c>
      <c r="D1404" s="64" t="str">
        <f>Ringkasan!D1403</f>
        <v>#N/A</v>
      </c>
      <c r="E1404" s="64" t="str">
        <f>Ringkasan!E1403</f>
        <v>PRIMBANK-10</v>
      </c>
      <c r="F1404" s="64" t="str">
        <f>Ringkasan!F1403</f>
        <v>30 Juni 2026</v>
      </c>
      <c r="G1404" s="64">
        <f>Ringkasan!G1403</f>
        <v>3</v>
      </c>
      <c r="H1404" s="19">
        <f>Ringkasan!H1403</f>
        <v>8.4</v>
      </c>
      <c r="I1404" s="19">
        <f>Ringkasan!I1403</f>
        <v>0.39</v>
      </c>
      <c r="J1404" s="19">
        <f>Ringkasan!J1403</f>
        <v>4.7</v>
      </c>
      <c r="K1404" s="19">
        <f>Ringkasan!K1403</f>
        <v>1.2</v>
      </c>
      <c r="L1404" s="19">
        <f>Ringkasan!L1403</f>
        <v>2.6</v>
      </c>
      <c r="M1404" s="19">
        <f>Ringkasan!M1403</f>
        <v>70.4</v>
      </c>
      <c r="N1404" s="64">
        <f>Ringkasan!N1403</f>
        <v>3.67</v>
      </c>
      <c r="O1404" s="64">
        <f>Ringkasan!O1403</f>
        <v>32.41</v>
      </c>
      <c r="P1404" s="64">
        <f>Ringkasan!P1403</f>
        <v>87.4</v>
      </c>
      <c r="Q1404" s="64">
        <f>Ringkasan!Q1403</f>
        <v>3.03</v>
      </c>
      <c r="R1404" s="64">
        <f>Ringkasan!R1403</f>
        <v>81.11</v>
      </c>
      <c r="S1404" s="64">
        <f>Ringkasan!S1403</f>
        <v>50.49</v>
      </c>
      <c r="T1404" s="64">
        <f>Ringkasan!T1403</f>
        <v>9.47</v>
      </c>
      <c r="U1404" s="64">
        <f>Ringkasan!U1403</f>
        <v>915</v>
      </c>
      <c r="V1404" s="64">
        <f>Ringkasan!V1403</f>
        <v>0</v>
      </c>
      <c r="W1404" s="64">
        <f>Ringkasan!W1403</f>
        <v>930</v>
      </c>
      <c r="X1404" s="64">
        <f>Ringkasan!X1403</f>
        <v>940</v>
      </c>
      <c r="Y1404" s="64">
        <f>Ringkasan!Y1403</f>
        <v>915</v>
      </c>
      <c r="Z1404" s="64">
        <f>Ringkasan!Z1403</f>
        <v>527900</v>
      </c>
      <c r="AA1404" s="64" t="str">
        <f>Ringkasan!AA1403</f>
        <v>Banks</v>
      </c>
      <c r="AB1404" s="64" t="str">
        <f>Ringkasan!AB1403</f>
        <v>Financials</v>
      </c>
    </row>
    <row r="1405" hidden="1">
      <c r="A1405" s="64" t="str">
        <f>Ringkasan!A1404</f>
        <v>PNBS</v>
      </c>
      <c r="B1405" s="64" t="str">
        <f>Ringkasan!B1404</f>
        <v>PT Bank Panin Dubai Syariah Tbk.</v>
      </c>
      <c r="C1405" s="65">
        <f>Ringkasan!C1404</f>
        <v>50</v>
      </c>
      <c r="D1405" s="64" t="str">
        <f>Ringkasan!D1404</f>
        <v>#N/A</v>
      </c>
      <c r="E1405" s="64" t="str">
        <f>Ringkasan!E1404</f>
        <v/>
      </c>
      <c r="F1405" s="64" t="str">
        <f>Ringkasan!F1404</f>
        <v/>
      </c>
      <c r="G1405" s="64">
        <f>Ringkasan!G1404</f>
        <v>0</v>
      </c>
      <c r="H1405" s="19">
        <f>Ringkasan!H1404</f>
        <v>34</v>
      </c>
      <c r="I1405" s="19">
        <f>Ringkasan!I1404</f>
        <v>0.65</v>
      </c>
      <c r="J1405" s="19">
        <f>Ringkasan!J1404</f>
        <v>1.9</v>
      </c>
      <c r="K1405" s="19">
        <f>Ringkasan!K1404</f>
        <v>0.29</v>
      </c>
      <c r="L1405" s="19">
        <f>Ringkasan!L1404</f>
        <v>0.39</v>
      </c>
      <c r="M1405" s="19">
        <f>Ringkasan!M1404</f>
        <v>39.7</v>
      </c>
      <c r="N1405" s="64" t="str">
        <f>Ringkasan!N1404</f>
        <v/>
      </c>
      <c r="O1405" s="64">
        <f>Ringkasan!O1404</f>
        <v>21.94</v>
      </c>
      <c r="P1405" s="64" t="str">
        <f>Ringkasan!P1404</f>
        <v/>
      </c>
      <c r="Q1405" s="64">
        <f>Ringkasan!Q1404</f>
        <v>3.25</v>
      </c>
      <c r="R1405" s="64" t="str">
        <f>Ringkasan!R1404</f>
        <v/>
      </c>
      <c r="S1405" s="64" t="str">
        <f>Ringkasan!S1404</f>
        <v/>
      </c>
      <c r="T1405" s="64" t="str">
        <f>Ringkasan!T1404</f>
        <v/>
      </c>
      <c r="U1405" s="64">
        <f>Ringkasan!U1404</f>
        <v>50</v>
      </c>
      <c r="V1405" s="64">
        <f>Ringkasan!V1404</f>
        <v>0</v>
      </c>
      <c r="W1405" s="64">
        <f>Ringkasan!W1404</f>
        <v>50</v>
      </c>
      <c r="X1405" s="64" t="str">
        <f>Ringkasan!X1404</f>
        <v/>
      </c>
      <c r="Y1405" s="64">
        <f>Ringkasan!Y1404</f>
        <v>50</v>
      </c>
      <c r="Z1405" s="64">
        <f>Ringkasan!Z1404</f>
        <v>16736700</v>
      </c>
      <c r="AA1405" s="64" t="str">
        <f>Ringkasan!AA1404</f>
        <v>Banks</v>
      </c>
      <c r="AB1405" s="64" t="str">
        <f>Ringkasan!AB1404</f>
        <v>Financials</v>
      </c>
    </row>
    <row r="1406" hidden="1">
      <c r="A1406" s="64" t="str">
        <f>Ringkasan!A1405</f>
        <v>PNGO</v>
      </c>
      <c r="B1406" s="64" t="str">
        <f>Ringkasan!B1405</f>
        <v>Pinago Utama Tbk.</v>
      </c>
      <c r="C1406" s="65" t="str">
        <f>Ringkasan!C1405</f>
        <v>#N/A</v>
      </c>
      <c r="D1406" s="64" t="str">
        <f>Ringkasan!D1405</f>
        <v>#N/A</v>
      </c>
      <c r="E1406" s="64" t="str">
        <f>Ringkasan!E1405</f>
        <v/>
      </c>
      <c r="F1406" s="64" t="str">
        <f>Ringkasan!F1405</f>
        <v/>
      </c>
      <c r="G1406" s="65">
        <f>Ringkasan!G1405</f>
        <v>0</v>
      </c>
      <c r="H1406" s="19">
        <f>Ringkasan!H1405</f>
        <v>10</v>
      </c>
      <c r="I1406" s="19">
        <f>Ringkasan!I1405</f>
        <v>2.4</v>
      </c>
      <c r="J1406" s="19">
        <f>Ringkasan!J1405</f>
        <v>24</v>
      </c>
      <c r="K1406" s="19">
        <f>Ringkasan!K1405</f>
        <v>16.2</v>
      </c>
      <c r="L1406" s="19">
        <f>Ringkasan!L1405</f>
        <v>0.48</v>
      </c>
      <c r="M1406" s="19">
        <f>Ringkasan!M1405</f>
        <v>47.9</v>
      </c>
      <c r="N1406" s="64" t="str">
        <f>Ringkasan!N1405</f>
        <v/>
      </c>
      <c r="O1406" s="64" t="str">
        <f>Ringkasan!O1405</f>
        <v/>
      </c>
      <c r="P1406" s="64" t="str">
        <f>Ringkasan!P1405</f>
        <v/>
      </c>
      <c r="Q1406" s="64" t="str">
        <f>Ringkasan!Q1405</f>
        <v/>
      </c>
      <c r="R1406" s="64" t="str">
        <f>Ringkasan!R1405</f>
        <v/>
      </c>
      <c r="S1406" s="64" t="str">
        <f>Ringkasan!S1405</f>
        <v/>
      </c>
      <c r="T1406" s="64" t="str">
        <f>Ringkasan!T1405</f>
        <v/>
      </c>
      <c r="U1406" s="64">
        <f>Ringkasan!U1405</f>
        <v>3410</v>
      </c>
      <c r="V1406" s="64">
        <f>Ringkasan!V1405</f>
        <v>0.59</v>
      </c>
      <c r="W1406" s="64">
        <f>Ringkasan!W1405</f>
        <v>3410</v>
      </c>
      <c r="X1406" s="64">
        <f>Ringkasan!X1405</f>
        <v>3460</v>
      </c>
      <c r="Y1406" s="64">
        <f>Ringkasan!Y1405</f>
        <v>3410</v>
      </c>
      <c r="Z1406" s="64">
        <f>Ringkasan!Z1405</f>
        <v>5700</v>
      </c>
      <c r="AA1406" s="64" t="str">
        <f>Ringkasan!AA1405</f>
        <v>Agricultural Products</v>
      </c>
      <c r="AB1406" s="64" t="str">
        <f>Ringkasan!AB1405</f>
        <v>Consumer Non-Cyclicals</v>
      </c>
    </row>
    <row r="1407" hidden="1">
      <c r="A1407" s="64" t="str">
        <f>Ringkasan!A1406</f>
        <v>PNIN</v>
      </c>
      <c r="B1407" s="64" t="str">
        <f>Ringkasan!B1406</f>
        <v>Paninvest Tbk.</v>
      </c>
      <c r="C1407" s="65">
        <f>Ringkasan!C1406</f>
        <v>710</v>
      </c>
      <c r="D1407" s="64" t="str">
        <f>Ringkasan!D1406</f>
        <v>#N/A</v>
      </c>
      <c r="E1407" s="64" t="str">
        <f>Ringkasan!E1406</f>
        <v/>
      </c>
      <c r="F1407" s="64" t="str">
        <f>Ringkasan!F1406</f>
        <v/>
      </c>
      <c r="G1407" s="64">
        <f>Ringkasan!G1406</f>
        <v>0</v>
      </c>
      <c r="H1407" s="19">
        <f>Ringkasan!H1406</f>
        <v>2.6</v>
      </c>
      <c r="I1407" s="19">
        <f>Ringkasan!I1406</f>
        <v>0.04</v>
      </c>
      <c r="J1407" s="19">
        <f>Ringkasan!J1406</f>
        <v>1.7</v>
      </c>
      <c r="K1407" s="19">
        <f>Ringkasan!K1406</f>
        <v>0.5</v>
      </c>
      <c r="L1407" s="19">
        <f>Ringkasan!L1406</f>
        <v>2.2</v>
      </c>
      <c r="M1407" s="19">
        <f>Ringkasan!M1406</f>
        <v>34.8</v>
      </c>
      <c r="N1407" s="64" t="str">
        <f>Ringkasan!N1406</f>
        <v/>
      </c>
      <c r="O1407" s="64" t="str">
        <f>Ringkasan!O1406</f>
        <v/>
      </c>
      <c r="P1407" s="64" t="str">
        <f>Ringkasan!P1406</f>
        <v/>
      </c>
      <c r="Q1407" s="64" t="str">
        <f>Ringkasan!Q1406</f>
        <v/>
      </c>
      <c r="R1407" s="64" t="str">
        <f>Ringkasan!R1406</f>
        <v/>
      </c>
      <c r="S1407" s="64" t="str">
        <f>Ringkasan!S1406</f>
        <v/>
      </c>
      <c r="T1407" s="64" t="str">
        <f>Ringkasan!T1406</f>
        <v/>
      </c>
      <c r="U1407" s="64">
        <f>Ringkasan!U1406</f>
        <v>700</v>
      </c>
      <c r="V1407" s="64">
        <f>Ringkasan!V1406</f>
        <v>1.43</v>
      </c>
      <c r="W1407" s="64">
        <f>Ringkasan!W1406</f>
        <v>695</v>
      </c>
      <c r="X1407" s="64">
        <f>Ringkasan!X1406</f>
        <v>715</v>
      </c>
      <c r="Y1407" s="64">
        <f>Ringkasan!Y1406</f>
        <v>695</v>
      </c>
      <c r="Z1407" s="64" t="str">
        <f>Ringkasan!Z1406</f>
        <v/>
      </c>
      <c r="AA1407" s="64" t="str">
        <f>Ringkasan!AA1406</f>
        <v>Insurance</v>
      </c>
      <c r="AB1407" s="64" t="str">
        <f>Ringkasan!AB1406</f>
        <v>Financials</v>
      </c>
    </row>
    <row r="1408" hidden="1">
      <c r="A1408" s="60" t="str">
        <f>Ringkasan!A1407</f>
        <v>PNLF</v>
      </c>
      <c r="B1408" s="60" t="str">
        <f>Ringkasan!B1407</f>
        <v>Panin Financial Tbk.</v>
      </c>
      <c r="C1408" s="61" t="str">
        <f>Ringkasan!C1407</f>
        <v>#N/A</v>
      </c>
      <c r="D1408" s="60" t="str">
        <f>Ringkasan!D1407</f>
        <v>#N/A</v>
      </c>
      <c r="E1408" s="60" t="str">
        <f>Ringkasan!E1407</f>
        <v>ECONOMIC30</v>
      </c>
      <c r="F1408" s="60" t="str">
        <f>Ringkasan!F1407</f>
        <v>31 Agustus 2026</v>
      </c>
      <c r="G1408" s="60">
        <f>Ringkasan!G1407</f>
        <v>4</v>
      </c>
      <c r="H1408" s="62">
        <f>Ringkasan!H1407</f>
        <v>3.6</v>
      </c>
      <c r="I1408" s="62">
        <f>Ringkasan!I1407</f>
        <v>0.11</v>
      </c>
      <c r="J1408" s="62">
        <f>Ringkasan!J1407</f>
        <v>3.1</v>
      </c>
      <c r="K1408" s="62">
        <f>Ringkasan!K1407</f>
        <v>0.88</v>
      </c>
      <c r="L1408" s="62">
        <f>Ringkasan!L1407</f>
        <v>2.3</v>
      </c>
      <c r="M1408" s="62">
        <f>Ringkasan!M1407</f>
        <v>62.6</v>
      </c>
      <c r="N1408" s="60" t="str">
        <f>Ringkasan!N1407</f>
        <v/>
      </c>
      <c r="O1408" s="60" t="str">
        <f>Ringkasan!O1407</f>
        <v/>
      </c>
      <c r="P1408" s="60" t="str">
        <f>Ringkasan!P1407</f>
        <v/>
      </c>
      <c r="Q1408" s="60" t="str">
        <f>Ringkasan!Q1407</f>
        <v/>
      </c>
      <c r="R1408" s="60" t="str">
        <f>Ringkasan!R1407</f>
        <v/>
      </c>
      <c r="S1408" s="60" t="str">
        <f>Ringkasan!S1407</f>
        <v/>
      </c>
      <c r="T1408" s="60" t="str">
        <f>Ringkasan!T1407</f>
        <v/>
      </c>
      <c r="U1408" s="60">
        <f>Ringkasan!U1407</f>
        <v>206</v>
      </c>
      <c r="V1408" s="60">
        <f>Ringkasan!V1407</f>
        <v>2.91</v>
      </c>
      <c r="W1408" s="60">
        <f>Ringkasan!W1407</f>
        <v>208</v>
      </c>
      <c r="X1408" s="60">
        <f>Ringkasan!X1407</f>
        <v>216</v>
      </c>
      <c r="Y1408" s="60">
        <f>Ringkasan!Y1407</f>
        <v>208</v>
      </c>
      <c r="Z1408" s="60">
        <f>Ringkasan!Z1407</f>
        <v>70944600</v>
      </c>
      <c r="AA1408" s="60" t="str">
        <f>Ringkasan!AA1407</f>
        <v>Insurance</v>
      </c>
      <c r="AB1408" s="60" t="str">
        <f>Ringkasan!AB1407</f>
        <v>Financials</v>
      </c>
    </row>
    <row r="1409" hidden="1">
      <c r="A1409" s="64" t="str">
        <f>Ringkasan!A1408</f>
        <v>PNLF</v>
      </c>
      <c r="B1409" s="64" t="str">
        <f>Ringkasan!B1408</f>
        <v>Panin Financial Tbk.</v>
      </c>
      <c r="C1409" s="65" t="str">
        <f>Ringkasan!C1408</f>
        <v>#N/A</v>
      </c>
      <c r="D1409" s="64" t="str">
        <f>Ringkasan!D1408</f>
        <v>#N/A</v>
      </c>
      <c r="E1409" s="64" t="str">
        <f>Ringkasan!E1408</f>
        <v>IDXV30</v>
      </c>
      <c r="F1409" s="64" t="str">
        <f>Ringkasan!F1408</f>
        <v>4 Agustus 2026</v>
      </c>
      <c r="G1409" s="64">
        <f>Ringkasan!G1408</f>
        <v>4</v>
      </c>
      <c r="H1409" s="19">
        <f>Ringkasan!H1408</f>
        <v>3.6</v>
      </c>
      <c r="I1409" s="19">
        <f>Ringkasan!I1408</f>
        <v>0.11</v>
      </c>
      <c r="J1409" s="19">
        <f>Ringkasan!J1408</f>
        <v>3.1</v>
      </c>
      <c r="K1409" s="19">
        <f>Ringkasan!K1408</f>
        <v>0.88</v>
      </c>
      <c r="L1409" s="19">
        <f>Ringkasan!L1408</f>
        <v>2.3</v>
      </c>
      <c r="M1409" s="19">
        <f>Ringkasan!M1408</f>
        <v>62.6</v>
      </c>
      <c r="N1409" s="64" t="str">
        <f>Ringkasan!N1408</f>
        <v/>
      </c>
      <c r="O1409" s="64" t="str">
        <f>Ringkasan!O1408</f>
        <v/>
      </c>
      <c r="P1409" s="64" t="str">
        <f>Ringkasan!P1408</f>
        <v/>
      </c>
      <c r="Q1409" s="64" t="str">
        <f>Ringkasan!Q1408</f>
        <v/>
      </c>
      <c r="R1409" s="64" t="str">
        <f>Ringkasan!R1408</f>
        <v/>
      </c>
      <c r="S1409" s="64" t="str">
        <f>Ringkasan!S1408</f>
        <v/>
      </c>
      <c r="T1409" s="64" t="str">
        <f>Ringkasan!T1408</f>
        <v/>
      </c>
      <c r="U1409" s="64">
        <f>Ringkasan!U1408</f>
        <v>206</v>
      </c>
      <c r="V1409" s="64">
        <f>Ringkasan!V1408</f>
        <v>2.91</v>
      </c>
      <c r="W1409" s="64">
        <f>Ringkasan!W1408</f>
        <v>208</v>
      </c>
      <c r="X1409" s="64">
        <f>Ringkasan!X1408</f>
        <v>216</v>
      </c>
      <c r="Y1409" s="64">
        <f>Ringkasan!Y1408</f>
        <v>208</v>
      </c>
      <c r="Z1409" s="64">
        <f>Ringkasan!Z1408</f>
        <v>70944600</v>
      </c>
      <c r="AA1409" s="64" t="str">
        <f>Ringkasan!AA1408</f>
        <v>Insurance</v>
      </c>
      <c r="AB1409" s="64" t="str">
        <f>Ringkasan!AB1408</f>
        <v>Financials</v>
      </c>
    </row>
    <row r="1410" hidden="1">
      <c r="A1410" s="64" t="str">
        <f>Ringkasan!A1409</f>
        <v>PNLF</v>
      </c>
      <c r="B1410" s="64" t="str">
        <f>Ringkasan!B1409</f>
        <v>Panin Financial Tbk.</v>
      </c>
      <c r="C1410" s="65" t="str">
        <f>Ringkasan!C1409</f>
        <v>#N/A</v>
      </c>
      <c r="D1410" s="64" t="str">
        <f>Ringkasan!D1409</f>
        <v>#N/A</v>
      </c>
      <c r="E1410" s="64" t="str">
        <f>Ringkasan!E1409</f>
        <v>IDX80</v>
      </c>
      <c r="F1410" s="64" t="str">
        <f>Ringkasan!F1409</f>
        <v>31 Juli 2026</v>
      </c>
      <c r="G1410" s="64">
        <f>Ringkasan!G1409</f>
        <v>4</v>
      </c>
      <c r="H1410" s="19">
        <f>Ringkasan!H1409</f>
        <v>3.6</v>
      </c>
      <c r="I1410" s="19">
        <f>Ringkasan!I1409</f>
        <v>0.11</v>
      </c>
      <c r="J1410" s="19">
        <f>Ringkasan!J1409</f>
        <v>3.1</v>
      </c>
      <c r="K1410" s="19">
        <f>Ringkasan!K1409</f>
        <v>0.88</v>
      </c>
      <c r="L1410" s="19">
        <f>Ringkasan!L1409</f>
        <v>2.3</v>
      </c>
      <c r="M1410" s="19">
        <f>Ringkasan!M1409</f>
        <v>62.6</v>
      </c>
      <c r="N1410" s="64" t="str">
        <f>Ringkasan!N1409</f>
        <v/>
      </c>
      <c r="O1410" s="64" t="str">
        <f>Ringkasan!O1409</f>
        <v/>
      </c>
      <c r="P1410" s="64" t="str">
        <f>Ringkasan!P1409</f>
        <v/>
      </c>
      <c r="Q1410" s="64" t="str">
        <f>Ringkasan!Q1409</f>
        <v/>
      </c>
      <c r="R1410" s="64" t="str">
        <f>Ringkasan!R1409</f>
        <v/>
      </c>
      <c r="S1410" s="64" t="str">
        <f>Ringkasan!S1409</f>
        <v/>
      </c>
      <c r="T1410" s="64" t="str">
        <f>Ringkasan!T1409</f>
        <v/>
      </c>
      <c r="U1410" s="64">
        <f>Ringkasan!U1409</f>
        <v>206</v>
      </c>
      <c r="V1410" s="64">
        <f>Ringkasan!V1409</f>
        <v>2.91</v>
      </c>
      <c r="W1410" s="64">
        <f>Ringkasan!W1409</f>
        <v>208</v>
      </c>
      <c r="X1410" s="64">
        <f>Ringkasan!X1409</f>
        <v>216</v>
      </c>
      <c r="Y1410" s="64">
        <f>Ringkasan!Y1409</f>
        <v>208</v>
      </c>
      <c r="Z1410" s="64">
        <f>Ringkasan!Z1409</f>
        <v>70944600</v>
      </c>
      <c r="AA1410" s="64" t="str">
        <f>Ringkasan!AA1409</f>
        <v>Insurance</v>
      </c>
      <c r="AB1410" s="64" t="str">
        <f>Ringkasan!AB1409</f>
        <v>Financials</v>
      </c>
    </row>
    <row r="1411" hidden="1">
      <c r="A1411" s="64" t="str">
        <f>Ringkasan!A1410</f>
        <v>PNLF</v>
      </c>
      <c r="B1411" s="64" t="str">
        <f>Ringkasan!B1410</f>
        <v>Panin Financial Tbk.</v>
      </c>
      <c r="C1411" s="65" t="str">
        <f>Ringkasan!C1410</f>
        <v>#N/A</v>
      </c>
      <c r="D1411" s="64" t="str">
        <f>Ringkasan!D1410</f>
        <v>#N/A</v>
      </c>
      <c r="E1411" s="64" t="str">
        <f>Ringkasan!E1410</f>
        <v>Kompas100</v>
      </c>
      <c r="F1411" s="64" t="str">
        <f>Ringkasan!F1410</f>
        <v>31 Juli 2026</v>
      </c>
      <c r="G1411" s="64">
        <f>Ringkasan!G1410</f>
        <v>4</v>
      </c>
      <c r="H1411" s="19">
        <f>Ringkasan!H1410</f>
        <v>3.6</v>
      </c>
      <c r="I1411" s="19">
        <f>Ringkasan!I1410</f>
        <v>0.11</v>
      </c>
      <c r="J1411" s="19">
        <f>Ringkasan!J1410</f>
        <v>3.1</v>
      </c>
      <c r="K1411" s="19">
        <f>Ringkasan!K1410</f>
        <v>0.88</v>
      </c>
      <c r="L1411" s="19">
        <f>Ringkasan!L1410</f>
        <v>2.3</v>
      </c>
      <c r="M1411" s="19">
        <f>Ringkasan!M1410</f>
        <v>62.6</v>
      </c>
      <c r="N1411" s="64" t="str">
        <f>Ringkasan!N1410</f>
        <v/>
      </c>
      <c r="O1411" s="64" t="str">
        <f>Ringkasan!O1410</f>
        <v/>
      </c>
      <c r="P1411" s="64" t="str">
        <f>Ringkasan!P1410</f>
        <v/>
      </c>
      <c r="Q1411" s="64" t="str">
        <f>Ringkasan!Q1410</f>
        <v/>
      </c>
      <c r="R1411" s="64" t="str">
        <f>Ringkasan!R1410</f>
        <v/>
      </c>
      <c r="S1411" s="64" t="str">
        <f>Ringkasan!S1410</f>
        <v/>
      </c>
      <c r="T1411" s="64" t="str">
        <f>Ringkasan!T1410</f>
        <v/>
      </c>
      <c r="U1411" s="64">
        <f>Ringkasan!U1410</f>
        <v>206</v>
      </c>
      <c r="V1411" s="64">
        <f>Ringkasan!V1410</f>
        <v>2.91</v>
      </c>
      <c r="W1411" s="64">
        <f>Ringkasan!W1410</f>
        <v>208</v>
      </c>
      <c r="X1411" s="64">
        <f>Ringkasan!X1410</f>
        <v>216</v>
      </c>
      <c r="Y1411" s="64">
        <f>Ringkasan!Y1410</f>
        <v>208</v>
      </c>
      <c r="Z1411" s="64">
        <f>Ringkasan!Z1410</f>
        <v>70944600</v>
      </c>
      <c r="AA1411" s="64" t="str">
        <f>Ringkasan!AA1410</f>
        <v>Insurance</v>
      </c>
      <c r="AB1411" s="64" t="str">
        <f>Ringkasan!AB1410</f>
        <v>Financials</v>
      </c>
    </row>
    <row r="1412" hidden="1">
      <c r="A1412" s="64" t="str">
        <f>Ringkasan!A1411</f>
        <v>PNSE</v>
      </c>
      <c r="B1412" s="64" t="str">
        <f>Ringkasan!B1411</f>
        <v>Pudjiadi &amp; Sons Tbk.</v>
      </c>
      <c r="C1412" s="65">
        <f>Ringkasan!C1411</f>
        <v>545</v>
      </c>
      <c r="D1412" s="64" t="str">
        <f>Ringkasan!D1411</f>
        <v>#N/A</v>
      </c>
      <c r="E1412" s="64" t="str">
        <f>Ringkasan!E1411</f>
        <v/>
      </c>
      <c r="F1412" s="64" t="str">
        <f>Ringkasan!F1411</f>
        <v/>
      </c>
      <c r="G1412" s="64">
        <f>Ringkasan!G1411</f>
        <v>0</v>
      </c>
      <c r="H1412" s="19">
        <f>Ringkasan!H1411</f>
        <v>-32.6</v>
      </c>
      <c r="I1412" s="19">
        <f>Ringkasan!I1411</f>
        <v>2.3</v>
      </c>
      <c r="J1412" s="19">
        <f>Ringkasan!J1411</f>
        <v>-6.9</v>
      </c>
      <c r="K1412" s="19">
        <f>Ringkasan!K1411</f>
        <v>-3.3</v>
      </c>
      <c r="L1412" s="19">
        <f>Ringkasan!L1411</f>
        <v>1.1</v>
      </c>
      <c r="M1412" s="19">
        <f>Ringkasan!M1411</f>
        <v>-30.3</v>
      </c>
      <c r="N1412" s="64" t="str">
        <f>Ringkasan!N1411</f>
        <v/>
      </c>
      <c r="O1412" s="64" t="str">
        <f>Ringkasan!O1411</f>
        <v/>
      </c>
      <c r="P1412" s="64" t="str">
        <f>Ringkasan!P1411</f>
        <v/>
      </c>
      <c r="Q1412" s="64" t="str">
        <f>Ringkasan!Q1411</f>
        <v/>
      </c>
      <c r="R1412" s="64" t="str">
        <f>Ringkasan!R1411</f>
        <v/>
      </c>
      <c r="S1412" s="64" t="str">
        <f>Ringkasan!S1411</f>
        <v/>
      </c>
      <c r="T1412" s="64" t="str">
        <f>Ringkasan!T1411</f>
        <v/>
      </c>
      <c r="U1412" s="64">
        <f>Ringkasan!U1411</f>
        <v>515</v>
      </c>
      <c r="V1412" s="64">
        <f>Ringkasan!V1411</f>
        <v>5.83</v>
      </c>
      <c r="W1412" s="64">
        <f>Ringkasan!W1411</f>
        <v>530</v>
      </c>
      <c r="X1412" s="64" t="str">
        <f>Ringkasan!X1411</f>
        <v/>
      </c>
      <c r="Y1412" s="64">
        <f>Ringkasan!Y1411</f>
        <v>480</v>
      </c>
      <c r="Z1412" s="64">
        <f>Ringkasan!Z1411</f>
        <v>54900</v>
      </c>
      <c r="AA1412" s="64" t="str">
        <f>Ringkasan!AA1411</f>
        <v>Tourism &amp; Recreation</v>
      </c>
      <c r="AB1412" s="64" t="str">
        <f>Ringkasan!AB1411</f>
        <v>Consumer Cyclicals</v>
      </c>
    </row>
    <row r="1413" hidden="1">
      <c r="A1413" s="64" t="str">
        <f>Ringkasan!A1412</f>
        <v>POLA</v>
      </c>
      <c r="B1413" s="64" t="str">
        <f>Ringkasan!B1412</f>
        <v>Pool Advista Finance Tbk.</v>
      </c>
      <c r="C1413" s="65">
        <f>Ringkasan!C1412</f>
        <v>55</v>
      </c>
      <c r="D1413" s="64" t="str">
        <f>Ringkasan!D1412</f>
        <v>#N/A</v>
      </c>
      <c r="E1413" s="64" t="str">
        <f>Ringkasan!E1412</f>
        <v/>
      </c>
      <c r="F1413" s="64" t="str">
        <f>Ringkasan!F1412</f>
        <v/>
      </c>
      <c r="G1413" s="64">
        <f>Ringkasan!G1412</f>
        <v>0</v>
      </c>
      <c r="H1413" s="19">
        <f>Ringkasan!H1412</f>
        <v>69.2</v>
      </c>
      <c r="I1413" s="19">
        <f>Ringkasan!I1412</f>
        <v>0.92</v>
      </c>
      <c r="J1413" s="19">
        <f>Ringkasan!J1412</f>
        <v>1.3</v>
      </c>
      <c r="K1413" s="19">
        <f>Ringkasan!K1412</f>
        <v>1.3</v>
      </c>
      <c r="L1413" s="19">
        <f>Ringkasan!L1412</f>
        <v>0.04</v>
      </c>
      <c r="M1413" s="19">
        <f>Ringkasan!M1412</f>
        <v>82.7</v>
      </c>
      <c r="N1413" s="64" t="str">
        <f>Ringkasan!N1412</f>
        <v/>
      </c>
      <c r="O1413" s="64" t="str">
        <f>Ringkasan!O1412</f>
        <v/>
      </c>
      <c r="P1413" s="64" t="str">
        <f>Ringkasan!P1412</f>
        <v/>
      </c>
      <c r="Q1413" s="64" t="str">
        <f>Ringkasan!Q1412</f>
        <v/>
      </c>
      <c r="R1413" s="64" t="str">
        <f>Ringkasan!R1412</f>
        <v/>
      </c>
      <c r="S1413" s="64" t="str">
        <f>Ringkasan!S1412</f>
        <v/>
      </c>
      <c r="T1413" s="64" t="str">
        <f>Ringkasan!T1412</f>
        <v/>
      </c>
      <c r="U1413" s="64">
        <f>Ringkasan!U1412</f>
        <v>1.7</v>
      </c>
      <c r="V1413" s="64">
        <f>Ringkasan!V1412</f>
        <v>6.47</v>
      </c>
      <c r="W1413" s="64">
        <f>Ringkasan!W1412</f>
        <v>1.73</v>
      </c>
      <c r="X1413" s="64">
        <f>Ringkasan!X1412</f>
        <v>1.9</v>
      </c>
      <c r="Y1413" s="64">
        <f>Ringkasan!Y1412</f>
        <v>1.73</v>
      </c>
      <c r="Z1413" s="64">
        <f>Ringkasan!Z1412</f>
        <v>117120</v>
      </c>
      <c r="AA1413" s="64" t="str">
        <f>Ringkasan!AA1412</f>
        <v>Consumer Financing</v>
      </c>
      <c r="AB1413" s="64" t="str">
        <f>Ringkasan!AB1412</f>
        <v>Financials</v>
      </c>
    </row>
    <row r="1414" hidden="1">
      <c r="A1414" s="64" t="str">
        <f>Ringkasan!A1413</f>
        <v>POLI</v>
      </c>
      <c r="B1414" s="64" t="str">
        <f>Ringkasan!B1413</f>
        <v>Pollux Hotels Group Tbk.</v>
      </c>
      <c r="C1414" s="65">
        <f>Ringkasan!C1413</f>
        <v>815</v>
      </c>
      <c r="D1414" s="64" t="str">
        <f>Ringkasan!D1413</f>
        <v>#N/A</v>
      </c>
      <c r="E1414" s="64" t="str">
        <f>Ringkasan!E1413</f>
        <v/>
      </c>
      <c r="F1414" s="64" t="str">
        <f>Ringkasan!F1413</f>
        <v/>
      </c>
      <c r="G1414" s="64">
        <f>Ringkasan!G1413</f>
        <v>0</v>
      </c>
      <c r="H1414" s="19">
        <f>Ringkasan!H1413</f>
        <v>26.3</v>
      </c>
      <c r="I1414" s="19">
        <f>Ringkasan!I1413</f>
        <v>0.84</v>
      </c>
      <c r="J1414" s="19">
        <f>Ringkasan!J1413</f>
        <v>3.2</v>
      </c>
      <c r="K1414" s="19">
        <f>Ringkasan!K1413</f>
        <v>1.6</v>
      </c>
      <c r="L1414" s="19">
        <f>Ringkasan!L1413</f>
        <v>0.98</v>
      </c>
      <c r="M1414" s="19">
        <f>Ringkasan!M1413</f>
        <v>59.7</v>
      </c>
      <c r="N1414" s="64" t="str">
        <f>Ringkasan!N1413</f>
        <v/>
      </c>
      <c r="O1414" s="64" t="str">
        <f>Ringkasan!O1413</f>
        <v/>
      </c>
      <c r="P1414" s="64" t="str">
        <f>Ringkasan!P1413</f>
        <v/>
      </c>
      <c r="Q1414" s="64" t="str">
        <f>Ringkasan!Q1413</f>
        <v/>
      </c>
      <c r="R1414" s="64" t="str">
        <f>Ringkasan!R1413</f>
        <v/>
      </c>
      <c r="S1414" s="64" t="str">
        <f>Ringkasan!S1413</f>
        <v/>
      </c>
      <c r="T1414" s="64" t="str">
        <f>Ringkasan!T1413</f>
        <v/>
      </c>
      <c r="U1414" s="64">
        <f>Ringkasan!U1413</f>
        <v>825</v>
      </c>
      <c r="V1414" s="64">
        <f>Ringkasan!V1413</f>
        <v>-1.21</v>
      </c>
      <c r="W1414" s="64">
        <f>Ringkasan!W1413</f>
        <v>735</v>
      </c>
      <c r="X1414" s="64">
        <f>Ringkasan!X1413</f>
        <v>825</v>
      </c>
      <c r="Y1414" s="64">
        <f>Ringkasan!Y1413</f>
        <v>730</v>
      </c>
      <c r="Z1414" s="64">
        <f>Ringkasan!Z1413</f>
        <v>3800</v>
      </c>
      <c r="AA1414" s="64" t="str">
        <f>Ringkasan!AA1413</f>
        <v>Real Estate Management &amp; Development</v>
      </c>
      <c r="AB1414" s="64" t="str">
        <f>Ringkasan!AB1413</f>
        <v>Properties &amp; Real Estate</v>
      </c>
    </row>
    <row r="1415" hidden="1">
      <c r="A1415" s="64" t="str">
        <f>Ringkasan!A1414</f>
        <v>POLL</v>
      </c>
      <c r="B1415" s="64" t="str">
        <f>Ringkasan!B1414</f>
        <v>Pollux Properties Indonesia Tbk.</v>
      </c>
      <c r="C1415" s="65">
        <f>Ringkasan!C1414</f>
        <v>112</v>
      </c>
      <c r="D1415" s="64" t="str">
        <f>Ringkasan!D1414</f>
        <v>#N/A</v>
      </c>
      <c r="E1415" s="64" t="str">
        <f>Ringkasan!E1414</f>
        <v/>
      </c>
      <c r="F1415" s="64" t="str">
        <f>Ringkasan!F1414</f>
        <v/>
      </c>
      <c r="G1415" s="64">
        <f>Ringkasan!G1414</f>
        <v>0</v>
      </c>
      <c r="H1415" s="19">
        <f>Ringkasan!H1414</f>
        <v>20.9</v>
      </c>
      <c r="I1415" s="19">
        <f>Ringkasan!I1414</f>
        <v>0.49</v>
      </c>
      <c r="J1415" s="19">
        <f>Ringkasan!J1414</f>
        <v>2.3</v>
      </c>
      <c r="K1415" s="19">
        <f>Ringkasan!K1414</f>
        <v>0.92</v>
      </c>
      <c r="L1415" s="19">
        <f>Ringkasan!L1414</f>
        <v>0.32</v>
      </c>
      <c r="M1415" s="19">
        <f>Ringkasan!M1414</f>
        <v>20.7</v>
      </c>
      <c r="N1415" s="64" t="str">
        <f>Ringkasan!N1414</f>
        <v/>
      </c>
      <c r="O1415" s="64" t="str">
        <f>Ringkasan!O1414</f>
        <v/>
      </c>
      <c r="P1415" s="64" t="str">
        <f>Ringkasan!P1414</f>
        <v/>
      </c>
      <c r="Q1415" s="64" t="str">
        <f>Ringkasan!Q1414</f>
        <v/>
      </c>
      <c r="R1415" s="64" t="str">
        <f>Ringkasan!R1414</f>
        <v/>
      </c>
      <c r="S1415" s="64" t="str">
        <f>Ringkasan!S1414</f>
        <v/>
      </c>
      <c r="T1415" s="64" t="str">
        <f>Ringkasan!T1414</f>
        <v/>
      </c>
      <c r="U1415" s="64">
        <f>Ringkasan!U1414</f>
        <v>290</v>
      </c>
      <c r="V1415" s="64">
        <f>Ringkasan!V1414</f>
        <v>0</v>
      </c>
      <c r="W1415" s="64">
        <f>Ringkasan!W1414</f>
        <v>290</v>
      </c>
      <c r="X1415" s="64">
        <f>Ringkasan!X1414</f>
        <v>290</v>
      </c>
      <c r="Y1415" s="64">
        <f>Ringkasan!Y1414</f>
        <v>290</v>
      </c>
      <c r="Z1415" s="64">
        <f>Ringkasan!Z1414</f>
        <v>6085</v>
      </c>
      <c r="AA1415" s="64" t="str">
        <f>Ringkasan!AA1414</f>
        <v>Real Estate Management &amp; Development</v>
      </c>
      <c r="AB1415" s="64" t="str">
        <f>Ringkasan!AB1414</f>
        <v>Properties &amp; Real Estate</v>
      </c>
    </row>
    <row r="1416" hidden="1">
      <c r="A1416" s="64" t="str">
        <f>Ringkasan!A1415</f>
        <v>POLU</v>
      </c>
      <c r="B1416" s="64" t="str">
        <f>Ringkasan!B1415</f>
        <v>Golden Flower Tbk.</v>
      </c>
      <c r="C1416" s="65">
        <f>Ringkasan!C1415</f>
        <v>14025</v>
      </c>
      <c r="D1416" s="64" t="str">
        <f>Ringkasan!D1415</f>
        <v>#N/A</v>
      </c>
      <c r="E1416" s="64" t="str">
        <f>Ringkasan!E1415</f>
        <v/>
      </c>
      <c r="F1416" s="64" t="str">
        <f>Ringkasan!F1415</f>
        <v/>
      </c>
      <c r="G1416" s="64">
        <f>Ringkasan!G1415</f>
        <v>0</v>
      </c>
      <c r="H1416" s="19">
        <f>Ringkasan!H1415</f>
        <v>-220</v>
      </c>
      <c r="I1416" s="19">
        <f>Ringkasan!I1415</f>
        <v>67</v>
      </c>
      <c r="J1416" s="19">
        <f>Ringkasan!J1415</f>
        <v>-30.1</v>
      </c>
      <c r="K1416" s="19">
        <f>Ringkasan!K1415</f>
        <v>-8.9</v>
      </c>
      <c r="L1416" s="19">
        <f>Ringkasan!L1415</f>
        <v>1.1</v>
      </c>
      <c r="M1416" s="19">
        <f>Ringkasan!M1415</f>
        <v>-22.6</v>
      </c>
      <c r="N1416" s="64" t="str">
        <f>Ringkasan!N1415</f>
        <v/>
      </c>
      <c r="O1416" s="64" t="str">
        <f>Ringkasan!O1415</f>
        <v/>
      </c>
      <c r="P1416" s="64" t="str">
        <f>Ringkasan!P1415</f>
        <v/>
      </c>
      <c r="Q1416" s="64" t="str">
        <f>Ringkasan!Q1415</f>
        <v/>
      </c>
      <c r="R1416" s="64" t="str">
        <f>Ringkasan!R1415</f>
        <v/>
      </c>
      <c r="S1416" s="64" t="str">
        <f>Ringkasan!S1415</f>
        <v/>
      </c>
      <c r="T1416" s="64" t="str">
        <f>Ringkasan!T1415</f>
        <v/>
      </c>
      <c r="U1416" s="64">
        <f>Ringkasan!U1415</f>
        <v>11700</v>
      </c>
      <c r="V1416" s="64">
        <f>Ringkasan!V1415</f>
        <v>19.87</v>
      </c>
      <c r="W1416" s="64">
        <f>Ringkasan!W1415</f>
        <v>12125</v>
      </c>
      <c r="X1416" s="64">
        <f>Ringkasan!X1415</f>
        <v>14025</v>
      </c>
      <c r="Y1416" s="64">
        <f>Ringkasan!Y1415</f>
        <v>12125</v>
      </c>
      <c r="Z1416" s="64">
        <f>Ringkasan!Z1415</f>
        <v>29300</v>
      </c>
      <c r="AA1416" s="64" t="str">
        <f>Ringkasan!AA1415</f>
        <v>Apparel &amp; Luxury Goods</v>
      </c>
      <c r="AB1416" s="64" t="str">
        <f>Ringkasan!AB1415</f>
        <v>Consumer Cyclicals</v>
      </c>
    </row>
    <row r="1417" hidden="1">
      <c r="A1417" s="64" t="str">
        <f>Ringkasan!A1346</f>
        <v>PCAR</v>
      </c>
      <c r="B1417" s="64" t="str">
        <f>Ringkasan!B1346</f>
        <v>Prima Cakrawala Abadi Tbk.</v>
      </c>
      <c r="C1417" s="65">
        <f>Ringkasan!C1346</f>
        <v>39</v>
      </c>
      <c r="D1417" s="64" t="str">
        <f>Ringkasan!D1346</f>
        <v>#N/A</v>
      </c>
      <c r="E1417" s="64" t="str">
        <f>Ringkasan!E1346</f>
        <v/>
      </c>
      <c r="F1417" s="64" t="str">
        <f>Ringkasan!F1346</f>
        <v/>
      </c>
      <c r="G1417" s="64">
        <f>Ringkasan!G1346</f>
        <v>0</v>
      </c>
      <c r="H1417" s="19">
        <f>Ringkasan!H1346</f>
        <v>-3.6</v>
      </c>
      <c r="I1417" s="19">
        <f>Ringkasan!I1346</f>
        <v>0.74</v>
      </c>
      <c r="J1417" s="19">
        <f>Ringkasan!J1346</f>
        <v>-20.7</v>
      </c>
      <c r="K1417" s="19">
        <f>Ringkasan!K1346</f>
        <v>-13.9</v>
      </c>
      <c r="L1417" s="19">
        <f>Ringkasan!L1346</f>
        <v>0.49</v>
      </c>
      <c r="M1417" s="19">
        <f>Ringkasan!M1346</f>
        <v>-21</v>
      </c>
      <c r="N1417" s="64" t="str">
        <f>Ringkasan!N1346</f>
        <v/>
      </c>
      <c r="O1417" s="64" t="str">
        <f>Ringkasan!O1346</f>
        <v/>
      </c>
      <c r="P1417" s="64" t="str">
        <f>Ringkasan!P1346</f>
        <v/>
      </c>
      <c r="Q1417" s="64" t="str">
        <f>Ringkasan!Q1346</f>
        <v/>
      </c>
      <c r="R1417" s="64" t="str">
        <f>Ringkasan!R1346</f>
        <v/>
      </c>
      <c r="S1417" s="64" t="str">
        <f>Ringkasan!S1346</f>
        <v/>
      </c>
      <c r="T1417" s="64" t="str">
        <f>Ringkasan!T1346</f>
        <v/>
      </c>
      <c r="U1417" s="64">
        <f>Ringkasan!U1346</f>
        <v>117.58</v>
      </c>
      <c r="V1417" s="64">
        <f>Ringkasan!V1346</f>
        <v>0.8</v>
      </c>
      <c r="W1417" s="64">
        <f>Ringkasan!W1346</f>
        <v>118.25</v>
      </c>
      <c r="X1417" s="64">
        <f>Ringkasan!X1346</f>
        <v>119.1</v>
      </c>
      <c r="Y1417" s="64">
        <f>Ringkasan!Y1346</f>
        <v>117</v>
      </c>
      <c r="Z1417" s="64">
        <f>Ringkasan!Z1346</f>
        <v>2618234</v>
      </c>
      <c r="AA1417" s="64" t="str">
        <f>Ringkasan!AA1346</f>
        <v>Food &amp; Staples Retailing</v>
      </c>
      <c r="AB1417" s="64" t="str">
        <f>Ringkasan!AB1346</f>
        <v>Consumer Non-Cyclicals</v>
      </c>
    </row>
    <row r="1418" hidden="1">
      <c r="A1418" s="64" t="str">
        <f>Ringkasan!A1207</f>
        <v>MENN</v>
      </c>
      <c r="B1418" s="64" t="str">
        <f>Ringkasan!B1207</f>
        <v>PT Menn Teknologi Indonesia Tbk.</v>
      </c>
      <c r="C1418" s="61">
        <f>Ringkasan!C1207</f>
        <v>53</v>
      </c>
      <c r="D1418" s="60" t="str">
        <f>Ringkasan!D1207</f>
        <v>#N/A</v>
      </c>
      <c r="E1418" s="60" t="str">
        <f>Ringkasan!E1207</f>
        <v/>
      </c>
      <c r="F1418" s="60" t="str">
        <f>Ringkasan!F1207</f>
        <v/>
      </c>
      <c r="G1418" s="60">
        <f>Ringkasan!G1207</f>
        <v>0</v>
      </c>
      <c r="H1418" s="62">
        <f>Ringkasan!H1207</f>
        <v>-20.2</v>
      </c>
      <c r="I1418" s="62">
        <f>Ringkasan!I1207</f>
        <v>1.9</v>
      </c>
      <c r="J1418" s="62">
        <f>Ringkasan!J1207</f>
        <v>-9.6</v>
      </c>
      <c r="K1418" s="62">
        <f>Ringkasan!K1207</f>
        <v>-9.6</v>
      </c>
      <c r="L1418" s="62">
        <f>Ringkasan!L1207</f>
        <v>0</v>
      </c>
      <c r="M1418" s="62">
        <f>Ringkasan!M1207</f>
        <v>-520</v>
      </c>
      <c r="N1418" s="60" t="str">
        <f>Ringkasan!N1207</f>
        <v/>
      </c>
      <c r="O1418" s="60" t="str">
        <f>Ringkasan!O1207</f>
        <v/>
      </c>
      <c r="P1418" s="60" t="str">
        <f>Ringkasan!P1207</f>
        <v/>
      </c>
      <c r="Q1418" s="60" t="str">
        <f>Ringkasan!Q1207</f>
        <v/>
      </c>
      <c r="R1418" s="60" t="str">
        <f>Ringkasan!R1207</f>
        <v/>
      </c>
      <c r="S1418" s="60" t="str">
        <f>Ringkasan!S1207</f>
        <v/>
      </c>
      <c r="T1418" s="60" t="str">
        <f>Ringkasan!T1207</f>
        <v/>
      </c>
      <c r="U1418" s="60">
        <f>Ringkasan!U1207</f>
        <v>53</v>
      </c>
      <c r="V1418" s="60">
        <f>Ringkasan!V1207</f>
        <v>0</v>
      </c>
      <c r="W1418" s="60" t="str">
        <f>Ringkasan!W1207</f>
        <v/>
      </c>
      <c r="X1418" s="60" t="str">
        <f>Ringkasan!X1207</f>
        <v/>
      </c>
      <c r="Y1418" s="60" t="str">
        <f>Ringkasan!Y1207</f>
        <v/>
      </c>
      <c r="Z1418" s="60">
        <f>Ringkasan!Z1207</f>
        <v>0</v>
      </c>
      <c r="AA1418" s="60" t="str">
        <f>Ringkasan!AA1207</f>
        <v>Electronic Equipment, Instruments &amp; Components</v>
      </c>
      <c r="AB1418" s="64" t="str">
        <f>Ringkasan!AB1207</f>
        <v>Technology</v>
      </c>
    </row>
    <row r="1419" hidden="1">
      <c r="A1419" s="64" t="str">
        <f>Ringkasan!A1208</f>
        <v>MERI</v>
      </c>
      <c r="B1419" s="64" t="str">
        <f>Ringkasan!B1208</f>
        <v>Merry Riana Edukasi Tbk.</v>
      </c>
      <c r="C1419" s="61">
        <f>Ringkasan!C1208</f>
        <v>109</v>
      </c>
      <c r="D1419" s="60" t="str">
        <f>Ringkasan!D1208</f>
        <v>#N/A</v>
      </c>
      <c r="E1419" s="60" t="str">
        <f>Ringkasan!E1208</f>
        <v/>
      </c>
      <c r="F1419" s="60" t="str">
        <f>Ringkasan!F1208</f>
        <v/>
      </c>
      <c r="G1419" s="60">
        <f>Ringkasan!G1208</f>
        <v>0</v>
      </c>
      <c r="H1419" s="62">
        <f>Ringkasan!H1208</f>
        <v>44.2</v>
      </c>
      <c r="I1419" s="62">
        <f>Ringkasan!I1208</f>
        <v>2.9</v>
      </c>
      <c r="J1419" s="62">
        <f>Ringkasan!J1208</f>
        <v>6.5</v>
      </c>
      <c r="K1419" s="62">
        <f>Ringkasan!K1208</f>
        <v>5.2</v>
      </c>
      <c r="L1419" s="62">
        <f>Ringkasan!L1208</f>
        <v>0.25</v>
      </c>
      <c r="M1419" s="62">
        <f>Ringkasan!M1208</f>
        <v>29</v>
      </c>
      <c r="N1419" s="60" t="str">
        <f>Ringkasan!N1208</f>
        <v/>
      </c>
      <c r="O1419" s="60" t="str">
        <f>Ringkasan!O1208</f>
        <v/>
      </c>
      <c r="P1419" s="60" t="str">
        <f>Ringkasan!P1208</f>
        <v/>
      </c>
      <c r="Q1419" s="60" t="str">
        <f>Ringkasan!Q1208</f>
        <v/>
      </c>
      <c r="R1419" s="60" t="str">
        <f>Ringkasan!R1208</f>
        <v/>
      </c>
      <c r="S1419" s="60" t="str">
        <f>Ringkasan!S1208</f>
        <v/>
      </c>
      <c r="T1419" s="60" t="str">
        <f>Ringkasan!T1208</f>
        <v/>
      </c>
      <c r="U1419" s="60">
        <f>Ringkasan!U1208</f>
        <v>107</v>
      </c>
      <c r="V1419" s="60">
        <f>Ringkasan!V1208</f>
        <v>1.87</v>
      </c>
      <c r="W1419" s="60">
        <f>Ringkasan!W1208</f>
        <v>108</v>
      </c>
      <c r="X1419" s="60">
        <f>Ringkasan!X1208</f>
        <v>115</v>
      </c>
      <c r="Y1419" s="60">
        <f>Ringkasan!Y1208</f>
        <v>108</v>
      </c>
      <c r="Z1419" s="60">
        <f>Ringkasan!Z1208</f>
        <v>568700</v>
      </c>
      <c r="AA1419" s="60" t="str">
        <f>Ringkasan!AA1208</f>
        <v>Education &amp; Support Services</v>
      </c>
      <c r="AB1419" s="64" t="str">
        <f>Ringkasan!AB1208</f>
        <v>Consumer Cyclicals</v>
      </c>
    </row>
    <row r="1420" hidden="1">
      <c r="A1420" s="64" t="str">
        <f>Ringkasan!A1419</f>
        <v>POSA</v>
      </c>
      <c r="B1420" s="64" t="str">
        <f>Ringkasan!B1419</f>
        <v>Bliss Properti Indonesia Tbk.</v>
      </c>
      <c r="C1420" s="65">
        <f>Ringkasan!C1419</f>
        <v>50</v>
      </c>
      <c r="D1420" s="64" t="str">
        <f>Ringkasan!D1419</f>
        <v>#N/A</v>
      </c>
      <c r="E1420" s="64" t="str">
        <f>Ringkasan!E1419</f>
        <v/>
      </c>
      <c r="F1420" s="64" t="str">
        <f>Ringkasan!F1419</f>
        <v/>
      </c>
      <c r="G1420" s="64">
        <f>Ringkasan!G1419</f>
        <v>0</v>
      </c>
      <c r="H1420" s="19">
        <f>Ringkasan!H1419</f>
        <v>-3.5</v>
      </c>
      <c r="I1420" s="19">
        <f>Ringkasan!I1419</f>
        <v>-0.77</v>
      </c>
      <c r="J1420" s="19">
        <f>Ringkasan!J1419</f>
        <v>0</v>
      </c>
      <c r="K1420" s="19">
        <f>Ringkasan!K1419</f>
        <v>-17.2</v>
      </c>
      <c r="L1420" s="19">
        <f>Ringkasan!L1419</f>
        <v>-2.3</v>
      </c>
      <c r="M1420" s="19">
        <f>Ringkasan!M1419</f>
        <v>-930</v>
      </c>
      <c r="N1420" s="64" t="str">
        <f>Ringkasan!N1419</f>
        <v/>
      </c>
      <c r="O1420" s="64" t="str">
        <f>Ringkasan!O1419</f>
        <v/>
      </c>
      <c r="P1420" s="64" t="str">
        <f>Ringkasan!P1419</f>
        <v/>
      </c>
      <c r="Q1420" s="64" t="str">
        <f>Ringkasan!Q1419</f>
        <v/>
      </c>
      <c r="R1420" s="64" t="str">
        <f>Ringkasan!R1419</f>
        <v/>
      </c>
      <c r="S1420" s="64" t="str">
        <f>Ringkasan!S1419</f>
        <v/>
      </c>
      <c r="T1420" s="64" t="str">
        <f>Ringkasan!T1419</f>
        <v/>
      </c>
      <c r="U1420" s="64">
        <f>Ringkasan!U1419</f>
        <v>50</v>
      </c>
      <c r="V1420" s="64">
        <f>Ringkasan!V1419</f>
        <v>0</v>
      </c>
      <c r="W1420" s="64" t="str">
        <f>Ringkasan!W1419</f>
        <v/>
      </c>
      <c r="X1420" s="64" t="str">
        <f>Ringkasan!X1419</f>
        <v/>
      </c>
      <c r="Y1420" s="64" t="str">
        <f>Ringkasan!Y1419</f>
        <v/>
      </c>
      <c r="Z1420" s="64">
        <f>Ringkasan!Z1419</f>
        <v>0</v>
      </c>
      <c r="AA1420" s="64" t="str">
        <f>Ringkasan!AA1419</f>
        <v>Real Estate Management &amp; Development</v>
      </c>
      <c r="AB1420" s="64" t="str">
        <f>Ringkasan!AB1419</f>
        <v>Properties &amp; Real Estate</v>
      </c>
    </row>
    <row r="1421" hidden="1">
      <c r="A1421" s="64" t="str">
        <f>Ringkasan!A1420</f>
        <v>POWR</v>
      </c>
      <c r="B1421" s="64" t="str">
        <f>Ringkasan!B1420</f>
        <v>Cikarang Listrindo Tbk.</v>
      </c>
      <c r="C1421" s="65">
        <f>Ringkasan!C1420</f>
        <v>685</v>
      </c>
      <c r="D1421" s="64" t="str">
        <f>Ringkasan!D1420</f>
        <v>#N/A</v>
      </c>
      <c r="E1421" s="64" t="str">
        <f>Ringkasan!E1420</f>
        <v>ESGQKEHATI</v>
      </c>
      <c r="F1421" s="66">
        <f>Ringkasan!F1420</f>
        <v>46356</v>
      </c>
      <c r="G1421" s="64">
        <f>Ringkasan!G1420</f>
        <v>3</v>
      </c>
      <c r="H1421" s="19">
        <f>Ringkasan!H1420</f>
        <v>9.3</v>
      </c>
      <c r="I1421" s="19">
        <f>Ringkasan!I1420</f>
        <v>0.92</v>
      </c>
      <c r="J1421" s="19">
        <f>Ringkasan!J1420</f>
        <v>9.9</v>
      </c>
      <c r="K1421" s="19">
        <f>Ringkasan!K1420</f>
        <v>6</v>
      </c>
      <c r="L1421" s="19">
        <f>Ringkasan!L1420</f>
        <v>0.64</v>
      </c>
      <c r="M1421" s="19">
        <f>Ringkasan!M1420</f>
        <v>56.3</v>
      </c>
      <c r="N1421" s="64" t="str">
        <f>Ringkasan!N1420</f>
        <v/>
      </c>
      <c r="O1421" s="64" t="str">
        <f>Ringkasan!O1420</f>
        <v/>
      </c>
      <c r="P1421" s="64" t="str">
        <f>Ringkasan!P1420</f>
        <v/>
      </c>
      <c r="Q1421" s="64" t="str">
        <f>Ringkasan!Q1420</f>
        <v/>
      </c>
      <c r="R1421" s="64" t="str">
        <f>Ringkasan!R1420</f>
        <v/>
      </c>
      <c r="S1421" s="64" t="str">
        <f>Ringkasan!S1420</f>
        <v/>
      </c>
      <c r="T1421" s="64" t="str">
        <f>Ringkasan!T1420</f>
        <v/>
      </c>
      <c r="U1421" s="64">
        <f>Ringkasan!U1420</f>
        <v>26.71</v>
      </c>
      <c r="V1421" s="64">
        <f>Ringkasan!V1420</f>
        <v>1.54</v>
      </c>
      <c r="W1421" s="64">
        <f>Ringkasan!W1420</f>
        <v>26.87</v>
      </c>
      <c r="X1421" s="64" t="str">
        <f>Ringkasan!X1420</f>
        <v/>
      </c>
      <c r="Y1421" s="64">
        <f>Ringkasan!Y1420</f>
        <v>26.87</v>
      </c>
      <c r="Z1421" s="64">
        <f>Ringkasan!Z1420</f>
        <v>11702</v>
      </c>
      <c r="AA1421" s="64" t="str">
        <f>Ringkasan!AA1420</f>
        <v>Electric Utilities</v>
      </c>
      <c r="AB1421" s="64" t="str">
        <f>Ringkasan!AB1420</f>
        <v>Infrastructures</v>
      </c>
    </row>
    <row r="1422" hidden="1">
      <c r="A1422" s="64" t="str">
        <f>Ringkasan!A1421</f>
        <v>POWR</v>
      </c>
      <c r="B1422" s="64" t="str">
        <f>Ringkasan!B1421</f>
        <v>Cikarang Listrindo Tbk.</v>
      </c>
      <c r="C1422" s="65">
        <f>Ringkasan!C1421</f>
        <v>685</v>
      </c>
      <c r="D1422" s="64" t="str">
        <f>Ringkasan!D1421</f>
        <v>#N/A</v>
      </c>
      <c r="E1422" s="64" t="str">
        <f>Ringkasan!E1421</f>
        <v>ESGSKEHATI</v>
      </c>
      <c r="F1422" s="66">
        <f>Ringkasan!F1421</f>
        <v>46356</v>
      </c>
      <c r="G1422" s="64">
        <f>Ringkasan!G1421</f>
        <v>3</v>
      </c>
      <c r="H1422" s="19">
        <f>Ringkasan!H1421</f>
        <v>9.3</v>
      </c>
      <c r="I1422" s="19">
        <f>Ringkasan!I1421</f>
        <v>0.92</v>
      </c>
      <c r="J1422" s="19">
        <f>Ringkasan!J1421</f>
        <v>9.9</v>
      </c>
      <c r="K1422" s="19">
        <f>Ringkasan!K1421</f>
        <v>6</v>
      </c>
      <c r="L1422" s="19">
        <f>Ringkasan!L1421</f>
        <v>0.64</v>
      </c>
      <c r="M1422" s="19">
        <f>Ringkasan!M1421</f>
        <v>56.3</v>
      </c>
      <c r="N1422" s="64" t="str">
        <f>Ringkasan!N1421</f>
        <v/>
      </c>
      <c r="O1422" s="64" t="str">
        <f>Ringkasan!O1421</f>
        <v/>
      </c>
      <c r="P1422" s="64" t="str">
        <f>Ringkasan!P1421</f>
        <v/>
      </c>
      <c r="Q1422" s="64" t="str">
        <f>Ringkasan!Q1421</f>
        <v/>
      </c>
      <c r="R1422" s="64" t="str">
        <f>Ringkasan!R1421</f>
        <v/>
      </c>
      <c r="S1422" s="64" t="str">
        <f>Ringkasan!S1421</f>
        <v/>
      </c>
      <c r="T1422" s="64" t="str">
        <f>Ringkasan!T1421</f>
        <v/>
      </c>
      <c r="U1422" s="64">
        <f>Ringkasan!U1421</f>
        <v>26.71</v>
      </c>
      <c r="V1422" s="64">
        <f>Ringkasan!V1421</f>
        <v>1.54</v>
      </c>
      <c r="W1422" s="64">
        <f>Ringkasan!W1421</f>
        <v>26.87</v>
      </c>
      <c r="X1422" s="64" t="str">
        <f>Ringkasan!X1421</f>
        <v/>
      </c>
      <c r="Y1422" s="64">
        <f>Ringkasan!Y1421</f>
        <v>26.87</v>
      </c>
      <c r="Z1422" s="64">
        <f>Ringkasan!Z1421</f>
        <v>11702</v>
      </c>
      <c r="AA1422" s="64" t="str">
        <f>Ringkasan!AA1421</f>
        <v>Electric Utilities</v>
      </c>
      <c r="AB1422" s="64" t="str">
        <f>Ringkasan!AB1421</f>
        <v>Infrastructures</v>
      </c>
    </row>
    <row r="1423" hidden="1">
      <c r="A1423" s="64" t="str">
        <f>Ringkasan!A1422</f>
        <v>POWR</v>
      </c>
      <c r="B1423" s="64" t="str">
        <f>Ringkasan!B1422</f>
        <v>Cikarang Listrindo Tbk.</v>
      </c>
      <c r="C1423" s="65">
        <f>Ringkasan!C1422</f>
        <v>685</v>
      </c>
      <c r="D1423" s="64" t="str">
        <f>Ringkasan!D1422</f>
        <v>#N/A</v>
      </c>
      <c r="E1423" s="64" t="str">
        <f>Ringkasan!E1422</f>
        <v>SRI-KEHATI</v>
      </c>
      <c r="F1423" s="66">
        <f>Ringkasan!F1422</f>
        <v>46356</v>
      </c>
      <c r="G1423" s="64">
        <f>Ringkasan!G1422</f>
        <v>3</v>
      </c>
      <c r="H1423" s="19">
        <f>Ringkasan!H1422</f>
        <v>9.3</v>
      </c>
      <c r="I1423" s="19">
        <f>Ringkasan!I1422</f>
        <v>0.92</v>
      </c>
      <c r="J1423" s="19">
        <f>Ringkasan!J1422</f>
        <v>9.9</v>
      </c>
      <c r="K1423" s="19">
        <f>Ringkasan!K1422</f>
        <v>6</v>
      </c>
      <c r="L1423" s="19">
        <f>Ringkasan!L1422</f>
        <v>0.64</v>
      </c>
      <c r="M1423" s="19">
        <f>Ringkasan!M1422</f>
        <v>56.3</v>
      </c>
      <c r="N1423" s="64" t="str">
        <f>Ringkasan!N1422</f>
        <v/>
      </c>
      <c r="O1423" s="64" t="str">
        <f>Ringkasan!O1422</f>
        <v/>
      </c>
      <c r="P1423" s="64" t="str">
        <f>Ringkasan!P1422</f>
        <v/>
      </c>
      <c r="Q1423" s="64" t="str">
        <f>Ringkasan!Q1422</f>
        <v/>
      </c>
      <c r="R1423" s="64" t="str">
        <f>Ringkasan!R1422</f>
        <v/>
      </c>
      <c r="S1423" s="64" t="str">
        <f>Ringkasan!S1422</f>
        <v/>
      </c>
      <c r="T1423" s="64" t="str">
        <f>Ringkasan!T1422</f>
        <v/>
      </c>
      <c r="U1423" s="64">
        <f>Ringkasan!U1422</f>
        <v>26.71</v>
      </c>
      <c r="V1423" s="64">
        <f>Ringkasan!V1422</f>
        <v>1.54</v>
      </c>
      <c r="W1423" s="64">
        <f>Ringkasan!W1422</f>
        <v>26.87</v>
      </c>
      <c r="X1423" s="64" t="str">
        <f>Ringkasan!X1422</f>
        <v/>
      </c>
      <c r="Y1423" s="64">
        <f>Ringkasan!Y1422</f>
        <v>26.87</v>
      </c>
      <c r="Z1423" s="64">
        <f>Ringkasan!Z1422</f>
        <v>11702</v>
      </c>
      <c r="AA1423" s="64" t="str">
        <f>Ringkasan!AA1422</f>
        <v>Electric Utilities</v>
      </c>
      <c r="AB1423" s="64" t="str">
        <f>Ringkasan!AB1422</f>
        <v>Infrastructures</v>
      </c>
    </row>
    <row r="1424" hidden="1">
      <c r="A1424" s="64" t="str">
        <f>Ringkasan!A1423</f>
        <v>PPGL</v>
      </c>
      <c r="B1424" s="64" t="str">
        <f>Ringkasan!B1423</f>
        <v>Prima Globalindo Logistik Tbk.</v>
      </c>
      <c r="C1424" s="65">
        <f>Ringkasan!C1423</f>
        <v>162</v>
      </c>
      <c r="D1424" s="64" t="str">
        <f>Ringkasan!D1423</f>
        <v>#N/A</v>
      </c>
      <c r="E1424" s="64" t="str">
        <f>Ringkasan!E1423</f>
        <v/>
      </c>
      <c r="F1424" s="64" t="str">
        <f>Ringkasan!F1423</f>
        <v/>
      </c>
      <c r="G1424" s="64">
        <f>Ringkasan!G1423</f>
        <v>0</v>
      </c>
      <c r="H1424" s="19">
        <f>Ringkasan!H1423</f>
        <v>27.1</v>
      </c>
      <c r="I1424" s="19">
        <f>Ringkasan!I1423</f>
        <v>1.3</v>
      </c>
      <c r="J1424" s="19">
        <f>Ringkasan!J1423</f>
        <v>4.9</v>
      </c>
      <c r="K1424" s="19">
        <f>Ringkasan!K1423</f>
        <v>1.7</v>
      </c>
      <c r="L1424" s="19">
        <f>Ringkasan!L1423</f>
        <v>1.9</v>
      </c>
      <c r="M1424" s="19">
        <f>Ringkasan!M1423</f>
        <v>4.1</v>
      </c>
      <c r="N1424" s="64" t="str">
        <f>Ringkasan!N1423</f>
        <v/>
      </c>
      <c r="O1424" s="64" t="str">
        <f>Ringkasan!O1423</f>
        <v/>
      </c>
      <c r="P1424" s="64" t="str">
        <f>Ringkasan!P1423</f>
        <v/>
      </c>
      <c r="Q1424" s="64" t="str">
        <f>Ringkasan!Q1423</f>
        <v/>
      </c>
      <c r="R1424" s="64" t="str">
        <f>Ringkasan!R1423</f>
        <v/>
      </c>
      <c r="S1424" s="64" t="str">
        <f>Ringkasan!S1423</f>
        <v/>
      </c>
      <c r="T1424" s="64" t="str">
        <f>Ringkasan!T1423</f>
        <v/>
      </c>
      <c r="U1424" s="64">
        <f>Ringkasan!U1423</f>
        <v>156</v>
      </c>
      <c r="V1424" s="64">
        <f>Ringkasan!V1423</f>
        <v>3.85</v>
      </c>
      <c r="W1424" s="64">
        <f>Ringkasan!W1423</f>
        <v>156</v>
      </c>
      <c r="X1424" s="64">
        <f>Ringkasan!X1423</f>
        <v>164</v>
      </c>
      <c r="Y1424" s="64">
        <f>Ringkasan!Y1423</f>
        <v>154</v>
      </c>
      <c r="Z1424" s="64">
        <f>Ringkasan!Z1423</f>
        <v>1147900</v>
      </c>
      <c r="AA1424" s="64" t="str">
        <f>Ringkasan!AA1423</f>
        <v>Logistics &amp; Deliveries</v>
      </c>
      <c r="AB1424" s="64" t="str">
        <f>Ringkasan!AB1423</f>
        <v>Transportation &amp; Logistic</v>
      </c>
    </row>
    <row r="1425" hidden="1">
      <c r="A1425" s="64" t="str">
        <f>Ringkasan!A1424</f>
        <v>PPRE</v>
      </c>
      <c r="B1425" s="64" t="str">
        <f>Ringkasan!B1424</f>
        <v>PT PP Presisi Tbk.</v>
      </c>
      <c r="C1425" s="65">
        <f>Ringkasan!C1424</f>
        <v>93</v>
      </c>
      <c r="D1425" s="64" t="str">
        <f>Ringkasan!D1424</f>
        <v>#N/A</v>
      </c>
      <c r="E1425" s="64" t="str">
        <f>Ringkasan!E1424</f>
        <v/>
      </c>
      <c r="F1425" s="64" t="str">
        <f>Ringkasan!F1424</f>
        <v/>
      </c>
      <c r="G1425" s="64">
        <f>Ringkasan!G1424</f>
        <v>0</v>
      </c>
      <c r="H1425" s="19">
        <f>Ringkasan!H1424</f>
        <v>-0.7</v>
      </c>
      <c r="I1425" s="19">
        <f>Ringkasan!I1424</f>
        <v>0.48</v>
      </c>
      <c r="J1425" s="19">
        <f>Ringkasan!J1424</f>
        <v>-69.3</v>
      </c>
      <c r="K1425" s="19">
        <f>Ringkasan!K1424</f>
        <v>-22.5</v>
      </c>
      <c r="L1425" s="19">
        <f>Ringkasan!L1424</f>
        <v>2.1</v>
      </c>
      <c r="M1425" s="19">
        <f>Ringkasan!M1424</f>
        <v>-130</v>
      </c>
      <c r="N1425" s="64" t="str">
        <f>Ringkasan!N1424</f>
        <v/>
      </c>
      <c r="O1425" s="64" t="str">
        <f>Ringkasan!O1424</f>
        <v/>
      </c>
      <c r="P1425" s="64" t="str">
        <f>Ringkasan!P1424</f>
        <v/>
      </c>
      <c r="Q1425" s="64" t="str">
        <f>Ringkasan!Q1424</f>
        <v/>
      </c>
      <c r="R1425" s="64" t="str">
        <f>Ringkasan!R1424</f>
        <v/>
      </c>
      <c r="S1425" s="64" t="str">
        <f>Ringkasan!S1424</f>
        <v/>
      </c>
      <c r="T1425" s="64" t="str">
        <f>Ringkasan!T1424</f>
        <v/>
      </c>
      <c r="U1425" s="64" t="str">
        <f>Ringkasan!U1424</f>
        <v/>
      </c>
      <c r="V1425" s="64">
        <f>Ringkasan!V1424</f>
        <v>16.25</v>
      </c>
      <c r="W1425" s="64">
        <f>Ringkasan!W1424</f>
        <v>82</v>
      </c>
      <c r="X1425" s="64">
        <f>Ringkasan!X1424</f>
        <v>108</v>
      </c>
      <c r="Y1425" s="64">
        <f>Ringkasan!Y1424</f>
        <v>80</v>
      </c>
      <c r="Z1425" s="64">
        <f>Ringkasan!Z1424</f>
        <v>424198500</v>
      </c>
      <c r="AA1425" s="64" t="str">
        <f>Ringkasan!AA1424</f>
        <v>Heavy Constructions &amp; Civil Engineering</v>
      </c>
      <c r="AB1425" s="64" t="str">
        <f>Ringkasan!AB1424</f>
        <v>Infrastructures</v>
      </c>
    </row>
    <row r="1426" hidden="1">
      <c r="A1426" s="64" t="str">
        <f>Ringkasan!A1425</f>
        <v>PPRI</v>
      </c>
      <c r="B1426" s="64" t="str">
        <f>Ringkasan!B1425</f>
        <v>PT Paperocks Indonesia Tbk.</v>
      </c>
      <c r="C1426" s="65">
        <f>Ringkasan!C1425</f>
        <v>147</v>
      </c>
      <c r="D1426" s="64" t="str">
        <f>Ringkasan!D1425</f>
        <v>#N/A</v>
      </c>
      <c r="E1426" s="64" t="str">
        <f>Ringkasan!E1425</f>
        <v/>
      </c>
      <c r="F1426" s="64" t="str">
        <f>Ringkasan!F1425</f>
        <v/>
      </c>
      <c r="G1426" s="64">
        <f>Ringkasan!G1425</f>
        <v>0</v>
      </c>
      <c r="H1426" s="19">
        <f>Ringkasan!H1425</f>
        <v>69</v>
      </c>
      <c r="I1426" s="19">
        <f>Ringkasan!I1425</f>
        <v>1.6</v>
      </c>
      <c r="J1426" s="19">
        <f>Ringkasan!J1425</f>
        <v>2.4</v>
      </c>
      <c r="K1426" s="19">
        <f>Ringkasan!K1425</f>
        <v>1.9</v>
      </c>
      <c r="L1426" s="19">
        <f>Ringkasan!L1425</f>
        <v>0.27</v>
      </c>
      <c r="M1426" s="19">
        <f>Ringkasan!M1425</f>
        <v>7.1</v>
      </c>
      <c r="N1426" s="64" t="str">
        <f>Ringkasan!N1425</f>
        <v/>
      </c>
      <c r="O1426" s="64" t="str">
        <f>Ringkasan!O1425</f>
        <v/>
      </c>
      <c r="P1426" s="64" t="str">
        <f>Ringkasan!P1425</f>
        <v/>
      </c>
      <c r="Q1426" s="64" t="str">
        <f>Ringkasan!Q1425</f>
        <v/>
      </c>
      <c r="R1426" s="64" t="str">
        <f>Ringkasan!R1425</f>
        <v/>
      </c>
      <c r="S1426" s="64" t="str">
        <f>Ringkasan!S1425</f>
        <v/>
      </c>
      <c r="T1426" s="64" t="str">
        <f>Ringkasan!T1425</f>
        <v/>
      </c>
      <c r="U1426" s="64">
        <f>Ringkasan!U1425</f>
        <v>140</v>
      </c>
      <c r="V1426" s="64">
        <f>Ringkasan!V1425</f>
        <v>5</v>
      </c>
      <c r="W1426" s="64">
        <f>Ringkasan!W1425</f>
        <v>140</v>
      </c>
      <c r="X1426" s="64">
        <f>Ringkasan!X1425</f>
        <v>149</v>
      </c>
      <c r="Y1426" s="64">
        <f>Ringkasan!Y1425</f>
        <v>140</v>
      </c>
      <c r="Z1426" s="64">
        <f>Ringkasan!Z1425</f>
        <v>1278600</v>
      </c>
      <c r="AA1426" s="64" t="str">
        <f>Ringkasan!AA1425</f>
        <v>Containers &amp; Packaging</v>
      </c>
      <c r="AB1426" s="64" t="str">
        <f>Ringkasan!AB1425</f>
        <v>Basic Materials</v>
      </c>
    </row>
    <row r="1427" hidden="1">
      <c r="A1427" s="64" t="str">
        <f>Ringkasan!A1426</f>
        <v>PPRO</v>
      </c>
      <c r="B1427" s="64" t="str">
        <f>Ringkasan!B1426</f>
        <v>PP Properti Tbk.</v>
      </c>
      <c r="C1427" s="65">
        <f>Ringkasan!C1426</f>
        <v>14</v>
      </c>
      <c r="D1427" s="64" t="str">
        <f>Ringkasan!D1426</f>
        <v>#N/A</v>
      </c>
      <c r="E1427" s="64" t="str">
        <f>Ringkasan!E1426</f>
        <v/>
      </c>
      <c r="F1427" s="64" t="str">
        <f>Ringkasan!F1426</f>
        <v/>
      </c>
      <c r="G1427" s="64">
        <f>Ringkasan!G1426</f>
        <v>0</v>
      </c>
      <c r="H1427" s="19">
        <f>Ringkasan!H1426</f>
        <v>-0.18</v>
      </c>
      <c r="I1427" s="19">
        <f>Ringkasan!I1426</f>
        <v>0.15</v>
      </c>
      <c r="J1427" s="19">
        <f>Ringkasan!J1426</f>
        <v>-83.3</v>
      </c>
      <c r="K1427" s="19">
        <f>Ringkasan!K1426</f>
        <v>-47.8</v>
      </c>
      <c r="L1427" s="19">
        <f>Ringkasan!L1426</f>
        <v>0.74</v>
      </c>
      <c r="M1427" s="19">
        <f>Ringkasan!M1426</f>
        <v>-6420</v>
      </c>
      <c r="N1427" s="64" t="str">
        <f>Ringkasan!N1426</f>
        <v/>
      </c>
      <c r="O1427" s="64" t="str">
        <f>Ringkasan!O1426</f>
        <v/>
      </c>
      <c r="P1427" s="64" t="str">
        <f>Ringkasan!P1426</f>
        <v/>
      </c>
      <c r="Q1427" s="64" t="str">
        <f>Ringkasan!Q1426</f>
        <v/>
      </c>
      <c r="R1427" s="64" t="str">
        <f>Ringkasan!R1426</f>
        <v/>
      </c>
      <c r="S1427" s="64" t="str">
        <f>Ringkasan!S1426</f>
        <v/>
      </c>
      <c r="T1427" s="64" t="str">
        <f>Ringkasan!T1426</f>
        <v/>
      </c>
      <c r="U1427" s="64">
        <f>Ringkasan!U1426</f>
        <v>13</v>
      </c>
      <c r="V1427" s="64">
        <f>Ringkasan!V1426</f>
        <v>7.69</v>
      </c>
      <c r="W1427" s="64">
        <f>Ringkasan!W1426</f>
        <v>13</v>
      </c>
      <c r="X1427" s="64">
        <f>Ringkasan!X1426</f>
        <v>14</v>
      </c>
      <c r="Y1427" s="64">
        <f>Ringkasan!Y1426</f>
        <v>13</v>
      </c>
      <c r="Z1427" s="64">
        <f>Ringkasan!Z1426</f>
        <v>43158900</v>
      </c>
      <c r="AA1427" s="64" t="str">
        <f>Ringkasan!AA1426</f>
        <v>Real Estate Management &amp; Development</v>
      </c>
      <c r="AB1427" s="64" t="str">
        <f>Ringkasan!AB1426</f>
        <v>Properties &amp; Real Estate</v>
      </c>
    </row>
    <row r="1428" hidden="1">
      <c r="A1428" s="64" t="str">
        <f>Ringkasan!A1427</f>
        <v>PRAY</v>
      </c>
      <c r="B1428" s="64" t="str">
        <f>Ringkasan!B1427</f>
        <v>Famon Awal Bros Sedaya Tbk.</v>
      </c>
      <c r="C1428" s="65" t="str">
        <f>Ringkasan!C1427</f>
        <v>#N/A</v>
      </c>
      <c r="D1428" s="64" t="str">
        <f>Ringkasan!D1427</f>
        <v>#N/A</v>
      </c>
      <c r="E1428" s="64" t="str">
        <f>Ringkasan!E1427</f>
        <v/>
      </c>
      <c r="F1428" s="64" t="str">
        <f>Ringkasan!F1427</f>
        <v/>
      </c>
      <c r="G1428" s="64">
        <f>Ringkasan!G1427</f>
        <v>0</v>
      </c>
      <c r="H1428" s="19">
        <f>Ringkasan!H1427</f>
        <v>52.6</v>
      </c>
      <c r="I1428" s="19">
        <f>Ringkasan!I1427</f>
        <v>2.9</v>
      </c>
      <c r="J1428" s="19">
        <f>Ringkasan!J1427</f>
        <v>5.5</v>
      </c>
      <c r="K1428" s="19">
        <f>Ringkasan!K1427</f>
        <v>3.1</v>
      </c>
      <c r="L1428" s="19">
        <f>Ringkasan!L1427</f>
        <v>0.77</v>
      </c>
      <c r="M1428" s="19">
        <f>Ringkasan!M1427</f>
        <v>27.9</v>
      </c>
      <c r="N1428" s="64" t="str">
        <f>Ringkasan!N1427</f>
        <v/>
      </c>
      <c r="O1428" s="64" t="str">
        <f>Ringkasan!O1427</f>
        <v/>
      </c>
      <c r="P1428" s="64" t="str">
        <f>Ringkasan!P1427</f>
        <v/>
      </c>
      <c r="Q1428" s="64" t="str">
        <f>Ringkasan!Q1427</f>
        <v/>
      </c>
      <c r="R1428" s="64" t="str">
        <f>Ringkasan!R1427</f>
        <v/>
      </c>
      <c r="S1428" s="64" t="str">
        <f>Ringkasan!S1427</f>
        <v/>
      </c>
      <c r="T1428" s="64" t="str">
        <f>Ringkasan!T1427</f>
        <v/>
      </c>
      <c r="U1428" s="64">
        <f>Ringkasan!U1427</f>
        <v>35.45</v>
      </c>
      <c r="V1428" s="64">
        <f>Ringkasan!V1427</f>
        <v>0.59</v>
      </c>
      <c r="W1428" s="64">
        <f>Ringkasan!W1427</f>
        <v>35.54</v>
      </c>
      <c r="X1428" s="64">
        <f>Ringkasan!X1427</f>
        <v>35.83</v>
      </c>
      <c r="Y1428" s="64">
        <f>Ringkasan!Y1427</f>
        <v>35.54</v>
      </c>
      <c r="Z1428" s="64">
        <f>Ringkasan!Z1427</f>
        <v>868</v>
      </c>
      <c r="AA1428" s="64" t="str">
        <f>Ringkasan!AA1427</f>
        <v>Healthcare Providers</v>
      </c>
      <c r="AB1428" s="64" t="str">
        <f>Ringkasan!AB1427</f>
        <v>Healthcare</v>
      </c>
    </row>
    <row r="1429" hidden="1">
      <c r="A1429" s="64" t="str">
        <f>Ringkasan!A1428</f>
        <v>PRDA</v>
      </c>
      <c r="B1429" s="64" t="str">
        <f>Ringkasan!B1428</f>
        <v>PT Prodia Widyahusada Tbk.</v>
      </c>
      <c r="C1429" s="65">
        <f>Ringkasan!C1428</f>
        <v>2440</v>
      </c>
      <c r="D1429" s="64" t="str">
        <f>Ringkasan!D1428</f>
        <v>#N/A</v>
      </c>
      <c r="E1429" s="64" t="str">
        <f>Ringkasan!E1428</f>
        <v/>
      </c>
      <c r="F1429" s="64" t="str">
        <f>Ringkasan!F1428</f>
        <v/>
      </c>
      <c r="G1429" s="65">
        <f>Ringkasan!G1428</f>
        <v>0</v>
      </c>
      <c r="H1429" s="19">
        <f>Ringkasan!H1428</f>
        <v>10.9</v>
      </c>
      <c r="I1429" s="19">
        <f>Ringkasan!I1428</f>
        <v>0.98</v>
      </c>
      <c r="J1429" s="19">
        <f>Ringkasan!J1428</f>
        <v>9</v>
      </c>
      <c r="K1429" s="19">
        <f>Ringkasan!K1428</f>
        <v>8.1</v>
      </c>
      <c r="L1429" s="19">
        <f>Ringkasan!L1428</f>
        <v>0.11</v>
      </c>
      <c r="M1429" s="19">
        <f>Ringkasan!M1428</f>
        <v>43.3</v>
      </c>
      <c r="N1429" s="64" t="str">
        <f>Ringkasan!N1428</f>
        <v/>
      </c>
      <c r="O1429" s="64" t="str">
        <f>Ringkasan!O1428</f>
        <v/>
      </c>
      <c r="P1429" s="64" t="str">
        <f>Ringkasan!P1428</f>
        <v/>
      </c>
      <c r="Q1429" s="64" t="str">
        <f>Ringkasan!Q1428</f>
        <v/>
      </c>
      <c r="R1429" s="64" t="str">
        <f>Ringkasan!R1428</f>
        <v/>
      </c>
      <c r="S1429" s="64" t="str">
        <f>Ringkasan!S1428</f>
        <v/>
      </c>
      <c r="T1429" s="64" t="str">
        <f>Ringkasan!T1428</f>
        <v/>
      </c>
      <c r="U1429" s="64">
        <f>Ringkasan!U1428</f>
        <v>2410</v>
      </c>
      <c r="V1429" s="64">
        <f>Ringkasan!V1428</f>
        <v>1.24</v>
      </c>
      <c r="W1429" s="64">
        <f>Ringkasan!W1428</f>
        <v>2410</v>
      </c>
      <c r="X1429" s="64">
        <f>Ringkasan!X1428</f>
        <v>2440</v>
      </c>
      <c r="Y1429" s="64">
        <f>Ringkasan!Y1428</f>
        <v>2390</v>
      </c>
      <c r="Z1429" s="64">
        <f>Ringkasan!Z1428</f>
        <v>120400</v>
      </c>
      <c r="AA1429" s="64" t="str">
        <f>Ringkasan!AA1428</f>
        <v>Healthcare Providers</v>
      </c>
      <c r="AB1429" s="64" t="str">
        <f>Ringkasan!AB1428</f>
        <v>Healthcare</v>
      </c>
    </row>
    <row r="1430" hidden="1">
      <c r="A1430" s="64" t="str">
        <f>Ringkasan!A1429</f>
        <v>PRIM</v>
      </c>
      <c r="B1430" s="64" t="str">
        <f>Ringkasan!B1429</f>
        <v>Royal Prima Tbk.</v>
      </c>
      <c r="C1430" s="65">
        <f>Ringkasan!C1429</f>
        <v>79</v>
      </c>
      <c r="D1430" s="64" t="str">
        <f>Ringkasan!D1429</f>
        <v>#N/A</v>
      </c>
      <c r="E1430" s="64" t="str">
        <f>Ringkasan!E1429</f>
        <v/>
      </c>
      <c r="F1430" s="64" t="str">
        <f>Ringkasan!F1429</f>
        <v/>
      </c>
      <c r="G1430" s="64">
        <f>Ringkasan!G1429</f>
        <v>0</v>
      </c>
      <c r="H1430" s="19">
        <f>Ringkasan!H1429</f>
        <v>-14.4</v>
      </c>
      <c r="I1430" s="19">
        <f>Ringkasan!I1429</f>
        <v>0.3</v>
      </c>
      <c r="J1430" s="19">
        <f>Ringkasan!J1429</f>
        <v>-2.1</v>
      </c>
      <c r="K1430" s="19">
        <f>Ringkasan!K1429</f>
        <v>-1.9</v>
      </c>
      <c r="L1430" s="19">
        <f>Ringkasan!L1429</f>
        <v>0.11</v>
      </c>
      <c r="M1430" s="19">
        <f>Ringkasan!M1429</f>
        <v>-27.2</v>
      </c>
      <c r="N1430" s="64" t="str">
        <f>Ringkasan!N1429</f>
        <v/>
      </c>
      <c r="O1430" s="64" t="str">
        <f>Ringkasan!O1429</f>
        <v/>
      </c>
      <c r="P1430" s="64" t="str">
        <f>Ringkasan!P1429</f>
        <v/>
      </c>
      <c r="Q1430" s="64" t="str">
        <f>Ringkasan!Q1429</f>
        <v/>
      </c>
      <c r="R1430" s="64" t="str">
        <f>Ringkasan!R1429</f>
        <v/>
      </c>
      <c r="S1430" s="64" t="str">
        <f>Ringkasan!S1429</f>
        <v/>
      </c>
      <c r="T1430" s="64" t="str">
        <f>Ringkasan!T1429</f>
        <v/>
      </c>
      <c r="U1430" s="64">
        <f>Ringkasan!U1429</f>
        <v>94.5</v>
      </c>
      <c r="V1430" s="64">
        <f>Ringkasan!V1429</f>
        <v>4.39</v>
      </c>
      <c r="W1430" s="64">
        <f>Ringkasan!W1429</f>
        <v>94.53</v>
      </c>
      <c r="X1430" s="64">
        <f>Ringkasan!X1429</f>
        <v>99.98</v>
      </c>
      <c r="Y1430" s="64">
        <f>Ringkasan!Y1429</f>
        <v>93.2</v>
      </c>
      <c r="Z1430" s="64">
        <f>Ringkasan!Z1429</f>
        <v>1772391</v>
      </c>
      <c r="AA1430" s="64" t="str">
        <f>Ringkasan!AA1429</f>
        <v>Healthcare Providers</v>
      </c>
      <c r="AB1430" s="64" t="str">
        <f>Ringkasan!AB1429</f>
        <v>Healthcare</v>
      </c>
    </row>
    <row r="1431" hidden="1">
      <c r="A1431" s="64" t="str">
        <f>Ringkasan!A1430</f>
        <v>PSAB</v>
      </c>
      <c r="B1431" s="64" t="str">
        <f>Ringkasan!B1430</f>
        <v>J Resources Asia Pasifik Tbk.</v>
      </c>
      <c r="C1431" s="65">
        <f>Ringkasan!C1430</f>
        <v>468</v>
      </c>
      <c r="D1431" s="64" t="str">
        <f>Ringkasan!D1430</f>
        <v>#N/A</v>
      </c>
      <c r="E1431" s="64" t="str">
        <f>Ringkasan!E1430</f>
        <v>Kompas100</v>
      </c>
      <c r="F1431" s="64" t="str">
        <f>Ringkasan!F1430</f>
        <v>31 Juli 2026</v>
      </c>
      <c r="G1431" s="64">
        <f>Ringkasan!G1430</f>
        <v>1</v>
      </c>
      <c r="H1431" s="19">
        <f>Ringkasan!H1430</f>
        <v>20.7</v>
      </c>
      <c r="I1431" s="19">
        <f>Ringkasan!I1430</f>
        <v>1.7</v>
      </c>
      <c r="J1431" s="19">
        <f>Ringkasan!J1430</f>
        <v>8</v>
      </c>
      <c r="K1431" s="19">
        <f>Ringkasan!K1430</f>
        <v>4.4</v>
      </c>
      <c r="L1431" s="19">
        <f>Ringkasan!L1430</f>
        <v>0.81</v>
      </c>
      <c r="M1431" s="19">
        <f>Ringkasan!M1430</f>
        <v>12.6</v>
      </c>
      <c r="N1431" s="64" t="str">
        <f>Ringkasan!N1430</f>
        <v/>
      </c>
      <c r="O1431" s="64" t="str">
        <f>Ringkasan!O1430</f>
        <v/>
      </c>
      <c r="P1431" s="64" t="str">
        <f>Ringkasan!P1430</f>
        <v/>
      </c>
      <c r="Q1431" s="64" t="str">
        <f>Ringkasan!Q1430</f>
        <v/>
      </c>
      <c r="R1431" s="64" t="str">
        <f>Ringkasan!R1430</f>
        <v/>
      </c>
      <c r="S1431" s="64" t="str">
        <f>Ringkasan!S1430</f>
        <v/>
      </c>
      <c r="T1431" s="64" t="str">
        <f>Ringkasan!T1430</f>
        <v/>
      </c>
      <c r="U1431" s="64">
        <f>Ringkasan!U1430</f>
        <v>445</v>
      </c>
      <c r="V1431" s="64">
        <f>Ringkasan!V1430</f>
        <v>5.17</v>
      </c>
      <c r="W1431" s="64">
        <f>Ringkasan!W1430</f>
        <v>468</v>
      </c>
      <c r="X1431" s="64">
        <f>Ringkasan!X1430</f>
        <v>468</v>
      </c>
      <c r="Y1431" s="64" t="str">
        <f>Ringkasan!Y1430</f>
        <v/>
      </c>
      <c r="Z1431" s="64">
        <f>Ringkasan!Z1430</f>
        <v>34989800</v>
      </c>
      <c r="AA1431" s="64" t="str">
        <f>Ringkasan!AA1430</f>
        <v>Metals &amp; Minerals</v>
      </c>
      <c r="AB1431" s="64" t="str">
        <f>Ringkasan!AB1430</f>
        <v>Basic Materials</v>
      </c>
    </row>
    <row r="1432" hidden="1">
      <c r="A1432" s="64" t="str">
        <f>Ringkasan!A1431</f>
        <v>PSAT</v>
      </c>
      <c r="B1432" s="64" t="str">
        <f>Ringkasan!B1431</f>
        <v>Pancaran Samudera Transport Tbk.</v>
      </c>
      <c r="C1432" s="65">
        <f>Ringkasan!C1431</f>
        <v>850</v>
      </c>
      <c r="D1432" s="64" t="str">
        <f>Ringkasan!D1431</f>
        <v>#N/A</v>
      </c>
      <c r="E1432" s="64" t="str">
        <f>Ringkasan!E1431</f>
        <v/>
      </c>
      <c r="F1432" s="64" t="str">
        <f>Ringkasan!F1431</f>
        <v/>
      </c>
      <c r="G1432" s="64">
        <f>Ringkasan!G1431</f>
        <v>0</v>
      </c>
      <c r="H1432" s="19">
        <f>Ringkasan!H1431</f>
        <v>-45</v>
      </c>
      <c r="I1432" s="19">
        <f>Ringkasan!I1431</f>
        <v>0.9</v>
      </c>
      <c r="J1432" s="19">
        <f>Ringkasan!J1431</f>
        <v>-2</v>
      </c>
      <c r="K1432" s="19">
        <f>Ringkasan!K1431</f>
        <v>-1.5</v>
      </c>
      <c r="L1432" s="19">
        <f>Ringkasan!L1431</f>
        <v>0.29</v>
      </c>
      <c r="M1432" s="19">
        <f>Ringkasan!M1431</f>
        <v>-13.8</v>
      </c>
      <c r="N1432" s="64" t="str">
        <f>Ringkasan!N1431</f>
        <v/>
      </c>
      <c r="O1432" s="64" t="str">
        <f>Ringkasan!O1431</f>
        <v/>
      </c>
      <c r="P1432" s="64" t="str">
        <f>Ringkasan!P1431</f>
        <v/>
      </c>
      <c r="Q1432" s="64" t="str">
        <f>Ringkasan!Q1431</f>
        <v/>
      </c>
      <c r="R1432" s="64" t="str">
        <f>Ringkasan!R1431</f>
        <v/>
      </c>
      <c r="S1432" s="64" t="str">
        <f>Ringkasan!S1431</f>
        <v/>
      </c>
      <c r="T1432" s="64" t="str">
        <f>Ringkasan!T1431</f>
        <v/>
      </c>
      <c r="U1432" s="64">
        <f>Ringkasan!U1431</f>
        <v>850</v>
      </c>
      <c r="V1432" s="64">
        <f>Ringkasan!V1431</f>
        <v>0</v>
      </c>
      <c r="W1432" s="64">
        <f>Ringkasan!W1431</f>
        <v>850</v>
      </c>
      <c r="X1432" s="64">
        <f>Ringkasan!X1431</f>
        <v>900</v>
      </c>
      <c r="Y1432" s="64">
        <f>Ringkasan!Y1431</f>
        <v>800</v>
      </c>
      <c r="Z1432" s="64" t="str">
        <f>Ringkasan!Z1431</f>
        <v/>
      </c>
      <c r="AA1432" s="64" t="str">
        <f>Ringkasan!AA1431</f>
        <v>Coal</v>
      </c>
      <c r="AB1432" s="64" t="str">
        <f>Ringkasan!AB1431</f>
        <v>Energy</v>
      </c>
    </row>
    <row r="1433" hidden="1">
      <c r="A1433" s="64" t="str">
        <f>Ringkasan!A1432</f>
        <v>PSDN</v>
      </c>
      <c r="B1433" s="64" t="str">
        <f>Ringkasan!B1432</f>
        <v>Prasidha Aneka Niaga Tbk</v>
      </c>
      <c r="C1433" s="65" t="str">
        <f>Ringkasan!C1432</f>
        <v>#N/A</v>
      </c>
      <c r="D1433" s="64" t="str">
        <f>Ringkasan!D1432</f>
        <v>#N/A</v>
      </c>
      <c r="E1433" s="64" t="str">
        <f>Ringkasan!E1432</f>
        <v/>
      </c>
      <c r="F1433" s="64" t="str">
        <f>Ringkasan!F1432</f>
        <v/>
      </c>
      <c r="G1433" s="64">
        <f>Ringkasan!G1432</f>
        <v>0</v>
      </c>
      <c r="H1433" s="19">
        <f>Ringkasan!H1432</f>
        <v>-6.8</v>
      </c>
      <c r="I1433" s="19">
        <f>Ringkasan!I1432</f>
        <v>13.4</v>
      </c>
      <c r="J1433" s="19">
        <f>Ringkasan!J1432</f>
        <v>-200</v>
      </c>
      <c r="K1433" s="19">
        <f>Ringkasan!K1432</f>
        <v>-20.3</v>
      </c>
      <c r="L1433" s="19">
        <f>Ringkasan!L1432</f>
        <v>8.7</v>
      </c>
      <c r="M1433" s="19">
        <f>Ringkasan!M1432</f>
        <v>-680</v>
      </c>
      <c r="N1433" s="64" t="str">
        <f>Ringkasan!N1432</f>
        <v/>
      </c>
      <c r="O1433" s="64" t="str">
        <f>Ringkasan!O1432</f>
        <v/>
      </c>
      <c r="P1433" s="64" t="str">
        <f>Ringkasan!P1432</f>
        <v/>
      </c>
      <c r="Q1433" s="64" t="str">
        <f>Ringkasan!Q1432</f>
        <v/>
      </c>
      <c r="R1433" s="64" t="str">
        <f>Ringkasan!R1432</f>
        <v/>
      </c>
      <c r="S1433" s="64" t="str">
        <f>Ringkasan!S1432</f>
        <v/>
      </c>
      <c r="T1433" s="64" t="str">
        <f>Ringkasan!T1432</f>
        <v/>
      </c>
      <c r="U1433" s="64">
        <f>Ringkasan!U1432</f>
        <v>113</v>
      </c>
      <c r="V1433" s="64">
        <f>Ringkasan!V1432</f>
        <v>1.77</v>
      </c>
      <c r="W1433" s="64">
        <f>Ringkasan!W1432</f>
        <v>112</v>
      </c>
      <c r="X1433" s="64">
        <f>Ringkasan!X1432</f>
        <v>126</v>
      </c>
      <c r="Y1433" s="64">
        <f>Ringkasan!Y1432</f>
        <v>111</v>
      </c>
      <c r="Z1433" s="64">
        <f>Ringkasan!Z1432</f>
        <v>16950000</v>
      </c>
      <c r="AA1433" s="64" t="str">
        <f>Ringkasan!AA1432</f>
        <v>Processed Foods</v>
      </c>
      <c r="AB1433" s="64" t="str">
        <f>Ringkasan!AB1432</f>
        <v>Consumer Non-Cyclicals</v>
      </c>
    </row>
    <row r="1434" hidden="1">
      <c r="A1434" s="64" t="str">
        <f>Ringkasan!A933</f>
        <v>INTP</v>
      </c>
      <c r="B1434" s="64" t="str">
        <f>Ringkasan!B933</f>
        <v>Indocement Tunggal Prakarsa Tbk.</v>
      </c>
      <c r="C1434" s="65">
        <f>Ringkasan!C933</f>
        <v>4110</v>
      </c>
      <c r="D1434" s="64" t="str">
        <f>Ringkasan!D933</f>
        <v>#N/A</v>
      </c>
      <c r="E1434" s="64" t="str">
        <f>Ringkasan!E933</f>
        <v>Kompas100</v>
      </c>
      <c r="F1434" s="64" t="str">
        <f>Ringkasan!F933</f>
        <v>31 Juli 2026</v>
      </c>
      <c r="G1434" s="64">
        <f>Ringkasan!G933</f>
        <v>13</v>
      </c>
      <c r="H1434" s="19">
        <f>Ringkasan!H933</f>
        <v>7.6</v>
      </c>
      <c r="I1434" s="19">
        <f>Ringkasan!I933</f>
        <v>0.74</v>
      </c>
      <c r="J1434" s="19">
        <f>Ringkasan!J933</f>
        <v>9.7</v>
      </c>
      <c r="K1434" s="19">
        <f>Ringkasan!K933</f>
        <v>7.2</v>
      </c>
      <c r="L1434" s="19">
        <f>Ringkasan!L933</f>
        <v>0.34</v>
      </c>
      <c r="M1434" s="19">
        <f>Ringkasan!M933</f>
        <v>58.6</v>
      </c>
      <c r="N1434" s="64" t="str">
        <f>Ringkasan!N933</f>
        <v/>
      </c>
      <c r="O1434" s="64" t="str">
        <f>Ringkasan!O933</f>
        <v/>
      </c>
      <c r="P1434" s="64" t="str">
        <f>Ringkasan!P933</f>
        <v/>
      </c>
      <c r="Q1434" s="64" t="str">
        <f>Ringkasan!Q933</f>
        <v/>
      </c>
      <c r="R1434" s="64" t="str">
        <f>Ringkasan!R933</f>
        <v/>
      </c>
      <c r="S1434" s="64" t="str">
        <f>Ringkasan!S933</f>
        <v/>
      </c>
      <c r="T1434" s="64" t="str">
        <f>Ringkasan!T933</f>
        <v/>
      </c>
      <c r="U1434" s="64">
        <f>Ringkasan!U933</f>
        <v>4160</v>
      </c>
      <c r="V1434" s="64" t="str">
        <f>Ringkasan!V933</f>
        <v/>
      </c>
      <c r="W1434" s="64">
        <f>Ringkasan!W933</f>
        <v>4190</v>
      </c>
      <c r="X1434" s="64">
        <f>Ringkasan!X933</f>
        <v>4240</v>
      </c>
      <c r="Y1434" s="64">
        <f>Ringkasan!Y933</f>
        <v>4090</v>
      </c>
      <c r="Z1434" s="64">
        <f>Ringkasan!Z933</f>
        <v>2337500</v>
      </c>
      <c r="AA1434" s="64" t="str">
        <f>Ringkasan!AA933</f>
        <v>Construction Materials</v>
      </c>
      <c r="AB1434" s="64" t="str">
        <f>Ringkasan!AB933</f>
        <v>Basic Materials</v>
      </c>
    </row>
    <row r="1435" hidden="1">
      <c r="A1435" s="64" t="str">
        <f>Ringkasan!A1434</f>
        <v>PSKT</v>
      </c>
      <c r="B1435" s="64" t="str">
        <f>Ringkasan!B1434</f>
        <v>Red Planet Indonesia Tbk.</v>
      </c>
      <c r="C1435" s="65">
        <f>Ringkasan!C1434</f>
        <v>189</v>
      </c>
      <c r="D1435" s="64" t="str">
        <f>Ringkasan!D1434</f>
        <v>#N/A</v>
      </c>
      <c r="E1435" s="64" t="str">
        <f>Ringkasan!E1434</f>
        <v/>
      </c>
      <c r="F1435" s="64" t="str">
        <f>Ringkasan!F1434</f>
        <v/>
      </c>
      <c r="G1435" s="64">
        <f>Ringkasan!G1434</f>
        <v>0</v>
      </c>
      <c r="H1435" s="19">
        <f>Ringkasan!H1434</f>
        <v>-200</v>
      </c>
      <c r="I1435" s="19">
        <f>Ringkasan!I1434</f>
        <v>7.2</v>
      </c>
      <c r="J1435" s="19">
        <f>Ringkasan!J1434</f>
        <v>-3.7</v>
      </c>
      <c r="K1435" s="19">
        <f>Ringkasan!K1434</f>
        <v>-3.2</v>
      </c>
      <c r="L1435" s="19">
        <f>Ringkasan!L1434</f>
        <v>0.14</v>
      </c>
      <c r="M1435" s="19">
        <f>Ringkasan!M1434</f>
        <v>-100</v>
      </c>
      <c r="N1435" s="64" t="str">
        <f>Ringkasan!N1434</f>
        <v/>
      </c>
      <c r="O1435" s="64" t="str">
        <f>Ringkasan!O1434</f>
        <v/>
      </c>
      <c r="P1435" s="64" t="str">
        <f>Ringkasan!P1434</f>
        <v/>
      </c>
      <c r="Q1435" s="64" t="str">
        <f>Ringkasan!Q1434</f>
        <v/>
      </c>
      <c r="R1435" s="64" t="str">
        <f>Ringkasan!R1434</f>
        <v/>
      </c>
      <c r="S1435" s="64" t="str">
        <f>Ringkasan!S1434</f>
        <v/>
      </c>
      <c r="T1435" s="64" t="str">
        <f>Ringkasan!T1434</f>
        <v/>
      </c>
      <c r="U1435" s="64">
        <f>Ringkasan!U1434</f>
        <v>180</v>
      </c>
      <c r="V1435" s="64">
        <f>Ringkasan!V1434</f>
        <v>5</v>
      </c>
      <c r="W1435" s="64">
        <f>Ringkasan!W1434</f>
        <v>181</v>
      </c>
      <c r="X1435" s="64">
        <f>Ringkasan!X1434</f>
        <v>194</v>
      </c>
      <c r="Y1435" s="64">
        <f>Ringkasan!Y1434</f>
        <v>181</v>
      </c>
      <c r="Z1435" s="64">
        <f>Ringkasan!Z1434</f>
        <v>24747700</v>
      </c>
      <c r="AA1435" s="64" t="str">
        <f>Ringkasan!AA1434</f>
        <v>Tourism &amp; Recreation</v>
      </c>
      <c r="AB1435" s="64" t="str">
        <f>Ringkasan!AB1434</f>
        <v>Consumer Cyclicals</v>
      </c>
    </row>
    <row r="1436" hidden="1">
      <c r="A1436" s="60" t="str">
        <f>Ringkasan!A1435</f>
        <v>PSSI</v>
      </c>
      <c r="B1436" s="60" t="str">
        <f>Ringkasan!B1435</f>
        <v>IMC Pelita Logistik Tbk.</v>
      </c>
      <c r="C1436" s="61">
        <f>Ringkasan!C1435</f>
        <v>296</v>
      </c>
      <c r="D1436" s="60" t="str">
        <f>Ringkasan!D1435</f>
        <v>#N/A</v>
      </c>
      <c r="E1436" s="60" t="str">
        <f>Ringkasan!E1435</f>
        <v/>
      </c>
      <c r="F1436" s="60" t="str">
        <f>Ringkasan!F1435</f>
        <v/>
      </c>
      <c r="G1436" s="60">
        <f>Ringkasan!G1435</f>
        <v>0</v>
      </c>
      <c r="H1436" s="62">
        <f>Ringkasan!H1435</f>
        <v>-160</v>
      </c>
      <c r="I1436" s="62">
        <f>Ringkasan!I1435</f>
        <v>0.63</v>
      </c>
      <c r="J1436" s="62">
        <f>Ringkasan!J1435</f>
        <v>-0.39</v>
      </c>
      <c r="K1436" s="62">
        <f>Ringkasan!K1435</f>
        <v>-0.34</v>
      </c>
      <c r="L1436" s="62">
        <f>Ringkasan!L1435</f>
        <v>0.13</v>
      </c>
      <c r="M1436" s="62">
        <f>Ringkasan!M1435</f>
        <v>-5.5</v>
      </c>
      <c r="N1436" s="60" t="str">
        <f>Ringkasan!N1435</f>
        <v/>
      </c>
      <c r="O1436" s="60" t="str">
        <f>Ringkasan!O1435</f>
        <v/>
      </c>
      <c r="P1436" s="60" t="str">
        <f>Ringkasan!P1435</f>
        <v/>
      </c>
      <c r="Q1436" s="60" t="str">
        <f>Ringkasan!Q1435</f>
        <v/>
      </c>
      <c r="R1436" s="60" t="str">
        <f>Ringkasan!R1435</f>
        <v/>
      </c>
      <c r="S1436" s="60" t="str">
        <f>Ringkasan!S1435</f>
        <v/>
      </c>
      <c r="T1436" s="60" t="str">
        <f>Ringkasan!T1435</f>
        <v/>
      </c>
      <c r="U1436" s="60">
        <f>Ringkasan!U1435</f>
        <v>290</v>
      </c>
      <c r="V1436" s="60">
        <f>Ringkasan!V1435</f>
        <v>2.07</v>
      </c>
      <c r="W1436" s="60">
        <f>Ringkasan!W1435</f>
        <v>290</v>
      </c>
      <c r="X1436" s="60">
        <f>Ringkasan!X1435</f>
        <v>298</v>
      </c>
      <c r="Y1436" s="60">
        <f>Ringkasan!Y1435</f>
        <v>286</v>
      </c>
      <c r="Z1436" s="60">
        <f>Ringkasan!Z1435</f>
        <v>61300</v>
      </c>
      <c r="AA1436" s="60" t="str">
        <f>Ringkasan!AA1435</f>
        <v>Coal</v>
      </c>
      <c r="AB1436" s="60" t="str">
        <f>Ringkasan!AB1435</f>
        <v>Energy</v>
      </c>
    </row>
    <row r="1437">
      <c r="A1437" s="64" t="str">
        <f>Ringkasan!A1436</f>
        <v>PTBA</v>
      </c>
      <c r="B1437" s="64" t="str">
        <f>Ringkasan!B1436</f>
        <v>Bukit Asam (Persero) Tbk.</v>
      </c>
      <c r="C1437" s="65">
        <f>Ringkasan!C1436</f>
        <v>2620</v>
      </c>
      <c r="D1437" s="64" t="str">
        <f>Ringkasan!D1436</f>
        <v>#N/A</v>
      </c>
      <c r="E1437" s="64" t="str">
        <f>Ringkasan!E1436</f>
        <v>IDXMESBUMN</v>
      </c>
      <c r="F1437" s="66">
        <f>Ringkasan!F1436</f>
        <v>46356</v>
      </c>
      <c r="G1437" s="65">
        <f>Ringkasan!G1436</f>
        <v>18</v>
      </c>
      <c r="H1437" s="19">
        <f>Ringkasan!H1436</f>
        <v>9.6</v>
      </c>
      <c r="I1437" s="19">
        <f>Ringkasan!I1436</f>
        <v>1.4</v>
      </c>
      <c r="J1437" s="19">
        <f>Ringkasan!J1436</f>
        <v>14.1</v>
      </c>
      <c r="K1437" s="19">
        <f>Ringkasan!K1436</f>
        <v>7.7</v>
      </c>
      <c r="L1437" s="19">
        <f>Ringkasan!L1436</f>
        <v>0.83</v>
      </c>
      <c r="M1437" s="19">
        <f>Ringkasan!M1436</f>
        <v>33.6</v>
      </c>
      <c r="N1437" s="64" t="str">
        <f>Ringkasan!N1436</f>
        <v/>
      </c>
      <c r="O1437" s="64" t="str">
        <f>Ringkasan!O1436</f>
        <v/>
      </c>
      <c r="P1437" s="64" t="str">
        <f>Ringkasan!P1436</f>
        <v/>
      </c>
      <c r="Q1437" s="64" t="str">
        <f>Ringkasan!Q1436</f>
        <v/>
      </c>
      <c r="R1437" s="64" t="str">
        <f>Ringkasan!R1436</f>
        <v/>
      </c>
      <c r="S1437" s="64" t="str">
        <f>Ringkasan!S1436</f>
        <v/>
      </c>
      <c r="T1437" s="64" t="str">
        <f>Ringkasan!T1436</f>
        <v/>
      </c>
      <c r="U1437" s="64">
        <f>Ringkasan!U1436</f>
        <v>2630</v>
      </c>
      <c r="V1437" s="64">
        <f>Ringkasan!V1436</f>
        <v>-0.38</v>
      </c>
      <c r="W1437" s="64">
        <f>Ringkasan!W1436</f>
        <v>2600</v>
      </c>
      <c r="X1437" s="64">
        <f>Ringkasan!X1436</f>
        <v>2670</v>
      </c>
      <c r="Y1437" s="64">
        <f>Ringkasan!Y1436</f>
        <v>2550</v>
      </c>
      <c r="Z1437" s="64">
        <f>Ringkasan!Z1436</f>
        <v>46138000</v>
      </c>
      <c r="AA1437" s="64" t="str">
        <f>Ringkasan!AA1436</f>
        <v>Coal</v>
      </c>
      <c r="AB1437" s="64" t="str">
        <f>Ringkasan!AB1436</f>
        <v>Energy</v>
      </c>
    </row>
    <row r="1438">
      <c r="A1438" s="64" t="str">
        <f>Ringkasan!A1437</f>
        <v>PTBA</v>
      </c>
      <c r="B1438" s="64" t="str">
        <f>Ringkasan!B1437</f>
        <v>Bukit Asam (Persero) Tbk.</v>
      </c>
      <c r="C1438" s="65">
        <f>Ringkasan!C1437</f>
        <v>2620</v>
      </c>
      <c r="D1438" s="64" t="str">
        <f>Ringkasan!D1437</f>
        <v>#N/A</v>
      </c>
      <c r="E1438" s="64" t="str">
        <f>Ringkasan!E1437</f>
        <v>IDXSHAGROW</v>
      </c>
      <c r="F1438" s="66">
        <f>Ringkasan!F1437</f>
        <v>46356</v>
      </c>
      <c r="G1438" s="65">
        <f>Ringkasan!G1437</f>
        <v>18</v>
      </c>
      <c r="H1438" s="19">
        <f>Ringkasan!H1437</f>
        <v>9.6</v>
      </c>
      <c r="I1438" s="19">
        <f>Ringkasan!I1437</f>
        <v>1.4</v>
      </c>
      <c r="J1438" s="19">
        <f>Ringkasan!J1437</f>
        <v>14.1</v>
      </c>
      <c r="K1438" s="19">
        <f>Ringkasan!K1437</f>
        <v>7.7</v>
      </c>
      <c r="L1438" s="19">
        <f>Ringkasan!L1437</f>
        <v>0.83</v>
      </c>
      <c r="M1438" s="19">
        <f>Ringkasan!M1437</f>
        <v>33.6</v>
      </c>
      <c r="N1438" s="64" t="str">
        <f>Ringkasan!N1437</f>
        <v/>
      </c>
      <c r="O1438" s="64" t="str">
        <f>Ringkasan!O1437</f>
        <v/>
      </c>
      <c r="P1438" s="64" t="str">
        <f>Ringkasan!P1437</f>
        <v/>
      </c>
      <c r="Q1438" s="64" t="str">
        <f>Ringkasan!Q1437</f>
        <v/>
      </c>
      <c r="R1438" s="64" t="str">
        <f>Ringkasan!R1437</f>
        <v/>
      </c>
      <c r="S1438" s="64" t="str">
        <f>Ringkasan!S1437</f>
        <v/>
      </c>
      <c r="T1438" s="64" t="str">
        <f>Ringkasan!T1437</f>
        <v/>
      </c>
      <c r="U1438" s="64">
        <f>Ringkasan!U1437</f>
        <v>2630</v>
      </c>
      <c r="V1438" s="64">
        <f>Ringkasan!V1437</f>
        <v>-0.38</v>
      </c>
      <c r="W1438" s="64">
        <f>Ringkasan!W1437</f>
        <v>2600</v>
      </c>
      <c r="X1438" s="64">
        <f>Ringkasan!X1437</f>
        <v>2670</v>
      </c>
      <c r="Y1438" s="64">
        <f>Ringkasan!Y1437</f>
        <v>2550</v>
      </c>
      <c r="Z1438" s="64">
        <f>Ringkasan!Z1437</f>
        <v>46138000</v>
      </c>
      <c r="AA1438" s="64" t="str">
        <f>Ringkasan!AA1437</f>
        <v>Coal</v>
      </c>
      <c r="AB1438" s="64" t="str">
        <f>Ringkasan!AB1437</f>
        <v>Energy</v>
      </c>
    </row>
    <row r="1439" hidden="1">
      <c r="A1439" s="64" t="str">
        <f>Ringkasan!A1209</f>
        <v>MERK</v>
      </c>
      <c r="B1439" s="64" t="str">
        <f>Ringkasan!B1209</f>
        <v>Merck Tbk.</v>
      </c>
      <c r="C1439" s="61">
        <f>Ringkasan!C1209</f>
        <v>3500</v>
      </c>
      <c r="D1439" s="60" t="str">
        <f>Ringkasan!D1209</f>
        <v>#N/A</v>
      </c>
      <c r="E1439" s="60" t="str">
        <f>Ringkasan!E1209</f>
        <v/>
      </c>
      <c r="F1439" s="60" t="str">
        <f>Ringkasan!F1209</f>
        <v/>
      </c>
      <c r="G1439" s="61">
        <f>Ringkasan!G1209</f>
        <v>0</v>
      </c>
      <c r="H1439" s="62">
        <f>Ringkasan!H1209</f>
        <v>5.9</v>
      </c>
      <c r="I1439" s="62">
        <f>Ringkasan!I1209</f>
        <v>1.7</v>
      </c>
      <c r="J1439" s="62">
        <f>Ringkasan!J1209</f>
        <v>28.4</v>
      </c>
      <c r="K1439" s="62">
        <f>Ringkasan!K1209</f>
        <v>22.4</v>
      </c>
      <c r="L1439" s="62">
        <f>Ringkasan!L1209</f>
        <v>0.27</v>
      </c>
      <c r="M1439" s="62">
        <f>Ringkasan!M1209</f>
        <v>100</v>
      </c>
      <c r="N1439" s="60" t="str">
        <f>Ringkasan!N1209</f>
        <v/>
      </c>
      <c r="O1439" s="60" t="str">
        <f>Ringkasan!O1209</f>
        <v/>
      </c>
      <c r="P1439" s="60" t="str">
        <f>Ringkasan!P1209</f>
        <v/>
      </c>
      <c r="Q1439" s="60" t="str">
        <f>Ringkasan!Q1209</f>
        <v/>
      </c>
      <c r="R1439" s="60" t="str">
        <f>Ringkasan!R1209</f>
        <v/>
      </c>
      <c r="S1439" s="60" t="str">
        <f>Ringkasan!S1209</f>
        <v/>
      </c>
      <c r="T1439" s="60" t="str">
        <f>Ringkasan!T1209</f>
        <v/>
      </c>
      <c r="U1439" s="60">
        <f>Ringkasan!U1209</f>
        <v>3420</v>
      </c>
      <c r="V1439" s="60">
        <f>Ringkasan!V1209</f>
        <v>2.34</v>
      </c>
      <c r="W1439" s="60">
        <f>Ringkasan!W1209</f>
        <v>3420</v>
      </c>
      <c r="X1439" s="60">
        <f>Ringkasan!X1209</f>
        <v>3590</v>
      </c>
      <c r="Y1439" s="60">
        <f>Ringkasan!Y1209</f>
        <v>3390</v>
      </c>
      <c r="Z1439" s="60">
        <f>Ringkasan!Z1209</f>
        <v>90000</v>
      </c>
      <c r="AA1439" s="60" t="str">
        <f>Ringkasan!AA1209</f>
        <v>Pharmaceuticals</v>
      </c>
      <c r="AB1439" s="64" t="str">
        <f>Ringkasan!AB1209</f>
        <v>Healthcare</v>
      </c>
    </row>
    <row r="1440">
      <c r="A1440" s="60" t="str">
        <f>Ringkasan!A1284</f>
        <v>MYOR</v>
      </c>
      <c r="B1440" s="60" t="str">
        <f>Ringkasan!B1284</f>
        <v>Mayora Indah Tbk.</v>
      </c>
      <c r="C1440" s="61">
        <f>Ringkasan!C1284</f>
        <v>1700</v>
      </c>
      <c r="D1440" s="60" t="str">
        <f>Ringkasan!D1284</f>
        <v>#N/A</v>
      </c>
      <c r="E1440" s="60" t="str">
        <f>Ringkasan!E1284</f>
        <v>IDX80</v>
      </c>
      <c r="F1440" s="60" t="str">
        <f>Ringkasan!F1284</f>
        <v>31 Juli 2026</v>
      </c>
      <c r="G1440" s="60">
        <f>Ringkasan!G1284</f>
        <v>10</v>
      </c>
      <c r="H1440" s="62">
        <f>Ringkasan!H1284</f>
        <v>13.2</v>
      </c>
      <c r="I1440" s="62">
        <f>Ringkasan!I1284</f>
        <v>2.1</v>
      </c>
      <c r="J1440" s="62">
        <f>Ringkasan!J1284</f>
        <v>16.3</v>
      </c>
      <c r="K1440" s="62">
        <f>Ringkasan!K1284</f>
        <v>10.9</v>
      </c>
      <c r="L1440" s="62">
        <f>Ringkasan!L1284</f>
        <v>0.49</v>
      </c>
      <c r="M1440" s="62">
        <f>Ringkasan!M1284</f>
        <v>33.2</v>
      </c>
      <c r="N1440" s="60" t="str">
        <f>Ringkasan!N1284</f>
        <v/>
      </c>
      <c r="O1440" s="60" t="str">
        <f>Ringkasan!O1284</f>
        <v/>
      </c>
      <c r="P1440" s="60" t="str">
        <f>Ringkasan!P1284</f>
        <v/>
      </c>
      <c r="Q1440" s="60" t="str">
        <f>Ringkasan!Q1284</f>
        <v/>
      </c>
      <c r="R1440" s="60" t="str">
        <f>Ringkasan!R1284</f>
        <v/>
      </c>
      <c r="S1440" s="60" t="str">
        <f>Ringkasan!S1284</f>
        <v/>
      </c>
      <c r="T1440" s="60" t="str">
        <f>Ringkasan!T1284</f>
        <v/>
      </c>
      <c r="U1440" s="60">
        <f>Ringkasan!U1284</f>
        <v>1645</v>
      </c>
      <c r="V1440" s="60">
        <f>Ringkasan!V1284</f>
        <v>3.34</v>
      </c>
      <c r="W1440" s="60">
        <f>Ringkasan!W1284</f>
        <v>1645</v>
      </c>
      <c r="X1440" s="60">
        <f>Ringkasan!X1284</f>
        <v>1700</v>
      </c>
      <c r="Y1440" s="60">
        <f>Ringkasan!Y1284</f>
        <v>1630</v>
      </c>
      <c r="Z1440" s="60">
        <f>Ringkasan!Z1284</f>
        <v>7817400</v>
      </c>
      <c r="AA1440" s="60" t="str">
        <f>Ringkasan!AA1284</f>
        <v>Processed Foods</v>
      </c>
      <c r="AB1440" s="60" t="str">
        <f>Ringkasan!AB1284</f>
        <v>Consumer Non-Cyclicals</v>
      </c>
    </row>
    <row r="1441">
      <c r="A1441" s="60" t="str">
        <f>Ringkasan!A1285</f>
        <v>MYOR</v>
      </c>
      <c r="B1441" s="60" t="str">
        <f>Ringkasan!B1285</f>
        <v>Mayora Indah Tbk.</v>
      </c>
      <c r="C1441" s="61">
        <f>Ringkasan!C1285</f>
        <v>1700</v>
      </c>
      <c r="D1441" s="60" t="str">
        <f>Ringkasan!D1285</f>
        <v>#N/A</v>
      </c>
      <c r="E1441" s="60" t="str">
        <f>Ringkasan!E1285</f>
        <v>MNC36</v>
      </c>
      <c r="F1441" s="60" t="str">
        <f>Ringkasan!F1285</f>
        <v>30 Oktober 2026</v>
      </c>
      <c r="G1441" s="60">
        <f>Ringkasan!G1285</f>
        <v>10</v>
      </c>
      <c r="H1441" s="62">
        <f>Ringkasan!H1285</f>
        <v>13.2</v>
      </c>
      <c r="I1441" s="62">
        <f>Ringkasan!I1285</f>
        <v>2.1</v>
      </c>
      <c r="J1441" s="62">
        <f>Ringkasan!J1285</f>
        <v>16.3</v>
      </c>
      <c r="K1441" s="62">
        <f>Ringkasan!K1285</f>
        <v>10.9</v>
      </c>
      <c r="L1441" s="62">
        <f>Ringkasan!L1285</f>
        <v>0.49</v>
      </c>
      <c r="M1441" s="62">
        <f>Ringkasan!M1285</f>
        <v>33.2</v>
      </c>
      <c r="N1441" s="60" t="str">
        <f>Ringkasan!N1285</f>
        <v/>
      </c>
      <c r="O1441" s="60" t="str">
        <f>Ringkasan!O1285</f>
        <v/>
      </c>
      <c r="P1441" s="60" t="str">
        <f>Ringkasan!P1285</f>
        <v/>
      </c>
      <c r="Q1441" s="60" t="str">
        <f>Ringkasan!Q1285</f>
        <v/>
      </c>
      <c r="R1441" s="60" t="str">
        <f>Ringkasan!R1285</f>
        <v/>
      </c>
      <c r="S1441" s="60" t="str">
        <f>Ringkasan!S1285</f>
        <v/>
      </c>
      <c r="T1441" s="60" t="str">
        <f>Ringkasan!T1285</f>
        <v/>
      </c>
      <c r="U1441" s="60">
        <f>Ringkasan!U1285</f>
        <v>1645</v>
      </c>
      <c r="V1441" s="60">
        <f>Ringkasan!V1285</f>
        <v>3.34</v>
      </c>
      <c r="W1441" s="60">
        <f>Ringkasan!W1285</f>
        <v>1645</v>
      </c>
      <c r="X1441" s="60">
        <f>Ringkasan!X1285</f>
        <v>1700</v>
      </c>
      <c r="Y1441" s="60">
        <f>Ringkasan!Y1285</f>
        <v>1630</v>
      </c>
      <c r="Z1441" s="60">
        <f>Ringkasan!Z1285</f>
        <v>7817400</v>
      </c>
      <c r="AA1441" s="60" t="str">
        <f>Ringkasan!AA1285</f>
        <v>Processed Foods</v>
      </c>
      <c r="AB1441" s="60" t="str">
        <f>Ringkasan!AB1285</f>
        <v>Consumer Non-Cyclicals</v>
      </c>
    </row>
    <row r="1442">
      <c r="A1442" s="60" t="str">
        <f>Ringkasan!A1286</f>
        <v>MYOR</v>
      </c>
      <c r="B1442" s="60" t="str">
        <f>Ringkasan!B1286</f>
        <v>Mayora Indah Tbk.</v>
      </c>
      <c r="C1442" s="61">
        <f>Ringkasan!C1286</f>
        <v>1700</v>
      </c>
      <c r="D1442" s="60" t="str">
        <f>Ringkasan!D1286</f>
        <v>#N/A</v>
      </c>
      <c r="E1442" s="60" t="str">
        <f>Ringkasan!E1286</f>
        <v>Kompas100</v>
      </c>
      <c r="F1442" s="60" t="str">
        <f>Ringkasan!F1286</f>
        <v>31 Juli 2026</v>
      </c>
      <c r="G1442" s="60">
        <f>Ringkasan!G1286</f>
        <v>10</v>
      </c>
      <c r="H1442" s="62">
        <f>Ringkasan!H1286</f>
        <v>13.2</v>
      </c>
      <c r="I1442" s="62">
        <f>Ringkasan!I1286</f>
        <v>2.1</v>
      </c>
      <c r="J1442" s="62">
        <f>Ringkasan!J1286</f>
        <v>16.3</v>
      </c>
      <c r="K1442" s="62">
        <f>Ringkasan!K1286</f>
        <v>10.9</v>
      </c>
      <c r="L1442" s="62">
        <f>Ringkasan!L1286</f>
        <v>0.49</v>
      </c>
      <c r="M1442" s="62">
        <f>Ringkasan!M1286</f>
        <v>33.2</v>
      </c>
      <c r="N1442" s="60" t="str">
        <f>Ringkasan!N1286</f>
        <v/>
      </c>
      <c r="O1442" s="60" t="str">
        <f>Ringkasan!O1286</f>
        <v/>
      </c>
      <c r="P1442" s="60" t="str">
        <f>Ringkasan!P1286</f>
        <v/>
      </c>
      <c r="Q1442" s="60" t="str">
        <f>Ringkasan!Q1286</f>
        <v/>
      </c>
      <c r="R1442" s="60" t="str">
        <f>Ringkasan!R1286</f>
        <v/>
      </c>
      <c r="S1442" s="60" t="str">
        <f>Ringkasan!S1286</f>
        <v/>
      </c>
      <c r="T1442" s="60" t="str">
        <f>Ringkasan!T1286</f>
        <v/>
      </c>
      <c r="U1442" s="60">
        <f>Ringkasan!U1286</f>
        <v>1645</v>
      </c>
      <c r="V1442" s="60">
        <f>Ringkasan!V1286</f>
        <v>3.34</v>
      </c>
      <c r="W1442" s="60">
        <f>Ringkasan!W1286</f>
        <v>1645</v>
      </c>
      <c r="X1442" s="60">
        <f>Ringkasan!X1286</f>
        <v>1700</v>
      </c>
      <c r="Y1442" s="60">
        <f>Ringkasan!Y1286</f>
        <v>1630</v>
      </c>
      <c r="Z1442" s="60">
        <f>Ringkasan!Z1286</f>
        <v>7817400</v>
      </c>
      <c r="AA1442" s="60" t="str">
        <f>Ringkasan!AA1286</f>
        <v>Processed Foods</v>
      </c>
      <c r="AB1442" s="60" t="str">
        <f>Ringkasan!AB1286</f>
        <v>Consumer Non-Cyclicals</v>
      </c>
    </row>
    <row r="1443">
      <c r="A1443" s="60" t="str">
        <f>Ringkasan!A1287</f>
        <v>MYOR</v>
      </c>
      <c r="B1443" s="60" t="str">
        <f>Ringkasan!B1287</f>
        <v>Mayora Indah Tbk.</v>
      </c>
      <c r="C1443" s="61">
        <f>Ringkasan!C1287</f>
        <v>1700</v>
      </c>
      <c r="D1443" s="60" t="str">
        <f>Ringkasan!D1287</f>
        <v>#N/A</v>
      </c>
      <c r="E1443" s="60" t="str">
        <f>Ringkasan!E1287</f>
        <v>IDXSMC-LIQ</v>
      </c>
      <c r="F1443" s="60" t="str">
        <f>Ringkasan!F1287</f>
        <v>4 Agustus 2026</v>
      </c>
      <c r="G1443" s="60">
        <f>Ringkasan!G1287</f>
        <v>10</v>
      </c>
      <c r="H1443" s="62">
        <f>Ringkasan!H1287</f>
        <v>13.2</v>
      </c>
      <c r="I1443" s="62">
        <f>Ringkasan!I1287</f>
        <v>2.1</v>
      </c>
      <c r="J1443" s="62">
        <f>Ringkasan!J1287</f>
        <v>16.3</v>
      </c>
      <c r="K1443" s="62">
        <f>Ringkasan!K1287</f>
        <v>10.9</v>
      </c>
      <c r="L1443" s="62">
        <f>Ringkasan!L1287</f>
        <v>0.49</v>
      </c>
      <c r="M1443" s="62">
        <f>Ringkasan!M1287</f>
        <v>33.2</v>
      </c>
      <c r="N1443" s="60" t="str">
        <f>Ringkasan!N1287</f>
        <v/>
      </c>
      <c r="O1443" s="60" t="str">
        <f>Ringkasan!O1287</f>
        <v/>
      </c>
      <c r="P1443" s="60" t="str">
        <f>Ringkasan!P1287</f>
        <v/>
      </c>
      <c r="Q1443" s="60" t="str">
        <f>Ringkasan!Q1287</f>
        <v/>
      </c>
      <c r="R1443" s="60" t="str">
        <f>Ringkasan!R1287</f>
        <v/>
      </c>
      <c r="S1443" s="60" t="str">
        <f>Ringkasan!S1287</f>
        <v/>
      </c>
      <c r="T1443" s="60" t="str">
        <f>Ringkasan!T1287</f>
        <v/>
      </c>
      <c r="U1443" s="60">
        <f>Ringkasan!U1287</f>
        <v>1645</v>
      </c>
      <c r="V1443" s="60">
        <f>Ringkasan!V1287</f>
        <v>3.34</v>
      </c>
      <c r="W1443" s="60">
        <f>Ringkasan!W1287</f>
        <v>1645</v>
      </c>
      <c r="X1443" s="60">
        <f>Ringkasan!X1287</f>
        <v>1700</v>
      </c>
      <c r="Y1443" s="60">
        <f>Ringkasan!Y1287</f>
        <v>1630</v>
      </c>
      <c r="Z1443" s="60">
        <f>Ringkasan!Z1287</f>
        <v>7817400</v>
      </c>
      <c r="AA1443" s="60" t="str">
        <f>Ringkasan!AA1287</f>
        <v>Processed Foods</v>
      </c>
      <c r="AB1443" s="60" t="str">
        <f>Ringkasan!AB1287</f>
        <v>Consumer Non-Cyclicals</v>
      </c>
    </row>
    <row r="1444">
      <c r="A1444" s="60" t="str">
        <f>Ringkasan!A1288</f>
        <v>MYOR</v>
      </c>
      <c r="B1444" s="60" t="str">
        <f>Ringkasan!B1288</f>
        <v>Mayora Indah Tbk.</v>
      </c>
      <c r="C1444" s="61">
        <f>Ringkasan!C1288</f>
        <v>1700</v>
      </c>
      <c r="D1444" s="60" t="str">
        <f>Ringkasan!D1288</f>
        <v>#N/A</v>
      </c>
      <c r="E1444" s="60" t="str">
        <f>Ringkasan!E1288</f>
        <v>FTSE Large Cap</v>
      </c>
      <c r="F1444" s="60" t="str">
        <f>Ringkasan!F1288</f>
        <v>Juni 2026</v>
      </c>
      <c r="G1444" s="60">
        <f>Ringkasan!G1288</f>
        <v>10</v>
      </c>
      <c r="H1444" s="62">
        <f>Ringkasan!H1288</f>
        <v>13.2</v>
      </c>
      <c r="I1444" s="62">
        <f>Ringkasan!I1288</f>
        <v>2.1</v>
      </c>
      <c r="J1444" s="62">
        <f>Ringkasan!J1288</f>
        <v>16.3</v>
      </c>
      <c r="K1444" s="62">
        <f>Ringkasan!K1288</f>
        <v>10.9</v>
      </c>
      <c r="L1444" s="62">
        <f>Ringkasan!L1288</f>
        <v>0.49</v>
      </c>
      <c r="M1444" s="62">
        <f>Ringkasan!M1288</f>
        <v>33.2</v>
      </c>
      <c r="N1444" s="60" t="str">
        <f>Ringkasan!N1288</f>
        <v/>
      </c>
      <c r="O1444" s="60" t="str">
        <f>Ringkasan!O1288</f>
        <v/>
      </c>
      <c r="P1444" s="60" t="str">
        <f>Ringkasan!P1288</f>
        <v/>
      </c>
      <c r="Q1444" s="60" t="str">
        <f>Ringkasan!Q1288</f>
        <v/>
      </c>
      <c r="R1444" s="60" t="str">
        <f>Ringkasan!R1288</f>
        <v/>
      </c>
      <c r="S1444" s="60" t="str">
        <f>Ringkasan!S1288</f>
        <v/>
      </c>
      <c r="T1444" s="60" t="str">
        <f>Ringkasan!T1288</f>
        <v/>
      </c>
      <c r="U1444" s="60">
        <f>Ringkasan!U1288</f>
        <v>1645</v>
      </c>
      <c r="V1444" s="60">
        <f>Ringkasan!V1288</f>
        <v>3.34</v>
      </c>
      <c r="W1444" s="60">
        <f>Ringkasan!W1288</f>
        <v>1645</v>
      </c>
      <c r="X1444" s="60">
        <f>Ringkasan!X1288</f>
        <v>1700</v>
      </c>
      <c r="Y1444" s="60">
        <f>Ringkasan!Y1288</f>
        <v>1630</v>
      </c>
      <c r="Z1444" s="60">
        <f>Ringkasan!Z1288</f>
        <v>7817400</v>
      </c>
      <c r="AA1444" s="60" t="str">
        <f>Ringkasan!AA1288</f>
        <v>Processed Foods</v>
      </c>
      <c r="AB1444" s="60" t="str">
        <f>Ringkasan!AB1288</f>
        <v>Consumer Non-Cyclicals</v>
      </c>
    </row>
    <row r="1445" hidden="1">
      <c r="A1445" s="64" t="str">
        <f>Ringkasan!A1353</f>
        <v>PGAS</v>
      </c>
      <c r="B1445" s="64" t="str">
        <f>Ringkasan!B1353</f>
        <v>Perusahaan Gas Negara (Persero) Tbk.</v>
      </c>
      <c r="C1445" s="65">
        <f>Ringkasan!C1353</f>
        <v>1530</v>
      </c>
      <c r="D1445" s="64" t="str">
        <f>Ringkasan!D1353</f>
        <v>#N/A</v>
      </c>
      <c r="E1445" s="64" t="str">
        <f>Ringkasan!E1353</f>
        <v>IDXMESBUMN</v>
      </c>
      <c r="F1445" s="66">
        <f>Ringkasan!F1353</f>
        <v>46356</v>
      </c>
      <c r="G1445" s="64">
        <f>Ringkasan!G1353</f>
        <v>22</v>
      </c>
      <c r="H1445" s="19">
        <f>Ringkasan!H1353</f>
        <v>10.7</v>
      </c>
      <c r="I1445" s="19">
        <f>Ringkasan!I1353</f>
        <v>0.7</v>
      </c>
      <c r="J1445" s="19">
        <f>Ringkasan!J1353</f>
        <v>6.5</v>
      </c>
      <c r="K1445" s="19">
        <f>Ringkasan!K1353</f>
        <v>3.9</v>
      </c>
      <c r="L1445" s="19">
        <f>Ringkasan!L1353</f>
        <v>0.66</v>
      </c>
      <c r="M1445" s="19">
        <f>Ringkasan!M1353</f>
        <v>26.1</v>
      </c>
      <c r="N1445" s="64" t="str">
        <f>Ringkasan!N1353</f>
        <v/>
      </c>
      <c r="O1445" s="64" t="str">
        <f>Ringkasan!O1353</f>
        <v/>
      </c>
      <c r="P1445" s="64" t="str">
        <f>Ringkasan!P1353</f>
        <v/>
      </c>
      <c r="Q1445" s="64" t="str">
        <f>Ringkasan!Q1353</f>
        <v/>
      </c>
      <c r="R1445" s="64" t="str">
        <f>Ringkasan!R1353</f>
        <v/>
      </c>
      <c r="S1445" s="64" t="str">
        <f>Ringkasan!S1353</f>
        <v/>
      </c>
      <c r="T1445" s="64" t="str">
        <f>Ringkasan!T1353</f>
        <v/>
      </c>
      <c r="U1445" s="64">
        <f>Ringkasan!U1353</f>
        <v>1500</v>
      </c>
      <c r="V1445" s="64">
        <f>Ringkasan!V1353</f>
        <v>2</v>
      </c>
      <c r="W1445" s="64">
        <f>Ringkasan!W1353</f>
        <v>1550</v>
      </c>
      <c r="X1445" s="64">
        <f>Ringkasan!X1353</f>
        <v>1560</v>
      </c>
      <c r="Y1445" s="64">
        <f>Ringkasan!Y1353</f>
        <v>1510</v>
      </c>
      <c r="Z1445" s="64" t="str">
        <f>Ringkasan!Z1353</f>
        <v/>
      </c>
      <c r="AA1445" s="64" t="str">
        <f>Ringkasan!AA1353</f>
        <v>Oil &amp; Gas</v>
      </c>
      <c r="AB1445" s="64" t="str">
        <f>Ringkasan!AB1353</f>
        <v>Energy</v>
      </c>
    </row>
    <row r="1446">
      <c r="A1446" s="60" t="str">
        <f>Ringkasan!A1289</f>
        <v>MYOR</v>
      </c>
      <c r="B1446" s="60" t="str">
        <f>Ringkasan!B1289</f>
        <v>Mayora Indah Tbk.</v>
      </c>
      <c r="C1446" s="61">
        <f>Ringkasan!C1289</f>
        <v>1700</v>
      </c>
      <c r="D1446" s="60" t="str">
        <f>Ringkasan!D1289</f>
        <v>#N/A</v>
      </c>
      <c r="E1446" s="60" t="str">
        <f>Ringkasan!E1289</f>
        <v>JII70</v>
      </c>
      <c r="F1446" s="63">
        <f>Ringkasan!F1289</f>
        <v>46356</v>
      </c>
      <c r="G1446" s="60">
        <f>Ringkasan!G1289</f>
        <v>10</v>
      </c>
      <c r="H1446" s="62">
        <f>Ringkasan!H1289</f>
        <v>13.2</v>
      </c>
      <c r="I1446" s="62">
        <f>Ringkasan!I1289</f>
        <v>2.1</v>
      </c>
      <c r="J1446" s="62">
        <f>Ringkasan!J1289</f>
        <v>16.3</v>
      </c>
      <c r="K1446" s="62">
        <f>Ringkasan!K1289</f>
        <v>10.9</v>
      </c>
      <c r="L1446" s="62">
        <f>Ringkasan!L1289</f>
        <v>0.49</v>
      </c>
      <c r="M1446" s="62">
        <f>Ringkasan!M1289</f>
        <v>33.2</v>
      </c>
      <c r="N1446" s="60" t="str">
        <f>Ringkasan!N1289</f>
        <v/>
      </c>
      <c r="O1446" s="60" t="str">
        <f>Ringkasan!O1289</f>
        <v/>
      </c>
      <c r="P1446" s="60" t="str">
        <f>Ringkasan!P1289</f>
        <v/>
      </c>
      <c r="Q1446" s="60" t="str">
        <f>Ringkasan!Q1289</f>
        <v/>
      </c>
      <c r="R1446" s="60" t="str">
        <f>Ringkasan!R1289</f>
        <v/>
      </c>
      <c r="S1446" s="60" t="str">
        <f>Ringkasan!S1289</f>
        <v/>
      </c>
      <c r="T1446" s="60" t="str">
        <f>Ringkasan!T1289</f>
        <v/>
      </c>
      <c r="U1446" s="60">
        <f>Ringkasan!U1289</f>
        <v>1645</v>
      </c>
      <c r="V1446" s="60">
        <f>Ringkasan!V1289</f>
        <v>3.34</v>
      </c>
      <c r="W1446" s="60">
        <f>Ringkasan!W1289</f>
        <v>1645</v>
      </c>
      <c r="X1446" s="60">
        <f>Ringkasan!X1289</f>
        <v>1700</v>
      </c>
      <c r="Y1446" s="60">
        <f>Ringkasan!Y1289</f>
        <v>1630</v>
      </c>
      <c r="Z1446" s="60">
        <f>Ringkasan!Z1289</f>
        <v>7817400</v>
      </c>
      <c r="AA1446" s="60" t="str">
        <f>Ringkasan!AA1289</f>
        <v>Processed Foods</v>
      </c>
      <c r="AB1446" s="60" t="str">
        <f>Ringkasan!AB1289</f>
        <v>Consumer Non-Cyclicals</v>
      </c>
    </row>
    <row r="1447" hidden="1">
      <c r="A1447" s="60" t="str">
        <f>Ringkasan!A1290</f>
        <v>MYTX</v>
      </c>
      <c r="B1447" s="60" t="str">
        <f>Ringkasan!B1290</f>
        <v>PT Asia Pacific Investama Tbk.</v>
      </c>
      <c r="C1447" s="61" t="str">
        <f>Ringkasan!C1290</f>
        <v>#N/A</v>
      </c>
      <c r="D1447" s="60" t="str">
        <f>Ringkasan!D1290</f>
        <v>#N/A</v>
      </c>
      <c r="E1447" s="60" t="str">
        <f>Ringkasan!E1290</f>
        <v/>
      </c>
      <c r="F1447" s="60" t="str">
        <f>Ringkasan!F1290</f>
        <v/>
      </c>
      <c r="G1447" s="60">
        <f>Ringkasan!G1290</f>
        <v>0</v>
      </c>
      <c r="H1447" s="62">
        <f>Ringkasan!H1290</f>
        <v>-38.8</v>
      </c>
      <c r="I1447" s="62">
        <f>Ringkasan!I1290</f>
        <v>-0.62</v>
      </c>
      <c r="J1447" s="62">
        <f>Ringkasan!J1290</f>
        <v>0</v>
      </c>
      <c r="K1447" s="62">
        <f>Ringkasan!K1290</f>
        <v>-0.29</v>
      </c>
      <c r="L1447" s="62">
        <f>Ringkasan!L1290</f>
        <v>-6.6</v>
      </c>
      <c r="M1447" s="62">
        <f>Ringkasan!M1290</f>
        <v>-4.4</v>
      </c>
      <c r="N1447" s="60" t="str">
        <f>Ringkasan!N1290</f>
        <v/>
      </c>
      <c r="O1447" s="60" t="str">
        <f>Ringkasan!O1290</f>
        <v/>
      </c>
      <c r="P1447" s="60" t="str">
        <f>Ringkasan!P1290</f>
        <v/>
      </c>
      <c r="Q1447" s="60" t="str">
        <f>Ringkasan!Q1290</f>
        <v/>
      </c>
      <c r="R1447" s="60" t="str">
        <f>Ringkasan!R1290</f>
        <v/>
      </c>
      <c r="S1447" s="60" t="str">
        <f>Ringkasan!S1290</f>
        <v/>
      </c>
      <c r="T1447" s="60" t="str">
        <f>Ringkasan!T1290</f>
        <v/>
      </c>
      <c r="U1447" s="60">
        <f>Ringkasan!U1290</f>
        <v>49</v>
      </c>
      <c r="V1447" s="60">
        <f>Ringkasan!V1290</f>
        <v>0</v>
      </c>
      <c r="W1447" s="60">
        <f>Ringkasan!W1290</f>
        <v>48</v>
      </c>
      <c r="X1447" s="60">
        <f>Ringkasan!X1290</f>
        <v>49</v>
      </c>
      <c r="Y1447" s="60">
        <f>Ringkasan!Y1290</f>
        <v>48</v>
      </c>
      <c r="Z1447" s="60">
        <f>Ringkasan!Z1290</f>
        <v>48700</v>
      </c>
      <c r="AA1447" s="60" t="str">
        <f>Ringkasan!AA1290</f>
        <v>Apparel &amp; Luxury Goods</v>
      </c>
      <c r="AB1447" s="60" t="str">
        <f>Ringkasan!AB1290</f>
        <v>Consumer Cyclicals</v>
      </c>
    </row>
    <row r="1448" hidden="1">
      <c r="A1448" s="60" t="str">
        <f>Ringkasan!A1291</f>
        <v>NAIK</v>
      </c>
      <c r="B1448" s="60" t="str">
        <f>Ringkasan!B1291</f>
        <v>Adiwarna Anugerah Abadi Tbk.</v>
      </c>
      <c r="C1448" s="61">
        <f>Ringkasan!C1291</f>
        <v>82</v>
      </c>
      <c r="D1448" s="60" t="str">
        <f>Ringkasan!D1291</f>
        <v>#N/A</v>
      </c>
      <c r="E1448" s="60" t="str">
        <f>Ringkasan!E1291</f>
        <v/>
      </c>
      <c r="F1448" s="60" t="str">
        <f>Ringkasan!F1291</f>
        <v/>
      </c>
      <c r="G1448" s="61">
        <f>Ringkasan!G1291</f>
        <v>0</v>
      </c>
      <c r="H1448" s="62">
        <f>Ringkasan!H1291</f>
        <v>9.5</v>
      </c>
      <c r="I1448" s="62">
        <f>Ringkasan!I1291</f>
        <v>1.4</v>
      </c>
      <c r="J1448" s="62">
        <f>Ringkasan!J1291</f>
        <v>14.4</v>
      </c>
      <c r="K1448" s="62">
        <f>Ringkasan!K1291</f>
        <v>12</v>
      </c>
      <c r="L1448" s="62">
        <f>Ringkasan!L1291</f>
        <v>0.2</v>
      </c>
      <c r="M1448" s="62">
        <f>Ringkasan!M1291</f>
        <v>47.5</v>
      </c>
      <c r="N1448" s="60" t="str">
        <f>Ringkasan!N1291</f>
        <v/>
      </c>
      <c r="O1448" s="60" t="str">
        <f>Ringkasan!O1291</f>
        <v/>
      </c>
      <c r="P1448" s="60" t="str">
        <f>Ringkasan!P1291</f>
        <v/>
      </c>
      <c r="Q1448" s="60" t="str">
        <f>Ringkasan!Q1291</f>
        <v/>
      </c>
      <c r="R1448" s="60" t="str">
        <f>Ringkasan!R1291</f>
        <v/>
      </c>
      <c r="S1448" s="60" t="str">
        <f>Ringkasan!S1291</f>
        <v/>
      </c>
      <c r="T1448" s="60" t="str">
        <f>Ringkasan!T1291</f>
        <v/>
      </c>
      <c r="U1448" s="60">
        <f>Ringkasan!U1291</f>
        <v>79</v>
      </c>
      <c r="V1448" s="60">
        <f>Ringkasan!V1291</f>
        <v>3.8</v>
      </c>
      <c r="W1448" s="60">
        <f>Ringkasan!W1291</f>
        <v>79</v>
      </c>
      <c r="X1448" s="60">
        <f>Ringkasan!X1291</f>
        <v>84</v>
      </c>
      <c r="Y1448" s="60">
        <f>Ringkasan!Y1291</f>
        <v>79</v>
      </c>
      <c r="Z1448" s="60">
        <f>Ringkasan!Z1291</f>
        <v>2504800</v>
      </c>
      <c r="AA1448" s="60" t="str">
        <f>Ringkasan!AA1291</f>
        <v>Diversified Industrial Trading</v>
      </c>
      <c r="AB1448" s="60" t="str">
        <f>Ringkasan!AB1291</f>
        <v>Industrials</v>
      </c>
    </row>
    <row r="1449">
      <c r="A1449" s="60" t="str">
        <f>Ringkasan!A1300</f>
        <v>NCKL</v>
      </c>
      <c r="B1449" s="60" t="str">
        <f>Ringkasan!B1300</f>
        <v>PT Trimegah Bangun Persada Tbk.</v>
      </c>
      <c r="C1449" s="61">
        <f>Ringkasan!C1300</f>
        <v>890</v>
      </c>
      <c r="D1449" s="60" t="str">
        <f>Ringkasan!D1300</f>
        <v>#N/A</v>
      </c>
      <c r="E1449" s="60" t="str">
        <f>Ringkasan!E1300</f>
        <v>FTSE Large Cap</v>
      </c>
      <c r="F1449" s="60" t="str">
        <f>Ringkasan!F1300</f>
        <v>Juni 2026</v>
      </c>
      <c r="G1449" s="60">
        <f>Ringkasan!G1300</f>
        <v>4</v>
      </c>
      <c r="H1449" s="62">
        <f>Ringkasan!H1300</f>
        <v>5.6</v>
      </c>
      <c r="I1449" s="62">
        <f>Ringkasan!I1300</f>
        <v>1.1</v>
      </c>
      <c r="J1449" s="62">
        <f>Ringkasan!J1300</f>
        <v>20</v>
      </c>
      <c r="K1449" s="62">
        <f>Ringkasan!K1300</f>
        <v>15.4</v>
      </c>
      <c r="L1449" s="62">
        <f>Ringkasan!L1300</f>
        <v>0.3</v>
      </c>
      <c r="M1449" s="62">
        <f>Ringkasan!M1300</f>
        <v>150</v>
      </c>
      <c r="N1449" s="60" t="str">
        <f>Ringkasan!N1300</f>
        <v/>
      </c>
      <c r="O1449" s="60" t="str">
        <f>Ringkasan!O1300</f>
        <v/>
      </c>
      <c r="P1449" s="60" t="str">
        <f>Ringkasan!P1300</f>
        <v/>
      </c>
      <c r="Q1449" s="60" t="str">
        <f>Ringkasan!Q1300</f>
        <v/>
      </c>
      <c r="R1449" s="60" t="str">
        <f>Ringkasan!R1300</f>
        <v/>
      </c>
      <c r="S1449" s="60" t="str">
        <f>Ringkasan!S1300</f>
        <v/>
      </c>
      <c r="T1449" s="60" t="str">
        <f>Ringkasan!T1300</f>
        <v/>
      </c>
      <c r="U1449" s="60">
        <f>Ringkasan!U1300</f>
        <v>785</v>
      </c>
      <c r="V1449" s="60">
        <f>Ringkasan!V1300</f>
        <v>13.38</v>
      </c>
      <c r="W1449" s="60">
        <f>Ringkasan!W1300</f>
        <v>790</v>
      </c>
      <c r="X1449" s="60">
        <f>Ringkasan!X1300</f>
        <v>890</v>
      </c>
      <c r="Y1449" s="60">
        <f>Ringkasan!Y1300</f>
        <v>790</v>
      </c>
      <c r="Z1449" s="60">
        <f>Ringkasan!Z1300</f>
        <v>63386300</v>
      </c>
      <c r="AA1449" s="60" t="str">
        <f>Ringkasan!AA1300</f>
        <v>Metals &amp; Minerals</v>
      </c>
      <c r="AB1449" s="60" t="str">
        <f>Ringkasan!AB1300</f>
        <v>Basic Materials</v>
      </c>
    </row>
    <row r="1450" hidden="1">
      <c r="A1450" s="60" t="str">
        <f>Ringkasan!A1302</f>
        <v>NEST</v>
      </c>
      <c r="B1450" s="60" t="str">
        <f>Ringkasan!B1302</f>
        <v>Esta Indonesia Tbk.</v>
      </c>
      <c r="C1450" s="61">
        <f>Ringkasan!C1302</f>
        <v>560</v>
      </c>
      <c r="D1450" s="60" t="str">
        <f>Ringkasan!D1302</f>
        <v>#N/A</v>
      </c>
      <c r="E1450" s="60" t="str">
        <f>Ringkasan!E1302</f>
        <v/>
      </c>
      <c r="F1450" s="60" t="str">
        <f>Ringkasan!F1302</f>
        <v/>
      </c>
      <c r="G1450" s="60">
        <f>Ringkasan!G1302</f>
        <v>0</v>
      </c>
      <c r="H1450" s="62">
        <f>Ringkasan!H1302</f>
        <v>84.3</v>
      </c>
      <c r="I1450" s="62">
        <f>Ringkasan!I1302</f>
        <v>5.6</v>
      </c>
      <c r="J1450" s="62">
        <f>Ringkasan!J1302</f>
        <v>6.6</v>
      </c>
      <c r="K1450" s="62">
        <f>Ringkasan!K1302</f>
        <v>6</v>
      </c>
      <c r="L1450" s="62">
        <f>Ringkasan!L1302</f>
        <v>0.09</v>
      </c>
      <c r="M1450" s="62">
        <f>Ringkasan!M1302</f>
        <v>26.3</v>
      </c>
      <c r="N1450" s="60" t="str">
        <f>Ringkasan!N1302</f>
        <v/>
      </c>
      <c r="O1450" s="60" t="str">
        <f>Ringkasan!O1302</f>
        <v/>
      </c>
      <c r="P1450" s="60" t="str">
        <f>Ringkasan!P1302</f>
        <v/>
      </c>
      <c r="Q1450" s="60" t="str">
        <f>Ringkasan!Q1302</f>
        <v/>
      </c>
      <c r="R1450" s="60" t="str">
        <f>Ringkasan!R1302</f>
        <v/>
      </c>
      <c r="S1450" s="60" t="str">
        <f>Ringkasan!S1302</f>
        <v/>
      </c>
      <c r="T1450" s="60" t="str">
        <f>Ringkasan!T1302</f>
        <v/>
      </c>
      <c r="U1450" s="60">
        <f>Ringkasan!U1302</f>
        <v>520</v>
      </c>
      <c r="V1450" s="60">
        <f>Ringkasan!V1302</f>
        <v>7.69</v>
      </c>
      <c r="W1450" s="60">
        <f>Ringkasan!W1302</f>
        <v>520</v>
      </c>
      <c r="X1450" s="60">
        <f>Ringkasan!X1302</f>
        <v>565</v>
      </c>
      <c r="Y1450" s="60">
        <f>Ringkasan!Y1302</f>
        <v>515</v>
      </c>
      <c r="Z1450" s="60" t="str">
        <f>Ringkasan!Z1302</f>
        <v/>
      </c>
      <c r="AA1450" s="60" t="str">
        <f>Ringkasan!AA1302</f>
        <v>Agricultural Products</v>
      </c>
      <c r="AB1450" s="60" t="str">
        <f>Ringkasan!AB1302</f>
        <v>Consumer Non-Cyclicals</v>
      </c>
    </row>
    <row r="1451">
      <c r="A1451" s="60" t="str">
        <f>Ringkasan!A1299</f>
        <v>NCKL</v>
      </c>
      <c r="B1451" s="60" t="str">
        <f>Ringkasan!B1299</f>
        <v>PT Trimegah Bangun Persada Tbk.</v>
      </c>
      <c r="C1451" s="61">
        <f>Ringkasan!C1299</f>
        <v>890</v>
      </c>
      <c r="D1451" s="60" t="str">
        <f>Ringkasan!D1299</f>
        <v>#N/A</v>
      </c>
      <c r="E1451" s="60" t="str">
        <f>Ringkasan!E1299</f>
        <v>IDXV30</v>
      </c>
      <c r="F1451" s="60" t="str">
        <f>Ringkasan!F1299</f>
        <v>4 Agustus 2026</v>
      </c>
      <c r="G1451" s="61">
        <f>Ringkasan!G1299</f>
        <v>4</v>
      </c>
      <c r="H1451" s="62">
        <f>Ringkasan!H1299</f>
        <v>5.6</v>
      </c>
      <c r="I1451" s="62">
        <f>Ringkasan!I1299</f>
        <v>1.1</v>
      </c>
      <c r="J1451" s="62">
        <f>Ringkasan!J1299</f>
        <v>20</v>
      </c>
      <c r="K1451" s="62">
        <f>Ringkasan!K1299</f>
        <v>15.4</v>
      </c>
      <c r="L1451" s="62">
        <f>Ringkasan!L1299</f>
        <v>0.3</v>
      </c>
      <c r="M1451" s="62">
        <f>Ringkasan!M1299</f>
        <v>150</v>
      </c>
      <c r="N1451" s="60" t="str">
        <f>Ringkasan!N1299</f>
        <v/>
      </c>
      <c r="O1451" s="60" t="str">
        <f>Ringkasan!O1299</f>
        <v/>
      </c>
      <c r="P1451" s="60" t="str">
        <f>Ringkasan!P1299</f>
        <v/>
      </c>
      <c r="Q1451" s="60" t="str">
        <f>Ringkasan!Q1299</f>
        <v/>
      </c>
      <c r="R1451" s="60" t="str">
        <f>Ringkasan!R1299</f>
        <v/>
      </c>
      <c r="S1451" s="60" t="str">
        <f>Ringkasan!S1299</f>
        <v/>
      </c>
      <c r="T1451" s="60" t="str">
        <f>Ringkasan!T1299</f>
        <v/>
      </c>
      <c r="U1451" s="60">
        <f>Ringkasan!U1299</f>
        <v>785</v>
      </c>
      <c r="V1451" s="60">
        <f>Ringkasan!V1299</f>
        <v>13.38</v>
      </c>
      <c r="W1451" s="60">
        <f>Ringkasan!W1299</f>
        <v>790</v>
      </c>
      <c r="X1451" s="60">
        <f>Ringkasan!X1299</f>
        <v>890</v>
      </c>
      <c r="Y1451" s="60">
        <f>Ringkasan!Y1299</f>
        <v>790</v>
      </c>
      <c r="Z1451" s="60">
        <f>Ringkasan!Z1299</f>
        <v>63386300</v>
      </c>
      <c r="AA1451" s="60" t="str">
        <f>Ringkasan!AA1299</f>
        <v>Metals &amp; Minerals</v>
      </c>
      <c r="AB1451" s="60" t="str">
        <f>Ringkasan!AB1299</f>
        <v>Basic Materials</v>
      </c>
    </row>
    <row r="1452" hidden="1">
      <c r="A1452" s="60" t="str">
        <f>Ringkasan!A1301</f>
        <v>NELY</v>
      </c>
      <c r="B1452" s="60" t="str">
        <f>Ringkasan!B1301</f>
        <v>Pelayaran Nelly Dwi Putri Tbk</v>
      </c>
      <c r="C1452" s="61">
        <f>Ringkasan!C1301</f>
        <v>195</v>
      </c>
      <c r="D1452" s="60" t="str">
        <f>Ringkasan!D1301</f>
        <v>#N/A</v>
      </c>
      <c r="E1452" s="60" t="str">
        <f>Ringkasan!E1301</f>
        <v/>
      </c>
      <c r="F1452" s="60" t="str">
        <f>Ringkasan!F1301</f>
        <v/>
      </c>
      <c r="G1452" s="60">
        <f>Ringkasan!G1301</f>
        <v>0</v>
      </c>
      <c r="H1452" s="62">
        <f>Ringkasan!H1301</f>
        <v>-77</v>
      </c>
      <c r="I1452" s="62">
        <f>Ringkasan!I1301</f>
        <v>0.61</v>
      </c>
      <c r="J1452" s="62">
        <f>Ringkasan!J1301</f>
        <v>-0.79</v>
      </c>
      <c r="K1452" s="62">
        <f>Ringkasan!K1301</f>
        <v>-0.61</v>
      </c>
      <c r="L1452" s="62">
        <f>Ringkasan!L1301</f>
        <v>0.28</v>
      </c>
      <c r="M1452" s="62">
        <f>Ringkasan!M1301</f>
        <v>-15.7</v>
      </c>
      <c r="N1452" s="60" t="str">
        <f>Ringkasan!N1301</f>
        <v/>
      </c>
      <c r="O1452" s="60" t="str">
        <f>Ringkasan!O1301</f>
        <v/>
      </c>
      <c r="P1452" s="60" t="str">
        <f>Ringkasan!P1301</f>
        <v/>
      </c>
      <c r="Q1452" s="60" t="str">
        <f>Ringkasan!Q1301</f>
        <v/>
      </c>
      <c r="R1452" s="60" t="str">
        <f>Ringkasan!R1301</f>
        <v/>
      </c>
      <c r="S1452" s="60" t="str">
        <f>Ringkasan!S1301</f>
        <v/>
      </c>
      <c r="T1452" s="60" t="str">
        <f>Ringkasan!T1301</f>
        <v/>
      </c>
      <c r="U1452" s="60">
        <f>Ringkasan!U1301</f>
        <v>175</v>
      </c>
      <c r="V1452" s="60" t="str">
        <f>Ringkasan!V1301</f>
        <v/>
      </c>
      <c r="W1452" s="60">
        <f>Ringkasan!W1301</f>
        <v>178</v>
      </c>
      <c r="X1452" s="60">
        <f>Ringkasan!X1301</f>
        <v>230</v>
      </c>
      <c r="Y1452" s="60">
        <f>Ringkasan!Y1301</f>
        <v>174</v>
      </c>
      <c r="Z1452" s="60">
        <f>Ringkasan!Z1301</f>
        <v>7056100</v>
      </c>
      <c r="AA1452" s="60" t="str">
        <f>Ringkasan!AA1301</f>
        <v>Logistics &amp; Deliveries</v>
      </c>
      <c r="AB1452" s="60" t="str">
        <f>Ringkasan!AB1301</f>
        <v>Transportation &amp; Logistic</v>
      </c>
    </row>
    <row r="1453">
      <c r="A1453" s="60" t="str">
        <f>Ringkasan!A1438</f>
        <v>PTBA</v>
      </c>
      <c r="B1453" s="60" t="str">
        <f>Ringkasan!B1438</f>
        <v>Bukit Asam (Persero) Tbk.</v>
      </c>
      <c r="C1453" s="61">
        <f>Ringkasan!C1438</f>
        <v>2620</v>
      </c>
      <c r="D1453" s="60" t="str">
        <f>Ringkasan!D1438</f>
        <v>#N/A</v>
      </c>
      <c r="E1453" s="60" t="str">
        <f>Ringkasan!E1438</f>
        <v>Investor33</v>
      </c>
      <c r="F1453" s="63">
        <f>Ringkasan!F1438</f>
        <v>46356</v>
      </c>
      <c r="G1453" s="61">
        <f>Ringkasan!G1438</f>
        <v>18</v>
      </c>
      <c r="H1453" s="62">
        <f>Ringkasan!H1438</f>
        <v>9.6</v>
      </c>
      <c r="I1453" s="62">
        <f>Ringkasan!I1438</f>
        <v>1.4</v>
      </c>
      <c r="J1453" s="62">
        <f>Ringkasan!J1438</f>
        <v>14.1</v>
      </c>
      <c r="K1453" s="62">
        <f>Ringkasan!K1438</f>
        <v>7.7</v>
      </c>
      <c r="L1453" s="62">
        <f>Ringkasan!L1438</f>
        <v>0.83</v>
      </c>
      <c r="M1453" s="62">
        <f>Ringkasan!M1438</f>
        <v>33.6</v>
      </c>
      <c r="N1453" s="60" t="str">
        <f>Ringkasan!N1438</f>
        <v/>
      </c>
      <c r="O1453" s="60" t="str">
        <f>Ringkasan!O1438</f>
        <v/>
      </c>
      <c r="P1453" s="60" t="str">
        <f>Ringkasan!P1438</f>
        <v/>
      </c>
      <c r="Q1453" s="60" t="str">
        <f>Ringkasan!Q1438</f>
        <v/>
      </c>
      <c r="R1453" s="60" t="str">
        <f>Ringkasan!R1438</f>
        <v/>
      </c>
      <c r="S1453" s="60" t="str">
        <f>Ringkasan!S1438</f>
        <v/>
      </c>
      <c r="T1453" s="60" t="str">
        <f>Ringkasan!T1438</f>
        <v/>
      </c>
      <c r="U1453" s="60">
        <f>Ringkasan!U1438</f>
        <v>2630</v>
      </c>
      <c r="V1453" s="60">
        <f>Ringkasan!V1438</f>
        <v>-0.38</v>
      </c>
      <c r="W1453" s="60">
        <f>Ringkasan!W1438</f>
        <v>2600</v>
      </c>
      <c r="X1453" s="60">
        <f>Ringkasan!X1438</f>
        <v>2670</v>
      </c>
      <c r="Y1453" s="60">
        <f>Ringkasan!Y1438</f>
        <v>2550</v>
      </c>
      <c r="Z1453" s="60">
        <f>Ringkasan!Z1438</f>
        <v>46138000</v>
      </c>
      <c r="AA1453" s="60" t="str">
        <f>Ringkasan!AA1438</f>
        <v>Coal</v>
      </c>
      <c r="AB1453" s="60" t="str">
        <f>Ringkasan!AB1438</f>
        <v>Energy</v>
      </c>
    </row>
    <row r="1454">
      <c r="A1454" s="60" t="str">
        <f>Ringkasan!A1439</f>
        <v>PTBA</v>
      </c>
      <c r="B1454" s="60" t="str">
        <f>Ringkasan!B1439</f>
        <v>Bukit Asam (Persero) Tbk.</v>
      </c>
      <c r="C1454" s="61">
        <f>Ringkasan!C1439</f>
        <v>2620</v>
      </c>
      <c r="D1454" s="60" t="str">
        <f>Ringkasan!D1439</f>
        <v>#N/A</v>
      </c>
      <c r="E1454" s="60" t="str">
        <f>Ringkasan!E1439</f>
        <v>JII30</v>
      </c>
      <c r="F1454" s="63">
        <f>Ringkasan!F1439</f>
        <v>46356</v>
      </c>
      <c r="G1454" s="61">
        <f>Ringkasan!G1439</f>
        <v>18</v>
      </c>
      <c r="H1454" s="62">
        <f>Ringkasan!H1439</f>
        <v>9.6</v>
      </c>
      <c r="I1454" s="62">
        <f>Ringkasan!I1439</f>
        <v>1.4</v>
      </c>
      <c r="J1454" s="62">
        <f>Ringkasan!J1439</f>
        <v>14.1</v>
      </c>
      <c r="K1454" s="62">
        <f>Ringkasan!K1439</f>
        <v>7.7</v>
      </c>
      <c r="L1454" s="62">
        <f>Ringkasan!L1439</f>
        <v>0.83</v>
      </c>
      <c r="M1454" s="62">
        <f>Ringkasan!M1439</f>
        <v>33.6</v>
      </c>
      <c r="N1454" s="60" t="str">
        <f>Ringkasan!N1439</f>
        <v/>
      </c>
      <c r="O1454" s="60" t="str">
        <f>Ringkasan!O1439</f>
        <v/>
      </c>
      <c r="P1454" s="60" t="str">
        <f>Ringkasan!P1439</f>
        <v/>
      </c>
      <c r="Q1454" s="60" t="str">
        <f>Ringkasan!Q1439</f>
        <v/>
      </c>
      <c r="R1454" s="60" t="str">
        <f>Ringkasan!R1439</f>
        <v/>
      </c>
      <c r="S1454" s="60" t="str">
        <f>Ringkasan!S1439</f>
        <v/>
      </c>
      <c r="T1454" s="60" t="str">
        <f>Ringkasan!T1439</f>
        <v/>
      </c>
      <c r="U1454" s="60">
        <f>Ringkasan!U1439</f>
        <v>2630</v>
      </c>
      <c r="V1454" s="60">
        <f>Ringkasan!V1439</f>
        <v>-0.38</v>
      </c>
      <c r="W1454" s="60">
        <f>Ringkasan!W1439</f>
        <v>2600</v>
      </c>
      <c r="X1454" s="60">
        <f>Ringkasan!X1439</f>
        <v>2670</v>
      </c>
      <c r="Y1454" s="60">
        <f>Ringkasan!Y1439</f>
        <v>2550</v>
      </c>
      <c r="Z1454" s="60">
        <f>Ringkasan!Z1439</f>
        <v>46138000</v>
      </c>
      <c r="AA1454" s="60" t="str">
        <f>Ringkasan!AA1439</f>
        <v>Coal</v>
      </c>
      <c r="AB1454" s="60" t="str">
        <f>Ringkasan!AB1439</f>
        <v>Energy</v>
      </c>
    </row>
    <row r="1455">
      <c r="A1455" s="60" t="str">
        <f>Ringkasan!A1440</f>
        <v>PTBA</v>
      </c>
      <c r="B1455" s="60" t="str">
        <f>Ringkasan!B1440</f>
        <v>Bukit Asam (Persero) Tbk.</v>
      </c>
      <c r="C1455" s="61">
        <f>Ringkasan!C1440</f>
        <v>2620</v>
      </c>
      <c r="D1455" s="60" t="str">
        <f>Ringkasan!D1440</f>
        <v>#N/A</v>
      </c>
      <c r="E1455" s="60" t="str">
        <f>Ringkasan!E1440</f>
        <v>MNC36</v>
      </c>
      <c r="F1455" s="60" t="str">
        <f>Ringkasan!F1440</f>
        <v>30 Oktober 2026</v>
      </c>
      <c r="G1455" s="60">
        <f>Ringkasan!G1440</f>
        <v>18</v>
      </c>
      <c r="H1455" s="62">
        <f>Ringkasan!H1440</f>
        <v>9.6</v>
      </c>
      <c r="I1455" s="62">
        <f>Ringkasan!I1440</f>
        <v>1.4</v>
      </c>
      <c r="J1455" s="62">
        <f>Ringkasan!J1440</f>
        <v>14.1</v>
      </c>
      <c r="K1455" s="62">
        <f>Ringkasan!K1440</f>
        <v>7.7</v>
      </c>
      <c r="L1455" s="62">
        <f>Ringkasan!L1440</f>
        <v>0.83</v>
      </c>
      <c r="M1455" s="62">
        <f>Ringkasan!M1440</f>
        <v>33.6</v>
      </c>
      <c r="N1455" s="60" t="str">
        <f>Ringkasan!N1440</f>
        <v/>
      </c>
      <c r="O1455" s="60" t="str">
        <f>Ringkasan!O1440</f>
        <v/>
      </c>
      <c r="P1455" s="60" t="str">
        <f>Ringkasan!P1440</f>
        <v/>
      </c>
      <c r="Q1455" s="60" t="str">
        <f>Ringkasan!Q1440</f>
        <v/>
      </c>
      <c r="R1455" s="60" t="str">
        <f>Ringkasan!R1440</f>
        <v/>
      </c>
      <c r="S1455" s="60" t="str">
        <f>Ringkasan!S1440</f>
        <v/>
      </c>
      <c r="T1455" s="60" t="str">
        <f>Ringkasan!T1440</f>
        <v/>
      </c>
      <c r="U1455" s="60">
        <f>Ringkasan!U1440</f>
        <v>2630</v>
      </c>
      <c r="V1455" s="60">
        <f>Ringkasan!V1440</f>
        <v>-0.38</v>
      </c>
      <c r="W1455" s="60">
        <f>Ringkasan!W1440</f>
        <v>2600</v>
      </c>
      <c r="X1455" s="60">
        <f>Ringkasan!X1440</f>
        <v>2670</v>
      </c>
      <c r="Y1455" s="60">
        <f>Ringkasan!Y1440</f>
        <v>2550</v>
      </c>
      <c r="Z1455" s="60">
        <f>Ringkasan!Z1440</f>
        <v>46138000</v>
      </c>
      <c r="AA1455" s="60" t="str">
        <f>Ringkasan!AA1440</f>
        <v>Coal</v>
      </c>
      <c r="AB1455" s="60" t="str">
        <f>Ringkasan!AB1440</f>
        <v>Energy</v>
      </c>
    </row>
    <row r="1456">
      <c r="A1456" s="60" t="str">
        <f>Ringkasan!A1441</f>
        <v>PTBA</v>
      </c>
      <c r="B1456" s="60" t="str">
        <f>Ringkasan!B1441</f>
        <v>Bukit Asam (Persero) Tbk.</v>
      </c>
      <c r="C1456" s="61">
        <f>Ringkasan!C1441</f>
        <v>2620</v>
      </c>
      <c r="D1456" s="60" t="str">
        <f>Ringkasan!D1441</f>
        <v>#N/A</v>
      </c>
      <c r="E1456" s="60" t="str">
        <f>Ringkasan!E1441</f>
        <v>IDXHIDIV20</v>
      </c>
      <c r="F1456" s="60" t="str">
        <f>Ringkasan!F1441</f>
        <v>2 Februari 2027</v>
      </c>
      <c r="G1456" s="61">
        <f>Ringkasan!G1441</f>
        <v>18</v>
      </c>
      <c r="H1456" s="62">
        <f>Ringkasan!H1441</f>
        <v>9.6</v>
      </c>
      <c r="I1456" s="62">
        <f>Ringkasan!I1441</f>
        <v>1.4</v>
      </c>
      <c r="J1456" s="62">
        <f>Ringkasan!J1441</f>
        <v>14.1</v>
      </c>
      <c r="K1456" s="62">
        <f>Ringkasan!K1441</f>
        <v>7.7</v>
      </c>
      <c r="L1456" s="62">
        <f>Ringkasan!L1441</f>
        <v>0.83</v>
      </c>
      <c r="M1456" s="62">
        <f>Ringkasan!M1441</f>
        <v>33.6</v>
      </c>
      <c r="N1456" s="60" t="str">
        <f>Ringkasan!N1441</f>
        <v/>
      </c>
      <c r="O1456" s="60" t="str">
        <f>Ringkasan!O1441</f>
        <v/>
      </c>
      <c r="P1456" s="60" t="str">
        <f>Ringkasan!P1441</f>
        <v/>
      </c>
      <c r="Q1456" s="60" t="str">
        <f>Ringkasan!Q1441</f>
        <v/>
      </c>
      <c r="R1456" s="60" t="str">
        <f>Ringkasan!R1441</f>
        <v/>
      </c>
      <c r="S1456" s="60" t="str">
        <f>Ringkasan!S1441</f>
        <v/>
      </c>
      <c r="T1456" s="60" t="str">
        <f>Ringkasan!T1441</f>
        <v/>
      </c>
      <c r="U1456" s="60">
        <f>Ringkasan!U1441</f>
        <v>2630</v>
      </c>
      <c r="V1456" s="60">
        <f>Ringkasan!V1441</f>
        <v>-0.38</v>
      </c>
      <c r="W1456" s="60">
        <f>Ringkasan!W1441</f>
        <v>2600</v>
      </c>
      <c r="X1456" s="60">
        <f>Ringkasan!X1441</f>
        <v>2670</v>
      </c>
      <c r="Y1456" s="60">
        <f>Ringkasan!Y1441</f>
        <v>2550</v>
      </c>
      <c r="Z1456" s="60">
        <f>Ringkasan!Z1441</f>
        <v>46138000</v>
      </c>
      <c r="AA1456" s="60" t="str">
        <f>Ringkasan!AA1441</f>
        <v>Coal</v>
      </c>
      <c r="AB1456" s="60" t="str">
        <f>Ringkasan!AB1441</f>
        <v>Energy</v>
      </c>
    </row>
    <row r="1457" hidden="1">
      <c r="A1457" s="64" t="str">
        <f>Ringkasan!A1456</f>
        <v>PTMP</v>
      </c>
      <c r="B1457" s="64" t="str">
        <f>Ringkasan!B1456</f>
        <v>PT Mitra Pack Tbk.</v>
      </c>
      <c r="C1457" s="65">
        <f>Ringkasan!C1456</f>
        <v>59</v>
      </c>
      <c r="D1457" s="64" t="str">
        <f>Ringkasan!D1456</f>
        <v>#N/A</v>
      </c>
      <c r="E1457" s="64" t="str">
        <f>Ringkasan!E1456</f>
        <v/>
      </c>
      <c r="F1457" s="64" t="str">
        <f>Ringkasan!F1456</f>
        <v/>
      </c>
      <c r="G1457" s="65">
        <f>Ringkasan!G1456</f>
        <v>0</v>
      </c>
      <c r="H1457" s="19">
        <f>Ringkasan!H1456</f>
        <v>-3.7</v>
      </c>
      <c r="I1457" s="19">
        <f>Ringkasan!I1456</f>
        <v>1.1</v>
      </c>
      <c r="J1457" s="19">
        <f>Ringkasan!J1456</f>
        <v>-30.2</v>
      </c>
      <c r="K1457" s="19">
        <f>Ringkasan!K1456</f>
        <v>-19.5</v>
      </c>
      <c r="L1457" s="19">
        <f>Ringkasan!L1456</f>
        <v>0.55</v>
      </c>
      <c r="M1457" s="19">
        <f>Ringkasan!M1456</f>
        <v>-120</v>
      </c>
      <c r="N1457" s="64" t="str">
        <f>Ringkasan!N1456</f>
        <v/>
      </c>
      <c r="O1457" s="64" t="str">
        <f>Ringkasan!O1456</f>
        <v/>
      </c>
      <c r="P1457" s="64" t="str">
        <f>Ringkasan!P1456</f>
        <v/>
      </c>
      <c r="Q1457" s="64" t="str">
        <f>Ringkasan!Q1456</f>
        <v/>
      </c>
      <c r="R1457" s="64" t="str">
        <f>Ringkasan!R1456</f>
        <v/>
      </c>
      <c r="S1457" s="64" t="str">
        <f>Ringkasan!S1456</f>
        <v/>
      </c>
      <c r="T1457" s="64" t="str">
        <f>Ringkasan!T1456</f>
        <v/>
      </c>
      <c r="U1457" s="64">
        <f>Ringkasan!U1456</f>
        <v>55</v>
      </c>
      <c r="V1457" s="64">
        <f>Ringkasan!V1456</f>
        <v>7.27</v>
      </c>
      <c r="W1457" s="64">
        <f>Ringkasan!W1456</f>
        <v>55</v>
      </c>
      <c r="X1457" s="64">
        <f>Ringkasan!X1456</f>
        <v>59</v>
      </c>
      <c r="Y1457" s="64">
        <f>Ringkasan!Y1456</f>
        <v>54</v>
      </c>
      <c r="Z1457" s="64">
        <f>Ringkasan!Z1456</f>
        <v>4095400</v>
      </c>
      <c r="AA1457" s="64" t="str">
        <f>Ringkasan!AA1456</f>
        <v>Machinery</v>
      </c>
      <c r="AB1457" s="64" t="str">
        <f>Ringkasan!AB1456</f>
        <v>Industrials</v>
      </c>
    </row>
    <row r="1458" hidden="1">
      <c r="A1458" s="64" t="str">
        <f>Ringkasan!A1457</f>
        <v>PTMR</v>
      </c>
      <c r="B1458" s="64" t="str">
        <f>Ringkasan!B1457</f>
        <v>Master Print Tbk.</v>
      </c>
      <c r="C1458" s="65" t="str">
        <f>Ringkasan!C1457</f>
        <v>#N/A</v>
      </c>
      <c r="D1458" s="64" t="str">
        <f>Ringkasan!D1457</f>
        <v>#N/A</v>
      </c>
      <c r="E1458" s="64" t="str">
        <f>Ringkasan!E1457</f>
        <v/>
      </c>
      <c r="F1458" s="64" t="str">
        <f>Ringkasan!F1457</f>
        <v/>
      </c>
      <c r="G1458" s="64">
        <f>Ringkasan!G1457</f>
        <v>0</v>
      </c>
      <c r="H1458" s="19">
        <f>Ringkasan!H1457</f>
        <v>-30.5</v>
      </c>
      <c r="I1458" s="19">
        <f>Ringkasan!I1457</f>
        <v>9.3</v>
      </c>
      <c r="J1458" s="19">
        <f>Ringkasan!J1457</f>
        <v>-30.4</v>
      </c>
      <c r="K1458" s="19">
        <f>Ringkasan!K1457</f>
        <v>0</v>
      </c>
      <c r="L1458" s="19">
        <f>Ringkasan!L1457</f>
        <v>0.59</v>
      </c>
      <c r="M1458" s="19">
        <f>Ringkasan!M1457</f>
        <v>-79.5</v>
      </c>
      <c r="N1458" s="64" t="str">
        <f>Ringkasan!N1457</f>
        <v/>
      </c>
      <c r="O1458" s="64" t="str">
        <f>Ringkasan!O1457</f>
        <v/>
      </c>
      <c r="P1458" s="64" t="str">
        <f>Ringkasan!P1457</f>
        <v/>
      </c>
      <c r="Q1458" s="64" t="str">
        <f>Ringkasan!Q1457</f>
        <v/>
      </c>
      <c r="R1458" s="64" t="str">
        <f>Ringkasan!R1457</f>
        <v/>
      </c>
      <c r="S1458" s="64" t="str">
        <f>Ringkasan!S1457</f>
        <v/>
      </c>
      <c r="T1458" s="64" t="str">
        <f>Ringkasan!T1457</f>
        <v/>
      </c>
      <c r="U1458" s="64">
        <f>Ringkasan!U1457</f>
        <v>374</v>
      </c>
      <c r="V1458" s="64">
        <f>Ringkasan!V1457</f>
        <v>0</v>
      </c>
      <c r="W1458" s="64" t="str">
        <f>Ringkasan!W1457</f>
        <v/>
      </c>
      <c r="X1458" s="64" t="str">
        <f>Ringkasan!X1457</f>
        <v/>
      </c>
      <c r="Y1458" s="64" t="str">
        <f>Ringkasan!Y1457</f>
        <v/>
      </c>
      <c r="Z1458" s="64">
        <f>Ringkasan!Z1457</f>
        <v>0</v>
      </c>
      <c r="AA1458" s="64" t="str">
        <f>Ringkasan!AA1457</f>
        <v>Containers &amp; Packaging</v>
      </c>
      <c r="AB1458" s="64" t="str">
        <f>Ringkasan!AB1457</f>
        <v>Basic Materials</v>
      </c>
    </row>
    <row r="1459" hidden="1">
      <c r="A1459" s="64" t="str">
        <f>Ringkasan!A1458</f>
        <v>PTPP</v>
      </c>
      <c r="B1459" s="64" t="str">
        <f>Ringkasan!B1458</f>
        <v>PP (Persero) Tbk</v>
      </c>
      <c r="C1459" s="65">
        <f>Ringkasan!C1458</f>
        <v>202</v>
      </c>
      <c r="D1459" s="64" t="str">
        <f>Ringkasan!D1458</f>
        <v>#N/A</v>
      </c>
      <c r="E1459" s="64" t="str">
        <f>Ringkasan!E1458</f>
        <v>IDXMESBUMN</v>
      </c>
      <c r="F1459" s="66">
        <f>Ringkasan!F1458</f>
        <v>46356</v>
      </c>
      <c r="G1459" s="64">
        <f>Ringkasan!G1458</f>
        <v>4</v>
      </c>
      <c r="H1459" s="19">
        <f>Ringkasan!H1458</f>
        <v>-0.21</v>
      </c>
      <c r="I1459" s="19">
        <f>Ringkasan!I1458</f>
        <v>0.29</v>
      </c>
      <c r="J1459" s="19">
        <f>Ringkasan!J1458</f>
        <v>-140</v>
      </c>
      <c r="K1459" s="19">
        <f>Ringkasan!K1458</f>
        <v>-14.5</v>
      </c>
      <c r="L1459" s="19">
        <f>Ringkasan!L1458</f>
        <v>8.7</v>
      </c>
      <c r="M1459" s="19">
        <f>Ringkasan!M1458</f>
        <v>-210</v>
      </c>
      <c r="N1459" s="64" t="str">
        <f>Ringkasan!N1458</f>
        <v/>
      </c>
      <c r="O1459" s="64" t="str">
        <f>Ringkasan!O1458</f>
        <v/>
      </c>
      <c r="P1459" s="64" t="str">
        <f>Ringkasan!P1458</f>
        <v/>
      </c>
      <c r="Q1459" s="64" t="str">
        <f>Ringkasan!Q1458</f>
        <v/>
      </c>
      <c r="R1459" s="64" t="str">
        <f>Ringkasan!R1458</f>
        <v/>
      </c>
      <c r="S1459" s="64" t="str">
        <f>Ringkasan!S1458</f>
        <v/>
      </c>
      <c r="T1459" s="64" t="str">
        <f>Ringkasan!T1458</f>
        <v/>
      </c>
      <c r="U1459" s="64">
        <f>Ringkasan!U1458</f>
        <v>199</v>
      </c>
      <c r="V1459" s="64">
        <f>Ringkasan!V1458</f>
        <v>1.51</v>
      </c>
      <c r="W1459" s="64">
        <f>Ringkasan!W1458</f>
        <v>200</v>
      </c>
      <c r="X1459" s="64">
        <f>Ringkasan!X1458</f>
        <v>206</v>
      </c>
      <c r="Y1459" s="64">
        <f>Ringkasan!Y1458</f>
        <v>198</v>
      </c>
      <c r="Z1459" s="64">
        <f>Ringkasan!Z1458</f>
        <v>5378500</v>
      </c>
      <c r="AA1459" s="64" t="str">
        <f>Ringkasan!AA1458</f>
        <v>Heavy Constructions &amp; Civil Engineering</v>
      </c>
      <c r="AB1459" s="64" t="str">
        <f>Ringkasan!AB1458</f>
        <v>Infrastructures</v>
      </c>
    </row>
    <row r="1460" hidden="1">
      <c r="A1460" s="64" t="str">
        <f>Ringkasan!A1459</f>
        <v>PTPP</v>
      </c>
      <c r="B1460" s="64" t="str">
        <f>Ringkasan!B1459</f>
        <v>PP (Persero) Tbk</v>
      </c>
      <c r="C1460" s="65">
        <f>Ringkasan!C1459</f>
        <v>202</v>
      </c>
      <c r="D1460" s="64" t="str">
        <f>Ringkasan!D1459</f>
        <v>#N/A</v>
      </c>
      <c r="E1460" s="64" t="str">
        <f>Ringkasan!E1459</f>
        <v>ESGSKEHATI</v>
      </c>
      <c r="F1460" s="66">
        <f>Ringkasan!F1459</f>
        <v>46356</v>
      </c>
      <c r="G1460" s="64">
        <f>Ringkasan!G1459</f>
        <v>4</v>
      </c>
      <c r="H1460" s="19">
        <f>Ringkasan!H1459</f>
        <v>-0.21</v>
      </c>
      <c r="I1460" s="19">
        <f>Ringkasan!I1459</f>
        <v>0.29</v>
      </c>
      <c r="J1460" s="19">
        <f>Ringkasan!J1459</f>
        <v>-140</v>
      </c>
      <c r="K1460" s="19">
        <f>Ringkasan!K1459</f>
        <v>-14.5</v>
      </c>
      <c r="L1460" s="19">
        <f>Ringkasan!L1459</f>
        <v>8.7</v>
      </c>
      <c r="M1460" s="19">
        <f>Ringkasan!M1459</f>
        <v>-210</v>
      </c>
      <c r="N1460" s="64" t="str">
        <f>Ringkasan!N1459</f>
        <v/>
      </c>
      <c r="O1460" s="64" t="str">
        <f>Ringkasan!O1459</f>
        <v/>
      </c>
      <c r="P1460" s="64" t="str">
        <f>Ringkasan!P1459</f>
        <v/>
      </c>
      <c r="Q1460" s="64" t="str">
        <f>Ringkasan!Q1459</f>
        <v/>
      </c>
      <c r="R1460" s="64" t="str">
        <f>Ringkasan!R1459</f>
        <v/>
      </c>
      <c r="S1460" s="64" t="str">
        <f>Ringkasan!S1459</f>
        <v/>
      </c>
      <c r="T1460" s="64" t="str">
        <f>Ringkasan!T1459</f>
        <v/>
      </c>
      <c r="U1460" s="64">
        <f>Ringkasan!U1459</f>
        <v>199</v>
      </c>
      <c r="V1460" s="64">
        <f>Ringkasan!V1459</f>
        <v>1.51</v>
      </c>
      <c r="W1460" s="64">
        <f>Ringkasan!W1459</f>
        <v>200</v>
      </c>
      <c r="X1460" s="64">
        <f>Ringkasan!X1459</f>
        <v>206</v>
      </c>
      <c r="Y1460" s="64">
        <f>Ringkasan!Y1459</f>
        <v>198</v>
      </c>
      <c r="Z1460" s="64">
        <f>Ringkasan!Z1459</f>
        <v>5378500</v>
      </c>
      <c r="AA1460" s="64" t="str">
        <f>Ringkasan!AA1459</f>
        <v>Heavy Constructions &amp; Civil Engineering</v>
      </c>
      <c r="AB1460" s="64" t="str">
        <f>Ringkasan!AB1459</f>
        <v>Infrastructures</v>
      </c>
    </row>
    <row r="1461" hidden="1">
      <c r="A1461" s="64" t="str">
        <f>Ringkasan!A1460</f>
        <v>PTPP</v>
      </c>
      <c r="B1461" s="64" t="str">
        <f>Ringkasan!B1460</f>
        <v>PP (Persero) Tbk</v>
      </c>
      <c r="C1461" s="65">
        <f>Ringkasan!C1460</f>
        <v>202</v>
      </c>
      <c r="D1461" s="64" t="str">
        <f>Ringkasan!D1460</f>
        <v>#N/A</v>
      </c>
      <c r="E1461" s="64" t="str">
        <f>Ringkasan!E1460</f>
        <v>IDXBUMN20</v>
      </c>
      <c r="F1461" s="64" t="str">
        <f>Ringkasan!F1460</f>
        <v>4 Agustus 2026</v>
      </c>
      <c r="G1461" s="64">
        <f>Ringkasan!G1460</f>
        <v>4</v>
      </c>
      <c r="H1461" s="19">
        <f>Ringkasan!H1460</f>
        <v>-0.21</v>
      </c>
      <c r="I1461" s="19">
        <f>Ringkasan!I1460</f>
        <v>0.29</v>
      </c>
      <c r="J1461" s="19">
        <f>Ringkasan!J1460</f>
        <v>-140</v>
      </c>
      <c r="K1461" s="19">
        <f>Ringkasan!K1460</f>
        <v>-14.5</v>
      </c>
      <c r="L1461" s="19">
        <f>Ringkasan!L1460</f>
        <v>8.7</v>
      </c>
      <c r="M1461" s="19">
        <f>Ringkasan!M1460</f>
        <v>-210</v>
      </c>
      <c r="N1461" s="64" t="str">
        <f>Ringkasan!N1460</f>
        <v/>
      </c>
      <c r="O1461" s="64" t="str">
        <f>Ringkasan!O1460</f>
        <v/>
      </c>
      <c r="P1461" s="64" t="str">
        <f>Ringkasan!P1460</f>
        <v/>
      </c>
      <c r="Q1461" s="64" t="str">
        <f>Ringkasan!Q1460</f>
        <v/>
      </c>
      <c r="R1461" s="64" t="str">
        <f>Ringkasan!R1460</f>
        <v/>
      </c>
      <c r="S1461" s="64" t="str">
        <f>Ringkasan!S1460</f>
        <v/>
      </c>
      <c r="T1461" s="64" t="str">
        <f>Ringkasan!T1460</f>
        <v/>
      </c>
      <c r="U1461" s="64">
        <f>Ringkasan!U1460</f>
        <v>199</v>
      </c>
      <c r="V1461" s="64">
        <f>Ringkasan!V1460</f>
        <v>1.51</v>
      </c>
      <c r="W1461" s="64">
        <f>Ringkasan!W1460</f>
        <v>200</v>
      </c>
      <c r="X1461" s="64">
        <f>Ringkasan!X1460</f>
        <v>206</v>
      </c>
      <c r="Y1461" s="64">
        <f>Ringkasan!Y1460</f>
        <v>198</v>
      </c>
      <c r="Z1461" s="64">
        <f>Ringkasan!Z1460</f>
        <v>5378500</v>
      </c>
      <c r="AA1461" s="64" t="str">
        <f>Ringkasan!AA1460</f>
        <v>Heavy Constructions &amp; Civil Engineering</v>
      </c>
      <c r="AB1461" s="64" t="str">
        <f>Ringkasan!AB1460</f>
        <v>Infrastructures</v>
      </c>
    </row>
    <row r="1462" hidden="1">
      <c r="A1462" s="64" t="str">
        <f>Ringkasan!A1461</f>
        <v>PTPP</v>
      </c>
      <c r="B1462" s="64" t="str">
        <f>Ringkasan!B1461</f>
        <v>PP (Persero) Tbk</v>
      </c>
      <c r="C1462" s="65">
        <f>Ringkasan!C1461</f>
        <v>202</v>
      </c>
      <c r="D1462" s="64" t="str">
        <f>Ringkasan!D1461</f>
        <v>#N/A</v>
      </c>
      <c r="E1462" s="64" t="str">
        <f>Ringkasan!E1461</f>
        <v>IDXSMC-LIQ</v>
      </c>
      <c r="F1462" s="64" t="str">
        <f>Ringkasan!F1461</f>
        <v>4 Agustus 2026</v>
      </c>
      <c r="G1462" s="64">
        <f>Ringkasan!G1461</f>
        <v>4</v>
      </c>
      <c r="H1462" s="19">
        <f>Ringkasan!H1461</f>
        <v>-0.21</v>
      </c>
      <c r="I1462" s="19">
        <f>Ringkasan!I1461</f>
        <v>0.29</v>
      </c>
      <c r="J1462" s="19">
        <f>Ringkasan!J1461</f>
        <v>-140</v>
      </c>
      <c r="K1462" s="19">
        <f>Ringkasan!K1461</f>
        <v>-14.5</v>
      </c>
      <c r="L1462" s="19">
        <f>Ringkasan!L1461</f>
        <v>8.7</v>
      </c>
      <c r="M1462" s="19">
        <f>Ringkasan!M1461</f>
        <v>-210</v>
      </c>
      <c r="N1462" s="64" t="str">
        <f>Ringkasan!N1461</f>
        <v/>
      </c>
      <c r="O1462" s="64" t="str">
        <f>Ringkasan!O1461</f>
        <v/>
      </c>
      <c r="P1462" s="64" t="str">
        <f>Ringkasan!P1461</f>
        <v/>
      </c>
      <c r="Q1462" s="64" t="str">
        <f>Ringkasan!Q1461</f>
        <v/>
      </c>
      <c r="R1462" s="64" t="str">
        <f>Ringkasan!R1461</f>
        <v/>
      </c>
      <c r="S1462" s="64" t="str">
        <f>Ringkasan!S1461</f>
        <v/>
      </c>
      <c r="T1462" s="64" t="str">
        <f>Ringkasan!T1461</f>
        <v/>
      </c>
      <c r="U1462" s="64">
        <f>Ringkasan!U1461</f>
        <v>199</v>
      </c>
      <c r="V1462" s="64">
        <f>Ringkasan!V1461</f>
        <v>1.51</v>
      </c>
      <c r="W1462" s="64">
        <f>Ringkasan!W1461</f>
        <v>200</v>
      </c>
      <c r="X1462" s="64">
        <f>Ringkasan!X1461</f>
        <v>206</v>
      </c>
      <c r="Y1462" s="64">
        <f>Ringkasan!Y1461</f>
        <v>198</v>
      </c>
      <c r="Z1462" s="64">
        <f>Ringkasan!Z1461</f>
        <v>5378500</v>
      </c>
      <c r="AA1462" s="64" t="str">
        <f>Ringkasan!AA1461</f>
        <v>Heavy Constructions &amp; Civil Engineering</v>
      </c>
      <c r="AB1462" s="64" t="str">
        <f>Ringkasan!AB1461</f>
        <v>Infrastructures</v>
      </c>
    </row>
    <row r="1463" hidden="1">
      <c r="A1463" s="64" t="str">
        <f>Ringkasan!A1462</f>
        <v>PTPS</v>
      </c>
      <c r="B1463" s="64" t="str">
        <f>Ringkasan!B1462</f>
        <v>PT Pulau Subur Tbk.</v>
      </c>
      <c r="C1463" s="65">
        <f>Ringkasan!C1462</f>
        <v>113</v>
      </c>
      <c r="D1463" s="64" t="str">
        <f>Ringkasan!D1462</f>
        <v>#N/A</v>
      </c>
      <c r="E1463" s="64" t="str">
        <f>Ringkasan!E1462</f>
        <v/>
      </c>
      <c r="F1463" s="64" t="str">
        <f>Ringkasan!F1462</f>
        <v/>
      </c>
      <c r="G1463" s="65">
        <f>Ringkasan!G1462</f>
        <v>0</v>
      </c>
      <c r="H1463" s="19">
        <f>Ringkasan!H1462</f>
        <v>36.9</v>
      </c>
      <c r="I1463" s="19">
        <f>Ringkasan!I1462</f>
        <v>1.7</v>
      </c>
      <c r="J1463" s="19">
        <f>Ringkasan!J1462</f>
        <v>4.5</v>
      </c>
      <c r="K1463" s="19">
        <f>Ringkasan!K1462</f>
        <v>4.4</v>
      </c>
      <c r="L1463" s="19">
        <f>Ringkasan!L1462</f>
        <v>0.02</v>
      </c>
      <c r="M1463" s="19">
        <f>Ringkasan!M1462</f>
        <v>79.9</v>
      </c>
      <c r="N1463" s="64" t="str">
        <f>Ringkasan!N1462</f>
        <v/>
      </c>
      <c r="O1463" s="64" t="str">
        <f>Ringkasan!O1462</f>
        <v/>
      </c>
      <c r="P1463" s="64" t="str">
        <f>Ringkasan!P1462</f>
        <v/>
      </c>
      <c r="Q1463" s="64" t="str">
        <f>Ringkasan!Q1462</f>
        <v/>
      </c>
      <c r="R1463" s="64" t="str">
        <f>Ringkasan!R1462</f>
        <v/>
      </c>
      <c r="S1463" s="64" t="str">
        <f>Ringkasan!S1462</f>
        <v/>
      </c>
      <c r="T1463" s="64" t="str">
        <f>Ringkasan!T1462</f>
        <v/>
      </c>
      <c r="U1463" s="64">
        <f>Ringkasan!U1462</f>
        <v>106</v>
      </c>
      <c r="V1463" s="64">
        <f>Ringkasan!V1462</f>
        <v>6.6</v>
      </c>
      <c r="W1463" s="64">
        <f>Ringkasan!W1462</f>
        <v>107</v>
      </c>
      <c r="X1463" s="64">
        <f>Ringkasan!X1462</f>
        <v>120</v>
      </c>
      <c r="Y1463" s="64">
        <f>Ringkasan!Y1462</f>
        <v>106</v>
      </c>
      <c r="Z1463" s="64">
        <f>Ringkasan!Z1462</f>
        <v>3531000</v>
      </c>
      <c r="AA1463" s="64" t="str">
        <f>Ringkasan!AA1462</f>
        <v>Agricultural Products</v>
      </c>
      <c r="AB1463" s="64" t="str">
        <f>Ringkasan!AB1462</f>
        <v>Consumer Non-Cyclicals</v>
      </c>
    </row>
    <row r="1464" hidden="1">
      <c r="A1464" s="64" t="str">
        <f>Ringkasan!A1463</f>
        <v>PTPW</v>
      </c>
      <c r="B1464" s="64" t="str">
        <f>Ringkasan!B1463</f>
        <v>Pratama Widya Tbk.</v>
      </c>
      <c r="C1464" s="65">
        <f>Ringkasan!C1463</f>
        <v>940</v>
      </c>
      <c r="D1464" s="64" t="str">
        <f>Ringkasan!D1463</f>
        <v>#N/A</v>
      </c>
      <c r="E1464" s="64" t="str">
        <f>Ringkasan!E1463</f>
        <v/>
      </c>
      <c r="F1464" s="64" t="str">
        <f>Ringkasan!F1463</f>
        <v/>
      </c>
      <c r="G1464" s="64">
        <f>Ringkasan!G1463</f>
        <v>0</v>
      </c>
      <c r="H1464" s="19">
        <f>Ringkasan!H1463</f>
        <v>20.4</v>
      </c>
      <c r="I1464" s="19">
        <f>Ringkasan!I1463</f>
        <v>1.2</v>
      </c>
      <c r="J1464" s="19">
        <f>Ringkasan!J1463</f>
        <v>6</v>
      </c>
      <c r="K1464" s="19">
        <f>Ringkasan!K1463</f>
        <v>5.3</v>
      </c>
      <c r="L1464" s="19">
        <f>Ringkasan!L1463</f>
        <v>0.13</v>
      </c>
      <c r="M1464" s="19">
        <f>Ringkasan!M1463</f>
        <v>52.7</v>
      </c>
      <c r="N1464" s="64" t="str">
        <f>Ringkasan!N1463</f>
        <v/>
      </c>
      <c r="O1464" s="64" t="str">
        <f>Ringkasan!O1463</f>
        <v/>
      </c>
      <c r="P1464" s="64" t="str">
        <f>Ringkasan!P1463</f>
        <v/>
      </c>
      <c r="Q1464" s="64" t="str">
        <f>Ringkasan!Q1463</f>
        <v/>
      </c>
      <c r="R1464" s="64" t="str">
        <f>Ringkasan!R1463</f>
        <v/>
      </c>
      <c r="S1464" s="64" t="str">
        <f>Ringkasan!S1463</f>
        <v/>
      </c>
      <c r="T1464" s="64" t="str">
        <f>Ringkasan!T1463</f>
        <v/>
      </c>
      <c r="U1464" s="64">
        <f>Ringkasan!U1463</f>
        <v>930</v>
      </c>
      <c r="V1464" s="64">
        <f>Ringkasan!V1463</f>
        <v>1.08</v>
      </c>
      <c r="W1464" s="64">
        <f>Ringkasan!W1463</f>
        <v>935</v>
      </c>
      <c r="X1464" s="64">
        <f>Ringkasan!X1463</f>
        <v>940</v>
      </c>
      <c r="Y1464" s="64">
        <f>Ringkasan!Y1463</f>
        <v>935</v>
      </c>
      <c r="Z1464" s="64">
        <f>Ringkasan!Z1463</f>
        <v>11800</v>
      </c>
      <c r="AA1464" s="64" t="str">
        <f>Ringkasan!AA1463</f>
        <v>Heavy Constructions &amp; Civil Engineering</v>
      </c>
      <c r="AB1464" s="64" t="str">
        <f>Ringkasan!AB1463</f>
        <v>Infrastructures</v>
      </c>
    </row>
    <row r="1465" hidden="1">
      <c r="A1465" s="64" t="str">
        <f>Ringkasan!A1464</f>
        <v>PTRO</v>
      </c>
      <c r="B1465" s="64" t="str">
        <f>Ringkasan!B1464</f>
        <v>Petrosea Tbk</v>
      </c>
      <c r="C1465" s="65">
        <f>Ringkasan!C1464</f>
        <v>4180</v>
      </c>
      <c r="D1465" s="64" t="str">
        <f>Ringkasan!D1464</f>
        <v>#N/A</v>
      </c>
      <c r="E1465" s="64" t="str">
        <f>Ringkasan!E1464</f>
        <v>Pefindo - iGrade</v>
      </c>
      <c r="F1465" s="64" t="str">
        <f>Ringkasan!F1464</f>
        <v>30 Juni 2026</v>
      </c>
      <c r="G1465" s="64">
        <f>Ringkasan!G1464</f>
        <v>4</v>
      </c>
      <c r="H1465" s="19">
        <f>Ringkasan!H1464</f>
        <v>95.8</v>
      </c>
      <c r="I1465" s="19">
        <f>Ringkasan!I1464</f>
        <v>9</v>
      </c>
      <c r="J1465" s="19">
        <f>Ringkasan!J1464</f>
        <v>9.4</v>
      </c>
      <c r="K1465" s="19">
        <f>Ringkasan!K1464</f>
        <v>1.8</v>
      </c>
      <c r="L1465" s="19">
        <f>Ringkasan!L1464</f>
        <v>4.2</v>
      </c>
      <c r="M1465" s="19">
        <f>Ringkasan!M1464</f>
        <v>10.2</v>
      </c>
      <c r="N1465" s="64" t="str">
        <f>Ringkasan!N1464</f>
        <v/>
      </c>
      <c r="O1465" s="64" t="str">
        <f>Ringkasan!O1464</f>
        <v/>
      </c>
      <c r="P1465" s="64" t="str">
        <f>Ringkasan!P1464</f>
        <v/>
      </c>
      <c r="Q1465" s="64" t="str">
        <f>Ringkasan!Q1464</f>
        <v/>
      </c>
      <c r="R1465" s="64" t="str">
        <f>Ringkasan!R1464</f>
        <v/>
      </c>
      <c r="S1465" s="64" t="str">
        <f>Ringkasan!S1464</f>
        <v/>
      </c>
      <c r="T1465" s="64" t="str">
        <f>Ringkasan!T1464</f>
        <v/>
      </c>
      <c r="U1465" s="64">
        <f>Ringkasan!U1464</f>
        <v>4010</v>
      </c>
      <c r="V1465" s="64">
        <f>Ringkasan!V1464</f>
        <v>4.24</v>
      </c>
      <c r="W1465" s="64">
        <f>Ringkasan!W1464</f>
        <v>4150</v>
      </c>
      <c r="X1465" s="64">
        <f>Ringkasan!X1464</f>
        <v>4340</v>
      </c>
      <c r="Y1465" s="64">
        <f>Ringkasan!Y1464</f>
        <v>4150</v>
      </c>
      <c r="Z1465" s="64">
        <f>Ringkasan!Z1464</f>
        <v>64705700</v>
      </c>
      <c r="AA1465" s="64" t="str">
        <f>Ringkasan!AA1464</f>
        <v>Oil, Gas &amp; Coal Supports</v>
      </c>
      <c r="AB1465" s="64" t="str">
        <f>Ringkasan!AB1464</f>
        <v>Energy</v>
      </c>
    </row>
    <row r="1466" hidden="1">
      <c r="A1466" s="64" t="str">
        <f>Ringkasan!A1210</f>
        <v>META</v>
      </c>
      <c r="B1466" s="64" t="str">
        <f>Ringkasan!B1210</f>
        <v>Nusantara Infrastructure Tbk.</v>
      </c>
      <c r="C1466" s="61">
        <f>Ringkasan!C1210</f>
        <v>238</v>
      </c>
      <c r="D1466" s="60" t="str">
        <f>Ringkasan!D1210</f>
        <v>#N/A</v>
      </c>
      <c r="E1466" s="60" t="str">
        <f>Ringkasan!E1210</f>
        <v/>
      </c>
      <c r="F1466" s="60" t="str">
        <f>Ringkasan!F1210</f>
        <v/>
      </c>
      <c r="G1466" s="60">
        <f>Ringkasan!G1210</f>
        <v>0</v>
      </c>
      <c r="H1466" s="62">
        <f>Ringkasan!H1210</f>
        <v>44.7</v>
      </c>
      <c r="I1466" s="62">
        <f>Ringkasan!I1210</f>
        <v>1</v>
      </c>
      <c r="J1466" s="62">
        <f>Ringkasan!J1210</f>
        <v>2.3</v>
      </c>
      <c r="K1466" s="62">
        <f>Ringkasan!K1210</f>
        <v>2.1</v>
      </c>
      <c r="L1466" s="62">
        <f>Ringkasan!L1210</f>
        <v>0.12</v>
      </c>
      <c r="M1466" s="62">
        <f>Ringkasan!M1210</f>
        <v>150</v>
      </c>
      <c r="N1466" s="60" t="str">
        <f>Ringkasan!N1210</f>
        <v/>
      </c>
      <c r="O1466" s="60" t="str">
        <f>Ringkasan!O1210</f>
        <v/>
      </c>
      <c r="P1466" s="60" t="str">
        <f>Ringkasan!P1210</f>
        <v/>
      </c>
      <c r="Q1466" s="60" t="str">
        <f>Ringkasan!Q1210</f>
        <v/>
      </c>
      <c r="R1466" s="60" t="str">
        <f>Ringkasan!R1210</f>
        <v/>
      </c>
      <c r="S1466" s="60" t="str">
        <f>Ringkasan!S1210</f>
        <v/>
      </c>
      <c r="T1466" s="60" t="str">
        <f>Ringkasan!T1210</f>
        <v/>
      </c>
      <c r="U1466" s="60">
        <f>Ringkasan!U1210</f>
        <v>568.43</v>
      </c>
      <c r="V1466" s="60">
        <f>Ringkasan!V1210</f>
        <v>-0.26</v>
      </c>
      <c r="W1466" s="60">
        <f>Ringkasan!W1210</f>
        <v>572.95</v>
      </c>
      <c r="X1466" s="60">
        <f>Ringkasan!X1210</f>
        <v>576.07</v>
      </c>
      <c r="Y1466" s="60">
        <f>Ringkasan!Y1210</f>
        <v>560.9</v>
      </c>
      <c r="Z1466" s="60">
        <f>Ringkasan!Z1210</f>
        <v>14347769</v>
      </c>
      <c r="AA1466" s="60" t="str">
        <f>Ringkasan!AA1210</f>
        <v>Transport Infrastructure Operator</v>
      </c>
      <c r="AB1466" s="64" t="str">
        <f>Ringkasan!AB1210</f>
        <v>Infrastructures</v>
      </c>
    </row>
    <row r="1467" hidden="1">
      <c r="A1467" s="60" t="str">
        <f>Ringkasan!A1211</f>
        <v>MFMI</v>
      </c>
      <c r="B1467" s="60" t="str">
        <f>Ringkasan!B1211</f>
        <v>Multifiling Mitra Indonesia Tbk.</v>
      </c>
      <c r="C1467" s="61">
        <f>Ringkasan!C1211</f>
        <v>1300</v>
      </c>
      <c r="D1467" s="60" t="str">
        <f>Ringkasan!D1211</f>
        <v>#N/A</v>
      </c>
      <c r="E1467" s="60" t="str">
        <f>Ringkasan!E1211</f>
        <v/>
      </c>
      <c r="F1467" s="60" t="str">
        <f>Ringkasan!F1211</f>
        <v/>
      </c>
      <c r="G1467" s="60">
        <f>Ringkasan!G1211</f>
        <v>0</v>
      </c>
      <c r="H1467" s="62">
        <f>Ringkasan!H1211</f>
        <v>48.2</v>
      </c>
      <c r="I1467" s="62">
        <f>Ringkasan!I1211</f>
        <v>7.7</v>
      </c>
      <c r="J1467" s="62">
        <f>Ringkasan!J1211</f>
        <v>15.9</v>
      </c>
      <c r="K1467" s="62">
        <f>Ringkasan!K1211</f>
        <v>4.6</v>
      </c>
      <c r="L1467" s="62">
        <f>Ringkasan!L1211</f>
        <v>2.5</v>
      </c>
      <c r="M1467" s="62">
        <f>Ringkasan!M1211</f>
        <v>47.1</v>
      </c>
      <c r="N1467" s="60" t="str">
        <f>Ringkasan!N1211</f>
        <v/>
      </c>
      <c r="O1467" s="60" t="str">
        <f>Ringkasan!O1211</f>
        <v/>
      </c>
      <c r="P1467" s="60" t="str">
        <f>Ringkasan!P1211</f>
        <v/>
      </c>
      <c r="Q1467" s="60" t="str">
        <f>Ringkasan!Q1211</f>
        <v/>
      </c>
      <c r="R1467" s="60" t="str">
        <f>Ringkasan!R1211</f>
        <v/>
      </c>
      <c r="S1467" s="60" t="str">
        <f>Ringkasan!S1211</f>
        <v/>
      </c>
      <c r="T1467" s="60" t="str">
        <f>Ringkasan!T1211</f>
        <v/>
      </c>
      <c r="U1467" s="60">
        <f>Ringkasan!U1211</f>
        <v>1300</v>
      </c>
      <c r="V1467" s="60">
        <f>Ringkasan!V1211</f>
        <v>0</v>
      </c>
      <c r="W1467" s="60" t="str">
        <f>Ringkasan!W1211</f>
        <v/>
      </c>
      <c r="X1467" s="60" t="str">
        <f>Ringkasan!X1211</f>
        <v/>
      </c>
      <c r="Y1467" s="60" t="str">
        <f>Ringkasan!Y1211</f>
        <v/>
      </c>
      <c r="Z1467" s="60">
        <f>Ringkasan!Z1211</f>
        <v>0</v>
      </c>
      <c r="AA1467" s="60" t="str">
        <f>Ringkasan!AA1211</f>
        <v>Commercial Services</v>
      </c>
      <c r="AB1467" s="60" t="str">
        <f>Ringkasan!AB1211</f>
        <v>Industrials</v>
      </c>
    </row>
    <row r="1468" hidden="1">
      <c r="A1468" s="64" t="str">
        <f>Ringkasan!A1212</f>
        <v>MGLV</v>
      </c>
      <c r="B1468" s="64" t="str">
        <f>Ringkasan!B1212</f>
        <v>Panca Anugrah Wisesa Tbk.</v>
      </c>
      <c r="C1468" s="61">
        <f>Ringkasan!C1212</f>
        <v>8500</v>
      </c>
      <c r="D1468" s="60" t="str">
        <f>Ringkasan!D1212</f>
        <v>#N/A</v>
      </c>
      <c r="E1468" s="60" t="str">
        <f>Ringkasan!E1212</f>
        <v/>
      </c>
      <c r="F1468" s="60" t="str">
        <f>Ringkasan!F1212</f>
        <v/>
      </c>
      <c r="G1468" s="60">
        <f>Ringkasan!G1212</f>
        <v>0</v>
      </c>
      <c r="H1468" s="62">
        <f>Ringkasan!H1212</f>
        <v>-1420</v>
      </c>
      <c r="I1468" s="62">
        <f>Ringkasan!I1212</f>
        <v>100</v>
      </c>
      <c r="J1468" s="62">
        <f>Ringkasan!J1212</f>
        <v>-7</v>
      </c>
      <c r="K1468" s="62">
        <f>Ringkasan!K1212</f>
        <v>-4.8</v>
      </c>
      <c r="L1468" s="62">
        <f>Ringkasan!L1212</f>
        <v>0.47</v>
      </c>
      <c r="M1468" s="62">
        <f>Ringkasan!M1212</f>
        <v>-7.1</v>
      </c>
      <c r="N1468" s="60" t="str">
        <f>Ringkasan!N1212</f>
        <v/>
      </c>
      <c r="O1468" s="60" t="str">
        <f>Ringkasan!O1212</f>
        <v/>
      </c>
      <c r="P1468" s="60" t="str">
        <f>Ringkasan!P1212</f>
        <v/>
      </c>
      <c r="Q1468" s="60" t="str">
        <f>Ringkasan!Q1212</f>
        <v/>
      </c>
      <c r="R1468" s="60" t="str">
        <f>Ringkasan!R1212</f>
        <v/>
      </c>
      <c r="S1468" s="60" t="str">
        <f>Ringkasan!S1212</f>
        <v/>
      </c>
      <c r="T1468" s="60" t="str">
        <f>Ringkasan!T1212</f>
        <v/>
      </c>
      <c r="U1468" s="60">
        <f>Ringkasan!U1212</f>
        <v>8350</v>
      </c>
      <c r="V1468" s="60">
        <f>Ringkasan!V1212</f>
        <v>1.8</v>
      </c>
      <c r="W1468" s="60">
        <f>Ringkasan!W1212</f>
        <v>8100</v>
      </c>
      <c r="X1468" s="60">
        <f>Ringkasan!X1212</f>
        <v>8600</v>
      </c>
      <c r="Y1468" s="60">
        <f>Ringkasan!Y1212</f>
        <v>8100</v>
      </c>
      <c r="Z1468" s="60">
        <f>Ringkasan!Z1212</f>
        <v>132400</v>
      </c>
      <c r="AA1468" s="60" t="str">
        <f>Ringkasan!AA1212</f>
        <v>Household Goods</v>
      </c>
      <c r="AB1468" s="64" t="str">
        <f>Ringkasan!AB1212</f>
        <v>Consumer Cyclicals</v>
      </c>
    </row>
    <row r="1469" hidden="1">
      <c r="A1469" s="64" t="str">
        <f>Ringkasan!A1213</f>
        <v>MGNA</v>
      </c>
      <c r="B1469" s="64" t="str">
        <f>Ringkasan!B1213</f>
        <v>PT Magna Investama Mandiri Tbk</v>
      </c>
      <c r="C1469" s="61">
        <f>Ringkasan!C1213</f>
        <v>77</v>
      </c>
      <c r="D1469" s="60" t="str">
        <f>Ringkasan!D1213</f>
        <v>#N/A</v>
      </c>
      <c r="E1469" s="60" t="str">
        <f>Ringkasan!E1213</f>
        <v/>
      </c>
      <c r="F1469" s="60" t="str">
        <f>Ringkasan!F1213</f>
        <v/>
      </c>
      <c r="G1469" s="60">
        <f>Ringkasan!G1213</f>
        <v>0</v>
      </c>
      <c r="H1469" s="62">
        <f>Ringkasan!H1213</f>
        <v>240</v>
      </c>
      <c r="I1469" s="62">
        <f>Ringkasan!I1213</f>
        <v>8.2</v>
      </c>
      <c r="J1469" s="62">
        <f>Ringkasan!J1213</f>
        <v>3.5</v>
      </c>
      <c r="K1469" s="62">
        <f>Ringkasan!K1213</f>
        <v>1.2</v>
      </c>
      <c r="L1469" s="62">
        <f>Ringkasan!L1213</f>
        <v>2</v>
      </c>
      <c r="M1469" s="62">
        <f>Ringkasan!M1213</f>
        <v>2.9</v>
      </c>
      <c r="N1469" s="60" t="str">
        <f>Ringkasan!N1213</f>
        <v/>
      </c>
      <c r="O1469" s="60" t="str">
        <f>Ringkasan!O1213</f>
        <v/>
      </c>
      <c r="P1469" s="60" t="str">
        <f>Ringkasan!P1213</f>
        <v/>
      </c>
      <c r="Q1469" s="60" t="str">
        <f>Ringkasan!Q1213</f>
        <v/>
      </c>
      <c r="R1469" s="60" t="str">
        <f>Ringkasan!R1213</f>
        <v/>
      </c>
      <c r="S1469" s="60" t="str">
        <f>Ringkasan!S1213</f>
        <v/>
      </c>
      <c r="T1469" s="60" t="str">
        <f>Ringkasan!T1213</f>
        <v/>
      </c>
      <c r="U1469" s="60">
        <f>Ringkasan!U1213</f>
        <v>73</v>
      </c>
      <c r="V1469" s="60">
        <f>Ringkasan!V1213</f>
        <v>5.48</v>
      </c>
      <c r="W1469" s="60">
        <f>Ringkasan!W1213</f>
        <v>73</v>
      </c>
      <c r="X1469" s="60">
        <f>Ringkasan!X1213</f>
        <v>79</v>
      </c>
      <c r="Y1469" s="60">
        <f>Ringkasan!Y1213</f>
        <v>73</v>
      </c>
      <c r="Z1469" s="60">
        <f>Ringkasan!Z1213</f>
        <v>920500</v>
      </c>
      <c r="AA1469" s="60" t="str">
        <f>Ringkasan!AA1213</f>
        <v>Holding &amp; Investment Companies</v>
      </c>
      <c r="AB1469" s="64" t="str">
        <f>Ringkasan!AB1213</f>
        <v>Financials</v>
      </c>
    </row>
    <row r="1470" hidden="1">
      <c r="A1470" s="64" t="str">
        <f>Ringkasan!A1214</f>
        <v>MGRO</v>
      </c>
      <c r="B1470" s="64" t="str">
        <f>Ringkasan!B1214</f>
        <v>Mahkota Group Tbk.</v>
      </c>
      <c r="C1470" s="61">
        <f>Ringkasan!C1214</f>
        <v>685</v>
      </c>
      <c r="D1470" s="60" t="str">
        <f>Ringkasan!D1214</f>
        <v>#N/A</v>
      </c>
      <c r="E1470" s="60" t="str">
        <f>Ringkasan!E1214</f>
        <v/>
      </c>
      <c r="F1470" s="60" t="str">
        <f>Ringkasan!F1214</f>
        <v/>
      </c>
      <c r="G1470" s="60">
        <f>Ringkasan!G1214</f>
        <v>0</v>
      </c>
      <c r="H1470" s="62">
        <f>Ringkasan!H1214</f>
        <v>-47.3</v>
      </c>
      <c r="I1470" s="62">
        <f>Ringkasan!I1214</f>
        <v>5.8</v>
      </c>
      <c r="J1470" s="62">
        <f>Ringkasan!J1214</f>
        <v>-12.2</v>
      </c>
      <c r="K1470" s="62">
        <f>Ringkasan!K1214</f>
        <v>-1.8</v>
      </c>
      <c r="L1470" s="62">
        <f>Ringkasan!L1214</f>
        <v>5.8</v>
      </c>
      <c r="M1470" s="62">
        <f>Ringkasan!M1214</f>
        <v>-3.1</v>
      </c>
      <c r="N1470" s="60" t="str">
        <f>Ringkasan!N1214</f>
        <v/>
      </c>
      <c r="O1470" s="60" t="str">
        <f>Ringkasan!O1214</f>
        <v/>
      </c>
      <c r="P1470" s="60" t="str">
        <f>Ringkasan!P1214</f>
        <v/>
      </c>
      <c r="Q1470" s="60" t="str">
        <f>Ringkasan!Q1214</f>
        <v/>
      </c>
      <c r="R1470" s="60" t="str">
        <f>Ringkasan!R1214</f>
        <v/>
      </c>
      <c r="S1470" s="60" t="str">
        <f>Ringkasan!S1214</f>
        <v/>
      </c>
      <c r="T1470" s="60" t="str">
        <f>Ringkasan!T1214</f>
        <v/>
      </c>
      <c r="U1470" s="60">
        <f>Ringkasan!U1214</f>
        <v>0.49</v>
      </c>
      <c r="V1470" s="60">
        <f>Ringkasan!V1214</f>
        <v>1.03</v>
      </c>
      <c r="W1470" s="60">
        <f>Ringkasan!W1214</f>
        <v>0.49</v>
      </c>
      <c r="X1470" s="60">
        <f>Ringkasan!X1214</f>
        <v>0.49</v>
      </c>
      <c r="Y1470" s="60">
        <f>Ringkasan!Y1214</f>
        <v>0.46</v>
      </c>
      <c r="Z1470" s="60">
        <f>Ringkasan!Z1214</f>
        <v>18814</v>
      </c>
      <c r="AA1470" s="60" t="str">
        <f>Ringkasan!AA1214</f>
        <v>Agricultural Products</v>
      </c>
      <c r="AB1470" s="64" t="str">
        <f>Ringkasan!AB1214</f>
        <v>Consumer Non-Cyclicals</v>
      </c>
    </row>
    <row r="1471" hidden="1">
      <c r="A1471" s="64" t="str">
        <f>Ringkasan!A1215</f>
        <v>MHKI</v>
      </c>
      <c r="B1471" s="64" t="str">
        <f>Ringkasan!B1215</f>
        <v>Multi Hanna Kreasindo Tbk.</v>
      </c>
      <c r="C1471" s="61">
        <f>Ringkasan!C1215</f>
        <v>121</v>
      </c>
      <c r="D1471" s="60" t="str">
        <f>Ringkasan!D1215</f>
        <v>#N/A</v>
      </c>
      <c r="E1471" s="60" t="str">
        <f>Ringkasan!E1215</f>
        <v/>
      </c>
      <c r="F1471" s="60" t="str">
        <f>Ringkasan!F1215</f>
        <v/>
      </c>
      <c r="G1471" s="60">
        <f>Ringkasan!G1215</f>
        <v>0</v>
      </c>
      <c r="H1471" s="62">
        <f>Ringkasan!H1215</f>
        <v>15</v>
      </c>
      <c r="I1471" s="62">
        <f>Ringkasan!I1215</f>
        <v>1</v>
      </c>
      <c r="J1471" s="62">
        <f>Ringkasan!J1215</f>
        <v>6.7</v>
      </c>
      <c r="K1471" s="62">
        <f>Ringkasan!K1215</f>
        <v>6.4</v>
      </c>
      <c r="L1471" s="62">
        <f>Ringkasan!L1215</f>
        <v>0.05</v>
      </c>
      <c r="M1471" s="62">
        <f>Ringkasan!M1215</f>
        <v>93.6</v>
      </c>
      <c r="N1471" s="60" t="str">
        <f>Ringkasan!N1215</f>
        <v/>
      </c>
      <c r="O1471" s="60" t="str">
        <f>Ringkasan!O1215</f>
        <v/>
      </c>
      <c r="P1471" s="60" t="str">
        <f>Ringkasan!P1215</f>
        <v/>
      </c>
      <c r="Q1471" s="60" t="str">
        <f>Ringkasan!Q1215</f>
        <v/>
      </c>
      <c r="R1471" s="60" t="str">
        <f>Ringkasan!R1215</f>
        <v/>
      </c>
      <c r="S1471" s="60" t="str">
        <f>Ringkasan!S1215</f>
        <v/>
      </c>
      <c r="T1471" s="60" t="str">
        <f>Ringkasan!T1215</f>
        <v/>
      </c>
      <c r="U1471" s="60" t="str">
        <f>Ringkasan!U1215</f>
        <v/>
      </c>
      <c r="V1471" s="60">
        <f>Ringkasan!V1215</f>
        <v>1.68</v>
      </c>
      <c r="W1471" s="60">
        <f>Ringkasan!W1215</f>
        <v>119</v>
      </c>
      <c r="X1471" s="60">
        <f>Ringkasan!X1215</f>
        <v>128</v>
      </c>
      <c r="Y1471" s="60">
        <f>Ringkasan!Y1215</f>
        <v>119</v>
      </c>
      <c r="Z1471" s="60">
        <f>Ringkasan!Z1215</f>
        <v>6067000</v>
      </c>
      <c r="AA1471" s="60" t="str">
        <f>Ringkasan!AA1215</f>
        <v>Commercial Services</v>
      </c>
      <c r="AB1471" s="64" t="str">
        <f>Ringkasan!AB1215</f>
        <v>Industrials</v>
      </c>
    </row>
    <row r="1472" hidden="1">
      <c r="A1472" s="64" t="str">
        <f>Ringkasan!A1216</f>
        <v>MICE</v>
      </c>
      <c r="B1472" s="64" t="str">
        <f>Ringkasan!B1216</f>
        <v>Multi Indocitra Tbk</v>
      </c>
      <c r="C1472" s="61">
        <f>Ringkasan!C1216</f>
        <v>498</v>
      </c>
      <c r="D1472" s="60" t="str">
        <f>Ringkasan!D1216</f>
        <v>#N/A</v>
      </c>
      <c r="E1472" s="60" t="str">
        <f>Ringkasan!E1216</f>
        <v/>
      </c>
      <c r="F1472" s="60" t="str">
        <f>Ringkasan!F1216</f>
        <v/>
      </c>
      <c r="G1472" s="60">
        <f>Ringkasan!G1216</f>
        <v>0</v>
      </c>
      <c r="H1472" s="62">
        <f>Ringkasan!H1216</f>
        <v>7.5</v>
      </c>
      <c r="I1472" s="62">
        <f>Ringkasan!I1216</f>
        <v>0.31</v>
      </c>
      <c r="J1472" s="62">
        <f>Ringkasan!J1216</f>
        <v>4.2</v>
      </c>
      <c r="K1472" s="62">
        <f>Ringkasan!K1216</f>
        <v>2.7</v>
      </c>
      <c r="L1472" s="62">
        <f>Ringkasan!L1216</f>
        <v>0.53</v>
      </c>
      <c r="M1472" s="62">
        <f>Ringkasan!M1216</f>
        <v>12.3</v>
      </c>
      <c r="N1472" s="60" t="str">
        <f>Ringkasan!N1216</f>
        <v/>
      </c>
      <c r="O1472" s="60" t="str">
        <f>Ringkasan!O1216</f>
        <v/>
      </c>
      <c r="P1472" s="60" t="str">
        <f>Ringkasan!P1216</f>
        <v/>
      </c>
      <c r="Q1472" s="60" t="str">
        <f>Ringkasan!Q1216</f>
        <v/>
      </c>
      <c r="R1472" s="60" t="str">
        <f>Ringkasan!R1216</f>
        <v/>
      </c>
      <c r="S1472" s="60" t="str">
        <f>Ringkasan!S1216</f>
        <v/>
      </c>
      <c r="T1472" s="60" t="str">
        <f>Ringkasan!T1216</f>
        <v/>
      </c>
      <c r="U1472" s="60">
        <f>Ringkasan!U1216</f>
        <v>498</v>
      </c>
      <c r="V1472" s="60">
        <f>Ringkasan!V1216</f>
        <v>0</v>
      </c>
      <c r="W1472" s="60">
        <f>Ringkasan!W1216</f>
        <v>496</v>
      </c>
      <c r="X1472" s="60">
        <f>Ringkasan!X1216</f>
        <v>498</v>
      </c>
      <c r="Y1472" s="60">
        <f>Ringkasan!Y1216</f>
        <v>496</v>
      </c>
      <c r="Z1472" s="60">
        <f>Ringkasan!Z1216</f>
        <v>1800</v>
      </c>
      <c r="AA1472" s="60" t="str">
        <f>Ringkasan!AA1216</f>
        <v>Household Goods</v>
      </c>
      <c r="AB1472" s="64" t="str">
        <f>Ringkasan!AB1216</f>
        <v>Consumer Cyclicals</v>
      </c>
    </row>
    <row r="1473" hidden="1">
      <c r="A1473" s="60" t="str">
        <f>Ringkasan!A632</f>
        <v>DUCK</v>
      </c>
      <c r="B1473" s="60" t="str">
        <f>Ringkasan!B632</f>
        <v>Jaya Bersama Indo Tbk.</v>
      </c>
      <c r="C1473" s="61">
        <f>Ringkasan!C632</f>
        <v>176</v>
      </c>
      <c r="D1473" s="60" t="str">
        <f>Ringkasan!D632</f>
        <v>#N/A</v>
      </c>
      <c r="E1473" s="60" t="str">
        <f>Ringkasan!E632</f>
        <v/>
      </c>
      <c r="F1473" s="60" t="str">
        <f>Ringkasan!F632</f>
        <v/>
      </c>
      <c r="G1473" s="60">
        <f>Ringkasan!G632</f>
        <v>0</v>
      </c>
      <c r="H1473" s="62">
        <f>Ringkasan!H632</f>
        <v>0</v>
      </c>
      <c r="I1473" s="62">
        <f>Ringkasan!I632</f>
        <v>0.24</v>
      </c>
      <c r="J1473" s="62">
        <f>Ringkasan!J632</f>
        <v>4.5</v>
      </c>
      <c r="K1473" s="62">
        <f>Ringkasan!K632</f>
        <v>3.1</v>
      </c>
      <c r="L1473" s="62">
        <f>Ringkasan!L632</f>
        <v>0.46</v>
      </c>
      <c r="M1473" s="62">
        <f>Ringkasan!M632</f>
        <v>22.9</v>
      </c>
      <c r="N1473" s="60" t="str">
        <f>Ringkasan!N632</f>
        <v/>
      </c>
      <c r="O1473" s="60" t="str">
        <f>Ringkasan!O632</f>
        <v/>
      </c>
      <c r="P1473" s="60" t="str">
        <f>Ringkasan!P632</f>
        <v/>
      </c>
      <c r="Q1473" s="60" t="str">
        <f>Ringkasan!Q632</f>
        <v/>
      </c>
      <c r="R1473" s="60" t="str">
        <f>Ringkasan!R632</f>
        <v/>
      </c>
      <c r="S1473" s="60" t="str">
        <f>Ringkasan!S632</f>
        <v/>
      </c>
      <c r="T1473" s="60" t="str">
        <f>Ringkasan!T632</f>
        <v/>
      </c>
      <c r="U1473" s="60">
        <f>Ringkasan!U632</f>
        <v>176</v>
      </c>
      <c r="V1473" s="60">
        <f>Ringkasan!V632</f>
        <v>0</v>
      </c>
      <c r="W1473" s="60" t="str">
        <f>Ringkasan!W632</f>
        <v/>
      </c>
      <c r="X1473" s="60" t="str">
        <f>Ringkasan!X632</f>
        <v/>
      </c>
      <c r="Y1473" s="60" t="str">
        <f>Ringkasan!Y632</f>
        <v/>
      </c>
      <c r="Z1473" s="60">
        <f>Ringkasan!Z632</f>
        <v>0</v>
      </c>
      <c r="AA1473" s="60" t="str">
        <f>Ringkasan!AA632</f>
        <v>Tourism &amp; Recreation</v>
      </c>
      <c r="AB1473" s="60" t="str">
        <f>Ringkasan!AB632</f>
        <v>Consumer Cyclicals</v>
      </c>
    </row>
    <row r="1474" hidden="1">
      <c r="A1474" s="60" t="str">
        <f>Ringkasan!A633</f>
        <v>DUTI</v>
      </c>
      <c r="B1474" s="60" t="str">
        <f>Ringkasan!B633</f>
        <v>Duta Pertiwi Tbk</v>
      </c>
      <c r="C1474" s="61">
        <f>Ringkasan!C633</f>
        <v>4000</v>
      </c>
      <c r="D1474" s="60" t="str">
        <f>Ringkasan!D633</f>
        <v>#N/A</v>
      </c>
      <c r="E1474" s="60" t="str">
        <f>Ringkasan!E633</f>
        <v/>
      </c>
      <c r="F1474" s="60" t="str">
        <f>Ringkasan!F633</f>
        <v/>
      </c>
      <c r="G1474" s="60">
        <f>Ringkasan!G633</f>
        <v>0</v>
      </c>
      <c r="H1474" s="62">
        <f>Ringkasan!H633</f>
        <v>18</v>
      </c>
      <c r="I1474" s="62">
        <f>Ringkasan!I633</f>
        <v>0.55</v>
      </c>
      <c r="J1474" s="62">
        <f>Ringkasan!J633</f>
        <v>3.1</v>
      </c>
      <c r="K1474" s="62">
        <f>Ringkasan!K633</f>
        <v>2.6</v>
      </c>
      <c r="L1474" s="62">
        <f>Ringkasan!L633</f>
        <v>0.18</v>
      </c>
      <c r="M1474" s="62">
        <f>Ringkasan!M633</f>
        <v>15.4</v>
      </c>
      <c r="N1474" s="60" t="str">
        <f>Ringkasan!N633</f>
        <v/>
      </c>
      <c r="O1474" s="60" t="str">
        <f>Ringkasan!O633</f>
        <v/>
      </c>
      <c r="P1474" s="60" t="str">
        <f>Ringkasan!P633</f>
        <v/>
      </c>
      <c r="Q1474" s="60" t="str">
        <f>Ringkasan!Q633</f>
        <v/>
      </c>
      <c r="R1474" s="60" t="str">
        <f>Ringkasan!R633</f>
        <v/>
      </c>
      <c r="S1474" s="60" t="str">
        <f>Ringkasan!S633</f>
        <v/>
      </c>
      <c r="T1474" s="60" t="str">
        <f>Ringkasan!T633</f>
        <v/>
      </c>
      <c r="U1474" s="60">
        <f>Ringkasan!U633</f>
        <v>4000</v>
      </c>
      <c r="V1474" s="60">
        <f>Ringkasan!V633</f>
        <v>0</v>
      </c>
      <c r="W1474" s="60" t="str">
        <f>Ringkasan!W633</f>
        <v/>
      </c>
      <c r="X1474" s="60" t="str">
        <f>Ringkasan!X633</f>
        <v/>
      </c>
      <c r="Y1474" s="60" t="str">
        <f>Ringkasan!Y633</f>
        <v/>
      </c>
      <c r="Z1474" s="60">
        <f>Ringkasan!Z633</f>
        <v>0</v>
      </c>
      <c r="AA1474" s="60" t="str">
        <f>Ringkasan!AA633</f>
        <v>Real Estate Management &amp; Development</v>
      </c>
      <c r="AB1474" s="60" t="str">
        <f>Ringkasan!AB633</f>
        <v>Properties &amp; Real Estate</v>
      </c>
    </row>
    <row r="1475" hidden="1">
      <c r="A1475" s="64" t="str">
        <f>Ringkasan!A1303</f>
        <v>NETV</v>
      </c>
      <c r="B1475" s="64" t="str">
        <f>Ringkasan!B1303</f>
        <v>MDTV Media Technologies Tbk.</v>
      </c>
      <c r="C1475" s="61">
        <f>Ringkasan!C1303</f>
        <v>55</v>
      </c>
      <c r="D1475" s="60" t="str">
        <f>Ringkasan!D1303</f>
        <v>#N/A</v>
      </c>
      <c r="E1475" s="60" t="str">
        <f>Ringkasan!E1303</f>
        <v/>
      </c>
      <c r="F1475" s="60" t="str">
        <f>Ringkasan!F1303</f>
        <v/>
      </c>
      <c r="G1475" s="60">
        <f>Ringkasan!G1303</f>
        <v>0</v>
      </c>
      <c r="H1475" s="62">
        <f>Ringkasan!H1303</f>
        <v>-10.6</v>
      </c>
      <c r="I1475" s="62">
        <f>Ringkasan!I1303</f>
        <v>7.5</v>
      </c>
      <c r="J1475" s="62">
        <f>Ringkasan!J1303</f>
        <v>-71</v>
      </c>
      <c r="K1475" s="62">
        <f>Ringkasan!K1303</f>
        <v>-30.6</v>
      </c>
      <c r="L1475" s="62">
        <f>Ringkasan!L1303</f>
        <v>1.3</v>
      </c>
      <c r="M1475" s="62">
        <f>Ringkasan!M1303</f>
        <v>-980</v>
      </c>
      <c r="N1475" s="60" t="str">
        <f>Ringkasan!N1303</f>
        <v/>
      </c>
      <c r="O1475" s="60" t="str">
        <f>Ringkasan!O1303</f>
        <v/>
      </c>
      <c r="P1475" s="60" t="str">
        <f>Ringkasan!P1303</f>
        <v/>
      </c>
      <c r="Q1475" s="60" t="str">
        <f>Ringkasan!Q1303</f>
        <v/>
      </c>
      <c r="R1475" s="60" t="str">
        <f>Ringkasan!R1303</f>
        <v/>
      </c>
      <c r="S1475" s="60" t="str">
        <f>Ringkasan!S1303</f>
        <v/>
      </c>
      <c r="T1475" s="60" t="str">
        <f>Ringkasan!T1303</f>
        <v/>
      </c>
      <c r="U1475" s="60">
        <f>Ringkasan!U1303</f>
        <v>54</v>
      </c>
      <c r="V1475" s="60">
        <f>Ringkasan!V1303</f>
        <v>1.85</v>
      </c>
      <c r="W1475" s="60">
        <f>Ringkasan!W1303</f>
        <v>53</v>
      </c>
      <c r="X1475" s="60">
        <f>Ringkasan!X1303</f>
        <v>58</v>
      </c>
      <c r="Y1475" s="60">
        <f>Ringkasan!Y1303</f>
        <v>53</v>
      </c>
      <c r="Z1475" s="60">
        <f>Ringkasan!Z1303</f>
        <v>37046000</v>
      </c>
      <c r="AA1475" s="60" t="str">
        <f>Ringkasan!AA1303</f>
        <v>Media</v>
      </c>
      <c r="AB1475" s="60" t="str">
        <f>Ringkasan!AB1303</f>
        <v>Consumer Cyclicals</v>
      </c>
    </row>
    <row r="1476" hidden="1">
      <c r="A1476" s="64" t="str">
        <f>Ringkasan!A1304</f>
        <v>NFCX</v>
      </c>
      <c r="B1476" s="64" t="str">
        <f>Ringkasan!B1304</f>
        <v>NFC Indonesia Tbk.</v>
      </c>
      <c r="C1476" s="61">
        <f>Ringkasan!C1304</f>
        <v>1685</v>
      </c>
      <c r="D1476" s="60" t="str">
        <f>Ringkasan!D1304</f>
        <v>#N/A</v>
      </c>
      <c r="E1476" s="60" t="str">
        <f>Ringkasan!E1304</f>
        <v/>
      </c>
      <c r="F1476" s="60" t="str">
        <f>Ringkasan!F1304</f>
        <v/>
      </c>
      <c r="G1476" s="60">
        <f>Ringkasan!G1304</f>
        <v>0</v>
      </c>
      <c r="H1476" s="62">
        <f>Ringkasan!H1304</f>
        <v>-1790</v>
      </c>
      <c r="I1476" s="62">
        <f>Ringkasan!I1304</f>
        <v>1.6</v>
      </c>
      <c r="J1476" s="62">
        <f>Ringkasan!J1304</f>
        <v>-0.09</v>
      </c>
      <c r="K1476" s="62">
        <f>Ringkasan!K1304</f>
        <v>-0.04</v>
      </c>
      <c r="L1476" s="62">
        <f>Ringkasan!L1304</f>
        <v>0.93</v>
      </c>
      <c r="M1476" s="62">
        <f>Ringkasan!M1304</f>
        <v>-0.09</v>
      </c>
      <c r="N1476" s="60" t="str">
        <f>Ringkasan!N1304</f>
        <v/>
      </c>
      <c r="O1476" s="60" t="str">
        <f>Ringkasan!O1304</f>
        <v/>
      </c>
      <c r="P1476" s="60" t="str">
        <f>Ringkasan!P1304</f>
        <v/>
      </c>
      <c r="Q1476" s="60" t="str">
        <f>Ringkasan!Q1304</f>
        <v/>
      </c>
      <c r="R1476" s="60" t="str">
        <f>Ringkasan!R1304</f>
        <v/>
      </c>
      <c r="S1476" s="60" t="str">
        <f>Ringkasan!S1304</f>
        <v/>
      </c>
      <c r="T1476" s="60" t="str">
        <f>Ringkasan!T1304</f>
        <v/>
      </c>
      <c r="U1476" s="60">
        <f>Ringkasan!U1304</f>
        <v>1685</v>
      </c>
      <c r="V1476" s="60">
        <f>Ringkasan!V1304</f>
        <v>0</v>
      </c>
      <c r="W1476" s="60">
        <f>Ringkasan!W1304</f>
        <v>1585</v>
      </c>
      <c r="X1476" s="60">
        <f>Ringkasan!X1304</f>
        <v>1685</v>
      </c>
      <c r="Y1476" s="60">
        <f>Ringkasan!Y1304</f>
        <v>1585</v>
      </c>
      <c r="Z1476" s="60">
        <f>Ringkasan!Z1304</f>
        <v>14000</v>
      </c>
      <c r="AA1476" s="60" t="str">
        <f>Ringkasan!AA1304</f>
        <v>Online Applications &amp; Services</v>
      </c>
      <c r="AB1476" s="60" t="str">
        <f>Ringkasan!AB1304</f>
        <v>Technology</v>
      </c>
    </row>
    <row r="1477" hidden="1">
      <c r="A1477" s="64" t="str">
        <f>Ringkasan!A1305</f>
        <v>NICE</v>
      </c>
      <c r="B1477" s="64" t="str">
        <f>Ringkasan!B1305</f>
        <v>Adhi Kartiko Pratama Tbk.</v>
      </c>
      <c r="C1477" s="61">
        <f>Ringkasan!C1305</f>
        <v>274</v>
      </c>
      <c r="D1477" s="60" t="str">
        <f>Ringkasan!D1305</f>
        <v>#N/A</v>
      </c>
      <c r="E1477" s="60" t="str">
        <f>Ringkasan!E1305</f>
        <v/>
      </c>
      <c r="F1477" s="60" t="str">
        <f>Ringkasan!F1305</f>
        <v/>
      </c>
      <c r="G1477" s="60">
        <f>Ringkasan!G1305</f>
        <v>0</v>
      </c>
      <c r="H1477" s="62">
        <f>Ringkasan!H1305</f>
        <v>-90.7</v>
      </c>
      <c r="I1477" s="62">
        <f>Ringkasan!I1305</f>
        <v>8.3</v>
      </c>
      <c r="J1477" s="62">
        <f>Ringkasan!J1305</f>
        <v>-9.1</v>
      </c>
      <c r="K1477" s="62">
        <f>Ringkasan!K1305</f>
        <v>-2.4</v>
      </c>
      <c r="L1477" s="62">
        <f>Ringkasan!L1305</f>
        <v>2.9</v>
      </c>
      <c r="M1477" s="62">
        <f>Ringkasan!M1305</f>
        <v>-5</v>
      </c>
      <c r="N1477" s="60" t="str">
        <f>Ringkasan!N1305</f>
        <v/>
      </c>
      <c r="O1477" s="60" t="str">
        <f>Ringkasan!O1305</f>
        <v/>
      </c>
      <c r="P1477" s="60" t="str">
        <f>Ringkasan!P1305</f>
        <v/>
      </c>
      <c r="Q1477" s="60" t="str">
        <f>Ringkasan!Q1305</f>
        <v/>
      </c>
      <c r="R1477" s="60" t="str">
        <f>Ringkasan!R1305</f>
        <v/>
      </c>
      <c r="S1477" s="60" t="str">
        <f>Ringkasan!S1305</f>
        <v/>
      </c>
      <c r="T1477" s="60" t="str">
        <f>Ringkasan!T1305</f>
        <v/>
      </c>
      <c r="U1477" s="60">
        <f>Ringkasan!U1305</f>
        <v>88.08</v>
      </c>
      <c r="V1477" s="60">
        <f>Ringkasan!V1305</f>
        <v>0.72</v>
      </c>
      <c r="W1477" s="60">
        <f>Ringkasan!W1305</f>
        <v>87.24</v>
      </c>
      <c r="X1477" s="60">
        <f>Ringkasan!X1305</f>
        <v>88.97</v>
      </c>
      <c r="Y1477" s="60">
        <f>Ringkasan!Y1305</f>
        <v>85.8</v>
      </c>
      <c r="Z1477" s="60">
        <f>Ringkasan!Z1305</f>
        <v>735364</v>
      </c>
      <c r="AA1477" s="60" t="str">
        <f>Ringkasan!AA1305</f>
        <v>Metals &amp; Minerals</v>
      </c>
      <c r="AB1477" s="60" t="str">
        <f>Ringkasan!AB1305</f>
        <v>Basic Materials</v>
      </c>
    </row>
    <row r="1478" hidden="1">
      <c r="A1478" s="64" t="str">
        <f>Ringkasan!A1306</f>
        <v>NICK</v>
      </c>
      <c r="B1478" s="64" t="str">
        <f>Ringkasan!B1306</f>
        <v>Charnic Capital Tbk.</v>
      </c>
      <c r="C1478" s="61">
        <f>Ringkasan!C1306</f>
        <v>1040</v>
      </c>
      <c r="D1478" s="60" t="str">
        <f>Ringkasan!D1306</f>
        <v>#N/A</v>
      </c>
      <c r="E1478" s="60" t="str">
        <f>Ringkasan!E1306</f>
        <v/>
      </c>
      <c r="F1478" s="60" t="str">
        <f>Ringkasan!F1306</f>
        <v/>
      </c>
      <c r="G1478" s="61">
        <f>Ringkasan!G1306</f>
        <v>0</v>
      </c>
      <c r="H1478" s="62">
        <f>Ringkasan!H1306</f>
        <v>8</v>
      </c>
      <c r="I1478" s="62">
        <f>Ringkasan!I1306</f>
        <v>2.4</v>
      </c>
      <c r="J1478" s="62">
        <f>Ringkasan!J1306</f>
        <v>29.5</v>
      </c>
      <c r="K1478" s="62">
        <f>Ringkasan!K1306</f>
        <v>29.1</v>
      </c>
      <c r="L1478" s="62">
        <f>Ringkasan!L1306</f>
        <v>0.01</v>
      </c>
      <c r="M1478" s="62">
        <f>Ringkasan!M1306</f>
        <v>0</v>
      </c>
      <c r="N1478" s="60" t="str">
        <f>Ringkasan!N1306</f>
        <v/>
      </c>
      <c r="O1478" s="60" t="str">
        <f>Ringkasan!O1306</f>
        <v/>
      </c>
      <c r="P1478" s="60" t="str">
        <f>Ringkasan!P1306</f>
        <v/>
      </c>
      <c r="Q1478" s="60" t="str">
        <f>Ringkasan!Q1306</f>
        <v/>
      </c>
      <c r="R1478" s="60" t="str">
        <f>Ringkasan!R1306</f>
        <v/>
      </c>
      <c r="S1478" s="60" t="str">
        <f>Ringkasan!S1306</f>
        <v/>
      </c>
      <c r="T1478" s="60" t="str">
        <f>Ringkasan!T1306</f>
        <v/>
      </c>
      <c r="U1478" s="60">
        <f>Ringkasan!U1306</f>
        <v>1020</v>
      </c>
      <c r="V1478" s="60">
        <f>Ringkasan!V1306</f>
        <v>1.96</v>
      </c>
      <c r="W1478" s="60">
        <f>Ringkasan!W1306</f>
        <v>1070</v>
      </c>
      <c r="X1478" s="60" t="str">
        <f>Ringkasan!X1306</f>
        <v/>
      </c>
      <c r="Y1478" s="60">
        <f>Ringkasan!Y1306</f>
        <v>1040</v>
      </c>
      <c r="Z1478" s="60">
        <f>Ringkasan!Z1306</f>
        <v>200</v>
      </c>
      <c r="AA1478" s="60" t="str">
        <f>Ringkasan!AA1306</f>
        <v>Holding &amp; Investment Companies</v>
      </c>
      <c r="AB1478" s="64" t="str">
        <f>Ringkasan!AB1306</f>
        <v>Financials</v>
      </c>
    </row>
    <row r="1479">
      <c r="A1479" s="60" t="str">
        <f>Ringkasan!A1442</f>
        <v>PTBA</v>
      </c>
      <c r="B1479" s="60" t="str">
        <f>Ringkasan!B1442</f>
        <v>Bukit Asam (Persero) Tbk.</v>
      </c>
      <c r="C1479" s="61">
        <f>Ringkasan!C1442</f>
        <v>2620</v>
      </c>
      <c r="D1479" s="60" t="str">
        <f>Ringkasan!D1442</f>
        <v>#N/A</v>
      </c>
      <c r="E1479" s="60" t="str">
        <f>Ringkasan!E1442</f>
        <v>IDX80</v>
      </c>
      <c r="F1479" s="60" t="str">
        <f>Ringkasan!F1442</f>
        <v>31 Juli 2026</v>
      </c>
      <c r="G1479" s="61">
        <f>Ringkasan!G1442</f>
        <v>18</v>
      </c>
      <c r="H1479" s="62">
        <f>Ringkasan!H1442</f>
        <v>9.6</v>
      </c>
      <c r="I1479" s="62">
        <f>Ringkasan!I1442</f>
        <v>1.4</v>
      </c>
      <c r="J1479" s="62">
        <f>Ringkasan!J1442</f>
        <v>14.1</v>
      </c>
      <c r="K1479" s="62">
        <f>Ringkasan!K1442</f>
        <v>7.7</v>
      </c>
      <c r="L1479" s="62">
        <f>Ringkasan!L1442</f>
        <v>0.83</v>
      </c>
      <c r="M1479" s="62">
        <f>Ringkasan!M1442</f>
        <v>33.6</v>
      </c>
      <c r="N1479" s="60" t="str">
        <f>Ringkasan!N1442</f>
        <v/>
      </c>
      <c r="O1479" s="60" t="str">
        <f>Ringkasan!O1442</f>
        <v/>
      </c>
      <c r="P1479" s="60" t="str">
        <f>Ringkasan!P1442</f>
        <v/>
      </c>
      <c r="Q1479" s="60" t="str">
        <f>Ringkasan!Q1442</f>
        <v/>
      </c>
      <c r="R1479" s="60" t="str">
        <f>Ringkasan!R1442</f>
        <v/>
      </c>
      <c r="S1479" s="60" t="str">
        <f>Ringkasan!S1442</f>
        <v/>
      </c>
      <c r="T1479" s="60" t="str">
        <f>Ringkasan!T1442</f>
        <v/>
      </c>
      <c r="U1479" s="60">
        <f>Ringkasan!U1442</f>
        <v>2630</v>
      </c>
      <c r="V1479" s="60">
        <f>Ringkasan!V1442</f>
        <v>-0.38</v>
      </c>
      <c r="W1479" s="60">
        <f>Ringkasan!W1442</f>
        <v>2600</v>
      </c>
      <c r="X1479" s="60">
        <f>Ringkasan!X1442</f>
        <v>2670</v>
      </c>
      <c r="Y1479" s="60">
        <f>Ringkasan!Y1442</f>
        <v>2550</v>
      </c>
      <c r="Z1479" s="60">
        <f>Ringkasan!Z1442</f>
        <v>46138000</v>
      </c>
      <c r="AA1479" s="60" t="str">
        <f>Ringkasan!AA1442</f>
        <v>Coal</v>
      </c>
      <c r="AB1479" s="60" t="str">
        <f>Ringkasan!AB1442</f>
        <v>Energy</v>
      </c>
    </row>
    <row r="1480">
      <c r="A1480" s="60" t="str">
        <f>Ringkasan!A1443</f>
        <v>PTBA</v>
      </c>
      <c r="B1480" s="60" t="str">
        <f>Ringkasan!B1443</f>
        <v>Bukit Asam (Persero) Tbk.</v>
      </c>
      <c r="C1480" s="61">
        <f>Ringkasan!C1443</f>
        <v>2620</v>
      </c>
      <c r="D1480" s="60" t="str">
        <f>Ringkasan!D1443</f>
        <v>#N/A</v>
      </c>
      <c r="E1480" s="60" t="str">
        <f>Ringkasan!E1443</f>
        <v>IDX30</v>
      </c>
      <c r="F1480" s="60" t="str">
        <f>Ringkasan!F1443</f>
        <v>31 Juli 2026</v>
      </c>
      <c r="G1480" s="61">
        <f>Ringkasan!G1443</f>
        <v>18</v>
      </c>
      <c r="H1480" s="62">
        <f>Ringkasan!H1443</f>
        <v>9.6</v>
      </c>
      <c r="I1480" s="62">
        <f>Ringkasan!I1443</f>
        <v>1.4</v>
      </c>
      <c r="J1480" s="62">
        <f>Ringkasan!J1443</f>
        <v>14.1</v>
      </c>
      <c r="K1480" s="62">
        <f>Ringkasan!K1443</f>
        <v>7.7</v>
      </c>
      <c r="L1480" s="62">
        <f>Ringkasan!L1443</f>
        <v>0.83</v>
      </c>
      <c r="M1480" s="62">
        <f>Ringkasan!M1443</f>
        <v>33.6</v>
      </c>
      <c r="N1480" s="60" t="str">
        <f>Ringkasan!N1443</f>
        <v/>
      </c>
      <c r="O1480" s="60" t="str">
        <f>Ringkasan!O1443</f>
        <v/>
      </c>
      <c r="P1480" s="60" t="str">
        <f>Ringkasan!P1443</f>
        <v/>
      </c>
      <c r="Q1480" s="60" t="str">
        <f>Ringkasan!Q1443</f>
        <v/>
      </c>
      <c r="R1480" s="60" t="str">
        <f>Ringkasan!R1443</f>
        <v/>
      </c>
      <c r="S1480" s="60" t="str">
        <f>Ringkasan!S1443</f>
        <v/>
      </c>
      <c r="T1480" s="60" t="str">
        <f>Ringkasan!T1443</f>
        <v/>
      </c>
      <c r="U1480" s="60">
        <f>Ringkasan!U1443</f>
        <v>2630</v>
      </c>
      <c r="V1480" s="60">
        <f>Ringkasan!V1443</f>
        <v>-0.38</v>
      </c>
      <c r="W1480" s="60">
        <f>Ringkasan!W1443</f>
        <v>2600</v>
      </c>
      <c r="X1480" s="60">
        <f>Ringkasan!X1443</f>
        <v>2670</v>
      </c>
      <c r="Y1480" s="60">
        <f>Ringkasan!Y1443</f>
        <v>2550</v>
      </c>
      <c r="Z1480" s="60">
        <f>Ringkasan!Z1443</f>
        <v>46138000</v>
      </c>
      <c r="AA1480" s="60" t="str">
        <f>Ringkasan!AA1443</f>
        <v>Coal</v>
      </c>
      <c r="AB1480" s="60" t="str">
        <f>Ringkasan!AB1443</f>
        <v>Energy</v>
      </c>
    </row>
    <row r="1481">
      <c r="A1481" s="60" t="str">
        <f>Ringkasan!A1445</f>
        <v>PTBA</v>
      </c>
      <c r="B1481" s="60" t="str">
        <f>Ringkasan!B1445</f>
        <v>Bukit Asam (Persero) Tbk.</v>
      </c>
      <c r="C1481" s="61">
        <f>Ringkasan!C1445</f>
        <v>2620</v>
      </c>
      <c r="D1481" s="60" t="str">
        <f>Ringkasan!D1445</f>
        <v>#N/A</v>
      </c>
      <c r="E1481" s="60" t="str">
        <f>Ringkasan!E1445</f>
        <v>BISNIS-27</v>
      </c>
      <c r="F1481" s="60" t="str">
        <f>Ringkasan!F1445</f>
        <v>30 Oktober 2026</v>
      </c>
      <c r="G1481" s="61">
        <f>Ringkasan!G1445</f>
        <v>18</v>
      </c>
      <c r="H1481" s="62">
        <f>Ringkasan!H1445</f>
        <v>9.6</v>
      </c>
      <c r="I1481" s="62">
        <f>Ringkasan!I1445</f>
        <v>1.4</v>
      </c>
      <c r="J1481" s="62">
        <f>Ringkasan!J1445</f>
        <v>14.1</v>
      </c>
      <c r="K1481" s="62">
        <f>Ringkasan!K1445</f>
        <v>7.7</v>
      </c>
      <c r="L1481" s="62">
        <f>Ringkasan!L1445</f>
        <v>0.83</v>
      </c>
      <c r="M1481" s="62">
        <f>Ringkasan!M1445</f>
        <v>33.6</v>
      </c>
      <c r="N1481" s="60" t="str">
        <f>Ringkasan!N1445</f>
        <v/>
      </c>
      <c r="O1481" s="60" t="str">
        <f>Ringkasan!O1445</f>
        <v/>
      </c>
      <c r="P1481" s="60" t="str">
        <f>Ringkasan!P1445</f>
        <v/>
      </c>
      <c r="Q1481" s="60" t="str">
        <f>Ringkasan!Q1445</f>
        <v/>
      </c>
      <c r="R1481" s="60" t="str">
        <f>Ringkasan!R1445</f>
        <v/>
      </c>
      <c r="S1481" s="60" t="str">
        <f>Ringkasan!S1445</f>
        <v/>
      </c>
      <c r="T1481" s="60" t="str">
        <f>Ringkasan!T1445</f>
        <v/>
      </c>
      <c r="U1481" s="60">
        <f>Ringkasan!U1445</f>
        <v>2630</v>
      </c>
      <c r="V1481" s="60">
        <f>Ringkasan!V1445</f>
        <v>-0.38</v>
      </c>
      <c r="W1481" s="60">
        <f>Ringkasan!W1445</f>
        <v>2600</v>
      </c>
      <c r="X1481" s="60">
        <f>Ringkasan!X1445</f>
        <v>2670</v>
      </c>
      <c r="Y1481" s="60">
        <f>Ringkasan!Y1445</f>
        <v>2550</v>
      </c>
      <c r="Z1481" s="60">
        <f>Ringkasan!Z1445</f>
        <v>46138000</v>
      </c>
      <c r="AA1481" s="60" t="str">
        <f>Ringkasan!AA1445</f>
        <v>Coal</v>
      </c>
      <c r="AB1481" s="60" t="str">
        <f>Ringkasan!AB1445</f>
        <v>Energy</v>
      </c>
    </row>
    <row r="1482" hidden="1">
      <c r="A1482" s="64" t="str">
        <f>Ringkasan!A1307</f>
        <v>NICL</v>
      </c>
      <c r="B1482" s="64" t="str">
        <f>Ringkasan!B1307</f>
        <v>PAM Mineral Tbk.</v>
      </c>
      <c r="C1482" s="61">
        <f>Ringkasan!C1307</f>
        <v>610</v>
      </c>
      <c r="D1482" s="60" t="str">
        <f>Ringkasan!D1307</f>
        <v>#N/A</v>
      </c>
      <c r="E1482" s="60" t="str">
        <f>Ringkasan!E1307</f>
        <v/>
      </c>
      <c r="F1482" s="60" t="str">
        <f>Ringkasan!F1307</f>
        <v/>
      </c>
      <c r="G1482" s="60">
        <f>Ringkasan!G1307</f>
        <v>0</v>
      </c>
      <c r="H1482" s="62">
        <f>Ringkasan!H1307</f>
        <v>22.4</v>
      </c>
      <c r="I1482" s="62">
        <f>Ringkasan!I1307</f>
        <v>6.8</v>
      </c>
      <c r="J1482" s="62">
        <f>Ringkasan!J1307</f>
        <v>30.2</v>
      </c>
      <c r="K1482" s="62">
        <f>Ringkasan!K1307</f>
        <v>25.3</v>
      </c>
      <c r="L1482" s="62">
        <f>Ringkasan!L1307</f>
        <v>0.19</v>
      </c>
      <c r="M1482" s="62">
        <f>Ringkasan!M1307</f>
        <v>91.6</v>
      </c>
      <c r="N1482" s="60" t="str">
        <f>Ringkasan!N1307</f>
        <v/>
      </c>
      <c r="O1482" s="60" t="str">
        <f>Ringkasan!O1307</f>
        <v/>
      </c>
      <c r="P1482" s="60" t="str">
        <f>Ringkasan!P1307</f>
        <v/>
      </c>
      <c r="Q1482" s="60" t="str">
        <f>Ringkasan!Q1307</f>
        <v/>
      </c>
      <c r="R1482" s="60" t="str">
        <f>Ringkasan!R1307</f>
        <v/>
      </c>
      <c r="S1482" s="60" t="str">
        <f>Ringkasan!S1307</f>
        <v/>
      </c>
      <c r="T1482" s="60" t="str">
        <f>Ringkasan!T1307</f>
        <v/>
      </c>
      <c r="U1482" s="60">
        <f>Ringkasan!U1307</f>
        <v>970</v>
      </c>
      <c r="V1482" s="60">
        <f>Ringkasan!V1307</f>
        <v>1.65</v>
      </c>
      <c r="W1482" s="60">
        <f>Ringkasan!W1307</f>
        <v>976</v>
      </c>
      <c r="X1482" s="60">
        <f>Ringkasan!X1307</f>
        <v>986</v>
      </c>
      <c r="Y1482" s="60" t="str">
        <f>Ringkasan!Y1307</f>
        <v/>
      </c>
      <c r="Z1482" s="60">
        <f>Ringkasan!Z1307</f>
        <v>44888</v>
      </c>
      <c r="AA1482" s="60" t="str">
        <f>Ringkasan!AA1307</f>
        <v>Metals &amp; Minerals</v>
      </c>
      <c r="AB1482" s="64" t="str">
        <f>Ringkasan!AB1307</f>
        <v>Basic Materials</v>
      </c>
    </row>
    <row r="1483" hidden="1">
      <c r="A1483" s="64" t="str">
        <f>Ringkasan!A1308</f>
        <v>NIKL</v>
      </c>
      <c r="B1483" s="60" t="str">
        <f>Ringkasan!B1308</f>
        <v>Pelat Timah Nusantara Tbk.</v>
      </c>
      <c r="C1483" s="61">
        <f>Ringkasan!C1308</f>
        <v>192</v>
      </c>
      <c r="D1483" s="60" t="str">
        <f>Ringkasan!D1308</f>
        <v>#N/A</v>
      </c>
      <c r="E1483" s="60" t="str">
        <f>Ringkasan!E1308</f>
        <v>IDXMESBUMN</v>
      </c>
      <c r="F1483" s="63">
        <f>Ringkasan!F1308</f>
        <v>46356</v>
      </c>
      <c r="G1483" s="61">
        <f>Ringkasan!G1308</f>
        <v>1</v>
      </c>
      <c r="H1483" s="62">
        <f>Ringkasan!H1308</f>
        <v>22.1</v>
      </c>
      <c r="I1483" s="62">
        <f>Ringkasan!I1308</f>
        <v>0.65</v>
      </c>
      <c r="J1483" s="62">
        <f>Ringkasan!J1308</f>
        <v>2.9</v>
      </c>
      <c r="K1483" s="62">
        <f>Ringkasan!K1308</f>
        <v>1.5</v>
      </c>
      <c r="L1483" s="62">
        <f>Ringkasan!L1308</f>
        <v>0.92</v>
      </c>
      <c r="M1483" s="62">
        <f>Ringkasan!M1308</f>
        <v>5.1</v>
      </c>
      <c r="N1483" s="60" t="str">
        <f>Ringkasan!N1308</f>
        <v/>
      </c>
      <c r="O1483" s="60" t="str">
        <f>Ringkasan!O1308</f>
        <v/>
      </c>
      <c r="P1483" s="60" t="str">
        <f>Ringkasan!P1308</f>
        <v/>
      </c>
      <c r="Q1483" s="60" t="str">
        <f>Ringkasan!Q1308</f>
        <v/>
      </c>
      <c r="R1483" s="60" t="str">
        <f>Ringkasan!R1308</f>
        <v/>
      </c>
      <c r="S1483" s="60" t="str">
        <f>Ringkasan!S1308</f>
        <v/>
      </c>
      <c r="T1483" s="60" t="str">
        <f>Ringkasan!T1308</f>
        <v/>
      </c>
      <c r="U1483" s="60">
        <f>Ringkasan!U1308</f>
        <v>13.82</v>
      </c>
      <c r="V1483" s="60">
        <f>Ringkasan!V1308</f>
        <v>2.68</v>
      </c>
      <c r="W1483" s="60">
        <f>Ringkasan!W1308</f>
        <v>14.08</v>
      </c>
      <c r="X1483" s="60">
        <f>Ringkasan!X1308</f>
        <v>14.32</v>
      </c>
      <c r="Y1483" s="60">
        <f>Ringkasan!Y1308</f>
        <v>14.02</v>
      </c>
      <c r="Z1483" s="60">
        <f>Ringkasan!Z1308</f>
        <v>42526</v>
      </c>
      <c r="AA1483" s="60" t="str">
        <f>Ringkasan!AA1308</f>
        <v>Metals &amp; Minerals</v>
      </c>
      <c r="AB1483" s="60" t="str">
        <f>Ringkasan!AB1308</f>
        <v>Basic Materials</v>
      </c>
    </row>
    <row r="1484" hidden="1">
      <c r="A1484" s="64" t="str">
        <f>Ringkasan!A1483</f>
        <v>PWON</v>
      </c>
      <c r="B1484" s="64" t="str">
        <f>Ringkasan!B1483</f>
        <v>Pakuwon Jati Tbk.</v>
      </c>
      <c r="C1484" s="65">
        <f>Ringkasan!C1483</f>
        <v>262</v>
      </c>
      <c r="D1484" s="64" t="str">
        <f>Ringkasan!D1483</f>
        <v>#N/A</v>
      </c>
      <c r="E1484" s="64" t="str">
        <f>Ringkasan!E1483</f>
        <v>IDXSMC-LIQ</v>
      </c>
      <c r="F1484" s="64" t="str">
        <f>Ringkasan!F1483</f>
        <v>4 Agustus 2026</v>
      </c>
      <c r="G1484" s="64">
        <f>Ringkasan!G1483</f>
        <v>12</v>
      </c>
      <c r="H1484" s="19">
        <f>Ringkasan!H1483</f>
        <v>5.7</v>
      </c>
      <c r="I1484" s="19">
        <f>Ringkasan!I1483</f>
        <v>0.52</v>
      </c>
      <c r="J1484" s="19">
        <f>Ringkasan!J1483</f>
        <v>9</v>
      </c>
      <c r="K1484" s="19">
        <f>Ringkasan!K1483</f>
        <v>6.6</v>
      </c>
      <c r="L1484" s="19">
        <f>Ringkasan!L1483</f>
        <v>0.37</v>
      </c>
      <c r="M1484" s="19">
        <f>Ringkasan!M1483</f>
        <v>150</v>
      </c>
      <c r="N1484" s="64" t="str">
        <f>Ringkasan!N1483</f>
        <v/>
      </c>
      <c r="O1484" s="64" t="str">
        <f>Ringkasan!O1483</f>
        <v/>
      </c>
      <c r="P1484" s="64" t="str">
        <f>Ringkasan!P1483</f>
        <v/>
      </c>
      <c r="Q1484" s="64" t="str">
        <f>Ringkasan!Q1483</f>
        <v/>
      </c>
      <c r="R1484" s="64" t="str">
        <f>Ringkasan!R1483</f>
        <v/>
      </c>
      <c r="S1484" s="64" t="str">
        <f>Ringkasan!S1483</f>
        <v/>
      </c>
      <c r="T1484" s="64" t="str">
        <f>Ringkasan!T1483</f>
        <v/>
      </c>
      <c r="U1484" s="64">
        <f>Ringkasan!U1483</f>
        <v>256</v>
      </c>
      <c r="V1484" s="64">
        <f>Ringkasan!V1483</f>
        <v>2.34</v>
      </c>
      <c r="W1484" s="64">
        <f>Ringkasan!W1483</f>
        <v>260</v>
      </c>
      <c r="X1484" s="64">
        <f>Ringkasan!X1483</f>
        <v>266</v>
      </c>
      <c r="Y1484" s="64">
        <f>Ringkasan!Y1483</f>
        <v>258</v>
      </c>
      <c r="Z1484" s="64">
        <f>Ringkasan!Z1483</f>
        <v>46987400</v>
      </c>
      <c r="AA1484" s="64" t="str">
        <f>Ringkasan!AA1483</f>
        <v>Real Estate Management &amp; Development</v>
      </c>
      <c r="AB1484" s="64" t="str">
        <f>Ringkasan!AB1483</f>
        <v>Properties &amp; Real Estate</v>
      </c>
    </row>
    <row r="1485" hidden="1">
      <c r="A1485" s="64" t="str">
        <f>Ringkasan!A1484</f>
        <v>PWON</v>
      </c>
      <c r="B1485" s="64" t="str">
        <f>Ringkasan!B1484</f>
        <v>Pakuwon Jati Tbk.</v>
      </c>
      <c r="C1485" s="65">
        <f>Ringkasan!C1484</f>
        <v>262</v>
      </c>
      <c r="D1485" s="64" t="str">
        <f>Ringkasan!D1484</f>
        <v>#N/A</v>
      </c>
      <c r="E1485" s="64" t="str">
        <f>Ringkasan!E1484</f>
        <v>MSCI Small Cap</v>
      </c>
      <c r="F1485" s="64" t="str">
        <f>Ringkasan!F1484</f>
        <v>12 Agustus 2026</v>
      </c>
      <c r="G1485" s="64">
        <f>Ringkasan!G1484</f>
        <v>12</v>
      </c>
      <c r="H1485" s="19">
        <f>Ringkasan!H1484</f>
        <v>5.7</v>
      </c>
      <c r="I1485" s="19">
        <f>Ringkasan!I1484</f>
        <v>0.52</v>
      </c>
      <c r="J1485" s="19">
        <f>Ringkasan!J1484</f>
        <v>9</v>
      </c>
      <c r="K1485" s="19">
        <f>Ringkasan!K1484</f>
        <v>6.6</v>
      </c>
      <c r="L1485" s="19">
        <f>Ringkasan!L1484</f>
        <v>0.37</v>
      </c>
      <c r="M1485" s="19">
        <f>Ringkasan!M1484</f>
        <v>150</v>
      </c>
      <c r="N1485" s="64" t="str">
        <f>Ringkasan!N1484</f>
        <v/>
      </c>
      <c r="O1485" s="64" t="str">
        <f>Ringkasan!O1484</f>
        <v/>
      </c>
      <c r="P1485" s="64" t="str">
        <f>Ringkasan!P1484</f>
        <v/>
      </c>
      <c r="Q1485" s="64" t="str">
        <f>Ringkasan!Q1484</f>
        <v/>
      </c>
      <c r="R1485" s="64" t="str">
        <f>Ringkasan!R1484</f>
        <v/>
      </c>
      <c r="S1485" s="64" t="str">
        <f>Ringkasan!S1484</f>
        <v/>
      </c>
      <c r="T1485" s="64" t="str">
        <f>Ringkasan!T1484</f>
        <v/>
      </c>
      <c r="U1485" s="64">
        <f>Ringkasan!U1484</f>
        <v>256</v>
      </c>
      <c r="V1485" s="64">
        <f>Ringkasan!V1484</f>
        <v>2.34</v>
      </c>
      <c r="W1485" s="64">
        <f>Ringkasan!W1484</f>
        <v>260</v>
      </c>
      <c r="X1485" s="64">
        <f>Ringkasan!X1484</f>
        <v>266</v>
      </c>
      <c r="Y1485" s="64">
        <f>Ringkasan!Y1484</f>
        <v>258</v>
      </c>
      <c r="Z1485" s="64">
        <f>Ringkasan!Z1484</f>
        <v>46987400</v>
      </c>
      <c r="AA1485" s="64" t="str">
        <f>Ringkasan!AA1484</f>
        <v>Real Estate Management &amp; Development</v>
      </c>
      <c r="AB1485" s="64" t="str">
        <f>Ringkasan!AB1484</f>
        <v>Properties &amp; Real Estate</v>
      </c>
    </row>
    <row r="1486" hidden="1">
      <c r="A1486" s="64" t="str">
        <f>Ringkasan!A1485</f>
        <v>PWON</v>
      </c>
      <c r="B1486" s="64" t="str">
        <f>Ringkasan!B1485</f>
        <v>Pakuwon Jati Tbk.</v>
      </c>
      <c r="C1486" s="65">
        <f>Ringkasan!C1485</f>
        <v>262</v>
      </c>
      <c r="D1486" s="64" t="str">
        <f>Ringkasan!D1485</f>
        <v>#N/A</v>
      </c>
      <c r="E1486" s="64" t="str">
        <f>Ringkasan!E1485</f>
        <v>SRI-KEHATI</v>
      </c>
      <c r="F1486" s="66">
        <f>Ringkasan!F1485</f>
        <v>46356</v>
      </c>
      <c r="G1486" s="64">
        <f>Ringkasan!G1485</f>
        <v>12</v>
      </c>
      <c r="H1486" s="19">
        <f>Ringkasan!H1485</f>
        <v>5.7</v>
      </c>
      <c r="I1486" s="19">
        <f>Ringkasan!I1485</f>
        <v>0.52</v>
      </c>
      <c r="J1486" s="19">
        <f>Ringkasan!J1485</f>
        <v>9</v>
      </c>
      <c r="K1486" s="19">
        <f>Ringkasan!K1485</f>
        <v>6.6</v>
      </c>
      <c r="L1486" s="19">
        <f>Ringkasan!L1485</f>
        <v>0.37</v>
      </c>
      <c r="M1486" s="19">
        <f>Ringkasan!M1485</f>
        <v>150</v>
      </c>
      <c r="N1486" s="64" t="str">
        <f>Ringkasan!N1485</f>
        <v/>
      </c>
      <c r="O1486" s="64" t="str">
        <f>Ringkasan!O1485</f>
        <v/>
      </c>
      <c r="P1486" s="64" t="str">
        <f>Ringkasan!P1485</f>
        <v/>
      </c>
      <c r="Q1486" s="64" t="str">
        <f>Ringkasan!Q1485</f>
        <v/>
      </c>
      <c r="R1486" s="64" t="str">
        <f>Ringkasan!R1485</f>
        <v/>
      </c>
      <c r="S1486" s="64" t="str">
        <f>Ringkasan!S1485</f>
        <v/>
      </c>
      <c r="T1486" s="64" t="str">
        <f>Ringkasan!T1485</f>
        <v/>
      </c>
      <c r="U1486" s="64">
        <f>Ringkasan!U1485</f>
        <v>256</v>
      </c>
      <c r="V1486" s="64">
        <f>Ringkasan!V1485</f>
        <v>2.34</v>
      </c>
      <c r="W1486" s="64">
        <f>Ringkasan!W1485</f>
        <v>260</v>
      </c>
      <c r="X1486" s="64">
        <f>Ringkasan!X1485</f>
        <v>266</v>
      </c>
      <c r="Y1486" s="64">
        <f>Ringkasan!Y1485</f>
        <v>258</v>
      </c>
      <c r="Z1486" s="64">
        <f>Ringkasan!Z1485</f>
        <v>46987400</v>
      </c>
      <c r="AA1486" s="64" t="str">
        <f>Ringkasan!AA1485</f>
        <v>Real Estate Management &amp; Development</v>
      </c>
      <c r="AB1486" s="64" t="str">
        <f>Ringkasan!AB1485</f>
        <v>Properties &amp; Real Estate</v>
      </c>
    </row>
    <row r="1487" hidden="1">
      <c r="A1487" s="64" t="str">
        <f>Ringkasan!A1486</f>
        <v>PYFA</v>
      </c>
      <c r="B1487" s="64" t="str">
        <f>Ringkasan!B1486</f>
        <v>Pyridam Farma Tbk</v>
      </c>
      <c r="C1487" s="65">
        <f>Ringkasan!C1486</f>
        <v>194</v>
      </c>
      <c r="D1487" s="64" t="str">
        <f>Ringkasan!D1486</f>
        <v>#N/A</v>
      </c>
      <c r="E1487" s="64" t="str">
        <f>Ringkasan!E1486</f>
        <v/>
      </c>
      <c r="F1487" s="64" t="str">
        <f>Ringkasan!F1486</f>
        <v/>
      </c>
      <c r="G1487" s="64">
        <f>Ringkasan!G1486</f>
        <v>0</v>
      </c>
      <c r="H1487" s="19">
        <f>Ringkasan!H1486</f>
        <v>-6.9</v>
      </c>
      <c r="I1487" s="19">
        <f>Ringkasan!I1486</f>
        <v>2.7</v>
      </c>
      <c r="J1487" s="19">
        <f>Ringkasan!J1486</f>
        <v>-38.5</v>
      </c>
      <c r="K1487" s="19">
        <f>Ringkasan!K1486</f>
        <v>-5.6</v>
      </c>
      <c r="L1487" s="19">
        <f>Ringkasan!L1486</f>
        <v>5.9</v>
      </c>
      <c r="M1487" s="19">
        <f>Ringkasan!M1486</f>
        <v>-13.8</v>
      </c>
      <c r="N1487" s="64" t="str">
        <f>Ringkasan!N1486</f>
        <v/>
      </c>
      <c r="O1487" s="64" t="str">
        <f>Ringkasan!O1486</f>
        <v/>
      </c>
      <c r="P1487" s="64" t="str">
        <f>Ringkasan!P1486</f>
        <v/>
      </c>
      <c r="Q1487" s="64" t="str">
        <f>Ringkasan!Q1486</f>
        <v/>
      </c>
      <c r="R1487" s="64" t="str">
        <f>Ringkasan!R1486</f>
        <v/>
      </c>
      <c r="S1487" s="64" t="str">
        <f>Ringkasan!S1486</f>
        <v/>
      </c>
      <c r="T1487" s="64" t="str">
        <f>Ringkasan!T1486</f>
        <v/>
      </c>
      <c r="U1487" s="64">
        <f>Ringkasan!U1486</f>
        <v>193</v>
      </c>
      <c r="V1487" s="64">
        <f>Ringkasan!V1486</f>
        <v>0.52</v>
      </c>
      <c r="W1487" s="64">
        <f>Ringkasan!W1486</f>
        <v>184</v>
      </c>
      <c r="X1487" s="64">
        <f>Ringkasan!X1486</f>
        <v>197</v>
      </c>
      <c r="Y1487" s="64">
        <f>Ringkasan!Y1486</f>
        <v>176</v>
      </c>
      <c r="Z1487" s="64">
        <f>Ringkasan!Z1486</f>
        <v>26450300</v>
      </c>
      <c r="AA1487" s="64" t="str">
        <f>Ringkasan!AA1486</f>
        <v>Pharmaceuticals</v>
      </c>
      <c r="AB1487" s="64" t="str">
        <f>Ringkasan!AB1486</f>
        <v>Healthcare</v>
      </c>
    </row>
    <row r="1488" hidden="1">
      <c r="A1488" s="64" t="str">
        <f>Ringkasan!A1487</f>
        <v>PZZA</v>
      </c>
      <c r="B1488" s="64" t="str">
        <f>Ringkasan!B1487</f>
        <v>Sarimelati Kencana Tbk.</v>
      </c>
      <c r="C1488" s="65">
        <f>Ringkasan!C1487</f>
        <v>188</v>
      </c>
      <c r="D1488" s="64" t="str">
        <f>Ringkasan!D1487</f>
        <v>#N/A</v>
      </c>
      <c r="E1488" s="64" t="str">
        <f>Ringkasan!E1487</f>
        <v/>
      </c>
      <c r="F1488" s="64" t="str">
        <f>Ringkasan!F1487</f>
        <v/>
      </c>
      <c r="G1488" s="64">
        <f>Ringkasan!G1487</f>
        <v>0</v>
      </c>
      <c r="H1488" s="19">
        <f>Ringkasan!H1487</f>
        <v>18.9</v>
      </c>
      <c r="I1488" s="19">
        <f>Ringkasan!I1487</f>
        <v>0.55</v>
      </c>
      <c r="J1488" s="19">
        <f>Ringkasan!J1487</f>
        <v>2.9</v>
      </c>
      <c r="K1488" s="19">
        <f>Ringkasan!K1487</f>
        <v>1.6</v>
      </c>
      <c r="L1488" s="19">
        <f>Ringkasan!L1487</f>
        <v>0.82</v>
      </c>
      <c r="M1488" s="19">
        <f>Ringkasan!M1487</f>
        <v>4.2</v>
      </c>
      <c r="N1488" s="64" t="str">
        <f>Ringkasan!N1487</f>
        <v/>
      </c>
      <c r="O1488" s="64" t="str">
        <f>Ringkasan!O1487</f>
        <v/>
      </c>
      <c r="P1488" s="64" t="str">
        <f>Ringkasan!P1487</f>
        <v/>
      </c>
      <c r="Q1488" s="64" t="str">
        <f>Ringkasan!Q1487</f>
        <v/>
      </c>
      <c r="R1488" s="64" t="str">
        <f>Ringkasan!R1487</f>
        <v/>
      </c>
      <c r="S1488" s="64" t="str">
        <f>Ringkasan!S1487</f>
        <v/>
      </c>
      <c r="T1488" s="64" t="str">
        <f>Ringkasan!T1487</f>
        <v/>
      </c>
      <c r="U1488" s="64">
        <f>Ringkasan!U1487</f>
        <v>32.34</v>
      </c>
      <c r="V1488" s="64">
        <f>Ringkasan!V1487</f>
        <v>0.8</v>
      </c>
      <c r="W1488" s="64">
        <f>Ringkasan!W1487</f>
        <v>32.34</v>
      </c>
      <c r="X1488" s="64">
        <f>Ringkasan!X1487</f>
        <v>33.28</v>
      </c>
      <c r="Y1488" s="64">
        <f>Ringkasan!Y1487</f>
        <v>32.12</v>
      </c>
      <c r="Z1488" s="64">
        <f>Ringkasan!Z1487</f>
        <v>827490</v>
      </c>
      <c r="AA1488" s="64" t="str">
        <f>Ringkasan!AA1487</f>
        <v>Tourism &amp; Recreation</v>
      </c>
      <c r="AB1488" s="64" t="str">
        <f>Ringkasan!AB1487</f>
        <v>Consumer Cyclicals</v>
      </c>
    </row>
    <row r="1489" hidden="1">
      <c r="A1489" s="64" t="str">
        <f>Ringkasan!A1488</f>
        <v>RAAM</v>
      </c>
      <c r="B1489" s="64" t="str">
        <f>Ringkasan!B1488</f>
        <v>PT Tripar Multivision Plus Tbk.</v>
      </c>
      <c r="C1489" s="65">
        <f>Ringkasan!C1488</f>
        <v>208</v>
      </c>
      <c r="D1489" s="64" t="str">
        <f>Ringkasan!D1488</f>
        <v>#N/A</v>
      </c>
      <c r="E1489" s="64" t="str">
        <f>Ringkasan!E1488</f>
        <v/>
      </c>
      <c r="F1489" s="64" t="str">
        <f>Ringkasan!F1488</f>
        <v/>
      </c>
      <c r="G1489" s="64">
        <f>Ringkasan!G1488</f>
        <v>0</v>
      </c>
      <c r="H1489" s="19">
        <f>Ringkasan!H1488</f>
        <v>-19</v>
      </c>
      <c r="I1489" s="19">
        <f>Ringkasan!I1488</f>
        <v>1</v>
      </c>
      <c r="J1489" s="19">
        <f>Ringkasan!J1488</f>
        <v>-5.4</v>
      </c>
      <c r="K1489" s="19">
        <f>Ringkasan!K1488</f>
        <v>-4.1</v>
      </c>
      <c r="L1489" s="19">
        <f>Ringkasan!L1488</f>
        <v>0.32</v>
      </c>
      <c r="M1489" s="19">
        <f>Ringkasan!M1488</f>
        <v>-150</v>
      </c>
      <c r="N1489" s="64" t="str">
        <f>Ringkasan!N1488</f>
        <v/>
      </c>
      <c r="O1489" s="64" t="str">
        <f>Ringkasan!O1488</f>
        <v/>
      </c>
      <c r="P1489" s="64" t="str">
        <f>Ringkasan!P1488</f>
        <v/>
      </c>
      <c r="Q1489" s="64" t="str">
        <f>Ringkasan!Q1488</f>
        <v/>
      </c>
      <c r="R1489" s="64" t="str">
        <f>Ringkasan!R1488</f>
        <v/>
      </c>
      <c r="S1489" s="64" t="str">
        <f>Ringkasan!S1488</f>
        <v/>
      </c>
      <c r="T1489" s="64" t="str">
        <f>Ringkasan!T1488</f>
        <v/>
      </c>
      <c r="U1489" s="64">
        <f>Ringkasan!U1488</f>
        <v>214</v>
      </c>
      <c r="V1489" s="64">
        <f>Ringkasan!V1488</f>
        <v>-2.8</v>
      </c>
      <c r="W1489" s="64">
        <f>Ringkasan!W1488</f>
        <v>214</v>
      </c>
      <c r="X1489" s="64">
        <f>Ringkasan!X1488</f>
        <v>220</v>
      </c>
      <c r="Y1489" s="64">
        <f>Ringkasan!Y1488</f>
        <v>206</v>
      </c>
      <c r="Z1489" s="64">
        <f>Ringkasan!Z1488</f>
        <v>862400</v>
      </c>
      <c r="AA1489" s="64" t="str">
        <f>Ringkasan!AA1488</f>
        <v>Entertainment &amp; Movie Production</v>
      </c>
      <c r="AB1489" s="64" t="str">
        <f>Ringkasan!AB1488</f>
        <v>Consumer Cyclicals</v>
      </c>
    </row>
    <row r="1490" hidden="1">
      <c r="A1490" s="64" t="str">
        <f>Ringkasan!A1489</f>
        <v>RAFI</v>
      </c>
      <c r="B1490" s="64" t="str">
        <f>Ringkasan!B1489</f>
        <v>Sari Kreasi Boga Tbk.</v>
      </c>
      <c r="C1490" s="65">
        <f>Ringkasan!C1489</f>
        <v>36</v>
      </c>
      <c r="D1490" s="64" t="str">
        <f>Ringkasan!D1489</f>
        <v>#N/A</v>
      </c>
      <c r="E1490" s="64" t="str">
        <f>Ringkasan!E1489</f>
        <v/>
      </c>
      <c r="F1490" s="64" t="str">
        <f>Ringkasan!F1489</f>
        <v/>
      </c>
      <c r="G1490" s="64">
        <f>Ringkasan!G1489</f>
        <v>0</v>
      </c>
      <c r="H1490" s="19">
        <f>Ringkasan!H1489</f>
        <v>-2.1</v>
      </c>
      <c r="I1490" s="19">
        <f>Ringkasan!I1489</f>
        <v>0.39</v>
      </c>
      <c r="J1490" s="19">
        <f>Ringkasan!J1489</f>
        <v>-18.6</v>
      </c>
      <c r="K1490" s="19">
        <f>Ringkasan!K1489</f>
        <v>-12.2</v>
      </c>
      <c r="L1490" s="19">
        <f>Ringkasan!L1489</f>
        <v>0.52</v>
      </c>
      <c r="M1490" s="19">
        <f>Ringkasan!M1489</f>
        <v>-39.9</v>
      </c>
      <c r="N1490" s="64" t="str">
        <f>Ringkasan!N1489</f>
        <v/>
      </c>
      <c r="O1490" s="64" t="str">
        <f>Ringkasan!O1489</f>
        <v/>
      </c>
      <c r="P1490" s="64" t="str">
        <f>Ringkasan!P1489</f>
        <v/>
      </c>
      <c r="Q1490" s="64" t="str">
        <f>Ringkasan!Q1489</f>
        <v/>
      </c>
      <c r="R1490" s="64" t="str">
        <f>Ringkasan!R1489</f>
        <v/>
      </c>
      <c r="S1490" s="64" t="str">
        <f>Ringkasan!S1489</f>
        <v/>
      </c>
      <c r="T1490" s="64" t="str">
        <f>Ringkasan!T1489</f>
        <v/>
      </c>
      <c r="U1490" s="64">
        <f>Ringkasan!U1489</f>
        <v>4.16</v>
      </c>
      <c r="V1490" s="64">
        <f>Ringkasan!V1489</f>
        <v>-0.48</v>
      </c>
      <c r="W1490" s="64">
        <f>Ringkasan!W1489</f>
        <v>4.26</v>
      </c>
      <c r="X1490" s="64">
        <f>Ringkasan!X1489</f>
        <v>4.26</v>
      </c>
      <c r="Y1490" s="64">
        <f>Ringkasan!Y1489</f>
        <v>4.14</v>
      </c>
      <c r="Z1490" s="64">
        <f>Ringkasan!Z1489</f>
        <v>2000</v>
      </c>
      <c r="AA1490" s="64" t="str">
        <f>Ringkasan!AA1489</f>
        <v>Tourism &amp; Recreation</v>
      </c>
      <c r="AB1490" s="64" t="str">
        <f>Ringkasan!AB1489</f>
        <v>Consumer Cyclicals</v>
      </c>
    </row>
    <row r="1491" hidden="1">
      <c r="A1491" s="64" t="str">
        <f>Ringkasan!A1490</f>
        <v>RAJA</v>
      </c>
      <c r="B1491" s="64" t="str">
        <f>Ringkasan!B1490</f>
        <v>Rukun Raharja Tbk.</v>
      </c>
      <c r="C1491" s="65">
        <f>Ringkasan!C1490</f>
        <v>3750</v>
      </c>
      <c r="D1491" s="64" t="str">
        <f>Ringkasan!D1490</f>
        <v>#N/A</v>
      </c>
      <c r="E1491" s="64" t="str">
        <f>Ringkasan!E1490</f>
        <v>JII30</v>
      </c>
      <c r="F1491" s="66">
        <f>Ringkasan!F1490</f>
        <v>46356</v>
      </c>
      <c r="G1491" s="65">
        <f>Ringkasan!G1490</f>
        <v>6</v>
      </c>
      <c r="H1491" s="19">
        <f>Ringkasan!H1490</f>
        <v>32.1</v>
      </c>
      <c r="I1491" s="19">
        <f>Ringkasan!I1490</f>
        <v>3.6</v>
      </c>
      <c r="J1491" s="19">
        <f>Ringkasan!J1490</f>
        <v>11.2</v>
      </c>
      <c r="K1491" s="19">
        <f>Ringkasan!K1490</f>
        <v>5.6</v>
      </c>
      <c r="L1491" s="19">
        <f>Ringkasan!L1490</f>
        <v>0.99</v>
      </c>
      <c r="M1491" s="19">
        <f>Ringkasan!M1490</f>
        <v>52.4</v>
      </c>
      <c r="N1491" s="64" t="str">
        <f>Ringkasan!N1490</f>
        <v/>
      </c>
      <c r="O1491" s="64" t="str">
        <f>Ringkasan!O1490</f>
        <v/>
      </c>
      <c r="P1491" s="64" t="str">
        <f>Ringkasan!P1490</f>
        <v/>
      </c>
      <c r="Q1491" s="64" t="str">
        <f>Ringkasan!Q1490</f>
        <v/>
      </c>
      <c r="R1491" s="64" t="str">
        <f>Ringkasan!R1490</f>
        <v/>
      </c>
      <c r="S1491" s="64" t="str">
        <f>Ringkasan!S1490</f>
        <v/>
      </c>
      <c r="T1491" s="64" t="str">
        <f>Ringkasan!T1490</f>
        <v/>
      </c>
      <c r="U1491" s="64">
        <f>Ringkasan!U1490</f>
        <v>3600</v>
      </c>
      <c r="V1491" s="64">
        <f>Ringkasan!V1490</f>
        <v>4.17</v>
      </c>
      <c r="W1491" s="64">
        <f>Ringkasan!W1490</f>
        <v>3670</v>
      </c>
      <c r="X1491" s="64" t="str">
        <f>Ringkasan!X1490</f>
        <v/>
      </c>
      <c r="Y1491" s="64">
        <f>Ringkasan!Y1490</f>
        <v>3660</v>
      </c>
      <c r="Z1491" s="64">
        <f>Ringkasan!Z1490</f>
        <v>38346600</v>
      </c>
      <c r="AA1491" s="64" t="str">
        <f>Ringkasan!AA1490</f>
        <v>Oil &amp; Gas</v>
      </c>
      <c r="AB1491" s="64" t="str">
        <f>Ringkasan!AB1490</f>
        <v>Energy</v>
      </c>
    </row>
    <row r="1492" hidden="1">
      <c r="A1492" s="64" t="str">
        <f>Ringkasan!A1491</f>
        <v>RAJA</v>
      </c>
      <c r="B1492" s="64" t="str">
        <f>Ringkasan!B1491</f>
        <v>Rukun Raharja Tbk.</v>
      </c>
      <c r="C1492" s="65">
        <f>Ringkasan!C1491</f>
        <v>3750</v>
      </c>
      <c r="D1492" s="64" t="str">
        <f>Ringkasan!D1491</f>
        <v>#N/A</v>
      </c>
      <c r="E1492" s="64" t="str">
        <f>Ringkasan!E1491</f>
        <v>JII70</v>
      </c>
      <c r="F1492" s="66">
        <f>Ringkasan!F1491</f>
        <v>46356</v>
      </c>
      <c r="G1492" s="65">
        <f>Ringkasan!G1491</f>
        <v>6</v>
      </c>
      <c r="H1492" s="19">
        <f>Ringkasan!H1491</f>
        <v>32.1</v>
      </c>
      <c r="I1492" s="19">
        <f>Ringkasan!I1491</f>
        <v>3.6</v>
      </c>
      <c r="J1492" s="19">
        <f>Ringkasan!J1491</f>
        <v>11.2</v>
      </c>
      <c r="K1492" s="19">
        <f>Ringkasan!K1491</f>
        <v>5.6</v>
      </c>
      <c r="L1492" s="19">
        <f>Ringkasan!L1491</f>
        <v>0.99</v>
      </c>
      <c r="M1492" s="19">
        <f>Ringkasan!M1491</f>
        <v>52.4</v>
      </c>
      <c r="N1492" s="64" t="str">
        <f>Ringkasan!N1491</f>
        <v/>
      </c>
      <c r="O1492" s="64" t="str">
        <f>Ringkasan!O1491</f>
        <v/>
      </c>
      <c r="P1492" s="64" t="str">
        <f>Ringkasan!P1491</f>
        <v/>
      </c>
      <c r="Q1492" s="64" t="str">
        <f>Ringkasan!Q1491</f>
        <v/>
      </c>
      <c r="R1492" s="64" t="str">
        <f>Ringkasan!R1491</f>
        <v/>
      </c>
      <c r="S1492" s="64" t="str">
        <f>Ringkasan!S1491</f>
        <v/>
      </c>
      <c r="T1492" s="64" t="str">
        <f>Ringkasan!T1491</f>
        <v/>
      </c>
      <c r="U1492" s="64">
        <f>Ringkasan!U1491</f>
        <v>3600</v>
      </c>
      <c r="V1492" s="64">
        <f>Ringkasan!V1491</f>
        <v>4.17</v>
      </c>
      <c r="W1492" s="64">
        <f>Ringkasan!W1491</f>
        <v>3670</v>
      </c>
      <c r="X1492" s="64" t="str">
        <f>Ringkasan!X1491</f>
        <v/>
      </c>
      <c r="Y1492" s="64">
        <f>Ringkasan!Y1491</f>
        <v>3660</v>
      </c>
      <c r="Z1492" s="64">
        <f>Ringkasan!Z1491</f>
        <v>38346600</v>
      </c>
      <c r="AA1492" s="64" t="str">
        <f>Ringkasan!AA1491</f>
        <v>Oil &amp; Gas</v>
      </c>
      <c r="AB1492" s="64" t="str">
        <f>Ringkasan!AB1491</f>
        <v>Energy</v>
      </c>
    </row>
    <row r="1493" hidden="1">
      <c r="A1493" s="64" t="str">
        <f>Ringkasan!A1492</f>
        <v>RAJA</v>
      </c>
      <c r="B1493" s="64" t="str">
        <f>Ringkasan!B1492</f>
        <v>Rukun Raharja Tbk.</v>
      </c>
      <c r="C1493" s="65">
        <f>Ringkasan!C1492</f>
        <v>3750</v>
      </c>
      <c r="D1493" s="64" t="str">
        <f>Ringkasan!D1492</f>
        <v>#N/A</v>
      </c>
      <c r="E1493" s="64" t="str">
        <f>Ringkasan!E1492</f>
        <v>IDXG30</v>
      </c>
      <c r="F1493" s="64" t="str">
        <f>Ringkasan!F1492</f>
        <v>4 Agustus 2026</v>
      </c>
      <c r="G1493" s="64">
        <f>Ringkasan!G1492</f>
        <v>6</v>
      </c>
      <c r="H1493" s="19">
        <f>Ringkasan!H1492</f>
        <v>32.1</v>
      </c>
      <c r="I1493" s="19">
        <f>Ringkasan!I1492</f>
        <v>3.6</v>
      </c>
      <c r="J1493" s="19">
        <f>Ringkasan!J1492</f>
        <v>11.2</v>
      </c>
      <c r="K1493" s="19">
        <f>Ringkasan!K1492</f>
        <v>5.6</v>
      </c>
      <c r="L1493" s="19">
        <f>Ringkasan!L1492</f>
        <v>0.99</v>
      </c>
      <c r="M1493" s="19">
        <f>Ringkasan!M1492</f>
        <v>52.4</v>
      </c>
      <c r="N1493" s="64" t="str">
        <f>Ringkasan!N1492</f>
        <v/>
      </c>
      <c r="O1493" s="64" t="str">
        <f>Ringkasan!O1492</f>
        <v/>
      </c>
      <c r="P1493" s="64" t="str">
        <f>Ringkasan!P1492</f>
        <v/>
      </c>
      <c r="Q1493" s="64" t="str">
        <f>Ringkasan!Q1492</f>
        <v/>
      </c>
      <c r="R1493" s="64" t="str">
        <f>Ringkasan!R1492</f>
        <v/>
      </c>
      <c r="S1493" s="64" t="str">
        <f>Ringkasan!S1492</f>
        <v/>
      </c>
      <c r="T1493" s="64" t="str">
        <f>Ringkasan!T1492</f>
        <v/>
      </c>
      <c r="U1493" s="64">
        <f>Ringkasan!U1492</f>
        <v>3600</v>
      </c>
      <c r="V1493" s="64">
        <f>Ringkasan!V1492</f>
        <v>4.17</v>
      </c>
      <c r="W1493" s="64">
        <f>Ringkasan!W1492</f>
        <v>3670</v>
      </c>
      <c r="X1493" s="64" t="str">
        <f>Ringkasan!X1492</f>
        <v/>
      </c>
      <c r="Y1493" s="64">
        <f>Ringkasan!Y1492</f>
        <v>3660</v>
      </c>
      <c r="Z1493" s="64">
        <f>Ringkasan!Z1492</f>
        <v>38346600</v>
      </c>
      <c r="AA1493" s="64" t="str">
        <f>Ringkasan!AA1492</f>
        <v>Oil &amp; Gas</v>
      </c>
      <c r="AB1493" s="64" t="str">
        <f>Ringkasan!AB1492</f>
        <v>Energy</v>
      </c>
    </row>
    <row r="1494" hidden="1">
      <c r="A1494" s="64" t="str">
        <f>Ringkasan!A1493</f>
        <v>RAJA</v>
      </c>
      <c r="B1494" s="64" t="str">
        <f>Ringkasan!B1493</f>
        <v>Rukun Raharja Tbk.</v>
      </c>
      <c r="C1494" s="65">
        <f>Ringkasan!C1493</f>
        <v>3750</v>
      </c>
      <c r="D1494" s="64" t="str">
        <f>Ringkasan!D1493</f>
        <v>#N/A</v>
      </c>
      <c r="E1494" s="64" t="str">
        <f>Ringkasan!E1493</f>
        <v>Kompas100</v>
      </c>
      <c r="F1494" s="64" t="str">
        <f>Ringkasan!F1493</f>
        <v>31 Juli 2026</v>
      </c>
      <c r="G1494" s="64">
        <f>Ringkasan!G1493</f>
        <v>6</v>
      </c>
      <c r="H1494" s="19">
        <f>Ringkasan!H1493</f>
        <v>32.1</v>
      </c>
      <c r="I1494" s="19">
        <f>Ringkasan!I1493</f>
        <v>3.6</v>
      </c>
      <c r="J1494" s="19">
        <f>Ringkasan!J1493</f>
        <v>11.2</v>
      </c>
      <c r="K1494" s="19">
        <f>Ringkasan!K1493</f>
        <v>5.6</v>
      </c>
      <c r="L1494" s="19">
        <f>Ringkasan!L1493</f>
        <v>0.99</v>
      </c>
      <c r="M1494" s="19">
        <f>Ringkasan!M1493</f>
        <v>52.4</v>
      </c>
      <c r="N1494" s="64" t="str">
        <f>Ringkasan!N1493</f>
        <v/>
      </c>
      <c r="O1494" s="64" t="str">
        <f>Ringkasan!O1493</f>
        <v/>
      </c>
      <c r="P1494" s="64" t="str">
        <f>Ringkasan!P1493</f>
        <v/>
      </c>
      <c r="Q1494" s="64" t="str">
        <f>Ringkasan!Q1493</f>
        <v/>
      </c>
      <c r="R1494" s="64" t="str">
        <f>Ringkasan!R1493</f>
        <v/>
      </c>
      <c r="S1494" s="64" t="str">
        <f>Ringkasan!S1493</f>
        <v/>
      </c>
      <c r="T1494" s="64" t="str">
        <f>Ringkasan!T1493</f>
        <v/>
      </c>
      <c r="U1494" s="64">
        <f>Ringkasan!U1493</f>
        <v>3600</v>
      </c>
      <c r="V1494" s="64">
        <f>Ringkasan!V1493</f>
        <v>4.17</v>
      </c>
      <c r="W1494" s="64">
        <f>Ringkasan!W1493</f>
        <v>3670</v>
      </c>
      <c r="X1494" s="64" t="str">
        <f>Ringkasan!X1493</f>
        <v/>
      </c>
      <c r="Y1494" s="64">
        <f>Ringkasan!Y1493</f>
        <v>3660</v>
      </c>
      <c r="Z1494" s="64">
        <f>Ringkasan!Z1493</f>
        <v>38346600</v>
      </c>
      <c r="AA1494" s="64" t="str">
        <f>Ringkasan!AA1493</f>
        <v>Oil &amp; Gas</v>
      </c>
      <c r="AB1494" s="64" t="str">
        <f>Ringkasan!AB1493</f>
        <v>Energy</v>
      </c>
    </row>
    <row r="1495" hidden="1">
      <c r="A1495" s="64" t="str">
        <f>Ringkasan!A1494</f>
        <v>RAJA</v>
      </c>
      <c r="B1495" s="64" t="str">
        <f>Ringkasan!B1494</f>
        <v>Rukun Raharja Tbk.</v>
      </c>
      <c r="C1495" s="65">
        <f>Ringkasan!C1494</f>
        <v>3750</v>
      </c>
      <c r="D1495" s="64" t="str">
        <f>Ringkasan!D1494</f>
        <v>#N/A</v>
      </c>
      <c r="E1495" s="64" t="str">
        <f>Ringkasan!E1494</f>
        <v>IDX80</v>
      </c>
      <c r="F1495" s="64" t="str">
        <f>Ringkasan!F1494</f>
        <v>31 Juli 2026</v>
      </c>
      <c r="G1495" s="64">
        <f>Ringkasan!G1494</f>
        <v>6</v>
      </c>
      <c r="H1495" s="19">
        <f>Ringkasan!H1494</f>
        <v>32.1</v>
      </c>
      <c r="I1495" s="19">
        <f>Ringkasan!I1494</f>
        <v>3.6</v>
      </c>
      <c r="J1495" s="19">
        <f>Ringkasan!J1494</f>
        <v>11.2</v>
      </c>
      <c r="K1495" s="19">
        <f>Ringkasan!K1494</f>
        <v>5.6</v>
      </c>
      <c r="L1495" s="19">
        <f>Ringkasan!L1494</f>
        <v>0.99</v>
      </c>
      <c r="M1495" s="19">
        <f>Ringkasan!M1494</f>
        <v>52.4</v>
      </c>
      <c r="N1495" s="64" t="str">
        <f>Ringkasan!N1494</f>
        <v/>
      </c>
      <c r="O1495" s="64" t="str">
        <f>Ringkasan!O1494</f>
        <v/>
      </c>
      <c r="P1495" s="64" t="str">
        <f>Ringkasan!P1494</f>
        <v/>
      </c>
      <c r="Q1495" s="64" t="str">
        <f>Ringkasan!Q1494</f>
        <v/>
      </c>
      <c r="R1495" s="64" t="str">
        <f>Ringkasan!R1494</f>
        <v/>
      </c>
      <c r="S1495" s="64" t="str">
        <f>Ringkasan!S1494</f>
        <v/>
      </c>
      <c r="T1495" s="64" t="str">
        <f>Ringkasan!T1494</f>
        <v/>
      </c>
      <c r="U1495" s="64">
        <f>Ringkasan!U1494</f>
        <v>3600</v>
      </c>
      <c r="V1495" s="64">
        <f>Ringkasan!V1494</f>
        <v>4.17</v>
      </c>
      <c r="W1495" s="64">
        <f>Ringkasan!W1494</f>
        <v>3670</v>
      </c>
      <c r="X1495" s="64" t="str">
        <f>Ringkasan!X1494</f>
        <v/>
      </c>
      <c r="Y1495" s="64">
        <f>Ringkasan!Y1494</f>
        <v>3660</v>
      </c>
      <c r="Z1495" s="64">
        <f>Ringkasan!Z1494</f>
        <v>38346600</v>
      </c>
      <c r="AA1495" s="64" t="str">
        <f>Ringkasan!AA1494</f>
        <v>Oil &amp; Gas</v>
      </c>
      <c r="AB1495" s="64" t="str">
        <f>Ringkasan!AB1494</f>
        <v>Energy</v>
      </c>
    </row>
    <row r="1496" hidden="1">
      <c r="A1496" s="64" t="str">
        <f>Ringkasan!A1495</f>
        <v>RAJA</v>
      </c>
      <c r="B1496" s="64" t="str">
        <f>Ringkasan!B1495</f>
        <v>Rukun Raharja Tbk.</v>
      </c>
      <c r="C1496" s="65">
        <f>Ringkasan!C1495</f>
        <v>3750</v>
      </c>
      <c r="D1496" s="64" t="str">
        <f>Ringkasan!D1495</f>
        <v>#N/A</v>
      </c>
      <c r="E1496" s="64" t="str">
        <f>Ringkasan!E1495</f>
        <v>MSCI Small Cap</v>
      </c>
      <c r="F1496" s="64" t="str">
        <f>Ringkasan!F1495</f>
        <v>12 Agustus 2026</v>
      </c>
      <c r="G1496" s="65">
        <f>Ringkasan!G1495</f>
        <v>6</v>
      </c>
      <c r="H1496" s="19">
        <f>Ringkasan!H1495</f>
        <v>32.1</v>
      </c>
      <c r="I1496" s="19">
        <f>Ringkasan!I1495</f>
        <v>3.6</v>
      </c>
      <c r="J1496" s="19">
        <f>Ringkasan!J1495</f>
        <v>11.2</v>
      </c>
      <c r="K1496" s="19">
        <f>Ringkasan!K1495</f>
        <v>5.6</v>
      </c>
      <c r="L1496" s="19">
        <f>Ringkasan!L1495</f>
        <v>0.99</v>
      </c>
      <c r="M1496" s="19">
        <f>Ringkasan!M1495</f>
        <v>52.4</v>
      </c>
      <c r="N1496" s="64" t="str">
        <f>Ringkasan!N1495</f>
        <v/>
      </c>
      <c r="O1496" s="64" t="str">
        <f>Ringkasan!O1495</f>
        <v/>
      </c>
      <c r="P1496" s="64" t="str">
        <f>Ringkasan!P1495</f>
        <v/>
      </c>
      <c r="Q1496" s="64" t="str">
        <f>Ringkasan!Q1495</f>
        <v/>
      </c>
      <c r="R1496" s="64" t="str">
        <f>Ringkasan!R1495</f>
        <v/>
      </c>
      <c r="S1496" s="64" t="str">
        <f>Ringkasan!S1495</f>
        <v/>
      </c>
      <c r="T1496" s="64" t="str">
        <f>Ringkasan!T1495</f>
        <v/>
      </c>
      <c r="U1496" s="64">
        <f>Ringkasan!U1495</f>
        <v>3600</v>
      </c>
      <c r="V1496" s="64">
        <f>Ringkasan!V1495</f>
        <v>4.17</v>
      </c>
      <c r="W1496" s="64">
        <f>Ringkasan!W1495</f>
        <v>3670</v>
      </c>
      <c r="X1496" s="64" t="str">
        <f>Ringkasan!X1495</f>
        <v/>
      </c>
      <c r="Y1496" s="64">
        <f>Ringkasan!Y1495</f>
        <v>3660</v>
      </c>
      <c r="Z1496" s="64">
        <f>Ringkasan!Z1495</f>
        <v>38346600</v>
      </c>
      <c r="AA1496" s="64" t="str">
        <f>Ringkasan!AA1495</f>
        <v>Oil &amp; Gas</v>
      </c>
      <c r="AB1496" s="64" t="str">
        <f>Ringkasan!AB1495</f>
        <v>Energy</v>
      </c>
    </row>
    <row r="1497" hidden="1">
      <c r="A1497" s="64" t="str">
        <f>Ringkasan!A1496</f>
        <v>RALS</v>
      </c>
      <c r="B1497" s="64" t="str">
        <f>Ringkasan!B1496</f>
        <v>Ramayana Lestari Sentosa Tbk.</v>
      </c>
      <c r="C1497" s="65">
        <f>Ringkasan!C1496</f>
        <v>382</v>
      </c>
      <c r="D1497" s="64" t="str">
        <f>Ringkasan!D1496</f>
        <v>#N/A</v>
      </c>
      <c r="E1497" s="64" t="str">
        <f>Ringkasan!E1496</f>
        <v/>
      </c>
      <c r="F1497" s="64" t="str">
        <f>Ringkasan!F1496</f>
        <v/>
      </c>
      <c r="G1497" s="64">
        <f>Ringkasan!G1496</f>
        <v>0</v>
      </c>
      <c r="H1497" s="19">
        <f>Ringkasan!H1496</f>
        <v>11.2</v>
      </c>
      <c r="I1497" s="19">
        <f>Ringkasan!I1496</f>
        <v>0.71</v>
      </c>
      <c r="J1497" s="19">
        <f>Ringkasan!J1496</f>
        <v>6.4</v>
      </c>
      <c r="K1497" s="19">
        <f>Ringkasan!K1496</f>
        <v>4.4</v>
      </c>
      <c r="L1497" s="19">
        <f>Ringkasan!L1496</f>
        <v>0.47</v>
      </c>
      <c r="M1497" s="19">
        <f>Ringkasan!M1496</f>
        <v>24.4</v>
      </c>
      <c r="N1497" s="64" t="str">
        <f>Ringkasan!N1496</f>
        <v/>
      </c>
      <c r="O1497" s="64" t="str">
        <f>Ringkasan!O1496</f>
        <v/>
      </c>
      <c r="P1497" s="64" t="str">
        <f>Ringkasan!P1496</f>
        <v/>
      </c>
      <c r="Q1497" s="64" t="str">
        <f>Ringkasan!Q1496</f>
        <v/>
      </c>
      <c r="R1497" s="64" t="str">
        <f>Ringkasan!R1496</f>
        <v/>
      </c>
      <c r="S1497" s="64" t="str">
        <f>Ringkasan!S1496</f>
        <v/>
      </c>
      <c r="T1497" s="64" t="str">
        <f>Ringkasan!T1496</f>
        <v/>
      </c>
      <c r="U1497" s="64">
        <f>Ringkasan!U1496</f>
        <v>378</v>
      </c>
      <c r="V1497" s="64">
        <f>Ringkasan!V1496</f>
        <v>1.06</v>
      </c>
      <c r="W1497" s="64">
        <f>Ringkasan!W1496</f>
        <v>378</v>
      </c>
      <c r="X1497" s="64">
        <f>Ringkasan!X1496</f>
        <v>388</v>
      </c>
      <c r="Y1497" s="64">
        <f>Ringkasan!Y1496</f>
        <v>378</v>
      </c>
      <c r="Z1497" s="64">
        <f>Ringkasan!Z1496</f>
        <v>4739200</v>
      </c>
      <c r="AA1497" s="64" t="str">
        <f>Ringkasan!AA1496</f>
        <v>Department Stores</v>
      </c>
      <c r="AB1497" s="64" t="str">
        <f>Ringkasan!AB1496</f>
        <v>Consumer Cyclicals</v>
      </c>
    </row>
    <row r="1498" hidden="1">
      <c r="A1498" s="64" t="str">
        <f>Ringkasan!A1497</f>
        <v>RANC</v>
      </c>
      <c r="B1498" s="64" t="str">
        <f>Ringkasan!B1497</f>
        <v>Supra Boga Lestari Tbk</v>
      </c>
      <c r="C1498" s="65">
        <f>Ringkasan!C1497</f>
        <v>535</v>
      </c>
      <c r="D1498" s="64" t="str">
        <f>Ringkasan!D1497</f>
        <v>#N/A</v>
      </c>
      <c r="E1498" s="64" t="str">
        <f>Ringkasan!E1497</f>
        <v/>
      </c>
      <c r="F1498" s="64" t="str">
        <f>Ringkasan!F1497</f>
        <v/>
      </c>
      <c r="G1498" s="64">
        <f>Ringkasan!G1497</f>
        <v>0</v>
      </c>
      <c r="H1498" s="19">
        <f>Ringkasan!H1497</f>
        <v>-20.2</v>
      </c>
      <c r="I1498" s="19">
        <f>Ringkasan!I1497</f>
        <v>3</v>
      </c>
      <c r="J1498" s="19">
        <f>Ringkasan!J1497</f>
        <v>-14.9</v>
      </c>
      <c r="K1498" s="19">
        <f>Ringkasan!K1497</f>
        <v>-3.4</v>
      </c>
      <c r="L1498" s="19">
        <f>Ringkasan!L1497</f>
        <v>3.3</v>
      </c>
      <c r="M1498" s="19">
        <f>Ringkasan!M1497</f>
        <v>-4.9</v>
      </c>
      <c r="N1498" s="64" t="str">
        <f>Ringkasan!N1497</f>
        <v/>
      </c>
      <c r="O1498" s="64" t="str">
        <f>Ringkasan!O1497</f>
        <v/>
      </c>
      <c r="P1498" s="64" t="str">
        <f>Ringkasan!P1497</f>
        <v/>
      </c>
      <c r="Q1498" s="64" t="str">
        <f>Ringkasan!Q1497</f>
        <v/>
      </c>
      <c r="R1498" s="64" t="str">
        <f>Ringkasan!R1497</f>
        <v/>
      </c>
      <c r="S1498" s="64" t="str">
        <f>Ringkasan!S1497</f>
        <v/>
      </c>
      <c r="T1498" s="64" t="str">
        <f>Ringkasan!T1497</f>
        <v/>
      </c>
      <c r="U1498" s="64">
        <f>Ringkasan!U1497</f>
        <v>510</v>
      </c>
      <c r="V1498" s="64">
        <f>Ringkasan!V1497</f>
        <v>4.9</v>
      </c>
      <c r="W1498" s="64">
        <f>Ringkasan!W1497</f>
        <v>490</v>
      </c>
      <c r="X1498" s="64">
        <f>Ringkasan!X1497</f>
        <v>585</v>
      </c>
      <c r="Y1498" s="64">
        <f>Ringkasan!Y1497</f>
        <v>490</v>
      </c>
      <c r="Z1498" s="64">
        <f>Ringkasan!Z1497</f>
        <v>21200</v>
      </c>
      <c r="AA1498" s="64" t="str">
        <f>Ringkasan!AA1497</f>
        <v>Food &amp; Staples Retailing</v>
      </c>
      <c r="AB1498" s="64" t="str">
        <f>Ringkasan!AB1497</f>
        <v>Consumer Non-Cyclicals</v>
      </c>
    </row>
    <row r="1499" hidden="1">
      <c r="A1499" s="64" t="str">
        <f>Ringkasan!A1498</f>
        <v>RATU</v>
      </c>
      <c r="B1499" s="64" t="str">
        <f>Ringkasan!B1498</f>
        <v>Raharja Energi Cepu Tbk.</v>
      </c>
      <c r="C1499" s="65">
        <f>Ringkasan!C1498</f>
        <v>4710</v>
      </c>
      <c r="D1499" s="64" t="str">
        <f>Ringkasan!D1498</f>
        <v>#N/A</v>
      </c>
      <c r="E1499" s="64" t="str">
        <f>Ringkasan!E1498</f>
        <v>IDXSHAGROW</v>
      </c>
      <c r="F1499" s="66">
        <f>Ringkasan!F1498</f>
        <v>46356</v>
      </c>
      <c r="G1499" s="64">
        <f>Ringkasan!G1498</f>
        <v>6</v>
      </c>
      <c r="H1499" s="19">
        <f>Ringkasan!H1498</f>
        <v>63.4</v>
      </c>
      <c r="I1499" s="19">
        <f>Ringkasan!I1498</f>
        <v>14</v>
      </c>
      <c r="J1499" s="19">
        <f>Ringkasan!J1498</f>
        <v>22</v>
      </c>
      <c r="K1499" s="19">
        <f>Ringkasan!K1498</f>
        <v>10.2</v>
      </c>
      <c r="L1499" s="19">
        <f>Ringkasan!L1498</f>
        <v>1.2</v>
      </c>
      <c r="M1499" s="19">
        <f>Ringkasan!M1498</f>
        <v>120</v>
      </c>
      <c r="N1499" s="64" t="str">
        <f>Ringkasan!N1498</f>
        <v/>
      </c>
      <c r="O1499" s="64" t="str">
        <f>Ringkasan!O1498</f>
        <v/>
      </c>
      <c r="P1499" s="64" t="str">
        <f>Ringkasan!P1498</f>
        <v/>
      </c>
      <c r="Q1499" s="64" t="str">
        <f>Ringkasan!Q1498</f>
        <v/>
      </c>
      <c r="R1499" s="64" t="str">
        <f>Ringkasan!R1498</f>
        <v/>
      </c>
      <c r="S1499" s="64" t="str">
        <f>Ringkasan!S1498</f>
        <v/>
      </c>
      <c r="T1499" s="64" t="str">
        <f>Ringkasan!T1498</f>
        <v/>
      </c>
      <c r="U1499" s="64">
        <f>Ringkasan!U1498</f>
        <v>4540</v>
      </c>
      <c r="V1499" s="64">
        <f>Ringkasan!V1498</f>
        <v>3.74</v>
      </c>
      <c r="W1499" s="64">
        <f>Ringkasan!W1498</f>
        <v>4620</v>
      </c>
      <c r="X1499" s="64">
        <f>Ringkasan!X1498</f>
        <v>4850</v>
      </c>
      <c r="Y1499" s="64">
        <f>Ringkasan!Y1498</f>
        <v>4620</v>
      </c>
      <c r="Z1499" s="64">
        <f>Ringkasan!Z1498</f>
        <v>6294000</v>
      </c>
      <c r="AA1499" s="64" t="str">
        <f>Ringkasan!AA1498</f>
        <v>Oil &amp; Gas</v>
      </c>
      <c r="AB1499" s="64" t="str">
        <f>Ringkasan!AB1498</f>
        <v>Energy</v>
      </c>
    </row>
    <row r="1500" hidden="1">
      <c r="A1500" s="64" t="str">
        <f>Ringkasan!A1499</f>
        <v>RATU</v>
      </c>
      <c r="B1500" s="64" t="str">
        <f>Ringkasan!B1499</f>
        <v>Raharja Energi Cepu Tbk.</v>
      </c>
      <c r="C1500" s="65">
        <f>Ringkasan!C1499</f>
        <v>4710</v>
      </c>
      <c r="D1500" s="64" t="str">
        <f>Ringkasan!D1499</f>
        <v>#N/A</v>
      </c>
      <c r="E1500" s="64" t="str">
        <f>Ringkasan!E1499</f>
        <v>JII30</v>
      </c>
      <c r="F1500" s="66">
        <f>Ringkasan!F1499</f>
        <v>46356</v>
      </c>
      <c r="G1500" s="64">
        <f>Ringkasan!G1499</f>
        <v>6</v>
      </c>
      <c r="H1500" s="19">
        <f>Ringkasan!H1499</f>
        <v>63.4</v>
      </c>
      <c r="I1500" s="19">
        <f>Ringkasan!I1499</f>
        <v>14</v>
      </c>
      <c r="J1500" s="19">
        <f>Ringkasan!J1499</f>
        <v>22</v>
      </c>
      <c r="K1500" s="19">
        <f>Ringkasan!K1499</f>
        <v>10.2</v>
      </c>
      <c r="L1500" s="19">
        <f>Ringkasan!L1499</f>
        <v>1.2</v>
      </c>
      <c r="M1500" s="19">
        <f>Ringkasan!M1499</f>
        <v>120</v>
      </c>
      <c r="N1500" s="64" t="str">
        <f>Ringkasan!N1499</f>
        <v/>
      </c>
      <c r="O1500" s="64" t="str">
        <f>Ringkasan!O1499</f>
        <v/>
      </c>
      <c r="P1500" s="64" t="str">
        <f>Ringkasan!P1499</f>
        <v/>
      </c>
      <c r="Q1500" s="64" t="str">
        <f>Ringkasan!Q1499</f>
        <v/>
      </c>
      <c r="R1500" s="64" t="str">
        <f>Ringkasan!R1499</f>
        <v/>
      </c>
      <c r="S1500" s="64" t="str">
        <f>Ringkasan!S1499</f>
        <v/>
      </c>
      <c r="T1500" s="64" t="str">
        <f>Ringkasan!T1499</f>
        <v/>
      </c>
      <c r="U1500" s="64">
        <f>Ringkasan!U1499</f>
        <v>4540</v>
      </c>
      <c r="V1500" s="64">
        <f>Ringkasan!V1499</f>
        <v>3.74</v>
      </c>
      <c r="W1500" s="64">
        <f>Ringkasan!W1499</f>
        <v>4620</v>
      </c>
      <c r="X1500" s="64">
        <f>Ringkasan!X1499</f>
        <v>4850</v>
      </c>
      <c r="Y1500" s="64">
        <f>Ringkasan!Y1499</f>
        <v>4620</v>
      </c>
      <c r="Z1500" s="64">
        <f>Ringkasan!Z1499</f>
        <v>6294000</v>
      </c>
      <c r="AA1500" s="64" t="str">
        <f>Ringkasan!AA1499</f>
        <v>Oil &amp; Gas</v>
      </c>
      <c r="AB1500" s="64" t="str">
        <f>Ringkasan!AB1499</f>
        <v>Energy</v>
      </c>
    </row>
    <row r="1501" hidden="1">
      <c r="A1501" s="64" t="str">
        <f>Ringkasan!A1500</f>
        <v>RATU</v>
      </c>
      <c r="B1501" s="64" t="str">
        <f>Ringkasan!B1500</f>
        <v>Raharja Energi Cepu Tbk.</v>
      </c>
      <c r="C1501" s="65">
        <f>Ringkasan!C1500</f>
        <v>4710</v>
      </c>
      <c r="D1501" s="64" t="str">
        <f>Ringkasan!D1500</f>
        <v>#N/A</v>
      </c>
      <c r="E1501" s="64" t="str">
        <f>Ringkasan!E1500</f>
        <v>IDX80</v>
      </c>
      <c r="F1501" s="64" t="str">
        <f>Ringkasan!F1500</f>
        <v>31 Juli 2026</v>
      </c>
      <c r="G1501" s="64">
        <f>Ringkasan!G1500</f>
        <v>6</v>
      </c>
      <c r="H1501" s="19">
        <f>Ringkasan!H1500</f>
        <v>63.4</v>
      </c>
      <c r="I1501" s="19">
        <f>Ringkasan!I1500</f>
        <v>14</v>
      </c>
      <c r="J1501" s="19">
        <f>Ringkasan!J1500</f>
        <v>22</v>
      </c>
      <c r="K1501" s="19">
        <f>Ringkasan!K1500</f>
        <v>10.2</v>
      </c>
      <c r="L1501" s="19">
        <f>Ringkasan!L1500</f>
        <v>1.2</v>
      </c>
      <c r="M1501" s="19">
        <f>Ringkasan!M1500</f>
        <v>120</v>
      </c>
      <c r="N1501" s="64" t="str">
        <f>Ringkasan!N1500</f>
        <v/>
      </c>
      <c r="O1501" s="64" t="str">
        <f>Ringkasan!O1500</f>
        <v/>
      </c>
      <c r="P1501" s="64" t="str">
        <f>Ringkasan!P1500</f>
        <v/>
      </c>
      <c r="Q1501" s="64" t="str">
        <f>Ringkasan!Q1500</f>
        <v/>
      </c>
      <c r="R1501" s="64" t="str">
        <f>Ringkasan!R1500</f>
        <v/>
      </c>
      <c r="S1501" s="64" t="str">
        <f>Ringkasan!S1500</f>
        <v/>
      </c>
      <c r="T1501" s="64" t="str">
        <f>Ringkasan!T1500</f>
        <v/>
      </c>
      <c r="U1501" s="64">
        <f>Ringkasan!U1500</f>
        <v>4540</v>
      </c>
      <c r="V1501" s="64">
        <f>Ringkasan!V1500</f>
        <v>3.74</v>
      </c>
      <c r="W1501" s="64">
        <f>Ringkasan!W1500</f>
        <v>4620</v>
      </c>
      <c r="X1501" s="64">
        <f>Ringkasan!X1500</f>
        <v>4850</v>
      </c>
      <c r="Y1501" s="64">
        <f>Ringkasan!Y1500</f>
        <v>4620</v>
      </c>
      <c r="Z1501" s="64">
        <f>Ringkasan!Z1500</f>
        <v>6294000</v>
      </c>
      <c r="AA1501" s="64" t="str">
        <f>Ringkasan!AA1500</f>
        <v>Oil &amp; Gas</v>
      </c>
      <c r="AB1501" s="64" t="str">
        <f>Ringkasan!AB1500</f>
        <v>Energy</v>
      </c>
    </row>
    <row r="1502" hidden="1">
      <c r="A1502" s="64" t="str">
        <f>Ringkasan!A1501</f>
        <v>RATU</v>
      </c>
      <c r="B1502" s="64" t="str">
        <f>Ringkasan!B1501</f>
        <v>Raharja Energi Cepu Tbk.</v>
      </c>
      <c r="C1502" s="65">
        <f>Ringkasan!C1501</f>
        <v>4710</v>
      </c>
      <c r="D1502" s="64" t="str">
        <f>Ringkasan!D1501</f>
        <v>#N/A</v>
      </c>
      <c r="E1502" s="64" t="str">
        <f>Ringkasan!E1501</f>
        <v>Kompas100</v>
      </c>
      <c r="F1502" s="64" t="str">
        <f>Ringkasan!F1501</f>
        <v>31 Juli 2026</v>
      </c>
      <c r="G1502" s="64">
        <f>Ringkasan!G1501</f>
        <v>6</v>
      </c>
      <c r="H1502" s="19">
        <f>Ringkasan!H1501</f>
        <v>63.4</v>
      </c>
      <c r="I1502" s="19">
        <f>Ringkasan!I1501</f>
        <v>14</v>
      </c>
      <c r="J1502" s="19">
        <f>Ringkasan!J1501</f>
        <v>22</v>
      </c>
      <c r="K1502" s="19">
        <f>Ringkasan!K1501</f>
        <v>10.2</v>
      </c>
      <c r="L1502" s="19">
        <f>Ringkasan!L1501</f>
        <v>1.2</v>
      </c>
      <c r="M1502" s="19">
        <f>Ringkasan!M1501</f>
        <v>120</v>
      </c>
      <c r="N1502" s="64" t="str">
        <f>Ringkasan!N1501</f>
        <v/>
      </c>
      <c r="O1502" s="64" t="str">
        <f>Ringkasan!O1501</f>
        <v/>
      </c>
      <c r="P1502" s="64" t="str">
        <f>Ringkasan!P1501</f>
        <v/>
      </c>
      <c r="Q1502" s="64" t="str">
        <f>Ringkasan!Q1501</f>
        <v/>
      </c>
      <c r="R1502" s="64" t="str">
        <f>Ringkasan!R1501</f>
        <v/>
      </c>
      <c r="S1502" s="64" t="str">
        <f>Ringkasan!S1501</f>
        <v/>
      </c>
      <c r="T1502" s="64" t="str">
        <f>Ringkasan!T1501</f>
        <v/>
      </c>
      <c r="U1502" s="64">
        <f>Ringkasan!U1501</f>
        <v>4540</v>
      </c>
      <c r="V1502" s="64">
        <f>Ringkasan!V1501</f>
        <v>3.74</v>
      </c>
      <c r="W1502" s="64">
        <f>Ringkasan!W1501</f>
        <v>4620</v>
      </c>
      <c r="X1502" s="64">
        <f>Ringkasan!X1501</f>
        <v>4850</v>
      </c>
      <c r="Y1502" s="64">
        <f>Ringkasan!Y1501</f>
        <v>4620</v>
      </c>
      <c r="Z1502" s="64">
        <f>Ringkasan!Z1501</f>
        <v>6294000</v>
      </c>
      <c r="AA1502" s="64" t="str">
        <f>Ringkasan!AA1501</f>
        <v>Oil &amp; Gas</v>
      </c>
      <c r="AB1502" s="64" t="str">
        <f>Ringkasan!AB1501</f>
        <v>Energy</v>
      </c>
    </row>
    <row r="1503" hidden="1">
      <c r="A1503" s="64" t="str">
        <f>Ringkasan!A1502</f>
        <v>RATU</v>
      </c>
      <c r="B1503" s="64" t="str">
        <f>Ringkasan!B1502</f>
        <v>Raharja Energi Cepu Tbk.</v>
      </c>
      <c r="C1503" s="65">
        <f>Ringkasan!C1502</f>
        <v>4710</v>
      </c>
      <c r="D1503" s="64" t="str">
        <f>Ringkasan!D1502</f>
        <v>#N/A</v>
      </c>
      <c r="E1503" s="64" t="str">
        <f>Ringkasan!E1502</f>
        <v>MSCI Small Cap</v>
      </c>
      <c r="F1503" s="64" t="str">
        <f>Ringkasan!F1502</f>
        <v>12 Agustus 2026</v>
      </c>
      <c r="G1503" s="65">
        <f>Ringkasan!G1502</f>
        <v>6</v>
      </c>
      <c r="H1503" s="19">
        <f>Ringkasan!H1502</f>
        <v>63.4</v>
      </c>
      <c r="I1503" s="19">
        <f>Ringkasan!I1502</f>
        <v>14</v>
      </c>
      <c r="J1503" s="19">
        <f>Ringkasan!J1502</f>
        <v>22</v>
      </c>
      <c r="K1503" s="19">
        <f>Ringkasan!K1502</f>
        <v>10.2</v>
      </c>
      <c r="L1503" s="19">
        <f>Ringkasan!L1502</f>
        <v>1.2</v>
      </c>
      <c r="M1503" s="19">
        <f>Ringkasan!M1502</f>
        <v>120</v>
      </c>
      <c r="N1503" s="64" t="str">
        <f>Ringkasan!N1502</f>
        <v/>
      </c>
      <c r="O1503" s="64" t="str">
        <f>Ringkasan!O1502</f>
        <v/>
      </c>
      <c r="P1503" s="64" t="str">
        <f>Ringkasan!P1502</f>
        <v/>
      </c>
      <c r="Q1503" s="64" t="str">
        <f>Ringkasan!Q1502</f>
        <v/>
      </c>
      <c r="R1503" s="64" t="str">
        <f>Ringkasan!R1502</f>
        <v/>
      </c>
      <c r="S1503" s="64" t="str">
        <f>Ringkasan!S1502</f>
        <v/>
      </c>
      <c r="T1503" s="64" t="str">
        <f>Ringkasan!T1502</f>
        <v/>
      </c>
      <c r="U1503" s="64">
        <f>Ringkasan!U1502</f>
        <v>4540</v>
      </c>
      <c r="V1503" s="64">
        <f>Ringkasan!V1502</f>
        <v>3.74</v>
      </c>
      <c r="W1503" s="64">
        <f>Ringkasan!W1502</f>
        <v>4620</v>
      </c>
      <c r="X1503" s="64">
        <f>Ringkasan!X1502</f>
        <v>4850</v>
      </c>
      <c r="Y1503" s="64">
        <f>Ringkasan!Y1502</f>
        <v>4620</v>
      </c>
      <c r="Z1503" s="64">
        <f>Ringkasan!Z1502</f>
        <v>6294000</v>
      </c>
      <c r="AA1503" s="64" t="str">
        <f>Ringkasan!AA1502</f>
        <v>Oil &amp; Gas</v>
      </c>
      <c r="AB1503" s="64" t="str">
        <f>Ringkasan!AB1502</f>
        <v>Energy</v>
      </c>
    </row>
    <row r="1504" hidden="1">
      <c r="A1504" s="64" t="str">
        <f>Ringkasan!A1503</f>
        <v>RATU</v>
      </c>
      <c r="B1504" s="64" t="str">
        <f>Ringkasan!B1503</f>
        <v>Raharja Energi Cepu Tbk.</v>
      </c>
      <c r="C1504" s="65">
        <f>Ringkasan!C1503</f>
        <v>4710</v>
      </c>
      <c r="D1504" s="64" t="str">
        <f>Ringkasan!D1503</f>
        <v>#N/A</v>
      </c>
      <c r="E1504" s="64" t="str">
        <f>Ringkasan!E1503</f>
        <v>JII70</v>
      </c>
      <c r="F1504" s="66">
        <f>Ringkasan!F1503</f>
        <v>46356</v>
      </c>
      <c r="G1504" s="64">
        <f>Ringkasan!G1503</f>
        <v>6</v>
      </c>
      <c r="H1504" s="19">
        <f>Ringkasan!H1503</f>
        <v>63.4</v>
      </c>
      <c r="I1504" s="19">
        <f>Ringkasan!I1503</f>
        <v>14</v>
      </c>
      <c r="J1504" s="19">
        <f>Ringkasan!J1503</f>
        <v>22</v>
      </c>
      <c r="K1504" s="19">
        <f>Ringkasan!K1503</f>
        <v>10.2</v>
      </c>
      <c r="L1504" s="19">
        <f>Ringkasan!L1503</f>
        <v>1.2</v>
      </c>
      <c r="M1504" s="19">
        <f>Ringkasan!M1503</f>
        <v>120</v>
      </c>
      <c r="N1504" s="64" t="str">
        <f>Ringkasan!N1503</f>
        <v/>
      </c>
      <c r="O1504" s="64" t="str">
        <f>Ringkasan!O1503</f>
        <v/>
      </c>
      <c r="P1504" s="64" t="str">
        <f>Ringkasan!P1503</f>
        <v/>
      </c>
      <c r="Q1504" s="64" t="str">
        <f>Ringkasan!Q1503</f>
        <v/>
      </c>
      <c r="R1504" s="64" t="str">
        <f>Ringkasan!R1503</f>
        <v/>
      </c>
      <c r="S1504" s="64" t="str">
        <f>Ringkasan!S1503</f>
        <v/>
      </c>
      <c r="T1504" s="64" t="str">
        <f>Ringkasan!T1503</f>
        <v/>
      </c>
      <c r="U1504" s="64">
        <f>Ringkasan!U1503</f>
        <v>4540</v>
      </c>
      <c r="V1504" s="64">
        <f>Ringkasan!V1503</f>
        <v>3.74</v>
      </c>
      <c r="W1504" s="64">
        <f>Ringkasan!W1503</f>
        <v>4620</v>
      </c>
      <c r="X1504" s="64">
        <f>Ringkasan!X1503</f>
        <v>4850</v>
      </c>
      <c r="Y1504" s="64">
        <f>Ringkasan!Y1503</f>
        <v>4620</v>
      </c>
      <c r="Z1504" s="64">
        <f>Ringkasan!Z1503</f>
        <v>6294000</v>
      </c>
      <c r="AA1504" s="64" t="str">
        <f>Ringkasan!AA1503</f>
        <v>Oil &amp; Gas</v>
      </c>
      <c r="AB1504" s="64" t="str">
        <f>Ringkasan!AB1503</f>
        <v>Energy</v>
      </c>
    </row>
    <row r="1505" hidden="1">
      <c r="A1505" s="64" t="str">
        <f>Ringkasan!A1504</f>
        <v>RBMS</v>
      </c>
      <c r="B1505" s="64" t="str">
        <f>Ringkasan!B1504</f>
        <v>Ristia Bintang Mahkotasejati Tbk.</v>
      </c>
      <c r="C1505" s="65">
        <f>Ringkasan!C1504</f>
        <v>54</v>
      </c>
      <c r="D1505" s="64" t="str">
        <f>Ringkasan!D1504</f>
        <v>#N/A</v>
      </c>
      <c r="E1505" s="64" t="str">
        <f>Ringkasan!E1504</f>
        <v/>
      </c>
      <c r="F1505" s="64" t="str">
        <f>Ringkasan!F1504</f>
        <v/>
      </c>
      <c r="G1505" s="64">
        <f>Ringkasan!G1504</f>
        <v>0</v>
      </c>
      <c r="H1505" s="19">
        <f>Ringkasan!H1504</f>
        <v>33.2</v>
      </c>
      <c r="I1505" s="19">
        <f>Ringkasan!I1504</f>
        <v>0.34</v>
      </c>
      <c r="J1505" s="19">
        <f>Ringkasan!J1504</f>
        <v>1</v>
      </c>
      <c r="K1505" s="19">
        <f>Ringkasan!K1504</f>
        <v>0.66</v>
      </c>
      <c r="L1505" s="19">
        <f>Ringkasan!L1504</f>
        <v>0.56</v>
      </c>
      <c r="M1505" s="19">
        <f>Ringkasan!M1504</f>
        <v>12.4</v>
      </c>
      <c r="N1505" s="64" t="str">
        <f>Ringkasan!N1504</f>
        <v/>
      </c>
      <c r="O1505" s="64" t="str">
        <f>Ringkasan!O1504</f>
        <v/>
      </c>
      <c r="P1505" s="64" t="str">
        <f>Ringkasan!P1504</f>
        <v/>
      </c>
      <c r="Q1505" s="64" t="str">
        <f>Ringkasan!Q1504</f>
        <v/>
      </c>
      <c r="R1505" s="64" t="str">
        <f>Ringkasan!R1504</f>
        <v/>
      </c>
      <c r="S1505" s="64" t="str">
        <f>Ringkasan!S1504</f>
        <v/>
      </c>
      <c r="T1505" s="64" t="str">
        <f>Ringkasan!T1504</f>
        <v/>
      </c>
      <c r="U1505" s="64">
        <f>Ringkasan!U1504</f>
        <v>53</v>
      </c>
      <c r="V1505" s="64">
        <f>Ringkasan!V1504</f>
        <v>1.89</v>
      </c>
      <c r="W1505" s="64">
        <f>Ringkasan!W1504</f>
        <v>53</v>
      </c>
      <c r="X1505" s="64" t="str">
        <f>Ringkasan!X1504</f>
        <v/>
      </c>
      <c r="Y1505" s="64">
        <f>Ringkasan!Y1504</f>
        <v>52</v>
      </c>
      <c r="Z1505" s="64">
        <f>Ringkasan!Z1504</f>
        <v>197033800</v>
      </c>
      <c r="AA1505" s="64" t="str">
        <f>Ringkasan!AA1504</f>
        <v>Real Estate Management &amp; Development</v>
      </c>
      <c r="AB1505" s="64" t="str">
        <f>Ringkasan!AB1504</f>
        <v>Properties &amp; Real Estate</v>
      </c>
    </row>
    <row r="1506" hidden="1">
      <c r="A1506" s="64" t="str">
        <f>Ringkasan!A1505</f>
        <v>RCCC</v>
      </c>
      <c r="B1506" s="64" t="str">
        <f>Ringkasan!B1505</f>
        <v>Utama Radar Cahaya Tbk.</v>
      </c>
      <c r="C1506" s="65">
        <f>Ringkasan!C1505</f>
        <v>80</v>
      </c>
      <c r="D1506" s="64" t="str">
        <f>Ringkasan!D1505</f>
        <v>#N/A</v>
      </c>
      <c r="E1506" s="64" t="str">
        <f>Ringkasan!E1505</f>
        <v/>
      </c>
      <c r="F1506" s="64" t="str">
        <f>Ringkasan!F1505</f>
        <v/>
      </c>
      <c r="G1506" s="64">
        <f>Ringkasan!G1505</f>
        <v>0</v>
      </c>
      <c r="H1506" s="19">
        <f>Ringkasan!H1505</f>
        <v>16.2</v>
      </c>
      <c r="I1506" s="19">
        <f>Ringkasan!I1505</f>
        <v>1.5</v>
      </c>
      <c r="J1506" s="19">
        <f>Ringkasan!J1505</f>
        <v>9.4</v>
      </c>
      <c r="K1506" s="19">
        <f>Ringkasan!K1505</f>
        <v>4.8</v>
      </c>
      <c r="L1506" s="19">
        <f>Ringkasan!L1505</f>
        <v>0.96</v>
      </c>
      <c r="M1506" s="19">
        <f>Ringkasan!M1505</f>
        <v>20.4</v>
      </c>
      <c r="N1506" s="64" t="str">
        <f>Ringkasan!N1505</f>
        <v/>
      </c>
      <c r="O1506" s="64" t="str">
        <f>Ringkasan!O1505</f>
        <v/>
      </c>
      <c r="P1506" s="64" t="str">
        <f>Ringkasan!P1505</f>
        <v/>
      </c>
      <c r="Q1506" s="64" t="str">
        <f>Ringkasan!Q1505</f>
        <v/>
      </c>
      <c r="R1506" s="64" t="str">
        <f>Ringkasan!R1505</f>
        <v/>
      </c>
      <c r="S1506" s="64" t="str">
        <f>Ringkasan!S1505</f>
        <v/>
      </c>
      <c r="T1506" s="64" t="str">
        <f>Ringkasan!T1505</f>
        <v/>
      </c>
      <c r="U1506" s="64">
        <f>Ringkasan!U1505</f>
        <v>81</v>
      </c>
      <c r="V1506" s="64">
        <f>Ringkasan!V1505</f>
        <v>-1.23</v>
      </c>
      <c r="W1506" s="64">
        <f>Ringkasan!W1505</f>
        <v>81</v>
      </c>
      <c r="X1506" s="64">
        <f>Ringkasan!X1505</f>
        <v>82</v>
      </c>
      <c r="Y1506" s="64">
        <f>Ringkasan!Y1505</f>
        <v>79</v>
      </c>
      <c r="Z1506" s="64">
        <f>Ringkasan!Z1505</f>
        <v>823200</v>
      </c>
      <c r="AA1506" s="64" t="str">
        <f>Ringkasan!AA1505</f>
        <v>Logistics &amp; Deliveries</v>
      </c>
      <c r="AB1506" s="64" t="str">
        <f>Ringkasan!AB1505</f>
        <v>Transportation &amp; Logistic</v>
      </c>
    </row>
    <row r="1507" hidden="1">
      <c r="A1507" s="64" t="str">
        <f>Ringkasan!A1506</f>
        <v>RDTX</v>
      </c>
      <c r="B1507" s="64" t="str">
        <f>Ringkasan!B1506</f>
        <v>Roda Vivatex Tbk</v>
      </c>
      <c r="C1507" s="65">
        <f>Ringkasan!C1506</f>
        <v>14300</v>
      </c>
      <c r="D1507" s="64" t="str">
        <f>Ringkasan!D1506</f>
        <v>#N/A</v>
      </c>
      <c r="E1507" s="64" t="str">
        <f>Ringkasan!E1506</f>
        <v/>
      </c>
      <c r="F1507" s="64" t="str">
        <f>Ringkasan!F1506</f>
        <v/>
      </c>
      <c r="G1507" s="64">
        <f>Ringkasan!G1506</f>
        <v>0</v>
      </c>
      <c r="H1507" s="19">
        <f>Ringkasan!H1506</f>
        <v>12.1</v>
      </c>
      <c r="I1507" s="19">
        <f>Ringkasan!I1506</f>
        <v>1.4</v>
      </c>
      <c r="J1507" s="19">
        <f>Ringkasan!J1506</f>
        <v>11.1</v>
      </c>
      <c r="K1507" s="19">
        <f>Ringkasan!K1506</f>
        <v>9.9</v>
      </c>
      <c r="L1507" s="19">
        <f>Ringkasan!L1506</f>
        <v>0.12</v>
      </c>
      <c r="M1507" s="19">
        <f>Ringkasan!M1506</f>
        <v>260</v>
      </c>
      <c r="N1507" s="64" t="str">
        <f>Ringkasan!N1506</f>
        <v/>
      </c>
      <c r="O1507" s="64" t="str">
        <f>Ringkasan!O1506</f>
        <v/>
      </c>
      <c r="P1507" s="64" t="str">
        <f>Ringkasan!P1506</f>
        <v/>
      </c>
      <c r="Q1507" s="64" t="str">
        <f>Ringkasan!Q1506</f>
        <v/>
      </c>
      <c r="R1507" s="64" t="str">
        <f>Ringkasan!R1506</f>
        <v/>
      </c>
      <c r="S1507" s="64" t="str">
        <f>Ringkasan!S1506</f>
        <v/>
      </c>
      <c r="T1507" s="64" t="str">
        <f>Ringkasan!T1506</f>
        <v/>
      </c>
      <c r="U1507" s="64">
        <f>Ringkasan!U1506</f>
        <v>14475</v>
      </c>
      <c r="V1507" s="64">
        <f>Ringkasan!V1506</f>
        <v>-1.21</v>
      </c>
      <c r="W1507" s="64">
        <f>Ringkasan!W1506</f>
        <v>14300</v>
      </c>
      <c r="X1507" s="64">
        <f>Ringkasan!X1506</f>
        <v>14300</v>
      </c>
      <c r="Y1507" s="64">
        <f>Ringkasan!Y1506</f>
        <v>14300</v>
      </c>
      <c r="Z1507" s="64">
        <f>Ringkasan!Z1506</f>
        <v>3100</v>
      </c>
      <c r="AA1507" s="64" t="str">
        <f>Ringkasan!AA1506</f>
        <v>Real Estate Management &amp; Development</v>
      </c>
      <c r="AB1507" s="64" t="str">
        <f>Ringkasan!AB1506</f>
        <v>Properties &amp; Real Estate</v>
      </c>
    </row>
    <row r="1508" hidden="1">
      <c r="A1508" s="64" t="str">
        <f>Ringkasan!A1507</f>
        <v>REAL</v>
      </c>
      <c r="B1508" s="64" t="str">
        <f>Ringkasan!B1507</f>
        <v>Repower Asia Indonesia Tbk.</v>
      </c>
      <c r="C1508" s="65">
        <f>Ringkasan!C1507</f>
        <v>50</v>
      </c>
      <c r="D1508" s="64" t="str">
        <f>Ringkasan!D1507</f>
        <v>#N/A</v>
      </c>
      <c r="E1508" s="64" t="str">
        <f>Ringkasan!E1507</f>
        <v/>
      </c>
      <c r="F1508" s="64" t="str">
        <f>Ringkasan!F1507</f>
        <v/>
      </c>
      <c r="G1508" s="64">
        <f>Ringkasan!G1507</f>
        <v>0</v>
      </c>
      <c r="H1508" s="19">
        <f>Ringkasan!H1507</f>
        <v>-130</v>
      </c>
      <c r="I1508" s="19">
        <f>Ringkasan!I1507</f>
        <v>0.91</v>
      </c>
      <c r="J1508" s="19">
        <f>Ringkasan!J1507</f>
        <v>-0.72</v>
      </c>
      <c r="K1508" s="19">
        <f>Ringkasan!K1507</f>
        <v>-0.71</v>
      </c>
      <c r="L1508" s="19">
        <f>Ringkasan!L1507</f>
        <v>0.01</v>
      </c>
      <c r="M1508" s="19">
        <f>Ringkasan!M1507</f>
        <v>-180</v>
      </c>
      <c r="N1508" s="64" t="str">
        <f>Ringkasan!N1507</f>
        <v/>
      </c>
      <c r="O1508" s="64" t="str">
        <f>Ringkasan!O1507</f>
        <v/>
      </c>
      <c r="P1508" s="64" t="str">
        <f>Ringkasan!P1507</f>
        <v/>
      </c>
      <c r="Q1508" s="64" t="str">
        <f>Ringkasan!Q1507</f>
        <v/>
      </c>
      <c r="R1508" s="64" t="str">
        <f>Ringkasan!R1507</f>
        <v/>
      </c>
      <c r="S1508" s="64" t="str">
        <f>Ringkasan!S1507</f>
        <v/>
      </c>
      <c r="T1508" s="64" t="str">
        <f>Ringkasan!T1507</f>
        <v/>
      </c>
      <c r="U1508" s="64">
        <f>Ringkasan!U1507</f>
        <v>9.84</v>
      </c>
      <c r="V1508" s="64">
        <f>Ringkasan!V1507</f>
        <v>4.47</v>
      </c>
      <c r="W1508" s="64">
        <f>Ringkasan!W1507</f>
        <v>9.95</v>
      </c>
      <c r="X1508" s="64">
        <f>Ringkasan!X1507</f>
        <v>10.3</v>
      </c>
      <c r="Y1508" s="64">
        <f>Ringkasan!Y1507</f>
        <v>9.77</v>
      </c>
      <c r="Z1508" s="64">
        <f>Ringkasan!Z1507</f>
        <v>2233652</v>
      </c>
      <c r="AA1508" s="64" t="str">
        <f>Ringkasan!AA1507</f>
        <v>Real Estate Management &amp; Development</v>
      </c>
      <c r="AB1508" s="64" t="str">
        <f>Ringkasan!AB1507</f>
        <v>Properties &amp; Real Estate</v>
      </c>
    </row>
    <row r="1509" hidden="1">
      <c r="A1509" s="64" t="str">
        <f>Ringkasan!A1508</f>
        <v>RELF</v>
      </c>
      <c r="B1509" s="64" t="str">
        <f>Ringkasan!B1508</f>
        <v>PT Graha Mitra Asia Tbk.</v>
      </c>
      <c r="C1509" s="65">
        <f>Ringkasan!C1508</f>
        <v>34</v>
      </c>
      <c r="D1509" s="64" t="str">
        <f>Ringkasan!D1508</f>
        <v>#N/A</v>
      </c>
      <c r="E1509" s="64" t="str">
        <f>Ringkasan!E1508</f>
        <v/>
      </c>
      <c r="F1509" s="64" t="str">
        <f>Ringkasan!F1508</f>
        <v/>
      </c>
      <c r="G1509" s="64">
        <f>Ringkasan!G1508</f>
        <v>0</v>
      </c>
      <c r="H1509" s="19">
        <f>Ringkasan!H1508</f>
        <v>24.8</v>
      </c>
      <c r="I1509" s="19">
        <f>Ringkasan!I1508</f>
        <v>0.87</v>
      </c>
      <c r="J1509" s="19">
        <f>Ringkasan!J1508</f>
        <v>3.5</v>
      </c>
      <c r="K1509" s="19">
        <f>Ringkasan!K1508</f>
        <v>3</v>
      </c>
      <c r="L1509" s="19">
        <f>Ringkasan!L1508</f>
        <v>0.18</v>
      </c>
      <c r="M1509" s="19">
        <f>Ringkasan!M1508</f>
        <v>21.6</v>
      </c>
      <c r="N1509" s="64" t="str">
        <f>Ringkasan!N1508</f>
        <v/>
      </c>
      <c r="O1509" s="64" t="str">
        <f>Ringkasan!O1508</f>
        <v/>
      </c>
      <c r="P1509" s="64" t="str">
        <f>Ringkasan!P1508</f>
        <v/>
      </c>
      <c r="Q1509" s="64" t="str">
        <f>Ringkasan!Q1508</f>
        <v/>
      </c>
      <c r="R1509" s="64" t="str">
        <f>Ringkasan!R1508</f>
        <v/>
      </c>
      <c r="S1509" s="64" t="str">
        <f>Ringkasan!S1508</f>
        <v/>
      </c>
      <c r="T1509" s="64" t="str">
        <f>Ringkasan!T1508</f>
        <v/>
      </c>
      <c r="U1509" s="64">
        <f>Ringkasan!U1508</f>
        <v>34</v>
      </c>
      <c r="V1509" s="64">
        <f>Ringkasan!V1508</f>
        <v>0</v>
      </c>
      <c r="W1509" s="64">
        <f>Ringkasan!W1508</f>
        <v>33</v>
      </c>
      <c r="X1509" s="64">
        <f>Ringkasan!X1508</f>
        <v>34</v>
      </c>
      <c r="Y1509" s="64">
        <f>Ringkasan!Y1508</f>
        <v>32</v>
      </c>
      <c r="Z1509" s="64">
        <f>Ringkasan!Z1508</f>
        <v>3292100</v>
      </c>
      <c r="AA1509" s="64" t="str">
        <f>Ringkasan!AA1508</f>
        <v>Real Estate Management &amp; Development</v>
      </c>
      <c r="AB1509" s="64" t="str">
        <f>Ringkasan!AB1508</f>
        <v>Properties &amp; Real Estate</v>
      </c>
    </row>
    <row r="1510" hidden="1">
      <c r="A1510" s="64" t="str">
        <f>Ringkasan!A1509</f>
        <v>RELI</v>
      </c>
      <c r="B1510" s="64" t="str">
        <f>Ringkasan!B1509</f>
        <v>Reliance Sekuritas Indonesia Tbk.</v>
      </c>
      <c r="C1510" s="65">
        <f>Ringkasan!C1509</f>
        <v>484</v>
      </c>
      <c r="D1510" s="64" t="str">
        <f>Ringkasan!D1509</f>
        <v>#N/A</v>
      </c>
      <c r="E1510" s="64" t="str">
        <f>Ringkasan!E1509</f>
        <v/>
      </c>
      <c r="F1510" s="64" t="str">
        <f>Ringkasan!F1509</f>
        <v/>
      </c>
      <c r="G1510" s="64">
        <f>Ringkasan!G1509</f>
        <v>0</v>
      </c>
      <c r="H1510" s="19">
        <f>Ringkasan!H1509</f>
        <v>74.4</v>
      </c>
      <c r="I1510" s="19">
        <f>Ringkasan!I1509</f>
        <v>1.7</v>
      </c>
      <c r="J1510" s="19">
        <f>Ringkasan!J1509</f>
        <v>2.3</v>
      </c>
      <c r="K1510" s="19">
        <f>Ringkasan!K1509</f>
        <v>1.7</v>
      </c>
      <c r="L1510" s="19">
        <f>Ringkasan!L1509</f>
        <v>0.33</v>
      </c>
      <c r="M1510" s="19">
        <f>Ringkasan!M1509</f>
        <v>210</v>
      </c>
      <c r="N1510" s="64" t="str">
        <f>Ringkasan!N1509</f>
        <v/>
      </c>
      <c r="O1510" s="64" t="str">
        <f>Ringkasan!O1509</f>
        <v/>
      </c>
      <c r="P1510" s="64" t="str">
        <f>Ringkasan!P1509</f>
        <v/>
      </c>
      <c r="Q1510" s="64" t="str">
        <f>Ringkasan!Q1509</f>
        <v/>
      </c>
      <c r="R1510" s="64" t="str">
        <f>Ringkasan!R1509</f>
        <v/>
      </c>
      <c r="S1510" s="64" t="str">
        <f>Ringkasan!S1509</f>
        <v/>
      </c>
      <c r="T1510" s="64" t="str">
        <f>Ringkasan!T1509</f>
        <v/>
      </c>
      <c r="U1510" s="64">
        <f>Ringkasan!U1509</f>
        <v>486</v>
      </c>
      <c r="V1510" s="64">
        <f>Ringkasan!V1509</f>
        <v>-0.41</v>
      </c>
      <c r="W1510" s="64">
        <f>Ringkasan!W1509</f>
        <v>486</v>
      </c>
      <c r="X1510" s="64">
        <f>Ringkasan!X1509</f>
        <v>488</v>
      </c>
      <c r="Y1510" s="64">
        <f>Ringkasan!Y1509</f>
        <v>472</v>
      </c>
      <c r="Z1510" s="64">
        <f>Ringkasan!Z1509</f>
        <v>3700</v>
      </c>
      <c r="AA1510" s="64" t="str">
        <f>Ringkasan!AA1509</f>
        <v>Investment Services</v>
      </c>
      <c r="AB1510" s="64" t="str">
        <f>Ringkasan!AB1509</f>
        <v>Financials</v>
      </c>
    </row>
    <row r="1511" hidden="1">
      <c r="A1511" s="64" t="str">
        <f>Ringkasan!A1510</f>
        <v>RGAS</v>
      </c>
      <c r="B1511" s="64" t="str">
        <f>Ringkasan!B1510</f>
        <v>Kian Santang Muliatama Tbk.</v>
      </c>
      <c r="C1511" s="65">
        <f>Ringkasan!C1510</f>
        <v>149</v>
      </c>
      <c r="D1511" s="64" t="str">
        <f>Ringkasan!D1510</f>
        <v>#N/A</v>
      </c>
      <c r="E1511" s="64" t="str">
        <f>Ringkasan!E1510</f>
        <v/>
      </c>
      <c r="F1511" s="64" t="str">
        <f>Ringkasan!F1510</f>
        <v/>
      </c>
      <c r="G1511" s="64">
        <f>Ringkasan!G1510</f>
        <v>0</v>
      </c>
      <c r="H1511" s="19">
        <f>Ringkasan!H1510</f>
        <v>9.7</v>
      </c>
      <c r="I1511" s="19">
        <f>Ringkasan!I1510</f>
        <v>1.4</v>
      </c>
      <c r="J1511" s="19">
        <f>Ringkasan!J1510</f>
        <v>14.7</v>
      </c>
      <c r="K1511" s="19">
        <f>Ringkasan!K1510</f>
        <v>12.2</v>
      </c>
      <c r="L1511" s="19">
        <f>Ringkasan!L1510</f>
        <v>0.2</v>
      </c>
      <c r="M1511" s="19">
        <f>Ringkasan!M1510</f>
        <v>51.7</v>
      </c>
      <c r="N1511" s="64" t="str">
        <f>Ringkasan!N1510</f>
        <v/>
      </c>
      <c r="O1511" s="64" t="str">
        <f>Ringkasan!O1510</f>
        <v/>
      </c>
      <c r="P1511" s="64" t="str">
        <f>Ringkasan!P1510</f>
        <v/>
      </c>
      <c r="Q1511" s="64" t="str">
        <f>Ringkasan!Q1510</f>
        <v/>
      </c>
      <c r="R1511" s="64" t="str">
        <f>Ringkasan!R1510</f>
        <v/>
      </c>
      <c r="S1511" s="64" t="str">
        <f>Ringkasan!S1510</f>
        <v/>
      </c>
      <c r="T1511" s="64" t="str">
        <f>Ringkasan!T1510</f>
        <v/>
      </c>
      <c r="U1511" s="64">
        <f>Ringkasan!U1510</f>
        <v>150</v>
      </c>
      <c r="V1511" s="64">
        <f>Ringkasan!V1510</f>
        <v>-0.67</v>
      </c>
      <c r="W1511" s="64">
        <f>Ringkasan!W1510</f>
        <v>154</v>
      </c>
      <c r="X1511" s="64">
        <f>Ringkasan!X1510</f>
        <v>165</v>
      </c>
      <c r="Y1511" s="64">
        <f>Ringkasan!Y1510</f>
        <v>144</v>
      </c>
      <c r="Z1511" s="64">
        <f>Ringkasan!Z1510</f>
        <v>112046700</v>
      </c>
      <c r="AA1511" s="64" t="str">
        <f>Ringkasan!AA1510</f>
        <v>Oil, Gas &amp; Coal Supports</v>
      </c>
      <c r="AB1511" s="64" t="str">
        <f>Ringkasan!AB1510</f>
        <v>Energy</v>
      </c>
    </row>
    <row r="1512" hidden="1">
      <c r="A1512" s="64" t="str">
        <f>Ringkasan!A1511</f>
        <v>RICY</v>
      </c>
      <c r="B1512" s="64" t="str">
        <f>Ringkasan!B1511</f>
        <v>Ricky Putra Globalindo Tbk</v>
      </c>
      <c r="C1512" s="65">
        <f>Ringkasan!C1511</f>
        <v>72</v>
      </c>
      <c r="D1512" s="64" t="str">
        <f>Ringkasan!D1511</f>
        <v>#N/A</v>
      </c>
      <c r="E1512" s="64" t="str">
        <f>Ringkasan!E1511</f>
        <v/>
      </c>
      <c r="F1512" s="64" t="str">
        <f>Ringkasan!F1511</f>
        <v/>
      </c>
      <c r="G1512" s="64">
        <f>Ringkasan!G1511</f>
        <v>0</v>
      </c>
      <c r="H1512" s="19">
        <f>Ringkasan!H1511</f>
        <v>-0.16</v>
      </c>
      <c r="I1512" s="19">
        <f>Ringkasan!I1511</f>
        <v>0.19</v>
      </c>
      <c r="J1512" s="19">
        <f>Ringkasan!J1511</f>
        <v>-120</v>
      </c>
      <c r="K1512" s="19">
        <f>Ringkasan!K1511</f>
        <v>-17.3</v>
      </c>
      <c r="L1512" s="19">
        <f>Ringkasan!L1511</f>
        <v>6.2</v>
      </c>
      <c r="M1512" s="19">
        <f>Ringkasan!M1511</f>
        <v>-270</v>
      </c>
      <c r="N1512" s="64" t="str">
        <f>Ringkasan!N1511</f>
        <v/>
      </c>
      <c r="O1512" s="64" t="str">
        <f>Ringkasan!O1511</f>
        <v/>
      </c>
      <c r="P1512" s="64" t="str">
        <f>Ringkasan!P1511</f>
        <v/>
      </c>
      <c r="Q1512" s="64" t="str">
        <f>Ringkasan!Q1511</f>
        <v/>
      </c>
      <c r="R1512" s="64" t="str">
        <f>Ringkasan!R1511</f>
        <v/>
      </c>
      <c r="S1512" s="64" t="str">
        <f>Ringkasan!S1511</f>
        <v/>
      </c>
      <c r="T1512" s="64" t="str">
        <f>Ringkasan!T1511</f>
        <v/>
      </c>
      <c r="U1512" s="64">
        <f>Ringkasan!U1511</f>
        <v>69</v>
      </c>
      <c r="V1512" s="64" t="str">
        <f>Ringkasan!V1511</f>
        <v/>
      </c>
      <c r="W1512" s="64">
        <f>Ringkasan!W1511</f>
        <v>73</v>
      </c>
      <c r="X1512" s="64">
        <f>Ringkasan!X1511</f>
        <v>73</v>
      </c>
      <c r="Y1512" s="64">
        <f>Ringkasan!Y1511</f>
        <v>70</v>
      </c>
      <c r="Z1512" s="64">
        <f>Ringkasan!Z1511</f>
        <v>449100</v>
      </c>
      <c r="AA1512" s="64" t="str">
        <f>Ringkasan!AA1511</f>
        <v>Apparel &amp; Luxury Goods</v>
      </c>
      <c r="AB1512" s="64" t="str">
        <f>Ringkasan!AB1511</f>
        <v>Consumer Cyclicals</v>
      </c>
    </row>
    <row r="1513" hidden="1">
      <c r="A1513" s="60" t="str">
        <f>Ringkasan!A1512</f>
        <v>RIGS</v>
      </c>
      <c r="B1513" s="60" t="str">
        <f>Ringkasan!B1512</f>
        <v>Rig Tenders Indonesia Tbk.</v>
      </c>
      <c r="C1513" s="61">
        <f>Ringkasan!C1512</f>
        <v>680</v>
      </c>
      <c r="D1513" s="60" t="str">
        <f>Ringkasan!D1512</f>
        <v>#N/A</v>
      </c>
      <c r="E1513" s="60" t="str">
        <f>Ringkasan!E1512</f>
        <v/>
      </c>
      <c r="F1513" s="60" t="str">
        <f>Ringkasan!F1512</f>
        <v/>
      </c>
      <c r="G1513" s="60">
        <f>Ringkasan!G1512</f>
        <v>0</v>
      </c>
      <c r="H1513" s="62">
        <f>Ringkasan!H1512</f>
        <v>4.7</v>
      </c>
      <c r="I1513" s="62">
        <f>Ringkasan!I1512</f>
        <v>0.44</v>
      </c>
      <c r="J1513" s="62">
        <f>Ringkasan!J1512</f>
        <v>9.5</v>
      </c>
      <c r="K1513" s="62">
        <f>Ringkasan!K1512</f>
        <v>9.4</v>
      </c>
      <c r="L1513" s="62">
        <f>Ringkasan!L1512</f>
        <v>0.01</v>
      </c>
      <c r="M1513" s="62">
        <f>Ringkasan!M1512</f>
        <v>37.7</v>
      </c>
      <c r="N1513" s="60" t="str">
        <f>Ringkasan!N1512</f>
        <v/>
      </c>
      <c r="O1513" s="60" t="str">
        <f>Ringkasan!O1512</f>
        <v/>
      </c>
      <c r="P1513" s="60" t="str">
        <f>Ringkasan!P1512</f>
        <v/>
      </c>
      <c r="Q1513" s="60" t="str">
        <f>Ringkasan!Q1512</f>
        <v/>
      </c>
      <c r="R1513" s="60" t="str">
        <f>Ringkasan!R1512</f>
        <v/>
      </c>
      <c r="S1513" s="60" t="str">
        <f>Ringkasan!S1512</f>
        <v/>
      </c>
      <c r="T1513" s="60" t="str">
        <f>Ringkasan!T1512</f>
        <v/>
      </c>
      <c r="U1513" s="60">
        <f>Ringkasan!U1512</f>
        <v>22.87</v>
      </c>
      <c r="V1513" s="60">
        <f>Ringkasan!V1512</f>
        <v>-0.11</v>
      </c>
      <c r="W1513" s="60">
        <f>Ringkasan!W1512</f>
        <v>22.8</v>
      </c>
      <c r="X1513" s="60">
        <f>Ringkasan!X1512</f>
        <v>22.84</v>
      </c>
      <c r="Y1513" s="60">
        <f>Ringkasan!Y1512</f>
        <v>22.8</v>
      </c>
      <c r="Z1513" s="60">
        <f>Ringkasan!Z1512</f>
        <v>3</v>
      </c>
      <c r="AA1513" s="60" t="str">
        <f>Ringkasan!AA1512</f>
        <v>Coal</v>
      </c>
      <c r="AB1513" s="60" t="str">
        <f>Ringkasan!AB1512</f>
        <v>Energy</v>
      </c>
    </row>
    <row r="1514" hidden="1">
      <c r="A1514" s="64" t="str">
        <f>Ringkasan!A1513</f>
        <v>RIMO</v>
      </c>
      <c r="B1514" s="64" t="str">
        <f>Ringkasan!B1513</f>
        <v>Rimo International Lestari Tbk</v>
      </c>
      <c r="C1514" s="65">
        <f>Ringkasan!C1513</f>
        <v>50</v>
      </c>
      <c r="D1514" s="64" t="str">
        <f>Ringkasan!D1513</f>
        <v>#N/A</v>
      </c>
      <c r="E1514" s="64" t="str">
        <f>Ringkasan!E1513</f>
        <v/>
      </c>
      <c r="F1514" s="64" t="str">
        <f>Ringkasan!F1513</f>
        <v/>
      </c>
      <c r="G1514" s="64">
        <f>Ringkasan!G1513</f>
        <v>0</v>
      </c>
      <c r="H1514" s="19">
        <f>Ringkasan!H1513</f>
        <v>0</v>
      </c>
      <c r="I1514" s="19">
        <f>Ringkasan!I1513</f>
        <v>0.37</v>
      </c>
      <c r="J1514" s="19">
        <f>Ringkasan!J1513</f>
        <v>1.2</v>
      </c>
      <c r="K1514" s="19">
        <f>Ringkasan!K1513</f>
        <v>1.1</v>
      </c>
      <c r="L1514" s="19">
        <f>Ringkasan!L1513</f>
        <v>0.09</v>
      </c>
      <c r="M1514" s="19">
        <f>Ringkasan!M1513</f>
        <v>14.2</v>
      </c>
      <c r="N1514" s="64" t="str">
        <f>Ringkasan!N1513</f>
        <v/>
      </c>
      <c r="O1514" s="64" t="str">
        <f>Ringkasan!O1513</f>
        <v/>
      </c>
      <c r="P1514" s="64" t="str">
        <f>Ringkasan!P1513</f>
        <v/>
      </c>
      <c r="Q1514" s="64" t="str">
        <f>Ringkasan!Q1513</f>
        <v/>
      </c>
      <c r="R1514" s="64" t="str">
        <f>Ringkasan!R1513</f>
        <v/>
      </c>
      <c r="S1514" s="64" t="str">
        <f>Ringkasan!S1513</f>
        <v/>
      </c>
      <c r="T1514" s="64" t="str">
        <f>Ringkasan!T1513</f>
        <v/>
      </c>
      <c r="U1514" s="64">
        <f>Ringkasan!U1513</f>
        <v>50</v>
      </c>
      <c r="V1514" s="64">
        <f>Ringkasan!V1513</f>
        <v>0</v>
      </c>
      <c r="W1514" s="64" t="str">
        <f>Ringkasan!W1513</f>
        <v/>
      </c>
      <c r="X1514" s="64" t="str">
        <f>Ringkasan!X1513</f>
        <v/>
      </c>
      <c r="Y1514" s="64" t="str">
        <f>Ringkasan!Y1513</f>
        <v/>
      </c>
      <c r="Z1514" s="64">
        <f>Ringkasan!Z1513</f>
        <v>0</v>
      </c>
      <c r="AA1514" s="64" t="str">
        <f>Ringkasan!AA1513</f>
        <v>Real Estate Management &amp; Development</v>
      </c>
      <c r="AB1514" s="64" t="str">
        <f>Ringkasan!AB1513</f>
        <v>Properties &amp; Real Estate</v>
      </c>
    </row>
    <row r="1515" hidden="1">
      <c r="A1515" s="64" t="str">
        <f>Ringkasan!A1514</f>
        <v>RISE</v>
      </c>
      <c r="B1515" s="64" t="str">
        <f>Ringkasan!B1514</f>
        <v>Jaya Sukses Makmur Sentosa Tbk.</v>
      </c>
      <c r="C1515" s="65">
        <f>Ringkasan!C1514</f>
        <v>1190</v>
      </c>
      <c r="D1515" s="64" t="str">
        <f>Ringkasan!D1514</f>
        <v>#N/A</v>
      </c>
      <c r="E1515" s="64" t="str">
        <f>Ringkasan!E1514</f>
        <v/>
      </c>
      <c r="F1515" s="64" t="str">
        <f>Ringkasan!F1514</f>
        <v/>
      </c>
      <c r="G1515" s="64">
        <f>Ringkasan!G1514</f>
        <v>0</v>
      </c>
      <c r="H1515" s="19">
        <f>Ringkasan!H1514</f>
        <v>110</v>
      </c>
      <c r="I1515" s="19">
        <f>Ringkasan!I1514</f>
        <v>5.4</v>
      </c>
      <c r="J1515" s="19">
        <f>Ringkasan!J1514</f>
        <v>5</v>
      </c>
      <c r="K1515" s="19">
        <f>Ringkasan!K1514</f>
        <v>4</v>
      </c>
      <c r="L1515" s="19">
        <f>Ringkasan!L1514</f>
        <v>0.23</v>
      </c>
      <c r="M1515" s="19">
        <f>Ringkasan!M1514</f>
        <v>97.1</v>
      </c>
      <c r="N1515" s="64" t="str">
        <f>Ringkasan!N1514</f>
        <v/>
      </c>
      <c r="O1515" s="64" t="str">
        <f>Ringkasan!O1514</f>
        <v/>
      </c>
      <c r="P1515" s="64" t="str">
        <f>Ringkasan!P1514</f>
        <v/>
      </c>
      <c r="Q1515" s="64" t="str">
        <f>Ringkasan!Q1514</f>
        <v/>
      </c>
      <c r="R1515" s="64" t="str">
        <f>Ringkasan!R1514</f>
        <v/>
      </c>
      <c r="S1515" s="64" t="str">
        <f>Ringkasan!S1514</f>
        <v/>
      </c>
      <c r="T1515" s="64" t="str">
        <f>Ringkasan!T1514</f>
        <v/>
      </c>
      <c r="U1515" s="64">
        <f>Ringkasan!U1514</f>
        <v>18.29</v>
      </c>
      <c r="V1515" s="64">
        <f>Ringkasan!V1514</f>
        <v>0.96</v>
      </c>
      <c r="W1515" s="64">
        <f>Ringkasan!W1514</f>
        <v>18.46</v>
      </c>
      <c r="X1515" s="64">
        <f>Ringkasan!X1514</f>
        <v>18.46</v>
      </c>
      <c r="Y1515" s="64">
        <f>Ringkasan!Y1514</f>
        <v>18.46</v>
      </c>
      <c r="Z1515" s="64">
        <f>Ringkasan!Z1514</f>
        <v>72</v>
      </c>
      <c r="AA1515" s="64" t="str">
        <f>Ringkasan!AA1514</f>
        <v>Real Estate Management &amp; Development</v>
      </c>
      <c r="AB1515" s="64" t="str">
        <f>Ringkasan!AB1514</f>
        <v>Properties &amp; Real Estate</v>
      </c>
    </row>
    <row r="1516" hidden="1">
      <c r="A1516" s="64" t="str">
        <f>Ringkasan!A1515</f>
        <v>RLCO</v>
      </c>
      <c r="B1516" s="64" t="str">
        <f>Ringkasan!B1515</f>
        <v>Abadi Lestari Indonesia Tbk.</v>
      </c>
      <c r="C1516" s="65">
        <f>Ringkasan!C1515</f>
        <v>3020</v>
      </c>
      <c r="D1516" s="64" t="str">
        <f>Ringkasan!D1515</f>
        <v>#N/A</v>
      </c>
      <c r="E1516" s="64" t="str">
        <f>Ringkasan!E1515</f>
        <v/>
      </c>
      <c r="F1516" s="64" t="str">
        <f>Ringkasan!F1515</f>
        <v/>
      </c>
      <c r="G1516" s="64">
        <f>Ringkasan!G1515</f>
        <v>0</v>
      </c>
      <c r="H1516" s="19">
        <f>Ringkasan!H1515</f>
        <v>210</v>
      </c>
      <c r="I1516" s="19">
        <f>Ringkasan!I1515</f>
        <v>28.6</v>
      </c>
      <c r="J1516" s="19">
        <f>Ringkasan!J1515</f>
        <v>13.9</v>
      </c>
      <c r="K1516" s="19">
        <f>Ringkasan!K1515</f>
        <v>5.3</v>
      </c>
      <c r="L1516" s="19">
        <f>Ringkasan!L1515</f>
        <v>1.6</v>
      </c>
      <c r="M1516" s="19">
        <f>Ringkasan!M1515</f>
        <v>46.4</v>
      </c>
      <c r="N1516" s="64" t="str">
        <f>Ringkasan!N1515</f>
        <v/>
      </c>
      <c r="O1516" s="64" t="str">
        <f>Ringkasan!O1515</f>
        <v/>
      </c>
      <c r="P1516" s="64" t="str">
        <f>Ringkasan!P1515</f>
        <v/>
      </c>
      <c r="Q1516" s="64" t="str">
        <f>Ringkasan!Q1515</f>
        <v/>
      </c>
      <c r="R1516" s="64" t="str">
        <f>Ringkasan!R1515</f>
        <v/>
      </c>
      <c r="S1516" s="64" t="str">
        <f>Ringkasan!S1515</f>
        <v/>
      </c>
      <c r="T1516" s="64" t="str">
        <f>Ringkasan!T1515</f>
        <v/>
      </c>
      <c r="U1516" s="64">
        <f>Ringkasan!U1515</f>
        <v>2420</v>
      </c>
      <c r="V1516" s="64">
        <f>Ringkasan!V1515</f>
        <v>24.79</v>
      </c>
      <c r="W1516" s="64">
        <f>Ringkasan!W1515</f>
        <v>2420</v>
      </c>
      <c r="X1516" s="64">
        <f>Ringkasan!X1515</f>
        <v>3020</v>
      </c>
      <c r="Y1516" s="64">
        <f>Ringkasan!Y1515</f>
        <v>2420</v>
      </c>
      <c r="Z1516" s="64">
        <f>Ringkasan!Z1515</f>
        <v>4123100</v>
      </c>
      <c r="AA1516" s="64" t="str">
        <f>Ringkasan!AA1515</f>
        <v>Agricultural Products</v>
      </c>
      <c r="AB1516" s="64" t="str">
        <f>Ringkasan!AB1515</f>
        <v>Consumer Non-Cyclicals</v>
      </c>
    </row>
    <row r="1517" hidden="1">
      <c r="A1517" s="64" t="str">
        <f>Ringkasan!A1516</f>
        <v>RMKE</v>
      </c>
      <c r="B1517" s="64" t="str">
        <f>Ringkasan!B1516</f>
        <v>RMK Energy Tbk.</v>
      </c>
      <c r="C1517" s="65">
        <f>Ringkasan!C1516</f>
        <v>2250</v>
      </c>
      <c r="D1517" s="64" t="str">
        <f>Ringkasan!D1516</f>
        <v>#N/A</v>
      </c>
      <c r="E1517" s="64" t="str">
        <f>Ringkasan!E1516</f>
        <v>IDXSMC-LIQ</v>
      </c>
      <c r="F1517" s="64" t="str">
        <f>Ringkasan!F1516</f>
        <v>4 Agustus 2026</v>
      </c>
      <c r="G1517" s="64">
        <f>Ringkasan!G1516</f>
        <v>1</v>
      </c>
      <c r="H1517" s="19">
        <f>Ringkasan!H1516</f>
        <v>53.6</v>
      </c>
      <c r="I1517" s="19">
        <f>Ringkasan!I1516</f>
        <v>6.7</v>
      </c>
      <c r="J1517" s="19">
        <f>Ringkasan!J1516</f>
        <v>12.4</v>
      </c>
      <c r="K1517" s="19">
        <f>Ringkasan!K1516</f>
        <v>7.2</v>
      </c>
      <c r="L1517" s="19">
        <f>Ringkasan!L1516</f>
        <v>0.73</v>
      </c>
      <c r="M1517" s="19">
        <f>Ringkasan!M1516</f>
        <v>30</v>
      </c>
      <c r="N1517" s="64" t="str">
        <f>Ringkasan!N1516</f>
        <v/>
      </c>
      <c r="O1517" s="64" t="str">
        <f>Ringkasan!O1516</f>
        <v/>
      </c>
      <c r="P1517" s="64" t="str">
        <f>Ringkasan!P1516</f>
        <v/>
      </c>
      <c r="Q1517" s="64" t="str">
        <f>Ringkasan!Q1516</f>
        <v/>
      </c>
      <c r="R1517" s="64" t="str">
        <f>Ringkasan!R1516</f>
        <v/>
      </c>
      <c r="S1517" s="64" t="str">
        <f>Ringkasan!S1516</f>
        <v/>
      </c>
      <c r="T1517" s="64" t="str">
        <f>Ringkasan!T1516</f>
        <v/>
      </c>
      <c r="U1517" s="64">
        <f>Ringkasan!U1516</f>
        <v>2060</v>
      </c>
      <c r="V1517" s="64">
        <f>Ringkasan!V1516</f>
        <v>9.22</v>
      </c>
      <c r="W1517" s="64">
        <f>Ringkasan!W1516</f>
        <v>2040</v>
      </c>
      <c r="X1517" s="64">
        <f>Ringkasan!X1516</f>
        <v>2400</v>
      </c>
      <c r="Y1517" s="64">
        <f>Ringkasan!Y1516</f>
        <v>2040</v>
      </c>
      <c r="Z1517" s="64">
        <f>Ringkasan!Z1516</f>
        <v>16175200</v>
      </c>
      <c r="AA1517" s="64" t="str">
        <f>Ringkasan!AA1516</f>
        <v>Coal</v>
      </c>
      <c r="AB1517" s="64" t="str">
        <f>Ringkasan!AB1516</f>
        <v>Energy</v>
      </c>
    </row>
    <row r="1518" hidden="1">
      <c r="A1518" s="64" t="str">
        <f>Ringkasan!A1517</f>
        <v>RMKO</v>
      </c>
      <c r="B1518" s="64" t="str">
        <f>Ringkasan!B1517</f>
        <v>PT Royaltama Mulia Kontraktorindo Tbk.</v>
      </c>
      <c r="C1518" s="65">
        <f>Ringkasan!C1517</f>
        <v>328</v>
      </c>
      <c r="D1518" s="64" t="str">
        <f>Ringkasan!D1517</f>
        <v>#N/A</v>
      </c>
      <c r="E1518" s="64" t="str">
        <f>Ringkasan!E1517</f>
        <v/>
      </c>
      <c r="F1518" s="64" t="str">
        <f>Ringkasan!F1517</f>
        <v/>
      </c>
      <c r="G1518" s="64">
        <f>Ringkasan!G1517</f>
        <v>0</v>
      </c>
      <c r="H1518" s="19">
        <f>Ringkasan!H1517</f>
        <v>-10</v>
      </c>
      <c r="I1518" s="19">
        <f>Ringkasan!I1517</f>
        <v>2.8</v>
      </c>
      <c r="J1518" s="19">
        <f>Ringkasan!J1517</f>
        <v>-27.7</v>
      </c>
      <c r="K1518" s="19">
        <f>Ringkasan!K1517</f>
        <v>-7.1</v>
      </c>
      <c r="L1518" s="19">
        <f>Ringkasan!L1517</f>
        <v>2.9</v>
      </c>
      <c r="M1518" s="19">
        <f>Ringkasan!M1517</f>
        <v>-62.7</v>
      </c>
      <c r="N1518" s="64" t="str">
        <f>Ringkasan!N1517</f>
        <v/>
      </c>
      <c r="O1518" s="64" t="str">
        <f>Ringkasan!O1517</f>
        <v/>
      </c>
      <c r="P1518" s="64" t="str">
        <f>Ringkasan!P1517</f>
        <v/>
      </c>
      <c r="Q1518" s="64" t="str">
        <f>Ringkasan!Q1517</f>
        <v/>
      </c>
      <c r="R1518" s="64" t="str">
        <f>Ringkasan!R1517</f>
        <v/>
      </c>
      <c r="S1518" s="64" t="str">
        <f>Ringkasan!S1517</f>
        <v/>
      </c>
      <c r="T1518" s="64" t="str">
        <f>Ringkasan!T1517</f>
        <v/>
      </c>
      <c r="U1518" s="64">
        <f>Ringkasan!U1517</f>
        <v>320</v>
      </c>
      <c r="V1518" s="64">
        <f>Ringkasan!V1517</f>
        <v>2.5</v>
      </c>
      <c r="W1518" s="64">
        <f>Ringkasan!W1517</f>
        <v>324</v>
      </c>
      <c r="X1518" s="64">
        <f>Ringkasan!X1517</f>
        <v>344</v>
      </c>
      <c r="Y1518" s="64">
        <f>Ringkasan!Y1517</f>
        <v>318</v>
      </c>
      <c r="Z1518" s="64">
        <f>Ringkasan!Z1517</f>
        <v>9570100</v>
      </c>
      <c r="AA1518" s="64" t="str">
        <f>Ringkasan!AA1517</f>
        <v>Oil, Gas &amp; Coal Supports</v>
      </c>
      <c r="AB1518" s="64" t="str">
        <f>Ringkasan!AB1517</f>
        <v>Energy</v>
      </c>
    </row>
    <row r="1519" hidden="1">
      <c r="A1519" s="64" t="str">
        <f>Ringkasan!A1518</f>
        <v>ROCK</v>
      </c>
      <c r="B1519" s="64" t="str">
        <f>Ringkasan!B1518</f>
        <v>Rockfields Properti Indonesia Tbk.</v>
      </c>
      <c r="C1519" s="65">
        <f>Ringkasan!C1518</f>
        <v>1490</v>
      </c>
      <c r="D1519" s="64" t="str">
        <f>Ringkasan!D1518</f>
        <v>#N/A</v>
      </c>
      <c r="E1519" s="64" t="str">
        <f>Ringkasan!E1518</f>
        <v/>
      </c>
      <c r="F1519" s="64" t="str">
        <f>Ringkasan!F1518</f>
        <v/>
      </c>
      <c r="G1519" s="64">
        <f>Ringkasan!G1518</f>
        <v>0</v>
      </c>
      <c r="H1519" s="19">
        <f>Ringkasan!H1518</f>
        <v>78.5</v>
      </c>
      <c r="I1519" s="19">
        <f>Ringkasan!I1518</f>
        <v>3</v>
      </c>
      <c r="J1519" s="19">
        <f>Ringkasan!J1518</f>
        <v>3.8</v>
      </c>
      <c r="K1519" s="19">
        <f>Ringkasan!K1518</f>
        <v>3.4</v>
      </c>
      <c r="L1519" s="19">
        <f>Ringkasan!L1518</f>
        <v>0.14</v>
      </c>
      <c r="M1519" s="19">
        <f>Ringkasan!M1518</f>
        <v>91.7</v>
      </c>
      <c r="N1519" s="64" t="str">
        <f>Ringkasan!N1518</f>
        <v/>
      </c>
      <c r="O1519" s="64" t="str">
        <f>Ringkasan!O1518</f>
        <v/>
      </c>
      <c r="P1519" s="64" t="str">
        <f>Ringkasan!P1518</f>
        <v/>
      </c>
      <c r="Q1519" s="64" t="str">
        <f>Ringkasan!Q1518</f>
        <v/>
      </c>
      <c r="R1519" s="64" t="str">
        <f>Ringkasan!R1518</f>
        <v/>
      </c>
      <c r="S1519" s="64" t="str">
        <f>Ringkasan!S1518</f>
        <v/>
      </c>
      <c r="T1519" s="64" t="str">
        <f>Ringkasan!T1518</f>
        <v/>
      </c>
      <c r="U1519" s="64">
        <f>Ringkasan!U1518</f>
        <v>39.41</v>
      </c>
      <c r="V1519" s="64">
        <f>Ringkasan!V1518</f>
        <v>2.26</v>
      </c>
      <c r="W1519" s="64">
        <f>Ringkasan!W1518</f>
        <v>39.66</v>
      </c>
      <c r="X1519" s="64">
        <f>Ringkasan!X1518</f>
        <v>41.25</v>
      </c>
      <c r="Y1519" s="64">
        <f>Ringkasan!Y1518</f>
        <v>39.33</v>
      </c>
      <c r="Z1519" s="64">
        <f>Ringkasan!Z1518</f>
        <v>321469</v>
      </c>
      <c r="AA1519" s="64" t="str">
        <f>Ringkasan!AA1518</f>
        <v>Real Estate Management &amp; Development</v>
      </c>
      <c r="AB1519" s="64" t="str">
        <f>Ringkasan!AB1518</f>
        <v>Properties &amp; Real Estate</v>
      </c>
    </row>
    <row r="1520" hidden="1">
      <c r="A1520" s="64" t="str">
        <f>Ringkasan!A1519</f>
        <v>RODA</v>
      </c>
      <c r="B1520" s="64" t="str">
        <f>Ringkasan!B1519</f>
        <v>Pikko Land Development Tbk.</v>
      </c>
      <c r="C1520" s="65">
        <f>Ringkasan!C1519</f>
        <v>56</v>
      </c>
      <c r="D1520" s="64" t="str">
        <f>Ringkasan!D1519</f>
        <v>#N/A</v>
      </c>
      <c r="E1520" s="64" t="str">
        <f>Ringkasan!E1519</f>
        <v/>
      </c>
      <c r="F1520" s="64" t="str">
        <f>Ringkasan!F1519</f>
        <v/>
      </c>
      <c r="G1520" s="64">
        <f>Ringkasan!G1519</f>
        <v>0</v>
      </c>
      <c r="H1520" s="19">
        <f>Ringkasan!H1519</f>
        <v>-12</v>
      </c>
      <c r="I1520" s="19">
        <f>Ringkasan!I1519</f>
        <v>0.41</v>
      </c>
      <c r="J1520" s="19">
        <f>Ringkasan!J1519</f>
        <v>-3.4</v>
      </c>
      <c r="K1520" s="19">
        <f>Ringkasan!K1519</f>
        <v>-2.2</v>
      </c>
      <c r="L1520" s="19">
        <f>Ringkasan!L1519</f>
        <v>0.57</v>
      </c>
      <c r="M1520" s="19">
        <f>Ringkasan!M1519</f>
        <v>-610</v>
      </c>
      <c r="N1520" s="64" t="str">
        <f>Ringkasan!N1519</f>
        <v/>
      </c>
      <c r="O1520" s="64" t="str">
        <f>Ringkasan!O1519</f>
        <v/>
      </c>
      <c r="P1520" s="64" t="str">
        <f>Ringkasan!P1519</f>
        <v/>
      </c>
      <c r="Q1520" s="64" t="str">
        <f>Ringkasan!Q1519</f>
        <v/>
      </c>
      <c r="R1520" s="64" t="str">
        <f>Ringkasan!R1519</f>
        <v/>
      </c>
      <c r="S1520" s="64" t="str">
        <f>Ringkasan!S1519</f>
        <v/>
      </c>
      <c r="T1520" s="64" t="str">
        <f>Ringkasan!T1519</f>
        <v/>
      </c>
      <c r="U1520" s="64">
        <f>Ringkasan!U1519</f>
        <v>54</v>
      </c>
      <c r="V1520" s="64">
        <f>Ringkasan!V1519</f>
        <v>3.7</v>
      </c>
      <c r="W1520" s="64">
        <f>Ringkasan!W1519</f>
        <v>55</v>
      </c>
      <c r="X1520" s="64">
        <f>Ringkasan!X1519</f>
        <v>58</v>
      </c>
      <c r="Y1520" s="64">
        <f>Ringkasan!Y1519</f>
        <v>54</v>
      </c>
      <c r="Z1520" s="64">
        <f>Ringkasan!Z1519</f>
        <v>10092100</v>
      </c>
      <c r="AA1520" s="64" t="str">
        <f>Ringkasan!AA1519</f>
        <v>Real Estate Management &amp; Development</v>
      </c>
      <c r="AB1520" s="64" t="str">
        <f>Ringkasan!AB1519</f>
        <v>Properties &amp; Real Estate</v>
      </c>
    </row>
    <row r="1521" hidden="1">
      <c r="A1521" s="64" t="str">
        <f>Ringkasan!A1520</f>
        <v>RONY</v>
      </c>
      <c r="B1521" s="64" t="str">
        <f>Ringkasan!B1520</f>
        <v>Aracord Nusantara Group Tbk.</v>
      </c>
      <c r="C1521" s="65">
        <f>Ringkasan!C1520</f>
        <v>825</v>
      </c>
      <c r="D1521" s="64" t="str">
        <f>Ringkasan!D1520</f>
        <v>#N/A</v>
      </c>
      <c r="E1521" s="64" t="str">
        <f>Ringkasan!E1520</f>
        <v/>
      </c>
      <c r="F1521" s="64" t="str">
        <f>Ringkasan!F1520</f>
        <v/>
      </c>
      <c r="G1521" s="64">
        <f>Ringkasan!G1520</f>
        <v>0</v>
      </c>
      <c r="H1521" s="19">
        <f>Ringkasan!H1520</f>
        <v>-3300</v>
      </c>
      <c r="I1521" s="19">
        <f>Ringkasan!I1520</f>
        <v>300</v>
      </c>
      <c r="J1521" s="19">
        <f>Ringkasan!J1520</f>
        <v>-9</v>
      </c>
      <c r="K1521" s="19">
        <f>Ringkasan!K1520</f>
        <v>-0.77</v>
      </c>
      <c r="L1521" s="19">
        <f>Ringkasan!L1520</f>
        <v>10.8</v>
      </c>
      <c r="M1521" s="19">
        <f>Ringkasan!M1520</f>
        <v>-5.3</v>
      </c>
      <c r="N1521" s="64" t="str">
        <f>Ringkasan!N1520</f>
        <v/>
      </c>
      <c r="O1521" s="64" t="str">
        <f>Ringkasan!O1520</f>
        <v/>
      </c>
      <c r="P1521" s="64" t="str">
        <f>Ringkasan!P1520</f>
        <v/>
      </c>
      <c r="Q1521" s="64" t="str">
        <f>Ringkasan!Q1520</f>
        <v/>
      </c>
      <c r="R1521" s="64" t="str">
        <f>Ringkasan!R1520</f>
        <v/>
      </c>
      <c r="S1521" s="64" t="str">
        <f>Ringkasan!S1520</f>
        <v/>
      </c>
      <c r="T1521" s="64" t="str">
        <f>Ringkasan!T1520</f>
        <v/>
      </c>
      <c r="U1521" s="64">
        <f>Ringkasan!U1520</f>
        <v>775</v>
      </c>
      <c r="V1521" s="64">
        <f>Ringkasan!V1520</f>
        <v>6.45</v>
      </c>
      <c r="W1521" s="64" t="str">
        <f>Ringkasan!W1520</f>
        <v/>
      </c>
      <c r="X1521" s="64">
        <f>Ringkasan!X1520</f>
        <v>890</v>
      </c>
      <c r="Y1521" s="64">
        <f>Ringkasan!Y1520</f>
        <v>800</v>
      </c>
      <c r="Z1521" s="64">
        <f>Ringkasan!Z1520</f>
        <v>68100</v>
      </c>
      <c r="AA1521" s="64" t="str">
        <f>Ringkasan!AA1520</f>
        <v>Heavy Constructions &amp; Civil Engineering</v>
      </c>
      <c r="AB1521" s="64" t="str">
        <f>Ringkasan!AB1520</f>
        <v>Infrastructures</v>
      </c>
    </row>
    <row r="1522" hidden="1">
      <c r="A1522" s="64" t="str">
        <f>Ringkasan!A1521</f>
        <v>ROTI</v>
      </c>
      <c r="B1522" s="64" t="str">
        <f>Ringkasan!B1521</f>
        <v>Nippon Indosari Corpindo Tbk.</v>
      </c>
      <c r="C1522" s="65">
        <f>Ringkasan!C1521</f>
        <v>575</v>
      </c>
      <c r="D1522" s="64" t="str">
        <f>Ringkasan!D1521</f>
        <v>#N/A</v>
      </c>
      <c r="E1522" s="64" t="str">
        <f>Ringkasan!E1521</f>
        <v/>
      </c>
      <c r="F1522" s="64" t="str">
        <f>Ringkasan!F1521</f>
        <v/>
      </c>
      <c r="G1522" s="64">
        <f>Ringkasan!G1521</f>
        <v>0</v>
      </c>
      <c r="H1522" s="19">
        <f>Ringkasan!H1521</f>
        <v>13.8</v>
      </c>
      <c r="I1522" s="19">
        <f>Ringkasan!I1521</f>
        <v>1.6</v>
      </c>
      <c r="J1522" s="19">
        <f>Ringkasan!J1521</f>
        <v>11.6</v>
      </c>
      <c r="K1522" s="19">
        <f>Ringkasan!K1521</f>
        <v>6.5</v>
      </c>
      <c r="L1522" s="19">
        <f>Ringkasan!L1521</f>
        <v>0.78</v>
      </c>
      <c r="M1522" s="19">
        <f>Ringkasan!M1521</f>
        <v>27.3</v>
      </c>
      <c r="N1522" s="64" t="str">
        <f>Ringkasan!N1521</f>
        <v/>
      </c>
      <c r="O1522" s="64" t="str">
        <f>Ringkasan!O1521</f>
        <v/>
      </c>
      <c r="P1522" s="64" t="str">
        <f>Ringkasan!P1521</f>
        <v/>
      </c>
      <c r="Q1522" s="64" t="str">
        <f>Ringkasan!Q1521</f>
        <v/>
      </c>
      <c r="R1522" s="64" t="str">
        <f>Ringkasan!R1521</f>
        <v/>
      </c>
      <c r="S1522" s="64" t="str">
        <f>Ringkasan!S1521</f>
        <v/>
      </c>
      <c r="T1522" s="64" t="str">
        <f>Ringkasan!T1521</f>
        <v/>
      </c>
      <c r="U1522" s="64">
        <f>Ringkasan!U1521</f>
        <v>570</v>
      </c>
      <c r="V1522" s="64">
        <f>Ringkasan!V1521</f>
        <v>0.88</v>
      </c>
      <c r="W1522" s="64">
        <f>Ringkasan!W1521</f>
        <v>570</v>
      </c>
      <c r="X1522" s="64">
        <f>Ringkasan!X1521</f>
        <v>590</v>
      </c>
      <c r="Y1522" s="64">
        <f>Ringkasan!Y1521</f>
        <v>560</v>
      </c>
      <c r="Z1522" s="64">
        <f>Ringkasan!Z1521</f>
        <v>1880300</v>
      </c>
      <c r="AA1522" s="64" t="str">
        <f>Ringkasan!AA1521</f>
        <v>Processed Foods</v>
      </c>
      <c r="AB1522" s="64" t="str">
        <f>Ringkasan!AB1521</f>
        <v>Consumer Non-Cyclicals</v>
      </c>
    </row>
    <row r="1523" hidden="1">
      <c r="A1523" s="64" t="str">
        <f>Ringkasan!A1522</f>
        <v>RSCH</v>
      </c>
      <c r="B1523" s="64" t="str">
        <f>Ringkasan!B1522</f>
        <v>PT Charlie Hospital Semarang Tbk.</v>
      </c>
      <c r="C1523" s="65">
        <f>Ringkasan!C1522</f>
        <v>316</v>
      </c>
      <c r="D1523" s="64" t="str">
        <f>Ringkasan!D1522</f>
        <v>#N/A</v>
      </c>
      <c r="E1523" s="64" t="str">
        <f>Ringkasan!E1522</f>
        <v/>
      </c>
      <c r="F1523" s="64" t="str">
        <f>Ringkasan!F1522</f>
        <v/>
      </c>
      <c r="G1523" s="64">
        <f>Ringkasan!G1522</f>
        <v>0</v>
      </c>
      <c r="H1523" s="19">
        <f>Ringkasan!H1522</f>
        <v>-48.8</v>
      </c>
      <c r="I1523" s="19">
        <f>Ringkasan!I1522</f>
        <v>5.6</v>
      </c>
      <c r="J1523" s="19">
        <f>Ringkasan!J1522</f>
        <v>-11.4</v>
      </c>
      <c r="K1523" s="19">
        <f>Ringkasan!K1522</f>
        <v>-7.3</v>
      </c>
      <c r="L1523" s="19">
        <f>Ringkasan!L1522</f>
        <v>0.57</v>
      </c>
      <c r="M1523" s="19">
        <f>Ringkasan!M1522</f>
        <v>-93.7</v>
      </c>
      <c r="N1523" s="64" t="str">
        <f>Ringkasan!N1522</f>
        <v/>
      </c>
      <c r="O1523" s="64" t="str">
        <f>Ringkasan!O1522</f>
        <v/>
      </c>
      <c r="P1523" s="64" t="str">
        <f>Ringkasan!P1522</f>
        <v/>
      </c>
      <c r="Q1523" s="64" t="str">
        <f>Ringkasan!Q1522</f>
        <v/>
      </c>
      <c r="R1523" s="64" t="str">
        <f>Ringkasan!R1522</f>
        <v/>
      </c>
      <c r="S1523" s="64" t="str">
        <f>Ringkasan!S1522</f>
        <v/>
      </c>
      <c r="T1523" s="64" t="str">
        <f>Ringkasan!T1522</f>
        <v/>
      </c>
      <c r="U1523" s="64">
        <f>Ringkasan!U1522</f>
        <v>318</v>
      </c>
      <c r="V1523" s="64">
        <f>Ringkasan!V1522</f>
        <v>-0.63</v>
      </c>
      <c r="W1523" s="64">
        <f>Ringkasan!W1522</f>
        <v>320</v>
      </c>
      <c r="X1523" s="64">
        <f>Ringkasan!X1522</f>
        <v>320</v>
      </c>
      <c r="Y1523" s="64">
        <f>Ringkasan!Y1522</f>
        <v>314</v>
      </c>
      <c r="Z1523" s="64">
        <f>Ringkasan!Z1522</f>
        <v>19744100</v>
      </c>
      <c r="AA1523" s="64" t="str">
        <f>Ringkasan!AA1522</f>
        <v>Healthcare Providers</v>
      </c>
      <c r="AB1523" s="64" t="str">
        <f>Ringkasan!AB1522</f>
        <v>Healthcare</v>
      </c>
    </row>
    <row r="1524" hidden="1">
      <c r="A1524" s="64" t="str">
        <f>Ringkasan!A1523</f>
        <v>RSGK</v>
      </c>
      <c r="B1524" s="64" t="str">
        <f>Ringkasan!B1523</f>
        <v>Kedoya Adyaraya Tbk.</v>
      </c>
      <c r="C1524" s="65">
        <f>Ringkasan!C1523</f>
        <v>735</v>
      </c>
      <c r="D1524" s="64" t="str">
        <f>Ringkasan!D1523</f>
        <v>#N/A</v>
      </c>
      <c r="E1524" s="64" t="str">
        <f>Ringkasan!E1523</f>
        <v/>
      </c>
      <c r="F1524" s="64" t="str">
        <f>Ringkasan!F1523</f>
        <v/>
      </c>
      <c r="G1524" s="64">
        <f>Ringkasan!G1523</f>
        <v>0</v>
      </c>
      <c r="H1524" s="19">
        <f>Ringkasan!H1523</f>
        <v>25.6</v>
      </c>
      <c r="I1524" s="19">
        <f>Ringkasan!I1523</f>
        <v>1.1</v>
      </c>
      <c r="J1524" s="19">
        <f>Ringkasan!J1523</f>
        <v>4.2</v>
      </c>
      <c r="K1524" s="19">
        <f>Ringkasan!K1523</f>
        <v>3.3</v>
      </c>
      <c r="L1524" s="19">
        <f>Ringkasan!L1523</f>
        <v>0.28</v>
      </c>
      <c r="M1524" s="19">
        <f>Ringkasan!M1523</f>
        <v>27.9</v>
      </c>
      <c r="N1524" s="64" t="str">
        <f>Ringkasan!N1523</f>
        <v/>
      </c>
      <c r="O1524" s="64" t="str">
        <f>Ringkasan!O1523</f>
        <v/>
      </c>
      <c r="P1524" s="64" t="str">
        <f>Ringkasan!P1523</f>
        <v/>
      </c>
      <c r="Q1524" s="64" t="str">
        <f>Ringkasan!Q1523</f>
        <v/>
      </c>
      <c r="R1524" s="64" t="str">
        <f>Ringkasan!R1523</f>
        <v/>
      </c>
      <c r="S1524" s="64" t="str">
        <f>Ringkasan!S1523</f>
        <v/>
      </c>
      <c r="T1524" s="64" t="str">
        <f>Ringkasan!T1523</f>
        <v/>
      </c>
      <c r="U1524" s="64">
        <f>Ringkasan!U1523</f>
        <v>725</v>
      </c>
      <c r="V1524" s="64">
        <f>Ringkasan!V1523</f>
        <v>1.38</v>
      </c>
      <c r="W1524" s="64">
        <f>Ringkasan!W1523</f>
        <v>715</v>
      </c>
      <c r="X1524" s="64">
        <f>Ringkasan!X1523</f>
        <v>775</v>
      </c>
      <c r="Y1524" s="64">
        <f>Ringkasan!Y1523</f>
        <v>700</v>
      </c>
      <c r="Z1524" s="64">
        <f>Ringkasan!Z1523</f>
        <v>52100</v>
      </c>
      <c r="AA1524" s="64" t="str">
        <f>Ringkasan!AA1523</f>
        <v>Healthcare Providers</v>
      </c>
      <c r="AB1524" s="64" t="str">
        <f>Ringkasan!AB1523</f>
        <v>Healthcare</v>
      </c>
    </row>
    <row r="1525" hidden="1">
      <c r="A1525" s="64" t="str">
        <f>Ringkasan!A1524</f>
        <v>RUIS</v>
      </c>
      <c r="B1525" s="64" t="str">
        <f>Ringkasan!B1524</f>
        <v>Radiant Utama Interinsco Tbk</v>
      </c>
      <c r="C1525" s="65">
        <f>Ringkasan!C1524</f>
        <v>186</v>
      </c>
      <c r="D1525" s="64" t="str">
        <f>Ringkasan!D1524</f>
        <v>#N/A</v>
      </c>
      <c r="E1525" s="64" t="str">
        <f>Ringkasan!E1524</f>
        <v/>
      </c>
      <c r="F1525" s="64" t="str">
        <f>Ringkasan!F1524</f>
        <v/>
      </c>
      <c r="G1525" s="64">
        <f>Ringkasan!G1524</f>
        <v>0</v>
      </c>
      <c r="H1525" s="19">
        <f>Ringkasan!H1524</f>
        <v>10.9</v>
      </c>
      <c r="I1525" s="19">
        <f>Ringkasan!I1524</f>
        <v>0.25</v>
      </c>
      <c r="J1525" s="19">
        <f>Ringkasan!J1524</f>
        <v>2.3</v>
      </c>
      <c r="K1525" s="19">
        <f>Ringkasan!K1524</f>
        <v>0.96</v>
      </c>
      <c r="L1525" s="19">
        <f>Ringkasan!L1524</f>
        <v>1.4</v>
      </c>
      <c r="M1525" s="19">
        <f>Ringkasan!M1524</f>
        <v>2.6</v>
      </c>
      <c r="N1525" s="64" t="str">
        <f>Ringkasan!N1524</f>
        <v/>
      </c>
      <c r="O1525" s="64" t="str">
        <f>Ringkasan!O1524</f>
        <v/>
      </c>
      <c r="P1525" s="64" t="str">
        <f>Ringkasan!P1524</f>
        <v/>
      </c>
      <c r="Q1525" s="64" t="str">
        <f>Ringkasan!Q1524</f>
        <v/>
      </c>
      <c r="R1525" s="64" t="str">
        <f>Ringkasan!R1524</f>
        <v/>
      </c>
      <c r="S1525" s="64" t="str">
        <f>Ringkasan!S1524</f>
        <v/>
      </c>
      <c r="T1525" s="64" t="str">
        <f>Ringkasan!T1524</f>
        <v/>
      </c>
      <c r="U1525" s="64">
        <f>Ringkasan!U1524</f>
        <v>186</v>
      </c>
      <c r="V1525" s="64">
        <f>Ringkasan!V1524</f>
        <v>0</v>
      </c>
      <c r="W1525" s="64" t="str">
        <f>Ringkasan!W1524</f>
        <v/>
      </c>
      <c r="X1525" s="64">
        <f>Ringkasan!X1524</f>
        <v>190</v>
      </c>
      <c r="Y1525" s="64">
        <f>Ringkasan!Y1524</f>
        <v>182</v>
      </c>
      <c r="Z1525" s="64">
        <f>Ringkasan!Z1524</f>
        <v>1105200</v>
      </c>
      <c r="AA1525" s="64" t="str">
        <f>Ringkasan!AA1524</f>
        <v>Oil, Gas &amp; Coal Supports</v>
      </c>
      <c r="AB1525" s="64" t="str">
        <f>Ringkasan!AB1524</f>
        <v>Energy</v>
      </c>
    </row>
    <row r="1526" hidden="1">
      <c r="A1526" s="64" t="str">
        <f>Ringkasan!A1525</f>
        <v>RUNS</v>
      </c>
      <c r="B1526" s="64" t="str">
        <f>Ringkasan!B1525</f>
        <v>Global Sukses Solusi Tbk.</v>
      </c>
      <c r="C1526" s="65">
        <f>Ringkasan!C1525</f>
        <v>74</v>
      </c>
      <c r="D1526" s="64" t="str">
        <f>Ringkasan!D1525</f>
        <v>#N/A</v>
      </c>
      <c r="E1526" s="64" t="str">
        <f>Ringkasan!E1525</f>
        <v/>
      </c>
      <c r="F1526" s="64" t="str">
        <f>Ringkasan!F1525</f>
        <v/>
      </c>
      <c r="G1526" s="64">
        <f>Ringkasan!G1525</f>
        <v>0</v>
      </c>
      <c r="H1526" s="19">
        <f>Ringkasan!H1525</f>
        <v>-10.6</v>
      </c>
      <c r="I1526" s="19">
        <f>Ringkasan!I1525</f>
        <v>1.4</v>
      </c>
      <c r="J1526" s="19">
        <f>Ringkasan!J1525</f>
        <v>-12.9</v>
      </c>
      <c r="K1526" s="19">
        <f>Ringkasan!K1525</f>
        <v>-9.1</v>
      </c>
      <c r="L1526" s="19">
        <f>Ringkasan!L1525</f>
        <v>0.41</v>
      </c>
      <c r="M1526" s="19">
        <f>Ringkasan!M1525</f>
        <v>-44.3</v>
      </c>
      <c r="N1526" s="64" t="str">
        <f>Ringkasan!N1525</f>
        <v/>
      </c>
      <c r="O1526" s="64" t="str">
        <f>Ringkasan!O1525</f>
        <v/>
      </c>
      <c r="P1526" s="64" t="str">
        <f>Ringkasan!P1525</f>
        <v/>
      </c>
      <c r="Q1526" s="64" t="str">
        <f>Ringkasan!Q1525</f>
        <v/>
      </c>
      <c r="R1526" s="64" t="str">
        <f>Ringkasan!R1525</f>
        <v/>
      </c>
      <c r="S1526" s="64" t="str">
        <f>Ringkasan!S1525</f>
        <v/>
      </c>
      <c r="T1526" s="64" t="str">
        <f>Ringkasan!T1525</f>
        <v/>
      </c>
      <c r="U1526" s="64">
        <f>Ringkasan!U1525</f>
        <v>69</v>
      </c>
      <c r="V1526" s="64">
        <f>Ringkasan!V1525</f>
        <v>7.25</v>
      </c>
      <c r="W1526" s="64">
        <f>Ringkasan!W1525</f>
        <v>75</v>
      </c>
      <c r="X1526" s="64">
        <f>Ringkasan!X1525</f>
        <v>75</v>
      </c>
      <c r="Y1526" s="64">
        <f>Ringkasan!Y1525</f>
        <v>69</v>
      </c>
      <c r="Z1526" s="64">
        <f>Ringkasan!Z1525</f>
        <v>451400</v>
      </c>
      <c r="AA1526" s="64" t="str">
        <f>Ringkasan!AA1525</f>
        <v>Software</v>
      </c>
      <c r="AB1526" s="64" t="str">
        <f>Ringkasan!AB1525</f>
        <v>Technology</v>
      </c>
    </row>
    <row r="1527" hidden="1">
      <c r="A1527" s="64" t="str">
        <f>Ringkasan!A1526</f>
        <v>SAFE</v>
      </c>
      <c r="B1527" s="64" t="str">
        <f>Ringkasan!B1526</f>
        <v>Steady Safe Tbk</v>
      </c>
      <c r="C1527" s="65">
        <f>Ringkasan!C1526</f>
        <v>324</v>
      </c>
      <c r="D1527" s="64" t="str">
        <f>Ringkasan!D1526</f>
        <v>#N/A</v>
      </c>
      <c r="E1527" s="64" t="str">
        <f>Ringkasan!E1526</f>
        <v/>
      </c>
      <c r="F1527" s="64" t="str">
        <f>Ringkasan!F1526</f>
        <v/>
      </c>
      <c r="G1527" s="64">
        <f>Ringkasan!G1526</f>
        <v>0</v>
      </c>
      <c r="H1527" s="19">
        <f>Ringkasan!H1526</f>
        <v>7.9</v>
      </c>
      <c r="I1527" s="19">
        <f>Ringkasan!I1526</f>
        <v>3.9</v>
      </c>
      <c r="J1527" s="19">
        <f>Ringkasan!J1526</f>
        <v>49.4</v>
      </c>
      <c r="K1527" s="19">
        <f>Ringkasan!K1526</f>
        <v>17.2</v>
      </c>
      <c r="L1527" s="19">
        <f>Ringkasan!L1526</f>
        <v>1.9</v>
      </c>
      <c r="M1527" s="19">
        <f>Ringkasan!M1526</f>
        <v>67.6</v>
      </c>
      <c r="N1527" s="64" t="str">
        <f>Ringkasan!N1526</f>
        <v/>
      </c>
      <c r="O1527" s="64" t="str">
        <f>Ringkasan!O1526</f>
        <v/>
      </c>
      <c r="P1527" s="64" t="str">
        <f>Ringkasan!P1526</f>
        <v/>
      </c>
      <c r="Q1527" s="64" t="str">
        <f>Ringkasan!Q1526</f>
        <v/>
      </c>
      <c r="R1527" s="64" t="str">
        <f>Ringkasan!R1526</f>
        <v/>
      </c>
      <c r="S1527" s="64" t="str">
        <f>Ringkasan!S1526</f>
        <v/>
      </c>
      <c r="T1527" s="64" t="str">
        <f>Ringkasan!T1526</f>
        <v/>
      </c>
      <c r="U1527" s="64">
        <f>Ringkasan!U1526</f>
        <v>16.09</v>
      </c>
      <c r="V1527" s="64">
        <f>Ringkasan!V1526</f>
        <v>-1.74</v>
      </c>
      <c r="W1527" s="64">
        <f>Ringkasan!W1526</f>
        <v>16.11</v>
      </c>
      <c r="X1527" s="64">
        <f>Ringkasan!X1526</f>
        <v>16.29</v>
      </c>
      <c r="Y1527" s="64">
        <f>Ringkasan!Y1526</f>
        <v>15.78</v>
      </c>
      <c r="Z1527" s="64">
        <f>Ringkasan!Z1526</f>
        <v>375755</v>
      </c>
      <c r="AA1527" s="64" t="str">
        <f>Ringkasan!AA1526</f>
        <v>Passenger Land Transportation</v>
      </c>
      <c r="AB1527" s="64" t="str">
        <f>Ringkasan!AB1526</f>
        <v>Transportation &amp; Logistic</v>
      </c>
    </row>
    <row r="1528" hidden="1">
      <c r="A1528" s="64" t="str">
        <f>Ringkasan!A1527</f>
        <v>SAGE</v>
      </c>
      <c r="B1528" s="64" t="str">
        <f>Ringkasan!B1527</f>
        <v>PT Saptausaha Gemilangindah Tbk</v>
      </c>
      <c r="C1528" s="65">
        <f>Ringkasan!C1527</f>
        <v>26</v>
      </c>
      <c r="D1528" s="64" t="str">
        <f>Ringkasan!D1527</f>
        <v>#N/A</v>
      </c>
      <c r="E1528" s="64" t="str">
        <f>Ringkasan!E1527</f>
        <v/>
      </c>
      <c r="F1528" s="64" t="str">
        <f>Ringkasan!F1527</f>
        <v/>
      </c>
      <c r="G1528" s="64">
        <f>Ringkasan!G1527</f>
        <v>0</v>
      </c>
      <c r="H1528" s="19">
        <f>Ringkasan!H1527</f>
        <v>-76.4</v>
      </c>
      <c r="I1528" s="19">
        <f>Ringkasan!I1527</f>
        <v>0.96</v>
      </c>
      <c r="J1528" s="19">
        <f>Ringkasan!J1527</f>
        <v>-1.3</v>
      </c>
      <c r="K1528" s="19">
        <f>Ringkasan!K1527</f>
        <v>-1.1</v>
      </c>
      <c r="L1528" s="19">
        <f>Ringkasan!L1527</f>
        <v>0.13</v>
      </c>
      <c r="M1528" s="19">
        <f>Ringkasan!M1527</f>
        <v>-180</v>
      </c>
      <c r="N1528" s="64" t="str">
        <f>Ringkasan!N1527</f>
        <v/>
      </c>
      <c r="O1528" s="64" t="str">
        <f>Ringkasan!O1527</f>
        <v/>
      </c>
      <c r="P1528" s="64" t="str">
        <f>Ringkasan!P1527</f>
        <v/>
      </c>
      <c r="Q1528" s="64" t="str">
        <f>Ringkasan!Q1527</f>
        <v/>
      </c>
      <c r="R1528" s="64" t="str">
        <f>Ringkasan!R1527</f>
        <v/>
      </c>
      <c r="S1528" s="64" t="str">
        <f>Ringkasan!S1527</f>
        <v/>
      </c>
      <c r="T1528" s="64" t="str">
        <f>Ringkasan!T1527</f>
        <v/>
      </c>
      <c r="U1528" s="64">
        <f>Ringkasan!U1527</f>
        <v>0.12</v>
      </c>
      <c r="V1528" s="64">
        <f>Ringkasan!V1527</f>
        <v>8.33</v>
      </c>
      <c r="W1528" s="64">
        <f>Ringkasan!W1527</f>
        <v>0.13</v>
      </c>
      <c r="X1528" s="64">
        <f>Ringkasan!X1527</f>
        <v>0.13</v>
      </c>
      <c r="Y1528" s="64">
        <f>Ringkasan!Y1527</f>
        <v>0.13</v>
      </c>
      <c r="Z1528" s="64">
        <f>Ringkasan!Z1527</f>
        <v>29206</v>
      </c>
      <c r="AA1528" s="64" t="str">
        <f>Ringkasan!AA1527</f>
        <v>Real Estate Management &amp; Development</v>
      </c>
      <c r="AB1528" s="64" t="str">
        <f>Ringkasan!AB1527</f>
        <v>Properties &amp; Real Estate</v>
      </c>
    </row>
    <row r="1529" hidden="1">
      <c r="A1529" s="64" t="str">
        <f>Ringkasan!A1528</f>
        <v>SAME</v>
      </c>
      <c r="B1529" s="64" t="str">
        <f>Ringkasan!B1528</f>
        <v>Sarana Meditama Metropolitan Tbk</v>
      </c>
      <c r="C1529" s="65">
        <f>Ringkasan!C1528</f>
        <v>300</v>
      </c>
      <c r="D1529" s="64" t="str">
        <f>Ringkasan!D1528</f>
        <v>#N/A</v>
      </c>
      <c r="E1529" s="64" t="str">
        <f>Ringkasan!E1528</f>
        <v/>
      </c>
      <c r="F1529" s="64" t="str">
        <f>Ringkasan!F1528</f>
        <v/>
      </c>
      <c r="G1529" s="64">
        <f>Ringkasan!G1528</f>
        <v>0</v>
      </c>
      <c r="H1529" s="19">
        <f>Ringkasan!H1528</f>
        <v>290</v>
      </c>
      <c r="I1529" s="19">
        <f>Ringkasan!I1528</f>
        <v>1.3</v>
      </c>
      <c r="J1529" s="19">
        <f>Ringkasan!J1528</f>
        <v>0.47</v>
      </c>
      <c r="K1529" s="19">
        <f>Ringkasan!K1528</f>
        <v>0.34</v>
      </c>
      <c r="L1529" s="19">
        <f>Ringkasan!L1528</f>
        <v>0.38</v>
      </c>
      <c r="M1529" s="19">
        <f>Ringkasan!M1528</f>
        <v>4.1</v>
      </c>
      <c r="N1529" s="64" t="str">
        <f>Ringkasan!N1528</f>
        <v/>
      </c>
      <c r="O1529" s="64" t="str">
        <f>Ringkasan!O1528</f>
        <v/>
      </c>
      <c r="P1529" s="64" t="str">
        <f>Ringkasan!P1528</f>
        <v/>
      </c>
      <c r="Q1529" s="64" t="str">
        <f>Ringkasan!Q1528</f>
        <v/>
      </c>
      <c r="R1529" s="64" t="str">
        <f>Ringkasan!R1528</f>
        <v/>
      </c>
      <c r="S1529" s="64" t="str">
        <f>Ringkasan!S1528</f>
        <v/>
      </c>
      <c r="T1529" s="64" t="str">
        <f>Ringkasan!T1528</f>
        <v/>
      </c>
      <c r="U1529" s="64">
        <f>Ringkasan!U1528</f>
        <v>298</v>
      </c>
      <c r="V1529" s="64">
        <f>Ringkasan!V1528</f>
        <v>0.67</v>
      </c>
      <c r="W1529" s="64">
        <f>Ringkasan!W1528</f>
        <v>298</v>
      </c>
      <c r="X1529" s="64">
        <f>Ringkasan!X1528</f>
        <v>314</v>
      </c>
      <c r="Y1529" s="64">
        <f>Ringkasan!Y1528</f>
        <v>298</v>
      </c>
      <c r="Z1529" s="64">
        <f>Ringkasan!Z1528</f>
        <v>940300</v>
      </c>
      <c r="AA1529" s="64" t="str">
        <f>Ringkasan!AA1528</f>
        <v>Healthcare Providers</v>
      </c>
      <c r="AB1529" s="64" t="str">
        <f>Ringkasan!AB1528</f>
        <v>Healthcare</v>
      </c>
    </row>
    <row r="1530" hidden="1">
      <c r="A1530" s="64" t="str">
        <f>Ringkasan!A1529</f>
        <v>SAMF</v>
      </c>
      <c r="B1530" s="64" t="str">
        <f>Ringkasan!B1529</f>
        <v>Saraswanti Anugerah Makmur Tbk.</v>
      </c>
      <c r="C1530" s="65">
        <f>Ringkasan!C1529</f>
        <v>272</v>
      </c>
      <c r="D1530" s="64" t="str">
        <f>Ringkasan!D1529</f>
        <v>#N/A</v>
      </c>
      <c r="E1530" s="64" t="str">
        <f>Ringkasan!E1529</f>
        <v/>
      </c>
      <c r="F1530" s="64" t="str">
        <f>Ringkasan!F1529</f>
        <v/>
      </c>
      <c r="G1530" s="65">
        <f>Ringkasan!G1529</f>
        <v>0</v>
      </c>
      <c r="H1530" s="19">
        <f>Ringkasan!H1529</f>
        <v>11.9</v>
      </c>
      <c r="I1530" s="19">
        <f>Ringkasan!I1529</f>
        <v>1.5</v>
      </c>
      <c r="J1530" s="19">
        <f>Ringkasan!J1529</f>
        <v>12.9</v>
      </c>
      <c r="K1530" s="19">
        <f>Ringkasan!K1529</f>
        <v>7.1</v>
      </c>
      <c r="L1530" s="19">
        <f>Ringkasan!L1529</f>
        <v>0.82</v>
      </c>
      <c r="M1530" s="19">
        <f>Ringkasan!M1529</f>
        <v>41.4</v>
      </c>
      <c r="N1530" s="64" t="str">
        <f>Ringkasan!N1529</f>
        <v/>
      </c>
      <c r="O1530" s="64" t="str">
        <f>Ringkasan!O1529</f>
        <v/>
      </c>
      <c r="P1530" s="64" t="str">
        <f>Ringkasan!P1529</f>
        <v/>
      </c>
      <c r="Q1530" s="64" t="str">
        <f>Ringkasan!Q1529</f>
        <v/>
      </c>
      <c r="R1530" s="64" t="str">
        <f>Ringkasan!R1529</f>
        <v/>
      </c>
      <c r="S1530" s="64" t="str">
        <f>Ringkasan!S1529</f>
        <v/>
      </c>
      <c r="T1530" s="64" t="str">
        <f>Ringkasan!T1529</f>
        <v/>
      </c>
      <c r="U1530" s="64">
        <f>Ringkasan!U1529</f>
        <v>266</v>
      </c>
      <c r="V1530" s="64">
        <f>Ringkasan!V1529</f>
        <v>2.26</v>
      </c>
      <c r="W1530" s="64">
        <f>Ringkasan!W1529</f>
        <v>264</v>
      </c>
      <c r="X1530" s="64">
        <f>Ringkasan!X1529</f>
        <v>278</v>
      </c>
      <c r="Y1530" s="64">
        <f>Ringkasan!Y1529</f>
        <v>262</v>
      </c>
      <c r="Z1530" s="64" t="str">
        <f>Ringkasan!Z1529</f>
        <v/>
      </c>
      <c r="AA1530" s="64" t="str">
        <f>Ringkasan!AA1529</f>
        <v>Chemicals</v>
      </c>
      <c r="AB1530" s="64" t="str">
        <f>Ringkasan!AB1529</f>
        <v>Basic Materials</v>
      </c>
    </row>
    <row r="1531">
      <c r="A1531" s="60" t="str">
        <f>Ringkasan!A1446</f>
        <v>PTBA</v>
      </c>
      <c r="B1531" s="60" t="str">
        <f>Ringkasan!B1446</f>
        <v>Bukit Asam (Persero) Tbk.</v>
      </c>
      <c r="C1531" s="61">
        <f>Ringkasan!C1446</f>
        <v>2620</v>
      </c>
      <c r="D1531" s="60" t="str">
        <f>Ringkasan!D1446</f>
        <v>#N/A</v>
      </c>
      <c r="E1531" s="60" t="str">
        <f>Ringkasan!E1446</f>
        <v>Kompas100</v>
      </c>
      <c r="F1531" s="60" t="str">
        <f>Ringkasan!F1446</f>
        <v>31 Juli 2026</v>
      </c>
      <c r="G1531" s="61">
        <f>Ringkasan!G1446</f>
        <v>18</v>
      </c>
      <c r="H1531" s="62">
        <f>Ringkasan!H1446</f>
        <v>9.6</v>
      </c>
      <c r="I1531" s="62">
        <f>Ringkasan!I1446</f>
        <v>1.4</v>
      </c>
      <c r="J1531" s="62">
        <f>Ringkasan!J1446</f>
        <v>14.1</v>
      </c>
      <c r="K1531" s="62">
        <f>Ringkasan!K1446</f>
        <v>7.7</v>
      </c>
      <c r="L1531" s="62">
        <f>Ringkasan!L1446</f>
        <v>0.83</v>
      </c>
      <c r="M1531" s="62">
        <f>Ringkasan!M1446</f>
        <v>33.6</v>
      </c>
      <c r="N1531" s="60" t="str">
        <f>Ringkasan!N1446</f>
        <v/>
      </c>
      <c r="O1531" s="60" t="str">
        <f>Ringkasan!O1446</f>
        <v/>
      </c>
      <c r="P1531" s="60" t="str">
        <f>Ringkasan!P1446</f>
        <v/>
      </c>
      <c r="Q1531" s="60" t="str">
        <f>Ringkasan!Q1446</f>
        <v/>
      </c>
      <c r="R1531" s="60" t="str">
        <f>Ringkasan!R1446</f>
        <v/>
      </c>
      <c r="S1531" s="60" t="str">
        <f>Ringkasan!S1446</f>
        <v/>
      </c>
      <c r="T1531" s="60" t="str">
        <f>Ringkasan!T1446</f>
        <v/>
      </c>
      <c r="U1531" s="60">
        <f>Ringkasan!U1446</f>
        <v>2630</v>
      </c>
      <c r="V1531" s="60">
        <f>Ringkasan!V1446</f>
        <v>-0.38</v>
      </c>
      <c r="W1531" s="60">
        <f>Ringkasan!W1446</f>
        <v>2600</v>
      </c>
      <c r="X1531" s="60">
        <f>Ringkasan!X1446</f>
        <v>2670</v>
      </c>
      <c r="Y1531" s="60">
        <f>Ringkasan!Y1446</f>
        <v>2550</v>
      </c>
      <c r="Z1531" s="60">
        <f>Ringkasan!Z1446</f>
        <v>46138000</v>
      </c>
      <c r="AA1531" s="60" t="str">
        <f>Ringkasan!AA1446</f>
        <v>Coal</v>
      </c>
      <c r="AB1531" s="60" t="str">
        <f>Ringkasan!AB1446</f>
        <v>Energy</v>
      </c>
    </row>
    <row r="1532" hidden="1">
      <c r="A1532" s="64" t="str">
        <f>Ringkasan!A985</f>
        <v>JECC</v>
      </c>
      <c r="B1532" s="64" t="str">
        <f>Ringkasan!B985</f>
        <v>Jembo Cable Company Tbk.</v>
      </c>
      <c r="C1532" s="61">
        <f>Ringkasan!C985</f>
        <v>570</v>
      </c>
      <c r="D1532" s="60" t="str">
        <f>Ringkasan!D985</f>
        <v>#N/A</v>
      </c>
      <c r="E1532" s="60" t="str">
        <f>Ringkasan!E985</f>
        <v/>
      </c>
      <c r="F1532" s="60" t="str">
        <f>Ringkasan!F985</f>
        <v/>
      </c>
      <c r="G1532" s="60">
        <f>Ringkasan!G985</f>
        <v>0</v>
      </c>
      <c r="H1532" s="62">
        <f>Ringkasan!H985</f>
        <v>5.9</v>
      </c>
      <c r="I1532" s="62">
        <f>Ringkasan!I985</f>
        <v>0.44</v>
      </c>
      <c r="J1532" s="62">
        <f>Ringkasan!J985</f>
        <v>7.4</v>
      </c>
      <c r="K1532" s="62">
        <f>Ringkasan!K985</f>
        <v>2.7</v>
      </c>
      <c r="L1532" s="62">
        <f>Ringkasan!L985</f>
        <v>1.8</v>
      </c>
      <c r="M1532" s="62">
        <f>Ringkasan!M985</f>
        <v>7.8</v>
      </c>
      <c r="N1532" s="60" t="str">
        <f>Ringkasan!N985</f>
        <v/>
      </c>
      <c r="O1532" s="60" t="str">
        <f>Ringkasan!O985</f>
        <v/>
      </c>
      <c r="P1532" s="60" t="str">
        <f>Ringkasan!P985</f>
        <v/>
      </c>
      <c r="Q1532" s="60" t="str">
        <f>Ringkasan!Q985</f>
        <v/>
      </c>
      <c r="R1532" s="60" t="str">
        <f>Ringkasan!R985</f>
        <v/>
      </c>
      <c r="S1532" s="60" t="str">
        <f>Ringkasan!S985</f>
        <v/>
      </c>
      <c r="T1532" s="60" t="str">
        <f>Ringkasan!T985</f>
        <v/>
      </c>
      <c r="U1532" s="60">
        <f>Ringkasan!U985</f>
        <v>570</v>
      </c>
      <c r="V1532" s="60">
        <f>Ringkasan!V985</f>
        <v>0</v>
      </c>
      <c r="W1532" s="60">
        <f>Ringkasan!W985</f>
        <v>570</v>
      </c>
      <c r="X1532" s="60">
        <f>Ringkasan!X985</f>
        <v>570</v>
      </c>
      <c r="Y1532" s="60">
        <f>Ringkasan!Y985</f>
        <v>570</v>
      </c>
      <c r="Z1532" s="60">
        <f>Ringkasan!Z985</f>
        <v>7100</v>
      </c>
      <c r="AA1532" s="60" t="str">
        <f>Ringkasan!AA985</f>
        <v>Electrical</v>
      </c>
      <c r="AB1532" s="64" t="str">
        <f>Ringkasan!AB985</f>
        <v>Industrials</v>
      </c>
    </row>
    <row r="1533" hidden="1">
      <c r="A1533" s="64" t="str">
        <f>Ringkasan!A986</f>
        <v>JGLE</v>
      </c>
      <c r="B1533" s="64" t="str">
        <f>Ringkasan!B986</f>
        <v>Graha Andrasentra Propertindo Tbk.</v>
      </c>
      <c r="C1533" s="61">
        <f>Ringkasan!C986</f>
        <v>57</v>
      </c>
      <c r="D1533" s="60" t="str">
        <f>Ringkasan!D986</f>
        <v>#N/A</v>
      </c>
      <c r="E1533" s="60" t="str">
        <f>Ringkasan!E986</f>
        <v/>
      </c>
      <c r="F1533" s="60" t="str">
        <f>Ringkasan!F986</f>
        <v/>
      </c>
      <c r="G1533" s="60">
        <f>Ringkasan!G986</f>
        <v>0</v>
      </c>
      <c r="H1533" s="62">
        <f>Ringkasan!H986</f>
        <v>-35.4</v>
      </c>
      <c r="I1533" s="62">
        <f>Ringkasan!I986</f>
        <v>1.3</v>
      </c>
      <c r="J1533" s="62">
        <f>Ringkasan!J986</f>
        <v>-3.6</v>
      </c>
      <c r="K1533" s="62">
        <f>Ringkasan!K986</f>
        <v>-2.6</v>
      </c>
      <c r="L1533" s="62">
        <f>Ringkasan!L986</f>
        <v>0.4</v>
      </c>
      <c r="M1533" s="62">
        <f>Ringkasan!M986</f>
        <v>-140</v>
      </c>
      <c r="N1533" s="60" t="str">
        <f>Ringkasan!N986</f>
        <v/>
      </c>
      <c r="O1533" s="60" t="str">
        <f>Ringkasan!O986</f>
        <v/>
      </c>
      <c r="P1533" s="60" t="str">
        <f>Ringkasan!P986</f>
        <v/>
      </c>
      <c r="Q1533" s="60" t="str">
        <f>Ringkasan!Q986</f>
        <v/>
      </c>
      <c r="R1533" s="60" t="str">
        <f>Ringkasan!R986</f>
        <v/>
      </c>
      <c r="S1533" s="60" t="str">
        <f>Ringkasan!S986</f>
        <v/>
      </c>
      <c r="T1533" s="60" t="str">
        <f>Ringkasan!T986</f>
        <v/>
      </c>
      <c r="U1533" s="60">
        <f>Ringkasan!U986</f>
        <v>53</v>
      </c>
      <c r="V1533" s="60">
        <f>Ringkasan!V986</f>
        <v>7.55</v>
      </c>
      <c r="W1533" s="60">
        <f>Ringkasan!W986</f>
        <v>54</v>
      </c>
      <c r="X1533" s="60">
        <f>Ringkasan!X986</f>
        <v>62</v>
      </c>
      <c r="Y1533" s="60">
        <f>Ringkasan!Y986</f>
        <v>53</v>
      </c>
      <c r="Z1533" s="60">
        <f>Ringkasan!Z986</f>
        <v>793015500</v>
      </c>
      <c r="AA1533" s="60" t="str">
        <f>Ringkasan!AA986</f>
        <v>Tourism &amp; Recreation</v>
      </c>
      <c r="AB1533" s="64" t="str">
        <f>Ringkasan!AB986</f>
        <v>Consumer Cyclicals</v>
      </c>
    </row>
    <row r="1534" hidden="1">
      <c r="A1534" s="64" t="str">
        <f>Ringkasan!A987</f>
        <v>JIHD</v>
      </c>
      <c r="B1534" s="64" t="str">
        <f>Ringkasan!B987</f>
        <v>Jakarta International Hotels &amp; Development Tbk.</v>
      </c>
      <c r="C1534" s="61">
        <f>Ringkasan!C987</f>
        <v>408</v>
      </c>
      <c r="D1534" s="60" t="str">
        <f>Ringkasan!D987</f>
        <v>#N/A</v>
      </c>
      <c r="E1534" s="60" t="str">
        <f>Ringkasan!E987</f>
        <v/>
      </c>
      <c r="F1534" s="60" t="str">
        <f>Ringkasan!F987</f>
        <v/>
      </c>
      <c r="G1534" s="60">
        <f>Ringkasan!G987</f>
        <v>0</v>
      </c>
      <c r="H1534" s="62">
        <f>Ringkasan!H987</f>
        <v>-5</v>
      </c>
      <c r="I1534" s="62">
        <f>Ringkasan!I987</f>
        <v>0.22</v>
      </c>
      <c r="J1534" s="62">
        <f>Ringkasan!J987</f>
        <v>-4.5</v>
      </c>
      <c r="K1534" s="62">
        <f>Ringkasan!K987</f>
        <v>-2.9</v>
      </c>
      <c r="L1534" s="62">
        <f>Ringkasan!L987</f>
        <v>0.53</v>
      </c>
      <c r="M1534" s="62">
        <f>Ringkasan!M987</f>
        <v>-52.7</v>
      </c>
      <c r="N1534" s="60" t="str">
        <f>Ringkasan!N987</f>
        <v/>
      </c>
      <c r="O1534" s="60" t="str">
        <f>Ringkasan!O987</f>
        <v/>
      </c>
      <c r="P1534" s="60" t="str">
        <f>Ringkasan!P987</f>
        <v/>
      </c>
      <c r="Q1534" s="60" t="str">
        <f>Ringkasan!Q987</f>
        <v/>
      </c>
      <c r="R1534" s="60" t="str">
        <f>Ringkasan!R987</f>
        <v/>
      </c>
      <c r="S1534" s="60" t="str">
        <f>Ringkasan!S987</f>
        <v/>
      </c>
      <c r="T1534" s="60" t="str">
        <f>Ringkasan!T987</f>
        <v/>
      </c>
      <c r="U1534" s="60">
        <f>Ringkasan!U987</f>
        <v>388</v>
      </c>
      <c r="V1534" s="60">
        <f>Ringkasan!V987</f>
        <v>5.15</v>
      </c>
      <c r="W1534" s="60">
        <f>Ringkasan!W987</f>
        <v>402</v>
      </c>
      <c r="X1534" s="60">
        <f>Ringkasan!X987</f>
        <v>416</v>
      </c>
      <c r="Y1534" s="60">
        <f>Ringkasan!Y987</f>
        <v>390</v>
      </c>
      <c r="Z1534" s="60">
        <f>Ringkasan!Z987</f>
        <v>650800</v>
      </c>
      <c r="AA1534" s="60" t="str">
        <f>Ringkasan!AA987</f>
        <v>Tourism &amp; Recreation</v>
      </c>
      <c r="AB1534" s="64" t="str">
        <f>Ringkasan!AB987</f>
        <v>Consumer Cyclicals</v>
      </c>
    </row>
    <row r="1535" hidden="1">
      <c r="A1535" s="64" t="str">
        <f>Ringkasan!A988</f>
        <v>JKON</v>
      </c>
      <c r="B1535" s="64" t="str">
        <f>Ringkasan!B988</f>
        <v>Jaya Konstruksi Manggala Pratama Tbk</v>
      </c>
      <c r="C1535" s="61">
        <f>Ringkasan!C988</f>
        <v>68</v>
      </c>
      <c r="D1535" s="60" t="str">
        <f>Ringkasan!D988</f>
        <v>#N/A</v>
      </c>
      <c r="E1535" s="60" t="str">
        <f>Ringkasan!E988</f>
        <v>IDXMESBUMN</v>
      </c>
      <c r="F1535" s="63">
        <f>Ringkasan!F988</f>
        <v>46356</v>
      </c>
      <c r="G1535" s="60">
        <f>Ringkasan!G988</f>
        <v>1</v>
      </c>
      <c r="H1535" s="62">
        <f>Ringkasan!H988</f>
        <v>8</v>
      </c>
      <c r="I1535" s="62">
        <f>Ringkasan!I988</f>
        <v>0.35</v>
      </c>
      <c r="J1535" s="62">
        <f>Ringkasan!J988</f>
        <v>4.4</v>
      </c>
      <c r="K1535" s="62">
        <f>Ringkasan!K988</f>
        <v>3.3</v>
      </c>
      <c r="L1535" s="62">
        <f>Ringkasan!L988</f>
        <v>0.34</v>
      </c>
      <c r="M1535" s="62">
        <f>Ringkasan!M988</f>
        <v>15.6</v>
      </c>
      <c r="N1535" s="60" t="str">
        <f>Ringkasan!N988</f>
        <v/>
      </c>
      <c r="O1535" s="60" t="str">
        <f>Ringkasan!O988</f>
        <v/>
      </c>
      <c r="P1535" s="60" t="str">
        <f>Ringkasan!P988</f>
        <v/>
      </c>
      <c r="Q1535" s="60" t="str">
        <f>Ringkasan!Q988</f>
        <v/>
      </c>
      <c r="R1535" s="60" t="str">
        <f>Ringkasan!R988</f>
        <v/>
      </c>
      <c r="S1535" s="60" t="str">
        <f>Ringkasan!S988</f>
        <v/>
      </c>
      <c r="T1535" s="60" t="str">
        <f>Ringkasan!T988</f>
        <v/>
      </c>
      <c r="U1535" s="60">
        <f>Ringkasan!U988</f>
        <v>65</v>
      </c>
      <c r="V1535" s="60">
        <f>Ringkasan!V988</f>
        <v>4.62</v>
      </c>
      <c r="W1535" s="60">
        <f>Ringkasan!W988</f>
        <v>67</v>
      </c>
      <c r="X1535" s="60">
        <f>Ringkasan!X988</f>
        <v>69</v>
      </c>
      <c r="Y1535" s="60">
        <f>Ringkasan!Y988</f>
        <v>65</v>
      </c>
      <c r="Z1535" s="60">
        <f>Ringkasan!Z988</f>
        <v>3213600</v>
      </c>
      <c r="AA1535" s="60" t="str">
        <f>Ringkasan!AA988</f>
        <v>Heavy Constructions &amp; Civil Engineering</v>
      </c>
      <c r="AB1535" s="64" t="str">
        <f>Ringkasan!AB988</f>
        <v>Infrastructures</v>
      </c>
    </row>
    <row r="1536" hidden="1">
      <c r="A1536" s="64" t="str">
        <f>Ringkasan!A1465</f>
        <v>PTRO</v>
      </c>
      <c r="B1536" s="64" t="str">
        <f>Ringkasan!B1465</f>
        <v>Petrosea Tbk</v>
      </c>
      <c r="C1536" s="61">
        <f>Ringkasan!C1465</f>
        <v>4180</v>
      </c>
      <c r="D1536" s="60" t="str">
        <f>Ringkasan!D1465</f>
        <v>#N/A</v>
      </c>
      <c r="E1536" s="60" t="str">
        <f>Ringkasan!E1465</f>
        <v>IDX80</v>
      </c>
      <c r="F1536" s="60" t="str">
        <f>Ringkasan!F1465</f>
        <v>31 Juli 2026</v>
      </c>
      <c r="G1536" s="60">
        <f>Ringkasan!G1465</f>
        <v>4</v>
      </c>
      <c r="H1536" s="62">
        <f>Ringkasan!H1465</f>
        <v>95.8</v>
      </c>
      <c r="I1536" s="62">
        <f>Ringkasan!I1465</f>
        <v>9</v>
      </c>
      <c r="J1536" s="62">
        <f>Ringkasan!J1465</f>
        <v>9.4</v>
      </c>
      <c r="K1536" s="62">
        <f>Ringkasan!K1465</f>
        <v>1.8</v>
      </c>
      <c r="L1536" s="62">
        <f>Ringkasan!L1465</f>
        <v>4.2</v>
      </c>
      <c r="M1536" s="62">
        <f>Ringkasan!M1465</f>
        <v>10.2</v>
      </c>
      <c r="N1536" s="60" t="str">
        <f>Ringkasan!N1465</f>
        <v/>
      </c>
      <c r="O1536" s="60" t="str">
        <f>Ringkasan!O1465</f>
        <v/>
      </c>
      <c r="P1536" s="60" t="str">
        <f>Ringkasan!P1465</f>
        <v/>
      </c>
      <c r="Q1536" s="60" t="str">
        <f>Ringkasan!Q1465</f>
        <v/>
      </c>
      <c r="R1536" s="60" t="str">
        <f>Ringkasan!R1465</f>
        <v/>
      </c>
      <c r="S1536" s="60" t="str">
        <f>Ringkasan!S1465</f>
        <v/>
      </c>
      <c r="T1536" s="60" t="str">
        <f>Ringkasan!T1465</f>
        <v/>
      </c>
      <c r="U1536" s="60">
        <f>Ringkasan!U1465</f>
        <v>4010</v>
      </c>
      <c r="V1536" s="60">
        <f>Ringkasan!V1465</f>
        <v>4.24</v>
      </c>
      <c r="W1536" s="60">
        <f>Ringkasan!W1465</f>
        <v>4150</v>
      </c>
      <c r="X1536" s="60">
        <f>Ringkasan!X1465</f>
        <v>4340</v>
      </c>
      <c r="Y1536" s="60">
        <f>Ringkasan!Y1465</f>
        <v>4150</v>
      </c>
      <c r="Z1536" s="60">
        <f>Ringkasan!Z1465</f>
        <v>64705700</v>
      </c>
      <c r="AA1536" s="60" t="str">
        <f>Ringkasan!AA1465</f>
        <v>Oil, Gas &amp; Coal Supports</v>
      </c>
      <c r="AB1536" s="64" t="str">
        <f>Ringkasan!AB1465</f>
        <v>Energy</v>
      </c>
    </row>
    <row r="1537" hidden="1">
      <c r="A1537" s="64" t="str">
        <f>Ringkasan!A1466</f>
        <v>PTRO</v>
      </c>
      <c r="B1537" s="64" t="str">
        <f>Ringkasan!B1466</f>
        <v>Petrosea Tbk</v>
      </c>
      <c r="C1537" s="61">
        <f>Ringkasan!C1466</f>
        <v>4180</v>
      </c>
      <c r="D1537" s="60" t="str">
        <f>Ringkasan!D1466</f>
        <v>#N/A</v>
      </c>
      <c r="E1537" s="60" t="str">
        <f>Ringkasan!E1466</f>
        <v>Kompas100</v>
      </c>
      <c r="F1537" s="60" t="str">
        <f>Ringkasan!F1466</f>
        <v>31 Juli 2026</v>
      </c>
      <c r="G1537" s="60">
        <f>Ringkasan!G1466</f>
        <v>4</v>
      </c>
      <c r="H1537" s="62">
        <f>Ringkasan!H1466</f>
        <v>95.8</v>
      </c>
      <c r="I1537" s="62">
        <f>Ringkasan!I1466</f>
        <v>9</v>
      </c>
      <c r="J1537" s="62">
        <f>Ringkasan!J1466</f>
        <v>9.4</v>
      </c>
      <c r="K1537" s="62">
        <f>Ringkasan!K1466</f>
        <v>1.8</v>
      </c>
      <c r="L1537" s="62">
        <f>Ringkasan!L1466</f>
        <v>4.2</v>
      </c>
      <c r="M1537" s="62">
        <f>Ringkasan!M1466</f>
        <v>10.2</v>
      </c>
      <c r="N1537" s="60" t="str">
        <f>Ringkasan!N1466</f>
        <v/>
      </c>
      <c r="O1537" s="60" t="str">
        <f>Ringkasan!O1466</f>
        <v/>
      </c>
      <c r="P1537" s="60" t="str">
        <f>Ringkasan!P1466</f>
        <v/>
      </c>
      <c r="Q1537" s="60" t="str">
        <f>Ringkasan!Q1466</f>
        <v/>
      </c>
      <c r="R1537" s="60" t="str">
        <f>Ringkasan!R1466</f>
        <v/>
      </c>
      <c r="S1537" s="60" t="str">
        <f>Ringkasan!S1466</f>
        <v/>
      </c>
      <c r="T1537" s="60" t="str">
        <f>Ringkasan!T1466</f>
        <v/>
      </c>
      <c r="U1537" s="60">
        <f>Ringkasan!U1466</f>
        <v>4010</v>
      </c>
      <c r="V1537" s="60">
        <f>Ringkasan!V1466</f>
        <v>4.24</v>
      </c>
      <c r="W1537" s="60">
        <f>Ringkasan!W1466</f>
        <v>4150</v>
      </c>
      <c r="X1537" s="60">
        <f>Ringkasan!X1466</f>
        <v>4340</v>
      </c>
      <c r="Y1537" s="60">
        <f>Ringkasan!Y1466</f>
        <v>4150</v>
      </c>
      <c r="Z1537" s="60">
        <f>Ringkasan!Z1466</f>
        <v>64705700</v>
      </c>
      <c r="AA1537" s="60" t="str">
        <f>Ringkasan!AA1466</f>
        <v>Oil, Gas &amp; Coal Supports</v>
      </c>
      <c r="AB1537" s="64" t="str">
        <f>Ringkasan!AB1466</f>
        <v>Energy</v>
      </c>
    </row>
    <row r="1538" hidden="1">
      <c r="A1538" s="64" t="str">
        <f>Ringkasan!A1467</f>
        <v>PTRO</v>
      </c>
      <c r="B1538" s="64" t="str">
        <f>Ringkasan!B1467</f>
        <v>Petrosea Tbk</v>
      </c>
      <c r="C1538" s="61">
        <f>Ringkasan!C1467</f>
        <v>4180</v>
      </c>
      <c r="D1538" s="60" t="str">
        <f>Ringkasan!D1467</f>
        <v>#N/A</v>
      </c>
      <c r="E1538" s="60" t="str">
        <f>Ringkasan!E1467</f>
        <v>MSCI Small Cap</v>
      </c>
      <c r="F1538" s="60" t="str">
        <f>Ringkasan!F1467</f>
        <v>12 Agustus 2026</v>
      </c>
      <c r="G1538" s="60">
        <f>Ringkasan!G1467</f>
        <v>4</v>
      </c>
      <c r="H1538" s="62">
        <f>Ringkasan!H1467</f>
        <v>95.8</v>
      </c>
      <c r="I1538" s="62">
        <f>Ringkasan!I1467</f>
        <v>9</v>
      </c>
      <c r="J1538" s="62">
        <f>Ringkasan!J1467</f>
        <v>9.4</v>
      </c>
      <c r="K1538" s="62">
        <f>Ringkasan!K1467</f>
        <v>1.8</v>
      </c>
      <c r="L1538" s="62">
        <f>Ringkasan!L1467</f>
        <v>4.2</v>
      </c>
      <c r="M1538" s="62">
        <f>Ringkasan!M1467</f>
        <v>10.2</v>
      </c>
      <c r="N1538" s="60" t="str">
        <f>Ringkasan!N1467</f>
        <v/>
      </c>
      <c r="O1538" s="60" t="str">
        <f>Ringkasan!O1467</f>
        <v/>
      </c>
      <c r="P1538" s="60" t="str">
        <f>Ringkasan!P1467</f>
        <v/>
      </c>
      <c r="Q1538" s="60" t="str">
        <f>Ringkasan!Q1467</f>
        <v/>
      </c>
      <c r="R1538" s="60" t="str">
        <f>Ringkasan!R1467</f>
        <v/>
      </c>
      <c r="S1538" s="60" t="str">
        <f>Ringkasan!S1467</f>
        <v/>
      </c>
      <c r="T1538" s="60" t="str">
        <f>Ringkasan!T1467</f>
        <v/>
      </c>
      <c r="U1538" s="60">
        <f>Ringkasan!U1467</f>
        <v>4010</v>
      </c>
      <c r="V1538" s="60">
        <f>Ringkasan!V1467</f>
        <v>4.24</v>
      </c>
      <c r="W1538" s="60">
        <f>Ringkasan!W1467</f>
        <v>4150</v>
      </c>
      <c r="X1538" s="60">
        <f>Ringkasan!X1467</f>
        <v>4340</v>
      </c>
      <c r="Y1538" s="60">
        <f>Ringkasan!Y1467</f>
        <v>4150</v>
      </c>
      <c r="Z1538" s="60">
        <f>Ringkasan!Z1467</f>
        <v>64705700</v>
      </c>
      <c r="AA1538" s="60" t="str">
        <f>Ringkasan!AA1467</f>
        <v>Oil, Gas &amp; Coal Supports</v>
      </c>
      <c r="AB1538" s="64" t="str">
        <f>Ringkasan!AB1467</f>
        <v>Energy</v>
      </c>
    </row>
    <row r="1539" hidden="1">
      <c r="A1539" s="64" t="str">
        <f>Ringkasan!A1468</f>
        <v>PTSN</v>
      </c>
      <c r="B1539" s="64" t="str">
        <f>Ringkasan!B1468</f>
        <v>Sat Nusapersada Tbk</v>
      </c>
      <c r="C1539" s="61">
        <f>Ringkasan!C1468</f>
        <v>228</v>
      </c>
      <c r="D1539" s="60" t="str">
        <f>Ringkasan!D1468</f>
        <v>#N/A</v>
      </c>
      <c r="E1539" s="60" t="str">
        <f>Ringkasan!E1468</f>
        <v/>
      </c>
      <c r="F1539" s="60" t="str">
        <f>Ringkasan!F1468</f>
        <v/>
      </c>
      <c r="G1539" s="60">
        <f>Ringkasan!G1468</f>
        <v>0</v>
      </c>
      <c r="H1539" s="62">
        <f>Ringkasan!H1468</f>
        <v>5.5</v>
      </c>
      <c r="I1539" s="62">
        <f>Ringkasan!I1468</f>
        <v>0.65</v>
      </c>
      <c r="J1539" s="62">
        <f>Ringkasan!J1468</f>
        <v>11.9</v>
      </c>
      <c r="K1539" s="62">
        <f>Ringkasan!K1468</f>
        <v>6.3</v>
      </c>
      <c r="L1539" s="62">
        <f>Ringkasan!L1468</f>
        <v>0.9</v>
      </c>
      <c r="M1539" s="62">
        <f>Ringkasan!M1468</f>
        <v>21.3</v>
      </c>
      <c r="N1539" s="60" t="str">
        <f>Ringkasan!N1468</f>
        <v/>
      </c>
      <c r="O1539" s="60" t="str">
        <f>Ringkasan!O1468</f>
        <v/>
      </c>
      <c r="P1539" s="60" t="str">
        <f>Ringkasan!P1468</f>
        <v/>
      </c>
      <c r="Q1539" s="60" t="str">
        <f>Ringkasan!Q1468</f>
        <v/>
      </c>
      <c r="R1539" s="60" t="str">
        <f>Ringkasan!R1468</f>
        <v/>
      </c>
      <c r="S1539" s="60" t="str">
        <f>Ringkasan!S1468</f>
        <v/>
      </c>
      <c r="T1539" s="60" t="str">
        <f>Ringkasan!T1468</f>
        <v/>
      </c>
      <c r="U1539" s="60">
        <f>Ringkasan!U1468</f>
        <v>226</v>
      </c>
      <c r="V1539" s="60">
        <f>Ringkasan!V1468</f>
        <v>0.88</v>
      </c>
      <c r="W1539" s="60">
        <f>Ringkasan!W1468</f>
        <v>234</v>
      </c>
      <c r="X1539" s="60">
        <f>Ringkasan!X1468</f>
        <v>238</v>
      </c>
      <c r="Y1539" s="60">
        <f>Ringkasan!Y1468</f>
        <v>222</v>
      </c>
      <c r="Z1539" s="60">
        <f>Ringkasan!Z1468</f>
        <v>1168300</v>
      </c>
      <c r="AA1539" s="60" t="str">
        <f>Ringkasan!AA1468</f>
        <v>Networking Equipment</v>
      </c>
      <c r="AB1539" s="64" t="str">
        <f>Ringkasan!AB1468</f>
        <v>Technology</v>
      </c>
    </row>
    <row r="1540" hidden="1">
      <c r="A1540" s="64" t="str">
        <f>Ringkasan!A1469</f>
        <v>PTSP</v>
      </c>
      <c r="B1540" s="64" t="str">
        <f>Ringkasan!B1469</f>
        <v>Pioneerindo Gourmet International Tbk.</v>
      </c>
      <c r="C1540" s="61">
        <f>Ringkasan!C1469</f>
        <v>900</v>
      </c>
      <c r="D1540" s="60" t="str">
        <f>Ringkasan!D1469</f>
        <v>#N/A</v>
      </c>
      <c r="E1540" s="60" t="str">
        <f>Ringkasan!E1469</f>
        <v/>
      </c>
      <c r="F1540" s="60" t="str">
        <f>Ringkasan!F1469</f>
        <v/>
      </c>
      <c r="G1540" s="60">
        <f>Ringkasan!G1469</f>
        <v>0</v>
      </c>
      <c r="H1540" s="62">
        <f>Ringkasan!H1469</f>
        <v>5.4</v>
      </c>
      <c r="I1540" s="62">
        <f>Ringkasan!I1469</f>
        <v>0.97</v>
      </c>
      <c r="J1540" s="62">
        <f>Ringkasan!J1469</f>
        <v>17.8</v>
      </c>
      <c r="K1540" s="62">
        <f>Ringkasan!K1469</f>
        <v>9.2</v>
      </c>
      <c r="L1540" s="62">
        <f>Ringkasan!L1469</f>
        <v>0.93</v>
      </c>
      <c r="M1540" s="62">
        <f>Ringkasan!M1469</f>
        <v>17.7</v>
      </c>
      <c r="N1540" s="60" t="str">
        <f>Ringkasan!N1469</f>
        <v/>
      </c>
      <c r="O1540" s="60" t="str">
        <f>Ringkasan!O1469</f>
        <v/>
      </c>
      <c r="P1540" s="60" t="str">
        <f>Ringkasan!P1469</f>
        <v/>
      </c>
      <c r="Q1540" s="60" t="str">
        <f>Ringkasan!Q1469</f>
        <v/>
      </c>
      <c r="R1540" s="60" t="str">
        <f>Ringkasan!R1469</f>
        <v/>
      </c>
      <c r="S1540" s="60" t="str">
        <f>Ringkasan!S1469</f>
        <v/>
      </c>
      <c r="T1540" s="60" t="str">
        <f>Ringkasan!T1469</f>
        <v/>
      </c>
      <c r="U1540" s="60">
        <f>Ringkasan!U1469</f>
        <v>900</v>
      </c>
      <c r="V1540" s="60">
        <f>Ringkasan!V1469</f>
        <v>0</v>
      </c>
      <c r="W1540" s="60">
        <f>Ringkasan!W1469</f>
        <v>900</v>
      </c>
      <c r="X1540" s="60">
        <f>Ringkasan!X1469</f>
        <v>920</v>
      </c>
      <c r="Y1540" s="60">
        <f>Ringkasan!Y1469</f>
        <v>900</v>
      </c>
      <c r="Z1540" s="60" t="str">
        <f>Ringkasan!Z1469</f>
        <v/>
      </c>
      <c r="AA1540" s="60" t="str">
        <f>Ringkasan!AA1469</f>
        <v>Tourism &amp; Recreation</v>
      </c>
      <c r="AB1540" s="64" t="str">
        <f>Ringkasan!AB1469</f>
        <v>Consumer Cyclicals</v>
      </c>
    </row>
    <row r="1541" hidden="1">
      <c r="A1541" s="64" t="str">
        <f>Ringkasan!A1470</f>
        <v>PUDP</v>
      </c>
      <c r="B1541" s="64" t="str">
        <f>Ringkasan!B1470</f>
        <v>Pudjiadi Prestige Tbk.</v>
      </c>
      <c r="C1541" s="61">
        <f>Ringkasan!C1470</f>
        <v>310</v>
      </c>
      <c r="D1541" s="60" t="str">
        <f>Ringkasan!D1470</f>
        <v>#N/A</v>
      </c>
      <c r="E1541" s="60" t="str">
        <f>Ringkasan!E1470</f>
        <v/>
      </c>
      <c r="F1541" s="60" t="str">
        <f>Ringkasan!F1470</f>
        <v/>
      </c>
      <c r="G1541" s="60">
        <f>Ringkasan!G1470</f>
        <v>0</v>
      </c>
      <c r="H1541" s="62">
        <f>Ringkasan!H1470</f>
        <v>390</v>
      </c>
      <c r="I1541" s="62">
        <f>Ringkasan!I1470</f>
        <v>0.46</v>
      </c>
      <c r="J1541" s="62">
        <f>Ringkasan!J1470</f>
        <v>0.12</v>
      </c>
      <c r="K1541" s="62">
        <f>Ringkasan!K1470</f>
        <v>0.11</v>
      </c>
      <c r="L1541" s="62">
        <f>Ringkasan!L1470</f>
        <v>0.07</v>
      </c>
      <c r="M1541" s="62">
        <f>Ringkasan!M1470</f>
        <v>6.2</v>
      </c>
      <c r="N1541" s="60" t="str">
        <f>Ringkasan!N1470</f>
        <v/>
      </c>
      <c r="O1541" s="60" t="str">
        <f>Ringkasan!O1470</f>
        <v/>
      </c>
      <c r="P1541" s="60" t="str">
        <f>Ringkasan!P1470</f>
        <v/>
      </c>
      <c r="Q1541" s="60" t="str">
        <f>Ringkasan!Q1470</f>
        <v/>
      </c>
      <c r="R1541" s="60" t="str">
        <f>Ringkasan!R1470</f>
        <v/>
      </c>
      <c r="S1541" s="60" t="str">
        <f>Ringkasan!S1470</f>
        <v/>
      </c>
      <c r="T1541" s="60" t="str">
        <f>Ringkasan!T1470</f>
        <v/>
      </c>
      <c r="U1541" s="60">
        <f>Ringkasan!U1470</f>
        <v>284</v>
      </c>
      <c r="V1541" s="60">
        <f>Ringkasan!V1470</f>
        <v>9.15</v>
      </c>
      <c r="W1541" s="60">
        <f>Ringkasan!W1470</f>
        <v>284</v>
      </c>
      <c r="X1541" s="60">
        <f>Ringkasan!X1470</f>
        <v>316</v>
      </c>
      <c r="Y1541" s="60">
        <f>Ringkasan!Y1470</f>
        <v>284</v>
      </c>
      <c r="Z1541" s="60">
        <f>Ringkasan!Z1470</f>
        <v>361500</v>
      </c>
      <c r="AA1541" s="60" t="str">
        <f>Ringkasan!AA1470</f>
        <v>Real Estate Management &amp; Development</v>
      </c>
      <c r="AB1541" s="64" t="str">
        <f>Ringkasan!AB1470</f>
        <v>Properties &amp; Real Estate</v>
      </c>
    </row>
    <row r="1542" hidden="1">
      <c r="A1542" s="60" t="str">
        <f>Ringkasan!A1471</f>
        <v>PURA</v>
      </c>
      <c r="B1542" s="60" t="str">
        <f>Ringkasan!B1471</f>
        <v>Putra Rajawali Kencana Tbk.</v>
      </c>
      <c r="C1542" s="61">
        <f>Ringkasan!C1471</f>
        <v>33</v>
      </c>
      <c r="D1542" s="60" t="str">
        <f>Ringkasan!D1471</f>
        <v>#N/A</v>
      </c>
      <c r="E1542" s="60" t="str">
        <f>Ringkasan!E1471</f>
        <v/>
      </c>
      <c r="F1542" s="60" t="str">
        <f>Ringkasan!F1471</f>
        <v/>
      </c>
      <c r="G1542" s="60">
        <f>Ringkasan!G1471</f>
        <v>0</v>
      </c>
      <c r="H1542" s="62">
        <f>Ringkasan!H1471</f>
        <v>32.5</v>
      </c>
      <c r="I1542" s="62">
        <f>Ringkasan!I1471</f>
        <v>0.47</v>
      </c>
      <c r="J1542" s="62">
        <f>Ringkasan!J1471</f>
        <v>1.4</v>
      </c>
      <c r="K1542" s="62">
        <f>Ringkasan!K1471</f>
        <v>1.1</v>
      </c>
      <c r="L1542" s="62">
        <f>Ringkasan!L1471</f>
        <v>0.25</v>
      </c>
      <c r="M1542" s="62">
        <f>Ringkasan!M1471</f>
        <v>6</v>
      </c>
      <c r="N1542" s="60" t="str">
        <f>Ringkasan!N1471</f>
        <v/>
      </c>
      <c r="O1542" s="60" t="str">
        <f>Ringkasan!O1471</f>
        <v/>
      </c>
      <c r="P1542" s="60" t="str">
        <f>Ringkasan!P1471</f>
        <v/>
      </c>
      <c r="Q1542" s="60" t="str">
        <f>Ringkasan!Q1471</f>
        <v/>
      </c>
      <c r="R1542" s="60" t="str">
        <f>Ringkasan!R1471</f>
        <v/>
      </c>
      <c r="S1542" s="60" t="str">
        <f>Ringkasan!S1471</f>
        <v/>
      </c>
      <c r="T1542" s="60" t="str">
        <f>Ringkasan!T1471</f>
        <v/>
      </c>
      <c r="U1542" s="60">
        <f>Ringkasan!U1471</f>
        <v>0</v>
      </c>
      <c r="V1542" s="60">
        <f>Ringkasan!V1471</f>
        <v>0</v>
      </c>
      <c r="W1542" s="60">
        <f>Ringkasan!W1471</f>
        <v>0</v>
      </c>
      <c r="X1542" s="60">
        <f>Ringkasan!X1471</f>
        <v>0</v>
      </c>
      <c r="Y1542" s="60">
        <f>Ringkasan!Y1471</f>
        <v>0</v>
      </c>
      <c r="Z1542" s="60">
        <f>Ringkasan!Z1471</f>
        <v>76000</v>
      </c>
      <c r="AA1542" s="60" t="str">
        <f>Ringkasan!AA1471</f>
        <v>Logistics &amp; Deliveries</v>
      </c>
      <c r="AB1542" s="60" t="str">
        <f>Ringkasan!AB1471</f>
        <v>Transportation &amp; Logistic</v>
      </c>
    </row>
    <row r="1543" hidden="1">
      <c r="A1543" s="64" t="str">
        <f>Ringkasan!A1472</f>
        <v>PURE</v>
      </c>
      <c r="B1543" s="64" t="str">
        <f>Ringkasan!B1472</f>
        <v>Trinitan Metals and Minerals Tbk.</v>
      </c>
      <c r="C1543" s="61">
        <f>Ringkasan!C1472</f>
        <v>51</v>
      </c>
      <c r="D1543" s="60" t="str">
        <f>Ringkasan!D1472</f>
        <v>#N/A</v>
      </c>
      <c r="E1543" s="60" t="str">
        <f>Ringkasan!E1472</f>
        <v/>
      </c>
      <c r="F1543" s="60" t="str">
        <f>Ringkasan!F1472</f>
        <v/>
      </c>
      <c r="G1543" s="60">
        <f>Ringkasan!G1472</f>
        <v>0</v>
      </c>
      <c r="H1543" s="62">
        <f>Ringkasan!H1472</f>
        <v>0</v>
      </c>
      <c r="I1543" s="62">
        <f>Ringkasan!I1472</f>
        <v>-0.53</v>
      </c>
      <c r="J1543" s="62">
        <f>Ringkasan!J1472</f>
        <v>0</v>
      </c>
      <c r="K1543" s="62">
        <f>Ringkasan!K1472</f>
        <v>-9.8</v>
      </c>
      <c r="L1543" s="62">
        <f>Ringkasan!L1472</f>
        <v>-6.6</v>
      </c>
      <c r="M1543" s="62">
        <f>Ringkasan!M1472</f>
        <v>-120</v>
      </c>
      <c r="N1543" s="60" t="str">
        <f>Ringkasan!N1472</f>
        <v/>
      </c>
      <c r="O1543" s="60" t="str">
        <f>Ringkasan!O1472</f>
        <v/>
      </c>
      <c r="P1543" s="60" t="str">
        <f>Ringkasan!P1472</f>
        <v/>
      </c>
      <c r="Q1543" s="60" t="str">
        <f>Ringkasan!Q1472</f>
        <v/>
      </c>
      <c r="R1543" s="60" t="str">
        <f>Ringkasan!R1472</f>
        <v/>
      </c>
      <c r="S1543" s="60" t="str">
        <f>Ringkasan!S1472</f>
        <v/>
      </c>
      <c r="T1543" s="60" t="str">
        <f>Ringkasan!T1472</f>
        <v/>
      </c>
      <c r="U1543" s="60">
        <f>Ringkasan!U1472</f>
        <v>0.07</v>
      </c>
      <c r="V1543" s="60">
        <f>Ringkasan!V1472</f>
        <v>-6.43</v>
      </c>
      <c r="W1543" s="60">
        <f>Ringkasan!W1472</f>
        <v>0.06</v>
      </c>
      <c r="X1543" s="60">
        <f>Ringkasan!X1472</f>
        <v>0.07</v>
      </c>
      <c r="Y1543" s="60">
        <f>Ringkasan!Y1472</f>
        <v>0.06</v>
      </c>
      <c r="Z1543" s="60">
        <f>Ringkasan!Z1472</f>
        <v>22864</v>
      </c>
      <c r="AA1543" s="60" t="str">
        <f>Ringkasan!AA1472</f>
        <v>Metals &amp; Minerals</v>
      </c>
      <c r="AB1543" s="64" t="str">
        <f>Ringkasan!AB1472</f>
        <v>Basic Materials</v>
      </c>
    </row>
    <row r="1544" hidden="1">
      <c r="A1544" s="64" t="str">
        <f>Ringkasan!A1473</f>
        <v>PURI</v>
      </c>
      <c r="B1544" s="64" t="str">
        <f>Ringkasan!B1473</f>
        <v>Puri Global Sukses Tbk.</v>
      </c>
      <c r="C1544" s="61">
        <f>Ringkasan!C1473</f>
        <v>126</v>
      </c>
      <c r="D1544" s="60" t="str">
        <f>Ringkasan!D1473</f>
        <v>#N/A</v>
      </c>
      <c r="E1544" s="60" t="str">
        <f>Ringkasan!E1473</f>
        <v/>
      </c>
      <c r="F1544" s="60" t="str">
        <f>Ringkasan!F1473</f>
        <v/>
      </c>
      <c r="G1544" s="60">
        <f>Ringkasan!G1473</f>
        <v>0</v>
      </c>
      <c r="H1544" s="62">
        <f>Ringkasan!H1473</f>
        <v>-180</v>
      </c>
      <c r="I1544" s="62">
        <f>Ringkasan!I1473</f>
        <v>1.2</v>
      </c>
      <c r="J1544" s="62">
        <f>Ringkasan!J1473</f>
        <v>-0.66</v>
      </c>
      <c r="K1544" s="62">
        <f>Ringkasan!K1473</f>
        <v>-0.11</v>
      </c>
      <c r="L1544" s="62">
        <f>Ringkasan!L1473</f>
        <v>4.9</v>
      </c>
      <c r="M1544" s="62">
        <f>Ringkasan!M1473</f>
        <v>-4.9</v>
      </c>
      <c r="N1544" s="60" t="str">
        <f>Ringkasan!N1473</f>
        <v/>
      </c>
      <c r="O1544" s="60" t="str">
        <f>Ringkasan!O1473</f>
        <v/>
      </c>
      <c r="P1544" s="60" t="str">
        <f>Ringkasan!P1473</f>
        <v/>
      </c>
      <c r="Q1544" s="60" t="str">
        <f>Ringkasan!Q1473</f>
        <v/>
      </c>
      <c r="R1544" s="60" t="str">
        <f>Ringkasan!R1473</f>
        <v/>
      </c>
      <c r="S1544" s="60" t="str">
        <f>Ringkasan!S1473</f>
        <v/>
      </c>
      <c r="T1544" s="60" t="str">
        <f>Ringkasan!T1473</f>
        <v/>
      </c>
      <c r="U1544" s="60">
        <f>Ringkasan!U1473</f>
        <v>127</v>
      </c>
      <c r="V1544" s="60">
        <f>Ringkasan!V1473</f>
        <v>-0.79</v>
      </c>
      <c r="W1544" s="60">
        <f>Ringkasan!W1473</f>
        <v>127</v>
      </c>
      <c r="X1544" s="60">
        <f>Ringkasan!X1473</f>
        <v>171</v>
      </c>
      <c r="Y1544" s="60">
        <f>Ringkasan!Y1473</f>
        <v>124</v>
      </c>
      <c r="Z1544" s="60">
        <f>Ringkasan!Z1473</f>
        <v>9541500</v>
      </c>
      <c r="AA1544" s="60" t="str">
        <f>Ringkasan!AA1473</f>
        <v>Real Estate Management &amp; Development</v>
      </c>
      <c r="AB1544" s="64" t="str">
        <f>Ringkasan!AB1473</f>
        <v>Properties &amp; Real Estate</v>
      </c>
    </row>
    <row r="1545" hidden="1">
      <c r="A1545" s="64" t="str">
        <f>Ringkasan!A1474</f>
        <v>PWON</v>
      </c>
      <c r="B1545" s="64" t="str">
        <f>Ringkasan!B1474</f>
        <v>Pakuwon Jati Tbk.</v>
      </c>
      <c r="C1545" s="61">
        <f>Ringkasan!C1474</f>
        <v>262</v>
      </c>
      <c r="D1545" s="60" t="str">
        <f>Ringkasan!D1474</f>
        <v>#N/A</v>
      </c>
      <c r="E1545" s="60" t="str">
        <f>Ringkasan!E1474</f>
        <v>ESGQKEHATI</v>
      </c>
      <c r="F1545" s="63">
        <f>Ringkasan!F1474</f>
        <v>46356</v>
      </c>
      <c r="G1545" s="60">
        <f>Ringkasan!G1474</f>
        <v>12</v>
      </c>
      <c r="H1545" s="62">
        <f>Ringkasan!H1474</f>
        <v>5.7</v>
      </c>
      <c r="I1545" s="62">
        <f>Ringkasan!I1474</f>
        <v>0.52</v>
      </c>
      <c r="J1545" s="62">
        <f>Ringkasan!J1474</f>
        <v>9</v>
      </c>
      <c r="K1545" s="62">
        <f>Ringkasan!K1474</f>
        <v>6.6</v>
      </c>
      <c r="L1545" s="62">
        <f>Ringkasan!L1474</f>
        <v>0.37</v>
      </c>
      <c r="M1545" s="62">
        <f>Ringkasan!M1474</f>
        <v>150</v>
      </c>
      <c r="N1545" s="60" t="str">
        <f>Ringkasan!N1474</f>
        <v/>
      </c>
      <c r="O1545" s="60" t="str">
        <f>Ringkasan!O1474</f>
        <v/>
      </c>
      <c r="P1545" s="60" t="str">
        <f>Ringkasan!P1474</f>
        <v/>
      </c>
      <c r="Q1545" s="60" t="str">
        <f>Ringkasan!Q1474</f>
        <v/>
      </c>
      <c r="R1545" s="60" t="str">
        <f>Ringkasan!R1474</f>
        <v/>
      </c>
      <c r="S1545" s="60" t="str">
        <f>Ringkasan!S1474</f>
        <v/>
      </c>
      <c r="T1545" s="60" t="str">
        <f>Ringkasan!T1474</f>
        <v/>
      </c>
      <c r="U1545" s="60">
        <f>Ringkasan!U1474</f>
        <v>256</v>
      </c>
      <c r="V1545" s="60">
        <f>Ringkasan!V1474</f>
        <v>2.34</v>
      </c>
      <c r="W1545" s="60">
        <f>Ringkasan!W1474</f>
        <v>260</v>
      </c>
      <c r="X1545" s="60">
        <f>Ringkasan!X1474</f>
        <v>266</v>
      </c>
      <c r="Y1545" s="60">
        <f>Ringkasan!Y1474</f>
        <v>258</v>
      </c>
      <c r="Z1545" s="60">
        <f>Ringkasan!Z1474</f>
        <v>46987400</v>
      </c>
      <c r="AA1545" s="60" t="str">
        <f>Ringkasan!AA1474</f>
        <v>Real Estate Management &amp; Development</v>
      </c>
      <c r="AB1545" s="64" t="str">
        <f>Ringkasan!AB1474</f>
        <v>Properties &amp; Real Estate</v>
      </c>
    </row>
    <row r="1546" hidden="1">
      <c r="A1546" s="64" t="str">
        <f>Ringkasan!A1475</f>
        <v>PWON</v>
      </c>
      <c r="B1546" s="64" t="str">
        <f>Ringkasan!B1475</f>
        <v>Pakuwon Jati Tbk.</v>
      </c>
      <c r="C1546" s="61">
        <f>Ringkasan!C1475</f>
        <v>262</v>
      </c>
      <c r="D1546" s="60" t="str">
        <f>Ringkasan!D1475</f>
        <v>#N/A</v>
      </c>
      <c r="E1546" s="60" t="str">
        <f>Ringkasan!E1475</f>
        <v>ESGSKEHATI</v>
      </c>
      <c r="F1546" s="63">
        <f>Ringkasan!F1475</f>
        <v>46356</v>
      </c>
      <c r="G1546" s="60">
        <f>Ringkasan!G1475</f>
        <v>12</v>
      </c>
      <c r="H1546" s="62">
        <f>Ringkasan!H1475</f>
        <v>5.7</v>
      </c>
      <c r="I1546" s="62">
        <f>Ringkasan!I1475</f>
        <v>0.52</v>
      </c>
      <c r="J1546" s="62">
        <f>Ringkasan!J1475</f>
        <v>9</v>
      </c>
      <c r="K1546" s="62">
        <f>Ringkasan!K1475</f>
        <v>6.6</v>
      </c>
      <c r="L1546" s="62">
        <f>Ringkasan!L1475</f>
        <v>0.37</v>
      </c>
      <c r="M1546" s="62">
        <f>Ringkasan!M1475</f>
        <v>150</v>
      </c>
      <c r="N1546" s="60" t="str">
        <f>Ringkasan!N1475</f>
        <v/>
      </c>
      <c r="O1546" s="60" t="str">
        <f>Ringkasan!O1475</f>
        <v/>
      </c>
      <c r="P1546" s="60" t="str">
        <f>Ringkasan!P1475</f>
        <v/>
      </c>
      <c r="Q1546" s="60" t="str">
        <f>Ringkasan!Q1475</f>
        <v/>
      </c>
      <c r="R1546" s="60" t="str">
        <f>Ringkasan!R1475</f>
        <v/>
      </c>
      <c r="S1546" s="60" t="str">
        <f>Ringkasan!S1475</f>
        <v/>
      </c>
      <c r="T1546" s="60" t="str">
        <f>Ringkasan!T1475</f>
        <v/>
      </c>
      <c r="U1546" s="60">
        <f>Ringkasan!U1475</f>
        <v>256</v>
      </c>
      <c r="V1546" s="60">
        <f>Ringkasan!V1475</f>
        <v>2.34</v>
      </c>
      <c r="W1546" s="60">
        <f>Ringkasan!W1475</f>
        <v>260</v>
      </c>
      <c r="X1546" s="60">
        <f>Ringkasan!X1475</f>
        <v>266</v>
      </c>
      <c r="Y1546" s="60">
        <f>Ringkasan!Y1475</f>
        <v>258</v>
      </c>
      <c r="Z1546" s="60">
        <f>Ringkasan!Z1475</f>
        <v>46987400</v>
      </c>
      <c r="AA1546" s="60" t="str">
        <f>Ringkasan!AA1475</f>
        <v>Real Estate Management &amp; Development</v>
      </c>
      <c r="AB1546" s="64" t="str">
        <f>Ringkasan!AB1475</f>
        <v>Properties &amp; Real Estate</v>
      </c>
    </row>
    <row r="1547" hidden="1">
      <c r="A1547" s="64" t="str">
        <f>Ringkasan!A1476</f>
        <v>PWON</v>
      </c>
      <c r="B1547" s="64" t="str">
        <f>Ringkasan!B1476</f>
        <v>Pakuwon Jati Tbk.</v>
      </c>
      <c r="C1547" s="61">
        <f>Ringkasan!C1476</f>
        <v>262</v>
      </c>
      <c r="D1547" s="60" t="str">
        <f>Ringkasan!D1476</f>
        <v>#N/A</v>
      </c>
      <c r="E1547" s="60" t="str">
        <f>Ringkasan!E1476</f>
        <v>IDXQ30</v>
      </c>
      <c r="F1547" s="60" t="str">
        <f>Ringkasan!F1476</f>
        <v>4 Agustus 2026</v>
      </c>
      <c r="G1547" s="60">
        <f>Ringkasan!G1476</f>
        <v>12</v>
      </c>
      <c r="H1547" s="62">
        <f>Ringkasan!H1476</f>
        <v>5.7</v>
      </c>
      <c r="I1547" s="62">
        <f>Ringkasan!I1476</f>
        <v>0.52</v>
      </c>
      <c r="J1547" s="62">
        <f>Ringkasan!J1476</f>
        <v>9</v>
      </c>
      <c r="K1547" s="62">
        <f>Ringkasan!K1476</f>
        <v>6.6</v>
      </c>
      <c r="L1547" s="62">
        <f>Ringkasan!L1476</f>
        <v>0.37</v>
      </c>
      <c r="M1547" s="62">
        <f>Ringkasan!M1476</f>
        <v>150</v>
      </c>
      <c r="N1547" s="60" t="str">
        <f>Ringkasan!N1476</f>
        <v/>
      </c>
      <c r="O1547" s="60" t="str">
        <f>Ringkasan!O1476</f>
        <v/>
      </c>
      <c r="P1547" s="60" t="str">
        <f>Ringkasan!P1476</f>
        <v/>
      </c>
      <c r="Q1547" s="60" t="str">
        <f>Ringkasan!Q1476</f>
        <v/>
      </c>
      <c r="R1547" s="60" t="str">
        <f>Ringkasan!R1476</f>
        <v/>
      </c>
      <c r="S1547" s="60" t="str">
        <f>Ringkasan!S1476</f>
        <v/>
      </c>
      <c r="T1547" s="60" t="str">
        <f>Ringkasan!T1476</f>
        <v/>
      </c>
      <c r="U1547" s="60">
        <f>Ringkasan!U1476</f>
        <v>256</v>
      </c>
      <c r="V1547" s="60">
        <f>Ringkasan!V1476</f>
        <v>2.34</v>
      </c>
      <c r="W1547" s="60">
        <f>Ringkasan!W1476</f>
        <v>260</v>
      </c>
      <c r="X1547" s="60">
        <f>Ringkasan!X1476</f>
        <v>266</v>
      </c>
      <c r="Y1547" s="60">
        <f>Ringkasan!Y1476</f>
        <v>258</v>
      </c>
      <c r="Z1547" s="60">
        <f>Ringkasan!Z1476</f>
        <v>46987400</v>
      </c>
      <c r="AA1547" s="60" t="str">
        <f>Ringkasan!AA1476</f>
        <v>Real Estate Management &amp; Development</v>
      </c>
      <c r="AB1547" s="64" t="str">
        <f>Ringkasan!AB1476</f>
        <v>Properties &amp; Real Estate</v>
      </c>
    </row>
    <row r="1548" hidden="1">
      <c r="A1548" s="64" t="str">
        <f>Ringkasan!A1477</f>
        <v>PWON</v>
      </c>
      <c r="B1548" s="64" t="str">
        <f>Ringkasan!B1477</f>
        <v>Pakuwon Jati Tbk.</v>
      </c>
      <c r="C1548" s="61">
        <f>Ringkasan!C1477</f>
        <v>262</v>
      </c>
      <c r="D1548" s="60" t="str">
        <f>Ringkasan!D1477</f>
        <v>#N/A</v>
      </c>
      <c r="E1548" s="60" t="str">
        <f>Ringkasan!E1477</f>
        <v>Kompas100</v>
      </c>
      <c r="F1548" s="60" t="str">
        <f>Ringkasan!F1477</f>
        <v>31 Juli 2026</v>
      </c>
      <c r="G1548" s="60">
        <f>Ringkasan!G1477</f>
        <v>12</v>
      </c>
      <c r="H1548" s="62">
        <f>Ringkasan!H1477</f>
        <v>5.7</v>
      </c>
      <c r="I1548" s="62">
        <f>Ringkasan!I1477</f>
        <v>0.52</v>
      </c>
      <c r="J1548" s="62">
        <f>Ringkasan!J1477</f>
        <v>9</v>
      </c>
      <c r="K1548" s="62">
        <f>Ringkasan!K1477</f>
        <v>6.6</v>
      </c>
      <c r="L1548" s="62">
        <f>Ringkasan!L1477</f>
        <v>0.37</v>
      </c>
      <c r="M1548" s="62">
        <f>Ringkasan!M1477</f>
        <v>150</v>
      </c>
      <c r="N1548" s="60" t="str">
        <f>Ringkasan!N1477</f>
        <v/>
      </c>
      <c r="O1548" s="60" t="str">
        <f>Ringkasan!O1477</f>
        <v/>
      </c>
      <c r="P1548" s="60" t="str">
        <f>Ringkasan!P1477</f>
        <v/>
      </c>
      <c r="Q1548" s="60" t="str">
        <f>Ringkasan!Q1477</f>
        <v/>
      </c>
      <c r="R1548" s="60" t="str">
        <f>Ringkasan!R1477</f>
        <v/>
      </c>
      <c r="S1548" s="60" t="str">
        <f>Ringkasan!S1477</f>
        <v/>
      </c>
      <c r="T1548" s="60" t="str">
        <f>Ringkasan!T1477</f>
        <v/>
      </c>
      <c r="U1548" s="60">
        <f>Ringkasan!U1477</f>
        <v>256</v>
      </c>
      <c r="V1548" s="60">
        <f>Ringkasan!V1477</f>
        <v>2.34</v>
      </c>
      <c r="W1548" s="60">
        <f>Ringkasan!W1477</f>
        <v>260</v>
      </c>
      <c r="X1548" s="60">
        <f>Ringkasan!X1477</f>
        <v>266</v>
      </c>
      <c r="Y1548" s="60">
        <f>Ringkasan!Y1477</f>
        <v>258</v>
      </c>
      <c r="Z1548" s="60">
        <f>Ringkasan!Z1477</f>
        <v>46987400</v>
      </c>
      <c r="AA1548" s="60" t="str">
        <f>Ringkasan!AA1477</f>
        <v>Real Estate Management &amp; Development</v>
      </c>
      <c r="AB1548" s="64" t="str">
        <f>Ringkasan!AB1477</f>
        <v>Properties &amp; Real Estate</v>
      </c>
    </row>
    <row r="1549" hidden="1">
      <c r="A1549" s="64" t="str">
        <f>Ringkasan!A1478</f>
        <v>PWON</v>
      </c>
      <c r="B1549" s="64" t="str">
        <f>Ringkasan!B1478</f>
        <v>Pakuwon Jati Tbk.</v>
      </c>
      <c r="C1549" s="61">
        <f>Ringkasan!C1478</f>
        <v>262</v>
      </c>
      <c r="D1549" s="60" t="str">
        <f>Ringkasan!D1478</f>
        <v>#N/A</v>
      </c>
      <c r="E1549" s="60" t="str">
        <f>Ringkasan!E1478</f>
        <v>ECONOMIC30</v>
      </c>
      <c r="F1549" s="60" t="str">
        <f>Ringkasan!F1478</f>
        <v>31 Agustus 2026</v>
      </c>
      <c r="G1549" s="60">
        <f>Ringkasan!G1478</f>
        <v>12</v>
      </c>
      <c r="H1549" s="62">
        <f>Ringkasan!H1478</f>
        <v>5.7</v>
      </c>
      <c r="I1549" s="62">
        <f>Ringkasan!I1478</f>
        <v>0.52</v>
      </c>
      <c r="J1549" s="62">
        <f>Ringkasan!J1478</f>
        <v>9</v>
      </c>
      <c r="K1549" s="62">
        <f>Ringkasan!K1478</f>
        <v>6.6</v>
      </c>
      <c r="L1549" s="62">
        <f>Ringkasan!L1478</f>
        <v>0.37</v>
      </c>
      <c r="M1549" s="62">
        <f>Ringkasan!M1478</f>
        <v>150</v>
      </c>
      <c r="N1549" s="60" t="str">
        <f>Ringkasan!N1478</f>
        <v/>
      </c>
      <c r="O1549" s="60" t="str">
        <f>Ringkasan!O1478</f>
        <v/>
      </c>
      <c r="P1549" s="60" t="str">
        <f>Ringkasan!P1478</f>
        <v/>
      </c>
      <c r="Q1549" s="60" t="str">
        <f>Ringkasan!Q1478</f>
        <v/>
      </c>
      <c r="R1549" s="60" t="str">
        <f>Ringkasan!R1478</f>
        <v/>
      </c>
      <c r="S1549" s="60" t="str">
        <f>Ringkasan!S1478</f>
        <v/>
      </c>
      <c r="T1549" s="60" t="str">
        <f>Ringkasan!T1478</f>
        <v/>
      </c>
      <c r="U1549" s="60">
        <f>Ringkasan!U1478</f>
        <v>256</v>
      </c>
      <c r="V1549" s="60">
        <f>Ringkasan!V1478</f>
        <v>2.34</v>
      </c>
      <c r="W1549" s="60">
        <f>Ringkasan!W1478</f>
        <v>260</v>
      </c>
      <c r="X1549" s="60">
        <f>Ringkasan!X1478</f>
        <v>266</v>
      </c>
      <c r="Y1549" s="60">
        <f>Ringkasan!Y1478</f>
        <v>258</v>
      </c>
      <c r="Z1549" s="60">
        <f>Ringkasan!Z1478</f>
        <v>46987400</v>
      </c>
      <c r="AA1549" s="60" t="str">
        <f>Ringkasan!AA1478</f>
        <v>Real Estate Management &amp; Development</v>
      </c>
      <c r="AB1549" s="64" t="str">
        <f>Ringkasan!AB1478</f>
        <v>Properties &amp; Real Estate</v>
      </c>
    </row>
    <row r="1550" hidden="1">
      <c r="A1550" s="60" t="str">
        <f>Ringkasan!A1549</f>
        <v>SDPC</v>
      </c>
      <c r="B1550" s="60" t="str">
        <f>Ringkasan!B1549</f>
        <v>Millennium Pharmacon International Tbk.</v>
      </c>
      <c r="C1550" s="61">
        <f>Ringkasan!C1549</f>
        <v>170</v>
      </c>
      <c r="D1550" s="60" t="str">
        <f>Ringkasan!D1549</f>
        <v>#N/A</v>
      </c>
      <c r="E1550" s="60" t="str">
        <f>Ringkasan!E1549</f>
        <v/>
      </c>
      <c r="F1550" s="60" t="str">
        <f>Ringkasan!F1549</f>
        <v/>
      </c>
      <c r="G1550" s="60">
        <f>Ringkasan!G1549</f>
        <v>0</v>
      </c>
      <c r="H1550" s="62">
        <f>Ringkasan!H1549</f>
        <v>6.3</v>
      </c>
      <c r="I1550" s="62">
        <f>Ringkasan!I1549</f>
        <v>0.74</v>
      </c>
      <c r="J1550" s="62">
        <f>Ringkasan!J1549</f>
        <v>11.8</v>
      </c>
      <c r="K1550" s="62">
        <f>Ringkasan!K1549</f>
        <v>1.9</v>
      </c>
      <c r="L1550" s="62">
        <f>Ringkasan!L1549</f>
        <v>5.2</v>
      </c>
      <c r="M1550" s="62">
        <f>Ringkasan!M1549</f>
        <v>3.8</v>
      </c>
      <c r="N1550" s="60" t="str">
        <f>Ringkasan!N1549</f>
        <v/>
      </c>
      <c r="O1550" s="60" t="str">
        <f>Ringkasan!O1549</f>
        <v/>
      </c>
      <c r="P1550" s="60" t="str">
        <f>Ringkasan!P1549</f>
        <v/>
      </c>
      <c r="Q1550" s="60" t="str">
        <f>Ringkasan!Q1549</f>
        <v/>
      </c>
      <c r="R1550" s="60" t="str">
        <f>Ringkasan!R1549</f>
        <v/>
      </c>
      <c r="S1550" s="60" t="str">
        <f>Ringkasan!S1549</f>
        <v/>
      </c>
      <c r="T1550" s="60" t="str">
        <f>Ringkasan!T1549</f>
        <v/>
      </c>
      <c r="U1550" s="60">
        <f>Ringkasan!U1549</f>
        <v>174</v>
      </c>
      <c r="V1550" s="60">
        <f>Ringkasan!V1549</f>
        <v>-2.3</v>
      </c>
      <c r="W1550" s="60">
        <f>Ringkasan!W1549</f>
        <v>174</v>
      </c>
      <c r="X1550" s="60">
        <f>Ringkasan!X1549</f>
        <v>178</v>
      </c>
      <c r="Y1550" s="60">
        <f>Ringkasan!Y1549</f>
        <v>170</v>
      </c>
      <c r="Z1550" s="60">
        <f>Ringkasan!Z1549</f>
        <v>69700</v>
      </c>
      <c r="AA1550" s="60" t="str">
        <f>Ringkasan!AA1549</f>
        <v>Food &amp; Staples Retailing</v>
      </c>
      <c r="AB1550" s="60" t="str">
        <f>Ringkasan!AB1549</f>
        <v>Consumer Non-Cyclicals</v>
      </c>
    </row>
    <row r="1551" hidden="1">
      <c r="A1551" s="64" t="str">
        <f>Ringkasan!A1550</f>
        <v>SDRA</v>
      </c>
      <c r="B1551" s="64" t="str">
        <f>Ringkasan!B1550</f>
        <v>PT Bank Woori Saudara Indonesia 1906 Tbk</v>
      </c>
      <c r="C1551" s="65">
        <f>Ringkasan!C1550</f>
        <v>208</v>
      </c>
      <c r="D1551" s="64" t="str">
        <f>Ringkasan!D1550</f>
        <v>#N/A</v>
      </c>
      <c r="E1551" s="64" t="str">
        <f>Ringkasan!E1550</f>
        <v/>
      </c>
      <c r="F1551" s="64" t="str">
        <f>Ringkasan!F1550</f>
        <v/>
      </c>
      <c r="G1551" s="64">
        <f>Ringkasan!G1550</f>
        <v>0</v>
      </c>
      <c r="H1551" s="19">
        <f>Ringkasan!H1550</f>
        <v>-3.1</v>
      </c>
      <c r="I1551" s="19">
        <f>Ringkasan!I1550</f>
        <v>0.27</v>
      </c>
      <c r="J1551" s="19">
        <f>Ringkasan!J1550</f>
        <v>-8.6</v>
      </c>
      <c r="K1551" s="19">
        <f>Ringkasan!K1550</f>
        <v>-2.1</v>
      </c>
      <c r="L1551" s="19">
        <f>Ringkasan!L1550</f>
        <v>3.2</v>
      </c>
      <c r="M1551" s="19">
        <f>Ringkasan!M1550</f>
        <v>-120</v>
      </c>
      <c r="N1551" s="64">
        <f>Ringkasan!N1550</f>
        <v>3.3</v>
      </c>
      <c r="O1551" s="64">
        <f>Ringkasan!O1550</f>
        <v>31.09</v>
      </c>
      <c r="P1551" s="64" t="str">
        <f>Ringkasan!P1550</f>
        <v/>
      </c>
      <c r="Q1551" s="64">
        <f>Ringkasan!Q1550</f>
        <v>1.85</v>
      </c>
      <c r="R1551" s="64" t="str">
        <f>Ringkasan!R1550</f>
        <v/>
      </c>
      <c r="S1551" s="64" t="str">
        <f>Ringkasan!S1550</f>
        <v/>
      </c>
      <c r="T1551" s="64" t="str">
        <f>Ringkasan!T1550</f>
        <v/>
      </c>
      <c r="U1551" s="64">
        <f>Ringkasan!U1550</f>
        <v>200</v>
      </c>
      <c r="V1551" s="64">
        <f>Ringkasan!V1550</f>
        <v>4</v>
      </c>
      <c r="W1551" s="64">
        <f>Ringkasan!W1550</f>
        <v>200</v>
      </c>
      <c r="X1551" s="64">
        <f>Ringkasan!X1550</f>
        <v>210</v>
      </c>
      <c r="Y1551" s="64">
        <f>Ringkasan!Y1550</f>
        <v>200</v>
      </c>
      <c r="Z1551" s="64">
        <f>Ringkasan!Z1550</f>
        <v>729400</v>
      </c>
      <c r="AA1551" s="64" t="str">
        <f>Ringkasan!AA1550</f>
        <v>Banks</v>
      </c>
      <c r="AB1551" s="64" t="str">
        <f>Ringkasan!AB1550</f>
        <v>Financials</v>
      </c>
    </row>
    <row r="1552" hidden="1">
      <c r="A1552" s="64" t="str">
        <f>Ringkasan!A1551</f>
        <v>SEMA</v>
      </c>
      <c r="B1552" s="64" t="str">
        <f>Ringkasan!B1551</f>
        <v>Semacom Integrated Tbk.</v>
      </c>
      <c r="C1552" s="65">
        <f>Ringkasan!C1551</f>
        <v>93</v>
      </c>
      <c r="D1552" s="64" t="str">
        <f>Ringkasan!D1551</f>
        <v>#N/A</v>
      </c>
      <c r="E1552" s="64" t="str">
        <f>Ringkasan!E1551</f>
        <v/>
      </c>
      <c r="F1552" s="64" t="str">
        <f>Ringkasan!F1551</f>
        <v/>
      </c>
      <c r="G1552" s="64">
        <f>Ringkasan!G1551</f>
        <v>0</v>
      </c>
      <c r="H1552" s="19">
        <f>Ringkasan!H1551</f>
        <v>15.1</v>
      </c>
      <c r="I1552" s="19">
        <f>Ringkasan!I1551</f>
        <v>0.8</v>
      </c>
      <c r="J1552" s="19">
        <f>Ringkasan!J1551</f>
        <v>5.3</v>
      </c>
      <c r="K1552" s="19">
        <f>Ringkasan!K1551</f>
        <v>3.7</v>
      </c>
      <c r="L1552" s="19">
        <f>Ringkasan!L1551</f>
        <v>0.42</v>
      </c>
      <c r="M1552" s="19">
        <f>Ringkasan!M1551</f>
        <v>28.7</v>
      </c>
      <c r="N1552" s="64" t="str">
        <f>Ringkasan!N1551</f>
        <v/>
      </c>
      <c r="O1552" s="64" t="str">
        <f>Ringkasan!O1551</f>
        <v/>
      </c>
      <c r="P1552" s="64" t="str">
        <f>Ringkasan!P1551</f>
        <v/>
      </c>
      <c r="Q1552" s="64" t="str">
        <f>Ringkasan!Q1551</f>
        <v/>
      </c>
      <c r="R1552" s="64" t="str">
        <f>Ringkasan!R1551</f>
        <v/>
      </c>
      <c r="S1552" s="64" t="str">
        <f>Ringkasan!S1551</f>
        <v/>
      </c>
      <c r="T1552" s="64" t="str">
        <f>Ringkasan!T1551</f>
        <v/>
      </c>
      <c r="U1552" s="64">
        <f>Ringkasan!U1551</f>
        <v>4706</v>
      </c>
      <c r="V1552" s="64">
        <f>Ringkasan!V1551</f>
        <v>3.06</v>
      </c>
      <c r="W1552" s="64">
        <f>Ringkasan!W1551</f>
        <v>4770.2</v>
      </c>
      <c r="X1552" s="64">
        <f>Ringkasan!X1551</f>
        <v>4850</v>
      </c>
      <c r="Y1552" s="64">
        <f>Ringkasan!Y1551</f>
        <v>4762</v>
      </c>
      <c r="Z1552" s="64">
        <f>Ringkasan!Z1551</f>
        <v>14981</v>
      </c>
      <c r="AA1552" s="64" t="str">
        <f>Ringkasan!AA1551</f>
        <v>Alternative Energy Equipment</v>
      </c>
      <c r="AB1552" s="64" t="str">
        <f>Ringkasan!AB1551</f>
        <v>Energy</v>
      </c>
    </row>
    <row r="1553" hidden="1">
      <c r="A1553" s="64" t="str">
        <f>Ringkasan!A1552</f>
        <v>SFAN</v>
      </c>
      <c r="B1553" s="64" t="str">
        <f>Ringkasan!B1552</f>
        <v>Surya Fajar Capital Tbk.</v>
      </c>
      <c r="C1553" s="65">
        <f>Ringkasan!C1552</f>
        <v>1970</v>
      </c>
      <c r="D1553" s="64" t="str">
        <f>Ringkasan!D1552</f>
        <v>#N/A</v>
      </c>
      <c r="E1553" s="64" t="str">
        <f>Ringkasan!E1552</f>
        <v/>
      </c>
      <c r="F1553" s="64" t="str">
        <f>Ringkasan!F1552</f>
        <v/>
      </c>
      <c r="G1553" s="64">
        <f>Ringkasan!G1552</f>
        <v>0</v>
      </c>
      <c r="H1553" s="19">
        <f>Ringkasan!H1552</f>
        <v>-170</v>
      </c>
      <c r="I1553" s="19">
        <f>Ringkasan!I1552</f>
        <v>21.2</v>
      </c>
      <c r="J1553" s="19">
        <f>Ringkasan!J1552</f>
        <v>-12.7</v>
      </c>
      <c r="K1553" s="19">
        <f>Ringkasan!K1552</f>
        <v>-10.9</v>
      </c>
      <c r="L1553" s="19">
        <f>Ringkasan!L1552</f>
        <v>0.17</v>
      </c>
      <c r="M1553" s="19">
        <f>Ringkasan!M1552</f>
        <v>0</v>
      </c>
      <c r="N1553" s="64" t="str">
        <f>Ringkasan!N1552</f>
        <v/>
      </c>
      <c r="O1553" s="64" t="str">
        <f>Ringkasan!O1552</f>
        <v/>
      </c>
      <c r="P1553" s="64" t="str">
        <f>Ringkasan!P1552</f>
        <v/>
      </c>
      <c r="Q1553" s="64" t="str">
        <f>Ringkasan!Q1552</f>
        <v/>
      </c>
      <c r="R1553" s="64" t="str">
        <f>Ringkasan!R1552</f>
        <v/>
      </c>
      <c r="S1553" s="64" t="str">
        <f>Ringkasan!S1552</f>
        <v/>
      </c>
      <c r="T1553" s="64" t="str">
        <f>Ringkasan!T1552</f>
        <v/>
      </c>
      <c r="U1553" s="64">
        <f>Ringkasan!U1552</f>
        <v>1960</v>
      </c>
      <c r="V1553" s="64">
        <f>Ringkasan!V1552</f>
        <v>0.51</v>
      </c>
      <c r="W1553" s="64">
        <f>Ringkasan!W1552</f>
        <v>1960</v>
      </c>
      <c r="X1553" s="64">
        <f>Ringkasan!X1552</f>
        <v>1975</v>
      </c>
      <c r="Y1553" s="64">
        <f>Ringkasan!Y1552</f>
        <v>1960</v>
      </c>
      <c r="Z1553" s="64">
        <f>Ringkasan!Z1552</f>
        <v>48600</v>
      </c>
      <c r="AA1553" s="64" t="str">
        <f>Ringkasan!AA1552</f>
        <v>Holding &amp; Investment Companies</v>
      </c>
      <c r="AB1553" s="64" t="str">
        <f>Ringkasan!AB1552</f>
        <v>Financials</v>
      </c>
    </row>
    <row r="1554" hidden="1">
      <c r="A1554" s="64" t="str">
        <f>Ringkasan!A1553</f>
        <v>SGER</v>
      </c>
      <c r="B1554" s="64" t="str">
        <f>Ringkasan!B1553</f>
        <v>Sumber Global Energy Tbk.</v>
      </c>
      <c r="C1554" s="65">
        <f>Ringkasan!C1553</f>
        <v>406</v>
      </c>
      <c r="D1554" s="64" t="str">
        <f>Ringkasan!D1553</f>
        <v>#N/A</v>
      </c>
      <c r="E1554" s="64" t="str">
        <f>Ringkasan!E1553</f>
        <v>Pefindo - iGrade</v>
      </c>
      <c r="F1554" s="64" t="str">
        <f>Ringkasan!F1553</f>
        <v>30 Juni 2026</v>
      </c>
      <c r="G1554" s="64">
        <f>Ringkasan!G1553</f>
        <v>2</v>
      </c>
      <c r="H1554" s="19">
        <f>Ringkasan!H1553</f>
        <v>22.3</v>
      </c>
      <c r="I1554" s="19">
        <f>Ringkasan!I1553</f>
        <v>1.9</v>
      </c>
      <c r="J1554" s="19">
        <f>Ringkasan!J1553</f>
        <v>8.6</v>
      </c>
      <c r="K1554" s="19">
        <f>Ringkasan!K1553</f>
        <v>3.4</v>
      </c>
      <c r="L1554" s="19">
        <f>Ringkasan!L1553</f>
        <v>1.5</v>
      </c>
      <c r="M1554" s="19">
        <f>Ringkasan!M1553</f>
        <v>8.4</v>
      </c>
      <c r="N1554" s="64" t="str">
        <f>Ringkasan!N1553</f>
        <v/>
      </c>
      <c r="O1554" s="64" t="str">
        <f>Ringkasan!O1553</f>
        <v/>
      </c>
      <c r="P1554" s="64" t="str">
        <f>Ringkasan!P1553</f>
        <v/>
      </c>
      <c r="Q1554" s="64" t="str">
        <f>Ringkasan!Q1553</f>
        <v/>
      </c>
      <c r="R1554" s="64" t="str">
        <f>Ringkasan!R1553</f>
        <v/>
      </c>
      <c r="S1554" s="64" t="str">
        <f>Ringkasan!S1553</f>
        <v/>
      </c>
      <c r="T1554" s="64" t="str">
        <f>Ringkasan!T1553</f>
        <v/>
      </c>
      <c r="U1554" s="64">
        <f>Ringkasan!U1553</f>
        <v>0</v>
      </c>
      <c r="V1554" s="64">
        <f>Ringkasan!V1553</f>
        <v>0</v>
      </c>
      <c r="W1554" s="64" t="str">
        <f>Ringkasan!W1553</f>
        <v/>
      </c>
      <c r="X1554" s="64" t="str">
        <f>Ringkasan!X1553</f>
        <v/>
      </c>
      <c r="Y1554" s="64" t="str">
        <f>Ringkasan!Y1553</f>
        <v/>
      </c>
      <c r="Z1554" s="64">
        <f>Ringkasan!Z1553</f>
        <v>0</v>
      </c>
      <c r="AA1554" s="64" t="str">
        <f>Ringkasan!AA1553</f>
        <v>Coal</v>
      </c>
      <c r="AB1554" s="64" t="str">
        <f>Ringkasan!AB1553</f>
        <v>Energy</v>
      </c>
    </row>
    <row r="1555" hidden="1">
      <c r="A1555" s="64" t="str">
        <f>Ringkasan!A1554</f>
        <v>SGER</v>
      </c>
      <c r="B1555" s="64" t="str">
        <f>Ringkasan!B1554</f>
        <v>Sumber Global Energy Tbk.</v>
      </c>
      <c r="C1555" s="65">
        <f>Ringkasan!C1554</f>
        <v>406</v>
      </c>
      <c r="D1555" s="64" t="str">
        <f>Ringkasan!D1554</f>
        <v>#N/A</v>
      </c>
      <c r="E1555" s="64" t="str">
        <f>Ringkasan!E1554</f>
        <v>Kompas100</v>
      </c>
      <c r="F1555" s="64" t="str">
        <f>Ringkasan!F1554</f>
        <v>31 Juli 2026</v>
      </c>
      <c r="G1555" s="64">
        <f>Ringkasan!G1554</f>
        <v>2</v>
      </c>
      <c r="H1555" s="19">
        <f>Ringkasan!H1554</f>
        <v>22.3</v>
      </c>
      <c r="I1555" s="19">
        <f>Ringkasan!I1554</f>
        <v>1.9</v>
      </c>
      <c r="J1555" s="19">
        <f>Ringkasan!J1554</f>
        <v>8.6</v>
      </c>
      <c r="K1555" s="19">
        <f>Ringkasan!K1554</f>
        <v>3.4</v>
      </c>
      <c r="L1555" s="19">
        <f>Ringkasan!L1554</f>
        <v>1.5</v>
      </c>
      <c r="M1555" s="19">
        <f>Ringkasan!M1554</f>
        <v>8.4</v>
      </c>
      <c r="N1555" s="64" t="str">
        <f>Ringkasan!N1554</f>
        <v/>
      </c>
      <c r="O1555" s="64" t="str">
        <f>Ringkasan!O1554</f>
        <v/>
      </c>
      <c r="P1555" s="64" t="str">
        <f>Ringkasan!P1554</f>
        <v/>
      </c>
      <c r="Q1555" s="64" t="str">
        <f>Ringkasan!Q1554</f>
        <v/>
      </c>
      <c r="R1555" s="64" t="str">
        <f>Ringkasan!R1554</f>
        <v/>
      </c>
      <c r="S1555" s="64" t="str">
        <f>Ringkasan!S1554</f>
        <v/>
      </c>
      <c r="T1555" s="64" t="str">
        <f>Ringkasan!T1554</f>
        <v/>
      </c>
      <c r="U1555" s="64">
        <f>Ringkasan!U1554</f>
        <v>0</v>
      </c>
      <c r="V1555" s="64">
        <f>Ringkasan!V1554</f>
        <v>0</v>
      </c>
      <c r="W1555" s="64" t="str">
        <f>Ringkasan!W1554</f>
        <v/>
      </c>
      <c r="X1555" s="64" t="str">
        <f>Ringkasan!X1554</f>
        <v/>
      </c>
      <c r="Y1555" s="64" t="str">
        <f>Ringkasan!Y1554</f>
        <v/>
      </c>
      <c r="Z1555" s="64">
        <f>Ringkasan!Z1554</f>
        <v>0</v>
      </c>
      <c r="AA1555" s="64" t="str">
        <f>Ringkasan!AA1554</f>
        <v>Coal</v>
      </c>
      <c r="AB1555" s="64" t="str">
        <f>Ringkasan!AB1554</f>
        <v>Energy</v>
      </c>
    </row>
    <row r="1556" hidden="1">
      <c r="A1556" s="64" t="str">
        <f>Ringkasan!A1555</f>
        <v>SGRO</v>
      </c>
      <c r="B1556" s="64" t="str">
        <f>Ringkasan!B1555</f>
        <v>Prime Agri Resources Tbk.</v>
      </c>
      <c r="C1556" s="65">
        <f>Ringkasan!C1555</f>
        <v>2840</v>
      </c>
      <c r="D1556" s="64" t="str">
        <f>Ringkasan!D1555</f>
        <v>#N/A</v>
      </c>
      <c r="E1556" s="64" t="str">
        <f>Ringkasan!E1555</f>
        <v>Pefindo - iGrade</v>
      </c>
      <c r="F1556" s="64" t="str">
        <f>Ringkasan!F1555</f>
        <v>30 Juni 2026</v>
      </c>
      <c r="G1556" s="65">
        <f>Ringkasan!G1555</f>
        <v>1</v>
      </c>
      <c r="H1556" s="19">
        <f>Ringkasan!H1555</f>
        <v>28.4</v>
      </c>
      <c r="I1556" s="19">
        <f>Ringkasan!I1555</f>
        <v>0.99</v>
      </c>
      <c r="J1556" s="19">
        <f>Ringkasan!J1555</f>
        <v>3.5</v>
      </c>
      <c r="K1556" s="19">
        <f>Ringkasan!K1555</f>
        <v>2.1</v>
      </c>
      <c r="L1556" s="19">
        <f>Ringkasan!L1555</f>
        <v>0.69</v>
      </c>
      <c r="M1556" s="19">
        <f>Ringkasan!M1555</f>
        <v>14.3</v>
      </c>
      <c r="N1556" s="64" t="str">
        <f>Ringkasan!N1555</f>
        <v/>
      </c>
      <c r="O1556" s="64" t="str">
        <f>Ringkasan!O1555</f>
        <v/>
      </c>
      <c r="P1556" s="64" t="str">
        <f>Ringkasan!P1555</f>
        <v/>
      </c>
      <c r="Q1556" s="64" t="str">
        <f>Ringkasan!Q1555</f>
        <v/>
      </c>
      <c r="R1556" s="64" t="str">
        <f>Ringkasan!R1555</f>
        <v/>
      </c>
      <c r="S1556" s="64" t="str">
        <f>Ringkasan!S1555</f>
        <v/>
      </c>
      <c r="T1556" s="64" t="str">
        <f>Ringkasan!T1555</f>
        <v/>
      </c>
      <c r="U1556" s="64">
        <f>Ringkasan!U1555</f>
        <v>0.06</v>
      </c>
      <c r="V1556" s="64">
        <f>Ringkasan!V1555</f>
        <v>-25</v>
      </c>
      <c r="W1556" s="64">
        <f>Ringkasan!W1555</f>
        <v>0.05</v>
      </c>
      <c r="X1556" s="64">
        <f>Ringkasan!X1555</f>
        <v>0.05</v>
      </c>
      <c r="Y1556" s="64">
        <f>Ringkasan!Y1555</f>
        <v>0.05</v>
      </c>
      <c r="Z1556" s="64">
        <f>Ringkasan!Z1555</f>
        <v>4000</v>
      </c>
      <c r="AA1556" s="64" t="str">
        <f>Ringkasan!AA1555</f>
        <v>Agricultural Products</v>
      </c>
      <c r="AB1556" s="64" t="str">
        <f>Ringkasan!AB1555</f>
        <v>Consumer Non-Cyclicals</v>
      </c>
    </row>
    <row r="1557" hidden="1">
      <c r="A1557" s="64" t="str">
        <f>Ringkasan!A1556</f>
        <v>SHID</v>
      </c>
      <c r="B1557" s="64" t="str">
        <f>Ringkasan!B1556</f>
        <v>Hotel Sahid Jaya International Tbk.</v>
      </c>
      <c r="C1557" s="65">
        <f>Ringkasan!C1556</f>
        <v>675</v>
      </c>
      <c r="D1557" s="64" t="str">
        <f>Ringkasan!D1556</f>
        <v>#N/A</v>
      </c>
      <c r="E1557" s="64" t="str">
        <f>Ringkasan!E1556</f>
        <v/>
      </c>
      <c r="F1557" s="64" t="str">
        <f>Ringkasan!F1556</f>
        <v/>
      </c>
      <c r="G1557" s="64">
        <f>Ringkasan!G1556</f>
        <v>0</v>
      </c>
      <c r="H1557" s="19">
        <f>Ringkasan!H1556</f>
        <v>-31.8</v>
      </c>
      <c r="I1557" s="19">
        <f>Ringkasan!I1556</f>
        <v>1.1</v>
      </c>
      <c r="J1557" s="19">
        <f>Ringkasan!J1556</f>
        <v>-3.5</v>
      </c>
      <c r="K1557" s="19">
        <f>Ringkasan!K1556</f>
        <v>-2</v>
      </c>
      <c r="L1557" s="19">
        <f>Ringkasan!L1556</f>
        <v>0.78</v>
      </c>
      <c r="M1557" s="19">
        <f>Ringkasan!M1556</f>
        <v>-140</v>
      </c>
      <c r="N1557" s="64" t="str">
        <f>Ringkasan!N1556</f>
        <v/>
      </c>
      <c r="O1557" s="64" t="str">
        <f>Ringkasan!O1556</f>
        <v/>
      </c>
      <c r="P1557" s="64" t="str">
        <f>Ringkasan!P1556</f>
        <v/>
      </c>
      <c r="Q1557" s="64" t="str">
        <f>Ringkasan!Q1556</f>
        <v/>
      </c>
      <c r="R1557" s="64" t="str">
        <f>Ringkasan!R1556</f>
        <v/>
      </c>
      <c r="S1557" s="64" t="str">
        <f>Ringkasan!S1556</f>
        <v/>
      </c>
      <c r="T1557" s="64" t="str">
        <f>Ringkasan!T1556</f>
        <v/>
      </c>
      <c r="U1557" s="64">
        <f>Ringkasan!U1556</f>
        <v>675</v>
      </c>
      <c r="V1557" s="64">
        <f>Ringkasan!V1556</f>
        <v>0</v>
      </c>
      <c r="W1557" s="64">
        <f>Ringkasan!W1556</f>
        <v>665</v>
      </c>
      <c r="X1557" s="64">
        <f>Ringkasan!X1556</f>
        <v>675</v>
      </c>
      <c r="Y1557" s="64">
        <f>Ringkasan!Y1556</f>
        <v>660</v>
      </c>
      <c r="Z1557" s="64">
        <f>Ringkasan!Z1556</f>
        <v>14700</v>
      </c>
      <c r="AA1557" s="64" t="str">
        <f>Ringkasan!AA1556</f>
        <v>Tourism &amp; Recreation</v>
      </c>
      <c r="AB1557" s="64" t="str">
        <f>Ringkasan!AB1556</f>
        <v>Consumer Cyclicals</v>
      </c>
    </row>
    <row r="1558" hidden="1">
      <c r="A1558" s="64" t="str">
        <f>Ringkasan!A1557</f>
        <v>SHIP</v>
      </c>
      <c r="B1558" s="64" t="str">
        <f>Ringkasan!B1557</f>
        <v>Sillo Maritime Perdana Tbk.</v>
      </c>
      <c r="C1558" s="65">
        <f>Ringkasan!C1557</f>
        <v>1395</v>
      </c>
      <c r="D1558" s="64" t="str">
        <f>Ringkasan!D1557</f>
        <v>#N/A</v>
      </c>
      <c r="E1558" s="64" t="str">
        <f>Ringkasan!E1557</f>
        <v/>
      </c>
      <c r="F1558" s="64" t="str">
        <f>Ringkasan!F1557</f>
        <v/>
      </c>
      <c r="G1558" s="64">
        <f>Ringkasan!G1557</f>
        <v>0</v>
      </c>
      <c r="H1558" s="19">
        <f>Ringkasan!H1557</f>
        <v>14.7</v>
      </c>
      <c r="I1558" s="19">
        <f>Ringkasan!I1557</f>
        <v>1.2</v>
      </c>
      <c r="J1558" s="19">
        <f>Ringkasan!J1557</f>
        <v>8.1</v>
      </c>
      <c r="K1558" s="19">
        <f>Ringkasan!K1557</f>
        <v>3.5</v>
      </c>
      <c r="L1558" s="19">
        <f>Ringkasan!L1557</f>
        <v>1.3</v>
      </c>
      <c r="M1558" s="19">
        <f>Ringkasan!M1557</f>
        <v>31.6</v>
      </c>
      <c r="N1558" s="64" t="str">
        <f>Ringkasan!N1557</f>
        <v/>
      </c>
      <c r="O1558" s="64" t="str">
        <f>Ringkasan!O1557</f>
        <v/>
      </c>
      <c r="P1558" s="64" t="str">
        <f>Ringkasan!P1557</f>
        <v/>
      </c>
      <c r="Q1558" s="64" t="str">
        <f>Ringkasan!Q1557</f>
        <v/>
      </c>
      <c r="R1558" s="64" t="str">
        <f>Ringkasan!R1557</f>
        <v/>
      </c>
      <c r="S1558" s="64" t="str">
        <f>Ringkasan!S1557</f>
        <v/>
      </c>
      <c r="T1558" s="64" t="str">
        <f>Ringkasan!T1557</f>
        <v/>
      </c>
      <c r="U1558" s="64">
        <f>Ringkasan!U1557</f>
        <v>15.6</v>
      </c>
      <c r="V1558" s="64">
        <f>Ringkasan!V1557</f>
        <v>6.03</v>
      </c>
      <c r="W1558" s="64">
        <f>Ringkasan!W1557</f>
        <v>15.64</v>
      </c>
      <c r="X1558" s="64">
        <f>Ringkasan!X1557</f>
        <v>16.66</v>
      </c>
      <c r="Y1558" s="64">
        <f>Ringkasan!Y1557</f>
        <v>15.61</v>
      </c>
      <c r="Z1558" s="64">
        <f>Ringkasan!Z1557</f>
        <v>253413</v>
      </c>
      <c r="AA1558" s="64" t="str">
        <f>Ringkasan!AA1557</f>
        <v>Oil &amp; Gas</v>
      </c>
      <c r="AB1558" s="64" t="str">
        <f>Ringkasan!AB1557</f>
        <v>Energy</v>
      </c>
    </row>
    <row r="1559" hidden="1">
      <c r="A1559" s="64" t="str">
        <f>Ringkasan!A1354</f>
        <v>PGAS</v>
      </c>
      <c r="B1559" s="64" t="str">
        <f>Ringkasan!B1354</f>
        <v>Perusahaan Gas Negara (Persero) Tbk.</v>
      </c>
      <c r="C1559" s="65">
        <f>Ringkasan!C1354</f>
        <v>1530</v>
      </c>
      <c r="D1559" s="64" t="str">
        <f>Ringkasan!D1354</f>
        <v>#N/A</v>
      </c>
      <c r="E1559" s="64" t="str">
        <f>Ringkasan!E1354</f>
        <v>IDXSHAGROW</v>
      </c>
      <c r="F1559" s="66">
        <f>Ringkasan!F1354</f>
        <v>46356</v>
      </c>
      <c r="G1559" s="64">
        <f>Ringkasan!G1354</f>
        <v>22</v>
      </c>
      <c r="H1559" s="19">
        <f>Ringkasan!H1354</f>
        <v>10.7</v>
      </c>
      <c r="I1559" s="19">
        <f>Ringkasan!I1354</f>
        <v>0.7</v>
      </c>
      <c r="J1559" s="19">
        <f>Ringkasan!J1354</f>
        <v>6.5</v>
      </c>
      <c r="K1559" s="19">
        <f>Ringkasan!K1354</f>
        <v>3.9</v>
      </c>
      <c r="L1559" s="19">
        <f>Ringkasan!L1354</f>
        <v>0.66</v>
      </c>
      <c r="M1559" s="19">
        <f>Ringkasan!M1354</f>
        <v>26.1</v>
      </c>
      <c r="N1559" s="64" t="str">
        <f>Ringkasan!N1354</f>
        <v/>
      </c>
      <c r="O1559" s="64" t="str">
        <f>Ringkasan!O1354</f>
        <v/>
      </c>
      <c r="P1559" s="64" t="str">
        <f>Ringkasan!P1354</f>
        <v/>
      </c>
      <c r="Q1559" s="64" t="str">
        <f>Ringkasan!Q1354</f>
        <v/>
      </c>
      <c r="R1559" s="64" t="str">
        <f>Ringkasan!R1354</f>
        <v/>
      </c>
      <c r="S1559" s="64" t="str">
        <f>Ringkasan!S1354</f>
        <v/>
      </c>
      <c r="T1559" s="64" t="str">
        <f>Ringkasan!T1354</f>
        <v/>
      </c>
      <c r="U1559" s="64">
        <f>Ringkasan!U1354</f>
        <v>1500</v>
      </c>
      <c r="V1559" s="64">
        <f>Ringkasan!V1354</f>
        <v>2</v>
      </c>
      <c r="W1559" s="64">
        <f>Ringkasan!W1354</f>
        <v>1550</v>
      </c>
      <c r="X1559" s="64">
        <f>Ringkasan!X1354</f>
        <v>1560</v>
      </c>
      <c r="Y1559" s="64">
        <f>Ringkasan!Y1354</f>
        <v>1510</v>
      </c>
      <c r="Z1559" s="64" t="str">
        <f>Ringkasan!Z1354</f>
        <v/>
      </c>
      <c r="AA1559" s="64" t="str">
        <f>Ringkasan!AA1354</f>
        <v>Oil &amp; Gas</v>
      </c>
      <c r="AB1559" s="64" t="str">
        <f>Ringkasan!AB1354</f>
        <v>Energy</v>
      </c>
    </row>
    <row r="1560" hidden="1">
      <c r="A1560" s="64" t="str">
        <f>Ringkasan!A1559</f>
        <v>SIDO</v>
      </c>
      <c r="B1560" s="64" t="str">
        <f>Ringkasan!B1559</f>
        <v>Industri Jamu dan Farmasi Sido Muncul Tbk.</v>
      </c>
      <c r="C1560" s="65">
        <f>Ringkasan!C1559</f>
        <v>368</v>
      </c>
      <c r="D1560" s="64" t="str">
        <f>Ringkasan!D1559</f>
        <v>#N/A</v>
      </c>
      <c r="E1560" s="64" t="str">
        <f>Ringkasan!E1559</f>
        <v>ESGQKEHATI</v>
      </c>
      <c r="F1560" s="66">
        <f>Ringkasan!F1559</f>
        <v>46356</v>
      </c>
      <c r="G1560" s="64">
        <f>Ringkasan!G1559</f>
        <v>11</v>
      </c>
      <c r="H1560" s="19">
        <f>Ringkasan!H1559</f>
        <v>10.1</v>
      </c>
      <c r="I1560" s="19">
        <f>Ringkasan!I1559</f>
        <v>3.5</v>
      </c>
      <c r="J1560" s="19">
        <f>Ringkasan!J1559</f>
        <v>35.1</v>
      </c>
      <c r="K1560" s="19">
        <f>Ringkasan!K1559</f>
        <v>31.4</v>
      </c>
      <c r="L1560" s="19">
        <f>Ringkasan!L1559</f>
        <v>0.12</v>
      </c>
      <c r="M1560" s="19">
        <f>Ringkasan!M1559</f>
        <v>180</v>
      </c>
      <c r="N1560" s="64" t="str">
        <f>Ringkasan!N1559</f>
        <v/>
      </c>
      <c r="O1560" s="64" t="str">
        <f>Ringkasan!O1559</f>
        <v/>
      </c>
      <c r="P1560" s="64" t="str">
        <f>Ringkasan!P1559</f>
        <v/>
      </c>
      <c r="Q1560" s="64" t="str">
        <f>Ringkasan!Q1559</f>
        <v/>
      </c>
      <c r="R1560" s="64" t="str">
        <f>Ringkasan!R1559</f>
        <v/>
      </c>
      <c r="S1560" s="64" t="str">
        <f>Ringkasan!S1559</f>
        <v/>
      </c>
      <c r="T1560" s="64" t="str">
        <f>Ringkasan!T1559</f>
        <v/>
      </c>
      <c r="U1560" s="64">
        <f>Ringkasan!U1559</f>
        <v>370</v>
      </c>
      <c r="V1560" s="64" t="str">
        <f>Ringkasan!V1559</f>
        <v/>
      </c>
      <c r="W1560" s="64">
        <f>Ringkasan!W1559</f>
        <v>370</v>
      </c>
      <c r="X1560" s="64">
        <f>Ringkasan!X1559</f>
        <v>378</v>
      </c>
      <c r="Y1560" s="64">
        <f>Ringkasan!Y1559</f>
        <v>368</v>
      </c>
      <c r="Z1560" s="64">
        <f>Ringkasan!Z1559</f>
        <v>21742700</v>
      </c>
      <c r="AA1560" s="64" t="str">
        <f>Ringkasan!AA1559</f>
        <v>Pharmaceuticals</v>
      </c>
      <c r="AB1560" s="64" t="str">
        <f>Ringkasan!AB1559</f>
        <v>Healthcare</v>
      </c>
    </row>
    <row r="1561" hidden="1">
      <c r="A1561" s="64" t="str">
        <f>Ringkasan!A1560</f>
        <v>SIDO</v>
      </c>
      <c r="B1561" s="64" t="str">
        <f>Ringkasan!B1560</f>
        <v>Industri Jamu dan Farmasi Sido Muncul Tbk.</v>
      </c>
      <c r="C1561" s="65">
        <f>Ringkasan!C1560</f>
        <v>368</v>
      </c>
      <c r="D1561" s="64" t="str">
        <f>Ringkasan!D1560</f>
        <v>#N/A</v>
      </c>
      <c r="E1561" s="64" t="str">
        <f>Ringkasan!E1560</f>
        <v>Investor33</v>
      </c>
      <c r="F1561" s="66">
        <f>Ringkasan!F1560</f>
        <v>46356</v>
      </c>
      <c r="G1561" s="64">
        <f>Ringkasan!G1560</f>
        <v>11</v>
      </c>
      <c r="H1561" s="19">
        <f>Ringkasan!H1560</f>
        <v>10.1</v>
      </c>
      <c r="I1561" s="19">
        <f>Ringkasan!I1560</f>
        <v>3.5</v>
      </c>
      <c r="J1561" s="19">
        <f>Ringkasan!J1560</f>
        <v>35.1</v>
      </c>
      <c r="K1561" s="19">
        <f>Ringkasan!K1560</f>
        <v>31.4</v>
      </c>
      <c r="L1561" s="19">
        <f>Ringkasan!L1560</f>
        <v>0.12</v>
      </c>
      <c r="M1561" s="19">
        <f>Ringkasan!M1560</f>
        <v>180</v>
      </c>
      <c r="N1561" s="64" t="str">
        <f>Ringkasan!N1560</f>
        <v/>
      </c>
      <c r="O1561" s="64" t="str">
        <f>Ringkasan!O1560</f>
        <v/>
      </c>
      <c r="P1561" s="64" t="str">
        <f>Ringkasan!P1560</f>
        <v/>
      </c>
      <c r="Q1561" s="64" t="str">
        <f>Ringkasan!Q1560</f>
        <v/>
      </c>
      <c r="R1561" s="64" t="str">
        <f>Ringkasan!R1560</f>
        <v/>
      </c>
      <c r="S1561" s="64" t="str">
        <f>Ringkasan!S1560</f>
        <v/>
      </c>
      <c r="T1561" s="64" t="str">
        <f>Ringkasan!T1560</f>
        <v/>
      </c>
      <c r="U1561" s="64">
        <f>Ringkasan!U1560</f>
        <v>370</v>
      </c>
      <c r="V1561" s="64" t="str">
        <f>Ringkasan!V1560</f>
        <v/>
      </c>
      <c r="W1561" s="64">
        <f>Ringkasan!W1560</f>
        <v>370</v>
      </c>
      <c r="X1561" s="64">
        <f>Ringkasan!X1560</f>
        <v>378</v>
      </c>
      <c r="Y1561" s="64">
        <f>Ringkasan!Y1560</f>
        <v>368</v>
      </c>
      <c r="Z1561" s="64">
        <f>Ringkasan!Z1560</f>
        <v>21742700</v>
      </c>
      <c r="AA1561" s="64" t="str">
        <f>Ringkasan!AA1560</f>
        <v>Pharmaceuticals</v>
      </c>
      <c r="AB1561" s="64" t="str">
        <f>Ringkasan!AB1560</f>
        <v>Healthcare</v>
      </c>
    </row>
    <row r="1562" hidden="1">
      <c r="A1562" s="64" t="str">
        <f>Ringkasan!A1561</f>
        <v>SIDO</v>
      </c>
      <c r="B1562" s="64" t="str">
        <f>Ringkasan!B1561</f>
        <v>Industri Jamu dan Farmasi Sido Muncul Tbk.</v>
      </c>
      <c r="C1562" s="65">
        <f>Ringkasan!C1561</f>
        <v>368</v>
      </c>
      <c r="D1562" s="64" t="str">
        <f>Ringkasan!D1561</f>
        <v>#N/A</v>
      </c>
      <c r="E1562" s="64" t="str">
        <f>Ringkasan!E1561</f>
        <v>ESGSKEHATI</v>
      </c>
      <c r="F1562" s="66">
        <f>Ringkasan!F1561</f>
        <v>46356</v>
      </c>
      <c r="G1562" s="64">
        <f>Ringkasan!G1561</f>
        <v>11</v>
      </c>
      <c r="H1562" s="19">
        <f>Ringkasan!H1561</f>
        <v>10.1</v>
      </c>
      <c r="I1562" s="19">
        <f>Ringkasan!I1561</f>
        <v>3.5</v>
      </c>
      <c r="J1562" s="19">
        <f>Ringkasan!J1561</f>
        <v>35.1</v>
      </c>
      <c r="K1562" s="19">
        <f>Ringkasan!K1561</f>
        <v>31.4</v>
      </c>
      <c r="L1562" s="19">
        <f>Ringkasan!L1561</f>
        <v>0.12</v>
      </c>
      <c r="M1562" s="19">
        <f>Ringkasan!M1561</f>
        <v>180</v>
      </c>
      <c r="N1562" s="64" t="str">
        <f>Ringkasan!N1561</f>
        <v/>
      </c>
      <c r="O1562" s="64" t="str">
        <f>Ringkasan!O1561</f>
        <v/>
      </c>
      <c r="P1562" s="64" t="str">
        <f>Ringkasan!P1561</f>
        <v/>
      </c>
      <c r="Q1562" s="64" t="str">
        <f>Ringkasan!Q1561</f>
        <v/>
      </c>
      <c r="R1562" s="64" t="str">
        <f>Ringkasan!R1561</f>
        <v/>
      </c>
      <c r="S1562" s="64" t="str">
        <f>Ringkasan!S1561</f>
        <v/>
      </c>
      <c r="T1562" s="64" t="str">
        <f>Ringkasan!T1561</f>
        <v/>
      </c>
      <c r="U1562" s="64">
        <f>Ringkasan!U1561</f>
        <v>370</v>
      </c>
      <c r="V1562" s="64" t="str">
        <f>Ringkasan!V1561</f>
        <v/>
      </c>
      <c r="W1562" s="64">
        <f>Ringkasan!W1561</f>
        <v>370</v>
      </c>
      <c r="X1562" s="64">
        <f>Ringkasan!X1561</f>
        <v>378</v>
      </c>
      <c r="Y1562" s="64">
        <f>Ringkasan!Y1561</f>
        <v>368</v>
      </c>
      <c r="Z1562" s="64">
        <f>Ringkasan!Z1561</f>
        <v>21742700</v>
      </c>
      <c r="AA1562" s="64" t="str">
        <f>Ringkasan!AA1561</f>
        <v>Pharmaceuticals</v>
      </c>
      <c r="AB1562" s="64" t="str">
        <f>Ringkasan!AB1561</f>
        <v>Healthcare</v>
      </c>
    </row>
    <row r="1563" hidden="1">
      <c r="A1563" s="64" t="str">
        <f>Ringkasan!A1562</f>
        <v>SIDO</v>
      </c>
      <c r="B1563" s="64" t="str">
        <f>Ringkasan!B1562</f>
        <v>Industri Jamu dan Farmasi Sido Muncul Tbk.</v>
      </c>
      <c r="C1563" s="65">
        <f>Ringkasan!C1562</f>
        <v>368</v>
      </c>
      <c r="D1563" s="64" t="str">
        <f>Ringkasan!D1562</f>
        <v>#N/A</v>
      </c>
      <c r="E1563" s="64" t="str">
        <f>Ringkasan!E1562</f>
        <v>IDXQ30</v>
      </c>
      <c r="F1563" s="64" t="str">
        <f>Ringkasan!F1562</f>
        <v>4 Agustus 2026</v>
      </c>
      <c r="G1563" s="64">
        <f>Ringkasan!G1562</f>
        <v>11</v>
      </c>
      <c r="H1563" s="19">
        <f>Ringkasan!H1562</f>
        <v>10.1</v>
      </c>
      <c r="I1563" s="19">
        <f>Ringkasan!I1562</f>
        <v>3.5</v>
      </c>
      <c r="J1563" s="19">
        <f>Ringkasan!J1562</f>
        <v>35.1</v>
      </c>
      <c r="K1563" s="19">
        <f>Ringkasan!K1562</f>
        <v>31.4</v>
      </c>
      <c r="L1563" s="19">
        <f>Ringkasan!L1562</f>
        <v>0.12</v>
      </c>
      <c r="M1563" s="19">
        <f>Ringkasan!M1562</f>
        <v>180</v>
      </c>
      <c r="N1563" s="64" t="str">
        <f>Ringkasan!N1562</f>
        <v/>
      </c>
      <c r="O1563" s="64" t="str">
        <f>Ringkasan!O1562</f>
        <v/>
      </c>
      <c r="P1563" s="64" t="str">
        <f>Ringkasan!P1562</f>
        <v/>
      </c>
      <c r="Q1563" s="64" t="str">
        <f>Ringkasan!Q1562</f>
        <v/>
      </c>
      <c r="R1563" s="64" t="str">
        <f>Ringkasan!R1562</f>
        <v/>
      </c>
      <c r="S1563" s="64" t="str">
        <f>Ringkasan!S1562</f>
        <v/>
      </c>
      <c r="T1563" s="64" t="str">
        <f>Ringkasan!T1562</f>
        <v/>
      </c>
      <c r="U1563" s="64">
        <f>Ringkasan!U1562</f>
        <v>370</v>
      </c>
      <c r="V1563" s="64" t="str">
        <f>Ringkasan!V1562</f>
        <v/>
      </c>
      <c r="W1563" s="64">
        <f>Ringkasan!W1562</f>
        <v>370</v>
      </c>
      <c r="X1563" s="64">
        <f>Ringkasan!X1562</f>
        <v>378</v>
      </c>
      <c r="Y1563" s="64">
        <f>Ringkasan!Y1562</f>
        <v>368</v>
      </c>
      <c r="Z1563" s="64">
        <f>Ringkasan!Z1562</f>
        <v>21742700</v>
      </c>
      <c r="AA1563" s="64" t="str">
        <f>Ringkasan!AA1562</f>
        <v>Pharmaceuticals</v>
      </c>
      <c r="AB1563" s="64" t="str">
        <f>Ringkasan!AB1562</f>
        <v>Healthcare</v>
      </c>
    </row>
    <row r="1564" hidden="1">
      <c r="A1564" s="64" t="str">
        <f>Ringkasan!A1563</f>
        <v>SIDO</v>
      </c>
      <c r="B1564" s="64" t="str">
        <f>Ringkasan!B1563</f>
        <v>Industri Jamu dan Farmasi Sido Muncul Tbk.</v>
      </c>
      <c r="C1564" s="65">
        <f>Ringkasan!C1563</f>
        <v>368</v>
      </c>
      <c r="D1564" s="64" t="str">
        <f>Ringkasan!D1563</f>
        <v>#N/A</v>
      </c>
      <c r="E1564" s="64" t="str">
        <f>Ringkasan!E1563</f>
        <v>IDXVESTA28</v>
      </c>
      <c r="F1564" s="64" t="str">
        <f>Ringkasan!F1563</f>
        <v>31 Agustus 2026</v>
      </c>
      <c r="G1564" s="64">
        <f>Ringkasan!G1563</f>
        <v>11</v>
      </c>
      <c r="H1564" s="19">
        <f>Ringkasan!H1563</f>
        <v>10.1</v>
      </c>
      <c r="I1564" s="19">
        <f>Ringkasan!I1563</f>
        <v>3.5</v>
      </c>
      <c r="J1564" s="19">
        <f>Ringkasan!J1563</f>
        <v>35.1</v>
      </c>
      <c r="K1564" s="19">
        <f>Ringkasan!K1563</f>
        <v>31.4</v>
      </c>
      <c r="L1564" s="19">
        <f>Ringkasan!L1563</f>
        <v>0.12</v>
      </c>
      <c r="M1564" s="19">
        <f>Ringkasan!M1563</f>
        <v>180</v>
      </c>
      <c r="N1564" s="64" t="str">
        <f>Ringkasan!N1563</f>
        <v/>
      </c>
      <c r="O1564" s="64" t="str">
        <f>Ringkasan!O1563</f>
        <v/>
      </c>
      <c r="P1564" s="64" t="str">
        <f>Ringkasan!P1563</f>
        <v/>
      </c>
      <c r="Q1564" s="64" t="str">
        <f>Ringkasan!Q1563</f>
        <v/>
      </c>
      <c r="R1564" s="64" t="str">
        <f>Ringkasan!R1563</f>
        <v/>
      </c>
      <c r="S1564" s="64" t="str">
        <f>Ringkasan!S1563</f>
        <v/>
      </c>
      <c r="T1564" s="64" t="str">
        <f>Ringkasan!T1563</f>
        <v/>
      </c>
      <c r="U1564" s="64">
        <f>Ringkasan!U1563</f>
        <v>370</v>
      </c>
      <c r="V1564" s="64" t="str">
        <f>Ringkasan!V1563</f>
        <v/>
      </c>
      <c r="W1564" s="64">
        <f>Ringkasan!W1563</f>
        <v>370</v>
      </c>
      <c r="X1564" s="64">
        <f>Ringkasan!X1563</f>
        <v>378</v>
      </c>
      <c r="Y1564" s="64">
        <f>Ringkasan!Y1563</f>
        <v>368</v>
      </c>
      <c r="Z1564" s="64">
        <f>Ringkasan!Z1563</f>
        <v>21742700</v>
      </c>
      <c r="AA1564" s="64" t="str">
        <f>Ringkasan!AA1563</f>
        <v>Pharmaceuticals</v>
      </c>
      <c r="AB1564" s="64" t="str">
        <f>Ringkasan!AB1563</f>
        <v>Healthcare</v>
      </c>
    </row>
    <row r="1565" hidden="1">
      <c r="A1565" s="64" t="str">
        <f>Ringkasan!A1564</f>
        <v>SIDO</v>
      </c>
      <c r="B1565" s="64" t="str">
        <f>Ringkasan!B1564</f>
        <v>Industri Jamu dan Farmasi Sido Muncul Tbk.</v>
      </c>
      <c r="C1565" s="65">
        <f>Ringkasan!C1564</f>
        <v>368</v>
      </c>
      <c r="D1565" s="64" t="str">
        <f>Ringkasan!D1564</f>
        <v>#N/A</v>
      </c>
      <c r="E1565" s="64" t="str">
        <f>Ringkasan!E1564</f>
        <v>Kompas100</v>
      </c>
      <c r="F1565" s="64" t="str">
        <f>Ringkasan!F1564</f>
        <v>31 Juli 2026</v>
      </c>
      <c r="G1565" s="64">
        <f>Ringkasan!G1564</f>
        <v>11</v>
      </c>
      <c r="H1565" s="19">
        <f>Ringkasan!H1564</f>
        <v>10.1</v>
      </c>
      <c r="I1565" s="19">
        <f>Ringkasan!I1564</f>
        <v>3.5</v>
      </c>
      <c r="J1565" s="19">
        <f>Ringkasan!J1564</f>
        <v>35.1</v>
      </c>
      <c r="K1565" s="19">
        <f>Ringkasan!K1564</f>
        <v>31.4</v>
      </c>
      <c r="L1565" s="19">
        <f>Ringkasan!L1564</f>
        <v>0.12</v>
      </c>
      <c r="M1565" s="19">
        <f>Ringkasan!M1564</f>
        <v>180</v>
      </c>
      <c r="N1565" s="64" t="str">
        <f>Ringkasan!N1564</f>
        <v/>
      </c>
      <c r="O1565" s="64" t="str">
        <f>Ringkasan!O1564</f>
        <v/>
      </c>
      <c r="P1565" s="64" t="str">
        <f>Ringkasan!P1564</f>
        <v/>
      </c>
      <c r="Q1565" s="64" t="str">
        <f>Ringkasan!Q1564</f>
        <v/>
      </c>
      <c r="R1565" s="64" t="str">
        <f>Ringkasan!R1564</f>
        <v/>
      </c>
      <c r="S1565" s="64" t="str">
        <f>Ringkasan!S1564</f>
        <v/>
      </c>
      <c r="T1565" s="64" t="str">
        <f>Ringkasan!T1564</f>
        <v/>
      </c>
      <c r="U1565" s="64">
        <f>Ringkasan!U1564</f>
        <v>370</v>
      </c>
      <c r="V1565" s="64" t="str">
        <f>Ringkasan!V1564</f>
        <v/>
      </c>
      <c r="W1565" s="64">
        <f>Ringkasan!W1564</f>
        <v>370</v>
      </c>
      <c r="X1565" s="64">
        <f>Ringkasan!X1564</f>
        <v>378</v>
      </c>
      <c r="Y1565" s="64">
        <f>Ringkasan!Y1564</f>
        <v>368</v>
      </c>
      <c r="Z1565" s="64">
        <f>Ringkasan!Z1564</f>
        <v>21742700</v>
      </c>
      <c r="AA1565" s="64" t="str">
        <f>Ringkasan!AA1564</f>
        <v>Pharmaceuticals</v>
      </c>
      <c r="AB1565" s="64" t="str">
        <f>Ringkasan!AB1564</f>
        <v>Healthcare</v>
      </c>
    </row>
    <row r="1566" hidden="1">
      <c r="A1566" s="64" t="str">
        <f>Ringkasan!A1565</f>
        <v>SIDO</v>
      </c>
      <c r="B1566" s="64" t="str">
        <f>Ringkasan!B1565</f>
        <v>Industri Jamu dan Farmasi Sido Muncul Tbk.</v>
      </c>
      <c r="C1566" s="65">
        <f>Ringkasan!C1565</f>
        <v>368</v>
      </c>
      <c r="D1566" s="64" t="str">
        <f>Ringkasan!D1565</f>
        <v>#N/A</v>
      </c>
      <c r="E1566" s="64" t="str">
        <f>Ringkasan!E1565</f>
        <v>IDXESGL</v>
      </c>
      <c r="F1566" s="64" t="str">
        <f>Ringkasan!F1565</f>
        <v>30 Oktober 2026</v>
      </c>
      <c r="G1566" s="64">
        <f>Ringkasan!G1565</f>
        <v>11</v>
      </c>
      <c r="H1566" s="19">
        <f>Ringkasan!H1565</f>
        <v>10.1</v>
      </c>
      <c r="I1566" s="19">
        <f>Ringkasan!I1565</f>
        <v>3.5</v>
      </c>
      <c r="J1566" s="19">
        <f>Ringkasan!J1565</f>
        <v>35.1</v>
      </c>
      <c r="K1566" s="19">
        <f>Ringkasan!K1565</f>
        <v>31.4</v>
      </c>
      <c r="L1566" s="19">
        <f>Ringkasan!L1565</f>
        <v>0.12</v>
      </c>
      <c r="M1566" s="19">
        <f>Ringkasan!M1565</f>
        <v>180</v>
      </c>
      <c r="N1566" s="64" t="str">
        <f>Ringkasan!N1565</f>
        <v/>
      </c>
      <c r="O1566" s="64" t="str">
        <f>Ringkasan!O1565</f>
        <v/>
      </c>
      <c r="P1566" s="64" t="str">
        <f>Ringkasan!P1565</f>
        <v/>
      </c>
      <c r="Q1566" s="64" t="str">
        <f>Ringkasan!Q1565</f>
        <v/>
      </c>
      <c r="R1566" s="64" t="str">
        <f>Ringkasan!R1565</f>
        <v/>
      </c>
      <c r="S1566" s="64" t="str">
        <f>Ringkasan!S1565</f>
        <v/>
      </c>
      <c r="T1566" s="64" t="str">
        <f>Ringkasan!T1565</f>
        <v/>
      </c>
      <c r="U1566" s="64">
        <f>Ringkasan!U1565</f>
        <v>370</v>
      </c>
      <c r="V1566" s="64" t="str">
        <f>Ringkasan!V1565</f>
        <v/>
      </c>
      <c r="W1566" s="64">
        <f>Ringkasan!W1565</f>
        <v>370</v>
      </c>
      <c r="X1566" s="64">
        <f>Ringkasan!X1565</f>
        <v>378</v>
      </c>
      <c r="Y1566" s="64">
        <f>Ringkasan!Y1565</f>
        <v>368</v>
      </c>
      <c r="Z1566" s="64">
        <f>Ringkasan!Z1565</f>
        <v>21742700</v>
      </c>
      <c r="AA1566" s="64" t="str">
        <f>Ringkasan!AA1565</f>
        <v>Pharmaceuticals</v>
      </c>
      <c r="AB1566" s="64" t="str">
        <f>Ringkasan!AB1565</f>
        <v>Healthcare</v>
      </c>
    </row>
    <row r="1567" hidden="1">
      <c r="A1567" s="64" t="str">
        <f>Ringkasan!A1566</f>
        <v>SIDO</v>
      </c>
      <c r="B1567" s="64" t="str">
        <f>Ringkasan!B1566</f>
        <v>Industri Jamu dan Farmasi Sido Muncul Tbk.</v>
      </c>
      <c r="C1567" s="65">
        <f>Ringkasan!C1566</f>
        <v>368</v>
      </c>
      <c r="D1567" s="64" t="str">
        <f>Ringkasan!D1566</f>
        <v>#N/A</v>
      </c>
      <c r="E1567" s="64" t="str">
        <f>Ringkasan!E1566</f>
        <v>IDX80</v>
      </c>
      <c r="F1567" s="64" t="str">
        <f>Ringkasan!F1566</f>
        <v>31 Juli 2026</v>
      </c>
      <c r="G1567" s="64">
        <f>Ringkasan!G1566</f>
        <v>11</v>
      </c>
      <c r="H1567" s="19">
        <f>Ringkasan!H1566</f>
        <v>10.1</v>
      </c>
      <c r="I1567" s="19">
        <f>Ringkasan!I1566</f>
        <v>3.5</v>
      </c>
      <c r="J1567" s="19">
        <f>Ringkasan!J1566</f>
        <v>35.1</v>
      </c>
      <c r="K1567" s="19">
        <f>Ringkasan!K1566</f>
        <v>31.4</v>
      </c>
      <c r="L1567" s="19">
        <f>Ringkasan!L1566</f>
        <v>0.12</v>
      </c>
      <c r="M1567" s="19">
        <f>Ringkasan!M1566</f>
        <v>180</v>
      </c>
      <c r="N1567" s="64" t="str">
        <f>Ringkasan!N1566</f>
        <v/>
      </c>
      <c r="O1567" s="64" t="str">
        <f>Ringkasan!O1566</f>
        <v/>
      </c>
      <c r="P1567" s="64" t="str">
        <f>Ringkasan!P1566</f>
        <v/>
      </c>
      <c r="Q1567" s="64" t="str">
        <f>Ringkasan!Q1566</f>
        <v/>
      </c>
      <c r="R1567" s="64" t="str">
        <f>Ringkasan!R1566</f>
        <v/>
      </c>
      <c r="S1567" s="64" t="str">
        <f>Ringkasan!S1566</f>
        <v/>
      </c>
      <c r="T1567" s="64" t="str">
        <f>Ringkasan!T1566</f>
        <v/>
      </c>
      <c r="U1567" s="64">
        <f>Ringkasan!U1566</f>
        <v>370</v>
      </c>
      <c r="V1567" s="64" t="str">
        <f>Ringkasan!V1566</f>
        <v/>
      </c>
      <c r="W1567" s="64">
        <f>Ringkasan!W1566</f>
        <v>370</v>
      </c>
      <c r="X1567" s="64">
        <f>Ringkasan!X1566</f>
        <v>378</v>
      </c>
      <c r="Y1567" s="64">
        <f>Ringkasan!Y1566</f>
        <v>368</v>
      </c>
      <c r="Z1567" s="64">
        <f>Ringkasan!Z1566</f>
        <v>21742700</v>
      </c>
      <c r="AA1567" s="64" t="str">
        <f>Ringkasan!AA1566</f>
        <v>Pharmaceuticals</v>
      </c>
      <c r="AB1567" s="64" t="str">
        <f>Ringkasan!AB1566</f>
        <v>Healthcare</v>
      </c>
    </row>
    <row r="1568" hidden="1">
      <c r="A1568" s="64" t="str">
        <f>Ringkasan!A1567</f>
        <v>SIDO</v>
      </c>
      <c r="B1568" s="64" t="str">
        <f>Ringkasan!B1567</f>
        <v>Industri Jamu dan Farmasi Sido Muncul Tbk.</v>
      </c>
      <c r="C1568" s="65">
        <f>Ringkasan!C1567</f>
        <v>368</v>
      </c>
      <c r="D1568" s="64" t="str">
        <f>Ringkasan!D1567</f>
        <v>#N/A</v>
      </c>
      <c r="E1568" s="64" t="str">
        <f>Ringkasan!E1567</f>
        <v>IDXSMC-LIQ</v>
      </c>
      <c r="F1568" s="64" t="str">
        <f>Ringkasan!F1567</f>
        <v>4 Agustus 2026</v>
      </c>
      <c r="G1568" s="64">
        <f>Ringkasan!G1567</f>
        <v>11</v>
      </c>
      <c r="H1568" s="19">
        <f>Ringkasan!H1567</f>
        <v>10.1</v>
      </c>
      <c r="I1568" s="19">
        <f>Ringkasan!I1567</f>
        <v>3.5</v>
      </c>
      <c r="J1568" s="19">
        <f>Ringkasan!J1567</f>
        <v>35.1</v>
      </c>
      <c r="K1568" s="19">
        <f>Ringkasan!K1567</f>
        <v>31.4</v>
      </c>
      <c r="L1568" s="19">
        <f>Ringkasan!L1567</f>
        <v>0.12</v>
      </c>
      <c r="M1568" s="19">
        <f>Ringkasan!M1567</f>
        <v>180</v>
      </c>
      <c r="N1568" s="64" t="str">
        <f>Ringkasan!N1567</f>
        <v/>
      </c>
      <c r="O1568" s="64" t="str">
        <f>Ringkasan!O1567</f>
        <v/>
      </c>
      <c r="P1568" s="64" t="str">
        <f>Ringkasan!P1567</f>
        <v/>
      </c>
      <c r="Q1568" s="64" t="str">
        <f>Ringkasan!Q1567</f>
        <v/>
      </c>
      <c r="R1568" s="64" t="str">
        <f>Ringkasan!R1567</f>
        <v/>
      </c>
      <c r="S1568" s="64" t="str">
        <f>Ringkasan!S1567</f>
        <v/>
      </c>
      <c r="T1568" s="64" t="str">
        <f>Ringkasan!T1567</f>
        <v/>
      </c>
      <c r="U1568" s="64">
        <f>Ringkasan!U1567</f>
        <v>370</v>
      </c>
      <c r="V1568" s="64" t="str">
        <f>Ringkasan!V1567</f>
        <v/>
      </c>
      <c r="W1568" s="64">
        <f>Ringkasan!W1567</f>
        <v>370</v>
      </c>
      <c r="X1568" s="64">
        <f>Ringkasan!X1567</f>
        <v>378</v>
      </c>
      <c r="Y1568" s="64">
        <f>Ringkasan!Y1567</f>
        <v>368</v>
      </c>
      <c r="Z1568" s="64">
        <f>Ringkasan!Z1567</f>
        <v>21742700</v>
      </c>
      <c r="AA1568" s="64" t="str">
        <f>Ringkasan!AA1567</f>
        <v>Pharmaceuticals</v>
      </c>
      <c r="AB1568" s="64" t="str">
        <f>Ringkasan!AB1567</f>
        <v>Healthcare</v>
      </c>
    </row>
    <row r="1569" hidden="1">
      <c r="A1569" s="64" t="str">
        <f>Ringkasan!A1568</f>
        <v>SIDO</v>
      </c>
      <c r="B1569" s="64" t="str">
        <f>Ringkasan!B1568</f>
        <v>Industri Jamu dan Farmasi Sido Muncul Tbk.</v>
      </c>
      <c r="C1569" s="65">
        <f>Ringkasan!C1568</f>
        <v>368</v>
      </c>
      <c r="D1569" s="64" t="str">
        <f>Ringkasan!D1568</f>
        <v>#N/A</v>
      </c>
      <c r="E1569" s="64" t="str">
        <f>Ringkasan!E1568</f>
        <v>SRI-KEHATI</v>
      </c>
      <c r="F1569" s="66">
        <f>Ringkasan!F1568</f>
        <v>46356</v>
      </c>
      <c r="G1569" s="64">
        <f>Ringkasan!G1568</f>
        <v>11</v>
      </c>
      <c r="H1569" s="19">
        <f>Ringkasan!H1568</f>
        <v>10.1</v>
      </c>
      <c r="I1569" s="19">
        <f>Ringkasan!I1568</f>
        <v>3.5</v>
      </c>
      <c r="J1569" s="19">
        <f>Ringkasan!J1568</f>
        <v>35.1</v>
      </c>
      <c r="K1569" s="19">
        <f>Ringkasan!K1568</f>
        <v>31.4</v>
      </c>
      <c r="L1569" s="19">
        <f>Ringkasan!L1568</f>
        <v>0.12</v>
      </c>
      <c r="M1569" s="19">
        <f>Ringkasan!M1568</f>
        <v>180</v>
      </c>
      <c r="N1569" s="64" t="str">
        <f>Ringkasan!N1568</f>
        <v/>
      </c>
      <c r="O1569" s="64" t="str">
        <f>Ringkasan!O1568</f>
        <v/>
      </c>
      <c r="P1569" s="64" t="str">
        <f>Ringkasan!P1568</f>
        <v/>
      </c>
      <c r="Q1569" s="64" t="str">
        <f>Ringkasan!Q1568</f>
        <v/>
      </c>
      <c r="R1569" s="64" t="str">
        <f>Ringkasan!R1568</f>
        <v/>
      </c>
      <c r="S1569" s="64" t="str">
        <f>Ringkasan!S1568</f>
        <v/>
      </c>
      <c r="T1569" s="64" t="str">
        <f>Ringkasan!T1568</f>
        <v/>
      </c>
      <c r="U1569" s="64">
        <f>Ringkasan!U1568</f>
        <v>370</v>
      </c>
      <c r="V1569" s="64" t="str">
        <f>Ringkasan!V1568</f>
        <v/>
      </c>
      <c r="W1569" s="64">
        <f>Ringkasan!W1568</f>
        <v>370</v>
      </c>
      <c r="X1569" s="64">
        <f>Ringkasan!X1568</f>
        <v>378</v>
      </c>
      <c r="Y1569" s="64">
        <f>Ringkasan!Y1568</f>
        <v>368</v>
      </c>
      <c r="Z1569" s="64">
        <f>Ringkasan!Z1568</f>
        <v>21742700</v>
      </c>
      <c r="AA1569" s="64" t="str">
        <f>Ringkasan!AA1568</f>
        <v>Pharmaceuticals</v>
      </c>
      <c r="AB1569" s="64" t="str">
        <f>Ringkasan!AB1568</f>
        <v>Healthcare</v>
      </c>
    </row>
    <row r="1570" hidden="1">
      <c r="A1570" s="64" t="str">
        <f>Ringkasan!A1569</f>
        <v>SIDO</v>
      </c>
      <c r="B1570" s="64" t="str">
        <f>Ringkasan!B1569</f>
        <v>Industri Jamu dan Farmasi Sido Muncul Tbk.</v>
      </c>
      <c r="C1570" s="65">
        <f>Ringkasan!C1569</f>
        <v>368</v>
      </c>
      <c r="D1570" s="64" t="str">
        <f>Ringkasan!D1569</f>
        <v>#N/A</v>
      </c>
      <c r="E1570" s="64" t="str">
        <f>Ringkasan!E1569</f>
        <v>JII70</v>
      </c>
      <c r="F1570" s="66">
        <f>Ringkasan!F1569</f>
        <v>46356</v>
      </c>
      <c r="G1570" s="64">
        <f>Ringkasan!G1569</f>
        <v>11</v>
      </c>
      <c r="H1570" s="19">
        <f>Ringkasan!H1569</f>
        <v>10.1</v>
      </c>
      <c r="I1570" s="19">
        <f>Ringkasan!I1569</f>
        <v>3.5</v>
      </c>
      <c r="J1570" s="19">
        <f>Ringkasan!J1569</f>
        <v>35.1</v>
      </c>
      <c r="K1570" s="19">
        <f>Ringkasan!K1569</f>
        <v>31.4</v>
      </c>
      <c r="L1570" s="19">
        <f>Ringkasan!L1569</f>
        <v>0.12</v>
      </c>
      <c r="M1570" s="19">
        <f>Ringkasan!M1569</f>
        <v>180</v>
      </c>
      <c r="N1570" s="64" t="str">
        <f>Ringkasan!N1569</f>
        <v/>
      </c>
      <c r="O1570" s="64" t="str">
        <f>Ringkasan!O1569</f>
        <v/>
      </c>
      <c r="P1570" s="64" t="str">
        <f>Ringkasan!P1569</f>
        <v/>
      </c>
      <c r="Q1570" s="64" t="str">
        <f>Ringkasan!Q1569</f>
        <v/>
      </c>
      <c r="R1570" s="64" t="str">
        <f>Ringkasan!R1569</f>
        <v/>
      </c>
      <c r="S1570" s="64" t="str">
        <f>Ringkasan!S1569</f>
        <v/>
      </c>
      <c r="T1570" s="64" t="str">
        <f>Ringkasan!T1569</f>
        <v/>
      </c>
      <c r="U1570" s="64">
        <f>Ringkasan!U1569</f>
        <v>370</v>
      </c>
      <c r="V1570" s="64" t="str">
        <f>Ringkasan!V1569</f>
        <v/>
      </c>
      <c r="W1570" s="64">
        <f>Ringkasan!W1569</f>
        <v>370</v>
      </c>
      <c r="X1570" s="64">
        <f>Ringkasan!X1569</f>
        <v>378</v>
      </c>
      <c r="Y1570" s="64">
        <f>Ringkasan!Y1569</f>
        <v>368</v>
      </c>
      <c r="Z1570" s="64">
        <f>Ringkasan!Z1569</f>
        <v>21742700</v>
      </c>
      <c r="AA1570" s="64" t="str">
        <f>Ringkasan!AA1569</f>
        <v>Pharmaceuticals</v>
      </c>
      <c r="AB1570" s="64" t="str">
        <f>Ringkasan!AB1569</f>
        <v>Healthcare</v>
      </c>
    </row>
    <row r="1571" hidden="1">
      <c r="A1571" s="64" t="str">
        <f>Ringkasan!A1570</f>
        <v>SILO</v>
      </c>
      <c r="B1571" s="64" t="str">
        <f>Ringkasan!B1570</f>
        <v>PT Siloam International Hospitals Tbk.</v>
      </c>
      <c r="C1571" s="65">
        <f>Ringkasan!C1570</f>
        <v>2330</v>
      </c>
      <c r="D1571" s="64" t="str">
        <f>Ringkasan!D1570</f>
        <v>#N/A</v>
      </c>
      <c r="E1571" s="64" t="str">
        <f>Ringkasan!E1570</f>
        <v>MNC36</v>
      </c>
      <c r="F1571" s="64" t="str">
        <f>Ringkasan!F1570</f>
        <v>30 Oktober 2026</v>
      </c>
      <c r="G1571" s="64">
        <f>Ringkasan!G1570</f>
        <v>1</v>
      </c>
      <c r="H1571" s="19">
        <f>Ringkasan!H1570</f>
        <v>26.8</v>
      </c>
      <c r="I1571" s="19">
        <f>Ringkasan!I1570</f>
        <v>3</v>
      </c>
      <c r="J1571" s="19">
        <f>Ringkasan!J1570</f>
        <v>11.2</v>
      </c>
      <c r="K1571" s="19">
        <f>Ringkasan!K1570</f>
        <v>7.5</v>
      </c>
      <c r="L1571" s="19">
        <f>Ringkasan!L1570</f>
        <v>0.5</v>
      </c>
      <c r="M1571" s="19">
        <f>Ringkasan!M1570</f>
        <v>35</v>
      </c>
      <c r="N1571" s="64" t="str">
        <f>Ringkasan!N1570</f>
        <v/>
      </c>
      <c r="O1571" s="64" t="str">
        <f>Ringkasan!O1570</f>
        <v/>
      </c>
      <c r="P1571" s="64" t="str">
        <f>Ringkasan!P1570</f>
        <v/>
      </c>
      <c r="Q1571" s="64" t="str">
        <f>Ringkasan!Q1570</f>
        <v/>
      </c>
      <c r="R1571" s="64" t="str">
        <f>Ringkasan!R1570</f>
        <v/>
      </c>
      <c r="S1571" s="64" t="str">
        <f>Ringkasan!S1570</f>
        <v/>
      </c>
      <c r="T1571" s="64" t="str">
        <f>Ringkasan!T1570</f>
        <v/>
      </c>
      <c r="U1571" s="64">
        <f>Ringkasan!U1570</f>
        <v>6.44</v>
      </c>
      <c r="V1571" s="64">
        <f>Ringkasan!V1570</f>
        <v>2.95</v>
      </c>
      <c r="W1571" s="64">
        <f>Ringkasan!W1570</f>
        <v>6.53</v>
      </c>
      <c r="X1571" s="64">
        <f>Ringkasan!X1570</f>
        <v>6.75</v>
      </c>
      <c r="Y1571" s="64">
        <f>Ringkasan!Y1570</f>
        <v>6.49</v>
      </c>
      <c r="Z1571" s="64">
        <f>Ringkasan!Z1570</f>
        <v>19702</v>
      </c>
      <c r="AA1571" s="64" t="str">
        <f>Ringkasan!AA1570</f>
        <v>Healthcare Providers</v>
      </c>
      <c r="AB1571" s="64" t="str">
        <f>Ringkasan!AB1570</f>
        <v>Healthcare</v>
      </c>
    </row>
    <row r="1572" hidden="1">
      <c r="A1572" s="64" t="str">
        <f>Ringkasan!A1571</f>
        <v>SIMA</v>
      </c>
      <c r="B1572" s="64" t="str">
        <f>Ringkasan!B1571</f>
        <v>Siwani Makmur Tbk</v>
      </c>
      <c r="C1572" s="65">
        <f>Ringkasan!C1571</f>
        <v>50</v>
      </c>
      <c r="D1572" s="64" t="str">
        <f>Ringkasan!D1571</f>
        <v>#N/A</v>
      </c>
      <c r="E1572" s="64" t="str">
        <f>Ringkasan!E1571</f>
        <v/>
      </c>
      <c r="F1572" s="64" t="str">
        <f>Ringkasan!F1571</f>
        <v/>
      </c>
      <c r="G1572" s="64">
        <f>Ringkasan!G1571</f>
        <v>0</v>
      </c>
      <c r="H1572" s="19" t="str">
        <f>Ringkasan!H1571</f>
        <v/>
      </c>
      <c r="I1572" s="19">
        <f>Ringkasan!I1571</f>
        <v>-11</v>
      </c>
      <c r="J1572" s="19" t="str">
        <f>Ringkasan!J1571</f>
        <v/>
      </c>
      <c r="K1572" s="19">
        <f>Ringkasan!K1571</f>
        <v>-0.01</v>
      </c>
      <c r="L1572" s="19">
        <f>Ringkasan!L1571</f>
        <v>-130</v>
      </c>
      <c r="M1572" s="19">
        <f>Ringkasan!M1571</f>
        <v>-970</v>
      </c>
      <c r="N1572" s="64" t="str">
        <f>Ringkasan!N1571</f>
        <v/>
      </c>
      <c r="O1572" s="64" t="str">
        <f>Ringkasan!O1571</f>
        <v/>
      </c>
      <c r="P1572" s="64" t="str">
        <f>Ringkasan!P1571</f>
        <v/>
      </c>
      <c r="Q1572" s="64" t="str">
        <f>Ringkasan!Q1571</f>
        <v/>
      </c>
      <c r="R1572" s="64" t="str">
        <f>Ringkasan!R1571</f>
        <v/>
      </c>
      <c r="S1572" s="64" t="str">
        <f>Ringkasan!S1571</f>
        <v/>
      </c>
      <c r="T1572" s="64" t="str">
        <f>Ringkasan!T1571</f>
        <v/>
      </c>
      <c r="U1572" s="64">
        <f>Ringkasan!U1571</f>
        <v>10.89</v>
      </c>
      <c r="V1572" s="64">
        <f>Ringkasan!V1571</f>
        <v>0</v>
      </c>
      <c r="W1572" s="64">
        <f>Ringkasan!W1571</f>
        <v>10.89</v>
      </c>
      <c r="X1572" s="64" t="str">
        <f>Ringkasan!X1571</f>
        <v/>
      </c>
      <c r="Y1572" s="64">
        <f>Ringkasan!Y1571</f>
        <v>10.85</v>
      </c>
      <c r="Z1572" s="64">
        <f>Ringkasan!Z1571</f>
        <v>6200</v>
      </c>
      <c r="AA1572" s="64" t="str">
        <f>Ringkasan!AA1571</f>
        <v>Containers &amp; Packaging</v>
      </c>
      <c r="AB1572" s="64" t="str">
        <f>Ringkasan!AB1571</f>
        <v>Basic Materials</v>
      </c>
    </row>
    <row r="1573" hidden="1">
      <c r="A1573" s="64" t="str">
        <f>Ringkasan!A1572</f>
        <v>SIMP</v>
      </c>
      <c r="B1573" s="64" t="str">
        <f>Ringkasan!B1572</f>
        <v>Salim Ivomas Pratama Tbk</v>
      </c>
      <c r="C1573" s="65">
        <f>Ringkasan!C1572</f>
        <v>535</v>
      </c>
      <c r="D1573" s="64" t="str">
        <f>Ringkasan!D1572</f>
        <v>#N/A</v>
      </c>
      <c r="E1573" s="64" t="str">
        <f>Ringkasan!E1572</f>
        <v>ESGSKEHATI</v>
      </c>
      <c r="F1573" s="66">
        <f>Ringkasan!F1572</f>
        <v>46356</v>
      </c>
      <c r="G1573" s="64">
        <f>Ringkasan!G1572</f>
        <v>1</v>
      </c>
      <c r="H1573" s="19">
        <f>Ringkasan!H1572</f>
        <v>4.2</v>
      </c>
      <c r="I1573" s="19">
        <f>Ringkasan!I1572</f>
        <v>0.32</v>
      </c>
      <c r="J1573" s="19">
        <f>Ringkasan!J1572</f>
        <v>7.6</v>
      </c>
      <c r="K1573" s="19">
        <f>Ringkasan!K1572</f>
        <v>4.9</v>
      </c>
      <c r="L1573" s="19">
        <f>Ringkasan!L1572</f>
        <v>0.54</v>
      </c>
      <c r="M1573" s="19">
        <f>Ringkasan!M1572</f>
        <v>42.2</v>
      </c>
      <c r="N1573" s="64" t="str">
        <f>Ringkasan!N1572</f>
        <v/>
      </c>
      <c r="O1573" s="64" t="str">
        <f>Ringkasan!O1572</f>
        <v/>
      </c>
      <c r="P1573" s="64" t="str">
        <f>Ringkasan!P1572</f>
        <v/>
      </c>
      <c r="Q1573" s="64" t="str">
        <f>Ringkasan!Q1572</f>
        <v/>
      </c>
      <c r="R1573" s="64" t="str">
        <f>Ringkasan!R1572</f>
        <v/>
      </c>
      <c r="S1573" s="64" t="str">
        <f>Ringkasan!S1572</f>
        <v/>
      </c>
      <c r="T1573" s="64" t="str">
        <f>Ringkasan!T1572</f>
        <v/>
      </c>
      <c r="U1573" s="64">
        <f>Ringkasan!U1572</f>
        <v>510</v>
      </c>
      <c r="V1573" s="64">
        <f>Ringkasan!V1572</f>
        <v>4.9</v>
      </c>
      <c r="W1573" s="64">
        <f>Ringkasan!W1572</f>
        <v>510</v>
      </c>
      <c r="X1573" s="64">
        <f>Ringkasan!X1572</f>
        <v>545</v>
      </c>
      <c r="Y1573" s="64">
        <f>Ringkasan!Y1572</f>
        <v>510</v>
      </c>
      <c r="Z1573" s="64">
        <f>Ringkasan!Z1572</f>
        <v>15365600</v>
      </c>
      <c r="AA1573" s="64" t="str">
        <f>Ringkasan!AA1572</f>
        <v>Agricultural Products</v>
      </c>
      <c r="AB1573" s="64" t="str">
        <f>Ringkasan!AB1572</f>
        <v>Consumer Non-Cyclicals</v>
      </c>
    </row>
    <row r="1574" hidden="1">
      <c r="A1574" s="64" t="str">
        <f>Ringkasan!A1479</f>
        <v>PWON</v>
      </c>
      <c r="B1574" s="64" t="str">
        <f>Ringkasan!B1479</f>
        <v>Pakuwon Jati Tbk.</v>
      </c>
      <c r="C1574" s="61">
        <f>Ringkasan!C1479</f>
        <v>262</v>
      </c>
      <c r="D1574" s="60" t="str">
        <f>Ringkasan!D1479</f>
        <v>#N/A</v>
      </c>
      <c r="E1574" s="60" t="str">
        <f>Ringkasan!E1479</f>
        <v>IDX80</v>
      </c>
      <c r="F1574" s="60" t="str">
        <f>Ringkasan!F1479</f>
        <v>31 Juli 2026</v>
      </c>
      <c r="G1574" s="60">
        <f>Ringkasan!G1479</f>
        <v>12</v>
      </c>
      <c r="H1574" s="62">
        <f>Ringkasan!H1479</f>
        <v>5.7</v>
      </c>
      <c r="I1574" s="62">
        <f>Ringkasan!I1479</f>
        <v>0.52</v>
      </c>
      <c r="J1574" s="62">
        <f>Ringkasan!J1479</f>
        <v>9</v>
      </c>
      <c r="K1574" s="62">
        <f>Ringkasan!K1479</f>
        <v>6.6</v>
      </c>
      <c r="L1574" s="62">
        <f>Ringkasan!L1479</f>
        <v>0.37</v>
      </c>
      <c r="M1574" s="62">
        <f>Ringkasan!M1479</f>
        <v>150</v>
      </c>
      <c r="N1574" s="60" t="str">
        <f>Ringkasan!N1479</f>
        <v/>
      </c>
      <c r="O1574" s="60" t="str">
        <f>Ringkasan!O1479</f>
        <v/>
      </c>
      <c r="P1574" s="60" t="str">
        <f>Ringkasan!P1479</f>
        <v/>
      </c>
      <c r="Q1574" s="60" t="str">
        <f>Ringkasan!Q1479</f>
        <v/>
      </c>
      <c r="R1574" s="60" t="str">
        <f>Ringkasan!R1479</f>
        <v/>
      </c>
      <c r="S1574" s="60" t="str">
        <f>Ringkasan!S1479</f>
        <v/>
      </c>
      <c r="T1574" s="60" t="str">
        <f>Ringkasan!T1479</f>
        <v/>
      </c>
      <c r="U1574" s="60">
        <f>Ringkasan!U1479</f>
        <v>256</v>
      </c>
      <c r="V1574" s="60">
        <f>Ringkasan!V1479</f>
        <v>2.34</v>
      </c>
      <c r="W1574" s="60">
        <f>Ringkasan!W1479</f>
        <v>260</v>
      </c>
      <c r="X1574" s="60">
        <f>Ringkasan!X1479</f>
        <v>266</v>
      </c>
      <c r="Y1574" s="60">
        <f>Ringkasan!Y1479</f>
        <v>258</v>
      </c>
      <c r="Z1574" s="60">
        <f>Ringkasan!Z1479</f>
        <v>46987400</v>
      </c>
      <c r="AA1574" s="60" t="str">
        <f>Ringkasan!AA1479</f>
        <v>Real Estate Management &amp; Development</v>
      </c>
      <c r="AB1574" s="64" t="str">
        <f>Ringkasan!AB1479</f>
        <v>Properties &amp; Real Estate</v>
      </c>
    </row>
    <row r="1575" hidden="1">
      <c r="A1575" s="64" t="str">
        <f>Ringkasan!A1480</f>
        <v>PWON</v>
      </c>
      <c r="B1575" s="64" t="str">
        <f>Ringkasan!B1480</f>
        <v>Pakuwon Jati Tbk.</v>
      </c>
      <c r="C1575" s="61">
        <f>Ringkasan!C1480</f>
        <v>262</v>
      </c>
      <c r="D1575" s="60" t="str">
        <f>Ringkasan!D1480</f>
        <v>#N/A</v>
      </c>
      <c r="E1575" s="60" t="str">
        <f>Ringkasan!E1480</f>
        <v>MNC36</v>
      </c>
      <c r="F1575" s="60" t="str">
        <f>Ringkasan!F1480</f>
        <v>30 Oktober 2026</v>
      </c>
      <c r="G1575" s="60">
        <f>Ringkasan!G1480</f>
        <v>12</v>
      </c>
      <c r="H1575" s="62">
        <f>Ringkasan!H1480</f>
        <v>5.7</v>
      </c>
      <c r="I1575" s="62">
        <f>Ringkasan!I1480</f>
        <v>0.52</v>
      </c>
      <c r="J1575" s="62">
        <f>Ringkasan!J1480</f>
        <v>9</v>
      </c>
      <c r="K1575" s="62">
        <f>Ringkasan!K1480</f>
        <v>6.6</v>
      </c>
      <c r="L1575" s="62">
        <f>Ringkasan!L1480</f>
        <v>0.37</v>
      </c>
      <c r="M1575" s="62">
        <f>Ringkasan!M1480</f>
        <v>150</v>
      </c>
      <c r="N1575" s="60" t="str">
        <f>Ringkasan!N1480</f>
        <v/>
      </c>
      <c r="O1575" s="60" t="str">
        <f>Ringkasan!O1480</f>
        <v/>
      </c>
      <c r="P1575" s="60" t="str">
        <f>Ringkasan!P1480</f>
        <v/>
      </c>
      <c r="Q1575" s="60" t="str">
        <f>Ringkasan!Q1480</f>
        <v/>
      </c>
      <c r="R1575" s="60" t="str">
        <f>Ringkasan!R1480</f>
        <v/>
      </c>
      <c r="S1575" s="60" t="str">
        <f>Ringkasan!S1480</f>
        <v/>
      </c>
      <c r="T1575" s="60" t="str">
        <f>Ringkasan!T1480</f>
        <v/>
      </c>
      <c r="U1575" s="60">
        <f>Ringkasan!U1480</f>
        <v>256</v>
      </c>
      <c r="V1575" s="60">
        <f>Ringkasan!V1480</f>
        <v>2.34</v>
      </c>
      <c r="W1575" s="60">
        <f>Ringkasan!W1480</f>
        <v>260</v>
      </c>
      <c r="X1575" s="60">
        <f>Ringkasan!X1480</f>
        <v>266</v>
      </c>
      <c r="Y1575" s="60">
        <f>Ringkasan!Y1480</f>
        <v>258</v>
      </c>
      <c r="Z1575" s="60">
        <f>Ringkasan!Z1480</f>
        <v>46987400</v>
      </c>
      <c r="AA1575" s="60" t="str">
        <f>Ringkasan!AA1480</f>
        <v>Real Estate Management &amp; Development</v>
      </c>
      <c r="AB1575" s="64" t="str">
        <f>Ringkasan!AB1480</f>
        <v>Properties &amp; Real Estate</v>
      </c>
    </row>
    <row r="1576" hidden="1">
      <c r="A1576" s="64" t="str">
        <f>Ringkasan!A1481</f>
        <v>PWON</v>
      </c>
      <c r="B1576" s="64" t="str">
        <f>Ringkasan!B1481</f>
        <v>Pakuwon Jati Tbk.</v>
      </c>
      <c r="C1576" s="61">
        <f>Ringkasan!C1481</f>
        <v>262</v>
      </c>
      <c r="D1576" s="60" t="str">
        <f>Ringkasan!D1481</f>
        <v>#N/A</v>
      </c>
      <c r="E1576" s="60" t="str">
        <f>Ringkasan!E1481</f>
        <v>IDXESGL</v>
      </c>
      <c r="F1576" s="60" t="str">
        <f>Ringkasan!F1481</f>
        <v>30 Oktober 2026</v>
      </c>
      <c r="G1576" s="60">
        <f>Ringkasan!G1481</f>
        <v>12</v>
      </c>
      <c r="H1576" s="62">
        <f>Ringkasan!H1481</f>
        <v>5.7</v>
      </c>
      <c r="I1576" s="62">
        <f>Ringkasan!I1481</f>
        <v>0.52</v>
      </c>
      <c r="J1576" s="62">
        <f>Ringkasan!J1481</f>
        <v>9</v>
      </c>
      <c r="K1576" s="62">
        <f>Ringkasan!K1481</f>
        <v>6.6</v>
      </c>
      <c r="L1576" s="62">
        <f>Ringkasan!L1481</f>
        <v>0.37</v>
      </c>
      <c r="M1576" s="62">
        <f>Ringkasan!M1481</f>
        <v>150</v>
      </c>
      <c r="N1576" s="60" t="str">
        <f>Ringkasan!N1481</f>
        <v/>
      </c>
      <c r="O1576" s="60" t="str">
        <f>Ringkasan!O1481</f>
        <v/>
      </c>
      <c r="P1576" s="60" t="str">
        <f>Ringkasan!P1481</f>
        <v/>
      </c>
      <c r="Q1576" s="60" t="str">
        <f>Ringkasan!Q1481</f>
        <v/>
      </c>
      <c r="R1576" s="60" t="str">
        <f>Ringkasan!R1481</f>
        <v/>
      </c>
      <c r="S1576" s="60" t="str">
        <f>Ringkasan!S1481</f>
        <v/>
      </c>
      <c r="T1576" s="60" t="str">
        <f>Ringkasan!T1481</f>
        <v/>
      </c>
      <c r="U1576" s="60">
        <f>Ringkasan!U1481</f>
        <v>256</v>
      </c>
      <c r="V1576" s="60">
        <f>Ringkasan!V1481</f>
        <v>2.34</v>
      </c>
      <c r="W1576" s="60">
        <f>Ringkasan!W1481</f>
        <v>260</v>
      </c>
      <c r="X1576" s="60">
        <f>Ringkasan!X1481</f>
        <v>266</v>
      </c>
      <c r="Y1576" s="60">
        <f>Ringkasan!Y1481</f>
        <v>258</v>
      </c>
      <c r="Z1576" s="60">
        <f>Ringkasan!Z1481</f>
        <v>46987400</v>
      </c>
      <c r="AA1576" s="60" t="str">
        <f>Ringkasan!AA1481</f>
        <v>Real Estate Management &amp; Development</v>
      </c>
      <c r="AB1576" s="64" t="str">
        <f>Ringkasan!AB1481</f>
        <v>Properties &amp; Real Estate</v>
      </c>
    </row>
    <row r="1577" hidden="1">
      <c r="A1577" s="64" t="str">
        <f>Ringkasan!A1482</f>
        <v>PWON</v>
      </c>
      <c r="B1577" s="64" t="str">
        <f>Ringkasan!B1482</f>
        <v>Pakuwon Jati Tbk.</v>
      </c>
      <c r="C1577" s="61">
        <f>Ringkasan!C1482</f>
        <v>262</v>
      </c>
      <c r="D1577" s="60" t="str">
        <f>Ringkasan!D1482</f>
        <v>#N/A</v>
      </c>
      <c r="E1577" s="60" t="str">
        <f>Ringkasan!E1482</f>
        <v>IDXV30</v>
      </c>
      <c r="F1577" s="60" t="str">
        <f>Ringkasan!F1482</f>
        <v>4 Agustus 2026</v>
      </c>
      <c r="G1577" s="60">
        <f>Ringkasan!G1482</f>
        <v>12</v>
      </c>
      <c r="H1577" s="62">
        <f>Ringkasan!H1482</f>
        <v>5.7</v>
      </c>
      <c r="I1577" s="62">
        <f>Ringkasan!I1482</f>
        <v>0.52</v>
      </c>
      <c r="J1577" s="62">
        <f>Ringkasan!J1482</f>
        <v>9</v>
      </c>
      <c r="K1577" s="62">
        <f>Ringkasan!K1482</f>
        <v>6.6</v>
      </c>
      <c r="L1577" s="62">
        <f>Ringkasan!L1482</f>
        <v>0.37</v>
      </c>
      <c r="M1577" s="62">
        <f>Ringkasan!M1482</f>
        <v>150</v>
      </c>
      <c r="N1577" s="60" t="str">
        <f>Ringkasan!N1482</f>
        <v/>
      </c>
      <c r="O1577" s="60" t="str">
        <f>Ringkasan!O1482</f>
        <v/>
      </c>
      <c r="P1577" s="60" t="str">
        <f>Ringkasan!P1482</f>
        <v/>
      </c>
      <c r="Q1577" s="60" t="str">
        <f>Ringkasan!Q1482</f>
        <v/>
      </c>
      <c r="R1577" s="60" t="str">
        <f>Ringkasan!R1482</f>
        <v/>
      </c>
      <c r="S1577" s="60" t="str">
        <f>Ringkasan!S1482</f>
        <v/>
      </c>
      <c r="T1577" s="60" t="str">
        <f>Ringkasan!T1482</f>
        <v/>
      </c>
      <c r="U1577" s="60">
        <f>Ringkasan!U1482</f>
        <v>256</v>
      </c>
      <c r="V1577" s="60">
        <f>Ringkasan!V1482</f>
        <v>2.34</v>
      </c>
      <c r="W1577" s="60">
        <f>Ringkasan!W1482</f>
        <v>260</v>
      </c>
      <c r="X1577" s="60">
        <f>Ringkasan!X1482</f>
        <v>266</v>
      </c>
      <c r="Y1577" s="60">
        <f>Ringkasan!Y1482</f>
        <v>258</v>
      </c>
      <c r="Z1577" s="60">
        <f>Ringkasan!Z1482</f>
        <v>46987400</v>
      </c>
      <c r="AA1577" s="60" t="str">
        <f>Ringkasan!AA1482</f>
        <v>Real Estate Management &amp; Development</v>
      </c>
      <c r="AB1577" s="64" t="str">
        <f>Ringkasan!AB1482</f>
        <v>Properties &amp; Real Estate</v>
      </c>
    </row>
    <row r="1578">
      <c r="A1578" s="60" t="str">
        <f>Ringkasan!A1297</f>
        <v>NCKL</v>
      </c>
      <c r="B1578" s="60" t="str">
        <f>Ringkasan!B1297</f>
        <v>PT Trimegah Bangun Persada Tbk.</v>
      </c>
      <c r="C1578" s="61">
        <f>Ringkasan!C1297</f>
        <v>890</v>
      </c>
      <c r="D1578" s="60" t="str">
        <f>Ringkasan!D1297</f>
        <v>#N/A</v>
      </c>
      <c r="E1578" s="60" t="str">
        <f>Ringkasan!E1297</f>
        <v>Kompas100</v>
      </c>
      <c r="F1578" s="60" t="str">
        <f>Ringkasan!F1297</f>
        <v>31 Juli 2026</v>
      </c>
      <c r="G1578" s="61">
        <f>Ringkasan!G1297</f>
        <v>4</v>
      </c>
      <c r="H1578" s="62">
        <f>Ringkasan!H1297</f>
        <v>5.6</v>
      </c>
      <c r="I1578" s="62">
        <f>Ringkasan!I1297</f>
        <v>1.1</v>
      </c>
      <c r="J1578" s="62">
        <f>Ringkasan!J1297</f>
        <v>20</v>
      </c>
      <c r="K1578" s="62">
        <f>Ringkasan!K1297</f>
        <v>15.4</v>
      </c>
      <c r="L1578" s="62">
        <f>Ringkasan!L1297</f>
        <v>0.3</v>
      </c>
      <c r="M1578" s="62">
        <f>Ringkasan!M1297</f>
        <v>150</v>
      </c>
      <c r="N1578" s="60" t="str">
        <f>Ringkasan!N1297</f>
        <v/>
      </c>
      <c r="O1578" s="60" t="str">
        <f>Ringkasan!O1297</f>
        <v/>
      </c>
      <c r="P1578" s="60" t="str">
        <f>Ringkasan!P1297</f>
        <v/>
      </c>
      <c r="Q1578" s="60" t="str">
        <f>Ringkasan!Q1297</f>
        <v/>
      </c>
      <c r="R1578" s="60" t="str">
        <f>Ringkasan!R1297</f>
        <v/>
      </c>
      <c r="S1578" s="60" t="str">
        <f>Ringkasan!S1297</f>
        <v/>
      </c>
      <c r="T1578" s="60" t="str">
        <f>Ringkasan!T1297</f>
        <v/>
      </c>
      <c r="U1578" s="60">
        <f>Ringkasan!U1297</f>
        <v>785</v>
      </c>
      <c r="V1578" s="60">
        <f>Ringkasan!V1297</f>
        <v>13.38</v>
      </c>
      <c r="W1578" s="60">
        <f>Ringkasan!W1297</f>
        <v>790</v>
      </c>
      <c r="X1578" s="60">
        <f>Ringkasan!X1297</f>
        <v>890</v>
      </c>
      <c r="Y1578" s="60">
        <f>Ringkasan!Y1297</f>
        <v>790</v>
      </c>
      <c r="Z1578" s="60">
        <f>Ringkasan!Z1297</f>
        <v>63386300</v>
      </c>
      <c r="AA1578" s="60" t="str">
        <f>Ringkasan!AA1297</f>
        <v>Metals &amp; Minerals</v>
      </c>
      <c r="AB1578" s="60" t="str">
        <f>Ringkasan!AB1297</f>
        <v>Basic Materials</v>
      </c>
    </row>
    <row r="1579">
      <c r="A1579" s="60" t="str">
        <f>Ringkasan!A1298</f>
        <v>NCKL</v>
      </c>
      <c r="B1579" s="60" t="str">
        <f>Ringkasan!B1298</f>
        <v>PT Trimegah Bangun Persada Tbk.</v>
      </c>
      <c r="C1579" s="61">
        <f>Ringkasan!C1298</f>
        <v>890</v>
      </c>
      <c r="D1579" s="60" t="str">
        <f>Ringkasan!D1298</f>
        <v>#N/A</v>
      </c>
      <c r="E1579" s="60" t="str">
        <f>Ringkasan!E1298</f>
        <v>IDXQ30</v>
      </c>
      <c r="F1579" s="60" t="str">
        <f>Ringkasan!F1298</f>
        <v>4 Agustus 2026</v>
      </c>
      <c r="G1579" s="61">
        <f>Ringkasan!G1298</f>
        <v>4</v>
      </c>
      <c r="H1579" s="62">
        <f>Ringkasan!H1298</f>
        <v>5.6</v>
      </c>
      <c r="I1579" s="62">
        <f>Ringkasan!I1298</f>
        <v>1.1</v>
      </c>
      <c r="J1579" s="62">
        <f>Ringkasan!J1298</f>
        <v>20</v>
      </c>
      <c r="K1579" s="62">
        <f>Ringkasan!K1298</f>
        <v>15.4</v>
      </c>
      <c r="L1579" s="62">
        <f>Ringkasan!L1298</f>
        <v>0.3</v>
      </c>
      <c r="M1579" s="62">
        <f>Ringkasan!M1298</f>
        <v>150</v>
      </c>
      <c r="N1579" s="60" t="str">
        <f>Ringkasan!N1298</f>
        <v/>
      </c>
      <c r="O1579" s="60" t="str">
        <f>Ringkasan!O1298</f>
        <v/>
      </c>
      <c r="P1579" s="60" t="str">
        <f>Ringkasan!P1298</f>
        <v/>
      </c>
      <c r="Q1579" s="60" t="str">
        <f>Ringkasan!Q1298</f>
        <v/>
      </c>
      <c r="R1579" s="60" t="str">
        <f>Ringkasan!R1298</f>
        <v/>
      </c>
      <c r="S1579" s="60" t="str">
        <f>Ringkasan!S1298</f>
        <v/>
      </c>
      <c r="T1579" s="60" t="str">
        <f>Ringkasan!T1298</f>
        <v/>
      </c>
      <c r="U1579" s="60">
        <f>Ringkasan!U1298</f>
        <v>785</v>
      </c>
      <c r="V1579" s="60">
        <f>Ringkasan!V1298</f>
        <v>13.38</v>
      </c>
      <c r="W1579" s="60">
        <f>Ringkasan!W1298</f>
        <v>790</v>
      </c>
      <c r="X1579" s="60">
        <f>Ringkasan!X1298</f>
        <v>890</v>
      </c>
      <c r="Y1579" s="60">
        <f>Ringkasan!Y1298</f>
        <v>790</v>
      </c>
      <c r="Z1579" s="60">
        <f>Ringkasan!Z1298</f>
        <v>63386300</v>
      </c>
      <c r="AA1579" s="60" t="str">
        <f>Ringkasan!AA1298</f>
        <v>Metals &amp; Minerals</v>
      </c>
      <c r="AB1579" s="60" t="str">
        <f>Ringkasan!AB1298</f>
        <v>Basic Materials</v>
      </c>
    </row>
    <row r="1580" hidden="1">
      <c r="A1580" s="64" t="str">
        <f>Ringkasan!A1021</f>
        <v>JSMR</v>
      </c>
      <c r="B1580" s="64" t="str">
        <f>Ringkasan!B1021</f>
        <v>Jasa Marga (Persero) Tbk.</v>
      </c>
      <c r="C1580" s="61">
        <f>Ringkasan!C1021</f>
        <v>2600</v>
      </c>
      <c r="D1580" s="60" t="str">
        <f>Ringkasan!D1021</f>
        <v>#N/A</v>
      </c>
      <c r="E1580" s="60" t="str">
        <f>Ringkasan!E1021</f>
        <v>JII70</v>
      </c>
      <c r="F1580" s="63">
        <f>Ringkasan!F1021</f>
        <v>46356</v>
      </c>
      <c r="G1580" s="60">
        <f>Ringkasan!G1021</f>
        <v>17</v>
      </c>
      <c r="H1580" s="62">
        <f>Ringkasan!H1021</f>
        <v>6.2</v>
      </c>
      <c r="I1580" s="62">
        <f>Ringkasan!I1021</f>
        <v>0.34</v>
      </c>
      <c r="J1580" s="62">
        <f>Ringkasan!J1021</f>
        <v>5.5</v>
      </c>
      <c r="K1580" s="62">
        <f>Ringkasan!K1021</f>
        <v>2.2</v>
      </c>
      <c r="L1580" s="62">
        <f>Ringkasan!L1021</f>
        <v>1.5</v>
      </c>
      <c r="M1580" s="62">
        <f>Ringkasan!M1021</f>
        <v>54.4</v>
      </c>
      <c r="N1580" s="60" t="str">
        <f>Ringkasan!N1021</f>
        <v/>
      </c>
      <c r="O1580" s="60" t="str">
        <f>Ringkasan!O1021</f>
        <v/>
      </c>
      <c r="P1580" s="60" t="str">
        <f>Ringkasan!P1021</f>
        <v/>
      </c>
      <c r="Q1580" s="60" t="str">
        <f>Ringkasan!Q1021</f>
        <v/>
      </c>
      <c r="R1580" s="60" t="str">
        <f>Ringkasan!R1021</f>
        <v/>
      </c>
      <c r="S1580" s="60" t="str">
        <f>Ringkasan!S1021</f>
        <v/>
      </c>
      <c r="T1580" s="60" t="str">
        <f>Ringkasan!T1021</f>
        <v/>
      </c>
      <c r="U1580" s="60">
        <f>Ringkasan!U1021</f>
        <v>2620</v>
      </c>
      <c r="V1580" s="60">
        <f>Ringkasan!V1021</f>
        <v>-0.76</v>
      </c>
      <c r="W1580" s="60">
        <f>Ringkasan!W1021</f>
        <v>2630</v>
      </c>
      <c r="X1580" s="60">
        <f>Ringkasan!X1021</f>
        <v>2650</v>
      </c>
      <c r="Y1580" s="60">
        <f>Ringkasan!Y1021</f>
        <v>2600</v>
      </c>
      <c r="Z1580" s="60">
        <f>Ringkasan!Z1021</f>
        <v>9670400</v>
      </c>
      <c r="AA1580" s="60" t="str">
        <f>Ringkasan!AA1021</f>
        <v>Transport Infrastructure Operator</v>
      </c>
      <c r="AB1580" s="64" t="str">
        <f>Ringkasan!AB1021</f>
        <v>Infrastructures</v>
      </c>
    </row>
    <row r="1581" hidden="1">
      <c r="A1581" s="64" t="str">
        <f>Ringkasan!A1580</f>
        <v>SMAR</v>
      </c>
      <c r="B1581" s="64" t="str">
        <f>Ringkasan!B1580</f>
        <v>Sinar Mas Agro Resources and Technology Tbk.</v>
      </c>
      <c r="C1581" s="65">
        <f>Ringkasan!C1580</f>
        <v>4590</v>
      </c>
      <c r="D1581" s="64" t="str">
        <f>Ringkasan!D1580</f>
        <v>#N/A</v>
      </c>
      <c r="E1581" s="64" t="str">
        <f>Ringkasan!E1580</f>
        <v/>
      </c>
      <c r="F1581" s="64" t="str">
        <f>Ringkasan!F1580</f>
        <v/>
      </c>
      <c r="G1581" s="64">
        <f>Ringkasan!G1580</f>
        <v>0</v>
      </c>
      <c r="H1581" s="19">
        <f>Ringkasan!H1580</f>
        <v>4.3</v>
      </c>
      <c r="I1581" s="19">
        <f>Ringkasan!I1580</f>
        <v>0.61</v>
      </c>
      <c r="J1581" s="19">
        <f>Ringkasan!J1580</f>
        <v>14.1</v>
      </c>
      <c r="K1581" s="19">
        <f>Ringkasan!K1580</f>
        <v>7.2</v>
      </c>
      <c r="L1581" s="19">
        <f>Ringkasan!L1580</f>
        <v>0.97</v>
      </c>
      <c r="M1581" s="19">
        <f>Ringkasan!M1580</f>
        <v>15.8</v>
      </c>
      <c r="N1581" s="64" t="str">
        <f>Ringkasan!N1580</f>
        <v/>
      </c>
      <c r="O1581" s="64" t="str">
        <f>Ringkasan!O1580</f>
        <v/>
      </c>
      <c r="P1581" s="64" t="str">
        <f>Ringkasan!P1580</f>
        <v/>
      </c>
      <c r="Q1581" s="64" t="str">
        <f>Ringkasan!Q1580</f>
        <v/>
      </c>
      <c r="R1581" s="64" t="str">
        <f>Ringkasan!R1580</f>
        <v/>
      </c>
      <c r="S1581" s="64" t="str">
        <f>Ringkasan!S1580</f>
        <v/>
      </c>
      <c r="T1581" s="64" t="str">
        <f>Ringkasan!T1580</f>
        <v/>
      </c>
      <c r="U1581" s="64">
        <f>Ringkasan!U1580</f>
        <v>4440</v>
      </c>
      <c r="V1581" s="64">
        <f>Ringkasan!V1580</f>
        <v>3.38</v>
      </c>
      <c r="W1581" s="64">
        <f>Ringkasan!W1580</f>
        <v>4440</v>
      </c>
      <c r="X1581" s="64">
        <f>Ringkasan!X1580</f>
        <v>4700</v>
      </c>
      <c r="Y1581" s="64">
        <f>Ringkasan!Y1580</f>
        <v>4440</v>
      </c>
      <c r="Z1581" s="64">
        <f>Ringkasan!Z1580</f>
        <v>58100</v>
      </c>
      <c r="AA1581" s="64" t="str">
        <f>Ringkasan!AA1580</f>
        <v>Agricultural Products</v>
      </c>
      <c r="AB1581" s="64" t="str">
        <f>Ringkasan!AB1580</f>
        <v>Consumer Non-Cyclicals</v>
      </c>
    </row>
    <row r="1582">
      <c r="A1582" s="60" t="str">
        <f>Ringkasan!A1447</f>
        <v>PTBA</v>
      </c>
      <c r="B1582" s="60" t="str">
        <f>Ringkasan!B1447</f>
        <v>Bukit Asam (Persero) Tbk.</v>
      </c>
      <c r="C1582" s="61">
        <f>Ringkasan!C1447</f>
        <v>2620</v>
      </c>
      <c r="D1582" s="60" t="str">
        <f>Ringkasan!D1447</f>
        <v>#N/A</v>
      </c>
      <c r="E1582" s="60" t="str">
        <f>Ringkasan!E1447</f>
        <v>IDXQ30</v>
      </c>
      <c r="F1582" s="60" t="str">
        <f>Ringkasan!F1447</f>
        <v>4 Agustus 2026</v>
      </c>
      <c r="G1582" s="61">
        <f>Ringkasan!G1447</f>
        <v>18</v>
      </c>
      <c r="H1582" s="62">
        <f>Ringkasan!H1447</f>
        <v>9.6</v>
      </c>
      <c r="I1582" s="62">
        <f>Ringkasan!I1447</f>
        <v>1.4</v>
      </c>
      <c r="J1582" s="62">
        <f>Ringkasan!J1447</f>
        <v>14.1</v>
      </c>
      <c r="K1582" s="62">
        <f>Ringkasan!K1447</f>
        <v>7.7</v>
      </c>
      <c r="L1582" s="62">
        <f>Ringkasan!L1447</f>
        <v>0.83</v>
      </c>
      <c r="M1582" s="62">
        <f>Ringkasan!M1447</f>
        <v>33.6</v>
      </c>
      <c r="N1582" s="60" t="str">
        <f>Ringkasan!N1447</f>
        <v/>
      </c>
      <c r="O1582" s="60" t="str">
        <f>Ringkasan!O1447</f>
        <v/>
      </c>
      <c r="P1582" s="60" t="str">
        <f>Ringkasan!P1447</f>
        <v/>
      </c>
      <c r="Q1582" s="60" t="str">
        <f>Ringkasan!Q1447</f>
        <v/>
      </c>
      <c r="R1582" s="60" t="str">
        <f>Ringkasan!R1447</f>
        <v/>
      </c>
      <c r="S1582" s="60" t="str">
        <f>Ringkasan!S1447</f>
        <v/>
      </c>
      <c r="T1582" s="60" t="str">
        <f>Ringkasan!T1447</f>
        <v/>
      </c>
      <c r="U1582" s="60">
        <f>Ringkasan!U1447</f>
        <v>2630</v>
      </c>
      <c r="V1582" s="60">
        <f>Ringkasan!V1447</f>
        <v>-0.38</v>
      </c>
      <c r="W1582" s="60">
        <f>Ringkasan!W1447</f>
        <v>2600</v>
      </c>
      <c r="X1582" s="60">
        <f>Ringkasan!X1447</f>
        <v>2670</v>
      </c>
      <c r="Y1582" s="60">
        <f>Ringkasan!Y1447</f>
        <v>2550</v>
      </c>
      <c r="Z1582" s="60">
        <f>Ringkasan!Z1447</f>
        <v>46138000</v>
      </c>
      <c r="AA1582" s="60" t="str">
        <f>Ringkasan!AA1447</f>
        <v>Coal</v>
      </c>
      <c r="AB1582" s="60" t="str">
        <f>Ringkasan!AB1447</f>
        <v>Energy</v>
      </c>
    </row>
    <row r="1583">
      <c r="A1583" s="60" t="str">
        <f>Ringkasan!A1448</f>
        <v>PTBA</v>
      </c>
      <c r="B1583" s="60" t="str">
        <f>Ringkasan!B1448</f>
        <v>Bukit Asam (Persero) Tbk.</v>
      </c>
      <c r="C1583" s="61">
        <f>Ringkasan!C1448</f>
        <v>2620</v>
      </c>
      <c r="D1583" s="60" t="str">
        <f>Ringkasan!D1448</f>
        <v>#N/A</v>
      </c>
      <c r="E1583" s="60" t="str">
        <f>Ringkasan!E1448</f>
        <v>IDXBUMN20</v>
      </c>
      <c r="F1583" s="60" t="str">
        <f>Ringkasan!F1448</f>
        <v>4 Agustus 2026</v>
      </c>
      <c r="G1583" s="61">
        <f>Ringkasan!G1448</f>
        <v>18</v>
      </c>
      <c r="H1583" s="62">
        <f>Ringkasan!H1448</f>
        <v>9.6</v>
      </c>
      <c r="I1583" s="62">
        <f>Ringkasan!I1448</f>
        <v>1.4</v>
      </c>
      <c r="J1583" s="62">
        <f>Ringkasan!J1448</f>
        <v>14.1</v>
      </c>
      <c r="K1583" s="62">
        <f>Ringkasan!K1448</f>
        <v>7.7</v>
      </c>
      <c r="L1583" s="62">
        <f>Ringkasan!L1448</f>
        <v>0.83</v>
      </c>
      <c r="M1583" s="62">
        <f>Ringkasan!M1448</f>
        <v>33.6</v>
      </c>
      <c r="N1583" s="60" t="str">
        <f>Ringkasan!N1448</f>
        <v/>
      </c>
      <c r="O1583" s="60" t="str">
        <f>Ringkasan!O1448</f>
        <v/>
      </c>
      <c r="P1583" s="60" t="str">
        <f>Ringkasan!P1448</f>
        <v/>
      </c>
      <c r="Q1583" s="60" t="str">
        <f>Ringkasan!Q1448</f>
        <v/>
      </c>
      <c r="R1583" s="60" t="str">
        <f>Ringkasan!R1448</f>
        <v/>
      </c>
      <c r="S1583" s="60" t="str">
        <f>Ringkasan!S1448</f>
        <v/>
      </c>
      <c r="T1583" s="60" t="str">
        <f>Ringkasan!T1448</f>
        <v/>
      </c>
      <c r="U1583" s="60">
        <f>Ringkasan!U1448</f>
        <v>2630</v>
      </c>
      <c r="V1583" s="60">
        <f>Ringkasan!V1448</f>
        <v>-0.38</v>
      </c>
      <c r="W1583" s="60">
        <f>Ringkasan!W1448</f>
        <v>2600</v>
      </c>
      <c r="X1583" s="60">
        <f>Ringkasan!X1448</f>
        <v>2670</v>
      </c>
      <c r="Y1583" s="60">
        <f>Ringkasan!Y1448</f>
        <v>2550</v>
      </c>
      <c r="Z1583" s="60">
        <f>Ringkasan!Z1448</f>
        <v>46138000</v>
      </c>
      <c r="AA1583" s="60" t="str">
        <f>Ringkasan!AA1448</f>
        <v>Coal</v>
      </c>
      <c r="AB1583" s="60" t="str">
        <f>Ringkasan!AB1448</f>
        <v>Energy</v>
      </c>
    </row>
    <row r="1584">
      <c r="A1584" s="60" t="str">
        <f>Ringkasan!A1449</f>
        <v>PTBA</v>
      </c>
      <c r="B1584" s="60" t="str">
        <f>Ringkasan!B1449</f>
        <v>Bukit Asam (Persero) Tbk.</v>
      </c>
      <c r="C1584" s="61">
        <f>Ringkasan!C1449</f>
        <v>2620</v>
      </c>
      <c r="D1584" s="60" t="str">
        <f>Ringkasan!D1449</f>
        <v>#N/A</v>
      </c>
      <c r="E1584" s="60" t="str">
        <f>Ringkasan!E1449</f>
        <v>IDXV30</v>
      </c>
      <c r="F1584" s="60" t="str">
        <f>Ringkasan!F1449</f>
        <v>4 Agustus 2026</v>
      </c>
      <c r="G1584" s="61">
        <f>Ringkasan!G1449</f>
        <v>18</v>
      </c>
      <c r="H1584" s="62">
        <f>Ringkasan!H1449</f>
        <v>9.6</v>
      </c>
      <c r="I1584" s="62">
        <f>Ringkasan!I1449</f>
        <v>1.4</v>
      </c>
      <c r="J1584" s="62">
        <f>Ringkasan!J1449</f>
        <v>14.1</v>
      </c>
      <c r="K1584" s="62">
        <f>Ringkasan!K1449</f>
        <v>7.7</v>
      </c>
      <c r="L1584" s="62">
        <f>Ringkasan!L1449</f>
        <v>0.83</v>
      </c>
      <c r="M1584" s="62">
        <f>Ringkasan!M1449</f>
        <v>33.6</v>
      </c>
      <c r="N1584" s="60" t="str">
        <f>Ringkasan!N1449</f>
        <v/>
      </c>
      <c r="O1584" s="60" t="str">
        <f>Ringkasan!O1449</f>
        <v/>
      </c>
      <c r="P1584" s="60" t="str">
        <f>Ringkasan!P1449</f>
        <v/>
      </c>
      <c r="Q1584" s="60" t="str">
        <f>Ringkasan!Q1449</f>
        <v/>
      </c>
      <c r="R1584" s="60" t="str">
        <f>Ringkasan!R1449</f>
        <v/>
      </c>
      <c r="S1584" s="60" t="str">
        <f>Ringkasan!S1449</f>
        <v/>
      </c>
      <c r="T1584" s="60" t="str">
        <f>Ringkasan!T1449</f>
        <v/>
      </c>
      <c r="U1584" s="60">
        <f>Ringkasan!U1449</f>
        <v>2630</v>
      </c>
      <c r="V1584" s="60">
        <f>Ringkasan!V1449</f>
        <v>-0.38</v>
      </c>
      <c r="W1584" s="60">
        <f>Ringkasan!W1449</f>
        <v>2600</v>
      </c>
      <c r="X1584" s="60">
        <f>Ringkasan!X1449</f>
        <v>2670</v>
      </c>
      <c r="Y1584" s="60">
        <f>Ringkasan!Y1449</f>
        <v>2550</v>
      </c>
      <c r="Z1584" s="60">
        <f>Ringkasan!Z1449</f>
        <v>46138000</v>
      </c>
      <c r="AA1584" s="60" t="str">
        <f>Ringkasan!AA1449</f>
        <v>Coal</v>
      </c>
      <c r="AB1584" s="60" t="str">
        <f>Ringkasan!AB1449</f>
        <v>Energy</v>
      </c>
    </row>
    <row r="1585" hidden="1">
      <c r="A1585" s="64" t="str">
        <f>Ringkasan!A1151</f>
        <v>MASB</v>
      </c>
      <c r="B1585" s="64" t="str">
        <f>Ringkasan!B1151</f>
        <v>Bank Multiarta Sentosa Tbk.</v>
      </c>
      <c r="C1585" s="61">
        <f>Ringkasan!C1151</f>
        <v>3380</v>
      </c>
      <c r="D1585" s="60" t="str">
        <f>Ringkasan!D1151</f>
        <v>#N/A</v>
      </c>
      <c r="E1585" s="60" t="str">
        <f>Ringkasan!E1151</f>
        <v/>
      </c>
      <c r="F1585" s="60" t="str">
        <f>Ringkasan!F1151</f>
        <v/>
      </c>
      <c r="G1585" s="60">
        <f>Ringkasan!G1151</f>
        <v>0</v>
      </c>
      <c r="H1585" s="62">
        <f>Ringkasan!H1151</f>
        <v>22.6</v>
      </c>
      <c r="I1585" s="62">
        <f>Ringkasan!I1151</f>
        <v>1.1</v>
      </c>
      <c r="J1585" s="62">
        <f>Ringkasan!J1151</f>
        <v>5.1</v>
      </c>
      <c r="K1585" s="62">
        <f>Ringkasan!K1151</f>
        <v>0.61</v>
      </c>
      <c r="L1585" s="62">
        <f>Ringkasan!L1151</f>
        <v>7.3</v>
      </c>
      <c r="M1585" s="62">
        <f>Ringkasan!M1151</f>
        <v>41.3</v>
      </c>
      <c r="N1585" s="60">
        <f>Ringkasan!N1151</f>
        <v>3.45</v>
      </c>
      <c r="O1585" s="60">
        <f>Ringkasan!O1151</f>
        <v>28.12</v>
      </c>
      <c r="P1585" s="60">
        <f>Ringkasan!P1151</f>
        <v>81.15</v>
      </c>
      <c r="Q1585" s="60">
        <f>Ringkasan!Q1151</f>
        <v>1.98</v>
      </c>
      <c r="R1585" s="60">
        <f>Ringkasan!R1151</f>
        <v>83.12</v>
      </c>
      <c r="S1585" s="60">
        <f>Ringkasan!S1151</f>
        <v>54.15</v>
      </c>
      <c r="T1585" s="60">
        <f>Ringkasan!T1151</f>
        <v>6.12</v>
      </c>
      <c r="U1585" s="60">
        <f>Ringkasan!U1151</f>
        <v>3350</v>
      </c>
      <c r="V1585" s="60">
        <f>Ringkasan!V1151</f>
        <v>0.9</v>
      </c>
      <c r="W1585" s="60">
        <f>Ringkasan!W1151</f>
        <v>3450</v>
      </c>
      <c r="X1585" s="60">
        <f>Ringkasan!X1151</f>
        <v>3450</v>
      </c>
      <c r="Y1585" s="60">
        <f>Ringkasan!Y1151</f>
        <v>3370</v>
      </c>
      <c r="Z1585" s="60">
        <f>Ringkasan!Z1151</f>
        <v>9100</v>
      </c>
      <c r="AA1585" s="60" t="str">
        <f>Ringkasan!AA1151</f>
        <v>Banks</v>
      </c>
      <c r="AB1585" s="64" t="str">
        <f>Ringkasan!AB1151</f>
        <v>Financials</v>
      </c>
    </row>
    <row r="1586" hidden="1">
      <c r="A1586" s="64" t="str">
        <f>Ringkasan!A1152</f>
        <v>MAXI</v>
      </c>
      <c r="B1586" s="64" t="str">
        <f>Ringkasan!B1152</f>
        <v>PT Maxindo Karya Anugerah Tbk</v>
      </c>
      <c r="C1586" s="61">
        <f>Ringkasan!C1152</f>
        <v>50</v>
      </c>
      <c r="D1586" s="60" t="str">
        <f>Ringkasan!D1152</f>
        <v>#N/A</v>
      </c>
      <c r="E1586" s="60" t="str">
        <f>Ringkasan!E1152</f>
        <v/>
      </c>
      <c r="F1586" s="60" t="str">
        <f>Ringkasan!F1152</f>
        <v/>
      </c>
      <c r="G1586" s="60">
        <f>Ringkasan!G1152</f>
        <v>0</v>
      </c>
      <c r="H1586" s="62">
        <f>Ringkasan!H1152</f>
        <v>-49.6</v>
      </c>
      <c r="I1586" s="62">
        <f>Ringkasan!I1152</f>
        <v>3.5</v>
      </c>
      <c r="J1586" s="62">
        <f>Ringkasan!J1152</f>
        <v>-7</v>
      </c>
      <c r="K1586" s="62">
        <f>Ringkasan!K1152</f>
        <v>-3.3</v>
      </c>
      <c r="L1586" s="62">
        <f>Ringkasan!L1152</f>
        <v>1.2</v>
      </c>
      <c r="M1586" s="62">
        <f>Ringkasan!M1152</f>
        <v>-26.5</v>
      </c>
      <c r="N1586" s="60" t="str">
        <f>Ringkasan!N1152</f>
        <v/>
      </c>
      <c r="O1586" s="60" t="str">
        <f>Ringkasan!O1152</f>
        <v/>
      </c>
      <c r="P1586" s="60" t="str">
        <f>Ringkasan!P1152</f>
        <v/>
      </c>
      <c r="Q1586" s="60" t="str">
        <f>Ringkasan!Q1152</f>
        <v/>
      </c>
      <c r="R1586" s="60" t="str">
        <f>Ringkasan!R1152</f>
        <v/>
      </c>
      <c r="S1586" s="60" t="str">
        <f>Ringkasan!S1152</f>
        <v/>
      </c>
      <c r="T1586" s="60" t="str">
        <f>Ringkasan!T1152</f>
        <v/>
      </c>
      <c r="U1586" s="60">
        <f>Ringkasan!U1152</f>
        <v>9</v>
      </c>
      <c r="V1586" s="60">
        <f>Ringkasan!V1152</f>
        <v>-0.33</v>
      </c>
      <c r="W1586" s="60">
        <f>Ringkasan!W1152</f>
        <v>9.1</v>
      </c>
      <c r="X1586" s="60">
        <f>Ringkasan!X1152</f>
        <v>9.1</v>
      </c>
      <c r="Y1586" s="60">
        <f>Ringkasan!Y1152</f>
        <v>8.9</v>
      </c>
      <c r="Z1586" s="60">
        <f>Ringkasan!Z1152</f>
        <v>15140</v>
      </c>
      <c r="AA1586" s="60" t="str">
        <f>Ringkasan!AA1152</f>
        <v>Processed Foods</v>
      </c>
      <c r="AB1586" s="64" t="str">
        <f>Ringkasan!AB1152</f>
        <v>Consumer Non-Cyclicals</v>
      </c>
    </row>
    <row r="1587" hidden="1">
      <c r="A1587" s="64" t="str">
        <f>Ringkasan!A1153</f>
        <v>MAYA</v>
      </c>
      <c r="B1587" s="64" t="str">
        <f>Ringkasan!B1153</f>
        <v>PT Bank Mayapada Internasional Tbk</v>
      </c>
      <c r="C1587" s="61">
        <f>Ringkasan!C1153</f>
        <v>186</v>
      </c>
      <c r="D1587" s="60" t="str">
        <f>Ringkasan!D1153</f>
        <v>#N/A</v>
      </c>
      <c r="E1587" s="60" t="str">
        <f>Ringkasan!E1153</f>
        <v/>
      </c>
      <c r="F1587" s="60" t="str">
        <f>Ringkasan!F1153</f>
        <v/>
      </c>
      <c r="G1587" s="61">
        <f>Ringkasan!G1153</f>
        <v>0</v>
      </c>
      <c r="H1587" s="62">
        <f>Ringkasan!H1153</f>
        <v>87.6</v>
      </c>
      <c r="I1587" s="62">
        <f>Ringkasan!I1153</f>
        <v>0.26</v>
      </c>
      <c r="J1587" s="62">
        <f>Ringkasan!J1153</f>
        <v>0.29</v>
      </c>
      <c r="K1587" s="62">
        <f>Ringkasan!K1153</f>
        <v>0.03</v>
      </c>
      <c r="L1587" s="62">
        <f>Ringkasan!L1153</f>
        <v>7.9</v>
      </c>
      <c r="M1587" s="62">
        <f>Ringkasan!M1153</f>
        <v>1.8</v>
      </c>
      <c r="N1587" s="60">
        <f>Ringkasan!N1153</f>
        <v>3.67</v>
      </c>
      <c r="O1587" s="60">
        <f>Ringkasan!O1153</f>
        <v>10.1</v>
      </c>
      <c r="P1587" s="60">
        <f>Ringkasan!P1153</f>
        <v>77.93</v>
      </c>
      <c r="Q1587" s="60">
        <f>Ringkasan!Q1153</f>
        <v>3.47</v>
      </c>
      <c r="R1587" s="60">
        <f>Ringkasan!R1153</f>
        <v>99.15</v>
      </c>
      <c r="S1587" s="60">
        <f>Ringkasan!S1153</f>
        <v>85.12</v>
      </c>
      <c r="T1587" s="60">
        <f>Ringkasan!T1153</f>
        <v>11.4</v>
      </c>
      <c r="U1587" s="60">
        <f>Ringkasan!U1153</f>
        <v>180</v>
      </c>
      <c r="V1587" s="60" t="str">
        <f>Ringkasan!V1153</f>
        <v/>
      </c>
      <c r="W1587" s="60">
        <f>Ringkasan!W1153</f>
        <v>181</v>
      </c>
      <c r="X1587" s="60">
        <f>Ringkasan!X1153</f>
        <v>193</v>
      </c>
      <c r="Y1587" s="60">
        <f>Ringkasan!Y1153</f>
        <v>181</v>
      </c>
      <c r="Z1587" s="60">
        <f>Ringkasan!Z1153</f>
        <v>2247500</v>
      </c>
      <c r="AA1587" s="60" t="str">
        <f>Ringkasan!AA1153</f>
        <v>Banks</v>
      </c>
      <c r="AB1587" s="64" t="str">
        <f>Ringkasan!AB1153</f>
        <v>Financials</v>
      </c>
    </row>
    <row r="1588" hidden="1">
      <c r="A1588" s="64" t="str">
        <f>Ringkasan!A1154</f>
        <v>MBAP</v>
      </c>
      <c r="B1588" s="64" t="str">
        <f>Ringkasan!B1154</f>
        <v>Mitrabara Adiperdana Tbk.</v>
      </c>
      <c r="C1588" s="61">
        <f>Ringkasan!C1154</f>
        <v>1450</v>
      </c>
      <c r="D1588" s="60" t="str">
        <f>Ringkasan!D1154</f>
        <v>#N/A</v>
      </c>
      <c r="E1588" s="60" t="str">
        <f>Ringkasan!E1154</f>
        <v/>
      </c>
      <c r="F1588" s="60" t="str">
        <f>Ringkasan!F1154</f>
        <v/>
      </c>
      <c r="G1588" s="60">
        <f>Ringkasan!G1154</f>
        <v>0</v>
      </c>
      <c r="H1588" s="62">
        <f>Ringkasan!H1154</f>
        <v>63.5</v>
      </c>
      <c r="I1588" s="62">
        <f>Ringkasan!I1154</f>
        <v>0.59</v>
      </c>
      <c r="J1588" s="62">
        <f>Ringkasan!J1154</f>
        <v>0.92</v>
      </c>
      <c r="K1588" s="62">
        <f>Ringkasan!K1154</f>
        <v>0.67</v>
      </c>
      <c r="L1588" s="62">
        <f>Ringkasan!L1154</f>
        <v>0.37</v>
      </c>
      <c r="M1588" s="62">
        <f>Ringkasan!M1154</f>
        <v>3.7</v>
      </c>
      <c r="N1588" s="60" t="str">
        <f>Ringkasan!N1154</f>
        <v/>
      </c>
      <c r="O1588" s="60" t="str">
        <f>Ringkasan!O1154</f>
        <v/>
      </c>
      <c r="P1588" s="60" t="str">
        <f>Ringkasan!P1154</f>
        <v/>
      </c>
      <c r="Q1588" s="60" t="str">
        <f>Ringkasan!Q1154</f>
        <v/>
      </c>
      <c r="R1588" s="60" t="str">
        <f>Ringkasan!R1154</f>
        <v/>
      </c>
      <c r="S1588" s="60" t="str">
        <f>Ringkasan!S1154</f>
        <v/>
      </c>
      <c r="T1588" s="60" t="str">
        <f>Ringkasan!T1154</f>
        <v/>
      </c>
      <c r="U1588" s="60">
        <f>Ringkasan!U1154</f>
        <v>10.3</v>
      </c>
      <c r="V1588" s="60">
        <f>Ringkasan!V1154</f>
        <v>0.58</v>
      </c>
      <c r="W1588" s="60">
        <f>Ringkasan!W1154</f>
        <v>10.36</v>
      </c>
      <c r="X1588" s="60">
        <f>Ringkasan!X1154</f>
        <v>10.47</v>
      </c>
      <c r="Y1588" s="60">
        <f>Ringkasan!Y1154</f>
        <v>10.36</v>
      </c>
      <c r="Z1588" s="60">
        <f>Ringkasan!Z1154</f>
        <v>7100</v>
      </c>
      <c r="AA1588" s="60" t="str">
        <f>Ringkasan!AA1154</f>
        <v>Coal</v>
      </c>
      <c r="AB1588" s="64" t="str">
        <f>Ringkasan!AB1154</f>
        <v>Energy</v>
      </c>
    </row>
    <row r="1589" hidden="1">
      <c r="A1589" s="64" t="str">
        <f>Ringkasan!A1155</f>
        <v>MBMA</v>
      </c>
      <c r="B1589" s="64" t="str">
        <f>Ringkasan!B1155</f>
        <v>PT Merdeka Battery Materials Tbk</v>
      </c>
      <c r="C1589" s="61">
        <f>Ringkasan!C1155</f>
        <v>482</v>
      </c>
      <c r="D1589" s="60" t="str">
        <f>Ringkasan!D1155</f>
        <v>#N/A</v>
      </c>
      <c r="E1589" s="60" t="str">
        <f>Ringkasan!E1155</f>
        <v>ESGSKEHATI</v>
      </c>
      <c r="F1589" s="63">
        <f>Ringkasan!F1155</f>
        <v>46356</v>
      </c>
      <c r="G1589" s="61">
        <f>Ringkasan!G1155</f>
        <v>10</v>
      </c>
      <c r="H1589" s="62">
        <f>Ringkasan!H1155</f>
        <v>100</v>
      </c>
      <c r="I1589" s="62">
        <f>Ringkasan!I1155</f>
        <v>1.3</v>
      </c>
      <c r="J1589" s="62">
        <f>Ringkasan!J1155</f>
        <v>1.3</v>
      </c>
      <c r="K1589" s="62">
        <f>Ringkasan!K1155</f>
        <v>0.79</v>
      </c>
      <c r="L1589" s="62">
        <f>Ringkasan!L1155</f>
        <v>0.59</v>
      </c>
      <c r="M1589" s="62">
        <f>Ringkasan!M1155</f>
        <v>2.1</v>
      </c>
      <c r="N1589" s="60" t="str">
        <f>Ringkasan!N1155</f>
        <v/>
      </c>
      <c r="O1589" s="60" t="str">
        <f>Ringkasan!O1155</f>
        <v/>
      </c>
      <c r="P1589" s="60" t="str">
        <f>Ringkasan!P1155</f>
        <v/>
      </c>
      <c r="Q1589" s="60" t="str">
        <f>Ringkasan!Q1155</f>
        <v/>
      </c>
      <c r="R1589" s="60" t="str">
        <f>Ringkasan!R1155</f>
        <v/>
      </c>
      <c r="S1589" s="60" t="str">
        <f>Ringkasan!S1155</f>
        <v/>
      </c>
      <c r="T1589" s="60" t="str">
        <f>Ringkasan!T1155</f>
        <v/>
      </c>
      <c r="U1589" s="60">
        <f>Ringkasan!U1155</f>
        <v>448</v>
      </c>
      <c r="V1589" s="60">
        <f>Ringkasan!V1155</f>
        <v>7.59</v>
      </c>
      <c r="W1589" s="60">
        <f>Ringkasan!W1155</f>
        <v>452</v>
      </c>
      <c r="X1589" s="60">
        <f>Ringkasan!X1155</f>
        <v>486</v>
      </c>
      <c r="Y1589" s="60">
        <f>Ringkasan!Y1155</f>
        <v>452</v>
      </c>
      <c r="Z1589" s="60">
        <f>Ringkasan!Z1155</f>
        <v>202671900</v>
      </c>
      <c r="AA1589" s="60" t="str">
        <f>Ringkasan!AA1155</f>
        <v>Metals &amp; Minerals</v>
      </c>
      <c r="AB1589" s="64" t="str">
        <f>Ringkasan!AB1155</f>
        <v>Basic Materials</v>
      </c>
    </row>
    <row r="1590" hidden="1">
      <c r="A1590" s="64" t="str">
        <f>Ringkasan!A1156</f>
        <v>MBMA</v>
      </c>
      <c r="B1590" s="64" t="str">
        <f>Ringkasan!B1156</f>
        <v>PT Merdeka Battery Materials Tbk</v>
      </c>
      <c r="C1590" s="61">
        <f>Ringkasan!C1156</f>
        <v>482</v>
      </c>
      <c r="D1590" s="60" t="str">
        <f>Ringkasan!D1156</f>
        <v>#N/A</v>
      </c>
      <c r="E1590" s="60" t="str">
        <f>Ringkasan!E1156</f>
        <v>Pefindo - iGrade</v>
      </c>
      <c r="F1590" s="60" t="str">
        <f>Ringkasan!F1156</f>
        <v>30 Juni 2026</v>
      </c>
      <c r="G1590" s="60">
        <f>Ringkasan!G1156</f>
        <v>10</v>
      </c>
      <c r="H1590" s="62">
        <f>Ringkasan!H1156</f>
        <v>100</v>
      </c>
      <c r="I1590" s="62">
        <f>Ringkasan!I1156</f>
        <v>1.3</v>
      </c>
      <c r="J1590" s="62">
        <f>Ringkasan!J1156</f>
        <v>1.3</v>
      </c>
      <c r="K1590" s="62">
        <f>Ringkasan!K1156</f>
        <v>0.79</v>
      </c>
      <c r="L1590" s="62">
        <f>Ringkasan!L1156</f>
        <v>0.59</v>
      </c>
      <c r="M1590" s="62">
        <f>Ringkasan!M1156</f>
        <v>2.1</v>
      </c>
      <c r="N1590" s="60" t="str">
        <f>Ringkasan!N1156</f>
        <v/>
      </c>
      <c r="O1590" s="60" t="str">
        <f>Ringkasan!O1156</f>
        <v/>
      </c>
      <c r="P1590" s="60" t="str">
        <f>Ringkasan!P1156</f>
        <v/>
      </c>
      <c r="Q1590" s="60" t="str">
        <f>Ringkasan!Q1156</f>
        <v/>
      </c>
      <c r="R1590" s="60" t="str">
        <f>Ringkasan!R1156</f>
        <v/>
      </c>
      <c r="S1590" s="60" t="str">
        <f>Ringkasan!S1156</f>
        <v/>
      </c>
      <c r="T1590" s="60" t="str">
        <f>Ringkasan!T1156</f>
        <v/>
      </c>
      <c r="U1590" s="60">
        <f>Ringkasan!U1156</f>
        <v>448</v>
      </c>
      <c r="V1590" s="60">
        <f>Ringkasan!V1156</f>
        <v>7.59</v>
      </c>
      <c r="W1590" s="60">
        <f>Ringkasan!W1156</f>
        <v>452</v>
      </c>
      <c r="X1590" s="60">
        <f>Ringkasan!X1156</f>
        <v>486</v>
      </c>
      <c r="Y1590" s="60">
        <f>Ringkasan!Y1156</f>
        <v>452</v>
      </c>
      <c r="Z1590" s="60">
        <f>Ringkasan!Z1156</f>
        <v>202671900</v>
      </c>
      <c r="AA1590" s="60" t="str">
        <f>Ringkasan!AA1156</f>
        <v>Metals &amp; Minerals</v>
      </c>
      <c r="AB1590" s="64" t="str">
        <f>Ringkasan!AB1156</f>
        <v>Basic Materials</v>
      </c>
    </row>
    <row r="1591" hidden="1">
      <c r="A1591" s="64" t="str">
        <f>Ringkasan!A1157</f>
        <v>MBMA</v>
      </c>
      <c r="B1591" s="64" t="str">
        <f>Ringkasan!B1157</f>
        <v>PT Merdeka Battery Materials Tbk</v>
      </c>
      <c r="C1591" s="61">
        <f>Ringkasan!C1157</f>
        <v>482</v>
      </c>
      <c r="D1591" s="60" t="str">
        <f>Ringkasan!D1157</f>
        <v>#N/A</v>
      </c>
      <c r="E1591" s="60" t="str">
        <f>Ringkasan!E1157</f>
        <v>IDX80</v>
      </c>
      <c r="F1591" s="60" t="str">
        <f>Ringkasan!F1157</f>
        <v>31 Juli 2026</v>
      </c>
      <c r="G1591" s="60">
        <f>Ringkasan!G1157</f>
        <v>10</v>
      </c>
      <c r="H1591" s="62">
        <f>Ringkasan!H1157</f>
        <v>100</v>
      </c>
      <c r="I1591" s="62">
        <f>Ringkasan!I1157</f>
        <v>1.3</v>
      </c>
      <c r="J1591" s="62">
        <f>Ringkasan!J1157</f>
        <v>1.3</v>
      </c>
      <c r="K1591" s="62">
        <f>Ringkasan!K1157</f>
        <v>0.79</v>
      </c>
      <c r="L1591" s="62">
        <f>Ringkasan!L1157</f>
        <v>0.59</v>
      </c>
      <c r="M1591" s="62">
        <f>Ringkasan!M1157</f>
        <v>2.1</v>
      </c>
      <c r="N1591" s="60" t="str">
        <f>Ringkasan!N1157</f>
        <v/>
      </c>
      <c r="O1591" s="60" t="str">
        <f>Ringkasan!O1157</f>
        <v/>
      </c>
      <c r="P1591" s="60" t="str">
        <f>Ringkasan!P1157</f>
        <v/>
      </c>
      <c r="Q1591" s="60" t="str">
        <f>Ringkasan!Q1157</f>
        <v/>
      </c>
      <c r="R1591" s="60" t="str">
        <f>Ringkasan!R1157</f>
        <v/>
      </c>
      <c r="S1591" s="60" t="str">
        <f>Ringkasan!S1157</f>
        <v/>
      </c>
      <c r="T1591" s="60" t="str">
        <f>Ringkasan!T1157</f>
        <v/>
      </c>
      <c r="U1591" s="60">
        <f>Ringkasan!U1157</f>
        <v>448</v>
      </c>
      <c r="V1591" s="60">
        <f>Ringkasan!V1157</f>
        <v>7.59</v>
      </c>
      <c r="W1591" s="60">
        <f>Ringkasan!W1157</f>
        <v>452</v>
      </c>
      <c r="X1591" s="60">
        <f>Ringkasan!X1157</f>
        <v>486</v>
      </c>
      <c r="Y1591" s="60">
        <f>Ringkasan!Y1157</f>
        <v>452</v>
      </c>
      <c r="Z1591" s="60">
        <f>Ringkasan!Z1157</f>
        <v>202671900</v>
      </c>
      <c r="AA1591" s="60" t="str">
        <f>Ringkasan!AA1157</f>
        <v>Metals &amp; Minerals</v>
      </c>
      <c r="AB1591" s="64" t="str">
        <f>Ringkasan!AB1157</f>
        <v>Basic Materials</v>
      </c>
    </row>
    <row r="1592">
      <c r="A1592" s="60" t="str">
        <f>Ringkasan!A1450</f>
        <v>PTBA</v>
      </c>
      <c r="B1592" s="60" t="str">
        <f>Ringkasan!B1450</f>
        <v>Bukit Asam (Persero) Tbk.</v>
      </c>
      <c r="C1592" s="61">
        <f>Ringkasan!C1450</f>
        <v>2620</v>
      </c>
      <c r="D1592" s="60" t="str">
        <f>Ringkasan!D1450</f>
        <v>#N/A</v>
      </c>
      <c r="E1592" s="60" t="str">
        <f>Ringkasan!E1450</f>
        <v>IDXSMC-LIQ</v>
      </c>
      <c r="F1592" s="60" t="str">
        <f>Ringkasan!F1450</f>
        <v>4 Agustus 2026</v>
      </c>
      <c r="G1592" s="61">
        <f>Ringkasan!G1450</f>
        <v>18</v>
      </c>
      <c r="H1592" s="62">
        <f>Ringkasan!H1450</f>
        <v>9.6</v>
      </c>
      <c r="I1592" s="62">
        <f>Ringkasan!I1450</f>
        <v>1.4</v>
      </c>
      <c r="J1592" s="62">
        <f>Ringkasan!J1450</f>
        <v>14.1</v>
      </c>
      <c r="K1592" s="62">
        <f>Ringkasan!K1450</f>
        <v>7.7</v>
      </c>
      <c r="L1592" s="62">
        <f>Ringkasan!L1450</f>
        <v>0.83</v>
      </c>
      <c r="M1592" s="62">
        <f>Ringkasan!M1450</f>
        <v>33.6</v>
      </c>
      <c r="N1592" s="60" t="str">
        <f>Ringkasan!N1450</f>
        <v/>
      </c>
      <c r="O1592" s="60" t="str">
        <f>Ringkasan!O1450</f>
        <v/>
      </c>
      <c r="P1592" s="60" t="str">
        <f>Ringkasan!P1450</f>
        <v/>
      </c>
      <c r="Q1592" s="60" t="str">
        <f>Ringkasan!Q1450</f>
        <v/>
      </c>
      <c r="R1592" s="60" t="str">
        <f>Ringkasan!R1450</f>
        <v/>
      </c>
      <c r="S1592" s="60" t="str">
        <f>Ringkasan!S1450</f>
        <v/>
      </c>
      <c r="T1592" s="60" t="str">
        <f>Ringkasan!T1450</f>
        <v/>
      </c>
      <c r="U1592" s="60">
        <f>Ringkasan!U1450</f>
        <v>2630</v>
      </c>
      <c r="V1592" s="60">
        <f>Ringkasan!V1450</f>
        <v>-0.38</v>
      </c>
      <c r="W1592" s="60">
        <f>Ringkasan!W1450</f>
        <v>2600</v>
      </c>
      <c r="X1592" s="60">
        <f>Ringkasan!X1450</f>
        <v>2670</v>
      </c>
      <c r="Y1592" s="60">
        <f>Ringkasan!Y1450</f>
        <v>2550</v>
      </c>
      <c r="Z1592" s="60">
        <f>Ringkasan!Z1450</f>
        <v>46138000</v>
      </c>
      <c r="AA1592" s="60" t="str">
        <f>Ringkasan!AA1450</f>
        <v>Coal</v>
      </c>
      <c r="AB1592" s="60" t="str">
        <f>Ringkasan!AB1450</f>
        <v>Energy</v>
      </c>
    </row>
    <row r="1593">
      <c r="A1593" s="60" t="str">
        <f>Ringkasan!A1451</f>
        <v>PTBA</v>
      </c>
      <c r="B1593" s="60" t="str">
        <f>Ringkasan!B1451</f>
        <v>Bukit Asam (Persero) Tbk.</v>
      </c>
      <c r="C1593" s="61">
        <f>Ringkasan!C1451</f>
        <v>2620</v>
      </c>
      <c r="D1593" s="60" t="str">
        <f>Ringkasan!D1451</f>
        <v>#N/A</v>
      </c>
      <c r="E1593" s="60" t="str">
        <f>Ringkasan!E1451</f>
        <v>FTSE Large Cap</v>
      </c>
      <c r="F1593" s="60" t="str">
        <f>Ringkasan!F1451</f>
        <v>Juni 2026</v>
      </c>
      <c r="G1593" s="60">
        <f>Ringkasan!G1451</f>
        <v>18</v>
      </c>
      <c r="H1593" s="62">
        <f>Ringkasan!H1451</f>
        <v>9.6</v>
      </c>
      <c r="I1593" s="62">
        <f>Ringkasan!I1451</f>
        <v>1.4</v>
      </c>
      <c r="J1593" s="62">
        <f>Ringkasan!J1451</f>
        <v>14.1</v>
      </c>
      <c r="K1593" s="62">
        <f>Ringkasan!K1451</f>
        <v>7.7</v>
      </c>
      <c r="L1593" s="62">
        <f>Ringkasan!L1451</f>
        <v>0.83</v>
      </c>
      <c r="M1593" s="62">
        <f>Ringkasan!M1451</f>
        <v>33.6</v>
      </c>
      <c r="N1593" s="60" t="str">
        <f>Ringkasan!N1451</f>
        <v/>
      </c>
      <c r="O1593" s="60" t="str">
        <f>Ringkasan!O1451</f>
        <v/>
      </c>
      <c r="P1593" s="60" t="str">
        <f>Ringkasan!P1451</f>
        <v/>
      </c>
      <c r="Q1593" s="60" t="str">
        <f>Ringkasan!Q1451</f>
        <v/>
      </c>
      <c r="R1593" s="60" t="str">
        <f>Ringkasan!R1451</f>
        <v/>
      </c>
      <c r="S1593" s="60" t="str">
        <f>Ringkasan!S1451</f>
        <v/>
      </c>
      <c r="T1593" s="60" t="str">
        <f>Ringkasan!T1451</f>
        <v/>
      </c>
      <c r="U1593" s="60">
        <f>Ringkasan!U1451</f>
        <v>2630</v>
      </c>
      <c r="V1593" s="60">
        <f>Ringkasan!V1451</f>
        <v>-0.38</v>
      </c>
      <c r="W1593" s="60">
        <f>Ringkasan!W1451</f>
        <v>2600</v>
      </c>
      <c r="X1593" s="60">
        <f>Ringkasan!X1451</f>
        <v>2670</v>
      </c>
      <c r="Y1593" s="60">
        <f>Ringkasan!Y1451</f>
        <v>2550</v>
      </c>
      <c r="Z1593" s="60">
        <f>Ringkasan!Z1451</f>
        <v>46138000</v>
      </c>
      <c r="AA1593" s="60" t="str">
        <f>Ringkasan!AA1451</f>
        <v>Coal</v>
      </c>
      <c r="AB1593" s="60" t="str">
        <f>Ringkasan!AB1451</f>
        <v>Energy</v>
      </c>
    </row>
    <row r="1594" hidden="1">
      <c r="A1594" s="64" t="str">
        <f>Ringkasan!A1575</f>
        <v>SKBM</v>
      </c>
      <c r="B1594" s="64" t="str">
        <f>Ringkasan!B1575</f>
        <v>Sekar Bumi Tbk.</v>
      </c>
      <c r="C1594" s="61">
        <f>Ringkasan!C1575</f>
        <v>530</v>
      </c>
      <c r="D1594" s="60" t="str">
        <f>Ringkasan!D1575</f>
        <v>#N/A</v>
      </c>
      <c r="E1594" s="60" t="str">
        <f>Ringkasan!E1575</f>
        <v/>
      </c>
      <c r="F1594" s="60" t="str">
        <f>Ringkasan!F1575</f>
        <v/>
      </c>
      <c r="G1594" s="60">
        <f>Ringkasan!G1575</f>
        <v>0</v>
      </c>
      <c r="H1594" s="62">
        <f>Ringkasan!H1575</f>
        <v>7.7</v>
      </c>
      <c r="I1594" s="62">
        <f>Ringkasan!I1575</f>
        <v>0.8</v>
      </c>
      <c r="J1594" s="62">
        <f>Ringkasan!J1575</f>
        <v>10.5</v>
      </c>
      <c r="K1594" s="62">
        <f>Ringkasan!K1575</f>
        <v>5.4</v>
      </c>
      <c r="L1594" s="62">
        <f>Ringkasan!L1575</f>
        <v>0.95</v>
      </c>
      <c r="M1594" s="62">
        <f>Ringkasan!M1575</f>
        <v>11.6</v>
      </c>
      <c r="N1594" s="60" t="str">
        <f>Ringkasan!N1575</f>
        <v/>
      </c>
      <c r="O1594" s="60" t="str">
        <f>Ringkasan!O1575</f>
        <v/>
      </c>
      <c r="P1594" s="60" t="str">
        <f>Ringkasan!P1575</f>
        <v/>
      </c>
      <c r="Q1594" s="60" t="str">
        <f>Ringkasan!Q1575</f>
        <v/>
      </c>
      <c r="R1594" s="60" t="str">
        <f>Ringkasan!R1575</f>
        <v/>
      </c>
      <c r="S1594" s="60" t="str">
        <f>Ringkasan!S1575</f>
        <v/>
      </c>
      <c r="T1594" s="60" t="str">
        <f>Ringkasan!T1575</f>
        <v/>
      </c>
      <c r="U1594" s="60">
        <f>Ringkasan!U1575</f>
        <v>530</v>
      </c>
      <c r="V1594" s="60">
        <f>Ringkasan!V1575</f>
        <v>0</v>
      </c>
      <c r="W1594" s="60" t="str">
        <f>Ringkasan!W1575</f>
        <v/>
      </c>
      <c r="X1594" s="60">
        <f>Ringkasan!X1575</f>
        <v>545</v>
      </c>
      <c r="Y1594" s="60">
        <f>Ringkasan!Y1575</f>
        <v>520</v>
      </c>
      <c r="Z1594" s="60">
        <f>Ringkasan!Z1575</f>
        <v>176500</v>
      </c>
      <c r="AA1594" s="60" t="str">
        <f>Ringkasan!AA1575</f>
        <v>Processed Foods</v>
      </c>
      <c r="AB1594" s="64" t="str">
        <f>Ringkasan!AB1575</f>
        <v>Consumer Non-Cyclicals</v>
      </c>
    </row>
    <row r="1595" hidden="1">
      <c r="A1595" s="64" t="str">
        <f>Ringkasan!A1594</f>
        <v>SMGR</v>
      </c>
      <c r="B1595" s="64" t="str">
        <f>Ringkasan!B1594</f>
        <v>Semen Indonesia (Persero) Tbk.</v>
      </c>
      <c r="C1595" s="65">
        <f>Ringkasan!C1594</f>
        <v>1530</v>
      </c>
      <c r="D1595" s="64" t="str">
        <f>Ringkasan!D1594</f>
        <v>#N/A</v>
      </c>
      <c r="E1595" s="64" t="str">
        <f>Ringkasan!E1594</f>
        <v>ECONOMIC30</v>
      </c>
      <c r="F1595" s="64" t="str">
        <f>Ringkasan!F1594</f>
        <v>31 Agustus 2026</v>
      </c>
      <c r="G1595" s="64">
        <f>Ringkasan!G1594</f>
        <v>17</v>
      </c>
      <c r="H1595" s="19">
        <f>Ringkasan!H1594</f>
        <v>49.9</v>
      </c>
      <c r="I1595" s="19">
        <f>Ringkasan!I1594</f>
        <v>0.24</v>
      </c>
      <c r="J1595" s="19">
        <f>Ringkasan!J1594</f>
        <v>0.48</v>
      </c>
      <c r="K1595" s="19">
        <f>Ringkasan!K1594</f>
        <v>0.3</v>
      </c>
      <c r="L1595" s="19">
        <f>Ringkasan!L1594</f>
        <v>0.58</v>
      </c>
      <c r="M1595" s="19">
        <f>Ringkasan!M1594</f>
        <v>2.8</v>
      </c>
      <c r="N1595" s="64" t="str">
        <f>Ringkasan!N1594</f>
        <v/>
      </c>
      <c r="O1595" s="64" t="str">
        <f>Ringkasan!O1594</f>
        <v/>
      </c>
      <c r="P1595" s="64" t="str">
        <f>Ringkasan!P1594</f>
        <v/>
      </c>
      <c r="Q1595" s="64" t="str">
        <f>Ringkasan!Q1594</f>
        <v/>
      </c>
      <c r="R1595" s="64" t="str">
        <f>Ringkasan!R1594</f>
        <v/>
      </c>
      <c r="S1595" s="64" t="str">
        <f>Ringkasan!S1594</f>
        <v/>
      </c>
      <c r="T1595" s="64" t="str">
        <f>Ringkasan!T1594</f>
        <v/>
      </c>
      <c r="U1595" s="64">
        <f>Ringkasan!U1594</f>
        <v>1550</v>
      </c>
      <c r="V1595" s="64">
        <f>Ringkasan!V1594</f>
        <v>-1.29</v>
      </c>
      <c r="W1595" s="64">
        <f>Ringkasan!W1594</f>
        <v>1550</v>
      </c>
      <c r="X1595" s="64">
        <f>Ringkasan!X1594</f>
        <v>1585</v>
      </c>
      <c r="Y1595" s="64">
        <f>Ringkasan!Y1594</f>
        <v>1525</v>
      </c>
      <c r="Z1595" s="64">
        <f>Ringkasan!Z1594</f>
        <v>15467300</v>
      </c>
      <c r="AA1595" s="64" t="str">
        <f>Ringkasan!AA1594</f>
        <v>Construction Materials</v>
      </c>
      <c r="AB1595" s="64" t="str">
        <f>Ringkasan!AB1594</f>
        <v>Basic Materials</v>
      </c>
    </row>
    <row r="1596" hidden="1">
      <c r="A1596" s="64" t="str">
        <f>Ringkasan!A1595</f>
        <v>SMGR</v>
      </c>
      <c r="B1596" s="64" t="str">
        <f>Ringkasan!B1595</f>
        <v>Semen Indonesia (Persero) Tbk.</v>
      </c>
      <c r="C1596" s="65">
        <f>Ringkasan!C1595</f>
        <v>1530</v>
      </c>
      <c r="D1596" s="64" t="str">
        <f>Ringkasan!D1595</f>
        <v>#N/A</v>
      </c>
      <c r="E1596" s="64" t="str">
        <f>Ringkasan!E1595</f>
        <v>IDX80</v>
      </c>
      <c r="F1596" s="64" t="str">
        <f>Ringkasan!F1595</f>
        <v>31 Juli 2026</v>
      </c>
      <c r="G1596" s="64">
        <f>Ringkasan!G1595</f>
        <v>17</v>
      </c>
      <c r="H1596" s="19">
        <f>Ringkasan!H1595</f>
        <v>49.9</v>
      </c>
      <c r="I1596" s="19">
        <f>Ringkasan!I1595</f>
        <v>0.24</v>
      </c>
      <c r="J1596" s="19">
        <f>Ringkasan!J1595</f>
        <v>0.48</v>
      </c>
      <c r="K1596" s="19">
        <f>Ringkasan!K1595</f>
        <v>0.3</v>
      </c>
      <c r="L1596" s="19">
        <f>Ringkasan!L1595</f>
        <v>0.58</v>
      </c>
      <c r="M1596" s="19">
        <f>Ringkasan!M1595</f>
        <v>2.8</v>
      </c>
      <c r="N1596" s="64" t="str">
        <f>Ringkasan!N1595</f>
        <v/>
      </c>
      <c r="O1596" s="64" t="str">
        <f>Ringkasan!O1595</f>
        <v/>
      </c>
      <c r="P1596" s="64" t="str">
        <f>Ringkasan!P1595</f>
        <v/>
      </c>
      <c r="Q1596" s="64" t="str">
        <f>Ringkasan!Q1595</f>
        <v/>
      </c>
      <c r="R1596" s="64" t="str">
        <f>Ringkasan!R1595</f>
        <v/>
      </c>
      <c r="S1596" s="64" t="str">
        <f>Ringkasan!S1595</f>
        <v/>
      </c>
      <c r="T1596" s="64" t="str">
        <f>Ringkasan!T1595</f>
        <v/>
      </c>
      <c r="U1596" s="64">
        <f>Ringkasan!U1595</f>
        <v>1550</v>
      </c>
      <c r="V1596" s="64">
        <f>Ringkasan!V1595</f>
        <v>-1.29</v>
      </c>
      <c r="W1596" s="64">
        <f>Ringkasan!W1595</f>
        <v>1550</v>
      </c>
      <c r="X1596" s="64">
        <f>Ringkasan!X1595</f>
        <v>1585</v>
      </c>
      <c r="Y1596" s="64">
        <f>Ringkasan!Y1595</f>
        <v>1525</v>
      </c>
      <c r="Z1596" s="64">
        <f>Ringkasan!Z1595</f>
        <v>15467300</v>
      </c>
      <c r="AA1596" s="64" t="str">
        <f>Ringkasan!AA1595</f>
        <v>Construction Materials</v>
      </c>
      <c r="AB1596" s="64" t="str">
        <f>Ringkasan!AB1595</f>
        <v>Basic Materials</v>
      </c>
    </row>
    <row r="1597" hidden="1">
      <c r="A1597" s="64" t="str">
        <f>Ringkasan!A1596</f>
        <v>SMGR</v>
      </c>
      <c r="B1597" s="64" t="str">
        <f>Ringkasan!B1596</f>
        <v>Semen Indonesia (Persero) Tbk.</v>
      </c>
      <c r="C1597" s="65">
        <f>Ringkasan!C1596</f>
        <v>1530</v>
      </c>
      <c r="D1597" s="64" t="str">
        <f>Ringkasan!D1596</f>
        <v>#N/A</v>
      </c>
      <c r="E1597" s="64" t="str">
        <f>Ringkasan!E1596</f>
        <v>SMINFRA18</v>
      </c>
      <c r="F1597" s="64" t="str">
        <f>Ringkasan!F1596</f>
        <v>30 Oktober 2026</v>
      </c>
      <c r="G1597" s="64">
        <f>Ringkasan!G1596</f>
        <v>17</v>
      </c>
      <c r="H1597" s="19">
        <f>Ringkasan!H1596</f>
        <v>49.9</v>
      </c>
      <c r="I1597" s="19">
        <f>Ringkasan!I1596</f>
        <v>0.24</v>
      </c>
      <c r="J1597" s="19">
        <f>Ringkasan!J1596</f>
        <v>0.48</v>
      </c>
      <c r="K1597" s="19">
        <f>Ringkasan!K1596</f>
        <v>0.3</v>
      </c>
      <c r="L1597" s="19">
        <f>Ringkasan!L1596</f>
        <v>0.58</v>
      </c>
      <c r="M1597" s="19">
        <f>Ringkasan!M1596</f>
        <v>2.8</v>
      </c>
      <c r="N1597" s="64" t="str">
        <f>Ringkasan!N1596</f>
        <v/>
      </c>
      <c r="O1597" s="64" t="str">
        <f>Ringkasan!O1596</f>
        <v/>
      </c>
      <c r="P1597" s="64" t="str">
        <f>Ringkasan!P1596</f>
        <v/>
      </c>
      <c r="Q1597" s="64" t="str">
        <f>Ringkasan!Q1596</f>
        <v/>
      </c>
      <c r="R1597" s="64" t="str">
        <f>Ringkasan!R1596</f>
        <v/>
      </c>
      <c r="S1597" s="64" t="str">
        <f>Ringkasan!S1596</f>
        <v/>
      </c>
      <c r="T1597" s="64" t="str">
        <f>Ringkasan!T1596</f>
        <v/>
      </c>
      <c r="U1597" s="64">
        <f>Ringkasan!U1596</f>
        <v>1550</v>
      </c>
      <c r="V1597" s="64">
        <f>Ringkasan!V1596</f>
        <v>-1.29</v>
      </c>
      <c r="W1597" s="64">
        <f>Ringkasan!W1596</f>
        <v>1550</v>
      </c>
      <c r="X1597" s="64">
        <f>Ringkasan!X1596</f>
        <v>1585</v>
      </c>
      <c r="Y1597" s="64">
        <f>Ringkasan!Y1596</f>
        <v>1525</v>
      </c>
      <c r="Z1597" s="64">
        <f>Ringkasan!Z1596</f>
        <v>15467300</v>
      </c>
      <c r="AA1597" s="64" t="str">
        <f>Ringkasan!AA1596</f>
        <v>Construction Materials</v>
      </c>
      <c r="AB1597" s="64" t="str">
        <f>Ringkasan!AB1596</f>
        <v>Basic Materials</v>
      </c>
    </row>
    <row r="1598" hidden="1">
      <c r="A1598" s="64" t="str">
        <f>Ringkasan!A1597</f>
        <v>SMGR</v>
      </c>
      <c r="B1598" s="64" t="str">
        <f>Ringkasan!B1597</f>
        <v>Semen Indonesia (Persero) Tbk.</v>
      </c>
      <c r="C1598" s="65">
        <f>Ringkasan!C1597</f>
        <v>1530</v>
      </c>
      <c r="D1598" s="64" t="str">
        <f>Ringkasan!D1597</f>
        <v>#N/A</v>
      </c>
      <c r="E1598" s="64" t="str">
        <f>Ringkasan!E1597</f>
        <v>LQ45</v>
      </c>
      <c r="F1598" s="64" t="str">
        <f>Ringkasan!F1597</f>
        <v>31 Juli 2026</v>
      </c>
      <c r="G1598" s="64">
        <f>Ringkasan!G1597</f>
        <v>17</v>
      </c>
      <c r="H1598" s="19">
        <f>Ringkasan!H1597</f>
        <v>49.9</v>
      </c>
      <c r="I1598" s="19">
        <f>Ringkasan!I1597</f>
        <v>0.24</v>
      </c>
      <c r="J1598" s="19">
        <f>Ringkasan!J1597</f>
        <v>0.48</v>
      </c>
      <c r="K1598" s="19">
        <f>Ringkasan!K1597</f>
        <v>0.3</v>
      </c>
      <c r="L1598" s="19">
        <f>Ringkasan!L1597</f>
        <v>0.58</v>
      </c>
      <c r="M1598" s="19">
        <f>Ringkasan!M1597</f>
        <v>2.8</v>
      </c>
      <c r="N1598" s="64" t="str">
        <f>Ringkasan!N1597</f>
        <v/>
      </c>
      <c r="O1598" s="64" t="str">
        <f>Ringkasan!O1597</f>
        <v/>
      </c>
      <c r="P1598" s="64" t="str">
        <f>Ringkasan!P1597</f>
        <v/>
      </c>
      <c r="Q1598" s="64" t="str">
        <f>Ringkasan!Q1597</f>
        <v/>
      </c>
      <c r="R1598" s="64" t="str">
        <f>Ringkasan!R1597</f>
        <v/>
      </c>
      <c r="S1598" s="64" t="str">
        <f>Ringkasan!S1597</f>
        <v/>
      </c>
      <c r="T1598" s="64" t="str">
        <f>Ringkasan!T1597</f>
        <v/>
      </c>
      <c r="U1598" s="64">
        <f>Ringkasan!U1597</f>
        <v>1550</v>
      </c>
      <c r="V1598" s="64">
        <f>Ringkasan!V1597</f>
        <v>-1.29</v>
      </c>
      <c r="W1598" s="64">
        <f>Ringkasan!W1597</f>
        <v>1550</v>
      </c>
      <c r="X1598" s="64">
        <f>Ringkasan!X1597</f>
        <v>1585</v>
      </c>
      <c r="Y1598" s="64">
        <f>Ringkasan!Y1597</f>
        <v>1525</v>
      </c>
      <c r="Z1598" s="64">
        <f>Ringkasan!Z1597</f>
        <v>15467300</v>
      </c>
      <c r="AA1598" s="64" t="str">
        <f>Ringkasan!AA1597</f>
        <v>Construction Materials</v>
      </c>
      <c r="AB1598" s="64" t="str">
        <f>Ringkasan!AB1597</f>
        <v>Basic Materials</v>
      </c>
    </row>
    <row r="1599" hidden="1">
      <c r="A1599" s="64" t="str">
        <f>Ringkasan!A1598</f>
        <v>SMGR</v>
      </c>
      <c r="B1599" s="64" t="str">
        <f>Ringkasan!B1598</f>
        <v>Semen Indonesia (Persero) Tbk.</v>
      </c>
      <c r="C1599" s="65">
        <f>Ringkasan!C1598</f>
        <v>1530</v>
      </c>
      <c r="D1599" s="64" t="str">
        <f>Ringkasan!D1598</f>
        <v>#N/A</v>
      </c>
      <c r="E1599" s="64" t="str">
        <f>Ringkasan!E1598</f>
        <v>IDXESGL</v>
      </c>
      <c r="F1599" s="64" t="str">
        <f>Ringkasan!F1598</f>
        <v>30 Oktober 2026</v>
      </c>
      <c r="G1599" s="64">
        <f>Ringkasan!G1598</f>
        <v>17</v>
      </c>
      <c r="H1599" s="19">
        <f>Ringkasan!H1598</f>
        <v>49.9</v>
      </c>
      <c r="I1599" s="19">
        <f>Ringkasan!I1598</f>
        <v>0.24</v>
      </c>
      <c r="J1599" s="19">
        <f>Ringkasan!J1598</f>
        <v>0.48</v>
      </c>
      <c r="K1599" s="19">
        <f>Ringkasan!K1598</f>
        <v>0.3</v>
      </c>
      <c r="L1599" s="19">
        <f>Ringkasan!L1598</f>
        <v>0.58</v>
      </c>
      <c r="M1599" s="19">
        <f>Ringkasan!M1598</f>
        <v>2.8</v>
      </c>
      <c r="N1599" s="64" t="str">
        <f>Ringkasan!N1598</f>
        <v/>
      </c>
      <c r="O1599" s="64" t="str">
        <f>Ringkasan!O1598</f>
        <v/>
      </c>
      <c r="P1599" s="64" t="str">
        <f>Ringkasan!P1598</f>
        <v/>
      </c>
      <c r="Q1599" s="64" t="str">
        <f>Ringkasan!Q1598</f>
        <v/>
      </c>
      <c r="R1599" s="64" t="str">
        <f>Ringkasan!R1598</f>
        <v/>
      </c>
      <c r="S1599" s="64" t="str">
        <f>Ringkasan!S1598</f>
        <v/>
      </c>
      <c r="T1599" s="64" t="str">
        <f>Ringkasan!T1598</f>
        <v/>
      </c>
      <c r="U1599" s="64">
        <f>Ringkasan!U1598</f>
        <v>1550</v>
      </c>
      <c r="V1599" s="64">
        <f>Ringkasan!V1598</f>
        <v>-1.29</v>
      </c>
      <c r="W1599" s="64">
        <f>Ringkasan!W1598</f>
        <v>1550</v>
      </c>
      <c r="X1599" s="64">
        <f>Ringkasan!X1598</f>
        <v>1585</v>
      </c>
      <c r="Y1599" s="64">
        <f>Ringkasan!Y1598</f>
        <v>1525</v>
      </c>
      <c r="Z1599" s="64">
        <f>Ringkasan!Z1598</f>
        <v>15467300</v>
      </c>
      <c r="AA1599" s="64" t="str">
        <f>Ringkasan!AA1598</f>
        <v>Construction Materials</v>
      </c>
      <c r="AB1599" s="64" t="str">
        <f>Ringkasan!AB1598</f>
        <v>Basic Materials</v>
      </c>
    </row>
    <row r="1600" hidden="1">
      <c r="A1600" s="64" t="str">
        <f>Ringkasan!A1599</f>
        <v>SMGR</v>
      </c>
      <c r="B1600" s="64" t="str">
        <f>Ringkasan!B1599</f>
        <v>Semen Indonesia (Persero) Tbk.</v>
      </c>
      <c r="C1600" s="65">
        <f>Ringkasan!C1599</f>
        <v>1530</v>
      </c>
      <c r="D1600" s="64" t="str">
        <f>Ringkasan!D1599</f>
        <v>#N/A</v>
      </c>
      <c r="E1600" s="64" t="str">
        <f>Ringkasan!E1599</f>
        <v>IDXSMC-LIQ</v>
      </c>
      <c r="F1600" s="64" t="str">
        <f>Ringkasan!F1599</f>
        <v>4 Agustus 2026</v>
      </c>
      <c r="G1600" s="64">
        <f>Ringkasan!G1599</f>
        <v>17</v>
      </c>
      <c r="H1600" s="19">
        <f>Ringkasan!H1599</f>
        <v>49.9</v>
      </c>
      <c r="I1600" s="19">
        <f>Ringkasan!I1599</f>
        <v>0.24</v>
      </c>
      <c r="J1600" s="19">
        <f>Ringkasan!J1599</f>
        <v>0.48</v>
      </c>
      <c r="K1600" s="19">
        <f>Ringkasan!K1599</f>
        <v>0.3</v>
      </c>
      <c r="L1600" s="19">
        <f>Ringkasan!L1599</f>
        <v>0.58</v>
      </c>
      <c r="M1600" s="19">
        <f>Ringkasan!M1599</f>
        <v>2.8</v>
      </c>
      <c r="N1600" s="64" t="str">
        <f>Ringkasan!N1599</f>
        <v/>
      </c>
      <c r="O1600" s="64" t="str">
        <f>Ringkasan!O1599</f>
        <v/>
      </c>
      <c r="P1600" s="64" t="str">
        <f>Ringkasan!P1599</f>
        <v/>
      </c>
      <c r="Q1600" s="64" t="str">
        <f>Ringkasan!Q1599</f>
        <v/>
      </c>
      <c r="R1600" s="64" t="str">
        <f>Ringkasan!R1599</f>
        <v/>
      </c>
      <c r="S1600" s="64" t="str">
        <f>Ringkasan!S1599</f>
        <v/>
      </c>
      <c r="T1600" s="64" t="str">
        <f>Ringkasan!T1599</f>
        <v/>
      </c>
      <c r="U1600" s="64">
        <f>Ringkasan!U1599</f>
        <v>1550</v>
      </c>
      <c r="V1600" s="64">
        <f>Ringkasan!V1599</f>
        <v>-1.29</v>
      </c>
      <c r="W1600" s="64">
        <f>Ringkasan!W1599</f>
        <v>1550</v>
      </c>
      <c r="X1600" s="64">
        <f>Ringkasan!X1599</f>
        <v>1585</v>
      </c>
      <c r="Y1600" s="64">
        <f>Ringkasan!Y1599</f>
        <v>1525</v>
      </c>
      <c r="Z1600" s="64">
        <f>Ringkasan!Z1599</f>
        <v>15467300</v>
      </c>
      <c r="AA1600" s="64" t="str">
        <f>Ringkasan!AA1599</f>
        <v>Construction Materials</v>
      </c>
      <c r="AB1600" s="64" t="str">
        <f>Ringkasan!AB1599</f>
        <v>Basic Materials</v>
      </c>
    </row>
    <row r="1601" hidden="1">
      <c r="A1601" s="64" t="str">
        <f>Ringkasan!A1600</f>
        <v>SMGR</v>
      </c>
      <c r="B1601" s="64" t="str">
        <f>Ringkasan!B1600</f>
        <v>Semen Indonesia (Persero) Tbk.</v>
      </c>
      <c r="C1601" s="65">
        <f>Ringkasan!C1600</f>
        <v>1530</v>
      </c>
      <c r="D1601" s="64" t="str">
        <f>Ringkasan!D1600</f>
        <v>#N/A</v>
      </c>
      <c r="E1601" s="64" t="str">
        <f>Ringkasan!E1600</f>
        <v>IDXBUMN20</v>
      </c>
      <c r="F1601" s="64" t="str">
        <f>Ringkasan!F1600</f>
        <v>4 Agustus 2026</v>
      </c>
      <c r="G1601" s="64">
        <f>Ringkasan!G1600</f>
        <v>17</v>
      </c>
      <c r="H1601" s="19">
        <f>Ringkasan!H1600</f>
        <v>49.9</v>
      </c>
      <c r="I1601" s="19">
        <f>Ringkasan!I1600</f>
        <v>0.24</v>
      </c>
      <c r="J1601" s="19">
        <f>Ringkasan!J1600</f>
        <v>0.48</v>
      </c>
      <c r="K1601" s="19">
        <f>Ringkasan!K1600</f>
        <v>0.3</v>
      </c>
      <c r="L1601" s="19">
        <f>Ringkasan!L1600</f>
        <v>0.58</v>
      </c>
      <c r="M1601" s="19">
        <f>Ringkasan!M1600</f>
        <v>2.8</v>
      </c>
      <c r="N1601" s="64" t="str">
        <f>Ringkasan!N1600</f>
        <v/>
      </c>
      <c r="O1601" s="64" t="str">
        <f>Ringkasan!O1600</f>
        <v/>
      </c>
      <c r="P1601" s="64" t="str">
        <f>Ringkasan!P1600</f>
        <v/>
      </c>
      <c r="Q1601" s="64" t="str">
        <f>Ringkasan!Q1600</f>
        <v/>
      </c>
      <c r="R1601" s="64" t="str">
        <f>Ringkasan!R1600</f>
        <v/>
      </c>
      <c r="S1601" s="64" t="str">
        <f>Ringkasan!S1600</f>
        <v/>
      </c>
      <c r="T1601" s="64" t="str">
        <f>Ringkasan!T1600</f>
        <v/>
      </c>
      <c r="U1601" s="64">
        <f>Ringkasan!U1600</f>
        <v>1550</v>
      </c>
      <c r="V1601" s="64">
        <f>Ringkasan!V1600</f>
        <v>-1.29</v>
      </c>
      <c r="W1601" s="64">
        <f>Ringkasan!W1600</f>
        <v>1550</v>
      </c>
      <c r="X1601" s="64">
        <f>Ringkasan!X1600</f>
        <v>1585</v>
      </c>
      <c r="Y1601" s="64">
        <f>Ringkasan!Y1600</f>
        <v>1525</v>
      </c>
      <c r="Z1601" s="64">
        <f>Ringkasan!Z1600</f>
        <v>15467300</v>
      </c>
      <c r="AA1601" s="64" t="str">
        <f>Ringkasan!AA1600</f>
        <v>Construction Materials</v>
      </c>
      <c r="AB1601" s="64" t="str">
        <f>Ringkasan!AB1600</f>
        <v>Basic Materials</v>
      </c>
    </row>
    <row r="1602" hidden="1">
      <c r="A1602" s="64" t="str">
        <f>Ringkasan!A1601</f>
        <v>SMGR</v>
      </c>
      <c r="B1602" s="64" t="str">
        <f>Ringkasan!B1601</f>
        <v>Semen Indonesia (Persero) Tbk.</v>
      </c>
      <c r="C1602" s="67">
        <f>Ringkasan!C1601</f>
        <v>1530</v>
      </c>
      <c r="D1602" s="22" t="str">
        <f>Ringkasan!D1601</f>
        <v>#N/A</v>
      </c>
      <c r="E1602" s="64" t="str">
        <f>Ringkasan!E1601</f>
        <v>FTSE Large Cap</v>
      </c>
      <c r="F1602" s="64" t="str">
        <f>Ringkasan!F1601</f>
        <v>Juni 2026</v>
      </c>
      <c r="G1602" s="64">
        <f>Ringkasan!G1601</f>
        <v>17</v>
      </c>
      <c r="H1602" s="19">
        <f>Ringkasan!H1601</f>
        <v>49.9</v>
      </c>
      <c r="I1602" s="19">
        <f>Ringkasan!I1601</f>
        <v>0.24</v>
      </c>
      <c r="J1602" s="19">
        <f>Ringkasan!J1601</f>
        <v>0.48</v>
      </c>
      <c r="K1602" s="19">
        <f>Ringkasan!K1601</f>
        <v>0.3</v>
      </c>
      <c r="L1602" s="19">
        <f>Ringkasan!L1601</f>
        <v>0.58</v>
      </c>
      <c r="M1602" s="19">
        <f>Ringkasan!M1601</f>
        <v>2.8</v>
      </c>
      <c r="N1602" s="64" t="str">
        <f>Ringkasan!N1601</f>
        <v/>
      </c>
      <c r="O1602" s="64" t="str">
        <f>Ringkasan!O1601</f>
        <v/>
      </c>
      <c r="P1602" s="64" t="str">
        <f>Ringkasan!P1601</f>
        <v/>
      </c>
      <c r="Q1602" s="64" t="str">
        <f>Ringkasan!Q1601</f>
        <v/>
      </c>
      <c r="R1602" s="64" t="str">
        <f>Ringkasan!R1601</f>
        <v/>
      </c>
      <c r="S1602" s="64" t="str">
        <f>Ringkasan!S1601</f>
        <v/>
      </c>
      <c r="T1602" s="64" t="str">
        <f>Ringkasan!T1601</f>
        <v/>
      </c>
      <c r="U1602" s="22">
        <f>Ringkasan!U1601</f>
        <v>1550</v>
      </c>
      <c r="V1602" s="22">
        <f>Ringkasan!V1601</f>
        <v>-1.29</v>
      </c>
      <c r="W1602" s="22">
        <f>Ringkasan!W1601</f>
        <v>1550</v>
      </c>
      <c r="X1602" s="22">
        <f>Ringkasan!X1601</f>
        <v>1585</v>
      </c>
      <c r="Y1602" s="22">
        <f>Ringkasan!Y1601</f>
        <v>1525</v>
      </c>
      <c r="Z1602" s="22">
        <f>Ringkasan!Z1601</f>
        <v>15467300</v>
      </c>
      <c r="AA1602" s="64" t="str">
        <f>Ringkasan!AA1601</f>
        <v>Construction Materials</v>
      </c>
      <c r="AB1602" s="64" t="str">
        <f>Ringkasan!AB1601</f>
        <v>Basic Materials</v>
      </c>
    </row>
    <row r="1603" hidden="1">
      <c r="A1603" s="64" t="str">
        <f>Ringkasan!A1602</f>
        <v>SMGR</v>
      </c>
      <c r="B1603" s="64" t="str">
        <f>Ringkasan!B1602</f>
        <v>Semen Indonesia (Persero) Tbk.</v>
      </c>
      <c r="C1603" s="67">
        <f>Ringkasan!C1602</f>
        <v>1530</v>
      </c>
      <c r="D1603" s="22" t="str">
        <f>Ringkasan!D1602</f>
        <v>#N/A</v>
      </c>
      <c r="E1603" s="64" t="str">
        <f>Ringkasan!E1602</f>
        <v>MSCI Small Cap</v>
      </c>
      <c r="F1603" s="64" t="str">
        <f>Ringkasan!F1602</f>
        <v>12 Agustus 2026</v>
      </c>
      <c r="G1603" s="65">
        <f>Ringkasan!G1602</f>
        <v>17</v>
      </c>
      <c r="H1603" s="19">
        <f>Ringkasan!H1602</f>
        <v>49.9</v>
      </c>
      <c r="I1603" s="19">
        <f>Ringkasan!I1602</f>
        <v>0.24</v>
      </c>
      <c r="J1603" s="19">
        <f>Ringkasan!J1602</f>
        <v>0.48</v>
      </c>
      <c r="K1603" s="19">
        <f>Ringkasan!K1602</f>
        <v>0.3</v>
      </c>
      <c r="L1603" s="19">
        <f>Ringkasan!L1602</f>
        <v>0.58</v>
      </c>
      <c r="M1603" s="19">
        <f>Ringkasan!M1602</f>
        <v>2.8</v>
      </c>
      <c r="N1603" s="64" t="str">
        <f>Ringkasan!N1602</f>
        <v/>
      </c>
      <c r="O1603" s="64" t="str">
        <f>Ringkasan!O1602</f>
        <v/>
      </c>
      <c r="P1603" s="64" t="str">
        <f>Ringkasan!P1602</f>
        <v/>
      </c>
      <c r="Q1603" s="64" t="str">
        <f>Ringkasan!Q1602</f>
        <v/>
      </c>
      <c r="R1603" s="64" t="str">
        <f>Ringkasan!R1602</f>
        <v/>
      </c>
      <c r="S1603" s="64" t="str">
        <f>Ringkasan!S1602</f>
        <v/>
      </c>
      <c r="T1603" s="64" t="str">
        <f>Ringkasan!T1602</f>
        <v/>
      </c>
      <c r="U1603" s="22">
        <f>Ringkasan!U1602</f>
        <v>1550</v>
      </c>
      <c r="V1603" s="22">
        <f>Ringkasan!V1602</f>
        <v>-1.29</v>
      </c>
      <c r="W1603" s="22">
        <f>Ringkasan!W1602</f>
        <v>1550</v>
      </c>
      <c r="X1603" s="22">
        <f>Ringkasan!X1602</f>
        <v>1585</v>
      </c>
      <c r="Y1603" s="22">
        <f>Ringkasan!Y1602</f>
        <v>1525</v>
      </c>
      <c r="Z1603" s="22">
        <f>Ringkasan!Z1602</f>
        <v>15467300</v>
      </c>
      <c r="AA1603" s="64" t="str">
        <f>Ringkasan!AA1602</f>
        <v>Construction Materials</v>
      </c>
      <c r="AB1603" s="64" t="str">
        <f>Ringkasan!AB1602</f>
        <v>Basic Materials</v>
      </c>
    </row>
    <row r="1604" hidden="1">
      <c r="A1604" s="64" t="str">
        <f>Ringkasan!A1603</f>
        <v>SMGR</v>
      </c>
      <c r="B1604" s="64" t="str">
        <f>Ringkasan!B1603</f>
        <v>Semen Indonesia (Persero) Tbk.</v>
      </c>
      <c r="C1604" s="65">
        <f>Ringkasan!C1603</f>
        <v>1530</v>
      </c>
      <c r="D1604" s="64" t="str">
        <f>Ringkasan!D1603</f>
        <v>#N/A</v>
      </c>
      <c r="E1604" s="64" t="str">
        <f>Ringkasan!E1603</f>
        <v>SRI-KEHATI</v>
      </c>
      <c r="F1604" s="66">
        <f>Ringkasan!F1603</f>
        <v>46356</v>
      </c>
      <c r="G1604" s="64">
        <f>Ringkasan!G1603</f>
        <v>17</v>
      </c>
      <c r="H1604" s="19">
        <f>Ringkasan!H1603</f>
        <v>49.9</v>
      </c>
      <c r="I1604" s="19">
        <f>Ringkasan!I1603</f>
        <v>0.24</v>
      </c>
      <c r="J1604" s="19">
        <f>Ringkasan!J1603</f>
        <v>0.48</v>
      </c>
      <c r="K1604" s="19">
        <f>Ringkasan!K1603</f>
        <v>0.3</v>
      </c>
      <c r="L1604" s="19">
        <f>Ringkasan!L1603</f>
        <v>0.58</v>
      </c>
      <c r="M1604" s="19">
        <f>Ringkasan!M1603</f>
        <v>2.8</v>
      </c>
      <c r="N1604" s="64" t="str">
        <f>Ringkasan!N1603</f>
        <v/>
      </c>
      <c r="O1604" s="64" t="str">
        <f>Ringkasan!O1603</f>
        <v/>
      </c>
      <c r="P1604" s="64" t="str">
        <f>Ringkasan!P1603</f>
        <v/>
      </c>
      <c r="Q1604" s="64" t="str">
        <f>Ringkasan!Q1603</f>
        <v/>
      </c>
      <c r="R1604" s="64" t="str">
        <f>Ringkasan!R1603</f>
        <v/>
      </c>
      <c r="S1604" s="64" t="str">
        <f>Ringkasan!S1603</f>
        <v/>
      </c>
      <c r="T1604" s="64" t="str">
        <f>Ringkasan!T1603</f>
        <v/>
      </c>
      <c r="U1604" s="64">
        <f>Ringkasan!U1603</f>
        <v>1550</v>
      </c>
      <c r="V1604" s="64">
        <f>Ringkasan!V1603</f>
        <v>-1.29</v>
      </c>
      <c r="W1604" s="64">
        <f>Ringkasan!W1603</f>
        <v>1550</v>
      </c>
      <c r="X1604" s="64">
        <f>Ringkasan!X1603</f>
        <v>1585</v>
      </c>
      <c r="Y1604" s="64">
        <f>Ringkasan!Y1603</f>
        <v>1525</v>
      </c>
      <c r="Z1604" s="64">
        <f>Ringkasan!Z1603</f>
        <v>15467300</v>
      </c>
      <c r="AA1604" s="64" t="str">
        <f>Ringkasan!AA1603</f>
        <v>Construction Materials</v>
      </c>
      <c r="AB1604" s="64" t="str">
        <f>Ringkasan!AB1603</f>
        <v>Basic Materials</v>
      </c>
    </row>
    <row r="1605" hidden="1">
      <c r="A1605" s="64" t="str">
        <f>Ringkasan!A1604</f>
        <v>SMGR</v>
      </c>
      <c r="B1605" s="64" t="str">
        <f>Ringkasan!B1604</f>
        <v>Semen Indonesia (Persero) Tbk.</v>
      </c>
      <c r="C1605" s="67">
        <f>Ringkasan!C1604</f>
        <v>1530</v>
      </c>
      <c r="D1605" s="22" t="str">
        <f>Ringkasan!D1604</f>
        <v>#N/A</v>
      </c>
      <c r="E1605" s="64" t="str">
        <f>Ringkasan!E1604</f>
        <v>JII70</v>
      </c>
      <c r="F1605" s="66">
        <f>Ringkasan!F1604</f>
        <v>46356</v>
      </c>
      <c r="G1605" s="64">
        <f>Ringkasan!G1604</f>
        <v>17</v>
      </c>
      <c r="H1605" s="19">
        <f>Ringkasan!H1604</f>
        <v>49.9</v>
      </c>
      <c r="I1605" s="19">
        <f>Ringkasan!I1604</f>
        <v>0.24</v>
      </c>
      <c r="J1605" s="19">
        <f>Ringkasan!J1604</f>
        <v>0.48</v>
      </c>
      <c r="K1605" s="19">
        <f>Ringkasan!K1604</f>
        <v>0.3</v>
      </c>
      <c r="L1605" s="19">
        <f>Ringkasan!L1604</f>
        <v>0.58</v>
      </c>
      <c r="M1605" s="19">
        <f>Ringkasan!M1604</f>
        <v>2.8</v>
      </c>
      <c r="N1605" s="64" t="str">
        <f>Ringkasan!N1604</f>
        <v/>
      </c>
      <c r="O1605" s="64" t="str">
        <f>Ringkasan!O1604</f>
        <v/>
      </c>
      <c r="P1605" s="64" t="str">
        <f>Ringkasan!P1604</f>
        <v/>
      </c>
      <c r="Q1605" s="64" t="str">
        <f>Ringkasan!Q1604</f>
        <v/>
      </c>
      <c r="R1605" s="64" t="str">
        <f>Ringkasan!R1604</f>
        <v/>
      </c>
      <c r="S1605" s="64" t="str">
        <f>Ringkasan!S1604</f>
        <v/>
      </c>
      <c r="T1605" s="64" t="str">
        <f>Ringkasan!T1604</f>
        <v/>
      </c>
      <c r="U1605" s="22">
        <f>Ringkasan!U1604</f>
        <v>1550</v>
      </c>
      <c r="V1605" s="22">
        <f>Ringkasan!V1604</f>
        <v>-1.29</v>
      </c>
      <c r="W1605" s="22">
        <f>Ringkasan!W1604</f>
        <v>1550</v>
      </c>
      <c r="X1605" s="22">
        <f>Ringkasan!X1604</f>
        <v>1585</v>
      </c>
      <c r="Y1605" s="22">
        <f>Ringkasan!Y1604</f>
        <v>1525</v>
      </c>
      <c r="Z1605" s="22">
        <f>Ringkasan!Z1604</f>
        <v>15467300</v>
      </c>
      <c r="AA1605" s="64" t="str">
        <f>Ringkasan!AA1604</f>
        <v>Construction Materials</v>
      </c>
      <c r="AB1605" s="64" t="str">
        <f>Ringkasan!AB1604</f>
        <v>Basic Materials</v>
      </c>
    </row>
    <row r="1606" hidden="1">
      <c r="A1606" s="64" t="str">
        <f>Ringkasan!A1605</f>
        <v>SMIL</v>
      </c>
      <c r="B1606" s="64" t="str">
        <f>Ringkasan!B1605</f>
        <v>PT Sarana Mitra Luas Tbk</v>
      </c>
      <c r="C1606" s="67">
        <f>Ringkasan!C1605</f>
        <v>242</v>
      </c>
      <c r="D1606" s="22" t="str">
        <f>Ringkasan!D1605</f>
        <v>#N/A</v>
      </c>
      <c r="E1606" s="64" t="str">
        <f>Ringkasan!E1605</f>
        <v>Kompas100</v>
      </c>
      <c r="F1606" s="64" t="str">
        <f>Ringkasan!F1605</f>
        <v>31 Juli 2026</v>
      </c>
      <c r="G1606" s="64">
        <f>Ringkasan!G1605</f>
        <v>1</v>
      </c>
      <c r="H1606" s="19">
        <f>Ringkasan!H1605</f>
        <v>32.4</v>
      </c>
      <c r="I1606" s="19">
        <f>Ringkasan!I1605</f>
        <v>2.9</v>
      </c>
      <c r="J1606" s="19">
        <f>Ringkasan!J1605</f>
        <v>9.1</v>
      </c>
      <c r="K1606" s="19">
        <f>Ringkasan!K1605</f>
        <v>5.9</v>
      </c>
      <c r="L1606" s="19">
        <f>Ringkasan!L1605</f>
        <v>0.54</v>
      </c>
      <c r="M1606" s="19">
        <f>Ringkasan!M1605</f>
        <v>54.1</v>
      </c>
      <c r="N1606" s="64" t="str">
        <f>Ringkasan!N1605</f>
        <v/>
      </c>
      <c r="O1606" s="64" t="str">
        <f>Ringkasan!O1605</f>
        <v/>
      </c>
      <c r="P1606" s="64" t="str">
        <f>Ringkasan!P1605</f>
        <v/>
      </c>
      <c r="Q1606" s="64" t="str">
        <f>Ringkasan!Q1605</f>
        <v/>
      </c>
      <c r="R1606" s="64" t="str">
        <f>Ringkasan!R1605</f>
        <v/>
      </c>
      <c r="S1606" s="64" t="str">
        <f>Ringkasan!S1605</f>
        <v/>
      </c>
      <c r="T1606" s="64" t="str">
        <f>Ringkasan!T1605</f>
        <v/>
      </c>
      <c r="U1606" s="22">
        <f>Ringkasan!U1605</f>
        <v>240</v>
      </c>
      <c r="V1606" s="22">
        <f>Ringkasan!V1605</f>
        <v>0.83</v>
      </c>
      <c r="W1606" s="22">
        <f>Ringkasan!W1605</f>
        <v>240</v>
      </c>
      <c r="X1606" s="22">
        <f>Ringkasan!X1605</f>
        <v>244</v>
      </c>
      <c r="Y1606" s="22">
        <f>Ringkasan!Y1605</f>
        <v>238</v>
      </c>
      <c r="Z1606" s="22">
        <f>Ringkasan!Z1605</f>
        <v>3369900</v>
      </c>
      <c r="AA1606" s="64" t="str">
        <f>Ringkasan!AA1605</f>
        <v>Machinery</v>
      </c>
      <c r="AB1606" s="64" t="str">
        <f>Ringkasan!AB1605</f>
        <v>Industrials</v>
      </c>
    </row>
    <row r="1607" hidden="1">
      <c r="A1607" s="64" t="str">
        <f>Ringkasan!A1606</f>
        <v>SMKL</v>
      </c>
      <c r="B1607" s="64" t="str">
        <f>Ringkasan!B1606</f>
        <v>Satyamitra Kemas Lestari Tbk.</v>
      </c>
      <c r="C1607" s="67">
        <f>Ringkasan!C1606</f>
        <v>120</v>
      </c>
      <c r="D1607" s="22" t="str">
        <f>Ringkasan!D1606</f>
        <v>#N/A</v>
      </c>
      <c r="E1607" s="64" t="str">
        <f>Ringkasan!E1606</f>
        <v/>
      </c>
      <c r="F1607" s="64" t="str">
        <f>Ringkasan!F1606</f>
        <v/>
      </c>
      <c r="G1607" s="64">
        <f>Ringkasan!G1606</f>
        <v>0</v>
      </c>
      <c r="H1607" s="19">
        <f>Ringkasan!H1606</f>
        <v>13.6</v>
      </c>
      <c r="I1607" s="19">
        <f>Ringkasan!I1606</f>
        <v>0.48</v>
      </c>
      <c r="J1607" s="19">
        <f>Ringkasan!J1606</f>
        <v>3.5</v>
      </c>
      <c r="K1607" s="19">
        <f>Ringkasan!K1606</f>
        <v>1.3</v>
      </c>
      <c r="L1607" s="19">
        <f>Ringkasan!L1606</f>
        <v>1.6</v>
      </c>
      <c r="M1607" s="19">
        <f>Ringkasan!M1606</f>
        <v>8.6</v>
      </c>
      <c r="N1607" s="64" t="str">
        <f>Ringkasan!N1606</f>
        <v/>
      </c>
      <c r="O1607" s="64" t="str">
        <f>Ringkasan!O1606</f>
        <v/>
      </c>
      <c r="P1607" s="64" t="str">
        <f>Ringkasan!P1606</f>
        <v/>
      </c>
      <c r="Q1607" s="64" t="str">
        <f>Ringkasan!Q1606</f>
        <v/>
      </c>
      <c r="R1607" s="64" t="str">
        <f>Ringkasan!R1606</f>
        <v/>
      </c>
      <c r="S1607" s="64" t="str">
        <f>Ringkasan!S1606</f>
        <v/>
      </c>
      <c r="T1607" s="64" t="str">
        <f>Ringkasan!T1606</f>
        <v/>
      </c>
      <c r="U1607" s="22">
        <f>Ringkasan!U1606</f>
        <v>116</v>
      </c>
      <c r="V1607" s="22">
        <f>Ringkasan!V1606</f>
        <v>3.45</v>
      </c>
      <c r="W1607" s="22">
        <f>Ringkasan!W1606</f>
        <v>120</v>
      </c>
      <c r="X1607" s="22">
        <f>Ringkasan!X1606</f>
        <v>122</v>
      </c>
      <c r="Y1607" s="22">
        <f>Ringkasan!Y1606</f>
        <v>116</v>
      </c>
      <c r="Z1607" s="22">
        <f>Ringkasan!Z1606</f>
        <v>147700</v>
      </c>
      <c r="AA1607" s="64" t="str">
        <f>Ringkasan!AA1606</f>
        <v>Containers &amp; Packaging</v>
      </c>
      <c r="AB1607" s="64" t="str">
        <f>Ringkasan!AB1606</f>
        <v>Basic Materials</v>
      </c>
    </row>
    <row r="1608" hidden="1">
      <c r="A1608" s="64" t="str">
        <f>Ringkasan!A1607</f>
        <v>SMKM</v>
      </c>
      <c r="B1608" s="64" t="str">
        <f>Ringkasan!B1607</f>
        <v>Sumber Mas Konstruksi Tbk.</v>
      </c>
      <c r="C1608" s="65">
        <f>Ringkasan!C1607</f>
        <v>61</v>
      </c>
      <c r="D1608" s="64" t="str">
        <f>Ringkasan!D1607</f>
        <v>#N/A</v>
      </c>
      <c r="E1608" s="64" t="str">
        <f>Ringkasan!E1607</f>
        <v/>
      </c>
      <c r="F1608" s="64" t="str">
        <f>Ringkasan!F1607</f>
        <v/>
      </c>
      <c r="G1608" s="64">
        <f>Ringkasan!G1607</f>
        <v>0</v>
      </c>
      <c r="H1608" s="19">
        <f>Ringkasan!H1607</f>
        <v>-8970</v>
      </c>
      <c r="I1608" s="19">
        <f>Ringkasan!I1607</f>
        <v>0.48</v>
      </c>
      <c r="J1608" s="19">
        <f>Ringkasan!J1607</f>
        <v>-0.01</v>
      </c>
      <c r="K1608" s="19">
        <f>Ringkasan!K1607</f>
        <v>-0.01</v>
      </c>
      <c r="L1608" s="19">
        <f>Ringkasan!L1607</f>
        <v>0.02</v>
      </c>
      <c r="M1608" s="19">
        <f>Ringkasan!M1607</f>
        <v>-0.02</v>
      </c>
      <c r="N1608" s="64" t="str">
        <f>Ringkasan!N1607</f>
        <v/>
      </c>
      <c r="O1608" s="64" t="str">
        <f>Ringkasan!O1607</f>
        <v/>
      </c>
      <c r="P1608" s="64" t="str">
        <f>Ringkasan!P1607</f>
        <v/>
      </c>
      <c r="Q1608" s="64" t="str">
        <f>Ringkasan!Q1607</f>
        <v/>
      </c>
      <c r="R1608" s="64" t="str">
        <f>Ringkasan!R1607</f>
        <v/>
      </c>
      <c r="S1608" s="64" t="str">
        <f>Ringkasan!S1607</f>
        <v/>
      </c>
      <c r="T1608" s="64" t="str">
        <f>Ringkasan!T1607</f>
        <v/>
      </c>
      <c r="U1608" s="64">
        <f>Ringkasan!U1607</f>
        <v>59</v>
      </c>
      <c r="V1608" s="64">
        <f>Ringkasan!V1607</f>
        <v>3.39</v>
      </c>
      <c r="W1608" s="64">
        <f>Ringkasan!W1607</f>
        <v>59</v>
      </c>
      <c r="X1608" s="64">
        <f>Ringkasan!X1607</f>
        <v>64</v>
      </c>
      <c r="Y1608" s="64">
        <f>Ringkasan!Y1607</f>
        <v>57</v>
      </c>
      <c r="Z1608" s="64">
        <f>Ringkasan!Z1607</f>
        <v>13057300</v>
      </c>
      <c r="AA1608" s="64" t="str">
        <f>Ringkasan!AA1607</f>
        <v>Heavy Constructions &amp; Civil Engineering</v>
      </c>
      <c r="AB1608" s="64" t="str">
        <f>Ringkasan!AB1607</f>
        <v>Infrastructures</v>
      </c>
    </row>
    <row r="1609" hidden="1">
      <c r="A1609" s="64" t="str">
        <f>Ringkasan!A1608</f>
        <v>SMLE</v>
      </c>
      <c r="B1609" s="64" t="str">
        <f>Ringkasan!B1608</f>
        <v>Sinergi Multi Lestarindo Tbk.</v>
      </c>
      <c r="C1609" s="65">
        <f>Ringkasan!C1608</f>
        <v>92</v>
      </c>
      <c r="D1609" s="64" t="str">
        <f>Ringkasan!D1608</f>
        <v>#N/A</v>
      </c>
      <c r="E1609" s="64" t="str">
        <f>Ringkasan!E1608</f>
        <v/>
      </c>
      <c r="F1609" s="64" t="str">
        <f>Ringkasan!F1608</f>
        <v/>
      </c>
      <c r="G1609" s="64">
        <f>Ringkasan!G1608</f>
        <v>0</v>
      </c>
      <c r="H1609" s="19">
        <f>Ringkasan!H1608</f>
        <v>-66.1</v>
      </c>
      <c r="I1609" s="19">
        <f>Ringkasan!I1608</f>
        <v>2.3</v>
      </c>
      <c r="J1609" s="19">
        <f>Ringkasan!J1608</f>
        <v>-3.4</v>
      </c>
      <c r="K1609" s="19">
        <f>Ringkasan!K1608</f>
        <v>-1.7</v>
      </c>
      <c r="L1609" s="19">
        <f>Ringkasan!L1608</f>
        <v>0.97</v>
      </c>
      <c r="M1609" s="19">
        <f>Ringkasan!M1608</f>
        <v>-8.1</v>
      </c>
      <c r="N1609" s="64" t="str">
        <f>Ringkasan!N1608</f>
        <v/>
      </c>
      <c r="O1609" s="64" t="str">
        <f>Ringkasan!O1608</f>
        <v/>
      </c>
      <c r="P1609" s="64" t="str">
        <f>Ringkasan!P1608</f>
        <v/>
      </c>
      <c r="Q1609" s="64" t="str">
        <f>Ringkasan!Q1608</f>
        <v/>
      </c>
      <c r="R1609" s="64" t="str">
        <f>Ringkasan!R1608</f>
        <v/>
      </c>
      <c r="S1609" s="64" t="str">
        <f>Ringkasan!S1608</f>
        <v/>
      </c>
      <c r="T1609" s="64" t="str">
        <f>Ringkasan!T1608</f>
        <v/>
      </c>
      <c r="U1609" s="64">
        <f>Ringkasan!U1608</f>
        <v>91</v>
      </c>
      <c r="V1609" s="64">
        <f>Ringkasan!V1608</f>
        <v>1.1</v>
      </c>
      <c r="W1609" s="64">
        <f>Ringkasan!W1608</f>
        <v>90</v>
      </c>
      <c r="X1609" s="64">
        <f>Ringkasan!X1608</f>
        <v>93</v>
      </c>
      <c r="Y1609" s="64">
        <f>Ringkasan!Y1608</f>
        <v>88</v>
      </c>
      <c r="Z1609" s="64">
        <f>Ringkasan!Z1608</f>
        <v>1802700</v>
      </c>
      <c r="AA1609" s="64" t="str">
        <f>Ringkasan!AA1608</f>
        <v>Chemicals</v>
      </c>
      <c r="AB1609" s="64" t="str">
        <f>Ringkasan!AB1608</f>
        <v>Basic Materials</v>
      </c>
    </row>
    <row r="1610" hidden="1">
      <c r="A1610" s="64" t="str">
        <f>Ringkasan!A1609</f>
        <v>SMMA</v>
      </c>
      <c r="B1610" s="64" t="str">
        <f>Ringkasan!B1609</f>
        <v>Sinarmas Multiartha Tbk.</v>
      </c>
      <c r="C1610" s="65">
        <f>Ringkasan!C1609</f>
        <v>23500</v>
      </c>
      <c r="D1610" s="64" t="str">
        <f>Ringkasan!D1609</f>
        <v>#N/A</v>
      </c>
      <c r="E1610" s="64" t="str">
        <f>Ringkasan!E1609</f>
        <v/>
      </c>
      <c r="F1610" s="64" t="str">
        <f>Ringkasan!F1609</f>
        <v/>
      </c>
      <c r="G1610" s="64">
        <f>Ringkasan!G1609</f>
        <v>0</v>
      </c>
      <c r="H1610" s="19">
        <f>Ringkasan!H1609</f>
        <v>38.2</v>
      </c>
      <c r="I1610" s="19">
        <f>Ringkasan!I1609</f>
        <v>4</v>
      </c>
      <c r="J1610" s="19">
        <f>Ringkasan!J1609</f>
        <v>10.5</v>
      </c>
      <c r="K1610" s="19">
        <f>Ringkasan!K1609</f>
        <v>2.5</v>
      </c>
      <c r="L1610" s="19">
        <f>Ringkasan!L1609</f>
        <v>3.3</v>
      </c>
      <c r="M1610" s="19">
        <f>Ringkasan!M1609</f>
        <v>19.4</v>
      </c>
      <c r="N1610" s="64" t="str">
        <f>Ringkasan!N1609</f>
        <v/>
      </c>
      <c r="O1610" s="64" t="str">
        <f>Ringkasan!O1609</f>
        <v/>
      </c>
      <c r="P1610" s="64" t="str">
        <f>Ringkasan!P1609</f>
        <v/>
      </c>
      <c r="Q1610" s="64" t="str">
        <f>Ringkasan!Q1609</f>
        <v/>
      </c>
      <c r="R1610" s="64" t="str">
        <f>Ringkasan!R1609</f>
        <v/>
      </c>
      <c r="S1610" s="64" t="str">
        <f>Ringkasan!S1609</f>
        <v/>
      </c>
      <c r="T1610" s="64" t="str">
        <f>Ringkasan!T1609</f>
        <v/>
      </c>
      <c r="U1610" s="64">
        <f>Ringkasan!U1609</f>
        <v>23500</v>
      </c>
      <c r="V1610" s="64">
        <f>Ringkasan!V1609</f>
        <v>0</v>
      </c>
      <c r="W1610" s="64">
        <f>Ringkasan!W1609</f>
        <v>23500</v>
      </c>
      <c r="X1610" s="64">
        <f>Ringkasan!X1609</f>
        <v>23500</v>
      </c>
      <c r="Y1610" s="64">
        <f>Ringkasan!Y1609</f>
        <v>21500</v>
      </c>
      <c r="Z1610" s="64">
        <f>Ringkasan!Z1609</f>
        <v>15300</v>
      </c>
      <c r="AA1610" s="64" t="str">
        <f>Ringkasan!AA1609</f>
        <v>Holding &amp; Investment Companies</v>
      </c>
      <c r="AB1610" s="64" t="str">
        <f>Ringkasan!AB1609</f>
        <v>Financials</v>
      </c>
    </row>
    <row r="1611" hidden="1">
      <c r="A1611" s="64" t="str">
        <f>Ringkasan!A1610</f>
        <v>SMMT</v>
      </c>
      <c r="B1611" s="64" t="str">
        <f>Ringkasan!B1610</f>
        <v>Golden Eagle Energy Tbk.</v>
      </c>
      <c r="C1611" s="67">
        <f>Ringkasan!C1610</f>
        <v>1730</v>
      </c>
      <c r="D1611" s="22" t="str">
        <f>Ringkasan!D1610</f>
        <v>#N/A</v>
      </c>
      <c r="E1611" s="64" t="str">
        <f>Ringkasan!E1610</f>
        <v/>
      </c>
      <c r="F1611" s="64" t="str">
        <f>Ringkasan!F1610</f>
        <v/>
      </c>
      <c r="G1611" s="64">
        <f>Ringkasan!G1610</f>
        <v>0</v>
      </c>
      <c r="H1611" s="19">
        <f>Ringkasan!H1610</f>
        <v>140</v>
      </c>
      <c r="I1611" s="19">
        <f>Ringkasan!I1610</f>
        <v>11.6</v>
      </c>
      <c r="J1611" s="19">
        <f>Ringkasan!J1610</f>
        <v>8.6</v>
      </c>
      <c r="K1611" s="19">
        <f>Ringkasan!K1610</f>
        <v>2.4</v>
      </c>
      <c r="L1611" s="19">
        <f>Ringkasan!L1610</f>
        <v>2.7</v>
      </c>
      <c r="M1611" s="19">
        <f>Ringkasan!M1610</f>
        <v>12.3</v>
      </c>
      <c r="N1611" s="64" t="str">
        <f>Ringkasan!N1610</f>
        <v/>
      </c>
      <c r="O1611" s="64" t="str">
        <f>Ringkasan!O1610</f>
        <v/>
      </c>
      <c r="P1611" s="64" t="str">
        <f>Ringkasan!P1610</f>
        <v/>
      </c>
      <c r="Q1611" s="64" t="str">
        <f>Ringkasan!Q1610</f>
        <v/>
      </c>
      <c r="R1611" s="64" t="str">
        <f>Ringkasan!R1610</f>
        <v/>
      </c>
      <c r="S1611" s="64" t="str">
        <f>Ringkasan!S1610</f>
        <v/>
      </c>
      <c r="T1611" s="64" t="str">
        <f>Ringkasan!T1610</f>
        <v/>
      </c>
      <c r="U1611" s="22">
        <f>Ringkasan!U1610</f>
        <v>13.08</v>
      </c>
      <c r="V1611" s="22">
        <f>Ringkasan!V1610</f>
        <v>7.11</v>
      </c>
      <c r="W1611" s="22">
        <f>Ringkasan!W1610</f>
        <v>13</v>
      </c>
      <c r="X1611" s="22">
        <f>Ringkasan!X1610</f>
        <v>14.18</v>
      </c>
      <c r="Y1611" s="22">
        <f>Ringkasan!Y1610</f>
        <v>12.92</v>
      </c>
      <c r="Z1611" s="22">
        <f>Ringkasan!Z1610</f>
        <v>9878229</v>
      </c>
      <c r="AA1611" s="64" t="str">
        <f>Ringkasan!AA1610</f>
        <v>Coal</v>
      </c>
      <c r="AB1611" s="64" t="str">
        <f>Ringkasan!AB1610</f>
        <v>Energy</v>
      </c>
    </row>
    <row r="1612" hidden="1">
      <c r="A1612" s="64" t="str">
        <f>Ringkasan!A1611</f>
        <v>SMRA</v>
      </c>
      <c r="B1612" s="64" t="str">
        <f>Ringkasan!B1611</f>
        <v>Summarecon Agung Tbk.</v>
      </c>
      <c r="C1612" s="65">
        <f>Ringkasan!C1611</f>
        <v>302</v>
      </c>
      <c r="D1612" s="64" t="str">
        <f>Ringkasan!D1611</f>
        <v>#N/A</v>
      </c>
      <c r="E1612" s="64" t="str">
        <f>Ringkasan!E1611</f>
        <v>ESGSKEHATI</v>
      </c>
      <c r="F1612" s="66">
        <f>Ringkasan!F1611</f>
        <v>46356</v>
      </c>
      <c r="G1612" s="65">
        <f>Ringkasan!G1611</f>
        <v>8</v>
      </c>
      <c r="H1612" s="19">
        <f>Ringkasan!H1611</f>
        <v>6.6</v>
      </c>
      <c r="I1612" s="19">
        <f>Ringkasan!I1611</f>
        <v>0.29</v>
      </c>
      <c r="J1612" s="19">
        <f>Ringkasan!J1611</f>
        <v>4.4</v>
      </c>
      <c r="K1612" s="19">
        <f>Ringkasan!K1611</f>
        <v>1.8</v>
      </c>
      <c r="L1612" s="19">
        <f>Ringkasan!L1611</f>
        <v>1.4</v>
      </c>
      <c r="M1612" s="19">
        <f>Ringkasan!M1611</f>
        <v>32.2</v>
      </c>
      <c r="N1612" s="64" t="str">
        <f>Ringkasan!N1611</f>
        <v/>
      </c>
      <c r="O1612" s="64" t="str">
        <f>Ringkasan!O1611</f>
        <v/>
      </c>
      <c r="P1612" s="64" t="str">
        <f>Ringkasan!P1611</f>
        <v/>
      </c>
      <c r="Q1612" s="64" t="str">
        <f>Ringkasan!Q1611</f>
        <v/>
      </c>
      <c r="R1612" s="64" t="str">
        <f>Ringkasan!R1611</f>
        <v/>
      </c>
      <c r="S1612" s="64" t="str">
        <f>Ringkasan!S1611</f>
        <v/>
      </c>
      <c r="T1612" s="64" t="str">
        <f>Ringkasan!T1611</f>
        <v/>
      </c>
      <c r="U1612" s="64" t="str">
        <f>Ringkasan!U1611</f>
        <v/>
      </c>
      <c r="V1612" s="64">
        <f>Ringkasan!V1611</f>
        <v>4.14</v>
      </c>
      <c r="W1612" s="64">
        <f>Ringkasan!W1611</f>
        <v>296</v>
      </c>
      <c r="X1612" s="64">
        <f>Ringkasan!X1611</f>
        <v>304</v>
      </c>
      <c r="Y1612" s="64">
        <f>Ringkasan!Y1611</f>
        <v>292</v>
      </c>
      <c r="Z1612" s="64">
        <f>Ringkasan!Z1611</f>
        <v>29775700</v>
      </c>
      <c r="AA1612" s="64" t="str">
        <f>Ringkasan!AA1611</f>
        <v>Real Estate Management &amp; Development</v>
      </c>
      <c r="AB1612" s="64" t="str">
        <f>Ringkasan!AB1611</f>
        <v>Properties &amp; Real Estate</v>
      </c>
    </row>
    <row r="1613" hidden="1">
      <c r="A1613" s="64" t="str">
        <f>Ringkasan!A1612</f>
        <v>SMRA</v>
      </c>
      <c r="B1613" s="64" t="str">
        <f>Ringkasan!B1612</f>
        <v>Summarecon Agung Tbk.</v>
      </c>
      <c r="C1613" s="65">
        <f>Ringkasan!C1612</f>
        <v>302</v>
      </c>
      <c r="D1613" s="64" t="str">
        <f>Ringkasan!D1612</f>
        <v>#N/A</v>
      </c>
      <c r="E1613" s="64" t="str">
        <f>Ringkasan!E1612</f>
        <v>ECONOMIC30</v>
      </c>
      <c r="F1613" s="64" t="str">
        <f>Ringkasan!F1612</f>
        <v>31 Agustus 2026</v>
      </c>
      <c r="G1613" s="64">
        <f>Ringkasan!G1612</f>
        <v>8</v>
      </c>
      <c r="H1613" s="19">
        <f>Ringkasan!H1612</f>
        <v>6.6</v>
      </c>
      <c r="I1613" s="19">
        <f>Ringkasan!I1612</f>
        <v>0.29</v>
      </c>
      <c r="J1613" s="19">
        <f>Ringkasan!J1612</f>
        <v>4.4</v>
      </c>
      <c r="K1613" s="19">
        <f>Ringkasan!K1612</f>
        <v>1.8</v>
      </c>
      <c r="L1613" s="19">
        <f>Ringkasan!L1612</f>
        <v>1.4</v>
      </c>
      <c r="M1613" s="19">
        <f>Ringkasan!M1612</f>
        <v>32.2</v>
      </c>
      <c r="N1613" s="64" t="str">
        <f>Ringkasan!N1612</f>
        <v/>
      </c>
      <c r="O1613" s="64" t="str">
        <f>Ringkasan!O1612</f>
        <v/>
      </c>
      <c r="P1613" s="64" t="str">
        <f>Ringkasan!P1612</f>
        <v/>
      </c>
      <c r="Q1613" s="64" t="str">
        <f>Ringkasan!Q1612</f>
        <v/>
      </c>
      <c r="R1613" s="64" t="str">
        <f>Ringkasan!R1612</f>
        <v/>
      </c>
      <c r="S1613" s="64" t="str">
        <f>Ringkasan!S1612</f>
        <v/>
      </c>
      <c r="T1613" s="64" t="str">
        <f>Ringkasan!T1612</f>
        <v/>
      </c>
      <c r="U1613" s="64" t="str">
        <f>Ringkasan!U1612</f>
        <v/>
      </c>
      <c r="V1613" s="64">
        <f>Ringkasan!V1612</f>
        <v>4.14</v>
      </c>
      <c r="W1613" s="64">
        <f>Ringkasan!W1612</f>
        <v>296</v>
      </c>
      <c r="X1613" s="64">
        <f>Ringkasan!X1612</f>
        <v>304</v>
      </c>
      <c r="Y1613" s="64">
        <f>Ringkasan!Y1612</f>
        <v>292</v>
      </c>
      <c r="Z1613" s="64">
        <f>Ringkasan!Z1612</f>
        <v>29775700</v>
      </c>
      <c r="AA1613" s="64" t="str">
        <f>Ringkasan!AA1612</f>
        <v>Real Estate Management &amp; Development</v>
      </c>
      <c r="AB1613" s="64" t="str">
        <f>Ringkasan!AB1612</f>
        <v>Properties &amp; Real Estate</v>
      </c>
    </row>
    <row r="1614" hidden="1">
      <c r="A1614" s="64" t="str">
        <f>Ringkasan!A1613</f>
        <v>SMRA</v>
      </c>
      <c r="B1614" s="64" t="str">
        <f>Ringkasan!B1613</f>
        <v>Summarecon Agung Tbk.</v>
      </c>
      <c r="C1614" s="65">
        <f>Ringkasan!C1613</f>
        <v>302</v>
      </c>
      <c r="D1614" s="64" t="str">
        <f>Ringkasan!D1613</f>
        <v>#N/A</v>
      </c>
      <c r="E1614" s="64" t="str">
        <f>Ringkasan!E1613</f>
        <v>Pefindo - iGrade</v>
      </c>
      <c r="F1614" s="64" t="str">
        <f>Ringkasan!F1613</f>
        <v>30 Juni 2026</v>
      </c>
      <c r="G1614" s="64">
        <f>Ringkasan!G1613</f>
        <v>8</v>
      </c>
      <c r="H1614" s="19">
        <f>Ringkasan!H1613</f>
        <v>6.6</v>
      </c>
      <c r="I1614" s="19">
        <f>Ringkasan!I1613</f>
        <v>0.29</v>
      </c>
      <c r="J1614" s="19">
        <f>Ringkasan!J1613</f>
        <v>4.4</v>
      </c>
      <c r="K1614" s="19">
        <f>Ringkasan!K1613</f>
        <v>1.8</v>
      </c>
      <c r="L1614" s="19">
        <f>Ringkasan!L1613</f>
        <v>1.4</v>
      </c>
      <c r="M1614" s="19">
        <f>Ringkasan!M1613</f>
        <v>32.2</v>
      </c>
      <c r="N1614" s="64" t="str">
        <f>Ringkasan!N1613</f>
        <v/>
      </c>
      <c r="O1614" s="64" t="str">
        <f>Ringkasan!O1613</f>
        <v/>
      </c>
      <c r="P1614" s="64" t="str">
        <f>Ringkasan!P1613</f>
        <v/>
      </c>
      <c r="Q1614" s="64" t="str">
        <f>Ringkasan!Q1613</f>
        <v/>
      </c>
      <c r="R1614" s="64" t="str">
        <f>Ringkasan!R1613</f>
        <v/>
      </c>
      <c r="S1614" s="64" t="str">
        <f>Ringkasan!S1613</f>
        <v/>
      </c>
      <c r="T1614" s="64" t="str">
        <f>Ringkasan!T1613</f>
        <v/>
      </c>
      <c r="U1614" s="64" t="str">
        <f>Ringkasan!U1613</f>
        <v/>
      </c>
      <c r="V1614" s="64">
        <f>Ringkasan!V1613</f>
        <v>4.14</v>
      </c>
      <c r="W1614" s="64">
        <f>Ringkasan!W1613</f>
        <v>296</v>
      </c>
      <c r="X1614" s="64">
        <f>Ringkasan!X1613</f>
        <v>304</v>
      </c>
      <c r="Y1614" s="64">
        <f>Ringkasan!Y1613</f>
        <v>292</v>
      </c>
      <c r="Z1614" s="64">
        <f>Ringkasan!Z1613</f>
        <v>29775700</v>
      </c>
      <c r="AA1614" s="64" t="str">
        <f>Ringkasan!AA1613</f>
        <v>Real Estate Management &amp; Development</v>
      </c>
      <c r="AB1614" s="64" t="str">
        <f>Ringkasan!AB1613</f>
        <v>Properties &amp; Real Estate</v>
      </c>
    </row>
    <row r="1615" hidden="1">
      <c r="A1615" s="64" t="str">
        <f>Ringkasan!A1614</f>
        <v>SMRA</v>
      </c>
      <c r="B1615" s="64" t="str">
        <f>Ringkasan!B1614</f>
        <v>Summarecon Agung Tbk.</v>
      </c>
      <c r="C1615" s="65">
        <f>Ringkasan!C1614</f>
        <v>302</v>
      </c>
      <c r="D1615" s="64" t="str">
        <f>Ringkasan!D1614</f>
        <v>#N/A</v>
      </c>
      <c r="E1615" s="64" t="str">
        <f>Ringkasan!E1614</f>
        <v>IDXV30</v>
      </c>
      <c r="F1615" s="64" t="str">
        <f>Ringkasan!F1614</f>
        <v>4 Agustus 2026</v>
      </c>
      <c r="G1615" s="64">
        <f>Ringkasan!G1614</f>
        <v>8</v>
      </c>
      <c r="H1615" s="19">
        <f>Ringkasan!H1614</f>
        <v>6.6</v>
      </c>
      <c r="I1615" s="19">
        <f>Ringkasan!I1614</f>
        <v>0.29</v>
      </c>
      <c r="J1615" s="19">
        <f>Ringkasan!J1614</f>
        <v>4.4</v>
      </c>
      <c r="K1615" s="19">
        <f>Ringkasan!K1614</f>
        <v>1.8</v>
      </c>
      <c r="L1615" s="19">
        <f>Ringkasan!L1614</f>
        <v>1.4</v>
      </c>
      <c r="M1615" s="19">
        <f>Ringkasan!M1614</f>
        <v>32.2</v>
      </c>
      <c r="N1615" s="64" t="str">
        <f>Ringkasan!N1614</f>
        <v/>
      </c>
      <c r="O1615" s="64" t="str">
        <f>Ringkasan!O1614</f>
        <v/>
      </c>
      <c r="P1615" s="64" t="str">
        <f>Ringkasan!P1614</f>
        <v/>
      </c>
      <c r="Q1615" s="64" t="str">
        <f>Ringkasan!Q1614</f>
        <v/>
      </c>
      <c r="R1615" s="64" t="str">
        <f>Ringkasan!R1614</f>
        <v/>
      </c>
      <c r="S1615" s="64" t="str">
        <f>Ringkasan!S1614</f>
        <v/>
      </c>
      <c r="T1615" s="64" t="str">
        <f>Ringkasan!T1614</f>
        <v/>
      </c>
      <c r="U1615" s="64" t="str">
        <f>Ringkasan!U1614</f>
        <v/>
      </c>
      <c r="V1615" s="64">
        <f>Ringkasan!V1614</f>
        <v>4.14</v>
      </c>
      <c r="W1615" s="64">
        <f>Ringkasan!W1614</f>
        <v>296</v>
      </c>
      <c r="X1615" s="64">
        <f>Ringkasan!X1614</f>
        <v>304</v>
      </c>
      <c r="Y1615" s="64">
        <f>Ringkasan!Y1614</f>
        <v>292</v>
      </c>
      <c r="Z1615" s="64">
        <f>Ringkasan!Z1614</f>
        <v>29775700</v>
      </c>
      <c r="AA1615" s="64" t="str">
        <f>Ringkasan!AA1614</f>
        <v>Real Estate Management &amp; Development</v>
      </c>
      <c r="AB1615" s="64" t="str">
        <f>Ringkasan!AB1614</f>
        <v>Properties &amp; Real Estate</v>
      </c>
    </row>
    <row r="1616" hidden="1">
      <c r="A1616" s="64" t="str">
        <f>Ringkasan!A1615</f>
        <v>SMRA</v>
      </c>
      <c r="B1616" s="64" t="str">
        <f>Ringkasan!B1615</f>
        <v>Summarecon Agung Tbk.</v>
      </c>
      <c r="C1616" s="65">
        <f>Ringkasan!C1615</f>
        <v>302</v>
      </c>
      <c r="D1616" s="64" t="str">
        <f>Ringkasan!D1615</f>
        <v>#N/A</v>
      </c>
      <c r="E1616" s="64" t="str">
        <f>Ringkasan!E1615</f>
        <v>IDX80</v>
      </c>
      <c r="F1616" s="64" t="str">
        <f>Ringkasan!F1615</f>
        <v>31 Juli 2026</v>
      </c>
      <c r="G1616" s="64">
        <f>Ringkasan!G1615</f>
        <v>8</v>
      </c>
      <c r="H1616" s="19">
        <f>Ringkasan!H1615</f>
        <v>6.6</v>
      </c>
      <c r="I1616" s="19">
        <f>Ringkasan!I1615</f>
        <v>0.29</v>
      </c>
      <c r="J1616" s="19">
        <f>Ringkasan!J1615</f>
        <v>4.4</v>
      </c>
      <c r="K1616" s="19">
        <f>Ringkasan!K1615</f>
        <v>1.8</v>
      </c>
      <c r="L1616" s="19">
        <f>Ringkasan!L1615</f>
        <v>1.4</v>
      </c>
      <c r="M1616" s="19">
        <f>Ringkasan!M1615</f>
        <v>32.2</v>
      </c>
      <c r="N1616" s="64" t="str">
        <f>Ringkasan!N1615</f>
        <v/>
      </c>
      <c r="O1616" s="64" t="str">
        <f>Ringkasan!O1615</f>
        <v/>
      </c>
      <c r="P1616" s="64" t="str">
        <f>Ringkasan!P1615</f>
        <v/>
      </c>
      <c r="Q1616" s="64" t="str">
        <f>Ringkasan!Q1615</f>
        <v/>
      </c>
      <c r="R1616" s="64" t="str">
        <f>Ringkasan!R1615</f>
        <v/>
      </c>
      <c r="S1616" s="64" t="str">
        <f>Ringkasan!S1615</f>
        <v/>
      </c>
      <c r="T1616" s="64" t="str">
        <f>Ringkasan!T1615</f>
        <v/>
      </c>
      <c r="U1616" s="64" t="str">
        <f>Ringkasan!U1615</f>
        <v/>
      </c>
      <c r="V1616" s="64">
        <f>Ringkasan!V1615</f>
        <v>4.14</v>
      </c>
      <c r="W1616" s="64">
        <f>Ringkasan!W1615</f>
        <v>296</v>
      </c>
      <c r="X1616" s="64">
        <f>Ringkasan!X1615</f>
        <v>304</v>
      </c>
      <c r="Y1616" s="64">
        <f>Ringkasan!Y1615</f>
        <v>292</v>
      </c>
      <c r="Z1616" s="64">
        <f>Ringkasan!Z1615</f>
        <v>29775700</v>
      </c>
      <c r="AA1616" s="64" t="str">
        <f>Ringkasan!AA1615</f>
        <v>Real Estate Management &amp; Development</v>
      </c>
      <c r="AB1616" s="64" t="str">
        <f>Ringkasan!AB1615</f>
        <v>Properties &amp; Real Estate</v>
      </c>
    </row>
    <row r="1617" hidden="1">
      <c r="A1617" s="64" t="str">
        <f>Ringkasan!A1616</f>
        <v>SMRA</v>
      </c>
      <c r="B1617" s="64" t="str">
        <f>Ringkasan!B1616</f>
        <v>Summarecon Agung Tbk.</v>
      </c>
      <c r="C1617" s="65">
        <f>Ringkasan!C1616</f>
        <v>302</v>
      </c>
      <c r="D1617" s="64" t="str">
        <f>Ringkasan!D1616</f>
        <v>#N/A</v>
      </c>
      <c r="E1617" s="64" t="str">
        <f>Ringkasan!E1616</f>
        <v>Kompas100</v>
      </c>
      <c r="F1617" s="64" t="str">
        <f>Ringkasan!F1616</f>
        <v>31 Juli 2026</v>
      </c>
      <c r="G1617" s="64">
        <f>Ringkasan!G1616</f>
        <v>8</v>
      </c>
      <c r="H1617" s="19">
        <f>Ringkasan!H1616</f>
        <v>6.6</v>
      </c>
      <c r="I1617" s="19">
        <f>Ringkasan!I1616</f>
        <v>0.29</v>
      </c>
      <c r="J1617" s="19">
        <f>Ringkasan!J1616</f>
        <v>4.4</v>
      </c>
      <c r="K1617" s="19">
        <f>Ringkasan!K1616</f>
        <v>1.8</v>
      </c>
      <c r="L1617" s="19">
        <f>Ringkasan!L1616</f>
        <v>1.4</v>
      </c>
      <c r="M1617" s="19">
        <f>Ringkasan!M1616</f>
        <v>32.2</v>
      </c>
      <c r="N1617" s="64" t="str">
        <f>Ringkasan!N1616</f>
        <v/>
      </c>
      <c r="O1617" s="64" t="str">
        <f>Ringkasan!O1616</f>
        <v/>
      </c>
      <c r="P1617" s="64" t="str">
        <f>Ringkasan!P1616</f>
        <v/>
      </c>
      <c r="Q1617" s="64" t="str">
        <f>Ringkasan!Q1616</f>
        <v/>
      </c>
      <c r="R1617" s="64" t="str">
        <f>Ringkasan!R1616</f>
        <v/>
      </c>
      <c r="S1617" s="64" t="str">
        <f>Ringkasan!S1616</f>
        <v/>
      </c>
      <c r="T1617" s="64" t="str">
        <f>Ringkasan!T1616</f>
        <v/>
      </c>
      <c r="U1617" s="64" t="str">
        <f>Ringkasan!U1616</f>
        <v/>
      </c>
      <c r="V1617" s="64">
        <f>Ringkasan!V1616</f>
        <v>4.14</v>
      </c>
      <c r="W1617" s="64">
        <f>Ringkasan!W1616</f>
        <v>296</v>
      </c>
      <c r="X1617" s="64">
        <f>Ringkasan!X1616</f>
        <v>304</v>
      </c>
      <c r="Y1617" s="64">
        <f>Ringkasan!Y1616</f>
        <v>292</v>
      </c>
      <c r="Z1617" s="64">
        <f>Ringkasan!Z1616</f>
        <v>29775700</v>
      </c>
      <c r="AA1617" s="64" t="str">
        <f>Ringkasan!AA1616</f>
        <v>Real Estate Management &amp; Development</v>
      </c>
      <c r="AB1617" s="64" t="str">
        <f>Ringkasan!AB1616</f>
        <v>Properties &amp; Real Estate</v>
      </c>
    </row>
    <row r="1618" hidden="1">
      <c r="A1618" s="60" t="str">
        <f>Ringkasan!A1617</f>
        <v>SMRA</v>
      </c>
      <c r="B1618" s="60" t="str">
        <f>Ringkasan!B1617</f>
        <v>Summarecon Agung Tbk.</v>
      </c>
      <c r="C1618" s="61">
        <f>Ringkasan!C1617</f>
        <v>302</v>
      </c>
      <c r="D1618" s="60" t="str">
        <f>Ringkasan!D1617</f>
        <v>#N/A</v>
      </c>
      <c r="E1618" s="60" t="str">
        <f>Ringkasan!E1617</f>
        <v>IDXSMC-LIQ</v>
      </c>
      <c r="F1618" s="60" t="str">
        <f>Ringkasan!F1617</f>
        <v>4 Agustus 2026</v>
      </c>
      <c r="G1618" s="60">
        <f>Ringkasan!G1617</f>
        <v>8</v>
      </c>
      <c r="H1618" s="62">
        <f>Ringkasan!H1617</f>
        <v>6.6</v>
      </c>
      <c r="I1618" s="62">
        <f>Ringkasan!I1617</f>
        <v>0.29</v>
      </c>
      <c r="J1618" s="62">
        <f>Ringkasan!J1617</f>
        <v>4.4</v>
      </c>
      <c r="K1618" s="62">
        <f>Ringkasan!K1617</f>
        <v>1.8</v>
      </c>
      <c r="L1618" s="62">
        <f>Ringkasan!L1617</f>
        <v>1.4</v>
      </c>
      <c r="M1618" s="62">
        <f>Ringkasan!M1617</f>
        <v>32.2</v>
      </c>
      <c r="N1618" s="60" t="str">
        <f>Ringkasan!N1617</f>
        <v/>
      </c>
      <c r="O1618" s="60" t="str">
        <f>Ringkasan!O1617</f>
        <v/>
      </c>
      <c r="P1618" s="60" t="str">
        <f>Ringkasan!P1617</f>
        <v/>
      </c>
      <c r="Q1618" s="60" t="str">
        <f>Ringkasan!Q1617</f>
        <v/>
      </c>
      <c r="R1618" s="60" t="str">
        <f>Ringkasan!R1617</f>
        <v/>
      </c>
      <c r="S1618" s="60" t="str">
        <f>Ringkasan!S1617</f>
        <v/>
      </c>
      <c r="T1618" s="60" t="str">
        <f>Ringkasan!T1617</f>
        <v/>
      </c>
      <c r="U1618" s="60" t="str">
        <f>Ringkasan!U1617</f>
        <v/>
      </c>
      <c r="V1618" s="60">
        <f>Ringkasan!V1617</f>
        <v>4.14</v>
      </c>
      <c r="W1618" s="60">
        <f>Ringkasan!W1617</f>
        <v>296</v>
      </c>
      <c r="X1618" s="60">
        <f>Ringkasan!X1617</f>
        <v>304</v>
      </c>
      <c r="Y1618" s="60">
        <f>Ringkasan!Y1617</f>
        <v>292</v>
      </c>
      <c r="Z1618" s="60">
        <f>Ringkasan!Z1617</f>
        <v>29775700</v>
      </c>
      <c r="AA1618" s="60" t="str">
        <f>Ringkasan!AA1617</f>
        <v>Real Estate Management &amp; Development</v>
      </c>
      <c r="AB1618" s="60" t="str">
        <f>Ringkasan!AB1617</f>
        <v>Properties &amp; Real Estate</v>
      </c>
    </row>
    <row r="1619" hidden="1">
      <c r="A1619" s="60" t="str">
        <f>Ringkasan!A1618</f>
        <v>SMRA</v>
      </c>
      <c r="B1619" s="60" t="str">
        <f>Ringkasan!B1618</f>
        <v>Summarecon Agung Tbk.</v>
      </c>
      <c r="C1619" s="61">
        <f>Ringkasan!C1618</f>
        <v>302</v>
      </c>
      <c r="D1619" s="60" t="str">
        <f>Ringkasan!D1618</f>
        <v>#N/A</v>
      </c>
      <c r="E1619" s="60" t="str">
        <f>Ringkasan!E1618</f>
        <v>JII70</v>
      </c>
      <c r="F1619" s="63">
        <f>Ringkasan!F1618</f>
        <v>46356</v>
      </c>
      <c r="G1619" s="60">
        <f>Ringkasan!G1618</f>
        <v>8</v>
      </c>
      <c r="H1619" s="62">
        <f>Ringkasan!H1618</f>
        <v>6.6</v>
      </c>
      <c r="I1619" s="62">
        <f>Ringkasan!I1618</f>
        <v>0.29</v>
      </c>
      <c r="J1619" s="62">
        <f>Ringkasan!J1618</f>
        <v>4.4</v>
      </c>
      <c r="K1619" s="62">
        <f>Ringkasan!K1618</f>
        <v>1.8</v>
      </c>
      <c r="L1619" s="62">
        <f>Ringkasan!L1618</f>
        <v>1.4</v>
      </c>
      <c r="M1619" s="62">
        <f>Ringkasan!M1618</f>
        <v>32.2</v>
      </c>
      <c r="N1619" s="60" t="str">
        <f>Ringkasan!N1618</f>
        <v/>
      </c>
      <c r="O1619" s="60" t="str">
        <f>Ringkasan!O1618</f>
        <v/>
      </c>
      <c r="P1619" s="60" t="str">
        <f>Ringkasan!P1618</f>
        <v/>
      </c>
      <c r="Q1619" s="60" t="str">
        <f>Ringkasan!Q1618</f>
        <v/>
      </c>
      <c r="R1619" s="60" t="str">
        <f>Ringkasan!R1618</f>
        <v/>
      </c>
      <c r="S1619" s="60" t="str">
        <f>Ringkasan!S1618</f>
        <v/>
      </c>
      <c r="T1619" s="60" t="str">
        <f>Ringkasan!T1618</f>
        <v/>
      </c>
      <c r="U1619" s="60" t="str">
        <f>Ringkasan!U1618</f>
        <v/>
      </c>
      <c r="V1619" s="60">
        <f>Ringkasan!V1618</f>
        <v>4.14</v>
      </c>
      <c r="W1619" s="60">
        <f>Ringkasan!W1618</f>
        <v>296</v>
      </c>
      <c r="X1619" s="60">
        <f>Ringkasan!X1618</f>
        <v>304</v>
      </c>
      <c r="Y1619" s="60">
        <f>Ringkasan!Y1618</f>
        <v>292</v>
      </c>
      <c r="Z1619" s="60">
        <f>Ringkasan!Z1618</f>
        <v>29775700</v>
      </c>
      <c r="AA1619" s="60" t="str">
        <f>Ringkasan!AA1618</f>
        <v>Real Estate Management &amp; Development</v>
      </c>
      <c r="AB1619" s="60" t="str">
        <f>Ringkasan!AB1618</f>
        <v>Properties &amp; Real Estate</v>
      </c>
    </row>
    <row r="1620" hidden="1">
      <c r="A1620" s="64" t="str">
        <f>Ringkasan!A1619</f>
        <v>SMRU</v>
      </c>
      <c r="B1620" s="64" t="str">
        <f>Ringkasan!B1619</f>
        <v>SMR Utama Tbk</v>
      </c>
      <c r="C1620" s="65">
        <f>Ringkasan!C1619</f>
        <v>50</v>
      </c>
      <c r="D1620" s="64" t="str">
        <f>Ringkasan!D1619</f>
        <v>#N/A</v>
      </c>
      <c r="E1620" s="64" t="str">
        <f>Ringkasan!E1619</f>
        <v/>
      </c>
      <c r="F1620" s="64" t="str">
        <f>Ringkasan!F1619</f>
        <v/>
      </c>
      <c r="G1620" s="64">
        <f>Ringkasan!G1619</f>
        <v>0</v>
      </c>
      <c r="H1620" s="19">
        <f>Ringkasan!H1619</f>
        <v>-29.8</v>
      </c>
      <c r="I1620" s="19">
        <f>Ringkasan!I1619</f>
        <v>700</v>
      </c>
      <c r="J1620" s="19">
        <f>Ringkasan!J1619</f>
        <v>-2360</v>
      </c>
      <c r="K1620" s="19">
        <f>Ringkasan!K1619</f>
        <v>-3.2</v>
      </c>
      <c r="L1620" s="19">
        <f>Ringkasan!L1619</f>
        <v>730</v>
      </c>
      <c r="M1620" s="19">
        <f>Ringkasan!M1619</f>
        <v>-35.1</v>
      </c>
      <c r="N1620" s="64" t="str">
        <f>Ringkasan!N1619</f>
        <v/>
      </c>
      <c r="O1620" s="64" t="str">
        <f>Ringkasan!O1619</f>
        <v/>
      </c>
      <c r="P1620" s="64" t="str">
        <f>Ringkasan!P1619</f>
        <v/>
      </c>
      <c r="Q1620" s="64" t="str">
        <f>Ringkasan!Q1619</f>
        <v/>
      </c>
      <c r="R1620" s="64" t="str">
        <f>Ringkasan!R1619</f>
        <v/>
      </c>
      <c r="S1620" s="64" t="str">
        <f>Ringkasan!S1619</f>
        <v/>
      </c>
      <c r="T1620" s="64" t="str">
        <f>Ringkasan!T1619</f>
        <v/>
      </c>
      <c r="U1620" s="64">
        <f>Ringkasan!U1619</f>
        <v>50</v>
      </c>
      <c r="V1620" s="64">
        <f>Ringkasan!V1619</f>
        <v>0</v>
      </c>
      <c r="W1620" s="64" t="str">
        <f>Ringkasan!W1619</f>
        <v/>
      </c>
      <c r="X1620" s="64" t="str">
        <f>Ringkasan!X1619</f>
        <v/>
      </c>
      <c r="Y1620" s="64" t="str">
        <f>Ringkasan!Y1619</f>
        <v/>
      </c>
      <c r="Z1620" s="64">
        <f>Ringkasan!Z1619</f>
        <v>0</v>
      </c>
      <c r="AA1620" s="64" t="str">
        <f>Ringkasan!AA1619</f>
        <v>Oil, Gas &amp; Coal Supports</v>
      </c>
      <c r="AB1620" s="64" t="str">
        <f>Ringkasan!AB1619</f>
        <v>Energy</v>
      </c>
    </row>
    <row r="1621">
      <c r="A1621" s="64" t="str">
        <f>Ringkasan!A1620</f>
        <v>SMSM</v>
      </c>
      <c r="B1621" s="60" t="str">
        <f>Ringkasan!B1620</f>
        <v>Selamat Sempurna Tbk.</v>
      </c>
      <c r="C1621" s="61">
        <f>Ringkasan!C1620</f>
        <v>1640</v>
      </c>
      <c r="D1621" s="60" t="str">
        <f>Ringkasan!D1620</f>
        <v>#N/A</v>
      </c>
      <c r="E1621" s="60" t="str">
        <f>Ringkasan!E1620</f>
        <v>ESGQKEHATI</v>
      </c>
      <c r="F1621" s="63">
        <f>Ringkasan!F1620</f>
        <v>46356</v>
      </c>
      <c r="G1621" s="61">
        <f>Ringkasan!G1620</f>
        <v>2</v>
      </c>
      <c r="H1621" s="62">
        <f>Ringkasan!H1620</f>
        <v>8.9</v>
      </c>
      <c r="I1621" s="62">
        <f>Ringkasan!I1620</f>
        <v>2.1</v>
      </c>
      <c r="J1621" s="62">
        <f>Ringkasan!J1620</f>
        <v>24.2</v>
      </c>
      <c r="K1621" s="62">
        <f>Ringkasan!K1620</f>
        <v>20.2</v>
      </c>
      <c r="L1621" s="62">
        <f>Ringkasan!L1620</f>
        <v>0.2</v>
      </c>
      <c r="M1621" s="62">
        <f>Ringkasan!M1620</f>
        <v>90</v>
      </c>
      <c r="N1621" s="60" t="str">
        <f>Ringkasan!N1620</f>
        <v/>
      </c>
      <c r="O1621" s="60" t="str">
        <f>Ringkasan!O1620</f>
        <v/>
      </c>
      <c r="P1621" s="60" t="str">
        <f>Ringkasan!P1620</f>
        <v/>
      </c>
      <c r="Q1621" s="60" t="str">
        <f>Ringkasan!Q1620</f>
        <v/>
      </c>
      <c r="R1621" s="60" t="str">
        <f>Ringkasan!R1620</f>
        <v/>
      </c>
      <c r="S1621" s="60" t="str">
        <f>Ringkasan!S1620</f>
        <v/>
      </c>
      <c r="T1621" s="60" t="str">
        <f>Ringkasan!T1620</f>
        <v/>
      </c>
      <c r="U1621" s="60">
        <f>Ringkasan!U1620</f>
        <v>1615</v>
      </c>
      <c r="V1621" s="60">
        <f>Ringkasan!V1620</f>
        <v>1.55</v>
      </c>
      <c r="W1621" s="60">
        <f>Ringkasan!W1620</f>
        <v>1615</v>
      </c>
      <c r="X1621" s="60">
        <f>Ringkasan!X1620</f>
        <v>1655</v>
      </c>
      <c r="Y1621" s="60">
        <f>Ringkasan!Y1620</f>
        <v>1615</v>
      </c>
      <c r="Z1621" s="60">
        <f>Ringkasan!Z1620</f>
        <v>1756300</v>
      </c>
      <c r="AA1621" s="60" t="str">
        <f>Ringkasan!AA1620</f>
        <v>Auto Components</v>
      </c>
      <c r="AB1621" s="60" t="str">
        <f>Ringkasan!AB1620</f>
        <v>Consumer Cyclicals</v>
      </c>
    </row>
    <row r="1622">
      <c r="A1622" s="64" t="str">
        <f>Ringkasan!A1621</f>
        <v>SMSM</v>
      </c>
      <c r="B1622" s="60" t="str">
        <f>Ringkasan!B1621</f>
        <v>Selamat Sempurna Tbk.</v>
      </c>
      <c r="C1622" s="61">
        <f>Ringkasan!C1621</f>
        <v>1640</v>
      </c>
      <c r="D1622" s="60" t="str">
        <f>Ringkasan!D1621</f>
        <v>#N/A</v>
      </c>
      <c r="E1622" s="60" t="str">
        <f>Ringkasan!E1621</f>
        <v>ESGSKEHATI</v>
      </c>
      <c r="F1622" s="63">
        <f>Ringkasan!F1621</f>
        <v>46356</v>
      </c>
      <c r="G1622" s="61">
        <f>Ringkasan!G1621</f>
        <v>2</v>
      </c>
      <c r="H1622" s="62">
        <f>Ringkasan!H1621</f>
        <v>8.9</v>
      </c>
      <c r="I1622" s="62">
        <f>Ringkasan!I1621</f>
        <v>2.1</v>
      </c>
      <c r="J1622" s="62">
        <f>Ringkasan!J1621</f>
        <v>24.2</v>
      </c>
      <c r="K1622" s="62">
        <f>Ringkasan!K1621</f>
        <v>20.2</v>
      </c>
      <c r="L1622" s="62">
        <f>Ringkasan!L1621</f>
        <v>0.2</v>
      </c>
      <c r="M1622" s="62">
        <f>Ringkasan!M1621</f>
        <v>90</v>
      </c>
      <c r="N1622" s="60" t="str">
        <f>Ringkasan!N1621</f>
        <v/>
      </c>
      <c r="O1622" s="60" t="str">
        <f>Ringkasan!O1621</f>
        <v/>
      </c>
      <c r="P1622" s="60" t="str">
        <f>Ringkasan!P1621</f>
        <v/>
      </c>
      <c r="Q1622" s="60" t="str">
        <f>Ringkasan!Q1621</f>
        <v/>
      </c>
      <c r="R1622" s="60" t="str">
        <f>Ringkasan!R1621</f>
        <v/>
      </c>
      <c r="S1622" s="60" t="str">
        <f>Ringkasan!S1621</f>
        <v/>
      </c>
      <c r="T1622" s="60" t="str">
        <f>Ringkasan!T1621</f>
        <v/>
      </c>
      <c r="U1622" s="60">
        <f>Ringkasan!U1621</f>
        <v>1615</v>
      </c>
      <c r="V1622" s="60">
        <f>Ringkasan!V1621</f>
        <v>1.55</v>
      </c>
      <c r="W1622" s="60">
        <f>Ringkasan!W1621</f>
        <v>1615</v>
      </c>
      <c r="X1622" s="60">
        <f>Ringkasan!X1621</f>
        <v>1655</v>
      </c>
      <c r="Y1622" s="60">
        <f>Ringkasan!Y1621</f>
        <v>1615</v>
      </c>
      <c r="Z1622" s="60">
        <f>Ringkasan!Z1621</f>
        <v>1756300</v>
      </c>
      <c r="AA1622" s="60" t="str">
        <f>Ringkasan!AA1621</f>
        <v>Auto Components</v>
      </c>
      <c r="AB1622" s="60" t="str">
        <f>Ringkasan!AB1621</f>
        <v>Consumer Cyclicals</v>
      </c>
    </row>
    <row r="1623">
      <c r="A1623" s="60" t="str">
        <f>Ringkasan!A1452</f>
        <v>PTBA</v>
      </c>
      <c r="B1623" s="60" t="str">
        <f>Ringkasan!B1452</f>
        <v>Bukit Asam (Persero) Tbk.</v>
      </c>
      <c r="C1623" s="61">
        <f>Ringkasan!C1452</f>
        <v>2620</v>
      </c>
      <c r="D1623" s="60" t="str">
        <f>Ringkasan!D1452</f>
        <v>#N/A</v>
      </c>
      <c r="E1623" s="60" t="str">
        <f>Ringkasan!E1452</f>
        <v>MSCI Small Cap</v>
      </c>
      <c r="F1623" s="60" t="str">
        <f>Ringkasan!F1452</f>
        <v>12 Agustus 2026</v>
      </c>
      <c r="G1623" s="60">
        <f>Ringkasan!G1452</f>
        <v>18</v>
      </c>
      <c r="H1623" s="62">
        <f>Ringkasan!H1452</f>
        <v>9.6</v>
      </c>
      <c r="I1623" s="62">
        <f>Ringkasan!I1452</f>
        <v>1.4</v>
      </c>
      <c r="J1623" s="62">
        <f>Ringkasan!J1452</f>
        <v>14.1</v>
      </c>
      <c r="K1623" s="62">
        <f>Ringkasan!K1452</f>
        <v>7.7</v>
      </c>
      <c r="L1623" s="62">
        <f>Ringkasan!L1452</f>
        <v>0.83</v>
      </c>
      <c r="M1623" s="62">
        <f>Ringkasan!M1452</f>
        <v>33.6</v>
      </c>
      <c r="N1623" s="60" t="str">
        <f>Ringkasan!N1452</f>
        <v/>
      </c>
      <c r="O1623" s="60" t="str">
        <f>Ringkasan!O1452</f>
        <v/>
      </c>
      <c r="P1623" s="60" t="str">
        <f>Ringkasan!P1452</f>
        <v/>
      </c>
      <c r="Q1623" s="60" t="str">
        <f>Ringkasan!Q1452</f>
        <v/>
      </c>
      <c r="R1623" s="60" t="str">
        <f>Ringkasan!R1452</f>
        <v/>
      </c>
      <c r="S1623" s="60" t="str">
        <f>Ringkasan!S1452</f>
        <v/>
      </c>
      <c r="T1623" s="60" t="str">
        <f>Ringkasan!T1452</f>
        <v/>
      </c>
      <c r="U1623" s="60">
        <f>Ringkasan!U1452</f>
        <v>2630</v>
      </c>
      <c r="V1623" s="60">
        <f>Ringkasan!V1452</f>
        <v>-0.38</v>
      </c>
      <c r="W1623" s="60">
        <f>Ringkasan!W1452</f>
        <v>2600</v>
      </c>
      <c r="X1623" s="60">
        <f>Ringkasan!X1452</f>
        <v>2670</v>
      </c>
      <c r="Y1623" s="60">
        <f>Ringkasan!Y1452</f>
        <v>2550</v>
      </c>
      <c r="Z1623" s="60">
        <f>Ringkasan!Z1452</f>
        <v>46138000</v>
      </c>
      <c r="AA1623" s="60" t="str">
        <f>Ringkasan!AA1452</f>
        <v>Coal</v>
      </c>
      <c r="AB1623" s="60" t="str">
        <f>Ringkasan!AB1452</f>
        <v>Energy</v>
      </c>
    </row>
    <row r="1624">
      <c r="A1624" s="60" t="str">
        <f>Ringkasan!A1453</f>
        <v>PTBA</v>
      </c>
      <c r="B1624" s="60" t="str">
        <f>Ringkasan!B1453</f>
        <v>Bukit Asam (Persero) Tbk.</v>
      </c>
      <c r="C1624" s="61">
        <f>Ringkasan!C1453</f>
        <v>2620</v>
      </c>
      <c r="D1624" s="60" t="str">
        <f>Ringkasan!D1453</f>
        <v>#N/A</v>
      </c>
      <c r="E1624" s="60" t="str">
        <f>Ringkasan!E1453</f>
        <v>JII70</v>
      </c>
      <c r="F1624" s="63">
        <f>Ringkasan!F1453</f>
        <v>46356</v>
      </c>
      <c r="G1624" s="61">
        <f>Ringkasan!G1453</f>
        <v>18</v>
      </c>
      <c r="H1624" s="62">
        <f>Ringkasan!H1453</f>
        <v>9.6</v>
      </c>
      <c r="I1624" s="62">
        <f>Ringkasan!I1453</f>
        <v>1.4</v>
      </c>
      <c r="J1624" s="62">
        <f>Ringkasan!J1453</f>
        <v>14.1</v>
      </c>
      <c r="K1624" s="62">
        <f>Ringkasan!K1453</f>
        <v>7.7</v>
      </c>
      <c r="L1624" s="62">
        <f>Ringkasan!L1453</f>
        <v>0.83</v>
      </c>
      <c r="M1624" s="62">
        <f>Ringkasan!M1453</f>
        <v>33.6</v>
      </c>
      <c r="N1624" s="60" t="str">
        <f>Ringkasan!N1453</f>
        <v/>
      </c>
      <c r="O1624" s="60" t="str">
        <f>Ringkasan!O1453</f>
        <v/>
      </c>
      <c r="P1624" s="60" t="str">
        <f>Ringkasan!P1453</f>
        <v/>
      </c>
      <c r="Q1624" s="60" t="str">
        <f>Ringkasan!Q1453</f>
        <v/>
      </c>
      <c r="R1624" s="60" t="str">
        <f>Ringkasan!R1453</f>
        <v/>
      </c>
      <c r="S1624" s="60" t="str">
        <f>Ringkasan!S1453</f>
        <v/>
      </c>
      <c r="T1624" s="60" t="str">
        <f>Ringkasan!T1453</f>
        <v/>
      </c>
      <c r="U1624" s="60">
        <f>Ringkasan!U1453</f>
        <v>2630</v>
      </c>
      <c r="V1624" s="60">
        <f>Ringkasan!V1453</f>
        <v>-0.38</v>
      </c>
      <c r="W1624" s="60">
        <f>Ringkasan!W1453</f>
        <v>2600</v>
      </c>
      <c r="X1624" s="60">
        <f>Ringkasan!X1453</f>
        <v>2670</v>
      </c>
      <c r="Y1624" s="60">
        <f>Ringkasan!Y1453</f>
        <v>2550</v>
      </c>
      <c r="Z1624" s="60">
        <f>Ringkasan!Z1453</f>
        <v>46138000</v>
      </c>
      <c r="AA1624" s="60" t="str">
        <f>Ringkasan!AA1453</f>
        <v>Coal</v>
      </c>
      <c r="AB1624" s="60" t="str">
        <f>Ringkasan!AB1453</f>
        <v>Energy</v>
      </c>
    </row>
    <row r="1625" hidden="1">
      <c r="A1625" s="60" t="str">
        <f>Ringkasan!A1624</f>
        <v>SOFA</v>
      </c>
      <c r="B1625" s="60" t="str">
        <f>Ringkasan!B1624</f>
        <v>Solusi Environment Asia Tbk.</v>
      </c>
      <c r="C1625" s="61">
        <f>Ringkasan!C1624</f>
        <v>252</v>
      </c>
      <c r="D1625" s="60" t="str">
        <f>Ringkasan!D1624</f>
        <v>#N/A</v>
      </c>
      <c r="E1625" s="60" t="str">
        <f>Ringkasan!E1624</f>
        <v/>
      </c>
      <c r="F1625" s="60" t="str">
        <f>Ringkasan!F1624</f>
        <v/>
      </c>
      <c r="G1625" s="60">
        <f>Ringkasan!G1624</f>
        <v>0</v>
      </c>
      <c r="H1625" s="62">
        <f>Ringkasan!H1624</f>
        <v>-130</v>
      </c>
      <c r="I1625" s="62">
        <f>Ringkasan!I1624</f>
        <v>16.9</v>
      </c>
      <c r="J1625" s="62">
        <f>Ringkasan!J1624</f>
        <v>-13.3</v>
      </c>
      <c r="K1625" s="62">
        <f>Ringkasan!K1624</f>
        <v>-10</v>
      </c>
      <c r="L1625" s="62">
        <f>Ringkasan!L1624</f>
        <v>0.33</v>
      </c>
      <c r="M1625" s="62">
        <f>Ringkasan!M1624</f>
        <v>-11.5</v>
      </c>
      <c r="N1625" s="60" t="str">
        <f>Ringkasan!N1624</f>
        <v/>
      </c>
      <c r="O1625" s="60" t="str">
        <f>Ringkasan!O1624</f>
        <v/>
      </c>
      <c r="P1625" s="60" t="str">
        <f>Ringkasan!P1624</f>
        <v/>
      </c>
      <c r="Q1625" s="60" t="str">
        <f>Ringkasan!Q1624</f>
        <v/>
      </c>
      <c r="R1625" s="60" t="str">
        <f>Ringkasan!R1624</f>
        <v/>
      </c>
      <c r="S1625" s="60" t="str">
        <f>Ringkasan!S1624</f>
        <v/>
      </c>
      <c r="T1625" s="60" t="str">
        <f>Ringkasan!T1624</f>
        <v/>
      </c>
      <c r="U1625" s="60">
        <f>Ringkasan!U1624</f>
        <v>13.18</v>
      </c>
      <c r="V1625" s="60">
        <f>Ringkasan!V1624</f>
        <v>-1.21</v>
      </c>
      <c r="W1625" s="60">
        <f>Ringkasan!W1624</f>
        <v>13.59</v>
      </c>
      <c r="X1625" s="60">
        <f>Ringkasan!X1624</f>
        <v>13.59</v>
      </c>
      <c r="Y1625" s="60">
        <f>Ringkasan!Y1624</f>
        <v>12.62</v>
      </c>
      <c r="Z1625" s="60">
        <f>Ringkasan!Z1624</f>
        <v>105285</v>
      </c>
      <c r="AA1625" s="60" t="str">
        <f>Ringkasan!AA1624</f>
        <v>Household Goods</v>
      </c>
      <c r="AB1625" s="64" t="str">
        <f>Ringkasan!AB1624</f>
        <v>Consumer Cyclicals</v>
      </c>
    </row>
    <row r="1626" hidden="1">
      <c r="A1626" s="64" t="str">
        <f>Ringkasan!A1625</f>
        <v>SOHO</v>
      </c>
      <c r="B1626" s="64" t="str">
        <f>Ringkasan!B1625</f>
        <v>Soho Global Health Tbk.</v>
      </c>
      <c r="C1626" s="65">
        <f>Ringkasan!C1625</f>
        <v>1170</v>
      </c>
      <c r="D1626" s="64" t="str">
        <f>Ringkasan!D1625</f>
        <v>#N/A</v>
      </c>
      <c r="E1626" s="64" t="str">
        <f>Ringkasan!E1625</f>
        <v/>
      </c>
      <c r="F1626" s="64" t="str">
        <f>Ringkasan!F1625</f>
        <v/>
      </c>
      <c r="G1626" s="64">
        <f>Ringkasan!G1625</f>
        <v>0</v>
      </c>
      <c r="H1626" s="19">
        <f>Ringkasan!H1625</f>
        <v>29</v>
      </c>
      <c r="I1626" s="19">
        <f>Ringkasan!I1625</f>
        <v>6.9</v>
      </c>
      <c r="J1626" s="19">
        <f>Ringkasan!J1625</f>
        <v>23.7</v>
      </c>
      <c r="K1626" s="19">
        <f>Ringkasan!K1625</f>
        <v>11.3</v>
      </c>
      <c r="L1626" s="19">
        <f>Ringkasan!L1625</f>
        <v>1.1</v>
      </c>
      <c r="M1626" s="19">
        <f>Ringkasan!M1625</f>
        <v>24.9</v>
      </c>
      <c r="N1626" s="64" t="str">
        <f>Ringkasan!N1625</f>
        <v/>
      </c>
      <c r="O1626" s="64" t="str">
        <f>Ringkasan!O1625</f>
        <v/>
      </c>
      <c r="P1626" s="64" t="str">
        <f>Ringkasan!P1625</f>
        <v/>
      </c>
      <c r="Q1626" s="64" t="str">
        <f>Ringkasan!Q1625</f>
        <v/>
      </c>
      <c r="R1626" s="64" t="str">
        <f>Ringkasan!R1625</f>
        <v/>
      </c>
      <c r="S1626" s="64" t="str">
        <f>Ringkasan!S1625</f>
        <v/>
      </c>
      <c r="T1626" s="64" t="str">
        <f>Ringkasan!T1625</f>
        <v/>
      </c>
      <c r="U1626" s="64">
        <f>Ringkasan!U1625</f>
        <v>70.8</v>
      </c>
      <c r="V1626" s="64">
        <f>Ringkasan!V1625</f>
        <v>0.14</v>
      </c>
      <c r="W1626" s="64">
        <f>Ringkasan!W1625</f>
        <v>70.94</v>
      </c>
      <c r="X1626" s="64">
        <f>Ringkasan!X1625</f>
        <v>73</v>
      </c>
      <c r="Y1626" s="64">
        <f>Ringkasan!Y1625</f>
        <v>70.6</v>
      </c>
      <c r="Z1626" s="64">
        <f>Ringkasan!Z1625</f>
        <v>3694020</v>
      </c>
      <c r="AA1626" s="64" t="str">
        <f>Ringkasan!AA1625</f>
        <v>Pharmaceuticals</v>
      </c>
      <c r="AB1626" s="64" t="str">
        <f>Ringkasan!AB1625</f>
        <v>Healthcare</v>
      </c>
    </row>
    <row r="1627" hidden="1">
      <c r="A1627" s="64" t="str">
        <f>Ringkasan!A1626</f>
        <v>SOLA</v>
      </c>
      <c r="B1627" s="64" t="str">
        <f>Ringkasan!B1626</f>
        <v>Xolare RCR Energy Tbk.</v>
      </c>
      <c r="C1627" s="65">
        <f>Ringkasan!C1626</f>
        <v>91</v>
      </c>
      <c r="D1627" s="64" t="str">
        <f>Ringkasan!D1626</f>
        <v>#N/A</v>
      </c>
      <c r="E1627" s="64" t="str">
        <f>Ringkasan!E1626</f>
        <v/>
      </c>
      <c r="F1627" s="64" t="str">
        <f>Ringkasan!F1626</f>
        <v/>
      </c>
      <c r="G1627" s="64">
        <f>Ringkasan!G1626</f>
        <v>0</v>
      </c>
      <c r="H1627" s="19">
        <f>Ringkasan!H1626</f>
        <v>6.8</v>
      </c>
      <c r="I1627" s="19">
        <f>Ringkasan!I1626</f>
        <v>1.8</v>
      </c>
      <c r="J1627" s="19">
        <f>Ringkasan!J1626</f>
        <v>27.2</v>
      </c>
      <c r="K1627" s="19">
        <f>Ringkasan!K1626</f>
        <v>16.4</v>
      </c>
      <c r="L1627" s="19">
        <f>Ringkasan!L1626</f>
        <v>0.66</v>
      </c>
      <c r="M1627" s="19">
        <f>Ringkasan!M1626</f>
        <v>73.7</v>
      </c>
      <c r="N1627" s="64" t="str">
        <f>Ringkasan!N1626</f>
        <v/>
      </c>
      <c r="O1627" s="64" t="str">
        <f>Ringkasan!O1626</f>
        <v/>
      </c>
      <c r="P1627" s="64" t="str">
        <f>Ringkasan!P1626</f>
        <v/>
      </c>
      <c r="Q1627" s="64" t="str">
        <f>Ringkasan!Q1626</f>
        <v/>
      </c>
      <c r="R1627" s="64" t="str">
        <f>Ringkasan!R1626</f>
        <v/>
      </c>
      <c r="S1627" s="64" t="str">
        <f>Ringkasan!S1626</f>
        <v/>
      </c>
      <c r="T1627" s="64" t="str">
        <f>Ringkasan!T1626</f>
        <v/>
      </c>
      <c r="U1627" s="64">
        <f>Ringkasan!U1626</f>
        <v>4.91</v>
      </c>
      <c r="V1627" s="64">
        <f>Ringkasan!V1626</f>
        <v>0.41</v>
      </c>
      <c r="W1627" s="64">
        <f>Ringkasan!W1626</f>
        <v>4.92</v>
      </c>
      <c r="X1627" s="64">
        <f>Ringkasan!X1626</f>
        <v>5.04</v>
      </c>
      <c r="Y1627" s="64">
        <f>Ringkasan!Y1626</f>
        <v>4.92</v>
      </c>
      <c r="Z1627" s="64">
        <f>Ringkasan!Z1626</f>
        <v>3781</v>
      </c>
      <c r="AA1627" s="64" t="str">
        <f>Ringkasan!AA1626</f>
        <v>Construction Materials</v>
      </c>
      <c r="AB1627" s="64" t="str">
        <f>Ringkasan!AB1626</f>
        <v>Basic Materials</v>
      </c>
    </row>
    <row r="1628" hidden="1">
      <c r="A1628" s="64" t="str">
        <f>Ringkasan!A1627</f>
        <v>SONA</v>
      </c>
      <c r="B1628" s="64" t="str">
        <f>Ringkasan!B1627</f>
        <v>Sona Topas Tourism Industry Tbk.</v>
      </c>
      <c r="C1628" s="61">
        <f>Ringkasan!C1627</f>
        <v>2060</v>
      </c>
      <c r="D1628" s="60" t="str">
        <f>Ringkasan!D1627</f>
        <v>#N/A</v>
      </c>
      <c r="E1628" s="64" t="str">
        <f>Ringkasan!E1627</f>
        <v/>
      </c>
      <c r="F1628" s="64" t="str">
        <f>Ringkasan!F1627</f>
        <v/>
      </c>
      <c r="G1628" s="64">
        <f>Ringkasan!G1627</f>
        <v>0</v>
      </c>
      <c r="H1628" s="19">
        <f>Ringkasan!H1627</f>
        <v>16.5</v>
      </c>
      <c r="I1628" s="19">
        <f>Ringkasan!I1627</f>
        <v>1.9</v>
      </c>
      <c r="J1628" s="19">
        <f>Ringkasan!J1627</f>
        <v>11.7</v>
      </c>
      <c r="K1628" s="19">
        <f>Ringkasan!K1627</f>
        <v>8.8</v>
      </c>
      <c r="L1628" s="19">
        <f>Ringkasan!L1627</f>
        <v>0.33</v>
      </c>
      <c r="M1628" s="19">
        <f>Ringkasan!M1627</f>
        <v>43.2</v>
      </c>
      <c r="N1628" s="64" t="str">
        <f>Ringkasan!N1627</f>
        <v/>
      </c>
      <c r="O1628" s="64" t="str">
        <f>Ringkasan!O1627</f>
        <v/>
      </c>
      <c r="P1628" s="64" t="str">
        <f>Ringkasan!P1627</f>
        <v/>
      </c>
      <c r="Q1628" s="64" t="str">
        <f>Ringkasan!Q1627</f>
        <v/>
      </c>
      <c r="R1628" s="64" t="str">
        <f>Ringkasan!R1627</f>
        <v/>
      </c>
      <c r="S1628" s="64" t="str">
        <f>Ringkasan!S1627</f>
        <v/>
      </c>
      <c r="T1628" s="64" t="str">
        <f>Ringkasan!T1627</f>
        <v/>
      </c>
      <c r="U1628" s="60">
        <f>Ringkasan!U1627</f>
        <v>0.28</v>
      </c>
      <c r="V1628" s="60">
        <f>Ringkasan!V1627</f>
        <v>0</v>
      </c>
      <c r="W1628" s="60">
        <f>Ringkasan!W1627</f>
        <v>0.29</v>
      </c>
      <c r="X1628" s="60">
        <f>Ringkasan!X1627</f>
        <v>0.29</v>
      </c>
      <c r="Y1628" s="60">
        <f>Ringkasan!Y1627</f>
        <v>0.26</v>
      </c>
      <c r="Z1628" s="60">
        <f>Ringkasan!Z1627</f>
        <v>73781</v>
      </c>
      <c r="AA1628" s="64" t="str">
        <f>Ringkasan!AA1627</f>
        <v>Department Stores</v>
      </c>
      <c r="AB1628" s="64" t="str">
        <f>Ringkasan!AB1627</f>
        <v>Consumer Cyclicals</v>
      </c>
    </row>
    <row r="1629" hidden="1">
      <c r="A1629" s="60" t="str">
        <f>Ringkasan!A1628</f>
        <v>SOSS</v>
      </c>
      <c r="B1629" s="60" t="str">
        <f>Ringkasan!B1628</f>
        <v>Shield On Service Tbk.</v>
      </c>
      <c r="C1629" s="61">
        <f>Ringkasan!C1628</f>
        <v>775</v>
      </c>
      <c r="D1629" s="60" t="str">
        <f>Ringkasan!D1628</f>
        <v>#N/A</v>
      </c>
      <c r="E1629" s="60" t="str">
        <f>Ringkasan!E1628</f>
        <v/>
      </c>
      <c r="F1629" s="60" t="str">
        <f>Ringkasan!F1628</f>
        <v/>
      </c>
      <c r="G1629" s="60">
        <f>Ringkasan!G1628</f>
        <v>0</v>
      </c>
      <c r="H1629" s="62">
        <f>Ringkasan!H1628</f>
        <v>-42.9</v>
      </c>
      <c r="I1629" s="62">
        <f>Ringkasan!I1628</f>
        <v>2.9</v>
      </c>
      <c r="J1629" s="62">
        <f>Ringkasan!J1628</f>
        <v>-6.8</v>
      </c>
      <c r="K1629" s="62">
        <f>Ringkasan!K1628</f>
        <v>-3.1</v>
      </c>
      <c r="L1629" s="62">
        <f>Ringkasan!L1628</f>
        <v>1.2</v>
      </c>
      <c r="M1629" s="62">
        <f>Ringkasan!M1628</f>
        <v>-3.4</v>
      </c>
      <c r="N1629" s="60" t="str">
        <f>Ringkasan!N1628</f>
        <v/>
      </c>
      <c r="O1629" s="60" t="str">
        <f>Ringkasan!O1628</f>
        <v/>
      </c>
      <c r="P1629" s="60" t="str">
        <f>Ringkasan!P1628</f>
        <v/>
      </c>
      <c r="Q1629" s="60" t="str">
        <f>Ringkasan!Q1628</f>
        <v/>
      </c>
      <c r="R1629" s="60" t="str">
        <f>Ringkasan!R1628</f>
        <v/>
      </c>
      <c r="S1629" s="60" t="str">
        <f>Ringkasan!S1628</f>
        <v/>
      </c>
      <c r="T1629" s="60" t="str">
        <f>Ringkasan!T1628</f>
        <v/>
      </c>
      <c r="U1629" s="60">
        <f>Ringkasan!U1628</f>
        <v>775</v>
      </c>
      <c r="V1629" s="60">
        <f>Ringkasan!V1628</f>
        <v>0</v>
      </c>
      <c r="W1629" s="60">
        <f>Ringkasan!W1628</f>
        <v>775</v>
      </c>
      <c r="X1629" s="60">
        <f>Ringkasan!X1628</f>
        <v>775</v>
      </c>
      <c r="Y1629" s="60">
        <f>Ringkasan!Y1628</f>
        <v>775</v>
      </c>
      <c r="Z1629" s="60">
        <f>Ringkasan!Z1628</f>
        <v>200</v>
      </c>
      <c r="AA1629" s="60" t="str">
        <f>Ringkasan!AA1628</f>
        <v>Professional Services</v>
      </c>
      <c r="AB1629" s="60" t="str">
        <f>Ringkasan!AB1628</f>
        <v>Industrials</v>
      </c>
    </row>
    <row r="1630" hidden="1">
      <c r="A1630" s="64" t="str">
        <f>Ringkasan!A1629</f>
        <v>SOTS</v>
      </c>
      <c r="B1630" s="64" t="str">
        <f>Ringkasan!B1629</f>
        <v>Satria Mega Kencana Tbk.</v>
      </c>
      <c r="C1630" s="61">
        <f>Ringkasan!C1629</f>
        <v>670</v>
      </c>
      <c r="D1630" s="60" t="str">
        <f>Ringkasan!D1629</f>
        <v>#N/A</v>
      </c>
      <c r="E1630" s="60" t="str">
        <f>Ringkasan!E1629</f>
        <v/>
      </c>
      <c r="F1630" s="60" t="str">
        <f>Ringkasan!F1629</f>
        <v/>
      </c>
      <c r="G1630" s="60">
        <f>Ringkasan!G1629</f>
        <v>0</v>
      </c>
      <c r="H1630" s="62">
        <f>Ringkasan!H1629</f>
        <v>-67.7</v>
      </c>
      <c r="I1630" s="62">
        <f>Ringkasan!I1629</f>
        <v>4</v>
      </c>
      <c r="J1630" s="62">
        <f>Ringkasan!J1629</f>
        <v>-5.9</v>
      </c>
      <c r="K1630" s="62">
        <f>Ringkasan!K1629</f>
        <v>-2.6</v>
      </c>
      <c r="L1630" s="62">
        <f>Ringkasan!L1629</f>
        <v>1.3</v>
      </c>
      <c r="M1630" s="62">
        <f>Ringkasan!M1629</f>
        <v>-220</v>
      </c>
      <c r="N1630" s="60" t="str">
        <f>Ringkasan!N1629</f>
        <v/>
      </c>
      <c r="O1630" s="60" t="str">
        <f>Ringkasan!O1629</f>
        <v/>
      </c>
      <c r="P1630" s="60" t="str">
        <f>Ringkasan!P1629</f>
        <v/>
      </c>
      <c r="Q1630" s="60" t="str">
        <f>Ringkasan!Q1629</f>
        <v/>
      </c>
      <c r="R1630" s="60" t="str">
        <f>Ringkasan!R1629</f>
        <v/>
      </c>
      <c r="S1630" s="60" t="str">
        <f>Ringkasan!S1629</f>
        <v/>
      </c>
      <c r="T1630" s="60" t="str">
        <f>Ringkasan!T1629</f>
        <v/>
      </c>
      <c r="U1630" s="60">
        <f>Ringkasan!U1629</f>
        <v>630</v>
      </c>
      <c r="V1630" s="60">
        <f>Ringkasan!V1629</f>
        <v>6.35</v>
      </c>
      <c r="W1630" s="60">
        <f>Ringkasan!W1629</f>
        <v>615</v>
      </c>
      <c r="X1630" s="60">
        <f>Ringkasan!X1629</f>
        <v>700</v>
      </c>
      <c r="Y1630" s="60">
        <f>Ringkasan!Y1629</f>
        <v>615</v>
      </c>
      <c r="Z1630" s="60">
        <f>Ringkasan!Z1629</f>
        <v>542300</v>
      </c>
      <c r="AA1630" s="60" t="str">
        <f>Ringkasan!AA1629</f>
        <v>Tourism &amp; Recreation</v>
      </c>
      <c r="AB1630" s="60" t="str">
        <f>Ringkasan!AB1629</f>
        <v>Consumer Cyclicals</v>
      </c>
    </row>
    <row r="1631" hidden="1">
      <c r="A1631" s="64" t="str">
        <f>Ringkasan!A1630</f>
        <v>SOUL</v>
      </c>
      <c r="B1631" s="64" t="str">
        <f>Ringkasan!B1630</f>
        <v>PT Mitra Tirta Buwana Tbk</v>
      </c>
      <c r="C1631" s="65">
        <f>Ringkasan!C1630</f>
        <v>35</v>
      </c>
      <c r="D1631" s="64" t="str">
        <f>Ringkasan!D1630</f>
        <v>#N/A</v>
      </c>
      <c r="E1631" s="64" t="str">
        <f>Ringkasan!E1630</f>
        <v/>
      </c>
      <c r="F1631" s="64" t="str">
        <f>Ringkasan!F1630</f>
        <v/>
      </c>
      <c r="G1631" s="64">
        <f>Ringkasan!G1630</f>
        <v>0</v>
      </c>
      <c r="H1631" s="19">
        <f>Ringkasan!H1630</f>
        <v>-11</v>
      </c>
      <c r="I1631" s="19">
        <f>Ringkasan!I1630</f>
        <v>1.2</v>
      </c>
      <c r="J1631" s="19">
        <f>Ringkasan!J1630</f>
        <v>-10.9</v>
      </c>
      <c r="K1631" s="19">
        <f>Ringkasan!K1630</f>
        <v>-10</v>
      </c>
      <c r="L1631" s="19">
        <f>Ringkasan!L1630</f>
        <v>0.08</v>
      </c>
      <c r="M1631" s="19">
        <f>Ringkasan!M1630</f>
        <v>-280</v>
      </c>
      <c r="N1631" s="64" t="str">
        <f>Ringkasan!N1630</f>
        <v/>
      </c>
      <c r="O1631" s="64" t="str">
        <f>Ringkasan!O1630</f>
        <v/>
      </c>
      <c r="P1631" s="64" t="str">
        <f>Ringkasan!P1630</f>
        <v/>
      </c>
      <c r="Q1631" s="64" t="str">
        <f>Ringkasan!Q1630</f>
        <v/>
      </c>
      <c r="R1631" s="64" t="str">
        <f>Ringkasan!R1630</f>
        <v/>
      </c>
      <c r="S1631" s="64" t="str">
        <f>Ringkasan!S1630</f>
        <v/>
      </c>
      <c r="T1631" s="64" t="str">
        <f>Ringkasan!T1630</f>
        <v/>
      </c>
      <c r="U1631" s="64">
        <f>Ringkasan!U1630</f>
        <v>10.35</v>
      </c>
      <c r="V1631" s="64">
        <f>Ringkasan!V1630</f>
        <v>0</v>
      </c>
      <c r="W1631" s="64">
        <f>Ringkasan!W1630</f>
        <v>10.35</v>
      </c>
      <c r="X1631" s="64">
        <f>Ringkasan!X1630</f>
        <v>10.35</v>
      </c>
      <c r="Y1631" s="64">
        <f>Ringkasan!Y1630</f>
        <v>10.35</v>
      </c>
      <c r="Z1631" s="64">
        <f>Ringkasan!Z1630</f>
        <v>50342</v>
      </c>
      <c r="AA1631" s="64" t="str">
        <f>Ringkasan!AA1630</f>
        <v>Beverages</v>
      </c>
      <c r="AB1631" s="64" t="str">
        <f>Ringkasan!AB1630</f>
        <v>Consumer Non-Cyclicals</v>
      </c>
    </row>
    <row r="1632" hidden="1">
      <c r="A1632" s="64" t="str">
        <f>Ringkasan!A1576</f>
        <v>SKLT</v>
      </c>
      <c r="B1632" s="64" t="str">
        <f>Ringkasan!B1576</f>
        <v>Sekar Laut Tbk.</v>
      </c>
      <c r="C1632" s="61">
        <f>Ringkasan!C1576</f>
        <v>178</v>
      </c>
      <c r="D1632" s="60" t="str">
        <f>Ringkasan!D1576</f>
        <v>#N/A</v>
      </c>
      <c r="E1632" s="60" t="str">
        <f>Ringkasan!E1576</f>
        <v/>
      </c>
      <c r="F1632" s="60" t="str">
        <f>Ringkasan!F1576</f>
        <v/>
      </c>
      <c r="G1632" s="60">
        <f>Ringkasan!G1576</f>
        <v>0</v>
      </c>
      <c r="H1632" s="62">
        <f>Ringkasan!H1576</f>
        <v>13.3</v>
      </c>
      <c r="I1632" s="62">
        <f>Ringkasan!I1576</f>
        <v>1.4</v>
      </c>
      <c r="J1632" s="62">
        <f>Ringkasan!J1576</f>
        <v>10.3</v>
      </c>
      <c r="K1632" s="62">
        <f>Ringkasan!K1576</f>
        <v>5.7</v>
      </c>
      <c r="L1632" s="62">
        <f>Ringkasan!L1576</f>
        <v>0.8</v>
      </c>
      <c r="M1632" s="62">
        <f>Ringkasan!M1576</f>
        <v>14.2</v>
      </c>
      <c r="N1632" s="60" t="str">
        <f>Ringkasan!N1576</f>
        <v/>
      </c>
      <c r="O1632" s="60" t="str">
        <f>Ringkasan!O1576</f>
        <v/>
      </c>
      <c r="P1632" s="60" t="str">
        <f>Ringkasan!P1576</f>
        <v/>
      </c>
      <c r="Q1632" s="60" t="str">
        <f>Ringkasan!Q1576</f>
        <v/>
      </c>
      <c r="R1632" s="60" t="str">
        <f>Ringkasan!R1576</f>
        <v/>
      </c>
      <c r="S1632" s="60" t="str">
        <f>Ringkasan!S1576</f>
        <v/>
      </c>
      <c r="T1632" s="60" t="str">
        <f>Ringkasan!T1576</f>
        <v/>
      </c>
      <c r="U1632" s="60">
        <f>Ringkasan!U1576</f>
        <v>177</v>
      </c>
      <c r="V1632" s="60">
        <f>Ringkasan!V1576</f>
        <v>0.56</v>
      </c>
      <c r="W1632" s="60">
        <f>Ringkasan!W1576</f>
        <v>180</v>
      </c>
      <c r="X1632" s="60">
        <f>Ringkasan!X1576</f>
        <v>182</v>
      </c>
      <c r="Y1632" s="60">
        <f>Ringkasan!Y1576</f>
        <v>176</v>
      </c>
      <c r="Z1632" s="60">
        <f>Ringkasan!Z1576</f>
        <v>29200</v>
      </c>
      <c r="AA1632" s="60" t="str">
        <f>Ringkasan!AA1576</f>
        <v>Processed Foods</v>
      </c>
      <c r="AB1632" s="64" t="str">
        <f>Ringkasan!AB1576</f>
        <v>Consumer Non-Cyclicals</v>
      </c>
    </row>
    <row r="1633" hidden="1">
      <c r="A1633" s="60" t="str">
        <f>Ringkasan!A1454</f>
        <v>PTDU</v>
      </c>
      <c r="B1633" s="60" t="str">
        <f>Ringkasan!B1454</f>
        <v>Djasa Ubersakti Tbk.</v>
      </c>
      <c r="C1633" s="61">
        <f>Ringkasan!C1454</f>
        <v>70</v>
      </c>
      <c r="D1633" s="60" t="str">
        <f>Ringkasan!D1454</f>
        <v>#N/A</v>
      </c>
      <c r="E1633" s="60" t="str">
        <f>Ringkasan!E1454</f>
        <v/>
      </c>
      <c r="F1633" s="60" t="str">
        <f>Ringkasan!F1454</f>
        <v/>
      </c>
      <c r="G1633" s="60">
        <f>Ringkasan!G1454</f>
        <v>0</v>
      </c>
      <c r="H1633" s="62">
        <f>Ringkasan!H1454</f>
        <v>-4.2</v>
      </c>
      <c r="I1633" s="62">
        <f>Ringkasan!I1454</f>
        <v>-13.5</v>
      </c>
      <c r="J1633" s="62">
        <f>Ringkasan!J1454</f>
        <v>0</v>
      </c>
      <c r="K1633" s="62">
        <f>Ringkasan!K1454</f>
        <v>-20.8</v>
      </c>
      <c r="L1633" s="62">
        <f>Ringkasan!L1454</f>
        <v>-16.7</v>
      </c>
      <c r="M1633" s="62">
        <f>Ringkasan!M1454</f>
        <v>-50.9</v>
      </c>
      <c r="N1633" s="60" t="str">
        <f>Ringkasan!N1454</f>
        <v/>
      </c>
      <c r="O1633" s="60" t="str">
        <f>Ringkasan!O1454</f>
        <v/>
      </c>
      <c r="P1633" s="60" t="str">
        <f>Ringkasan!P1454</f>
        <v/>
      </c>
      <c r="Q1633" s="60" t="str">
        <f>Ringkasan!Q1454</f>
        <v/>
      </c>
      <c r="R1633" s="60" t="str">
        <f>Ringkasan!R1454</f>
        <v/>
      </c>
      <c r="S1633" s="60" t="str">
        <f>Ringkasan!S1454</f>
        <v/>
      </c>
      <c r="T1633" s="60" t="str">
        <f>Ringkasan!T1454</f>
        <v/>
      </c>
      <c r="U1633" s="60">
        <f>Ringkasan!U1454</f>
        <v>70</v>
      </c>
      <c r="V1633" s="60">
        <f>Ringkasan!V1454</f>
        <v>0</v>
      </c>
      <c r="W1633" s="60" t="str">
        <f>Ringkasan!W1454</f>
        <v/>
      </c>
      <c r="X1633" s="60" t="str">
        <f>Ringkasan!X1454</f>
        <v/>
      </c>
      <c r="Y1633" s="60" t="str">
        <f>Ringkasan!Y1454</f>
        <v/>
      </c>
      <c r="Z1633" s="60">
        <f>Ringkasan!Z1454</f>
        <v>0</v>
      </c>
      <c r="AA1633" s="60" t="str">
        <f>Ringkasan!AA1454</f>
        <v>Heavy Constructions &amp; Civil Engineering</v>
      </c>
      <c r="AB1633" s="60" t="str">
        <f>Ringkasan!AB1454</f>
        <v>Infrastructures</v>
      </c>
    </row>
    <row r="1634" hidden="1">
      <c r="A1634" s="64" t="str">
        <f>Ringkasan!A1558</f>
        <v>SICO</v>
      </c>
      <c r="B1634" s="64" t="str">
        <f>Ringkasan!B1558</f>
        <v>Sigma Energy Compressindo Tbk.</v>
      </c>
      <c r="C1634" s="65">
        <f>Ringkasan!C1558</f>
        <v>103</v>
      </c>
      <c r="D1634" s="64" t="str">
        <f>Ringkasan!D1558</f>
        <v>#N/A</v>
      </c>
      <c r="E1634" s="64" t="str">
        <f>Ringkasan!E1558</f>
        <v/>
      </c>
      <c r="F1634" s="64" t="str">
        <f>Ringkasan!F1558</f>
        <v/>
      </c>
      <c r="G1634" s="64">
        <f>Ringkasan!G1558</f>
        <v>0</v>
      </c>
      <c r="H1634" s="19">
        <f>Ringkasan!H1558</f>
        <v>7.3</v>
      </c>
      <c r="I1634" s="19">
        <f>Ringkasan!I1558</f>
        <v>0.72</v>
      </c>
      <c r="J1634" s="19">
        <f>Ringkasan!J1558</f>
        <v>9.9</v>
      </c>
      <c r="K1634" s="19">
        <f>Ringkasan!K1558</f>
        <v>7.6</v>
      </c>
      <c r="L1634" s="19">
        <f>Ringkasan!L1558</f>
        <v>0.3</v>
      </c>
      <c r="M1634" s="19">
        <f>Ringkasan!M1558</f>
        <v>35.6</v>
      </c>
      <c r="N1634" s="64" t="str">
        <f>Ringkasan!N1558</f>
        <v/>
      </c>
      <c r="O1634" s="64" t="str">
        <f>Ringkasan!O1558</f>
        <v/>
      </c>
      <c r="P1634" s="64" t="str">
        <f>Ringkasan!P1558</f>
        <v/>
      </c>
      <c r="Q1634" s="64" t="str">
        <f>Ringkasan!Q1558</f>
        <v/>
      </c>
      <c r="R1634" s="64" t="str">
        <f>Ringkasan!R1558</f>
        <v/>
      </c>
      <c r="S1634" s="64" t="str">
        <f>Ringkasan!S1558</f>
        <v/>
      </c>
      <c r="T1634" s="64" t="str">
        <f>Ringkasan!T1558</f>
        <v/>
      </c>
      <c r="U1634" s="64">
        <f>Ringkasan!U1558</f>
        <v>7.8</v>
      </c>
      <c r="V1634" s="64">
        <f>Ringkasan!V1558</f>
        <v>1.92</v>
      </c>
      <c r="W1634" s="64">
        <f>Ringkasan!W1558</f>
        <v>7.86</v>
      </c>
      <c r="X1634" s="64">
        <f>Ringkasan!X1558</f>
        <v>8.2</v>
      </c>
      <c r="Y1634" s="64">
        <f>Ringkasan!Y1558</f>
        <v>7.29</v>
      </c>
      <c r="Z1634" s="64">
        <f>Ringkasan!Z1558</f>
        <v>242722</v>
      </c>
      <c r="AA1634" s="64" t="str">
        <f>Ringkasan!AA1558</f>
        <v>Oil, Gas &amp; Coal Supports</v>
      </c>
      <c r="AB1634" s="64" t="str">
        <f>Ringkasan!AB1558</f>
        <v>Energy</v>
      </c>
    </row>
    <row r="1635" hidden="1">
      <c r="A1635" s="64" t="str">
        <f>Ringkasan!A1631</f>
        <v>SPMA</v>
      </c>
      <c r="B1635" s="60" t="str">
        <f>Ringkasan!B1631</f>
        <v>Suparma Tbk.</v>
      </c>
      <c r="C1635" s="61">
        <f>Ringkasan!C1631</f>
        <v>206</v>
      </c>
      <c r="D1635" s="60" t="str">
        <f>Ringkasan!D1631</f>
        <v>#N/A</v>
      </c>
      <c r="E1635" s="60" t="str">
        <f>Ringkasan!E1631</f>
        <v/>
      </c>
      <c r="F1635" s="60" t="str">
        <f>Ringkasan!F1631</f>
        <v/>
      </c>
      <c r="G1635" s="60">
        <f>Ringkasan!G1631</f>
        <v>0</v>
      </c>
      <c r="H1635" s="62">
        <f>Ringkasan!H1631</f>
        <v>8.3</v>
      </c>
      <c r="I1635" s="62">
        <f>Ringkasan!I1631</f>
        <v>0.34</v>
      </c>
      <c r="J1635" s="62">
        <f>Ringkasan!J1631</f>
        <v>4.1</v>
      </c>
      <c r="K1635" s="62">
        <f>Ringkasan!K1631</f>
        <v>2.8</v>
      </c>
      <c r="L1635" s="62">
        <f>Ringkasan!L1631</f>
        <v>0.5</v>
      </c>
      <c r="M1635" s="62">
        <f>Ringkasan!M1631</f>
        <v>15.8</v>
      </c>
      <c r="N1635" s="60" t="str">
        <f>Ringkasan!N1631</f>
        <v/>
      </c>
      <c r="O1635" s="60" t="str">
        <f>Ringkasan!O1631</f>
        <v/>
      </c>
      <c r="P1635" s="60" t="str">
        <f>Ringkasan!P1631</f>
        <v/>
      </c>
      <c r="Q1635" s="60" t="str">
        <f>Ringkasan!Q1631</f>
        <v/>
      </c>
      <c r="R1635" s="60" t="str">
        <f>Ringkasan!R1631</f>
        <v/>
      </c>
      <c r="S1635" s="60" t="str">
        <f>Ringkasan!S1631</f>
        <v/>
      </c>
      <c r="T1635" s="60" t="str">
        <f>Ringkasan!T1631</f>
        <v/>
      </c>
      <c r="U1635" s="60">
        <f>Ringkasan!U1631</f>
        <v>25.13</v>
      </c>
      <c r="V1635" s="60">
        <f>Ringkasan!V1631</f>
        <v>-0.36</v>
      </c>
      <c r="W1635" s="60">
        <f>Ringkasan!W1631</f>
        <v>25.03</v>
      </c>
      <c r="X1635" s="60">
        <f>Ringkasan!X1631</f>
        <v>25.05</v>
      </c>
      <c r="Y1635" s="60">
        <f>Ringkasan!Y1631</f>
        <v>25.02</v>
      </c>
      <c r="Z1635" s="60">
        <f>Ringkasan!Z1631</f>
        <v>10411</v>
      </c>
      <c r="AA1635" s="60" t="str">
        <f>Ringkasan!AA1631</f>
        <v>Containers &amp; Packaging</v>
      </c>
      <c r="AB1635" s="60" t="str">
        <f>Ringkasan!AB1631</f>
        <v>Basic Materials</v>
      </c>
    </row>
    <row r="1636" hidden="1">
      <c r="A1636" s="60" t="str">
        <f>Ringkasan!A1635</f>
        <v>SRAJ</v>
      </c>
      <c r="B1636" s="60" t="str">
        <f>Ringkasan!B1635</f>
        <v>Sejahteraraya Anugrahjaya Tbk</v>
      </c>
      <c r="C1636" s="61">
        <f>Ringkasan!C1635</f>
        <v>11000</v>
      </c>
      <c r="D1636" s="60" t="str">
        <f>Ringkasan!D1635</f>
        <v>#N/A</v>
      </c>
      <c r="E1636" s="60" t="str">
        <f>Ringkasan!E1635</f>
        <v/>
      </c>
      <c r="F1636" s="60" t="str">
        <f>Ringkasan!F1635</f>
        <v/>
      </c>
      <c r="G1636" s="60">
        <f>Ringkasan!G1635</f>
        <v>0</v>
      </c>
      <c r="H1636" s="62">
        <f>Ringkasan!H1635</f>
        <v>-650</v>
      </c>
      <c r="I1636" s="62">
        <f>Ringkasan!I1635</f>
        <v>140</v>
      </c>
      <c r="J1636" s="62">
        <f>Ringkasan!J1635</f>
        <v>-21</v>
      </c>
      <c r="K1636" s="62">
        <f>Ringkasan!K1635</f>
        <v>-3.5</v>
      </c>
      <c r="L1636" s="62">
        <f>Ringkasan!L1635</f>
        <v>5.1</v>
      </c>
      <c r="M1636" s="62">
        <f>Ringkasan!M1635</f>
        <v>-40.5</v>
      </c>
      <c r="N1636" s="60" t="str">
        <f>Ringkasan!N1635</f>
        <v/>
      </c>
      <c r="O1636" s="60" t="str">
        <f>Ringkasan!O1635</f>
        <v/>
      </c>
      <c r="P1636" s="60" t="str">
        <f>Ringkasan!P1635</f>
        <v/>
      </c>
      <c r="Q1636" s="60" t="str">
        <f>Ringkasan!Q1635</f>
        <v/>
      </c>
      <c r="R1636" s="60" t="str">
        <f>Ringkasan!R1635</f>
        <v/>
      </c>
      <c r="S1636" s="60" t="str">
        <f>Ringkasan!S1635</f>
        <v/>
      </c>
      <c r="T1636" s="60" t="str">
        <f>Ringkasan!T1635</f>
        <v/>
      </c>
      <c r="U1636" s="60">
        <f>Ringkasan!U1635</f>
        <v>11675</v>
      </c>
      <c r="V1636" s="60">
        <f>Ringkasan!V1635</f>
        <v>-5.78</v>
      </c>
      <c r="W1636" s="60">
        <f>Ringkasan!W1635</f>
        <v>11675</v>
      </c>
      <c r="X1636" s="60">
        <f>Ringkasan!X1635</f>
        <v>11675</v>
      </c>
      <c r="Y1636" s="60">
        <f>Ringkasan!Y1635</f>
        <v>9925</v>
      </c>
      <c r="Z1636" s="60">
        <f>Ringkasan!Z1635</f>
        <v>613400</v>
      </c>
      <c r="AA1636" s="60" t="str">
        <f>Ringkasan!AA1635</f>
        <v>Healthcare Providers</v>
      </c>
      <c r="AB1636" s="60" t="str">
        <f>Ringkasan!AB1635</f>
        <v>Healthcare</v>
      </c>
    </row>
    <row r="1637" hidden="1">
      <c r="A1637" s="60" t="str">
        <f>Ringkasan!A1636</f>
        <v>SRIL</v>
      </c>
      <c r="B1637" s="60" t="str">
        <f>Ringkasan!B1636</f>
        <v>PT Sri Rejeki Isman Tbk</v>
      </c>
      <c r="C1637" s="61">
        <f>Ringkasan!C1636</f>
        <v>146</v>
      </c>
      <c r="D1637" s="60" t="str">
        <f>Ringkasan!D1636</f>
        <v>#N/A</v>
      </c>
      <c r="E1637" s="60" t="str">
        <f>Ringkasan!E1636</f>
        <v/>
      </c>
      <c r="F1637" s="60" t="str">
        <f>Ringkasan!F1636</f>
        <v/>
      </c>
      <c r="G1637" s="60">
        <f>Ringkasan!G1636</f>
        <v>0</v>
      </c>
      <c r="H1637" s="62">
        <f>Ringkasan!H1636</f>
        <v>0</v>
      </c>
      <c r="I1637" s="62">
        <f>Ringkasan!I1636</f>
        <v>-0.19</v>
      </c>
      <c r="J1637" s="62">
        <f>Ringkasan!J1636</f>
        <v>0</v>
      </c>
      <c r="K1637" s="62">
        <f>Ringkasan!K1636</f>
        <v>-21.3</v>
      </c>
      <c r="L1637" s="62">
        <f>Ringkasan!L1636</f>
        <v>-1.6</v>
      </c>
      <c r="M1637" s="62">
        <f>Ringkasan!M1636</f>
        <v>-63</v>
      </c>
      <c r="N1637" s="60" t="str">
        <f>Ringkasan!N1636</f>
        <v/>
      </c>
      <c r="O1637" s="60" t="str">
        <f>Ringkasan!O1636</f>
        <v/>
      </c>
      <c r="P1637" s="60" t="str">
        <f>Ringkasan!P1636</f>
        <v/>
      </c>
      <c r="Q1637" s="60" t="str">
        <f>Ringkasan!Q1636</f>
        <v/>
      </c>
      <c r="R1637" s="60" t="str">
        <f>Ringkasan!R1636</f>
        <v/>
      </c>
      <c r="S1637" s="60" t="str">
        <f>Ringkasan!S1636</f>
        <v/>
      </c>
      <c r="T1637" s="60" t="str">
        <f>Ringkasan!T1636</f>
        <v/>
      </c>
      <c r="U1637" s="60" t="str">
        <f>Ringkasan!U1636</f>
        <v/>
      </c>
      <c r="V1637" s="60">
        <f>Ringkasan!V1636</f>
        <v>1.6</v>
      </c>
      <c r="W1637" s="60">
        <f>Ringkasan!W1636</f>
        <v>13.41</v>
      </c>
      <c r="X1637" s="60">
        <f>Ringkasan!X1636</f>
        <v>13.53</v>
      </c>
      <c r="Y1637" s="60">
        <f>Ringkasan!Y1636</f>
        <v>13.41</v>
      </c>
      <c r="Z1637" s="60">
        <f>Ringkasan!Z1636</f>
        <v>3669</v>
      </c>
      <c r="AA1637" s="60" t="str">
        <f>Ringkasan!AA1636</f>
        <v>Apparel &amp; Luxury Goods</v>
      </c>
      <c r="AB1637" s="60" t="str">
        <f>Ringkasan!AB1636</f>
        <v>Consumer Cyclicals</v>
      </c>
    </row>
    <row r="1638" hidden="1">
      <c r="A1638" s="64" t="str">
        <f>Ringkasan!A1632</f>
        <v>SPRE</v>
      </c>
      <c r="B1638" s="60" t="str">
        <f>Ringkasan!B1632</f>
        <v>Soraya Berjaya Indonesia Tbk.</v>
      </c>
      <c r="C1638" s="61">
        <f>Ringkasan!C1632</f>
        <v>73</v>
      </c>
      <c r="D1638" s="60" t="str">
        <f>Ringkasan!D1632</f>
        <v>#N/A</v>
      </c>
      <c r="E1638" s="60" t="str">
        <f>Ringkasan!E1632</f>
        <v/>
      </c>
      <c r="F1638" s="60" t="str">
        <f>Ringkasan!F1632</f>
        <v/>
      </c>
      <c r="G1638" s="60">
        <f>Ringkasan!G1632</f>
        <v>0</v>
      </c>
      <c r="H1638" s="62">
        <f>Ringkasan!H1632</f>
        <v>39.7</v>
      </c>
      <c r="I1638" s="62">
        <f>Ringkasan!I1632</f>
        <v>1.2</v>
      </c>
      <c r="J1638" s="62">
        <f>Ringkasan!J1632</f>
        <v>3</v>
      </c>
      <c r="K1638" s="62">
        <f>Ringkasan!K1632</f>
        <v>2.7</v>
      </c>
      <c r="L1638" s="62">
        <f>Ringkasan!L1632</f>
        <v>0.12</v>
      </c>
      <c r="M1638" s="62">
        <f>Ringkasan!M1632</f>
        <v>13.8</v>
      </c>
      <c r="N1638" s="60" t="str">
        <f>Ringkasan!N1632</f>
        <v/>
      </c>
      <c r="O1638" s="60" t="str">
        <f>Ringkasan!O1632</f>
        <v/>
      </c>
      <c r="P1638" s="60" t="str">
        <f>Ringkasan!P1632</f>
        <v/>
      </c>
      <c r="Q1638" s="60" t="str">
        <f>Ringkasan!Q1632</f>
        <v/>
      </c>
      <c r="R1638" s="60" t="str">
        <f>Ringkasan!R1632</f>
        <v/>
      </c>
      <c r="S1638" s="60" t="str">
        <f>Ringkasan!S1632</f>
        <v/>
      </c>
      <c r="T1638" s="60" t="str">
        <f>Ringkasan!T1632</f>
        <v/>
      </c>
      <c r="U1638" s="60">
        <f>Ringkasan!U1632</f>
        <v>21.24</v>
      </c>
      <c r="V1638" s="60">
        <f>Ringkasan!V1632</f>
        <v>1.22</v>
      </c>
      <c r="W1638" s="60">
        <f>Ringkasan!W1632</f>
        <v>21.33</v>
      </c>
      <c r="X1638" s="60">
        <f>Ringkasan!X1632</f>
        <v>21.57</v>
      </c>
      <c r="Y1638" s="60">
        <f>Ringkasan!Y1632</f>
        <v>21.33</v>
      </c>
      <c r="Z1638" s="60">
        <f>Ringkasan!Z1632</f>
        <v>6386</v>
      </c>
      <c r="AA1638" s="60" t="str">
        <f>Ringkasan!AA1632</f>
        <v>Apparel &amp; Luxury Goods</v>
      </c>
      <c r="AB1638" s="60" t="str">
        <f>Ringkasan!AB1632</f>
        <v>Consumer Cyclicals</v>
      </c>
    </row>
    <row r="1639">
      <c r="A1639" s="64" t="str">
        <f>Ringkasan!A1638</f>
        <v>SRTG</v>
      </c>
      <c r="B1639" s="60" t="str">
        <f>Ringkasan!B1638</f>
        <v>PT Saratoga Investama Sedaya Tbk.</v>
      </c>
      <c r="C1639" s="61">
        <f>Ringkasan!C1638</f>
        <v>1435</v>
      </c>
      <c r="D1639" s="60" t="str">
        <f>Ringkasan!D1638</f>
        <v>#N/A</v>
      </c>
      <c r="E1639" s="60" t="str">
        <f>Ringkasan!E1638</f>
        <v>ECONOMIC30</v>
      </c>
      <c r="F1639" s="60" t="str">
        <f>Ringkasan!F1638</f>
        <v>31 Agustus 2026</v>
      </c>
      <c r="G1639" s="60">
        <f>Ringkasan!G1638</f>
        <v>3</v>
      </c>
      <c r="H1639" s="62">
        <f>Ringkasan!H1638</f>
        <v>2.9</v>
      </c>
      <c r="I1639" s="62">
        <f>Ringkasan!I1638</f>
        <v>0.36</v>
      </c>
      <c r="J1639" s="62">
        <f>Ringkasan!J1638</f>
        <v>12.4</v>
      </c>
      <c r="K1639" s="62">
        <f>Ringkasan!K1638</f>
        <v>11.7</v>
      </c>
      <c r="L1639" s="62">
        <f>Ringkasan!L1638</f>
        <v>0.06</v>
      </c>
      <c r="M1639" s="62">
        <f>Ringkasan!M1638</f>
        <v>260</v>
      </c>
      <c r="N1639" s="60" t="str">
        <f>Ringkasan!N1638</f>
        <v/>
      </c>
      <c r="O1639" s="60" t="str">
        <f>Ringkasan!O1638</f>
        <v/>
      </c>
      <c r="P1639" s="60" t="str">
        <f>Ringkasan!P1638</f>
        <v/>
      </c>
      <c r="Q1639" s="60" t="str">
        <f>Ringkasan!Q1638</f>
        <v/>
      </c>
      <c r="R1639" s="60" t="str">
        <f>Ringkasan!R1638</f>
        <v/>
      </c>
      <c r="S1639" s="60" t="str">
        <f>Ringkasan!S1638</f>
        <v/>
      </c>
      <c r="T1639" s="60" t="str">
        <f>Ringkasan!T1638</f>
        <v/>
      </c>
      <c r="U1639" s="60">
        <f>Ringkasan!U1638</f>
        <v>1390</v>
      </c>
      <c r="V1639" s="60">
        <f>Ringkasan!V1638</f>
        <v>3.24</v>
      </c>
      <c r="W1639" s="60">
        <f>Ringkasan!W1638</f>
        <v>1400</v>
      </c>
      <c r="X1639" s="60">
        <f>Ringkasan!X1638</f>
        <v>1465</v>
      </c>
      <c r="Y1639" s="60">
        <f>Ringkasan!Y1638</f>
        <v>1400</v>
      </c>
      <c r="Z1639" s="60">
        <f>Ringkasan!Z1638</f>
        <v>5120600</v>
      </c>
      <c r="AA1639" s="60" t="str">
        <f>Ringkasan!AA1638</f>
        <v>Holding &amp; Investment Companies</v>
      </c>
      <c r="AB1639" s="60" t="str">
        <f>Ringkasan!AB1638</f>
        <v>Financials</v>
      </c>
    </row>
    <row r="1640">
      <c r="A1640" s="64" t="str">
        <f>Ringkasan!A1639</f>
        <v>SRTG</v>
      </c>
      <c r="B1640" s="60" t="str">
        <f>Ringkasan!B1639</f>
        <v>PT Saratoga Investama Sedaya Tbk.</v>
      </c>
      <c r="C1640" s="61">
        <f>Ringkasan!C1639</f>
        <v>1435</v>
      </c>
      <c r="D1640" s="60" t="str">
        <f>Ringkasan!D1639</f>
        <v>#N/A</v>
      </c>
      <c r="E1640" s="60" t="str">
        <f>Ringkasan!E1639</f>
        <v>IDXSMC-LIQ</v>
      </c>
      <c r="F1640" s="60" t="str">
        <f>Ringkasan!F1639</f>
        <v>4 Agustus 2026</v>
      </c>
      <c r="G1640" s="60">
        <f>Ringkasan!G1639</f>
        <v>3</v>
      </c>
      <c r="H1640" s="62">
        <f>Ringkasan!H1639</f>
        <v>2.9</v>
      </c>
      <c r="I1640" s="62">
        <f>Ringkasan!I1639</f>
        <v>0.36</v>
      </c>
      <c r="J1640" s="62">
        <f>Ringkasan!J1639</f>
        <v>12.4</v>
      </c>
      <c r="K1640" s="62">
        <f>Ringkasan!K1639</f>
        <v>11.7</v>
      </c>
      <c r="L1640" s="62">
        <f>Ringkasan!L1639</f>
        <v>0.06</v>
      </c>
      <c r="M1640" s="62">
        <f>Ringkasan!M1639</f>
        <v>260</v>
      </c>
      <c r="N1640" s="60" t="str">
        <f>Ringkasan!N1639</f>
        <v/>
      </c>
      <c r="O1640" s="60" t="str">
        <f>Ringkasan!O1639</f>
        <v/>
      </c>
      <c r="P1640" s="60" t="str">
        <f>Ringkasan!P1639</f>
        <v/>
      </c>
      <c r="Q1640" s="60" t="str">
        <f>Ringkasan!Q1639</f>
        <v/>
      </c>
      <c r="R1640" s="60" t="str">
        <f>Ringkasan!R1639</f>
        <v/>
      </c>
      <c r="S1640" s="60" t="str">
        <f>Ringkasan!S1639</f>
        <v/>
      </c>
      <c r="T1640" s="60" t="str">
        <f>Ringkasan!T1639</f>
        <v/>
      </c>
      <c r="U1640" s="60">
        <f>Ringkasan!U1639</f>
        <v>1390</v>
      </c>
      <c r="V1640" s="60">
        <f>Ringkasan!V1639</f>
        <v>3.24</v>
      </c>
      <c r="W1640" s="60">
        <f>Ringkasan!W1639</f>
        <v>1400</v>
      </c>
      <c r="X1640" s="60">
        <f>Ringkasan!X1639</f>
        <v>1465</v>
      </c>
      <c r="Y1640" s="60">
        <f>Ringkasan!Y1639</f>
        <v>1400</v>
      </c>
      <c r="Z1640" s="60">
        <f>Ringkasan!Z1639</f>
        <v>5120600</v>
      </c>
      <c r="AA1640" s="60" t="str">
        <f>Ringkasan!AA1639</f>
        <v>Holding &amp; Investment Companies</v>
      </c>
      <c r="AB1640" s="60" t="str">
        <f>Ringkasan!AB1639</f>
        <v>Financials</v>
      </c>
    </row>
    <row r="1641" hidden="1">
      <c r="A1641" s="60" t="str">
        <f>Ringkasan!A1455</f>
        <v>PTIS</v>
      </c>
      <c r="B1641" s="60" t="str">
        <f>Ringkasan!B1455</f>
        <v>Indo Straits Tbk.</v>
      </c>
      <c r="C1641" s="61">
        <f>Ringkasan!C1455</f>
        <v>290</v>
      </c>
      <c r="D1641" s="60" t="str">
        <f>Ringkasan!D1455</f>
        <v>#N/A</v>
      </c>
      <c r="E1641" s="60" t="str">
        <f>Ringkasan!E1455</f>
        <v/>
      </c>
      <c r="F1641" s="60" t="str">
        <f>Ringkasan!F1455</f>
        <v/>
      </c>
      <c r="G1641" s="60">
        <f>Ringkasan!G1455</f>
        <v>0</v>
      </c>
      <c r="H1641" s="62">
        <f>Ringkasan!H1455</f>
        <v>-23.9</v>
      </c>
      <c r="I1641" s="62">
        <f>Ringkasan!I1455</f>
        <v>0.47</v>
      </c>
      <c r="J1641" s="62">
        <f>Ringkasan!J1455</f>
        <v>-2</v>
      </c>
      <c r="K1641" s="62">
        <f>Ringkasan!K1455</f>
        <v>-1.3</v>
      </c>
      <c r="L1641" s="62">
        <f>Ringkasan!L1455</f>
        <v>0.51</v>
      </c>
      <c r="M1641" s="62">
        <f>Ringkasan!M1455</f>
        <v>-13.7</v>
      </c>
      <c r="N1641" s="60" t="str">
        <f>Ringkasan!N1455</f>
        <v/>
      </c>
      <c r="O1641" s="60" t="str">
        <f>Ringkasan!O1455</f>
        <v/>
      </c>
      <c r="P1641" s="60" t="str">
        <f>Ringkasan!P1455</f>
        <v/>
      </c>
      <c r="Q1641" s="60" t="str">
        <f>Ringkasan!Q1455</f>
        <v/>
      </c>
      <c r="R1641" s="60" t="str">
        <f>Ringkasan!R1455</f>
        <v/>
      </c>
      <c r="S1641" s="60" t="str">
        <f>Ringkasan!S1455</f>
        <v/>
      </c>
      <c r="T1641" s="60" t="str">
        <f>Ringkasan!T1455</f>
        <v/>
      </c>
      <c r="U1641" s="60">
        <f>Ringkasan!U1455</f>
        <v>290</v>
      </c>
      <c r="V1641" s="60">
        <f>Ringkasan!V1455</f>
        <v>0</v>
      </c>
      <c r="W1641" s="60">
        <f>Ringkasan!W1455</f>
        <v>282</v>
      </c>
      <c r="X1641" s="60">
        <f>Ringkasan!X1455</f>
        <v>292</v>
      </c>
      <c r="Y1641" s="60">
        <f>Ringkasan!Y1455</f>
        <v>280</v>
      </c>
      <c r="Z1641" s="60">
        <f>Ringkasan!Z1455</f>
        <v>50200</v>
      </c>
      <c r="AA1641" s="60" t="str">
        <f>Ringkasan!AA1455</f>
        <v>Coal</v>
      </c>
      <c r="AB1641" s="60" t="str">
        <f>Ringkasan!AB1455</f>
        <v>Energy</v>
      </c>
    </row>
    <row r="1642">
      <c r="A1642" s="60" t="str">
        <f>Ringkasan!A1444</f>
        <v>PTBA</v>
      </c>
      <c r="B1642" s="60" t="str">
        <f>Ringkasan!B1444</f>
        <v>Bukit Asam (Persero) Tbk.</v>
      </c>
      <c r="C1642" s="61">
        <f>Ringkasan!C1444</f>
        <v>2620</v>
      </c>
      <c r="D1642" s="60" t="str">
        <f>Ringkasan!D1444</f>
        <v>#N/A</v>
      </c>
      <c r="E1642" s="60" t="str">
        <f>Ringkasan!E1444</f>
        <v>LQ45</v>
      </c>
      <c r="F1642" s="60" t="str">
        <f>Ringkasan!F1444</f>
        <v>31 Juli 2026</v>
      </c>
      <c r="G1642" s="61">
        <f>Ringkasan!G1444</f>
        <v>18</v>
      </c>
      <c r="H1642" s="62">
        <f>Ringkasan!H1444</f>
        <v>9.6</v>
      </c>
      <c r="I1642" s="62">
        <f>Ringkasan!I1444</f>
        <v>1.4</v>
      </c>
      <c r="J1642" s="62">
        <f>Ringkasan!J1444</f>
        <v>14.1</v>
      </c>
      <c r="K1642" s="62">
        <f>Ringkasan!K1444</f>
        <v>7.7</v>
      </c>
      <c r="L1642" s="62">
        <f>Ringkasan!L1444</f>
        <v>0.83</v>
      </c>
      <c r="M1642" s="62">
        <f>Ringkasan!M1444</f>
        <v>33.6</v>
      </c>
      <c r="N1642" s="60" t="str">
        <f>Ringkasan!N1444</f>
        <v/>
      </c>
      <c r="O1642" s="60" t="str">
        <f>Ringkasan!O1444</f>
        <v/>
      </c>
      <c r="P1642" s="60" t="str">
        <f>Ringkasan!P1444</f>
        <v/>
      </c>
      <c r="Q1642" s="60" t="str">
        <f>Ringkasan!Q1444</f>
        <v/>
      </c>
      <c r="R1642" s="60" t="str">
        <f>Ringkasan!R1444</f>
        <v/>
      </c>
      <c r="S1642" s="60" t="str">
        <f>Ringkasan!S1444</f>
        <v/>
      </c>
      <c r="T1642" s="60" t="str">
        <f>Ringkasan!T1444</f>
        <v/>
      </c>
      <c r="U1642" s="60">
        <f>Ringkasan!U1444</f>
        <v>2630</v>
      </c>
      <c r="V1642" s="60">
        <f>Ringkasan!V1444</f>
        <v>-0.38</v>
      </c>
      <c r="W1642" s="60">
        <f>Ringkasan!W1444</f>
        <v>2600</v>
      </c>
      <c r="X1642" s="60">
        <f>Ringkasan!X1444</f>
        <v>2670</v>
      </c>
      <c r="Y1642" s="60">
        <f>Ringkasan!Y1444</f>
        <v>2550</v>
      </c>
      <c r="Z1642" s="60">
        <f>Ringkasan!Z1444</f>
        <v>46138000</v>
      </c>
      <c r="AA1642" s="60" t="str">
        <f>Ringkasan!AA1444</f>
        <v>Coal</v>
      </c>
      <c r="AB1642" s="60" t="str">
        <f>Ringkasan!AB1444</f>
        <v>Energy</v>
      </c>
    </row>
    <row r="1643" hidden="1">
      <c r="A1643" s="60" t="str">
        <f>Ringkasan!A1622</f>
        <v>SNLK</v>
      </c>
      <c r="B1643" s="60" t="str">
        <f>Ringkasan!B1622</f>
        <v>Sunter Lakeside Hotel Tbk.</v>
      </c>
      <c r="C1643" s="61">
        <f>Ringkasan!C1622</f>
        <v>234</v>
      </c>
      <c r="D1643" s="60" t="str">
        <f>Ringkasan!D1622</f>
        <v>#N/A</v>
      </c>
      <c r="E1643" s="60" t="str">
        <f>Ringkasan!E1622</f>
        <v/>
      </c>
      <c r="F1643" s="60" t="str">
        <f>Ringkasan!F1622</f>
        <v/>
      </c>
      <c r="G1643" s="60">
        <f>Ringkasan!G1622</f>
        <v>0</v>
      </c>
      <c r="H1643" s="62">
        <f>Ringkasan!H1622</f>
        <v>-29.6</v>
      </c>
      <c r="I1643" s="62">
        <f>Ringkasan!I1622</f>
        <v>0.68</v>
      </c>
      <c r="J1643" s="62">
        <f>Ringkasan!J1622</f>
        <v>-2.3</v>
      </c>
      <c r="K1643" s="62">
        <f>Ringkasan!K1622</f>
        <v>-1.8</v>
      </c>
      <c r="L1643" s="62">
        <f>Ringkasan!L1622</f>
        <v>0.27</v>
      </c>
      <c r="M1643" s="62">
        <f>Ringkasan!M1622</f>
        <v>-40.5</v>
      </c>
      <c r="N1643" s="60" t="str">
        <f>Ringkasan!N1622</f>
        <v/>
      </c>
      <c r="O1643" s="60" t="str">
        <f>Ringkasan!O1622</f>
        <v/>
      </c>
      <c r="P1643" s="60" t="str">
        <f>Ringkasan!P1622</f>
        <v/>
      </c>
      <c r="Q1643" s="60" t="str">
        <f>Ringkasan!Q1622</f>
        <v/>
      </c>
      <c r="R1643" s="60" t="str">
        <f>Ringkasan!R1622</f>
        <v/>
      </c>
      <c r="S1643" s="60" t="str">
        <f>Ringkasan!S1622</f>
        <v/>
      </c>
      <c r="T1643" s="60" t="str">
        <f>Ringkasan!T1622</f>
        <v/>
      </c>
      <c r="U1643" s="60">
        <f>Ringkasan!U1622</f>
        <v>234</v>
      </c>
      <c r="V1643" s="60">
        <f>Ringkasan!V1622</f>
        <v>0</v>
      </c>
      <c r="W1643" s="60">
        <f>Ringkasan!W1622</f>
        <v>234</v>
      </c>
      <c r="X1643" s="60">
        <f>Ringkasan!X1622</f>
        <v>240</v>
      </c>
      <c r="Y1643" s="60">
        <f>Ringkasan!Y1622</f>
        <v>228</v>
      </c>
      <c r="Z1643" s="60">
        <f>Ringkasan!Z1622</f>
        <v>6689100</v>
      </c>
      <c r="AA1643" s="60" t="str">
        <f>Ringkasan!AA1622</f>
        <v>Tourism &amp; Recreation</v>
      </c>
      <c r="AB1643" s="60" t="str">
        <f>Ringkasan!AB1622</f>
        <v>Consumer Cyclicals</v>
      </c>
    </row>
    <row r="1644" hidden="1">
      <c r="A1644" s="60" t="str">
        <f>Ringkasan!A1643</f>
        <v>SSIA</v>
      </c>
      <c r="B1644" s="60" t="str">
        <f>Ringkasan!B1643</f>
        <v>PT Surya Semesta Internusa Tbk</v>
      </c>
      <c r="C1644" s="61">
        <f>Ringkasan!C1643</f>
        <v>1560</v>
      </c>
      <c r="D1644" s="60" t="str">
        <f>Ringkasan!D1643</f>
        <v>#N/A</v>
      </c>
      <c r="E1644" s="60" t="str">
        <f>Ringkasan!E1643</f>
        <v>SMINFRA18</v>
      </c>
      <c r="F1644" s="60" t="str">
        <f>Ringkasan!F1643</f>
        <v>30 Oktober 2026</v>
      </c>
      <c r="G1644" s="60">
        <f>Ringkasan!G1643</f>
        <v>5</v>
      </c>
      <c r="H1644" s="62">
        <f>Ringkasan!H1643</f>
        <v>370</v>
      </c>
      <c r="I1644" s="62">
        <f>Ringkasan!I1643</f>
        <v>0.95</v>
      </c>
      <c r="J1644" s="62">
        <f>Ringkasan!J1643</f>
        <v>0.26</v>
      </c>
      <c r="K1644" s="62">
        <f>Ringkasan!K1643</f>
        <v>0.17</v>
      </c>
      <c r="L1644" s="62">
        <f>Ringkasan!L1643</f>
        <v>0.56</v>
      </c>
      <c r="M1644" s="62">
        <f>Ringkasan!M1643</f>
        <v>1.5</v>
      </c>
      <c r="N1644" s="60" t="str">
        <f>Ringkasan!N1643</f>
        <v/>
      </c>
      <c r="O1644" s="60" t="str">
        <f>Ringkasan!O1643</f>
        <v/>
      </c>
      <c r="P1644" s="60" t="str">
        <f>Ringkasan!P1643</f>
        <v/>
      </c>
      <c r="Q1644" s="60" t="str">
        <f>Ringkasan!Q1643</f>
        <v/>
      </c>
      <c r="R1644" s="60" t="str">
        <f>Ringkasan!R1643</f>
        <v/>
      </c>
      <c r="S1644" s="60" t="str">
        <f>Ringkasan!S1643</f>
        <v/>
      </c>
      <c r="T1644" s="60" t="str">
        <f>Ringkasan!T1643</f>
        <v/>
      </c>
      <c r="U1644" s="60">
        <f>Ringkasan!U1643</f>
        <v>1515</v>
      </c>
      <c r="V1644" s="60">
        <f>Ringkasan!V1643</f>
        <v>2.97</v>
      </c>
      <c r="W1644" s="60">
        <f>Ringkasan!W1643</f>
        <v>1530</v>
      </c>
      <c r="X1644" s="60">
        <f>Ringkasan!X1643</f>
        <v>1625</v>
      </c>
      <c r="Y1644" s="60">
        <f>Ringkasan!Y1643</f>
        <v>1515</v>
      </c>
      <c r="Z1644" s="60">
        <f>Ringkasan!Z1643</f>
        <v>18815000</v>
      </c>
      <c r="AA1644" s="60" t="str">
        <f>Ringkasan!AA1643</f>
        <v>Heavy Constructions &amp; Civil Engineering</v>
      </c>
      <c r="AB1644" s="64" t="str">
        <f>Ringkasan!AB1643</f>
        <v>Infrastructures</v>
      </c>
    </row>
    <row r="1645" hidden="1">
      <c r="A1645" s="64" t="str">
        <f>Ringkasan!A1644</f>
        <v>SSIA</v>
      </c>
      <c r="B1645" s="64" t="str">
        <f>Ringkasan!B1644</f>
        <v>PT Surya Semesta Internusa Tbk</v>
      </c>
      <c r="C1645" s="65">
        <f>Ringkasan!C1644</f>
        <v>1560</v>
      </c>
      <c r="D1645" s="64" t="str">
        <f>Ringkasan!D1644</f>
        <v>#N/A</v>
      </c>
      <c r="E1645" s="64" t="str">
        <f>Ringkasan!E1644</f>
        <v>IDXSMC-LIQ</v>
      </c>
      <c r="F1645" s="64" t="str">
        <f>Ringkasan!F1644</f>
        <v>4 Agustus 2026</v>
      </c>
      <c r="G1645" s="64">
        <f>Ringkasan!G1644</f>
        <v>5</v>
      </c>
      <c r="H1645" s="19">
        <f>Ringkasan!H1644</f>
        <v>370</v>
      </c>
      <c r="I1645" s="19">
        <f>Ringkasan!I1644</f>
        <v>0.95</v>
      </c>
      <c r="J1645" s="19">
        <f>Ringkasan!J1644</f>
        <v>0.26</v>
      </c>
      <c r="K1645" s="19">
        <f>Ringkasan!K1644</f>
        <v>0.17</v>
      </c>
      <c r="L1645" s="19">
        <f>Ringkasan!L1644</f>
        <v>0.56</v>
      </c>
      <c r="M1645" s="19">
        <f>Ringkasan!M1644</f>
        <v>1.5</v>
      </c>
      <c r="N1645" s="64" t="str">
        <f>Ringkasan!N1644</f>
        <v/>
      </c>
      <c r="O1645" s="64" t="str">
        <f>Ringkasan!O1644</f>
        <v/>
      </c>
      <c r="P1645" s="64" t="str">
        <f>Ringkasan!P1644</f>
        <v/>
      </c>
      <c r="Q1645" s="64" t="str">
        <f>Ringkasan!Q1644</f>
        <v/>
      </c>
      <c r="R1645" s="64" t="str">
        <f>Ringkasan!R1644</f>
        <v/>
      </c>
      <c r="S1645" s="64" t="str">
        <f>Ringkasan!S1644</f>
        <v/>
      </c>
      <c r="T1645" s="64" t="str">
        <f>Ringkasan!T1644</f>
        <v/>
      </c>
      <c r="U1645" s="64">
        <f>Ringkasan!U1644</f>
        <v>1515</v>
      </c>
      <c r="V1645" s="64">
        <f>Ringkasan!V1644</f>
        <v>2.97</v>
      </c>
      <c r="W1645" s="64">
        <f>Ringkasan!W1644</f>
        <v>1530</v>
      </c>
      <c r="X1645" s="64">
        <f>Ringkasan!X1644</f>
        <v>1625</v>
      </c>
      <c r="Y1645" s="64">
        <f>Ringkasan!Y1644</f>
        <v>1515</v>
      </c>
      <c r="Z1645" s="64">
        <f>Ringkasan!Z1644</f>
        <v>18815000</v>
      </c>
      <c r="AA1645" s="64" t="str">
        <f>Ringkasan!AA1644</f>
        <v>Heavy Constructions &amp; Civil Engineering</v>
      </c>
      <c r="AB1645" s="64" t="str">
        <f>Ringkasan!AB1644</f>
        <v>Infrastructures</v>
      </c>
    </row>
    <row r="1646" hidden="1">
      <c r="A1646" s="60" t="str">
        <f>Ringkasan!A1645</f>
        <v>SSIA</v>
      </c>
      <c r="B1646" s="60" t="str">
        <f>Ringkasan!B1645</f>
        <v>PT Surya Semesta Internusa Tbk</v>
      </c>
      <c r="C1646" s="61">
        <f>Ringkasan!C1645</f>
        <v>1560</v>
      </c>
      <c r="D1646" s="60" t="str">
        <f>Ringkasan!D1645</f>
        <v>#N/A</v>
      </c>
      <c r="E1646" s="60" t="str">
        <f>Ringkasan!E1645</f>
        <v>JII70</v>
      </c>
      <c r="F1646" s="63">
        <f>Ringkasan!F1645</f>
        <v>46356</v>
      </c>
      <c r="G1646" s="60">
        <f>Ringkasan!G1645</f>
        <v>5</v>
      </c>
      <c r="H1646" s="62">
        <f>Ringkasan!H1645</f>
        <v>370</v>
      </c>
      <c r="I1646" s="62">
        <f>Ringkasan!I1645</f>
        <v>0.95</v>
      </c>
      <c r="J1646" s="62">
        <f>Ringkasan!J1645</f>
        <v>0.26</v>
      </c>
      <c r="K1646" s="62">
        <f>Ringkasan!K1645</f>
        <v>0.17</v>
      </c>
      <c r="L1646" s="62">
        <f>Ringkasan!L1645</f>
        <v>0.56</v>
      </c>
      <c r="M1646" s="62">
        <f>Ringkasan!M1645</f>
        <v>1.5</v>
      </c>
      <c r="N1646" s="60" t="str">
        <f>Ringkasan!N1645</f>
        <v/>
      </c>
      <c r="O1646" s="60" t="str">
        <f>Ringkasan!O1645</f>
        <v/>
      </c>
      <c r="P1646" s="60" t="str">
        <f>Ringkasan!P1645</f>
        <v/>
      </c>
      <c r="Q1646" s="60" t="str">
        <f>Ringkasan!Q1645</f>
        <v/>
      </c>
      <c r="R1646" s="60" t="str">
        <f>Ringkasan!R1645</f>
        <v/>
      </c>
      <c r="S1646" s="60" t="str">
        <f>Ringkasan!S1645</f>
        <v/>
      </c>
      <c r="T1646" s="60" t="str">
        <f>Ringkasan!T1645</f>
        <v/>
      </c>
      <c r="U1646" s="60">
        <f>Ringkasan!U1645</f>
        <v>1515</v>
      </c>
      <c r="V1646" s="60">
        <f>Ringkasan!V1645</f>
        <v>2.97</v>
      </c>
      <c r="W1646" s="60">
        <f>Ringkasan!W1645</f>
        <v>1530</v>
      </c>
      <c r="X1646" s="60">
        <f>Ringkasan!X1645</f>
        <v>1625</v>
      </c>
      <c r="Y1646" s="60">
        <f>Ringkasan!Y1645</f>
        <v>1515</v>
      </c>
      <c r="Z1646" s="60">
        <f>Ringkasan!Z1645</f>
        <v>18815000</v>
      </c>
      <c r="AA1646" s="60" t="str">
        <f>Ringkasan!AA1645</f>
        <v>Heavy Constructions &amp; Civil Engineering</v>
      </c>
      <c r="AB1646" s="60" t="str">
        <f>Ringkasan!AB1645</f>
        <v>Infrastructures</v>
      </c>
    </row>
    <row r="1647" hidden="1">
      <c r="A1647" s="64" t="str">
        <f>Ringkasan!A1646</f>
        <v>SSMS</v>
      </c>
      <c r="B1647" s="64" t="str">
        <f>Ringkasan!B1646</f>
        <v>PT Sawit Sumbermas Sarana Tbk.</v>
      </c>
      <c r="C1647" s="61">
        <f>Ringkasan!C1646</f>
        <v>745</v>
      </c>
      <c r="D1647" s="60" t="str">
        <f>Ringkasan!D1646</f>
        <v>#N/A</v>
      </c>
      <c r="E1647" s="60" t="str">
        <f>Ringkasan!E1646</f>
        <v>IDXSMC-LIQ</v>
      </c>
      <c r="F1647" s="60" t="str">
        <f>Ringkasan!F1646</f>
        <v>4 Agustus 2026</v>
      </c>
      <c r="G1647" s="60">
        <f>Ringkasan!G1646</f>
        <v>1</v>
      </c>
      <c r="H1647" s="62">
        <f>Ringkasan!H1646</f>
        <v>5.9</v>
      </c>
      <c r="I1647" s="62">
        <f>Ringkasan!I1646</f>
        <v>2</v>
      </c>
      <c r="J1647" s="62">
        <f>Ringkasan!J1646</f>
        <v>34.3</v>
      </c>
      <c r="K1647" s="62">
        <f>Ringkasan!K1646</f>
        <v>8.3</v>
      </c>
      <c r="L1647" s="62">
        <f>Ringkasan!L1646</f>
        <v>3.2</v>
      </c>
      <c r="M1647" s="62">
        <f>Ringkasan!M1646</f>
        <v>32.3</v>
      </c>
      <c r="N1647" s="60" t="str">
        <f>Ringkasan!N1646</f>
        <v/>
      </c>
      <c r="O1647" s="60" t="str">
        <f>Ringkasan!O1646</f>
        <v/>
      </c>
      <c r="P1647" s="60" t="str">
        <f>Ringkasan!P1646</f>
        <v/>
      </c>
      <c r="Q1647" s="60" t="str">
        <f>Ringkasan!Q1646</f>
        <v/>
      </c>
      <c r="R1647" s="60" t="str">
        <f>Ringkasan!R1646</f>
        <v/>
      </c>
      <c r="S1647" s="60" t="str">
        <f>Ringkasan!S1646</f>
        <v/>
      </c>
      <c r="T1647" s="60" t="str">
        <f>Ringkasan!T1646</f>
        <v/>
      </c>
      <c r="U1647" s="60">
        <f>Ringkasan!U1646</f>
        <v>730</v>
      </c>
      <c r="V1647" s="60">
        <f>Ringkasan!V1646</f>
        <v>2.05</v>
      </c>
      <c r="W1647" s="60">
        <f>Ringkasan!W1646</f>
        <v>730</v>
      </c>
      <c r="X1647" s="60">
        <f>Ringkasan!X1646</f>
        <v>775</v>
      </c>
      <c r="Y1647" s="60">
        <f>Ringkasan!Y1646</f>
        <v>720</v>
      </c>
      <c r="Z1647" s="60">
        <f>Ringkasan!Z1646</f>
        <v>14982500</v>
      </c>
      <c r="AA1647" s="60" t="str">
        <f>Ringkasan!AA1646</f>
        <v>Agricultural Products</v>
      </c>
      <c r="AB1647" s="60" t="str">
        <f>Ringkasan!AB1646</f>
        <v>Consumer Non-Cyclicals</v>
      </c>
    </row>
    <row r="1648" hidden="1">
      <c r="A1648" s="64" t="str">
        <f>Ringkasan!A1647</f>
        <v>SSTM</v>
      </c>
      <c r="B1648" s="64" t="str">
        <f>Ringkasan!B1647</f>
        <v>Sunson Textile Manufacturer Tbk</v>
      </c>
      <c r="C1648" s="61">
        <f>Ringkasan!C1647</f>
        <v>400</v>
      </c>
      <c r="D1648" s="60" t="str">
        <f>Ringkasan!D1647</f>
        <v>#N/A</v>
      </c>
      <c r="E1648" s="60" t="str">
        <f>Ringkasan!E1647</f>
        <v/>
      </c>
      <c r="F1648" s="60" t="str">
        <f>Ringkasan!F1647</f>
        <v/>
      </c>
      <c r="G1648" s="60">
        <f>Ringkasan!G1647</f>
        <v>0</v>
      </c>
      <c r="H1648" s="62">
        <f>Ringkasan!H1647</f>
        <v>-36.1</v>
      </c>
      <c r="I1648" s="62">
        <f>Ringkasan!I1647</f>
        <v>2.8</v>
      </c>
      <c r="J1648" s="62">
        <f>Ringkasan!J1647</f>
        <v>-7.7</v>
      </c>
      <c r="K1648" s="62">
        <f>Ringkasan!K1647</f>
        <v>-4.5</v>
      </c>
      <c r="L1648" s="62">
        <f>Ringkasan!L1647</f>
        <v>0.72</v>
      </c>
      <c r="M1648" s="62">
        <f>Ringkasan!M1647</f>
        <v>-23.6</v>
      </c>
      <c r="N1648" s="60" t="str">
        <f>Ringkasan!N1647</f>
        <v/>
      </c>
      <c r="O1648" s="60" t="str">
        <f>Ringkasan!O1647</f>
        <v/>
      </c>
      <c r="P1648" s="60" t="str">
        <f>Ringkasan!P1647</f>
        <v/>
      </c>
      <c r="Q1648" s="60" t="str">
        <f>Ringkasan!Q1647</f>
        <v/>
      </c>
      <c r="R1648" s="60" t="str">
        <f>Ringkasan!R1647</f>
        <v/>
      </c>
      <c r="S1648" s="60" t="str">
        <f>Ringkasan!S1647</f>
        <v/>
      </c>
      <c r="T1648" s="60" t="str">
        <f>Ringkasan!T1647</f>
        <v/>
      </c>
      <c r="U1648" s="60">
        <f>Ringkasan!U1647</f>
        <v>406</v>
      </c>
      <c r="V1648" s="60">
        <f>Ringkasan!V1647</f>
        <v>-1.48</v>
      </c>
      <c r="W1648" s="60">
        <f>Ringkasan!W1647</f>
        <v>406</v>
      </c>
      <c r="X1648" s="60">
        <f>Ringkasan!X1647</f>
        <v>440</v>
      </c>
      <c r="Y1648" s="60">
        <f>Ringkasan!Y1647</f>
        <v>382</v>
      </c>
      <c r="Z1648" s="60">
        <f>Ringkasan!Z1647</f>
        <v>1263400</v>
      </c>
      <c r="AA1648" s="60" t="str">
        <f>Ringkasan!AA1647</f>
        <v>Apparel &amp; Luxury Goods</v>
      </c>
      <c r="AB1648" s="60" t="str">
        <f>Ringkasan!AB1647</f>
        <v>Consumer Cyclicals</v>
      </c>
    </row>
    <row r="1649">
      <c r="A1649" s="64" t="str">
        <f>Ringkasan!A1648</f>
        <v>STAA</v>
      </c>
      <c r="B1649" s="60" t="str">
        <f>Ringkasan!B1648</f>
        <v>Sumber Tani Agung Resources Tbk.</v>
      </c>
      <c r="C1649" s="61">
        <f>Ringkasan!C1648</f>
        <v>975</v>
      </c>
      <c r="D1649" s="60" t="str">
        <f>Ringkasan!D1648</f>
        <v>#N/A</v>
      </c>
      <c r="E1649" s="60" t="str">
        <f>Ringkasan!E1648</f>
        <v>IDXSMC-LIQ</v>
      </c>
      <c r="F1649" s="60" t="str">
        <f>Ringkasan!F1648</f>
        <v>4 Agustus 2026</v>
      </c>
      <c r="G1649" s="61">
        <f>Ringkasan!G1648</f>
        <v>1</v>
      </c>
      <c r="H1649" s="62">
        <f>Ringkasan!H1648</f>
        <v>6.8</v>
      </c>
      <c r="I1649" s="62">
        <f>Ringkasan!I1648</f>
        <v>1.5</v>
      </c>
      <c r="J1649" s="62">
        <f>Ringkasan!J1648</f>
        <v>21.7</v>
      </c>
      <c r="K1649" s="62">
        <f>Ringkasan!K1648</f>
        <v>15.8</v>
      </c>
      <c r="L1649" s="62">
        <f>Ringkasan!L1648</f>
        <v>0.37</v>
      </c>
      <c r="M1649" s="62">
        <f>Ringkasan!M1648</f>
        <v>64.2</v>
      </c>
      <c r="N1649" s="60" t="str">
        <f>Ringkasan!N1648</f>
        <v/>
      </c>
      <c r="O1649" s="60" t="str">
        <f>Ringkasan!O1648</f>
        <v/>
      </c>
      <c r="P1649" s="60" t="str">
        <f>Ringkasan!P1648</f>
        <v/>
      </c>
      <c r="Q1649" s="60" t="str">
        <f>Ringkasan!Q1648</f>
        <v/>
      </c>
      <c r="R1649" s="60" t="str">
        <f>Ringkasan!R1648</f>
        <v/>
      </c>
      <c r="S1649" s="60" t="str">
        <f>Ringkasan!S1648</f>
        <v/>
      </c>
      <c r="T1649" s="60" t="str">
        <f>Ringkasan!T1648</f>
        <v/>
      </c>
      <c r="U1649" s="60">
        <f>Ringkasan!U1648</f>
        <v>28.9</v>
      </c>
      <c r="V1649" s="60">
        <f>Ringkasan!V1648</f>
        <v>-1.83</v>
      </c>
      <c r="W1649" s="60">
        <f>Ringkasan!W1648</f>
        <v>28.84</v>
      </c>
      <c r="X1649" s="60">
        <f>Ringkasan!X1648</f>
        <v>28.98</v>
      </c>
      <c r="Y1649" s="60">
        <f>Ringkasan!Y1648</f>
        <v>28.17</v>
      </c>
      <c r="Z1649" s="60">
        <f>Ringkasan!Z1648</f>
        <v>384636</v>
      </c>
      <c r="AA1649" s="60" t="str">
        <f>Ringkasan!AA1648</f>
        <v>Agricultural Products</v>
      </c>
      <c r="AB1649" s="60" t="str">
        <f>Ringkasan!AB1648</f>
        <v>Consumer Non-Cyclicals</v>
      </c>
    </row>
    <row r="1650" hidden="1">
      <c r="A1650" s="60" t="str">
        <f>Ringkasan!A1637</f>
        <v>SRSN</v>
      </c>
      <c r="B1650" s="60" t="str">
        <f>Ringkasan!B1637</f>
        <v>Indo Acidatama Tbk</v>
      </c>
      <c r="C1650" s="61">
        <f>Ringkasan!C1637</f>
        <v>66</v>
      </c>
      <c r="D1650" s="60" t="str">
        <f>Ringkasan!D1637</f>
        <v>#N/A</v>
      </c>
      <c r="E1650" s="60" t="str">
        <f>Ringkasan!E1637</f>
        <v/>
      </c>
      <c r="F1650" s="60" t="str">
        <f>Ringkasan!F1637</f>
        <v/>
      </c>
      <c r="G1650" s="60">
        <f>Ringkasan!G1637</f>
        <v>0</v>
      </c>
      <c r="H1650" s="62">
        <f>Ringkasan!H1637</f>
        <v>4.1</v>
      </c>
      <c r="I1650" s="62">
        <f>Ringkasan!I1637</f>
        <v>0.47</v>
      </c>
      <c r="J1650" s="62">
        <f>Ringkasan!J1637</f>
        <v>11.5</v>
      </c>
      <c r="K1650" s="62">
        <f>Ringkasan!K1637</f>
        <v>9.5</v>
      </c>
      <c r="L1650" s="62">
        <f>Ringkasan!L1637</f>
        <v>0.21</v>
      </c>
      <c r="M1650" s="62">
        <f>Ringkasan!M1637</f>
        <v>40.3</v>
      </c>
      <c r="N1650" s="60" t="str">
        <f>Ringkasan!N1637</f>
        <v/>
      </c>
      <c r="O1650" s="60" t="str">
        <f>Ringkasan!O1637</f>
        <v/>
      </c>
      <c r="P1650" s="60" t="str">
        <f>Ringkasan!P1637</f>
        <v/>
      </c>
      <c r="Q1650" s="60" t="str">
        <f>Ringkasan!Q1637</f>
        <v/>
      </c>
      <c r="R1650" s="60" t="str">
        <f>Ringkasan!R1637</f>
        <v/>
      </c>
      <c r="S1650" s="60" t="str">
        <f>Ringkasan!S1637</f>
        <v/>
      </c>
      <c r="T1650" s="60" t="str">
        <f>Ringkasan!T1637</f>
        <v/>
      </c>
      <c r="U1650" s="60">
        <f>Ringkasan!U1637</f>
        <v>0</v>
      </c>
      <c r="V1650" s="60">
        <f>Ringkasan!V1637</f>
        <v>0</v>
      </c>
      <c r="W1650" s="60" t="str">
        <f>Ringkasan!W1637</f>
        <v/>
      </c>
      <c r="X1650" s="60" t="str">
        <f>Ringkasan!X1637</f>
        <v/>
      </c>
      <c r="Y1650" s="60" t="str">
        <f>Ringkasan!Y1637</f>
        <v/>
      </c>
      <c r="Z1650" s="60">
        <f>Ringkasan!Z1637</f>
        <v>0</v>
      </c>
      <c r="AA1650" s="60" t="str">
        <f>Ringkasan!AA1637</f>
        <v>Chemicals</v>
      </c>
      <c r="AB1650" s="60" t="str">
        <f>Ringkasan!AB1637</f>
        <v>Basic Materials</v>
      </c>
    </row>
    <row r="1651" hidden="1">
      <c r="A1651" s="60" t="str">
        <f>Ringkasan!A1651</f>
        <v>STTP</v>
      </c>
      <c r="B1651" s="60" t="str">
        <f>Ringkasan!B1651</f>
        <v>Siantar Top Tbk.</v>
      </c>
      <c r="C1651" s="61">
        <f>Ringkasan!C1651</f>
        <v>9425</v>
      </c>
      <c r="D1651" s="60" t="str">
        <f>Ringkasan!D1651</f>
        <v>#N/A</v>
      </c>
      <c r="E1651" s="60" t="str">
        <f>Ringkasan!E1651</f>
        <v/>
      </c>
      <c r="F1651" s="60" t="str">
        <f>Ringkasan!F1651</f>
        <v/>
      </c>
      <c r="G1651" s="61">
        <f>Ringkasan!G1651</f>
        <v>0</v>
      </c>
      <c r="H1651" s="62">
        <f>Ringkasan!H1651</f>
        <v>11.9</v>
      </c>
      <c r="I1651" s="62">
        <f>Ringkasan!I1651</f>
        <v>1.8</v>
      </c>
      <c r="J1651" s="62">
        <f>Ringkasan!J1651</f>
        <v>14.8</v>
      </c>
      <c r="K1651" s="62">
        <f>Ringkasan!K1651</f>
        <v>13.7</v>
      </c>
      <c r="L1651" s="62">
        <f>Ringkasan!L1651</f>
        <v>0.08</v>
      </c>
      <c r="M1651" s="62">
        <f>Ringkasan!M1651</f>
        <v>92.2</v>
      </c>
      <c r="N1651" s="60" t="str">
        <f>Ringkasan!N1651</f>
        <v/>
      </c>
      <c r="O1651" s="60" t="str">
        <f>Ringkasan!O1651</f>
        <v/>
      </c>
      <c r="P1651" s="60" t="str">
        <f>Ringkasan!P1651</f>
        <v/>
      </c>
      <c r="Q1651" s="60" t="str">
        <f>Ringkasan!Q1651</f>
        <v/>
      </c>
      <c r="R1651" s="60" t="str">
        <f>Ringkasan!R1651</f>
        <v/>
      </c>
      <c r="S1651" s="60" t="str">
        <f>Ringkasan!S1651</f>
        <v/>
      </c>
      <c r="T1651" s="60" t="str">
        <f>Ringkasan!T1651</f>
        <v/>
      </c>
      <c r="U1651" s="60">
        <f>Ringkasan!U1651</f>
        <v>9500</v>
      </c>
      <c r="V1651" s="60">
        <f>Ringkasan!V1651</f>
        <v>-0.79</v>
      </c>
      <c r="W1651" s="60">
        <f>Ringkasan!W1651</f>
        <v>9575</v>
      </c>
      <c r="X1651" s="60">
        <f>Ringkasan!X1651</f>
        <v>9575</v>
      </c>
      <c r="Y1651" s="60">
        <f>Ringkasan!Y1651</f>
        <v>9375</v>
      </c>
      <c r="Z1651" s="60">
        <f>Ringkasan!Z1651</f>
        <v>300</v>
      </c>
      <c r="AA1651" s="60" t="str">
        <f>Ringkasan!AA1651</f>
        <v>Processed Foods</v>
      </c>
      <c r="AB1651" s="60" t="str">
        <f>Ringkasan!AB1651</f>
        <v>Consumer Non-Cyclicals</v>
      </c>
    </row>
    <row r="1652" hidden="1">
      <c r="A1652" s="64" t="str">
        <f>Ringkasan!A1649</f>
        <v>STAR</v>
      </c>
      <c r="B1652" s="60" t="str">
        <f>Ringkasan!B1649</f>
        <v>Calculus Global Ventures Tbk.</v>
      </c>
      <c r="C1652" s="61">
        <f>Ringkasan!C1649</f>
        <v>308</v>
      </c>
      <c r="D1652" s="60" t="str">
        <f>Ringkasan!D1649</f>
        <v>#N/A</v>
      </c>
      <c r="E1652" s="60" t="str">
        <f>Ringkasan!E1649</f>
        <v/>
      </c>
      <c r="F1652" s="60" t="str">
        <f>Ringkasan!F1649</f>
        <v/>
      </c>
      <c r="G1652" s="60">
        <f>Ringkasan!G1649</f>
        <v>0</v>
      </c>
      <c r="H1652" s="62">
        <f>Ringkasan!H1649</f>
        <v>86.6</v>
      </c>
      <c r="I1652" s="62">
        <f>Ringkasan!I1649</f>
        <v>3.9</v>
      </c>
      <c r="J1652" s="62">
        <f>Ringkasan!J1649</f>
        <v>4.5</v>
      </c>
      <c r="K1652" s="62">
        <f>Ringkasan!K1649</f>
        <v>4.5</v>
      </c>
      <c r="L1652" s="62">
        <f>Ringkasan!L1649</f>
        <v>0.01</v>
      </c>
      <c r="M1652" s="62">
        <f>Ringkasan!M1649</f>
        <v>970</v>
      </c>
      <c r="N1652" s="60" t="str">
        <f>Ringkasan!N1649</f>
        <v/>
      </c>
      <c r="O1652" s="60" t="str">
        <f>Ringkasan!O1649</f>
        <v/>
      </c>
      <c r="P1652" s="60" t="str">
        <f>Ringkasan!P1649</f>
        <v/>
      </c>
      <c r="Q1652" s="60" t="str">
        <f>Ringkasan!Q1649</f>
        <v/>
      </c>
      <c r="R1652" s="60" t="str">
        <f>Ringkasan!R1649</f>
        <v/>
      </c>
      <c r="S1652" s="60" t="str">
        <f>Ringkasan!S1649</f>
        <v/>
      </c>
      <c r="T1652" s="60" t="str">
        <f>Ringkasan!T1649</f>
        <v/>
      </c>
      <c r="U1652" s="60" t="str">
        <f>Ringkasan!U1649</f>
        <v/>
      </c>
      <c r="V1652" s="60">
        <f>Ringkasan!V1649</f>
        <v>0</v>
      </c>
      <c r="W1652" s="60" t="str">
        <f>Ringkasan!W1649</f>
        <v/>
      </c>
      <c r="X1652" s="60" t="str">
        <f>Ringkasan!X1649</f>
        <v/>
      </c>
      <c r="Y1652" s="60" t="str">
        <f>Ringkasan!Y1649</f>
        <v/>
      </c>
      <c r="Z1652" s="60">
        <f>Ringkasan!Z1649</f>
        <v>0</v>
      </c>
      <c r="AA1652" s="60" t="str">
        <f>Ringkasan!AA1649</f>
        <v>Holding &amp; Investment Companies</v>
      </c>
      <c r="AB1652" s="60" t="str">
        <f>Ringkasan!AB1649</f>
        <v>Financials</v>
      </c>
    </row>
    <row r="1653" hidden="1">
      <c r="A1653" s="60" t="str">
        <f>Ringkasan!A1623</f>
        <v>SOCI</v>
      </c>
      <c r="B1653" s="60" t="str">
        <f>Ringkasan!B1623</f>
        <v>Soechi Lines Tbk.</v>
      </c>
      <c r="C1653" s="61">
        <f>Ringkasan!C1623</f>
        <v>322</v>
      </c>
      <c r="D1653" s="60" t="str">
        <f>Ringkasan!D1623</f>
        <v>#N/A</v>
      </c>
      <c r="E1653" s="60" t="str">
        <f>Ringkasan!E1623</f>
        <v/>
      </c>
      <c r="F1653" s="60" t="str">
        <f>Ringkasan!F1623</f>
        <v/>
      </c>
      <c r="G1653" s="60">
        <f>Ringkasan!G1623</f>
        <v>0</v>
      </c>
      <c r="H1653" s="62">
        <f>Ringkasan!H1623</f>
        <v>16.5</v>
      </c>
      <c r="I1653" s="62">
        <f>Ringkasan!I1623</f>
        <v>0.4</v>
      </c>
      <c r="J1653" s="62">
        <f>Ringkasan!J1623</f>
        <v>2.4</v>
      </c>
      <c r="K1653" s="62">
        <f>Ringkasan!K1623</f>
        <v>1.7</v>
      </c>
      <c r="L1653" s="62">
        <f>Ringkasan!L1623</f>
        <v>0.45</v>
      </c>
      <c r="M1653" s="62">
        <f>Ringkasan!M1623</f>
        <v>28.4</v>
      </c>
      <c r="N1653" s="60" t="str">
        <f>Ringkasan!N1623</f>
        <v/>
      </c>
      <c r="O1653" s="60" t="str">
        <f>Ringkasan!O1623</f>
        <v/>
      </c>
      <c r="P1653" s="60" t="str">
        <f>Ringkasan!P1623</f>
        <v/>
      </c>
      <c r="Q1653" s="60" t="str">
        <f>Ringkasan!Q1623</f>
        <v/>
      </c>
      <c r="R1653" s="60" t="str">
        <f>Ringkasan!R1623</f>
        <v/>
      </c>
      <c r="S1653" s="60" t="str">
        <f>Ringkasan!S1623</f>
        <v/>
      </c>
      <c r="T1653" s="60" t="str">
        <f>Ringkasan!T1623</f>
        <v/>
      </c>
      <c r="U1653" s="60">
        <f>Ringkasan!U1623</f>
        <v>300</v>
      </c>
      <c r="V1653" s="60">
        <f>Ringkasan!V1623</f>
        <v>7.33</v>
      </c>
      <c r="W1653" s="60">
        <f>Ringkasan!W1623</f>
        <v>310</v>
      </c>
      <c r="X1653" s="60">
        <f>Ringkasan!X1623</f>
        <v>348</v>
      </c>
      <c r="Y1653" s="60">
        <f>Ringkasan!Y1623</f>
        <v>308</v>
      </c>
      <c r="Z1653" s="60">
        <f>Ringkasan!Z1623</f>
        <v>20102200</v>
      </c>
      <c r="AA1653" s="60" t="str">
        <f>Ringkasan!AA1623</f>
        <v>Oil &amp; Gas</v>
      </c>
      <c r="AB1653" s="60" t="str">
        <f>Ringkasan!AB1623</f>
        <v>Energy</v>
      </c>
    </row>
    <row r="1654" hidden="1">
      <c r="A1654" s="64" t="str">
        <f>Ringkasan!A1659</f>
        <v>SWAT</v>
      </c>
      <c r="B1654" s="60" t="str">
        <f>Ringkasan!B1659</f>
        <v>Sriwahana Adityakarta Tbk.</v>
      </c>
      <c r="C1654" s="61">
        <f>Ringkasan!C1659</f>
        <v>16</v>
      </c>
      <c r="D1654" s="60" t="str">
        <f>Ringkasan!D1659</f>
        <v>#N/A</v>
      </c>
      <c r="E1654" s="60" t="str">
        <f>Ringkasan!E1659</f>
        <v/>
      </c>
      <c r="F1654" s="60" t="str">
        <f>Ringkasan!F1659</f>
        <v/>
      </c>
      <c r="G1654" s="60">
        <f>Ringkasan!G1659</f>
        <v>0</v>
      </c>
      <c r="H1654" s="62">
        <f>Ringkasan!H1659</f>
        <v>0</v>
      </c>
      <c r="I1654" s="62">
        <f>Ringkasan!I1659</f>
        <v>0.79</v>
      </c>
      <c r="J1654" s="62">
        <f>Ringkasan!J1659</f>
        <v>-230</v>
      </c>
      <c r="K1654" s="62">
        <f>Ringkasan!K1659</f>
        <v>-29.6</v>
      </c>
      <c r="L1654" s="62">
        <f>Ringkasan!L1659</f>
        <v>6.9</v>
      </c>
      <c r="M1654" s="62">
        <f>Ringkasan!M1659</f>
        <v>-80.8</v>
      </c>
      <c r="N1654" s="60" t="str">
        <f>Ringkasan!N1659</f>
        <v/>
      </c>
      <c r="O1654" s="60" t="str">
        <f>Ringkasan!O1659</f>
        <v/>
      </c>
      <c r="P1654" s="60" t="str">
        <f>Ringkasan!P1659</f>
        <v/>
      </c>
      <c r="Q1654" s="60" t="str">
        <f>Ringkasan!Q1659</f>
        <v/>
      </c>
      <c r="R1654" s="60" t="str">
        <f>Ringkasan!R1659</f>
        <v/>
      </c>
      <c r="S1654" s="60" t="str">
        <f>Ringkasan!S1659</f>
        <v/>
      </c>
      <c r="T1654" s="60" t="str">
        <f>Ringkasan!T1659</f>
        <v/>
      </c>
      <c r="U1654" s="60">
        <f>Ringkasan!U1659</f>
        <v>16</v>
      </c>
      <c r="V1654" s="60">
        <f>Ringkasan!V1659</f>
        <v>0</v>
      </c>
      <c r="W1654" s="60" t="str">
        <f>Ringkasan!W1659</f>
        <v/>
      </c>
      <c r="X1654" s="60" t="str">
        <f>Ringkasan!X1659</f>
        <v/>
      </c>
      <c r="Y1654" s="60" t="str">
        <f>Ringkasan!Y1659</f>
        <v/>
      </c>
      <c r="Z1654" s="60">
        <f>Ringkasan!Z1659</f>
        <v>0</v>
      </c>
      <c r="AA1654" s="60" t="str">
        <f>Ringkasan!AA1659</f>
        <v>Forestry &amp; Paper</v>
      </c>
      <c r="AB1654" s="60" t="str">
        <f>Ringkasan!AB1659</f>
        <v>Basic Materials</v>
      </c>
    </row>
    <row r="1655" hidden="1">
      <c r="A1655" s="60" t="str">
        <f>Ringkasan!A1654</f>
        <v>SUNI</v>
      </c>
      <c r="B1655" s="60" t="str">
        <f>Ringkasan!B1654</f>
        <v>PT Sunindo Pratama Tbk</v>
      </c>
      <c r="C1655" s="61">
        <f>Ringkasan!C1654</f>
        <v>665</v>
      </c>
      <c r="D1655" s="60" t="str">
        <f>Ringkasan!D1654</f>
        <v>#N/A</v>
      </c>
      <c r="E1655" s="60" t="str">
        <f>Ringkasan!E1654</f>
        <v/>
      </c>
      <c r="F1655" s="60" t="str">
        <f>Ringkasan!F1654</f>
        <v/>
      </c>
      <c r="G1655" s="61">
        <f>Ringkasan!G1654</f>
        <v>0</v>
      </c>
      <c r="H1655" s="62">
        <f>Ringkasan!H1654</f>
        <v>11.8</v>
      </c>
      <c r="I1655" s="62">
        <f>Ringkasan!I1654</f>
        <v>1.9</v>
      </c>
      <c r="J1655" s="62">
        <f>Ringkasan!J1654</f>
        <v>16.5</v>
      </c>
      <c r="K1655" s="62">
        <f>Ringkasan!K1654</f>
        <v>12.9</v>
      </c>
      <c r="L1655" s="62">
        <f>Ringkasan!L1654</f>
        <v>0.28</v>
      </c>
      <c r="M1655" s="62">
        <f>Ringkasan!M1654</f>
        <v>93.9</v>
      </c>
      <c r="N1655" s="60" t="str">
        <f>Ringkasan!N1654</f>
        <v/>
      </c>
      <c r="O1655" s="60" t="str">
        <f>Ringkasan!O1654</f>
        <v/>
      </c>
      <c r="P1655" s="60" t="str">
        <f>Ringkasan!P1654</f>
        <v/>
      </c>
      <c r="Q1655" s="60" t="str">
        <f>Ringkasan!Q1654</f>
        <v/>
      </c>
      <c r="R1655" s="60" t="str">
        <f>Ringkasan!R1654</f>
        <v/>
      </c>
      <c r="S1655" s="60" t="str">
        <f>Ringkasan!S1654</f>
        <v/>
      </c>
      <c r="T1655" s="60" t="str">
        <f>Ringkasan!T1654</f>
        <v/>
      </c>
      <c r="U1655" s="60">
        <f>Ringkasan!U1654</f>
        <v>660</v>
      </c>
      <c r="V1655" s="60">
        <f>Ringkasan!V1654</f>
        <v>0.76</v>
      </c>
      <c r="W1655" s="60">
        <f>Ringkasan!W1654</f>
        <v>660</v>
      </c>
      <c r="X1655" s="60">
        <f>Ringkasan!X1654</f>
        <v>670</v>
      </c>
      <c r="Y1655" s="60">
        <f>Ringkasan!Y1654</f>
        <v>650</v>
      </c>
      <c r="Z1655" s="60">
        <f>Ringkasan!Z1654</f>
        <v>161500</v>
      </c>
      <c r="AA1655" s="60" t="str">
        <f>Ringkasan!AA1654</f>
        <v>Oil, Gas &amp; Coal Supports</v>
      </c>
      <c r="AB1655" s="64" t="str">
        <f>Ringkasan!AB1654</f>
        <v>Energy</v>
      </c>
    </row>
    <row r="1656" hidden="1">
      <c r="A1656" s="64" t="str">
        <f>Ringkasan!A1655</f>
        <v>SUPA</v>
      </c>
      <c r="B1656" s="64" t="str">
        <f>Ringkasan!B1655</f>
        <v>Super Bank Indonesia Tbk.</v>
      </c>
      <c r="C1656" s="65" t="str">
        <f>Ringkasan!C1655</f>
        <v>#N/A</v>
      </c>
      <c r="D1656" s="64" t="str">
        <f>Ringkasan!D1655</f>
        <v>#N/A</v>
      </c>
      <c r="E1656" s="64" t="str">
        <f>Ringkasan!E1655</f>
        <v/>
      </c>
      <c r="F1656" s="64" t="str">
        <f>Ringkasan!F1655</f>
        <v/>
      </c>
      <c r="G1656" s="64">
        <f>Ringkasan!G1655</f>
        <v>0</v>
      </c>
      <c r="H1656" s="19">
        <f>Ringkasan!H1655</f>
        <v>160</v>
      </c>
      <c r="I1656" s="19">
        <f>Ringkasan!I1655</f>
        <v>3.5</v>
      </c>
      <c r="J1656" s="19">
        <f>Ringkasan!J1655</f>
        <v>2.2</v>
      </c>
      <c r="K1656" s="19">
        <f>Ringkasan!K1655</f>
        <v>0.74</v>
      </c>
      <c r="L1656" s="19">
        <f>Ringkasan!L1655</f>
        <v>2</v>
      </c>
      <c r="M1656" s="19">
        <f>Ringkasan!M1655</f>
        <v>24.4</v>
      </c>
      <c r="N1656" s="64">
        <f>Ringkasan!N1655</f>
        <v>4.85</v>
      </c>
      <c r="O1656" s="64">
        <f>Ringkasan!O1655</f>
        <v>92.15</v>
      </c>
      <c r="P1656" s="64">
        <f>Ringkasan!P1655</f>
        <v>62.4</v>
      </c>
      <c r="Q1656" s="64">
        <f>Ringkasan!Q1655</f>
        <v>0.85</v>
      </c>
      <c r="R1656" s="64">
        <f>Ringkasan!R1655</f>
        <v>112.4</v>
      </c>
      <c r="S1656" s="64">
        <f>Ringkasan!S1655</f>
        <v>98.15</v>
      </c>
      <c r="T1656" s="64">
        <f>Ringkasan!T1655</f>
        <v>2.45</v>
      </c>
      <c r="U1656" s="64">
        <f>Ringkasan!U1655</f>
        <v>615</v>
      </c>
      <c r="V1656" s="64">
        <f>Ringkasan!V1655</f>
        <v>0</v>
      </c>
      <c r="W1656" s="64">
        <f>Ringkasan!W1655</f>
        <v>615</v>
      </c>
      <c r="X1656" s="64">
        <f>Ringkasan!X1655</f>
        <v>645</v>
      </c>
      <c r="Y1656" s="64">
        <f>Ringkasan!Y1655</f>
        <v>605</v>
      </c>
      <c r="Z1656" s="64">
        <f>Ringkasan!Z1655</f>
        <v>73444900</v>
      </c>
      <c r="AA1656" s="64" t="str">
        <f>Ringkasan!AA1655</f>
        <v>Banks</v>
      </c>
      <c r="AB1656" s="64" t="str">
        <f>Ringkasan!AB1655</f>
        <v>Financials</v>
      </c>
    </row>
    <row r="1657" hidden="1">
      <c r="A1657" s="60" t="str">
        <f>Ringkasan!A1656</f>
        <v>SUPR</v>
      </c>
      <c r="B1657" s="60" t="str">
        <f>Ringkasan!B1656</f>
        <v>Solusi Tunas Pratama Tbk</v>
      </c>
      <c r="C1657" s="61">
        <f>Ringkasan!C1656</f>
        <v>43850</v>
      </c>
      <c r="D1657" s="60" t="str">
        <f>Ringkasan!D1656</f>
        <v>#N/A</v>
      </c>
      <c r="E1657" s="60" t="str">
        <f>Ringkasan!E1656</f>
        <v/>
      </c>
      <c r="F1657" s="60" t="str">
        <f>Ringkasan!F1656</f>
        <v/>
      </c>
      <c r="G1657" s="60">
        <f>Ringkasan!G1656</f>
        <v>0</v>
      </c>
      <c r="H1657" s="62">
        <f>Ringkasan!H1656</f>
        <v>21.4</v>
      </c>
      <c r="I1657" s="62">
        <f>Ringkasan!I1656</f>
        <v>6</v>
      </c>
      <c r="J1657" s="62">
        <f>Ringkasan!J1656</f>
        <v>28.2</v>
      </c>
      <c r="K1657" s="62">
        <f>Ringkasan!K1656</f>
        <v>10.3</v>
      </c>
      <c r="L1657" s="62">
        <f>Ringkasan!L1656</f>
        <v>0.26</v>
      </c>
      <c r="M1657" s="62">
        <f>Ringkasan!M1656</f>
        <v>120</v>
      </c>
      <c r="N1657" s="60" t="str">
        <f>Ringkasan!N1656</f>
        <v/>
      </c>
      <c r="O1657" s="60" t="str">
        <f>Ringkasan!O1656</f>
        <v/>
      </c>
      <c r="P1657" s="60" t="str">
        <f>Ringkasan!P1656</f>
        <v/>
      </c>
      <c r="Q1657" s="60" t="str">
        <f>Ringkasan!Q1656</f>
        <v/>
      </c>
      <c r="R1657" s="60" t="str">
        <f>Ringkasan!R1656</f>
        <v/>
      </c>
      <c r="S1657" s="60" t="str">
        <f>Ringkasan!S1656</f>
        <v/>
      </c>
      <c r="T1657" s="60" t="str">
        <f>Ringkasan!T1656</f>
        <v/>
      </c>
      <c r="U1657" s="60">
        <f>Ringkasan!U1656</f>
        <v>84.9</v>
      </c>
      <c r="V1657" s="60">
        <f>Ringkasan!V1656</f>
        <v>0.47</v>
      </c>
      <c r="W1657" s="60">
        <f>Ringkasan!W1656</f>
        <v>85.7</v>
      </c>
      <c r="X1657" s="60">
        <f>Ringkasan!X1656</f>
        <v>85.95</v>
      </c>
      <c r="Y1657" s="60">
        <f>Ringkasan!Y1656</f>
        <v>84.7</v>
      </c>
      <c r="Z1657" s="60">
        <f>Ringkasan!Z1656</f>
        <v>3936769</v>
      </c>
      <c r="AA1657" s="60" t="str">
        <f>Ringkasan!AA1656</f>
        <v>Wireless Telecommunication Services</v>
      </c>
      <c r="AB1657" s="60" t="str">
        <f>Ringkasan!AB1656</f>
        <v>Infrastructures</v>
      </c>
    </row>
    <row r="1658" hidden="1">
      <c r="A1658" s="60" t="str">
        <f>Ringkasan!A1657</f>
        <v>SURE</v>
      </c>
      <c r="B1658" s="60" t="str">
        <f>Ringkasan!B1657</f>
        <v>Super Energy Tbk.</v>
      </c>
      <c r="C1658" s="61">
        <f>Ringkasan!C1657</f>
        <v>3090</v>
      </c>
      <c r="D1658" s="60" t="str">
        <f>Ringkasan!D1657</f>
        <v>#N/A</v>
      </c>
      <c r="E1658" s="60" t="str">
        <f>Ringkasan!E1657</f>
        <v/>
      </c>
      <c r="F1658" s="60" t="str">
        <f>Ringkasan!F1657</f>
        <v/>
      </c>
      <c r="G1658" s="60">
        <f>Ringkasan!G1657</f>
        <v>0</v>
      </c>
      <c r="H1658" s="62">
        <f>Ringkasan!H1657</f>
        <v>-200</v>
      </c>
      <c r="I1658" s="62">
        <f>Ringkasan!I1657</f>
        <v>17.2</v>
      </c>
      <c r="J1658" s="62">
        <f>Ringkasan!J1657</f>
        <v>-8.6</v>
      </c>
      <c r="K1658" s="62">
        <f>Ringkasan!K1657</f>
        <v>-1.2</v>
      </c>
      <c r="L1658" s="62">
        <f>Ringkasan!L1657</f>
        <v>6.2</v>
      </c>
      <c r="M1658" s="62">
        <f>Ringkasan!M1657</f>
        <v>-11.2</v>
      </c>
      <c r="N1658" s="60" t="str">
        <f>Ringkasan!N1657</f>
        <v/>
      </c>
      <c r="O1658" s="60" t="str">
        <f>Ringkasan!O1657</f>
        <v/>
      </c>
      <c r="P1658" s="60" t="str">
        <f>Ringkasan!P1657</f>
        <v/>
      </c>
      <c r="Q1658" s="60" t="str">
        <f>Ringkasan!Q1657</f>
        <v/>
      </c>
      <c r="R1658" s="60" t="str">
        <f>Ringkasan!R1657</f>
        <v/>
      </c>
      <c r="S1658" s="60" t="str">
        <f>Ringkasan!S1657</f>
        <v/>
      </c>
      <c r="T1658" s="60" t="str">
        <f>Ringkasan!T1657</f>
        <v/>
      </c>
      <c r="U1658" s="60">
        <f>Ringkasan!U1657</f>
        <v>144.15</v>
      </c>
      <c r="V1658" s="60">
        <f>Ringkasan!V1657</f>
        <v>0.42</v>
      </c>
      <c r="W1658" s="60" t="str">
        <f>Ringkasan!W1657</f>
        <v/>
      </c>
      <c r="X1658" s="60">
        <f>Ringkasan!X1657</f>
        <v>144.75</v>
      </c>
      <c r="Y1658" s="60">
        <f>Ringkasan!Y1657</f>
        <v>144.36</v>
      </c>
      <c r="Z1658" s="60">
        <f>Ringkasan!Z1657</f>
        <v>1</v>
      </c>
      <c r="AA1658" s="60" t="str">
        <f>Ringkasan!AA1657</f>
        <v>Oil &amp; Gas</v>
      </c>
      <c r="AB1658" s="60" t="str">
        <f>Ringkasan!AB1657</f>
        <v>Energy</v>
      </c>
    </row>
    <row r="1659" hidden="1">
      <c r="A1659" s="64" t="str">
        <f>Ringkasan!A1658</f>
        <v>SURI</v>
      </c>
      <c r="B1659" s="64" t="str">
        <f>Ringkasan!B1658</f>
        <v>PT Maja Agung Latexindo Tbk.</v>
      </c>
      <c r="C1659" s="61">
        <f>Ringkasan!C1658</f>
        <v>59</v>
      </c>
      <c r="D1659" s="60" t="str">
        <f>Ringkasan!D1658</f>
        <v>#N/A</v>
      </c>
      <c r="E1659" s="64" t="str">
        <f>Ringkasan!E1658</f>
        <v/>
      </c>
      <c r="F1659" s="64" t="str">
        <f>Ringkasan!F1658</f>
        <v/>
      </c>
      <c r="G1659" s="65">
        <f>Ringkasan!G1658</f>
        <v>0</v>
      </c>
      <c r="H1659" s="19">
        <f>Ringkasan!H1658</f>
        <v>-2430</v>
      </c>
      <c r="I1659" s="19">
        <f>Ringkasan!I1658</f>
        <v>1.3</v>
      </c>
      <c r="J1659" s="19">
        <f>Ringkasan!J1658</f>
        <v>-0.05</v>
      </c>
      <c r="K1659" s="19">
        <f>Ringkasan!K1658</f>
        <v>-0.05</v>
      </c>
      <c r="L1659" s="19">
        <f>Ringkasan!L1658</f>
        <v>0.13</v>
      </c>
      <c r="M1659" s="19">
        <f>Ringkasan!M1658</f>
        <v>-0.5</v>
      </c>
      <c r="N1659" s="64" t="str">
        <f>Ringkasan!N1658</f>
        <v/>
      </c>
      <c r="O1659" s="64" t="str">
        <f>Ringkasan!O1658</f>
        <v/>
      </c>
      <c r="P1659" s="64" t="str">
        <f>Ringkasan!P1658</f>
        <v/>
      </c>
      <c r="Q1659" s="64" t="str">
        <f>Ringkasan!Q1658</f>
        <v/>
      </c>
      <c r="R1659" s="64" t="str">
        <f>Ringkasan!R1658</f>
        <v/>
      </c>
      <c r="S1659" s="64" t="str">
        <f>Ringkasan!S1658</f>
        <v/>
      </c>
      <c r="T1659" s="64" t="str">
        <f>Ringkasan!T1658</f>
        <v/>
      </c>
      <c r="U1659" s="60">
        <f>Ringkasan!U1658</f>
        <v>17.59</v>
      </c>
      <c r="V1659" s="60">
        <f>Ringkasan!V1658</f>
        <v>-0.32</v>
      </c>
      <c r="W1659" s="60">
        <f>Ringkasan!W1658</f>
        <v>17.5</v>
      </c>
      <c r="X1659" s="60" t="str">
        <f>Ringkasan!X1658</f>
        <v/>
      </c>
      <c r="Y1659" s="60">
        <f>Ringkasan!Y1658</f>
        <v>17.5</v>
      </c>
      <c r="Z1659" s="60">
        <f>Ringkasan!Z1658</f>
        <v>354</v>
      </c>
      <c r="AA1659" s="64" t="str">
        <f>Ringkasan!AA1658</f>
        <v>Healthcare Equipment &amp; Supplies</v>
      </c>
      <c r="AB1659" s="64" t="str">
        <f>Ringkasan!AB1658</f>
        <v>Healthcare</v>
      </c>
    </row>
    <row r="1660" hidden="1">
      <c r="A1660" s="60" t="str">
        <f>Ringkasan!A1662</f>
        <v>TAMA</v>
      </c>
      <c r="B1660" s="60" t="str">
        <f>Ringkasan!B1662</f>
        <v>Lancartama Sejati Tbk.</v>
      </c>
      <c r="C1660" s="61">
        <f>Ringkasan!C1662</f>
        <v>145</v>
      </c>
      <c r="D1660" s="60" t="str">
        <f>Ringkasan!D1662</f>
        <v>#N/A</v>
      </c>
      <c r="E1660" s="60" t="str">
        <f>Ringkasan!E1662</f>
        <v/>
      </c>
      <c r="F1660" s="60" t="str">
        <f>Ringkasan!F1662</f>
        <v/>
      </c>
      <c r="G1660" s="60">
        <f>Ringkasan!G1662</f>
        <v>0</v>
      </c>
      <c r="H1660" s="62">
        <f>Ringkasan!H1662</f>
        <v>-13.3</v>
      </c>
      <c r="I1660" s="62">
        <f>Ringkasan!I1662</f>
        <v>7.5</v>
      </c>
      <c r="J1660" s="62">
        <f>Ringkasan!J1662</f>
        <v>-56.3</v>
      </c>
      <c r="K1660" s="62">
        <f>Ringkasan!K1662</f>
        <v>-3.9</v>
      </c>
      <c r="L1660" s="62">
        <f>Ringkasan!L1662</f>
        <v>4.6</v>
      </c>
      <c r="M1660" s="62">
        <f>Ringkasan!M1662</f>
        <v>-89.6</v>
      </c>
      <c r="N1660" s="60" t="str">
        <f>Ringkasan!N1662</f>
        <v/>
      </c>
      <c r="O1660" s="60" t="str">
        <f>Ringkasan!O1662</f>
        <v/>
      </c>
      <c r="P1660" s="60" t="str">
        <f>Ringkasan!P1662</f>
        <v/>
      </c>
      <c r="Q1660" s="60" t="str">
        <f>Ringkasan!Q1662</f>
        <v/>
      </c>
      <c r="R1660" s="60" t="str">
        <f>Ringkasan!R1662</f>
        <v/>
      </c>
      <c r="S1660" s="60" t="str">
        <f>Ringkasan!S1662</f>
        <v/>
      </c>
      <c r="T1660" s="60" t="str">
        <f>Ringkasan!T1662</f>
        <v/>
      </c>
      <c r="U1660" s="60">
        <f>Ringkasan!U1662</f>
        <v>138</v>
      </c>
      <c r="V1660" s="60">
        <f>Ringkasan!V1662</f>
        <v>5.07</v>
      </c>
      <c r="W1660" s="60">
        <f>Ringkasan!W1662</f>
        <v>153</v>
      </c>
      <c r="X1660" s="60">
        <f>Ringkasan!X1662</f>
        <v>153</v>
      </c>
      <c r="Y1660" s="60">
        <f>Ringkasan!Y1662</f>
        <v>139</v>
      </c>
      <c r="Z1660" s="60">
        <f>Ringkasan!Z1662</f>
        <v>3187200</v>
      </c>
      <c r="AA1660" s="60" t="str">
        <f>Ringkasan!AA1662</f>
        <v>Heavy Constructions &amp; Civil Engineering</v>
      </c>
      <c r="AB1660" s="60" t="str">
        <f>Ringkasan!AB1662</f>
        <v>Infrastructures</v>
      </c>
    </row>
    <row r="1661" hidden="1">
      <c r="A1661" s="64" t="str">
        <f>Ringkasan!A1660</f>
        <v>SWID</v>
      </c>
      <c r="B1661" s="64" t="str">
        <f>Ringkasan!B1660</f>
        <v>Saraswanti Indoland Development Tbk.</v>
      </c>
      <c r="C1661" s="67">
        <f>Ringkasan!C1660</f>
        <v>88</v>
      </c>
      <c r="D1661" s="22" t="str">
        <f>Ringkasan!D1660</f>
        <v>#N/A</v>
      </c>
      <c r="E1661" s="64" t="str">
        <f>Ringkasan!E1660</f>
        <v/>
      </c>
      <c r="F1661" s="64" t="str">
        <f>Ringkasan!F1660</f>
        <v/>
      </c>
      <c r="G1661" s="64">
        <f>Ringkasan!G1660</f>
        <v>0</v>
      </c>
      <c r="H1661" s="19">
        <f>Ringkasan!H1660</f>
        <v>11.2</v>
      </c>
      <c r="I1661" s="19">
        <f>Ringkasan!I1660</f>
        <v>1.8</v>
      </c>
      <c r="J1661" s="19">
        <f>Ringkasan!J1660</f>
        <v>15.9</v>
      </c>
      <c r="K1661" s="19">
        <f>Ringkasan!K1660</f>
        <v>8.6</v>
      </c>
      <c r="L1661" s="19">
        <f>Ringkasan!L1660</f>
        <v>0.84</v>
      </c>
      <c r="M1661" s="19">
        <f>Ringkasan!M1660</f>
        <v>150</v>
      </c>
      <c r="N1661" s="64" t="str">
        <f>Ringkasan!N1660</f>
        <v/>
      </c>
      <c r="O1661" s="64" t="str">
        <f>Ringkasan!O1660</f>
        <v/>
      </c>
      <c r="P1661" s="64" t="str">
        <f>Ringkasan!P1660</f>
        <v/>
      </c>
      <c r="Q1661" s="64" t="str">
        <f>Ringkasan!Q1660</f>
        <v/>
      </c>
      <c r="R1661" s="64" t="str">
        <f>Ringkasan!R1660</f>
        <v/>
      </c>
      <c r="S1661" s="64" t="str">
        <f>Ringkasan!S1660</f>
        <v/>
      </c>
      <c r="T1661" s="64" t="str">
        <f>Ringkasan!T1660</f>
        <v/>
      </c>
      <c r="U1661" s="22" t="str">
        <f>Ringkasan!U1660</f>
        <v/>
      </c>
      <c r="V1661" s="22">
        <f>Ringkasan!V1660</f>
        <v>2.33</v>
      </c>
      <c r="W1661" s="22">
        <f>Ringkasan!W1660</f>
        <v>86</v>
      </c>
      <c r="X1661" s="22">
        <f>Ringkasan!X1660</f>
        <v>88</v>
      </c>
      <c r="Y1661" s="22">
        <f>Ringkasan!Y1660</f>
        <v>85</v>
      </c>
      <c r="Z1661" s="22">
        <f>Ringkasan!Z1660</f>
        <v>3671800</v>
      </c>
      <c r="AA1661" s="64" t="str">
        <f>Ringkasan!AA1660</f>
        <v>Tourism &amp; Recreation</v>
      </c>
      <c r="AB1661" s="64" t="str">
        <f>Ringkasan!AB1660</f>
        <v>Consumer Cyclicals</v>
      </c>
    </row>
    <row r="1662">
      <c r="A1662" s="64" t="str">
        <f>Ringkasan!A1665</f>
        <v>TAPG</v>
      </c>
      <c r="B1662" s="60" t="str">
        <f>Ringkasan!B1665</f>
        <v>Triputra Agro Persada Tbk.</v>
      </c>
      <c r="C1662" s="61">
        <f>Ringkasan!C1665</f>
        <v>1490</v>
      </c>
      <c r="D1662" s="60" t="str">
        <f>Ringkasan!D1665</f>
        <v>#N/A</v>
      </c>
      <c r="E1662" s="60" t="str">
        <f>Ringkasan!E1665</f>
        <v>IDXSHAGROW</v>
      </c>
      <c r="F1662" s="63">
        <f>Ringkasan!F1665</f>
        <v>46356</v>
      </c>
      <c r="G1662" s="61">
        <f>Ringkasan!G1665</f>
        <v>12</v>
      </c>
      <c r="H1662" s="62">
        <f>Ringkasan!H1665</f>
        <v>8.3</v>
      </c>
      <c r="I1662" s="62">
        <f>Ringkasan!I1665</f>
        <v>2.4</v>
      </c>
      <c r="J1662" s="62">
        <f>Ringkasan!J1665</f>
        <v>29.2</v>
      </c>
      <c r="K1662" s="62">
        <f>Ringkasan!K1665</f>
        <v>23.6</v>
      </c>
      <c r="L1662" s="62">
        <f>Ringkasan!L1665</f>
        <v>0.24</v>
      </c>
      <c r="M1662" s="62">
        <f>Ringkasan!M1665</f>
        <v>150</v>
      </c>
      <c r="N1662" s="60" t="str">
        <f>Ringkasan!N1665</f>
        <v/>
      </c>
      <c r="O1662" s="60" t="str">
        <f>Ringkasan!O1665</f>
        <v/>
      </c>
      <c r="P1662" s="60" t="str">
        <f>Ringkasan!P1665</f>
        <v/>
      </c>
      <c r="Q1662" s="60" t="str">
        <f>Ringkasan!Q1665</f>
        <v/>
      </c>
      <c r="R1662" s="60" t="str">
        <f>Ringkasan!R1665</f>
        <v/>
      </c>
      <c r="S1662" s="60" t="str">
        <f>Ringkasan!S1665</f>
        <v/>
      </c>
      <c r="T1662" s="60" t="str">
        <f>Ringkasan!T1665</f>
        <v/>
      </c>
      <c r="U1662" s="60">
        <f>Ringkasan!U1665</f>
        <v>1370</v>
      </c>
      <c r="V1662" s="60">
        <f>Ringkasan!V1665</f>
        <v>8.76</v>
      </c>
      <c r="W1662" s="60">
        <f>Ringkasan!W1665</f>
        <v>1380</v>
      </c>
      <c r="X1662" s="60">
        <f>Ringkasan!X1665</f>
        <v>1550</v>
      </c>
      <c r="Y1662" s="60">
        <f>Ringkasan!Y1665</f>
        <v>1380</v>
      </c>
      <c r="Z1662" s="60">
        <f>Ringkasan!Z1665</f>
        <v>23782600</v>
      </c>
      <c r="AA1662" s="60" t="str">
        <f>Ringkasan!AA1665</f>
        <v>Agricultural Products</v>
      </c>
      <c r="AB1662" s="60" t="str">
        <f>Ringkasan!AB1665</f>
        <v>Consumer Non-Cyclicals</v>
      </c>
    </row>
    <row r="1663">
      <c r="A1663" s="60" t="str">
        <f>Ringkasan!A1640</f>
        <v>SRTG</v>
      </c>
      <c r="B1663" s="60" t="str">
        <f>Ringkasan!B1640</f>
        <v>PT Saratoga Investama Sedaya Tbk.</v>
      </c>
      <c r="C1663" s="61">
        <f>Ringkasan!C1640</f>
        <v>1435</v>
      </c>
      <c r="D1663" s="60" t="str">
        <f>Ringkasan!D1640</f>
        <v>#N/A</v>
      </c>
      <c r="E1663" s="60" t="str">
        <f>Ringkasan!E1640</f>
        <v>JII70</v>
      </c>
      <c r="F1663" s="63">
        <f>Ringkasan!F1640</f>
        <v>46356</v>
      </c>
      <c r="G1663" s="60">
        <f>Ringkasan!G1640</f>
        <v>3</v>
      </c>
      <c r="H1663" s="62">
        <f>Ringkasan!H1640</f>
        <v>2.9</v>
      </c>
      <c r="I1663" s="62">
        <f>Ringkasan!I1640</f>
        <v>0.36</v>
      </c>
      <c r="J1663" s="62">
        <f>Ringkasan!J1640</f>
        <v>12.4</v>
      </c>
      <c r="K1663" s="62">
        <f>Ringkasan!K1640</f>
        <v>11.7</v>
      </c>
      <c r="L1663" s="62">
        <f>Ringkasan!L1640</f>
        <v>0.06</v>
      </c>
      <c r="M1663" s="62">
        <f>Ringkasan!M1640</f>
        <v>260</v>
      </c>
      <c r="N1663" s="60" t="str">
        <f>Ringkasan!N1640</f>
        <v/>
      </c>
      <c r="O1663" s="60" t="str">
        <f>Ringkasan!O1640</f>
        <v/>
      </c>
      <c r="P1663" s="60" t="str">
        <f>Ringkasan!P1640</f>
        <v/>
      </c>
      <c r="Q1663" s="60" t="str">
        <f>Ringkasan!Q1640</f>
        <v/>
      </c>
      <c r="R1663" s="60" t="str">
        <f>Ringkasan!R1640</f>
        <v/>
      </c>
      <c r="S1663" s="60" t="str">
        <f>Ringkasan!S1640</f>
        <v/>
      </c>
      <c r="T1663" s="60" t="str">
        <f>Ringkasan!T1640</f>
        <v/>
      </c>
      <c r="U1663" s="60">
        <f>Ringkasan!U1640</f>
        <v>1390</v>
      </c>
      <c r="V1663" s="60">
        <f>Ringkasan!V1640</f>
        <v>3.24</v>
      </c>
      <c r="W1663" s="60">
        <f>Ringkasan!W1640</f>
        <v>1400</v>
      </c>
      <c r="X1663" s="60">
        <f>Ringkasan!X1640</f>
        <v>1465</v>
      </c>
      <c r="Y1663" s="60">
        <f>Ringkasan!Y1640</f>
        <v>1400</v>
      </c>
      <c r="Z1663" s="60">
        <f>Ringkasan!Z1640</f>
        <v>5120600</v>
      </c>
      <c r="AA1663" s="60" t="str">
        <f>Ringkasan!AA1640</f>
        <v>Holding &amp; Investment Companies</v>
      </c>
      <c r="AB1663" s="60" t="str">
        <f>Ringkasan!AB1640</f>
        <v>Financials</v>
      </c>
    </row>
    <row r="1664" hidden="1">
      <c r="A1664" s="64" t="str">
        <f>Ringkasan!A1663</f>
        <v>TAMU</v>
      </c>
      <c r="B1664" s="64" t="str">
        <f>Ringkasan!B1663</f>
        <v>PT Pelayaran Tamarin Samudra Tbk.</v>
      </c>
      <c r="C1664" s="65">
        <f>Ringkasan!C1663</f>
        <v>20</v>
      </c>
      <c r="D1664" s="64" t="str">
        <f>Ringkasan!D1663</f>
        <v>#N/A</v>
      </c>
      <c r="E1664" s="64" t="str">
        <f>Ringkasan!E1663</f>
        <v/>
      </c>
      <c r="F1664" s="64" t="str">
        <f>Ringkasan!F1663</f>
        <v/>
      </c>
      <c r="G1664" s="64">
        <f>Ringkasan!G1663</f>
        <v>0</v>
      </c>
      <c r="H1664" s="19">
        <f>Ringkasan!H1663</f>
        <v>-3.7</v>
      </c>
      <c r="I1664" s="19">
        <f>Ringkasan!I1663</f>
        <v>2.5</v>
      </c>
      <c r="J1664" s="19">
        <f>Ringkasan!J1663</f>
        <v>-67</v>
      </c>
      <c r="K1664" s="19">
        <f>Ringkasan!K1663</f>
        <v>-38.1</v>
      </c>
      <c r="L1664" s="19">
        <f>Ringkasan!L1663</f>
        <v>0.76</v>
      </c>
      <c r="M1664" s="19">
        <f>Ringkasan!M1663</f>
        <v>-400</v>
      </c>
      <c r="N1664" s="64" t="str">
        <f>Ringkasan!N1663</f>
        <v/>
      </c>
      <c r="O1664" s="64" t="str">
        <f>Ringkasan!O1663</f>
        <v/>
      </c>
      <c r="P1664" s="64" t="str">
        <f>Ringkasan!P1663</f>
        <v/>
      </c>
      <c r="Q1664" s="64" t="str">
        <f>Ringkasan!Q1663</f>
        <v/>
      </c>
      <c r="R1664" s="64" t="str">
        <f>Ringkasan!R1663</f>
        <v/>
      </c>
      <c r="S1664" s="64" t="str">
        <f>Ringkasan!S1663</f>
        <v/>
      </c>
      <c r="T1664" s="64" t="str">
        <f>Ringkasan!T1663</f>
        <v/>
      </c>
      <c r="U1664" s="64">
        <f>Ringkasan!U1663</f>
        <v>19</v>
      </c>
      <c r="V1664" s="64">
        <f>Ringkasan!V1663</f>
        <v>5.26</v>
      </c>
      <c r="W1664" s="64">
        <f>Ringkasan!W1663</f>
        <v>20</v>
      </c>
      <c r="X1664" s="64">
        <f>Ringkasan!X1663</f>
        <v>20</v>
      </c>
      <c r="Y1664" s="64">
        <f>Ringkasan!Y1663</f>
        <v>20</v>
      </c>
      <c r="Z1664" s="64">
        <f>Ringkasan!Z1663</f>
        <v>3240000</v>
      </c>
      <c r="AA1664" s="64" t="str">
        <f>Ringkasan!AA1663</f>
        <v>Oil, Gas &amp; Coal Supports</v>
      </c>
      <c r="AB1664" s="64" t="str">
        <f>Ringkasan!AB1663</f>
        <v>Energy</v>
      </c>
    </row>
    <row r="1665">
      <c r="A1665" s="64" t="str">
        <f>Ringkasan!A1664</f>
        <v>TAPG</v>
      </c>
      <c r="B1665" s="60" t="str">
        <f>Ringkasan!B1664</f>
        <v>Triputra Agro Persada Tbk.</v>
      </c>
      <c r="C1665" s="61">
        <f>Ringkasan!C1664</f>
        <v>1490</v>
      </c>
      <c r="D1665" s="60" t="str">
        <f>Ringkasan!D1664</f>
        <v>#N/A</v>
      </c>
      <c r="E1665" s="60" t="str">
        <f>Ringkasan!E1664</f>
        <v>ESGQKEHATI</v>
      </c>
      <c r="F1665" s="63">
        <f>Ringkasan!F1664</f>
        <v>46356</v>
      </c>
      <c r="G1665" s="61">
        <f>Ringkasan!G1664</f>
        <v>12</v>
      </c>
      <c r="H1665" s="62">
        <f>Ringkasan!H1664</f>
        <v>8.3</v>
      </c>
      <c r="I1665" s="62">
        <f>Ringkasan!I1664</f>
        <v>2.4</v>
      </c>
      <c r="J1665" s="62">
        <f>Ringkasan!J1664</f>
        <v>29.2</v>
      </c>
      <c r="K1665" s="62">
        <f>Ringkasan!K1664</f>
        <v>23.6</v>
      </c>
      <c r="L1665" s="62">
        <f>Ringkasan!L1664</f>
        <v>0.24</v>
      </c>
      <c r="M1665" s="62">
        <f>Ringkasan!M1664</f>
        <v>150</v>
      </c>
      <c r="N1665" s="60" t="str">
        <f>Ringkasan!N1664</f>
        <v/>
      </c>
      <c r="O1665" s="60" t="str">
        <f>Ringkasan!O1664</f>
        <v/>
      </c>
      <c r="P1665" s="60" t="str">
        <f>Ringkasan!P1664</f>
        <v/>
      </c>
      <c r="Q1665" s="60" t="str">
        <f>Ringkasan!Q1664</f>
        <v/>
      </c>
      <c r="R1665" s="60" t="str">
        <f>Ringkasan!R1664</f>
        <v/>
      </c>
      <c r="S1665" s="60" t="str">
        <f>Ringkasan!S1664</f>
        <v/>
      </c>
      <c r="T1665" s="60" t="str">
        <f>Ringkasan!T1664</f>
        <v/>
      </c>
      <c r="U1665" s="60">
        <f>Ringkasan!U1664</f>
        <v>1370</v>
      </c>
      <c r="V1665" s="60">
        <f>Ringkasan!V1664</f>
        <v>8.76</v>
      </c>
      <c r="W1665" s="60">
        <f>Ringkasan!W1664</f>
        <v>1380</v>
      </c>
      <c r="X1665" s="60">
        <f>Ringkasan!X1664</f>
        <v>1550</v>
      </c>
      <c r="Y1665" s="60">
        <f>Ringkasan!Y1664</f>
        <v>1380</v>
      </c>
      <c r="Z1665" s="60">
        <f>Ringkasan!Z1664</f>
        <v>23782600</v>
      </c>
      <c r="AA1665" s="60" t="str">
        <f>Ringkasan!AA1664</f>
        <v>Agricultural Products</v>
      </c>
      <c r="AB1665" s="60" t="str">
        <f>Ringkasan!AB1664</f>
        <v>Consumer Non-Cyclicals</v>
      </c>
    </row>
    <row r="1666" hidden="1">
      <c r="A1666" s="60" t="str">
        <f>Ringkasan!A1719</f>
        <v>TLKM</v>
      </c>
      <c r="B1666" s="60" t="str">
        <f>Ringkasan!B1719</f>
        <v>Telkom Indonesia (Persero) Tbk.</v>
      </c>
      <c r="C1666" s="61">
        <f>Ringkasan!C1719</f>
        <v>2860</v>
      </c>
      <c r="D1666" s="60" t="str">
        <f>Ringkasan!D1719</f>
        <v>#N/A</v>
      </c>
      <c r="E1666" s="60" t="str">
        <f>Ringkasan!E1719</f>
        <v>Kompas100</v>
      </c>
      <c r="F1666" s="60" t="str">
        <f>Ringkasan!F1719</f>
        <v>31 Juli 2026</v>
      </c>
      <c r="G1666" s="60">
        <f>Ringkasan!G1719</f>
        <v>19</v>
      </c>
      <c r="H1666" s="62">
        <f>Ringkasan!H1719</f>
        <v>10.1</v>
      </c>
      <c r="I1666" s="62">
        <f>Ringkasan!I1719</f>
        <v>1.9</v>
      </c>
      <c r="J1666" s="62">
        <f>Ringkasan!J1719</f>
        <v>19.1</v>
      </c>
      <c r="K1666" s="62">
        <f>Ringkasan!K1719</f>
        <v>4.7</v>
      </c>
      <c r="L1666" s="62">
        <f>Ringkasan!L1719</f>
        <v>0.86</v>
      </c>
      <c r="M1666" s="62">
        <f>Ringkasan!M1719</f>
        <v>20.3</v>
      </c>
      <c r="N1666" s="60" t="str">
        <f>Ringkasan!N1719</f>
        <v/>
      </c>
      <c r="O1666" s="60" t="str">
        <f>Ringkasan!O1719</f>
        <v/>
      </c>
      <c r="P1666" s="60" t="str">
        <f>Ringkasan!P1719</f>
        <v/>
      </c>
      <c r="Q1666" s="60" t="str">
        <f>Ringkasan!Q1719</f>
        <v/>
      </c>
      <c r="R1666" s="60" t="str">
        <f>Ringkasan!R1719</f>
        <v/>
      </c>
      <c r="S1666" s="60" t="str">
        <f>Ringkasan!S1719</f>
        <v/>
      </c>
      <c r="T1666" s="60" t="str">
        <f>Ringkasan!T1719</f>
        <v/>
      </c>
      <c r="U1666" s="60">
        <f>Ringkasan!U1719</f>
        <v>2870</v>
      </c>
      <c r="V1666" s="60">
        <f>Ringkasan!V1719</f>
        <v>-0.35</v>
      </c>
      <c r="W1666" s="60">
        <f>Ringkasan!W1719</f>
        <v>2910</v>
      </c>
      <c r="X1666" s="60">
        <f>Ringkasan!X1719</f>
        <v>2980</v>
      </c>
      <c r="Y1666" s="60">
        <f>Ringkasan!Y1719</f>
        <v>2860</v>
      </c>
      <c r="Z1666" s="60">
        <f>Ringkasan!Z1719</f>
        <v>181531900</v>
      </c>
      <c r="AA1666" s="60" t="str">
        <f>Ringkasan!AA1719</f>
        <v>Telecommunication Service</v>
      </c>
      <c r="AB1666" s="60" t="str">
        <f>Ringkasan!AB1719</f>
        <v>Infrastructures</v>
      </c>
    </row>
    <row r="1667" hidden="1">
      <c r="A1667" s="60" t="str">
        <f>Ringkasan!A1641</f>
        <v>SSIA</v>
      </c>
      <c r="B1667" s="60" t="str">
        <f>Ringkasan!B1641</f>
        <v>PT Surya Semesta Internusa Tbk</v>
      </c>
      <c r="C1667" s="61">
        <f>Ringkasan!C1641</f>
        <v>1560</v>
      </c>
      <c r="D1667" s="60" t="str">
        <f>Ringkasan!D1641</f>
        <v>#N/A</v>
      </c>
      <c r="E1667" s="60" t="str">
        <f>Ringkasan!E1641</f>
        <v>Kompas100</v>
      </c>
      <c r="F1667" s="60" t="str">
        <f>Ringkasan!F1641</f>
        <v>31 Juli 2026</v>
      </c>
      <c r="G1667" s="60">
        <f>Ringkasan!G1641</f>
        <v>5</v>
      </c>
      <c r="H1667" s="62">
        <f>Ringkasan!H1641</f>
        <v>370</v>
      </c>
      <c r="I1667" s="62">
        <f>Ringkasan!I1641</f>
        <v>0.95</v>
      </c>
      <c r="J1667" s="62">
        <f>Ringkasan!J1641</f>
        <v>0.26</v>
      </c>
      <c r="K1667" s="62">
        <f>Ringkasan!K1641</f>
        <v>0.17</v>
      </c>
      <c r="L1667" s="62">
        <f>Ringkasan!L1641</f>
        <v>0.56</v>
      </c>
      <c r="M1667" s="62">
        <f>Ringkasan!M1641</f>
        <v>1.5</v>
      </c>
      <c r="N1667" s="60" t="str">
        <f>Ringkasan!N1641</f>
        <v/>
      </c>
      <c r="O1667" s="60" t="str">
        <f>Ringkasan!O1641</f>
        <v/>
      </c>
      <c r="P1667" s="60" t="str">
        <f>Ringkasan!P1641</f>
        <v/>
      </c>
      <c r="Q1667" s="60" t="str">
        <f>Ringkasan!Q1641</f>
        <v/>
      </c>
      <c r="R1667" s="60" t="str">
        <f>Ringkasan!R1641</f>
        <v/>
      </c>
      <c r="S1667" s="60" t="str">
        <f>Ringkasan!S1641</f>
        <v/>
      </c>
      <c r="T1667" s="60" t="str">
        <f>Ringkasan!T1641</f>
        <v/>
      </c>
      <c r="U1667" s="60">
        <f>Ringkasan!U1641</f>
        <v>1515</v>
      </c>
      <c r="V1667" s="60">
        <f>Ringkasan!V1641</f>
        <v>2.97</v>
      </c>
      <c r="W1667" s="60">
        <f>Ringkasan!W1641</f>
        <v>1530</v>
      </c>
      <c r="X1667" s="60">
        <f>Ringkasan!X1641</f>
        <v>1625</v>
      </c>
      <c r="Y1667" s="60">
        <f>Ringkasan!Y1641</f>
        <v>1515</v>
      </c>
      <c r="Z1667" s="60">
        <f>Ringkasan!Z1641</f>
        <v>18815000</v>
      </c>
      <c r="AA1667" s="60" t="str">
        <f>Ringkasan!AA1641</f>
        <v>Heavy Constructions &amp; Civil Engineering</v>
      </c>
      <c r="AB1667" s="60" t="str">
        <f>Ringkasan!AB1641</f>
        <v>Infrastructures</v>
      </c>
    </row>
    <row r="1668" hidden="1">
      <c r="A1668" s="60" t="str">
        <f>Ringkasan!A1642</f>
        <v>SSIA</v>
      </c>
      <c r="B1668" s="60" t="str">
        <f>Ringkasan!B1642</f>
        <v>PT Surya Semesta Internusa Tbk</v>
      </c>
      <c r="C1668" s="61">
        <f>Ringkasan!C1642</f>
        <v>1560</v>
      </c>
      <c r="D1668" s="60" t="str">
        <f>Ringkasan!D1642</f>
        <v>#N/A</v>
      </c>
      <c r="E1668" s="60" t="str">
        <f>Ringkasan!E1642</f>
        <v>IDX80</v>
      </c>
      <c r="F1668" s="60" t="str">
        <f>Ringkasan!F1642</f>
        <v>31 Juli 2026</v>
      </c>
      <c r="G1668" s="60">
        <f>Ringkasan!G1642</f>
        <v>5</v>
      </c>
      <c r="H1668" s="62">
        <f>Ringkasan!H1642</f>
        <v>370</v>
      </c>
      <c r="I1668" s="62">
        <f>Ringkasan!I1642</f>
        <v>0.95</v>
      </c>
      <c r="J1668" s="62">
        <f>Ringkasan!J1642</f>
        <v>0.26</v>
      </c>
      <c r="K1668" s="62">
        <f>Ringkasan!K1642</f>
        <v>0.17</v>
      </c>
      <c r="L1668" s="62">
        <f>Ringkasan!L1642</f>
        <v>0.56</v>
      </c>
      <c r="M1668" s="62">
        <f>Ringkasan!M1642</f>
        <v>1.5</v>
      </c>
      <c r="N1668" s="60" t="str">
        <f>Ringkasan!N1642</f>
        <v/>
      </c>
      <c r="O1668" s="60" t="str">
        <f>Ringkasan!O1642</f>
        <v/>
      </c>
      <c r="P1668" s="60" t="str">
        <f>Ringkasan!P1642</f>
        <v/>
      </c>
      <c r="Q1668" s="60" t="str">
        <f>Ringkasan!Q1642</f>
        <v/>
      </c>
      <c r="R1668" s="60" t="str">
        <f>Ringkasan!R1642</f>
        <v/>
      </c>
      <c r="S1668" s="60" t="str">
        <f>Ringkasan!S1642</f>
        <v/>
      </c>
      <c r="T1668" s="60" t="str">
        <f>Ringkasan!T1642</f>
        <v/>
      </c>
      <c r="U1668" s="60">
        <f>Ringkasan!U1642</f>
        <v>1515</v>
      </c>
      <c r="V1668" s="60">
        <f>Ringkasan!V1642</f>
        <v>2.97</v>
      </c>
      <c r="W1668" s="60">
        <f>Ringkasan!W1642</f>
        <v>1530</v>
      </c>
      <c r="X1668" s="60">
        <f>Ringkasan!X1642</f>
        <v>1625</v>
      </c>
      <c r="Y1668" s="60">
        <f>Ringkasan!Y1642</f>
        <v>1515</v>
      </c>
      <c r="Z1668" s="60">
        <f>Ringkasan!Z1642</f>
        <v>18815000</v>
      </c>
      <c r="AA1668" s="60" t="str">
        <f>Ringkasan!AA1642</f>
        <v>Heavy Constructions &amp; Civil Engineering</v>
      </c>
      <c r="AB1668" s="60" t="str">
        <f>Ringkasan!AB1642</f>
        <v>Infrastructures</v>
      </c>
    </row>
    <row r="1669" hidden="1">
      <c r="A1669" s="60" t="str">
        <f>Ringkasan!A1650</f>
        <v>STRK</v>
      </c>
      <c r="B1669" s="60" t="str">
        <f>Ringkasan!B1650</f>
        <v>PT Lovina Beach Brewery Tbk.</v>
      </c>
      <c r="C1669" s="61">
        <f>Ringkasan!C1650</f>
        <v>69</v>
      </c>
      <c r="D1669" s="60" t="str">
        <f>Ringkasan!D1650</f>
        <v>#N/A</v>
      </c>
      <c r="E1669" s="60" t="str">
        <f>Ringkasan!E1650</f>
        <v/>
      </c>
      <c r="F1669" s="60" t="str">
        <f>Ringkasan!F1650</f>
        <v/>
      </c>
      <c r="G1669" s="60">
        <f>Ringkasan!G1650</f>
        <v>0</v>
      </c>
      <c r="H1669" s="62">
        <f>Ringkasan!H1650</f>
        <v>-51.9</v>
      </c>
      <c r="I1669" s="62">
        <f>Ringkasan!I1650</f>
        <v>8.1</v>
      </c>
      <c r="J1669" s="62">
        <f>Ringkasan!J1650</f>
        <v>-15.6</v>
      </c>
      <c r="K1669" s="62">
        <f>Ringkasan!K1650</f>
        <v>-13.8</v>
      </c>
      <c r="L1669" s="62">
        <f>Ringkasan!L1650</f>
        <v>0.13</v>
      </c>
      <c r="M1669" s="62">
        <f>Ringkasan!M1650</f>
        <v>-220</v>
      </c>
      <c r="N1669" s="60" t="str">
        <f>Ringkasan!N1650</f>
        <v/>
      </c>
      <c r="O1669" s="60" t="str">
        <f>Ringkasan!O1650</f>
        <v/>
      </c>
      <c r="P1669" s="60" t="str">
        <f>Ringkasan!P1650</f>
        <v/>
      </c>
      <c r="Q1669" s="60" t="str">
        <f>Ringkasan!Q1650</f>
        <v/>
      </c>
      <c r="R1669" s="60" t="str">
        <f>Ringkasan!R1650</f>
        <v/>
      </c>
      <c r="S1669" s="60" t="str">
        <f>Ringkasan!S1650</f>
        <v/>
      </c>
      <c r="T1669" s="60" t="str">
        <f>Ringkasan!T1650</f>
        <v/>
      </c>
      <c r="U1669" s="60">
        <f>Ringkasan!U1650</f>
        <v>68.2</v>
      </c>
      <c r="V1669" s="60">
        <f>Ringkasan!V1650</f>
        <v>2.02</v>
      </c>
      <c r="W1669" s="60">
        <f>Ringkasan!W1650</f>
        <v>68.97</v>
      </c>
      <c r="X1669" s="60">
        <f>Ringkasan!X1650</f>
        <v>69.8</v>
      </c>
      <c r="Y1669" s="60">
        <f>Ringkasan!Y1650</f>
        <v>68.5</v>
      </c>
      <c r="Z1669" s="60">
        <f>Ringkasan!Z1650</f>
        <v>114851</v>
      </c>
      <c r="AA1669" s="60" t="str">
        <f>Ringkasan!AA1650</f>
        <v>Beverages</v>
      </c>
      <c r="AB1669" s="60" t="str">
        <f>Ringkasan!AB1650</f>
        <v>Consumer Non-Cyclicals</v>
      </c>
    </row>
    <row r="1670">
      <c r="A1670" s="60" t="str">
        <f>Ringkasan!A1671</f>
        <v>TAPG</v>
      </c>
      <c r="B1670" s="60" t="str">
        <f>Ringkasan!B1671</f>
        <v>Triputra Agro Persada Tbk.</v>
      </c>
      <c r="C1670" s="61">
        <f>Ringkasan!C1671</f>
        <v>1490</v>
      </c>
      <c r="D1670" s="60" t="str">
        <f>Ringkasan!D1671</f>
        <v>#N/A</v>
      </c>
      <c r="E1670" s="60" t="str">
        <f>Ringkasan!E1671</f>
        <v>IDXQ30</v>
      </c>
      <c r="F1670" s="60" t="str">
        <f>Ringkasan!F1671</f>
        <v>4 Agustus 2026</v>
      </c>
      <c r="G1670" s="61">
        <f>Ringkasan!G1671</f>
        <v>12</v>
      </c>
      <c r="H1670" s="62">
        <f>Ringkasan!H1671</f>
        <v>8.3</v>
      </c>
      <c r="I1670" s="62">
        <f>Ringkasan!I1671</f>
        <v>2.4</v>
      </c>
      <c r="J1670" s="62">
        <f>Ringkasan!J1671</f>
        <v>29.2</v>
      </c>
      <c r="K1670" s="62">
        <f>Ringkasan!K1671</f>
        <v>23.6</v>
      </c>
      <c r="L1670" s="62">
        <f>Ringkasan!L1671</f>
        <v>0.24</v>
      </c>
      <c r="M1670" s="62">
        <f>Ringkasan!M1671</f>
        <v>150</v>
      </c>
      <c r="N1670" s="60" t="str">
        <f>Ringkasan!N1671</f>
        <v/>
      </c>
      <c r="O1670" s="60" t="str">
        <f>Ringkasan!O1671</f>
        <v/>
      </c>
      <c r="P1670" s="60" t="str">
        <f>Ringkasan!P1671</f>
        <v/>
      </c>
      <c r="Q1670" s="60" t="str">
        <f>Ringkasan!Q1671</f>
        <v/>
      </c>
      <c r="R1670" s="60" t="str">
        <f>Ringkasan!R1671</f>
        <v/>
      </c>
      <c r="S1670" s="60" t="str">
        <f>Ringkasan!S1671</f>
        <v/>
      </c>
      <c r="T1670" s="60" t="str">
        <f>Ringkasan!T1671</f>
        <v/>
      </c>
      <c r="U1670" s="60">
        <f>Ringkasan!U1671</f>
        <v>1370</v>
      </c>
      <c r="V1670" s="60">
        <f>Ringkasan!V1671</f>
        <v>8.76</v>
      </c>
      <c r="W1670" s="60">
        <f>Ringkasan!W1671</f>
        <v>1380</v>
      </c>
      <c r="X1670" s="60">
        <f>Ringkasan!X1671</f>
        <v>1550</v>
      </c>
      <c r="Y1670" s="60">
        <f>Ringkasan!Y1671</f>
        <v>1380</v>
      </c>
      <c r="Z1670" s="60">
        <f>Ringkasan!Z1671</f>
        <v>23782600</v>
      </c>
      <c r="AA1670" s="60" t="str">
        <f>Ringkasan!AA1671</f>
        <v>Agricultural Products</v>
      </c>
      <c r="AB1670" s="60" t="str">
        <f>Ringkasan!AB1671</f>
        <v>Consumer Non-Cyclicals</v>
      </c>
    </row>
    <row r="1671">
      <c r="A1671" s="60" t="str">
        <f>Ringkasan!A1666</f>
        <v>TAPG</v>
      </c>
      <c r="B1671" s="60" t="str">
        <f>Ringkasan!B1666</f>
        <v>Triputra Agro Persada Tbk.</v>
      </c>
      <c r="C1671" s="61">
        <f>Ringkasan!C1666</f>
        <v>1490</v>
      </c>
      <c r="D1671" s="60" t="str">
        <f>Ringkasan!D1666</f>
        <v>#N/A</v>
      </c>
      <c r="E1671" s="60" t="str">
        <f>Ringkasan!E1666</f>
        <v>ESGSKEHATI</v>
      </c>
      <c r="F1671" s="63">
        <f>Ringkasan!F1666</f>
        <v>46356</v>
      </c>
      <c r="G1671" s="61">
        <f>Ringkasan!G1666</f>
        <v>12</v>
      </c>
      <c r="H1671" s="62">
        <f>Ringkasan!H1666</f>
        <v>8.3</v>
      </c>
      <c r="I1671" s="62">
        <f>Ringkasan!I1666</f>
        <v>2.4</v>
      </c>
      <c r="J1671" s="62">
        <f>Ringkasan!J1666</f>
        <v>29.2</v>
      </c>
      <c r="K1671" s="62">
        <f>Ringkasan!K1666</f>
        <v>23.6</v>
      </c>
      <c r="L1671" s="62">
        <f>Ringkasan!L1666</f>
        <v>0.24</v>
      </c>
      <c r="M1671" s="62">
        <f>Ringkasan!M1666</f>
        <v>150</v>
      </c>
      <c r="N1671" s="60" t="str">
        <f>Ringkasan!N1666</f>
        <v/>
      </c>
      <c r="O1671" s="60" t="str">
        <f>Ringkasan!O1666</f>
        <v/>
      </c>
      <c r="P1671" s="60" t="str">
        <f>Ringkasan!P1666</f>
        <v/>
      </c>
      <c r="Q1671" s="60" t="str">
        <f>Ringkasan!Q1666</f>
        <v/>
      </c>
      <c r="R1671" s="60" t="str">
        <f>Ringkasan!R1666</f>
        <v/>
      </c>
      <c r="S1671" s="60" t="str">
        <f>Ringkasan!S1666</f>
        <v/>
      </c>
      <c r="T1671" s="60" t="str">
        <f>Ringkasan!T1666</f>
        <v/>
      </c>
      <c r="U1671" s="60">
        <f>Ringkasan!U1666</f>
        <v>1370</v>
      </c>
      <c r="V1671" s="60">
        <f>Ringkasan!V1666</f>
        <v>8.76</v>
      </c>
      <c r="W1671" s="60">
        <f>Ringkasan!W1666</f>
        <v>1380</v>
      </c>
      <c r="X1671" s="60">
        <f>Ringkasan!X1666</f>
        <v>1550</v>
      </c>
      <c r="Y1671" s="60">
        <f>Ringkasan!Y1666</f>
        <v>1380</v>
      </c>
      <c r="Z1671" s="60">
        <f>Ringkasan!Z1666</f>
        <v>23782600</v>
      </c>
      <c r="AA1671" s="60" t="str">
        <f>Ringkasan!AA1666</f>
        <v>Agricultural Products</v>
      </c>
      <c r="AB1671" s="60" t="str">
        <f>Ringkasan!AB1666</f>
        <v>Consumer Non-Cyclicals</v>
      </c>
    </row>
    <row r="1672" hidden="1">
      <c r="A1672" s="60" t="str">
        <f>Ringkasan!A1722</f>
        <v>TLKM</v>
      </c>
      <c r="B1672" s="60" t="str">
        <f>Ringkasan!B1722</f>
        <v>Telkom Indonesia (Persero) Tbk.</v>
      </c>
      <c r="C1672" s="61">
        <f>Ringkasan!C1722</f>
        <v>2860</v>
      </c>
      <c r="D1672" s="60" t="str">
        <f>Ringkasan!D1722</f>
        <v>#N/A</v>
      </c>
      <c r="E1672" s="60" t="str">
        <f>Ringkasan!E1722</f>
        <v>IDXHIDIV20</v>
      </c>
      <c r="F1672" s="60" t="str">
        <f>Ringkasan!F1722</f>
        <v>2 Februari 2027</v>
      </c>
      <c r="G1672" s="60">
        <f>Ringkasan!G1722</f>
        <v>19</v>
      </c>
      <c r="H1672" s="62">
        <f>Ringkasan!H1722</f>
        <v>10.1</v>
      </c>
      <c r="I1672" s="62">
        <f>Ringkasan!I1722</f>
        <v>1.9</v>
      </c>
      <c r="J1672" s="62">
        <f>Ringkasan!J1722</f>
        <v>19.1</v>
      </c>
      <c r="K1672" s="62">
        <f>Ringkasan!K1722</f>
        <v>4.7</v>
      </c>
      <c r="L1672" s="62">
        <f>Ringkasan!L1722</f>
        <v>0.86</v>
      </c>
      <c r="M1672" s="62">
        <f>Ringkasan!M1722</f>
        <v>20.3</v>
      </c>
      <c r="N1672" s="60" t="str">
        <f>Ringkasan!N1722</f>
        <v/>
      </c>
      <c r="O1672" s="60" t="str">
        <f>Ringkasan!O1722</f>
        <v/>
      </c>
      <c r="P1672" s="60" t="str">
        <f>Ringkasan!P1722</f>
        <v/>
      </c>
      <c r="Q1672" s="60" t="str">
        <f>Ringkasan!Q1722</f>
        <v/>
      </c>
      <c r="R1672" s="60" t="str">
        <f>Ringkasan!R1722</f>
        <v/>
      </c>
      <c r="S1672" s="60" t="str">
        <f>Ringkasan!S1722</f>
        <v/>
      </c>
      <c r="T1672" s="60" t="str">
        <f>Ringkasan!T1722</f>
        <v/>
      </c>
      <c r="U1672" s="60">
        <f>Ringkasan!U1722</f>
        <v>2870</v>
      </c>
      <c r="V1672" s="60">
        <f>Ringkasan!V1722</f>
        <v>-0.35</v>
      </c>
      <c r="W1672" s="60">
        <f>Ringkasan!W1722</f>
        <v>2910</v>
      </c>
      <c r="X1672" s="60">
        <f>Ringkasan!X1722</f>
        <v>2980</v>
      </c>
      <c r="Y1672" s="60">
        <f>Ringkasan!Y1722</f>
        <v>2860</v>
      </c>
      <c r="Z1672" s="60">
        <f>Ringkasan!Z1722</f>
        <v>181531900</v>
      </c>
      <c r="AA1672" s="60" t="str">
        <f>Ringkasan!AA1722</f>
        <v>Telecommunication Service</v>
      </c>
      <c r="AB1672" s="60" t="str">
        <f>Ringkasan!AB1722</f>
        <v>Infrastructures</v>
      </c>
    </row>
    <row r="1673">
      <c r="A1673" s="60" t="str">
        <f>Ringkasan!A1667</f>
        <v>TAPG</v>
      </c>
      <c r="B1673" s="60" t="str">
        <f>Ringkasan!B1667</f>
        <v>Triputra Agro Persada Tbk.</v>
      </c>
      <c r="C1673" s="61">
        <f>Ringkasan!C1667</f>
        <v>1490</v>
      </c>
      <c r="D1673" s="60" t="str">
        <f>Ringkasan!D1667</f>
        <v>#N/A</v>
      </c>
      <c r="E1673" s="60" t="str">
        <f>Ringkasan!E1667</f>
        <v>IDXHIDIV20</v>
      </c>
      <c r="F1673" s="60" t="str">
        <f>Ringkasan!F1667</f>
        <v>2 Februari 2027</v>
      </c>
      <c r="G1673" s="61">
        <f>Ringkasan!G1667</f>
        <v>12</v>
      </c>
      <c r="H1673" s="62">
        <f>Ringkasan!H1667</f>
        <v>8.3</v>
      </c>
      <c r="I1673" s="62">
        <f>Ringkasan!I1667</f>
        <v>2.4</v>
      </c>
      <c r="J1673" s="62">
        <f>Ringkasan!J1667</f>
        <v>29.2</v>
      </c>
      <c r="K1673" s="62">
        <f>Ringkasan!K1667</f>
        <v>23.6</v>
      </c>
      <c r="L1673" s="62">
        <f>Ringkasan!L1667</f>
        <v>0.24</v>
      </c>
      <c r="M1673" s="62">
        <f>Ringkasan!M1667</f>
        <v>150</v>
      </c>
      <c r="N1673" s="60" t="str">
        <f>Ringkasan!N1667</f>
        <v/>
      </c>
      <c r="O1673" s="60" t="str">
        <f>Ringkasan!O1667</f>
        <v/>
      </c>
      <c r="P1673" s="60" t="str">
        <f>Ringkasan!P1667</f>
        <v/>
      </c>
      <c r="Q1673" s="60" t="str">
        <f>Ringkasan!Q1667</f>
        <v/>
      </c>
      <c r="R1673" s="60" t="str">
        <f>Ringkasan!R1667</f>
        <v/>
      </c>
      <c r="S1673" s="60" t="str">
        <f>Ringkasan!S1667</f>
        <v/>
      </c>
      <c r="T1673" s="60" t="str">
        <f>Ringkasan!T1667</f>
        <v/>
      </c>
      <c r="U1673" s="60">
        <f>Ringkasan!U1667</f>
        <v>1370</v>
      </c>
      <c r="V1673" s="60">
        <f>Ringkasan!V1667</f>
        <v>8.76</v>
      </c>
      <c r="W1673" s="60">
        <f>Ringkasan!W1667</f>
        <v>1380</v>
      </c>
      <c r="X1673" s="60">
        <f>Ringkasan!X1667</f>
        <v>1550</v>
      </c>
      <c r="Y1673" s="60">
        <f>Ringkasan!Y1667</f>
        <v>1380</v>
      </c>
      <c r="Z1673" s="60">
        <f>Ringkasan!Z1667</f>
        <v>23782600</v>
      </c>
      <c r="AA1673" s="60" t="str">
        <f>Ringkasan!AA1667</f>
        <v>Agricultural Products</v>
      </c>
      <c r="AB1673" s="60" t="str">
        <f>Ringkasan!AB1667</f>
        <v>Consumer Non-Cyclicals</v>
      </c>
    </row>
    <row r="1674">
      <c r="A1674" s="60" t="str">
        <f>Ringkasan!A1668</f>
        <v>TAPG</v>
      </c>
      <c r="B1674" s="60" t="str">
        <f>Ringkasan!B1668</f>
        <v>Triputra Agro Persada Tbk.</v>
      </c>
      <c r="C1674" s="61">
        <f>Ringkasan!C1668</f>
        <v>1490</v>
      </c>
      <c r="D1674" s="60" t="str">
        <f>Ringkasan!D1668</f>
        <v>#N/A</v>
      </c>
      <c r="E1674" s="60" t="str">
        <f>Ringkasan!E1668</f>
        <v>IDX80</v>
      </c>
      <c r="F1674" s="60" t="str">
        <f>Ringkasan!F1668</f>
        <v>31 Juli 2026</v>
      </c>
      <c r="G1674" s="61">
        <f>Ringkasan!G1668</f>
        <v>12</v>
      </c>
      <c r="H1674" s="62">
        <f>Ringkasan!H1668</f>
        <v>8.3</v>
      </c>
      <c r="I1674" s="62">
        <f>Ringkasan!I1668</f>
        <v>2.4</v>
      </c>
      <c r="J1674" s="62">
        <f>Ringkasan!J1668</f>
        <v>29.2</v>
      </c>
      <c r="K1674" s="62">
        <f>Ringkasan!K1668</f>
        <v>23.6</v>
      </c>
      <c r="L1674" s="62">
        <f>Ringkasan!L1668</f>
        <v>0.24</v>
      </c>
      <c r="M1674" s="62">
        <f>Ringkasan!M1668</f>
        <v>150</v>
      </c>
      <c r="N1674" s="60" t="str">
        <f>Ringkasan!N1668</f>
        <v/>
      </c>
      <c r="O1674" s="60" t="str">
        <f>Ringkasan!O1668</f>
        <v/>
      </c>
      <c r="P1674" s="60" t="str">
        <f>Ringkasan!P1668</f>
        <v/>
      </c>
      <c r="Q1674" s="60" t="str">
        <f>Ringkasan!Q1668</f>
        <v/>
      </c>
      <c r="R1674" s="60" t="str">
        <f>Ringkasan!R1668</f>
        <v/>
      </c>
      <c r="S1674" s="60" t="str">
        <f>Ringkasan!S1668</f>
        <v/>
      </c>
      <c r="T1674" s="60" t="str">
        <f>Ringkasan!T1668</f>
        <v/>
      </c>
      <c r="U1674" s="60">
        <f>Ringkasan!U1668</f>
        <v>1370</v>
      </c>
      <c r="V1674" s="60">
        <f>Ringkasan!V1668</f>
        <v>8.76</v>
      </c>
      <c r="W1674" s="60">
        <f>Ringkasan!W1668</f>
        <v>1380</v>
      </c>
      <c r="X1674" s="60">
        <f>Ringkasan!X1668</f>
        <v>1550</v>
      </c>
      <c r="Y1674" s="60">
        <f>Ringkasan!Y1668</f>
        <v>1380</v>
      </c>
      <c r="Z1674" s="60">
        <f>Ringkasan!Z1668</f>
        <v>23782600</v>
      </c>
      <c r="AA1674" s="60" t="str">
        <f>Ringkasan!AA1668</f>
        <v>Agricultural Products</v>
      </c>
      <c r="AB1674" s="60" t="str">
        <f>Ringkasan!AB1668</f>
        <v>Consumer Non-Cyclicals</v>
      </c>
    </row>
    <row r="1675">
      <c r="A1675" s="60" t="str">
        <f>Ringkasan!A1669</f>
        <v>TAPG</v>
      </c>
      <c r="B1675" s="60" t="str">
        <f>Ringkasan!B1669</f>
        <v>Triputra Agro Persada Tbk.</v>
      </c>
      <c r="C1675" s="61">
        <f>Ringkasan!C1669</f>
        <v>1490</v>
      </c>
      <c r="D1675" s="60" t="str">
        <f>Ringkasan!D1669</f>
        <v>#N/A</v>
      </c>
      <c r="E1675" s="60" t="str">
        <f>Ringkasan!E1669</f>
        <v>MNC36</v>
      </c>
      <c r="F1675" s="60" t="str">
        <f>Ringkasan!F1669</f>
        <v>30 Oktober 2026</v>
      </c>
      <c r="G1675" s="61">
        <f>Ringkasan!G1669</f>
        <v>12</v>
      </c>
      <c r="H1675" s="62">
        <f>Ringkasan!H1669</f>
        <v>8.3</v>
      </c>
      <c r="I1675" s="62">
        <f>Ringkasan!I1669</f>
        <v>2.4</v>
      </c>
      <c r="J1675" s="62">
        <f>Ringkasan!J1669</f>
        <v>29.2</v>
      </c>
      <c r="K1675" s="62">
        <f>Ringkasan!K1669</f>
        <v>23.6</v>
      </c>
      <c r="L1675" s="62">
        <f>Ringkasan!L1669</f>
        <v>0.24</v>
      </c>
      <c r="M1675" s="62">
        <f>Ringkasan!M1669</f>
        <v>150</v>
      </c>
      <c r="N1675" s="60" t="str">
        <f>Ringkasan!N1669</f>
        <v/>
      </c>
      <c r="O1675" s="60" t="str">
        <f>Ringkasan!O1669</f>
        <v/>
      </c>
      <c r="P1675" s="60" t="str">
        <f>Ringkasan!P1669</f>
        <v/>
      </c>
      <c r="Q1675" s="60" t="str">
        <f>Ringkasan!Q1669</f>
        <v/>
      </c>
      <c r="R1675" s="60" t="str">
        <f>Ringkasan!R1669</f>
        <v/>
      </c>
      <c r="S1675" s="60" t="str">
        <f>Ringkasan!S1669</f>
        <v/>
      </c>
      <c r="T1675" s="60" t="str">
        <f>Ringkasan!T1669</f>
        <v/>
      </c>
      <c r="U1675" s="60">
        <f>Ringkasan!U1669</f>
        <v>1370</v>
      </c>
      <c r="V1675" s="60">
        <f>Ringkasan!V1669</f>
        <v>8.76</v>
      </c>
      <c r="W1675" s="60">
        <f>Ringkasan!W1669</f>
        <v>1380</v>
      </c>
      <c r="X1675" s="60">
        <f>Ringkasan!X1669</f>
        <v>1550</v>
      </c>
      <c r="Y1675" s="60">
        <f>Ringkasan!Y1669</f>
        <v>1380</v>
      </c>
      <c r="Z1675" s="60">
        <f>Ringkasan!Z1669</f>
        <v>23782600</v>
      </c>
      <c r="AA1675" s="60" t="str">
        <f>Ringkasan!AA1669</f>
        <v>Agricultural Products</v>
      </c>
      <c r="AB1675" s="60" t="str">
        <f>Ringkasan!AB1669</f>
        <v>Consumer Non-Cyclicals</v>
      </c>
    </row>
    <row r="1676">
      <c r="A1676" s="60" t="str">
        <f>Ringkasan!A1670</f>
        <v>TAPG</v>
      </c>
      <c r="B1676" s="60" t="str">
        <f>Ringkasan!B1670</f>
        <v>Triputra Agro Persada Tbk.</v>
      </c>
      <c r="C1676" s="61">
        <f>Ringkasan!C1670</f>
        <v>1490</v>
      </c>
      <c r="D1676" s="60" t="str">
        <f>Ringkasan!D1670</f>
        <v>#N/A</v>
      </c>
      <c r="E1676" s="60" t="str">
        <f>Ringkasan!E1670</f>
        <v>Kompas100</v>
      </c>
      <c r="F1676" s="60" t="str">
        <f>Ringkasan!F1670</f>
        <v>31 Juli 2026</v>
      </c>
      <c r="G1676" s="61">
        <f>Ringkasan!G1670</f>
        <v>12</v>
      </c>
      <c r="H1676" s="62">
        <f>Ringkasan!H1670</f>
        <v>8.3</v>
      </c>
      <c r="I1676" s="62">
        <f>Ringkasan!I1670</f>
        <v>2.4</v>
      </c>
      <c r="J1676" s="62">
        <f>Ringkasan!J1670</f>
        <v>29.2</v>
      </c>
      <c r="K1676" s="62">
        <f>Ringkasan!K1670</f>
        <v>23.6</v>
      </c>
      <c r="L1676" s="62">
        <f>Ringkasan!L1670</f>
        <v>0.24</v>
      </c>
      <c r="M1676" s="62">
        <f>Ringkasan!M1670</f>
        <v>150</v>
      </c>
      <c r="N1676" s="60" t="str">
        <f>Ringkasan!N1670</f>
        <v/>
      </c>
      <c r="O1676" s="60" t="str">
        <f>Ringkasan!O1670</f>
        <v/>
      </c>
      <c r="P1676" s="60" t="str">
        <f>Ringkasan!P1670</f>
        <v/>
      </c>
      <c r="Q1676" s="60" t="str">
        <f>Ringkasan!Q1670</f>
        <v/>
      </c>
      <c r="R1676" s="60" t="str">
        <f>Ringkasan!R1670</f>
        <v/>
      </c>
      <c r="S1676" s="60" t="str">
        <f>Ringkasan!S1670</f>
        <v/>
      </c>
      <c r="T1676" s="60" t="str">
        <f>Ringkasan!T1670</f>
        <v/>
      </c>
      <c r="U1676" s="60">
        <f>Ringkasan!U1670</f>
        <v>1370</v>
      </c>
      <c r="V1676" s="60">
        <f>Ringkasan!V1670</f>
        <v>8.76</v>
      </c>
      <c r="W1676" s="60">
        <f>Ringkasan!W1670</f>
        <v>1380</v>
      </c>
      <c r="X1676" s="60">
        <f>Ringkasan!X1670</f>
        <v>1550</v>
      </c>
      <c r="Y1676" s="60">
        <f>Ringkasan!Y1670</f>
        <v>1380</v>
      </c>
      <c r="Z1676" s="60">
        <f>Ringkasan!Z1670</f>
        <v>23782600</v>
      </c>
      <c r="AA1676" s="60" t="str">
        <f>Ringkasan!AA1670</f>
        <v>Agricultural Products</v>
      </c>
      <c r="AB1676" s="60" t="str">
        <f>Ringkasan!AB1670</f>
        <v>Consumer Non-Cyclicals</v>
      </c>
    </row>
    <row r="1677">
      <c r="A1677" s="60" t="str">
        <f>Ringkasan!A1672</f>
        <v>TAPG</v>
      </c>
      <c r="B1677" s="60" t="str">
        <f>Ringkasan!B1672</f>
        <v>Triputra Agro Persada Tbk.</v>
      </c>
      <c r="C1677" s="61">
        <f>Ringkasan!C1672</f>
        <v>1490</v>
      </c>
      <c r="D1677" s="60" t="str">
        <f>Ringkasan!D1672</f>
        <v>#N/A</v>
      </c>
      <c r="E1677" s="60" t="str">
        <f>Ringkasan!E1672</f>
        <v>IDXG30</v>
      </c>
      <c r="F1677" s="60" t="str">
        <f>Ringkasan!F1672</f>
        <v>4 Agustus 2026</v>
      </c>
      <c r="G1677" s="61">
        <f>Ringkasan!G1672</f>
        <v>12</v>
      </c>
      <c r="H1677" s="62">
        <f>Ringkasan!H1672</f>
        <v>8.3</v>
      </c>
      <c r="I1677" s="62">
        <f>Ringkasan!I1672</f>
        <v>2.4</v>
      </c>
      <c r="J1677" s="62">
        <f>Ringkasan!J1672</f>
        <v>29.2</v>
      </c>
      <c r="K1677" s="62">
        <f>Ringkasan!K1672</f>
        <v>23.6</v>
      </c>
      <c r="L1677" s="62">
        <f>Ringkasan!L1672</f>
        <v>0.24</v>
      </c>
      <c r="M1677" s="62">
        <f>Ringkasan!M1672</f>
        <v>150</v>
      </c>
      <c r="N1677" s="60" t="str">
        <f>Ringkasan!N1672</f>
        <v/>
      </c>
      <c r="O1677" s="60" t="str">
        <f>Ringkasan!O1672</f>
        <v/>
      </c>
      <c r="P1677" s="60" t="str">
        <f>Ringkasan!P1672</f>
        <v/>
      </c>
      <c r="Q1677" s="60" t="str">
        <f>Ringkasan!Q1672</f>
        <v/>
      </c>
      <c r="R1677" s="60" t="str">
        <f>Ringkasan!R1672</f>
        <v/>
      </c>
      <c r="S1677" s="60" t="str">
        <f>Ringkasan!S1672</f>
        <v/>
      </c>
      <c r="T1677" s="60" t="str">
        <f>Ringkasan!T1672</f>
        <v/>
      </c>
      <c r="U1677" s="60">
        <f>Ringkasan!U1672</f>
        <v>1370</v>
      </c>
      <c r="V1677" s="60">
        <f>Ringkasan!V1672</f>
        <v>8.76</v>
      </c>
      <c r="W1677" s="60">
        <f>Ringkasan!W1672</f>
        <v>1380</v>
      </c>
      <c r="X1677" s="60">
        <f>Ringkasan!X1672</f>
        <v>1550</v>
      </c>
      <c r="Y1677" s="60">
        <f>Ringkasan!Y1672</f>
        <v>1380</v>
      </c>
      <c r="Z1677" s="60">
        <f>Ringkasan!Z1672</f>
        <v>23782600</v>
      </c>
      <c r="AA1677" s="60" t="str">
        <f>Ringkasan!AA1672</f>
        <v>Agricultural Products</v>
      </c>
      <c r="AB1677" s="60" t="str">
        <f>Ringkasan!AB1672</f>
        <v>Consumer Non-Cyclicals</v>
      </c>
    </row>
    <row r="1678">
      <c r="A1678" s="60" t="str">
        <f>Ringkasan!A1673</f>
        <v>TAPG</v>
      </c>
      <c r="B1678" s="60" t="str">
        <f>Ringkasan!B1673</f>
        <v>Triputra Agro Persada Tbk.</v>
      </c>
      <c r="C1678" s="61">
        <f>Ringkasan!C1673</f>
        <v>1490</v>
      </c>
      <c r="D1678" s="60" t="str">
        <f>Ringkasan!D1673</f>
        <v>#N/A</v>
      </c>
      <c r="E1678" s="60" t="str">
        <f>Ringkasan!E1673</f>
        <v>IDXSMC-LIQ</v>
      </c>
      <c r="F1678" s="60" t="str">
        <f>Ringkasan!F1673</f>
        <v>4 Agustus 2026</v>
      </c>
      <c r="G1678" s="61">
        <f>Ringkasan!G1673</f>
        <v>12</v>
      </c>
      <c r="H1678" s="62">
        <f>Ringkasan!H1673</f>
        <v>8.3</v>
      </c>
      <c r="I1678" s="62">
        <f>Ringkasan!I1673</f>
        <v>2.4</v>
      </c>
      <c r="J1678" s="62">
        <f>Ringkasan!J1673</f>
        <v>29.2</v>
      </c>
      <c r="K1678" s="62">
        <f>Ringkasan!K1673</f>
        <v>23.6</v>
      </c>
      <c r="L1678" s="62">
        <f>Ringkasan!L1673</f>
        <v>0.24</v>
      </c>
      <c r="M1678" s="62">
        <f>Ringkasan!M1673</f>
        <v>150</v>
      </c>
      <c r="N1678" s="60" t="str">
        <f>Ringkasan!N1673</f>
        <v/>
      </c>
      <c r="O1678" s="60" t="str">
        <f>Ringkasan!O1673</f>
        <v/>
      </c>
      <c r="P1678" s="60" t="str">
        <f>Ringkasan!P1673</f>
        <v/>
      </c>
      <c r="Q1678" s="60" t="str">
        <f>Ringkasan!Q1673</f>
        <v/>
      </c>
      <c r="R1678" s="60" t="str">
        <f>Ringkasan!R1673</f>
        <v/>
      </c>
      <c r="S1678" s="60" t="str">
        <f>Ringkasan!S1673</f>
        <v/>
      </c>
      <c r="T1678" s="60" t="str">
        <f>Ringkasan!T1673</f>
        <v/>
      </c>
      <c r="U1678" s="60">
        <f>Ringkasan!U1673</f>
        <v>1370</v>
      </c>
      <c r="V1678" s="60">
        <f>Ringkasan!V1673</f>
        <v>8.76</v>
      </c>
      <c r="W1678" s="60">
        <f>Ringkasan!W1673</f>
        <v>1380</v>
      </c>
      <c r="X1678" s="60">
        <f>Ringkasan!X1673</f>
        <v>1550</v>
      </c>
      <c r="Y1678" s="60">
        <f>Ringkasan!Y1673</f>
        <v>1380</v>
      </c>
      <c r="Z1678" s="60">
        <f>Ringkasan!Z1673</f>
        <v>23782600</v>
      </c>
      <c r="AA1678" s="60" t="str">
        <f>Ringkasan!AA1673</f>
        <v>Agricultural Products</v>
      </c>
      <c r="AB1678" s="60" t="str">
        <f>Ringkasan!AB1673</f>
        <v>Consumer Non-Cyclicals</v>
      </c>
    </row>
    <row r="1679" hidden="1">
      <c r="A1679" s="64" t="str">
        <f>Ringkasan!A1678</f>
        <v>TAYS</v>
      </c>
      <c r="B1679" s="64" t="str">
        <f>Ringkasan!B1678</f>
        <v>Jaya Swarasa Agung Tbk.</v>
      </c>
      <c r="C1679" s="67">
        <f>Ringkasan!C1678</f>
        <v>50</v>
      </c>
      <c r="D1679" s="22" t="str">
        <f>Ringkasan!D1678</f>
        <v>#N/A</v>
      </c>
      <c r="E1679" s="64" t="str">
        <f>Ringkasan!E1678</f>
        <v/>
      </c>
      <c r="F1679" s="64" t="str">
        <f>Ringkasan!F1678</f>
        <v/>
      </c>
      <c r="G1679" s="64">
        <f>Ringkasan!G1678</f>
        <v>0</v>
      </c>
      <c r="H1679" s="19">
        <f>Ringkasan!H1678</f>
        <v>-0.93</v>
      </c>
      <c r="I1679" s="19">
        <f>Ringkasan!I1678</f>
        <v>1.3</v>
      </c>
      <c r="J1679" s="19">
        <f>Ringkasan!J1678</f>
        <v>-140</v>
      </c>
      <c r="K1679" s="19">
        <f>Ringkasan!K1678</f>
        <v>-16.6</v>
      </c>
      <c r="L1679" s="19">
        <f>Ringkasan!L1678</f>
        <v>7.2</v>
      </c>
      <c r="M1679" s="19">
        <f>Ringkasan!M1678</f>
        <v>-77.8</v>
      </c>
      <c r="N1679" s="64" t="str">
        <f>Ringkasan!N1678</f>
        <v/>
      </c>
      <c r="O1679" s="64" t="str">
        <f>Ringkasan!O1678</f>
        <v/>
      </c>
      <c r="P1679" s="64" t="str">
        <f>Ringkasan!P1678</f>
        <v/>
      </c>
      <c r="Q1679" s="64" t="str">
        <f>Ringkasan!Q1678</f>
        <v/>
      </c>
      <c r="R1679" s="64" t="str">
        <f>Ringkasan!R1678</f>
        <v/>
      </c>
      <c r="S1679" s="64" t="str">
        <f>Ringkasan!S1678</f>
        <v/>
      </c>
      <c r="T1679" s="64" t="str">
        <f>Ringkasan!T1678</f>
        <v/>
      </c>
      <c r="U1679" s="22">
        <f>Ringkasan!U1678</f>
        <v>50</v>
      </c>
      <c r="V1679" s="22">
        <f>Ringkasan!V1678</f>
        <v>0</v>
      </c>
      <c r="W1679" s="22">
        <f>Ringkasan!W1678</f>
        <v>50</v>
      </c>
      <c r="X1679" s="22">
        <f>Ringkasan!X1678</f>
        <v>50</v>
      </c>
      <c r="Y1679" s="22">
        <f>Ringkasan!Y1678</f>
        <v>50</v>
      </c>
      <c r="Z1679" s="22">
        <f>Ringkasan!Z1678</f>
        <v>366000</v>
      </c>
      <c r="AA1679" s="64" t="str">
        <f>Ringkasan!AA1678</f>
        <v>Processed Foods</v>
      </c>
      <c r="AB1679" s="64" t="str">
        <f>Ringkasan!AB1678</f>
        <v>Consumer Non-Cyclicals</v>
      </c>
    </row>
    <row r="1680" hidden="1">
      <c r="A1680" s="64" t="str">
        <f>Ringkasan!A1679</f>
        <v>TBIG</v>
      </c>
      <c r="B1680" s="64" t="str">
        <f>Ringkasan!B1679</f>
        <v>PT Tower Bersama Infrastructure Tbk</v>
      </c>
      <c r="C1680" s="67">
        <f>Ringkasan!C1679</f>
        <v>1445</v>
      </c>
      <c r="D1680" s="22" t="str">
        <f>Ringkasan!D1679</f>
        <v>#N/A</v>
      </c>
      <c r="E1680" s="64" t="str">
        <f>Ringkasan!E1679</f>
        <v>Investor33</v>
      </c>
      <c r="F1680" s="66">
        <f>Ringkasan!F1679</f>
        <v>46356</v>
      </c>
      <c r="G1680" s="64">
        <f>Ringkasan!G1679</f>
        <v>2</v>
      </c>
      <c r="H1680" s="19">
        <f>Ringkasan!H1679</f>
        <v>24.6</v>
      </c>
      <c r="I1680" s="19">
        <f>Ringkasan!I1679</f>
        <v>2.6</v>
      </c>
      <c r="J1680" s="19">
        <f>Ringkasan!J1679</f>
        <v>10.6</v>
      </c>
      <c r="K1680" s="19">
        <f>Ringkasan!K1679</f>
        <v>3</v>
      </c>
      <c r="L1680" s="19">
        <f>Ringkasan!L1679</f>
        <v>2.5</v>
      </c>
      <c r="M1680" s="19">
        <f>Ringkasan!M1679</f>
        <v>81.7</v>
      </c>
      <c r="N1680" s="64" t="str">
        <f>Ringkasan!N1679</f>
        <v/>
      </c>
      <c r="O1680" s="64" t="str">
        <f>Ringkasan!O1679</f>
        <v/>
      </c>
      <c r="P1680" s="64" t="str">
        <f>Ringkasan!P1679</f>
        <v/>
      </c>
      <c r="Q1680" s="64" t="str">
        <f>Ringkasan!Q1679</f>
        <v/>
      </c>
      <c r="R1680" s="64" t="str">
        <f>Ringkasan!R1679</f>
        <v/>
      </c>
      <c r="S1680" s="64" t="str">
        <f>Ringkasan!S1679</f>
        <v/>
      </c>
      <c r="T1680" s="64" t="str">
        <f>Ringkasan!T1679</f>
        <v/>
      </c>
      <c r="U1680" s="22">
        <f>Ringkasan!U1679</f>
        <v>1470</v>
      </c>
      <c r="V1680" s="22">
        <f>Ringkasan!V1679</f>
        <v>-1.7</v>
      </c>
      <c r="W1680" s="22">
        <f>Ringkasan!W1679</f>
        <v>1470</v>
      </c>
      <c r="X1680" s="22">
        <f>Ringkasan!X1679</f>
        <v>1480</v>
      </c>
      <c r="Y1680" s="22">
        <f>Ringkasan!Y1679</f>
        <v>1425</v>
      </c>
      <c r="Z1680" s="22">
        <f>Ringkasan!Z1679</f>
        <v>3024900</v>
      </c>
      <c r="AA1680" s="64" t="str">
        <f>Ringkasan!AA1679</f>
        <v>Wireless Telecommunication Services</v>
      </c>
      <c r="AB1680" s="64" t="str">
        <f>Ringkasan!AB1679</f>
        <v>Infrastructures</v>
      </c>
    </row>
    <row r="1681" hidden="1">
      <c r="A1681" s="64" t="str">
        <f>Ringkasan!A1680</f>
        <v>TBIG</v>
      </c>
      <c r="B1681" s="64" t="str">
        <f>Ringkasan!B1680</f>
        <v>PT Tower Bersama Infrastructure Tbk</v>
      </c>
      <c r="C1681" s="67">
        <f>Ringkasan!C1680</f>
        <v>1445</v>
      </c>
      <c r="D1681" s="22" t="str">
        <f>Ringkasan!D1680</f>
        <v>#N/A</v>
      </c>
      <c r="E1681" s="64" t="str">
        <f>Ringkasan!E1680</f>
        <v>FTSE Large Cap</v>
      </c>
      <c r="F1681" s="64" t="str">
        <f>Ringkasan!F1680</f>
        <v>Juni 2026</v>
      </c>
      <c r="G1681" s="64">
        <f>Ringkasan!G1680</f>
        <v>2</v>
      </c>
      <c r="H1681" s="19">
        <f>Ringkasan!H1680</f>
        <v>24.6</v>
      </c>
      <c r="I1681" s="19">
        <f>Ringkasan!I1680</f>
        <v>2.6</v>
      </c>
      <c r="J1681" s="19">
        <f>Ringkasan!J1680</f>
        <v>10.6</v>
      </c>
      <c r="K1681" s="19">
        <f>Ringkasan!K1680</f>
        <v>3</v>
      </c>
      <c r="L1681" s="19">
        <f>Ringkasan!L1680</f>
        <v>2.5</v>
      </c>
      <c r="M1681" s="19">
        <f>Ringkasan!M1680</f>
        <v>81.7</v>
      </c>
      <c r="N1681" s="64" t="str">
        <f>Ringkasan!N1680</f>
        <v/>
      </c>
      <c r="O1681" s="64" t="str">
        <f>Ringkasan!O1680</f>
        <v/>
      </c>
      <c r="P1681" s="64" t="str">
        <f>Ringkasan!P1680</f>
        <v/>
      </c>
      <c r="Q1681" s="64" t="str">
        <f>Ringkasan!Q1680</f>
        <v/>
      </c>
      <c r="R1681" s="64" t="str">
        <f>Ringkasan!R1680</f>
        <v/>
      </c>
      <c r="S1681" s="64" t="str">
        <f>Ringkasan!S1680</f>
        <v/>
      </c>
      <c r="T1681" s="64" t="str">
        <f>Ringkasan!T1680</f>
        <v/>
      </c>
      <c r="U1681" s="22">
        <f>Ringkasan!U1680</f>
        <v>1470</v>
      </c>
      <c r="V1681" s="22">
        <f>Ringkasan!V1680</f>
        <v>-1.7</v>
      </c>
      <c r="W1681" s="22">
        <f>Ringkasan!W1680</f>
        <v>1470</v>
      </c>
      <c r="X1681" s="22">
        <f>Ringkasan!X1680</f>
        <v>1480</v>
      </c>
      <c r="Y1681" s="22">
        <f>Ringkasan!Y1680</f>
        <v>1425</v>
      </c>
      <c r="Z1681" s="22">
        <f>Ringkasan!Z1680</f>
        <v>3024900</v>
      </c>
      <c r="AA1681" s="64" t="str">
        <f>Ringkasan!AA1680</f>
        <v>Wireless Telecommunication Services</v>
      </c>
      <c r="AB1681" s="64" t="str">
        <f>Ringkasan!AB1680</f>
        <v>Infrastructures</v>
      </c>
    </row>
    <row r="1682" hidden="1">
      <c r="A1682" s="64" t="str">
        <f>Ringkasan!A1681</f>
        <v>TBLA</v>
      </c>
      <c r="B1682" s="64" t="str">
        <f>Ringkasan!B1681</f>
        <v>Tunas Baru Lampung Tbk.</v>
      </c>
      <c r="C1682" s="67">
        <f>Ringkasan!C1681</f>
        <v>605</v>
      </c>
      <c r="D1682" s="22" t="str">
        <f>Ringkasan!D1681</f>
        <v>#N/A</v>
      </c>
      <c r="E1682" s="64" t="str">
        <f>Ringkasan!E1681</f>
        <v/>
      </c>
      <c r="F1682" s="64" t="str">
        <f>Ringkasan!F1681</f>
        <v/>
      </c>
      <c r="G1682" s="64">
        <f>Ringkasan!G1681</f>
        <v>0</v>
      </c>
      <c r="H1682" s="19">
        <f>Ringkasan!H1681</f>
        <v>4.2</v>
      </c>
      <c r="I1682" s="19">
        <f>Ringkasan!I1681</f>
        <v>0.4</v>
      </c>
      <c r="J1682" s="19">
        <f>Ringkasan!J1681</f>
        <v>9.5</v>
      </c>
      <c r="K1682" s="19">
        <f>Ringkasan!K1681</f>
        <v>2.9</v>
      </c>
      <c r="L1682" s="19">
        <f>Ringkasan!L1681</f>
        <v>2.2</v>
      </c>
      <c r="M1682" s="19">
        <f>Ringkasan!M1681</f>
        <v>14.8</v>
      </c>
      <c r="N1682" s="64" t="str">
        <f>Ringkasan!N1681</f>
        <v/>
      </c>
      <c r="O1682" s="64" t="str">
        <f>Ringkasan!O1681</f>
        <v/>
      </c>
      <c r="P1682" s="64" t="str">
        <f>Ringkasan!P1681</f>
        <v/>
      </c>
      <c r="Q1682" s="64" t="str">
        <f>Ringkasan!Q1681</f>
        <v/>
      </c>
      <c r="R1682" s="64" t="str">
        <f>Ringkasan!R1681</f>
        <v/>
      </c>
      <c r="S1682" s="64" t="str">
        <f>Ringkasan!S1681</f>
        <v/>
      </c>
      <c r="T1682" s="64" t="str">
        <f>Ringkasan!T1681</f>
        <v/>
      </c>
      <c r="U1682" s="22">
        <f>Ringkasan!U1681</f>
        <v>4.73</v>
      </c>
      <c r="V1682" s="22">
        <f>Ringkasan!V1681</f>
        <v>0.21</v>
      </c>
      <c r="W1682" s="22">
        <f>Ringkasan!W1681</f>
        <v>4.73</v>
      </c>
      <c r="X1682" s="22">
        <f>Ringkasan!X1681</f>
        <v>4.8</v>
      </c>
      <c r="Y1682" s="22">
        <f>Ringkasan!Y1681</f>
        <v>4.72</v>
      </c>
      <c r="Z1682" s="22">
        <f>Ringkasan!Z1681</f>
        <v>2917619</v>
      </c>
      <c r="AA1682" s="64" t="str">
        <f>Ringkasan!AA1681</f>
        <v>Processed Foods</v>
      </c>
      <c r="AB1682" s="64" t="str">
        <f>Ringkasan!AB1681</f>
        <v>Consumer Non-Cyclicals</v>
      </c>
    </row>
    <row r="1683" hidden="1">
      <c r="A1683" s="64" t="str">
        <f>Ringkasan!A1682</f>
        <v>TBMS</v>
      </c>
      <c r="B1683" s="64" t="str">
        <f>Ringkasan!B1682</f>
        <v>Tembaga Mulia Semanan Tbk.</v>
      </c>
      <c r="C1683" s="67">
        <f>Ringkasan!C1682</f>
        <v>1255</v>
      </c>
      <c r="D1683" s="22" t="str">
        <f>Ringkasan!D1682</f>
        <v>#N/A</v>
      </c>
      <c r="E1683" s="64" t="str">
        <f>Ringkasan!E1682</f>
        <v/>
      </c>
      <c r="F1683" s="64" t="str">
        <f>Ringkasan!F1682</f>
        <v/>
      </c>
      <c r="G1683" s="64">
        <f>Ringkasan!G1682</f>
        <v>0</v>
      </c>
      <c r="H1683" s="19">
        <f>Ringkasan!H1682</f>
        <v>8.3</v>
      </c>
      <c r="I1683" s="19">
        <f>Ringkasan!I1682</f>
        <v>0.73</v>
      </c>
      <c r="J1683" s="19">
        <f>Ringkasan!J1682</f>
        <v>8.8</v>
      </c>
      <c r="K1683" s="19">
        <f>Ringkasan!K1682</f>
        <v>3.2</v>
      </c>
      <c r="L1683" s="19">
        <f>Ringkasan!L1682</f>
        <v>1.8</v>
      </c>
      <c r="M1683" s="19">
        <f>Ringkasan!M1682</f>
        <v>2.6</v>
      </c>
      <c r="N1683" s="64" t="str">
        <f>Ringkasan!N1682</f>
        <v/>
      </c>
      <c r="O1683" s="64" t="str">
        <f>Ringkasan!O1682</f>
        <v/>
      </c>
      <c r="P1683" s="64" t="str">
        <f>Ringkasan!P1682</f>
        <v/>
      </c>
      <c r="Q1683" s="64" t="str">
        <f>Ringkasan!Q1682</f>
        <v/>
      </c>
      <c r="R1683" s="64" t="str">
        <f>Ringkasan!R1682</f>
        <v/>
      </c>
      <c r="S1683" s="64" t="str">
        <f>Ringkasan!S1682</f>
        <v/>
      </c>
      <c r="T1683" s="64" t="str">
        <f>Ringkasan!T1682</f>
        <v/>
      </c>
      <c r="U1683" s="22">
        <f>Ringkasan!U1682</f>
        <v>1260</v>
      </c>
      <c r="V1683" s="22">
        <f>Ringkasan!V1682</f>
        <v>-0.4</v>
      </c>
      <c r="W1683" s="22">
        <f>Ringkasan!W1682</f>
        <v>1260</v>
      </c>
      <c r="X1683" s="22">
        <f>Ringkasan!X1682</f>
        <v>1305</v>
      </c>
      <c r="Y1683" s="22">
        <f>Ringkasan!Y1682</f>
        <v>1210</v>
      </c>
      <c r="Z1683" s="22">
        <f>Ringkasan!Z1682</f>
        <v>18400</v>
      </c>
      <c r="AA1683" s="64" t="str">
        <f>Ringkasan!AA1682</f>
        <v>Metals &amp; Minerals</v>
      </c>
      <c r="AB1683" s="64" t="str">
        <f>Ringkasan!AB1682</f>
        <v>Basic Materials</v>
      </c>
    </row>
    <row r="1684" hidden="1">
      <c r="A1684" s="64" t="str">
        <f>Ringkasan!A1683</f>
        <v>TCID</v>
      </c>
      <c r="B1684" s="64" t="str">
        <f>Ringkasan!B1683</f>
        <v>Mandom Indonesia Tbk</v>
      </c>
      <c r="C1684" s="67">
        <f>Ringkasan!C1683</f>
        <v>2850</v>
      </c>
      <c r="D1684" s="22" t="str">
        <f>Ringkasan!D1683</f>
        <v>#N/A</v>
      </c>
      <c r="E1684" s="64" t="str">
        <f>Ringkasan!E1683</f>
        <v/>
      </c>
      <c r="F1684" s="64" t="str">
        <f>Ringkasan!F1683</f>
        <v/>
      </c>
      <c r="G1684" s="64">
        <f>Ringkasan!G1683</f>
        <v>0</v>
      </c>
      <c r="H1684" s="19">
        <f>Ringkasan!H1683</f>
        <v>99.4</v>
      </c>
      <c r="I1684" s="19">
        <f>Ringkasan!I1683</f>
        <v>0.61</v>
      </c>
      <c r="J1684" s="19">
        <f>Ringkasan!J1683</f>
        <v>0.61</v>
      </c>
      <c r="K1684" s="19">
        <f>Ringkasan!K1683</f>
        <v>0.49</v>
      </c>
      <c r="L1684" s="19">
        <f>Ringkasan!L1683</f>
        <v>0.25</v>
      </c>
      <c r="M1684" s="19">
        <f>Ringkasan!M1683</f>
        <v>2.2</v>
      </c>
      <c r="N1684" s="64" t="str">
        <f>Ringkasan!N1683</f>
        <v/>
      </c>
      <c r="O1684" s="64" t="str">
        <f>Ringkasan!O1683</f>
        <v/>
      </c>
      <c r="P1684" s="64" t="str">
        <f>Ringkasan!P1683</f>
        <v/>
      </c>
      <c r="Q1684" s="64" t="str">
        <f>Ringkasan!Q1683</f>
        <v/>
      </c>
      <c r="R1684" s="64" t="str">
        <f>Ringkasan!R1683</f>
        <v/>
      </c>
      <c r="S1684" s="64" t="str">
        <f>Ringkasan!S1683</f>
        <v/>
      </c>
      <c r="T1684" s="64" t="str">
        <f>Ringkasan!T1683</f>
        <v/>
      </c>
      <c r="U1684" s="22">
        <f>Ringkasan!U1683</f>
        <v>0.13</v>
      </c>
      <c r="V1684" s="22" t="str">
        <f>Ringkasan!V1683</f>
        <v/>
      </c>
      <c r="W1684" s="22">
        <f>Ringkasan!W1683</f>
        <v>0.13</v>
      </c>
      <c r="X1684" s="22">
        <f>Ringkasan!X1683</f>
        <v>0.13</v>
      </c>
      <c r="Y1684" s="22">
        <f>Ringkasan!Y1683</f>
        <v>0.13</v>
      </c>
      <c r="Z1684" s="22">
        <f>Ringkasan!Z1683</f>
        <v>0</v>
      </c>
      <c r="AA1684" s="64" t="str">
        <f>Ringkasan!AA1683</f>
        <v>Personal Care Products</v>
      </c>
      <c r="AB1684" s="64" t="str">
        <f>Ringkasan!AB1683</f>
        <v>Consumer Non-Cyclicals</v>
      </c>
    </row>
    <row r="1685" hidden="1">
      <c r="A1685" s="64" t="str">
        <f>Ringkasan!A1684</f>
        <v>TCPI</v>
      </c>
      <c r="B1685" s="64" t="str">
        <f>Ringkasan!B1684</f>
        <v>Transcoal Pacific Tbk.</v>
      </c>
      <c r="C1685" s="67">
        <f>Ringkasan!C1684</f>
        <v>9300</v>
      </c>
      <c r="D1685" s="22" t="str">
        <f>Ringkasan!D1684</f>
        <v>#N/A</v>
      </c>
      <c r="E1685" s="64" t="str">
        <f>Ringkasan!E1684</f>
        <v>Kompas100</v>
      </c>
      <c r="F1685" s="64" t="str">
        <f>Ringkasan!F1684</f>
        <v>31 Juli 2026</v>
      </c>
      <c r="G1685" s="64">
        <f>Ringkasan!G1684</f>
        <v>3</v>
      </c>
      <c r="H1685" s="19">
        <f>Ringkasan!H1684</f>
        <v>410</v>
      </c>
      <c r="I1685" s="19">
        <f>Ringkasan!I1684</f>
        <v>23.8</v>
      </c>
      <c r="J1685" s="19">
        <f>Ringkasan!J1684</f>
        <v>5.8</v>
      </c>
      <c r="K1685" s="19">
        <f>Ringkasan!K1684</f>
        <v>3.3</v>
      </c>
      <c r="L1685" s="19">
        <f>Ringkasan!L1684</f>
        <v>0.76</v>
      </c>
      <c r="M1685" s="19">
        <f>Ringkasan!M1684</f>
        <v>25.7</v>
      </c>
      <c r="N1685" s="64" t="str">
        <f>Ringkasan!N1684</f>
        <v/>
      </c>
      <c r="O1685" s="64" t="str">
        <f>Ringkasan!O1684</f>
        <v/>
      </c>
      <c r="P1685" s="64" t="str">
        <f>Ringkasan!P1684</f>
        <v/>
      </c>
      <c r="Q1685" s="64" t="str">
        <f>Ringkasan!Q1684</f>
        <v/>
      </c>
      <c r="R1685" s="64" t="str">
        <f>Ringkasan!R1684</f>
        <v/>
      </c>
      <c r="S1685" s="64" t="str">
        <f>Ringkasan!S1684</f>
        <v/>
      </c>
      <c r="T1685" s="64" t="str">
        <f>Ringkasan!T1684</f>
        <v/>
      </c>
      <c r="U1685" s="22">
        <f>Ringkasan!U1684</f>
        <v>9600</v>
      </c>
      <c r="V1685" s="22">
        <f>Ringkasan!V1684</f>
        <v>-3.12</v>
      </c>
      <c r="W1685" s="22" t="str">
        <f>Ringkasan!W1684</f>
        <v/>
      </c>
      <c r="X1685" s="22">
        <f>Ringkasan!X1684</f>
        <v>9700</v>
      </c>
      <c r="Y1685" s="22">
        <f>Ringkasan!Y1684</f>
        <v>9300</v>
      </c>
      <c r="Z1685" s="22">
        <f>Ringkasan!Z1684</f>
        <v>5005100</v>
      </c>
      <c r="AA1685" s="64" t="str">
        <f>Ringkasan!AA1684</f>
        <v>Coal</v>
      </c>
      <c r="AB1685" s="64" t="str">
        <f>Ringkasan!AB1684</f>
        <v>Energy</v>
      </c>
    </row>
    <row r="1686" hidden="1">
      <c r="A1686" s="64" t="str">
        <f>Ringkasan!A1685</f>
        <v>TCPI</v>
      </c>
      <c r="B1686" s="64" t="str">
        <f>Ringkasan!B1685</f>
        <v>Transcoal Pacific Tbk.</v>
      </c>
      <c r="C1686" s="67">
        <f>Ringkasan!C1685</f>
        <v>9300</v>
      </c>
      <c r="D1686" s="22" t="str">
        <f>Ringkasan!D1685</f>
        <v>#N/A</v>
      </c>
      <c r="E1686" s="64" t="str">
        <f>Ringkasan!E1685</f>
        <v>MSCI Small Cap</v>
      </c>
      <c r="F1686" s="64" t="str">
        <f>Ringkasan!F1685</f>
        <v>12 Agustus 2026</v>
      </c>
      <c r="G1686" s="64">
        <f>Ringkasan!G1685</f>
        <v>3</v>
      </c>
      <c r="H1686" s="19">
        <f>Ringkasan!H1685</f>
        <v>410</v>
      </c>
      <c r="I1686" s="19">
        <f>Ringkasan!I1685</f>
        <v>23.8</v>
      </c>
      <c r="J1686" s="19">
        <f>Ringkasan!J1685</f>
        <v>5.8</v>
      </c>
      <c r="K1686" s="19">
        <f>Ringkasan!K1685</f>
        <v>3.3</v>
      </c>
      <c r="L1686" s="19">
        <f>Ringkasan!L1685</f>
        <v>0.76</v>
      </c>
      <c r="M1686" s="19">
        <f>Ringkasan!M1685</f>
        <v>25.7</v>
      </c>
      <c r="N1686" s="64" t="str">
        <f>Ringkasan!N1685</f>
        <v/>
      </c>
      <c r="O1686" s="64" t="str">
        <f>Ringkasan!O1685</f>
        <v/>
      </c>
      <c r="P1686" s="64" t="str">
        <f>Ringkasan!P1685</f>
        <v/>
      </c>
      <c r="Q1686" s="64" t="str">
        <f>Ringkasan!Q1685</f>
        <v/>
      </c>
      <c r="R1686" s="64" t="str">
        <f>Ringkasan!R1685</f>
        <v/>
      </c>
      <c r="S1686" s="64" t="str">
        <f>Ringkasan!S1685</f>
        <v/>
      </c>
      <c r="T1686" s="64" t="str">
        <f>Ringkasan!T1685</f>
        <v/>
      </c>
      <c r="U1686" s="22">
        <f>Ringkasan!U1685</f>
        <v>9600</v>
      </c>
      <c r="V1686" s="22">
        <f>Ringkasan!V1685</f>
        <v>-3.12</v>
      </c>
      <c r="W1686" s="22" t="str">
        <f>Ringkasan!W1685</f>
        <v/>
      </c>
      <c r="X1686" s="22">
        <f>Ringkasan!X1685</f>
        <v>9700</v>
      </c>
      <c r="Y1686" s="22">
        <f>Ringkasan!Y1685</f>
        <v>9300</v>
      </c>
      <c r="Z1686" s="22">
        <f>Ringkasan!Z1685</f>
        <v>5005100</v>
      </c>
      <c r="AA1686" s="64" t="str">
        <f>Ringkasan!AA1685</f>
        <v>Coal</v>
      </c>
      <c r="AB1686" s="64" t="str">
        <f>Ringkasan!AB1685</f>
        <v>Energy</v>
      </c>
    </row>
    <row r="1687" hidden="1">
      <c r="A1687" s="64" t="str">
        <f>Ringkasan!A1686</f>
        <v>TCPI</v>
      </c>
      <c r="B1687" s="64" t="str">
        <f>Ringkasan!B1686</f>
        <v>Transcoal Pacific Tbk.</v>
      </c>
      <c r="C1687" s="67">
        <f>Ringkasan!C1686</f>
        <v>9300</v>
      </c>
      <c r="D1687" s="22" t="str">
        <f>Ringkasan!D1686</f>
        <v>#N/A</v>
      </c>
      <c r="E1687" s="64" t="str">
        <f>Ringkasan!E1686</f>
        <v>JII70</v>
      </c>
      <c r="F1687" s="66">
        <f>Ringkasan!F1686</f>
        <v>46356</v>
      </c>
      <c r="G1687" s="64">
        <f>Ringkasan!G1686</f>
        <v>3</v>
      </c>
      <c r="H1687" s="19">
        <f>Ringkasan!H1686</f>
        <v>410</v>
      </c>
      <c r="I1687" s="19">
        <f>Ringkasan!I1686</f>
        <v>23.8</v>
      </c>
      <c r="J1687" s="19">
        <f>Ringkasan!J1686</f>
        <v>5.8</v>
      </c>
      <c r="K1687" s="19">
        <f>Ringkasan!K1686</f>
        <v>3.3</v>
      </c>
      <c r="L1687" s="19">
        <f>Ringkasan!L1686</f>
        <v>0.76</v>
      </c>
      <c r="M1687" s="19">
        <f>Ringkasan!M1686</f>
        <v>25.7</v>
      </c>
      <c r="N1687" s="64" t="str">
        <f>Ringkasan!N1686</f>
        <v/>
      </c>
      <c r="O1687" s="64" t="str">
        <f>Ringkasan!O1686</f>
        <v/>
      </c>
      <c r="P1687" s="64" t="str">
        <f>Ringkasan!P1686</f>
        <v/>
      </c>
      <c r="Q1687" s="64" t="str">
        <f>Ringkasan!Q1686</f>
        <v/>
      </c>
      <c r="R1687" s="64" t="str">
        <f>Ringkasan!R1686</f>
        <v/>
      </c>
      <c r="S1687" s="64" t="str">
        <f>Ringkasan!S1686</f>
        <v/>
      </c>
      <c r="T1687" s="64" t="str">
        <f>Ringkasan!T1686</f>
        <v/>
      </c>
      <c r="U1687" s="22">
        <f>Ringkasan!U1686</f>
        <v>9600</v>
      </c>
      <c r="V1687" s="22">
        <f>Ringkasan!V1686</f>
        <v>-3.12</v>
      </c>
      <c r="W1687" s="22" t="str">
        <f>Ringkasan!W1686</f>
        <v/>
      </c>
      <c r="X1687" s="22">
        <f>Ringkasan!X1686</f>
        <v>9700</v>
      </c>
      <c r="Y1687" s="22">
        <f>Ringkasan!Y1686</f>
        <v>9300</v>
      </c>
      <c r="Z1687" s="22">
        <f>Ringkasan!Z1686</f>
        <v>5005100</v>
      </c>
      <c r="AA1687" s="64" t="str">
        <f>Ringkasan!AA1686</f>
        <v>Coal</v>
      </c>
      <c r="AB1687" s="64" t="str">
        <f>Ringkasan!AB1686</f>
        <v>Energy</v>
      </c>
    </row>
    <row r="1688" hidden="1">
      <c r="A1688" s="64" t="str">
        <f>Ringkasan!A1687</f>
        <v>TDPM</v>
      </c>
      <c r="B1688" s="64" t="str">
        <f>Ringkasan!B1687</f>
        <v>Tianrong Chemicals Industry Tbk.</v>
      </c>
      <c r="C1688" s="67">
        <f>Ringkasan!C1687</f>
        <v>119</v>
      </c>
      <c r="D1688" s="22" t="str">
        <f>Ringkasan!D1687</f>
        <v>#N/A</v>
      </c>
      <c r="E1688" s="64" t="str">
        <f>Ringkasan!E1687</f>
        <v/>
      </c>
      <c r="F1688" s="64" t="str">
        <f>Ringkasan!F1687</f>
        <v/>
      </c>
      <c r="G1688" s="64">
        <f>Ringkasan!G1687</f>
        <v>0</v>
      </c>
      <c r="H1688" s="19">
        <f>Ringkasan!H1687</f>
        <v>0</v>
      </c>
      <c r="I1688" s="19">
        <f>Ringkasan!I1687</f>
        <v>5.4</v>
      </c>
      <c r="J1688" s="19">
        <f>Ringkasan!J1687</f>
        <v>-380</v>
      </c>
      <c r="K1688" s="19">
        <f>Ringkasan!K1687</f>
        <v>-39</v>
      </c>
      <c r="L1688" s="19">
        <f>Ringkasan!L1687</f>
        <v>8.6</v>
      </c>
      <c r="M1688" s="19">
        <f>Ringkasan!M1687</f>
        <v>-160</v>
      </c>
      <c r="N1688" s="64" t="str">
        <f>Ringkasan!N1687</f>
        <v/>
      </c>
      <c r="O1688" s="64" t="str">
        <f>Ringkasan!O1687</f>
        <v/>
      </c>
      <c r="P1688" s="64" t="str">
        <f>Ringkasan!P1687</f>
        <v/>
      </c>
      <c r="Q1688" s="64" t="str">
        <f>Ringkasan!Q1687</f>
        <v/>
      </c>
      <c r="R1688" s="64" t="str">
        <f>Ringkasan!R1687</f>
        <v/>
      </c>
      <c r="S1688" s="64" t="str">
        <f>Ringkasan!S1687</f>
        <v/>
      </c>
      <c r="T1688" s="64" t="str">
        <f>Ringkasan!T1687</f>
        <v/>
      </c>
      <c r="U1688" s="22">
        <f>Ringkasan!U1687</f>
        <v>119</v>
      </c>
      <c r="V1688" s="22">
        <f>Ringkasan!V1687</f>
        <v>0</v>
      </c>
      <c r="W1688" s="22" t="str">
        <f>Ringkasan!W1687</f>
        <v/>
      </c>
      <c r="X1688" s="22" t="str">
        <f>Ringkasan!X1687</f>
        <v/>
      </c>
      <c r="Y1688" s="22" t="str">
        <f>Ringkasan!Y1687</f>
        <v/>
      </c>
      <c r="Z1688" s="22">
        <f>Ringkasan!Z1687</f>
        <v>0</v>
      </c>
      <c r="AA1688" s="64" t="str">
        <f>Ringkasan!AA1687</f>
        <v>Chemicals</v>
      </c>
      <c r="AB1688" s="64" t="str">
        <f>Ringkasan!AB1687</f>
        <v>Basic Materials</v>
      </c>
    </row>
    <row r="1689" hidden="1">
      <c r="A1689" s="64" t="str">
        <f>Ringkasan!A1688</f>
        <v>TEBE</v>
      </c>
      <c r="B1689" s="64" t="str">
        <f>Ringkasan!B1688</f>
        <v>Dana Brata Luhur Tbk.</v>
      </c>
      <c r="C1689" s="67">
        <f>Ringkasan!C1688</f>
        <v>1045</v>
      </c>
      <c r="D1689" s="22" t="str">
        <f>Ringkasan!D1688</f>
        <v>#N/A</v>
      </c>
      <c r="E1689" s="64" t="str">
        <f>Ringkasan!E1688</f>
        <v/>
      </c>
      <c r="F1689" s="64" t="str">
        <f>Ringkasan!F1688</f>
        <v/>
      </c>
      <c r="G1689" s="64">
        <f>Ringkasan!G1688</f>
        <v>0</v>
      </c>
      <c r="H1689" s="19">
        <f>Ringkasan!H1688</f>
        <v>9</v>
      </c>
      <c r="I1689" s="19">
        <f>Ringkasan!I1688</f>
        <v>1</v>
      </c>
      <c r="J1689" s="19">
        <f>Ringkasan!J1688</f>
        <v>11.7</v>
      </c>
      <c r="K1689" s="19">
        <f>Ringkasan!K1688</f>
        <v>11.2</v>
      </c>
      <c r="L1689" s="19">
        <f>Ringkasan!L1688</f>
        <v>0.04</v>
      </c>
      <c r="M1689" s="19">
        <f>Ringkasan!M1688</f>
        <v>170</v>
      </c>
      <c r="N1689" s="64" t="str">
        <f>Ringkasan!N1688</f>
        <v/>
      </c>
      <c r="O1689" s="64" t="str">
        <f>Ringkasan!O1688</f>
        <v/>
      </c>
      <c r="P1689" s="64" t="str">
        <f>Ringkasan!P1688</f>
        <v/>
      </c>
      <c r="Q1689" s="64" t="str">
        <f>Ringkasan!Q1688</f>
        <v/>
      </c>
      <c r="R1689" s="64" t="str">
        <f>Ringkasan!R1688</f>
        <v/>
      </c>
      <c r="S1689" s="64" t="str">
        <f>Ringkasan!S1688</f>
        <v/>
      </c>
      <c r="T1689" s="64" t="str">
        <f>Ringkasan!T1688</f>
        <v/>
      </c>
      <c r="U1689" s="22">
        <f>Ringkasan!U1688</f>
        <v>970</v>
      </c>
      <c r="V1689" s="22">
        <f>Ringkasan!V1688</f>
        <v>7.73</v>
      </c>
      <c r="W1689" s="22">
        <f>Ringkasan!W1688</f>
        <v>975</v>
      </c>
      <c r="X1689" s="22" t="str">
        <f>Ringkasan!X1688</f>
        <v/>
      </c>
      <c r="Y1689" s="22">
        <f>Ringkasan!Y1688</f>
        <v>975</v>
      </c>
      <c r="Z1689" s="22">
        <f>Ringkasan!Z1688</f>
        <v>655800</v>
      </c>
      <c r="AA1689" s="64" t="str">
        <f>Ringkasan!AA1688</f>
        <v>Coal</v>
      </c>
      <c r="AB1689" s="64" t="str">
        <f>Ringkasan!AB1688</f>
        <v>Energy</v>
      </c>
    </row>
    <row r="1690" hidden="1">
      <c r="A1690" s="64" t="str">
        <f>Ringkasan!A1689</f>
        <v>TECH</v>
      </c>
      <c r="B1690" s="64" t="str">
        <f>Ringkasan!B1689</f>
        <v>Indosterling Technomedia Tbk.</v>
      </c>
      <c r="C1690" s="67">
        <f>Ringkasan!C1689</f>
        <v>50</v>
      </c>
      <c r="D1690" s="22" t="str">
        <f>Ringkasan!D1689</f>
        <v>#N/A</v>
      </c>
      <c r="E1690" s="64" t="str">
        <f>Ringkasan!E1689</f>
        <v/>
      </c>
      <c r="F1690" s="64" t="str">
        <f>Ringkasan!F1689</f>
        <v/>
      </c>
      <c r="G1690" s="64">
        <f>Ringkasan!G1689</f>
        <v>0</v>
      </c>
      <c r="H1690" s="19">
        <f>Ringkasan!H1689</f>
        <v>0</v>
      </c>
      <c r="I1690" s="19">
        <f>Ringkasan!I1689</f>
        <v>0.97</v>
      </c>
      <c r="J1690" s="19">
        <f>Ringkasan!J1689</f>
        <v>2</v>
      </c>
      <c r="K1690" s="19">
        <f>Ringkasan!K1689</f>
        <v>1.7</v>
      </c>
      <c r="L1690" s="19">
        <f>Ringkasan!L1689</f>
        <v>0.15</v>
      </c>
      <c r="M1690" s="19">
        <f>Ringkasan!M1689</f>
        <v>350</v>
      </c>
      <c r="N1690" s="64" t="str">
        <f>Ringkasan!N1689</f>
        <v/>
      </c>
      <c r="O1690" s="64" t="str">
        <f>Ringkasan!O1689</f>
        <v/>
      </c>
      <c r="P1690" s="64" t="str">
        <f>Ringkasan!P1689</f>
        <v/>
      </c>
      <c r="Q1690" s="64" t="str">
        <f>Ringkasan!Q1689</f>
        <v/>
      </c>
      <c r="R1690" s="64" t="str">
        <f>Ringkasan!R1689</f>
        <v/>
      </c>
      <c r="S1690" s="64" t="str">
        <f>Ringkasan!S1689</f>
        <v/>
      </c>
      <c r="T1690" s="64" t="str">
        <f>Ringkasan!T1689</f>
        <v/>
      </c>
      <c r="U1690" s="22">
        <f>Ringkasan!U1689</f>
        <v>54.02</v>
      </c>
      <c r="V1690" s="22">
        <f>Ringkasan!V1689</f>
        <v>-0.04</v>
      </c>
      <c r="W1690" s="22">
        <f>Ringkasan!W1689</f>
        <v>54.06</v>
      </c>
      <c r="X1690" s="22">
        <f>Ringkasan!X1689</f>
        <v>54.62</v>
      </c>
      <c r="Y1690" s="22">
        <f>Ringkasan!Y1689</f>
        <v>53.29</v>
      </c>
      <c r="Z1690" s="22">
        <f>Ringkasan!Z1689</f>
        <v>2558198</v>
      </c>
      <c r="AA1690" s="64" t="str">
        <f>Ringkasan!AA1689</f>
        <v>IT Services &amp; Consulting</v>
      </c>
      <c r="AB1690" s="64" t="str">
        <f>Ringkasan!AB1689</f>
        <v>Technology</v>
      </c>
    </row>
    <row r="1691" hidden="1">
      <c r="A1691" s="64" t="str">
        <f>Ringkasan!A1690</f>
        <v>TELE</v>
      </c>
      <c r="B1691" s="64" t="str">
        <f>Ringkasan!B1690</f>
        <v>Omni Inovasi Indonesia Tbk.</v>
      </c>
      <c r="C1691" s="67">
        <f>Ringkasan!C1690</f>
        <v>9</v>
      </c>
      <c r="D1691" s="22" t="str">
        <f>Ringkasan!D1690</f>
        <v>#N/A</v>
      </c>
      <c r="E1691" s="64" t="str">
        <f>Ringkasan!E1690</f>
        <v/>
      </c>
      <c r="F1691" s="64" t="str">
        <f>Ringkasan!F1690</f>
        <v/>
      </c>
      <c r="G1691" s="64">
        <f>Ringkasan!G1690</f>
        <v>0</v>
      </c>
      <c r="H1691" s="19">
        <f>Ringkasan!H1690</f>
        <v>-2.1</v>
      </c>
      <c r="I1691" s="19">
        <f>Ringkasan!I1690</f>
        <v>-0.01</v>
      </c>
      <c r="J1691" s="19">
        <f>Ringkasan!J1690</f>
        <v>0</v>
      </c>
      <c r="K1691" s="19">
        <f>Ringkasan!K1690</f>
        <v>-32.8</v>
      </c>
      <c r="L1691" s="19">
        <f>Ringkasan!L1690</f>
        <v>-1</v>
      </c>
      <c r="M1691" s="19">
        <f>Ringkasan!M1690</f>
        <v>-10.4</v>
      </c>
      <c r="N1691" s="64" t="str">
        <f>Ringkasan!N1690</f>
        <v/>
      </c>
      <c r="O1691" s="64" t="str">
        <f>Ringkasan!O1690</f>
        <v/>
      </c>
      <c r="P1691" s="64" t="str">
        <f>Ringkasan!P1690</f>
        <v/>
      </c>
      <c r="Q1691" s="64" t="str">
        <f>Ringkasan!Q1690</f>
        <v/>
      </c>
      <c r="R1691" s="64" t="str">
        <f>Ringkasan!R1690</f>
        <v/>
      </c>
      <c r="S1691" s="64" t="str">
        <f>Ringkasan!S1690</f>
        <v/>
      </c>
      <c r="T1691" s="64" t="str">
        <f>Ringkasan!T1690</f>
        <v/>
      </c>
      <c r="U1691" s="22">
        <f>Ringkasan!U1690</f>
        <v>75.63</v>
      </c>
      <c r="V1691" s="22">
        <f>Ringkasan!V1690</f>
        <v>0.07</v>
      </c>
      <c r="W1691" s="22" t="str">
        <f>Ringkasan!W1690</f>
        <v/>
      </c>
      <c r="X1691" s="22" t="str">
        <f>Ringkasan!X1690</f>
        <v/>
      </c>
      <c r="Y1691" s="22" t="str">
        <f>Ringkasan!Y1690</f>
        <v/>
      </c>
      <c r="Z1691" s="22">
        <f>Ringkasan!Z1690</f>
        <v>0</v>
      </c>
      <c r="AA1691" s="64" t="str">
        <f>Ringkasan!AA1690</f>
        <v>Consumer Distributors</v>
      </c>
      <c r="AB1691" s="64" t="str">
        <f>Ringkasan!AB1690</f>
        <v>Consumer Cyclicals</v>
      </c>
    </row>
    <row r="1692" hidden="1">
      <c r="A1692" s="64" t="str">
        <f>Ringkasan!A1691</f>
        <v>TFAS</v>
      </c>
      <c r="B1692" s="64" t="str">
        <f>Ringkasan!B1691</f>
        <v>Telefast Indonesia Tbk.</v>
      </c>
      <c r="C1692" s="67">
        <f>Ringkasan!C1691</f>
        <v>204</v>
      </c>
      <c r="D1692" s="22" t="str">
        <f>Ringkasan!D1691</f>
        <v>#N/A</v>
      </c>
      <c r="E1692" s="64" t="str">
        <f>Ringkasan!E1691</f>
        <v/>
      </c>
      <c r="F1692" s="64" t="str">
        <f>Ringkasan!F1691</f>
        <v/>
      </c>
      <c r="G1692" s="64">
        <f>Ringkasan!G1691</f>
        <v>0</v>
      </c>
      <c r="H1692" s="19">
        <f>Ringkasan!H1691</f>
        <v>-16.6</v>
      </c>
      <c r="I1692" s="19">
        <f>Ringkasan!I1691</f>
        <v>2.1</v>
      </c>
      <c r="J1692" s="19">
        <f>Ringkasan!J1691</f>
        <v>-12.7</v>
      </c>
      <c r="K1692" s="19">
        <f>Ringkasan!K1691</f>
        <v>-9.9</v>
      </c>
      <c r="L1692" s="19">
        <f>Ringkasan!L1691</f>
        <v>0.28</v>
      </c>
      <c r="M1692" s="19">
        <f>Ringkasan!M1691</f>
        <v>-19.6</v>
      </c>
      <c r="N1692" s="64" t="str">
        <f>Ringkasan!N1691</f>
        <v/>
      </c>
      <c r="O1692" s="64" t="str">
        <f>Ringkasan!O1691</f>
        <v/>
      </c>
      <c r="P1692" s="64" t="str">
        <f>Ringkasan!P1691</f>
        <v/>
      </c>
      <c r="Q1692" s="64" t="str">
        <f>Ringkasan!Q1691</f>
        <v/>
      </c>
      <c r="R1692" s="64" t="str">
        <f>Ringkasan!R1691</f>
        <v/>
      </c>
      <c r="S1692" s="64" t="str">
        <f>Ringkasan!S1691</f>
        <v/>
      </c>
      <c r="T1692" s="64" t="str">
        <f>Ringkasan!T1691</f>
        <v/>
      </c>
      <c r="U1692" s="22">
        <f>Ringkasan!U1691</f>
        <v>198</v>
      </c>
      <c r="V1692" s="22">
        <f>Ringkasan!V1691</f>
        <v>3.03</v>
      </c>
      <c r="W1692" s="22">
        <f>Ringkasan!W1691</f>
        <v>198</v>
      </c>
      <c r="X1692" s="22">
        <f>Ringkasan!X1691</f>
        <v>210</v>
      </c>
      <c r="Y1692" s="22" t="str">
        <f>Ringkasan!Y1691</f>
        <v/>
      </c>
      <c r="Z1692" s="22" t="str">
        <f>Ringkasan!Z1691</f>
        <v/>
      </c>
      <c r="AA1692" s="64" t="str">
        <f>Ringkasan!AA1691</f>
        <v>Online Applications &amp; Services</v>
      </c>
      <c r="AB1692" s="64" t="str">
        <f>Ringkasan!AB1691</f>
        <v>Technology</v>
      </c>
    </row>
    <row r="1693" hidden="1">
      <c r="A1693" s="64" t="str">
        <f>Ringkasan!A1692</f>
        <v>TFCO</v>
      </c>
      <c r="B1693" s="64" t="str">
        <f>Ringkasan!B1692</f>
        <v>Tifico Fiber Indonesia Tbk</v>
      </c>
      <c r="C1693" s="67">
        <f>Ringkasan!C1692</f>
        <v>595</v>
      </c>
      <c r="D1693" s="22" t="str">
        <f>Ringkasan!D1692</f>
        <v>#N/A</v>
      </c>
      <c r="E1693" s="64" t="str">
        <f>Ringkasan!E1692</f>
        <v/>
      </c>
      <c r="F1693" s="64" t="str">
        <f>Ringkasan!F1692</f>
        <v/>
      </c>
      <c r="G1693" s="64">
        <f>Ringkasan!G1692</f>
        <v>0</v>
      </c>
      <c r="H1693" s="19">
        <f>Ringkasan!H1692</f>
        <v>-33.5</v>
      </c>
      <c r="I1693" s="19">
        <f>Ringkasan!I1692</f>
        <v>0.55</v>
      </c>
      <c r="J1693" s="19">
        <f>Ringkasan!J1692</f>
        <v>-1.6</v>
      </c>
      <c r="K1693" s="19">
        <f>Ringkasan!K1692</f>
        <v>-1.5</v>
      </c>
      <c r="L1693" s="19">
        <f>Ringkasan!L1692</f>
        <v>0.1</v>
      </c>
      <c r="M1693" s="19">
        <f>Ringkasan!M1692</f>
        <v>-10.4</v>
      </c>
      <c r="N1693" s="64" t="str">
        <f>Ringkasan!N1692</f>
        <v/>
      </c>
      <c r="O1693" s="64" t="str">
        <f>Ringkasan!O1692</f>
        <v/>
      </c>
      <c r="P1693" s="64" t="str">
        <f>Ringkasan!P1692</f>
        <v/>
      </c>
      <c r="Q1693" s="64" t="str">
        <f>Ringkasan!Q1692</f>
        <v/>
      </c>
      <c r="R1693" s="64" t="str">
        <f>Ringkasan!R1692</f>
        <v/>
      </c>
      <c r="S1693" s="64" t="str">
        <f>Ringkasan!S1692</f>
        <v/>
      </c>
      <c r="T1693" s="64" t="str">
        <f>Ringkasan!T1692</f>
        <v/>
      </c>
      <c r="U1693" s="22">
        <f>Ringkasan!U1692</f>
        <v>605</v>
      </c>
      <c r="V1693" s="22">
        <f>Ringkasan!V1692</f>
        <v>-1.65</v>
      </c>
      <c r="W1693" s="22">
        <f>Ringkasan!W1692</f>
        <v>595</v>
      </c>
      <c r="X1693" s="22">
        <f>Ringkasan!X1692</f>
        <v>595</v>
      </c>
      <c r="Y1693" s="22">
        <f>Ringkasan!Y1692</f>
        <v>595</v>
      </c>
      <c r="Z1693" s="22">
        <f>Ringkasan!Z1692</f>
        <v>100</v>
      </c>
      <c r="AA1693" s="64" t="str">
        <f>Ringkasan!AA1692</f>
        <v>Apparel &amp; Luxury Goods</v>
      </c>
      <c r="AB1693" s="64" t="str">
        <f>Ringkasan!AB1692</f>
        <v>Consumer Cyclicals</v>
      </c>
    </row>
    <row r="1694" hidden="1">
      <c r="A1694" s="64" t="str">
        <f>Ringkasan!A1693</f>
        <v>TGKA</v>
      </c>
      <c r="B1694" s="64" t="str">
        <f>Ringkasan!B1693</f>
        <v>Tigaraksa Satria Tbk.</v>
      </c>
      <c r="C1694" s="67">
        <f>Ringkasan!C1693</f>
        <v>4580</v>
      </c>
      <c r="D1694" s="22" t="str">
        <f>Ringkasan!D1693</f>
        <v>#N/A</v>
      </c>
      <c r="E1694" s="64" t="str">
        <f>Ringkasan!E1693</f>
        <v/>
      </c>
      <c r="F1694" s="64" t="str">
        <f>Ringkasan!F1693</f>
        <v/>
      </c>
      <c r="G1694" s="64">
        <f>Ringkasan!G1693</f>
        <v>0</v>
      </c>
      <c r="H1694" s="19">
        <f>Ringkasan!H1693</f>
        <v>10.3</v>
      </c>
      <c r="I1694" s="19">
        <f>Ringkasan!I1693</f>
        <v>1.7</v>
      </c>
      <c r="J1694" s="19">
        <f>Ringkasan!J1693</f>
        <v>16.5</v>
      </c>
      <c r="K1694" s="19">
        <f>Ringkasan!K1693</f>
        <v>8.1</v>
      </c>
      <c r="L1694" s="19">
        <f>Ringkasan!L1693</f>
        <v>1</v>
      </c>
      <c r="M1694" s="19">
        <f>Ringkasan!M1693</f>
        <v>11.6</v>
      </c>
      <c r="N1694" s="64" t="str">
        <f>Ringkasan!N1693</f>
        <v/>
      </c>
      <c r="O1694" s="64" t="str">
        <f>Ringkasan!O1693</f>
        <v/>
      </c>
      <c r="P1694" s="64" t="str">
        <f>Ringkasan!P1693</f>
        <v/>
      </c>
      <c r="Q1694" s="64" t="str">
        <f>Ringkasan!Q1693</f>
        <v/>
      </c>
      <c r="R1694" s="64" t="str">
        <f>Ringkasan!R1693</f>
        <v/>
      </c>
      <c r="S1694" s="64" t="str">
        <f>Ringkasan!S1693</f>
        <v/>
      </c>
      <c r="T1694" s="64" t="str">
        <f>Ringkasan!T1693</f>
        <v/>
      </c>
      <c r="U1694" s="22">
        <f>Ringkasan!U1693</f>
        <v>4490</v>
      </c>
      <c r="V1694" s="22">
        <f>Ringkasan!V1693</f>
        <v>2</v>
      </c>
      <c r="W1694" s="22">
        <f>Ringkasan!W1693</f>
        <v>4470</v>
      </c>
      <c r="X1694" s="22">
        <f>Ringkasan!X1693</f>
        <v>4580</v>
      </c>
      <c r="Y1694" s="22">
        <f>Ringkasan!Y1693</f>
        <v>4460</v>
      </c>
      <c r="Z1694" s="22">
        <f>Ringkasan!Z1693</f>
        <v>800</v>
      </c>
      <c r="AA1694" s="64" t="str">
        <f>Ringkasan!AA1693</f>
        <v>Processed Foods</v>
      </c>
      <c r="AB1694" s="64" t="str">
        <f>Ringkasan!AB1693</f>
        <v>Consumer Non-Cyclicals</v>
      </c>
    </row>
    <row r="1695" hidden="1">
      <c r="A1695" s="64" t="str">
        <f>Ringkasan!A1694</f>
        <v>TGRA</v>
      </c>
      <c r="B1695" s="64" t="str">
        <f>Ringkasan!B1694</f>
        <v>Terregra Asia Energy Tbk.</v>
      </c>
      <c r="C1695" s="67">
        <f>Ringkasan!C1694</f>
        <v>27</v>
      </c>
      <c r="D1695" s="22" t="str">
        <f>Ringkasan!D1694</f>
        <v>#N/A</v>
      </c>
      <c r="E1695" s="64" t="str">
        <f>Ringkasan!E1694</f>
        <v/>
      </c>
      <c r="F1695" s="64" t="str">
        <f>Ringkasan!F1694</f>
        <v/>
      </c>
      <c r="G1695" s="64">
        <f>Ringkasan!G1694</f>
        <v>0</v>
      </c>
      <c r="H1695" s="19">
        <f>Ringkasan!H1694</f>
        <v>-2.8</v>
      </c>
      <c r="I1695" s="19">
        <f>Ringkasan!I1694</f>
        <v>0.25</v>
      </c>
      <c r="J1695" s="19">
        <f>Ringkasan!J1694</f>
        <v>-8.8</v>
      </c>
      <c r="K1695" s="19">
        <f>Ringkasan!K1694</f>
        <v>-5.8</v>
      </c>
      <c r="L1695" s="19">
        <f>Ringkasan!L1694</f>
        <v>0.52</v>
      </c>
      <c r="M1695" s="19">
        <f>Ringkasan!M1694</f>
        <v>0</v>
      </c>
      <c r="N1695" s="64" t="str">
        <f>Ringkasan!N1694</f>
        <v/>
      </c>
      <c r="O1695" s="64" t="str">
        <f>Ringkasan!O1694</f>
        <v/>
      </c>
      <c r="P1695" s="64" t="str">
        <f>Ringkasan!P1694</f>
        <v/>
      </c>
      <c r="Q1695" s="64" t="str">
        <f>Ringkasan!Q1694</f>
        <v/>
      </c>
      <c r="R1695" s="64" t="str">
        <f>Ringkasan!R1694</f>
        <v/>
      </c>
      <c r="S1695" s="64" t="str">
        <f>Ringkasan!S1694</f>
        <v/>
      </c>
      <c r="T1695" s="64" t="str">
        <f>Ringkasan!T1694</f>
        <v/>
      </c>
      <c r="U1695" s="22">
        <f>Ringkasan!U1694</f>
        <v>27</v>
      </c>
      <c r="V1695" s="22">
        <f>Ringkasan!V1694</f>
        <v>0</v>
      </c>
      <c r="W1695" s="22" t="str">
        <f>Ringkasan!W1694</f>
        <v/>
      </c>
      <c r="X1695" s="22" t="str">
        <f>Ringkasan!X1694</f>
        <v/>
      </c>
      <c r="Y1695" s="22" t="str">
        <f>Ringkasan!Y1694</f>
        <v/>
      </c>
      <c r="Z1695" s="22">
        <f>Ringkasan!Z1694</f>
        <v>0</v>
      </c>
      <c r="AA1695" s="64" t="str">
        <f>Ringkasan!AA1694</f>
        <v>Electric Utilities</v>
      </c>
      <c r="AB1695" s="64" t="str">
        <f>Ringkasan!AB1694</f>
        <v>Infrastructures</v>
      </c>
    </row>
    <row r="1696" hidden="1">
      <c r="A1696" s="60" t="str">
        <f>Ringkasan!A1695</f>
        <v>TGUK</v>
      </c>
      <c r="B1696" s="60" t="str">
        <f>Ringkasan!B1695</f>
        <v>PT Platinum Wahab Nusantara Tbk.</v>
      </c>
      <c r="C1696" s="61">
        <f>Ringkasan!C1695</f>
        <v>137</v>
      </c>
      <c r="D1696" s="60" t="str">
        <f>Ringkasan!D1695</f>
        <v>#N/A</v>
      </c>
      <c r="E1696" s="60" t="str">
        <f>Ringkasan!E1695</f>
        <v/>
      </c>
      <c r="F1696" s="60" t="str">
        <f>Ringkasan!F1695</f>
        <v/>
      </c>
      <c r="G1696" s="60">
        <f>Ringkasan!G1695</f>
        <v>0</v>
      </c>
      <c r="H1696" s="62">
        <f>Ringkasan!H1695</f>
        <v>-32.4</v>
      </c>
      <c r="I1696" s="62">
        <f>Ringkasan!I1695</f>
        <v>6.4</v>
      </c>
      <c r="J1696" s="62">
        <f>Ringkasan!J1695</f>
        <v>-19.8</v>
      </c>
      <c r="K1696" s="62">
        <f>Ringkasan!K1695</f>
        <v>-5.4</v>
      </c>
      <c r="L1696" s="62">
        <f>Ringkasan!L1695</f>
        <v>2.7</v>
      </c>
      <c r="M1696" s="62">
        <f>Ringkasan!M1695</f>
        <v>-7.5</v>
      </c>
      <c r="N1696" s="60" t="str">
        <f>Ringkasan!N1695</f>
        <v/>
      </c>
      <c r="O1696" s="60" t="str">
        <f>Ringkasan!O1695</f>
        <v/>
      </c>
      <c r="P1696" s="60" t="str">
        <f>Ringkasan!P1695</f>
        <v/>
      </c>
      <c r="Q1696" s="60" t="str">
        <f>Ringkasan!Q1695</f>
        <v/>
      </c>
      <c r="R1696" s="60" t="str">
        <f>Ringkasan!R1695</f>
        <v/>
      </c>
      <c r="S1696" s="60" t="str">
        <f>Ringkasan!S1695</f>
        <v/>
      </c>
      <c r="T1696" s="60" t="str">
        <f>Ringkasan!T1695</f>
        <v/>
      </c>
      <c r="U1696" s="60">
        <f>Ringkasan!U1695</f>
        <v>137</v>
      </c>
      <c r="V1696" s="60">
        <f>Ringkasan!V1695</f>
        <v>0</v>
      </c>
      <c r="W1696" s="60" t="str">
        <f>Ringkasan!W1695</f>
        <v/>
      </c>
      <c r="X1696" s="60" t="str">
        <f>Ringkasan!X1695</f>
        <v/>
      </c>
      <c r="Y1696" s="60" t="str">
        <f>Ringkasan!Y1695</f>
        <v/>
      </c>
      <c r="Z1696" s="60">
        <f>Ringkasan!Z1695</f>
        <v>0</v>
      </c>
      <c r="AA1696" s="60" t="str">
        <f>Ringkasan!AA1695</f>
        <v>Processed Foods</v>
      </c>
      <c r="AB1696" s="60" t="str">
        <f>Ringkasan!AB1695</f>
        <v>Consumer Non-Cyclicals</v>
      </c>
    </row>
    <row r="1697" hidden="1">
      <c r="A1697" s="64" t="str">
        <f>Ringkasan!A1696</f>
        <v>TIFA</v>
      </c>
      <c r="B1697" s="64" t="str">
        <f>Ringkasan!B1696</f>
        <v>KDB Tifa Finance Tbk.</v>
      </c>
      <c r="C1697" s="67">
        <f>Ringkasan!C1696</f>
        <v>274</v>
      </c>
      <c r="D1697" s="22" t="str">
        <f>Ringkasan!D1696</f>
        <v>#N/A</v>
      </c>
      <c r="E1697" s="64" t="str">
        <f>Ringkasan!E1696</f>
        <v/>
      </c>
      <c r="F1697" s="64" t="str">
        <f>Ringkasan!F1696</f>
        <v/>
      </c>
      <c r="G1697" s="64">
        <f>Ringkasan!G1696</f>
        <v>0</v>
      </c>
      <c r="H1697" s="19">
        <f>Ringkasan!H1696</f>
        <v>18.4</v>
      </c>
      <c r="I1697" s="19">
        <f>Ringkasan!I1696</f>
        <v>0.93</v>
      </c>
      <c r="J1697" s="19">
        <f>Ringkasan!J1696</f>
        <v>5.1</v>
      </c>
      <c r="K1697" s="19">
        <f>Ringkasan!K1696</f>
        <v>3.4</v>
      </c>
      <c r="L1697" s="19">
        <f>Ringkasan!L1696</f>
        <v>0.48</v>
      </c>
      <c r="M1697" s="19">
        <f>Ringkasan!M1696</f>
        <v>150</v>
      </c>
      <c r="N1697" s="64" t="str">
        <f>Ringkasan!N1696</f>
        <v/>
      </c>
      <c r="O1697" s="64" t="str">
        <f>Ringkasan!O1696</f>
        <v/>
      </c>
      <c r="P1697" s="64" t="str">
        <f>Ringkasan!P1696</f>
        <v/>
      </c>
      <c r="Q1697" s="64" t="str">
        <f>Ringkasan!Q1696</f>
        <v/>
      </c>
      <c r="R1697" s="64" t="str">
        <f>Ringkasan!R1696</f>
        <v/>
      </c>
      <c r="S1697" s="64" t="str">
        <f>Ringkasan!S1696</f>
        <v/>
      </c>
      <c r="T1697" s="64" t="str">
        <f>Ringkasan!T1696</f>
        <v/>
      </c>
      <c r="U1697" s="22">
        <f>Ringkasan!U1696</f>
        <v>278</v>
      </c>
      <c r="V1697" s="22">
        <f>Ringkasan!V1696</f>
        <v>-1.44</v>
      </c>
      <c r="W1697" s="22">
        <f>Ringkasan!W1696</f>
        <v>278</v>
      </c>
      <c r="X1697" s="22">
        <f>Ringkasan!X1696</f>
        <v>280</v>
      </c>
      <c r="Y1697" s="22">
        <f>Ringkasan!Y1696</f>
        <v>256</v>
      </c>
      <c r="Z1697" s="22">
        <f>Ringkasan!Z1696</f>
        <v>524300</v>
      </c>
      <c r="AA1697" s="64" t="str">
        <f>Ringkasan!AA1696</f>
        <v>Consumer Financing</v>
      </c>
      <c r="AB1697" s="64" t="str">
        <f>Ringkasan!AB1696</f>
        <v>Financials</v>
      </c>
    </row>
    <row r="1698">
      <c r="A1698" s="64" t="str">
        <f>Ringkasan!A1697</f>
        <v>TINS</v>
      </c>
      <c r="B1698" s="60" t="str">
        <f>Ringkasan!B1697</f>
        <v>Timah Tbk.</v>
      </c>
      <c r="C1698" s="61">
        <f>Ringkasan!C1697</f>
        <v>3300</v>
      </c>
      <c r="D1698" s="60" t="str">
        <f>Ringkasan!D1697</f>
        <v>#N/A</v>
      </c>
      <c r="E1698" s="60" t="str">
        <f>Ringkasan!E1697</f>
        <v>IDXMESBUMN</v>
      </c>
      <c r="F1698" s="63">
        <f>Ringkasan!F1697</f>
        <v>46356</v>
      </c>
      <c r="G1698" s="60">
        <f>Ringkasan!G1697</f>
        <v>5</v>
      </c>
      <c r="H1698" s="62">
        <f>Ringkasan!H1697</f>
        <v>8.9</v>
      </c>
      <c r="I1698" s="62">
        <f>Ringkasan!I1697</f>
        <v>2.4</v>
      </c>
      <c r="J1698" s="62">
        <f>Ringkasan!J1697</f>
        <v>27.1</v>
      </c>
      <c r="K1698" s="62">
        <f>Ringkasan!K1697</f>
        <v>17.7</v>
      </c>
      <c r="L1698" s="62">
        <f>Ringkasan!L1697</f>
        <v>0.53</v>
      </c>
      <c r="M1698" s="62">
        <f>Ringkasan!M1697</f>
        <v>49.4</v>
      </c>
      <c r="N1698" s="60" t="str">
        <f>Ringkasan!N1697</f>
        <v/>
      </c>
      <c r="O1698" s="60" t="str">
        <f>Ringkasan!O1697</f>
        <v/>
      </c>
      <c r="P1698" s="60" t="str">
        <f>Ringkasan!P1697</f>
        <v/>
      </c>
      <c r="Q1698" s="60" t="str">
        <f>Ringkasan!Q1697</f>
        <v/>
      </c>
      <c r="R1698" s="60" t="str">
        <f>Ringkasan!R1697</f>
        <v/>
      </c>
      <c r="S1698" s="60" t="str">
        <f>Ringkasan!S1697</f>
        <v/>
      </c>
      <c r="T1698" s="60" t="str">
        <f>Ringkasan!T1697</f>
        <v/>
      </c>
      <c r="U1698" s="60">
        <f>Ringkasan!U1697</f>
        <v>26.65</v>
      </c>
      <c r="V1698" s="60">
        <f>Ringkasan!V1697</f>
        <v>10.23</v>
      </c>
      <c r="W1698" s="60" t="str">
        <f>Ringkasan!W1697</f>
        <v/>
      </c>
      <c r="X1698" s="60">
        <f>Ringkasan!X1697</f>
        <v>29.38</v>
      </c>
      <c r="Y1698" s="60">
        <f>Ringkasan!Y1697</f>
        <v>29.38</v>
      </c>
      <c r="Z1698" s="60">
        <f>Ringkasan!Z1697</f>
        <v>0</v>
      </c>
      <c r="AA1698" s="60" t="str">
        <f>Ringkasan!AA1697</f>
        <v>Metals &amp; Minerals</v>
      </c>
      <c r="AB1698" s="60" t="str">
        <f>Ringkasan!AB1697</f>
        <v>Basic Materials</v>
      </c>
    </row>
    <row r="1699">
      <c r="A1699" s="64" t="str">
        <f>Ringkasan!A1698</f>
        <v>TINS</v>
      </c>
      <c r="B1699" s="60" t="str">
        <f>Ringkasan!B1698</f>
        <v>Timah Tbk.</v>
      </c>
      <c r="C1699" s="61">
        <f>Ringkasan!C1698</f>
        <v>3300</v>
      </c>
      <c r="D1699" s="60" t="str">
        <f>Ringkasan!D1698</f>
        <v>#N/A</v>
      </c>
      <c r="E1699" s="60" t="str">
        <f>Ringkasan!E1698</f>
        <v>IDXSHAGROW</v>
      </c>
      <c r="F1699" s="63">
        <f>Ringkasan!F1698</f>
        <v>46356</v>
      </c>
      <c r="G1699" s="60">
        <f>Ringkasan!G1698</f>
        <v>5</v>
      </c>
      <c r="H1699" s="62">
        <f>Ringkasan!H1698</f>
        <v>8.9</v>
      </c>
      <c r="I1699" s="62">
        <f>Ringkasan!I1698</f>
        <v>2.4</v>
      </c>
      <c r="J1699" s="62">
        <f>Ringkasan!J1698</f>
        <v>27.1</v>
      </c>
      <c r="K1699" s="62">
        <f>Ringkasan!K1698</f>
        <v>17.7</v>
      </c>
      <c r="L1699" s="62">
        <f>Ringkasan!L1698</f>
        <v>0.53</v>
      </c>
      <c r="M1699" s="62">
        <f>Ringkasan!M1698</f>
        <v>49.4</v>
      </c>
      <c r="N1699" s="60" t="str">
        <f>Ringkasan!N1698</f>
        <v/>
      </c>
      <c r="O1699" s="60" t="str">
        <f>Ringkasan!O1698</f>
        <v/>
      </c>
      <c r="P1699" s="60" t="str">
        <f>Ringkasan!P1698</f>
        <v/>
      </c>
      <c r="Q1699" s="60" t="str">
        <f>Ringkasan!Q1698</f>
        <v/>
      </c>
      <c r="R1699" s="60" t="str">
        <f>Ringkasan!R1698</f>
        <v/>
      </c>
      <c r="S1699" s="60" t="str">
        <f>Ringkasan!S1698</f>
        <v/>
      </c>
      <c r="T1699" s="60" t="str">
        <f>Ringkasan!T1698</f>
        <v/>
      </c>
      <c r="U1699" s="60">
        <f>Ringkasan!U1698</f>
        <v>26.65</v>
      </c>
      <c r="V1699" s="60">
        <f>Ringkasan!V1698</f>
        <v>10.23</v>
      </c>
      <c r="W1699" s="60" t="str">
        <f>Ringkasan!W1698</f>
        <v/>
      </c>
      <c r="X1699" s="60">
        <f>Ringkasan!X1698</f>
        <v>29.38</v>
      </c>
      <c r="Y1699" s="60">
        <f>Ringkasan!Y1698</f>
        <v>29.38</v>
      </c>
      <c r="Z1699" s="60">
        <f>Ringkasan!Z1698</f>
        <v>0</v>
      </c>
      <c r="AA1699" s="60" t="str">
        <f>Ringkasan!AA1698</f>
        <v>Metals &amp; Minerals</v>
      </c>
      <c r="AB1699" s="60" t="str">
        <f>Ringkasan!AB1698</f>
        <v>Basic Materials</v>
      </c>
    </row>
    <row r="1700">
      <c r="A1700" s="60" t="str">
        <f>Ringkasan!A1674</f>
        <v>TAPG</v>
      </c>
      <c r="B1700" s="60" t="str">
        <f>Ringkasan!B1674</f>
        <v>Triputra Agro Persada Tbk.</v>
      </c>
      <c r="C1700" s="61">
        <f>Ringkasan!C1674</f>
        <v>1490</v>
      </c>
      <c r="D1700" s="60" t="str">
        <f>Ringkasan!D1674</f>
        <v>#N/A</v>
      </c>
      <c r="E1700" s="60" t="str">
        <f>Ringkasan!E1674</f>
        <v>BISNIS-27</v>
      </c>
      <c r="F1700" s="60" t="str">
        <f>Ringkasan!F1674</f>
        <v>30 Oktober 2026</v>
      </c>
      <c r="G1700" s="60">
        <f>Ringkasan!G1674</f>
        <v>12</v>
      </c>
      <c r="H1700" s="62">
        <f>Ringkasan!H1674</f>
        <v>8.3</v>
      </c>
      <c r="I1700" s="62">
        <f>Ringkasan!I1674</f>
        <v>2.4</v>
      </c>
      <c r="J1700" s="62">
        <f>Ringkasan!J1674</f>
        <v>29.2</v>
      </c>
      <c r="K1700" s="62">
        <f>Ringkasan!K1674</f>
        <v>23.6</v>
      </c>
      <c r="L1700" s="62">
        <f>Ringkasan!L1674</f>
        <v>0.24</v>
      </c>
      <c r="M1700" s="62">
        <f>Ringkasan!M1674</f>
        <v>150</v>
      </c>
      <c r="N1700" s="62" t="str">
        <f>Ringkasan!N1674</f>
        <v/>
      </c>
      <c r="O1700" s="62" t="str">
        <f>Ringkasan!O1674</f>
        <v/>
      </c>
      <c r="P1700" s="62" t="str">
        <f>Ringkasan!P1674</f>
        <v/>
      </c>
      <c r="Q1700" s="62" t="str">
        <f>Ringkasan!Q1674</f>
        <v/>
      </c>
      <c r="R1700" s="62" t="str">
        <f>Ringkasan!R1674</f>
        <v/>
      </c>
      <c r="S1700" s="62" t="str">
        <f>Ringkasan!S1674</f>
        <v/>
      </c>
      <c r="T1700" s="62" t="str">
        <f>Ringkasan!T1674</f>
        <v/>
      </c>
      <c r="U1700" s="60">
        <f>Ringkasan!U1674</f>
        <v>1370</v>
      </c>
      <c r="V1700" s="60">
        <f>Ringkasan!V1674</f>
        <v>8.76</v>
      </c>
      <c r="W1700" s="60">
        <f>Ringkasan!W1674</f>
        <v>1380</v>
      </c>
      <c r="X1700" s="60">
        <f>Ringkasan!X1674</f>
        <v>1550</v>
      </c>
      <c r="Y1700" s="60">
        <f>Ringkasan!Y1674</f>
        <v>1380</v>
      </c>
      <c r="Z1700" s="60">
        <f>Ringkasan!Z1674</f>
        <v>23782600</v>
      </c>
      <c r="AA1700" s="60" t="str">
        <f>Ringkasan!AA1674</f>
        <v>Agricultural Products</v>
      </c>
      <c r="AB1700" s="60" t="str">
        <f>Ringkasan!AB1674</f>
        <v>Consumer Non-Cyclicals</v>
      </c>
    </row>
    <row r="1701">
      <c r="A1701" s="60" t="str">
        <f>Ringkasan!A1675</f>
        <v>TAPG</v>
      </c>
      <c r="B1701" s="60" t="str">
        <f>Ringkasan!B1675</f>
        <v>Triputra Agro Persada Tbk.</v>
      </c>
      <c r="C1701" s="61">
        <f>Ringkasan!C1675</f>
        <v>1490</v>
      </c>
      <c r="D1701" s="60" t="str">
        <f>Ringkasan!D1675</f>
        <v>#N/A</v>
      </c>
      <c r="E1701" s="60" t="str">
        <f>Ringkasan!E1675</f>
        <v>JII70</v>
      </c>
      <c r="F1701" s="63">
        <f>Ringkasan!F1675</f>
        <v>46356</v>
      </c>
      <c r="G1701" s="61">
        <f>Ringkasan!G1675</f>
        <v>12</v>
      </c>
      <c r="H1701" s="62">
        <f>Ringkasan!H1675</f>
        <v>8.3</v>
      </c>
      <c r="I1701" s="62">
        <f>Ringkasan!I1675</f>
        <v>2.4</v>
      </c>
      <c r="J1701" s="62">
        <f>Ringkasan!J1675</f>
        <v>29.2</v>
      </c>
      <c r="K1701" s="62">
        <f>Ringkasan!K1675</f>
        <v>23.6</v>
      </c>
      <c r="L1701" s="62">
        <f>Ringkasan!L1675</f>
        <v>0.24</v>
      </c>
      <c r="M1701" s="62">
        <f>Ringkasan!M1675</f>
        <v>150</v>
      </c>
      <c r="N1701" s="60" t="str">
        <f>Ringkasan!N1675</f>
        <v/>
      </c>
      <c r="O1701" s="60" t="str">
        <f>Ringkasan!O1675</f>
        <v/>
      </c>
      <c r="P1701" s="60" t="str">
        <f>Ringkasan!P1675</f>
        <v/>
      </c>
      <c r="Q1701" s="60" t="str">
        <f>Ringkasan!Q1675</f>
        <v/>
      </c>
      <c r="R1701" s="60" t="str">
        <f>Ringkasan!R1675</f>
        <v/>
      </c>
      <c r="S1701" s="60" t="str">
        <f>Ringkasan!S1675</f>
        <v/>
      </c>
      <c r="T1701" s="60" t="str">
        <f>Ringkasan!T1675</f>
        <v/>
      </c>
      <c r="U1701" s="60">
        <f>Ringkasan!U1675</f>
        <v>1370</v>
      </c>
      <c r="V1701" s="60">
        <f>Ringkasan!V1675</f>
        <v>8.76</v>
      </c>
      <c r="W1701" s="60">
        <f>Ringkasan!W1675</f>
        <v>1380</v>
      </c>
      <c r="X1701" s="60">
        <f>Ringkasan!X1675</f>
        <v>1550</v>
      </c>
      <c r="Y1701" s="60">
        <f>Ringkasan!Y1675</f>
        <v>1380</v>
      </c>
      <c r="Z1701" s="60">
        <f>Ringkasan!Z1675</f>
        <v>23782600</v>
      </c>
      <c r="AA1701" s="60" t="str">
        <f>Ringkasan!AA1675</f>
        <v>Agricultural Products</v>
      </c>
      <c r="AB1701" s="60" t="str">
        <f>Ringkasan!AB1675</f>
        <v>Consumer Non-Cyclicals</v>
      </c>
    </row>
    <row r="1702" hidden="1">
      <c r="A1702" s="60" t="str">
        <f>Ringkasan!A1676</f>
        <v>TARA</v>
      </c>
      <c r="B1702" s="60" t="str">
        <f>Ringkasan!B1676</f>
        <v>Agung Semesta Sejahtera Tbk.</v>
      </c>
      <c r="C1702" s="61">
        <f>Ringkasan!C1676</f>
        <v>29</v>
      </c>
      <c r="D1702" s="60" t="str">
        <f>Ringkasan!D1676</f>
        <v>#N/A</v>
      </c>
      <c r="E1702" s="60" t="str">
        <f>Ringkasan!E1676</f>
        <v/>
      </c>
      <c r="F1702" s="60" t="str">
        <f>Ringkasan!F1676</f>
        <v/>
      </c>
      <c r="G1702" s="60">
        <f>Ringkasan!G1676</f>
        <v>0</v>
      </c>
      <c r="H1702" s="62">
        <f>Ringkasan!H1676</f>
        <v>-64.8</v>
      </c>
      <c r="I1702" s="62">
        <f>Ringkasan!I1676</f>
        <v>0.29</v>
      </c>
      <c r="J1702" s="62">
        <f>Ringkasan!J1676</f>
        <v>-0.44</v>
      </c>
      <c r="K1702" s="62">
        <f>Ringkasan!K1676</f>
        <v>-0.43</v>
      </c>
      <c r="L1702" s="62">
        <f>Ringkasan!L1676</f>
        <v>0.04</v>
      </c>
      <c r="M1702" s="62">
        <f>Ringkasan!M1676</f>
        <v>-230</v>
      </c>
      <c r="N1702" s="60" t="str">
        <f>Ringkasan!N1676</f>
        <v/>
      </c>
      <c r="O1702" s="60" t="str">
        <f>Ringkasan!O1676</f>
        <v/>
      </c>
      <c r="P1702" s="60" t="str">
        <f>Ringkasan!P1676</f>
        <v/>
      </c>
      <c r="Q1702" s="60" t="str">
        <f>Ringkasan!Q1676</f>
        <v/>
      </c>
      <c r="R1702" s="60" t="str">
        <f>Ringkasan!R1676</f>
        <v/>
      </c>
      <c r="S1702" s="60" t="str">
        <f>Ringkasan!S1676</f>
        <v/>
      </c>
      <c r="T1702" s="60" t="str">
        <f>Ringkasan!T1676</f>
        <v/>
      </c>
      <c r="U1702" s="60">
        <f>Ringkasan!U1676</f>
        <v>3.65</v>
      </c>
      <c r="V1702" s="60">
        <f>Ringkasan!V1676</f>
        <v>6.85</v>
      </c>
      <c r="W1702" s="60">
        <f>Ringkasan!W1676</f>
        <v>3.66</v>
      </c>
      <c r="X1702" s="60">
        <f>Ringkasan!X1676</f>
        <v>3.94</v>
      </c>
      <c r="Y1702" s="60">
        <f>Ringkasan!Y1676</f>
        <v>3.65</v>
      </c>
      <c r="Z1702" s="60">
        <f>Ringkasan!Z1676</f>
        <v>524547</v>
      </c>
      <c r="AA1702" s="60" t="str">
        <f>Ringkasan!AA1676</f>
        <v>Real Estate Management &amp; Development</v>
      </c>
      <c r="AB1702" s="60" t="str">
        <f>Ringkasan!AB1676</f>
        <v>Properties &amp; Real Estate</v>
      </c>
    </row>
    <row r="1703" hidden="1">
      <c r="A1703" s="60" t="str">
        <f>Ringkasan!A1677</f>
        <v>TAXI</v>
      </c>
      <c r="B1703" s="60" t="str">
        <f>Ringkasan!B1677</f>
        <v>Express Transindo Utama Tbk</v>
      </c>
      <c r="C1703" s="61">
        <f>Ringkasan!C1677</f>
        <v>14</v>
      </c>
      <c r="D1703" s="60" t="str">
        <f>Ringkasan!D1677</f>
        <v>#N/A</v>
      </c>
      <c r="E1703" s="60" t="str">
        <f>Ringkasan!E1677</f>
        <v/>
      </c>
      <c r="F1703" s="60" t="str">
        <f>Ringkasan!F1677</f>
        <v/>
      </c>
      <c r="G1703" s="60">
        <f>Ringkasan!G1677</f>
        <v>0</v>
      </c>
      <c r="H1703" s="62">
        <f>Ringkasan!H1677</f>
        <v>-7.5</v>
      </c>
      <c r="I1703" s="62">
        <f>Ringkasan!I1677</f>
        <v>4.6</v>
      </c>
      <c r="J1703" s="62">
        <f>Ringkasan!J1677</f>
        <v>-61.9</v>
      </c>
      <c r="K1703" s="62">
        <f>Ringkasan!K1677</f>
        <v>-10.1</v>
      </c>
      <c r="L1703" s="62">
        <f>Ringkasan!L1677</f>
        <v>0.1</v>
      </c>
      <c r="M1703" s="62">
        <f>Ringkasan!M1677</f>
        <v>-1000</v>
      </c>
      <c r="N1703" s="60" t="str">
        <f>Ringkasan!N1677</f>
        <v/>
      </c>
      <c r="O1703" s="60" t="str">
        <f>Ringkasan!O1677</f>
        <v/>
      </c>
      <c r="P1703" s="60" t="str">
        <f>Ringkasan!P1677</f>
        <v/>
      </c>
      <c r="Q1703" s="60" t="str">
        <f>Ringkasan!Q1677</f>
        <v/>
      </c>
      <c r="R1703" s="60" t="str">
        <f>Ringkasan!R1677</f>
        <v/>
      </c>
      <c r="S1703" s="60" t="str">
        <f>Ringkasan!S1677</f>
        <v/>
      </c>
      <c r="T1703" s="60" t="str">
        <f>Ringkasan!T1677</f>
        <v/>
      </c>
      <c r="U1703" s="60">
        <f>Ringkasan!U1677</f>
        <v>51.21</v>
      </c>
      <c r="V1703" s="60">
        <f>Ringkasan!V1677</f>
        <v>-0.12</v>
      </c>
      <c r="W1703" s="60">
        <f>Ringkasan!W1677</f>
        <v>51.13</v>
      </c>
      <c r="X1703" s="60">
        <f>Ringkasan!X1677</f>
        <v>51.16</v>
      </c>
      <c r="Y1703" s="60">
        <f>Ringkasan!Y1677</f>
        <v>51.12</v>
      </c>
      <c r="Z1703" s="60">
        <f>Ringkasan!Z1677</f>
        <v>381</v>
      </c>
      <c r="AA1703" s="60" t="str">
        <f>Ringkasan!AA1677</f>
        <v>Passenger Land Transportation</v>
      </c>
      <c r="AB1703" s="60" t="str">
        <f>Ringkasan!AB1677</f>
        <v>Transportation &amp; Logistic</v>
      </c>
    </row>
    <row r="1704">
      <c r="A1704" s="60" t="str">
        <f>Ringkasan!A1699</f>
        <v>TINS</v>
      </c>
      <c r="B1704" s="60" t="str">
        <f>Ringkasan!B1699</f>
        <v>Timah Tbk.</v>
      </c>
      <c r="C1704" s="61">
        <f>Ringkasan!C1699</f>
        <v>3300</v>
      </c>
      <c r="D1704" s="60" t="str">
        <f>Ringkasan!D1699</f>
        <v>#N/A</v>
      </c>
      <c r="E1704" s="60" t="str">
        <f>Ringkasan!E1699</f>
        <v>JII70</v>
      </c>
      <c r="F1704" s="63">
        <f>Ringkasan!F1699</f>
        <v>46356</v>
      </c>
      <c r="G1704" s="61">
        <f>Ringkasan!G1699</f>
        <v>5</v>
      </c>
      <c r="H1704" s="62">
        <f>Ringkasan!H1699</f>
        <v>8.9</v>
      </c>
      <c r="I1704" s="62">
        <f>Ringkasan!I1699</f>
        <v>2.4</v>
      </c>
      <c r="J1704" s="62">
        <f>Ringkasan!J1699</f>
        <v>27.1</v>
      </c>
      <c r="K1704" s="62">
        <f>Ringkasan!K1699</f>
        <v>17.7</v>
      </c>
      <c r="L1704" s="62">
        <f>Ringkasan!L1699</f>
        <v>0.53</v>
      </c>
      <c r="M1704" s="62">
        <f>Ringkasan!M1699</f>
        <v>49.4</v>
      </c>
      <c r="N1704" s="60" t="str">
        <f>Ringkasan!N1699</f>
        <v/>
      </c>
      <c r="O1704" s="60" t="str">
        <f>Ringkasan!O1699</f>
        <v/>
      </c>
      <c r="P1704" s="60" t="str">
        <f>Ringkasan!P1699</f>
        <v/>
      </c>
      <c r="Q1704" s="60" t="str">
        <f>Ringkasan!Q1699</f>
        <v/>
      </c>
      <c r="R1704" s="60" t="str">
        <f>Ringkasan!R1699</f>
        <v/>
      </c>
      <c r="S1704" s="60" t="str">
        <f>Ringkasan!S1699</f>
        <v/>
      </c>
      <c r="T1704" s="60" t="str">
        <f>Ringkasan!T1699</f>
        <v/>
      </c>
      <c r="U1704" s="60">
        <f>Ringkasan!U1699</f>
        <v>26.65</v>
      </c>
      <c r="V1704" s="60">
        <f>Ringkasan!V1699</f>
        <v>10.23</v>
      </c>
      <c r="W1704" s="60" t="str">
        <f>Ringkasan!W1699</f>
        <v/>
      </c>
      <c r="X1704" s="60">
        <f>Ringkasan!X1699</f>
        <v>29.38</v>
      </c>
      <c r="Y1704" s="60">
        <f>Ringkasan!Y1699</f>
        <v>29.38</v>
      </c>
      <c r="Z1704" s="60">
        <f>Ringkasan!Z1699</f>
        <v>0</v>
      </c>
      <c r="AA1704" s="60" t="str">
        <f>Ringkasan!AA1699</f>
        <v>Metals &amp; Minerals</v>
      </c>
      <c r="AB1704" s="60" t="str">
        <f>Ringkasan!AB1699</f>
        <v>Basic Materials</v>
      </c>
    </row>
    <row r="1705" hidden="1">
      <c r="A1705" s="64" t="str">
        <f>Ringkasan!A1704</f>
        <v>TKIM</v>
      </c>
      <c r="B1705" s="64" t="str">
        <f>Ringkasan!B1704</f>
        <v>Pabrik Kertas Tjiwi Kimia Tbk.</v>
      </c>
      <c r="C1705" s="65">
        <f>Ringkasan!C1704</f>
        <v>5650</v>
      </c>
      <c r="D1705" s="64" t="str">
        <f>Ringkasan!D1704</f>
        <v>#N/A</v>
      </c>
      <c r="E1705" s="64" t="str">
        <f>Ringkasan!E1704</f>
        <v>ESGQKEHATI</v>
      </c>
      <c r="F1705" s="66">
        <f>Ringkasan!F1704</f>
        <v>46356</v>
      </c>
      <c r="G1705" s="65">
        <f>Ringkasan!G1704</f>
        <v>4</v>
      </c>
      <c r="H1705" s="19">
        <f>Ringkasan!H1704</f>
        <v>4</v>
      </c>
      <c r="I1705" s="19">
        <f>Ringkasan!I1704</f>
        <v>0.34</v>
      </c>
      <c r="J1705" s="19">
        <f>Ringkasan!J1704</f>
        <v>8.5</v>
      </c>
      <c r="K1705" s="19">
        <f>Ringkasan!K1704</f>
        <v>6.4</v>
      </c>
      <c r="L1705" s="19">
        <f>Ringkasan!L1704</f>
        <v>0.33</v>
      </c>
      <c r="M1705" s="19">
        <f>Ringkasan!M1704</f>
        <v>98.6</v>
      </c>
      <c r="N1705" s="64" t="str">
        <f>Ringkasan!N1704</f>
        <v/>
      </c>
      <c r="O1705" s="64" t="str">
        <f>Ringkasan!O1704</f>
        <v/>
      </c>
      <c r="P1705" s="64" t="str">
        <f>Ringkasan!P1704</f>
        <v/>
      </c>
      <c r="Q1705" s="64" t="str">
        <f>Ringkasan!Q1704</f>
        <v/>
      </c>
      <c r="R1705" s="64" t="str">
        <f>Ringkasan!R1704</f>
        <v/>
      </c>
      <c r="S1705" s="64" t="str">
        <f>Ringkasan!S1704</f>
        <v/>
      </c>
      <c r="T1705" s="64" t="str">
        <f>Ringkasan!T1704</f>
        <v/>
      </c>
      <c r="U1705" s="64">
        <f>Ringkasan!U1704</f>
        <v>5600</v>
      </c>
      <c r="V1705" s="64">
        <f>Ringkasan!V1704</f>
        <v>0.89</v>
      </c>
      <c r="W1705" s="64">
        <f>Ringkasan!W1704</f>
        <v>5650</v>
      </c>
      <c r="X1705" s="64">
        <f>Ringkasan!X1704</f>
        <v>5775</v>
      </c>
      <c r="Y1705" s="64">
        <f>Ringkasan!Y1704</f>
        <v>5600</v>
      </c>
      <c r="Z1705" s="64">
        <f>Ringkasan!Z1704</f>
        <v>2269800</v>
      </c>
      <c r="AA1705" s="64" t="str">
        <f>Ringkasan!AA1704</f>
        <v>Forestry &amp; Paper</v>
      </c>
      <c r="AB1705" s="64" t="str">
        <f>Ringkasan!AB1704</f>
        <v>Basic Materials</v>
      </c>
    </row>
    <row r="1706" hidden="1">
      <c r="A1706" s="60" t="str">
        <f>Ringkasan!A1705</f>
        <v>TKIM</v>
      </c>
      <c r="B1706" s="60" t="str">
        <f>Ringkasan!B1705</f>
        <v>Pabrik Kertas Tjiwi Kimia Tbk.</v>
      </c>
      <c r="C1706" s="61">
        <f>Ringkasan!C1705</f>
        <v>5650</v>
      </c>
      <c r="D1706" s="60" t="str">
        <f>Ringkasan!D1705</f>
        <v>#N/A</v>
      </c>
      <c r="E1706" s="60" t="str">
        <f>Ringkasan!E1705</f>
        <v>IDXSHAGROW</v>
      </c>
      <c r="F1706" s="63">
        <f>Ringkasan!F1705</f>
        <v>46356</v>
      </c>
      <c r="G1706" s="61">
        <f>Ringkasan!G1705</f>
        <v>4</v>
      </c>
      <c r="H1706" s="62">
        <f>Ringkasan!H1705</f>
        <v>4</v>
      </c>
      <c r="I1706" s="62">
        <f>Ringkasan!I1705</f>
        <v>0.34</v>
      </c>
      <c r="J1706" s="62">
        <f>Ringkasan!J1705</f>
        <v>8.5</v>
      </c>
      <c r="K1706" s="62">
        <f>Ringkasan!K1705</f>
        <v>6.4</v>
      </c>
      <c r="L1706" s="62">
        <f>Ringkasan!L1705</f>
        <v>0.33</v>
      </c>
      <c r="M1706" s="62">
        <f>Ringkasan!M1705</f>
        <v>98.6</v>
      </c>
      <c r="N1706" s="60" t="str">
        <f>Ringkasan!N1705</f>
        <v/>
      </c>
      <c r="O1706" s="60" t="str">
        <f>Ringkasan!O1705</f>
        <v/>
      </c>
      <c r="P1706" s="60" t="str">
        <f>Ringkasan!P1705</f>
        <v/>
      </c>
      <c r="Q1706" s="60" t="str">
        <f>Ringkasan!Q1705</f>
        <v/>
      </c>
      <c r="R1706" s="60" t="str">
        <f>Ringkasan!R1705</f>
        <v/>
      </c>
      <c r="S1706" s="60" t="str">
        <f>Ringkasan!S1705</f>
        <v/>
      </c>
      <c r="T1706" s="60" t="str">
        <f>Ringkasan!T1705</f>
        <v/>
      </c>
      <c r="U1706" s="60">
        <f>Ringkasan!U1705</f>
        <v>5600</v>
      </c>
      <c r="V1706" s="60">
        <f>Ringkasan!V1705</f>
        <v>0.89</v>
      </c>
      <c r="W1706" s="60">
        <f>Ringkasan!W1705</f>
        <v>5650</v>
      </c>
      <c r="X1706" s="60">
        <f>Ringkasan!X1705</f>
        <v>5775</v>
      </c>
      <c r="Y1706" s="60">
        <f>Ringkasan!Y1705</f>
        <v>5600</v>
      </c>
      <c r="Z1706" s="60">
        <f>Ringkasan!Z1705</f>
        <v>2269800</v>
      </c>
      <c r="AA1706" s="60" t="str">
        <f>Ringkasan!AA1705</f>
        <v>Forestry &amp; Paper</v>
      </c>
      <c r="AB1706" s="60" t="str">
        <f>Ringkasan!AB1705</f>
        <v>Basic Materials</v>
      </c>
    </row>
    <row r="1707" hidden="1">
      <c r="A1707" s="60" t="str">
        <f>Ringkasan!A1706</f>
        <v>TKIM</v>
      </c>
      <c r="B1707" s="60" t="str">
        <f>Ringkasan!B1706</f>
        <v>Pabrik Kertas Tjiwi Kimia Tbk.</v>
      </c>
      <c r="C1707" s="61">
        <f>Ringkasan!C1706</f>
        <v>5650</v>
      </c>
      <c r="D1707" s="60" t="str">
        <f>Ringkasan!D1706</f>
        <v>#N/A</v>
      </c>
      <c r="E1707" s="60" t="str">
        <f>Ringkasan!E1706</f>
        <v>ESGSKEHATI</v>
      </c>
      <c r="F1707" s="63">
        <f>Ringkasan!F1706</f>
        <v>46356</v>
      </c>
      <c r="G1707" s="61">
        <f>Ringkasan!G1706</f>
        <v>4</v>
      </c>
      <c r="H1707" s="62">
        <f>Ringkasan!H1706</f>
        <v>4</v>
      </c>
      <c r="I1707" s="62">
        <f>Ringkasan!I1706</f>
        <v>0.34</v>
      </c>
      <c r="J1707" s="62">
        <f>Ringkasan!J1706</f>
        <v>8.5</v>
      </c>
      <c r="K1707" s="62">
        <f>Ringkasan!K1706</f>
        <v>6.4</v>
      </c>
      <c r="L1707" s="62">
        <f>Ringkasan!L1706</f>
        <v>0.33</v>
      </c>
      <c r="M1707" s="62">
        <f>Ringkasan!M1706</f>
        <v>98.6</v>
      </c>
      <c r="N1707" s="60" t="str">
        <f>Ringkasan!N1706</f>
        <v/>
      </c>
      <c r="O1707" s="60" t="str">
        <f>Ringkasan!O1706</f>
        <v/>
      </c>
      <c r="P1707" s="60" t="str">
        <f>Ringkasan!P1706</f>
        <v/>
      </c>
      <c r="Q1707" s="60" t="str">
        <f>Ringkasan!Q1706</f>
        <v/>
      </c>
      <c r="R1707" s="60" t="str">
        <f>Ringkasan!R1706</f>
        <v/>
      </c>
      <c r="S1707" s="60" t="str">
        <f>Ringkasan!S1706</f>
        <v/>
      </c>
      <c r="T1707" s="60" t="str">
        <f>Ringkasan!T1706</f>
        <v/>
      </c>
      <c r="U1707" s="60">
        <f>Ringkasan!U1706</f>
        <v>5600</v>
      </c>
      <c r="V1707" s="60">
        <f>Ringkasan!V1706</f>
        <v>0.89</v>
      </c>
      <c r="W1707" s="60">
        <f>Ringkasan!W1706</f>
        <v>5650</v>
      </c>
      <c r="X1707" s="60">
        <f>Ringkasan!X1706</f>
        <v>5775</v>
      </c>
      <c r="Y1707" s="60">
        <f>Ringkasan!Y1706</f>
        <v>5600</v>
      </c>
      <c r="Z1707" s="60">
        <f>Ringkasan!Z1706</f>
        <v>2269800</v>
      </c>
      <c r="AA1707" s="60" t="str">
        <f>Ringkasan!AA1706</f>
        <v>Forestry &amp; Paper</v>
      </c>
      <c r="AB1707" s="60" t="str">
        <f>Ringkasan!AB1706</f>
        <v>Basic Materials</v>
      </c>
    </row>
    <row r="1708" hidden="1">
      <c r="A1708" s="60" t="str">
        <f>Ringkasan!A1707</f>
        <v>TKIM</v>
      </c>
      <c r="B1708" s="60" t="str">
        <f>Ringkasan!B1707</f>
        <v>Pabrik Kertas Tjiwi Kimia Tbk.</v>
      </c>
      <c r="C1708" s="61">
        <f>Ringkasan!C1707</f>
        <v>5650</v>
      </c>
      <c r="D1708" s="60" t="str">
        <f>Ringkasan!D1707</f>
        <v>#N/A</v>
      </c>
      <c r="E1708" s="60" t="str">
        <f>Ringkasan!E1707</f>
        <v>JII70</v>
      </c>
      <c r="F1708" s="63">
        <f>Ringkasan!F1707</f>
        <v>46356</v>
      </c>
      <c r="G1708" s="61">
        <f>Ringkasan!G1707</f>
        <v>4</v>
      </c>
      <c r="H1708" s="62">
        <f>Ringkasan!H1707</f>
        <v>4</v>
      </c>
      <c r="I1708" s="62">
        <f>Ringkasan!I1707</f>
        <v>0.34</v>
      </c>
      <c r="J1708" s="62">
        <f>Ringkasan!J1707</f>
        <v>8.5</v>
      </c>
      <c r="K1708" s="62">
        <f>Ringkasan!K1707</f>
        <v>6.4</v>
      </c>
      <c r="L1708" s="62">
        <f>Ringkasan!L1707</f>
        <v>0.33</v>
      </c>
      <c r="M1708" s="62">
        <f>Ringkasan!M1707</f>
        <v>98.6</v>
      </c>
      <c r="N1708" s="60" t="str">
        <f>Ringkasan!N1707</f>
        <v/>
      </c>
      <c r="O1708" s="60" t="str">
        <f>Ringkasan!O1707</f>
        <v/>
      </c>
      <c r="P1708" s="60" t="str">
        <f>Ringkasan!P1707</f>
        <v/>
      </c>
      <c r="Q1708" s="60" t="str">
        <f>Ringkasan!Q1707</f>
        <v/>
      </c>
      <c r="R1708" s="60" t="str">
        <f>Ringkasan!R1707</f>
        <v/>
      </c>
      <c r="S1708" s="60" t="str">
        <f>Ringkasan!S1707</f>
        <v/>
      </c>
      <c r="T1708" s="60" t="str">
        <f>Ringkasan!T1707</f>
        <v/>
      </c>
      <c r="U1708" s="60">
        <f>Ringkasan!U1707</f>
        <v>5600</v>
      </c>
      <c r="V1708" s="60">
        <f>Ringkasan!V1707</f>
        <v>0.89</v>
      </c>
      <c r="W1708" s="60">
        <f>Ringkasan!W1707</f>
        <v>5650</v>
      </c>
      <c r="X1708" s="60">
        <f>Ringkasan!X1707</f>
        <v>5775</v>
      </c>
      <c r="Y1708" s="60">
        <f>Ringkasan!Y1707</f>
        <v>5600</v>
      </c>
      <c r="Z1708" s="60">
        <f>Ringkasan!Z1707</f>
        <v>2269800</v>
      </c>
      <c r="AA1708" s="60" t="str">
        <f>Ringkasan!AA1707</f>
        <v>Forestry &amp; Paper</v>
      </c>
      <c r="AB1708" s="60" t="str">
        <f>Ringkasan!AB1707</f>
        <v>Basic Materials</v>
      </c>
    </row>
    <row r="1709" hidden="1">
      <c r="A1709" s="60" t="str">
        <f>Ringkasan!A1708</f>
        <v>TLDN</v>
      </c>
      <c r="B1709" s="60" t="str">
        <f>Ringkasan!B1708</f>
        <v>Teladan Prima Agro Tbk.</v>
      </c>
      <c r="C1709" s="61">
        <f>Ringkasan!C1708</f>
        <v>496</v>
      </c>
      <c r="D1709" s="60" t="str">
        <f>Ringkasan!D1708</f>
        <v>#N/A</v>
      </c>
      <c r="E1709" s="60" t="str">
        <f>Ringkasan!E1708</f>
        <v/>
      </c>
      <c r="F1709" s="60" t="str">
        <f>Ringkasan!F1708</f>
        <v/>
      </c>
      <c r="G1709" s="61">
        <f>Ringkasan!G1708</f>
        <v>0</v>
      </c>
      <c r="H1709" s="62">
        <f>Ringkasan!H1708</f>
        <v>6.5</v>
      </c>
      <c r="I1709" s="62">
        <f>Ringkasan!I1708</f>
        <v>1.8</v>
      </c>
      <c r="J1709" s="62">
        <f>Ringkasan!J1708</f>
        <v>28</v>
      </c>
      <c r="K1709" s="62">
        <f>Ringkasan!K1708</f>
        <v>17</v>
      </c>
      <c r="L1709" s="62">
        <f>Ringkasan!L1708</f>
        <v>0.64</v>
      </c>
      <c r="M1709" s="62">
        <f>Ringkasan!M1708</f>
        <v>78.2</v>
      </c>
      <c r="N1709" s="60" t="str">
        <f>Ringkasan!N1708</f>
        <v/>
      </c>
      <c r="O1709" s="60" t="str">
        <f>Ringkasan!O1708</f>
        <v/>
      </c>
      <c r="P1709" s="60" t="str">
        <f>Ringkasan!P1708</f>
        <v/>
      </c>
      <c r="Q1709" s="60" t="str">
        <f>Ringkasan!Q1708</f>
        <v/>
      </c>
      <c r="R1709" s="60" t="str">
        <f>Ringkasan!R1708</f>
        <v/>
      </c>
      <c r="S1709" s="60" t="str">
        <f>Ringkasan!S1708</f>
        <v/>
      </c>
      <c r="T1709" s="60" t="str">
        <f>Ringkasan!T1708</f>
        <v/>
      </c>
      <c r="U1709" s="60">
        <f>Ringkasan!U1708</f>
        <v>0</v>
      </c>
      <c r="V1709" s="60">
        <f>Ringkasan!V1708</f>
        <v>0</v>
      </c>
      <c r="W1709" s="60" t="str">
        <f>Ringkasan!W1708</f>
        <v/>
      </c>
      <c r="X1709" s="60" t="str">
        <f>Ringkasan!X1708</f>
        <v/>
      </c>
      <c r="Y1709" s="60" t="str">
        <f>Ringkasan!Y1708</f>
        <v/>
      </c>
      <c r="Z1709" s="60">
        <f>Ringkasan!Z1708</f>
        <v>0</v>
      </c>
      <c r="AA1709" s="60" t="str">
        <f>Ringkasan!AA1708</f>
        <v>Agricultural Products</v>
      </c>
      <c r="AB1709" s="60" t="str">
        <f>Ringkasan!AB1708</f>
        <v>Consumer Non-Cyclicals</v>
      </c>
    </row>
    <row r="1710" hidden="1">
      <c r="A1710" s="60" t="str">
        <f>Ringkasan!A1709</f>
        <v>TLKM</v>
      </c>
      <c r="B1710" s="60" t="str">
        <f>Ringkasan!B1709</f>
        <v>Telkom Indonesia (Persero) Tbk.</v>
      </c>
      <c r="C1710" s="61">
        <f>Ringkasan!C1709</f>
        <v>2860</v>
      </c>
      <c r="D1710" s="60" t="str">
        <f>Ringkasan!D1709</f>
        <v>#N/A</v>
      </c>
      <c r="E1710" s="60" t="str">
        <f>Ringkasan!E1709</f>
        <v>IDXMESBUMN</v>
      </c>
      <c r="F1710" s="63">
        <f>Ringkasan!F1709</f>
        <v>46356</v>
      </c>
      <c r="G1710" s="60">
        <f>Ringkasan!G1709</f>
        <v>19</v>
      </c>
      <c r="H1710" s="62">
        <f>Ringkasan!H1709</f>
        <v>10.1</v>
      </c>
      <c r="I1710" s="62">
        <f>Ringkasan!I1709</f>
        <v>1.9</v>
      </c>
      <c r="J1710" s="62">
        <f>Ringkasan!J1709</f>
        <v>19.1</v>
      </c>
      <c r="K1710" s="62">
        <f>Ringkasan!K1709</f>
        <v>4.7</v>
      </c>
      <c r="L1710" s="62">
        <f>Ringkasan!L1709</f>
        <v>0.86</v>
      </c>
      <c r="M1710" s="62">
        <f>Ringkasan!M1709</f>
        <v>20.3</v>
      </c>
      <c r="N1710" s="60" t="str">
        <f>Ringkasan!N1709</f>
        <v/>
      </c>
      <c r="O1710" s="60" t="str">
        <f>Ringkasan!O1709</f>
        <v/>
      </c>
      <c r="P1710" s="60" t="str">
        <f>Ringkasan!P1709</f>
        <v/>
      </c>
      <c r="Q1710" s="60" t="str">
        <f>Ringkasan!Q1709</f>
        <v/>
      </c>
      <c r="R1710" s="60" t="str">
        <f>Ringkasan!R1709</f>
        <v/>
      </c>
      <c r="S1710" s="60" t="str">
        <f>Ringkasan!S1709</f>
        <v/>
      </c>
      <c r="T1710" s="60" t="str">
        <f>Ringkasan!T1709</f>
        <v/>
      </c>
      <c r="U1710" s="60">
        <f>Ringkasan!U1709</f>
        <v>2870</v>
      </c>
      <c r="V1710" s="60">
        <f>Ringkasan!V1709</f>
        <v>-0.35</v>
      </c>
      <c r="W1710" s="60">
        <f>Ringkasan!W1709</f>
        <v>2910</v>
      </c>
      <c r="X1710" s="60">
        <f>Ringkasan!X1709</f>
        <v>2980</v>
      </c>
      <c r="Y1710" s="60">
        <f>Ringkasan!Y1709</f>
        <v>2860</v>
      </c>
      <c r="Z1710" s="60">
        <f>Ringkasan!Z1709</f>
        <v>181531900</v>
      </c>
      <c r="AA1710" s="60" t="str">
        <f>Ringkasan!AA1709</f>
        <v>Telecommunication Service</v>
      </c>
      <c r="AB1710" s="60" t="str">
        <f>Ringkasan!AB1709</f>
        <v>Infrastructures</v>
      </c>
    </row>
    <row r="1711" hidden="1">
      <c r="A1711" s="60" t="str">
        <f>Ringkasan!A1710</f>
        <v>TLKM</v>
      </c>
      <c r="B1711" s="60" t="str">
        <f>Ringkasan!B1710</f>
        <v>Telkom Indonesia (Persero) Tbk.</v>
      </c>
      <c r="C1711" s="61">
        <f>Ringkasan!C1710</f>
        <v>2860</v>
      </c>
      <c r="D1711" s="60" t="str">
        <f>Ringkasan!D1710</f>
        <v>#N/A</v>
      </c>
      <c r="E1711" s="60" t="str">
        <f>Ringkasan!E1710</f>
        <v>Investor33</v>
      </c>
      <c r="F1711" s="63">
        <f>Ringkasan!F1710</f>
        <v>46356</v>
      </c>
      <c r="G1711" s="60">
        <f>Ringkasan!G1710</f>
        <v>19</v>
      </c>
      <c r="H1711" s="62">
        <f>Ringkasan!H1710</f>
        <v>10.1</v>
      </c>
      <c r="I1711" s="62">
        <f>Ringkasan!I1710</f>
        <v>1.9</v>
      </c>
      <c r="J1711" s="62">
        <f>Ringkasan!J1710</f>
        <v>19.1</v>
      </c>
      <c r="K1711" s="62">
        <f>Ringkasan!K1710</f>
        <v>4.7</v>
      </c>
      <c r="L1711" s="62">
        <f>Ringkasan!L1710</f>
        <v>0.86</v>
      </c>
      <c r="M1711" s="62">
        <f>Ringkasan!M1710</f>
        <v>20.3</v>
      </c>
      <c r="N1711" s="60" t="str">
        <f>Ringkasan!N1710</f>
        <v/>
      </c>
      <c r="O1711" s="60" t="str">
        <f>Ringkasan!O1710</f>
        <v/>
      </c>
      <c r="P1711" s="60" t="str">
        <f>Ringkasan!P1710</f>
        <v/>
      </c>
      <c r="Q1711" s="60" t="str">
        <f>Ringkasan!Q1710</f>
        <v/>
      </c>
      <c r="R1711" s="60" t="str">
        <f>Ringkasan!R1710</f>
        <v/>
      </c>
      <c r="S1711" s="60" t="str">
        <f>Ringkasan!S1710</f>
        <v/>
      </c>
      <c r="T1711" s="60" t="str">
        <f>Ringkasan!T1710</f>
        <v/>
      </c>
      <c r="U1711" s="60">
        <f>Ringkasan!U1710</f>
        <v>2870</v>
      </c>
      <c r="V1711" s="60">
        <f>Ringkasan!V1710</f>
        <v>-0.35</v>
      </c>
      <c r="W1711" s="60">
        <f>Ringkasan!W1710</f>
        <v>2910</v>
      </c>
      <c r="X1711" s="60">
        <f>Ringkasan!X1710</f>
        <v>2980</v>
      </c>
      <c r="Y1711" s="60">
        <f>Ringkasan!Y1710</f>
        <v>2860</v>
      </c>
      <c r="Z1711" s="60">
        <f>Ringkasan!Z1710</f>
        <v>181531900</v>
      </c>
      <c r="AA1711" s="60" t="str">
        <f>Ringkasan!AA1710</f>
        <v>Telecommunication Service</v>
      </c>
      <c r="AB1711" s="60" t="str">
        <f>Ringkasan!AB1710</f>
        <v>Infrastructures</v>
      </c>
    </row>
    <row r="1712" hidden="1">
      <c r="A1712" s="60" t="str">
        <f>Ringkasan!A1711</f>
        <v>TLKM</v>
      </c>
      <c r="B1712" s="60" t="str">
        <f>Ringkasan!B1711</f>
        <v>Telkom Indonesia (Persero) Tbk.</v>
      </c>
      <c r="C1712" s="61">
        <f>Ringkasan!C1711</f>
        <v>2860</v>
      </c>
      <c r="D1712" s="60" t="str">
        <f>Ringkasan!D1711</f>
        <v>#N/A</v>
      </c>
      <c r="E1712" s="60" t="str">
        <f>Ringkasan!E1711</f>
        <v>JII30</v>
      </c>
      <c r="F1712" s="63">
        <f>Ringkasan!F1711</f>
        <v>46356</v>
      </c>
      <c r="G1712" s="60">
        <f>Ringkasan!G1711</f>
        <v>19</v>
      </c>
      <c r="H1712" s="62">
        <f>Ringkasan!H1711</f>
        <v>10.1</v>
      </c>
      <c r="I1712" s="62">
        <f>Ringkasan!I1711</f>
        <v>1.9</v>
      </c>
      <c r="J1712" s="62">
        <f>Ringkasan!J1711</f>
        <v>19.1</v>
      </c>
      <c r="K1712" s="62">
        <f>Ringkasan!K1711</f>
        <v>4.7</v>
      </c>
      <c r="L1712" s="62">
        <f>Ringkasan!L1711</f>
        <v>0.86</v>
      </c>
      <c r="M1712" s="62">
        <f>Ringkasan!M1711</f>
        <v>20.3</v>
      </c>
      <c r="N1712" s="60" t="str">
        <f>Ringkasan!N1711</f>
        <v/>
      </c>
      <c r="O1712" s="60" t="str">
        <f>Ringkasan!O1711</f>
        <v/>
      </c>
      <c r="P1712" s="60" t="str">
        <f>Ringkasan!P1711</f>
        <v/>
      </c>
      <c r="Q1712" s="60" t="str">
        <f>Ringkasan!Q1711</f>
        <v/>
      </c>
      <c r="R1712" s="60" t="str">
        <f>Ringkasan!R1711</f>
        <v/>
      </c>
      <c r="S1712" s="60" t="str">
        <f>Ringkasan!S1711</f>
        <v/>
      </c>
      <c r="T1712" s="60" t="str">
        <f>Ringkasan!T1711</f>
        <v/>
      </c>
      <c r="U1712" s="60">
        <f>Ringkasan!U1711</f>
        <v>2870</v>
      </c>
      <c r="V1712" s="60">
        <f>Ringkasan!V1711</f>
        <v>-0.35</v>
      </c>
      <c r="W1712" s="60">
        <f>Ringkasan!W1711</f>
        <v>2910</v>
      </c>
      <c r="X1712" s="60">
        <f>Ringkasan!X1711</f>
        <v>2980</v>
      </c>
      <c r="Y1712" s="60">
        <f>Ringkasan!Y1711</f>
        <v>2860</v>
      </c>
      <c r="Z1712" s="60">
        <f>Ringkasan!Z1711</f>
        <v>181531900</v>
      </c>
      <c r="AA1712" s="60" t="str">
        <f>Ringkasan!AA1711</f>
        <v>Telecommunication Service</v>
      </c>
      <c r="AB1712" s="60" t="str">
        <f>Ringkasan!AB1711</f>
        <v>Infrastructures</v>
      </c>
    </row>
    <row r="1713" hidden="1">
      <c r="A1713" s="60" t="str">
        <f>Ringkasan!A1712</f>
        <v>TLKM</v>
      </c>
      <c r="B1713" s="60" t="str">
        <f>Ringkasan!B1712</f>
        <v>Telkom Indonesia (Persero) Tbk.</v>
      </c>
      <c r="C1713" s="61">
        <f>Ringkasan!C1712</f>
        <v>2860</v>
      </c>
      <c r="D1713" s="60" t="str">
        <f>Ringkasan!D1712</f>
        <v>#N/A</v>
      </c>
      <c r="E1713" s="60" t="str">
        <f>Ringkasan!E1712</f>
        <v>FTSE Large Cap</v>
      </c>
      <c r="F1713" s="60" t="str">
        <f>Ringkasan!F1712</f>
        <v>Juni 2026</v>
      </c>
      <c r="G1713" s="60">
        <f>Ringkasan!G1712</f>
        <v>19</v>
      </c>
      <c r="H1713" s="62">
        <f>Ringkasan!H1712</f>
        <v>10.1</v>
      </c>
      <c r="I1713" s="62">
        <f>Ringkasan!I1712</f>
        <v>1.9</v>
      </c>
      <c r="J1713" s="62">
        <f>Ringkasan!J1712</f>
        <v>19.1</v>
      </c>
      <c r="K1713" s="62">
        <f>Ringkasan!K1712</f>
        <v>4.7</v>
      </c>
      <c r="L1713" s="62">
        <f>Ringkasan!L1712</f>
        <v>0.86</v>
      </c>
      <c r="M1713" s="62">
        <f>Ringkasan!M1712</f>
        <v>20.3</v>
      </c>
      <c r="N1713" s="60" t="str">
        <f>Ringkasan!N1712</f>
        <v/>
      </c>
      <c r="O1713" s="60" t="str">
        <f>Ringkasan!O1712</f>
        <v/>
      </c>
      <c r="P1713" s="60" t="str">
        <f>Ringkasan!P1712</f>
        <v/>
      </c>
      <c r="Q1713" s="60" t="str">
        <f>Ringkasan!Q1712</f>
        <v/>
      </c>
      <c r="R1713" s="60" t="str">
        <f>Ringkasan!R1712</f>
        <v/>
      </c>
      <c r="S1713" s="60" t="str">
        <f>Ringkasan!S1712</f>
        <v/>
      </c>
      <c r="T1713" s="60" t="str">
        <f>Ringkasan!T1712</f>
        <v/>
      </c>
      <c r="U1713" s="60">
        <f>Ringkasan!U1712</f>
        <v>2870</v>
      </c>
      <c r="V1713" s="60">
        <f>Ringkasan!V1712</f>
        <v>-0.35</v>
      </c>
      <c r="W1713" s="60">
        <f>Ringkasan!W1712</f>
        <v>2910</v>
      </c>
      <c r="X1713" s="60">
        <f>Ringkasan!X1712</f>
        <v>2980</v>
      </c>
      <c r="Y1713" s="60">
        <f>Ringkasan!Y1712</f>
        <v>2860</v>
      </c>
      <c r="Z1713" s="60">
        <f>Ringkasan!Z1712</f>
        <v>181531900</v>
      </c>
      <c r="AA1713" s="60" t="str">
        <f>Ringkasan!AA1712</f>
        <v>Telecommunication Service</v>
      </c>
      <c r="AB1713" s="60" t="str">
        <f>Ringkasan!AB1712</f>
        <v>Infrastructures</v>
      </c>
    </row>
    <row r="1714" hidden="1">
      <c r="A1714" s="60" t="str">
        <f>Ringkasan!A1713</f>
        <v>TLKM</v>
      </c>
      <c r="B1714" s="60" t="str">
        <f>Ringkasan!B1713</f>
        <v>Telkom Indonesia (Persero) Tbk.</v>
      </c>
      <c r="C1714" s="61">
        <f>Ringkasan!C1713</f>
        <v>2860</v>
      </c>
      <c r="D1714" s="60" t="str">
        <f>Ringkasan!D1713</f>
        <v>#N/A</v>
      </c>
      <c r="E1714" s="60" t="str">
        <f>Ringkasan!E1713</f>
        <v>MSCI Global Standard</v>
      </c>
      <c r="F1714" s="60" t="str">
        <f>Ringkasan!F1713</f>
        <v>12 Agustus 2026</v>
      </c>
      <c r="G1714" s="60">
        <f>Ringkasan!G1713</f>
        <v>19</v>
      </c>
      <c r="H1714" s="62">
        <f>Ringkasan!H1713</f>
        <v>10.1</v>
      </c>
      <c r="I1714" s="62">
        <f>Ringkasan!I1713</f>
        <v>1.9</v>
      </c>
      <c r="J1714" s="62">
        <f>Ringkasan!J1713</f>
        <v>19.1</v>
      </c>
      <c r="K1714" s="62">
        <f>Ringkasan!K1713</f>
        <v>4.7</v>
      </c>
      <c r="L1714" s="62">
        <f>Ringkasan!L1713</f>
        <v>0.86</v>
      </c>
      <c r="M1714" s="62">
        <f>Ringkasan!M1713</f>
        <v>20.3</v>
      </c>
      <c r="N1714" s="60" t="str">
        <f>Ringkasan!N1713</f>
        <v/>
      </c>
      <c r="O1714" s="60" t="str">
        <f>Ringkasan!O1713</f>
        <v/>
      </c>
      <c r="P1714" s="60" t="str">
        <f>Ringkasan!P1713</f>
        <v/>
      </c>
      <c r="Q1714" s="60" t="str">
        <f>Ringkasan!Q1713</f>
        <v/>
      </c>
      <c r="R1714" s="60" t="str">
        <f>Ringkasan!R1713</f>
        <v/>
      </c>
      <c r="S1714" s="60" t="str">
        <f>Ringkasan!S1713</f>
        <v/>
      </c>
      <c r="T1714" s="60" t="str">
        <f>Ringkasan!T1713</f>
        <v/>
      </c>
      <c r="U1714" s="60">
        <f>Ringkasan!U1713</f>
        <v>2870</v>
      </c>
      <c r="V1714" s="60">
        <f>Ringkasan!V1713</f>
        <v>-0.35</v>
      </c>
      <c r="W1714" s="60">
        <f>Ringkasan!W1713</f>
        <v>2910</v>
      </c>
      <c r="X1714" s="60">
        <f>Ringkasan!X1713</f>
        <v>2980</v>
      </c>
      <c r="Y1714" s="60">
        <f>Ringkasan!Y1713</f>
        <v>2860</v>
      </c>
      <c r="Z1714" s="60">
        <f>Ringkasan!Z1713</f>
        <v>181531900</v>
      </c>
      <c r="AA1714" s="60" t="str">
        <f>Ringkasan!AA1713</f>
        <v>Telecommunication Service</v>
      </c>
      <c r="AB1714" s="60" t="str">
        <f>Ringkasan!AB1713</f>
        <v>Infrastructures</v>
      </c>
    </row>
    <row r="1715" hidden="1">
      <c r="A1715" s="60" t="str">
        <f>Ringkasan!A1714</f>
        <v>TLKM</v>
      </c>
      <c r="B1715" s="60" t="str">
        <f>Ringkasan!B1714</f>
        <v>Telkom Indonesia (Persero) Tbk.</v>
      </c>
      <c r="C1715" s="61">
        <f>Ringkasan!C1714</f>
        <v>2860</v>
      </c>
      <c r="D1715" s="60" t="str">
        <f>Ringkasan!D1714</f>
        <v>#N/A</v>
      </c>
      <c r="E1715" s="60" t="str">
        <f>Ringkasan!E1714</f>
        <v>IDXQ30</v>
      </c>
      <c r="F1715" s="60" t="str">
        <f>Ringkasan!F1714</f>
        <v>4 Agustus 2026</v>
      </c>
      <c r="G1715" s="60">
        <f>Ringkasan!G1714</f>
        <v>19</v>
      </c>
      <c r="H1715" s="62">
        <f>Ringkasan!H1714</f>
        <v>10.1</v>
      </c>
      <c r="I1715" s="62">
        <f>Ringkasan!I1714</f>
        <v>1.9</v>
      </c>
      <c r="J1715" s="62">
        <f>Ringkasan!J1714</f>
        <v>19.1</v>
      </c>
      <c r="K1715" s="62">
        <f>Ringkasan!K1714</f>
        <v>4.7</v>
      </c>
      <c r="L1715" s="62">
        <f>Ringkasan!L1714</f>
        <v>0.86</v>
      </c>
      <c r="M1715" s="62">
        <f>Ringkasan!M1714</f>
        <v>20.3</v>
      </c>
      <c r="N1715" s="60" t="str">
        <f>Ringkasan!N1714</f>
        <v/>
      </c>
      <c r="O1715" s="60" t="str">
        <f>Ringkasan!O1714</f>
        <v/>
      </c>
      <c r="P1715" s="60" t="str">
        <f>Ringkasan!P1714</f>
        <v/>
      </c>
      <c r="Q1715" s="60" t="str">
        <f>Ringkasan!Q1714</f>
        <v/>
      </c>
      <c r="R1715" s="60" t="str">
        <f>Ringkasan!R1714</f>
        <v/>
      </c>
      <c r="S1715" s="60" t="str">
        <f>Ringkasan!S1714</f>
        <v/>
      </c>
      <c r="T1715" s="60" t="str">
        <f>Ringkasan!T1714</f>
        <v/>
      </c>
      <c r="U1715" s="60">
        <f>Ringkasan!U1714</f>
        <v>2870</v>
      </c>
      <c r="V1715" s="60">
        <f>Ringkasan!V1714</f>
        <v>-0.35</v>
      </c>
      <c r="W1715" s="60">
        <f>Ringkasan!W1714</f>
        <v>2910</v>
      </c>
      <c r="X1715" s="60">
        <f>Ringkasan!X1714</f>
        <v>2980</v>
      </c>
      <c r="Y1715" s="60">
        <f>Ringkasan!Y1714</f>
        <v>2860</v>
      </c>
      <c r="Z1715" s="60">
        <f>Ringkasan!Z1714</f>
        <v>181531900</v>
      </c>
      <c r="AA1715" s="60" t="str">
        <f>Ringkasan!AA1714</f>
        <v>Telecommunication Service</v>
      </c>
      <c r="AB1715" s="60" t="str">
        <f>Ringkasan!AB1714</f>
        <v>Infrastructures</v>
      </c>
    </row>
    <row r="1716" hidden="1">
      <c r="A1716" s="60" t="str">
        <f>Ringkasan!A1715</f>
        <v>TLKM</v>
      </c>
      <c r="B1716" s="60" t="str">
        <f>Ringkasan!B1715</f>
        <v>Telkom Indonesia (Persero) Tbk.</v>
      </c>
      <c r="C1716" s="61">
        <f>Ringkasan!C1715</f>
        <v>2860</v>
      </c>
      <c r="D1716" s="60" t="str">
        <f>Ringkasan!D1715</f>
        <v>#N/A</v>
      </c>
      <c r="E1716" s="60" t="str">
        <f>Ringkasan!E1715</f>
        <v>IDXG30</v>
      </c>
      <c r="F1716" s="60" t="str">
        <f>Ringkasan!F1715</f>
        <v>4 Agustus 2026</v>
      </c>
      <c r="G1716" s="60">
        <f>Ringkasan!G1715</f>
        <v>19</v>
      </c>
      <c r="H1716" s="62">
        <f>Ringkasan!H1715</f>
        <v>10.1</v>
      </c>
      <c r="I1716" s="62">
        <f>Ringkasan!I1715</f>
        <v>1.9</v>
      </c>
      <c r="J1716" s="62">
        <f>Ringkasan!J1715</f>
        <v>19.1</v>
      </c>
      <c r="K1716" s="62">
        <f>Ringkasan!K1715</f>
        <v>4.7</v>
      </c>
      <c r="L1716" s="62">
        <f>Ringkasan!L1715</f>
        <v>0.86</v>
      </c>
      <c r="M1716" s="62">
        <f>Ringkasan!M1715</f>
        <v>20.3</v>
      </c>
      <c r="N1716" s="60" t="str">
        <f>Ringkasan!N1715</f>
        <v/>
      </c>
      <c r="O1716" s="60" t="str">
        <f>Ringkasan!O1715</f>
        <v/>
      </c>
      <c r="P1716" s="60" t="str">
        <f>Ringkasan!P1715</f>
        <v/>
      </c>
      <c r="Q1716" s="60" t="str">
        <f>Ringkasan!Q1715</f>
        <v/>
      </c>
      <c r="R1716" s="60" t="str">
        <f>Ringkasan!R1715</f>
        <v/>
      </c>
      <c r="S1716" s="60" t="str">
        <f>Ringkasan!S1715</f>
        <v/>
      </c>
      <c r="T1716" s="60" t="str">
        <f>Ringkasan!T1715</f>
        <v/>
      </c>
      <c r="U1716" s="60">
        <f>Ringkasan!U1715</f>
        <v>2870</v>
      </c>
      <c r="V1716" s="60">
        <f>Ringkasan!V1715</f>
        <v>-0.35</v>
      </c>
      <c r="W1716" s="60">
        <f>Ringkasan!W1715</f>
        <v>2910</v>
      </c>
      <c r="X1716" s="60">
        <f>Ringkasan!X1715</f>
        <v>2980</v>
      </c>
      <c r="Y1716" s="60">
        <f>Ringkasan!Y1715</f>
        <v>2860</v>
      </c>
      <c r="Z1716" s="60">
        <f>Ringkasan!Z1715</f>
        <v>181531900</v>
      </c>
      <c r="AA1716" s="60" t="str">
        <f>Ringkasan!AA1715</f>
        <v>Telecommunication Service</v>
      </c>
      <c r="AB1716" s="60" t="str">
        <f>Ringkasan!AB1715</f>
        <v>Infrastructures</v>
      </c>
    </row>
    <row r="1717" hidden="1">
      <c r="A1717" s="60" t="str">
        <f>Ringkasan!A1716</f>
        <v>TLKM</v>
      </c>
      <c r="B1717" s="60" t="str">
        <f>Ringkasan!B1716</f>
        <v>Telkom Indonesia (Persero) Tbk.</v>
      </c>
      <c r="C1717" s="61">
        <f>Ringkasan!C1716</f>
        <v>2860</v>
      </c>
      <c r="D1717" s="60" t="str">
        <f>Ringkasan!D1716</f>
        <v>#N/A</v>
      </c>
      <c r="E1717" s="60" t="str">
        <f>Ringkasan!E1716</f>
        <v>Pefindo - iGrade</v>
      </c>
      <c r="F1717" s="60" t="str">
        <f>Ringkasan!F1716</f>
        <v>30 Juni 2026</v>
      </c>
      <c r="G1717" s="60">
        <f>Ringkasan!G1716</f>
        <v>19</v>
      </c>
      <c r="H1717" s="62">
        <f>Ringkasan!H1716</f>
        <v>10.1</v>
      </c>
      <c r="I1717" s="62">
        <f>Ringkasan!I1716</f>
        <v>1.9</v>
      </c>
      <c r="J1717" s="62">
        <f>Ringkasan!J1716</f>
        <v>19.1</v>
      </c>
      <c r="K1717" s="62">
        <f>Ringkasan!K1716</f>
        <v>4.7</v>
      </c>
      <c r="L1717" s="62">
        <f>Ringkasan!L1716</f>
        <v>0.86</v>
      </c>
      <c r="M1717" s="62">
        <f>Ringkasan!M1716</f>
        <v>20.3</v>
      </c>
      <c r="N1717" s="60" t="str">
        <f>Ringkasan!N1716</f>
        <v/>
      </c>
      <c r="O1717" s="60" t="str">
        <f>Ringkasan!O1716</f>
        <v/>
      </c>
      <c r="P1717" s="60" t="str">
        <f>Ringkasan!P1716</f>
        <v/>
      </c>
      <c r="Q1717" s="60" t="str">
        <f>Ringkasan!Q1716</f>
        <v/>
      </c>
      <c r="R1717" s="60" t="str">
        <f>Ringkasan!R1716</f>
        <v/>
      </c>
      <c r="S1717" s="60" t="str">
        <f>Ringkasan!S1716</f>
        <v/>
      </c>
      <c r="T1717" s="60" t="str">
        <f>Ringkasan!T1716</f>
        <v/>
      </c>
      <c r="U1717" s="60">
        <f>Ringkasan!U1716</f>
        <v>2870</v>
      </c>
      <c r="V1717" s="60">
        <f>Ringkasan!V1716</f>
        <v>-0.35</v>
      </c>
      <c r="W1717" s="60">
        <f>Ringkasan!W1716</f>
        <v>2910</v>
      </c>
      <c r="X1717" s="60">
        <f>Ringkasan!X1716</f>
        <v>2980</v>
      </c>
      <c r="Y1717" s="60">
        <f>Ringkasan!Y1716</f>
        <v>2860</v>
      </c>
      <c r="Z1717" s="60">
        <f>Ringkasan!Z1716</f>
        <v>181531900</v>
      </c>
      <c r="AA1717" s="60" t="str">
        <f>Ringkasan!AA1716</f>
        <v>Telecommunication Service</v>
      </c>
      <c r="AB1717" s="60" t="str">
        <f>Ringkasan!AB1716</f>
        <v>Infrastructures</v>
      </c>
    </row>
    <row r="1718" hidden="1">
      <c r="A1718" s="60" t="str">
        <f>Ringkasan!A1717</f>
        <v>TLKM</v>
      </c>
      <c r="B1718" s="60" t="str">
        <f>Ringkasan!B1717</f>
        <v>Telkom Indonesia (Persero) Tbk.</v>
      </c>
      <c r="C1718" s="61">
        <f>Ringkasan!C1717</f>
        <v>2860</v>
      </c>
      <c r="D1718" s="60" t="str">
        <f>Ringkasan!D1717</f>
        <v>#N/A</v>
      </c>
      <c r="E1718" s="60" t="str">
        <f>Ringkasan!E1717</f>
        <v>LQ45</v>
      </c>
      <c r="F1718" s="60" t="str">
        <f>Ringkasan!F1717</f>
        <v>31 Juli 2026</v>
      </c>
      <c r="G1718" s="60">
        <f>Ringkasan!G1717</f>
        <v>19</v>
      </c>
      <c r="H1718" s="62">
        <f>Ringkasan!H1717</f>
        <v>10.1</v>
      </c>
      <c r="I1718" s="62">
        <f>Ringkasan!I1717</f>
        <v>1.9</v>
      </c>
      <c r="J1718" s="62">
        <f>Ringkasan!J1717</f>
        <v>19.1</v>
      </c>
      <c r="K1718" s="62">
        <f>Ringkasan!K1717</f>
        <v>4.7</v>
      </c>
      <c r="L1718" s="62">
        <f>Ringkasan!L1717</f>
        <v>0.86</v>
      </c>
      <c r="M1718" s="62">
        <f>Ringkasan!M1717</f>
        <v>20.3</v>
      </c>
      <c r="N1718" s="60" t="str">
        <f>Ringkasan!N1717</f>
        <v/>
      </c>
      <c r="O1718" s="60" t="str">
        <f>Ringkasan!O1717</f>
        <v/>
      </c>
      <c r="P1718" s="60" t="str">
        <f>Ringkasan!P1717</f>
        <v/>
      </c>
      <c r="Q1718" s="60" t="str">
        <f>Ringkasan!Q1717</f>
        <v/>
      </c>
      <c r="R1718" s="60" t="str">
        <f>Ringkasan!R1717</f>
        <v/>
      </c>
      <c r="S1718" s="60" t="str">
        <f>Ringkasan!S1717</f>
        <v/>
      </c>
      <c r="T1718" s="60" t="str">
        <f>Ringkasan!T1717</f>
        <v/>
      </c>
      <c r="U1718" s="60">
        <f>Ringkasan!U1717</f>
        <v>2870</v>
      </c>
      <c r="V1718" s="60">
        <f>Ringkasan!V1717</f>
        <v>-0.35</v>
      </c>
      <c r="W1718" s="60">
        <f>Ringkasan!W1717</f>
        <v>2910</v>
      </c>
      <c r="X1718" s="60">
        <f>Ringkasan!X1717</f>
        <v>2980</v>
      </c>
      <c r="Y1718" s="60">
        <f>Ringkasan!Y1717</f>
        <v>2860</v>
      </c>
      <c r="Z1718" s="60">
        <f>Ringkasan!Z1717</f>
        <v>181531900</v>
      </c>
      <c r="AA1718" s="60" t="str">
        <f>Ringkasan!AA1717</f>
        <v>Telecommunication Service</v>
      </c>
      <c r="AB1718" s="60" t="str">
        <f>Ringkasan!AB1717</f>
        <v>Infrastructures</v>
      </c>
    </row>
    <row r="1719" hidden="1">
      <c r="A1719" s="60" t="str">
        <f>Ringkasan!A1718</f>
        <v>TLKM</v>
      </c>
      <c r="B1719" s="60" t="str">
        <f>Ringkasan!B1718</f>
        <v>Telkom Indonesia (Persero) Tbk.</v>
      </c>
      <c r="C1719" s="61">
        <f>Ringkasan!C1718</f>
        <v>2860</v>
      </c>
      <c r="D1719" s="60" t="str">
        <f>Ringkasan!D1718</f>
        <v>#N/A</v>
      </c>
      <c r="E1719" s="60" t="str">
        <f>Ringkasan!E1718</f>
        <v>MNC36</v>
      </c>
      <c r="F1719" s="60" t="str">
        <f>Ringkasan!F1718</f>
        <v>30 Oktober 2026</v>
      </c>
      <c r="G1719" s="60">
        <f>Ringkasan!G1718</f>
        <v>19</v>
      </c>
      <c r="H1719" s="62">
        <f>Ringkasan!H1718</f>
        <v>10.1</v>
      </c>
      <c r="I1719" s="62">
        <f>Ringkasan!I1718</f>
        <v>1.9</v>
      </c>
      <c r="J1719" s="62">
        <f>Ringkasan!J1718</f>
        <v>19.1</v>
      </c>
      <c r="K1719" s="62">
        <f>Ringkasan!K1718</f>
        <v>4.7</v>
      </c>
      <c r="L1719" s="62">
        <f>Ringkasan!L1718</f>
        <v>0.86</v>
      </c>
      <c r="M1719" s="62">
        <f>Ringkasan!M1718</f>
        <v>20.3</v>
      </c>
      <c r="N1719" s="60" t="str">
        <f>Ringkasan!N1718</f>
        <v/>
      </c>
      <c r="O1719" s="60" t="str">
        <f>Ringkasan!O1718</f>
        <v/>
      </c>
      <c r="P1719" s="60" t="str">
        <f>Ringkasan!P1718</f>
        <v/>
      </c>
      <c r="Q1719" s="60" t="str">
        <f>Ringkasan!Q1718</f>
        <v/>
      </c>
      <c r="R1719" s="60" t="str">
        <f>Ringkasan!R1718</f>
        <v/>
      </c>
      <c r="S1719" s="60" t="str">
        <f>Ringkasan!S1718</f>
        <v/>
      </c>
      <c r="T1719" s="60" t="str">
        <f>Ringkasan!T1718</f>
        <v/>
      </c>
      <c r="U1719" s="60">
        <f>Ringkasan!U1718</f>
        <v>2870</v>
      </c>
      <c r="V1719" s="60">
        <f>Ringkasan!V1718</f>
        <v>-0.35</v>
      </c>
      <c r="W1719" s="60">
        <f>Ringkasan!W1718</f>
        <v>2910</v>
      </c>
      <c r="X1719" s="60">
        <f>Ringkasan!X1718</f>
        <v>2980</v>
      </c>
      <c r="Y1719" s="60">
        <f>Ringkasan!Y1718</f>
        <v>2860</v>
      </c>
      <c r="Z1719" s="60">
        <f>Ringkasan!Z1718</f>
        <v>181531900</v>
      </c>
      <c r="AA1719" s="60" t="str">
        <f>Ringkasan!AA1718</f>
        <v>Telecommunication Service</v>
      </c>
      <c r="AB1719" s="60" t="str">
        <f>Ringkasan!AB1718</f>
        <v>Infrastructures</v>
      </c>
    </row>
    <row r="1720" hidden="1">
      <c r="A1720" s="60" t="str">
        <f>Ringkasan!A1723</f>
        <v>TLKM</v>
      </c>
      <c r="B1720" s="60" t="str">
        <f>Ringkasan!B1723</f>
        <v>Telkom Indonesia (Persero) Tbk.</v>
      </c>
      <c r="C1720" s="61">
        <f>Ringkasan!C1723</f>
        <v>2860</v>
      </c>
      <c r="D1720" s="60" t="str">
        <f>Ringkasan!D1723</f>
        <v>#N/A</v>
      </c>
      <c r="E1720" s="60" t="str">
        <f>Ringkasan!E1723</f>
        <v>IDX30</v>
      </c>
      <c r="F1720" s="60" t="str">
        <f>Ringkasan!F1723</f>
        <v>31 Juli 2026</v>
      </c>
      <c r="G1720" s="60">
        <f>Ringkasan!G1723</f>
        <v>19</v>
      </c>
      <c r="H1720" s="62">
        <f>Ringkasan!H1723</f>
        <v>10.1</v>
      </c>
      <c r="I1720" s="62">
        <f>Ringkasan!I1723</f>
        <v>1.9</v>
      </c>
      <c r="J1720" s="62">
        <f>Ringkasan!J1723</f>
        <v>19.1</v>
      </c>
      <c r="K1720" s="62">
        <f>Ringkasan!K1723</f>
        <v>4.7</v>
      </c>
      <c r="L1720" s="62">
        <f>Ringkasan!L1723</f>
        <v>0.86</v>
      </c>
      <c r="M1720" s="62">
        <f>Ringkasan!M1723</f>
        <v>20.3</v>
      </c>
      <c r="N1720" s="60" t="str">
        <f>Ringkasan!N1723</f>
        <v/>
      </c>
      <c r="O1720" s="60" t="str">
        <f>Ringkasan!O1723</f>
        <v/>
      </c>
      <c r="P1720" s="60" t="str">
        <f>Ringkasan!P1723</f>
        <v/>
      </c>
      <c r="Q1720" s="60" t="str">
        <f>Ringkasan!Q1723</f>
        <v/>
      </c>
      <c r="R1720" s="60" t="str">
        <f>Ringkasan!R1723</f>
        <v/>
      </c>
      <c r="S1720" s="60" t="str">
        <f>Ringkasan!S1723</f>
        <v/>
      </c>
      <c r="T1720" s="60" t="str">
        <f>Ringkasan!T1723</f>
        <v/>
      </c>
      <c r="U1720" s="60">
        <f>Ringkasan!U1723</f>
        <v>2870</v>
      </c>
      <c r="V1720" s="60">
        <f>Ringkasan!V1723</f>
        <v>-0.35</v>
      </c>
      <c r="W1720" s="60">
        <f>Ringkasan!W1723</f>
        <v>2910</v>
      </c>
      <c r="X1720" s="60">
        <f>Ringkasan!X1723</f>
        <v>2980</v>
      </c>
      <c r="Y1720" s="60">
        <f>Ringkasan!Y1723</f>
        <v>2860</v>
      </c>
      <c r="Z1720" s="60">
        <f>Ringkasan!Z1723</f>
        <v>181531900</v>
      </c>
      <c r="AA1720" s="60" t="str">
        <f>Ringkasan!AA1723</f>
        <v>Telecommunication Service</v>
      </c>
      <c r="AB1720" s="60" t="str">
        <f>Ringkasan!AB1723</f>
        <v>Infrastructures</v>
      </c>
    </row>
    <row r="1721" hidden="1">
      <c r="A1721" s="60" t="str">
        <f>Ringkasan!A1724</f>
        <v>TLKM</v>
      </c>
      <c r="B1721" s="60" t="str">
        <f>Ringkasan!B1724</f>
        <v>Telkom Indonesia (Persero) Tbk.</v>
      </c>
      <c r="C1721" s="61">
        <f>Ringkasan!C1724</f>
        <v>2860</v>
      </c>
      <c r="D1721" s="60" t="str">
        <f>Ringkasan!D1724</f>
        <v>#N/A</v>
      </c>
      <c r="E1721" s="60" t="str">
        <f>Ringkasan!E1724</f>
        <v>BISNIS-27</v>
      </c>
      <c r="F1721" s="60" t="str">
        <f>Ringkasan!F1724</f>
        <v>30 Oktober 2026</v>
      </c>
      <c r="G1721" s="60">
        <f>Ringkasan!G1724</f>
        <v>19</v>
      </c>
      <c r="H1721" s="62">
        <f>Ringkasan!H1724</f>
        <v>10.1</v>
      </c>
      <c r="I1721" s="62">
        <f>Ringkasan!I1724</f>
        <v>1.9</v>
      </c>
      <c r="J1721" s="62">
        <f>Ringkasan!J1724</f>
        <v>19.1</v>
      </c>
      <c r="K1721" s="62">
        <f>Ringkasan!K1724</f>
        <v>4.7</v>
      </c>
      <c r="L1721" s="62">
        <f>Ringkasan!L1724</f>
        <v>0.86</v>
      </c>
      <c r="M1721" s="62">
        <f>Ringkasan!M1724</f>
        <v>20.3</v>
      </c>
      <c r="N1721" s="60" t="str">
        <f>Ringkasan!N1724</f>
        <v/>
      </c>
      <c r="O1721" s="60" t="str">
        <f>Ringkasan!O1724</f>
        <v/>
      </c>
      <c r="P1721" s="60" t="str">
        <f>Ringkasan!P1724</f>
        <v/>
      </c>
      <c r="Q1721" s="60" t="str">
        <f>Ringkasan!Q1724</f>
        <v/>
      </c>
      <c r="R1721" s="60" t="str">
        <f>Ringkasan!R1724</f>
        <v/>
      </c>
      <c r="S1721" s="60" t="str">
        <f>Ringkasan!S1724</f>
        <v/>
      </c>
      <c r="T1721" s="60" t="str">
        <f>Ringkasan!T1724</f>
        <v/>
      </c>
      <c r="U1721" s="60">
        <f>Ringkasan!U1724</f>
        <v>2870</v>
      </c>
      <c r="V1721" s="60">
        <f>Ringkasan!V1724</f>
        <v>-0.35</v>
      </c>
      <c r="W1721" s="60">
        <f>Ringkasan!W1724</f>
        <v>2910</v>
      </c>
      <c r="X1721" s="60">
        <f>Ringkasan!X1724</f>
        <v>2980</v>
      </c>
      <c r="Y1721" s="60">
        <f>Ringkasan!Y1724</f>
        <v>2860</v>
      </c>
      <c r="Z1721" s="60">
        <f>Ringkasan!Z1724</f>
        <v>181531900</v>
      </c>
      <c r="AA1721" s="60" t="str">
        <f>Ringkasan!AA1724</f>
        <v>Telecommunication Service</v>
      </c>
      <c r="AB1721" s="60" t="str">
        <f>Ringkasan!AB1724</f>
        <v>Infrastructures</v>
      </c>
    </row>
    <row r="1722" hidden="1">
      <c r="A1722" s="60" t="str">
        <f>Ringkasan!A1725</f>
        <v>TLKM</v>
      </c>
      <c r="B1722" s="60" t="str">
        <f>Ringkasan!B1725</f>
        <v>Telkom Indonesia (Persero) Tbk.</v>
      </c>
      <c r="C1722" s="61">
        <f>Ringkasan!C1725</f>
        <v>2860</v>
      </c>
      <c r="D1722" s="60" t="str">
        <f>Ringkasan!D1725</f>
        <v>#N/A</v>
      </c>
      <c r="E1722" s="60" t="str">
        <f>Ringkasan!E1725</f>
        <v>SMINFRA18</v>
      </c>
      <c r="F1722" s="60" t="str">
        <f>Ringkasan!F1725</f>
        <v>30 Oktober 2026</v>
      </c>
      <c r="G1722" s="60">
        <f>Ringkasan!G1725</f>
        <v>19</v>
      </c>
      <c r="H1722" s="62">
        <f>Ringkasan!H1725</f>
        <v>10.1</v>
      </c>
      <c r="I1722" s="62">
        <f>Ringkasan!I1725</f>
        <v>1.9</v>
      </c>
      <c r="J1722" s="62">
        <f>Ringkasan!J1725</f>
        <v>19.1</v>
      </c>
      <c r="K1722" s="62">
        <f>Ringkasan!K1725</f>
        <v>4.7</v>
      </c>
      <c r="L1722" s="62">
        <f>Ringkasan!L1725</f>
        <v>0.86</v>
      </c>
      <c r="M1722" s="62">
        <f>Ringkasan!M1725</f>
        <v>20.3</v>
      </c>
      <c r="N1722" s="60" t="str">
        <f>Ringkasan!N1725</f>
        <v/>
      </c>
      <c r="O1722" s="60" t="str">
        <f>Ringkasan!O1725</f>
        <v/>
      </c>
      <c r="P1722" s="60" t="str">
        <f>Ringkasan!P1725</f>
        <v/>
      </c>
      <c r="Q1722" s="60" t="str">
        <f>Ringkasan!Q1725</f>
        <v/>
      </c>
      <c r="R1722" s="60" t="str">
        <f>Ringkasan!R1725</f>
        <v/>
      </c>
      <c r="S1722" s="60" t="str">
        <f>Ringkasan!S1725</f>
        <v/>
      </c>
      <c r="T1722" s="60" t="str">
        <f>Ringkasan!T1725</f>
        <v/>
      </c>
      <c r="U1722" s="60">
        <f>Ringkasan!U1725</f>
        <v>2870</v>
      </c>
      <c r="V1722" s="60">
        <f>Ringkasan!V1725</f>
        <v>-0.35</v>
      </c>
      <c r="W1722" s="60">
        <f>Ringkasan!W1725</f>
        <v>2910</v>
      </c>
      <c r="X1722" s="60">
        <f>Ringkasan!X1725</f>
        <v>2980</v>
      </c>
      <c r="Y1722" s="60">
        <f>Ringkasan!Y1725</f>
        <v>2860</v>
      </c>
      <c r="Z1722" s="60">
        <f>Ringkasan!Z1725</f>
        <v>181531900</v>
      </c>
      <c r="AA1722" s="60" t="str">
        <f>Ringkasan!AA1725</f>
        <v>Telecommunication Service</v>
      </c>
      <c r="AB1722" s="60" t="str">
        <f>Ringkasan!AB1725</f>
        <v>Infrastructures</v>
      </c>
    </row>
    <row r="1723" hidden="1">
      <c r="A1723" s="60" t="str">
        <f>Ringkasan!A1726</f>
        <v>TLKM</v>
      </c>
      <c r="B1723" s="60" t="str">
        <f>Ringkasan!B1726</f>
        <v>Telkom Indonesia (Persero) Tbk.</v>
      </c>
      <c r="C1723" s="61">
        <f>Ringkasan!C1726</f>
        <v>2860</v>
      </c>
      <c r="D1723" s="60" t="str">
        <f>Ringkasan!D1726</f>
        <v>#N/A</v>
      </c>
      <c r="E1723" s="60" t="str">
        <f>Ringkasan!E1726</f>
        <v>IDXESGL</v>
      </c>
      <c r="F1723" s="60" t="str">
        <f>Ringkasan!F1726</f>
        <v>30 Oktober 2026</v>
      </c>
      <c r="G1723" s="60">
        <f>Ringkasan!G1726</f>
        <v>19</v>
      </c>
      <c r="H1723" s="62">
        <f>Ringkasan!H1726</f>
        <v>10.1</v>
      </c>
      <c r="I1723" s="62">
        <f>Ringkasan!I1726</f>
        <v>1.9</v>
      </c>
      <c r="J1723" s="62">
        <f>Ringkasan!J1726</f>
        <v>19.1</v>
      </c>
      <c r="K1723" s="62">
        <f>Ringkasan!K1726</f>
        <v>4.7</v>
      </c>
      <c r="L1723" s="62">
        <f>Ringkasan!L1726</f>
        <v>0.86</v>
      </c>
      <c r="M1723" s="62">
        <f>Ringkasan!M1726</f>
        <v>20.3</v>
      </c>
      <c r="N1723" s="60" t="str">
        <f>Ringkasan!N1726</f>
        <v/>
      </c>
      <c r="O1723" s="60" t="str">
        <f>Ringkasan!O1726</f>
        <v/>
      </c>
      <c r="P1723" s="60" t="str">
        <f>Ringkasan!P1726</f>
        <v/>
      </c>
      <c r="Q1723" s="60" t="str">
        <f>Ringkasan!Q1726</f>
        <v/>
      </c>
      <c r="R1723" s="60" t="str">
        <f>Ringkasan!R1726</f>
        <v/>
      </c>
      <c r="S1723" s="60" t="str">
        <f>Ringkasan!S1726</f>
        <v/>
      </c>
      <c r="T1723" s="60" t="str">
        <f>Ringkasan!T1726</f>
        <v/>
      </c>
      <c r="U1723" s="60">
        <f>Ringkasan!U1726</f>
        <v>2870</v>
      </c>
      <c r="V1723" s="60">
        <f>Ringkasan!V1726</f>
        <v>-0.35</v>
      </c>
      <c r="W1723" s="60">
        <f>Ringkasan!W1726</f>
        <v>2910</v>
      </c>
      <c r="X1723" s="60">
        <f>Ringkasan!X1726</f>
        <v>2980</v>
      </c>
      <c r="Y1723" s="60">
        <f>Ringkasan!Y1726</f>
        <v>2860</v>
      </c>
      <c r="Z1723" s="60">
        <f>Ringkasan!Z1726</f>
        <v>181531900</v>
      </c>
      <c r="AA1723" s="60" t="str">
        <f>Ringkasan!AA1726</f>
        <v>Telecommunication Service</v>
      </c>
      <c r="AB1723" s="60" t="str">
        <f>Ringkasan!AB1726</f>
        <v>Infrastructures</v>
      </c>
    </row>
    <row r="1724" hidden="1">
      <c r="A1724" s="60" t="str">
        <f>Ringkasan!A1727</f>
        <v>TLKM</v>
      </c>
      <c r="B1724" s="60" t="str">
        <f>Ringkasan!B1727</f>
        <v>Telkom Indonesia (Persero) Tbk.</v>
      </c>
      <c r="C1724" s="61">
        <f>Ringkasan!C1727</f>
        <v>2860</v>
      </c>
      <c r="D1724" s="60" t="str">
        <f>Ringkasan!D1727</f>
        <v>#N/A</v>
      </c>
      <c r="E1724" s="60" t="str">
        <f>Ringkasan!E1727</f>
        <v>JII70</v>
      </c>
      <c r="F1724" s="63">
        <f>Ringkasan!F1727</f>
        <v>46356</v>
      </c>
      <c r="G1724" s="60">
        <f>Ringkasan!G1727</f>
        <v>19</v>
      </c>
      <c r="H1724" s="62">
        <f>Ringkasan!H1727</f>
        <v>10.1</v>
      </c>
      <c r="I1724" s="62">
        <f>Ringkasan!I1727</f>
        <v>1.9</v>
      </c>
      <c r="J1724" s="62">
        <f>Ringkasan!J1727</f>
        <v>19.1</v>
      </c>
      <c r="K1724" s="62">
        <f>Ringkasan!K1727</f>
        <v>4.7</v>
      </c>
      <c r="L1724" s="62">
        <f>Ringkasan!L1727</f>
        <v>0.86</v>
      </c>
      <c r="M1724" s="62">
        <f>Ringkasan!M1727</f>
        <v>20.3</v>
      </c>
      <c r="N1724" s="60" t="str">
        <f>Ringkasan!N1727</f>
        <v/>
      </c>
      <c r="O1724" s="60" t="str">
        <f>Ringkasan!O1727</f>
        <v/>
      </c>
      <c r="P1724" s="60" t="str">
        <f>Ringkasan!P1727</f>
        <v/>
      </c>
      <c r="Q1724" s="60" t="str">
        <f>Ringkasan!Q1727</f>
        <v/>
      </c>
      <c r="R1724" s="60" t="str">
        <f>Ringkasan!R1727</f>
        <v/>
      </c>
      <c r="S1724" s="60" t="str">
        <f>Ringkasan!S1727</f>
        <v/>
      </c>
      <c r="T1724" s="60" t="str">
        <f>Ringkasan!T1727</f>
        <v/>
      </c>
      <c r="U1724" s="60">
        <f>Ringkasan!U1727</f>
        <v>2870</v>
      </c>
      <c r="V1724" s="60">
        <f>Ringkasan!V1727</f>
        <v>-0.35</v>
      </c>
      <c r="W1724" s="60">
        <f>Ringkasan!W1727</f>
        <v>2910</v>
      </c>
      <c r="X1724" s="60">
        <f>Ringkasan!X1727</f>
        <v>2980</v>
      </c>
      <c r="Y1724" s="60">
        <f>Ringkasan!Y1727</f>
        <v>2860</v>
      </c>
      <c r="Z1724" s="60">
        <f>Ringkasan!Z1727</f>
        <v>181531900</v>
      </c>
      <c r="AA1724" s="60" t="str">
        <f>Ringkasan!AA1727</f>
        <v>Telecommunication Service</v>
      </c>
      <c r="AB1724" s="60" t="str">
        <f>Ringkasan!AB1727</f>
        <v>Infrastructures</v>
      </c>
    </row>
    <row r="1725" hidden="1">
      <c r="A1725" s="60" t="str">
        <f>Ringkasan!A1728</f>
        <v>TMAS</v>
      </c>
      <c r="B1725" s="60" t="str">
        <f>Ringkasan!B1728</f>
        <v>PT Temas Tbk.</v>
      </c>
      <c r="C1725" s="61">
        <f>Ringkasan!C1728</f>
        <v>117</v>
      </c>
      <c r="D1725" s="60" t="str">
        <f>Ringkasan!D1728</f>
        <v>#N/A</v>
      </c>
      <c r="E1725" s="60" t="str">
        <f>Ringkasan!E1728</f>
        <v/>
      </c>
      <c r="F1725" s="60" t="str">
        <f>Ringkasan!F1728</f>
        <v/>
      </c>
      <c r="G1725" s="61">
        <f>Ringkasan!G1728</f>
        <v>0</v>
      </c>
      <c r="H1725" s="62">
        <f>Ringkasan!H1728</f>
        <v>12.9</v>
      </c>
      <c r="I1725" s="62">
        <f>Ringkasan!I1728</f>
        <v>2.1</v>
      </c>
      <c r="J1725" s="62">
        <f>Ringkasan!J1728</f>
        <v>15.9</v>
      </c>
      <c r="K1725" s="62">
        <f>Ringkasan!K1728</f>
        <v>9.3</v>
      </c>
      <c r="L1725" s="62">
        <f>Ringkasan!L1728</f>
        <v>0.7</v>
      </c>
      <c r="M1725" s="62">
        <f>Ringkasan!M1728</f>
        <v>45.7</v>
      </c>
      <c r="N1725" s="60" t="str">
        <f>Ringkasan!N1728</f>
        <v/>
      </c>
      <c r="O1725" s="60" t="str">
        <f>Ringkasan!O1728</f>
        <v/>
      </c>
      <c r="P1725" s="60" t="str">
        <f>Ringkasan!P1728</f>
        <v/>
      </c>
      <c r="Q1725" s="60" t="str">
        <f>Ringkasan!Q1728</f>
        <v/>
      </c>
      <c r="R1725" s="60" t="str">
        <f>Ringkasan!R1728</f>
        <v/>
      </c>
      <c r="S1725" s="60" t="str">
        <f>Ringkasan!S1728</f>
        <v/>
      </c>
      <c r="T1725" s="60" t="str">
        <f>Ringkasan!T1728</f>
        <v/>
      </c>
      <c r="U1725" s="60">
        <f>Ringkasan!U1728</f>
        <v>0.11</v>
      </c>
      <c r="V1725" s="60">
        <f>Ringkasan!V1728</f>
        <v>0</v>
      </c>
      <c r="W1725" s="60">
        <f>Ringkasan!W1728</f>
        <v>0.11</v>
      </c>
      <c r="X1725" s="60">
        <f>Ringkasan!X1728</f>
        <v>0.11</v>
      </c>
      <c r="Y1725" s="60">
        <f>Ringkasan!Y1728</f>
        <v>0.1</v>
      </c>
      <c r="Z1725" s="60">
        <f>Ringkasan!Z1728</f>
        <v>121768</v>
      </c>
      <c r="AA1725" s="60" t="str">
        <f>Ringkasan!AA1728</f>
        <v>Logistics &amp; Deliveries</v>
      </c>
      <c r="AB1725" s="60" t="str">
        <f>Ringkasan!AB1728</f>
        <v>Transportation &amp; Logistic</v>
      </c>
    </row>
    <row r="1726" hidden="1">
      <c r="A1726" s="60" t="str">
        <f>Ringkasan!A1729</f>
        <v>TMPO</v>
      </c>
      <c r="B1726" s="60" t="str">
        <f>Ringkasan!B1729</f>
        <v>Tempo Intimedia Tbk.</v>
      </c>
      <c r="C1726" s="61" t="str">
        <f>Ringkasan!C1729</f>
        <v>#N/A</v>
      </c>
      <c r="D1726" s="60" t="str">
        <f>Ringkasan!D1729</f>
        <v>#N/A</v>
      </c>
      <c r="E1726" s="60" t="str">
        <f>Ringkasan!E1729</f>
        <v/>
      </c>
      <c r="F1726" s="60" t="str">
        <f>Ringkasan!F1729</f>
        <v/>
      </c>
      <c r="G1726" s="60">
        <f>Ringkasan!G1729</f>
        <v>0</v>
      </c>
      <c r="H1726" s="62">
        <f>Ringkasan!H1729</f>
        <v>46.1</v>
      </c>
      <c r="I1726" s="62">
        <f>Ringkasan!I1729</f>
        <v>0.45</v>
      </c>
      <c r="J1726" s="62">
        <f>Ringkasan!J1729</f>
        <v>0.98</v>
      </c>
      <c r="K1726" s="62">
        <f>Ringkasan!K1729</f>
        <v>0.57</v>
      </c>
      <c r="L1726" s="62">
        <f>Ringkasan!L1729</f>
        <v>0.72</v>
      </c>
      <c r="M1726" s="62">
        <f>Ringkasan!M1729</f>
        <v>6.7</v>
      </c>
      <c r="N1726" s="60" t="str">
        <f>Ringkasan!N1729</f>
        <v/>
      </c>
      <c r="O1726" s="60" t="str">
        <f>Ringkasan!O1729</f>
        <v/>
      </c>
      <c r="P1726" s="60" t="str">
        <f>Ringkasan!P1729</f>
        <v/>
      </c>
      <c r="Q1726" s="60" t="str">
        <f>Ringkasan!Q1729</f>
        <v/>
      </c>
      <c r="R1726" s="60" t="str">
        <f>Ringkasan!R1729</f>
        <v/>
      </c>
      <c r="S1726" s="60" t="str">
        <f>Ringkasan!S1729</f>
        <v/>
      </c>
      <c r="T1726" s="60" t="str">
        <f>Ringkasan!T1729</f>
        <v/>
      </c>
      <c r="U1726" s="60">
        <f>Ringkasan!U1729</f>
        <v>126</v>
      </c>
      <c r="V1726" s="60">
        <f>Ringkasan!V1729</f>
        <v>3.17</v>
      </c>
      <c r="W1726" s="60">
        <f>Ringkasan!W1729</f>
        <v>141</v>
      </c>
      <c r="X1726" s="60">
        <f>Ringkasan!X1729</f>
        <v>165</v>
      </c>
      <c r="Y1726" s="60">
        <f>Ringkasan!Y1729</f>
        <v>126</v>
      </c>
      <c r="Z1726" s="60">
        <f>Ringkasan!Z1729</f>
        <v>120906300</v>
      </c>
      <c r="AA1726" s="60" t="str">
        <f>Ringkasan!AA1729</f>
        <v>Media</v>
      </c>
      <c r="AB1726" s="60" t="str">
        <f>Ringkasan!AB1729</f>
        <v>Consumer Cyclicals</v>
      </c>
    </row>
    <row r="1727" hidden="1">
      <c r="A1727" s="60" t="str">
        <f>Ringkasan!A1730</f>
        <v>TNCA</v>
      </c>
      <c r="B1727" s="60" t="str">
        <f>Ringkasan!B1730</f>
        <v>Trimuda Nuansa Citra Tbk.</v>
      </c>
      <c r="C1727" s="61">
        <f>Ringkasan!C1730</f>
        <v>145</v>
      </c>
      <c r="D1727" s="60" t="str">
        <f>Ringkasan!D1730</f>
        <v>#N/A</v>
      </c>
      <c r="E1727" s="60" t="str">
        <f>Ringkasan!E1730</f>
        <v/>
      </c>
      <c r="F1727" s="60" t="str">
        <f>Ringkasan!F1730</f>
        <v/>
      </c>
      <c r="G1727" s="60">
        <f>Ringkasan!G1730</f>
        <v>0</v>
      </c>
      <c r="H1727" s="62">
        <f>Ringkasan!H1730</f>
        <v>-18.5</v>
      </c>
      <c r="I1727" s="62">
        <f>Ringkasan!I1730</f>
        <v>1.7</v>
      </c>
      <c r="J1727" s="62">
        <f>Ringkasan!J1730</f>
        <v>-9.4</v>
      </c>
      <c r="K1727" s="62">
        <f>Ringkasan!K1730</f>
        <v>-7</v>
      </c>
      <c r="L1727" s="62">
        <f>Ringkasan!L1730</f>
        <v>0.35</v>
      </c>
      <c r="M1727" s="62">
        <f>Ringkasan!M1730</f>
        <v>-20.7</v>
      </c>
      <c r="N1727" s="60" t="str">
        <f>Ringkasan!N1730</f>
        <v/>
      </c>
      <c r="O1727" s="60" t="str">
        <f>Ringkasan!O1730</f>
        <v/>
      </c>
      <c r="P1727" s="60" t="str">
        <f>Ringkasan!P1730</f>
        <v/>
      </c>
      <c r="Q1727" s="60" t="str">
        <f>Ringkasan!Q1730</f>
        <v/>
      </c>
      <c r="R1727" s="60" t="str">
        <f>Ringkasan!R1730</f>
        <v/>
      </c>
      <c r="S1727" s="60" t="str">
        <f>Ringkasan!S1730</f>
        <v/>
      </c>
      <c r="T1727" s="60" t="str">
        <f>Ringkasan!T1730</f>
        <v/>
      </c>
      <c r="U1727" s="60">
        <f>Ringkasan!U1730</f>
        <v>137</v>
      </c>
      <c r="V1727" s="60">
        <f>Ringkasan!V1730</f>
        <v>5.84</v>
      </c>
      <c r="W1727" s="60">
        <f>Ringkasan!W1730</f>
        <v>138</v>
      </c>
      <c r="X1727" s="60">
        <f>Ringkasan!X1730</f>
        <v>149</v>
      </c>
      <c r="Y1727" s="60">
        <f>Ringkasan!Y1730</f>
        <v>138</v>
      </c>
      <c r="Z1727" s="60">
        <f>Ringkasan!Z1730</f>
        <v>52100</v>
      </c>
      <c r="AA1727" s="60" t="str">
        <f>Ringkasan!AA1730</f>
        <v>Logistics &amp; Deliveries</v>
      </c>
      <c r="AB1727" s="60" t="str">
        <f>Ringkasan!AB1730</f>
        <v>Transportation &amp; Logistic</v>
      </c>
    </row>
    <row r="1728" hidden="1">
      <c r="A1728" s="60" t="str">
        <f>Ringkasan!A1731</f>
        <v>TOBA</v>
      </c>
      <c r="B1728" s="60" t="str">
        <f>Ringkasan!B1731</f>
        <v>TBS Energi Utama Tbk.</v>
      </c>
      <c r="C1728" s="61">
        <f>Ringkasan!C1731</f>
        <v>402</v>
      </c>
      <c r="D1728" s="60" t="str">
        <f>Ringkasan!D1731</f>
        <v>#N/A</v>
      </c>
      <c r="E1728" s="60" t="str">
        <f>Ringkasan!E1731</f>
        <v>JII70</v>
      </c>
      <c r="F1728" s="63">
        <f>Ringkasan!F1731</f>
        <v>46356</v>
      </c>
      <c r="G1728" s="61">
        <f>Ringkasan!G1731</f>
        <v>3</v>
      </c>
      <c r="H1728" s="62">
        <f>Ringkasan!H1731</f>
        <v>-1.9</v>
      </c>
      <c r="I1728" s="62">
        <f>Ringkasan!I1731</f>
        <v>1</v>
      </c>
      <c r="J1728" s="62">
        <f>Ringkasan!J1731</f>
        <v>-53.6</v>
      </c>
      <c r="K1728" s="62">
        <f>Ringkasan!K1731</f>
        <v>-14</v>
      </c>
      <c r="L1728" s="62">
        <f>Ringkasan!L1731</f>
        <v>2.8</v>
      </c>
      <c r="M1728" s="62">
        <f>Ringkasan!M1731</f>
        <v>-130</v>
      </c>
      <c r="N1728" s="60" t="str">
        <f>Ringkasan!N1731</f>
        <v/>
      </c>
      <c r="O1728" s="60" t="str">
        <f>Ringkasan!O1731</f>
        <v/>
      </c>
      <c r="P1728" s="60" t="str">
        <f>Ringkasan!P1731</f>
        <v/>
      </c>
      <c r="Q1728" s="60" t="str">
        <f>Ringkasan!Q1731</f>
        <v/>
      </c>
      <c r="R1728" s="60" t="str">
        <f>Ringkasan!R1731</f>
        <v/>
      </c>
      <c r="S1728" s="60" t="str">
        <f>Ringkasan!S1731</f>
        <v/>
      </c>
      <c r="T1728" s="60" t="str">
        <f>Ringkasan!T1731</f>
        <v/>
      </c>
      <c r="U1728" s="60">
        <f>Ringkasan!U1731</f>
        <v>378</v>
      </c>
      <c r="V1728" s="60">
        <f>Ringkasan!V1731</f>
        <v>6.35</v>
      </c>
      <c r="W1728" s="60">
        <f>Ringkasan!W1731</f>
        <v>378</v>
      </c>
      <c r="X1728" s="60">
        <f>Ringkasan!X1731</f>
        <v>408</v>
      </c>
      <c r="Y1728" s="60">
        <f>Ringkasan!Y1731</f>
        <v>378</v>
      </c>
      <c r="Z1728" s="60">
        <f>Ringkasan!Z1731</f>
        <v>10824100</v>
      </c>
      <c r="AA1728" s="60" t="str">
        <f>Ringkasan!AA1731</f>
        <v>Coal</v>
      </c>
      <c r="AB1728" s="60" t="str">
        <f>Ringkasan!AB1731</f>
        <v>Energy</v>
      </c>
    </row>
    <row r="1729" hidden="1">
      <c r="A1729" s="60" t="str">
        <f>Ringkasan!A1720</f>
        <v>TLKM</v>
      </c>
      <c r="B1729" s="60" t="str">
        <f>Ringkasan!B1720</f>
        <v>Telkom Indonesia (Persero) Tbk.</v>
      </c>
      <c r="C1729" s="61">
        <f>Ringkasan!C1720</f>
        <v>2860</v>
      </c>
      <c r="D1729" s="60" t="str">
        <f>Ringkasan!D1720</f>
        <v>#N/A</v>
      </c>
      <c r="E1729" s="60" t="str">
        <f>Ringkasan!E1720</f>
        <v>IDX80</v>
      </c>
      <c r="F1729" s="60" t="str">
        <f>Ringkasan!F1720</f>
        <v>31 Juli 2026</v>
      </c>
      <c r="G1729" s="60">
        <f>Ringkasan!G1720</f>
        <v>19</v>
      </c>
      <c r="H1729" s="62">
        <f>Ringkasan!H1720</f>
        <v>10.1</v>
      </c>
      <c r="I1729" s="62">
        <f>Ringkasan!I1720</f>
        <v>1.9</v>
      </c>
      <c r="J1729" s="62">
        <f>Ringkasan!J1720</f>
        <v>19.1</v>
      </c>
      <c r="K1729" s="62">
        <f>Ringkasan!K1720</f>
        <v>4.7</v>
      </c>
      <c r="L1729" s="62">
        <f>Ringkasan!L1720</f>
        <v>0.86</v>
      </c>
      <c r="M1729" s="62">
        <f>Ringkasan!M1720</f>
        <v>20.3</v>
      </c>
      <c r="N1729" s="60" t="str">
        <f>Ringkasan!N1720</f>
        <v/>
      </c>
      <c r="O1729" s="60" t="str">
        <f>Ringkasan!O1720</f>
        <v/>
      </c>
      <c r="P1729" s="60" t="str">
        <f>Ringkasan!P1720</f>
        <v/>
      </c>
      <c r="Q1729" s="60" t="str">
        <f>Ringkasan!Q1720</f>
        <v/>
      </c>
      <c r="R1729" s="60" t="str">
        <f>Ringkasan!R1720</f>
        <v/>
      </c>
      <c r="S1729" s="60" t="str">
        <f>Ringkasan!S1720</f>
        <v/>
      </c>
      <c r="T1729" s="60" t="str">
        <f>Ringkasan!T1720</f>
        <v/>
      </c>
      <c r="U1729" s="60">
        <f>Ringkasan!U1720</f>
        <v>2870</v>
      </c>
      <c r="V1729" s="60">
        <f>Ringkasan!V1720</f>
        <v>-0.35</v>
      </c>
      <c r="W1729" s="60">
        <f>Ringkasan!W1720</f>
        <v>2910</v>
      </c>
      <c r="X1729" s="60">
        <f>Ringkasan!X1720</f>
        <v>2980</v>
      </c>
      <c r="Y1729" s="60">
        <f>Ringkasan!Y1720</f>
        <v>2860</v>
      </c>
      <c r="Z1729" s="60">
        <f>Ringkasan!Z1720</f>
        <v>181531900</v>
      </c>
      <c r="AA1729" s="60" t="str">
        <f>Ringkasan!AA1720</f>
        <v>Telecommunication Service</v>
      </c>
      <c r="AB1729" s="60" t="str">
        <f>Ringkasan!AB1720</f>
        <v>Infrastructures</v>
      </c>
    </row>
    <row r="1730" hidden="1">
      <c r="A1730" s="60" t="str">
        <f>Ringkasan!A1721</f>
        <v>TLKM</v>
      </c>
      <c r="B1730" s="60" t="str">
        <f>Ringkasan!B1721</f>
        <v>Telkom Indonesia (Persero) Tbk.</v>
      </c>
      <c r="C1730" s="61">
        <f>Ringkasan!C1721</f>
        <v>2860</v>
      </c>
      <c r="D1730" s="60" t="str">
        <f>Ringkasan!D1721</f>
        <v>#N/A</v>
      </c>
      <c r="E1730" s="60" t="str">
        <f>Ringkasan!E1721</f>
        <v>IDXBUMN20</v>
      </c>
      <c r="F1730" s="60" t="str">
        <f>Ringkasan!F1721</f>
        <v>4 Agustus 2026</v>
      </c>
      <c r="G1730" s="60">
        <f>Ringkasan!G1721</f>
        <v>19</v>
      </c>
      <c r="H1730" s="62">
        <f>Ringkasan!H1721</f>
        <v>10.1</v>
      </c>
      <c r="I1730" s="62">
        <f>Ringkasan!I1721</f>
        <v>1.9</v>
      </c>
      <c r="J1730" s="62">
        <f>Ringkasan!J1721</f>
        <v>19.1</v>
      </c>
      <c r="K1730" s="62">
        <f>Ringkasan!K1721</f>
        <v>4.7</v>
      </c>
      <c r="L1730" s="62">
        <f>Ringkasan!L1721</f>
        <v>0.86</v>
      </c>
      <c r="M1730" s="62">
        <f>Ringkasan!M1721</f>
        <v>20.3</v>
      </c>
      <c r="N1730" s="60" t="str">
        <f>Ringkasan!N1721</f>
        <v/>
      </c>
      <c r="O1730" s="60" t="str">
        <f>Ringkasan!O1721</f>
        <v/>
      </c>
      <c r="P1730" s="60" t="str">
        <f>Ringkasan!P1721</f>
        <v/>
      </c>
      <c r="Q1730" s="60" t="str">
        <f>Ringkasan!Q1721</f>
        <v/>
      </c>
      <c r="R1730" s="60" t="str">
        <f>Ringkasan!R1721</f>
        <v/>
      </c>
      <c r="S1730" s="60" t="str">
        <f>Ringkasan!S1721</f>
        <v/>
      </c>
      <c r="T1730" s="60" t="str">
        <f>Ringkasan!T1721</f>
        <v/>
      </c>
      <c r="U1730" s="60">
        <f>Ringkasan!U1721</f>
        <v>2870</v>
      </c>
      <c r="V1730" s="60">
        <f>Ringkasan!V1721</f>
        <v>-0.35</v>
      </c>
      <c r="W1730" s="60">
        <f>Ringkasan!W1721</f>
        <v>2910</v>
      </c>
      <c r="X1730" s="60">
        <f>Ringkasan!X1721</f>
        <v>2980</v>
      </c>
      <c r="Y1730" s="60">
        <f>Ringkasan!Y1721</f>
        <v>2860</v>
      </c>
      <c r="Z1730" s="60">
        <f>Ringkasan!Z1721</f>
        <v>181531900</v>
      </c>
      <c r="AA1730" s="60" t="str">
        <f>Ringkasan!AA1721</f>
        <v>Telecommunication Service</v>
      </c>
      <c r="AB1730" s="60" t="str">
        <f>Ringkasan!AB1721</f>
        <v>Infrastructures</v>
      </c>
    </row>
    <row r="1731" hidden="1">
      <c r="A1731" s="60" t="str">
        <f>Ringkasan!A1740</f>
        <v>TOWR</v>
      </c>
      <c r="B1731" s="60" t="str">
        <f>Ringkasan!B1740</f>
        <v>Sarana Menara Nusantara Tbk</v>
      </c>
      <c r="C1731" s="61">
        <f>Ringkasan!C1740</f>
        <v>344</v>
      </c>
      <c r="D1731" s="60" t="str">
        <f>Ringkasan!D1740</f>
        <v>#N/A</v>
      </c>
      <c r="E1731" s="60" t="str">
        <f>Ringkasan!E1740</f>
        <v>Investor33</v>
      </c>
      <c r="F1731" s="63">
        <f>Ringkasan!F1740</f>
        <v>46356</v>
      </c>
      <c r="G1731" s="60">
        <f>Ringkasan!G1740</f>
        <v>11</v>
      </c>
      <c r="H1731" s="62">
        <f>Ringkasan!H1740</f>
        <v>6.1</v>
      </c>
      <c r="I1731" s="62">
        <f>Ringkasan!I1740</f>
        <v>0.83</v>
      </c>
      <c r="J1731" s="62">
        <f>Ringkasan!J1740</f>
        <v>13.6</v>
      </c>
      <c r="K1731" s="62">
        <f>Ringkasan!K1740</f>
        <v>4.8</v>
      </c>
      <c r="L1731" s="62">
        <f>Ringkasan!L1740</f>
        <v>1.9</v>
      </c>
      <c r="M1731" s="62">
        <f>Ringkasan!M1740</f>
        <v>27.6</v>
      </c>
      <c r="N1731" s="60" t="str">
        <f>Ringkasan!N1740</f>
        <v/>
      </c>
      <c r="O1731" s="60" t="str">
        <f>Ringkasan!O1740</f>
        <v/>
      </c>
      <c r="P1731" s="60" t="str">
        <f>Ringkasan!P1740</f>
        <v/>
      </c>
      <c r="Q1731" s="60" t="str">
        <f>Ringkasan!Q1740</f>
        <v/>
      </c>
      <c r="R1731" s="60" t="str">
        <f>Ringkasan!R1740</f>
        <v/>
      </c>
      <c r="S1731" s="60" t="str">
        <f>Ringkasan!S1740</f>
        <v/>
      </c>
      <c r="T1731" s="60" t="str">
        <f>Ringkasan!T1740</f>
        <v/>
      </c>
      <c r="U1731" s="60">
        <f>Ringkasan!U1740</f>
        <v>332</v>
      </c>
      <c r="V1731" s="60">
        <f>Ringkasan!V1740</f>
        <v>3.61</v>
      </c>
      <c r="W1731" s="60">
        <f>Ringkasan!W1740</f>
        <v>334</v>
      </c>
      <c r="X1731" s="60">
        <f>Ringkasan!X1740</f>
        <v>354</v>
      </c>
      <c r="Y1731" s="60">
        <f>Ringkasan!Y1740</f>
        <v>332</v>
      </c>
      <c r="Z1731" s="60">
        <f>Ringkasan!Z1740</f>
        <v>229174400</v>
      </c>
      <c r="AA1731" s="60" t="str">
        <f>Ringkasan!AA1740</f>
        <v>Wireless Telecommunication Services</v>
      </c>
      <c r="AB1731" s="60" t="str">
        <f>Ringkasan!AB1740</f>
        <v>Infrastructures</v>
      </c>
    </row>
    <row r="1732" hidden="1">
      <c r="A1732" s="60" t="str">
        <f>Ringkasan!A1732</f>
        <v>TOBA</v>
      </c>
      <c r="B1732" s="60" t="str">
        <f>Ringkasan!B1732</f>
        <v>TBS Energi Utama Tbk.</v>
      </c>
      <c r="C1732" s="61">
        <f>Ringkasan!C1732</f>
        <v>402</v>
      </c>
      <c r="D1732" s="60" t="str">
        <f>Ringkasan!D1732</f>
        <v>#N/A</v>
      </c>
      <c r="E1732" s="60" t="str">
        <f>Ringkasan!E1732</f>
        <v>Pefindo - iGrade</v>
      </c>
      <c r="F1732" s="60" t="str">
        <f>Ringkasan!F1732</f>
        <v>30 Juni 2026</v>
      </c>
      <c r="G1732" s="60">
        <f>Ringkasan!G1732</f>
        <v>3</v>
      </c>
      <c r="H1732" s="62">
        <f>Ringkasan!H1732</f>
        <v>-1.9</v>
      </c>
      <c r="I1732" s="62">
        <f>Ringkasan!I1732</f>
        <v>1</v>
      </c>
      <c r="J1732" s="62">
        <f>Ringkasan!J1732</f>
        <v>-53.6</v>
      </c>
      <c r="K1732" s="62">
        <f>Ringkasan!K1732</f>
        <v>-14</v>
      </c>
      <c r="L1732" s="62">
        <f>Ringkasan!L1732</f>
        <v>2.8</v>
      </c>
      <c r="M1732" s="62">
        <f>Ringkasan!M1732</f>
        <v>-130</v>
      </c>
      <c r="N1732" s="60" t="str">
        <f>Ringkasan!N1732</f>
        <v/>
      </c>
      <c r="O1732" s="60" t="str">
        <f>Ringkasan!O1732</f>
        <v/>
      </c>
      <c r="P1732" s="60" t="str">
        <f>Ringkasan!P1732</f>
        <v/>
      </c>
      <c r="Q1732" s="60" t="str">
        <f>Ringkasan!Q1732</f>
        <v/>
      </c>
      <c r="R1732" s="60" t="str">
        <f>Ringkasan!R1732</f>
        <v/>
      </c>
      <c r="S1732" s="60" t="str">
        <f>Ringkasan!S1732</f>
        <v/>
      </c>
      <c r="T1732" s="60" t="str">
        <f>Ringkasan!T1732</f>
        <v/>
      </c>
      <c r="U1732" s="60">
        <f>Ringkasan!U1732</f>
        <v>378</v>
      </c>
      <c r="V1732" s="60">
        <f>Ringkasan!V1732</f>
        <v>6.35</v>
      </c>
      <c r="W1732" s="60">
        <f>Ringkasan!W1732</f>
        <v>378</v>
      </c>
      <c r="X1732" s="60">
        <f>Ringkasan!X1732</f>
        <v>408</v>
      </c>
      <c r="Y1732" s="60">
        <f>Ringkasan!Y1732</f>
        <v>378</v>
      </c>
      <c r="Z1732" s="60">
        <f>Ringkasan!Z1732</f>
        <v>10824100</v>
      </c>
      <c r="AA1732" s="60" t="str">
        <f>Ringkasan!AA1732</f>
        <v>Coal</v>
      </c>
      <c r="AB1732" s="60" t="str">
        <f>Ringkasan!AB1732</f>
        <v>Energy</v>
      </c>
    </row>
    <row r="1733" hidden="1">
      <c r="A1733" s="60" t="str">
        <f>Ringkasan!A1733</f>
        <v>TOBA</v>
      </c>
      <c r="B1733" s="60" t="str">
        <f>Ringkasan!B1733</f>
        <v>TBS Energi Utama Tbk.</v>
      </c>
      <c r="C1733" s="61">
        <f>Ringkasan!C1733</f>
        <v>402</v>
      </c>
      <c r="D1733" s="60" t="str">
        <f>Ringkasan!D1733</f>
        <v>#N/A</v>
      </c>
      <c r="E1733" s="60" t="str">
        <f>Ringkasan!E1733</f>
        <v>Kompas100</v>
      </c>
      <c r="F1733" s="60" t="str">
        <f>Ringkasan!F1733</f>
        <v>31 Juli 2026</v>
      </c>
      <c r="G1733" s="60">
        <f>Ringkasan!G1733</f>
        <v>3</v>
      </c>
      <c r="H1733" s="62">
        <f>Ringkasan!H1733</f>
        <v>-1.9</v>
      </c>
      <c r="I1733" s="62">
        <f>Ringkasan!I1733</f>
        <v>1</v>
      </c>
      <c r="J1733" s="62">
        <f>Ringkasan!J1733</f>
        <v>-53.6</v>
      </c>
      <c r="K1733" s="62">
        <f>Ringkasan!K1733</f>
        <v>-14</v>
      </c>
      <c r="L1733" s="62">
        <f>Ringkasan!L1733</f>
        <v>2.8</v>
      </c>
      <c r="M1733" s="62">
        <f>Ringkasan!M1733</f>
        <v>-130</v>
      </c>
      <c r="N1733" s="60" t="str">
        <f>Ringkasan!N1733</f>
        <v/>
      </c>
      <c r="O1733" s="60" t="str">
        <f>Ringkasan!O1733</f>
        <v/>
      </c>
      <c r="P1733" s="60" t="str">
        <f>Ringkasan!P1733</f>
        <v/>
      </c>
      <c r="Q1733" s="60" t="str">
        <f>Ringkasan!Q1733</f>
        <v/>
      </c>
      <c r="R1733" s="60" t="str">
        <f>Ringkasan!R1733</f>
        <v/>
      </c>
      <c r="S1733" s="60" t="str">
        <f>Ringkasan!S1733</f>
        <v/>
      </c>
      <c r="T1733" s="60" t="str">
        <f>Ringkasan!T1733</f>
        <v/>
      </c>
      <c r="U1733" s="60">
        <f>Ringkasan!U1733</f>
        <v>378</v>
      </c>
      <c r="V1733" s="60">
        <f>Ringkasan!V1733</f>
        <v>6.35</v>
      </c>
      <c r="W1733" s="60">
        <f>Ringkasan!W1733</f>
        <v>378</v>
      </c>
      <c r="X1733" s="60">
        <f>Ringkasan!X1733</f>
        <v>408</v>
      </c>
      <c r="Y1733" s="60">
        <f>Ringkasan!Y1733</f>
        <v>378</v>
      </c>
      <c r="Z1733" s="60">
        <f>Ringkasan!Z1733</f>
        <v>10824100</v>
      </c>
      <c r="AA1733" s="60" t="str">
        <f>Ringkasan!AA1733</f>
        <v>Coal</v>
      </c>
      <c r="AB1733" s="60" t="str">
        <f>Ringkasan!AB1733</f>
        <v>Energy</v>
      </c>
    </row>
    <row r="1734" hidden="1">
      <c r="A1734" s="60" t="str">
        <f>Ringkasan!A1734</f>
        <v>TOOL</v>
      </c>
      <c r="B1734" s="60" t="str">
        <f>Ringkasan!B1734</f>
        <v>Rohartindo Nusantara Luas Tbk.</v>
      </c>
      <c r="C1734" s="61">
        <f>Ringkasan!C1734</f>
        <v>57</v>
      </c>
      <c r="D1734" s="60" t="str">
        <f>Ringkasan!D1734</f>
        <v>#N/A</v>
      </c>
      <c r="E1734" s="60" t="str">
        <f>Ringkasan!E1734</f>
        <v/>
      </c>
      <c r="F1734" s="60" t="str">
        <f>Ringkasan!F1734</f>
        <v/>
      </c>
      <c r="G1734" s="60">
        <f>Ringkasan!G1734</f>
        <v>0</v>
      </c>
      <c r="H1734" s="62">
        <f>Ringkasan!H1734</f>
        <v>-15.8</v>
      </c>
      <c r="I1734" s="62">
        <f>Ringkasan!I1734</f>
        <v>0.8</v>
      </c>
      <c r="J1734" s="62">
        <f>Ringkasan!J1734</f>
        <v>-5.1</v>
      </c>
      <c r="K1734" s="62">
        <f>Ringkasan!K1734</f>
        <v>-4.6</v>
      </c>
      <c r="L1734" s="62">
        <f>Ringkasan!L1734</f>
        <v>0.11</v>
      </c>
      <c r="M1734" s="62">
        <f>Ringkasan!M1734</f>
        <v>-90.8</v>
      </c>
      <c r="N1734" s="60" t="str">
        <f>Ringkasan!N1734</f>
        <v/>
      </c>
      <c r="O1734" s="60" t="str">
        <f>Ringkasan!O1734</f>
        <v/>
      </c>
      <c r="P1734" s="60" t="str">
        <f>Ringkasan!P1734</f>
        <v/>
      </c>
      <c r="Q1734" s="60" t="str">
        <f>Ringkasan!Q1734</f>
        <v/>
      </c>
      <c r="R1734" s="60" t="str">
        <f>Ringkasan!R1734</f>
        <v/>
      </c>
      <c r="S1734" s="60" t="str">
        <f>Ringkasan!S1734</f>
        <v/>
      </c>
      <c r="T1734" s="60" t="str">
        <f>Ringkasan!T1734</f>
        <v/>
      </c>
      <c r="U1734" s="60">
        <f>Ringkasan!U1734</f>
        <v>54</v>
      </c>
      <c r="V1734" s="60">
        <f>Ringkasan!V1734</f>
        <v>5.56</v>
      </c>
      <c r="W1734" s="60">
        <f>Ringkasan!W1734</f>
        <v>55</v>
      </c>
      <c r="X1734" s="60">
        <f>Ringkasan!X1734</f>
        <v>66</v>
      </c>
      <c r="Y1734" s="60">
        <f>Ringkasan!Y1734</f>
        <v>55</v>
      </c>
      <c r="Z1734" s="60">
        <f>Ringkasan!Z1734</f>
        <v>238370900</v>
      </c>
      <c r="AA1734" s="60" t="str">
        <f>Ringkasan!AA1734</f>
        <v>Specialty Retail</v>
      </c>
      <c r="AB1734" s="60" t="str">
        <f>Ringkasan!AB1734</f>
        <v>Consumer Cyclicals</v>
      </c>
    </row>
    <row r="1735">
      <c r="A1735" s="60" t="str">
        <f>Ringkasan!A1700</f>
        <v>TINS</v>
      </c>
      <c r="B1735" s="60" t="str">
        <f>Ringkasan!B1700</f>
        <v>Timah Tbk.</v>
      </c>
      <c r="C1735" s="61">
        <f>Ringkasan!C1700</f>
        <v>3300</v>
      </c>
      <c r="D1735" s="60" t="str">
        <f>Ringkasan!D1700</f>
        <v>#N/A</v>
      </c>
      <c r="E1735" s="60" t="str">
        <f>Ringkasan!E1700</f>
        <v>Kompas100</v>
      </c>
      <c r="F1735" s="60" t="str">
        <f>Ringkasan!F1700</f>
        <v>31 Juli 2026</v>
      </c>
      <c r="G1735" s="60">
        <f>Ringkasan!G1700</f>
        <v>5</v>
      </c>
      <c r="H1735" s="62">
        <f>Ringkasan!H1700</f>
        <v>8.9</v>
      </c>
      <c r="I1735" s="62">
        <f>Ringkasan!I1700</f>
        <v>2.4</v>
      </c>
      <c r="J1735" s="62">
        <f>Ringkasan!J1700</f>
        <v>27.1</v>
      </c>
      <c r="K1735" s="62">
        <f>Ringkasan!K1700</f>
        <v>17.7</v>
      </c>
      <c r="L1735" s="62">
        <f>Ringkasan!L1700</f>
        <v>0.53</v>
      </c>
      <c r="M1735" s="62">
        <f>Ringkasan!M1700</f>
        <v>49.4</v>
      </c>
      <c r="N1735" s="60" t="str">
        <f>Ringkasan!N1700</f>
        <v/>
      </c>
      <c r="O1735" s="60" t="str">
        <f>Ringkasan!O1700</f>
        <v/>
      </c>
      <c r="P1735" s="60" t="str">
        <f>Ringkasan!P1700</f>
        <v/>
      </c>
      <c r="Q1735" s="60" t="str">
        <f>Ringkasan!Q1700</f>
        <v/>
      </c>
      <c r="R1735" s="60" t="str">
        <f>Ringkasan!R1700</f>
        <v/>
      </c>
      <c r="S1735" s="60" t="str">
        <f>Ringkasan!S1700</f>
        <v/>
      </c>
      <c r="T1735" s="60" t="str">
        <f>Ringkasan!T1700</f>
        <v/>
      </c>
      <c r="U1735" s="60">
        <f>Ringkasan!U1700</f>
        <v>26.65</v>
      </c>
      <c r="V1735" s="60">
        <f>Ringkasan!V1700</f>
        <v>10.23</v>
      </c>
      <c r="W1735" s="60" t="str">
        <f>Ringkasan!W1700</f>
        <v/>
      </c>
      <c r="X1735" s="60">
        <f>Ringkasan!X1700</f>
        <v>29.38</v>
      </c>
      <c r="Y1735" s="60">
        <f>Ringkasan!Y1700</f>
        <v>29.38</v>
      </c>
      <c r="Z1735" s="60">
        <f>Ringkasan!Z1700</f>
        <v>0</v>
      </c>
      <c r="AA1735" s="60" t="str">
        <f>Ringkasan!AA1700</f>
        <v>Metals &amp; Minerals</v>
      </c>
      <c r="AB1735" s="60" t="str">
        <f>Ringkasan!AB1700</f>
        <v>Basic Materials</v>
      </c>
    </row>
    <row r="1736" hidden="1">
      <c r="A1736" s="60" t="str">
        <f>Ringkasan!A1735</f>
        <v>TOPS</v>
      </c>
      <c r="B1736" s="60" t="str">
        <f>Ringkasan!B1735</f>
        <v>PT Totalindo Eka Persada Tbk.</v>
      </c>
      <c r="C1736" s="61">
        <f>Ringkasan!C1735</f>
        <v>1</v>
      </c>
      <c r="D1736" s="60" t="str">
        <f>Ringkasan!D1735</f>
        <v>#N/A</v>
      </c>
      <c r="E1736" s="60" t="str">
        <f>Ringkasan!E1735</f>
        <v/>
      </c>
      <c r="F1736" s="60" t="str">
        <f>Ringkasan!F1735</f>
        <v/>
      </c>
      <c r="G1736" s="60">
        <f>Ringkasan!G1735</f>
        <v>0</v>
      </c>
      <c r="H1736" s="62">
        <f>Ringkasan!H1735</f>
        <v>0</v>
      </c>
      <c r="I1736" s="62">
        <f>Ringkasan!I1735</f>
        <v>0.08</v>
      </c>
      <c r="J1736" s="62">
        <f>Ringkasan!J1735</f>
        <v>-68.6</v>
      </c>
      <c r="K1736" s="62">
        <f>Ringkasan!K1735</f>
        <v>-17.6</v>
      </c>
      <c r="L1736" s="62">
        <f>Ringkasan!L1735</f>
        <v>2.9</v>
      </c>
      <c r="M1736" s="62">
        <f>Ringkasan!M1735</f>
        <v>-680</v>
      </c>
      <c r="N1736" s="60" t="str">
        <f>Ringkasan!N1735</f>
        <v/>
      </c>
      <c r="O1736" s="60" t="str">
        <f>Ringkasan!O1735</f>
        <v/>
      </c>
      <c r="P1736" s="60" t="str">
        <f>Ringkasan!P1735</f>
        <v/>
      </c>
      <c r="Q1736" s="60" t="str">
        <f>Ringkasan!Q1735</f>
        <v/>
      </c>
      <c r="R1736" s="60" t="str">
        <f>Ringkasan!R1735</f>
        <v/>
      </c>
      <c r="S1736" s="60" t="str">
        <f>Ringkasan!S1735</f>
        <v/>
      </c>
      <c r="T1736" s="60" t="str">
        <f>Ringkasan!T1735</f>
        <v/>
      </c>
      <c r="U1736" s="60">
        <f>Ringkasan!U1735</f>
        <v>0.95</v>
      </c>
      <c r="V1736" s="60">
        <f>Ringkasan!V1735</f>
        <v>-1.68</v>
      </c>
      <c r="W1736" s="60">
        <f>Ringkasan!W1735</f>
        <v>0.95</v>
      </c>
      <c r="X1736" s="60">
        <f>Ringkasan!X1735</f>
        <v>0.97</v>
      </c>
      <c r="Y1736" s="60">
        <f>Ringkasan!Y1735</f>
        <v>0.91</v>
      </c>
      <c r="Z1736" s="60">
        <f>Ringkasan!Z1735</f>
        <v>251878</v>
      </c>
      <c r="AA1736" s="60" t="str">
        <f>Ringkasan!AA1735</f>
        <v>Heavy Constructions &amp; Civil Engineering</v>
      </c>
      <c r="AB1736" s="60" t="str">
        <f>Ringkasan!AB1735</f>
        <v>Infrastructures</v>
      </c>
    </row>
    <row r="1737" hidden="1">
      <c r="A1737" s="60" t="str">
        <f>Ringkasan!A1736</f>
        <v>TOSK</v>
      </c>
      <c r="B1737" s="60" t="str">
        <f>Ringkasan!B1736</f>
        <v>Topindo Solusi Komunika Tbk.</v>
      </c>
      <c r="C1737" s="61">
        <f>Ringkasan!C1736</f>
        <v>56</v>
      </c>
      <c r="D1737" s="60" t="str">
        <f>Ringkasan!D1736</f>
        <v>#N/A</v>
      </c>
      <c r="E1737" s="60" t="str">
        <f>Ringkasan!E1736</f>
        <v/>
      </c>
      <c r="F1737" s="60" t="str">
        <f>Ringkasan!F1736</f>
        <v/>
      </c>
      <c r="G1737" s="60">
        <f>Ringkasan!G1736</f>
        <v>0</v>
      </c>
      <c r="H1737" s="62">
        <f>Ringkasan!H1736</f>
        <v>53.8</v>
      </c>
      <c r="I1737" s="62">
        <f>Ringkasan!I1736</f>
        <v>1.5</v>
      </c>
      <c r="J1737" s="62">
        <f>Ringkasan!J1736</f>
        <v>2.8</v>
      </c>
      <c r="K1737" s="62">
        <f>Ringkasan!K1736</f>
        <v>2.2</v>
      </c>
      <c r="L1737" s="62">
        <f>Ringkasan!L1736</f>
        <v>0.27</v>
      </c>
      <c r="M1737" s="62">
        <f>Ringkasan!M1736</f>
        <v>1.1</v>
      </c>
      <c r="N1737" s="60" t="str">
        <f>Ringkasan!N1736</f>
        <v/>
      </c>
      <c r="O1737" s="60" t="str">
        <f>Ringkasan!O1736</f>
        <v/>
      </c>
      <c r="P1737" s="60" t="str">
        <f>Ringkasan!P1736</f>
        <v/>
      </c>
      <c r="Q1737" s="60" t="str">
        <f>Ringkasan!Q1736</f>
        <v/>
      </c>
      <c r="R1737" s="60" t="str">
        <f>Ringkasan!R1736</f>
        <v/>
      </c>
      <c r="S1737" s="60" t="str">
        <f>Ringkasan!S1736</f>
        <v/>
      </c>
      <c r="T1737" s="60" t="str">
        <f>Ringkasan!T1736</f>
        <v/>
      </c>
      <c r="U1737" s="60">
        <f>Ringkasan!U1736</f>
        <v>54</v>
      </c>
      <c r="V1737" s="60">
        <f>Ringkasan!V1736</f>
        <v>3.7</v>
      </c>
      <c r="W1737" s="60">
        <f>Ringkasan!W1736</f>
        <v>54</v>
      </c>
      <c r="X1737" s="60">
        <f>Ringkasan!X1736</f>
        <v>57</v>
      </c>
      <c r="Y1737" s="60">
        <f>Ringkasan!Y1736</f>
        <v>54</v>
      </c>
      <c r="Z1737" s="60">
        <f>Ringkasan!Z1736</f>
        <v>5857500</v>
      </c>
      <c r="AA1737" s="60" t="str">
        <f>Ringkasan!AA1736</f>
        <v>Online Applications &amp; Services</v>
      </c>
      <c r="AB1737" s="60" t="str">
        <f>Ringkasan!AB1736</f>
        <v>Technology</v>
      </c>
    </row>
    <row r="1738" hidden="1">
      <c r="A1738" s="60" t="str">
        <f>Ringkasan!A1794</f>
        <v>UNTR</v>
      </c>
      <c r="B1738" s="60" t="str">
        <f>Ringkasan!B1794</f>
        <v>United Tractors Tbk.</v>
      </c>
      <c r="C1738" s="61">
        <f>Ringkasan!C1794</f>
        <v>22500</v>
      </c>
      <c r="D1738" s="60" t="str">
        <f>Ringkasan!D1794</f>
        <v>#N/A</v>
      </c>
      <c r="E1738" s="60" t="str">
        <f>Ringkasan!E1794</f>
        <v>IDXHIDIV20</v>
      </c>
      <c r="F1738" s="60" t="str">
        <f>Ringkasan!F1794</f>
        <v>2 Februari 2027</v>
      </c>
      <c r="G1738" s="61">
        <f>Ringkasan!G1794</f>
        <v>20</v>
      </c>
      <c r="H1738" s="62">
        <f>Ringkasan!H1794</f>
        <v>7</v>
      </c>
      <c r="I1738" s="62">
        <f>Ringkasan!I1794</f>
        <v>0.84</v>
      </c>
      <c r="J1738" s="62">
        <f>Ringkasan!J1794</f>
        <v>12.1</v>
      </c>
      <c r="K1738" s="62">
        <f>Ringkasan!K1794</f>
        <v>6.7</v>
      </c>
      <c r="L1738" s="62">
        <f>Ringkasan!L1794</f>
        <v>0.8</v>
      </c>
      <c r="M1738" s="62">
        <f>Ringkasan!M1794</f>
        <v>43</v>
      </c>
      <c r="N1738" s="60" t="str">
        <f>Ringkasan!N1794</f>
        <v/>
      </c>
      <c r="O1738" s="60" t="str">
        <f>Ringkasan!O1794</f>
        <v/>
      </c>
      <c r="P1738" s="60" t="str">
        <f>Ringkasan!P1794</f>
        <v/>
      </c>
      <c r="Q1738" s="60" t="str">
        <f>Ringkasan!Q1794</f>
        <v/>
      </c>
      <c r="R1738" s="60" t="str">
        <f>Ringkasan!R1794</f>
        <v/>
      </c>
      <c r="S1738" s="60" t="str">
        <f>Ringkasan!S1794</f>
        <v/>
      </c>
      <c r="T1738" s="60" t="str">
        <f>Ringkasan!T1794</f>
        <v/>
      </c>
      <c r="U1738" s="60">
        <f>Ringkasan!U1794</f>
        <v>21750</v>
      </c>
      <c r="V1738" s="60">
        <f>Ringkasan!V1794</f>
        <v>3.45</v>
      </c>
      <c r="W1738" s="60">
        <f>Ringkasan!W1794</f>
        <v>21900</v>
      </c>
      <c r="X1738" s="60">
        <f>Ringkasan!X1794</f>
        <v>22825</v>
      </c>
      <c r="Y1738" s="60">
        <f>Ringkasan!Y1794</f>
        <v>21900</v>
      </c>
      <c r="Z1738" s="60">
        <f>Ringkasan!Z1794</f>
        <v>5608900</v>
      </c>
      <c r="AA1738" s="60" t="str">
        <f>Ringkasan!AA1794</f>
        <v>Machinery</v>
      </c>
      <c r="AB1738" s="60" t="str">
        <f>Ringkasan!AB1794</f>
        <v>Industrials</v>
      </c>
    </row>
    <row r="1739" hidden="1">
      <c r="A1739" s="60" t="str">
        <f>Ringkasan!A1795</f>
        <v>UNTR</v>
      </c>
      <c r="B1739" s="60" t="str">
        <f>Ringkasan!B1795</f>
        <v>United Tractors Tbk.</v>
      </c>
      <c r="C1739" s="61">
        <f>Ringkasan!C1795</f>
        <v>22500</v>
      </c>
      <c r="D1739" s="60" t="str">
        <f>Ringkasan!D1795</f>
        <v>#N/A</v>
      </c>
      <c r="E1739" s="60" t="str">
        <f>Ringkasan!E1795</f>
        <v>BISNIS-27</v>
      </c>
      <c r="F1739" s="60" t="str">
        <f>Ringkasan!F1795</f>
        <v>30 Oktober 2026</v>
      </c>
      <c r="G1739" s="61">
        <f>Ringkasan!G1795</f>
        <v>20</v>
      </c>
      <c r="H1739" s="62">
        <f>Ringkasan!H1795</f>
        <v>7</v>
      </c>
      <c r="I1739" s="62">
        <f>Ringkasan!I1795</f>
        <v>0.84</v>
      </c>
      <c r="J1739" s="62">
        <f>Ringkasan!J1795</f>
        <v>12.1</v>
      </c>
      <c r="K1739" s="62">
        <f>Ringkasan!K1795</f>
        <v>6.7</v>
      </c>
      <c r="L1739" s="62">
        <f>Ringkasan!L1795</f>
        <v>0.8</v>
      </c>
      <c r="M1739" s="62">
        <f>Ringkasan!M1795</f>
        <v>43</v>
      </c>
      <c r="N1739" s="60" t="str">
        <f>Ringkasan!N1795</f>
        <v/>
      </c>
      <c r="O1739" s="60" t="str">
        <f>Ringkasan!O1795</f>
        <v/>
      </c>
      <c r="P1739" s="60" t="str">
        <f>Ringkasan!P1795</f>
        <v/>
      </c>
      <c r="Q1739" s="60" t="str">
        <f>Ringkasan!Q1795</f>
        <v/>
      </c>
      <c r="R1739" s="60" t="str">
        <f>Ringkasan!R1795</f>
        <v/>
      </c>
      <c r="S1739" s="60" t="str">
        <f>Ringkasan!S1795</f>
        <v/>
      </c>
      <c r="T1739" s="60" t="str">
        <f>Ringkasan!T1795</f>
        <v/>
      </c>
      <c r="U1739" s="60">
        <f>Ringkasan!U1795</f>
        <v>21750</v>
      </c>
      <c r="V1739" s="60">
        <f>Ringkasan!V1795</f>
        <v>3.45</v>
      </c>
      <c r="W1739" s="60">
        <f>Ringkasan!W1795</f>
        <v>21900</v>
      </c>
      <c r="X1739" s="60">
        <f>Ringkasan!X1795</f>
        <v>22825</v>
      </c>
      <c r="Y1739" s="60">
        <f>Ringkasan!Y1795</f>
        <v>21900</v>
      </c>
      <c r="Z1739" s="60">
        <f>Ringkasan!Z1795</f>
        <v>5608900</v>
      </c>
      <c r="AA1739" s="60" t="str">
        <f>Ringkasan!AA1795</f>
        <v>Machinery</v>
      </c>
      <c r="AB1739" s="60" t="str">
        <f>Ringkasan!AB1795</f>
        <v>Industrials</v>
      </c>
    </row>
    <row r="1740" hidden="1">
      <c r="A1740" s="60" t="str">
        <f>Ringkasan!A1737</f>
        <v>TOTL</v>
      </c>
      <c r="B1740" s="60" t="str">
        <f>Ringkasan!B1737</f>
        <v>Total Bangun Persada Tbk</v>
      </c>
      <c r="C1740" s="61">
        <f>Ringkasan!C1737</f>
        <v>1065</v>
      </c>
      <c r="D1740" s="60" t="str">
        <f>Ringkasan!D1737</f>
        <v>#N/A</v>
      </c>
      <c r="E1740" s="60" t="str">
        <f>Ringkasan!E1737</f>
        <v/>
      </c>
      <c r="F1740" s="60" t="str">
        <f>Ringkasan!F1737</f>
        <v/>
      </c>
      <c r="G1740" s="61">
        <f>Ringkasan!G1737</f>
        <v>0</v>
      </c>
      <c r="H1740" s="62">
        <f>Ringkasan!H1737</f>
        <v>8</v>
      </c>
      <c r="I1740" s="62">
        <f>Ringkasan!I1737</f>
        <v>2.5</v>
      </c>
      <c r="J1740" s="62">
        <f>Ringkasan!J1737</f>
        <v>30.9</v>
      </c>
      <c r="K1740" s="62">
        <f>Ringkasan!K1737</f>
        <v>10.2</v>
      </c>
      <c r="L1740" s="62">
        <f>Ringkasan!L1737</f>
        <v>2</v>
      </c>
      <c r="M1740" s="62">
        <f>Ringkasan!M1737</f>
        <v>52.8</v>
      </c>
      <c r="N1740" s="60" t="str">
        <f>Ringkasan!N1737</f>
        <v/>
      </c>
      <c r="O1740" s="60" t="str">
        <f>Ringkasan!O1737</f>
        <v/>
      </c>
      <c r="P1740" s="60" t="str">
        <f>Ringkasan!P1737</f>
        <v/>
      </c>
      <c r="Q1740" s="60" t="str">
        <f>Ringkasan!Q1737</f>
        <v/>
      </c>
      <c r="R1740" s="60" t="str">
        <f>Ringkasan!R1737</f>
        <v/>
      </c>
      <c r="S1740" s="60" t="str">
        <f>Ringkasan!S1737</f>
        <v/>
      </c>
      <c r="T1740" s="60" t="str">
        <f>Ringkasan!T1737</f>
        <v/>
      </c>
      <c r="U1740" s="60">
        <f>Ringkasan!U1737</f>
        <v>39.32</v>
      </c>
      <c r="V1740" s="60">
        <f>Ringkasan!V1737</f>
        <v>0.18</v>
      </c>
      <c r="W1740" s="60">
        <f>Ringkasan!W1737</f>
        <v>39.35</v>
      </c>
      <c r="X1740" s="60">
        <f>Ringkasan!X1737</f>
        <v>39.39</v>
      </c>
      <c r="Y1740" s="60">
        <f>Ringkasan!Y1737</f>
        <v>39.29</v>
      </c>
      <c r="Z1740" s="60">
        <f>Ringkasan!Z1737</f>
        <v>38237</v>
      </c>
      <c r="AA1740" s="60" t="str">
        <f>Ringkasan!AA1737</f>
        <v>Heavy Constructions &amp; Civil Engineering</v>
      </c>
      <c r="AB1740" s="60" t="str">
        <f>Ringkasan!AB1737</f>
        <v>Infrastructures</v>
      </c>
    </row>
    <row r="1741" hidden="1">
      <c r="A1741" s="60" t="str">
        <f>Ringkasan!A1738</f>
        <v>TOTO</v>
      </c>
      <c r="B1741" s="60" t="str">
        <f>Ringkasan!B1738</f>
        <v>Surya Toto Indonesia Tbk.</v>
      </c>
      <c r="C1741" s="61">
        <f>Ringkasan!C1738</f>
        <v>232</v>
      </c>
      <c r="D1741" s="60" t="str">
        <f>Ringkasan!D1738</f>
        <v>#N/A</v>
      </c>
      <c r="E1741" s="60" t="str">
        <f>Ringkasan!E1738</f>
        <v/>
      </c>
      <c r="F1741" s="60" t="str">
        <f>Ringkasan!F1738</f>
        <v/>
      </c>
      <c r="G1741" s="61">
        <f>Ringkasan!G1738</f>
        <v>0</v>
      </c>
      <c r="H1741" s="62">
        <f>Ringkasan!H1738</f>
        <v>8.2</v>
      </c>
      <c r="I1741" s="62">
        <f>Ringkasan!I1738</f>
        <v>0.97</v>
      </c>
      <c r="J1741" s="62">
        <f>Ringkasan!J1738</f>
        <v>11.9</v>
      </c>
      <c r="K1741" s="62">
        <f>Ringkasan!K1738</f>
        <v>9.1</v>
      </c>
      <c r="L1741" s="62">
        <f>Ringkasan!L1738</f>
        <v>0.31</v>
      </c>
      <c r="M1741" s="62">
        <f>Ringkasan!M1738</f>
        <v>64.1</v>
      </c>
      <c r="N1741" s="60" t="str">
        <f>Ringkasan!N1738</f>
        <v/>
      </c>
      <c r="O1741" s="60" t="str">
        <f>Ringkasan!O1738</f>
        <v/>
      </c>
      <c r="P1741" s="60" t="str">
        <f>Ringkasan!P1738</f>
        <v/>
      </c>
      <c r="Q1741" s="60" t="str">
        <f>Ringkasan!Q1738</f>
        <v/>
      </c>
      <c r="R1741" s="60" t="str">
        <f>Ringkasan!R1738</f>
        <v/>
      </c>
      <c r="S1741" s="60" t="str">
        <f>Ringkasan!S1738</f>
        <v/>
      </c>
      <c r="T1741" s="60" t="str">
        <f>Ringkasan!T1738</f>
        <v/>
      </c>
      <c r="U1741" s="60">
        <f>Ringkasan!U1738</f>
        <v>223</v>
      </c>
      <c r="V1741" s="60">
        <f>Ringkasan!V1738</f>
        <v>4.04</v>
      </c>
      <c r="W1741" s="60">
        <f>Ringkasan!W1738</f>
        <v>226</v>
      </c>
      <c r="X1741" s="60">
        <f>Ringkasan!X1738</f>
        <v>234</v>
      </c>
      <c r="Y1741" s="60">
        <f>Ringkasan!Y1738</f>
        <v>202</v>
      </c>
      <c r="Z1741" s="60">
        <f>Ringkasan!Z1738</f>
        <v>2068600</v>
      </c>
      <c r="AA1741" s="60" t="str">
        <f>Ringkasan!AA1738</f>
        <v>Building Products &amp; Fixtures</v>
      </c>
      <c r="AB1741" s="60" t="str">
        <f>Ringkasan!AB1738</f>
        <v>Industrials</v>
      </c>
    </row>
    <row r="1742" hidden="1">
      <c r="A1742" s="64" t="str">
        <f>Ringkasan!A1741</f>
        <v>TOWR</v>
      </c>
      <c r="B1742" s="64" t="str">
        <f>Ringkasan!B1741</f>
        <v>Sarana Menara Nusantara Tbk</v>
      </c>
      <c r="C1742" s="67">
        <f>Ringkasan!C1741</f>
        <v>344</v>
      </c>
      <c r="D1742" s="22" t="str">
        <f>Ringkasan!D1741</f>
        <v>#N/A</v>
      </c>
      <c r="E1742" s="64" t="str">
        <f>Ringkasan!E1741</f>
        <v>IDXV30</v>
      </c>
      <c r="F1742" s="64" t="str">
        <f>Ringkasan!F1741</f>
        <v>4 Agustus 2026</v>
      </c>
      <c r="G1742" s="64">
        <f>Ringkasan!G1741</f>
        <v>11</v>
      </c>
      <c r="H1742" s="19">
        <f>Ringkasan!H1741</f>
        <v>6.1</v>
      </c>
      <c r="I1742" s="19">
        <f>Ringkasan!I1741</f>
        <v>0.83</v>
      </c>
      <c r="J1742" s="19">
        <f>Ringkasan!J1741</f>
        <v>13.6</v>
      </c>
      <c r="K1742" s="19">
        <f>Ringkasan!K1741</f>
        <v>4.8</v>
      </c>
      <c r="L1742" s="19">
        <f>Ringkasan!L1741</f>
        <v>1.9</v>
      </c>
      <c r="M1742" s="19">
        <f>Ringkasan!M1741</f>
        <v>27.6</v>
      </c>
      <c r="N1742" s="64" t="str">
        <f>Ringkasan!N1741</f>
        <v/>
      </c>
      <c r="O1742" s="64" t="str">
        <f>Ringkasan!O1741</f>
        <v/>
      </c>
      <c r="P1742" s="64" t="str">
        <f>Ringkasan!P1741</f>
        <v/>
      </c>
      <c r="Q1742" s="64" t="str">
        <f>Ringkasan!Q1741</f>
        <v/>
      </c>
      <c r="R1742" s="64" t="str">
        <f>Ringkasan!R1741</f>
        <v/>
      </c>
      <c r="S1742" s="64" t="str">
        <f>Ringkasan!S1741</f>
        <v/>
      </c>
      <c r="T1742" s="64" t="str">
        <f>Ringkasan!T1741</f>
        <v/>
      </c>
      <c r="U1742" s="22">
        <f>Ringkasan!U1741</f>
        <v>332</v>
      </c>
      <c r="V1742" s="22">
        <f>Ringkasan!V1741</f>
        <v>3.61</v>
      </c>
      <c r="W1742" s="22">
        <f>Ringkasan!W1741</f>
        <v>334</v>
      </c>
      <c r="X1742" s="22">
        <f>Ringkasan!X1741</f>
        <v>354</v>
      </c>
      <c r="Y1742" s="22">
        <f>Ringkasan!Y1741</f>
        <v>332</v>
      </c>
      <c r="Z1742" s="22">
        <f>Ringkasan!Z1741</f>
        <v>229174400</v>
      </c>
      <c r="AA1742" s="64" t="str">
        <f>Ringkasan!AA1741</f>
        <v>Wireless Telecommunication Services</v>
      </c>
      <c r="AB1742" s="64" t="str">
        <f>Ringkasan!AB1741</f>
        <v>Infrastructures</v>
      </c>
    </row>
    <row r="1743" hidden="1">
      <c r="A1743" s="64" t="str">
        <f>Ringkasan!A1742</f>
        <v>TOWR</v>
      </c>
      <c r="B1743" s="64" t="str">
        <f>Ringkasan!B1742</f>
        <v>Sarana Menara Nusantara Tbk</v>
      </c>
      <c r="C1743" s="67">
        <f>Ringkasan!C1742</f>
        <v>344</v>
      </c>
      <c r="D1743" s="22" t="str">
        <f>Ringkasan!D1742</f>
        <v>#N/A</v>
      </c>
      <c r="E1743" s="64" t="str">
        <f>Ringkasan!E1742</f>
        <v>Kompas100</v>
      </c>
      <c r="F1743" s="64" t="str">
        <f>Ringkasan!F1742</f>
        <v>31 Juli 2026</v>
      </c>
      <c r="G1743" s="64">
        <f>Ringkasan!G1742</f>
        <v>11</v>
      </c>
      <c r="H1743" s="19">
        <f>Ringkasan!H1742</f>
        <v>6.1</v>
      </c>
      <c r="I1743" s="19">
        <f>Ringkasan!I1742</f>
        <v>0.83</v>
      </c>
      <c r="J1743" s="19">
        <f>Ringkasan!J1742</f>
        <v>13.6</v>
      </c>
      <c r="K1743" s="19">
        <f>Ringkasan!K1742</f>
        <v>4.8</v>
      </c>
      <c r="L1743" s="19">
        <f>Ringkasan!L1742</f>
        <v>1.9</v>
      </c>
      <c r="M1743" s="19">
        <f>Ringkasan!M1742</f>
        <v>27.6</v>
      </c>
      <c r="N1743" s="64" t="str">
        <f>Ringkasan!N1742</f>
        <v/>
      </c>
      <c r="O1743" s="64" t="str">
        <f>Ringkasan!O1742</f>
        <v/>
      </c>
      <c r="P1743" s="64" t="str">
        <f>Ringkasan!P1742</f>
        <v/>
      </c>
      <c r="Q1743" s="64" t="str">
        <f>Ringkasan!Q1742</f>
        <v/>
      </c>
      <c r="R1743" s="64" t="str">
        <f>Ringkasan!R1742</f>
        <v/>
      </c>
      <c r="S1743" s="64" t="str">
        <f>Ringkasan!S1742</f>
        <v/>
      </c>
      <c r="T1743" s="64" t="str">
        <f>Ringkasan!T1742</f>
        <v/>
      </c>
      <c r="U1743" s="22">
        <f>Ringkasan!U1742</f>
        <v>332</v>
      </c>
      <c r="V1743" s="22">
        <f>Ringkasan!V1742</f>
        <v>3.61</v>
      </c>
      <c r="W1743" s="22">
        <f>Ringkasan!W1742</f>
        <v>334</v>
      </c>
      <c r="X1743" s="22">
        <f>Ringkasan!X1742</f>
        <v>354</v>
      </c>
      <c r="Y1743" s="22">
        <f>Ringkasan!Y1742</f>
        <v>332</v>
      </c>
      <c r="Z1743" s="22">
        <f>Ringkasan!Z1742</f>
        <v>229174400</v>
      </c>
      <c r="AA1743" s="64" t="str">
        <f>Ringkasan!AA1742</f>
        <v>Wireless Telecommunication Services</v>
      </c>
      <c r="AB1743" s="64" t="str">
        <f>Ringkasan!AB1742</f>
        <v>Infrastructures</v>
      </c>
    </row>
    <row r="1744" hidden="1">
      <c r="A1744" s="64" t="str">
        <f>Ringkasan!A1743</f>
        <v>TOWR</v>
      </c>
      <c r="B1744" s="64" t="str">
        <f>Ringkasan!B1743</f>
        <v>Sarana Menara Nusantara Tbk</v>
      </c>
      <c r="C1744" s="67">
        <f>Ringkasan!C1743</f>
        <v>344</v>
      </c>
      <c r="D1744" s="22" t="str">
        <f>Ringkasan!D1743</f>
        <v>#N/A</v>
      </c>
      <c r="E1744" s="64" t="str">
        <f>Ringkasan!E1743</f>
        <v>IDX80</v>
      </c>
      <c r="F1744" s="64" t="str">
        <f>Ringkasan!F1743</f>
        <v>31 Juli 2026</v>
      </c>
      <c r="G1744" s="64">
        <f>Ringkasan!G1743</f>
        <v>11</v>
      </c>
      <c r="H1744" s="19">
        <f>Ringkasan!H1743</f>
        <v>6.1</v>
      </c>
      <c r="I1744" s="19">
        <f>Ringkasan!I1743</f>
        <v>0.83</v>
      </c>
      <c r="J1744" s="19">
        <f>Ringkasan!J1743</f>
        <v>13.6</v>
      </c>
      <c r="K1744" s="19">
        <f>Ringkasan!K1743</f>
        <v>4.8</v>
      </c>
      <c r="L1744" s="19">
        <f>Ringkasan!L1743</f>
        <v>1.9</v>
      </c>
      <c r="M1744" s="19">
        <f>Ringkasan!M1743</f>
        <v>27.6</v>
      </c>
      <c r="N1744" s="64" t="str">
        <f>Ringkasan!N1743</f>
        <v/>
      </c>
      <c r="O1744" s="64" t="str">
        <f>Ringkasan!O1743</f>
        <v/>
      </c>
      <c r="P1744" s="64" t="str">
        <f>Ringkasan!P1743</f>
        <v/>
      </c>
      <c r="Q1744" s="64" t="str">
        <f>Ringkasan!Q1743</f>
        <v/>
      </c>
      <c r="R1744" s="64" t="str">
        <f>Ringkasan!R1743</f>
        <v/>
      </c>
      <c r="S1744" s="64" t="str">
        <f>Ringkasan!S1743</f>
        <v/>
      </c>
      <c r="T1744" s="64" t="str">
        <f>Ringkasan!T1743</f>
        <v/>
      </c>
      <c r="U1744" s="22">
        <f>Ringkasan!U1743</f>
        <v>332</v>
      </c>
      <c r="V1744" s="22">
        <f>Ringkasan!V1743</f>
        <v>3.61</v>
      </c>
      <c r="W1744" s="22">
        <f>Ringkasan!W1743</f>
        <v>334</v>
      </c>
      <c r="X1744" s="22">
        <f>Ringkasan!X1743</f>
        <v>354</v>
      </c>
      <c r="Y1744" s="22">
        <f>Ringkasan!Y1743</f>
        <v>332</v>
      </c>
      <c r="Z1744" s="22">
        <f>Ringkasan!Z1743</f>
        <v>229174400</v>
      </c>
      <c r="AA1744" s="64" t="str">
        <f>Ringkasan!AA1743</f>
        <v>Wireless Telecommunication Services</v>
      </c>
      <c r="AB1744" s="64" t="str">
        <f>Ringkasan!AB1743</f>
        <v>Infrastructures</v>
      </c>
    </row>
    <row r="1745" hidden="1">
      <c r="A1745" s="64" t="str">
        <f>Ringkasan!A1744</f>
        <v>TOWR</v>
      </c>
      <c r="B1745" s="64" t="str">
        <f>Ringkasan!B1744</f>
        <v>Sarana Menara Nusantara Tbk</v>
      </c>
      <c r="C1745" s="67">
        <f>Ringkasan!C1744</f>
        <v>344</v>
      </c>
      <c r="D1745" s="22" t="str">
        <f>Ringkasan!D1744</f>
        <v>#N/A</v>
      </c>
      <c r="E1745" s="64" t="str">
        <f>Ringkasan!E1744</f>
        <v>SMINFRA18</v>
      </c>
      <c r="F1745" s="64" t="str">
        <f>Ringkasan!F1744</f>
        <v>30 Oktober 2026</v>
      </c>
      <c r="G1745" s="64">
        <f>Ringkasan!G1744</f>
        <v>11</v>
      </c>
      <c r="H1745" s="19">
        <f>Ringkasan!H1744</f>
        <v>6.1</v>
      </c>
      <c r="I1745" s="19">
        <f>Ringkasan!I1744</f>
        <v>0.83</v>
      </c>
      <c r="J1745" s="19">
        <f>Ringkasan!J1744</f>
        <v>13.6</v>
      </c>
      <c r="K1745" s="19">
        <f>Ringkasan!K1744</f>
        <v>4.8</v>
      </c>
      <c r="L1745" s="19">
        <f>Ringkasan!L1744</f>
        <v>1.9</v>
      </c>
      <c r="M1745" s="19">
        <f>Ringkasan!M1744</f>
        <v>27.6</v>
      </c>
      <c r="N1745" s="64" t="str">
        <f>Ringkasan!N1744</f>
        <v/>
      </c>
      <c r="O1745" s="64" t="str">
        <f>Ringkasan!O1744</f>
        <v/>
      </c>
      <c r="P1745" s="64" t="str">
        <f>Ringkasan!P1744</f>
        <v/>
      </c>
      <c r="Q1745" s="64" t="str">
        <f>Ringkasan!Q1744</f>
        <v/>
      </c>
      <c r="R1745" s="64" t="str">
        <f>Ringkasan!R1744</f>
        <v/>
      </c>
      <c r="S1745" s="64" t="str">
        <f>Ringkasan!S1744</f>
        <v/>
      </c>
      <c r="T1745" s="64" t="str">
        <f>Ringkasan!T1744</f>
        <v/>
      </c>
      <c r="U1745" s="22">
        <f>Ringkasan!U1744</f>
        <v>332</v>
      </c>
      <c r="V1745" s="22">
        <f>Ringkasan!V1744</f>
        <v>3.61</v>
      </c>
      <c r="W1745" s="22">
        <f>Ringkasan!W1744</f>
        <v>334</v>
      </c>
      <c r="X1745" s="22">
        <f>Ringkasan!X1744</f>
        <v>354</v>
      </c>
      <c r="Y1745" s="22">
        <f>Ringkasan!Y1744</f>
        <v>332</v>
      </c>
      <c r="Z1745" s="22">
        <f>Ringkasan!Z1744</f>
        <v>229174400</v>
      </c>
      <c r="AA1745" s="64" t="str">
        <f>Ringkasan!AA1744</f>
        <v>Wireless Telecommunication Services</v>
      </c>
      <c r="AB1745" s="64" t="str">
        <f>Ringkasan!AB1744</f>
        <v>Infrastructures</v>
      </c>
    </row>
    <row r="1746" hidden="1">
      <c r="A1746" s="64" t="str">
        <f>Ringkasan!A1745</f>
        <v>TOWR</v>
      </c>
      <c r="B1746" s="64" t="str">
        <f>Ringkasan!B1745</f>
        <v>Sarana Menara Nusantara Tbk</v>
      </c>
      <c r="C1746" s="67">
        <f>Ringkasan!C1745</f>
        <v>344</v>
      </c>
      <c r="D1746" s="22" t="str">
        <f>Ringkasan!D1745</f>
        <v>#N/A</v>
      </c>
      <c r="E1746" s="64" t="str">
        <f>Ringkasan!E1745</f>
        <v>LQ45</v>
      </c>
      <c r="F1746" s="64" t="str">
        <f>Ringkasan!F1745</f>
        <v>31 Juli 2026</v>
      </c>
      <c r="G1746" s="64">
        <f>Ringkasan!G1745</f>
        <v>11</v>
      </c>
      <c r="H1746" s="19">
        <f>Ringkasan!H1745</f>
        <v>6.1</v>
      </c>
      <c r="I1746" s="19">
        <f>Ringkasan!I1745</f>
        <v>0.83</v>
      </c>
      <c r="J1746" s="19">
        <f>Ringkasan!J1745</f>
        <v>13.6</v>
      </c>
      <c r="K1746" s="19">
        <f>Ringkasan!K1745</f>
        <v>4.8</v>
      </c>
      <c r="L1746" s="19">
        <f>Ringkasan!L1745</f>
        <v>1.9</v>
      </c>
      <c r="M1746" s="19">
        <f>Ringkasan!M1745</f>
        <v>27.6</v>
      </c>
      <c r="N1746" s="64" t="str">
        <f>Ringkasan!N1745</f>
        <v/>
      </c>
      <c r="O1746" s="64" t="str">
        <f>Ringkasan!O1745</f>
        <v/>
      </c>
      <c r="P1746" s="64" t="str">
        <f>Ringkasan!P1745</f>
        <v/>
      </c>
      <c r="Q1746" s="64" t="str">
        <f>Ringkasan!Q1745</f>
        <v/>
      </c>
      <c r="R1746" s="64" t="str">
        <f>Ringkasan!R1745</f>
        <v/>
      </c>
      <c r="S1746" s="64" t="str">
        <f>Ringkasan!S1745</f>
        <v/>
      </c>
      <c r="T1746" s="64" t="str">
        <f>Ringkasan!T1745</f>
        <v/>
      </c>
      <c r="U1746" s="22">
        <f>Ringkasan!U1745</f>
        <v>332</v>
      </c>
      <c r="V1746" s="22">
        <f>Ringkasan!V1745</f>
        <v>3.61</v>
      </c>
      <c r="W1746" s="22">
        <f>Ringkasan!W1745</f>
        <v>334</v>
      </c>
      <c r="X1746" s="22">
        <f>Ringkasan!X1745</f>
        <v>354</v>
      </c>
      <c r="Y1746" s="22">
        <f>Ringkasan!Y1745</f>
        <v>332</v>
      </c>
      <c r="Z1746" s="22">
        <f>Ringkasan!Z1745</f>
        <v>229174400</v>
      </c>
      <c r="AA1746" s="64" t="str">
        <f>Ringkasan!AA1745</f>
        <v>Wireless Telecommunication Services</v>
      </c>
      <c r="AB1746" s="64" t="str">
        <f>Ringkasan!AB1745</f>
        <v>Infrastructures</v>
      </c>
    </row>
    <row r="1747" hidden="1">
      <c r="A1747" s="64" t="str">
        <f>Ringkasan!A1746</f>
        <v>TOWR</v>
      </c>
      <c r="B1747" s="64" t="str">
        <f>Ringkasan!B1746</f>
        <v>Sarana Menara Nusantara Tbk</v>
      </c>
      <c r="C1747" s="65">
        <f>Ringkasan!C1746</f>
        <v>344</v>
      </c>
      <c r="D1747" s="64" t="str">
        <f>Ringkasan!D1746</f>
        <v>#N/A</v>
      </c>
      <c r="E1747" s="64" t="str">
        <f>Ringkasan!E1746</f>
        <v>IDXESGL</v>
      </c>
      <c r="F1747" s="64" t="str">
        <f>Ringkasan!F1746</f>
        <v>30 Oktober 2026</v>
      </c>
      <c r="G1747" s="64">
        <f>Ringkasan!G1746</f>
        <v>11</v>
      </c>
      <c r="H1747" s="19">
        <f>Ringkasan!H1746</f>
        <v>6.1</v>
      </c>
      <c r="I1747" s="19">
        <f>Ringkasan!I1746</f>
        <v>0.83</v>
      </c>
      <c r="J1747" s="19">
        <f>Ringkasan!J1746</f>
        <v>13.6</v>
      </c>
      <c r="K1747" s="19">
        <f>Ringkasan!K1746</f>
        <v>4.8</v>
      </c>
      <c r="L1747" s="19">
        <f>Ringkasan!L1746</f>
        <v>1.9</v>
      </c>
      <c r="M1747" s="19">
        <f>Ringkasan!M1746</f>
        <v>27.6</v>
      </c>
      <c r="N1747" s="64" t="str">
        <f>Ringkasan!N1746</f>
        <v/>
      </c>
      <c r="O1747" s="64" t="str">
        <f>Ringkasan!O1746</f>
        <v/>
      </c>
      <c r="P1747" s="64" t="str">
        <f>Ringkasan!P1746</f>
        <v/>
      </c>
      <c r="Q1747" s="64" t="str">
        <f>Ringkasan!Q1746</f>
        <v/>
      </c>
      <c r="R1747" s="64" t="str">
        <f>Ringkasan!R1746</f>
        <v/>
      </c>
      <c r="S1747" s="64" t="str">
        <f>Ringkasan!S1746</f>
        <v/>
      </c>
      <c r="T1747" s="64" t="str">
        <f>Ringkasan!T1746</f>
        <v/>
      </c>
      <c r="U1747" s="64">
        <f>Ringkasan!U1746</f>
        <v>332</v>
      </c>
      <c r="V1747" s="64">
        <f>Ringkasan!V1746</f>
        <v>3.61</v>
      </c>
      <c r="W1747" s="64">
        <f>Ringkasan!W1746</f>
        <v>334</v>
      </c>
      <c r="X1747" s="64">
        <f>Ringkasan!X1746</f>
        <v>354</v>
      </c>
      <c r="Y1747" s="64">
        <f>Ringkasan!Y1746</f>
        <v>332</v>
      </c>
      <c r="Z1747" s="64">
        <f>Ringkasan!Z1746</f>
        <v>229174400</v>
      </c>
      <c r="AA1747" s="64" t="str">
        <f>Ringkasan!AA1746</f>
        <v>Wireless Telecommunication Services</v>
      </c>
      <c r="AB1747" s="64" t="str">
        <f>Ringkasan!AB1746</f>
        <v>Infrastructures</v>
      </c>
    </row>
    <row r="1748" hidden="1">
      <c r="A1748" s="64" t="str">
        <f>Ringkasan!A1747</f>
        <v>TOWR</v>
      </c>
      <c r="B1748" s="64" t="str">
        <f>Ringkasan!B1747</f>
        <v>Sarana Menara Nusantara Tbk</v>
      </c>
      <c r="C1748" s="67">
        <f>Ringkasan!C1747</f>
        <v>344</v>
      </c>
      <c r="D1748" s="22" t="str">
        <f>Ringkasan!D1747</f>
        <v>#N/A</v>
      </c>
      <c r="E1748" s="64" t="str">
        <f>Ringkasan!E1747</f>
        <v>IDXSMC-LIQ</v>
      </c>
      <c r="F1748" s="64" t="str">
        <f>Ringkasan!F1747</f>
        <v>4 Agustus 2026</v>
      </c>
      <c r="G1748" s="64">
        <f>Ringkasan!G1747</f>
        <v>11</v>
      </c>
      <c r="H1748" s="19">
        <f>Ringkasan!H1747</f>
        <v>6.1</v>
      </c>
      <c r="I1748" s="19">
        <f>Ringkasan!I1747</f>
        <v>0.83</v>
      </c>
      <c r="J1748" s="19">
        <f>Ringkasan!J1747</f>
        <v>13.6</v>
      </c>
      <c r="K1748" s="19">
        <f>Ringkasan!K1747</f>
        <v>4.8</v>
      </c>
      <c r="L1748" s="19">
        <f>Ringkasan!L1747</f>
        <v>1.9</v>
      </c>
      <c r="M1748" s="19">
        <f>Ringkasan!M1747</f>
        <v>27.6</v>
      </c>
      <c r="N1748" s="64" t="str">
        <f>Ringkasan!N1747</f>
        <v/>
      </c>
      <c r="O1748" s="64" t="str">
        <f>Ringkasan!O1747</f>
        <v/>
      </c>
      <c r="P1748" s="64" t="str">
        <f>Ringkasan!P1747</f>
        <v/>
      </c>
      <c r="Q1748" s="64" t="str">
        <f>Ringkasan!Q1747</f>
        <v/>
      </c>
      <c r="R1748" s="64" t="str">
        <f>Ringkasan!R1747</f>
        <v/>
      </c>
      <c r="S1748" s="64" t="str">
        <f>Ringkasan!S1747</f>
        <v/>
      </c>
      <c r="T1748" s="64" t="str">
        <f>Ringkasan!T1747</f>
        <v/>
      </c>
      <c r="U1748" s="22">
        <f>Ringkasan!U1747</f>
        <v>332</v>
      </c>
      <c r="V1748" s="22">
        <f>Ringkasan!V1747</f>
        <v>3.61</v>
      </c>
      <c r="W1748" s="22">
        <f>Ringkasan!W1747</f>
        <v>334</v>
      </c>
      <c r="X1748" s="22">
        <f>Ringkasan!X1747</f>
        <v>354</v>
      </c>
      <c r="Y1748" s="22">
        <f>Ringkasan!Y1747</f>
        <v>332</v>
      </c>
      <c r="Z1748" s="22">
        <f>Ringkasan!Z1747</f>
        <v>229174400</v>
      </c>
      <c r="AA1748" s="64" t="str">
        <f>Ringkasan!AA1747</f>
        <v>Wireless Telecommunication Services</v>
      </c>
      <c r="AB1748" s="64" t="str">
        <f>Ringkasan!AB1747</f>
        <v>Infrastructures</v>
      </c>
    </row>
    <row r="1749" hidden="1">
      <c r="A1749" s="64" t="str">
        <f>Ringkasan!A1748</f>
        <v>TOWR</v>
      </c>
      <c r="B1749" s="64" t="str">
        <f>Ringkasan!B1748</f>
        <v>Sarana Menara Nusantara Tbk</v>
      </c>
      <c r="C1749" s="67">
        <f>Ringkasan!C1748</f>
        <v>344</v>
      </c>
      <c r="D1749" s="22" t="str">
        <f>Ringkasan!D1748</f>
        <v>#N/A</v>
      </c>
      <c r="E1749" s="64" t="str">
        <f>Ringkasan!E1748</f>
        <v>FTSE Large Cap</v>
      </c>
      <c r="F1749" s="64" t="str">
        <f>Ringkasan!F1748</f>
        <v>Juni 2026</v>
      </c>
      <c r="G1749" s="64">
        <f>Ringkasan!G1748</f>
        <v>11</v>
      </c>
      <c r="H1749" s="19">
        <f>Ringkasan!H1748</f>
        <v>6.1</v>
      </c>
      <c r="I1749" s="19">
        <f>Ringkasan!I1748</f>
        <v>0.83</v>
      </c>
      <c r="J1749" s="19">
        <f>Ringkasan!J1748</f>
        <v>13.6</v>
      </c>
      <c r="K1749" s="19">
        <f>Ringkasan!K1748</f>
        <v>4.8</v>
      </c>
      <c r="L1749" s="19">
        <f>Ringkasan!L1748</f>
        <v>1.9</v>
      </c>
      <c r="M1749" s="19">
        <f>Ringkasan!M1748</f>
        <v>27.6</v>
      </c>
      <c r="N1749" s="64" t="str">
        <f>Ringkasan!N1748</f>
        <v/>
      </c>
      <c r="O1749" s="64" t="str">
        <f>Ringkasan!O1748</f>
        <v/>
      </c>
      <c r="P1749" s="64" t="str">
        <f>Ringkasan!P1748</f>
        <v/>
      </c>
      <c r="Q1749" s="64" t="str">
        <f>Ringkasan!Q1748</f>
        <v/>
      </c>
      <c r="R1749" s="64" t="str">
        <f>Ringkasan!R1748</f>
        <v/>
      </c>
      <c r="S1749" s="64" t="str">
        <f>Ringkasan!S1748</f>
        <v/>
      </c>
      <c r="T1749" s="64" t="str">
        <f>Ringkasan!T1748</f>
        <v/>
      </c>
      <c r="U1749" s="22">
        <f>Ringkasan!U1748</f>
        <v>332</v>
      </c>
      <c r="V1749" s="22">
        <f>Ringkasan!V1748</f>
        <v>3.61</v>
      </c>
      <c r="W1749" s="22">
        <f>Ringkasan!W1748</f>
        <v>334</v>
      </c>
      <c r="X1749" s="22">
        <f>Ringkasan!X1748</f>
        <v>354</v>
      </c>
      <c r="Y1749" s="22">
        <f>Ringkasan!Y1748</f>
        <v>332</v>
      </c>
      <c r="Z1749" s="22">
        <f>Ringkasan!Z1748</f>
        <v>229174400</v>
      </c>
      <c r="AA1749" s="64" t="str">
        <f>Ringkasan!AA1748</f>
        <v>Wireless Telecommunication Services</v>
      </c>
      <c r="AB1749" s="64" t="str">
        <f>Ringkasan!AB1748</f>
        <v>Infrastructures</v>
      </c>
    </row>
    <row r="1750" hidden="1">
      <c r="A1750" s="60" t="str">
        <f>Ringkasan!A1739</f>
        <v>TOWR</v>
      </c>
      <c r="B1750" s="60" t="str">
        <f>Ringkasan!B1739</f>
        <v>Sarana Menara Nusantara Tbk</v>
      </c>
      <c r="C1750" s="61">
        <f>Ringkasan!C1739</f>
        <v>344</v>
      </c>
      <c r="D1750" s="60" t="str">
        <f>Ringkasan!D1739</f>
        <v>#N/A</v>
      </c>
      <c r="E1750" s="60" t="str">
        <f>Ringkasan!E1739</f>
        <v>ESGQKEHATI</v>
      </c>
      <c r="F1750" s="63">
        <f>Ringkasan!F1739</f>
        <v>46356</v>
      </c>
      <c r="G1750" s="60">
        <f>Ringkasan!G1739</f>
        <v>11</v>
      </c>
      <c r="H1750" s="62">
        <f>Ringkasan!H1739</f>
        <v>6.1</v>
      </c>
      <c r="I1750" s="62">
        <f>Ringkasan!I1739</f>
        <v>0.83</v>
      </c>
      <c r="J1750" s="62">
        <f>Ringkasan!J1739</f>
        <v>13.6</v>
      </c>
      <c r="K1750" s="62">
        <f>Ringkasan!K1739</f>
        <v>4.8</v>
      </c>
      <c r="L1750" s="62">
        <f>Ringkasan!L1739</f>
        <v>1.9</v>
      </c>
      <c r="M1750" s="62">
        <f>Ringkasan!M1739</f>
        <v>27.6</v>
      </c>
      <c r="N1750" s="60" t="str">
        <f>Ringkasan!N1739</f>
        <v/>
      </c>
      <c r="O1750" s="60" t="str">
        <f>Ringkasan!O1739</f>
        <v/>
      </c>
      <c r="P1750" s="60" t="str">
        <f>Ringkasan!P1739</f>
        <v/>
      </c>
      <c r="Q1750" s="60" t="str">
        <f>Ringkasan!Q1739</f>
        <v/>
      </c>
      <c r="R1750" s="60" t="str">
        <f>Ringkasan!R1739</f>
        <v/>
      </c>
      <c r="S1750" s="60" t="str">
        <f>Ringkasan!S1739</f>
        <v/>
      </c>
      <c r="T1750" s="60" t="str">
        <f>Ringkasan!T1739</f>
        <v/>
      </c>
      <c r="U1750" s="60">
        <f>Ringkasan!U1739</f>
        <v>332</v>
      </c>
      <c r="V1750" s="60">
        <f>Ringkasan!V1739</f>
        <v>3.61</v>
      </c>
      <c r="W1750" s="60">
        <f>Ringkasan!W1739</f>
        <v>334</v>
      </c>
      <c r="X1750" s="60">
        <f>Ringkasan!X1739</f>
        <v>354</v>
      </c>
      <c r="Y1750" s="60">
        <f>Ringkasan!Y1739</f>
        <v>332</v>
      </c>
      <c r="Z1750" s="60">
        <f>Ringkasan!Z1739</f>
        <v>229174400</v>
      </c>
      <c r="AA1750" s="60" t="str">
        <f>Ringkasan!AA1739</f>
        <v>Wireless Telecommunication Services</v>
      </c>
      <c r="AB1750" s="60" t="str">
        <f>Ringkasan!AB1739</f>
        <v>Infrastructures</v>
      </c>
    </row>
    <row r="1751" hidden="1">
      <c r="A1751" s="64" t="str">
        <f>Ringkasan!A1750</f>
        <v>TOYS</v>
      </c>
      <c r="B1751" s="64" t="str">
        <f>Ringkasan!B1750</f>
        <v>Sunindo Adipersada Tbk.</v>
      </c>
      <c r="C1751" s="67">
        <f>Ringkasan!C1750</f>
        <v>8</v>
      </c>
      <c r="D1751" s="22" t="str">
        <f>Ringkasan!D1750</f>
        <v>#N/A</v>
      </c>
      <c r="E1751" s="64" t="str">
        <f>Ringkasan!E1750</f>
        <v/>
      </c>
      <c r="F1751" s="64" t="str">
        <f>Ringkasan!F1750</f>
        <v/>
      </c>
      <c r="G1751" s="64">
        <f>Ringkasan!G1750</f>
        <v>0</v>
      </c>
      <c r="H1751" s="19">
        <f>Ringkasan!H1750</f>
        <v>0</v>
      </c>
      <c r="I1751" s="19">
        <f>Ringkasan!I1750</f>
        <v>0.05</v>
      </c>
      <c r="J1751" s="19">
        <f>Ringkasan!J1750</f>
        <v>-5.5</v>
      </c>
      <c r="K1751" s="19">
        <f>Ringkasan!K1750</f>
        <v>-3.8</v>
      </c>
      <c r="L1751" s="19">
        <f>Ringkasan!L1750</f>
        <v>0.44</v>
      </c>
      <c r="M1751" s="19">
        <f>Ringkasan!M1750</f>
        <v>-22.5</v>
      </c>
      <c r="N1751" s="64" t="str">
        <f>Ringkasan!N1750</f>
        <v/>
      </c>
      <c r="O1751" s="64" t="str">
        <f>Ringkasan!O1750</f>
        <v/>
      </c>
      <c r="P1751" s="64" t="str">
        <f>Ringkasan!P1750</f>
        <v/>
      </c>
      <c r="Q1751" s="64" t="str">
        <f>Ringkasan!Q1750</f>
        <v/>
      </c>
      <c r="R1751" s="64" t="str">
        <f>Ringkasan!R1750</f>
        <v/>
      </c>
      <c r="S1751" s="64" t="str">
        <f>Ringkasan!S1750</f>
        <v/>
      </c>
      <c r="T1751" s="64" t="str">
        <f>Ringkasan!T1750</f>
        <v/>
      </c>
      <c r="U1751" s="22">
        <f>Ringkasan!U1750</f>
        <v>8</v>
      </c>
      <c r="V1751" s="22">
        <f>Ringkasan!V1750</f>
        <v>0</v>
      </c>
      <c r="W1751" s="22" t="str">
        <f>Ringkasan!W1750</f>
        <v/>
      </c>
      <c r="X1751" s="22" t="str">
        <f>Ringkasan!X1750</f>
        <v/>
      </c>
      <c r="Y1751" s="22" t="str">
        <f>Ringkasan!Y1750</f>
        <v/>
      </c>
      <c r="Z1751" s="22">
        <f>Ringkasan!Z1750</f>
        <v>0</v>
      </c>
      <c r="AA1751" s="64" t="str">
        <f>Ringkasan!AA1750</f>
        <v>Sport Equipment &amp; Hobbies Goods</v>
      </c>
      <c r="AB1751" s="64" t="str">
        <f>Ringkasan!AB1750</f>
        <v>Consumer Cyclicals</v>
      </c>
    </row>
    <row r="1752" hidden="1">
      <c r="A1752" s="64" t="str">
        <f>Ringkasan!A1751</f>
        <v>TPIA</v>
      </c>
      <c r="B1752" s="64" t="str">
        <f>Ringkasan!B1751</f>
        <v>Chandra Asri Pacific Tbk.</v>
      </c>
      <c r="C1752" s="67">
        <f>Ringkasan!C1751</f>
        <v>1850</v>
      </c>
      <c r="D1752" s="22" t="str">
        <f>Ringkasan!D1751</f>
        <v>#N/A</v>
      </c>
      <c r="E1752" s="64" t="str">
        <f>Ringkasan!E1751</f>
        <v>IDXSHAGROW</v>
      </c>
      <c r="F1752" s="66">
        <f>Ringkasan!F1751</f>
        <v>46356</v>
      </c>
      <c r="G1752" s="64">
        <f>Ringkasan!G1751</f>
        <v>8</v>
      </c>
      <c r="H1752" s="19">
        <f>Ringkasan!H1751</f>
        <v>7.3</v>
      </c>
      <c r="I1752" s="19">
        <f>Ringkasan!I1751</f>
        <v>1.9</v>
      </c>
      <c r="J1752" s="19">
        <f>Ringkasan!J1751</f>
        <v>25.7</v>
      </c>
      <c r="K1752" s="19">
        <f>Ringkasan!K1751</f>
        <v>10</v>
      </c>
      <c r="L1752" s="19">
        <f>Ringkasan!L1751</f>
        <v>1.6</v>
      </c>
      <c r="M1752" s="19">
        <f>Ringkasan!M1751</f>
        <v>51.9</v>
      </c>
      <c r="N1752" s="64" t="str">
        <f>Ringkasan!N1751</f>
        <v/>
      </c>
      <c r="O1752" s="64" t="str">
        <f>Ringkasan!O1751</f>
        <v/>
      </c>
      <c r="P1752" s="64" t="str">
        <f>Ringkasan!P1751</f>
        <v/>
      </c>
      <c r="Q1752" s="64" t="str">
        <f>Ringkasan!Q1751</f>
        <v/>
      </c>
      <c r="R1752" s="64" t="str">
        <f>Ringkasan!R1751</f>
        <v/>
      </c>
      <c r="S1752" s="64" t="str">
        <f>Ringkasan!S1751</f>
        <v/>
      </c>
      <c r="T1752" s="64" t="str">
        <f>Ringkasan!T1751</f>
        <v/>
      </c>
      <c r="U1752" s="22">
        <f>Ringkasan!U1751</f>
        <v>1785</v>
      </c>
      <c r="V1752" s="22" t="str">
        <f>Ringkasan!V1751</f>
        <v/>
      </c>
      <c r="W1752" s="22">
        <f>Ringkasan!W1751</f>
        <v>1835</v>
      </c>
      <c r="X1752" s="22" t="str">
        <f>Ringkasan!X1751</f>
        <v/>
      </c>
      <c r="Y1752" s="22">
        <f>Ringkasan!Y1751</f>
        <v>1820</v>
      </c>
      <c r="Z1752" s="22">
        <f>Ringkasan!Z1751</f>
        <v>1305429500</v>
      </c>
      <c r="AA1752" s="64" t="str">
        <f>Ringkasan!AA1751</f>
        <v>Chemicals</v>
      </c>
      <c r="AB1752" s="64" t="str">
        <f>Ringkasan!AB1751</f>
        <v>Basic Materials</v>
      </c>
    </row>
    <row r="1753" hidden="1">
      <c r="A1753" s="64" t="str">
        <f>Ringkasan!A1752</f>
        <v>TPIA</v>
      </c>
      <c r="B1753" s="64" t="str">
        <f>Ringkasan!B1752</f>
        <v>Chandra Asri Pacific Tbk.</v>
      </c>
      <c r="C1753" s="67">
        <f>Ringkasan!C1752</f>
        <v>1850</v>
      </c>
      <c r="D1753" s="22" t="str">
        <f>Ringkasan!D1752</f>
        <v>#N/A</v>
      </c>
      <c r="E1753" s="64" t="str">
        <f>Ringkasan!E1752</f>
        <v>JII30</v>
      </c>
      <c r="F1753" s="66">
        <f>Ringkasan!F1752</f>
        <v>46356</v>
      </c>
      <c r="G1753" s="64">
        <f>Ringkasan!G1752</f>
        <v>8</v>
      </c>
      <c r="H1753" s="19">
        <f>Ringkasan!H1752</f>
        <v>7.3</v>
      </c>
      <c r="I1753" s="19">
        <f>Ringkasan!I1752</f>
        <v>1.9</v>
      </c>
      <c r="J1753" s="19">
        <f>Ringkasan!J1752</f>
        <v>25.7</v>
      </c>
      <c r="K1753" s="19">
        <f>Ringkasan!K1752</f>
        <v>10</v>
      </c>
      <c r="L1753" s="19">
        <f>Ringkasan!L1752</f>
        <v>1.6</v>
      </c>
      <c r="M1753" s="19">
        <f>Ringkasan!M1752</f>
        <v>51.9</v>
      </c>
      <c r="N1753" s="64" t="str">
        <f>Ringkasan!N1752</f>
        <v/>
      </c>
      <c r="O1753" s="64" t="str">
        <f>Ringkasan!O1752</f>
        <v/>
      </c>
      <c r="P1753" s="64" t="str">
        <f>Ringkasan!P1752</f>
        <v/>
      </c>
      <c r="Q1753" s="64" t="str">
        <f>Ringkasan!Q1752</f>
        <v/>
      </c>
      <c r="R1753" s="64" t="str">
        <f>Ringkasan!R1752</f>
        <v/>
      </c>
      <c r="S1753" s="64" t="str">
        <f>Ringkasan!S1752</f>
        <v/>
      </c>
      <c r="T1753" s="64" t="str">
        <f>Ringkasan!T1752</f>
        <v/>
      </c>
      <c r="U1753" s="22">
        <f>Ringkasan!U1752</f>
        <v>1785</v>
      </c>
      <c r="V1753" s="22" t="str">
        <f>Ringkasan!V1752</f>
        <v/>
      </c>
      <c r="W1753" s="22">
        <f>Ringkasan!W1752</f>
        <v>1835</v>
      </c>
      <c r="X1753" s="22" t="str">
        <f>Ringkasan!X1752</f>
        <v/>
      </c>
      <c r="Y1753" s="22">
        <f>Ringkasan!Y1752</f>
        <v>1820</v>
      </c>
      <c r="Z1753" s="22">
        <f>Ringkasan!Z1752</f>
        <v>1305429500</v>
      </c>
      <c r="AA1753" s="64" t="str">
        <f>Ringkasan!AA1752</f>
        <v>Chemicals</v>
      </c>
      <c r="AB1753" s="64" t="str">
        <f>Ringkasan!AB1752</f>
        <v>Basic Materials</v>
      </c>
    </row>
    <row r="1754" hidden="1">
      <c r="A1754" s="64" t="str">
        <f>Ringkasan!A1753</f>
        <v>TPIA</v>
      </c>
      <c r="B1754" s="64" t="str">
        <f>Ringkasan!B1753</f>
        <v>Chandra Asri Pacific Tbk.</v>
      </c>
      <c r="C1754" s="67">
        <f>Ringkasan!C1753</f>
        <v>1850</v>
      </c>
      <c r="D1754" s="22" t="str">
        <f>Ringkasan!D1753</f>
        <v>#N/A</v>
      </c>
      <c r="E1754" s="64" t="str">
        <f>Ringkasan!E1753</f>
        <v>IDXESGL</v>
      </c>
      <c r="F1754" s="64" t="str">
        <f>Ringkasan!F1753</f>
        <v>30 Oktober 2026</v>
      </c>
      <c r="G1754" s="64">
        <f>Ringkasan!G1753</f>
        <v>8</v>
      </c>
      <c r="H1754" s="19">
        <f>Ringkasan!H1753</f>
        <v>7.3</v>
      </c>
      <c r="I1754" s="19">
        <f>Ringkasan!I1753</f>
        <v>1.9</v>
      </c>
      <c r="J1754" s="19">
        <f>Ringkasan!J1753</f>
        <v>25.7</v>
      </c>
      <c r="K1754" s="19">
        <f>Ringkasan!K1753</f>
        <v>10</v>
      </c>
      <c r="L1754" s="19">
        <f>Ringkasan!L1753</f>
        <v>1.6</v>
      </c>
      <c r="M1754" s="19">
        <f>Ringkasan!M1753</f>
        <v>51.9</v>
      </c>
      <c r="N1754" s="64" t="str">
        <f>Ringkasan!N1753</f>
        <v/>
      </c>
      <c r="O1754" s="64" t="str">
        <f>Ringkasan!O1753</f>
        <v/>
      </c>
      <c r="P1754" s="64" t="str">
        <f>Ringkasan!P1753</f>
        <v/>
      </c>
      <c r="Q1754" s="64" t="str">
        <f>Ringkasan!Q1753</f>
        <v/>
      </c>
      <c r="R1754" s="64" t="str">
        <f>Ringkasan!R1753</f>
        <v/>
      </c>
      <c r="S1754" s="64" t="str">
        <f>Ringkasan!S1753</f>
        <v/>
      </c>
      <c r="T1754" s="64" t="str">
        <f>Ringkasan!T1753</f>
        <v/>
      </c>
      <c r="U1754" s="22">
        <f>Ringkasan!U1753</f>
        <v>1785</v>
      </c>
      <c r="V1754" s="22" t="str">
        <f>Ringkasan!V1753</f>
        <v/>
      </c>
      <c r="W1754" s="22">
        <f>Ringkasan!W1753</f>
        <v>1835</v>
      </c>
      <c r="X1754" s="22" t="str">
        <f>Ringkasan!X1753</f>
        <v/>
      </c>
      <c r="Y1754" s="22">
        <f>Ringkasan!Y1753</f>
        <v>1820</v>
      </c>
      <c r="Z1754" s="22">
        <f>Ringkasan!Z1753</f>
        <v>1305429500</v>
      </c>
      <c r="AA1754" s="64" t="str">
        <f>Ringkasan!AA1753</f>
        <v>Chemicals</v>
      </c>
      <c r="AB1754" s="64" t="str">
        <f>Ringkasan!AB1753</f>
        <v>Basic Materials</v>
      </c>
    </row>
    <row r="1755" hidden="1">
      <c r="A1755" s="64" t="str">
        <f>Ringkasan!A1754</f>
        <v>TPIA</v>
      </c>
      <c r="B1755" s="64" t="str">
        <f>Ringkasan!B1754</f>
        <v>Chandra Asri Pacific Tbk.</v>
      </c>
      <c r="C1755" s="67">
        <f>Ringkasan!C1754</f>
        <v>1850</v>
      </c>
      <c r="D1755" s="22" t="str">
        <f>Ringkasan!D1754</f>
        <v>#N/A</v>
      </c>
      <c r="E1755" s="64" t="str">
        <f>Ringkasan!E1754</f>
        <v>IDX80</v>
      </c>
      <c r="F1755" s="64" t="str">
        <f>Ringkasan!F1754</f>
        <v>31 Juli 2026</v>
      </c>
      <c r="G1755" s="64">
        <f>Ringkasan!G1754</f>
        <v>8</v>
      </c>
      <c r="H1755" s="19">
        <f>Ringkasan!H1754</f>
        <v>7.3</v>
      </c>
      <c r="I1755" s="19">
        <f>Ringkasan!I1754</f>
        <v>1.9</v>
      </c>
      <c r="J1755" s="19">
        <f>Ringkasan!J1754</f>
        <v>25.7</v>
      </c>
      <c r="K1755" s="19">
        <f>Ringkasan!K1754</f>
        <v>10</v>
      </c>
      <c r="L1755" s="19">
        <f>Ringkasan!L1754</f>
        <v>1.6</v>
      </c>
      <c r="M1755" s="19">
        <f>Ringkasan!M1754</f>
        <v>51.9</v>
      </c>
      <c r="N1755" s="64" t="str">
        <f>Ringkasan!N1754</f>
        <v/>
      </c>
      <c r="O1755" s="64" t="str">
        <f>Ringkasan!O1754</f>
        <v/>
      </c>
      <c r="P1755" s="64" t="str">
        <f>Ringkasan!P1754</f>
        <v/>
      </c>
      <c r="Q1755" s="64" t="str">
        <f>Ringkasan!Q1754</f>
        <v/>
      </c>
      <c r="R1755" s="64" t="str">
        <f>Ringkasan!R1754</f>
        <v/>
      </c>
      <c r="S1755" s="64" t="str">
        <f>Ringkasan!S1754</f>
        <v/>
      </c>
      <c r="T1755" s="64" t="str">
        <f>Ringkasan!T1754</f>
        <v/>
      </c>
      <c r="U1755" s="22">
        <f>Ringkasan!U1754</f>
        <v>1785</v>
      </c>
      <c r="V1755" s="22" t="str">
        <f>Ringkasan!V1754</f>
        <v/>
      </c>
      <c r="W1755" s="22">
        <f>Ringkasan!W1754</f>
        <v>1835</v>
      </c>
      <c r="X1755" s="22" t="str">
        <f>Ringkasan!X1754</f>
        <v/>
      </c>
      <c r="Y1755" s="22">
        <f>Ringkasan!Y1754</f>
        <v>1820</v>
      </c>
      <c r="Z1755" s="22">
        <f>Ringkasan!Z1754</f>
        <v>1305429500</v>
      </c>
      <c r="AA1755" s="64" t="str">
        <f>Ringkasan!AA1754</f>
        <v>Chemicals</v>
      </c>
      <c r="AB1755" s="64" t="str">
        <f>Ringkasan!AB1754</f>
        <v>Basic Materials</v>
      </c>
    </row>
    <row r="1756" hidden="1">
      <c r="A1756" s="64" t="str">
        <f>Ringkasan!A1755</f>
        <v>TPIA</v>
      </c>
      <c r="B1756" s="64" t="str">
        <f>Ringkasan!B1755</f>
        <v>Chandra Asri Pacific Tbk.</v>
      </c>
      <c r="C1756" s="67">
        <f>Ringkasan!C1755</f>
        <v>1850</v>
      </c>
      <c r="D1756" s="22" t="str">
        <f>Ringkasan!D1755</f>
        <v>#N/A</v>
      </c>
      <c r="E1756" s="64" t="str">
        <f>Ringkasan!E1755</f>
        <v>ECONOMIC30</v>
      </c>
      <c r="F1756" s="64" t="str">
        <f>Ringkasan!F1755</f>
        <v>31 Agustus 2026</v>
      </c>
      <c r="G1756" s="64">
        <f>Ringkasan!G1755</f>
        <v>8</v>
      </c>
      <c r="H1756" s="19">
        <f>Ringkasan!H1755</f>
        <v>7.3</v>
      </c>
      <c r="I1756" s="19">
        <f>Ringkasan!I1755</f>
        <v>1.9</v>
      </c>
      <c r="J1756" s="19">
        <f>Ringkasan!J1755</f>
        <v>25.7</v>
      </c>
      <c r="K1756" s="19">
        <f>Ringkasan!K1755</f>
        <v>10</v>
      </c>
      <c r="L1756" s="19">
        <f>Ringkasan!L1755</f>
        <v>1.6</v>
      </c>
      <c r="M1756" s="19">
        <f>Ringkasan!M1755</f>
        <v>51.9</v>
      </c>
      <c r="N1756" s="64" t="str">
        <f>Ringkasan!N1755</f>
        <v/>
      </c>
      <c r="O1756" s="64" t="str">
        <f>Ringkasan!O1755</f>
        <v/>
      </c>
      <c r="P1756" s="64" t="str">
        <f>Ringkasan!P1755</f>
        <v/>
      </c>
      <c r="Q1756" s="64" t="str">
        <f>Ringkasan!Q1755</f>
        <v/>
      </c>
      <c r="R1756" s="64" t="str">
        <f>Ringkasan!R1755</f>
        <v/>
      </c>
      <c r="S1756" s="64" t="str">
        <f>Ringkasan!S1755</f>
        <v/>
      </c>
      <c r="T1756" s="64" t="str">
        <f>Ringkasan!T1755</f>
        <v/>
      </c>
      <c r="U1756" s="22">
        <f>Ringkasan!U1755</f>
        <v>1785</v>
      </c>
      <c r="V1756" s="22" t="str">
        <f>Ringkasan!V1755</f>
        <v/>
      </c>
      <c r="W1756" s="22">
        <f>Ringkasan!W1755</f>
        <v>1835</v>
      </c>
      <c r="X1756" s="22" t="str">
        <f>Ringkasan!X1755</f>
        <v/>
      </c>
      <c r="Y1756" s="22">
        <f>Ringkasan!Y1755</f>
        <v>1820</v>
      </c>
      <c r="Z1756" s="22">
        <f>Ringkasan!Z1755</f>
        <v>1305429500</v>
      </c>
      <c r="AA1756" s="64" t="str">
        <f>Ringkasan!AA1755</f>
        <v>Chemicals</v>
      </c>
      <c r="AB1756" s="64" t="str">
        <f>Ringkasan!AB1755</f>
        <v>Basic Materials</v>
      </c>
    </row>
    <row r="1757" hidden="1">
      <c r="A1757" s="64" t="str">
        <f>Ringkasan!A1756</f>
        <v>TPIA</v>
      </c>
      <c r="B1757" s="64" t="str">
        <f>Ringkasan!B1756</f>
        <v>Chandra Asri Pacific Tbk.</v>
      </c>
      <c r="C1757" s="67">
        <f>Ringkasan!C1756</f>
        <v>1850</v>
      </c>
      <c r="D1757" s="22" t="str">
        <f>Ringkasan!D1756</f>
        <v>#N/A</v>
      </c>
      <c r="E1757" s="64" t="str">
        <f>Ringkasan!E1756</f>
        <v>Kompas100</v>
      </c>
      <c r="F1757" s="64" t="str">
        <f>Ringkasan!F1756</f>
        <v>31 Juli 2026</v>
      </c>
      <c r="G1757" s="64">
        <f>Ringkasan!G1756</f>
        <v>8</v>
      </c>
      <c r="H1757" s="19">
        <f>Ringkasan!H1756</f>
        <v>7.3</v>
      </c>
      <c r="I1757" s="19">
        <f>Ringkasan!I1756</f>
        <v>1.9</v>
      </c>
      <c r="J1757" s="19">
        <f>Ringkasan!J1756</f>
        <v>25.7</v>
      </c>
      <c r="K1757" s="19">
        <f>Ringkasan!K1756</f>
        <v>10</v>
      </c>
      <c r="L1757" s="19">
        <f>Ringkasan!L1756</f>
        <v>1.6</v>
      </c>
      <c r="M1757" s="19">
        <f>Ringkasan!M1756</f>
        <v>51.9</v>
      </c>
      <c r="N1757" s="64" t="str">
        <f>Ringkasan!N1756</f>
        <v/>
      </c>
      <c r="O1757" s="64" t="str">
        <f>Ringkasan!O1756</f>
        <v/>
      </c>
      <c r="P1757" s="64" t="str">
        <f>Ringkasan!P1756</f>
        <v/>
      </c>
      <c r="Q1757" s="64" t="str">
        <f>Ringkasan!Q1756</f>
        <v/>
      </c>
      <c r="R1757" s="64" t="str">
        <f>Ringkasan!R1756</f>
        <v/>
      </c>
      <c r="S1757" s="64" t="str">
        <f>Ringkasan!S1756</f>
        <v/>
      </c>
      <c r="T1757" s="64" t="str">
        <f>Ringkasan!T1756</f>
        <v/>
      </c>
      <c r="U1757" s="22">
        <f>Ringkasan!U1756</f>
        <v>1785</v>
      </c>
      <c r="V1757" s="22" t="str">
        <f>Ringkasan!V1756</f>
        <v/>
      </c>
      <c r="W1757" s="22">
        <f>Ringkasan!W1756</f>
        <v>1835</v>
      </c>
      <c r="X1757" s="22" t="str">
        <f>Ringkasan!X1756</f>
        <v/>
      </c>
      <c r="Y1757" s="22">
        <f>Ringkasan!Y1756</f>
        <v>1820</v>
      </c>
      <c r="Z1757" s="22">
        <f>Ringkasan!Z1756</f>
        <v>1305429500</v>
      </c>
      <c r="AA1757" s="64" t="str">
        <f>Ringkasan!AA1756</f>
        <v>Chemicals</v>
      </c>
      <c r="AB1757" s="64" t="str">
        <f>Ringkasan!AB1756</f>
        <v>Basic Materials</v>
      </c>
    </row>
    <row r="1758" hidden="1">
      <c r="A1758" s="64" t="str">
        <f>Ringkasan!A1757</f>
        <v>TPIA</v>
      </c>
      <c r="B1758" s="64" t="str">
        <f>Ringkasan!B1757</f>
        <v>Chandra Asri Pacific Tbk.</v>
      </c>
      <c r="C1758" s="67">
        <f>Ringkasan!C1757</f>
        <v>1850</v>
      </c>
      <c r="D1758" s="22" t="str">
        <f>Ringkasan!D1757</f>
        <v>#N/A</v>
      </c>
      <c r="E1758" s="64" t="str">
        <f>Ringkasan!E1757</f>
        <v>Pefindo - iGrade</v>
      </c>
      <c r="F1758" s="64" t="str">
        <f>Ringkasan!F1757</f>
        <v>30 Juni 2026</v>
      </c>
      <c r="G1758" s="64">
        <f>Ringkasan!G1757</f>
        <v>8</v>
      </c>
      <c r="H1758" s="19">
        <f>Ringkasan!H1757</f>
        <v>7.3</v>
      </c>
      <c r="I1758" s="19">
        <f>Ringkasan!I1757</f>
        <v>1.9</v>
      </c>
      <c r="J1758" s="19">
        <f>Ringkasan!J1757</f>
        <v>25.7</v>
      </c>
      <c r="K1758" s="19">
        <f>Ringkasan!K1757</f>
        <v>10</v>
      </c>
      <c r="L1758" s="19">
        <f>Ringkasan!L1757</f>
        <v>1.6</v>
      </c>
      <c r="M1758" s="19">
        <f>Ringkasan!M1757</f>
        <v>51.9</v>
      </c>
      <c r="N1758" s="64" t="str">
        <f>Ringkasan!N1757</f>
        <v/>
      </c>
      <c r="O1758" s="64" t="str">
        <f>Ringkasan!O1757</f>
        <v/>
      </c>
      <c r="P1758" s="64" t="str">
        <f>Ringkasan!P1757</f>
        <v/>
      </c>
      <c r="Q1758" s="64" t="str">
        <f>Ringkasan!Q1757</f>
        <v/>
      </c>
      <c r="R1758" s="64" t="str">
        <f>Ringkasan!R1757</f>
        <v/>
      </c>
      <c r="S1758" s="64" t="str">
        <f>Ringkasan!S1757</f>
        <v/>
      </c>
      <c r="T1758" s="64" t="str">
        <f>Ringkasan!T1757</f>
        <v/>
      </c>
      <c r="U1758" s="22">
        <f>Ringkasan!U1757</f>
        <v>1785</v>
      </c>
      <c r="V1758" s="22" t="str">
        <f>Ringkasan!V1757</f>
        <v/>
      </c>
      <c r="W1758" s="22">
        <f>Ringkasan!W1757</f>
        <v>1835</v>
      </c>
      <c r="X1758" s="22" t="str">
        <f>Ringkasan!X1757</f>
        <v/>
      </c>
      <c r="Y1758" s="22">
        <f>Ringkasan!Y1757</f>
        <v>1820</v>
      </c>
      <c r="Z1758" s="22">
        <f>Ringkasan!Z1757</f>
        <v>1305429500</v>
      </c>
      <c r="AA1758" s="64" t="str">
        <f>Ringkasan!AA1757</f>
        <v>Chemicals</v>
      </c>
      <c r="AB1758" s="64" t="str">
        <f>Ringkasan!AB1757</f>
        <v>Basic Materials</v>
      </c>
    </row>
    <row r="1759" hidden="1">
      <c r="A1759" s="64" t="str">
        <f>Ringkasan!A1758</f>
        <v>TPIA</v>
      </c>
      <c r="B1759" s="64" t="str">
        <f>Ringkasan!B1758</f>
        <v>Chandra Asri Pacific Tbk.</v>
      </c>
      <c r="C1759" s="67">
        <f>Ringkasan!C1758</f>
        <v>1850</v>
      </c>
      <c r="D1759" s="22" t="str">
        <f>Ringkasan!D1758</f>
        <v>#N/A</v>
      </c>
      <c r="E1759" s="64" t="str">
        <f>Ringkasan!E1758</f>
        <v>JII70</v>
      </c>
      <c r="F1759" s="66">
        <f>Ringkasan!F1758</f>
        <v>46356</v>
      </c>
      <c r="G1759" s="64">
        <f>Ringkasan!G1758</f>
        <v>8</v>
      </c>
      <c r="H1759" s="19">
        <f>Ringkasan!H1758</f>
        <v>7.3</v>
      </c>
      <c r="I1759" s="19">
        <f>Ringkasan!I1758</f>
        <v>1.9</v>
      </c>
      <c r="J1759" s="19">
        <f>Ringkasan!J1758</f>
        <v>25.7</v>
      </c>
      <c r="K1759" s="19">
        <f>Ringkasan!K1758</f>
        <v>10</v>
      </c>
      <c r="L1759" s="19">
        <f>Ringkasan!L1758</f>
        <v>1.6</v>
      </c>
      <c r="M1759" s="19">
        <f>Ringkasan!M1758</f>
        <v>51.9</v>
      </c>
      <c r="N1759" s="64" t="str">
        <f>Ringkasan!N1758</f>
        <v/>
      </c>
      <c r="O1759" s="64" t="str">
        <f>Ringkasan!O1758</f>
        <v/>
      </c>
      <c r="P1759" s="64" t="str">
        <f>Ringkasan!P1758</f>
        <v/>
      </c>
      <c r="Q1759" s="64" t="str">
        <f>Ringkasan!Q1758</f>
        <v/>
      </c>
      <c r="R1759" s="64" t="str">
        <f>Ringkasan!R1758</f>
        <v/>
      </c>
      <c r="S1759" s="64" t="str">
        <f>Ringkasan!S1758</f>
        <v/>
      </c>
      <c r="T1759" s="64" t="str">
        <f>Ringkasan!T1758</f>
        <v/>
      </c>
      <c r="U1759" s="22">
        <f>Ringkasan!U1758</f>
        <v>1785</v>
      </c>
      <c r="V1759" s="22" t="str">
        <f>Ringkasan!V1758</f>
        <v/>
      </c>
      <c r="W1759" s="22">
        <f>Ringkasan!W1758</f>
        <v>1835</v>
      </c>
      <c r="X1759" s="22" t="str">
        <f>Ringkasan!X1758</f>
        <v/>
      </c>
      <c r="Y1759" s="22">
        <f>Ringkasan!Y1758</f>
        <v>1820</v>
      </c>
      <c r="Z1759" s="22">
        <f>Ringkasan!Z1758</f>
        <v>1305429500</v>
      </c>
      <c r="AA1759" s="64" t="str">
        <f>Ringkasan!AA1758</f>
        <v>Chemicals</v>
      </c>
      <c r="AB1759" s="64" t="str">
        <f>Ringkasan!AB1758</f>
        <v>Basic Materials</v>
      </c>
    </row>
    <row r="1760" hidden="1">
      <c r="A1760" s="64" t="str">
        <f>Ringkasan!A1759</f>
        <v>TPMA</v>
      </c>
      <c r="B1760" s="64" t="str">
        <f>Ringkasan!B1759</f>
        <v>Trans Power Marine Tbk.</v>
      </c>
      <c r="C1760" s="67">
        <f>Ringkasan!C1759</f>
        <v>382</v>
      </c>
      <c r="D1760" s="22" t="str">
        <f>Ringkasan!D1759</f>
        <v>#N/A</v>
      </c>
      <c r="E1760" s="64" t="str">
        <f>Ringkasan!E1759</f>
        <v/>
      </c>
      <c r="F1760" s="64" t="str">
        <f>Ringkasan!F1759</f>
        <v/>
      </c>
      <c r="G1760" s="65">
        <f>Ringkasan!G1759</f>
        <v>0</v>
      </c>
      <c r="H1760" s="19">
        <f>Ringkasan!H1759</f>
        <v>7.9</v>
      </c>
      <c r="I1760" s="19">
        <f>Ringkasan!I1759</f>
        <v>0.67</v>
      </c>
      <c r="J1760" s="19">
        <f>Ringkasan!J1759</f>
        <v>8.5</v>
      </c>
      <c r="K1760" s="19">
        <f>Ringkasan!K1759</f>
        <v>4.5</v>
      </c>
      <c r="L1760" s="19">
        <f>Ringkasan!L1759</f>
        <v>0.89</v>
      </c>
      <c r="M1760" s="19">
        <f>Ringkasan!M1759</f>
        <v>48.4</v>
      </c>
      <c r="N1760" s="64" t="str">
        <f>Ringkasan!N1759</f>
        <v/>
      </c>
      <c r="O1760" s="64" t="str">
        <f>Ringkasan!O1759</f>
        <v/>
      </c>
      <c r="P1760" s="64" t="str">
        <f>Ringkasan!P1759</f>
        <v/>
      </c>
      <c r="Q1760" s="64" t="str">
        <f>Ringkasan!Q1759</f>
        <v/>
      </c>
      <c r="R1760" s="64" t="str">
        <f>Ringkasan!R1759</f>
        <v/>
      </c>
      <c r="S1760" s="64" t="str">
        <f>Ringkasan!S1759</f>
        <v/>
      </c>
      <c r="T1760" s="64" t="str">
        <f>Ringkasan!T1759</f>
        <v/>
      </c>
      <c r="U1760" s="22">
        <f>Ringkasan!U1759</f>
        <v>362</v>
      </c>
      <c r="V1760" s="22">
        <f>Ringkasan!V1759</f>
        <v>5.52</v>
      </c>
      <c r="W1760" s="22">
        <f>Ringkasan!W1759</f>
        <v>364</v>
      </c>
      <c r="X1760" s="22">
        <f>Ringkasan!X1759</f>
        <v>386</v>
      </c>
      <c r="Y1760" s="22">
        <f>Ringkasan!Y1759</f>
        <v>364</v>
      </c>
      <c r="Z1760" s="22">
        <f>Ringkasan!Z1759</f>
        <v>3914600</v>
      </c>
      <c r="AA1760" s="64" t="str">
        <f>Ringkasan!AA1759</f>
        <v>Coal</v>
      </c>
      <c r="AB1760" s="64" t="str">
        <f>Ringkasan!AB1759</f>
        <v>Energy</v>
      </c>
    </row>
    <row r="1761" hidden="1">
      <c r="A1761" s="64" t="str">
        <f>Ringkasan!A1760</f>
        <v>TRAM</v>
      </c>
      <c r="B1761" s="64" t="str">
        <f>Ringkasan!B1760</f>
        <v>Trada Alam Minera Tbk.</v>
      </c>
      <c r="C1761" s="67">
        <f>Ringkasan!C1760</f>
        <v>50</v>
      </c>
      <c r="D1761" s="22" t="str">
        <f>Ringkasan!D1760</f>
        <v>#N/A</v>
      </c>
      <c r="E1761" s="64" t="str">
        <f>Ringkasan!E1760</f>
        <v/>
      </c>
      <c r="F1761" s="64" t="str">
        <f>Ringkasan!F1760</f>
        <v/>
      </c>
      <c r="G1761" s="64">
        <f>Ringkasan!G1760</f>
        <v>0</v>
      </c>
      <c r="H1761" s="19">
        <f>Ringkasan!H1760</f>
        <v>0</v>
      </c>
      <c r="I1761" s="19">
        <f>Ringkasan!I1760</f>
        <v>1.9</v>
      </c>
      <c r="J1761" s="19">
        <f>Ringkasan!J1760</f>
        <v>-62</v>
      </c>
      <c r="K1761" s="19">
        <f>Ringkasan!K1760</f>
        <v>-15.2</v>
      </c>
      <c r="L1761" s="19">
        <f>Ringkasan!L1760</f>
        <v>3.1</v>
      </c>
      <c r="M1761" s="19">
        <f>Ringkasan!M1760</f>
        <v>-23.1</v>
      </c>
      <c r="N1761" s="64" t="str">
        <f>Ringkasan!N1760</f>
        <v/>
      </c>
      <c r="O1761" s="64" t="str">
        <f>Ringkasan!O1760</f>
        <v/>
      </c>
      <c r="P1761" s="64" t="str">
        <f>Ringkasan!P1760</f>
        <v/>
      </c>
      <c r="Q1761" s="64" t="str">
        <f>Ringkasan!Q1760</f>
        <v/>
      </c>
      <c r="R1761" s="64" t="str">
        <f>Ringkasan!R1760</f>
        <v/>
      </c>
      <c r="S1761" s="64" t="str">
        <f>Ringkasan!S1760</f>
        <v/>
      </c>
      <c r="T1761" s="64" t="str">
        <f>Ringkasan!T1760</f>
        <v/>
      </c>
      <c r="U1761" s="22">
        <f>Ringkasan!U1760</f>
        <v>50</v>
      </c>
      <c r="V1761" s="22">
        <f>Ringkasan!V1760</f>
        <v>0</v>
      </c>
      <c r="W1761" s="22" t="str">
        <f>Ringkasan!W1760</f>
        <v/>
      </c>
      <c r="X1761" s="22" t="str">
        <f>Ringkasan!X1760</f>
        <v/>
      </c>
      <c r="Y1761" s="22" t="str">
        <f>Ringkasan!Y1760</f>
        <v/>
      </c>
      <c r="Z1761" s="22">
        <f>Ringkasan!Z1760</f>
        <v>0</v>
      </c>
      <c r="AA1761" s="64" t="str">
        <f>Ringkasan!AA1760</f>
        <v>Coal</v>
      </c>
      <c r="AB1761" s="64" t="str">
        <f>Ringkasan!AB1760</f>
        <v>Energy</v>
      </c>
    </row>
    <row r="1762" hidden="1">
      <c r="A1762" s="64" t="str">
        <f>Ringkasan!A1761</f>
        <v>TRGU</v>
      </c>
      <c r="B1762" s="64" t="str">
        <f>Ringkasan!B1761</f>
        <v>Cerestar Indonesia Tbk.</v>
      </c>
      <c r="C1762" s="67">
        <f>Ringkasan!C1761</f>
        <v>173</v>
      </c>
      <c r="D1762" s="22" t="str">
        <f>Ringkasan!D1761</f>
        <v>#N/A</v>
      </c>
      <c r="E1762" s="64" t="str">
        <f>Ringkasan!E1761</f>
        <v/>
      </c>
      <c r="F1762" s="64" t="str">
        <f>Ringkasan!F1761</f>
        <v/>
      </c>
      <c r="G1762" s="64">
        <f>Ringkasan!G1761</f>
        <v>0</v>
      </c>
      <c r="H1762" s="19">
        <f>Ringkasan!H1761</f>
        <v>42.3</v>
      </c>
      <c r="I1762" s="19">
        <f>Ringkasan!I1761</f>
        <v>1.5</v>
      </c>
      <c r="J1762" s="19">
        <f>Ringkasan!J1761</f>
        <v>3.5</v>
      </c>
      <c r="K1762" s="19">
        <f>Ringkasan!K1761</f>
        <v>0.94</v>
      </c>
      <c r="L1762" s="19">
        <f>Ringkasan!L1761</f>
        <v>2.7</v>
      </c>
      <c r="M1762" s="19">
        <f>Ringkasan!M1761</f>
        <v>3.9</v>
      </c>
      <c r="N1762" s="64" t="str">
        <f>Ringkasan!N1761</f>
        <v/>
      </c>
      <c r="O1762" s="64" t="str">
        <f>Ringkasan!O1761</f>
        <v/>
      </c>
      <c r="P1762" s="64" t="str">
        <f>Ringkasan!P1761</f>
        <v/>
      </c>
      <c r="Q1762" s="64" t="str">
        <f>Ringkasan!Q1761</f>
        <v/>
      </c>
      <c r="R1762" s="64" t="str">
        <f>Ringkasan!R1761</f>
        <v/>
      </c>
      <c r="S1762" s="64" t="str">
        <f>Ringkasan!S1761</f>
        <v/>
      </c>
      <c r="T1762" s="64" t="str">
        <f>Ringkasan!T1761</f>
        <v/>
      </c>
      <c r="U1762" s="22">
        <f>Ringkasan!U1761</f>
        <v>179</v>
      </c>
      <c r="V1762" s="22">
        <f>Ringkasan!V1761</f>
        <v>-3.35</v>
      </c>
      <c r="W1762" s="22" t="str">
        <f>Ringkasan!W1761</f>
        <v/>
      </c>
      <c r="X1762" s="22">
        <f>Ringkasan!X1761</f>
        <v>174</v>
      </c>
      <c r="Y1762" s="22">
        <f>Ringkasan!Y1761</f>
        <v>170</v>
      </c>
      <c r="Z1762" s="22">
        <f>Ringkasan!Z1761</f>
        <v>190900</v>
      </c>
      <c r="AA1762" s="64" t="str">
        <f>Ringkasan!AA1761</f>
        <v>Processed Foods</v>
      </c>
      <c r="AB1762" s="64" t="str">
        <f>Ringkasan!AB1761</f>
        <v>Consumer Non-Cyclicals</v>
      </c>
    </row>
    <row r="1763" hidden="1">
      <c r="A1763" s="64" t="str">
        <f>Ringkasan!A1762</f>
        <v>TRIL</v>
      </c>
      <c r="B1763" s="64" t="str">
        <f>Ringkasan!B1762</f>
        <v>Triwira Insanlestari Tbk.</v>
      </c>
      <c r="C1763" s="67">
        <f>Ringkasan!C1762</f>
        <v>50</v>
      </c>
      <c r="D1763" s="22" t="str">
        <f>Ringkasan!D1762</f>
        <v>#N/A</v>
      </c>
      <c r="E1763" s="64" t="str">
        <f>Ringkasan!E1762</f>
        <v/>
      </c>
      <c r="F1763" s="64" t="str">
        <f>Ringkasan!F1762</f>
        <v/>
      </c>
      <c r="G1763" s="64">
        <f>Ringkasan!G1762</f>
        <v>0</v>
      </c>
      <c r="H1763" s="19">
        <f>Ringkasan!H1762</f>
        <v>0</v>
      </c>
      <c r="I1763" s="19">
        <f>Ringkasan!I1762</f>
        <v>0.56</v>
      </c>
      <c r="J1763" s="19">
        <f>Ringkasan!J1762</f>
        <v>-3.1</v>
      </c>
      <c r="K1763" s="19">
        <f>Ringkasan!K1762</f>
        <v>-2.7</v>
      </c>
      <c r="L1763" s="19">
        <f>Ringkasan!L1762</f>
        <v>0.17</v>
      </c>
      <c r="M1763" s="19">
        <f>Ringkasan!M1762</f>
        <v>-16.9</v>
      </c>
      <c r="N1763" s="64" t="str">
        <f>Ringkasan!N1762</f>
        <v/>
      </c>
      <c r="O1763" s="64" t="str">
        <f>Ringkasan!O1762</f>
        <v/>
      </c>
      <c r="P1763" s="64" t="str">
        <f>Ringkasan!P1762</f>
        <v/>
      </c>
      <c r="Q1763" s="64" t="str">
        <f>Ringkasan!Q1762</f>
        <v/>
      </c>
      <c r="R1763" s="64" t="str">
        <f>Ringkasan!R1762</f>
        <v/>
      </c>
      <c r="S1763" s="64" t="str">
        <f>Ringkasan!S1762</f>
        <v/>
      </c>
      <c r="T1763" s="64" t="str">
        <f>Ringkasan!T1762</f>
        <v/>
      </c>
      <c r="U1763" s="22">
        <f>Ringkasan!U1762</f>
        <v>50</v>
      </c>
      <c r="V1763" s="22">
        <f>Ringkasan!V1762</f>
        <v>0</v>
      </c>
      <c r="W1763" s="22" t="str">
        <f>Ringkasan!W1762</f>
        <v/>
      </c>
      <c r="X1763" s="22" t="str">
        <f>Ringkasan!X1762</f>
        <v/>
      </c>
      <c r="Y1763" s="22" t="str">
        <f>Ringkasan!Y1762</f>
        <v/>
      </c>
      <c r="Z1763" s="22">
        <f>Ringkasan!Z1762</f>
        <v>0</v>
      </c>
      <c r="AA1763" s="64" t="str">
        <f>Ringkasan!AA1762</f>
        <v>Diversified Industrial Trading</v>
      </c>
      <c r="AB1763" s="64" t="str">
        <f>Ringkasan!AB1762</f>
        <v>Industrials</v>
      </c>
    </row>
    <row r="1764" hidden="1">
      <c r="A1764" s="64" t="str">
        <f>Ringkasan!A1763</f>
        <v>TRIM</v>
      </c>
      <c r="B1764" s="64" t="str">
        <f>Ringkasan!B1763</f>
        <v>Trimegah Sekuritas Indonesia Tbk.</v>
      </c>
      <c r="C1764" s="67">
        <f>Ringkasan!C1763</f>
        <v>515</v>
      </c>
      <c r="D1764" s="22" t="str">
        <f>Ringkasan!D1763</f>
        <v>#N/A</v>
      </c>
      <c r="E1764" s="64" t="str">
        <f>Ringkasan!E1763</f>
        <v/>
      </c>
      <c r="F1764" s="64" t="str">
        <f>Ringkasan!F1763</f>
        <v/>
      </c>
      <c r="G1764" s="64">
        <f>Ringkasan!G1763</f>
        <v>0</v>
      </c>
      <c r="H1764" s="19">
        <f>Ringkasan!H1763</f>
        <v>5.8</v>
      </c>
      <c r="I1764" s="19">
        <f>Ringkasan!I1763</f>
        <v>1.6</v>
      </c>
      <c r="J1764" s="19">
        <f>Ringkasan!J1763</f>
        <v>27.6</v>
      </c>
      <c r="K1764" s="19">
        <f>Ringkasan!K1763</f>
        <v>7</v>
      </c>
      <c r="L1764" s="19">
        <f>Ringkasan!L1763</f>
        <v>3</v>
      </c>
      <c r="M1764" s="19">
        <f>Ringkasan!M1763</f>
        <v>130</v>
      </c>
      <c r="N1764" s="64" t="str">
        <f>Ringkasan!N1763</f>
        <v/>
      </c>
      <c r="O1764" s="64" t="str">
        <f>Ringkasan!O1763</f>
        <v/>
      </c>
      <c r="P1764" s="64" t="str">
        <f>Ringkasan!P1763</f>
        <v/>
      </c>
      <c r="Q1764" s="64" t="str">
        <f>Ringkasan!Q1763</f>
        <v/>
      </c>
      <c r="R1764" s="64" t="str">
        <f>Ringkasan!R1763</f>
        <v/>
      </c>
      <c r="S1764" s="64" t="str">
        <f>Ringkasan!S1763</f>
        <v/>
      </c>
      <c r="T1764" s="64" t="str">
        <f>Ringkasan!T1763</f>
        <v/>
      </c>
      <c r="U1764" s="22">
        <f>Ringkasan!U1763</f>
        <v>505</v>
      </c>
      <c r="V1764" s="22">
        <f>Ringkasan!V1763</f>
        <v>1.98</v>
      </c>
      <c r="W1764" s="22">
        <f>Ringkasan!W1763</f>
        <v>515</v>
      </c>
      <c r="X1764" s="22">
        <f>Ringkasan!X1763</f>
        <v>530</v>
      </c>
      <c r="Y1764" s="22">
        <f>Ringkasan!Y1763</f>
        <v>498</v>
      </c>
      <c r="Z1764" s="22">
        <f>Ringkasan!Z1763</f>
        <v>55000</v>
      </c>
      <c r="AA1764" s="64" t="str">
        <f>Ringkasan!AA1763</f>
        <v>Investment Services</v>
      </c>
      <c r="AB1764" s="64" t="str">
        <f>Ringkasan!AB1763</f>
        <v>Financials</v>
      </c>
    </row>
    <row r="1765" hidden="1">
      <c r="A1765" s="64" t="str">
        <f>Ringkasan!A1764</f>
        <v>TRIN</v>
      </c>
      <c r="B1765" s="64" t="str">
        <f>Ringkasan!B1764</f>
        <v>Perintis Triniti Properti Tbk.</v>
      </c>
      <c r="C1765" s="67">
        <f>Ringkasan!C1764</f>
        <v>456</v>
      </c>
      <c r="D1765" s="22" t="str">
        <f>Ringkasan!D1764</f>
        <v>#N/A</v>
      </c>
      <c r="E1765" s="64" t="str">
        <f>Ringkasan!E1764</f>
        <v/>
      </c>
      <c r="F1765" s="64" t="str">
        <f>Ringkasan!F1764</f>
        <v/>
      </c>
      <c r="G1765" s="64">
        <f>Ringkasan!G1764</f>
        <v>0</v>
      </c>
      <c r="H1765" s="19">
        <f>Ringkasan!H1764</f>
        <v>160</v>
      </c>
      <c r="I1765" s="19">
        <f>Ringkasan!I1764</f>
        <v>4.1</v>
      </c>
      <c r="J1765" s="19">
        <f>Ringkasan!J1764</f>
        <v>2.5</v>
      </c>
      <c r="K1765" s="19">
        <f>Ringkasan!K1764</f>
        <v>0.61</v>
      </c>
      <c r="L1765" s="19">
        <f>Ringkasan!L1764</f>
        <v>3</v>
      </c>
      <c r="M1765" s="19">
        <f>Ringkasan!M1764</f>
        <v>240</v>
      </c>
      <c r="N1765" s="64" t="str">
        <f>Ringkasan!N1764</f>
        <v/>
      </c>
      <c r="O1765" s="64" t="str">
        <f>Ringkasan!O1764</f>
        <v/>
      </c>
      <c r="P1765" s="64" t="str">
        <f>Ringkasan!P1764</f>
        <v/>
      </c>
      <c r="Q1765" s="64" t="str">
        <f>Ringkasan!Q1764</f>
        <v/>
      </c>
      <c r="R1765" s="64" t="str">
        <f>Ringkasan!R1764</f>
        <v/>
      </c>
      <c r="S1765" s="64" t="str">
        <f>Ringkasan!S1764</f>
        <v/>
      </c>
      <c r="T1765" s="64" t="str">
        <f>Ringkasan!T1764</f>
        <v/>
      </c>
      <c r="U1765" s="22">
        <f>Ringkasan!U1764</f>
        <v>16.9</v>
      </c>
      <c r="V1765" s="22">
        <f>Ringkasan!V1764</f>
        <v>-0.06</v>
      </c>
      <c r="W1765" s="22">
        <f>Ringkasan!W1764</f>
        <v>16.96</v>
      </c>
      <c r="X1765" s="22">
        <f>Ringkasan!X1764</f>
        <v>16.96</v>
      </c>
      <c r="Y1765" s="22">
        <f>Ringkasan!Y1764</f>
        <v>16.72</v>
      </c>
      <c r="Z1765" s="22">
        <f>Ringkasan!Z1764</f>
        <v>741265</v>
      </c>
      <c r="AA1765" s="64" t="str">
        <f>Ringkasan!AA1764</f>
        <v>Real Estate Management &amp; Development</v>
      </c>
      <c r="AB1765" s="64" t="str">
        <f>Ringkasan!AB1764</f>
        <v>Properties &amp; Real Estate</v>
      </c>
    </row>
    <row r="1766" hidden="1">
      <c r="A1766" s="64" t="str">
        <f>Ringkasan!A1765</f>
        <v>TRIO</v>
      </c>
      <c r="B1766" s="64" t="str">
        <f>Ringkasan!B1765</f>
        <v>Trikomsel Oke Tbk.</v>
      </c>
      <c r="C1766" s="67">
        <f>Ringkasan!C1765</f>
        <v>426</v>
      </c>
      <c r="D1766" s="22" t="str">
        <f>Ringkasan!D1765</f>
        <v>#N/A</v>
      </c>
      <c r="E1766" s="64" t="str">
        <f>Ringkasan!E1765</f>
        <v/>
      </c>
      <c r="F1766" s="64" t="str">
        <f>Ringkasan!F1765</f>
        <v/>
      </c>
      <c r="G1766" s="64">
        <f>Ringkasan!G1765</f>
        <v>0</v>
      </c>
      <c r="H1766" s="19">
        <f>Ringkasan!H1765</f>
        <v>-74.4</v>
      </c>
      <c r="I1766" s="19">
        <f>Ringkasan!I1765</f>
        <v>-2.7</v>
      </c>
      <c r="J1766" s="19">
        <f>Ringkasan!J1765</f>
        <v>0</v>
      </c>
      <c r="K1766" s="19">
        <f>Ringkasan!K1765</f>
        <v>-190</v>
      </c>
      <c r="L1766" s="19">
        <f>Ringkasan!L1765</f>
        <v>-1</v>
      </c>
      <c r="M1766" s="19">
        <f>Ringkasan!M1765</f>
        <v>-220</v>
      </c>
      <c r="N1766" s="64" t="str">
        <f>Ringkasan!N1765</f>
        <v/>
      </c>
      <c r="O1766" s="64" t="str">
        <f>Ringkasan!O1765</f>
        <v/>
      </c>
      <c r="P1766" s="64" t="str">
        <f>Ringkasan!P1765</f>
        <v/>
      </c>
      <c r="Q1766" s="64" t="str">
        <f>Ringkasan!Q1765</f>
        <v/>
      </c>
      <c r="R1766" s="64" t="str">
        <f>Ringkasan!R1765</f>
        <v/>
      </c>
      <c r="S1766" s="64" t="str">
        <f>Ringkasan!S1765</f>
        <v/>
      </c>
      <c r="T1766" s="64" t="str">
        <f>Ringkasan!T1765</f>
        <v/>
      </c>
      <c r="U1766" s="22">
        <f>Ringkasan!U1765</f>
        <v>28.1</v>
      </c>
      <c r="V1766" s="22" t="str">
        <f>Ringkasan!V1765</f>
        <v/>
      </c>
      <c r="W1766" s="22">
        <f>Ringkasan!W1765</f>
        <v>27.9</v>
      </c>
      <c r="X1766" s="22">
        <f>Ringkasan!X1765</f>
        <v>28.25</v>
      </c>
      <c r="Y1766" s="22">
        <f>Ringkasan!Y1765</f>
        <v>27.9</v>
      </c>
      <c r="Z1766" s="22">
        <f>Ringkasan!Z1765</f>
        <v>10574</v>
      </c>
      <c r="AA1766" s="64" t="str">
        <f>Ringkasan!AA1765</f>
        <v>Specialty Retail</v>
      </c>
      <c r="AB1766" s="64" t="str">
        <f>Ringkasan!AB1765</f>
        <v>Consumer Cyclicals</v>
      </c>
    </row>
    <row r="1767" hidden="1">
      <c r="A1767" s="64" t="str">
        <f>Ringkasan!A1766</f>
        <v>TRIS</v>
      </c>
      <c r="B1767" s="64" t="str">
        <f>Ringkasan!B1766</f>
        <v>Trisula International Tbk.</v>
      </c>
      <c r="C1767" s="67">
        <f>Ringkasan!C1766</f>
        <v>156</v>
      </c>
      <c r="D1767" s="22" t="str">
        <f>Ringkasan!D1766</f>
        <v>#N/A</v>
      </c>
      <c r="E1767" s="64" t="str">
        <f>Ringkasan!E1766</f>
        <v/>
      </c>
      <c r="F1767" s="64" t="str">
        <f>Ringkasan!F1766</f>
        <v/>
      </c>
      <c r="G1767" s="64">
        <f>Ringkasan!G1766</f>
        <v>0</v>
      </c>
      <c r="H1767" s="19">
        <f>Ringkasan!H1766</f>
        <v>8.7</v>
      </c>
      <c r="I1767" s="19">
        <f>Ringkasan!I1766</f>
        <v>0.61</v>
      </c>
      <c r="J1767" s="19">
        <f>Ringkasan!J1766</f>
        <v>7</v>
      </c>
      <c r="K1767" s="19">
        <f>Ringkasan!K1766</f>
        <v>4.4</v>
      </c>
      <c r="L1767" s="19">
        <f>Ringkasan!L1766</f>
        <v>0.61</v>
      </c>
      <c r="M1767" s="19">
        <f>Ringkasan!M1766</f>
        <v>13.6</v>
      </c>
      <c r="N1767" s="64" t="str">
        <f>Ringkasan!N1766</f>
        <v/>
      </c>
      <c r="O1767" s="64" t="str">
        <f>Ringkasan!O1766</f>
        <v/>
      </c>
      <c r="P1767" s="64" t="str">
        <f>Ringkasan!P1766</f>
        <v/>
      </c>
      <c r="Q1767" s="64" t="str">
        <f>Ringkasan!Q1766</f>
        <v/>
      </c>
      <c r="R1767" s="64" t="str">
        <f>Ringkasan!R1766</f>
        <v/>
      </c>
      <c r="S1767" s="64" t="str">
        <f>Ringkasan!S1766</f>
        <v/>
      </c>
      <c r="T1767" s="64" t="str">
        <f>Ringkasan!T1766</f>
        <v/>
      </c>
      <c r="U1767" s="22">
        <f>Ringkasan!U1766</f>
        <v>3032.75</v>
      </c>
      <c r="V1767" s="22">
        <f>Ringkasan!V1766</f>
        <v>-0.44</v>
      </c>
      <c r="W1767" s="22">
        <f>Ringkasan!W1766</f>
        <v>3021</v>
      </c>
      <c r="X1767" s="22">
        <f>Ringkasan!X1766</f>
        <v>3021</v>
      </c>
      <c r="Y1767" s="22">
        <f>Ringkasan!Y1766</f>
        <v>3015.5</v>
      </c>
      <c r="Z1767" s="22">
        <f>Ringkasan!Z1766</f>
        <v>104</v>
      </c>
      <c r="AA1767" s="64" t="str">
        <f>Ringkasan!AA1766</f>
        <v>Apparel &amp; Luxury Goods</v>
      </c>
      <c r="AB1767" s="64" t="str">
        <f>Ringkasan!AB1766</f>
        <v>Consumer Cyclicals</v>
      </c>
    </row>
    <row r="1768" hidden="1">
      <c r="A1768" s="64" t="str">
        <f>Ringkasan!A1767</f>
        <v>TRJA</v>
      </c>
      <c r="B1768" s="64" t="str">
        <f>Ringkasan!B1767</f>
        <v>Transkon Jaya Tbk.</v>
      </c>
      <c r="C1768" s="67">
        <f>Ringkasan!C1767</f>
        <v>111</v>
      </c>
      <c r="D1768" s="22" t="str">
        <f>Ringkasan!D1767</f>
        <v>#N/A</v>
      </c>
      <c r="E1768" s="64" t="str">
        <f>Ringkasan!E1767</f>
        <v/>
      </c>
      <c r="F1768" s="64" t="str">
        <f>Ringkasan!F1767</f>
        <v/>
      </c>
      <c r="G1768" s="64">
        <f>Ringkasan!G1767</f>
        <v>0</v>
      </c>
      <c r="H1768" s="19">
        <f>Ringkasan!H1767</f>
        <v>-500</v>
      </c>
      <c r="I1768" s="19">
        <f>Ringkasan!I1767</f>
        <v>0.47</v>
      </c>
      <c r="J1768" s="19">
        <f>Ringkasan!J1767</f>
        <v>-0.09</v>
      </c>
      <c r="K1768" s="19">
        <f>Ringkasan!K1767</f>
        <v>-0.05</v>
      </c>
      <c r="L1768" s="19">
        <f>Ringkasan!L1767</f>
        <v>0.92</v>
      </c>
      <c r="M1768" s="19">
        <f>Ringkasan!M1767</f>
        <v>-0.33</v>
      </c>
      <c r="N1768" s="64" t="str">
        <f>Ringkasan!N1767</f>
        <v/>
      </c>
      <c r="O1768" s="64" t="str">
        <f>Ringkasan!O1767</f>
        <v/>
      </c>
      <c r="P1768" s="64" t="str">
        <f>Ringkasan!P1767</f>
        <v/>
      </c>
      <c r="Q1768" s="64" t="str">
        <f>Ringkasan!Q1767</f>
        <v/>
      </c>
      <c r="R1768" s="64" t="str">
        <f>Ringkasan!R1767</f>
        <v/>
      </c>
      <c r="S1768" s="64" t="str">
        <f>Ringkasan!S1767</f>
        <v/>
      </c>
      <c r="T1768" s="64" t="str">
        <f>Ringkasan!T1767</f>
        <v/>
      </c>
      <c r="U1768" s="22">
        <f>Ringkasan!U1767</f>
        <v>115</v>
      </c>
      <c r="V1768" s="22">
        <f>Ringkasan!V1767</f>
        <v>-3.48</v>
      </c>
      <c r="W1768" s="22">
        <f>Ringkasan!W1767</f>
        <v>115</v>
      </c>
      <c r="X1768" s="22">
        <f>Ringkasan!X1767</f>
        <v>115</v>
      </c>
      <c r="Y1768" s="22">
        <f>Ringkasan!Y1767</f>
        <v>110</v>
      </c>
      <c r="Z1768" s="22">
        <f>Ringkasan!Z1767</f>
        <v>177700</v>
      </c>
      <c r="AA1768" s="64" t="str">
        <f>Ringkasan!AA1767</f>
        <v>Passenger Land Transportation</v>
      </c>
      <c r="AB1768" s="64" t="str">
        <f>Ringkasan!AB1767</f>
        <v>Transportation &amp; Logistic</v>
      </c>
    </row>
    <row r="1769" hidden="1">
      <c r="A1769" s="64" t="str">
        <f>Ringkasan!A1768</f>
        <v>TRON</v>
      </c>
      <c r="B1769" s="64" t="str">
        <f>Ringkasan!B1768</f>
        <v>PT Teknologi Karya Digital Nusa Tbk.</v>
      </c>
      <c r="C1769" s="67">
        <f>Ringkasan!C1768</f>
        <v>74</v>
      </c>
      <c r="D1769" s="22" t="str">
        <f>Ringkasan!D1768</f>
        <v>#N/A</v>
      </c>
      <c r="E1769" s="64" t="str">
        <f>Ringkasan!E1768</f>
        <v/>
      </c>
      <c r="F1769" s="64" t="str">
        <f>Ringkasan!F1768</f>
        <v/>
      </c>
      <c r="G1769" s="64">
        <f>Ringkasan!G1768</f>
        <v>0</v>
      </c>
      <c r="H1769" s="19">
        <f>Ringkasan!H1768</f>
        <v>-7.5</v>
      </c>
      <c r="I1769" s="19">
        <f>Ringkasan!I1768</f>
        <v>1.6</v>
      </c>
      <c r="J1769" s="19">
        <f>Ringkasan!J1768</f>
        <v>-21.4</v>
      </c>
      <c r="K1769" s="19">
        <f>Ringkasan!K1768</f>
        <v>-15.6</v>
      </c>
      <c r="L1769" s="19">
        <f>Ringkasan!L1768</f>
        <v>0.37</v>
      </c>
      <c r="M1769" s="19">
        <f>Ringkasan!M1768</f>
        <v>-200</v>
      </c>
      <c r="N1769" s="64" t="str">
        <f>Ringkasan!N1768</f>
        <v/>
      </c>
      <c r="O1769" s="64" t="str">
        <f>Ringkasan!O1768</f>
        <v/>
      </c>
      <c r="P1769" s="64" t="str">
        <f>Ringkasan!P1768</f>
        <v/>
      </c>
      <c r="Q1769" s="64" t="str">
        <f>Ringkasan!Q1768</f>
        <v/>
      </c>
      <c r="R1769" s="64" t="str">
        <f>Ringkasan!R1768</f>
        <v/>
      </c>
      <c r="S1769" s="64" t="str">
        <f>Ringkasan!S1768</f>
        <v/>
      </c>
      <c r="T1769" s="64" t="str">
        <f>Ringkasan!T1768</f>
        <v/>
      </c>
      <c r="U1769" s="22" t="str">
        <f>Ringkasan!U1768</f>
        <v/>
      </c>
      <c r="V1769" s="22">
        <f>Ringkasan!V1768</f>
        <v>-1.68</v>
      </c>
      <c r="W1769" s="22">
        <f>Ringkasan!W1768</f>
        <v>1.79</v>
      </c>
      <c r="X1769" s="22">
        <f>Ringkasan!X1768</f>
        <v>1.85</v>
      </c>
      <c r="Y1769" s="22">
        <f>Ringkasan!Y1768</f>
        <v>1.74</v>
      </c>
      <c r="Z1769" s="22">
        <f>Ringkasan!Z1768</f>
        <v>481139</v>
      </c>
      <c r="AA1769" s="64" t="str">
        <f>Ringkasan!AA1768</f>
        <v>Software</v>
      </c>
      <c r="AB1769" s="64" t="str">
        <f>Ringkasan!AB1768</f>
        <v>Technology</v>
      </c>
    </row>
    <row r="1770" hidden="1">
      <c r="A1770" s="64" t="str">
        <f>Ringkasan!A1769</f>
        <v>TRST</v>
      </c>
      <c r="B1770" s="64" t="str">
        <f>Ringkasan!B1769</f>
        <v>Trias Sentosa Tbk.</v>
      </c>
      <c r="C1770" s="67">
        <f>Ringkasan!C1769</f>
        <v>490</v>
      </c>
      <c r="D1770" s="22" t="str">
        <f>Ringkasan!D1769</f>
        <v>#N/A</v>
      </c>
      <c r="E1770" s="64" t="str">
        <f>Ringkasan!E1769</f>
        <v/>
      </c>
      <c r="F1770" s="64" t="str">
        <f>Ringkasan!F1769</f>
        <v/>
      </c>
      <c r="G1770" s="64">
        <f>Ringkasan!G1769</f>
        <v>0</v>
      </c>
      <c r="H1770" s="19">
        <f>Ringkasan!H1769</f>
        <v>210</v>
      </c>
      <c r="I1770" s="19">
        <f>Ringkasan!I1769</f>
        <v>0.46</v>
      </c>
      <c r="J1770" s="19">
        <f>Ringkasan!J1769</f>
        <v>0.22</v>
      </c>
      <c r="K1770" s="19">
        <f>Ringkasan!K1769</f>
        <v>0.12</v>
      </c>
      <c r="L1770" s="19">
        <f>Ringkasan!L1769</f>
        <v>0.94</v>
      </c>
      <c r="M1770" s="19">
        <f>Ringkasan!M1769</f>
        <v>0.64</v>
      </c>
      <c r="N1770" s="64" t="str">
        <f>Ringkasan!N1769</f>
        <v/>
      </c>
      <c r="O1770" s="64" t="str">
        <f>Ringkasan!O1769</f>
        <v/>
      </c>
      <c r="P1770" s="64" t="str">
        <f>Ringkasan!P1769</f>
        <v/>
      </c>
      <c r="Q1770" s="64" t="str">
        <f>Ringkasan!Q1769</f>
        <v/>
      </c>
      <c r="R1770" s="64" t="str">
        <f>Ringkasan!R1769</f>
        <v/>
      </c>
      <c r="S1770" s="64" t="str">
        <f>Ringkasan!S1769</f>
        <v/>
      </c>
      <c r="T1770" s="64" t="str">
        <f>Ringkasan!T1769</f>
        <v/>
      </c>
      <c r="U1770" s="22">
        <f>Ringkasan!U1769</f>
        <v>54.89</v>
      </c>
      <c r="V1770" s="22">
        <f>Ringkasan!V1769</f>
        <v>0.66</v>
      </c>
      <c r="W1770" s="22">
        <f>Ringkasan!W1769</f>
        <v>55.19</v>
      </c>
      <c r="X1770" s="22">
        <f>Ringkasan!X1769</f>
        <v>55.6</v>
      </c>
      <c r="Y1770" s="22">
        <f>Ringkasan!Y1769</f>
        <v>55.1</v>
      </c>
      <c r="Z1770" s="22" t="str">
        <f>Ringkasan!Z1769</f>
        <v/>
      </c>
      <c r="AA1770" s="64" t="str">
        <f>Ringkasan!AA1769</f>
        <v>Containers &amp; Packaging</v>
      </c>
      <c r="AB1770" s="64" t="str">
        <f>Ringkasan!AB1769</f>
        <v>Basic Materials</v>
      </c>
    </row>
    <row r="1771" hidden="1">
      <c r="A1771" s="64" t="str">
        <f>Ringkasan!A1770</f>
        <v>TRUE</v>
      </c>
      <c r="B1771" s="64" t="str">
        <f>Ringkasan!B1770</f>
        <v>#N/A</v>
      </c>
      <c r="C1771" s="67">
        <f>Ringkasan!C1770</f>
        <v>65</v>
      </c>
      <c r="D1771" s="22" t="str">
        <f>Ringkasan!D1770</f>
        <v>#N/A</v>
      </c>
      <c r="E1771" s="64" t="str">
        <f>Ringkasan!E1770</f>
        <v/>
      </c>
      <c r="F1771" s="64" t="str">
        <f>Ringkasan!F1770</f>
        <v/>
      </c>
      <c r="G1771" s="64">
        <f>Ringkasan!G1770</f>
        <v>0</v>
      </c>
      <c r="H1771" s="19" t="str">
        <f>Ringkasan!H1770</f>
        <v>#N/A</v>
      </c>
      <c r="I1771" s="19" t="str">
        <f>Ringkasan!I1770</f>
        <v>#N/A</v>
      </c>
      <c r="J1771" s="19" t="str">
        <f>Ringkasan!J1770</f>
        <v>#N/A</v>
      </c>
      <c r="K1771" s="19" t="str">
        <f>Ringkasan!K1770</f>
        <v>#N/A</v>
      </c>
      <c r="L1771" s="19" t="str">
        <f>Ringkasan!L1770</f>
        <v>#N/A</v>
      </c>
      <c r="M1771" s="19" t="str">
        <f>Ringkasan!M1770</f>
        <v>#N/A</v>
      </c>
      <c r="N1771" s="64" t="str">
        <f>Ringkasan!N1770</f>
        <v/>
      </c>
      <c r="O1771" s="64" t="str">
        <f>Ringkasan!O1770</f>
        <v/>
      </c>
      <c r="P1771" s="64" t="str">
        <f>Ringkasan!P1770</f>
        <v/>
      </c>
      <c r="Q1771" s="64" t="str">
        <f>Ringkasan!Q1770</f>
        <v/>
      </c>
      <c r="R1771" s="64" t="str">
        <f>Ringkasan!R1770</f>
        <v/>
      </c>
      <c r="S1771" s="64" t="str">
        <f>Ringkasan!S1770</f>
        <v/>
      </c>
      <c r="T1771" s="64" t="str">
        <f>Ringkasan!T1770</f>
        <v/>
      </c>
      <c r="U1771" s="22">
        <f>Ringkasan!U1770</f>
        <v>3.1</v>
      </c>
      <c r="V1771" s="22">
        <f>Ringkasan!V1770</f>
        <v>-3.23</v>
      </c>
      <c r="W1771" s="22">
        <f>Ringkasan!W1770</f>
        <v>3.13</v>
      </c>
      <c r="X1771" s="22">
        <f>Ringkasan!X1770</f>
        <v>3.13</v>
      </c>
      <c r="Y1771" s="22">
        <f>Ringkasan!Y1770</f>
        <v>3</v>
      </c>
      <c r="Z1771" s="22">
        <f>Ringkasan!Z1770</f>
        <v>105809</v>
      </c>
      <c r="AA1771" s="64" t="str">
        <f>Ringkasan!AA1770</f>
        <v>#N/A</v>
      </c>
      <c r="AB1771" s="64" t="str">
        <f>Ringkasan!AB1770</f>
        <v>#N/A</v>
      </c>
    </row>
    <row r="1772" hidden="1">
      <c r="A1772" s="64" t="str">
        <f>Ringkasan!A1771</f>
        <v>TRUK</v>
      </c>
      <c r="B1772" s="64" t="str">
        <f>Ringkasan!B1771</f>
        <v>Guna Timur Raya Tbk.</v>
      </c>
      <c r="C1772" s="67">
        <f>Ringkasan!C1771</f>
        <v>362</v>
      </c>
      <c r="D1772" s="22" t="str">
        <f>Ringkasan!D1771</f>
        <v>#N/A</v>
      </c>
      <c r="E1772" s="64" t="str">
        <f>Ringkasan!E1771</f>
        <v/>
      </c>
      <c r="F1772" s="64" t="str">
        <f>Ringkasan!F1771</f>
        <v/>
      </c>
      <c r="G1772" s="64">
        <f>Ringkasan!G1771</f>
        <v>0</v>
      </c>
      <c r="H1772" s="19">
        <f>Ringkasan!H1771</f>
        <v>-29.7</v>
      </c>
      <c r="I1772" s="19">
        <f>Ringkasan!I1771</f>
        <v>4.9</v>
      </c>
      <c r="J1772" s="19">
        <f>Ringkasan!J1771</f>
        <v>-16.3</v>
      </c>
      <c r="K1772" s="19">
        <f>Ringkasan!K1771</f>
        <v>-11.7</v>
      </c>
      <c r="L1772" s="19">
        <f>Ringkasan!L1771</f>
        <v>0.4</v>
      </c>
      <c r="M1772" s="19">
        <f>Ringkasan!M1771</f>
        <v>-63.7</v>
      </c>
      <c r="N1772" s="64" t="str">
        <f>Ringkasan!N1771</f>
        <v/>
      </c>
      <c r="O1772" s="64" t="str">
        <f>Ringkasan!O1771</f>
        <v/>
      </c>
      <c r="P1772" s="64" t="str">
        <f>Ringkasan!P1771</f>
        <v/>
      </c>
      <c r="Q1772" s="64" t="str">
        <f>Ringkasan!Q1771</f>
        <v/>
      </c>
      <c r="R1772" s="64" t="str">
        <f>Ringkasan!R1771</f>
        <v/>
      </c>
      <c r="S1772" s="64" t="str">
        <f>Ringkasan!S1771</f>
        <v/>
      </c>
      <c r="T1772" s="64" t="str">
        <f>Ringkasan!T1771</f>
        <v/>
      </c>
      <c r="U1772" s="22">
        <f>Ringkasan!U1771</f>
        <v>322</v>
      </c>
      <c r="V1772" s="22">
        <f>Ringkasan!V1771</f>
        <v>12.42</v>
      </c>
      <c r="W1772" s="22">
        <f>Ringkasan!W1771</f>
        <v>340</v>
      </c>
      <c r="X1772" s="22">
        <f>Ringkasan!X1771</f>
        <v>380</v>
      </c>
      <c r="Y1772" s="22">
        <f>Ringkasan!Y1771</f>
        <v>316</v>
      </c>
      <c r="Z1772" s="22">
        <f>Ringkasan!Z1771</f>
        <v>390200</v>
      </c>
      <c r="AA1772" s="64" t="str">
        <f>Ringkasan!AA1771</f>
        <v>Logistics &amp; Deliveries</v>
      </c>
      <c r="AB1772" s="64" t="str">
        <f>Ringkasan!AB1771</f>
        <v>Transportation &amp; Logistic</v>
      </c>
    </row>
    <row r="1773" hidden="1">
      <c r="A1773" s="64" t="str">
        <f>Ringkasan!A1772</f>
        <v>TRUS</v>
      </c>
      <c r="B1773" s="64" t="str">
        <f>Ringkasan!B1772</f>
        <v>Trust Finance Indonesia Tbk</v>
      </c>
      <c r="C1773" s="67">
        <f>Ringkasan!C1772</f>
        <v>266</v>
      </c>
      <c r="D1773" s="22" t="str">
        <f>Ringkasan!D1772</f>
        <v>#N/A</v>
      </c>
      <c r="E1773" s="64" t="str">
        <f>Ringkasan!E1772</f>
        <v/>
      </c>
      <c r="F1773" s="64" t="str">
        <f>Ringkasan!F1772</f>
        <v/>
      </c>
      <c r="G1773" s="64">
        <f>Ringkasan!G1772</f>
        <v>0</v>
      </c>
      <c r="H1773" s="19">
        <f>Ringkasan!H1772</f>
        <v>13.8</v>
      </c>
      <c r="I1773" s="19">
        <f>Ringkasan!I1772</f>
        <v>0.54</v>
      </c>
      <c r="J1773" s="19">
        <f>Ringkasan!J1772</f>
        <v>3.9</v>
      </c>
      <c r="K1773" s="19">
        <f>Ringkasan!K1772</f>
        <v>3.8</v>
      </c>
      <c r="L1773" s="19">
        <f>Ringkasan!L1772</f>
        <v>0.04</v>
      </c>
      <c r="M1773" s="19">
        <f>Ringkasan!M1772</f>
        <v>230</v>
      </c>
      <c r="N1773" s="64" t="str">
        <f>Ringkasan!N1772</f>
        <v/>
      </c>
      <c r="O1773" s="64" t="str">
        <f>Ringkasan!O1772</f>
        <v/>
      </c>
      <c r="P1773" s="64" t="str">
        <f>Ringkasan!P1772</f>
        <v/>
      </c>
      <c r="Q1773" s="64" t="str">
        <f>Ringkasan!Q1772</f>
        <v/>
      </c>
      <c r="R1773" s="64" t="str">
        <f>Ringkasan!R1772</f>
        <v/>
      </c>
      <c r="S1773" s="64" t="str">
        <f>Ringkasan!S1772</f>
        <v/>
      </c>
      <c r="T1773" s="64" t="str">
        <f>Ringkasan!T1772</f>
        <v/>
      </c>
      <c r="U1773" s="22">
        <f>Ringkasan!U1772</f>
        <v>264</v>
      </c>
      <c r="V1773" s="22">
        <f>Ringkasan!V1772</f>
        <v>0.76</v>
      </c>
      <c r="W1773" s="22">
        <f>Ringkasan!W1772</f>
        <v>264</v>
      </c>
      <c r="X1773" s="22">
        <f>Ringkasan!X1772</f>
        <v>276</v>
      </c>
      <c r="Y1773" s="22">
        <f>Ringkasan!Y1772</f>
        <v>264</v>
      </c>
      <c r="Z1773" s="22">
        <f>Ringkasan!Z1772</f>
        <v>28000</v>
      </c>
      <c r="AA1773" s="64" t="str">
        <f>Ringkasan!AA1772</f>
        <v>Consumer Financing</v>
      </c>
      <c r="AB1773" s="64" t="str">
        <f>Ringkasan!AB1772</f>
        <v>Financials</v>
      </c>
    </row>
    <row r="1774" hidden="1">
      <c r="A1774" s="64" t="str">
        <f>Ringkasan!A1773</f>
        <v>TSPC</v>
      </c>
      <c r="B1774" s="64" t="str">
        <f>Ringkasan!B1773</f>
        <v>Tempo Scan Pacific Tbk.</v>
      </c>
      <c r="C1774" s="67">
        <f>Ringkasan!C1773</f>
        <v>2440</v>
      </c>
      <c r="D1774" s="22" t="str">
        <f>Ringkasan!D1773</f>
        <v>#N/A</v>
      </c>
      <c r="E1774" s="64" t="str">
        <f>Ringkasan!E1773</f>
        <v/>
      </c>
      <c r="F1774" s="64" t="str">
        <f>Ringkasan!F1773</f>
        <v/>
      </c>
      <c r="G1774" s="65">
        <f>Ringkasan!G1773</f>
        <v>0</v>
      </c>
      <c r="H1774" s="19">
        <f>Ringkasan!H1773</f>
        <v>7.9</v>
      </c>
      <c r="I1774" s="19">
        <f>Ringkasan!I1773</f>
        <v>1.1</v>
      </c>
      <c r="J1774" s="19">
        <f>Ringkasan!J1773</f>
        <v>13.5</v>
      </c>
      <c r="K1774" s="19">
        <f>Ringkasan!K1773</f>
        <v>10.1</v>
      </c>
      <c r="L1774" s="19">
        <f>Ringkasan!L1773</f>
        <v>0.33</v>
      </c>
      <c r="M1774" s="19">
        <f>Ringkasan!M1773</f>
        <v>39.5</v>
      </c>
      <c r="N1774" s="64" t="str">
        <f>Ringkasan!N1773</f>
        <v/>
      </c>
      <c r="O1774" s="64" t="str">
        <f>Ringkasan!O1773</f>
        <v/>
      </c>
      <c r="P1774" s="64" t="str">
        <f>Ringkasan!P1773</f>
        <v/>
      </c>
      <c r="Q1774" s="64" t="str">
        <f>Ringkasan!Q1773</f>
        <v/>
      </c>
      <c r="R1774" s="64" t="str">
        <f>Ringkasan!R1773</f>
        <v/>
      </c>
      <c r="S1774" s="64" t="str">
        <f>Ringkasan!S1773</f>
        <v/>
      </c>
      <c r="T1774" s="64" t="str">
        <f>Ringkasan!T1773</f>
        <v/>
      </c>
      <c r="U1774" s="22">
        <f>Ringkasan!U1773</f>
        <v>2400</v>
      </c>
      <c r="V1774" s="22" t="str">
        <f>Ringkasan!V1773</f>
        <v/>
      </c>
      <c r="W1774" s="22">
        <f>Ringkasan!W1773</f>
        <v>2410</v>
      </c>
      <c r="X1774" s="22">
        <f>Ringkasan!X1773</f>
        <v>2460</v>
      </c>
      <c r="Y1774" s="22">
        <f>Ringkasan!Y1773</f>
        <v>2400</v>
      </c>
      <c r="Z1774" s="22">
        <f>Ringkasan!Z1773</f>
        <v>1201100</v>
      </c>
      <c r="AA1774" s="64" t="str">
        <f>Ringkasan!AA1773</f>
        <v>Pharmaceuticals</v>
      </c>
      <c r="AB1774" s="64" t="str">
        <f>Ringkasan!AB1773</f>
        <v>Healthcare</v>
      </c>
    </row>
    <row r="1775" hidden="1">
      <c r="A1775" s="64" t="str">
        <f>Ringkasan!A1774</f>
        <v>TUGU</v>
      </c>
      <c r="B1775" s="64" t="str">
        <f>Ringkasan!B1774</f>
        <v>Asuransi Tugu Pratama Indonesia Tbk.</v>
      </c>
      <c r="C1775" s="67">
        <f>Ringkasan!C1774</f>
        <v>1090</v>
      </c>
      <c r="D1775" s="22" t="str">
        <f>Ringkasan!D1774</f>
        <v>#N/A</v>
      </c>
      <c r="E1775" s="64" t="str">
        <f>Ringkasan!E1774</f>
        <v/>
      </c>
      <c r="F1775" s="64" t="str">
        <f>Ringkasan!F1774</f>
        <v/>
      </c>
      <c r="G1775" s="64">
        <f>Ringkasan!G1774</f>
        <v>0</v>
      </c>
      <c r="H1775" s="19">
        <f>Ringkasan!H1774</f>
        <v>5.5</v>
      </c>
      <c r="I1775" s="19">
        <f>Ringkasan!I1774</f>
        <v>0.39</v>
      </c>
      <c r="J1775" s="19">
        <f>Ringkasan!J1774</f>
        <v>7.2</v>
      </c>
      <c r="K1775" s="19">
        <f>Ringkasan!K1774</f>
        <v>2.5</v>
      </c>
      <c r="L1775" s="19">
        <f>Ringkasan!L1774</f>
        <v>1.9</v>
      </c>
      <c r="M1775" s="19">
        <f>Ringkasan!M1774</f>
        <v>25.9</v>
      </c>
      <c r="N1775" s="64" t="str">
        <f>Ringkasan!N1774</f>
        <v/>
      </c>
      <c r="O1775" s="64" t="str">
        <f>Ringkasan!O1774</f>
        <v/>
      </c>
      <c r="P1775" s="64" t="str">
        <f>Ringkasan!P1774</f>
        <v/>
      </c>
      <c r="Q1775" s="64" t="str">
        <f>Ringkasan!Q1774</f>
        <v/>
      </c>
      <c r="R1775" s="64" t="str">
        <f>Ringkasan!R1774</f>
        <v/>
      </c>
      <c r="S1775" s="64" t="str">
        <f>Ringkasan!S1774</f>
        <v/>
      </c>
      <c r="T1775" s="64" t="str">
        <f>Ringkasan!T1774</f>
        <v/>
      </c>
      <c r="U1775" s="22">
        <f>Ringkasan!U1774</f>
        <v>1095</v>
      </c>
      <c r="V1775" s="22">
        <f>Ringkasan!V1774</f>
        <v>-0.46</v>
      </c>
      <c r="W1775" s="22">
        <f>Ringkasan!W1774</f>
        <v>1090</v>
      </c>
      <c r="X1775" s="22">
        <f>Ringkasan!X1774</f>
        <v>1105</v>
      </c>
      <c r="Y1775" s="22">
        <f>Ringkasan!Y1774</f>
        <v>1075</v>
      </c>
      <c r="Z1775" s="22">
        <f>Ringkasan!Z1774</f>
        <v>2245200</v>
      </c>
      <c r="AA1775" s="64" t="str">
        <f>Ringkasan!AA1774</f>
        <v>Insurance</v>
      </c>
      <c r="AB1775" s="64" t="str">
        <f>Ringkasan!AB1774</f>
        <v>Financials</v>
      </c>
    </row>
    <row r="1776" hidden="1">
      <c r="A1776" s="60" t="str">
        <f>Ringkasan!A1775</f>
        <v>TYRE</v>
      </c>
      <c r="B1776" s="60" t="str">
        <f>Ringkasan!B1775</f>
        <v>PT King Tire Indonesia Tbk.</v>
      </c>
      <c r="C1776" s="61">
        <f>Ringkasan!C1775</f>
        <v>103</v>
      </c>
      <c r="D1776" s="60" t="str">
        <f>Ringkasan!D1775</f>
        <v>#N/A</v>
      </c>
      <c r="E1776" s="60" t="str">
        <f>Ringkasan!E1775</f>
        <v/>
      </c>
      <c r="F1776" s="60" t="str">
        <f>Ringkasan!F1775</f>
        <v/>
      </c>
      <c r="G1776" s="60">
        <f>Ringkasan!G1775</f>
        <v>0</v>
      </c>
      <c r="H1776" s="62">
        <f>Ringkasan!H1775</f>
        <v>18.7</v>
      </c>
      <c r="I1776" s="62">
        <f>Ringkasan!I1775</f>
        <v>1.1</v>
      </c>
      <c r="J1776" s="62">
        <f>Ringkasan!J1775</f>
        <v>5.8</v>
      </c>
      <c r="K1776" s="62">
        <f>Ringkasan!K1775</f>
        <v>3.3</v>
      </c>
      <c r="L1776" s="62">
        <f>Ringkasan!L1775</f>
        <v>0.77</v>
      </c>
      <c r="M1776" s="62">
        <f>Ringkasan!M1775</f>
        <v>15.4</v>
      </c>
      <c r="N1776" s="60" t="str">
        <f>Ringkasan!N1775</f>
        <v/>
      </c>
      <c r="O1776" s="60" t="str">
        <f>Ringkasan!O1775</f>
        <v/>
      </c>
      <c r="P1776" s="60" t="str">
        <f>Ringkasan!P1775</f>
        <v/>
      </c>
      <c r="Q1776" s="60" t="str">
        <f>Ringkasan!Q1775</f>
        <v/>
      </c>
      <c r="R1776" s="60" t="str">
        <f>Ringkasan!R1775</f>
        <v/>
      </c>
      <c r="S1776" s="60" t="str">
        <f>Ringkasan!S1775</f>
        <v/>
      </c>
      <c r="T1776" s="60" t="str">
        <f>Ringkasan!T1775</f>
        <v/>
      </c>
      <c r="U1776" s="60">
        <f>Ringkasan!U1775</f>
        <v>104</v>
      </c>
      <c r="V1776" s="60">
        <f>Ringkasan!V1775</f>
        <v>-0.96</v>
      </c>
      <c r="W1776" s="60">
        <f>Ringkasan!W1775</f>
        <v>102</v>
      </c>
      <c r="X1776" s="60">
        <f>Ringkasan!X1775</f>
        <v>104</v>
      </c>
      <c r="Y1776" s="60">
        <f>Ringkasan!Y1775</f>
        <v>100</v>
      </c>
      <c r="Z1776" s="60">
        <f>Ringkasan!Z1775</f>
        <v>130800</v>
      </c>
      <c r="AA1776" s="60" t="str">
        <f>Ringkasan!AA1775</f>
        <v>Auto Components</v>
      </c>
      <c r="AB1776" s="60" t="str">
        <f>Ringkasan!AB1775</f>
        <v>Consumer Cyclicals</v>
      </c>
    </row>
    <row r="1777" hidden="1">
      <c r="A1777" s="60" t="str">
        <f>Ringkasan!A1776</f>
        <v>UANG</v>
      </c>
      <c r="B1777" s="60" t="str">
        <f>Ringkasan!B1776</f>
        <v>Pakuan Tbk.</v>
      </c>
      <c r="C1777" s="61">
        <f>Ringkasan!C1776</f>
        <v>2210</v>
      </c>
      <c r="D1777" s="60" t="str">
        <f>Ringkasan!D1776</f>
        <v>#N/A</v>
      </c>
      <c r="E1777" s="60" t="str">
        <f>Ringkasan!E1776</f>
        <v/>
      </c>
      <c r="F1777" s="60" t="str">
        <f>Ringkasan!F1776</f>
        <v/>
      </c>
      <c r="G1777" s="60">
        <f>Ringkasan!G1776</f>
        <v>0</v>
      </c>
      <c r="H1777" s="62">
        <f>Ringkasan!H1776</f>
        <v>38.6</v>
      </c>
      <c r="I1777" s="62">
        <f>Ringkasan!I1776</f>
        <v>5.3</v>
      </c>
      <c r="J1777" s="62">
        <f>Ringkasan!J1776</f>
        <v>13.8</v>
      </c>
      <c r="K1777" s="62">
        <f>Ringkasan!K1776</f>
        <v>4.6</v>
      </c>
      <c r="L1777" s="62">
        <f>Ringkasan!L1776</f>
        <v>2</v>
      </c>
      <c r="M1777" s="62">
        <f>Ringkasan!M1776</f>
        <v>24.2</v>
      </c>
      <c r="N1777" s="60" t="str">
        <f>Ringkasan!N1776</f>
        <v/>
      </c>
      <c r="O1777" s="60" t="str">
        <f>Ringkasan!O1776</f>
        <v/>
      </c>
      <c r="P1777" s="60" t="str">
        <f>Ringkasan!P1776</f>
        <v/>
      </c>
      <c r="Q1777" s="60" t="str">
        <f>Ringkasan!Q1776</f>
        <v/>
      </c>
      <c r="R1777" s="60" t="str">
        <f>Ringkasan!R1776</f>
        <v/>
      </c>
      <c r="S1777" s="60" t="str">
        <f>Ringkasan!S1776</f>
        <v/>
      </c>
      <c r="T1777" s="60" t="str">
        <f>Ringkasan!T1776</f>
        <v/>
      </c>
      <c r="U1777" s="60">
        <f>Ringkasan!U1776</f>
        <v>2150</v>
      </c>
      <c r="V1777" s="60">
        <f>Ringkasan!V1776</f>
        <v>2.79</v>
      </c>
      <c r="W1777" s="60">
        <f>Ringkasan!W1776</f>
        <v>2070</v>
      </c>
      <c r="X1777" s="60">
        <f>Ringkasan!X1776</f>
        <v>2310</v>
      </c>
      <c r="Y1777" s="60">
        <f>Ringkasan!Y1776</f>
        <v>2070</v>
      </c>
      <c r="Z1777" s="60">
        <f>Ringkasan!Z1776</f>
        <v>134400</v>
      </c>
      <c r="AA1777" s="60" t="str">
        <f>Ringkasan!AA1776</f>
        <v>Real Estate Management &amp; Development</v>
      </c>
      <c r="AB1777" s="60" t="str">
        <f>Ringkasan!AB1776</f>
        <v>Properties &amp; Real Estate</v>
      </c>
    </row>
    <row r="1778" hidden="1">
      <c r="A1778" s="60" t="str">
        <f>Ringkasan!A1777</f>
        <v>UCID</v>
      </c>
      <c r="B1778" s="60" t="str">
        <f>Ringkasan!B1777</f>
        <v>Uni-Charm Indonesia Tbk.</v>
      </c>
      <c r="C1778" s="61">
        <f>Ringkasan!C1777</f>
        <v>384</v>
      </c>
      <c r="D1778" s="60" t="str">
        <f>Ringkasan!D1777</f>
        <v>#N/A</v>
      </c>
      <c r="E1778" s="60" t="str">
        <f>Ringkasan!E1777</f>
        <v/>
      </c>
      <c r="F1778" s="60" t="str">
        <f>Ringkasan!F1777</f>
        <v/>
      </c>
      <c r="G1778" s="60">
        <f>Ringkasan!G1777</f>
        <v>0</v>
      </c>
      <c r="H1778" s="62">
        <f>Ringkasan!H1777</f>
        <v>-1.4</v>
      </c>
      <c r="I1778" s="62">
        <f>Ringkasan!I1777</f>
        <v>0.35</v>
      </c>
      <c r="J1778" s="62">
        <f>Ringkasan!J1777</f>
        <v>-24.9</v>
      </c>
      <c r="K1778" s="62">
        <f>Ringkasan!K1777</f>
        <v>-16.5</v>
      </c>
      <c r="L1778" s="62">
        <f>Ringkasan!L1777</f>
        <v>0.51</v>
      </c>
      <c r="M1778" s="62">
        <f>Ringkasan!M1777</f>
        <v>-57.4</v>
      </c>
      <c r="N1778" s="60" t="str">
        <f>Ringkasan!N1777</f>
        <v/>
      </c>
      <c r="O1778" s="60" t="str">
        <f>Ringkasan!O1777</f>
        <v/>
      </c>
      <c r="P1778" s="60" t="str">
        <f>Ringkasan!P1777</f>
        <v/>
      </c>
      <c r="Q1778" s="60" t="str">
        <f>Ringkasan!Q1777</f>
        <v/>
      </c>
      <c r="R1778" s="60" t="str">
        <f>Ringkasan!R1777</f>
        <v/>
      </c>
      <c r="S1778" s="60" t="str">
        <f>Ringkasan!S1777</f>
        <v/>
      </c>
      <c r="T1778" s="60" t="str">
        <f>Ringkasan!T1777</f>
        <v/>
      </c>
      <c r="U1778" s="60">
        <f>Ringkasan!U1777</f>
        <v>372</v>
      </c>
      <c r="V1778" s="60">
        <f>Ringkasan!V1777</f>
        <v>3.23</v>
      </c>
      <c r="W1778" s="60">
        <f>Ringkasan!W1777</f>
        <v>374</v>
      </c>
      <c r="X1778" s="60">
        <f>Ringkasan!X1777</f>
        <v>388</v>
      </c>
      <c r="Y1778" s="60">
        <f>Ringkasan!Y1777</f>
        <v>368</v>
      </c>
      <c r="Z1778" s="60">
        <f>Ringkasan!Z1777</f>
        <v>1366500</v>
      </c>
      <c r="AA1778" s="60" t="str">
        <f>Ringkasan!AA1777</f>
        <v>Personal Care Products</v>
      </c>
      <c r="AB1778" s="60" t="str">
        <f>Ringkasan!AB1777</f>
        <v>Consumer Non-Cyclicals</v>
      </c>
    </row>
    <row r="1779" hidden="1">
      <c r="A1779" s="64" t="str">
        <f>Ringkasan!A1778</f>
        <v>UDNG</v>
      </c>
      <c r="B1779" s="64" t="str">
        <f>Ringkasan!B1778</f>
        <v>Agro Bahari Nusantara Tbk.</v>
      </c>
      <c r="C1779" s="67">
        <f>Ringkasan!C1778</f>
        <v>1400</v>
      </c>
      <c r="D1779" s="22" t="str">
        <f>Ringkasan!D1778</f>
        <v>#N/A</v>
      </c>
      <c r="E1779" s="64" t="str">
        <f>Ringkasan!E1778</f>
        <v/>
      </c>
      <c r="F1779" s="64" t="str">
        <f>Ringkasan!F1778</f>
        <v/>
      </c>
      <c r="G1779" s="64">
        <f>Ringkasan!G1778</f>
        <v>0</v>
      </c>
      <c r="H1779" s="19">
        <f>Ringkasan!H1778</f>
        <v>-670</v>
      </c>
      <c r="I1779" s="19">
        <f>Ringkasan!I1778</f>
        <v>44.3</v>
      </c>
      <c r="J1779" s="19">
        <f>Ringkasan!J1778</f>
        <v>-6.6</v>
      </c>
      <c r="K1779" s="19">
        <f>Ringkasan!K1778</f>
        <v>-6.1</v>
      </c>
      <c r="L1779" s="19">
        <f>Ringkasan!L1778</f>
        <v>0.08</v>
      </c>
      <c r="M1779" s="19">
        <f>Ringkasan!M1778</f>
        <v>-15.9</v>
      </c>
      <c r="N1779" s="64" t="str">
        <f>Ringkasan!N1778</f>
        <v/>
      </c>
      <c r="O1779" s="64" t="str">
        <f>Ringkasan!O1778</f>
        <v/>
      </c>
      <c r="P1779" s="64" t="str">
        <f>Ringkasan!P1778</f>
        <v/>
      </c>
      <c r="Q1779" s="64" t="str">
        <f>Ringkasan!Q1778</f>
        <v/>
      </c>
      <c r="R1779" s="64" t="str">
        <f>Ringkasan!R1778</f>
        <v/>
      </c>
      <c r="S1779" s="64" t="str">
        <f>Ringkasan!S1778</f>
        <v/>
      </c>
      <c r="T1779" s="64" t="str">
        <f>Ringkasan!T1778</f>
        <v/>
      </c>
      <c r="U1779" s="22" t="str">
        <f>Ringkasan!U1778</f>
        <v/>
      </c>
      <c r="V1779" s="22">
        <f>Ringkasan!V1778</f>
        <v>6.46</v>
      </c>
      <c r="W1779" s="22">
        <f>Ringkasan!W1778</f>
        <v>1315</v>
      </c>
      <c r="X1779" s="22">
        <f>Ringkasan!X1778</f>
        <v>1435</v>
      </c>
      <c r="Y1779" s="22">
        <f>Ringkasan!Y1778</f>
        <v>1315</v>
      </c>
      <c r="Z1779" s="22">
        <f>Ringkasan!Z1778</f>
        <v>1364000</v>
      </c>
      <c r="AA1779" s="64" t="str">
        <f>Ringkasan!AA1778</f>
        <v>Agricultural Products</v>
      </c>
      <c r="AB1779" s="64" t="str">
        <f>Ringkasan!AB1778</f>
        <v>Consumer Non-Cyclicals</v>
      </c>
    </row>
    <row r="1780" hidden="1">
      <c r="A1780" s="60" t="str">
        <f>Ringkasan!A1779</f>
        <v>UFOE</v>
      </c>
      <c r="B1780" s="60" t="str">
        <f>Ringkasan!B1779</f>
        <v>Damai Sejahtera Abadi Tbk.</v>
      </c>
      <c r="C1780" s="61">
        <f>Ringkasan!C1779</f>
        <v>135</v>
      </c>
      <c r="D1780" s="60" t="str">
        <f>Ringkasan!D1779</f>
        <v>#N/A</v>
      </c>
      <c r="E1780" s="60" t="str">
        <f>Ringkasan!E1779</f>
        <v/>
      </c>
      <c r="F1780" s="60" t="str">
        <f>Ringkasan!F1779</f>
        <v/>
      </c>
      <c r="G1780" s="60">
        <f>Ringkasan!G1779</f>
        <v>0</v>
      </c>
      <c r="H1780" s="62">
        <f>Ringkasan!H1779</f>
        <v>21</v>
      </c>
      <c r="I1780" s="62">
        <f>Ringkasan!I1779</f>
        <v>1.7</v>
      </c>
      <c r="J1780" s="62">
        <f>Ringkasan!J1779</f>
        <v>8</v>
      </c>
      <c r="K1780" s="62">
        <f>Ringkasan!K1779</f>
        <v>3.5</v>
      </c>
      <c r="L1780" s="62">
        <f>Ringkasan!L1779</f>
        <v>1.3</v>
      </c>
      <c r="M1780" s="62">
        <f>Ringkasan!M1779</f>
        <v>6.2</v>
      </c>
      <c r="N1780" s="60" t="str">
        <f>Ringkasan!N1779</f>
        <v/>
      </c>
      <c r="O1780" s="60" t="str">
        <f>Ringkasan!O1779</f>
        <v/>
      </c>
      <c r="P1780" s="60" t="str">
        <f>Ringkasan!P1779</f>
        <v/>
      </c>
      <c r="Q1780" s="60" t="str">
        <f>Ringkasan!Q1779</f>
        <v/>
      </c>
      <c r="R1780" s="60" t="str">
        <f>Ringkasan!R1779</f>
        <v/>
      </c>
      <c r="S1780" s="60" t="str">
        <f>Ringkasan!S1779</f>
        <v/>
      </c>
      <c r="T1780" s="60" t="str">
        <f>Ringkasan!T1779</f>
        <v/>
      </c>
      <c r="U1780" s="60">
        <f>Ringkasan!U1779</f>
        <v>133</v>
      </c>
      <c r="V1780" s="60">
        <f>Ringkasan!V1779</f>
        <v>1.5</v>
      </c>
      <c r="W1780" s="60">
        <f>Ringkasan!W1779</f>
        <v>129</v>
      </c>
      <c r="X1780" s="60">
        <f>Ringkasan!X1779</f>
        <v>138</v>
      </c>
      <c r="Y1780" s="60" t="str">
        <f>Ringkasan!Y1779</f>
        <v/>
      </c>
      <c r="Z1780" s="60">
        <f>Ringkasan!Z1779</f>
        <v>191800</v>
      </c>
      <c r="AA1780" s="60" t="str">
        <f>Ringkasan!AA1779</f>
        <v>Specialty Retail</v>
      </c>
      <c r="AB1780" s="64" t="str">
        <f>Ringkasan!AB1779</f>
        <v>Consumer Cyclicals</v>
      </c>
    </row>
    <row r="1781">
      <c r="A1781" s="60" t="str">
        <f>Ringkasan!A1780</f>
        <v>ULTJ</v>
      </c>
      <c r="B1781" s="60" t="str">
        <f>Ringkasan!B1780</f>
        <v>Ultrajaya Milk Industry &amp; Trading Company Tbk.</v>
      </c>
      <c r="C1781" s="61">
        <f>Ringkasan!C1780</f>
        <v>1325</v>
      </c>
      <c r="D1781" s="60" t="str">
        <f>Ringkasan!D1780</f>
        <v>#N/A</v>
      </c>
      <c r="E1781" s="60" t="str">
        <f>Ringkasan!E1780</f>
        <v>ESGQKEHATI</v>
      </c>
      <c r="F1781" s="63">
        <f>Ringkasan!F1780</f>
        <v>46356</v>
      </c>
      <c r="G1781" s="61">
        <f>Ringkasan!G1780</f>
        <v>3</v>
      </c>
      <c r="H1781" s="62">
        <f>Ringkasan!H1780</f>
        <v>10.7</v>
      </c>
      <c r="I1781" s="62">
        <f>Ringkasan!I1780</f>
        <v>1.8</v>
      </c>
      <c r="J1781" s="62">
        <f>Ringkasan!J1780</f>
        <v>16.8</v>
      </c>
      <c r="K1781" s="62">
        <f>Ringkasan!K1780</f>
        <v>14.8</v>
      </c>
      <c r="L1781" s="62">
        <f>Ringkasan!L1780</f>
        <v>0.13</v>
      </c>
      <c r="M1781" s="62">
        <f>Ringkasan!M1780</f>
        <v>53.3</v>
      </c>
      <c r="N1781" s="60" t="str">
        <f>Ringkasan!N1780</f>
        <v/>
      </c>
      <c r="O1781" s="60" t="str">
        <f>Ringkasan!O1780</f>
        <v/>
      </c>
      <c r="P1781" s="60" t="str">
        <f>Ringkasan!P1780</f>
        <v/>
      </c>
      <c r="Q1781" s="60" t="str">
        <f>Ringkasan!Q1780</f>
        <v/>
      </c>
      <c r="R1781" s="60" t="str">
        <f>Ringkasan!R1780</f>
        <v/>
      </c>
      <c r="S1781" s="60" t="str">
        <f>Ringkasan!S1780</f>
        <v/>
      </c>
      <c r="T1781" s="60" t="str">
        <f>Ringkasan!T1780</f>
        <v/>
      </c>
      <c r="U1781" s="60">
        <f>Ringkasan!U1780</f>
        <v>1320</v>
      </c>
      <c r="V1781" s="60">
        <f>Ringkasan!V1780</f>
        <v>0.38</v>
      </c>
      <c r="W1781" s="60">
        <f>Ringkasan!W1780</f>
        <v>1320</v>
      </c>
      <c r="X1781" s="60">
        <f>Ringkasan!X1780</f>
        <v>1345</v>
      </c>
      <c r="Y1781" s="60">
        <f>Ringkasan!Y1780</f>
        <v>1315</v>
      </c>
      <c r="Z1781" s="60">
        <f>Ringkasan!Z1780</f>
        <v>2093400</v>
      </c>
      <c r="AA1781" s="60" t="str">
        <f>Ringkasan!AA1780</f>
        <v>Processed Foods</v>
      </c>
      <c r="AB1781" s="60" t="str">
        <f>Ringkasan!AB1780</f>
        <v>Consumer Non-Cyclicals</v>
      </c>
    </row>
    <row r="1782">
      <c r="A1782" s="60" t="str">
        <f>Ringkasan!A1781</f>
        <v>ULTJ</v>
      </c>
      <c r="B1782" s="60" t="str">
        <f>Ringkasan!B1781</f>
        <v>Ultrajaya Milk Industry &amp; Trading Company Tbk.</v>
      </c>
      <c r="C1782" s="61">
        <f>Ringkasan!C1781</f>
        <v>1325</v>
      </c>
      <c r="D1782" s="60" t="str">
        <f>Ringkasan!D1781</f>
        <v>#N/A</v>
      </c>
      <c r="E1782" s="60" t="str">
        <f>Ringkasan!E1781</f>
        <v>FTSE Micro Cap</v>
      </c>
      <c r="F1782" s="60" t="str">
        <f>Ringkasan!F1781</f>
        <v>4 Agustus 2026</v>
      </c>
      <c r="G1782" s="61">
        <f>Ringkasan!G1781</f>
        <v>3</v>
      </c>
      <c r="H1782" s="62">
        <f>Ringkasan!H1781</f>
        <v>10.7</v>
      </c>
      <c r="I1782" s="62">
        <f>Ringkasan!I1781</f>
        <v>1.8</v>
      </c>
      <c r="J1782" s="62">
        <f>Ringkasan!J1781</f>
        <v>16.8</v>
      </c>
      <c r="K1782" s="62">
        <f>Ringkasan!K1781</f>
        <v>14.8</v>
      </c>
      <c r="L1782" s="62">
        <f>Ringkasan!L1781</f>
        <v>0.13</v>
      </c>
      <c r="M1782" s="62">
        <f>Ringkasan!M1781</f>
        <v>53.3</v>
      </c>
      <c r="N1782" s="60" t="str">
        <f>Ringkasan!N1781</f>
        <v/>
      </c>
      <c r="O1782" s="60" t="str">
        <f>Ringkasan!O1781</f>
        <v/>
      </c>
      <c r="P1782" s="60" t="str">
        <f>Ringkasan!P1781</f>
        <v/>
      </c>
      <c r="Q1782" s="60" t="str">
        <f>Ringkasan!Q1781</f>
        <v/>
      </c>
      <c r="R1782" s="60" t="str">
        <f>Ringkasan!R1781</f>
        <v/>
      </c>
      <c r="S1782" s="60" t="str">
        <f>Ringkasan!S1781</f>
        <v/>
      </c>
      <c r="T1782" s="60" t="str">
        <f>Ringkasan!T1781</f>
        <v/>
      </c>
      <c r="U1782" s="60">
        <f>Ringkasan!U1781</f>
        <v>1320</v>
      </c>
      <c r="V1782" s="60">
        <f>Ringkasan!V1781</f>
        <v>0.38</v>
      </c>
      <c r="W1782" s="60">
        <f>Ringkasan!W1781</f>
        <v>1320</v>
      </c>
      <c r="X1782" s="60">
        <f>Ringkasan!X1781</f>
        <v>1345</v>
      </c>
      <c r="Y1782" s="60">
        <f>Ringkasan!Y1781</f>
        <v>1315</v>
      </c>
      <c r="Z1782" s="60">
        <f>Ringkasan!Z1781</f>
        <v>2093400</v>
      </c>
      <c r="AA1782" s="60" t="str">
        <f>Ringkasan!AA1781</f>
        <v>Processed Foods</v>
      </c>
      <c r="AB1782" s="60" t="str">
        <f>Ringkasan!AB1781</f>
        <v>Consumer Non-Cyclicals</v>
      </c>
    </row>
    <row r="1783">
      <c r="A1783" s="60" t="str">
        <f>Ringkasan!A1701</f>
        <v>TINS</v>
      </c>
      <c r="B1783" s="60" t="str">
        <f>Ringkasan!B1701</f>
        <v>Timah Tbk.</v>
      </c>
      <c r="C1783" s="61">
        <f>Ringkasan!C1701</f>
        <v>3300</v>
      </c>
      <c r="D1783" s="60" t="str">
        <f>Ringkasan!D1701</f>
        <v>#N/A</v>
      </c>
      <c r="E1783" s="60" t="str">
        <f>Ringkasan!E1701</f>
        <v>IDXSMC-LIQ</v>
      </c>
      <c r="F1783" s="60" t="str">
        <f>Ringkasan!F1701</f>
        <v>4 Agustus 2026</v>
      </c>
      <c r="G1783" s="60">
        <f>Ringkasan!G1701</f>
        <v>5</v>
      </c>
      <c r="H1783" s="62">
        <f>Ringkasan!H1701</f>
        <v>8.9</v>
      </c>
      <c r="I1783" s="62">
        <f>Ringkasan!I1701</f>
        <v>2.4</v>
      </c>
      <c r="J1783" s="62">
        <f>Ringkasan!J1701</f>
        <v>27.1</v>
      </c>
      <c r="K1783" s="62">
        <f>Ringkasan!K1701</f>
        <v>17.7</v>
      </c>
      <c r="L1783" s="62">
        <f>Ringkasan!L1701</f>
        <v>0.53</v>
      </c>
      <c r="M1783" s="62">
        <f>Ringkasan!M1701</f>
        <v>49.4</v>
      </c>
      <c r="N1783" s="60" t="str">
        <f>Ringkasan!N1701</f>
        <v/>
      </c>
      <c r="O1783" s="60" t="str">
        <f>Ringkasan!O1701</f>
        <v/>
      </c>
      <c r="P1783" s="60" t="str">
        <f>Ringkasan!P1701</f>
        <v/>
      </c>
      <c r="Q1783" s="60" t="str">
        <f>Ringkasan!Q1701</f>
        <v/>
      </c>
      <c r="R1783" s="60" t="str">
        <f>Ringkasan!R1701</f>
        <v/>
      </c>
      <c r="S1783" s="60" t="str">
        <f>Ringkasan!S1701</f>
        <v/>
      </c>
      <c r="T1783" s="60" t="str">
        <f>Ringkasan!T1701</f>
        <v/>
      </c>
      <c r="U1783" s="60">
        <f>Ringkasan!U1701</f>
        <v>26.65</v>
      </c>
      <c r="V1783" s="60">
        <f>Ringkasan!V1701</f>
        <v>10.23</v>
      </c>
      <c r="W1783" s="60" t="str">
        <f>Ringkasan!W1701</f>
        <v/>
      </c>
      <c r="X1783" s="60">
        <f>Ringkasan!X1701</f>
        <v>29.38</v>
      </c>
      <c r="Y1783" s="60">
        <f>Ringkasan!Y1701</f>
        <v>29.38</v>
      </c>
      <c r="Z1783" s="60">
        <f>Ringkasan!Z1701</f>
        <v>0</v>
      </c>
      <c r="AA1783" s="60" t="str">
        <f>Ringkasan!AA1701</f>
        <v>Metals &amp; Minerals</v>
      </c>
      <c r="AB1783" s="60" t="str">
        <f>Ringkasan!AB1701</f>
        <v>Basic Materials</v>
      </c>
    </row>
    <row r="1784" hidden="1">
      <c r="A1784" s="60" t="str">
        <f>Ringkasan!A1702</f>
        <v>TIRA</v>
      </c>
      <c r="B1784" s="60" t="str">
        <f>Ringkasan!B1702</f>
        <v>Tira Austenite Tbk</v>
      </c>
      <c r="C1784" s="61">
        <f>Ringkasan!C1702</f>
        <v>665</v>
      </c>
      <c r="D1784" s="60" t="str">
        <f>Ringkasan!D1702</f>
        <v>#N/A</v>
      </c>
      <c r="E1784" s="60" t="str">
        <f>Ringkasan!E1702</f>
        <v/>
      </c>
      <c r="F1784" s="60" t="str">
        <f>Ringkasan!F1702</f>
        <v/>
      </c>
      <c r="G1784" s="60">
        <f>Ringkasan!G1702</f>
        <v>0</v>
      </c>
      <c r="H1784" s="62">
        <f>Ringkasan!H1702</f>
        <v>42.7</v>
      </c>
      <c r="I1784" s="62">
        <f>Ringkasan!I1702</f>
        <v>2</v>
      </c>
      <c r="J1784" s="62">
        <f>Ringkasan!J1702</f>
        <v>4.8</v>
      </c>
      <c r="K1784" s="62">
        <f>Ringkasan!K1702</f>
        <v>2</v>
      </c>
      <c r="L1784" s="62">
        <f>Ringkasan!L1702</f>
        <v>1.4</v>
      </c>
      <c r="M1784" s="62">
        <f>Ringkasan!M1702</f>
        <v>12.3</v>
      </c>
      <c r="N1784" s="60" t="str">
        <f>Ringkasan!N1702</f>
        <v/>
      </c>
      <c r="O1784" s="60" t="str">
        <f>Ringkasan!O1702</f>
        <v/>
      </c>
      <c r="P1784" s="60" t="str">
        <f>Ringkasan!P1702</f>
        <v/>
      </c>
      <c r="Q1784" s="60" t="str">
        <f>Ringkasan!Q1702</f>
        <v/>
      </c>
      <c r="R1784" s="60" t="str">
        <f>Ringkasan!R1702</f>
        <v/>
      </c>
      <c r="S1784" s="60" t="str">
        <f>Ringkasan!S1702</f>
        <v/>
      </c>
      <c r="T1784" s="60" t="str">
        <f>Ringkasan!T1702</f>
        <v/>
      </c>
      <c r="U1784" s="60">
        <f>Ringkasan!U1702</f>
        <v>640</v>
      </c>
      <c r="V1784" s="60">
        <f>Ringkasan!V1702</f>
        <v>3.91</v>
      </c>
      <c r="W1784" s="60">
        <f>Ringkasan!W1702</f>
        <v>645</v>
      </c>
      <c r="X1784" s="60">
        <f>Ringkasan!X1702</f>
        <v>680</v>
      </c>
      <c r="Y1784" s="60">
        <f>Ringkasan!Y1702</f>
        <v>620</v>
      </c>
      <c r="Z1784" s="60">
        <f>Ringkasan!Z1702</f>
        <v>819400</v>
      </c>
      <c r="AA1784" s="60" t="str">
        <f>Ringkasan!AA1702</f>
        <v>Diversified Industrial Trading</v>
      </c>
      <c r="AB1784" s="60" t="str">
        <f>Ringkasan!AB1702</f>
        <v>Industrials</v>
      </c>
    </row>
    <row r="1785" hidden="1">
      <c r="A1785" s="64" t="str">
        <f>Ringkasan!A1749</f>
        <v>TOWR</v>
      </c>
      <c r="B1785" s="64" t="str">
        <f>Ringkasan!B1749</f>
        <v>Sarana Menara Nusantara Tbk</v>
      </c>
      <c r="C1785" s="67">
        <f>Ringkasan!C1749</f>
        <v>344</v>
      </c>
      <c r="D1785" s="22" t="str">
        <f>Ringkasan!D1749</f>
        <v>#N/A</v>
      </c>
      <c r="E1785" s="64" t="str">
        <f>Ringkasan!E1749</f>
        <v>MSCI Small Cap</v>
      </c>
      <c r="F1785" s="64" t="str">
        <f>Ringkasan!F1749</f>
        <v>12 Agustus 2026</v>
      </c>
      <c r="G1785" s="64">
        <f>Ringkasan!G1749</f>
        <v>11</v>
      </c>
      <c r="H1785" s="19">
        <f>Ringkasan!H1749</f>
        <v>6.1</v>
      </c>
      <c r="I1785" s="19">
        <f>Ringkasan!I1749</f>
        <v>0.83</v>
      </c>
      <c r="J1785" s="19">
        <f>Ringkasan!J1749</f>
        <v>13.6</v>
      </c>
      <c r="K1785" s="19">
        <f>Ringkasan!K1749</f>
        <v>4.8</v>
      </c>
      <c r="L1785" s="19">
        <f>Ringkasan!L1749</f>
        <v>1.9</v>
      </c>
      <c r="M1785" s="19">
        <f>Ringkasan!M1749</f>
        <v>27.6</v>
      </c>
      <c r="N1785" s="64" t="str">
        <f>Ringkasan!N1749</f>
        <v/>
      </c>
      <c r="O1785" s="64" t="str">
        <f>Ringkasan!O1749</f>
        <v/>
      </c>
      <c r="P1785" s="64" t="str">
        <f>Ringkasan!P1749</f>
        <v/>
      </c>
      <c r="Q1785" s="64" t="str">
        <f>Ringkasan!Q1749</f>
        <v/>
      </c>
      <c r="R1785" s="64" t="str">
        <f>Ringkasan!R1749</f>
        <v/>
      </c>
      <c r="S1785" s="64" t="str">
        <f>Ringkasan!S1749</f>
        <v/>
      </c>
      <c r="T1785" s="64" t="str">
        <f>Ringkasan!T1749</f>
        <v/>
      </c>
      <c r="U1785" s="22">
        <f>Ringkasan!U1749</f>
        <v>332</v>
      </c>
      <c r="V1785" s="22">
        <f>Ringkasan!V1749</f>
        <v>3.61</v>
      </c>
      <c r="W1785" s="22">
        <f>Ringkasan!W1749</f>
        <v>334</v>
      </c>
      <c r="X1785" s="22">
        <f>Ringkasan!X1749</f>
        <v>354</v>
      </c>
      <c r="Y1785" s="22">
        <f>Ringkasan!Y1749</f>
        <v>332</v>
      </c>
      <c r="Z1785" s="22">
        <f>Ringkasan!Z1749</f>
        <v>229174400</v>
      </c>
      <c r="AA1785" s="64" t="str">
        <f>Ringkasan!AA1749</f>
        <v>Wireless Telecommunication Services</v>
      </c>
      <c r="AB1785" s="64" t="str">
        <f>Ringkasan!AB1749</f>
        <v>Infrastructures</v>
      </c>
    </row>
    <row r="1786" hidden="1">
      <c r="A1786" s="60" t="str">
        <f>Ringkasan!A1785</f>
        <v>UNIT</v>
      </c>
      <c r="B1786" s="60" t="str">
        <f>Ringkasan!B1785</f>
        <v>Nusantara Inti Corpora Tbk</v>
      </c>
      <c r="C1786" s="61">
        <f>Ringkasan!C1785</f>
        <v>316</v>
      </c>
      <c r="D1786" s="60" t="str">
        <f>Ringkasan!D1785</f>
        <v>#N/A</v>
      </c>
      <c r="E1786" s="60" t="str">
        <f>Ringkasan!E1785</f>
        <v/>
      </c>
      <c r="F1786" s="60" t="str">
        <f>Ringkasan!F1785</f>
        <v/>
      </c>
      <c r="G1786" s="60">
        <f>Ringkasan!G1785</f>
        <v>0</v>
      </c>
      <c r="H1786" s="62">
        <f>Ringkasan!H1785</f>
        <v>0</v>
      </c>
      <c r="I1786" s="62">
        <f>Ringkasan!I1785</f>
        <v>0.1</v>
      </c>
      <c r="J1786" s="62">
        <f>Ringkasan!J1785</f>
        <v>0.14</v>
      </c>
      <c r="K1786" s="62">
        <f>Ringkasan!K1785</f>
        <v>0.09</v>
      </c>
      <c r="L1786" s="62">
        <f>Ringkasan!L1785</f>
        <v>0.47</v>
      </c>
      <c r="M1786" s="62">
        <f>Ringkasan!M1785</f>
        <v>0.65</v>
      </c>
      <c r="N1786" s="60" t="str">
        <f>Ringkasan!N1785</f>
        <v/>
      </c>
      <c r="O1786" s="60" t="str">
        <f>Ringkasan!O1785</f>
        <v/>
      </c>
      <c r="P1786" s="60" t="str">
        <f>Ringkasan!P1785</f>
        <v/>
      </c>
      <c r="Q1786" s="60" t="str">
        <f>Ringkasan!Q1785</f>
        <v/>
      </c>
      <c r="R1786" s="60" t="str">
        <f>Ringkasan!R1785</f>
        <v/>
      </c>
      <c r="S1786" s="60" t="str">
        <f>Ringkasan!S1785</f>
        <v/>
      </c>
      <c r="T1786" s="60" t="str">
        <f>Ringkasan!T1785</f>
        <v/>
      </c>
      <c r="U1786" s="60">
        <f>Ringkasan!U1785</f>
        <v>12.52</v>
      </c>
      <c r="V1786" s="60">
        <f>Ringkasan!V1785</f>
        <v>1.84</v>
      </c>
      <c r="W1786" s="60">
        <f>Ringkasan!W1785</f>
        <v>12.63</v>
      </c>
      <c r="X1786" s="60">
        <f>Ringkasan!X1785</f>
        <v>12.77</v>
      </c>
      <c r="Y1786" s="60">
        <f>Ringkasan!Y1785</f>
        <v>12.35</v>
      </c>
      <c r="Z1786" s="60">
        <f>Ringkasan!Z1785</f>
        <v>2328750</v>
      </c>
      <c r="AA1786" s="60" t="str">
        <f>Ringkasan!AA1785</f>
        <v>Apparel &amp; Luxury Goods</v>
      </c>
      <c r="AB1786" s="60" t="str">
        <f>Ringkasan!AB1785</f>
        <v>Consumer Cyclicals</v>
      </c>
    </row>
    <row r="1787" hidden="1">
      <c r="A1787" s="60" t="str">
        <f>Ringkasan!A1786</f>
        <v>UNSP</v>
      </c>
      <c r="B1787" s="60" t="str">
        <f>Ringkasan!B1786</f>
        <v>Bakrie Sumatera Plantations Tbk</v>
      </c>
      <c r="C1787" s="61">
        <f>Ringkasan!C1786</f>
        <v>200</v>
      </c>
      <c r="D1787" s="60" t="str">
        <f>Ringkasan!D1786</f>
        <v>#N/A</v>
      </c>
      <c r="E1787" s="60" t="str">
        <f>Ringkasan!E1786</f>
        <v/>
      </c>
      <c r="F1787" s="60" t="str">
        <f>Ringkasan!F1786</f>
        <v/>
      </c>
      <c r="G1787" s="60">
        <f>Ringkasan!G1786</f>
        <v>0</v>
      </c>
      <c r="H1787" s="62">
        <f>Ringkasan!H1786</f>
        <v>3.3</v>
      </c>
      <c r="I1787" s="62">
        <f>Ringkasan!I1786</f>
        <v>-0.15</v>
      </c>
      <c r="J1787" s="62">
        <f>Ringkasan!J1786</f>
        <v>0</v>
      </c>
      <c r="K1787" s="62">
        <f>Ringkasan!K1786</f>
        <v>6.8</v>
      </c>
      <c r="L1787" s="62">
        <f>Ringkasan!L1786</f>
        <v>-1.7</v>
      </c>
      <c r="M1787" s="62">
        <f>Ringkasan!M1786</f>
        <v>43.3</v>
      </c>
      <c r="N1787" s="60" t="str">
        <f>Ringkasan!N1786</f>
        <v/>
      </c>
      <c r="O1787" s="60" t="str">
        <f>Ringkasan!O1786</f>
        <v/>
      </c>
      <c r="P1787" s="60" t="str">
        <f>Ringkasan!P1786</f>
        <v/>
      </c>
      <c r="Q1787" s="60" t="str">
        <f>Ringkasan!Q1786</f>
        <v/>
      </c>
      <c r="R1787" s="60" t="str">
        <f>Ringkasan!R1786</f>
        <v/>
      </c>
      <c r="S1787" s="60" t="str">
        <f>Ringkasan!S1786</f>
        <v/>
      </c>
      <c r="T1787" s="60" t="str">
        <f>Ringkasan!T1786</f>
        <v/>
      </c>
      <c r="U1787" s="60">
        <f>Ringkasan!U1786</f>
        <v>195</v>
      </c>
      <c r="V1787" s="60">
        <f>Ringkasan!V1786</f>
        <v>2.56</v>
      </c>
      <c r="W1787" s="60">
        <f>Ringkasan!W1786</f>
        <v>200</v>
      </c>
      <c r="X1787" s="60">
        <f>Ringkasan!X1786</f>
        <v>202</v>
      </c>
      <c r="Y1787" s="60">
        <f>Ringkasan!Y1786</f>
        <v>200</v>
      </c>
      <c r="Z1787" s="60">
        <f>Ringkasan!Z1786</f>
        <v>6680300</v>
      </c>
      <c r="AA1787" s="60" t="str">
        <f>Ringkasan!AA1786</f>
        <v>Agricultural Products</v>
      </c>
      <c r="AB1787" s="60" t="str">
        <f>Ringkasan!AB1786</f>
        <v>Consumer Non-Cyclicals</v>
      </c>
    </row>
    <row r="1788" hidden="1">
      <c r="A1788" s="60" t="str">
        <f>Ringkasan!A1787</f>
        <v>UNTD</v>
      </c>
      <c r="B1788" s="60" t="str">
        <f>Ringkasan!B1787</f>
        <v>Terang Dunia Internusa Tbk.</v>
      </c>
      <c r="C1788" s="61">
        <f>Ringkasan!C1787</f>
        <v>71</v>
      </c>
      <c r="D1788" s="60" t="str">
        <f>Ringkasan!D1787</f>
        <v>#N/A</v>
      </c>
      <c r="E1788" s="60" t="str">
        <f>Ringkasan!E1787</f>
        <v/>
      </c>
      <c r="F1788" s="60" t="str">
        <f>Ringkasan!F1787</f>
        <v/>
      </c>
      <c r="G1788" s="60">
        <f>Ringkasan!G1787</f>
        <v>0</v>
      </c>
      <c r="H1788" s="62">
        <f>Ringkasan!H1787</f>
        <v>-10.9</v>
      </c>
      <c r="I1788" s="62">
        <f>Ringkasan!I1787</f>
        <v>0.92</v>
      </c>
      <c r="J1788" s="62">
        <f>Ringkasan!J1787</f>
        <v>-8.5</v>
      </c>
      <c r="K1788" s="62">
        <f>Ringkasan!K1787</f>
        <v>-3.9</v>
      </c>
      <c r="L1788" s="62">
        <f>Ringkasan!L1787</f>
        <v>1.2</v>
      </c>
      <c r="M1788" s="62">
        <f>Ringkasan!M1787</f>
        <v>-45.6</v>
      </c>
      <c r="N1788" s="60" t="str">
        <f>Ringkasan!N1787</f>
        <v/>
      </c>
      <c r="O1788" s="60" t="str">
        <f>Ringkasan!O1787</f>
        <v/>
      </c>
      <c r="P1788" s="60" t="str">
        <f>Ringkasan!P1787</f>
        <v/>
      </c>
      <c r="Q1788" s="60" t="str">
        <f>Ringkasan!Q1787</f>
        <v/>
      </c>
      <c r="R1788" s="60" t="str">
        <f>Ringkasan!R1787</f>
        <v/>
      </c>
      <c r="S1788" s="60" t="str">
        <f>Ringkasan!S1787</f>
        <v/>
      </c>
      <c r="T1788" s="60" t="str">
        <f>Ringkasan!T1787</f>
        <v/>
      </c>
      <c r="U1788" s="60">
        <f>Ringkasan!U1787</f>
        <v>67</v>
      </c>
      <c r="V1788" s="60">
        <f>Ringkasan!V1787</f>
        <v>5.97</v>
      </c>
      <c r="W1788" s="60">
        <f>Ringkasan!W1787</f>
        <v>68</v>
      </c>
      <c r="X1788" s="60">
        <f>Ringkasan!X1787</f>
        <v>77</v>
      </c>
      <c r="Y1788" s="60">
        <f>Ringkasan!Y1787</f>
        <v>67</v>
      </c>
      <c r="Z1788" s="60">
        <f>Ringkasan!Z1787</f>
        <v>18176900</v>
      </c>
      <c r="AA1788" s="60" t="str">
        <f>Ringkasan!AA1787</f>
        <v>Sport Equipment &amp; Hobbies Goods</v>
      </c>
      <c r="AB1788" s="60" t="str">
        <f>Ringkasan!AB1787</f>
        <v>Consumer Cyclicals</v>
      </c>
    </row>
    <row r="1789" hidden="1">
      <c r="A1789" s="60" t="str">
        <f>Ringkasan!A1788</f>
        <v>UNTR</v>
      </c>
      <c r="B1789" s="60" t="str">
        <f>Ringkasan!B1788</f>
        <v>United Tractors Tbk.</v>
      </c>
      <c r="C1789" s="61">
        <f>Ringkasan!C1788</f>
        <v>22500</v>
      </c>
      <c r="D1789" s="60" t="str">
        <f>Ringkasan!D1788</f>
        <v>#N/A</v>
      </c>
      <c r="E1789" s="60" t="str">
        <f>Ringkasan!E1788</f>
        <v>ESGQKEHATI</v>
      </c>
      <c r="F1789" s="63">
        <f>Ringkasan!F1788</f>
        <v>46356</v>
      </c>
      <c r="G1789" s="61">
        <f>Ringkasan!G1788</f>
        <v>20</v>
      </c>
      <c r="H1789" s="62">
        <f>Ringkasan!H1788</f>
        <v>7</v>
      </c>
      <c r="I1789" s="62">
        <f>Ringkasan!I1788</f>
        <v>0.84</v>
      </c>
      <c r="J1789" s="62">
        <f>Ringkasan!J1788</f>
        <v>12.1</v>
      </c>
      <c r="K1789" s="62">
        <f>Ringkasan!K1788</f>
        <v>6.7</v>
      </c>
      <c r="L1789" s="62">
        <f>Ringkasan!L1788</f>
        <v>0.8</v>
      </c>
      <c r="M1789" s="62">
        <f>Ringkasan!M1788</f>
        <v>43</v>
      </c>
      <c r="N1789" s="60" t="str">
        <f>Ringkasan!N1788</f>
        <v/>
      </c>
      <c r="O1789" s="60" t="str">
        <f>Ringkasan!O1788</f>
        <v/>
      </c>
      <c r="P1789" s="60" t="str">
        <f>Ringkasan!P1788</f>
        <v/>
      </c>
      <c r="Q1789" s="60" t="str">
        <f>Ringkasan!Q1788</f>
        <v/>
      </c>
      <c r="R1789" s="60" t="str">
        <f>Ringkasan!R1788</f>
        <v/>
      </c>
      <c r="S1789" s="60" t="str">
        <f>Ringkasan!S1788</f>
        <v/>
      </c>
      <c r="T1789" s="60" t="str">
        <f>Ringkasan!T1788</f>
        <v/>
      </c>
      <c r="U1789" s="60">
        <f>Ringkasan!U1788</f>
        <v>21750</v>
      </c>
      <c r="V1789" s="60">
        <f>Ringkasan!V1788</f>
        <v>3.45</v>
      </c>
      <c r="W1789" s="60">
        <f>Ringkasan!W1788</f>
        <v>21900</v>
      </c>
      <c r="X1789" s="60">
        <f>Ringkasan!X1788</f>
        <v>22825</v>
      </c>
      <c r="Y1789" s="60">
        <f>Ringkasan!Y1788</f>
        <v>21900</v>
      </c>
      <c r="Z1789" s="60">
        <f>Ringkasan!Z1788</f>
        <v>5608900</v>
      </c>
      <c r="AA1789" s="60" t="str">
        <f>Ringkasan!AA1788</f>
        <v>Machinery</v>
      </c>
      <c r="AB1789" s="60" t="str">
        <f>Ringkasan!AB1788</f>
        <v>Industrials</v>
      </c>
    </row>
    <row r="1790" hidden="1">
      <c r="A1790" s="60" t="str">
        <f>Ringkasan!A1789</f>
        <v>UNTR</v>
      </c>
      <c r="B1790" s="60" t="str">
        <f>Ringkasan!B1789</f>
        <v>United Tractors Tbk.</v>
      </c>
      <c r="C1790" s="61">
        <f>Ringkasan!C1789</f>
        <v>22500</v>
      </c>
      <c r="D1790" s="60" t="str">
        <f>Ringkasan!D1789</f>
        <v>#N/A</v>
      </c>
      <c r="E1790" s="60" t="str">
        <f>Ringkasan!E1789</f>
        <v>IDXSHAGROW</v>
      </c>
      <c r="F1790" s="63">
        <f>Ringkasan!F1789</f>
        <v>46356</v>
      </c>
      <c r="G1790" s="61">
        <f>Ringkasan!G1789</f>
        <v>20</v>
      </c>
      <c r="H1790" s="62">
        <f>Ringkasan!H1789</f>
        <v>7</v>
      </c>
      <c r="I1790" s="62">
        <f>Ringkasan!I1789</f>
        <v>0.84</v>
      </c>
      <c r="J1790" s="62">
        <f>Ringkasan!J1789</f>
        <v>12.1</v>
      </c>
      <c r="K1790" s="62">
        <f>Ringkasan!K1789</f>
        <v>6.7</v>
      </c>
      <c r="L1790" s="62">
        <f>Ringkasan!L1789</f>
        <v>0.8</v>
      </c>
      <c r="M1790" s="62">
        <f>Ringkasan!M1789</f>
        <v>43</v>
      </c>
      <c r="N1790" s="60" t="str">
        <f>Ringkasan!N1789</f>
        <v/>
      </c>
      <c r="O1790" s="60" t="str">
        <f>Ringkasan!O1789</f>
        <v/>
      </c>
      <c r="P1790" s="60" t="str">
        <f>Ringkasan!P1789</f>
        <v/>
      </c>
      <c r="Q1790" s="60" t="str">
        <f>Ringkasan!Q1789</f>
        <v/>
      </c>
      <c r="R1790" s="60" t="str">
        <f>Ringkasan!R1789</f>
        <v/>
      </c>
      <c r="S1790" s="60" t="str">
        <f>Ringkasan!S1789</f>
        <v/>
      </c>
      <c r="T1790" s="60" t="str">
        <f>Ringkasan!T1789</f>
        <v/>
      </c>
      <c r="U1790" s="60">
        <f>Ringkasan!U1789</f>
        <v>21750</v>
      </c>
      <c r="V1790" s="60">
        <f>Ringkasan!V1789</f>
        <v>3.45</v>
      </c>
      <c r="W1790" s="60">
        <f>Ringkasan!W1789</f>
        <v>21900</v>
      </c>
      <c r="X1790" s="60">
        <f>Ringkasan!X1789</f>
        <v>22825</v>
      </c>
      <c r="Y1790" s="60">
        <f>Ringkasan!Y1789</f>
        <v>21900</v>
      </c>
      <c r="Z1790" s="60">
        <f>Ringkasan!Z1789</f>
        <v>5608900</v>
      </c>
      <c r="AA1790" s="60" t="str">
        <f>Ringkasan!AA1789</f>
        <v>Machinery</v>
      </c>
      <c r="AB1790" s="60" t="str">
        <f>Ringkasan!AB1789</f>
        <v>Industrials</v>
      </c>
    </row>
    <row r="1791" hidden="1">
      <c r="A1791" s="60" t="str">
        <f>Ringkasan!A1790</f>
        <v>UNTR</v>
      </c>
      <c r="B1791" s="60" t="str">
        <f>Ringkasan!B1790</f>
        <v>United Tractors Tbk.</v>
      </c>
      <c r="C1791" s="61">
        <f>Ringkasan!C1790</f>
        <v>22500</v>
      </c>
      <c r="D1791" s="60" t="str">
        <f>Ringkasan!D1790</f>
        <v>#N/A</v>
      </c>
      <c r="E1791" s="60" t="str">
        <f>Ringkasan!E1790</f>
        <v>Investor33</v>
      </c>
      <c r="F1791" s="63">
        <f>Ringkasan!F1790</f>
        <v>46356</v>
      </c>
      <c r="G1791" s="61">
        <f>Ringkasan!G1790</f>
        <v>20</v>
      </c>
      <c r="H1791" s="62">
        <f>Ringkasan!H1790</f>
        <v>7</v>
      </c>
      <c r="I1791" s="62">
        <f>Ringkasan!I1790</f>
        <v>0.84</v>
      </c>
      <c r="J1791" s="62">
        <f>Ringkasan!J1790</f>
        <v>12.1</v>
      </c>
      <c r="K1791" s="62">
        <f>Ringkasan!K1790</f>
        <v>6.7</v>
      </c>
      <c r="L1791" s="62">
        <f>Ringkasan!L1790</f>
        <v>0.8</v>
      </c>
      <c r="M1791" s="62">
        <f>Ringkasan!M1790</f>
        <v>43</v>
      </c>
      <c r="N1791" s="60" t="str">
        <f>Ringkasan!N1790</f>
        <v/>
      </c>
      <c r="O1791" s="60" t="str">
        <f>Ringkasan!O1790</f>
        <v/>
      </c>
      <c r="P1791" s="60" t="str">
        <f>Ringkasan!P1790</f>
        <v/>
      </c>
      <c r="Q1791" s="60" t="str">
        <f>Ringkasan!Q1790</f>
        <v/>
      </c>
      <c r="R1791" s="60" t="str">
        <f>Ringkasan!R1790</f>
        <v/>
      </c>
      <c r="S1791" s="60" t="str">
        <f>Ringkasan!S1790</f>
        <v/>
      </c>
      <c r="T1791" s="60" t="str">
        <f>Ringkasan!T1790</f>
        <v/>
      </c>
      <c r="U1791" s="60">
        <f>Ringkasan!U1790</f>
        <v>21750</v>
      </c>
      <c r="V1791" s="60">
        <f>Ringkasan!V1790</f>
        <v>3.45</v>
      </c>
      <c r="W1791" s="60">
        <f>Ringkasan!W1790</f>
        <v>21900</v>
      </c>
      <c r="X1791" s="60">
        <f>Ringkasan!X1790</f>
        <v>22825</v>
      </c>
      <c r="Y1791" s="60">
        <f>Ringkasan!Y1790</f>
        <v>21900</v>
      </c>
      <c r="Z1791" s="60">
        <f>Ringkasan!Z1790</f>
        <v>5608900</v>
      </c>
      <c r="AA1791" s="60" t="str">
        <f>Ringkasan!AA1790</f>
        <v>Machinery</v>
      </c>
      <c r="AB1791" s="60" t="str">
        <f>Ringkasan!AB1790</f>
        <v>Industrials</v>
      </c>
    </row>
    <row r="1792" hidden="1">
      <c r="A1792" s="60" t="str">
        <f>Ringkasan!A1703</f>
        <v>TIRT</v>
      </c>
      <c r="B1792" s="60" t="str">
        <f>Ringkasan!B1703</f>
        <v>Tirta Mahakam Resources Tbk</v>
      </c>
      <c r="C1792" s="61">
        <f>Ringkasan!C1703</f>
        <v>525</v>
      </c>
      <c r="D1792" s="60" t="str">
        <f>Ringkasan!D1703</f>
        <v>#N/A</v>
      </c>
      <c r="E1792" s="60" t="str">
        <f>Ringkasan!E1703</f>
        <v/>
      </c>
      <c r="F1792" s="60" t="str">
        <f>Ringkasan!F1703</f>
        <v/>
      </c>
      <c r="G1792" s="60">
        <f>Ringkasan!G1703</f>
        <v>0</v>
      </c>
      <c r="H1792" s="62">
        <f>Ringkasan!H1703</f>
        <v>-16.9</v>
      </c>
      <c r="I1792" s="62">
        <f>Ringkasan!I1703</f>
        <v>-0.77</v>
      </c>
      <c r="J1792" s="62">
        <f>Ringkasan!J1703</f>
        <v>0</v>
      </c>
      <c r="K1792" s="62">
        <f>Ringkasan!K1703</f>
        <v>-7.3</v>
      </c>
      <c r="L1792" s="62">
        <f>Ringkasan!L1703</f>
        <v>-1.6</v>
      </c>
      <c r="M1792" s="62">
        <f>Ringkasan!M1703</f>
        <v>-100</v>
      </c>
      <c r="N1792" s="60" t="str">
        <f>Ringkasan!N1703</f>
        <v/>
      </c>
      <c r="O1792" s="60" t="str">
        <f>Ringkasan!O1703</f>
        <v/>
      </c>
      <c r="P1792" s="60" t="str">
        <f>Ringkasan!P1703</f>
        <v/>
      </c>
      <c r="Q1792" s="60" t="str">
        <f>Ringkasan!Q1703</f>
        <v/>
      </c>
      <c r="R1792" s="60" t="str">
        <f>Ringkasan!R1703</f>
        <v/>
      </c>
      <c r="S1792" s="60" t="str">
        <f>Ringkasan!S1703</f>
        <v/>
      </c>
      <c r="T1792" s="60" t="str">
        <f>Ringkasan!T1703</f>
        <v/>
      </c>
      <c r="U1792" s="60">
        <f>Ringkasan!U1703</f>
        <v>478</v>
      </c>
      <c r="V1792" s="60">
        <f>Ringkasan!V1703</f>
        <v>9.83</v>
      </c>
      <c r="W1792" s="60">
        <f>Ringkasan!W1703</f>
        <v>484</v>
      </c>
      <c r="X1792" s="60">
        <f>Ringkasan!X1703</f>
        <v>525</v>
      </c>
      <c r="Y1792" s="60">
        <f>Ringkasan!Y1703</f>
        <v>484</v>
      </c>
      <c r="Z1792" s="60">
        <f>Ringkasan!Z1703</f>
        <v>784400</v>
      </c>
      <c r="AA1792" s="60" t="str">
        <f>Ringkasan!AA1703</f>
        <v>Forestry &amp; Paper</v>
      </c>
      <c r="AB1792" s="60" t="str">
        <f>Ringkasan!AB1703</f>
        <v>Basic Materials</v>
      </c>
    </row>
    <row r="1793" hidden="1">
      <c r="A1793" s="60" t="str">
        <f>Ringkasan!A1793</f>
        <v>UNTR</v>
      </c>
      <c r="B1793" s="60" t="str">
        <f>Ringkasan!B1793</f>
        <v>United Tractors Tbk.</v>
      </c>
      <c r="C1793" s="61">
        <f>Ringkasan!C1793</f>
        <v>22500</v>
      </c>
      <c r="D1793" s="60" t="str">
        <f>Ringkasan!D1793</f>
        <v>#N/A</v>
      </c>
      <c r="E1793" s="60" t="str">
        <f>Ringkasan!E1793</f>
        <v>MSCI Global Standard</v>
      </c>
      <c r="F1793" s="60" t="str">
        <f>Ringkasan!F1793</f>
        <v>12 Agustus 2026</v>
      </c>
      <c r="G1793" s="61">
        <f>Ringkasan!G1793</f>
        <v>20</v>
      </c>
      <c r="H1793" s="62">
        <f>Ringkasan!H1793</f>
        <v>7</v>
      </c>
      <c r="I1793" s="62">
        <f>Ringkasan!I1793</f>
        <v>0.84</v>
      </c>
      <c r="J1793" s="62">
        <f>Ringkasan!J1793</f>
        <v>12.1</v>
      </c>
      <c r="K1793" s="62">
        <f>Ringkasan!K1793</f>
        <v>6.7</v>
      </c>
      <c r="L1793" s="62">
        <f>Ringkasan!L1793</f>
        <v>0.8</v>
      </c>
      <c r="M1793" s="62">
        <f>Ringkasan!M1793</f>
        <v>43</v>
      </c>
      <c r="N1793" s="60" t="str">
        <f>Ringkasan!N1793</f>
        <v/>
      </c>
      <c r="O1793" s="60" t="str">
        <f>Ringkasan!O1793</f>
        <v/>
      </c>
      <c r="P1793" s="60" t="str">
        <f>Ringkasan!P1793</f>
        <v/>
      </c>
      <c r="Q1793" s="60" t="str">
        <f>Ringkasan!Q1793</f>
        <v/>
      </c>
      <c r="R1793" s="60" t="str">
        <f>Ringkasan!R1793</f>
        <v/>
      </c>
      <c r="S1793" s="60" t="str">
        <f>Ringkasan!S1793</f>
        <v/>
      </c>
      <c r="T1793" s="60" t="str">
        <f>Ringkasan!T1793</f>
        <v/>
      </c>
      <c r="U1793" s="60">
        <f>Ringkasan!U1793</f>
        <v>21750</v>
      </c>
      <c r="V1793" s="60">
        <f>Ringkasan!V1793</f>
        <v>3.45</v>
      </c>
      <c r="W1793" s="60">
        <f>Ringkasan!W1793</f>
        <v>21900</v>
      </c>
      <c r="X1793" s="60">
        <f>Ringkasan!X1793</f>
        <v>22825</v>
      </c>
      <c r="Y1793" s="60">
        <f>Ringkasan!Y1793</f>
        <v>21900</v>
      </c>
      <c r="Z1793" s="60">
        <f>Ringkasan!Z1793</f>
        <v>5608900</v>
      </c>
      <c r="AA1793" s="60" t="str">
        <f>Ringkasan!AA1793</f>
        <v>Machinery</v>
      </c>
      <c r="AB1793" s="60" t="str">
        <f>Ringkasan!AB1793</f>
        <v>Industrials</v>
      </c>
    </row>
    <row r="1794" hidden="1">
      <c r="A1794" s="60" t="str">
        <f>Ringkasan!A1791</f>
        <v>UNTR</v>
      </c>
      <c r="B1794" s="60" t="str">
        <f>Ringkasan!B1791</f>
        <v>United Tractors Tbk.</v>
      </c>
      <c r="C1794" s="61">
        <f>Ringkasan!C1791</f>
        <v>22500</v>
      </c>
      <c r="D1794" s="60" t="str">
        <f>Ringkasan!D1791</f>
        <v>#N/A</v>
      </c>
      <c r="E1794" s="60" t="str">
        <f>Ringkasan!E1791</f>
        <v>JII30</v>
      </c>
      <c r="F1794" s="63">
        <f>Ringkasan!F1791</f>
        <v>46356</v>
      </c>
      <c r="G1794" s="61">
        <f>Ringkasan!G1791</f>
        <v>20</v>
      </c>
      <c r="H1794" s="62">
        <f>Ringkasan!H1791</f>
        <v>7</v>
      </c>
      <c r="I1794" s="62">
        <f>Ringkasan!I1791</f>
        <v>0.84</v>
      </c>
      <c r="J1794" s="62">
        <f>Ringkasan!J1791</f>
        <v>12.1</v>
      </c>
      <c r="K1794" s="62">
        <f>Ringkasan!K1791</f>
        <v>6.7</v>
      </c>
      <c r="L1794" s="62">
        <f>Ringkasan!L1791</f>
        <v>0.8</v>
      </c>
      <c r="M1794" s="62">
        <f>Ringkasan!M1791</f>
        <v>43</v>
      </c>
      <c r="N1794" s="60" t="str">
        <f>Ringkasan!N1791</f>
        <v/>
      </c>
      <c r="O1794" s="60" t="str">
        <f>Ringkasan!O1791</f>
        <v/>
      </c>
      <c r="P1794" s="60" t="str">
        <f>Ringkasan!P1791</f>
        <v/>
      </c>
      <c r="Q1794" s="60" t="str">
        <f>Ringkasan!Q1791</f>
        <v/>
      </c>
      <c r="R1794" s="60" t="str">
        <f>Ringkasan!R1791</f>
        <v/>
      </c>
      <c r="S1794" s="60" t="str">
        <f>Ringkasan!S1791</f>
        <v/>
      </c>
      <c r="T1794" s="60" t="str">
        <f>Ringkasan!T1791</f>
        <v/>
      </c>
      <c r="U1794" s="60">
        <f>Ringkasan!U1791</f>
        <v>21750</v>
      </c>
      <c r="V1794" s="60">
        <f>Ringkasan!V1791</f>
        <v>3.45</v>
      </c>
      <c r="W1794" s="60">
        <f>Ringkasan!W1791</f>
        <v>21900</v>
      </c>
      <c r="X1794" s="60">
        <f>Ringkasan!X1791</f>
        <v>22825</v>
      </c>
      <c r="Y1794" s="60">
        <f>Ringkasan!Y1791</f>
        <v>21900</v>
      </c>
      <c r="Z1794" s="60">
        <f>Ringkasan!Z1791</f>
        <v>5608900</v>
      </c>
      <c r="AA1794" s="60" t="str">
        <f>Ringkasan!AA1791</f>
        <v>Machinery</v>
      </c>
      <c r="AB1794" s="60" t="str">
        <f>Ringkasan!AB1791</f>
        <v>Industrials</v>
      </c>
    </row>
    <row r="1795" hidden="1">
      <c r="A1795" s="60" t="str">
        <f>Ringkasan!A1792</f>
        <v>UNTR</v>
      </c>
      <c r="B1795" s="60" t="str">
        <f>Ringkasan!B1792</f>
        <v>United Tractors Tbk.</v>
      </c>
      <c r="C1795" s="61">
        <f>Ringkasan!C1792</f>
        <v>22500</v>
      </c>
      <c r="D1795" s="60" t="str">
        <f>Ringkasan!D1792</f>
        <v>#N/A</v>
      </c>
      <c r="E1795" s="60" t="str">
        <f>Ringkasan!E1792</f>
        <v>ESGSKEHATI</v>
      </c>
      <c r="F1795" s="63">
        <f>Ringkasan!F1792</f>
        <v>46356</v>
      </c>
      <c r="G1795" s="61">
        <f>Ringkasan!G1792</f>
        <v>20</v>
      </c>
      <c r="H1795" s="62">
        <f>Ringkasan!H1792</f>
        <v>7</v>
      </c>
      <c r="I1795" s="62">
        <f>Ringkasan!I1792</f>
        <v>0.84</v>
      </c>
      <c r="J1795" s="62">
        <f>Ringkasan!J1792</f>
        <v>12.1</v>
      </c>
      <c r="K1795" s="62">
        <f>Ringkasan!K1792</f>
        <v>6.7</v>
      </c>
      <c r="L1795" s="62">
        <f>Ringkasan!L1792</f>
        <v>0.8</v>
      </c>
      <c r="M1795" s="62">
        <f>Ringkasan!M1792</f>
        <v>43</v>
      </c>
      <c r="N1795" s="60" t="str">
        <f>Ringkasan!N1792</f>
        <v/>
      </c>
      <c r="O1795" s="60" t="str">
        <f>Ringkasan!O1792</f>
        <v/>
      </c>
      <c r="P1795" s="60" t="str">
        <f>Ringkasan!P1792</f>
        <v/>
      </c>
      <c r="Q1795" s="60" t="str">
        <f>Ringkasan!Q1792</f>
        <v/>
      </c>
      <c r="R1795" s="60" t="str">
        <f>Ringkasan!R1792</f>
        <v/>
      </c>
      <c r="S1795" s="60" t="str">
        <f>Ringkasan!S1792</f>
        <v/>
      </c>
      <c r="T1795" s="60" t="str">
        <f>Ringkasan!T1792</f>
        <v/>
      </c>
      <c r="U1795" s="60">
        <f>Ringkasan!U1792</f>
        <v>21750</v>
      </c>
      <c r="V1795" s="60">
        <f>Ringkasan!V1792</f>
        <v>3.45</v>
      </c>
      <c r="W1795" s="60">
        <f>Ringkasan!W1792</f>
        <v>21900</v>
      </c>
      <c r="X1795" s="60">
        <f>Ringkasan!X1792</f>
        <v>22825</v>
      </c>
      <c r="Y1795" s="60">
        <f>Ringkasan!Y1792</f>
        <v>21900</v>
      </c>
      <c r="Z1795" s="60">
        <f>Ringkasan!Z1792</f>
        <v>5608900</v>
      </c>
      <c r="AA1795" s="60" t="str">
        <f>Ringkasan!AA1792</f>
        <v>Machinery</v>
      </c>
      <c r="AB1795" s="60" t="str">
        <f>Ringkasan!AB1792</f>
        <v>Industrials</v>
      </c>
    </row>
    <row r="1796" hidden="1">
      <c r="A1796" s="64" t="str">
        <f>Ringkasan!A1577</f>
        <v>SKRN</v>
      </c>
      <c r="B1796" s="64" t="str">
        <f>Ringkasan!B1577</f>
        <v>Superkrane Mitra Utama Tbk.</v>
      </c>
      <c r="C1796" s="61">
        <f>Ringkasan!C1577</f>
        <v>330</v>
      </c>
      <c r="D1796" s="60" t="str">
        <f>Ringkasan!D1577</f>
        <v>#N/A</v>
      </c>
      <c r="E1796" s="60" t="str">
        <f>Ringkasan!E1577</f>
        <v/>
      </c>
      <c r="F1796" s="60" t="str">
        <f>Ringkasan!F1577</f>
        <v/>
      </c>
      <c r="G1796" s="60">
        <f>Ringkasan!G1577</f>
        <v>0</v>
      </c>
      <c r="H1796" s="62">
        <f>Ringkasan!H1577</f>
        <v>17.3</v>
      </c>
      <c r="I1796" s="62">
        <f>Ringkasan!I1577</f>
        <v>4.5</v>
      </c>
      <c r="J1796" s="62">
        <f>Ringkasan!J1577</f>
        <v>26.1</v>
      </c>
      <c r="K1796" s="62">
        <f>Ringkasan!K1577</f>
        <v>12.2</v>
      </c>
      <c r="L1796" s="62">
        <f>Ringkasan!L1577</f>
        <v>1.1</v>
      </c>
      <c r="M1796" s="62">
        <f>Ringkasan!M1577</f>
        <v>81.5</v>
      </c>
      <c r="N1796" s="60" t="str">
        <f>Ringkasan!N1577</f>
        <v/>
      </c>
      <c r="O1796" s="60" t="str">
        <f>Ringkasan!O1577</f>
        <v/>
      </c>
      <c r="P1796" s="60" t="str">
        <f>Ringkasan!P1577</f>
        <v/>
      </c>
      <c r="Q1796" s="60" t="str">
        <f>Ringkasan!Q1577</f>
        <v/>
      </c>
      <c r="R1796" s="60" t="str">
        <f>Ringkasan!R1577</f>
        <v/>
      </c>
      <c r="S1796" s="60" t="str">
        <f>Ringkasan!S1577</f>
        <v/>
      </c>
      <c r="T1796" s="60" t="str">
        <f>Ringkasan!T1577</f>
        <v/>
      </c>
      <c r="U1796" s="60">
        <f>Ringkasan!U1577</f>
        <v>326</v>
      </c>
      <c r="V1796" s="60">
        <f>Ringkasan!V1577</f>
        <v>1.23</v>
      </c>
      <c r="W1796" s="60">
        <f>Ringkasan!W1577</f>
        <v>320</v>
      </c>
      <c r="X1796" s="60">
        <f>Ringkasan!X1577</f>
        <v>350</v>
      </c>
      <c r="Y1796" s="60">
        <f>Ringkasan!Y1577</f>
        <v>320</v>
      </c>
      <c r="Z1796" s="60">
        <f>Ringkasan!Z1577</f>
        <v>187900</v>
      </c>
      <c r="AA1796" s="60" t="str">
        <f>Ringkasan!AA1577</f>
        <v>Machinery</v>
      </c>
      <c r="AB1796" s="64" t="str">
        <f>Ringkasan!AB1577</f>
        <v>Industrials</v>
      </c>
    </row>
    <row r="1797" hidden="1">
      <c r="A1797" s="60" t="str">
        <f>Ringkasan!A1796</f>
        <v>UNTR</v>
      </c>
      <c r="B1797" s="60" t="str">
        <f>Ringkasan!B1796</f>
        <v>United Tractors Tbk.</v>
      </c>
      <c r="C1797" s="61">
        <f>Ringkasan!C1796</f>
        <v>22500</v>
      </c>
      <c r="D1797" s="60" t="str">
        <f>Ringkasan!D1796</f>
        <v>#N/A</v>
      </c>
      <c r="E1797" s="60" t="str">
        <f>Ringkasan!E1796</f>
        <v>LQ45</v>
      </c>
      <c r="F1797" s="60" t="str">
        <f>Ringkasan!F1796</f>
        <v>31 Juli 2026</v>
      </c>
      <c r="G1797" s="61">
        <f>Ringkasan!G1796</f>
        <v>20</v>
      </c>
      <c r="H1797" s="62">
        <f>Ringkasan!H1796</f>
        <v>7</v>
      </c>
      <c r="I1797" s="62">
        <f>Ringkasan!I1796</f>
        <v>0.84</v>
      </c>
      <c r="J1797" s="62">
        <f>Ringkasan!J1796</f>
        <v>12.1</v>
      </c>
      <c r="K1797" s="62">
        <f>Ringkasan!K1796</f>
        <v>6.7</v>
      </c>
      <c r="L1797" s="62">
        <f>Ringkasan!L1796</f>
        <v>0.8</v>
      </c>
      <c r="M1797" s="62">
        <f>Ringkasan!M1796</f>
        <v>43</v>
      </c>
      <c r="N1797" s="60" t="str">
        <f>Ringkasan!N1796</f>
        <v/>
      </c>
      <c r="O1797" s="60" t="str">
        <f>Ringkasan!O1796</f>
        <v/>
      </c>
      <c r="P1797" s="60" t="str">
        <f>Ringkasan!P1796</f>
        <v/>
      </c>
      <c r="Q1797" s="60" t="str">
        <f>Ringkasan!Q1796</f>
        <v/>
      </c>
      <c r="R1797" s="60" t="str">
        <f>Ringkasan!R1796</f>
        <v/>
      </c>
      <c r="S1797" s="60" t="str">
        <f>Ringkasan!S1796</f>
        <v/>
      </c>
      <c r="T1797" s="60" t="str">
        <f>Ringkasan!T1796</f>
        <v/>
      </c>
      <c r="U1797" s="60">
        <f>Ringkasan!U1796</f>
        <v>21750</v>
      </c>
      <c r="V1797" s="60">
        <f>Ringkasan!V1796</f>
        <v>3.45</v>
      </c>
      <c r="W1797" s="60">
        <f>Ringkasan!W1796</f>
        <v>21900</v>
      </c>
      <c r="X1797" s="60">
        <f>Ringkasan!X1796</f>
        <v>22825</v>
      </c>
      <c r="Y1797" s="60">
        <f>Ringkasan!Y1796</f>
        <v>21900</v>
      </c>
      <c r="Z1797" s="60">
        <f>Ringkasan!Z1796</f>
        <v>5608900</v>
      </c>
      <c r="AA1797" s="60" t="str">
        <f>Ringkasan!AA1796</f>
        <v>Machinery</v>
      </c>
      <c r="AB1797" s="60" t="str">
        <f>Ringkasan!AB1796</f>
        <v>Industrials</v>
      </c>
    </row>
    <row r="1798" hidden="1">
      <c r="A1798" s="60" t="str">
        <f>Ringkasan!A1797</f>
        <v>UNTR</v>
      </c>
      <c r="B1798" s="60" t="str">
        <f>Ringkasan!B1797</f>
        <v>United Tractors Tbk.</v>
      </c>
      <c r="C1798" s="61">
        <f>Ringkasan!C1797</f>
        <v>22500</v>
      </c>
      <c r="D1798" s="60" t="str">
        <f>Ringkasan!D1797</f>
        <v>#N/A</v>
      </c>
      <c r="E1798" s="60" t="str">
        <f>Ringkasan!E1797</f>
        <v>IDX80</v>
      </c>
      <c r="F1798" s="60" t="str">
        <f>Ringkasan!F1797</f>
        <v>31 Juli 2026</v>
      </c>
      <c r="G1798" s="61">
        <f>Ringkasan!G1797</f>
        <v>20</v>
      </c>
      <c r="H1798" s="62">
        <f>Ringkasan!H1797</f>
        <v>7</v>
      </c>
      <c r="I1798" s="62">
        <f>Ringkasan!I1797</f>
        <v>0.84</v>
      </c>
      <c r="J1798" s="62">
        <f>Ringkasan!J1797</f>
        <v>12.1</v>
      </c>
      <c r="K1798" s="62">
        <f>Ringkasan!K1797</f>
        <v>6.7</v>
      </c>
      <c r="L1798" s="62">
        <f>Ringkasan!L1797</f>
        <v>0.8</v>
      </c>
      <c r="M1798" s="62">
        <f>Ringkasan!M1797</f>
        <v>43</v>
      </c>
      <c r="N1798" s="60" t="str">
        <f>Ringkasan!N1797</f>
        <v/>
      </c>
      <c r="O1798" s="60" t="str">
        <f>Ringkasan!O1797</f>
        <v/>
      </c>
      <c r="P1798" s="60" t="str">
        <f>Ringkasan!P1797</f>
        <v/>
      </c>
      <c r="Q1798" s="60" t="str">
        <f>Ringkasan!Q1797</f>
        <v/>
      </c>
      <c r="R1798" s="60" t="str">
        <f>Ringkasan!R1797</f>
        <v/>
      </c>
      <c r="S1798" s="60" t="str">
        <f>Ringkasan!S1797</f>
        <v/>
      </c>
      <c r="T1798" s="60" t="str">
        <f>Ringkasan!T1797</f>
        <v/>
      </c>
      <c r="U1798" s="60">
        <f>Ringkasan!U1797</f>
        <v>21750</v>
      </c>
      <c r="V1798" s="60">
        <f>Ringkasan!V1797</f>
        <v>3.45</v>
      </c>
      <c r="W1798" s="60">
        <f>Ringkasan!W1797</f>
        <v>21900</v>
      </c>
      <c r="X1798" s="60">
        <f>Ringkasan!X1797</f>
        <v>22825</v>
      </c>
      <c r="Y1798" s="60">
        <f>Ringkasan!Y1797</f>
        <v>21900</v>
      </c>
      <c r="Z1798" s="60">
        <f>Ringkasan!Z1797</f>
        <v>5608900</v>
      </c>
      <c r="AA1798" s="60" t="str">
        <f>Ringkasan!AA1797</f>
        <v>Machinery</v>
      </c>
      <c r="AB1798" s="60" t="str">
        <f>Ringkasan!AB1797</f>
        <v>Industrials</v>
      </c>
    </row>
    <row r="1799" hidden="1">
      <c r="A1799" s="60" t="str">
        <f>Ringkasan!A1798</f>
        <v>UNTR</v>
      </c>
      <c r="B1799" s="60" t="str">
        <f>Ringkasan!B1798</f>
        <v>United Tractors Tbk.</v>
      </c>
      <c r="C1799" s="61">
        <f>Ringkasan!C1798</f>
        <v>22500</v>
      </c>
      <c r="D1799" s="60" t="str">
        <f>Ringkasan!D1798</f>
        <v>#N/A</v>
      </c>
      <c r="E1799" s="60" t="str">
        <f>Ringkasan!E1798</f>
        <v>SMINFRA18</v>
      </c>
      <c r="F1799" s="60" t="str">
        <f>Ringkasan!F1798</f>
        <v>30 Oktober 2026</v>
      </c>
      <c r="G1799" s="61">
        <f>Ringkasan!G1798</f>
        <v>20</v>
      </c>
      <c r="H1799" s="62">
        <f>Ringkasan!H1798</f>
        <v>7</v>
      </c>
      <c r="I1799" s="62">
        <f>Ringkasan!I1798</f>
        <v>0.84</v>
      </c>
      <c r="J1799" s="62">
        <f>Ringkasan!J1798</f>
        <v>12.1</v>
      </c>
      <c r="K1799" s="62">
        <f>Ringkasan!K1798</f>
        <v>6.7</v>
      </c>
      <c r="L1799" s="62">
        <f>Ringkasan!L1798</f>
        <v>0.8</v>
      </c>
      <c r="M1799" s="62">
        <f>Ringkasan!M1798</f>
        <v>43</v>
      </c>
      <c r="N1799" s="60" t="str">
        <f>Ringkasan!N1798</f>
        <v/>
      </c>
      <c r="O1799" s="60" t="str">
        <f>Ringkasan!O1798</f>
        <v/>
      </c>
      <c r="P1799" s="60" t="str">
        <f>Ringkasan!P1798</f>
        <v/>
      </c>
      <c r="Q1799" s="60" t="str">
        <f>Ringkasan!Q1798</f>
        <v/>
      </c>
      <c r="R1799" s="60" t="str">
        <f>Ringkasan!R1798</f>
        <v/>
      </c>
      <c r="S1799" s="60" t="str">
        <f>Ringkasan!S1798</f>
        <v/>
      </c>
      <c r="T1799" s="60" t="str">
        <f>Ringkasan!T1798</f>
        <v/>
      </c>
      <c r="U1799" s="60">
        <f>Ringkasan!U1798</f>
        <v>21750</v>
      </c>
      <c r="V1799" s="60">
        <f>Ringkasan!V1798</f>
        <v>3.45</v>
      </c>
      <c r="W1799" s="60">
        <f>Ringkasan!W1798</f>
        <v>21900</v>
      </c>
      <c r="X1799" s="60">
        <f>Ringkasan!X1798</f>
        <v>22825</v>
      </c>
      <c r="Y1799" s="60">
        <f>Ringkasan!Y1798</f>
        <v>21900</v>
      </c>
      <c r="Z1799" s="60">
        <f>Ringkasan!Z1798</f>
        <v>5608900</v>
      </c>
      <c r="AA1799" s="60" t="str">
        <f>Ringkasan!AA1798</f>
        <v>Machinery</v>
      </c>
      <c r="AB1799" s="60" t="str">
        <f>Ringkasan!AB1798</f>
        <v>Industrials</v>
      </c>
    </row>
    <row r="1800" hidden="1">
      <c r="A1800" s="64" t="str">
        <f>Ringkasan!A1578</f>
        <v>SKYB</v>
      </c>
      <c r="B1800" s="64" t="str">
        <f>Ringkasan!B1578</f>
        <v>PT Northcliff Citranusa Indonesia Tbk.</v>
      </c>
      <c r="C1800" s="61">
        <f>Ringkasan!C1578</f>
        <v>51</v>
      </c>
      <c r="D1800" s="60" t="str">
        <f>Ringkasan!D1578</f>
        <v>#N/A</v>
      </c>
      <c r="E1800" s="60" t="str">
        <f>Ringkasan!E1578</f>
        <v/>
      </c>
      <c r="F1800" s="60" t="str">
        <f>Ringkasan!F1578</f>
        <v/>
      </c>
      <c r="G1800" s="60">
        <f>Ringkasan!G1578</f>
        <v>0</v>
      </c>
      <c r="H1800" s="62">
        <f>Ringkasan!H1578</f>
        <v>0</v>
      </c>
      <c r="I1800" s="62">
        <f>Ringkasan!I1578</f>
        <v>0.99</v>
      </c>
      <c r="J1800" s="62">
        <f>Ringkasan!J1578</f>
        <v>-2.8</v>
      </c>
      <c r="K1800" s="62">
        <f>Ringkasan!K1578</f>
        <v>-2.2</v>
      </c>
      <c r="L1800" s="62">
        <f>Ringkasan!L1578</f>
        <v>0.26</v>
      </c>
      <c r="M1800" s="62">
        <f>Ringkasan!M1578</f>
        <v>-23.4</v>
      </c>
      <c r="N1800" s="60" t="str">
        <f>Ringkasan!N1578</f>
        <v/>
      </c>
      <c r="O1800" s="60" t="str">
        <f>Ringkasan!O1578</f>
        <v/>
      </c>
      <c r="P1800" s="60" t="str">
        <f>Ringkasan!P1578</f>
        <v/>
      </c>
      <c r="Q1800" s="60" t="str">
        <f>Ringkasan!Q1578</f>
        <v/>
      </c>
      <c r="R1800" s="60" t="str">
        <f>Ringkasan!R1578</f>
        <v/>
      </c>
      <c r="S1800" s="60" t="str">
        <f>Ringkasan!S1578</f>
        <v/>
      </c>
      <c r="T1800" s="60" t="str">
        <f>Ringkasan!T1578</f>
        <v/>
      </c>
      <c r="U1800" s="60">
        <f>Ringkasan!U1578</f>
        <v>51</v>
      </c>
      <c r="V1800" s="60">
        <f>Ringkasan!V1578</f>
        <v>0</v>
      </c>
      <c r="W1800" s="60" t="str">
        <f>Ringkasan!W1578</f>
        <v/>
      </c>
      <c r="X1800" s="60" t="str">
        <f>Ringkasan!X1578</f>
        <v/>
      </c>
      <c r="Y1800" s="60" t="str">
        <f>Ringkasan!Y1578</f>
        <v/>
      </c>
      <c r="Z1800" s="60">
        <f>Ringkasan!Z1578</f>
        <v>0</v>
      </c>
      <c r="AA1800" s="60" t="str">
        <f>Ringkasan!AA1578</f>
        <v>Software</v>
      </c>
      <c r="AB1800" s="64" t="str">
        <f>Ringkasan!AB1578</f>
        <v>Technology</v>
      </c>
    </row>
    <row r="1801" hidden="1">
      <c r="A1801" s="64" t="str">
        <f>Ringkasan!A1579</f>
        <v>SLIS</v>
      </c>
      <c r="B1801" s="64" t="str">
        <f>Ringkasan!B1579</f>
        <v>Gaya Abadi Sempurna Tbk.</v>
      </c>
      <c r="C1801" s="61">
        <f>Ringkasan!C1579</f>
        <v>59</v>
      </c>
      <c r="D1801" s="60" t="str">
        <f>Ringkasan!D1579</f>
        <v>#N/A</v>
      </c>
      <c r="E1801" s="60" t="str">
        <f>Ringkasan!E1579</f>
        <v/>
      </c>
      <c r="F1801" s="60" t="str">
        <f>Ringkasan!F1579</f>
        <v/>
      </c>
      <c r="G1801" s="60">
        <f>Ringkasan!G1579</f>
        <v>0</v>
      </c>
      <c r="H1801" s="62">
        <f>Ringkasan!H1579</f>
        <v>-6.6</v>
      </c>
      <c r="I1801" s="62">
        <f>Ringkasan!I1579</f>
        <v>0.57</v>
      </c>
      <c r="J1801" s="62">
        <f>Ringkasan!J1579</f>
        <v>-8.7</v>
      </c>
      <c r="K1801" s="62">
        <f>Ringkasan!K1579</f>
        <v>-6.8</v>
      </c>
      <c r="L1801" s="62">
        <f>Ringkasan!L1579</f>
        <v>0.29</v>
      </c>
      <c r="M1801" s="62">
        <f>Ringkasan!M1579</f>
        <v>-57.9</v>
      </c>
      <c r="N1801" s="60" t="str">
        <f>Ringkasan!N1579</f>
        <v/>
      </c>
      <c r="O1801" s="60" t="str">
        <f>Ringkasan!O1579</f>
        <v/>
      </c>
      <c r="P1801" s="60" t="str">
        <f>Ringkasan!P1579</f>
        <v/>
      </c>
      <c r="Q1801" s="60" t="str">
        <f>Ringkasan!Q1579</f>
        <v/>
      </c>
      <c r="R1801" s="60" t="str">
        <f>Ringkasan!R1579</f>
        <v/>
      </c>
      <c r="S1801" s="60" t="str">
        <f>Ringkasan!S1579</f>
        <v/>
      </c>
      <c r="T1801" s="60" t="str">
        <f>Ringkasan!T1579</f>
        <v/>
      </c>
      <c r="U1801" s="60">
        <f>Ringkasan!U1579</f>
        <v>55</v>
      </c>
      <c r="V1801" s="60">
        <f>Ringkasan!V1579</f>
        <v>7.27</v>
      </c>
      <c r="W1801" s="60">
        <f>Ringkasan!W1579</f>
        <v>56</v>
      </c>
      <c r="X1801" s="60">
        <f>Ringkasan!X1579</f>
        <v>60</v>
      </c>
      <c r="Y1801" s="60">
        <f>Ringkasan!Y1579</f>
        <v>55</v>
      </c>
      <c r="Z1801" s="60">
        <f>Ringkasan!Z1579</f>
        <v>15473100</v>
      </c>
      <c r="AA1801" s="60" t="str">
        <f>Ringkasan!AA1579</f>
        <v>Specialty Retail</v>
      </c>
      <c r="AB1801" s="64" t="str">
        <f>Ringkasan!AB1579</f>
        <v>Consumer Cyclicals</v>
      </c>
    </row>
    <row r="1802">
      <c r="A1802" s="60" t="str">
        <f>Ringkasan!A1782</f>
        <v>ULTJ</v>
      </c>
      <c r="B1802" s="60" t="str">
        <f>Ringkasan!B1782</f>
        <v>Ultrajaya Milk Industry &amp; Trading Company Tbk.</v>
      </c>
      <c r="C1802" s="61">
        <f>Ringkasan!C1782</f>
        <v>1325</v>
      </c>
      <c r="D1802" s="60" t="str">
        <f>Ringkasan!D1782</f>
        <v>#N/A</v>
      </c>
      <c r="E1802" s="60" t="str">
        <f>Ringkasan!E1782</f>
        <v>MNC36</v>
      </c>
      <c r="F1802" s="60" t="str">
        <f>Ringkasan!F1782</f>
        <v>30 Oktober 2026</v>
      </c>
      <c r="G1802" s="61">
        <f>Ringkasan!G1782</f>
        <v>3</v>
      </c>
      <c r="H1802" s="62">
        <f>Ringkasan!H1782</f>
        <v>10.7</v>
      </c>
      <c r="I1802" s="62">
        <f>Ringkasan!I1782</f>
        <v>1.8</v>
      </c>
      <c r="J1802" s="62">
        <f>Ringkasan!J1782</f>
        <v>16.8</v>
      </c>
      <c r="K1802" s="62">
        <f>Ringkasan!K1782</f>
        <v>14.8</v>
      </c>
      <c r="L1802" s="62">
        <f>Ringkasan!L1782</f>
        <v>0.13</v>
      </c>
      <c r="M1802" s="62">
        <f>Ringkasan!M1782</f>
        <v>53.3</v>
      </c>
      <c r="N1802" s="60" t="str">
        <f>Ringkasan!N1782</f>
        <v/>
      </c>
      <c r="O1802" s="60" t="str">
        <f>Ringkasan!O1782</f>
        <v/>
      </c>
      <c r="P1802" s="60" t="str">
        <f>Ringkasan!P1782</f>
        <v/>
      </c>
      <c r="Q1802" s="60" t="str">
        <f>Ringkasan!Q1782</f>
        <v/>
      </c>
      <c r="R1802" s="60" t="str">
        <f>Ringkasan!R1782</f>
        <v/>
      </c>
      <c r="S1802" s="60" t="str">
        <f>Ringkasan!S1782</f>
        <v/>
      </c>
      <c r="T1802" s="60" t="str">
        <f>Ringkasan!T1782</f>
        <v/>
      </c>
      <c r="U1802" s="60">
        <f>Ringkasan!U1782</f>
        <v>1320</v>
      </c>
      <c r="V1802" s="60">
        <f>Ringkasan!V1782</f>
        <v>0.38</v>
      </c>
      <c r="W1802" s="60">
        <f>Ringkasan!W1782</f>
        <v>1320</v>
      </c>
      <c r="X1802" s="60">
        <f>Ringkasan!X1782</f>
        <v>1345</v>
      </c>
      <c r="Y1802" s="60">
        <f>Ringkasan!Y1782</f>
        <v>1315</v>
      </c>
      <c r="Z1802" s="60">
        <f>Ringkasan!Z1782</f>
        <v>2093400</v>
      </c>
      <c r="AA1802" s="60" t="str">
        <f>Ringkasan!AA1782</f>
        <v>Processed Foods</v>
      </c>
      <c r="AB1802" s="60" t="str">
        <f>Ringkasan!AB1782</f>
        <v>Consumer Non-Cyclicals</v>
      </c>
    </row>
    <row r="1803" hidden="1">
      <c r="A1803" s="60" t="str">
        <f>Ringkasan!A1783</f>
        <v>UNIC</v>
      </c>
      <c r="B1803" s="60" t="str">
        <f>Ringkasan!B1783</f>
        <v>Unggul Indah Cahaya Tbk.</v>
      </c>
      <c r="C1803" s="61">
        <f>Ringkasan!C1783</f>
        <v>12450</v>
      </c>
      <c r="D1803" s="60" t="str">
        <f>Ringkasan!D1783</f>
        <v>#N/A</v>
      </c>
      <c r="E1803" s="60" t="str">
        <f>Ringkasan!E1783</f>
        <v/>
      </c>
      <c r="F1803" s="60" t="str">
        <f>Ringkasan!F1783</f>
        <v/>
      </c>
      <c r="G1803" s="60">
        <f>Ringkasan!G1783</f>
        <v>0</v>
      </c>
      <c r="H1803" s="62">
        <f>Ringkasan!H1783</f>
        <v>7.3</v>
      </c>
      <c r="I1803" s="62">
        <f>Ringkasan!I1783</f>
        <v>0.91</v>
      </c>
      <c r="J1803" s="62">
        <f>Ringkasan!J1783</f>
        <v>12.6</v>
      </c>
      <c r="K1803" s="62">
        <f>Ringkasan!K1783</f>
        <v>10.9</v>
      </c>
      <c r="L1803" s="62">
        <f>Ringkasan!L1783</f>
        <v>0.15</v>
      </c>
      <c r="M1803" s="62">
        <f>Ringkasan!M1783</f>
        <v>42.1</v>
      </c>
      <c r="N1803" s="60" t="str">
        <f>Ringkasan!N1783</f>
        <v/>
      </c>
      <c r="O1803" s="60" t="str">
        <f>Ringkasan!O1783</f>
        <v/>
      </c>
      <c r="P1803" s="60" t="str">
        <f>Ringkasan!P1783</f>
        <v/>
      </c>
      <c r="Q1803" s="60" t="str">
        <f>Ringkasan!Q1783</f>
        <v/>
      </c>
      <c r="R1803" s="60" t="str">
        <f>Ringkasan!R1783</f>
        <v/>
      </c>
      <c r="S1803" s="60" t="str">
        <f>Ringkasan!S1783</f>
        <v/>
      </c>
      <c r="T1803" s="60" t="str">
        <f>Ringkasan!T1783</f>
        <v/>
      </c>
      <c r="U1803" s="60">
        <f>Ringkasan!U1783</f>
        <v>21.26</v>
      </c>
      <c r="V1803" s="60">
        <f>Ringkasan!V1783</f>
        <v>2.05</v>
      </c>
      <c r="W1803" s="60">
        <f>Ringkasan!W1783</f>
        <v>21.69</v>
      </c>
      <c r="X1803" s="60">
        <f>Ringkasan!X1783</f>
        <v>21.69</v>
      </c>
      <c r="Y1803" s="60">
        <f>Ringkasan!Y1783</f>
        <v>21.69</v>
      </c>
      <c r="Z1803" s="60">
        <f>Ringkasan!Z1783</f>
        <v>77</v>
      </c>
      <c r="AA1803" s="60" t="str">
        <f>Ringkasan!AA1783</f>
        <v>Chemicals</v>
      </c>
      <c r="AB1803" s="60" t="str">
        <f>Ringkasan!AB1783</f>
        <v>Basic Materials</v>
      </c>
    </row>
    <row r="1804" hidden="1">
      <c r="A1804" s="64" t="str">
        <f>Ringkasan!A1044</f>
        <v>KINO</v>
      </c>
      <c r="B1804" s="64" t="str">
        <f>Ringkasan!B1044</f>
        <v>PT Kino Indonesia Tbk</v>
      </c>
      <c r="C1804" s="67">
        <f>Ringkasan!C1044</f>
        <v>1115</v>
      </c>
      <c r="D1804" s="22" t="str">
        <f>Ringkasan!D1044</f>
        <v>#N/A</v>
      </c>
      <c r="E1804" s="64" t="str">
        <f>Ringkasan!E1044</f>
        <v/>
      </c>
      <c r="F1804" s="64" t="str">
        <f>Ringkasan!F1044</f>
        <v/>
      </c>
      <c r="G1804" s="64">
        <f>Ringkasan!G1044</f>
        <v>0</v>
      </c>
      <c r="H1804" s="19">
        <f>Ringkasan!H1044</f>
        <v>11.1</v>
      </c>
      <c r="I1804" s="19">
        <f>Ringkasan!I1044</f>
        <v>0.91</v>
      </c>
      <c r="J1804" s="19">
        <f>Ringkasan!J1044</f>
        <v>8.2</v>
      </c>
      <c r="K1804" s="19">
        <f>Ringkasan!K1044</f>
        <v>3.2</v>
      </c>
      <c r="L1804" s="19">
        <f>Ringkasan!L1044</f>
        <v>1.6</v>
      </c>
      <c r="M1804" s="19">
        <f>Ringkasan!M1044</f>
        <v>11.8</v>
      </c>
      <c r="N1804" s="64" t="str">
        <f>Ringkasan!N1044</f>
        <v/>
      </c>
      <c r="O1804" s="64" t="str">
        <f>Ringkasan!O1044</f>
        <v/>
      </c>
      <c r="P1804" s="64" t="str">
        <f>Ringkasan!P1044</f>
        <v/>
      </c>
      <c r="Q1804" s="64" t="str">
        <f>Ringkasan!Q1044</f>
        <v/>
      </c>
      <c r="R1804" s="64" t="str">
        <f>Ringkasan!R1044</f>
        <v/>
      </c>
      <c r="S1804" s="64" t="str">
        <f>Ringkasan!S1044</f>
        <v/>
      </c>
      <c r="T1804" s="64" t="str">
        <f>Ringkasan!T1044</f>
        <v/>
      </c>
      <c r="U1804" s="22">
        <f>Ringkasan!U1044</f>
        <v>1110</v>
      </c>
      <c r="V1804" s="22">
        <f>Ringkasan!V1044</f>
        <v>0.45</v>
      </c>
      <c r="W1804" s="22">
        <f>Ringkasan!W1044</f>
        <v>1105</v>
      </c>
      <c r="X1804" s="22">
        <f>Ringkasan!X1044</f>
        <v>1120</v>
      </c>
      <c r="Y1804" s="22">
        <f>Ringkasan!Y1044</f>
        <v>1105</v>
      </c>
      <c r="Z1804" s="22">
        <f>Ringkasan!Z1044</f>
        <v>700</v>
      </c>
      <c r="AA1804" s="64" t="str">
        <f>Ringkasan!AA1044</f>
        <v>Personal Care Products</v>
      </c>
      <c r="AB1804" s="64" t="str">
        <f>Ringkasan!AB1044</f>
        <v>Consumer Non-Cyclicals</v>
      </c>
    </row>
    <row r="1805" hidden="1">
      <c r="A1805" s="60" t="str">
        <f>Ringkasan!A1799</f>
        <v>UNTR</v>
      </c>
      <c r="B1805" s="60" t="str">
        <f>Ringkasan!B1799</f>
        <v>United Tractors Tbk.</v>
      </c>
      <c r="C1805" s="61">
        <f>Ringkasan!C1799</f>
        <v>22500</v>
      </c>
      <c r="D1805" s="60" t="str">
        <f>Ringkasan!D1799</f>
        <v>#N/A</v>
      </c>
      <c r="E1805" s="60" t="str">
        <f>Ringkasan!E1799</f>
        <v>IDX30</v>
      </c>
      <c r="F1805" s="60" t="str">
        <f>Ringkasan!F1799</f>
        <v>31 Juli 2026</v>
      </c>
      <c r="G1805" s="61">
        <f>Ringkasan!G1799</f>
        <v>20</v>
      </c>
      <c r="H1805" s="62">
        <f>Ringkasan!H1799</f>
        <v>7</v>
      </c>
      <c r="I1805" s="62">
        <f>Ringkasan!I1799</f>
        <v>0.84</v>
      </c>
      <c r="J1805" s="62">
        <f>Ringkasan!J1799</f>
        <v>12.1</v>
      </c>
      <c r="K1805" s="62">
        <f>Ringkasan!K1799</f>
        <v>6.7</v>
      </c>
      <c r="L1805" s="62">
        <f>Ringkasan!L1799</f>
        <v>0.8</v>
      </c>
      <c r="M1805" s="62">
        <f>Ringkasan!M1799</f>
        <v>43</v>
      </c>
      <c r="N1805" s="60" t="str">
        <f>Ringkasan!N1799</f>
        <v/>
      </c>
      <c r="O1805" s="60" t="str">
        <f>Ringkasan!O1799</f>
        <v/>
      </c>
      <c r="P1805" s="60" t="str">
        <f>Ringkasan!P1799</f>
        <v/>
      </c>
      <c r="Q1805" s="60" t="str">
        <f>Ringkasan!Q1799</f>
        <v/>
      </c>
      <c r="R1805" s="60" t="str">
        <f>Ringkasan!R1799</f>
        <v/>
      </c>
      <c r="S1805" s="60" t="str">
        <f>Ringkasan!S1799</f>
        <v/>
      </c>
      <c r="T1805" s="60" t="str">
        <f>Ringkasan!T1799</f>
        <v/>
      </c>
      <c r="U1805" s="60">
        <f>Ringkasan!U1799</f>
        <v>21750</v>
      </c>
      <c r="V1805" s="60">
        <f>Ringkasan!V1799</f>
        <v>3.45</v>
      </c>
      <c r="W1805" s="60">
        <f>Ringkasan!W1799</f>
        <v>21900</v>
      </c>
      <c r="X1805" s="60">
        <f>Ringkasan!X1799</f>
        <v>22825</v>
      </c>
      <c r="Y1805" s="60">
        <f>Ringkasan!Y1799</f>
        <v>21900</v>
      </c>
      <c r="Z1805" s="60">
        <f>Ringkasan!Z1799</f>
        <v>5608900</v>
      </c>
      <c r="AA1805" s="60" t="str">
        <f>Ringkasan!AA1799</f>
        <v>Machinery</v>
      </c>
      <c r="AB1805" s="60" t="str">
        <f>Ringkasan!AB1799</f>
        <v>Industrials</v>
      </c>
    </row>
    <row r="1806" hidden="1">
      <c r="A1806" s="60" t="str">
        <f>Ringkasan!A1784</f>
        <v>UNIQ</v>
      </c>
      <c r="B1806" s="60" t="str">
        <f>Ringkasan!B1784</f>
        <v>Ulima Nitra Tbk.</v>
      </c>
      <c r="C1806" s="61">
        <f>Ringkasan!C1784</f>
        <v>100</v>
      </c>
      <c r="D1806" s="60" t="str">
        <f>Ringkasan!D1784</f>
        <v>#N/A</v>
      </c>
      <c r="E1806" s="60" t="str">
        <f>Ringkasan!E1784</f>
        <v/>
      </c>
      <c r="F1806" s="60" t="str">
        <f>Ringkasan!F1784</f>
        <v/>
      </c>
      <c r="G1806" s="60">
        <f>Ringkasan!G1784</f>
        <v>0</v>
      </c>
      <c r="H1806" s="62">
        <f>Ringkasan!H1784</f>
        <v>45.6</v>
      </c>
      <c r="I1806" s="62">
        <f>Ringkasan!I1784</f>
        <v>0.73</v>
      </c>
      <c r="J1806" s="62">
        <f>Ringkasan!J1784</f>
        <v>1.6</v>
      </c>
      <c r="K1806" s="62">
        <f>Ringkasan!K1784</f>
        <v>1</v>
      </c>
      <c r="L1806" s="62">
        <f>Ringkasan!L1784</f>
        <v>0.6</v>
      </c>
      <c r="M1806" s="62">
        <f>Ringkasan!M1784</f>
        <v>12.7</v>
      </c>
      <c r="N1806" s="60" t="str">
        <f>Ringkasan!N1784</f>
        <v/>
      </c>
      <c r="O1806" s="60" t="str">
        <f>Ringkasan!O1784</f>
        <v/>
      </c>
      <c r="P1806" s="60" t="str">
        <f>Ringkasan!P1784</f>
        <v/>
      </c>
      <c r="Q1806" s="60" t="str">
        <f>Ringkasan!Q1784</f>
        <v/>
      </c>
      <c r="R1806" s="60" t="str">
        <f>Ringkasan!R1784</f>
        <v/>
      </c>
      <c r="S1806" s="60" t="str">
        <f>Ringkasan!S1784</f>
        <v/>
      </c>
      <c r="T1806" s="60" t="str">
        <f>Ringkasan!T1784</f>
        <v/>
      </c>
      <c r="U1806" s="60" t="str">
        <f>Ringkasan!U1784</f>
        <v/>
      </c>
      <c r="V1806" s="60" t="str">
        <f>Ringkasan!V1784</f>
        <v/>
      </c>
      <c r="W1806" s="60" t="str">
        <f>Ringkasan!W1784</f>
        <v/>
      </c>
      <c r="X1806" s="60" t="str">
        <f>Ringkasan!X1784</f>
        <v/>
      </c>
      <c r="Y1806" s="60" t="str">
        <f>Ringkasan!Y1784</f>
        <v/>
      </c>
      <c r="Z1806" s="60" t="str">
        <f>Ringkasan!Z1784</f>
        <v/>
      </c>
      <c r="AA1806" s="60" t="str">
        <f>Ringkasan!AA1784</f>
        <v>Oil, Gas &amp; Coal Supports</v>
      </c>
      <c r="AB1806" s="60" t="str">
        <f>Ringkasan!AB1784</f>
        <v>Energy</v>
      </c>
    </row>
    <row r="1807">
      <c r="A1807" s="60" t="str">
        <f>Ringkasan!A1878</f>
        <v/>
      </c>
      <c r="B1807" s="60" t="str">
        <f>Ringkasan!B1878</f>
        <v/>
      </c>
      <c r="C1807" s="60" t="str">
        <f>Ringkasan!C1878</f>
        <v/>
      </c>
      <c r="D1807" s="60" t="str">
        <f>Ringkasan!D1878</f>
        <v/>
      </c>
      <c r="E1807" s="60" t="str">
        <f>Ringkasan!E1878</f>
        <v/>
      </c>
      <c r="F1807" s="60" t="str">
        <f>Ringkasan!F1878</f>
        <v/>
      </c>
      <c r="G1807" s="60" t="str">
        <f>Ringkasan!G1878</f>
        <v/>
      </c>
      <c r="H1807" s="60" t="str">
        <f>Ringkasan!H1878</f>
        <v/>
      </c>
      <c r="I1807" s="60" t="str">
        <f>Ringkasan!I1878</f>
        <v/>
      </c>
      <c r="J1807" s="60" t="str">
        <f>Ringkasan!J1878</f>
        <v/>
      </c>
      <c r="K1807" s="60" t="str">
        <f>Ringkasan!K1878</f>
        <v/>
      </c>
      <c r="L1807" s="60" t="str">
        <f>Ringkasan!L1878</f>
        <v/>
      </c>
      <c r="M1807" s="60" t="str">
        <f>Ringkasan!M1878</f>
        <v/>
      </c>
      <c r="N1807" s="60" t="str">
        <f>Ringkasan!N1878</f>
        <v/>
      </c>
      <c r="O1807" s="60" t="str">
        <f>Ringkasan!O1878</f>
        <v/>
      </c>
      <c r="P1807" s="60" t="str">
        <f>Ringkasan!P1878</f>
        <v/>
      </c>
      <c r="Q1807" s="60" t="str">
        <f>Ringkasan!Q1878</f>
        <v/>
      </c>
      <c r="R1807" s="60" t="str">
        <f>Ringkasan!R1878</f>
        <v/>
      </c>
      <c r="S1807" s="60" t="str">
        <f>Ringkasan!S1878</f>
        <v/>
      </c>
      <c r="T1807" s="60" t="str">
        <f>Ringkasan!T1878</f>
        <v/>
      </c>
      <c r="U1807" s="60" t="str">
        <f>Ringkasan!U1878</f>
        <v/>
      </c>
      <c r="V1807" s="60" t="str">
        <f>Ringkasan!V1878</f>
        <v/>
      </c>
      <c r="W1807" s="60" t="str">
        <f>Ringkasan!W1878</f>
        <v/>
      </c>
      <c r="X1807" s="60" t="str">
        <f>Ringkasan!X1878</f>
        <v/>
      </c>
      <c r="Y1807" s="60" t="str">
        <f>Ringkasan!Y1878</f>
        <v/>
      </c>
      <c r="Z1807" s="60" t="str">
        <f>Ringkasan!Z1878</f>
        <v/>
      </c>
      <c r="AA1807" s="60" t="str">
        <f>Ringkasan!AA1878</f>
        <v/>
      </c>
      <c r="AB1807" s="64" t="str">
        <f>Ringkasan!AB1878</f>
        <v/>
      </c>
    </row>
    <row r="1808">
      <c r="A1808" s="60" t="str">
        <f>Ringkasan!A1879</f>
        <v/>
      </c>
      <c r="B1808" s="60" t="str">
        <f>Ringkasan!B1879</f>
        <v/>
      </c>
      <c r="C1808" s="60" t="str">
        <f>Ringkasan!C1879</f>
        <v/>
      </c>
      <c r="D1808" s="60" t="str">
        <f>Ringkasan!D1879</f>
        <v/>
      </c>
      <c r="E1808" s="60" t="str">
        <f>Ringkasan!E1879</f>
        <v/>
      </c>
      <c r="F1808" s="60" t="str">
        <f>Ringkasan!F1879</f>
        <v/>
      </c>
      <c r="G1808" s="60" t="str">
        <f>Ringkasan!G1879</f>
        <v/>
      </c>
      <c r="H1808" s="60" t="str">
        <f>Ringkasan!H1879</f>
        <v/>
      </c>
      <c r="I1808" s="60" t="str">
        <f>Ringkasan!I1879</f>
        <v/>
      </c>
      <c r="J1808" s="60" t="str">
        <f>Ringkasan!J1879</f>
        <v/>
      </c>
      <c r="K1808" s="60" t="str">
        <f>Ringkasan!K1879</f>
        <v/>
      </c>
      <c r="L1808" s="60" t="str">
        <f>Ringkasan!L1879</f>
        <v/>
      </c>
      <c r="M1808" s="60" t="str">
        <f>Ringkasan!M1879</f>
        <v/>
      </c>
      <c r="N1808" s="60" t="str">
        <f>Ringkasan!N1879</f>
        <v/>
      </c>
      <c r="O1808" s="60" t="str">
        <f>Ringkasan!O1879</f>
        <v/>
      </c>
      <c r="P1808" s="60" t="str">
        <f>Ringkasan!P1879</f>
        <v/>
      </c>
      <c r="Q1808" s="60" t="str">
        <f>Ringkasan!Q1879</f>
        <v/>
      </c>
      <c r="R1808" s="60" t="str">
        <f>Ringkasan!R1879</f>
        <v/>
      </c>
      <c r="S1808" s="60" t="str">
        <f>Ringkasan!S1879</f>
        <v/>
      </c>
      <c r="T1808" s="60" t="str">
        <f>Ringkasan!T1879</f>
        <v/>
      </c>
      <c r="U1808" s="60" t="str">
        <f>Ringkasan!U1879</f>
        <v/>
      </c>
      <c r="V1808" s="60" t="str">
        <f>Ringkasan!V1879</f>
        <v/>
      </c>
      <c r="W1808" s="60" t="str">
        <f>Ringkasan!W1879</f>
        <v/>
      </c>
      <c r="X1808" s="60" t="str">
        <f>Ringkasan!X1879</f>
        <v/>
      </c>
      <c r="Y1808" s="60" t="str">
        <f>Ringkasan!Y1879</f>
        <v/>
      </c>
      <c r="Z1808" s="60" t="str">
        <f>Ringkasan!Z1879</f>
        <v/>
      </c>
      <c r="AA1808" s="60" t="str">
        <f>Ringkasan!AA1879</f>
        <v/>
      </c>
      <c r="AB1808" s="64" t="str">
        <f>Ringkasan!AB1879</f>
        <v/>
      </c>
    </row>
    <row r="1809">
      <c r="A1809" s="60" t="str">
        <f>Ringkasan!A1880</f>
        <v/>
      </c>
      <c r="B1809" s="60" t="str">
        <f>Ringkasan!B1880</f>
        <v/>
      </c>
      <c r="C1809" s="60" t="str">
        <f>Ringkasan!C1880</f>
        <v/>
      </c>
      <c r="D1809" s="60" t="str">
        <f>Ringkasan!D1880</f>
        <v/>
      </c>
      <c r="E1809" s="60" t="str">
        <f>Ringkasan!E1880</f>
        <v/>
      </c>
      <c r="F1809" s="60" t="str">
        <f>Ringkasan!F1880</f>
        <v/>
      </c>
      <c r="G1809" s="60" t="str">
        <f>Ringkasan!G1880</f>
        <v/>
      </c>
      <c r="H1809" s="60" t="str">
        <f>Ringkasan!H1880</f>
        <v/>
      </c>
      <c r="I1809" s="60" t="str">
        <f>Ringkasan!I1880</f>
        <v/>
      </c>
      <c r="J1809" s="60" t="str">
        <f>Ringkasan!J1880</f>
        <v/>
      </c>
      <c r="K1809" s="60" t="str">
        <f>Ringkasan!K1880</f>
        <v/>
      </c>
      <c r="L1809" s="60" t="str">
        <f>Ringkasan!L1880</f>
        <v/>
      </c>
      <c r="M1809" s="60" t="str">
        <f>Ringkasan!M1880</f>
        <v/>
      </c>
      <c r="N1809" s="60" t="str">
        <f>Ringkasan!N1880</f>
        <v/>
      </c>
      <c r="O1809" s="60" t="str">
        <f>Ringkasan!O1880</f>
        <v/>
      </c>
      <c r="P1809" s="60" t="str">
        <f>Ringkasan!P1880</f>
        <v/>
      </c>
      <c r="Q1809" s="60" t="str">
        <f>Ringkasan!Q1880</f>
        <v/>
      </c>
      <c r="R1809" s="60" t="str">
        <f>Ringkasan!R1880</f>
        <v/>
      </c>
      <c r="S1809" s="60" t="str">
        <f>Ringkasan!S1880</f>
        <v/>
      </c>
      <c r="T1809" s="60" t="str">
        <f>Ringkasan!T1880</f>
        <v/>
      </c>
      <c r="U1809" s="60" t="str">
        <f>Ringkasan!U1880</f>
        <v/>
      </c>
      <c r="V1809" s="60" t="str">
        <f>Ringkasan!V1880</f>
        <v/>
      </c>
      <c r="W1809" s="60" t="str">
        <f>Ringkasan!W1880</f>
        <v/>
      </c>
      <c r="X1809" s="60" t="str">
        <f>Ringkasan!X1880</f>
        <v/>
      </c>
      <c r="Y1809" s="60" t="str">
        <f>Ringkasan!Y1880</f>
        <v/>
      </c>
      <c r="Z1809" s="60" t="str">
        <f>Ringkasan!Z1880</f>
        <v/>
      </c>
      <c r="AA1809" s="60" t="str">
        <f>Ringkasan!AA1880</f>
        <v/>
      </c>
      <c r="AB1809" s="64" t="str">
        <f>Ringkasan!AB1880</f>
        <v/>
      </c>
    </row>
    <row r="1810">
      <c r="A1810" s="60" t="str">
        <f>Ringkasan!A1881</f>
        <v/>
      </c>
      <c r="B1810" s="60" t="str">
        <f>Ringkasan!B1881</f>
        <v/>
      </c>
      <c r="C1810" s="60" t="str">
        <f>Ringkasan!C1881</f>
        <v/>
      </c>
      <c r="D1810" s="60" t="str">
        <f>Ringkasan!D1881</f>
        <v/>
      </c>
      <c r="E1810" s="60" t="str">
        <f>Ringkasan!E1881</f>
        <v/>
      </c>
      <c r="F1810" s="60" t="str">
        <f>Ringkasan!F1881</f>
        <v/>
      </c>
      <c r="G1810" s="60" t="str">
        <f>Ringkasan!G1881</f>
        <v/>
      </c>
      <c r="H1810" s="60" t="str">
        <f>Ringkasan!H1881</f>
        <v/>
      </c>
      <c r="I1810" s="60" t="str">
        <f>Ringkasan!I1881</f>
        <v/>
      </c>
      <c r="J1810" s="60" t="str">
        <f>Ringkasan!J1881</f>
        <v/>
      </c>
      <c r="K1810" s="60" t="str">
        <f>Ringkasan!K1881</f>
        <v/>
      </c>
      <c r="L1810" s="60" t="str">
        <f>Ringkasan!L1881</f>
        <v/>
      </c>
      <c r="M1810" s="60" t="str">
        <f>Ringkasan!M1881</f>
        <v/>
      </c>
      <c r="N1810" s="60" t="str">
        <f>Ringkasan!N1881</f>
        <v/>
      </c>
      <c r="O1810" s="60" t="str">
        <f>Ringkasan!O1881</f>
        <v/>
      </c>
      <c r="P1810" s="60" t="str">
        <f>Ringkasan!P1881</f>
        <v/>
      </c>
      <c r="Q1810" s="60" t="str">
        <f>Ringkasan!Q1881</f>
        <v/>
      </c>
      <c r="R1810" s="60" t="str">
        <f>Ringkasan!R1881</f>
        <v/>
      </c>
      <c r="S1810" s="60" t="str">
        <f>Ringkasan!S1881</f>
        <v/>
      </c>
      <c r="T1810" s="60" t="str">
        <f>Ringkasan!T1881</f>
        <v/>
      </c>
      <c r="U1810" s="60" t="str">
        <f>Ringkasan!U1881</f>
        <v/>
      </c>
      <c r="V1810" s="60" t="str">
        <f>Ringkasan!V1881</f>
        <v/>
      </c>
      <c r="W1810" s="60" t="str">
        <f>Ringkasan!W1881</f>
        <v/>
      </c>
      <c r="X1810" s="60" t="str">
        <f>Ringkasan!X1881</f>
        <v/>
      </c>
      <c r="Y1810" s="60" t="str">
        <f>Ringkasan!Y1881</f>
        <v/>
      </c>
      <c r="Z1810" s="60" t="str">
        <f>Ringkasan!Z1881</f>
        <v/>
      </c>
      <c r="AA1810" s="60" t="str">
        <f>Ringkasan!AA1881</f>
        <v/>
      </c>
      <c r="AB1810" s="64" t="str">
        <f>Ringkasan!AB1881</f>
        <v/>
      </c>
    </row>
    <row r="1811">
      <c r="A1811" s="60" t="str">
        <f>Ringkasan!A1882</f>
        <v/>
      </c>
      <c r="B1811" s="60" t="str">
        <f>Ringkasan!B1882</f>
        <v/>
      </c>
      <c r="C1811" s="60" t="str">
        <f>Ringkasan!C1882</f>
        <v/>
      </c>
      <c r="D1811" s="60" t="str">
        <f>Ringkasan!D1882</f>
        <v/>
      </c>
      <c r="E1811" s="60" t="str">
        <f>Ringkasan!E1882</f>
        <v/>
      </c>
      <c r="F1811" s="60" t="str">
        <f>Ringkasan!F1882</f>
        <v/>
      </c>
      <c r="G1811" s="60" t="str">
        <f>Ringkasan!G1882</f>
        <v/>
      </c>
      <c r="H1811" s="60" t="str">
        <f>Ringkasan!H1882</f>
        <v/>
      </c>
      <c r="I1811" s="60" t="str">
        <f>Ringkasan!I1882</f>
        <v/>
      </c>
      <c r="J1811" s="60" t="str">
        <f>Ringkasan!J1882</f>
        <v/>
      </c>
      <c r="K1811" s="60" t="str">
        <f>Ringkasan!K1882</f>
        <v/>
      </c>
      <c r="L1811" s="60" t="str">
        <f>Ringkasan!L1882</f>
        <v/>
      </c>
      <c r="M1811" s="60" t="str">
        <f>Ringkasan!M1882</f>
        <v/>
      </c>
      <c r="N1811" s="60" t="str">
        <f>Ringkasan!N1882</f>
        <v/>
      </c>
      <c r="O1811" s="60" t="str">
        <f>Ringkasan!O1882</f>
        <v/>
      </c>
      <c r="P1811" s="60" t="str">
        <f>Ringkasan!P1882</f>
        <v/>
      </c>
      <c r="Q1811" s="60" t="str">
        <f>Ringkasan!Q1882</f>
        <v/>
      </c>
      <c r="R1811" s="60" t="str">
        <f>Ringkasan!R1882</f>
        <v/>
      </c>
      <c r="S1811" s="60" t="str">
        <f>Ringkasan!S1882</f>
        <v/>
      </c>
      <c r="T1811" s="60" t="str">
        <f>Ringkasan!T1882</f>
        <v/>
      </c>
      <c r="U1811" s="60" t="str">
        <f>Ringkasan!U1882</f>
        <v/>
      </c>
      <c r="V1811" s="60" t="str">
        <f>Ringkasan!V1882</f>
        <v/>
      </c>
      <c r="W1811" s="60" t="str">
        <f>Ringkasan!W1882</f>
        <v/>
      </c>
      <c r="X1811" s="60" t="str">
        <f>Ringkasan!X1882</f>
        <v/>
      </c>
      <c r="Y1811" s="60" t="str">
        <f>Ringkasan!Y1882</f>
        <v/>
      </c>
      <c r="Z1811" s="60" t="str">
        <f>Ringkasan!Z1882</f>
        <v/>
      </c>
      <c r="AA1811" s="60" t="str">
        <f>Ringkasan!AA1882</f>
        <v/>
      </c>
      <c r="AB1811" s="64" t="str">
        <f>Ringkasan!AB1882</f>
        <v/>
      </c>
    </row>
    <row r="1812">
      <c r="A1812" s="60" t="str">
        <f>Ringkasan!A1883</f>
        <v/>
      </c>
      <c r="B1812" s="60" t="str">
        <f>Ringkasan!B1883</f>
        <v/>
      </c>
      <c r="C1812" s="60" t="str">
        <f>Ringkasan!C1883</f>
        <v/>
      </c>
      <c r="D1812" s="60" t="str">
        <f>Ringkasan!D1883</f>
        <v/>
      </c>
      <c r="E1812" s="60" t="str">
        <f>Ringkasan!E1883</f>
        <v/>
      </c>
      <c r="F1812" s="60" t="str">
        <f>Ringkasan!F1883</f>
        <v/>
      </c>
      <c r="G1812" s="60" t="str">
        <f>Ringkasan!G1883</f>
        <v/>
      </c>
      <c r="H1812" s="60" t="str">
        <f>Ringkasan!H1883</f>
        <v/>
      </c>
      <c r="I1812" s="60" t="str">
        <f>Ringkasan!I1883</f>
        <v/>
      </c>
      <c r="J1812" s="60" t="str">
        <f>Ringkasan!J1883</f>
        <v/>
      </c>
      <c r="K1812" s="60" t="str">
        <f>Ringkasan!K1883</f>
        <v/>
      </c>
      <c r="L1812" s="60" t="str">
        <f>Ringkasan!L1883</f>
        <v/>
      </c>
      <c r="M1812" s="60" t="str">
        <f>Ringkasan!M1883</f>
        <v/>
      </c>
      <c r="N1812" s="60" t="str">
        <f>Ringkasan!N1883</f>
        <v/>
      </c>
      <c r="O1812" s="60" t="str">
        <f>Ringkasan!O1883</f>
        <v/>
      </c>
      <c r="P1812" s="60" t="str">
        <f>Ringkasan!P1883</f>
        <v/>
      </c>
      <c r="Q1812" s="60" t="str">
        <f>Ringkasan!Q1883</f>
        <v/>
      </c>
      <c r="R1812" s="60" t="str">
        <f>Ringkasan!R1883</f>
        <v/>
      </c>
      <c r="S1812" s="60" t="str">
        <f>Ringkasan!S1883</f>
        <v/>
      </c>
      <c r="T1812" s="60" t="str">
        <f>Ringkasan!T1883</f>
        <v/>
      </c>
      <c r="U1812" s="60" t="str">
        <f>Ringkasan!U1883</f>
        <v/>
      </c>
      <c r="V1812" s="60" t="str">
        <f>Ringkasan!V1883</f>
        <v/>
      </c>
      <c r="W1812" s="60" t="str">
        <f>Ringkasan!W1883</f>
        <v/>
      </c>
      <c r="X1812" s="60" t="str">
        <f>Ringkasan!X1883</f>
        <v/>
      </c>
      <c r="Y1812" s="60" t="str">
        <f>Ringkasan!Y1883</f>
        <v/>
      </c>
      <c r="Z1812" s="60" t="str">
        <f>Ringkasan!Z1883</f>
        <v/>
      </c>
      <c r="AA1812" s="60" t="str">
        <f>Ringkasan!AA1883</f>
        <v/>
      </c>
      <c r="AB1812" s="64" t="str">
        <f>Ringkasan!AB1883</f>
        <v/>
      </c>
    </row>
    <row r="1813">
      <c r="A1813" s="60" t="str">
        <f>Ringkasan!A1884</f>
        <v/>
      </c>
      <c r="B1813" s="60" t="str">
        <f>Ringkasan!B1884</f>
        <v/>
      </c>
      <c r="C1813" s="60" t="str">
        <f>Ringkasan!C1884</f>
        <v/>
      </c>
      <c r="D1813" s="60" t="str">
        <f>Ringkasan!D1884</f>
        <v/>
      </c>
      <c r="E1813" s="60" t="str">
        <f>Ringkasan!E1884</f>
        <v/>
      </c>
      <c r="F1813" s="60" t="str">
        <f>Ringkasan!F1884</f>
        <v/>
      </c>
      <c r="G1813" s="60" t="str">
        <f>Ringkasan!G1884</f>
        <v/>
      </c>
      <c r="H1813" s="60" t="str">
        <f>Ringkasan!H1884</f>
        <v/>
      </c>
      <c r="I1813" s="60" t="str">
        <f>Ringkasan!I1884</f>
        <v/>
      </c>
      <c r="J1813" s="60" t="str">
        <f>Ringkasan!J1884</f>
        <v/>
      </c>
      <c r="K1813" s="60" t="str">
        <f>Ringkasan!K1884</f>
        <v/>
      </c>
      <c r="L1813" s="60" t="str">
        <f>Ringkasan!L1884</f>
        <v/>
      </c>
      <c r="M1813" s="60" t="str">
        <f>Ringkasan!M1884</f>
        <v/>
      </c>
      <c r="N1813" s="60" t="str">
        <f>Ringkasan!N1884</f>
        <v/>
      </c>
      <c r="O1813" s="60" t="str">
        <f>Ringkasan!O1884</f>
        <v/>
      </c>
      <c r="P1813" s="60" t="str">
        <f>Ringkasan!P1884</f>
        <v/>
      </c>
      <c r="Q1813" s="60" t="str">
        <f>Ringkasan!Q1884</f>
        <v/>
      </c>
      <c r="R1813" s="60" t="str">
        <f>Ringkasan!R1884</f>
        <v/>
      </c>
      <c r="S1813" s="60" t="str">
        <f>Ringkasan!S1884</f>
        <v/>
      </c>
      <c r="T1813" s="60" t="str">
        <f>Ringkasan!T1884</f>
        <v/>
      </c>
      <c r="U1813" s="60" t="str">
        <f>Ringkasan!U1884</f>
        <v/>
      </c>
      <c r="V1813" s="60" t="str">
        <f>Ringkasan!V1884</f>
        <v/>
      </c>
      <c r="W1813" s="60" t="str">
        <f>Ringkasan!W1884</f>
        <v/>
      </c>
      <c r="X1813" s="60" t="str">
        <f>Ringkasan!X1884</f>
        <v/>
      </c>
      <c r="Y1813" s="60" t="str">
        <f>Ringkasan!Y1884</f>
        <v/>
      </c>
      <c r="Z1813" s="60" t="str">
        <f>Ringkasan!Z1884</f>
        <v/>
      </c>
      <c r="AA1813" s="60" t="str">
        <f>Ringkasan!AA1884</f>
        <v/>
      </c>
      <c r="AB1813" s="64" t="str">
        <f>Ringkasan!AB1884</f>
        <v/>
      </c>
    </row>
    <row r="1814">
      <c r="A1814" s="60" t="str">
        <f>Ringkasan!A1885</f>
        <v/>
      </c>
      <c r="B1814" s="60" t="str">
        <f>Ringkasan!B1885</f>
        <v/>
      </c>
      <c r="C1814" s="60" t="str">
        <f>Ringkasan!C1885</f>
        <v/>
      </c>
      <c r="D1814" s="60" t="str">
        <f>Ringkasan!D1885</f>
        <v/>
      </c>
      <c r="E1814" s="60" t="str">
        <f>Ringkasan!E1885</f>
        <v/>
      </c>
      <c r="F1814" s="60" t="str">
        <f>Ringkasan!F1885</f>
        <v/>
      </c>
      <c r="G1814" s="60" t="str">
        <f>Ringkasan!G1885</f>
        <v/>
      </c>
      <c r="H1814" s="60" t="str">
        <f>Ringkasan!H1885</f>
        <v/>
      </c>
      <c r="I1814" s="60" t="str">
        <f>Ringkasan!I1885</f>
        <v/>
      </c>
      <c r="J1814" s="60" t="str">
        <f>Ringkasan!J1885</f>
        <v/>
      </c>
      <c r="K1814" s="60" t="str">
        <f>Ringkasan!K1885</f>
        <v/>
      </c>
      <c r="L1814" s="60" t="str">
        <f>Ringkasan!L1885</f>
        <v/>
      </c>
      <c r="M1814" s="60" t="str">
        <f>Ringkasan!M1885</f>
        <v/>
      </c>
      <c r="N1814" s="60" t="str">
        <f>Ringkasan!N1885</f>
        <v/>
      </c>
      <c r="O1814" s="60" t="str">
        <f>Ringkasan!O1885</f>
        <v/>
      </c>
      <c r="P1814" s="60" t="str">
        <f>Ringkasan!P1885</f>
        <v/>
      </c>
      <c r="Q1814" s="60" t="str">
        <f>Ringkasan!Q1885</f>
        <v/>
      </c>
      <c r="R1814" s="60" t="str">
        <f>Ringkasan!R1885</f>
        <v/>
      </c>
      <c r="S1814" s="60" t="str">
        <f>Ringkasan!S1885</f>
        <v/>
      </c>
      <c r="T1814" s="60" t="str">
        <f>Ringkasan!T1885</f>
        <v/>
      </c>
      <c r="U1814" s="60" t="str">
        <f>Ringkasan!U1885</f>
        <v/>
      </c>
      <c r="V1814" s="60" t="str">
        <f>Ringkasan!V1885</f>
        <v/>
      </c>
      <c r="W1814" s="60" t="str">
        <f>Ringkasan!W1885</f>
        <v/>
      </c>
      <c r="X1814" s="60" t="str">
        <f>Ringkasan!X1885</f>
        <v/>
      </c>
      <c r="Y1814" s="60" t="str">
        <f>Ringkasan!Y1885</f>
        <v/>
      </c>
      <c r="Z1814" s="60" t="str">
        <f>Ringkasan!Z1885</f>
        <v/>
      </c>
      <c r="AA1814" s="60" t="str">
        <f>Ringkasan!AA1885</f>
        <v/>
      </c>
      <c r="AB1814" s="64" t="str">
        <f>Ringkasan!AB1885</f>
        <v/>
      </c>
    </row>
    <row r="1815">
      <c r="A1815" s="64" t="str">
        <f>Ringkasan!A1886</f>
        <v/>
      </c>
      <c r="B1815" s="64" t="str">
        <f>Ringkasan!B1886</f>
        <v/>
      </c>
      <c r="C1815" s="64" t="str">
        <f>Ringkasan!C1886</f>
        <v/>
      </c>
      <c r="D1815" s="64" t="str">
        <f>Ringkasan!D1886</f>
        <v/>
      </c>
      <c r="E1815" s="64" t="str">
        <f>Ringkasan!E1886</f>
        <v/>
      </c>
      <c r="F1815" s="64" t="str">
        <f>Ringkasan!F1886</f>
        <v/>
      </c>
      <c r="G1815" s="64" t="str">
        <f>Ringkasan!G1886</f>
        <v/>
      </c>
      <c r="H1815" s="64" t="str">
        <f>Ringkasan!H1886</f>
        <v/>
      </c>
      <c r="I1815" s="64" t="str">
        <f>Ringkasan!I1886</f>
        <v/>
      </c>
      <c r="J1815" s="64" t="str">
        <f>Ringkasan!J1886</f>
        <v/>
      </c>
      <c r="K1815" s="64" t="str">
        <f>Ringkasan!K1886</f>
        <v/>
      </c>
      <c r="L1815" s="64" t="str">
        <f>Ringkasan!L1886</f>
        <v/>
      </c>
      <c r="M1815" s="64" t="str">
        <f>Ringkasan!M1886</f>
        <v/>
      </c>
      <c r="N1815" s="64" t="str">
        <f>Ringkasan!N1886</f>
        <v/>
      </c>
      <c r="O1815" s="64" t="str">
        <f>Ringkasan!O1886</f>
        <v/>
      </c>
      <c r="P1815" s="64" t="str">
        <f>Ringkasan!P1886</f>
        <v/>
      </c>
      <c r="Q1815" s="64" t="str">
        <f>Ringkasan!Q1886</f>
        <v/>
      </c>
      <c r="R1815" s="64" t="str">
        <f>Ringkasan!R1886</f>
        <v/>
      </c>
      <c r="S1815" s="64" t="str">
        <f>Ringkasan!S1886</f>
        <v/>
      </c>
      <c r="T1815" s="64" t="str">
        <f>Ringkasan!T1886</f>
        <v/>
      </c>
      <c r="U1815" s="64" t="str">
        <f>Ringkasan!U1886</f>
        <v/>
      </c>
      <c r="V1815" s="64" t="str">
        <f>Ringkasan!V1886</f>
        <v/>
      </c>
      <c r="W1815" s="64" t="str">
        <f>Ringkasan!W1886</f>
        <v/>
      </c>
      <c r="X1815" s="64" t="str">
        <f>Ringkasan!X1886</f>
        <v/>
      </c>
      <c r="Y1815" s="64" t="str">
        <f>Ringkasan!Y1886</f>
        <v/>
      </c>
      <c r="Z1815" s="64" t="str">
        <f>Ringkasan!Z1886</f>
        <v/>
      </c>
      <c r="AA1815" s="64" t="str">
        <f>Ringkasan!AA1886</f>
        <v/>
      </c>
      <c r="AB1815" s="64" t="str">
        <f>Ringkasan!AB1886</f>
        <v/>
      </c>
    </row>
    <row r="1816">
      <c r="A1816" s="64" t="str">
        <f>Ringkasan!A1887</f>
        <v/>
      </c>
      <c r="B1816" s="64" t="str">
        <f>Ringkasan!B1887</f>
        <v/>
      </c>
      <c r="C1816" s="64" t="str">
        <f>Ringkasan!C1887</f>
        <v/>
      </c>
      <c r="D1816" s="64" t="str">
        <f>Ringkasan!D1887</f>
        <v/>
      </c>
      <c r="E1816" s="64" t="str">
        <f>Ringkasan!E1887</f>
        <v/>
      </c>
      <c r="F1816" s="64" t="str">
        <f>Ringkasan!F1887</f>
        <v/>
      </c>
      <c r="G1816" s="64" t="str">
        <f>Ringkasan!G1887</f>
        <v/>
      </c>
      <c r="H1816" s="64" t="str">
        <f>Ringkasan!H1887</f>
        <v/>
      </c>
      <c r="I1816" s="64" t="str">
        <f>Ringkasan!I1887</f>
        <v/>
      </c>
      <c r="J1816" s="64" t="str">
        <f>Ringkasan!J1887</f>
        <v/>
      </c>
      <c r="K1816" s="64" t="str">
        <f>Ringkasan!K1887</f>
        <v/>
      </c>
      <c r="L1816" s="64" t="str">
        <f>Ringkasan!L1887</f>
        <v/>
      </c>
      <c r="M1816" s="64" t="str">
        <f>Ringkasan!M1887</f>
        <v/>
      </c>
      <c r="N1816" s="64" t="str">
        <f>Ringkasan!N1887</f>
        <v/>
      </c>
      <c r="O1816" s="64" t="str">
        <f>Ringkasan!O1887</f>
        <v/>
      </c>
      <c r="P1816" s="64" t="str">
        <f>Ringkasan!P1887</f>
        <v/>
      </c>
      <c r="Q1816" s="64" t="str">
        <f>Ringkasan!Q1887</f>
        <v/>
      </c>
      <c r="R1816" s="64" t="str">
        <f>Ringkasan!R1887</f>
        <v/>
      </c>
      <c r="S1816" s="64" t="str">
        <f>Ringkasan!S1887</f>
        <v/>
      </c>
      <c r="T1816" s="64" t="str">
        <f>Ringkasan!T1887</f>
        <v/>
      </c>
      <c r="U1816" s="64" t="str">
        <f>Ringkasan!U1887</f>
        <v/>
      </c>
      <c r="V1816" s="64" t="str">
        <f>Ringkasan!V1887</f>
        <v/>
      </c>
      <c r="W1816" s="64" t="str">
        <f>Ringkasan!W1887</f>
        <v/>
      </c>
      <c r="X1816" s="64" t="str">
        <f>Ringkasan!X1887</f>
        <v/>
      </c>
      <c r="Y1816" s="64" t="str">
        <f>Ringkasan!Y1887</f>
        <v/>
      </c>
      <c r="Z1816" s="64" t="str">
        <f>Ringkasan!Z1887</f>
        <v/>
      </c>
      <c r="AA1816" s="64" t="str">
        <f>Ringkasan!AA1887</f>
        <v/>
      </c>
      <c r="AB1816" s="64" t="str">
        <f>Ringkasan!AB1887</f>
        <v/>
      </c>
    </row>
    <row r="1817">
      <c r="A1817" s="64" t="str">
        <f>Ringkasan!A1888</f>
        <v/>
      </c>
      <c r="B1817" s="64" t="str">
        <f>Ringkasan!B1888</f>
        <v/>
      </c>
      <c r="C1817" s="64" t="str">
        <f>Ringkasan!C1888</f>
        <v/>
      </c>
      <c r="D1817" s="64" t="str">
        <f>Ringkasan!D1888</f>
        <v/>
      </c>
      <c r="E1817" s="64" t="str">
        <f>Ringkasan!E1888</f>
        <v/>
      </c>
      <c r="F1817" s="64" t="str">
        <f>Ringkasan!F1888</f>
        <v/>
      </c>
      <c r="G1817" s="64" t="str">
        <f>Ringkasan!G1888</f>
        <v/>
      </c>
      <c r="H1817" s="64" t="str">
        <f>Ringkasan!H1888</f>
        <v/>
      </c>
      <c r="I1817" s="64" t="str">
        <f>Ringkasan!I1888</f>
        <v/>
      </c>
      <c r="J1817" s="64" t="str">
        <f>Ringkasan!J1888</f>
        <v/>
      </c>
      <c r="K1817" s="64" t="str">
        <f>Ringkasan!K1888</f>
        <v/>
      </c>
      <c r="L1817" s="64" t="str">
        <f>Ringkasan!L1888</f>
        <v/>
      </c>
      <c r="M1817" s="64" t="str">
        <f>Ringkasan!M1888</f>
        <v/>
      </c>
      <c r="N1817" s="64" t="str">
        <f>Ringkasan!N1888</f>
        <v/>
      </c>
      <c r="O1817" s="64" t="str">
        <f>Ringkasan!O1888</f>
        <v/>
      </c>
      <c r="P1817" s="64" t="str">
        <f>Ringkasan!P1888</f>
        <v/>
      </c>
      <c r="Q1817" s="64" t="str">
        <f>Ringkasan!Q1888</f>
        <v/>
      </c>
      <c r="R1817" s="64" t="str">
        <f>Ringkasan!R1888</f>
        <v/>
      </c>
      <c r="S1817" s="64" t="str">
        <f>Ringkasan!S1888</f>
        <v/>
      </c>
      <c r="T1817" s="64" t="str">
        <f>Ringkasan!T1888</f>
        <v/>
      </c>
      <c r="U1817" s="64" t="str">
        <f>Ringkasan!U1888</f>
        <v/>
      </c>
      <c r="V1817" s="64" t="str">
        <f>Ringkasan!V1888</f>
        <v/>
      </c>
      <c r="W1817" s="64" t="str">
        <f>Ringkasan!W1888</f>
        <v/>
      </c>
      <c r="X1817" s="64" t="str">
        <f>Ringkasan!X1888</f>
        <v/>
      </c>
      <c r="Y1817" s="64" t="str">
        <f>Ringkasan!Y1888</f>
        <v/>
      </c>
      <c r="Z1817" s="64" t="str">
        <f>Ringkasan!Z1888</f>
        <v/>
      </c>
      <c r="AA1817" s="64" t="str">
        <f>Ringkasan!AA1888</f>
        <v/>
      </c>
      <c r="AB1817" s="64" t="str">
        <f>Ringkasan!AB1888</f>
        <v/>
      </c>
    </row>
    <row r="1818">
      <c r="A1818" s="64" t="str">
        <f>Ringkasan!A1889</f>
        <v/>
      </c>
      <c r="B1818" s="64" t="str">
        <f>Ringkasan!B1889</f>
        <v/>
      </c>
      <c r="C1818" s="64" t="str">
        <f>Ringkasan!C1889</f>
        <v/>
      </c>
      <c r="D1818" s="64" t="str">
        <f>Ringkasan!D1889</f>
        <v/>
      </c>
      <c r="E1818" s="64" t="str">
        <f>Ringkasan!E1889</f>
        <v/>
      </c>
      <c r="F1818" s="64" t="str">
        <f>Ringkasan!F1889</f>
        <v/>
      </c>
      <c r="G1818" s="64" t="str">
        <f>Ringkasan!G1889</f>
        <v/>
      </c>
      <c r="H1818" s="64" t="str">
        <f>Ringkasan!H1889</f>
        <v/>
      </c>
      <c r="I1818" s="64" t="str">
        <f>Ringkasan!I1889</f>
        <v/>
      </c>
      <c r="J1818" s="64" t="str">
        <f>Ringkasan!J1889</f>
        <v/>
      </c>
      <c r="K1818" s="64" t="str">
        <f>Ringkasan!K1889</f>
        <v/>
      </c>
      <c r="L1818" s="64" t="str">
        <f>Ringkasan!L1889</f>
        <v/>
      </c>
      <c r="M1818" s="64" t="str">
        <f>Ringkasan!M1889</f>
        <v/>
      </c>
      <c r="N1818" s="64" t="str">
        <f>Ringkasan!N1889</f>
        <v/>
      </c>
      <c r="O1818" s="64" t="str">
        <f>Ringkasan!O1889</f>
        <v/>
      </c>
      <c r="P1818" s="64" t="str">
        <f>Ringkasan!P1889</f>
        <v/>
      </c>
      <c r="Q1818" s="64" t="str">
        <f>Ringkasan!Q1889</f>
        <v/>
      </c>
      <c r="R1818" s="64" t="str">
        <f>Ringkasan!R1889</f>
        <v/>
      </c>
      <c r="S1818" s="64" t="str">
        <f>Ringkasan!S1889</f>
        <v/>
      </c>
      <c r="T1818" s="64" t="str">
        <f>Ringkasan!T1889</f>
        <v/>
      </c>
      <c r="U1818" s="64" t="str">
        <f>Ringkasan!U1889</f>
        <v/>
      </c>
      <c r="V1818" s="64" t="str">
        <f>Ringkasan!V1889</f>
        <v/>
      </c>
      <c r="W1818" s="64" t="str">
        <f>Ringkasan!W1889</f>
        <v/>
      </c>
      <c r="X1818" s="64" t="str">
        <f>Ringkasan!X1889</f>
        <v/>
      </c>
      <c r="Y1818" s="64" t="str">
        <f>Ringkasan!Y1889</f>
        <v/>
      </c>
      <c r="Z1818" s="64" t="str">
        <f>Ringkasan!Z1889</f>
        <v/>
      </c>
      <c r="AA1818" s="64" t="str">
        <f>Ringkasan!AA1889</f>
        <v/>
      </c>
      <c r="AB1818" s="64" t="str">
        <f>Ringkasan!AB1889</f>
        <v/>
      </c>
    </row>
    <row r="1819">
      <c r="A1819" s="64" t="str">
        <f>Ringkasan!A1890</f>
        <v/>
      </c>
      <c r="B1819" s="64" t="str">
        <f>Ringkasan!B1890</f>
        <v/>
      </c>
      <c r="C1819" s="64" t="str">
        <f>Ringkasan!C1890</f>
        <v/>
      </c>
      <c r="D1819" s="64" t="str">
        <f>Ringkasan!D1890</f>
        <v/>
      </c>
      <c r="E1819" s="64" t="str">
        <f>Ringkasan!E1890</f>
        <v/>
      </c>
      <c r="F1819" s="64" t="str">
        <f>Ringkasan!F1890</f>
        <v/>
      </c>
      <c r="G1819" s="64" t="str">
        <f>Ringkasan!G1890</f>
        <v/>
      </c>
      <c r="H1819" s="64" t="str">
        <f>Ringkasan!H1890</f>
        <v/>
      </c>
      <c r="I1819" s="64" t="str">
        <f>Ringkasan!I1890</f>
        <v/>
      </c>
      <c r="J1819" s="64" t="str">
        <f>Ringkasan!J1890</f>
        <v/>
      </c>
      <c r="K1819" s="64" t="str">
        <f>Ringkasan!K1890</f>
        <v/>
      </c>
      <c r="L1819" s="64" t="str">
        <f>Ringkasan!L1890</f>
        <v/>
      </c>
      <c r="M1819" s="64" t="str">
        <f>Ringkasan!M1890</f>
        <v/>
      </c>
      <c r="N1819" s="64" t="str">
        <f>Ringkasan!N1890</f>
        <v/>
      </c>
      <c r="O1819" s="64" t="str">
        <f>Ringkasan!O1890</f>
        <v/>
      </c>
      <c r="P1819" s="64" t="str">
        <f>Ringkasan!P1890</f>
        <v/>
      </c>
      <c r="Q1819" s="64" t="str">
        <f>Ringkasan!Q1890</f>
        <v/>
      </c>
      <c r="R1819" s="64" t="str">
        <f>Ringkasan!R1890</f>
        <v/>
      </c>
      <c r="S1819" s="64" t="str">
        <f>Ringkasan!S1890</f>
        <v/>
      </c>
      <c r="T1819" s="64" t="str">
        <f>Ringkasan!T1890</f>
        <v/>
      </c>
      <c r="U1819" s="64" t="str">
        <f>Ringkasan!U1890</f>
        <v/>
      </c>
      <c r="V1819" s="64" t="str">
        <f>Ringkasan!V1890</f>
        <v/>
      </c>
      <c r="W1819" s="64" t="str">
        <f>Ringkasan!W1890</f>
        <v/>
      </c>
      <c r="X1819" s="64" t="str">
        <f>Ringkasan!X1890</f>
        <v/>
      </c>
      <c r="Y1819" s="64" t="str">
        <f>Ringkasan!Y1890</f>
        <v/>
      </c>
      <c r="Z1819" s="64" t="str">
        <f>Ringkasan!Z1890</f>
        <v/>
      </c>
      <c r="AA1819" s="64" t="str">
        <f>Ringkasan!AA1890</f>
        <v/>
      </c>
      <c r="AB1819" s="64" t="str">
        <f>Ringkasan!AB1890</f>
        <v/>
      </c>
    </row>
    <row r="1820">
      <c r="A1820" s="64" t="str">
        <f>Ringkasan!A1891</f>
        <v/>
      </c>
      <c r="B1820" s="64" t="str">
        <f>Ringkasan!B1891</f>
        <v/>
      </c>
      <c r="C1820" s="64" t="str">
        <f>Ringkasan!C1891</f>
        <v/>
      </c>
      <c r="D1820" s="64" t="str">
        <f>Ringkasan!D1891</f>
        <v/>
      </c>
      <c r="E1820" s="64" t="str">
        <f>Ringkasan!E1891</f>
        <v/>
      </c>
      <c r="F1820" s="64" t="str">
        <f>Ringkasan!F1891</f>
        <v/>
      </c>
      <c r="G1820" s="64" t="str">
        <f>Ringkasan!G1891</f>
        <v/>
      </c>
      <c r="H1820" s="64" t="str">
        <f>Ringkasan!H1891</f>
        <v/>
      </c>
      <c r="I1820" s="64" t="str">
        <f>Ringkasan!I1891</f>
        <v/>
      </c>
      <c r="J1820" s="64" t="str">
        <f>Ringkasan!J1891</f>
        <v/>
      </c>
      <c r="K1820" s="64" t="str">
        <f>Ringkasan!K1891</f>
        <v/>
      </c>
      <c r="L1820" s="64" t="str">
        <f>Ringkasan!L1891</f>
        <v/>
      </c>
      <c r="M1820" s="64" t="str">
        <f>Ringkasan!M1891</f>
        <v/>
      </c>
      <c r="N1820" s="64" t="str">
        <f>Ringkasan!N1891</f>
        <v/>
      </c>
      <c r="O1820" s="64" t="str">
        <f>Ringkasan!O1891</f>
        <v/>
      </c>
      <c r="P1820" s="64" t="str">
        <f>Ringkasan!P1891</f>
        <v/>
      </c>
      <c r="Q1820" s="64" t="str">
        <f>Ringkasan!Q1891</f>
        <v/>
      </c>
      <c r="R1820" s="64" t="str">
        <f>Ringkasan!R1891</f>
        <v/>
      </c>
      <c r="S1820" s="64" t="str">
        <f>Ringkasan!S1891</f>
        <v/>
      </c>
      <c r="T1820" s="64" t="str">
        <f>Ringkasan!T1891</f>
        <v/>
      </c>
      <c r="U1820" s="64" t="str">
        <f>Ringkasan!U1891</f>
        <v/>
      </c>
      <c r="V1820" s="64" t="str">
        <f>Ringkasan!V1891</f>
        <v/>
      </c>
      <c r="W1820" s="64" t="str">
        <f>Ringkasan!W1891</f>
        <v/>
      </c>
      <c r="X1820" s="64" t="str">
        <f>Ringkasan!X1891</f>
        <v/>
      </c>
      <c r="Y1820" s="64" t="str">
        <f>Ringkasan!Y1891</f>
        <v/>
      </c>
      <c r="Z1820" s="64" t="str">
        <f>Ringkasan!Z1891</f>
        <v/>
      </c>
      <c r="AA1820" s="64" t="str">
        <f>Ringkasan!AA1891</f>
        <v/>
      </c>
      <c r="AB1820" s="64" t="str">
        <f>Ringkasan!AB1891</f>
        <v/>
      </c>
    </row>
    <row r="1821">
      <c r="A1821" s="64" t="str">
        <f>Ringkasan!A1892</f>
        <v/>
      </c>
      <c r="B1821" s="64" t="str">
        <f>Ringkasan!B1892</f>
        <v/>
      </c>
      <c r="C1821" s="64" t="str">
        <f>Ringkasan!C1892</f>
        <v/>
      </c>
      <c r="D1821" s="64" t="str">
        <f>Ringkasan!D1892</f>
        <v/>
      </c>
      <c r="E1821" s="64" t="str">
        <f>Ringkasan!E1892</f>
        <v/>
      </c>
      <c r="F1821" s="64" t="str">
        <f>Ringkasan!F1892</f>
        <v/>
      </c>
      <c r="G1821" s="64" t="str">
        <f>Ringkasan!G1892</f>
        <v/>
      </c>
      <c r="H1821" s="64" t="str">
        <f>Ringkasan!H1892</f>
        <v/>
      </c>
      <c r="I1821" s="64" t="str">
        <f>Ringkasan!I1892</f>
        <v/>
      </c>
      <c r="J1821" s="64" t="str">
        <f>Ringkasan!J1892</f>
        <v/>
      </c>
      <c r="K1821" s="64" t="str">
        <f>Ringkasan!K1892</f>
        <v/>
      </c>
      <c r="L1821" s="64" t="str">
        <f>Ringkasan!L1892</f>
        <v/>
      </c>
      <c r="M1821" s="64" t="str">
        <f>Ringkasan!M1892</f>
        <v/>
      </c>
      <c r="N1821" s="64" t="str">
        <f>Ringkasan!N1892</f>
        <v/>
      </c>
      <c r="O1821" s="64" t="str">
        <f>Ringkasan!O1892</f>
        <v/>
      </c>
      <c r="P1821" s="64" t="str">
        <f>Ringkasan!P1892</f>
        <v/>
      </c>
      <c r="Q1821" s="64" t="str">
        <f>Ringkasan!Q1892</f>
        <v/>
      </c>
      <c r="R1821" s="64" t="str">
        <f>Ringkasan!R1892</f>
        <v/>
      </c>
      <c r="S1821" s="64" t="str">
        <f>Ringkasan!S1892</f>
        <v/>
      </c>
      <c r="T1821" s="64" t="str">
        <f>Ringkasan!T1892</f>
        <v/>
      </c>
      <c r="U1821" s="64" t="str">
        <f>Ringkasan!U1892</f>
        <v/>
      </c>
      <c r="V1821" s="64" t="str">
        <f>Ringkasan!V1892</f>
        <v/>
      </c>
      <c r="W1821" s="64" t="str">
        <f>Ringkasan!W1892</f>
        <v/>
      </c>
      <c r="X1821" s="64" t="str">
        <f>Ringkasan!X1892</f>
        <v/>
      </c>
      <c r="Y1821" s="64" t="str">
        <f>Ringkasan!Y1892</f>
        <v/>
      </c>
      <c r="Z1821" s="64" t="str">
        <f>Ringkasan!Z1892</f>
        <v/>
      </c>
      <c r="AA1821" s="64" t="str">
        <f>Ringkasan!AA1892</f>
        <v/>
      </c>
      <c r="AB1821" s="64" t="str">
        <f>Ringkasan!AB1892</f>
        <v/>
      </c>
    </row>
    <row r="1822">
      <c r="A1822" s="64" t="str">
        <f>Ringkasan!A1893</f>
        <v/>
      </c>
      <c r="B1822" s="64" t="str">
        <f>Ringkasan!B1893</f>
        <v/>
      </c>
      <c r="C1822" s="64" t="str">
        <f>Ringkasan!C1893</f>
        <v/>
      </c>
      <c r="D1822" s="64" t="str">
        <f>Ringkasan!D1893</f>
        <v/>
      </c>
      <c r="E1822" s="64" t="str">
        <f>Ringkasan!E1893</f>
        <v/>
      </c>
      <c r="F1822" s="64" t="str">
        <f>Ringkasan!F1893</f>
        <v/>
      </c>
      <c r="G1822" s="64" t="str">
        <f>Ringkasan!G1893</f>
        <v/>
      </c>
      <c r="H1822" s="64" t="str">
        <f>Ringkasan!H1893</f>
        <v/>
      </c>
      <c r="I1822" s="64" t="str">
        <f>Ringkasan!I1893</f>
        <v/>
      </c>
      <c r="J1822" s="64" t="str">
        <f>Ringkasan!J1893</f>
        <v/>
      </c>
      <c r="K1822" s="64" t="str">
        <f>Ringkasan!K1893</f>
        <v/>
      </c>
      <c r="L1822" s="64" t="str">
        <f>Ringkasan!L1893</f>
        <v/>
      </c>
      <c r="M1822" s="64" t="str">
        <f>Ringkasan!M1893</f>
        <v/>
      </c>
      <c r="N1822" s="64" t="str">
        <f>Ringkasan!N1893</f>
        <v/>
      </c>
      <c r="O1822" s="64" t="str">
        <f>Ringkasan!O1893</f>
        <v/>
      </c>
      <c r="P1822" s="64" t="str">
        <f>Ringkasan!P1893</f>
        <v/>
      </c>
      <c r="Q1822" s="64" t="str">
        <f>Ringkasan!Q1893</f>
        <v/>
      </c>
      <c r="R1822" s="64" t="str">
        <f>Ringkasan!R1893</f>
        <v/>
      </c>
      <c r="S1822" s="64" t="str">
        <f>Ringkasan!S1893</f>
        <v/>
      </c>
      <c r="T1822" s="64" t="str">
        <f>Ringkasan!T1893</f>
        <v/>
      </c>
      <c r="U1822" s="64" t="str">
        <f>Ringkasan!U1893</f>
        <v/>
      </c>
      <c r="V1822" s="64" t="str">
        <f>Ringkasan!V1893</f>
        <v/>
      </c>
      <c r="W1822" s="64" t="str">
        <f>Ringkasan!W1893</f>
        <v/>
      </c>
      <c r="X1822" s="64" t="str">
        <f>Ringkasan!X1893</f>
        <v/>
      </c>
      <c r="Y1822" s="64" t="str">
        <f>Ringkasan!Y1893</f>
        <v/>
      </c>
      <c r="Z1822" s="64" t="str">
        <f>Ringkasan!Z1893</f>
        <v/>
      </c>
      <c r="AA1822" s="64" t="str">
        <f>Ringkasan!AA1893</f>
        <v/>
      </c>
      <c r="AB1822" s="64" t="str">
        <f>Ringkasan!AB1893</f>
        <v/>
      </c>
    </row>
    <row r="1823">
      <c r="A1823" s="64" t="str">
        <f>Ringkasan!A1894</f>
        <v/>
      </c>
      <c r="B1823" s="64" t="str">
        <f>Ringkasan!B1894</f>
        <v/>
      </c>
      <c r="C1823" s="64" t="str">
        <f>Ringkasan!C1894</f>
        <v/>
      </c>
      <c r="D1823" s="64" t="str">
        <f>Ringkasan!D1894</f>
        <v/>
      </c>
      <c r="E1823" s="64" t="str">
        <f>Ringkasan!E1894</f>
        <v/>
      </c>
      <c r="F1823" s="64" t="str">
        <f>Ringkasan!F1894</f>
        <v/>
      </c>
      <c r="G1823" s="64" t="str">
        <f>Ringkasan!G1894</f>
        <v/>
      </c>
      <c r="H1823" s="64" t="str">
        <f>Ringkasan!H1894</f>
        <v/>
      </c>
      <c r="I1823" s="64" t="str">
        <f>Ringkasan!I1894</f>
        <v/>
      </c>
      <c r="J1823" s="64" t="str">
        <f>Ringkasan!J1894</f>
        <v/>
      </c>
      <c r="K1823" s="64" t="str">
        <f>Ringkasan!K1894</f>
        <v/>
      </c>
      <c r="L1823" s="64" t="str">
        <f>Ringkasan!L1894</f>
        <v/>
      </c>
      <c r="M1823" s="64" t="str">
        <f>Ringkasan!M1894</f>
        <v/>
      </c>
      <c r="N1823" s="64" t="str">
        <f>Ringkasan!N1894</f>
        <v/>
      </c>
      <c r="O1823" s="64" t="str">
        <f>Ringkasan!O1894</f>
        <v/>
      </c>
      <c r="P1823" s="64" t="str">
        <f>Ringkasan!P1894</f>
        <v/>
      </c>
      <c r="Q1823" s="64" t="str">
        <f>Ringkasan!Q1894</f>
        <v/>
      </c>
      <c r="R1823" s="64" t="str">
        <f>Ringkasan!R1894</f>
        <v/>
      </c>
      <c r="S1823" s="64" t="str">
        <f>Ringkasan!S1894</f>
        <v/>
      </c>
      <c r="T1823" s="64" t="str">
        <f>Ringkasan!T1894</f>
        <v/>
      </c>
      <c r="U1823" s="64" t="str">
        <f>Ringkasan!U1894</f>
        <v/>
      </c>
      <c r="V1823" s="64" t="str">
        <f>Ringkasan!V1894</f>
        <v/>
      </c>
      <c r="W1823" s="64" t="str">
        <f>Ringkasan!W1894</f>
        <v/>
      </c>
      <c r="X1823" s="64" t="str">
        <f>Ringkasan!X1894</f>
        <v/>
      </c>
      <c r="Y1823" s="64" t="str">
        <f>Ringkasan!Y1894</f>
        <v/>
      </c>
      <c r="Z1823" s="64" t="str">
        <f>Ringkasan!Z1894</f>
        <v/>
      </c>
      <c r="AA1823" s="64" t="str">
        <f>Ringkasan!AA1894</f>
        <v/>
      </c>
      <c r="AB1823" s="64" t="str">
        <f>Ringkasan!AB1894</f>
        <v/>
      </c>
    </row>
    <row r="1824">
      <c r="A1824" s="64" t="str">
        <f>Ringkasan!A1895</f>
        <v/>
      </c>
      <c r="B1824" s="64" t="str">
        <f>Ringkasan!B1895</f>
        <v/>
      </c>
      <c r="C1824" s="64" t="str">
        <f>Ringkasan!C1895</f>
        <v/>
      </c>
      <c r="D1824" s="64" t="str">
        <f>Ringkasan!D1895</f>
        <v/>
      </c>
      <c r="E1824" s="64" t="str">
        <f>Ringkasan!E1895</f>
        <v/>
      </c>
      <c r="F1824" s="64" t="str">
        <f>Ringkasan!F1895</f>
        <v/>
      </c>
      <c r="G1824" s="64" t="str">
        <f>Ringkasan!G1895</f>
        <v/>
      </c>
      <c r="H1824" s="64" t="str">
        <f>Ringkasan!H1895</f>
        <v/>
      </c>
      <c r="I1824" s="64" t="str">
        <f>Ringkasan!I1895</f>
        <v/>
      </c>
      <c r="J1824" s="64" t="str">
        <f>Ringkasan!J1895</f>
        <v/>
      </c>
      <c r="K1824" s="64" t="str">
        <f>Ringkasan!K1895</f>
        <v/>
      </c>
      <c r="L1824" s="64" t="str">
        <f>Ringkasan!L1895</f>
        <v/>
      </c>
      <c r="M1824" s="64" t="str">
        <f>Ringkasan!M1895</f>
        <v/>
      </c>
      <c r="N1824" s="64" t="str">
        <f>Ringkasan!N1895</f>
        <v/>
      </c>
      <c r="O1824" s="64" t="str">
        <f>Ringkasan!O1895</f>
        <v/>
      </c>
      <c r="P1824" s="64" t="str">
        <f>Ringkasan!P1895</f>
        <v/>
      </c>
      <c r="Q1824" s="64" t="str">
        <f>Ringkasan!Q1895</f>
        <v/>
      </c>
      <c r="R1824" s="64" t="str">
        <f>Ringkasan!R1895</f>
        <v/>
      </c>
      <c r="S1824" s="64" t="str">
        <f>Ringkasan!S1895</f>
        <v/>
      </c>
      <c r="T1824" s="64" t="str">
        <f>Ringkasan!T1895</f>
        <v/>
      </c>
      <c r="U1824" s="64" t="str">
        <f>Ringkasan!U1895</f>
        <v/>
      </c>
      <c r="V1824" s="64" t="str">
        <f>Ringkasan!V1895</f>
        <v/>
      </c>
      <c r="W1824" s="64" t="str">
        <f>Ringkasan!W1895</f>
        <v/>
      </c>
      <c r="X1824" s="64" t="str">
        <f>Ringkasan!X1895</f>
        <v/>
      </c>
      <c r="Y1824" s="64" t="str">
        <f>Ringkasan!Y1895</f>
        <v/>
      </c>
      <c r="Z1824" s="64" t="str">
        <f>Ringkasan!Z1895</f>
        <v/>
      </c>
      <c r="AA1824" s="64" t="str">
        <f>Ringkasan!AA1895</f>
        <v/>
      </c>
      <c r="AB1824" s="64" t="str">
        <f>Ringkasan!AB1895</f>
        <v/>
      </c>
    </row>
    <row r="1825">
      <c r="A1825" s="64" t="str">
        <f>Ringkasan!A1896</f>
        <v/>
      </c>
      <c r="B1825" s="64" t="str">
        <f>Ringkasan!B1896</f>
        <v/>
      </c>
      <c r="C1825" s="64" t="str">
        <f>Ringkasan!C1896</f>
        <v/>
      </c>
      <c r="D1825" s="64" t="str">
        <f>Ringkasan!D1896</f>
        <v/>
      </c>
      <c r="E1825" s="64" t="str">
        <f>Ringkasan!E1896</f>
        <v/>
      </c>
      <c r="F1825" s="64" t="str">
        <f>Ringkasan!F1896</f>
        <v/>
      </c>
      <c r="G1825" s="64" t="str">
        <f>Ringkasan!G1896</f>
        <v/>
      </c>
      <c r="H1825" s="64" t="str">
        <f>Ringkasan!H1896</f>
        <v/>
      </c>
      <c r="I1825" s="64" t="str">
        <f>Ringkasan!I1896</f>
        <v/>
      </c>
      <c r="J1825" s="64" t="str">
        <f>Ringkasan!J1896</f>
        <v/>
      </c>
      <c r="K1825" s="64" t="str">
        <f>Ringkasan!K1896</f>
        <v/>
      </c>
      <c r="L1825" s="64" t="str">
        <f>Ringkasan!L1896</f>
        <v/>
      </c>
      <c r="M1825" s="64" t="str">
        <f>Ringkasan!M1896</f>
        <v/>
      </c>
      <c r="N1825" s="64" t="str">
        <f>Ringkasan!N1896</f>
        <v/>
      </c>
      <c r="O1825" s="64" t="str">
        <f>Ringkasan!O1896</f>
        <v/>
      </c>
      <c r="P1825" s="64" t="str">
        <f>Ringkasan!P1896</f>
        <v/>
      </c>
      <c r="Q1825" s="64" t="str">
        <f>Ringkasan!Q1896</f>
        <v/>
      </c>
      <c r="R1825" s="64" t="str">
        <f>Ringkasan!R1896</f>
        <v/>
      </c>
      <c r="S1825" s="64" t="str">
        <f>Ringkasan!S1896</f>
        <v/>
      </c>
      <c r="T1825" s="64" t="str">
        <f>Ringkasan!T1896</f>
        <v/>
      </c>
      <c r="U1825" s="64" t="str">
        <f>Ringkasan!U1896</f>
        <v/>
      </c>
      <c r="V1825" s="64" t="str">
        <f>Ringkasan!V1896</f>
        <v/>
      </c>
      <c r="W1825" s="64" t="str">
        <f>Ringkasan!W1896</f>
        <v/>
      </c>
      <c r="X1825" s="64" t="str">
        <f>Ringkasan!X1896</f>
        <v/>
      </c>
      <c r="Y1825" s="64" t="str">
        <f>Ringkasan!Y1896</f>
        <v/>
      </c>
      <c r="Z1825" s="64" t="str">
        <f>Ringkasan!Z1896</f>
        <v/>
      </c>
      <c r="AA1825" s="64" t="str">
        <f>Ringkasan!AA1896</f>
        <v/>
      </c>
      <c r="AB1825" s="64" t="str">
        <f>Ringkasan!AB1896</f>
        <v/>
      </c>
    </row>
    <row r="1826">
      <c r="A1826" s="64" t="str">
        <f>Ringkasan!A1897</f>
        <v/>
      </c>
      <c r="B1826" s="64" t="str">
        <f>Ringkasan!B1897</f>
        <v/>
      </c>
      <c r="C1826" s="64" t="str">
        <f>Ringkasan!C1897</f>
        <v/>
      </c>
      <c r="D1826" s="64" t="str">
        <f>Ringkasan!D1897</f>
        <v/>
      </c>
      <c r="E1826" s="64" t="str">
        <f>Ringkasan!E1897</f>
        <v/>
      </c>
      <c r="F1826" s="64" t="str">
        <f>Ringkasan!F1897</f>
        <v/>
      </c>
      <c r="G1826" s="64" t="str">
        <f>Ringkasan!G1897</f>
        <v/>
      </c>
      <c r="H1826" s="64" t="str">
        <f>Ringkasan!H1897</f>
        <v/>
      </c>
      <c r="I1826" s="64" t="str">
        <f>Ringkasan!I1897</f>
        <v/>
      </c>
      <c r="J1826" s="64" t="str">
        <f>Ringkasan!J1897</f>
        <v/>
      </c>
      <c r="K1826" s="64" t="str">
        <f>Ringkasan!K1897</f>
        <v/>
      </c>
      <c r="L1826" s="64" t="str">
        <f>Ringkasan!L1897</f>
        <v/>
      </c>
      <c r="M1826" s="64" t="str">
        <f>Ringkasan!M1897</f>
        <v/>
      </c>
      <c r="N1826" s="64" t="str">
        <f>Ringkasan!N1897</f>
        <v/>
      </c>
      <c r="O1826" s="64" t="str">
        <f>Ringkasan!O1897</f>
        <v/>
      </c>
      <c r="P1826" s="64" t="str">
        <f>Ringkasan!P1897</f>
        <v/>
      </c>
      <c r="Q1826" s="64" t="str">
        <f>Ringkasan!Q1897</f>
        <v/>
      </c>
      <c r="R1826" s="64" t="str">
        <f>Ringkasan!R1897</f>
        <v/>
      </c>
      <c r="S1826" s="64" t="str">
        <f>Ringkasan!S1897</f>
        <v/>
      </c>
      <c r="T1826" s="64" t="str">
        <f>Ringkasan!T1897</f>
        <v/>
      </c>
      <c r="U1826" s="64" t="str">
        <f>Ringkasan!U1897</f>
        <v/>
      </c>
      <c r="V1826" s="64" t="str">
        <f>Ringkasan!V1897</f>
        <v/>
      </c>
      <c r="W1826" s="64" t="str">
        <f>Ringkasan!W1897</f>
        <v/>
      </c>
      <c r="X1826" s="64" t="str">
        <f>Ringkasan!X1897</f>
        <v/>
      </c>
      <c r="Y1826" s="64" t="str">
        <f>Ringkasan!Y1897</f>
        <v/>
      </c>
      <c r="Z1826" s="64" t="str">
        <f>Ringkasan!Z1897</f>
        <v/>
      </c>
      <c r="AA1826" s="64" t="str">
        <f>Ringkasan!AA1897</f>
        <v/>
      </c>
      <c r="AB1826" s="64" t="str">
        <f>Ringkasan!AB1897</f>
        <v/>
      </c>
    </row>
    <row r="1827">
      <c r="A1827" s="64" t="str">
        <f>Ringkasan!A1898</f>
        <v/>
      </c>
      <c r="B1827" s="64" t="str">
        <f>Ringkasan!B1898</f>
        <v/>
      </c>
      <c r="C1827" s="64" t="str">
        <f>Ringkasan!C1898</f>
        <v/>
      </c>
      <c r="D1827" s="64" t="str">
        <f>Ringkasan!D1898</f>
        <v/>
      </c>
      <c r="E1827" s="64" t="str">
        <f>Ringkasan!E1898</f>
        <v/>
      </c>
      <c r="F1827" s="64" t="str">
        <f>Ringkasan!F1898</f>
        <v/>
      </c>
      <c r="G1827" s="64" t="str">
        <f>Ringkasan!G1898</f>
        <v/>
      </c>
      <c r="H1827" s="64" t="str">
        <f>Ringkasan!H1898</f>
        <v/>
      </c>
      <c r="I1827" s="64" t="str">
        <f>Ringkasan!I1898</f>
        <v/>
      </c>
      <c r="J1827" s="64" t="str">
        <f>Ringkasan!J1898</f>
        <v/>
      </c>
      <c r="K1827" s="64" t="str">
        <f>Ringkasan!K1898</f>
        <v/>
      </c>
      <c r="L1827" s="64" t="str">
        <f>Ringkasan!L1898</f>
        <v/>
      </c>
      <c r="M1827" s="64" t="str">
        <f>Ringkasan!M1898</f>
        <v/>
      </c>
      <c r="N1827" s="64" t="str">
        <f>Ringkasan!N1898</f>
        <v/>
      </c>
      <c r="O1827" s="64" t="str">
        <f>Ringkasan!O1898</f>
        <v/>
      </c>
      <c r="P1827" s="64" t="str">
        <f>Ringkasan!P1898</f>
        <v/>
      </c>
      <c r="Q1827" s="64" t="str">
        <f>Ringkasan!Q1898</f>
        <v/>
      </c>
      <c r="R1827" s="64" t="str">
        <f>Ringkasan!R1898</f>
        <v/>
      </c>
      <c r="S1827" s="64" t="str">
        <f>Ringkasan!S1898</f>
        <v/>
      </c>
      <c r="T1827" s="64" t="str">
        <f>Ringkasan!T1898</f>
        <v/>
      </c>
      <c r="U1827" s="64" t="str">
        <f>Ringkasan!U1898</f>
        <v/>
      </c>
      <c r="V1827" s="64" t="str">
        <f>Ringkasan!V1898</f>
        <v/>
      </c>
      <c r="W1827" s="64" t="str">
        <f>Ringkasan!W1898</f>
        <v/>
      </c>
      <c r="X1827" s="64" t="str">
        <f>Ringkasan!X1898</f>
        <v/>
      </c>
      <c r="Y1827" s="64" t="str">
        <f>Ringkasan!Y1898</f>
        <v/>
      </c>
      <c r="Z1827" s="64" t="str">
        <f>Ringkasan!Z1898</f>
        <v/>
      </c>
      <c r="AA1827" s="64" t="str">
        <f>Ringkasan!AA1898</f>
        <v/>
      </c>
      <c r="AB1827" s="64" t="str">
        <f>Ringkasan!AB1898</f>
        <v/>
      </c>
    </row>
    <row r="1828">
      <c r="A1828" s="64" t="str">
        <f>Ringkasan!A1899</f>
        <v/>
      </c>
      <c r="B1828" s="64" t="str">
        <f>Ringkasan!B1899</f>
        <v/>
      </c>
      <c r="C1828" s="64" t="str">
        <f>Ringkasan!C1899</f>
        <v/>
      </c>
      <c r="D1828" s="64" t="str">
        <f>Ringkasan!D1899</f>
        <v/>
      </c>
      <c r="E1828" s="64" t="str">
        <f>Ringkasan!E1899</f>
        <v/>
      </c>
      <c r="F1828" s="64" t="str">
        <f>Ringkasan!F1899</f>
        <v/>
      </c>
      <c r="G1828" s="64" t="str">
        <f>Ringkasan!G1899</f>
        <v/>
      </c>
      <c r="H1828" s="64" t="str">
        <f>Ringkasan!H1899</f>
        <v/>
      </c>
      <c r="I1828" s="64" t="str">
        <f>Ringkasan!I1899</f>
        <v/>
      </c>
      <c r="J1828" s="64" t="str">
        <f>Ringkasan!J1899</f>
        <v/>
      </c>
      <c r="K1828" s="64" t="str">
        <f>Ringkasan!K1899</f>
        <v/>
      </c>
      <c r="L1828" s="64" t="str">
        <f>Ringkasan!L1899</f>
        <v/>
      </c>
      <c r="M1828" s="64" t="str">
        <f>Ringkasan!M1899</f>
        <v/>
      </c>
      <c r="N1828" s="64" t="str">
        <f>Ringkasan!N1899</f>
        <v/>
      </c>
      <c r="O1828" s="64" t="str">
        <f>Ringkasan!O1899</f>
        <v/>
      </c>
      <c r="P1828" s="64" t="str">
        <f>Ringkasan!P1899</f>
        <v/>
      </c>
      <c r="Q1828" s="64" t="str">
        <f>Ringkasan!Q1899</f>
        <v/>
      </c>
      <c r="R1828" s="64" t="str">
        <f>Ringkasan!R1899</f>
        <v/>
      </c>
      <c r="S1828" s="64" t="str">
        <f>Ringkasan!S1899</f>
        <v/>
      </c>
      <c r="T1828" s="64" t="str">
        <f>Ringkasan!T1899</f>
        <v/>
      </c>
      <c r="U1828" s="64" t="str">
        <f>Ringkasan!U1899</f>
        <v/>
      </c>
      <c r="V1828" s="64" t="str">
        <f>Ringkasan!V1899</f>
        <v/>
      </c>
      <c r="W1828" s="64" t="str">
        <f>Ringkasan!W1899</f>
        <v/>
      </c>
      <c r="X1828" s="64" t="str">
        <f>Ringkasan!X1899</f>
        <v/>
      </c>
      <c r="Y1828" s="64" t="str">
        <f>Ringkasan!Y1899</f>
        <v/>
      </c>
      <c r="Z1828" s="64" t="str">
        <f>Ringkasan!Z1899</f>
        <v/>
      </c>
      <c r="AA1828" s="64" t="str">
        <f>Ringkasan!AA1899</f>
        <v/>
      </c>
      <c r="AB1828" s="64" t="str">
        <f>Ringkasan!AB1899</f>
        <v/>
      </c>
    </row>
    <row r="1829">
      <c r="A1829" s="64" t="str">
        <f>Ringkasan!A1900</f>
        <v/>
      </c>
      <c r="B1829" s="64" t="str">
        <f>Ringkasan!B1900</f>
        <v/>
      </c>
      <c r="C1829" s="64" t="str">
        <f>Ringkasan!C1900</f>
        <v/>
      </c>
      <c r="D1829" s="64" t="str">
        <f>Ringkasan!D1900</f>
        <v/>
      </c>
      <c r="E1829" s="64" t="str">
        <f>Ringkasan!E1900</f>
        <v/>
      </c>
      <c r="F1829" s="64" t="str">
        <f>Ringkasan!F1900</f>
        <v/>
      </c>
      <c r="G1829" s="64" t="str">
        <f>Ringkasan!G1900</f>
        <v/>
      </c>
      <c r="H1829" s="64" t="str">
        <f>Ringkasan!H1900</f>
        <v/>
      </c>
      <c r="I1829" s="64" t="str">
        <f>Ringkasan!I1900</f>
        <v/>
      </c>
      <c r="J1829" s="64" t="str">
        <f>Ringkasan!J1900</f>
        <v/>
      </c>
      <c r="K1829" s="64" t="str">
        <f>Ringkasan!K1900</f>
        <v/>
      </c>
      <c r="L1829" s="64" t="str">
        <f>Ringkasan!L1900</f>
        <v/>
      </c>
      <c r="M1829" s="64" t="str">
        <f>Ringkasan!M1900</f>
        <v/>
      </c>
      <c r="N1829" s="64" t="str">
        <f>Ringkasan!N1900</f>
        <v/>
      </c>
      <c r="O1829" s="64" t="str">
        <f>Ringkasan!O1900</f>
        <v/>
      </c>
      <c r="P1829" s="64" t="str">
        <f>Ringkasan!P1900</f>
        <v/>
      </c>
      <c r="Q1829" s="64" t="str">
        <f>Ringkasan!Q1900</f>
        <v/>
      </c>
      <c r="R1829" s="64" t="str">
        <f>Ringkasan!R1900</f>
        <v/>
      </c>
      <c r="S1829" s="64" t="str">
        <f>Ringkasan!S1900</f>
        <v/>
      </c>
      <c r="T1829" s="64" t="str">
        <f>Ringkasan!T1900</f>
        <v/>
      </c>
      <c r="U1829" s="64" t="str">
        <f>Ringkasan!U1900</f>
        <v/>
      </c>
      <c r="V1829" s="64" t="str">
        <f>Ringkasan!V1900</f>
        <v/>
      </c>
      <c r="W1829" s="64" t="str">
        <f>Ringkasan!W1900</f>
        <v/>
      </c>
      <c r="X1829" s="64" t="str">
        <f>Ringkasan!X1900</f>
        <v/>
      </c>
      <c r="Y1829" s="64" t="str">
        <f>Ringkasan!Y1900</f>
        <v/>
      </c>
      <c r="Z1829" s="64" t="str">
        <f>Ringkasan!Z1900</f>
        <v/>
      </c>
      <c r="AA1829" s="64" t="str">
        <f>Ringkasan!AA1900</f>
        <v/>
      </c>
      <c r="AB1829" s="64" t="str">
        <f>Ringkasan!AB1900</f>
        <v/>
      </c>
    </row>
    <row r="1830">
      <c r="A1830" s="64" t="str">
        <f>Ringkasan!A1901</f>
        <v/>
      </c>
      <c r="B1830" s="64" t="str">
        <f>Ringkasan!B1901</f>
        <v/>
      </c>
      <c r="C1830" s="64" t="str">
        <f>Ringkasan!C1901</f>
        <v/>
      </c>
      <c r="D1830" s="64" t="str">
        <f>Ringkasan!D1901</f>
        <v/>
      </c>
      <c r="E1830" s="64" t="str">
        <f>Ringkasan!E1901</f>
        <v/>
      </c>
      <c r="F1830" s="64" t="str">
        <f>Ringkasan!F1901</f>
        <v/>
      </c>
      <c r="G1830" s="64" t="str">
        <f>Ringkasan!G1901</f>
        <v/>
      </c>
      <c r="H1830" s="64" t="str">
        <f>Ringkasan!H1901</f>
        <v/>
      </c>
      <c r="I1830" s="64" t="str">
        <f>Ringkasan!I1901</f>
        <v/>
      </c>
      <c r="J1830" s="64" t="str">
        <f>Ringkasan!J1901</f>
        <v/>
      </c>
      <c r="K1830" s="64" t="str">
        <f>Ringkasan!K1901</f>
        <v/>
      </c>
      <c r="L1830" s="64" t="str">
        <f>Ringkasan!L1901</f>
        <v/>
      </c>
      <c r="M1830" s="64" t="str">
        <f>Ringkasan!M1901</f>
        <v/>
      </c>
      <c r="N1830" s="64" t="str">
        <f>Ringkasan!N1901</f>
        <v/>
      </c>
      <c r="O1830" s="64" t="str">
        <f>Ringkasan!O1901</f>
        <v/>
      </c>
      <c r="P1830" s="64" t="str">
        <f>Ringkasan!P1901</f>
        <v/>
      </c>
      <c r="Q1830" s="64" t="str">
        <f>Ringkasan!Q1901</f>
        <v/>
      </c>
      <c r="R1830" s="64" t="str">
        <f>Ringkasan!R1901</f>
        <v/>
      </c>
      <c r="S1830" s="64" t="str">
        <f>Ringkasan!S1901</f>
        <v/>
      </c>
      <c r="T1830" s="64" t="str">
        <f>Ringkasan!T1901</f>
        <v/>
      </c>
      <c r="U1830" s="64" t="str">
        <f>Ringkasan!U1901</f>
        <v/>
      </c>
      <c r="V1830" s="64" t="str">
        <f>Ringkasan!V1901</f>
        <v/>
      </c>
      <c r="W1830" s="64" t="str">
        <f>Ringkasan!W1901</f>
        <v/>
      </c>
      <c r="X1830" s="64" t="str">
        <f>Ringkasan!X1901</f>
        <v/>
      </c>
      <c r="Y1830" s="64" t="str">
        <f>Ringkasan!Y1901</f>
        <v/>
      </c>
      <c r="Z1830" s="64" t="str">
        <f>Ringkasan!Z1901</f>
        <v/>
      </c>
      <c r="AA1830" s="64" t="str">
        <f>Ringkasan!AA1901</f>
        <v/>
      </c>
      <c r="AB1830" s="64" t="str">
        <f>Ringkasan!AB1901</f>
        <v/>
      </c>
    </row>
    <row r="1831">
      <c r="A1831" s="64" t="str">
        <f>Ringkasan!A1902</f>
        <v/>
      </c>
      <c r="B1831" s="64" t="str">
        <f>Ringkasan!B1902</f>
        <v/>
      </c>
      <c r="C1831" s="64" t="str">
        <f>Ringkasan!C1902</f>
        <v/>
      </c>
      <c r="D1831" s="64" t="str">
        <f>Ringkasan!D1902</f>
        <v/>
      </c>
      <c r="E1831" s="64" t="str">
        <f>Ringkasan!E1902</f>
        <v/>
      </c>
      <c r="F1831" s="64" t="str">
        <f>Ringkasan!F1902</f>
        <v/>
      </c>
      <c r="G1831" s="64" t="str">
        <f>Ringkasan!G1902</f>
        <v/>
      </c>
      <c r="H1831" s="64" t="str">
        <f>Ringkasan!H1902</f>
        <v/>
      </c>
      <c r="I1831" s="64" t="str">
        <f>Ringkasan!I1902</f>
        <v/>
      </c>
      <c r="J1831" s="64" t="str">
        <f>Ringkasan!J1902</f>
        <v/>
      </c>
      <c r="K1831" s="64" t="str">
        <f>Ringkasan!K1902</f>
        <v/>
      </c>
      <c r="L1831" s="64" t="str">
        <f>Ringkasan!L1902</f>
        <v/>
      </c>
      <c r="M1831" s="64" t="str">
        <f>Ringkasan!M1902</f>
        <v/>
      </c>
      <c r="N1831" s="64" t="str">
        <f>Ringkasan!N1902</f>
        <v/>
      </c>
      <c r="O1831" s="64" t="str">
        <f>Ringkasan!O1902</f>
        <v/>
      </c>
      <c r="P1831" s="64" t="str">
        <f>Ringkasan!P1902</f>
        <v/>
      </c>
      <c r="Q1831" s="64" t="str">
        <f>Ringkasan!Q1902</f>
        <v/>
      </c>
      <c r="R1831" s="64" t="str">
        <f>Ringkasan!R1902</f>
        <v/>
      </c>
      <c r="S1831" s="64" t="str">
        <f>Ringkasan!S1902</f>
        <v/>
      </c>
      <c r="T1831" s="64" t="str">
        <f>Ringkasan!T1902</f>
        <v/>
      </c>
      <c r="U1831" s="64" t="str">
        <f>Ringkasan!U1902</f>
        <v/>
      </c>
      <c r="V1831" s="64" t="str">
        <f>Ringkasan!V1902</f>
        <v/>
      </c>
      <c r="W1831" s="64" t="str">
        <f>Ringkasan!W1902</f>
        <v/>
      </c>
      <c r="X1831" s="64" t="str">
        <f>Ringkasan!X1902</f>
        <v/>
      </c>
      <c r="Y1831" s="64" t="str">
        <f>Ringkasan!Y1902</f>
        <v/>
      </c>
      <c r="Z1831" s="64" t="str">
        <f>Ringkasan!Z1902</f>
        <v/>
      </c>
      <c r="AA1831" s="64" t="str">
        <f>Ringkasan!AA1902</f>
        <v/>
      </c>
      <c r="AB1831" s="64" t="str">
        <f>Ringkasan!AB1902</f>
        <v/>
      </c>
    </row>
    <row r="1832">
      <c r="A1832" s="64" t="str">
        <f>Ringkasan!A1903</f>
        <v/>
      </c>
      <c r="B1832" s="64" t="str">
        <f>Ringkasan!B1903</f>
        <v/>
      </c>
      <c r="C1832" s="64" t="str">
        <f>Ringkasan!C1903</f>
        <v/>
      </c>
      <c r="D1832" s="64" t="str">
        <f>Ringkasan!D1903</f>
        <v/>
      </c>
      <c r="E1832" s="64" t="str">
        <f>Ringkasan!E1903</f>
        <v/>
      </c>
      <c r="F1832" s="64" t="str">
        <f>Ringkasan!F1903</f>
        <v/>
      </c>
      <c r="G1832" s="64" t="str">
        <f>Ringkasan!G1903</f>
        <v/>
      </c>
      <c r="H1832" s="64" t="str">
        <f>Ringkasan!H1903</f>
        <v/>
      </c>
      <c r="I1832" s="64" t="str">
        <f>Ringkasan!I1903</f>
        <v/>
      </c>
      <c r="J1832" s="64" t="str">
        <f>Ringkasan!J1903</f>
        <v/>
      </c>
      <c r="K1832" s="64" t="str">
        <f>Ringkasan!K1903</f>
        <v/>
      </c>
      <c r="L1832" s="64" t="str">
        <f>Ringkasan!L1903</f>
        <v/>
      </c>
      <c r="M1832" s="64" t="str">
        <f>Ringkasan!M1903</f>
        <v/>
      </c>
      <c r="N1832" s="64" t="str">
        <f>Ringkasan!N1903</f>
        <v/>
      </c>
      <c r="O1832" s="64" t="str">
        <f>Ringkasan!O1903</f>
        <v/>
      </c>
      <c r="P1832" s="64" t="str">
        <f>Ringkasan!P1903</f>
        <v/>
      </c>
      <c r="Q1832" s="64" t="str">
        <f>Ringkasan!Q1903</f>
        <v/>
      </c>
      <c r="R1832" s="64" t="str">
        <f>Ringkasan!R1903</f>
        <v/>
      </c>
      <c r="S1832" s="64" t="str">
        <f>Ringkasan!S1903</f>
        <v/>
      </c>
      <c r="T1832" s="64" t="str">
        <f>Ringkasan!T1903</f>
        <v/>
      </c>
      <c r="U1832" s="64" t="str">
        <f>Ringkasan!U1903</f>
        <v/>
      </c>
      <c r="V1832" s="64" t="str">
        <f>Ringkasan!V1903</f>
        <v/>
      </c>
      <c r="W1832" s="64" t="str">
        <f>Ringkasan!W1903</f>
        <v/>
      </c>
      <c r="X1832" s="64" t="str">
        <f>Ringkasan!X1903</f>
        <v/>
      </c>
      <c r="Y1832" s="64" t="str">
        <f>Ringkasan!Y1903</f>
        <v/>
      </c>
      <c r="Z1832" s="64" t="str">
        <f>Ringkasan!Z1903</f>
        <v/>
      </c>
      <c r="AA1832" s="64" t="str">
        <f>Ringkasan!AA1903</f>
        <v/>
      </c>
      <c r="AB1832" s="64" t="str">
        <f>Ringkasan!AB1903</f>
        <v/>
      </c>
    </row>
    <row r="1833">
      <c r="A1833" s="64" t="str">
        <f>Ringkasan!A1904</f>
        <v/>
      </c>
      <c r="B1833" s="64" t="str">
        <f>Ringkasan!B1904</f>
        <v/>
      </c>
      <c r="C1833" s="64" t="str">
        <f>Ringkasan!C1904</f>
        <v/>
      </c>
      <c r="D1833" s="64" t="str">
        <f>Ringkasan!D1904</f>
        <v/>
      </c>
      <c r="E1833" s="64" t="str">
        <f>Ringkasan!E1904</f>
        <v/>
      </c>
      <c r="F1833" s="64" t="str">
        <f>Ringkasan!F1904</f>
        <v/>
      </c>
      <c r="G1833" s="64" t="str">
        <f>Ringkasan!G1904</f>
        <v/>
      </c>
      <c r="H1833" s="64" t="str">
        <f>Ringkasan!H1904</f>
        <v/>
      </c>
      <c r="I1833" s="64" t="str">
        <f>Ringkasan!I1904</f>
        <v/>
      </c>
      <c r="J1833" s="64" t="str">
        <f>Ringkasan!J1904</f>
        <v/>
      </c>
      <c r="K1833" s="64" t="str">
        <f>Ringkasan!K1904</f>
        <v/>
      </c>
      <c r="L1833" s="64" t="str">
        <f>Ringkasan!L1904</f>
        <v/>
      </c>
      <c r="M1833" s="64" t="str">
        <f>Ringkasan!M1904</f>
        <v/>
      </c>
      <c r="N1833" s="64" t="str">
        <f>Ringkasan!N1904</f>
        <v/>
      </c>
      <c r="O1833" s="64" t="str">
        <f>Ringkasan!O1904</f>
        <v/>
      </c>
      <c r="P1833" s="64" t="str">
        <f>Ringkasan!P1904</f>
        <v/>
      </c>
      <c r="Q1833" s="64" t="str">
        <f>Ringkasan!Q1904</f>
        <v/>
      </c>
      <c r="R1833" s="64" t="str">
        <f>Ringkasan!R1904</f>
        <v/>
      </c>
      <c r="S1833" s="64" t="str">
        <f>Ringkasan!S1904</f>
        <v/>
      </c>
      <c r="T1833" s="64" t="str">
        <f>Ringkasan!T1904</f>
        <v/>
      </c>
      <c r="U1833" s="64" t="str">
        <f>Ringkasan!U1904</f>
        <v/>
      </c>
      <c r="V1833" s="64" t="str">
        <f>Ringkasan!V1904</f>
        <v/>
      </c>
      <c r="W1833" s="64" t="str">
        <f>Ringkasan!W1904</f>
        <v/>
      </c>
      <c r="X1833" s="64" t="str">
        <f>Ringkasan!X1904</f>
        <v/>
      </c>
      <c r="Y1833" s="64" t="str">
        <f>Ringkasan!Y1904</f>
        <v/>
      </c>
      <c r="Z1833" s="64" t="str">
        <f>Ringkasan!Z1904</f>
        <v/>
      </c>
      <c r="AA1833" s="64" t="str">
        <f>Ringkasan!AA1904</f>
        <v/>
      </c>
      <c r="AB1833" s="64" t="str">
        <f>Ringkasan!AB1904</f>
        <v/>
      </c>
    </row>
    <row r="1834">
      <c r="A1834" s="64" t="str">
        <f>Ringkasan!A1905</f>
        <v/>
      </c>
      <c r="B1834" s="64" t="str">
        <f>Ringkasan!B1905</f>
        <v/>
      </c>
      <c r="C1834" s="64" t="str">
        <f>Ringkasan!C1905</f>
        <v/>
      </c>
      <c r="D1834" s="64" t="str">
        <f>Ringkasan!D1905</f>
        <v/>
      </c>
      <c r="E1834" s="64" t="str">
        <f>Ringkasan!E1905</f>
        <v/>
      </c>
      <c r="F1834" s="64" t="str">
        <f>Ringkasan!F1905</f>
        <v/>
      </c>
      <c r="G1834" s="64" t="str">
        <f>Ringkasan!G1905</f>
        <v/>
      </c>
      <c r="H1834" s="64" t="str">
        <f>Ringkasan!H1905</f>
        <v/>
      </c>
      <c r="I1834" s="64" t="str">
        <f>Ringkasan!I1905</f>
        <v/>
      </c>
      <c r="J1834" s="64" t="str">
        <f>Ringkasan!J1905</f>
        <v/>
      </c>
      <c r="K1834" s="64" t="str">
        <f>Ringkasan!K1905</f>
        <v/>
      </c>
      <c r="L1834" s="64" t="str">
        <f>Ringkasan!L1905</f>
        <v/>
      </c>
      <c r="M1834" s="64" t="str">
        <f>Ringkasan!M1905</f>
        <v/>
      </c>
      <c r="N1834" s="64" t="str">
        <f>Ringkasan!N1905</f>
        <v/>
      </c>
      <c r="O1834" s="64" t="str">
        <f>Ringkasan!O1905</f>
        <v/>
      </c>
      <c r="P1834" s="64" t="str">
        <f>Ringkasan!P1905</f>
        <v/>
      </c>
      <c r="Q1834" s="64" t="str">
        <f>Ringkasan!Q1905</f>
        <v/>
      </c>
      <c r="R1834" s="64" t="str">
        <f>Ringkasan!R1905</f>
        <v/>
      </c>
      <c r="S1834" s="64" t="str">
        <f>Ringkasan!S1905</f>
        <v/>
      </c>
      <c r="T1834" s="64" t="str">
        <f>Ringkasan!T1905</f>
        <v/>
      </c>
      <c r="U1834" s="64" t="str">
        <f>Ringkasan!U1905</f>
        <v/>
      </c>
      <c r="V1834" s="64" t="str">
        <f>Ringkasan!V1905</f>
        <v/>
      </c>
      <c r="W1834" s="64" t="str">
        <f>Ringkasan!W1905</f>
        <v/>
      </c>
      <c r="X1834" s="64" t="str">
        <f>Ringkasan!X1905</f>
        <v/>
      </c>
      <c r="Y1834" s="64" t="str">
        <f>Ringkasan!Y1905</f>
        <v/>
      </c>
      <c r="Z1834" s="64" t="str">
        <f>Ringkasan!Z1905</f>
        <v/>
      </c>
      <c r="AA1834" s="64" t="str">
        <f>Ringkasan!AA1905</f>
        <v/>
      </c>
      <c r="AB1834" s="64" t="str">
        <f>Ringkasan!AB1905</f>
        <v/>
      </c>
    </row>
    <row r="1835">
      <c r="A1835" s="64" t="str">
        <f>Ringkasan!A1906</f>
        <v/>
      </c>
      <c r="B1835" s="64" t="str">
        <f>Ringkasan!B1906</f>
        <v/>
      </c>
      <c r="C1835" s="64" t="str">
        <f>Ringkasan!C1906</f>
        <v/>
      </c>
      <c r="D1835" s="64" t="str">
        <f>Ringkasan!D1906</f>
        <v/>
      </c>
      <c r="E1835" s="64" t="str">
        <f>Ringkasan!E1906</f>
        <v/>
      </c>
      <c r="F1835" s="64" t="str">
        <f>Ringkasan!F1906</f>
        <v/>
      </c>
      <c r="G1835" s="64" t="str">
        <f>Ringkasan!G1906</f>
        <v/>
      </c>
      <c r="H1835" s="64" t="str">
        <f>Ringkasan!H1906</f>
        <v/>
      </c>
      <c r="I1835" s="64" t="str">
        <f>Ringkasan!I1906</f>
        <v/>
      </c>
      <c r="J1835" s="64" t="str">
        <f>Ringkasan!J1906</f>
        <v/>
      </c>
      <c r="K1835" s="64" t="str">
        <f>Ringkasan!K1906</f>
        <v/>
      </c>
      <c r="L1835" s="64" t="str">
        <f>Ringkasan!L1906</f>
        <v/>
      </c>
      <c r="M1835" s="64" t="str">
        <f>Ringkasan!M1906</f>
        <v/>
      </c>
      <c r="N1835" s="64" t="str">
        <f>Ringkasan!N1906</f>
        <v/>
      </c>
      <c r="O1835" s="64" t="str">
        <f>Ringkasan!O1906</f>
        <v/>
      </c>
      <c r="P1835" s="64" t="str">
        <f>Ringkasan!P1906</f>
        <v/>
      </c>
      <c r="Q1835" s="64" t="str">
        <f>Ringkasan!Q1906</f>
        <v/>
      </c>
      <c r="R1835" s="64" t="str">
        <f>Ringkasan!R1906</f>
        <v/>
      </c>
      <c r="S1835" s="64" t="str">
        <f>Ringkasan!S1906</f>
        <v/>
      </c>
      <c r="T1835" s="64" t="str">
        <f>Ringkasan!T1906</f>
        <v/>
      </c>
      <c r="U1835" s="64" t="str">
        <f>Ringkasan!U1906</f>
        <v/>
      </c>
      <c r="V1835" s="64" t="str">
        <f>Ringkasan!V1906</f>
        <v/>
      </c>
      <c r="W1835" s="64" t="str">
        <f>Ringkasan!W1906</f>
        <v/>
      </c>
      <c r="X1835" s="64" t="str">
        <f>Ringkasan!X1906</f>
        <v/>
      </c>
      <c r="Y1835" s="64" t="str">
        <f>Ringkasan!Y1906</f>
        <v/>
      </c>
      <c r="Z1835" s="64" t="str">
        <f>Ringkasan!Z1906</f>
        <v/>
      </c>
      <c r="AA1835" s="64" t="str">
        <f>Ringkasan!AA1906</f>
        <v/>
      </c>
      <c r="AB1835" s="64" t="str">
        <f>Ringkasan!AB1906</f>
        <v/>
      </c>
    </row>
    <row r="1836">
      <c r="A1836" s="64" t="str">
        <f>Ringkasan!A1907</f>
        <v/>
      </c>
      <c r="B1836" s="64" t="str">
        <f>Ringkasan!B1907</f>
        <v/>
      </c>
      <c r="C1836" s="64" t="str">
        <f>Ringkasan!C1907</f>
        <v/>
      </c>
      <c r="D1836" s="64" t="str">
        <f>Ringkasan!D1907</f>
        <v/>
      </c>
      <c r="E1836" s="64" t="str">
        <f>Ringkasan!E1907</f>
        <v/>
      </c>
      <c r="F1836" s="64" t="str">
        <f>Ringkasan!F1907</f>
        <v/>
      </c>
      <c r="G1836" s="64" t="str">
        <f>Ringkasan!G1907</f>
        <v/>
      </c>
      <c r="H1836" s="64" t="str">
        <f>Ringkasan!H1907</f>
        <v/>
      </c>
      <c r="I1836" s="64" t="str">
        <f>Ringkasan!I1907</f>
        <v/>
      </c>
      <c r="J1836" s="64" t="str">
        <f>Ringkasan!J1907</f>
        <v/>
      </c>
      <c r="K1836" s="64" t="str">
        <f>Ringkasan!K1907</f>
        <v/>
      </c>
      <c r="L1836" s="64" t="str">
        <f>Ringkasan!L1907</f>
        <v/>
      </c>
      <c r="M1836" s="64" t="str">
        <f>Ringkasan!M1907</f>
        <v/>
      </c>
      <c r="N1836" s="64" t="str">
        <f>Ringkasan!N1907</f>
        <v/>
      </c>
      <c r="O1836" s="64" t="str">
        <f>Ringkasan!O1907</f>
        <v/>
      </c>
      <c r="P1836" s="64" t="str">
        <f>Ringkasan!P1907</f>
        <v/>
      </c>
      <c r="Q1836" s="64" t="str">
        <f>Ringkasan!Q1907</f>
        <v/>
      </c>
      <c r="R1836" s="64" t="str">
        <f>Ringkasan!R1907</f>
        <v/>
      </c>
      <c r="S1836" s="64" t="str">
        <f>Ringkasan!S1907</f>
        <v/>
      </c>
      <c r="T1836" s="64" t="str">
        <f>Ringkasan!T1907</f>
        <v/>
      </c>
      <c r="U1836" s="64" t="str">
        <f>Ringkasan!U1907</f>
        <v/>
      </c>
      <c r="V1836" s="64" t="str">
        <f>Ringkasan!V1907</f>
        <v/>
      </c>
      <c r="W1836" s="64" t="str">
        <f>Ringkasan!W1907</f>
        <v/>
      </c>
      <c r="X1836" s="64" t="str">
        <f>Ringkasan!X1907</f>
        <v/>
      </c>
      <c r="Y1836" s="64" t="str">
        <f>Ringkasan!Y1907</f>
        <v/>
      </c>
      <c r="Z1836" s="64" t="str">
        <f>Ringkasan!Z1907</f>
        <v/>
      </c>
      <c r="AA1836" s="64" t="str">
        <f>Ringkasan!AA1907</f>
        <v/>
      </c>
      <c r="AB1836" s="64" t="str">
        <f>Ringkasan!AB1907</f>
        <v/>
      </c>
    </row>
    <row r="1837">
      <c r="A1837" s="64" t="str">
        <f>Ringkasan!A1908</f>
        <v/>
      </c>
      <c r="B1837" s="64" t="str">
        <f>Ringkasan!B1908</f>
        <v/>
      </c>
      <c r="C1837" s="64" t="str">
        <f>Ringkasan!C1908</f>
        <v/>
      </c>
      <c r="D1837" s="64" t="str">
        <f>Ringkasan!D1908</f>
        <v/>
      </c>
      <c r="E1837" s="64" t="str">
        <f>Ringkasan!E1908</f>
        <v/>
      </c>
      <c r="F1837" s="64" t="str">
        <f>Ringkasan!F1908</f>
        <v/>
      </c>
      <c r="G1837" s="64" t="str">
        <f>Ringkasan!G1908</f>
        <v/>
      </c>
      <c r="H1837" s="64" t="str">
        <f>Ringkasan!H1908</f>
        <v/>
      </c>
      <c r="I1837" s="64" t="str">
        <f>Ringkasan!I1908</f>
        <v/>
      </c>
      <c r="J1837" s="64" t="str">
        <f>Ringkasan!J1908</f>
        <v/>
      </c>
      <c r="K1837" s="64" t="str">
        <f>Ringkasan!K1908</f>
        <v/>
      </c>
      <c r="L1837" s="64" t="str">
        <f>Ringkasan!L1908</f>
        <v/>
      </c>
      <c r="M1837" s="64" t="str">
        <f>Ringkasan!M1908</f>
        <v/>
      </c>
      <c r="N1837" s="64" t="str">
        <f>Ringkasan!N1908</f>
        <v/>
      </c>
      <c r="O1837" s="64" t="str">
        <f>Ringkasan!O1908</f>
        <v/>
      </c>
      <c r="P1837" s="64" t="str">
        <f>Ringkasan!P1908</f>
        <v/>
      </c>
      <c r="Q1837" s="64" t="str">
        <f>Ringkasan!Q1908</f>
        <v/>
      </c>
      <c r="R1837" s="64" t="str">
        <f>Ringkasan!R1908</f>
        <v/>
      </c>
      <c r="S1837" s="64" t="str">
        <f>Ringkasan!S1908</f>
        <v/>
      </c>
      <c r="T1837" s="64" t="str">
        <f>Ringkasan!T1908</f>
        <v/>
      </c>
      <c r="U1837" s="64" t="str">
        <f>Ringkasan!U1908</f>
        <v/>
      </c>
      <c r="V1837" s="64" t="str">
        <f>Ringkasan!V1908</f>
        <v/>
      </c>
      <c r="W1837" s="64" t="str">
        <f>Ringkasan!W1908</f>
        <v/>
      </c>
      <c r="X1837" s="64" t="str">
        <f>Ringkasan!X1908</f>
        <v/>
      </c>
      <c r="Y1837" s="64" t="str">
        <f>Ringkasan!Y1908</f>
        <v/>
      </c>
      <c r="Z1837" s="64" t="str">
        <f>Ringkasan!Z1908</f>
        <v/>
      </c>
      <c r="AA1837" s="64" t="str">
        <f>Ringkasan!AA1908</f>
        <v/>
      </c>
      <c r="AB1837" s="64" t="str">
        <f>Ringkasan!AB1908</f>
        <v/>
      </c>
    </row>
    <row r="1838">
      <c r="A1838" s="64" t="str">
        <f>Ringkasan!A1909</f>
        <v/>
      </c>
      <c r="B1838" s="64" t="str">
        <f>Ringkasan!B1909</f>
        <v/>
      </c>
      <c r="C1838" s="64" t="str">
        <f>Ringkasan!C1909</f>
        <v/>
      </c>
      <c r="D1838" s="64" t="str">
        <f>Ringkasan!D1909</f>
        <v/>
      </c>
      <c r="E1838" s="64" t="str">
        <f>Ringkasan!E1909</f>
        <v/>
      </c>
      <c r="F1838" s="64" t="str">
        <f>Ringkasan!F1909</f>
        <v/>
      </c>
      <c r="G1838" s="64" t="str">
        <f>Ringkasan!G1909</f>
        <v/>
      </c>
      <c r="H1838" s="64" t="str">
        <f>Ringkasan!H1909</f>
        <v/>
      </c>
      <c r="I1838" s="64" t="str">
        <f>Ringkasan!I1909</f>
        <v/>
      </c>
      <c r="J1838" s="64" t="str">
        <f>Ringkasan!J1909</f>
        <v/>
      </c>
      <c r="K1838" s="64" t="str">
        <f>Ringkasan!K1909</f>
        <v/>
      </c>
      <c r="L1838" s="64" t="str">
        <f>Ringkasan!L1909</f>
        <v/>
      </c>
      <c r="M1838" s="64" t="str">
        <f>Ringkasan!M1909</f>
        <v/>
      </c>
      <c r="N1838" s="64" t="str">
        <f>Ringkasan!N1909</f>
        <v/>
      </c>
      <c r="O1838" s="64" t="str">
        <f>Ringkasan!O1909</f>
        <v/>
      </c>
      <c r="P1838" s="64" t="str">
        <f>Ringkasan!P1909</f>
        <v/>
      </c>
      <c r="Q1838" s="64" t="str">
        <f>Ringkasan!Q1909</f>
        <v/>
      </c>
      <c r="R1838" s="64" t="str">
        <f>Ringkasan!R1909</f>
        <v/>
      </c>
      <c r="S1838" s="64" t="str">
        <f>Ringkasan!S1909</f>
        <v/>
      </c>
      <c r="T1838" s="64" t="str">
        <f>Ringkasan!T1909</f>
        <v/>
      </c>
      <c r="U1838" s="64" t="str">
        <f>Ringkasan!U1909</f>
        <v/>
      </c>
      <c r="V1838" s="64" t="str">
        <f>Ringkasan!V1909</f>
        <v/>
      </c>
      <c r="W1838" s="64" t="str">
        <f>Ringkasan!W1909</f>
        <v/>
      </c>
      <c r="X1838" s="64" t="str">
        <f>Ringkasan!X1909</f>
        <v/>
      </c>
      <c r="Y1838" s="64" t="str">
        <f>Ringkasan!Y1909</f>
        <v/>
      </c>
      <c r="Z1838" s="64" t="str">
        <f>Ringkasan!Z1909</f>
        <v/>
      </c>
      <c r="AA1838" s="64" t="str">
        <f>Ringkasan!AA1909</f>
        <v/>
      </c>
      <c r="AB1838" s="64" t="str">
        <f>Ringkasan!AB1909</f>
        <v/>
      </c>
    </row>
    <row r="1839">
      <c r="A1839" s="64" t="str">
        <f>Ringkasan!A1910</f>
        <v/>
      </c>
      <c r="B1839" s="64" t="str">
        <f>Ringkasan!B1910</f>
        <v/>
      </c>
      <c r="C1839" s="64" t="str">
        <f>Ringkasan!C1910</f>
        <v/>
      </c>
      <c r="D1839" s="64" t="str">
        <f>Ringkasan!D1910</f>
        <v/>
      </c>
      <c r="E1839" s="64" t="str">
        <f>Ringkasan!E1910</f>
        <v/>
      </c>
      <c r="F1839" s="64" t="str">
        <f>Ringkasan!F1910</f>
        <v/>
      </c>
      <c r="G1839" s="64" t="str">
        <f>Ringkasan!G1910</f>
        <v/>
      </c>
      <c r="H1839" s="64" t="str">
        <f>Ringkasan!H1910</f>
        <v/>
      </c>
      <c r="I1839" s="64" t="str">
        <f>Ringkasan!I1910</f>
        <v/>
      </c>
      <c r="J1839" s="64" t="str">
        <f>Ringkasan!J1910</f>
        <v/>
      </c>
      <c r="K1839" s="64" t="str">
        <f>Ringkasan!K1910</f>
        <v/>
      </c>
      <c r="L1839" s="64" t="str">
        <f>Ringkasan!L1910</f>
        <v/>
      </c>
      <c r="M1839" s="64" t="str">
        <f>Ringkasan!M1910</f>
        <v/>
      </c>
      <c r="N1839" s="64" t="str">
        <f>Ringkasan!N1910</f>
        <v/>
      </c>
      <c r="O1839" s="64" t="str">
        <f>Ringkasan!O1910</f>
        <v/>
      </c>
      <c r="P1839" s="64" t="str">
        <f>Ringkasan!P1910</f>
        <v/>
      </c>
      <c r="Q1839" s="64" t="str">
        <f>Ringkasan!Q1910</f>
        <v/>
      </c>
      <c r="R1839" s="64" t="str">
        <f>Ringkasan!R1910</f>
        <v/>
      </c>
      <c r="S1839" s="64" t="str">
        <f>Ringkasan!S1910</f>
        <v/>
      </c>
      <c r="T1839" s="64" t="str">
        <f>Ringkasan!T1910</f>
        <v/>
      </c>
      <c r="U1839" s="64" t="str">
        <f>Ringkasan!U1910</f>
        <v/>
      </c>
      <c r="V1839" s="64" t="str">
        <f>Ringkasan!V1910</f>
        <v/>
      </c>
      <c r="W1839" s="64" t="str">
        <f>Ringkasan!W1910</f>
        <v/>
      </c>
      <c r="X1839" s="64" t="str">
        <f>Ringkasan!X1910</f>
        <v/>
      </c>
      <c r="Y1839" s="64" t="str">
        <f>Ringkasan!Y1910</f>
        <v/>
      </c>
      <c r="Z1839" s="64" t="str">
        <f>Ringkasan!Z1910</f>
        <v/>
      </c>
      <c r="AA1839" s="64" t="str">
        <f>Ringkasan!AA1910</f>
        <v/>
      </c>
      <c r="AB1839" s="64" t="str">
        <f>Ringkasan!AB1910</f>
        <v/>
      </c>
    </row>
    <row r="1840">
      <c r="A1840" s="64" t="str">
        <f>Ringkasan!A1911</f>
        <v/>
      </c>
      <c r="B1840" s="64" t="str">
        <f>Ringkasan!B1911</f>
        <v/>
      </c>
      <c r="C1840" s="64" t="str">
        <f>Ringkasan!C1911</f>
        <v/>
      </c>
      <c r="D1840" s="64" t="str">
        <f>Ringkasan!D1911</f>
        <v/>
      </c>
      <c r="E1840" s="64" t="str">
        <f>Ringkasan!E1911</f>
        <v/>
      </c>
      <c r="F1840" s="64" t="str">
        <f>Ringkasan!F1911</f>
        <v/>
      </c>
      <c r="G1840" s="64" t="str">
        <f>Ringkasan!G1911</f>
        <v/>
      </c>
      <c r="H1840" s="64" t="str">
        <f>Ringkasan!H1911</f>
        <v/>
      </c>
      <c r="I1840" s="64" t="str">
        <f>Ringkasan!I1911</f>
        <v/>
      </c>
      <c r="J1840" s="64" t="str">
        <f>Ringkasan!J1911</f>
        <v/>
      </c>
      <c r="K1840" s="64" t="str">
        <f>Ringkasan!K1911</f>
        <v/>
      </c>
      <c r="L1840" s="64" t="str">
        <f>Ringkasan!L1911</f>
        <v/>
      </c>
      <c r="M1840" s="64" t="str">
        <f>Ringkasan!M1911</f>
        <v/>
      </c>
      <c r="N1840" s="64" t="str">
        <f>Ringkasan!N1911</f>
        <v/>
      </c>
      <c r="O1840" s="64" t="str">
        <f>Ringkasan!O1911</f>
        <v/>
      </c>
      <c r="P1840" s="64" t="str">
        <f>Ringkasan!P1911</f>
        <v/>
      </c>
      <c r="Q1840" s="64" t="str">
        <f>Ringkasan!Q1911</f>
        <v/>
      </c>
      <c r="R1840" s="64" t="str">
        <f>Ringkasan!R1911</f>
        <v/>
      </c>
      <c r="S1840" s="64" t="str">
        <f>Ringkasan!S1911</f>
        <v/>
      </c>
      <c r="T1840" s="64" t="str">
        <f>Ringkasan!T1911</f>
        <v/>
      </c>
      <c r="U1840" s="64" t="str">
        <f>Ringkasan!U1911</f>
        <v/>
      </c>
      <c r="V1840" s="64" t="str">
        <f>Ringkasan!V1911</f>
        <v/>
      </c>
      <c r="W1840" s="64" t="str">
        <f>Ringkasan!W1911</f>
        <v/>
      </c>
      <c r="X1840" s="64" t="str">
        <f>Ringkasan!X1911</f>
        <v/>
      </c>
      <c r="Y1840" s="64" t="str">
        <f>Ringkasan!Y1911</f>
        <v/>
      </c>
      <c r="Z1840" s="64" t="str">
        <f>Ringkasan!Z1911</f>
        <v/>
      </c>
      <c r="AA1840" s="64" t="str">
        <f>Ringkasan!AA1911</f>
        <v/>
      </c>
      <c r="AB1840" s="64" t="str">
        <f>Ringkasan!AB1911</f>
        <v/>
      </c>
    </row>
    <row r="1841">
      <c r="A1841" s="64" t="str">
        <f>Ringkasan!A1912</f>
        <v/>
      </c>
      <c r="B1841" s="64" t="str">
        <f>Ringkasan!B1912</f>
        <v/>
      </c>
      <c r="C1841" s="64" t="str">
        <f>Ringkasan!C1912</f>
        <v/>
      </c>
      <c r="D1841" s="64" t="str">
        <f>Ringkasan!D1912</f>
        <v/>
      </c>
      <c r="E1841" s="64" t="str">
        <f>Ringkasan!E1912</f>
        <v/>
      </c>
      <c r="F1841" s="64" t="str">
        <f>Ringkasan!F1912</f>
        <v/>
      </c>
      <c r="G1841" s="64" t="str">
        <f>Ringkasan!G1912</f>
        <v/>
      </c>
      <c r="H1841" s="64" t="str">
        <f>Ringkasan!H1912</f>
        <v/>
      </c>
      <c r="I1841" s="64" t="str">
        <f>Ringkasan!I1912</f>
        <v/>
      </c>
      <c r="J1841" s="64" t="str">
        <f>Ringkasan!J1912</f>
        <v/>
      </c>
      <c r="K1841" s="64" t="str">
        <f>Ringkasan!K1912</f>
        <v/>
      </c>
      <c r="L1841" s="64" t="str">
        <f>Ringkasan!L1912</f>
        <v/>
      </c>
      <c r="M1841" s="64" t="str">
        <f>Ringkasan!M1912</f>
        <v/>
      </c>
      <c r="N1841" s="64" t="str">
        <f>Ringkasan!N1912</f>
        <v/>
      </c>
      <c r="O1841" s="64" t="str">
        <f>Ringkasan!O1912</f>
        <v/>
      </c>
      <c r="P1841" s="64" t="str">
        <f>Ringkasan!P1912</f>
        <v/>
      </c>
      <c r="Q1841" s="64" t="str">
        <f>Ringkasan!Q1912</f>
        <v/>
      </c>
      <c r="R1841" s="64" t="str">
        <f>Ringkasan!R1912</f>
        <v/>
      </c>
      <c r="S1841" s="64" t="str">
        <f>Ringkasan!S1912</f>
        <v/>
      </c>
      <c r="T1841" s="64" t="str">
        <f>Ringkasan!T1912</f>
        <v/>
      </c>
      <c r="U1841" s="64" t="str">
        <f>Ringkasan!U1912</f>
        <v/>
      </c>
      <c r="V1841" s="64" t="str">
        <f>Ringkasan!V1912</f>
        <v/>
      </c>
      <c r="W1841" s="64" t="str">
        <f>Ringkasan!W1912</f>
        <v/>
      </c>
      <c r="X1841" s="64" t="str">
        <f>Ringkasan!X1912</f>
        <v/>
      </c>
      <c r="Y1841" s="64" t="str">
        <f>Ringkasan!Y1912</f>
        <v/>
      </c>
      <c r="Z1841" s="64" t="str">
        <f>Ringkasan!Z1912</f>
        <v/>
      </c>
      <c r="AA1841" s="64" t="str">
        <f>Ringkasan!AA1912</f>
        <v/>
      </c>
      <c r="AB1841" s="64" t="str">
        <f>Ringkasan!AB1912</f>
        <v/>
      </c>
    </row>
    <row r="1842">
      <c r="A1842" s="64" t="str">
        <f>Ringkasan!A1913</f>
        <v/>
      </c>
      <c r="B1842" s="64" t="str">
        <f>Ringkasan!B1913</f>
        <v/>
      </c>
      <c r="C1842" s="64" t="str">
        <f>Ringkasan!C1913</f>
        <v/>
      </c>
      <c r="D1842" s="64" t="str">
        <f>Ringkasan!D1913</f>
        <v/>
      </c>
      <c r="E1842" s="64" t="str">
        <f>Ringkasan!E1913</f>
        <v/>
      </c>
      <c r="F1842" s="64" t="str">
        <f>Ringkasan!F1913</f>
        <v/>
      </c>
      <c r="G1842" s="64" t="str">
        <f>Ringkasan!G1913</f>
        <v/>
      </c>
      <c r="H1842" s="64" t="str">
        <f>Ringkasan!H1913</f>
        <v/>
      </c>
      <c r="I1842" s="64" t="str">
        <f>Ringkasan!I1913</f>
        <v/>
      </c>
      <c r="J1842" s="64" t="str">
        <f>Ringkasan!J1913</f>
        <v/>
      </c>
      <c r="K1842" s="64" t="str">
        <f>Ringkasan!K1913</f>
        <v/>
      </c>
      <c r="L1842" s="64" t="str">
        <f>Ringkasan!L1913</f>
        <v/>
      </c>
      <c r="M1842" s="64" t="str">
        <f>Ringkasan!M1913</f>
        <v/>
      </c>
      <c r="N1842" s="64" t="str">
        <f>Ringkasan!N1913</f>
        <v/>
      </c>
      <c r="O1842" s="64" t="str">
        <f>Ringkasan!O1913</f>
        <v/>
      </c>
      <c r="P1842" s="64" t="str">
        <f>Ringkasan!P1913</f>
        <v/>
      </c>
      <c r="Q1842" s="64" t="str">
        <f>Ringkasan!Q1913</f>
        <v/>
      </c>
      <c r="R1842" s="64" t="str">
        <f>Ringkasan!R1913</f>
        <v/>
      </c>
      <c r="S1842" s="64" t="str">
        <f>Ringkasan!S1913</f>
        <v/>
      </c>
      <c r="T1842" s="64" t="str">
        <f>Ringkasan!T1913</f>
        <v/>
      </c>
      <c r="U1842" s="64" t="str">
        <f>Ringkasan!U1913</f>
        <v/>
      </c>
      <c r="V1842" s="64" t="str">
        <f>Ringkasan!V1913</f>
        <v/>
      </c>
      <c r="W1842" s="64" t="str">
        <f>Ringkasan!W1913</f>
        <v/>
      </c>
      <c r="X1842" s="64" t="str">
        <f>Ringkasan!X1913</f>
        <v/>
      </c>
      <c r="Y1842" s="64" t="str">
        <f>Ringkasan!Y1913</f>
        <v/>
      </c>
      <c r="Z1842" s="64" t="str">
        <f>Ringkasan!Z1913</f>
        <v/>
      </c>
      <c r="AA1842" s="64" t="str">
        <f>Ringkasan!AA1913</f>
        <v/>
      </c>
      <c r="AB1842" s="64" t="str">
        <f>Ringkasan!AB1913</f>
        <v/>
      </c>
    </row>
    <row r="1843">
      <c r="A1843" s="64" t="str">
        <f>Ringkasan!A1914</f>
        <v/>
      </c>
      <c r="B1843" s="64" t="str">
        <f>Ringkasan!B1914</f>
        <v/>
      </c>
      <c r="C1843" s="64" t="str">
        <f>Ringkasan!C1914</f>
        <v/>
      </c>
      <c r="D1843" s="64" t="str">
        <f>Ringkasan!D1914</f>
        <v/>
      </c>
      <c r="E1843" s="64" t="str">
        <f>Ringkasan!E1914</f>
        <v/>
      </c>
      <c r="F1843" s="64" t="str">
        <f>Ringkasan!F1914</f>
        <v/>
      </c>
      <c r="G1843" s="64" t="str">
        <f>Ringkasan!G1914</f>
        <v/>
      </c>
      <c r="H1843" s="64" t="str">
        <f>Ringkasan!H1914</f>
        <v/>
      </c>
      <c r="I1843" s="64" t="str">
        <f>Ringkasan!I1914</f>
        <v/>
      </c>
      <c r="J1843" s="64" t="str">
        <f>Ringkasan!J1914</f>
        <v/>
      </c>
      <c r="K1843" s="64" t="str">
        <f>Ringkasan!K1914</f>
        <v/>
      </c>
      <c r="L1843" s="64" t="str">
        <f>Ringkasan!L1914</f>
        <v/>
      </c>
      <c r="M1843" s="64" t="str">
        <f>Ringkasan!M1914</f>
        <v/>
      </c>
      <c r="N1843" s="64" t="str">
        <f>Ringkasan!N1914</f>
        <v/>
      </c>
      <c r="O1843" s="64" t="str">
        <f>Ringkasan!O1914</f>
        <v/>
      </c>
      <c r="P1843" s="64" t="str">
        <f>Ringkasan!P1914</f>
        <v/>
      </c>
      <c r="Q1843" s="64" t="str">
        <f>Ringkasan!Q1914</f>
        <v/>
      </c>
      <c r="R1843" s="64" t="str">
        <f>Ringkasan!R1914</f>
        <v/>
      </c>
      <c r="S1843" s="64" t="str">
        <f>Ringkasan!S1914</f>
        <v/>
      </c>
      <c r="T1843" s="64" t="str">
        <f>Ringkasan!T1914</f>
        <v/>
      </c>
      <c r="U1843" s="64" t="str">
        <f>Ringkasan!U1914</f>
        <v/>
      </c>
      <c r="V1843" s="64" t="str">
        <f>Ringkasan!V1914</f>
        <v/>
      </c>
      <c r="W1843" s="64" t="str">
        <f>Ringkasan!W1914</f>
        <v/>
      </c>
      <c r="X1843" s="64" t="str">
        <f>Ringkasan!X1914</f>
        <v/>
      </c>
      <c r="Y1843" s="64" t="str">
        <f>Ringkasan!Y1914</f>
        <v/>
      </c>
      <c r="Z1843" s="64" t="str">
        <f>Ringkasan!Z1914</f>
        <v/>
      </c>
      <c r="AA1843" s="64" t="str">
        <f>Ringkasan!AA1914</f>
        <v/>
      </c>
      <c r="AB1843" s="64" t="str">
        <f>Ringkasan!AB1914</f>
        <v/>
      </c>
    </row>
    <row r="1844">
      <c r="A1844" s="64" t="str">
        <f>Ringkasan!A1915</f>
        <v/>
      </c>
      <c r="B1844" s="64" t="str">
        <f>Ringkasan!B1915</f>
        <v/>
      </c>
      <c r="C1844" s="64" t="str">
        <f>Ringkasan!C1915</f>
        <v/>
      </c>
      <c r="D1844" s="64" t="str">
        <f>Ringkasan!D1915</f>
        <v/>
      </c>
      <c r="E1844" s="64" t="str">
        <f>Ringkasan!E1915</f>
        <v/>
      </c>
      <c r="F1844" s="64" t="str">
        <f>Ringkasan!F1915</f>
        <v/>
      </c>
      <c r="G1844" s="64" t="str">
        <f>Ringkasan!G1915</f>
        <v/>
      </c>
      <c r="H1844" s="64" t="str">
        <f>Ringkasan!H1915</f>
        <v/>
      </c>
      <c r="I1844" s="64" t="str">
        <f>Ringkasan!I1915</f>
        <v/>
      </c>
      <c r="J1844" s="64" t="str">
        <f>Ringkasan!J1915</f>
        <v/>
      </c>
      <c r="K1844" s="64" t="str">
        <f>Ringkasan!K1915</f>
        <v/>
      </c>
      <c r="L1844" s="64" t="str">
        <f>Ringkasan!L1915</f>
        <v/>
      </c>
      <c r="M1844" s="64" t="str">
        <f>Ringkasan!M1915</f>
        <v/>
      </c>
      <c r="N1844" s="64" t="str">
        <f>Ringkasan!N1915</f>
        <v/>
      </c>
      <c r="O1844" s="64" t="str">
        <f>Ringkasan!O1915</f>
        <v/>
      </c>
      <c r="P1844" s="64" t="str">
        <f>Ringkasan!P1915</f>
        <v/>
      </c>
      <c r="Q1844" s="64" t="str">
        <f>Ringkasan!Q1915</f>
        <v/>
      </c>
      <c r="R1844" s="64" t="str">
        <f>Ringkasan!R1915</f>
        <v/>
      </c>
      <c r="S1844" s="64" t="str">
        <f>Ringkasan!S1915</f>
        <v/>
      </c>
      <c r="T1844" s="64" t="str">
        <f>Ringkasan!T1915</f>
        <v/>
      </c>
      <c r="U1844" s="64" t="str">
        <f>Ringkasan!U1915</f>
        <v/>
      </c>
      <c r="V1844" s="64" t="str">
        <f>Ringkasan!V1915</f>
        <v/>
      </c>
      <c r="W1844" s="64" t="str">
        <f>Ringkasan!W1915</f>
        <v/>
      </c>
      <c r="X1844" s="64" t="str">
        <f>Ringkasan!X1915</f>
        <v/>
      </c>
      <c r="Y1844" s="64" t="str">
        <f>Ringkasan!Y1915</f>
        <v/>
      </c>
      <c r="Z1844" s="64" t="str">
        <f>Ringkasan!Z1915</f>
        <v/>
      </c>
      <c r="AA1844" s="64" t="str">
        <f>Ringkasan!AA1915</f>
        <v/>
      </c>
      <c r="AB1844" s="64" t="str">
        <f>Ringkasan!AB1915</f>
        <v/>
      </c>
    </row>
    <row r="1845">
      <c r="A1845" s="64" t="str">
        <f>Ringkasan!A1916</f>
        <v/>
      </c>
      <c r="B1845" s="64" t="str">
        <f>Ringkasan!B1916</f>
        <v/>
      </c>
      <c r="C1845" s="64" t="str">
        <f>Ringkasan!C1916</f>
        <v/>
      </c>
      <c r="D1845" s="64" t="str">
        <f>Ringkasan!D1916</f>
        <v/>
      </c>
      <c r="E1845" s="64" t="str">
        <f>Ringkasan!E1916</f>
        <v/>
      </c>
      <c r="F1845" s="64" t="str">
        <f>Ringkasan!F1916</f>
        <v/>
      </c>
      <c r="G1845" s="64" t="str">
        <f>Ringkasan!G1916</f>
        <v/>
      </c>
      <c r="H1845" s="64" t="str">
        <f>Ringkasan!H1916</f>
        <v/>
      </c>
      <c r="I1845" s="64" t="str">
        <f>Ringkasan!I1916</f>
        <v/>
      </c>
      <c r="J1845" s="64" t="str">
        <f>Ringkasan!J1916</f>
        <v/>
      </c>
      <c r="K1845" s="64" t="str">
        <f>Ringkasan!K1916</f>
        <v/>
      </c>
      <c r="L1845" s="64" t="str">
        <f>Ringkasan!L1916</f>
        <v/>
      </c>
      <c r="M1845" s="64" t="str">
        <f>Ringkasan!M1916</f>
        <v/>
      </c>
      <c r="N1845" s="64" t="str">
        <f>Ringkasan!N1916</f>
        <v/>
      </c>
      <c r="O1845" s="64" t="str">
        <f>Ringkasan!O1916</f>
        <v/>
      </c>
      <c r="P1845" s="64" t="str">
        <f>Ringkasan!P1916</f>
        <v/>
      </c>
      <c r="Q1845" s="64" t="str">
        <f>Ringkasan!Q1916</f>
        <v/>
      </c>
      <c r="R1845" s="64" t="str">
        <f>Ringkasan!R1916</f>
        <v/>
      </c>
      <c r="S1845" s="64" t="str">
        <f>Ringkasan!S1916</f>
        <v/>
      </c>
      <c r="T1845" s="64" t="str">
        <f>Ringkasan!T1916</f>
        <v/>
      </c>
      <c r="U1845" s="64" t="str">
        <f>Ringkasan!U1916</f>
        <v/>
      </c>
      <c r="V1845" s="64" t="str">
        <f>Ringkasan!V1916</f>
        <v/>
      </c>
      <c r="W1845" s="64" t="str">
        <f>Ringkasan!W1916</f>
        <v/>
      </c>
      <c r="X1845" s="64" t="str">
        <f>Ringkasan!X1916</f>
        <v/>
      </c>
      <c r="Y1845" s="64" t="str">
        <f>Ringkasan!Y1916</f>
        <v/>
      </c>
      <c r="Z1845" s="64" t="str">
        <f>Ringkasan!Z1916</f>
        <v/>
      </c>
      <c r="AA1845" s="64" t="str">
        <f>Ringkasan!AA1916</f>
        <v/>
      </c>
      <c r="AB1845" s="64" t="str">
        <f>Ringkasan!AB1916</f>
        <v/>
      </c>
    </row>
    <row r="1846">
      <c r="A1846" s="64" t="str">
        <f>Ringkasan!A1917</f>
        <v/>
      </c>
      <c r="B1846" s="64" t="str">
        <f>Ringkasan!B1917</f>
        <v/>
      </c>
      <c r="C1846" s="64" t="str">
        <f>Ringkasan!C1917</f>
        <v/>
      </c>
      <c r="D1846" s="64" t="str">
        <f>Ringkasan!D1917</f>
        <v/>
      </c>
      <c r="E1846" s="64" t="str">
        <f>Ringkasan!E1917</f>
        <v/>
      </c>
      <c r="F1846" s="64" t="str">
        <f>Ringkasan!F1917</f>
        <v/>
      </c>
      <c r="G1846" s="64" t="str">
        <f>Ringkasan!G1917</f>
        <v/>
      </c>
      <c r="H1846" s="64" t="str">
        <f>Ringkasan!H1917</f>
        <v/>
      </c>
      <c r="I1846" s="64" t="str">
        <f>Ringkasan!I1917</f>
        <v/>
      </c>
      <c r="J1846" s="64" t="str">
        <f>Ringkasan!J1917</f>
        <v/>
      </c>
      <c r="K1846" s="64" t="str">
        <f>Ringkasan!K1917</f>
        <v/>
      </c>
      <c r="L1846" s="64" t="str">
        <f>Ringkasan!L1917</f>
        <v/>
      </c>
      <c r="M1846" s="64" t="str">
        <f>Ringkasan!M1917</f>
        <v/>
      </c>
      <c r="N1846" s="64" t="str">
        <f>Ringkasan!N1917</f>
        <v/>
      </c>
      <c r="O1846" s="64" t="str">
        <f>Ringkasan!O1917</f>
        <v/>
      </c>
      <c r="P1846" s="64" t="str">
        <f>Ringkasan!P1917</f>
        <v/>
      </c>
      <c r="Q1846" s="64" t="str">
        <f>Ringkasan!Q1917</f>
        <v/>
      </c>
      <c r="R1846" s="64" t="str">
        <f>Ringkasan!R1917</f>
        <v/>
      </c>
      <c r="S1846" s="64" t="str">
        <f>Ringkasan!S1917</f>
        <v/>
      </c>
      <c r="T1846" s="64" t="str">
        <f>Ringkasan!T1917</f>
        <v/>
      </c>
      <c r="U1846" s="64" t="str">
        <f>Ringkasan!U1917</f>
        <v/>
      </c>
      <c r="V1846" s="64" t="str">
        <f>Ringkasan!V1917</f>
        <v/>
      </c>
      <c r="W1846" s="64" t="str">
        <f>Ringkasan!W1917</f>
        <v/>
      </c>
      <c r="X1846" s="64" t="str">
        <f>Ringkasan!X1917</f>
        <v/>
      </c>
      <c r="Y1846" s="64" t="str">
        <f>Ringkasan!Y1917</f>
        <v/>
      </c>
      <c r="Z1846" s="64" t="str">
        <f>Ringkasan!Z1917</f>
        <v/>
      </c>
      <c r="AA1846" s="64" t="str">
        <f>Ringkasan!AA1917</f>
        <v/>
      </c>
      <c r="AB1846" s="64" t="str">
        <f>Ringkasan!AB1917</f>
        <v/>
      </c>
    </row>
    <row r="1847">
      <c r="A1847" s="64" t="str">
        <f>Ringkasan!A1918</f>
        <v/>
      </c>
      <c r="B1847" s="64" t="str">
        <f>Ringkasan!B1918</f>
        <v/>
      </c>
      <c r="C1847" s="64" t="str">
        <f>Ringkasan!C1918</f>
        <v/>
      </c>
      <c r="D1847" s="64" t="str">
        <f>Ringkasan!D1918</f>
        <v/>
      </c>
      <c r="E1847" s="64" t="str">
        <f>Ringkasan!E1918</f>
        <v/>
      </c>
      <c r="F1847" s="64" t="str">
        <f>Ringkasan!F1918</f>
        <v/>
      </c>
      <c r="G1847" s="64" t="str">
        <f>Ringkasan!G1918</f>
        <v/>
      </c>
      <c r="H1847" s="64" t="str">
        <f>Ringkasan!H1918</f>
        <v/>
      </c>
      <c r="I1847" s="64" t="str">
        <f>Ringkasan!I1918</f>
        <v/>
      </c>
      <c r="J1847" s="64" t="str">
        <f>Ringkasan!J1918</f>
        <v/>
      </c>
      <c r="K1847" s="64" t="str">
        <f>Ringkasan!K1918</f>
        <v/>
      </c>
      <c r="L1847" s="64" t="str">
        <f>Ringkasan!L1918</f>
        <v/>
      </c>
      <c r="M1847" s="64" t="str">
        <f>Ringkasan!M1918</f>
        <v/>
      </c>
      <c r="N1847" s="64" t="str">
        <f>Ringkasan!N1918</f>
        <v/>
      </c>
      <c r="O1847" s="64" t="str">
        <f>Ringkasan!O1918</f>
        <v/>
      </c>
      <c r="P1847" s="64" t="str">
        <f>Ringkasan!P1918</f>
        <v/>
      </c>
      <c r="Q1847" s="64" t="str">
        <f>Ringkasan!Q1918</f>
        <v/>
      </c>
      <c r="R1847" s="64" t="str">
        <f>Ringkasan!R1918</f>
        <v/>
      </c>
      <c r="S1847" s="64" t="str">
        <f>Ringkasan!S1918</f>
        <v/>
      </c>
      <c r="T1847" s="64" t="str">
        <f>Ringkasan!T1918</f>
        <v/>
      </c>
      <c r="U1847" s="64" t="str">
        <f>Ringkasan!U1918</f>
        <v/>
      </c>
      <c r="V1847" s="64" t="str">
        <f>Ringkasan!V1918</f>
        <v/>
      </c>
      <c r="W1847" s="64" t="str">
        <f>Ringkasan!W1918</f>
        <v/>
      </c>
      <c r="X1847" s="64" t="str">
        <f>Ringkasan!X1918</f>
        <v/>
      </c>
      <c r="Y1847" s="64" t="str">
        <f>Ringkasan!Y1918</f>
        <v/>
      </c>
      <c r="Z1847" s="64" t="str">
        <f>Ringkasan!Z1918</f>
        <v/>
      </c>
      <c r="AA1847" s="64" t="str">
        <f>Ringkasan!AA1918</f>
        <v/>
      </c>
      <c r="AB1847" s="64" t="str">
        <f>Ringkasan!AB1918</f>
        <v/>
      </c>
    </row>
    <row r="1848">
      <c r="A1848" s="64" t="str">
        <f>Ringkasan!A1919</f>
        <v/>
      </c>
      <c r="B1848" s="64" t="str">
        <f>Ringkasan!B1919</f>
        <v/>
      </c>
      <c r="C1848" s="64" t="str">
        <f>Ringkasan!C1919</f>
        <v/>
      </c>
      <c r="D1848" s="64" t="str">
        <f>Ringkasan!D1919</f>
        <v/>
      </c>
      <c r="E1848" s="64" t="str">
        <f>Ringkasan!E1919</f>
        <v/>
      </c>
      <c r="F1848" s="64" t="str">
        <f>Ringkasan!F1919</f>
        <v/>
      </c>
      <c r="G1848" s="64" t="str">
        <f>Ringkasan!G1919</f>
        <v/>
      </c>
      <c r="H1848" s="64" t="str">
        <f>Ringkasan!H1919</f>
        <v/>
      </c>
      <c r="I1848" s="64" t="str">
        <f>Ringkasan!I1919</f>
        <v/>
      </c>
      <c r="J1848" s="64" t="str">
        <f>Ringkasan!J1919</f>
        <v/>
      </c>
      <c r="K1848" s="64" t="str">
        <f>Ringkasan!K1919</f>
        <v/>
      </c>
      <c r="L1848" s="64" t="str">
        <f>Ringkasan!L1919</f>
        <v/>
      </c>
      <c r="M1848" s="64" t="str">
        <f>Ringkasan!M1919</f>
        <v/>
      </c>
      <c r="N1848" s="64" t="str">
        <f>Ringkasan!N1919</f>
        <v/>
      </c>
      <c r="O1848" s="64" t="str">
        <f>Ringkasan!O1919</f>
        <v/>
      </c>
      <c r="P1848" s="64" t="str">
        <f>Ringkasan!P1919</f>
        <v/>
      </c>
      <c r="Q1848" s="64" t="str">
        <f>Ringkasan!Q1919</f>
        <v/>
      </c>
      <c r="R1848" s="64" t="str">
        <f>Ringkasan!R1919</f>
        <v/>
      </c>
      <c r="S1848" s="64" t="str">
        <f>Ringkasan!S1919</f>
        <v/>
      </c>
      <c r="T1848" s="64" t="str">
        <f>Ringkasan!T1919</f>
        <v/>
      </c>
      <c r="U1848" s="64" t="str">
        <f>Ringkasan!U1919</f>
        <v/>
      </c>
      <c r="V1848" s="64" t="str">
        <f>Ringkasan!V1919</f>
        <v/>
      </c>
      <c r="W1848" s="64" t="str">
        <f>Ringkasan!W1919</f>
        <v/>
      </c>
      <c r="X1848" s="64" t="str">
        <f>Ringkasan!X1919</f>
        <v/>
      </c>
      <c r="Y1848" s="64" t="str">
        <f>Ringkasan!Y1919</f>
        <v/>
      </c>
      <c r="Z1848" s="64" t="str">
        <f>Ringkasan!Z1919</f>
        <v/>
      </c>
      <c r="AA1848" s="64" t="str">
        <f>Ringkasan!AA1919</f>
        <v/>
      </c>
      <c r="AB1848" s="64" t="str">
        <f>Ringkasan!AB1919</f>
        <v/>
      </c>
    </row>
    <row r="1849">
      <c r="A1849" s="64" t="str">
        <f>Ringkasan!A1920</f>
        <v/>
      </c>
      <c r="B1849" s="64" t="str">
        <f>Ringkasan!B1920</f>
        <v/>
      </c>
      <c r="C1849" s="64" t="str">
        <f>Ringkasan!C1920</f>
        <v/>
      </c>
      <c r="D1849" s="64" t="str">
        <f>Ringkasan!D1920</f>
        <v/>
      </c>
      <c r="E1849" s="64" t="str">
        <f>Ringkasan!E1920</f>
        <v/>
      </c>
      <c r="F1849" s="64" t="str">
        <f>Ringkasan!F1920</f>
        <v/>
      </c>
      <c r="G1849" s="64" t="str">
        <f>Ringkasan!G1920</f>
        <v/>
      </c>
      <c r="H1849" s="64" t="str">
        <f>Ringkasan!H1920</f>
        <v/>
      </c>
      <c r="I1849" s="64" t="str">
        <f>Ringkasan!I1920</f>
        <v/>
      </c>
      <c r="J1849" s="64" t="str">
        <f>Ringkasan!J1920</f>
        <v/>
      </c>
      <c r="K1849" s="64" t="str">
        <f>Ringkasan!K1920</f>
        <v/>
      </c>
      <c r="L1849" s="64" t="str">
        <f>Ringkasan!L1920</f>
        <v/>
      </c>
      <c r="M1849" s="64" t="str">
        <f>Ringkasan!M1920</f>
        <v/>
      </c>
      <c r="N1849" s="64" t="str">
        <f>Ringkasan!N1920</f>
        <v/>
      </c>
      <c r="O1849" s="64" t="str">
        <f>Ringkasan!O1920</f>
        <v/>
      </c>
      <c r="P1849" s="64" t="str">
        <f>Ringkasan!P1920</f>
        <v/>
      </c>
      <c r="Q1849" s="64" t="str">
        <f>Ringkasan!Q1920</f>
        <v/>
      </c>
      <c r="R1849" s="64" t="str">
        <f>Ringkasan!R1920</f>
        <v/>
      </c>
      <c r="S1849" s="64" t="str">
        <f>Ringkasan!S1920</f>
        <v/>
      </c>
      <c r="T1849" s="64" t="str">
        <f>Ringkasan!T1920</f>
        <v/>
      </c>
      <c r="U1849" s="64" t="str">
        <f>Ringkasan!U1920</f>
        <v/>
      </c>
      <c r="V1849" s="64" t="str">
        <f>Ringkasan!V1920</f>
        <v/>
      </c>
      <c r="W1849" s="64" t="str">
        <f>Ringkasan!W1920</f>
        <v/>
      </c>
      <c r="X1849" s="64" t="str">
        <f>Ringkasan!X1920</f>
        <v/>
      </c>
      <c r="Y1849" s="64" t="str">
        <f>Ringkasan!Y1920</f>
        <v/>
      </c>
      <c r="Z1849" s="64" t="str">
        <f>Ringkasan!Z1920</f>
        <v/>
      </c>
      <c r="AA1849" s="64" t="str">
        <f>Ringkasan!AA1920</f>
        <v/>
      </c>
      <c r="AB1849" s="64" t="str">
        <f>Ringkasan!AB1920</f>
        <v/>
      </c>
    </row>
    <row r="1850">
      <c r="A1850" s="64" t="str">
        <f>Ringkasan!A1921</f>
        <v/>
      </c>
      <c r="B1850" s="64" t="str">
        <f>Ringkasan!B1921</f>
        <v/>
      </c>
      <c r="C1850" s="64" t="str">
        <f>Ringkasan!C1921</f>
        <v/>
      </c>
      <c r="D1850" s="64" t="str">
        <f>Ringkasan!D1921</f>
        <v/>
      </c>
      <c r="E1850" s="64" t="str">
        <f>Ringkasan!E1921</f>
        <v/>
      </c>
      <c r="F1850" s="64" t="str">
        <f>Ringkasan!F1921</f>
        <v/>
      </c>
      <c r="G1850" s="64" t="str">
        <f>Ringkasan!G1921</f>
        <v/>
      </c>
      <c r="H1850" s="64" t="str">
        <f>Ringkasan!H1921</f>
        <v/>
      </c>
      <c r="I1850" s="64" t="str">
        <f>Ringkasan!I1921</f>
        <v/>
      </c>
      <c r="J1850" s="64" t="str">
        <f>Ringkasan!J1921</f>
        <v/>
      </c>
      <c r="K1850" s="64" t="str">
        <f>Ringkasan!K1921</f>
        <v/>
      </c>
      <c r="L1850" s="64" t="str">
        <f>Ringkasan!L1921</f>
        <v/>
      </c>
      <c r="M1850" s="64" t="str">
        <f>Ringkasan!M1921</f>
        <v/>
      </c>
      <c r="N1850" s="64" t="str">
        <f>Ringkasan!N1921</f>
        <v/>
      </c>
      <c r="O1850" s="64" t="str">
        <f>Ringkasan!O1921</f>
        <v/>
      </c>
      <c r="P1850" s="64" t="str">
        <f>Ringkasan!P1921</f>
        <v/>
      </c>
      <c r="Q1850" s="64" t="str">
        <f>Ringkasan!Q1921</f>
        <v/>
      </c>
      <c r="R1850" s="64" t="str">
        <f>Ringkasan!R1921</f>
        <v/>
      </c>
      <c r="S1850" s="64" t="str">
        <f>Ringkasan!S1921</f>
        <v/>
      </c>
      <c r="T1850" s="64" t="str">
        <f>Ringkasan!T1921</f>
        <v/>
      </c>
      <c r="U1850" s="64" t="str">
        <f>Ringkasan!U1921</f>
        <v/>
      </c>
      <c r="V1850" s="64" t="str">
        <f>Ringkasan!V1921</f>
        <v/>
      </c>
      <c r="W1850" s="64" t="str">
        <f>Ringkasan!W1921</f>
        <v/>
      </c>
      <c r="X1850" s="64" t="str">
        <f>Ringkasan!X1921</f>
        <v/>
      </c>
      <c r="Y1850" s="64" t="str">
        <f>Ringkasan!Y1921</f>
        <v/>
      </c>
      <c r="Z1850" s="64" t="str">
        <f>Ringkasan!Z1921</f>
        <v/>
      </c>
      <c r="AA1850" s="64" t="str">
        <f>Ringkasan!AA1921</f>
        <v/>
      </c>
      <c r="AB1850" s="64" t="str">
        <f>Ringkasan!AB1921</f>
        <v/>
      </c>
    </row>
    <row r="1851">
      <c r="A1851" s="64" t="str">
        <f>Ringkasan!A1922</f>
        <v/>
      </c>
      <c r="B1851" s="64" t="str">
        <f>Ringkasan!B1922</f>
        <v/>
      </c>
      <c r="C1851" s="64" t="str">
        <f>Ringkasan!C1922</f>
        <v/>
      </c>
      <c r="D1851" s="64" t="str">
        <f>Ringkasan!D1922</f>
        <v/>
      </c>
      <c r="E1851" s="64" t="str">
        <f>Ringkasan!E1922</f>
        <v/>
      </c>
      <c r="F1851" s="64" t="str">
        <f>Ringkasan!F1922</f>
        <v/>
      </c>
      <c r="G1851" s="64" t="str">
        <f>Ringkasan!G1922</f>
        <v/>
      </c>
      <c r="H1851" s="64" t="str">
        <f>Ringkasan!H1922</f>
        <v/>
      </c>
      <c r="I1851" s="64" t="str">
        <f>Ringkasan!I1922</f>
        <v/>
      </c>
      <c r="J1851" s="64" t="str">
        <f>Ringkasan!J1922</f>
        <v/>
      </c>
      <c r="K1851" s="64" t="str">
        <f>Ringkasan!K1922</f>
        <v/>
      </c>
      <c r="L1851" s="64" t="str">
        <f>Ringkasan!L1922</f>
        <v/>
      </c>
      <c r="M1851" s="64" t="str">
        <f>Ringkasan!M1922</f>
        <v/>
      </c>
      <c r="N1851" s="64" t="str">
        <f>Ringkasan!N1922</f>
        <v/>
      </c>
      <c r="O1851" s="64" t="str">
        <f>Ringkasan!O1922</f>
        <v/>
      </c>
      <c r="P1851" s="64" t="str">
        <f>Ringkasan!P1922</f>
        <v/>
      </c>
      <c r="Q1851" s="64" t="str">
        <f>Ringkasan!Q1922</f>
        <v/>
      </c>
      <c r="R1851" s="64" t="str">
        <f>Ringkasan!R1922</f>
        <v/>
      </c>
      <c r="S1851" s="64" t="str">
        <f>Ringkasan!S1922</f>
        <v/>
      </c>
      <c r="T1851" s="64" t="str">
        <f>Ringkasan!T1922</f>
        <v/>
      </c>
      <c r="U1851" s="64" t="str">
        <f>Ringkasan!U1922</f>
        <v/>
      </c>
      <c r="V1851" s="64" t="str">
        <f>Ringkasan!V1922</f>
        <v/>
      </c>
      <c r="W1851" s="64" t="str">
        <f>Ringkasan!W1922</f>
        <v/>
      </c>
      <c r="X1851" s="64" t="str">
        <f>Ringkasan!X1922</f>
        <v/>
      </c>
      <c r="Y1851" s="64" t="str">
        <f>Ringkasan!Y1922</f>
        <v/>
      </c>
      <c r="Z1851" s="64" t="str">
        <f>Ringkasan!Z1922</f>
        <v/>
      </c>
      <c r="AA1851" s="64" t="str">
        <f>Ringkasan!AA1922</f>
        <v/>
      </c>
      <c r="AB1851" s="64" t="str">
        <f>Ringkasan!AB1922</f>
        <v/>
      </c>
    </row>
    <row r="1852">
      <c r="A1852" s="64" t="str">
        <f>Ringkasan!A1923</f>
        <v/>
      </c>
      <c r="B1852" s="64" t="str">
        <f>Ringkasan!B1923</f>
        <v/>
      </c>
      <c r="C1852" s="64" t="str">
        <f>Ringkasan!C1923</f>
        <v/>
      </c>
      <c r="D1852" s="64" t="str">
        <f>Ringkasan!D1923</f>
        <v/>
      </c>
      <c r="E1852" s="64" t="str">
        <f>Ringkasan!E1923</f>
        <v/>
      </c>
      <c r="F1852" s="64" t="str">
        <f>Ringkasan!F1923</f>
        <v/>
      </c>
      <c r="G1852" s="64" t="str">
        <f>Ringkasan!G1923</f>
        <v/>
      </c>
      <c r="H1852" s="64" t="str">
        <f>Ringkasan!H1923</f>
        <v/>
      </c>
      <c r="I1852" s="64" t="str">
        <f>Ringkasan!I1923</f>
        <v/>
      </c>
      <c r="J1852" s="64" t="str">
        <f>Ringkasan!J1923</f>
        <v/>
      </c>
      <c r="K1852" s="64" t="str">
        <f>Ringkasan!K1923</f>
        <v/>
      </c>
      <c r="L1852" s="64" t="str">
        <f>Ringkasan!L1923</f>
        <v/>
      </c>
      <c r="M1852" s="64" t="str">
        <f>Ringkasan!M1923</f>
        <v/>
      </c>
      <c r="N1852" s="64" t="str">
        <f>Ringkasan!N1923</f>
        <v/>
      </c>
      <c r="O1852" s="64" t="str">
        <f>Ringkasan!O1923</f>
        <v/>
      </c>
      <c r="P1852" s="64" t="str">
        <f>Ringkasan!P1923</f>
        <v/>
      </c>
      <c r="Q1852" s="64" t="str">
        <f>Ringkasan!Q1923</f>
        <v/>
      </c>
      <c r="R1852" s="64" t="str">
        <f>Ringkasan!R1923</f>
        <v/>
      </c>
      <c r="S1852" s="64" t="str">
        <f>Ringkasan!S1923</f>
        <v/>
      </c>
      <c r="T1852" s="64" t="str">
        <f>Ringkasan!T1923</f>
        <v/>
      </c>
      <c r="U1852" s="64" t="str">
        <f>Ringkasan!U1923</f>
        <v/>
      </c>
      <c r="V1852" s="64" t="str">
        <f>Ringkasan!V1923</f>
        <v/>
      </c>
      <c r="W1852" s="64" t="str">
        <f>Ringkasan!W1923</f>
        <v/>
      </c>
      <c r="X1852" s="64" t="str">
        <f>Ringkasan!X1923</f>
        <v/>
      </c>
      <c r="Y1852" s="64" t="str">
        <f>Ringkasan!Y1923</f>
        <v/>
      </c>
      <c r="Z1852" s="64" t="str">
        <f>Ringkasan!Z1923</f>
        <v/>
      </c>
      <c r="AA1852" s="64" t="str">
        <f>Ringkasan!AA1923</f>
        <v/>
      </c>
      <c r="AB1852" s="64" t="str">
        <f>Ringkasan!AB1923</f>
        <v/>
      </c>
    </row>
    <row r="1853">
      <c r="A1853" s="64" t="str">
        <f>Ringkasan!A1924</f>
        <v/>
      </c>
      <c r="B1853" s="64" t="str">
        <f>Ringkasan!B1924</f>
        <v/>
      </c>
      <c r="C1853" s="64" t="str">
        <f>Ringkasan!C1924</f>
        <v/>
      </c>
      <c r="D1853" s="64" t="str">
        <f>Ringkasan!D1924</f>
        <v/>
      </c>
      <c r="E1853" s="64" t="str">
        <f>Ringkasan!E1924</f>
        <v/>
      </c>
      <c r="F1853" s="64" t="str">
        <f>Ringkasan!F1924</f>
        <v/>
      </c>
      <c r="G1853" s="64" t="str">
        <f>Ringkasan!G1924</f>
        <v/>
      </c>
      <c r="H1853" s="64" t="str">
        <f>Ringkasan!H1924</f>
        <v/>
      </c>
      <c r="I1853" s="64" t="str">
        <f>Ringkasan!I1924</f>
        <v/>
      </c>
      <c r="J1853" s="64" t="str">
        <f>Ringkasan!J1924</f>
        <v/>
      </c>
      <c r="K1853" s="64" t="str">
        <f>Ringkasan!K1924</f>
        <v/>
      </c>
      <c r="L1853" s="64" t="str">
        <f>Ringkasan!L1924</f>
        <v/>
      </c>
      <c r="M1853" s="64" t="str">
        <f>Ringkasan!M1924</f>
        <v/>
      </c>
      <c r="N1853" s="64" t="str">
        <f>Ringkasan!N1924</f>
        <v/>
      </c>
      <c r="O1853" s="64" t="str">
        <f>Ringkasan!O1924</f>
        <v/>
      </c>
      <c r="P1853" s="64" t="str">
        <f>Ringkasan!P1924</f>
        <v/>
      </c>
      <c r="Q1853" s="64" t="str">
        <f>Ringkasan!Q1924</f>
        <v/>
      </c>
      <c r="R1853" s="64" t="str">
        <f>Ringkasan!R1924</f>
        <v/>
      </c>
      <c r="S1853" s="64" t="str">
        <f>Ringkasan!S1924</f>
        <v/>
      </c>
      <c r="T1853" s="64" t="str">
        <f>Ringkasan!T1924</f>
        <v/>
      </c>
      <c r="U1853" s="64" t="str">
        <f>Ringkasan!U1924</f>
        <v/>
      </c>
      <c r="V1853" s="64" t="str">
        <f>Ringkasan!V1924</f>
        <v/>
      </c>
      <c r="W1853" s="64" t="str">
        <f>Ringkasan!W1924</f>
        <v/>
      </c>
      <c r="X1853" s="64" t="str">
        <f>Ringkasan!X1924</f>
        <v/>
      </c>
      <c r="Y1853" s="64" t="str">
        <f>Ringkasan!Y1924</f>
        <v/>
      </c>
      <c r="Z1853" s="64" t="str">
        <f>Ringkasan!Z1924</f>
        <v/>
      </c>
      <c r="AA1853" s="64" t="str">
        <f>Ringkasan!AA1924</f>
        <v/>
      </c>
      <c r="AB1853" s="64" t="str">
        <f>Ringkasan!AB1924</f>
        <v/>
      </c>
    </row>
    <row r="1854">
      <c r="A1854" s="64" t="str">
        <f>Ringkasan!A1925</f>
        <v/>
      </c>
      <c r="B1854" s="64" t="str">
        <f>Ringkasan!B1925</f>
        <v/>
      </c>
      <c r="C1854" s="64" t="str">
        <f>Ringkasan!C1925</f>
        <v/>
      </c>
      <c r="D1854" s="64" t="str">
        <f>Ringkasan!D1925</f>
        <v/>
      </c>
      <c r="E1854" s="64" t="str">
        <f>Ringkasan!E1925</f>
        <v/>
      </c>
      <c r="F1854" s="64" t="str">
        <f>Ringkasan!F1925</f>
        <v/>
      </c>
      <c r="G1854" s="64" t="str">
        <f>Ringkasan!G1925</f>
        <v/>
      </c>
      <c r="H1854" s="64" t="str">
        <f>Ringkasan!H1925</f>
        <v/>
      </c>
      <c r="I1854" s="64" t="str">
        <f>Ringkasan!I1925</f>
        <v/>
      </c>
      <c r="J1854" s="64" t="str">
        <f>Ringkasan!J1925</f>
        <v/>
      </c>
      <c r="K1854" s="64" t="str">
        <f>Ringkasan!K1925</f>
        <v/>
      </c>
      <c r="L1854" s="64" t="str">
        <f>Ringkasan!L1925</f>
        <v/>
      </c>
      <c r="M1854" s="64" t="str">
        <f>Ringkasan!M1925</f>
        <v/>
      </c>
      <c r="N1854" s="64" t="str">
        <f>Ringkasan!N1925</f>
        <v/>
      </c>
      <c r="O1854" s="64" t="str">
        <f>Ringkasan!O1925</f>
        <v/>
      </c>
      <c r="P1854" s="64" t="str">
        <f>Ringkasan!P1925</f>
        <v/>
      </c>
      <c r="Q1854" s="64" t="str">
        <f>Ringkasan!Q1925</f>
        <v/>
      </c>
      <c r="R1854" s="64" t="str">
        <f>Ringkasan!R1925</f>
        <v/>
      </c>
      <c r="S1854" s="64" t="str">
        <f>Ringkasan!S1925</f>
        <v/>
      </c>
      <c r="T1854" s="64" t="str">
        <f>Ringkasan!T1925</f>
        <v/>
      </c>
      <c r="U1854" s="64" t="str">
        <f>Ringkasan!U1925</f>
        <v/>
      </c>
      <c r="V1854" s="64" t="str">
        <f>Ringkasan!V1925</f>
        <v/>
      </c>
      <c r="W1854" s="64" t="str">
        <f>Ringkasan!W1925</f>
        <v/>
      </c>
      <c r="X1854" s="64" t="str">
        <f>Ringkasan!X1925</f>
        <v/>
      </c>
      <c r="Y1854" s="64" t="str">
        <f>Ringkasan!Y1925</f>
        <v/>
      </c>
      <c r="Z1854" s="64" t="str">
        <f>Ringkasan!Z1925</f>
        <v/>
      </c>
      <c r="AA1854" s="64" t="str">
        <f>Ringkasan!AA1925</f>
        <v/>
      </c>
      <c r="AB1854" s="64" t="str">
        <f>Ringkasan!AB1925</f>
        <v/>
      </c>
    </row>
    <row r="1855">
      <c r="A1855" s="64" t="str">
        <f>Ringkasan!A1926</f>
        <v/>
      </c>
      <c r="B1855" s="64" t="str">
        <f>Ringkasan!B1926</f>
        <v/>
      </c>
      <c r="C1855" s="64" t="str">
        <f>Ringkasan!C1926</f>
        <v/>
      </c>
      <c r="D1855" s="64" t="str">
        <f>Ringkasan!D1926</f>
        <v/>
      </c>
      <c r="E1855" s="64" t="str">
        <f>Ringkasan!E1926</f>
        <v/>
      </c>
      <c r="F1855" s="64" t="str">
        <f>Ringkasan!F1926</f>
        <v/>
      </c>
      <c r="G1855" s="64" t="str">
        <f>Ringkasan!G1926</f>
        <v/>
      </c>
      <c r="H1855" s="64" t="str">
        <f>Ringkasan!H1926</f>
        <v/>
      </c>
      <c r="I1855" s="64" t="str">
        <f>Ringkasan!I1926</f>
        <v/>
      </c>
      <c r="J1855" s="64" t="str">
        <f>Ringkasan!J1926</f>
        <v/>
      </c>
      <c r="K1855" s="64" t="str">
        <f>Ringkasan!K1926</f>
        <v/>
      </c>
      <c r="L1855" s="64" t="str">
        <f>Ringkasan!L1926</f>
        <v/>
      </c>
      <c r="M1855" s="64" t="str">
        <f>Ringkasan!M1926</f>
        <v/>
      </c>
      <c r="N1855" s="64" t="str">
        <f>Ringkasan!N1926</f>
        <v/>
      </c>
      <c r="O1855" s="64" t="str">
        <f>Ringkasan!O1926</f>
        <v/>
      </c>
      <c r="P1855" s="64" t="str">
        <f>Ringkasan!P1926</f>
        <v/>
      </c>
      <c r="Q1855" s="64" t="str">
        <f>Ringkasan!Q1926</f>
        <v/>
      </c>
      <c r="R1855" s="64" t="str">
        <f>Ringkasan!R1926</f>
        <v/>
      </c>
      <c r="S1855" s="64" t="str">
        <f>Ringkasan!S1926</f>
        <v/>
      </c>
      <c r="T1855" s="64" t="str">
        <f>Ringkasan!T1926</f>
        <v/>
      </c>
      <c r="U1855" s="64" t="str">
        <f>Ringkasan!U1926</f>
        <v/>
      </c>
      <c r="V1855" s="64" t="str">
        <f>Ringkasan!V1926</f>
        <v/>
      </c>
      <c r="W1855" s="64" t="str">
        <f>Ringkasan!W1926</f>
        <v/>
      </c>
      <c r="X1855" s="64" t="str">
        <f>Ringkasan!X1926</f>
        <v/>
      </c>
      <c r="Y1855" s="64" t="str">
        <f>Ringkasan!Y1926</f>
        <v/>
      </c>
      <c r="Z1855" s="64" t="str">
        <f>Ringkasan!Z1926</f>
        <v/>
      </c>
      <c r="AA1855" s="64" t="str">
        <f>Ringkasan!AA1926</f>
        <v/>
      </c>
      <c r="AB1855" s="64" t="str">
        <f>Ringkasan!AB1926</f>
        <v/>
      </c>
    </row>
    <row r="1856">
      <c r="A1856" s="64" t="str">
        <f>Ringkasan!A1927</f>
        <v/>
      </c>
      <c r="B1856" s="64" t="str">
        <f>Ringkasan!B1927</f>
        <v/>
      </c>
      <c r="C1856" s="64" t="str">
        <f>Ringkasan!C1927</f>
        <v/>
      </c>
      <c r="D1856" s="64" t="str">
        <f>Ringkasan!D1927</f>
        <v/>
      </c>
      <c r="E1856" s="64" t="str">
        <f>Ringkasan!E1927</f>
        <v/>
      </c>
      <c r="F1856" s="64" t="str">
        <f>Ringkasan!F1927</f>
        <v/>
      </c>
      <c r="G1856" s="64" t="str">
        <f>Ringkasan!G1927</f>
        <v/>
      </c>
      <c r="H1856" s="64" t="str">
        <f>Ringkasan!H1927</f>
        <v/>
      </c>
      <c r="I1856" s="64" t="str">
        <f>Ringkasan!I1927</f>
        <v/>
      </c>
      <c r="J1856" s="64" t="str">
        <f>Ringkasan!J1927</f>
        <v/>
      </c>
      <c r="K1856" s="64" t="str">
        <f>Ringkasan!K1927</f>
        <v/>
      </c>
      <c r="L1856" s="64" t="str">
        <f>Ringkasan!L1927</f>
        <v/>
      </c>
      <c r="M1856" s="64" t="str">
        <f>Ringkasan!M1927</f>
        <v/>
      </c>
      <c r="N1856" s="64" t="str">
        <f>Ringkasan!N1927</f>
        <v/>
      </c>
      <c r="O1856" s="64" t="str">
        <f>Ringkasan!O1927</f>
        <v/>
      </c>
      <c r="P1856" s="64" t="str">
        <f>Ringkasan!P1927</f>
        <v/>
      </c>
      <c r="Q1856" s="64" t="str">
        <f>Ringkasan!Q1927</f>
        <v/>
      </c>
      <c r="R1856" s="64" t="str">
        <f>Ringkasan!R1927</f>
        <v/>
      </c>
      <c r="S1856" s="64" t="str">
        <f>Ringkasan!S1927</f>
        <v/>
      </c>
      <c r="T1856" s="64" t="str">
        <f>Ringkasan!T1927</f>
        <v/>
      </c>
      <c r="U1856" s="64" t="str">
        <f>Ringkasan!U1927</f>
        <v/>
      </c>
      <c r="V1856" s="64" t="str">
        <f>Ringkasan!V1927</f>
        <v/>
      </c>
      <c r="W1856" s="64" t="str">
        <f>Ringkasan!W1927</f>
        <v/>
      </c>
      <c r="X1856" s="64" t="str">
        <f>Ringkasan!X1927</f>
        <v/>
      </c>
      <c r="Y1856" s="64" t="str">
        <f>Ringkasan!Y1927</f>
        <v/>
      </c>
      <c r="Z1856" s="64" t="str">
        <f>Ringkasan!Z1927</f>
        <v/>
      </c>
      <c r="AA1856" s="64" t="str">
        <f>Ringkasan!AA1927</f>
        <v/>
      </c>
      <c r="AB1856" s="64" t="str">
        <f>Ringkasan!AB1927</f>
        <v/>
      </c>
    </row>
    <row r="1857">
      <c r="A1857" s="64" t="str">
        <f>Ringkasan!A1928</f>
        <v/>
      </c>
      <c r="B1857" s="64" t="str">
        <f>Ringkasan!B1928</f>
        <v/>
      </c>
      <c r="C1857" s="64" t="str">
        <f>Ringkasan!C1928</f>
        <v/>
      </c>
      <c r="D1857" s="64" t="str">
        <f>Ringkasan!D1928</f>
        <v/>
      </c>
      <c r="E1857" s="64" t="str">
        <f>Ringkasan!E1928</f>
        <v/>
      </c>
      <c r="F1857" s="64" t="str">
        <f>Ringkasan!F1928</f>
        <v/>
      </c>
      <c r="G1857" s="64" t="str">
        <f>Ringkasan!G1928</f>
        <v/>
      </c>
      <c r="H1857" s="64" t="str">
        <f>Ringkasan!H1928</f>
        <v/>
      </c>
      <c r="I1857" s="64" t="str">
        <f>Ringkasan!I1928</f>
        <v/>
      </c>
      <c r="J1857" s="64" t="str">
        <f>Ringkasan!J1928</f>
        <v/>
      </c>
      <c r="K1857" s="64" t="str">
        <f>Ringkasan!K1928</f>
        <v/>
      </c>
      <c r="L1857" s="64" t="str">
        <f>Ringkasan!L1928</f>
        <v/>
      </c>
      <c r="M1857" s="64" t="str">
        <f>Ringkasan!M1928</f>
        <v/>
      </c>
      <c r="N1857" s="64" t="str">
        <f>Ringkasan!N1928</f>
        <v/>
      </c>
      <c r="O1857" s="64" t="str">
        <f>Ringkasan!O1928</f>
        <v/>
      </c>
      <c r="P1857" s="64" t="str">
        <f>Ringkasan!P1928</f>
        <v/>
      </c>
      <c r="Q1857" s="64" t="str">
        <f>Ringkasan!Q1928</f>
        <v/>
      </c>
      <c r="R1857" s="64" t="str">
        <f>Ringkasan!R1928</f>
        <v/>
      </c>
      <c r="S1857" s="64" t="str">
        <f>Ringkasan!S1928</f>
        <v/>
      </c>
      <c r="T1857" s="64" t="str">
        <f>Ringkasan!T1928</f>
        <v/>
      </c>
      <c r="U1857" s="64" t="str">
        <f>Ringkasan!U1928</f>
        <v/>
      </c>
      <c r="V1857" s="64" t="str">
        <f>Ringkasan!V1928</f>
        <v/>
      </c>
      <c r="W1857" s="64" t="str">
        <f>Ringkasan!W1928</f>
        <v/>
      </c>
      <c r="X1857" s="64" t="str">
        <f>Ringkasan!X1928</f>
        <v/>
      </c>
      <c r="Y1857" s="64" t="str">
        <f>Ringkasan!Y1928</f>
        <v/>
      </c>
      <c r="Z1857" s="64" t="str">
        <f>Ringkasan!Z1928</f>
        <v/>
      </c>
      <c r="AA1857" s="64" t="str">
        <f>Ringkasan!AA1928</f>
        <v/>
      </c>
      <c r="AB1857" s="64" t="str">
        <f>Ringkasan!AB1928</f>
        <v/>
      </c>
    </row>
    <row r="1858">
      <c r="A1858" s="64" t="str">
        <f>Ringkasan!A1929</f>
        <v/>
      </c>
      <c r="B1858" s="64" t="str">
        <f>Ringkasan!B1929</f>
        <v/>
      </c>
      <c r="C1858" s="64" t="str">
        <f>Ringkasan!C1929</f>
        <v/>
      </c>
      <c r="D1858" s="64" t="str">
        <f>Ringkasan!D1929</f>
        <v/>
      </c>
      <c r="E1858" s="64" t="str">
        <f>Ringkasan!E1929</f>
        <v/>
      </c>
      <c r="F1858" s="64" t="str">
        <f>Ringkasan!F1929</f>
        <v/>
      </c>
      <c r="G1858" s="64" t="str">
        <f>Ringkasan!G1929</f>
        <v/>
      </c>
      <c r="H1858" s="64" t="str">
        <f>Ringkasan!H1929</f>
        <v/>
      </c>
      <c r="I1858" s="64" t="str">
        <f>Ringkasan!I1929</f>
        <v/>
      </c>
      <c r="J1858" s="64" t="str">
        <f>Ringkasan!J1929</f>
        <v/>
      </c>
      <c r="K1858" s="64" t="str">
        <f>Ringkasan!K1929</f>
        <v/>
      </c>
      <c r="L1858" s="64" t="str">
        <f>Ringkasan!L1929</f>
        <v/>
      </c>
      <c r="M1858" s="64" t="str">
        <f>Ringkasan!M1929</f>
        <v/>
      </c>
      <c r="N1858" s="64" t="str">
        <f>Ringkasan!N1929</f>
        <v/>
      </c>
      <c r="O1858" s="64" t="str">
        <f>Ringkasan!O1929</f>
        <v/>
      </c>
      <c r="P1858" s="64" t="str">
        <f>Ringkasan!P1929</f>
        <v/>
      </c>
      <c r="Q1858" s="64" t="str">
        <f>Ringkasan!Q1929</f>
        <v/>
      </c>
      <c r="R1858" s="64" t="str">
        <f>Ringkasan!R1929</f>
        <v/>
      </c>
      <c r="S1858" s="64" t="str">
        <f>Ringkasan!S1929</f>
        <v/>
      </c>
      <c r="T1858" s="64" t="str">
        <f>Ringkasan!T1929</f>
        <v/>
      </c>
      <c r="U1858" s="64" t="str">
        <f>Ringkasan!U1929</f>
        <v/>
      </c>
      <c r="V1858" s="64" t="str">
        <f>Ringkasan!V1929</f>
        <v/>
      </c>
      <c r="W1858" s="64" t="str">
        <f>Ringkasan!W1929</f>
        <v/>
      </c>
      <c r="X1858" s="64" t="str">
        <f>Ringkasan!X1929</f>
        <v/>
      </c>
      <c r="Y1858" s="64" t="str">
        <f>Ringkasan!Y1929</f>
        <v/>
      </c>
      <c r="Z1858" s="64" t="str">
        <f>Ringkasan!Z1929</f>
        <v/>
      </c>
      <c r="AA1858" s="64" t="str">
        <f>Ringkasan!AA1929</f>
        <v/>
      </c>
      <c r="AB1858" s="64" t="str">
        <f>Ringkasan!AB1929</f>
        <v/>
      </c>
    </row>
    <row r="1859">
      <c r="A1859" s="64" t="str">
        <f>Ringkasan!A1930</f>
        <v/>
      </c>
      <c r="B1859" s="64" t="str">
        <f>Ringkasan!B1930</f>
        <v/>
      </c>
      <c r="C1859" s="64" t="str">
        <f>Ringkasan!C1930</f>
        <v/>
      </c>
      <c r="D1859" s="64" t="str">
        <f>Ringkasan!D1930</f>
        <v/>
      </c>
      <c r="E1859" s="64" t="str">
        <f>Ringkasan!E1930</f>
        <v/>
      </c>
      <c r="F1859" s="64" t="str">
        <f>Ringkasan!F1930</f>
        <v/>
      </c>
      <c r="G1859" s="64" t="str">
        <f>Ringkasan!G1930</f>
        <v/>
      </c>
      <c r="H1859" s="64" t="str">
        <f>Ringkasan!H1930</f>
        <v/>
      </c>
      <c r="I1859" s="64" t="str">
        <f>Ringkasan!I1930</f>
        <v/>
      </c>
      <c r="J1859" s="64" t="str">
        <f>Ringkasan!J1930</f>
        <v/>
      </c>
      <c r="K1859" s="64" t="str">
        <f>Ringkasan!K1930</f>
        <v/>
      </c>
      <c r="L1859" s="64" t="str">
        <f>Ringkasan!L1930</f>
        <v/>
      </c>
      <c r="M1859" s="64" t="str">
        <f>Ringkasan!M1930</f>
        <v/>
      </c>
      <c r="N1859" s="64" t="str">
        <f>Ringkasan!N1930</f>
        <v/>
      </c>
      <c r="O1859" s="64" t="str">
        <f>Ringkasan!O1930</f>
        <v/>
      </c>
      <c r="P1859" s="64" t="str">
        <f>Ringkasan!P1930</f>
        <v/>
      </c>
      <c r="Q1859" s="64" t="str">
        <f>Ringkasan!Q1930</f>
        <v/>
      </c>
      <c r="R1859" s="64" t="str">
        <f>Ringkasan!R1930</f>
        <v/>
      </c>
      <c r="S1859" s="64" t="str">
        <f>Ringkasan!S1930</f>
        <v/>
      </c>
      <c r="T1859" s="64" t="str">
        <f>Ringkasan!T1930</f>
        <v/>
      </c>
      <c r="U1859" s="64" t="str">
        <f>Ringkasan!U1930</f>
        <v/>
      </c>
      <c r="V1859" s="64" t="str">
        <f>Ringkasan!V1930</f>
        <v/>
      </c>
      <c r="W1859" s="64" t="str">
        <f>Ringkasan!W1930</f>
        <v/>
      </c>
      <c r="X1859" s="64" t="str">
        <f>Ringkasan!X1930</f>
        <v/>
      </c>
      <c r="Y1859" s="64" t="str">
        <f>Ringkasan!Y1930</f>
        <v/>
      </c>
      <c r="Z1859" s="64" t="str">
        <f>Ringkasan!Z1930</f>
        <v/>
      </c>
      <c r="AA1859" s="64" t="str">
        <f>Ringkasan!AA1930</f>
        <v/>
      </c>
      <c r="AB1859" s="64" t="str">
        <f>Ringkasan!AB1930</f>
        <v/>
      </c>
    </row>
    <row r="1860">
      <c r="A1860" s="64" t="str">
        <f>Ringkasan!A1931</f>
        <v/>
      </c>
      <c r="B1860" s="64" t="str">
        <f>Ringkasan!B1931</f>
        <v/>
      </c>
      <c r="C1860" s="64" t="str">
        <f>Ringkasan!C1931</f>
        <v/>
      </c>
      <c r="D1860" s="64" t="str">
        <f>Ringkasan!D1931</f>
        <v/>
      </c>
      <c r="E1860" s="64" t="str">
        <f>Ringkasan!E1931</f>
        <v/>
      </c>
      <c r="F1860" s="64" t="str">
        <f>Ringkasan!F1931</f>
        <v/>
      </c>
      <c r="G1860" s="64" t="str">
        <f>Ringkasan!G1931</f>
        <v/>
      </c>
      <c r="H1860" s="64" t="str">
        <f>Ringkasan!H1931</f>
        <v/>
      </c>
      <c r="I1860" s="64" t="str">
        <f>Ringkasan!I1931</f>
        <v/>
      </c>
      <c r="J1860" s="64" t="str">
        <f>Ringkasan!J1931</f>
        <v/>
      </c>
      <c r="K1860" s="64" t="str">
        <f>Ringkasan!K1931</f>
        <v/>
      </c>
      <c r="L1860" s="64" t="str">
        <f>Ringkasan!L1931</f>
        <v/>
      </c>
      <c r="M1860" s="64" t="str">
        <f>Ringkasan!M1931</f>
        <v/>
      </c>
      <c r="N1860" s="64" t="str">
        <f>Ringkasan!N1931</f>
        <v/>
      </c>
      <c r="O1860" s="64" t="str">
        <f>Ringkasan!O1931</f>
        <v/>
      </c>
      <c r="P1860" s="64" t="str">
        <f>Ringkasan!P1931</f>
        <v/>
      </c>
      <c r="Q1860" s="64" t="str">
        <f>Ringkasan!Q1931</f>
        <v/>
      </c>
      <c r="R1860" s="64" t="str">
        <f>Ringkasan!R1931</f>
        <v/>
      </c>
      <c r="S1860" s="64" t="str">
        <f>Ringkasan!S1931</f>
        <v/>
      </c>
      <c r="T1860" s="64" t="str">
        <f>Ringkasan!T1931</f>
        <v/>
      </c>
      <c r="U1860" s="64" t="str">
        <f>Ringkasan!U1931</f>
        <v/>
      </c>
      <c r="V1860" s="64" t="str">
        <f>Ringkasan!V1931</f>
        <v/>
      </c>
      <c r="W1860" s="64" t="str">
        <f>Ringkasan!W1931</f>
        <v/>
      </c>
      <c r="X1860" s="64" t="str">
        <f>Ringkasan!X1931</f>
        <v/>
      </c>
      <c r="Y1860" s="64" t="str">
        <f>Ringkasan!Y1931</f>
        <v/>
      </c>
      <c r="Z1860" s="64" t="str">
        <f>Ringkasan!Z1931</f>
        <v/>
      </c>
      <c r="AA1860" s="64" t="str">
        <f>Ringkasan!AA1931</f>
        <v/>
      </c>
      <c r="AB1860" s="64" t="str">
        <f>Ringkasan!AB1931</f>
        <v/>
      </c>
    </row>
    <row r="1861">
      <c r="A1861" s="64" t="str">
        <f>Ringkasan!A1932</f>
        <v/>
      </c>
      <c r="B1861" s="64" t="str">
        <f>Ringkasan!B1932</f>
        <v/>
      </c>
      <c r="C1861" s="64" t="str">
        <f>Ringkasan!C1932</f>
        <v/>
      </c>
      <c r="D1861" s="64" t="str">
        <f>Ringkasan!D1932</f>
        <v/>
      </c>
      <c r="E1861" s="64" t="str">
        <f>Ringkasan!E1932</f>
        <v/>
      </c>
      <c r="F1861" s="64" t="str">
        <f>Ringkasan!F1932</f>
        <v/>
      </c>
      <c r="G1861" s="64" t="str">
        <f>Ringkasan!G1932</f>
        <v/>
      </c>
      <c r="H1861" s="64" t="str">
        <f>Ringkasan!H1932</f>
        <v/>
      </c>
      <c r="I1861" s="64" t="str">
        <f>Ringkasan!I1932</f>
        <v/>
      </c>
      <c r="J1861" s="64" t="str">
        <f>Ringkasan!J1932</f>
        <v/>
      </c>
      <c r="K1861" s="64" t="str">
        <f>Ringkasan!K1932</f>
        <v/>
      </c>
      <c r="L1861" s="64" t="str">
        <f>Ringkasan!L1932</f>
        <v/>
      </c>
      <c r="M1861" s="64" t="str">
        <f>Ringkasan!M1932</f>
        <v/>
      </c>
      <c r="N1861" s="64" t="str">
        <f>Ringkasan!N1932</f>
        <v/>
      </c>
      <c r="O1861" s="64" t="str">
        <f>Ringkasan!O1932</f>
        <v/>
      </c>
      <c r="P1861" s="64" t="str">
        <f>Ringkasan!P1932</f>
        <v/>
      </c>
      <c r="Q1861" s="64" t="str">
        <f>Ringkasan!Q1932</f>
        <v/>
      </c>
      <c r="R1861" s="64" t="str">
        <f>Ringkasan!R1932</f>
        <v/>
      </c>
      <c r="S1861" s="64" t="str">
        <f>Ringkasan!S1932</f>
        <v/>
      </c>
      <c r="T1861" s="64" t="str">
        <f>Ringkasan!T1932</f>
        <v/>
      </c>
      <c r="U1861" s="64" t="str">
        <f>Ringkasan!U1932</f>
        <v/>
      </c>
      <c r="V1861" s="64" t="str">
        <f>Ringkasan!V1932</f>
        <v/>
      </c>
      <c r="W1861" s="64" t="str">
        <f>Ringkasan!W1932</f>
        <v/>
      </c>
      <c r="X1861" s="64" t="str">
        <f>Ringkasan!X1932</f>
        <v/>
      </c>
      <c r="Y1861" s="64" t="str">
        <f>Ringkasan!Y1932</f>
        <v/>
      </c>
      <c r="Z1861" s="64" t="str">
        <f>Ringkasan!Z1932</f>
        <v/>
      </c>
      <c r="AA1861" s="64" t="str">
        <f>Ringkasan!AA1932</f>
        <v/>
      </c>
      <c r="AB1861" s="64" t="str">
        <f>Ringkasan!AB1932</f>
        <v/>
      </c>
    </row>
    <row r="1862">
      <c r="A1862" s="64" t="str">
        <f>Ringkasan!A1933</f>
        <v/>
      </c>
      <c r="B1862" s="64" t="str">
        <f>Ringkasan!B1933</f>
        <v/>
      </c>
      <c r="C1862" s="64" t="str">
        <f>Ringkasan!C1933</f>
        <v/>
      </c>
      <c r="D1862" s="64" t="str">
        <f>Ringkasan!D1933</f>
        <v/>
      </c>
      <c r="E1862" s="64" t="str">
        <f>Ringkasan!E1933</f>
        <v/>
      </c>
      <c r="F1862" s="64" t="str">
        <f>Ringkasan!F1933</f>
        <v/>
      </c>
      <c r="G1862" s="64" t="str">
        <f>Ringkasan!G1933</f>
        <v/>
      </c>
      <c r="H1862" s="64" t="str">
        <f>Ringkasan!H1933</f>
        <v/>
      </c>
      <c r="I1862" s="64" t="str">
        <f>Ringkasan!I1933</f>
        <v/>
      </c>
      <c r="J1862" s="64" t="str">
        <f>Ringkasan!J1933</f>
        <v/>
      </c>
      <c r="K1862" s="64" t="str">
        <f>Ringkasan!K1933</f>
        <v/>
      </c>
      <c r="L1862" s="64" t="str">
        <f>Ringkasan!L1933</f>
        <v/>
      </c>
      <c r="M1862" s="64" t="str">
        <f>Ringkasan!M1933</f>
        <v/>
      </c>
      <c r="N1862" s="64" t="str">
        <f>Ringkasan!N1933</f>
        <v/>
      </c>
      <c r="O1862" s="64" t="str">
        <f>Ringkasan!O1933</f>
        <v/>
      </c>
      <c r="P1862" s="64" t="str">
        <f>Ringkasan!P1933</f>
        <v/>
      </c>
      <c r="Q1862" s="64" t="str">
        <f>Ringkasan!Q1933</f>
        <v/>
      </c>
      <c r="R1862" s="64" t="str">
        <f>Ringkasan!R1933</f>
        <v/>
      </c>
      <c r="S1862" s="64" t="str">
        <f>Ringkasan!S1933</f>
        <v/>
      </c>
      <c r="T1862" s="64" t="str">
        <f>Ringkasan!T1933</f>
        <v/>
      </c>
      <c r="U1862" s="64" t="str">
        <f>Ringkasan!U1933</f>
        <v/>
      </c>
      <c r="V1862" s="64" t="str">
        <f>Ringkasan!V1933</f>
        <v/>
      </c>
      <c r="W1862" s="64" t="str">
        <f>Ringkasan!W1933</f>
        <v/>
      </c>
      <c r="X1862" s="64" t="str">
        <f>Ringkasan!X1933</f>
        <v/>
      </c>
      <c r="Y1862" s="64" t="str">
        <f>Ringkasan!Y1933</f>
        <v/>
      </c>
      <c r="Z1862" s="64" t="str">
        <f>Ringkasan!Z1933</f>
        <v/>
      </c>
      <c r="AA1862" s="64" t="str">
        <f>Ringkasan!AA1933</f>
        <v/>
      </c>
      <c r="AB1862" s="64" t="str">
        <f>Ringkasan!AB1933</f>
        <v/>
      </c>
    </row>
    <row r="1863">
      <c r="A1863" s="64" t="str">
        <f>Ringkasan!A1934</f>
        <v/>
      </c>
      <c r="B1863" s="64" t="str">
        <f>Ringkasan!B1934</f>
        <v/>
      </c>
      <c r="C1863" s="64" t="str">
        <f>Ringkasan!C1934</f>
        <v/>
      </c>
      <c r="D1863" s="64" t="str">
        <f>Ringkasan!D1934</f>
        <v/>
      </c>
      <c r="E1863" s="64" t="str">
        <f>Ringkasan!E1934</f>
        <v/>
      </c>
      <c r="F1863" s="64" t="str">
        <f>Ringkasan!F1934</f>
        <v/>
      </c>
      <c r="G1863" s="64" t="str">
        <f>Ringkasan!G1934</f>
        <v/>
      </c>
      <c r="H1863" s="64" t="str">
        <f>Ringkasan!H1934</f>
        <v/>
      </c>
      <c r="I1863" s="64" t="str">
        <f>Ringkasan!I1934</f>
        <v/>
      </c>
      <c r="J1863" s="64" t="str">
        <f>Ringkasan!J1934</f>
        <v/>
      </c>
      <c r="K1863" s="64" t="str">
        <f>Ringkasan!K1934</f>
        <v/>
      </c>
      <c r="L1863" s="64" t="str">
        <f>Ringkasan!L1934</f>
        <v/>
      </c>
      <c r="M1863" s="64" t="str">
        <f>Ringkasan!M1934</f>
        <v/>
      </c>
      <c r="N1863" s="64" t="str">
        <f>Ringkasan!N1934</f>
        <v/>
      </c>
      <c r="O1863" s="64" t="str">
        <f>Ringkasan!O1934</f>
        <v/>
      </c>
      <c r="P1863" s="64" t="str">
        <f>Ringkasan!P1934</f>
        <v/>
      </c>
      <c r="Q1863" s="64" t="str">
        <f>Ringkasan!Q1934</f>
        <v/>
      </c>
      <c r="R1863" s="64" t="str">
        <f>Ringkasan!R1934</f>
        <v/>
      </c>
      <c r="S1863" s="64" t="str">
        <f>Ringkasan!S1934</f>
        <v/>
      </c>
      <c r="T1863" s="64" t="str">
        <f>Ringkasan!T1934</f>
        <v/>
      </c>
      <c r="U1863" s="64" t="str">
        <f>Ringkasan!U1934</f>
        <v/>
      </c>
      <c r="V1863" s="64" t="str">
        <f>Ringkasan!V1934</f>
        <v/>
      </c>
      <c r="W1863" s="64" t="str">
        <f>Ringkasan!W1934</f>
        <v/>
      </c>
      <c r="X1863" s="64" t="str">
        <f>Ringkasan!X1934</f>
        <v/>
      </c>
      <c r="Y1863" s="64" t="str">
        <f>Ringkasan!Y1934</f>
        <v/>
      </c>
      <c r="Z1863" s="64" t="str">
        <f>Ringkasan!Z1934</f>
        <v/>
      </c>
      <c r="AA1863" s="64" t="str">
        <f>Ringkasan!AA1934</f>
        <v/>
      </c>
      <c r="AB1863" s="64" t="str">
        <f>Ringkasan!AB1934</f>
        <v/>
      </c>
    </row>
    <row r="1864">
      <c r="A1864" s="64" t="str">
        <f>Ringkasan!A1935</f>
        <v/>
      </c>
      <c r="B1864" s="64" t="str">
        <f>Ringkasan!B1935</f>
        <v/>
      </c>
      <c r="C1864" s="64" t="str">
        <f>Ringkasan!C1935</f>
        <v/>
      </c>
      <c r="D1864" s="64" t="str">
        <f>Ringkasan!D1935</f>
        <v/>
      </c>
      <c r="E1864" s="64" t="str">
        <f>Ringkasan!E1935</f>
        <v/>
      </c>
      <c r="F1864" s="64" t="str">
        <f>Ringkasan!F1935</f>
        <v/>
      </c>
      <c r="G1864" s="64" t="str">
        <f>Ringkasan!G1935</f>
        <v/>
      </c>
      <c r="H1864" s="64" t="str">
        <f>Ringkasan!H1935</f>
        <v/>
      </c>
      <c r="I1864" s="64" t="str">
        <f>Ringkasan!I1935</f>
        <v/>
      </c>
      <c r="J1864" s="64" t="str">
        <f>Ringkasan!J1935</f>
        <v/>
      </c>
      <c r="K1864" s="64" t="str">
        <f>Ringkasan!K1935</f>
        <v/>
      </c>
      <c r="L1864" s="64" t="str">
        <f>Ringkasan!L1935</f>
        <v/>
      </c>
      <c r="M1864" s="64" t="str">
        <f>Ringkasan!M1935</f>
        <v/>
      </c>
      <c r="N1864" s="64" t="str">
        <f>Ringkasan!N1935</f>
        <v/>
      </c>
      <c r="O1864" s="64" t="str">
        <f>Ringkasan!O1935</f>
        <v/>
      </c>
      <c r="P1864" s="64" t="str">
        <f>Ringkasan!P1935</f>
        <v/>
      </c>
      <c r="Q1864" s="64" t="str">
        <f>Ringkasan!Q1935</f>
        <v/>
      </c>
      <c r="R1864" s="64" t="str">
        <f>Ringkasan!R1935</f>
        <v/>
      </c>
      <c r="S1864" s="64" t="str">
        <f>Ringkasan!S1935</f>
        <v/>
      </c>
      <c r="T1864" s="64" t="str">
        <f>Ringkasan!T1935</f>
        <v/>
      </c>
      <c r="U1864" s="64" t="str">
        <f>Ringkasan!U1935</f>
        <v/>
      </c>
      <c r="V1864" s="64" t="str">
        <f>Ringkasan!V1935</f>
        <v/>
      </c>
      <c r="W1864" s="64" t="str">
        <f>Ringkasan!W1935</f>
        <v/>
      </c>
      <c r="X1864" s="64" t="str">
        <f>Ringkasan!X1935</f>
        <v/>
      </c>
      <c r="Y1864" s="64" t="str">
        <f>Ringkasan!Y1935</f>
        <v/>
      </c>
      <c r="Z1864" s="64" t="str">
        <f>Ringkasan!Z1935</f>
        <v/>
      </c>
      <c r="AA1864" s="64" t="str">
        <f>Ringkasan!AA1935</f>
        <v/>
      </c>
      <c r="AB1864" s="64" t="str">
        <f>Ringkasan!AB1935</f>
        <v/>
      </c>
    </row>
    <row r="1865">
      <c r="A1865" s="64" t="str">
        <f>Ringkasan!A1936</f>
        <v/>
      </c>
      <c r="B1865" s="64" t="str">
        <f>Ringkasan!B1936</f>
        <v/>
      </c>
      <c r="C1865" s="64" t="str">
        <f>Ringkasan!C1936</f>
        <v/>
      </c>
      <c r="D1865" s="64" t="str">
        <f>Ringkasan!D1936</f>
        <v/>
      </c>
      <c r="E1865" s="64" t="str">
        <f>Ringkasan!E1936</f>
        <v/>
      </c>
      <c r="F1865" s="64" t="str">
        <f>Ringkasan!F1936</f>
        <v/>
      </c>
      <c r="G1865" s="64" t="str">
        <f>Ringkasan!G1936</f>
        <v/>
      </c>
      <c r="H1865" s="64" t="str">
        <f>Ringkasan!H1936</f>
        <v/>
      </c>
      <c r="I1865" s="64" t="str">
        <f>Ringkasan!I1936</f>
        <v/>
      </c>
      <c r="J1865" s="64" t="str">
        <f>Ringkasan!J1936</f>
        <v/>
      </c>
      <c r="K1865" s="64" t="str">
        <f>Ringkasan!K1936</f>
        <v/>
      </c>
      <c r="L1865" s="64" t="str">
        <f>Ringkasan!L1936</f>
        <v/>
      </c>
      <c r="M1865" s="64" t="str">
        <f>Ringkasan!M1936</f>
        <v/>
      </c>
      <c r="N1865" s="64" t="str">
        <f>Ringkasan!N1936</f>
        <v/>
      </c>
      <c r="O1865" s="64" t="str">
        <f>Ringkasan!O1936</f>
        <v/>
      </c>
      <c r="P1865" s="64" t="str">
        <f>Ringkasan!P1936</f>
        <v/>
      </c>
      <c r="Q1865" s="64" t="str">
        <f>Ringkasan!Q1936</f>
        <v/>
      </c>
      <c r="R1865" s="64" t="str">
        <f>Ringkasan!R1936</f>
        <v/>
      </c>
      <c r="S1865" s="64" t="str">
        <f>Ringkasan!S1936</f>
        <v/>
      </c>
      <c r="T1865" s="64" t="str">
        <f>Ringkasan!T1936</f>
        <v/>
      </c>
      <c r="U1865" s="64" t="str">
        <f>Ringkasan!U1936</f>
        <v/>
      </c>
      <c r="V1865" s="64" t="str">
        <f>Ringkasan!V1936</f>
        <v/>
      </c>
      <c r="W1865" s="64" t="str">
        <f>Ringkasan!W1936</f>
        <v/>
      </c>
      <c r="X1865" s="64" t="str">
        <f>Ringkasan!X1936</f>
        <v/>
      </c>
      <c r="Y1865" s="64" t="str">
        <f>Ringkasan!Y1936</f>
        <v/>
      </c>
      <c r="Z1865" s="64" t="str">
        <f>Ringkasan!Z1936</f>
        <v/>
      </c>
      <c r="AA1865" s="64" t="str">
        <f>Ringkasan!AA1936</f>
        <v/>
      </c>
      <c r="AB1865" s="64" t="str">
        <f>Ringkasan!AB1936</f>
        <v/>
      </c>
    </row>
    <row r="1866">
      <c r="A1866" s="64" t="str">
        <f>Ringkasan!A1937</f>
        <v/>
      </c>
      <c r="B1866" s="64" t="str">
        <f>Ringkasan!B1937</f>
        <v/>
      </c>
      <c r="C1866" s="64" t="str">
        <f>Ringkasan!C1937</f>
        <v/>
      </c>
      <c r="D1866" s="64" t="str">
        <f>Ringkasan!D1937</f>
        <v/>
      </c>
      <c r="E1866" s="64" t="str">
        <f>Ringkasan!E1937</f>
        <v/>
      </c>
      <c r="F1866" s="64" t="str">
        <f>Ringkasan!F1937</f>
        <v/>
      </c>
      <c r="G1866" s="64" t="str">
        <f>Ringkasan!G1937</f>
        <v/>
      </c>
      <c r="H1866" s="64" t="str">
        <f>Ringkasan!H1937</f>
        <v/>
      </c>
      <c r="I1866" s="64" t="str">
        <f>Ringkasan!I1937</f>
        <v/>
      </c>
      <c r="J1866" s="64" t="str">
        <f>Ringkasan!J1937</f>
        <v/>
      </c>
      <c r="K1866" s="64" t="str">
        <f>Ringkasan!K1937</f>
        <v/>
      </c>
      <c r="L1866" s="64" t="str">
        <f>Ringkasan!L1937</f>
        <v/>
      </c>
      <c r="M1866" s="64" t="str">
        <f>Ringkasan!M1937</f>
        <v/>
      </c>
      <c r="N1866" s="64" t="str">
        <f>Ringkasan!N1937</f>
        <v/>
      </c>
      <c r="O1866" s="64" t="str">
        <f>Ringkasan!O1937</f>
        <v/>
      </c>
      <c r="P1866" s="64" t="str">
        <f>Ringkasan!P1937</f>
        <v/>
      </c>
      <c r="Q1866" s="64" t="str">
        <f>Ringkasan!Q1937</f>
        <v/>
      </c>
      <c r="R1866" s="64" t="str">
        <f>Ringkasan!R1937</f>
        <v/>
      </c>
      <c r="S1866" s="64" t="str">
        <f>Ringkasan!S1937</f>
        <v/>
      </c>
      <c r="T1866" s="64" t="str">
        <f>Ringkasan!T1937</f>
        <v/>
      </c>
      <c r="U1866" s="64" t="str">
        <f>Ringkasan!U1937</f>
        <v/>
      </c>
      <c r="V1866" s="64" t="str">
        <f>Ringkasan!V1937</f>
        <v/>
      </c>
      <c r="W1866" s="64" t="str">
        <f>Ringkasan!W1937</f>
        <v/>
      </c>
      <c r="X1866" s="64" t="str">
        <f>Ringkasan!X1937</f>
        <v/>
      </c>
      <c r="Y1866" s="64" t="str">
        <f>Ringkasan!Y1937</f>
        <v/>
      </c>
      <c r="Z1866" s="64" t="str">
        <f>Ringkasan!Z1937</f>
        <v/>
      </c>
      <c r="AA1866" s="64" t="str">
        <f>Ringkasan!AA1937</f>
        <v/>
      </c>
      <c r="AB1866" s="64" t="str">
        <f>Ringkasan!AB1937</f>
        <v/>
      </c>
    </row>
    <row r="1867">
      <c r="A1867" s="64" t="str">
        <f>Ringkasan!A1938</f>
        <v/>
      </c>
      <c r="B1867" s="64" t="str">
        <f>Ringkasan!B1938</f>
        <v/>
      </c>
      <c r="C1867" s="64" t="str">
        <f>Ringkasan!C1938</f>
        <v/>
      </c>
      <c r="D1867" s="64" t="str">
        <f>Ringkasan!D1938</f>
        <v/>
      </c>
      <c r="E1867" s="64" t="str">
        <f>Ringkasan!E1938</f>
        <v/>
      </c>
      <c r="F1867" s="64" t="str">
        <f>Ringkasan!F1938</f>
        <v/>
      </c>
      <c r="G1867" s="64" t="str">
        <f>Ringkasan!G1938</f>
        <v/>
      </c>
      <c r="H1867" s="64" t="str">
        <f>Ringkasan!H1938</f>
        <v/>
      </c>
      <c r="I1867" s="64" t="str">
        <f>Ringkasan!I1938</f>
        <v/>
      </c>
      <c r="J1867" s="64" t="str">
        <f>Ringkasan!J1938</f>
        <v/>
      </c>
      <c r="K1867" s="64" t="str">
        <f>Ringkasan!K1938</f>
        <v/>
      </c>
      <c r="L1867" s="64" t="str">
        <f>Ringkasan!L1938</f>
        <v/>
      </c>
      <c r="M1867" s="64" t="str">
        <f>Ringkasan!M1938</f>
        <v/>
      </c>
      <c r="N1867" s="64" t="str">
        <f>Ringkasan!N1938</f>
        <v/>
      </c>
      <c r="O1867" s="64" t="str">
        <f>Ringkasan!O1938</f>
        <v/>
      </c>
      <c r="P1867" s="64" t="str">
        <f>Ringkasan!P1938</f>
        <v/>
      </c>
      <c r="Q1867" s="64" t="str">
        <f>Ringkasan!Q1938</f>
        <v/>
      </c>
      <c r="R1867" s="64" t="str">
        <f>Ringkasan!R1938</f>
        <v/>
      </c>
      <c r="S1867" s="64" t="str">
        <f>Ringkasan!S1938</f>
        <v/>
      </c>
      <c r="T1867" s="64" t="str">
        <f>Ringkasan!T1938</f>
        <v/>
      </c>
      <c r="U1867" s="64" t="str">
        <f>Ringkasan!U1938</f>
        <v/>
      </c>
      <c r="V1867" s="64" t="str">
        <f>Ringkasan!V1938</f>
        <v/>
      </c>
      <c r="W1867" s="64" t="str">
        <f>Ringkasan!W1938</f>
        <v/>
      </c>
      <c r="X1867" s="64" t="str">
        <f>Ringkasan!X1938</f>
        <v/>
      </c>
      <c r="Y1867" s="64" t="str">
        <f>Ringkasan!Y1938</f>
        <v/>
      </c>
      <c r="Z1867" s="64" t="str">
        <f>Ringkasan!Z1938</f>
        <v/>
      </c>
      <c r="AA1867" s="64" t="str">
        <f>Ringkasan!AA1938</f>
        <v/>
      </c>
      <c r="AB1867" s="64" t="str">
        <f>Ringkasan!AB1938</f>
        <v/>
      </c>
    </row>
    <row r="1868">
      <c r="A1868" s="64" t="str">
        <f>Ringkasan!A1939</f>
        <v/>
      </c>
      <c r="B1868" s="64" t="str">
        <f>Ringkasan!B1939</f>
        <v/>
      </c>
      <c r="C1868" s="64" t="str">
        <f>Ringkasan!C1939</f>
        <v/>
      </c>
      <c r="D1868" s="64" t="str">
        <f>Ringkasan!D1939</f>
        <v/>
      </c>
      <c r="E1868" s="64" t="str">
        <f>Ringkasan!E1939</f>
        <v/>
      </c>
      <c r="F1868" s="64" t="str">
        <f>Ringkasan!F1939</f>
        <v/>
      </c>
      <c r="G1868" s="64" t="str">
        <f>Ringkasan!G1939</f>
        <v/>
      </c>
      <c r="H1868" s="64" t="str">
        <f>Ringkasan!H1939</f>
        <v/>
      </c>
      <c r="I1868" s="64" t="str">
        <f>Ringkasan!I1939</f>
        <v/>
      </c>
      <c r="J1868" s="64" t="str">
        <f>Ringkasan!J1939</f>
        <v/>
      </c>
      <c r="K1868" s="64" t="str">
        <f>Ringkasan!K1939</f>
        <v/>
      </c>
      <c r="L1868" s="64" t="str">
        <f>Ringkasan!L1939</f>
        <v/>
      </c>
      <c r="M1868" s="64" t="str">
        <f>Ringkasan!M1939</f>
        <v/>
      </c>
      <c r="N1868" s="64" t="str">
        <f>Ringkasan!N1939</f>
        <v/>
      </c>
      <c r="O1868" s="64" t="str">
        <f>Ringkasan!O1939</f>
        <v/>
      </c>
      <c r="P1868" s="64" t="str">
        <f>Ringkasan!P1939</f>
        <v/>
      </c>
      <c r="Q1868" s="64" t="str">
        <f>Ringkasan!Q1939</f>
        <v/>
      </c>
      <c r="R1868" s="64" t="str">
        <f>Ringkasan!R1939</f>
        <v/>
      </c>
      <c r="S1868" s="64" t="str">
        <f>Ringkasan!S1939</f>
        <v/>
      </c>
      <c r="T1868" s="64" t="str">
        <f>Ringkasan!T1939</f>
        <v/>
      </c>
      <c r="U1868" s="64" t="str">
        <f>Ringkasan!U1939</f>
        <v/>
      </c>
      <c r="V1868" s="64" t="str">
        <f>Ringkasan!V1939</f>
        <v/>
      </c>
      <c r="W1868" s="64" t="str">
        <f>Ringkasan!W1939</f>
        <v/>
      </c>
      <c r="X1868" s="64" t="str">
        <f>Ringkasan!X1939</f>
        <v/>
      </c>
      <c r="Y1868" s="64" t="str">
        <f>Ringkasan!Y1939</f>
        <v/>
      </c>
      <c r="Z1868" s="64" t="str">
        <f>Ringkasan!Z1939</f>
        <v/>
      </c>
      <c r="AA1868" s="64" t="str">
        <f>Ringkasan!AA1939</f>
        <v/>
      </c>
      <c r="AB1868" s="64" t="str">
        <f>Ringkasan!AB1939</f>
        <v/>
      </c>
    </row>
    <row r="1869">
      <c r="A1869" s="64" t="str">
        <f>Ringkasan!A1940</f>
        <v/>
      </c>
      <c r="B1869" s="64" t="str">
        <f>Ringkasan!B1940</f>
        <v/>
      </c>
      <c r="C1869" s="64" t="str">
        <f>Ringkasan!C1940</f>
        <v/>
      </c>
      <c r="D1869" s="64" t="str">
        <f>Ringkasan!D1940</f>
        <v/>
      </c>
      <c r="E1869" s="64" t="str">
        <f>Ringkasan!E1940</f>
        <v/>
      </c>
      <c r="F1869" s="64" t="str">
        <f>Ringkasan!F1940</f>
        <v/>
      </c>
      <c r="G1869" s="64" t="str">
        <f>Ringkasan!G1940</f>
        <v/>
      </c>
      <c r="H1869" s="64" t="str">
        <f>Ringkasan!H1940</f>
        <v/>
      </c>
      <c r="I1869" s="64" t="str">
        <f>Ringkasan!I1940</f>
        <v/>
      </c>
      <c r="J1869" s="64" t="str">
        <f>Ringkasan!J1940</f>
        <v/>
      </c>
      <c r="K1869" s="64" t="str">
        <f>Ringkasan!K1940</f>
        <v/>
      </c>
      <c r="L1869" s="64" t="str">
        <f>Ringkasan!L1940</f>
        <v/>
      </c>
      <c r="M1869" s="64" t="str">
        <f>Ringkasan!M1940</f>
        <v/>
      </c>
      <c r="N1869" s="64" t="str">
        <f>Ringkasan!N1940</f>
        <v/>
      </c>
      <c r="O1869" s="64" t="str">
        <f>Ringkasan!O1940</f>
        <v/>
      </c>
      <c r="P1869" s="64" t="str">
        <f>Ringkasan!P1940</f>
        <v/>
      </c>
      <c r="Q1869" s="64" t="str">
        <f>Ringkasan!Q1940</f>
        <v/>
      </c>
      <c r="R1869" s="64" t="str">
        <f>Ringkasan!R1940</f>
        <v/>
      </c>
      <c r="S1869" s="64" t="str">
        <f>Ringkasan!S1940</f>
        <v/>
      </c>
      <c r="T1869" s="64" t="str">
        <f>Ringkasan!T1940</f>
        <v/>
      </c>
      <c r="U1869" s="64" t="str">
        <f>Ringkasan!U1940</f>
        <v/>
      </c>
      <c r="V1869" s="64" t="str">
        <f>Ringkasan!V1940</f>
        <v/>
      </c>
      <c r="W1869" s="64" t="str">
        <f>Ringkasan!W1940</f>
        <v/>
      </c>
      <c r="X1869" s="64" t="str">
        <f>Ringkasan!X1940</f>
        <v/>
      </c>
      <c r="Y1869" s="64" t="str">
        <f>Ringkasan!Y1940</f>
        <v/>
      </c>
      <c r="Z1869" s="64" t="str">
        <f>Ringkasan!Z1940</f>
        <v/>
      </c>
      <c r="AA1869" s="64" t="str">
        <f>Ringkasan!AA1940</f>
        <v/>
      </c>
      <c r="AB1869" s="64" t="str">
        <f>Ringkasan!AB1940</f>
        <v/>
      </c>
    </row>
    <row r="1870">
      <c r="A1870" s="64" t="str">
        <f>Ringkasan!A1941</f>
        <v/>
      </c>
      <c r="B1870" s="64" t="str">
        <f>Ringkasan!B1941</f>
        <v/>
      </c>
      <c r="C1870" s="64" t="str">
        <f>Ringkasan!C1941</f>
        <v/>
      </c>
      <c r="D1870" s="64" t="str">
        <f>Ringkasan!D1941</f>
        <v/>
      </c>
      <c r="E1870" s="64" t="str">
        <f>Ringkasan!E1941</f>
        <v/>
      </c>
      <c r="F1870" s="64" t="str">
        <f>Ringkasan!F1941</f>
        <v/>
      </c>
      <c r="G1870" s="64" t="str">
        <f>Ringkasan!G1941</f>
        <v/>
      </c>
      <c r="H1870" s="64" t="str">
        <f>Ringkasan!H1941</f>
        <v/>
      </c>
      <c r="I1870" s="64" t="str">
        <f>Ringkasan!I1941</f>
        <v/>
      </c>
      <c r="J1870" s="64" t="str">
        <f>Ringkasan!J1941</f>
        <v/>
      </c>
      <c r="K1870" s="64" t="str">
        <f>Ringkasan!K1941</f>
        <v/>
      </c>
      <c r="L1870" s="64" t="str">
        <f>Ringkasan!L1941</f>
        <v/>
      </c>
      <c r="M1870" s="64" t="str">
        <f>Ringkasan!M1941</f>
        <v/>
      </c>
      <c r="N1870" s="64" t="str">
        <f>Ringkasan!N1941</f>
        <v/>
      </c>
      <c r="O1870" s="64" t="str">
        <f>Ringkasan!O1941</f>
        <v/>
      </c>
      <c r="P1870" s="64" t="str">
        <f>Ringkasan!P1941</f>
        <v/>
      </c>
      <c r="Q1870" s="64" t="str">
        <f>Ringkasan!Q1941</f>
        <v/>
      </c>
      <c r="R1870" s="64" t="str">
        <f>Ringkasan!R1941</f>
        <v/>
      </c>
      <c r="S1870" s="64" t="str">
        <f>Ringkasan!S1941</f>
        <v/>
      </c>
      <c r="T1870" s="64" t="str">
        <f>Ringkasan!T1941</f>
        <v/>
      </c>
      <c r="U1870" s="64" t="str">
        <f>Ringkasan!U1941</f>
        <v/>
      </c>
      <c r="V1870" s="64" t="str">
        <f>Ringkasan!V1941</f>
        <v/>
      </c>
      <c r="W1870" s="64" t="str">
        <f>Ringkasan!W1941</f>
        <v/>
      </c>
      <c r="X1870" s="64" t="str">
        <f>Ringkasan!X1941</f>
        <v/>
      </c>
      <c r="Y1870" s="64" t="str">
        <f>Ringkasan!Y1941</f>
        <v/>
      </c>
      <c r="Z1870" s="64" t="str">
        <f>Ringkasan!Z1941</f>
        <v/>
      </c>
      <c r="AA1870" s="64" t="str">
        <f>Ringkasan!AA1941</f>
        <v/>
      </c>
      <c r="AB1870" s="64" t="str">
        <f>Ringkasan!AB1941</f>
        <v/>
      </c>
    </row>
    <row r="1871">
      <c r="A1871" s="64" t="str">
        <f>Ringkasan!A1942</f>
        <v/>
      </c>
      <c r="B1871" s="64" t="str">
        <f>Ringkasan!B1942</f>
        <v/>
      </c>
      <c r="C1871" s="64" t="str">
        <f>Ringkasan!C1942</f>
        <v/>
      </c>
      <c r="D1871" s="64" t="str">
        <f>Ringkasan!D1942</f>
        <v/>
      </c>
      <c r="E1871" s="64" t="str">
        <f>Ringkasan!E1942</f>
        <v/>
      </c>
      <c r="F1871" s="64" t="str">
        <f>Ringkasan!F1942</f>
        <v/>
      </c>
      <c r="G1871" s="64" t="str">
        <f>Ringkasan!G1942</f>
        <v/>
      </c>
      <c r="H1871" s="64" t="str">
        <f>Ringkasan!H1942</f>
        <v/>
      </c>
      <c r="I1871" s="64" t="str">
        <f>Ringkasan!I1942</f>
        <v/>
      </c>
      <c r="J1871" s="64" t="str">
        <f>Ringkasan!J1942</f>
        <v/>
      </c>
      <c r="K1871" s="64" t="str">
        <f>Ringkasan!K1942</f>
        <v/>
      </c>
      <c r="L1871" s="64" t="str">
        <f>Ringkasan!L1942</f>
        <v/>
      </c>
      <c r="M1871" s="64" t="str">
        <f>Ringkasan!M1942</f>
        <v/>
      </c>
      <c r="N1871" s="64" t="str">
        <f>Ringkasan!N1942</f>
        <v/>
      </c>
      <c r="O1871" s="64" t="str">
        <f>Ringkasan!O1942</f>
        <v/>
      </c>
      <c r="P1871" s="64" t="str">
        <f>Ringkasan!P1942</f>
        <v/>
      </c>
      <c r="Q1871" s="64" t="str">
        <f>Ringkasan!Q1942</f>
        <v/>
      </c>
      <c r="R1871" s="64" t="str">
        <f>Ringkasan!R1942</f>
        <v/>
      </c>
      <c r="S1871" s="64" t="str">
        <f>Ringkasan!S1942</f>
        <v/>
      </c>
      <c r="T1871" s="64" t="str">
        <f>Ringkasan!T1942</f>
        <v/>
      </c>
      <c r="U1871" s="64" t="str">
        <f>Ringkasan!U1942</f>
        <v/>
      </c>
      <c r="V1871" s="64" t="str">
        <f>Ringkasan!V1942</f>
        <v/>
      </c>
      <c r="W1871" s="64" t="str">
        <f>Ringkasan!W1942</f>
        <v/>
      </c>
      <c r="X1871" s="64" t="str">
        <f>Ringkasan!X1942</f>
        <v/>
      </c>
      <c r="Y1871" s="64" t="str">
        <f>Ringkasan!Y1942</f>
        <v/>
      </c>
      <c r="Z1871" s="64" t="str">
        <f>Ringkasan!Z1942</f>
        <v/>
      </c>
      <c r="AA1871" s="64" t="str">
        <f>Ringkasan!AA1942</f>
        <v/>
      </c>
      <c r="AB1871" s="64" t="str">
        <f>Ringkasan!AB1942</f>
        <v/>
      </c>
    </row>
    <row r="1872">
      <c r="A1872" s="64" t="str">
        <f>Ringkasan!A1943</f>
        <v/>
      </c>
      <c r="B1872" s="64" t="str">
        <f>Ringkasan!B1943</f>
        <v/>
      </c>
      <c r="C1872" s="64" t="str">
        <f>Ringkasan!C1943</f>
        <v/>
      </c>
      <c r="D1872" s="64" t="str">
        <f>Ringkasan!D1943</f>
        <v/>
      </c>
      <c r="E1872" s="64" t="str">
        <f>Ringkasan!E1943</f>
        <v/>
      </c>
      <c r="F1872" s="64" t="str">
        <f>Ringkasan!F1943</f>
        <v/>
      </c>
      <c r="G1872" s="64" t="str">
        <f>Ringkasan!G1943</f>
        <v/>
      </c>
      <c r="H1872" s="64" t="str">
        <f>Ringkasan!H1943</f>
        <v/>
      </c>
      <c r="I1872" s="64" t="str">
        <f>Ringkasan!I1943</f>
        <v/>
      </c>
      <c r="J1872" s="64" t="str">
        <f>Ringkasan!J1943</f>
        <v/>
      </c>
      <c r="K1872" s="64" t="str">
        <f>Ringkasan!K1943</f>
        <v/>
      </c>
      <c r="L1872" s="64" t="str">
        <f>Ringkasan!L1943</f>
        <v/>
      </c>
      <c r="M1872" s="64" t="str">
        <f>Ringkasan!M1943</f>
        <v/>
      </c>
      <c r="N1872" s="64" t="str">
        <f>Ringkasan!N1943</f>
        <v/>
      </c>
      <c r="O1872" s="64" t="str">
        <f>Ringkasan!O1943</f>
        <v/>
      </c>
      <c r="P1872" s="64" t="str">
        <f>Ringkasan!P1943</f>
        <v/>
      </c>
      <c r="Q1872" s="64" t="str">
        <f>Ringkasan!Q1943</f>
        <v/>
      </c>
      <c r="R1872" s="64" t="str">
        <f>Ringkasan!R1943</f>
        <v/>
      </c>
      <c r="S1872" s="64" t="str">
        <f>Ringkasan!S1943</f>
        <v/>
      </c>
      <c r="T1872" s="64" t="str">
        <f>Ringkasan!T1943</f>
        <v/>
      </c>
      <c r="U1872" s="64" t="str">
        <f>Ringkasan!U1943</f>
        <v/>
      </c>
      <c r="V1872" s="64" t="str">
        <f>Ringkasan!V1943</f>
        <v/>
      </c>
      <c r="W1872" s="64" t="str">
        <f>Ringkasan!W1943</f>
        <v/>
      </c>
      <c r="X1872" s="64" t="str">
        <f>Ringkasan!X1943</f>
        <v/>
      </c>
      <c r="Y1872" s="64" t="str">
        <f>Ringkasan!Y1943</f>
        <v/>
      </c>
      <c r="Z1872" s="64" t="str">
        <f>Ringkasan!Z1943</f>
        <v/>
      </c>
      <c r="AA1872" s="64" t="str">
        <f>Ringkasan!AA1943</f>
        <v/>
      </c>
      <c r="AB1872" s="64" t="str">
        <f>Ringkasan!AB1943</f>
        <v/>
      </c>
    </row>
    <row r="1873">
      <c r="A1873" s="64" t="str">
        <f>Ringkasan!A1944</f>
        <v/>
      </c>
      <c r="B1873" s="64" t="str">
        <f>Ringkasan!B1944</f>
        <v/>
      </c>
      <c r="C1873" s="64" t="str">
        <f>Ringkasan!C1944</f>
        <v/>
      </c>
      <c r="D1873" s="64" t="str">
        <f>Ringkasan!D1944</f>
        <v/>
      </c>
      <c r="E1873" s="64" t="str">
        <f>Ringkasan!E1944</f>
        <v/>
      </c>
      <c r="F1873" s="64" t="str">
        <f>Ringkasan!F1944</f>
        <v/>
      </c>
      <c r="G1873" s="64" t="str">
        <f>Ringkasan!G1944</f>
        <v/>
      </c>
      <c r="H1873" s="64" t="str">
        <f>Ringkasan!H1944</f>
        <v/>
      </c>
      <c r="I1873" s="64" t="str">
        <f>Ringkasan!I1944</f>
        <v/>
      </c>
      <c r="J1873" s="64" t="str">
        <f>Ringkasan!J1944</f>
        <v/>
      </c>
      <c r="K1873" s="64" t="str">
        <f>Ringkasan!K1944</f>
        <v/>
      </c>
      <c r="L1873" s="64" t="str">
        <f>Ringkasan!L1944</f>
        <v/>
      </c>
      <c r="M1873" s="64" t="str">
        <f>Ringkasan!M1944</f>
        <v/>
      </c>
      <c r="N1873" s="64" t="str">
        <f>Ringkasan!N1944</f>
        <v/>
      </c>
      <c r="O1873" s="64" t="str">
        <f>Ringkasan!O1944</f>
        <v/>
      </c>
      <c r="P1873" s="64" t="str">
        <f>Ringkasan!P1944</f>
        <v/>
      </c>
      <c r="Q1873" s="64" t="str">
        <f>Ringkasan!Q1944</f>
        <v/>
      </c>
      <c r="R1873" s="64" t="str">
        <f>Ringkasan!R1944</f>
        <v/>
      </c>
      <c r="S1873" s="64" t="str">
        <f>Ringkasan!S1944</f>
        <v/>
      </c>
      <c r="T1873" s="64" t="str">
        <f>Ringkasan!T1944</f>
        <v/>
      </c>
      <c r="U1873" s="64" t="str">
        <f>Ringkasan!U1944</f>
        <v/>
      </c>
      <c r="V1873" s="64" t="str">
        <f>Ringkasan!V1944</f>
        <v/>
      </c>
      <c r="W1873" s="64" t="str">
        <f>Ringkasan!W1944</f>
        <v/>
      </c>
      <c r="X1873" s="64" t="str">
        <f>Ringkasan!X1944</f>
        <v/>
      </c>
      <c r="Y1873" s="64" t="str">
        <f>Ringkasan!Y1944</f>
        <v/>
      </c>
      <c r="Z1873" s="64" t="str">
        <f>Ringkasan!Z1944</f>
        <v/>
      </c>
      <c r="AA1873" s="64" t="str">
        <f>Ringkasan!AA1944</f>
        <v/>
      </c>
      <c r="AB1873" s="64" t="str">
        <f>Ringkasan!AB1944</f>
        <v/>
      </c>
    </row>
    <row r="1874">
      <c r="A1874" s="64" t="str">
        <f>Ringkasan!A1945</f>
        <v/>
      </c>
      <c r="B1874" s="64" t="str">
        <f>Ringkasan!B1945</f>
        <v/>
      </c>
      <c r="C1874" s="64" t="str">
        <f>Ringkasan!C1945</f>
        <v/>
      </c>
      <c r="D1874" s="64" t="str">
        <f>Ringkasan!D1945</f>
        <v/>
      </c>
      <c r="E1874" s="64" t="str">
        <f>Ringkasan!E1945</f>
        <v/>
      </c>
      <c r="F1874" s="64" t="str">
        <f>Ringkasan!F1945</f>
        <v/>
      </c>
      <c r="G1874" s="64" t="str">
        <f>Ringkasan!G1945</f>
        <v/>
      </c>
      <c r="H1874" s="64" t="str">
        <f>Ringkasan!H1945</f>
        <v/>
      </c>
      <c r="I1874" s="64" t="str">
        <f>Ringkasan!I1945</f>
        <v/>
      </c>
      <c r="J1874" s="64" t="str">
        <f>Ringkasan!J1945</f>
        <v/>
      </c>
      <c r="K1874" s="64" t="str">
        <f>Ringkasan!K1945</f>
        <v/>
      </c>
      <c r="L1874" s="64" t="str">
        <f>Ringkasan!L1945</f>
        <v/>
      </c>
      <c r="M1874" s="64" t="str">
        <f>Ringkasan!M1945</f>
        <v/>
      </c>
      <c r="N1874" s="64" t="str">
        <f>Ringkasan!N1945</f>
        <v/>
      </c>
      <c r="O1874" s="64" t="str">
        <f>Ringkasan!O1945</f>
        <v/>
      </c>
      <c r="P1874" s="64" t="str">
        <f>Ringkasan!P1945</f>
        <v/>
      </c>
      <c r="Q1874" s="64" t="str">
        <f>Ringkasan!Q1945</f>
        <v/>
      </c>
      <c r="R1874" s="64" t="str">
        <f>Ringkasan!R1945</f>
        <v/>
      </c>
      <c r="S1874" s="64" t="str">
        <f>Ringkasan!S1945</f>
        <v/>
      </c>
      <c r="T1874" s="64" t="str">
        <f>Ringkasan!T1945</f>
        <v/>
      </c>
      <c r="U1874" s="64" t="str">
        <f>Ringkasan!U1945</f>
        <v/>
      </c>
      <c r="V1874" s="64" t="str">
        <f>Ringkasan!V1945</f>
        <v/>
      </c>
      <c r="W1874" s="64" t="str">
        <f>Ringkasan!W1945</f>
        <v/>
      </c>
      <c r="X1874" s="64" t="str">
        <f>Ringkasan!X1945</f>
        <v/>
      </c>
      <c r="Y1874" s="64" t="str">
        <f>Ringkasan!Y1945</f>
        <v/>
      </c>
      <c r="Z1874" s="64" t="str">
        <f>Ringkasan!Z1945</f>
        <v/>
      </c>
      <c r="AA1874" s="64" t="str">
        <f>Ringkasan!AA1945</f>
        <v/>
      </c>
      <c r="AB1874" s="64" t="str">
        <f>Ringkasan!AB1945</f>
        <v/>
      </c>
    </row>
    <row r="1875">
      <c r="A1875" s="64" t="str">
        <f>Ringkasan!A1946</f>
        <v/>
      </c>
      <c r="B1875" s="64" t="str">
        <f>Ringkasan!B1946</f>
        <v/>
      </c>
      <c r="C1875" s="64" t="str">
        <f>Ringkasan!C1946</f>
        <v/>
      </c>
      <c r="D1875" s="64" t="str">
        <f>Ringkasan!D1946</f>
        <v/>
      </c>
      <c r="E1875" s="64" t="str">
        <f>Ringkasan!E1946</f>
        <v/>
      </c>
      <c r="F1875" s="64" t="str">
        <f>Ringkasan!F1946</f>
        <v/>
      </c>
      <c r="G1875" s="64" t="str">
        <f>Ringkasan!G1946</f>
        <v/>
      </c>
      <c r="H1875" s="64" t="str">
        <f>Ringkasan!H1946</f>
        <v/>
      </c>
      <c r="I1875" s="64" t="str">
        <f>Ringkasan!I1946</f>
        <v/>
      </c>
      <c r="J1875" s="64" t="str">
        <f>Ringkasan!J1946</f>
        <v/>
      </c>
      <c r="K1875" s="64" t="str">
        <f>Ringkasan!K1946</f>
        <v/>
      </c>
      <c r="L1875" s="64" t="str">
        <f>Ringkasan!L1946</f>
        <v/>
      </c>
      <c r="M1875" s="64" t="str">
        <f>Ringkasan!M1946</f>
        <v/>
      </c>
      <c r="N1875" s="64" t="str">
        <f>Ringkasan!N1946</f>
        <v/>
      </c>
      <c r="O1875" s="64" t="str">
        <f>Ringkasan!O1946</f>
        <v/>
      </c>
      <c r="P1875" s="64" t="str">
        <f>Ringkasan!P1946</f>
        <v/>
      </c>
      <c r="Q1875" s="64" t="str">
        <f>Ringkasan!Q1946</f>
        <v/>
      </c>
      <c r="R1875" s="64" t="str">
        <f>Ringkasan!R1946</f>
        <v/>
      </c>
      <c r="S1875" s="64" t="str">
        <f>Ringkasan!S1946</f>
        <v/>
      </c>
      <c r="T1875" s="64" t="str">
        <f>Ringkasan!T1946</f>
        <v/>
      </c>
      <c r="U1875" s="64" t="str">
        <f>Ringkasan!U1946</f>
        <v/>
      </c>
      <c r="V1875" s="64" t="str">
        <f>Ringkasan!V1946</f>
        <v/>
      </c>
      <c r="W1875" s="64" t="str">
        <f>Ringkasan!W1946</f>
        <v/>
      </c>
      <c r="X1875" s="64" t="str">
        <f>Ringkasan!X1946</f>
        <v/>
      </c>
      <c r="Y1875" s="64" t="str">
        <f>Ringkasan!Y1946</f>
        <v/>
      </c>
      <c r="Z1875" s="64" t="str">
        <f>Ringkasan!Z1946</f>
        <v/>
      </c>
      <c r="AA1875" s="64" t="str">
        <f>Ringkasan!AA1946</f>
        <v/>
      </c>
      <c r="AB1875" s="64" t="str">
        <f>Ringkasan!AB1946</f>
        <v/>
      </c>
    </row>
    <row r="1876">
      <c r="A1876" s="64" t="str">
        <f>Ringkasan!A1947</f>
        <v/>
      </c>
      <c r="B1876" s="64" t="str">
        <f>Ringkasan!B1947</f>
        <v/>
      </c>
      <c r="C1876" s="64" t="str">
        <f>Ringkasan!C1947</f>
        <v/>
      </c>
      <c r="D1876" s="64" t="str">
        <f>Ringkasan!D1947</f>
        <v/>
      </c>
      <c r="E1876" s="64" t="str">
        <f>Ringkasan!E1947</f>
        <v/>
      </c>
      <c r="F1876" s="64" t="str">
        <f>Ringkasan!F1947</f>
        <v/>
      </c>
      <c r="G1876" s="64" t="str">
        <f>Ringkasan!G1947</f>
        <v/>
      </c>
      <c r="H1876" s="64" t="str">
        <f>Ringkasan!H1947</f>
        <v/>
      </c>
      <c r="I1876" s="64" t="str">
        <f>Ringkasan!I1947</f>
        <v/>
      </c>
      <c r="J1876" s="64" t="str">
        <f>Ringkasan!J1947</f>
        <v/>
      </c>
      <c r="K1876" s="64" t="str">
        <f>Ringkasan!K1947</f>
        <v/>
      </c>
      <c r="L1876" s="64" t="str">
        <f>Ringkasan!L1947</f>
        <v/>
      </c>
      <c r="M1876" s="64" t="str">
        <f>Ringkasan!M1947</f>
        <v/>
      </c>
      <c r="N1876" s="64" t="str">
        <f>Ringkasan!N1947</f>
        <v/>
      </c>
      <c r="O1876" s="64" t="str">
        <f>Ringkasan!O1947</f>
        <v/>
      </c>
      <c r="P1876" s="64" t="str">
        <f>Ringkasan!P1947</f>
        <v/>
      </c>
      <c r="Q1876" s="64" t="str">
        <f>Ringkasan!Q1947</f>
        <v/>
      </c>
      <c r="R1876" s="64" t="str">
        <f>Ringkasan!R1947</f>
        <v/>
      </c>
      <c r="S1876" s="64" t="str">
        <f>Ringkasan!S1947</f>
        <v/>
      </c>
      <c r="T1876" s="64" t="str">
        <f>Ringkasan!T1947</f>
        <v/>
      </c>
      <c r="U1876" s="64" t="str">
        <f>Ringkasan!U1947</f>
        <v/>
      </c>
      <c r="V1876" s="64" t="str">
        <f>Ringkasan!V1947</f>
        <v/>
      </c>
      <c r="W1876" s="64" t="str">
        <f>Ringkasan!W1947</f>
        <v/>
      </c>
      <c r="X1876" s="64" t="str">
        <f>Ringkasan!X1947</f>
        <v/>
      </c>
      <c r="Y1876" s="64" t="str">
        <f>Ringkasan!Y1947</f>
        <v/>
      </c>
      <c r="Z1876" s="64" t="str">
        <f>Ringkasan!Z1947</f>
        <v/>
      </c>
      <c r="AA1876" s="64" t="str">
        <f>Ringkasan!AA1947</f>
        <v/>
      </c>
      <c r="AB1876" s="64" t="str">
        <f>Ringkasan!AB1947</f>
        <v/>
      </c>
    </row>
    <row r="1877">
      <c r="A1877" s="64" t="str">
        <f>Ringkasan!A1948</f>
        <v/>
      </c>
      <c r="B1877" s="64" t="str">
        <f>Ringkasan!B1948</f>
        <v/>
      </c>
      <c r="C1877" s="64" t="str">
        <f>Ringkasan!C1948</f>
        <v/>
      </c>
      <c r="D1877" s="64" t="str">
        <f>Ringkasan!D1948</f>
        <v/>
      </c>
      <c r="E1877" s="64" t="str">
        <f>Ringkasan!E1948</f>
        <v/>
      </c>
      <c r="F1877" s="64" t="str">
        <f>Ringkasan!F1948</f>
        <v/>
      </c>
      <c r="G1877" s="64" t="str">
        <f>Ringkasan!G1948</f>
        <v/>
      </c>
      <c r="H1877" s="64" t="str">
        <f>Ringkasan!H1948</f>
        <v/>
      </c>
      <c r="I1877" s="64" t="str">
        <f>Ringkasan!I1948</f>
        <v/>
      </c>
      <c r="J1877" s="64" t="str">
        <f>Ringkasan!J1948</f>
        <v/>
      </c>
      <c r="K1877" s="64" t="str">
        <f>Ringkasan!K1948</f>
        <v/>
      </c>
      <c r="L1877" s="64" t="str">
        <f>Ringkasan!L1948</f>
        <v/>
      </c>
      <c r="M1877" s="64" t="str">
        <f>Ringkasan!M1948</f>
        <v/>
      </c>
      <c r="N1877" s="64" t="str">
        <f>Ringkasan!N1948</f>
        <v/>
      </c>
      <c r="O1877" s="64" t="str">
        <f>Ringkasan!O1948</f>
        <v/>
      </c>
      <c r="P1877" s="64" t="str">
        <f>Ringkasan!P1948</f>
        <v/>
      </c>
      <c r="Q1877" s="64" t="str">
        <f>Ringkasan!Q1948</f>
        <v/>
      </c>
      <c r="R1877" s="64" t="str">
        <f>Ringkasan!R1948</f>
        <v/>
      </c>
      <c r="S1877" s="64" t="str">
        <f>Ringkasan!S1948</f>
        <v/>
      </c>
      <c r="T1877" s="64" t="str">
        <f>Ringkasan!T1948</f>
        <v/>
      </c>
      <c r="U1877" s="64" t="str">
        <f>Ringkasan!U1948</f>
        <v/>
      </c>
      <c r="V1877" s="64" t="str">
        <f>Ringkasan!V1948</f>
        <v/>
      </c>
      <c r="W1877" s="64" t="str">
        <f>Ringkasan!W1948</f>
        <v/>
      </c>
      <c r="X1877" s="64" t="str">
        <f>Ringkasan!X1948</f>
        <v/>
      </c>
      <c r="Y1877" s="64" t="str">
        <f>Ringkasan!Y1948</f>
        <v/>
      </c>
      <c r="Z1877" s="64" t="str">
        <f>Ringkasan!Z1948</f>
        <v/>
      </c>
      <c r="AA1877" s="64" t="str">
        <f>Ringkasan!AA1948</f>
        <v/>
      </c>
      <c r="AB1877" s="64" t="str">
        <f>Ringkasan!AB1948</f>
        <v/>
      </c>
    </row>
    <row r="1878">
      <c r="A1878" s="64" t="str">
        <f>Ringkasan!A1949</f>
        <v/>
      </c>
      <c r="B1878" s="64" t="str">
        <f>Ringkasan!B1949</f>
        <v/>
      </c>
      <c r="C1878" s="64" t="str">
        <f>Ringkasan!C1949</f>
        <v/>
      </c>
      <c r="D1878" s="64" t="str">
        <f>Ringkasan!D1949</f>
        <v/>
      </c>
      <c r="E1878" s="64" t="str">
        <f>Ringkasan!E1949</f>
        <v/>
      </c>
      <c r="F1878" s="64" t="str">
        <f>Ringkasan!F1949</f>
        <v/>
      </c>
      <c r="G1878" s="64" t="str">
        <f>Ringkasan!G1949</f>
        <v/>
      </c>
      <c r="H1878" s="64" t="str">
        <f>Ringkasan!H1949</f>
        <v/>
      </c>
      <c r="I1878" s="64" t="str">
        <f>Ringkasan!I1949</f>
        <v/>
      </c>
      <c r="J1878" s="64" t="str">
        <f>Ringkasan!J1949</f>
        <v/>
      </c>
      <c r="K1878" s="64" t="str">
        <f>Ringkasan!K1949</f>
        <v/>
      </c>
      <c r="L1878" s="64" t="str">
        <f>Ringkasan!L1949</f>
        <v/>
      </c>
      <c r="M1878" s="64" t="str">
        <f>Ringkasan!M1949</f>
        <v/>
      </c>
      <c r="N1878" s="64" t="str">
        <f>Ringkasan!N1949</f>
        <v/>
      </c>
      <c r="O1878" s="64" t="str">
        <f>Ringkasan!O1949</f>
        <v/>
      </c>
      <c r="P1878" s="64" t="str">
        <f>Ringkasan!P1949</f>
        <v/>
      </c>
      <c r="Q1878" s="64" t="str">
        <f>Ringkasan!Q1949</f>
        <v/>
      </c>
      <c r="R1878" s="64" t="str">
        <f>Ringkasan!R1949</f>
        <v/>
      </c>
      <c r="S1878" s="64" t="str">
        <f>Ringkasan!S1949</f>
        <v/>
      </c>
      <c r="T1878" s="64" t="str">
        <f>Ringkasan!T1949</f>
        <v/>
      </c>
      <c r="U1878" s="64" t="str">
        <f>Ringkasan!U1949</f>
        <v/>
      </c>
      <c r="V1878" s="64" t="str">
        <f>Ringkasan!V1949</f>
        <v/>
      </c>
      <c r="W1878" s="64" t="str">
        <f>Ringkasan!W1949</f>
        <v/>
      </c>
      <c r="X1878" s="64" t="str">
        <f>Ringkasan!X1949</f>
        <v/>
      </c>
      <c r="Y1878" s="64" t="str">
        <f>Ringkasan!Y1949</f>
        <v/>
      </c>
      <c r="Z1878" s="64" t="str">
        <f>Ringkasan!Z1949</f>
        <v/>
      </c>
      <c r="AA1878" s="64" t="str">
        <f>Ringkasan!AA1949</f>
        <v/>
      </c>
      <c r="AB1878" s="64" t="str">
        <f>Ringkasan!AB1949</f>
        <v/>
      </c>
    </row>
    <row r="1879">
      <c r="A1879" s="64" t="str">
        <f>Ringkasan!A1950</f>
        <v/>
      </c>
      <c r="B1879" s="64" t="str">
        <f>Ringkasan!B1950</f>
        <v/>
      </c>
      <c r="C1879" s="64" t="str">
        <f>Ringkasan!C1950</f>
        <v/>
      </c>
      <c r="D1879" s="64" t="str">
        <f>Ringkasan!D1950</f>
        <v/>
      </c>
      <c r="E1879" s="64" t="str">
        <f>Ringkasan!E1950</f>
        <v/>
      </c>
      <c r="F1879" s="64" t="str">
        <f>Ringkasan!F1950</f>
        <v/>
      </c>
      <c r="G1879" s="64" t="str">
        <f>Ringkasan!G1950</f>
        <v/>
      </c>
      <c r="H1879" s="64" t="str">
        <f>Ringkasan!H1950</f>
        <v/>
      </c>
      <c r="I1879" s="64" t="str">
        <f>Ringkasan!I1950</f>
        <v/>
      </c>
      <c r="J1879" s="64" t="str">
        <f>Ringkasan!J1950</f>
        <v/>
      </c>
      <c r="K1879" s="64" t="str">
        <f>Ringkasan!K1950</f>
        <v/>
      </c>
      <c r="L1879" s="64" t="str">
        <f>Ringkasan!L1950</f>
        <v/>
      </c>
      <c r="M1879" s="64" t="str">
        <f>Ringkasan!M1950</f>
        <v/>
      </c>
      <c r="N1879" s="64" t="str">
        <f>Ringkasan!N1950</f>
        <v/>
      </c>
      <c r="O1879" s="64" t="str">
        <f>Ringkasan!O1950</f>
        <v/>
      </c>
      <c r="P1879" s="64" t="str">
        <f>Ringkasan!P1950</f>
        <v/>
      </c>
      <c r="Q1879" s="64" t="str">
        <f>Ringkasan!Q1950</f>
        <v/>
      </c>
      <c r="R1879" s="64" t="str">
        <f>Ringkasan!R1950</f>
        <v/>
      </c>
      <c r="S1879" s="64" t="str">
        <f>Ringkasan!S1950</f>
        <v/>
      </c>
      <c r="T1879" s="64" t="str">
        <f>Ringkasan!T1950</f>
        <v/>
      </c>
      <c r="U1879" s="64" t="str">
        <f>Ringkasan!U1950</f>
        <v/>
      </c>
      <c r="V1879" s="64" t="str">
        <f>Ringkasan!V1950</f>
        <v/>
      </c>
      <c r="W1879" s="64" t="str">
        <f>Ringkasan!W1950</f>
        <v/>
      </c>
      <c r="X1879" s="64" t="str">
        <f>Ringkasan!X1950</f>
        <v/>
      </c>
      <c r="Y1879" s="64" t="str">
        <f>Ringkasan!Y1950</f>
        <v/>
      </c>
      <c r="Z1879" s="64" t="str">
        <f>Ringkasan!Z1950</f>
        <v/>
      </c>
      <c r="AA1879" s="64" t="str">
        <f>Ringkasan!AA1950</f>
        <v/>
      </c>
      <c r="AB1879" s="64" t="str">
        <f>Ringkasan!AB1950</f>
        <v/>
      </c>
    </row>
    <row r="1880">
      <c r="A1880" s="64" t="str">
        <f>Ringkasan!A1951</f>
        <v/>
      </c>
      <c r="B1880" s="64" t="str">
        <f>Ringkasan!B1951</f>
        <v/>
      </c>
      <c r="C1880" s="64" t="str">
        <f>Ringkasan!C1951</f>
        <v/>
      </c>
      <c r="D1880" s="64" t="str">
        <f>Ringkasan!D1951</f>
        <v/>
      </c>
      <c r="E1880" s="64" t="str">
        <f>Ringkasan!E1951</f>
        <v/>
      </c>
      <c r="F1880" s="64" t="str">
        <f>Ringkasan!F1951</f>
        <v/>
      </c>
      <c r="G1880" s="64" t="str">
        <f>Ringkasan!G1951</f>
        <v/>
      </c>
      <c r="H1880" s="64" t="str">
        <f>Ringkasan!H1951</f>
        <v/>
      </c>
      <c r="I1880" s="64" t="str">
        <f>Ringkasan!I1951</f>
        <v/>
      </c>
      <c r="J1880" s="64" t="str">
        <f>Ringkasan!J1951</f>
        <v/>
      </c>
      <c r="K1880" s="64" t="str">
        <f>Ringkasan!K1951</f>
        <v/>
      </c>
      <c r="L1880" s="64" t="str">
        <f>Ringkasan!L1951</f>
        <v/>
      </c>
      <c r="M1880" s="64" t="str">
        <f>Ringkasan!M1951</f>
        <v/>
      </c>
      <c r="N1880" s="64" t="str">
        <f>Ringkasan!N1951</f>
        <v/>
      </c>
      <c r="O1880" s="64" t="str">
        <f>Ringkasan!O1951</f>
        <v/>
      </c>
      <c r="P1880" s="64" t="str">
        <f>Ringkasan!P1951</f>
        <v/>
      </c>
      <c r="Q1880" s="64" t="str">
        <f>Ringkasan!Q1951</f>
        <v/>
      </c>
      <c r="R1880" s="64" t="str">
        <f>Ringkasan!R1951</f>
        <v/>
      </c>
      <c r="S1880" s="64" t="str">
        <f>Ringkasan!S1951</f>
        <v/>
      </c>
      <c r="T1880" s="64" t="str">
        <f>Ringkasan!T1951</f>
        <v/>
      </c>
      <c r="U1880" s="64" t="str">
        <f>Ringkasan!U1951</f>
        <v/>
      </c>
      <c r="V1880" s="64" t="str">
        <f>Ringkasan!V1951</f>
        <v/>
      </c>
      <c r="W1880" s="64" t="str">
        <f>Ringkasan!W1951</f>
        <v/>
      </c>
      <c r="X1880" s="64" t="str">
        <f>Ringkasan!X1951</f>
        <v/>
      </c>
      <c r="Y1880" s="64" t="str">
        <f>Ringkasan!Y1951</f>
        <v/>
      </c>
      <c r="Z1880" s="64" t="str">
        <f>Ringkasan!Z1951</f>
        <v/>
      </c>
      <c r="AA1880" s="64" t="str">
        <f>Ringkasan!AA1951</f>
        <v/>
      </c>
      <c r="AB1880" s="64" t="str">
        <f>Ringkasan!AB1951</f>
        <v/>
      </c>
    </row>
    <row r="1881">
      <c r="A1881" s="64" t="str">
        <f>Ringkasan!A1952</f>
        <v/>
      </c>
      <c r="B1881" s="64" t="str">
        <f>Ringkasan!B1952</f>
        <v/>
      </c>
      <c r="C1881" s="64" t="str">
        <f>Ringkasan!C1952</f>
        <v/>
      </c>
      <c r="D1881" s="64" t="str">
        <f>Ringkasan!D1952</f>
        <v/>
      </c>
      <c r="E1881" s="64" t="str">
        <f>Ringkasan!E1952</f>
        <v/>
      </c>
      <c r="F1881" s="64" t="str">
        <f>Ringkasan!F1952</f>
        <v/>
      </c>
      <c r="G1881" s="64" t="str">
        <f>Ringkasan!G1952</f>
        <v/>
      </c>
      <c r="H1881" s="64" t="str">
        <f>Ringkasan!H1952</f>
        <v/>
      </c>
      <c r="I1881" s="64" t="str">
        <f>Ringkasan!I1952</f>
        <v/>
      </c>
      <c r="J1881" s="64" t="str">
        <f>Ringkasan!J1952</f>
        <v/>
      </c>
      <c r="K1881" s="64" t="str">
        <f>Ringkasan!K1952</f>
        <v/>
      </c>
      <c r="L1881" s="64" t="str">
        <f>Ringkasan!L1952</f>
        <v/>
      </c>
      <c r="M1881" s="64" t="str">
        <f>Ringkasan!M1952</f>
        <v/>
      </c>
      <c r="N1881" s="64" t="str">
        <f>Ringkasan!N1952</f>
        <v/>
      </c>
      <c r="O1881" s="64" t="str">
        <f>Ringkasan!O1952</f>
        <v/>
      </c>
      <c r="P1881" s="64" t="str">
        <f>Ringkasan!P1952</f>
        <v/>
      </c>
      <c r="Q1881" s="64" t="str">
        <f>Ringkasan!Q1952</f>
        <v/>
      </c>
      <c r="R1881" s="64" t="str">
        <f>Ringkasan!R1952</f>
        <v/>
      </c>
      <c r="S1881" s="64" t="str">
        <f>Ringkasan!S1952</f>
        <v/>
      </c>
      <c r="T1881" s="64" t="str">
        <f>Ringkasan!T1952</f>
        <v/>
      </c>
      <c r="U1881" s="64" t="str">
        <f>Ringkasan!U1952</f>
        <v/>
      </c>
      <c r="V1881" s="64" t="str">
        <f>Ringkasan!V1952</f>
        <v/>
      </c>
      <c r="W1881" s="64" t="str">
        <f>Ringkasan!W1952</f>
        <v/>
      </c>
      <c r="X1881" s="64" t="str">
        <f>Ringkasan!X1952</f>
        <v/>
      </c>
      <c r="Y1881" s="64" t="str">
        <f>Ringkasan!Y1952</f>
        <v/>
      </c>
      <c r="Z1881" s="64" t="str">
        <f>Ringkasan!Z1952</f>
        <v/>
      </c>
      <c r="AA1881" s="64" t="str">
        <f>Ringkasan!AA1952</f>
        <v/>
      </c>
      <c r="AB1881" s="64" t="str">
        <f>Ringkasan!AB1952</f>
        <v/>
      </c>
    </row>
    <row r="1882">
      <c r="A1882" s="64" t="str">
        <f>Ringkasan!A1953</f>
        <v/>
      </c>
      <c r="B1882" s="64" t="str">
        <f>Ringkasan!B1953</f>
        <v/>
      </c>
      <c r="C1882" s="64" t="str">
        <f>Ringkasan!C1953</f>
        <v/>
      </c>
      <c r="D1882" s="64" t="str">
        <f>Ringkasan!D1953</f>
        <v/>
      </c>
      <c r="E1882" s="64" t="str">
        <f>Ringkasan!E1953</f>
        <v/>
      </c>
      <c r="F1882" s="64" t="str">
        <f>Ringkasan!F1953</f>
        <v/>
      </c>
      <c r="G1882" s="64" t="str">
        <f>Ringkasan!G1953</f>
        <v/>
      </c>
      <c r="H1882" s="64" t="str">
        <f>Ringkasan!H1953</f>
        <v/>
      </c>
      <c r="I1882" s="64" t="str">
        <f>Ringkasan!I1953</f>
        <v/>
      </c>
      <c r="J1882" s="64" t="str">
        <f>Ringkasan!J1953</f>
        <v/>
      </c>
      <c r="K1882" s="64" t="str">
        <f>Ringkasan!K1953</f>
        <v/>
      </c>
      <c r="L1882" s="64" t="str">
        <f>Ringkasan!L1953</f>
        <v/>
      </c>
      <c r="M1882" s="64" t="str">
        <f>Ringkasan!M1953</f>
        <v/>
      </c>
      <c r="N1882" s="64" t="str">
        <f>Ringkasan!N1953</f>
        <v/>
      </c>
      <c r="O1882" s="64" t="str">
        <f>Ringkasan!O1953</f>
        <v/>
      </c>
      <c r="P1882" s="64" t="str">
        <f>Ringkasan!P1953</f>
        <v/>
      </c>
      <c r="Q1882" s="64" t="str">
        <f>Ringkasan!Q1953</f>
        <v/>
      </c>
      <c r="R1882" s="64" t="str">
        <f>Ringkasan!R1953</f>
        <v/>
      </c>
      <c r="S1882" s="64" t="str">
        <f>Ringkasan!S1953</f>
        <v/>
      </c>
      <c r="T1882" s="64" t="str">
        <f>Ringkasan!T1953</f>
        <v/>
      </c>
      <c r="U1882" s="64" t="str">
        <f>Ringkasan!U1953</f>
        <v/>
      </c>
      <c r="V1882" s="64" t="str">
        <f>Ringkasan!V1953</f>
        <v/>
      </c>
      <c r="W1882" s="64" t="str">
        <f>Ringkasan!W1953</f>
        <v/>
      </c>
      <c r="X1882" s="64" t="str">
        <f>Ringkasan!X1953</f>
        <v/>
      </c>
      <c r="Y1882" s="64" t="str">
        <f>Ringkasan!Y1953</f>
        <v/>
      </c>
      <c r="Z1882" s="64" t="str">
        <f>Ringkasan!Z1953</f>
        <v/>
      </c>
      <c r="AA1882" s="64" t="str">
        <f>Ringkasan!AA1953</f>
        <v/>
      </c>
      <c r="AB1882" s="64" t="str">
        <f>Ringkasan!AB1953</f>
        <v/>
      </c>
    </row>
    <row r="1883">
      <c r="A1883" s="64" t="str">
        <f>Ringkasan!A1954</f>
        <v/>
      </c>
      <c r="B1883" s="64" t="str">
        <f>Ringkasan!B1954</f>
        <v/>
      </c>
      <c r="C1883" s="64" t="str">
        <f>Ringkasan!C1954</f>
        <v/>
      </c>
      <c r="D1883" s="64" t="str">
        <f>Ringkasan!D1954</f>
        <v/>
      </c>
      <c r="E1883" s="64" t="str">
        <f>Ringkasan!E1954</f>
        <v/>
      </c>
      <c r="F1883" s="64" t="str">
        <f>Ringkasan!F1954</f>
        <v/>
      </c>
      <c r="G1883" s="64" t="str">
        <f>Ringkasan!G1954</f>
        <v/>
      </c>
      <c r="H1883" s="64" t="str">
        <f>Ringkasan!H1954</f>
        <v/>
      </c>
      <c r="I1883" s="64" t="str">
        <f>Ringkasan!I1954</f>
        <v/>
      </c>
      <c r="J1883" s="64" t="str">
        <f>Ringkasan!J1954</f>
        <v/>
      </c>
      <c r="K1883" s="64" t="str">
        <f>Ringkasan!K1954</f>
        <v/>
      </c>
      <c r="L1883" s="64" t="str">
        <f>Ringkasan!L1954</f>
        <v/>
      </c>
      <c r="M1883" s="64" t="str">
        <f>Ringkasan!M1954</f>
        <v/>
      </c>
      <c r="N1883" s="64" t="str">
        <f>Ringkasan!N1954</f>
        <v/>
      </c>
      <c r="O1883" s="64" t="str">
        <f>Ringkasan!O1954</f>
        <v/>
      </c>
      <c r="P1883" s="64" t="str">
        <f>Ringkasan!P1954</f>
        <v/>
      </c>
      <c r="Q1883" s="64" t="str">
        <f>Ringkasan!Q1954</f>
        <v/>
      </c>
      <c r="R1883" s="64" t="str">
        <f>Ringkasan!R1954</f>
        <v/>
      </c>
      <c r="S1883" s="64" t="str">
        <f>Ringkasan!S1954</f>
        <v/>
      </c>
      <c r="T1883" s="64" t="str">
        <f>Ringkasan!T1954</f>
        <v/>
      </c>
      <c r="U1883" s="64" t="str">
        <f>Ringkasan!U1954</f>
        <v/>
      </c>
      <c r="V1883" s="64" t="str">
        <f>Ringkasan!V1954</f>
        <v/>
      </c>
      <c r="W1883" s="64" t="str">
        <f>Ringkasan!W1954</f>
        <v/>
      </c>
      <c r="X1883" s="64" t="str">
        <f>Ringkasan!X1954</f>
        <v/>
      </c>
      <c r="Y1883" s="64" t="str">
        <f>Ringkasan!Y1954</f>
        <v/>
      </c>
      <c r="Z1883" s="64" t="str">
        <f>Ringkasan!Z1954</f>
        <v/>
      </c>
      <c r="AA1883" s="64" t="str">
        <f>Ringkasan!AA1954</f>
        <v/>
      </c>
      <c r="AB1883" s="64" t="str">
        <f>Ringkasan!AB1954</f>
        <v/>
      </c>
    </row>
    <row r="1884">
      <c r="A1884" s="64" t="str">
        <f>Ringkasan!A1955</f>
        <v/>
      </c>
      <c r="B1884" s="64" t="str">
        <f>Ringkasan!B1955</f>
        <v/>
      </c>
      <c r="C1884" s="64" t="str">
        <f>Ringkasan!C1955</f>
        <v/>
      </c>
      <c r="D1884" s="64" t="str">
        <f>Ringkasan!D1955</f>
        <v/>
      </c>
      <c r="E1884" s="64" t="str">
        <f>Ringkasan!E1955</f>
        <v/>
      </c>
      <c r="F1884" s="64" t="str">
        <f>Ringkasan!F1955</f>
        <v/>
      </c>
      <c r="G1884" s="64" t="str">
        <f>Ringkasan!G1955</f>
        <v/>
      </c>
      <c r="H1884" s="64" t="str">
        <f>Ringkasan!H1955</f>
        <v/>
      </c>
      <c r="I1884" s="64" t="str">
        <f>Ringkasan!I1955</f>
        <v/>
      </c>
      <c r="J1884" s="64" t="str">
        <f>Ringkasan!J1955</f>
        <v/>
      </c>
      <c r="K1884" s="64" t="str">
        <f>Ringkasan!K1955</f>
        <v/>
      </c>
      <c r="L1884" s="64" t="str">
        <f>Ringkasan!L1955</f>
        <v/>
      </c>
      <c r="M1884" s="64" t="str">
        <f>Ringkasan!M1955</f>
        <v/>
      </c>
      <c r="N1884" s="64" t="str">
        <f>Ringkasan!N1955</f>
        <v/>
      </c>
      <c r="O1884" s="64" t="str">
        <f>Ringkasan!O1955</f>
        <v/>
      </c>
      <c r="P1884" s="64" t="str">
        <f>Ringkasan!P1955</f>
        <v/>
      </c>
      <c r="Q1884" s="64" t="str">
        <f>Ringkasan!Q1955</f>
        <v/>
      </c>
      <c r="R1884" s="64" t="str">
        <f>Ringkasan!R1955</f>
        <v/>
      </c>
      <c r="S1884" s="64" t="str">
        <f>Ringkasan!S1955</f>
        <v/>
      </c>
      <c r="T1884" s="64" t="str">
        <f>Ringkasan!T1955</f>
        <v/>
      </c>
      <c r="U1884" s="64" t="str">
        <f>Ringkasan!U1955</f>
        <v/>
      </c>
      <c r="V1884" s="64" t="str">
        <f>Ringkasan!V1955</f>
        <v/>
      </c>
      <c r="W1884" s="64" t="str">
        <f>Ringkasan!W1955</f>
        <v/>
      </c>
      <c r="X1884" s="64" t="str">
        <f>Ringkasan!X1955</f>
        <v/>
      </c>
      <c r="Y1884" s="64" t="str">
        <f>Ringkasan!Y1955</f>
        <v/>
      </c>
      <c r="Z1884" s="64" t="str">
        <f>Ringkasan!Z1955</f>
        <v/>
      </c>
      <c r="AA1884" s="64" t="str">
        <f>Ringkasan!AA1955</f>
        <v/>
      </c>
      <c r="AB1884" s="64" t="str">
        <f>Ringkasan!AB1955</f>
        <v/>
      </c>
    </row>
    <row r="1885">
      <c r="A1885" s="64" t="str">
        <f>Ringkasan!A1956</f>
        <v/>
      </c>
      <c r="B1885" s="64" t="str">
        <f>Ringkasan!B1956</f>
        <v/>
      </c>
      <c r="C1885" s="64" t="str">
        <f>Ringkasan!C1956</f>
        <v/>
      </c>
      <c r="D1885" s="64" t="str">
        <f>Ringkasan!D1956</f>
        <v/>
      </c>
      <c r="E1885" s="64" t="str">
        <f>Ringkasan!E1956</f>
        <v/>
      </c>
      <c r="F1885" s="64" t="str">
        <f>Ringkasan!F1956</f>
        <v/>
      </c>
      <c r="G1885" s="64" t="str">
        <f>Ringkasan!G1956</f>
        <v/>
      </c>
      <c r="H1885" s="64" t="str">
        <f>Ringkasan!H1956</f>
        <v/>
      </c>
      <c r="I1885" s="64" t="str">
        <f>Ringkasan!I1956</f>
        <v/>
      </c>
      <c r="J1885" s="64" t="str">
        <f>Ringkasan!J1956</f>
        <v/>
      </c>
      <c r="K1885" s="64" t="str">
        <f>Ringkasan!K1956</f>
        <v/>
      </c>
      <c r="L1885" s="64" t="str">
        <f>Ringkasan!L1956</f>
        <v/>
      </c>
      <c r="M1885" s="64" t="str">
        <f>Ringkasan!M1956</f>
        <v/>
      </c>
      <c r="N1885" s="64" t="str">
        <f>Ringkasan!N1956</f>
        <v/>
      </c>
      <c r="O1885" s="64" t="str">
        <f>Ringkasan!O1956</f>
        <v/>
      </c>
      <c r="P1885" s="64" t="str">
        <f>Ringkasan!P1956</f>
        <v/>
      </c>
      <c r="Q1885" s="64" t="str">
        <f>Ringkasan!Q1956</f>
        <v/>
      </c>
      <c r="R1885" s="64" t="str">
        <f>Ringkasan!R1956</f>
        <v/>
      </c>
      <c r="S1885" s="64" t="str">
        <f>Ringkasan!S1956</f>
        <v/>
      </c>
      <c r="T1885" s="64" t="str">
        <f>Ringkasan!T1956</f>
        <v/>
      </c>
      <c r="U1885" s="64" t="str">
        <f>Ringkasan!U1956</f>
        <v/>
      </c>
      <c r="V1885" s="64" t="str">
        <f>Ringkasan!V1956</f>
        <v/>
      </c>
      <c r="W1885" s="64" t="str">
        <f>Ringkasan!W1956</f>
        <v/>
      </c>
      <c r="X1885" s="64" t="str">
        <f>Ringkasan!X1956</f>
        <v/>
      </c>
      <c r="Y1885" s="64" t="str">
        <f>Ringkasan!Y1956</f>
        <v/>
      </c>
      <c r="Z1885" s="64" t="str">
        <f>Ringkasan!Z1956</f>
        <v/>
      </c>
      <c r="AA1885" s="64" t="str">
        <f>Ringkasan!AA1956</f>
        <v/>
      </c>
      <c r="AB1885" s="64" t="str">
        <f>Ringkasan!AB1956</f>
        <v/>
      </c>
    </row>
    <row r="1886">
      <c r="A1886" s="64" t="str">
        <f>Ringkasan!A1957</f>
        <v/>
      </c>
      <c r="B1886" s="64" t="str">
        <f>Ringkasan!B1957</f>
        <v/>
      </c>
      <c r="C1886" s="64" t="str">
        <f>Ringkasan!C1957</f>
        <v/>
      </c>
      <c r="D1886" s="64" t="str">
        <f>Ringkasan!D1957</f>
        <v/>
      </c>
      <c r="E1886" s="64" t="str">
        <f>Ringkasan!E1957</f>
        <v/>
      </c>
      <c r="F1886" s="64" t="str">
        <f>Ringkasan!F1957</f>
        <v/>
      </c>
      <c r="G1886" s="64" t="str">
        <f>Ringkasan!G1957</f>
        <v/>
      </c>
      <c r="H1886" s="64" t="str">
        <f>Ringkasan!H1957</f>
        <v/>
      </c>
      <c r="I1886" s="64" t="str">
        <f>Ringkasan!I1957</f>
        <v/>
      </c>
      <c r="J1886" s="64" t="str">
        <f>Ringkasan!J1957</f>
        <v/>
      </c>
      <c r="K1886" s="64" t="str">
        <f>Ringkasan!K1957</f>
        <v/>
      </c>
      <c r="L1886" s="64" t="str">
        <f>Ringkasan!L1957</f>
        <v/>
      </c>
      <c r="M1886" s="64" t="str">
        <f>Ringkasan!M1957</f>
        <v/>
      </c>
      <c r="N1886" s="64" t="str">
        <f>Ringkasan!N1957</f>
        <v/>
      </c>
      <c r="O1886" s="64" t="str">
        <f>Ringkasan!O1957</f>
        <v/>
      </c>
      <c r="P1886" s="64" t="str">
        <f>Ringkasan!P1957</f>
        <v/>
      </c>
      <c r="Q1886" s="64" t="str">
        <f>Ringkasan!Q1957</f>
        <v/>
      </c>
      <c r="R1886" s="64" t="str">
        <f>Ringkasan!R1957</f>
        <v/>
      </c>
      <c r="S1886" s="64" t="str">
        <f>Ringkasan!S1957</f>
        <v/>
      </c>
      <c r="T1886" s="64" t="str">
        <f>Ringkasan!T1957</f>
        <v/>
      </c>
      <c r="U1886" s="64" t="str">
        <f>Ringkasan!U1957</f>
        <v/>
      </c>
      <c r="V1886" s="64" t="str">
        <f>Ringkasan!V1957</f>
        <v/>
      </c>
      <c r="W1886" s="64" t="str">
        <f>Ringkasan!W1957</f>
        <v/>
      </c>
      <c r="X1886" s="64" t="str">
        <f>Ringkasan!X1957</f>
        <v/>
      </c>
      <c r="Y1886" s="64" t="str">
        <f>Ringkasan!Y1957</f>
        <v/>
      </c>
      <c r="Z1886" s="64" t="str">
        <f>Ringkasan!Z1957</f>
        <v/>
      </c>
      <c r="AA1886" s="64" t="str">
        <f>Ringkasan!AA1957</f>
        <v/>
      </c>
      <c r="AB1886" s="64" t="str">
        <f>Ringkasan!AB1957</f>
        <v/>
      </c>
    </row>
    <row r="1887">
      <c r="A1887" s="64" t="str">
        <f>Ringkasan!A1958</f>
        <v/>
      </c>
      <c r="B1887" s="64" t="str">
        <f>Ringkasan!B1958</f>
        <v/>
      </c>
      <c r="C1887" s="64" t="str">
        <f>Ringkasan!C1958</f>
        <v/>
      </c>
      <c r="D1887" s="64" t="str">
        <f>Ringkasan!D1958</f>
        <v/>
      </c>
      <c r="E1887" s="64" t="str">
        <f>Ringkasan!E1958</f>
        <v/>
      </c>
      <c r="F1887" s="64" t="str">
        <f>Ringkasan!F1958</f>
        <v/>
      </c>
      <c r="G1887" s="64" t="str">
        <f>Ringkasan!G1958</f>
        <v/>
      </c>
      <c r="H1887" s="64" t="str">
        <f>Ringkasan!H1958</f>
        <v/>
      </c>
      <c r="I1887" s="64" t="str">
        <f>Ringkasan!I1958</f>
        <v/>
      </c>
      <c r="J1887" s="64" t="str">
        <f>Ringkasan!J1958</f>
        <v/>
      </c>
      <c r="K1887" s="64" t="str">
        <f>Ringkasan!K1958</f>
        <v/>
      </c>
      <c r="L1887" s="64" t="str">
        <f>Ringkasan!L1958</f>
        <v/>
      </c>
      <c r="M1887" s="64" t="str">
        <f>Ringkasan!M1958</f>
        <v/>
      </c>
      <c r="N1887" s="64" t="str">
        <f>Ringkasan!N1958</f>
        <v/>
      </c>
      <c r="O1887" s="64" t="str">
        <f>Ringkasan!O1958</f>
        <v/>
      </c>
      <c r="P1887" s="64" t="str">
        <f>Ringkasan!P1958</f>
        <v/>
      </c>
      <c r="Q1887" s="64" t="str">
        <f>Ringkasan!Q1958</f>
        <v/>
      </c>
      <c r="R1887" s="64" t="str">
        <f>Ringkasan!R1958</f>
        <v/>
      </c>
      <c r="S1887" s="64" t="str">
        <f>Ringkasan!S1958</f>
        <v/>
      </c>
      <c r="T1887" s="64" t="str">
        <f>Ringkasan!T1958</f>
        <v/>
      </c>
      <c r="U1887" s="64" t="str">
        <f>Ringkasan!U1958</f>
        <v/>
      </c>
      <c r="V1887" s="64" t="str">
        <f>Ringkasan!V1958</f>
        <v/>
      </c>
      <c r="W1887" s="64" t="str">
        <f>Ringkasan!W1958</f>
        <v/>
      </c>
      <c r="X1887" s="64" t="str">
        <f>Ringkasan!X1958</f>
        <v/>
      </c>
      <c r="Y1887" s="64" t="str">
        <f>Ringkasan!Y1958</f>
        <v/>
      </c>
      <c r="Z1887" s="64" t="str">
        <f>Ringkasan!Z1958</f>
        <v/>
      </c>
      <c r="AA1887" s="64" t="str">
        <f>Ringkasan!AA1958</f>
        <v/>
      </c>
      <c r="AB1887" s="64" t="str">
        <f>Ringkasan!AB1958</f>
        <v/>
      </c>
    </row>
    <row r="1888">
      <c r="A1888" s="64" t="str">
        <f>Ringkasan!A1959</f>
        <v/>
      </c>
      <c r="B1888" s="64" t="str">
        <f>Ringkasan!B1959</f>
        <v/>
      </c>
      <c r="C1888" s="64" t="str">
        <f>Ringkasan!C1959</f>
        <v/>
      </c>
      <c r="D1888" s="64" t="str">
        <f>Ringkasan!D1959</f>
        <v/>
      </c>
      <c r="E1888" s="64" t="str">
        <f>Ringkasan!E1959</f>
        <v/>
      </c>
      <c r="F1888" s="64" t="str">
        <f>Ringkasan!F1959</f>
        <v/>
      </c>
      <c r="G1888" s="64" t="str">
        <f>Ringkasan!G1959</f>
        <v/>
      </c>
      <c r="H1888" s="64" t="str">
        <f>Ringkasan!H1959</f>
        <v/>
      </c>
      <c r="I1888" s="64" t="str">
        <f>Ringkasan!I1959</f>
        <v/>
      </c>
      <c r="J1888" s="64" t="str">
        <f>Ringkasan!J1959</f>
        <v/>
      </c>
      <c r="K1888" s="64" t="str">
        <f>Ringkasan!K1959</f>
        <v/>
      </c>
      <c r="L1888" s="64" t="str">
        <f>Ringkasan!L1959</f>
        <v/>
      </c>
      <c r="M1888" s="64" t="str">
        <f>Ringkasan!M1959</f>
        <v/>
      </c>
      <c r="N1888" s="64" t="str">
        <f>Ringkasan!N1959</f>
        <v/>
      </c>
      <c r="O1888" s="64" t="str">
        <f>Ringkasan!O1959</f>
        <v/>
      </c>
      <c r="P1888" s="64" t="str">
        <f>Ringkasan!P1959</f>
        <v/>
      </c>
      <c r="Q1888" s="64" t="str">
        <f>Ringkasan!Q1959</f>
        <v/>
      </c>
      <c r="R1888" s="64" t="str">
        <f>Ringkasan!R1959</f>
        <v/>
      </c>
      <c r="S1888" s="64" t="str">
        <f>Ringkasan!S1959</f>
        <v/>
      </c>
      <c r="T1888" s="64" t="str">
        <f>Ringkasan!T1959</f>
        <v/>
      </c>
      <c r="U1888" s="64" t="str">
        <f>Ringkasan!U1959</f>
        <v/>
      </c>
      <c r="V1888" s="64" t="str">
        <f>Ringkasan!V1959</f>
        <v/>
      </c>
      <c r="W1888" s="64" t="str">
        <f>Ringkasan!W1959</f>
        <v/>
      </c>
      <c r="X1888" s="64" t="str">
        <f>Ringkasan!X1959</f>
        <v/>
      </c>
      <c r="Y1888" s="64" t="str">
        <f>Ringkasan!Y1959</f>
        <v/>
      </c>
      <c r="Z1888" s="64" t="str">
        <f>Ringkasan!Z1959</f>
        <v/>
      </c>
      <c r="AA1888" s="64" t="str">
        <f>Ringkasan!AA1959</f>
        <v/>
      </c>
      <c r="AB1888" s="64" t="str">
        <f>Ringkasan!AB1959</f>
        <v/>
      </c>
    </row>
    <row r="1889">
      <c r="A1889" s="64" t="str">
        <f>Ringkasan!A1960</f>
        <v/>
      </c>
      <c r="B1889" s="64" t="str">
        <f>Ringkasan!B1960</f>
        <v/>
      </c>
      <c r="C1889" s="64" t="str">
        <f>Ringkasan!C1960</f>
        <v/>
      </c>
      <c r="D1889" s="64" t="str">
        <f>Ringkasan!D1960</f>
        <v/>
      </c>
      <c r="E1889" s="64" t="str">
        <f>Ringkasan!E1960</f>
        <v/>
      </c>
      <c r="F1889" s="64" t="str">
        <f>Ringkasan!F1960</f>
        <v/>
      </c>
      <c r="G1889" s="64" t="str">
        <f>Ringkasan!G1960</f>
        <v/>
      </c>
      <c r="H1889" s="64" t="str">
        <f>Ringkasan!H1960</f>
        <v/>
      </c>
      <c r="I1889" s="64" t="str">
        <f>Ringkasan!I1960</f>
        <v/>
      </c>
      <c r="J1889" s="64" t="str">
        <f>Ringkasan!J1960</f>
        <v/>
      </c>
      <c r="K1889" s="64" t="str">
        <f>Ringkasan!K1960</f>
        <v/>
      </c>
      <c r="L1889" s="64" t="str">
        <f>Ringkasan!L1960</f>
        <v/>
      </c>
      <c r="M1889" s="64" t="str">
        <f>Ringkasan!M1960</f>
        <v/>
      </c>
      <c r="N1889" s="64" t="str">
        <f>Ringkasan!N1960</f>
        <v/>
      </c>
      <c r="O1889" s="64" t="str">
        <f>Ringkasan!O1960</f>
        <v/>
      </c>
      <c r="P1889" s="64" t="str">
        <f>Ringkasan!P1960</f>
        <v/>
      </c>
      <c r="Q1889" s="64" t="str">
        <f>Ringkasan!Q1960</f>
        <v/>
      </c>
      <c r="R1889" s="64" t="str">
        <f>Ringkasan!R1960</f>
        <v/>
      </c>
      <c r="S1889" s="64" t="str">
        <f>Ringkasan!S1960</f>
        <v/>
      </c>
      <c r="T1889" s="64" t="str">
        <f>Ringkasan!T1960</f>
        <v/>
      </c>
      <c r="U1889" s="64" t="str">
        <f>Ringkasan!U1960</f>
        <v/>
      </c>
      <c r="V1889" s="64" t="str">
        <f>Ringkasan!V1960</f>
        <v/>
      </c>
      <c r="W1889" s="64" t="str">
        <f>Ringkasan!W1960</f>
        <v/>
      </c>
      <c r="X1889" s="64" t="str">
        <f>Ringkasan!X1960</f>
        <v/>
      </c>
      <c r="Y1889" s="64" t="str">
        <f>Ringkasan!Y1960</f>
        <v/>
      </c>
      <c r="Z1889" s="64" t="str">
        <f>Ringkasan!Z1960</f>
        <v/>
      </c>
      <c r="AA1889" s="64" t="str">
        <f>Ringkasan!AA1960</f>
        <v/>
      </c>
      <c r="AB1889" s="64" t="str">
        <f>Ringkasan!AB1960</f>
        <v/>
      </c>
    </row>
    <row r="1890">
      <c r="A1890" s="64" t="str">
        <f>Ringkasan!A1961</f>
        <v/>
      </c>
      <c r="B1890" s="64" t="str">
        <f>Ringkasan!B1961</f>
        <v/>
      </c>
      <c r="C1890" s="64" t="str">
        <f>Ringkasan!C1961</f>
        <v/>
      </c>
      <c r="D1890" s="64" t="str">
        <f>Ringkasan!D1961</f>
        <v/>
      </c>
      <c r="E1890" s="64" t="str">
        <f>Ringkasan!E1961</f>
        <v/>
      </c>
      <c r="F1890" s="64" t="str">
        <f>Ringkasan!F1961</f>
        <v/>
      </c>
      <c r="G1890" s="64" t="str">
        <f>Ringkasan!G1961</f>
        <v/>
      </c>
      <c r="H1890" s="64" t="str">
        <f>Ringkasan!H1961</f>
        <v/>
      </c>
      <c r="I1890" s="64" t="str">
        <f>Ringkasan!I1961</f>
        <v/>
      </c>
      <c r="J1890" s="64" t="str">
        <f>Ringkasan!J1961</f>
        <v/>
      </c>
      <c r="K1890" s="64" t="str">
        <f>Ringkasan!K1961</f>
        <v/>
      </c>
      <c r="L1890" s="64" t="str">
        <f>Ringkasan!L1961</f>
        <v/>
      </c>
      <c r="M1890" s="64" t="str">
        <f>Ringkasan!M1961</f>
        <v/>
      </c>
      <c r="N1890" s="64" t="str">
        <f>Ringkasan!N1961</f>
        <v/>
      </c>
      <c r="O1890" s="64" t="str">
        <f>Ringkasan!O1961</f>
        <v/>
      </c>
      <c r="P1890" s="64" t="str">
        <f>Ringkasan!P1961</f>
        <v/>
      </c>
      <c r="Q1890" s="64" t="str">
        <f>Ringkasan!Q1961</f>
        <v/>
      </c>
      <c r="R1890" s="64" t="str">
        <f>Ringkasan!R1961</f>
        <v/>
      </c>
      <c r="S1890" s="64" t="str">
        <f>Ringkasan!S1961</f>
        <v/>
      </c>
      <c r="T1890" s="64" t="str">
        <f>Ringkasan!T1961</f>
        <v/>
      </c>
      <c r="U1890" s="64" t="str">
        <f>Ringkasan!U1961</f>
        <v/>
      </c>
      <c r="V1890" s="64" t="str">
        <f>Ringkasan!V1961</f>
        <v/>
      </c>
      <c r="W1890" s="64" t="str">
        <f>Ringkasan!W1961</f>
        <v/>
      </c>
      <c r="X1890" s="64" t="str">
        <f>Ringkasan!X1961</f>
        <v/>
      </c>
      <c r="Y1890" s="64" t="str">
        <f>Ringkasan!Y1961</f>
        <v/>
      </c>
      <c r="Z1890" s="64" t="str">
        <f>Ringkasan!Z1961</f>
        <v/>
      </c>
      <c r="AA1890" s="64" t="str">
        <f>Ringkasan!AA1961</f>
        <v/>
      </c>
      <c r="AB1890" s="64" t="str">
        <f>Ringkasan!AB1961</f>
        <v/>
      </c>
    </row>
    <row r="1891">
      <c r="A1891" s="64" t="str">
        <f>Ringkasan!A1962</f>
        <v/>
      </c>
      <c r="B1891" s="64" t="str">
        <f>Ringkasan!B1962</f>
        <v/>
      </c>
      <c r="C1891" s="64" t="str">
        <f>Ringkasan!C1962</f>
        <v/>
      </c>
      <c r="D1891" s="64" t="str">
        <f>Ringkasan!D1962</f>
        <v/>
      </c>
      <c r="E1891" s="64" t="str">
        <f>Ringkasan!E1962</f>
        <v/>
      </c>
      <c r="F1891" s="64" t="str">
        <f>Ringkasan!F1962</f>
        <v/>
      </c>
      <c r="G1891" s="64" t="str">
        <f>Ringkasan!G1962</f>
        <v/>
      </c>
      <c r="H1891" s="64" t="str">
        <f>Ringkasan!H1962</f>
        <v/>
      </c>
      <c r="I1891" s="64" t="str">
        <f>Ringkasan!I1962</f>
        <v/>
      </c>
      <c r="J1891" s="64" t="str">
        <f>Ringkasan!J1962</f>
        <v/>
      </c>
      <c r="K1891" s="64" t="str">
        <f>Ringkasan!K1962</f>
        <v/>
      </c>
      <c r="L1891" s="64" t="str">
        <f>Ringkasan!L1962</f>
        <v/>
      </c>
      <c r="M1891" s="64" t="str">
        <f>Ringkasan!M1962</f>
        <v/>
      </c>
      <c r="N1891" s="64" t="str">
        <f>Ringkasan!N1962</f>
        <v/>
      </c>
      <c r="O1891" s="64" t="str">
        <f>Ringkasan!O1962</f>
        <v/>
      </c>
      <c r="P1891" s="64" t="str">
        <f>Ringkasan!P1962</f>
        <v/>
      </c>
      <c r="Q1891" s="64" t="str">
        <f>Ringkasan!Q1962</f>
        <v/>
      </c>
      <c r="R1891" s="64" t="str">
        <f>Ringkasan!R1962</f>
        <v/>
      </c>
      <c r="S1891" s="64" t="str">
        <f>Ringkasan!S1962</f>
        <v/>
      </c>
      <c r="T1891" s="64" t="str">
        <f>Ringkasan!T1962</f>
        <v/>
      </c>
      <c r="U1891" s="64" t="str">
        <f>Ringkasan!U1962</f>
        <v/>
      </c>
      <c r="V1891" s="64" t="str">
        <f>Ringkasan!V1962</f>
        <v/>
      </c>
      <c r="W1891" s="64" t="str">
        <f>Ringkasan!W1962</f>
        <v/>
      </c>
      <c r="X1891" s="64" t="str">
        <f>Ringkasan!X1962</f>
        <v/>
      </c>
      <c r="Y1891" s="64" t="str">
        <f>Ringkasan!Y1962</f>
        <v/>
      </c>
      <c r="Z1891" s="64" t="str">
        <f>Ringkasan!Z1962</f>
        <v/>
      </c>
      <c r="AA1891" s="64" t="str">
        <f>Ringkasan!AA1962</f>
        <v/>
      </c>
      <c r="AB1891" s="64" t="str">
        <f>Ringkasan!AB1962</f>
        <v/>
      </c>
    </row>
    <row r="1892">
      <c r="A1892" s="64" t="str">
        <f>Ringkasan!A1963</f>
        <v/>
      </c>
      <c r="B1892" s="64" t="str">
        <f>Ringkasan!B1963</f>
        <v/>
      </c>
      <c r="C1892" s="64" t="str">
        <f>Ringkasan!C1963</f>
        <v/>
      </c>
      <c r="D1892" s="64" t="str">
        <f>Ringkasan!D1963</f>
        <v/>
      </c>
      <c r="E1892" s="64" t="str">
        <f>Ringkasan!E1963</f>
        <v/>
      </c>
      <c r="F1892" s="64" t="str">
        <f>Ringkasan!F1963</f>
        <v/>
      </c>
      <c r="G1892" s="64" t="str">
        <f>Ringkasan!G1963</f>
        <v/>
      </c>
      <c r="H1892" s="64" t="str">
        <f>Ringkasan!H1963</f>
        <v/>
      </c>
      <c r="I1892" s="64" t="str">
        <f>Ringkasan!I1963</f>
        <v/>
      </c>
      <c r="J1892" s="64" t="str">
        <f>Ringkasan!J1963</f>
        <v/>
      </c>
      <c r="K1892" s="64" t="str">
        <f>Ringkasan!K1963</f>
        <v/>
      </c>
      <c r="L1892" s="64" t="str">
        <f>Ringkasan!L1963</f>
        <v/>
      </c>
      <c r="M1892" s="64" t="str">
        <f>Ringkasan!M1963</f>
        <v/>
      </c>
      <c r="N1892" s="64" t="str">
        <f>Ringkasan!N1963</f>
        <v/>
      </c>
      <c r="O1892" s="64" t="str">
        <f>Ringkasan!O1963</f>
        <v/>
      </c>
      <c r="P1892" s="64" t="str">
        <f>Ringkasan!P1963</f>
        <v/>
      </c>
      <c r="Q1892" s="64" t="str">
        <f>Ringkasan!Q1963</f>
        <v/>
      </c>
      <c r="R1892" s="64" t="str">
        <f>Ringkasan!R1963</f>
        <v/>
      </c>
      <c r="S1892" s="64" t="str">
        <f>Ringkasan!S1963</f>
        <v/>
      </c>
      <c r="T1892" s="64" t="str">
        <f>Ringkasan!T1963</f>
        <v/>
      </c>
      <c r="U1892" s="64" t="str">
        <f>Ringkasan!U1963</f>
        <v/>
      </c>
      <c r="V1892" s="64" t="str">
        <f>Ringkasan!V1963</f>
        <v/>
      </c>
      <c r="W1892" s="64" t="str">
        <f>Ringkasan!W1963</f>
        <v/>
      </c>
      <c r="X1892" s="64" t="str">
        <f>Ringkasan!X1963</f>
        <v/>
      </c>
      <c r="Y1892" s="64" t="str">
        <f>Ringkasan!Y1963</f>
        <v/>
      </c>
      <c r="Z1892" s="64" t="str">
        <f>Ringkasan!Z1963</f>
        <v/>
      </c>
      <c r="AA1892" s="64" t="str">
        <f>Ringkasan!AA1963</f>
        <v/>
      </c>
      <c r="AB1892" s="64" t="str">
        <f>Ringkasan!AB1963</f>
        <v/>
      </c>
    </row>
    <row r="1893">
      <c r="A1893" s="64" t="str">
        <f>Ringkasan!A1964</f>
        <v/>
      </c>
      <c r="B1893" s="64" t="str">
        <f>Ringkasan!B1964</f>
        <v/>
      </c>
      <c r="C1893" s="64" t="str">
        <f>Ringkasan!C1964</f>
        <v/>
      </c>
      <c r="D1893" s="64" t="str">
        <f>Ringkasan!D1964</f>
        <v/>
      </c>
      <c r="E1893" s="64" t="str">
        <f>Ringkasan!E1964</f>
        <v/>
      </c>
      <c r="F1893" s="64" t="str">
        <f>Ringkasan!F1964</f>
        <v/>
      </c>
      <c r="G1893" s="64" t="str">
        <f>Ringkasan!G1964</f>
        <v/>
      </c>
      <c r="H1893" s="64" t="str">
        <f>Ringkasan!H1964</f>
        <v/>
      </c>
      <c r="I1893" s="64" t="str">
        <f>Ringkasan!I1964</f>
        <v/>
      </c>
      <c r="J1893" s="64" t="str">
        <f>Ringkasan!J1964</f>
        <v/>
      </c>
      <c r="K1893" s="64" t="str">
        <f>Ringkasan!K1964</f>
        <v/>
      </c>
      <c r="L1893" s="64" t="str">
        <f>Ringkasan!L1964</f>
        <v/>
      </c>
      <c r="M1893" s="64" t="str">
        <f>Ringkasan!M1964</f>
        <v/>
      </c>
      <c r="N1893" s="64" t="str">
        <f>Ringkasan!N1964</f>
        <v/>
      </c>
      <c r="O1893" s="64" t="str">
        <f>Ringkasan!O1964</f>
        <v/>
      </c>
      <c r="P1893" s="64" t="str">
        <f>Ringkasan!P1964</f>
        <v/>
      </c>
      <c r="Q1893" s="64" t="str">
        <f>Ringkasan!Q1964</f>
        <v/>
      </c>
      <c r="R1893" s="64" t="str">
        <f>Ringkasan!R1964</f>
        <v/>
      </c>
      <c r="S1893" s="64" t="str">
        <f>Ringkasan!S1964</f>
        <v/>
      </c>
      <c r="T1893" s="64" t="str">
        <f>Ringkasan!T1964</f>
        <v/>
      </c>
      <c r="U1893" s="64" t="str">
        <f>Ringkasan!U1964</f>
        <v/>
      </c>
      <c r="V1893" s="64" t="str">
        <f>Ringkasan!V1964</f>
        <v/>
      </c>
      <c r="W1893" s="64" t="str">
        <f>Ringkasan!W1964</f>
        <v/>
      </c>
      <c r="X1893" s="64" t="str">
        <f>Ringkasan!X1964</f>
        <v/>
      </c>
      <c r="Y1893" s="64" t="str">
        <f>Ringkasan!Y1964</f>
        <v/>
      </c>
      <c r="Z1893" s="64" t="str">
        <f>Ringkasan!Z1964</f>
        <v/>
      </c>
      <c r="AA1893" s="64" t="str">
        <f>Ringkasan!AA1964</f>
        <v/>
      </c>
      <c r="AB1893" s="64" t="str">
        <f>Ringkasan!AB1964</f>
        <v/>
      </c>
    </row>
    <row r="1894">
      <c r="A1894" s="64" t="str">
        <f>Ringkasan!A1965</f>
        <v/>
      </c>
      <c r="B1894" s="64" t="str">
        <f>Ringkasan!B1965</f>
        <v/>
      </c>
      <c r="C1894" s="64" t="str">
        <f>Ringkasan!C1965</f>
        <v/>
      </c>
      <c r="D1894" s="64" t="str">
        <f>Ringkasan!D1965</f>
        <v/>
      </c>
      <c r="E1894" s="64" t="str">
        <f>Ringkasan!E1965</f>
        <v/>
      </c>
      <c r="F1894" s="64" t="str">
        <f>Ringkasan!F1965</f>
        <v/>
      </c>
      <c r="G1894" s="64" t="str">
        <f>Ringkasan!G1965</f>
        <v/>
      </c>
      <c r="H1894" s="64" t="str">
        <f>Ringkasan!H1965</f>
        <v/>
      </c>
      <c r="I1894" s="64" t="str">
        <f>Ringkasan!I1965</f>
        <v/>
      </c>
      <c r="J1894" s="64" t="str">
        <f>Ringkasan!J1965</f>
        <v/>
      </c>
      <c r="K1894" s="64" t="str">
        <f>Ringkasan!K1965</f>
        <v/>
      </c>
      <c r="L1894" s="64" t="str">
        <f>Ringkasan!L1965</f>
        <v/>
      </c>
      <c r="M1894" s="64" t="str">
        <f>Ringkasan!M1965</f>
        <v/>
      </c>
      <c r="N1894" s="64" t="str">
        <f>Ringkasan!N1965</f>
        <v/>
      </c>
      <c r="O1894" s="64" t="str">
        <f>Ringkasan!O1965</f>
        <v/>
      </c>
      <c r="P1894" s="64" t="str">
        <f>Ringkasan!P1965</f>
        <v/>
      </c>
      <c r="Q1894" s="64" t="str">
        <f>Ringkasan!Q1965</f>
        <v/>
      </c>
      <c r="R1894" s="64" t="str">
        <f>Ringkasan!R1965</f>
        <v/>
      </c>
      <c r="S1894" s="64" t="str">
        <f>Ringkasan!S1965</f>
        <v/>
      </c>
      <c r="T1894" s="64" t="str">
        <f>Ringkasan!T1965</f>
        <v/>
      </c>
      <c r="U1894" s="64" t="str">
        <f>Ringkasan!U1965</f>
        <v/>
      </c>
      <c r="V1894" s="64" t="str">
        <f>Ringkasan!V1965</f>
        <v/>
      </c>
      <c r="W1894" s="64" t="str">
        <f>Ringkasan!W1965</f>
        <v/>
      </c>
      <c r="X1894" s="64" t="str">
        <f>Ringkasan!X1965</f>
        <v/>
      </c>
      <c r="Y1894" s="64" t="str">
        <f>Ringkasan!Y1965</f>
        <v/>
      </c>
      <c r="Z1894" s="64" t="str">
        <f>Ringkasan!Z1965</f>
        <v/>
      </c>
      <c r="AA1894" s="64" t="str">
        <f>Ringkasan!AA1965</f>
        <v/>
      </c>
      <c r="AB1894" s="64" t="str">
        <f>Ringkasan!AB1965</f>
        <v/>
      </c>
    </row>
    <row r="1895">
      <c r="A1895" s="64" t="str">
        <f>Ringkasan!A1966</f>
        <v/>
      </c>
      <c r="B1895" s="64" t="str">
        <f>Ringkasan!B1966</f>
        <v/>
      </c>
      <c r="C1895" s="64" t="str">
        <f>Ringkasan!C1966</f>
        <v/>
      </c>
      <c r="D1895" s="64" t="str">
        <f>Ringkasan!D1966</f>
        <v/>
      </c>
      <c r="E1895" s="64" t="str">
        <f>Ringkasan!E1966</f>
        <v/>
      </c>
      <c r="F1895" s="64" t="str">
        <f>Ringkasan!F1966</f>
        <v/>
      </c>
      <c r="G1895" s="64" t="str">
        <f>Ringkasan!G1966</f>
        <v/>
      </c>
      <c r="H1895" s="64" t="str">
        <f>Ringkasan!H1966</f>
        <v/>
      </c>
      <c r="I1895" s="64" t="str">
        <f>Ringkasan!I1966</f>
        <v/>
      </c>
      <c r="J1895" s="64" t="str">
        <f>Ringkasan!J1966</f>
        <v/>
      </c>
      <c r="K1895" s="64" t="str">
        <f>Ringkasan!K1966</f>
        <v/>
      </c>
      <c r="L1895" s="64" t="str">
        <f>Ringkasan!L1966</f>
        <v/>
      </c>
      <c r="M1895" s="64" t="str">
        <f>Ringkasan!M1966</f>
        <v/>
      </c>
      <c r="N1895" s="64" t="str">
        <f>Ringkasan!N1966</f>
        <v/>
      </c>
      <c r="O1895" s="64" t="str">
        <f>Ringkasan!O1966</f>
        <v/>
      </c>
      <c r="P1895" s="64" t="str">
        <f>Ringkasan!P1966</f>
        <v/>
      </c>
      <c r="Q1895" s="64" t="str">
        <f>Ringkasan!Q1966</f>
        <v/>
      </c>
      <c r="R1895" s="64" t="str">
        <f>Ringkasan!R1966</f>
        <v/>
      </c>
      <c r="S1895" s="64" t="str">
        <f>Ringkasan!S1966</f>
        <v/>
      </c>
      <c r="T1895" s="64" t="str">
        <f>Ringkasan!T1966</f>
        <v/>
      </c>
      <c r="U1895" s="64" t="str">
        <f>Ringkasan!U1966</f>
        <v/>
      </c>
      <c r="V1895" s="64" t="str">
        <f>Ringkasan!V1966</f>
        <v/>
      </c>
      <c r="W1895" s="64" t="str">
        <f>Ringkasan!W1966</f>
        <v/>
      </c>
      <c r="X1895" s="64" t="str">
        <f>Ringkasan!X1966</f>
        <v/>
      </c>
      <c r="Y1895" s="64" t="str">
        <f>Ringkasan!Y1966</f>
        <v/>
      </c>
      <c r="Z1895" s="64" t="str">
        <f>Ringkasan!Z1966</f>
        <v/>
      </c>
      <c r="AA1895" s="64" t="str">
        <f>Ringkasan!AA1966</f>
        <v/>
      </c>
      <c r="AB1895" s="64" t="str">
        <f>Ringkasan!AB1966</f>
        <v/>
      </c>
    </row>
    <row r="1896">
      <c r="A1896" s="64" t="str">
        <f>Ringkasan!A1967</f>
        <v/>
      </c>
      <c r="B1896" s="64" t="str">
        <f>Ringkasan!B1967</f>
        <v/>
      </c>
      <c r="C1896" s="64" t="str">
        <f>Ringkasan!C1967</f>
        <v/>
      </c>
      <c r="D1896" s="64" t="str">
        <f>Ringkasan!D1967</f>
        <v/>
      </c>
      <c r="E1896" s="64" t="str">
        <f>Ringkasan!E1967</f>
        <v/>
      </c>
      <c r="F1896" s="64" t="str">
        <f>Ringkasan!F1967</f>
        <v/>
      </c>
      <c r="G1896" s="64" t="str">
        <f>Ringkasan!G1967</f>
        <v/>
      </c>
      <c r="H1896" s="64" t="str">
        <f>Ringkasan!H1967</f>
        <v/>
      </c>
      <c r="I1896" s="64" t="str">
        <f>Ringkasan!I1967</f>
        <v/>
      </c>
      <c r="J1896" s="64" t="str">
        <f>Ringkasan!J1967</f>
        <v/>
      </c>
      <c r="K1896" s="64" t="str">
        <f>Ringkasan!K1967</f>
        <v/>
      </c>
      <c r="L1896" s="64" t="str">
        <f>Ringkasan!L1967</f>
        <v/>
      </c>
      <c r="M1896" s="64" t="str">
        <f>Ringkasan!M1967</f>
        <v/>
      </c>
      <c r="N1896" s="64" t="str">
        <f>Ringkasan!N1967</f>
        <v/>
      </c>
      <c r="O1896" s="64" t="str">
        <f>Ringkasan!O1967</f>
        <v/>
      </c>
      <c r="P1896" s="64" t="str">
        <f>Ringkasan!P1967</f>
        <v/>
      </c>
      <c r="Q1896" s="64" t="str">
        <f>Ringkasan!Q1967</f>
        <v/>
      </c>
      <c r="R1896" s="64" t="str">
        <f>Ringkasan!R1967</f>
        <v/>
      </c>
      <c r="S1896" s="64" t="str">
        <f>Ringkasan!S1967</f>
        <v/>
      </c>
      <c r="T1896" s="64" t="str">
        <f>Ringkasan!T1967</f>
        <v/>
      </c>
      <c r="U1896" s="64" t="str">
        <f>Ringkasan!U1967</f>
        <v/>
      </c>
      <c r="V1896" s="64" t="str">
        <f>Ringkasan!V1967</f>
        <v/>
      </c>
      <c r="W1896" s="64" t="str">
        <f>Ringkasan!W1967</f>
        <v/>
      </c>
      <c r="X1896" s="64" t="str">
        <f>Ringkasan!X1967</f>
        <v/>
      </c>
      <c r="Y1896" s="64" t="str">
        <f>Ringkasan!Y1967</f>
        <v/>
      </c>
      <c r="Z1896" s="64" t="str">
        <f>Ringkasan!Z1967</f>
        <v/>
      </c>
      <c r="AA1896" s="64" t="str">
        <f>Ringkasan!AA1967</f>
        <v/>
      </c>
      <c r="AB1896" s="64" t="str">
        <f>Ringkasan!AB1967</f>
        <v/>
      </c>
    </row>
    <row r="1897">
      <c r="A1897" s="64" t="str">
        <f>Ringkasan!A1968</f>
        <v/>
      </c>
      <c r="B1897" s="64" t="str">
        <f>Ringkasan!B1968</f>
        <v/>
      </c>
      <c r="C1897" s="64" t="str">
        <f>Ringkasan!C1968</f>
        <v/>
      </c>
      <c r="D1897" s="64" t="str">
        <f>Ringkasan!D1968</f>
        <v/>
      </c>
      <c r="E1897" s="64" t="str">
        <f>Ringkasan!E1968</f>
        <v/>
      </c>
      <c r="F1897" s="64" t="str">
        <f>Ringkasan!F1968</f>
        <v/>
      </c>
      <c r="G1897" s="64" t="str">
        <f>Ringkasan!G1968</f>
        <v/>
      </c>
      <c r="H1897" s="64" t="str">
        <f>Ringkasan!H1968</f>
        <v/>
      </c>
      <c r="I1897" s="64" t="str">
        <f>Ringkasan!I1968</f>
        <v/>
      </c>
      <c r="J1897" s="64" t="str">
        <f>Ringkasan!J1968</f>
        <v/>
      </c>
      <c r="K1897" s="64" t="str">
        <f>Ringkasan!K1968</f>
        <v/>
      </c>
      <c r="L1897" s="64" t="str">
        <f>Ringkasan!L1968</f>
        <v/>
      </c>
      <c r="M1897" s="64" t="str">
        <f>Ringkasan!M1968</f>
        <v/>
      </c>
      <c r="N1897" s="64" t="str">
        <f>Ringkasan!N1968</f>
        <v/>
      </c>
      <c r="O1897" s="64" t="str">
        <f>Ringkasan!O1968</f>
        <v/>
      </c>
      <c r="P1897" s="64" t="str">
        <f>Ringkasan!P1968</f>
        <v/>
      </c>
      <c r="Q1897" s="64" t="str">
        <f>Ringkasan!Q1968</f>
        <v/>
      </c>
      <c r="R1897" s="64" t="str">
        <f>Ringkasan!R1968</f>
        <v/>
      </c>
      <c r="S1897" s="64" t="str">
        <f>Ringkasan!S1968</f>
        <v/>
      </c>
      <c r="T1897" s="64" t="str">
        <f>Ringkasan!T1968</f>
        <v/>
      </c>
      <c r="U1897" s="64" t="str">
        <f>Ringkasan!U1968</f>
        <v/>
      </c>
      <c r="V1897" s="64" t="str">
        <f>Ringkasan!V1968</f>
        <v/>
      </c>
      <c r="W1897" s="64" t="str">
        <f>Ringkasan!W1968</f>
        <v/>
      </c>
      <c r="X1897" s="64" t="str">
        <f>Ringkasan!X1968</f>
        <v/>
      </c>
      <c r="Y1897" s="64" t="str">
        <f>Ringkasan!Y1968</f>
        <v/>
      </c>
      <c r="Z1897" s="64" t="str">
        <f>Ringkasan!Z1968</f>
        <v/>
      </c>
      <c r="AA1897" s="64" t="str">
        <f>Ringkasan!AA1968</f>
        <v/>
      </c>
      <c r="AB1897" s="64" t="str">
        <f>Ringkasan!AB1968</f>
        <v/>
      </c>
    </row>
    <row r="1898">
      <c r="A1898" s="64" t="str">
        <f>Ringkasan!A1969</f>
        <v/>
      </c>
      <c r="B1898" s="64" t="str">
        <f>Ringkasan!B1969</f>
        <v/>
      </c>
      <c r="C1898" s="64" t="str">
        <f>Ringkasan!C1969</f>
        <v/>
      </c>
      <c r="D1898" s="64" t="str">
        <f>Ringkasan!D1969</f>
        <v/>
      </c>
      <c r="E1898" s="64" t="str">
        <f>Ringkasan!E1969</f>
        <v/>
      </c>
      <c r="F1898" s="64" t="str">
        <f>Ringkasan!F1969</f>
        <v/>
      </c>
      <c r="G1898" s="64" t="str">
        <f>Ringkasan!G1969</f>
        <v/>
      </c>
      <c r="H1898" s="64" t="str">
        <f>Ringkasan!H1969</f>
        <v/>
      </c>
      <c r="I1898" s="64" t="str">
        <f>Ringkasan!I1969</f>
        <v/>
      </c>
      <c r="J1898" s="64" t="str">
        <f>Ringkasan!J1969</f>
        <v/>
      </c>
      <c r="K1898" s="64" t="str">
        <f>Ringkasan!K1969</f>
        <v/>
      </c>
      <c r="L1898" s="64" t="str">
        <f>Ringkasan!L1969</f>
        <v/>
      </c>
      <c r="M1898" s="64" t="str">
        <f>Ringkasan!M1969</f>
        <v/>
      </c>
      <c r="N1898" s="64" t="str">
        <f>Ringkasan!N1969</f>
        <v/>
      </c>
      <c r="O1898" s="64" t="str">
        <f>Ringkasan!O1969</f>
        <v/>
      </c>
      <c r="P1898" s="64" t="str">
        <f>Ringkasan!P1969</f>
        <v/>
      </c>
      <c r="Q1898" s="64" t="str">
        <f>Ringkasan!Q1969</f>
        <v/>
      </c>
      <c r="R1898" s="64" t="str">
        <f>Ringkasan!R1969</f>
        <v/>
      </c>
      <c r="S1898" s="64" t="str">
        <f>Ringkasan!S1969</f>
        <v/>
      </c>
      <c r="T1898" s="64" t="str">
        <f>Ringkasan!T1969</f>
        <v/>
      </c>
      <c r="U1898" s="64" t="str">
        <f>Ringkasan!U1969</f>
        <v/>
      </c>
      <c r="V1898" s="64" t="str">
        <f>Ringkasan!V1969</f>
        <v/>
      </c>
      <c r="W1898" s="64" t="str">
        <f>Ringkasan!W1969</f>
        <v/>
      </c>
      <c r="X1898" s="64" t="str">
        <f>Ringkasan!X1969</f>
        <v/>
      </c>
      <c r="Y1898" s="64" t="str">
        <f>Ringkasan!Y1969</f>
        <v/>
      </c>
      <c r="Z1898" s="64" t="str">
        <f>Ringkasan!Z1969</f>
        <v/>
      </c>
      <c r="AA1898" s="64" t="str">
        <f>Ringkasan!AA1969</f>
        <v/>
      </c>
      <c r="AB1898" s="64" t="str">
        <f>Ringkasan!AB1969</f>
        <v/>
      </c>
    </row>
    <row r="1899">
      <c r="A1899" s="64" t="str">
        <f>Ringkasan!A1970</f>
        <v/>
      </c>
      <c r="B1899" s="64" t="str">
        <f>Ringkasan!B1970</f>
        <v/>
      </c>
      <c r="C1899" s="64" t="str">
        <f>Ringkasan!C1970</f>
        <v/>
      </c>
      <c r="D1899" s="64" t="str">
        <f>Ringkasan!D1970</f>
        <v/>
      </c>
      <c r="E1899" s="64" t="str">
        <f>Ringkasan!E1970</f>
        <v/>
      </c>
      <c r="F1899" s="64" t="str">
        <f>Ringkasan!F1970</f>
        <v/>
      </c>
      <c r="G1899" s="64" t="str">
        <f>Ringkasan!G1970</f>
        <v/>
      </c>
      <c r="H1899" s="64" t="str">
        <f>Ringkasan!H1970</f>
        <v/>
      </c>
      <c r="I1899" s="64" t="str">
        <f>Ringkasan!I1970</f>
        <v/>
      </c>
      <c r="J1899" s="64" t="str">
        <f>Ringkasan!J1970</f>
        <v/>
      </c>
      <c r="K1899" s="64" t="str">
        <f>Ringkasan!K1970</f>
        <v/>
      </c>
      <c r="L1899" s="64" t="str">
        <f>Ringkasan!L1970</f>
        <v/>
      </c>
      <c r="M1899" s="64" t="str">
        <f>Ringkasan!M1970</f>
        <v/>
      </c>
      <c r="N1899" s="64" t="str">
        <f>Ringkasan!N1970</f>
        <v/>
      </c>
      <c r="O1899" s="64" t="str">
        <f>Ringkasan!O1970</f>
        <v/>
      </c>
      <c r="P1899" s="64" t="str">
        <f>Ringkasan!P1970</f>
        <v/>
      </c>
      <c r="Q1899" s="64" t="str">
        <f>Ringkasan!Q1970</f>
        <v/>
      </c>
      <c r="R1899" s="64" t="str">
        <f>Ringkasan!R1970</f>
        <v/>
      </c>
      <c r="S1899" s="64" t="str">
        <f>Ringkasan!S1970</f>
        <v/>
      </c>
      <c r="T1899" s="64" t="str">
        <f>Ringkasan!T1970</f>
        <v/>
      </c>
      <c r="U1899" s="64" t="str">
        <f>Ringkasan!U1970</f>
        <v/>
      </c>
      <c r="V1899" s="64" t="str">
        <f>Ringkasan!V1970</f>
        <v/>
      </c>
      <c r="W1899" s="64" t="str">
        <f>Ringkasan!W1970</f>
        <v/>
      </c>
      <c r="X1899" s="64" t="str">
        <f>Ringkasan!X1970</f>
        <v/>
      </c>
      <c r="Y1899" s="64" t="str">
        <f>Ringkasan!Y1970</f>
        <v/>
      </c>
      <c r="Z1899" s="64" t="str">
        <f>Ringkasan!Z1970</f>
        <v/>
      </c>
      <c r="AA1899" s="64" t="str">
        <f>Ringkasan!AA1970</f>
        <v/>
      </c>
      <c r="AB1899" s="64" t="str">
        <f>Ringkasan!AB1970</f>
        <v/>
      </c>
    </row>
    <row r="1900">
      <c r="A1900" s="64" t="str">
        <f>Ringkasan!A1971</f>
        <v/>
      </c>
      <c r="B1900" s="64" t="str">
        <f>Ringkasan!B1971</f>
        <v/>
      </c>
      <c r="C1900" s="64" t="str">
        <f>Ringkasan!C1971</f>
        <v/>
      </c>
      <c r="D1900" s="64" t="str">
        <f>Ringkasan!D1971</f>
        <v/>
      </c>
      <c r="E1900" s="64" t="str">
        <f>Ringkasan!E1971</f>
        <v/>
      </c>
      <c r="F1900" s="64" t="str">
        <f>Ringkasan!F1971</f>
        <v/>
      </c>
      <c r="G1900" s="64" t="str">
        <f>Ringkasan!G1971</f>
        <v/>
      </c>
      <c r="H1900" s="64" t="str">
        <f>Ringkasan!H1971</f>
        <v/>
      </c>
      <c r="I1900" s="64" t="str">
        <f>Ringkasan!I1971</f>
        <v/>
      </c>
      <c r="J1900" s="64" t="str">
        <f>Ringkasan!J1971</f>
        <v/>
      </c>
      <c r="K1900" s="64" t="str">
        <f>Ringkasan!K1971</f>
        <v/>
      </c>
      <c r="L1900" s="64" t="str">
        <f>Ringkasan!L1971</f>
        <v/>
      </c>
      <c r="M1900" s="64" t="str">
        <f>Ringkasan!M1971</f>
        <v/>
      </c>
      <c r="N1900" s="64" t="str">
        <f>Ringkasan!N1971</f>
        <v/>
      </c>
      <c r="O1900" s="64" t="str">
        <f>Ringkasan!O1971</f>
        <v/>
      </c>
      <c r="P1900" s="64" t="str">
        <f>Ringkasan!P1971</f>
        <v/>
      </c>
      <c r="Q1900" s="64" t="str">
        <f>Ringkasan!Q1971</f>
        <v/>
      </c>
      <c r="R1900" s="64" t="str">
        <f>Ringkasan!R1971</f>
        <v/>
      </c>
      <c r="S1900" s="64" t="str">
        <f>Ringkasan!S1971</f>
        <v/>
      </c>
      <c r="T1900" s="64" t="str">
        <f>Ringkasan!T1971</f>
        <v/>
      </c>
      <c r="U1900" s="64" t="str">
        <f>Ringkasan!U1971</f>
        <v/>
      </c>
      <c r="V1900" s="64" t="str">
        <f>Ringkasan!V1971</f>
        <v/>
      </c>
      <c r="W1900" s="64" t="str">
        <f>Ringkasan!W1971</f>
        <v/>
      </c>
      <c r="X1900" s="64" t="str">
        <f>Ringkasan!X1971</f>
        <v/>
      </c>
      <c r="Y1900" s="64" t="str">
        <f>Ringkasan!Y1971</f>
        <v/>
      </c>
      <c r="Z1900" s="64" t="str">
        <f>Ringkasan!Z1971</f>
        <v/>
      </c>
      <c r="AA1900" s="64" t="str">
        <f>Ringkasan!AA1971</f>
        <v/>
      </c>
      <c r="AB1900" s="64" t="str">
        <f>Ringkasan!AB1971</f>
        <v/>
      </c>
    </row>
    <row r="1901">
      <c r="A1901" s="64" t="str">
        <f>Ringkasan!A1972</f>
        <v/>
      </c>
      <c r="B1901" s="64" t="str">
        <f>Ringkasan!B1972</f>
        <v/>
      </c>
      <c r="C1901" s="64" t="str">
        <f>Ringkasan!C1972</f>
        <v/>
      </c>
      <c r="D1901" s="64" t="str">
        <f>Ringkasan!D1972</f>
        <v/>
      </c>
      <c r="E1901" s="64" t="str">
        <f>Ringkasan!E1972</f>
        <v/>
      </c>
      <c r="F1901" s="64" t="str">
        <f>Ringkasan!F1972</f>
        <v/>
      </c>
      <c r="G1901" s="64" t="str">
        <f>Ringkasan!G1972</f>
        <v/>
      </c>
      <c r="H1901" s="64" t="str">
        <f>Ringkasan!H1972</f>
        <v/>
      </c>
      <c r="I1901" s="64" t="str">
        <f>Ringkasan!I1972</f>
        <v/>
      </c>
      <c r="J1901" s="64" t="str">
        <f>Ringkasan!J1972</f>
        <v/>
      </c>
      <c r="K1901" s="64" t="str">
        <f>Ringkasan!K1972</f>
        <v/>
      </c>
      <c r="L1901" s="64" t="str">
        <f>Ringkasan!L1972</f>
        <v/>
      </c>
      <c r="M1901" s="64" t="str">
        <f>Ringkasan!M1972</f>
        <v/>
      </c>
      <c r="N1901" s="64" t="str">
        <f>Ringkasan!N1972</f>
        <v/>
      </c>
      <c r="O1901" s="64" t="str">
        <f>Ringkasan!O1972</f>
        <v/>
      </c>
      <c r="P1901" s="64" t="str">
        <f>Ringkasan!P1972</f>
        <v/>
      </c>
      <c r="Q1901" s="64" t="str">
        <f>Ringkasan!Q1972</f>
        <v/>
      </c>
      <c r="R1901" s="64" t="str">
        <f>Ringkasan!R1972</f>
        <v/>
      </c>
      <c r="S1901" s="64" t="str">
        <f>Ringkasan!S1972</f>
        <v/>
      </c>
      <c r="T1901" s="64" t="str">
        <f>Ringkasan!T1972</f>
        <v/>
      </c>
      <c r="U1901" s="64" t="str">
        <f>Ringkasan!U1972</f>
        <v/>
      </c>
      <c r="V1901" s="64" t="str">
        <f>Ringkasan!V1972</f>
        <v/>
      </c>
      <c r="W1901" s="64" t="str">
        <f>Ringkasan!W1972</f>
        <v/>
      </c>
      <c r="X1901" s="64" t="str">
        <f>Ringkasan!X1972</f>
        <v/>
      </c>
      <c r="Y1901" s="64" t="str">
        <f>Ringkasan!Y1972</f>
        <v/>
      </c>
      <c r="Z1901" s="64" t="str">
        <f>Ringkasan!Z1972</f>
        <v/>
      </c>
      <c r="AA1901" s="64" t="str">
        <f>Ringkasan!AA1972</f>
        <v/>
      </c>
      <c r="AB1901" s="64" t="str">
        <f>Ringkasan!AB1972</f>
        <v/>
      </c>
    </row>
    <row r="1902">
      <c r="A1902" s="64" t="str">
        <f>Ringkasan!A1973</f>
        <v/>
      </c>
      <c r="B1902" s="64" t="str">
        <f>Ringkasan!B1973</f>
        <v/>
      </c>
      <c r="C1902" s="64" t="str">
        <f>Ringkasan!C1973</f>
        <v/>
      </c>
      <c r="D1902" s="64" t="str">
        <f>Ringkasan!D1973</f>
        <v/>
      </c>
      <c r="E1902" s="64" t="str">
        <f>Ringkasan!E1973</f>
        <v/>
      </c>
      <c r="F1902" s="64" t="str">
        <f>Ringkasan!F1973</f>
        <v/>
      </c>
      <c r="G1902" s="64" t="str">
        <f>Ringkasan!G1973</f>
        <v/>
      </c>
      <c r="H1902" s="64" t="str">
        <f>Ringkasan!H1973</f>
        <v/>
      </c>
      <c r="I1902" s="64" t="str">
        <f>Ringkasan!I1973</f>
        <v/>
      </c>
      <c r="J1902" s="64" t="str">
        <f>Ringkasan!J1973</f>
        <v/>
      </c>
      <c r="K1902" s="64" t="str">
        <f>Ringkasan!K1973</f>
        <v/>
      </c>
      <c r="L1902" s="64" t="str">
        <f>Ringkasan!L1973</f>
        <v/>
      </c>
      <c r="M1902" s="64" t="str">
        <f>Ringkasan!M1973</f>
        <v/>
      </c>
      <c r="N1902" s="64" t="str">
        <f>Ringkasan!N1973</f>
        <v/>
      </c>
      <c r="O1902" s="64" t="str">
        <f>Ringkasan!O1973</f>
        <v/>
      </c>
      <c r="P1902" s="64" t="str">
        <f>Ringkasan!P1973</f>
        <v/>
      </c>
      <c r="Q1902" s="64" t="str">
        <f>Ringkasan!Q1973</f>
        <v/>
      </c>
      <c r="R1902" s="64" t="str">
        <f>Ringkasan!R1973</f>
        <v/>
      </c>
      <c r="S1902" s="64" t="str">
        <f>Ringkasan!S1973</f>
        <v/>
      </c>
      <c r="T1902" s="64" t="str">
        <f>Ringkasan!T1973</f>
        <v/>
      </c>
      <c r="U1902" s="64" t="str">
        <f>Ringkasan!U1973</f>
        <v/>
      </c>
      <c r="V1902" s="64" t="str">
        <f>Ringkasan!V1973</f>
        <v/>
      </c>
      <c r="W1902" s="64" t="str">
        <f>Ringkasan!W1973</f>
        <v/>
      </c>
      <c r="X1902" s="64" t="str">
        <f>Ringkasan!X1973</f>
        <v/>
      </c>
      <c r="Y1902" s="64" t="str">
        <f>Ringkasan!Y1973</f>
        <v/>
      </c>
      <c r="Z1902" s="64" t="str">
        <f>Ringkasan!Z1973</f>
        <v/>
      </c>
      <c r="AA1902" s="64" t="str">
        <f>Ringkasan!AA1973</f>
        <v/>
      </c>
      <c r="AB1902" s="64" t="str">
        <f>Ringkasan!AB1973</f>
        <v/>
      </c>
    </row>
    <row r="1903">
      <c r="A1903" s="64" t="str">
        <f>Ringkasan!A1974</f>
        <v/>
      </c>
      <c r="B1903" s="64" t="str">
        <f>Ringkasan!B1974</f>
        <v/>
      </c>
      <c r="C1903" s="64" t="str">
        <f>Ringkasan!C1974</f>
        <v/>
      </c>
      <c r="D1903" s="64" t="str">
        <f>Ringkasan!D1974</f>
        <v/>
      </c>
      <c r="E1903" s="64" t="str">
        <f>Ringkasan!E1974</f>
        <v/>
      </c>
      <c r="F1903" s="64" t="str">
        <f>Ringkasan!F1974</f>
        <v/>
      </c>
      <c r="G1903" s="64" t="str">
        <f>Ringkasan!G1974</f>
        <v/>
      </c>
      <c r="H1903" s="64" t="str">
        <f>Ringkasan!H1974</f>
        <v/>
      </c>
      <c r="I1903" s="64" t="str">
        <f>Ringkasan!I1974</f>
        <v/>
      </c>
      <c r="J1903" s="64" t="str">
        <f>Ringkasan!J1974</f>
        <v/>
      </c>
      <c r="K1903" s="64" t="str">
        <f>Ringkasan!K1974</f>
        <v/>
      </c>
      <c r="L1903" s="64" t="str">
        <f>Ringkasan!L1974</f>
        <v/>
      </c>
      <c r="M1903" s="64" t="str">
        <f>Ringkasan!M1974</f>
        <v/>
      </c>
      <c r="N1903" s="64" t="str">
        <f>Ringkasan!N1974</f>
        <v/>
      </c>
      <c r="O1903" s="64" t="str">
        <f>Ringkasan!O1974</f>
        <v/>
      </c>
      <c r="P1903" s="64" t="str">
        <f>Ringkasan!P1974</f>
        <v/>
      </c>
      <c r="Q1903" s="64" t="str">
        <f>Ringkasan!Q1974</f>
        <v/>
      </c>
      <c r="R1903" s="64" t="str">
        <f>Ringkasan!R1974</f>
        <v/>
      </c>
      <c r="S1903" s="64" t="str">
        <f>Ringkasan!S1974</f>
        <v/>
      </c>
      <c r="T1903" s="64" t="str">
        <f>Ringkasan!T1974</f>
        <v/>
      </c>
      <c r="U1903" s="64" t="str">
        <f>Ringkasan!U1974</f>
        <v/>
      </c>
      <c r="V1903" s="64" t="str">
        <f>Ringkasan!V1974</f>
        <v/>
      </c>
      <c r="W1903" s="64" t="str">
        <f>Ringkasan!W1974</f>
        <v/>
      </c>
      <c r="X1903" s="64" t="str">
        <f>Ringkasan!X1974</f>
        <v/>
      </c>
      <c r="Y1903" s="64" t="str">
        <f>Ringkasan!Y1974</f>
        <v/>
      </c>
      <c r="Z1903" s="64" t="str">
        <f>Ringkasan!Z1974</f>
        <v/>
      </c>
      <c r="AA1903" s="64" t="str">
        <f>Ringkasan!AA1974</f>
        <v/>
      </c>
      <c r="AB1903" s="64" t="str">
        <f>Ringkasan!AB1974</f>
        <v/>
      </c>
    </row>
    <row r="1904">
      <c r="A1904" s="64" t="str">
        <f>Ringkasan!A1975</f>
        <v/>
      </c>
      <c r="B1904" s="64" t="str">
        <f>Ringkasan!B1975</f>
        <v/>
      </c>
      <c r="C1904" s="64" t="str">
        <f>Ringkasan!C1975</f>
        <v/>
      </c>
      <c r="D1904" s="64" t="str">
        <f>Ringkasan!D1975</f>
        <v/>
      </c>
      <c r="E1904" s="64" t="str">
        <f>Ringkasan!E1975</f>
        <v/>
      </c>
      <c r="F1904" s="64" t="str">
        <f>Ringkasan!F1975</f>
        <v/>
      </c>
      <c r="G1904" s="64" t="str">
        <f>Ringkasan!G1975</f>
        <v/>
      </c>
      <c r="H1904" s="64" t="str">
        <f>Ringkasan!H1975</f>
        <v/>
      </c>
      <c r="I1904" s="64" t="str">
        <f>Ringkasan!I1975</f>
        <v/>
      </c>
      <c r="J1904" s="64" t="str">
        <f>Ringkasan!J1975</f>
        <v/>
      </c>
      <c r="K1904" s="64" t="str">
        <f>Ringkasan!K1975</f>
        <v/>
      </c>
      <c r="L1904" s="64" t="str">
        <f>Ringkasan!L1975</f>
        <v/>
      </c>
      <c r="M1904" s="64" t="str">
        <f>Ringkasan!M1975</f>
        <v/>
      </c>
      <c r="N1904" s="64" t="str">
        <f>Ringkasan!N1975</f>
        <v/>
      </c>
      <c r="O1904" s="64" t="str">
        <f>Ringkasan!O1975</f>
        <v/>
      </c>
      <c r="P1904" s="64" t="str">
        <f>Ringkasan!P1975</f>
        <v/>
      </c>
      <c r="Q1904" s="64" t="str">
        <f>Ringkasan!Q1975</f>
        <v/>
      </c>
      <c r="R1904" s="64" t="str">
        <f>Ringkasan!R1975</f>
        <v/>
      </c>
      <c r="S1904" s="64" t="str">
        <f>Ringkasan!S1975</f>
        <v/>
      </c>
      <c r="T1904" s="64" t="str">
        <f>Ringkasan!T1975</f>
        <v/>
      </c>
      <c r="U1904" s="64" t="str">
        <f>Ringkasan!U1975</f>
        <v/>
      </c>
      <c r="V1904" s="64" t="str">
        <f>Ringkasan!V1975</f>
        <v/>
      </c>
      <c r="W1904" s="64" t="str">
        <f>Ringkasan!W1975</f>
        <v/>
      </c>
      <c r="X1904" s="64" t="str">
        <f>Ringkasan!X1975</f>
        <v/>
      </c>
      <c r="Y1904" s="64" t="str">
        <f>Ringkasan!Y1975</f>
        <v/>
      </c>
      <c r="Z1904" s="64" t="str">
        <f>Ringkasan!Z1975</f>
        <v/>
      </c>
      <c r="AA1904" s="64" t="str">
        <f>Ringkasan!AA1975</f>
        <v/>
      </c>
      <c r="AB1904" s="64" t="str">
        <f>Ringkasan!AB1975</f>
        <v/>
      </c>
    </row>
    <row r="1905">
      <c r="A1905" s="64" t="str">
        <f>Ringkasan!A1976</f>
        <v/>
      </c>
      <c r="B1905" s="64" t="str">
        <f>Ringkasan!B1976</f>
        <v/>
      </c>
      <c r="C1905" s="64" t="str">
        <f>Ringkasan!C1976</f>
        <v/>
      </c>
      <c r="D1905" s="64" t="str">
        <f>Ringkasan!D1976</f>
        <v/>
      </c>
      <c r="E1905" s="64" t="str">
        <f>Ringkasan!E1976</f>
        <v/>
      </c>
      <c r="F1905" s="64" t="str">
        <f>Ringkasan!F1976</f>
        <v/>
      </c>
      <c r="G1905" s="64" t="str">
        <f>Ringkasan!G1976</f>
        <v/>
      </c>
      <c r="H1905" s="64" t="str">
        <f>Ringkasan!H1976</f>
        <v/>
      </c>
      <c r="I1905" s="64" t="str">
        <f>Ringkasan!I1976</f>
        <v/>
      </c>
      <c r="J1905" s="64" t="str">
        <f>Ringkasan!J1976</f>
        <v/>
      </c>
      <c r="K1905" s="64" t="str">
        <f>Ringkasan!K1976</f>
        <v/>
      </c>
      <c r="L1905" s="64" t="str">
        <f>Ringkasan!L1976</f>
        <v/>
      </c>
      <c r="M1905" s="64" t="str">
        <f>Ringkasan!M1976</f>
        <v/>
      </c>
      <c r="N1905" s="64" t="str">
        <f>Ringkasan!N1976</f>
        <v/>
      </c>
      <c r="O1905" s="64" t="str">
        <f>Ringkasan!O1976</f>
        <v/>
      </c>
      <c r="P1905" s="64" t="str">
        <f>Ringkasan!P1976</f>
        <v/>
      </c>
      <c r="Q1905" s="64" t="str">
        <f>Ringkasan!Q1976</f>
        <v/>
      </c>
      <c r="R1905" s="64" t="str">
        <f>Ringkasan!R1976</f>
        <v/>
      </c>
      <c r="S1905" s="64" t="str">
        <f>Ringkasan!S1976</f>
        <v/>
      </c>
      <c r="T1905" s="64" t="str">
        <f>Ringkasan!T1976</f>
        <v/>
      </c>
      <c r="U1905" s="64" t="str">
        <f>Ringkasan!U1976</f>
        <v/>
      </c>
      <c r="V1905" s="64" t="str">
        <f>Ringkasan!V1976</f>
        <v/>
      </c>
      <c r="W1905" s="64" t="str">
        <f>Ringkasan!W1976</f>
        <v/>
      </c>
      <c r="X1905" s="64" t="str">
        <f>Ringkasan!X1976</f>
        <v/>
      </c>
      <c r="Y1905" s="64" t="str">
        <f>Ringkasan!Y1976</f>
        <v/>
      </c>
      <c r="Z1905" s="64" t="str">
        <f>Ringkasan!Z1976</f>
        <v/>
      </c>
      <c r="AA1905" s="64" t="str">
        <f>Ringkasan!AA1976</f>
        <v/>
      </c>
      <c r="AB1905" s="64" t="str">
        <f>Ringkasan!AB1976</f>
        <v/>
      </c>
    </row>
    <row r="1906">
      <c r="A1906" s="64" t="str">
        <f>Ringkasan!A1977</f>
        <v/>
      </c>
      <c r="B1906" s="64" t="str">
        <f>Ringkasan!B1977</f>
        <v/>
      </c>
      <c r="C1906" s="64" t="str">
        <f>Ringkasan!C1977</f>
        <v/>
      </c>
      <c r="D1906" s="64" t="str">
        <f>Ringkasan!D1977</f>
        <v/>
      </c>
      <c r="E1906" s="64" t="str">
        <f>Ringkasan!E1977</f>
        <v/>
      </c>
      <c r="F1906" s="64" t="str">
        <f>Ringkasan!F1977</f>
        <v/>
      </c>
      <c r="G1906" s="64" t="str">
        <f>Ringkasan!G1977</f>
        <v/>
      </c>
      <c r="H1906" s="64" t="str">
        <f>Ringkasan!H1977</f>
        <v/>
      </c>
      <c r="I1906" s="64" t="str">
        <f>Ringkasan!I1977</f>
        <v/>
      </c>
      <c r="J1906" s="64" t="str">
        <f>Ringkasan!J1977</f>
        <v/>
      </c>
      <c r="K1906" s="64" t="str">
        <f>Ringkasan!K1977</f>
        <v/>
      </c>
      <c r="L1906" s="64" t="str">
        <f>Ringkasan!L1977</f>
        <v/>
      </c>
      <c r="M1906" s="64" t="str">
        <f>Ringkasan!M1977</f>
        <v/>
      </c>
      <c r="N1906" s="64" t="str">
        <f>Ringkasan!N1977</f>
        <v/>
      </c>
      <c r="O1906" s="64" t="str">
        <f>Ringkasan!O1977</f>
        <v/>
      </c>
      <c r="P1906" s="64" t="str">
        <f>Ringkasan!P1977</f>
        <v/>
      </c>
      <c r="Q1906" s="64" t="str">
        <f>Ringkasan!Q1977</f>
        <v/>
      </c>
      <c r="R1906" s="64" t="str">
        <f>Ringkasan!R1977</f>
        <v/>
      </c>
      <c r="S1906" s="64" t="str">
        <f>Ringkasan!S1977</f>
        <v/>
      </c>
      <c r="T1906" s="64" t="str">
        <f>Ringkasan!T1977</f>
        <v/>
      </c>
      <c r="U1906" s="64" t="str">
        <f>Ringkasan!U1977</f>
        <v/>
      </c>
      <c r="V1906" s="64" t="str">
        <f>Ringkasan!V1977</f>
        <v/>
      </c>
      <c r="W1906" s="64" t="str">
        <f>Ringkasan!W1977</f>
        <v/>
      </c>
      <c r="X1906" s="64" t="str">
        <f>Ringkasan!X1977</f>
        <v/>
      </c>
      <c r="Y1906" s="64" t="str">
        <f>Ringkasan!Y1977</f>
        <v/>
      </c>
      <c r="Z1906" s="64" t="str">
        <f>Ringkasan!Z1977</f>
        <v/>
      </c>
      <c r="AA1906" s="64" t="str">
        <f>Ringkasan!AA1977</f>
        <v/>
      </c>
      <c r="AB1906" s="64" t="str">
        <f>Ringkasan!AB1977</f>
        <v/>
      </c>
    </row>
    <row r="1907">
      <c r="A1907" s="64" t="str">
        <f>Ringkasan!A1978</f>
        <v/>
      </c>
      <c r="B1907" s="64" t="str">
        <f>Ringkasan!B1978</f>
        <v/>
      </c>
      <c r="C1907" s="64" t="str">
        <f>Ringkasan!C1978</f>
        <v/>
      </c>
      <c r="D1907" s="64" t="str">
        <f>Ringkasan!D1978</f>
        <v/>
      </c>
      <c r="E1907" s="64" t="str">
        <f>Ringkasan!E1978</f>
        <v/>
      </c>
      <c r="F1907" s="64" t="str">
        <f>Ringkasan!F1978</f>
        <v/>
      </c>
      <c r="G1907" s="64" t="str">
        <f>Ringkasan!G1978</f>
        <v/>
      </c>
      <c r="H1907" s="64" t="str">
        <f>Ringkasan!H1978</f>
        <v/>
      </c>
      <c r="I1907" s="64" t="str">
        <f>Ringkasan!I1978</f>
        <v/>
      </c>
      <c r="J1907" s="64" t="str">
        <f>Ringkasan!J1978</f>
        <v/>
      </c>
      <c r="K1907" s="64" t="str">
        <f>Ringkasan!K1978</f>
        <v/>
      </c>
      <c r="L1907" s="64" t="str">
        <f>Ringkasan!L1978</f>
        <v/>
      </c>
      <c r="M1907" s="64" t="str">
        <f>Ringkasan!M1978</f>
        <v/>
      </c>
      <c r="N1907" s="64" t="str">
        <f>Ringkasan!N1978</f>
        <v/>
      </c>
      <c r="O1907" s="64" t="str">
        <f>Ringkasan!O1978</f>
        <v/>
      </c>
      <c r="P1907" s="64" t="str">
        <f>Ringkasan!P1978</f>
        <v/>
      </c>
      <c r="Q1907" s="64" t="str">
        <f>Ringkasan!Q1978</f>
        <v/>
      </c>
      <c r="R1907" s="64" t="str">
        <f>Ringkasan!R1978</f>
        <v/>
      </c>
      <c r="S1907" s="64" t="str">
        <f>Ringkasan!S1978</f>
        <v/>
      </c>
      <c r="T1907" s="64" t="str">
        <f>Ringkasan!T1978</f>
        <v/>
      </c>
      <c r="U1907" s="64" t="str">
        <f>Ringkasan!U1978</f>
        <v/>
      </c>
      <c r="V1907" s="64" t="str">
        <f>Ringkasan!V1978</f>
        <v/>
      </c>
      <c r="W1907" s="64" t="str">
        <f>Ringkasan!W1978</f>
        <v/>
      </c>
      <c r="X1907" s="64" t="str">
        <f>Ringkasan!X1978</f>
        <v/>
      </c>
      <c r="Y1907" s="64" t="str">
        <f>Ringkasan!Y1978</f>
        <v/>
      </c>
      <c r="Z1907" s="64" t="str">
        <f>Ringkasan!Z1978</f>
        <v/>
      </c>
      <c r="AA1907" s="64" t="str">
        <f>Ringkasan!AA1978</f>
        <v/>
      </c>
      <c r="AB1907" s="64" t="str">
        <f>Ringkasan!AB1978</f>
        <v/>
      </c>
    </row>
    <row r="1908">
      <c r="A1908" s="64" t="str">
        <f>Ringkasan!A1979</f>
        <v/>
      </c>
      <c r="B1908" s="64" t="str">
        <f>Ringkasan!B1979</f>
        <v/>
      </c>
      <c r="C1908" s="64" t="str">
        <f>Ringkasan!C1979</f>
        <v/>
      </c>
      <c r="D1908" s="64" t="str">
        <f>Ringkasan!D1979</f>
        <v/>
      </c>
      <c r="E1908" s="64" t="str">
        <f>Ringkasan!E1979</f>
        <v/>
      </c>
      <c r="F1908" s="64" t="str">
        <f>Ringkasan!F1979</f>
        <v/>
      </c>
      <c r="G1908" s="64" t="str">
        <f>Ringkasan!G1979</f>
        <v/>
      </c>
      <c r="H1908" s="64" t="str">
        <f>Ringkasan!H1979</f>
        <v/>
      </c>
      <c r="I1908" s="64" t="str">
        <f>Ringkasan!I1979</f>
        <v/>
      </c>
      <c r="J1908" s="64" t="str">
        <f>Ringkasan!J1979</f>
        <v/>
      </c>
      <c r="K1908" s="64" t="str">
        <f>Ringkasan!K1979</f>
        <v/>
      </c>
      <c r="L1908" s="64" t="str">
        <f>Ringkasan!L1979</f>
        <v/>
      </c>
      <c r="M1908" s="64" t="str">
        <f>Ringkasan!M1979</f>
        <v/>
      </c>
      <c r="N1908" s="64" t="str">
        <f>Ringkasan!N1979</f>
        <v/>
      </c>
      <c r="O1908" s="64" t="str">
        <f>Ringkasan!O1979</f>
        <v/>
      </c>
      <c r="P1908" s="64" t="str">
        <f>Ringkasan!P1979</f>
        <v/>
      </c>
      <c r="Q1908" s="64" t="str">
        <f>Ringkasan!Q1979</f>
        <v/>
      </c>
      <c r="R1908" s="64" t="str">
        <f>Ringkasan!R1979</f>
        <v/>
      </c>
      <c r="S1908" s="64" t="str">
        <f>Ringkasan!S1979</f>
        <v/>
      </c>
      <c r="T1908" s="64" t="str">
        <f>Ringkasan!T1979</f>
        <v/>
      </c>
      <c r="U1908" s="64" t="str">
        <f>Ringkasan!U1979</f>
        <v/>
      </c>
      <c r="V1908" s="64" t="str">
        <f>Ringkasan!V1979</f>
        <v/>
      </c>
      <c r="W1908" s="64" t="str">
        <f>Ringkasan!W1979</f>
        <v/>
      </c>
      <c r="X1908" s="64" t="str">
        <f>Ringkasan!X1979</f>
        <v/>
      </c>
      <c r="Y1908" s="64" t="str">
        <f>Ringkasan!Y1979</f>
        <v/>
      </c>
      <c r="Z1908" s="64" t="str">
        <f>Ringkasan!Z1979</f>
        <v/>
      </c>
      <c r="AA1908" s="64" t="str">
        <f>Ringkasan!AA1979</f>
        <v/>
      </c>
      <c r="AB1908" s="64" t="str">
        <f>Ringkasan!AB1979</f>
        <v/>
      </c>
    </row>
    <row r="1909">
      <c r="A1909" s="64" t="str">
        <f>Ringkasan!A1980</f>
        <v/>
      </c>
      <c r="B1909" s="64" t="str">
        <f>Ringkasan!B1980</f>
        <v/>
      </c>
      <c r="C1909" s="64" t="str">
        <f>Ringkasan!C1980</f>
        <v/>
      </c>
      <c r="D1909" s="64" t="str">
        <f>Ringkasan!D1980</f>
        <v/>
      </c>
      <c r="E1909" s="64" t="str">
        <f>Ringkasan!E1980</f>
        <v/>
      </c>
      <c r="F1909" s="64" t="str">
        <f>Ringkasan!F1980</f>
        <v/>
      </c>
      <c r="G1909" s="64" t="str">
        <f>Ringkasan!G1980</f>
        <v/>
      </c>
      <c r="H1909" s="64" t="str">
        <f>Ringkasan!H1980</f>
        <v/>
      </c>
      <c r="I1909" s="64" t="str">
        <f>Ringkasan!I1980</f>
        <v/>
      </c>
      <c r="J1909" s="64" t="str">
        <f>Ringkasan!J1980</f>
        <v/>
      </c>
      <c r="K1909" s="64" t="str">
        <f>Ringkasan!K1980</f>
        <v/>
      </c>
      <c r="L1909" s="64" t="str">
        <f>Ringkasan!L1980</f>
        <v/>
      </c>
      <c r="M1909" s="64" t="str">
        <f>Ringkasan!M1980</f>
        <v/>
      </c>
      <c r="N1909" s="64" t="str">
        <f>Ringkasan!N1980</f>
        <v/>
      </c>
      <c r="O1909" s="64" t="str">
        <f>Ringkasan!O1980</f>
        <v/>
      </c>
      <c r="P1909" s="64" t="str">
        <f>Ringkasan!P1980</f>
        <v/>
      </c>
      <c r="Q1909" s="64" t="str">
        <f>Ringkasan!Q1980</f>
        <v/>
      </c>
      <c r="R1909" s="64" t="str">
        <f>Ringkasan!R1980</f>
        <v/>
      </c>
      <c r="S1909" s="64" t="str">
        <f>Ringkasan!S1980</f>
        <v/>
      </c>
      <c r="T1909" s="64" t="str">
        <f>Ringkasan!T1980</f>
        <v/>
      </c>
      <c r="U1909" s="64" t="str">
        <f>Ringkasan!U1980</f>
        <v/>
      </c>
      <c r="V1909" s="64" t="str">
        <f>Ringkasan!V1980</f>
        <v/>
      </c>
      <c r="W1909" s="64" t="str">
        <f>Ringkasan!W1980</f>
        <v/>
      </c>
      <c r="X1909" s="64" t="str">
        <f>Ringkasan!X1980</f>
        <v/>
      </c>
      <c r="Y1909" s="64" t="str">
        <f>Ringkasan!Y1980</f>
        <v/>
      </c>
      <c r="Z1909" s="64" t="str">
        <f>Ringkasan!Z1980</f>
        <v/>
      </c>
      <c r="AA1909" s="64" t="str">
        <f>Ringkasan!AA1980</f>
        <v/>
      </c>
      <c r="AB1909" s="64" t="str">
        <f>Ringkasan!AB1980</f>
        <v/>
      </c>
    </row>
    <row r="1910">
      <c r="A1910" s="64" t="str">
        <f>Ringkasan!A1981</f>
        <v/>
      </c>
      <c r="B1910" s="64" t="str">
        <f>Ringkasan!B1981</f>
        <v/>
      </c>
      <c r="C1910" s="64" t="str">
        <f>Ringkasan!C1981</f>
        <v/>
      </c>
      <c r="D1910" s="64" t="str">
        <f>Ringkasan!D1981</f>
        <v/>
      </c>
      <c r="E1910" s="64" t="str">
        <f>Ringkasan!E1981</f>
        <v/>
      </c>
      <c r="F1910" s="64" t="str">
        <f>Ringkasan!F1981</f>
        <v/>
      </c>
      <c r="G1910" s="64" t="str">
        <f>Ringkasan!G1981</f>
        <v/>
      </c>
      <c r="H1910" s="64" t="str">
        <f>Ringkasan!H1981</f>
        <v/>
      </c>
      <c r="I1910" s="64" t="str">
        <f>Ringkasan!I1981</f>
        <v/>
      </c>
      <c r="J1910" s="64" t="str">
        <f>Ringkasan!J1981</f>
        <v/>
      </c>
      <c r="K1910" s="64" t="str">
        <f>Ringkasan!K1981</f>
        <v/>
      </c>
      <c r="L1910" s="64" t="str">
        <f>Ringkasan!L1981</f>
        <v/>
      </c>
      <c r="M1910" s="64" t="str">
        <f>Ringkasan!M1981</f>
        <v/>
      </c>
      <c r="N1910" s="64" t="str">
        <f>Ringkasan!N1981</f>
        <v/>
      </c>
      <c r="O1910" s="64" t="str">
        <f>Ringkasan!O1981</f>
        <v/>
      </c>
      <c r="P1910" s="64" t="str">
        <f>Ringkasan!P1981</f>
        <v/>
      </c>
      <c r="Q1910" s="64" t="str">
        <f>Ringkasan!Q1981</f>
        <v/>
      </c>
      <c r="R1910" s="64" t="str">
        <f>Ringkasan!R1981</f>
        <v/>
      </c>
      <c r="S1910" s="64" t="str">
        <f>Ringkasan!S1981</f>
        <v/>
      </c>
      <c r="T1910" s="64" t="str">
        <f>Ringkasan!T1981</f>
        <v/>
      </c>
      <c r="U1910" s="64" t="str">
        <f>Ringkasan!U1981</f>
        <v/>
      </c>
      <c r="V1910" s="64" t="str">
        <f>Ringkasan!V1981</f>
        <v/>
      </c>
      <c r="W1910" s="64" t="str">
        <f>Ringkasan!W1981</f>
        <v/>
      </c>
      <c r="X1910" s="64" t="str">
        <f>Ringkasan!X1981</f>
        <v/>
      </c>
      <c r="Y1910" s="64" t="str">
        <f>Ringkasan!Y1981</f>
        <v/>
      </c>
      <c r="Z1910" s="64" t="str">
        <f>Ringkasan!Z1981</f>
        <v/>
      </c>
      <c r="AA1910" s="64" t="str">
        <f>Ringkasan!AA1981</f>
        <v/>
      </c>
      <c r="AB1910" s="64" t="str">
        <f>Ringkasan!AB1981</f>
        <v/>
      </c>
    </row>
    <row r="1911">
      <c r="A1911" s="64" t="str">
        <f>Ringkasan!A1982</f>
        <v/>
      </c>
      <c r="B1911" s="64" t="str">
        <f>Ringkasan!B1982</f>
        <v/>
      </c>
      <c r="C1911" s="64" t="str">
        <f>Ringkasan!C1982</f>
        <v/>
      </c>
      <c r="D1911" s="64" t="str">
        <f>Ringkasan!D1982</f>
        <v/>
      </c>
      <c r="E1911" s="64" t="str">
        <f>Ringkasan!E1982</f>
        <v/>
      </c>
      <c r="F1911" s="64" t="str">
        <f>Ringkasan!F1982</f>
        <v/>
      </c>
      <c r="G1911" s="64" t="str">
        <f>Ringkasan!G1982</f>
        <v/>
      </c>
      <c r="H1911" s="64" t="str">
        <f>Ringkasan!H1982</f>
        <v/>
      </c>
      <c r="I1911" s="64" t="str">
        <f>Ringkasan!I1982</f>
        <v/>
      </c>
      <c r="J1911" s="64" t="str">
        <f>Ringkasan!J1982</f>
        <v/>
      </c>
      <c r="K1911" s="64" t="str">
        <f>Ringkasan!K1982</f>
        <v/>
      </c>
      <c r="L1911" s="64" t="str">
        <f>Ringkasan!L1982</f>
        <v/>
      </c>
      <c r="M1911" s="64" t="str">
        <f>Ringkasan!M1982</f>
        <v/>
      </c>
      <c r="N1911" s="64" t="str">
        <f>Ringkasan!N1982</f>
        <v/>
      </c>
      <c r="O1911" s="64" t="str">
        <f>Ringkasan!O1982</f>
        <v/>
      </c>
      <c r="P1911" s="64" t="str">
        <f>Ringkasan!P1982</f>
        <v/>
      </c>
      <c r="Q1911" s="64" t="str">
        <f>Ringkasan!Q1982</f>
        <v/>
      </c>
      <c r="R1911" s="64" t="str">
        <f>Ringkasan!R1982</f>
        <v/>
      </c>
      <c r="S1911" s="64" t="str">
        <f>Ringkasan!S1982</f>
        <v/>
      </c>
      <c r="T1911" s="64" t="str">
        <f>Ringkasan!T1982</f>
        <v/>
      </c>
      <c r="U1911" s="64" t="str">
        <f>Ringkasan!U1982</f>
        <v/>
      </c>
      <c r="V1911" s="64" t="str">
        <f>Ringkasan!V1982</f>
        <v/>
      </c>
      <c r="W1911" s="64" t="str">
        <f>Ringkasan!W1982</f>
        <v/>
      </c>
      <c r="X1911" s="64" t="str">
        <f>Ringkasan!X1982</f>
        <v/>
      </c>
      <c r="Y1911" s="64" t="str">
        <f>Ringkasan!Y1982</f>
        <v/>
      </c>
      <c r="Z1911" s="64" t="str">
        <f>Ringkasan!Z1982</f>
        <v/>
      </c>
      <c r="AA1911" s="64" t="str">
        <f>Ringkasan!AA1982</f>
        <v/>
      </c>
      <c r="AB1911" s="64" t="str">
        <f>Ringkasan!AB1982</f>
        <v/>
      </c>
    </row>
    <row r="1912">
      <c r="A1912" s="64" t="str">
        <f>Ringkasan!A1983</f>
        <v/>
      </c>
      <c r="B1912" s="64" t="str">
        <f>Ringkasan!B1983</f>
        <v/>
      </c>
      <c r="C1912" s="64" t="str">
        <f>Ringkasan!C1983</f>
        <v/>
      </c>
      <c r="D1912" s="64" t="str">
        <f>Ringkasan!D1983</f>
        <v/>
      </c>
      <c r="E1912" s="64" t="str">
        <f>Ringkasan!E1983</f>
        <v/>
      </c>
      <c r="F1912" s="64" t="str">
        <f>Ringkasan!F1983</f>
        <v/>
      </c>
      <c r="G1912" s="64" t="str">
        <f>Ringkasan!G1983</f>
        <v/>
      </c>
      <c r="H1912" s="64" t="str">
        <f>Ringkasan!H1983</f>
        <v/>
      </c>
      <c r="I1912" s="64" t="str">
        <f>Ringkasan!I1983</f>
        <v/>
      </c>
      <c r="J1912" s="64" t="str">
        <f>Ringkasan!J1983</f>
        <v/>
      </c>
      <c r="K1912" s="64" t="str">
        <f>Ringkasan!K1983</f>
        <v/>
      </c>
      <c r="L1912" s="64" t="str">
        <f>Ringkasan!L1983</f>
        <v/>
      </c>
      <c r="M1912" s="64" t="str">
        <f>Ringkasan!M1983</f>
        <v/>
      </c>
      <c r="N1912" s="64" t="str">
        <f>Ringkasan!N1983</f>
        <v/>
      </c>
      <c r="O1912" s="64" t="str">
        <f>Ringkasan!O1983</f>
        <v/>
      </c>
      <c r="P1912" s="64" t="str">
        <f>Ringkasan!P1983</f>
        <v/>
      </c>
      <c r="Q1912" s="64" t="str">
        <f>Ringkasan!Q1983</f>
        <v/>
      </c>
      <c r="R1912" s="64" t="str">
        <f>Ringkasan!R1983</f>
        <v/>
      </c>
      <c r="S1912" s="64" t="str">
        <f>Ringkasan!S1983</f>
        <v/>
      </c>
      <c r="T1912" s="64" t="str">
        <f>Ringkasan!T1983</f>
        <v/>
      </c>
      <c r="U1912" s="64" t="str">
        <f>Ringkasan!U1983</f>
        <v/>
      </c>
      <c r="V1912" s="64" t="str">
        <f>Ringkasan!V1983</f>
        <v/>
      </c>
      <c r="W1912" s="64" t="str">
        <f>Ringkasan!W1983</f>
        <v/>
      </c>
      <c r="X1912" s="64" t="str">
        <f>Ringkasan!X1983</f>
        <v/>
      </c>
      <c r="Y1912" s="64" t="str">
        <f>Ringkasan!Y1983</f>
        <v/>
      </c>
      <c r="Z1912" s="64" t="str">
        <f>Ringkasan!Z1983</f>
        <v/>
      </c>
      <c r="AA1912" s="64" t="str">
        <f>Ringkasan!AA1983</f>
        <v/>
      </c>
      <c r="AB1912" s="64" t="str">
        <f>Ringkasan!AB1983</f>
        <v/>
      </c>
    </row>
    <row r="1913">
      <c r="A1913" s="64" t="str">
        <f>Ringkasan!A1984</f>
        <v/>
      </c>
      <c r="B1913" s="64" t="str">
        <f>Ringkasan!B1984</f>
        <v/>
      </c>
      <c r="C1913" s="64" t="str">
        <f>Ringkasan!C1984</f>
        <v/>
      </c>
      <c r="D1913" s="64" t="str">
        <f>Ringkasan!D1984</f>
        <v/>
      </c>
      <c r="E1913" s="64" t="str">
        <f>Ringkasan!E1984</f>
        <v/>
      </c>
      <c r="F1913" s="64" t="str">
        <f>Ringkasan!F1984</f>
        <v/>
      </c>
      <c r="G1913" s="64" t="str">
        <f>Ringkasan!G1984</f>
        <v/>
      </c>
      <c r="H1913" s="64" t="str">
        <f>Ringkasan!H1984</f>
        <v/>
      </c>
      <c r="I1913" s="64" t="str">
        <f>Ringkasan!I1984</f>
        <v/>
      </c>
      <c r="J1913" s="64" t="str">
        <f>Ringkasan!J1984</f>
        <v/>
      </c>
      <c r="K1913" s="64" t="str">
        <f>Ringkasan!K1984</f>
        <v/>
      </c>
      <c r="L1913" s="64" t="str">
        <f>Ringkasan!L1984</f>
        <v/>
      </c>
      <c r="M1913" s="64" t="str">
        <f>Ringkasan!M1984</f>
        <v/>
      </c>
      <c r="N1913" s="64" t="str">
        <f>Ringkasan!N1984</f>
        <v/>
      </c>
      <c r="O1913" s="64" t="str">
        <f>Ringkasan!O1984</f>
        <v/>
      </c>
      <c r="P1913" s="64" t="str">
        <f>Ringkasan!P1984</f>
        <v/>
      </c>
      <c r="Q1913" s="64" t="str">
        <f>Ringkasan!Q1984</f>
        <v/>
      </c>
      <c r="R1913" s="64" t="str">
        <f>Ringkasan!R1984</f>
        <v/>
      </c>
      <c r="S1913" s="64" t="str">
        <f>Ringkasan!S1984</f>
        <v/>
      </c>
      <c r="T1913" s="64" t="str">
        <f>Ringkasan!T1984</f>
        <v/>
      </c>
      <c r="U1913" s="64" t="str">
        <f>Ringkasan!U1984</f>
        <v/>
      </c>
      <c r="V1913" s="64" t="str">
        <f>Ringkasan!V1984</f>
        <v/>
      </c>
      <c r="W1913" s="64" t="str">
        <f>Ringkasan!W1984</f>
        <v/>
      </c>
      <c r="X1913" s="64" t="str">
        <f>Ringkasan!X1984</f>
        <v/>
      </c>
      <c r="Y1913" s="64" t="str">
        <f>Ringkasan!Y1984</f>
        <v/>
      </c>
      <c r="Z1913" s="64" t="str">
        <f>Ringkasan!Z1984</f>
        <v/>
      </c>
      <c r="AA1913" s="64" t="str">
        <f>Ringkasan!AA1984</f>
        <v/>
      </c>
      <c r="AB1913" s="64" t="str">
        <f>Ringkasan!AB1984</f>
        <v/>
      </c>
    </row>
    <row r="1914">
      <c r="A1914" s="64" t="str">
        <f>Ringkasan!A1985</f>
        <v/>
      </c>
      <c r="B1914" s="64" t="str">
        <f>Ringkasan!B1985</f>
        <v/>
      </c>
      <c r="C1914" s="64" t="str">
        <f>Ringkasan!C1985</f>
        <v/>
      </c>
      <c r="D1914" s="64" t="str">
        <f>Ringkasan!D1985</f>
        <v/>
      </c>
      <c r="E1914" s="64" t="str">
        <f>Ringkasan!E1985</f>
        <v/>
      </c>
      <c r="F1914" s="64" t="str">
        <f>Ringkasan!F1985</f>
        <v/>
      </c>
      <c r="G1914" s="64" t="str">
        <f>Ringkasan!G1985</f>
        <v/>
      </c>
      <c r="H1914" s="64" t="str">
        <f>Ringkasan!H1985</f>
        <v/>
      </c>
      <c r="I1914" s="64" t="str">
        <f>Ringkasan!I1985</f>
        <v/>
      </c>
      <c r="J1914" s="64" t="str">
        <f>Ringkasan!J1985</f>
        <v/>
      </c>
      <c r="K1914" s="64" t="str">
        <f>Ringkasan!K1985</f>
        <v/>
      </c>
      <c r="L1914" s="64" t="str">
        <f>Ringkasan!L1985</f>
        <v/>
      </c>
      <c r="M1914" s="64" t="str">
        <f>Ringkasan!M1985</f>
        <v/>
      </c>
      <c r="N1914" s="64" t="str">
        <f>Ringkasan!N1985</f>
        <v/>
      </c>
      <c r="O1914" s="64" t="str">
        <f>Ringkasan!O1985</f>
        <v/>
      </c>
      <c r="P1914" s="64" t="str">
        <f>Ringkasan!P1985</f>
        <v/>
      </c>
      <c r="Q1914" s="64" t="str">
        <f>Ringkasan!Q1985</f>
        <v/>
      </c>
      <c r="R1914" s="64" t="str">
        <f>Ringkasan!R1985</f>
        <v/>
      </c>
      <c r="S1914" s="64" t="str">
        <f>Ringkasan!S1985</f>
        <v/>
      </c>
      <c r="T1914" s="64" t="str">
        <f>Ringkasan!T1985</f>
        <v/>
      </c>
      <c r="U1914" s="64" t="str">
        <f>Ringkasan!U1985</f>
        <v/>
      </c>
      <c r="V1914" s="64" t="str">
        <f>Ringkasan!V1985</f>
        <v/>
      </c>
      <c r="W1914" s="64" t="str">
        <f>Ringkasan!W1985</f>
        <v/>
      </c>
      <c r="X1914" s="64" t="str">
        <f>Ringkasan!X1985</f>
        <v/>
      </c>
      <c r="Y1914" s="64" t="str">
        <f>Ringkasan!Y1985</f>
        <v/>
      </c>
      <c r="Z1914" s="64" t="str">
        <f>Ringkasan!Z1985</f>
        <v/>
      </c>
      <c r="AA1914" s="64" t="str">
        <f>Ringkasan!AA1985</f>
        <v/>
      </c>
      <c r="AB1914" s="64" t="str">
        <f>Ringkasan!AB1985</f>
        <v/>
      </c>
    </row>
    <row r="1915">
      <c r="A1915" s="64" t="str">
        <f>Ringkasan!A1986</f>
        <v/>
      </c>
      <c r="B1915" s="64" t="str">
        <f>Ringkasan!B1986</f>
        <v/>
      </c>
      <c r="C1915" s="64" t="str">
        <f>Ringkasan!C1986</f>
        <v/>
      </c>
      <c r="D1915" s="64" t="str">
        <f>Ringkasan!D1986</f>
        <v/>
      </c>
      <c r="E1915" s="64" t="str">
        <f>Ringkasan!E1986</f>
        <v/>
      </c>
      <c r="F1915" s="64" t="str">
        <f>Ringkasan!F1986</f>
        <v/>
      </c>
      <c r="G1915" s="64" t="str">
        <f>Ringkasan!G1986</f>
        <v/>
      </c>
      <c r="H1915" s="64" t="str">
        <f>Ringkasan!H1986</f>
        <v/>
      </c>
      <c r="I1915" s="64" t="str">
        <f>Ringkasan!I1986</f>
        <v/>
      </c>
      <c r="J1915" s="64" t="str">
        <f>Ringkasan!J1986</f>
        <v/>
      </c>
      <c r="K1915" s="64" t="str">
        <f>Ringkasan!K1986</f>
        <v/>
      </c>
      <c r="L1915" s="64" t="str">
        <f>Ringkasan!L1986</f>
        <v/>
      </c>
      <c r="M1915" s="64" t="str">
        <f>Ringkasan!M1986</f>
        <v/>
      </c>
      <c r="N1915" s="64" t="str">
        <f>Ringkasan!N1986</f>
        <v/>
      </c>
      <c r="O1915" s="64" t="str">
        <f>Ringkasan!O1986</f>
        <v/>
      </c>
      <c r="P1915" s="64" t="str">
        <f>Ringkasan!P1986</f>
        <v/>
      </c>
      <c r="Q1915" s="64" t="str">
        <f>Ringkasan!Q1986</f>
        <v/>
      </c>
      <c r="R1915" s="64" t="str">
        <f>Ringkasan!R1986</f>
        <v/>
      </c>
      <c r="S1915" s="64" t="str">
        <f>Ringkasan!S1986</f>
        <v/>
      </c>
      <c r="T1915" s="64" t="str">
        <f>Ringkasan!T1986</f>
        <v/>
      </c>
      <c r="U1915" s="64" t="str">
        <f>Ringkasan!U1986</f>
        <v/>
      </c>
      <c r="V1915" s="64" t="str">
        <f>Ringkasan!V1986</f>
        <v/>
      </c>
      <c r="W1915" s="64" t="str">
        <f>Ringkasan!W1986</f>
        <v/>
      </c>
      <c r="X1915" s="64" t="str">
        <f>Ringkasan!X1986</f>
        <v/>
      </c>
      <c r="Y1915" s="64" t="str">
        <f>Ringkasan!Y1986</f>
        <v/>
      </c>
      <c r="Z1915" s="64" t="str">
        <f>Ringkasan!Z1986</f>
        <v/>
      </c>
      <c r="AA1915" s="64" t="str">
        <f>Ringkasan!AA1986</f>
        <v/>
      </c>
      <c r="AB1915" s="64" t="str">
        <f>Ringkasan!AB1986</f>
        <v/>
      </c>
    </row>
    <row r="1916">
      <c r="A1916" s="64" t="str">
        <f>Ringkasan!A1987</f>
        <v/>
      </c>
      <c r="B1916" s="64" t="str">
        <f>Ringkasan!B1987</f>
        <v/>
      </c>
      <c r="C1916" s="64" t="str">
        <f>Ringkasan!C1987</f>
        <v/>
      </c>
      <c r="D1916" s="64" t="str">
        <f>Ringkasan!D1987</f>
        <v/>
      </c>
      <c r="E1916" s="64" t="str">
        <f>Ringkasan!E1987</f>
        <v/>
      </c>
      <c r="F1916" s="64" t="str">
        <f>Ringkasan!F1987</f>
        <v/>
      </c>
      <c r="G1916" s="64" t="str">
        <f>Ringkasan!G1987</f>
        <v/>
      </c>
      <c r="H1916" s="64" t="str">
        <f>Ringkasan!H1987</f>
        <v/>
      </c>
      <c r="I1916" s="64" t="str">
        <f>Ringkasan!I1987</f>
        <v/>
      </c>
      <c r="J1916" s="64" t="str">
        <f>Ringkasan!J1987</f>
        <v/>
      </c>
      <c r="K1916" s="64" t="str">
        <f>Ringkasan!K1987</f>
        <v/>
      </c>
      <c r="L1916" s="64" t="str">
        <f>Ringkasan!L1987</f>
        <v/>
      </c>
      <c r="M1916" s="64" t="str">
        <f>Ringkasan!M1987</f>
        <v/>
      </c>
      <c r="N1916" s="64" t="str">
        <f>Ringkasan!N1987</f>
        <v/>
      </c>
      <c r="O1916" s="64" t="str">
        <f>Ringkasan!O1987</f>
        <v/>
      </c>
      <c r="P1916" s="64" t="str">
        <f>Ringkasan!P1987</f>
        <v/>
      </c>
      <c r="Q1916" s="64" t="str">
        <f>Ringkasan!Q1987</f>
        <v/>
      </c>
      <c r="R1916" s="64" t="str">
        <f>Ringkasan!R1987</f>
        <v/>
      </c>
      <c r="S1916" s="64" t="str">
        <f>Ringkasan!S1987</f>
        <v/>
      </c>
      <c r="T1916" s="64" t="str">
        <f>Ringkasan!T1987</f>
        <v/>
      </c>
      <c r="U1916" s="64" t="str">
        <f>Ringkasan!U1987</f>
        <v/>
      </c>
      <c r="V1916" s="64" t="str">
        <f>Ringkasan!V1987</f>
        <v/>
      </c>
      <c r="W1916" s="64" t="str">
        <f>Ringkasan!W1987</f>
        <v/>
      </c>
      <c r="X1916" s="64" t="str">
        <f>Ringkasan!X1987</f>
        <v/>
      </c>
      <c r="Y1916" s="64" t="str">
        <f>Ringkasan!Y1987</f>
        <v/>
      </c>
      <c r="Z1916" s="64" t="str">
        <f>Ringkasan!Z1987</f>
        <v/>
      </c>
      <c r="AA1916" s="64" t="str">
        <f>Ringkasan!AA1987</f>
        <v/>
      </c>
      <c r="AB1916" s="64" t="str">
        <f>Ringkasan!AB1987</f>
        <v/>
      </c>
    </row>
    <row r="1917">
      <c r="A1917" s="64" t="str">
        <f>Ringkasan!A1988</f>
        <v/>
      </c>
      <c r="B1917" s="64" t="str">
        <f>Ringkasan!B1988</f>
        <v/>
      </c>
      <c r="C1917" s="64" t="str">
        <f>Ringkasan!C1988</f>
        <v/>
      </c>
      <c r="D1917" s="64" t="str">
        <f>Ringkasan!D1988</f>
        <v/>
      </c>
      <c r="E1917" s="64" t="str">
        <f>Ringkasan!E1988</f>
        <v/>
      </c>
      <c r="F1917" s="64" t="str">
        <f>Ringkasan!F1988</f>
        <v/>
      </c>
      <c r="G1917" s="64" t="str">
        <f>Ringkasan!G1988</f>
        <v/>
      </c>
      <c r="H1917" s="64" t="str">
        <f>Ringkasan!H1988</f>
        <v/>
      </c>
      <c r="I1917" s="64" t="str">
        <f>Ringkasan!I1988</f>
        <v/>
      </c>
      <c r="J1917" s="64" t="str">
        <f>Ringkasan!J1988</f>
        <v/>
      </c>
      <c r="K1917" s="64" t="str">
        <f>Ringkasan!K1988</f>
        <v/>
      </c>
      <c r="L1917" s="64" t="str">
        <f>Ringkasan!L1988</f>
        <v/>
      </c>
      <c r="M1917" s="64" t="str">
        <f>Ringkasan!M1988</f>
        <v/>
      </c>
      <c r="N1917" s="64" t="str">
        <f>Ringkasan!N1988</f>
        <v/>
      </c>
      <c r="O1917" s="64" t="str">
        <f>Ringkasan!O1988</f>
        <v/>
      </c>
      <c r="P1917" s="64" t="str">
        <f>Ringkasan!P1988</f>
        <v/>
      </c>
      <c r="Q1917" s="64" t="str">
        <f>Ringkasan!Q1988</f>
        <v/>
      </c>
      <c r="R1917" s="64" t="str">
        <f>Ringkasan!R1988</f>
        <v/>
      </c>
      <c r="S1917" s="64" t="str">
        <f>Ringkasan!S1988</f>
        <v/>
      </c>
      <c r="T1917" s="64" t="str">
        <f>Ringkasan!T1988</f>
        <v/>
      </c>
      <c r="U1917" s="64" t="str">
        <f>Ringkasan!U1988</f>
        <v/>
      </c>
      <c r="V1917" s="64" t="str">
        <f>Ringkasan!V1988</f>
        <v/>
      </c>
      <c r="W1917" s="64" t="str">
        <f>Ringkasan!W1988</f>
        <v/>
      </c>
      <c r="X1917" s="64" t="str">
        <f>Ringkasan!X1988</f>
        <v/>
      </c>
      <c r="Y1917" s="64" t="str">
        <f>Ringkasan!Y1988</f>
        <v/>
      </c>
      <c r="Z1917" s="64" t="str">
        <f>Ringkasan!Z1988</f>
        <v/>
      </c>
      <c r="AA1917" s="64" t="str">
        <f>Ringkasan!AA1988</f>
        <v/>
      </c>
      <c r="AB1917" s="64" t="str">
        <f>Ringkasan!AB1988</f>
        <v/>
      </c>
    </row>
    <row r="1918">
      <c r="A1918" s="64" t="str">
        <f>Ringkasan!A1989</f>
        <v/>
      </c>
      <c r="B1918" s="64" t="str">
        <f>Ringkasan!B1989</f>
        <v/>
      </c>
      <c r="C1918" s="64" t="str">
        <f>Ringkasan!C1989</f>
        <v/>
      </c>
      <c r="D1918" s="64" t="str">
        <f>Ringkasan!D1989</f>
        <v/>
      </c>
      <c r="E1918" s="64" t="str">
        <f>Ringkasan!E1989</f>
        <v/>
      </c>
      <c r="F1918" s="64" t="str">
        <f>Ringkasan!F1989</f>
        <v/>
      </c>
      <c r="G1918" s="64" t="str">
        <f>Ringkasan!G1989</f>
        <v/>
      </c>
      <c r="H1918" s="64" t="str">
        <f>Ringkasan!H1989</f>
        <v/>
      </c>
      <c r="I1918" s="64" t="str">
        <f>Ringkasan!I1989</f>
        <v/>
      </c>
      <c r="J1918" s="64" t="str">
        <f>Ringkasan!J1989</f>
        <v/>
      </c>
      <c r="K1918" s="64" t="str">
        <f>Ringkasan!K1989</f>
        <v/>
      </c>
      <c r="L1918" s="64" t="str">
        <f>Ringkasan!L1989</f>
        <v/>
      </c>
      <c r="M1918" s="64" t="str">
        <f>Ringkasan!M1989</f>
        <v/>
      </c>
      <c r="N1918" s="64" t="str">
        <f>Ringkasan!N1989</f>
        <v/>
      </c>
      <c r="O1918" s="64" t="str">
        <f>Ringkasan!O1989</f>
        <v/>
      </c>
      <c r="P1918" s="64" t="str">
        <f>Ringkasan!P1989</f>
        <v/>
      </c>
      <c r="Q1918" s="64" t="str">
        <f>Ringkasan!Q1989</f>
        <v/>
      </c>
      <c r="R1918" s="64" t="str">
        <f>Ringkasan!R1989</f>
        <v/>
      </c>
      <c r="S1918" s="64" t="str">
        <f>Ringkasan!S1989</f>
        <v/>
      </c>
      <c r="T1918" s="64" t="str">
        <f>Ringkasan!T1989</f>
        <v/>
      </c>
      <c r="U1918" s="64" t="str">
        <f>Ringkasan!U1989</f>
        <v/>
      </c>
      <c r="V1918" s="64" t="str">
        <f>Ringkasan!V1989</f>
        <v/>
      </c>
      <c r="W1918" s="64" t="str">
        <f>Ringkasan!W1989</f>
        <v/>
      </c>
      <c r="X1918" s="64" t="str">
        <f>Ringkasan!X1989</f>
        <v/>
      </c>
      <c r="Y1918" s="64" t="str">
        <f>Ringkasan!Y1989</f>
        <v/>
      </c>
      <c r="Z1918" s="64" t="str">
        <f>Ringkasan!Z1989</f>
        <v/>
      </c>
      <c r="AA1918" s="64" t="str">
        <f>Ringkasan!AA1989</f>
        <v/>
      </c>
      <c r="AB1918" s="64" t="str">
        <f>Ringkasan!AB1989</f>
        <v/>
      </c>
    </row>
    <row r="1919">
      <c r="A1919" s="64" t="str">
        <f>Ringkasan!A1990</f>
        <v/>
      </c>
      <c r="B1919" s="64" t="str">
        <f>Ringkasan!B1990</f>
        <v/>
      </c>
      <c r="C1919" s="64" t="str">
        <f>Ringkasan!C1990</f>
        <v/>
      </c>
      <c r="D1919" s="64" t="str">
        <f>Ringkasan!D1990</f>
        <v/>
      </c>
      <c r="E1919" s="64" t="str">
        <f>Ringkasan!E1990</f>
        <v/>
      </c>
      <c r="F1919" s="64" t="str">
        <f>Ringkasan!F1990</f>
        <v/>
      </c>
      <c r="G1919" s="64" t="str">
        <f>Ringkasan!G1990</f>
        <v/>
      </c>
      <c r="H1919" s="64" t="str">
        <f>Ringkasan!H1990</f>
        <v/>
      </c>
      <c r="I1919" s="64" t="str">
        <f>Ringkasan!I1990</f>
        <v/>
      </c>
      <c r="J1919" s="64" t="str">
        <f>Ringkasan!J1990</f>
        <v/>
      </c>
      <c r="K1919" s="64" t="str">
        <f>Ringkasan!K1990</f>
        <v/>
      </c>
      <c r="L1919" s="64" t="str">
        <f>Ringkasan!L1990</f>
        <v/>
      </c>
      <c r="M1919" s="64" t="str">
        <f>Ringkasan!M1990</f>
        <v/>
      </c>
      <c r="N1919" s="64" t="str">
        <f>Ringkasan!N1990</f>
        <v/>
      </c>
      <c r="O1919" s="64" t="str">
        <f>Ringkasan!O1990</f>
        <v/>
      </c>
      <c r="P1919" s="64" t="str">
        <f>Ringkasan!P1990</f>
        <v/>
      </c>
      <c r="Q1919" s="64" t="str">
        <f>Ringkasan!Q1990</f>
        <v/>
      </c>
      <c r="R1919" s="64" t="str">
        <f>Ringkasan!R1990</f>
        <v/>
      </c>
      <c r="S1919" s="64" t="str">
        <f>Ringkasan!S1990</f>
        <v/>
      </c>
      <c r="T1919" s="64" t="str">
        <f>Ringkasan!T1990</f>
        <v/>
      </c>
      <c r="U1919" s="64" t="str">
        <f>Ringkasan!U1990</f>
        <v/>
      </c>
      <c r="V1919" s="64" t="str">
        <f>Ringkasan!V1990</f>
        <v/>
      </c>
      <c r="W1919" s="64" t="str">
        <f>Ringkasan!W1990</f>
        <v/>
      </c>
      <c r="X1919" s="64" t="str">
        <f>Ringkasan!X1990</f>
        <v/>
      </c>
      <c r="Y1919" s="64" t="str">
        <f>Ringkasan!Y1990</f>
        <v/>
      </c>
      <c r="Z1919" s="64" t="str">
        <f>Ringkasan!Z1990</f>
        <v/>
      </c>
      <c r="AA1919" s="64" t="str">
        <f>Ringkasan!AA1990</f>
        <v/>
      </c>
      <c r="AB1919" s="64" t="str">
        <f>Ringkasan!AB1990</f>
        <v/>
      </c>
    </row>
    <row r="1920">
      <c r="A1920" s="64" t="str">
        <f>Ringkasan!A1991</f>
        <v/>
      </c>
      <c r="B1920" s="64" t="str">
        <f>Ringkasan!B1991</f>
        <v/>
      </c>
      <c r="C1920" s="64" t="str">
        <f>Ringkasan!C1991</f>
        <v/>
      </c>
      <c r="D1920" s="64" t="str">
        <f>Ringkasan!D1991</f>
        <v/>
      </c>
      <c r="E1920" s="64" t="str">
        <f>Ringkasan!E1991</f>
        <v/>
      </c>
      <c r="F1920" s="64" t="str">
        <f>Ringkasan!F1991</f>
        <v/>
      </c>
      <c r="G1920" s="64" t="str">
        <f>Ringkasan!G1991</f>
        <v/>
      </c>
      <c r="H1920" s="64" t="str">
        <f>Ringkasan!H1991</f>
        <v/>
      </c>
      <c r="I1920" s="64" t="str">
        <f>Ringkasan!I1991</f>
        <v/>
      </c>
      <c r="J1920" s="64" t="str">
        <f>Ringkasan!J1991</f>
        <v/>
      </c>
      <c r="K1920" s="64" t="str">
        <f>Ringkasan!K1991</f>
        <v/>
      </c>
      <c r="L1920" s="64" t="str">
        <f>Ringkasan!L1991</f>
        <v/>
      </c>
      <c r="M1920" s="64" t="str">
        <f>Ringkasan!M1991</f>
        <v/>
      </c>
      <c r="N1920" s="64" t="str">
        <f>Ringkasan!N1991</f>
        <v/>
      </c>
      <c r="O1920" s="64" t="str">
        <f>Ringkasan!O1991</f>
        <v/>
      </c>
      <c r="P1920" s="64" t="str">
        <f>Ringkasan!P1991</f>
        <v/>
      </c>
      <c r="Q1920" s="64" t="str">
        <f>Ringkasan!Q1991</f>
        <v/>
      </c>
      <c r="R1920" s="64" t="str">
        <f>Ringkasan!R1991</f>
        <v/>
      </c>
      <c r="S1920" s="64" t="str">
        <f>Ringkasan!S1991</f>
        <v/>
      </c>
      <c r="T1920" s="64" t="str">
        <f>Ringkasan!T1991</f>
        <v/>
      </c>
      <c r="U1920" s="64" t="str">
        <f>Ringkasan!U1991</f>
        <v/>
      </c>
      <c r="V1920" s="64" t="str">
        <f>Ringkasan!V1991</f>
        <v/>
      </c>
      <c r="W1920" s="64" t="str">
        <f>Ringkasan!W1991</f>
        <v/>
      </c>
      <c r="X1920" s="64" t="str">
        <f>Ringkasan!X1991</f>
        <v/>
      </c>
      <c r="Y1920" s="64" t="str">
        <f>Ringkasan!Y1991</f>
        <v/>
      </c>
      <c r="Z1920" s="64" t="str">
        <f>Ringkasan!Z1991</f>
        <v/>
      </c>
      <c r="AA1920" s="64" t="str">
        <f>Ringkasan!AA1991</f>
        <v/>
      </c>
      <c r="AB1920" s="64" t="str">
        <f>Ringkasan!AB1991</f>
        <v/>
      </c>
    </row>
    <row r="1921">
      <c r="A1921" s="64" t="str">
        <f>Ringkasan!A1992</f>
        <v/>
      </c>
      <c r="B1921" s="64" t="str">
        <f>Ringkasan!B1992</f>
        <v/>
      </c>
      <c r="C1921" s="64" t="str">
        <f>Ringkasan!C1992</f>
        <v/>
      </c>
      <c r="D1921" s="64" t="str">
        <f>Ringkasan!D1992</f>
        <v/>
      </c>
      <c r="E1921" s="64" t="str">
        <f>Ringkasan!E1992</f>
        <v/>
      </c>
      <c r="F1921" s="64" t="str">
        <f>Ringkasan!F1992</f>
        <v/>
      </c>
      <c r="G1921" s="64" t="str">
        <f>Ringkasan!G1992</f>
        <v/>
      </c>
      <c r="H1921" s="64" t="str">
        <f>Ringkasan!H1992</f>
        <v/>
      </c>
      <c r="I1921" s="64" t="str">
        <f>Ringkasan!I1992</f>
        <v/>
      </c>
      <c r="J1921" s="64" t="str">
        <f>Ringkasan!J1992</f>
        <v/>
      </c>
      <c r="K1921" s="64" t="str">
        <f>Ringkasan!K1992</f>
        <v/>
      </c>
      <c r="L1921" s="64" t="str">
        <f>Ringkasan!L1992</f>
        <v/>
      </c>
      <c r="M1921" s="64" t="str">
        <f>Ringkasan!M1992</f>
        <v/>
      </c>
      <c r="N1921" s="64" t="str">
        <f>Ringkasan!N1992</f>
        <v/>
      </c>
      <c r="O1921" s="64" t="str">
        <f>Ringkasan!O1992</f>
        <v/>
      </c>
      <c r="P1921" s="64" t="str">
        <f>Ringkasan!P1992</f>
        <v/>
      </c>
      <c r="Q1921" s="64" t="str">
        <f>Ringkasan!Q1992</f>
        <v/>
      </c>
      <c r="R1921" s="64" t="str">
        <f>Ringkasan!R1992</f>
        <v/>
      </c>
      <c r="S1921" s="64" t="str">
        <f>Ringkasan!S1992</f>
        <v/>
      </c>
      <c r="T1921" s="64" t="str">
        <f>Ringkasan!T1992</f>
        <v/>
      </c>
      <c r="U1921" s="64" t="str">
        <f>Ringkasan!U1992</f>
        <v/>
      </c>
      <c r="V1921" s="64" t="str">
        <f>Ringkasan!V1992</f>
        <v/>
      </c>
      <c r="W1921" s="64" t="str">
        <f>Ringkasan!W1992</f>
        <v/>
      </c>
      <c r="X1921" s="64" t="str">
        <f>Ringkasan!X1992</f>
        <v/>
      </c>
      <c r="Y1921" s="64" t="str">
        <f>Ringkasan!Y1992</f>
        <v/>
      </c>
      <c r="Z1921" s="64" t="str">
        <f>Ringkasan!Z1992</f>
        <v/>
      </c>
      <c r="AA1921" s="64" t="str">
        <f>Ringkasan!AA1992</f>
        <v/>
      </c>
      <c r="AB1921" s="64" t="str">
        <f>Ringkasan!AB1992</f>
        <v/>
      </c>
    </row>
    <row r="1922">
      <c r="A1922" s="64" t="str">
        <f>Ringkasan!A1993</f>
        <v/>
      </c>
      <c r="B1922" s="64" t="str">
        <f>Ringkasan!B1993</f>
        <v/>
      </c>
      <c r="C1922" s="64" t="str">
        <f>Ringkasan!C1993</f>
        <v/>
      </c>
      <c r="D1922" s="64" t="str">
        <f>Ringkasan!D1993</f>
        <v/>
      </c>
      <c r="E1922" s="64" t="str">
        <f>Ringkasan!E1993</f>
        <v/>
      </c>
      <c r="F1922" s="64" t="str">
        <f>Ringkasan!F1993</f>
        <v/>
      </c>
      <c r="G1922" s="64" t="str">
        <f>Ringkasan!G1993</f>
        <v/>
      </c>
      <c r="H1922" s="64" t="str">
        <f>Ringkasan!H1993</f>
        <v/>
      </c>
      <c r="I1922" s="64" t="str">
        <f>Ringkasan!I1993</f>
        <v/>
      </c>
      <c r="J1922" s="64" t="str">
        <f>Ringkasan!J1993</f>
        <v/>
      </c>
      <c r="K1922" s="64" t="str">
        <f>Ringkasan!K1993</f>
        <v/>
      </c>
      <c r="L1922" s="64" t="str">
        <f>Ringkasan!L1993</f>
        <v/>
      </c>
      <c r="M1922" s="64" t="str">
        <f>Ringkasan!M1993</f>
        <v/>
      </c>
      <c r="N1922" s="64" t="str">
        <f>Ringkasan!N1993</f>
        <v/>
      </c>
      <c r="O1922" s="64" t="str">
        <f>Ringkasan!O1993</f>
        <v/>
      </c>
      <c r="P1922" s="64" t="str">
        <f>Ringkasan!P1993</f>
        <v/>
      </c>
      <c r="Q1922" s="64" t="str">
        <f>Ringkasan!Q1993</f>
        <v/>
      </c>
      <c r="R1922" s="64" t="str">
        <f>Ringkasan!R1993</f>
        <v/>
      </c>
      <c r="S1922" s="64" t="str">
        <f>Ringkasan!S1993</f>
        <v/>
      </c>
      <c r="T1922" s="64" t="str">
        <f>Ringkasan!T1993</f>
        <v/>
      </c>
      <c r="U1922" s="64" t="str">
        <f>Ringkasan!U1993</f>
        <v/>
      </c>
      <c r="V1922" s="64" t="str">
        <f>Ringkasan!V1993</f>
        <v/>
      </c>
      <c r="W1922" s="64" t="str">
        <f>Ringkasan!W1993</f>
        <v/>
      </c>
      <c r="X1922" s="64" t="str">
        <f>Ringkasan!X1993</f>
        <v/>
      </c>
      <c r="Y1922" s="64" t="str">
        <f>Ringkasan!Y1993</f>
        <v/>
      </c>
      <c r="Z1922" s="64" t="str">
        <f>Ringkasan!Z1993</f>
        <v/>
      </c>
      <c r="AA1922" s="64" t="str">
        <f>Ringkasan!AA1993</f>
        <v/>
      </c>
      <c r="AB1922" s="64" t="str">
        <f>Ringkasan!AB1993</f>
        <v/>
      </c>
    </row>
    <row r="1923">
      <c r="A1923" s="64" t="str">
        <f>Ringkasan!A1994</f>
        <v/>
      </c>
      <c r="B1923" s="64" t="str">
        <f>Ringkasan!B1994</f>
        <v/>
      </c>
      <c r="C1923" s="64" t="str">
        <f>Ringkasan!C1994</f>
        <v/>
      </c>
      <c r="D1923" s="64" t="str">
        <f>Ringkasan!D1994</f>
        <v/>
      </c>
      <c r="E1923" s="64" t="str">
        <f>Ringkasan!E1994</f>
        <v/>
      </c>
      <c r="F1923" s="64" t="str">
        <f>Ringkasan!F1994</f>
        <v/>
      </c>
      <c r="G1923" s="64" t="str">
        <f>Ringkasan!G1994</f>
        <v/>
      </c>
      <c r="H1923" s="64" t="str">
        <f>Ringkasan!H1994</f>
        <v/>
      </c>
      <c r="I1923" s="64" t="str">
        <f>Ringkasan!I1994</f>
        <v/>
      </c>
      <c r="J1923" s="64" t="str">
        <f>Ringkasan!J1994</f>
        <v/>
      </c>
      <c r="K1923" s="64" t="str">
        <f>Ringkasan!K1994</f>
        <v/>
      </c>
      <c r="L1923" s="64" t="str">
        <f>Ringkasan!L1994</f>
        <v/>
      </c>
      <c r="M1923" s="64" t="str">
        <f>Ringkasan!M1994</f>
        <v/>
      </c>
      <c r="N1923" s="64" t="str">
        <f>Ringkasan!N1994</f>
        <v/>
      </c>
      <c r="O1923" s="64" t="str">
        <f>Ringkasan!O1994</f>
        <v/>
      </c>
      <c r="P1923" s="64" t="str">
        <f>Ringkasan!P1994</f>
        <v/>
      </c>
      <c r="Q1923" s="64" t="str">
        <f>Ringkasan!Q1994</f>
        <v/>
      </c>
      <c r="R1923" s="64" t="str">
        <f>Ringkasan!R1994</f>
        <v/>
      </c>
      <c r="S1923" s="64" t="str">
        <f>Ringkasan!S1994</f>
        <v/>
      </c>
      <c r="T1923" s="64" t="str">
        <f>Ringkasan!T1994</f>
        <v/>
      </c>
      <c r="U1923" s="64" t="str">
        <f>Ringkasan!U1994</f>
        <v/>
      </c>
      <c r="V1923" s="64" t="str">
        <f>Ringkasan!V1994</f>
        <v/>
      </c>
      <c r="W1923" s="64" t="str">
        <f>Ringkasan!W1994</f>
        <v/>
      </c>
      <c r="X1923" s="64" t="str">
        <f>Ringkasan!X1994</f>
        <v/>
      </c>
      <c r="Y1923" s="64" t="str">
        <f>Ringkasan!Y1994</f>
        <v/>
      </c>
      <c r="Z1923" s="64" t="str">
        <f>Ringkasan!Z1994</f>
        <v/>
      </c>
      <c r="AA1923" s="64" t="str">
        <f>Ringkasan!AA1994</f>
        <v/>
      </c>
      <c r="AB1923" s="64" t="str">
        <f>Ringkasan!AB1994</f>
        <v/>
      </c>
    </row>
    <row r="1924">
      <c r="A1924" s="64" t="str">
        <f>Ringkasan!A1995</f>
        <v/>
      </c>
      <c r="B1924" s="64" t="str">
        <f>Ringkasan!B1995</f>
        <v/>
      </c>
      <c r="C1924" s="64" t="str">
        <f>Ringkasan!C1995</f>
        <v/>
      </c>
      <c r="D1924" s="64" t="str">
        <f>Ringkasan!D1995</f>
        <v/>
      </c>
      <c r="E1924" s="64" t="str">
        <f>Ringkasan!E1995</f>
        <v/>
      </c>
      <c r="F1924" s="64" t="str">
        <f>Ringkasan!F1995</f>
        <v/>
      </c>
      <c r="G1924" s="64" t="str">
        <f>Ringkasan!G1995</f>
        <v/>
      </c>
      <c r="H1924" s="64" t="str">
        <f>Ringkasan!H1995</f>
        <v/>
      </c>
      <c r="I1924" s="64" t="str">
        <f>Ringkasan!I1995</f>
        <v/>
      </c>
      <c r="J1924" s="64" t="str">
        <f>Ringkasan!J1995</f>
        <v/>
      </c>
      <c r="K1924" s="64" t="str">
        <f>Ringkasan!K1995</f>
        <v/>
      </c>
      <c r="L1924" s="64" t="str">
        <f>Ringkasan!L1995</f>
        <v/>
      </c>
      <c r="M1924" s="64" t="str">
        <f>Ringkasan!M1995</f>
        <v/>
      </c>
      <c r="N1924" s="64" t="str">
        <f>Ringkasan!N1995</f>
        <v/>
      </c>
      <c r="O1924" s="64" t="str">
        <f>Ringkasan!O1995</f>
        <v/>
      </c>
      <c r="P1924" s="64" t="str">
        <f>Ringkasan!P1995</f>
        <v/>
      </c>
      <c r="Q1924" s="64" t="str">
        <f>Ringkasan!Q1995</f>
        <v/>
      </c>
      <c r="R1924" s="64" t="str">
        <f>Ringkasan!R1995</f>
        <v/>
      </c>
      <c r="S1924" s="64" t="str">
        <f>Ringkasan!S1995</f>
        <v/>
      </c>
      <c r="T1924" s="64" t="str">
        <f>Ringkasan!T1995</f>
        <v/>
      </c>
      <c r="U1924" s="64" t="str">
        <f>Ringkasan!U1995</f>
        <v/>
      </c>
      <c r="V1924" s="64" t="str">
        <f>Ringkasan!V1995</f>
        <v/>
      </c>
      <c r="W1924" s="64" t="str">
        <f>Ringkasan!W1995</f>
        <v/>
      </c>
      <c r="X1924" s="64" t="str">
        <f>Ringkasan!X1995</f>
        <v/>
      </c>
      <c r="Y1924" s="64" t="str">
        <f>Ringkasan!Y1995</f>
        <v/>
      </c>
      <c r="Z1924" s="64" t="str">
        <f>Ringkasan!Z1995</f>
        <v/>
      </c>
      <c r="AA1924" s="64" t="str">
        <f>Ringkasan!AA1995</f>
        <v/>
      </c>
      <c r="AB1924" s="64" t="str">
        <f>Ringkasan!AB1995</f>
        <v/>
      </c>
    </row>
    <row r="1925">
      <c r="A1925" s="64" t="str">
        <f>Ringkasan!A1996</f>
        <v/>
      </c>
      <c r="B1925" s="64" t="str">
        <f>Ringkasan!B1996</f>
        <v/>
      </c>
      <c r="C1925" s="64" t="str">
        <f>Ringkasan!C1996</f>
        <v/>
      </c>
      <c r="D1925" s="64" t="str">
        <f>Ringkasan!D1996</f>
        <v/>
      </c>
      <c r="E1925" s="64" t="str">
        <f>Ringkasan!E1996</f>
        <v/>
      </c>
      <c r="F1925" s="64" t="str">
        <f>Ringkasan!F1996</f>
        <v/>
      </c>
      <c r="G1925" s="64" t="str">
        <f>Ringkasan!G1996</f>
        <v/>
      </c>
      <c r="H1925" s="64" t="str">
        <f>Ringkasan!H1996</f>
        <v/>
      </c>
      <c r="I1925" s="64" t="str">
        <f>Ringkasan!I1996</f>
        <v/>
      </c>
      <c r="J1925" s="64" t="str">
        <f>Ringkasan!J1996</f>
        <v/>
      </c>
      <c r="K1925" s="64" t="str">
        <f>Ringkasan!K1996</f>
        <v/>
      </c>
      <c r="L1925" s="64" t="str">
        <f>Ringkasan!L1996</f>
        <v/>
      </c>
      <c r="M1925" s="64" t="str">
        <f>Ringkasan!M1996</f>
        <v/>
      </c>
      <c r="N1925" s="64" t="str">
        <f>Ringkasan!N1996</f>
        <v/>
      </c>
      <c r="O1925" s="64" t="str">
        <f>Ringkasan!O1996</f>
        <v/>
      </c>
      <c r="P1925" s="64" t="str">
        <f>Ringkasan!P1996</f>
        <v/>
      </c>
      <c r="Q1925" s="64" t="str">
        <f>Ringkasan!Q1996</f>
        <v/>
      </c>
      <c r="R1925" s="64" t="str">
        <f>Ringkasan!R1996</f>
        <v/>
      </c>
      <c r="S1925" s="64" t="str">
        <f>Ringkasan!S1996</f>
        <v/>
      </c>
      <c r="T1925" s="64" t="str">
        <f>Ringkasan!T1996</f>
        <v/>
      </c>
      <c r="U1925" s="64" t="str">
        <f>Ringkasan!U1996</f>
        <v/>
      </c>
      <c r="V1925" s="64" t="str">
        <f>Ringkasan!V1996</f>
        <v/>
      </c>
      <c r="W1925" s="64" t="str">
        <f>Ringkasan!W1996</f>
        <v/>
      </c>
      <c r="X1925" s="64" t="str">
        <f>Ringkasan!X1996</f>
        <v/>
      </c>
      <c r="Y1925" s="64" t="str">
        <f>Ringkasan!Y1996</f>
        <v/>
      </c>
      <c r="Z1925" s="64" t="str">
        <f>Ringkasan!Z1996</f>
        <v/>
      </c>
      <c r="AA1925" s="64" t="str">
        <f>Ringkasan!AA1996</f>
        <v/>
      </c>
      <c r="AB1925" s="64" t="str">
        <f>Ringkasan!AB1996</f>
        <v/>
      </c>
    </row>
    <row r="1926">
      <c r="A1926" s="64" t="str">
        <f>Ringkasan!A1997</f>
        <v/>
      </c>
      <c r="B1926" s="64" t="str">
        <f>Ringkasan!B1997</f>
        <v/>
      </c>
      <c r="C1926" s="64" t="str">
        <f>Ringkasan!C1997</f>
        <v/>
      </c>
      <c r="D1926" s="64" t="str">
        <f>Ringkasan!D1997</f>
        <v/>
      </c>
      <c r="E1926" s="64" t="str">
        <f>Ringkasan!E1997</f>
        <v/>
      </c>
      <c r="F1926" s="64" t="str">
        <f>Ringkasan!F1997</f>
        <v/>
      </c>
      <c r="G1926" s="64" t="str">
        <f>Ringkasan!G1997</f>
        <v/>
      </c>
      <c r="H1926" s="64" t="str">
        <f>Ringkasan!H1997</f>
        <v/>
      </c>
      <c r="I1926" s="64" t="str">
        <f>Ringkasan!I1997</f>
        <v/>
      </c>
      <c r="J1926" s="64" t="str">
        <f>Ringkasan!J1997</f>
        <v/>
      </c>
      <c r="K1926" s="64" t="str">
        <f>Ringkasan!K1997</f>
        <v/>
      </c>
      <c r="L1926" s="64" t="str">
        <f>Ringkasan!L1997</f>
        <v/>
      </c>
      <c r="M1926" s="64" t="str">
        <f>Ringkasan!M1997</f>
        <v/>
      </c>
      <c r="N1926" s="64" t="str">
        <f>Ringkasan!N1997</f>
        <v/>
      </c>
      <c r="O1926" s="64" t="str">
        <f>Ringkasan!O1997</f>
        <v/>
      </c>
      <c r="P1926" s="64" t="str">
        <f>Ringkasan!P1997</f>
        <v/>
      </c>
      <c r="Q1926" s="64" t="str">
        <f>Ringkasan!Q1997</f>
        <v/>
      </c>
      <c r="R1926" s="64" t="str">
        <f>Ringkasan!R1997</f>
        <v/>
      </c>
      <c r="S1926" s="64" t="str">
        <f>Ringkasan!S1997</f>
        <v/>
      </c>
      <c r="T1926" s="64" t="str">
        <f>Ringkasan!T1997</f>
        <v/>
      </c>
      <c r="U1926" s="64" t="str">
        <f>Ringkasan!U1997</f>
        <v/>
      </c>
      <c r="V1926" s="64" t="str">
        <f>Ringkasan!V1997</f>
        <v/>
      </c>
      <c r="W1926" s="64" t="str">
        <f>Ringkasan!W1997</f>
        <v/>
      </c>
      <c r="X1926" s="64" t="str">
        <f>Ringkasan!X1997</f>
        <v/>
      </c>
      <c r="Y1926" s="64" t="str">
        <f>Ringkasan!Y1997</f>
        <v/>
      </c>
      <c r="Z1926" s="64" t="str">
        <f>Ringkasan!Z1997</f>
        <v/>
      </c>
      <c r="AA1926" s="64" t="str">
        <f>Ringkasan!AA1997</f>
        <v/>
      </c>
      <c r="AB1926" s="64" t="str">
        <f>Ringkasan!AB1997</f>
        <v/>
      </c>
    </row>
    <row r="1927">
      <c r="A1927" s="64" t="str">
        <f>Ringkasan!A1998</f>
        <v/>
      </c>
      <c r="B1927" s="64" t="str">
        <f>Ringkasan!B1998</f>
        <v/>
      </c>
      <c r="C1927" s="64" t="str">
        <f>Ringkasan!C1998</f>
        <v/>
      </c>
      <c r="D1927" s="64" t="str">
        <f>Ringkasan!D1998</f>
        <v/>
      </c>
      <c r="E1927" s="64" t="str">
        <f>Ringkasan!E1998</f>
        <v/>
      </c>
      <c r="F1927" s="64" t="str">
        <f>Ringkasan!F1998</f>
        <v/>
      </c>
      <c r="G1927" s="64" t="str">
        <f>Ringkasan!G1998</f>
        <v/>
      </c>
      <c r="H1927" s="64" t="str">
        <f>Ringkasan!H1998</f>
        <v/>
      </c>
      <c r="I1927" s="64" t="str">
        <f>Ringkasan!I1998</f>
        <v/>
      </c>
      <c r="J1927" s="64" t="str">
        <f>Ringkasan!J1998</f>
        <v/>
      </c>
      <c r="K1927" s="64" t="str">
        <f>Ringkasan!K1998</f>
        <v/>
      </c>
      <c r="L1927" s="64" t="str">
        <f>Ringkasan!L1998</f>
        <v/>
      </c>
      <c r="M1927" s="64" t="str">
        <f>Ringkasan!M1998</f>
        <v/>
      </c>
      <c r="N1927" s="64" t="str">
        <f>Ringkasan!N1998</f>
        <v/>
      </c>
      <c r="O1927" s="64" t="str">
        <f>Ringkasan!O1998</f>
        <v/>
      </c>
      <c r="P1927" s="64" t="str">
        <f>Ringkasan!P1998</f>
        <v/>
      </c>
      <c r="Q1927" s="64" t="str">
        <f>Ringkasan!Q1998</f>
        <v/>
      </c>
      <c r="R1927" s="64" t="str">
        <f>Ringkasan!R1998</f>
        <v/>
      </c>
      <c r="S1927" s="64" t="str">
        <f>Ringkasan!S1998</f>
        <v/>
      </c>
      <c r="T1927" s="64" t="str">
        <f>Ringkasan!T1998</f>
        <v/>
      </c>
      <c r="U1927" s="64" t="str">
        <f>Ringkasan!U1998</f>
        <v/>
      </c>
      <c r="V1927" s="64" t="str">
        <f>Ringkasan!V1998</f>
        <v/>
      </c>
      <c r="W1927" s="64" t="str">
        <f>Ringkasan!W1998</f>
        <v/>
      </c>
      <c r="X1927" s="64" t="str">
        <f>Ringkasan!X1998</f>
        <v/>
      </c>
      <c r="Y1927" s="64" t="str">
        <f>Ringkasan!Y1998</f>
        <v/>
      </c>
      <c r="Z1927" s="64" t="str">
        <f>Ringkasan!Z1998</f>
        <v/>
      </c>
      <c r="AA1927" s="64" t="str">
        <f>Ringkasan!AA1998</f>
        <v/>
      </c>
      <c r="AB1927" s="64" t="str">
        <f>Ringkasan!AB1998</f>
        <v/>
      </c>
    </row>
    <row r="1928">
      <c r="A1928" s="64" t="str">
        <f>Ringkasan!A1999</f>
        <v/>
      </c>
      <c r="B1928" s="64" t="str">
        <f>Ringkasan!B1999</f>
        <v/>
      </c>
      <c r="C1928" s="64" t="str">
        <f>Ringkasan!C1999</f>
        <v/>
      </c>
      <c r="D1928" s="64" t="str">
        <f>Ringkasan!D1999</f>
        <v/>
      </c>
      <c r="E1928" s="64" t="str">
        <f>Ringkasan!E1999</f>
        <v/>
      </c>
      <c r="F1928" s="64" t="str">
        <f>Ringkasan!F1999</f>
        <v/>
      </c>
      <c r="G1928" s="64" t="str">
        <f>Ringkasan!G1999</f>
        <v/>
      </c>
      <c r="H1928" s="64" t="str">
        <f>Ringkasan!H1999</f>
        <v/>
      </c>
      <c r="I1928" s="64" t="str">
        <f>Ringkasan!I1999</f>
        <v/>
      </c>
      <c r="J1928" s="64" t="str">
        <f>Ringkasan!J1999</f>
        <v/>
      </c>
      <c r="K1928" s="64" t="str">
        <f>Ringkasan!K1999</f>
        <v/>
      </c>
      <c r="L1928" s="64" t="str">
        <f>Ringkasan!L1999</f>
        <v/>
      </c>
      <c r="M1928" s="64" t="str">
        <f>Ringkasan!M1999</f>
        <v/>
      </c>
      <c r="N1928" s="64" t="str">
        <f>Ringkasan!N1999</f>
        <v/>
      </c>
      <c r="O1928" s="64" t="str">
        <f>Ringkasan!O1999</f>
        <v/>
      </c>
      <c r="P1928" s="64" t="str">
        <f>Ringkasan!P1999</f>
        <v/>
      </c>
      <c r="Q1928" s="64" t="str">
        <f>Ringkasan!Q1999</f>
        <v/>
      </c>
      <c r="R1928" s="64" t="str">
        <f>Ringkasan!R1999</f>
        <v/>
      </c>
      <c r="S1928" s="64" t="str">
        <f>Ringkasan!S1999</f>
        <v/>
      </c>
      <c r="T1928" s="64" t="str">
        <f>Ringkasan!T1999</f>
        <v/>
      </c>
      <c r="U1928" s="64" t="str">
        <f>Ringkasan!U1999</f>
        <v/>
      </c>
      <c r="V1928" s="64" t="str">
        <f>Ringkasan!V1999</f>
        <v/>
      </c>
      <c r="W1928" s="64" t="str">
        <f>Ringkasan!W1999</f>
        <v/>
      </c>
      <c r="X1928" s="64" t="str">
        <f>Ringkasan!X1999</f>
        <v/>
      </c>
      <c r="Y1928" s="64" t="str">
        <f>Ringkasan!Y1999</f>
        <v/>
      </c>
      <c r="Z1928" s="64" t="str">
        <f>Ringkasan!Z1999</f>
        <v/>
      </c>
      <c r="AA1928" s="64" t="str">
        <f>Ringkasan!AA1999</f>
        <v/>
      </c>
      <c r="AB1928" s="64" t="str">
        <f>Ringkasan!AB1999</f>
        <v/>
      </c>
    </row>
    <row r="1929">
      <c r="A1929" s="64" t="str">
        <f>Ringkasan!A2000</f>
        <v/>
      </c>
      <c r="B1929" s="64" t="str">
        <f>Ringkasan!B2000</f>
        <v/>
      </c>
      <c r="C1929" s="64" t="str">
        <f>Ringkasan!C2000</f>
        <v/>
      </c>
      <c r="D1929" s="64" t="str">
        <f>Ringkasan!D2000</f>
        <v/>
      </c>
      <c r="E1929" s="64" t="str">
        <f>Ringkasan!E2000</f>
        <v/>
      </c>
      <c r="F1929" s="64" t="str">
        <f>Ringkasan!F2000</f>
        <v/>
      </c>
      <c r="G1929" s="64" t="str">
        <f>Ringkasan!G2000</f>
        <v/>
      </c>
      <c r="H1929" s="64" t="str">
        <f>Ringkasan!H2000</f>
        <v/>
      </c>
      <c r="I1929" s="64" t="str">
        <f>Ringkasan!I2000</f>
        <v/>
      </c>
      <c r="J1929" s="64" t="str">
        <f>Ringkasan!J2000</f>
        <v/>
      </c>
      <c r="K1929" s="64" t="str">
        <f>Ringkasan!K2000</f>
        <v/>
      </c>
      <c r="L1929" s="64" t="str">
        <f>Ringkasan!L2000</f>
        <v/>
      </c>
      <c r="M1929" s="64" t="str">
        <f>Ringkasan!M2000</f>
        <v/>
      </c>
      <c r="N1929" s="64" t="str">
        <f>Ringkasan!N2000</f>
        <v/>
      </c>
      <c r="O1929" s="64" t="str">
        <f>Ringkasan!O2000</f>
        <v/>
      </c>
      <c r="P1929" s="64" t="str">
        <f>Ringkasan!P2000</f>
        <v/>
      </c>
      <c r="Q1929" s="64" t="str">
        <f>Ringkasan!Q2000</f>
        <v/>
      </c>
      <c r="R1929" s="64" t="str">
        <f>Ringkasan!R2000</f>
        <v/>
      </c>
      <c r="S1929" s="64" t="str">
        <f>Ringkasan!S2000</f>
        <v/>
      </c>
      <c r="T1929" s="64" t="str">
        <f>Ringkasan!T2000</f>
        <v/>
      </c>
      <c r="U1929" s="64" t="str">
        <f>Ringkasan!U2000</f>
        <v/>
      </c>
      <c r="V1929" s="64" t="str">
        <f>Ringkasan!V2000</f>
        <v/>
      </c>
      <c r="W1929" s="64" t="str">
        <f>Ringkasan!W2000</f>
        <v/>
      </c>
      <c r="X1929" s="64" t="str">
        <f>Ringkasan!X2000</f>
        <v/>
      </c>
      <c r="Y1929" s="64" t="str">
        <f>Ringkasan!Y2000</f>
        <v/>
      </c>
      <c r="Z1929" s="64" t="str">
        <f>Ringkasan!Z2000</f>
        <v/>
      </c>
      <c r="AA1929" s="64" t="str">
        <f>Ringkasan!AA2000</f>
        <v/>
      </c>
      <c r="AB1929" s="64" t="str">
        <f>Ringkasan!AB2000</f>
        <v/>
      </c>
    </row>
    <row r="1930">
      <c r="A1930" s="64" t="str">
        <f>Ringkasan!A2001</f>
        <v/>
      </c>
      <c r="B1930" s="64" t="str">
        <f>Ringkasan!B2001</f>
        <v/>
      </c>
      <c r="C1930" s="64" t="str">
        <f>Ringkasan!C2001</f>
        <v/>
      </c>
      <c r="D1930" s="64" t="str">
        <f>Ringkasan!D2001</f>
        <v/>
      </c>
      <c r="E1930" s="64" t="str">
        <f>Ringkasan!E2001</f>
        <v/>
      </c>
      <c r="F1930" s="64" t="str">
        <f>Ringkasan!F2001</f>
        <v/>
      </c>
      <c r="G1930" s="64" t="str">
        <f>Ringkasan!G2001</f>
        <v/>
      </c>
      <c r="H1930" s="64" t="str">
        <f>Ringkasan!H2001</f>
        <v/>
      </c>
      <c r="I1930" s="64" t="str">
        <f>Ringkasan!I2001</f>
        <v/>
      </c>
      <c r="J1930" s="64" t="str">
        <f>Ringkasan!J2001</f>
        <v/>
      </c>
      <c r="K1930" s="64" t="str">
        <f>Ringkasan!K2001</f>
        <v/>
      </c>
      <c r="L1930" s="64" t="str">
        <f>Ringkasan!L2001</f>
        <v/>
      </c>
      <c r="M1930" s="64" t="str">
        <f>Ringkasan!M2001</f>
        <v/>
      </c>
      <c r="N1930" s="64" t="str">
        <f>Ringkasan!N2001</f>
        <v/>
      </c>
      <c r="O1930" s="64" t="str">
        <f>Ringkasan!O2001</f>
        <v/>
      </c>
      <c r="P1930" s="64" t="str">
        <f>Ringkasan!P2001</f>
        <v/>
      </c>
      <c r="Q1930" s="64" t="str">
        <f>Ringkasan!Q2001</f>
        <v/>
      </c>
      <c r="R1930" s="64" t="str">
        <f>Ringkasan!R2001</f>
        <v/>
      </c>
      <c r="S1930" s="64" t="str">
        <f>Ringkasan!S2001</f>
        <v/>
      </c>
      <c r="T1930" s="64" t="str">
        <f>Ringkasan!T2001</f>
        <v/>
      </c>
      <c r="U1930" s="64" t="str">
        <f>Ringkasan!U2001</f>
        <v/>
      </c>
      <c r="V1930" s="64" t="str">
        <f>Ringkasan!V2001</f>
        <v/>
      </c>
      <c r="W1930" s="64" t="str">
        <f>Ringkasan!W2001</f>
        <v/>
      </c>
      <c r="X1930" s="64" t="str">
        <f>Ringkasan!X2001</f>
        <v/>
      </c>
      <c r="Y1930" s="64" t="str">
        <f>Ringkasan!Y2001</f>
        <v/>
      </c>
      <c r="Z1930" s="64" t="str">
        <f>Ringkasan!Z2001</f>
        <v/>
      </c>
      <c r="AA1930" s="64" t="str">
        <f>Ringkasan!AA2001</f>
        <v/>
      </c>
      <c r="AB1930" s="64" t="str">
        <f>Ringkasan!AB2001</f>
        <v/>
      </c>
    </row>
    <row r="1931">
      <c r="A1931" s="64" t="str">
        <f>Ringkasan!A2002</f>
        <v/>
      </c>
      <c r="B1931" s="64" t="str">
        <f>Ringkasan!B2002</f>
        <v/>
      </c>
      <c r="C1931" s="64" t="str">
        <f>Ringkasan!C2002</f>
        <v/>
      </c>
      <c r="D1931" s="64" t="str">
        <f>Ringkasan!D2002</f>
        <v/>
      </c>
      <c r="E1931" s="64" t="str">
        <f>Ringkasan!E2002</f>
        <v/>
      </c>
      <c r="F1931" s="64" t="str">
        <f>Ringkasan!F2002</f>
        <v/>
      </c>
      <c r="G1931" s="64" t="str">
        <f>Ringkasan!G2002</f>
        <v/>
      </c>
      <c r="H1931" s="64" t="str">
        <f>Ringkasan!H2002</f>
        <v/>
      </c>
      <c r="I1931" s="64" t="str">
        <f>Ringkasan!I2002</f>
        <v/>
      </c>
      <c r="J1931" s="64" t="str">
        <f>Ringkasan!J2002</f>
        <v/>
      </c>
      <c r="K1931" s="64" t="str">
        <f>Ringkasan!K2002</f>
        <v/>
      </c>
      <c r="L1931" s="64" t="str">
        <f>Ringkasan!L2002</f>
        <v/>
      </c>
      <c r="M1931" s="64" t="str">
        <f>Ringkasan!M2002</f>
        <v/>
      </c>
      <c r="N1931" s="64" t="str">
        <f>Ringkasan!N2002</f>
        <v/>
      </c>
      <c r="O1931" s="64" t="str">
        <f>Ringkasan!O2002</f>
        <v/>
      </c>
      <c r="P1931" s="64" t="str">
        <f>Ringkasan!P2002</f>
        <v/>
      </c>
      <c r="Q1931" s="64" t="str">
        <f>Ringkasan!Q2002</f>
        <v/>
      </c>
      <c r="R1931" s="64" t="str">
        <f>Ringkasan!R2002</f>
        <v/>
      </c>
      <c r="S1931" s="64" t="str">
        <f>Ringkasan!S2002</f>
        <v/>
      </c>
      <c r="T1931" s="64" t="str">
        <f>Ringkasan!T2002</f>
        <v/>
      </c>
      <c r="U1931" s="64" t="str">
        <f>Ringkasan!U2002</f>
        <v/>
      </c>
      <c r="V1931" s="64" t="str">
        <f>Ringkasan!V2002</f>
        <v/>
      </c>
      <c r="W1931" s="64" t="str">
        <f>Ringkasan!W2002</f>
        <v/>
      </c>
      <c r="X1931" s="64" t="str">
        <f>Ringkasan!X2002</f>
        <v/>
      </c>
      <c r="Y1931" s="64" t="str">
        <f>Ringkasan!Y2002</f>
        <v/>
      </c>
      <c r="Z1931" s="64" t="str">
        <f>Ringkasan!Z2002</f>
        <v/>
      </c>
      <c r="AA1931" s="64" t="str">
        <f>Ringkasan!AA2002</f>
        <v/>
      </c>
      <c r="AB1931" s="64" t="str">
        <f>Ringkasan!AB2002</f>
        <v/>
      </c>
    </row>
    <row r="1932">
      <c r="A1932" s="64" t="str">
        <f>Ringkasan!A2003</f>
        <v/>
      </c>
      <c r="B1932" s="64" t="str">
        <f>Ringkasan!B2003</f>
        <v/>
      </c>
      <c r="C1932" s="64" t="str">
        <f>Ringkasan!C2003</f>
        <v/>
      </c>
      <c r="D1932" s="64" t="str">
        <f>Ringkasan!D2003</f>
        <v/>
      </c>
      <c r="E1932" s="64" t="str">
        <f>Ringkasan!E2003</f>
        <v/>
      </c>
      <c r="F1932" s="64" t="str">
        <f>Ringkasan!F2003</f>
        <v/>
      </c>
      <c r="G1932" s="64" t="str">
        <f>Ringkasan!G2003</f>
        <v/>
      </c>
      <c r="H1932" s="64" t="str">
        <f>Ringkasan!H2003</f>
        <v/>
      </c>
      <c r="I1932" s="64" t="str">
        <f>Ringkasan!I2003</f>
        <v/>
      </c>
      <c r="J1932" s="64" t="str">
        <f>Ringkasan!J2003</f>
        <v/>
      </c>
      <c r="K1932" s="64" t="str">
        <f>Ringkasan!K2003</f>
        <v/>
      </c>
      <c r="L1932" s="64" t="str">
        <f>Ringkasan!L2003</f>
        <v/>
      </c>
      <c r="M1932" s="64" t="str">
        <f>Ringkasan!M2003</f>
        <v/>
      </c>
      <c r="N1932" s="64" t="str">
        <f>Ringkasan!N2003</f>
        <v/>
      </c>
      <c r="O1932" s="64" t="str">
        <f>Ringkasan!O2003</f>
        <v/>
      </c>
      <c r="P1932" s="64" t="str">
        <f>Ringkasan!P2003</f>
        <v/>
      </c>
      <c r="Q1932" s="64" t="str">
        <f>Ringkasan!Q2003</f>
        <v/>
      </c>
      <c r="R1932" s="64" t="str">
        <f>Ringkasan!R2003</f>
        <v/>
      </c>
      <c r="S1932" s="64" t="str">
        <f>Ringkasan!S2003</f>
        <v/>
      </c>
      <c r="T1932" s="64" t="str">
        <f>Ringkasan!T2003</f>
        <v/>
      </c>
      <c r="U1932" s="64" t="str">
        <f>Ringkasan!U2003</f>
        <v/>
      </c>
      <c r="V1932" s="64" t="str">
        <f>Ringkasan!V2003</f>
        <v/>
      </c>
      <c r="W1932" s="64" t="str">
        <f>Ringkasan!W2003</f>
        <v/>
      </c>
      <c r="X1932" s="64" t="str">
        <f>Ringkasan!X2003</f>
        <v/>
      </c>
      <c r="Y1932" s="64" t="str">
        <f>Ringkasan!Y2003</f>
        <v/>
      </c>
      <c r="Z1932" s="64" t="str">
        <f>Ringkasan!Z2003</f>
        <v/>
      </c>
      <c r="AA1932" s="64" t="str">
        <f>Ringkasan!AA2003</f>
        <v/>
      </c>
      <c r="AB1932" s="64" t="str">
        <f>Ringkasan!AB2003</f>
        <v/>
      </c>
    </row>
    <row r="1933">
      <c r="A1933" s="64" t="str">
        <f>Ringkasan!A2004</f>
        <v/>
      </c>
      <c r="B1933" s="64" t="str">
        <f>Ringkasan!B2004</f>
        <v/>
      </c>
      <c r="C1933" s="64" t="str">
        <f>Ringkasan!C2004</f>
        <v/>
      </c>
      <c r="D1933" s="64" t="str">
        <f>Ringkasan!D2004</f>
        <v/>
      </c>
      <c r="E1933" s="64" t="str">
        <f>Ringkasan!E2004</f>
        <v/>
      </c>
      <c r="F1933" s="64" t="str">
        <f>Ringkasan!F2004</f>
        <v/>
      </c>
      <c r="G1933" s="64" t="str">
        <f>Ringkasan!G2004</f>
        <v/>
      </c>
      <c r="H1933" s="64" t="str">
        <f>Ringkasan!H2004</f>
        <v/>
      </c>
      <c r="I1933" s="64" t="str">
        <f>Ringkasan!I2004</f>
        <v/>
      </c>
      <c r="J1933" s="64" t="str">
        <f>Ringkasan!J2004</f>
        <v/>
      </c>
      <c r="K1933" s="64" t="str">
        <f>Ringkasan!K2004</f>
        <v/>
      </c>
      <c r="L1933" s="64" t="str">
        <f>Ringkasan!L2004</f>
        <v/>
      </c>
      <c r="M1933" s="64" t="str">
        <f>Ringkasan!M2004</f>
        <v/>
      </c>
      <c r="N1933" s="64" t="str">
        <f>Ringkasan!N2004</f>
        <v/>
      </c>
      <c r="O1933" s="64" t="str">
        <f>Ringkasan!O2004</f>
        <v/>
      </c>
      <c r="P1933" s="64" t="str">
        <f>Ringkasan!P2004</f>
        <v/>
      </c>
      <c r="Q1933" s="64" t="str">
        <f>Ringkasan!Q2004</f>
        <v/>
      </c>
      <c r="R1933" s="64" t="str">
        <f>Ringkasan!R2004</f>
        <v/>
      </c>
      <c r="S1933" s="64" t="str">
        <f>Ringkasan!S2004</f>
        <v/>
      </c>
      <c r="T1933" s="64" t="str">
        <f>Ringkasan!T2004</f>
        <v/>
      </c>
      <c r="U1933" s="64" t="str">
        <f>Ringkasan!U2004</f>
        <v/>
      </c>
      <c r="V1933" s="64" t="str">
        <f>Ringkasan!V2004</f>
        <v/>
      </c>
      <c r="W1933" s="64" t="str">
        <f>Ringkasan!W2004</f>
        <v/>
      </c>
      <c r="X1933" s="64" t="str">
        <f>Ringkasan!X2004</f>
        <v/>
      </c>
      <c r="Y1933" s="64" t="str">
        <f>Ringkasan!Y2004</f>
        <v/>
      </c>
      <c r="Z1933" s="64" t="str">
        <f>Ringkasan!Z2004</f>
        <v/>
      </c>
      <c r="AA1933" s="64" t="str">
        <f>Ringkasan!AA2004</f>
        <v/>
      </c>
      <c r="AB1933" s="64" t="str">
        <f>Ringkasan!AB2004</f>
        <v/>
      </c>
    </row>
    <row r="1934">
      <c r="A1934" s="64" t="str">
        <f>Ringkasan!A2005</f>
        <v/>
      </c>
      <c r="B1934" s="64" t="str">
        <f>Ringkasan!B2005</f>
        <v/>
      </c>
      <c r="C1934" s="64" t="str">
        <f>Ringkasan!C2005</f>
        <v/>
      </c>
      <c r="D1934" s="64" t="str">
        <f>Ringkasan!D2005</f>
        <v/>
      </c>
      <c r="E1934" s="64" t="str">
        <f>Ringkasan!E2005</f>
        <v/>
      </c>
      <c r="F1934" s="64" t="str">
        <f>Ringkasan!F2005</f>
        <v/>
      </c>
      <c r="G1934" s="64" t="str">
        <f>Ringkasan!G2005</f>
        <v/>
      </c>
      <c r="H1934" s="64" t="str">
        <f>Ringkasan!H2005</f>
        <v/>
      </c>
      <c r="I1934" s="64" t="str">
        <f>Ringkasan!I2005</f>
        <v/>
      </c>
      <c r="J1934" s="64" t="str">
        <f>Ringkasan!J2005</f>
        <v/>
      </c>
      <c r="K1934" s="64" t="str">
        <f>Ringkasan!K2005</f>
        <v/>
      </c>
      <c r="L1934" s="64" t="str">
        <f>Ringkasan!L2005</f>
        <v/>
      </c>
      <c r="M1934" s="64" t="str">
        <f>Ringkasan!M2005</f>
        <v/>
      </c>
      <c r="N1934" s="64" t="str">
        <f>Ringkasan!N2005</f>
        <v/>
      </c>
      <c r="O1934" s="64" t="str">
        <f>Ringkasan!O2005</f>
        <v/>
      </c>
      <c r="P1934" s="64" t="str">
        <f>Ringkasan!P2005</f>
        <v/>
      </c>
      <c r="Q1934" s="64" t="str">
        <f>Ringkasan!Q2005</f>
        <v/>
      </c>
      <c r="R1934" s="64" t="str">
        <f>Ringkasan!R2005</f>
        <v/>
      </c>
      <c r="S1934" s="64" t="str">
        <f>Ringkasan!S2005</f>
        <v/>
      </c>
      <c r="T1934" s="64" t="str">
        <f>Ringkasan!T2005</f>
        <v/>
      </c>
      <c r="U1934" s="64" t="str">
        <f>Ringkasan!U2005</f>
        <v/>
      </c>
      <c r="V1934" s="64" t="str">
        <f>Ringkasan!V2005</f>
        <v/>
      </c>
      <c r="W1934" s="64" t="str">
        <f>Ringkasan!W2005</f>
        <v/>
      </c>
      <c r="X1934" s="64" t="str">
        <f>Ringkasan!X2005</f>
        <v/>
      </c>
      <c r="Y1934" s="64" t="str">
        <f>Ringkasan!Y2005</f>
        <v/>
      </c>
      <c r="Z1934" s="64" t="str">
        <f>Ringkasan!Z2005</f>
        <v/>
      </c>
      <c r="AA1934" s="64" t="str">
        <f>Ringkasan!AA2005</f>
        <v/>
      </c>
      <c r="AB1934" s="64" t="str">
        <f>Ringkasan!AB2005</f>
        <v/>
      </c>
    </row>
    <row r="1935">
      <c r="A1935" s="64" t="str">
        <f>Ringkasan!A2006</f>
        <v/>
      </c>
      <c r="B1935" s="64" t="str">
        <f>Ringkasan!B2006</f>
        <v/>
      </c>
      <c r="C1935" s="64" t="str">
        <f>Ringkasan!C2006</f>
        <v/>
      </c>
      <c r="D1935" s="64" t="str">
        <f>Ringkasan!D2006</f>
        <v/>
      </c>
      <c r="E1935" s="64" t="str">
        <f>Ringkasan!E2006</f>
        <v/>
      </c>
      <c r="F1935" s="64" t="str">
        <f>Ringkasan!F2006</f>
        <v/>
      </c>
      <c r="G1935" s="64" t="str">
        <f>Ringkasan!G2006</f>
        <v/>
      </c>
      <c r="H1935" s="64" t="str">
        <f>Ringkasan!H2006</f>
        <v/>
      </c>
      <c r="I1935" s="64" t="str">
        <f>Ringkasan!I2006</f>
        <v/>
      </c>
      <c r="J1935" s="64" t="str">
        <f>Ringkasan!J2006</f>
        <v/>
      </c>
      <c r="K1935" s="64" t="str">
        <f>Ringkasan!K2006</f>
        <v/>
      </c>
      <c r="L1935" s="64" t="str">
        <f>Ringkasan!L2006</f>
        <v/>
      </c>
      <c r="M1935" s="64" t="str">
        <f>Ringkasan!M2006</f>
        <v/>
      </c>
      <c r="N1935" s="64" t="str">
        <f>Ringkasan!N2006</f>
        <v/>
      </c>
      <c r="O1935" s="64" t="str">
        <f>Ringkasan!O2006</f>
        <v/>
      </c>
      <c r="P1935" s="64" t="str">
        <f>Ringkasan!P2006</f>
        <v/>
      </c>
      <c r="Q1935" s="64" t="str">
        <f>Ringkasan!Q2006</f>
        <v/>
      </c>
      <c r="R1935" s="64" t="str">
        <f>Ringkasan!R2006</f>
        <v/>
      </c>
      <c r="S1935" s="64" t="str">
        <f>Ringkasan!S2006</f>
        <v/>
      </c>
      <c r="T1935" s="64" t="str">
        <f>Ringkasan!T2006</f>
        <v/>
      </c>
      <c r="U1935" s="64" t="str">
        <f>Ringkasan!U2006</f>
        <v/>
      </c>
      <c r="V1935" s="64" t="str">
        <f>Ringkasan!V2006</f>
        <v/>
      </c>
      <c r="W1935" s="64" t="str">
        <f>Ringkasan!W2006</f>
        <v/>
      </c>
      <c r="X1935" s="64" t="str">
        <f>Ringkasan!X2006</f>
        <v/>
      </c>
      <c r="Y1935" s="64" t="str">
        <f>Ringkasan!Y2006</f>
        <v/>
      </c>
      <c r="Z1935" s="64" t="str">
        <f>Ringkasan!Z2006</f>
        <v/>
      </c>
      <c r="AA1935" s="64" t="str">
        <f>Ringkasan!AA2006</f>
        <v/>
      </c>
      <c r="AB1935" s="64" t="str">
        <f>Ringkasan!AB2006</f>
        <v/>
      </c>
    </row>
    <row r="1936">
      <c r="A1936" s="64" t="str">
        <f>Ringkasan!A2007</f>
        <v/>
      </c>
      <c r="B1936" s="64" t="str">
        <f>Ringkasan!B2007</f>
        <v/>
      </c>
      <c r="C1936" s="64" t="str">
        <f>Ringkasan!C2007</f>
        <v/>
      </c>
      <c r="D1936" s="64" t="str">
        <f>Ringkasan!D2007</f>
        <v/>
      </c>
      <c r="E1936" s="64" t="str">
        <f>Ringkasan!E2007</f>
        <v/>
      </c>
      <c r="F1936" s="64" t="str">
        <f>Ringkasan!F2007</f>
        <v/>
      </c>
      <c r="G1936" s="64" t="str">
        <f>Ringkasan!G2007</f>
        <v/>
      </c>
      <c r="H1936" s="64" t="str">
        <f>Ringkasan!H2007</f>
        <v/>
      </c>
      <c r="I1936" s="64" t="str">
        <f>Ringkasan!I2007</f>
        <v/>
      </c>
      <c r="J1936" s="64" t="str">
        <f>Ringkasan!J2007</f>
        <v/>
      </c>
      <c r="K1936" s="64" t="str">
        <f>Ringkasan!K2007</f>
        <v/>
      </c>
      <c r="L1936" s="64" t="str">
        <f>Ringkasan!L2007</f>
        <v/>
      </c>
      <c r="M1936" s="64" t="str">
        <f>Ringkasan!M2007</f>
        <v/>
      </c>
      <c r="N1936" s="64" t="str">
        <f>Ringkasan!N2007</f>
        <v/>
      </c>
      <c r="O1936" s="64" t="str">
        <f>Ringkasan!O2007</f>
        <v/>
      </c>
      <c r="P1936" s="64" t="str">
        <f>Ringkasan!P2007</f>
        <v/>
      </c>
      <c r="Q1936" s="64" t="str">
        <f>Ringkasan!Q2007</f>
        <v/>
      </c>
      <c r="R1936" s="64" t="str">
        <f>Ringkasan!R2007</f>
        <v/>
      </c>
      <c r="S1936" s="64" t="str">
        <f>Ringkasan!S2007</f>
        <v/>
      </c>
      <c r="T1936" s="64" t="str">
        <f>Ringkasan!T2007</f>
        <v/>
      </c>
      <c r="U1936" s="64" t="str">
        <f>Ringkasan!U2007</f>
        <v/>
      </c>
      <c r="V1936" s="64" t="str">
        <f>Ringkasan!V2007</f>
        <v/>
      </c>
      <c r="W1936" s="64" t="str">
        <f>Ringkasan!W2007</f>
        <v/>
      </c>
      <c r="X1936" s="64" t="str">
        <f>Ringkasan!X2007</f>
        <v/>
      </c>
      <c r="Y1936" s="64" t="str">
        <f>Ringkasan!Y2007</f>
        <v/>
      </c>
      <c r="Z1936" s="64" t="str">
        <f>Ringkasan!Z2007</f>
        <v/>
      </c>
      <c r="AA1936" s="64" t="str">
        <f>Ringkasan!AA2007</f>
        <v/>
      </c>
      <c r="AB1936" s="64" t="str">
        <f>Ringkasan!AB2007</f>
        <v/>
      </c>
    </row>
    <row r="1937">
      <c r="A1937" s="64" t="str">
        <f>Ringkasan!A2008</f>
        <v/>
      </c>
      <c r="B1937" s="64" t="str">
        <f>Ringkasan!B2008</f>
        <v/>
      </c>
      <c r="C1937" s="64" t="str">
        <f>Ringkasan!C2008</f>
        <v/>
      </c>
      <c r="D1937" s="64" t="str">
        <f>Ringkasan!D2008</f>
        <v/>
      </c>
      <c r="E1937" s="64" t="str">
        <f>Ringkasan!E2008</f>
        <v/>
      </c>
      <c r="F1937" s="64" t="str">
        <f>Ringkasan!F2008</f>
        <v/>
      </c>
      <c r="G1937" s="64" t="str">
        <f>Ringkasan!G2008</f>
        <v/>
      </c>
      <c r="H1937" s="64" t="str">
        <f>Ringkasan!H2008</f>
        <v/>
      </c>
      <c r="I1937" s="64" t="str">
        <f>Ringkasan!I2008</f>
        <v/>
      </c>
      <c r="J1937" s="64" t="str">
        <f>Ringkasan!J2008</f>
        <v/>
      </c>
      <c r="K1937" s="64" t="str">
        <f>Ringkasan!K2008</f>
        <v/>
      </c>
      <c r="L1937" s="64" t="str">
        <f>Ringkasan!L2008</f>
        <v/>
      </c>
      <c r="M1937" s="64" t="str">
        <f>Ringkasan!M2008</f>
        <v/>
      </c>
      <c r="N1937" s="64" t="str">
        <f>Ringkasan!N2008</f>
        <v/>
      </c>
      <c r="O1937" s="64" t="str">
        <f>Ringkasan!O2008</f>
        <v/>
      </c>
      <c r="P1937" s="64" t="str">
        <f>Ringkasan!P2008</f>
        <v/>
      </c>
      <c r="Q1937" s="64" t="str">
        <f>Ringkasan!Q2008</f>
        <v/>
      </c>
      <c r="R1937" s="64" t="str">
        <f>Ringkasan!R2008</f>
        <v/>
      </c>
      <c r="S1937" s="64" t="str">
        <f>Ringkasan!S2008</f>
        <v/>
      </c>
      <c r="T1937" s="64" t="str">
        <f>Ringkasan!T2008</f>
        <v/>
      </c>
      <c r="U1937" s="64" t="str">
        <f>Ringkasan!U2008</f>
        <v/>
      </c>
      <c r="V1937" s="64" t="str">
        <f>Ringkasan!V2008</f>
        <v/>
      </c>
      <c r="W1937" s="64" t="str">
        <f>Ringkasan!W2008</f>
        <v/>
      </c>
      <c r="X1937" s="64" t="str">
        <f>Ringkasan!X2008</f>
        <v/>
      </c>
      <c r="Y1937" s="64" t="str">
        <f>Ringkasan!Y2008</f>
        <v/>
      </c>
      <c r="Z1937" s="64" t="str">
        <f>Ringkasan!Z2008</f>
        <v/>
      </c>
      <c r="AA1937" s="64" t="str">
        <f>Ringkasan!AA2008</f>
        <v/>
      </c>
      <c r="AB1937" s="64" t="str">
        <f>Ringkasan!AB2008</f>
        <v/>
      </c>
    </row>
    <row r="1938">
      <c r="A1938" s="64" t="str">
        <f>Ringkasan!A2009</f>
        <v/>
      </c>
      <c r="B1938" s="64" t="str">
        <f>Ringkasan!B2009</f>
        <v/>
      </c>
      <c r="C1938" s="64" t="str">
        <f>Ringkasan!C2009</f>
        <v/>
      </c>
      <c r="D1938" s="64" t="str">
        <f>Ringkasan!D2009</f>
        <v/>
      </c>
      <c r="E1938" s="64" t="str">
        <f>Ringkasan!E2009</f>
        <v/>
      </c>
      <c r="F1938" s="64" t="str">
        <f>Ringkasan!F2009</f>
        <v/>
      </c>
      <c r="G1938" s="64" t="str">
        <f>Ringkasan!G2009</f>
        <v/>
      </c>
      <c r="H1938" s="64" t="str">
        <f>Ringkasan!H2009</f>
        <v/>
      </c>
      <c r="I1938" s="64" t="str">
        <f>Ringkasan!I2009</f>
        <v/>
      </c>
      <c r="J1938" s="64" t="str">
        <f>Ringkasan!J2009</f>
        <v/>
      </c>
      <c r="K1938" s="64" t="str">
        <f>Ringkasan!K2009</f>
        <v/>
      </c>
      <c r="L1938" s="64" t="str">
        <f>Ringkasan!L2009</f>
        <v/>
      </c>
      <c r="M1938" s="64" t="str">
        <f>Ringkasan!M2009</f>
        <v/>
      </c>
      <c r="N1938" s="64" t="str">
        <f>Ringkasan!N2009</f>
        <v/>
      </c>
      <c r="O1938" s="64" t="str">
        <f>Ringkasan!O2009</f>
        <v/>
      </c>
      <c r="P1938" s="64" t="str">
        <f>Ringkasan!P2009</f>
        <v/>
      </c>
      <c r="Q1938" s="64" t="str">
        <f>Ringkasan!Q2009</f>
        <v/>
      </c>
      <c r="R1938" s="64" t="str">
        <f>Ringkasan!R2009</f>
        <v/>
      </c>
      <c r="S1938" s="64" t="str">
        <f>Ringkasan!S2009</f>
        <v/>
      </c>
      <c r="T1938" s="64" t="str">
        <f>Ringkasan!T2009</f>
        <v/>
      </c>
      <c r="U1938" s="64" t="str">
        <f>Ringkasan!U2009</f>
        <v/>
      </c>
      <c r="V1938" s="64" t="str">
        <f>Ringkasan!V2009</f>
        <v/>
      </c>
      <c r="W1938" s="64" t="str">
        <f>Ringkasan!W2009</f>
        <v/>
      </c>
      <c r="X1938" s="64" t="str">
        <f>Ringkasan!X2009</f>
        <v/>
      </c>
      <c r="Y1938" s="64" t="str">
        <f>Ringkasan!Y2009</f>
        <v/>
      </c>
      <c r="Z1938" s="64" t="str">
        <f>Ringkasan!Z2009</f>
        <v/>
      </c>
      <c r="AA1938" s="64" t="str">
        <f>Ringkasan!AA2009</f>
        <v/>
      </c>
      <c r="AB1938" s="64" t="str">
        <f>Ringkasan!AB2009</f>
        <v/>
      </c>
    </row>
    <row r="1939">
      <c r="A1939" s="64" t="str">
        <f>Ringkasan!A2010</f>
        <v/>
      </c>
      <c r="B1939" s="64" t="str">
        <f>Ringkasan!B2010</f>
        <v/>
      </c>
      <c r="C1939" s="64" t="str">
        <f>Ringkasan!C2010</f>
        <v/>
      </c>
      <c r="D1939" s="64" t="str">
        <f>Ringkasan!D2010</f>
        <v/>
      </c>
      <c r="E1939" s="64" t="str">
        <f>Ringkasan!E2010</f>
        <v/>
      </c>
      <c r="F1939" s="64" t="str">
        <f>Ringkasan!F2010</f>
        <v/>
      </c>
      <c r="G1939" s="64" t="str">
        <f>Ringkasan!G2010</f>
        <v/>
      </c>
      <c r="H1939" s="64" t="str">
        <f>Ringkasan!H2010</f>
        <v/>
      </c>
      <c r="I1939" s="64" t="str">
        <f>Ringkasan!I2010</f>
        <v/>
      </c>
      <c r="J1939" s="64" t="str">
        <f>Ringkasan!J2010</f>
        <v/>
      </c>
      <c r="K1939" s="64" t="str">
        <f>Ringkasan!K2010</f>
        <v/>
      </c>
      <c r="L1939" s="64" t="str">
        <f>Ringkasan!L2010</f>
        <v/>
      </c>
      <c r="M1939" s="64" t="str">
        <f>Ringkasan!M2010</f>
        <v/>
      </c>
      <c r="N1939" s="64" t="str">
        <f>Ringkasan!N2010</f>
        <v/>
      </c>
      <c r="O1939" s="64" t="str">
        <f>Ringkasan!O2010</f>
        <v/>
      </c>
      <c r="P1939" s="64" t="str">
        <f>Ringkasan!P2010</f>
        <v/>
      </c>
      <c r="Q1939" s="64" t="str">
        <f>Ringkasan!Q2010</f>
        <v/>
      </c>
      <c r="R1939" s="64" t="str">
        <f>Ringkasan!R2010</f>
        <v/>
      </c>
      <c r="S1939" s="64" t="str">
        <f>Ringkasan!S2010</f>
        <v/>
      </c>
      <c r="T1939" s="64" t="str">
        <f>Ringkasan!T2010</f>
        <v/>
      </c>
      <c r="U1939" s="64" t="str">
        <f>Ringkasan!U2010</f>
        <v/>
      </c>
      <c r="V1939" s="64" t="str">
        <f>Ringkasan!V2010</f>
        <v/>
      </c>
      <c r="W1939" s="64" t="str">
        <f>Ringkasan!W2010</f>
        <v/>
      </c>
      <c r="X1939" s="64" t="str">
        <f>Ringkasan!X2010</f>
        <v/>
      </c>
      <c r="Y1939" s="64" t="str">
        <f>Ringkasan!Y2010</f>
        <v/>
      </c>
      <c r="Z1939" s="64" t="str">
        <f>Ringkasan!Z2010</f>
        <v/>
      </c>
      <c r="AA1939" s="64" t="str">
        <f>Ringkasan!AA2010</f>
        <v/>
      </c>
      <c r="AB1939" s="64" t="str">
        <f>Ringkasan!AB2010</f>
        <v/>
      </c>
    </row>
    <row r="1940">
      <c r="A1940" s="64" t="str">
        <f>Ringkasan!A2011</f>
        <v/>
      </c>
      <c r="B1940" s="64" t="str">
        <f>Ringkasan!B2011</f>
        <v/>
      </c>
      <c r="C1940" s="64" t="str">
        <f>Ringkasan!C2011</f>
        <v/>
      </c>
      <c r="D1940" s="64" t="str">
        <f>Ringkasan!D2011</f>
        <v/>
      </c>
      <c r="E1940" s="64" t="str">
        <f>Ringkasan!E2011</f>
        <v/>
      </c>
      <c r="F1940" s="64" t="str">
        <f>Ringkasan!F2011</f>
        <v/>
      </c>
      <c r="G1940" s="64" t="str">
        <f>Ringkasan!G2011</f>
        <v/>
      </c>
      <c r="H1940" s="64" t="str">
        <f>Ringkasan!H2011</f>
        <v/>
      </c>
      <c r="I1940" s="64" t="str">
        <f>Ringkasan!I2011</f>
        <v/>
      </c>
      <c r="J1940" s="64" t="str">
        <f>Ringkasan!J2011</f>
        <v/>
      </c>
      <c r="K1940" s="64" t="str">
        <f>Ringkasan!K2011</f>
        <v/>
      </c>
      <c r="L1940" s="64" t="str">
        <f>Ringkasan!L2011</f>
        <v/>
      </c>
      <c r="M1940" s="64" t="str">
        <f>Ringkasan!M2011</f>
        <v/>
      </c>
      <c r="N1940" s="64" t="str">
        <f>Ringkasan!N2011</f>
        <v/>
      </c>
      <c r="O1940" s="64" t="str">
        <f>Ringkasan!O2011</f>
        <v/>
      </c>
      <c r="P1940" s="64" t="str">
        <f>Ringkasan!P2011</f>
        <v/>
      </c>
      <c r="Q1940" s="64" t="str">
        <f>Ringkasan!Q2011</f>
        <v/>
      </c>
      <c r="R1940" s="64" t="str">
        <f>Ringkasan!R2011</f>
        <v/>
      </c>
      <c r="S1940" s="64" t="str">
        <f>Ringkasan!S2011</f>
        <v/>
      </c>
      <c r="T1940" s="64" t="str">
        <f>Ringkasan!T2011</f>
        <v/>
      </c>
      <c r="U1940" s="64" t="str">
        <f>Ringkasan!U2011</f>
        <v/>
      </c>
      <c r="V1940" s="64" t="str">
        <f>Ringkasan!V2011</f>
        <v/>
      </c>
      <c r="W1940" s="64" t="str">
        <f>Ringkasan!W2011</f>
        <v/>
      </c>
      <c r="X1940" s="64" t="str">
        <f>Ringkasan!X2011</f>
        <v/>
      </c>
      <c r="Y1940" s="64" t="str">
        <f>Ringkasan!Y2011</f>
        <v/>
      </c>
      <c r="Z1940" s="64" t="str">
        <f>Ringkasan!Z2011</f>
        <v/>
      </c>
      <c r="AA1940" s="64" t="str">
        <f>Ringkasan!AA2011</f>
        <v/>
      </c>
      <c r="AB1940" s="64" t="str">
        <f>Ringkasan!AB2011</f>
        <v/>
      </c>
    </row>
    <row r="1941">
      <c r="A1941" s="64" t="str">
        <f>Ringkasan!A2012</f>
        <v/>
      </c>
      <c r="B1941" s="64" t="str">
        <f>Ringkasan!B2012</f>
        <v/>
      </c>
      <c r="C1941" s="64" t="str">
        <f>Ringkasan!C2012</f>
        <v/>
      </c>
      <c r="D1941" s="64" t="str">
        <f>Ringkasan!D2012</f>
        <v/>
      </c>
      <c r="E1941" s="64" t="str">
        <f>Ringkasan!E2012</f>
        <v/>
      </c>
      <c r="F1941" s="64" t="str">
        <f>Ringkasan!F2012</f>
        <v/>
      </c>
      <c r="G1941" s="64" t="str">
        <f>Ringkasan!G2012</f>
        <v/>
      </c>
      <c r="H1941" s="64" t="str">
        <f>Ringkasan!H2012</f>
        <v/>
      </c>
      <c r="I1941" s="64" t="str">
        <f>Ringkasan!I2012</f>
        <v/>
      </c>
      <c r="J1941" s="64" t="str">
        <f>Ringkasan!J2012</f>
        <v/>
      </c>
      <c r="K1941" s="64" t="str">
        <f>Ringkasan!K2012</f>
        <v/>
      </c>
      <c r="L1941" s="64" t="str">
        <f>Ringkasan!L2012</f>
        <v/>
      </c>
      <c r="M1941" s="64" t="str">
        <f>Ringkasan!M2012</f>
        <v/>
      </c>
      <c r="N1941" s="64" t="str">
        <f>Ringkasan!N2012</f>
        <v/>
      </c>
      <c r="O1941" s="64" t="str">
        <f>Ringkasan!O2012</f>
        <v/>
      </c>
      <c r="P1941" s="64" t="str">
        <f>Ringkasan!P2012</f>
        <v/>
      </c>
      <c r="Q1941" s="64" t="str">
        <f>Ringkasan!Q2012</f>
        <v/>
      </c>
      <c r="R1941" s="64" t="str">
        <f>Ringkasan!R2012</f>
        <v/>
      </c>
      <c r="S1941" s="64" t="str">
        <f>Ringkasan!S2012</f>
        <v/>
      </c>
      <c r="T1941" s="64" t="str">
        <f>Ringkasan!T2012</f>
        <v/>
      </c>
      <c r="U1941" s="64" t="str">
        <f>Ringkasan!U2012</f>
        <v/>
      </c>
      <c r="V1941" s="64" t="str">
        <f>Ringkasan!V2012</f>
        <v/>
      </c>
      <c r="W1941" s="64" t="str">
        <f>Ringkasan!W2012</f>
        <v/>
      </c>
      <c r="X1941" s="64" t="str">
        <f>Ringkasan!X2012</f>
        <v/>
      </c>
      <c r="Y1941" s="64" t="str">
        <f>Ringkasan!Y2012</f>
        <v/>
      </c>
      <c r="Z1941" s="64" t="str">
        <f>Ringkasan!Z2012</f>
        <v/>
      </c>
      <c r="AA1941" s="64" t="str">
        <f>Ringkasan!AA2012</f>
        <v/>
      </c>
      <c r="AB1941" s="64" t="str">
        <f>Ringkasan!AB2012</f>
        <v/>
      </c>
    </row>
    <row r="1942">
      <c r="A1942" s="64" t="str">
        <f>Ringkasan!A2013</f>
        <v/>
      </c>
      <c r="B1942" s="64" t="str">
        <f>Ringkasan!B2013</f>
        <v/>
      </c>
      <c r="C1942" s="64" t="str">
        <f>Ringkasan!C2013</f>
        <v/>
      </c>
      <c r="D1942" s="64" t="str">
        <f>Ringkasan!D2013</f>
        <v/>
      </c>
      <c r="E1942" s="64" t="str">
        <f>Ringkasan!E2013</f>
        <v/>
      </c>
      <c r="F1942" s="64" t="str">
        <f>Ringkasan!F2013</f>
        <v/>
      </c>
      <c r="G1942" s="64" t="str">
        <f>Ringkasan!G2013</f>
        <v/>
      </c>
      <c r="H1942" s="64" t="str">
        <f>Ringkasan!H2013</f>
        <v/>
      </c>
      <c r="I1942" s="64" t="str">
        <f>Ringkasan!I2013</f>
        <v/>
      </c>
      <c r="J1942" s="64" t="str">
        <f>Ringkasan!J2013</f>
        <v/>
      </c>
      <c r="K1942" s="64" t="str">
        <f>Ringkasan!K2013</f>
        <v/>
      </c>
      <c r="L1942" s="64" t="str">
        <f>Ringkasan!L2013</f>
        <v/>
      </c>
      <c r="M1942" s="64" t="str">
        <f>Ringkasan!M2013</f>
        <v/>
      </c>
      <c r="N1942" s="64" t="str">
        <f>Ringkasan!N2013</f>
        <v/>
      </c>
      <c r="O1942" s="64" t="str">
        <f>Ringkasan!O2013</f>
        <v/>
      </c>
      <c r="P1942" s="64" t="str">
        <f>Ringkasan!P2013</f>
        <v/>
      </c>
      <c r="Q1942" s="64" t="str">
        <f>Ringkasan!Q2013</f>
        <v/>
      </c>
      <c r="R1942" s="64" t="str">
        <f>Ringkasan!R2013</f>
        <v/>
      </c>
      <c r="S1942" s="64" t="str">
        <f>Ringkasan!S2013</f>
        <v/>
      </c>
      <c r="T1942" s="64" t="str">
        <f>Ringkasan!T2013</f>
        <v/>
      </c>
      <c r="U1942" s="64" t="str">
        <f>Ringkasan!U2013</f>
        <v/>
      </c>
      <c r="V1942" s="64" t="str">
        <f>Ringkasan!V2013</f>
        <v/>
      </c>
      <c r="W1942" s="64" t="str">
        <f>Ringkasan!W2013</f>
        <v/>
      </c>
      <c r="X1942" s="64" t="str">
        <f>Ringkasan!X2013</f>
        <v/>
      </c>
      <c r="Y1942" s="64" t="str">
        <f>Ringkasan!Y2013</f>
        <v/>
      </c>
      <c r="Z1942" s="64" t="str">
        <f>Ringkasan!Z2013</f>
        <v/>
      </c>
      <c r="AA1942" s="64" t="str">
        <f>Ringkasan!AA2013</f>
        <v/>
      </c>
      <c r="AB1942" s="64" t="str">
        <f>Ringkasan!AB2013</f>
        <v/>
      </c>
    </row>
    <row r="1943">
      <c r="A1943" s="64" t="str">
        <f>Ringkasan!A2014</f>
        <v/>
      </c>
      <c r="B1943" s="64" t="str">
        <f>Ringkasan!B2014</f>
        <v/>
      </c>
      <c r="C1943" s="64" t="str">
        <f>Ringkasan!C2014</f>
        <v/>
      </c>
      <c r="D1943" s="64" t="str">
        <f>Ringkasan!D2014</f>
        <v/>
      </c>
      <c r="E1943" s="64" t="str">
        <f>Ringkasan!E2014</f>
        <v/>
      </c>
      <c r="F1943" s="64" t="str">
        <f>Ringkasan!F2014</f>
        <v/>
      </c>
      <c r="G1943" s="64" t="str">
        <f>Ringkasan!G2014</f>
        <v/>
      </c>
      <c r="H1943" s="64" t="str">
        <f>Ringkasan!H2014</f>
        <v/>
      </c>
      <c r="I1943" s="64" t="str">
        <f>Ringkasan!I2014</f>
        <v/>
      </c>
      <c r="J1943" s="64" t="str">
        <f>Ringkasan!J2014</f>
        <v/>
      </c>
      <c r="K1943" s="64" t="str">
        <f>Ringkasan!K2014</f>
        <v/>
      </c>
      <c r="L1943" s="64" t="str">
        <f>Ringkasan!L2014</f>
        <v/>
      </c>
      <c r="M1943" s="64" t="str">
        <f>Ringkasan!M2014</f>
        <v/>
      </c>
      <c r="N1943" s="64" t="str">
        <f>Ringkasan!N2014</f>
        <v/>
      </c>
      <c r="O1943" s="64" t="str">
        <f>Ringkasan!O2014</f>
        <v/>
      </c>
      <c r="P1943" s="64" t="str">
        <f>Ringkasan!P2014</f>
        <v/>
      </c>
      <c r="Q1943" s="64" t="str">
        <f>Ringkasan!Q2014</f>
        <v/>
      </c>
      <c r="R1943" s="64" t="str">
        <f>Ringkasan!R2014</f>
        <v/>
      </c>
      <c r="S1943" s="64" t="str">
        <f>Ringkasan!S2014</f>
        <v/>
      </c>
      <c r="T1943" s="64" t="str">
        <f>Ringkasan!T2014</f>
        <v/>
      </c>
      <c r="U1943" s="64" t="str">
        <f>Ringkasan!U2014</f>
        <v/>
      </c>
      <c r="V1943" s="64" t="str">
        <f>Ringkasan!V2014</f>
        <v/>
      </c>
      <c r="W1943" s="64" t="str">
        <f>Ringkasan!W2014</f>
        <v/>
      </c>
      <c r="X1943" s="64" t="str">
        <f>Ringkasan!X2014</f>
        <v/>
      </c>
      <c r="Y1943" s="64" t="str">
        <f>Ringkasan!Y2014</f>
        <v/>
      </c>
      <c r="Z1943" s="64" t="str">
        <f>Ringkasan!Z2014</f>
        <v/>
      </c>
      <c r="AA1943" s="64" t="str">
        <f>Ringkasan!AA2014</f>
        <v/>
      </c>
      <c r="AB1943" s="64" t="str">
        <f>Ringkasan!AB2014</f>
        <v/>
      </c>
    </row>
    <row r="1944">
      <c r="A1944" s="64" t="str">
        <f>Ringkasan!A2015</f>
        <v/>
      </c>
      <c r="B1944" s="64" t="str">
        <f>Ringkasan!B2015</f>
        <v/>
      </c>
      <c r="C1944" s="64" t="str">
        <f>Ringkasan!C2015</f>
        <v/>
      </c>
      <c r="D1944" s="64" t="str">
        <f>Ringkasan!D2015</f>
        <v/>
      </c>
      <c r="E1944" s="64" t="str">
        <f>Ringkasan!E2015</f>
        <v/>
      </c>
      <c r="F1944" s="64" t="str">
        <f>Ringkasan!F2015</f>
        <v/>
      </c>
      <c r="G1944" s="64" t="str">
        <f>Ringkasan!G2015</f>
        <v/>
      </c>
      <c r="H1944" s="64" t="str">
        <f>Ringkasan!H2015</f>
        <v/>
      </c>
      <c r="I1944" s="64" t="str">
        <f>Ringkasan!I2015</f>
        <v/>
      </c>
      <c r="J1944" s="64" t="str">
        <f>Ringkasan!J2015</f>
        <v/>
      </c>
      <c r="K1944" s="64" t="str">
        <f>Ringkasan!K2015</f>
        <v/>
      </c>
      <c r="L1944" s="64" t="str">
        <f>Ringkasan!L2015</f>
        <v/>
      </c>
      <c r="M1944" s="64" t="str">
        <f>Ringkasan!M2015</f>
        <v/>
      </c>
      <c r="N1944" s="64" t="str">
        <f>Ringkasan!N2015</f>
        <v/>
      </c>
      <c r="O1944" s="64" t="str">
        <f>Ringkasan!O2015</f>
        <v/>
      </c>
      <c r="P1944" s="64" t="str">
        <f>Ringkasan!P2015</f>
        <v/>
      </c>
      <c r="Q1944" s="64" t="str">
        <f>Ringkasan!Q2015</f>
        <v/>
      </c>
      <c r="R1944" s="64" t="str">
        <f>Ringkasan!R2015</f>
        <v/>
      </c>
      <c r="S1944" s="64" t="str">
        <f>Ringkasan!S2015</f>
        <v/>
      </c>
      <c r="T1944" s="64" t="str">
        <f>Ringkasan!T2015</f>
        <v/>
      </c>
      <c r="U1944" s="64" t="str">
        <f>Ringkasan!U2015</f>
        <v/>
      </c>
      <c r="V1944" s="64" t="str">
        <f>Ringkasan!V2015</f>
        <v/>
      </c>
      <c r="W1944" s="64" t="str">
        <f>Ringkasan!W2015</f>
        <v/>
      </c>
      <c r="X1944" s="64" t="str">
        <f>Ringkasan!X2015</f>
        <v/>
      </c>
      <c r="Y1944" s="64" t="str">
        <f>Ringkasan!Y2015</f>
        <v/>
      </c>
      <c r="Z1944" s="64" t="str">
        <f>Ringkasan!Z2015</f>
        <v/>
      </c>
      <c r="AA1944" s="64" t="str">
        <f>Ringkasan!AA2015</f>
        <v/>
      </c>
      <c r="AB1944" s="64" t="str">
        <f>Ringkasan!AB2015</f>
        <v/>
      </c>
    </row>
    <row r="1945">
      <c r="A1945" s="64" t="str">
        <f>Ringkasan!A2016</f>
        <v/>
      </c>
      <c r="B1945" s="64" t="str">
        <f>Ringkasan!B2016</f>
        <v/>
      </c>
      <c r="C1945" s="64" t="str">
        <f>Ringkasan!C2016</f>
        <v/>
      </c>
      <c r="D1945" s="64" t="str">
        <f>Ringkasan!D2016</f>
        <v/>
      </c>
      <c r="E1945" s="64" t="str">
        <f>Ringkasan!E2016</f>
        <v/>
      </c>
      <c r="F1945" s="64" t="str">
        <f>Ringkasan!F2016</f>
        <v/>
      </c>
      <c r="G1945" s="64" t="str">
        <f>Ringkasan!G2016</f>
        <v/>
      </c>
      <c r="H1945" s="64" t="str">
        <f>Ringkasan!H2016</f>
        <v/>
      </c>
      <c r="I1945" s="64" t="str">
        <f>Ringkasan!I2016</f>
        <v/>
      </c>
      <c r="J1945" s="64" t="str">
        <f>Ringkasan!J2016</f>
        <v/>
      </c>
      <c r="K1945" s="64" t="str">
        <f>Ringkasan!K2016</f>
        <v/>
      </c>
      <c r="L1945" s="64" t="str">
        <f>Ringkasan!L2016</f>
        <v/>
      </c>
      <c r="M1945" s="64" t="str">
        <f>Ringkasan!M2016</f>
        <v/>
      </c>
      <c r="N1945" s="64" t="str">
        <f>Ringkasan!N2016</f>
        <v/>
      </c>
      <c r="O1945" s="64" t="str">
        <f>Ringkasan!O2016</f>
        <v/>
      </c>
      <c r="P1945" s="64" t="str">
        <f>Ringkasan!P2016</f>
        <v/>
      </c>
      <c r="Q1945" s="64" t="str">
        <f>Ringkasan!Q2016</f>
        <v/>
      </c>
      <c r="R1945" s="64" t="str">
        <f>Ringkasan!R2016</f>
        <v/>
      </c>
      <c r="S1945" s="64" t="str">
        <f>Ringkasan!S2016</f>
        <v/>
      </c>
      <c r="T1945" s="64" t="str">
        <f>Ringkasan!T2016</f>
        <v/>
      </c>
      <c r="U1945" s="64" t="str">
        <f>Ringkasan!U2016</f>
        <v/>
      </c>
      <c r="V1945" s="64" t="str">
        <f>Ringkasan!V2016</f>
        <v/>
      </c>
      <c r="W1945" s="64" t="str">
        <f>Ringkasan!W2016</f>
        <v/>
      </c>
      <c r="X1945" s="64" t="str">
        <f>Ringkasan!X2016</f>
        <v/>
      </c>
      <c r="Y1945" s="64" t="str">
        <f>Ringkasan!Y2016</f>
        <v/>
      </c>
      <c r="Z1945" s="64" t="str">
        <f>Ringkasan!Z2016</f>
        <v/>
      </c>
      <c r="AA1945" s="64" t="str">
        <f>Ringkasan!AA2016</f>
        <v/>
      </c>
      <c r="AB1945" s="64" t="str">
        <f>Ringkasan!AB2016</f>
        <v/>
      </c>
    </row>
    <row r="1946">
      <c r="A1946" s="64" t="str">
        <f>Ringkasan!A2017</f>
        <v/>
      </c>
      <c r="B1946" s="64" t="str">
        <f>Ringkasan!B2017</f>
        <v/>
      </c>
      <c r="C1946" s="64" t="str">
        <f>Ringkasan!C2017</f>
        <v/>
      </c>
      <c r="D1946" s="64" t="str">
        <f>Ringkasan!D2017</f>
        <v/>
      </c>
      <c r="E1946" s="64" t="str">
        <f>Ringkasan!E2017</f>
        <v/>
      </c>
      <c r="F1946" s="64" t="str">
        <f>Ringkasan!F2017</f>
        <v/>
      </c>
      <c r="G1946" s="64" t="str">
        <f>Ringkasan!G2017</f>
        <v/>
      </c>
      <c r="H1946" s="64" t="str">
        <f>Ringkasan!H2017</f>
        <v/>
      </c>
      <c r="I1946" s="64" t="str">
        <f>Ringkasan!I2017</f>
        <v/>
      </c>
      <c r="J1946" s="64" t="str">
        <f>Ringkasan!J2017</f>
        <v/>
      </c>
      <c r="K1946" s="64" t="str">
        <f>Ringkasan!K2017</f>
        <v/>
      </c>
      <c r="L1946" s="64" t="str">
        <f>Ringkasan!L2017</f>
        <v/>
      </c>
      <c r="M1946" s="64" t="str">
        <f>Ringkasan!M2017</f>
        <v/>
      </c>
      <c r="N1946" s="64" t="str">
        <f>Ringkasan!N2017</f>
        <v/>
      </c>
      <c r="O1946" s="64" t="str">
        <f>Ringkasan!O2017</f>
        <v/>
      </c>
      <c r="P1946" s="64" t="str">
        <f>Ringkasan!P2017</f>
        <v/>
      </c>
      <c r="Q1946" s="64" t="str">
        <f>Ringkasan!Q2017</f>
        <v/>
      </c>
      <c r="R1946" s="64" t="str">
        <f>Ringkasan!R2017</f>
        <v/>
      </c>
      <c r="S1946" s="64" t="str">
        <f>Ringkasan!S2017</f>
        <v/>
      </c>
      <c r="T1946" s="64" t="str">
        <f>Ringkasan!T2017</f>
        <v/>
      </c>
      <c r="U1946" s="64" t="str">
        <f>Ringkasan!U2017</f>
        <v/>
      </c>
      <c r="V1946" s="64" t="str">
        <f>Ringkasan!V2017</f>
        <v/>
      </c>
      <c r="W1946" s="64" t="str">
        <f>Ringkasan!W2017</f>
        <v/>
      </c>
      <c r="X1946" s="64" t="str">
        <f>Ringkasan!X2017</f>
        <v/>
      </c>
      <c r="Y1946" s="64" t="str">
        <f>Ringkasan!Y2017</f>
        <v/>
      </c>
      <c r="Z1946" s="64" t="str">
        <f>Ringkasan!Z2017</f>
        <v/>
      </c>
      <c r="AA1946" s="64" t="str">
        <f>Ringkasan!AA2017</f>
        <v/>
      </c>
      <c r="AB1946" s="64" t="str">
        <f>Ringkasan!AB2017</f>
        <v/>
      </c>
    </row>
    <row r="1947">
      <c r="A1947" s="64" t="str">
        <f>Ringkasan!A2018</f>
        <v/>
      </c>
      <c r="B1947" s="64" t="str">
        <f>Ringkasan!B2018</f>
        <v/>
      </c>
      <c r="C1947" s="64" t="str">
        <f>Ringkasan!C2018</f>
        <v/>
      </c>
      <c r="D1947" s="64" t="str">
        <f>Ringkasan!D2018</f>
        <v/>
      </c>
      <c r="E1947" s="64" t="str">
        <f>Ringkasan!E2018</f>
        <v/>
      </c>
      <c r="F1947" s="64" t="str">
        <f>Ringkasan!F2018</f>
        <v/>
      </c>
      <c r="G1947" s="64" t="str">
        <f>Ringkasan!G2018</f>
        <v/>
      </c>
      <c r="H1947" s="64" t="str">
        <f>Ringkasan!H2018</f>
        <v/>
      </c>
      <c r="I1947" s="64" t="str">
        <f>Ringkasan!I2018</f>
        <v/>
      </c>
      <c r="J1947" s="64" t="str">
        <f>Ringkasan!J2018</f>
        <v/>
      </c>
      <c r="K1947" s="64" t="str">
        <f>Ringkasan!K2018</f>
        <v/>
      </c>
      <c r="L1947" s="64" t="str">
        <f>Ringkasan!L2018</f>
        <v/>
      </c>
      <c r="M1947" s="64" t="str">
        <f>Ringkasan!M2018</f>
        <v/>
      </c>
      <c r="N1947" s="64" t="str">
        <f>Ringkasan!N2018</f>
        <v/>
      </c>
      <c r="O1947" s="64" t="str">
        <f>Ringkasan!O2018</f>
        <v/>
      </c>
      <c r="P1947" s="64" t="str">
        <f>Ringkasan!P2018</f>
        <v/>
      </c>
      <c r="Q1947" s="64" t="str">
        <f>Ringkasan!Q2018</f>
        <v/>
      </c>
      <c r="R1947" s="64" t="str">
        <f>Ringkasan!R2018</f>
        <v/>
      </c>
      <c r="S1947" s="64" t="str">
        <f>Ringkasan!S2018</f>
        <v/>
      </c>
      <c r="T1947" s="64" t="str">
        <f>Ringkasan!T2018</f>
        <v/>
      </c>
      <c r="U1947" s="64" t="str">
        <f>Ringkasan!U2018</f>
        <v/>
      </c>
      <c r="V1947" s="64" t="str">
        <f>Ringkasan!V2018</f>
        <v/>
      </c>
      <c r="W1947" s="64" t="str">
        <f>Ringkasan!W2018</f>
        <v/>
      </c>
      <c r="X1947" s="64" t="str">
        <f>Ringkasan!X2018</f>
        <v/>
      </c>
      <c r="Y1947" s="64" t="str">
        <f>Ringkasan!Y2018</f>
        <v/>
      </c>
      <c r="Z1947" s="64" t="str">
        <f>Ringkasan!Z2018</f>
        <v/>
      </c>
      <c r="AA1947" s="64" t="str">
        <f>Ringkasan!AA2018</f>
        <v/>
      </c>
      <c r="AB1947" s="64" t="str">
        <f>Ringkasan!AB2018</f>
        <v/>
      </c>
    </row>
    <row r="1948">
      <c r="A1948" s="64" t="str">
        <f>Ringkasan!A2019</f>
        <v/>
      </c>
      <c r="B1948" s="64" t="str">
        <f>Ringkasan!B2019</f>
        <v/>
      </c>
      <c r="C1948" s="64" t="str">
        <f>Ringkasan!C2019</f>
        <v/>
      </c>
      <c r="D1948" s="64" t="str">
        <f>Ringkasan!D2019</f>
        <v/>
      </c>
      <c r="E1948" s="64" t="str">
        <f>Ringkasan!E2019</f>
        <v/>
      </c>
      <c r="F1948" s="64" t="str">
        <f>Ringkasan!F2019</f>
        <v/>
      </c>
      <c r="G1948" s="64" t="str">
        <f>Ringkasan!G2019</f>
        <v/>
      </c>
      <c r="H1948" s="64" t="str">
        <f>Ringkasan!H2019</f>
        <v/>
      </c>
      <c r="I1948" s="64" t="str">
        <f>Ringkasan!I2019</f>
        <v/>
      </c>
      <c r="J1948" s="64" t="str">
        <f>Ringkasan!J2019</f>
        <v/>
      </c>
      <c r="K1948" s="64" t="str">
        <f>Ringkasan!K2019</f>
        <v/>
      </c>
      <c r="L1948" s="64" t="str">
        <f>Ringkasan!L2019</f>
        <v/>
      </c>
      <c r="M1948" s="64" t="str">
        <f>Ringkasan!M2019</f>
        <v/>
      </c>
      <c r="N1948" s="64" t="str">
        <f>Ringkasan!N2019</f>
        <v/>
      </c>
      <c r="O1948" s="64" t="str">
        <f>Ringkasan!O2019</f>
        <v/>
      </c>
      <c r="P1948" s="64" t="str">
        <f>Ringkasan!P2019</f>
        <v/>
      </c>
      <c r="Q1948" s="64" t="str">
        <f>Ringkasan!Q2019</f>
        <v/>
      </c>
      <c r="R1948" s="64" t="str">
        <f>Ringkasan!R2019</f>
        <v/>
      </c>
      <c r="S1948" s="64" t="str">
        <f>Ringkasan!S2019</f>
        <v/>
      </c>
      <c r="T1948" s="64" t="str">
        <f>Ringkasan!T2019</f>
        <v/>
      </c>
      <c r="U1948" s="64" t="str">
        <f>Ringkasan!U2019</f>
        <v/>
      </c>
      <c r="V1948" s="64" t="str">
        <f>Ringkasan!V2019</f>
        <v/>
      </c>
      <c r="W1948" s="64" t="str">
        <f>Ringkasan!W2019</f>
        <v/>
      </c>
      <c r="X1948" s="64" t="str">
        <f>Ringkasan!X2019</f>
        <v/>
      </c>
      <c r="Y1948" s="64" t="str">
        <f>Ringkasan!Y2019</f>
        <v/>
      </c>
      <c r="Z1948" s="64" t="str">
        <f>Ringkasan!Z2019</f>
        <v/>
      </c>
      <c r="AA1948" s="64" t="str">
        <f>Ringkasan!AA2019</f>
        <v/>
      </c>
      <c r="AB1948" s="64" t="str">
        <f>Ringkasan!AB2019</f>
        <v/>
      </c>
    </row>
    <row r="1949">
      <c r="A1949" s="64" t="str">
        <f>Ringkasan!A2020</f>
        <v/>
      </c>
      <c r="B1949" s="64" t="str">
        <f>Ringkasan!B2020</f>
        <v/>
      </c>
      <c r="C1949" s="64" t="str">
        <f>Ringkasan!C2020</f>
        <v/>
      </c>
      <c r="D1949" s="64" t="str">
        <f>Ringkasan!D2020</f>
        <v/>
      </c>
      <c r="E1949" s="64" t="str">
        <f>Ringkasan!E2020</f>
        <v/>
      </c>
      <c r="F1949" s="64" t="str">
        <f>Ringkasan!F2020</f>
        <v/>
      </c>
      <c r="G1949" s="64" t="str">
        <f>Ringkasan!G2020</f>
        <v/>
      </c>
      <c r="H1949" s="64" t="str">
        <f>Ringkasan!H2020</f>
        <v/>
      </c>
      <c r="I1949" s="64" t="str">
        <f>Ringkasan!I2020</f>
        <v/>
      </c>
      <c r="J1949" s="64" t="str">
        <f>Ringkasan!J2020</f>
        <v/>
      </c>
      <c r="K1949" s="64" t="str">
        <f>Ringkasan!K2020</f>
        <v/>
      </c>
      <c r="L1949" s="64" t="str">
        <f>Ringkasan!L2020</f>
        <v/>
      </c>
      <c r="M1949" s="64" t="str">
        <f>Ringkasan!M2020</f>
        <v/>
      </c>
      <c r="N1949" s="64" t="str">
        <f>Ringkasan!N2020</f>
        <v/>
      </c>
      <c r="O1949" s="64" t="str">
        <f>Ringkasan!O2020</f>
        <v/>
      </c>
      <c r="P1949" s="64" t="str">
        <f>Ringkasan!P2020</f>
        <v/>
      </c>
      <c r="Q1949" s="64" t="str">
        <f>Ringkasan!Q2020</f>
        <v/>
      </c>
      <c r="R1949" s="64" t="str">
        <f>Ringkasan!R2020</f>
        <v/>
      </c>
      <c r="S1949" s="64" t="str">
        <f>Ringkasan!S2020</f>
        <v/>
      </c>
      <c r="T1949" s="64" t="str">
        <f>Ringkasan!T2020</f>
        <v/>
      </c>
      <c r="U1949" s="64" t="str">
        <f>Ringkasan!U2020</f>
        <v/>
      </c>
      <c r="V1949" s="64" t="str">
        <f>Ringkasan!V2020</f>
        <v/>
      </c>
      <c r="W1949" s="64" t="str">
        <f>Ringkasan!W2020</f>
        <v/>
      </c>
      <c r="X1949" s="64" t="str">
        <f>Ringkasan!X2020</f>
        <v/>
      </c>
      <c r="Y1949" s="64" t="str">
        <f>Ringkasan!Y2020</f>
        <v/>
      </c>
      <c r="Z1949" s="64" t="str">
        <f>Ringkasan!Z2020</f>
        <v/>
      </c>
      <c r="AA1949" s="64" t="str">
        <f>Ringkasan!AA2020</f>
        <v/>
      </c>
      <c r="AB1949" s="64" t="str">
        <f>Ringkasan!AB2020</f>
        <v/>
      </c>
    </row>
    <row r="1950">
      <c r="A1950" s="64" t="str">
        <f>Ringkasan!A2021</f>
        <v/>
      </c>
      <c r="B1950" s="64" t="str">
        <f>Ringkasan!B2021</f>
        <v/>
      </c>
      <c r="C1950" s="64" t="str">
        <f>Ringkasan!C2021</f>
        <v/>
      </c>
      <c r="D1950" s="64" t="str">
        <f>Ringkasan!D2021</f>
        <v/>
      </c>
      <c r="E1950" s="64" t="str">
        <f>Ringkasan!E2021</f>
        <v/>
      </c>
      <c r="F1950" s="64" t="str">
        <f>Ringkasan!F2021</f>
        <v/>
      </c>
      <c r="G1950" s="64" t="str">
        <f>Ringkasan!G2021</f>
        <v/>
      </c>
      <c r="H1950" s="64" t="str">
        <f>Ringkasan!H2021</f>
        <v/>
      </c>
      <c r="I1950" s="64" t="str">
        <f>Ringkasan!I2021</f>
        <v/>
      </c>
      <c r="J1950" s="64" t="str">
        <f>Ringkasan!J2021</f>
        <v/>
      </c>
      <c r="K1950" s="64" t="str">
        <f>Ringkasan!K2021</f>
        <v/>
      </c>
      <c r="L1950" s="64" t="str">
        <f>Ringkasan!L2021</f>
        <v/>
      </c>
      <c r="M1950" s="64" t="str">
        <f>Ringkasan!M2021</f>
        <v/>
      </c>
      <c r="N1950" s="64" t="str">
        <f>Ringkasan!N2021</f>
        <v/>
      </c>
      <c r="O1950" s="64" t="str">
        <f>Ringkasan!O2021</f>
        <v/>
      </c>
      <c r="P1950" s="64" t="str">
        <f>Ringkasan!P2021</f>
        <v/>
      </c>
      <c r="Q1950" s="64" t="str">
        <f>Ringkasan!Q2021</f>
        <v/>
      </c>
      <c r="R1950" s="64" t="str">
        <f>Ringkasan!R2021</f>
        <v/>
      </c>
      <c r="S1950" s="64" t="str">
        <f>Ringkasan!S2021</f>
        <v/>
      </c>
      <c r="T1950" s="64" t="str">
        <f>Ringkasan!T2021</f>
        <v/>
      </c>
      <c r="U1950" s="64" t="str">
        <f>Ringkasan!U2021</f>
        <v/>
      </c>
      <c r="V1950" s="64" t="str">
        <f>Ringkasan!V2021</f>
        <v/>
      </c>
      <c r="W1950" s="64" t="str">
        <f>Ringkasan!W2021</f>
        <v/>
      </c>
      <c r="X1950" s="64" t="str">
        <f>Ringkasan!X2021</f>
        <v/>
      </c>
      <c r="Y1950" s="64" t="str">
        <f>Ringkasan!Y2021</f>
        <v/>
      </c>
      <c r="Z1950" s="64" t="str">
        <f>Ringkasan!Z2021</f>
        <v/>
      </c>
      <c r="AA1950" s="64" t="str">
        <f>Ringkasan!AA2021</f>
        <v/>
      </c>
      <c r="AB1950" s="64" t="str">
        <f>Ringkasan!AB2021</f>
        <v/>
      </c>
    </row>
    <row r="1951">
      <c r="A1951" s="64" t="str">
        <f>Ringkasan!A2022</f>
        <v/>
      </c>
      <c r="B1951" s="64" t="str">
        <f>Ringkasan!B2022</f>
        <v/>
      </c>
      <c r="C1951" s="64" t="str">
        <f>Ringkasan!C2022</f>
        <v/>
      </c>
      <c r="D1951" s="64" t="str">
        <f>Ringkasan!D2022</f>
        <v/>
      </c>
      <c r="E1951" s="64" t="str">
        <f>Ringkasan!E2022</f>
        <v/>
      </c>
      <c r="F1951" s="64" t="str">
        <f>Ringkasan!F2022</f>
        <v/>
      </c>
      <c r="G1951" s="64" t="str">
        <f>Ringkasan!G2022</f>
        <v/>
      </c>
      <c r="H1951" s="64" t="str">
        <f>Ringkasan!H2022</f>
        <v/>
      </c>
      <c r="I1951" s="64" t="str">
        <f>Ringkasan!I2022</f>
        <v/>
      </c>
      <c r="J1951" s="64" t="str">
        <f>Ringkasan!J2022</f>
        <v/>
      </c>
      <c r="K1951" s="64" t="str">
        <f>Ringkasan!K2022</f>
        <v/>
      </c>
      <c r="L1951" s="64" t="str">
        <f>Ringkasan!L2022</f>
        <v/>
      </c>
      <c r="M1951" s="64" t="str">
        <f>Ringkasan!M2022</f>
        <v/>
      </c>
      <c r="N1951" s="64" t="str">
        <f>Ringkasan!N2022</f>
        <v/>
      </c>
      <c r="O1951" s="64" t="str">
        <f>Ringkasan!O2022</f>
        <v/>
      </c>
      <c r="P1951" s="64" t="str">
        <f>Ringkasan!P2022</f>
        <v/>
      </c>
      <c r="Q1951" s="64" t="str">
        <f>Ringkasan!Q2022</f>
        <v/>
      </c>
      <c r="R1951" s="64" t="str">
        <f>Ringkasan!R2022</f>
        <v/>
      </c>
      <c r="S1951" s="64" t="str">
        <f>Ringkasan!S2022</f>
        <v/>
      </c>
      <c r="T1951" s="64" t="str">
        <f>Ringkasan!T2022</f>
        <v/>
      </c>
      <c r="U1951" s="64" t="str">
        <f>Ringkasan!U2022</f>
        <v/>
      </c>
      <c r="V1951" s="64" t="str">
        <f>Ringkasan!V2022</f>
        <v/>
      </c>
      <c r="W1951" s="64" t="str">
        <f>Ringkasan!W2022</f>
        <v/>
      </c>
      <c r="X1951" s="64" t="str">
        <f>Ringkasan!X2022</f>
        <v/>
      </c>
      <c r="Y1951" s="64" t="str">
        <f>Ringkasan!Y2022</f>
        <v/>
      </c>
      <c r="Z1951" s="64" t="str">
        <f>Ringkasan!Z2022</f>
        <v/>
      </c>
      <c r="AA1951" s="64" t="str">
        <f>Ringkasan!AA2022</f>
        <v/>
      </c>
      <c r="AB1951" s="64" t="str">
        <f>Ringkasan!AB2022</f>
        <v/>
      </c>
    </row>
    <row r="1952">
      <c r="A1952" s="64" t="str">
        <f>Ringkasan!A2023</f>
        <v/>
      </c>
      <c r="B1952" s="64" t="str">
        <f>Ringkasan!B2023</f>
        <v/>
      </c>
      <c r="C1952" s="64" t="str">
        <f>Ringkasan!C2023</f>
        <v/>
      </c>
      <c r="D1952" s="64" t="str">
        <f>Ringkasan!D2023</f>
        <v/>
      </c>
      <c r="E1952" s="64" t="str">
        <f>Ringkasan!E2023</f>
        <v/>
      </c>
      <c r="F1952" s="64" t="str">
        <f>Ringkasan!F2023</f>
        <v/>
      </c>
      <c r="G1952" s="64" t="str">
        <f>Ringkasan!G2023</f>
        <v/>
      </c>
      <c r="H1952" s="64" t="str">
        <f>Ringkasan!H2023</f>
        <v/>
      </c>
      <c r="I1952" s="64" t="str">
        <f>Ringkasan!I2023</f>
        <v/>
      </c>
      <c r="J1952" s="64" t="str">
        <f>Ringkasan!J2023</f>
        <v/>
      </c>
      <c r="K1952" s="64" t="str">
        <f>Ringkasan!K2023</f>
        <v/>
      </c>
      <c r="L1952" s="64" t="str">
        <f>Ringkasan!L2023</f>
        <v/>
      </c>
      <c r="M1952" s="64" t="str">
        <f>Ringkasan!M2023</f>
        <v/>
      </c>
      <c r="N1952" s="64" t="str">
        <f>Ringkasan!N2023</f>
        <v/>
      </c>
      <c r="O1952" s="64" t="str">
        <f>Ringkasan!O2023</f>
        <v/>
      </c>
      <c r="P1952" s="64" t="str">
        <f>Ringkasan!P2023</f>
        <v/>
      </c>
      <c r="Q1952" s="64" t="str">
        <f>Ringkasan!Q2023</f>
        <v/>
      </c>
      <c r="R1952" s="64" t="str">
        <f>Ringkasan!R2023</f>
        <v/>
      </c>
      <c r="S1952" s="64" t="str">
        <f>Ringkasan!S2023</f>
        <v/>
      </c>
      <c r="T1952" s="64" t="str">
        <f>Ringkasan!T2023</f>
        <v/>
      </c>
      <c r="U1952" s="64" t="str">
        <f>Ringkasan!U2023</f>
        <v/>
      </c>
      <c r="V1952" s="64" t="str">
        <f>Ringkasan!V2023</f>
        <v/>
      </c>
      <c r="W1952" s="64" t="str">
        <f>Ringkasan!W2023</f>
        <v/>
      </c>
      <c r="X1952" s="64" t="str">
        <f>Ringkasan!X2023</f>
        <v/>
      </c>
      <c r="Y1952" s="64" t="str">
        <f>Ringkasan!Y2023</f>
        <v/>
      </c>
      <c r="Z1952" s="64" t="str">
        <f>Ringkasan!Z2023</f>
        <v/>
      </c>
      <c r="AA1952" s="64" t="str">
        <f>Ringkasan!AA2023</f>
        <v/>
      </c>
      <c r="AB1952" s="64" t="str">
        <f>Ringkasan!AB2023</f>
        <v/>
      </c>
    </row>
    <row r="1953">
      <c r="A1953" s="64" t="str">
        <f>Ringkasan!A2024</f>
        <v/>
      </c>
      <c r="B1953" s="64" t="str">
        <f>Ringkasan!B2024</f>
        <v/>
      </c>
      <c r="C1953" s="64" t="str">
        <f>Ringkasan!C2024</f>
        <v/>
      </c>
      <c r="D1953" s="64" t="str">
        <f>Ringkasan!D2024</f>
        <v/>
      </c>
      <c r="E1953" s="64" t="str">
        <f>Ringkasan!E2024</f>
        <v/>
      </c>
      <c r="F1953" s="64" t="str">
        <f>Ringkasan!F2024</f>
        <v/>
      </c>
      <c r="G1953" s="64" t="str">
        <f>Ringkasan!G2024</f>
        <v/>
      </c>
      <c r="H1953" s="64" t="str">
        <f>Ringkasan!H2024</f>
        <v/>
      </c>
      <c r="I1953" s="64" t="str">
        <f>Ringkasan!I2024</f>
        <v/>
      </c>
      <c r="J1953" s="64" t="str">
        <f>Ringkasan!J2024</f>
        <v/>
      </c>
      <c r="K1953" s="64" t="str">
        <f>Ringkasan!K2024</f>
        <v/>
      </c>
      <c r="L1953" s="64" t="str">
        <f>Ringkasan!L2024</f>
        <v/>
      </c>
      <c r="M1953" s="64" t="str">
        <f>Ringkasan!M2024</f>
        <v/>
      </c>
      <c r="N1953" s="64" t="str">
        <f>Ringkasan!N2024</f>
        <v/>
      </c>
      <c r="O1953" s="64" t="str">
        <f>Ringkasan!O2024</f>
        <v/>
      </c>
      <c r="P1953" s="64" t="str">
        <f>Ringkasan!P2024</f>
        <v/>
      </c>
      <c r="Q1953" s="64" t="str">
        <f>Ringkasan!Q2024</f>
        <v/>
      </c>
      <c r="R1953" s="64" t="str">
        <f>Ringkasan!R2024</f>
        <v/>
      </c>
      <c r="S1953" s="64" t="str">
        <f>Ringkasan!S2024</f>
        <v/>
      </c>
      <c r="T1953" s="64" t="str">
        <f>Ringkasan!T2024</f>
        <v/>
      </c>
      <c r="U1953" s="64" t="str">
        <f>Ringkasan!U2024</f>
        <v/>
      </c>
      <c r="V1953" s="64" t="str">
        <f>Ringkasan!V2024</f>
        <v/>
      </c>
      <c r="W1953" s="64" t="str">
        <f>Ringkasan!W2024</f>
        <v/>
      </c>
      <c r="X1953" s="64" t="str">
        <f>Ringkasan!X2024</f>
        <v/>
      </c>
      <c r="Y1953" s="64" t="str">
        <f>Ringkasan!Y2024</f>
        <v/>
      </c>
      <c r="Z1953" s="64" t="str">
        <f>Ringkasan!Z2024</f>
        <v/>
      </c>
      <c r="AA1953" s="64" t="str">
        <f>Ringkasan!AA2024</f>
        <v/>
      </c>
      <c r="AB1953" s="64" t="str">
        <f>Ringkasan!AB2024</f>
        <v/>
      </c>
    </row>
    <row r="1954">
      <c r="A1954" s="64" t="str">
        <f>Ringkasan!A2025</f>
        <v/>
      </c>
      <c r="B1954" s="64" t="str">
        <f>Ringkasan!B2025</f>
        <v/>
      </c>
      <c r="C1954" s="64" t="str">
        <f>Ringkasan!C2025</f>
        <v/>
      </c>
      <c r="D1954" s="64" t="str">
        <f>Ringkasan!D2025</f>
        <v/>
      </c>
      <c r="E1954" s="64" t="str">
        <f>Ringkasan!E2025</f>
        <v/>
      </c>
      <c r="F1954" s="64" t="str">
        <f>Ringkasan!F2025</f>
        <v/>
      </c>
      <c r="G1954" s="64" t="str">
        <f>Ringkasan!G2025</f>
        <v/>
      </c>
      <c r="H1954" s="64" t="str">
        <f>Ringkasan!H2025</f>
        <v/>
      </c>
      <c r="I1954" s="64" t="str">
        <f>Ringkasan!I2025</f>
        <v/>
      </c>
      <c r="J1954" s="64" t="str">
        <f>Ringkasan!J2025</f>
        <v/>
      </c>
      <c r="K1954" s="64" t="str">
        <f>Ringkasan!K2025</f>
        <v/>
      </c>
      <c r="L1954" s="64" t="str">
        <f>Ringkasan!L2025</f>
        <v/>
      </c>
      <c r="M1954" s="64" t="str">
        <f>Ringkasan!M2025</f>
        <v/>
      </c>
      <c r="N1954" s="64" t="str">
        <f>Ringkasan!N2025</f>
        <v/>
      </c>
      <c r="O1954" s="64" t="str">
        <f>Ringkasan!O2025</f>
        <v/>
      </c>
      <c r="P1954" s="64" t="str">
        <f>Ringkasan!P2025</f>
        <v/>
      </c>
      <c r="Q1954" s="64" t="str">
        <f>Ringkasan!Q2025</f>
        <v/>
      </c>
      <c r="R1954" s="64" t="str">
        <f>Ringkasan!R2025</f>
        <v/>
      </c>
      <c r="S1954" s="64" t="str">
        <f>Ringkasan!S2025</f>
        <v/>
      </c>
      <c r="T1954" s="64" t="str">
        <f>Ringkasan!T2025</f>
        <v/>
      </c>
      <c r="U1954" s="64" t="str">
        <f>Ringkasan!U2025</f>
        <v/>
      </c>
      <c r="V1954" s="64" t="str">
        <f>Ringkasan!V2025</f>
        <v/>
      </c>
      <c r="W1954" s="64" t="str">
        <f>Ringkasan!W2025</f>
        <v/>
      </c>
      <c r="X1954" s="64" t="str">
        <f>Ringkasan!X2025</f>
        <v/>
      </c>
      <c r="Y1954" s="64" t="str">
        <f>Ringkasan!Y2025</f>
        <v/>
      </c>
      <c r="Z1954" s="64" t="str">
        <f>Ringkasan!Z2025</f>
        <v/>
      </c>
      <c r="AA1954" s="64" t="str">
        <f>Ringkasan!AA2025</f>
        <v/>
      </c>
      <c r="AB1954" s="64" t="str">
        <f>Ringkasan!AB2025</f>
        <v/>
      </c>
    </row>
    <row r="1955">
      <c r="A1955" s="64" t="str">
        <f>Ringkasan!A2026</f>
        <v/>
      </c>
      <c r="B1955" s="64" t="str">
        <f>Ringkasan!B2026</f>
        <v/>
      </c>
      <c r="C1955" s="64" t="str">
        <f>Ringkasan!C2026</f>
        <v/>
      </c>
      <c r="D1955" s="64" t="str">
        <f>Ringkasan!D2026</f>
        <v/>
      </c>
      <c r="E1955" s="64" t="str">
        <f>Ringkasan!E2026</f>
        <v/>
      </c>
      <c r="F1955" s="64" t="str">
        <f>Ringkasan!F2026</f>
        <v/>
      </c>
      <c r="G1955" s="64" t="str">
        <f>Ringkasan!G2026</f>
        <v/>
      </c>
      <c r="H1955" s="64" t="str">
        <f>Ringkasan!H2026</f>
        <v/>
      </c>
      <c r="I1955" s="64" t="str">
        <f>Ringkasan!I2026</f>
        <v/>
      </c>
      <c r="J1955" s="64" t="str">
        <f>Ringkasan!J2026</f>
        <v/>
      </c>
      <c r="K1955" s="64" t="str">
        <f>Ringkasan!K2026</f>
        <v/>
      </c>
      <c r="L1955" s="64" t="str">
        <f>Ringkasan!L2026</f>
        <v/>
      </c>
      <c r="M1955" s="64" t="str">
        <f>Ringkasan!M2026</f>
        <v/>
      </c>
      <c r="N1955" s="64" t="str">
        <f>Ringkasan!N2026</f>
        <v/>
      </c>
      <c r="O1955" s="64" t="str">
        <f>Ringkasan!O2026</f>
        <v/>
      </c>
      <c r="P1955" s="64" t="str">
        <f>Ringkasan!P2026</f>
        <v/>
      </c>
      <c r="Q1955" s="64" t="str">
        <f>Ringkasan!Q2026</f>
        <v/>
      </c>
      <c r="R1955" s="64" t="str">
        <f>Ringkasan!R2026</f>
        <v/>
      </c>
      <c r="S1955" s="64" t="str">
        <f>Ringkasan!S2026</f>
        <v/>
      </c>
      <c r="T1955" s="64" t="str">
        <f>Ringkasan!T2026</f>
        <v/>
      </c>
      <c r="U1955" s="64" t="str">
        <f>Ringkasan!U2026</f>
        <v/>
      </c>
      <c r="V1955" s="64" t="str">
        <f>Ringkasan!V2026</f>
        <v/>
      </c>
      <c r="W1955" s="64" t="str">
        <f>Ringkasan!W2026</f>
        <v/>
      </c>
      <c r="X1955" s="64" t="str">
        <f>Ringkasan!X2026</f>
        <v/>
      </c>
      <c r="Y1955" s="64" t="str">
        <f>Ringkasan!Y2026</f>
        <v/>
      </c>
      <c r="Z1955" s="64" t="str">
        <f>Ringkasan!Z2026</f>
        <v/>
      </c>
      <c r="AA1955" s="64" t="str">
        <f>Ringkasan!AA2026</f>
        <v/>
      </c>
      <c r="AB1955" s="64" t="str">
        <f>Ringkasan!AB2026</f>
        <v/>
      </c>
    </row>
    <row r="1956">
      <c r="A1956" s="64" t="str">
        <f>Ringkasan!A2027</f>
        <v/>
      </c>
      <c r="B1956" s="64" t="str">
        <f>Ringkasan!B2027</f>
        <v/>
      </c>
      <c r="C1956" s="64" t="str">
        <f>Ringkasan!C2027</f>
        <v/>
      </c>
      <c r="D1956" s="64" t="str">
        <f>Ringkasan!D2027</f>
        <v/>
      </c>
      <c r="E1956" s="64" t="str">
        <f>Ringkasan!E2027</f>
        <v/>
      </c>
      <c r="F1956" s="64" t="str">
        <f>Ringkasan!F2027</f>
        <v/>
      </c>
      <c r="G1956" s="64" t="str">
        <f>Ringkasan!G2027</f>
        <v/>
      </c>
      <c r="H1956" s="64" t="str">
        <f>Ringkasan!H2027</f>
        <v/>
      </c>
      <c r="I1956" s="64" t="str">
        <f>Ringkasan!I2027</f>
        <v/>
      </c>
      <c r="J1956" s="64" t="str">
        <f>Ringkasan!J2027</f>
        <v/>
      </c>
      <c r="K1956" s="64" t="str">
        <f>Ringkasan!K2027</f>
        <v/>
      </c>
      <c r="L1956" s="64" t="str">
        <f>Ringkasan!L2027</f>
        <v/>
      </c>
      <c r="M1956" s="64" t="str">
        <f>Ringkasan!M2027</f>
        <v/>
      </c>
      <c r="N1956" s="64" t="str">
        <f>Ringkasan!N2027</f>
        <v/>
      </c>
      <c r="O1956" s="64" t="str">
        <f>Ringkasan!O2027</f>
        <v/>
      </c>
      <c r="P1956" s="64" t="str">
        <f>Ringkasan!P2027</f>
        <v/>
      </c>
      <c r="Q1956" s="64" t="str">
        <f>Ringkasan!Q2027</f>
        <v/>
      </c>
      <c r="R1956" s="64" t="str">
        <f>Ringkasan!R2027</f>
        <v/>
      </c>
      <c r="S1956" s="64" t="str">
        <f>Ringkasan!S2027</f>
        <v/>
      </c>
      <c r="T1956" s="64" t="str">
        <f>Ringkasan!T2027</f>
        <v/>
      </c>
      <c r="U1956" s="64" t="str">
        <f>Ringkasan!U2027</f>
        <v/>
      </c>
      <c r="V1956" s="64" t="str">
        <f>Ringkasan!V2027</f>
        <v/>
      </c>
      <c r="W1956" s="64" t="str">
        <f>Ringkasan!W2027</f>
        <v/>
      </c>
      <c r="X1956" s="64" t="str">
        <f>Ringkasan!X2027</f>
        <v/>
      </c>
      <c r="Y1956" s="64" t="str">
        <f>Ringkasan!Y2027</f>
        <v/>
      </c>
      <c r="Z1956" s="64" t="str">
        <f>Ringkasan!Z2027</f>
        <v/>
      </c>
      <c r="AA1956" s="64" t="str">
        <f>Ringkasan!AA2027</f>
        <v/>
      </c>
      <c r="AB1956" s="64" t="str">
        <f>Ringkasan!AB2027</f>
        <v/>
      </c>
    </row>
    <row r="1957">
      <c r="A1957" s="64" t="str">
        <f>Ringkasan!A2028</f>
        <v/>
      </c>
      <c r="B1957" s="64" t="str">
        <f>Ringkasan!B2028</f>
        <v/>
      </c>
      <c r="C1957" s="64" t="str">
        <f>Ringkasan!C2028</f>
        <v/>
      </c>
      <c r="D1957" s="64" t="str">
        <f>Ringkasan!D2028</f>
        <v/>
      </c>
      <c r="E1957" s="64" t="str">
        <f>Ringkasan!E2028</f>
        <v/>
      </c>
      <c r="F1957" s="64" t="str">
        <f>Ringkasan!F2028</f>
        <v/>
      </c>
      <c r="G1957" s="64" t="str">
        <f>Ringkasan!G2028</f>
        <v/>
      </c>
      <c r="H1957" s="64" t="str">
        <f>Ringkasan!H2028</f>
        <v/>
      </c>
      <c r="I1957" s="64" t="str">
        <f>Ringkasan!I2028</f>
        <v/>
      </c>
      <c r="J1957" s="64" t="str">
        <f>Ringkasan!J2028</f>
        <v/>
      </c>
      <c r="K1957" s="64" t="str">
        <f>Ringkasan!K2028</f>
        <v/>
      </c>
      <c r="L1957" s="64" t="str">
        <f>Ringkasan!L2028</f>
        <v/>
      </c>
      <c r="M1957" s="64" t="str">
        <f>Ringkasan!M2028</f>
        <v/>
      </c>
      <c r="N1957" s="64" t="str">
        <f>Ringkasan!N2028</f>
        <v/>
      </c>
      <c r="O1957" s="64" t="str">
        <f>Ringkasan!O2028</f>
        <v/>
      </c>
      <c r="P1957" s="64" t="str">
        <f>Ringkasan!P2028</f>
        <v/>
      </c>
      <c r="Q1957" s="64" t="str">
        <f>Ringkasan!Q2028</f>
        <v/>
      </c>
      <c r="R1957" s="64" t="str">
        <f>Ringkasan!R2028</f>
        <v/>
      </c>
      <c r="S1957" s="64" t="str">
        <f>Ringkasan!S2028</f>
        <v/>
      </c>
      <c r="T1957" s="64" t="str">
        <f>Ringkasan!T2028</f>
        <v/>
      </c>
      <c r="U1957" s="64" t="str">
        <f>Ringkasan!U2028</f>
        <v/>
      </c>
      <c r="V1957" s="64" t="str">
        <f>Ringkasan!V2028</f>
        <v/>
      </c>
      <c r="W1957" s="64" t="str">
        <f>Ringkasan!W2028</f>
        <v/>
      </c>
      <c r="X1957" s="64" t="str">
        <f>Ringkasan!X2028</f>
        <v/>
      </c>
      <c r="Y1957" s="64" t="str">
        <f>Ringkasan!Y2028</f>
        <v/>
      </c>
      <c r="Z1957" s="64" t="str">
        <f>Ringkasan!Z2028</f>
        <v/>
      </c>
      <c r="AA1957" s="64" t="str">
        <f>Ringkasan!AA2028</f>
        <v/>
      </c>
      <c r="AB1957" s="64" t="str">
        <f>Ringkasan!AB2028</f>
        <v/>
      </c>
    </row>
    <row r="1958">
      <c r="A1958" s="64" t="str">
        <f>Ringkasan!A2029</f>
        <v/>
      </c>
      <c r="B1958" s="64" t="str">
        <f>Ringkasan!B2029</f>
        <v/>
      </c>
      <c r="C1958" s="64" t="str">
        <f>Ringkasan!C2029</f>
        <v/>
      </c>
      <c r="D1958" s="64" t="str">
        <f>Ringkasan!D2029</f>
        <v/>
      </c>
      <c r="E1958" s="64" t="str">
        <f>Ringkasan!E2029</f>
        <v/>
      </c>
      <c r="F1958" s="64" t="str">
        <f>Ringkasan!F2029</f>
        <v/>
      </c>
      <c r="G1958" s="64" t="str">
        <f>Ringkasan!G2029</f>
        <v/>
      </c>
      <c r="H1958" s="64" t="str">
        <f>Ringkasan!H2029</f>
        <v/>
      </c>
      <c r="I1958" s="64" t="str">
        <f>Ringkasan!I2029</f>
        <v/>
      </c>
      <c r="J1958" s="64" t="str">
        <f>Ringkasan!J2029</f>
        <v/>
      </c>
      <c r="K1958" s="64" t="str">
        <f>Ringkasan!K2029</f>
        <v/>
      </c>
      <c r="L1958" s="64" t="str">
        <f>Ringkasan!L2029</f>
        <v/>
      </c>
      <c r="M1958" s="64" t="str">
        <f>Ringkasan!M2029</f>
        <v/>
      </c>
      <c r="N1958" s="64" t="str">
        <f>Ringkasan!N2029</f>
        <v/>
      </c>
      <c r="O1958" s="64" t="str">
        <f>Ringkasan!O2029</f>
        <v/>
      </c>
      <c r="P1958" s="64" t="str">
        <f>Ringkasan!P2029</f>
        <v/>
      </c>
      <c r="Q1958" s="64" t="str">
        <f>Ringkasan!Q2029</f>
        <v/>
      </c>
      <c r="R1958" s="64" t="str">
        <f>Ringkasan!R2029</f>
        <v/>
      </c>
      <c r="S1958" s="64" t="str">
        <f>Ringkasan!S2029</f>
        <v/>
      </c>
      <c r="T1958" s="64" t="str">
        <f>Ringkasan!T2029</f>
        <v/>
      </c>
      <c r="U1958" s="64" t="str">
        <f>Ringkasan!U2029</f>
        <v/>
      </c>
      <c r="V1958" s="64" t="str">
        <f>Ringkasan!V2029</f>
        <v/>
      </c>
      <c r="W1958" s="64" t="str">
        <f>Ringkasan!W2029</f>
        <v/>
      </c>
      <c r="X1958" s="64" t="str">
        <f>Ringkasan!X2029</f>
        <v/>
      </c>
      <c r="Y1958" s="64" t="str">
        <f>Ringkasan!Y2029</f>
        <v/>
      </c>
      <c r="Z1958" s="64" t="str">
        <f>Ringkasan!Z2029</f>
        <v/>
      </c>
      <c r="AA1958" s="64" t="str">
        <f>Ringkasan!AA2029</f>
        <v/>
      </c>
      <c r="AB1958" s="64" t="str">
        <f>Ringkasan!AB2029</f>
        <v/>
      </c>
    </row>
    <row r="1959">
      <c r="A1959" s="64" t="str">
        <f>Ringkasan!A2030</f>
        <v/>
      </c>
      <c r="B1959" s="64" t="str">
        <f>Ringkasan!B2030</f>
        <v/>
      </c>
      <c r="C1959" s="64" t="str">
        <f>Ringkasan!C2030</f>
        <v/>
      </c>
      <c r="D1959" s="64" t="str">
        <f>Ringkasan!D2030</f>
        <v/>
      </c>
      <c r="E1959" s="64" t="str">
        <f>Ringkasan!E2030</f>
        <v/>
      </c>
      <c r="F1959" s="64" t="str">
        <f>Ringkasan!F2030</f>
        <v/>
      </c>
      <c r="G1959" s="64" t="str">
        <f>Ringkasan!G2030</f>
        <v/>
      </c>
      <c r="H1959" s="64" t="str">
        <f>Ringkasan!H2030</f>
        <v/>
      </c>
      <c r="I1959" s="64" t="str">
        <f>Ringkasan!I2030</f>
        <v/>
      </c>
      <c r="J1959" s="64" t="str">
        <f>Ringkasan!J2030</f>
        <v/>
      </c>
      <c r="K1959" s="64" t="str">
        <f>Ringkasan!K2030</f>
        <v/>
      </c>
      <c r="L1959" s="64" t="str">
        <f>Ringkasan!L2030</f>
        <v/>
      </c>
      <c r="M1959" s="64" t="str">
        <f>Ringkasan!M2030</f>
        <v/>
      </c>
      <c r="N1959" s="64" t="str">
        <f>Ringkasan!N2030</f>
        <v/>
      </c>
      <c r="O1959" s="64" t="str">
        <f>Ringkasan!O2030</f>
        <v/>
      </c>
      <c r="P1959" s="64" t="str">
        <f>Ringkasan!P2030</f>
        <v/>
      </c>
      <c r="Q1959" s="64" t="str">
        <f>Ringkasan!Q2030</f>
        <v/>
      </c>
      <c r="R1959" s="64" t="str">
        <f>Ringkasan!R2030</f>
        <v/>
      </c>
      <c r="S1959" s="64" t="str">
        <f>Ringkasan!S2030</f>
        <v/>
      </c>
      <c r="T1959" s="64" t="str">
        <f>Ringkasan!T2030</f>
        <v/>
      </c>
      <c r="U1959" s="64" t="str">
        <f>Ringkasan!U2030</f>
        <v/>
      </c>
      <c r="V1959" s="64" t="str">
        <f>Ringkasan!V2030</f>
        <v/>
      </c>
      <c r="W1959" s="64" t="str">
        <f>Ringkasan!W2030</f>
        <v/>
      </c>
      <c r="X1959" s="64" t="str">
        <f>Ringkasan!X2030</f>
        <v/>
      </c>
      <c r="Y1959" s="64" t="str">
        <f>Ringkasan!Y2030</f>
        <v/>
      </c>
      <c r="Z1959" s="64" t="str">
        <f>Ringkasan!Z2030</f>
        <v/>
      </c>
      <c r="AA1959" s="64" t="str">
        <f>Ringkasan!AA2030</f>
        <v/>
      </c>
      <c r="AB1959" s="64" t="str">
        <f>Ringkasan!AB2030</f>
        <v/>
      </c>
    </row>
    <row r="1960">
      <c r="A1960" s="64" t="str">
        <f>Ringkasan!A2031</f>
        <v/>
      </c>
      <c r="B1960" s="64" t="str">
        <f>Ringkasan!B2031</f>
        <v/>
      </c>
      <c r="C1960" s="64" t="str">
        <f>Ringkasan!C2031</f>
        <v/>
      </c>
      <c r="D1960" s="64" t="str">
        <f>Ringkasan!D2031</f>
        <v/>
      </c>
      <c r="E1960" s="64" t="str">
        <f>Ringkasan!E2031</f>
        <v/>
      </c>
      <c r="F1960" s="64" t="str">
        <f>Ringkasan!F2031</f>
        <v/>
      </c>
      <c r="G1960" s="64" t="str">
        <f>Ringkasan!G2031</f>
        <v/>
      </c>
      <c r="H1960" s="64" t="str">
        <f>Ringkasan!H2031</f>
        <v/>
      </c>
      <c r="I1960" s="64" t="str">
        <f>Ringkasan!I2031</f>
        <v/>
      </c>
      <c r="J1960" s="64" t="str">
        <f>Ringkasan!J2031</f>
        <v/>
      </c>
      <c r="K1960" s="64" t="str">
        <f>Ringkasan!K2031</f>
        <v/>
      </c>
      <c r="L1960" s="64" t="str">
        <f>Ringkasan!L2031</f>
        <v/>
      </c>
      <c r="M1960" s="64" t="str">
        <f>Ringkasan!M2031</f>
        <v/>
      </c>
      <c r="N1960" s="64" t="str">
        <f>Ringkasan!N2031</f>
        <v/>
      </c>
      <c r="O1960" s="64" t="str">
        <f>Ringkasan!O2031</f>
        <v/>
      </c>
      <c r="P1960" s="64" t="str">
        <f>Ringkasan!P2031</f>
        <v/>
      </c>
      <c r="Q1960" s="64" t="str">
        <f>Ringkasan!Q2031</f>
        <v/>
      </c>
      <c r="R1960" s="64" t="str">
        <f>Ringkasan!R2031</f>
        <v/>
      </c>
      <c r="S1960" s="64" t="str">
        <f>Ringkasan!S2031</f>
        <v/>
      </c>
      <c r="T1960" s="64" t="str">
        <f>Ringkasan!T2031</f>
        <v/>
      </c>
      <c r="U1960" s="64" t="str">
        <f>Ringkasan!U2031</f>
        <v/>
      </c>
      <c r="V1960" s="64" t="str">
        <f>Ringkasan!V2031</f>
        <v/>
      </c>
      <c r="W1960" s="64" t="str">
        <f>Ringkasan!W2031</f>
        <v/>
      </c>
      <c r="X1960" s="64" t="str">
        <f>Ringkasan!X2031</f>
        <v/>
      </c>
      <c r="Y1960" s="64" t="str">
        <f>Ringkasan!Y2031</f>
        <v/>
      </c>
      <c r="Z1960" s="64" t="str">
        <f>Ringkasan!Z2031</f>
        <v/>
      </c>
      <c r="AA1960" s="64" t="str">
        <f>Ringkasan!AA2031</f>
        <v/>
      </c>
      <c r="AB1960" s="64" t="str">
        <f>Ringkasan!AB2031</f>
        <v/>
      </c>
    </row>
    <row r="1961">
      <c r="A1961" s="64" t="str">
        <f>Ringkasan!A2032</f>
        <v/>
      </c>
      <c r="B1961" s="64" t="str">
        <f>Ringkasan!B2032</f>
        <v/>
      </c>
      <c r="C1961" s="64" t="str">
        <f>Ringkasan!C2032</f>
        <v/>
      </c>
      <c r="D1961" s="64" t="str">
        <f>Ringkasan!D2032</f>
        <v/>
      </c>
      <c r="E1961" s="64" t="str">
        <f>Ringkasan!E2032</f>
        <v/>
      </c>
      <c r="F1961" s="64" t="str">
        <f>Ringkasan!F2032</f>
        <v/>
      </c>
      <c r="G1961" s="64" t="str">
        <f>Ringkasan!G2032</f>
        <v/>
      </c>
      <c r="H1961" s="64" t="str">
        <f>Ringkasan!H2032</f>
        <v/>
      </c>
      <c r="I1961" s="64" t="str">
        <f>Ringkasan!I2032</f>
        <v/>
      </c>
      <c r="J1961" s="64" t="str">
        <f>Ringkasan!J2032</f>
        <v/>
      </c>
      <c r="K1961" s="64" t="str">
        <f>Ringkasan!K2032</f>
        <v/>
      </c>
      <c r="L1961" s="64" t="str">
        <f>Ringkasan!L2032</f>
        <v/>
      </c>
      <c r="M1961" s="64" t="str">
        <f>Ringkasan!M2032</f>
        <v/>
      </c>
      <c r="N1961" s="64" t="str">
        <f>Ringkasan!N2032</f>
        <v/>
      </c>
      <c r="O1961" s="64" t="str">
        <f>Ringkasan!O2032</f>
        <v/>
      </c>
      <c r="P1961" s="64" t="str">
        <f>Ringkasan!P2032</f>
        <v/>
      </c>
      <c r="Q1961" s="64" t="str">
        <f>Ringkasan!Q2032</f>
        <v/>
      </c>
      <c r="R1961" s="64" t="str">
        <f>Ringkasan!R2032</f>
        <v/>
      </c>
      <c r="S1961" s="64" t="str">
        <f>Ringkasan!S2032</f>
        <v/>
      </c>
      <c r="T1961" s="64" t="str">
        <f>Ringkasan!T2032</f>
        <v/>
      </c>
      <c r="U1961" s="64" t="str">
        <f>Ringkasan!U2032</f>
        <v/>
      </c>
      <c r="V1961" s="64" t="str">
        <f>Ringkasan!V2032</f>
        <v/>
      </c>
      <c r="W1961" s="64" t="str">
        <f>Ringkasan!W2032</f>
        <v/>
      </c>
      <c r="X1961" s="64" t="str">
        <f>Ringkasan!X2032</f>
        <v/>
      </c>
      <c r="Y1961" s="64" t="str">
        <f>Ringkasan!Y2032</f>
        <v/>
      </c>
      <c r="Z1961" s="64" t="str">
        <f>Ringkasan!Z2032</f>
        <v/>
      </c>
      <c r="AA1961" s="64" t="str">
        <f>Ringkasan!AA2032</f>
        <v/>
      </c>
      <c r="AB1961" s="64" t="str">
        <f>Ringkasan!AB2032</f>
        <v/>
      </c>
    </row>
    <row r="1962">
      <c r="A1962" s="64" t="str">
        <f>Ringkasan!A2033</f>
        <v/>
      </c>
      <c r="B1962" s="64" t="str">
        <f>Ringkasan!B2033</f>
        <v/>
      </c>
      <c r="C1962" s="64" t="str">
        <f>Ringkasan!C2033</f>
        <v/>
      </c>
      <c r="D1962" s="64" t="str">
        <f>Ringkasan!D2033</f>
        <v/>
      </c>
      <c r="E1962" s="64" t="str">
        <f>Ringkasan!E2033</f>
        <v/>
      </c>
      <c r="F1962" s="64" t="str">
        <f>Ringkasan!F2033</f>
        <v/>
      </c>
      <c r="G1962" s="64" t="str">
        <f>Ringkasan!G2033</f>
        <v/>
      </c>
      <c r="H1962" s="64" t="str">
        <f>Ringkasan!H2033</f>
        <v/>
      </c>
      <c r="I1962" s="64" t="str">
        <f>Ringkasan!I2033</f>
        <v/>
      </c>
      <c r="J1962" s="64" t="str">
        <f>Ringkasan!J2033</f>
        <v/>
      </c>
      <c r="K1962" s="64" t="str">
        <f>Ringkasan!K2033</f>
        <v/>
      </c>
      <c r="L1962" s="64" t="str">
        <f>Ringkasan!L2033</f>
        <v/>
      </c>
      <c r="M1962" s="64" t="str">
        <f>Ringkasan!M2033</f>
        <v/>
      </c>
      <c r="N1962" s="64" t="str">
        <f>Ringkasan!N2033</f>
        <v/>
      </c>
      <c r="O1962" s="64" t="str">
        <f>Ringkasan!O2033</f>
        <v/>
      </c>
      <c r="P1962" s="64" t="str">
        <f>Ringkasan!P2033</f>
        <v/>
      </c>
      <c r="Q1962" s="64" t="str">
        <f>Ringkasan!Q2033</f>
        <v/>
      </c>
      <c r="R1962" s="64" t="str">
        <f>Ringkasan!R2033</f>
        <v/>
      </c>
      <c r="S1962" s="64" t="str">
        <f>Ringkasan!S2033</f>
        <v/>
      </c>
      <c r="T1962" s="64" t="str">
        <f>Ringkasan!T2033</f>
        <v/>
      </c>
      <c r="U1962" s="64" t="str">
        <f>Ringkasan!U2033</f>
        <v/>
      </c>
      <c r="V1962" s="64" t="str">
        <f>Ringkasan!V2033</f>
        <v/>
      </c>
      <c r="W1962" s="64" t="str">
        <f>Ringkasan!W2033</f>
        <v/>
      </c>
      <c r="X1962" s="64" t="str">
        <f>Ringkasan!X2033</f>
        <v/>
      </c>
      <c r="Y1962" s="64" t="str">
        <f>Ringkasan!Y2033</f>
        <v/>
      </c>
      <c r="Z1962" s="64" t="str">
        <f>Ringkasan!Z2033</f>
        <v/>
      </c>
      <c r="AA1962" s="64" t="str">
        <f>Ringkasan!AA2033</f>
        <v/>
      </c>
      <c r="AB1962" s="64" t="str">
        <f>Ringkasan!AB2033</f>
        <v/>
      </c>
    </row>
    <row r="1963">
      <c r="A1963" s="64" t="str">
        <f>Ringkasan!A2034</f>
        <v/>
      </c>
      <c r="B1963" s="64" t="str">
        <f>Ringkasan!B2034</f>
        <v/>
      </c>
      <c r="C1963" s="64" t="str">
        <f>Ringkasan!C2034</f>
        <v/>
      </c>
      <c r="D1963" s="64" t="str">
        <f>Ringkasan!D2034</f>
        <v/>
      </c>
      <c r="E1963" s="64" t="str">
        <f>Ringkasan!E2034</f>
        <v/>
      </c>
      <c r="F1963" s="64" t="str">
        <f>Ringkasan!F2034</f>
        <v/>
      </c>
      <c r="G1963" s="64" t="str">
        <f>Ringkasan!G2034</f>
        <v/>
      </c>
      <c r="H1963" s="64" t="str">
        <f>Ringkasan!H2034</f>
        <v/>
      </c>
      <c r="I1963" s="64" t="str">
        <f>Ringkasan!I2034</f>
        <v/>
      </c>
      <c r="J1963" s="64" t="str">
        <f>Ringkasan!J2034</f>
        <v/>
      </c>
      <c r="K1963" s="64" t="str">
        <f>Ringkasan!K2034</f>
        <v/>
      </c>
      <c r="L1963" s="64" t="str">
        <f>Ringkasan!L2034</f>
        <v/>
      </c>
      <c r="M1963" s="64" t="str">
        <f>Ringkasan!M2034</f>
        <v/>
      </c>
      <c r="N1963" s="64" t="str">
        <f>Ringkasan!N2034</f>
        <v/>
      </c>
      <c r="O1963" s="64" t="str">
        <f>Ringkasan!O2034</f>
        <v/>
      </c>
      <c r="P1963" s="64" t="str">
        <f>Ringkasan!P2034</f>
        <v/>
      </c>
      <c r="Q1963" s="64" t="str">
        <f>Ringkasan!Q2034</f>
        <v/>
      </c>
      <c r="R1963" s="64" t="str">
        <f>Ringkasan!R2034</f>
        <v/>
      </c>
      <c r="S1963" s="64" t="str">
        <f>Ringkasan!S2034</f>
        <v/>
      </c>
      <c r="T1963" s="64" t="str">
        <f>Ringkasan!T2034</f>
        <v/>
      </c>
      <c r="U1963" s="64" t="str">
        <f>Ringkasan!U2034</f>
        <v/>
      </c>
      <c r="V1963" s="64" t="str">
        <f>Ringkasan!V2034</f>
        <v/>
      </c>
      <c r="W1963" s="64" t="str">
        <f>Ringkasan!W2034</f>
        <v/>
      </c>
      <c r="X1963" s="64" t="str">
        <f>Ringkasan!X2034</f>
        <v/>
      </c>
      <c r="Y1963" s="64" t="str">
        <f>Ringkasan!Y2034</f>
        <v/>
      </c>
      <c r="Z1963" s="64" t="str">
        <f>Ringkasan!Z2034</f>
        <v/>
      </c>
      <c r="AA1963" s="64" t="str">
        <f>Ringkasan!AA2034</f>
        <v/>
      </c>
      <c r="AB1963" s="64" t="str">
        <f>Ringkasan!AB2034</f>
        <v/>
      </c>
    </row>
    <row r="1964">
      <c r="A1964" s="64" t="str">
        <f>Ringkasan!A2035</f>
        <v/>
      </c>
      <c r="B1964" s="64" t="str">
        <f>Ringkasan!B2035</f>
        <v/>
      </c>
      <c r="C1964" s="64" t="str">
        <f>Ringkasan!C2035</f>
        <v/>
      </c>
      <c r="D1964" s="64" t="str">
        <f>Ringkasan!D2035</f>
        <v/>
      </c>
      <c r="E1964" s="64" t="str">
        <f>Ringkasan!E2035</f>
        <v/>
      </c>
      <c r="F1964" s="64" t="str">
        <f>Ringkasan!F2035</f>
        <v/>
      </c>
      <c r="G1964" s="64" t="str">
        <f>Ringkasan!G2035</f>
        <v/>
      </c>
      <c r="H1964" s="64" t="str">
        <f>Ringkasan!H2035</f>
        <v/>
      </c>
      <c r="I1964" s="64" t="str">
        <f>Ringkasan!I2035</f>
        <v/>
      </c>
      <c r="J1964" s="64" t="str">
        <f>Ringkasan!J2035</f>
        <v/>
      </c>
      <c r="K1964" s="64" t="str">
        <f>Ringkasan!K2035</f>
        <v/>
      </c>
      <c r="L1964" s="64" t="str">
        <f>Ringkasan!L2035</f>
        <v/>
      </c>
      <c r="M1964" s="64" t="str">
        <f>Ringkasan!M2035</f>
        <v/>
      </c>
      <c r="N1964" s="64" t="str">
        <f>Ringkasan!N2035</f>
        <v/>
      </c>
      <c r="O1964" s="64" t="str">
        <f>Ringkasan!O2035</f>
        <v/>
      </c>
      <c r="P1964" s="64" t="str">
        <f>Ringkasan!P2035</f>
        <v/>
      </c>
      <c r="Q1964" s="64" t="str">
        <f>Ringkasan!Q2035</f>
        <v/>
      </c>
      <c r="R1964" s="64" t="str">
        <f>Ringkasan!R2035</f>
        <v/>
      </c>
      <c r="S1964" s="64" t="str">
        <f>Ringkasan!S2035</f>
        <v/>
      </c>
      <c r="T1964" s="64" t="str">
        <f>Ringkasan!T2035</f>
        <v/>
      </c>
      <c r="U1964" s="64" t="str">
        <f>Ringkasan!U2035</f>
        <v/>
      </c>
      <c r="V1964" s="64" t="str">
        <f>Ringkasan!V2035</f>
        <v/>
      </c>
      <c r="W1964" s="64" t="str">
        <f>Ringkasan!W2035</f>
        <v/>
      </c>
      <c r="X1964" s="64" t="str">
        <f>Ringkasan!X2035</f>
        <v/>
      </c>
      <c r="Y1964" s="64" t="str">
        <f>Ringkasan!Y2035</f>
        <v/>
      </c>
      <c r="Z1964" s="64" t="str">
        <f>Ringkasan!Z2035</f>
        <v/>
      </c>
      <c r="AA1964" s="64" t="str">
        <f>Ringkasan!AA2035</f>
        <v/>
      </c>
      <c r="AB1964" s="64" t="str">
        <f>Ringkasan!AB2035</f>
        <v/>
      </c>
    </row>
    <row r="1965">
      <c r="A1965" s="64" t="str">
        <f>Ringkasan!A2036</f>
        <v/>
      </c>
      <c r="B1965" s="64" t="str">
        <f>Ringkasan!B2036</f>
        <v/>
      </c>
      <c r="C1965" s="64" t="str">
        <f>Ringkasan!C2036</f>
        <v/>
      </c>
      <c r="D1965" s="64" t="str">
        <f>Ringkasan!D2036</f>
        <v/>
      </c>
      <c r="E1965" s="64" t="str">
        <f>Ringkasan!E2036</f>
        <v/>
      </c>
      <c r="F1965" s="64" t="str">
        <f>Ringkasan!F2036</f>
        <v/>
      </c>
      <c r="G1965" s="64" t="str">
        <f>Ringkasan!G2036</f>
        <v/>
      </c>
      <c r="H1965" s="64" t="str">
        <f>Ringkasan!H2036</f>
        <v/>
      </c>
      <c r="I1965" s="64" t="str">
        <f>Ringkasan!I2036</f>
        <v/>
      </c>
      <c r="J1965" s="64" t="str">
        <f>Ringkasan!J2036</f>
        <v/>
      </c>
      <c r="K1965" s="64" t="str">
        <f>Ringkasan!K2036</f>
        <v/>
      </c>
      <c r="L1965" s="64" t="str">
        <f>Ringkasan!L2036</f>
        <v/>
      </c>
      <c r="M1965" s="64" t="str">
        <f>Ringkasan!M2036</f>
        <v/>
      </c>
      <c r="N1965" s="64" t="str">
        <f>Ringkasan!N2036</f>
        <v/>
      </c>
      <c r="O1965" s="64" t="str">
        <f>Ringkasan!O2036</f>
        <v/>
      </c>
      <c r="P1965" s="64" t="str">
        <f>Ringkasan!P2036</f>
        <v/>
      </c>
      <c r="Q1965" s="64" t="str">
        <f>Ringkasan!Q2036</f>
        <v/>
      </c>
      <c r="R1965" s="64" t="str">
        <f>Ringkasan!R2036</f>
        <v/>
      </c>
      <c r="S1965" s="64" t="str">
        <f>Ringkasan!S2036</f>
        <v/>
      </c>
      <c r="T1965" s="64" t="str">
        <f>Ringkasan!T2036</f>
        <v/>
      </c>
      <c r="U1965" s="64" t="str">
        <f>Ringkasan!U2036</f>
        <v/>
      </c>
      <c r="V1965" s="64" t="str">
        <f>Ringkasan!V2036</f>
        <v/>
      </c>
      <c r="W1965" s="64" t="str">
        <f>Ringkasan!W2036</f>
        <v/>
      </c>
      <c r="X1965" s="64" t="str">
        <f>Ringkasan!X2036</f>
        <v/>
      </c>
      <c r="Y1965" s="64" t="str">
        <f>Ringkasan!Y2036</f>
        <v/>
      </c>
      <c r="Z1965" s="64" t="str">
        <f>Ringkasan!Z2036</f>
        <v/>
      </c>
      <c r="AA1965" s="64" t="str">
        <f>Ringkasan!AA2036</f>
        <v/>
      </c>
      <c r="AB1965" s="64" t="str">
        <f>Ringkasan!AB2036</f>
        <v/>
      </c>
    </row>
    <row r="1966">
      <c r="A1966" s="64" t="str">
        <f>Ringkasan!A2037</f>
        <v/>
      </c>
      <c r="B1966" s="64" t="str">
        <f>Ringkasan!B2037</f>
        <v/>
      </c>
      <c r="C1966" s="64" t="str">
        <f>Ringkasan!C2037</f>
        <v/>
      </c>
      <c r="D1966" s="64" t="str">
        <f>Ringkasan!D2037</f>
        <v/>
      </c>
      <c r="E1966" s="64" t="str">
        <f>Ringkasan!E2037</f>
        <v/>
      </c>
      <c r="F1966" s="64" t="str">
        <f>Ringkasan!F2037</f>
        <v/>
      </c>
      <c r="G1966" s="64" t="str">
        <f>Ringkasan!G2037</f>
        <v/>
      </c>
      <c r="H1966" s="64" t="str">
        <f>Ringkasan!H2037</f>
        <v/>
      </c>
      <c r="I1966" s="64" t="str">
        <f>Ringkasan!I2037</f>
        <v/>
      </c>
      <c r="J1966" s="64" t="str">
        <f>Ringkasan!J2037</f>
        <v/>
      </c>
      <c r="K1966" s="64" t="str">
        <f>Ringkasan!K2037</f>
        <v/>
      </c>
      <c r="L1966" s="64" t="str">
        <f>Ringkasan!L2037</f>
        <v/>
      </c>
      <c r="M1966" s="64" t="str">
        <f>Ringkasan!M2037</f>
        <v/>
      </c>
      <c r="N1966" s="64" t="str">
        <f>Ringkasan!N2037</f>
        <v/>
      </c>
      <c r="O1966" s="64" t="str">
        <f>Ringkasan!O2037</f>
        <v/>
      </c>
      <c r="P1966" s="64" t="str">
        <f>Ringkasan!P2037</f>
        <v/>
      </c>
      <c r="Q1966" s="64" t="str">
        <f>Ringkasan!Q2037</f>
        <v/>
      </c>
      <c r="R1966" s="64" t="str">
        <f>Ringkasan!R2037</f>
        <v/>
      </c>
      <c r="S1966" s="64" t="str">
        <f>Ringkasan!S2037</f>
        <v/>
      </c>
      <c r="T1966" s="64" t="str">
        <f>Ringkasan!T2037</f>
        <v/>
      </c>
      <c r="U1966" s="64" t="str">
        <f>Ringkasan!U2037</f>
        <v/>
      </c>
      <c r="V1966" s="64" t="str">
        <f>Ringkasan!V2037</f>
        <v/>
      </c>
      <c r="W1966" s="64" t="str">
        <f>Ringkasan!W2037</f>
        <v/>
      </c>
      <c r="X1966" s="64" t="str">
        <f>Ringkasan!X2037</f>
        <v/>
      </c>
      <c r="Y1966" s="64" t="str">
        <f>Ringkasan!Y2037</f>
        <v/>
      </c>
      <c r="Z1966" s="64" t="str">
        <f>Ringkasan!Z2037</f>
        <v/>
      </c>
      <c r="AA1966" s="64" t="str">
        <f>Ringkasan!AA2037</f>
        <v/>
      </c>
      <c r="AB1966" s="64" t="str">
        <f>Ringkasan!AB2037</f>
        <v/>
      </c>
    </row>
    <row r="1967">
      <c r="A1967" s="64" t="str">
        <f>Ringkasan!A2038</f>
        <v/>
      </c>
      <c r="B1967" s="64" t="str">
        <f>Ringkasan!B2038</f>
        <v/>
      </c>
      <c r="C1967" s="64" t="str">
        <f>Ringkasan!C2038</f>
        <v/>
      </c>
      <c r="D1967" s="64" t="str">
        <f>Ringkasan!D2038</f>
        <v/>
      </c>
      <c r="E1967" s="64" t="str">
        <f>Ringkasan!E2038</f>
        <v/>
      </c>
      <c r="F1967" s="64" t="str">
        <f>Ringkasan!F2038</f>
        <v/>
      </c>
      <c r="G1967" s="64" t="str">
        <f>Ringkasan!G2038</f>
        <v/>
      </c>
      <c r="H1967" s="64" t="str">
        <f>Ringkasan!H2038</f>
        <v/>
      </c>
      <c r="I1967" s="64" t="str">
        <f>Ringkasan!I2038</f>
        <v/>
      </c>
      <c r="J1967" s="64" t="str">
        <f>Ringkasan!J2038</f>
        <v/>
      </c>
      <c r="K1967" s="64" t="str">
        <f>Ringkasan!K2038</f>
        <v/>
      </c>
      <c r="L1967" s="64" t="str">
        <f>Ringkasan!L2038</f>
        <v/>
      </c>
      <c r="M1967" s="64" t="str">
        <f>Ringkasan!M2038</f>
        <v/>
      </c>
      <c r="N1967" s="64" t="str">
        <f>Ringkasan!N2038</f>
        <v/>
      </c>
      <c r="O1967" s="64" t="str">
        <f>Ringkasan!O2038</f>
        <v/>
      </c>
      <c r="P1967" s="64" t="str">
        <f>Ringkasan!P2038</f>
        <v/>
      </c>
      <c r="Q1967" s="64" t="str">
        <f>Ringkasan!Q2038</f>
        <v/>
      </c>
      <c r="R1967" s="64" t="str">
        <f>Ringkasan!R2038</f>
        <v/>
      </c>
      <c r="S1967" s="64" t="str">
        <f>Ringkasan!S2038</f>
        <v/>
      </c>
      <c r="T1967" s="64" t="str">
        <f>Ringkasan!T2038</f>
        <v/>
      </c>
      <c r="U1967" s="64" t="str">
        <f>Ringkasan!U2038</f>
        <v/>
      </c>
      <c r="V1967" s="64" t="str">
        <f>Ringkasan!V2038</f>
        <v/>
      </c>
      <c r="W1967" s="64" t="str">
        <f>Ringkasan!W2038</f>
        <v/>
      </c>
      <c r="X1967" s="64" t="str">
        <f>Ringkasan!X2038</f>
        <v/>
      </c>
      <c r="Y1967" s="64" t="str">
        <f>Ringkasan!Y2038</f>
        <v/>
      </c>
      <c r="Z1967" s="64" t="str">
        <f>Ringkasan!Z2038</f>
        <v/>
      </c>
      <c r="AA1967" s="64" t="str">
        <f>Ringkasan!AA2038</f>
        <v/>
      </c>
      <c r="AB1967" s="64" t="str">
        <f>Ringkasan!AB2038</f>
        <v/>
      </c>
    </row>
    <row r="1968">
      <c r="A1968" s="64" t="str">
        <f>Ringkasan!A2039</f>
        <v/>
      </c>
      <c r="B1968" s="64" t="str">
        <f>Ringkasan!B2039</f>
        <v/>
      </c>
      <c r="C1968" s="64" t="str">
        <f>Ringkasan!C2039</f>
        <v/>
      </c>
      <c r="D1968" s="64" t="str">
        <f>Ringkasan!D2039</f>
        <v/>
      </c>
      <c r="E1968" s="64" t="str">
        <f>Ringkasan!E2039</f>
        <v/>
      </c>
      <c r="F1968" s="64" t="str">
        <f>Ringkasan!F2039</f>
        <v/>
      </c>
      <c r="G1968" s="64" t="str">
        <f>Ringkasan!G2039</f>
        <v/>
      </c>
      <c r="H1968" s="64" t="str">
        <f>Ringkasan!H2039</f>
        <v/>
      </c>
      <c r="I1968" s="64" t="str">
        <f>Ringkasan!I2039</f>
        <v/>
      </c>
      <c r="J1968" s="64" t="str">
        <f>Ringkasan!J2039</f>
        <v/>
      </c>
      <c r="K1968" s="64" t="str">
        <f>Ringkasan!K2039</f>
        <v/>
      </c>
      <c r="L1968" s="64" t="str">
        <f>Ringkasan!L2039</f>
        <v/>
      </c>
      <c r="M1968" s="64" t="str">
        <f>Ringkasan!M2039</f>
        <v/>
      </c>
      <c r="N1968" s="64" t="str">
        <f>Ringkasan!N2039</f>
        <v/>
      </c>
      <c r="O1968" s="64" t="str">
        <f>Ringkasan!O2039</f>
        <v/>
      </c>
      <c r="P1968" s="64" t="str">
        <f>Ringkasan!P2039</f>
        <v/>
      </c>
      <c r="Q1968" s="64" t="str">
        <f>Ringkasan!Q2039</f>
        <v/>
      </c>
      <c r="R1968" s="64" t="str">
        <f>Ringkasan!R2039</f>
        <v/>
      </c>
      <c r="S1968" s="64" t="str">
        <f>Ringkasan!S2039</f>
        <v/>
      </c>
      <c r="T1968" s="64" t="str">
        <f>Ringkasan!T2039</f>
        <v/>
      </c>
      <c r="U1968" s="64" t="str">
        <f>Ringkasan!U2039</f>
        <v/>
      </c>
      <c r="V1968" s="64" t="str">
        <f>Ringkasan!V2039</f>
        <v/>
      </c>
      <c r="W1968" s="64" t="str">
        <f>Ringkasan!W2039</f>
        <v/>
      </c>
      <c r="X1968" s="64" t="str">
        <f>Ringkasan!X2039</f>
        <v/>
      </c>
      <c r="Y1968" s="64" t="str">
        <f>Ringkasan!Y2039</f>
        <v/>
      </c>
      <c r="Z1968" s="64" t="str">
        <f>Ringkasan!Z2039</f>
        <v/>
      </c>
      <c r="AA1968" s="64" t="str">
        <f>Ringkasan!AA2039</f>
        <v/>
      </c>
      <c r="AB1968" s="64" t="str">
        <f>Ringkasan!AB2039</f>
        <v/>
      </c>
    </row>
    <row r="1969">
      <c r="A1969" s="64" t="str">
        <f>Ringkasan!A2040</f>
        <v/>
      </c>
      <c r="B1969" s="64" t="str">
        <f>Ringkasan!B2040</f>
        <v/>
      </c>
      <c r="C1969" s="64" t="str">
        <f>Ringkasan!C2040</f>
        <v/>
      </c>
      <c r="D1969" s="64" t="str">
        <f>Ringkasan!D2040</f>
        <v/>
      </c>
      <c r="E1969" s="64" t="str">
        <f>Ringkasan!E2040</f>
        <v/>
      </c>
      <c r="F1969" s="64" t="str">
        <f>Ringkasan!F2040</f>
        <v/>
      </c>
      <c r="G1969" s="64" t="str">
        <f>Ringkasan!G2040</f>
        <v/>
      </c>
      <c r="H1969" s="64" t="str">
        <f>Ringkasan!H2040</f>
        <v/>
      </c>
      <c r="I1969" s="64" t="str">
        <f>Ringkasan!I2040</f>
        <v/>
      </c>
      <c r="J1969" s="64" t="str">
        <f>Ringkasan!J2040</f>
        <v/>
      </c>
      <c r="K1969" s="64" t="str">
        <f>Ringkasan!K2040</f>
        <v/>
      </c>
      <c r="L1969" s="64" t="str">
        <f>Ringkasan!L2040</f>
        <v/>
      </c>
      <c r="M1969" s="64" t="str">
        <f>Ringkasan!M2040</f>
        <v/>
      </c>
      <c r="N1969" s="64" t="str">
        <f>Ringkasan!N2040</f>
        <v/>
      </c>
      <c r="O1969" s="64" t="str">
        <f>Ringkasan!O2040</f>
        <v/>
      </c>
      <c r="P1969" s="64" t="str">
        <f>Ringkasan!P2040</f>
        <v/>
      </c>
      <c r="Q1969" s="64" t="str">
        <f>Ringkasan!Q2040</f>
        <v/>
      </c>
      <c r="R1969" s="64" t="str">
        <f>Ringkasan!R2040</f>
        <v/>
      </c>
      <c r="S1969" s="64" t="str">
        <f>Ringkasan!S2040</f>
        <v/>
      </c>
      <c r="T1969" s="64" t="str">
        <f>Ringkasan!T2040</f>
        <v/>
      </c>
      <c r="U1969" s="64" t="str">
        <f>Ringkasan!U2040</f>
        <v/>
      </c>
      <c r="V1969" s="64" t="str">
        <f>Ringkasan!V2040</f>
        <v/>
      </c>
      <c r="W1969" s="64" t="str">
        <f>Ringkasan!W2040</f>
        <v/>
      </c>
      <c r="X1969" s="64" t="str">
        <f>Ringkasan!X2040</f>
        <v/>
      </c>
      <c r="Y1969" s="64" t="str">
        <f>Ringkasan!Y2040</f>
        <v/>
      </c>
      <c r="Z1969" s="64" t="str">
        <f>Ringkasan!Z2040</f>
        <v/>
      </c>
      <c r="AA1969" s="64" t="str">
        <f>Ringkasan!AA2040</f>
        <v/>
      </c>
      <c r="AB1969" s="64" t="str">
        <f>Ringkasan!AB2040</f>
        <v/>
      </c>
    </row>
    <row r="1970">
      <c r="A1970" s="64" t="str">
        <f>Ringkasan!A2041</f>
        <v/>
      </c>
      <c r="B1970" s="64" t="str">
        <f>Ringkasan!B2041</f>
        <v/>
      </c>
      <c r="C1970" s="64" t="str">
        <f>Ringkasan!C2041</f>
        <v/>
      </c>
      <c r="D1970" s="64" t="str">
        <f>Ringkasan!D2041</f>
        <v/>
      </c>
      <c r="E1970" s="64" t="str">
        <f>Ringkasan!E2041</f>
        <v/>
      </c>
      <c r="F1970" s="64" t="str">
        <f>Ringkasan!F2041</f>
        <v/>
      </c>
      <c r="G1970" s="64" t="str">
        <f>Ringkasan!G2041</f>
        <v/>
      </c>
      <c r="H1970" s="64" t="str">
        <f>Ringkasan!H2041</f>
        <v/>
      </c>
      <c r="I1970" s="64" t="str">
        <f>Ringkasan!I2041</f>
        <v/>
      </c>
      <c r="J1970" s="64" t="str">
        <f>Ringkasan!J2041</f>
        <v/>
      </c>
      <c r="K1970" s="64" t="str">
        <f>Ringkasan!K2041</f>
        <v/>
      </c>
      <c r="L1970" s="64" t="str">
        <f>Ringkasan!L2041</f>
        <v/>
      </c>
      <c r="M1970" s="64" t="str">
        <f>Ringkasan!M2041</f>
        <v/>
      </c>
      <c r="N1970" s="64" t="str">
        <f>Ringkasan!N2041</f>
        <v/>
      </c>
      <c r="O1970" s="64" t="str">
        <f>Ringkasan!O2041</f>
        <v/>
      </c>
      <c r="P1970" s="64" t="str">
        <f>Ringkasan!P2041</f>
        <v/>
      </c>
      <c r="Q1970" s="64" t="str">
        <f>Ringkasan!Q2041</f>
        <v/>
      </c>
      <c r="R1970" s="64" t="str">
        <f>Ringkasan!R2041</f>
        <v/>
      </c>
      <c r="S1970" s="64" t="str">
        <f>Ringkasan!S2041</f>
        <v/>
      </c>
      <c r="T1970" s="64" t="str">
        <f>Ringkasan!T2041</f>
        <v/>
      </c>
      <c r="U1970" s="64" t="str">
        <f>Ringkasan!U2041</f>
        <v/>
      </c>
      <c r="V1970" s="64" t="str">
        <f>Ringkasan!V2041</f>
        <v/>
      </c>
      <c r="W1970" s="64" t="str">
        <f>Ringkasan!W2041</f>
        <v/>
      </c>
      <c r="X1970" s="64" t="str">
        <f>Ringkasan!X2041</f>
        <v/>
      </c>
      <c r="Y1970" s="64" t="str">
        <f>Ringkasan!Y2041</f>
        <v/>
      </c>
      <c r="Z1970" s="64" t="str">
        <f>Ringkasan!Z2041</f>
        <v/>
      </c>
      <c r="AA1970" s="64" t="str">
        <f>Ringkasan!AA2041</f>
        <v/>
      </c>
      <c r="AB1970" s="64" t="str">
        <f>Ringkasan!AB2041</f>
        <v/>
      </c>
    </row>
    <row r="1971">
      <c r="A1971" s="64" t="str">
        <f>Ringkasan!A2042</f>
        <v/>
      </c>
      <c r="B1971" s="64" t="str">
        <f>Ringkasan!B2042</f>
        <v/>
      </c>
      <c r="C1971" s="64" t="str">
        <f>Ringkasan!C2042</f>
        <v/>
      </c>
      <c r="D1971" s="64" t="str">
        <f>Ringkasan!D2042</f>
        <v/>
      </c>
      <c r="E1971" s="64" t="str">
        <f>Ringkasan!E2042</f>
        <v/>
      </c>
      <c r="F1971" s="64" t="str">
        <f>Ringkasan!F2042</f>
        <v/>
      </c>
      <c r="G1971" s="64" t="str">
        <f>Ringkasan!G2042</f>
        <v/>
      </c>
      <c r="H1971" s="64" t="str">
        <f>Ringkasan!H2042</f>
        <v/>
      </c>
      <c r="I1971" s="64" t="str">
        <f>Ringkasan!I2042</f>
        <v/>
      </c>
      <c r="J1971" s="64" t="str">
        <f>Ringkasan!J2042</f>
        <v/>
      </c>
      <c r="K1971" s="64" t="str">
        <f>Ringkasan!K2042</f>
        <v/>
      </c>
      <c r="L1971" s="64" t="str">
        <f>Ringkasan!L2042</f>
        <v/>
      </c>
      <c r="M1971" s="64" t="str">
        <f>Ringkasan!M2042</f>
        <v/>
      </c>
      <c r="N1971" s="64" t="str">
        <f>Ringkasan!N2042</f>
        <v/>
      </c>
      <c r="O1971" s="64" t="str">
        <f>Ringkasan!O2042</f>
        <v/>
      </c>
      <c r="P1971" s="64" t="str">
        <f>Ringkasan!P2042</f>
        <v/>
      </c>
      <c r="Q1971" s="64" t="str">
        <f>Ringkasan!Q2042</f>
        <v/>
      </c>
      <c r="R1971" s="64" t="str">
        <f>Ringkasan!R2042</f>
        <v/>
      </c>
      <c r="S1971" s="64" t="str">
        <f>Ringkasan!S2042</f>
        <v/>
      </c>
      <c r="T1971" s="64" t="str">
        <f>Ringkasan!T2042</f>
        <v/>
      </c>
      <c r="U1971" s="64" t="str">
        <f>Ringkasan!U2042</f>
        <v/>
      </c>
      <c r="V1971" s="64" t="str">
        <f>Ringkasan!V2042</f>
        <v/>
      </c>
      <c r="W1971" s="64" t="str">
        <f>Ringkasan!W2042</f>
        <v/>
      </c>
      <c r="X1971" s="64" t="str">
        <f>Ringkasan!X2042</f>
        <v/>
      </c>
      <c r="Y1971" s="64" t="str">
        <f>Ringkasan!Y2042</f>
        <v/>
      </c>
      <c r="Z1971" s="64" t="str">
        <f>Ringkasan!Z2042</f>
        <v/>
      </c>
      <c r="AA1971" s="64" t="str">
        <f>Ringkasan!AA2042</f>
        <v/>
      </c>
      <c r="AB1971" s="64" t="str">
        <f>Ringkasan!AB2042</f>
        <v/>
      </c>
    </row>
    <row r="1972">
      <c r="A1972" s="64" t="str">
        <f>Ringkasan!A2043</f>
        <v/>
      </c>
      <c r="B1972" s="64" t="str">
        <f>Ringkasan!B2043</f>
        <v/>
      </c>
      <c r="C1972" s="64" t="str">
        <f>Ringkasan!C2043</f>
        <v/>
      </c>
      <c r="D1972" s="64" t="str">
        <f>Ringkasan!D2043</f>
        <v/>
      </c>
      <c r="E1972" s="64" t="str">
        <f>Ringkasan!E2043</f>
        <v/>
      </c>
      <c r="F1972" s="64" t="str">
        <f>Ringkasan!F2043</f>
        <v/>
      </c>
      <c r="G1972" s="64" t="str">
        <f>Ringkasan!G2043</f>
        <v/>
      </c>
      <c r="H1972" s="64" t="str">
        <f>Ringkasan!H2043</f>
        <v/>
      </c>
      <c r="I1972" s="64" t="str">
        <f>Ringkasan!I2043</f>
        <v/>
      </c>
      <c r="J1972" s="64" t="str">
        <f>Ringkasan!J2043</f>
        <v/>
      </c>
      <c r="K1972" s="64" t="str">
        <f>Ringkasan!K2043</f>
        <v/>
      </c>
      <c r="L1972" s="64" t="str">
        <f>Ringkasan!L2043</f>
        <v/>
      </c>
      <c r="M1972" s="64" t="str">
        <f>Ringkasan!M2043</f>
        <v/>
      </c>
      <c r="N1972" s="64" t="str">
        <f>Ringkasan!N2043</f>
        <v/>
      </c>
      <c r="O1972" s="64" t="str">
        <f>Ringkasan!O2043</f>
        <v/>
      </c>
      <c r="P1972" s="64" t="str">
        <f>Ringkasan!P2043</f>
        <v/>
      </c>
      <c r="Q1972" s="64" t="str">
        <f>Ringkasan!Q2043</f>
        <v/>
      </c>
      <c r="R1972" s="64" t="str">
        <f>Ringkasan!R2043</f>
        <v/>
      </c>
      <c r="S1972" s="64" t="str">
        <f>Ringkasan!S2043</f>
        <v/>
      </c>
      <c r="T1972" s="64" t="str">
        <f>Ringkasan!T2043</f>
        <v/>
      </c>
      <c r="U1972" s="64" t="str">
        <f>Ringkasan!U2043</f>
        <v/>
      </c>
      <c r="V1972" s="64" t="str">
        <f>Ringkasan!V2043</f>
        <v/>
      </c>
      <c r="W1972" s="64" t="str">
        <f>Ringkasan!W2043</f>
        <v/>
      </c>
      <c r="X1972" s="64" t="str">
        <f>Ringkasan!X2043</f>
        <v/>
      </c>
      <c r="Y1972" s="64" t="str">
        <f>Ringkasan!Y2043</f>
        <v/>
      </c>
      <c r="Z1972" s="64" t="str">
        <f>Ringkasan!Z2043</f>
        <v/>
      </c>
      <c r="AA1972" s="64" t="str">
        <f>Ringkasan!AA2043</f>
        <v/>
      </c>
      <c r="AB1972" s="64" t="str">
        <f>Ringkasan!AB2043</f>
        <v/>
      </c>
    </row>
    <row r="1973">
      <c r="A1973" s="64" t="str">
        <f>Ringkasan!A2044</f>
        <v/>
      </c>
      <c r="B1973" s="64" t="str">
        <f>Ringkasan!B2044</f>
        <v/>
      </c>
      <c r="C1973" s="64" t="str">
        <f>Ringkasan!C2044</f>
        <v/>
      </c>
      <c r="D1973" s="64" t="str">
        <f>Ringkasan!D2044</f>
        <v/>
      </c>
      <c r="E1973" s="64" t="str">
        <f>Ringkasan!E2044</f>
        <v/>
      </c>
      <c r="F1973" s="64" t="str">
        <f>Ringkasan!F2044</f>
        <v/>
      </c>
      <c r="G1973" s="64" t="str">
        <f>Ringkasan!G2044</f>
        <v/>
      </c>
      <c r="H1973" s="64" t="str">
        <f>Ringkasan!H2044</f>
        <v/>
      </c>
      <c r="I1973" s="64" t="str">
        <f>Ringkasan!I2044</f>
        <v/>
      </c>
      <c r="J1973" s="64" t="str">
        <f>Ringkasan!J2044</f>
        <v/>
      </c>
      <c r="K1973" s="64" t="str">
        <f>Ringkasan!K2044</f>
        <v/>
      </c>
      <c r="L1973" s="64" t="str">
        <f>Ringkasan!L2044</f>
        <v/>
      </c>
      <c r="M1973" s="64" t="str">
        <f>Ringkasan!M2044</f>
        <v/>
      </c>
      <c r="N1973" s="64" t="str">
        <f>Ringkasan!N2044</f>
        <v/>
      </c>
      <c r="O1973" s="64" t="str">
        <f>Ringkasan!O2044</f>
        <v/>
      </c>
      <c r="P1973" s="64" t="str">
        <f>Ringkasan!P2044</f>
        <v/>
      </c>
      <c r="Q1973" s="64" t="str">
        <f>Ringkasan!Q2044</f>
        <v/>
      </c>
      <c r="R1973" s="64" t="str">
        <f>Ringkasan!R2044</f>
        <v/>
      </c>
      <c r="S1973" s="64" t="str">
        <f>Ringkasan!S2044</f>
        <v/>
      </c>
      <c r="T1973" s="64" t="str">
        <f>Ringkasan!T2044</f>
        <v/>
      </c>
      <c r="U1973" s="64" t="str">
        <f>Ringkasan!U2044</f>
        <v/>
      </c>
      <c r="V1973" s="64" t="str">
        <f>Ringkasan!V2044</f>
        <v/>
      </c>
      <c r="W1973" s="64" t="str">
        <f>Ringkasan!W2044</f>
        <v/>
      </c>
      <c r="X1973" s="64" t="str">
        <f>Ringkasan!X2044</f>
        <v/>
      </c>
      <c r="Y1973" s="64" t="str">
        <f>Ringkasan!Y2044</f>
        <v/>
      </c>
      <c r="Z1973" s="64" t="str">
        <f>Ringkasan!Z2044</f>
        <v/>
      </c>
      <c r="AA1973" s="64" t="str">
        <f>Ringkasan!AA2044</f>
        <v/>
      </c>
      <c r="AB1973" s="64" t="str">
        <f>Ringkasan!AB2044</f>
        <v/>
      </c>
    </row>
    <row r="1974">
      <c r="A1974" s="64" t="str">
        <f>Ringkasan!A2045</f>
        <v/>
      </c>
      <c r="B1974" s="64" t="str">
        <f>Ringkasan!B2045</f>
        <v/>
      </c>
      <c r="C1974" s="64" t="str">
        <f>Ringkasan!C2045</f>
        <v/>
      </c>
      <c r="D1974" s="64" t="str">
        <f>Ringkasan!D2045</f>
        <v/>
      </c>
      <c r="E1974" s="64" t="str">
        <f>Ringkasan!E2045</f>
        <v/>
      </c>
      <c r="F1974" s="64" t="str">
        <f>Ringkasan!F2045</f>
        <v/>
      </c>
      <c r="G1974" s="64" t="str">
        <f>Ringkasan!G2045</f>
        <v/>
      </c>
      <c r="H1974" s="64" t="str">
        <f>Ringkasan!H2045</f>
        <v/>
      </c>
      <c r="I1974" s="64" t="str">
        <f>Ringkasan!I2045</f>
        <v/>
      </c>
      <c r="J1974" s="64" t="str">
        <f>Ringkasan!J2045</f>
        <v/>
      </c>
      <c r="K1974" s="64" t="str">
        <f>Ringkasan!K2045</f>
        <v/>
      </c>
      <c r="L1974" s="64" t="str">
        <f>Ringkasan!L2045</f>
        <v/>
      </c>
      <c r="M1974" s="64" t="str">
        <f>Ringkasan!M2045</f>
        <v/>
      </c>
      <c r="N1974" s="64" t="str">
        <f>Ringkasan!N2045</f>
        <v/>
      </c>
      <c r="O1974" s="64" t="str">
        <f>Ringkasan!O2045</f>
        <v/>
      </c>
      <c r="P1974" s="64" t="str">
        <f>Ringkasan!P2045</f>
        <v/>
      </c>
      <c r="Q1974" s="64" t="str">
        <f>Ringkasan!Q2045</f>
        <v/>
      </c>
      <c r="R1974" s="64" t="str">
        <f>Ringkasan!R2045</f>
        <v/>
      </c>
      <c r="S1974" s="64" t="str">
        <f>Ringkasan!S2045</f>
        <v/>
      </c>
      <c r="T1974" s="64" t="str">
        <f>Ringkasan!T2045</f>
        <v/>
      </c>
      <c r="U1974" s="64" t="str">
        <f>Ringkasan!U2045</f>
        <v/>
      </c>
      <c r="V1974" s="64" t="str">
        <f>Ringkasan!V2045</f>
        <v/>
      </c>
      <c r="W1974" s="64" t="str">
        <f>Ringkasan!W2045</f>
        <v/>
      </c>
      <c r="X1974" s="64" t="str">
        <f>Ringkasan!X2045</f>
        <v/>
      </c>
      <c r="Y1974" s="64" t="str">
        <f>Ringkasan!Y2045</f>
        <v/>
      </c>
      <c r="Z1974" s="64" t="str">
        <f>Ringkasan!Z2045</f>
        <v/>
      </c>
      <c r="AA1974" s="64" t="str">
        <f>Ringkasan!AA2045</f>
        <v/>
      </c>
      <c r="AB1974" s="64" t="str">
        <f>Ringkasan!AB2045</f>
        <v/>
      </c>
    </row>
    <row r="1975">
      <c r="A1975" s="64" t="str">
        <f>Ringkasan!A2046</f>
        <v/>
      </c>
      <c r="B1975" s="64" t="str">
        <f>Ringkasan!B2046</f>
        <v/>
      </c>
      <c r="C1975" s="64" t="str">
        <f>Ringkasan!C2046</f>
        <v/>
      </c>
      <c r="D1975" s="64" t="str">
        <f>Ringkasan!D2046</f>
        <v/>
      </c>
      <c r="E1975" s="64" t="str">
        <f>Ringkasan!E2046</f>
        <v/>
      </c>
      <c r="F1975" s="64" t="str">
        <f>Ringkasan!F2046</f>
        <v/>
      </c>
      <c r="G1975" s="64" t="str">
        <f>Ringkasan!G2046</f>
        <v/>
      </c>
      <c r="H1975" s="64" t="str">
        <f>Ringkasan!H2046</f>
        <v/>
      </c>
      <c r="I1975" s="64" t="str">
        <f>Ringkasan!I2046</f>
        <v/>
      </c>
      <c r="J1975" s="64" t="str">
        <f>Ringkasan!J2046</f>
        <v/>
      </c>
      <c r="K1975" s="64" t="str">
        <f>Ringkasan!K2046</f>
        <v/>
      </c>
      <c r="L1975" s="64" t="str">
        <f>Ringkasan!L2046</f>
        <v/>
      </c>
      <c r="M1975" s="64" t="str">
        <f>Ringkasan!M2046</f>
        <v/>
      </c>
      <c r="N1975" s="64" t="str">
        <f>Ringkasan!N2046</f>
        <v/>
      </c>
      <c r="O1975" s="64" t="str">
        <f>Ringkasan!O2046</f>
        <v/>
      </c>
      <c r="P1975" s="64" t="str">
        <f>Ringkasan!P2046</f>
        <v/>
      </c>
      <c r="Q1975" s="64" t="str">
        <f>Ringkasan!Q2046</f>
        <v/>
      </c>
      <c r="R1975" s="64" t="str">
        <f>Ringkasan!R2046</f>
        <v/>
      </c>
      <c r="S1975" s="64" t="str">
        <f>Ringkasan!S2046</f>
        <v/>
      </c>
      <c r="T1975" s="64" t="str">
        <f>Ringkasan!T2046</f>
        <v/>
      </c>
      <c r="U1975" s="64" t="str">
        <f>Ringkasan!U2046</f>
        <v/>
      </c>
      <c r="V1975" s="64" t="str">
        <f>Ringkasan!V2046</f>
        <v/>
      </c>
      <c r="W1975" s="64" t="str">
        <f>Ringkasan!W2046</f>
        <v/>
      </c>
      <c r="X1975" s="64" t="str">
        <f>Ringkasan!X2046</f>
        <v/>
      </c>
      <c r="Y1975" s="64" t="str">
        <f>Ringkasan!Y2046</f>
        <v/>
      </c>
      <c r="Z1975" s="64" t="str">
        <f>Ringkasan!Z2046</f>
        <v/>
      </c>
      <c r="AA1975" s="64" t="str">
        <f>Ringkasan!AA2046</f>
        <v/>
      </c>
      <c r="AB1975" s="64" t="str">
        <f>Ringkasan!AB2046</f>
        <v/>
      </c>
    </row>
    <row r="1976">
      <c r="A1976" s="64" t="str">
        <f>Ringkasan!A2047</f>
        <v/>
      </c>
      <c r="B1976" s="64" t="str">
        <f>Ringkasan!B2047</f>
        <v/>
      </c>
      <c r="C1976" s="64" t="str">
        <f>Ringkasan!C2047</f>
        <v/>
      </c>
      <c r="D1976" s="64" t="str">
        <f>Ringkasan!D2047</f>
        <v/>
      </c>
      <c r="E1976" s="64" t="str">
        <f>Ringkasan!E2047</f>
        <v/>
      </c>
      <c r="F1976" s="64" t="str">
        <f>Ringkasan!F2047</f>
        <v/>
      </c>
      <c r="G1976" s="64" t="str">
        <f>Ringkasan!G2047</f>
        <v/>
      </c>
      <c r="H1976" s="64" t="str">
        <f>Ringkasan!H2047</f>
        <v/>
      </c>
      <c r="I1976" s="64" t="str">
        <f>Ringkasan!I2047</f>
        <v/>
      </c>
      <c r="J1976" s="64" t="str">
        <f>Ringkasan!J2047</f>
        <v/>
      </c>
      <c r="K1976" s="64" t="str">
        <f>Ringkasan!K2047</f>
        <v/>
      </c>
      <c r="L1976" s="64" t="str">
        <f>Ringkasan!L2047</f>
        <v/>
      </c>
      <c r="M1976" s="64" t="str">
        <f>Ringkasan!M2047</f>
        <v/>
      </c>
      <c r="N1976" s="64" t="str">
        <f>Ringkasan!N2047</f>
        <v/>
      </c>
      <c r="O1976" s="64" t="str">
        <f>Ringkasan!O2047</f>
        <v/>
      </c>
      <c r="P1976" s="64" t="str">
        <f>Ringkasan!P2047</f>
        <v/>
      </c>
      <c r="Q1976" s="64" t="str">
        <f>Ringkasan!Q2047</f>
        <v/>
      </c>
      <c r="R1976" s="64" t="str">
        <f>Ringkasan!R2047</f>
        <v/>
      </c>
      <c r="S1976" s="64" t="str">
        <f>Ringkasan!S2047</f>
        <v/>
      </c>
      <c r="T1976" s="64" t="str">
        <f>Ringkasan!T2047</f>
        <v/>
      </c>
      <c r="U1976" s="64" t="str">
        <f>Ringkasan!U2047</f>
        <v/>
      </c>
      <c r="V1976" s="64" t="str">
        <f>Ringkasan!V2047</f>
        <v/>
      </c>
      <c r="W1976" s="64" t="str">
        <f>Ringkasan!W2047</f>
        <v/>
      </c>
      <c r="X1976" s="64" t="str">
        <f>Ringkasan!X2047</f>
        <v/>
      </c>
      <c r="Y1976" s="64" t="str">
        <f>Ringkasan!Y2047</f>
        <v/>
      </c>
      <c r="Z1976" s="64" t="str">
        <f>Ringkasan!Z2047</f>
        <v/>
      </c>
      <c r="AA1976" s="64" t="str">
        <f>Ringkasan!AA2047</f>
        <v/>
      </c>
      <c r="AB1976" s="64" t="str">
        <f>Ringkasan!AB2047</f>
        <v/>
      </c>
    </row>
    <row r="1977">
      <c r="A1977" s="64" t="str">
        <f>Ringkasan!A2048</f>
        <v/>
      </c>
      <c r="B1977" s="64" t="str">
        <f>Ringkasan!B2048</f>
        <v/>
      </c>
      <c r="C1977" s="64" t="str">
        <f>Ringkasan!C2048</f>
        <v/>
      </c>
      <c r="D1977" s="64" t="str">
        <f>Ringkasan!D2048</f>
        <v/>
      </c>
      <c r="E1977" s="64" t="str">
        <f>Ringkasan!E2048</f>
        <v/>
      </c>
      <c r="F1977" s="64" t="str">
        <f>Ringkasan!F2048</f>
        <v/>
      </c>
      <c r="G1977" s="64" t="str">
        <f>Ringkasan!G2048</f>
        <v/>
      </c>
      <c r="H1977" s="64" t="str">
        <f>Ringkasan!H2048</f>
        <v/>
      </c>
      <c r="I1977" s="64" t="str">
        <f>Ringkasan!I2048</f>
        <v/>
      </c>
      <c r="J1977" s="64" t="str">
        <f>Ringkasan!J2048</f>
        <v/>
      </c>
      <c r="K1977" s="64" t="str">
        <f>Ringkasan!K2048</f>
        <v/>
      </c>
      <c r="L1977" s="64" t="str">
        <f>Ringkasan!L2048</f>
        <v/>
      </c>
      <c r="M1977" s="64" t="str">
        <f>Ringkasan!M2048</f>
        <v/>
      </c>
      <c r="N1977" s="64" t="str">
        <f>Ringkasan!N2048</f>
        <v/>
      </c>
      <c r="O1977" s="64" t="str">
        <f>Ringkasan!O2048</f>
        <v/>
      </c>
      <c r="P1977" s="64" t="str">
        <f>Ringkasan!P2048</f>
        <v/>
      </c>
      <c r="Q1977" s="64" t="str">
        <f>Ringkasan!Q2048</f>
        <v/>
      </c>
      <c r="R1977" s="64" t="str">
        <f>Ringkasan!R2048</f>
        <v/>
      </c>
      <c r="S1977" s="64" t="str">
        <f>Ringkasan!S2048</f>
        <v/>
      </c>
      <c r="T1977" s="64" t="str">
        <f>Ringkasan!T2048</f>
        <v/>
      </c>
      <c r="U1977" s="64" t="str">
        <f>Ringkasan!U2048</f>
        <v/>
      </c>
      <c r="V1977" s="64" t="str">
        <f>Ringkasan!V2048</f>
        <v/>
      </c>
      <c r="W1977" s="64" t="str">
        <f>Ringkasan!W2048</f>
        <v/>
      </c>
      <c r="X1977" s="64" t="str">
        <f>Ringkasan!X2048</f>
        <v/>
      </c>
      <c r="Y1977" s="64" t="str">
        <f>Ringkasan!Y2048</f>
        <v/>
      </c>
      <c r="Z1977" s="64" t="str">
        <f>Ringkasan!Z2048</f>
        <v/>
      </c>
      <c r="AA1977" s="64" t="str">
        <f>Ringkasan!AA2048</f>
        <v/>
      </c>
      <c r="AB1977" s="64" t="str">
        <f>Ringkasan!AB2048</f>
        <v/>
      </c>
    </row>
    <row r="1978">
      <c r="A1978" s="64" t="str">
        <f>Ringkasan!A2049</f>
        <v/>
      </c>
      <c r="B1978" s="64" t="str">
        <f>Ringkasan!B2049</f>
        <v/>
      </c>
      <c r="C1978" s="64" t="str">
        <f>Ringkasan!C2049</f>
        <v/>
      </c>
      <c r="D1978" s="64" t="str">
        <f>Ringkasan!D2049</f>
        <v/>
      </c>
      <c r="E1978" s="64" t="str">
        <f>Ringkasan!E2049</f>
        <v/>
      </c>
      <c r="F1978" s="64" t="str">
        <f>Ringkasan!F2049</f>
        <v/>
      </c>
      <c r="G1978" s="64" t="str">
        <f>Ringkasan!G2049</f>
        <v/>
      </c>
      <c r="H1978" s="64" t="str">
        <f>Ringkasan!H2049</f>
        <v/>
      </c>
      <c r="I1978" s="64" t="str">
        <f>Ringkasan!I2049</f>
        <v/>
      </c>
      <c r="J1978" s="64" t="str">
        <f>Ringkasan!J2049</f>
        <v/>
      </c>
      <c r="K1978" s="64" t="str">
        <f>Ringkasan!K2049</f>
        <v/>
      </c>
      <c r="L1978" s="64" t="str">
        <f>Ringkasan!L2049</f>
        <v/>
      </c>
      <c r="M1978" s="64" t="str">
        <f>Ringkasan!M2049</f>
        <v/>
      </c>
      <c r="N1978" s="64" t="str">
        <f>Ringkasan!N2049</f>
        <v/>
      </c>
      <c r="O1978" s="64" t="str">
        <f>Ringkasan!O2049</f>
        <v/>
      </c>
      <c r="P1978" s="64" t="str">
        <f>Ringkasan!P2049</f>
        <v/>
      </c>
      <c r="Q1978" s="64" t="str">
        <f>Ringkasan!Q2049</f>
        <v/>
      </c>
      <c r="R1978" s="64" t="str">
        <f>Ringkasan!R2049</f>
        <v/>
      </c>
      <c r="S1978" s="64" t="str">
        <f>Ringkasan!S2049</f>
        <v/>
      </c>
      <c r="T1978" s="64" t="str">
        <f>Ringkasan!T2049</f>
        <v/>
      </c>
      <c r="U1978" s="64" t="str">
        <f>Ringkasan!U2049</f>
        <v/>
      </c>
      <c r="V1978" s="64" t="str">
        <f>Ringkasan!V2049</f>
        <v/>
      </c>
      <c r="W1978" s="64" t="str">
        <f>Ringkasan!W2049</f>
        <v/>
      </c>
      <c r="X1978" s="64" t="str">
        <f>Ringkasan!X2049</f>
        <v/>
      </c>
      <c r="Y1978" s="64" t="str">
        <f>Ringkasan!Y2049</f>
        <v/>
      </c>
      <c r="Z1978" s="64" t="str">
        <f>Ringkasan!Z2049</f>
        <v/>
      </c>
      <c r="AA1978" s="64" t="str">
        <f>Ringkasan!AA2049</f>
        <v/>
      </c>
      <c r="AB1978" s="64" t="str">
        <f>Ringkasan!AB2049</f>
        <v/>
      </c>
    </row>
    <row r="1979">
      <c r="A1979" s="64" t="str">
        <f>Ringkasan!A2050</f>
        <v/>
      </c>
      <c r="B1979" s="64" t="str">
        <f>Ringkasan!B2050</f>
        <v/>
      </c>
      <c r="C1979" s="64" t="str">
        <f>Ringkasan!C2050</f>
        <v/>
      </c>
      <c r="D1979" s="64" t="str">
        <f>Ringkasan!D2050</f>
        <v/>
      </c>
      <c r="E1979" s="64" t="str">
        <f>Ringkasan!E2050</f>
        <v/>
      </c>
      <c r="F1979" s="64" t="str">
        <f>Ringkasan!F2050</f>
        <v/>
      </c>
      <c r="G1979" s="64" t="str">
        <f>Ringkasan!G2050</f>
        <v/>
      </c>
      <c r="H1979" s="64" t="str">
        <f>Ringkasan!H2050</f>
        <v/>
      </c>
      <c r="I1979" s="64" t="str">
        <f>Ringkasan!I2050</f>
        <v/>
      </c>
      <c r="J1979" s="64" t="str">
        <f>Ringkasan!J2050</f>
        <v/>
      </c>
      <c r="K1979" s="64" t="str">
        <f>Ringkasan!K2050</f>
        <v/>
      </c>
      <c r="L1979" s="64" t="str">
        <f>Ringkasan!L2050</f>
        <v/>
      </c>
      <c r="M1979" s="64" t="str">
        <f>Ringkasan!M2050</f>
        <v/>
      </c>
      <c r="N1979" s="64" t="str">
        <f>Ringkasan!N2050</f>
        <v/>
      </c>
      <c r="O1979" s="64" t="str">
        <f>Ringkasan!O2050</f>
        <v/>
      </c>
      <c r="P1979" s="64" t="str">
        <f>Ringkasan!P2050</f>
        <v/>
      </c>
      <c r="Q1979" s="64" t="str">
        <f>Ringkasan!Q2050</f>
        <v/>
      </c>
      <c r="R1979" s="64" t="str">
        <f>Ringkasan!R2050</f>
        <v/>
      </c>
      <c r="S1979" s="64" t="str">
        <f>Ringkasan!S2050</f>
        <v/>
      </c>
      <c r="T1979" s="64" t="str">
        <f>Ringkasan!T2050</f>
        <v/>
      </c>
      <c r="U1979" s="64" t="str">
        <f>Ringkasan!U2050</f>
        <v/>
      </c>
      <c r="V1979" s="64" t="str">
        <f>Ringkasan!V2050</f>
        <v/>
      </c>
      <c r="W1979" s="64" t="str">
        <f>Ringkasan!W2050</f>
        <v/>
      </c>
      <c r="X1979" s="64" t="str">
        <f>Ringkasan!X2050</f>
        <v/>
      </c>
      <c r="Y1979" s="64" t="str">
        <f>Ringkasan!Y2050</f>
        <v/>
      </c>
      <c r="Z1979" s="64" t="str">
        <f>Ringkasan!Z2050</f>
        <v/>
      </c>
      <c r="AA1979" s="64" t="str">
        <f>Ringkasan!AA2050</f>
        <v/>
      </c>
      <c r="AB1979" s="64" t="str">
        <f>Ringkasan!AB2050</f>
        <v/>
      </c>
    </row>
    <row r="1980">
      <c r="A1980" s="64" t="str">
        <f>Ringkasan!A2051</f>
        <v/>
      </c>
      <c r="B1980" s="64" t="str">
        <f>Ringkasan!B2051</f>
        <v/>
      </c>
      <c r="C1980" s="64" t="str">
        <f>Ringkasan!C2051</f>
        <v/>
      </c>
      <c r="D1980" s="64" t="str">
        <f>Ringkasan!D2051</f>
        <v/>
      </c>
      <c r="E1980" s="64" t="str">
        <f>Ringkasan!E2051</f>
        <v/>
      </c>
      <c r="F1980" s="64" t="str">
        <f>Ringkasan!F2051</f>
        <v/>
      </c>
      <c r="G1980" s="64" t="str">
        <f>Ringkasan!G2051</f>
        <v/>
      </c>
      <c r="H1980" s="64" t="str">
        <f>Ringkasan!H2051</f>
        <v/>
      </c>
      <c r="I1980" s="64" t="str">
        <f>Ringkasan!I2051</f>
        <v/>
      </c>
      <c r="J1980" s="64" t="str">
        <f>Ringkasan!J2051</f>
        <v/>
      </c>
      <c r="K1980" s="64" t="str">
        <f>Ringkasan!K2051</f>
        <v/>
      </c>
      <c r="L1980" s="64" t="str">
        <f>Ringkasan!L2051</f>
        <v/>
      </c>
      <c r="M1980" s="64" t="str">
        <f>Ringkasan!M2051</f>
        <v/>
      </c>
      <c r="N1980" s="64" t="str">
        <f>Ringkasan!N2051</f>
        <v/>
      </c>
      <c r="O1980" s="64" t="str">
        <f>Ringkasan!O2051</f>
        <v/>
      </c>
      <c r="P1980" s="64" t="str">
        <f>Ringkasan!P2051</f>
        <v/>
      </c>
      <c r="Q1980" s="64" t="str">
        <f>Ringkasan!Q2051</f>
        <v/>
      </c>
      <c r="R1980" s="64" t="str">
        <f>Ringkasan!R2051</f>
        <v/>
      </c>
      <c r="S1980" s="64" t="str">
        <f>Ringkasan!S2051</f>
        <v/>
      </c>
      <c r="T1980" s="64" t="str">
        <f>Ringkasan!T2051</f>
        <v/>
      </c>
      <c r="U1980" s="64" t="str">
        <f>Ringkasan!U2051</f>
        <v/>
      </c>
      <c r="V1980" s="64" t="str">
        <f>Ringkasan!V2051</f>
        <v/>
      </c>
      <c r="W1980" s="64" t="str">
        <f>Ringkasan!W2051</f>
        <v/>
      </c>
      <c r="X1980" s="64" t="str">
        <f>Ringkasan!X2051</f>
        <v/>
      </c>
      <c r="Y1980" s="64" t="str">
        <f>Ringkasan!Y2051</f>
        <v/>
      </c>
      <c r="Z1980" s="64" t="str">
        <f>Ringkasan!Z2051</f>
        <v/>
      </c>
      <c r="AA1980" s="64" t="str">
        <f>Ringkasan!AA2051</f>
        <v/>
      </c>
      <c r="AB1980" s="64" t="str">
        <f>Ringkasan!AB2051</f>
        <v/>
      </c>
    </row>
    <row r="1981">
      <c r="A1981" s="64" t="str">
        <f>Ringkasan!A2052</f>
        <v/>
      </c>
      <c r="B1981" s="64" t="str">
        <f>Ringkasan!B2052</f>
        <v/>
      </c>
      <c r="C1981" s="64" t="str">
        <f>Ringkasan!C2052</f>
        <v/>
      </c>
      <c r="D1981" s="64" t="str">
        <f>Ringkasan!D2052</f>
        <v/>
      </c>
      <c r="E1981" s="64" t="str">
        <f>Ringkasan!E2052</f>
        <v/>
      </c>
      <c r="F1981" s="64" t="str">
        <f>Ringkasan!F2052</f>
        <v/>
      </c>
      <c r="G1981" s="64" t="str">
        <f>Ringkasan!G2052</f>
        <v/>
      </c>
      <c r="H1981" s="64" t="str">
        <f>Ringkasan!H2052</f>
        <v/>
      </c>
      <c r="I1981" s="64" t="str">
        <f>Ringkasan!I2052</f>
        <v/>
      </c>
      <c r="J1981" s="64" t="str">
        <f>Ringkasan!J2052</f>
        <v/>
      </c>
      <c r="K1981" s="64" t="str">
        <f>Ringkasan!K2052</f>
        <v/>
      </c>
      <c r="L1981" s="64" t="str">
        <f>Ringkasan!L2052</f>
        <v/>
      </c>
      <c r="M1981" s="64" t="str">
        <f>Ringkasan!M2052</f>
        <v/>
      </c>
      <c r="N1981" s="64" t="str">
        <f>Ringkasan!N2052</f>
        <v/>
      </c>
      <c r="O1981" s="64" t="str">
        <f>Ringkasan!O2052</f>
        <v/>
      </c>
      <c r="P1981" s="64" t="str">
        <f>Ringkasan!P2052</f>
        <v/>
      </c>
      <c r="Q1981" s="64" t="str">
        <f>Ringkasan!Q2052</f>
        <v/>
      </c>
      <c r="R1981" s="64" t="str">
        <f>Ringkasan!R2052</f>
        <v/>
      </c>
      <c r="S1981" s="64" t="str">
        <f>Ringkasan!S2052</f>
        <v/>
      </c>
      <c r="T1981" s="64" t="str">
        <f>Ringkasan!T2052</f>
        <v/>
      </c>
      <c r="U1981" s="64" t="str">
        <f>Ringkasan!U2052</f>
        <v/>
      </c>
      <c r="V1981" s="64" t="str">
        <f>Ringkasan!V2052</f>
        <v/>
      </c>
      <c r="W1981" s="64" t="str">
        <f>Ringkasan!W2052</f>
        <v/>
      </c>
      <c r="X1981" s="64" t="str">
        <f>Ringkasan!X2052</f>
        <v/>
      </c>
      <c r="Y1981" s="64" t="str">
        <f>Ringkasan!Y2052</f>
        <v/>
      </c>
      <c r="Z1981" s="64" t="str">
        <f>Ringkasan!Z2052</f>
        <v/>
      </c>
      <c r="AA1981" s="64" t="str">
        <f>Ringkasan!AA2052</f>
        <v/>
      </c>
      <c r="AB1981" s="64" t="str">
        <f>Ringkasan!AB2052</f>
        <v/>
      </c>
    </row>
    <row r="1982">
      <c r="A1982" s="64" t="str">
        <f>Ringkasan!A2053</f>
        <v/>
      </c>
      <c r="B1982" s="64" t="str">
        <f>Ringkasan!B2053</f>
        <v/>
      </c>
      <c r="C1982" s="64" t="str">
        <f>Ringkasan!C2053</f>
        <v/>
      </c>
      <c r="D1982" s="64" t="str">
        <f>Ringkasan!D2053</f>
        <v/>
      </c>
      <c r="E1982" s="64" t="str">
        <f>Ringkasan!E2053</f>
        <v/>
      </c>
      <c r="F1982" s="64" t="str">
        <f>Ringkasan!F2053</f>
        <v/>
      </c>
      <c r="G1982" s="64" t="str">
        <f>Ringkasan!G2053</f>
        <v/>
      </c>
      <c r="H1982" s="64" t="str">
        <f>Ringkasan!H2053</f>
        <v/>
      </c>
      <c r="I1982" s="64" t="str">
        <f>Ringkasan!I2053</f>
        <v/>
      </c>
      <c r="J1982" s="64" t="str">
        <f>Ringkasan!J2053</f>
        <v/>
      </c>
      <c r="K1982" s="64" t="str">
        <f>Ringkasan!K2053</f>
        <v/>
      </c>
      <c r="L1982" s="64" t="str">
        <f>Ringkasan!L2053</f>
        <v/>
      </c>
      <c r="M1982" s="64" t="str">
        <f>Ringkasan!M2053</f>
        <v/>
      </c>
      <c r="N1982" s="64" t="str">
        <f>Ringkasan!N2053</f>
        <v/>
      </c>
      <c r="O1982" s="64" t="str">
        <f>Ringkasan!O2053</f>
        <v/>
      </c>
      <c r="P1982" s="64" t="str">
        <f>Ringkasan!P2053</f>
        <v/>
      </c>
      <c r="Q1982" s="64" t="str">
        <f>Ringkasan!Q2053</f>
        <v/>
      </c>
      <c r="R1982" s="64" t="str">
        <f>Ringkasan!R2053</f>
        <v/>
      </c>
      <c r="S1982" s="64" t="str">
        <f>Ringkasan!S2053</f>
        <v/>
      </c>
      <c r="T1982" s="64" t="str">
        <f>Ringkasan!T2053</f>
        <v/>
      </c>
      <c r="U1982" s="64" t="str">
        <f>Ringkasan!U2053</f>
        <v/>
      </c>
      <c r="V1982" s="64" t="str">
        <f>Ringkasan!V2053</f>
        <v/>
      </c>
      <c r="W1982" s="64" t="str">
        <f>Ringkasan!W2053</f>
        <v/>
      </c>
      <c r="X1982" s="64" t="str">
        <f>Ringkasan!X2053</f>
        <v/>
      </c>
      <c r="Y1982" s="64" t="str">
        <f>Ringkasan!Y2053</f>
        <v/>
      </c>
      <c r="Z1982" s="64" t="str">
        <f>Ringkasan!Z2053</f>
        <v/>
      </c>
      <c r="AA1982" s="64" t="str">
        <f>Ringkasan!AA2053</f>
        <v/>
      </c>
      <c r="AB1982" s="64" t="str">
        <f>Ringkasan!AB2053</f>
        <v/>
      </c>
    </row>
    <row r="1983">
      <c r="A1983" s="64" t="str">
        <f>Ringkasan!A2054</f>
        <v/>
      </c>
      <c r="B1983" s="64" t="str">
        <f>Ringkasan!B2054</f>
        <v/>
      </c>
      <c r="C1983" s="64" t="str">
        <f>Ringkasan!C2054</f>
        <v/>
      </c>
      <c r="D1983" s="64" t="str">
        <f>Ringkasan!D2054</f>
        <v/>
      </c>
      <c r="E1983" s="64" t="str">
        <f>Ringkasan!E2054</f>
        <v/>
      </c>
      <c r="F1983" s="64" t="str">
        <f>Ringkasan!F2054</f>
        <v/>
      </c>
      <c r="G1983" s="64" t="str">
        <f>Ringkasan!G2054</f>
        <v/>
      </c>
      <c r="H1983" s="64" t="str">
        <f>Ringkasan!H2054</f>
        <v/>
      </c>
      <c r="I1983" s="64" t="str">
        <f>Ringkasan!I2054</f>
        <v/>
      </c>
      <c r="J1983" s="64" t="str">
        <f>Ringkasan!J2054</f>
        <v/>
      </c>
      <c r="K1983" s="64" t="str">
        <f>Ringkasan!K2054</f>
        <v/>
      </c>
      <c r="L1983" s="64" t="str">
        <f>Ringkasan!L2054</f>
        <v/>
      </c>
      <c r="M1983" s="64" t="str">
        <f>Ringkasan!M2054</f>
        <v/>
      </c>
      <c r="N1983" s="64" t="str">
        <f>Ringkasan!N2054</f>
        <v/>
      </c>
      <c r="O1983" s="64" t="str">
        <f>Ringkasan!O2054</f>
        <v/>
      </c>
      <c r="P1983" s="64" t="str">
        <f>Ringkasan!P2054</f>
        <v/>
      </c>
      <c r="Q1983" s="64" t="str">
        <f>Ringkasan!Q2054</f>
        <v/>
      </c>
      <c r="R1983" s="64" t="str">
        <f>Ringkasan!R2054</f>
        <v/>
      </c>
      <c r="S1983" s="64" t="str">
        <f>Ringkasan!S2054</f>
        <v/>
      </c>
      <c r="T1983" s="64" t="str">
        <f>Ringkasan!T2054</f>
        <v/>
      </c>
      <c r="U1983" s="64" t="str">
        <f>Ringkasan!U2054</f>
        <v/>
      </c>
      <c r="V1983" s="64" t="str">
        <f>Ringkasan!V2054</f>
        <v/>
      </c>
      <c r="W1983" s="64" t="str">
        <f>Ringkasan!W2054</f>
        <v/>
      </c>
      <c r="X1983" s="64" t="str">
        <f>Ringkasan!X2054</f>
        <v/>
      </c>
      <c r="Y1983" s="64" t="str">
        <f>Ringkasan!Y2054</f>
        <v/>
      </c>
      <c r="Z1983" s="64" t="str">
        <f>Ringkasan!Z2054</f>
        <v/>
      </c>
      <c r="AA1983" s="64" t="str">
        <f>Ringkasan!AA2054</f>
        <v/>
      </c>
      <c r="AB1983" s="64" t="str">
        <f>Ringkasan!AB2054</f>
        <v/>
      </c>
    </row>
    <row r="1984">
      <c r="A1984" s="64" t="str">
        <f>Ringkasan!A2055</f>
        <v/>
      </c>
      <c r="B1984" s="64" t="str">
        <f>Ringkasan!B2055</f>
        <v/>
      </c>
      <c r="C1984" s="64" t="str">
        <f>Ringkasan!C2055</f>
        <v/>
      </c>
      <c r="D1984" s="64" t="str">
        <f>Ringkasan!D2055</f>
        <v/>
      </c>
      <c r="E1984" s="64" t="str">
        <f>Ringkasan!E2055</f>
        <v/>
      </c>
      <c r="F1984" s="64" t="str">
        <f>Ringkasan!F2055</f>
        <v/>
      </c>
      <c r="G1984" s="64" t="str">
        <f>Ringkasan!G2055</f>
        <v/>
      </c>
      <c r="H1984" s="64" t="str">
        <f>Ringkasan!H2055</f>
        <v/>
      </c>
      <c r="I1984" s="64" t="str">
        <f>Ringkasan!I2055</f>
        <v/>
      </c>
      <c r="J1984" s="64" t="str">
        <f>Ringkasan!J2055</f>
        <v/>
      </c>
      <c r="K1984" s="64" t="str">
        <f>Ringkasan!K2055</f>
        <v/>
      </c>
      <c r="L1984" s="64" t="str">
        <f>Ringkasan!L2055</f>
        <v/>
      </c>
      <c r="M1984" s="64" t="str">
        <f>Ringkasan!M2055</f>
        <v/>
      </c>
      <c r="N1984" s="64" t="str">
        <f>Ringkasan!N2055</f>
        <v/>
      </c>
      <c r="O1984" s="64" t="str">
        <f>Ringkasan!O2055</f>
        <v/>
      </c>
      <c r="P1984" s="64" t="str">
        <f>Ringkasan!P2055</f>
        <v/>
      </c>
      <c r="Q1984" s="64" t="str">
        <f>Ringkasan!Q2055</f>
        <v/>
      </c>
      <c r="R1984" s="64" t="str">
        <f>Ringkasan!R2055</f>
        <v/>
      </c>
      <c r="S1984" s="64" t="str">
        <f>Ringkasan!S2055</f>
        <v/>
      </c>
      <c r="T1984" s="64" t="str">
        <f>Ringkasan!T2055</f>
        <v/>
      </c>
      <c r="U1984" s="64" t="str">
        <f>Ringkasan!U2055</f>
        <v/>
      </c>
      <c r="V1984" s="64" t="str">
        <f>Ringkasan!V2055</f>
        <v/>
      </c>
      <c r="W1984" s="64" t="str">
        <f>Ringkasan!W2055</f>
        <v/>
      </c>
      <c r="X1984" s="64" t="str">
        <f>Ringkasan!X2055</f>
        <v/>
      </c>
      <c r="Y1984" s="64" t="str">
        <f>Ringkasan!Y2055</f>
        <v/>
      </c>
      <c r="Z1984" s="64" t="str">
        <f>Ringkasan!Z2055</f>
        <v/>
      </c>
      <c r="AA1984" s="64" t="str">
        <f>Ringkasan!AA2055</f>
        <v/>
      </c>
      <c r="AB1984" s="64" t="str">
        <f>Ringkasan!AB2055</f>
        <v/>
      </c>
    </row>
    <row r="1985">
      <c r="A1985" s="64" t="str">
        <f>Ringkasan!A2056</f>
        <v/>
      </c>
      <c r="B1985" s="64" t="str">
        <f>Ringkasan!B2056</f>
        <v/>
      </c>
      <c r="C1985" s="64" t="str">
        <f>Ringkasan!C2056</f>
        <v/>
      </c>
      <c r="D1985" s="64" t="str">
        <f>Ringkasan!D2056</f>
        <v/>
      </c>
      <c r="E1985" s="64" t="str">
        <f>Ringkasan!E2056</f>
        <v/>
      </c>
      <c r="F1985" s="64" t="str">
        <f>Ringkasan!F2056</f>
        <v/>
      </c>
      <c r="G1985" s="64" t="str">
        <f>Ringkasan!G2056</f>
        <v/>
      </c>
      <c r="H1985" s="64" t="str">
        <f>Ringkasan!H2056</f>
        <v/>
      </c>
      <c r="I1985" s="64" t="str">
        <f>Ringkasan!I2056</f>
        <v/>
      </c>
      <c r="J1985" s="64" t="str">
        <f>Ringkasan!J2056</f>
        <v/>
      </c>
      <c r="K1985" s="64" t="str">
        <f>Ringkasan!K2056</f>
        <v/>
      </c>
      <c r="L1985" s="64" t="str">
        <f>Ringkasan!L2056</f>
        <v/>
      </c>
      <c r="M1985" s="64" t="str">
        <f>Ringkasan!M2056</f>
        <v/>
      </c>
      <c r="N1985" s="64" t="str">
        <f>Ringkasan!N2056</f>
        <v/>
      </c>
      <c r="O1985" s="64" t="str">
        <f>Ringkasan!O2056</f>
        <v/>
      </c>
      <c r="P1985" s="64" t="str">
        <f>Ringkasan!P2056</f>
        <v/>
      </c>
      <c r="Q1985" s="64" t="str">
        <f>Ringkasan!Q2056</f>
        <v/>
      </c>
      <c r="R1985" s="64" t="str">
        <f>Ringkasan!R2056</f>
        <v/>
      </c>
      <c r="S1985" s="64" t="str">
        <f>Ringkasan!S2056</f>
        <v/>
      </c>
      <c r="T1985" s="64" t="str">
        <f>Ringkasan!T2056</f>
        <v/>
      </c>
      <c r="U1985" s="64" t="str">
        <f>Ringkasan!U2056</f>
        <v/>
      </c>
      <c r="V1985" s="64" t="str">
        <f>Ringkasan!V2056</f>
        <v/>
      </c>
      <c r="W1985" s="64" t="str">
        <f>Ringkasan!W2056</f>
        <v/>
      </c>
      <c r="X1985" s="64" t="str">
        <f>Ringkasan!X2056</f>
        <v/>
      </c>
      <c r="Y1985" s="64" t="str">
        <f>Ringkasan!Y2056</f>
        <v/>
      </c>
      <c r="Z1985" s="64" t="str">
        <f>Ringkasan!Z2056</f>
        <v/>
      </c>
      <c r="AA1985" s="64" t="str">
        <f>Ringkasan!AA2056</f>
        <v/>
      </c>
      <c r="AB1985" s="64" t="str">
        <f>Ringkasan!AB2056</f>
        <v/>
      </c>
    </row>
    <row r="1986">
      <c r="A1986" s="64" t="str">
        <f>Ringkasan!A2057</f>
        <v/>
      </c>
      <c r="B1986" s="64" t="str">
        <f>Ringkasan!B2057</f>
        <v/>
      </c>
      <c r="C1986" s="64" t="str">
        <f>Ringkasan!C2057</f>
        <v/>
      </c>
      <c r="D1986" s="64" t="str">
        <f>Ringkasan!D2057</f>
        <v/>
      </c>
      <c r="E1986" s="64" t="str">
        <f>Ringkasan!E2057</f>
        <v/>
      </c>
      <c r="F1986" s="64" t="str">
        <f>Ringkasan!F2057</f>
        <v/>
      </c>
      <c r="G1986" s="64" t="str">
        <f>Ringkasan!G2057</f>
        <v/>
      </c>
      <c r="H1986" s="64" t="str">
        <f>Ringkasan!H2057</f>
        <v/>
      </c>
      <c r="I1986" s="64" t="str">
        <f>Ringkasan!I2057</f>
        <v/>
      </c>
      <c r="J1986" s="64" t="str">
        <f>Ringkasan!J2057</f>
        <v/>
      </c>
      <c r="K1986" s="64" t="str">
        <f>Ringkasan!K2057</f>
        <v/>
      </c>
      <c r="L1986" s="64" t="str">
        <f>Ringkasan!L2057</f>
        <v/>
      </c>
      <c r="M1986" s="64" t="str">
        <f>Ringkasan!M2057</f>
        <v/>
      </c>
      <c r="N1986" s="64" t="str">
        <f>Ringkasan!N2057</f>
        <v/>
      </c>
      <c r="O1986" s="64" t="str">
        <f>Ringkasan!O2057</f>
        <v/>
      </c>
      <c r="P1986" s="64" t="str">
        <f>Ringkasan!P2057</f>
        <v/>
      </c>
      <c r="Q1986" s="64" t="str">
        <f>Ringkasan!Q2057</f>
        <v/>
      </c>
      <c r="R1986" s="64" t="str">
        <f>Ringkasan!R2057</f>
        <v/>
      </c>
      <c r="S1986" s="64" t="str">
        <f>Ringkasan!S2057</f>
        <v/>
      </c>
      <c r="T1986" s="64" t="str">
        <f>Ringkasan!T2057</f>
        <v/>
      </c>
      <c r="U1986" s="64" t="str">
        <f>Ringkasan!U2057</f>
        <v/>
      </c>
      <c r="V1986" s="64" t="str">
        <f>Ringkasan!V2057</f>
        <v/>
      </c>
      <c r="W1986" s="64" t="str">
        <f>Ringkasan!W2057</f>
        <v/>
      </c>
      <c r="X1986" s="64" t="str">
        <f>Ringkasan!X2057</f>
        <v/>
      </c>
      <c r="Y1986" s="64" t="str">
        <f>Ringkasan!Y2057</f>
        <v/>
      </c>
      <c r="Z1986" s="64" t="str">
        <f>Ringkasan!Z2057</f>
        <v/>
      </c>
      <c r="AA1986" s="64" t="str">
        <f>Ringkasan!AA2057</f>
        <v/>
      </c>
      <c r="AB1986" s="64" t="str">
        <f>Ringkasan!AB2057</f>
        <v/>
      </c>
    </row>
    <row r="1987">
      <c r="A1987" s="64" t="str">
        <f>Ringkasan!A2058</f>
        <v/>
      </c>
      <c r="B1987" s="64" t="str">
        <f>Ringkasan!B2058</f>
        <v/>
      </c>
      <c r="C1987" s="64" t="str">
        <f>Ringkasan!C2058</f>
        <v/>
      </c>
      <c r="D1987" s="64" t="str">
        <f>Ringkasan!D2058</f>
        <v/>
      </c>
      <c r="E1987" s="64" t="str">
        <f>Ringkasan!E2058</f>
        <v/>
      </c>
      <c r="F1987" s="64" t="str">
        <f>Ringkasan!F2058</f>
        <v/>
      </c>
      <c r="G1987" s="64" t="str">
        <f>Ringkasan!G2058</f>
        <v/>
      </c>
      <c r="H1987" s="64" t="str">
        <f>Ringkasan!H2058</f>
        <v/>
      </c>
      <c r="I1987" s="64" t="str">
        <f>Ringkasan!I2058</f>
        <v/>
      </c>
      <c r="J1987" s="64" t="str">
        <f>Ringkasan!J2058</f>
        <v/>
      </c>
      <c r="K1987" s="64" t="str">
        <f>Ringkasan!K2058</f>
        <v/>
      </c>
      <c r="L1987" s="64" t="str">
        <f>Ringkasan!L2058</f>
        <v/>
      </c>
      <c r="M1987" s="64" t="str">
        <f>Ringkasan!M2058</f>
        <v/>
      </c>
      <c r="N1987" s="64" t="str">
        <f>Ringkasan!N2058</f>
        <v/>
      </c>
      <c r="O1987" s="64" t="str">
        <f>Ringkasan!O2058</f>
        <v/>
      </c>
      <c r="P1987" s="64" t="str">
        <f>Ringkasan!P2058</f>
        <v/>
      </c>
      <c r="Q1987" s="64" t="str">
        <f>Ringkasan!Q2058</f>
        <v/>
      </c>
      <c r="R1987" s="64" t="str">
        <f>Ringkasan!R2058</f>
        <v/>
      </c>
      <c r="S1987" s="64" t="str">
        <f>Ringkasan!S2058</f>
        <v/>
      </c>
      <c r="T1987" s="64" t="str">
        <f>Ringkasan!T2058</f>
        <v/>
      </c>
      <c r="U1987" s="64" t="str">
        <f>Ringkasan!U2058</f>
        <v/>
      </c>
      <c r="V1987" s="64" t="str">
        <f>Ringkasan!V2058</f>
        <v/>
      </c>
      <c r="W1987" s="64" t="str">
        <f>Ringkasan!W2058</f>
        <v/>
      </c>
      <c r="X1987" s="64" t="str">
        <f>Ringkasan!X2058</f>
        <v/>
      </c>
      <c r="Y1987" s="64" t="str">
        <f>Ringkasan!Y2058</f>
        <v/>
      </c>
      <c r="Z1987" s="64" t="str">
        <f>Ringkasan!Z2058</f>
        <v/>
      </c>
      <c r="AA1987" s="64" t="str">
        <f>Ringkasan!AA2058</f>
        <v/>
      </c>
      <c r="AB1987" s="64" t="str">
        <f>Ringkasan!AB2058</f>
        <v/>
      </c>
    </row>
    <row r="1988">
      <c r="A1988" s="64" t="str">
        <f>Ringkasan!A2059</f>
        <v/>
      </c>
      <c r="B1988" s="64" t="str">
        <f>Ringkasan!B2059</f>
        <v/>
      </c>
      <c r="C1988" s="64" t="str">
        <f>Ringkasan!C2059</f>
        <v/>
      </c>
      <c r="D1988" s="64" t="str">
        <f>Ringkasan!D2059</f>
        <v/>
      </c>
      <c r="E1988" s="64" t="str">
        <f>Ringkasan!E2059</f>
        <v/>
      </c>
      <c r="F1988" s="64" t="str">
        <f>Ringkasan!F2059</f>
        <v/>
      </c>
      <c r="G1988" s="64" t="str">
        <f>Ringkasan!G2059</f>
        <v/>
      </c>
      <c r="H1988" s="64" t="str">
        <f>Ringkasan!H2059</f>
        <v/>
      </c>
      <c r="I1988" s="64" t="str">
        <f>Ringkasan!I2059</f>
        <v/>
      </c>
      <c r="J1988" s="64" t="str">
        <f>Ringkasan!J2059</f>
        <v/>
      </c>
      <c r="K1988" s="64" t="str">
        <f>Ringkasan!K2059</f>
        <v/>
      </c>
      <c r="L1988" s="64" t="str">
        <f>Ringkasan!L2059</f>
        <v/>
      </c>
      <c r="M1988" s="64" t="str">
        <f>Ringkasan!M2059</f>
        <v/>
      </c>
      <c r="N1988" s="64" t="str">
        <f>Ringkasan!N2059</f>
        <v/>
      </c>
      <c r="O1988" s="64" t="str">
        <f>Ringkasan!O2059</f>
        <v/>
      </c>
      <c r="P1988" s="64" t="str">
        <f>Ringkasan!P2059</f>
        <v/>
      </c>
      <c r="Q1988" s="64" t="str">
        <f>Ringkasan!Q2059</f>
        <v/>
      </c>
      <c r="R1988" s="64" t="str">
        <f>Ringkasan!R2059</f>
        <v/>
      </c>
      <c r="S1988" s="64" t="str">
        <f>Ringkasan!S2059</f>
        <v/>
      </c>
      <c r="T1988" s="64" t="str">
        <f>Ringkasan!T2059</f>
        <v/>
      </c>
      <c r="U1988" s="64" t="str">
        <f>Ringkasan!U2059</f>
        <v/>
      </c>
      <c r="V1988" s="64" t="str">
        <f>Ringkasan!V2059</f>
        <v/>
      </c>
      <c r="W1988" s="64" t="str">
        <f>Ringkasan!W2059</f>
        <v/>
      </c>
      <c r="X1988" s="64" t="str">
        <f>Ringkasan!X2059</f>
        <v/>
      </c>
      <c r="Y1988" s="64" t="str">
        <f>Ringkasan!Y2059</f>
        <v/>
      </c>
      <c r="Z1988" s="64" t="str">
        <f>Ringkasan!Z2059</f>
        <v/>
      </c>
      <c r="AA1988" s="64" t="str">
        <f>Ringkasan!AA2059</f>
        <v/>
      </c>
      <c r="AB1988" s="64" t="str">
        <f>Ringkasan!AB2059</f>
        <v/>
      </c>
    </row>
    <row r="1989">
      <c r="A1989" s="64" t="str">
        <f>Ringkasan!A2060</f>
        <v/>
      </c>
      <c r="B1989" s="64" t="str">
        <f>Ringkasan!B2060</f>
        <v/>
      </c>
      <c r="C1989" s="64" t="str">
        <f>Ringkasan!C2060</f>
        <v/>
      </c>
      <c r="D1989" s="64" t="str">
        <f>Ringkasan!D2060</f>
        <v/>
      </c>
      <c r="E1989" s="64" t="str">
        <f>Ringkasan!E2060</f>
        <v/>
      </c>
      <c r="F1989" s="64" t="str">
        <f>Ringkasan!F2060</f>
        <v/>
      </c>
      <c r="G1989" s="64" t="str">
        <f>Ringkasan!G2060</f>
        <v/>
      </c>
      <c r="H1989" s="64" t="str">
        <f>Ringkasan!H2060</f>
        <v/>
      </c>
      <c r="I1989" s="64" t="str">
        <f>Ringkasan!I2060</f>
        <v/>
      </c>
      <c r="J1989" s="64" t="str">
        <f>Ringkasan!J2060</f>
        <v/>
      </c>
      <c r="K1989" s="64" t="str">
        <f>Ringkasan!K2060</f>
        <v/>
      </c>
      <c r="L1989" s="64" t="str">
        <f>Ringkasan!L2060</f>
        <v/>
      </c>
      <c r="M1989" s="64" t="str">
        <f>Ringkasan!M2060</f>
        <v/>
      </c>
      <c r="N1989" s="64" t="str">
        <f>Ringkasan!N2060</f>
        <v/>
      </c>
      <c r="O1989" s="64" t="str">
        <f>Ringkasan!O2060</f>
        <v/>
      </c>
      <c r="P1989" s="64" t="str">
        <f>Ringkasan!P2060</f>
        <v/>
      </c>
      <c r="Q1989" s="64" t="str">
        <f>Ringkasan!Q2060</f>
        <v/>
      </c>
      <c r="R1989" s="64" t="str">
        <f>Ringkasan!R2060</f>
        <v/>
      </c>
      <c r="S1989" s="64" t="str">
        <f>Ringkasan!S2060</f>
        <v/>
      </c>
      <c r="T1989" s="64" t="str">
        <f>Ringkasan!T2060</f>
        <v/>
      </c>
      <c r="U1989" s="64" t="str">
        <f>Ringkasan!U2060</f>
        <v/>
      </c>
      <c r="V1989" s="64" t="str">
        <f>Ringkasan!V2060</f>
        <v/>
      </c>
      <c r="W1989" s="64" t="str">
        <f>Ringkasan!W2060</f>
        <v/>
      </c>
      <c r="X1989" s="64" t="str">
        <f>Ringkasan!X2060</f>
        <v/>
      </c>
      <c r="Y1989" s="64" t="str">
        <f>Ringkasan!Y2060</f>
        <v/>
      </c>
      <c r="Z1989" s="64" t="str">
        <f>Ringkasan!Z2060</f>
        <v/>
      </c>
      <c r="AA1989" s="64" t="str">
        <f>Ringkasan!AA2060</f>
        <v/>
      </c>
      <c r="AB1989" s="64" t="str">
        <f>Ringkasan!AB2060</f>
        <v/>
      </c>
    </row>
    <row r="1990">
      <c r="A1990" s="64" t="str">
        <f>Ringkasan!A2061</f>
        <v/>
      </c>
      <c r="B1990" s="64" t="str">
        <f>Ringkasan!B2061</f>
        <v/>
      </c>
      <c r="C1990" s="64" t="str">
        <f>Ringkasan!C2061</f>
        <v/>
      </c>
      <c r="D1990" s="64" t="str">
        <f>Ringkasan!D2061</f>
        <v/>
      </c>
      <c r="E1990" s="64" t="str">
        <f>Ringkasan!E2061</f>
        <v/>
      </c>
      <c r="F1990" s="64" t="str">
        <f>Ringkasan!F2061</f>
        <v/>
      </c>
      <c r="G1990" s="64" t="str">
        <f>Ringkasan!G2061</f>
        <v/>
      </c>
      <c r="H1990" s="64" t="str">
        <f>Ringkasan!H2061</f>
        <v/>
      </c>
      <c r="I1990" s="64" t="str">
        <f>Ringkasan!I2061</f>
        <v/>
      </c>
      <c r="J1990" s="64" t="str">
        <f>Ringkasan!J2061</f>
        <v/>
      </c>
      <c r="K1990" s="64" t="str">
        <f>Ringkasan!K2061</f>
        <v/>
      </c>
      <c r="L1990" s="64" t="str">
        <f>Ringkasan!L2061</f>
        <v/>
      </c>
      <c r="M1990" s="64" t="str">
        <f>Ringkasan!M2061</f>
        <v/>
      </c>
      <c r="N1990" s="64" t="str">
        <f>Ringkasan!N2061</f>
        <v/>
      </c>
      <c r="O1990" s="64" t="str">
        <f>Ringkasan!O2061</f>
        <v/>
      </c>
      <c r="P1990" s="64" t="str">
        <f>Ringkasan!P2061</f>
        <v/>
      </c>
      <c r="Q1990" s="64" t="str">
        <f>Ringkasan!Q2061</f>
        <v/>
      </c>
      <c r="R1990" s="64" t="str">
        <f>Ringkasan!R2061</f>
        <v/>
      </c>
      <c r="S1990" s="64" t="str">
        <f>Ringkasan!S2061</f>
        <v/>
      </c>
      <c r="T1990" s="64" t="str">
        <f>Ringkasan!T2061</f>
        <v/>
      </c>
      <c r="U1990" s="64" t="str">
        <f>Ringkasan!U2061</f>
        <v/>
      </c>
      <c r="V1990" s="64" t="str">
        <f>Ringkasan!V2061</f>
        <v/>
      </c>
      <c r="W1990" s="64" t="str">
        <f>Ringkasan!W2061</f>
        <v/>
      </c>
      <c r="X1990" s="64" t="str">
        <f>Ringkasan!X2061</f>
        <v/>
      </c>
      <c r="Y1990" s="64" t="str">
        <f>Ringkasan!Y2061</f>
        <v/>
      </c>
      <c r="Z1990" s="64" t="str">
        <f>Ringkasan!Z2061</f>
        <v/>
      </c>
      <c r="AA1990" s="64" t="str">
        <f>Ringkasan!AA2061</f>
        <v/>
      </c>
      <c r="AB1990" s="64" t="str">
        <f>Ringkasan!AB2061</f>
        <v/>
      </c>
    </row>
    <row r="1991">
      <c r="A1991" s="64" t="str">
        <f>Ringkasan!A2062</f>
        <v/>
      </c>
      <c r="B1991" s="64" t="str">
        <f>Ringkasan!B2062</f>
        <v/>
      </c>
      <c r="C1991" s="64" t="str">
        <f>Ringkasan!C2062</f>
        <v/>
      </c>
      <c r="D1991" s="64" t="str">
        <f>Ringkasan!D2062</f>
        <v/>
      </c>
      <c r="E1991" s="64" t="str">
        <f>Ringkasan!E2062</f>
        <v/>
      </c>
      <c r="F1991" s="64" t="str">
        <f>Ringkasan!F2062</f>
        <v/>
      </c>
      <c r="G1991" s="64" t="str">
        <f>Ringkasan!G2062</f>
        <v/>
      </c>
      <c r="H1991" s="64" t="str">
        <f>Ringkasan!H2062</f>
        <v/>
      </c>
      <c r="I1991" s="64" t="str">
        <f>Ringkasan!I2062</f>
        <v/>
      </c>
      <c r="J1991" s="64" t="str">
        <f>Ringkasan!J2062</f>
        <v/>
      </c>
      <c r="K1991" s="64" t="str">
        <f>Ringkasan!K2062</f>
        <v/>
      </c>
      <c r="L1991" s="64" t="str">
        <f>Ringkasan!L2062</f>
        <v/>
      </c>
      <c r="M1991" s="64" t="str">
        <f>Ringkasan!M2062</f>
        <v/>
      </c>
      <c r="N1991" s="64" t="str">
        <f>Ringkasan!N2062</f>
        <v/>
      </c>
      <c r="O1991" s="64" t="str">
        <f>Ringkasan!O2062</f>
        <v/>
      </c>
      <c r="P1991" s="64" t="str">
        <f>Ringkasan!P2062</f>
        <v/>
      </c>
      <c r="Q1991" s="64" t="str">
        <f>Ringkasan!Q2062</f>
        <v/>
      </c>
      <c r="R1991" s="64" t="str">
        <f>Ringkasan!R2062</f>
        <v/>
      </c>
      <c r="S1991" s="64" t="str">
        <f>Ringkasan!S2062</f>
        <v/>
      </c>
      <c r="T1991" s="64" t="str">
        <f>Ringkasan!T2062</f>
        <v/>
      </c>
      <c r="U1991" s="64" t="str">
        <f>Ringkasan!U2062</f>
        <v/>
      </c>
      <c r="V1991" s="64" t="str">
        <f>Ringkasan!V2062</f>
        <v/>
      </c>
      <c r="W1991" s="64" t="str">
        <f>Ringkasan!W2062</f>
        <v/>
      </c>
      <c r="X1991" s="64" t="str">
        <f>Ringkasan!X2062</f>
        <v/>
      </c>
      <c r="Y1991" s="64" t="str">
        <f>Ringkasan!Y2062</f>
        <v/>
      </c>
      <c r="Z1991" s="64" t="str">
        <f>Ringkasan!Z2062</f>
        <v/>
      </c>
      <c r="AA1991" s="64" t="str">
        <f>Ringkasan!AA2062</f>
        <v/>
      </c>
      <c r="AB1991" s="64" t="str">
        <f>Ringkasan!AB2062</f>
        <v/>
      </c>
    </row>
    <row r="1992">
      <c r="A1992" s="64" t="str">
        <f>Ringkasan!A2063</f>
        <v/>
      </c>
      <c r="B1992" s="64" t="str">
        <f>Ringkasan!B2063</f>
        <v/>
      </c>
      <c r="C1992" s="64" t="str">
        <f>Ringkasan!C2063</f>
        <v/>
      </c>
      <c r="D1992" s="64" t="str">
        <f>Ringkasan!D2063</f>
        <v/>
      </c>
      <c r="E1992" s="64" t="str">
        <f>Ringkasan!E2063</f>
        <v/>
      </c>
      <c r="F1992" s="64" t="str">
        <f>Ringkasan!F2063</f>
        <v/>
      </c>
      <c r="G1992" s="64" t="str">
        <f>Ringkasan!G2063</f>
        <v/>
      </c>
      <c r="H1992" s="64" t="str">
        <f>Ringkasan!H2063</f>
        <v/>
      </c>
      <c r="I1992" s="64" t="str">
        <f>Ringkasan!I2063</f>
        <v/>
      </c>
      <c r="J1992" s="64" t="str">
        <f>Ringkasan!J2063</f>
        <v/>
      </c>
      <c r="K1992" s="64" t="str">
        <f>Ringkasan!K2063</f>
        <v/>
      </c>
      <c r="L1992" s="64" t="str">
        <f>Ringkasan!L2063</f>
        <v/>
      </c>
      <c r="M1992" s="64" t="str">
        <f>Ringkasan!M2063</f>
        <v/>
      </c>
      <c r="N1992" s="64" t="str">
        <f>Ringkasan!N2063</f>
        <v/>
      </c>
      <c r="O1992" s="64" t="str">
        <f>Ringkasan!O2063</f>
        <v/>
      </c>
      <c r="P1992" s="64" t="str">
        <f>Ringkasan!P2063</f>
        <v/>
      </c>
      <c r="Q1992" s="64" t="str">
        <f>Ringkasan!Q2063</f>
        <v/>
      </c>
      <c r="R1992" s="64" t="str">
        <f>Ringkasan!R2063</f>
        <v/>
      </c>
      <c r="S1992" s="64" t="str">
        <f>Ringkasan!S2063</f>
        <v/>
      </c>
      <c r="T1992" s="64" t="str">
        <f>Ringkasan!T2063</f>
        <v/>
      </c>
      <c r="U1992" s="64" t="str">
        <f>Ringkasan!U2063</f>
        <v/>
      </c>
      <c r="V1992" s="64" t="str">
        <f>Ringkasan!V2063</f>
        <v/>
      </c>
      <c r="W1992" s="64" t="str">
        <f>Ringkasan!W2063</f>
        <v/>
      </c>
      <c r="X1992" s="64" t="str">
        <f>Ringkasan!X2063</f>
        <v/>
      </c>
      <c r="Y1992" s="64" t="str">
        <f>Ringkasan!Y2063</f>
        <v/>
      </c>
      <c r="Z1992" s="64" t="str">
        <f>Ringkasan!Z2063</f>
        <v/>
      </c>
      <c r="AA1992" s="64" t="str">
        <f>Ringkasan!AA2063</f>
        <v/>
      </c>
      <c r="AB1992" s="64" t="str">
        <f>Ringkasan!AB2063</f>
        <v/>
      </c>
    </row>
    <row r="1993">
      <c r="A1993" s="64" t="str">
        <f>Ringkasan!A2064</f>
        <v/>
      </c>
      <c r="B1993" s="64" t="str">
        <f>Ringkasan!B2064</f>
        <v/>
      </c>
      <c r="C1993" s="64" t="str">
        <f>Ringkasan!C2064</f>
        <v/>
      </c>
      <c r="D1993" s="64" t="str">
        <f>Ringkasan!D2064</f>
        <v/>
      </c>
      <c r="E1993" s="64" t="str">
        <f>Ringkasan!E2064</f>
        <v/>
      </c>
      <c r="F1993" s="64" t="str">
        <f>Ringkasan!F2064</f>
        <v/>
      </c>
      <c r="G1993" s="64" t="str">
        <f>Ringkasan!G2064</f>
        <v/>
      </c>
      <c r="H1993" s="64" t="str">
        <f>Ringkasan!H2064</f>
        <v/>
      </c>
      <c r="I1993" s="64" t="str">
        <f>Ringkasan!I2064</f>
        <v/>
      </c>
      <c r="J1993" s="64" t="str">
        <f>Ringkasan!J2064</f>
        <v/>
      </c>
      <c r="K1993" s="64" t="str">
        <f>Ringkasan!K2064</f>
        <v/>
      </c>
      <c r="L1993" s="64" t="str">
        <f>Ringkasan!L2064</f>
        <v/>
      </c>
      <c r="M1993" s="64" t="str">
        <f>Ringkasan!M2064</f>
        <v/>
      </c>
      <c r="N1993" s="64" t="str">
        <f>Ringkasan!N2064</f>
        <v/>
      </c>
      <c r="O1993" s="64" t="str">
        <f>Ringkasan!O2064</f>
        <v/>
      </c>
      <c r="P1993" s="64" t="str">
        <f>Ringkasan!P2064</f>
        <v/>
      </c>
      <c r="Q1993" s="64" t="str">
        <f>Ringkasan!Q2064</f>
        <v/>
      </c>
      <c r="R1993" s="64" t="str">
        <f>Ringkasan!R2064</f>
        <v/>
      </c>
      <c r="S1993" s="64" t="str">
        <f>Ringkasan!S2064</f>
        <v/>
      </c>
      <c r="T1993" s="64" t="str">
        <f>Ringkasan!T2064</f>
        <v/>
      </c>
      <c r="U1993" s="64" t="str">
        <f>Ringkasan!U2064</f>
        <v/>
      </c>
      <c r="V1993" s="64" t="str">
        <f>Ringkasan!V2064</f>
        <v/>
      </c>
      <c r="W1993" s="64" t="str">
        <f>Ringkasan!W2064</f>
        <v/>
      </c>
      <c r="X1993" s="64" t="str">
        <f>Ringkasan!X2064</f>
        <v/>
      </c>
      <c r="Y1993" s="64" t="str">
        <f>Ringkasan!Y2064</f>
        <v/>
      </c>
      <c r="Z1993" s="64" t="str">
        <f>Ringkasan!Z2064</f>
        <v/>
      </c>
      <c r="AA1993" s="64" t="str">
        <f>Ringkasan!AA2064</f>
        <v/>
      </c>
      <c r="AB1993" s="64" t="str">
        <f>Ringkasan!AB2064</f>
        <v/>
      </c>
    </row>
    <row r="1994">
      <c r="A1994" s="64" t="str">
        <f>Ringkasan!A2065</f>
        <v/>
      </c>
      <c r="B1994" s="64" t="str">
        <f>Ringkasan!B2065</f>
        <v/>
      </c>
      <c r="C1994" s="64" t="str">
        <f>Ringkasan!C2065</f>
        <v/>
      </c>
      <c r="D1994" s="64" t="str">
        <f>Ringkasan!D2065</f>
        <v/>
      </c>
      <c r="E1994" s="64" t="str">
        <f>Ringkasan!E2065</f>
        <v/>
      </c>
      <c r="F1994" s="64" t="str">
        <f>Ringkasan!F2065</f>
        <v/>
      </c>
      <c r="G1994" s="64" t="str">
        <f>Ringkasan!G2065</f>
        <v/>
      </c>
      <c r="H1994" s="64" t="str">
        <f>Ringkasan!H2065</f>
        <v/>
      </c>
      <c r="I1994" s="64" t="str">
        <f>Ringkasan!I2065</f>
        <v/>
      </c>
      <c r="J1994" s="64" t="str">
        <f>Ringkasan!J2065</f>
        <v/>
      </c>
      <c r="K1994" s="64" t="str">
        <f>Ringkasan!K2065</f>
        <v/>
      </c>
      <c r="L1994" s="64" t="str">
        <f>Ringkasan!L2065</f>
        <v/>
      </c>
      <c r="M1994" s="64" t="str">
        <f>Ringkasan!M2065</f>
        <v/>
      </c>
      <c r="N1994" s="64" t="str">
        <f>Ringkasan!N2065</f>
        <v/>
      </c>
      <c r="O1994" s="64" t="str">
        <f>Ringkasan!O2065</f>
        <v/>
      </c>
      <c r="P1994" s="64" t="str">
        <f>Ringkasan!P2065</f>
        <v/>
      </c>
      <c r="Q1994" s="64" t="str">
        <f>Ringkasan!Q2065</f>
        <v/>
      </c>
      <c r="R1994" s="64" t="str">
        <f>Ringkasan!R2065</f>
        <v/>
      </c>
      <c r="S1994" s="64" t="str">
        <f>Ringkasan!S2065</f>
        <v/>
      </c>
      <c r="T1994" s="64" t="str">
        <f>Ringkasan!T2065</f>
        <v/>
      </c>
      <c r="U1994" s="64" t="str">
        <f>Ringkasan!U2065</f>
        <v/>
      </c>
      <c r="V1994" s="64" t="str">
        <f>Ringkasan!V2065</f>
        <v/>
      </c>
      <c r="W1994" s="64" t="str">
        <f>Ringkasan!W2065</f>
        <v/>
      </c>
      <c r="X1994" s="64" t="str">
        <f>Ringkasan!X2065</f>
        <v/>
      </c>
      <c r="Y1994" s="64" t="str">
        <f>Ringkasan!Y2065</f>
        <v/>
      </c>
      <c r="Z1994" s="64" t="str">
        <f>Ringkasan!Z2065</f>
        <v/>
      </c>
      <c r="AA1994" s="64" t="str">
        <f>Ringkasan!AA2065</f>
        <v/>
      </c>
      <c r="AB1994" s="64" t="str">
        <f>Ringkasan!AB2065</f>
        <v/>
      </c>
    </row>
    <row r="1995">
      <c r="A1995" s="64" t="str">
        <f>Ringkasan!A2066</f>
        <v/>
      </c>
      <c r="B1995" s="64" t="str">
        <f>Ringkasan!B2066</f>
        <v/>
      </c>
      <c r="C1995" s="64" t="str">
        <f>Ringkasan!C2066</f>
        <v/>
      </c>
      <c r="D1995" s="64" t="str">
        <f>Ringkasan!D2066</f>
        <v/>
      </c>
      <c r="E1995" s="64" t="str">
        <f>Ringkasan!E2066</f>
        <v/>
      </c>
      <c r="F1995" s="64" t="str">
        <f>Ringkasan!F2066</f>
        <v/>
      </c>
      <c r="G1995" s="64" t="str">
        <f>Ringkasan!G2066</f>
        <v/>
      </c>
      <c r="H1995" s="64" t="str">
        <f>Ringkasan!H2066</f>
        <v/>
      </c>
      <c r="I1995" s="64" t="str">
        <f>Ringkasan!I2066</f>
        <v/>
      </c>
      <c r="J1995" s="64" t="str">
        <f>Ringkasan!J2066</f>
        <v/>
      </c>
      <c r="K1995" s="64" t="str">
        <f>Ringkasan!K2066</f>
        <v/>
      </c>
      <c r="L1995" s="64" t="str">
        <f>Ringkasan!L2066</f>
        <v/>
      </c>
      <c r="M1995" s="64" t="str">
        <f>Ringkasan!M2066</f>
        <v/>
      </c>
      <c r="N1995" s="64" t="str">
        <f>Ringkasan!N2066</f>
        <v/>
      </c>
      <c r="O1995" s="64" t="str">
        <f>Ringkasan!O2066</f>
        <v/>
      </c>
      <c r="P1995" s="64" t="str">
        <f>Ringkasan!P2066</f>
        <v/>
      </c>
      <c r="Q1995" s="64" t="str">
        <f>Ringkasan!Q2066</f>
        <v/>
      </c>
      <c r="R1995" s="64" t="str">
        <f>Ringkasan!R2066</f>
        <v/>
      </c>
      <c r="S1995" s="64" t="str">
        <f>Ringkasan!S2066</f>
        <v/>
      </c>
      <c r="T1995" s="64" t="str">
        <f>Ringkasan!T2066</f>
        <v/>
      </c>
      <c r="U1995" s="64" t="str">
        <f>Ringkasan!U2066</f>
        <v/>
      </c>
      <c r="V1995" s="64" t="str">
        <f>Ringkasan!V2066</f>
        <v/>
      </c>
      <c r="W1995" s="64" t="str">
        <f>Ringkasan!W2066</f>
        <v/>
      </c>
      <c r="X1995" s="64" t="str">
        <f>Ringkasan!X2066</f>
        <v/>
      </c>
      <c r="Y1995" s="64" t="str">
        <f>Ringkasan!Y2066</f>
        <v/>
      </c>
      <c r="Z1995" s="64" t="str">
        <f>Ringkasan!Z2066</f>
        <v/>
      </c>
      <c r="AA1995" s="64" t="str">
        <f>Ringkasan!AA2066</f>
        <v/>
      </c>
      <c r="AB1995" s="64" t="str">
        <f>Ringkasan!AB2066</f>
        <v/>
      </c>
    </row>
    <row r="1996">
      <c r="A1996" s="64" t="str">
        <f>Ringkasan!A2067</f>
        <v/>
      </c>
      <c r="B1996" s="64" t="str">
        <f>Ringkasan!B2067</f>
        <v/>
      </c>
      <c r="C1996" s="64" t="str">
        <f>Ringkasan!C2067</f>
        <v/>
      </c>
      <c r="D1996" s="64" t="str">
        <f>Ringkasan!D2067</f>
        <v/>
      </c>
      <c r="E1996" s="64" t="str">
        <f>Ringkasan!E2067</f>
        <v/>
      </c>
      <c r="F1996" s="64" t="str">
        <f>Ringkasan!F2067</f>
        <v/>
      </c>
      <c r="G1996" s="64" t="str">
        <f>Ringkasan!G2067</f>
        <v/>
      </c>
      <c r="H1996" s="64" t="str">
        <f>Ringkasan!H2067</f>
        <v/>
      </c>
      <c r="I1996" s="64" t="str">
        <f>Ringkasan!I2067</f>
        <v/>
      </c>
      <c r="J1996" s="64" t="str">
        <f>Ringkasan!J2067</f>
        <v/>
      </c>
      <c r="K1996" s="64" t="str">
        <f>Ringkasan!K2067</f>
        <v/>
      </c>
      <c r="L1996" s="64" t="str">
        <f>Ringkasan!L2067</f>
        <v/>
      </c>
      <c r="M1996" s="64" t="str">
        <f>Ringkasan!M2067</f>
        <v/>
      </c>
      <c r="N1996" s="64" t="str">
        <f>Ringkasan!N2067</f>
        <v/>
      </c>
      <c r="O1996" s="64" t="str">
        <f>Ringkasan!O2067</f>
        <v/>
      </c>
      <c r="P1996" s="64" t="str">
        <f>Ringkasan!P2067</f>
        <v/>
      </c>
      <c r="Q1996" s="64" t="str">
        <f>Ringkasan!Q2067</f>
        <v/>
      </c>
      <c r="R1996" s="64" t="str">
        <f>Ringkasan!R2067</f>
        <v/>
      </c>
      <c r="S1996" s="64" t="str">
        <f>Ringkasan!S2067</f>
        <v/>
      </c>
      <c r="T1996" s="64" t="str">
        <f>Ringkasan!T2067</f>
        <v/>
      </c>
      <c r="U1996" s="64" t="str">
        <f>Ringkasan!U2067</f>
        <v/>
      </c>
      <c r="V1996" s="64" t="str">
        <f>Ringkasan!V2067</f>
        <v/>
      </c>
      <c r="W1996" s="64" t="str">
        <f>Ringkasan!W2067</f>
        <v/>
      </c>
      <c r="X1996" s="64" t="str">
        <f>Ringkasan!X2067</f>
        <v/>
      </c>
      <c r="Y1996" s="64" t="str">
        <f>Ringkasan!Y2067</f>
        <v/>
      </c>
      <c r="Z1996" s="64" t="str">
        <f>Ringkasan!Z2067</f>
        <v/>
      </c>
      <c r="AA1996" s="64" t="str">
        <f>Ringkasan!AA2067</f>
        <v/>
      </c>
      <c r="AB1996" s="64" t="str">
        <f>Ringkasan!AB2067</f>
        <v/>
      </c>
    </row>
    <row r="1997">
      <c r="A1997" s="64" t="str">
        <f>Ringkasan!A2068</f>
        <v/>
      </c>
      <c r="B1997" s="64" t="str">
        <f>Ringkasan!B2068</f>
        <v/>
      </c>
      <c r="C1997" s="64" t="str">
        <f>Ringkasan!C2068</f>
        <v/>
      </c>
      <c r="D1997" s="64" t="str">
        <f>Ringkasan!D2068</f>
        <v/>
      </c>
      <c r="E1997" s="64" t="str">
        <f>Ringkasan!E2068</f>
        <v/>
      </c>
      <c r="F1997" s="64" t="str">
        <f>Ringkasan!F2068</f>
        <v/>
      </c>
      <c r="G1997" s="64" t="str">
        <f>Ringkasan!G2068</f>
        <v/>
      </c>
      <c r="H1997" s="64" t="str">
        <f>Ringkasan!H2068</f>
        <v/>
      </c>
      <c r="I1997" s="64" t="str">
        <f>Ringkasan!I2068</f>
        <v/>
      </c>
      <c r="J1997" s="64" t="str">
        <f>Ringkasan!J2068</f>
        <v/>
      </c>
      <c r="K1997" s="64" t="str">
        <f>Ringkasan!K2068</f>
        <v/>
      </c>
      <c r="L1997" s="64" t="str">
        <f>Ringkasan!L2068</f>
        <v/>
      </c>
      <c r="M1997" s="64" t="str">
        <f>Ringkasan!M2068</f>
        <v/>
      </c>
      <c r="N1997" s="64" t="str">
        <f>Ringkasan!N2068</f>
        <v/>
      </c>
      <c r="O1997" s="64" t="str">
        <f>Ringkasan!O2068</f>
        <v/>
      </c>
      <c r="P1997" s="64" t="str">
        <f>Ringkasan!P2068</f>
        <v/>
      </c>
      <c r="Q1997" s="64" t="str">
        <f>Ringkasan!Q2068</f>
        <v/>
      </c>
      <c r="R1997" s="64" t="str">
        <f>Ringkasan!R2068</f>
        <v/>
      </c>
      <c r="S1997" s="64" t="str">
        <f>Ringkasan!S2068</f>
        <v/>
      </c>
      <c r="T1997" s="64" t="str">
        <f>Ringkasan!T2068</f>
        <v/>
      </c>
      <c r="U1997" s="64" t="str">
        <f>Ringkasan!U2068</f>
        <v/>
      </c>
      <c r="V1997" s="64" t="str">
        <f>Ringkasan!V2068</f>
        <v/>
      </c>
      <c r="W1997" s="64" t="str">
        <f>Ringkasan!W2068</f>
        <v/>
      </c>
      <c r="X1997" s="64" t="str">
        <f>Ringkasan!X2068</f>
        <v/>
      </c>
      <c r="Y1997" s="64" t="str">
        <f>Ringkasan!Y2068</f>
        <v/>
      </c>
      <c r="Z1997" s="64" t="str">
        <f>Ringkasan!Z2068</f>
        <v/>
      </c>
      <c r="AA1997" s="64" t="str">
        <f>Ringkasan!AA2068</f>
        <v/>
      </c>
      <c r="AB1997" s="64" t="str">
        <f>Ringkasan!AB2068</f>
        <v/>
      </c>
    </row>
    <row r="1998">
      <c r="A1998" s="64" t="str">
        <f>Ringkasan!A2069</f>
        <v/>
      </c>
      <c r="B1998" s="64" t="str">
        <f>Ringkasan!B2069</f>
        <v/>
      </c>
      <c r="C1998" s="64" t="str">
        <f>Ringkasan!C2069</f>
        <v/>
      </c>
      <c r="D1998" s="64" t="str">
        <f>Ringkasan!D2069</f>
        <v/>
      </c>
      <c r="E1998" s="64" t="str">
        <f>Ringkasan!E2069</f>
        <v/>
      </c>
      <c r="F1998" s="64" t="str">
        <f>Ringkasan!F2069</f>
        <v/>
      </c>
      <c r="G1998" s="64" t="str">
        <f>Ringkasan!G2069</f>
        <v/>
      </c>
      <c r="H1998" s="64" t="str">
        <f>Ringkasan!H2069</f>
        <v/>
      </c>
      <c r="I1998" s="64" t="str">
        <f>Ringkasan!I2069</f>
        <v/>
      </c>
      <c r="J1998" s="64" t="str">
        <f>Ringkasan!J2069</f>
        <v/>
      </c>
      <c r="K1998" s="64" t="str">
        <f>Ringkasan!K2069</f>
        <v/>
      </c>
      <c r="L1998" s="64" t="str">
        <f>Ringkasan!L2069</f>
        <v/>
      </c>
      <c r="M1998" s="64" t="str">
        <f>Ringkasan!M2069</f>
        <v/>
      </c>
      <c r="N1998" s="64" t="str">
        <f>Ringkasan!N2069</f>
        <v/>
      </c>
      <c r="O1998" s="64" t="str">
        <f>Ringkasan!O2069</f>
        <v/>
      </c>
      <c r="P1998" s="64" t="str">
        <f>Ringkasan!P2069</f>
        <v/>
      </c>
      <c r="Q1998" s="64" t="str">
        <f>Ringkasan!Q2069</f>
        <v/>
      </c>
      <c r="R1998" s="64" t="str">
        <f>Ringkasan!R2069</f>
        <v/>
      </c>
      <c r="S1998" s="64" t="str">
        <f>Ringkasan!S2069</f>
        <v/>
      </c>
      <c r="T1998" s="64" t="str">
        <f>Ringkasan!T2069</f>
        <v/>
      </c>
      <c r="U1998" s="64" t="str">
        <f>Ringkasan!U2069</f>
        <v/>
      </c>
      <c r="V1998" s="64" t="str">
        <f>Ringkasan!V2069</f>
        <v/>
      </c>
      <c r="W1998" s="64" t="str">
        <f>Ringkasan!W2069</f>
        <v/>
      </c>
      <c r="X1998" s="64" t="str">
        <f>Ringkasan!X2069</f>
        <v/>
      </c>
      <c r="Y1998" s="64" t="str">
        <f>Ringkasan!Y2069</f>
        <v/>
      </c>
      <c r="Z1998" s="64" t="str">
        <f>Ringkasan!Z2069</f>
        <v/>
      </c>
      <c r="AA1998" s="64" t="str">
        <f>Ringkasan!AA2069</f>
        <v/>
      </c>
      <c r="AB1998" s="64" t="str">
        <f>Ringkasan!AB2069</f>
        <v/>
      </c>
    </row>
    <row r="1999">
      <c r="A1999" s="64" t="str">
        <f>Ringkasan!A2070</f>
        <v/>
      </c>
      <c r="B1999" s="64" t="str">
        <f>Ringkasan!B2070</f>
        <v/>
      </c>
      <c r="C1999" s="64" t="str">
        <f>Ringkasan!C2070</f>
        <v/>
      </c>
      <c r="D1999" s="64" t="str">
        <f>Ringkasan!D2070</f>
        <v/>
      </c>
      <c r="E1999" s="64" t="str">
        <f>Ringkasan!E2070</f>
        <v/>
      </c>
      <c r="F1999" s="64" t="str">
        <f>Ringkasan!F2070</f>
        <v/>
      </c>
      <c r="G1999" s="64" t="str">
        <f>Ringkasan!G2070</f>
        <v/>
      </c>
      <c r="H1999" s="64" t="str">
        <f>Ringkasan!H2070</f>
        <v/>
      </c>
      <c r="I1999" s="64" t="str">
        <f>Ringkasan!I2070</f>
        <v/>
      </c>
      <c r="J1999" s="64" t="str">
        <f>Ringkasan!J2070</f>
        <v/>
      </c>
      <c r="K1999" s="64" t="str">
        <f>Ringkasan!K2070</f>
        <v/>
      </c>
      <c r="L1999" s="64" t="str">
        <f>Ringkasan!L2070</f>
        <v/>
      </c>
      <c r="M1999" s="64" t="str">
        <f>Ringkasan!M2070</f>
        <v/>
      </c>
      <c r="N1999" s="64" t="str">
        <f>Ringkasan!N2070</f>
        <v/>
      </c>
      <c r="O1999" s="64" t="str">
        <f>Ringkasan!O2070</f>
        <v/>
      </c>
      <c r="P1999" s="64" t="str">
        <f>Ringkasan!P2070</f>
        <v/>
      </c>
      <c r="Q1999" s="64" t="str">
        <f>Ringkasan!Q2070</f>
        <v/>
      </c>
      <c r="R1999" s="64" t="str">
        <f>Ringkasan!R2070</f>
        <v/>
      </c>
      <c r="S1999" s="64" t="str">
        <f>Ringkasan!S2070</f>
        <v/>
      </c>
      <c r="T1999" s="64" t="str">
        <f>Ringkasan!T2070</f>
        <v/>
      </c>
      <c r="U1999" s="64" t="str">
        <f>Ringkasan!U2070</f>
        <v/>
      </c>
      <c r="V1999" s="64" t="str">
        <f>Ringkasan!V2070</f>
        <v/>
      </c>
      <c r="W1999" s="64" t="str">
        <f>Ringkasan!W2070</f>
        <v/>
      </c>
      <c r="X1999" s="64" t="str">
        <f>Ringkasan!X2070</f>
        <v/>
      </c>
      <c r="Y1999" s="64" t="str">
        <f>Ringkasan!Y2070</f>
        <v/>
      </c>
      <c r="Z1999" s="64" t="str">
        <f>Ringkasan!Z2070</f>
        <v/>
      </c>
      <c r="AA1999" s="64" t="str">
        <f>Ringkasan!AA2070</f>
        <v/>
      </c>
      <c r="AB1999" s="64" t="str">
        <f>Ringkasan!AB2070</f>
        <v/>
      </c>
    </row>
    <row r="2000">
      <c r="A2000" s="64" t="str">
        <f>Ringkasan!A2071</f>
        <v/>
      </c>
      <c r="B2000" s="64" t="str">
        <f>Ringkasan!B2071</f>
        <v/>
      </c>
      <c r="C2000" s="64" t="str">
        <f>Ringkasan!C2071</f>
        <v/>
      </c>
      <c r="D2000" s="64" t="str">
        <f>Ringkasan!D2071</f>
        <v/>
      </c>
      <c r="E2000" s="64" t="str">
        <f>Ringkasan!E2071</f>
        <v/>
      </c>
      <c r="F2000" s="64" t="str">
        <f>Ringkasan!F2071</f>
        <v/>
      </c>
      <c r="G2000" s="64" t="str">
        <f>Ringkasan!G2071</f>
        <v/>
      </c>
      <c r="H2000" s="64" t="str">
        <f>Ringkasan!H2071</f>
        <v/>
      </c>
      <c r="I2000" s="64" t="str">
        <f>Ringkasan!I2071</f>
        <v/>
      </c>
      <c r="J2000" s="64" t="str">
        <f>Ringkasan!J2071</f>
        <v/>
      </c>
      <c r="K2000" s="64" t="str">
        <f>Ringkasan!K2071</f>
        <v/>
      </c>
      <c r="L2000" s="64" t="str">
        <f>Ringkasan!L2071</f>
        <v/>
      </c>
      <c r="M2000" s="64" t="str">
        <f>Ringkasan!M2071</f>
        <v/>
      </c>
      <c r="N2000" s="64" t="str">
        <f>Ringkasan!N2071</f>
        <v/>
      </c>
      <c r="O2000" s="64" t="str">
        <f>Ringkasan!O2071</f>
        <v/>
      </c>
      <c r="P2000" s="64" t="str">
        <f>Ringkasan!P2071</f>
        <v/>
      </c>
      <c r="Q2000" s="64" t="str">
        <f>Ringkasan!Q2071</f>
        <v/>
      </c>
      <c r="R2000" s="64" t="str">
        <f>Ringkasan!R2071</f>
        <v/>
      </c>
      <c r="S2000" s="64" t="str">
        <f>Ringkasan!S2071</f>
        <v/>
      </c>
      <c r="T2000" s="64" t="str">
        <f>Ringkasan!T2071</f>
        <v/>
      </c>
      <c r="U2000" s="64" t="str">
        <f>Ringkasan!U2071</f>
        <v/>
      </c>
      <c r="V2000" s="64" t="str">
        <f>Ringkasan!V2071</f>
        <v/>
      </c>
      <c r="W2000" s="64" t="str">
        <f>Ringkasan!W2071</f>
        <v/>
      </c>
      <c r="X2000" s="64" t="str">
        <f>Ringkasan!X2071</f>
        <v/>
      </c>
      <c r="Y2000" s="64" t="str">
        <f>Ringkasan!Y2071</f>
        <v/>
      </c>
      <c r="Z2000" s="64" t="str">
        <f>Ringkasan!Z2071</f>
        <v/>
      </c>
      <c r="AA2000" s="64" t="str">
        <f>Ringkasan!AA2071</f>
        <v/>
      </c>
      <c r="AB2000" s="64" t="str">
        <f>Ringkasan!AB2071</f>
        <v/>
      </c>
    </row>
  </sheetData>
  <autoFilter ref="$A$1:$AB$1806">
    <filterColumn colId="6">
      <filters>
        <filter val="11"/>
        <filter val="22"/>
        <filter val="23"/>
        <filter val="12"/>
        <filter val="#REF!"/>
        <filter val="13"/>
        <filter val="14"/>
        <filter val="16"/>
        <filter val="17"/>
        <filter val="18"/>
        <filter val="19"/>
        <filter val="1"/>
        <filter val="2"/>
        <filter val="3"/>
        <filter val="4"/>
        <filter val="5"/>
        <filter val="6"/>
        <filter val="7"/>
        <filter val="8"/>
        <filter val="9"/>
        <filter val="20"/>
        <filter val="21"/>
        <filter val="10"/>
      </filters>
    </filterColumn>
    <filterColumn colId="7">
      <customFilters>
        <customFilter operator="lessThanOrEqual" val="15"/>
      </customFilters>
    </filterColumn>
    <filterColumn colId="8">
      <customFilters>
        <customFilter operator="lessThanOrEqual" val="3"/>
      </customFilters>
    </filterColumn>
    <filterColumn colId="9">
      <customFilters>
        <customFilter operator="greaterThanOrEqual" val="12"/>
      </customFilters>
    </filterColumn>
    <filterColumn colId="10">
      <customFilters>
        <customFilter operator="greaterThanOrEqual" val="7"/>
      </customFilters>
    </filterColumn>
    <filterColumn colId="11">
      <customFilters>
        <customFilter operator="lessThanOrEqual" val="1.5"/>
      </customFilters>
    </filterColumn>
    <filterColumn colId="12">
      <customFilters>
        <customFilter operator="greaterThanOrEqual" val="7"/>
      </customFilters>
    </filterColumn>
    <sortState ref="A1:AB1806">
      <sortCondition ref="A1:A1806"/>
      <sortCondition ref="C1:C1806"/>
    </sortState>
  </autoFilter>
  <conditionalFormatting sqref="V1">
    <cfRule type="notContainsBlanks" dxfId="0" priority="1">
      <formula>LEN(TRIM(V1))&gt;0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9.29"/>
    <col customWidth="1" min="2" max="2" width="34.57"/>
    <col customWidth="1" min="4" max="4" width="41.43"/>
    <col customWidth="1" min="5" max="5" width="19.57"/>
    <col customWidth="1" min="6" max="6" width="18.29"/>
    <col customWidth="1" min="7" max="7" width="9.57"/>
    <col hidden="1" min="12" max="13" width="14.43"/>
  </cols>
  <sheetData>
    <row r="1">
      <c r="A1" s="51" t="s">
        <v>0</v>
      </c>
      <c r="B1" s="13" t="s">
        <v>1</v>
      </c>
      <c r="C1" s="6" t="s">
        <v>2</v>
      </c>
      <c r="D1" s="52" t="str">
        <f>IFERROR(__xludf.DUMMYFUNCTION("""Last Update: "" &amp; TEXT(NOW() - GOOGLEFINANCE(""IDX:BBCA"",""datadelay"")/1440, ""dddd, yyyymmdd HH:mm"")"),"Last Update: Minggu, 20260614 14:19")</f>
        <v>Last Update: Minggu, 20260614 14:19</v>
      </c>
      <c r="E1" s="51" t="s">
        <v>3</v>
      </c>
      <c r="F1" s="13" t="s">
        <v>4</v>
      </c>
      <c r="G1" s="6" t="s">
        <v>5</v>
      </c>
      <c r="H1" s="53" t="s">
        <v>1025</v>
      </c>
      <c r="I1" s="53" t="s">
        <v>1026</v>
      </c>
      <c r="J1" s="53" t="s">
        <v>1027</v>
      </c>
      <c r="K1" s="53" t="s">
        <v>1038</v>
      </c>
      <c r="L1" s="68" t="s">
        <v>1029</v>
      </c>
      <c r="M1" s="68" t="s">
        <v>1030</v>
      </c>
      <c r="N1" s="69" t="s">
        <v>1039</v>
      </c>
      <c r="O1" s="69" t="s">
        <v>1040</v>
      </c>
      <c r="P1" s="69" t="s">
        <v>1041</v>
      </c>
      <c r="Q1" s="69" t="s">
        <v>1042</v>
      </c>
      <c r="R1" s="70" t="s">
        <v>1043</v>
      </c>
      <c r="S1" s="70" t="s">
        <v>1044</v>
      </c>
      <c r="T1" s="71" t="s">
        <v>1045</v>
      </c>
      <c r="U1" s="72" t="s">
        <v>19</v>
      </c>
      <c r="V1" s="73" t="s">
        <v>20</v>
      </c>
      <c r="W1" s="72" t="s">
        <v>21</v>
      </c>
      <c r="X1" s="72" t="s">
        <v>22</v>
      </c>
      <c r="Y1" s="72" t="s">
        <v>23</v>
      </c>
      <c r="Z1" s="72" t="s">
        <v>24</v>
      </c>
      <c r="AA1" s="2" t="s">
        <v>25</v>
      </c>
      <c r="AB1" s="2" t="s">
        <v>26</v>
      </c>
    </row>
    <row r="2" hidden="1">
      <c r="A2" s="64" t="str">
        <f>Ringkasan!A2</f>
        <v>AADI</v>
      </c>
      <c r="B2" s="64" t="str">
        <f>Ringkasan!B2</f>
        <v>Adaro Andalan Indonesia Tbk.</v>
      </c>
      <c r="C2" s="65">
        <f>Ringkasan!C2</f>
        <v>8650</v>
      </c>
      <c r="D2" s="64" t="str">
        <f>Ringkasan!D2</f>
        <v>#N/A</v>
      </c>
      <c r="E2" s="64" t="str">
        <f>Ringkasan!E2</f>
        <v>IDX80</v>
      </c>
      <c r="F2" s="64" t="str">
        <f>Ringkasan!F2</f>
        <v>31 Juli 2026</v>
      </c>
      <c r="G2" s="65">
        <f>Ringkasan!G2</f>
        <v>9</v>
      </c>
      <c r="H2" s="19">
        <f>Ringkasan!H2</f>
        <v>5.5</v>
      </c>
      <c r="I2" s="19">
        <f>Ringkasan!I2</f>
        <v>1</v>
      </c>
      <c r="J2" s="19">
        <f>Ringkasan!J2</f>
        <v>18.6</v>
      </c>
      <c r="K2" s="19">
        <f>Ringkasan!K2</f>
        <v>12.2</v>
      </c>
      <c r="L2" s="19">
        <f>Ringkasan!L2</f>
        <v>0.53</v>
      </c>
      <c r="M2" s="19">
        <f>Ringkasan!M2</f>
        <v>67.3</v>
      </c>
      <c r="N2" s="64" t="str">
        <f>Ringkasan!N2</f>
        <v/>
      </c>
      <c r="O2" s="64" t="str">
        <f>Ringkasan!O2</f>
        <v/>
      </c>
      <c r="P2" s="64" t="str">
        <f>Ringkasan!P2</f>
        <v/>
      </c>
      <c r="Q2" s="64" t="str">
        <f>Ringkasan!Q2</f>
        <v/>
      </c>
      <c r="R2" s="64" t="str">
        <f>Ringkasan!R2</f>
        <v/>
      </c>
      <c r="S2" s="64" t="str">
        <f>Ringkasan!S2</f>
        <v/>
      </c>
      <c r="T2" s="64" t="str">
        <f>Ringkasan!T2</f>
        <v/>
      </c>
      <c r="U2" s="64">
        <f>Ringkasan!U2</f>
        <v>8050</v>
      </c>
      <c r="V2" s="64">
        <f>Ringkasan!V2</f>
        <v>7.45</v>
      </c>
      <c r="W2" s="64">
        <f>Ringkasan!W2</f>
        <v>8100</v>
      </c>
      <c r="X2" s="64">
        <f>Ringkasan!X2</f>
        <v>8850</v>
      </c>
      <c r="Y2" s="64">
        <f>Ringkasan!Y2</f>
        <v>8050</v>
      </c>
      <c r="Z2" s="64">
        <f>Ringkasan!Z2</f>
        <v>21262200</v>
      </c>
      <c r="AA2" s="64" t="str">
        <f>Ringkasan!AA2</f>
        <v>Coal</v>
      </c>
      <c r="AB2" s="64" t="str">
        <f>Ringkasan!AB2</f>
        <v>Energy</v>
      </c>
    </row>
    <row r="3" hidden="1">
      <c r="A3" s="64" t="str">
        <f>Ringkasan!A3</f>
        <v>AADI</v>
      </c>
      <c r="B3" s="64" t="str">
        <f>Ringkasan!B3</f>
        <v>Adaro Andalan Indonesia Tbk.</v>
      </c>
      <c r="C3" s="65">
        <f>Ringkasan!C3</f>
        <v>8650</v>
      </c>
      <c r="D3" s="64" t="str">
        <f>Ringkasan!D3</f>
        <v>#N/A</v>
      </c>
      <c r="E3" s="64" t="str">
        <f>Ringkasan!E3</f>
        <v>IDX30</v>
      </c>
      <c r="F3" s="64" t="str">
        <f>Ringkasan!F3</f>
        <v>31 Juli 2026</v>
      </c>
      <c r="G3" s="65">
        <f>Ringkasan!G3</f>
        <v>9</v>
      </c>
      <c r="H3" s="19">
        <f>Ringkasan!H3</f>
        <v>5.5</v>
      </c>
      <c r="I3" s="19">
        <f>Ringkasan!I3</f>
        <v>1</v>
      </c>
      <c r="J3" s="19">
        <f>Ringkasan!J3</f>
        <v>18.6</v>
      </c>
      <c r="K3" s="19">
        <f>Ringkasan!K3</f>
        <v>12.2</v>
      </c>
      <c r="L3" s="19">
        <f>Ringkasan!L3</f>
        <v>0.53</v>
      </c>
      <c r="M3" s="19">
        <f>Ringkasan!M3</f>
        <v>67.3</v>
      </c>
      <c r="N3" s="64" t="str">
        <f>Ringkasan!N3</f>
        <v/>
      </c>
      <c r="O3" s="64" t="str">
        <f>Ringkasan!O3</f>
        <v/>
      </c>
      <c r="P3" s="64" t="str">
        <f>Ringkasan!P3</f>
        <v/>
      </c>
      <c r="Q3" s="64" t="str">
        <f>Ringkasan!Q3</f>
        <v/>
      </c>
      <c r="R3" s="64" t="str">
        <f>Ringkasan!R3</f>
        <v/>
      </c>
      <c r="S3" s="64" t="str">
        <f>Ringkasan!S3</f>
        <v/>
      </c>
      <c r="T3" s="64" t="str">
        <f>Ringkasan!T3</f>
        <v/>
      </c>
      <c r="U3" s="64">
        <f>Ringkasan!U3</f>
        <v>8050</v>
      </c>
      <c r="V3" s="64">
        <f>Ringkasan!V3</f>
        <v>7.45</v>
      </c>
      <c r="W3" s="64">
        <f>Ringkasan!W3</f>
        <v>8100</v>
      </c>
      <c r="X3" s="64">
        <f>Ringkasan!X3</f>
        <v>8850</v>
      </c>
      <c r="Y3" s="64">
        <f>Ringkasan!Y3</f>
        <v>8050</v>
      </c>
      <c r="Z3" s="64">
        <f>Ringkasan!Z3</f>
        <v>21262200</v>
      </c>
      <c r="AA3" s="64" t="str">
        <f>Ringkasan!AA3</f>
        <v>Coal</v>
      </c>
      <c r="AB3" s="64" t="str">
        <f>Ringkasan!AB3</f>
        <v>Energy</v>
      </c>
    </row>
    <row r="4" hidden="1">
      <c r="A4" s="64" t="str">
        <f>Ringkasan!A4</f>
        <v>AADI</v>
      </c>
      <c r="B4" s="64" t="str">
        <f>Ringkasan!B4</f>
        <v>Adaro Andalan Indonesia Tbk.</v>
      </c>
      <c r="C4" s="65">
        <f>Ringkasan!C4</f>
        <v>8650</v>
      </c>
      <c r="D4" s="64" t="str">
        <f>Ringkasan!D4</f>
        <v>#N/A</v>
      </c>
      <c r="E4" s="64" t="str">
        <f>Ringkasan!E4</f>
        <v>LQ45</v>
      </c>
      <c r="F4" s="64" t="str">
        <f>Ringkasan!F4</f>
        <v>31 Juli 2026</v>
      </c>
      <c r="G4" s="65">
        <f>Ringkasan!G4</f>
        <v>9</v>
      </c>
      <c r="H4" s="19">
        <f>Ringkasan!H4</f>
        <v>5.5</v>
      </c>
      <c r="I4" s="19">
        <f>Ringkasan!I4</f>
        <v>1</v>
      </c>
      <c r="J4" s="19">
        <f>Ringkasan!J4</f>
        <v>18.6</v>
      </c>
      <c r="K4" s="19">
        <f>Ringkasan!K4</f>
        <v>12.2</v>
      </c>
      <c r="L4" s="19">
        <f>Ringkasan!L4</f>
        <v>0.53</v>
      </c>
      <c r="M4" s="19">
        <f>Ringkasan!M4</f>
        <v>67.3</v>
      </c>
      <c r="N4" s="64" t="str">
        <f>Ringkasan!N4</f>
        <v/>
      </c>
      <c r="O4" s="64" t="str">
        <f>Ringkasan!O4</f>
        <v/>
      </c>
      <c r="P4" s="64" t="str">
        <f>Ringkasan!P4</f>
        <v/>
      </c>
      <c r="Q4" s="64" t="str">
        <f>Ringkasan!Q4</f>
        <v/>
      </c>
      <c r="R4" s="64" t="str">
        <f>Ringkasan!R4</f>
        <v/>
      </c>
      <c r="S4" s="64" t="str">
        <f>Ringkasan!S4</f>
        <v/>
      </c>
      <c r="T4" s="64" t="str">
        <f>Ringkasan!T4</f>
        <v/>
      </c>
      <c r="U4" s="64">
        <f>Ringkasan!U4</f>
        <v>8050</v>
      </c>
      <c r="V4" s="64">
        <f>Ringkasan!V4</f>
        <v>7.45</v>
      </c>
      <c r="W4" s="64">
        <f>Ringkasan!W4</f>
        <v>8100</v>
      </c>
      <c r="X4" s="64">
        <f>Ringkasan!X4</f>
        <v>8850</v>
      </c>
      <c r="Y4" s="64">
        <f>Ringkasan!Y4</f>
        <v>8050</v>
      </c>
      <c r="Z4" s="64">
        <f>Ringkasan!Z4</f>
        <v>21262200</v>
      </c>
      <c r="AA4" s="64" t="str">
        <f>Ringkasan!AA4</f>
        <v>Coal</v>
      </c>
      <c r="AB4" s="64" t="str">
        <f>Ringkasan!AB4</f>
        <v>Energy</v>
      </c>
    </row>
    <row r="5" hidden="1">
      <c r="A5" s="64" t="str">
        <f>Ringkasan!A5</f>
        <v>AADI</v>
      </c>
      <c r="B5" s="64" t="str">
        <f>Ringkasan!B5</f>
        <v>Adaro Andalan Indonesia Tbk.</v>
      </c>
      <c r="C5" s="65">
        <f>Ringkasan!C5</f>
        <v>8650</v>
      </c>
      <c r="D5" s="64" t="str">
        <f>Ringkasan!D5</f>
        <v>#N/A</v>
      </c>
      <c r="E5" s="64" t="str">
        <f>Ringkasan!E5</f>
        <v>Kompas100</v>
      </c>
      <c r="F5" s="64" t="str">
        <f>Ringkasan!F5</f>
        <v>31 Juli 2026</v>
      </c>
      <c r="G5" s="65">
        <f>Ringkasan!G5</f>
        <v>9</v>
      </c>
      <c r="H5" s="19">
        <f>Ringkasan!H5</f>
        <v>5.5</v>
      </c>
      <c r="I5" s="19">
        <f>Ringkasan!I5</f>
        <v>1</v>
      </c>
      <c r="J5" s="19">
        <f>Ringkasan!J5</f>
        <v>18.6</v>
      </c>
      <c r="K5" s="19">
        <f>Ringkasan!K5</f>
        <v>12.2</v>
      </c>
      <c r="L5" s="19">
        <f>Ringkasan!L5</f>
        <v>0.53</v>
      </c>
      <c r="M5" s="19">
        <f>Ringkasan!M5</f>
        <v>67.3</v>
      </c>
      <c r="N5" s="64" t="str">
        <f>Ringkasan!N5</f>
        <v/>
      </c>
      <c r="O5" s="64" t="str">
        <f>Ringkasan!O5</f>
        <v/>
      </c>
      <c r="P5" s="64" t="str">
        <f>Ringkasan!P5</f>
        <v/>
      </c>
      <c r="Q5" s="64" t="str">
        <f>Ringkasan!Q5</f>
        <v/>
      </c>
      <c r="R5" s="64" t="str">
        <f>Ringkasan!R5</f>
        <v/>
      </c>
      <c r="S5" s="64" t="str">
        <f>Ringkasan!S5</f>
        <v/>
      </c>
      <c r="T5" s="64" t="str">
        <f>Ringkasan!T5</f>
        <v/>
      </c>
      <c r="U5" s="64">
        <f>Ringkasan!U5</f>
        <v>8050</v>
      </c>
      <c r="V5" s="64">
        <f>Ringkasan!V5</f>
        <v>7.45</v>
      </c>
      <c r="W5" s="64">
        <f>Ringkasan!W5</f>
        <v>8100</v>
      </c>
      <c r="X5" s="64">
        <f>Ringkasan!X5</f>
        <v>8850</v>
      </c>
      <c r="Y5" s="64">
        <f>Ringkasan!Y5</f>
        <v>8050</v>
      </c>
      <c r="Z5" s="64">
        <f>Ringkasan!Z5</f>
        <v>21262200</v>
      </c>
      <c r="AA5" s="64" t="str">
        <f>Ringkasan!AA5</f>
        <v>Coal</v>
      </c>
      <c r="AB5" s="64" t="str">
        <f>Ringkasan!AB5</f>
        <v>Energy</v>
      </c>
    </row>
    <row r="6" hidden="1">
      <c r="A6" s="64" t="str">
        <f>Ringkasan!A6</f>
        <v>AADI</v>
      </c>
      <c r="B6" s="64" t="str">
        <f>Ringkasan!B6</f>
        <v>Adaro Andalan Indonesia Tbk.</v>
      </c>
      <c r="C6" s="65">
        <f>Ringkasan!C6</f>
        <v>8650</v>
      </c>
      <c r="D6" s="64" t="str">
        <f>Ringkasan!D6</f>
        <v>#N/A</v>
      </c>
      <c r="E6" s="64" t="str">
        <f>Ringkasan!E6</f>
        <v>IDXV30</v>
      </c>
      <c r="F6" s="64" t="str">
        <f>Ringkasan!F6</f>
        <v>4 Agustus 2026</v>
      </c>
      <c r="G6" s="65">
        <f>Ringkasan!G6</f>
        <v>9</v>
      </c>
      <c r="H6" s="19">
        <f>Ringkasan!H6</f>
        <v>5.5</v>
      </c>
      <c r="I6" s="19">
        <f>Ringkasan!I6</f>
        <v>1</v>
      </c>
      <c r="J6" s="19">
        <f>Ringkasan!J6</f>
        <v>18.6</v>
      </c>
      <c r="K6" s="19">
        <f>Ringkasan!K6</f>
        <v>12.2</v>
      </c>
      <c r="L6" s="19">
        <f>Ringkasan!L6</f>
        <v>0.53</v>
      </c>
      <c r="M6" s="19">
        <f>Ringkasan!M6</f>
        <v>67.3</v>
      </c>
      <c r="N6" s="64" t="str">
        <f>Ringkasan!N6</f>
        <v/>
      </c>
      <c r="O6" s="64" t="str">
        <f>Ringkasan!O6</f>
        <v/>
      </c>
      <c r="P6" s="64" t="str">
        <f>Ringkasan!P6</f>
        <v/>
      </c>
      <c r="Q6" s="64" t="str">
        <f>Ringkasan!Q6</f>
        <v/>
      </c>
      <c r="R6" s="64" t="str">
        <f>Ringkasan!R6</f>
        <v/>
      </c>
      <c r="S6" s="64" t="str">
        <f>Ringkasan!S6</f>
        <v/>
      </c>
      <c r="T6" s="64" t="str">
        <f>Ringkasan!T6</f>
        <v/>
      </c>
      <c r="U6" s="64">
        <f>Ringkasan!U6</f>
        <v>8050</v>
      </c>
      <c r="V6" s="64">
        <f>Ringkasan!V6</f>
        <v>7.45</v>
      </c>
      <c r="W6" s="64">
        <f>Ringkasan!W6</f>
        <v>8100</v>
      </c>
      <c r="X6" s="64">
        <f>Ringkasan!X6</f>
        <v>8850</v>
      </c>
      <c r="Y6" s="64">
        <f>Ringkasan!Y6</f>
        <v>8050</v>
      </c>
      <c r="Z6" s="64">
        <f>Ringkasan!Z6</f>
        <v>21262200</v>
      </c>
      <c r="AA6" s="64" t="str">
        <f>Ringkasan!AA6</f>
        <v>Coal</v>
      </c>
      <c r="AB6" s="64" t="str">
        <f>Ringkasan!AB6</f>
        <v>Energy</v>
      </c>
    </row>
    <row r="7" hidden="1">
      <c r="A7" s="64" t="str">
        <f>Ringkasan!A7</f>
        <v>AADI</v>
      </c>
      <c r="B7" s="64" t="str">
        <f>Ringkasan!B7</f>
        <v>Adaro Andalan Indonesia Tbk.</v>
      </c>
      <c r="C7" s="65">
        <f>Ringkasan!C7</f>
        <v>8650</v>
      </c>
      <c r="D7" s="64" t="str">
        <f>Ringkasan!D7</f>
        <v>#N/A</v>
      </c>
      <c r="E7" s="64" t="str">
        <f>Ringkasan!E7</f>
        <v>MSCI Small Cap</v>
      </c>
      <c r="F7" s="64" t="str">
        <f>Ringkasan!F7</f>
        <v>12 Agustus 2026</v>
      </c>
      <c r="G7" s="64">
        <f>Ringkasan!G7</f>
        <v>9</v>
      </c>
      <c r="H7" s="19">
        <f>Ringkasan!H7</f>
        <v>5.5</v>
      </c>
      <c r="I7" s="19">
        <f>Ringkasan!I7</f>
        <v>1</v>
      </c>
      <c r="J7" s="19">
        <f>Ringkasan!J7</f>
        <v>18.6</v>
      </c>
      <c r="K7" s="19">
        <f>Ringkasan!K7</f>
        <v>12.2</v>
      </c>
      <c r="L7" s="19">
        <f>Ringkasan!L7</f>
        <v>0.53</v>
      </c>
      <c r="M7" s="19">
        <f>Ringkasan!M7</f>
        <v>67.3</v>
      </c>
      <c r="N7" s="64" t="str">
        <f>Ringkasan!N7</f>
        <v/>
      </c>
      <c r="O7" s="64" t="str">
        <f>Ringkasan!O7</f>
        <v/>
      </c>
      <c r="P7" s="64" t="str">
        <f>Ringkasan!P7</f>
        <v/>
      </c>
      <c r="Q7" s="64" t="str">
        <f>Ringkasan!Q7</f>
        <v/>
      </c>
      <c r="R7" s="64" t="str">
        <f>Ringkasan!R7</f>
        <v/>
      </c>
      <c r="S7" s="64" t="str">
        <f>Ringkasan!S7</f>
        <v/>
      </c>
      <c r="T7" s="64" t="str">
        <f>Ringkasan!T7</f>
        <v/>
      </c>
      <c r="U7" s="64">
        <f>Ringkasan!U7</f>
        <v>8050</v>
      </c>
      <c r="V7" s="64">
        <f>Ringkasan!V7</f>
        <v>7.45</v>
      </c>
      <c r="W7" s="64">
        <f>Ringkasan!W7</f>
        <v>8100</v>
      </c>
      <c r="X7" s="64">
        <f>Ringkasan!X7</f>
        <v>8850</v>
      </c>
      <c r="Y7" s="64">
        <f>Ringkasan!Y7</f>
        <v>8050</v>
      </c>
      <c r="Z7" s="64">
        <f>Ringkasan!Z7</f>
        <v>21262200</v>
      </c>
      <c r="AA7" s="64" t="str">
        <f>Ringkasan!AA7</f>
        <v>Coal</v>
      </c>
      <c r="AB7" s="64" t="str">
        <f>Ringkasan!AB7</f>
        <v>Energy</v>
      </c>
    </row>
    <row r="8" hidden="1">
      <c r="A8" s="64" t="str">
        <f>Ringkasan!A8</f>
        <v>AADI</v>
      </c>
      <c r="B8" s="64" t="str">
        <f>Ringkasan!B8</f>
        <v>Adaro Andalan Indonesia Tbk.</v>
      </c>
      <c r="C8" s="65">
        <f>Ringkasan!C8</f>
        <v>8650</v>
      </c>
      <c r="D8" s="64" t="str">
        <f>Ringkasan!D8</f>
        <v>#N/A</v>
      </c>
      <c r="E8" s="64" t="str">
        <f>Ringkasan!E8</f>
        <v>FTSE Small Cap</v>
      </c>
      <c r="F8" s="64" t="str">
        <f>Ringkasan!F8</f>
        <v>12 Agustus 2026</v>
      </c>
      <c r="G8" s="64">
        <f>Ringkasan!G8</f>
        <v>9</v>
      </c>
      <c r="H8" s="19">
        <f>Ringkasan!H8</f>
        <v>5.5</v>
      </c>
      <c r="I8" s="19">
        <f>Ringkasan!I8</f>
        <v>1</v>
      </c>
      <c r="J8" s="19">
        <f>Ringkasan!J8</f>
        <v>18.6</v>
      </c>
      <c r="K8" s="19">
        <f>Ringkasan!K8</f>
        <v>12.2</v>
      </c>
      <c r="L8" s="19">
        <f>Ringkasan!L8</f>
        <v>0.53</v>
      </c>
      <c r="M8" s="19">
        <f>Ringkasan!M8</f>
        <v>67.3</v>
      </c>
      <c r="N8" s="64" t="str">
        <f>Ringkasan!N8</f>
        <v/>
      </c>
      <c r="O8" s="64" t="str">
        <f>Ringkasan!O8</f>
        <v/>
      </c>
      <c r="P8" s="64" t="str">
        <f>Ringkasan!P8</f>
        <v/>
      </c>
      <c r="Q8" s="64" t="str">
        <f>Ringkasan!Q8</f>
        <v/>
      </c>
      <c r="R8" s="64" t="str">
        <f>Ringkasan!R8</f>
        <v/>
      </c>
      <c r="S8" s="64" t="str">
        <f>Ringkasan!S8</f>
        <v/>
      </c>
      <c r="T8" s="64" t="str">
        <f>Ringkasan!T8</f>
        <v/>
      </c>
      <c r="U8" s="64">
        <f>Ringkasan!U8</f>
        <v>8050</v>
      </c>
      <c r="V8" s="64">
        <f>Ringkasan!V8</f>
        <v>7.45</v>
      </c>
      <c r="W8" s="64">
        <f>Ringkasan!W8</f>
        <v>8100</v>
      </c>
      <c r="X8" s="64">
        <f>Ringkasan!X8</f>
        <v>8850</v>
      </c>
      <c r="Y8" s="64">
        <f>Ringkasan!Y8</f>
        <v>8050</v>
      </c>
      <c r="Z8" s="64">
        <f>Ringkasan!Z8</f>
        <v>21262200</v>
      </c>
      <c r="AA8" s="64" t="str">
        <f>Ringkasan!AA8</f>
        <v>Coal</v>
      </c>
      <c r="AB8" s="64" t="str">
        <f>Ringkasan!AB8</f>
        <v>Energy</v>
      </c>
    </row>
    <row r="9" hidden="1">
      <c r="A9" s="64" t="str">
        <f>Ringkasan!A33</f>
        <v>ADMG</v>
      </c>
      <c r="B9" s="64" t="str">
        <f>Ringkasan!B33</f>
        <v>Polychem Indonesia Tbk</v>
      </c>
      <c r="C9" s="65">
        <f>Ringkasan!C33</f>
        <v>200</v>
      </c>
      <c r="D9" s="64" t="str">
        <f>Ringkasan!D33</f>
        <v>#N/A</v>
      </c>
      <c r="E9" s="64" t="str">
        <f>Ringkasan!E33</f>
        <v/>
      </c>
      <c r="F9" s="64" t="str">
        <f>Ringkasan!F33</f>
        <v/>
      </c>
      <c r="G9" s="64">
        <f>Ringkasan!G33</f>
        <v>0</v>
      </c>
      <c r="H9" s="19">
        <f>Ringkasan!H33</f>
        <v>-250</v>
      </c>
      <c r="I9" s="19">
        <f>Ringkasan!I33</f>
        <v>0.43</v>
      </c>
      <c r="J9" s="19">
        <f>Ringkasan!J33</f>
        <v>-0.17</v>
      </c>
      <c r="K9" s="19">
        <f>Ringkasan!K33</f>
        <v>-0.13</v>
      </c>
      <c r="L9" s="19">
        <f>Ringkasan!L33</f>
        <v>0.37</v>
      </c>
      <c r="M9" s="19">
        <f>Ringkasan!M33</f>
        <v>-0.61</v>
      </c>
      <c r="N9" s="64" t="str">
        <f>Ringkasan!N33</f>
        <v/>
      </c>
      <c r="O9" s="64" t="str">
        <f>Ringkasan!O33</f>
        <v/>
      </c>
      <c r="P9" s="64" t="str">
        <f>Ringkasan!P33</f>
        <v/>
      </c>
      <c r="Q9" s="64" t="str">
        <f>Ringkasan!Q33</f>
        <v/>
      </c>
      <c r="R9" s="64" t="str">
        <f>Ringkasan!R33</f>
        <v/>
      </c>
      <c r="S9" s="64" t="str">
        <f>Ringkasan!S33</f>
        <v/>
      </c>
      <c r="T9" s="64" t="str">
        <f>Ringkasan!T33</f>
        <v/>
      </c>
      <c r="U9" s="64">
        <f>Ringkasan!U33</f>
        <v>0.12</v>
      </c>
      <c r="V9" s="64">
        <f>Ringkasan!V33</f>
        <v>0</v>
      </c>
      <c r="W9" s="64" t="str">
        <f>Ringkasan!W33</f>
        <v/>
      </c>
      <c r="X9" s="64" t="str">
        <f>Ringkasan!X33</f>
        <v/>
      </c>
      <c r="Y9" s="64" t="str">
        <f>Ringkasan!Y33</f>
        <v/>
      </c>
      <c r="Z9" s="64">
        <f>Ringkasan!Z33</f>
        <v>0</v>
      </c>
      <c r="AA9" s="64" t="str">
        <f>Ringkasan!AA33</f>
        <v>Chemicals</v>
      </c>
      <c r="AB9" s="64" t="str">
        <f>Ringkasan!AB33</f>
        <v>Basic Materials</v>
      </c>
    </row>
    <row r="10" hidden="1">
      <c r="A10" s="64" t="str">
        <f>Ringkasan!A67</f>
        <v>AKPI</v>
      </c>
      <c r="B10" s="64" t="str">
        <f>Ringkasan!B67</f>
        <v>Argha Karya Prima Industry Tbk.</v>
      </c>
      <c r="C10" s="65" t="str">
        <f>Ringkasan!C67</f>
        <v>#N/A</v>
      </c>
      <c r="D10" s="64" t="str">
        <f>Ringkasan!D67</f>
        <v>#N/A</v>
      </c>
      <c r="E10" s="64" t="str">
        <f>Ringkasan!E67</f>
        <v/>
      </c>
      <c r="F10" s="64" t="str">
        <f>Ringkasan!F67</f>
        <v/>
      </c>
      <c r="G10" s="64">
        <f>Ringkasan!G67</f>
        <v>0</v>
      </c>
      <c r="H10" s="19">
        <f>Ringkasan!H67</f>
        <v>10.1</v>
      </c>
      <c r="I10" s="19">
        <f>Ringkasan!I67</f>
        <v>0.17</v>
      </c>
      <c r="J10" s="19">
        <f>Ringkasan!J67</f>
        <v>1.7</v>
      </c>
      <c r="K10" s="19">
        <f>Ringkasan!K67</f>
        <v>0.86</v>
      </c>
      <c r="L10" s="19">
        <f>Ringkasan!L67</f>
        <v>1</v>
      </c>
      <c r="M10" s="19">
        <f>Ringkasan!M67</f>
        <v>4.4</v>
      </c>
      <c r="N10" s="64" t="str">
        <f>Ringkasan!N67</f>
        <v/>
      </c>
      <c r="O10" s="64" t="str">
        <f>Ringkasan!O67</f>
        <v/>
      </c>
      <c r="P10" s="64" t="str">
        <f>Ringkasan!P67</f>
        <v/>
      </c>
      <c r="Q10" s="64" t="str">
        <f>Ringkasan!Q67</f>
        <v/>
      </c>
      <c r="R10" s="64" t="str">
        <f>Ringkasan!R67</f>
        <v/>
      </c>
      <c r="S10" s="64" t="str">
        <f>Ringkasan!S67</f>
        <v/>
      </c>
      <c r="T10" s="64" t="str">
        <f>Ringkasan!T67</f>
        <v/>
      </c>
      <c r="U10" s="64">
        <f>Ringkasan!U67</f>
        <v>461.73</v>
      </c>
      <c r="V10" s="64">
        <f>Ringkasan!V67</f>
        <v>9.37</v>
      </c>
      <c r="W10" s="64">
        <f>Ringkasan!W67</f>
        <v>468</v>
      </c>
      <c r="X10" s="64">
        <f>Ringkasan!X67</f>
        <v>510</v>
      </c>
      <c r="Y10" s="64">
        <f>Ringkasan!Y67</f>
        <v>462</v>
      </c>
      <c r="Z10" s="64">
        <f>Ringkasan!Z67</f>
        <v>330700</v>
      </c>
      <c r="AA10" s="64" t="str">
        <f>Ringkasan!AA67</f>
        <v>Chemicals</v>
      </c>
      <c r="AB10" s="64" t="str">
        <f>Ringkasan!AB67</f>
        <v>Basic Materials</v>
      </c>
    </row>
    <row r="11" hidden="1">
      <c r="A11" s="64" t="str">
        <f t="shared" ref="A11:AB11" si="1">#REF!</f>
        <v>#REF!</v>
      </c>
      <c r="B11" s="64" t="str">
        <f t="shared" si="1"/>
        <v>#REF!</v>
      </c>
      <c r="C11" s="64" t="str">
        <f t="shared" si="1"/>
        <v>#REF!</v>
      </c>
      <c r="D11" s="64" t="str">
        <f t="shared" si="1"/>
        <v>#REF!</v>
      </c>
      <c r="E11" s="64" t="str">
        <f t="shared" si="1"/>
        <v>#REF!</v>
      </c>
      <c r="F11" s="64" t="str">
        <f t="shared" si="1"/>
        <v>#REF!</v>
      </c>
      <c r="G11" s="64" t="str">
        <f t="shared" si="1"/>
        <v>#REF!</v>
      </c>
      <c r="H11" s="64" t="str">
        <f t="shared" si="1"/>
        <v>#REF!</v>
      </c>
      <c r="I11" s="64" t="str">
        <f t="shared" si="1"/>
        <v>#REF!</v>
      </c>
      <c r="J11" s="64" t="str">
        <f t="shared" si="1"/>
        <v>#REF!</v>
      </c>
      <c r="K11" s="64" t="str">
        <f t="shared" si="1"/>
        <v>#REF!</v>
      </c>
      <c r="L11" s="64" t="str">
        <f t="shared" si="1"/>
        <v>#REF!</v>
      </c>
      <c r="M11" s="64" t="str">
        <f t="shared" si="1"/>
        <v>#REF!</v>
      </c>
      <c r="N11" s="64" t="str">
        <f t="shared" si="1"/>
        <v>#REF!</v>
      </c>
      <c r="O11" s="64" t="str">
        <f t="shared" si="1"/>
        <v>#REF!</v>
      </c>
      <c r="P11" s="64" t="str">
        <f t="shared" si="1"/>
        <v>#REF!</v>
      </c>
      <c r="Q11" s="64" t="str">
        <f t="shared" si="1"/>
        <v>#REF!</v>
      </c>
      <c r="R11" s="64" t="str">
        <f t="shared" si="1"/>
        <v>#REF!</v>
      </c>
      <c r="S11" s="64" t="str">
        <f t="shared" si="1"/>
        <v>#REF!</v>
      </c>
      <c r="T11" s="64" t="str">
        <f t="shared" si="1"/>
        <v>#REF!</v>
      </c>
      <c r="U11" s="64" t="str">
        <f t="shared" si="1"/>
        <v>#REF!</v>
      </c>
      <c r="V11" s="64" t="str">
        <f t="shared" si="1"/>
        <v>#REF!</v>
      </c>
      <c r="W11" s="64" t="str">
        <f t="shared" si="1"/>
        <v>#REF!</v>
      </c>
      <c r="X11" s="64" t="str">
        <f t="shared" si="1"/>
        <v>#REF!</v>
      </c>
      <c r="Y11" s="64" t="str">
        <f t="shared" si="1"/>
        <v>#REF!</v>
      </c>
      <c r="Z11" s="64" t="str">
        <f t="shared" si="1"/>
        <v>#REF!</v>
      </c>
      <c r="AA11" s="64" t="str">
        <f t="shared" si="1"/>
        <v>#REF!</v>
      </c>
      <c r="AB11" s="64" t="str">
        <f t="shared" si="1"/>
        <v>#REF!</v>
      </c>
    </row>
    <row r="12" hidden="1">
      <c r="A12" s="64" t="str">
        <f>Ringkasan!A11</f>
        <v>AALI</v>
      </c>
      <c r="B12" s="64" t="str">
        <f>Ringkasan!B11</f>
        <v>Astra Agro Lestari Tbk</v>
      </c>
      <c r="C12" s="65">
        <f>Ringkasan!C11</f>
        <v>6175</v>
      </c>
      <c r="D12" s="64" t="str">
        <f>Ringkasan!D11</f>
        <v>#N/A</v>
      </c>
      <c r="E12" s="64" t="str">
        <f>Ringkasan!E11</f>
        <v>IDXSMC-LIQ</v>
      </c>
      <c r="F12" s="64" t="str">
        <f>Ringkasan!F11</f>
        <v>4 Agustus 2026</v>
      </c>
      <c r="G12" s="64">
        <f>Ringkasan!G11</f>
        <v>2</v>
      </c>
      <c r="H12" s="19">
        <f>Ringkasan!H11</f>
        <v>8</v>
      </c>
      <c r="I12" s="19">
        <f>Ringkasan!I11</f>
        <v>0.51</v>
      </c>
      <c r="J12" s="19">
        <f>Ringkasan!J11</f>
        <v>6.4</v>
      </c>
      <c r="K12" s="19">
        <f>Ringkasan!K11</f>
        <v>5.6</v>
      </c>
      <c r="L12" s="19">
        <f>Ringkasan!L11</f>
        <v>0.14</v>
      </c>
      <c r="M12" s="19">
        <f>Ringkasan!M11</f>
        <v>20.9</v>
      </c>
      <c r="N12" s="64" t="str">
        <f>Ringkasan!N11</f>
        <v/>
      </c>
      <c r="O12" s="64" t="str">
        <f>Ringkasan!O11</f>
        <v/>
      </c>
      <c r="P12" s="64" t="str">
        <f>Ringkasan!P11</f>
        <v/>
      </c>
      <c r="Q12" s="64" t="str">
        <f>Ringkasan!Q11</f>
        <v/>
      </c>
      <c r="R12" s="64" t="str">
        <f>Ringkasan!R11</f>
        <v/>
      </c>
      <c r="S12" s="64" t="str">
        <f>Ringkasan!S11</f>
        <v/>
      </c>
      <c r="T12" s="64" t="str">
        <f>Ringkasan!T11</f>
        <v/>
      </c>
      <c r="U12" s="64">
        <f>Ringkasan!U11</f>
        <v>6050</v>
      </c>
      <c r="V12" s="64">
        <f>Ringkasan!V11</f>
        <v>2.07</v>
      </c>
      <c r="W12" s="64">
        <f>Ringkasan!W11</f>
        <v>6075</v>
      </c>
      <c r="X12" s="64">
        <f>Ringkasan!X11</f>
        <v>6325</v>
      </c>
      <c r="Y12" s="64">
        <f>Ringkasan!Y11</f>
        <v>6025</v>
      </c>
      <c r="Z12" s="64">
        <f>Ringkasan!Z11</f>
        <v>3068700</v>
      </c>
      <c r="AA12" s="64" t="str">
        <f>Ringkasan!AA11</f>
        <v>Agricultural Products</v>
      </c>
      <c r="AB12" s="64" t="str">
        <f>Ringkasan!AB11</f>
        <v>Consumer Non-Cyclicals</v>
      </c>
    </row>
    <row r="13" hidden="1">
      <c r="A13" s="64" t="str">
        <f>Ringkasan!A12</f>
        <v>AALI</v>
      </c>
      <c r="B13" s="64" t="str">
        <f>Ringkasan!B12</f>
        <v>Astra Agro Lestari Tbk</v>
      </c>
      <c r="C13" s="65">
        <f>Ringkasan!C12</f>
        <v>6175</v>
      </c>
      <c r="D13" s="64" t="str">
        <f>Ringkasan!D12</f>
        <v>#N/A</v>
      </c>
      <c r="E13" s="64" t="str">
        <f>Ringkasan!E12</f>
        <v>Investor33</v>
      </c>
      <c r="F13" s="66">
        <f>Ringkasan!F12</f>
        <v>46356</v>
      </c>
      <c r="G13" s="64">
        <f>Ringkasan!G12</f>
        <v>2</v>
      </c>
      <c r="H13" s="19">
        <f>Ringkasan!H12</f>
        <v>8</v>
      </c>
      <c r="I13" s="19">
        <f>Ringkasan!I12</f>
        <v>0.51</v>
      </c>
      <c r="J13" s="19">
        <f>Ringkasan!J12</f>
        <v>6.4</v>
      </c>
      <c r="K13" s="19">
        <f>Ringkasan!K12</f>
        <v>5.6</v>
      </c>
      <c r="L13" s="19">
        <f>Ringkasan!L12</f>
        <v>0.14</v>
      </c>
      <c r="M13" s="19">
        <f>Ringkasan!M12</f>
        <v>20.9</v>
      </c>
      <c r="N13" s="64" t="str">
        <f>Ringkasan!N12</f>
        <v/>
      </c>
      <c r="O13" s="64" t="str">
        <f>Ringkasan!O12</f>
        <v/>
      </c>
      <c r="P13" s="64" t="str">
        <f>Ringkasan!P12</f>
        <v/>
      </c>
      <c r="Q13" s="64" t="str">
        <f>Ringkasan!Q12</f>
        <v/>
      </c>
      <c r="R13" s="64" t="str">
        <f>Ringkasan!R12</f>
        <v/>
      </c>
      <c r="S13" s="64" t="str">
        <f>Ringkasan!S12</f>
        <v/>
      </c>
      <c r="T13" s="64" t="str">
        <f>Ringkasan!T12</f>
        <v/>
      </c>
      <c r="U13" s="64">
        <f>Ringkasan!U12</f>
        <v>6050</v>
      </c>
      <c r="V13" s="64">
        <f>Ringkasan!V12</f>
        <v>2.07</v>
      </c>
      <c r="W13" s="64">
        <f>Ringkasan!W12</f>
        <v>6075</v>
      </c>
      <c r="X13" s="64">
        <f>Ringkasan!X12</f>
        <v>6325</v>
      </c>
      <c r="Y13" s="64">
        <f>Ringkasan!Y12</f>
        <v>6025</v>
      </c>
      <c r="Z13" s="64">
        <f>Ringkasan!Z12</f>
        <v>3068700</v>
      </c>
      <c r="AA13" s="64" t="str">
        <f>Ringkasan!AA12</f>
        <v>Agricultural Products</v>
      </c>
      <c r="AB13" s="64" t="str">
        <f>Ringkasan!AB12</f>
        <v>Consumer Non-Cyclicals</v>
      </c>
    </row>
    <row r="14" hidden="1">
      <c r="A14" s="64" t="str">
        <f>Ringkasan!A13</f>
        <v>ABBA</v>
      </c>
      <c r="B14" s="64" t="str">
        <f>Ringkasan!B13</f>
        <v>Mahaka Media Tbk.</v>
      </c>
      <c r="C14" s="65">
        <f>Ringkasan!C13</f>
        <v>35</v>
      </c>
      <c r="D14" s="64" t="str">
        <f>Ringkasan!D13</f>
        <v>#N/A</v>
      </c>
      <c r="E14" s="64" t="str">
        <f>Ringkasan!E13</f>
        <v/>
      </c>
      <c r="F14" s="64" t="str">
        <f>Ringkasan!F13</f>
        <v/>
      </c>
      <c r="G14" s="64">
        <f>Ringkasan!G13</f>
        <v>0</v>
      </c>
      <c r="H14" s="19">
        <f>Ringkasan!H13</f>
        <v>-5.5</v>
      </c>
      <c r="I14" s="19">
        <f>Ringkasan!I13</f>
        <v>-1.3</v>
      </c>
      <c r="J14" s="19">
        <f>Ringkasan!J13</f>
        <v>0</v>
      </c>
      <c r="K14" s="19">
        <f>Ringkasan!K13</f>
        <v>-11.1</v>
      </c>
      <c r="L14" s="19">
        <f>Ringkasan!L13</f>
        <v>-3.1</v>
      </c>
      <c r="M14" s="19">
        <f>Ringkasan!M13</f>
        <v>-91.1</v>
      </c>
      <c r="N14" s="64" t="str">
        <f>Ringkasan!N13</f>
        <v/>
      </c>
      <c r="O14" s="64" t="str">
        <f>Ringkasan!O13</f>
        <v/>
      </c>
      <c r="P14" s="64" t="str">
        <f>Ringkasan!P13</f>
        <v/>
      </c>
      <c r="Q14" s="64" t="str">
        <f>Ringkasan!Q13</f>
        <v/>
      </c>
      <c r="R14" s="64" t="str">
        <f>Ringkasan!R13</f>
        <v/>
      </c>
      <c r="S14" s="64" t="str">
        <f>Ringkasan!S13</f>
        <v/>
      </c>
      <c r="T14" s="64" t="str">
        <f>Ringkasan!T13</f>
        <v/>
      </c>
      <c r="U14" s="64">
        <f>Ringkasan!U13</f>
        <v>35</v>
      </c>
      <c r="V14" s="64">
        <f>Ringkasan!V13</f>
        <v>0</v>
      </c>
      <c r="W14" s="64">
        <f>Ringkasan!W13</f>
        <v>35</v>
      </c>
      <c r="X14" s="64">
        <f>Ringkasan!X13</f>
        <v>35</v>
      </c>
      <c r="Y14" s="64">
        <f>Ringkasan!Y13</f>
        <v>35</v>
      </c>
      <c r="Z14" s="64">
        <f>Ringkasan!Z13</f>
        <v>292000</v>
      </c>
      <c r="AA14" s="64" t="str">
        <f>Ringkasan!AA13</f>
        <v>Media</v>
      </c>
      <c r="AB14" s="64" t="str">
        <f>Ringkasan!AB13</f>
        <v>Consumer Cyclicals</v>
      </c>
    </row>
    <row r="15" hidden="1">
      <c r="A15" s="64" t="str">
        <f>Ringkasan!A14</f>
        <v>ABDA</v>
      </c>
      <c r="B15" s="64" t="str">
        <f>Ringkasan!B14</f>
        <v>Asuransi Bina Dana Arta Tbk.</v>
      </c>
      <c r="C15" s="65">
        <f>Ringkasan!C14</f>
        <v>3390</v>
      </c>
      <c r="D15" s="64" t="str">
        <f>Ringkasan!D14</f>
        <v>#N/A</v>
      </c>
      <c r="E15" s="64" t="str">
        <f>Ringkasan!E14</f>
        <v/>
      </c>
      <c r="F15" s="64" t="str">
        <f>Ringkasan!F14</f>
        <v/>
      </c>
      <c r="G15" s="64">
        <f>Ringkasan!G14</f>
        <v>0</v>
      </c>
      <c r="H15" s="19">
        <f>Ringkasan!H14</f>
        <v>19.6</v>
      </c>
      <c r="I15" s="19">
        <f>Ringkasan!I14</f>
        <v>1.2</v>
      </c>
      <c r="J15" s="19">
        <f>Ringkasan!J14</f>
        <v>6.3</v>
      </c>
      <c r="K15" s="19">
        <f>Ringkasan!K14</f>
        <v>3.9</v>
      </c>
      <c r="L15" s="19">
        <f>Ringkasan!L14</f>
        <v>0.59</v>
      </c>
      <c r="M15" s="19">
        <f>Ringkasan!M14</f>
        <v>31.1</v>
      </c>
      <c r="N15" s="64" t="str">
        <f>Ringkasan!N14</f>
        <v/>
      </c>
      <c r="O15" s="64" t="str">
        <f>Ringkasan!O14</f>
        <v/>
      </c>
      <c r="P15" s="64" t="str">
        <f>Ringkasan!P14</f>
        <v/>
      </c>
      <c r="Q15" s="64" t="str">
        <f>Ringkasan!Q14</f>
        <v/>
      </c>
      <c r="R15" s="64" t="str">
        <f>Ringkasan!R14</f>
        <v/>
      </c>
      <c r="S15" s="64" t="str">
        <f>Ringkasan!S14</f>
        <v/>
      </c>
      <c r="T15" s="64" t="str">
        <f>Ringkasan!T14</f>
        <v/>
      </c>
      <c r="U15" s="64">
        <f>Ringkasan!U14</f>
        <v>3330</v>
      </c>
      <c r="V15" s="64">
        <f>Ringkasan!V14</f>
        <v>1.8</v>
      </c>
      <c r="W15" s="64">
        <f>Ringkasan!W14</f>
        <v>3430</v>
      </c>
      <c r="X15" s="64">
        <f>Ringkasan!X14</f>
        <v>3430</v>
      </c>
      <c r="Y15" s="64">
        <f>Ringkasan!Y14</f>
        <v>3100</v>
      </c>
      <c r="Z15" s="64">
        <f>Ringkasan!Z14</f>
        <v>10200</v>
      </c>
      <c r="AA15" s="64" t="str">
        <f>Ringkasan!AA14</f>
        <v>Insurance</v>
      </c>
      <c r="AB15" s="64" t="str">
        <f>Ringkasan!AB14</f>
        <v>Financials</v>
      </c>
    </row>
    <row r="16" hidden="1">
      <c r="A16" s="64" t="str">
        <f>Ringkasan!A15</f>
        <v>ABMM</v>
      </c>
      <c r="B16" s="64" t="str">
        <f>Ringkasan!B15</f>
        <v>ABM Investama Tbk</v>
      </c>
      <c r="C16" s="65">
        <f>Ringkasan!C15</f>
        <v>2420</v>
      </c>
      <c r="D16" s="64" t="str">
        <f>Ringkasan!D15</f>
        <v>#N/A</v>
      </c>
      <c r="E16" s="64" t="str">
        <f>Ringkasan!E15</f>
        <v/>
      </c>
      <c r="F16" s="64" t="str">
        <f>Ringkasan!F15</f>
        <v/>
      </c>
      <c r="G16" s="64">
        <f>Ringkasan!G15</f>
        <v>0</v>
      </c>
      <c r="H16" s="19">
        <f>Ringkasan!H15</f>
        <v>6.2</v>
      </c>
      <c r="I16" s="19">
        <f>Ringkasan!I15</f>
        <v>0.43</v>
      </c>
      <c r="J16" s="19">
        <f>Ringkasan!J15</f>
        <v>7.1</v>
      </c>
      <c r="K16" s="19">
        <f>Ringkasan!K15</f>
        <v>3.1</v>
      </c>
      <c r="L16" s="19">
        <f>Ringkasan!L15</f>
        <v>1.3</v>
      </c>
      <c r="M16" s="19">
        <f>Ringkasan!M15</f>
        <v>28.4</v>
      </c>
      <c r="N16" s="64" t="str">
        <f>Ringkasan!N15</f>
        <v/>
      </c>
      <c r="O16" s="64" t="str">
        <f>Ringkasan!O15</f>
        <v/>
      </c>
      <c r="P16" s="64" t="str">
        <f>Ringkasan!P15</f>
        <v/>
      </c>
      <c r="Q16" s="64" t="str">
        <f>Ringkasan!Q15</f>
        <v/>
      </c>
      <c r="R16" s="64" t="str">
        <f>Ringkasan!R15</f>
        <v/>
      </c>
      <c r="S16" s="64" t="str">
        <f>Ringkasan!S15</f>
        <v/>
      </c>
      <c r="T16" s="64" t="str">
        <f>Ringkasan!T15</f>
        <v/>
      </c>
      <c r="U16" s="64">
        <f>Ringkasan!U15</f>
        <v>2300</v>
      </c>
      <c r="V16" s="64">
        <f>Ringkasan!V15</f>
        <v>5.22</v>
      </c>
      <c r="W16" s="64">
        <f>Ringkasan!W15</f>
        <v>2300</v>
      </c>
      <c r="X16" s="64" t="str">
        <f>Ringkasan!X15</f>
        <v/>
      </c>
      <c r="Y16" s="64">
        <f>Ringkasan!Y15</f>
        <v>2300</v>
      </c>
      <c r="Z16" s="64">
        <f>Ringkasan!Z15</f>
        <v>739300</v>
      </c>
      <c r="AA16" s="64" t="str">
        <f>Ringkasan!AA15</f>
        <v>Multi-sector Holdings</v>
      </c>
      <c r="AB16" s="64" t="str">
        <f>Ringkasan!AB15</f>
        <v>Industrials</v>
      </c>
    </row>
    <row r="17" hidden="1">
      <c r="A17" s="64" t="str">
        <f>Ringkasan!A16</f>
        <v>ACES</v>
      </c>
      <c r="B17" s="64" t="str">
        <f>Ringkasan!B16</f>
        <v>Aspirasi Hidup Indonesia Tbk.</v>
      </c>
      <c r="C17" s="65">
        <f>Ringkasan!C16</f>
        <v>356</v>
      </c>
      <c r="D17" s="64" t="str">
        <f>Ringkasan!D16</f>
        <v>#N/A</v>
      </c>
      <c r="E17" s="64" t="str">
        <f>Ringkasan!E16</f>
        <v>ESGQKEHATI</v>
      </c>
      <c r="F17" s="66">
        <f>Ringkasan!F16</f>
        <v>46356</v>
      </c>
      <c r="G17" s="65">
        <f>Ringkasan!G16</f>
        <v>11</v>
      </c>
      <c r="H17" s="19">
        <f>Ringkasan!H16</f>
        <v>8.6</v>
      </c>
      <c r="I17" s="19">
        <f>Ringkasan!I16</f>
        <v>0.88</v>
      </c>
      <c r="J17" s="19">
        <f>Ringkasan!J16</f>
        <v>10.2</v>
      </c>
      <c r="K17" s="19">
        <f>Ringkasan!K16</f>
        <v>8</v>
      </c>
      <c r="L17" s="19">
        <f>Ringkasan!L16</f>
        <v>0.28</v>
      </c>
      <c r="M17" s="19">
        <f>Ringkasan!M16</f>
        <v>29.4</v>
      </c>
      <c r="N17" s="64" t="str">
        <f>Ringkasan!N16</f>
        <v/>
      </c>
      <c r="O17" s="64" t="str">
        <f>Ringkasan!O16</f>
        <v/>
      </c>
      <c r="P17" s="64" t="str">
        <f>Ringkasan!P16</f>
        <v/>
      </c>
      <c r="Q17" s="64" t="str">
        <f>Ringkasan!Q16</f>
        <v/>
      </c>
      <c r="R17" s="64" t="str">
        <f>Ringkasan!R16</f>
        <v/>
      </c>
      <c r="S17" s="64" t="str">
        <f>Ringkasan!S16</f>
        <v/>
      </c>
      <c r="T17" s="64" t="str">
        <f>Ringkasan!T16</f>
        <v/>
      </c>
      <c r="U17" s="64">
        <f>Ringkasan!U16</f>
        <v>36.5</v>
      </c>
      <c r="V17" s="64">
        <f>Ringkasan!V16</f>
        <v>1.12</v>
      </c>
      <c r="W17" s="64">
        <f>Ringkasan!W16</f>
        <v>36.6</v>
      </c>
      <c r="X17" s="64">
        <f>Ringkasan!X16</f>
        <v>36.98</v>
      </c>
      <c r="Y17" s="64">
        <f>Ringkasan!Y16</f>
        <v>36.6</v>
      </c>
      <c r="Z17" s="64">
        <f>Ringkasan!Z16</f>
        <v>846</v>
      </c>
      <c r="AA17" s="64" t="str">
        <f>Ringkasan!AA16</f>
        <v>Specialty Retail</v>
      </c>
      <c r="AB17" s="64" t="str">
        <f>Ringkasan!AB16</f>
        <v>Consumer Cyclicals</v>
      </c>
    </row>
    <row r="18" hidden="1">
      <c r="A18" s="64" t="str">
        <f>Ringkasan!A17</f>
        <v>ACES</v>
      </c>
      <c r="B18" s="64" t="str">
        <f>Ringkasan!B17</f>
        <v>Aspirasi Hidup Indonesia Tbk.</v>
      </c>
      <c r="C18" s="65">
        <f>Ringkasan!C17</f>
        <v>356</v>
      </c>
      <c r="D18" s="64" t="str">
        <f>Ringkasan!D17</f>
        <v>#N/A</v>
      </c>
      <c r="E18" s="64" t="str">
        <f>Ringkasan!E17</f>
        <v>IDXHIDIV20</v>
      </c>
      <c r="F18" s="64" t="str">
        <f>Ringkasan!F17</f>
        <v>2 Februari 2027</v>
      </c>
      <c r="G18" s="65">
        <f>Ringkasan!G17</f>
        <v>11</v>
      </c>
      <c r="H18" s="19">
        <f>Ringkasan!H17</f>
        <v>8.6</v>
      </c>
      <c r="I18" s="19">
        <f>Ringkasan!I17</f>
        <v>0.88</v>
      </c>
      <c r="J18" s="19">
        <f>Ringkasan!J17</f>
        <v>10.2</v>
      </c>
      <c r="K18" s="19">
        <f>Ringkasan!K17</f>
        <v>8</v>
      </c>
      <c r="L18" s="19">
        <f>Ringkasan!L17</f>
        <v>0.28</v>
      </c>
      <c r="M18" s="19">
        <f>Ringkasan!M17</f>
        <v>29.4</v>
      </c>
      <c r="N18" s="64" t="str">
        <f>Ringkasan!N17</f>
        <v/>
      </c>
      <c r="O18" s="64" t="str">
        <f>Ringkasan!O17</f>
        <v/>
      </c>
      <c r="P18" s="64" t="str">
        <f>Ringkasan!P17</f>
        <v/>
      </c>
      <c r="Q18" s="64" t="str">
        <f>Ringkasan!Q17</f>
        <v/>
      </c>
      <c r="R18" s="64" t="str">
        <f>Ringkasan!R17</f>
        <v/>
      </c>
      <c r="S18" s="64" t="str">
        <f>Ringkasan!S17</f>
        <v/>
      </c>
      <c r="T18" s="64" t="str">
        <f>Ringkasan!T17</f>
        <v/>
      </c>
      <c r="U18" s="64">
        <f>Ringkasan!U17</f>
        <v>36.5</v>
      </c>
      <c r="V18" s="64">
        <f>Ringkasan!V17</f>
        <v>1.12</v>
      </c>
      <c r="W18" s="64">
        <f>Ringkasan!W17</f>
        <v>36.6</v>
      </c>
      <c r="X18" s="64">
        <f>Ringkasan!X17</f>
        <v>36.98</v>
      </c>
      <c r="Y18" s="64">
        <f>Ringkasan!Y17</f>
        <v>36.6</v>
      </c>
      <c r="Z18" s="64">
        <f>Ringkasan!Z17</f>
        <v>846</v>
      </c>
      <c r="AA18" s="64" t="str">
        <f>Ringkasan!AA17</f>
        <v>Specialty Retail</v>
      </c>
      <c r="AB18" s="64" t="str">
        <f>Ringkasan!AB17</f>
        <v>Consumer Cyclicals</v>
      </c>
    </row>
    <row r="19" hidden="1">
      <c r="A19" s="64" t="str">
        <f>Ringkasan!A18</f>
        <v>ACES</v>
      </c>
      <c r="B19" s="64" t="str">
        <f>Ringkasan!B18</f>
        <v>Aspirasi Hidup Indonesia Tbk.</v>
      </c>
      <c r="C19" s="65">
        <f>Ringkasan!C18</f>
        <v>356</v>
      </c>
      <c r="D19" s="64" t="str">
        <f>Ringkasan!D18</f>
        <v>#N/A</v>
      </c>
      <c r="E19" s="64" t="str">
        <f>Ringkasan!E18</f>
        <v>IDX80</v>
      </c>
      <c r="F19" s="64" t="str">
        <f>Ringkasan!F18</f>
        <v>31 Juli 2026</v>
      </c>
      <c r="G19" s="65">
        <f>Ringkasan!G18</f>
        <v>11</v>
      </c>
      <c r="H19" s="19">
        <f>Ringkasan!H18</f>
        <v>8.6</v>
      </c>
      <c r="I19" s="19">
        <f>Ringkasan!I18</f>
        <v>0.88</v>
      </c>
      <c r="J19" s="19">
        <f>Ringkasan!J18</f>
        <v>10.2</v>
      </c>
      <c r="K19" s="19">
        <f>Ringkasan!K18</f>
        <v>8</v>
      </c>
      <c r="L19" s="19">
        <f>Ringkasan!L18</f>
        <v>0.28</v>
      </c>
      <c r="M19" s="19">
        <f>Ringkasan!M18</f>
        <v>29.4</v>
      </c>
      <c r="N19" s="64" t="str">
        <f>Ringkasan!N18</f>
        <v/>
      </c>
      <c r="O19" s="64" t="str">
        <f>Ringkasan!O18</f>
        <v/>
      </c>
      <c r="P19" s="64" t="str">
        <f>Ringkasan!P18</f>
        <v/>
      </c>
      <c r="Q19" s="64" t="str">
        <f>Ringkasan!Q18</f>
        <v/>
      </c>
      <c r="R19" s="64" t="str">
        <f>Ringkasan!R18</f>
        <v/>
      </c>
      <c r="S19" s="64" t="str">
        <f>Ringkasan!S18</f>
        <v/>
      </c>
      <c r="T19" s="64" t="str">
        <f>Ringkasan!T18</f>
        <v/>
      </c>
      <c r="U19" s="64">
        <f>Ringkasan!U18</f>
        <v>36.5</v>
      </c>
      <c r="V19" s="64">
        <f>Ringkasan!V18</f>
        <v>1.12</v>
      </c>
      <c r="W19" s="64">
        <f>Ringkasan!W18</f>
        <v>36.6</v>
      </c>
      <c r="X19" s="64">
        <f>Ringkasan!X18</f>
        <v>36.98</v>
      </c>
      <c r="Y19" s="64">
        <f>Ringkasan!Y18</f>
        <v>36.6</v>
      </c>
      <c r="Z19" s="64">
        <f>Ringkasan!Z18</f>
        <v>846</v>
      </c>
      <c r="AA19" s="64" t="str">
        <f>Ringkasan!AA18</f>
        <v>Specialty Retail</v>
      </c>
      <c r="AB19" s="64" t="str">
        <f>Ringkasan!AB18</f>
        <v>Consumer Cyclicals</v>
      </c>
    </row>
    <row r="20" hidden="1">
      <c r="A20" s="64" t="str">
        <f>Ringkasan!A19</f>
        <v>ACES</v>
      </c>
      <c r="B20" s="64" t="str">
        <f>Ringkasan!B19</f>
        <v>Aspirasi Hidup Indonesia Tbk.</v>
      </c>
      <c r="C20" s="65">
        <f>Ringkasan!C19</f>
        <v>356</v>
      </c>
      <c r="D20" s="64" t="str">
        <f>Ringkasan!D19</f>
        <v>#N/A</v>
      </c>
      <c r="E20" s="64" t="str">
        <f>Ringkasan!E19</f>
        <v>IDXESGL</v>
      </c>
      <c r="F20" s="64" t="str">
        <f>Ringkasan!F19</f>
        <v>30 Oktober 2026</v>
      </c>
      <c r="G20" s="65">
        <f>Ringkasan!G19</f>
        <v>11</v>
      </c>
      <c r="H20" s="19">
        <f>Ringkasan!H19</f>
        <v>8.6</v>
      </c>
      <c r="I20" s="19">
        <f>Ringkasan!I19</f>
        <v>0.88</v>
      </c>
      <c r="J20" s="19">
        <f>Ringkasan!J19</f>
        <v>10.2</v>
      </c>
      <c r="K20" s="19">
        <f>Ringkasan!K19</f>
        <v>8</v>
      </c>
      <c r="L20" s="19">
        <f>Ringkasan!L19</f>
        <v>0.28</v>
      </c>
      <c r="M20" s="19">
        <f>Ringkasan!M19</f>
        <v>29.4</v>
      </c>
      <c r="N20" s="64" t="str">
        <f>Ringkasan!N19</f>
        <v/>
      </c>
      <c r="O20" s="64" t="str">
        <f>Ringkasan!O19</f>
        <v/>
      </c>
      <c r="P20" s="64" t="str">
        <f>Ringkasan!P19</f>
        <v/>
      </c>
      <c r="Q20" s="64" t="str">
        <f>Ringkasan!Q19</f>
        <v/>
      </c>
      <c r="R20" s="64" t="str">
        <f>Ringkasan!R19</f>
        <v/>
      </c>
      <c r="S20" s="64" t="str">
        <f>Ringkasan!S19</f>
        <v/>
      </c>
      <c r="T20" s="64" t="str">
        <f>Ringkasan!T19</f>
        <v/>
      </c>
      <c r="U20" s="64">
        <f>Ringkasan!U19</f>
        <v>36.5</v>
      </c>
      <c r="V20" s="64">
        <f>Ringkasan!V19</f>
        <v>1.12</v>
      </c>
      <c r="W20" s="64">
        <f>Ringkasan!W19</f>
        <v>36.6</v>
      </c>
      <c r="X20" s="64">
        <f>Ringkasan!X19</f>
        <v>36.98</v>
      </c>
      <c r="Y20" s="64">
        <f>Ringkasan!Y19</f>
        <v>36.6</v>
      </c>
      <c r="Z20" s="64">
        <f>Ringkasan!Z19</f>
        <v>846</v>
      </c>
      <c r="AA20" s="64" t="str">
        <f>Ringkasan!AA19</f>
        <v>Specialty Retail</v>
      </c>
      <c r="AB20" s="64" t="str">
        <f>Ringkasan!AB19</f>
        <v>Consumer Cyclicals</v>
      </c>
    </row>
    <row r="21" hidden="1">
      <c r="A21" s="64" t="str">
        <f>Ringkasan!A20</f>
        <v>ACES</v>
      </c>
      <c r="B21" s="64" t="str">
        <f>Ringkasan!B20</f>
        <v>Aspirasi Hidup Indonesia Tbk.</v>
      </c>
      <c r="C21" s="65">
        <f>Ringkasan!C20</f>
        <v>356</v>
      </c>
      <c r="D21" s="64" t="str">
        <f>Ringkasan!D20</f>
        <v>#N/A</v>
      </c>
      <c r="E21" s="64" t="str">
        <f>Ringkasan!E20</f>
        <v>ECONOMIC30</v>
      </c>
      <c r="F21" s="64" t="str">
        <f>Ringkasan!F20</f>
        <v>31 Agustus 2026</v>
      </c>
      <c r="G21" s="65">
        <f>Ringkasan!G20</f>
        <v>11</v>
      </c>
      <c r="H21" s="19">
        <f>Ringkasan!H20</f>
        <v>8.6</v>
      </c>
      <c r="I21" s="19">
        <f>Ringkasan!I20</f>
        <v>0.88</v>
      </c>
      <c r="J21" s="19">
        <f>Ringkasan!J20</f>
        <v>10.2</v>
      </c>
      <c r="K21" s="19">
        <f>Ringkasan!K20</f>
        <v>8</v>
      </c>
      <c r="L21" s="19">
        <f>Ringkasan!L20</f>
        <v>0.28</v>
      </c>
      <c r="M21" s="19">
        <f>Ringkasan!M20</f>
        <v>29.4</v>
      </c>
      <c r="N21" s="64" t="str">
        <f>Ringkasan!N20</f>
        <v/>
      </c>
      <c r="O21" s="64" t="str">
        <f>Ringkasan!O20</f>
        <v/>
      </c>
      <c r="P21" s="64" t="str">
        <f>Ringkasan!P20</f>
        <v/>
      </c>
      <c r="Q21" s="64" t="str">
        <f>Ringkasan!Q20</f>
        <v/>
      </c>
      <c r="R21" s="64" t="str">
        <f>Ringkasan!R20</f>
        <v/>
      </c>
      <c r="S21" s="64" t="str">
        <f>Ringkasan!S20</f>
        <v/>
      </c>
      <c r="T21" s="64" t="str">
        <f>Ringkasan!T20</f>
        <v/>
      </c>
      <c r="U21" s="64">
        <f>Ringkasan!U20</f>
        <v>36.5</v>
      </c>
      <c r="V21" s="64">
        <f>Ringkasan!V20</f>
        <v>1.12</v>
      </c>
      <c r="W21" s="64">
        <f>Ringkasan!W20</f>
        <v>36.6</v>
      </c>
      <c r="X21" s="64">
        <f>Ringkasan!X20</f>
        <v>36.98</v>
      </c>
      <c r="Y21" s="64">
        <f>Ringkasan!Y20</f>
        <v>36.6</v>
      </c>
      <c r="Z21" s="64">
        <f>Ringkasan!Z20</f>
        <v>846</v>
      </c>
      <c r="AA21" s="64" t="str">
        <f>Ringkasan!AA20</f>
        <v>Specialty Retail</v>
      </c>
      <c r="AB21" s="64" t="str">
        <f>Ringkasan!AB20</f>
        <v>Consumer Cyclicals</v>
      </c>
    </row>
    <row r="22" hidden="1">
      <c r="A22" s="64" t="str">
        <f>Ringkasan!A21</f>
        <v>ACES</v>
      </c>
      <c r="B22" s="64" t="str">
        <f>Ringkasan!B21</f>
        <v>Aspirasi Hidup Indonesia Tbk.</v>
      </c>
      <c r="C22" s="65">
        <f>Ringkasan!C21</f>
        <v>356</v>
      </c>
      <c r="D22" s="64" t="str">
        <f>Ringkasan!D21</f>
        <v>#N/A</v>
      </c>
      <c r="E22" s="64" t="str">
        <f>Ringkasan!E21</f>
        <v>Kompas100</v>
      </c>
      <c r="F22" s="64" t="str">
        <f>Ringkasan!F21</f>
        <v>31 Juli 2026</v>
      </c>
      <c r="G22" s="65">
        <f>Ringkasan!G21</f>
        <v>11</v>
      </c>
      <c r="H22" s="19">
        <f>Ringkasan!H21</f>
        <v>8.6</v>
      </c>
      <c r="I22" s="19">
        <f>Ringkasan!I21</f>
        <v>0.88</v>
      </c>
      <c r="J22" s="19">
        <f>Ringkasan!J21</f>
        <v>10.2</v>
      </c>
      <c r="K22" s="19">
        <f>Ringkasan!K21</f>
        <v>8</v>
      </c>
      <c r="L22" s="19">
        <f>Ringkasan!L21</f>
        <v>0.28</v>
      </c>
      <c r="M22" s="19">
        <f>Ringkasan!M21</f>
        <v>29.4</v>
      </c>
      <c r="N22" s="64" t="str">
        <f>Ringkasan!N21</f>
        <v/>
      </c>
      <c r="O22" s="64" t="str">
        <f>Ringkasan!O21</f>
        <v/>
      </c>
      <c r="P22" s="64" t="str">
        <f>Ringkasan!P21</f>
        <v/>
      </c>
      <c r="Q22" s="64" t="str">
        <f>Ringkasan!Q21</f>
        <v/>
      </c>
      <c r="R22" s="64" t="str">
        <f>Ringkasan!R21</f>
        <v/>
      </c>
      <c r="S22" s="64" t="str">
        <f>Ringkasan!S21</f>
        <v/>
      </c>
      <c r="T22" s="64" t="str">
        <f>Ringkasan!T21</f>
        <v/>
      </c>
      <c r="U22" s="64">
        <f>Ringkasan!U21</f>
        <v>36.5</v>
      </c>
      <c r="V22" s="64">
        <f>Ringkasan!V21</f>
        <v>1.12</v>
      </c>
      <c r="W22" s="64">
        <f>Ringkasan!W21</f>
        <v>36.6</v>
      </c>
      <c r="X22" s="64">
        <f>Ringkasan!X21</f>
        <v>36.98</v>
      </c>
      <c r="Y22" s="64">
        <f>Ringkasan!Y21</f>
        <v>36.6</v>
      </c>
      <c r="Z22" s="64">
        <f>Ringkasan!Z21</f>
        <v>846</v>
      </c>
      <c r="AA22" s="64" t="str">
        <f>Ringkasan!AA21</f>
        <v>Specialty Retail</v>
      </c>
      <c r="AB22" s="64" t="str">
        <f>Ringkasan!AB21</f>
        <v>Consumer Cyclicals</v>
      </c>
    </row>
    <row r="23" hidden="1">
      <c r="A23" s="64" t="str">
        <f>Ringkasan!A22</f>
        <v>ACES</v>
      </c>
      <c r="B23" s="64" t="str">
        <f>Ringkasan!B22</f>
        <v>Aspirasi Hidup Indonesia Tbk.</v>
      </c>
      <c r="C23" s="65">
        <f>Ringkasan!C22</f>
        <v>356</v>
      </c>
      <c r="D23" s="64" t="str">
        <f>Ringkasan!D22</f>
        <v>#N/A</v>
      </c>
      <c r="E23" s="64" t="str">
        <f>Ringkasan!E22</f>
        <v>IDXQ30</v>
      </c>
      <c r="F23" s="64" t="str">
        <f>Ringkasan!F22</f>
        <v>4 Agustus 2026</v>
      </c>
      <c r="G23" s="65">
        <f>Ringkasan!G22</f>
        <v>11</v>
      </c>
      <c r="H23" s="19">
        <f>Ringkasan!H22</f>
        <v>8.6</v>
      </c>
      <c r="I23" s="19">
        <f>Ringkasan!I22</f>
        <v>0.88</v>
      </c>
      <c r="J23" s="19">
        <f>Ringkasan!J22</f>
        <v>10.2</v>
      </c>
      <c r="K23" s="19">
        <f>Ringkasan!K22</f>
        <v>8</v>
      </c>
      <c r="L23" s="19">
        <f>Ringkasan!L22</f>
        <v>0.28</v>
      </c>
      <c r="M23" s="19">
        <f>Ringkasan!M22</f>
        <v>29.4</v>
      </c>
      <c r="N23" s="64" t="str">
        <f>Ringkasan!N22</f>
        <v/>
      </c>
      <c r="O23" s="64" t="str">
        <f>Ringkasan!O22</f>
        <v/>
      </c>
      <c r="P23" s="64" t="str">
        <f>Ringkasan!P22</f>
        <v/>
      </c>
      <c r="Q23" s="64" t="str">
        <f>Ringkasan!Q22</f>
        <v/>
      </c>
      <c r="R23" s="64" t="str">
        <f>Ringkasan!R22</f>
        <v/>
      </c>
      <c r="S23" s="64" t="str">
        <f>Ringkasan!S22</f>
        <v/>
      </c>
      <c r="T23" s="64" t="str">
        <f>Ringkasan!T22</f>
        <v/>
      </c>
      <c r="U23" s="64">
        <f>Ringkasan!U22</f>
        <v>36.5</v>
      </c>
      <c r="V23" s="64">
        <f>Ringkasan!V22</f>
        <v>1.12</v>
      </c>
      <c r="W23" s="64">
        <f>Ringkasan!W22</f>
        <v>36.6</v>
      </c>
      <c r="X23" s="64">
        <f>Ringkasan!X22</f>
        <v>36.98</v>
      </c>
      <c r="Y23" s="64">
        <f>Ringkasan!Y22</f>
        <v>36.6</v>
      </c>
      <c r="Z23" s="64">
        <f>Ringkasan!Z22</f>
        <v>846</v>
      </c>
      <c r="AA23" s="64" t="str">
        <f>Ringkasan!AA22</f>
        <v>Specialty Retail</v>
      </c>
      <c r="AB23" s="64" t="str">
        <f>Ringkasan!AB22</f>
        <v>Consumer Cyclicals</v>
      </c>
    </row>
    <row r="24" hidden="1">
      <c r="A24" s="64" t="str">
        <f>Ringkasan!A23</f>
        <v>ACES</v>
      </c>
      <c r="B24" s="64" t="str">
        <f>Ringkasan!B23</f>
        <v>Aspirasi Hidup Indonesia Tbk.</v>
      </c>
      <c r="C24" s="65">
        <f>Ringkasan!C23</f>
        <v>356</v>
      </c>
      <c r="D24" s="64" t="str">
        <f>Ringkasan!D23</f>
        <v>#N/A</v>
      </c>
      <c r="E24" s="64" t="str">
        <f>Ringkasan!E23</f>
        <v>IDXSMC-LIQ</v>
      </c>
      <c r="F24" s="64" t="str">
        <f>Ringkasan!F23</f>
        <v>4 Agustus 2026</v>
      </c>
      <c r="G24" s="65">
        <f>Ringkasan!G23</f>
        <v>11</v>
      </c>
      <c r="H24" s="19">
        <f>Ringkasan!H23</f>
        <v>8.6</v>
      </c>
      <c r="I24" s="19">
        <f>Ringkasan!I23</f>
        <v>0.88</v>
      </c>
      <c r="J24" s="19">
        <f>Ringkasan!J23</f>
        <v>10.2</v>
      </c>
      <c r="K24" s="19">
        <f>Ringkasan!K23</f>
        <v>8</v>
      </c>
      <c r="L24" s="19">
        <f>Ringkasan!L23</f>
        <v>0.28</v>
      </c>
      <c r="M24" s="19">
        <f>Ringkasan!M23</f>
        <v>29.4</v>
      </c>
      <c r="N24" s="64" t="str">
        <f>Ringkasan!N23</f>
        <v/>
      </c>
      <c r="O24" s="64" t="str">
        <f>Ringkasan!O23</f>
        <v/>
      </c>
      <c r="P24" s="64" t="str">
        <f>Ringkasan!P23</f>
        <v/>
      </c>
      <c r="Q24" s="64" t="str">
        <f>Ringkasan!Q23</f>
        <v/>
      </c>
      <c r="R24" s="64" t="str">
        <f>Ringkasan!R23</f>
        <v/>
      </c>
      <c r="S24" s="64" t="str">
        <f>Ringkasan!S23</f>
        <v/>
      </c>
      <c r="T24" s="64" t="str">
        <f>Ringkasan!T23</f>
        <v/>
      </c>
      <c r="U24" s="64">
        <f>Ringkasan!U23</f>
        <v>36.5</v>
      </c>
      <c r="V24" s="64">
        <f>Ringkasan!V23</f>
        <v>1.12</v>
      </c>
      <c r="W24" s="64">
        <f>Ringkasan!W23</f>
        <v>36.6</v>
      </c>
      <c r="X24" s="64">
        <f>Ringkasan!X23</f>
        <v>36.98</v>
      </c>
      <c r="Y24" s="64">
        <f>Ringkasan!Y23</f>
        <v>36.6</v>
      </c>
      <c r="Z24" s="64">
        <f>Ringkasan!Z23</f>
        <v>846</v>
      </c>
      <c r="AA24" s="64" t="str">
        <f>Ringkasan!AA23</f>
        <v>Specialty Retail</v>
      </c>
      <c r="AB24" s="64" t="str">
        <f>Ringkasan!AB23</f>
        <v>Consumer Cyclicals</v>
      </c>
    </row>
    <row r="25" hidden="1">
      <c r="A25" s="64" t="str">
        <f>Ringkasan!A24</f>
        <v>ACES</v>
      </c>
      <c r="B25" s="64" t="str">
        <f>Ringkasan!B24</f>
        <v>Aspirasi Hidup Indonesia Tbk.</v>
      </c>
      <c r="C25" s="65">
        <f>Ringkasan!C24</f>
        <v>356</v>
      </c>
      <c r="D25" s="64" t="str">
        <f>Ringkasan!D24</f>
        <v>#N/A</v>
      </c>
      <c r="E25" s="64" t="str">
        <f>Ringkasan!E24</f>
        <v>IDXV30</v>
      </c>
      <c r="F25" s="64" t="str">
        <f>Ringkasan!F24</f>
        <v>4 Agustus 2026</v>
      </c>
      <c r="G25" s="65">
        <f>Ringkasan!G24</f>
        <v>11</v>
      </c>
      <c r="H25" s="19">
        <f>Ringkasan!H24</f>
        <v>8.6</v>
      </c>
      <c r="I25" s="19">
        <f>Ringkasan!I24</f>
        <v>0.88</v>
      </c>
      <c r="J25" s="19">
        <f>Ringkasan!J24</f>
        <v>10.2</v>
      </c>
      <c r="K25" s="19">
        <f>Ringkasan!K24</f>
        <v>8</v>
      </c>
      <c r="L25" s="19">
        <f>Ringkasan!L24</f>
        <v>0.28</v>
      </c>
      <c r="M25" s="19">
        <f>Ringkasan!M24</f>
        <v>29.4</v>
      </c>
      <c r="N25" s="64" t="str">
        <f>Ringkasan!N24</f>
        <v/>
      </c>
      <c r="O25" s="64" t="str">
        <f>Ringkasan!O24</f>
        <v/>
      </c>
      <c r="P25" s="64" t="str">
        <f>Ringkasan!P24</f>
        <v/>
      </c>
      <c r="Q25" s="64" t="str">
        <f>Ringkasan!Q24</f>
        <v/>
      </c>
      <c r="R25" s="64" t="str">
        <f>Ringkasan!R24</f>
        <v/>
      </c>
      <c r="S25" s="64" t="str">
        <f>Ringkasan!S24</f>
        <v/>
      </c>
      <c r="T25" s="64" t="str">
        <f>Ringkasan!T24</f>
        <v/>
      </c>
      <c r="U25" s="64">
        <f>Ringkasan!U24</f>
        <v>36.5</v>
      </c>
      <c r="V25" s="64">
        <f>Ringkasan!V24</f>
        <v>1.12</v>
      </c>
      <c r="W25" s="64">
        <f>Ringkasan!W24</f>
        <v>36.6</v>
      </c>
      <c r="X25" s="64">
        <f>Ringkasan!X24</f>
        <v>36.98</v>
      </c>
      <c r="Y25" s="64">
        <f>Ringkasan!Y24</f>
        <v>36.6</v>
      </c>
      <c r="Z25" s="64">
        <f>Ringkasan!Z24</f>
        <v>846</v>
      </c>
      <c r="AA25" s="64" t="str">
        <f>Ringkasan!AA24</f>
        <v>Specialty Retail</v>
      </c>
      <c r="AB25" s="64" t="str">
        <f>Ringkasan!AB24</f>
        <v>Consumer Cyclicals</v>
      </c>
    </row>
    <row r="26" hidden="1">
      <c r="A26" s="64" t="str">
        <f>Ringkasan!A25</f>
        <v>ACES</v>
      </c>
      <c r="B26" s="64" t="str">
        <f>Ringkasan!B25</f>
        <v>Aspirasi Hidup Indonesia Tbk.</v>
      </c>
      <c r="C26" s="65">
        <f>Ringkasan!C25</f>
        <v>356</v>
      </c>
      <c r="D26" s="64" t="str">
        <f>Ringkasan!D25</f>
        <v>#N/A</v>
      </c>
      <c r="E26" s="64" t="str">
        <f>Ringkasan!E25</f>
        <v>ESGSKEHATI</v>
      </c>
      <c r="F26" s="66">
        <f>Ringkasan!F25</f>
        <v>46356</v>
      </c>
      <c r="G26" s="65">
        <f>Ringkasan!G25</f>
        <v>11</v>
      </c>
      <c r="H26" s="19">
        <f>Ringkasan!H25</f>
        <v>8.6</v>
      </c>
      <c r="I26" s="19">
        <f>Ringkasan!I25</f>
        <v>0.88</v>
      </c>
      <c r="J26" s="19">
        <f>Ringkasan!J25</f>
        <v>10.2</v>
      </c>
      <c r="K26" s="19">
        <f>Ringkasan!K25</f>
        <v>8</v>
      </c>
      <c r="L26" s="19">
        <f>Ringkasan!L25</f>
        <v>0.28</v>
      </c>
      <c r="M26" s="19">
        <f>Ringkasan!M25</f>
        <v>29.4</v>
      </c>
      <c r="N26" s="64" t="str">
        <f>Ringkasan!N25</f>
        <v/>
      </c>
      <c r="O26" s="64" t="str">
        <f>Ringkasan!O25</f>
        <v/>
      </c>
      <c r="P26" s="64" t="str">
        <f>Ringkasan!P25</f>
        <v/>
      </c>
      <c r="Q26" s="64" t="str">
        <f>Ringkasan!Q25</f>
        <v/>
      </c>
      <c r="R26" s="64" t="str">
        <f>Ringkasan!R25</f>
        <v/>
      </c>
      <c r="S26" s="64" t="str">
        <f>Ringkasan!S25</f>
        <v/>
      </c>
      <c r="T26" s="64" t="str">
        <f>Ringkasan!T25</f>
        <v/>
      </c>
      <c r="U26" s="64">
        <f>Ringkasan!U25</f>
        <v>36.5</v>
      </c>
      <c r="V26" s="64">
        <f>Ringkasan!V25</f>
        <v>1.12</v>
      </c>
      <c r="W26" s="64">
        <f>Ringkasan!W25</f>
        <v>36.6</v>
      </c>
      <c r="X26" s="64">
        <f>Ringkasan!X25</f>
        <v>36.98</v>
      </c>
      <c r="Y26" s="64">
        <f>Ringkasan!Y25</f>
        <v>36.6</v>
      </c>
      <c r="Z26" s="64">
        <f>Ringkasan!Z25</f>
        <v>846</v>
      </c>
      <c r="AA26" s="64" t="str">
        <f>Ringkasan!AA25</f>
        <v>Specialty Retail</v>
      </c>
      <c r="AB26" s="64" t="str">
        <f>Ringkasan!AB25</f>
        <v>Consumer Cyclicals</v>
      </c>
    </row>
    <row r="27" hidden="1">
      <c r="A27" s="64" t="str">
        <f>Ringkasan!A26</f>
        <v>ACES</v>
      </c>
      <c r="B27" s="64" t="str">
        <f>Ringkasan!B26</f>
        <v>Aspirasi Hidup Indonesia Tbk.</v>
      </c>
      <c r="C27" s="65">
        <f>Ringkasan!C26</f>
        <v>356</v>
      </c>
      <c r="D27" s="64" t="str">
        <f>Ringkasan!D26</f>
        <v>#N/A</v>
      </c>
      <c r="E27" s="64" t="str">
        <f>Ringkasan!E26</f>
        <v>JII70</v>
      </c>
      <c r="F27" s="66">
        <f>Ringkasan!F26</f>
        <v>46356</v>
      </c>
      <c r="G27" s="65">
        <f>Ringkasan!G26</f>
        <v>11</v>
      </c>
      <c r="H27" s="19">
        <f>Ringkasan!H26</f>
        <v>8.6</v>
      </c>
      <c r="I27" s="19">
        <f>Ringkasan!I26</f>
        <v>0.88</v>
      </c>
      <c r="J27" s="19">
        <f>Ringkasan!J26</f>
        <v>10.2</v>
      </c>
      <c r="K27" s="19">
        <f>Ringkasan!K26</f>
        <v>8</v>
      </c>
      <c r="L27" s="19">
        <f>Ringkasan!L26</f>
        <v>0.28</v>
      </c>
      <c r="M27" s="19">
        <f>Ringkasan!M26</f>
        <v>29.4</v>
      </c>
      <c r="N27" s="64" t="str">
        <f>Ringkasan!N26</f>
        <v/>
      </c>
      <c r="O27" s="64" t="str">
        <f>Ringkasan!O26</f>
        <v/>
      </c>
      <c r="P27" s="64" t="str">
        <f>Ringkasan!P26</f>
        <v/>
      </c>
      <c r="Q27" s="64" t="str">
        <f>Ringkasan!Q26</f>
        <v/>
      </c>
      <c r="R27" s="64" t="str">
        <f>Ringkasan!R26</f>
        <v/>
      </c>
      <c r="S27" s="64" t="str">
        <f>Ringkasan!S26</f>
        <v/>
      </c>
      <c r="T27" s="64" t="str">
        <f>Ringkasan!T26</f>
        <v/>
      </c>
      <c r="U27" s="64">
        <f>Ringkasan!U26</f>
        <v>36.5</v>
      </c>
      <c r="V27" s="64">
        <f>Ringkasan!V26</f>
        <v>1.12</v>
      </c>
      <c r="W27" s="64">
        <f>Ringkasan!W26</f>
        <v>36.6</v>
      </c>
      <c r="X27" s="64">
        <f>Ringkasan!X26</f>
        <v>36.98</v>
      </c>
      <c r="Y27" s="64">
        <f>Ringkasan!Y26</f>
        <v>36.6</v>
      </c>
      <c r="Z27" s="64">
        <f>Ringkasan!Z26</f>
        <v>846</v>
      </c>
      <c r="AA27" s="64" t="str">
        <f>Ringkasan!AA26</f>
        <v>Specialty Retail</v>
      </c>
      <c r="AB27" s="64" t="str">
        <f>Ringkasan!AB26</f>
        <v>Consumer Cyclicals</v>
      </c>
    </row>
    <row r="28" hidden="1">
      <c r="A28" s="64" t="str">
        <f>Ringkasan!A27</f>
        <v>ACRO</v>
      </c>
      <c r="B28" s="64" t="str">
        <f>Ringkasan!B27</f>
        <v>Samcro Hyosung Adilestari Tbk.</v>
      </c>
      <c r="C28" s="65">
        <f>Ringkasan!C27</f>
        <v>61</v>
      </c>
      <c r="D28" s="64" t="str">
        <f>Ringkasan!D27</f>
        <v>#N/A</v>
      </c>
      <c r="E28" s="64" t="str">
        <f>Ringkasan!E27</f>
        <v/>
      </c>
      <c r="F28" s="64" t="str">
        <f>Ringkasan!F27</f>
        <v/>
      </c>
      <c r="G28" s="64">
        <f>Ringkasan!G27</f>
        <v>0</v>
      </c>
      <c r="H28" s="19">
        <f>Ringkasan!H27</f>
        <v>26.8</v>
      </c>
      <c r="I28" s="19">
        <f>Ringkasan!I27</f>
        <v>1.2</v>
      </c>
      <c r="J28" s="19">
        <f>Ringkasan!J27</f>
        <v>4.6</v>
      </c>
      <c r="K28" s="19">
        <f>Ringkasan!K27</f>
        <v>3.5</v>
      </c>
      <c r="L28" s="19">
        <f>Ringkasan!L27</f>
        <v>0.29</v>
      </c>
      <c r="M28" s="19">
        <f>Ringkasan!M27</f>
        <v>70.6</v>
      </c>
      <c r="N28" s="64" t="str">
        <f>Ringkasan!N27</f>
        <v/>
      </c>
      <c r="O28" s="64" t="str">
        <f>Ringkasan!O27</f>
        <v/>
      </c>
      <c r="P28" s="64" t="str">
        <f>Ringkasan!P27</f>
        <v/>
      </c>
      <c r="Q28" s="64" t="str">
        <f>Ringkasan!Q27</f>
        <v/>
      </c>
      <c r="R28" s="64" t="str">
        <f>Ringkasan!R27</f>
        <v/>
      </c>
      <c r="S28" s="64" t="str">
        <f>Ringkasan!S27</f>
        <v/>
      </c>
      <c r="T28" s="64" t="str">
        <f>Ringkasan!T27</f>
        <v/>
      </c>
      <c r="U28" s="64">
        <f>Ringkasan!U27</f>
        <v>60</v>
      </c>
      <c r="V28" s="64">
        <f>Ringkasan!V27</f>
        <v>1.67</v>
      </c>
      <c r="W28" s="64">
        <f>Ringkasan!W27</f>
        <v>60</v>
      </c>
      <c r="X28" s="64">
        <f>Ringkasan!X27</f>
        <v>65</v>
      </c>
      <c r="Y28" s="64">
        <f>Ringkasan!Y27</f>
        <v>60</v>
      </c>
      <c r="Z28" s="64">
        <f>Ringkasan!Z27</f>
        <v>3937300</v>
      </c>
      <c r="AA28" s="64" t="str">
        <f>Ringkasan!AA27</f>
        <v>Apparel &amp; Luxury Goods</v>
      </c>
      <c r="AB28" s="64" t="str">
        <f>Ringkasan!AB27</f>
        <v>Consumer Cyclicals</v>
      </c>
    </row>
    <row r="29" hidden="1">
      <c r="A29" s="64" t="str">
        <f>Ringkasan!A28</f>
        <v>ACST</v>
      </c>
      <c r="B29" s="64" t="str">
        <f>Ringkasan!B28</f>
        <v>PT Acset Indonusa Tbk.</v>
      </c>
      <c r="C29" s="65">
        <f>Ringkasan!C28</f>
        <v>71</v>
      </c>
      <c r="D29" s="64" t="str">
        <f>Ringkasan!D28</f>
        <v>#N/A</v>
      </c>
      <c r="E29" s="64" t="str">
        <f>Ringkasan!E28</f>
        <v/>
      </c>
      <c r="F29" s="64" t="str">
        <f>Ringkasan!F28</f>
        <v/>
      </c>
      <c r="G29" s="64">
        <f>Ringkasan!G28</f>
        <v>0</v>
      </c>
      <c r="H29" s="19">
        <f>Ringkasan!H28</f>
        <v>-2.1</v>
      </c>
      <c r="I29" s="19">
        <f>Ringkasan!I28</f>
        <v>-4.4</v>
      </c>
      <c r="J29" s="19">
        <f>Ringkasan!J28</f>
        <v>0</v>
      </c>
      <c r="K29" s="19">
        <f>Ringkasan!K28</f>
        <v>-23.3</v>
      </c>
      <c r="L29" s="19">
        <f>Ringkasan!L28</f>
        <v>-9.9</v>
      </c>
      <c r="M29" s="19">
        <f>Ringkasan!M28</f>
        <v>-150</v>
      </c>
      <c r="N29" s="64" t="str">
        <f>Ringkasan!N28</f>
        <v/>
      </c>
      <c r="O29" s="64" t="str">
        <f>Ringkasan!O28</f>
        <v/>
      </c>
      <c r="P29" s="64" t="str">
        <f>Ringkasan!P28</f>
        <v/>
      </c>
      <c r="Q29" s="64" t="str">
        <f>Ringkasan!Q28</f>
        <v/>
      </c>
      <c r="R29" s="64" t="str">
        <f>Ringkasan!R28</f>
        <v/>
      </c>
      <c r="S29" s="64" t="str">
        <f>Ringkasan!S28</f>
        <v/>
      </c>
      <c r="T29" s="64" t="str">
        <f>Ringkasan!T28</f>
        <v/>
      </c>
      <c r="U29" s="64">
        <f>Ringkasan!U28</f>
        <v>70</v>
      </c>
      <c r="V29" s="64">
        <f>Ringkasan!V28</f>
        <v>1.43</v>
      </c>
      <c r="W29" s="64">
        <f>Ringkasan!W28</f>
        <v>70</v>
      </c>
      <c r="X29" s="64">
        <f>Ringkasan!X28</f>
        <v>71</v>
      </c>
      <c r="Y29" s="64">
        <f>Ringkasan!Y28</f>
        <v>70</v>
      </c>
      <c r="Z29" s="64">
        <f>Ringkasan!Z28</f>
        <v>173800</v>
      </c>
      <c r="AA29" s="64" t="str">
        <f>Ringkasan!AA28</f>
        <v>Heavy Constructions &amp; Civil Engineering</v>
      </c>
      <c r="AB29" s="64" t="str">
        <f>Ringkasan!AB28</f>
        <v>Infrastructures</v>
      </c>
    </row>
    <row r="30" hidden="1">
      <c r="A30" s="64" t="str">
        <f>Ringkasan!A29</f>
        <v>ADCP</v>
      </c>
      <c r="B30" s="64" t="str">
        <f>Ringkasan!B29</f>
        <v>Adhi Commuter Properti Tbk.</v>
      </c>
      <c r="C30" s="65">
        <f>Ringkasan!C29</f>
        <v>50</v>
      </c>
      <c r="D30" s="64" t="str">
        <f>Ringkasan!D29</f>
        <v>#N/A</v>
      </c>
      <c r="E30" s="64" t="str">
        <f>Ringkasan!E29</f>
        <v/>
      </c>
      <c r="F30" s="64" t="str">
        <f>Ringkasan!F29</f>
        <v/>
      </c>
      <c r="G30" s="64">
        <f>Ringkasan!G29</f>
        <v>0</v>
      </c>
      <c r="H30" s="19">
        <f>Ringkasan!H29</f>
        <v>-0.52</v>
      </c>
      <c r="I30" s="19">
        <f>Ringkasan!I29</f>
        <v>2.8</v>
      </c>
      <c r="J30" s="19">
        <f>Ringkasan!J29</f>
        <v>-540</v>
      </c>
      <c r="K30" s="19">
        <f>Ringkasan!K29</f>
        <v>-42.2</v>
      </c>
      <c r="L30" s="19">
        <f>Ringkasan!L29</f>
        <v>11.9</v>
      </c>
      <c r="M30" s="19">
        <f>Ringkasan!M29</f>
        <v>-5640</v>
      </c>
      <c r="N30" s="64" t="str">
        <f>Ringkasan!N29</f>
        <v/>
      </c>
      <c r="O30" s="64" t="str">
        <f>Ringkasan!O29</f>
        <v/>
      </c>
      <c r="P30" s="64" t="str">
        <f>Ringkasan!P29</f>
        <v/>
      </c>
      <c r="Q30" s="64" t="str">
        <f>Ringkasan!Q29</f>
        <v/>
      </c>
      <c r="R30" s="64" t="str">
        <f>Ringkasan!R29</f>
        <v/>
      </c>
      <c r="S30" s="64" t="str">
        <f>Ringkasan!S29</f>
        <v/>
      </c>
      <c r="T30" s="64" t="str">
        <f>Ringkasan!T29</f>
        <v/>
      </c>
      <c r="U30" s="64">
        <f>Ringkasan!U29</f>
        <v>50</v>
      </c>
      <c r="V30" s="64">
        <f>Ringkasan!V29</f>
        <v>0</v>
      </c>
      <c r="W30" s="64" t="str">
        <f>Ringkasan!W29</f>
        <v/>
      </c>
      <c r="X30" s="64" t="str">
        <f>Ringkasan!X29</f>
        <v/>
      </c>
      <c r="Y30" s="64" t="str">
        <f>Ringkasan!Y29</f>
        <v/>
      </c>
      <c r="Z30" s="64">
        <f>Ringkasan!Z29</f>
        <v>0</v>
      </c>
      <c r="AA30" s="64" t="str">
        <f>Ringkasan!AA29</f>
        <v>Real Estate Management &amp; Development</v>
      </c>
      <c r="AB30" s="64" t="str">
        <f>Ringkasan!AB29</f>
        <v>Properties &amp; Real Estate</v>
      </c>
    </row>
    <row r="31" hidden="1">
      <c r="A31" s="64" t="str">
        <f>Ringkasan!A30</f>
        <v>ADES</v>
      </c>
      <c r="B31" s="64" t="str">
        <f>Ringkasan!B30</f>
        <v>Akasha Wira International Tbk.</v>
      </c>
      <c r="C31" s="65">
        <f>Ringkasan!C30</f>
        <v>22000</v>
      </c>
      <c r="D31" s="64" t="str">
        <f>Ringkasan!D30</f>
        <v>#N/A</v>
      </c>
      <c r="E31" s="64" t="str">
        <f>Ringkasan!E30</f>
        <v/>
      </c>
      <c r="F31" s="64" t="str">
        <f>Ringkasan!F30</f>
        <v/>
      </c>
      <c r="G31" s="64">
        <f>Ringkasan!G30</f>
        <v>0</v>
      </c>
      <c r="H31" s="19">
        <f>Ringkasan!H30</f>
        <v>14.6</v>
      </c>
      <c r="I31" s="19">
        <f>Ringkasan!I30</f>
        <v>3.8</v>
      </c>
      <c r="J31" s="19">
        <f>Ringkasan!J30</f>
        <v>26.1</v>
      </c>
      <c r="K31" s="19">
        <f>Ringkasan!K30</f>
        <v>21.6</v>
      </c>
      <c r="L31" s="19">
        <f>Ringkasan!L30</f>
        <v>0.21</v>
      </c>
      <c r="M31" s="19">
        <f>Ringkasan!M30</f>
        <v>90.3</v>
      </c>
      <c r="N31" s="64" t="str">
        <f>Ringkasan!N30</f>
        <v/>
      </c>
      <c r="O31" s="64" t="str">
        <f>Ringkasan!O30</f>
        <v/>
      </c>
      <c r="P31" s="64" t="str">
        <f>Ringkasan!P30</f>
        <v/>
      </c>
      <c r="Q31" s="64" t="str">
        <f>Ringkasan!Q30</f>
        <v/>
      </c>
      <c r="R31" s="64" t="str">
        <f>Ringkasan!R30</f>
        <v/>
      </c>
      <c r="S31" s="64" t="str">
        <f>Ringkasan!S30</f>
        <v/>
      </c>
      <c r="T31" s="64" t="str">
        <f>Ringkasan!T30</f>
        <v/>
      </c>
      <c r="U31" s="64">
        <f>Ringkasan!U30</f>
        <v>21900</v>
      </c>
      <c r="V31" s="64">
        <f>Ringkasan!V30</f>
        <v>0.46</v>
      </c>
      <c r="W31" s="64">
        <f>Ringkasan!W30</f>
        <v>21900</v>
      </c>
      <c r="X31" s="64">
        <f>Ringkasan!X30</f>
        <v>22050</v>
      </c>
      <c r="Y31" s="64">
        <f>Ringkasan!Y30</f>
        <v>21650</v>
      </c>
      <c r="Z31" s="64">
        <f>Ringkasan!Z30</f>
        <v>34900</v>
      </c>
      <c r="AA31" s="64" t="str">
        <f>Ringkasan!AA30</f>
        <v>Beverages</v>
      </c>
      <c r="AB31" s="64" t="str">
        <f>Ringkasan!AB30</f>
        <v>Consumer Non-Cyclicals</v>
      </c>
    </row>
    <row r="32" hidden="1">
      <c r="A32" s="64" t="str">
        <f>Ringkasan!A31</f>
        <v>ADHI</v>
      </c>
      <c r="B32" s="64" t="str">
        <f>Ringkasan!B31</f>
        <v>PT Adhi Karya (Persero) Tbk.</v>
      </c>
      <c r="C32" s="65">
        <f>Ringkasan!C31</f>
        <v>158</v>
      </c>
      <c r="D32" s="64" t="str">
        <f>Ringkasan!D31</f>
        <v>#N/A</v>
      </c>
      <c r="E32" s="64" t="str">
        <f>Ringkasan!E31</f>
        <v>IDXBUMN20</v>
      </c>
      <c r="F32" s="64" t="str">
        <f>Ringkasan!F31</f>
        <v>4 Agustus 2026</v>
      </c>
      <c r="G32" s="64">
        <f>Ringkasan!G31</f>
        <v>1</v>
      </c>
      <c r="H32" s="19">
        <f>Ringkasan!H31</f>
        <v>-0.27</v>
      </c>
      <c r="I32" s="19">
        <f>Ringkasan!I31</f>
        <v>0.41</v>
      </c>
      <c r="J32" s="19">
        <f>Ringkasan!J31</f>
        <v>-150</v>
      </c>
      <c r="K32" s="19">
        <f>Ringkasan!K31</f>
        <v>-18.7</v>
      </c>
      <c r="L32" s="19">
        <f>Ringkasan!L31</f>
        <v>7.1</v>
      </c>
      <c r="M32" s="19">
        <f>Ringkasan!M31</f>
        <v>-320</v>
      </c>
      <c r="N32" s="64" t="str">
        <f>Ringkasan!N31</f>
        <v/>
      </c>
      <c r="O32" s="64" t="str">
        <f>Ringkasan!O31</f>
        <v/>
      </c>
      <c r="P32" s="64" t="str">
        <f>Ringkasan!P31</f>
        <v/>
      </c>
      <c r="Q32" s="64" t="str">
        <f>Ringkasan!Q31</f>
        <v/>
      </c>
      <c r="R32" s="64" t="str">
        <f>Ringkasan!R31</f>
        <v/>
      </c>
      <c r="S32" s="64" t="str">
        <f>Ringkasan!S31</f>
        <v/>
      </c>
      <c r="T32" s="64" t="str">
        <f>Ringkasan!T31</f>
        <v/>
      </c>
      <c r="U32" s="64">
        <f>Ringkasan!U31</f>
        <v>0.19</v>
      </c>
      <c r="V32" s="64">
        <f>Ringkasan!V31</f>
        <v>-10.53</v>
      </c>
      <c r="W32" s="64">
        <f>Ringkasan!W31</f>
        <v>0.17</v>
      </c>
      <c r="X32" s="64">
        <f>Ringkasan!X31</f>
        <v>0.17</v>
      </c>
      <c r="Y32" s="64">
        <f>Ringkasan!Y31</f>
        <v>0.17</v>
      </c>
      <c r="Z32" s="64">
        <f>Ringkasan!Z31</f>
        <v>427</v>
      </c>
      <c r="AA32" s="64" t="str">
        <f>Ringkasan!AA31</f>
        <v>Heavy Constructions &amp; Civil Engineering</v>
      </c>
      <c r="AB32" s="64" t="str">
        <f>Ringkasan!AB31</f>
        <v>Infrastructures</v>
      </c>
    </row>
    <row r="33" hidden="1">
      <c r="A33" s="64" t="str">
        <f>Ringkasan!A32</f>
        <v>ADMF</v>
      </c>
      <c r="B33" s="64" t="str">
        <f>Ringkasan!B32</f>
        <v>Adira Dinamika Multi Finance Tbk.</v>
      </c>
      <c r="C33" s="65">
        <f>Ringkasan!C32</f>
        <v>8200</v>
      </c>
      <c r="D33" s="64" t="str">
        <f>Ringkasan!D32</f>
        <v>#N/A</v>
      </c>
      <c r="E33" s="64" t="str">
        <f>Ringkasan!E32</f>
        <v/>
      </c>
      <c r="F33" s="64" t="str">
        <f>Ringkasan!F32</f>
        <v/>
      </c>
      <c r="G33" s="64">
        <f>Ringkasan!G32</f>
        <v>0</v>
      </c>
      <c r="H33" s="19">
        <f>Ringkasan!H32</f>
        <v>5.9</v>
      </c>
      <c r="I33" s="19">
        <f>Ringkasan!I32</f>
        <v>0.66</v>
      </c>
      <c r="J33" s="19">
        <f>Ringkasan!J32</f>
        <v>11.2</v>
      </c>
      <c r="K33" s="19">
        <f>Ringkasan!K32</f>
        <v>4.4</v>
      </c>
      <c r="L33" s="19">
        <f>Ringkasan!L32</f>
        <v>1.6</v>
      </c>
      <c r="M33" s="19">
        <f>Ringkasan!M32</f>
        <v>64.1</v>
      </c>
      <c r="N33" s="64" t="str">
        <f>Ringkasan!N32</f>
        <v/>
      </c>
      <c r="O33" s="64" t="str">
        <f>Ringkasan!O32</f>
        <v/>
      </c>
      <c r="P33" s="64" t="str">
        <f>Ringkasan!P32</f>
        <v/>
      </c>
      <c r="Q33" s="64" t="str">
        <f>Ringkasan!Q32</f>
        <v/>
      </c>
      <c r="R33" s="64" t="str">
        <f>Ringkasan!R32</f>
        <v/>
      </c>
      <c r="S33" s="64" t="str">
        <f>Ringkasan!S32</f>
        <v/>
      </c>
      <c r="T33" s="64" t="str">
        <f>Ringkasan!T32</f>
        <v/>
      </c>
      <c r="U33" s="64">
        <f>Ringkasan!U32</f>
        <v>8050</v>
      </c>
      <c r="V33" s="64">
        <f>Ringkasan!V32</f>
        <v>1.86</v>
      </c>
      <c r="W33" s="64">
        <f>Ringkasan!W32</f>
        <v>8100</v>
      </c>
      <c r="X33" s="64">
        <f>Ringkasan!X32</f>
        <v>8300</v>
      </c>
      <c r="Y33" s="64">
        <f>Ringkasan!Y32</f>
        <v>8050</v>
      </c>
      <c r="Z33" s="64">
        <f>Ringkasan!Z32</f>
        <v>48500</v>
      </c>
      <c r="AA33" s="64" t="str">
        <f>Ringkasan!AA32</f>
        <v>Consumer Financing</v>
      </c>
      <c r="AB33" s="64" t="str">
        <f>Ringkasan!AB32</f>
        <v>Financials</v>
      </c>
    </row>
    <row r="34" hidden="1">
      <c r="A34" s="64" t="str">
        <f>Ringkasan!A112</f>
        <v>ANDI</v>
      </c>
      <c r="B34" s="64" t="str">
        <f>Ringkasan!B112</f>
        <v>Andira Agro Tbk.</v>
      </c>
      <c r="C34" s="65">
        <f>Ringkasan!C112</f>
        <v>18</v>
      </c>
      <c r="D34" s="64" t="str">
        <f>Ringkasan!D112</f>
        <v>#N/A</v>
      </c>
      <c r="E34" s="64" t="str">
        <f>Ringkasan!E112</f>
        <v/>
      </c>
      <c r="F34" s="64" t="str">
        <f>Ringkasan!F112</f>
        <v/>
      </c>
      <c r="G34" s="64">
        <f>Ringkasan!G112</f>
        <v>0</v>
      </c>
      <c r="H34" s="19">
        <f>Ringkasan!H112</f>
        <v>-3.7</v>
      </c>
      <c r="I34" s="19">
        <f>Ringkasan!I112</f>
        <v>1.7</v>
      </c>
      <c r="J34" s="19">
        <f>Ringkasan!J112</f>
        <v>-45.6</v>
      </c>
      <c r="K34" s="19">
        <f>Ringkasan!K112</f>
        <v>-18.6</v>
      </c>
      <c r="L34" s="19">
        <f>Ringkasan!L112</f>
        <v>1.5</v>
      </c>
      <c r="M34" s="19">
        <f>Ringkasan!M112</f>
        <v>-210</v>
      </c>
      <c r="N34" s="64" t="str">
        <f>Ringkasan!N112</f>
        <v/>
      </c>
      <c r="O34" s="64" t="str">
        <f>Ringkasan!O112</f>
        <v/>
      </c>
      <c r="P34" s="64" t="str">
        <f>Ringkasan!P112</f>
        <v/>
      </c>
      <c r="Q34" s="64" t="str">
        <f>Ringkasan!Q112</f>
        <v/>
      </c>
      <c r="R34" s="64" t="str">
        <f>Ringkasan!R112</f>
        <v/>
      </c>
      <c r="S34" s="64" t="str">
        <f>Ringkasan!S112</f>
        <v/>
      </c>
      <c r="T34" s="64" t="str">
        <f>Ringkasan!T112</f>
        <v/>
      </c>
      <c r="U34" s="64">
        <f>Ringkasan!U112</f>
        <v>0</v>
      </c>
      <c r="V34" s="64" t="str">
        <f>Ringkasan!V112</f>
        <v/>
      </c>
      <c r="W34" s="64">
        <f>Ringkasan!W112</f>
        <v>0</v>
      </c>
      <c r="X34" s="64">
        <f>Ringkasan!X112</f>
        <v>0</v>
      </c>
      <c r="Y34" s="64">
        <f>Ringkasan!Y112</f>
        <v>0</v>
      </c>
      <c r="Z34" s="64">
        <f>Ringkasan!Z112</f>
        <v>700</v>
      </c>
      <c r="AA34" s="64" t="str">
        <f>Ringkasan!AA112</f>
        <v>Agricultural Products</v>
      </c>
      <c r="AB34" s="64" t="str">
        <f>Ringkasan!AB112</f>
        <v>Consumer Non-Cyclicals</v>
      </c>
    </row>
    <row r="35" hidden="1">
      <c r="A35" s="64" t="str">
        <f>Ringkasan!A34</f>
        <v>ADMR</v>
      </c>
      <c r="B35" s="64" t="str">
        <f>Ringkasan!B34</f>
        <v>Alamtri Minerals Indonesia Tbk.</v>
      </c>
      <c r="C35" s="65">
        <f>Ringkasan!C34</f>
        <v>1575</v>
      </c>
      <c r="D35" s="64" t="str">
        <f>Ringkasan!D34</f>
        <v>#N/A</v>
      </c>
      <c r="E35" s="64" t="str">
        <f>Ringkasan!E34</f>
        <v>IDXQ30</v>
      </c>
      <c r="F35" s="64" t="str">
        <f>Ringkasan!F34</f>
        <v>4 Agustus 2026</v>
      </c>
      <c r="G35" s="64">
        <f>Ringkasan!G34</f>
        <v>9</v>
      </c>
      <c r="H35" s="19">
        <f>Ringkasan!H34</f>
        <v>12.6</v>
      </c>
      <c r="I35" s="19">
        <f>Ringkasan!I34</f>
        <v>2</v>
      </c>
      <c r="J35" s="19">
        <f>Ringkasan!J34</f>
        <v>16.2</v>
      </c>
      <c r="K35" s="19">
        <f>Ringkasan!K34</f>
        <v>9.1</v>
      </c>
      <c r="L35" s="19">
        <f>Ringkasan!L34</f>
        <v>0.78</v>
      </c>
      <c r="M35" s="19">
        <f>Ringkasan!M34</f>
        <v>110</v>
      </c>
      <c r="N35" s="64" t="str">
        <f>Ringkasan!N34</f>
        <v/>
      </c>
      <c r="O35" s="64" t="str">
        <f>Ringkasan!O34</f>
        <v/>
      </c>
      <c r="P35" s="64" t="str">
        <f>Ringkasan!P34</f>
        <v/>
      </c>
      <c r="Q35" s="64" t="str">
        <f>Ringkasan!Q34</f>
        <v/>
      </c>
      <c r="R35" s="64" t="str">
        <f>Ringkasan!R34</f>
        <v/>
      </c>
      <c r="S35" s="64" t="str">
        <f>Ringkasan!S34</f>
        <v/>
      </c>
      <c r="T35" s="64" t="str">
        <f>Ringkasan!T34</f>
        <v/>
      </c>
      <c r="U35" s="64">
        <f>Ringkasan!U34</f>
        <v>1465</v>
      </c>
      <c r="V35" s="64">
        <f>Ringkasan!V34</f>
        <v>7.51</v>
      </c>
      <c r="W35" s="64">
        <f>Ringkasan!W34</f>
        <v>1495</v>
      </c>
      <c r="X35" s="64">
        <f>Ringkasan!X34</f>
        <v>1640</v>
      </c>
      <c r="Y35" s="64">
        <f>Ringkasan!Y34</f>
        <v>1485</v>
      </c>
      <c r="Z35" s="64">
        <f>Ringkasan!Z34</f>
        <v>43266800</v>
      </c>
      <c r="AA35" s="64" t="str">
        <f>Ringkasan!AA34</f>
        <v>Coal</v>
      </c>
      <c r="AB35" s="64" t="str">
        <f>Ringkasan!AB34</f>
        <v>Energy</v>
      </c>
    </row>
    <row r="36" hidden="1">
      <c r="A36" s="64" t="str">
        <f>Ringkasan!A206</f>
        <v>AYAM</v>
      </c>
      <c r="B36" s="64" t="str">
        <f>Ringkasan!B206</f>
        <v>Janu Putra Sejahtera Tbk.</v>
      </c>
      <c r="C36" s="67">
        <f>Ringkasan!C206</f>
        <v>332</v>
      </c>
      <c r="D36" s="22" t="str">
        <f>Ringkasan!D206</f>
        <v>#N/A</v>
      </c>
      <c r="E36" s="64" t="str">
        <f>Ringkasan!E206</f>
        <v/>
      </c>
      <c r="F36" s="64" t="str">
        <f>Ringkasan!F206</f>
        <v/>
      </c>
      <c r="G36" s="64">
        <f>Ringkasan!G206</f>
        <v>0</v>
      </c>
      <c r="H36" s="19">
        <f>Ringkasan!H206</f>
        <v>640</v>
      </c>
      <c r="I36" s="19">
        <f>Ringkasan!I206</f>
        <v>5.8</v>
      </c>
      <c r="J36" s="19">
        <f>Ringkasan!J206</f>
        <v>0.9</v>
      </c>
      <c r="K36" s="19">
        <f>Ringkasan!K206</f>
        <v>0.37</v>
      </c>
      <c r="L36" s="19">
        <f>Ringkasan!L206</f>
        <v>1.4</v>
      </c>
      <c r="M36" s="19">
        <f>Ringkasan!M206</f>
        <v>3.4</v>
      </c>
      <c r="N36" s="64" t="str">
        <f>Ringkasan!N206</f>
        <v/>
      </c>
      <c r="O36" s="64" t="str">
        <f>Ringkasan!O206</f>
        <v/>
      </c>
      <c r="P36" s="64" t="str">
        <f>Ringkasan!P206</f>
        <v/>
      </c>
      <c r="Q36" s="64" t="str">
        <f>Ringkasan!Q206</f>
        <v/>
      </c>
      <c r="R36" s="64" t="str">
        <f>Ringkasan!R206</f>
        <v/>
      </c>
      <c r="S36" s="64" t="str">
        <f>Ringkasan!S206</f>
        <v/>
      </c>
      <c r="T36" s="64" t="str">
        <f>Ringkasan!T206</f>
        <v/>
      </c>
      <c r="U36" s="22">
        <f>Ringkasan!U206</f>
        <v>332</v>
      </c>
      <c r="V36" s="22">
        <f>Ringkasan!V206</f>
        <v>0</v>
      </c>
      <c r="W36" s="22">
        <f>Ringkasan!W206</f>
        <v>332</v>
      </c>
      <c r="X36" s="22">
        <f>Ringkasan!X206</f>
        <v>340</v>
      </c>
      <c r="Y36" s="22">
        <f>Ringkasan!Y206</f>
        <v>328</v>
      </c>
      <c r="Z36" s="22">
        <f>Ringkasan!Z206</f>
        <v>36803700</v>
      </c>
      <c r="AA36" s="64" t="str">
        <f>Ringkasan!AA206</f>
        <v>Agricultural Products</v>
      </c>
      <c r="AB36" s="64" t="str">
        <f>Ringkasan!AB206</f>
        <v>Consumer Non-Cyclicals</v>
      </c>
    </row>
    <row r="37" hidden="1">
      <c r="A37" s="64" t="str">
        <f>Ringkasan!A36</f>
        <v>ADMR</v>
      </c>
      <c r="B37" s="64" t="str">
        <f>Ringkasan!B36</f>
        <v>Alamtri Minerals Indonesia Tbk.</v>
      </c>
      <c r="C37" s="65">
        <f>Ringkasan!C36</f>
        <v>1575</v>
      </c>
      <c r="D37" s="64" t="str">
        <f>Ringkasan!D36</f>
        <v>#N/A</v>
      </c>
      <c r="E37" s="64" t="str">
        <f>Ringkasan!E36</f>
        <v>LQ45</v>
      </c>
      <c r="F37" s="64" t="str">
        <f>Ringkasan!F36</f>
        <v>31 Juli 2026</v>
      </c>
      <c r="G37" s="64">
        <f>Ringkasan!G36</f>
        <v>9</v>
      </c>
      <c r="H37" s="19">
        <f>Ringkasan!H36</f>
        <v>12.6</v>
      </c>
      <c r="I37" s="19">
        <f>Ringkasan!I36</f>
        <v>2</v>
      </c>
      <c r="J37" s="19">
        <f>Ringkasan!J36</f>
        <v>16.2</v>
      </c>
      <c r="K37" s="19">
        <f>Ringkasan!K36</f>
        <v>9.1</v>
      </c>
      <c r="L37" s="19">
        <f>Ringkasan!L36</f>
        <v>0.78</v>
      </c>
      <c r="M37" s="19">
        <f>Ringkasan!M36</f>
        <v>110</v>
      </c>
      <c r="N37" s="64" t="str">
        <f>Ringkasan!N36</f>
        <v/>
      </c>
      <c r="O37" s="64" t="str">
        <f>Ringkasan!O36</f>
        <v/>
      </c>
      <c r="P37" s="64" t="str">
        <f>Ringkasan!P36</f>
        <v/>
      </c>
      <c r="Q37" s="64" t="str">
        <f>Ringkasan!Q36</f>
        <v/>
      </c>
      <c r="R37" s="64" t="str">
        <f>Ringkasan!R36</f>
        <v/>
      </c>
      <c r="S37" s="64" t="str">
        <f>Ringkasan!S36</f>
        <v/>
      </c>
      <c r="T37" s="64" t="str">
        <f>Ringkasan!T36</f>
        <v/>
      </c>
      <c r="U37" s="64">
        <f>Ringkasan!U36</f>
        <v>1465</v>
      </c>
      <c r="V37" s="64">
        <f>Ringkasan!V36</f>
        <v>7.51</v>
      </c>
      <c r="W37" s="64">
        <f>Ringkasan!W36</f>
        <v>1495</v>
      </c>
      <c r="X37" s="64">
        <f>Ringkasan!X36</f>
        <v>1640</v>
      </c>
      <c r="Y37" s="64">
        <f>Ringkasan!Y36</f>
        <v>1485</v>
      </c>
      <c r="Z37" s="64">
        <f>Ringkasan!Z36</f>
        <v>43266800</v>
      </c>
      <c r="AA37" s="64" t="str">
        <f>Ringkasan!AA36</f>
        <v>Coal</v>
      </c>
      <c r="AB37" s="64" t="str">
        <f>Ringkasan!AB36</f>
        <v>Energy</v>
      </c>
    </row>
    <row r="38" hidden="1">
      <c r="A38" s="64" t="str">
        <f>Ringkasan!A240</f>
        <v>BBCA</v>
      </c>
      <c r="B38" s="64" t="str">
        <f>Ringkasan!B240</f>
        <v>Bank Central Asia Tbk.</v>
      </c>
      <c r="C38" s="65" t="str">
        <f>Ringkasan!C240</f>
        <v>#N/A</v>
      </c>
      <c r="D38" s="64" t="str">
        <f>Ringkasan!D240</f>
        <v>#N/A</v>
      </c>
      <c r="E38" s="64" t="str">
        <f>Ringkasan!E240</f>
        <v>SRI-KEHATI</v>
      </c>
      <c r="F38" s="66">
        <f>Ringkasan!F240</f>
        <v>46356</v>
      </c>
      <c r="G38" s="64">
        <f>Ringkasan!G240</f>
        <v>21</v>
      </c>
      <c r="H38" s="19">
        <f>Ringkasan!H240</f>
        <v>12.1</v>
      </c>
      <c r="I38" s="19">
        <f>Ringkasan!I240</f>
        <v>2.7</v>
      </c>
      <c r="J38" s="19">
        <f>Ringkasan!J240</f>
        <v>22.4</v>
      </c>
      <c r="K38" s="19">
        <f>Ringkasan!K240</f>
        <v>3.5</v>
      </c>
      <c r="L38" s="19">
        <f>Ringkasan!L240</f>
        <v>5.3</v>
      </c>
      <c r="M38" s="19">
        <f>Ringkasan!M240</f>
        <v>220</v>
      </c>
      <c r="N38" s="64">
        <f>Ringkasan!N240</f>
        <v>5.33</v>
      </c>
      <c r="O38" s="64">
        <f>Ringkasan!O240</f>
        <v>27.52</v>
      </c>
      <c r="P38" s="64">
        <f>Ringkasan!P240</f>
        <v>74.1</v>
      </c>
      <c r="Q38" s="64">
        <f>Ringkasan!Q240</f>
        <v>1.85</v>
      </c>
      <c r="R38" s="64">
        <f>Ringkasan!R240</f>
        <v>39.87</v>
      </c>
      <c r="S38" s="64">
        <f>Ringkasan!S240</f>
        <v>27.32</v>
      </c>
      <c r="T38" s="64">
        <f>Ringkasan!T240</f>
        <v>2.09</v>
      </c>
      <c r="U38" s="64">
        <f>Ringkasan!U240</f>
        <v>100.74</v>
      </c>
      <c r="V38" s="64">
        <f>Ringkasan!V240</f>
        <v>0.51</v>
      </c>
      <c r="W38" s="64">
        <f>Ringkasan!W240</f>
        <v>100.94</v>
      </c>
      <c r="X38" s="64">
        <f>Ringkasan!X240</f>
        <v>101.77</v>
      </c>
      <c r="Y38" s="64">
        <f>Ringkasan!Y240</f>
        <v>100.74</v>
      </c>
      <c r="Z38" s="64">
        <f>Ringkasan!Z240</f>
        <v>51924</v>
      </c>
      <c r="AA38" s="64" t="str">
        <f>Ringkasan!AA240</f>
        <v>Banks</v>
      </c>
      <c r="AB38" s="64" t="str">
        <f>Ringkasan!AB240</f>
        <v>Financials</v>
      </c>
    </row>
    <row r="39" hidden="1">
      <c r="A39" s="64" t="str">
        <f>Ringkasan!A331</f>
        <v>BIKE</v>
      </c>
      <c r="B39" s="64" t="str">
        <f>Ringkasan!B331</f>
        <v>Sepeda Bersama Indonesia Tbk.</v>
      </c>
      <c r="C39" s="65">
        <f>Ringkasan!C331</f>
        <v>510</v>
      </c>
      <c r="D39" s="64" t="str">
        <f>Ringkasan!D331</f>
        <v>#N/A</v>
      </c>
      <c r="E39" s="64" t="str">
        <f>Ringkasan!E331</f>
        <v/>
      </c>
      <c r="F39" s="64" t="str">
        <f>Ringkasan!F331</f>
        <v/>
      </c>
      <c r="G39" s="64">
        <f>Ringkasan!G331</f>
        <v>0</v>
      </c>
      <c r="H39" s="19">
        <f>Ringkasan!H331</f>
        <v>-27</v>
      </c>
      <c r="I39" s="19">
        <f>Ringkasan!I331</f>
        <v>7.8</v>
      </c>
      <c r="J39" s="19">
        <f>Ringkasan!J331</f>
        <v>-28.9</v>
      </c>
      <c r="K39" s="19">
        <f>Ringkasan!K331</f>
        <v>-8</v>
      </c>
      <c r="L39" s="19">
        <f>Ringkasan!L331</f>
        <v>2.6</v>
      </c>
      <c r="M39" s="19">
        <f>Ringkasan!M331</f>
        <v>-7</v>
      </c>
      <c r="N39" s="64" t="str">
        <f>Ringkasan!N331</f>
        <v/>
      </c>
      <c r="O39" s="64" t="str">
        <f>Ringkasan!O331</f>
        <v/>
      </c>
      <c r="P39" s="64" t="str">
        <f>Ringkasan!P331</f>
        <v/>
      </c>
      <c r="Q39" s="64" t="str">
        <f>Ringkasan!Q331</f>
        <v/>
      </c>
      <c r="R39" s="64" t="str">
        <f>Ringkasan!R331</f>
        <v/>
      </c>
      <c r="S39" s="64" t="str">
        <f>Ringkasan!S331</f>
        <v/>
      </c>
      <c r="T39" s="64" t="str">
        <f>Ringkasan!T331</f>
        <v/>
      </c>
      <c r="U39" s="64">
        <f>Ringkasan!U331</f>
        <v>2.89</v>
      </c>
      <c r="V39" s="64">
        <f>Ringkasan!V331</f>
        <v>-2.08</v>
      </c>
      <c r="W39" s="64">
        <f>Ringkasan!W331</f>
        <v>2.84</v>
      </c>
      <c r="X39" s="64" t="str">
        <f>Ringkasan!X331</f>
        <v/>
      </c>
      <c r="Y39" s="64">
        <f>Ringkasan!Y331</f>
        <v>2.83</v>
      </c>
      <c r="Z39" s="64">
        <f>Ringkasan!Z331</f>
        <v>0</v>
      </c>
      <c r="AA39" s="64" t="str">
        <f>Ringkasan!AA331</f>
        <v>Sport Equipment &amp; Hobbies Goods</v>
      </c>
      <c r="AB39" s="64" t="str">
        <f>Ringkasan!AB331</f>
        <v>Consumer Cyclicals</v>
      </c>
    </row>
    <row r="40" hidden="1">
      <c r="A40" s="64" t="str">
        <f>Ringkasan!A39</f>
        <v>ADMR</v>
      </c>
      <c r="B40" s="64" t="str">
        <f>Ringkasan!B39</f>
        <v>Alamtri Minerals Indonesia Tbk.</v>
      </c>
      <c r="C40" s="65">
        <f>Ringkasan!C39</f>
        <v>1575</v>
      </c>
      <c r="D40" s="64" t="str">
        <f>Ringkasan!D39</f>
        <v>#N/A</v>
      </c>
      <c r="E40" s="64" t="str">
        <f>Ringkasan!E39</f>
        <v>IDXSHAGROW</v>
      </c>
      <c r="F40" s="66">
        <f>Ringkasan!F39</f>
        <v>46356</v>
      </c>
      <c r="G40" s="64">
        <f>Ringkasan!G39</f>
        <v>9</v>
      </c>
      <c r="H40" s="19">
        <f>Ringkasan!H39</f>
        <v>12.6</v>
      </c>
      <c r="I40" s="19">
        <f>Ringkasan!I39</f>
        <v>2</v>
      </c>
      <c r="J40" s="19">
        <f>Ringkasan!J39</f>
        <v>16.2</v>
      </c>
      <c r="K40" s="19">
        <f>Ringkasan!K39</f>
        <v>9.1</v>
      </c>
      <c r="L40" s="19">
        <f>Ringkasan!L39</f>
        <v>0.78</v>
      </c>
      <c r="M40" s="19">
        <f>Ringkasan!M39</f>
        <v>110</v>
      </c>
      <c r="N40" s="64" t="str">
        <f>Ringkasan!N39</f>
        <v/>
      </c>
      <c r="O40" s="64" t="str">
        <f>Ringkasan!O39</f>
        <v/>
      </c>
      <c r="P40" s="64" t="str">
        <f>Ringkasan!P39</f>
        <v/>
      </c>
      <c r="Q40" s="64" t="str">
        <f>Ringkasan!Q39</f>
        <v/>
      </c>
      <c r="R40" s="64" t="str">
        <f>Ringkasan!R39</f>
        <v/>
      </c>
      <c r="S40" s="64" t="str">
        <f>Ringkasan!S39</f>
        <v/>
      </c>
      <c r="T40" s="64" t="str">
        <f>Ringkasan!T39</f>
        <v/>
      </c>
      <c r="U40" s="64">
        <f>Ringkasan!U39</f>
        <v>1465</v>
      </c>
      <c r="V40" s="64">
        <f>Ringkasan!V39</f>
        <v>7.51</v>
      </c>
      <c r="W40" s="64">
        <f>Ringkasan!W39</f>
        <v>1495</v>
      </c>
      <c r="X40" s="64">
        <f>Ringkasan!X39</f>
        <v>1640</v>
      </c>
      <c r="Y40" s="64">
        <f>Ringkasan!Y39</f>
        <v>1485</v>
      </c>
      <c r="Z40" s="64">
        <f>Ringkasan!Z39</f>
        <v>43266800</v>
      </c>
      <c r="AA40" s="64" t="str">
        <f>Ringkasan!AA39</f>
        <v>Coal</v>
      </c>
      <c r="AB40" s="64" t="str">
        <f>Ringkasan!AB39</f>
        <v>Energy</v>
      </c>
    </row>
    <row r="41" hidden="1">
      <c r="A41" s="64" t="str">
        <f>Ringkasan!A40</f>
        <v>ADMR</v>
      </c>
      <c r="B41" s="64" t="str">
        <f>Ringkasan!B40</f>
        <v>Alamtri Minerals Indonesia Tbk.</v>
      </c>
      <c r="C41" s="65">
        <f>Ringkasan!C40</f>
        <v>1575</v>
      </c>
      <c r="D41" s="64" t="str">
        <f>Ringkasan!D40</f>
        <v>#N/A</v>
      </c>
      <c r="E41" s="64" t="str">
        <f>Ringkasan!E40</f>
        <v>Investor33</v>
      </c>
      <c r="F41" s="66">
        <f>Ringkasan!F40</f>
        <v>46356</v>
      </c>
      <c r="G41" s="64">
        <f>Ringkasan!G40</f>
        <v>9</v>
      </c>
      <c r="H41" s="19">
        <f>Ringkasan!H40</f>
        <v>12.6</v>
      </c>
      <c r="I41" s="19">
        <f>Ringkasan!I40</f>
        <v>2</v>
      </c>
      <c r="J41" s="19">
        <f>Ringkasan!J40</f>
        <v>16.2</v>
      </c>
      <c r="K41" s="19">
        <f>Ringkasan!K40</f>
        <v>9.1</v>
      </c>
      <c r="L41" s="19">
        <f>Ringkasan!L40</f>
        <v>0.78</v>
      </c>
      <c r="M41" s="19">
        <f>Ringkasan!M40</f>
        <v>110</v>
      </c>
      <c r="N41" s="64" t="str">
        <f>Ringkasan!N40</f>
        <v/>
      </c>
      <c r="O41" s="64" t="str">
        <f>Ringkasan!O40</f>
        <v/>
      </c>
      <c r="P41" s="64" t="str">
        <f>Ringkasan!P40</f>
        <v/>
      </c>
      <c r="Q41" s="64" t="str">
        <f>Ringkasan!Q40</f>
        <v/>
      </c>
      <c r="R41" s="64" t="str">
        <f>Ringkasan!R40</f>
        <v/>
      </c>
      <c r="S41" s="64" t="str">
        <f>Ringkasan!S40</f>
        <v/>
      </c>
      <c r="T41" s="64" t="str">
        <f>Ringkasan!T40</f>
        <v/>
      </c>
      <c r="U41" s="64">
        <f>Ringkasan!U40</f>
        <v>1465</v>
      </c>
      <c r="V41" s="64">
        <f>Ringkasan!V40</f>
        <v>7.51</v>
      </c>
      <c r="W41" s="64">
        <f>Ringkasan!W40</f>
        <v>1495</v>
      </c>
      <c r="X41" s="64">
        <f>Ringkasan!X40</f>
        <v>1640</v>
      </c>
      <c r="Y41" s="64">
        <f>Ringkasan!Y40</f>
        <v>1485</v>
      </c>
      <c r="Z41" s="64">
        <f>Ringkasan!Z40</f>
        <v>43266800</v>
      </c>
      <c r="AA41" s="64" t="str">
        <f>Ringkasan!AA40</f>
        <v>Coal</v>
      </c>
      <c r="AB41" s="64" t="str">
        <f>Ringkasan!AB40</f>
        <v>Energy</v>
      </c>
    </row>
    <row r="42" hidden="1">
      <c r="A42" s="64" t="str">
        <f>Ringkasan!A41</f>
        <v>ADMR</v>
      </c>
      <c r="B42" s="64" t="str">
        <f>Ringkasan!B41</f>
        <v>Alamtri Minerals Indonesia Tbk.</v>
      </c>
      <c r="C42" s="65">
        <f>Ringkasan!C41</f>
        <v>1575</v>
      </c>
      <c r="D42" s="64" t="str">
        <f>Ringkasan!D41</f>
        <v>#N/A</v>
      </c>
      <c r="E42" s="64" t="str">
        <f>Ringkasan!E41</f>
        <v>JII30</v>
      </c>
      <c r="F42" s="66">
        <f>Ringkasan!F41</f>
        <v>46356</v>
      </c>
      <c r="G42" s="65">
        <f>Ringkasan!G41</f>
        <v>9</v>
      </c>
      <c r="H42" s="19">
        <f>Ringkasan!H41</f>
        <v>12.6</v>
      </c>
      <c r="I42" s="19">
        <f>Ringkasan!I41</f>
        <v>2</v>
      </c>
      <c r="J42" s="19">
        <f>Ringkasan!J41</f>
        <v>16.2</v>
      </c>
      <c r="K42" s="19">
        <f>Ringkasan!K41</f>
        <v>9.1</v>
      </c>
      <c r="L42" s="19">
        <f>Ringkasan!L41</f>
        <v>0.78</v>
      </c>
      <c r="M42" s="19">
        <f>Ringkasan!M41</f>
        <v>110</v>
      </c>
      <c r="N42" s="64" t="str">
        <f>Ringkasan!N41</f>
        <v/>
      </c>
      <c r="O42" s="64" t="str">
        <f>Ringkasan!O41</f>
        <v/>
      </c>
      <c r="P42" s="64" t="str">
        <f>Ringkasan!P41</f>
        <v/>
      </c>
      <c r="Q42" s="64" t="str">
        <f>Ringkasan!Q41</f>
        <v/>
      </c>
      <c r="R42" s="64" t="str">
        <f>Ringkasan!R41</f>
        <v/>
      </c>
      <c r="S42" s="64" t="str">
        <f>Ringkasan!S41</f>
        <v/>
      </c>
      <c r="T42" s="64" t="str">
        <f>Ringkasan!T41</f>
        <v/>
      </c>
      <c r="U42" s="64">
        <f>Ringkasan!U41</f>
        <v>1465</v>
      </c>
      <c r="V42" s="64">
        <f>Ringkasan!V41</f>
        <v>7.51</v>
      </c>
      <c r="W42" s="64">
        <f>Ringkasan!W41</f>
        <v>1495</v>
      </c>
      <c r="X42" s="64">
        <f>Ringkasan!X41</f>
        <v>1640</v>
      </c>
      <c r="Y42" s="64">
        <f>Ringkasan!Y41</f>
        <v>1485</v>
      </c>
      <c r="Z42" s="64">
        <f>Ringkasan!Z41</f>
        <v>43266800</v>
      </c>
      <c r="AA42" s="64" t="str">
        <f>Ringkasan!AA41</f>
        <v>Coal</v>
      </c>
      <c r="AB42" s="64" t="str">
        <f>Ringkasan!AB41</f>
        <v>Energy</v>
      </c>
    </row>
    <row r="43" hidden="1">
      <c r="A43" s="64" t="str">
        <f>Ringkasan!A42</f>
        <v>ADMR</v>
      </c>
      <c r="B43" s="64" t="str">
        <f>Ringkasan!B42</f>
        <v>Alamtri Minerals Indonesia Tbk.</v>
      </c>
      <c r="C43" s="65">
        <f>Ringkasan!C42</f>
        <v>1575</v>
      </c>
      <c r="D43" s="64" t="str">
        <f>Ringkasan!D42</f>
        <v>#N/A</v>
      </c>
      <c r="E43" s="64" t="str">
        <f>Ringkasan!E42</f>
        <v>JII70</v>
      </c>
      <c r="F43" s="66">
        <f>Ringkasan!F42</f>
        <v>46356</v>
      </c>
      <c r="G43" s="64">
        <f>Ringkasan!G42</f>
        <v>9</v>
      </c>
      <c r="H43" s="19">
        <f>Ringkasan!H42</f>
        <v>12.6</v>
      </c>
      <c r="I43" s="19">
        <f>Ringkasan!I42</f>
        <v>2</v>
      </c>
      <c r="J43" s="19">
        <f>Ringkasan!J42</f>
        <v>16.2</v>
      </c>
      <c r="K43" s="19">
        <f>Ringkasan!K42</f>
        <v>9.1</v>
      </c>
      <c r="L43" s="19">
        <f>Ringkasan!L42</f>
        <v>0.78</v>
      </c>
      <c r="M43" s="19">
        <f>Ringkasan!M42</f>
        <v>110</v>
      </c>
      <c r="N43" s="64" t="str">
        <f>Ringkasan!N42</f>
        <v/>
      </c>
      <c r="O43" s="64" t="str">
        <f>Ringkasan!O42</f>
        <v/>
      </c>
      <c r="P43" s="64" t="str">
        <f>Ringkasan!P42</f>
        <v/>
      </c>
      <c r="Q43" s="64" t="str">
        <f>Ringkasan!Q42</f>
        <v/>
      </c>
      <c r="R43" s="64" t="str">
        <f>Ringkasan!R42</f>
        <v/>
      </c>
      <c r="S43" s="64" t="str">
        <f>Ringkasan!S42</f>
        <v/>
      </c>
      <c r="T43" s="64" t="str">
        <f>Ringkasan!T42</f>
        <v/>
      </c>
      <c r="U43" s="64">
        <f>Ringkasan!U42</f>
        <v>1465</v>
      </c>
      <c r="V43" s="64">
        <f>Ringkasan!V42</f>
        <v>7.51</v>
      </c>
      <c r="W43" s="64">
        <f>Ringkasan!W42</f>
        <v>1495</v>
      </c>
      <c r="X43" s="64">
        <f>Ringkasan!X42</f>
        <v>1640</v>
      </c>
      <c r="Y43" s="64">
        <f>Ringkasan!Y42</f>
        <v>1485</v>
      </c>
      <c r="Z43" s="64">
        <f>Ringkasan!Z42</f>
        <v>43266800</v>
      </c>
      <c r="AA43" s="64" t="str">
        <f>Ringkasan!AA42</f>
        <v>Coal</v>
      </c>
      <c r="AB43" s="64" t="str">
        <f>Ringkasan!AB42</f>
        <v>Energy</v>
      </c>
    </row>
    <row r="44" hidden="1">
      <c r="A44" s="64" t="str">
        <f>Ringkasan!A43</f>
        <v>ADRO</v>
      </c>
      <c r="B44" s="64" t="str">
        <f>Ringkasan!B43</f>
        <v>Alamtri Resources Indonesia Tbk.</v>
      </c>
      <c r="C44" s="65">
        <f>Ringkasan!C43</f>
        <v>2280</v>
      </c>
      <c r="D44" s="64" t="str">
        <f>Ringkasan!D43</f>
        <v>#N/A</v>
      </c>
      <c r="E44" s="64" t="str">
        <f>Ringkasan!E43</f>
        <v>BISNIS-27</v>
      </c>
      <c r="F44" s="64" t="str">
        <f>Ringkasan!F43</f>
        <v>30 Oktober 2026</v>
      </c>
      <c r="G44" s="64">
        <f>Ringkasan!G43</f>
        <v>14</v>
      </c>
      <c r="H44" s="19">
        <f>Ringkasan!H43</f>
        <v>8</v>
      </c>
      <c r="I44" s="19">
        <f>Ringkasan!I43</f>
        <v>0.73</v>
      </c>
      <c r="J44" s="19">
        <f>Ringkasan!J43</f>
        <v>9.1</v>
      </c>
      <c r="K44" s="19">
        <f>Ringkasan!K43</f>
        <v>6.9</v>
      </c>
      <c r="L44" s="19">
        <f>Ringkasan!L43</f>
        <v>0.32</v>
      </c>
      <c r="M44" s="19">
        <f>Ringkasan!M43</f>
        <v>110</v>
      </c>
      <c r="N44" s="64" t="str">
        <f>Ringkasan!N43</f>
        <v/>
      </c>
      <c r="O44" s="64" t="str">
        <f>Ringkasan!O43</f>
        <v/>
      </c>
      <c r="P44" s="64" t="str">
        <f>Ringkasan!P43</f>
        <v/>
      </c>
      <c r="Q44" s="64" t="str">
        <f>Ringkasan!Q43</f>
        <v/>
      </c>
      <c r="R44" s="64" t="str">
        <f>Ringkasan!R43</f>
        <v/>
      </c>
      <c r="S44" s="64" t="str">
        <f>Ringkasan!S43</f>
        <v/>
      </c>
      <c r="T44" s="64" t="str">
        <f>Ringkasan!T43</f>
        <v/>
      </c>
      <c r="U44" s="64">
        <f>Ringkasan!U43</f>
        <v>2250</v>
      </c>
      <c r="V44" s="64">
        <f>Ringkasan!V43</f>
        <v>1.33</v>
      </c>
      <c r="W44" s="64">
        <f>Ringkasan!W43</f>
        <v>2270</v>
      </c>
      <c r="X44" s="64">
        <f>Ringkasan!X43</f>
        <v>2340</v>
      </c>
      <c r="Y44" s="64">
        <f>Ringkasan!Y43</f>
        <v>2250</v>
      </c>
      <c r="Z44" s="64">
        <f>Ringkasan!Z43</f>
        <v>36917900</v>
      </c>
      <c r="AA44" s="64" t="str">
        <f>Ringkasan!AA43</f>
        <v>Coal</v>
      </c>
      <c r="AB44" s="64" t="str">
        <f>Ringkasan!AB43</f>
        <v>Energy</v>
      </c>
    </row>
    <row r="45" hidden="1">
      <c r="A45" s="64" t="str">
        <f>Ringkasan!A44</f>
        <v>ADRO</v>
      </c>
      <c r="B45" s="64" t="str">
        <f>Ringkasan!B44</f>
        <v>Alamtri Resources Indonesia Tbk.</v>
      </c>
      <c r="C45" s="65">
        <f>Ringkasan!C44</f>
        <v>2280</v>
      </c>
      <c r="D45" s="64" t="str">
        <f>Ringkasan!D44</f>
        <v>#N/A</v>
      </c>
      <c r="E45" s="64" t="str">
        <f>Ringkasan!E44</f>
        <v>IDX30</v>
      </c>
      <c r="F45" s="64" t="str">
        <f>Ringkasan!F44</f>
        <v>31 Juli 2026</v>
      </c>
      <c r="G45" s="64">
        <f>Ringkasan!G44</f>
        <v>14</v>
      </c>
      <c r="H45" s="19">
        <f>Ringkasan!H44</f>
        <v>8</v>
      </c>
      <c r="I45" s="19">
        <f>Ringkasan!I44</f>
        <v>0.73</v>
      </c>
      <c r="J45" s="19">
        <f>Ringkasan!J44</f>
        <v>9.1</v>
      </c>
      <c r="K45" s="19">
        <f>Ringkasan!K44</f>
        <v>6.9</v>
      </c>
      <c r="L45" s="19">
        <f>Ringkasan!L44</f>
        <v>0.32</v>
      </c>
      <c r="M45" s="19">
        <f>Ringkasan!M44</f>
        <v>110</v>
      </c>
      <c r="N45" s="64" t="str">
        <f>Ringkasan!N44</f>
        <v/>
      </c>
      <c r="O45" s="64" t="str">
        <f>Ringkasan!O44</f>
        <v/>
      </c>
      <c r="P45" s="64" t="str">
        <f>Ringkasan!P44</f>
        <v/>
      </c>
      <c r="Q45" s="64" t="str">
        <f>Ringkasan!Q44</f>
        <v/>
      </c>
      <c r="R45" s="64" t="str">
        <f>Ringkasan!R44</f>
        <v/>
      </c>
      <c r="S45" s="64" t="str">
        <f>Ringkasan!S44</f>
        <v/>
      </c>
      <c r="T45" s="64" t="str">
        <f>Ringkasan!T44</f>
        <v/>
      </c>
      <c r="U45" s="64">
        <f>Ringkasan!U44</f>
        <v>2250</v>
      </c>
      <c r="V45" s="64">
        <f>Ringkasan!V44</f>
        <v>1.33</v>
      </c>
      <c r="W45" s="64">
        <f>Ringkasan!W44</f>
        <v>2270</v>
      </c>
      <c r="X45" s="64">
        <f>Ringkasan!X44</f>
        <v>2340</v>
      </c>
      <c r="Y45" s="64">
        <f>Ringkasan!Y44</f>
        <v>2250</v>
      </c>
      <c r="Z45" s="64">
        <f>Ringkasan!Z44</f>
        <v>36917900</v>
      </c>
      <c r="AA45" s="64" t="str">
        <f>Ringkasan!AA44</f>
        <v>Coal</v>
      </c>
      <c r="AB45" s="64" t="str">
        <f>Ringkasan!AB44</f>
        <v>Energy</v>
      </c>
    </row>
    <row r="46" hidden="1">
      <c r="A46" s="64" t="str">
        <f>Ringkasan!A45</f>
        <v>ADRO</v>
      </c>
      <c r="B46" s="64" t="str">
        <f>Ringkasan!B45</f>
        <v>Alamtri Resources Indonesia Tbk.</v>
      </c>
      <c r="C46" s="65">
        <f>Ringkasan!C45</f>
        <v>2280</v>
      </c>
      <c r="D46" s="64" t="str">
        <f>Ringkasan!D45</f>
        <v>#N/A</v>
      </c>
      <c r="E46" s="64" t="str">
        <f>Ringkasan!E45</f>
        <v>IDX80</v>
      </c>
      <c r="F46" s="64" t="str">
        <f>Ringkasan!F45</f>
        <v>31 Juli 2026</v>
      </c>
      <c r="G46" s="64">
        <f>Ringkasan!G45</f>
        <v>14</v>
      </c>
      <c r="H46" s="19">
        <f>Ringkasan!H45</f>
        <v>8</v>
      </c>
      <c r="I46" s="19">
        <f>Ringkasan!I45</f>
        <v>0.73</v>
      </c>
      <c r="J46" s="19">
        <f>Ringkasan!J45</f>
        <v>9.1</v>
      </c>
      <c r="K46" s="19">
        <f>Ringkasan!K45</f>
        <v>6.9</v>
      </c>
      <c r="L46" s="19">
        <f>Ringkasan!L45</f>
        <v>0.32</v>
      </c>
      <c r="M46" s="19">
        <f>Ringkasan!M45</f>
        <v>110</v>
      </c>
      <c r="N46" s="64" t="str">
        <f>Ringkasan!N45</f>
        <v/>
      </c>
      <c r="O46" s="64" t="str">
        <f>Ringkasan!O45</f>
        <v/>
      </c>
      <c r="P46" s="64" t="str">
        <f>Ringkasan!P45</f>
        <v/>
      </c>
      <c r="Q46" s="64" t="str">
        <f>Ringkasan!Q45</f>
        <v/>
      </c>
      <c r="R46" s="64" t="str">
        <f>Ringkasan!R45</f>
        <v/>
      </c>
      <c r="S46" s="64" t="str">
        <f>Ringkasan!S45</f>
        <v/>
      </c>
      <c r="T46" s="64" t="str">
        <f>Ringkasan!T45</f>
        <v/>
      </c>
      <c r="U46" s="64">
        <f>Ringkasan!U45</f>
        <v>2250</v>
      </c>
      <c r="V46" s="64">
        <f>Ringkasan!V45</f>
        <v>1.33</v>
      </c>
      <c r="W46" s="64">
        <f>Ringkasan!W45</f>
        <v>2270</v>
      </c>
      <c r="X46" s="64">
        <f>Ringkasan!X45</f>
        <v>2340</v>
      </c>
      <c r="Y46" s="64">
        <f>Ringkasan!Y45</f>
        <v>2250</v>
      </c>
      <c r="Z46" s="64">
        <f>Ringkasan!Z45</f>
        <v>36917900</v>
      </c>
      <c r="AA46" s="64" t="str">
        <f>Ringkasan!AA45</f>
        <v>Coal</v>
      </c>
      <c r="AB46" s="64" t="str">
        <f>Ringkasan!AB45</f>
        <v>Energy</v>
      </c>
    </row>
    <row r="47" hidden="1">
      <c r="A47" s="64" t="str">
        <f>Ringkasan!A46</f>
        <v>ADRO</v>
      </c>
      <c r="B47" s="64" t="str">
        <f>Ringkasan!B46</f>
        <v>Alamtri Resources Indonesia Tbk.</v>
      </c>
      <c r="C47" s="65">
        <f>Ringkasan!C46</f>
        <v>2280</v>
      </c>
      <c r="D47" s="64" t="str">
        <f>Ringkasan!D46</f>
        <v>#N/A</v>
      </c>
      <c r="E47" s="64" t="str">
        <f>Ringkasan!E46</f>
        <v>IDXG30</v>
      </c>
      <c r="F47" s="64" t="str">
        <f>Ringkasan!F46</f>
        <v>4 Agustus 2026</v>
      </c>
      <c r="G47" s="64">
        <f>Ringkasan!G46</f>
        <v>14</v>
      </c>
      <c r="H47" s="19">
        <f>Ringkasan!H46</f>
        <v>8</v>
      </c>
      <c r="I47" s="19">
        <f>Ringkasan!I46</f>
        <v>0.73</v>
      </c>
      <c r="J47" s="19">
        <f>Ringkasan!J46</f>
        <v>9.1</v>
      </c>
      <c r="K47" s="19">
        <f>Ringkasan!K46</f>
        <v>6.9</v>
      </c>
      <c r="L47" s="19">
        <f>Ringkasan!L46</f>
        <v>0.32</v>
      </c>
      <c r="M47" s="19">
        <f>Ringkasan!M46</f>
        <v>110</v>
      </c>
      <c r="N47" s="64" t="str">
        <f>Ringkasan!N46</f>
        <v/>
      </c>
      <c r="O47" s="64" t="str">
        <f>Ringkasan!O46</f>
        <v/>
      </c>
      <c r="P47" s="64" t="str">
        <f>Ringkasan!P46</f>
        <v/>
      </c>
      <c r="Q47" s="64" t="str">
        <f>Ringkasan!Q46</f>
        <v/>
      </c>
      <c r="R47" s="64" t="str">
        <f>Ringkasan!R46</f>
        <v/>
      </c>
      <c r="S47" s="64" t="str">
        <f>Ringkasan!S46</f>
        <v/>
      </c>
      <c r="T47" s="64" t="str">
        <f>Ringkasan!T46</f>
        <v/>
      </c>
      <c r="U47" s="64">
        <f>Ringkasan!U46</f>
        <v>2250</v>
      </c>
      <c r="V47" s="64">
        <f>Ringkasan!V46</f>
        <v>1.33</v>
      </c>
      <c r="W47" s="64">
        <f>Ringkasan!W46</f>
        <v>2270</v>
      </c>
      <c r="X47" s="64">
        <f>Ringkasan!X46</f>
        <v>2340</v>
      </c>
      <c r="Y47" s="64">
        <f>Ringkasan!Y46</f>
        <v>2250</v>
      </c>
      <c r="Z47" s="64">
        <f>Ringkasan!Z46</f>
        <v>36917900</v>
      </c>
      <c r="AA47" s="64" t="str">
        <f>Ringkasan!AA46</f>
        <v>Coal</v>
      </c>
      <c r="AB47" s="64" t="str">
        <f>Ringkasan!AB46</f>
        <v>Energy</v>
      </c>
    </row>
    <row r="48" hidden="1">
      <c r="A48" s="64" t="str">
        <f>Ringkasan!A47</f>
        <v>ADRO</v>
      </c>
      <c r="B48" s="64" t="str">
        <f>Ringkasan!B47</f>
        <v>Alamtri Resources Indonesia Tbk.</v>
      </c>
      <c r="C48" s="65">
        <f>Ringkasan!C47</f>
        <v>2280</v>
      </c>
      <c r="D48" s="64" t="str">
        <f>Ringkasan!D47</f>
        <v>#N/A</v>
      </c>
      <c r="E48" s="64" t="str">
        <f>Ringkasan!E47</f>
        <v>IDXHIDIV20</v>
      </c>
      <c r="F48" s="64" t="str">
        <f>Ringkasan!F47</f>
        <v>2 Februari 2027</v>
      </c>
      <c r="G48" s="64">
        <f>Ringkasan!G47</f>
        <v>14</v>
      </c>
      <c r="H48" s="19">
        <f>Ringkasan!H47</f>
        <v>8</v>
      </c>
      <c r="I48" s="19">
        <f>Ringkasan!I47</f>
        <v>0.73</v>
      </c>
      <c r="J48" s="19">
        <f>Ringkasan!J47</f>
        <v>9.1</v>
      </c>
      <c r="K48" s="19">
        <f>Ringkasan!K47</f>
        <v>6.9</v>
      </c>
      <c r="L48" s="19">
        <f>Ringkasan!L47</f>
        <v>0.32</v>
      </c>
      <c r="M48" s="19">
        <f>Ringkasan!M47</f>
        <v>110</v>
      </c>
      <c r="N48" s="64" t="str">
        <f>Ringkasan!N47</f>
        <v/>
      </c>
      <c r="O48" s="64" t="str">
        <f>Ringkasan!O47</f>
        <v/>
      </c>
      <c r="P48" s="64" t="str">
        <f>Ringkasan!P47</f>
        <v/>
      </c>
      <c r="Q48" s="64" t="str">
        <f>Ringkasan!Q47</f>
        <v/>
      </c>
      <c r="R48" s="64" t="str">
        <f>Ringkasan!R47</f>
        <v/>
      </c>
      <c r="S48" s="64" t="str">
        <f>Ringkasan!S47</f>
        <v/>
      </c>
      <c r="T48" s="64" t="str">
        <f>Ringkasan!T47</f>
        <v/>
      </c>
      <c r="U48" s="64">
        <f>Ringkasan!U47</f>
        <v>2250</v>
      </c>
      <c r="V48" s="64">
        <f>Ringkasan!V47</f>
        <v>1.33</v>
      </c>
      <c r="W48" s="64">
        <f>Ringkasan!W47</f>
        <v>2270</v>
      </c>
      <c r="X48" s="64">
        <f>Ringkasan!X47</f>
        <v>2340</v>
      </c>
      <c r="Y48" s="64">
        <f>Ringkasan!Y47</f>
        <v>2250</v>
      </c>
      <c r="Z48" s="64">
        <f>Ringkasan!Z47</f>
        <v>36917900</v>
      </c>
      <c r="AA48" s="64" t="str">
        <f>Ringkasan!AA47</f>
        <v>Coal</v>
      </c>
      <c r="AB48" s="64" t="str">
        <f>Ringkasan!AB47</f>
        <v>Energy</v>
      </c>
    </row>
    <row r="49" hidden="1">
      <c r="A49" s="64" t="str">
        <f>Ringkasan!A48</f>
        <v>ADRO</v>
      </c>
      <c r="B49" s="64" t="str">
        <f>Ringkasan!B48</f>
        <v>Alamtri Resources Indonesia Tbk.</v>
      </c>
      <c r="C49" s="65">
        <f>Ringkasan!C48</f>
        <v>2280</v>
      </c>
      <c r="D49" s="64" t="str">
        <f>Ringkasan!D48</f>
        <v>#N/A</v>
      </c>
      <c r="E49" s="64" t="str">
        <f>Ringkasan!E48</f>
        <v>Kompas100</v>
      </c>
      <c r="F49" s="64" t="str">
        <f>Ringkasan!F48</f>
        <v>31 Juli 2026</v>
      </c>
      <c r="G49" s="64">
        <f>Ringkasan!G48</f>
        <v>14</v>
      </c>
      <c r="H49" s="19">
        <f>Ringkasan!H48</f>
        <v>8</v>
      </c>
      <c r="I49" s="19">
        <f>Ringkasan!I48</f>
        <v>0.73</v>
      </c>
      <c r="J49" s="19">
        <f>Ringkasan!J48</f>
        <v>9.1</v>
      </c>
      <c r="K49" s="19">
        <f>Ringkasan!K48</f>
        <v>6.9</v>
      </c>
      <c r="L49" s="19">
        <f>Ringkasan!L48</f>
        <v>0.32</v>
      </c>
      <c r="M49" s="19">
        <f>Ringkasan!M48</f>
        <v>110</v>
      </c>
      <c r="N49" s="64" t="str">
        <f>Ringkasan!N48</f>
        <v/>
      </c>
      <c r="O49" s="64" t="str">
        <f>Ringkasan!O48</f>
        <v/>
      </c>
      <c r="P49" s="64" t="str">
        <f>Ringkasan!P48</f>
        <v/>
      </c>
      <c r="Q49" s="64" t="str">
        <f>Ringkasan!Q48</f>
        <v/>
      </c>
      <c r="R49" s="64" t="str">
        <f>Ringkasan!R48</f>
        <v/>
      </c>
      <c r="S49" s="64" t="str">
        <f>Ringkasan!S48</f>
        <v/>
      </c>
      <c r="T49" s="64" t="str">
        <f>Ringkasan!T48</f>
        <v/>
      </c>
      <c r="U49" s="64">
        <f>Ringkasan!U48</f>
        <v>2250</v>
      </c>
      <c r="V49" s="64">
        <f>Ringkasan!V48</f>
        <v>1.33</v>
      </c>
      <c r="W49" s="64">
        <f>Ringkasan!W48</f>
        <v>2270</v>
      </c>
      <c r="X49" s="64">
        <f>Ringkasan!X48</f>
        <v>2340</v>
      </c>
      <c r="Y49" s="64">
        <f>Ringkasan!Y48</f>
        <v>2250</v>
      </c>
      <c r="Z49" s="64">
        <f>Ringkasan!Z48</f>
        <v>36917900</v>
      </c>
      <c r="AA49" s="64" t="str">
        <f>Ringkasan!AA48</f>
        <v>Coal</v>
      </c>
      <c r="AB49" s="64" t="str">
        <f>Ringkasan!AB48</f>
        <v>Energy</v>
      </c>
    </row>
    <row r="50" hidden="1">
      <c r="A50" s="64" t="str">
        <f>Ringkasan!A49</f>
        <v>ADRO</v>
      </c>
      <c r="B50" s="64" t="str">
        <f>Ringkasan!B49</f>
        <v>Alamtri Resources Indonesia Tbk.</v>
      </c>
      <c r="C50" s="65">
        <f>Ringkasan!C49</f>
        <v>2280</v>
      </c>
      <c r="D50" s="64" t="str">
        <f>Ringkasan!D49</f>
        <v>#N/A</v>
      </c>
      <c r="E50" s="64" t="str">
        <f>Ringkasan!E49</f>
        <v>LQ45</v>
      </c>
      <c r="F50" s="64" t="str">
        <f>Ringkasan!F49</f>
        <v>31 Juli 2026</v>
      </c>
      <c r="G50" s="64">
        <f>Ringkasan!G49</f>
        <v>14</v>
      </c>
      <c r="H50" s="19">
        <f>Ringkasan!H49</f>
        <v>8</v>
      </c>
      <c r="I50" s="19">
        <f>Ringkasan!I49</f>
        <v>0.73</v>
      </c>
      <c r="J50" s="19">
        <f>Ringkasan!J49</f>
        <v>9.1</v>
      </c>
      <c r="K50" s="19">
        <f>Ringkasan!K49</f>
        <v>6.9</v>
      </c>
      <c r="L50" s="19">
        <f>Ringkasan!L49</f>
        <v>0.32</v>
      </c>
      <c r="M50" s="19">
        <f>Ringkasan!M49</f>
        <v>110</v>
      </c>
      <c r="N50" s="64" t="str">
        <f>Ringkasan!N49</f>
        <v/>
      </c>
      <c r="O50" s="64" t="str">
        <f>Ringkasan!O49</f>
        <v/>
      </c>
      <c r="P50" s="64" t="str">
        <f>Ringkasan!P49</f>
        <v/>
      </c>
      <c r="Q50" s="64" t="str">
        <f>Ringkasan!Q49</f>
        <v/>
      </c>
      <c r="R50" s="64" t="str">
        <f>Ringkasan!R49</f>
        <v/>
      </c>
      <c r="S50" s="64" t="str">
        <f>Ringkasan!S49</f>
        <v/>
      </c>
      <c r="T50" s="64" t="str">
        <f>Ringkasan!T49</f>
        <v/>
      </c>
      <c r="U50" s="64">
        <f>Ringkasan!U49</f>
        <v>2250</v>
      </c>
      <c r="V50" s="64">
        <f>Ringkasan!V49</f>
        <v>1.33</v>
      </c>
      <c r="W50" s="64">
        <f>Ringkasan!W49</f>
        <v>2270</v>
      </c>
      <c r="X50" s="64">
        <f>Ringkasan!X49</f>
        <v>2340</v>
      </c>
      <c r="Y50" s="64">
        <f>Ringkasan!Y49</f>
        <v>2250</v>
      </c>
      <c r="Z50" s="64">
        <f>Ringkasan!Z49</f>
        <v>36917900</v>
      </c>
      <c r="AA50" s="64" t="str">
        <f>Ringkasan!AA49</f>
        <v>Coal</v>
      </c>
      <c r="AB50" s="64" t="str">
        <f>Ringkasan!AB49</f>
        <v>Energy</v>
      </c>
    </row>
    <row r="51" hidden="1">
      <c r="A51" s="64" t="str">
        <f>Ringkasan!A50</f>
        <v>ADRO</v>
      </c>
      <c r="B51" s="64" t="str">
        <f>Ringkasan!B50</f>
        <v>Alamtri Resources Indonesia Tbk.</v>
      </c>
      <c r="C51" s="65">
        <f>Ringkasan!C50</f>
        <v>2280</v>
      </c>
      <c r="D51" s="64" t="str">
        <f>Ringkasan!D50</f>
        <v>#N/A</v>
      </c>
      <c r="E51" s="64" t="str">
        <f>Ringkasan!E50</f>
        <v>IDXV30</v>
      </c>
      <c r="F51" s="64" t="str">
        <f>Ringkasan!F50</f>
        <v>4 Agustus 2026</v>
      </c>
      <c r="G51" s="64">
        <f>Ringkasan!G50</f>
        <v>14</v>
      </c>
      <c r="H51" s="19">
        <f>Ringkasan!H50</f>
        <v>8</v>
      </c>
      <c r="I51" s="19">
        <f>Ringkasan!I50</f>
        <v>0.73</v>
      </c>
      <c r="J51" s="19">
        <f>Ringkasan!J50</f>
        <v>9.1</v>
      </c>
      <c r="K51" s="19">
        <f>Ringkasan!K50</f>
        <v>6.9</v>
      </c>
      <c r="L51" s="19">
        <f>Ringkasan!L50</f>
        <v>0.32</v>
      </c>
      <c r="M51" s="19">
        <f>Ringkasan!M50</f>
        <v>110</v>
      </c>
      <c r="N51" s="64" t="str">
        <f>Ringkasan!N50</f>
        <v/>
      </c>
      <c r="O51" s="64" t="str">
        <f>Ringkasan!O50</f>
        <v/>
      </c>
      <c r="P51" s="64" t="str">
        <f>Ringkasan!P50</f>
        <v/>
      </c>
      <c r="Q51" s="64" t="str">
        <f>Ringkasan!Q50</f>
        <v/>
      </c>
      <c r="R51" s="64" t="str">
        <f>Ringkasan!R50</f>
        <v/>
      </c>
      <c r="S51" s="64" t="str">
        <f>Ringkasan!S50</f>
        <v/>
      </c>
      <c r="T51" s="64" t="str">
        <f>Ringkasan!T50</f>
        <v/>
      </c>
      <c r="U51" s="64">
        <f>Ringkasan!U50</f>
        <v>2250</v>
      </c>
      <c r="V51" s="64">
        <f>Ringkasan!V50</f>
        <v>1.33</v>
      </c>
      <c r="W51" s="64">
        <f>Ringkasan!W50</f>
        <v>2270</v>
      </c>
      <c r="X51" s="64">
        <f>Ringkasan!X50</f>
        <v>2340</v>
      </c>
      <c r="Y51" s="64">
        <f>Ringkasan!Y50</f>
        <v>2250</v>
      </c>
      <c r="Z51" s="64">
        <f>Ringkasan!Z50</f>
        <v>36917900</v>
      </c>
      <c r="AA51" s="64" t="str">
        <f>Ringkasan!AA50</f>
        <v>Coal</v>
      </c>
      <c r="AB51" s="64" t="str">
        <f>Ringkasan!AB50</f>
        <v>Energy</v>
      </c>
    </row>
    <row r="52" hidden="1">
      <c r="A52" s="64" t="str">
        <f>Ringkasan!A51</f>
        <v>ADRO</v>
      </c>
      <c r="B52" s="64" t="str">
        <f>Ringkasan!B51</f>
        <v>Alamtri Resources Indonesia Tbk.</v>
      </c>
      <c r="C52" s="65">
        <f>Ringkasan!C51</f>
        <v>2280</v>
      </c>
      <c r="D52" s="64" t="str">
        <f>Ringkasan!D51</f>
        <v>#N/A</v>
      </c>
      <c r="E52" s="64" t="str">
        <f>Ringkasan!E51</f>
        <v>FTSE Large Cap</v>
      </c>
      <c r="F52" s="64" t="str">
        <f>Ringkasan!F51</f>
        <v>Juni 2026</v>
      </c>
      <c r="G52" s="64">
        <f>Ringkasan!G51</f>
        <v>14</v>
      </c>
      <c r="H52" s="19">
        <f>Ringkasan!H51</f>
        <v>8</v>
      </c>
      <c r="I52" s="19">
        <f>Ringkasan!I51</f>
        <v>0.73</v>
      </c>
      <c r="J52" s="19">
        <f>Ringkasan!J51</f>
        <v>9.1</v>
      </c>
      <c r="K52" s="19">
        <f>Ringkasan!K51</f>
        <v>6.9</v>
      </c>
      <c r="L52" s="19">
        <f>Ringkasan!L51</f>
        <v>0.32</v>
      </c>
      <c r="M52" s="19">
        <f>Ringkasan!M51</f>
        <v>110</v>
      </c>
      <c r="N52" s="64" t="str">
        <f>Ringkasan!N51</f>
        <v/>
      </c>
      <c r="O52" s="64" t="str">
        <f>Ringkasan!O51</f>
        <v/>
      </c>
      <c r="P52" s="64" t="str">
        <f>Ringkasan!P51</f>
        <v/>
      </c>
      <c r="Q52" s="64" t="str">
        <f>Ringkasan!Q51</f>
        <v/>
      </c>
      <c r="R52" s="64" t="str">
        <f>Ringkasan!R51</f>
        <v/>
      </c>
      <c r="S52" s="64" t="str">
        <f>Ringkasan!S51</f>
        <v/>
      </c>
      <c r="T52" s="64" t="str">
        <f>Ringkasan!T51</f>
        <v/>
      </c>
      <c r="U52" s="64">
        <f>Ringkasan!U51</f>
        <v>2250</v>
      </c>
      <c r="V52" s="64">
        <f>Ringkasan!V51</f>
        <v>1.33</v>
      </c>
      <c r="W52" s="64">
        <f>Ringkasan!W51</f>
        <v>2270</v>
      </c>
      <c r="X52" s="64">
        <f>Ringkasan!X51</f>
        <v>2340</v>
      </c>
      <c r="Y52" s="64">
        <f>Ringkasan!Y51</f>
        <v>2250</v>
      </c>
      <c r="Z52" s="64">
        <f>Ringkasan!Z51</f>
        <v>36917900</v>
      </c>
      <c r="AA52" s="64" t="str">
        <f>Ringkasan!AA51</f>
        <v>Coal</v>
      </c>
      <c r="AB52" s="64" t="str">
        <f>Ringkasan!AB51</f>
        <v>Energy</v>
      </c>
    </row>
    <row r="53" hidden="1">
      <c r="A53" s="64" t="str">
        <f>Ringkasan!A52</f>
        <v>ADRO</v>
      </c>
      <c r="B53" s="64" t="str">
        <f>Ringkasan!B52</f>
        <v>Alamtri Resources Indonesia Tbk.</v>
      </c>
      <c r="C53" s="65">
        <f>Ringkasan!C52</f>
        <v>2280</v>
      </c>
      <c r="D53" s="64" t="str">
        <f>Ringkasan!D52</f>
        <v>#N/A</v>
      </c>
      <c r="E53" s="64" t="str">
        <f>Ringkasan!E52</f>
        <v>MSCI Small Cap</v>
      </c>
      <c r="F53" s="64" t="str">
        <f>Ringkasan!F52</f>
        <v>12 Agustus 2026</v>
      </c>
      <c r="G53" s="64">
        <f>Ringkasan!G52</f>
        <v>14</v>
      </c>
      <c r="H53" s="19">
        <f>Ringkasan!H52</f>
        <v>8</v>
      </c>
      <c r="I53" s="19">
        <f>Ringkasan!I52</f>
        <v>0.73</v>
      </c>
      <c r="J53" s="19">
        <f>Ringkasan!J52</f>
        <v>9.1</v>
      </c>
      <c r="K53" s="19">
        <f>Ringkasan!K52</f>
        <v>6.9</v>
      </c>
      <c r="L53" s="19">
        <f>Ringkasan!L52</f>
        <v>0.32</v>
      </c>
      <c r="M53" s="19">
        <f>Ringkasan!M52</f>
        <v>110</v>
      </c>
      <c r="N53" s="64" t="str">
        <f>Ringkasan!N52</f>
        <v/>
      </c>
      <c r="O53" s="64" t="str">
        <f>Ringkasan!O52</f>
        <v/>
      </c>
      <c r="P53" s="64" t="str">
        <f>Ringkasan!P52</f>
        <v/>
      </c>
      <c r="Q53" s="64" t="str">
        <f>Ringkasan!Q52</f>
        <v/>
      </c>
      <c r="R53" s="64" t="str">
        <f>Ringkasan!R52</f>
        <v/>
      </c>
      <c r="S53" s="64" t="str">
        <f>Ringkasan!S52</f>
        <v/>
      </c>
      <c r="T53" s="64" t="str">
        <f>Ringkasan!T52</f>
        <v/>
      </c>
      <c r="U53" s="64">
        <f>Ringkasan!U52</f>
        <v>2250</v>
      </c>
      <c r="V53" s="64">
        <f>Ringkasan!V52</f>
        <v>1.33</v>
      </c>
      <c r="W53" s="64">
        <f>Ringkasan!W52</f>
        <v>2270</v>
      </c>
      <c r="X53" s="64">
        <f>Ringkasan!X52</f>
        <v>2340</v>
      </c>
      <c r="Y53" s="64">
        <f>Ringkasan!Y52</f>
        <v>2250</v>
      </c>
      <c r="Z53" s="64">
        <f>Ringkasan!Z52</f>
        <v>36917900</v>
      </c>
      <c r="AA53" s="64" t="str">
        <f>Ringkasan!AA52</f>
        <v>Coal</v>
      </c>
      <c r="AB53" s="64" t="str">
        <f>Ringkasan!AB52</f>
        <v>Energy</v>
      </c>
    </row>
    <row r="54" hidden="1">
      <c r="A54" s="64" t="str">
        <f>Ringkasan!A53</f>
        <v>ADRO</v>
      </c>
      <c r="B54" s="64" t="str">
        <f>Ringkasan!B53</f>
        <v>Alamtri Resources Indonesia Tbk.</v>
      </c>
      <c r="C54" s="65">
        <f>Ringkasan!C53</f>
        <v>2280</v>
      </c>
      <c r="D54" s="64" t="str">
        <f>Ringkasan!D53</f>
        <v>#N/A</v>
      </c>
      <c r="E54" s="64" t="str">
        <f>Ringkasan!E53</f>
        <v>IDXSHAGROW</v>
      </c>
      <c r="F54" s="66">
        <f>Ringkasan!F53</f>
        <v>46356</v>
      </c>
      <c r="G54" s="64">
        <f>Ringkasan!G53</f>
        <v>14</v>
      </c>
      <c r="H54" s="19">
        <f>Ringkasan!H53</f>
        <v>8</v>
      </c>
      <c r="I54" s="19">
        <f>Ringkasan!I53</f>
        <v>0.73</v>
      </c>
      <c r="J54" s="19">
        <f>Ringkasan!J53</f>
        <v>9.1</v>
      </c>
      <c r="K54" s="19">
        <f>Ringkasan!K53</f>
        <v>6.9</v>
      </c>
      <c r="L54" s="19">
        <f>Ringkasan!L53</f>
        <v>0.32</v>
      </c>
      <c r="M54" s="19">
        <f>Ringkasan!M53</f>
        <v>110</v>
      </c>
      <c r="N54" s="64" t="str">
        <f>Ringkasan!N53</f>
        <v/>
      </c>
      <c r="O54" s="64" t="str">
        <f>Ringkasan!O53</f>
        <v/>
      </c>
      <c r="P54" s="64" t="str">
        <f>Ringkasan!P53</f>
        <v/>
      </c>
      <c r="Q54" s="64" t="str">
        <f>Ringkasan!Q53</f>
        <v/>
      </c>
      <c r="R54" s="64" t="str">
        <f>Ringkasan!R53</f>
        <v/>
      </c>
      <c r="S54" s="64" t="str">
        <f>Ringkasan!S53</f>
        <v/>
      </c>
      <c r="T54" s="64" t="str">
        <f>Ringkasan!T53</f>
        <v/>
      </c>
      <c r="U54" s="64">
        <f>Ringkasan!U53</f>
        <v>2250</v>
      </c>
      <c r="V54" s="64">
        <f>Ringkasan!V53</f>
        <v>1.33</v>
      </c>
      <c r="W54" s="64">
        <f>Ringkasan!W53</f>
        <v>2270</v>
      </c>
      <c r="X54" s="64">
        <f>Ringkasan!X53</f>
        <v>2340</v>
      </c>
      <c r="Y54" s="64">
        <f>Ringkasan!Y53</f>
        <v>2250</v>
      </c>
      <c r="Z54" s="64">
        <f>Ringkasan!Z53</f>
        <v>36917900</v>
      </c>
      <c r="AA54" s="64" t="str">
        <f>Ringkasan!AA53</f>
        <v>Coal</v>
      </c>
      <c r="AB54" s="64" t="str">
        <f>Ringkasan!AB53</f>
        <v>Energy</v>
      </c>
    </row>
    <row r="55" hidden="1">
      <c r="A55" s="64" t="str">
        <f>Ringkasan!A54</f>
        <v>ADRO</v>
      </c>
      <c r="B55" s="64" t="str">
        <f>Ringkasan!B54</f>
        <v>Alamtri Resources Indonesia Tbk.</v>
      </c>
      <c r="C55" s="65">
        <f>Ringkasan!C54</f>
        <v>2280</v>
      </c>
      <c r="D55" s="64" t="str">
        <f>Ringkasan!D54</f>
        <v>#N/A</v>
      </c>
      <c r="E55" s="64" t="str">
        <f>Ringkasan!E54</f>
        <v>Investor33</v>
      </c>
      <c r="F55" s="66">
        <f>Ringkasan!F54</f>
        <v>46356</v>
      </c>
      <c r="G55" s="64">
        <f>Ringkasan!G54</f>
        <v>14</v>
      </c>
      <c r="H55" s="19">
        <f>Ringkasan!H54</f>
        <v>8</v>
      </c>
      <c r="I55" s="19">
        <f>Ringkasan!I54</f>
        <v>0.73</v>
      </c>
      <c r="J55" s="19">
        <f>Ringkasan!J54</f>
        <v>9.1</v>
      </c>
      <c r="K55" s="19">
        <f>Ringkasan!K54</f>
        <v>6.9</v>
      </c>
      <c r="L55" s="19">
        <f>Ringkasan!L54</f>
        <v>0.32</v>
      </c>
      <c r="M55" s="19">
        <f>Ringkasan!M54</f>
        <v>110</v>
      </c>
      <c r="N55" s="64" t="str">
        <f>Ringkasan!N54</f>
        <v/>
      </c>
      <c r="O55" s="64" t="str">
        <f>Ringkasan!O54</f>
        <v/>
      </c>
      <c r="P55" s="64" t="str">
        <f>Ringkasan!P54</f>
        <v/>
      </c>
      <c r="Q55" s="64" t="str">
        <f>Ringkasan!Q54</f>
        <v/>
      </c>
      <c r="R55" s="64" t="str">
        <f>Ringkasan!R54</f>
        <v/>
      </c>
      <c r="S55" s="64" t="str">
        <f>Ringkasan!S54</f>
        <v/>
      </c>
      <c r="T55" s="64" t="str">
        <f>Ringkasan!T54</f>
        <v/>
      </c>
      <c r="U55" s="64">
        <f>Ringkasan!U54</f>
        <v>2250</v>
      </c>
      <c r="V55" s="64">
        <f>Ringkasan!V54</f>
        <v>1.33</v>
      </c>
      <c r="W55" s="64">
        <f>Ringkasan!W54</f>
        <v>2270</v>
      </c>
      <c r="X55" s="64">
        <f>Ringkasan!X54</f>
        <v>2340</v>
      </c>
      <c r="Y55" s="64">
        <f>Ringkasan!Y54</f>
        <v>2250</v>
      </c>
      <c r="Z55" s="64">
        <f>Ringkasan!Z54</f>
        <v>36917900</v>
      </c>
      <c r="AA55" s="64" t="str">
        <f>Ringkasan!AA54</f>
        <v>Coal</v>
      </c>
      <c r="AB55" s="64" t="str">
        <f>Ringkasan!AB54</f>
        <v>Energy</v>
      </c>
    </row>
    <row r="56" hidden="1">
      <c r="A56" s="64" t="str">
        <f>Ringkasan!A55</f>
        <v>ADRO</v>
      </c>
      <c r="B56" s="64" t="str">
        <f>Ringkasan!B55</f>
        <v>Alamtri Resources Indonesia Tbk.</v>
      </c>
      <c r="C56" s="65">
        <f>Ringkasan!C55</f>
        <v>2280</v>
      </c>
      <c r="D56" s="64" t="str">
        <f>Ringkasan!D55</f>
        <v>#N/A</v>
      </c>
      <c r="E56" s="64" t="str">
        <f>Ringkasan!E55</f>
        <v>JII30</v>
      </c>
      <c r="F56" s="66">
        <f>Ringkasan!F55</f>
        <v>46356</v>
      </c>
      <c r="G56" s="64">
        <f>Ringkasan!G55</f>
        <v>14</v>
      </c>
      <c r="H56" s="19">
        <f>Ringkasan!H55</f>
        <v>8</v>
      </c>
      <c r="I56" s="19">
        <f>Ringkasan!I55</f>
        <v>0.73</v>
      </c>
      <c r="J56" s="19">
        <f>Ringkasan!J55</f>
        <v>9.1</v>
      </c>
      <c r="K56" s="19">
        <f>Ringkasan!K55</f>
        <v>6.9</v>
      </c>
      <c r="L56" s="19">
        <f>Ringkasan!L55</f>
        <v>0.32</v>
      </c>
      <c r="M56" s="19">
        <f>Ringkasan!M55</f>
        <v>110</v>
      </c>
      <c r="N56" s="64" t="str">
        <f>Ringkasan!N55</f>
        <v/>
      </c>
      <c r="O56" s="64" t="str">
        <f>Ringkasan!O55</f>
        <v/>
      </c>
      <c r="P56" s="64" t="str">
        <f>Ringkasan!P55</f>
        <v/>
      </c>
      <c r="Q56" s="64" t="str">
        <f>Ringkasan!Q55</f>
        <v/>
      </c>
      <c r="R56" s="64" t="str">
        <f>Ringkasan!R55</f>
        <v/>
      </c>
      <c r="S56" s="64" t="str">
        <f>Ringkasan!S55</f>
        <v/>
      </c>
      <c r="T56" s="64" t="str">
        <f>Ringkasan!T55</f>
        <v/>
      </c>
      <c r="U56" s="64">
        <f>Ringkasan!U55</f>
        <v>2250</v>
      </c>
      <c r="V56" s="64">
        <f>Ringkasan!V55</f>
        <v>1.33</v>
      </c>
      <c r="W56" s="64">
        <f>Ringkasan!W55</f>
        <v>2270</v>
      </c>
      <c r="X56" s="64">
        <f>Ringkasan!X55</f>
        <v>2340</v>
      </c>
      <c r="Y56" s="64">
        <f>Ringkasan!Y55</f>
        <v>2250</v>
      </c>
      <c r="Z56" s="64">
        <f>Ringkasan!Z55</f>
        <v>36917900</v>
      </c>
      <c r="AA56" s="64" t="str">
        <f>Ringkasan!AA55</f>
        <v>Coal</v>
      </c>
      <c r="AB56" s="64" t="str">
        <f>Ringkasan!AB55</f>
        <v>Energy</v>
      </c>
    </row>
    <row r="57" hidden="1">
      <c r="A57" s="64" t="str">
        <f>Ringkasan!A56</f>
        <v>ADRO</v>
      </c>
      <c r="B57" s="64" t="str">
        <f>Ringkasan!B56</f>
        <v>Alamtri Resources Indonesia Tbk.</v>
      </c>
      <c r="C57" s="65">
        <f>Ringkasan!C56</f>
        <v>2280</v>
      </c>
      <c r="D57" s="64" t="str">
        <f>Ringkasan!D56</f>
        <v>#N/A</v>
      </c>
      <c r="E57" s="64" t="str">
        <f>Ringkasan!E56</f>
        <v>JII70</v>
      </c>
      <c r="F57" s="66">
        <f>Ringkasan!F56</f>
        <v>46356</v>
      </c>
      <c r="G57" s="64">
        <f>Ringkasan!G56</f>
        <v>14</v>
      </c>
      <c r="H57" s="19">
        <f>Ringkasan!H56</f>
        <v>8</v>
      </c>
      <c r="I57" s="19">
        <f>Ringkasan!I56</f>
        <v>0.73</v>
      </c>
      <c r="J57" s="19">
        <f>Ringkasan!J56</f>
        <v>9.1</v>
      </c>
      <c r="K57" s="19">
        <f>Ringkasan!K56</f>
        <v>6.9</v>
      </c>
      <c r="L57" s="19">
        <f>Ringkasan!L56</f>
        <v>0.32</v>
      </c>
      <c r="M57" s="19">
        <f>Ringkasan!M56</f>
        <v>110</v>
      </c>
      <c r="N57" s="64" t="str">
        <f>Ringkasan!N56</f>
        <v/>
      </c>
      <c r="O57" s="64" t="str">
        <f>Ringkasan!O56</f>
        <v/>
      </c>
      <c r="P57" s="64" t="str">
        <f>Ringkasan!P56</f>
        <v/>
      </c>
      <c r="Q57" s="64" t="str">
        <f>Ringkasan!Q56</f>
        <v/>
      </c>
      <c r="R57" s="64" t="str">
        <f>Ringkasan!R56</f>
        <v/>
      </c>
      <c r="S57" s="64" t="str">
        <f>Ringkasan!S56</f>
        <v/>
      </c>
      <c r="T57" s="64" t="str">
        <f>Ringkasan!T56</f>
        <v/>
      </c>
      <c r="U57" s="64">
        <f>Ringkasan!U56</f>
        <v>2250</v>
      </c>
      <c r="V57" s="64">
        <f>Ringkasan!V56</f>
        <v>1.33</v>
      </c>
      <c r="W57" s="64">
        <f>Ringkasan!W56</f>
        <v>2270</v>
      </c>
      <c r="X57" s="64">
        <f>Ringkasan!X56</f>
        <v>2340</v>
      </c>
      <c r="Y57" s="64">
        <f>Ringkasan!Y56</f>
        <v>2250</v>
      </c>
      <c r="Z57" s="64">
        <f>Ringkasan!Z56</f>
        <v>36917900</v>
      </c>
      <c r="AA57" s="64" t="str">
        <f>Ringkasan!AA56</f>
        <v>Coal</v>
      </c>
      <c r="AB57" s="64" t="str">
        <f>Ringkasan!AB56</f>
        <v>Energy</v>
      </c>
    </row>
    <row r="58" hidden="1">
      <c r="A58" s="64" t="str">
        <f>Ringkasan!A57</f>
        <v>AEGS</v>
      </c>
      <c r="B58" s="64" t="str">
        <f>Ringkasan!B57</f>
        <v>PT Anugerah Spareparts Sejahtera Tbk.</v>
      </c>
      <c r="C58" s="65">
        <f>Ringkasan!C57</f>
        <v>40</v>
      </c>
      <c r="D58" s="64" t="str">
        <f>Ringkasan!D57</f>
        <v>#N/A</v>
      </c>
      <c r="E58" s="64" t="str">
        <f>Ringkasan!E57</f>
        <v/>
      </c>
      <c r="F58" s="64" t="str">
        <f>Ringkasan!F57</f>
        <v/>
      </c>
      <c r="G58" s="64">
        <f>Ringkasan!G57</f>
        <v>0</v>
      </c>
      <c r="H58" s="19">
        <f>Ringkasan!H57</f>
        <v>190</v>
      </c>
      <c r="I58" s="19">
        <f>Ringkasan!I57</f>
        <v>0.7</v>
      </c>
      <c r="J58" s="19">
        <f>Ringkasan!J57</f>
        <v>0.37</v>
      </c>
      <c r="K58" s="19">
        <f>Ringkasan!K57</f>
        <v>0.35</v>
      </c>
      <c r="L58" s="19">
        <f>Ringkasan!L57</f>
        <v>0.06</v>
      </c>
      <c r="M58" s="19">
        <f>Ringkasan!M57</f>
        <v>1</v>
      </c>
      <c r="N58" s="64" t="str">
        <f>Ringkasan!N57</f>
        <v/>
      </c>
      <c r="O58" s="64" t="str">
        <f>Ringkasan!O57</f>
        <v/>
      </c>
      <c r="P58" s="64" t="str">
        <f>Ringkasan!P57</f>
        <v/>
      </c>
      <c r="Q58" s="64" t="str">
        <f>Ringkasan!Q57</f>
        <v/>
      </c>
      <c r="R58" s="64" t="str">
        <f>Ringkasan!R57</f>
        <v/>
      </c>
      <c r="S58" s="64" t="str">
        <f>Ringkasan!S57</f>
        <v/>
      </c>
      <c r="T58" s="64" t="str">
        <f>Ringkasan!T57</f>
        <v/>
      </c>
      <c r="U58" s="64">
        <f>Ringkasan!U57</f>
        <v>39</v>
      </c>
      <c r="V58" s="64">
        <f>Ringkasan!V57</f>
        <v>2.56</v>
      </c>
      <c r="W58" s="64">
        <f>Ringkasan!W57</f>
        <v>39</v>
      </c>
      <c r="X58" s="64">
        <f>Ringkasan!X57</f>
        <v>41</v>
      </c>
      <c r="Y58" s="64">
        <f>Ringkasan!Y57</f>
        <v>39</v>
      </c>
      <c r="Z58" s="64">
        <f>Ringkasan!Z57</f>
        <v>1070500</v>
      </c>
      <c r="AA58" s="64" t="str">
        <f>Ringkasan!AA57</f>
        <v>Auto Components</v>
      </c>
      <c r="AB58" s="64" t="str">
        <f>Ringkasan!AB57</f>
        <v>Consumer Cyclicals</v>
      </c>
    </row>
    <row r="59" hidden="1">
      <c r="A59" s="64" t="str">
        <f>Ringkasan!A58</f>
        <v>AGAR</v>
      </c>
      <c r="B59" s="64" t="str">
        <f>Ringkasan!B58</f>
        <v>Asia Sejahtera Mina Tbk.</v>
      </c>
      <c r="C59" s="65">
        <f>Ringkasan!C58</f>
        <v>216</v>
      </c>
      <c r="D59" s="64" t="str">
        <f>Ringkasan!D58</f>
        <v>#N/A</v>
      </c>
      <c r="E59" s="64" t="str">
        <f>Ringkasan!E58</f>
        <v/>
      </c>
      <c r="F59" s="64" t="str">
        <f>Ringkasan!F58</f>
        <v/>
      </c>
      <c r="G59" s="64">
        <f>Ringkasan!G58</f>
        <v>0</v>
      </c>
      <c r="H59" s="19">
        <f>Ringkasan!H58</f>
        <v>48.2</v>
      </c>
      <c r="I59" s="19">
        <f>Ringkasan!I58</f>
        <v>2.1</v>
      </c>
      <c r="J59" s="19">
        <f>Ringkasan!J58</f>
        <v>4.4</v>
      </c>
      <c r="K59" s="19">
        <f>Ringkasan!K58</f>
        <v>2.6</v>
      </c>
      <c r="L59" s="19">
        <f>Ringkasan!L58</f>
        <v>0.65</v>
      </c>
      <c r="M59" s="19">
        <f>Ringkasan!M58</f>
        <v>10.7</v>
      </c>
      <c r="N59" s="64" t="str">
        <f>Ringkasan!N58</f>
        <v/>
      </c>
      <c r="O59" s="64" t="str">
        <f>Ringkasan!O58</f>
        <v/>
      </c>
      <c r="P59" s="64" t="str">
        <f>Ringkasan!P58</f>
        <v/>
      </c>
      <c r="Q59" s="64" t="str">
        <f>Ringkasan!Q58</f>
        <v/>
      </c>
      <c r="R59" s="64" t="str">
        <f>Ringkasan!R58</f>
        <v/>
      </c>
      <c r="S59" s="64" t="str">
        <f>Ringkasan!S58</f>
        <v/>
      </c>
      <c r="T59" s="64" t="str">
        <f>Ringkasan!T58</f>
        <v/>
      </c>
      <c r="U59" s="64">
        <f>Ringkasan!U58</f>
        <v>218</v>
      </c>
      <c r="V59" s="64">
        <f>Ringkasan!V58</f>
        <v>-0.92</v>
      </c>
      <c r="W59" s="64">
        <f>Ringkasan!W58</f>
        <v>218</v>
      </c>
      <c r="X59" s="64">
        <f>Ringkasan!X58</f>
        <v>226</v>
      </c>
      <c r="Y59" s="64">
        <f>Ringkasan!Y58</f>
        <v>214</v>
      </c>
      <c r="Z59" s="64">
        <f>Ringkasan!Z58</f>
        <v>195700</v>
      </c>
      <c r="AA59" s="64" t="str">
        <f>Ringkasan!AA58</f>
        <v>Agricultural Products</v>
      </c>
      <c r="AB59" s="64" t="str">
        <f>Ringkasan!AB58</f>
        <v>Consumer Non-Cyclicals</v>
      </c>
    </row>
    <row r="60" hidden="1">
      <c r="A60" s="64" t="str">
        <f>Ringkasan!A59</f>
        <v>AGII</v>
      </c>
      <c r="B60" s="64" t="str">
        <f>Ringkasan!B59</f>
        <v>Samator Indo Gas Tbk.</v>
      </c>
      <c r="C60" s="65">
        <f>Ringkasan!C59</f>
        <v>2680</v>
      </c>
      <c r="D60" s="64" t="str">
        <f>Ringkasan!D59</f>
        <v>#N/A</v>
      </c>
      <c r="E60" s="64" t="str">
        <f>Ringkasan!E59</f>
        <v/>
      </c>
      <c r="F60" s="64" t="str">
        <f>Ringkasan!F59</f>
        <v/>
      </c>
      <c r="G60" s="64">
        <f>Ringkasan!G59</f>
        <v>0</v>
      </c>
      <c r="H60" s="19">
        <f>Ringkasan!H59</f>
        <v>97.9</v>
      </c>
      <c r="I60" s="19">
        <f>Ringkasan!I59</f>
        <v>2.2</v>
      </c>
      <c r="J60" s="19">
        <f>Ringkasan!J59</f>
        <v>2.2</v>
      </c>
      <c r="K60" s="19">
        <f>Ringkasan!K59</f>
        <v>1</v>
      </c>
      <c r="L60" s="19">
        <f>Ringkasan!L59</f>
        <v>1.2</v>
      </c>
      <c r="M60" s="19">
        <f>Ringkasan!M59</f>
        <v>11.3</v>
      </c>
      <c r="N60" s="64" t="str">
        <f>Ringkasan!N59</f>
        <v/>
      </c>
      <c r="O60" s="64" t="str">
        <f>Ringkasan!O59</f>
        <v/>
      </c>
      <c r="P60" s="64" t="str">
        <f>Ringkasan!P59</f>
        <v/>
      </c>
      <c r="Q60" s="64" t="str">
        <f>Ringkasan!Q59</f>
        <v/>
      </c>
      <c r="R60" s="64" t="str">
        <f>Ringkasan!R59</f>
        <v/>
      </c>
      <c r="S60" s="64" t="str">
        <f>Ringkasan!S59</f>
        <v/>
      </c>
      <c r="T60" s="64" t="str">
        <f>Ringkasan!T59</f>
        <v/>
      </c>
      <c r="U60" s="64">
        <f>Ringkasan!U59</f>
        <v>2550</v>
      </c>
      <c r="V60" s="64">
        <f>Ringkasan!V59</f>
        <v>5.1</v>
      </c>
      <c r="W60" s="64">
        <f>Ringkasan!W59</f>
        <v>2580</v>
      </c>
      <c r="X60" s="64">
        <f>Ringkasan!X59</f>
        <v>2730</v>
      </c>
      <c r="Y60" s="64">
        <f>Ringkasan!Y59</f>
        <v>2580</v>
      </c>
      <c r="Z60" s="64">
        <f>Ringkasan!Z59</f>
        <v>83100</v>
      </c>
      <c r="AA60" s="64" t="str">
        <f>Ringkasan!AA59</f>
        <v>Chemicals</v>
      </c>
      <c r="AB60" s="64" t="str">
        <f>Ringkasan!AB59</f>
        <v>Basic Materials</v>
      </c>
    </row>
    <row r="61" hidden="1">
      <c r="A61" s="64" t="str">
        <f>Ringkasan!A60</f>
        <v>AGRO</v>
      </c>
      <c r="B61" s="64" t="str">
        <f>Ringkasan!B60</f>
        <v>PT Bank Rakyat Indonesia Agroniaga Tbk</v>
      </c>
      <c r="C61" s="65">
        <f>Ringkasan!C60</f>
        <v>151</v>
      </c>
      <c r="D61" s="64" t="str">
        <f>Ringkasan!D60</f>
        <v>#N/A</v>
      </c>
      <c r="E61" s="64" t="str">
        <f>Ringkasan!E60</f>
        <v>IDXBUMN20</v>
      </c>
      <c r="F61" s="64" t="str">
        <f>Ringkasan!F60</f>
        <v>4 Agustus 2026</v>
      </c>
      <c r="G61" s="64">
        <f>Ringkasan!G60</f>
        <v>2</v>
      </c>
      <c r="H61" s="19">
        <f>Ringkasan!H60</f>
        <v>-8</v>
      </c>
      <c r="I61" s="19">
        <f>Ringkasan!I60</f>
        <v>1.4</v>
      </c>
      <c r="J61" s="19">
        <f>Ringkasan!J60</f>
        <v>-17.3</v>
      </c>
      <c r="K61" s="19">
        <f>Ringkasan!K60</f>
        <v>-4</v>
      </c>
      <c r="L61" s="19">
        <f>Ringkasan!L60</f>
        <v>3.4</v>
      </c>
      <c r="M61" s="19">
        <f>Ringkasan!M60</f>
        <v>-160</v>
      </c>
      <c r="N61" s="64">
        <f>Ringkasan!N60</f>
        <v>4.44</v>
      </c>
      <c r="O61" s="64">
        <f>Ringkasan!O60</f>
        <v>44.29</v>
      </c>
      <c r="P61" s="64">
        <f>Ringkasan!P60</f>
        <v>87.62</v>
      </c>
      <c r="Q61" s="64">
        <f>Ringkasan!Q60</f>
        <v>3.22</v>
      </c>
      <c r="R61" s="64">
        <f>Ringkasan!R60</f>
        <v>96.68</v>
      </c>
      <c r="S61" s="64">
        <f>Ringkasan!S60</f>
        <v>58.02</v>
      </c>
      <c r="T61" s="64" t="str">
        <f>Ringkasan!T60</f>
        <v/>
      </c>
      <c r="U61" s="64">
        <f>Ringkasan!U60</f>
        <v>11.69</v>
      </c>
      <c r="V61" s="64">
        <f>Ringkasan!V60</f>
        <v>-0.34</v>
      </c>
      <c r="W61" s="64">
        <f>Ringkasan!W60</f>
        <v>11.63</v>
      </c>
      <c r="X61" s="64">
        <f>Ringkasan!X60</f>
        <v>11.84</v>
      </c>
      <c r="Y61" s="64">
        <f>Ringkasan!Y60</f>
        <v>11.58</v>
      </c>
      <c r="Z61" s="64">
        <f>Ringkasan!Z60</f>
        <v>921019</v>
      </c>
      <c r="AA61" s="64" t="str">
        <f>Ringkasan!AA60</f>
        <v>Banks</v>
      </c>
      <c r="AB61" s="64" t="str">
        <f>Ringkasan!AB60</f>
        <v>Financials</v>
      </c>
    </row>
    <row r="62" hidden="1">
      <c r="A62" s="64" t="str">
        <f>Ringkasan!A61</f>
        <v>AGRO</v>
      </c>
      <c r="B62" s="64" t="str">
        <f>Ringkasan!B61</f>
        <v>PT Bank Rakyat Indonesia Agroniaga Tbk</v>
      </c>
      <c r="C62" s="65">
        <f>Ringkasan!C61</f>
        <v>151</v>
      </c>
      <c r="D62" s="64" t="str">
        <f>Ringkasan!D61</f>
        <v>#N/A</v>
      </c>
      <c r="E62" s="64" t="str">
        <f>Ringkasan!E61</f>
        <v>Infobank15</v>
      </c>
      <c r="F62" s="64" t="str">
        <f>Ringkasan!F61</f>
        <v>30 Juni 2026</v>
      </c>
      <c r="G62" s="64">
        <f>Ringkasan!G61</f>
        <v>2</v>
      </c>
      <c r="H62" s="19">
        <f>Ringkasan!H61</f>
        <v>-8</v>
      </c>
      <c r="I62" s="19">
        <f>Ringkasan!I61</f>
        <v>1.4</v>
      </c>
      <c r="J62" s="19">
        <f>Ringkasan!J61</f>
        <v>-17.3</v>
      </c>
      <c r="K62" s="19">
        <f>Ringkasan!K61</f>
        <v>-4</v>
      </c>
      <c r="L62" s="19">
        <f>Ringkasan!L61</f>
        <v>3.4</v>
      </c>
      <c r="M62" s="19">
        <f>Ringkasan!M61</f>
        <v>-160</v>
      </c>
      <c r="N62" s="64">
        <f>Ringkasan!N61</f>
        <v>4.44</v>
      </c>
      <c r="O62" s="64">
        <f>Ringkasan!O61</f>
        <v>44.29</v>
      </c>
      <c r="P62" s="64">
        <f>Ringkasan!P61</f>
        <v>87.62</v>
      </c>
      <c r="Q62" s="64">
        <f>Ringkasan!Q61</f>
        <v>3.22</v>
      </c>
      <c r="R62" s="64">
        <f>Ringkasan!R61</f>
        <v>96.68</v>
      </c>
      <c r="S62" s="64">
        <f>Ringkasan!S61</f>
        <v>58.02</v>
      </c>
      <c r="T62" s="64" t="str">
        <f>Ringkasan!T61</f>
        <v/>
      </c>
      <c r="U62" s="64">
        <f>Ringkasan!U61</f>
        <v>11.69</v>
      </c>
      <c r="V62" s="64">
        <f>Ringkasan!V61</f>
        <v>-0.34</v>
      </c>
      <c r="W62" s="64">
        <f>Ringkasan!W61</f>
        <v>11.63</v>
      </c>
      <c r="X62" s="64">
        <f>Ringkasan!X61</f>
        <v>11.84</v>
      </c>
      <c r="Y62" s="64">
        <f>Ringkasan!Y61</f>
        <v>11.58</v>
      </c>
      <c r="Z62" s="64">
        <f>Ringkasan!Z61</f>
        <v>921019</v>
      </c>
      <c r="AA62" s="64" t="str">
        <f>Ringkasan!AA61</f>
        <v>Banks</v>
      </c>
      <c r="AB62" s="64" t="str">
        <f>Ringkasan!AB61</f>
        <v>Financials</v>
      </c>
    </row>
    <row r="63" hidden="1">
      <c r="A63" s="64" t="str">
        <f>Ringkasan!A62</f>
        <v>AGRS</v>
      </c>
      <c r="B63" s="64" t="str">
        <f>Ringkasan!B62</f>
        <v>PT Bank IBK Indonesia Tbk.</v>
      </c>
      <c r="C63" s="65">
        <f>Ringkasan!C62</f>
        <v>62</v>
      </c>
      <c r="D63" s="64" t="str">
        <f>Ringkasan!D62</f>
        <v>#N/A</v>
      </c>
      <c r="E63" s="64" t="str">
        <f>Ringkasan!E62</f>
        <v/>
      </c>
      <c r="F63" s="64" t="str">
        <f>Ringkasan!F62</f>
        <v/>
      </c>
      <c r="G63" s="64">
        <f>Ringkasan!G62</f>
        <v>0</v>
      </c>
      <c r="H63" s="19">
        <f>Ringkasan!H62</f>
        <v>17.3</v>
      </c>
      <c r="I63" s="19">
        <f>Ringkasan!I62</f>
        <v>0.53</v>
      </c>
      <c r="J63" s="19">
        <f>Ringkasan!J62</f>
        <v>3.1</v>
      </c>
      <c r="K63" s="19">
        <f>Ringkasan!K62</f>
        <v>0.76</v>
      </c>
      <c r="L63" s="19">
        <f>Ringkasan!L62</f>
        <v>3</v>
      </c>
      <c r="M63" s="19">
        <f>Ringkasan!M62</f>
        <v>48.6</v>
      </c>
      <c r="N63" s="64">
        <f>Ringkasan!N62</f>
        <v>3.42</v>
      </c>
      <c r="O63" s="64">
        <f>Ringkasan!O62</f>
        <v>26.05</v>
      </c>
      <c r="P63" s="64">
        <f>Ringkasan!P62</f>
        <v>85.34</v>
      </c>
      <c r="Q63" s="64">
        <f>Ringkasan!Q62</f>
        <v>1.84</v>
      </c>
      <c r="R63" s="64">
        <f>Ringkasan!R62</f>
        <v>86.12</v>
      </c>
      <c r="S63" s="64">
        <f>Ringkasan!S62</f>
        <v>51.46</v>
      </c>
      <c r="T63" s="64">
        <f>Ringkasan!T62</f>
        <v>6.22</v>
      </c>
      <c r="U63" s="64">
        <f>Ringkasan!U62</f>
        <v>0</v>
      </c>
      <c r="V63" s="64">
        <f>Ringkasan!V62</f>
        <v>0</v>
      </c>
      <c r="W63" s="64" t="str">
        <f>Ringkasan!W62</f>
        <v/>
      </c>
      <c r="X63" s="64" t="str">
        <f>Ringkasan!X62</f>
        <v/>
      </c>
      <c r="Y63" s="64" t="str">
        <f>Ringkasan!Y62</f>
        <v/>
      </c>
      <c r="Z63" s="64">
        <f>Ringkasan!Z62</f>
        <v>0</v>
      </c>
      <c r="AA63" s="64" t="str">
        <f>Ringkasan!AA62</f>
        <v>Banks</v>
      </c>
      <c r="AB63" s="64" t="str">
        <f>Ringkasan!AB62</f>
        <v>Financials</v>
      </c>
    </row>
    <row r="64" hidden="1">
      <c r="A64" s="64" t="str">
        <f>Ringkasan!A63</f>
        <v>AHAP</v>
      </c>
      <c r="B64" s="64" t="str">
        <f>Ringkasan!B63</f>
        <v>Asuransi Harta Aman Pratama Tbk.</v>
      </c>
      <c r="C64" s="65">
        <f>Ringkasan!C63</f>
        <v>82</v>
      </c>
      <c r="D64" s="64" t="str">
        <f>Ringkasan!D63</f>
        <v>#N/A</v>
      </c>
      <c r="E64" s="64" t="str">
        <f>Ringkasan!E63</f>
        <v/>
      </c>
      <c r="F64" s="64" t="str">
        <f>Ringkasan!F63</f>
        <v/>
      </c>
      <c r="G64" s="64">
        <f>Ringkasan!G63</f>
        <v>0</v>
      </c>
      <c r="H64" s="19">
        <f>Ringkasan!H63</f>
        <v>-18</v>
      </c>
      <c r="I64" s="19">
        <f>Ringkasan!I63</f>
        <v>2.4</v>
      </c>
      <c r="J64" s="19">
        <f>Ringkasan!J63</f>
        <v>-13.5</v>
      </c>
      <c r="K64" s="19">
        <f>Ringkasan!K63</f>
        <v>-2.7</v>
      </c>
      <c r="L64" s="19">
        <f>Ringkasan!L63</f>
        <v>4</v>
      </c>
      <c r="M64" s="19">
        <f>Ringkasan!M63</f>
        <v>-11.6</v>
      </c>
      <c r="N64" s="64" t="str">
        <f>Ringkasan!N63</f>
        <v/>
      </c>
      <c r="O64" s="64" t="str">
        <f>Ringkasan!O63</f>
        <v/>
      </c>
      <c r="P64" s="64" t="str">
        <f>Ringkasan!P63</f>
        <v/>
      </c>
      <c r="Q64" s="64" t="str">
        <f>Ringkasan!Q63</f>
        <v/>
      </c>
      <c r="R64" s="64" t="str">
        <f>Ringkasan!R63</f>
        <v/>
      </c>
      <c r="S64" s="64" t="str">
        <f>Ringkasan!S63</f>
        <v/>
      </c>
      <c r="T64" s="64" t="str">
        <f>Ringkasan!T63</f>
        <v/>
      </c>
      <c r="U64" s="64">
        <f>Ringkasan!U63</f>
        <v>78</v>
      </c>
      <c r="V64" s="64">
        <f>Ringkasan!V63</f>
        <v>5.13</v>
      </c>
      <c r="W64" s="64">
        <f>Ringkasan!W63</f>
        <v>78</v>
      </c>
      <c r="X64" s="64">
        <f>Ringkasan!X63</f>
        <v>85</v>
      </c>
      <c r="Y64" s="64">
        <f>Ringkasan!Y63</f>
        <v>78</v>
      </c>
      <c r="Z64" s="64">
        <f>Ringkasan!Z63</f>
        <v>13048000</v>
      </c>
      <c r="AA64" s="64" t="str">
        <f>Ringkasan!AA63</f>
        <v>Insurance</v>
      </c>
      <c r="AB64" s="64" t="str">
        <f>Ringkasan!AB63</f>
        <v>Financials</v>
      </c>
    </row>
    <row r="65" hidden="1">
      <c r="A65" s="64" t="str">
        <f>Ringkasan!A64</f>
        <v>AIMS</v>
      </c>
      <c r="B65" s="64" t="str">
        <f>Ringkasan!B64</f>
        <v>Artha Mahiya Investama Tbk.</v>
      </c>
      <c r="C65" s="65">
        <f>Ringkasan!C64</f>
        <v>390</v>
      </c>
      <c r="D65" s="64" t="str">
        <f>Ringkasan!D64</f>
        <v>#N/A</v>
      </c>
      <c r="E65" s="64" t="str">
        <f>Ringkasan!E64</f>
        <v/>
      </c>
      <c r="F65" s="64" t="str">
        <f>Ringkasan!F64</f>
        <v/>
      </c>
      <c r="G65" s="64">
        <f>Ringkasan!G64</f>
        <v>0</v>
      </c>
      <c r="H65" s="19">
        <f>Ringkasan!H64</f>
        <v>-110</v>
      </c>
      <c r="I65" s="19">
        <f>Ringkasan!I64</f>
        <v>510</v>
      </c>
      <c r="J65" s="19">
        <f>Ringkasan!J64</f>
        <v>-480</v>
      </c>
      <c r="K65" s="19">
        <f>Ringkasan!K64</f>
        <v>-18.2</v>
      </c>
      <c r="L65" s="19">
        <f>Ringkasan!L64</f>
        <v>25.3</v>
      </c>
      <c r="M65" s="19">
        <f>Ringkasan!M64</f>
        <v>-62.2</v>
      </c>
      <c r="N65" s="64" t="str">
        <f>Ringkasan!N64</f>
        <v/>
      </c>
      <c r="O65" s="64" t="str">
        <f>Ringkasan!O64</f>
        <v/>
      </c>
      <c r="P65" s="64" t="str">
        <f>Ringkasan!P64</f>
        <v/>
      </c>
      <c r="Q65" s="64" t="str">
        <f>Ringkasan!Q64</f>
        <v/>
      </c>
      <c r="R65" s="64" t="str">
        <f>Ringkasan!R64</f>
        <v/>
      </c>
      <c r="S65" s="64" t="str">
        <f>Ringkasan!S64</f>
        <v/>
      </c>
      <c r="T65" s="64" t="str">
        <f>Ringkasan!T64</f>
        <v/>
      </c>
      <c r="U65" s="64">
        <f>Ringkasan!U64</f>
        <v>27.76</v>
      </c>
      <c r="V65" s="64">
        <f>Ringkasan!V64</f>
        <v>2.29</v>
      </c>
      <c r="W65" s="64">
        <f>Ringkasan!W64</f>
        <v>28.41</v>
      </c>
      <c r="X65" s="64">
        <f>Ringkasan!X64</f>
        <v>28.48</v>
      </c>
      <c r="Y65" s="64">
        <f>Ringkasan!Y64</f>
        <v>28.29</v>
      </c>
      <c r="Z65" s="64">
        <f>Ringkasan!Z64</f>
        <v>3526</v>
      </c>
      <c r="AA65" s="64" t="str">
        <f>Ringkasan!AA64</f>
        <v>Coal</v>
      </c>
      <c r="AB65" s="64" t="str">
        <f>Ringkasan!AB64</f>
        <v>Energy</v>
      </c>
    </row>
    <row r="66" hidden="1">
      <c r="A66" s="64" t="str">
        <f>Ringkasan!A65</f>
        <v>AISA</v>
      </c>
      <c r="B66" s="64" t="str">
        <f>Ringkasan!B65</f>
        <v>FKS Food Sejahtera Tbk.</v>
      </c>
      <c r="C66" s="65">
        <f>Ringkasan!C65</f>
        <v>101</v>
      </c>
      <c r="D66" s="64" t="str">
        <f>Ringkasan!D65</f>
        <v>#N/A</v>
      </c>
      <c r="E66" s="64" t="str">
        <f>Ringkasan!E65</f>
        <v/>
      </c>
      <c r="F66" s="64" t="str">
        <f>Ringkasan!F65</f>
        <v/>
      </c>
      <c r="G66" s="64">
        <f>Ringkasan!G65</f>
        <v>0</v>
      </c>
      <c r="H66" s="19">
        <f>Ringkasan!H65</f>
        <v>15.2</v>
      </c>
      <c r="I66" s="19">
        <f>Ringkasan!I65</f>
        <v>0.86</v>
      </c>
      <c r="J66" s="19">
        <f>Ringkasan!J65</f>
        <v>5.7</v>
      </c>
      <c r="K66" s="19">
        <f>Ringkasan!K65</f>
        <v>3</v>
      </c>
      <c r="L66" s="19">
        <f>Ringkasan!L65</f>
        <v>0.87</v>
      </c>
      <c r="M66" s="19">
        <f>Ringkasan!M65</f>
        <v>13</v>
      </c>
      <c r="N66" s="64" t="str">
        <f>Ringkasan!N65</f>
        <v/>
      </c>
      <c r="O66" s="64" t="str">
        <f>Ringkasan!O65</f>
        <v/>
      </c>
      <c r="P66" s="64" t="str">
        <f>Ringkasan!P65</f>
        <v/>
      </c>
      <c r="Q66" s="64" t="str">
        <f>Ringkasan!Q65</f>
        <v/>
      </c>
      <c r="R66" s="64" t="str">
        <f>Ringkasan!R65</f>
        <v/>
      </c>
      <c r="S66" s="64" t="str">
        <f>Ringkasan!S65</f>
        <v/>
      </c>
      <c r="T66" s="64" t="str">
        <f>Ringkasan!T65</f>
        <v/>
      </c>
      <c r="U66" s="64">
        <f>Ringkasan!U65</f>
        <v>102</v>
      </c>
      <c r="V66" s="64">
        <f>Ringkasan!V65</f>
        <v>-0.98</v>
      </c>
      <c r="W66" s="64">
        <f>Ringkasan!W65</f>
        <v>101</v>
      </c>
      <c r="X66" s="64">
        <f>Ringkasan!X65</f>
        <v>105</v>
      </c>
      <c r="Y66" s="64">
        <f>Ringkasan!Y65</f>
        <v>100</v>
      </c>
      <c r="Z66" s="64">
        <f>Ringkasan!Z65</f>
        <v>4799800</v>
      </c>
      <c r="AA66" s="64" t="str">
        <f>Ringkasan!AA65</f>
        <v>Processed Foods</v>
      </c>
      <c r="AB66" s="64" t="str">
        <f>Ringkasan!AB65</f>
        <v>Consumer Non-Cyclicals</v>
      </c>
    </row>
    <row r="67" hidden="1">
      <c r="A67" s="64" t="str">
        <f>Ringkasan!A66</f>
        <v>AKKU</v>
      </c>
      <c r="B67" s="64" t="str">
        <f>Ringkasan!B66</f>
        <v>Anugerah Kagum Karya Utama Tbk.</v>
      </c>
      <c r="C67" s="65">
        <f>Ringkasan!C66</f>
        <v>38</v>
      </c>
      <c r="D67" s="64" t="str">
        <f>Ringkasan!D66</f>
        <v>#N/A</v>
      </c>
      <c r="E67" s="64" t="str">
        <f>Ringkasan!E66</f>
        <v/>
      </c>
      <c r="F67" s="64" t="str">
        <f>Ringkasan!F66</f>
        <v/>
      </c>
      <c r="G67" s="64">
        <f>Ringkasan!G66</f>
        <v>0</v>
      </c>
      <c r="H67" s="19">
        <f>Ringkasan!H66</f>
        <v>-9.4</v>
      </c>
      <c r="I67" s="19">
        <f>Ringkasan!I66</f>
        <v>0.62</v>
      </c>
      <c r="J67" s="19">
        <f>Ringkasan!J66</f>
        <v>-6.6</v>
      </c>
      <c r="K67" s="19">
        <f>Ringkasan!K66</f>
        <v>-3.7</v>
      </c>
      <c r="L67" s="19">
        <f>Ringkasan!L66</f>
        <v>0.77</v>
      </c>
      <c r="M67" s="19">
        <f>Ringkasan!M66</f>
        <v>-1280</v>
      </c>
      <c r="N67" s="64" t="str">
        <f>Ringkasan!N66</f>
        <v/>
      </c>
      <c r="O67" s="64" t="str">
        <f>Ringkasan!O66</f>
        <v/>
      </c>
      <c r="P67" s="64" t="str">
        <f>Ringkasan!P66</f>
        <v/>
      </c>
      <c r="Q67" s="64" t="str">
        <f>Ringkasan!Q66</f>
        <v/>
      </c>
      <c r="R67" s="64" t="str">
        <f>Ringkasan!R66</f>
        <v/>
      </c>
      <c r="S67" s="64" t="str">
        <f>Ringkasan!S66</f>
        <v/>
      </c>
      <c r="T67" s="64" t="str">
        <f>Ringkasan!T66</f>
        <v/>
      </c>
      <c r="U67" s="64">
        <f>Ringkasan!U66</f>
        <v>38</v>
      </c>
      <c r="V67" s="64">
        <f>Ringkasan!V66</f>
        <v>0</v>
      </c>
      <c r="W67" s="64" t="str">
        <f>Ringkasan!W66</f>
        <v/>
      </c>
      <c r="X67" s="64" t="str">
        <f>Ringkasan!X66</f>
        <v/>
      </c>
      <c r="Y67" s="64" t="str">
        <f>Ringkasan!Y66</f>
        <v/>
      </c>
      <c r="Z67" s="64">
        <f>Ringkasan!Z66</f>
        <v>0</v>
      </c>
      <c r="AA67" s="64" t="str">
        <f>Ringkasan!AA66</f>
        <v>Tourism &amp; Recreation</v>
      </c>
      <c r="AB67" s="64" t="str">
        <f>Ringkasan!AB66</f>
        <v>Consumer Cyclicals</v>
      </c>
    </row>
    <row r="68" hidden="1">
      <c r="A68" s="64" t="str">
        <f>Ringkasan!A221</f>
        <v>BBCA</v>
      </c>
      <c r="B68" s="64" t="str">
        <f>Ringkasan!B221</f>
        <v>Bank Central Asia Tbk.</v>
      </c>
      <c r="C68" s="65" t="str">
        <f>Ringkasan!C221</f>
        <v>#N/A</v>
      </c>
      <c r="D68" s="64" t="str">
        <f>Ringkasan!D221</f>
        <v>#N/A</v>
      </c>
      <c r="E68" s="64" t="str">
        <f>Ringkasan!E221</f>
        <v>ESGQKEHATI</v>
      </c>
      <c r="F68" s="66">
        <f>Ringkasan!F221</f>
        <v>46356</v>
      </c>
      <c r="G68" s="64">
        <f>Ringkasan!G221</f>
        <v>21</v>
      </c>
      <c r="H68" s="19">
        <f>Ringkasan!H221</f>
        <v>12.1</v>
      </c>
      <c r="I68" s="19">
        <f>Ringkasan!I221</f>
        <v>2.7</v>
      </c>
      <c r="J68" s="19">
        <f>Ringkasan!J221</f>
        <v>22.4</v>
      </c>
      <c r="K68" s="19">
        <f>Ringkasan!K221</f>
        <v>3.5</v>
      </c>
      <c r="L68" s="19">
        <f>Ringkasan!L221</f>
        <v>5.3</v>
      </c>
      <c r="M68" s="19">
        <f>Ringkasan!M221</f>
        <v>220</v>
      </c>
      <c r="N68" s="64">
        <f>Ringkasan!N221</f>
        <v>5.33</v>
      </c>
      <c r="O68" s="64">
        <f>Ringkasan!O221</f>
        <v>27.52</v>
      </c>
      <c r="P68" s="64">
        <f>Ringkasan!P221</f>
        <v>74.1</v>
      </c>
      <c r="Q68" s="64">
        <f>Ringkasan!Q221</f>
        <v>1.85</v>
      </c>
      <c r="R68" s="64">
        <f>Ringkasan!R221</f>
        <v>39.87</v>
      </c>
      <c r="S68" s="64">
        <f>Ringkasan!S221</f>
        <v>27.32</v>
      </c>
      <c r="T68" s="64">
        <f>Ringkasan!T221</f>
        <v>2.09</v>
      </c>
      <c r="U68" s="60">
        <f>Ringkasan!U221</f>
        <v>100.74</v>
      </c>
      <c r="V68" s="60">
        <f>Ringkasan!V221</f>
        <v>0.51</v>
      </c>
      <c r="W68" s="60">
        <f>Ringkasan!W221</f>
        <v>100.94</v>
      </c>
      <c r="X68" s="60">
        <f>Ringkasan!X221</f>
        <v>101.77</v>
      </c>
      <c r="Y68" s="60">
        <f>Ringkasan!Y221</f>
        <v>100.74</v>
      </c>
      <c r="Z68" s="60">
        <f>Ringkasan!Z221</f>
        <v>51924</v>
      </c>
      <c r="AA68" s="64" t="str">
        <f>Ringkasan!AA221</f>
        <v>Banks</v>
      </c>
      <c r="AB68" s="64" t="str">
        <f>Ringkasan!AB221</f>
        <v>Financials</v>
      </c>
    </row>
    <row r="69" hidden="1">
      <c r="A69" s="64" t="str">
        <f>Ringkasan!A68</f>
        <v>AKRA</v>
      </c>
      <c r="B69" s="64" t="str">
        <f>Ringkasan!B68</f>
        <v>AKR Corporindo Tbk.</v>
      </c>
      <c r="C69" s="65">
        <f>Ringkasan!C68</f>
        <v>1250</v>
      </c>
      <c r="D69" s="64" t="str">
        <f>Ringkasan!D68</f>
        <v>#N/A</v>
      </c>
      <c r="E69" s="64" t="str">
        <f>Ringkasan!E68</f>
        <v>ESGQKEHATI</v>
      </c>
      <c r="F69" s="66">
        <f>Ringkasan!F68</f>
        <v>46356</v>
      </c>
      <c r="G69" s="65">
        <f>Ringkasan!G68</f>
        <v>16</v>
      </c>
      <c r="H69" s="19">
        <f>Ringkasan!H68</f>
        <v>9.7</v>
      </c>
      <c r="I69" s="19">
        <f>Ringkasan!I68</f>
        <v>1.5</v>
      </c>
      <c r="J69" s="19">
        <f>Ringkasan!J68</f>
        <v>15.8</v>
      </c>
      <c r="K69" s="19">
        <f>Ringkasan!K68</f>
        <v>6.9</v>
      </c>
      <c r="L69" s="19">
        <f>Ringkasan!L68</f>
        <v>1.3</v>
      </c>
      <c r="M69" s="19">
        <f>Ringkasan!M68</f>
        <v>19.8</v>
      </c>
      <c r="N69" s="64" t="str">
        <f>Ringkasan!N68</f>
        <v/>
      </c>
      <c r="O69" s="64" t="str">
        <f>Ringkasan!O68</f>
        <v/>
      </c>
      <c r="P69" s="64" t="str">
        <f>Ringkasan!P68</f>
        <v/>
      </c>
      <c r="Q69" s="64" t="str">
        <f>Ringkasan!Q68</f>
        <v/>
      </c>
      <c r="R69" s="64" t="str">
        <f>Ringkasan!R68</f>
        <v/>
      </c>
      <c r="S69" s="64" t="str">
        <f>Ringkasan!S68</f>
        <v/>
      </c>
      <c r="T69" s="64" t="str">
        <f>Ringkasan!T68</f>
        <v/>
      </c>
      <c r="U69" s="64">
        <f>Ringkasan!U68</f>
        <v>1265</v>
      </c>
      <c r="V69" s="64">
        <f>Ringkasan!V68</f>
        <v>-1.19</v>
      </c>
      <c r="W69" s="64">
        <f>Ringkasan!W68</f>
        <v>1280</v>
      </c>
      <c r="X69" s="64">
        <f>Ringkasan!X68</f>
        <v>1315</v>
      </c>
      <c r="Y69" s="64">
        <f>Ringkasan!Y68</f>
        <v>1250</v>
      </c>
      <c r="Z69" s="64">
        <f>Ringkasan!Z68</f>
        <v>21209100</v>
      </c>
      <c r="AA69" s="64" t="str">
        <f>Ringkasan!AA68</f>
        <v>Oil &amp; Gas</v>
      </c>
      <c r="AB69" s="64" t="str">
        <f>Ringkasan!AB68</f>
        <v>Energy</v>
      </c>
    </row>
    <row r="70" hidden="1">
      <c r="A70" s="64" t="str">
        <f>Ringkasan!A395</f>
        <v>BOLA</v>
      </c>
      <c r="B70" s="64" t="str">
        <f>Ringkasan!B395</f>
        <v>Bali Bintang Sejahtera Tbk.</v>
      </c>
      <c r="C70" s="61">
        <f>Ringkasan!C395</f>
        <v>130</v>
      </c>
      <c r="D70" s="60" t="str">
        <f>Ringkasan!D395</f>
        <v>#N/A</v>
      </c>
      <c r="E70" s="64" t="str">
        <f>Ringkasan!E395</f>
        <v/>
      </c>
      <c r="F70" s="64" t="str">
        <f>Ringkasan!F395</f>
        <v/>
      </c>
      <c r="G70" s="64">
        <f>Ringkasan!G395</f>
        <v>0</v>
      </c>
      <c r="H70" s="19">
        <f>Ringkasan!H395</f>
        <v>21.8</v>
      </c>
      <c r="I70" s="19">
        <f>Ringkasan!I395</f>
        <v>1.3</v>
      </c>
      <c r="J70" s="19">
        <f>Ringkasan!J395</f>
        <v>6.1</v>
      </c>
      <c r="K70" s="19">
        <f>Ringkasan!K395</f>
        <v>5.4</v>
      </c>
      <c r="L70" s="19">
        <f>Ringkasan!L395</f>
        <v>0.14</v>
      </c>
      <c r="M70" s="19">
        <f>Ringkasan!M395</f>
        <v>55.2</v>
      </c>
      <c r="N70" s="64" t="str">
        <f>Ringkasan!N395</f>
        <v/>
      </c>
      <c r="O70" s="64" t="str">
        <f>Ringkasan!O395</f>
        <v/>
      </c>
      <c r="P70" s="64" t="str">
        <f>Ringkasan!P395</f>
        <v/>
      </c>
      <c r="Q70" s="64" t="str">
        <f>Ringkasan!Q395</f>
        <v/>
      </c>
      <c r="R70" s="64" t="str">
        <f>Ringkasan!R395</f>
        <v/>
      </c>
      <c r="S70" s="64" t="str">
        <f>Ringkasan!S395</f>
        <v/>
      </c>
      <c r="T70" s="64" t="str">
        <f>Ringkasan!T395</f>
        <v/>
      </c>
      <c r="U70" s="60">
        <f>Ringkasan!U395</f>
        <v>126</v>
      </c>
      <c r="V70" s="60">
        <f>Ringkasan!V395</f>
        <v>3.17</v>
      </c>
      <c r="W70" s="60">
        <f>Ringkasan!W395</f>
        <v>126</v>
      </c>
      <c r="X70" s="60">
        <f>Ringkasan!X395</f>
        <v>133</v>
      </c>
      <c r="Y70" s="60">
        <f>Ringkasan!Y395</f>
        <v>125</v>
      </c>
      <c r="Z70" s="60">
        <f>Ringkasan!Z395</f>
        <v>1851100</v>
      </c>
      <c r="AA70" s="64" t="str">
        <f>Ringkasan!AA395</f>
        <v>Tourism &amp; Recreation</v>
      </c>
      <c r="AB70" s="64" t="str">
        <f>Ringkasan!AB395</f>
        <v>Consumer Cyclicals</v>
      </c>
    </row>
    <row r="71" hidden="1">
      <c r="A71" s="64" t="str">
        <f>Ringkasan!A70</f>
        <v>AKRA</v>
      </c>
      <c r="B71" s="64" t="str">
        <f>Ringkasan!B70</f>
        <v>AKR Corporindo Tbk.</v>
      </c>
      <c r="C71" s="65">
        <f>Ringkasan!C70</f>
        <v>1250</v>
      </c>
      <c r="D71" s="64" t="str">
        <f>Ringkasan!D70</f>
        <v>#N/A</v>
      </c>
      <c r="E71" s="64" t="str">
        <f>Ringkasan!E70</f>
        <v>LQ45</v>
      </c>
      <c r="F71" s="64" t="str">
        <f>Ringkasan!F70</f>
        <v>31 Juli 2026</v>
      </c>
      <c r="G71" s="65">
        <f>Ringkasan!G70</f>
        <v>16</v>
      </c>
      <c r="H71" s="19">
        <f>Ringkasan!H70</f>
        <v>9.7</v>
      </c>
      <c r="I71" s="19">
        <f>Ringkasan!I70</f>
        <v>1.5</v>
      </c>
      <c r="J71" s="19">
        <f>Ringkasan!J70</f>
        <v>15.8</v>
      </c>
      <c r="K71" s="19">
        <f>Ringkasan!K70</f>
        <v>6.9</v>
      </c>
      <c r="L71" s="19">
        <f>Ringkasan!L70</f>
        <v>1.3</v>
      </c>
      <c r="M71" s="19">
        <f>Ringkasan!M70</f>
        <v>19.8</v>
      </c>
      <c r="N71" s="64" t="str">
        <f>Ringkasan!N70</f>
        <v/>
      </c>
      <c r="O71" s="64" t="str">
        <f>Ringkasan!O70</f>
        <v/>
      </c>
      <c r="P71" s="64" t="str">
        <f>Ringkasan!P70</f>
        <v/>
      </c>
      <c r="Q71" s="64" t="str">
        <f>Ringkasan!Q70</f>
        <v/>
      </c>
      <c r="R71" s="64" t="str">
        <f>Ringkasan!R70</f>
        <v/>
      </c>
      <c r="S71" s="64" t="str">
        <f>Ringkasan!S70</f>
        <v/>
      </c>
      <c r="T71" s="64" t="str">
        <f>Ringkasan!T70</f>
        <v/>
      </c>
      <c r="U71" s="64">
        <f>Ringkasan!U70</f>
        <v>1265</v>
      </c>
      <c r="V71" s="64">
        <f>Ringkasan!V70</f>
        <v>-1.19</v>
      </c>
      <c r="W71" s="64">
        <f>Ringkasan!W70</f>
        <v>1280</v>
      </c>
      <c r="X71" s="64">
        <f>Ringkasan!X70</f>
        <v>1315</v>
      </c>
      <c r="Y71" s="64">
        <f>Ringkasan!Y70</f>
        <v>1250</v>
      </c>
      <c r="Z71" s="64">
        <f>Ringkasan!Z70</f>
        <v>21209100</v>
      </c>
      <c r="AA71" s="64" t="str">
        <f>Ringkasan!AA70</f>
        <v>Oil &amp; Gas</v>
      </c>
      <c r="AB71" s="64" t="str">
        <f>Ringkasan!AB70</f>
        <v>Energy</v>
      </c>
    </row>
    <row r="72" hidden="1">
      <c r="A72" s="64" t="str">
        <f>Ringkasan!A71</f>
        <v>AKRA</v>
      </c>
      <c r="B72" s="64" t="str">
        <f>Ringkasan!B71</f>
        <v>AKR Corporindo Tbk.</v>
      </c>
      <c r="C72" s="65">
        <f>Ringkasan!C71</f>
        <v>1250</v>
      </c>
      <c r="D72" s="64" t="str">
        <f>Ringkasan!D71</f>
        <v>#N/A</v>
      </c>
      <c r="E72" s="64" t="str">
        <f>Ringkasan!E71</f>
        <v>IDX80</v>
      </c>
      <c r="F72" s="64" t="str">
        <f>Ringkasan!F71</f>
        <v>31 Juli 2026</v>
      </c>
      <c r="G72" s="65">
        <f>Ringkasan!G71</f>
        <v>16</v>
      </c>
      <c r="H72" s="19">
        <f>Ringkasan!H71</f>
        <v>9.7</v>
      </c>
      <c r="I72" s="19">
        <f>Ringkasan!I71</f>
        <v>1.5</v>
      </c>
      <c r="J72" s="19">
        <f>Ringkasan!J71</f>
        <v>15.8</v>
      </c>
      <c r="K72" s="19">
        <f>Ringkasan!K71</f>
        <v>6.9</v>
      </c>
      <c r="L72" s="19">
        <f>Ringkasan!L71</f>
        <v>1.3</v>
      </c>
      <c r="M72" s="19">
        <f>Ringkasan!M71</f>
        <v>19.8</v>
      </c>
      <c r="N72" s="64" t="str">
        <f>Ringkasan!N71</f>
        <v/>
      </c>
      <c r="O72" s="64" t="str">
        <f>Ringkasan!O71</f>
        <v/>
      </c>
      <c r="P72" s="64" t="str">
        <f>Ringkasan!P71</f>
        <v/>
      </c>
      <c r="Q72" s="64" t="str">
        <f>Ringkasan!Q71</f>
        <v/>
      </c>
      <c r="R72" s="64" t="str">
        <f>Ringkasan!R71</f>
        <v/>
      </c>
      <c r="S72" s="64" t="str">
        <f>Ringkasan!S71</f>
        <v/>
      </c>
      <c r="T72" s="64" t="str">
        <f>Ringkasan!T71</f>
        <v/>
      </c>
      <c r="U72" s="64">
        <f>Ringkasan!U71</f>
        <v>1265</v>
      </c>
      <c r="V72" s="64">
        <f>Ringkasan!V71</f>
        <v>-1.19</v>
      </c>
      <c r="W72" s="64">
        <f>Ringkasan!W71</f>
        <v>1280</v>
      </c>
      <c r="X72" s="64">
        <f>Ringkasan!X71</f>
        <v>1315</v>
      </c>
      <c r="Y72" s="64">
        <f>Ringkasan!Y71</f>
        <v>1250</v>
      </c>
      <c r="Z72" s="64">
        <f>Ringkasan!Z71</f>
        <v>21209100</v>
      </c>
      <c r="AA72" s="64" t="str">
        <f>Ringkasan!AA71</f>
        <v>Oil &amp; Gas</v>
      </c>
      <c r="AB72" s="64" t="str">
        <f>Ringkasan!AB71</f>
        <v>Energy</v>
      </c>
    </row>
    <row r="73" hidden="1">
      <c r="A73" s="64" t="str">
        <f>Ringkasan!A433</f>
        <v>BRPT</v>
      </c>
      <c r="B73" s="64" t="str">
        <f>Ringkasan!B433</f>
        <v>Barito Pacific Tbk.</v>
      </c>
      <c r="C73" s="65">
        <f>Ringkasan!C433</f>
        <v>1700</v>
      </c>
      <c r="D73" s="64" t="str">
        <f>Ringkasan!D433</f>
        <v>#N/A</v>
      </c>
      <c r="E73" s="64" t="str">
        <f>Ringkasan!E433</f>
        <v>FTSE Large Cap</v>
      </c>
      <c r="F73" s="64" t="str">
        <f>Ringkasan!F433</f>
        <v>Juni 2026</v>
      </c>
      <c r="G73" s="64">
        <f>Ringkasan!G433</f>
        <v>10</v>
      </c>
      <c r="H73" s="19">
        <f>Ringkasan!H433</f>
        <v>19.2</v>
      </c>
      <c r="I73" s="19">
        <f>Ringkasan!I433</f>
        <v>1.7</v>
      </c>
      <c r="J73" s="19">
        <f>Ringkasan!J433</f>
        <v>8.9</v>
      </c>
      <c r="K73" s="19">
        <f>Ringkasan!K433</f>
        <v>3.2</v>
      </c>
      <c r="L73" s="19">
        <f>Ringkasan!L433</f>
        <v>1.8</v>
      </c>
      <c r="M73" s="19">
        <f>Ringkasan!M433</f>
        <v>21.7</v>
      </c>
      <c r="N73" s="64" t="str">
        <f>Ringkasan!N433</f>
        <v/>
      </c>
      <c r="O73" s="64" t="str">
        <f>Ringkasan!O433</f>
        <v/>
      </c>
      <c r="P73" s="64" t="str">
        <f>Ringkasan!P433</f>
        <v/>
      </c>
      <c r="Q73" s="64" t="str">
        <f>Ringkasan!Q433</f>
        <v/>
      </c>
      <c r="R73" s="64" t="str">
        <f>Ringkasan!R433</f>
        <v/>
      </c>
      <c r="S73" s="64" t="str">
        <f>Ringkasan!S433</f>
        <v/>
      </c>
      <c r="T73" s="64" t="str">
        <f>Ringkasan!T433</f>
        <v/>
      </c>
      <c r="U73" s="64">
        <f>Ringkasan!U433</f>
        <v>1650</v>
      </c>
      <c r="V73" s="64">
        <f>Ringkasan!V433</f>
        <v>3.03</v>
      </c>
      <c r="W73" s="64">
        <f>Ringkasan!W433</f>
        <v>1700</v>
      </c>
      <c r="X73" s="64">
        <f>Ringkasan!X433</f>
        <v>1770</v>
      </c>
      <c r="Y73" s="64">
        <f>Ringkasan!Y433</f>
        <v>1680</v>
      </c>
      <c r="Z73" s="64">
        <f>Ringkasan!Z433</f>
        <v>279487700</v>
      </c>
      <c r="AA73" s="64" t="str">
        <f>Ringkasan!AA433</f>
        <v>Chemicals</v>
      </c>
      <c r="AB73" s="64" t="str">
        <f>Ringkasan!AB433</f>
        <v>Basic Materials</v>
      </c>
    </row>
    <row r="74" hidden="1">
      <c r="A74" s="64" t="str">
        <f>Ringkasan!A73</f>
        <v>AKRA</v>
      </c>
      <c r="B74" s="64" t="str">
        <f>Ringkasan!B73</f>
        <v>AKR Corporindo Tbk.</v>
      </c>
      <c r="C74" s="65">
        <f>Ringkasan!C73</f>
        <v>1250</v>
      </c>
      <c r="D74" s="64" t="str">
        <f>Ringkasan!D73</f>
        <v>#N/A</v>
      </c>
      <c r="E74" s="64" t="str">
        <f>Ringkasan!E73</f>
        <v>SMINFRA18</v>
      </c>
      <c r="F74" s="64" t="str">
        <f>Ringkasan!F73</f>
        <v>30 Oktober 2026</v>
      </c>
      <c r="G74" s="65">
        <f>Ringkasan!G73</f>
        <v>16</v>
      </c>
      <c r="H74" s="19">
        <f>Ringkasan!H73</f>
        <v>9.7</v>
      </c>
      <c r="I74" s="19">
        <f>Ringkasan!I73</f>
        <v>1.5</v>
      </c>
      <c r="J74" s="19">
        <f>Ringkasan!J73</f>
        <v>15.8</v>
      </c>
      <c r="K74" s="19">
        <f>Ringkasan!K73</f>
        <v>6.9</v>
      </c>
      <c r="L74" s="19">
        <f>Ringkasan!L73</f>
        <v>1.3</v>
      </c>
      <c r="M74" s="19">
        <f>Ringkasan!M73</f>
        <v>19.8</v>
      </c>
      <c r="N74" s="64" t="str">
        <f>Ringkasan!N73</f>
        <v/>
      </c>
      <c r="O74" s="64" t="str">
        <f>Ringkasan!O73</f>
        <v/>
      </c>
      <c r="P74" s="64" t="str">
        <f>Ringkasan!P73</f>
        <v/>
      </c>
      <c r="Q74" s="64" t="str">
        <f>Ringkasan!Q73</f>
        <v/>
      </c>
      <c r="R74" s="64" t="str">
        <f>Ringkasan!R73</f>
        <v/>
      </c>
      <c r="S74" s="64" t="str">
        <f>Ringkasan!S73</f>
        <v/>
      </c>
      <c r="T74" s="64" t="str">
        <f>Ringkasan!T73</f>
        <v/>
      </c>
      <c r="U74" s="64">
        <f>Ringkasan!U73</f>
        <v>1265</v>
      </c>
      <c r="V74" s="64">
        <f>Ringkasan!V73</f>
        <v>-1.19</v>
      </c>
      <c r="W74" s="64">
        <f>Ringkasan!W73</f>
        <v>1280</v>
      </c>
      <c r="X74" s="64">
        <f>Ringkasan!X73</f>
        <v>1315</v>
      </c>
      <c r="Y74" s="64">
        <f>Ringkasan!Y73</f>
        <v>1250</v>
      </c>
      <c r="Z74" s="64">
        <f>Ringkasan!Z73</f>
        <v>21209100</v>
      </c>
      <c r="AA74" s="64" t="str">
        <f>Ringkasan!AA73</f>
        <v>Oil &amp; Gas</v>
      </c>
      <c r="AB74" s="64" t="str">
        <f>Ringkasan!AB73</f>
        <v>Energy</v>
      </c>
    </row>
    <row r="75" hidden="1">
      <c r="A75" s="64" t="str">
        <f>Ringkasan!A74</f>
        <v>AKRA</v>
      </c>
      <c r="B75" s="64" t="str">
        <f>Ringkasan!B74</f>
        <v>AKR Corporindo Tbk.</v>
      </c>
      <c r="C75" s="65">
        <f>Ringkasan!C74</f>
        <v>1250</v>
      </c>
      <c r="D75" s="64" t="str">
        <f>Ringkasan!D74</f>
        <v>#N/A</v>
      </c>
      <c r="E75" s="64" t="str">
        <f>Ringkasan!E74</f>
        <v>Kompas100</v>
      </c>
      <c r="F75" s="64" t="str">
        <f>Ringkasan!F74</f>
        <v>31 Juli 2026</v>
      </c>
      <c r="G75" s="65">
        <f>Ringkasan!G74</f>
        <v>16</v>
      </c>
      <c r="H75" s="19">
        <f>Ringkasan!H74</f>
        <v>9.7</v>
      </c>
      <c r="I75" s="19">
        <f>Ringkasan!I74</f>
        <v>1.5</v>
      </c>
      <c r="J75" s="19">
        <f>Ringkasan!J74</f>
        <v>15.8</v>
      </c>
      <c r="K75" s="19">
        <f>Ringkasan!K74</f>
        <v>6.9</v>
      </c>
      <c r="L75" s="19">
        <f>Ringkasan!L74</f>
        <v>1.3</v>
      </c>
      <c r="M75" s="19">
        <f>Ringkasan!M74</f>
        <v>19.8</v>
      </c>
      <c r="N75" s="64" t="str">
        <f>Ringkasan!N74</f>
        <v/>
      </c>
      <c r="O75" s="64" t="str">
        <f>Ringkasan!O74</f>
        <v/>
      </c>
      <c r="P75" s="64" t="str">
        <f>Ringkasan!P74</f>
        <v/>
      </c>
      <c r="Q75" s="64" t="str">
        <f>Ringkasan!Q74</f>
        <v/>
      </c>
      <c r="R75" s="64" t="str">
        <f>Ringkasan!R74</f>
        <v/>
      </c>
      <c r="S75" s="64" t="str">
        <f>Ringkasan!S74</f>
        <v/>
      </c>
      <c r="T75" s="64" t="str">
        <f>Ringkasan!T74</f>
        <v/>
      </c>
      <c r="U75" s="64">
        <f>Ringkasan!U74</f>
        <v>1265</v>
      </c>
      <c r="V75" s="64">
        <f>Ringkasan!V74</f>
        <v>-1.19</v>
      </c>
      <c r="W75" s="64">
        <f>Ringkasan!W74</f>
        <v>1280</v>
      </c>
      <c r="X75" s="64">
        <f>Ringkasan!X74</f>
        <v>1315</v>
      </c>
      <c r="Y75" s="64">
        <f>Ringkasan!Y74</f>
        <v>1250</v>
      </c>
      <c r="Z75" s="64">
        <f>Ringkasan!Z74</f>
        <v>21209100</v>
      </c>
      <c r="AA75" s="64" t="str">
        <f>Ringkasan!AA74</f>
        <v>Oil &amp; Gas</v>
      </c>
      <c r="AB75" s="64" t="str">
        <f>Ringkasan!AB74</f>
        <v>Energy</v>
      </c>
    </row>
    <row r="76" hidden="1">
      <c r="A76" s="64" t="str">
        <f>Ringkasan!A75</f>
        <v>AKRA</v>
      </c>
      <c r="B76" s="64" t="str">
        <f>Ringkasan!B75</f>
        <v>AKR Corporindo Tbk.</v>
      </c>
      <c r="C76" s="65">
        <f>Ringkasan!C75</f>
        <v>1250</v>
      </c>
      <c r="D76" s="64" t="str">
        <f>Ringkasan!D75</f>
        <v>#N/A</v>
      </c>
      <c r="E76" s="64" t="str">
        <f>Ringkasan!E75</f>
        <v>IDXSMC-LIQ</v>
      </c>
      <c r="F76" s="64" t="str">
        <f>Ringkasan!F75</f>
        <v>4 Agustus 2026</v>
      </c>
      <c r="G76" s="65">
        <f>Ringkasan!G75</f>
        <v>16</v>
      </c>
      <c r="H76" s="19">
        <f>Ringkasan!H75</f>
        <v>9.7</v>
      </c>
      <c r="I76" s="19">
        <f>Ringkasan!I75</f>
        <v>1.5</v>
      </c>
      <c r="J76" s="19">
        <f>Ringkasan!J75</f>
        <v>15.8</v>
      </c>
      <c r="K76" s="19">
        <f>Ringkasan!K75</f>
        <v>6.9</v>
      </c>
      <c r="L76" s="19">
        <f>Ringkasan!L75</f>
        <v>1.3</v>
      </c>
      <c r="M76" s="19">
        <f>Ringkasan!M75</f>
        <v>19.8</v>
      </c>
      <c r="N76" s="64" t="str">
        <f>Ringkasan!N75</f>
        <v/>
      </c>
      <c r="O76" s="64" t="str">
        <f>Ringkasan!O75</f>
        <v/>
      </c>
      <c r="P76" s="64" t="str">
        <f>Ringkasan!P75</f>
        <v/>
      </c>
      <c r="Q76" s="64" t="str">
        <f>Ringkasan!Q75</f>
        <v/>
      </c>
      <c r="R76" s="64" t="str">
        <f>Ringkasan!R75</f>
        <v/>
      </c>
      <c r="S76" s="64" t="str">
        <f>Ringkasan!S75</f>
        <v/>
      </c>
      <c r="T76" s="64" t="str">
        <f>Ringkasan!T75</f>
        <v/>
      </c>
      <c r="U76" s="64">
        <f>Ringkasan!U75</f>
        <v>1265</v>
      </c>
      <c r="V76" s="64">
        <f>Ringkasan!V75</f>
        <v>-1.19</v>
      </c>
      <c r="W76" s="64">
        <f>Ringkasan!W75</f>
        <v>1280</v>
      </c>
      <c r="X76" s="64">
        <f>Ringkasan!X75</f>
        <v>1315</v>
      </c>
      <c r="Y76" s="64">
        <f>Ringkasan!Y75</f>
        <v>1250</v>
      </c>
      <c r="Z76" s="64">
        <f>Ringkasan!Z75</f>
        <v>21209100</v>
      </c>
      <c r="AA76" s="64" t="str">
        <f>Ringkasan!AA75</f>
        <v>Oil &amp; Gas</v>
      </c>
      <c r="AB76" s="64" t="str">
        <f>Ringkasan!AB75</f>
        <v>Energy</v>
      </c>
    </row>
    <row r="77" hidden="1">
      <c r="A77" s="64" t="str">
        <f>Ringkasan!A76</f>
        <v>AKRA</v>
      </c>
      <c r="B77" s="64" t="str">
        <f>Ringkasan!B76</f>
        <v>AKR Corporindo Tbk.</v>
      </c>
      <c r="C77" s="65">
        <f>Ringkasan!C76</f>
        <v>1250</v>
      </c>
      <c r="D77" s="64" t="str">
        <f>Ringkasan!D76</f>
        <v>#N/A</v>
      </c>
      <c r="E77" s="64" t="str">
        <f>Ringkasan!E76</f>
        <v>IDXQ30</v>
      </c>
      <c r="F77" s="64" t="str">
        <f>Ringkasan!F76</f>
        <v>4 Agustus 2026</v>
      </c>
      <c r="G77" s="65">
        <f>Ringkasan!G76</f>
        <v>16</v>
      </c>
      <c r="H77" s="19">
        <f>Ringkasan!H76</f>
        <v>9.7</v>
      </c>
      <c r="I77" s="19">
        <f>Ringkasan!I76</f>
        <v>1.5</v>
      </c>
      <c r="J77" s="19">
        <f>Ringkasan!J76</f>
        <v>15.8</v>
      </c>
      <c r="K77" s="19">
        <f>Ringkasan!K76</f>
        <v>6.9</v>
      </c>
      <c r="L77" s="19">
        <f>Ringkasan!L76</f>
        <v>1.3</v>
      </c>
      <c r="M77" s="19">
        <f>Ringkasan!M76</f>
        <v>19.8</v>
      </c>
      <c r="N77" s="64" t="str">
        <f>Ringkasan!N76</f>
        <v/>
      </c>
      <c r="O77" s="64" t="str">
        <f>Ringkasan!O76</f>
        <v/>
      </c>
      <c r="P77" s="64" t="str">
        <f>Ringkasan!P76</f>
        <v/>
      </c>
      <c r="Q77" s="64" t="str">
        <f>Ringkasan!Q76</f>
        <v/>
      </c>
      <c r="R77" s="64" t="str">
        <f>Ringkasan!R76</f>
        <v/>
      </c>
      <c r="S77" s="64" t="str">
        <f>Ringkasan!S76</f>
        <v/>
      </c>
      <c r="T77" s="64" t="str">
        <f>Ringkasan!T76</f>
        <v/>
      </c>
      <c r="U77" s="64">
        <f>Ringkasan!U76</f>
        <v>1265</v>
      </c>
      <c r="V77" s="64">
        <f>Ringkasan!V76</f>
        <v>-1.19</v>
      </c>
      <c r="W77" s="64">
        <f>Ringkasan!W76</f>
        <v>1280</v>
      </c>
      <c r="X77" s="64">
        <f>Ringkasan!X76</f>
        <v>1315</v>
      </c>
      <c r="Y77" s="64">
        <f>Ringkasan!Y76</f>
        <v>1250</v>
      </c>
      <c r="Z77" s="64">
        <f>Ringkasan!Z76</f>
        <v>21209100</v>
      </c>
      <c r="AA77" s="64" t="str">
        <f>Ringkasan!AA76</f>
        <v>Oil &amp; Gas</v>
      </c>
      <c r="AB77" s="64" t="str">
        <f>Ringkasan!AB76</f>
        <v>Energy</v>
      </c>
    </row>
    <row r="78" hidden="1">
      <c r="A78" s="64" t="str">
        <f>Ringkasan!A77</f>
        <v>AKRA</v>
      </c>
      <c r="B78" s="64" t="str">
        <f>Ringkasan!B77</f>
        <v>AKR Corporindo Tbk.</v>
      </c>
      <c r="C78" s="65">
        <f>Ringkasan!C77</f>
        <v>1250</v>
      </c>
      <c r="D78" s="64" t="str">
        <f>Ringkasan!D77</f>
        <v>#N/A</v>
      </c>
      <c r="E78" s="64" t="str">
        <f>Ringkasan!E77</f>
        <v>IDXG30</v>
      </c>
      <c r="F78" s="64" t="str">
        <f>Ringkasan!F77</f>
        <v>4 Agustus 2026</v>
      </c>
      <c r="G78" s="65">
        <f>Ringkasan!G77</f>
        <v>16</v>
      </c>
      <c r="H78" s="19">
        <f>Ringkasan!H77</f>
        <v>9.7</v>
      </c>
      <c r="I78" s="19">
        <f>Ringkasan!I77</f>
        <v>1.5</v>
      </c>
      <c r="J78" s="19">
        <f>Ringkasan!J77</f>
        <v>15.8</v>
      </c>
      <c r="K78" s="19">
        <f>Ringkasan!K77</f>
        <v>6.9</v>
      </c>
      <c r="L78" s="19">
        <f>Ringkasan!L77</f>
        <v>1.3</v>
      </c>
      <c r="M78" s="19">
        <f>Ringkasan!M77</f>
        <v>19.8</v>
      </c>
      <c r="N78" s="64" t="str">
        <f>Ringkasan!N77</f>
        <v/>
      </c>
      <c r="O78" s="64" t="str">
        <f>Ringkasan!O77</f>
        <v/>
      </c>
      <c r="P78" s="64" t="str">
        <f>Ringkasan!P77</f>
        <v/>
      </c>
      <c r="Q78" s="64" t="str">
        <f>Ringkasan!Q77</f>
        <v/>
      </c>
      <c r="R78" s="64" t="str">
        <f>Ringkasan!R77</f>
        <v/>
      </c>
      <c r="S78" s="64" t="str">
        <f>Ringkasan!S77</f>
        <v/>
      </c>
      <c r="T78" s="64" t="str">
        <f>Ringkasan!T77</f>
        <v/>
      </c>
      <c r="U78" s="64">
        <f>Ringkasan!U77</f>
        <v>1265</v>
      </c>
      <c r="V78" s="64">
        <f>Ringkasan!V77</f>
        <v>-1.19</v>
      </c>
      <c r="W78" s="64">
        <f>Ringkasan!W77</f>
        <v>1280</v>
      </c>
      <c r="X78" s="64">
        <f>Ringkasan!X77</f>
        <v>1315</v>
      </c>
      <c r="Y78" s="64">
        <f>Ringkasan!Y77</f>
        <v>1250</v>
      </c>
      <c r="Z78" s="64">
        <f>Ringkasan!Z77</f>
        <v>21209100</v>
      </c>
      <c r="AA78" s="64" t="str">
        <f>Ringkasan!AA77</f>
        <v>Oil &amp; Gas</v>
      </c>
      <c r="AB78" s="64" t="str">
        <f>Ringkasan!AB77</f>
        <v>Energy</v>
      </c>
    </row>
    <row r="79" hidden="1">
      <c r="A79" s="64" t="str">
        <f>Ringkasan!A78</f>
        <v>AKRA</v>
      </c>
      <c r="B79" s="64" t="str">
        <f>Ringkasan!B78</f>
        <v>AKR Corporindo Tbk.</v>
      </c>
      <c r="C79" s="65">
        <f>Ringkasan!C78</f>
        <v>1250</v>
      </c>
      <c r="D79" s="64" t="str">
        <f>Ringkasan!D78</f>
        <v>#N/A</v>
      </c>
      <c r="E79" s="64" t="str">
        <f>Ringkasan!E78</f>
        <v>BISNIS-27</v>
      </c>
      <c r="F79" s="64" t="str">
        <f>Ringkasan!F78</f>
        <v>30 Oktober 2026</v>
      </c>
      <c r="G79" s="64">
        <f>Ringkasan!G78</f>
        <v>16</v>
      </c>
      <c r="H79" s="19">
        <f>Ringkasan!H78</f>
        <v>9.7</v>
      </c>
      <c r="I79" s="19">
        <f>Ringkasan!I78</f>
        <v>1.5</v>
      </c>
      <c r="J79" s="19">
        <f>Ringkasan!J78</f>
        <v>15.8</v>
      </c>
      <c r="K79" s="19">
        <f>Ringkasan!K78</f>
        <v>6.9</v>
      </c>
      <c r="L79" s="19">
        <f>Ringkasan!L78</f>
        <v>1.3</v>
      </c>
      <c r="M79" s="19">
        <f>Ringkasan!M78</f>
        <v>19.8</v>
      </c>
      <c r="N79" s="64" t="str">
        <f>Ringkasan!N78</f>
        <v/>
      </c>
      <c r="O79" s="64" t="str">
        <f>Ringkasan!O78</f>
        <v/>
      </c>
      <c r="P79" s="64" t="str">
        <f>Ringkasan!P78</f>
        <v/>
      </c>
      <c r="Q79" s="64" t="str">
        <f>Ringkasan!Q78</f>
        <v/>
      </c>
      <c r="R79" s="64" t="str">
        <f>Ringkasan!R78</f>
        <v/>
      </c>
      <c r="S79" s="64" t="str">
        <f>Ringkasan!S78</f>
        <v/>
      </c>
      <c r="T79" s="64" t="str">
        <f>Ringkasan!T78</f>
        <v/>
      </c>
      <c r="U79" s="64">
        <f>Ringkasan!U78</f>
        <v>1265</v>
      </c>
      <c r="V79" s="64">
        <f>Ringkasan!V78</f>
        <v>-1.19</v>
      </c>
      <c r="W79" s="64">
        <f>Ringkasan!W78</f>
        <v>1280</v>
      </c>
      <c r="X79" s="64">
        <f>Ringkasan!X78</f>
        <v>1315</v>
      </c>
      <c r="Y79" s="64">
        <f>Ringkasan!Y78</f>
        <v>1250</v>
      </c>
      <c r="Z79" s="64">
        <f>Ringkasan!Z78</f>
        <v>21209100</v>
      </c>
      <c r="AA79" s="64" t="str">
        <f>Ringkasan!AA78</f>
        <v>Oil &amp; Gas</v>
      </c>
      <c r="AB79" s="64" t="str">
        <f>Ringkasan!AB78</f>
        <v>Energy</v>
      </c>
    </row>
    <row r="80" hidden="1">
      <c r="A80" s="64" t="str">
        <f>Ringkasan!A79</f>
        <v>AKRA</v>
      </c>
      <c r="B80" s="64" t="str">
        <f>Ringkasan!B79</f>
        <v>AKR Corporindo Tbk.</v>
      </c>
      <c r="C80" s="65">
        <f>Ringkasan!C79</f>
        <v>1250</v>
      </c>
      <c r="D80" s="64" t="str">
        <f>Ringkasan!D79</f>
        <v>#N/A</v>
      </c>
      <c r="E80" s="64" t="str">
        <f>Ringkasan!E79</f>
        <v>MSCI Small Cap</v>
      </c>
      <c r="F80" s="64" t="str">
        <f>Ringkasan!F79</f>
        <v>12 Agustus 2026</v>
      </c>
      <c r="G80" s="64">
        <f>Ringkasan!G79</f>
        <v>16</v>
      </c>
      <c r="H80" s="19">
        <f>Ringkasan!H79</f>
        <v>9.7</v>
      </c>
      <c r="I80" s="19">
        <f>Ringkasan!I79</f>
        <v>1.5</v>
      </c>
      <c r="J80" s="19">
        <f>Ringkasan!J79</f>
        <v>15.8</v>
      </c>
      <c r="K80" s="19">
        <f>Ringkasan!K79</f>
        <v>6.9</v>
      </c>
      <c r="L80" s="19">
        <f>Ringkasan!L79</f>
        <v>1.3</v>
      </c>
      <c r="M80" s="19">
        <f>Ringkasan!M79</f>
        <v>19.8</v>
      </c>
      <c r="N80" s="64" t="str">
        <f>Ringkasan!N79</f>
        <v/>
      </c>
      <c r="O80" s="64" t="str">
        <f>Ringkasan!O79</f>
        <v/>
      </c>
      <c r="P80" s="64" t="str">
        <f>Ringkasan!P79</f>
        <v/>
      </c>
      <c r="Q80" s="64" t="str">
        <f>Ringkasan!Q79</f>
        <v/>
      </c>
      <c r="R80" s="64" t="str">
        <f>Ringkasan!R79</f>
        <v/>
      </c>
      <c r="S80" s="64" t="str">
        <f>Ringkasan!S79</f>
        <v/>
      </c>
      <c r="T80" s="64" t="str">
        <f>Ringkasan!T79</f>
        <v/>
      </c>
      <c r="U80" s="64">
        <f>Ringkasan!U79</f>
        <v>1265</v>
      </c>
      <c r="V80" s="64">
        <f>Ringkasan!V79</f>
        <v>-1.19</v>
      </c>
      <c r="W80" s="64">
        <f>Ringkasan!W79</f>
        <v>1280</v>
      </c>
      <c r="X80" s="64">
        <f>Ringkasan!X79</f>
        <v>1315</v>
      </c>
      <c r="Y80" s="64">
        <f>Ringkasan!Y79</f>
        <v>1250</v>
      </c>
      <c r="Z80" s="64">
        <f>Ringkasan!Z79</f>
        <v>21209100</v>
      </c>
      <c r="AA80" s="64" t="str">
        <f>Ringkasan!AA79</f>
        <v>Oil &amp; Gas</v>
      </c>
      <c r="AB80" s="64" t="str">
        <f>Ringkasan!AB79</f>
        <v>Energy</v>
      </c>
    </row>
    <row r="81" hidden="1">
      <c r="A81" s="64" t="str">
        <f>Ringkasan!A80</f>
        <v>AKRA</v>
      </c>
      <c r="B81" s="64" t="str">
        <f>Ringkasan!B80</f>
        <v>AKR Corporindo Tbk.</v>
      </c>
      <c r="C81" s="65">
        <f>Ringkasan!C80</f>
        <v>1250</v>
      </c>
      <c r="D81" s="64" t="str">
        <f>Ringkasan!D80</f>
        <v>#N/A</v>
      </c>
      <c r="E81" s="64" t="str">
        <f>Ringkasan!E80</f>
        <v>ESGSKEHATI</v>
      </c>
      <c r="F81" s="66">
        <f>Ringkasan!F80</f>
        <v>46356</v>
      </c>
      <c r="G81" s="65">
        <f>Ringkasan!G80</f>
        <v>16</v>
      </c>
      <c r="H81" s="19">
        <f>Ringkasan!H80</f>
        <v>9.7</v>
      </c>
      <c r="I81" s="19">
        <f>Ringkasan!I80</f>
        <v>1.5</v>
      </c>
      <c r="J81" s="19">
        <f>Ringkasan!J80</f>
        <v>15.8</v>
      </c>
      <c r="K81" s="19">
        <f>Ringkasan!K80</f>
        <v>6.9</v>
      </c>
      <c r="L81" s="19">
        <f>Ringkasan!L80</f>
        <v>1.3</v>
      </c>
      <c r="M81" s="19">
        <f>Ringkasan!M80</f>
        <v>19.8</v>
      </c>
      <c r="N81" s="64" t="str">
        <f>Ringkasan!N80</f>
        <v/>
      </c>
      <c r="O81" s="64" t="str">
        <f>Ringkasan!O80</f>
        <v/>
      </c>
      <c r="P81" s="64" t="str">
        <f>Ringkasan!P80</f>
        <v/>
      </c>
      <c r="Q81" s="64" t="str">
        <f>Ringkasan!Q80</f>
        <v/>
      </c>
      <c r="R81" s="64" t="str">
        <f>Ringkasan!R80</f>
        <v/>
      </c>
      <c r="S81" s="64" t="str">
        <f>Ringkasan!S80</f>
        <v/>
      </c>
      <c r="T81" s="64" t="str">
        <f>Ringkasan!T80</f>
        <v/>
      </c>
      <c r="U81" s="64">
        <f>Ringkasan!U80</f>
        <v>1265</v>
      </c>
      <c r="V81" s="64">
        <f>Ringkasan!V80</f>
        <v>-1.19</v>
      </c>
      <c r="W81" s="64">
        <f>Ringkasan!W80</f>
        <v>1280</v>
      </c>
      <c r="X81" s="64">
        <f>Ringkasan!X80</f>
        <v>1315</v>
      </c>
      <c r="Y81" s="64">
        <f>Ringkasan!Y80</f>
        <v>1250</v>
      </c>
      <c r="Z81" s="64">
        <f>Ringkasan!Z80</f>
        <v>21209100</v>
      </c>
      <c r="AA81" s="64" t="str">
        <f>Ringkasan!AA80</f>
        <v>Oil &amp; Gas</v>
      </c>
      <c r="AB81" s="64" t="str">
        <f>Ringkasan!AB80</f>
        <v>Energy</v>
      </c>
    </row>
    <row r="82" hidden="1">
      <c r="A82" s="64" t="str">
        <f>Ringkasan!A81</f>
        <v>AKRA</v>
      </c>
      <c r="B82" s="64" t="str">
        <f>Ringkasan!B81</f>
        <v>AKR Corporindo Tbk.</v>
      </c>
      <c r="C82" s="65">
        <f>Ringkasan!C81</f>
        <v>1250</v>
      </c>
      <c r="D82" s="64" t="str">
        <f>Ringkasan!D81</f>
        <v>#N/A</v>
      </c>
      <c r="E82" s="64" t="str">
        <f>Ringkasan!E81</f>
        <v>SRI-KEHATI</v>
      </c>
      <c r="F82" s="66">
        <f>Ringkasan!F81</f>
        <v>46356</v>
      </c>
      <c r="G82" s="65">
        <f>Ringkasan!G81</f>
        <v>16</v>
      </c>
      <c r="H82" s="19">
        <f>Ringkasan!H81</f>
        <v>9.7</v>
      </c>
      <c r="I82" s="19">
        <f>Ringkasan!I81</f>
        <v>1.5</v>
      </c>
      <c r="J82" s="19">
        <f>Ringkasan!J81</f>
        <v>15.8</v>
      </c>
      <c r="K82" s="19">
        <f>Ringkasan!K81</f>
        <v>6.9</v>
      </c>
      <c r="L82" s="19">
        <f>Ringkasan!L81</f>
        <v>1.3</v>
      </c>
      <c r="M82" s="19">
        <f>Ringkasan!M81</f>
        <v>19.8</v>
      </c>
      <c r="N82" s="64" t="str">
        <f>Ringkasan!N81</f>
        <v/>
      </c>
      <c r="O82" s="64" t="str">
        <f>Ringkasan!O81</f>
        <v/>
      </c>
      <c r="P82" s="64" t="str">
        <f>Ringkasan!P81</f>
        <v/>
      </c>
      <c r="Q82" s="64" t="str">
        <f>Ringkasan!Q81</f>
        <v/>
      </c>
      <c r="R82" s="64" t="str">
        <f>Ringkasan!R81</f>
        <v/>
      </c>
      <c r="S82" s="64" t="str">
        <f>Ringkasan!S81</f>
        <v/>
      </c>
      <c r="T82" s="64" t="str">
        <f>Ringkasan!T81</f>
        <v/>
      </c>
      <c r="U82" s="64">
        <f>Ringkasan!U81</f>
        <v>1265</v>
      </c>
      <c r="V82" s="64">
        <f>Ringkasan!V81</f>
        <v>-1.19</v>
      </c>
      <c r="W82" s="64">
        <f>Ringkasan!W81</f>
        <v>1280</v>
      </c>
      <c r="X82" s="64">
        <f>Ringkasan!X81</f>
        <v>1315</v>
      </c>
      <c r="Y82" s="64">
        <f>Ringkasan!Y81</f>
        <v>1250</v>
      </c>
      <c r="Z82" s="64">
        <f>Ringkasan!Z81</f>
        <v>21209100</v>
      </c>
      <c r="AA82" s="64" t="str">
        <f>Ringkasan!AA81</f>
        <v>Oil &amp; Gas</v>
      </c>
      <c r="AB82" s="64" t="str">
        <f>Ringkasan!AB81</f>
        <v>Energy</v>
      </c>
    </row>
    <row r="83" hidden="1">
      <c r="A83" s="64" t="str">
        <f>Ringkasan!A82</f>
        <v>AKRA</v>
      </c>
      <c r="B83" s="64" t="str">
        <f>Ringkasan!B82</f>
        <v>AKR Corporindo Tbk.</v>
      </c>
      <c r="C83" s="65">
        <f>Ringkasan!C82</f>
        <v>1250</v>
      </c>
      <c r="D83" s="64" t="str">
        <f>Ringkasan!D82</f>
        <v>#N/A</v>
      </c>
      <c r="E83" s="64" t="str">
        <f>Ringkasan!E82</f>
        <v>Investor33</v>
      </c>
      <c r="F83" s="66">
        <f>Ringkasan!F82</f>
        <v>46356</v>
      </c>
      <c r="G83" s="65">
        <f>Ringkasan!G82</f>
        <v>16</v>
      </c>
      <c r="H83" s="19">
        <f>Ringkasan!H82</f>
        <v>9.7</v>
      </c>
      <c r="I83" s="19">
        <f>Ringkasan!I82</f>
        <v>1.5</v>
      </c>
      <c r="J83" s="19">
        <f>Ringkasan!J82</f>
        <v>15.8</v>
      </c>
      <c r="K83" s="19">
        <f>Ringkasan!K82</f>
        <v>6.9</v>
      </c>
      <c r="L83" s="19">
        <f>Ringkasan!L82</f>
        <v>1.3</v>
      </c>
      <c r="M83" s="19">
        <f>Ringkasan!M82</f>
        <v>19.8</v>
      </c>
      <c r="N83" s="64" t="str">
        <f>Ringkasan!N82</f>
        <v/>
      </c>
      <c r="O83" s="64" t="str">
        <f>Ringkasan!O82</f>
        <v/>
      </c>
      <c r="P83" s="64" t="str">
        <f>Ringkasan!P82</f>
        <v/>
      </c>
      <c r="Q83" s="64" t="str">
        <f>Ringkasan!Q82</f>
        <v/>
      </c>
      <c r="R83" s="64" t="str">
        <f>Ringkasan!R82</f>
        <v/>
      </c>
      <c r="S83" s="64" t="str">
        <f>Ringkasan!S82</f>
        <v/>
      </c>
      <c r="T83" s="64" t="str">
        <f>Ringkasan!T82</f>
        <v/>
      </c>
      <c r="U83" s="64">
        <f>Ringkasan!U82</f>
        <v>1265</v>
      </c>
      <c r="V83" s="64">
        <f>Ringkasan!V82</f>
        <v>-1.19</v>
      </c>
      <c r="W83" s="64">
        <f>Ringkasan!W82</f>
        <v>1280</v>
      </c>
      <c r="X83" s="64">
        <f>Ringkasan!X82</f>
        <v>1315</v>
      </c>
      <c r="Y83" s="64">
        <f>Ringkasan!Y82</f>
        <v>1250</v>
      </c>
      <c r="Z83" s="64">
        <f>Ringkasan!Z82</f>
        <v>21209100</v>
      </c>
      <c r="AA83" s="64" t="str">
        <f>Ringkasan!AA82</f>
        <v>Oil &amp; Gas</v>
      </c>
      <c r="AB83" s="64" t="str">
        <f>Ringkasan!AB82</f>
        <v>Energy</v>
      </c>
    </row>
    <row r="84" hidden="1">
      <c r="A84" s="64" t="str">
        <f>Ringkasan!A83</f>
        <v>AKRA</v>
      </c>
      <c r="B84" s="64" t="str">
        <f>Ringkasan!B83</f>
        <v>AKR Corporindo Tbk.</v>
      </c>
      <c r="C84" s="65">
        <f>Ringkasan!C83</f>
        <v>1250</v>
      </c>
      <c r="D84" s="64" t="str">
        <f>Ringkasan!D83</f>
        <v>#N/A</v>
      </c>
      <c r="E84" s="64" t="str">
        <f>Ringkasan!E83</f>
        <v>JII70</v>
      </c>
      <c r="F84" s="66">
        <f>Ringkasan!F83</f>
        <v>46356</v>
      </c>
      <c r="G84" s="65">
        <f>Ringkasan!G83</f>
        <v>16</v>
      </c>
      <c r="H84" s="19">
        <f>Ringkasan!H83</f>
        <v>9.7</v>
      </c>
      <c r="I84" s="19">
        <f>Ringkasan!I83</f>
        <v>1.5</v>
      </c>
      <c r="J84" s="19">
        <f>Ringkasan!J83</f>
        <v>15.8</v>
      </c>
      <c r="K84" s="19">
        <f>Ringkasan!K83</f>
        <v>6.9</v>
      </c>
      <c r="L84" s="19">
        <f>Ringkasan!L83</f>
        <v>1.3</v>
      </c>
      <c r="M84" s="19">
        <f>Ringkasan!M83</f>
        <v>19.8</v>
      </c>
      <c r="N84" s="64" t="str">
        <f>Ringkasan!N83</f>
        <v/>
      </c>
      <c r="O84" s="64" t="str">
        <f>Ringkasan!O83</f>
        <v/>
      </c>
      <c r="P84" s="64" t="str">
        <f>Ringkasan!P83</f>
        <v/>
      </c>
      <c r="Q84" s="64" t="str">
        <f>Ringkasan!Q83</f>
        <v/>
      </c>
      <c r="R84" s="64" t="str">
        <f>Ringkasan!R83</f>
        <v/>
      </c>
      <c r="S84" s="64" t="str">
        <f>Ringkasan!S83</f>
        <v/>
      </c>
      <c r="T84" s="64" t="str">
        <f>Ringkasan!T83</f>
        <v/>
      </c>
      <c r="U84" s="64">
        <f>Ringkasan!U83</f>
        <v>1265</v>
      </c>
      <c r="V84" s="64">
        <f>Ringkasan!V83</f>
        <v>-1.19</v>
      </c>
      <c r="W84" s="64">
        <f>Ringkasan!W83</f>
        <v>1280</v>
      </c>
      <c r="X84" s="64">
        <f>Ringkasan!X83</f>
        <v>1315</v>
      </c>
      <c r="Y84" s="64">
        <f>Ringkasan!Y83</f>
        <v>1250</v>
      </c>
      <c r="Z84" s="64">
        <f>Ringkasan!Z83</f>
        <v>21209100</v>
      </c>
      <c r="AA84" s="64" t="str">
        <f>Ringkasan!AA83</f>
        <v>Oil &amp; Gas</v>
      </c>
      <c r="AB84" s="64" t="str">
        <f>Ringkasan!AB83</f>
        <v>Energy</v>
      </c>
    </row>
    <row r="85" hidden="1">
      <c r="A85" s="64" t="str">
        <f>Ringkasan!A84</f>
        <v>AKSI</v>
      </c>
      <c r="B85" s="64" t="str">
        <f>Ringkasan!B84</f>
        <v>PT Maming Enam Sembilan Mineral Tbk.</v>
      </c>
      <c r="C85" s="65">
        <f>Ringkasan!C84</f>
        <v>183</v>
      </c>
      <c r="D85" s="64" t="str">
        <f>Ringkasan!D84</f>
        <v>#N/A</v>
      </c>
      <c r="E85" s="64" t="str">
        <f>Ringkasan!E84</f>
        <v/>
      </c>
      <c r="F85" s="64" t="str">
        <f>Ringkasan!F84</f>
        <v/>
      </c>
      <c r="G85" s="64">
        <f>Ringkasan!G84</f>
        <v>0</v>
      </c>
      <c r="H85" s="19">
        <f>Ringkasan!H84</f>
        <v>-16.7</v>
      </c>
      <c r="I85" s="19">
        <f>Ringkasan!I84</f>
        <v>1</v>
      </c>
      <c r="J85" s="19">
        <f>Ringkasan!J84</f>
        <v>-6.2</v>
      </c>
      <c r="K85" s="19">
        <f>Ringkasan!K84</f>
        <v>-3.2</v>
      </c>
      <c r="L85" s="19">
        <f>Ringkasan!L84</f>
        <v>0.97</v>
      </c>
      <c r="M85" s="19">
        <f>Ringkasan!M84</f>
        <v>-12.7</v>
      </c>
      <c r="N85" s="64" t="str">
        <f>Ringkasan!N84</f>
        <v/>
      </c>
      <c r="O85" s="64" t="str">
        <f>Ringkasan!O84</f>
        <v/>
      </c>
      <c r="P85" s="64" t="str">
        <f>Ringkasan!P84</f>
        <v/>
      </c>
      <c r="Q85" s="64" t="str">
        <f>Ringkasan!Q84</f>
        <v/>
      </c>
      <c r="R85" s="64" t="str">
        <f>Ringkasan!R84</f>
        <v/>
      </c>
      <c r="S85" s="64" t="str">
        <f>Ringkasan!S84</f>
        <v/>
      </c>
      <c r="T85" s="64" t="str">
        <f>Ringkasan!T84</f>
        <v/>
      </c>
      <c r="U85" s="64">
        <f>Ringkasan!U84</f>
        <v>177</v>
      </c>
      <c r="V85" s="64">
        <f>Ringkasan!V84</f>
        <v>3.39</v>
      </c>
      <c r="W85" s="64" t="str">
        <f>Ringkasan!W84</f>
        <v/>
      </c>
      <c r="X85" s="64">
        <f>Ringkasan!X84</f>
        <v>192</v>
      </c>
      <c r="Y85" s="64">
        <f>Ringkasan!Y84</f>
        <v>178</v>
      </c>
      <c r="Z85" s="64">
        <f>Ringkasan!Z84</f>
        <v>667600</v>
      </c>
      <c r="AA85" s="64" t="str">
        <f>Ringkasan!AA84</f>
        <v>Logistics &amp; Deliveries</v>
      </c>
      <c r="AB85" s="64" t="str">
        <f>Ringkasan!AB84</f>
        <v>Transportation &amp; Logistic</v>
      </c>
    </row>
    <row r="86" hidden="1">
      <c r="A86" s="64" t="str">
        <f>Ringkasan!A85</f>
        <v>ALDO</v>
      </c>
      <c r="B86" s="64" t="str">
        <f>Ringkasan!B85</f>
        <v>Alkindo Naratama Tbk.</v>
      </c>
      <c r="C86" s="65">
        <f>Ringkasan!C85</f>
        <v>705</v>
      </c>
      <c r="D86" s="64" t="str">
        <f>Ringkasan!D85</f>
        <v>#N/A</v>
      </c>
      <c r="E86" s="64" t="str">
        <f>Ringkasan!E85</f>
        <v/>
      </c>
      <c r="F86" s="64" t="str">
        <f>Ringkasan!F85</f>
        <v/>
      </c>
      <c r="G86" s="64">
        <f>Ringkasan!G85</f>
        <v>0</v>
      </c>
      <c r="H86" s="19">
        <f>Ringkasan!H85</f>
        <v>44.4</v>
      </c>
      <c r="I86" s="19">
        <f>Ringkasan!I85</f>
        <v>1.7</v>
      </c>
      <c r="J86" s="19">
        <f>Ringkasan!J85</f>
        <v>3.9</v>
      </c>
      <c r="K86" s="19">
        <f>Ringkasan!K85</f>
        <v>2</v>
      </c>
      <c r="L86" s="19">
        <f>Ringkasan!L85</f>
        <v>0.97</v>
      </c>
      <c r="M86" s="19">
        <f>Ringkasan!M85</f>
        <v>7.8</v>
      </c>
      <c r="N86" s="64" t="str">
        <f>Ringkasan!N85</f>
        <v/>
      </c>
      <c r="O86" s="64" t="str">
        <f>Ringkasan!O85</f>
        <v/>
      </c>
      <c r="P86" s="64" t="str">
        <f>Ringkasan!P85</f>
        <v/>
      </c>
      <c r="Q86" s="64" t="str">
        <f>Ringkasan!Q85</f>
        <v/>
      </c>
      <c r="R86" s="64" t="str">
        <f>Ringkasan!R85</f>
        <v/>
      </c>
      <c r="S86" s="64" t="str">
        <f>Ringkasan!S85</f>
        <v/>
      </c>
      <c r="T86" s="64" t="str">
        <f>Ringkasan!T85</f>
        <v/>
      </c>
      <c r="U86" s="64" t="str">
        <f>Ringkasan!U85</f>
        <v/>
      </c>
      <c r="V86" s="64">
        <f>Ringkasan!V85</f>
        <v>-1.4</v>
      </c>
      <c r="W86" s="64">
        <f>Ringkasan!W85</f>
        <v>685</v>
      </c>
      <c r="X86" s="64">
        <f>Ringkasan!X85</f>
        <v>715</v>
      </c>
      <c r="Y86" s="64">
        <f>Ringkasan!Y85</f>
        <v>685</v>
      </c>
      <c r="Z86" s="64">
        <f>Ringkasan!Z85</f>
        <v>38000</v>
      </c>
      <c r="AA86" s="64" t="str">
        <f>Ringkasan!AA85</f>
        <v>Containers &amp; Packaging</v>
      </c>
      <c r="AB86" s="64" t="str">
        <f>Ringkasan!AB85</f>
        <v>Basic Materials</v>
      </c>
    </row>
    <row r="87" hidden="1">
      <c r="A87" s="64" t="str">
        <f>Ringkasan!A86</f>
        <v>ALII</v>
      </c>
      <c r="B87" s="64" t="str">
        <f>Ringkasan!B86</f>
        <v>Ancara Logistics Indonesia Tbk.</v>
      </c>
      <c r="C87" s="65">
        <f>Ringkasan!C86</f>
        <v>835</v>
      </c>
      <c r="D87" s="64" t="str">
        <f>Ringkasan!D86</f>
        <v>#N/A</v>
      </c>
      <c r="E87" s="64" t="str">
        <f>Ringkasan!E86</f>
        <v/>
      </c>
      <c r="F87" s="64" t="str">
        <f>Ringkasan!F86</f>
        <v/>
      </c>
      <c r="G87" s="64">
        <f>Ringkasan!G86</f>
        <v>0</v>
      </c>
      <c r="H87" s="19">
        <f>Ringkasan!H86</f>
        <v>35.1</v>
      </c>
      <c r="I87" s="19">
        <f>Ringkasan!I86</f>
        <v>5.8</v>
      </c>
      <c r="J87" s="19">
        <f>Ringkasan!J86</f>
        <v>16.4</v>
      </c>
      <c r="K87" s="19">
        <f>Ringkasan!K86</f>
        <v>12.8</v>
      </c>
      <c r="L87" s="19">
        <f>Ringkasan!L86</f>
        <v>0.28</v>
      </c>
      <c r="M87" s="19">
        <f>Ringkasan!M86</f>
        <v>140</v>
      </c>
      <c r="N87" s="64" t="str">
        <f>Ringkasan!N86</f>
        <v/>
      </c>
      <c r="O87" s="64" t="str">
        <f>Ringkasan!O86</f>
        <v/>
      </c>
      <c r="P87" s="64" t="str">
        <f>Ringkasan!P86</f>
        <v/>
      </c>
      <c r="Q87" s="64" t="str">
        <f>Ringkasan!Q86</f>
        <v/>
      </c>
      <c r="R87" s="64" t="str">
        <f>Ringkasan!R86</f>
        <v/>
      </c>
      <c r="S87" s="64" t="str">
        <f>Ringkasan!S86</f>
        <v/>
      </c>
      <c r="T87" s="64" t="str">
        <f>Ringkasan!T86</f>
        <v/>
      </c>
      <c r="U87" s="64">
        <f>Ringkasan!U86</f>
        <v>785</v>
      </c>
      <c r="V87" s="64">
        <f>Ringkasan!V86</f>
        <v>6.37</v>
      </c>
      <c r="W87" s="64">
        <f>Ringkasan!W86</f>
        <v>785</v>
      </c>
      <c r="X87" s="64">
        <f>Ringkasan!X86</f>
        <v>850</v>
      </c>
      <c r="Y87" s="64">
        <f>Ringkasan!Y86</f>
        <v>785</v>
      </c>
      <c r="Z87" s="64">
        <f>Ringkasan!Z86</f>
        <v>1472800</v>
      </c>
      <c r="AA87" s="64" t="str">
        <f>Ringkasan!AA86</f>
        <v>Coal</v>
      </c>
      <c r="AB87" s="64" t="str">
        <f>Ringkasan!AB86</f>
        <v>Energy</v>
      </c>
    </row>
    <row r="88" hidden="1">
      <c r="A88" s="64" t="str">
        <f>Ringkasan!A87</f>
        <v>ALKA</v>
      </c>
      <c r="B88" s="64" t="str">
        <f>Ringkasan!B87</f>
        <v>Alakasa Industrindo Tbk</v>
      </c>
      <c r="C88" s="65">
        <f>Ringkasan!C87</f>
        <v>605</v>
      </c>
      <c r="D88" s="64" t="str">
        <f>Ringkasan!D87</f>
        <v>#N/A</v>
      </c>
      <c r="E88" s="64" t="str">
        <f>Ringkasan!E87</f>
        <v/>
      </c>
      <c r="F88" s="64" t="str">
        <f>Ringkasan!F87</f>
        <v/>
      </c>
      <c r="G88" s="64">
        <f>Ringkasan!G87</f>
        <v>0</v>
      </c>
      <c r="H88" s="19">
        <f>Ringkasan!H87</f>
        <v>16.7</v>
      </c>
      <c r="I88" s="19">
        <f>Ringkasan!I87</f>
        <v>1.2</v>
      </c>
      <c r="J88" s="19">
        <f>Ringkasan!J87</f>
        <v>7.3</v>
      </c>
      <c r="K88" s="19">
        <f>Ringkasan!K87</f>
        <v>6.4</v>
      </c>
      <c r="L88" s="19">
        <f>Ringkasan!L87</f>
        <v>0.13</v>
      </c>
      <c r="M88" s="19">
        <f>Ringkasan!M87</f>
        <v>90.1</v>
      </c>
      <c r="N88" s="64" t="str">
        <f>Ringkasan!N87</f>
        <v/>
      </c>
      <c r="O88" s="64" t="str">
        <f>Ringkasan!O87</f>
        <v/>
      </c>
      <c r="P88" s="64" t="str">
        <f>Ringkasan!P87</f>
        <v/>
      </c>
      <c r="Q88" s="64" t="str">
        <f>Ringkasan!Q87</f>
        <v/>
      </c>
      <c r="R88" s="64" t="str">
        <f>Ringkasan!R87</f>
        <v/>
      </c>
      <c r="S88" s="64" t="str">
        <f>Ringkasan!S87</f>
        <v/>
      </c>
      <c r="T88" s="64" t="str">
        <f>Ringkasan!T87</f>
        <v/>
      </c>
      <c r="U88" s="64">
        <f>Ringkasan!U87</f>
        <v>615</v>
      </c>
      <c r="V88" s="64">
        <f>Ringkasan!V87</f>
        <v>-1.63</v>
      </c>
      <c r="W88" s="64">
        <f>Ringkasan!W87</f>
        <v>625</v>
      </c>
      <c r="X88" s="64">
        <f>Ringkasan!X87</f>
        <v>645</v>
      </c>
      <c r="Y88" s="64">
        <f>Ringkasan!Y87</f>
        <v>605</v>
      </c>
      <c r="Z88" s="64">
        <f>Ringkasan!Z87</f>
        <v>182200</v>
      </c>
      <c r="AA88" s="64" t="str">
        <f>Ringkasan!AA87</f>
        <v>Metals &amp; Minerals</v>
      </c>
      <c r="AB88" s="64" t="str">
        <f>Ringkasan!AB87</f>
        <v>Basic Materials</v>
      </c>
    </row>
    <row r="89" hidden="1">
      <c r="A89" s="64" t="str">
        <f>Ringkasan!A88</f>
        <v>ALMI</v>
      </c>
      <c r="B89" s="64" t="str">
        <f>Ringkasan!B88</f>
        <v>Alumindo Light Metal Industry Tbk.</v>
      </c>
      <c r="C89" s="65">
        <f>Ringkasan!C88</f>
        <v>74</v>
      </c>
      <c r="D89" s="64" t="str">
        <f>Ringkasan!D88</f>
        <v>#N/A</v>
      </c>
      <c r="E89" s="64" t="str">
        <f>Ringkasan!E88</f>
        <v/>
      </c>
      <c r="F89" s="64" t="str">
        <f>Ringkasan!F88</f>
        <v/>
      </c>
      <c r="G89" s="64">
        <f>Ringkasan!G88</f>
        <v>0</v>
      </c>
      <c r="H89" s="19">
        <f>Ringkasan!H88</f>
        <v>-5.3</v>
      </c>
      <c r="I89" s="19">
        <f>Ringkasan!I88</f>
        <v>3.6</v>
      </c>
      <c r="J89" s="19">
        <f>Ringkasan!J88</f>
        <v>-67.6</v>
      </c>
      <c r="K89" s="19">
        <f>Ringkasan!K88</f>
        <v>-11.9</v>
      </c>
      <c r="L89" s="19">
        <f>Ringkasan!L88</f>
        <v>4.7</v>
      </c>
      <c r="M89" s="19">
        <f>Ringkasan!M88</f>
        <v>0</v>
      </c>
      <c r="N89" s="64" t="str">
        <f>Ringkasan!N88</f>
        <v/>
      </c>
      <c r="O89" s="64" t="str">
        <f>Ringkasan!O88</f>
        <v/>
      </c>
      <c r="P89" s="64" t="str">
        <f>Ringkasan!P88</f>
        <v/>
      </c>
      <c r="Q89" s="64" t="str">
        <f>Ringkasan!Q88</f>
        <v/>
      </c>
      <c r="R89" s="64" t="str">
        <f>Ringkasan!R88</f>
        <v/>
      </c>
      <c r="S89" s="64" t="str">
        <f>Ringkasan!S88</f>
        <v/>
      </c>
      <c r="T89" s="64" t="str">
        <f>Ringkasan!T88</f>
        <v/>
      </c>
      <c r="U89" s="64">
        <f>Ringkasan!U88</f>
        <v>74</v>
      </c>
      <c r="V89" s="64">
        <f>Ringkasan!V88</f>
        <v>0</v>
      </c>
      <c r="W89" s="64" t="str">
        <f>Ringkasan!W88</f>
        <v/>
      </c>
      <c r="X89" s="64" t="str">
        <f>Ringkasan!X88</f>
        <v/>
      </c>
      <c r="Y89" s="64" t="str">
        <f>Ringkasan!Y88</f>
        <v/>
      </c>
      <c r="Z89" s="64">
        <f>Ringkasan!Z88</f>
        <v>0</v>
      </c>
      <c r="AA89" s="64" t="str">
        <f>Ringkasan!AA88</f>
        <v>Metals &amp; Minerals</v>
      </c>
      <c r="AB89" s="64" t="str">
        <f>Ringkasan!AB88</f>
        <v>Basic Materials</v>
      </c>
    </row>
    <row r="90" hidden="1">
      <c r="A90" s="64" t="str">
        <f>Ringkasan!A89</f>
        <v>ALTO</v>
      </c>
      <c r="B90" s="64" t="str">
        <f>Ringkasan!B89</f>
        <v>Tri Banyan Tirta Tbk.</v>
      </c>
      <c r="C90" s="65">
        <f>Ringkasan!C89</f>
        <v>18</v>
      </c>
      <c r="D90" s="64" t="str">
        <f>Ringkasan!D89</f>
        <v>#N/A</v>
      </c>
      <c r="E90" s="64" t="str">
        <f>Ringkasan!E89</f>
        <v/>
      </c>
      <c r="F90" s="64" t="str">
        <f>Ringkasan!F89</f>
        <v/>
      </c>
      <c r="G90" s="64">
        <f>Ringkasan!G89</f>
        <v>0</v>
      </c>
      <c r="H90" s="19">
        <f>Ringkasan!H89</f>
        <v>0</v>
      </c>
      <c r="I90" s="19">
        <f>Ringkasan!I89</f>
        <v>0.13</v>
      </c>
      <c r="J90" s="19">
        <f>Ringkasan!J89</f>
        <v>-14.3</v>
      </c>
      <c r="K90" s="19">
        <f>Ringkasan!K89</f>
        <v>-4.6</v>
      </c>
      <c r="L90" s="19">
        <f>Ringkasan!L89</f>
        <v>2.1</v>
      </c>
      <c r="M90" s="19">
        <f>Ringkasan!M89</f>
        <v>-71.9</v>
      </c>
      <c r="N90" s="64" t="str">
        <f>Ringkasan!N89</f>
        <v/>
      </c>
      <c r="O90" s="64" t="str">
        <f>Ringkasan!O89</f>
        <v/>
      </c>
      <c r="P90" s="64" t="str">
        <f>Ringkasan!P89</f>
        <v/>
      </c>
      <c r="Q90" s="64" t="str">
        <f>Ringkasan!Q89</f>
        <v/>
      </c>
      <c r="R90" s="64" t="str">
        <f>Ringkasan!R89</f>
        <v/>
      </c>
      <c r="S90" s="64" t="str">
        <f>Ringkasan!S89</f>
        <v/>
      </c>
      <c r="T90" s="64" t="str">
        <f>Ringkasan!T89</f>
        <v/>
      </c>
      <c r="U90" s="64">
        <f>Ringkasan!U89</f>
        <v>5.65</v>
      </c>
      <c r="V90" s="64">
        <f>Ringkasan!V89</f>
        <v>0.88</v>
      </c>
      <c r="W90" s="64">
        <f>Ringkasan!W89</f>
        <v>5.69</v>
      </c>
      <c r="X90" s="64">
        <f>Ringkasan!X89</f>
        <v>5.85</v>
      </c>
      <c r="Y90" s="64">
        <f>Ringkasan!Y89</f>
        <v>5.68</v>
      </c>
      <c r="Z90" s="64">
        <f>Ringkasan!Z89</f>
        <v>1626662</v>
      </c>
      <c r="AA90" s="64" t="str">
        <f>Ringkasan!AA89</f>
        <v>Beverages</v>
      </c>
      <c r="AB90" s="64" t="str">
        <f>Ringkasan!AB89</f>
        <v>Consumer Non-Cyclicals</v>
      </c>
    </row>
    <row r="91" hidden="1">
      <c r="A91" s="64" t="str">
        <f>Ringkasan!A90</f>
        <v>AMAG</v>
      </c>
      <c r="B91" s="64" t="str">
        <f>Ringkasan!B90</f>
        <v>Asuransi Multi Artha Guna Tbk.</v>
      </c>
      <c r="C91" s="65">
        <f>Ringkasan!C90</f>
        <v>390</v>
      </c>
      <c r="D91" s="64" t="str">
        <f>Ringkasan!D90</f>
        <v>#N/A</v>
      </c>
      <c r="E91" s="64" t="str">
        <f>Ringkasan!E90</f>
        <v/>
      </c>
      <c r="F91" s="64" t="str">
        <f>Ringkasan!F90</f>
        <v/>
      </c>
      <c r="G91" s="64">
        <f>Ringkasan!G90</f>
        <v>0</v>
      </c>
      <c r="H91" s="19">
        <f>Ringkasan!H90</f>
        <v>9.6</v>
      </c>
      <c r="I91" s="19">
        <f>Ringkasan!I90</f>
        <v>0.91</v>
      </c>
      <c r="J91" s="19">
        <f>Ringkasan!J90</f>
        <v>9.4</v>
      </c>
      <c r="K91" s="19">
        <f>Ringkasan!K90</f>
        <v>3.6</v>
      </c>
      <c r="L91" s="19">
        <f>Ringkasan!L90</f>
        <v>1.7</v>
      </c>
      <c r="M91" s="19">
        <f>Ringkasan!M90</f>
        <v>26.1</v>
      </c>
      <c r="N91" s="64" t="str">
        <f>Ringkasan!N90</f>
        <v/>
      </c>
      <c r="O91" s="64" t="str">
        <f>Ringkasan!O90</f>
        <v/>
      </c>
      <c r="P91" s="64" t="str">
        <f>Ringkasan!P90</f>
        <v/>
      </c>
      <c r="Q91" s="64" t="str">
        <f>Ringkasan!Q90</f>
        <v/>
      </c>
      <c r="R91" s="64" t="str">
        <f>Ringkasan!R90</f>
        <v/>
      </c>
      <c r="S91" s="64" t="str">
        <f>Ringkasan!S90</f>
        <v/>
      </c>
      <c r="T91" s="64" t="str">
        <f>Ringkasan!T90</f>
        <v/>
      </c>
      <c r="U91" s="64">
        <f>Ringkasan!U90</f>
        <v>378</v>
      </c>
      <c r="V91" s="64">
        <f>Ringkasan!V90</f>
        <v>3.17</v>
      </c>
      <c r="W91" s="64">
        <f>Ringkasan!W90</f>
        <v>390</v>
      </c>
      <c r="X91" s="64">
        <f>Ringkasan!X90</f>
        <v>390</v>
      </c>
      <c r="Y91" s="64">
        <f>Ringkasan!Y90</f>
        <v>380</v>
      </c>
      <c r="Z91" s="64">
        <f>Ringkasan!Z90</f>
        <v>12000</v>
      </c>
      <c r="AA91" s="64" t="str">
        <f>Ringkasan!AA90</f>
        <v>Insurance</v>
      </c>
      <c r="AB91" s="64" t="str">
        <f>Ringkasan!AB90</f>
        <v>Financials</v>
      </c>
    </row>
    <row r="92" hidden="1">
      <c r="A92" s="64" t="str">
        <f>Ringkasan!A91</f>
        <v>AMAN</v>
      </c>
      <c r="B92" s="64" t="str">
        <f>Ringkasan!B91</f>
        <v>Makmur Berkah Amanda Tbk.</v>
      </c>
      <c r="C92" s="65">
        <f>Ringkasan!C91</f>
        <v>250</v>
      </c>
      <c r="D92" s="64" t="str">
        <f>Ringkasan!D91</f>
        <v>#N/A</v>
      </c>
      <c r="E92" s="64" t="str">
        <f>Ringkasan!E91</f>
        <v/>
      </c>
      <c r="F92" s="64" t="str">
        <f>Ringkasan!F91</f>
        <v/>
      </c>
      <c r="G92" s="64">
        <f>Ringkasan!G91</f>
        <v>0</v>
      </c>
      <c r="H92" s="19">
        <f>Ringkasan!H91</f>
        <v>22.2</v>
      </c>
      <c r="I92" s="19">
        <f>Ringkasan!I91</f>
        <v>1.2</v>
      </c>
      <c r="J92" s="19">
        <f>Ringkasan!J91</f>
        <v>5.3</v>
      </c>
      <c r="K92" s="19">
        <f>Ringkasan!K91</f>
        <v>3</v>
      </c>
      <c r="L92" s="19">
        <f>Ringkasan!L91</f>
        <v>0.76</v>
      </c>
      <c r="M92" s="19">
        <f>Ringkasan!M91</f>
        <v>60.7</v>
      </c>
      <c r="N92" s="64" t="str">
        <f>Ringkasan!N91</f>
        <v/>
      </c>
      <c r="O92" s="64" t="str">
        <f>Ringkasan!O91</f>
        <v/>
      </c>
      <c r="P92" s="64" t="str">
        <f>Ringkasan!P91</f>
        <v/>
      </c>
      <c r="Q92" s="64" t="str">
        <f>Ringkasan!Q91</f>
        <v/>
      </c>
      <c r="R92" s="64" t="str">
        <f>Ringkasan!R91</f>
        <v/>
      </c>
      <c r="S92" s="64" t="str">
        <f>Ringkasan!S91</f>
        <v/>
      </c>
      <c r="T92" s="64" t="str">
        <f>Ringkasan!T91</f>
        <v/>
      </c>
      <c r="U92" s="64">
        <f>Ringkasan!U91</f>
        <v>10.08</v>
      </c>
      <c r="V92" s="64">
        <f>Ringkasan!V91</f>
        <v>0.2</v>
      </c>
      <c r="W92" s="64">
        <f>Ringkasan!W91</f>
        <v>10.08</v>
      </c>
      <c r="X92" s="64">
        <f>Ringkasan!X91</f>
        <v>10.13</v>
      </c>
      <c r="Y92" s="64">
        <f>Ringkasan!Y91</f>
        <v>10.07</v>
      </c>
      <c r="Z92" s="64">
        <f>Ringkasan!Z91</f>
        <v>21421</v>
      </c>
      <c r="AA92" s="64" t="str">
        <f>Ringkasan!AA91</f>
        <v>Real Estate Management &amp; Development</v>
      </c>
      <c r="AB92" s="64" t="str">
        <f>Ringkasan!AB91</f>
        <v>Properties &amp; Real Estate</v>
      </c>
    </row>
    <row r="93" hidden="1">
      <c r="A93" s="64" t="str">
        <f>Ringkasan!A92</f>
        <v>AMAR</v>
      </c>
      <c r="B93" s="64" t="str">
        <f>Ringkasan!B92</f>
        <v>Bank Amar Indonesia Tbk.</v>
      </c>
      <c r="C93" s="65">
        <f>Ringkasan!C92</f>
        <v>198</v>
      </c>
      <c r="D93" s="64" t="str">
        <f>Ringkasan!D92</f>
        <v>#N/A</v>
      </c>
      <c r="E93" s="64" t="str">
        <f>Ringkasan!E92</f>
        <v/>
      </c>
      <c r="F93" s="64" t="str">
        <f>Ringkasan!F92</f>
        <v/>
      </c>
      <c r="G93" s="64">
        <f>Ringkasan!G92</f>
        <v>0</v>
      </c>
      <c r="H93" s="19">
        <f>Ringkasan!H92</f>
        <v>14.1</v>
      </c>
      <c r="I93" s="19">
        <f>Ringkasan!I92</f>
        <v>1</v>
      </c>
      <c r="J93" s="19">
        <f>Ringkasan!J92</f>
        <v>7.3</v>
      </c>
      <c r="K93" s="19">
        <f>Ringkasan!K92</f>
        <v>3.7</v>
      </c>
      <c r="L93" s="19">
        <f>Ringkasan!L92</f>
        <v>0.99</v>
      </c>
      <c r="M93" s="19">
        <f>Ringkasan!M92</f>
        <v>60.8</v>
      </c>
      <c r="N93" s="64">
        <f>Ringkasan!N92</f>
        <v>24.03</v>
      </c>
      <c r="O93" s="64">
        <f>Ringkasan!O92</f>
        <v>98.47</v>
      </c>
      <c r="P93" s="64">
        <f>Ringkasan!P92</f>
        <v>142.67</v>
      </c>
      <c r="Q93" s="64">
        <f>Ringkasan!Q92</f>
        <v>8.11</v>
      </c>
      <c r="R93" s="64">
        <f>Ringkasan!R92</f>
        <v>85.22</v>
      </c>
      <c r="S93" s="64">
        <f>Ringkasan!S92</f>
        <v>101</v>
      </c>
      <c r="T93" s="64">
        <f>Ringkasan!T92</f>
        <v>11.28</v>
      </c>
      <c r="U93" s="64">
        <f>Ringkasan!U92</f>
        <v>191</v>
      </c>
      <c r="V93" s="64">
        <f>Ringkasan!V92</f>
        <v>3.66</v>
      </c>
      <c r="W93" s="64">
        <f>Ringkasan!W92</f>
        <v>187</v>
      </c>
      <c r="X93" s="64">
        <f>Ringkasan!X92</f>
        <v>198</v>
      </c>
      <c r="Y93" s="64">
        <f>Ringkasan!Y92</f>
        <v>187</v>
      </c>
      <c r="Z93" s="64">
        <f>Ringkasan!Z92</f>
        <v>567600</v>
      </c>
      <c r="AA93" s="64" t="str">
        <f>Ringkasan!AA92</f>
        <v>Banks</v>
      </c>
      <c r="AB93" s="64" t="str">
        <f>Ringkasan!AB92</f>
        <v>Financials</v>
      </c>
    </row>
    <row r="94" hidden="1">
      <c r="A94" s="64" t="str">
        <f>Ringkasan!A93</f>
        <v>AMFG</v>
      </c>
      <c r="B94" s="64" t="str">
        <f>Ringkasan!B93</f>
        <v>Asahimas Flat Glass Tbk.</v>
      </c>
      <c r="C94" s="65">
        <f>Ringkasan!C93</f>
        <v>3190</v>
      </c>
      <c r="D94" s="64" t="str">
        <f>Ringkasan!D93</f>
        <v>#N/A</v>
      </c>
      <c r="E94" s="64" t="str">
        <f>Ringkasan!E93</f>
        <v/>
      </c>
      <c r="F94" s="64" t="str">
        <f>Ringkasan!F93</f>
        <v/>
      </c>
      <c r="G94" s="64">
        <f>Ringkasan!G93</f>
        <v>0</v>
      </c>
      <c r="H94" s="19">
        <f>Ringkasan!H93</f>
        <v>53.1</v>
      </c>
      <c r="I94" s="19">
        <f>Ringkasan!I93</f>
        <v>0.29</v>
      </c>
      <c r="J94" s="19">
        <f>Ringkasan!J93</f>
        <v>0.55</v>
      </c>
      <c r="K94" s="19">
        <f>Ringkasan!K93</f>
        <v>0.36</v>
      </c>
      <c r="L94" s="19">
        <f>Ringkasan!L93</f>
        <v>0.53</v>
      </c>
      <c r="M94" s="19">
        <f>Ringkasan!M93</f>
        <v>2.1</v>
      </c>
      <c r="N94" s="64" t="str">
        <f>Ringkasan!N93</f>
        <v/>
      </c>
      <c r="O94" s="64" t="str">
        <f>Ringkasan!O93</f>
        <v/>
      </c>
      <c r="P94" s="64" t="str">
        <f>Ringkasan!P93</f>
        <v/>
      </c>
      <c r="Q94" s="64" t="str">
        <f>Ringkasan!Q93</f>
        <v/>
      </c>
      <c r="R94" s="64" t="str">
        <f>Ringkasan!R93</f>
        <v/>
      </c>
      <c r="S94" s="64" t="str">
        <f>Ringkasan!S93</f>
        <v/>
      </c>
      <c r="T94" s="64" t="str">
        <f>Ringkasan!T93</f>
        <v/>
      </c>
      <c r="U94" s="64">
        <f>Ringkasan!U93</f>
        <v>2840</v>
      </c>
      <c r="V94" s="64">
        <f>Ringkasan!V93</f>
        <v>12.32</v>
      </c>
      <c r="W94" s="64">
        <f>Ringkasan!W93</f>
        <v>2840</v>
      </c>
      <c r="X94" s="64" t="str">
        <f>Ringkasan!X93</f>
        <v/>
      </c>
      <c r="Y94" s="64" t="str">
        <f>Ringkasan!Y93</f>
        <v/>
      </c>
      <c r="Z94" s="64">
        <f>Ringkasan!Z93</f>
        <v>18600</v>
      </c>
      <c r="AA94" s="64" t="str">
        <f>Ringkasan!AA93</f>
        <v>Building Products &amp; Fixtures</v>
      </c>
      <c r="AB94" s="64" t="str">
        <f>Ringkasan!AB93</f>
        <v>Industrials</v>
      </c>
    </row>
    <row r="95" hidden="1">
      <c r="A95" s="64" t="str">
        <f>Ringkasan!A94</f>
        <v>AMIN</v>
      </c>
      <c r="B95" s="64" t="str">
        <f>Ringkasan!B94</f>
        <v>PT Ateliers Mecaniques D Indonesie Tbk.</v>
      </c>
      <c r="C95" s="65">
        <f>Ringkasan!C94</f>
        <v>260</v>
      </c>
      <c r="D95" s="64" t="str">
        <f>Ringkasan!D94</f>
        <v>#N/A</v>
      </c>
      <c r="E95" s="64" t="str">
        <f>Ringkasan!E94</f>
        <v/>
      </c>
      <c r="F95" s="64" t="str">
        <f>Ringkasan!F94</f>
        <v/>
      </c>
      <c r="G95" s="64">
        <f>Ringkasan!G94</f>
        <v>0</v>
      </c>
      <c r="H95" s="19">
        <f>Ringkasan!H94</f>
        <v>11.5</v>
      </c>
      <c r="I95" s="19">
        <f>Ringkasan!I94</f>
        <v>1.4</v>
      </c>
      <c r="J95" s="19">
        <f>Ringkasan!J94</f>
        <v>12.3</v>
      </c>
      <c r="K95" s="19">
        <f>Ringkasan!K94</f>
        <v>8.1</v>
      </c>
      <c r="L95" s="19">
        <f>Ringkasan!L94</f>
        <v>0.52</v>
      </c>
      <c r="M95" s="19">
        <f>Ringkasan!M94</f>
        <v>44.9</v>
      </c>
      <c r="N95" s="64" t="str">
        <f>Ringkasan!N94</f>
        <v/>
      </c>
      <c r="O95" s="64" t="str">
        <f>Ringkasan!O94</f>
        <v/>
      </c>
      <c r="P95" s="64" t="str">
        <f>Ringkasan!P94</f>
        <v/>
      </c>
      <c r="Q95" s="64" t="str">
        <f>Ringkasan!Q94</f>
        <v/>
      </c>
      <c r="R95" s="64" t="str">
        <f>Ringkasan!R94</f>
        <v/>
      </c>
      <c r="S95" s="64" t="str">
        <f>Ringkasan!S94</f>
        <v/>
      </c>
      <c r="T95" s="64" t="str">
        <f>Ringkasan!T94</f>
        <v/>
      </c>
      <c r="U95" s="64">
        <f>Ringkasan!U94</f>
        <v>0.1</v>
      </c>
      <c r="V95" s="64">
        <f>Ringkasan!V94</f>
        <v>0</v>
      </c>
      <c r="W95" s="64" t="str">
        <f>Ringkasan!W94</f>
        <v/>
      </c>
      <c r="X95" s="64" t="str">
        <f>Ringkasan!X94</f>
        <v/>
      </c>
      <c r="Y95" s="64" t="str">
        <f>Ringkasan!Y94</f>
        <v/>
      </c>
      <c r="Z95" s="64">
        <f>Ringkasan!Z94</f>
        <v>0</v>
      </c>
      <c r="AA95" s="64" t="str">
        <f>Ringkasan!AA94</f>
        <v>Machinery</v>
      </c>
      <c r="AB95" s="64" t="str">
        <f>Ringkasan!AB94</f>
        <v>Industrials</v>
      </c>
    </row>
    <row r="96" hidden="1">
      <c r="A96" s="64" t="str">
        <f>Ringkasan!A95</f>
        <v>AMMN</v>
      </c>
      <c r="B96" s="64" t="str">
        <f>Ringkasan!B95</f>
        <v>PT Amman Mineral Internasional Tbk.</v>
      </c>
      <c r="C96" s="65">
        <f>Ringkasan!C95</f>
        <v>3450</v>
      </c>
      <c r="D96" s="64" t="str">
        <f>Ringkasan!D95</f>
        <v>#N/A</v>
      </c>
      <c r="E96" s="64" t="str">
        <f>Ringkasan!E95</f>
        <v>IDX80</v>
      </c>
      <c r="F96" s="64" t="str">
        <f>Ringkasan!F95</f>
        <v>31 Juli 2026</v>
      </c>
      <c r="G96" s="64">
        <f>Ringkasan!G95</f>
        <v>5</v>
      </c>
      <c r="H96" s="19">
        <f>Ringkasan!H95</f>
        <v>26</v>
      </c>
      <c r="I96" s="19">
        <f>Ringkasan!I95</f>
        <v>2.5</v>
      </c>
      <c r="J96" s="19">
        <f>Ringkasan!J95</f>
        <v>9.7</v>
      </c>
      <c r="K96" s="19">
        <f>Ringkasan!K95</f>
        <v>3.9</v>
      </c>
      <c r="L96" s="19">
        <f>Ringkasan!L95</f>
        <v>1.5</v>
      </c>
      <c r="M96" s="19">
        <f>Ringkasan!M95</f>
        <v>67</v>
      </c>
      <c r="N96" s="64" t="str">
        <f>Ringkasan!N95</f>
        <v/>
      </c>
      <c r="O96" s="64" t="str">
        <f>Ringkasan!O95</f>
        <v/>
      </c>
      <c r="P96" s="64" t="str">
        <f>Ringkasan!P95</f>
        <v/>
      </c>
      <c r="Q96" s="64" t="str">
        <f>Ringkasan!Q95</f>
        <v/>
      </c>
      <c r="R96" s="64" t="str">
        <f>Ringkasan!R95</f>
        <v/>
      </c>
      <c r="S96" s="64" t="str">
        <f>Ringkasan!S95</f>
        <v/>
      </c>
      <c r="T96" s="64" t="str">
        <f>Ringkasan!T95</f>
        <v/>
      </c>
      <c r="U96" s="64">
        <f>Ringkasan!U95</f>
        <v>3060</v>
      </c>
      <c r="V96" s="64">
        <f>Ringkasan!V95</f>
        <v>12.75</v>
      </c>
      <c r="W96" s="64">
        <f>Ringkasan!W95</f>
        <v>3150</v>
      </c>
      <c r="X96" s="64">
        <f>Ringkasan!X95</f>
        <v>3540</v>
      </c>
      <c r="Y96" s="64">
        <f>Ringkasan!Y95</f>
        <v>3110</v>
      </c>
      <c r="Z96" s="64">
        <f>Ringkasan!Z95</f>
        <v>170357600</v>
      </c>
      <c r="AA96" s="64" t="str">
        <f>Ringkasan!AA95</f>
        <v>Metals &amp; Minerals</v>
      </c>
      <c r="AB96" s="64" t="str">
        <f>Ringkasan!AB95</f>
        <v>Basic Materials</v>
      </c>
    </row>
    <row r="97" hidden="1">
      <c r="A97" s="64" t="str">
        <f>Ringkasan!A96</f>
        <v>AMMN</v>
      </c>
      <c r="B97" s="64" t="str">
        <f>Ringkasan!B96</f>
        <v>PT Amman Mineral Internasional Tbk.</v>
      </c>
      <c r="C97" s="65">
        <f>Ringkasan!C96</f>
        <v>3450</v>
      </c>
      <c r="D97" s="64" t="str">
        <f>Ringkasan!D96</f>
        <v>#N/A</v>
      </c>
      <c r="E97" s="64" t="str">
        <f>Ringkasan!E96</f>
        <v>LQ45</v>
      </c>
      <c r="F97" s="64" t="str">
        <f>Ringkasan!F96</f>
        <v>31 Juli 2026</v>
      </c>
      <c r="G97" s="64">
        <f>Ringkasan!G96</f>
        <v>5</v>
      </c>
      <c r="H97" s="19">
        <f>Ringkasan!H96</f>
        <v>26</v>
      </c>
      <c r="I97" s="19">
        <f>Ringkasan!I96</f>
        <v>2.5</v>
      </c>
      <c r="J97" s="19">
        <f>Ringkasan!J96</f>
        <v>9.7</v>
      </c>
      <c r="K97" s="19">
        <f>Ringkasan!K96</f>
        <v>3.9</v>
      </c>
      <c r="L97" s="19">
        <f>Ringkasan!L96</f>
        <v>1.5</v>
      </c>
      <c r="M97" s="19">
        <f>Ringkasan!M96</f>
        <v>67</v>
      </c>
      <c r="N97" s="64" t="str">
        <f>Ringkasan!N96</f>
        <v/>
      </c>
      <c r="O97" s="64" t="str">
        <f>Ringkasan!O96</f>
        <v/>
      </c>
      <c r="P97" s="64" t="str">
        <f>Ringkasan!P96</f>
        <v/>
      </c>
      <c r="Q97" s="64" t="str">
        <f>Ringkasan!Q96</f>
        <v/>
      </c>
      <c r="R97" s="64" t="str">
        <f>Ringkasan!R96</f>
        <v/>
      </c>
      <c r="S97" s="64" t="str">
        <f>Ringkasan!S96</f>
        <v/>
      </c>
      <c r="T97" s="64" t="str">
        <f>Ringkasan!T96</f>
        <v/>
      </c>
      <c r="U97" s="64">
        <f>Ringkasan!U96</f>
        <v>3060</v>
      </c>
      <c r="V97" s="64">
        <f>Ringkasan!V96</f>
        <v>12.75</v>
      </c>
      <c r="W97" s="64">
        <f>Ringkasan!W96</f>
        <v>3150</v>
      </c>
      <c r="X97" s="64">
        <f>Ringkasan!X96</f>
        <v>3540</v>
      </c>
      <c r="Y97" s="64">
        <f>Ringkasan!Y96</f>
        <v>3110</v>
      </c>
      <c r="Z97" s="64">
        <f>Ringkasan!Z96</f>
        <v>170357600</v>
      </c>
      <c r="AA97" s="64" t="str">
        <f>Ringkasan!AA96</f>
        <v>Metals &amp; Minerals</v>
      </c>
      <c r="AB97" s="64" t="str">
        <f>Ringkasan!AB96</f>
        <v>Basic Materials</v>
      </c>
    </row>
    <row r="98" hidden="1">
      <c r="A98" s="64" t="str">
        <f>Ringkasan!A97</f>
        <v>AMMN</v>
      </c>
      <c r="B98" s="64" t="str">
        <f>Ringkasan!B97</f>
        <v>PT Amman Mineral Internasional Tbk.</v>
      </c>
      <c r="C98" s="65">
        <f>Ringkasan!C97</f>
        <v>3450</v>
      </c>
      <c r="D98" s="64" t="str">
        <f>Ringkasan!D97</f>
        <v>#N/A</v>
      </c>
      <c r="E98" s="64" t="str">
        <f>Ringkasan!E97</f>
        <v>Kompas100</v>
      </c>
      <c r="F98" s="64" t="str">
        <f>Ringkasan!F97</f>
        <v>31 Juli 2026</v>
      </c>
      <c r="G98" s="64">
        <f>Ringkasan!G97</f>
        <v>5</v>
      </c>
      <c r="H98" s="19">
        <f>Ringkasan!H97</f>
        <v>26</v>
      </c>
      <c r="I98" s="19">
        <f>Ringkasan!I97</f>
        <v>2.5</v>
      </c>
      <c r="J98" s="19">
        <f>Ringkasan!J97</f>
        <v>9.7</v>
      </c>
      <c r="K98" s="19">
        <f>Ringkasan!K97</f>
        <v>3.9</v>
      </c>
      <c r="L98" s="19">
        <f>Ringkasan!L97</f>
        <v>1.5</v>
      </c>
      <c r="M98" s="19">
        <f>Ringkasan!M97</f>
        <v>67</v>
      </c>
      <c r="N98" s="64" t="str">
        <f>Ringkasan!N97</f>
        <v/>
      </c>
      <c r="O98" s="64" t="str">
        <f>Ringkasan!O97</f>
        <v/>
      </c>
      <c r="P98" s="64" t="str">
        <f>Ringkasan!P97</f>
        <v/>
      </c>
      <c r="Q98" s="64" t="str">
        <f>Ringkasan!Q97</f>
        <v/>
      </c>
      <c r="R98" s="64" t="str">
        <f>Ringkasan!R97</f>
        <v/>
      </c>
      <c r="S98" s="64" t="str">
        <f>Ringkasan!S97</f>
        <v/>
      </c>
      <c r="T98" s="64" t="str">
        <f>Ringkasan!T97</f>
        <v/>
      </c>
      <c r="U98" s="64">
        <f>Ringkasan!U97</f>
        <v>3060</v>
      </c>
      <c r="V98" s="64">
        <f>Ringkasan!V97</f>
        <v>12.75</v>
      </c>
      <c r="W98" s="64">
        <f>Ringkasan!W97</f>
        <v>3150</v>
      </c>
      <c r="X98" s="64">
        <f>Ringkasan!X97</f>
        <v>3540</v>
      </c>
      <c r="Y98" s="64">
        <f>Ringkasan!Y97</f>
        <v>3110</v>
      </c>
      <c r="Z98" s="64">
        <f>Ringkasan!Z97</f>
        <v>170357600</v>
      </c>
      <c r="AA98" s="64" t="str">
        <f>Ringkasan!AA97</f>
        <v>Metals &amp; Minerals</v>
      </c>
      <c r="AB98" s="64" t="str">
        <f>Ringkasan!AB97</f>
        <v>Basic Materials</v>
      </c>
    </row>
    <row r="99" hidden="1">
      <c r="A99" s="64" t="str">
        <f>Ringkasan!A98</f>
        <v>AMMN</v>
      </c>
      <c r="B99" s="64" t="str">
        <f>Ringkasan!B98</f>
        <v>PT Amman Mineral Internasional Tbk.</v>
      </c>
      <c r="C99" s="65">
        <f>Ringkasan!C98</f>
        <v>3450</v>
      </c>
      <c r="D99" s="64" t="str">
        <f>Ringkasan!D98</f>
        <v>#N/A</v>
      </c>
      <c r="E99" s="64" t="str">
        <f>Ringkasan!E98</f>
        <v>ECONOMIC30</v>
      </c>
      <c r="F99" s="64" t="str">
        <f>Ringkasan!F98</f>
        <v>31 Agustus 2026</v>
      </c>
      <c r="G99" s="64">
        <f>Ringkasan!G98</f>
        <v>5</v>
      </c>
      <c r="H99" s="19">
        <f>Ringkasan!H98</f>
        <v>26</v>
      </c>
      <c r="I99" s="19">
        <f>Ringkasan!I98</f>
        <v>2.5</v>
      </c>
      <c r="J99" s="19">
        <f>Ringkasan!J98</f>
        <v>9.7</v>
      </c>
      <c r="K99" s="19">
        <f>Ringkasan!K98</f>
        <v>3.9</v>
      </c>
      <c r="L99" s="19">
        <f>Ringkasan!L98</f>
        <v>1.5</v>
      </c>
      <c r="M99" s="19">
        <f>Ringkasan!M98</f>
        <v>67</v>
      </c>
      <c r="N99" s="64" t="str">
        <f>Ringkasan!N98</f>
        <v/>
      </c>
      <c r="O99" s="64" t="str">
        <f>Ringkasan!O98</f>
        <v/>
      </c>
      <c r="P99" s="64" t="str">
        <f>Ringkasan!P98</f>
        <v/>
      </c>
      <c r="Q99" s="64" t="str">
        <f>Ringkasan!Q98</f>
        <v/>
      </c>
      <c r="R99" s="64" t="str">
        <f>Ringkasan!R98</f>
        <v/>
      </c>
      <c r="S99" s="64" t="str">
        <f>Ringkasan!S98</f>
        <v/>
      </c>
      <c r="T99" s="64" t="str">
        <f>Ringkasan!T98</f>
        <v/>
      </c>
      <c r="U99" s="64">
        <f>Ringkasan!U98</f>
        <v>3060</v>
      </c>
      <c r="V99" s="64">
        <f>Ringkasan!V98</f>
        <v>12.75</v>
      </c>
      <c r="W99" s="64">
        <f>Ringkasan!W98</f>
        <v>3150</v>
      </c>
      <c r="X99" s="64">
        <f>Ringkasan!X98</f>
        <v>3540</v>
      </c>
      <c r="Y99" s="64">
        <f>Ringkasan!Y98</f>
        <v>3110</v>
      </c>
      <c r="Z99" s="64">
        <f>Ringkasan!Z98</f>
        <v>170357600</v>
      </c>
      <c r="AA99" s="64" t="str">
        <f>Ringkasan!AA98</f>
        <v>Metals &amp; Minerals</v>
      </c>
      <c r="AB99" s="64" t="str">
        <f>Ringkasan!AB98</f>
        <v>Basic Materials</v>
      </c>
    </row>
    <row r="100" hidden="1">
      <c r="A100" s="64" t="str">
        <f>Ringkasan!A99</f>
        <v>AMMN</v>
      </c>
      <c r="B100" s="64" t="str">
        <f>Ringkasan!B99</f>
        <v>PT Amman Mineral Internasional Tbk.</v>
      </c>
      <c r="C100" s="65">
        <f>Ringkasan!C99</f>
        <v>3450</v>
      </c>
      <c r="D100" s="64" t="str">
        <f>Ringkasan!D99</f>
        <v>#N/A</v>
      </c>
      <c r="E100" s="64" t="str">
        <f>Ringkasan!E99</f>
        <v>FTSE Large Cap</v>
      </c>
      <c r="F100" s="64" t="str">
        <f>Ringkasan!F99</f>
        <v>Juni 2026</v>
      </c>
      <c r="G100" s="64">
        <f>Ringkasan!G99</f>
        <v>5</v>
      </c>
      <c r="H100" s="19">
        <f>Ringkasan!H99</f>
        <v>26</v>
      </c>
      <c r="I100" s="19">
        <f>Ringkasan!I99</f>
        <v>2.5</v>
      </c>
      <c r="J100" s="19">
        <f>Ringkasan!J99</f>
        <v>9.7</v>
      </c>
      <c r="K100" s="19">
        <f>Ringkasan!K99</f>
        <v>3.9</v>
      </c>
      <c r="L100" s="19">
        <f>Ringkasan!L99</f>
        <v>1.5</v>
      </c>
      <c r="M100" s="19">
        <f>Ringkasan!M99</f>
        <v>67</v>
      </c>
      <c r="N100" s="64" t="str">
        <f>Ringkasan!N99</f>
        <v/>
      </c>
      <c r="O100" s="64" t="str">
        <f>Ringkasan!O99</f>
        <v/>
      </c>
      <c r="P100" s="64" t="str">
        <f>Ringkasan!P99</f>
        <v/>
      </c>
      <c r="Q100" s="64" t="str">
        <f>Ringkasan!Q99</f>
        <v/>
      </c>
      <c r="R100" s="64" t="str">
        <f>Ringkasan!R99</f>
        <v/>
      </c>
      <c r="S100" s="64" t="str">
        <f>Ringkasan!S99</f>
        <v/>
      </c>
      <c r="T100" s="64" t="str">
        <f>Ringkasan!T99</f>
        <v/>
      </c>
      <c r="U100" s="64">
        <f>Ringkasan!U99</f>
        <v>3060</v>
      </c>
      <c r="V100" s="64">
        <f>Ringkasan!V99</f>
        <v>12.75</v>
      </c>
      <c r="W100" s="64">
        <f>Ringkasan!W99</f>
        <v>3150</v>
      </c>
      <c r="X100" s="64">
        <f>Ringkasan!X99</f>
        <v>3540</v>
      </c>
      <c r="Y100" s="64">
        <f>Ringkasan!Y99</f>
        <v>3110</v>
      </c>
      <c r="Z100" s="64">
        <f>Ringkasan!Z99</f>
        <v>170357600</v>
      </c>
      <c r="AA100" s="64" t="str">
        <f>Ringkasan!AA99</f>
        <v>Metals &amp; Minerals</v>
      </c>
      <c r="AB100" s="64" t="str">
        <f>Ringkasan!AB99</f>
        <v>Basic Materials</v>
      </c>
    </row>
    <row r="101" hidden="1">
      <c r="A101" s="64" t="str">
        <f>Ringkasan!A100</f>
        <v>AMMS</v>
      </c>
      <c r="B101" s="64" t="str">
        <f>Ringkasan!B100</f>
        <v>Agung Menjangan Mas Tbk.</v>
      </c>
      <c r="C101" s="65">
        <f>Ringkasan!C100</f>
        <v>328</v>
      </c>
      <c r="D101" s="64" t="str">
        <f>Ringkasan!D100</f>
        <v>#N/A</v>
      </c>
      <c r="E101" s="64" t="str">
        <f>Ringkasan!E100</f>
        <v/>
      </c>
      <c r="F101" s="64" t="str">
        <f>Ringkasan!F100</f>
        <v/>
      </c>
      <c r="G101" s="64">
        <f>Ringkasan!G100</f>
        <v>0</v>
      </c>
      <c r="H101" s="19">
        <f>Ringkasan!H100</f>
        <v>-1020</v>
      </c>
      <c r="I101" s="19">
        <f>Ringkasan!I100</f>
        <v>6.5</v>
      </c>
      <c r="J101" s="19">
        <f>Ringkasan!J100</f>
        <v>-0.63</v>
      </c>
      <c r="K101" s="19">
        <f>Ringkasan!K100</f>
        <v>-0.63</v>
      </c>
      <c r="L101" s="19">
        <f>Ringkasan!L100</f>
        <v>0.01</v>
      </c>
      <c r="M101" s="19">
        <f>Ringkasan!M100</f>
        <v>-2.9</v>
      </c>
      <c r="N101" s="64" t="str">
        <f>Ringkasan!N100</f>
        <v/>
      </c>
      <c r="O101" s="64" t="str">
        <f>Ringkasan!O100</f>
        <v/>
      </c>
      <c r="P101" s="64" t="str">
        <f>Ringkasan!P100</f>
        <v/>
      </c>
      <c r="Q101" s="64" t="str">
        <f>Ringkasan!Q100</f>
        <v/>
      </c>
      <c r="R101" s="64" t="str">
        <f>Ringkasan!R100</f>
        <v/>
      </c>
      <c r="S101" s="64" t="str">
        <f>Ringkasan!S100</f>
        <v/>
      </c>
      <c r="T101" s="64" t="str">
        <f>Ringkasan!T100</f>
        <v/>
      </c>
      <c r="U101" s="64">
        <f>Ringkasan!U100</f>
        <v>320</v>
      </c>
      <c r="V101" s="64">
        <f>Ringkasan!V100</f>
        <v>2.5</v>
      </c>
      <c r="W101" s="64">
        <f>Ringkasan!W100</f>
        <v>320</v>
      </c>
      <c r="X101" s="64">
        <f>Ringkasan!X100</f>
        <v>352</v>
      </c>
      <c r="Y101" s="64">
        <f>Ringkasan!Y100</f>
        <v>320</v>
      </c>
      <c r="Z101" s="64">
        <f>Ringkasan!Z100</f>
        <v>504900</v>
      </c>
      <c r="AA101" s="64" t="str">
        <f>Ringkasan!AA100</f>
        <v>Agricultural Products</v>
      </c>
      <c r="AB101" s="64" t="str">
        <f>Ringkasan!AB100</f>
        <v>Consumer Non-Cyclicals</v>
      </c>
    </row>
    <row r="102" hidden="1">
      <c r="A102" s="64" t="str">
        <f>Ringkasan!A101</f>
        <v>AMOR</v>
      </c>
      <c r="B102" s="64" t="str">
        <f>Ringkasan!B101</f>
        <v>Ashmore Asset Management Indonesia Tbk.</v>
      </c>
      <c r="C102" s="65">
        <f>Ringkasan!C101</f>
        <v>312</v>
      </c>
      <c r="D102" s="64" t="str">
        <f>Ringkasan!D101</f>
        <v>#N/A</v>
      </c>
      <c r="E102" s="64" t="str">
        <f>Ringkasan!E101</f>
        <v/>
      </c>
      <c r="F102" s="64" t="str">
        <f>Ringkasan!F101</f>
        <v/>
      </c>
      <c r="G102" s="65">
        <f>Ringkasan!G101</f>
        <v>0</v>
      </c>
      <c r="H102" s="19">
        <f>Ringkasan!H101</f>
        <v>11.1</v>
      </c>
      <c r="I102" s="19">
        <f>Ringkasan!I101</f>
        <v>2.8</v>
      </c>
      <c r="J102" s="19">
        <f>Ringkasan!J101</f>
        <v>25.3</v>
      </c>
      <c r="K102" s="19">
        <f>Ringkasan!K101</f>
        <v>19.1</v>
      </c>
      <c r="L102" s="19">
        <f>Ringkasan!L101</f>
        <v>0.32</v>
      </c>
      <c r="M102" s="19">
        <f>Ringkasan!M101</f>
        <v>49.5</v>
      </c>
      <c r="N102" s="64" t="str">
        <f>Ringkasan!N101</f>
        <v/>
      </c>
      <c r="O102" s="64" t="str">
        <f>Ringkasan!O101</f>
        <v/>
      </c>
      <c r="P102" s="64" t="str">
        <f>Ringkasan!P101</f>
        <v/>
      </c>
      <c r="Q102" s="64" t="str">
        <f>Ringkasan!Q101</f>
        <v/>
      </c>
      <c r="R102" s="64" t="str">
        <f>Ringkasan!R101</f>
        <v/>
      </c>
      <c r="S102" s="64" t="str">
        <f>Ringkasan!S101</f>
        <v/>
      </c>
      <c r="T102" s="64" t="str">
        <f>Ringkasan!T101</f>
        <v/>
      </c>
      <c r="U102" s="64">
        <f>Ringkasan!U101</f>
        <v>312</v>
      </c>
      <c r="V102" s="64">
        <f>Ringkasan!V101</f>
        <v>0</v>
      </c>
      <c r="W102" s="64">
        <f>Ringkasan!W101</f>
        <v>320</v>
      </c>
      <c r="X102" s="64">
        <f>Ringkasan!X101</f>
        <v>328</v>
      </c>
      <c r="Y102" s="64">
        <f>Ringkasan!Y101</f>
        <v>310</v>
      </c>
      <c r="Z102" s="64">
        <f>Ringkasan!Z101</f>
        <v>142700</v>
      </c>
      <c r="AA102" s="64" t="str">
        <f>Ringkasan!AA101</f>
        <v>Investment Services</v>
      </c>
      <c r="AB102" s="64" t="str">
        <f>Ringkasan!AB101</f>
        <v>Financials</v>
      </c>
    </row>
    <row r="103" hidden="1">
      <c r="A103" s="64" t="str">
        <f>Ringkasan!A102</f>
        <v>AMRT</v>
      </c>
      <c r="B103" s="64" t="str">
        <f>Ringkasan!B102</f>
        <v>Sumber Alfaria Trijaya Tbk.</v>
      </c>
      <c r="C103" s="65">
        <f>Ringkasan!C102</f>
        <v>1375</v>
      </c>
      <c r="D103" s="64" t="str">
        <f>Ringkasan!D102</f>
        <v>#N/A</v>
      </c>
      <c r="E103" s="64" t="str">
        <f>Ringkasan!E102</f>
        <v>IDXQ30</v>
      </c>
      <c r="F103" s="64" t="str">
        <f>Ringkasan!F102</f>
        <v>4 Agustus 2026</v>
      </c>
      <c r="G103" s="64">
        <f>Ringkasan!G102</f>
        <v>10</v>
      </c>
      <c r="H103" s="19">
        <f>Ringkasan!H102</f>
        <v>13.6</v>
      </c>
      <c r="I103" s="19">
        <f>Ringkasan!I102</f>
        <v>2.4</v>
      </c>
      <c r="J103" s="19">
        <f>Ringkasan!J102</f>
        <v>17.6</v>
      </c>
      <c r="K103" s="19">
        <f>Ringkasan!K102</f>
        <v>7.7</v>
      </c>
      <c r="L103" s="19">
        <f>Ringkasan!L102</f>
        <v>1.3</v>
      </c>
      <c r="M103" s="19">
        <f>Ringkasan!M102</f>
        <v>10</v>
      </c>
      <c r="N103" s="64" t="str">
        <f>Ringkasan!N102</f>
        <v/>
      </c>
      <c r="O103" s="64" t="str">
        <f>Ringkasan!O102</f>
        <v/>
      </c>
      <c r="P103" s="64" t="str">
        <f>Ringkasan!P102</f>
        <v/>
      </c>
      <c r="Q103" s="64" t="str">
        <f>Ringkasan!Q102</f>
        <v/>
      </c>
      <c r="R103" s="64" t="str">
        <f>Ringkasan!R102</f>
        <v/>
      </c>
      <c r="S103" s="64" t="str">
        <f>Ringkasan!S102</f>
        <v/>
      </c>
      <c r="T103" s="64" t="str">
        <f>Ringkasan!T102</f>
        <v/>
      </c>
      <c r="U103" s="64">
        <f>Ringkasan!U102</f>
        <v>1335</v>
      </c>
      <c r="V103" s="64">
        <f>Ringkasan!V102</f>
        <v>3</v>
      </c>
      <c r="W103" s="64">
        <f>Ringkasan!W102</f>
        <v>1340</v>
      </c>
      <c r="X103" s="64">
        <f>Ringkasan!X102</f>
        <v>1415</v>
      </c>
      <c r="Y103" s="64">
        <f>Ringkasan!Y102</f>
        <v>1325</v>
      </c>
      <c r="Z103" s="64">
        <f>Ringkasan!Z102</f>
        <v>91250600</v>
      </c>
      <c r="AA103" s="64" t="str">
        <f>Ringkasan!AA102</f>
        <v>Food &amp; Staples Retailing</v>
      </c>
      <c r="AB103" s="64" t="str">
        <f>Ringkasan!AB102</f>
        <v>Consumer Non-Cyclicals</v>
      </c>
    </row>
    <row r="104" hidden="1">
      <c r="A104" s="64" t="str">
        <f>Ringkasan!A103</f>
        <v>AMRT</v>
      </c>
      <c r="B104" s="64" t="str">
        <f>Ringkasan!B103</f>
        <v>Sumber Alfaria Trijaya Tbk.</v>
      </c>
      <c r="C104" s="65">
        <f>Ringkasan!C103</f>
        <v>1375</v>
      </c>
      <c r="D104" s="64" t="str">
        <f>Ringkasan!D103</f>
        <v>#N/A</v>
      </c>
      <c r="E104" s="64" t="str">
        <f>Ringkasan!E103</f>
        <v>IDX80</v>
      </c>
      <c r="F104" s="64" t="str">
        <f>Ringkasan!F103</f>
        <v>31 Juli 2026</v>
      </c>
      <c r="G104" s="64">
        <f>Ringkasan!G103</f>
        <v>10</v>
      </c>
      <c r="H104" s="19">
        <f>Ringkasan!H103</f>
        <v>13.6</v>
      </c>
      <c r="I104" s="19">
        <f>Ringkasan!I103</f>
        <v>2.4</v>
      </c>
      <c r="J104" s="19">
        <f>Ringkasan!J103</f>
        <v>17.6</v>
      </c>
      <c r="K104" s="19">
        <f>Ringkasan!K103</f>
        <v>7.7</v>
      </c>
      <c r="L104" s="19">
        <f>Ringkasan!L103</f>
        <v>1.3</v>
      </c>
      <c r="M104" s="19">
        <f>Ringkasan!M103</f>
        <v>10</v>
      </c>
      <c r="N104" s="64" t="str">
        <f>Ringkasan!N103</f>
        <v/>
      </c>
      <c r="O104" s="64" t="str">
        <f>Ringkasan!O103</f>
        <v/>
      </c>
      <c r="P104" s="64" t="str">
        <f>Ringkasan!P103</f>
        <v/>
      </c>
      <c r="Q104" s="64" t="str">
        <f>Ringkasan!Q103</f>
        <v/>
      </c>
      <c r="R104" s="64" t="str">
        <f>Ringkasan!R103</f>
        <v/>
      </c>
      <c r="S104" s="64" t="str">
        <f>Ringkasan!S103</f>
        <v/>
      </c>
      <c r="T104" s="64" t="str">
        <f>Ringkasan!T103</f>
        <v/>
      </c>
      <c r="U104" s="64">
        <f>Ringkasan!U103</f>
        <v>1335</v>
      </c>
      <c r="V104" s="64">
        <f>Ringkasan!V103</f>
        <v>3</v>
      </c>
      <c r="W104" s="64">
        <f>Ringkasan!W103</f>
        <v>1340</v>
      </c>
      <c r="X104" s="64">
        <f>Ringkasan!X103</f>
        <v>1415</v>
      </c>
      <c r="Y104" s="64">
        <f>Ringkasan!Y103</f>
        <v>1325</v>
      </c>
      <c r="Z104" s="64">
        <f>Ringkasan!Z103</f>
        <v>91250600</v>
      </c>
      <c r="AA104" s="64" t="str">
        <f>Ringkasan!AA103</f>
        <v>Food &amp; Staples Retailing</v>
      </c>
      <c r="AB104" s="64" t="str">
        <f>Ringkasan!AB103</f>
        <v>Consumer Non-Cyclicals</v>
      </c>
    </row>
    <row r="105" hidden="1">
      <c r="A105" s="64" t="str">
        <f>Ringkasan!A104</f>
        <v>AMRT</v>
      </c>
      <c r="B105" s="64" t="str">
        <f>Ringkasan!B104</f>
        <v>Sumber Alfaria Trijaya Tbk.</v>
      </c>
      <c r="C105" s="65">
        <f>Ringkasan!C104</f>
        <v>1375</v>
      </c>
      <c r="D105" s="64" t="str">
        <f>Ringkasan!D104</f>
        <v>#N/A</v>
      </c>
      <c r="E105" s="64" t="str">
        <f>Ringkasan!E104</f>
        <v>Kompas100</v>
      </c>
      <c r="F105" s="64" t="str">
        <f>Ringkasan!F104</f>
        <v>31 Juli 2026</v>
      </c>
      <c r="G105" s="64">
        <f>Ringkasan!G104</f>
        <v>10</v>
      </c>
      <c r="H105" s="19">
        <f>Ringkasan!H104</f>
        <v>13.6</v>
      </c>
      <c r="I105" s="19">
        <f>Ringkasan!I104</f>
        <v>2.4</v>
      </c>
      <c r="J105" s="19">
        <f>Ringkasan!J104</f>
        <v>17.6</v>
      </c>
      <c r="K105" s="19">
        <f>Ringkasan!K104</f>
        <v>7.7</v>
      </c>
      <c r="L105" s="19">
        <f>Ringkasan!L104</f>
        <v>1.3</v>
      </c>
      <c r="M105" s="19">
        <f>Ringkasan!M104</f>
        <v>10</v>
      </c>
      <c r="N105" s="64" t="str">
        <f>Ringkasan!N104</f>
        <v/>
      </c>
      <c r="O105" s="64" t="str">
        <f>Ringkasan!O104</f>
        <v/>
      </c>
      <c r="P105" s="64" t="str">
        <f>Ringkasan!P104</f>
        <v/>
      </c>
      <c r="Q105" s="64" t="str">
        <f>Ringkasan!Q104</f>
        <v/>
      </c>
      <c r="R105" s="64" t="str">
        <f>Ringkasan!R104</f>
        <v/>
      </c>
      <c r="S105" s="64" t="str">
        <f>Ringkasan!S104</f>
        <v/>
      </c>
      <c r="T105" s="64" t="str">
        <f>Ringkasan!T104</f>
        <v/>
      </c>
      <c r="U105" s="64">
        <f>Ringkasan!U104</f>
        <v>1335</v>
      </c>
      <c r="V105" s="64">
        <f>Ringkasan!V104</f>
        <v>3</v>
      </c>
      <c r="W105" s="64">
        <f>Ringkasan!W104</f>
        <v>1340</v>
      </c>
      <c r="X105" s="64">
        <f>Ringkasan!X104</f>
        <v>1415</v>
      </c>
      <c r="Y105" s="64">
        <f>Ringkasan!Y104</f>
        <v>1325</v>
      </c>
      <c r="Z105" s="64">
        <f>Ringkasan!Z104</f>
        <v>91250600</v>
      </c>
      <c r="AA105" s="64" t="str">
        <f>Ringkasan!AA104</f>
        <v>Food &amp; Staples Retailing</v>
      </c>
      <c r="AB105" s="64" t="str">
        <f>Ringkasan!AB104</f>
        <v>Consumer Non-Cyclicals</v>
      </c>
    </row>
    <row r="106" hidden="1">
      <c r="A106" s="64" t="str">
        <f>Ringkasan!A105</f>
        <v>AMRT</v>
      </c>
      <c r="B106" s="64" t="str">
        <f>Ringkasan!B105</f>
        <v>Sumber Alfaria Trijaya Tbk.</v>
      </c>
      <c r="C106" s="65">
        <f>Ringkasan!C105</f>
        <v>1375</v>
      </c>
      <c r="D106" s="64" t="str">
        <f>Ringkasan!D105</f>
        <v>#N/A</v>
      </c>
      <c r="E106" s="64" t="str">
        <f>Ringkasan!E105</f>
        <v>BISNIS-27</v>
      </c>
      <c r="F106" s="64" t="str">
        <f>Ringkasan!F105</f>
        <v>30 Oktober 2026</v>
      </c>
      <c r="G106" s="64">
        <f>Ringkasan!G105</f>
        <v>10</v>
      </c>
      <c r="H106" s="19">
        <f>Ringkasan!H105</f>
        <v>13.6</v>
      </c>
      <c r="I106" s="19">
        <f>Ringkasan!I105</f>
        <v>2.4</v>
      </c>
      <c r="J106" s="19">
        <f>Ringkasan!J105</f>
        <v>17.6</v>
      </c>
      <c r="K106" s="19">
        <f>Ringkasan!K105</f>
        <v>7.7</v>
      </c>
      <c r="L106" s="19">
        <f>Ringkasan!L105</f>
        <v>1.3</v>
      </c>
      <c r="M106" s="19">
        <f>Ringkasan!M105</f>
        <v>10</v>
      </c>
      <c r="N106" s="64" t="str">
        <f>Ringkasan!N105</f>
        <v/>
      </c>
      <c r="O106" s="64" t="str">
        <f>Ringkasan!O105</f>
        <v/>
      </c>
      <c r="P106" s="64" t="str">
        <f>Ringkasan!P105</f>
        <v/>
      </c>
      <c r="Q106" s="64" t="str">
        <f>Ringkasan!Q105</f>
        <v/>
      </c>
      <c r="R106" s="64" t="str">
        <f>Ringkasan!R105</f>
        <v/>
      </c>
      <c r="S106" s="64" t="str">
        <f>Ringkasan!S105</f>
        <v/>
      </c>
      <c r="T106" s="64" t="str">
        <f>Ringkasan!T105</f>
        <v/>
      </c>
      <c r="U106" s="64">
        <f>Ringkasan!U105</f>
        <v>1335</v>
      </c>
      <c r="V106" s="64">
        <f>Ringkasan!V105</f>
        <v>3</v>
      </c>
      <c r="W106" s="64">
        <f>Ringkasan!W105</f>
        <v>1340</v>
      </c>
      <c r="X106" s="64">
        <f>Ringkasan!X105</f>
        <v>1415</v>
      </c>
      <c r="Y106" s="64">
        <f>Ringkasan!Y105</f>
        <v>1325</v>
      </c>
      <c r="Z106" s="64">
        <f>Ringkasan!Z105</f>
        <v>91250600</v>
      </c>
      <c r="AA106" s="64" t="str">
        <f>Ringkasan!AA105</f>
        <v>Food &amp; Staples Retailing</v>
      </c>
      <c r="AB106" s="64" t="str">
        <f>Ringkasan!AB105</f>
        <v>Consumer Non-Cyclicals</v>
      </c>
    </row>
    <row r="107" hidden="1">
      <c r="A107" s="64" t="str">
        <f>Ringkasan!A106</f>
        <v>AMRT</v>
      </c>
      <c r="B107" s="64" t="str">
        <f>Ringkasan!B106</f>
        <v>Sumber Alfaria Trijaya Tbk.</v>
      </c>
      <c r="C107" s="65">
        <f>Ringkasan!C106</f>
        <v>1375</v>
      </c>
      <c r="D107" s="64" t="str">
        <f>Ringkasan!D106</f>
        <v>#N/A</v>
      </c>
      <c r="E107" s="64" t="str">
        <f>Ringkasan!E106</f>
        <v>IDX30</v>
      </c>
      <c r="F107" s="64" t="str">
        <f>Ringkasan!F106</f>
        <v>31 Juli 2026</v>
      </c>
      <c r="G107" s="64">
        <f>Ringkasan!G106</f>
        <v>10</v>
      </c>
      <c r="H107" s="19">
        <f>Ringkasan!H106</f>
        <v>13.6</v>
      </c>
      <c r="I107" s="19">
        <f>Ringkasan!I106</f>
        <v>2.4</v>
      </c>
      <c r="J107" s="19">
        <f>Ringkasan!J106</f>
        <v>17.6</v>
      </c>
      <c r="K107" s="19">
        <f>Ringkasan!K106</f>
        <v>7.7</v>
      </c>
      <c r="L107" s="19">
        <f>Ringkasan!L106</f>
        <v>1.3</v>
      </c>
      <c r="M107" s="19">
        <f>Ringkasan!M106</f>
        <v>10</v>
      </c>
      <c r="N107" s="64" t="str">
        <f>Ringkasan!N106</f>
        <v/>
      </c>
      <c r="O107" s="64" t="str">
        <f>Ringkasan!O106</f>
        <v/>
      </c>
      <c r="P107" s="64" t="str">
        <f>Ringkasan!P106</f>
        <v/>
      </c>
      <c r="Q107" s="64" t="str">
        <f>Ringkasan!Q106</f>
        <v/>
      </c>
      <c r="R107" s="64" t="str">
        <f>Ringkasan!R106</f>
        <v/>
      </c>
      <c r="S107" s="64" t="str">
        <f>Ringkasan!S106</f>
        <v/>
      </c>
      <c r="T107" s="64" t="str">
        <f>Ringkasan!T106</f>
        <v/>
      </c>
      <c r="U107" s="64">
        <f>Ringkasan!U106</f>
        <v>1335</v>
      </c>
      <c r="V107" s="64">
        <f>Ringkasan!V106</f>
        <v>3</v>
      </c>
      <c r="W107" s="64">
        <f>Ringkasan!W106</f>
        <v>1340</v>
      </c>
      <c r="X107" s="64">
        <f>Ringkasan!X106</f>
        <v>1415</v>
      </c>
      <c r="Y107" s="64">
        <f>Ringkasan!Y106</f>
        <v>1325</v>
      </c>
      <c r="Z107" s="64">
        <f>Ringkasan!Z106</f>
        <v>91250600</v>
      </c>
      <c r="AA107" s="64" t="str">
        <f>Ringkasan!AA106</f>
        <v>Food &amp; Staples Retailing</v>
      </c>
      <c r="AB107" s="64" t="str">
        <f>Ringkasan!AB106</f>
        <v>Consumer Non-Cyclicals</v>
      </c>
    </row>
    <row r="108" hidden="1">
      <c r="A108" s="64" t="str">
        <f>Ringkasan!A107</f>
        <v>AMRT</v>
      </c>
      <c r="B108" s="64" t="str">
        <f>Ringkasan!B107</f>
        <v>Sumber Alfaria Trijaya Tbk.</v>
      </c>
      <c r="C108" s="65">
        <f>Ringkasan!C107</f>
        <v>1375</v>
      </c>
      <c r="D108" s="64" t="str">
        <f>Ringkasan!D107</f>
        <v>#N/A</v>
      </c>
      <c r="E108" s="64" t="str">
        <f>Ringkasan!E107</f>
        <v>LQ45</v>
      </c>
      <c r="F108" s="64" t="str">
        <f>Ringkasan!F107</f>
        <v>31 Juli 2026</v>
      </c>
      <c r="G108" s="64">
        <f>Ringkasan!G107</f>
        <v>10</v>
      </c>
      <c r="H108" s="19">
        <f>Ringkasan!H107</f>
        <v>13.6</v>
      </c>
      <c r="I108" s="19">
        <f>Ringkasan!I107</f>
        <v>2.4</v>
      </c>
      <c r="J108" s="19">
        <f>Ringkasan!J107</f>
        <v>17.6</v>
      </c>
      <c r="K108" s="19">
        <f>Ringkasan!K107</f>
        <v>7.7</v>
      </c>
      <c r="L108" s="19">
        <f>Ringkasan!L107</f>
        <v>1.3</v>
      </c>
      <c r="M108" s="19">
        <f>Ringkasan!M107</f>
        <v>10</v>
      </c>
      <c r="N108" s="64" t="str">
        <f>Ringkasan!N107</f>
        <v/>
      </c>
      <c r="O108" s="64" t="str">
        <f>Ringkasan!O107</f>
        <v/>
      </c>
      <c r="P108" s="64" t="str">
        <f>Ringkasan!P107</f>
        <v/>
      </c>
      <c r="Q108" s="64" t="str">
        <f>Ringkasan!Q107</f>
        <v/>
      </c>
      <c r="R108" s="64" t="str">
        <f>Ringkasan!R107</f>
        <v/>
      </c>
      <c r="S108" s="64" t="str">
        <f>Ringkasan!S107</f>
        <v/>
      </c>
      <c r="T108" s="64" t="str">
        <f>Ringkasan!T107</f>
        <v/>
      </c>
      <c r="U108" s="64">
        <f>Ringkasan!U107</f>
        <v>1335</v>
      </c>
      <c r="V108" s="64">
        <f>Ringkasan!V107</f>
        <v>3</v>
      </c>
      <c r="W108" s="64">
        <f>Ringkasan!W107</f>
        <v>1340</v>
      </c>
      <c r="X108" s="64">
        <f>Ringkasan!X107</f>
        <v>1415</v>
      </c>
      <c r="Y108" s="64">
        <f>Ringkasan!Y107</f>
        <v>1325</v>
      </c>
      <c r="Z108" s="64">
        <f>Ringkasan!Z107</f>
        <v>91250600</v>
      </c>
      <c r="AA108" s="64" t="str">
        <f>Ringkasan!AA107</f>
        <v>Food &amp; Staples Retailing</v>
      </c>
      <c r="AB108" s="64" t="str">
        <f>Ringkasan!AB107</f>
        <v>Consumer Non-Cyclicals</v>
      </c>
    </row>
    <row r="109" hidden="1">
      <c r="A109" s="64" t="str">
        <f>Ringkasan!A108</f>
        <v>AMRT</v>
      </c>
      <c r="B109" s="64" t="str">
        <f>Ringkasan!B108</f>
        <v>Sumber Alfaria Trijaya Tbk.</v>
      </c>
      <c r="C109" s="65">
        <f>Ringkasan!C108</f>
        <v>1375</v>
      </c>
      <c r="D109" s="64" t="str">
        <f>Ringkasan!D108</f>
        <v>#N/A</v>
      </c>
      <c r="E109" s="64" t="str">
        <f>Ringkasan!E108</f>
        <v>IDXVESTA28</v>
      </c>
      <c r="F109" s="64" t="str">
        <f>Ringkasan!F108</f>
        <v>31 Agustus 2026</v>
      </c>
      <c r="G109" s="64">
        <f>Ringkasan!G108</f>
        <v>10</v>
      </c>
      <c r="H109" s="19">
        <f>Ringkasan!H108</f>
        <v>13.6</v>
      </c>
      <c r="I109" s="19">
        <f>Ringkasan!I108</f>
        <v>2.4</v>
      </c>
      <c r="J109" s="19">
        <f>Ringkasan!J108</f>
        <v>17.6</v>
      </c>
      <c r="K109" s="19">
        <f>Ringkasan!K108</f>
        <v>7.7</v>
      </c>
      <c r="L109" s="19">
        <f>Ringkasan!L108</f>
        <v>1.3</v>
      </c>
      <c r="M109" s="19">
        <f>Ringkasan!M108</f>
        <v>10</v>
      </c>
      <c r="N109" s="64" t="str">
        <f>Ringkasan!N108</f>
        <v/>
      </c>
      <c r="O109" s="64" t="str">
        <f>Ringkasan!O108</f>
        <v/>
      </c>
      <c r="P109" s="64" t="str">
        <f>Ringkasan!P108</f>
        <v/>
      </c>
      <c r="Q109" s="64" t="str">
        <f>Ringkasan!Q108</f>
        <v/>
      </c>
      <c r="R109" s="64" t="str">
        <f>Ringkasan!R108</f>
        <v/>
      </c>
      <c r="S109" s="64" t="str">
        <f>Ringkasan!S108</f>
        <v/>
      </c>
      <c r="T109" s="64" t="str">
        <f>Ringkasan!T108</f>
        <v/>
      </c>
      <c r="U109" s="64">
        <f>Ringkasan!U108</f>
        <v>1335</v>
      </c>
      <c r="V109" s="64">
        <f>Ringkasan!V108</f>
        <v>3</v>
      </c>
      <c r="W109" s="64">
        <f>Ringkasan!W108</f>
        <v>1340</v>
      </c>
      <c r="X109" s="64">
        <f>Ringkasan!X108</f>
        <v>1415</v>
      </c>
      <c r="Y109" s="64">
        <f>Ringkasan!Y108</f>
        <v>1325</v>
      </c>
      <c r="Z109" s="64">
        <f>Ringkasan!Z108</f>
        <v>91250600</v>
      </c>
      <c r="AA109" s="64" t="str">
        <f>Ringkasan!AA108</f>
        <v>Food &amp; Staples Retailing</v>
      </c>
      <c r="AB109" s="64" t="str">
        <f>Ringkasan!AB108</f>
        <v>Consumer Non-Cyclicals</v>
      </c>
    </row>
    <row r="110" hidden="1">
      <c r="A110" s="64" t="str">
        <f>Ringkasan!A109</f>
        <v>AMRT</v>
      </c>
      <c r="B110" s="64" t="str">
        <f>Ringkasan!B109</f>
        <v>Sumber Alfaria Trijaya Tbk.</v>
      </c>
      <c r="C110" s="65">
        <f>Ringkasan!C109</f>
        <v>1375</v>
      </c>
      <c r="D110" s="64" t="str">
        <f>Ringkasan!D109</f>
        <v>#N/A</v>
      </c>
      <c r="E110" s="64" t="str">
        <f>Ringkasan!E109</f>
        <v>FTSE Large Cap</v>
      </c>
      <c r="F110" s="64" t="str">
        <f>Ringkasan!F109</f>
        <v>Juni 2026</v>
      </c>
      <c r="G110" s="64">
        <f>Ringkasan!G109</f>
        <v>10</v>
      </c>
      <c r="H110" s="19">
        <f>Ringkasan!H109</f>
        <v>13.6</v>
      </c>
      <c r="I110" s="19">
        <f>Ringkasan!I109</f>
        <v>2.4</v>
      </c>
      <c r="J110" s="19">
        <f>Ringkasan!J109</f>
        <v>17.6</v>
      </c>
      <c r="K110" s="19">
        <f>Ringkasan!K109</f>
        <v>7.7</v>
      </c>
      <c r="L110" s="19">
        <f>Ringkasan!L109</f>
        <v>1.3</v>
      </c>
      <c r="M110" s="19">
        <f>Ringkasan!M109</f>
        <v>10</v>
      </c>
      <c r="N110" s="64" t="str">
        <f>Ringkasan!N109</f>
        <v/>
      </c>
      <c r="O110" s="64" t="str">
        <f>Ringkasan!O109</f>
        <v/>
      </c>
      <c r="P110" s="64" t="str">
        <f>Ringkasan!P109</f>
        <v/>
      </c>
      <c r="Q110" s="64" t="str">
        <f>Ringkasan!Q109</f>
        <v/>
      </c>
      <c r="R110" s="64" t="str">
        <f>Ringkasan!R109</f>
        <v/>
      </c>
      <c r="S110" s="64" t="str">
        <f>Ringkasan!S109</f>
        <v/>
      </c>
      <c r="T110" s="64" t="str">
        <f>Ringkasan!T109</f>
        <v/>
      </c>
      <c r="U110" s="64">
        <f>Ringkasan!U109</f>
        <v>1335</v>
      </c>
      <c r="V110" s="64">
        <f>Ringkasan!V109</f>
        <v>3</v>
      </c>
      <c r="W110" s="64">
        <f>Ringkasan!W109</f>
        <v>1340</v>
      </c>
      <c r="X110" s="64">
        <f>Ringkasan!X109</f>
        <v>1415</v>
      </c>
      <c r="Y110" s="64">
        <f>Ringkasan!Y109</f>
        <v>1325</v>
      </c>
      <c r="Z110" s="64">
        <f>Ringkasan!Z109</f>
        <v>91250600</v>
      </c>
      <c r="AA110" s="64" t="str">
        <f>Ringkasan!AA109</f>
        <v>Food &amp; Staples Retailing</v>
      </c>
      <c r="AB110" s="64" t="str">
        <f>Ringkasan!AB109</f>
        <v>Consumer Non-Cyclicals</v>
      </c>
    </row>
    <row r="111" hidden="1">
      <c r="A111" s="64" t="str">
        <f>Ringkasan!A110</f>
        <v>AMRT</v>
      </c>
      <c r="B111" s="64" t="str">
        <f>Ringkasan!B110</f>
        <v>Sumber Alfaria Trijaya Tbk.</v>
      </c>
      <c r="C111" s="65">
        <f>Ringkasan!C110</f>
        <v>1375</v>
      </c>
      <c r="D111" s="64" t="str">
        <f>Ringkasan!D110</f>
        <v>#N/A</v>
      </c>
      <c r="E111" s="64" t="str">
        <f>Ringkasan!E110</f>
        <v>MSCI Small Cap</v>
      </c>
      <c r="F111" s="64" t="str">
        <f>Ringkasan!F110</f>
        <v>12 Agustus 2026</v>
      </c>
      <c r="G111" s="64">
        <f>Ringkasan!G110</f>
        <v>10</v>
      </c>
      <c r="H111" s="19">
        <f>Ringkasan!H110</f>
        <v>13.6</v>
      </c>
      <c r="I111" s="19">
        <f>Ringkasan!I110</f>
        <v>2.4</v>
      </c>
      <c r="J111" s="19">
        <f>Ringkasan!J110</f>
        <v>17.6</v>
      </c>
      <c r="K111" s="19">
        <f>Ringkasan!K110</f>
        <v>7.7</v>
      </c>
      <c r="L111" s="19">
        <f>Ringkasan!L110</f>
        <v>1.3</v>
      </c>
      <c r="M111" s="19">
        <f>Ringkasan!M110</f>
        <v>10</v>
      </c>
      <c r="N111" s="64" t="str">
        <f>Ringkasan!N110</f>
        <v/>
      </c>
      <c r="O111" s="64" t="str">
        <f>Ringkasan!O110</f>
        <v/>
      </c>
      <c r="P111" s="64" t="str">
        <f>Ringkasan!P110</f>
        <v/>
      </c>
      <c r="Q111" s="64" t="str">
        <f>Ringkasan!Q110</f>
        <v/>
      </c>
      <c r="R111" s="64" t="str">
        <f>Ringkasan!R110</f>
        <v/>
      </c>
      <c r="S111" s="64" t="str">
        <f>Ringkasan!S110</f>
        <v/>
      </c>
      <c r="T111" s="64" t="str">
        <f>Ringkasan!T110</f>
        <v/>
      </c>
      <c r="U111" s="64">
        <f>Ringkasan!U110</f>
        <v>1335</v>
      </c>
      <c r="V111" s="64">
        <f>Ringkasan!V110</f>
        <v>3</v>
      </c>
      <c r="W111" s="64">
        <f>Ringkasan!W110</f>
        <v>1340</v>
      </c>
      <c r="X111" s="64">
        <f>Ringkasan!X110</f>
        <v>1415</v>
      </c>
      <c r="Y111" s="64">
        <f>Ringkasan!Y110</f>
        <v>1325</v>
      </c>
      <c r="Z111" s="64">
        <f>Ringkasan!Z110</f>
        <v>91250600</v>
      </c>
      <c r="AA111" s="64" t="str">
        <f>Ringkasan!AA110</f>
        <v>Food &amp; Staples Retailing</v>
      </c>
      <c r="AB111" s="64" t="str">
        <f>Ringkasan!AB110</f>
        <v>Consumer Non-Cyclicals</v>
      </c>
    </row>
    <row r="112" hidden="1">
      <c r="A112" s="64" t="str">
        <f>Ringkasan!A111</f>
        <v>AMRT</v>
      </c>
      <c r="B112" s="64" t="str">
        <f>Ringkasan!B111</f>
        <v>Sumber Alfaria Trijaya Tbk.</v>
      </c>
      <c r="C112" s="65">
        <f>Ringkasan!C111</f>
        <v>1375</v>
      </c>
      <c r="D112" s="64" t="str">
        <f>Ringkasan!D111</f>
        <v>#N/A</v>
      </c>
      <c r="E112" s="64" t="str">
        <f>Ringkasan!E111</f>
        <v>Investor33</v>
      </c>
      <c r="F112" s="66">
        <f>Ringkasan!F111</f>
        <v>46356</v>
      </c>
      <c r="G112" s="64">
        <f>Ringkasan!G111</f>
        <v>10</v>
      </c>
      <c r="H112" s="19">
        <f>Ringkasan!H111</f>
        <v>13.6</v>
      </c>
      <c r="I112" s="19">
        <f>Ringkasan!I111</f>
        <v>2.4</v>
      </c>
      <c r="J112" s="19">
        <f>Ringkasan!J111</f>
        <v>17.6</v>
      </c>
      <c r="K112" s="19">
        <f>Ringkasan!K111</f>
        <v>7.7</v>
      </c>
      <c r="L112" s="19">
        <f>Ringkasan!L111</f>
        <v>1.3</v>
      </c>
      <c r="M112" s="19">
        <f>Ringkasan!M111</f>
        <v>10</v>
      </c>
      <c r="N112" s="64" t="str">
        <f>Ringkasan!N111</f>
        <v/>
      </c>
      <c r="O112" s="64" t="str">
        <f>Ringkasan!O111</f>
        <v/>
      </c>
      <c r="P112" s="64" t="str">
        <f>Ringkasan!P111</f>
        <v/>
      </c>
      <c r="Q112" s="64" t="str">
        <f>Ringkasan!Q111</f>
        <v/>
      </c>
      <c r="R112" s="64" t="str">
        <f>Ringkasan!R111</f>
        <v/>
      </c>
      <c r="S112" s="64" t="str">
        <f>Ringkasan!S111</f>
        <v/>
      </c>
      <c r="T112" s="64" t="str">
        <f>Ringkasan!T111</f>
        <v/>
      </c>
      <c r="U112" s="64">
        <f>Ringkasan!U111</f>
        <v>1335</v>
      </c>
      <c r="V112" s="64">
        <f>Ringkasan!V111</f>
        <v>3</v>
      </c>
      <c r="W112" s="64">
        <f>Ringkasan!W111</f>
        <v>1340</v>
      </c>
      <c r="X112" s="64">
        <f>Ringkasan!X111</f>
        <v>1415</v>
      </c>
      <c r="Y112" s="64">
        <f>Ringkasan!Y111</f>
        <v>1325</v>
      </c>
      <c r="Z112" s="64">
        <f>Ringkasan!Z111</f>
        <v>91250600</v>
      </c>
      <c r="AA112" s="64" t="str">
        <f>Ringkasan!AA111</f>
        <v>Food &amp; Staples Retailing</v>
      </c>
      <c r="AB112" s="64" t="str">
        <f>Ringkasan!AB111</f>
        <v>Consumer Non-Cyclicals</v>
      </c>
    </row>
    <row r="113" hidden="1">
      <c r="A113" s="64" t="str">
        <f>Ringkasan!A580</f>
        <v>DART</v>
      </c>
      <c r="B113" s="64" t="str">
        <f>Ringkasan!B580</f>
        <v>Duta Anggada Realty Tbk.</v>
      </c>
      <c r="C113" s="65">
        <f>Ringkasan!C580</f>
        <v>119</v>
      </c>
      <c r="D113" s="64" t="str">
        <f>Ringkasan!D580</f>
        <v>#N/A</v>
      </c>
      <c r="E113" s="64" t="str">
        <f>Ringkasan!E580</f>
        <v/>
      </c>
      <c r="F113" s="64" t="str">
        <f>Ringkasan!F580</f>
        <v/>
      </c>
      <c r="G113" s="64">
        <f>Ringkasan!G580</f>
        <v>0</v>
      </c>
      <c r="H113" s="19">
        <f>Ringkasan!H580</f>
        <v>-1.6</v>
      </c>
      <c r="I113" s="19">
        <f>Ringkasan!I580</f>
        <v>0.35</v>
      </c>
      <c r="J113" s="19">
        <f>Ringkasan!J580</f>
        <v>-22.7</v>
      </c>
      <c r="K113" s="19">
        <f>Ringkasan!K580</f>
        <v>-4.2</v>
      </c>
      <c r="L113" s="19">
        <f>Ringkasan!L580</f>
        <v>4.4</v>
      </c>
      <c r="M113" s="19">
        <f>Ringkasan!M580</f>
        <v>-210</v>
      </c>
      <c r="N113" s="64" t="str">
        <f>Ringkasan!N580</f>
        <v/>
      </c>
      <c r="O113" s="64" t="str">
        <f>Ringkasan!O580</f>
        <v/>
      </c>
      <c r="P113" s="64" t="str">
        <f>Ringkasan!P580</f>
        <v/>
      </c>
      <c r="Q113" s="64" t="str">
        <f>Ringkasan!Q580</f>
        <v/>
      </c>
      <c r="R113" s="64" t="str">
        <f>Ringkasan!R580</f>
        <v/>
      </c>
      <c r="S113" s="64" t="str">
        <f>Ringkasan!S580</f>
        <v/>
      </c>
      <c r="T113" s="64" t="str">
        <f>Ringkasan!T580</f>
        <v/>
      </c>
      <c r="U113" s="64">
        <f>Ringkasan!U580</f>
        <v>115</v>
      </c>
      <c r="V113" s="64">
        <f>Ringkasan!V580</f>
        <v>3.48</v>
      </c>
      <c r="W113" s="64">
        <f>Ringkasan!W580</f>
        <v>119</v>
      </c>
      <c r="X113" s="64">
        <f>Ringkasan!X580</f>
        <v>120</v>
      </c>
      <c r="Y113" s="64">
        <f>Ringkasan!Y580</f>
        <v>113</v>
      </c>
      <c r="Z113" s="64" t="str">
        <f>Ringkasan!Z580</f>
        <v/>
      </c>
      <c r="AA113" s="64" t="str">
        <f>Ringkasan!AA580</f>
        <v>Real Estate Management &amp; Development</v>
      </c>
      <c r="AB113" s="64" t="str">
        <f>Ringkasan!AB580</f>
        <v>Properties &amp; Real Estate</v>
      </c>
    </row>
    <row r="114" hidden="1">
      <c r="A114" s="64" t="str">
        <f>Ringkasan!A113</f>
        <v>ANJT</v>
      </c>
      <c r="B114" s="64" t="str">
        <f>Ringkasan!B113</f>
        <v>PT Austindo Nusantara Jaya Tbk.</v>
      </c>
      <c r="C114" s="65">
        <f>Ringkasan!C113</f>
        <v>1500</v>
      </c>
      <c r="D114" s="64" t="str">
        <f>Ringkasan!D113</f>
        <v>#N/A</v>
      </c>
      <c r="E114" s="64" t="str">
        <f>Ringkasan!E113</f>
        <v/>
      </c>
      <c r="F114" s="64" t="str">
        <f>Ringkasan!F113</f>
        <v/>
      </c>
      <c r="G114" s="64">
        <f>Ringkasan!G113</f>
        <v>0</v>
      </c>
      <c r="H114" s="19">
        <f>Ringkasan!H113</f>
        <v>10.5</v>
      </c>
      <c r="I114" s="19">
        <f>Ringkasan!I113</f>
        <v>0.82</v>
      </c>
      <c r="J114" s="19">
        <f>Ringkasan!J113</f>
        <v>7.9</v>
      </c>
      <c r="K114" s="19">
        <f>Ringkasan!K113</f>
        <v>5.4</v>
      </c>
      <c r="L114" s="19">
        <f>Ringkasan!L113</f>
        <v>0.45</v>
      </c>
      <c r="M114" s="19">
        <f>Ringkasan!M113</f>
        <v>17.2</v>
      </c>
      <c r="N114" s="64" t="str">
        <f>Ringkasan!N113</f>
        <v/>
      </c>
      <c r="O114" s="64" t="str">
        <f>Ringkasan!O113</f>
        <v/>
      </c>
      <c r="P114" s="64" t="str">
        <f>Ringkasan!P113</f>
        <v/>
      </c>
      <c r="Q114" s="64" t="str">
        <f>Ringkasan!Q113</f>
        <v/>
      </c>
      <c r="R114" s="64" t="str">
        <f>Ringkasan!R113</f>
        <v/>
      </c>
      <c r="S114" s="64" t="str">
        <f>Ringkasan!S113</f>
        <v/>
      </c>
      <c r="T114" s="64" t="str">
        <f>Ringkasan!T113</f>
        <v/>
      </c>
      <c r="U114" s="64">
        <f>Ringkasan!U113</f>
        <v>1450</v>
      </c>
      <c r="V114" s="64">
        <f>Ringkasan!V113</f>
        <v>3.45</v>
      </c>
      <c r="W114" s="64">
        <f>Ringkasan!W113</f>
        <v>1350</v>
      </c>
      <c r="X114" s="64">
        <f>Ringkasan!X113</f>
        <v>1510</v>
      </c>
      <c r="Y114" s="64">
        <f>Ringkasan!Y113</f>
        <v>1350</v>
      </c>
      <c r="Z114" s="64">
        <f>Ringkasan!Z113</f>
        <v>110900</v>
      </c>
      <c r="AA114" s="64" t="str">
        <f>Ringkasan!AA113</f>
        <v>Agricultural Products</v>
      </c>
      <c r="AB114" s="64" t="str">
        <f>Ringkasan!AB113</f>
        <v>Consumer Non-Cyclicals</v>
      </c>
    </row>
    <row r="115" hidden="1">
      <c r="A115" s="64" t="str">
        <f>Ringkasan!A608</f>
        <v>DMND</v>
      </c>
      <c r="B115" s="64" t="str">
        <f>Ringkasan!B608</f>
        <v>Diamond Food Indonesia Tbk.</v>
      </c>
      <c r="C115" s="65">
        <f>Ringkasan!C608</f>
        <v>615</v>
      </c>
      <c r="D115" s="64" t="str">
        <f>Ringkasan!D608</f>
        <v>#N/A</v>
      </c>
      <c r="E115" s="64" t="str">
        <f>Ringkasan!E608</f>
        <v/>
      </c>
      <c r="F115" s="64" t="str">
        <f>Ringkasan!F608</f>
        <v/>
      </c>
      <c r="G115" s="64">
        <f>Ringkasan!G608</f>
        <v>0</v>
      </c>
      <c r="H115" s="19">
        <f>Ringkasan!H608</f>
        <v>12.8</v>
      </c>
      <c r="I115" s="19">
        <f>Ringkasan!I608</f>
        <v>0.87</v>
      </c>
      <c r="J115" s="19">
        <f>Ringkasan!J608</f>
        <v>6.8</v>
      </c>
      <c r="K115" s="19">
        <f>Ringkasan!K608</f>
        <v>5.4</v>
      </c>
      <c r="L115" s="19">
        <f>Ringkasan!L608</f>
        <v>0.25</v>
      </c>
      <c r="M115" s="19">
        <f>Ringkasan!M608</f>
        <v>14.3</v>
      </c>
      <c r="N115" s="64" t="str">
        <f>Ringkasan!N608</f>
        <v/>
      </c>
      <c r="O115" s="64" t="str">
        <f>Ringkasan!O608</f>
        <v/>
      </c>
      <c r="P115" s="64" t="str">
        <f>Ringkasan!P608</f>
        <v/>
      </c>
      <c r="Q115" s="64" t="str">
        <f>Ringkasan!Q608</f>
        <v/>
      </c>
      <c r="R115" s="64" t="str">
        <f>Ringkasan!R608</f>
        <v/>
      </c>
      <c r="S115" s="64" t="str">
        <f>Ringkasan!S608</f>
        <v/>
      </c>
      <c r="T115" s="64" t="str">
        <f>Ringkasan!T608</f>
        <v/>
      </c>
      <c r="U115" s="64" t="str">
        <f>Ringkasan!U608</f>
        <v/>
      </c>
      <c r="V115" s="64">
        <f>Ringkasan!V608</f>
        <v>0.82</v>
      </c>
      <c r="W115" s="64">
        <f>Ringkasan!W608</f>
        <v>610</v>
      </c>
      <c r="X115" s="64">
        <f>Ringkasan!X608</f>
        <v>615</v>
      </c>
      <c r="Y115" s="64">
        <f>Ringkasan!Y608</f>
        <v>580</v>
      </c>
      <c r="Z115" s="64">
        <f>Ringkasan!Z608</f>
        <v>25800</v>
      </c>
      <c r="AA115" s="64" t="str">
        <f>Ringkasan!AA608</f>
        <v>Food &amp; Staples Retailing</v>
      </c>
      <c r="AB115" s="64" t="str">
        <f>Ringkasan!AB608</f>
        <v>Consumer Non-Cyclicals</v>
      </c>
    </row>
    <row r="116" hidden="1">
      <c r="A116" s="64" t="str">
        <f>Ringkasan!A115</f>
        <v>ANTM</v>
      </c>
      <c r="B116" s="64" t="str">
        <f>Ringkasan!B115</f>
        <v>Aneka Tambang Tbk.</v>
      </c>
      <c r="C116" s="65">
        <f>Ringkasan!C115</f>
        <v>2850</v>
      </c>
      <c r="D116" s="64" t="str">
        <f>Ringkasan!D115</f>
        <v>#N/A</v>
      </c>
      <c r="E116" s="64" t="str">
        <f>Ringkasan!E115</f>
        <v>IDXHIDIV20</v>
      </c>
      <c r="F116" s="64" t="str">
        <f>Ringkasan!F115</f>
        <v>2 Februari 2027</v>
      </c>
      <c r="G116" s="65">
        <f>Ringkasan!G115</f>
        <v>19</v>
      </c>
      <c r="H116" s="19">
        <f>Ringkasan!H115</f>
        <v>8.2</v>
      </c>
      <c r="I116" s="19">
        <f>Ringkasan!I115</f>
        <v>1.7</v>
      </c>
      <c r="J116" s="19">
        <f>Ringkasan!J115</f>
        <v>21</v>
      </c>
      <c r="K116" s="19">
        <f>Ringkasan!K115</f>
        <v>13.4</v>
      </c>
      <c r="L116" s="19">
        <f>Ringkasan!L115</f>
        <v>0.57</v>
      </c>
      <c r="M116" s="19">
        <f>Ringkasan!M115</f>
        <v>28.9</v>
      </c>
      <c r="N116" s="64" t="str">
        <f>Ringkasan!N115</f>
        <v/>
      </c>
      <c r="O116" s="64" t="str">
        <f>Ringkasan!O115</f>
        <v/>
      </c>
      <c r="P116" s="64" t="str">
        <f>Ringkasan!P115</f>
        <v/>
      </c>
      <c r="Q116" s="64" t="str">
        <f>Ringkasan!Q115</f>
        <v/>
      </c>
      <c r="R116" s="64" t="str">
        <f>Ringkasan!R115</f>
        <v/>
      </c>
      <c r="S116" s="64" t="str">
        <f>Ringkasan!S115</f>
        <v/>
      </c>
      <c r="T116" s="64" t="str">
        <f>Ringkasan!T115</f>
        <v/>
      </c>
      <c r="U116" s="64">
        <f>Ringkasan!U115</f>
        <v>2720</v>
      </c>
      <c r="V116" s="64">
        <f>Ringkasan!V115</f>
        <v>4.78</v>
      </c>
      <c r="W116" s="64">
        <f>Ringkasan!W115</f>
        <v>2800</v>
      </c>
      <c r="X116" s="64">
        <f>Ringkasan!X115</f>
        <v>2910</v>
      </c>
      <c r="Y116" s="64">
        <f>Ringkasan!Y115</f>
        <v>2760</v>
      </c>
      <c r="Z116" s="64">
        <f>Ringkasan!Z115</f>
        <v>174808500</v>
      </c>
      <c r="AA116" s="64" t="str">
        <f>Ringkasan!AA115</f>
        <v>Metals &amp; Minerals</v>
      </c>
      <c r="AB116" s="64" t="str">
        <f>Ringkasan!AB115</f>
        <v>Basic Materials</v>
      </c>
    </row>
    <row r="117" hidden="1">
      <c r="A117" s="64" t="str">
        <f>Ringkasan!A627</f>
        <v>DSNG</v>
      </c>
      <c r="B117" s="64" t="str">
        <f>Ringkasan!B627</f>
        <v>PT Dharma Satya Nusantara Tbk.</v>
      </c>
      <c r="C117" s="65">
        <f>Ringkasan!C627</f>
        <v>1145</v>
      </c>
      <c r="D117" s="64" t="str">
        <f>Ringkasan!D627</f>
        <v>#N/A</v>
      </c>
      <c r="E117" s="64" t="str">
        <f>Ringkasan!E627</f>
        <v>IDXSMC-LIQ</v>
      </c>
      <c r="F117" s="64" t="str">
        <f>Ringkasan!F627</f>
        <v>4 Agustus 2026</v>
      </c>
      <c r="G117" s="65">
        <f>Ringkasan!G627</f>
        <v>12</v>
      </c>
      <c r="H117" s="19">
        <f>Ringkasan!H627</f>
        <v>6.6</v>
      </c>
      <c r="I117" s="19">
        <f>Ringkasan!I627</f>
        <v>1.1</v>
      </c>
      <c r="J117" s="19">
        <f>Ringkasan!J627</f>
        <v>15.8</v>
      </c>
      <c r="K117" s="19">
        <f>Ringkasan!K627</f>
        <v>10.7</v>
      </c>
      <c r="L117" s="19">
        <f>Ringkasan!L627</f>
        <v>0.47</v>
      </c>
      <c r="M117" s="19">
        <f>Ringkasan!M627</f>
        <v>65.9</v>
      </c>
      <c r="N117" s="64" t="str">
        <f>Ringkasan!N627</f>
        <v/>
      </c>
      <c r="O117" s="64" t="str">
        <f>Ringkasan!O627</f>
        <v/>
      </c>
      <c r="P117" s="64" t="str">
        <f>Ringkasan!P627</f>
        <v/>
      </c>
      <c r="Q117" s="64" t="str">
        <f>Ringkasan!Q627</f>
        <v/>
      </c>
      <c r="R117" s="64" t="str">
        <f>Ringkasan!R627</f>
        <v/>
      </c>
      <c r="S117" s="64" t="str">
        <f>Ringkasan!S627</f>
        <v/>
      </c>
      <c r="T117" s="64" t="str">
        <f>Ringkasan!T627</f>
        <v/>
      </c>
      <c r="U117" s="64">
        <f>Ringkasan!U627</f>
        <v>1095</v>
      </c>
      <c r="V117" s="64">
        <f>Ringkasan!V627</f>
        <v>4.57</v>
      </c>
      <c r="W117" s="64">
        <f>Ringkasan!W627</f>
        <v>1105</v>
      </c>
      <c r="X117" s="64">
        <f>Ringkasan!X627</f>
        <v>1170</v>
      </c>
      <c r="Y117" s="64">
        <f>Ringkasan!Y627</f>
        <v>1100</v>
      </c>
      <c r="Z117" s="64">
        <f>Ringkasan!Z627</f>
        <v>7343000</v>
      </c>
      <c r="AA117" s="64" t="str">
        <f>Ringkasan!AA627</f>
        <v>Agricultural Products</v>
      </c>
      <c r="AB117" s="64" t="str">
        <f>Ringkasan!AB627</f>
        <v>Consumer Non-Cyclicals</v>
      </c>
    </row>
    <row r="118" hidden="1">
      <c r="A118" s="64" t="str">
        <f>Ringkasan!A117</f>
        <v>ANTM</v>
      </c>
      <c r="B118" s="64" t="str">
        <f>Ringkasan!B117</f>
        <v>Aneka Tambang Tbk.</v>
      </c>
      <c r="C118" s="65">
        <f>Ringkasan!C117</f>
        <v>2850</v>
      </c>
      <c r="D118" s="64" t="str">
        <f>Ringkasan!D117</f>
        <v>#N/A</v>
      </c>
      <c r="E118" s="64" t="str">
        <f>Ringkasan!E117</f>
        <v>BISNIS-27</v>
      </c>
      <c r="F118" s="64" t="str">
        <f>Ringkasan!F117</f>
        <v>30 Oktober 2026</v>
      </c>
      <c r="G118" s="65">
        <f>Ringkasan!G117</f>
        <v>19</v>
      </c>
      <c r="H118" s="19">
        <f>Ringkasan!H117</f>
        <v>8.2</v>
      </c>
      <c r="I118" s="19">
        <f>Ringkasan!I117</f>
        <v>1.7</v>
      </c>
      <c r="J118" s="19">
        <f>Ringkasan!J117</f>
        <v>21</v>
      </c>
      <c r="K118" s="19">
        <f>Ringkasan!K117</f>
        <v>13.4</v>
      </c>
      <c r="L118" s="19">
        <f>Ringkasan!L117</f>
        <v>0.57</v>
      </c>
      <c r="M118" s="19">
        <f>Ringkasan!M117</f>
        <v>28.9</v>
      </c>
      <c r="N118" s="64" t="str">
        <f>Ringkasan!N117</f>
        <v/>
      </c>
      <c r="O118" s="64" t="str">
        <f>Ringkasan!O117</f>
        <v/>
      </c>
      <c r="P118" s="64" t="str">
        <f>Ringkasan!P117</f>
        <v/>
      </c>
      <c r="Q118" s="64" t="str">
        <f>Ringkasan!Q117</f>
        <v/>
      </c>
      <c r="R118" s="64" t="str">
        <f>Ringkasan!R117</f>
        <v/>
      </c>
      <c r="S118" s="64" t="str">
        <f>Ringkasan!S117</f>
        <v/>
      </c>
      <c r="T118" s="64" t="str">
        <f>Ringkasan!T117</f>
        <v/>
      </c>
      <c r="U118" s="64">
        <f>Ringkasan!U117</f>
        <v>2720</v>
      </c>
      <c r="V118" s="64">
        <f>Ringkasan!V117</f>
        <v>4.78</v>
      </c>
      <c r="W118" s="64">
        <f>Ringkasan!W117</f>
        <v>2800</v>
      </c>
      <c r="X118" s="64">
        <f>Ringkasan!X117</f>
        <v>2910</v>
      </c>
      <c r="Y118" s="64">
        <f>Ringkasan!Y117</f>
        <v>2760</v>
      </c>
      <c r="Z118" s="64">
        <f>Ringkasan!Z117</f>
        <v>174808500</v>
      </c>
      <c r="AA118" s="64" t="str">
        <f>Ringkasan!AA117</f>
        <v>Metals &amp; Minerals</v>
      </c>
      <c r="AB118" s="64" t="str">
        <f>Ringkasan!AB117</f>
        <v>Basic Materials</v>
      </c>
    </row>
    <row r="119" hidden="1">
      <c r="A119" s="64" t="str">
        <f>Ringkasan!A118</f>
        <v>ANTM</v>
      </c>
      <c r="B119" s="64" t="str">
        <f>Ringkasan!B118</f>
        <v>Aneka Tambang Tbk.</v>
      </c>
      <c r="C119" s="65">
        <f>Ringkasan!C118</f>
        <v>2850</v>
      </c>
      <c r="D119" s="64" t="str">
        <f>Ringkasan!D118</f>
        <v>#N/A</v>
      </c>
      <c r="E119" s="64" t="str">
        <f>Ringkasan!E118</f>
        <v>MNC36</v>
      </c>
      <c r="F119" s="64" t="str">
        <f>Ringkasan!F118</f>
        <v>30 Oktober 2026</v>
      </c>
      <c r="G119" s="65">
        <f>Ringkasan!G118</f>
        <v>19</v>
      </c>
      <c r="H119" s="19">
        <f>Ringkasan!H118</f>
        <v>8.2</v>
      </c>
      <c r="I119" s="19">
        <f>Ringkasan!I118</f>
        <v>1.7</v>
      </c>
      <c r="J119" s="19">
        <f>Ringkasan!J118</f>
        <v>21</v>
      </c>
      <c r="K119" s="19">
        <f>Ringkasan!K118</f>
        <v>13.4</v>
      </c>
      <c r="L119" s="19">
        <f>Ringkasan!L118</f>
        <v>0.57</v>
      </c>
      <c r="M119" s="19">
        <f>Ringkasan!M118</f>
        <v>28.9</v>
      </c>
      <c r="N119" s="64" t="str">
        <f>Ringkasan!N118</f>
        <v/>
      </c>
      <c r="O119" s="64" t="str">
        <f>Ringkasan!O118</f>
        <v/>
      </c>
      <c r="P119" s="64" t="str">
        <f>Ringkasan!P118</f>
        <v/>
      </c>
      <c r="Q119" s="64" t="str">
        <f>Ringkasan!Q118</f>
        <v/>
      </c>
      <c r="R119" s="64" t="str">
        <f>Ringkasan!R118</f>
        <v/>
      </c>
      <c r="S119" s="64" t="str">
        <f>Ringkasan!S118</f>
        <v/>
      </c>
      <c r="T119" s="64" t="str">
        <f>Ringkasan!T118</f>
        <v/>
      </c>
      <c r="U119" s="64">
        <f>Ringkasan!U118</f>
        <v>2720</v>
      </c>
      <c r="V119" s="64">
        <f>Ringkasan!V118</f>
        <v>4.78</v>
      </c>
      <c r="W119" s="64">
        <f>Ringkasan!W118</f>
        <v>2800</v>
      </c>
      <c r="X119" s="64">
        <f>Ringkasan!X118</f>
        <v>2910</v>
      </c>
      <c r="Y119" s="64">
        <f>Ringkasan!Y118</f>
        <v>2760</v>
      </c>
      <c r="Z119" s="64">
        <f>Ringkasan!Z118</f>
        <v>174808500</v>
      </c>
      <c r="AA119" s="64" t="str">
        <f>Ringkasan!AA118</f>
        <v>Metals &amp; Minerals</v>
      </c>
      <c r="AB119" s="64" t="str">
        <f>Ringkasan!AB118</f>
        <v>Basic Materials</v>
      </c>
    </row>
    <row r="120" hidden="1">
      <c r="A120" s="64" t="str">
        <f>Ringkasan!A119</f>
        <v>ANTM</v>
      </c>
      <c r="B120" s="64" t="str">
        <f>Ringkasan!B119</f>
        <v>Aneka Tambang Tbk.</v>
      </c>
      <c r="C120" s="65">
        <f>Ringkasan!C119</f>
        <v>2850</v>
      </c>
      <c r="D120" s="64" t="str">
        <f>Ringkasan!D119</f>
        <v>#N/A</v>
      </c>
      <c r="E120" s="64" t="str">
        <f>Ringkasan!E119</f>
        <v>IDX30</v>
      </c>
      <c r="F120" s="64" t="str">
        <f>Ringkasan!F119</f>
        <v>31 Juli 2026</v>
      </c>
      <c r="G120" s="65">
        <f>Ringkasan!G119</f>
        <v>19</v>
      </c>
      <c r="H120" s="19">
        <f>Ringkasan!H119</f>
        <v>8.2</v>
      </c>
      <c r="I120" s="19">
        <f>Ringkasan!I119</f>
        <v>1.7</v>
      </c>
      <c r="J120" s="19">
        <f>Ringkasan!J119</f>
        <v>21</v>
      </c>
      <c r="K120" s="19">
        <f>Ringkasan!K119</f>
        <v>13.4</v>
      </c>
      <c r="L120" s="19">
        <f>Ringkasan!L119</f>
        <v>0.57</v>
      </c>
      <c r="M120" s="19">
        <f>Ringkasan!M119</f>
        <v>28.9</v>
      </c>
      <c r="N120" s="64" t="str">
        <f>Ringkasan!N119</f>
        <v/>
      </c>
      <c r="O120" s="64" t="str">
        <f>Ringkasan!O119</f>
        <v/>
      </c>
      <c r="P120" s="64" t="str">
        <f>Ringkasan!P119</f>
        <v/>
      </c>
      <c r="Q120" s="64" t="str">
        <f>Ringkasan!Q119</f>
        <v/>
      </c>
      <c r="R120" s="64" t="str">
        <f>Ringkasan!R119</f>
        <v/>
      </c>
      <c r="S120" s="64" t="str">
        <f>Ringkasan!S119</f>
        <v/>
      </c>
      <c r="T120" s="64" t="str">
        <f>Ringkasan!T119</f>
        <v/>
      </c>
      <c r="U120" s="64">
        <f>Ringkasan!U119</f>
        <v>2720</v>
      </c>
      <c r="V120" s="64">
        <f>Ringkasan!V119</f>
        <v>4.78</v>
      </c>
      <c r="W120" s="64">
        <f>Ringkasan!W119</f>
        <v>2800</v>
      </c>
      <c r="X120" s="64">
        <f>Ringkasan!X119</f>
        <v>2910</v>
      </c>
      <c r="Y120" s="64">
        <f>Ringkasan!Y119</f>
        <v>2760</v>
      </c>
      <c r="Z120" s="64">
        <f>Ringkasan!Z119</f>
        <v>174808500</v>
      </c>
      <c r="AA120" s="64" t="str">
        <f>Ringkasan!AA119</f>
        <v>Metals &amp; Minerals</v>
      </c>
      <c r="AB120" s="64" t="str">
        <f>Ringkasan!AB119</f>
        <v>Basic Materials</v>
      </c>
    </row>
    <row r="121" hidden="1">
      <c r="A121" s="64" t="str">
        <f>Ringkasan!A120</f>
        <v>ANTM</v>
      </c>
      <c r="B121" s="64" t="str">
        <f>Ringkasan!B120</f>
        <v>Aneka Tambang Tbk.</v>
      </c>
      <c r="C121" s="65">
        <f>Ringkasan!C120</f>
        <v>2850</v>
      </c>
      <c r="D121" s="64" t="str">
        <f>Ringkasan!D120</f>
        <v>#N/A</v>
      </c>
      <c r="E121" s="64" t="str">
        <f>Ringkasan!E120</f>
        <v>LQ45</v>
      </c>
      <c r="F121" s="64" t="str">
        <f>Ringkasan!F120</f>
        <v>31 Juli 2026</v>
      </c>
      <c r="G121" s="65">
        <f>Ringkasan!G120</f>
        <v>19</v>
      </c>
      <c r="H121" s="19">
        <f>Ringkasan!H120</f>
        <v>8.2</v>
      </c>
      <c r="I121" s="19">
        <f>Ringkasan!I120</f>
        <v>1.7</v>
      </c>
      <c r="J121" s="19">
        <f>Ringkasan!J120</f>
        <v>21</v>
      </c>
      <c r="K121" s="19">
        <f>Ringkasan!K120</f>
        <v>13.4</v>
      </c>
      <c r="L121" s="19">
        <f>Ringkasan!L120</f>
        <v>0.57</v>
      </c>
      <c r="M121" s="19">
        <f>Ringkasan!M120</f>
        <v>28.9</v>
      </c>
      <c r="N121" s="64" t="str">
        <f>Ringkasan!N120</f>
        <v/>
      </c>
      <c r="O121" s="64" t="str">
        <f>Ringkasan!O120</f>
        <v/>
      </c>
      <c r="P121" s="64" t="str">
        <f>Ringkasan!P120</f>
        <v/>
      </c>
      <c r="Q121" s="64" t="str">
        <f>Ringkasan!Q120</f>
        <v/>
      </c>
      <c r="R121" s="64" t="str">
        <f>Ringkasan!R120</f>
        <v/>
      </c>
      <c r="S121" s="64" t="str">
        <f>Ringkasan!S120</f>
        <v/>
      </c>
      <c r="T121" s="64" t="str">
        <f>Ringkasan!T120</f>
        <v/>
      </c>
      <c r="U121" s="64">
        <f>Ringkasan!U120</f>
        <v>2720</v>
      </c>
      <c r="V121" s="64">
        <f>Ringkasan!V120</f>
        <v>4.78</v>
      </c>
      <c r="W121" s="64">
        <f>Ringkasan!W120</f>
        <v>2800</v>
      </c>
      <c r="X121" s="64">
        <f>Ringkasan!X120</f>
        <v>2910</v>
      </c>
      <c r="Y121" s="64">
        <f>Ringkasan!Y120</f>
        <v>2760</v>
      </c>
      <c r="Z121" s="64">
        <f>Ringkasan!Z120</f>
        <v>174808500</v>
      </c>
      <c r="AA121" s="64" t="str">
        <f>Ringkasan!AA120</f>
        <v>Metals &amp; Minerals</v>
      </c>
      <c r="AB121" s="64" t="str">
        <f>Ringkasan!AB120</f>
        <v>Basic Materials</v>
      </c>
    </row>
    <row r="122" hidden="1">
      <c r="A122" s="64" t="str">
        <f>Ringkasan!A121</f>
        <v>ANTM</v>
      </c>
      <c r="B122" s="64" t="str">
        <f>Ringkasan!B121</f>
        <v>Aneka Tambang Tbk.</v>
      </c>
      <c r="C122" s="65">
        <f>Ringkasan!C121</f>
        <v>2850</v>
      </c>
      <c r="D122" s="64" t="str">
        <f>Ringkasan!D121</f>
        <v>#N/A</v>
      </c>
      <c r="E122" s="64" t="str">
        <f>Ringkasan!E121</f>
        <v>ECONOMIC30</v>
      </c>
      <c r="F122" s="64" t="str">
        <f>Ringkasan!F121</f>
        <v>31 Agustus 2026</v>
      </c>
      <c r="G122" s="65">
        <f>Ringkasan!G121</f>
        <v>19</v>
      </c>
      <c r="H122" s="19">
        <f>Ringkasan!H121</f>
        <v>8.2</v>
      </c>
      <c r="I122" s="19">
        <f>Ringkasan!I121</f>
        <v>1.7</v>
      </c>
      <c r="J122" s="19">
        <f>Ringkasan!J121</f>
        <v>21</v>
      </c>
      <c r="K122" s="19">
        <f>Ringkasan!K121</f>
        <v>13.4</v>
      </c>
      <c r="L122" s="19">
        <f>Ringkasan!L121</f>
        <v>0.57</v>
      </c>
      <c r="M122" s="19">
        <f>Ringkasan!M121</f>
        <v>28.9</v>
      </c>
      <c r="N122" s="64" t="str">
        <f>Ringkasan!N121</f>
        <v/>
      </c>
      <c r="O122" s="64" t="str">
        <f>Ringkasan!O121</f>
        <v/>
      </c>
      <c r="P122" s="64" t="str">
        <f>Ringkasan!P121</f>
        <v/>
      </c>
      <c r="Q122" s="64" t="str">
        <f>Ringkasan!Q121</f>
        <v/>
      </c>
      <c r="R122" s="64" t="str">
        <f>Ringkasan!R121</f>
        <v/>
      </c>
      <c r="S122" s="64" t="str">
        <f>Ringkasan!S121</f>
        <v/>
      </c>
      <c r="T122" s="64" t="str">
        <f>Ringkasan!T121</f>
        <v/>
      </c>
      <c r="U122" s="64">
        <f>Ringkasan!U121</f>
        <v>2720</v>
      </c>
      <c r="V122" s="64">
        <f>Ringkasan!V121</f>
        <v>4.78</v>
      </c>
      <c r="W122" s="64">
        <f>Ringkasan!W121</f>
        <v>2800</v>
      </c>
      <c r="X122" s="64">
        <f>Ringkasan!X121</f>
        <v>2910</v>
      </c>
      <c r="Y122" s="64">
        <f>Ringkasan!Y121</f>
        <v>2760</v>
      </c>
      <c r="Z122" s="64">
        <f>Ringkasan!Z121</f>
        <v>174808500</v>
      </c>
      <c r="AA122" s="64" t="str">
        <f>Ringkasan!AA121</f>
        <v>Metals &amp; Minerals</v>
      </c>
      <c r="AB122" s="64" t="str">
        <f>Ringkasan!AB121</f>
        <v>Basic Materials</v>
      </c>
    </row>
    <row r="123" hidden="1">
      <c r="A123" s="64" t="str">
        <f>Ringkasan!A122</f>
        <v>ANTM</v>
      </c>
      <c r="B123" s="64" t="str">
        <f>Ringkasan!B122</f>
        <v>Aneka Tambang Tbk.</v>
      </c>
      <c r="C123" s="65">
        <f>Ringkasan!C122</f>
        <v>2850</v>
      </c>
      <c r="D123" s="64" t="str">
        <f>Ringkasan!D122</f>
        <v>#N/A</v>
      </c>
      <c r="E123" s="64" t="str">
        <f>Ringkasan!E122</f>
        <v>IDXVESTA28</v>
      </c>
      <c r="F123" s="64" t="str">
        <f>Ringkasan!F122</f>
        <v>31 Agustus 2026</v>
      </c>
      <c r="G123" s="65">
        <f>Ringkasan!G122</f>
        <v>19</v>
      </c>
      <c r="H123" s="19">
        <f>Ringkasan!H122</f>
        <v>8.2</v>
      </c>
      <c r="I123" s="19">
        <f>Ringkasan!I122</f>
        <v>1.7</v>
      </c>
      <c r="J123" s="19">
        <f>Ringkasan!J122</f>
        <v>21</v>
      </c>
      <c r="K123" s="19">
        <f>Ringkasan!K122</f>
        <v>13.4</v>
      </c>
      <c r="L123" s="19">
        <f>Ringkasan!L122</f>
        <v>0.57</v>
      </c>
      <c r="M123" s="19">
        <f>Ringkasan!M122</f>
        <v>28.9</v>
      </c>
      <c r="N123" s="64" t="str">
        <f>Ringkasan!N122</f>
        <v/>
      </c>
      <c r="O123" s="64" t="str">
        <f>Ringkasan!O122</f>
        <v/>
      </c>
      <c r="P123" s="64" t="str">
        <f>Ringkasan!P122</f>
        <v/>
      </c>
      <c r="Q123" s="64" t="str">
        <f>Ringkasan!Q122</f>
        <v/>
      </c>
      <c r="R123" s="64" t="str">
        <f>Ringkasan!R122</f>
        <v/>
      </c>
      <c r="S123" s="64" t="str">
        <f>Ringkasan!S122</f>
        <v/>
      </c>
      <c r="T123" s="64" t="str">
        <f>Ringkasan!T122</f>
        <v/>
      </c>
      <c r="U123" s="64">
        <f>Ringkasan!U122</f>
        <v>2720</v>
      </c>
      <c r="V123" s="64">
        <f>Ringkasan!V122</f>
        <v>4.78</v>
      </c>
      <c r="W123" s="64">
        <f>Ringkasan!W122</f>
        <v>2800</v>
      </c>
      <c r="X123" s="64">
        <f>Ringkasan!X122</f>
        <v>2910</v>
      </c>
      <c r="Y123" s="64">
        <f>Ringkasan!Y122</f>
        <v>2760</v>
      </c>
      <c r="Z123" s="64">
        <f>Ringkasan!Z122</f>
        <v>174808500</v>
      </c>
      <c r="AA123" s="64" t="str">
        <f>Ringkasan!AA122</f>
        <v>Metals &amp; Minerals</v>
      </c>
      <c r="AB123" s="64" t="str">
        <f>Ringkasan!AB122</f>
        <v>Basic Materials</v>
      </c>
    </row>
    <row r="124" hidden="1">
      <c r="A124" s="64" t="str">
        <f>Ringkasan!A123</f>
        <v>ANTM</v>
      </c>
      <c r="B124" s="64" t="str">
        <f>Ringkasan!B123</f>
        <v>Aneka Tambang Tbk.</v>
      </c>
      <c r="C124" s="65">
        <f>Ringkasan!C123</f>
        <v>2850</v>
      </c>
      <c r="D124" s="64" t="str">
        <f>Ringkasan!D123</f>
        <v>#N/A</v>
      </c>
      <c r="E124" s="64" t="str">
        <f>Ringkasan!E123</f>
        <v>Kompas100</v>
      </c>
      <c r="F124" s="64" t="str">
        <f>Ringkasan!F123</f>
        <v>31 Juli 2026</v>
      </c>
      <c r="G124" s="65">
        <f>Ringkasan!G123</f>
        <v>19</v>
      </c>
      <c r="H124" s="19">
        <f>Ringkasan!H123</f>
        <v>8.2</v>
      </c>
      <c r="I124" s="19">
        <f>Ringkasan!I123</f>
        <v>1.7</v>
      </c>
      <c r="J124" s="19">
        <f>Ringkasan!J123</f>
        <v>21</v>
      </c>
      <c r="K124" s="19">
        <f>Ringkasan!K123</f>
        <v>13.4</v>
      </c>
      <c r="L124" s="19">
        <f>Ringkasan!L123</f>
        <v>0.57</v>
      </c>
      <c r="M124" s="19">
        <f>Ringkasan!M123</f>
        <v>28.9</v>
      </c>
      <c r="N124" s="64" t="str">
        <f>Ringkasan!N123</f>
        <v/>
      </c>
      <c r="O124" s="64" t="str">
        <f>Ringkasan!O123</f>
        <v/>
      </c>
      <c r="P124" s="64" t="str">
        <f>Ringkasan!P123</f>
        <v/>
      </c>
      <c r="Q124" s="64" t="str">
        <f>Ringkasan!Q123</f>
        <v/>
      </c>
      <c r="R124" s="64" t="str">
        <f>Ringkasan!R123</f>
        <v/>
      </c>
      <c r="S124" s="64" t="str">
        <f>Ringkasan!S123</f>
        <v/>
      </c>
      <c r="T124" s="64" t="str">
        <f>Ringkasan!T123</f>
        <v/>
      </c>
      <c r="U124" s="64">
        <f>Ringkasan!U123</f>
        <v>2720</v>
      </c>
      <c r="V124" s="64">
        <f>Ringkasan!V123</f>
        <v>4.78</v>
      </c>
      <c r="W124" s="64">
        <f>Ringkasan!W123</f>
        <v>2800</v>
      </c>
      <c r="X124" s="64">
        <f>Ringkasan!X123</f>
        <v>2910</v>
      </c>
      <c r="Y124" s="64">
        <f>Ringkasan!Y123</f>
        <v>2760</v>
      </c>
      <c r="Z124" s="64">
        <f>Ringkasan!Z123</f>
        <v>174808500</v>
      </c>
      <c r="AA124" s="64" t="str">
        <f>Ringkasan!AA123</f>
        <v>Metals &amp; Minerals</v>
      </c>
      <c r="AB124" s="64" t="str">
        <f>Ringkasan!AB123</f>
        <v>Basic Materials</v>
      </c>
    </row>
    <row r="125" hidden="1">
      <c r="A125" s="64" t="str">
        <f>Ringkasan!A124</f>
        <v>ANTM</v>
      </c>
      <c r="B125" s="64" t="str">
        <f>Ringkasan!B124</f>
        <v>Aneka Tambang Tbk.</v>
      </c>
      <c r="C125" s="65">
        <f>Ringkasan!C124</f>
        <v>2850</v>
      </c>
      <c r="D125" s="64" t="str">
        <f>Ringkasan!D124</f>
        <v>#N/A</v>
      </c>
      <c r="E125" s="64" t="str">
        <f>Ringkasan!E124</f>
        <v>IDXQ30</v>
      </c>
      <c r="F125" s="64" t="str">
        <f>Ringkasan!F124</f>
        <v>4 Agustus 2026</v>
      </c>
      <c r="G125" s="65">
        <f>Ringkasan!G124</f>
        <v>19</v>
      </c>
      <c r="H125" s="19">
        <f>Ringkasan!H124</f>
        <v>8.2</v>
      </c>
      <c r="I125" s="19">
        <f>Ringkasan!I124</f>
        <v>1.7</v>
      </c>
      <c r="J125" s="19">
        <f>Ringkasan!J124</f>
        <v>21</v>
      </c>
      <c r="K125" s="19">
        <f>Ringkasan!K124</f>
        <v>13.4</v>
      </c>
      <c r="L125" s="19">
        <f>Ringkasan!L124</f>
        <v>0.57</v>
      </c>
      <c r="M125" s="19">
        <f>Ringkasan!M124</f>
        <v>28.9</v>
      </c>
      <c r="N125" s="64" t="str">
        <f>Ringkasan!N124</f>
        <v/>
      </c>
      <c r="O125" s="64" t="str">
        <f>Ringkasan!O124</f>
        <v/>
      </c>
      <c r="P125" s="64" t="str">
        <f>Ringkasan!P124</f>
        <v/>
      </c>
      <c r="Q125" s="64" t="str">
        <f>Ringkasan!Q124</f>
        <v/>
      </c>
      <c r="R125" s="64" t="str">
        <f>Ringkasan!R124</f>
        <v/>
      </c>
      <c r="S125" s="64" t="str">
        <f>Ringkasan!S124</f>
        <v/>
      </c>
      <c r="T125" s="64" t="str">
        <f>Ringkasan!T124</f>
        <v/>
      </c>
      <c r="U125" s="64">
        <f>Ringkasan!U124</f>
        <v>2720</v>
      </c>
      <c r="V125" s="64">
        <f>Ringkasan!V124</f>
        <v>4.78</v>
      </c>
      <c r="W125" s="64">
        <f>Ringkasan!W124</f>
        <v>2800</v>
      </c>
      <c r="X125" s="64">
        <f>Ringkasan!X124</f>
        <v>2910</v>
      </c>
      <c r="Y125" s="64">
        <f>Ringkasan!Y124</f>
        <v>2760</v>
      </c>
      <c r="Z125" s="64">
        <f>Ringkasan!Z124</f>
        <v>174808500</v>
      </c>
      <c r="AA125" s="64" t="str">
        <f>Ringkasan!AA124</f>
        <v>Metals &amp; Minerals</v>
      </c>
      <c r="AB125" s="64" t="str">
        <f>Ringkasan!AB124</f>
        <v>Basic Materials</v>
      </c>
    </row>
    <row r="126" hidden="1">
      <c r="A126" s="64" t="str">
        <f>Ringkasan!A125</f>
        <v>ANTM</v>
      </c>
      <c r="B126" s="64" t="str">
        <f>Ringkasan!B125</f>
        <v>Aneka Tambang Tbk.</v>
      </c>
      <c r="C126" s="65">
        <f>Ringkasan!C125</f>
        <v>2850</v>
      </c>
      <c r="D126" s="64" t="str">
        <f>Ringkasan!D125</f>
        <v>#N/A</v>
      </c>
      <c r="E126" s="64" t="str">
        <f>Ringkasan!E125</f>
        <v>IDXBUMN20</v>
      </c>
      <c r="F126" s="64" t="str">
        <f>Ringkasan!F125</f>
        <v>4 Agustus 2026</v>
      </c>
      <c r="G126" s="65">
        <f>Ringkasan!G125</f>
        <v>19</v>
      </c>
      <c r="H126" s="19">
        <f>Ringkasan!H125</f>
        <v>8.2</v>
      </c>
      <c r="I126" s="19">
        <f>Ringkasan!I125</f>
        <v>1.7</v>
      </c>
      <c r="J126" s="19">
        <f>Ringkasan!J125</f>
        <v>21</v>
      </c>
      <c r="K126" s="19">
        <f>Ringkasan!K125</f>
        <v>13.4</v>
      </c>
      <c r="L126" s="19">
        <f>Ringkasan!L125</f>
        <v>0.57</v>
      </c>
      <c r="M126" s="19">
        <f>Ringkasan!M125</f>
        <v>28.9</v>
      </c>
      <c r="N126" s="64" t="str">
        <f>Ringkasan!N125</f>
        <v/>
      </c>
      <c r="O126" s="64" t="str">
        <f>Ringkasan!O125</f>
        <v/>
      </c>
      <c r="P126" s="64" t="str">
        <f>Ringkasan!P125</f>
        <v/>
      </c>
      <c r="Q126" s="64" t="str">
        <f>Ringkasan!Q125</f>
        <v/>
      </c>
      <c r="R126" s="64" t="str">
        <f>Ringkasan!R125</f>
        <v/>
      </c>
      <c r="S126" s="64" t="str">
        <f>Ringkasan!S125</f>
        <v/>
      </c>
      <c r="T126" s="64" t="str">
        <f>Ringkasan!T125</f>
        <v/>
      </c>
      <c r="U126" s="64">
        <f>Ringkasan!U125</f>
        <v>2720</v>
      </c>
      <c r="V126" s="64">
        <f>Ringkasan!V125</f>
        <v>4.78</v>
      </c>
      <c r="W126" s="64">
        <f>Ringkasan!W125</f>
        <v>2800</v>
      </c>
      <c r="X126" s="64">
        <f>Ringkasan!X125</f>
        <v>2910</v>
      </c>
      <c r="Y126" s="64">
        <f>Ringkasan!Y125</f>
        <v>2760</v>
      </c>
      <c r="Z126" s="64">
        <f>Ringkasan!Z125</f>
        <v>174808500</v>
      </c>
      <c r="AA126" s="64" t="str">
        <f>Ringkasan!AA125</f>
        <v>Metals &amp; Minerals</v>
      </c>
      <c r="AB126" s="64" t="str">
        <f>Ringkasan!AB125</f>
        <v>Basic Materials</v>
      </c>
    </row>
    <row r="127" hidden="1">
      <c r="A127" s="64" t="str">
        <f>Ringkasan!A126</f>
        <v>ANTM</v>
      </c>
      <c r="B127" s="64" t="str">
        <f>Ringkasan!B126</f>
        <v>Aneka Tambang Tbk.</v>
      </c>
      <c r="C127" s="65">
        <f>Ringkasan!C126</f>
        <v>2850</v>
      </c>
      <c r="D127" s="64" t="str">
        <f>Ringkasan!D126</f>
        <v>#N/A</v>
      </c>
      <c r="E127" s="64" t="str">
        <f>Ringkasan!E126</f>
        <v>ESGSKEHATI</v>
      </c>
      <c r="F127" s="66">
        <f>Ringkasan!F126</f>
        <v>46356</v>
      </c>
      <c r="G127" s="65">
        <f>Ringkasan!G126</f>
        <v>19</v>
      </c>
      <c r="H127" s="19">
        <f>Ringkasan!H126</f>
        <v>8.2</v>
      </c>
      <c r="I127" s="19">
        <f>Ringkasan!I126</f>
        <v>1.7</v>
      </c>
      <c r="J127" s="19">
        <f>Ringkasan!J126</f>
        <v>21</v>
      </c>
      <c r="K127" s="19">
        <f>Ringkasan!K126</f>
        <v>13.4</v>
      </c>
      <c r="L127" s="19">
        <f>Ringkasan!L126</f>
        <v>0.57</v>
      </c>
      <c r="M127" s="19">
        <f>Ringkasan!M126</f>
        <v>28.9</v>
      </c>
      <c r="N127" s="64" t="str">
        <f>Ringkasan!N126</f>
        <v/>
      </c>
      <c r="O127" s="64" t="str">
        <f>Ringkasan!O126</f>
        <v/>
      </c>
      <c r="P127" s="64" t="str">
        <f>Ringkasan!P126</f>
        <v/>
      </c>
      <c r="Q127" s="64" t="str">
        <f>Ringkasan!Q126</f>
        <v/>
      </c>
      <c r="R127" s="64" t="str">
        <f>Ringkasan!R126</f>
        <v/>
      </c>
      <c r="S127" s="64" t="str">
        <f>Ringkasan!S126</f>
        <v/>
      </c>
      <c r="T127" s="64" t="str">
        <f>Ringkasan!T126</f>
        <v/>
      </c>
      <c r="U127" s="64">
        <f>Ringkasan!U126</f>
        <v>2720</v>
      </c>
      <c r="V127" s="64">
        <f>Ringkasan!V126</f>
        <v>4.78</v>
      </c>
      <c r="W127" s="64">
        <f>Ringkasan!W126</f>
        <v>2800</v>
      </c>
      <c r="X127" s="64">
        <f>Ringkasan!X126</f>
        <v>2910</v>
      </c>
      <c r="Y127" s="64">
        <f>Ringkasan!Y126</f>
        <v>2760</v>
      </c>
      <c r="Z127" s="64">
        <f>Ringkasan!Z126</f>
        <v>174808500</v>
      </c>
      <c r="AA127" s="64" t="str">
        <f>Ringkasan!AA126</f>
        <v>Metals &amp; Minerals</v>
      </c>
      <c r="AB127" s="64" t="str">
        <f>Ringkasan!AB126</f>
        <v>Basic Materials</v>
      </c>
    </row>
    <row r="128" hidden="1">
      <c r="A128" s="64" t="str">
        <f>Ringkasan!A127</f>
        <v>ANTM</v>
      </c>
      <c r="B128" s="64" t="str">
        <f>Ringkasan!B127</f>
        <v>Aneka Tambang Tbk.</v>
      </c>
      <c r="C128" s="65">
        <f>Ringkasan!C127</f>
        <v>2850</v>
      </c>
      <c r="D128" s="64" t="str">
        <f>Ringkasan!D127</f>
        <v>#N/A</v>
      </c>
      <c r="E128" s="64" t="str">
        <f>Ringkasan!E127</f>
        <v>SRI-KEHATI</v>
      </c>
      <c r="F128" s="66">
        <f>Ringkasan!F127</f>
        <v>46356</v>
      </c>
      <c r="G128" s="65">
        <f>Ringkasan!G127</f>
        <v>19</v>
      </c>
      <c r="H128" s="19">
        <f>Ringkasan!H127</f>
        <v>8.2</v>
      </c>
      <c r="I128" s="19">
        <f>Ringkasan!I127</f>
        <v>1.7</v>
      </c>
      <c r="J128" s="19">
        <f>Ringkasan!J127</f>
        <v>21</v>
      </c>
      <c r="K128" s="19">
        <f>Ringkasan!K127</f>
        <v>13.4</v>
      </c>
      <c r="L128" s="19">
        <f>Ringkasan!L127</f>
        <v>0.57</v>
      </c>
      <c r="M128" s="19">
        <f>Ringkasan!M127</f>
        <v>28.9</v>
      </c>
      <c r="N128" s="64" t="str">
        <f>Ringkasan!N127</f>
        <v/>
      </c>
      <c r="O128" s="64" t="str">
        <f>Ringkasan!O127</f>
        <v/>
      </c>
      <c r="P128" s="64" t="str">
        <f>Ringkasan!P127</f>
        <v/>
      </c>
      <c r="Q128" s="64" t="str">
        <f>Ringkasan!Q127</f>
        <v/>
      </c>
      <c r="R128" s="64" t="str">
        <f>Ringkasan!R127</f>
        <v/>
      </c>
      <c r="S128" s="64" t="str">
        <f>Ringkasan!S127</f>
        <v/>
      </c>
      <c r="T128" s="64" t="str">
        <f>Ringkasan!T127</f>
        <v/>
      </c>
      <c r="U128" s="64">
        <f>Ringkasan!U127</f>
        <v>2720</v>
      </c>
      <c r="V128" s="64">
        <f>Ringkasan!V127</f>
        <v>4.78</v>
      </c>
      <c r="W128" s="64">
        <f>Ringkasan!W127</f>
        <v>2800</v>
      </c>
      <c r="X128" s="64">
        <f>Ringkasan!X127</f>
        <v>2910</v>
      </c>
      <c r="Y128" s="64">
        <f>Ringkasan!Y127</f>
        <v>2760</v>
      </c>
      <c r="Z128" s="64">
        <f>Ringkasan!Z127</f>
        <v>174808500</v>
      </c>
      <c r="AA128" s="64" t="str">
        <f>Ringkasan!AA127</f>
        <v>Metals &amp; Minerals</v>
      </c>
      <c r="AB128" s="64" t="str">
        <f>Ringkasan!AB127</f>
        <v>Basic Materials</v>
      </c>
    </row>
    <row r="129" hidden="1">
      <c r="A129" s="64" t="str">
        <f>Ringkasan!A128</f>
        <v>ANTM</v>
      </c>
      <c r="B129" s="64" t="str">
        <f>Ringkasan!B128</f>
        <v>Aneka Tambang Tbk.</v>
      </c>
      <c r="C129" s="65">
        <f>Ringkasan!C128</f>
        <v>2850</v>
      </c>
      <c r="D129" s="64" t="str">
        <f>Ringkasan!D128</f>
        <v>#N/A</v>
      </c>
      <c r="E129" s="64" t="str">
        <f>Ringkasan!E128</f>
        <v>IDXMESBUMN</v>
      </c>
      <c r="F129" s="66">
        <f>Ringkasan!F128</f>
        <v>46356</v>
      </c>
      <c r="G129" s="65">
        <f>Ringkasan!G128</f>
        <v>19</v>
      </c>
      <c r="H129" s="19">
        <f>Ringkasan!H128</f>
        <v>8.2</v>
      </c>
      <c r="I129" s="19">
        <f>Ringkasan!I128</f>
        <v>1.7</v>
      </c>
      <c r="J129" s="19">
        <f>Ringkasan!J128</f>
        <v>21</v>
      </c>
      <c r="K129" s="19">
        <f>Ringkasan!K128</f>
        <v>13.4</v>
      </c>
      <c r="L129" s="19">
        <f>Ringkasan!L128</f>
        <v>0.57</v>
      </c>
      <c r="M129" s="19">
        <f>Ringkasan!M128</f>
        <v>28.9</v>
      </c>
      <c r="N129" s="64" t="str">
        <f>Ringkasan!N128</f>
        <v/>
      </c>
      <c r="O129" s="64" t="str">
        <f>Ringkasan!O128</f>
        <v/>
      </c>
      <c r="P129" s="64" t="str">
        <f>Ringkasan!P128</f>
        <v/>
      </c>
      <c r="Q129" s="64" t="str">
        <f>Ringkasan!Q128</f>
        <v/>
      </c>
      <c r="R129" s="64" t="str">
        <f>Ringkasan!R128</f>
        <v/>
      </c>
      <c r="S129" s="64" t="str">
        <f>Ringkasan!S128</f>
        <v/>
      </c>
      <c r="T129" s="64" t="str">
        <f>Ringkasan!T128</f>
        <v/>
      </c>
      <c r="U129" s="64">
        <f>Ringkasan!U128</f>
        <v>2720</v>
      </c>
      <c r="V129" s="64">
        <f>Ringkasan!V128</f>
        <v>4.78</v>
      </c>
      <c r="W129" s="64">
        <f>Ringkasan!W128</f>
        <v>2800</v>
      </c>
      <c r="X129" s="64">
        <f>Ringkasan!X128</f>
        <v>2910</v>
      </c>
      <c r="Y129" s="64">
        <f>Ringkasan!Y128</f>
        <v>2760</v>
      </c>
      <c r="Z129" s="64">
        <f>Ringkasan!Z128</f>
        <v>174808500</v>
      </c>
      <c r="AA129" s="64" t="str">
        <f>Ringkasan!AA128</f>
        <v>Metals &amp; Minerals</v>
      </c>
      <c r="AB129" s="64" t="str">
        <f>Ringkasan!AB128</f>
        <v>Basic Materials</v>
      </c>
    </row>
    <row r="130" hidden="1">
      <c r="A130" s="64" t="str">
        <f>Ringkasan!A129</f>
        <v>ANTM</v>
      </c>
      <c r="B130" s="64" t="str">
        <f>Ringkasan!B129</f>
        <v>Aneka Tambang Tbk.</v>
      </c>
      <c r="C130" s="65">
        <f>Ringkasan!C129</f>
        <v>2850</v>
      </c>
      <c r="D130" s="64" t="str">
        <f>Ringkasan!D129</f>
        <v>#N/A</v>
      </c>
      <c r="E130" s="64" t="str">
        <f>Ringkasan!E129</f>
        <v>IDXSHAGROW</v>
      </c>
      <c r="F130" s="66">
        <f>Ringkasan!F129</f>
        <v>46356</v>
      </c>
      <c r="G130" s="64">
        <f>Ringkasan!G129</f>
        <v>19</v>
      </c>
      <c r="H130" s="19">
        <f>Ringkasan!H129</f>
        <v>8.2</v>
      </c>
      <c r="I130" s="19">
        <f>Ringkasan!I129</f>
        <v>1.7</v>
      </c>
      <c r="J130" s="19">
        <f>Ringkasan!J129</f>
        <v>21</v>
      </c>
      <c r="K130" s="19">
        <f>Ringkasan!K129</f>
        <v>13.4</v>
      </c>
      <c r="L130" s="19">
        <f>Ringkasan!L129</f>
        <v>0.57</v>
      </c>
      <c r="M130" s="19">
        <f>Ringkasan!M129</f>
        <v>28.9</v>
      </c>
      <c r="N130" s="64" t="str">
        <f>Ringkasan!N129</f>
        <v/>
      </c>
      <c r="O130" s="64" t="str">
        <f>Ringkasan!O129</f>
        <v/>
      </c>
      <c r="P130" s="64" t="str">
        <f>Ringkasan!P129</f>
        <v/>
      </c>
      <c r="Q130" s="64" t="str">
        <f>Ringkasan!Q129</f>
        <v/>
      </c>
      <c r="R130" s="64" t="str">
        <f>Ringkasan!R129</f>
        <v/>
      </c>
      <c r="S130" s="64" t="str">
        <f>Ringkasan!S129</f>
        <v/>
      </c>
      <c r="T130" s="64" t="str">
        <f>Ringkasan!T129</f>
        <v/>
      </c>
      <c r="U130" s="64">
        <f>Ringkasan!U129</f>
        <v>2720</v>
      </c>
      <c r="V130" s="64">
        <f>Ringkasan!V129</f>
        <v>4.78</v>
      </c>
      <c r="W130" s="64">
        <f>Ringkasan!W129</f>
        <v>2800</v>
      </c>
      <c r="X130" s="64">
        <f>Ringkasan!X129</f>
        <v>2910</v>
      </c>
      <c r="Y130" s="64">
        <f>Ringkasan!Y129</f>
        <v>2760</v>
      </c>
      <c r="Z130" s="64">
        <f>Ringkasan!Z129</f>
        <v>174808500</v>
      </c>
      <c r="AA130" s="64" t="str">
        <f>Ringkasan!AA129</f>
        <v>Metals &amp; Minerals</v>
      </c>
      <c r="AB130" s="64" t="str">
        <f>Ringkasan!AB129</f>
        <v>Basic Materials</v>
      </c>
    </row>
    <row r="131" hidden="1">
      <c r="A131" s="64" t="str">
        <f>Ringkasan!A130</f>
        <v>ANTM</v>
      </c>
      <c r="B131" s="64" t="str">
        <f>Ringkasan!B130</f>
        <v>Aneka Tambang Tbk.</v>
      </c>
      <c r="C131" s="65">
        <f>Ringkasan!C130</f>
        <v>2850</v>
      </c>
      <c r="D131" s="64" t="str">
        <f>Ringkasan!D130</f>
        <v>#N/A</v>
      </c>
      <c r="E131" s="64" t="str">
        <f>Ringkasan!E130</f>
        <v>Investor33</v>
      </c>
      <c r="F131" s="66">
        <f>Ringkasan!F130</f>
        <v>46356</v>
      </c>
      <c r="G131" s="65">
        <f>Ringkasan!G130</f>
        <v>19</v>
      </c>
      <c r="H131" s="19">
        <f>Ringkasan!H130</f>
        <v>8.2</v>
      </c>
      <c r="I131" s="19">
        <f>Ringkasan!I130</f>
        <v>1.7</v>
      </c>
      <c r="J131" s="19">
        <f>Ringkasan!J130</f>
        <v>21</v>
      </c>
      <c r="K131" s="19">
        <f>Ringkasan!K130</f>
        <v>13.4</v>
      </c>
      <c r="L131" s="19">
        <f>Ringkasan!L130</f>
        <v>0.57</v>
      </c>
      <c r="M131" s="19">
        <f>Ringkasan!M130</f>
        <v>28.9</v>
      </c>
      <c r="N131" s="64" t="str">
        <f>Ringkasan!N130</f>
        <v/>
      </c>
      <c r="O131" s="64" t="str">
        <f>Ringkasan!O130</f>
        <v/>
      </c>
      <c r="P131" s="64" t="str">
        <f>Ringkasan!P130</f>
        <v/>
      </c>
      <c r="Q131" s="64" t="str">
        <f>Ringkasan!Q130</f>
        <v/>
      </c>
      <c r="R131" s="64" t="str">
        <f>Ringkasan!R130</f>
        <v/>
      </c>
      <c r="S131" s="64" t="str">
        <f>Ringkasan!S130</f>
        <v/>
      </c>
      <c r="T131" s="64" t="str">
        <f>Ringkasan!T130</f>
        <v/>
      </c>
      <c r="U131" s="64">
        <f>Ringkasan!U130</f>
        <v>2720</v>
      </c>
      <c r="V131" s="64">
        <f>Ringkasan!V130</f>
        <v>4.78</v>
      </c>
      <c r="W131" s="64">
        <f>Ringkasan!W130</f>
        <v>2800</v>
      </c>
      <c r="X131" s="64">
        <f>Ringkasan!X130</f>
        <v>2910</v>
      </c>
      <c r="Y131" s="64">
        <f>Ringkasan!Y130</f>
        <v>2760</v>
      </c>
      <c r="Z131" s="64">
        <f>Ringkasan!Z130</f>
        <v>174808500</v>
      </c>
      <c r="AA131" s="64" t="str">
        <f>Ringkasan!AA130</f>
        <v>Metals &amp; Minerals</v>
      </c>
      <c r="AB131" s="64" t="str">
        <f>Ringkasan!AB130</f>
        <v>Basic Materials</v>
      </c>
    </row>
    <row r="132" hidden="1">
      <c r="A132" s="64" t="str">
        <f>Ringkasan!A131</f>
        <v>ANTM</v>
      </c>
      <c r="B132" s="64" t="str">
        <f>Ringkasan!B131</f>
        <v>Aneka Tambang Tbk.</v>
      </c>
      <c r="C132" s="65">
        <f>Ringkasan!C131</f>
        <v>2850</v>
      </c>
      <c r="D132" s="64" t="str">
        <f>Ringkasan!D131</f>
        <v>#N/A</v>
      </c>
      <c r="E132" s="64" t="str">
        <f>Ringkasan!E131</f>
        <v>JII30</v>
      </c>
      <c r="F132" s="66">
        <f>Ringkasan!F131</f>
        <v>46356</v>
      </c>
      <c r="G132" s="65">
        <f>Ringkasan!G131</f>
        <v>19</v>
      </c>
      <c r="H132" s="19">
        <f>Ringkasan!H131</f>
        <v>8.2</v>
      </c>
      <c r="I132" s="19">
        <f>Ringkasan!I131</f>
        <v>1.7</v>
      </c>
      <c r="J132" s="19">
        <f>Ringkasan!J131</f>
        <v>21</v>
      </c>
      <c r="K132" s="19">
        <f>Ringkasan!K131</f>
        <v>13.4</v>
      </c>
      <c r="L132" s="19">
        <f>Ringkasan!L131</f>
        <v>0.57</v>
      </c>
      <c r="M132" s="19">
        <f>Ringkasan!M131</f>
        <v>28.9</v>
      </c>
      <c r="N132" s="64" t="str">
        <f>Ringkasan!N131</f>
        <v/>
      </c>
      <c r="O132" s="64" t="str">
        <f>Ringkasan!O131</f>
        <v/>
      </c>
      <c r="P132" s="64" t="str">
        <f>Ringkasan!P131</f>
        <v/>
      </c>
      <c r="Q132" s="64" t="str">
        <f>Ringkasan!Q131</f>
        <v/>
      </c>
      <c r="R132" s="64" t="str">
        <f>Ringkasan!R131</f>
        <v/>
      </c>
      <c r="S132" s="64" t="str">
        <f>Ringkasan!S131</f>
        <v/>
      </c>
      <c r="T132" s="64" t="str">
        <f>Ringkasan!T131</f>
        <v/>
      </c>
      <c r="U132" s="64">
        <f>Ringkasan!U131</f>
        <v>2720</v>
      </c>
      <c r="V132" s="64">
        <f>Ringkasan!V131</f>
        <v>4.78</v>
      </c>
      <c r="W132" s="64">
        <f>Ringkasan!W131</f>
        <v>2800</v>
      </c>
      <c r="X132" s="64">
        <f>Ringkasan!X131</f>
        <v>2910</v>
      </c>
      <c r="Y132" s="64">
        <f>Ringkasan!Y131</f>
        <v>2760</v>
      </c>
      <c r="Z132" s="64">
        <f>Ringkasan!Z131</f>
        <v>174808500</v>
      </c>
      <c r="AA132" s="64" t="str">
        <f>Ringkasan!AA131</f>
        <v>Metals &amp; Minerals</v>
      </c>
      <c r="AB132" s="64" t="str">
        <f>Ringkasan!AB131</f>
        <v>Basic Materials</v>
      </c>
    </row>
    <row r="133" hidden="1">
      <c r="A133" s="64" t="str">
        <f>Ringkasan!A132</f>
        <v>ANTM</v>
      </c>
      <c r="B133" s="64" t="str">
        <f>Ringkasan!B132</f>
        <v>Aneka Tambang Tbk.</v>
      </c>
      <c r="C133" s="65">
        <f>Ringkasan!C132</f>
        <v>2850</v>
      </c>
      <c r="D133" s="64" t="str">
        <f>Ringkasan!D132</f>
        <v>#N/A</v>
      </c>
      <c r="E133" s="64" t="str">
        <f>Ringkasan!E132</f>
        <v>JII70</v>
      </c>
      <c r="F133" s="66">
        <f>Ringkasan!F132</f>
        <v>46356</v>
      </c>
      <c r="G133" s="65">
        <f>Ringkasan!G132</f>
        <v>19</v>
      </c>
      <c r="H133" s="19">
        <f>Ringkasan!H132</f>
        <v>8.2</v>
      </c>
      <c r="I133" s="19">
        <f>Ringkasan!I132</f>
        <v>1.7</v>
      </c>
      <c r="J133" s="19">
        <f>Ringkasan!J132</f>
        <v>21</v>
      </c>
      <c r="K133" s="19">
        <f>Ringkasan!K132</f>
        <v>13.4</v>
      </c>
      <c r="L133" s="19">
        <f>Ringkasan!L132</f>
        <v>0.57</v>
      </c>
      <c r="M133" s="19">
        <f>Ringkasan!M132</f>
        <v>28.9</v>
      </c>
      <c r="N133" s="64" t="str">
        <f>Ringkasan!N132</f>
        <v/>
      </c>
      <c r="O133" s="64" t="str">
        <f>Ringkasan!O132</f>
        <v/>
      </c>
      <c r="P133" s="64" t="str">
        <f>Ringkasan!P132</f>
        <v/>
      </c>
      <c r="Q133" s="64" t="str">
        <f>Ringkasan!Q132</f>
        <v/>
      </c>
      <c r="R133" s="64" t="str">
        <f>Ringkasan!R132</f>
        <v/>
      </c>
      <c r="S133" s="64" t="str">
        <f>Ringkasan!S132</f>
        <v/>
      </c>
      <c r="T133" s="64" t="str">
        <f>Ringkasan!T132</f>
        <v/>
      </c>
      <c r="U133" s="64">
        <f>Ringkasan!U132</f>
        <v>2720</v>
      </c>
      <c r="V133" s="64">
        <f>Ringkasan!V132</f>
        <v>4.78</v>
      </c>
      <c r="W133" s="64">
        <f>Ringkasan!W132</f>
        <v>2800</v>
      </c>
      <c r="X133" s="64">
        <f>Ringkasan!X132</f>
        <v>2910</v>
      </c>
      <c r="Y133" s="64">
        <f>Ringkasan!Y132</f>
        <v>2760</v>
      </c>
      <c r="Z133" s="64">
        <f>Ringkasan!Z132</f>
        <v>174808500</v>
      </c>
      <c r="AA133" s="64" t="str">
        <f>Ringkasan!AA132</f>
        <v>Metals &amp; Minerals</v>
      </c>
      <c r="AB133" s="64" t="str">
        <f>Ringkasan!AB132</f>
        <v>Basic Materials</v>
      </c>
    </row>
    <row r="134" hidden="1">
      <c r="A134" s="64" t="str">
        <f>Ringkasan!A133</f>
        <v>APEX</v>
      </c>
      <c r="B134" s="64" t="str">
        <f>Ringkasan!B133</f>
        <v>Apexindo Pratama Duta Tbk.</v>
      </c>
      <c r="C134" s="65">
        <f>Ringkasan!C133</f>
        <v>137</v>
      </c>
      <c r="D134" s="64" t="str">
        <f>Ringkasan!D133</f>
        <v>#N/A</v>
      </c>
      <c r="E134" s="64" t="str">
        <f>Ringkasan!E133</f>
        <v/>
      </c>
      <c r="F134" s="64" t="str">
        <f>Ringkasan!F133</f>
        <v/>
      </c>
      <c r="G134" s="64">
        <f>Ringkasan!G133</f>
        <v>0</v>
      </c>
      <c r="H134" s="19">
        <f>Ringkasan!H133</f>
        <v>6.2</v>
      </c>
      <c r="I134" s="19">
        <f>Ringkasan!I133</f>
        <v>0.42</v>
      </c>
      <c r="J134" s="19">
        <f>Ringkasan!J133</f>
        <v>6.7</v>
      </c>
      <c r="K134" s="19">
        <f>Ringkasan!K133</f>
        <v>1.8</v>
      </c>
      <c r="L134" s="19">
        <f>Ringkasan!L133</f>
        <v>2.7</v>
      </c>
      <c r="M134" s="19">
        <f>Ringkasan!M133</f>
        <v>23.5</v>
      </c>
      <c r="N134" s="64" t="str">
        <f>Ringkasan!N133</f>
        <v/>
      </c>
      <c r="O134" s="64" t="str">
        <f>Ringkasan!O133</f>
        <v/>
      </c>
      <c r="P134" s="64" t="str">
        <f>Ringkasan!P133</f>
        <v/>
      </c>
      <c r="Q134" s="64" t="str">
        <f>Ringkasan!Q133</f>
        <v/>
      </c>
      <c r="R134" s="64" t="str">
        <f>Ringkasan!R133</f>
        <v/>
      </c>
      <c r="S134" s="64" t="str">
        <f>Ringkasan!S133</f>
        <v/>
      </c>
      <c r="T134" s="64" t="str">
        <f>Ringkasan!T133</f>
        <v/>
      </c>
      <c r="U134" s="64">
        <f>Ringkasan!U133</f>
        <v>224.55</v>
      </c>
      <c r="V134" s="64">
        <f>Ringkasan!V133</f>
        <v>3.23</v>
      </c>
      <c r="W134" s="64">
        <f>Ringkasan!W133</f>
        <v>230.05</v>
      </c>
      <c r="X134" s="64">
        <f>Ringkasan!X133</f>
        <v>232.1</v>
      </c>
      <c r="Y134" s="64">
        <f>Ringkasan!Y133</f>
        <v>230.05</v>
      </c>
      <c r="Z134" s="64">
        <f>Ringkasan!Z133</f>
        <v>413</v>
      </c>
      <c r="AA134" s="64" t="str">
        <f>Ringkasan!AA133</f>
        <v>Oil, Gas &amp; Coal Supports</v>
      </c>
      <c r="AB134" s="64" t="str">
        <f>Ringkasan!AB133</f>
        <v>Energy</v>
      </c>
    </row>
    <row r="135" hidden="1">
      <c r="A135" s="64" t="str">
        <f>Ringkasan!A134</f>
        <v>APIC</v>
      </c>
      <c r="B135" s="64" t="str">
        <f>Ringkasan!B134</f>
        <v>Pacific Strategic Financial Tbk.</v>
      </c>
      <c r="C135" s="65">
        <f>Ringkasan!C134</f>
        <v>605</v>
      </c>
      <c r="D135" s="64" t="str">
        <f>Ringkasan!D134</f>
        <v>#N/A</v>
      </c>
      <c r="E135" s="64" t="str">
        <f>Ringkasan!E134</f>
        <v/>
      </c>
      <c r="F135" s="64" t="str">
        <f>Ringkasan!F134</f>
        <v/>
      </c>
      <c r="G135" s="64">
        <f>Ringkasan!G134</f>
        <v>0</v>
      </c>
      <c r="H135" s="19">
        <f>Ringkasan!H134</f>
        <v>110</v>
      </c>
      <c r="I135" s="19">
        <f>Ringkasan!I134</f>
        <v>3.5</v>
      </c>
      <c r="J135" s="19">
        <f>Ringkasan!J134</f>
        <v>3.1</v>
      </c>
      <c r="K135" s="19">
        <f>Ringkasan!K134</f>
        <v>1.3</v>
      </c>
      <c r="L135" s="19">
        <f>Ringkasan!L134</f>
        <v>1.5</v>
      </c>
      <c r="M135" s="19">
        <f>Ringkasan!M134</f>
        <v>16.9</v>
      </c>
      <c r="N135" s="64" t="str">
        <f>Ringkasan!N134</f>
        <v/>
      </c>
      <c r="O135" s="64" t="str">
        <f>Ringkasan!O134</f>
        <v/>
      </c>
      <c r="P135" s="64" t="str">
        <f>Ringkasan!P134</f>
        <v/>
      </c>
      <c r="Q135" s="64" t="str">
        <f>Ringkasan!Q134</f>
        <v/>
      </c>
      <c r="R135" s="64" t="str">
        <f>Ringkasan!R134</f>
        <v/>
      </c>
      <c r="S135" s="64" t="str">
        <f>Ringkasan!S134</f>
        <v/>
      </c>
      <c r="T135" s="64" t="str">
        <f>Ringkasan!T134</f>
        <v/>
      </c>
      <c r="U135" s="64">
        <f>Ringkasan!U134</f>
        <v>590</v>
      </c>
      <c r="V135" s="64">
        <f>Ringkasan!V134</f>
        <v>2.54</v>
      </c>
      <c r="W135" s="64">
        <f>Ringkasan!W134</f>
        <v>590</v>
      </c>
      <c r="X135" s="64">
        <f>Ringkasan!X134</f>
        <v>650</v>
      </c>
      <c r="Y135" s="64">
        <f>Ringkasan!Y134</f>
        <v>585</v>
      </c>
      <c r="Z135" s="64">
        <f>Ringkasan!Z134</f>
        <v>2840200</v>
      </c>
      <c r="AA135" s="64" t="str">
        <f>Ringkasan!AA134</f>
        <v>Holding &amp; Investment Companies</v>
      </c>
      <c r="AB135" s="64" t="str">
        <f>Ringkasan!AB134</f>
        <v>Financials</v>
      </c>
    </row>
    <row r="136" hidden="1">
      <c r="A136" s="64" t="str">
        <f>Ringkasan!A135</f>
        <v>APII</v>
      </c>
      <c r="B136" s="64" t="str">
        <f>Ringkasan!B135</f>
        <v>PT Arita Prima Indonesia Tbk.</v>
      </c>
      <c r="C136" s="65">
        <f>Ringkasan!C135</f>
        <v>171</v>
      </c>
      <c r="D136" s="64" t="str">
        <f>Ringkasan!D135</f>
        <v>#N/A</v>
      </c>
      <c r="E136" s="64" t="str">
        <f>Ringkasan!E135</f>
        <v/>
      </c>
      <c r="F136" s="64" t="str">
        <f>Ringkasan!F135</f>
        <v/>
      </c>
      <c r="G136" s="64">
        <f>Ringkasan!G135</f>
        <v>0</v>
      </c>
      <c r="H136" s="19">
        <f>Ringkasan!H135</f>
        <v>17.3</v>
      </c>
      <c r="I136" s="19">
        <f>Ringkasan!I135</f>
        <v>0.45</v>
      </c>
      <c r="J136" s="19">
        <f>Ringkasan!J135</f>
        <v>2.6</v>
      </c>
      <c r="K136" s="19">
        <f>Ringkasan!K135</f>
        <v>1.8</v>
      </c>
      <c r="L136" s="19">
        <f>Ringkasan!L135</f>
        <v>0.49</v>
      </c>
      <c r="M136" s="19">
        <f>Ringkasan!M135</f>
        <v>13.4</v>
      </c>
      <c r="N136" s="64" t="str">
        <f>Ringkasan!N135</f>
        <v/>
      </c>
      <c r="O136" s="64" t="str">
        <f>Ringkasan!O135</f>
        <v/>
      </c>
      <c r="P136" s="64" t="str">
        <f>Ringkasan!P135</f>
        <v/>
      </c>
      <c r="Q136" s="64" t="str">
        <f>Ringkasan!Q135</f>
        <v/>
      </c>
      <c r="R136" s="64" t="str">
        <f>Ringkasan!R135</f>
        <v/>
      </c>
      <c r="S136" s="64" t="str">
        <f>Ringkasan!S135</f>
        <v/>
      </c>
      <c r="T136" s="64" t="str">
        <f>Ringkasan!T135</f>
        <v/>
      </c>
      <c r="U136" s="64">
        <f>Ringkasan!U135</f>
        <v>170</v>
      </c>
      <c r="V136" s="64">
        <f>Ringkasan!V135</f>
        <v>0.59</v>
      </c>
      <c r="W136" s="64">
        <f>Ringkasan!W135</f>
        <v>170</v>
      </c>
      <c r="X136" s="64">
        <f>Ringkasan!X135</f>
        <v>175</v>
      </c>
      <c r="Y136" s="64">
        <f>Ringkasan!Y135</f>
        <v>166</v>
      </c>
      <c r="Z136" s="64">
        <f>Ringkasan!Z135</f>
        <v>16200</v>
      </c>
      <c r="AA136" s="64" t="str">
        <f>Ringkasan!AA135</f>
        <v>Machinery</v>
      </c>
      <c r="AB136" s="64" t="str">
        <f>Ringkasan!AB135</f>
        <v>Industrials</v>
      </c>
    </row>
    <row r="137" hidden="1">
      <c r="A137" s="64" t="str">
        <f>Ringkasan!A136</f>
        <v>APLI</v>
      </c>
      <c r="B137" s="64" t="str">
        <f>Ringkasan!B136</f>
        <v>Asiaplast Industries Tbk.</v>
      </c>
      <c r="C137" s="65">
        <f>Ringkasan!C136</f>
        <v>252</v>
      </c>
      <c r="D137" s="64" t="str">
        <f>Ringkasan!D136</f>
        <v>#N/A</v>
      </c>
      <c r="E137" s="64" t="str">
        <f>Ringkasan!E136</f>
        <v/>
      </c>
      <c r="F137" s="64" t="str">
        <f>Ringkasan!F136</f>
        <v/>
      </c>
      <c r="G137" s="64">
        <f>Ringkasan!G136</f>
        <v>0</v>
      </c>
      <c r="H137" s="19">
        <f>Ringkasan!H136</f>
        <v>61.6</v>
      </c>
      <c r="I137" s="19">
        <f>Ringkasan!I136</f>
        <v>1</v>
      </c>
      <c r="J137" s="19">
        <f>Ringkasan!J136</f>
        <v>1.7</v>
      </c>
      <c r="K137" s="19">
        <f>Ringkasan!K136</f>
        <v>1.2</v>
      </c>
      <c r="L137" s="19">
        <f>Ringkasan!L136</f>
        <v>0.37</v>
      </c>
      <c r="M137" s="19">
        <f>Ringkasan!M136</f>
        <v>7.9</v>
      </c>
      <c r="N137" s="64" t="str">
        <f>Ringkasan!N136</f>
        <v/>
      </c>
      <c r="O137" s="64" t="str">
        <f>Ringkasan!O136</f>
        <v/>
      </c>
      <c r="P137" s="64" t="str">
        <f>Ringkasan!P136</f>
        <v/>
      </c>
      <c r="Q137" s="64" t="str">
        <f>Ringkasan!Q136</f>
        <v/>
      </c>
      <c r="R137" s="64" t="str">
        <f>Ringkasan!R136</f>
        <v/>
      </c>
      <c r="S137" s="64" t="str">
        <f>Ringkasan!S136</f>
        <v/>
      </c>
      <c r="T137" s="64" t="str">
        <f>Ringkasan!T136</f>
        <v/>
      </c>
      <c r="U137" s="64">
        <f>Ringkasan!U136</f>
        <v>0.02</v>
      </c>
      <c r="V137" s="64">
        <f>Ringkasan!V136</f>
        <v>0</v>
      </c>
      <c r="W137" s="64" t="str">
        <f>Ringkasan!W136</f>
        <v/>
      </c>
      <c r="X137" s="64" t="str">
        <f>Ringkasan!X136</f>
        <v/>
      </c>
      <c r="Y137" s="64" t="str">
        <f>Ringkasan!Y136</f>
        <v/>
      </c>
      <c r="Z137" s="64">
        <f>Ringkasan!Z136</f>
        <v>0</v>
      </c>
      <c r="AA137" s="64" t="str">
        <f>Ringkasan!AA136</f>
        <v>Chemicals</v>
      </c>
      <c r="AB137" s="64" t="str">
        <f>Ringkasan!AB136</f>
        <v>Basic Materials</v>
      </c>
    </row>
    <row r="138" hidden="1">
      <c r="A138" s="64" t="str">
        <f>Ringkasan!A137</f>
        <v>APLN</v>
      </c>
      <c r="B138" s="64" t="str">
        <f>Ringkasan!B137</f>
        <v>Agung Podomoro Land Tbk.</v>
      </c>
      <c r="C138" s="65">
        <f>Ringkasan!C137</f>
        <v>126</v>
      </c>
      <c r="D138" s="64" t="str">
        <f>Ringkasan!D137</f>
        <v>#N/A</v>
      </c>
      <c r="E138" s="64" t="str">
        <f>Ringkasan!E137</f>
        <v/>
      </c>
      <c r="F138" s="64" t="str">
        <f>Ringkasan!F137</f>
        <v/>
      </c>
      <c r="G138" s="64">
        <f>Ringkasan!G137</f>
        <v>0</v>
      </c>
      <c r="H138" s="19">
        <f>Ringkasan!H137</f>
        <v>8.6</v>
      </c>
      <c r="I138" s="19">
        <f>Ringkasan!I137</f>
        <v>0.25</v>
      </c>
      <c r="J138" s="19">
        <f>Ringkasan!J137</f>
        <v>2.9</v>
      </c>
      <c r="K138" s="19">
        <f>Ringkasan!K137</f>
        <v>1.6</v>
      </c>
      <c r="L138" s="19">
        <f>Ringkasan!L137</f>
        <v>0.76</v>
      </c>
      <c r="M138" s="19">
        <f>Ringkasan!M137</f>
        <v>13.5</v>
      </c>
      <c r="N138" s="64" t="str">
        <f>Ringkasan!N137</f>
        <v/>
      </c>
      <c r="O138" s="64" t="str">
        <f>Ringkasan!O137</f>
        <v/>
      </c>
      <c r="P138" s="64" t="str">
        <f>Ringkasan!P137</f>
        <v/>
      </c>
      <c r="Q138" s="64" t="str">
        <f>Ringkasan!Q137</f>
        <v/>
      </c>
      <c r="R138" s="64" t="str">
        <f>Ringkasan!R137</f>
        <v/>
      </c>
      <c r="S138" s="64" t="str">
        <f>Ringkasan!S137</f>
        <v/>
      </c>
      <c r="T138" s="64" t="str">
        <f>Ringkasan!T137</f>
        <v/>
      </c>
      <c r="U138" s="64">
        <f>Ringkasan!U137</f>
        <v>120</v>
      </c>
      <c r="V138" s="64">
        <f>Ringkasan!V137</f>
        <v>5</v>
      </c>
      <c r="W138" s="64">
        <f>Ringkasan!W137</f>
        <v>120</v>
      </c>
      <c r="X138" s="64">
        <f>Ringkasan!X137</f>
        <v>129</v>
      </c>
      <c r="Y138" s="64">
        <f>Ringkasan!Y137</f>
        <v>120</v>
      </c>
      <c r="Z138" s="64">
        <f>Ringkasan!Z137</f>
        <v>17676000</v>
      </c>
      <c r="AA138" s="64" t="str">
        <f>Ringkasan!AA137</f>
        <v>Real Estate Management &amp; Development</v>
      </c>
      <c r="AB138" s="64" t="str">
        <f>Ringkasan!AB137</f>
        <v>Properties &amp; Real Estate</v>
      </c>
    </row>
    <row r="139" hidden="1">
      <c r="A139" s="64" t="str">
        <f>Ringkasan!A138</f>
        <v>ARCI</v>
      </c>
      <c r="B139" s="64" t="str">
        <f>Ringkasan!B138</f>
        <v>Archi Indonesia Tbk.</v>
      </c>
      <c r="C139" s="65">
        <f>Ringkasan!C138</f>
        <v>975</v>
      </c>
      <c r="D139" s="64" t="str">
        <f>Ringkasan!D138</f>
        <v>#N/A</v>
      </c>
      <c r="E139" s="64" t="str">
        <f>Ringkasan!E138</f>
        <v>ESGQKEHATI</v>
      </c>
      <c r="F139" s="66">
        <f>Ringkasan!F138</f>
        <v>46356</v>
      </c>
      <c r="G139" s="65">
        <f>Ringkasan!G138</f>
        <v>6</v>
      </c>
      <c r="H139" s="19">
        <f>Ringkasan!H138</f>
        <v>15</v>
      </c>
      <c r="I139" s="19">
        <f>Ringkasan!I138</f>
        <v>4.6</v>
      </c>
      <c r="J139" s="19">
        <f>Ringkasan!J138</f>
        <v>30.6</v>
      </c>
      <c r="K139" s="19">
        <f>Ringkasan!K138</f>
        <v>11.3</v>
      </c>
      <c r="L139" s="19">
        <f>Ringkasan!L138</f>
        <v>1.7</v>
      </c>
      <c r="M139" s="19">
        <f>Ringkasan!M138</f>
        <v>87.9</v>
      </c>
      <c r="N139" s="64" t="str">
        <f>Ringkasan!N138</f>
        <v/>
      </c>
      <c r="O139" s="64" t="str">
        <f>Ringkasan!O138</f>
        <v/>
      </c>
      <c r="P139" s="64" t="str">
        <f>Ringkasan!P138</f>
        <v/>
      </c>
      <c r="Q139" s="64" t="str">
        <f>Ringkasan!Q138</f>
        <v/>
      </c>
      <c r="R139" s="64" t="str">
        <f>Ringkasan!R138</f>
        <v/>
      </c>
      <c r="S139" s="64" t="str">
        <f>Ringkasan!S138</f>
        <v/>
      </c>
      <c r="T139" s="64" t="str">
        <f>Ringkasan!T138</f>
        <v/>
      </c>
      <c r="U139" s="64">
        <f>Ringkasan!U138</f>
        <v>9.98</v>
      </c>
      <c r="V139" s="64">
        <f>Ringkasan!V138</f>
        <v>0</v>
      </c>
      <c r="W139" s="64" t="str">
        <f>Ringkasan!W138</f>
        <v/>
      </c>
      <c r="X139" s="64" t="str">
        <f>Ringkasan!X138</f>
        <v/>
      </c>
      <c r="Y139" s="64" t="str">
        <f>Ringkasan!Y138</f>
        <v/>
      </c>
      <c r="Z139" s="64">
        <f>Ringkasan!Z138</f>
        <v>20</v>
      </c>
      <c r="AA139" s="64" t="str">
        <f>Ringkasan!AA138</f>
        <v>Metals &amp; Minerals</v>
      </c>
      <c r="AB139" s="64" t="str">
        <f>Ringkasan!AB138</f>
        <v>Basic Materials</v>
      </c>
    </row>
    <row r="140" hidden="1">
      <c r="A140" s="64" t="str">
        <f>Ringkasan!A139</f>
        <v>ARCI</v>
      </c>
      <c r="B140" s="64" t="str">
        <f>Ringkasan!B139</f>
        <v>Archi Indonesia Tbk.</v>
      </c>
      <c r="C140" s="65">
        <f>Ringkasan!C139</f>
        <v>975</v>
      </c>
      <c r="D140" s="64" t="str">
        <f>Ringkasan!D139</f>
        <v>#N/A</v>
      </c>
      <c r="E140" s="64" t="str">
        <f>Ringkasan!E139</f>
        <v>IDXSMC-LIQ</v>
      </c>
      <c r="F140" s="64" t="str">
        <f>Ringkasan!F139</f>
        <v>4 Agustus 2026</v>
      </c>
      <c r="G140" s="64">
        <f>Ringkasan!G139</f>
        <v>6</v>
      </c>
      <c r="H140" s="19">
        <f>Ringkasan!H139</f>
        <v>15</v>
      </c>
      <c r="I140" s="19">
        <f>Ringkasan!I139</f>
        <v>4.6</v>
      </c>
      <c r="J140" s="19">
        <f>Ringkasan!J139</f>
        <v>30.6</v>
      </c>
      <c r="K140" s="19">
        <f>Ringkasan!K139</f>
        <v>11.3</v>
      </c>
      <c r="L140" s="19">
        <f>Ringkasan!L139</f>
        <v>1.7</v>
      </c>
      <c r="M140" s="19">
        <f>Ringkasan!M139</f>
        <v>87.9</v>
      </c>
      <c r="N140" s="64" t="str">
        <f>Ringkasan!N139</f>
        <v/>
      </c>
      <c r="O140" s="64" t="str">
        <f>Ringkasan!O139</f>
        <v/>
      </c>
      <c r="P140" s="64" t="str">
        <f>Ringkasan!P139</f>
        <v/>
      </c>
      <c r="Q140" s="64" t="str">
        <f>Ringkasan!Q139</f>
        <v/>
      </c>
      <c r="R140" s="64" t="str">
        <f>Ringkasan!R139</f>
        <v/>
      </c>
      <c r="S140" s="64" t="str">
        <f>Ringkasan!S139</f>
        <v/>
      </c>
      <c r="T140" s="64" t="str">
        <f>Ringkasan!T139</f>
        <v/>
      </c>
      <c r="U140" s="64">
        <f>Ringkasan!U139</f>
        <v>9.98</v>
      </c>
      <c r="V140" s="64">
        <f>Ringkasan!V139</f>
        <v>0</v>
      </c>
      <c r="W140" s="64" t="str">
        <f>Ringkasan!W139</f>
        <v/>
      </c>
      <c r="X140" s="64" t="str">
        <f>Ringkasan!X139</f>
        <v/>
      </c>
      <c r="Y140" s="64" t="str">
        <f>Ringkasan!Y139</f>
        <v/>
      </c>
      <c r="Z140" s="64">
        <f>Ringkasan!Z139</f>
        <v>20</v>
      </c>
      <c r="AA140" s="64" t="str">
        <f>Ringkasan!AA139</f>
        <v>Metals &amp; Minerals</v>
      </c>
      <c r="AB140" s="64" t="str">
        <f>Ringkasan!AB139</f>
        <v>Basic Materials</v>
      </c>
    </row>
    <row r="141" hidden="1">
      <c r="A141" s="64" t="str">
        <f>Ringkasan!A140</f>
        <v>ARCI</v>
      </c>
      <c r="B141" s="64" t="str">
        <f>Ringkasan!B140</f>
        <v>Archi Indonesia Tbk.</v>
      </c>
      <c r="C141" s="65">
        <f>Ringkasan!C140</f>
        <v>975</v>
      </c>
      <c r="D141" s="64" t="str">
        <f>Ringkasan!D140</f>
        <v>#N/A</v>
      </c>
      <c r="E141" s="64" t="str">
        <f>Ringkasan!E140</f>
        <v>Kompas100</v>
      </c>
      <c r="F141" s="64" t="str">
        <f>Ringkasan!F140</f>
        <v>31 Juli 2026</v>
      </c>
      <c r="G141" s="64">
        <f>Ringkasan!G140</f>
        <v>6</v>
      </c>
      <c r="H141" s="19">
        <f>Ringkasan!H140</f>
        <v>15</v>
      </c>
      <c r="I141" s="19">
        <f>Ringkasan!I140</f>
        <v>4.6</v>
      </c>
      <c r="J141" s="19">
        <f>Ringkasan!J140</f>
        <v>30.6</v>
      </c>
      <c r="K141" s="19">
        <f>Ringkasan!K140</f>
        <v>11.3</v>
      </c>
      <c r="L141" s="19">
        <f>Ringkasan!L140</f>
        <v>1.7</v>
      </c>
      <c r="M141" s="19">
        <f>Ringkasan!M140</f>
        <v>87.9</v>
      </c>
      <c r="N141" s="64" t="str">
        <f>Ringkasan!N140</f>
        <v/>
      </c>
      <c r="O141" s="64" t="str">
        <f>Ringkasan!O140</f>
        <v/>
      </c>
      <c r="P141" s="64" t="str">
        <f>Ringkasan!P140</f>
        <v/>
      </c>
      <c r="Q141" s="64" t="str">
        <f>Ringkasan!Q140</f>
        <v/>
      </c>
      <c r="R141" s="64" t="str">
        <f>Ringkasan!R140</f>
        <v/>
      </c>
      <c r="S141" s="64" t="str">
        <f>Ringkasan!S140</f>
        <v/>
      </c>
      <c r="T141" s="64" t="str">
        <f>Ringkasan!T140</f>
        <v/>
      </c>
      <c r="U141" s="64">
        <f>Ringkasan!U140</f>
        <v>9.98</v>
      </c>
      <c r="V141" s="64">
        <f>Ringkasan!V140</f>
        <v>0</v>
      </c>
      <c r="W141" s="64" t="str">
        <f>Ringkasan!W140</f>
        <v/>
      </c>
      <c r="X141" s="64" t="str">
        <f>Ringkasan!X140</f>
        <v/>
      </c>
      <c r="Y141" s="64" t="str">
        <f>Ringkasan!Y140</f>
        <v/>
      </c>
      <c r="Z141" s="64">
        <f>Ringkasan!Z140</f>
        <v>20</v>
      </c>
      <c r="AA141" s="64" t="str">
        <f>Ringkasan!AA140</f>
        <v>Metals &amp; Minerals</v>
      </c>
      <c r="AB141" s="64" t="str">
        <f>Ringkasan!AB140</f>
        <v>Basic Materials</v>
      </c>
    </row>
    <row r="142" hidden="1">
      <c r="A142" s="64" t="str">
        <f>Ringkasan!A141</f>
        <v>ARCI</v>
      </c>
      <c r="B142" s="64" t="str">
        <f>Ringkasan!B141</f>
        <v>Archi Indonesia Tbk.</v>
      </c>
      <c r="C142" s="65">
        <f>Ringkasan!C141</f>
        <v>975</v>
      </c>
      <c r="D142" s="64" t="str">
        <f>Ringkasan!D141</f>
        <v>#N/A</v>
      </c>
      <c r="E142" s="64" t="str">
        <f>Ringkasan!E141</f>
        <v>ESGSKEHATI</v>
      </c>
      <c r="F142" s="66">
        <f>Ringkasan!F141</f>
        <v>46356</v>
      </c>
      <c r="G142" s="65">
        <f>Ringkasan!G141</f>
        <v>6</v>
      </c>
      <c r="H142" s="19">
        <f>Ringkasan!H141</f>
        <v>15</v>
      </c>
      <c r="I142" s="19">
        <f>Ringkasan!I141</f>
        <v>4.6</v>
      </c>
      <c r="J142" s="19">
        <f>Ringkasan!J141</f>
        <v>30.6</v>
      </c>
      <c r="K142" s="19">
        <f>Ringkasan!K141</f>
        <v>11.3</v>
      </c>
      <c r="L142" s="19">
        <f>Ringkasan!L141</f>
        <v>1.7</v>
      </c>
      <c r="M142" s="19">
        <f>Ringkasan!M141</f>
        <v>87.9</v>
      </c>
      <c r="N142" s="64" t="str">
        <f>Ringkasan!N141</f>
        <v/>
      </c>
      <c r="O142" s="64" t="str">
        <f>Ringkasan!O141</f>
        <v/>
      </c>
      <c r="P142" s="64" t="str">
        <f>Ringkasan!P141</f>
        <v/>
      </c>
      <c r="Q142" s="64" t="str">
        <f>Ringkasan!Q141</f>
        <v/>
      </c>
      <c r="R142" s="64" t="str">
        <f>Ringkasan!R141</f>
        <v/>
      </c>
      <c r="S142" s="64" t="str">
        <f>Ringkasan!S141</f>
        <v/>
      </c>
      <c r="T142" s="64" t="str">
        <f>Ringkasan!T141</f>
        <v/>
      </c>
      <c r="U142" s="64">
        <f>Ringkasan!U141</f>
        <v>9.98</v>
      </c>
      <c r="V142" s="64">
        <f>Ringkasan!V141</f>
        <v>0</v>
      </c>
      <c r="W142" s="64" t="str">
        <f>Ringkasan!W141</f>
        <v/>
      </c>
      <c r="X142" s="64" t="str">
        <f>Ringkasan!X141</f>
        <v/>
      </c>
      <c r="Y142" s="64" t="str">
        <f>Ringkasan!Y141</f>
        <v/>
      </c>
      <c r="Z142" s="64">
        <f>Ringkasan!Z141</f>
        <v>20</v>
      </c>
      <c r="AA142" s="64" t="str">
        <f>Ringkasan!AA141</f>
        <v>Metals &amp; Minerals</v>
      </c>
      <c r="AB142" s="64" t="str">
        <f>Ringkasan!AB141</f>
        <v>Basic Materials</v>
      </c>
    </row>
    <row r="143" hidden="1">
      <c r="A143" s="64" t="str">
        <f>Ringkasan!A142</f>
        <v>ARCI</v>
      </c>
      <c r="B143" s="64" t="str">
        <f>Ringkasan!B142</f>
        <v>Archi Indonesia Tbk.</v>
      </c>
      <c r="C143" s="65">
        <f>Ringkasan!C142</f>
        <v>975</v>
      </c>
      <c r="D143" s="64" t="str">
        <f>Ringkasan!D142</f>
        <v>#N/A</v>
      </c>
      <c r="E143" s="64" t="str">
        <f>Ringkasan!E142</f>
        <v>JII30</v>
      </c>
      <c r="F143" s="66">
        <f>Ringkasan!F142</f>
        <v>46356</v>
      </c>
      <c r="G143" s="65">
        <f>Ringkasan!G142</f>
        <v>6</v>
      </c>
      <c r="H143" s="19">
        <f>Ringkasan!H142</f>
        <v>15</v>
      </c>
      <c r="I143" s="19">
        <f>Ringkasan!I142</f>
        <v>4.6</v>
      </c>
      <c r="J143" s="19">
        <f>Ringkasan!J142</f>
        <v>30.6</v>
      </c>
      <c r="K143" s="19">
        <f>Ringkasan!K142</f>
        <v>11.3</v>
      </c>
      <c r="L143" s="19">
        <f>Ringkasan!L142</f>
        <v>1.7</v>
      </c>
      <c r="M143" s="19">
        <f>Ringkasan!M142</f>
        <v>87.9</v>
      </c>
      <c r="N143" s="64" t="str">
        <f>Ringkasan!N142</f>
        <v/>
      </c>
      <c r="O143" s="64" t="str">
        <f>Ringkasan!O142</f>
        <v/>
      </c>
      <c r="P143" s="64" t="str">
        <f>Ringkasan!P142</f>
        <v/>
      </c>
      <c r="Q143" s="64" t="str">
        <f>Ringkasan!Q142</f>
        <v/>
      </c>
      <c r="R143" s="64" t="str">
        <f>Ringkasan!R142</f>
        <v/>
      </c>
      <c r="S143" s="64" t="str">
        <f>Ringkasan!S142</f>
        <v/>
      </c>
      <c r="T143" s="64" t="str">
        <f>Ringkasan!T142</f>
        <v/>
      </c>
      <c r="U143" s="64">
        <f>Ringkasan!U142</f>
        <v>9.98</v>
      </c>
      <c r="V143" s="64">
        <f>Ringkasan!V142</f>
        <v>0</v>
      </c>
      <c r="W143" s="64" t="str">
        <f>Ringkasan!W142</f>
        <v/>
      </c>
      <c r="X143" s="64" t="str">
        <f>Ringkasan!X142</f>
        <v/>
      </c>
      <c r="Y143" s="64" t="str">
        <f>Ringkasan!Y142</f>
        <v/>
      </c>
      <c r="Z143" s="64">
        <f>Ringkasan!Z142</f>
        <v>20</v>
      </c>
      <c r="AA143" s="64" t="str">
        <f>Ringkasan!AA142</f>
        <v>Metals &amp; Minerals</v>
      </c>
      <c r="AB143" s="64" t="str">
        <f>Ringkasan!AB142</f>
        <v>Basic Materials</v>
      </c>
    </row>
    <row r="144" hidden="1">
      <c r="A144" s="64" t="str">
        <f>Ringkasan!A143</f>
        <v>ARCI</v>
      </c>
      <c r="B144" s="64" t="str">
        <f>Ringkasan!B143</f>
        <v>Archi Indonesia Tbk.</v>
      </c>
      <c r="C144" s="65">
        <f>Ringkasan!C143</f>
        <v>975</v>
      </c>
      <c r="D144" s="64" t="str">
        <f>Ringkasan!D143</f>
        <v>#N/A</v>
      </c>
      <c r="E144" s="64" t="str">
        <f>Ringkasan!E143</f>
        <v>JII70</v>
      </c>
      <c r="F144" s="66">
        <f>Ringkasan!F143</f>
        <v>46356</v>
      </c>
      <c r="G144" s="65">
        <f>Ringkasan!G143</f>
        <v>6</v>
      </c>
      <c r="H144" s="19">
        <f>Ringkasan!H143</f>
        <v>15</v>
      </c>
      <c r="I144" s="19">
        <f>Ringkasan!I143</f>
        <v>4.6</v>
      </c>
      <c r="J144" s="19">
        <f>Ringkasan!J143</f>
        <v>30.6</v>
      </c>
      <c r="K144" s="19">
        <f>Ringkasan!K143</f>
        <v>11.3</v>
      </c>
      <c r="L144" s="19">
        <f>Ringkasan!L143</f>
        <v>1.7</v>
      </c>
      <c r="M144" s="19">
        <f>Ringkasan!M143</f>
        <v>87.9</v>
      </c>
      <c r="N144" s="64" t="str">
        <f>Ringkasan!N143</f>
        <v/>
      </c>
      <c r="O144" s="64" t="str">
        <f>Ringkasan!O143</f>
        <v/>
      </c>
      <c r="P144" s="64" t="str">
        <f>Ringkasan!P143</f>
        <v/>
      </c>
      <c r="Q144" s="64" t="str">
        <f>Ringkasan!Q143</f>
        <v/>
      </c>
      <c r="R144" s="64" t="str">
        <f>Ringkasan!R143</f>
        <v/>
      </c>
      <c r="S144" s="64" t="str">
        <f>Ringkasan!S143</f>
        <v/>
      </c>
      <c r="T144" s="64" t="str">
        <f>Ringkasan!T143</f>
        <v/>
      </c>
      <c r="U144" s="64">
        <f>Ringkasan!U143</f>
        <v>9.98</v>
      </c>
      <c r="V144" s="64">
        <f>Ringkasan!V143</f>
        <v>0</v>
      </c>
      <c r="W144" s="64" t="str">
        <f>Ringkasan!W143</f>
        <v/>
      </c>
      <c r="X144" s="64" t="str">
        <f>Ringkasan!X143</f>
        <v/>
      </c>
      <c r="Y144" s="64" t="str">
        <f>Ringkasan!Y143</f>
        <v/>
      </c>
      <c r="Z144" s="64">
        <f>Ringkasan!Z143</f>
        <v>20</v>
      </c>
      <c r="AA144" s="64" t="str">
        <f>Ringkasan!AA143</f>
        <v>Metals &amp; Minerals</v>
      </c>
      <c r="AB144" s="64" t="str">
        <f>Ringkasan!AB143</f>
        <v>Basic Materials</v>
      </c>
    </row>
    <row r="145" hidden="1">
      <c r="A145" s="64" t="str">
        <f>Ringkasan!A144</f>
        <v>AREA</v>
      </c>
      <c r="B145" s="64" t="str">
        <f>Ringkasan!B144</f>
        <v>Dunia Virtual Online Tbk.</v>
      </c>
      <c r="C145" s="65">
        <f>Ringkasan!C144</f>
        <v>226</v>
      </c>
      <c r="D145" s="64" t="str">
        <f>Ringkasan!D144</f>
        <v>#N/A</v>
      </c>
      <c r="E145" s="64" t="str">
        <f>Ringkasan!E144</f>
        <v/>
      </c>
      <c r="F145" s="64" t="str">
        <f>Ringkasan!F144</f>
        <v/>
      </c>
      <c r="G145" s="64">
        <f>Ringkasan!G144</f>
        <v>0</v>
      </c>
      <c r="H145" s="19">
        <f>Ringkasan!H144</f>
        <v>62.1</v>
      </c>
      <c r="I145" s="19">
        <f>Ringkasan!I144</f>
        <v>2.2</v>
      </c>
      <c r="J145" s="19">
        <f>Ringkasan!J144</f>
        <v>3.6</v>
      </c>
      <c r="K145" s="19">
        <f>Ringkasan!K144</f>
        <v>3.2</v>
      </c>
      <c r="L145" s="19">
        <f>Ringkasan!L144</f>
        <v>0.11</v>
      </c>
      <c r="M145" s="19">
        <f>Ringkasan!M144</f>
        <v>45.4</v>
      </c>
      <c r="N145" s="64" t="str">
        <f>Ringkasan!N144</f>
        <v/>
      </c>
      <c r="O145" s="64" t="str">
        <f>Ringkasan!O144</f>
        <v/>
      </c>
      <c r="P145" s="64" t="str">
        <f>Ringkasan!P144</f>
        <v/>
      </c>
      <c r="Q145" s="64" t="str">
        <f>Ringkasan!Q144</f>
        <v/>
      </c>
      <c r="R145" s="64" t="str">
        <f>Ringkasan!R144</f>
        <v/>
      </c>
      <c r="S145" s="64" t="str">
        <f>Ringkasan!S144</f>
        <v/>
      </c>
      <c r="T145" s="64" t="str">
        <f>Ringkasan!T144</f>
        <v/>
      </c>
      <c r="U145" s="64">
        <f>Ringkasan!U144</f>
        <v>206</v>
      </c>
      <c r="V145" s="64">
        <f>Ringkasan!V144</f>
        <v>9.71</v>
      </c>
      <c r="W145" s="64">
        <f>Ringkasan!W144</f>
        <v>200</v>
      </c>
      <c r="X145" s="64">
        <f>Ringkasan!X144</f>
        <v>240</v>
      </c>
      <c r="Y145" s="64">
        <f>Ringkasan!Y144</f>
        <v>200</v>
      </c>
      <c r="Z145" s="64">
        <f>Ringkasan!Z144</f>
        <v>1605600</v>
      </c>
      <c r="AA145" s="64" t="str">
        <f>Ringkasan!AA144</f>
        <v>IT Services &amp; Consulting</v>
      </c>
      <c r="AB145" s="64" t="str">
        <f>Ringkasan!AB144</f>
        <v>Technology</v>
      </c>
    </row>
    <row r="146" hidden="1">
      <c r="A146" s="64" t="str">
        <f>Ringkasan!A145</f>
        <v>ARGO</v>
      </c>
      <c r="B146" s="64" t="str">
        <f>Ringkasan!B145</f>
        <v>Argo Pantes Tbk</v>
      </c>
      <c r="C146" s="65">
        <f>Ringkasan!C145</f>
        <v>850</v>
      </c>
      <c r="D146" s="64" t="str">
        <f>Ringkasan!D145</f>
        <v>#N/A</v>
      </c>
      <c r="E146" s="64" t="str">
        <f>Ringkasan!E145</f>
        <v/>
      </c>
      <c r="F146" s="64" t="str">
        <f>Ringkasan!F145</f>
        <v/>
      </c>
      <c r="G146" s="64">
        <f>Ringkasan!G145</f>
        <v>0</v>
      </c>
      <c r="H146" s="19">
        <f>Ringkasan!H145</f>
        <v>39</v>
      </c>
      <c r="I146" s="19">
        <f>Ringkasan!I145</f>
        <v>14.4</v>
      </c>
      <c r="J146" s="19">
        <f>Ringkasan!J145</f>
        <v>36.9</v>
      </c>
      <c r="K146" s="19">
        <f>Ringkasan!K145</f>
        <v>6.3</v>
      </c>
      <c r="L146" s="19">
        <f>Ringkasan!L145</f>
        <v>4.8</v>
      </c>
      <c r="M146" s="19">
        <f>Ringkasan!M145</f>
        <v>63.4</v>
      </c>
      <c r="N146" s="64" t="str">
        <f>Ringkasan!N145</f>
        <v/>
      </c>
      <c r="O146" s="64" t="str">
        <f>Ringkasan!O145</f>
        <v/>
      </c>
      <c r="P146" s="64" t="str">
        <f>Ringkasan!P145</f>
        <v/>
      </c>
      <c r="Q146" s="64" t="str">
        <f>Ringkasan!Q145</f>
        <v/>
      </c>
      <c r="R146" s="64" t="str">
        <f>Ringkasan!R145</f>
        <v/>
      </c>
      <c r="S146" s="64" t="str">
        <f>Ringkasan!S145</f>
        <v/>
      </c>
      <c r="T146" s="64" t="str">
        <f>Ringkasan!T145</f>
        <v/>
      </c>
      <c r="U146" s="64">
        <f>Ringkasan!U145</f>
        <v>0.82</v>
      </c>
      <c r="V146" s="64">
        <f>Ringkasan!V145</f>
        <v>1.22</v>
      </c>
      <c r="W146" s="64">
        <f>Ringkasan!W145</f>
        <v>0.81</v>
      </c>
      <c r="X146" s="64">
        <f>Ringkasan!X145</f>
        <v>0.83</v>
      </c>
      <c r="Y146" s="64">
        <f>Ringkasan!Y145</f>
        <v>0.81</v>
      </c>
      <c r="Z146" s="64">
        <f>Ringkasan!Z145</f>
        <v>14100</v>
      </c>
      <c r="AA146" s="64" t="str">
        <f>Ringkasan!AA145</f>
        <v>Apparel &amp; Luxury Goods</v>
      </c>
      <c r="AB146" s="64" t="str">
        <f>Ringkasan!AB145</f>
        <v>Consumer Cyclicals</v>
      </c>
    </row>
    <row r="147" hidden="1">
      <c r="A147" s="64" t="str">
        <f>Ringkasan!A146</f>
        <v>ARII</v>
      </c>
      <c r="B147" s="64" t="str">
        <f>Ringkasan!B146</f>
        <v>Atlas Resources Tbk.</v>
      </c>
      <c r="C147" s="65">
        <f>Ringkasan!C146</f>
        <v>284</v>
      </c>
      <c r="D147" s="64" t="str">
        <f>Ringkasan!D146</f>
        <v>#N/A</v>
      </c>
      <c r="E147" s="64" t="str">
        <f>Ringkasan!E146</f>
        <v/>
      </c>
      <c r="F147" s="64" t="str">
        <f>Ringkasan!F146</f>
        <v/>
      </c>
      <c r="G147" s="64">
        <f>Ringkasan!G146</f>
        <v>0</v>
      </c>
      <c r="H147" s="19">
        <f>Ringkasan!H146</f>
        <v>-20.8</v>
      </c>
      <c r="I147" s="19">
        <f>Ringkasan!I146</f>
        <v>0.67</v>
      </c>
      <c r="J147" s="19">
        <f>Ringkasan!J146</f>
        <v>-3.2</v>
      </c>
      <c r="K147" s="19">
        <f>Ringkasan!K146</f>
        <v>-0.47</v>
      </c>
      <c r="L147" s="19">
        <f>Ringkasan!L146</f>
        <v>5.9</v>
      </c>
      <c r="M147" s="19">
        <f>Ringkasan!M146</f>
        <v>-2.7</v>
      </c>
      <c r="N147" s="64" t="str">
        <f>Ringkasan!N146</f>
        <v/>
      </c>
      <c r="O147" s="64" t="str">
        <f>Ringkasan!O146</f>
        <v/>
      </c>
      <c r="P147" s="64" t="str">
        <f>Ringkasan!P146</f>
        <v/>
      </c>
      <c r="Q147" s="64" t="str">
        <f>Ringkasan!Q146</f>
        <v/>
      </c>
      <c r="R147" s="64" t="str">
        <f>Ringkasan!R146</f>
        <v/>
      </c>
      <c r="S147" s="64" t="str">
        <f>Ringkasan!S146</f>
        <v/>
      </c>
      <c r="T147" s="64" t="str">
        <f>Ringkasan!T146</f>
        <v/>
      </c>
      <c r="U147" s="64">
        <f>Ringkasan!U146</f>
        <v>278</v>
      </c>
      <c r="V147" s="64">
        <f>Ringkasan!V146</f>
        <v>2.16</v>
      </c>
      <c r="W147" s="64">
        <f>Ringkasan!W146</f>
        <v>278</v>
      </c>
      <c r="X147" s="64">
        <f>Ringkasan!X146</f>
        <v>286</v>
      </c>
      <c r="Y147" s="64">
        <f>Ringkasan!Y146</f>
        <v>276</v>
      </c>
      <c r="Z147" s="64">
        <f>Ringkasan!Z146</f>
        <v>91600</v>
      </c>
      <c r="AA147" s="64" t="str">
        <f>Ringkasan!AA146</f>
        <v>Coal</v>
      </c>
      <c r="AB147" s="64" t="str">
        <f>Ringkasan!AB146</f>
        <v>Energy</v>
      </c>
    </row>
    <row r="148" hidden="1">
      <c r="A148" s="64" t="str">
        <f>Ringkasan!A147</f>
        <v>ARKA</v>
      </c>
      <c r="B148" s="64" t="str">
        <f>Ringkasan!B147</f>
        <v>Arkha Jayanti Persada Tbk.</v>
      </c>
      <c r="C148" s="65">
        <f>Ringkasan!C147</f>
        <v>27</v>
      </c>
      <c r="D148" s="64" t="str">
        <f>Ringkasan!D147</f>
        <v>#N/A</v>
      </c>
      <c r="E148" s="64" t="str">
        <f>Ringkasan!E147</f>
        <v/>
      </c>
      <c r="F148" s="64" t="str">
        <f>Ringkasan!F147</f>
        <v/>
      </c>
      <c r="G148" s="64">
        <f>Ringkasan!G147</f>
        <v>0</v>
      </c>
      <c r="H148" s="19">
        <f>Ringkasan!H147</f>
        <v>18</v>
      </c>
      <c r="I148" s="19">
        <f>Ringkasan!I147</f>
        <v>0.54</v>
      </c>
      <c r="J148" s="19">
        <f>Ringkasan!J147</f>
        <v>3</v>
      </c>
      <c r="K148" s="19">
        <f>Ringkasan!K147</f>
        <v>0.8</v>
      </c>
      <c r="L148" s="19">
        <f>Ringkasan!L147</f>
        <v>2.8</v>
      </c>
      <c r="M148" s="19">
        <f>Ringkasan!M147</f>
        <v>3.5</v>
      </c>
      <c r="N148" s="64" t="str">
        <f>Ringkasan!N147</f>
        <v/>
      </c>
      <c r="O148" s="64" t="str">
        <f>Ringkasan!O147</f>
        <v/>
      </c>
      <c r="P148" s="64" t="str">
        <f>Ringkasan!P147</f>
        <v/>
      </c>
      <c r="Q148" s="64" t="str">
        <f>Ringkasan!Q147</f>
        <v/>
      </c>
      <c r="R148" s="64" t="str">
        <f>Ringkasan!R147</f>
        <v/>
      </c>
      <c r="S148" s="64" t="str">
        <f>Ringkasan!S147</f>
        <v/>
      </c>
      <c r="T148" s="64" t="str">
        <f>Ringkasan!T147</f>
        <v/>
      </c>
      <c r="U148" s="64">
        <f>Ringkasan!U147</f>
        <v>27</v>
      </c>
      <c r="V148" s="64">
        <f>Ringkasan!V147</f>
        <v>0</v>
      </c>
      <c r="W148" s="64">
        <f>Ringkasan!W147</f>
        <v>28</v>
      </c>
      <c r="X148" s="64">
        <f>Ringkasan!X147</f>
        <v>28</v>
      </c>
      <c r="Y148" s="64">
        <f>Ringkasan!Y147</f>
        <v>27</v>
      </c>
      <c r="Z148" s="64">
        <f>Ringkasan!Z147</f>
        <v>1459800</v>
      </c>
      <c r="AA148" s="64" t="str">
        <f>Ringkasan!AA147</f>
        <v>Machinery</v>
      </c>
      <c r="AB148" s="64" t="str">
        <f>Ringkasan!AB147</f>
        <v>Industrials</v>
      </c>
    </row>
    <row r="149" hidden="1">
      <c r="A149" s="64" t="str">
        <f>Ringkasan!A148</f>
        <v>ARKO</v>
      </c>
      <c r="B149" s="64" t="str">
        <f>Ringkasan!B148</f>
        <v>Arkora Hydro Tbk.</v>
      </c>
      <c r="C149" s="65">
        <f>Ringkasan!C148</f>
        <v>5375</v>
      </c>
      <c r="D149" s="64" t="str">
        <f>Ringkasan!D148</f>
        <v>#N/A</v>
      </c>
      <c r="E149" s="64" t="str">
        <f>Ringkasan!E148</f>
        <v/>
      </c>
      <c r="F149" s="64" t="str">
        <f>Ringkasan!F148</f>
        <v/>
      </c>
      <c r="G149" s="64">
        <f>Ringkasan!G148</f>
        <v>0</v>
      </c>
      <c r="H149" s="19">
        <f>Ringkasan!H148</f>
        <v>300</v>
      </c>
      <c r="I149" s="19">
        <f>Ringkasan!I148</f>
        <v>33.6</v>
      </c>
      <c r="J149" s="19">
        <f>Ringkasan!J148</f>
        <v>11.3</v>
      </c>
      <c r="K149" s="19">
        <f>Ringkasan!K148</f>
        <v>3.5</v>
      </c>
      <c r="L149" s="19">
        <f>Ringkasan!L148</f>
        <v>2.2</v>
      </c>
      <c r="M149" s="19">
        <f>Ringkasan!M148</f>
        <v>88.3</v>
      </c>
      <c r="N149" s="64" t="str">
        <f>Ringkasan!N148</f>
        <v/>
      </c>
      <c r="O149" s="64" t="str">
        <f>Ringkasan!O148</f>
        <v/>
      </c>
      <c r="P149" s="64" t="str">
        <f>Ringkasan!P148</f>
        <v/>
      </c>
      <c r="Q149" s="64" t="str">
        <f>Ringkasan!Q148</f>
        <v/>
      </c>
      <c r="R149" s="64" t="str">
        <f>Ringkasan!R148</f>
        <v/>
      </c>
      <c r="S149" s="64" t="str">
        <f>Ringkasan!S148</f>
        <v/>
      </c>
      <c r="T149" s="64" t="str">
        <f>Ringkasan!T148</f>
        <v/>
      </c>
      <c r="U149" s="64">
        <f>Ringkasan!U148</f>
        <v>8.64</v>
      </c>
      <c r="V149" s="64">
        <f>Ringkasan!V148</f>
        <v>-0.12</v>
      </c>
      <c r="W149" s="64">
        <f>Ringkasan!W148</f>
        <v>8.67</v>
      </c>
      <c r="X149" s="64">
        <f>Ringkasan!X148</f>
        <v>8.76</v>
      </c>
      <c r="Y149" s="64">
        <f>Ringkasan!Y148</f>
        <v>8.38</v>
      </c>
      <c r="Z149" s="64">
        <f>Ringkasan!Z148</f>
        <v>664190</v>
      </c>
      <c r="AA149" s="64" t="str">
        <f>Ringkasan!AA148</f>
        <v>Electric Utilities</v>
      </c>
      <c r="AB149" s="64" t="str">
        <f>Ringkasan!AB148</f>
        <v>Infrastructures</v>
      </c>
    </row>
    <row r="150" hidden="1">
      <c r="A150" s="64" t="str">
        <f>Ringkasan!A149</f>
        <v>ARMY</v>
      </c>
      <c r="B150" s="64" t="str">
        <f>Ringkasan!B149</f>
        <v>Armidian Karyatama Tbk.</v>
      </c>
      <c r="C150" s="65">
        <f>Ringkasan!C149</f>
        <v>50</v>
      </c>
      <c r="D150" s="64" t="str">
        <f>Ringkasan!D149</f>
        <v>#N/A</v>
      </c>
      <c r="E150" s="64" t="str">
        <f>Ringkasan!E149</f>
        <v/>
      </c>
      <c r="F150" s="64" t="str">
        <f>Ringkasan!F149</f>
        <v/>
      </c>
      <c r="G150" s="64">
        <f>Ringkasan!G149</f>
        <v>0</v>
      </c>
      <c r="H150" s="19">
        <f>Ringkasan!H149</f>
        <v>0</v>
      </c>
      <c r="I150" s="19">
        <f>Ringkasan!I149</f>
        <v>0.31</v>
      </c>
      <c r="J150" s="19">
        <f>Ringkasan!J149</f>
        <v>0.37</v>
      </c>
      <c r="K150" s="19">
        <f>Ringkasan!K149</f>
        <v>0.32</v>
      </c>
      <c r="L150" s="19">
        <f>Ringkasan!L149</f>
        <v>0.16</v>
      </c>
      <c r="M150" s="19">
        <f>Ringkasan!M149</f>
        <v>13.3</v>
      </c>
      <c r="N150" s="64" t="str">
        <f>Ringkasan!N149</f>
        <v/>
      </c>
      <c r="O150" s="64" t="str">
        <f>Ringkasan!O149</f>
        <v/>
      </c>
      <c r="P150" s="64" t="str">
        <f>Ringkasan!P149</f>
        <v/>
      </c>
      <c r="Q150" s="64" t="str">
        <f>Ringkasan!Q149</f>
        <v/>
      </c>
      <c r="R150" s="64" t="str">
        <f>Ringkasan!R149</f>
        <v/>
      </c>
      <c r="S150" s="64" t="str">
        <f>Ringkasan!S149</f>
        <v/>
      </c>
      <c r="T150" s="64" t="str">
        <f>Ringkasan!T149</f>
        <v/>
      </c>
      <c r="U150" s="64">
        <f>Ringkasan!U149</f>
        <v>25.53</v>
      </c>
      <c r="V150" s="64">
        <f>Ringkasan!V149</f>
        <v>-3.13</v>
      </c>
      <c r="W150" s="64">
        <f>Ringkasan!W149</f>
        <v>24.73</v>
      </c>
      <c r="X150" s="64">
        <f>Ringkasan!X149</f>
        <v>24.91</v>
      </c>
      <c r="Y150" s="64">
        <f>Ringkasan!Y149</f>
        <v>24.73</v>
      </c>
      <c r="Z150" s="64">
        <f>Ringkasan!Z149</f>
        <v>1380</v>
      </c>
      <c r="AA150" s="64" t="str">
        <f>Ringkasan!AA149</f>
        <v>Real Estate Management &amp; Development</v>
      </c>
      <c r="AB150" s="64" t="str">
        <f>Ringkasan!AB149</f>
        <v>Properties &amp; Real Estate</v>
      </c>
    </row>
    <row r="151" hidden="1">
      <c r="A151" s="64" t="str">
        <f>Ringkasan!A150</f>
        <v>ARNA</v>
      </c>
      <c r="B151" s="64" t="str">
        <f>Ringkasan!B150</f>
        <v>Arwana Citramulia Tbk.</v>
      </c>
      <c r="C151" s="65">
        <f>Ringkasan!C150</f>
        <v>418</v>
      </c>
      <c r="D151" s="64" t="str">
        <f>Ringkasan!D150</f>
        <v>#N/A</v>
      </c>
      <c r="E151" s="64" t="str">
        <f>Ringkasan!E150</f>
        <v/>
      </c>
      <c r="F151" s="64" t="str">
        <f>Ringkasan!F150</f>
        <v/>
      </c>
      <c r="G151" s="65">
        <f>Ringkasan!G150</f>
        <v>0</v>
      </c>
      <c r="H151" s="19">
        <f>Ringkasan!H150</f>
        <v>8.7</v>
      </c>
      <c r="I151" s="19">
        <f>Ringkasan!I150</f>
        <v>1.6</v>
      </c>
      <c r="J151" s="19">
        <f>Ringkasan!J150</f>
        <v>18.8</v>
      </c>
      <c r="K151" s="19">
        <f>Ringkasan!K150</f>
        <v>12.9</v>
      </c>
      <c r="L151" s="19">
        <f>Ringkasan!L150</f>
        <v>0.46</v>
      </c>
      <c r="M151" s="19">
        <f>Ringkasan!M150</f>
        <v>59.9</v>
      </c>
      <c r="N151" s="64" t="str">
        <f>Ringkasan!N150</f>
        <v/>
      </c>
      <c r="O151" s="64" t="str">
        <f>Ringkasan!O150</f>
        <v/>
      </c>
      <c r="P151" s="64" t="str">
        <f>Ringkasan!P150</f>
        <v/>
      </c>
      <c r="Q151" s="64" t="str">
        <f>Ringkasan!Q150</f>
        <v/>
      </c>
      <c r="R151" s="64" t="str">
        <f>Ringkasan!R150</f>
        <v/>
      </c>
      <c r="S151" s="64" t="str">
        <f>Ringkasan!S150</f>
        <v/>
      </c>
      <c r="T151" s="64" t="str">
        <f>Ringkasan!T150</f>
        <v/>
      </c>
      <c r="U151" s="64">
        <f>Ringkasan!U150</f>
        <v>416</v>
      </c>
      <c r="V151" s="64">
        <f>Ringkasan!V150</f>
        <v>0.48</v>
      </c>
      <c r="W151" s="64">
        <f>Ringkasan!W150</f>
        <v>420</v>
      </c>
      <c r="X151" s="64">
        <f>Ringkasan!X150</f>
        <v>436</v>
      </c>
      <c r="Y151" s="64">
        <f>Ringkasan!Y150</f>
        <v>410</v>
      </c>
      <c r="Z151" s="64">
        <f>Ringkasan!Z150</f>
        <v>9533500</v>
      </c>
      <c r="AA151" s="64" t="str">
        <f>Ringkasan!AA150</f>
        <v>Building Products &amp; Fixtures</v>
      </c>
      <c r="AB151" s="64" t="str">
        <f>Ringkasan!AB150</f>
        <v>Industrials</v>
      </c>
    </row>
    <row r="152" hidden="1">
      <c r="A152" s="64" t="str">
        <f>Ringkasan!A151</f>
        <v>ARTA</v>
      </c>
      <c r="B152" s="64" t="str">
        <f>Ringkasan!B151</f>
        <v>Arthavest Tbk</v>
      </c>
      <c r="C152" s="65">
        <f>Ringkasan!C151</f>
        <v>2280</v>
      </c>
      <c r="D152" s="64" t="str">
        <f>Ringkasan!D151</f>
        <v>#N/A</v>
      </c>
      <c r="E152" s="64" t="str">
        <f>Ringkasan!E151</f>
        <v/>
      </c>
      <c r="F152" s="64" t="str">
        <f>Ringkasan!F151</f>
        <v/>
      </c>
      <c r="G152" s="64">
        <f>Ringkasan!G151</f>
        <v>0</v>
      </c>
      <c r="H152" s="19">
        <f>Ringkasan!H151</f>
        <v>-300</v>
      </c>
      <c r="I152" s="19">
        <f>Ringkasan!I151</f>
        <v>4.1</v>
      </c>
      <c r="J152" s="19">
        <f>Ringkasan!J151</f>
        <v>-1.4</v>
      </c>
      <c r="K152" s="19">
        <f>Ringkasan!K151</f>
        <v>-1.3</v>
      </c>
      <c r="L152" s="19">
        <f>Ringkasan!L151</f>
        <v>0.03</v>
      </c>
      <c r="M152" s="19">
        <f>Ringkasan!M151</f>
        <v>-30.6</v>
      </c>
      <c r="N152" s="64" t="str">
        <f>Ringkasan!N151</f>
        <v/>
      </c>
      <c r="O152" s="64" t="str">
        <f>Ringkasan!O151</f>
        <v/>
      </c>
      <c r="P152" s="64" t="str">
        <f>Ringkasan!P151</f>
        <v/>
      </c>
      <c r="Q152" s="64" t="str">
        <f>Ringkasan!Q151</f>
        <v/>
      </c>
      <c r="R152" s="64" t="str">
        <f>Ringkasan!R151</f>
        <v/>
      </c>
      <c r="S152" s="64" t="str">
        <f>Ringkasan!S151</f>
        <v/>
      </c>
      <c r="T152" s="64" t="str">
        <f>Ringkasan!T151</f>
        <v/>
      </c>
      <c r="U152" s="64">
        <f>Ringkasan!U151</f>
        <v>2200</v>
      </c>
      <c r="V152" s="64">
        <f>Ringkasan!V151</f>
        <v>3.64</v>
      </c>
      <c r="W152" s="64">
        <f>Ringkasan!W151</f>
        <v>2210</v>
      </c>
      <c r="X152" s="64">
        <f>Ringkasan!X151</f>
        <v>2280</v>
      </c>
      <c r="Y152" s="64">
        <f>Ringkasan!Y151</f>
        <v>2210</v>
      </c>
      <c r="Z152" s="64">
        <f>Ringkasan!Z151</f>
        <v>500</v>
      </c>
      <c r="AA152" s="64" t="str">
        <f>Ringkasan!AA151</f>
        <v>Tourism &amp; Recreation</v>
      </c>
      <c r="AB152" s="64" t="str">
        <f>Ringkasan!AB151</f>
        <v>Consumer Cyclicals</v>
      </c>
    </row>
    <row r="153" hidden="1">
      <c r="A153" s="64" t="str">
        <f>Ringkasan!A152</f>
        <v>ARTI</v>
      </c>
      <c r="B153" s="64" t="str">
        <f>Ringkasan!B152</f>
        <v>Ratu Prabu Energi Tbk</v>
      </c>
      <c r="C153" s="65">
        <f>Ringkasan!C152</f>
        <v>2</v>
      </c>
      <c r="D153" s="64" t="str">
        <f>Ringkasan!D152</f>
        <v>#N/A</v>
      </c>
      <c r="E153" s="64" t="str">
        <f>Ringkasan!E152</f>
        <v/>
      </c>
      <c r="F153" s="64" t="str">
        <f>Ringkasan!F152</f>
        <v/>
      </c>
      <c r="G153" s="64">
        <f>Ringkasan!G152</f>
        <v>0</v>
      </c>
      <c r="H153" s="19">
        <f>Ringkasan!H152</f>
        <v>5.7</v>
      </c>
      <c r="I153" s="19">
        <f>Ringkasan!I152</f>
        <v>-0.07</v>
      </c>
      <c r="J153" s="19">
        <f>Ringkasan!J152</f>
        <v>0</v>
      </c>
      <c r="K153" s="19">
        <f>Ringkasan!K152</f>
        <v>0.51</v>
      </c>
      <c r="L153" s="19">
        <f>Ringkasan!L152</f>
        <v>-3.5</v>
      </c>
      <c r="M153" s="19">
        <f>Ringkasan!M152</f>
        <v>33.5</v>
      </c>
      <c r="N153" s="64" t="str">
        <f>Ringkasan!N152</f>
        <v/>
      </c>
      <c r="O153" s="64" t="str">
        <f>Ringkasan!O152</f>
        <v/>
      </c>
      <c r="P153" s="64" t="str">
        <f>Ringkasan!P152</f>
        <v/>
      </c>
      <c r="Q153" s="64" t="str">
        <f>Ringkasan!Q152</f>
        <v/>
      </c>
      <c r="R153" s="64" t="str">
        <f>Ringkasan!R152</f>
        <v/>
      </c>
      <c r="S153" s="64" t="str">
        <f>Ringkasan!S152</f>
        <v/>
      </c>
      <c r="T153" s="64" t="str">
        <f>Ringkasan!T152</f>
        <v/>
      </c>
      <c r="U153" s="64" t="str">
        <f>Ringkasan!U152</f>
        <v/>
      </c>
      <c r="V153" s="64">
        <f>Ringkasan!V152</f>
        <v>0.07</v>
      </c>
      <c r="W153" s="64">
        <f>Ringkasan!W152</f>
        <v>15.32</v>
      </c>
      <c r="X153" s="64">
        <f>Ringkasan!X152</f>
        <v>15.33</v>
      </c>
      <c r="Y153" s="64">
        <f>Ringkasan!Y152</f>
        <v>15.31</v>
      </c>
      <c r="Z153" s="64">
        <f>Ringkasan!Z152</f>
        <v>1967</v>
      </c>
      <c r="AA153" s="64" t="str">
        <f>Ringkasan!AA152</f>
        <v>Oil, Gas &amp; Coal Supports</v>
      </c>
      <c r="AB153" s="64" t="str">
        <f>Ringkasan!AB152</f>
        <v>Energy</v>
      </c>
    </row>
    <row r="154" hidden="1">
      <c r="A154" s="64" t="str">
        <f>Ringkasan!A153</f>
        <v>ARTO</v>
      </c>
      <c r="B154" s="64" t="str">
        <f>Ringkasan!B153</f>
        <v>Bank Jago Tbk.</v>
      </c>
      <c r="C154" s="65">
        <f>Ringkasan!C153</f>
        <v>1010</v>
      </c>
      <c r="D154" s="64" t="str">
        <f>Ringkasan!D153</f>
        <v>#N/A</v>
      </c>
      <c r="E154" s="64" t="str">
        <f>Ringkasan!E153</f>
        <v>IDXSMC-LIQ</v>
      </c>
      <c r="F154" s="64" t="str">
        <f>Ringkasan!F153</f>
        <v>4 Agustus 2026</v>
      </c>
      <c r="G154" s="64">
        <f>Ringkasan!G153</f>
        <v>6</v>
      </c>
      <c r="H154" s="19">
        <f>Ringkasan!H153</f>
        <v>54.2</v>
      </c>
      <c r="I154" s="19">
        <f>Ringkasan!I153</f>
        <v>1.8</v>
      </c>
      <c r="J154" s="19">
        <f>Ringkasan!J153</f>
        <v>3.4</v>
      </c>
      <c r="K154" s="19">
        <f>Ringkasan!K153</f>
        <v>0.76</v>
      </c>
      <c r="L154" s="19">
        <f>Ringkasan!L153</f>
        <v>3.4</v>
      </c>
      <c r="M154" s="19">
        <f>Ringkasan!M153</f>
        <v>30</v>
      </c>
      <c r="N154" s="64">
        <f>Ringkasan!N153</f>
        <v>7.34</v>
      </c>
      <c r="O154" s="64">
        <f>Ringkasan!O153</f>
        <v>44.4</v>
      </c>
      <c r="P154" s="64">
        <f>Ringkasan!P153</f>
        <v>94.08</v>
      </c>
      <c r="Q154" s="64">
        <f>Ringkasan!Q153</f>
        <v>0.16</v>
      </c>
      <c r="R154" s="64">
        <f>Ringkasan!R153</f>
        <v>92.35</v>
      </c>
      <c r="S154" s="64">
        <f>Ringkasan!S153</f>
        <v>73.73</v>
      </c>
      <c r="T154" s="19" t="str">
        <f>Ringkasan!T153</f>
        <v/>
      </c>
      <c r="U154" s="64">
        <f>Ringkasan!U153</f>
        <v>9100</v>
      </c>
      <c r="V154" s="64">
        <f>Ringkasan!V153</f>
        <v>0</v>
      </c>
      <c r="W154" s="64" t="str">
        <f>Ringkasan!W153</f>
        <v/>
      </c>
      <c r="X154" s="64" t="str">
        <f>Ringkasan!X153</f>
        <v/>
      </c>
      <c r="Y154" s="64" t="str">
        <f>Ringkasan!Y153</f>
        <v/>
      </c>
      <c r="Z154" s="64">
        <f>Ringkasan!Z153</f>
        <v>0</v>
      </c>
      <c r="AA154" s="64" t="str">
        <f>Ringkasan!AA153</f>
        <v>Banks</v>
      </c>
      <c r="AB154" s="64" t="str">
        <f>Ringkasan!AB153</f>
        <v>Financials</v>
      </c>
    </row>
    <row r="155" hidden="1">
      <c r="A155" s="64" t="str">
        <f>Ringkasan!A154</f>
        <v>ARTO</v>
      </c>
      <c r="B155" s="64" t="str">
        <f>Ringkasan!B154</f>
        <v>Bank Jago Tbk.</v>
      </c>
      <c r="C155" s="65">
        <f>Ringkasan!C154</f>
        <v>1010</v>
      </c>
      <c r="D155" s="64" t="str">
        <f>Ringkasan!D154</f>
        <v>#N/A</v>
      </c>
      <c r="E155" s="64" t="str">
        <f>Ringkasan!E154</f>
        <v>IDX80</v>
      </c>
      <c r="F155" s="64" t="str">
        <f>Ringkasan!F154</f>
        <v>31 Juli 2026</v>
      </c>
      <c r="G155" s="64">
        <f>Ringkasan!G154</f>
        <v>6</v>
      </c>
      <c r="H155" s="19">
        <f>Ringkasan!H154</f>
        <v>54.2</v>
      </c>
      <c r="I155" s="19">
        <f>Ringkasan!I154</f>
        <v>1.8</v>
      </c>
      <c r="J155" s="19">
        <f>Ringkasan!J154</f>
        <v>3.4</v>
      </c>
      <c r="K155" s="19">
        <f>Ringkasan!K154</f>
        <v>0.76</v>
      </c>
      <c r="L155" s="19">
        <f>Ringkasan!L154</f>
        <v>3.4</v>
      </c>
      <c r="M155" s="19">
        <f>Ringkasan!M154</f>
        <v>30</v>
      </c>
      <c r="N155" s="64">
        <f>Ringkasan!N154</f>
        <v>7.34</v>
      </c>
      <c r="O155" s="64">
        <f>Ringkasan!O154</f>
        <v>44.4</v>
      </c>
      <c r="P155" s="64">
        <f>Ringkasan!P154</f>
        <v>94.08</v>
      </c>
      <c r="Q155" s="64">
        <f>Ringkasan!Q154</f>
        <v>0.16</v>
      </c>
      <c r="R155" s="64">
        <f>Ringkasan!R154</f>
        <v>92.35</v>
      </c>
      <c r="S155" s="64">
        <f>Ringkasan!S154</f>
        <v>73.73</v>
      </c>
      <c r="T155" s="19" t="str">
        <f>Ringkasan!T154</f>
        <v/>
      </c>
      <c r="U155" s="64">
        <f>Ringkasan!U154</f>
        <v>9100</v>
      </c>
      <c r="V155" s="64">
        <f>Ringkasan!V154</f>
        <v>0</v>
      </c>
      <c r="W155" s="64" t="str">
        <f>Ringkasan!W154</f>
        <v/>
      </c>
      <c r="X155" s="64" t="str">
        <f>Ringkasan!X154</f>
        <v/>
      </c>
      <c r="Y155" s="64" t="str">
        <f>Ringkasan!Y154</f>
        <v/>
      </c>
      <c r="Z155" s="64">
        <f>Ringkasan!Z154</f>
        <v>0</v>
      </c>
      <c r="AA155" s="64" t="str">
        <f>Ringkasan!AA154</f>
        <v>Banks</v>
      </c>
      <c r="AB155" s="64" t="str">
        <f>Ringkasan!AB154</f>
        <v>Financials</v>
      </c>
    </row>
    <row r="156" hidden="1">
      <c r="A156" s="64" t="str">
        <f>Ringkasan!A155</f>
        <v>ARTO</v>
      </c>
      <c r="B156" s="64" t="str">
        <f>Ringkasan!B155</f>
        <v>Bank Jago Tbk.</v>
      </c>
      <c r="C156" s="65">
        <f>Ringkasan!C155</f>
        <v>1010</v>
      </c>
      <c r="D156" s="64" t="str">
        <f>Ringkasan!D155</f>
        <v>#N/A</v>
      </c>
      <c r="E156" s="64" t="str">
        <f>Ringkasan!E155</f>
        <v>ECONOMIC30</v>
      </c>
      <c r="F156" s="64" t="str">
        <f>Ringkasan!F155</f>
        <v>31 Agustus 2026</v>
      </c>
      <c r="G156" s="64">
        <f>Ringkasan!G155</f>
        <v>6</v>
      </c>
      <c r="H156" s="19">
        <f>Ringkasan!H155</f>
        <v>54.2</v>
      </c>
      <c r="I156" s="19">
        <f>Ringkasan!I155</f>
        <v>1.8</v>
      </c>
      <c r="J156" s="19">
        <f>Ringkasan!J155</f>
        <v>3.4</v>
      </c>
      <c r="K156" s="19">
        <f>Ringkasan!K155</f>
        <v>0.76</v>
      </c>
      <c r="L156" s="19">
        <f>Ringkasan!L155</f>
        <v>3.4</v>
      </c>
      <c r="M156" s="19">
        <f>Ringkasan!M155</f>
        <v>30</v>
      </c>
      <c r="N156" s="64">
        <f>Ringkasan!N155</f>
        <v>7.34</v>
      </c>
      <c r="O156" s="64">
        <f>Ringkasan!O155</f>
        <v>44.4</v>
      </c>
      <c r="P156" s="64">
        <f>Ringkasan!P155</f>
        <v>94.08</v>
      </c>
      <c r="Q156" s="64">
        <f>Ringkasan!Q155</f>
        <v>0.16</v>
      </c>
      <c r="R156" s="64">
        <f>Ringkasan!R155</f>
        <v>92.35</v>
      </c>
      <c r="S156" s="64">
        <f>Ringkasan!S155</f>
        <v>73.73</v>
      </c>
      <c r="T156" s="19" t="str">
        <f>Ringkasan!T155</f>
        <v/>
      </c>
      <c r="U156" s="64">
        <f>Ringkasan!U155</f>
        <v>9100</v>
      </c>
      <c r="V156" s="64">
        <f>Ringkasan!V155</f>
        <v>0</v>
      </c>
      <c r="W156" s="64" t="str">
        <f>Ringkasan!W155</f>
        <v/>
      </c>
      <c r="X156" s="64" t="str">
        <f>Ringkasan!X155</f>
        <v/>
      </c>
      <c r="Y156" s="64" t="str">
        <f>Ringkasan!Y155</f>
        <v/>
      </c>
      <c r="Z156" s="64">
        <f>Ringkasan!Z155</f>
        <v>0</v>
      </c>
      <c r="AA156" s="64" t="str">
        <f>Ringkasan!AA155</f>
        <v>Banks</v>
      </c>
      <c r="AB156" s="64" t="str">
        <f>Ringkasan!AB155</f>
        <v>Financials</v>
      </c>
    </row>
    <row r="157" hidden="1">
      <c r="A157" s="64" t="str">
        <f>Ringkasan!A156</f>
        <v>ARTO</v>
      </c>
      <c r="B157" s="64" t="str">
        <f>Ringkasan!B156</f>
        <v>Bank Jago Tbk.</v>
      </c>
      <c r="C157" s="65">
        <f>Ringkasan!C156</f>
        <v>1010</v>
      </c>
      <c r="D157" s="64" t="str">
        <f>Ringkasan!D156</f>
        <v>#N/A</v>
      </c>
      <c r="E157" s="64" t="str">
        <f>Ringkasan!E156</f>
        <v>Kompas100</v>
      </c>
      <c r="F157" s="64" t="str">
        <f>Ringkasan!F156</f>
        <v>31 Juli 2026</v>
      </c>
      <c r="G157" s="64">
        <f>Ringkasan!G156</f>
        <v>6</v>
      </c>
      <c r="H157" s="19">
        <f>Ringkasan!H156</f>
        <v>54.2</v>
      </c>
      <c r="I157" s="19">
        <f>Ringkasan!I156</f>
        <v>1.8</v>
      </c>
      <c r="J157" s="19">
        <f>Ringkasan!J156</f>
        <v>3.4</v>
      </c>
      <c r="K157" s="19">
        <f>Ringkasan!K156</f>
        <v>0.76</v>
      </c>
      <c r="L157" s="19">
        <f>Ringkasan!L156</f>
        <v>3.4</v>
      </c>
      <c r="M157" s="19">
        <f>Ringkasan!M156</f>
        <v>30</v>
      </c>
      <c r="N157" s="64">
        <f>Ringkasan!N156</f>
        <v>7.34</v>
      </c>
      <c r="O157" s="64">
        <f>Ringkasan!O156</f>
        <v>44.4</v>
      </c>
      <c r="P157" s="64">
        <f>Ringkasan!P156</f>
        <v>94.08</v>
      </c>
      <c r="Q157" s="64">
        <f>Ringkasan!Q156</f>
        <v>0.16</v>
      </c>
      <c r="R157" s="64">
        <f>Ringkasan!R156</f>
        <v>92.35</v>
      </c>
      <c r="S157" s="64">
        <f>Ringkasan!S156</f>
        <v>73.73</v>
      </c>
      <c r="T157" s="19" t="str">
        <f>Ringkasan!T156</f>
        <v/>
      </c>
      <c r="U157" s="64">
        <f>Ringkasan!U156</f>
        <v>9100</v>
      </c>
      <c r="V157" s="64">
        <f>Ringkasan!V156</f>
        <v>0</v>
      </c>
      <c r="W157" s="64" t="str">
        <f>Ringkasan!W156</f>
        <v/>
      </c>
      <c r="X157" s="64" t="str">
        <f>Ringkasan!X156</f>
        <v/>
      </c>
      <c r="Y157" s="64" t="str">
        <f>Ringkasan!Y156</f>
        <v/>
      </c>
      <c r="Z157" s="64">
        <f>Ringkasan!Z156</f>
        <v>0</v>
      </c>
      <c r="AA157" s="64" t="str">
        <f>Ringkasan!AA156</f>
        <v>Banks</v>
      </c>
      <c r="AB157" s="64" t="str">
        <f>Ringkasan!AB156</f>
        <v>Financials</v>
      </c>
    </row>
    <row r="158" hidden="1">
      <c r="A158" s="64" t="str">
        <f>Ringkasan!A157</f>
        <v>ARTO</v>
      </c>
      <c r="B158" s="64" t="str">
        <f>Ringkasan!B157</f>
        <v>Bank Jago Tbk.</v>
      </c>
      <c r="C158" s="65">
        <f>Ringkasan!C157</f>
        <v>1010</v>
      </c>
      <c r="D158" s="64" t="str">
        <f>Ringkasan!D157</f>
        <v>#N/A</v>
      </c>
      <c r="E158" s="64" t="str">
        <f>Ringkasan!E157</f>
        <v>Infobank15</v>
      </c>
      <c r="F158" s="64" t="str">
        <f>Ringkasan!F157</f>
        <v>30 Juni 2026</v>
      </c>
      <c r="G158" s="64">
        <f>Ringkasan!G157</f>
        <v>6</v>
      </c>
      <c r="H158" s="19">
        <f>Ringkasan!H157</f>
        <v>54.2</v>
      </c>
      <c r="I158" s="19">
        <f>Ringkasan!I157</f>
        <v>1.8</v>
      </c>
      <c r="J158" s="19">
        <f>Ringkasan!J157</f>
        <v>3.4</v>
      </c>
      <c r="K158" s="19">
        <f>Ringkasan!K157</f>
        <v>0.76</v>
      </c>
      <c r="L158" s="19">
        <f>Ringkasan!L157</f>
        <v>3.4</v>
      </c>
      <c r="M158" s="19">
        <f>Ringkasan!M157</f>
        <v>30</v>
      </c>
      <c r="N158" s="64">
        <f>Ringkasan!N157</f>
        <v>7.34</v>
      </c>
      <c r="O158" s="64">
        <f>Ringkasan!O157</f>
        <v>44.4</v>
      </c>
      <c r="P158" s="64">
        <f>Ringkasan!P157</f>
        <v>94.08</v>
      </c>
      <c r="Q158" s="64">
        <f>Ringkasan!Q157</f>
        <v>0.16</v>
      </c>
      <c r="R158" s="64">
        <f>Ringkasan!R157</f>
        <v>92.35</v>
      </c>
      <c r="S158" s="64">
        <f>Ringkasan!S157</f>
        <v>73.73</v>
      </c>
      <c r="T158" s="19" t="str">
        <f>Ringkasan!T157</f>
        <v/>
      </c>
      <c r="U158" s="64">
        <f>Ringkasan!U157</f>
        <v>9100</v>
      </c>
      <c r="V158" s="64">
        <f>Ringkasan!V157</f>
        <v>0</v>
      </c>
      <c r="W158" s="64" t="str">
        <f>Ringkasan!W157</f>
        <v/>
      </c>
      <c r="X158" s="64" t="str">
        <f>Ringkasan!X157</f>
        <v/>
      </c>
      <c r="Y158" s="64" t="str">
        <f>Ringkasan!Y157</f>
        <v/>
      </c>
      <c r="Z158" s="64">
        <f>Ringkasan!Z157</f>
        <v>0</v>
      </c>
      <c r="AA158" s="64" t="str">
        <f>Ringkasan!AA157</f>
        <v>Banks</v>
      </c>
      <c r="AB158" s="64" t="str">
        <f>Ringkasan!AB157</f>
        <v>Financials</v>
      </c>
    </row>
    <row r="159" hidden="1">
      <c r="A159" s="64" t="str">
        <f>Ringkasan!A158</f>
        <v>ARTO</v>
      </c>
      <c r="B159" s="64" t="str">
        <f>Ringkasan!B158</f>
        <v>Bank Jago Tbk.</v>
      </c>
      <c r="C159" s="65">
        <f>Ringkasan!C158</f>
        <v>1010</v>
      </c>
      <c r="D159" s="64" t="str">
        <f>Ringkasan!D158</f>
        <v>#N/A</v>
      </c>
      <c r="E159" s="64" t="str">
        <f>Ringkasan!E158</f>
        <v>MSCI Small Cap</v>
      </c>
      <c r="F159" s="64" t="str">
        <f>Ringkasan!F158</f>
        <v>12 Agustus 2026</v>
      </c>
      <c r="G159" s="64">
        <f>Ringkasan!G158</f>
        <v>6</v>
      </c>
      <c r="H159" s="19">
        <f>Ringkasan!H158</f>
        <v>54.2</v>
      </c>
      <c r="I159" s="19">
        <f>Ringkasan!I158</f>
        <v>1.8</v>
      </c>
      <c r="J159" s="19">
        <f>Ringkasan!J158</f>
        <v>3.4</v>
      </c>
      <c r="K159" s="19">
        <f>Ringkasan!K158</f>
        <v>0.76</v>
      </c>
      <c r="L159" s="19">
        <f>Ringkasan!L158</f>
        <v>3.4</v>
      </c>
      <c r="M159" s="19">
        <f>Ringkasan!M158</f>
        <v>30</v>
      </c>
      <c r="N159" s="64">
        <f>Ringkasan!N158</f>
        <v>7.34</v>
      </c>
      <c r="O159" s="64">
        <f>Ringkasan!O158</f>
        <v>44.4</v>
      </c>
      <c r="P159" s="64">
        <f>Ringkasan!P158</f>
        <v>94.08</v>
      </c>
      <c r="Q159" s="64">
        <f>Ringkasan!Q158</f>
        <v>0.16</v>
      </c>
      <c r="R159" s="64">
        <f>Ringkasan!R158</f>
        <v>92.35</v>
      </c>
      <c r="S159" s="64">
        <f>Ringkasan!S158</f>
        <v>73.73</v>
      </c>
      <c r="T159" s="64" t="str">
        <f>Ringkasan!T158</f>
        <v/>
      </c>
      <c r="U159" s="64">
        <f>Ringkasan!U158</f>
        <v>9100</v>
      </c>
      <c r="V159" s="64">
        <f>Ringkasan!V158</f>
        <v>0</v>
      </c>
      <c r="W159" s="64" t="str">
        <f>Ringkasan!W158</f>
        <v/>
      </c>
      <c r="X159" s="64" t="str">
        <f>Ringkasan!X158</f>
        <v/>
      </c>
      <c r="Y159" s="64" t="str">
        <f>Ringkasan!Y158</f>
        <v/>
      </c>
      <c r="Z159" s="64">
        <f>Ringkasan!Z158</f>
        <v>0</v>
      </c>
      <c r="AA159" s="64" t="str">
        <f>Ringkasan!AA158</f>
        <v>Banks</v>
      </c>
      <c r="AB159" s="64" t="str">
        <f>Ringkasan!AB158</f>
        <v>Financials</v>
      </c>
    </row>
    <row r="160" hidden="1">
      <c r="A160" s="64" t="str">
        <f>Ringkasan!A159</f>
        <v>ASBI</v>
      </c>
      <c r="B160" s="64" t="str">
        <f>Ringkasan!B159</f>
        <v>Asuransi Bintang Tbk.</v>
      </c>
      <c r="C160" s="65">
        <f>Ringkasan!C159</f>
        <v>398</v>
      </c>
      <c r="D160" s="64" t="str">
        <f>Ringkasan!D159</f>
        <v>#N/A</v>
      </c>
      <c r="E160" s="64" t="str">
        <f>Ringkasan!E159</f>
        <v/>
      </c>
      <c r="F160" s="64" t="str">
        <f>Ringkasan!F159</f>
        <v/>
      </c>
      <c r="G160" s="64">
        <f>Ringkasan!G159</f>
        <v>0</v>
      </c>
      <c r="H160" s="19">
        <f>Ringkasan!H159</f>
        <v>6.4</v>
      </c>
      <c r="I160" s="19">
        <f>Ringkasan!I159</f>
        <v>0.3</v>
      </c>
      <c r="J160" s="19">
        <f>Ringkasan!J159</f>
        <v>4.7</v>
      </c>
      <c r="K160" s="19">
        <f>Ringkasan!K159</f>
        <v>2.6</v>
      </c>
      <c r="L160" s="19">
        <f>Ringkasan!L159</f>
        <v>0.84</v>
      </c>
      <c r="M160" s="19">
        <f>Ringkasan!M159</f>
        <v>30.3</v>
      </c>
      <c r="N160" s="64" t="str">
        <f>Ringkasan!N159</f>
        <v/>
      </c>
      <c r="O160" s="64" t="str">
        <f>Ringkasan!O159</f>
        <v/>
      </c>
      <c r="P160" s="64" t="str">
        <f>Ringkasan!P159</f>
        <v/>
      </c>
      <c r="Q160" s="64" t="str">
        <f>Ringkasan!Q159</f>
        <v/>
      </c>
      <c r="R160" s="64" t="str">
        <f>Ringkasan!R159</f>
        <v/>
      </c>
      <c r="S160" s="64" t="str">
        <f>Ringkasan!S159</f>
        <v/>
      </c>
      <c r="T160" s="64" t="str">
        <f>Ringkasan!T159</f>
        <v/>
      </c>
      <c r="U160" s="64">
        <f>Ringkasan!U159</f>
        <v>404</v>
      </c>
      <c r="V160" s="64">
        <f>Ringkasan!V159</f>
        <v>-1.49</v>
      </c>
      <c r="W160" s="64">
        <f>Ringkasan!W159</f>
        <v>404</v>
      </c>
      <c r="X160" s="64">
        <f>Ringkasan!X159</f>
        <v>418</v>
      </c>
      <c r="Y160" s="64">
        <f>Ringkasan!Y159</f>
        <v>398</v>
      </c>
      <c r="Z160" s="64">
        <f>Ringkasan!Z159</f>
        <v>7300</v>
      </c>
      <c r="AA160" s="64" t="str">
        <f>Ringkasan!AA159</f>
        <v>Insurance</v>
      </c>
      <c r="AB160" s="64" t="str">
        <f>Ringkasan!AB159</f>
        <v>Financials</v>
      </c>
    </row>
    <row r="161" hidden="1">
      <c r="A161" s="64" t="str">
        <f>Ringkasan!A160</f>
        <v>ASDM</v>
      </c>
      <c r="B161" s="64" t="str">
        <f>Ringkasan!B160</f>
        <v>Asuransi Dayin Mitra Tbk.</v>
      </c>
      <c r="C161" s="65">
        <f>Ringkasan!C160</f>
        <v>510</v>
      </c>
      <c r="D161" s="64" t="str">
        <f>Ringkasan!D160</f>
        <v>#N/A</v>
      </c>
      <c r="E161" s="64" t="str">
        <f>Ringkasan!E160</f>
        <v/>
      </c>
      <c r="F161" s="64" t="str">
        <f>Ringkasan!F160</f>
        <v/>
      </c>
      <c r="G161" s="64">
        <f>Ringkasan!G160</f>
        <v>0</v>
      </c>
      <c r="H161" s="19">
        <f>Ringkasan!H160</f>
        <v>12.1</v>
      </c>
      <c r="I161" s="19">
        <f>Ringkasan!I160</f>
        <v>0.54</v>
      </c>
      <c r="J161" s="19">
        <f>Ringkasan!J160</f>
        <v>4.5</v>
      </c>
      <c r="K161" s="19">
        <f>Ringkasan!K160</f>
        <v>1.9</v>
      </c>
      <c r="L161" s="19">
        <f>Ringkasan!L160</f>
        <v>1.3</v>
      </c>
      <c r="M161" s="19">
        <f>Ringkasan!M160</f>
        <v>8.2</v>
      </c>
      <c r="N161" s="64" t="str">
        <f>Ringkasan!N160</f>
        <v/>
      </c>
      <c r="O161" s="64" t="str">
        <f>Ringkasan!O160</f>
        <v/>
      </c>
      <c r="P161" s="64" t="str">
        <f>Ringkasan!P160</f>
        <v/>
      </c>
      <c r="Q161" s="64" t="str">
        <f>Ringkasan!Q160</f>
        <v/>
      </c>
      <c r="R161" s="64" t="str">
        <f>Ringkasan!R160</f>
        <v/>
      </c>
      <c r="S161" s="64" t="str">
        <f>Ringkasan!S160</f>
        <v/>
      </c>
      <c r="T161" s="64" t="str">
        <f>Ringkasan!T160</f>
        <v/>
      </c>
      <c r="U161" s="64">
        <f>Ringkasan!U160</f>
        <v>500</v>
      </c>
      <c r="V161" s="64">
        <f>Ringkasan!V160</f>
        <v>2</v>
      </c>
      <c r="W161" s="64">
        <f>Ringkasan!W160</f>
        <v>500</v>
      </c>
      <c r="X161" s="64">
        <f>Ringkasan!X160</f>
        <v>515</v>
      </c>
      <c r="Y161" s="64">
        <f>Ringkasan!Y160</f>
        <v>500</v>
      </c>
      <c r="Z161" s="64">
        <f>Ringkasan!Z160</f>
        <v>15800</v>
      </c>
      <c r="AA161" s="64" t="str">
        <f>Ringkasan!AA160</f>
        <v>Insurance</v>
      </c>
      <c r="AB161" s="64" t="str">
        <f>Ringkasan!AB160</f>
        <v>Financials</v>
      </c>
    </row>
    <row r="162" hidden="1">
      <c r="A162" s="64" t="str">
        <f>Ringkasan!A161</f>
        <v>ASGR</v>
      </c>
      <c r="B162" s="64" t="str">
        <f>Ringkasan!B161</f>
        <v>Astra Graphia Tbk.</v>
      </c>
      <c r="C162" s="65">
        <f>Ringkasan!C161</f>
        <v>1490</v>
      </c>
      <c r="D162" s="64" t="str">
        <f>Ringkasan!D161</f>
        <v>#N/A</v>
      </c>
      <c r="E162" s="64" t="str">
        <f>Ringkasan!E161</f>
        <v/>
      </c>
      <c r="F162" s="64" t="str">
        <f>Ringkasan!F161</f>
        <v/>
      </c>
      <c r="G162" s="65">
        <f>Ringkasan!G161</f>
        <v>0</v>
      </c>
      <c r="H162" s="19">
        <f>Ringkasan!H161</f>
        <v>6.7</v>
      </c>
      <c r="I162" s="19">
        <f>Ringkasan!I161</f>
        <v>0.91</v>
      </c>
      <c r="J162" s="19">
        <f>Ringkasan!J161</f>
        <v>13.6</v>
      </c>
      <c r="K162" s="19">
        <f>Ringkasan!K161</f>
        <v>9.6</v>
      </c>
      <c r="L162" s="19">
        <f>Ringkasan!L161</f>
        <v>0.41</v>
      </c>
      <c r="M162" s="19">
        <f>Ringkasan!M161</f>
        <v>38.6</v>
      </c>
      <c r="N162" s="64" t="str">
        <f>Ringkasan!N161</f>
        <v/>
      </c>
      <c r="O162" s="64" t="str">
        <f>Ringkasan!O161</f>
        <v/>
      </c>
      <c r="P162" s="64" t="str">
        <f>Ringkasan!P161</f>
        <v/>
      </c>
      <c r="Q162" s="64" t="str">
        <f>Ringkasan!Q161</f>
        <v/>
      </c>
      <c r="R162" s="64" t="str">
        <f>Ringkasan!R161</f>
        <v/>
      </c>
      <c r="S162" s="64" t="str">
        <f>Ringkasan!S161</f>
        <v/>
      </c>
      <c r="T162" s="64" t="str">
        <f>Ringkasan!T161</f>
        <v/>
      </c>
      <c r="U162" s="64">
        <f>Ringkasan!U161</f>
        <v>1455</v>
      </c>
      <c r="V162" s="64">
        <f>Ringkasan!V161</f>
        <v>2.41</v>
      </c>
      <c r="W162" s="64">
        <f>Ringkasan!W161</f>
        <v>1455</v>
      </c>
      <c r="X162" s="64">
        <f>Ringkasan!X161</f>
        <v>1510</v>
      </c>
      <c r="Y162" s="64">
        <f>Ringkasan!Y161</f>
        <v>1455</v>
      </c>
      <c r="Z162" s="64">
        <f>Ringkasan!Z161</f>
        <v>709300</v>
      </c>
      <c r="AA162" s="64" t="str">
        <f>Ringkasan!AA161</f>
        <v>Commercial Services</v>
      </c>
      <c r="AB162" s="64" t="str">
        <f>Ringkasan!AB161</f>
        <v>Industrials</v>
      </c>
    </row>
    <row r="163" hidden="1">
      <c r="A163" s="64" t="str">
        <f>Ringkasan!A162</f>
        <v>ASHA</v>
      </c>
      <c r="B163" s="64" t="str">
        <f>Ringkasan!B162</f>
        <v>Cilacap Samudera Fishing Industry Tbk.</v>
      </c>
      <c r="C163" s="65">
        <f>Ringkasan!C162</f>
        <v>59</v>
      </c>
      <c r="D163" s="64" t="str">
        <f>Ringkasan!D162</f>
        <v>#N/A</v>
      </c>
      <c r="E163" s="64" t="str">
        <f>Ringkasan!E162</f>
        <v/>
      </c>
      <c r="F163" s="64" t="str">
        <f>Ringkasan!F162</f>
        <v/>
      </c>
      <c r="G163" s="64">
        <f>Ringkasan!G162</f>
        <v>0</v>
      </c>
      <c r="H163" s="19">
        <f>Ringkasan!H162</f>
        <v>-16.4</v>
      </c>
      <c r="I163" s="19">
        <f>Ringkasan!I162</f>
        <v>3</v>
      </c>
      <c r="J163" s="19">
        <f>Ringkasan!J162</f>
        <v>-18.5</v>
      </c>
      <c r="K163" s="19">
        <f>Ringkasan!K162</f>
        <v>-15.3</v>
      </c>
      <c r="L163" s="19">
        <f>Ringkasan!L162</f>
        <v>0.21</v>
      </c>
      <c r="M163" s="19">
        <f>Ringkasan!M162</f>
        <v>-46.7</v>
      </c>
      <c r="N163" s="64" t="str">
        <f>Ringkasan!N162</f>
        <v/>
      </c>
      <c r="O163" s="64" t="str">
        <f>Ringkasan!O162</f>
        <v/>
      </c>
      <c r="P163" s="64" t="str">
        <f>Ringkasan!P162</f>
        <v/>
      </c>
      <c r="Q163" s="64" t="str">
        <f>Ringkasan!Q162</f>
        <v/>
      </c>
      <c r="R163" s="64" t="str">
        <f>Ringkasan!R162</f>
        <v/>
      </c>
      <c r="S163" s="64" t="str">
        <f>Ringkasan!S162</f>
        <v/>
      </c>
      <c r="T163" s="64" t="str">
        <f>Ringkasan!T162</f>
        <v/>
      </c>
      <c r="U163" s="64">
        <f>Ringkasan!U162</f>
        <v>57</v>
      </c>
      <c r="V163" s="64">
        <f>Ringkasan!V162</f>
        <v>3.51</v>
      </c>
      <c r="W163" s="64">
        <f>Ringkasan!W162</f>
        <v>57</v>
      </c>
      <c r="X163" s="64">
        <f>Ringkasan!X162</f>
        <v>60</v>
      </c>
      <c r="Y163" s="64">
        <f>Ringkasan!Y162</f>
        <v>56</v>
      </c>
      <c r="Z163" s="64">
        <f>Ringkasan!Z162</f>
        <v>45765700</v>
      </c>
      <c r="AA163" s="64" t="str">
        <f>Ringkasan!AA162</f>
        <v>Agricultural Products</v>
      </c>
      <c r="AB163" s="64" t="str">
        <f>Ringkasan!AB162</f>
        <v>Consumer Non-Cyclicals</v>
      </c>
    </row>
    <row r="164" hidden="1">
      <c r="A164" s="64" t="str">
        <f>Ringkasan!A163</f>
        <v>ASII</v>
      </c>
      <c r="B164" s="64" t="str">
        <f>Ringkasan!B163</f>
        <v>Astra International Tbk</v>
      </c>
      <c r="C164" s="65">
        <f>Ringkasan!C163</f>
        <v>4740</v>
      </c>
      <c r="D164" s="64" t="str">
        <f>Ringkasan!D163</f>
        <v>#N/A</v>
      </c>
      <c r="E164" s="64" t="str">
        <f>Ringkasan!E163</f>
        <v>ESGQKEHATI</v>
      </c>
      <c r="F164" s="66">
        <f>Ringkasan!F163</f>
        <v>46356</v>
      </c>
      <c r="G164" s="64">
        <f>Ringkasan!G163</f>
        <v>16</v>
      </c>
      <c r="H164" s="19">
        <f>Ringkasan!H163</f>
        <v>6.4</v>
      </c>
      <c r="I164" s="19">
        <f>Ringkasan!I163</f>
        <v>0.69</v>
      </c>
      <c r="J164" s="19">
        <f>Ringkasan!J163</f>
        <v>10.8</v>
      </c>
      <c r="K164" s="19">
        <f>Ringkasan!K163</f>
        <v>6.1</v>
      </c>
      <c r="L164" s="19">
        <f>Ringkasan!L163</f>
        <v>0.77</v>
      </c>
      <c r="M164" s="19">
        <f>Ringkasan!M163</f>
        <v>40.3</v>
      </c>
      <c r="N164" s="64" t="str">
        <f>Ringkasan!N163</f>
        <v/>
      </c>
      <c r="O164" s="64" t="str">
        <f>Ringkasan!O163</f>
        <v/>
      </c>
      <c r="P164" s="64" t="str">
        <f>Ringkasan!P163</f>
        <v/>
      </c>
      <c r="Q164" s="64" t="str">
        <f>Ringkasan!Q163</f>
        <v/>
      </c>
      <c r="R164" s="64" t="str">
        <f>Ringkasan!R163</f>
        <v/>
      </c>
      <c r="S164" s="64" t="str">
        <f>Ringkasan!S163</f>
        <v/>
      </c>
      <c r="T164" s="64" t="str">
        <f>Ringkasan!T163</f>
        <v/>
      </c>
      <c r="U164" s="64">
        <f>Ringkasan!U163</f>
        <v>0</v>
      </c>
      <c r="V164" s="64">
        <f>Ringkasan!V163</f>
        <v>0</v>
      </c>
      <c r="W164" s="64">
        <f>Ringkasan!W163</f>
        <v>0</v>
      </c>
      <c r="X164" s="64">
        <f>Ringkasan!X163</f>
        <v>0</v>
      </c>
      <c r="Y164" s="64">
        <f>Ringkasan!Y163</f>
        <v>0</v>
      </c>
      <c r="Z164" s="64">
        <f>Ringkasan!Z163</f>
        <v>4632235</v>
      </c>
      <c r="AA164" s="64" t="str">
        <f>Ringkasan!AA163</f>
        <v>Multi-sector Holdings</v>
      </c>
      <c r="AB164" s="64" t="str">
        <f>Ringkasan!AB163</f>
        <v>Industrials</v>
      </c>
    </row>
    <row r="165" hidden="1">
      <c r="A165" s="64" t="str">
        <f>Ringkasan!A164</f>
        <v>ASII</v>
      </c>
      <c r="B165" s="64" t="str">
        <f>Ringkasan!B164</f>
        <v>Astra International Tbk</v>
      </c>
      <c r="C165" s="65">
        <f>Ringkasan!C164</f>
        <v>4740</v>
      </c>
      <c r="D165" s="64" t="str">
        <f>Ringkasan!D164</f>
        <v>#N/A</v>
      </c>
      <c r="E165" s="64" t="str">
        <f>Ringkasan!E164</f>
        <v>MSCI Global Standard</v>
      </c>
      <c r="F165" s="64" t="str">
        <f>Ringkasan!F164</f>
        <v>12 Agustus 2026</v>
      </c>
      <c r="G165" s="64">
        <f>Ringkasan!G164</f>
        <v>16</v>
      </c>
      <c r="H165" s="19">
        <f>Ringkasan!H164</f>
        <v>6.4</v>
      </c>
      <c r="I165" s="19">
        <f>Ringkasan!I164</f>
        <v>0.69</v>
      </c>
      <c r="J165" s="19">
        <f>Ringkasan!J164</f>
        <v>10.8</v>
      </c>
      <c r="K165" s="19">
        <f>Ringkasan!K164</f>
        <v>6.1</v>
      </c>
      <c r="L165" s="19">
        <f>Ringkasan!L164</f>
        <v>0.77</v>
      </c>
      <c r="M165" s="19">
        <f>Ringkasan!M164</f>
        <v>40.3</v>
      </c>
      <c r="N165" s="64" t="str">
        <f>Ringkasan!N164</f>
        <v/>
      </c>
      <c r="O165" s="64" t="str">
        <f>Ringkasan!O164</f>
        <v/>
      </c>
      <c r="P165" s="64" t="str">
        <f>Ringkasan!P164</f>
        <v/>
      </c>
      <c r="Q165" s="64" t="str">
        <f>Ringkasan!Q164</f>
        <v/>
      </c>
      <c r="R165" s="64" t="str">
        <f>Ringkasan!R164</f>
        <v/>
      </c>
      <c r="S165" s="64" t="str">
        <f>Ringkasan!S164</f>
        <v/>
      </c>
      <c r="T165" s="64" t="str">
        <f>Ringkasan!T164</f>
        <v/>
      </c>
      <c r="U165" s="64">
        <f>Ringkasan!U164</f>
        <v>0</v>
      </c>
      <c r="V165" s="64">
        <f>Ringkasan!V164</f>
        <v>0</v>
      </c>
      <c r="W165" s="64">
        <f>Ringkasan!W164</f>
        <v>0</v>
      </c>
      <c r="X165" s="64">
        <f>Ringkasan!X164</f>
        <v>0</v>
      </c>
      <c r="Y165" s="64">
        <f>Ringkasan!Y164</f>
        <v>0</v>
      </c>
      <c r="Z165" s="64">
        <f>Ringkasan!Z164</f>
        <v>4632235</v>
      </c>
      <c r="AA165" s="64" t="str">
        <f>Ringkasan!AA164</f>
        <v>Multi-sector Holdings</v>
      </c>
      <c r="AB165" s="64" t="str">
        <f>Ringkasan!AB164</f>
        <v>Industrials</v>
      </c>
    </row>
    <row r="166" hidden="1">
      <c r="A166" s="64" t="str">
        <f>Ringkasan!A165</f>
        <v>ASII</v>
      </c>
      <c r="B166" s="64" t="str">
        <f>Ringkasan!B165</f>
        <v>Astra International Tbk</v>
      </c>
      <c r="C166" s="65">
        <f>Ringkasan!C165</f>
        <v>4740</v>
      </c>
      <c r="D166" s="64" t="str">
        <f>Ringkasan!D165</f>
        <v>#N/A</v>
      </c>
      <c r="E166" s="64" t="str">
        <f>Ringkasan!E165</f>
        <v>IDXQ30</v>
      </c>
      <c r="F166" s="64" t="str">
        <f>Ringkasan!F165</f>
        <v>4 Agustus 2026</v>
      </c>
      <c r="G166" s="64">
        <f>Ringkasan!G165</f>
        <v>16</v>
      </c>
      <c r="H166" s="19">
        <f>Ringkasan!H165</f>
        <v>6.4</v>
      </c>
      <c r="I166" s="19">
        <f>Ringkasan!I165</f>
        <v>0.69</v>
      </c>
      <c r="J166" s="19">
        <f>Ringkasan!J165</f>
        <v>10.8</v>
      </c>
      <c r="K166" s="19">
        <f>Ringkasan!K165</f>
        <v>6.1</v>
      </c>
      <c r="L166" s="19">
        <f>Ringkasan!L165</f>
        <v>0.77</v>
      </c>
      <c r="M166" s="19">
        <f>Ringkasan!M165</f>
        <v>40.3</v>
      </c>
      <c r="N166" s="64" t="str">
        <f>Ringkasan!N165</f>
        <v/>
      </c>
      <c r="O166" s="64" t="str">
        <f>Ringkasan!O165</f>
        <v/>
      </c>
      <c r="P166" s="64" t="str">
        <f>Ringkasan!P165</f>
        <v/>
      </c>
      <c r="Q166" s="64" t="str">
        <f>Ringkasan!Q165</f>
        <v/>
      </c>
      <c r="R166" s="64" t="str">
        <f>Ringkasan!R165</f>
        <v/>
      </c>
      <c r="S166" s="64" t="str">
        <f>Ringkasan!S165</f>
        <v/>
      </c>
      <c r="T166" s="64" t="str">
        <f>Ringkasan!T165</f>
        <v/>
      </c>
      <c r="U166" s="64">
        <f>Ringkasan!U165</f>
        <v>0</v>
      </c>
      <c r="V166" s="64">
        <f>Ringkasan!V165</f>
        <v>0</v>
      </c>
      <c r="W166" s="64">
        <f>Ringkasan!W165</f>
        <v>0</v>
      </c>
      <c r="X166" s="64">
        <f>Ringkasan!X165</f>
        <v>0</v>
      </c>
      <c r="Y166" s="64">
        <f>Ringkasan!Y165</f>
        <v>0</v>
      </c>
      <c r="Z166" s="64">
        <f>Ringkasan!Z165</f>
        <v>4632235</v>
      </c>
      <c r="AA166" s="64" t="str">
        <f>Ringkasan!AA165</f>
        <v>Multi-sector Holdings</v>
      </c>
      <c r="AB166" s="64" t="str">
        <f>Ringkasan!AB165</f>
        <v>Industrials</v>
      </c>
    </row>
    <row r="167" hidden="1">
      <c r="A167" s="64" t="str">
        <f>Ringkasan!A166</f>
        <v>ASII</v>
      </c>
      <c r="B167" s="64" t="str">
        <f>Ringkasan!B166</f>
        <v>Astra International Tbk</v>
      </c>
      <c r="C167" s="65">
        <f>Ringkasan!C166</f>
        <v>4740</v>
      </c>
      <c r="D167" s="64" t="str">
        <f>Ringkasan!D166</f>
        <v>#N/A</v>
      </c>
      <c r="E167" s="64" t="str">
        <f>Ringkasan!E166</f>
        <v>Kompas100</v>
      </c>
      <c r="F167" s="64" t="str">
        <f>Ringkasan!F166</f>
        <v>31 Juli 2026</v>
      </c>
      <c r="G167" s="64">
        <f>Ringkasan!G166</f>
        <v>16</v>
      </c>
      <c r="H167" s="19">
        <f>Ringkasan!H166</f>
        <v>6.4</v>
      </c>
      <c r="I167" s="19">
        <f>Ringkasan!I166</f>
        <v>0.69</v>
      </c>
      <c r="J167" s="19">
        <f>Ringkasan!J166</f>
        <v>10.8</v>
      </c>
      <c r="K167" s="19">
        <f>Ringkasan!K166</f>
        <v>6.1</v>
      </c>
      <c r="L167" s="19">
        <f>Ringkasan!L166</f>
        <v>0.77</v>
      </c>
      <c r="M167" s="19">
        <f>Ringkasan!M166</f>
        <v>40.3</v>
      </c>
      <c r="N167" s="64" t="str">
        <f>Ringkasan!N166</f>
        <v/>
      </c>
      <c r="O167" s="64" t="str">
        <f>Ringkasan!O166</f>
        <v/>
      </c>
      <c r="P167" s="64" t="str">
        <f>Ringkasan!P166</f>
        <v/>
      </c>
      <c r="Q167" s="64" t="str">
        <f>Ringkasan!Q166</f>
        <v/>
      </c>
      <c r="R167" s="64" t="str">
        <f>Ringkasan!R166</f>
        <v/>
      </c>
      <c r="S167" s="64" t="str">
        <f>Ringkasan!S166</f>
        <v/>
      </c>
      <c r="T167" s="64" t="str">
        <f>Ringkasan!T166</f>
        <v/>
      </c>
      <c r="U167" s="64">
        <f>Ringkasan!U166</f>
        <v>0</v>
      </c>
      <c r="V167" s="64">
        <f>Ringkasan!V166</f>
        <v>0</v>
      </c>
      <c r="W167" s="64">
        <f>Ringkasan!W166</f>
        <v>0</v>
      </c>
      <c r="X167" s="64">
        <f>Ringkasan!X166</f>
        <v>0</v>
      </c>
      <c r="Y167" s="64">
        <f>Ringkasan!Y166</f>
        <v>0</v>
      </c>
      <c r="Z167" s="64">
        <f>Ringkasan!Z166</f>
        <v>4632235</v>
      </c>
      <c r="AA167" s="64" t="str">
        <f>Ringkasan!AA166</f>
        <v>Multi-sector Holdings</v>
      </c>
      <c r="AB167" s="64" t="str">
        <f>Ringkasan!AB166</f>
        <v>Industrials</v>
      </c>
    </row>
    <row r="168" hidden="1">
      <c r="A168" s="64" t="str">
        <f>Ringkasan!A167</f>
        <v>ASII</v>
      </c>
      <c r="B168" s="64" t="str">
        <f>Ringkasan!B167</f>
        <v>Astra International Tbk</v>
      </c>
      <c r="C168" s="65">
        <f>Ringkasan!C167</f>
        <v>4740</v>
      </c>
      <c r="D168" s="64" t="str">
        <f>Ringkasan!D167</f>
        <v>#N/A</v>
      </c>
      <c r="E168" s="64" t="str">
        <f>Ringkasan!E167</f>
        <v>IDX30</v>
      </c>
      <c r="F168" s="64" t="str">
        <f>Ringkasan!F167</f>
        <v>31 Juli 2026</v>
      </c>
      <c r="G168" s="64">
        <f>Ringkasan!G167</f>
        <v>16</v>
      </c>
      <c r="H168" s="19">
        <f>Ringkasan!H167</f>
        <v>6.4</v>
      </c>
      <c r="I168" s="19">
        <f>Ringkasan!I167</f>
        <v>0.69</v>
      </c>
      <c r="J168" s="19">
        <f>Ringkasan!J167</f>
        <v>10.8</v>
      </c>
      <c r="K168" s="19">
        <f>Ringkasan!K167</f>
        <v>6.1</v>
      </c>
      <c r="L168" s="19">
        <f>Ringkasan!L167</f>
        <v>0.77</v>
      </c>
      <c r="M168" s="19">
        <f>Ringkasan!M167</f>
        <v>40.3</v>
      </c>
      <c r="N168" s="64" t="str">
        <f>Ringkasan!N167</f>
        <v/>
      </c>
      <c r="O168" s="64" t="str">
        <f>Ringkasan!O167</f>
        <v/>
      </c>
      <c r="P168" s="64" t="str">
        <f>Ringkasan!P167</f>
        <v/>
      </c>
      <c r="Q168" s="64" t="str">
        <f>Ringkasan!Q167</f>
        <v/>
      </c>
      <c r="R168" s="64" t="str">
        <f>Ringkasan!R167</f>
        <v/>
      </c>
      <c r="S168" s="64" t="str">
        <f>Ringkasan!S167</f>
        <v/>
      </c>
      <c r="T168" s="64" t="str">
        <f>Ringkasan!T167</f>
        <v/>
      </c>
      <c r="U168" s="64">
        <f>Ringkasan!U167</f>
        <v>0</v>
      </c>
      <c r="V168" s="64">
        <f>Ringkasan!V167</f>
        <v>0</v>
      </c>
      <c r="W168" s="64">
        <f>Ringkasan!W167</f>
        <v>0</v>
      </c>
      <c r="X168" s="64">
        <f>Ringkasan!X167</f>
        <v>0</v>
      </c>
      <c r="Y168" s="64">
        <f>Ringkasan!Y167</f>
        <v>0</v>
      </c>
      <c r="Z168" s="64">
        <f>Ringkasan!Z167</f>
        <v>4632235</v>
      </c>
      <c r="AA168" s="64" t="str">
        <f>Ringkasan!AA167</f>
        <v>Multi-sector Holdings</v>
      </c>
      <c r="AB168" s="64" t="str">
        <f>Ringkasan!AB167</f>
        <v>Industrials</v>
      </c>
    </row>
    <row r="169" hidden="1">
      <c r="A169" s="64" t="str">
        <f>Ringkasan!A168</f>
        <v>ASII</v>
      </c>
      <c r="B169" s="64" t="str">
        <f>Ringkasan!B168</f>
        <v>Astra International Tbk</v>
      </c>
      <c r="C169" s="65">
        <f>Ringkasan!C168</f>
        <v>4740</v>
      </c>
      <c r="D169" s="64" t="str">
        <f>Ringkasan!D168</f>
        <v>#N/A</v>
      </c>
      <c r="E169" s="64" t="str">
        <f>Ringkasan!E168</f>
        <v>IDX80</v>
      </c>
      <c r="F169" s="64" t="str">
        <f>Ringkasan!F168</f>
        <v>31 Juli 2026</v>
      </c>
      <c r="G169" s="64">
        <f>Ringkasan!G168</f>
        <v>16</v>
      </c>
      <c r="H169" s="19">
        <f>Ringkasan!H168</f>
        <v>6.4</v>
      </c>
      <c r="I169" s="19">
        <f>Ringkasan!I168</f>
        <v>0.69</v>
      </c>
      <c r="J169" s="19">
        <f>Ringkasan!J168</f>
        <v>10.8</v>
      </c>
      <c r="K169" s="19">
        <f>Ringkasan!K168</f>
        <v>6.1</v>
      </c>
      <c r="L169" s="19">
        <f>Ringkasan!L168</f>
        <v>0.77</v>
      </c>
      <c r="M169" s="19">
        <f>Ringkasan!M168</f>
        <v>40.3</v>
      </c>
      <c r="N169" s="64" t="str">
        <f>Ringkasan!N168</f>
        <v/>
      </c>
      <c r="O169" s="64" t="str">
        <f>Ringkasan!O168</f>
        <v/>
      </c>
      <c r="P169" s="64" t="str">
        <f>Ringkasan!P168</f>
        <v/>
      </c>
      <c r="Q169" s="64" t="str">
        <f>Ringkasan!Q168</f>
        <v/>
      </c>
      <c r="R169" s="64" t="str">
        <f>Ringkasan!R168</f>
        <v/>
      </c>
      <c r="S169" s="64" t="str">
        <f>Ringkasan!S168</f>
        <v/>
      </c>
      <c r="T169" s="64" t="str">
        <f>Ringkasan!T168</f>
        <v/>
      </c>
      <c r="U169" s="64">
        <f>Ringkasan!U168</f>
        <v>0</v>
      </c>
      <c r="V169" s="64">
        <f>Ringkasan!V168</f>
        <v>0</v>
      </c>
      <c r="W169" s="64">
        <f>Ringkasan!W168</f>
        <v>0</v>
      </c>
      <c r="X169" s="64">
        <f>Ringkasan!X168</f>
        <v>0</v>
      </c>
      <c r="Y169" s="64">
        <f>Ringkasan!Y168</f>
        <v>0</v>
      </c>
      <c r="Z169" s="64">
        <f>Ringkasan!Z168</f>
        <v>4632235</v>
      </c>
      <c r="AA169" s="64" t="str">
        <f>Ringkasan!AA168</f>
        <v>Multi-sector Holdings</v>
      </c>
      <c r="AB169" s="64" t="str">
        <f>Ringkasan!AB168</f>
        <v>Industrials</v>
      </c>
    </row>
    <row r="170" hidden="1">
      <c r="A170" s="64" t="str">
        <f>Ringkasan!A169</f>
        <v>ASII</v>
      </c>
      <c r="B170" s="64" t="str">
        <f>Ringkasan!B169</f>
        <v>Astra International Tbk</v>
      </c>
      <c r="C170" s="65">
        <f>Ringkasan!C169</f>
        <v>4740</v>
      </c>
      <c r="D170" s="64" t="str">
        <f>Ringkasan!D169</f>
        <v>#N/A</v>
      </c>
      <c r="E170" s="64" t="str">
        <f>Ringkasan!E169</f>
        <v>IDXHIDIV20</v>
      </c>
      <c r="F170" s="64" t="str">
        <f>Ringkasan!F169</f>
        <v>2 Februari 2027</v>
      </c>
      <c r="G170" s="64">
        <f>Ringkasan!G169</f>
        <v>16</v>
      </c>
      <c r="H170" s="19">
        <f>Ringkasan!H169</f>
        <v>6.4</v>
      </c>
      <c r="I170" s="19">
        <f>Ringkasan!I169</f>
        <v>0.69</v>
      </c>
      <c r="J170" s="19">
        <f>Ringkasan!J169</f>
        <v>10.8</v>
      </c>
      <c r="K170" s="19">
        <f>Ringkasan!K169</f>
        <v>6.1</v>
      </c>
      <c r="L170" s="19">
        <f>Ringkasan!L169</f>
        <v>0.77</v>
      </c>
      <c r="M170" s="19">
        <f>Ringkasan!M169</f>
        <v>40.3</v>
      </c>
      <c r="N170" s="64" t="str">
        <f>Ringkasan!N169</f>
        <v/>
      </c>
      <c r="O170" s="64" t="str">
        <f>Ringkasan!O169</f>
        <v/>
      </c>
      <c r="P170" s="64" t="str">
        <f>Ringkasan!P169</f>
        <v/>
      </c>
      <c r="Q170" s="64" t="str">
        <f>Ringkasan!Q169</f>
        <v/>
      </c>
      <c r="R170" s="64" t="str">
        <f>Ringkasan!R169</f>
        <v/>
      </c>
      <c r="S170" s="64" t="str">
        <f>Ringkasan!S169</f>
        <v/>
      </c>
      <c r="T170" s="64" t="str">
        <f>Ringkasan!T169</f>
        <v/>
      </c>
      <c r="U170" s="64">
        <f>Ringkasan!U169</f>
        <v>0</v>
      </c>
      <c r="V170" s="64">
        <f>Ringkasan!V169</f>
        <v>0</v>
      </c>
      <c r="W170" s="64">
        <f>Ringkasan!W169</f>
        <v>0</v>
      </c>
      <c r="X170" s="64">
        <f>Ringkasan!X169</f>
        <v>0</v>
      </c>
      <c r="Y170" s="64">
        <f>Ringkasan!Y169</f>
        <v>0</v>
      </c>
      <c r="Z170" s="64">
        <f>Ringkasan!Z169</f>
        <v>4632235</v>
      </c>
      <c r="AA170" s="64" t="str">
        <f>Ringkasan!AA169</f>
        <v>Multi-sector Holdings</v>
      </c>
      <c r="AB170" s="64" t="str">
        <f>Ringkasan!AB169</f>
        <v>Industrials</v>
      </c>
    </row>
    <row r="171" hidden="1">
      <c r="A171" s="64" t="str">
        <f>Ringkasan!A170</f>
        <v>ASII</v>
      </c>
      <c r="B171" s="64" t="str">
        <f>Ringkasan!B170</f>
        <v>Astra International Tbk</v>
      </c>
      <c r="C171" s="65">
        <f>Ringkasan!C170</f>
        <v>4740</v>
      </c>
      <c r="D171" s="64" t="str">
        <f>Ringkasan!D170</f>
        <v>#N/A</v>
      </c>
      <c r="E171" s="64" t="str">
        <f>Ringkasan!E170</f>
        <v>BISNIS-27</v>
      </c>
      <c r="F171" s="64" t="str">
        <f>Ringkasan!F170</f>
        <v>30 Oktober 2026</v>
      </c>
      <c r="G171" s="64">
        <f>Ringkasan!G170</f>
        <v>16</v>
      </c>
      <c r="H171" s="19">
        <f>Ringkasan!H170</f>
        <v>6.4</v>
      </c>
      <c r="I171" s="19">
        <f>Ringkasan!I170</f>
        <v>0.69</v>
      </c>
      <c r="J171" s="19">
        <f>Ringkasan!J170</f>
        <v>10.8</v>
      </c>
      <c r="K171" s="19">
        <f>Ringkasan!K170</f>
        <v>6.1</v>
      </c>
      <c r="L171" s="19">
        <f>Ringkasan!L170</f>
        <v>0.77</v>
      </c>
      <c r="M171" s="19">
        <f>Ringkasan!M170</f>
        <v>40.3</v>
      </c>
      <c r="N171" s="64" t="str">
        <f>Ringkasan!N170</f>
        <v/>
      </c>
      <c r="O171" s="64" t="str">
        <f>Ringkasan!O170</f>
        <v/>
      </c>
      <c r="P171" s="64" t="str">
        <f>Ringkasan!P170</f>
        <v/>
      </c>
      <c r="Q171" s="64" t="str">
        <f>Ringkasan!Q170</f>
        <v/>
      </c>
      <c r="R171" s="64" t="str">
        <f>Ringkasan!R170</f>
        <v/>
      </c>
      <c r="S171" s="64" t="str">
        <f>Ringkasan!S170</f>
        <v/>
      </c>
      <c r="T171" s="64" t="str">
        <f>Ringkasan!T170</f>
        <v/>
      </c>
      <c r="U171" s="64">
        <f>Ringkasan!U170</f>
        <v>0</v>
      </c>
      <c r="V171" s="64">
        <f>Ringkasan!V170</f>
        <v>0</v>
      </c>
      <c r="W171" s="64">
        <f>Ringkasan!W170</f>
        <v>0</v>
      </c>
      <c r="X171" s="64">
        <f>Ringkasan!X170</f>
        <v>0</v>
      </c>
      <c r="Y171" s="64">
        <f>Ringkasan!Y170</f>
        <v>0</v>
      </c>
      <c r="Z171" s="64">
        <f>Ringkasan!Z170</f>
        <v>4632235</v>
      </c>
      <c r="AA171" s="64" t="str">
        <f>Ringkasan!AA170</f>
        <v>Multi-sector Holdings</v>
      </c>
      <c r="AB171" s="64" t="str">
        <f>Ringkasan!AB170</f>
        <v>Industrials</v>
      </c>
    </row>
    <row r="172" hidden="1">
      <c r="A172" s="64" t="str">
        <f>Ringkasan!A171</f>
        <v>ASII</v>
      </c>
      <c r="B172" s="64" t="str">
        <f>Ringkasan!B171</f>
        <v>Astra International Tbk</v>
      </c>
      <c r="C172" s="65">
        <f>Ringkasan!C171</f>
        <v>4740</v>
      </c>
      <c r="D172" s="64" t="str">
        <f>Ringkasan!D171</f>
        <v>#N/A</v>
      </c>
      <c r="E172" s="64" t="str">
        <f>Ringkasan!E171</f>
        <v>MNC36</v>
      </c>
      <c r="F172" s="64" t="str">
        <f>Ringkasan!F171</f>
        <v>30 Oktober 2026</v>
      </c>
      <c r="G172" s="64">
        <f>Ringkasan!G171</f>
        <v>16</v>
      </c>
      <c r="H172" s="19">
        <f>Ringkasan!H171</f>
        <v>6.4</v>
      </c>
      <c r="I172" s="19">
        <f>Ringkasan!I171</f>
        <v>0.69</v>
      </c>
      <c r="J172" s="19">
        <f>Ringkasan!J171</f>
        <v>10.8</v>
      </c>
      <c r="K172" s="19">
        <f>Ringkasan!K171</f>
        <v>6.1</v>
      </c>
      <c r="L172" s="19">
        <f>Ringkasan!L171</f>
        <v>0.77</v>
      </c>
      <c r="M172" s="19">
        <f>Ringkasan!M171</f>
        <v>40.3</v>
      </c>
      <c r="N172" s="64" t="str">
        <f>Ringkasan!N171</f>
        <v/>
      </c>
      <c r="O172" s="64" t="str">
        <f>Ringkasan!O171</f>
        <v/>
      </c>
      <c r="P172" s="64" t="str">
        <f>Ringkasan!P171</f>
        <v/>
      </c>
      <c r="Q172" s="64" t="str">
        <f>Ringkasan!Q171</f>
        <v/>
      </c>
      <c r="R172" s="64" t="str">
        <f>Ringkasan!R171</f>
        <v/>
      </c>
      <c r="S172" s="64" t="str">
        <f>Ringkasan!S171</f>
        <v/>
      </c>
      <c r="T172" s="64" t="str">
        <f>Ringkasan!T171</f>
        <v/>
      </c>
      <c r="U172" s="64">
        <f>Ringkasan!U171</f>
        <v>0</v>
      </c>
      <c r="V172" s="64">
        <f>Ringkasan!V171</f>
        <v>0</v>
      </c>
      <c r="W172" s="64">
        <f>Ringkasan!W171</f>
        <v>0</v>
      </c>
      <c r="X172" s="64">
        <f>Ringkasan!X171</f>
        <v>0</v>
      </c>
      <c r="Y172" s="64">
        <f>Ringkasan!Y171</f>
        <v>0</v>
      </c>
      <c r="Z172" s="64">
        <f>Ringkasan!Z171</f>
        <v>4632235</v>
      </c>
      <c r="AA172" s="64" t="str">
        <f>Ringkasan!AA171</f>
        <v>Multi-sector Holdings</v>
      </c>
      <c r="AB172" s="64" t="str">
        <f>Ringkasan!AB171</f>
        <v>Industrials</v>
      </c>
    </row>
    <row r="173" hidden="1">
      <c r="A173" s="64" t="str">
        <f>Ringkasan!A172</f>
        <v>ASII</v>
      </c>
      <c r="B173" s="64" t="str">
        <f>Ringkasan!B172</f>
        <v>Astra International Tbk</v>
      </c>
      <c r="C173" s="65">
        <f>Ringkasan!C172</f>
        <v>4740</v>
      </c>
      <c r="D173" s="64" t="str">
        <f>Ringkasan!D172</f>
        <v>#N/A</v>
      </c>
      <c r="E173" s="64" t="str">
        <f>Ringkasan!E172</f>
        <v>LQ45</v>
      </c>
      <c r="F173" s="64" t="str">
        <f>Ringkasan!F172</f>
        <v>31 Juli 2026</v>
      </c>
      <c r="G173" s="64">
        <f>Ringkasan!G172</f>
        <v>16</v>
      </c>
      <c r="H173" s="19">
        <f>Ringkasan!H172</f>
        <v>6.4</v>
      </c>
      <c r="I173" s="19">
        <f>Ringkasan!I172</f>
        <v>0.69</v>
      </c>
      <c r="J173" s="19">
        <f>Ringkasan!J172</f>
        <v>10.8</v>
      </c>
      <c r="K173" s="19">
        <f>Ringkasan!K172</f>
        <v>6.1</v>
      </c>
      <c r="L173" s="19">
        <f>Ringkasan!L172</f>
        <v>0.77</v>
      </c>
      <c r="M173" s="19">
        <f>Ringkasan!M172</f>
        <v>40.3</v>
      </c>
      <c r="N173" s="64" t="str">
        <f>Ringkasan!N172</f>
        <v/>
      </c>
      <c r="O173" s="64" t="str">
        <f>Ringkasan!O172</f>
        <v/>
      </c>
      <c r="P173" s="64" t="str">
        <f>Ringkasan!P172</f>
        <v/>
      </c>
      <c r="Q173" s="64" t="str">
        <f>Ringkasan!Q172</f>
        <v/>
      </c>
      <c r="R173" s="64" t="str">
        <f>Ringkasan!R172</f>
        <v/>
      </c>
      <c r="S173" s="64" t="str">
        <f>Ringkasan!S172</f>
        <v/>
      </c>
      <c r="T173" s="64" t="str">
        <f>Ringkasan!T172</f>
        <v/>
      </c>
      <c r="U173" s="64">
        <f>Ringkasan!U172</f>
        <v>0</v>
      </c>
      <c r="V173" s="64">
        <f>Ringkasan!V172</f>
        <v>0</v>
      </c>
      <c r="W173" s="64">
        <f>Ringkasan!W172</f>
        <v>0</v>
      </c>
      <c r="X173" s="64">
        <f>Ringkasan!X172</f>
        <v>0</v>
      </c>
      <c r="Y173" s="64">
        <f>Ringkasan!Y172</f>
        <v>0</v>
      </c>
      <c r="Z173" s="64">
        <f>Ringkasan!Z172</f>
        <v>4632235</v>
      </c>
      <c r="AA173" s="64" t="str">
        <f>Ringkasan!AA172</f>
        <v>Multi-sector Holdings</v>
      </c>
      <c r="AB173" s="64" t="str">
        <f>Ringkasan!AB172</f>
        <v>Industrials</v>
      </c>
    </row>
    <row r="174" hidden="1">
      <c r="A174" s="64" t="str">
        <f>Ringkasan!A173</f>
        <v>ASII</v>
      </c>
      <c r="B174" s="64" t="str">
        <f>Ringkasan!B173</f>
        <v>Astra International Tbk</v>
      </c>
      <c r="C174" s="65">
        <f>Ringkasan!C173</f>
        <v>4740</v>
      </c>
      <c r="D174" s="64" t="str">
        <f>Ringkasan!D173</f>
        <v>#N/A</v>
      </c>
      <c r="E174" s="64" t="str">
        <f>Ringkasan!E173</f>
        <v>IDXVESTA28</v>
      </c>
      <c r="F174" s="64" t="str">
        <f>Ringkasan!F173</f>
        <v>31 Agustus 2026</v>
      </c>
      <c r="G174" s="64">
        <f>Ringkasan!G173</f>
        <v>16</v>
      </c>
      <c r="H174" s="19">
        <f>Ringkasan!H173</f>
        <v>6.4</v>
      </c>
      <c r="I174" s="19">
        <f>Ringkasan!I173</f>
        <v>0.69</v>
      </c>
      <c r="J174" s="19">
        <f>Ringkasan!J173</f>
        <v>10.8</v>
      </c>
      <c r="K174" s="19">
        <f>Ringkasan!K173</f>
        <v>6.1</v>
      </c>
      <c r="L174" s="19">
        <f>Ringkasan!L173</f>
        <v>0.77</v>
      </c>
      <c r="M174" s="19">
        <f>Ringkasan!M173</f>
        <v>40.3</v>
      </c>
      <c r="N174" s="64" t="str">
        <f>Ringkasan!N173</f>
        <v/>
      </c>
      <c r="O174" s="64" t="str">
        <f>Ringkasan!O173</f>
        <v/>
      </c>
      <c r="P174" s="64" t="str">
        <f>Ringkasan!P173</f>
        <v/>
      </c>
      <c r="Q174" s="64" t="str">
        <f>Ringkasan!Q173</f>
        <v/>
      </c>
      <c r="R174" s="64" t="str">
        <f>Ringkasan!R173</f>
        <v/>
      </c>
      <c r="S174" s="64" t="str">
        <f>Ringkasan!S173</f>
        <v/>
      </c>
      <c r="T174" s="64" t="str">
        <f>Ringkasan!T173</f>
        <v/>
      </c>
      <c r="U174" s="64">
        <f>Ringkasan!U173</f>
        <v>0</v>
      </c>
      <c r="V174" s="64">
        <f>Ringkasan!V173</f>
        <v>0</v>
      </c>
      <c r="W174" s="64">
        <f>Ringkasan!W173</f>
        <v>0</v>
      </c>
      <c r="X174" s="64">
        <f>Ringkasan!X173</f>
        <v>0</v>
      </c>
      <c r="Y174" s="64">
        <f>Ringkasan!Y173</f>
        <v>0</v>
      </c>
      <c r="Z174" s="64">
        <f>Ringkasan!Z173</f>
        <v>4632235</v>
      </c>
      <c r="AA174" s="64" t="str">
        <f>Ringkasan!AA173</f>
        <v>Multi-sector Holdings</v>
      </c>
      <c r="AB174" s="64" t="str">
        <f>Ringkasan!AB173</f>
        <v>Industrials</v>
      </c>
    </row>
    <row r="175" hidden="1">
      <c r="A175" s="64" t="str">
        <f>Ringkasan!A174</f>
        <v>ASII</v>
      </c>
      <c r="B175" s="64" t="str">
        <f>Ringkasan!B174</f>
        <v>Astra International Tbk</v>
      </c>
      <c r="C175" s="65">
        <f>Ringkasan!C174</f>
        <v>4740</v>
      </c>
      <c r="D175" s="64" t="str">
        <f>Ringkasan!D174</f>
        <v>#N/A</v>
      </c>
      <c r="E175" s="64" t="str">
        <f>Ringkasan!E174</f>
        <v>IDXV30</v>
      </c>
      <c r="F175" s="64" t="str">
        <f>Ringkasan!F174</f>
        <v>4 Agustus 2026</v>
      </c>
      <c r="G175" s="64">
        <f>Ringkasan!G174</f>
        <v>16</v>
      </c>
      <c r="H175" s="19">
        <f>Ringkasan!H174</f>
        <v>6.4</v>
      </c>
      <c r="I175" s="19">
        <f>Ringkasan!I174</f>
        <v>0.69</v>
      </c>
      <c r="J175" s="19">
        <f>Ringkasan!J174</f>
        <v>10.8</v>
      </c>
      <c r="K175" s="19">
        <f>Ringkasan!K174</f>
        <v>6.1</v>
      </c>
      <c r="L175" s="19">
        <f>Ringkasan!L174</f>
        <v>0.77</v>
      </c>
      <c r="M175" s="19">
        <f>Ringkasan!M174</f>
        <v>40.3</v>
      </c>
      <c r="N175" s="64" t="str">
        <f>Ringkasan!N174</f>
        <v/>
      </c>
      <c r="O175" s="64" t="str">
        <f>Ringkasan!O174</f>
        <v/>
      </c>
      <c r="P175" s="64" t="str">
        <f>Ringkasan!P174</f>
        <v/>
      </c>
      <c r="Q175" s="64" t="str">
        <f>Ringkasan!Q174</f>
        <v/>
      </c>
      <c r="R175" s="64" t="str">
        <f>Ringkasan!R174</f>
        <v/>
      </c>
      <c r="S175" s="64" t="str">
        <f>Ringkasan!S174</f>
        <v/>
      </c>
      <c r="T175" s="64" t="str">
        <f>Ringkasan!T174</f>
        <v/>
      </c>
      <c r="U175" s="64">
        <f>Ringkasan!U174</f>
        <v>0</v>
      </c>
      <c r="V175" s="64">
        <f>Ringkasan!V174</f>
        <v>0</v>
      </c>
      <c r="W175" s="64">
        <f>Ringkasan!W174</f>
        <v>0</v>
      </c>
      <c r="X175" s="64">
        <f>Ringkasan!X174</f>
        <v>0</v>
      </c>
      <c r="Y175" s="64">
        <f>Ringkasan!Y174</f>
        <v>0</v>
      </c>
      <c r="Z175" s="64">
        <f>Ringkasan!Z174</f>
        <v>4632235</v>
      </c>
      <c r="AA175" s="64" t="str">
        <f>Ringkasan!AA174</f>
        <v>Multi-sector Holdings</v>
      </c>
      <c r="AB175" s="64" t="str">
        <f>Ringkasan!AB174</f>
        <v>Industrials</v>
      </c>
    </row>
    <row r="176" hidden="1">
      <c r="A176" s="64" t="str">
        <f>Ringkasan!A175</f>
        <v>ASII</v>
      </c>
      <c r="B176" s="64" t="str">
        <f>Ringkasan!B175</f>
        <v>Astra International Tbk</v>
      </c>
      <c r="C176" s="65">
        <f>Ringkasan!C175</f>
        <v>4740</v>
      </c>
      <c r="D176" s="64" t="str">
        <f>Ringkasan!D175</f>
        <v>#N/A</v>
      </c>
      <c r="E176" s="64" t="str">
        <f>Ringkasan!E175</f>
        <v>FTSE Large Cap</v>
      </c>
      <c r="F176" s="64" t="str">
        <f>Ringkasan!F175</f>
        <v>Juni 2026</v>
      </c>
      <c r="G176" s="64">
        <f>Ringkasan!G175</f>
        <v>16</v>
      </c>
      <c r="H176" s="19">
        <f>Ringkasan!H175</f>
        <v>6.4</v>
      </c>
      <c r="I176" s="19">
        <f>Ringkasan!I175</f>
        <v>0.69</v>
      </c>
      <c r="J176" s="19">
        <f>Ringkasan!J175</f>
        <v>10.8</v>
      </c>
      <c r="K176" s="19">
        <f>Ringkasan!K175</f>
        <v>6.1</v>
      </c>
      <c r="L176" s="19">
        <f>Ringkasan!L175</f>
        <v>0.77</v>
      </c>
      <c r="M176" s="19">
        <f>Ringkasan!M175</f>
        <v>40.3</v>
      </c>
      <c r="N176" s="64" t="str">
        <f>Ringkasan!N175</f>
        <v/>
      </c>
      <c r="O176" s="64" t="str">
        <f>Ringkasan!O175</f>
        <v/>
      </c>
      <c r="P176" s="64" t="str">
        <f>Ringkasan!P175</f>
        <v/>
      </c>
      <c r="Q176" s="64" t="str">
        <f>Ringkasan!Q175</f>
        <v/>
      </c>
      <c r="R176" s="64" t="str">
        <f>Ringkasan!R175</f>
        <v/>
      </c>
      <c r="S176" s="64" t="str">
        <f>Ringkasan!S175</f>
        <v/>
      </c>
      <c r="T176" s="64" t="str">
        <f>Ringkasan!T175</f>
        <v/>
      </c>
      <c r="U176" s="64">
        <f>Ringkasan!U175</f>
        <v>0</v>
      </c>
      <c r="V176" s="64">
        <f>Ringkasan!V175</f>
        <v>0</v>
      </c>
      <c r="W176" s="64">
        <f>Ringkasan!W175</f>
        <v>0</v>
      </c>
      <c r="X176" s="64">
        <f>Ringkasan!X175</f>
        <v>0</v>
      </c>
      <c r="Y176" s="64">
        <f>Ringkasan!Y175</f>
        <v>0</v>
      </c>
      <c r="Z176" s="64">
        <f>Ringkasan!Z175</f>
        <v>4632235</v>
      </c>
      <c r="AA176" s="64" t="str">
        <f>Ringkasan!AA175</f>
        <v>Multi-sector Holdings</v>
      </c>
      <c r="AB176" s="64" t="str">
        <f>Ringkasan!AB175</f>
        <v>Industrials</v>
      </c>
    </row>
    <row r="177" hidden="1">
      <c r="A177" s="64" t="str">
        <f>Ringkasan!A176</f>
        <v>ASII</v>
      </c>
      <c r="B177" s="64" t="str">
        <f>Ringkasan!B176</f>
        <v>Astra International Tbk</v>
      </c>
      <c r="C177" s="65">
        <f>Ringkasan!C176</f>
        <v>4740</v>
      </c>
      <c r="D177" s="64" t="str">
        <f>Ringkasan!D176</f>
        <v>#N/A</v>
      </c>
      <c r="E177" s="64" t="str">
        <f>Ringkasan!E176</f>
        <v>ESGSKEHATI</v>
      </c>
      <c r="F177" s="66">
        <f>Ringkasan!F176</f>
        <v>46356</v>
      </c>
      <c r="G177" s="64">
        <f>Ringkasan!G176</f>
        <v>16</v>
      </c>
      <c r="H177" s="19">
        <f>Ringkasan!H176</f>
        <v>6.4</v>
      </c>
      <c r="I177" s="19">
        <f>Ringkasan!I176</f>
        <v>0.69</v>
      </c>
      <c r="J177" s="19">
        <f>Ringkasan!J176</f>
        <v>10.8</v>
      </c>
      <c r="K177" s="19">
        <f>Ringkasan!K176</f>
        <v>6.1</v>
      </c>
      <c r="L177" s="19">
        <f>Ringkasan!L176</f>
        <v>0.77</v>
      </c>
      <c r="M177" s="19">
        <f>Ringkasan!M176</f>
        <v>40.3</v>
      </c>
      <c r="N177" s="64" t="str">
        <f>Ringkasan!N176</f>
        <v/>
      </c>
      <c r="O177" s="64" t="str">
        <f>Ringkasan!O176</f>
        <v/>
      </c>
      <c r="P177" s="64" t="str">
        <f>Ringkasan!P176</f>
        <v/>
      </c>
      <c r="Q177" s="64" t="str">
        <f>Ringkasan!Q176</f>
        <v/>
      </c>
      <c r="R177" s="64" t="str">
        <f>Ringkasan!R176</f>
        <v/>
      </c>
      <c r="S177" s="64" t="str">
        <f>Ringkasan!S176</f>
        <v/>
      </c>
      <c r="T177" s="64" t="str">
        <f>Ringkasan!T176</f>
        <v/>
      </c>
      <c r="U177" s="64">
        <f>Ringkasan!U176</f>
        <v>0</v>
      </c>
      <c r="V177" s="64">
        <f>Ringkasan!V176</f>
        <v>0</v>
      </c>
      <c r="W177" s="64">
        <f>Ringkasan!W176</f>
        <v>0</v>
      </c>
      <c r="X177" s="64">
        <f>Ringkasan!X176</f>
        <v>0</v>
      </c>
      <c r="Y177" s="64">
        <f>Ringkasan!Y176</f>
        <v>0</v>
      </c>
      <c r="Z177" s="64">
        <f>Ringkasan!Z176</f>
        <v>4632235</v>
      </c>
      <c r="AA177" s="64" t="str">
        <f>Ringkasan!AA176</f>
        <v>Multi-sector Holdings</v>
      </c>
      <c r="AB177" s="64" t="str">
        <f>Ringkasan!AB176</f>
        <v>Industrials</v>
      </c>
    </row>
    <row r="178" hidden="1">
      <c r="A178" s="64" t="str">
        <f>Ringkasan!A177</f>
        <v>ASII</v>
      </c>
      <c r="B178" s="64" t="str">
        <f>Ringkasan!B177</f>
        <v>Astra International Tbk</v>
      </c>
      <c r="C178" s="65">
        <f>Ringkasan!C177</f>
        <v>4740</v>
      </c>
      <c r="D178" s="64" t="str">
        <f>Ringkasan!D177</f>
        <v>#N/A</v>
      </c>
      <c r="E178" s="64" t="str">
        <f>Ringkasan!E177</f>
        <v>SRI-KEHATI</v>
      </c>
      <c r="F178" s="66">
        <f>Ringkasan!F177</f>
        <v>46356</v>
      </c>
      <c r="G178" s="64">
        <f>Ringkasan!G177</f>
        <v>16</v>
      </c>
      <c r="H178" s="19">
        <f>Ringkasan!H177</f>
        <v>6.4</v>
      </c>
      <c r="I178" s="19">
        <f>Ringkasan!I177</f>
        <v>0.69</v>
      </c>
      <c r="J178" s="19">
        <f>Ringkasan!J177</f>
        <v>10.8</v>
      </c>
      <c r="K178" s="19">
        <f>Ringkasan!K177</f>
        <v>6.1</v>
      </c>
      <c r="L178" s="19">
        <f>Ringkasan!L177</f>
        <v>0.77</v>
      </c>
      <c r="M178" s="19">
        <f>Ringkasan!M177</f>
        <v>40.3</v>
      </c>
      <c r="N178" s="64" t="str">
        <f>Ringkasan!N177</f>
        <v/>
      </c>
      <c r="O178" s="64" t="str">
        <f>Ringkasan!O177</f>
        <v/>
      </c>
      <c r="P178" s="64" t="str">
        <f>Ringkasan!P177</f>
        <v/>
      </c>
      <c r="Q178" s="64" t="str">
        <f>Ringkasan!Q177</f>
        <v/>
      </c>
      <c r="R178" s="64" t="str">
        <f>Ringkasan!R177</f>
        <v/>
      </c>
      <c r="S178" s="64" t="str">
        <f>Ringkasan!S177</f>
        <v/>
      </c>
      <c r="T178" s="64" t="str">
        <f>Ringkasan!T177</f>
        <v/>
      </c>
      <c r="U178" s="64">
        <f>Ringkasan!U177</f>
        <v>0</v>
      </c>
      <c r="V178" s="64">
        <f>Ringkasan!V177</f>
        <v>0</v>
      </c>
      <c r="W178" s="64">
        <f>Ringkasan!W177</f>
        <v>0</v>
      </c>
      <c r="X178" s="64">
        <f>Ringkasan!X177</f>
        <v>0</v>
      </c>
      <c r="Y178" s="64">
        <f>Ringkasan!Y177</f>
        <v>0</v>
      </c>
      <c r="Z178" s="64">
        <f>Ringkasan!Z177</f>
        <v>4632235</v>
      </c>
      <c r="AA178" s="64" t="str">
        <f>Ringkasan!AA177</f>
        <v>Multi-sector Holdings</v>
      </c>
      <c r="AB178" s="64" t="str">
        <f>Ringkasan!AB177</f>
        <v>Industrials</v>
      </c>
    </row>
    <row r="179" hidden="1">
      <c r="A179" s="64" t="str">
        <f>Ringkasan!A178</f>
        <v>ASII</v>
      </c>
      <c r="B179" s="64" t="str">
        <f>Ringkasan!B178</f>
        <v>Astra International Tbk</v>
      </c>
      <c r="C179" s="65">
        <f>Ringkasan!C178</f>
        <v>4740</v>
      </c>
      <c r="D179" s="64" t="str">
        <f>Ringkasan!D178</f>
        <v>#N/A</v>
      </c>
      <c r="E179" s="64" t="str">
        <f>Ringkasan!E178</f>
        <v>Investor33</v>
      </c>
      <c r="F179" s="66">
        <f>Ringkasan!F178</f>
        <v>46356</v>
      </c>
      <c r="G179" s="64">
        <f>Ringkasan!G178</f>
        <v>16</v>
      </c>
      <c r="H179" s="19">
        <f>Ringkasan!H178</f>
        <v>6.4</v>
      </c>
      <c r="I179" s="19">
        <f>Ringkasan!I178</f>
        <v>0.69</v>
      </c>
      <c r="J179" s="19">
        <f>Ringkasan!J178</f>
        <v>10.8</v>
      </c>
      <c r="K179" s="19">
        <f>Ringkasan!K178</f>
        <v>6.1</v>
      </c>
      <c r="L179" s="19">
        <f>Ringkasan!L178</f>
        <v>0.77</v>
      </c>
      <c r="M179" s="19">
        <f>Ringkasan!M178</f>
        <v>40.3</v>
      </c>
      <c r="N179" s="64" t="str">
        <f>Ringkasan!N178</f>
        <v/>
      </c>
      <c r="O179" s="64" t="str">
        <f>Ringkasan!O178</f>
        <v/>
      </c>
      <c r="P179" s="64" t="str">
        <f>Ringkasan!P178</f>
        <v/>
      </c>
      <c r="Q179" s="64" t="str">
        <f>Ringkasan!Q178</f>
        <v/>
      </c>
      <c r="R179" s="64" t="str">
        <f>Ringkasan!R178</f>
        <v/>
      </c>
      <c r="S179" s="64" t="str">
        <f>Ringkasan!S178</f>
        <v/>
      </c>
      <c r="T179" s="64" t="str">
        <f>Ringkasan!T178</f>
        <v/>
      </c>
      <c r="U179" s="64">
        <f>Ringkasan!U178</f>
        <v>0</v>
      </c>
      <c r="V179" s="64">
        <f>Ringkasan!V178</f>
        <v>0</v>
      </c>
      <c r="W179" s="64">
        <f>Ringkasan!W178</f>
        <v>0</v>
      </c>
      <c r="X179" s="64">
        <f>Ringkasan!X178</f>
        <v>0</v>
      </c>
      <c r="Y179" s="64">
        <f>Ringkasan!Y178</f>
        <v>0</v>
      </c>
      <c r="Z179" s="64">
        <f>Ringkasan!Z178</f>
        <v>4632235</v>
      </c>
      <c r="AA179" s="64" t="str">
        <f>Ringkasan!AA178</f>
        <v>Multi-sector Holdings</v>
      </c>
      <c r="AB179" s="64" t="str">
        <f>Ringkasan!AB178</f>
        <v>Industrials</v>
      </c>
    </row>
    <row r="180" hidden="1">
      <c r="A180" s="64" t="str">
        <f>Ringkasan!A179</f>
        <v>ASJT</v>
      </c>
      <c r="B180" s="64" t="str">
        <f>Ringkasan!B179</f>
        <v>Asuransi Jasa Tania Tbk.</v>
      </c>
      <c r="C180" s="65">
        <f>Ringkasan!C179</f>
        <v>155</v>
      </c>
      <c r="D180" s="64" t="str">
        <f>Ringkasan!D179</f>
        <v>#N/A</v>
      </c>
      <c r="E180" s="64" t="str">
        <f>Ringkasan!E179</f>
        <v/>
      </c>
      <c r="F180" s="64" t="str">
        <f>Ringkasan!F179</f>
        <v/>
      </c>
      <c r="G180" s="64">
        <f>Ringkasan!G179</f>
        <v>0</v>
      </c>
      <c r="H180" s="19">
        <f>Ringkasan!H179</f>
        <v>-54.6</v>
      </c>
      <c r="I180" s="19">
        <f>Ringkasan!I179</f>
        <v>0.77</v>
      </c>
      <c r="J180" s="19">
        <f>Ringkasan!J179</f>
        <v>-1.4</v>
      </c>
      <c r="K180" s="19">
        <f>Ringkasan!K179</f>
        <v>-0.8</v>
      </c>
      <c r="L180" s="19">
        <f>Ringkasan!L179</f>
        <v>0.76</v>
      </c>
      <c r="M180" s="19">
        <f>Ringkasan!M179</f>
        <v>-7.8</v>
      </c>
      <c r="N180" s="64" t="str">
        <f>Ringkasan!N179</f>
        <v/>
      </c>
      <c r="O180" s="64" t="str">
        <f>Ringkasan!O179</f>
        <v/>
      </c>
      <c r="P180" s="64" t="str">
        <f>Ringkasan!P179</f>
        <v/>
      </c>
      <c r="Q180" s="64" t="str">
        <f>Ringkasan!Q179</f>
        <v/>
      </c>
      <c r="R180" s="64" t="str">
        <f>Ringkasan!R179</f>
        <v/>
      </c>
      <c r="S180" s="64" t="str">
        <f>Ringkasan!S179</f>
        <v/>
      </c>
      <c r="T180" s="64" t="str">
        <f>Ringkasan!T179</f>
        <v/>
      </c>
      <c r="U180" s="64">
        <f>Ringkasan!U179</f>
        <v>141</v>
      </c>
      <c r="V180" s="64">
        <f>Ringkasan!V179</f>
        <v>9.93</v>
      </c>
      <c r="W180" s="64">
        <f>Ringkasan!W179</f>
        <v>141</v>
      </c>
      <c r="X180" s="64">
        <f>Ringkasan!X179</f>
        <v>185</v>
      </c>
      <c r="Y180" s="64">
        <f>Ringkasan!Y179</f>
        <v>140</v>
      </c>
      <c r="Z180" s="64">
        <f>Ringkasan!Z179</f>
        <v>807500</v>
      </c>
      <c r="AA180" s="64" t="str">
        <f>Ringkasan!AA179</f>
        <v>Insurance</v>
      </c>
      <c r="AB180" s="64" t="str">
        <f>Ringkasan!AB179</f>
        <v>Financials</v>
      </c>
    </row>
    <row r="181" hidden="1">
      <c r="A181" s="64" t="str">
        <f>Ringkasan!A180</f>
        <v>ASLC</v>
      </c>
      <c r="B181" s="64" t="str">
        <f>Ringkasan!B180</f>
        <v>Autopedia Sukses Lestari Tbk.</v>
      </c>
      <c r="C181" s="65">
        <f>Ringkasan!C180</f>
        <v>62</v>
      </c>
      <c r="D181" s="64" t="str">
        <f>Ringkasan!D180</f>
        <v>#N/A</v>
      </c>
      <c r="E181" s="64" t="str">
        <f>Ringkasan!E180</f>
        <v/>
      </c>
      <c r="F181" s="64" t="str">
        <f>Ringkasan!F180</f>
        <v/>
      </c>
      <c r="G181" s="64">
        <f>Ringkasan!G180</f>
        <v>0</v>
      </c>
      <c r="H181" s="19">
        <f>Ringkasan!H180</f>
        <v>22.8</v>
      </c>
      <c r="I181" s="19">
        <f>Ringkasan!I180</f>
        <v>1.1</v>
      </c>
      <c r="J181" s="19">
        <f>Ringkasan!J180</f>
        <v>4.7</v>
      </c>
      <c r="K181" s="19">
        <f>Ringkasan!K180</f>
        <v>4</v>
      </c>
      <c r="L181" s="19">
        <f>Ringkasan!L180</f>
        <v>0.16</v>
      </c>
      <c r="M181" s="19">
        <f>Ringkasan!M180</f>
        <v>13</v>
      </c>
      <c r="N181" s="64" t="str">
        <f>Ringkasan!N180</f>
        <v/>
      </c>
      <c r="O181" s="64" t="str">
        <f>Ringkasan!O180</f>
        <v/>
      </c>
      <c r="P181" s="64" t="str">
        <f>Ringkasan!P180</f>
        <v/>
      </c>
      <c r="Q181" s="64" t="str">
        <f>Ringkasan!Q180</f>
        <v/>
      </c>
      <c r="R181" s="64" t="str">
        <f>Ringkasan!R180</f>
        <v/>
      </c>
      <c r="S181" s="64" t="str">
        <f>Ringkasan!S180</f>
        <v/>
      </c>
      <c r="T181" s="64" t="str">
        <f>Ringkasan!T180</f>
        <v/>
      </c>
      <c r="U181" s="64">
        <f>Ringkasan!U180</f>
        <v>59</v>
      </c>
      <c r="V181" s="64">
        <f>Ringkasan!V180</f>
        <v>5.08</v>
      </c>
      <c r="W181" s="64">
        <f>Ringkasan!W180</f>
        <v>58</v>
      </c>
      <c r="X181" s="64">
        <f>Ringkasan!X180</f>
        <v>62</v>
      </c>
      <c r="Y181" s="64">
        <f>Ringkasan!Y180</f>
        <v>58</v>
      </c>
      <c r="Z181" s="64">
        <f>Ringkasan!Z180</f>
        <v>10115000</v>
      </c>
      <c r="AA181" s="64" t="str">
        <f>Ringkasan!AA180</f>
        <v>Specialty Retail</v>
      </c>
      <c r="AB181" s="64" t="str">
        <f>Ringkasan!AB180</f>
        <v>Consumer Cyclicals</v>
      </c>
    </row>
    <row r="182" hidden="1">
      <c r="A182" s="64" t="str">
        <f>Ringkasan!A181</f>
        <v>ASLI</v>
      </c>
      <c r="B182" s="64" t="str">
        <f>Ringkasan!B181</f>
        <v>Asri Karya Lestari Tbk.</v>
      </c>
      <c r="C182" s="65">
        <f>Ringkasan!C181</f>
        <v>214</v>
      </c>
      <c r="D182" s="64" t="str">
        <f>Ringkasan!D181</f>
        <v>#N/A</v>
      </c>
      <c r="E182" s="64" t="str">
        <f>Ringkasan!E181</f>
        <v/>
      </c>
      <c r="F182" s="64" t="str">
        <f>Ringkasan!F181</f>
        <v/>
      </c>
      <c r="G182" s="64">
        <f>Ringkasan!G181</f>
        <v>0</v>
      </c>
      <c r="H182" s="19">
        <f>Ringkasan!H181</f>
        <v>-13.6</v>
      </c>
      <c r="I182" s="19">
        <f>Ringkasan!I181</f>
        <v>4</v>
      </c>
      <c r="J182" s="19">
        <f>Ringkasan!J181</f>
        <v>-29.3</v>
      </c>
      <c r="K182" s="19">
        <f>Ringkasan!K181</f>
        <v>-26.8</v>
      </c>
      <c r="L182" s="19">
        <f>Ringkasan!L181</f>
        <v>0.1</v>
      </c>
      <c r="M182" s="19">
        <f>Ringkasan!M181</f>
        <v>-550</v>
      </c>
      <c r="N182" s="64" t="str">
        <f>Ringkasan!N181</f>
        <v/>
      </c>
      <c r="O182" s="64" t="str">
        <f>Ringkasan!O181</f>
        <v/>
      </c>
      <c r="P182" s="64" t="str">
        <f>Ringkasan!P181</f>
        <v/>
      </c>
      <c r="Q182" s="64" t="str">
        <f>Ringkasan!Q181</f>
        <v/>
      </c>
      <c r="R182" s="64" t="str">
        <f>Ringkasan!R181</f>
        <v/>
      </c>
      <c r="S182" s="64" t="str">
        <f>Ringkasan!S181</f>
        <v/>
      </c>
      <c r="T182" s="64" t="str">
        <f>Ringkasan!T181</f>
        <v/>
      </c>
      <c r="U182" s="64">
        <f>Ringkasan!U181</f>
        <v>18.7</v>
      </c>
      <c r="V182" s="64">
        <f>Ringkasan!V181</f>
        <v>0.21</v>
      </c>
      <c r="W182" s="64">
        <f>Ringkasan!W181</f>
        <v>19.3</v>
      </c>
      <c r="X182" s="64">
        <f>Ringkasan!X181</f>
        <v>19.3</v>
      </c>
      <c r="Y182" s="64">
        <f>Ringkasan!Y181</f>
        <v>18.5</v>
      </c>
      <c r="Z182" s="64" t="str">
        <f>Ringkasan!Z181</f>
        <v/>
      </c>
      <c r="AA182" s="64" t="str">
        <f>Ringkasan!AA181</f>
        <v>Heavy Constructions &amp; Civil Engineering</v>
      </c>
      <c r="AB182" s="64" t="str">
        <f>Ringkasan!AB181</f>
        <v>Infrastructures</v>
      </c>
    </row>
    <row r="183" hidden="1">
      <c r="A183" s="64" t="str">
        <f>Ringkasan!A182</f>
        <v>ASMI</v>
      </c>
      <c r="B183" s="64" t="str">
        <f>Ringkasan!B182</f>
        <v>Asuransi Maximus Graha Persada Tbk.</v>
      </c>
      <c r="C183" s="65">
        <f>Ringkasan!C182</f>
        <v>15</v>
      </c>
      <c r="D183" s="64" t="str">
        <f>Ringkasan!D182</f>
        <v>#N/A</v>
      </c>
      <c r="E183" s="64" t="str">
        <f>Ringkasan!E182</f>
        <v/>
      </c>
      <c r="F183" s="64" t="str">
        <f>Ringkasan!F182</f>
        <v/>
      </c>
      <c r="G183" s="64">
        <f>Ringkasan!G182</f>
        <v>0</v>
      </c>
      <c r="H183" s="19">
        <f>Ringkasan!H182</f>
        <v>5.8</v>
      </c>
      <c r="I183" s="19">
        <f>Ringkasan!I182</f>
        <v>0.39</v>
      </c>
      <c r="J183" s="19">
        <f>Ringkasan!J182</f>
        <v>6.7</v>
      </c>
      <c r="K183" s="19">
        <f>Ringkasan!K182</f>
        <v>1.8</v>
      </c>
      <c r="L183" s="19">
        <f>Ringkasan!L182</f>
        <v>2.7</v>
      </c>
      <c r="M183" s="19">
        <f>Ringkasan!M182</f>
        <v>1.8</v>
      </c>
      <c r="N183" s="64" t="str">
        <f>Ringkasan!N182</f>
        <v/>
      </c>
      <c r="O183" s="64" t="str">
        <f>Ringkasan!O182</f>
        <v/>
      </c>
      <c r="P183" s="64" t="str">
        <f>Ringkasan!P182</f>
        <v/>
      </c>
      <c r="Q183" s="64" t="str">
        <f>Ringkasan!Q182</f>
        <v/>
      </c>
      <c r="R183" s="64" t="str">
        <f>Ringkasan!R182</f>
        <v/>
      </c>
      <c r="S183" s="64" t="str">
        <f>Ringkasan!S182</f>
        <v/>
      </c>
      <c r="T183" s="64" t="str">
        <f>Ringkasan!T182</f>
        <v/>
      </c>
      <c r="U183" s="64">
        <f>Ringkasan!U182</f>
        <v>14</v>
      </c>
      <c r="V183" s="64">
        <f>Ringkasan!V182</f>
        <v>7.14</v>
      </c>
      <c r="W183" s="64">
        <f>Ringkasan!W182</f>
        <v>14</v>
      </c>
      <c r="X183" s="64">
        <f>Ringkasan!X182</f>
        <v>15</v>
      </c>
      <c r="Y183" s="64">
        <f>Ringkasan!Y182</f>
        <v>14</v>
      </c>
      <c r="Z183" s="64">
        <f>Ringkasan!Z182</f>
        <v>3254400</v>
      </c>
      <c r="AA183" s="64" t="str">
        <f>Ringkasan!AA182</f>
        <v>Insurance</v>
      </c>
      <c r="AB183" s="64" t="str">
        <f>Ringkasan!AB182</f>
        <v>Financials</v>
      </c>
    </row>
    <row r="184" hidden="1">
      <c r="A184" s="64" t="str">
        <f>Ringkasan!A183</f>
        <v>ASPI</v>
      </c>
      <c r="B184" s="64" t="str">
        <f>Ringkasan!B183</f>
        <v>Andalan Sakti Primaindo Tbk.</v>
      </c>
      <c r="C184" s="65">
        <f>Ringkasan!C183</f>
        <v>340</v>
      </c>
      <c r="D184" s="64" t="str">
        <f>Ringkasan!D183</f>
        <v>#N/A</v>
      </c>
      <c r="E184" s="64" t="str">
        <f>Ringkasan!E183</f>
        <v/>
      </c>
      <c r="F184" s="64" t="str">
        <f>Ringkasan!F183</f>
        <v/>
      </c>
      <c r="G184" s="64">
        <f>Ringkasan!G183</f>
        <v>0</v>
      </c>
      <c r="H184" s="19">
        <f>Ringkasan!H183</f>
        <v>-21.5</v>
      </c>
      <c r="I184" s="19">
        <f>Ringkasan!I183</f>
        <v>4.3</v>
      </c>
      <c r="J184" s="19">
        <f>Ringkasan!J183</f>
        <v>-20.2</v>
      </c>
      <c r="K184" s="19">
        <f>Ringkasan!K183</f>
        <v>-13.1</v>
      </c>
      <c r="L184" s="19">
        <f>Ringkasan!L183</f>
        <v>0.53</v>
      </c>
      <c r="M184" s="19">
        <f>Ringkasan!M183</f>
        <v>-460</v>
      </c>
      <c r="N184" s="64" t="str">
        <f>Ringkasan!N183</f>
        <v/>
      </c>
      <c r="O184" s="64" t="str">
        <f>Ringkasan!O183</f>
        <v/>
      </c>
      <c r="P184" s="64" t="str">
        <f>Ringkasan!P183</f>
        <v/>
      </c>
      <c r="Q184" s="64" t="str">
        <f>Ringkasan!Q183</f>
        <v/>
      </c>
      <c r="R184" s="64" t="str">
        <f>Ringkasan!R183</f>
        <v/>
      </c>
      <c r="S184" s="64" t="str">
        <f>Ringkasan!S183</f>
        <v/>
      </c>
      <c r="T184" s="64" t="str">
        <f>Ringkasan!T183</f>
        <v/>
      </c>
      <c r="U184" s="64">
        <f>Ringkasan!U183</f>
        <v>6.23</v>
      </c>
      <c r="V184" s="64">
        <f>Ringkasan!V183</f>
        <v>5.14</v>
      </c>
      <c r="W184" s="64">
        <f>Ringkasan!W183</f>
        <v>6.3</v>
      </c>
      <c r="X184" s="64">
        <f>Ringkasan!X183</f>
        <v>6.84</v>
      </c>
      <c r="Y184" s="64">
        <f>Ringkasan!Y183</f>
        <v>6.25</v>
      </c>
      <c r="Z184" s="64">
        <f>Ringkasan!Z183</f>
        <v>5160161</v>
      </c>
      <c r="AA184" s="64" t="str">
        <f>Ringkasan!AA183</f>
        <v>Real Estate Management &amp; Development</v>
      </c>
      <c r="AB184" s="64" t="str">
        <f>Ringkasan!AB183</f>
        <v>Properties &amp; Real Estate</v>
      </c>
    </row>
    <row r="185" hidden="1">
      <c r="A185" s="64" t="str">
        <f>Ringkasan!A184</f>
        <v>ASPR</v>
      </c>
      <c r="B185" s="64" t="str">
        <f>Ringkasan!B184</f>
        <v>Asia Pramulia Tbk.</v>
      </c>
      <c r="C185" s="65">
        <f>Ringkasan!C184</f>
        <v>216</v>
      </c>
      <c r="D185" s="64" t="str">
        <f>Ringkasan!D184</f>
        <v>#N/A</v>
      </c>
      <c r="E185" s="64" t="str">
        <f>Ringkasan!E184</f>
        <v/>
      </c>
      <c r="F185" s="64" t="str">
        <f>Ringkasan!F184</f>
        <v/>
      </c>
      <c r="G185" s="64">
        <f>Ringkasan!G184</f>
        <v>0</v>
      </c>
      <c r="H185" s="19">
        <f>Ringkasan!H184</f>
        <v>56.4</v>
      </c>
      <c r="I185" s="19">
        <f>Ringkasan!I184</f>
        <v>2.7</v>
      </c>
      <c r="J185" s="19">
        <f>Ringkasan!J184</f>
        <v>4.7</v>
      </c>
      <c r="K185" s="19">
        <f>Ringkasan!K184</f>
        <v>2.5</v>
      </c>
      <c r="L185" s="19">
        <f>Ringkasan!L184</f>
        <v>0.92</v>
      </c>
      <c r="M185" s="19">
        <f>Ringkasan!M184</f>
        <v>11</v>
      </c>
      <c r="N185" s="64" t="str">
        <f>Ringkasan!N184</f>
        <v/>
      </c>
      <c r="O185" s="64" t="str">
        <f>Ringkasan!O184</f>
        <v/>
      </c>
      <c r="P185" s="64" t="str">
        <f>Ringkasan!P184</f>
        <v/>
      </c>
      <c r="Q185" s="64" t="str">
        <f>Ringkasan!Q184</f>
        <v/>
      </c>
      <c r="R185" s="64" t="str">
        <f>Ringkasan!R184</f>
        <v/>
      </c>
      <c r="S185" s="64" t="str">
        <f>Ringkasan!S184</f>
        <v/>
      </c>
      <c r="T185" s="64" t="str">
        <f>Ringkasan!T184</f>
        <v/>
      </c>
      <c r="U185" s="64">
        <f>Ringkasan!U184</f>
        <v>0</v>
      </c>
      <c r="V185" s="64">
        <f>Ringkasan!V184</f>
        <v>0</v>
      </c>
      <c r="W185" s="64" t="str">
        <f>Ringkasan!W184</f>
        <v/>
      </c>
      <c r="X185" s="64" t="str">
        <f>Ringkasan!X184</f>
        <v/>
      </c>
      <c r="Y185" s="64" t="str">
        <f>Ringkasan!Y184</f>
        <v/>
      </c>
      <c r="Z185" s="64">
        <f>Ringkasan!Z184</f>
        <v>0</v>
      </c>
      <c r="AA185" s="64" t="str">
        <f>Ringkasan!AA184</f>
        <v>Containers &amp; Packaging</v>
      </c>
      <c r="AB185" s="64" t="str">
        <f>Ringkasan!AB184</f>
        <v>Basic Materials</v>
      </c>
    </row>
    <row r="186" hidden="1">
      <c r="A186" s="64" t="str">
        <f>Ringkasan!A185</f>
        <v>ASRI</v>
      </c>
      <c r="B186" s="64" t="str">
        <f>Ringkasan!B185</f>
        <v>Alam Sutera Realty Tbk.</v>
      </c>
      <c r="C186" s="65">
        <f>Ringkasan!C185</f>
        <v>111</v>
      </c>
      <c r="D186" s="64" t="str">
        <f>Ringkasan!D185</f>
        <v>#N/A</v>
      </c>
      <c r="E186" s="64" t="str">
        <f>Ringkasan!E185</f>
        <v/>
      </c>
      <c r="F186" s="64" t="str">
        <f>Ringkasan!F185</f>
        <v/>
      </c>
      <c r="G186" s="64">
        <f>Ringkasan!G185</f>
        <v>0</v>
      </c>
      <c r="H186" s="19">
        <f>Ringkasan!H185</f>
        <v>7.6</v>
      </c>
      <c r="I186" s="19">
        <f>Ringkasan!I185</f>
        <v>0.2</v>
      </c>
      <c r="J186" s="19">
        <f>Ringkasan!J185</f>
        <v>2.6</v>
      </c>
      <c r="K186" s="19">
        <f>Ringkasan!K185</f>
        <v>1.3</v>
      </c>
      <c r="L186" s="19">
        <f>Ringkasan!L185</f>
        <v>0.98</v>
      </c>
      <c r="M186" s="19">
        <f>Ringkasan!M185</f>
        <v>46.1</v>
      </c>
      <c r="N186" s="64" t="str">
        <f>Ringkasan!N185</f>
        <v/>
      </c>
      <c r="O186" s="64" t="str">
        <f>Ringkasan!O185</f>
        <v/>
      </c>
      <c r="P186" s="64" t="str">
        <f>Ringkasan!P185</f>
        <v/>
      </c>
      <c r="Q186" s="64" t="str">
        <f>Ringkasan!Q185</f>
        <v/>
      </c>
      <c r="R186" s="64" t="str">
        <f>Ringkasan!R185</f>
        <v/>
      </c>
      <c r="S186" s="64" t="str">
        <f>Ringkasan!S185</f>
        <v/>
      </c>
      <c r="T186" s="64" t="str">
        <f>Ringkasan!T185</f>
        <v/>
      </c>
      <c r="U186" s="64">
        <f>Ringkasan!U185</f>
        <v>107</v>
      </c>
      <c r="V186" s="64">
        <f>Ringkasan!V185</f>
        <v>3.74</v>
      </c>
      <c r="W186" s="64">
        <f>Ringkasan!W185</f>
        <v>107</v>
      </c>
      <c r="X186" s="64">
        <f>Ringkasan!X185</f>
        <v>113</v>
      </c>
      <c r="Y186" s="64">
        <f>Ringkasan!Y185</f>
        <v>107</v>
      </c>
      <c r="Z186" s="64">
        <f>Ringkasan!Z185</f>
        <v>6628600</v>
      </c>
      <c r="AA186" s="64" t="str">
        <f>Ringkasan!AA185</f>
        <v>Real Estate Management &amp; Development</v>
      </c>
      <c r="AB186" s="64" t="str">
        <f>Ringkasan!AB185</f>
        <v>Properties &amp; Real Estate</v>
      </c>
    </row>
    <row r="187" hidden="1">
      <c r="A187" s="64" t="str">
        <f>Ringkasan!A186</f>
        <v>ASRM</v>
      </c>
      <c r="B187" s="64" t="str">
        <f>Ringkasan!B186</f>
        <v>Asuransi Ramayana Tbk.</v>
      </c>
      <c r="C187" s="65">
        <f>Ringkasan!C186</f>
        <v>240</v>
      </c>
      <c r="D187" s="64" t="str">
        <f>Ringkasan!D186</f>
        <v>#N/A</v>
      </c>
      <c r="E187" s="64" t="str">
        <f>Ringkasan!E186</f>
        <v/>
      </c>
      <c r="F187" s="64" t="str">
        <f>Ringkasan!F186</f>
        <v/>
      </c>
      <c r="G187" s="64">
        <f>Ringkasan!G186</f>
        <v>0</v>
      </c>
      <c r="H187" s="19">
        <f>Ringkasan!H186</f>
        <v>22</v>
      </c>
      <c r="I187" s="19">
        <f>Ringkasan!I186</f>
        <v>0.48</v>
      </c>
      <c r="J187" s="19">
        <f>Ringkasan!J186</f>
        <v>2.2</v>
      </c>
      <c r="K187" s="19">
        <f>Ringkasan!K186</f>
        <v>0.95</v>
      </c>
      <c r="L187" s="19">
        <f>Ringkasan!L186</f>
        <v>1.3</v>
      </c>
      <c r="M187" s="19">
        <f>Ringkasan!M186</f>
        <v>3.8</v>
      </c>
      <c r="N187" s="64" t="str">
        <f>Ringkasan!N186</f>
        <v/>
      </c>
      <c r="O187" s="64" t="str">
        <f>Ringkasan!O186</f>
        <v/>
      </c>
      <c r="P187" s="64" t="str">
        <f>Ringkasan!P186</f>
        <v/>
      </c>
      <c r="Q187" s="64" t="str">
        <f>Ringkasan!Q186</f>
        <v/>
      </c>
      <c r="R187" s="64" t="str">
        <f>Ringkasan!R186</f>
        <v/>
      </c>
      <c r="S187" s="64" t="str">
        <f>Ringkasan!S186</f>
        <v/>
      </c>
      <c r="T187" s="64" t="str">
        <f>Ringkasan!T186</f>
        <v/>
      </c>
      <c r="U187" s="64">
        <f>Ringkasan!U186</f>
        <v>240</v>
      </c>
      <c r="V187" s="64">
        <f>Ringkasan!V186</f>
        <v>0</v>
      </c>
      <c r="W187" s="64">
        <f>Ringkasan!W186</f>
        <v>242</v>
      </c>
      <c r="X187" s="64">
        <f>Ringkasan!X186</f>
        <v>242</v>
      </c>
      <c r="Y187" s="64">
        <f>Ringkasan!Y186</f>
        <v>240</v>
      </c>
      <c r="Z187" s="64">
        <f>Ringkasan!Z186</f>
        <v>19600</v>
      </c>
      <c r="AA187" s="64" t="str">
        <f>Ringkasan!AA186</f>
        <v>Insurance</v>
      </c>
      <c r="AB187" s="64" t="str">
        <f>Ringkasan!AB186</f>
        <v>Financials</v>
      </c>
    </row>
    <row r="188" hidden="1">
      <c r="A188" s="64" t="str">
        <f>Ringkasan!A187</f>
        <v>ASSA</v>
      </c>
      <c r="B188" s="64" t="str">
        <f>Ringkasan!B187</f>
        <v>Adi Sarana Armada Tbk</v>
      </c>
      <c r="C188" s="65" t="str">
        <f>Ringkasan!C187</f>
        <v>#N/A</v>
      </c>
      <c r="D188" s="64" t="str">
        <f>Ringkasan!D187</f>
        <v>#N/A</v>
      </c>
      <c r="E188" s="64" t="str">
        <f>Ringkasan!E187</f>
        <v>ESGQKEHATI</v>
      </c>
      <c r="F188" s="66">
        <f>Ringkasan!F187</f>
        <v>46356</v>
      </c>
      <c r="G188" s="64">
        <f>Ringkasan!G187</f>
        <v>3</v>
      </c>
      <c r="H188" s="19">
        <f>Ringkasan!H187</f>
        <v>5.7</v>
      </c>
      <c r="I188" s="19">
        <f>Ringkasan!I187</f>
        <v>0.7</v>
      </c>
      <c r="J188" s="19">
        <f>Ringkasan!J187</f>
        <v>12.2</v>
      </c>
      <c r="K188" s="19">
        <f>Ringkasan!K187</f>
        <v>4.7</v>
      </c>
      <c r="L188" s="19">
        <f>Ringkasan!L187</f>
        <v>1.6</v>
      </c>
      <c r="M188" s="19">
        <f>Ringkasan!M187</f>
        <v>26.9</v>
      </c>
      <c r="N188" s="64" t="str">
        <f>Ringkasan!N187</f>
        <v/>
      </c>
      <c r="O188" s="64" t="str">
        <f>Ringkasan!O187</f>
        <v/>
      </c>
      <c r="P188" s="64" t="str">
        <f>Ringkasan!P187</f>
        <v/>
      </c>
      <c r="Q188" s="64" t="str">
        <f>Ringkasan!Q187</f>
        <v/>
      </c>
      <c r="R188" s="64" t="str">
        <f>Ringkasan!R187</f>
        <v/>
      </c>
      <c r="S188" s="64" t="str">
        <f>Ringkasan!S187</f>
        <v/>
      </c>
      <c r="T188" s="64" t="str">
        <f>Ringkasan!T187</f>
        <v/>
      </c>
      <c r="U188" s="64">
        <f>Ringkasan!U187</f>
        <v>595</v>
      </c>
      <c r="V188" s="64">
        <f>Ringkasan!V187</f>
        <v>6.72</v>
      </c>
      <c r="W188" s="64" t="str">
        <f>Ringkasan!W187</f>
        <v/>
      </c>
      <c r="X188" s="64">
        <f>Ringkasan!X187</f>
        <v>645</v>
      </c>
      <c r="Y188" s="64">
        <f>Ringkasan!Y187</f>
        <v>600</v>
      </c>
      <c r="Z188" s="64">
        <f>Ringkasan!Z187</f>
        <v>13169500</v>
      </c>
      <c r="AA188" s="64" t="str">
        <f>Ringkasan!AA187</f>
        <v>Passenger Land Transportation</v>
      </c>
      <c r="AB188" s="64" t="str">
        <f>Ringkasan!AB187</f>
        <v>Transportation &amp; Logistic</v>
      </c>
    </row>
    <row r="189" hidden="1">
      <c r="A189" s="64" t="str">
        <f>Ringkasan!A188</f>
        <v>ASSA</v>
      </c>
      <c r="B189" s="64" t="str">
        <f>Ringkasan!B188</f>
        <v>Adi Sarana Armada Tbk</v>
      </c>
      <c r="C189" s="65" t="str">
        <f>Ringkasan!C188</f>
        <v>#N/A</v>
      </c>
      <c r="D189" s="64" t="str">
        <f>Ringkasan!D188</f>
        <v>#N/A</v>
      </c>
      <c r="E189" s="64" t="str">
        <f>Ringkasan!E188</f>
        <v>IDXSMC-LIQ</v>
      </c>
      <c r="F189" s="64" t="str">
        <f>Ringkasan!F188</f>
        <v>4 Agustus 2026</v>
      </c>
      <c r="G189" s="64">
        <f>Ringkasan!G188</f>
        <v>3</v>
      </c>
      <c r="H189" s="19">
        <f>Ringkasan!H188</f>
        <v>5.7</v>
      </c>
      <c r="I189" s="19">
        <f>Ringkasan!I188</f>
        <v>0.7</v>
      </c>
      <c r="J189" s="19">
        <f>Ringkasan!J188</f>
        <v>12.2</v>
      </c>
      <c r="K189" s="19">
        <f>Ringkasan!K188</f>
        <v>4.7</v>
      </c>
      <c r="L189" s="19">
        <f>Ringkasan!L188</f>
        <v>1.6</v>
      </c>
      <c r="M189" s="19">
        <f>Ringkasan!M188</f>
        <v>26.9</v>
      </c>
      <c r="N189" s="64" t="str">
        <f>Ringkasan!N188</f>
        <v/>
      </c>
      <c r="O189" s="64" t="str">
        <f>Ringkasan!O188</f>
        <v/>
      </c>
      <c r="P189" s="64" t="str">
        <f>Ringkasan!P188</f>
        <v/>
      </c>
      <c r="Q189" s="64" t="str">
        <f>Ringkasan!Q188</f>
        <v/>
      </c>
      <c r="R189" s="64" t="str">
        <f>Ringkasan!R188</f>
        <v/>
      </c>
      <c r="S189" s="64" t="str">
        <f>Ringkasan!S188</f>
        <v/>
      </c>
      <c r="T189" s="64" t="str">
        <f>Ringkasan!T188</f>
        <v/>
      </c>
      <c r="U189" s="64">
        <f>Ringkasan!U188</f>
        <v>595</v>
      </c>
      <c r="V189" s="64">
        <f>Ringkasan!V188</f>
        <v>6.72</v>
      </c>
      <c r="W189" s="64" t="str">
        <f>Ringkasan!W188</f>
        <v/>
      </c>
      <c r="X189" s="64">
        <f>Ringkasan!X188</f>
        <v>645</v>
      </c>
      <c r="Y189" s="64">
        <f>Ringkasan!Y188</f>
        <v>600</v>
      </c>
      <c r="Z189" s="64">
        <f>Ringkasan!Z188</f>
        <v>13169500</v>
      </c>
      <c r="AA189" s="64" t="str">
        <f>Ringkasan!AA188</f>
        <v>Passenger Land Transportation</v>
      </c>
      <c r="AB189" s="64" t="str">
        <f>Ringkasan!AB188</f>
        <v>Transportation &amp; Logistic</v>
      </c>
    </row>
    <row r="190" hidden="1">
      <c r="A190" s="64" t="str">
        <f>Ringkasan!A189</f>
        <v>ASSA</v>
      </c>
      <c r="B190" s="64" t="str">
        <f>Ringkasan!B189</f>
        <v>Adi Sarana Armada Tbk</v>
      </c>
      <c r="C190" s="65" t="str">
        <f>Ringkasan!C189</f>
        <v>#N/A</v>
      </c>
      <c r="D190" s="64" t="str">
        <f>Ringkasan!D189</f>
        <v>#N/A</v>
      </c>
      <c r="E190" s="64" t="str">
        <f>Ringkasan!E189</f>
        <v>ESGSKEHATI</v>
      </c>
      <c r="F190" s="66">
        <f>Ringkasan!F189</f>
        <v>46356</v>
      </c>
      <c r="G190" s="64">
        <f>Ringkasan!G189</f>
        <v>3</v>
      </c>
      <c r="H190" s="19">
        <f>Ringkasan!H189</f>
        <v>5.7</v>
      </c>
      <c r="I190" s="19">
        <f>Ringkasan!I189</f>
        <v>0.7</v>
      </c>
      <c r="J190" s="19">
        <f>Ringkasan!J189</f>
        <v>12.2</v>
      </c>
      <c r="K190" s="19">
        <f>Ringkasan!K189</f>
        <v>4.7</v>
      </c>
      <c r="L190" s="19">
        <f>Ringkasan!L189</f>
        <v>1.6</v>
      </c>
      <c r="M190" s="19">
        <f>Ringkasan!M189</f>
        <v>26.9</v>
      </c>
      <c r="N190" s="64" t="str">
        <f>Ringkasan!N189</f>
        <v/>
      </c>
      <c r="O190" s="64" t="str">
        <f>Ringkasan!O189</f>
        <v/>
      </c>
      <c r="P190" s="64" t="str">
        <f>Ringkasan!P189</f>
        <v/>
      </c>
      <c r="Q190" s="64" t="str">
        <f>Ringkasan!Q189</f>
        <v/>
      </c>
      <c r="R190" s="64" t="str">
        <f>Ringkasan!R189</f>
        <v/>
      </c>
      <c r="S190" s="64" t="str">
        <f>Ringkasan!S189</f>
        <v/>
      </c>
      <c r="T190" s="64" t="str">
        <f>Ringkasan!T189</f>
        <v/>
      </c>
      <c r="U190" s="64">
        <f>Ringkasan!U189</f>
        <v>595</v>
      </c>
      <c r="V190" s="64">
        <f>Ringkasan!V189</f>
        <v>6.72</v>
      </c>
      <c r="W190" s="64" t="str">
        <f>Ringkasan!W189</f>
        <v/>
      </c>
      <c r="X190" s="64">
        <f>Ringkasan!X189</f>
        <v>645</v>
      </c>
      <c r="Y190" s="64">
        <f>Ringkasan!Y189</f>
        <v>600</v>
      </c>
      <c r="Z190" s="64">
        <f>Ringkasan!Z189</f>
        <v>13169500</v>
      </c>
      <c r="AA190" s="64" t="str">
        <f>Ringkasan!AA189</f>
        <v>Passenger Land Transportation</v>
      </c>
      <c r="AB190" s="64" t="str">
        <f>Ringkasan!AB189</f>
        <v>Transportation &amp; Logistic</v>
      </c>
    </row>
    <row r="191" hidden="1">
      <c r="A191" s="64" t="str">
        <f>Ringkasan!A190</f>
        <v>ATAP</v>
      </c>
      <c r="B191" s="64" t="str">
        <f>Ringkasan!B190</f>
        <v>Trimitra Prawara Goldland Tbk.</v>
      </c>
      <c r="C191" s="65" t="str">
        <f>Ringkasan!C190</f>
        <v>#N/A</v>
      </c>
      <c r="D191" s="64" t="str">
        <f>Ringkasan!D190</f>
        <v>#N/A</v>
      </c>
      <c r="E191" s="64" t="str">
        <f>Ringkasan!E190</f>
        <v/>
      </c>
      <c r="F191" s="64" t="str">
        <f>Ringkasan!F190</f>
        <v/>
      </c>
      <c r="G191" s="64">
        <f>Ringkasan!G190</f>
        <v>0</v>
      </c>
      <c r="H191" s="19">
        <f>Ringkasan!H190</f>
        <v>-11000</v>
      </c>
      <c r="I191" s="19">
        <f>Ringkasan!I190</f>
        <v>6.9</v>
      </c>
      <c r="J191" s="19">
        <f>Ringkasan!J190</f>
        <v>-0.06</v>
      </c>
      <c r="K191" s="19">
        <f>Ringkasan!K190</f>
        <v>-0.04</v>
      </c>
      <c r="L191" s="19">
        <f>Ringkasan!L190</f>
        <v>0.38</v>
      </c>
      <c r="M191" s="19">
        <f>Ringkasan!M190</f>
        <v>-1.5</v>
      </c>
      <c r="N191" s="64" t="str">
        <f>Ringkasan!N190</f>
        <v/>
      </c>
      <c r="O191" s="64" t="str">
        <f>Ringkasan!O190</f>
        <v/>
      </c>
      <c r="P191" s="64" t="str">
        <f>Ringkasan!P190</f>
        <v/>
      </c>
      <c r="Q191" s="64" t="str">
        <f>Ringkasan!Q190</f>
        <v/>
      </c>
      <c r="R191" s="64" t="str">
        <f>Ringkasan!R190</f>
        <v/>
      </c>
      <c r="S191" s="64" t="str">
        <f>Ringkasan!S190</f>
        <v/>
      </c>
      <c r="T191" s="64" t="str">
        <f>Ringkasan!T190</f>
        <v/>
      </c>
      <c r="U191" s="64">
        <f>Ringkasan!U190</f>
        <v>352</v>
      </c>
      <c r="V191" s="64">
        <f>Ringkasan!V190</f>
        <v>0.57</v>
      </c>
      <c r="W191" s="64">
        <f>Ringkasan!W190</f>
        <v>362</v>
      </c>
      <c r="X191" s="64" t="str">
        <f>Ringkasan!X190</f>
        <v/>
      </c>
      <c r="Y191" s="64">
        <f>Ringkasan!Y190</f>
        <v>352</v>
      </c>
      <c r="Z191" s="64">
        <f>Ringkasan!Z190</f>
        <v>615900</v>
      </c>
      <c r="AA191" s="64" t="str">
        <f>Ringkasan!AA190</f>
        <v>Real Estate Management &amp; Development</v>
      </c>
      <c r="AB191" s="64" t="str">
        <f>Ringkasan!AB190</f>
        <v>Properties &amp; Real Estate</v>
      </c>
    </row>
    <row r="192" hidden="1">
      <c r="A192" s="64" t="str">
        <f>Ringkasan!A191</f>
        <v>ATIC</v>
      </c>
      <c r="B192" s="64" t="str">
        <f>Ringkasan!B191</f>
        <v>Anabatic Technologies Tbk.</v>
      </c>
      <c r="C192" s="65">
        <f>Ringkasan!C191</f>
        <v>474</v>
      </c>
      <c r="D192" s="64" t="str">
        <f>Ringkasan!D191</f>
        <v>#N/A</v>
      </c>
      <c r="E192" s="64" t="str">
        <f>Ringkasan!E191</f>
        <v/>
      </c>
      <c r="F192" s="64" t="str">
        <f>Ringkasan!F191</f>
        <v/>
      </c>
      <c r="G192" s="64">
        <f>Ringkasan!G191</f>
        <v>0</v>
      </c>
      <c r="H192" s="19">
        <f>Ringkasan!H191</f>
        <v>5.5</v>
      </c>
      <c r="I192" s="19">
        <f>Ringkasan!I191</f>
        <v>1.4</v>
      </c>
      <c r="J192" s="19">
        <f>Ringkasan!J191</f>
        <v>25.9</v>
      </c>
      <c r="K192" s="19">
        <f>Ringkasan!K191</f>
        <v>4</v>
      </c>
      <c r="L192" s="19">
        <f>Ringkasan!L191</f>
        <v>5.5</v>
      </c>
      <c r="M192" s="19">
        <f>Ringkasan!M191</f>
        <v>2.5</v>
      </c>
      <c r="N192" s="64" t="str">
        <f>Ringkasan!N191</f>
        <v/>
      </c>
      <c r="O192" s="64" t="str">
        <f>Ringkasan!O191</f>
        <v/>
      </c>
      <c r="P192" s="64" t="str">
        <f>Ringkasan!P191</f>
        <v/>
      </c>
      <c r="Q192" s="64" t="str">
        <f>Ringkasan!Q191</f>
        <v/>
      </c>
      <c r="R192" s="64" t="str">
        <f>Ringkasan!R191</f>
        <v/>
      </c>
      <c r="S192" s="64" t="str">
        <f>Ringkasan!S191</f>
        <v/>
      </c>
      <c r="T192" s="64" t="str">
        <f>Ringkasan!T191</f>
        <v/>
      </c>
      <c r="U192" s="64">
        <f>Ringkasan!U191</f>
        <v>478</v>
      </c>
      <c r="V192" s="64">
        <f>Ringkasan!V191</f>
        <v>-0.84</v>
      </c>
      <c r="W192" s="64">
        <f>Ringkasan!W191</f>
        <v>476</v>
      </c>
      <c r="X192" s="64">
        <f>Ringkasan!X191</f>
        <v>486</v>
      </c>
      <c r="Y192" s="64">
        <f>Ringkasan!Y191</f>
        <v>474</v>
      </c>
      <c r="Z192" s="64">
        <f>Ringkasan!Z191</f>
        <v>26800</v>
      </c>
      <c r="AA192" s="64" t="str">
        <f>Ringkasan!AA191</f>
        <v>IT Services &amp; Consulting</v>
      </c>
      <c r="AB192" s="64" t="str">
        <f>Ringkasan!AB191</f>
        <v>Technology</v>
      </c>
    </row>
    <row r="193" hidden="1">
      <c r="A193" s="64" t="str">
        <f>Ringkasan!A192</f>
        <v>ATLA</v>
      </c>
      <c r="B193" s="64" t="str">
        <f>Ringkasan!B192</f>
        <v>Atlantis Subsea Indonesia Tbk.</v>
      </c>
      <c r="C193" s="65">
        <f>Ringkasan!C192</f>
        <v>50</v>
      </c>
      <c r="D193" s="64" t="str">
        <f>Ringkasan!D192</f>
        <v>#N/A</v>
      </c>
      <c r="E193" s="64" t="str">
        <f>Ringkasan!E192</f>
        <v/>
      </c>
      <c r="F193" s="64" t="str">
        <f>Ringkasan!F192</f>
        <v/>
      </c>
      <c r="G193" s="64">
        <f>Ringkasan!G192</f>
        <v>0</v>
      </c>
      <c r="H193" s="19">
        <f>Ringkasan!H192</f>
        <v>94</v>
      </c>
      <c r="I193" s="19">
        <f>Ringkasan!I192</f>
        <v>1.8</v>
      </c>
      <c r="J193" s="19">
        <f>Ringkasan!J192</f>
        <v>1.9</v>
      </c>
      <c r="K193" s="19">
        <f>Ringkasan!K192</f>
        <v>1.9</v>
      </c>
      <c r="L193" s="19">
        <f>Ringkasan!L192</f>
        <v>0.04</v>
      </c>
      <c r="M193" s="19">
        <f>Ringkasan!M192</f>
        <v>20.1</v>
      </c>
      <c r="N193" s="64" t="str">
        <f>Ringkasan!N192</f>
        <v/>
      </c>
      <c r="O193" s="64" t="str">
        <f>Ringkasan!O192</f>
        <v/>
      </c>
      <c r="P193" s="64" t="str">
        <f>Ringkasan!P192</f>
        <v/>
      </c>
      <c r="Q193" s="64" t="str">
        <f>Ringkasan!Q192</f>
        <v/>
      </c>
      <c r="R193" s="64" t="str">
        <f>Ringkasan!R192</f>
        <v/>
      </c>
      <c r="S193" s="64" t="str">
        <f>Ringkasan!S192</f>
        <v/>
      </c>
      <c r="T193" s="64" t="str">
        <f>Ringkasan!T192</f>
        <v/>
      </c>
      <c r="U193" s="64">
        <f>Ringkasan!U192</f>
        <v>0.14</v>
      </c>
      <c r="V193" s="64">
        <f>Ringkasan!V192</f>
        <v>-7.14</v>
      </c>
      <c r="W193" s="64">
        <f>Ringkasan!W192</f>
        <v>0.14</v>
      </c>
      <c r="X193" s="64">
        <f>Ringkasan!X192</f>
        <v>0.14</v>
      </c>
      <c r="Y193" s="64">
        <f>Ringkasan!Y192</f>
        <v>0.13</v>
      </c>
      <c r="Z193" s="64">
        <f>Ringkasan!Z192</f>
        <v>73571</v>
      </c>
      <c r="AA193" s="64" t="str">
        <f>Ringkasan!AA192</f>
        <v>Oil, Gas &amp; Coal Supports</v>
      </c>
      <c r="AB193" s="64" t="str">
        <f>Ringkasan!AB192</f>
        <v>Energy</v>
      </c>
    </row>
    <row r="194" hidden="1">
      <c r="A194" s="64" t="str">
        <f>Ringkasan!A193</f>
        <v>AUTO</v>
      </c>
      <c r="B194" s="64" t="str">
        <f>Ringkasan!B193</f>
        <v>Astra Otoparts Tbk.</v>
      </c>
      <c r="C194" s="65">
        <f>Ringkasan!C193</f>
        <v>2400</v>
      </c>
      <c r="D194" s="64" t="str">
        <f>Ringkasan!D193</f>
        <v>#N/A</v>
      </c>
      <c r="E194" s="64" t="str">
        <f>Ringkasan!E193</f>
        <v>ESGQKEHATI</v>
      </c>
      <c r="F194" s="66">
        <f>Ringkasan!F193</f>
        <v>46356</v>
      </c>
      <c r="G194" s="65">
        <f>Ringkasan!G193</f>
        <v>3</v>
      </c>
      <c r="H194" s="19">
        <f>Ringkasan!H193</f>
        <v>5.4</v>
      </c>
      <c r="I194" s="19">
        <f>Ringkasan!I193</f>
        <v>0.7</v>
      </c>
      <c r="J194" s="19">
        <f>Ringkasan!J193</f>
        <v>12.9</v>
      </c>
      <c r="K194" s="19">
        <f>Ringkasan!K193</f>
        <v>9.6</v>
      </c>
      <c r="L194" s="19">
        <f>Ringkasan!L193</f>
        <v>0.35</v>
      </c>
      <c r="M194" s="19">
        <f>Ringkasan!M193</f>
        <v>43</v>
      </c>
      <c r="N194" s="64" t="str">
        <f>Ringkasan!N193</f>
        <v/>
      </c>
      <c r="O194" s="64" t="str">
        <f>Ringkasan!O193</f>
        <v/>
      </c>
      <c r="P194" s="64" t="str">
        <f>Ringkasan!P193</f>
        <v/>
      </c>
      <c r="Q194" s="64" t="str">
        <f>Ringkasan!Q193</f>
        <v/>
      </c>
      <c r="R194" s="64" t="str">
        <f>Ringkasan!R193</f>
        <v/>
      </c>
      <c r="S194" s="64" t="str">
        <f>Ringkasan!S193</f>
        <v/>
      </c>
      <c r="T194" s="64" t="str">
        <f>Ringkasan!T193</f>
        <v/>
      </c>
      <c r="U194" s="64">
        <f>Ringkasan!U193</f>
        <v>0.05</v>
      </c>
      <c r="V194" s="64">
        <f>Ringkasan!V193</f>
        <v>0</v>
      </c>
      <c r="W194" s="64" t="str">
        <f>Ringkasan!W193</f>
        <v/>
      </c>
      <c r="X194" s="64" t="str">
        <f>Ringkasan!X193</f>
        <v/>
      </c>
      <c r="Y194" s="64" t="str">
        <f>Ringkasan!Y193</f>
        <v/>
      </c>
      <c r="Z194" s="64">
        <f>Ringkasan!Z193</f>
        <v>0</v>
      </c>
      <c r="AA194" s="64" t="str">
        <f>Ringkasan!AA193</f>
        <v>Auto Components</v>
      </c>
      <c r="AB194" s="64" t="str">
        <f>Ringkasan!AB193</f>
        <v>Consumer Cyclicals</v>
      </c>
    </row>
    <row r="195" hidden="1">
      <c r="A195" s="64" t="str">
        <f>Ringkasan!A194</f>
        <v>AUTO</v>
      </c>
      <c r="B195" s="64" t="str">
        <f>Ringkasan!B194</f>
        <v>Astra Otoparts Tbk.</v>
      </c>
      <c r="C195" s="65">
        <f>Ringkasan!C194</f>
        <v>2400</v>
      </c>
      <c r="D195" s="64" t="str">
        <f>Ringkasan!D194</f>
        <v>#N/A</v>
      </c>
      <c r="E195" s="64" t="str">
        <f>Ringkasan!E194</f>
        <v>IDXSMC-LIQ</v>
      </c>
      <c r="F195" s="64" t="str">
        <f>Ringkasan!F194</f>
        <v>4 Agustus 2026</v>
      </c>
      <c r="G195" s="65">
        <f>Ringkasan!G194</f>
        <v>3</v>
      </c>
      <c r="H195" s="19">
        <f>Ringkasan!H194</f>
        <v>5.4</v>
      </c>
      <c r="I195" s="19">
        <f>Ringkasan!I194</f>
        <v>0.7</v>
      </c>
      <c r="J195" s="19">
        <f>Ringkasan!J194</f>
        <v>12.9</v>
      </c>
      <c r="K195" s="19">
        <f>Ringkasan!K194</f>
        <v>9.6</v>
      </c>
      <c r="L195" s="19">
        <f>Ringkasan!L194</f>
        <v>0.35</v>
      </c>
      <c r="M195" s="19">
        <f>Ringkasan!M194</f>
        <v>43</v>
      </c>
      <c r="N195" s="64" t="str">
        <f>Ringkasan!N194</f>
        <v/>
      </c>
      <c r="O195" s="64" t="str">
        <f>Ringkasan!O194</f>
        <v/>
      </c>
      <c r="P195" s="64" t="str">
        <f>Ringkasan!P194</f>
        <v/>
      </c>
      <c r="Q195" s="64" t="str">
        <f>Ringkasan!Q194</f>
        <v/>
      </c>
      <c r="R195" s="64" t="str">
        <f>Ringkasan!R194</f>
        <v/>
      </c>
      <c r="S195" s="64" t="str">
        <f>Ringkasan!S194</f>
        <v/>
      </c>
      <c r="T195" s="64" t="str">
        <f>Ringkasan!T194</f>
        <v/>
      </c>
      <c r="U195" s="64">
        <f>Ringkasan!U194</f>
        <v>0.05</v>
      </c>
      <c r="V195" s="64">
        <f>Ringkasan!V194</f>
        <v>0</v>
      </c>
      <c r="W195" s="64" t="str">
        <f>Ringkasan!W194</f>
        <v/>
      </c>
      <c r="X195" s="64" t="str">
        <f>Ringkasan!X194</f>
        <v/>
      </c>
      <c r="Y195" s="64" t="str">
        <f>Ringkasan!Y194</f>
        <v/>
      </c>
      <c r="Z195" s="64">
        <f>Ringkasan!Z194</f>
        <v>0</v>
      </c>
      <c r="AA195" s="64" t="str">
        <f>Ringkasan!AA194</f>
        <v>Auto Components</v>
      </c>
      <c r="AB195" s="64" t="str">
        <f>Ringkasan!AB194</f>
        <v>Consumer Cyclicals</v>
      </c>
    </row>
    <row r="196" hidden="1">
      <c r="A196" s="64" t="str">
        <f>Ringkasan!A195</f>
        <v>AUTO</v>
      </c>
      <c r="B196" s="64" t="str">
        <f>Ringkasan!B195</f>
        <v>Astra Otoparts Tbk.</v>
      </c>
      <c r="C196" s="65">
        <f>Ringkasan!C195</f>
        <v>2400</v>
      </c>
      <c r="D196" s="64" t="str">
        <f>Ringkasan!D195</f>
        <v>#N/A</v>
      </c>
      <c r="E196" s="64" t="str">
        <f>Ringkasan!E195</f>
        <v>ESGSKEHATI</v>
      </c>
      <c r="F196" s="66">
        <f>Ringkasan!F195</f>
        <v>46356</v>
      </c>
      <c r="G196" s="65">
        <f>Ringkasan!G195</f>
        <v>3</v>
      </c>
      <c r="H196" s="19">
        <f>Ringkasan!H195</f>
        <v>5.4</v>
      </c>
      <c r="I196" s="19">
        <f>Ringkasan!I195</f>
        <v>0.7</v>
      </c>
      <c r="J196" s="19">
        <f>Ringkasan!J195</f>
        <v>12.9</v>
      </c>
      <c r="K196" s="19">
        <f>Ringkasan!K195</f>
        <v>9.6</v>
      </c>
      <c r="L196" s="19">
        <f>Ringkasan!L195</f>
        <v>0.35</v>
      </c>
      <c r="M196" s="19">
        <f>Ringkasan!M195</f>
        <v>43</v>
      </c>
      <c r="N196" s="64" t="str">
        <f>Ringkasan!N195</f>
        <v/>
      </c>
      <c r="O196" s="64" t="str">
        <f>Ringkasan!O195</f>
        <v/>
      </c>
      <c r="P196" s="64" t="str">
        <f>Ringkasan!P195</f>
        <v/>
      </c>
      <c r="Q196" s="64" t="str">
        <f>Ringkasan!Q195</f>
        <v/>
      </c>
      <c r="R196" s="64" t="str">
        <f>Ringkasan!R195</f>
        <v/>
      </c>
      <c r="S196" s="64" t="str">
        <f>Ringkasan!S195</f>
        <v/>
      </c>
      <c r="T196" s="64" t="str">
        <f>Ringkasan!T195</f>
        <v/>
      </c>
      <c r="U196" s="64">
        <f>Ringkasan!U195</f>
        <v>0.05</v>
      </c>
      <c r="V196" s="64">
        <f>Ringkasan!V195</f>
        <v>0</v>
      </c>
      <c r="W196" s="64" t="str">
        <f>Ringkasan!W195</f>
        <v/>
      </c>
      <c r="X196" s="64" t="str">
        <f>Ringkasan!X195</f>
        <v/>
      </c>
      <c r="Y196" s="64" t="str">
        <f>Ringkasan!Y195</f>
        <v/>
      </c>
      <c r="Z196" s="64">
        <f>Ringkasan!Z195</f>
        <v>0</v>
      </c>
      <c r="AA196" s="64" t="str">
        <f>Ringkasan!AA195</f>
        <v>Auto Components</v>
      </c>
      <c r="AB196" s="64" t="str">
        <f>Ringkasan!AB195</f>
        <v>Consumer Cyclicals</v>
      </c>
    </row>
    <row r="197" hidden="1">
      <c r="A197" s="64" t="str">
        <f>Ringkasan!A196</f>
        <v>AVIA</v>
      </c>
      <c r="B197" s="64" t="str">
        <f>Ringkasan!B196</f>
        <v>Avia Avian Tbk.</v>
      </c>
      <c r="C197" s="65">
        <f>Ringkasan!C196</f>
        <v>310</v>
      </c>
      <c r="D197" s="64" t="str">
        <f>Ringkasan!D196</f>
        <v>#N/A</v>
      </c>
      <c r="E197" s="64" t="str">
        <f>Ringkasan!E196</f>
        <v>ESGQKEHATI</v>
      </c>
      <c r="F197" s="66">
        <f>Ringkasan!F196</f>
        <v>46356</v>
      </c>
      <c r="G197" s="64">
        <f>Ringkasan!G196</f>
        <v>8</v>
      </c>
      <c r="H197" s="19">
        <f>Ringkasan!H196</f>
        <v>12</v>
      </c>
      <c r="I197" s="19">
        <f>Ringkasan!I196</f>
        <v>2.2</v>
      </c>
      <c r="J197" s="19">
        <f>Ringkasan!J196</f>
        <v>18.2</v>
      </c>
      <c r="K197" s="19">
        <f>Ringkasan!K196</f>
        <v>15.5</v>
      </c>
      <c r="L197" s="19">
        <f>Ringkasan!L196</f>
        <v>0.17</v>
      </c>
      <c r="M197" s="19">
        <f>Ringkasan!M196</f>
        <v>76.5</v>
      </c>
      <c r="N197" s="64" t="str">
        <f>Ringkasan!N196</f>
        <v/>
      </c>
      <c r="O197" s="64" t="str">
        <f>Ringkasan!O196</f>
        <v/>
      </c>
      <c r="P197" s="64" t="str">
        <f>Ringkasan!P196</f>
        <v/>
      </c>
      <c r="Q197" s="64" t="str">
        <f>Ringkasan!Q196</f>
        <v/>
      </c>
      <c r="R197" s="64" t="str">
        <f>Ringkasan!R196</f>
        <v/>
      </c>
      <c r="S197" s="64" t="str">
        <f>Ringkasan!S196</f>
        <v/>
      </c>
      <c r="T197" s="64" t="str">
        <f>Ringkasan!T196</f>
        <v/>
      </c>
      <c r="U197" s="64">
        <f>Ringkasan!U196</f>
        <v>312</v>
      </c>
      <c r="V197" s="64">
        <f>Ringkasan!V196</f>
        <v>-0.64</v>
      </c>
      <c r="W197" s="64">
        <f>Ringkasan!W196</f>
        <v>312</v>
      </c>
      <c r="X197" s="64">
        <f>Ringkasan!X196</f>
        <v>316</v>
      </c>
      <c r="Y197" s="64">
        <f>Ringkasan!Y196</f>
        <v>310</v>
      </c>
      <c r="Z197" s="64">
        <f>Ringkasan!Z196</f>
        <v>6393600</v>
      </c>
      <c r="AA197" s="64" t="str">
        <f>Ringkasan!AA196</f>
        <v>Chemicals</v>
      </c>
      <c r="AB197" s="64" t="str">
        <f>Ringkasan!AB196</f>
        <v>Basic Materials</v>
      </c>
    </row>
    <row r="198" hidden="1">
      <c r="A198" s="64" t="str">
        <f>Ringkasan!A197</f>
        <v>AVIA</v>
      </c>
      <c r="B198" s="64" t="str">
        <f>Ringkasan!B197</f>
        <v>Avia Avian Tbk.</v>
      </c>
      <c r="C198" s="65">
        <f>Ringkasan!C197</f>
        <v>310</v>
      </c>
      <c r="D198" s="64" t="str">
        <f>Ringkasan!D197</f>
        <v>#N/A</v>
      </c>
      <c r="E198" s="64" t="str">
        <f>Ringkasan!E197</f>
        <v>MNC36</v>
      </c>
      <c r="F198" s="64" t="str">
        <f>Ringkasan!F197</f>
        <v>30 Oktober 2026</v>
      </c>
      <c r="G198" s="64">
        <f>Ringkasan!G197</f>
        <v>8</v>
      </c>
      <c r="H198" s="19">
        <f>Ringkasan!H197</f>
        <v>12</v>
      </c>
      <c r="I198" s="19">
        <f>Ringkasan!I197</f>
        <v>2.2</v>
      </c>
      <c r="J198" s="19">
        <f>Ringkasan!J197</f>
        <v>18.2</v>
      </c>
      <c r="K198" s="19">
        <f>Ringkasan!K197</f>
        <v>15.5</v>
      </c>
      <c r="L198" s="19">
        <f>Ringkasan!L197</f>
        <v>0.17</v>
      </c>
      <c r="M198" s="19">
        <f>Ringkasan!M197</f>
        <v>76.5</v>
      </c>
      <c r="N198" s="64" t="str">
        <f>Ringkasan!N197</f>
        <v/>
      </c>
      <c r="O198" s="64" t="str">
        <f>Ringkasan!O197</f>
        <v/>
      </c>
      <c r="P198" s="64" t="str">
        <f>Ringkasan!P197</f>
        <v/>
      </c>
      <c r="Q198" s="64" t="str">
        <f>Ringkasan!Q197</f>
        <v/>
      </c>
      <c r="R198" s="64" t="str">
        <f>Ringkasan!R197</f>
        <v/>
      </c>
      <c r="S198" s="64" t="str">
        <f>Ringkasan!S197</f>
        <v/>
      </c>
      <c r="T198" s="64" t="str">
        <f>Ringkasan!T197</f>
        <v/>
      </c>
      <c r="U198" s="64">
        <f>Ringkasan!U197</f>
        <v>312</v>
      </c>
      <c r="V198" s="64">
        <f>Ringkasan!V197</f>
        <v>-0.64</v>
      </c>
      <c r="W198" s="64">
        <f>Ringkasan!W197</f>
        <v>312</v>
      </c>
      <c r="X198" s="64">
        <f>Ringkasan!X197</f>
        <v>316</v>
      </c>
      <c r="Y198" s="64">
        <f>Ringkasan!Y197</f>
        <v>310</v>
      </c>
      <c r="Z198" s="64">
        <f>Ringkasan!Z197</f>
        <v>6393600</v>
      </c>
      <c r="AA198" s="64" t="str">
        <f>Ringkasan!AA197</f>
        <v>Chemicals</v>
      </c>
      <c r="AB198" s="64" t="str">
        <f>Ringkasan!AB197</f>
        <v>Basic Materials</v>
      </c>
    </row>
    <row r="199" hidden="1">
      <c r="A199" s="64" t="str">
        <f>Ringkasan!A198</f>
        <v>AVIA</v>
      </c>
      <c r="B199" s="64" t="str">
        <f>Ringkasan!B198</f>
        <v>Avia Avian Tbk.</v>
      </c>
      <c r="C199" s="65">
        <f>Ringkasan!C198</f>
        <v>310</v>
      </c>
      <c r="D199" s="64" t="str">
        <f>Ringkasan!D198</f>
        <v>#N/A</v>
      </c>
      <c r="E199" s="64" t="str">
        <f>Ringkasan!E198</f>
        <v>IDXSMC-LIQ</v>
      </c>
      <c r="F199" s="64" t="str">
        <f>Ringkasan!F198</f>
        <v>4 Agustus 2026</v>
      </c>
      <c r="G199" s="64">
        <f>Ringkasan!G198</f>
        <v>8</v>
      </c>
      <c r="H199" s="19">
        <f>Ringkasan!H198</f>
        <v>12</v>
      </c>
      <c r="I199" s="19">
        <f>Ringkasan!I198</f>
        <v>2.2</v>
      </c>
      <c r="J199" s="19">
        <f>Ringkasan!J198</f>
        <v>18.2</v>
      </c>
      <c r="K199" s="19">
        <f>Ringkasan!K198</f>
        <v>15.5</v>
      </c>
      <c r="L199" s="19">
        <f>Ringkasan!L198</f>
        <v>0.17</v>
      </c>
      <c r="M199" s="19">
        <f>Ringkasan!M198</f>
        <v>76.5</v>
      </c>
      <c r="N199" s="19" t="str">
        <f>Ringkasan!N198</f>
        <v/>
      </c>
      <c r="O199" s="19" t="str">
        <f>Ringkasan!O198</f>
        <v/>
      </c>
      <c r="P199" s="19" t="str">
        <f>Ringkasan!P198</f>
        <v/>
      </c>
      <c r="Q199" s="19" t="str">
        <f>Ringkasan!Q198</f>
        <v/>
      </c>
      <c r="R199" s="19" t="str">
        <f>Ringkasan!R198</f>
        <v/>
      </c>
      <c r="S199" s="19" t="str">
        <f>Ringkasan!S198</f>
        <v/>
      </c>
      <c r="T199" s="19" t="str">
        <f>Ringkasan!T198</f>
        <v/>
      </c>
      <c r="U199" s="64">
        <f>Ringkasan!U198</f>
        <v>312</v>
      </c>
      <c r="V199" s="64">
        <f>Ringkasan!V198</f>
        <v>-0.64</v>
      </c>
      <c r="W199" s="64">
        <f>Ringkasan!W198</f>
        <v>312</v>
      </c>
      <c r="X199" s="64">
        <f>Ringkasan!X198</f>
        <v>316</v>
      </c>
      <c r="Y199" s="64">
        <f>Ringkasan!Y198</f>
        <v>310</v>
      </c>
      <c r="Z199" s="64">
        <f>Ringkasan!Z198</f>
        <v>6393600</v>
      </c>
      <c r="AA199" s="64" t="str">
        <f>Ringkasan!AA198</f>
        <v>Chemicals</v>
      </c>
      <c r="AB199" s="64" t="str">
        <f>Ringkasan!AB198</f>
        <v>Basic Materials</v>
      </c>
    </row>
    <row r="200" hidden="1">
      <c r="A200" s="64" t="str">
        <f>Ringkasan!A199</f>
        <v>AVIA</v>
      </c>
      <c r="B200" s="64" t="str">
        <f>Ringkasan!B199</f>
        <v>Avia Avian Tbk.</v>
      </c>
      <c r="C200" s="65">
        <f>Ringkasan!C199</f>
        <v>310</v>
      </c>
      <c r="D200" s="64" t="str">
        <f>Ringkasan!D199</f>
        <v>#N/A</v>
      </c>
      <c r="E200" s="64" t="str">
        <f>Ringkasan!E199</f>
        <v>FTSE Large Cap</v>
      </c>
      <c r="F200" s="64" t="str">
        <f>Ringkasan!F199</f>
        <v>Juni 2026</v>
      </c>
      <c r="G200" s="64">
        <f>Ringkasan!G199</f>
        <v>8</v>
      </c>
      <c r="H200" s="19">
        <f>Ringkasan!H199</f>
        <v>12</v>
      </c>
      <c r="I200" s="19">
        <f>Ringkasan!I199</f>
        <v>2.2</v>
      </c>
      <c r="J200" s="19">
        <f>Ringkasan!J199</f>
        <v>18.2</v>
      </c>
      <c r="K200" s="19">
        <f>Ringkasan!K199</f>
        <v>15.5</v>
      </c>
      <c r="L200" s="19">
        <f>Ringkasan!L199</f>
        <v>0.17</v>
      </c>
      <c r="M200" s="19">
        <f>Ringkasan!M199</f>
        <v>76.5</v>
      </c>
      <c r="N200" s="64" t="str">
        <f>Ringkasan!N199</f>
        <v/>
      </c>
      <c r="O200" s="64" t="str">
        <f>Ringkasan!O199</f>
        <v/>
      </c>
      <c r="P200" s="64" t="str">
        <f>Ringkasan!P199</f>
        <v/>
      </c>
      <c r="Q200" s="64" t="str">
        <f>Ringkasan!Q199</f>
        <v/>
      </c>
      <c r="R200" s="64" t="str">
        <f>Ringkasan!R199</f>
        <v/>
      </c>
      <c r="S200" s="64" t="str">
        <f>Ringkasan!S199</f>
        <v/>
      </c>
      <c r="T200" s="64" t="str">
        <f>Ringkasan!T199</f>
        <v/>
      </c>
      <c r="U200" s="64">
        <f>Ringkasan!U199</f>
        <v>312</v>
      </c>
      <c r="V200" s="64">
        <f>Ringkasan!V199</f>
        <v>-0.64</v>
      </c>
      <c r="W200" s="64">
        <f>Ringkasan!W199</f>
        <v>312</v>
      </c>
      <c r="X200" s="64">
        <f>Ringkasan!X199</f>
        <v>316</v>
      </c>
      <c r="Y200" s="64">
        <f>Ringkasan!Y199</f>
        <v>310</v>
      </c>
      <c r="Z200" s="64">
        <f>Ringkasan!Z199</f>
        <v>6393600</v>
      </c>
      <c r="AA200" s="64" t="str">
        <f>Ringkasan!AA199</f>
        <v>Chemicals</v>
      </c>
      <c r="AB200" s="64" t="str">
        <f>Ringkasan!AB199</f>
        <v>Basic Materials</v>
      </c>
    </row>
    <row r="201" hidden="1">
      <c r="A201" s="64" t="str">
        <f>Ringkasan!A200</f>
        <v>AVIA</v>
      </c>
      <c r="B201" s="64" t="str">
        <f>Ringkasan!B200</f>
        <v>Avia Avian Tbk.</v>
      </c>
      <c r="C201" s="65">
        <f>Ringkasan!C200</f>
        <v>310</v>
      </c>
      <c r="D201" s="64" t="str">
        <f>Ringkasan!D200</f>
        <v>#N/A</v>
      </c>
      <c r="E201" s="64" t="str">
        <f>Ringkasan!E200</f>
        <v>MSCI Small Cap</v>
      </c>
      <c r="F201" s="64" t="str">
        <f>Ringkasan!F200</f>
        <v>12 Agustus 2026</v>
      </c>
      <c r="G201" s="64">
        <f>Ringkasan!G200</f>
        <v>8</v>
      </c>
      <c r="H201" s="19">
        <f>Ringkasan!H200</f>
        <v>12</v>
      </c>
      <c r="I201" s="19">
        <f>Ringkasan!I200</f>
        <v>2.2</v>
      </c>
      <c r="J201" s="19">
        <f>Ringkasan!J200</f>
        <v>18.2</v>
      </c>
      <c r="K201" s="19">
        <f>Ringkasan!K200</f>
        <v>15.5</v>
      </c>
      <c r="L201" s="19">
        <f>Ringkasan!L200</f>
        <v>0.17</v>
      </c>
      <c r="M201" s="19">
        <f>Ringkasan!M200</f>
        <v>76.5</v>
      </c>
      <c r="N201" s="64" t="str">
        <f>Ringkasan!N200</f>
        <v/>
      </c>
      <c r="O201" s="64" t="str">
        <f>Ringkasan!O200</f>
        <v/>
      </c>
      <c r="P201" s="64" t="str">
        <f>Ringkasan!P200</f>
        <v/>
      </c>
      <c r="Q201" s="64" t="str">
        <f>Ringkasan!Q200</f>
        <v/>
      </c>
      <c r="R201" s="64" t="str">
        <f>Ringkasan!R200</f>
        <v/>
      </c>
      <c r="S201" s="64" t="str">
        <f>Ringkasan!S200</f>
        <v/>
      </c>
      <c r="T201" s="64" t="str">
        <f>Ringkasan!T200</f>
        <v/>
      </c>
      <c r="U201" s="64">
        <f>Ringkasan!U200</f>
        <v>312</v>
      </c>
      <c r="V201" s="64">
        <f>Ringkasan!V200</f>
        <v>-0.64</v>
      </c>
      <c r="W201" s="64">
        <f>Ringkasan!W200</f>
        <v>312</v>
      </c>
      <c r="X201" s="64">
        <f>Ringkasan!X200</f>
        <v>316</v>
      </c>
      <c r="Y201" s="64">
        <f>Ringkasan!Y200</f>
        <v>310</v>
      </c>
      <c r="Z201" s="64">
        <f>Ringkasan!Z200</f>
        <v>6393600</v>
      </c>
      <c r="AA201" s="64" t="str">
        <f>Ringkasan!AA200</f>
        <v>Chemicals</v>
      </c>
      <c r="AB201" s="64" t="str">
        <f>Ringkasan!AB200</f>
        <v>Basic Materials</v>
      </c>
    </row>
    <row r="202" hidden="1">
      <c r="A202" s="64" t="str">
        <f>Ringkasan!A201</f>
        <v>AVIA</v>
      </c>
      <c r="B202" s="64" t="str">
        <f>Ringkasan!B201</f>
        <v>Avia Avian Tbk.</v>
      </c>
      <c r="C202" s="65">
        <f>Ringkasan!C201</f>
        <v>310</v>
      </c>
      <c r="D202" s="64" t="str">
        <f>Ringkasan!D201</f>
        <v>#N/A</v>
      </c>
      <c r="E202" s="64" t="str">
        <f>Ringkasan!E201</f>
        <v>ESGSKEHATI</v>
      </c>
      <c r="F202" s="66">
        <f>Ringkasan!F201</f>
        <v>46356</v>
      </c>
      <c r="G202" s="64">
        <f>Ringkasan!G201</f>
        <v>8</v>
      </c>
      <c r="H202" s="19">
        <f>Ringkasan!H201</f>
        <v>12</v>
      </c>
      <c r="I202" s="19">
        <f>Ringkasan!I201</f>
        <v>2.2</v>
      </c>
      <c r="J202" s="19">
        <f>Ringkasan!J201</f>
        <v>18.2</v>
      </c>
      <c r="K202" s="19">
        <f>Ringkasan!K201</f>
        <v>15.5</v>
      </c>
      <c r="L202" s="19">
        <f>Ringkasan!L201</f>
        <v>0.17</v>
      </c>
      <c r="M202" s="19">
        <f>Ringkasan!M201</f>
        <v>76.5</v>
      </c>
      <c r="N202" s="64" t="str">
        <f>Ringkasan!N201</f>
        <v/>
      </c>
      <c r="O202" s="64" t="str">
        <f>Ringkasan!O201</f>
        <v/>
      </c>
      <c r="P202" s="64" t="str">
        <f>Ringkasan!P201</f>
        <v/>
      </c>
      <c r="Q202" s="64" t="str">
        <f>Ringkasan!Q201</f>
        <v/>
      </c>
      <c r="R202" s="64" t="str">
        <f>Ringkasan!R201</f>
        <v/>
      </c>
      <c r="S202" s="64" t="str">
        <f>Ringkasan!S201</f>
        <v/>
      </c>
      <c r="T202" s="64" t="str">
        <f>Ringkasan!T201</f>
        <v/>
      </c>
      <c r="U202" s="64">
        <f>Ringkasan!U201</f>
        <v>312</v>
      </c>
      <c r="V202" s="64">
        <f>Ringkasan!V201</f>
        <v>-0.64</v>
      </c>
      <c r="W202" s="64">
        <f>Ringkasan!W201</f>
        <v>312</v>
      </c>
      <c r="X202" s="64">
        <f>Ringkasan!X201</f>
        <v>316</v>
      </c>
      <c r="Y202" s="64">
        <f>Ringkasan!Y201</f>
        <v>310</v>
      </c>
      <c r="Z202" s="64">
        <f>Ringkasan!Z201</f>
        <v>6393600</v>
      </c>
      <c r="AA202" s="64" t="str">
        <f>Ringkasan!AA201</f>
        <v>Chemicals</v>
      </c>
      <c r="AB202" s="64" t="str">
        <f>Ringkasan!AB201</f>
        <v>Basic Materials</v>
      </c>
    </row>
    <row r="203" hidden="1">
      <c r="A203" s="64" t="str">
        <f>Ringkasan!A202</f>
        <v>AVIA</v>
      </c>
      <c r="B203" s="64" t="str">
        <f>Ringkasan!B202</f>
        <v>Avia Avian Tbk.</v>
      </c>
      <c r="C203" s="65">
        <f>Ringkasan!C202</f>
        <v>310</v>
      </c>
      <c r="D203" s="64" t="str">
        <f>Ringkasan!D202</f>
        <v>#N/A</v>
      </c>
      <c r="E203" s="64" t="str">
        <f>Ringkasan!E202</f>
        <v>SRI-KEHATI</v>
      </c>
      <c r="F203" s="66">
        <f>Ringkasan!F202</f>
        <v>46356</v>
      </c>
      <c r="G203" s="64">
        <f>Ringkasan!G202</f>
        <v>8</v>
      </c>
      <c r="H203" s="19">
        <f>Ringkasan!H202</f>
        <v>12</v>
      </c>
      <c r="I203" s="19">
        <f>Ringkasan!I202</f>
        <v>2.2</v>
      </c>
      <c r="J203" s="19">
        <f>Ringkasan!J202</f>
        <v>18.2</v>
      </c>
      <c r="K203" s="19">
        <f>Ringkasan!K202</f>
        <v>15.5</v>
      </c>
      <c r="L203" s="19">
        <f>Ringkasan!L202</f>
        <v>0.17</v>
      </c>
      <c r="M203" s="19">
        <f>Ringkasan!M202</f>
        <v>76.5</v>
      </c>
      <c r="N203" s="64" t="str">
        <f>Ringkasan!N202</f>
        <v/>
      </c>
      <c r="O203" s="64" t="str">
        <f>Ringkasan!O202</f>
        <v/>
      </c>
      <c r="P203" s="64" t="str">
        <f>Ringkasan!P202</f>
        <v/>
      </c>
      <c r="Q203" s="64" t="str">
        <f>Ringkasan!Q202</f>
        <v/>
      </c>
      <c r="R203" s="64" t="str">
        <f>Ringkasan!R202</f>
        <v/>
      </c>
      <c r="S203" s="64" t="str">
        <f>Ringkasan!S202</f>
        <v/>
      </c>
      <c r="T203" s="64" t="str">
        <f>Ringkasan!T202</f>
        <v/>
      </c>
      <c r="U203" s="64">
        <f>Ringkasan!U202</f>
        <v>312</v>
      </c>
      <c r="V203" s="64">
        <f>Ringkasan!V202</f>
        <v>-0.64</v>
      </c>
      <c r="W203" s="64">
        <f>Ringkasan!W202</f>
        <v>312</v>
      </c>
      <c r="X203" s="64">
        <f>Ringkasan!X202</f>
        <v>316</v>
      </c>
      <c r="Y203" s="64">
        <f>Ringkasan!Y202</f>
        <v>310</v>
      </c>
      <c r="Z203" s="64">
        <f>Ringkasan!Z202</f>
        <v>6393600</v>
      </c>
      <c r="AA203" s="64" t="str">
        <f>Ringkasan!AA202</f>
        <v>Chemicals</v>
      </c>
      <c r="AB203" s="64" t="str">
        <f>Ringkasan!AB202</f>
        <v>Basic Materials</v>
      </c>
    </row>
    <row r="204" hidden="1">
      <c r="A204" s="64" t="str">
        <f>Ringkasan!A203</f>
        <v>AVIA</v>
      </c>
      <c r="B204" s="64" t="str">
        <f>Ringkasan!B203</f>
        <v>Avia Avian Tbk.</v>
      </c>
      <c r="C204" s="65">
        <f>Ringkasan!C203</f>
        <v>310</v>
      </c>
      <c r="D204" s="64" t="str">
        <f>Ringkasan!D203</f>
        <v>#N/A</v>
      </c>
      <c r="E204" s="64" t="str">
        <f>Ringkasan!E203</f>
        <v>JII70</v>
      </c>
      <c r="F204" s="66">
        <f>Ringkasan!F203</f>
        <v>46356</v>
      </c>
      <c r="G204" s="64">
        <f>Ringkasan!G203</f>
        <v>8</v>
      </c>
      <c r="H204" s="19">
        <f>Ringkasan!H203</f>
        <v>12</v>
      </c>
      <c r="I204" s="19">
        <f>Ringkasan!I203</f>
        <v>2.2</v>
      </c>
      <c r="J204" s="19">
        <f>Ringkasan!J203</f>
        <v>18.2</v>
      </c>
      <c r="K204" s="19">
        <f>Ringkasan!K203</f>
        <v>15.5</v>
      </c>
      <c r="L204" s="19">
        <f>Ringkasan!L203</f>
        <v>0.17</v>
      </c>
      <c r="M204" s="19">
        <f>Ringkasan!M203</f>
        <v>76.5</v>
      </c>
      <c r="N204" s="64" t="str">
        <f>Ringkasan!N203</f>
        <v/>
      </c>
      <c r="O204" s="64" t="str">
        <f>Ringkasan!O203</f>
        <v/>
      </c>
      <c r="P204" s="64" t="str">
        <f>Ringkasan!P203</f>
        <v/>
      </c>
      <c r="Q204" s="64" t="str">
        <f>Ringkasan!Q203</f>
        <v/>
      </c>
      <c r="R204" s="64" t="str">
        <f>Ringkasan!R203</f>
        <v/>
      </c>
      <c r="S204" s="64" t="str">
        <f>Ringkasan!S203</f>
        <v/>
      </c>
      <c r="T204" s="64" t="str">
        <f>Ringkasan!T203</f>
        <v/>
      </c>
      <c r="U204" s="64">
        <f>Ringkasan!U203</f>
        <v>312</v>
      </c>
      <c r="V204" s="64">
        <f>Ringkasan!V203</f>
        <v>-0.64</v>
      </c>
      <c r="W204" s="64">
        <f>Ringkasan!W203</f>
        <v>312</v>
      </c>
      <c r="X204" s="64">
        <f>Ringkasan!X203</f>
        <v>316</v>
      </c>
      <c r="Y204" s="64">
        <f>Ringkasan!Y203</f>
        <v>310</v>
      </c>
      <c r="Z204" s="64">
        <f>Ringkasan!Z203</f>
        <v>6393600</v>
      </c>
      <c r="AA204" s="64" t="str">
        <f>Ringkasan!AA203</f>
        <v>Chemicals</v>
      </c>
      <c r="AB204" s="64" t="str">
        <f>Ringkasan!AB203</f>
        <v>Basic Materials</v>
      </c>
    </row>
    <row r="205" hidden="1">
      <c r="A205" s="64" t="str">
        <f>Ringkasan!A204</f>
        <v>AWAN</v>
      </c>
      <c r="B205" s="64" t="str">
        <f>Ringkasan!B204</f>
        <v>PT Era Digital Media Tbk</v>
      </c>
      <c r="C205" s="65" t="str">
        <f>Ringkasan!C204</f>
        <v>#N/A</v>
      </c>
      <c r="D205" s="64" t="str">
        <f>Ringkasan!D204</f>
        <v>#N/A</v>
      </c>
      <c r="E205" s="64" t="str">
        <f>Ringkasan!E204</f>
        <v/>
      </c>
      <c r="F205" s="64" t="str">
        <f>Ringkasan!F204</f>
        <v/>
      </c>
      <c r="G205" s="64">
        <f>Ringkasan!G204</f>
        <v>0</v>
      </c>
      <c r="H205" s="19">
        <f>Ringkasan!H204</f>
        <v>-59.7</v>
      </c>
      <c r="I205" s="19">
        <f>Ringkasan!I204</f>
        <v>7.6</v>
      </c>
      <c r="J205" s="19">
        <f>Ringkasan!J204</f>
        <v>-12.7</v>
      </c>
      <c r="K205" s="19">
        <f>Ringkasan!K204</f>
        <v>-10.3</v>
      </c>
      <c r="L205" s="19">
        <f>Ringkasan!L204</f>
        <v>0.22</v>
      </c>
      <c r="M205" s="19">
        <f>Ringkasan!M204</f>
        <v>-60.2</v>
      </c>
      <c r="N205" s="64" t="str">
        <f>Ringkasan!N204</f>
        <v/>
      </c>
      <c r="O205" s="64" t="str">
        <f>Ringkasan!O204</f>
        <v/>
      </c>
      <c r="P205" s="64" t="str">
        <f>Ringkasan!P204</f>
        <v/>
      </c>
      <c r="Q205" s="64" t="str">
        <f>Ringkasan!Q204</f>
        <v/>
      </c>
      <c r="R205" s="64" t="str">
        <f>Ringkasan!R204</f>
        <v/>
      </c>
      <c r="S205" s="64" t="str">
        <f>Ringkasan!S204</f>
        <v/>
      </c>
      <c r="T205" s="64" t="str">
        <f>Ringkasan!T204</f>
        <v/>
      </c>
      <c r="U205" s="64">
        <f>Ringkasan!U204</f>
        <v>140</v>
      </c>
      <c r="V205" s="64">
        <f>Ringkasan!V204</f>
        <v>3.57</v>
      </c>
      <c r="W205" s="64">
        <f>Ringkasan!W204</f>
        <v>137</v>
      </c>
      <c r="X205" s="64">
        <f>Ringkasan!X204</f>
        <v>147</v>
      </c>
      <c r="Y205" s="64">
        <f>Ringkasan!Y204</f>
        <v>137</v>
      </c>
      <c r="Z205" s="64">
        <f>Ringkasan!Z204</f>
        <v>224600</v>
      </c>
      <c r="AA205" s="64" t="str">
        <f>Ringkasan!AA204</f>
        <v>Online Applications &amp; Services</v>
      </c>
      <c r="AB205" s="64" t="str">
        <f>Ringkasan!AB204</f>
        <v>Technology</v>
      </c>
    </row>
    <row r="206" hidden="1">
      <c r="A206" s="64" t="str">
        <f>Ringkasan!A205</f>
        <v>AXIO</v>
      </c>
      <c r="B206" s="64" t="str">
        <f>Ringkasan!B205</f>
        <v>Tera Data Indonusa Tbk.</v>
      </c>
      <c r="C206" s="65">
        <f>Ringkasan!C205</f>
        <v>105</v>
      </c>
      <c r="D206" s="64" t="str">
        <f>Ringkasan!D205</f>
        <v>#N/A</v>
      </c>
      <c r="E206" s="64" t="str">
        <f>Ringkasan!E205</f>
        <v/>
      </c>
      <c r="F206" s="64" t="str">
        <f>Ringkasan!F205</f>
        <v/>
      </c>
      <c r="G206" s="64">
        <f>Ringkasan!G205</f>
        <v>0</v>
      </c>
      <c r="H206" s="19">
        <f>Ringkasan!H205</f>
        <v>9.3</v>
      </c>
      <c r="I206" s="19">
        <f>Ringkasan!I205</f>
        <v>1.2</v>
      </c>
      <c r="J206" s="19">
        <f>Ringkasan!J205</f>
        <v>12.8</v>
      </c>
      <c r="K206" s="19">
        <f>Ringkasan!K205</f>
        <v>5.3</v>
      </c>
      <c r="L206" s="19">
        <f>Ringkasan!L205</f>
        <v>1.4</v>
      </c>
      <c r="M206" s="19">
        <f>Ringkasan!M205</f>
        <v>19.8</v>
      </c>
      <c r="N206" s="64" t="str">
        <f>Ringkasan!N205</f>
        <v/>
      </c>
      <c r="O206" s="64" t="str">
        <f>Ringkasan!O205</f>
        <v/>
      </c>
      <c r="P206" s="64" t="str">
        <f>Ringkasan!P205</f>
        <v/>
      </c>
      <c r="Q206" s="64" t="str">
        <f>Ringkasan!Q205</f>
        <v/>
      </c>
      <c r="R206" s="64" t="str">
        <f>Ringkasan!R205</f>
        <v/>
      </c>
      <c r="S206" s="64" t="str">
        <f>Ringkasan!S205</f>
        <v/>
      </c>
      <c r="T206" s="64" t="str">
        <f>Ringkasan!T205</f>
        <v/>
      </c>
      <c r="U206" s="64">
        <f>Ringkasan!U205</f>
        <v>102</v>
      </c>
      <c r="V206" s="64">
        <f>Ringkasan!V205</f>
        <v>2.94</v>
      </c>
      <c r="W206" s="64">
        <f>Ringkasan!W205</f>
        <v>103</v>
      </c>
      <c r="X206" s="64">
        <f>Ringkasan!X205</f>
        <v>106</v>
      </c>
      <c r="Y206" s="64">
        <f>Ringkasan!Y205</f>
        <v>103</v>
      </c>
      <c r="Z206" s="64">
        <f>Ringkasan!Z205</f>
        <v>269400</v>
      </c>
      <c r="AA206" s="64" t="str">
        <f>Ringkasan!AA205</f>
        <v>Computer Hardware</v>
      </c>
      <c r="AB206" s="64" t="str">
        <f>Ringkasan!AB205</f>
        <v>Technology</v>
      </c>
    </row>
    <row r="207" hidden="1">
      <c r="A207" s="64" t="str">
        <f>Ringkasan!A764</f>
        <v>GOTO</v>
      </c>
      <c r="B207" s="64" t="str">
        <f>Ringkasan!B764</f>
        <v>GoTo Gojek Tokopedia Tbk.</v>
      </c>
      <c r="C207" s="65">
        <f>Ringkasan!C764</f>
        <v>50</v>
      </c>
      <c r="D207" s="64" t="str">
        <f>Ringkasan!D764</f>
        <v>#N/A</v>
      </c>
      <c r="E207" s="64" t="str">
        <f>Ringkasan!E764</f>
        <v>IDX30</v>
      </c>
      <c r="F207" s="64" t="str">
        <f>Ringkasan!F764</f>
        <v>31 Juli 2026</v>
      </c>
      <c r="G207" s="64">
        <f>Ringkasan!G764</f>
        <v>6</v>
      </c>
      <c r="H207" s="19">
        <f>Ringkasan!H764</f>
        <v>-88.5</v>
      </c>
      <c r="I207" s="19">
        <f>Ringkasan!I764</f>
        <v>2</v>
      </c>
      <c r="J207" s="19">
        <f>Ringkasan!J764</f>
        <v>-2.2</v>
      </c>
      <c r="K207" s="19">
        <f>Ringkasan!K764</f>
        <v>-1.4</v>
      </c>
      <c r="L207" s="19">
        <f>Ringkasan!L764</f>
        <v>0.62</v>
      </c>
      <c r="M207" s="19">
        <f>Ringkasan!M764</f>
        <v>-12.1</v>
      </c>
      <c r="N207" s="64" t="str">
        <f>Ringkasan!N764</f>
        <v/>
      </c>
      <c r="O207" s="64" t="str">
        <f>Ringkasan!O764</f>
        <v/>
      </c>
      <c r="P207" s="64" t="str">
        <f>Ringkasan!P764</f>
        <v/>
      </c>
      <c r="Q207" s="64" t="str">
        <f>Ringkasan!Q764</f>
        <v/>
      </c>
      <c r="R207" s="64" t="str">
        <f>Ringkasan!R764</f>
        <v/>
      </c>
      <c r="S207" s="64" t="str">
        <f>Ringkasan!S764</f>
        <v/>
      </c>
      <c r="T207" s="64" t="str">
        <f>Ringkasan!T764</f>
        <v/>
      </c>
      <c r="U207" s="64">
        <f>Ringkasan!U764</f>
        <v>50</v>
      </c>
      <c r="V207" s="64">
        <f>Ringkasan!V764</f>
        <v>0</v>
      </c>
      <c r="W207" s="64">
        <f>Ringkasan!W764</f>
        <v>50</v>
      </c>
      <c r="X207" s="64">
        <f>Ringkasan!X764</f>
        <v>50</v>
      </c>
      <c r="Y207" s="64">
        <f>Ringkasan!Y764</f>
        <v>50</v>
      </c>
      <c r="Z207" s="64">
        <f>Ringkasan!Z764</f>
        <v>67675000</v>
      </c>
      <c r="AA207" s="64" t="str">
        <f>Ringkasan!AA764</f>
        <v>Software</v>
      </c>
      <c r="AB207" s="64" t="str">
        <f>Ringkasan!AB764</f>
        <v>Technology</v>
      </c>
    </row>
    <row r="208" hidden="1">
      <c r="A208" s="64" t="str">
        <f>Ringkasan!A207</f>
        <v>AYLS</v>
      </c>
      <c r="B208" s="64" t="str">
        <f>Ringkasan!B207</f>
        <v>Arkayana Lestari Grup Tbk.</v>
      </c>
      <c r="C208" s="67">
        <f>Ringkasan!C207</f>
        <v>132</v>
      </c>
      <c r="D208" s="22" t="str">
        <f>Ringkasan!D207</f>
        <v>#N/A</v>
      </c>
      <c r="E208" s="64" t="str">
        <f>Ringkasan!E207</f>
        <v/>
      </c>
      <c r="F208" s="64" t="str">
        <f>Ringkasan!F207</f>
        <v/>
      </c>
      <c r="G208" s="64">
        <f>Ringkasan!G207</f>
        <v>0</v>
      </c>
      <c r="H208" s="19">
        <f>Ringkasan!H207</f>
        <v>-15</v>
      </c>
      <c r="I208" s="19">
        <f>Ringkasan!I207</f>
        <v>3.6</v>
      </c>
      <c r="J208" s="19">
        <f>Ringkasan!J207</f>
        <v>-24.3</v>
      </c>
      <c r="K208" s="19">
        <f>Ringkasan!K207</f>
        <v>-24</v>
      </c>
      <c r="L208" s="19">
        <f>Ringkasan!L207</f>
        <v>0.01</v>
      </c>
      <c r="M208" s="19">
        <f>Ringkasan!M207</f>
        <v>-2540</v>
      </c>
      <c r="N208" s="64" t="str">
        <f>Ringkasan!N207</f>
        <v/>
      </c>
      <c r="O208" s="64" t="str">
        <f>Ringkasan!O207</f>
        <v/>
      </c>
      <c r="P208" s="64" t="str">
        <f>Ringkasan!P207</f>
        <v/>
      </c>
      <c r="Q208" s="64" t="str">
        <f>Ringkasan!Q207</f>
        <v/>
      </c>
      <c r="R208" s="64" t="str">
        <f>Ringkasan!R207</f>
        <v/>
      </c>
      <c r="S208" s="64" t="str">
        <f>Ringkasan!S207</f>
        <v/>
      </c>
      <c r="T208" s="64" t="str">
        <f>Ringkasan!T207</f>
        <v/>
      </c>
      <c r="U208" s="22">
        <f>Ringkasan!U207</f>
        <v>127</v>
      </c>
      <c r="V208" s="22">
        <f>Ringkasan!V207</f>
        <v>3.94</v>
      </c>
      <c r="W208" s="22">
        <f>Ringkasan!W207</f>
        <v>127</v>
      </c>
      <c r="X208" s="22">
        <f>Ringkasan!X207</f>
        <v>133</v>
      </c>
      <c r="Y208" s="22">
        <f>Ringkasan!Y207</f>
        <v>125</v>
      </c>
      <c r="Z208" s="22">
        <f>Ringkasan!Z207</f>
        <v>1561100</v>
      </c>
      <c r="AA208" s="64" t="str">
        <f>Ringkasan!AA207</f>
        <v>Construction Materials</v>
      </c>
      <c r="AB208" s="64" t="str">
        <f>Ringkasan!AB207</f>
        <v>Basic Materials</v>
      </c>
    </row>
    <row r="209" hidden="1">
      <c r="A209" s="64" t="str">
        <f>Ringkasan!A861</f>
        <v>INAI</v>
      </c>
      <c r="B209" s="64" t="str">
        <f>Ringkasan!B861</f>
        <v>Indal Aluminium Industry Tbk.</v>
      </c>
      <c r="C209" s="65">
        <f>Ringkasan!C861</f>
        <v>128</v>
      </c>
      <c r="D209" s="64" t="str">
        <f>Ringkasan!D861</f>
        <v>#N/A</v>
      </c>
      <c r="E209" s="64" t="str">
        <f>Ringkasan!E861</f>
        <v/>
      </c>
      <c r="F209" s="64" t="str">
        <f>Ringkasan!F861</f>
        <v/>
      </c>
      <c r="G209" s="64">
        <f>Ringkasan!G861</f>
        <v>0</v>
      </c>
      <c r="H209" s="19">
        <f>Ringkasan!H861</f>
        <v>-1</v>
      </c>
      <c r="I209" s="19">
        <f>Ringkasan!I861</f>
        <v>1.5</v>
      </c>
      <c r="J209" s="19">
        <f>Ringkasan!J861</f>
        <v>-150</v>
      </c>
      <c r="K209" s="19">
        <f>Ringkasan!K861</f>
        <v>-9</v>
      </c>
      <c r="L209" s="19">
        <f>Ringkasan!L861</f>
        <v>15.7</v>
      </c>
      <c r="M209" s="19">
        <f>Ringkasan!M861</f>
        <v>-59.4</v>
      </c>
      <c r="N209" s="64" t="str">
        <f>Ringkasan!N861</f>
        <v/>
      </c>
      <c r="O209" s="64" t="str">
        <f>Ringkasan!O861</f>
        <v/>
      </c>
      <c r="P209" s="64" t="str">
        <f>Ringkasan!P861</f>
        <v/>
      </c>
      <c r="Q209" s="64" t="str">
        <f>Ringkasan!Q861</f>
        <v/>
      </c>
      <c r="R209" s="64" t="str">
        <f>Ringkasan!R861</f>
        <v/>
      </c>
      <c r="S209" s="64" t="str">
        <f>Ringkasan!S861</f>
        <v/>
      </c>
      <c r="T209" s="64" t="str">
        <f>Ringkasan!T861</f>
        <v/>
      </c>
      <c r="U209" s="64">
        <f>Ringkasan!U861</f>
        <v>50.01</v>
      </c>
      <c r="V209" s="64">
        <f>Ringkasan!V861</f>
        <v>0.62</v>
      </c>
      <c r="W209" s="64">
        <f>Ringkasan!W861</f>
        <v>49.7</v>
      </c>
      <c r="X209" s="64">
        <f>Ringkasan!X861</f>
        <v>50.61</v>
      </c>
      <c r="Y209" s="64">
        <f>Ringkasan!Y861</f>
        <v>49.63</v>
      </c>
      <c r="Z209" s="64">
        <f>Ringkasan!Z861</f>
        <v>2736</v>
      </c>
      <c r="AA209" s="64" t="str">
        <f>Ringkasan!AA861</f>
        <v>Metals &amp; Minerals</v>
      </c>
      <c r="AB209" s="64" t="str">
        <f>Ringkasan!AB861</f>
        <v>Basic Materials</v>
      </c>
    </row>
    <row r="210" hidden="1">
      <c r="A210" s="64" t="str">
        <f>Ringkasan!A902</f>
        <v>INDY</v>
      </c>
      <c r="B210" s="64" t="str">
        <f>Ringkasan!B902</f>
        <v>Indika Energy Tbk.</v>
      </c>
      <c r="C210" s="65">
        <f>Ringkasan!C902</f>
        <v>2260</v>
      </c>
      <c r="D210" s="64" t="str">
        <f>Ringkasan!D902</f>
        <v>#N/A</v>
      </c>
      <c r="E210" s="64" t="str">
        <f>Ringkasan!E902</f>
        <v>IDXSMC-LIQ</v>
      </c>
      <c r="F210" s="64" t="str">
        <f>Ringkasan!F902</f>
        <v>4 Agustus 2026</v>
      </c>
      <c r="G210" s="64">
        <f>Ringkasan!G902</f>
        <v>4</v>
      </c>
      <c r="H210" s="19">
        <f>Ringkasan!H902</f>
        <v>68.9</v>
      </c>
      <c r="I210" s="19">
        <f>Ringkasan!I902</f>
        <v>0.52</v>
      </c>
      <c r="J210" s="19">
        <f>Ringkasan!J902</f>
        <v>0.75</v>
      </c>
      <c r="K210" s="19">
        <f>Ringkasan!K902</f>
        <v>0.34</v>
      </c>
      <c r="L210" s="19">
        <f>Ringkasan!L902</f>
        <v>1.2</v>
      </c>
      <c r="M210" s="19">
        <f>Ringkasan!M902</f>
        <v>2.1</v>
      </c>
      <c r="N210" s="64" t="str">
        <f>Ringkasan!N902</f>
        <v/>
      </c>
      <c r="O210" s="64" t="str">
        <f>Ringkasan!O902</f>
        <v/>
      </c>
      <c r="P210" s="64" t="str">
        <f>Ringkasan!P902</f>
        <v/>
      </c>
      <c r="Q210" s="64" t="str">
        <f>Ringkasan!Q902</f>
        <v/>
      </c>
      <c r="R210" s="64" t="str">
        <f>Ringkasan!R902</f>
        <v/>
      </c>
      <c r="S210" s="64" t="str">
        <f>Ringkasan!S902</f>
        <v/>
      </c>
      <c r="T210" s="64" t="str">
        <f>Ringkasan!T902</f>
        <v/>
      </c>
      <c r="U210" s="64">
        <f>Ringkasan!U902</f>
        <v>42.23</v>
      </c>
      <c r="V210" s="64">
        <f>Ringkasan!V902</f>
        <v>1.11</v>
      </c>
      <c r="W210" s="64">
        <f>Ringkasan!W902</f>
        <v>42.69</v>
      </c>
      <c r="X210" s="64">
        <f>Ringkasan!X902</f>
        <v>42.9</v>
      </c>
      <c r="Y210" s="64">
        <f>Ringkasan!Y902</f>
        <v>42.58</v>
      </c>
      <c r="Z210" s="64">
        <f>Ringkasan!Z902</f>
        <v>229335</v>
      </c>
      <c r="AA210" s="64" t="str">
        <f>Ringkasan!AA902</f>
        <v>Coal</v>
      </c>
      <c r="AB210" s="64" t="str">
        <f>Ringkasan!AB902</f>
        <v>Energy</v>
      </c>
    </row>
    <row r="211" hidden="1">
      <c r="A211" s="64" t="str">
        <f>Ringkasan!A210</f>
        <v>BACA</v>
      </c>
      <c r="B211" s="64" t="str">
        <f>Ringkasan!B210</f>
        <v>PT Bank Capital Indonesia Tbk</v>
      </c>
      <c r="C211" s="67">
        <f>Ringkasan!C210</f>
        <v>110</v>
      </c>
      <c r="D211" s="22" t="str">
        <f>Ringkasan!D210</f>
        <v>#N/A</v>
      </c>
      <c r="E211" s="64" t="str">
        <f>Ringkasan!E210</f>
        <v/>
      </c>
      <c r="F211" s="64" t="str">
        <f>Ringkasan!F210</f>
        <v/>
      </c>
      <c r="G211" s="64">
        <f>Ringkasan!G210</f>
        <v>0</v>
      </c>
      <c r="H211" s="19">
        <f>Ringkasan!H210</f>
        <v>18.5</v>
      </c>
      <c r="I211" s="19">
        <f>Ringkasan!I210</f>
        <v>0.36</v>
      </c>
      <c r="J211" s="19">
        <f>Ringkasan!J210</f>
        <v>1.9</v>
      </c>
      <c r="K211" s="19">
        <f>Ringkasan!K210</f>
        <v>0.5</v>
      </c>
      <c r="L211" s="19">
        <f>Ringkasan!L210</f>
        <v>2.9</v>
      </c>
      <c r="M211" s="19">
        <f>Ringkasan!M210</f>
        <v>29.7</v>
      </c>
      <c r="N211" s="64">
        <f>Ringkasan!N210</f>
        <v>0.56</v>
      </c>
      <c r="O211" s="64">
        <f>Ringkasan!O210</f>
        <v>36.41</v>
      </c>
      <c r="P211" s="64">
        <f>Ringkasan!P210</f>
        <v>59.96</v>
      </c>
      <c r="Q211" s="64">
        <f>Ringkasan!Q210</f>
        <v>0.08</v>
      </c>
      <c r="R211" s="64">
        <f>Ringkasan!R210</f>
        <v>97.41</v>
      </c>
      <c r="S211" s="64" t="str">
        <f>Ringkasan!S210</f>
        <v/>
      </c>
      <c r="T211" s="64" t="str">
        <f>Ringkasan!T210</f>
        <v/>
      </c>
      <c r="U211" s="22">
        <f>Ringkasan!U210</f>
        <v>106</v>
      </c>
      <c r="V211" s="22">
        <f>Ringkasan!V210</f>
        <v>3.77</v>
      </c>
      <c r="W211" s="22">
        <f>Ringkasan!W210</f>
        <v>106</v>
      </c>
      <c r="X211" s="22">
        <f>Ringkasan!X210</f>
        <v>112</v>
      </c>
      <c r="Y211" s="22">
        <f>Ringkasan!Y210</f>
        <v>102</v>
      </c>
      <c r="Z211" s="22">
        <f>Ringkasan!Z210</f>
        <v>1952000</v>
      </c>
      <c r="AA211" s="64" t="str">
        <f>Ringkasan!AA210</f>
        <v>Banks</v>
      </c>
      <c r="AB211" s="64" t="str">
        <f>Ringkasan!AB210</f>
        <v>Financials</v>
      </c>
    </row>
    <row r="212" hidden="1">
      <c r="A212" s="64" t="str">
        <f>Ringkasan!A211</f>
        <v>BAIK</v>
      </c>
      <c r="B212" s="64" t="str">
        <f>Ringkasan!B211</f>
        <v>Bersama Mencapai Puncak Tbk.</v>
      </c>
      <c r="C212" s="65">
        <f>Ringkasan!C211</f>
        <v>680</v>
      </c>
      <c r="D212" s="64" t="str">
        <f>Ringkasan!D211</f>
        <v>#N/A</v>
      </c>
      <c r="E212" s="64" t="str">
        <f>Ringkasan!E211</f>
        <v/>
      </c>
      <c r="F212" s="64" t="str">
        <f>Ringkasan!F211</f>
        <v/>
      </c>
      <c r="G212" s="64">
        <f>Ringkasan!G211</f>
        <v>0</v>
      </c>
      <c r="H212" s="19">
        <f>Ringkasan!H211</f>
        <v>110</v>
      </c>
      <c r="I212" s="19">
        <f>Ringkasan!I211</f>
        <v>4.4</v>
      </c>
      <c r="J212" s="19">
        <f>Ringkasan!J211</f>
        <v>3.9</v>
      </c>
      <c r="K212" s="19">
        <f>Ringkasan!K211</f>
        <v>3.5</v>
      </c>
      <c r="L212" s="19">
        <f>Ringkasan!L211</f>
        <v>0.09</v>
      </c>
      <c r="M212" s="19">
        <f>Ringkasan!M211</f>
        <v>9.4</v>
      </c>
      <c r="N212" s="64" t="str">
        <f>Ringkasan!N211</f>
        <v/>
      </c>
      <c r="O212" s="64" t="str">
        <f>Ringkasan!O211</f>
        <v/>
      </c>
      <c r="P212" s="64" t="str">
        <f>Ringkasan!P211</f>
        <v/>
      </c>
      <c r="Q212" s="64" t="str">
        <f>Ringkasan!Q211</f>
        <v/>
      </c>
      <c r="R212" s="64" t="str">
        <f>Ringkasan!R211</f>
        <v/>
      </c>
      <c r="S212" s="64" t="str">
        <f>Ringkasan!S211</f>
        <v/>
      </c>
      <c r="T212" s="64" t="str">
        <f>Ringkasan!T211</f>
        <v/>
      </c>
      <c r="U212" s="64">
        <f>Ringkasan!U211</f>
        <v>575</v>
      </c>
      <c r="V212" s="64">
        <f>Ringkasan!V211</f>
        <v>18.26</v>
      </c>
      <c r="W212" s="64">
        <f>Ringkasan!W211</f>
        <v>575</v>
      </c>
      <c r="X212" s="64">
        <f>Ringkasan!X211</f>
        <v>690</v>
      </c>
      <c r="Y212" s="64">
        <f>Ringkasan!Y211</f>
        <v>565</v>
      </c>
      <c r="Z212" s="64">
        <f>Ringkasan!Z211</f>
        <v>25364500</v>
      </c>
      <c r="AA212" s="64" t="str">
        <f>Ringkasan!AA211</f>
        <v>Tourism &amp; Recreation</v>
      </c>
      <c r="AB212" s="64" t="str">
        <f>Ringkasan!AB211</f>
        <v>Consumer Cyclicals</v>
      </c>
    </row>
    <row r="213" hidden="1">
      <c r="A213" s="64" t="str">
        <f>Ringkasan!A212</f>
        <v>BAJA</v>
      </c>
      <c r="B213" s="64" t="str">
        <f>Ringkasan!B212</f>
        <v>Saranacentral Bajatama Tbk.</v>
      </c>
      <c r="C213" s="65">
        <f>Ringkasan!C212</f>
        <v>126</v>
      </c>
      <c r="D213" s="64" t="str">
        <f>Ringkasan!D212</f>
        <v>#N/A</v>
      </c>
      <c r="E213" s="64" t="str">
        <f>Ringkasan!E212</f>
        <v/>
      </c>
      <c r="F213" s="64" t="str">
        <f>Ringkasan!F212</f>
        <v/>
      </c>
      <c r="G213" s="64">
        <f>Ringkasan!G212</f>
        <v>0</v>
      </c>
      <c r="H213" s="19">
        <f>Ringkasan!H212</f>
        <v>-7.3</v>
      </c>
      <c r="I213" s="19">
        <f>Ringkasan!I212</f>
        <v>12.4</v>
      </c>
      <c r="J213" s="19">
        <f>Ringkasan!J212</f>
        <v>-170</v>
      </c>
      <c r="K213" s="19">
        <f>Ringkasan!K212</f>
        <v>-5.3</v>
      </c>
      <c r="L213" s="19">
        <f>Ringkasan!L212</f>
        <v>31.2</v>
      </c>
      <c r="M213" s="19">
        <f>Ringkasan!M212</f>
        <v>-4.4</v>
      </c>
      <c r="N213" s="64" t="str">
        <f>Ringkasan!N212</f>
        <v/>
      </c>
      <c r="O213" s="64" t="str">
        <f>Ringkasan!O212</f>
        <v/>
      </c>
      <c r="P213" s="64" t="str">
        <f>Ringkasan!P212</f>
        <v/>
      </c>
      <c r="Q213" s="64" t="str">
        <f>Ringkasan!Q212</f>
        <v/>
      </c>
      <c r="R213" s="64" t="str">
        <f>Ringkasan!R212</f>
        <v/>
      </c>
      <c r="S213" s="64" t="str">
        <f>Ringkasan!S212</f>
        <v/>
      </c>
      <c r="T213" s="64" t="str">
        <f>Ringkasan!T212</f>
        <v/>
      </c>
      <c r="U213" s="64">
        <f>Ringkasan!U212</f>
        <v>126</v>
      </c>
      <c r="V213" s="64">
        <f>Ringkasan!V212</f>
        <v>0</v>
      </c>
      <c r="W213" s="64">
        <f>Ringkasan!W212</f>
        <v>126</v>
      </c>
      <c r="X213" s="64">
        <f>Ringkasan!X212</f>
        <v>126</v>
      </c>
      <c r="Y213" s="64">
        <f>Ringkasan!Y212</f>
        <v>123</v>
      </c>
      <c r="Z213" s="64">
        <f>Ringkasan!Z212</f>
        <v>476200</v>
      </c>
      <c r="AA213" s="64" t="str">
        <f>Ringkasan!AA212</f>
        <v>Metals &amp; Minerals</v>
      </c>
      <c r="AB213" s="64" t="str">
        <f>Ringkasan!AB212</f>
        <v>Basic Materials</v>
      </c>
    </row>
    <row r="214" hidden="1">
      <c r="A214" s="64" t="str">
        <f>Ringkasan!A213</f>
        <v>BALI</v>
      </c>
      <c r="B214" s="64" t="str">
        <f>Ringkasan!B213</f>
        <v>PT Bali Towerindo Sentra Tbk.</v>
      </c>
      <c r="C214" s="65">
        <f>Ringkasan!C213</f>
        <v>1210</v>
      </c>
      <c r="D214" s="64" t="str">
        <f>Ringkasan!D213</f>
        <v>#N/A</v>
      </c>
      <c r="E214" s="64" t="str">
        <f>Ringkasan!E213</f>
        <v/>
      </c>
      <c r="F214" s="64" t="str">
        <f>Ringkasan!F213</f>
        <v/>
      </c>
      <c r="G214" s="64">
        <f>Ringkasan!G213</f>
        <v>0</v>
      </c>
      <c r="H214" s="19">
        <f>Ringkasan!H213</f>
        <v>26</v>
      </c>
      <c r="I214" s="19">
        <f>Ringkasan!I213</f>
        <v>1.9</v>
      </c>
      <c r="J214" s="19">
        <f>Ringkasan!J213</f>
        <v>7.4</v>
      </c>
      <c r="K214" s="19">
        <f>Ringkasan!K213</f>
        <v>3</v>
      </c>
      <c r="L214" s="19">
        <f>Ringkasan!L213</f>
        <v>1.5</v>
      </c>
      <c r="M214" s="19">
        <f>Ringkasan!M213</f>
        <v>60.1</v>
      </c>
      <c r="N214" s="64" t="str">
        <f>Ringkasan!N213</f>
        <v/>
      </c>
      <c r="O214" s="64" t="str">
        <f>Ringkasan!O213</f>
        <v/>
      </c>
      <c r="P214" s="64" t="str">
        <f>Ringkasan!P213</f>
        <v/>
      </c>
      <c r="Q214" s="64" t="str">
        <f>Ringkasan!Q213</f>
        <v/>
      </c>
      <c r="R214" s="64" t="str">
        <f>Ringkasan!R213</f>
        <v/>
      </c>
      <c r="S214" s="64" t="str">
        <f>Ringkasan!S213</f>
        <v/>
      </c>
      <c r="T214" s="64" t="str">
        <f>Ringkasan!T213</f>
        <v/>
      </c>
      <c r="U214" s="64">
        <f>Ringkasan!U213</f>
        <v>33.45</v>
      </c>
      <c r="V214" s="64">
        <f>Ringkasan!V213</f>
        <v>0.51</v>
      </c>
      <c r="W214" s="64">
        <f>Ringkasan!W213</f>
        <v>33.55</v>
      </c>
      <c r="X214" s="64">
        <f>Ringkasan!X213</f>
        <v>33.67</v>
      </c>
      <c r="Y214" s="64">
        <f>Ringkasan!Y213</f>
        <v>33.43</v>
      </c>
      <c r="Z214" s="64">
        <f>Ringkasan!Z213</f>
        <v>12045</v>
      </c>
      <c r="AA214" s="64" t="str">
        <f>Ringkasan!AA213</f>
        <v>Wireless Telecommunication Services</v>
      </c>
      <c r="AB214" s="64" t="str">
        <f>Ringkasan!AB213</f>
        <v>Infrastructures</v>
      </c>
    </row>
    <row r="215" hidden="1">
      <c r="A215" s="64" t="str">
        <f>Ringkasan!A214</f>
        <v>BANK</v>
      </c>
      <c r="B215" s="64" t="str">
        <f>Ringkasan!B214</f>
        <v>Bank Aladin Syariah Tbk.</v>
      </c>
      <c r="C215" s="65">
        <f>Ringkasan!C214</f>
        <v>282</v>
      </c>
      <c r="D215" s="64" t="str">
        <f>Ringkasan!D214</f>
        <v>#N/A</v>
      </c>
      <c r="E215" s="64" t="str">
        <f>Ringkasan!E214</f>
        <v>Infobank15</v>
      </c>
      <c r="F215" s="64" t="str">
        <f>Ringkasan!F214</f>
        <v>30 Juni 2026</v>
      </c>
      <c r="G215" s="64">
        <f>Ringkasan!G214</f>
        <v>1</v>
      </c>
      <c r="H215" s="19">
        <f>Ringkasan!H214</f>
        <v>25.3</v>
      </c>
      <c r="I215" s="19">
        <f>Ringkasan!I214</f>
        <v>1.1</v>
      </c>
      <c r="J215" s="19">
        <f>Ringkasan!J214</f>
        <v>4.2</v>
      </c>
      <c r="K215" s="19">
        <f>Ringkasan!K214</f>
        <v>0.93</v>
      </c>
      <c r="L215" s="19">
        <f>Ringkasan!L214</f>
        <v>0.39</v>
      </c>
      <c r="M215" s="19">
        <f>Ringkasan!M214</f>
        <v>340</v>
      </c>
      <c r="N215" s="64">
        <f>Ringkasan!N214</f>
        <v>13.8</v>
      </c>
      <c r="O215" s="64">
        <f>Ringkasan!O214</f>
        <v>153</v>
      </c>
      <c r="P215" s="64">
        <f>Ringkasan!P214</f>
        <v>101.3</v>
      </c>
      <c r="Q215" s="64">
        <f>Ringkasan!Q214</f>
        <v>1.4</v>
      </c>
      <c r="R215" s="64">
        <f>Ringkasan!R214</f>
        <v>117.1</v>
      </c>
      <c r="S215" s="64">
        <f>Ringkasan!S214</f>
        <v>109.2</v>
      </c>
      <c r="T215" s="64">
        <f>Ringkasan!T214</f>
        <v>1.9</v>
      </c>
      <c r="U215" s="64">
        <f>Ringkasan!U214</f>
        <v>1514.55</v>
      </c>
      <c r="V215" s="64">
        <f>Ringkasan!V214</f>
        <v>4.27</v>
      </c>
      <c r="W215" s="64">
        <f>Ringkasan!W214</f>
        <v>1514.64</v>
      </c>
      <c r="X215" s="64">
        <f>Ringkasan!X214</f>
        <v>1581.61</v>
      </c>
      <c r="Y215" s="64">
        <f>Ringkasan!Y214</f>
        <v>1514.64</v>
      </c>
      <c r="Z215" s="64">
        <f>Ringkasan!Z214</f>
        <v>0</v>
      </c>
      <c r="AA215" s="64" t="str">
        <f>Ringkasan!AA214</f>
        <v>Forestry &amp; Paper</v>
      </c>
      <c r="AB215" s="64" t="str">
        <f>Ringkasan!AB214</f>
        <v>Basic Materials</v>
      </c>
    </row>
    <row r="216" hidden="1">
      <c r="A216" s="64" t="str">
        <f>Ringkasan!A215</f>
        <v>BAPA</v>
      </c>
      <c r="B216" s="64" t="str">
        <f>Ringkasan!B215</f>
        <v>Bekasi Asri Pemula Tbk.</v>
      </c>
      <c r="C216" s="65">
        <f>Ringkasan!C215</f>
        <v>238</v>
      </c>
      <c r="D216" s="64" t="str">
        <f>Ringkasan!D215</f>
        <v>#N/A</v>
      </c>
      <c r="E216" s="64" t="str">
        <f>Ringkasan!E215</f>
        <v/>
      </c>
      <c r="F216" s="64" t="str">
        <f>Ringkasan!F215</f>
        <v/>
      </c>
      <c r="G216" s="64">
        <f>Ringkasan!G215</f>
        <v>0</v>
      </c>
      <c r="H216" s="19">
        <f>Ringkasan!H215</f>
        <v>-28</v>
      </c>
      <c r="I216" s="19">
        <f>Ringkasan!I215</f>
        <v>1.4</v>
      </c>
      <c r="J216" s="19">
        <f>Ringkasan!J215</f>
        <v>-5</v>
      </c>
      <c r="K216" s="19">
        <f>Ringkasan!K215</f>
        <v>-4.4</v>
      </c>
      <c r="L216" s="19">
        <f>Ringkasan!L215</f>
        <v>0.14</v>
      </c>
      <c r="M216" s="19">
        <f>Ringkasan!M215</f>
        <v>-5900</v>
      </c>
      <c r="N216" s="64" t="str">
        <f>Ringkasan!N215</f>
        <v/>
      </c>
      <c r="O216" s="64" t="str">
        <f>Ringkasan!O215</f>
        <v/>
      </c>
      <c r="P216" s="64" t="str">
        <f>Ringkasan!P215</f>
        <v/>
      </c>
      <c r="Q216" s="64" t="str">
        <f>Ringkasan!Q215</f>
        <v/>
      </c>
      <c r="R216" s="64" t="str">
        <f>Ringkasan!R215</f>
        <v/>
      </c>
      <c r="S216" s="64" t="str">
        <f>Ringkasan!S215</f>
        <v/>
      </c>
      <c r="T216" s="64" t="str">
        <f>Ringkasan!T215</f>
        <v/>
      </c>
      <c r="U216" s="64">
        <f>Ringkasan!U215</f>
        <v>0.02</v>
      </c>
      <c r="V216" s="64">
        <f>Ringkasan!V215</f>
        <v>0</v>
      </c>
      <c r="W216" s="64">
        <f>Ringkasan!W215</f>
        <v>0.02</v>
      </c>
      <c r="X216" s="64">
        <f>Ringkasan!X215</f>
        <v>0.02</v>
      </c>
      <c r="Y216" s="64">
        <f>Ringkasan!Y215</f>
        <v>0.02</v>
      </c>
      <c r="Z216" s="64">
        <f>Ringkasan!Z215</f>
        <v>0</v>
      </c>
      <c r="AA216" s="64" t="str">
        <f>Ringkasan!AA215</f>
        <v>Real Estate Management &amp; Development</v>
      </c>
      <c r="AB216" s="64" t="str">
        <f>Ringkasan!AB215</f>
        <v>Properties &amp; Real Estate</v>
      </c>
    </row>
    <row r="217" hidden="1">
      <c r="A217" s="64" t="str">
        <f>Ringkasan!A216</f>
        <v>BAPI</v>
      </c>
      <c r="B217" s="64" t="str">
        <f>Ringkasan!B216</f>
        <v>Bhakti Agung Propertindo Tbk.</v>
      </c>
      <c r="C217" s="65">
        <f>Ringkasan!C216</f>
        <v>18</v>
      </c>
      <c r="D217" s="64" t="str">
        <f>Ringkasan!D216</f>
        <v>#N/A</v>
      </c>
      <c r="E217" s="64" t="str">
        <f>Ringkasan!E216</f>
        <v/>
      </c>
      <c r="F217" s="64" t="str">
        <f>Ringkasan!F216</f>
        <v/>
      </c>
      <c r="G217" s="64">
        <f>Ringkasan!G216</f>
        <v>0</v>
      </c>
      <c r="H217" s="19">
        <f>Ringkasan!H216</f>
        <v>-0.7</v>
      </c>
      <c r="I217" s="19">
        <f>Ringkasan!I216</f>
        <v>0.32</v>
      </c>
      <c r="J217" s="19">
        <f>Ringkasan!J216</f>
        <v>-46.4</v>
      </c>
      <c r="K217" s="19">
        <f>Ringkasan!K216</f>
        <v>-27</v>
      </c>
      <c r="L217" s="19">
        <f>Ringkasan!L216</f>
        <v>0.72</v>
      </c>
      <c r="M217" s="19">
        <f>Ringkasan!M216</f>
        <v>-47000</v>
      </c>
      <c r="N217" s="64" t="str">
        <f>Ringkasan!N216</f>
        <v/>
      </c>
      <c r="O217" s="64" t="str">
        <f>Ringkasan!O216</f>
        <v/>
      </c>
      <c r="P217" s="64" t="str">
        <f>Ringkasan!P216</f>
        <v/>
      </c>
      <c r="Q217" s="64" t="str">
        <f>Ringkasan!Q216</f>
        <v/>
      </c>
      <c r="R217" s="64" t="str">
        <f>Ringkasan!R216</f>
        <v/>
      </c>
      <c r="S217" s="64" t="str">
        <f>Ringkasan!S216</f>
        <v/>
      </c>
      <c r="T217" s="64" t="str">
        <f>Ringkasan!T216</f>
        <v/>
      </c>
      <c r="U217" s="64">
        <f>Ringkasan!U216</f>
        <v>17</v>
      </c>
      <c r="V217" s="64">
        <f>Ringkasan!V216</f>
        <v>5.88</v>
      </c>
      <c r="W217" s="64">
        <f>Ringkasan!W216</f>
        <v>18</v>
      </c>
      <c r="X217" s="64">
        <f>Ringkasan!X216</f>
        <v>18</v>
      </c>
      <c r="Y217" s="64">
        <f>Ringkasan!Y216</f>
        <v>18</v>
      </c>
      <c r="Z217" s="64">
        <f>Ringkasan!Z216</f>
        <v>20164900</v>
      </c>
      <c r="AA217" s="64" t="str">
        <f>Ringkasan!AA216</f>
        <v>Real Estate Management &amp; Development</v>
      </c>
      <c r="AB217" s="64" t="str">
        <f>Ringkasan!AB216</f>
        <v>Properties &amp; Real Estate</v>
      </c>
    </row>
    <row r="218" hidden="1">
      <c r="A218" s="64" t="str">
        <f>Ringkasan!A217</f>
        <v>BATA</v>
      </c>
      <c r="B218" s="64" t="str">
        <f>Ringkasan!B217</f>
        <v>Sepatu Bata Tbk.</v>
      </c>
      <c r="C218" s="65">
        <f>Ringkasan!C217</f>
        <v>64</v>
      </c>
      <c r="D218" s="64" t="str">
        <f>Ringkasan!D217</f>
        <v>#N/A</v>
      </c>
      <c r="E218" s="64" t="str">
        <f>Ringkasan!E217</f>
        <v/>
      </c>
      <c r="F218" s="64" t="str">
        <f>Ringkasan!F217</f>
        <v/>
      </c>
      <c r="G218" s="64">
        <f>Ringkasan!G217</f>
        <v>0</v>
      </c>
      <c r="H218" s="19">
        <f>Ringkasan!H217</f>
        <v>-1.1</v>
      </c>
      <c r="I218" s="19">
        <f>Ringkasan!I217</f>
        <v>-1.1</v>
      </c>
      <c r="J218" s="19">
        <f>Ringkasan!J217</f>
        <v>0</v>
      </c>
      <c r="K218" s="19">
        <f>Ringkasan!K217</f>
        <v>-21.6</v>
      </c>
      <c r="L218" s="19">
        <f>Ringkasan!L217</f>
        <v>-5.3</v>
      </c>
      <c r="M218" s="19">
        <f>Ringkasan!M217</f>
        <v>-29.7</v>
      </c>
      <c r="N218" s="64" t="str">
        <f>Ringkasan!N217</f>
        <v/>
      </c>
      <c r="O218" s="64" t="str">
        <f>Ringkasan!O217</f>
        <v/>
      </c>
      <c r="P218" s="64" t="str">
        <f>Ringkasan!P217</f>
        <v/>
      </c>
      <c r="Q218" s="64" t="str">
        <f>Ringkasan!Q217</f>
        <v/>
      </c>
      <c r="R218" s="64" t="str">
        <f>Ringkasan!R217</f>
        <v/>
      </c>
      <c r="S218" s="64" t="str">
        <f>Ringkasan!S217</f>
        <v/>
      </c>
      <c r="T218" s="64" t="str">
        <f>Ringkasan!T217</f>
        <v/>
      </c>
      <c r="U218" s="64">
        <f>Ringkasan!U217</f>
        <v>60</v>
      </c>
      <c r="V218" s="64">
        <f>Ringkasan!V217</f>
        <v>6.67</v>
      </c>
      <c r="W218" s="64">
        <f>Ringkasan!W217</f>
        <v>65</v>
      </c>
      <c r="X218" s="64">
        <f>Ringkasan!X217</f>
        <v>65</v>
      </c>
      <c r="Y218" s="64">
        <f>Ringkasan!Y217</f>
        <v>61</v>
      </c>
      <c r="Z218" s="64">
        <f>Ringkasan!Z217</f>
        <v>18400</v>
      </c>
      <c r="AA218" s="64" t="str">
        <f>Ringkasan!AA217</f>
        <v>Apparel &amp; Luxury Goods</v>
      </c>
      <c r="AB218" s="64" t="str">
        <f>Ringkasan!AB217</f>
        <v>Consumer Cyclicals</v>
      </c>
    </row>
    <row r="219" hidden="1">
      <c r="A219" s="64" t="str">
        <f>Ringkasan!A218</f>
        <v>BATR</v>
      </c>
      <c r="B219" s="64" t="str">
        <f>Ringkasan!B218</f>
        <v>Benteng Api Technic Tbk.</v>
      </c>
      <c r="C219" s="65">
        <f>Ringkasan!C218</f>
        <v>84</v>
      </c>
      <c r="D219" s="64" t="str">
        <f>Ringkasan!D218</f>
        <v>#N/A</v>
      </c>
      <c r="E219" s="64" t="str">
        <f>Ringkasan!E218</f>
        <v/>
      </c>
      <c r="F219" s="64" t="str">
        <f>Ringkasan!F218</f>
        <v/>
      </c>
      <c r="G219" s="64">
        <f>Ringkasan!G218</f>
        <v>0</v>
      </c>
      <c r="H219" s="19">
        <f>Ringkasan!H218</f>
        <v>18.9</v>
      </c>
      <c r="I219" s="19">
        <f>Ringkasan!I218</f>
        <v>1.6</v>
      </c>
      <c r="J219" s="19">
        <f>Ringkasan!J218</f>
        <v>8.5</v>
      </c>
      <c r="K219" s="19">
        <f>Ringkasan!K218</f>
        <v>5.9</v>
      </c>
      <c r="L219" s="19">
        <f>Ringkasan!L218</f>
        <v>0.45</v>
      </c>
      <c r="M219" s="19">
        <f>Ringkasan!M218</f>
        <v>46.5</v>
      </c>
      <c r="N219" s="64" t="str">
        <f>Ringkasan!N218</f>
        <v/>
      </c>
      <c r="O219" s="64" t="str">
        <f>Ringkasan!O218</f>
        <v/>
      </c>
      <c r="P219" s="64" t="str">
        <f>Ringkasan!P218</f>
        <v/>
      </c>
      <c r="Q219" s="64" t="str">
        <f>Ringkasan!Q218</f>
        <v/>
      </c>
      <c r="R219" s="64" t="str">
        <f>Ringkasan!R218</f>
        <v/>
      </c>
      <c r="S219" s="64" t="str">
        <f>Ringkasan!S218</f>
        <v/>
      </c>
      <c r="T219" s="64" t="str">
        <f>Ringkasan!T218</f>
        <v/>
      </c>
      <c r="U219" s="64">
        <f>Ringkasan!U218</f>
        <v>82</v>
      </c>
      <c r="V219" s="64">
        <f>Ringkasan!V218</f>
        <v>2.44</v>
      </c>
      <c r="W219" s="64">
        <f>Ringkasan!W218</f>
        <v>83</v>
      </c>
      <c r="X219" s="64">
        <f>Ringkasan!X218</f>
        <v>86</v>
      </c>
      <c r="Y219" s="64">
        <f>Ringkasan!Y218</f>
        <v>80</v>
      </c>
      <c r="Z219" s="64">
        <f>Ringkasan!Z218</f>
        <v>2164200</v>
      </c>
      <c r="AA219" s="64" t="str">
        <f>Ringkasan!AA218</f>
        <v>Construction Materials</v>
      </c>
      <c r="AB219" s="64" t="str">
        <f>Ringkasan!AB218</f>
        <v>Basic Materials</v>
      </c>
    </row>
    <row r="220" hidden="1">
      <c r="A220" s="64" t="str">
        <f>Ringkasan!A219</f>
        <v>BAUT</v>
      </c>
      <c r="B220" s="64" t="str">
        <f>Ringkasan!B219</f>
        <v>Mitra Angkasa Sejahtera Tbk.</v>
      </c>
      <c r="C220" s="65">
        <f>Ringkasan!C219</f>
        <v>26</v>
      </c>
      <c r="D220" s="64" t="str">
        <f>Ringkasan!D219</f>
        <v>#N/A</v>
      </c>
      <c r="E220" s="64" t="str">
        <f>Ringkasan!E219</f>
        <v/>
      </c>
      <c r="F220" s="64" t="str">
        <f>Ringkasan!F219</f>
        <v/>
      </c>
      <c r="G220" s="64">
        <f>Ringkasan!G219</f>
        <v>0</v>
      </c>
      <c r="H220" s="19">
        <f>Ringkasan!H219</f>
        <v>-16.8</v>
      </c>
      <c r="I220" s="19">
        <f>Ringkasan!I219</f>
        <v>0.83</v>
      </c>
      <c r="J220" s="19">
        <f>Ringkasan!J219</f>
        <v>-4.9</v>
      </c>
      <c r="K220" s="19">
        <f>Ringkasan!K219</f>
        <v>-3.8</v>
      </c>
      <c r="L220" s="19">
        <f>Ringkasan!L219</f>
        <v>0.31</v>
      </c>
      <c r="M220" s="19">
        <f>Ringkasan!M219</f>
        <v>-28.7</v>
      </c>
      <c r="N220" s="64" t="str">
        <f>Ringkasan!N219</f>
        <v/>
      </c>
      <c r="O220" s="64" t="str">
        <f>Ringkasan!O219</f>
        <v/>
      </c>
      <c r="P220" s="64" t="str">
        <f>Ringkasan!P219</f>
        <v/>
      </c>
      <c r="Q220" s="64" t="str">
        <f>Ringkasan!Q219</f>
        <v/>
      </c>
      <c r="R220" s="64" t="str">
        <f>Ringkasan!R219</f>
        <v/>
      </c>
      <c r="S220" s="64" t="str">
        <f>Ringkasan!S219</f>
        <v/>
      </c>
      <c r="T220" s="64" t="str">
        <f>Ringkasan!T219</f>
        <v/>
      </c>
      <c r="U220" s="60">
        <f>Ringkasan!U219</f>
        <v>24</v>
      </c>
      <c r="V220" s="60">
        <f>Ringkasan!V219</f>
        <v>8.33</v>
      </c>
      <c r="W220" s="60">
        <f>Ringkasan!W219</f>
        <v>26</v>
      </c>
      <c r="X220" s="60">
        <f>Ringkasan!X219</f>
        <v>26</v>
      </c>
      <c r="Y220" s="60">
        <f>Ringkasan!Y219</f>
        <v>25</v>
      </c>
      <c r="Z220" s="60">
        <f>Ringkasan!Z219</f>
        <v>2246100</v>
      </c>
      <c r="AA220" s="64" t="str">
        <f>Ringkasan!AA219</f>
        <v>Specialty Retail</v>
      </c>
      <c r="AB220" s="64" t="str">
        <f>Ringkasan!AB219</f>
        <v>Consumer Cyclicals</v>
      </c>
    </row>
    <row r="221" hidden="1">
      <c r="A221" s="64" t="str">
        <f>Ringkasan!A220</f>
        <v>BAYU</v>
      </c>
      <c r="B221" s="64" t="str">
        <f>Ringkasan!B220</f>
        <v>Bayu Buana Tbk</v>
      </c>
      <c r="C221" s="65">
        <f>Ringkasan!C220</f>
        <v>1115</v>
      </c>
      <c r="D221" s="64" t="str">
        <f>Ringkasan!D220</f>
        <v>#N/A</v>
      </c>
      <c r="E221" s="64" t="str">
        <f>Ringkasan!E220</f>
        <v/>
      </c>
      <c r="F221" s="64" t="str">
        <f>Ringkasan!F220</f>
        <v/>
      </c>
      <c r="G221" s="64">
        <f>Ringkasan!G220</f>
        <v>0</v>
      </c>
      <c r="H221" s="19">
        <f>Ringkasan!H220</f>
        <v>4.1</v>
      </c>
      <c r="I221" s="19">
        <f>Ringkasan!I220</f>
        <v>0.7</v>
      </c>
      <c r="J221" s="19">
        <f>Ringkasan!J220</f>
        <v>17.1</v>
      </c>
      <c r="K221" s="19">
        <f>Ringkasan!K220</f>
        <v>10.1</v>
      </c>
      <c r="L221" s="19">
        <f>Ringkasan!L220</f>
        <v>0.7</v>
      </c>
      <c r="M221" s="19">
        <f>Ringkasan!M220</f>
        <v>17.6</v>
      </c>
      <c r="N221" s="64" t="str">
        <f>Ringkasan!N220</f>
        <v/>
      </c>
      <c r="O221" s="64" t="str">
        <f>Ringkasan!O220</f>
        <v/>
      </c>
      <c r="P221" s="64" t="str">
        <f>Ringkasan!P220</f>
        <v/>
      </c>
      <c r="Q221" s="64" t="str">
        <f>Ringkasan!Q220</f>
        <v/>
      </c>
      <c r="R221" s="64" t="str">
        <f>Ringkasan!R220</f>
        <v/>
      </c>
      <c r="S221" s="64" t="str">
        <f>Ringkasan!S220</f>
        <v/>
      </c>
      <c r="T221" s="64" t="str">
        <f>Ringkasan!T220</f>
        <v/>
      </c>
      <c r="U221" s="60">
        <f>Ringkasan!U220</f>
        <v>1100</v>
      </c>
      <c r="V221" s="60">
        <f>Ringkasan!V220</f>
        <v>1.36</v>
      </c>
      <c r="W221" s="60">
        <f>Ringkasan!W220</f>
        <v>1100</v>
      </c>
      <c r="X221" s="60">
        <f>Ringkasan!X220</f>
        <v>1130</v>
      </c>
      <c r="Y221" s="60">
        <f>Ringkasan!Y220</f>
        <v>1100</v>
      </c>
      <c r="Z221" s="60">
        <f>Ringkasan!Z220</f>
        <v>58200</v>
      </c>
      <c r="AA221" s="64" t="str">
        <f>Ringkasan!AA220</f>
        <v>Tourism &amp; Recreation</v>
      </c>
      <c r="AB221" s="64" t="str">
        <f>Ringkasan!AB220</f>
        <v>Consumer Cyclicals</v>
      </c>
    </row>
    <row r="222" hidden="1">
      <c r="A222" s="64" t="str">
        <f>Ringkasan!A222</f>
        <v>BBCA</v>
      </c>
      <c r="B222" s="64" t="str">
        <f>Ringkasan!B222</f>
        <v>Bank Central Asia Tbk.</v>
      </c>
      <c r="C222" s="65" t="str">
        <f>Ringkasan!C222</f>
        <v>#N/A</v>
      </c>
      <c r="D222" s="64" t="str">
        <f>Ringkasan!D222</f>
        <v>#N/A</v>
      </c>
      <c r="E222" s="64" t="str">
        <f>Ringkasan!E222</f>
        <v>MSCI Global Standard</v>
      </c>
      <c r="F222" s="64" t="str">
        <f>Ringkasan!F222</f>
        <v>12 Agustus 2026</v>
      </c>
      <c r="G222" s="64">
        <f>Ringkasan!G222</f>
        <v>21</v>
      </c>
      <c r="H222" s="19">
        <f>Ringkasan!H222</f>
        <v>12.1</v>
      </c>
      <c r="I222" s="19">
        <f>Ringkasan!I222</f>
        <v>2.7</v>
      </c>
      <c r="J222" s="19">
        <f>Ringkasan!J222</f>
        <v>22.4</v>
      </c>
      <c r="K222" s="19">
        <f>Ringkasan!K222</f>
        <v>3.5</v>
      </c>
      <c r="L222" s="19">
        <f>Ringkasan!L222</f>
        <v>5.3</v>
      </c>
      <c r="M222" s="19">
        <f>Ringkasan!M222</f>
        <v>220</v>
      </c>
      <c r="N222" s="64">
        <f>Ringkasan!N222</f>
        <v>5.33</v>
      </c>
      <c r="O222" s="64">
        <f>Ringkasan!O222</f>
        <v>27.52</v>
      </c>
      <c r="P222" s="64">
        <f>Ringkasan!P222</f>
        <v>74.1</v>
      </c>
      <c r="Q222" s="64">
        <f>Ringkasan!Q222</f>
        <v>1.85</v>
      </c>
      <c r="R222" s="64">
        <f>Ringkasan!R222</f>
        <v>39.87</v>
      </c>
      <c r="S222" s="64">
        <f>Ringkasan!S222</f>
        <v>27.32</v>
      </c>
      <c r="T222" s="64">
        <f>Ringkasan!T222</f>
        <v>2.09</v>
      </c>
      <c r="U222" s="60">
        <f>Ringkasan!U222</f>
        <v>100.74</v>
      </c>
      <c r="V222" s="60">
        <f>Ringkasan!V222</f>
        <v>0.51</v>
      </c>
      <c r="W222" s="60">
        <f>Ringkasan!W222</f>
        <v>100.94</v>
      </c>
      <c r="X222" s="60">
        <f>Ringkasan!X222</f>
        <v>101.77</v>
      </c>
      <c r="Y222" s="60">
        <f>Ringkasan!Y222</f>
        <v>100.74</v>
      </c>
      <c r="Z222" s="60">
        <f>Ringkasan!Z222</f>
        <v>51924</v>
      </c>
      <c r="AA222" s="64" t="str">
        <f>Ringkasan!AA222</f>
        <v>Banks</v>
      </c>
      <c r="AB222" s="64" t="str">
        <f>Ringkasan!AB222</f>
        <v>Financials</v>
      </c>
    </row>
    <row r="223" hidden="1">
      <c r="A223" s="64" t="str">
        <f>Ringkasan!A223</f>
        <v>BBCA</v>
      </c>
      <c r="B223" s="64" t="str">
        <f>Ringkasan!B223</f>
        <v>Bank Central Asia Tbk.</v>
      </c>
      <c r="C223" s="65" t="str">
        <f>Ringkasan!C223</f>
        <v>#N/A</v>
      </c>
      <c r="D223" s="64" t="str">
        <f>Ringkasan!D223</f>
        <v>#N/A</v>
      </c>
      <c r="E223" s="64" t="str">
        <f>Ringkasan!E223</f>
        <v>IDXQ30</v>
      </c>
      <c r="F223" s="64" t="str">
        <f>Ringkasan!F223</f>
        <v>4 Agustus 2026</v>
      </c>
      <c r="G223" s="64">
        <f>Ringkasan!G223</f>
        <v>21</v>
      </c>
      <c r="H223" s="19">
        <f>Ringkasan!H223</f>
        <v>12.1</v>
      </c>
      <c r="I223" s="19">
        <f>Ringkasan!I223</f>
        <v>2.7</v>
      </c>
      <c r="J223" s="19">
        <f>Ringkasan!J223</f>
        <v>22.4</v>
      </c>
      <c r="K223" s="19">
        <f>Ringkasan!K223</f>
        <v>3.5</v>
      </c>
      <c r="L223" s="19">
        <f>Ringkasan!L223</f>
        <v>5.3</v>
      </c>
      <c r="M223" s="19">
        <f>Ringkasan!M223</f>
        <v>220</v>
      </c>
      <c r="N223" s="64">
        <f>Ringkasan!N223</f>
        <v>5.33</v>
      </c>
      <c r="O223" s="64">
        <f>Ringkasan!O223</f>
        <v>27.52</v>
      </c>
      <c r="P223" s="64">
        <f>Ringkasan!P223</f>
        <v>74.1</v>
      </c>
      <c r="Q223" s="64">
        <f>Ringkasan!Q223</f>
        <v>1.85</v>
      </c>
      <c r="R223" s="64">
        <f>Ringkasan!R223</f>
        <v>39.87</v>
      </c>
      <c r="S223" s="64">
        <f>Ringkasan!S223</f>
        <v>27.32</v>
      </c>
      <c r="T223" s="64">
        <f>Ringkasan!T223</f>
        <v>2.09</v>
      </c>
      <c r="U223" s="60">
        <f>Ringkasan!U223</f>
        <v>100.74</v>
      </c>
      <c r="V223" s="60">
        <f>Ringkasan!V223</f>
        <v>0.51</v>
      </c>
      <c r="W223" s="60">
        <f>Ringkasan!W223</f>
        <v>100.94</v>
      </c>
      <c r="X223" s="60">
        <f>Ringkasan!X223</f>
        <v>101.77</v>
      </c>
      <c r="Y223" s="60">
        <f>Ringkasan!Y223</f>
        <v>100.74</v>
      </c>
      <c r="Z223" s="60">
        <f>Ringkasan!Z223</f>
        <v>51924</v>
      </c>
      <c r="AA223" s="64" t="str">
        <f>Ringkasan!AA223</f>
        <v>Banks</v>
      </c>
      <c r="AB223" s="64" t="str">
        <f>Ringkasan!AB223</f>
        <v>Financials</v>
      </c>
    </row>
    <row r="224" hidden="1">
      <c r="A224" s="64" t="str">
        <f>Ringkasan!A224</f>
        <v>BBCA</v>
      </c>
      <c r="B224" s="64" t="str">
        <f>Ringkasan!B224</f>
        <v>Bank Central Asia Tbk.</v>
      </c>
      <c r="C224" s="65" t="str">
        <f>Ringkasan!C224</f>
        <v>#N/A</v>
      </c>
      <c r="D224" s="64" t="str">
        <f>Ringkasan!D224</f>
        <v>#N/A</v>
      </c>
      <c r="E224" s="64" t="str">
        <f>Ringkasan!E224</f>
        <v>IDXG30</v>
      </c>
      <c r="F224" s="64" t="str">
        <f>Ringkasan!F224</f>
        <v>4 Agustus 2026</v>
      </c>
      <c r="G224" s="64">
        <f>Ringkasan!G224</f>
        <v>21</v>
      </c>
      <c r="H224" s="19">
        <f>Ringkasan!H224</f>
        <v>12.1</v>
      </c>
      <c r="I224" s="19">
        <f>Ringkasan!I224</f>
        <v>2.7</v>
      </c>
      <c r="J224" s="19">
        <f>Ringkasan!J224</f>
        <v>22.4</v>
      </c>
      <c r="K224" s="19">
        <f>Ringkasan!K224</f>
        <v>3.5</v>
      </c>
      <c r="L224" s="19">
        <f>Ringkasan!L224</f>
        <v>5.3</v>
      </c>
      <c r="M224" s="19">
        <f>Ringkasan!M224</f>
        <v>220</v>
      </c>
      <c r="N224" s="64">
        <f>Ringkasan!N224</f>
        <v>5.33</v>
      </c>
      <c r="O224" s="64">
        <f>Ringkasan!O224</f>
        <v>27.52</v>
      </c>
      <c r="P224" s="64">
        <f>Ringkasan!P224</f>
        <v>74.1</v>
      </c>
      <c r="Q224" s="64">
        <f>Ringkasan!Q224</f>
        <v>1.85</v>
      </c>
      <c r="R224" s="64">
        <f>Ringkasan!R224</f>
        <v>39.87</v>
      </c>
      <c r="S224" s="64">
        <f>Ringkasan!S224</f>
        <v>27.32</v>
      </c>
      <c r="T224" s="64">
        <f>Ringkasan!T224</f>
        <v>2.09</v>
      </c>
      <c r="U224" s="60">
        <f>Ringkasan!U224</f>
        <v>100.74</v>
      </c>
      <c r="V224" s="60">
        <f>Ringkasan!V224</f>
        <v>0.51</v>
      </c>
      <c r="W224" s="60">
        <f>Ringkasan!W224</f>
        <v>100.94</v>
      </c>
      <c r="X224" s="60">
        <f>Ringkasan!X224</f>
        <v>101.77</v>
      </c>
      <c r="Y224" s="60">
        <f>Ringkasan!Y224</f>
        <v>100.74</v>
      </c>
      <c r="Z224" s="60">
        <f>Ringkasan!Z224</f>
        <v>51924</v>
      </c>
      <c r="AA224" s="64" t="str">
        <f>Ringkasan!AA224</f>
        <v>Banks</v>
      </c>
      <c r="AB224" s="64" t="str">
        <f>Ringkasan!AB224</f>
        <v>Financials</v>
      </c>
    </row>
    <row r="225" hidden="1">
      <c r="A225" s="64" t="str">
        <f>Ringkasan!A225</f>
        <v>BBCA</v>
      </c>
      <c r="B225" s="64" t="str">
        <f>Ringkasan!B225</f>
        <v>Bank Central Asia Tbk.</v>
      </c>
      <c r="C225" s="65" t="str">
        <f>Ringkasan!C225</f>
        <v>#N/A</v>
      </c>
      <c r="D225" s="64" t="str">
        <f>Ringkasan!D225</f>
        <v>#N/A</v>
      </c>
      <c r="E225" s="64" t="str">
        <f>Ringkasan!E225</f>
        <v>Kompas100</v>
      </c>
      <c r="F225" s="64" t="str">
        <f>Ringkasan!F225</f>
        <v>31 Juli 2026</v>
      </c>
      <c r="G225" s="64">
        <f>Ringkasan!G225</f>
        <v>21</v>
      </c>
      <c r="H225" s="19">
        <f>Ringkasan!H225</f>
        <v>12.1</v>
      </c>
      <c r="I225" s="19">
        <f>Ringkasan!I225</f>
        <v>2.7</v>
      </c>
      <c r="J225" s="19">
        <f>Ringkasan!J225</f>
        <v>22.4</v>
      </c>
      <c r="K225" s="19">
        <f>Ringkasan!K225</f>
        <v>3.5</v>
      </c>
      <c r="L225" s="19">
        <f>Ringkasan!L225</f>
        <v>5.3</v>
      </c>
      <c r="M225" s="19">
        <f>Ringkasan!M225</f>
        <v>220</v>
      </c>
      <c r="N225" s="64">
        <f>Ringkasan!N225</f>
        <v>5.33</v>
      </c>
      <c r="O225" s="64">
        <f>Ringkasan!O225</f>
        <v>27.52</v>
      </c>
      <c r="P225" s="64">
        <f>Ringkasan!P225</f>
        <v>74.1</v>
      </c>
      <c r="Q225" s="64">
        <f>Ringkasan!Q225</f>
        <v>1.85</v>
      </c>
      <c r="R225" s="64">
        <f>Ringkasan!R225</f>
        <v>39.87</v>
      </c>
      <c r="S225" s="64">
        <f>Ringkasan!S225</f>
        <v>27.32</v>
      </c>
      <c r="T225" s="64">
        <f>Ringkasan!T225</f>
        <v>2.09</v>
      </c>
      <c r="U225" s="60">
        <f>Ringkasan!U225</f>
        <v>100.74</v>
      </c>
      <c r="V225" s="60">
        <f>Ringkasan!V225</f>
        <v>0.51</v>
      </c>
      <c r="W225" s="60">
        <f>Ringkasan!W225</f>
        <v>100.94</v>
      </c>
      <c r="X225" s="60">
        <f>Ringkasan!X225</f>
        <v>101.77</v>
      </c>
      <c r="Y225" s="60">
        <f>Ringkasan!Y225</f>
        <v>100.74</v>
      </c>
      <c r="Z225" s="60">
        <f>Ringkasan!Z225</f>
        <v>51924</v>
      </c>
      <c r="AA225" s="64" t="str">
        <f>Ringkasan!AA225</f>
        <v>Banks</v>
      </c>
      <c r="AB225" s="64" t="str">
        <f>Ringkasan!AB225</f>
        <v>Financials</v>
      </c>
    </row>
    <row r="226" hidden="1">
      <c r="A226" s="64" t="str">
        <f>Ringkasan!A226</f>
        <v>BBCA</v>
      </c>
      <c r="B226" s="64" t="str">
        <f>Ringkasan!B226</f>
        <v>Bank Central Asia Tbk.</v>
      </c>
      <c r="C226" s="65" t="str">
        <f>Ringkasan!C226</f>
        <v>#N/A</v>
      </c>
      <c r="D226" s="64" t="str">
        <f>Ringkasan!D226</f>
        <v>#N/A</v>
      </c>
      <c r="E226" s="64" t="str">
        <f>Ringkasan!E226</f>
        <v>BISNIS-27</v>
      </c>
      <c r="F226" s="64" t="str">
        <f>Ringkasan!F226</f>
        <v>30 Oktober 2026</v>
      </c>
      <c r="G226" s="64">
        <f>Ringkasan!G226</f>
        <v>21</v>
      </c>
      <c r="H226" s="19">
        <f>Ringkasan!H226</f>
        <v>12.1</v>
      </c>
      <c r="I226" s="19">
        <f>Ringkasan!I226</f>
        <v>2.7</v>
      </c>
      <c r="J226" s="19">
        <f>Ringkasan!J226</f>
        <v>22.4</v>
      </c>
      <c r="K226" s="19">
        <f>Ringkasan!K226</f>
        <v>3.5</v>
      </c>
      <c r="L226" s="19">
        <f>Ringkasan!L226</f>
        <v>5.3</v>
      </c>
      <c r="M226" s="19">
        <f>Ringkasan!M226</f>
        <v>220</v>
      </c>
      <c r="N226" s="64">
        <f>Ringkasan!N226</f>
        <v>5.33</v>
      </c>
      <c r="O226" s="64">
        <f>Ringkasan!O226</f>
        <v>27.52</v>
      </c>
      <c r="P226" s="64">
        <f>Ringkasan!P226</f>
        <v>74.1</v>
      </c>
      <c r="Q226" s="64">
        <f>Ringkasan!Q226</f>
        <v>1.85</v>
      </c>
      <c r="R226" s="64">
        <f>Ringkasan!R226</f>
        <v>39.87</v>
      </c>
      <c r="S226" s="64">
        <f>Ringkasan!S226</f>
        <v>27.32</v>
      </c>
      <c r="T226" s="64">
        <f>Ringkasan!T226</f>
        <v>2.09</v>
      </c>
      <c r="U226" s="60">
        <f>Ringkasan!U226</f>
        <v>100.74</v>
      </c>
      <c r="V226" s="60">
        <f>Ringkasan!V226</f>
        <v>0.51</v>
      </c>
      <c r="W226" s="60">
        <f>Ringkasan!W226</f>
        <v>100.94</v>
      </c>
      <c r="X226" s="60">
        <f>Ringkasan!X226</f>
        <v>101.77</v>
      </c>
      <c r="Y226" s="60">
        <f>Ringkasan!Y226</f>
        <v>100.74</v>
      </c>
      <c r="Z226" s="60">
        <f>Ringkasan!Z226</f>
        <v>51924</v>
      </c>
      <c r="AA226" s="64" t="str">
        <f>Ringkasan!AA226</f>
        <v>Banks</v>
      </c>
      <c r="AB226" s="64" t="str">
        <f>Ringkasan!AB226</f>
        <v>Financials</v>
      </c>
    </row>
    <row r="227" hidden="1">
      <c r="A227" s="64" t="str">
        <f>Ringkasan!A227</f>
        <v>BBCA</v>
      </c>
      <c r="B227" s="64" t="str">
        <f>Ringkasan!B227</f>
        <v>Bank Central Asia Tbk.</v>
      </c>
      <c r="C227" s="61" t="str">
        <f>Ringkasan!C227</f>
        <v>#N/A</v>
      </c>
      <c r="D227" s="60" t="str">
        <f>Ringkasan!D227</f>
        <v>#N/A</v>
      </c>
      <c r="E227" s="64" t="str">
        <f>Ringkasan!E227</f>
        <v>ECONOMIC30</v>
      </c>
      <c r="F227" s="64" t="str">
        <f>Ringkasan!F227</f>
        <v>31 Agustus 2026</v>
      </c>
      <c r="G227" s="64">
        <f>Ringkasan!G227</f>
        <v>21</v>
      </c>
      <c r="H227" s="19">
        <f>Ringkasan!H227</f>
        <v>12.1</v>
      </c>
      <c r="I227" s="19">
        <f>Ringkasan!I227</f>
        <v>2.7</v>
      </c>
      <c r="J227" s="19">
        <f>Ringkasan!J227</f>
        <v>22.4</v>
      </c>
      <c r="K227" s="19">
        <f>Ringkasan!K227</f>
        <v>3.5</v>
      </c>
      <c r="L227" s="19">
        <f>Ringkasan!L227</f>
        <v>5.3</v>
      </c>
      <c r="M227" s="19">
        <f>Ringkasan!M227</f>
        <v>220</v>
      </c>
      <c r="N227" s="64">
        <f>Ringkasan!N227</f>
        <v>5.33</v>
      </c>
      <c r="O227" s="64">
        <f>Ringkasan!O227</f>
        <v>27.52</v>
      </c>
      <c r="P227" s="64">
        <f>Ringkasan!P227</f>
        <v>74.1</v>
      </c>
      <c r="Q227" s="64">
        <f>Ringkasan!Q227</f>
        <v>1.85</v>
      </c>
      <c r="R227" s="64">
        <f>Ringkasan!R227</f>
        <v>39.87</v>
      </c>
      <c r="S227" s="64">
        <f>Ringkasan!S227</f>
        <v>27.32</v>
      </c>
      <c r="T227" s="64">
        <f>Ringkasan!T227</f>
        <v>2.09</v>
      </c>
      <c r="U227" s="60">
        <f>Ringkasan!U227</f>
        <v>100.74</v>
      </c>
      <c r="V227" s="60">
        <f>Ringkasan!V227</f>
        <v>0.51</v>
      </c>
      <c r="W227" s="60">
        <f>Ringkasan!W227</f>
        <v>100.94</v>
      </c>
      <c r="X227" s="60">
        <f>Ringkasan!X227</f>
        <v>101.77</v>
      </c>
      <c r="Y227" s="60">
        <f>Ringkasan!Y227</f>
        <v>100.74</v>
      </c>
      <c r="Z227" s="60">
        <f>Ringkasan!Z227</f>
        <v>51924</v>
      </c>
      <c r="AA227" s="64" t="str">
        <f>Ringkasan!AA227</f>
        <v>Banks</v>
      </c>
      <c r="AB227" s="64" t="str">
        <f>Ringkasan!AB227</f>
        <v>Financials</v>
      </c>
    </row>
    <row r="228" hidden="1">
      <c r="A228" s="64" t="str">
        <f>Ringkasan!A228</f>
        <v>BBCA</v>
      </c>
      <c r="B228" s="64" t="str">
        <f>Ringkasan!B228</f>
        <v>Bank Central Asia Tbk.</v>
      </c>
      <c r="C228" s="61" t="str">
        <f>Ringkasan!C228</f>
        <v>#N/A</v>
      </c>
      <c r="D228" s="60" t="str">
        <f>Ringkasan!D228</f>
        <v>#N/A</v>
      </c>
      <c r="E228" s="64" t="str">
        <f>Ringkasan!E228</f>
        <v>IDXESGL</v>
      </c>
      <c r="F228" s="64" t="str">
        <f>Ringkasan!F228</f>
        <v>30 Oktober 2026</v>
      </c>
      <c r="G228" s="64">
        <f>Ringkasan!G228</f>
        <v>21</v>
      </c>
      <c r="H228" s="19">
        <f>Ringkasan!H228</f>
        <v>12.1</v>
      </c>
      <c r="I228" s="19">
        <f>Ringkasan!I228</f>
        <v>2.7</v>
      </c>
      <c r="J228" s="19">
        <f>Ringkasan!J228</f>
        <v>22.4</v>
      </c>
      <c r="K228" s="19">
        <f>Ringkasan!K228</f>
        <v>3.5</v>
      </c>
      <c r="L228" s="19">
        <f>Ringkasan!L228</f>
        <v>5.3</v>
      </c>
      <c r="M228" s="19">
        <f>Ringkasan!M228</f>
        <v>220</v>
      </c>
      <c r="N228" s="64">
        <f>Ringkasan!N228</f>
        <v>5.33</v>
      </c>
      <c r="O228" s="64">
        <f>Ringkasan!O228</f>
        <v>27.52</v>
      </c>
      <c r="P228" s="64">
        <f>Ringkasan!P228</f>
        <v>74.1</v>
      </c>
      <c r="Q228" s="64">
        <f>Ringkasan!Q228</f>
        <v>1.85</v>
      </c>
      <c r="R228" s="64">
        <f>Ringkasan!R228</f>
        <v>39.87</v>
      </c>
      <c r="S228" s="64">
        <f>Ringkasan!S228</f>
        <v>27.32</v>
      </c>
      <c r="T228" s="64">
        <f>Ringkasan!T228</f>
        <v>2.09</v>
      </c>
      <c r="U228" s="60">
        <f>Ringkasan!U228</f>
        <v>100.74</v>
      </c>
      <c r="V228" s="60">
        <f>Ringkasan!V228</f>
        <v>0.51</v>
      </c>
      <c r="W228" s="60">
        <f>Ringkasan!W228</f>
        <v>100.94</v>
      </c>
      <c r="X228" s="60">
        <f>Ringkasan!X228</f>
        <v>101.77</v>
      </c>
      <c r="Y228" s="60">
        <f>Ringkasan!Y228</f>
        <v>100.74</v>
      </c>
      <c r="Z228" s="60">
        <f>Ringkasan!Z228</f>
        <v>51924</v>
      </c>
      <c r="AA228" s="64" t="str">
        <f>Ringkasan!AA228</f>
        <v>Banks</v>
      </c>
      <c r="AB228" s="64" t="str">
        <f>Ringkasan!AB228</f>
        <v>Financials</v>
      </c>
    </row>
    <row r="229" hidden="1">
      <c r="A229" s="64" t="str">
        <f>Ringkasan!A229</f>
        <v>BBCA</v>
      </c>
      <c r="B229" s="64" t="str">
        <f>Ringkasan!B229</f>
        <v>Bank Central Asia Tbk.</v>
      </c>
      <c r="C229" s="61" t="str">
        <f>Ringkasan!C229</f>
        <v>#N/A</v>
      </c>
      <c r="D229" s="60" t="str">
        <f>Ringkasan!D229</f>
        <v>#N/A</v>
      </c>
      <c r="E229" s="64" t="str">
        <f>Ringkasan!E229</f>
        <v>IDXHIDIV20</v>
      </c>
      <c r="F229" s="64" t="str">
        <f>Ringkasan!F229</f>
        <v>2 Februari 2027</v>
      </c>
      <c r="G229" s="64">
        <f>Ringkasan!G229</f>
        <v>21</v>
      </c>
      <c r="H229" s="19">
        <f>Ringkasan!H229</f>
        <v>12.1</v>
      </c>
      <c r="I229" s="19">
        <f>Ringkasan!I229</f>
        <v>2.7</v>
      </c>
      <c r="J229" s="19">
        <f>Ringkasan!J229</f>
        <v>22.4</v>
      </c>
      <c r="K229" s="19">
        <f>Ringkasan!K229</f>
        <v>3.5</v>
      </c>
      <c r="L229" s="19">
        <f>Ringkasan!L229</f>
        <v>5.3</v>
      </c>
      <c r="M229" s="19">
        <f>Ringkasan!M229</f>
        <v>220</v>
      </c>
      <c r="N229" s="64">
        <f>Ringkasan!N229</f>
        <v>5.33</v>
      </c>
      <c r="O229" s="64">
        <f>Ringkasan!O229</f>
        <v>27.52</v>
      </c>
      <c r="P229" s="64">
        <f>Ringkasan!P229</f>
        <v>74.1</v>
      </c>
      <c r="Q229" s="64">
        <f>Ringkasan!Q229</f>
        <v>1.85</v>
      </c>
      <c r="R229" s="64">
        <f>Ringkasan!R229</f>
        <v>39.87</v>
      </c>
      <c r="S229" s="64">
        <f>Ringkasan!S229</f>
        <v>27.32</v>
      </c>
      <c r="T229" s="64">
        <f>Ringkasan!T229</f>
        <v>2.09</v>
      </c>
      <c r="U229" s="60">
        <f>Ringkasan!U229</f>
        <v>100.74</v>
      </c>
      <c r="V229" s="60">
        <f>Ringkasan!V229</f>
        <v>0.51</v>
      </c>
      <c r="W229" s="60">
        <f>Ringkasan!W229</f>
        <v>100.94</v>
      </c>
      <c r="X229" s="60">
        <f>Ringkasan!X229</f>
        <v>101.77</v>
      </c>
      <c r="Y229" s="60">
        <f>Ringkasan!Y229</f>
        <v>100.74</v>
      </c>
      <c r="Z229" s="60">
        <f>Ringkasan!Z229</f>
        <v>51924</v>
      </c>
      <c r="AA229" s="64" t="str">
        <f>Ringkasan!AA229</f>
        <v>Banks</v>
      </c>
      <c r="AB229" s="64" t="str">
        <f>Ringkasan!AB229</f>
        <v>Financials</v>
      </c>
    </row>
    <row r="230" hidden="1">
      <c r="A230" s="64" t="str">
        <f>Ringkasan!A230</f>
        <v>BBCA</v>
      </c>
      <c r="B230" s="64" t="str">
        <f>Ringkasan!B230</f>
        <v>Bank Central Asia Tbk.</v>
      </c>
      <c r="C230" s="61" t="str">
        <f>Ringkasan!C230</f>
        <v>#N/A</v>
      </c>
      <c r="D230" s="60" t="str">
        <f>Ringkasan!D230</f>
        <v>#N/A</v>
      </c>
      <c r="E230" s="64" t="str">
        <f>Ringkasan!E230</f>
        <v>MNC36</v>
      </c>
      <c r="F230" s="64" t="str">
        <f>Ringkasan!F230</f>
        <v>30 Oktober 2026</v>
      </c>
      <c r="G230" s="64">
        <f>Ringkasan!G230</f>
        <v>21</v>
      </c>
      <c r="H230" s="19">
        <f>Ringkasan!H230</f>
        <v>12.1</v>
      </c>
      <c r="I230" s="19">
        <f>Ringkasan!I230</f>
        <v>2.7</v>
      </c>
      <c r="J230" s="19">
        <f>Ringkasan!J230</f>
        <v>22.4</v>
      </c>
      <c r="K230" s="19">
        <f>Ringkasan!K230</f>
        <v>3.5</v>
      </c>
      <c r="L230" s="19">
        <f>Ringkasan!L230</f>
        <v>5.3</v>
      </c>
      <c r="M230" s="19">
        <f>Ringkasan!M230</f>
        <v>220</v>
      </c>
      <c r="N230" s="64">
        <f>Ringkasan!N230</f>
        <v>5.33</v>
      </c>
      <c r="O230" s="64">
        <f>Ringkasan!O230</f>
        <v>27.52</v>
      </c>
      <c r="P230" s="64">
        <f>Ringkasan!P230</f>
        <v>74.1</v>
      </c>
      <c r="Q230" s="64">
        <f>Ringkasan!Q230</f>
        <v>1.85</v>
      </c>
      <c r="R230" s="64">
        <f>Ringkasan!R230</f>
        <v>39.87</v>
      </c>
      <c r="S230" s="64">
        <f>Ringkasan!S230</f>
        <v>27.32</v>
      </c>
      <c r="T230" s="64">
        <f>Ringkasan!T230</f>
        <v>2.09</v>
      </c>
      <c r="U230" s="60">
        <f>Ringkasan!U230</f>
        <v>100.74</v>
      </c>
      <c r="V230" s="60">
        <f>Ringkasan!V230</f>
        <v>0.51</v>
      </c>
      <c r="W230" s="60">
        <f>Ringkasan!W230</f>
        <v>100.94</v>
      </c>
      <c r="X230" s="60">
        <f>Ringkasan!X230</f>
        <v>101.77</v>
      </c>
      <c r="Y230" s="60">
        <f>Ringkasan!Y230</f>
        <v>100.74</v>
      </c>
      <c r="Z230" s="60">
        <f>Ringkasan!Z230</f>
        <v>51924</v>
      </c>
      <c r="AA230" s="64" t="str">
        <f>Ringkasan!AA230</f>
        <v>Banks</v>
      </c>
      <c r="AB230" s="64" t="str">
        <f>Ringkasan!AB230</f>
        <v>Financials</v>
      </c>
    </row>
    <row r="231" hidden="1">
      <c r="A231" s="64" t="str">
        <f>Ringkasan!A231</f>
        <v>BBCA</v>
      </c>
      <c r="B231" s="64" t="str">
        <f>Ringkasan!B231</f>
        <v>Bank Central Asia Tbk.</v>
      </c>
      <c r="C231" s="61" t="str">
        <f>Ringkasan!C231</f>
        <v>#N/A</v>
      </c>
      <c r="D231" s="60" t="str">
        <f>Ringkasan!D231</f>
        <v>#N/A</v>
      </c>
      <c r="E231" s="64" t="str">
        <f>Ringkasan!E231</f>
        <v>Infobank15</v>
      </c>
      <c r="F231" s="64" t="str">
        <f>Ringkasan!F231</f>
        <v>30 Juni 2026</v>
      </c>
      <c r="G231" s="64">
        <f>Ringkasan!G231</f>
        <v>21</v>
      </c>
      <c r="H231" s="19">
        <f>Ringkasan!H231</f>
        <v>12.1</v>
      </c>
      <c r="I231" s="19">
        <f>Ringkasan!I231</f>
        <v>2.7</v>
      </c>
      <c r="J231" s="19">
        <f>Ringkasan!J231</f>
        <v>22.4</v>
      </c>
      <c r="K231" s="19">
        <f>Ringkasan!K231</f>
        <v>3.5</v>
      </c>
      <c r="L231" s="19">
        <f>Ringkasan!L231</f>
        <v>5.3</v>
      </c>
      <c r="M231" s="19">
        <f>Ringkasan!M231</f>
        <v>220</v>
      </c>
      <c r="N231" s="64">
        <f>Ringkasan!N231</f>
        <v>5.33</v>
      </c>
      <c r="O231" s="64">
        <f>Ringkasan!O231</f>
        <v>27.52</v>
      </c>
      <c r="P231" s="64">
        <f>Ringkasan!P231</f>
        <v>74.1</v>
      </c>
      <c r="Q231" s="64">
        <f>Ringkasan!Q231</f>
        <v>1.85</v>
      </c>
      <c r="R231" s="64">
        <f>Ringkasan!R231</f>
        <v>39.87</v>
      </c>
      <c r="S231" s="64">
        <f>Ringkasan!S231</f>
        <v>27.32</v>
      </c>
      <c r="T231" s="64">
        <f>Ringkasan!T231</f>
        <v>2.09</v>
      </c>
      <c r="U231" s="60">
        <f>Ringkasan!U231</f>
        <v>100.74</v>
      </c>
      <c r="V231" s="60">
        <f>Ringkasan!V231</f>
        <v>0.51</v>
      </c>
      <c r="W231" s="60">
        <f>Ringkasan!W231</f>
        <v>100.94</v>
      </c>
      <c r="X231" s="60">
        <f>Ringkasan!X231</f>
        <v>101.77</v>
      </c>
      <c r="Y231" s="60">
        <f>Ringkasan!Y231</f>
        <v>100.74</v>
      </c>
      <c r="Z231" s="60">
        <f>Ringkasan!Z231</f>
        <v>51924</v>
      </c>
      <c r="AA231" s="64" t="str">
        <f>Ringkasan!AA231</f>
        <v>Banks</v>
      </c>
      <c r="AB231" s="64" t="str">
        <f>Ringkasan!AB231</f>
        <v>Financials</v>
      </c>
    </row>
    <row r="232" hidden="1">
      <c r="A232" s="64" t="str">
        <f>Ringkasan!A232</f>
        <v>BBCA</v>
      </c>
      <c r="B232" s="64" t="str">
        <f>Ringkasan!B232</f>
        <v>Bank Central Asia Tbk.</v>
      </c>
      <c r="C232" s="61" t="str">
        <f>Ringkasan!C232</f>
        <v>#N/A</v>
      </c>
      <c r="D232" s="60" t="str">
        <f>Ringkasan!D232</f>
        <v>#N/A</v>
      </c>
      <c r="E232" s="64" t="str">
        <f>Ringkasan!E232</f>
        <v>IDX30</v>
      </c>
      <c r="F232" s="64" t="str">
        <f>Ringkasan!F232</f>
        <v>31 Juli 2026</v>
      </c>
      <c r="G232" s="64">
        <f>Ringkasan!G232</f>
        <v>21</v>
      </c>
      <c r="H232" s="19">
        <f>Ringkasan!H232</f>
        <v>12.1</v>
      </c>
      <c r="I232" s="19">
        <f>Ringkasan!I232</f>
        <v>2.7</v>
      </c>
      <c r="J232" s="19">
        <f>Ringkasan!J232</f>
        <v>22.4</v>
      </c>
      <c r="K232" s="19">
        <f>Ringkasan!K232</f>
        <v>3.5</v>
      </c>
      <c r="L232" s="19">
        <f>Ringkasan!L232</f>
        <v>5.3</v>
      </c>
      <c r="M232" s="19">
        <f>Ringkasan!M232</f>
        <v>220</v>
      </c>
      <c r="N232" s="64">
        <f>Ringkasan!N232</f>
        <v>5.33</v>
      </c>
      <c r="O232" s="64">
        <f>Ringkasan!O232</f>
        <v>27.52</v>
      </c>
      <c r="P232" s="64">
        <f>Ringkasan!P232</f>
        <v>74.1</v>
      </c>
      <c r="Q232" s="64">
        <f>Ringkasan!Q232</f>
        <v>1.85</v>
      </c>
      <c r="R232" s="64">
        <f>Ringkasan!R232</f>
        <v>39.87</v>
      </c>
      <c r="S232" s="64">
        <f>Ringkasan!S232</f>
        <v>27.32</v>
      </c>
      <c r="T232" s="64">
        <f>Ringkasan!T232</f>
        <v>2.09</v>
      </c>
      <c r="U232" s="60">
        <f>Ringkasan!U232</f>
        <v>100.74</v>
      </c>
      <c r="V232" s="60">
        <f>Ringkasan!V232</f>
        <v>0.51</v>
      </c>
      <c r="W232" s="60">
        <f>Ringkasan!W232</f>
        <v>100.94</v>
      </c>
      <c r="X232" s="60">
        <f>Ringkasan!X232</f>
        <v>101.77</v>
      </c>
      <c r="Y232" s="60">
        <f>Ringkasan!Y232</f>
        <v>100.74</v>
      </c>
      <c r="Z232" s="60">
        <f>Ringkasan!Z232</f>
        <v>51924</v>
      </c>
      <c r="AA232" s="64" t="str">
        <f>Ringkasan!AA232</f>
        <v>Banks</v>
      </c>
      <c r="AB232" s="64" t="str">
        <f>Ringkasan!AB232</f>
        <v>Financials</v>
      </c>
    </row>
    <row r="233" hidden="1">
      <c r="A233" s="64" t="str">
        <f>Ringkasan!A233</f>
        <v>BBCA</v>
      </c>
      <c r="B233" s="64" t="str">
        <f>Ringkasan!B233</f>
        <v>Bank Central Asia Tbk.</v>
      </c>
      <c r="C233" s="65" t="str">
        <f>Ringkasan!C233</f>
        <v>#N/A</v>
      </c>
      <c r="D233" s="64" t="str">
        <f>Ringkasan!D233</f>
        <v>#N/A</v>
      </c>
      <c r="E233" s="64" t="str">
        <f>Ringkasan!E233</f>
        <v>LQ45</v>
      </c>
      <c r="F233" s="64" t="str">
        <f>Ringkasan!F233</f>
        <v>31 Juli 2026</v>
      </c>
      <c r="G233" s="64">
        <f>Ringkasan!G233</f>
        <v>21</v>
      </c>
      <c r="H233" s="19">
        <f>Ringkasan!H233</f>
        <v>12.1</v>
      </c>
      <c r="I233" s="19">
        <f>Ringkasan!I233</f>
        <v>2.7</v>
      </c>
      <c r="J233" s="19">
        <f>Ringkasan!J233</f>
        <v>22.4</v>
      </c>
      <c r="K233" s="19">
        <f>Ringkasan!K233</f>
        <v>3.5</v>
      </c>
      <c r="L233" s="19">
        <f>Ringkasan!L233</f>
        <v>5.3</v>
      </c>
      <c r="M233" s="19">
        <f>Ringkasan!M233</f>
        <v>220</v>
      </c>
      <c r="N233" s="64">
        <f>Ringkasan!N233</f>
        <v>5.33</v>
      </c>
      <c r="O233" s="64">
        <f>Ringkasan!O233</f>
        <v>27.52</v>
      </c>
      <c r="P233" s="64">
        <f>Ringkasan!P233</f>
        <v>74.1</v>
      </c>
      <c r="Q233" s="64">
        <f>Ringkasan!Q233</f>
        <v>1.85</v>
      </c>
      <c r="R233" s="64">
        <f>Ringkasan!R233</f>
        <v>39.87</v>
      </c>
      <c r="S233" s="64">
        <f>Ringkasan!S233</f>
        <v>27.32</v>
      </c>
      <c r="T233" s="64">
        <f>Ringkasan!T233</f>
        <v>2.09</v>
      </c>
      <c r="U233" s="64">
        <f>Ringkasan!U233</f>
        <v>100.74</v>
      </c>
      <c r="V233" s="64">
        <f>Ringkasan!V233</f>
        <v>0.51</v>
      </c>
      <c r="W233" s="64">
        <f>Ringkasan!W233</f>
        <v>100.94</v>
      </c>
      <c r="X233" s="64">
        <f>Ringkasan!X233</f>
        <v>101.77</v>
      </c>
      <c r="Y233" s="64">
        <f>Ringkasan!Y233</f>
        <v>100.74</v>
      </c>
      <c r="Z233" s="64">
        <f>Ringkasan!Z233</f>
        <v>51924</v>
      </c>
      <c r="AA233" s="64" t="str">
        <f>Ringkasan!AA233</f>
        <v>Banks</v>
      </c>
      <c r="AB233" s="64" t="str">
        <f>Ringkasan!AB233</f>
        <v>Financials</v>
      </c>
    </row>
    <row r="234" hidden="1">
      <c r="A234" s="64" t="str">
        <f>Ringkasan!A234</f>
        <v>BBCA</v>
      </c>
      <c r="B234" s="64" t="str">
        <f>Ringkasan!B234</f>
        <v>Bank Central Asia Tbk.</v>
      </c>
      <c r="C234" s="65" t="str">
        <f>Ringkasan!C234</f>
        <v>#N/A</v>
      </c>
      <c r="D234" s="64" t="str">
        <f>Ringkasan!D234</f>
        <v>#N/A</v>
      </c>
      <c r="E234" s="64" t="str">
        <f>Ringkasan!E234</f>
        <v>IDX80</v>
      </c>
      <c r="F234" s="64" t="str">
        <f>Ringkasan!F234</f>
        <v>31 Juli 2026</v>
      </c>
      <c r="G234" s="64">
        <f>Ringkasan!G234</f>
        <v>21</v>
      </c>
      <c r="H234" s="19">
        <f>Ringkasan!H234</f>
        <v>12.1</v>
      </c>
      <c r="I234" s="19">
        <f>Ringkasan!I234</f>
        <v>2.7</v>
      </c>
      <c r="J234" s="19">
        <f>Ringkasan!J234</f>
        <v>22.4</v>
      </c>
      <c r="K234" s="19">
        <f>Ringkasan!K234</f>
        <v>3.5</v>
      </c>
      <c r="L234" s="19">
        <f>Ringkasan!L234</f>
        <v>5.3</v>
      </c>
      <c r="M234" s="19">
        <f>Ringkasan!M234</f>
        <v>220</v>
      </c>
      <c r="N234" s="64">
        <f>Ringkasan!N234</f>
        <v>5.33</v>
      </c>
      <c r="O234" s="64">
        <f>Ringkasan!O234</f>
        <v>27.52</v>
      </c>
      <c r="P234" s="64">
        <f>Ringkasan!P234</f>
        <v>74.1</v>
      </c>
      <c r="Q234" s="64">
        <f>Ringkasan!Q234</f>
        <v>1.85</v>
      </c>
      <c r="R234" s="64">
        <f>Ringkasan!R234</f>
        <v>39.87</v>
      </c>
      <c r="S234" s="64">
        <f>Ringkasan!S234</f>
        <v>27.32</v>
      </c>
      <c r="T234" s="64">
        <f>Ringkasan!T234</f>
        <v>2.09</v>
      </c>
      <c r="U234" s="64">
        <f>Ringkasan!U234</f>
        <v>100.74</v>
      </c>
      <c r="V234" s="64">
        <f>Ringkasan!V234</f>
        <v>0.51</v>
      </c>
      <c r="W234" s="64">
        <f>Ringkasan!W234</f>
        <v>100.94</v>
      </c>
      <c r="X234" s="64">
        <f>Ringkasan!X234</f>
        <v>101.77</v>
      </c>
      <c r="Y234" s="64">
        <f>Ringkasan!Y234</f>
        <v>100.74</v>
      </c>
      <c r="Z234" s="64">
        <f>Ringkasan!Z234</f>
        <v>51924</v>
      </c>
      <c r="AA234" s="64" t="str">
        <f>Ringkasan!AA234</f>
        <v>Banks</v>
      </c>
      <c r="AB234" s="64" t="str">
        <f>Ringkasan!AB234</f>
        <v>Financials</v>
      </c>
    </row>
    <row r="235" hidden="1">
      <c r="A235" s="64" t="str">
        <f>Ringkasan!A235</f>
        <v>BBCA</v>
      </c>
      <c r="B235" s="64" t="str">
        <f>Ringkasan!B235</f>
        <v>Bank Central Asia Tbk.</v>
      </c>
      <c r="C235" s="65" t="str">
        <f>Ringkasan!C235</f>
        <v>#N/A</v>
      </c>
      <c r="D235" s="64" t="str">
        <f>Ringkasan!D235</f>
        <v>#N/A</v>
      </c>
      <c r="E235" s="64" t="str">
        <f>Ringkasan!E235</f>
        <v>Pefindo - iGrade</v>
      </c>
      <c r="F235" s="64" t="str">
        <f>Ringkasan!F235</f>
        <v>30 Juni 2026</v>
      </c>
      <c r="G235" s="64">
        <f>Ringkasan!G235</f>
        <v>21</v>
      </c>
      <c r="H235" s="19">
        <f>Ringkasan!H235</f>
        <v>12.1</v>
      </c>
      <c r="I235" s="19">
        <f>Ringkasan!I235</f>
        <v>2.7</v>
      </c>
      <c r="J235" s="19">
        <f>Ringkasan!J235</f>
        <v>22.4</v>
      </c>
      <c r="K235" s="19">
        <f>Ringkasan!K235</f>
        <v>3.5</v>
      </c>
      <c r="L235" s="19">
        <f>Ringkasan!L235</f>
        <v>5.3</v>
      </c>
      <c r="M235" s="19">
        <f>Ringkasan!M235</f>
        <v>220</v>
      </c>
      <c r="N235" s="64">
        <f>Ringkasan!N235</f>
        <v>5.33</v>
      </c>
      <c r="O235" s="64">
        <f>Ringkasan!O235</f>
        <v>27.52</v>
      </c>
      <c r="P235" s="64">
        <f>Ringkasan!P235</f>
        <v>74.1</v>
      </c>
      <c r="Q235" s="64">
        <f>Ringkasan!Q235</f>
        <v>1.85</v>
      </c>
      <c r="R235" s="64">
        <f>Ringkasan!R235</f>
        <v>39.87</v>
      </c>
      <c r="S235" s="64">
        <f>Ringkasan!S235</f>
        <v>27.32</v>
      </c>
      <c r="T235" s="64">
        <f>Ringkasan!T235</f>
        <v>2.09</v>
      </c>
      <c r="U235" s="64">
        <f>Ringkasan!U235</f>
        <v>100.74</v>
      </c>
      <c r="V235" s="64">
        <f>Ringkasan!V235</f>
        <v>0.51</v>
      </c>
      <c r="W235" s="64">
        <f>Ringkasan!W235</f>
        <v>100.94</v>
      </c>
      <c r="X235" s="64">
        <f>Ringkasan!X235</f>
        <v>101.77</v>
      </c>
      <c r="Y235" s="64">
        <f>Ringkasan!Y235</f>
        <v>100.74</v>
      </c>
      <c r="Z235" s="64">
        <f>Ringkasan!Z235</f>
        <v>51924</v>
      </c>
      <c r="AA235" s="64" t="str">
        <f>Ringkasan!AA235</f>
        <v>Banks</v>
      </c>
      <c r="AB235" s="64" t="str">
        <f>Ringkasan!AB235</f>
        <v>Financials</v>
      </c>
    </row>
    <row r="236" hidden="1">
      <c r="A236" s="64" t="str">
        <f>Ringkasan!A236</f>
        <v>BBCA</v>
      </c>
      <c r="B236" s="64" t="str">
        <f>Ringkasan!B236</f>
        <v>Bank Central Asia Tbk.</v>
      </c>
      <c r="C236" s="65" t="str">
        <f>Ringkasan!C236</f>
        <v>#N/A</v>
      </c>
      <c r="D236" s="64" t="str">
        <f>Ringkasan!D236</f>
        <v>#N/A</v>
      </c>
      <c r="E236" s="64" t="str">
        <f>Ringkasan!E236</f>
        <v>IDXVESTA28</v>
      </c>
      <c r="F236" s="64" t="str">
        <f>Ringkasan!F236</f>
        <v>31 Agustus 2026</v>
      </c>
      <c r="G236" s="64">
        <f>Ringkasan!G236</f>
        <v>21</v>
      </c>
      <c r="H236" s="19">
        <f>Ringkasan!H236</f>
        <v>12.1</v>
      </c>
      <c r="I236" s="19">
        <f>Ringkasan!I236</f>
        <v>2.7</v>
      </c>
      <c r="J236" s="19">
        <f>Ringkasan!J236</f>
        <v>22.4</v>
      </c>
      <c r="K236" s="19">
        <f>Ringkasan!K236</f>
        <v>3.5</v>
      </c>
      <c r="L236" s="19">
        <f>Ringkasan!L236</f>
        <v>5.3</v>
      </c>
      <c r="M236" s="19">
        <f>Ringkasan!M236</f>
        <v>220</v>
      </c>
      <c r="N236" s="64">
        <f>Ringkasan!N236</f>
        <v>5.33</v>
      </c>
      <c r="O236" s="64">
        <f>Ringkasan!O236</f>
        <v>27.52</v>
      </c>
      <c r="P236" s="64">
        <f>Ringkasan!P236</f>
        <v>74.1</v>
      </c>
      <c r="Q236" s="64">
        <f>Ringkasan!Q236</f>
        <v>1.85</v>
      </c>
      <c r="R236" s="64">
        <f>Ringkasan!R236</f>
        <v>39.87</v>
      </c>
      <c r="S236" s="64">
        <f>Ringkasan!S236</f>
        <v>27.32</v>
      </c>
      <c r="T236" s="64">
        <f>Ringkasan!T236</f>
        <v>2.09</v>
      </c>
      <c r="U236" s="64">
        <f>Ringkasan!U236</f>
        <v>100.74</v>
      </c>
      <c r="V236" s="64">
        <f>Ringkasan!V236</f>
        <v>0.51</v>
      </c>
      <c r="W236" s="64">
        <f>Ringkasan!W236</f>
        <v>100.94</v>
      </c>
      <c r="X236" s="64">
        <f>Ringkasan!X236</f>
        <v>101.77</v>
      </c>
      <c r="Y236" s="64">
        <f>Ringkasan!Y236</f>
        <v>100.74</v>
      </c>
      <c r="Z236" s="64">
        <f>Ringkasan!Z236</f>
        <v>51924</v>
      </c>
      <c r="AA236" s="64" t="str">
        <f>Ringkasan!AA236</f>
        <v>Banks</v>
      </c>
      <c r="AB236" s="64" t="str">
        <f>Ringkasan!AB236</f>
        <v>Financials</v>
      </c>
    </row>
    <row r="237" hidden="1">
      <c r="A237" s="64" t="str">
        <f>Ringkasan!A237</f>
        <v>BBCA</v>
      </c>
      <c r="B237" s="64" t="str">
        <f>Ringkasan!B237</f>
        <v>Bank Central Asia Tbk.</v>
      </c>
      <c r="C237" s="65" t="str">
        <f>Ringkasan!C237</f>
        <v>#N/A</v>
      </c>
      <c r="D237" s="64" t="str">
        <f>Ringkasan!D237</f>
        <v>#N/A</v>
      </c>
      <c r="E237" s="64" t="str">
        <f>Ringkasan!E237</f>
        <v>PRIMBANK-10</v>
      </c>
      <c r="F237" s="64" t="str">
        <f>Ringkasan!F237</f>
        <v>30 Juni 2026</v>
      </c>
      <c r="G237" s="64">
        <f>Ringkasan!G237</f>
        <v>21</v>
      </c>
      <c r="H237" s="19">
        <f>Ringkasan!H237</f>
        <v>12.1</v>
      </c>
      <c r="I237" s="19">
        <f>Ringkasan!I237</f>
        <v>2.7</v>
      </c>
      <c r="J237" s="19">
        <f>Ringkasan!J237</f>
        <v>22.4</v>
      </c>
      <c r="K237" s="19">
        <f>Ringkasan!K237</f>
        <v>3.5</v>
      </c>
      <c r="L237" s="19">
        <f>Ringkasan!L237</f>
        <v>5.3</v>
      </c>
      <c r="M237" s="19">
        <f>Ringkasan!M237</f>
        <v>220</v>
      </c>
      <c r="N237" s="64">
        <f>Ringkasan!N237</f>
        <v>5.33</v>
      </c>
      <c r="O237" s="64">
        <f>Ringkasan!O237</f>
        <v>27.52</v>
      </c>
      <c r="P237" s="64">
        <f>Ringkasan!P237</f>
        <v>74.1</v>
      </c>
      <c r="Q237" s="64">
        <f>Ringkasan!Q237</f>
        <v>1.85</v>
      </c>
      <c r="R237" s="64">
        <f>Ringkasan!R237</f>
        <v>39.87</v>
      </c>
      <c r="S237" s="64">
        <f>Ringkasan!S237</f>
        <v>27.32</v>
      </c>
      <c r="T237" s="64">
        <f>Ringkasan!T237</f>
        <v>2.09</v>
      </c>
      <c r="U237" s="64">
        <f>Ringkasan!U237</f>
        <v>100.74</v>
      </c>
      <c r="V237" s="64">
        <f>Ringkasan!V237</f>
        <v>0.51</v>
      </c>
      <c r="W237" s="64">
        <f>Ringkasan!W237</f>
        <v>100.94</v>
      </c>
      <c r="X237" s="64">
        <f>Ringkasan!X237</f>
        <v>101.77</v>
      </c>
      <c r="Y237" s="64">
        <f>Ringkasan!Y237</f>
        <v>100.74</v>
      </c>
      <c r="Z237" s="64">
        <f>Ringkasan!Z237</f>
        <v>51924</v>
      </c>
      <c r="AA237" s="64" t="str">
        <f>Ringkasan!AA237</f>
        <v>Banks</v>
      </c>
      <c r="AB237" s="64" t="str">
        <f>Ringkasan!AB237</f>
        <v>Financials</v>
      </c>
    </row>
    <row r="238" hidden="1">
      <c r="A238" s="64" t="str">
        <f>Ringkasan!A239</f>
        <v>BBCA</v>
      </c>
      <c r="B238" s="64" t="str">
        <f>Ringkasan!B239</f>
        <v>Bank Central Asia Tbk.</v>
      </c>
      <c r="C238" s="65" t="str">
        <f>Ringkasan!C239</f>
        <v>#N/A</v>
      </c>
      <c r="D238" s="64" t="str">
        <f>Ringkasan!D239</f>
        <v>#N/A</v>
      </c>
      <c r="E238" s="64" t="str">
        <f>Ringkasan!E239</f>
        <v>ESGSKEHATI</v>
      </c>
      <c r="F238" s="66">
        <f>Ringkasan!F239</f>
        <v>46356</v>
      </c>
      <c r="G238" s="64">
        <f>Ringkasan!G239</f>
        <v>21</v>
      </c>
      <c r="H238" s="19">
        <f>Ringkasan!H239</f>
        <v>12.1</v>
      </c>
      <c r="I238" s="19">
        <f>Ringkasan!I239</f>
        <v>2.7</v>
      </c>
      <c r="J238" s="19">
        <f>Ringkasan!J239</f>
        <v>22.4</v>
      </c>
      <c r="K238" s="19">
        <f>Ringkasan!K239</f>
        <v>3.5</v>
      </c>
      <c r="L238" s="19">
        <f>Ringkasan!L239</f>
        <v>5.3</v>
      </c>
      <c r="M238" s="19">
        <f>Ringkasan!M239</f>
        <v>220</v>
      </c>
      <c r="N238" s="64">
        <f>Ringkasan!N239</f>
        <v>5.33</v>
      </c>
      <c r="O238" s="64">
        <f>Ringkasan!O239</f>
        <v>27.52</v>
      </c>
      <c r="P238" s="64">
        <f>Ringkasan!P239</f>
        <v>74.1</v>
      </c>
      <c r="Q238" s="64">
        <f>Ringkasan!Q239</f>
        <v>1.85</v>
      </c>
      <c r="R238" s="64">
        <f>Ringkasan!R239</f>
        <v>39.87</v>
      </c>
      <c r="S238" s="64">
        <f>Ringkasan!S239</f>
        <v>27.32</v>
      </c>
      <c r="T238" s="64">
        <f>Ringkasan!T239</f>
        <v>2.09</v>
      </c>
      <c r="U238" s="64">
        <f>Ringkasan!U239</f>
        <v>100.74</v>
      </c>
      <c r="V238" s="64">
        <f>Ringkasan!V239</f>
        <v>0.51</v>
      </c>
      <c r="W238" s="64">
        <f>Ringkasan!W239</f>
        <v>100.94</v>
      </c>
      <c r="X238" s="64">
        <f>Ringkasan!X239</f>
        <v>101.77</v>
      </c>
      <c r="Y238" s="64">
        <f>Ringkasan!Y239</f>
        <v>100.74</v>
      </c>
      <c r="Z238" s="64">
        <f>Ringkasan!Z239</f>
        <v>51924</v>
      </c>
      <c r="AA238" s="64" t="str">
        <f>Ringkasan!AA239</f>
        <v>Banks</v>
      </c>
      <c r="AB238" s="64" t="str">
        <f>Ringkasan!AB239</f>
        <v>Financials</v>
      </c>
    </row>
    <row r="239" hidden="1">
      <c r="A239" s="64" t="str">
        <f>Ringkasan!A238</f>
        <v>BBCA</v>
      </c>
      <c r="B239" s="64" t="str">
        <f>Ringkasan!B238</f>
        <v>Bank Central Asia Tbk.</v>
      </c>
      <c r="C239" s="65" t="str">
        <f>Ringkasan!C238</f>
        <v>#N/A</v>
      </c>
      <c r="D239" s="64" t="str">
        <f>Ringkasan!D238</f>
        <v>#N/A</v>
      </c>
      <c r="E239" s="64" t="str">
        <f>Ringkasan!E238</f>
        <v>FTSE Large Cap</v>
      </c>
      <c r="F239" s="64" t="str">
        <f>Ringkasan!F238</f>
        <v>Juni 2026</v>
      </c>
      <c r="G239" s="64">
        <f>Ringkasan!G238</f>
        <v>21</v>
      </c>
      <c r="H239" s="19">
        <f>Ringkasan!H238</f>
        <v>12.1</v>
      </c>
      <c r="I239" s="19">
        <f>Ringkasan!I238</f>
        <v>2.7</v>
      </c>
      <c r="J239" s="19">
        <f>Ringkasan!J238</f>
        <v>22.4</v>
      </c>
      <c r="K239" s="19">
        <f>Ringkasan!K238</f>
        <v>3.5</v>
      </c>
      <c r="L239" s="19">
        <f>Ringkasan!L238</f>
        <v>5.3</v>
      </c>
      <c r="M239" s="19">
        <f>Ringkasan!M238</f>
        <v>220</v>
      </c>
      <c r="N239" s="64">
        <f>Ringkasan!N238</f>
        <v>5.33</v>
      </c>
      <c r="O239" s="64">
        <f>Ringkasan!O238</f>
        <v>27.52</v>
      </c>
      <c r="P239" s="64">
        <f>Ringkasan!P238</f>
        <v>74.1</v>
      </c>
      <c r="Q239" s="64">
        <f>Ringkasan!Q238</f>
        <v>1.85</v>
      </c>
      <c r="R239" s="64">
        <f>Ringkasan!R238</f>
        <v>39.87</v>
      </c>
      <c r="S239" s="64">
        <f>Ringkasan!S238</f>
        <v>27.32</v>
      </c>
      <c r="T239" s="64">
        <f>Ringkasan!T238</f>
        <v>2.09</v>
      </c>
      <c r="U239" s="64">
        <f>Ringkasan!U238</f>
        <v>100.74</v>
      </c>
      <c r="V239" s="64">
        <f>Ringkasan!V238</f>
        <v>0.51</v>
      </c>
      <c r="W239" s="64">
        <f>Ringkasan!W238</f>
        <v>100.94</v>
      </c>
      <c r="X239" s="64">
        <f>Ringkasan!X238</f>
        <v>101.77</v>
      </c>
      <c r="Y239" s="64">
        <f>Ringkasan!Y238</f>
        <v>100.74</v>
      </c>
      <c r="Z239" s="64">
        <f>Ringkasan!Z238</f>
        <v>51924</v>
      </c>
      <c r="AA239" s="64" t="str">
        <f>Ringkasan!AA238</f>
        <v>Banks</v>
      </c>
      <c r="AB239" s="64" t="str">
        <f>Ringkasan!AB238</f>
        <v>Financials</v>
      </c>
    </row>
    <row r="240" hidden="1">
      <c r="A240" s="64" t="str">
        <f>Ringkasan!A241</f>
        <v>BBCA</v>
      </c>
      <c r="B240" s="64" t="str">
        <f>Ringkasan!B241</f>
        <v>Bank Central Asia Tbk.</v>
      </c>
      <c r="C240" s="65" t="str">
        <f>Ringkasan!C241</f>
        <v>#N/A</v>
      </c>
      <c r="D240" s="64" t="str">
        <f>Ringkasan!D241</f>
        <v>#N/A</v>
      </c>
      <c r="E240" s="64" t="str">
        <f>Ringkasan!E241</f>
        <v>Investor33</v>
      </c>
      <c r="F240" s="66">
        <f>Ringkasan!F241</f>
        <v>46356</v>
      </c>
      <c r="G240" s="64">
        <f>Ringkasan!G241</f>
        <v>21</v>
      </c>
      <c r="H240" s="19">
        <f>Ringkasan!H241</f>
        <v>12.1</v>
      </c>
      <c r="I240" s="19">
        <f>Ringkasan!I241</f>
        <v>2.7</v>
      </c>
      <c r="J240" s="19">
        <f>Ringkasan!J241</f>
        <v>22.4</v>
      </c>
      <c r="K240" s="19">
        <f>Ringkasan!K241</f>
        <v>3.5</v>
      </c>
      <c r="L240" s="19">
        <f>Ringkasan!L241</f>
        <v>5.3</v>
      </c>
      <c r="M240" s="19">
        <f>Ringkasan!M241</f>
        <v>220</v>
      </c>
      <c r="N240" s="64">
        <f>Ringkasan!N241</f>
        <v>5.33</v>
      </c>
      <c r="O240" s="64">
        <f>Ringkasan!O241</f>
        <v>27.52</v>
      </c>
      <c r="P240" s="64">
        <f>Ringkasan!P241</f>
        <v>74.1</v>
      </c>
      <c r="Q240" s="64">
        <f>Ringkasan!Q241</f>
        <v>1.85</v>
      </c>
      <c r="R240" s="64">
        <f>Ringkasan!R241</f>
        <v>39.87</v>
      </c>
      <c r="S240" s="64">
        <f>Ringkasan!S241</f>
        <v>27.32</v>
      </c>
      <c r="T240" s="64">
        <f>Ringkasan!T241</f>
        <v>2.09</v>
      </c>
      <c r="U240" s="64">
        <f>Ringkasan!U241</f>
        <v>100.74</v>
      </c>
      <c r="V240" s="64">
        <f>Ringkasan!V241</f>
        <v>0.51</v>
      </c>
      <c r="W240" s="64">
        <f>Ringkasan!W241</f>
        <v>100.94</v>
      </c>
      <c r="X240" s="64">
        <f>Ringkasan!X241</f>
        <v>101.77</v>
      </c>
      <c r="Y240" s="64">
        <f>Ringkasan!Y241</f>
        <v>100.74</v>
      </c>
      <c r="Z240" s="64">
        <f>Ringkasan!Z241</f>
        <v>51924</v>
      </c>
      <c r="AA240" s="64" t="str">
        <f>Ringkasan!AA241</f>
        <v>Banks</v>
      </c>
      <c r="AB240" s="64" t="str">
        <f>Ringkasan!AB241</f>
        <v>Financials</v>
      </c>
    </row>
    <row r="241" hidden="1">
      <c r="A241" s="64" t="str">
        <f>Ringkasan!A935</f>
        <v>INTP</v>
      </c>
      <c r="B241" s="64" t="str">
        <f>Ringkasan!B935</f>
        <v>Indocement Tunggal Prakarsa Tbk.</v>
      </c>
      <c r="C241" s="65">
        <f>Ringkasan!C935</f>
        <v>4110</v>
      </c>
      <c r="D241" s="64" t="str">
        <f>Ringkasan!D935</f>
        <v>#N/A</v>
      </c>
      <c r="E241" s="64" t="str">
        <f>Ringkasan!E935</f>
        <v>IDXSMC-LIQ</v>
      </c>
      <c r="F241" s="64" t="str">
        <f>Ringkasan!F935</f>
        <v>4 Agustus 2026</v>
      </c>
      <c r="G241" s="64">
        <f>Ringkasan!G935</f>
        <v>13</v>
      </c>
      <c r="H241" s="19">
        <f>Ringkasan!H935</f>
        <v>7.6</v>
      </c>
      <c r="I241" s="19">
        <f>Ringkasan!I935</f>
        <v>0.74</v>
      </c>
      <c r="J241" s="19">
        <f>Ringkasan!J935</f>
        <v>9.7</v>
      </c>
      <c r="K241" s="19">
        <f>Ringkasan!K935</f>
        <v>7.2</v>
      </c>
      <c r="L241" s="19">
        <f>Ringkasan!L935</f>
        <v>0.34</v>
      </c>
      <c r="M241" s="19">
        <f>Ringkasan!M935</f>
        <v>58.6</v>
      </c>
      <c r="N241" s="64" t="str">
        <f>Ringkasan!N935</f>
        <v/>
      </c>
      <c r="O241" s="64" t="str">
        <f>Ringkasan!O935</f>
        <v/>
      </c>
      <c r="P241" s="64" t="str">
        <f>Ringkasan!P935</f>
        <v/>
      </c>
      <c r="Q241" s="64" t="str">
        <f>Ringkasan!Q935</f>
        <v/>
      </c>
      <c r="R241" s="64" t="str">
        <f>Ringkasan!R935</f>
        <v/>
      </c>
      <c r="S241" s="64" t="str">
        <f>Ringkasan!S935</f>
        <v/>
      </c>
      <c r="T241" s="64" t="str">
        <f>Ringkasan!T935</f>
        <v/>
      </c>
      <c r="U241" s="64">
        <f>Ringkasan!U935</f>
        <v>4160</v>
      </c>
      <c r="V241" s="64" t="str">
        <f>Ringkasan!V935</f>
        <v/>
      </c>
      <c r="W241" s="64">
        <f>Ringkasan!W935</f>
        <v>4190</v>
      </c>
      <c r="X241" s="64">
        <f>Ringkasan!X935</f>
        <v>4240</v>
      </c>
      <c r="Y241" s="64">
        <f>Ringkasan!Y935</f>
        <v>4090</v>
      </c>
      <c r="Z241" s="64">
        <f>Ringkasan!Z935</f>
        <v>2337500</v>
      </c>
      <c r="AA241" s="64" t="str">
        <f>Ringkasan!AA935</f>
        <v>Construction Materials</v>
      </c>
      <c r="AB241" s="64" t="str">
        <f>Ringkasan!AB935</f>
        <v>Basic Materials</v>
      </c>
    </row>
    <row r="242">
      <c r="A242" s="64" t="str">
        <f>Ringkasan!A246</f>
        <v>BBNI</v>
      </c>
      <c r="B242" s="60" t="str">
        <f>Ringkasan!B246</f>
        <v>PT Bank Negara Indonesia (Persero) Tbk</v>
      </c>
      <c r="C242" s="61">
        <f>Ringkasan!C246</f>
        <v>3560</v>
      </c>
      <c r="D242" s="60" t="str">
        <f>Ringkasan!D246</f>
        <v>#N/A</v>
      </c>
      <c r="E242" s="60" t="str">
        <f>Ringkasan!E246</f>
        <v>ESGQKEHATI</v>
      </c>
      <c r="F242" s="63">
        <f>Ringkasan!F246</f>
        <v>46356</v>
      </c>
      <c r="G242" s="60">
        <f>Ringkasan!G246</f>
        <v>22</v>
      </c>
      <c r="H242" s="62">
        <f>Ringkasan!H246</f>
        <v>6.8</v>
      </c>
      <c r="I242" s="62">
        <f>Ringkasan!I246</f>
        <v>0.83</v>
      </c>
      <c r="J242" s="62">
        <f>Ringkasan!J246</f>
        <v>12.3</v>
      </c>
      <c r="K242" s="62">
        <f>Ringkasan!K246</f>
        <v>1.4</v>
      </c>
      <c r="L242" s="62">
        <f>Ringkasan!L246</f>
        <v>7.6</v>
      </c>
      <c r="M242" s="62">
        <f>Ringkasan!M246</f>
        <v>89.9</v>
      </c>
      <c r="N242" s="60">
        <f>Ringkasan!N246</f>
        <v>3.8</v>
      </c>
      <c r="O242" s="60">
        <f>Ringkasan!O246</f>
        <v>20.7</v>
      </c>
      <c r="P242" s="60">
        <f>Ringkasan!P246</f>
        <v>86.4</v>
      </c>
      <c r="Q242" s="60">
        <f>Ringkasan!Q246</f>
        <v>1.9</v>
      </c>
      <c r="R242" s="60">
        <f>Ringkasan!R246</f>
        <v>72.9</v>
      </c>
      <c r="S242" s="60">
        <f>Ringkasan!S246</f>
        <v>46.5</v>
      </c>
      <c r="T242" s="60">
        <f>Ringkasan!T246</f>
        <v>8.5</v>
      </c>
      <c r="U242" s="60">
        <f>Ringkasan!U246</f>
        <v>3500</v>
      </c>
      <c r="V242" s="60">
        <f>Ringkasan!V246</f>
        <v>1.71</v>
      </c>
      <c r="W242" s="60">
        <f>Ringkasan!W246</f>
        <v>3570</v>
      </c>
      <c r="X242" s="60">
        <f>Ringkasan!X246</f>
        <v>3650</v>
      </c>
      <c r="Y242" s="60">
        <f>Ringkasan!Y246</f>
        <v>3520</v>
      </c>
      <c r="Z242" s="60">
        <f>Ringkasan!Z246</f>
        <v>74824100</v>
      </c>
      <c r="AA242" s="60" t="str">
        <f>Ringkasan!AA246</f>
        <v>Banks</v>
      </c>
      <c r="AB242" s="64" t="str">
        <f>Ringkasan!AB246</f>
        <v>Financials</v>
      </c>
    </row>
    <row r="243" hidden="1">
      <c r="A243" s="64" t="str">
        <f>Ringkasan!A988</f>
        <v>JKON</v>
      </c>
      <c r="B243" s="64" t="str">
        <f>Ringkasan!B988</f>
        <v>Jaya Konstruksi Manggala Pratama Tbk</v>
      </c>
      <c r="C243" s="65">
        <f>Ringkasan!C988</f>
        <v>68</v>
      </c>
      <c r="D243" s="64" t="str">
        <f>Ringkasan!D988</f>
        <v>#N/A</v>
      </c>
      <c r="E243" s="64" t="str">
        <f>Ringkasan!E988</f>
        <v>IDXMESBUMN</v>
      </c>
      <c r="F243" s="66">
        <f>Ringkasan!F988</f>
        <v>46356</v>
      </c>
      <c r="G243" s="64">
        <f>Ringkasan!G988</f>
        <v>1</v>
      </c>
      <c r="H243" s="19">
        <f>Ringkasan!H988</f>
        <v>8</v>
      </c>
      <c r="I243" s="19">
        <f>Ringkasan!I988</f>
        <v>0.35</v>
      </c>
      <c r="J243" s="19">
        <f>Ringkasan!J988</f>
        <v>4.4</v>
      </c>
      <c r="K243" s="19">
        <f>Ringkasan!K988</f>
        <v>3.3</v>
      </c>
      <c r="L243" s="19">
        <f>Ringkasan!L988</f>
        <v>0.34</v>
      </c>
      <c r="M243" s="19">
        <f>Ringkasan!M988</f>
        <v>15.6</v>
      </c>
      <c r="N243" s="64" t="str">
        <f>Ringkasan!N988</f>
        <v/>
      </c>
      <c r="O243" s="64" t="str">
        <f>Ringkasan!O988</f>
        <v/>
      </c>
      <c r="P243" s="64" t="str">
        <f>Ringkasan!P988</f>
        <v/>
      </c>
      <c r="Q243" s="64" t="str">
        <f>Ringkasan!Q988</f>
        <v/>
      </c>
      <c r="R243" s="64" t="str">
        <f>Ringkasan!R988</f>
        <v/>
      </c>
      <c r="S243" s="64" t="str">
        <f>Ringkasan!S988</f>
        <v/>
      </c>
      <c r="T243" s="64" t="str">
        <f>Ringkasan!T988</f>
        <v/>
      </c>
      <c r="U243" s="64">
        <f>Ringkasan!U988</f>
        <v>65</v>
      </c>
      <c r="V243" s="64">
        <f>Ringkasan!V988</f>
        <v>4.62</v>
      </c>
      <c r="W243" s="64">
        <f>Ringkasan!W988</f>
        <v>67</v>
      </c>
      <c r="X243" s="64">
        <f>Ringkasan!X988</f>
        <v>69</v>
      </c>
      <c r="Y243" s="64">
        <f>Ringkasan!Y988</f>
        <v>65</v>
      </c>
      <c r="Z243" s="64">
        <f>Ringkasan!Z988</f>
        <v>3213600</v>
      </c>
      <c r="AA243" s="64" t="str">
        <f>Ringkasan!AA988</f>
        <v>Heavy Constructions &amp; Civil Engineering</v>
      </c>
      <c r="AB243" s="64" t="str">
        <f>Ringkasan!AB988</f>
        <v>Infrastructures</v>
      </c>
    </row>
    <row r="244" hidden="1">
      <c r="A244" s="64" t="str">
        <f>Ringkasan!A243</f>
        <v>BBKP</v>
      </c>
      <c r="B244" s="64" t="str">
        <f>Ringkasan!B243</f>
        <v>Bank KB Indonesia Tbk.</v>
      </c>
      <c r="C244" s="65" t="str">
        <f>Ringkasan!C243</f>
        <v>#N/A</v>
      </c>
      <c r="D244" s="64" t="str">
        <f>Ringkasan!D243</f>
        <v>#N/A</v>
      </c>
      <c r="E244" s="64" t="str">
        <f>Ringkasan!E243</f>
        <v/>
      </c>
      <c r="F244" s="64" t="str">
        <f>Ringkasan!F243</f>
        <v/>
      </c>
      <c r="G244" s="64">
        <f>Ringkasan!G243</f>
        <v>0</v>
      </c>
      <c r="H244" s="19">
        <f>Ringkasan!H243</f>
        <v>-37.5</v>
      </c>
      <c r="I244" s="19">
        <f>Ringkasan!I243</f>
        <v>1.3</v>
      </c>
      <c r="J244" s="19">
        <f>Ringkasan!J243</f>
        <v>-3.4</v>
      </c>
      <c r="K244" s="19">
        <f>Ringkasan!K243</f>
        <v>-0.32</v>
      </c>
      <c r="L244" s="19">
        <f>Ringkasan!L243</f>
        <v>9.8</v>
      </c>
      <c r="M244" s="19">
        <f>Ringkasan!M243</f>
        <v>-18.8</v>
      </c>
      <c r="N244" s="64">
        <f>Ringkasan!N243</f>
        <v>1.43</v>
      </c>
      <c r="O244" s="64">
        <f>Ringkasan!O243</f>
        <v>16.05</v>
      </c>
      <c r="P244" s="64">
        <f>Ringkasan!P243</f>
        <v>93.67</v>
      </c>
      <c r="Q244" s="64">
        <f>Ringkasan!Q243</f>
        <v>4.24</v>
      </c>
      <c r="R244" s="64">
        <f>Ringkasan!R243</f>
        <v>119.55</v>
      </c>
      <c r="S244" s="64">
        <f>Ringkasan!S243</f>
        <v>127.78</v>
      </c>
      <c r="T244" s="64">
        <f>Ringkasan!T243</f>
        <v>19</v>
      </c>
      <c r="U244" s="64">
        <f>Ringkasan!U243</f>
        <v>52</v>
      </c>
      <c r="V244" s="64">
        <f>Ringkasan!V243</f>
        <v>3.85</v>
      </c>
      <c r="W244" s="64">
        <f>Ringkasan!W243</f>
        <v>52</v>
      </c>
      <c r="X244" s="64">
        <f>Ringkasan!X243</f>
        <v>55</v>
      </c>
      <c r="Y244" s="64">
        <f>Ringkasan!Y243</f>
        <v>52</v>
      </c>
      <c r="Z244" s="64">
        <f>Ringkasan!Z243</f>
        <v>79074300</v>
      </c>
      <c r="AA244" s="64" t="str">
        <f>Ringkasan!AA243</f>
        <v>Banks</v>
      </c>
      <c r="AB244" s="64" t="str">
        <f>Ringkasan!AB243</f>
        <v>Financials</v>
      </c>
    </row>
    <row r="245" hidden="1">
      <c r="A245" s="64" t="str">
        <f>Ringkasan!A244</f>
        <v>BBLD</v>
      </c>
      <c r="B245" s="64" t="str">
        <f>Ringkasan!B244</f>
        <v>Buana Finance Tbk.</v>
      </c>
      <c r="C245" s="65">
        <f>Ringkasan!C244</f>
        <v>575</v>
      </c>
      <c r="D245" s="64" t="str">
        <f>Ringkasan!D244</f>
        <v>#N/A</v>
      </c>
      <c r="E245" s="64" t="str">
        <f>Ringkasan!E244</f>
        <v/>
      </c>
      <c r="F245" s="64" t="str">
        <f>Ringkasan!F244</f>
        <v/>
      </c>
      <c r="G245" s="64">
        <f>Ringkasan!G244</f>
        <v>0</v>
      </c>
      <c r="H245" s="19">
        <f>Ringkasan!H244</f>
        <v>190</v>
      </c>
      <c r="I245" s="19">
        <f>Ringkasan!I244</f>
        <v>0.74</v>
      </c>
      <c r="J245" s="19">
        <f>Ringkasan!J244</f>
        <v>0.38</v>
      </c>
      <c r="K245" s="19">
        <f>Ringkasan!K244</f>
        <v>0.08</v>
      </c>
      <c r="L245" s="19">
        <f>Ringkasan!L244</f>
        <v>4.1</v>
      </c>
      <c r="M245" s="19">
        <f>Ringkasan!M244</f>
        <v>2.6</v>
      </c>
      <c r="N245" s="64" t="str">
        <f>Ringkasan!N244</f>
        <v/>
      </c>
      <c r="O245" s="64" t="str">
        <f>Ringkasan!O244</f>
        <v/>
      </c>
      <c r="P245" s="64" t="str">
        <f>Ringkasan!P244</f>
        <v/>
      </c>
      <c r="Q245" s="64" t="str">
        <f>Ringkasan!Q244</f>
        <v/>
      </c>
      <c r="R245" s="64" t="str">
        <f>Ringkasan!R244</f>
        <v/>
      </c>
      <c r="S245" s="64" t="str">
        <f>Ringkasan!S244</f>
        <v/>
      </c>
      <c r="T245" s="64" t="str">
        <f>Ringkasan!T244</f>
        <v/>
      </c>
      <c r="U245" s="64">
        <f>Ringkasan!U244</f>
        <v>575</v>
      </c>
      <c r="V245" s="64">
        <f>Ringkasan!V244</f>
        <v>0</v>
      </c>
      <c r="W245" s="64">
        <f>Ringkasan!W244</f>
        <v>565</v>
      </c>
      <c r="X245" s="64">
        <f>Ringkasan!X244</f>
        <v>575</v>
      </c>
      <c r="Y245" s="64">
        <f>Ringkasan!Y244</f>
        <v>555</v>
      </c>
      <c r="Z245" s="64">
        <f>Ringkasan!Z244</f>
        <v>3100</v>
      </c>
      <c r="AA245" s="64" t="str">
        <f>Ringkasan!AA244</f>
        <v>Consumer Financing</v>
      </c>
      <c r="AB245" s="64" t="str">
        <f>Ringkasan!AB244</f>
        <v>Financials</v>
      </c>
    </row>
    <row r="246" hidden="1">
      <c r="A246" s="64" t="str">
        <f>Ringkasan!A1018</f>
        <v>JSMR</v>
      </c>
      <c r="B246" s="64" t="str">
        <f>Ringkasan!B1018</f>
        <v>Jasa Marga (Persero) Tbk.</v>
      </c>
      <c r="C246" s="65">
        <f>Ringkasan!C1018</f>
        <v>2600</v>
      </c>
      <c r="D246" s="64" t="str">
        <f>Ringkasan!D1018</f>
        <v>#N/A</v>
      </c>
      <c r="E246" s="64" t="str">
        <f>Ringkasan!E1018</f>
        <v>FTSE Large Cap</v>
      </c>
      <c r="F246" s="64" t="str">
        <f>Ringkasan!F1018</f>
        <v>Juni 2026</v>
      </c>
      <c r="G246" s="64">
        <f>Ringkasan!G1018</f>
        <v>17</v>
      </c>
      <c r="H246" s="19">
        <f>Ringkasan!H1018</f>
        <v>6.2</v>
      </c>
      <c r="I246" s="19">
        <f>Ringkasan!I1018</f>
        <v>0.34</v>
      </c>
      <c r="J246" s="19">
        <f>Ringkasan!J1018</f>
        <v>5.5</v>
      </c>
      <c r="K246" s="19">
        <f>Ringkasan!K1018</f>
        <v>2.2</v>
      </c>
      <c r="L246" s="19">
        <f>Ringkasan!L1018</f>
        <v>1.5</v>
      </c>
      <c r="M246" s="19">
        <f>Ringkasan!M1018</f>
        <v>54.4</v>
      </c>
      <c r="N246" s="64" t="str">
        <f>Ringkasan!N1018</f>
        <v/>
      </c>
      <c r="O246" s="64" t="str">
        <f>Ringkasan!O1018</f>
        <v/>
      </c>
      <c r="P246" s="64" t="str">
        <f>Ringkasan!P1018</f>
        <v/>
      </c>
      <c r="Q246" s="64" t="str">
        <f>Ringkasan!Q1018</f>
        <v/>
      </c>
      <c r="R246" s="64" t="str">
        <f>Ringkasan!R1018</f>
        <v/>
      </c>
      <c r="S246" s="64" t="str">
        <f>Ringkasan!S1018</f>
        <v/>
      </c>
      <c r="T246" s="64" t="str">
        <f>Ringkasan!T1018</f>
        <v/>
      </c>
      <c r="U246" s="64">
        <f>Ringkasan!U1018</f>
        <v>2620</v>
      </c>
      <c r="V246" s="64">
        <f>Ringkasan!V1018</f>
        <v>-0.76</v>
      </c>
      <c r="W246" s="64">
        <f>Ringkasan!W1018</f>
        <v>2630</v>
      </c>
      <c r="X246" s="64">
        <f>Ringkasan!X1018</f>
        <v>2650</v>
      </c>
      <c r="Y246" s="64">
        <f>Ringkasan!Y1018</f>
        <v>2600</v>
      </c>
      <c r="Z246" s="64">
        <f>Ringkasan!Z1018</f>
        <v>9670400</v>
      </c>
      <c r="AA246" s="64" t="str">
        <f>Ringkasan!AA1018</f>
        <v>Transport Infrastructure Operator</v>
      </c>
      <c r="AB246" s="64" t="str">
        <f>Ringkasan!AB1018</f>
        <v>Infrastructures</v>
      </c>
    </row>
    <row r="247">
      <c r="A247" s="64" t="str">
        <f>Ringkasan!A247</f>
        <v>BBNI</v>
      </c>
      <c r="B247" s="60" t="str">
        <f>Ringkasan!B247</f>
        <v>PT Bank Negara Indonesia (Persero) Tbk</v>
      </c>
      <c r="C247" s="61">
        <f>Ringkasan!C247</f>
        <v>3560</v>
      </c>
      <c r="D247" s="60" t="str">
        <f>Ringkasan!D247</f>
        <v>#N/A</v>
      </c>
      <c r="E247" s="60" t="str">
        <f>Ringkasan!E247</f>
        <v>MSCI Global Standard</v>
      </c>
      <c r="F247" s="60" t="str">
        <f>Ringkasan!F247</f>
        <v>12 Agustus 2026</v>
      </c>
      <c r="G247" s="60">
        <f>Ringkasan!G247</f>
        <v>22</v>
      </c>
      <c r="H247" s="62">
        <f>Ringkasan!H247</f>
        <v>6.8</v>
      </c>
      <c r="I247" s="62">
        <f>Ringkasan!I247</f>
        <v>0.83</v>
      </c>
      <c r="J247" s="62">
        <f>Ringkasan!J247</f>
        <v>12.3</v>
      </c>
      <c r="K247" s="62">
        <f>Ringkasan!K247</f>
        <v>1.4</v>
      </c>
      <c r="L247" s="62">
        <f>Ringkasan!L247</f>
        <v>7.6</v>
      </c>
      <c r="M247" s="62">
        <f>Ringkasan!M247</f>
        <v>89.9</v>
      </c>
      <c r="N247" s="60">
        <f>Ringkasan!N247</f>
        <v>3.8</v>
      </c>
      <c r="O247" s="60">
        <f>Ringkasan!O247</f>
        <v>20.7</v>
      </c>
      <c r="P247" s="60">
        <f>Ringkasan!P247</f>
        <v>86.4</v>
      </c>
      <c r="Q247" s="60">
        <f>Ringkasan!Q247</f>
        <v>1.9</v>
      </c>
      <c r="R247" s="60">
        <f>Ringkasan!R247</f>
        <v>72.9</v>
      </c>
      <c r="S247" s="60">
        <f>Ringkasan!S247</f>
        <v>46.5</v>
      </c>
      <c r="T247" s="60">
        <f>Ringkasan!T247</f>
        <v>8.5</v>
      </c>
      <c r="U247" s="60">
        <f>Ringkasan!U247</f>
        <v>3500</v>
      </c>
      <c r="V247" s="60">
        <f>Ringkasan!V247</f>
        <v>1.71</v>
      </c>
      <c r="W247" s="60">
        <f>Ringkasan!W247</f>
        <v>3570</v>
      </c>
      <c r="X247" s="60">
        <f>Ringkasan!X247</f>
        <v>3650</v>
      </c>
      <c r="Y247" s="60">
        <f>Ringkasan!Y247</f>
        <v>3520</v>
      </c>
      <c r="Z247" s="60">
        <f>Ringkasan!Z247</f>
        <v>74824100</v>
      </c>
      <c r="AA247" s="60" t="str">
        <f>Ringkasan!AA247</f>
        <v>Banks</v>
      </c>
      <c r="AB247" s="64" t="str">
        <f>Ringkasan!AB247</f>
        <v>Financials</v>
      </c>
    </row>
    <row r="248">
      <c r="A248" s="64" t="str">
        <f>Ringkasan!A248</f>
        <v>BBNI</v>
      </c>
      <c r="B248" s="60" t="str">
        <f>Ringkasan!B248</f>
        <v>PT Bank Negara Indonesia (Persero) Tbk</v>
      </c>
      <c r="C248" s="61">
        <f>Ringkasan!C248</f>
        <v>3560</v>
      </c>
      <c r="D248" s="60" t="str">
        <f>Ringkasan!D248</f>
        <v>#N/A</v>
      </c>
      <c r="E248" s="60" t="str">
        <f>Ringkasan!E248</f>
        <v>IDXG30</v>
      </c>
      <c r="F248" s="60" t="str">
        <f>Ringkasan!F248</f>
        <v>4 Agustus 2026</v>
      </c>
      <c r="G248" s="60">
        <f>Ringkasan!G248</f>
        <v>22</v>
      </c>
      <c r="H248" s="62">
        <f>Ringkasan!H248</f>
        <v>6.8</v>
      </c>
      <c r="I248" s="62">
        <f>Ringkasan!I248</f>
        <v>0.83</v>
      </c>
      <c r="J248" s="62">
        <f>Ringkasan!J248</f>
        <v>12.3</v>
      </c>
      <c r="K248" s="62">
        <f>Ringkasan!K248</f>
        <v>1.4</v>
      </c>
      <c r="L248" s="62">
        <f>Ringkasan!L248</f>
        <v>7.6</v>
      </c>
      <c r="M248" s="62">
        <f>Ringkasan!M248</f>
        <v>89.9</v>
      </c>
      <c r="N248" s="60">
        <f>Ringkasan!N248</f>
        <v>3.8</v>
      </c>
      <c r="O248" s="60">
        <f>Ringkasan!O248</f>
        <v>20.7</v>
      </c>
      <c r="P248" s="60">
        <f>Ringkasan!P248</f>
        <v>86.4</v>
      </c>
      <c r="Q248" s="60">
        <f>Ringkasan!Q248</f>
        <v>1.9</v>
      </c>
      <c r="R248" s="60">
        <f>Ringkasan!R248</f>
        <v>72.9</v>
      </c>
      <c r="S248" s="60">
        <f>Ringkasan!S248</f>
        <v>46.5</v>
      </c>
      <c r="T248" s="60">
        <f>Ringkasan!T248</f>
        <v>8.5</v>
      </c>
      <c r="U248" s="60">
        <f>Ringkasan!U248</f>
        <v>3500</v>
      </c>
      <c r="V248" s="60">
        <f>Ringkasan!V248</f>
        <v>1.71</v>
      </c>
      <c r="W248" s="60">
        <f>Ringkasan!W248</f>
        <v>3570</v>
      </c>
      <c r="X248" s="60">
        <f>Ringkasan!X248</f>
        <v>3650</v>
      </c>
      <c r="Y248" s="60">
        <f>Ringkasan!Y248</f>
        <v>3520</v>
      </c>
      <c r="Z248" s="60">
        <f>Ringkasan!Z248</f>
        <v>74824100</v>
      </c>
      <c r="AA248" s="60" t="str">
        <f>Ringkasan!AA248</f>
        <v>Banks</v>
      </c>
      <c r="AB248" s="64" t="str">
        <f>Ringkasan!AB248</f>
        <v>Financials</v>
      </c>
    </row>
    <row r="249">
      <c r="A249" s="64" t="str">
        <f>Ringkasan!A249</f>
        <v>BBNI</v>
      </c>
      <c r="B249" s="60" t="str">
        <f>Ringkasan!B249</f>
        <v>PT Bank Negara Indonesia (Persero) Tbk</v>
      </c>
      <c r="C249" s="61">
        <f>Ringkasan!C249</f>
        <v>3560</v>
      </c>
      <c r="D249" s="60" t="str">
        <f>Ringkasan!D249</f>
        <v>#N/A</v>
      </c>
      <c r="E249" s="60" t="str">
        <f>Ringkasan!E249</f>
        <v>Infobank15</v>
      </c>
      <c r="F249" s="60" t="str">
        <f>Ringkasan!F249</f>
        <v>30 Juni 2026</v>
      </c>
      <c r="G249" s="60">
        <f>Ringkasan!G249</f>
        <v>22</v>
      </c>
      <c r="H249" s="62">
        <f>Ringkasan!H249</f>
        <v>6.8</v>
      </c>
      <c r="I249" s="62">
        <f>Ringkasan!I249</f>
        <v>0.83</v>
      </c>
      <c r="J249" s="62">
        <f>Ringkasan!J249</f>
        <v>12.3</v>
      </c>
      <c r="K249" s="62">
        <f>Ringkasan!K249</f>
        <v>1.4</v>
      </c>
      <c r="L249" s="62">
        <f>Ringkasan!L249</f>
        <v>7.6</v>
      </c>
      <c r="M249" s="62">
        <f>Ringkasan!M249</f>
        <v>89.9</v>
      </c>
      <c r="N249" s="60">
        <f>Ringkasan!N249</f>
        <v>3.8</v>
      </c>
      <c r="O249" s="60">
        <f>Ringkasan!O249</f>
        <v>20.7</v>
      </c>
      <c r="P249" s="60">
        <f>Ringkasan!P249</f>
        <v>86.4</v>
      </c>
      <c r="Q249" s="60">
        <f>Ringkasan!Q249</f>
        <v>1.9</v>
      </c>
      <c r="R249" s="60">
        <f>Ringkasan!R249</f>
        <v>72.9</v>
      </c>
      <c r="S249" s="60">
        <f>Ringkasan!S249</f>
        <v>46.5</v>
      </c>
      <c r="T249" s="60">
        <f>Ringkasan!T249</f>
        <v>8.5</v>
      </c>
      <c r="U249" s="60">
        <f>Ringkasan!U249</f>
        <v>3500</v>
      </c>
      <c r="V249" s="60">
        <f>Ringkasan!V249</f>
        <v>1.71</v>
      </c>
      <c r="W249" s="60">
        <f>Ringkasan!W249</f>
        <v>3570</v>
      </c>
      <c r="X249" s="60">
        <f>Ringkasan!X249</f>
        <v>3650</v>
      </c>
      <c r="Y249" s="60">
        <f>Ringkasan!Y249</f>
        <v>3520</v>
      </c>
      <c r="Z249" s="60">
        <f>Ringkasan!Z249</f>
        <v>74824100</v>
      </c>
      <c r="AA249" s="60" t="str">
        <f>Ringkasan!AA249</f>
        <v>Banks</v>
      </c>
      <c r="AB249" s="64" t="str">
        <f>Ringkasan!AB249</f>
        <v>Financials</v>
      </c>
    </row>
    <row r="250">
      <c r="A250" s="64" t="str">
        <f>Ringkasan!A250</f>
        <v>BBNI</v>
      </c>
      <c r="B250" s="60" t="str">
        <f>Ringkasan!B250</f>
        <v>PT Bank Negara Indonesia (Persero) Tbk</v>
      </c>
      <c r="C250" s="61">
        <f>Ringkasan!C250</f>
        <v>3560</v>
      </c>
      <c r="D250" s="60" t="str">
        <f>Ringkasan!D250</f>
        <v>#N/A</v>
      </c>
      <c r="E250" s="60" t="str">
        <f>Ringkasan!E250</f>
        <v>IDXESGL</v>
      </c>
      <c r="F250" s="60" t="str">
        <f>Ringkasan!F250</f>
        <v>30 Oktober 2026</v>
      </c>
      <c r="G250" s="60">
        <f>Ringkasan!G250</f>
        <v>22</v>
      </c>
      <c r="H250" s="62">
        <f>Ringkasan!H250</f>
        <v>6.8</v>
      </c>
      <c r="I250" s="62">
        <f>Ringkasan!I250</f>
        <v>0.83</v>
      </c>
      <c r="J250" s="62">
        <f>Ringkasan!J250</f>
        <v>12.3</v>
      </c>
      <c r="K250" s="62">
        <f>Ringkasan!K250</f>
        <v>1.4</v>
      </c>
      <c r="L250" s="62">
        <f>Ringkasan!L250</f>
        <v>7.6</v>
      </c>
      <c r="M250" s="62">
        <f>Ringkasan!M250</f>
        <v>89.9</v>
      </c>
      <c r="N250" s="60">
        <f>Ringkasan!N250</f>
        <v>3.8</v>
      </c>
      <c r="O250" s="60">
        <f>Ringkasan!O250</f>
        <v>20.7</v>
      </c>
      <c r="P250" s="60">
        <f>Ringkasan!P250</f>
        <v>86.4</v>
      </c>
      <c r="Q250" s="60">
        <f>Ringkasan!Q250</f>
        <v>1.9</v>
      </c>
      <c r="R250" s="60">
        <f>Ringkasan!R250</f>
        <v>72.9</v>
      </c>
      <c r="S250" s="60">
        <f>Ringkasan!S250</f>
        <v>46.5</v>
      </c>
      <c r="T250" s="60">
        <f>Ringkasan!T250</f>
        <v>8.5</v>
      </c>
      <c r="U250" s="60">
        <f>Ringkasan!U250</f>
        <v>3500</v>
      </c>
      <c r="V250" s="60">
        <f>Ringkasan!V250</f>
        <v>1.71</v>
      </c>
      <c r="W250" s="60">
        <f>Ringkasan!W250</f>
        <v>3570</v>
      </c>
      <c r="X250" s="60">
        <f>Ringkasan!X250</f>
        <v>3650</v>
      </c>
      <c r="Y250" s="60">
        <f>Ringkasan!Y250</f>
        <v>3520</v>
      </c>
      <c r="Z250" s="60">
        <f>Ringkasan!Z250</f>
        <v>74824100</v>
      </c>
      <c r="AA250" s="60" t="str">
        <f>Ringkasan!AA250</f>
        <v>Banks</v>
      </c>
      <c r="AB250" s="64" t="str">
        <f>Ringkasan!AB250</f>
        <v>Financials</v>
      </c>
    </row>
    <row r="251">
      <c r="A251" s="64" t="str">
        <f>Ringkasan!A251</f>
        <v>BBNI</v>
      </c>
      <c r="B251" s="60" t="str">
        <f>Ringkasan!B251</f>
        <v>PT Bank Negara Indonesia (Persero) Tbk</v>
      </c>
      <c r="C251" s="61">
        <f>Ringkasan!C251</f>
        <v>3560</v>
      </c>
      <c r="D251" s="60" t="str">
        <f>Ringkasan!D251</f>
        <v>#N/A</v>
      </c>
      <c r="E251" s="60" t="str">
        <f>Ringkasan!E251</f>
        <v>IDX80</v>
      </c>
      <c r="F251" s="60" t="str">
        <f>Ringkasan!F251</f>
        <v>31 Juli 2026</v>
      </c>
      <c r="G251" s="60">
        <f>Ringkasan!G251</f>
        <v>22</v>
      </c>
      <c r="H251" s="62">
        <f>Ringkasan!H251</f>
        <v>6.8</v>
      </c>
      <c r="I251" s="62">
        <f>Ringkasan!I251</f>
        <v>0.83</v>
      </c>
      <c r="J251" s="62">
        <f>Ringkasan!J251</f>
        <v>12.3</v>
      </c>
      <c r="K251" s="62">
        <f>Ringkasan!K251</f>
        <v>1.4</v>
      </c>
      <c r="L251" s="62">
        <f>Ringkasan!L251</f>
        <v>7.6</v>
      </c>
      <c r="M251" s="62">
        <f>Ringkasan!M251</f>
        <v>89.9</v>
      </c>
      <c r="N251" s="60">
        <f>Ringkasan!N251</f>
        <v>3.8</v>
      </c>
      <c r="O251" s="60">
        <f>Ringkasan!O251</f>
        <v>20.7</v>
      </c>
      <c r="P251" s="60">
        <f>Ringkasan!P251</f>
        <v>86.4</v>
      </c>
      <c r="Q251" s="60">
        <f>Ringkasan!Q251</f>
        <v>1.9</v>
      </c>
      <c r="R251" s="60">
        <f>Ringkasan!R251</f>
        <v>72.9</v>
      </c>
      <c r="S251" s="60">
        <f>Ringkasan!S251</f>
        <v>46.5</v>
      </c>
      <c r="T251" s="60">
        <f>Ringkasan!T251</f>
        <v>8.5</v>
      </c>
      <c r="U251" s="60">
        <f>Ringkasan!U251</f>
        <v>3500</v>
      </c>
      <c r="V251" s="60">
        <f>Ringkasan!V251</f>
        <v>1.71</v>
      </c>
      <c r="W251" s="60">
        <f>Ringkasan!W251</f>
        <v>3570</v>
      </c>
      <c r="X251" s="60">
        <f>Ringkasan!X251</f>
        <v>3650</v>
      </c>
      <c r="Y251" s="60">
        <f>Ringkasan!Y251</f>
        <v>3520</v>
      </c>
      <c r="Z251" s="60">
        <f>Ringkasan!Z251</f>
        <v>74824100</v>
      </c>
      <c r="AA251" s="60" t="str">
        <f>Ringkasan!AA251</f>
        <v>Banks</v>
      </c>
      <c r="AB251" s="64" t="str">
        <f>Ringkasan!AB251</f>
        <v>Financials</v>
      </c>
    </row>
    <row r="252">
      <c r="A252" s="64" t="str">
        <f>Ringkasan!A252</f>
        <v>BBNI</v>
      </c>
      <c r="B252" s="60" t="str">
        <f>Ringkasan!B252</f>
        <v>PT Bank Negara Indonesia (Persero) Tbk</v>
      </c>
      <c r="C252" s="61">
        <f>Ringkasan!C252</f>
        <v>3560</v>
      </c>
      <c r="D252" s="60" t="str">
        <f>Ringkasan!D252</f>
        <v>#N/A</v>
      </c>
      <c r="E252" s="60" t="str">
        <f>Ringkasan!E252</f>
        <v>ECONOMIC30</v>
      </c>
      <c r="F252" s="60" t="str">
        <f>Ringkasan!F252</f>
        <v>31 Agustus 2026</v>
      </c>
      <c r="G252" s="60">
        <f>Ringkasan!G252</f>
        <v>22</v>
      </c>
      <c r="H252" s="62">
        <f>Ringkasan!H252</f>
        <v>6.8</v>
      </c>
      <c r="I252" s="62">
        <f>Ringkasan!I252</f>
        <v>0.83</v>
      </c>
      <c r="J252" s="62">
        <f>Ringkasan!J252</f>
        <v>12.3</v>
      </c>
      <c r="K252" s="62">
        <f>Ringkasan!K252</f>
        <v>1.4</v>
      </c>
      <c r="L252" s="62">
        <f>Ringkasan!L252</f>
        <v>7.6</v>
      </c>
      <c r="M252" s="62">
        <f>Ringkasan!M252</f>
        <v>89.9</v>
      </c>
      <c r="N252" s="60">
        <f>Ringkasan!N252</f>
        <v>3.8</v>
      </c>
      <c r="O252" s="60">
        <f>Ringkasan!O252</f>
        <v>20.7</v>
      </c>
      <c r="P252" s="60">
        <f>Ringkasan!P252</f>
        <v>86.4</v>
      </c>
      <c r="Q252" s="60">
        <f>Ringkasan!Q252</f>
        <v>1.9</v>
      </c>
      <c r="R252" s="60">
        <f>Ringkasan!R252</f>
        <v>72.9</v>
      </c>
      <c r="S252" s="60">
        <f>Ringkasan!S252</f>
        <v>46.5</v>
      </c>
      <c r="T252" s="60">
        <f>Ringkasan!T252</f>
        <v>8.5</v>
      </c>
      <c r="U252" s="60">
        <f>Ringkasan!U252</f>
        <v>3500</v>
      </c>
      <c r="V252" s="60">
        <f>Ringkasan!V252</f>
        <v>1.71</v>
      </c>
      <c r="W252" s="60">
        <f>Ringkasan!W252</f>
        <v>3570</v>
      </c>
      <c r="X252" s="60">
        <f>Ringkasan!X252</f>
        <v>3650</v>
      </c>
      <c r="Y252" s="60">
        <f>Ringkasan!Y252</f>
        <v>3520</v>
      </c>
      <c r="Z252" s="60">
        <f>Ringkasan!Z252</f>
        <v>74824100</v>
      </c>
      <c r="AA252" s="60" t="str">
        <f>Ringkasan!AA252</f>
        <v>Banks</v>
      </c>
      <c r="AB252" s="64" t="str">
        <f>Ringkasan!AB252</f>
        <v>Financials</v>
      </c>
    </row>
    <row r="253">
      <c r="A253" s="64" t="str">
        <f>Ringkasan!A253</f>
        <v>BBNI</v>
      </c>
      <c r="B253" s="60" t="str">
        <f>Ringkasan!B253</f>
        <v>PT Bank Negara Indonesia (Persero) Tbk</v>
      </c>
      <c r="C253" s="61">
        <f>Ringkasan!C253</f>
        <v>3560</v>
      </c>
      <c r="D253" s="60" t="str">
        <f>Ringkasan!D253</f>
        <v>#N/A</v>
      </c>
      <c r="E253" s="60" t="str">
        <f>Ringkasan!E253</f>
        <v>IDXHIDIV20</v>
      </c>
      <c r="F253" s="60" t="str">
        <f>Ringkasan!F253</f>
        <v>2 Februari 2027</v>
      </c>
      <c r="G253" s="60">
        <f>Ringkasan!G253</f>
        <v>22</v>
      </c>
      <c r="H253" s="62">
        <f>Ringkasan!H253</f>
        <v>6.8</v>
      </c>
      <c r="I253" s="62">
        <f>Ringkasan!I253</f>
        <v>0.83</v>
      </c>
      <c r="J253" s="62">
        <f>Ringkasan!J253</f>
        <v>12.3</v>
      </c>
      <c r="K253" s="62">
        <f>Ringkasan!K253</f>
        <v>1.4</v>
      </c>
      <c r="L253" s="62">
        <f>Ringkasan!L253</f>
        <v>7.6</v>
      </c>
      <c r="M253" s="62">
        <f>Ringkasan!M253</f>
        <v>89.9</v>
      </c>
      <c r="N253" s="60">
        <f>Ringkasan!N253</f>
        <v>3.8</v>
      </c>
      <c r="O253" s="60">
        <f>Ringkasan!O253</f>
        <v>20.7</v>
      </c>
      <c r="P253" s="60">
        <f>Ringkasan!P253</f>
        <v>86.4</v>
      </c>
      <c r="Q253" s="60">
        <f>Ringkasan!Q253</f>
        <v>1.9</v>
      </c>
      <c r="R253" s="60">
        <f>Ringkasan!R253</f>
        <v>72.9</v>
      </c>
      <c r="S253" s="60">
        <f>Ringkasan!S253</f>
        <v>46.5</v>
      </c>
      <c r="T253" s="60">
        <f>Ringkasan!T253</f>
        <v>8.5</v>
      </c>
      <c r="U253" s="60">
        <f>Ringkasan!U253</f>
        <v>3500</v>
      </c>
      <c r="V253" s="60">
        <f>Ringkasan!V253</f>
        <v>1.71</v>
      </c>
      <c r="W253" s="60">
        <f>Ringkasan!W253</f>
        <v>3570</v>
      </c>
      <c r="X253" s="60">
        <f>Ringkasan!X253</f>
        <v>3650</v>
      </c>
      <c r="Y253" s="60">
        <f>Ringkasan!Y253</f>
        <v>3520</v>
      </c>
      <c r="Z253" s="60">
        <f>Ringkasan!Z253</f>
        <v>74824100</v>
      </c>
      <c r="AA253" s="60" t="str">
        <f>Ringkasan!AA253</f>
        <v>Banks</v>
      </c>
      <c r="AB253" s="64" t="str">
        <f>Ringkasan!AB253</f>
        <v>Financials</v>
      </c>
    </row>
    <row r="254">
      <c r="A254" s="64" t="str">
        <f>Ringkasan!A254</f>
        <v>BBNI</v>
      </c>
      <c r="B254" s="60" t="str">
        <f>Ringkasan!B254</f>
        <v>PT Bank Negara Indonesia (Persero) Tbk</v>
      </c>
      <c r="C254" s="61">
        <f>Ringkasan!C254</f>
        <v>3560</v>
      </c>
      <c r="D254" s="60" t="str">
        <f>Ringkasan!D254</f>
        <v>#N/A</v>
      </c>
      <c r="E254" s="60" t="str">
        <f>Ringkasan!E254</f>
        <v>MNC36</v>
      </c>
      <c r="F254" s="60" t="str">
        <f>Ringkasan!F254</f>
        <v>30 Oktober 2026</v>
      </c>
      <c r="G254" s="60">
        <f>Ringkasan!G254</f>
        <v>22</v>
      </c>
      <c r="H254" s="62">
        <f>Ringkasan!H254</f>
        <v>6.8</v>
      </c>
      <c r="I254" s="62">
        <f>Ringkasan!I254</f>
        <v>0.83</v>
      </c>
      <c r="J254" s="62">
        <f>Ringkasan!J254</f>
        <v>12.3</v>
      </c>
      <c r="K254" s="62">
        <f>Ringkasan!K254</f>
        <v>1.4</v>
      </c>
      <c r="L254" s="62">
        <f>Ringkasan!L254</f>
        <v>7.6</v>
      </c>
      <c r="M254" s="62">
        <f>Ringkasan!M254</f>
        <v>89.9</v>
      </c>
      <c r="N254" s="60">
        <f>Ringkasan!N254</f>
        <v>3.8</v>
      </c>
      <c r="O254" s="60">
        <f>Ringkasan!O254</f>
        <v>20.7</v>
      </c>
      <c r="P254" s="60">
        <f>Ringkasan!P254</f>
        <v>86.4</v>
      </c>
      <c r="Q254" s="60">
        <f>Ringkasan!Q254</f>
        <v>1.9</v>
      </c>
      <c r="R254" s="60">
        <f>Ringkasan!R254</f>
        <v>72.9</v>
      </c>
      <c r="S254" s="60">
        <f>Ringkasan!S254</f>
        <v>46.5</v>
      </c>
      <c r="T254" s="60">
        <f>Ringkasan!T254</f>
        <v>8.5</v>
      </c>
      <c r="U254" s="60">
        <f>Ringkasan!U254</f>
        <v>3500</v>
      </c>
      <c r="V254" s="60">
        <f>Ringkasan!V254</f>
        <v>1.71</v>
      </c>
      <c r="W254" s="60">
        <f>Ringkasan!W254</f>
        <v>3570</v>
      </c>
      <c r="X254" s="60">
        <f>Ringkasan!X254</f>
        <v>3650</v>
      </c>
      <c r="Y254" s="60">
        <f>Ringkasan!Y254</f>
        <v>3520</v>
      </c>
      <c r="Z254" s="60">
        <f>Ringkasan!Z254</f>
        <v>74824100</v>
      </c>
      <c r="AA254" s="60" t="str">
        <f>Ringkasan!AA254</f>
        <v>Banks</v>
      </c>
      <c r="AB254" s="64" t="str">
        <f>Ringkasan!AB254</f>
        <v>Financials</v>
      </c>
    </row>
    <row r="255">
      <c r="A255" s="64" t="str">
        <f>Ringkasan!A255</f>
        <v>BBNI</v>
      </c>
      <c r="B255" s="60" t="str">
        <f>Ringkasan!B255</f>
        <v>PT Bank Negara Indonesia (Persero) Tbk</v>
      </c>
      <c r="C255" s="61">
        <f>Ringkasan!C255</f>
        <v>3560</v>
      </c>
      <c r="D255" s="60" t="str">
        <f>Ringkasan!D255</f>
        <v>#N/A</v>
      </c>
      <c r="E255" s="60" t="str">
        <f>Ringkasan!E255</f>
        <v>LQ45</v>
      </c>
      <c r="F255" s="60" t="str">
        <f>Ringkasan!F255</f>
        <v>31 Juli 2026</v>
      </c>
      <c r="G255" s="60">
        <f>Ringkasan!G255</f>
        <v>22</v>
      </c>
      <c r="H255" s="62">
        <f>Ringkasan!H255</f>
        <v>6.8</v>
      </c>
      <c r="I255" s="62">
        <f>Ringkasan!I255</f>
        <v>0.83</v>
      </c>
      <c r="J255" s="62">
        <f>Ringkasan!J255</f>
        <v>12.3</v>
      </c>
      <c r="K255" s="62">
        <f>Ringkasan!K255</f>
        <v>1.4</v>
      </c>
      <c r="L255" s="62">
        <f>Ringkasan!L255</f>
        <v>7.6</v>
      </c>
      <c r="M255" s="62">
        <f>Ringkasan!M255</f>
        <v>89.9</v>
      </c>
      <c r="N255" s="60">
        <f>Ringkasan!N255</f>
        <v>3.8</v>
      </c>
      <c r="O255" s="60">
        <f>Ringkasan!O255</f>
        <v>20.7</v>
      </c>
      <c r="P255" s="60">
        <f>Ringkasan!P255</f>
        <v>86.4</v>
      </c>
      <c r="Q255" s="60">
        <f>Ringkasan!Q255</f>
        <v>1.9</v>
      </c>
      <c r="R255" s="60">
        <f>Ringkasan!R255</f>
        <v>72.9</v>
      </c>
      <c r="S255" s="60">
        <f>Ringkasan!S255</f>
        <v>46.5</v>
      </c>
      <c r="T255" s="60">
        <f>Ringkasan!T255</f>
        <v>8.5</v>
      </c>
      <c r="U255" s="60">
        <f>Ringkasan!U255</f>
        <v>3500</v>
      </c>
      <c r="V255" s="60">
        <f>Ringkasan!V255</f>
        <v>1.71</v>
      </c>
      <c r="W255" s="60">
        <f>Ringkasan!W255</f>
        <v>3570</v>
      </c>
      <c r="X255" s="60">
        <f>Ringkasan!X255</f>
        <v>3650</v>
      </c>
      <c r="Y255" s="60">
        <f>Ringkasan!Y255</f>
        <v>3520</v>
      </c>
      <c r="Z255" s="60">
        <f>Ringkasan!Z255</f>
        <v>74824100</v>
      </c>
      <c r="AA255" s="60" t="str">
        <f>Ringkasan!AA255</f>
        <v>Banks</v>
      </c>
      <c r="AB255" s="64" t="str">
        <f>Ringkasan!AB255</f>
        <v>Financials</v>
      </c>
    </row>
    <row r="256">
      <c r="A256" s="64" t="str">
        <f>Ringkasan!A256</f>
        <v>BBNI</v>
      </c>
      <c r="B256" s="60" t="str">
        <f>Ringkasan!B256</f>
        <v>PT Bank Negara Indonesia (Persero) Tbk</v>
      </c>
      <c r="C256" s="61">
        <f>Ringkasan!C256</f>
        <v>3560</v>
      </c>
      <c r="D256" s="60" t="str">
        <f>Ringkasan!D256</f>
        <v>#N/A</v>
      </c>
      <c r="E256" s="60" t="str">
        <f>Ringkasan!E256</f>
        <v>Kompas100</v>
      </c>
      <c r="F256" s="60" t="str">
        <f>Ringkasan!F256</f>
        <v>31 Juli 2026</v>
      </c>
      <c r="G256" s="60">
        <f>Ringkasan!G256</f>
        <v>22</v>
      </c>
      <c r="H256" s="62">
        <f>Ringkasan!H256</f>
        <v>6.8</v>
      </c>
      <c r="I256" s="62">
        <f>Ringkasan!I256</f>
        <v>0.83</v>
      </c>
      <c r="J256" s="62">
        <f>Ringkasan!J256</f>
        <v>12.3</v>
      </c>
      <c r="K256" s="62">
        <f>Ringkasan!K256</f>
        <v>1.4</v>
      </c>
      <c r="L256" s="62">
        <f>Ringkasan!L256</f>
        <v>7.6</v>
      </c>
      <c r="M256" s="62">
        <f>Ringkasan!M256</f>
        <v>89.9</v>
      </c>
      <c r="N256" s="60">
        <f>Ringkasan!N256</f>
        <v>3.8</v>
      </c>
      <c r="O256" s="60">
        <f>Ringkasan!O256</f>
        <v>20.7</v>
      </c>
      <c r="P256" s="60">
        <f>Ringkasan!P256</f>
        <v>86.4</v>
      </c>
      <c r="Q256" s="60">
        <f>Ringkasan!Q256</f>
        <v>1.9</v>
      </c>
      <c r="R256" s="60">
        <f>Ringkasan!R256</f>
        <v>72.9</v>
      </c>
      <c r="S256" s="60">
        <f>Ringkasan!S256</f>
        <v>46.5</v>
      </c>
      <c r="T256" s="60">
        <f>Ringkasan!T256</f>
        <v>8.5</v>
      </c>
      <c r="U256" s="60">
        <f>Ringkasan!U256</f>
        <v>3500</v>
      </c>
      <c r="V256" s="60">
        <f>Ringkasan!V256</f>
        <v>1.71</v>
      </c>
      <c r="W256" s="60">
        <f>Ringkasan!W256</f>
        <v>3570</v>
      </c>
      <c r="X256" s="60">
        <f>Ringkasan!X256</f>
        <v>3650</v>
      </c>
      <c r="Y256" s="60">
        <f>Ringkasan!Y256</f>
        <v>3520</v>
      </c>
      <c r="Z256" s="60">
        <f>Ringkasan!Z256</f>
        <v>74824100</v>
      </c>
      <c r="AA256" s="60" t="str">
        <f>Ringkasan!AA256</f>
        <v>Banks</v>
      </c>
      <c r="AB256" s="64" t="str">
        <f>Ringkasan!AB256</f>
        <v>Financials</v>
      </c>
    </row>
    <row r="257">
      <c r="A257" s="64" t="str">
        <f>Ringkasan!A257</f>
        <v>BBNI</v>
      </c>
      <c r="B257" s="60" t="str">
        <f>Ringkasan!B257</f>
        <v>PT Bank Negara Indonesia (Persero) Tbk</v>
      </c>
      <c r="C257" s="61">
        <f>Ringkasan!C257</f>
        <v>3560</v>
      </c>
      <c r="D257" s="60" t="str">
        <f>Ringkasan!D257</f>
        <v>#N/A</v>
      </c>
      <c r="E257" s="60" t="str">
        <f>Ringkasan!E257</f>
        <v>IDX30</v>
      </c>
      <c r="F257" s="60" t="str">
        <f>Ringkasan!F257</f>
        <v>31 Juli 2026</v>
      </c>
      <c r="G257" s="60">
        <f>Ringkasan!G257</f>
        <v>22</v>
      </c>
      <c r="H257" s="62">
        <f>Ringkasan!H257</f>
        <v>6.8</v>
      </c>
      <c r="I257" s="62">
        <f>Ringkasan!I257</f>
        <v>0.83</v>
      </c>
      <c r="J257" s="62">
        <f>Ringkasan!J257</f>
        <v>12.3</v>
      </c>
      <c r="K257" s="62">
        <f>Ringkasan!K257</f>
        <v>1.4</v>
      </c>
      <c r="L257" s="62">
        <f>Ringkasan!L257</f>
        <v>7.6</v>
      </c>
      <c r="M257" s="62">
        <f>Ringkasan!M257</f>
        <v>89.9</v>
      </c>
      <c r="N257" s="60">
        <f>Ringkasan!N257</f>
        <v>3.8</v>
      </c>
      <c r="O257" s="60">
        <f>Ringkasan!O257</f>
        <v>20.7</v>
      </c>
      <c r="P257" s="60">
        <f>Ringkasan!P257</f>
        <v>86.4</v>
      </c>
      <c r="Q257" s="60">
        <f>Ringkasan!Q257</f>
        <v>1.9</v>
      </c>
      <c r="R257" s="60">
        <f>Ringkasan!R257</f>
        <v>72.9</v>
      </c>
      <c r="S257" s="60">
        <f>Ringkasan!S257</f>
        <v>46.5</v>
      </c>
      <c r="T257" s="60">
        <f>Ringkasan!T257</f>
        <v>8.5</v>
      </c>
      <c r="U257" s="60">
        <f>Ringkasan!U257</f>
        <v>3500</v>
      </c>
      <c r="V257" s="60">
        <f>Ringkasan!V257</f>
        <v>1.71</v>
      </c>
      <c r="W257" s="60">
        <f>Ringkasan!W257</f>
        <v>3570</v>
      </c>
      <c r="X257" s="60">
        <f>Ringkasan!X257</f>
        <v>3650</v>
      </c>
      <c r="Y257" s="60">
        <f>Ringkasan!Y257</f>
        <v>3520</v>
      </c>
      <c r="Z257" s="60">
        <f>Ringkasan!Z257</f>
        <v>74824100</v>
      </c>
      <c r="AA257" s="60" t="str">
        <f>Ringkasan!AA257</f>
        <v>Banks</v>
      </c>
      <c r="AB257" s="64" t="str">
        <f>Ringkasan!AB257</f>
        <v>Financials</v>
      </c>
    </row>
    <row r="258">
      <c r="A258" s="64" t="str">
        <f>Ringkasan!A258</f>
        <v>BBNI</v>
      </c>
      <c r="B258" s="60" t="str">
        <f>Ringkasan!B258</f>
        <v>PT Bank Negara Indonesia (Persero) Tbk</v>
      </c>
      <c r="C258" s="61">
        <f>Ringkasan!C258</f>
        <v>3560</v>
      </c>
      <c r="D258" s="60" t="str">
        <f>Ringkasan!D258</f>
        <v>#N/A</v>
      </c>
      <c r="E258" s="60" t="str">
        <f>Ringkasan!E258</f>
        <v>BISNIS-27</v>
      </c>
      <c r="F258" s="60" t="str">
        <f>Ringkasan!F258</f>
        <v>30 Oktober 2026</v>
      </c>
      <c r="G258" s="60">
        <f>Ringkasan!G258</f>
        <v>22</v>
      </c>
      <c r="H258" s="62">
        <f>Ringkasan!H258</f>
        <v>6.8</v>
      </c>
      <c r="I258" s="62">
        <f>Ringkasan!I258</f>
        <v>0.83</v>
      </c>
      <c r="J258" s="62">
        <f>Ringkasan!J258</f>
        <v>12.3</v>
      </c>
      <c r="K258" s="62">
        <f>Ringkasan!K258</f>
        <v>1.4</v>
      </c>
      <c r="L258" s="62">
        <f>Ringkasan!L258</f>
        <v>7.6</v>
      </c>
      <c r="M258" s="62">
        <f>Ringkasan!M258</f>
        <v>89.9</v>
      </c>
      <c r="N258" s="60">
        <f>Ringkasan!N258</f>
        <v>3.8</v>
      </c>
      <c r="O258" s="60">
        <f>Ringkasan!O258</f>
        <v>20.7</v>
      </c>
      <c r="P258" s="60">
        <f>Ringkasan!P258</f>
        <v>86.4</v>
      </c>
      <c r="Q258" s="60">
        <f>Ringkasan!Q258</f>
        <v>1.9</v>
      </c>
      <c r="R258" s="60">
        <f>Ringkasan!R258</f>
        <v>72.9</v>
      </c>
      <c r="S258" s="60">
        <f>Ringkasan!S258</f>
        <v>46.5</v>
      </c>
      <c r="T258" s="60">
        <f>Ringkasan!T258</f>
        <v>8.5</v>
      </c>
      <c r="U258" s="60">
        <f>Ringkasan!U258</f>
        <v>3500</v>
      </c>
      <c r="V258" s="60">
        <f>Ringkasan!V258</f>
        <v>1.71</v>
      </c>
      <c r="W258" s="60">
        <f>Ringkasan!W258</f>
        <v>3570</v>
      </c>
      <c r="X258" s="60">
        <f>Ringkasan!X258</f>
        <v>3650</v>
      </c>
      <c r="Y258" s="60">
        <f>Ringkasan!Y258</f>
        <v>3520</v>
      </c>
      <c r="Z258" s="60">
        <f>Ringkasan!Z258</f>
        <v>74824100</v>
      </c>
      <c r="AA258" s="60" t="str">
        <f>Ringkasan!AA258</f>
        <v>Banks</v>
      </c>
      <c r="AB258" s="64" t="str">
        <f>Ringkasan!AB258</f>
        <v>Financials</v>
      </c>
    </row>
    <row r="259">
      <c r="A259" s="64" t="str">
        <f>Ringkasan!A259</f>
        <v>BBNI</v>
      </c>
      <c r="B259" s="60" t="str">
        <f>Ringkasan!B259</f>
        <v>PT Bank Negara Indonesia (Persero) Tbk</v>
      </c>
      <c r="C259" s="61">
        <f>Ringkasan!C259</f>
        <v>3560</v>
      </c>
      <c r="D259" s="60" t="str">
        <f>Ringkasan!D259</f>
        <v>#N/A</v>
      </c>
      <c r="E259" s="60" t="str">
        <f>Ringkasan!E259</f>
        <v>SMINFRA18</v>
      </c>
      <c r="F259" s="60" t="str">
        <f>Ringkasan!F259</f>
        <v>30 Oktober 2026</v>
      </c>
      <c r="G259" s="60">
        <f>Ringkasan!G259</f>
        <v>22</v>
      </c>
      <c r="H259" s="62">
        <f>Ringkasan!H259</f>
        <v>6.8</v>
      </c>
      <c r="I259" s="62">
        <f>Ringkasan!I259</f>
        <v>0.83</v>
      </c>
      <c r="J259" s="62">
        <f>Ringkasan!J259</f>
        <v>12.3</v>
      </c>
      <c r="K259" s="62">
        <f>Ringkasan!K259</f>
        <v>1.4</v>
      </c>
      <c r="L259" s="62">
        <f>Ringkasan!L259</f>
        <v>7.6</v>
      </c>
      <c r="M259" s="62">
        <f>Ringkasan!M259</f>
        <v>89.9</v>
      </c>
      <c r="N259" s="60">
        <f>Ringkasan!N259</f>
        <v>3.8</v>
      </c>
      <c r="O259" s="60">
        <f>Ringkasan!O259</f>
        <v>20.7</v>
      </c>
      <c r="P259" s="60">
        <f>Ringkasan!P259</f>
        <v>86.4</v>
      </c>
      <c r="Q259" s="60">
        <f>Ringkasan!Q259</f>
        <v>1.9</v>
      </c>
      <c r="R259" s="60">
        <f>Ringkasan!R259</f>
        <v>72.9</v>
      </c>
      <c r="S259" s="60">
        <f>Ringkasan!S259</f>
        <v>46.5</v>
      </c>
      <c r="T259" s="60">
        <f>Ringkasan!T259</f>
        <v>8.5</v>
      </c>
      <c r="U259" s="60">
        <f>Ringkasan!U259</f>
        <v>3500</v>
      </c>
      <c r="V259" s="60">
        <f>Ringkasan!V259</f>
        <v>1.71</v>
      </c>
      <c r="W259" s="60">
        <f>Ringkasan!W259</f>
        <v>3570</v>
      </c>
      <c r="X259" s="60">
        <f>Ringkasan!X259</f>
        <v>3650</v>
      </c>
      <c r="Y259" s="60">
        <f>Ringkasan!Y259</f>
        <v>3520</v>
      </c>
      <c r="Z259" s="60">
        <f>Ringkasan!Z259</f>
        <v>74824100</v>
      </c>
      <c r="AA259" s="60" t="str">
        <f>Ringkasan!AA259</f>
        <v>Banks</v>
      </c>
      <c r="AB259" s="64" t="str">
        <f>Ringkasan!AB259</f>
        <v>Financials</v>
      </c>
    </row>
    <row r="260">
      <c r="A260" s="64" t="str">
        <f>Ringkasan!A260</f>
        <v>BBNI</v>
      </c>
      <c r="B260" s="60" t="str">
        <f>Ringkasan!B260</f>
        <v>PT Bank Negara Indonesia (Persero) Tbk</v>
      </c>
      <c r="C260" s="61">
        <f>Ringkasan!C260</f>
        <v>3560</v>
      </c>
      <c r="D260" s="60" t="str">
        <f>Ringkasan!D260</f>
        <v>#N/A</v>
      </c>
      <c r="E260" s="60" t="str">
        <f>Ringkasan!E260</f>
        <v>IDXV30</v>
      </c>
      <c r="F260" s="60" t="str">
        <f>Ringkasan!F260</f>
        <v>4 Agustus 2026</v>
      </c>
      <c r="G260" s="60">
        <f>Ringkasan!G260</f>
        <v>22</v>
      </c>
      <c r="H260" s="62">
        <f>Ringkasan!H260</f>
        <v>6.8</v>
      </c>
      <c r="I260" s="62">
        <f>Ringkasan!I260</f>
        <v>0.83</v>
      </c>
      <c r="J260" s="62">
        <f>Ringkasan!J260</f>
        <v>12.3</v>
      </c>
      <c r="K260" s="62">
        <f>Ringkasan!K260</f>
        <v>1.4</v>
      </c>
      <c r="L260" s="62">
        <f>Ringkasan!L260</f>
        <v>7.6</v>
      </c>
      <c r="M260" s="62">
        <f>Ringkasan!M260</f>
        <v>89.9</v>
      </c>
      <c r="N260" s="60">
        <f>Ringkasan!N260</f>
        <v>3.8</v>
      </c>
      <c r="O260" s="60">
        <f>Ringkasan!O260</f>
        <v>20.7</v>
      </c>
      <c r="P260" s="60">
        <f>Ringkasan!P260</f>
        <v>86.4</v>
      </c>
      <c r="Q260" s="60">
        <f>Ringkasan!Q260</f>
        <v>1.9</v>
      </c>
      <c r="R260" s="60">
        <f>Ringkasan!R260</f>
        <v>72.9</v>
      </c>
      <c r="S260" s="60">
        <f>Ringkasan!S260</f>
        <v>46.5</v>
      </c>
      <c r="T260" s="60">
        <f>Ringkasan!T260</f>
        <v>8.5</v>
      </c>
      <c r="U260" s="60">
        <f>Ringkasan!U260</f>
        <v>3500</v>
      </c>
      <c r="V260" s="60">
        <f>Ringkasan!V260</f>
        <v>1.71</v>
      </c>
      <c r="W260" s="60">
        <f>Ringkasan!W260</f>
        <v>3570</v>
      </c>
      <c r="X260" s="60">
        <f>Ringkasan!X260</f>
        <v>3650</v>
      </c>
      <c r="Y260" s="60">
        <f>Ringkasan!Y260</f>
        <v>3520</v>
      </c>
      <c r="Z260" s="60">
        <f>Ringkasan!Z260</f>
        <v>74824100</v>
      </c>
      <c r="AA260" s="60" t="str">
        <f>Ringkasan!AA260</f>
        <v>Banks</v>
      </c>
      <c r="AB260" s="64" t="str">
        <f>Ringkasan!AB260</f>
        <v>Financials</v>
      </c>
    </row>
    <row r="261">
      <c r="A261" s="64" t="str">
        <f>Ringkasan!A261</f>
        <v>BBNI</v>
      </c>
      <c r="B261" s="60" t="str">
        <f>Ringkasan!B261</f>
        <v>PT Bank Negara Indonesia (Persero) Tbk</v>
      </c>
      <c r="C261" s="61">
        <f>Ringkasan!C261</f>
        <v>3560</v>
      </c>
      <c r="D261" s="60" t="str">
        <f>Ringkasan!D261</f>
        <v>#N/A</v>
      </c>
      <c r="E261" s="60" t="str">
        <f>Ringkasan!E261</f>
        <v>IDXBUMN20</v>
      </c>
      <c r="F261" s="60" t="str">
        <f>Ringkasan!F261</f>
        <v>4 Agustus 2026</v>
      </c>
      <c r="G261" s="60">
        <f>Ringkasan!G261</f>
        <v>22</v>
      </c>
      <c r="H261" s="62">
        <f>Ringkasan!H261</f>
        <v>6.8</v>
      </c>
      <c r="I261" s="62">
        <f>Ringkasan!I261</f>
        <v>0.83</v>
      </c>
      <c r="J261" s="62">
        <f>Ringkasan!J261</f>
        <v>12.3</v>
      </c>
      <c r="K261" s="62">
        <f>Ringkasan!K261</f>
        <v>1.4</v>
      </c>
      <c r="L261" s="62">
        <f>Ringkasan!L261</f>
        <v>7.6</v>
      </c>
      <c r="M261" s="62">
        <f>Ringkasan!M261</f>
        <v>89.9</v>
      </c>
      <c r="N261" s="60">
        <f>Ringkasan!N261</f>
        <v>3.8</v>
      </c>
      <c r="O261" s="60">
        <f>Ringkasan!O261</f>
        <v>20.7</v>
      </c>
      <c r="P261" s="60">
        <f>Ringkasan!P261</f>
        <v>86.4</v>
      </c>
      <c r="Q261" s="60">
        <f>Ringkasan!Q261</f>
        <v>1.9</v>
      </c>
      <c r="R261" s="60">
        <f>Ringkasan!R261</f>
        <v>72.9</v>
      </c>
      <c r="S261" s="60">
        <f>Ringkasan!S261</f>
        <v>46.5</v>
      </c>
      <c r="T261" s="60">
        <f>Ringkasan!T261</f>
        <v>8.5</v>
      </c>
      <c r="U261" s="60">
        <f>Ringkasan!U261</f>
        <v>3500</v>
      </c>
      <c r="V261" s="60">
        <f>Ringkasan!V261</f>
        <v>1.71</v>
      </c>
      <c r="W261" s="60">
        <f>Ringkasan!W261</f>
        <v>3570</v>
      </c>
      <c r="X261" s="60">
        <f>Ringkasan!X261</f>
        <v>3650</v>
      </c>
      <c r="Y261" s="60">
        <f>Ringkasan!Y261</f>
        <v>3520</v>
      </c>
      <c r="Z261" s="60">
        <f>Ringkasan!Z261</f>
        <v>74824100</v>
      </c>
      <c r="AA261" s="60" t="str">
        <f>Ringkasan!AA261</f>
        <v>Banks</v>
      </c>
      <c r="AB261" s="64" t="str">
        <f>Ringkasan!AB261</f>
        <v>Financials</v>
      </c>
    </row>
    <row r="262">
      <c r="A262" s="64" t="str">
        <f>Ringkasan!A262</f>
        <v>BBNI</v>
      </c>
      <c r="B262" s="60" t="str">
        <f>Ringkasan!B262</f>
        <v>PT Bank Negara Indonesia (Persero) Tbk</v>
      </c>
      <c r="C262" s="61">
        <f>Ringkasan!C262</f>
        <v>3560</v>
      </c>
      <c r="D262" s="60" t="str">
        <f>Ringkasan!D262</f>
        <v>#N/A</v>
      </c>
      <c r="E262" s="60" t="str">
        <f>Ringkasan!E262</f>
        <v>Pefindo - iGrade</v>
      </c>
      <c r="F262" s="60" t="str">
        <f>Ringkasan!F262</f>
        <v>30 Juni 2026</v>
      </c>
      <c r="G262" s="60">
        <f>Ringkasan!G262</f>
        <v>22</v>
      </c>
      <c r="H262" s="62">
        <f>Ringkasan!H262</f>
        <v>6.8</v>
      </c>
      <c r="I262" s="62">
        <f>Ringkasan!I262</f>
        <v>0.83</v>
      </c>
      <c r="J262" s="62">
        <f>Ringkasan!J262</f>
        <v>12.3</v>
      </c>
      <c r="K262" s="62">
        <f>Ringkasan!K262</f>
        <v>1.4</v>
      </c>
      <c r="L262" s="62">
        <f>Ringkasan!L262</f>
        <v>7.6</v>
      </c>
      <c r="M262" s="62">
        <f>Ringkasan!M262</f>
        <v>89.9</v>
      </c>
      <c r="N262" s="60">
        <f>Ringkasan!N262</f>
        <v>3.8</v>
      </c>
      <c r="O262" s="60">
        <f>Ringkasan!O262</f>
        <v>20.7</v>
      </c>
      <c r="P262" s="60">
        <f>Ringkasan!P262</f>
        <v>86.4</v>
      </c>
      <c r="Q262" s="60">
        <f>Ringkasan!Q262</f>
        <v>1.9</v>
      </c>
      <c r="R262" s="60">
        <f>Ringkasan!R262</f>
        <v>72.9</v>
      </c>
      <c r="S262" s="60">
        <f>Ringkasan!S262</f>
        <v>46.5</v>
      </c>
      <c r="T262" s="60">
        <f>Ringkasan!T262</f>
        <v>8.5</v>
      </c>
      <c r="U262" s="60">
        <f>Ringkasan!U262</f>
        <v>3500</v>
      </c>
      <c r="V262" s="60">
        <f>Ringkasan!V262</f>
        <v>1.71</v>
      </c>
      <c r="W262" s="60">
        <f>Ringkasan!W262</f>
        <v>3570</v>
      </c>
      <c r="X262" s="60">
        <f>Ringkasan!X262</f>
        <v>3650</v>
      </c>
      <c r="Y262" s="60">
        <f>Ringkasan!Y262</f>
        <v>3520</v>
      </c>
      <c r="Z262" s="60">
        <f>Ringkasan!Z262</f>
        <v>74824100</v>
      </c>
      <c r="AA262" s="60" t="str">
        <f>Ringkasan!AA262</f>
        <v>Banks</v>
      </c>
      <c r="AB262" s="64" t="str">
        <f>Ringkasan!AB262</f>
        <v>Financials</v>
      </c>
    </row>
    <row r="263">
      <c r="A263" s="64" t="str">
        <f>Ringkasan!A263</f>
        <v>BBNI</v>
      </c>
      <c r="B263" s="60" t="str">
        <f>Ringkasan!B263</f>
        <v>PT Bank Negara Indonesia (Persero) Tbk</v>
      </c>
      <c r="C263" s="61">
        <f>Ringkasan!C263</f>
        <v>3560</v>
      </c>
      <c r="D263" s="60" t="str">
        <f>Ringkasan!D263</f>
        <v>#N/A</v>
      </c>
      <c r="E263" s="60" t="str">
        <f>Ringkasan!E263</f>
        <v>PRIMBANK-10</v>
      </c>
      <c r="F263" s="60" t="str">
        <f>Ringkasan!F263</f>
        <v>30 Juni 2026</v>
      </c>
      <c r="G263" s="60">
        <f>Ringkasan!G263</f>
        <v>22</v>
      </c>
      <c r="H263" s="62">
        <f>Ringkasan!H263</f>
        <v>6.8</v>
      </c>
      <c r="I263" s="62">
        <f>Ringkasan!I263</f>
        <v>0.83</v>
      </c>
      <c r="J263" s="62">
        <f>Ringkasan!J263</f>
        <v>12.3</v>
      </c>
      <c r="K263" s="62">
        <f>Ringkasan!K263</f>
        <v>1.4</v>
      </c>
      <c r="L263" s="62">
        <f>Ringkasan!L263</f>
        <v>7.6</v>
      </c>
      <c r="M263" s="62">
        <f>Ringkasan!M263</f>
        <v>89.9</v>
      </c>
      <c r="N263" s="60">
        <f>Ringkasan!N263</f>
        <v>3.8</v>
      </c>
      <c r="O263" s="60">
        <f>Ringkasan!O263</f>
        <v>20.7</v>
      </c>
      <c r="P263" s="60">
        <f>Ringkasan!P263</f>
        <v>86.4</v>
      </c>
      <c r="Q263" s="60">
        <f>Ringkasan!Q263</f>
        <v>1.9</v>
      </c>
      <c r="R263" s="60">
        <f>Ringkasan!R263</f>
        <v>72.9</v>
      </c>
      <c r="S263" s="60">
        <f>Ringkasan!S263</f>
        <v>46.5</v>
      </c>
      <c r="T263" s="60">
        <f>Ringkasan!T263</f>
        <v>8.5</v>
      </c>
      <c r="U263" s="60">
        <f>Ringkasan!U263</f>
        <v>3500</v>
      </c>
      <c r="V263" s="60">
        <f>Ringkasan!V263</f>
        <v>1.71</v>
      </c>
      <c r="W263" s="60">
        <f>Ringkasan!W263</f>
        <v>3570</v>
      </c>
      <c r="X263" s="60">
        <f>Ringkasan!X263</f>
        <v>3650</v>
      </c>
      <c r="Y263" s="60">
        <f>Ringkasan!Y263</f>
        <v>3520</v>
      </c>
      <c r="Z263" s="60">
        <f>Ringkasan!Z263</f>
        <v>74824100</v>
      </c>
      <c r="AA263" s="60" t="str">
        <f>Ringkasan!AA263</f>
        <v>Banks</v>
      </c>
      <c r="AB263" s="64" t="str">
        <f>Ringkasan!AB263</f>
        <v>Financials</v>
      </c>
    </row>
    <row r="264">
      <c r="A264" s="64" t="str">
        <f>Ringkasan!A264</f>
        <v>BBNI</v>
      </c>
      <c r="B264" s="60" t="str">
        <f>Ringkasan!B264</f>
        <v>PT Bank Negara Indonesia (Persero) Tbk</v>
      </c>
      <c r="C264" s="61">
        <f>Ringkasan!C264</f>
        <v>3560</v>
      </c>
      <c r="D264" s="60" t="str">
        <f>Ringkasan!D264</f>
        <v>#N/A</v>
      </c>
      <c r="E264" s="60" t="str">
        <f>Ringkasan!E264</f>
        <v>FTSE Large Cap</v>
      </c>
      <c r="F264" s="60" t="str">
        <f>Ringkasan!F264</f>
        <v>Juni 2026</v>
      </c>
      <c r="G264" s="60">
        <f>Ringkasan!G264</f>
        <v>22</v>
      </c>
      <c r="H264" s="62">
        <f>Ringkasan!H264</f>
        <v>6.8</v>
      </c>
      <c r="I264" s="62">
        <f>Ringkasan!I264</f>
        <v>0.83</v>
      </c>
      <c r="J264" s="62">
        <f>Ringkasan!J264</f>
        <v>12.3</v>
      </c>
      <c r="K264" s="62">
        <f>Ringkasan!K264</f>
        <v>1.4</v>
      </c>
      <c r="L264" s="62">
        <f>Ringkasan!L264</f>
        <v>7.6</v>
      </c>
      <c r="M264" s="62">
        <f>Ringkasan!M264</f>
        <v>89.9</v>
      </c>
      <c r="N264" s="60">
        <f>Ringkasan!N264</f>
        <v>3.8</v>
      </c>
      <c r="O264" s="60">
        <f>Ringkasan!O264</f>
        <v>20.7</v>
      </c>
      <c r="P264" s="60">
        <f>Ringkasan!P264</f>
        <v>86.4</v>
      </c>
      <c r="Q264" s="60">
        <f>Ringkasan!Q264</f>
        <v>1.9</v>
      </c>
      <c r="R264" s="60">
        <f>Ringkasan!R264</f>
        <v>72.9</v>
      </c>
      <c r="S264" s="60">
        <f>Ringkasan!S264</f>
        <v>46.5</v>
      </c>
      <c r="T264" s="60">
        <f>Ringkasan!T264</f>
        <v>8.5</v>
      </c>
      <c r="U264" s="60">
        <f>Ringkasan!U264</f>
        <v>3500</v>
      </c>
      <c r="V264" s="60">
        <f>Ringkasan!V264</f>
        <v>1.71</v>
      </c>
      <c r="W264" s="60">
        <f>Ringkasan!W264</f>
        <v>3570</v>
      </c>
      <c r="X264" s="60">
        <f>Ringkasan!X264</f>
        <v>3650</v>
      </c>
      <c r="Y264" s="60">
        <f>Ringkasan!Y264</f>
        <v>3520</v>
      </c>
      <c r="Z264" s="60">
        <f>Ringkasan!Z264</f>
        <v>74824100</v>
      </c>
      <c r="AA264" s="60" t="str">
        <f>Ringkasan!AA264</f>
        <v>Banks</v>
      </c>
      <c r="AB264" s="64" t="str">
        <f>Ringkasan!AB264</f>
        <v>Financials</v>
      </c>
    </row>
    <row r="265">
      <c r="A265" s="64" t="str">
        <f>Ringkasan!A265</f>
        <v>BBNI</v>
      </c>
      <c r="B265" s="60" t="str">
        <f>Ringkasan!B265</f>
        <v>PT Bank Negara Indonesia (Persero) Tbk</v>
      </c>
      <c r="C265" s="61">
        <f>Ringkasan!C265</f>
        <v>3560</v>
      </c>
      <c r="D265" s="60" t="str">
        <f>Ringkasan!D265</f>
        <v>#N/A</v>
      </c>
      <c r="E265" s="60" t="str">
        <f>Ringkasan!E265</f>
        <v>ESGSKEHATI</v>
      </c>
      <c r="F265" s="63">
        <f>Ringkasan!F265</f>
        <v>46356</v>
      </c>
      <c r="G265" s="60">
        <f>Ringkasan!G265</f>
        <v>22</v>
      </c>
      <c r="H265" s="62">
        <f>Ringkasan!H265</f>
        <v>6.8</v>
      </c>
      <c r="I265" s="62">
        <f>Ringkasan!I265</f>
        <v>0.83</v>
      </c>
      <c r="J265" s="62">
        <f>Ringkasan!J265</f>
        <v>12.3</v>
      </c>
      <c r="K265" s="62">
        <f>Ringkasan!K265</f>
        <v>1.4</v>
      </c>
      <c r="L265" s="62">
        <f>Ringkasan!L265</f>
        <v>7.6</v>
      </c>
      <c r="M265" s="62">
        <f>Ringkasan!M265</f>
        <v>89.9</v>
      </c>
      <c r="N265" s="60">
        <f>Ringkasan!N265</f>
        <v>3.8</v>
      </c>
      <c r="O265" s="60">
        <f>Ringkasan!O265</f>
        <v>20.7</v>
      </c>
      <c r="P265" s="60">
        <f>Ringkasan!P265</f>
        <v>86.4</v>
      </c>
      <c r="Q265" s="60">
        <f>Ringkasan!Q265</f>
        <v>1.9</v>
      </c>
      <c r="R265" s="60">
        <f>Ringkasan!R265</f>
        <v>72.9</v>
      </c>
      <c r="S265" s="60">
        <f>Ringkasan!S265</f>
        <v>46.5</v>
      </c>
      <c r="T265" s="60">
        <f>Ringkasan!T265</f>
        <v>8.5</v>
      </c>
      <c r="U265" s="60">
        <f>Ringkasan!U265</f>
        <v>3500</v>
      </c>
      <c r="V265" s="60">
        <f>Ringkasan!V265</f>
        <v>1.71</v>
      </c>
      <c r="W265" s="60">
        <f>Ringkasan!W265</f>
        <v>3570</v>
      </c>
      <c r="X265" s="60">
        <f>Ringkasan!X265</f>
        <v>3650</v>
      </c>
      <c r="Y265" s="60">
        <f>Ringkasan!Y265</f>
        <v>3520</v>
      </c>
      <c r="Z265" s="60">
        <f>Ringkasan!Z265</f>
        <v>74824100</v>
      </c>
      <c r="AA265" s="60" t="str">
        <f>Ringkasan!AA265</f>
        <v>Banks</v>
      </c>
      <c r="AB265" s="64" t="str">
        <f>Ringkasan!AB265</f>
        <v>Financials</v>
      </c>
    </row>
    <row r="266">
      <c r="A266" s="64" t="str">
        <f>Ringkasan!A266</f>
        <v>BBNI</v>
      </c>
      <c r="B266" s="60" t="str">
        <f>Ringkasan!B266</f>
        <v>PT Bank Negara Indonesia (Persero) Tbk</v>
      </c>
      <c r="C266" s="61">
        <f>Ringkasan!C266</f>
        <v>3560</v>
      </c>
      <c r="D266" s="60" t="str">
        <f>Ringkasan!D266</f>
        <v>#N/A</v>
      </c>
      <c r="E266" s="60" t="str">
        <f>Ringkasan!E266</f>
        <v>SRI-KEHATI</v>
      </c>
      <c r="F266" s="63">
        <f>Ringkasan!F266</f>
        <v>46356</v>
      </c>
      <c r="G266" s="60">
        <f>Ringkasan!G266</f>
        <v>22</v>
      </c>
      <c r="H266" s="62">
        <f>Ringkasan!H266</f>
        <v>6.8</v>
      </c>
      <c r="I266" s="62">
        <f>Ringkasan!I266</f>
        <v>0.83</v>
      </c>
      <c r="J266" s="62">
        <f>Ringkasan!J266</f>
        <v>12.3</v>
      </c>
      <c r="K266" s="62">
        <f>Ringkasan!K266</f>
        <v>1.4</v>
      </c>
      <c r="L266" s="62">
        <f>Ringkasan!L266</f>
        <v>7.6</v>
      </c>
      <c r="M266" s="62">
        <f>Ringkasan!M266</f>
        <v>89.9</v>
      </c>
      <c r="N266" s="60">
        <f>Ringkasan!N266</f>
        <v>3.8</v>
      </c>
      <c r="O266" s="60">
        <f>Ringkasan!O266</f>
        <v>20.7</v>
      </c>
      <c r="P266" s="60">
        <f>Ringkasan!P266</f>
        <v>86.4</v>
      </c>
      <c r="Q266" s="60">
        <f>Ringkasan!Q266</f>
        <v>1.9</v>
      </c>
      <c r="R266" s="60">
        <f>Ringkasan!R266</f>
        <v>72.9</v>
      </c>
      <c r="S266" s="60">
        <f>Ringkasan!S266</f>
        <v>46.5</v>
      </c>
      <c r="T266" s="60">
        <f>Ringkasan!T266</f>
        <v>8.5</v>
      </c>
      <c r="U266" s="60">
        <f>Ringkasan!U266</f>
        <v>3500</v>
      </c>
      <c r="V266" s="60">
        <f>Ringkasan!V266</f>
        <v>1.71</v>
      </c>
      <c r="W266" s="60">
        <f>Ringkasan!W266</f>
        <v>3570</v>
      </c>
      <c r="X266" s="60">
        <f>Ringkasan!X266</f>
        <v>3650</v>
      </c>
      <c r="Y266" s="60">
        <f>Ringkasan!Y266</f>
        <v>3520</v>
      </c>
      <c r="Z266" s="60">
        <f>Ringkasan!Z266</f>
        <v>74824100</v>
      </c>
      <c r="AA266" s="60" t="str">
        <f>Ringkasan!AA266</f>
        <v>Banks</v>
      </c>
      <c r="AB266" s="64" t="str">
        <f>Ringkasan!AB266</f>
        <v>Financials</v>
      </c>
    </row>
    <row r="267">
      <c r="A267" s="64" t="str">
        <f>Ringkasan!A267</f>
        <v>BBNI</v>
      </c>
      <c r="B267" s="60" t="str">
        <f>Ringkasan!B267</f>
        <v>PT Bank Negara Indonesia (Persero) Tbk</v>
      </c>
      <c r="C267" s="61">
        <f>Ringkasan!C267</f>
        <v>3560</v>
      </c>
      <c r="D267" s="60" t="str">
        <f>Ringkasan!D267</f>
        <v>#N/A</v>
      </c>
      <c r="E267" s="60" t="str">
        <f>Ringkasan!E267</f>
        <v>Investor33</v>
      </c>
      <c r="F267" s="63">
        <f>Ringkasan!F267</f>
        <v>46356</v>
      </c>
      <c r="G267" s="60">
        <f>Ringkasan!G267</f>
        <v>22</v>
      </c>
      <c r="H267" s="62">
        <f>Ringkasan!H267</f>
        <v>6.8</v>
      </c>
      <c r="I267" s="62">
        <f>Ringkasan!I267</f>
        <v>0.83</v>
      </c>
      <c r="J267" s="62">
        <f>Ringkasan!J267</f>
        <v>12.3</v>
      </c>
      <c r="K267" s="62">
        <f>Ringkasan!K267</f>
        <v>1.4</v>
      </c>
      <c r="L267" s="62">
        <f>Ringkasan!L267</f>
        <v>7.6</v>
      </c>
      <c r="M267" s="62">
        <f>Ringkasan!M267</f>
        <v>89.9</v>
      </c>
      <c r="N267" s="60">
        <f>Ringkasan!N267</f>
        <v>3.8</v>
      </c>
      <c r="O267" s="60">
        <f>Ringkasan!O267</f>
        <v>20.7</v>
      </c>
      <c r="P267" s="60">
        <f>Ringkasan!P267</f>
        <v>86.4</v>
      </c>
      <c r="Q267" s="60">
        <f>Ringkasan!Q267</f>
        <v>1.9</v>
      </c>
      <c r="R267" s="60">
        <f>Ringkasan!R267</f>
        <v>72.9</v>
      </c>
      <c r="S267" s="60">
        <f>Ringkasan!S267</f>
        <v>46.5</v>
      </c>
      <c r="T267" s="60">
        <f>Ringkasan!T267</f>
        <v>8.5</v>
      </c>
      <c r="U267" s="60">
        <f>Ringkasan!U267</f>
        <v>3500</v>
      </c>
      <c r="V267" s="60">
        <f>Ringkasan!V267</f>
        <v>1.71</v>
      </c>
      <c r="W267" s="60">
        <f>Ringkasan!W267</f>
        <v>3570</v>
      </c>
      <c r="X267" s="60">
        <f>Ringkasan!X267</f>
        <v>3650</v>
      </c>
      <c r="Y267" s="60">
        <f>Ringkasan!Y267</f>
        <v>3520</v>
      </c>
      <c r="Z267" s="60">
        <f>Ringkasan!Z267</f>
        <v>74824100</v>
      </c>
      <c r="AA267" s="60" t="str">
        <f>Ringkasan!AA267</f>
        <v>Banks</v>
      </c>
      <c r="AB267" s="64" t="str">
        <f>Ringkasan!AB267</f>
        <v>Financials</v>
      </c>
    </row>
    <row r="268">
      <c r="A268" s="64" t="str">
        <f>Ringkasan!A268</f>
        <v>BBRI</v>
      </c>
      <c r="B268" s="64" t="str">
        <f>Ringkasan!B268</f>
        <v>PT Bank Rakyat Indonesia (Persero) Tbk</v>
      </c>
      <c r="C268" s="61">
        <f>Ringkasan!C268</f>
        <v>2850</v>
      </c>
      <c r="D268" s="60" t="str">
        <f>Ringkasan!D268</f>
        <v>#N/A</v>
      </c>
      <c r="E268" s="64" t="str">
        <f>Ringkasan!E268</f>
        <v>ESGQKEHATI</v>
      </c>
      <c r="F268" s="66">
        <f>Ringkasan!F268</f>
        <v>46356</v>
      </c>
      <c r="G268" s="64">
        <f>Ringkasan!G268</f>
        <v>23</v>
      </c>
      <c r="H268" s="19">
        <f>Ringkasan!H268</f>
        <v>7.7</v>
      </c>
      <c r="I268" s="19">
        <f>Ringkasan!I268</f>
        <v>1.3</v>
      </c>
      <c r="J268" s="19">
        <f>Ringkasan!J268</f>
        <v>17</v>
      </c>
      <c r="K268" s="19">
        <f>Ringkasan!K268</f>
        <v>2.6</v>
      </c>
      <c r="L268" s="19">
        <f>Ringkasan!L268</f>
        <v>5.5</v>
      </c>
      <c r="M268" s="19">
        <f>Ringkasan!M268</f>
        <v>96.8</v>
      </c>
      <c r="N268" s="64">
        <f>Ringkasan!N268</f>
        <v>7.65</v>
      </c>
      <c r="O268" s="64">
        <f>Ringkasan!O268</f>
        <v>24.19</v>
      </c>
      <c r="P268" s="64">
        <f>Ringkasan!P268</f>
        <v>87.43</v>
      </c>
      <c r="Q268" s="64">
        <f>Ringkasan!Q268</f>
        <v>2.86</v>
      </c>
      <c r="R268" s="64">
        <f>Ringkasan!R268</f>
        <v>68.08</v>
      </c>
      <c r="S268" s="64">
        <f>Ringkasan!S268</f>
        <v>40.89</v>
      </c>
      <c r="T268" s="64">
        <f>Ringkasan!T268</f>
        <v>10.24</v>
      </c>
      <c r="U268" s="60">
        <f>Ringkasan!U268</f>
        <v>2850</v>
      </c>
      <c r="V268" s="60">
        <f>Ringkasan!V268</f>
        <v>0</v>
      </c>
      <c r="W268" s="60">
        <f>Ringkasan!W268</f>
        <v>2880</v>
      </c>
      <c r="X268" s="60">
        <f>Ringkasan!X268</f>
        <v>2900</v>
      </c>
      <c r="Y268" s="60">
        <f>Ringkasan!Y268</f>
        <v>2830</v>
      </c>
      <c r="Z268" s="60">
        <f>Ringkasan!Z268</f>
        <v>450530000</v>
      </c>
      <c r="AA268" s="64" t="str">
        <f>Ringkasan!AA268</f>
        <v>Banks</v>
      </c>
      <c r="AB268" s="64" t="str">
        <f>Ringkasan!AB268</f>
        <v>Financials</v>
      </c>
    </row>
    <row r="269">
      <c r="A269" s="64" t="str">
        <f>Ringkasan!A270</f>
        <v>BBRI</v>
      </c>
      <c r="B269" s="60" t="str">
        <f>Ringkasan!B270</f>
        <v>PT Bank Rakyat Indonesia (Persero) Tbk</v>
      </c>
      <c r="C269" s="61">
        <f>Ringkasan!C270</f>
        <v>2850</v>
      </c>
      <c r="D269" s="60" t="str">
        <f>Ringkasan!D270</f>
        <v>#N/A</v>
      </c>
      <c r="E269" s="60" t="str">
        <f>Ringkasan!E270</f>
        <v>MSCI Global Standard</v>
      </c>
      <c r="F269" s="60" t="str">
        <f>Ringkasan!F270</f>
        <v>12 Agustus 2026</v>
      </c>
      <c r="G269" s="60">
        <f>Ringkasan!G270</f>
        <v>23</v>
      </c>
      <c r="H269" s="62">
        <f>Ringkasan!H270</f>
        <v>7.7</v>
      </c>
      <c r="I269" s="62">
        <f>Ringkasan!I270</f>
        <v>1.3</v>
      </c>
      <c r="J269" s="62">
        <f>Ringkasan!J270</f>
        <v>17</v>
      </c>
      <c r="K269" s="62">
        <f>Ringkasan!K270</f>
        <v>2.6</v>
      </c>
      <c r="L269" s="62">
        <f>Ringkasan!L270</f>
        <v>5.5</v>
      </c>
      <c r="M269" s="62">
        <f>Ringkasan!M270</f>
        <v>96.8</v>
      </c>
      <c r="N269" s="60">
        <f>Ringkasan!N270</f>
        <v>7.65</v>
      </c>
      <c r="O269" s="60">
        <f>Ringkasan!O270</f>
        <v>24.19</v>
      </c>
      <c r="P269" s="60">
        <f>Ringkasan!P270</f>
        <v>87.43</v>
      </c>
      <c r="Q269" s="60">
        <f>Ringkasan!Q270</f>
        <v>2.86</v>
      </c>
      <c r="R269" s="60">
        <f>Ringkasan!R270</f>
        <v>68.08</v>
      </c>
      <c r="S269" s="60">
        <f>Ringkasan!S270</f>
        <v>40.89</v>
      </c>
      <c r="T269" s="60">
        <f>Ringkasan!T270</f>
        <v>10.24</v>
      </c>
      <c r="U269" s="60">
        <f>Ringkasan!U270</f>
        <v>2850</v>
      </c>
      <c r="V269" s="60">
        <f>Ringkasan!V270</f>
        <v>0</v>
      </c>
      <c r="W269" s="60">
        <f>Ringkasan!W270</f>
        <v>2880</v>
      </c>
      <c r="X269" s="60">
        <f>Ringkasan!X270</f>
        <v>2900</v>
      </c>
      <c r="Y269" s="60">
        <f>Ringkasan!Y270</f>
        <v>2830</v>
      </c>
      <c r="Z269" s="60">
        <f>Ringkasan!Z270</f>
        <v>450530000</v>
      </c>
      <c r="AA269" s="60" t="str">
        <f>Ringkasan!AA270</f>
        <v>Banks</v>
      </c>
      <c r="AB269" s="64" t="str">
        <f>Ringkasan!AB270</f>
        <v>Financials</v>
      </c>
    </row>
    <row r="270">
      <c r="A270" s="64" t="str">
        <f>Ringkasan!A269</f>
        <v>BBRI</v>
      </c>
      <c r="B270" s="64" t="str">
        <f>Ringkasan!B269</f>
        <v>PT Bank Rakyat Indonesia (Persero) Tbk</v>
      </c>
      <c r="C270" s="61">
        <f>Ringkasan!C269</f>
        <v>2850</v>
      </c>
      <c r="D270" s="60" t="str">
        <f>Ringkasan!D269</f>
        <v>#N/A</v>
      </c>
      <c r="E270" s="64" t="str">
        <f>Ringkasan!E269</f>
        <v>FTSE Large Cap</v>
      </c>
      <c r="F270" s="64" t="str">
        <f>Ringkasan!F269</f>
        <v>Juni 2026</v>
      </c>
      <c r="G270" s="64">
        <f>Ringkasan!G269</f>
        <v>23</v>
      </c>
      <c r="H270" s="19">
        <f>Ringkasan!H269</f>
        <v>7.7</v>
      </c>
      <c r="I270" s="19">
        <f>Ringkasan!I269</f>
        <v>1.3</v>
      </c>
      <c r="J270" s="19">
        <f>Ringkasan!J269</f>
        <v>17</v>
      </c>
      <c r="K270" s="19">
        <f>Ringkasan!K269</f>
        <v>2.6</v>
      </c>
      <c r="L270" s="19">
        <f>Ringkasan!L269</f>
        <v>5.5</v>
      </c>
      <c r="M270" s="19">
        <f>Ringkasan!M269</f>
        <v>96.8</v>
      </c>
      <c r="N270" s="64">
        <f>Ringkasan!N269</f>
        <v>7.65</v>
      </c>
      <c r="O270" s="64">
        <f>Ringkasan!O269</f>
        <v>24.19</v>
      </c>
      <c r="P270" s="64">
        <f>Ringkasan!P269</f>
        <v>87.43</v>
      </c>
      <c r="Q270" s="64">
        <f>Ringkasan!Q269</f>
        <v>2.86</v>
      </c>
      <c r="R270" s="64">
        <f>Ringkasan!R269</f>
        <v>68.08</v>
      </c>
      <c r="S270" s="64">
        <f>Ringkasan!S269</f>
        <v>40.89</v>
      </c>
      <c r="T270" s="64">
        <f>Ringkasan!T269</f>
        <v>10.24</v>
      </c>
      <c r="U270" s="60">
        <f>Ringkasan!U269</f>
        <v>2850</v>
      </c>
      <c r="V270" s="60">
        <f>Ringkasan!V269</f>
        <v>0</v>
      </c>
      <c r="W270" s="60">
        <f>Ringkasan!W269</f>
        <v>2880</v>
      </c>
      <c r="X270" s="60">
        <f>Ringkasan!X269</f>
        <v>2900</v>
      </c>
      <c r="Y270" s="60">
        <f>Ringkasan!Y269</f>
        <v>2830</v>
      </c>
      <c r="Z270" s="60">
        <f>Ringkasan!Z269</f>
        <v>450530000</v>
      </c>
      <c r="AA270" s="64" t="str">
        <f>Ringkasan!AA269</f>
        <v>Banks</v>
      </c>
      <c r="AB270" s="64" t="str">
        <f>Ringkasan!AB269</f>
        <v>Financials</v>
      </c>
    </row>
    <row r="271">
      <c r="A271" s="64" t="str">
        <f>Ringkasan!A271</f>
        <v>BBRI</v>
      </c>
      <c r="B271" s="60" t="str">
        <f>Ringkasan!B271</f>
        <v>PT Bank Rakyat Indonesia (Persero) Tbk</v>
      </c>
      <c r="C271" s="61">
        <f>Ringkasan!C271</f>
        <v>2850</v>
      </c>
      <c r="D271" s="60" t="str">
        <f>Ringkasan!D271</f>
        <v>#N/A</v>
      </c>
      <c r="E271" s="60" t="str">
        <f>Ringkasan!E271</f>
        <v>IDXQ30</v>
      </c>
      <c r="F271" s="60" t="str">
        <f>Ringkasan!F271</f>
        <v>4 Agustus 2026</v>
      </c>
      <c r="G271" s="60">
        <f>Ringkasan!G271</f>
        <v>23</v>
      </c>
      <c r="H271" s="62">
        <f>Ringkasan!H271</f>
        <v>7.7</v>
      </c>
      <c r="I271" s="62">
        <f>Ringkasan!I271</f>
        <v>1.3</v>
      </c>
      <c r="J271" s="62">
        <f>Ringkasan!J271</f>
        <v>17</v>
      </c>
      <c r="K271" s="62">
        <f>Ringkasan!K271</f>
        <v>2.6</v>
      </c>
      <c r="L271" s="62">
        <f>Ringkasan!L271</f>
        <v>5.5</v>
      </c>
      <c r="M271" s="62">
        <f>Ringkasan!M271</f>
        <v>96.8</v>
      </c>
      <c r="N271" s="60">
        <f>Ringkasan!N271</f>
        <v>7.65</v>
      </c>
      <c r="O271" s="60">
        <f>Ringkasan!O271</f>
        <v>24.19</v>
      </c>
      <c r="P271" s="60">
        <f>Ringkasan!P271</f>
        <v>87.43</v>
      </c>
      <c r="Q271" s="60">
        <f>Ringkasan!Q271</f>
        <v>2.86</v>
      </c>
      <c r="R271" s="60">
        <f>Ringkasan!R271</f>
        <v>68.08</v>
      </c>
      <c r="S271" s="60">
        <f>Ringkasan!S271</f>
        <v>40.89</v>
      </c>
      <c r="T271" s="60">
        <f>Ringkasan!T271</f>
        <v>10.24</v>
      </c>
      <c r="U271" s="60">
        <f>Ringkasan!U271</f>
        <v>2850</v>
      </c>
      <c r="V271" s="60">
        <f>Ringkasan!V271</f>
        <v>0</v>
      </c>
      <c r="W271" s="60">
        <f>Ringkasan!W271</f>
        <v>2880</v>
      </c>
      <c r="X271" s="60">
        <f>Ringkasan!X271</f>
        <v>2900</v>
      </c>
      <c r="Y271" s="60">
        <f>Ringkasan!Y271</f>
        <v>2830</v>
      </c>
      <c r="Z271" s="60">
        <f>Ringkasan!Z271</f>
        <v>450530000</v>
      </c>
      <c r="AA271" s="60" t="str">
        <f>Ringkasan!AA271</f>
        <v>Banks</v>
      </c>
      <c r="AB271" s="64" t="str">
        <f>Ringkasan!AB271</f>
        <v>Financials</v>
      </c>
    </row>
    <row r="272">
      <c r="A272" s="64" t="str">
        <f>Ringkasan!A272</f>
        <v>BBRI</v>
      </c>
      <c r="B272" s="60" t="str">
        <f>Ringkasan!B272</f>
        <v>PT Bank Rakyat Indonesia (Persero) Tbk</v>
      </c>
      <c r="C272" s="61">
        <f>Ringkasan!C272</f>
        <v>2850</v>
      </c>
      <c r="D272" s="60" t="str">
        <f>Ringkasan!D272</f>
        <v>#N/A</v>
      </c>
      <c r="E272" s="60" t="str">
        <f>Ringkasan!E272</f>
        <v>IDXG30</v>
      </c>
      <c r="F272" s="60" t="str">
        <f>Ringkasan!F272</f>
        <v>4 Agustus 2026</v>
      </c>
      <c r="G272" s="60">
        <f>Ringkasan!G272</f>
        <v>23</v>
      </c>
      <c r="H272" s="62">
        <f>Ringkasan!H272</f>
        <v>7.7</v>
      </c>
      <c r="I272" s="62">
        <f>Ringkasan!I272</f>
        <v>1.3</v>
      </c>
      <c r="J272" s="62">
        <f>Ringkasan!J272</f>
        <v>17</v>
      </c>
      <c r="K272" s="62">
        <f>Ringkasan!K272</f>
        <v>2.6</v>
      </c>
      <c r="L272" s="62">
        <f>Ringkasan!L272</f>
        <v>5.5</v>
      </c>
      <c r="M272" s="62">
        <f>Ringkasan!M272</f>
        <v>96.8</v>
      </c>
      <c r="N272" s="60">
        <f>Ringkasan!N272</f>
        <v>7.65</v>
      </c>
      <c r="O272" s="60">
        <f>Ringkasan!O272</f>
        <v>24.19</v>
      </c>
      <c r="P272" s="60">
        <f>Ringkasan!P272</f>
        <v>87.43</v>
      </c>
      <c r="Q272" s="60">
        <f>Ringkasan!Q272</f>
        <v>2.86</v>
      </c>
      <c r="R272" s="60">
        <f>Ringkasan!R272</f>
        <v>68.08</v>
      </c>
      <c r="S272" s="60">
        <f>Ringkasan!S272</f>
        <v>40.89</v>
      </c>
      <c r="T272" s="60">
        <f>Ringkasan!T272</f>
        <v>10.24</v>
      </c>
      <c r="U272" s="60">
        <f>Ringkasan!U272</f>
        <v>2850</v>
      </c>
      <c r="V272" s="60">
        <f>Ringkasan!V272</f>
        <v>0</v>
      </c>
      <c r="W272" s="60">
        <f>Ringkasan!W272</f>
        <v>2880</v>
      </c>
      <c r="X272" s="60">
        <f>Ringkasan!X272</f>
        <v>2900</v>
      </c>
      <c r="Y272" s="60">
        <f>Ringkasan!Y272</f>
        <v>2830</v>
      </c>
      <c r="Z272" s="60">
        <f>Ringkasan!Z272</f>
        <v>450530000</v>
      </c>
      <c r="AA272" s="60" t="str">
        <f>Ringkasan!AA272</f>
        <v>Banks</v>
      </c>
      <c r="AB272" s="64" t="str">
        <f>Ringkasan!AB272</f>
        <v>Financials</v>
      </c>
    </row>
    <row r="273">
      <c r="A273" s="64" t="str">
        <f>Ringkasan!A273</f>
        <v>BBRI</v>
      </c>
      <c r="B273" s="60" t="str">
        <f>Ringkasan!B273</f>
        <v>PT Bank Rakyat Indonesia (Persero) Tbk</v>
      </c>
      <c r="C273" s="61">
        <f>Ringkasan!C273</f>
        <v>2850</v>
      </c>
      <c r="D273" s="60" t="str">
        <f>Ringkasan!D273</f>
        <v>#N/A</v>
      </c>
      <c r="E273" s="60" t="str">
        <f>Ringkasan!E273</f>
        <v>IDXVESTA28</v>
      </c>
      <c r="F273" s="60" t="str">
        <f>Ringkasan!F273</f>
        <v>31 Agustus 2026</v>
      </c>
      <c r="G273" s="60">
        <f>Ringkasan!G273</f>
        <v>23</v>
      </c>
      <c r="H273" s="62">
        <f>Ringkasan!H273</f>
        <v>7.7</v>
      </c>
      <c r="I273" s="62">
        <f>Ringkasan!I273</f>
        <v>1.3</v>
      </c>
      <c r="J273" s="62">
        <f>Ringkasan!J273</f>
        <v>17</v>
      </c>
      <c r="K273" s="62">
        <f>Ringkasan!K273</f>
        <v>2.6</v>
      </c>
      <c r="L273" s="62">
        <f>Ringkasan!L273</f>
        <v>5.5</v>
      </c>
      <c r="M273" s="62">
        <f>Ringkasan!M273</f>
        <v>96.8</v>
      </c>
      <c r="N273" s="60">
        <f>Ringkasan!N273</f>
        <v>7.65</v>
      </c>
      <c r="O273" s="60">
        <f>Ringkasan!O273</f>
        <v>24.19</v>
      </c>
      <c r="P273" s="60">
        <f>Ringkasan!P273</f>
        <v>87.43</v>
      </c>
      <c r="Q273" s="60">
        <f>Ringkasan!Q273</f>
        <v>2.86</v>
      </c>
      <c r="R273" s="60">
        <f>Ringkasan!R273</f>
        <v>68.08</v>
      </c>
      <c r="S273" s="60">
        <f>Ringkasan!S273</f>
        <v>40.89</v>
      </c>
      <c r="T273" s="60">
        <f>Ringkasan!T273</f>
        <v>10.24</v>
      </c>
      <c r="U273" s="60">
        <f>Ringkasan!U273</f>
        <v>2850</v>
      </c>
      <c r="V273" s="60">
        <f>Ringkasan!V273</f>
        <v>0</v>
      </c>
      <c r="W273" s="60">
        <f>Ringkasan!W273</f>
        <v>2880</v>
      </c>
      <c r="X273" s="60">
        <f>Ringkasan!X273</f>
        <v>2900</v>
      </c>
      <c r="Y273" s="60">
        <f>Ringkasan!Y273</f>
        <v>2830</v>
      </c>
      <c r="Z273" s="60">
        <f>Ringkasan!Z273</f>
        <v>450530000</v>
      </c>
      <c r="AA273" s="60" t="str">
        <f>Ringkasan!AA273</f>
        <v>Banks</v>
      </c>
      <c r="AB273" s="64" t="str">
        <f>Ringkasan!AB273</f>
        <v>Financials</v>
      </c>
    </row>
    <row r="274">
      <c r="A274" s="64" t="str">
        <f>Ringkasan!A274</f>
        <v>BBRI</v>
      </c>
      <c r="B274" s="60" t="str">
        <f>Ringkasan!B274</f>
        <v>PT Bank Rakyat Indonesia (Persero) Tbk</v>
      </c>
      <c r="C274" s="61">
        <f>Ringkasan!C274</f>
        <v>2850</v>
      </c>
      <c r="D274" s="60" t="str">
        <f>Ringkasan!D274</f>
        <v>#N/A</v>
      </c>
      <c r="E274" s="60" t="str">
        <f>Ringkasan!E274</f>
        <v>Infobank15</v>
      </c>
      <c r="F274" s="60" t="str">
        <f>Ringkasan!F274</f>
        <v>30 Juni 2026</v>
      </c>
      <c r="G274" s="60">
        <f>Ringkasan!G274</f>
        <v>23</v>
      </c>
      <c r="H274" s="62">
        <f>Ringkasan!H274</f>
        <v>7.7</v>
      </c>
      <c r="I274" s="62">
        <f>Ringkasan!I274</f>
        <v>1.3</v>
      </c>
      <c r="J274" s="62">
        <f>Ringkasan!J274</f>
        <v>17</v>
      </c>
      <c r="K274" s="62">
        <f>Ringkasan!K274</f>
        <v>2.6</v>
      </c>
      <c r="L274" s="62">
        <f>Ringkasan!L274</f>
        <v>5.5</v>
      </c>
      <c r="M274" s="62">
        <f>Ringkasan!M274</f>
        <v>96.8</v>
      </c>
      <c r="N274" s="60">
        <f>Ringkasan!N274</f>
        <v>7.65</v>
      </c>
      <c r="O274" s="60">
        <f>Ringkasan!O274</f>
        <v>24.19</v>
      </c>
      <c r="P274" s="60">
        <f>Ringkasan!P274</f>
        <v>87.43</v>
      </c>
      <c r="Q274" s="60">
        <f>Ringkasan!Q274</f>
        <v>2.86</v>
      </c>
      <c r="R274" s="60">
        <f>Ringkasan!R274</f>
        <v>68.08</v>
      </c>
      <c r="S274" s="60">
        <f>Ringkasan!S274</f>
        <v>40.89</v>
      </c>
      <c r="T274" s="60">
        <f>Ringkasan!T274</f>
        <v>10.24</v>
      </c>
      <c r="U274" s="60">
        <f>Ringkasan!U274</f>
        <v>2850</v>
      </c>
      <c r="V274" s="60">
        <f>Ringkasan!V274</f>
        <v>0</v>
      </c>
      <c r="W274" s="60">
        <f>Ringkasan!W274</f>
        <v>2880</v>
      </c>
      <c r="X274" s="60">
        <f>Ringkasan!X274</f>
        <v>2900</v>
      </c>
      <c r="Y274" s="60">
        <f>Ringkasan!Y274</f>
        <v>2830</v>
      </c>
      <c r="Z274" s="60">
        <f>Ringkasan!Z274</f>
        <v>450530000</v>
      </c>
      <c r="AA274" s="60" t="str">
        <f>Ringkasan!AA274</f>
        <v>Banks</v>
      </c>
      <c r="AB274" s="64" t="str">
        <f>Ringkasan!AB274</f>
        <v>Financials</v>
      </c>
    </row>
    <row r="275">
      <c r="A275" s="64" t="str">
        <f>Ringkasan!A275</f>
        <v>BBRI</v>
      </c>
      <c r="B275" s="60" t="str">
        <f>Ringkasan!B275</f>
        <v>PT Bank Rakyat Indonesia (Persero) Tbk</v>
      </c>
      <c r="C275" s="61">
        <f>Ringkasan!C275</f>
        <v>2850</v>
      </c>
      <c r="D275" s="60" t="str">
        <f>Ringkasan!D275</f>
        <v>#N/A</v>
      </c>
      <c r="E275" s="60" t="str">
        <f>Ringkasan!E275</f>
        <v>IDX80</v>
      </c>
      <c r="F275" s="60" t="str">
        <f>Ringkasan!F275</f>
        <v>31 Juli 2026</v>
      </c>
      <c r="G275" s="60">
        <f>Ringkasan!G275</f>
        <v>23</v>
      </c>
      <c r="H275" s="62">
        <f>Ringkasan!H275</f>
        <v>7.7</v>
      </c>
      <c r="I275" s="62">
        <f>Ringkasan!I275</f>
        <v>1.3</v>
      </c>
      <c r="J275" s="62">
        <f>Ringkasan!J275</f>
        <v>17</v>
      </c>
      <c r="K275" s="62">
        <f>Ringkasan!K275</f>
        <v>2.6</v>
      </c>
      <c r="L275" s="62">
        <f>Ringkasan!L275</f>
        <v>5.5</v>
      </c>
      <c r="M275" s="62">
        <f>Ringkasan!M275</f>
        <v>96.8</v>
      </c>
      <c r="N275" s="60">
        <f>Ringkasan!N275</f>
        <v>7.65</v>
      </c>
      <c r="O275" s="60">
        <f>Ringkasan!O275</f>
        <v>24.19</v>
      </c>
      <c r="P275" s="60">
        <f>Ringkasan!P275</f>
        <v>87.43</v>
      </c>
      <c r="Q275" s="60">
        <f>Ringkasan!Q275</f>
        <v>2.86</v>
      </c>
      <c r="R275" s="60">
        <f>Ringkasan!R275</f>
        <v>68.08</v>
      </c>
      <c r="S275" s="60">
        <f>Ringkasan!S275</f>
        <v>40.89</v>
      </c>
      <c r="T275" s="60">
        <f>Ringkasan!T275</f>
        <v>10.24</v>
      </c>
      <c r="U275" s="60">
        <f>Ringkasan!U275</f>
        <v>2850</v>
      </c>
      <c r="V275" s="60">
        <f>Ringkasan!V275</f>
        <v>0</v>
      </c>
      <c r="W275" s="60">
        <f>Ringkasan!W275</f>
        <v>2880</v>
      </c>
      <c r="X275" s="60">
        <f>Ringkasan!X275</f>
        <v>2900</v>
      </c>
      <c r="Y275" s="60">
        <f>Ringkasan!Y275</f>
        <v>2830</v>
      </c>
      <c r="Z275" s="60">
        <f>Ringkasan!Z275</f>
        <v>450530000</v>
      </c>
      <c r="AA275" s="60" t="str">
        <f>Ringkasan!AA275</f>
        <v>Banks</v>
      </c>
      <c r="AB275" s="64" t="str">
        <f>Ringkasan!AB275</f>
        <v>Financials</v>
      </c>
    </row>
    <row r="276">
      <c r="A276" s="64" t="str">
        <f>Ringkasan!A276</f>
        <v>BBRI</v>
      </c>
      <c r="B276" s="60" t="str">
        <f>Ringkasan!B276</f>
        <v>PT Bank Rakyat Indonesia (Persero) Tbk</v>
      </c>
      <c r="C276" s="61">
        <f>Ringkasan!C276</f>
        <v>2850</v>
      </c>
      <c r="D276" s="60" t="str">
        <f>Ringkasan!D276</f>
        <v>#N/A</v>
      </c>
      <c r="E276" s="60" t="str">
        <f>Ringkasan!E276</f>
        <v>IDX30</v>
      </c>
      <c r="F276" s="60" t="str">
        <f>Ringkasan!F276</f>
        <v>31 Juli 2026</v>
      </c>
      <c r="G276" s="60">
        <f>Ringkasan!G276</f>
        <v>23</v>
      </c>
      <c r="H276" s="62">
        <f>Ringkasan!H276</f>
        <v>7.7</v>
      </c>
      <c r="I276" s="62">
        <f>Ringkasan!I276</f>
        <v>1.3</v>
      </c>
      <c r="J276" s="62">
        <f>Ringkasan!J276</f>
        <v>17</v>
      </c>
      <c r="K276" s="62">
        <f>Ringkasan!K276</f>
        <v>2.6</v>
      </c>
      <c r="L276" s="62">
        <f>Ringkasan!L276</f>
        <v>5.5</v>
      </c>
      <c r="M276" s="62">
        <f>Ringkasan!M276</f>
        <v>96.8</v>
      </c>
      <c r="N276" s="60">
        <f>Ringkasan!N276</f>
        <v>7.65</v>
      </c>
      <c r="O276" s="60">
        <f>Ringkasan!O276</f>
        <v>24.19</v>
      </c>
      <c r="P276" s="60">
        <f>Ringkasan!P276</f>
        <v>87.43</v>
      </c>
      <c r="Q276" s="60">
        <f>Ringkasan!Q276</f>
        <v>2.86</v>
      </c>
      <c r="R276" s="60">
        <f>Ringkasan!R276</f>
        <v>68.08</v>
      </c>
      <c r="S276" s="60">
        <f>Ringkasan!S276</f>
        <v>40.89</v>
      </c>
      <c r="T276" s="60">
        <f>Ringkasan!T276</f>
        <v>10.24</v>
      </c>
      <c r="U276" s="60">
        <f>Ringkasan!U276</f>
        <v>2850</v>
      </c>
      <c r="V276" s="60">
        <f>Ringkasan!V276</f>
        <v>0</v>
      </c>
      <c r="W276" s="60">
        <f>Ringkasan!W276</f>
        <v>2880</v>
      </c>
      <c r="X276" s="60">
        <f>Ringkasan!X276</f>
        <v>2900</v>
      </c>
      <c r="Y276" s="60">
        <f>Ringkasan!Y276</f>
        <v>2830</v>
      </c>
      <c r="Z276" s="60">
        <f>Ringkasan!Z276</f>
        <v>450530000</v>
      </c>
      <c r="AA276" s="60" t="str">
        <f>Ringkasan!AA276</f>
        <v>Banks</v>
      </c>
      <c r="AB276" s="64" t="str">
        <f>Ringkasan!AB276</f>
        <v>Financials</v>
      </c>
    </row>
    <row r="277">
      <c r="A277" s="64" t="str">
        <f>Ringkasan!A277</f>
        <v>BBRI</v>
      </c>
      <c r="B277" s="60" t="str">
        <f>Ringkasan!B277</f>
        <v>PT Bank Rakyat Indonesia (Persero) Tbk</v>
      </c>
      <c r="C277" s="61">
        <f>Ringkasan!C277</f>
        <v>2850</v>
      </c>
      <c r="D277" s="60" t="str">
        <f>Ringkasan!D277</f>
        <v>#N/A</v>
      </c>
      <c r="E277" s="60" t="str">
        <f>Ringkasan!E277</f>
        <v>ECONOMIC30</v>
      </c>
      <c r="F277" s="60" t="str">
        <f>Ringkasan!F277</f>
        <v>31 Agustus 2026</v>
      </c>
      <c r="G277" s="60">
        <f>Ringkasan!G277</f>
        <v>23</v>
      </c>
      <c r="H277" s="62">
        <f>Ringkasan!H277</f>
        <v>7.7</v>
      </c>
      <c r="I277" s="62">
        <f>Ringkasan!I277</f>
        <v>1.3</v>
      </c>
      <c r="J277" s="62">
        <f>Ringkasan!J277</f>
        <v>17</v>
      </c>
      <c r="K277" s="62">
        <f>Ringkasan!K277</f>
        <v>2.6</v>
      </c>
      <c r="L277" s="62">
        <f>Ringkasan!L277</f>
        <v>5.5</v>
      </c>
      <c r="M277" s="62">
        <f>Ringkasan!M277</f>
        <v>96.8</v>
      </c>
      <c r="N277" s="60">
        <f>Ringkasan!N277</f>
        <v>7.65</v>
      </c>
      <c r="O277" s="60">
        <f>Ringkasan!O277</f>
        <v>24.19</v>
      </c>
      <c r="P277" s="60">
        <f>Ringkasan!P277</f>
        <v>87.43</v>
      </c>
      <c r="Q277" s="60">
        <f>Ringkasan!Q277</f>
        <v>2.86</v>
      </c>
      <c r="R277" s="60">
        <f>Ringkasan!R277</f>
        <v>68.08</v>
      </c>
      <c r="S277" s="60">
        <f>Ringkasan!S277</f>
        <v>40.89</v>
      </c>
      <c r="T277" s="60">
        <f>Ringkasan!T277</f>
        <v>10.24</v>
      </c>
      <c r="U277" s="60">
        <f>Ringkasan!U277</f>
        <v>2850</v>
      </c>
      <c r="V277" s="60">
        <f>Ringkasan!V277</f>
        <v>0</v>
      </c>
      <c r="W277" s="60">
        <f>Ringkasan!W277</f>
        <v>2880</v>
      </c>
      <c r="X277" s="60">
        <f>Ringkasan!X277</f>
        <v>2900</v>
      </c>
      <c r="Y277" s="60">
        <f>Ringkasan!Y277</f>
        <v>2830</v>
      </c>
      <c r="Z277" s="60">
        <f>Ringkasan!Z277</f>
        <v>450530000</v>
      </c>
      <c r="AA277" s="60" t="str">
        <f>Ringkasan!AA277</f>
        <v>Banks</v>
      </c>
      <c r="AB277" s="64" t="str">
        <f>Ringkasan!AB277</f>
        <v>Financials</v>
      </c>
    </row>
    <row r="278">
      <c r="A278" s="64" t="str">
        <f>Ringkasan!A278</f>
        <v>BBRI</v>
      </c>
      <c r="B278" s="60" t="str">
        <f>Ringkasan!B278</f>
        <v>PT Bank Rakyat Indonesia (Persero) Tbk</v>
      </c>
      <c r="C278" s="61">
        <f>Ringkasan!C278</f>
        <v>2850</v>
      </c>
      <c r="D278" s="60" t="str">
        <f>Ringkasan!D278</f>
        <v>#N/A</v>
      </c>
      <c r="E278" s="60" t="str">
        <f>Ringkasan!E278</f>
        <v>IDXESGL</v>
      </c>
      <c r="F278" s="60" t="str">
        <f>Ringkasan!F278</f>
        <v>30 Oktober 2026</v>
      </c>
      <c r="G278" s="60">
        <f>Ringkasan!G278</f>
        <v>23</v>
      </c>
      <c r="H278" s="62">
        <f>Ringkasan!H278</f>
        <v>7.7</v>
      </c>
      <c r="I278" s="62">
        <f>Ringkasan!I278</f>
        <v>1.3</v>
      </c>
      <c r="J278" s="62">
        <f>Ringkasan!J278</f>
        <v>17</v>
      </c>
      <c r="K278" s="62">
        <f>Ringkasan!K278</f>
        <v>2.6</v>
      </c>
      <c r="L278" s="62">
        <f>Ringkasan!L278</f>
        <v>5.5</v>
      </c>
      <c r="M278" s="62">
        <f>Ringkasan!M278</f>
        <v>96.8</v>
      </c>
      <c r="N278" s="60">
        <f>Ringkasan!N278</f>
        <v>7.65</v>
      </c>
      <c r="O278" s="60">
        <f>Ringkasan!O278</f>
        <v>24.19</v>
      </c>
      <c r="P278" s="60">
        <f>Ringkasan!P278</f>
        <v>87.43</v>
      </c>
      <c r="Q278" s="60">
        <f>Ringkasan!Q278</f>
        <v>2.86</v>
      </c>
      <c r="R278" s="60">
        <f>Ringkasan!R278</f>
        <v>68.08</v>
      </c>
      <c r="S278" s="60">
        <f>Ringkasan!S278</f>
        <v>40.89</v>
      </c>
      <c r="T278" s="60">
        <f>Ringkasan!T278</f>
        <v>10.24</v>
      </c>
      <c r="U278" s="60">
        <f>Ringkasan!U278</f>
        <v>2850</v>
      </c>
      <c r="V278" s="60">
        <f>Ringkasan!V278</f>
        <v>0</v>
      </c>
      <c r="W278" s="60">
        <f>Ringkasan!W278</f>
        <v>2880</v>
      </c>
      <c r="X278" s="60">
        <f>Ringkasan!X278</f>
        <v>2900</v>
      </c>
      <c r="Y278" s="60">
        <f>Ringkasan!Y278</f>
        <v>2830</v>
      </c>
      <c r="Z278" s="60">
        <f>Ringkasan!Z278</f>
        <v>450530000</v>
      </c>
      <c r="AA278" s="60" t="str">
        <f>Ringkasan!AA278</f>
        <v>Banks</v>
      </c>
      <c r="AB278" s="64" t="str">
        <f>Ringkasan!AB278</f>
        <v>Financials</v>
      </c>
    </row>
    <row r="279">
      <c r="A279" s="64" t="str">
        <f>Ringkasan!A279</f>
        <v>BBRI</v>
      </c>
      <c r="B279" s="60" t="str">
        <f>Ringkasan!B279</f>
        <v>PT Bank Rakyat Indonesia (Persero) Tbk</v>
      </c>
      <c r="C279" s="61">
        <f>Ringkasan!C279</f>
        <v>2850</v>
      </c>
      <c r="D279" s="60" t="str">
        <f>Ringkasan!D279</f>
        <v>#N/A</v>
      </c>
      <c r="E279" s="60" t="str">
        <f>Ringkasan!E279</f>
        <v>IDXHIDIV20</v>
      </c>
      <c r="F279" s="60" t="str">
        <f>Ringkasan!F279</f>
        <v>2 Februari 2027</v>
      </c>
      <c r="G279" s="60">
        <f>Ringkasan!G279</f>
        <v>23</v>
      </c>
      <c r="H279" s="62">
        <f>Ringkasan!H279</f>
        <v>7.7</v>
      </c>
      <c r="I279" s="62">
        <f>Ringkasan!I279</f>
        <v>1.3</v>
      </c>
      <c r="J279" s="62">
        <f>Ringkasan!J279</f>
        <v>17</v>
      </c>
      <c r="K279" s="62">
        <f>Ringkasan!K279</f>
        <v>2.6</v>
      </c>
      <c r="L279" s="62">
        <f>Ringkasan!L279</f>
        <v>5.5</v>
      </c>
      <c r="M279" s="62">
        <f>Ringkasan!M279</f>
        <v>96.8</v>
      </c>
      <c r="N279" s="60">
        <f>Ringkasan!N279</f>
        <v>7.65</v>
      </c>
      <c r="O279" s="60">
        <f>Ringkasan!O279</f>
        <v>24.19</v>
      </c>
      <c r="P279" s="60">
        <f>Ringkasan!P279</f>
        <v>87.43</v>
      </c>
      <c r="Q279" s="60">
        <f>Ringkasan!Q279</f>
        <v>2.86</v>
      </c>
      <c r="R279" s="60">
        <f>Ringkasan!R279</f>
        <v>68.08</v>
      </c>
      <c r="S279" s="60">
        <f>Ringkasan!S279</f>
        <v>40.89</v>
      </c>
      <c r="T279" s="60">
        <f>Ringkasan!T279</f>
        <v>10.24</v>
      </c>
      <c r="U279" s="60">
        <f>Ringkasan!U279</f>
        <v>2850</v>
      </c>
      <c r="V279" s="60">
        <f>Ringkasan!V279</f>
        <v>0</v>
      </c>
      <c r="W279" s="60">
        <f>Ringkasan!W279</f>
        <v>2880</v>
      </c>
      <c r="X279" s="60">
        <f>Ringkasan!X279</f>
        <v>2900</v>
      </c>
      <c r="Y279" s="60">
        <f>Ringkasan!Y279</f>
        <v>2830</v>
      </c>
      <c r="Z279" s="60">
        <f>Ringkasan!Z279</f>
        <v>450530000</v>
      </c>
      <c r="AA279" s="60" t="str">
        <f>Ringkasan!AA279</f>
        <v>Banks</v>
      </c>
      <c r="AB279" s="64" t="str">
        <f>Ringkasan!AB279</f>
        <v>Financials</v>
      </c>
    </row>
    <row r="280">
      <c r="A280" s="64" t="str">
        <f>Ringkasan!A280</f>
        <v>BBRI</v>
      </c>
      <c r="B280" s="60" t="str">
        <f>Ringkasan!B280</f>
        <v>PT Bank Rakyat Indonesia (Persero) Tbk</v>
      </c>
      <c r="C280" s="61">
        <f>Ringkasan!C280</f>
        <v>2850</v>
      </c>
      <c r="D280" s="60" t="str">
        <f>Ringkasan!D280</f>
        <v>#N/A</v>
      </c>
      <c r="E280" s="60" t="str">
        <f>Ringkasan!E280</f>
        <v>Kompas100</v>
      </c>
      <c r="F280" s="60" t="str">
        <f>Ringkasan!F280</f>
        <v>31 Juli 2026</v>
      </c>
      <c r="G280" s="60">
        <f>Ringkasan!G280</f>
        <v>23</v>
      </c>
      <c r="H280" s="62">
        <f>Ringkasan!H280</f>
        <v>7.7</v>
      </c>
      <c r="I280" s="62">
        <f>Ringkasan!I280</f>
        <v>1.3</v>
      </c>
      <c r="J280" s="62">
        <f>Ringkasan!J280</f>
        <v>17</v>
      </c>
      <c r="K280" s="62">
        <f>Ringkasan!K280</f>
        <v>2.6</v>
      </c>
      <c r="L280" s="62">
        <f>Ringkasan!L280</f>
        <v>5.5</v>
      </c>
      <c r="M280" s="62">
        <f>Ringkasan!M280</f>
        <v>96.8</v>
      </c>
      <c r="N280" s="60">
        <f>Ringkasan!N280</f>
        <v>7.65</v>
      </c>
      <c r="O280" s="60">
        <f>Ringkasan!O280</f>
        <v>24.19</v>
      </c>
      <c r="P280" s="60">
        <f>Ringkasan!P280</f>
        <v>87.43</v>
      </c>
      <c r="Q280" s="60">
        <f>Ringkasan!Q280</f>
        <v>2.86</v>
      </c>
      <c r="R280" s="60">
        <f>Ringkasan!R280</f>
        <v>68.08</v>
      </c>
      <c r="S280" s="60">
        <f>Ringkasan!S280</f>
        <v>40.89</v>
      </c>
      <c r="T280" s="60">
        <f>Ringkasan!T280</f>
        <v>10.24</v>
      </c>
      <c r="U280" s="60">
        <f>Ringkasan!U280</f>
        <v>2850</v>
      </c>
      <c r="V280" s="60">
        <f>Ringkasan!V280</f>
        <v>0</v>
      </c>
      <c r="W280" s="60">
        <f>Ringkasan!W280</f>
        <v>2880</v>
      </c>
      <c r="X280" s="60">
        <f>Ringkasan!X280</f>
        <v>2900</v>
      </c>
      <c r="Y280" s="60">
        <f>Ringkasan!Y280</f>
        <v>2830</v>
      </c>
      <c r="Z280" s="60">
        <f>Ringkasan!Z280</f>
        <v>450530000</v>
      </c>
      <c r="AA280" s="60" t="str">
        <f>Ringkasan!AA280</f>
        <v>Banks</v>
      </c>
      <c r="AB280" s="64" t="str">
        <f>Ringkasan!AB280</f>
        <v>Financials</v>
      </c>
    </row>
    <row r="281">
      <c r="A281" s="64" t="str">
        <f>Ringkasan!A281</f>
        <v>BBRI</v>
      </c>
      <c r="B281" s="60" t="str">
        <f>Ringkasan!B281</f>
        <v>PT Bank Rakyat Indonesia (Persero) Tbk</v>
      </c>
      <c r="C281" s="61">
        <f>Ringkasan!C281</f>
        <v>2850</v>
      </c>
      <c r="D281" s="60" t="str">
        <f>Ringkasan!D281</f>
        <v>#N/A</v>
      </c>
      <c r="E281" s="60" t="str">
        <f>Ringkasan!E281</f>
        <v>LQ45</v>
      </c>
      <c r="F281" s="60" t="str">
        <f>Ringkasan!F281</f>
        <v>31 Juli 2026</v>
      </c>
      <c r="G281" s="60">
        <f>Ringkasan!G281</f>
        <v>23</v>
      </c>
      <c r="H281" s="62">
        <f>Ringkasan!H281</f>
        <v>7.7</v>
      </c>
      <c r="I281" s="62">
        <f>Ringkasan!I281</f>
        <v>1.3</v>
      </c>
      <c r="J281" s="62">
        <f>Ringkasan!J281</f>
        <v>17</v>
      </c>
      <c r="K281" s="62">
        <f>Ringkasan!K281</f>
        <v>2.6</v>
      </c>
      <c r="L281" s="62">
        <f>Ringkasan!L281</f>
        <v>5.5</v>
      </c>
      <c r="M281" s="62">
        <f>Ringkasan!M281</f>
        <v>96.8</v>
      </c>
      <c r="N281" s="60">
        <f>Ringkasan!N281</f>
        <v>7.65</v>
      </c>
      <c r="O281" s="60">
        <f>Ringkasan!O281</f>
        <v>24.19</v>
      </c>
      <c r="P281" s="60">
        <f>Ringkasan!P281</f>
        <v>87.43</v>
      </c>
      <c r="Q281" s="60">
        <f>Ringkasan!Q281</f>
        <v>2.86</v>
      </c>
      <c r="R281" s="60">
        <f>Ringkasan!R281</f>
        <v>68.08</v>
      </c>
      <c r="S281" s="60">
        <f>Ringkasan!S281</f>
        <v>40.89</v>
      </c>
      <c r="T281" s="60">
        <f>Ringkasan!T281</f>
        <v>10.24</v>
      </c>
      <c r="U281" s="60">
        <f>Ringkasan!U281</f>
        <v>2850</v>
      </c>
      <c r="V281" s="60">
        <f>Ringkasan!V281</f>
        <v>0</v>
      </c>
      <c r="W281" s="60">
        <f>Ringkasan!W281</f>
        <v>2880</v>
      </c>
      <c r="X281" s="60">
        <f>Ringkasan!X281</f>
        <v>2900</v>
      </c>
      <c r="Y281" s="60">
        <f>Ringkasan!Y281</f>
        <v>2830</v>
      </c>
      <c r="Z281" s="60">
        <f>Ringkasan!Z281</f>
        <v>450530000</v>
      </c>
      <c r="AA281" s="60" t="str">
        <f>Ringkasan!AA281</f>
        <v>Banks</v>
      </c>
      <c r="AB281" s="64" t="str">
        <f>Ringkasan!AB281</f>
        <v>Financials</v>
      </c>
    </row>
    <row r="282">
      <c r="A282" s="64" t="str">
        <f>Ringkasan!A282</f>
        <v>BBRI</v>
      </c>
      <c r="B282" s="60" t="str">
        <f>Ringkasan!B282</f>
        <v>PT Bank Rakyat Indonesia (Persero) Tbk</v>
      </c>
      <c r="C282" s="61">
        <f>Ringkasan!C282</f>
        <v>2850</v>
      </c>
      <c r="D282" s="60" t="str">
        <f>Ringkasan!D282</f>
        <v>#N/A</v>
      </c>
      <c r="E282" s="60" t="str">
        <f>Ringkasan!E282</f>
        <v>BISNIS-27</v>
      </c>
      <c r="F282" s="60" t="str">
        <f>Ringkasan!F282</f>
        <v>30 Oktober 2026</v>
      </c>
      <c r="G282" s="60">
        <f>Ringkasan!G282</f>
        <v>23</v>
      </c>
      <c r="H282" s="62">
        <f>Ringkasan!H282</f>
        <v>7.7</v>
      </c>
      <c r="I282" s="62">
        <f>Ringkasan!I282</f>
        <v>1.3</v>
      </c>
      <c r="J282" s="62">
        <f>Ringkasan!J282</f>
        <v>17</v>
      </c>
      <c r="K282" s="62">
        <f>Ringkasan!K282</f>
        <v>2.6</v>
      </c>
      <c r="L282" s="62">
        <f>Ringkasan!L282</f>
        <v>5.5</v>
      </c>
      <c r="M282" s="62">
        <f>Ringkasan!M282</f>
        <v>96.8</v>
      </c>
      <c r="N282" s="60">
        <f>Ringkasan!N282</f>
        <v>7.65</v>
      </c>
      <c r="O282" s="60">
        <f>Ringkasan!O282</f>
        <v>24.19</v>
      </c>
      <c r="P282" s="60">
        <f>Ringkasan!P282</f>
        <v>87.43</v>
      </c>
      <c r="Q282" s="60">
        <f>Ringkasan!Q282</f>
        <v>2.86</v>
      </c>
      <c r="R282" s="60">
        <f>Ringkasan!R282</f>
        <v>68.08</v>
      </c>
      <c r="S282" s="60">
        <f>Ringkasan!S282</f>
        <v>40.89</v>
      </c>
      <c r="T282" s="60">
        <f>Ringkasan!T282</f>
        <v>10.24</v>
      </c>
      <c r="U282" s="60">
        <f>Ringkasan!U282</f>
        <v>2850</v>
      </c>
      <c r="V282" s="60">
        <f>Ringkasan!V282</f>
        <v>0</v>
      </c>
      <c r="W282" s="60">
        <f>Ringkasan!W282</f>
        <v>2880</v>
      </c>
      <c r="X282" s="60">
        <f>Ringkasan!X282</f>
        <v>2900</v>
      </c>
      <c r="Y282" s="60">
        <f>Ringkasan!Y282</f>
        <v>2830</v>
      </c>
      <c r="Z282" s="60">
        <f>Ringkasan!Z282</f>
        <v>450530000</v>
      </c>
      <c r="AA282" s="60" t="str">
        <f>Ringkasan!AA282</f>
        <v>Banks</v>
      </c>
      <c r="AB282" s="64" t="str">
        <f>Ringkasan!AB282</f>
        <v>Financials</v>
      </c>
    </row>
    <row r="283">
      <c r="A283" s="64" t="str">
        <f>Ringkasan!A283</f>
        <v>BBRI</v>
      </c>
      <c r="B283" s="60" t="str">
        <f>Ringkasan!B283</f>
        <v>PT Bank Rakyat Indonesia (Persero) Tbk</v>
      </c>
      <c r="C283" s="61">
        <f>Ringkasan!C283</f>
        <v>2850</v>
      </c>
      <c r="D283" s="60" t="str">
        <f>Ringkasan!D283</f>
        <v>#N/A</v>
      </c>
      <c r="E283" s="60" t="str">
        <f>Ringkasan!E283</f>
        <v>MNC36</v>
      </c>
      <c r="F283" s="60" t="str">
        <f>Ringkasan!F283</f>
        <v>30 Oktober 2026</v>
      </c>
      <c r="G283" s="60">
        <f>Ringkasan!G283</f>
        <v>23</v>
      </c>
      <c r="H283" s="62">
        <f>Ringkasan!H283</f>
        <v>7.7</v>
      </c>
      <c r="I283" s="62">
        <f>Ringkasan!I283</f>
        <v>1.3</v>
      </c>
      <c r="J283" s="62">
        <f>Ringkasan!J283</f>
        <v>17</v>
      </c>
      <c r="K283" s="62">
        <f>Ringkasan!K283</f>
        <v>2.6</v>
      </c>
      <c r="L283" s="62">
        <f>Ringkasan!L283</f>
        <v>5.5</v>
      </c>
      <c r="M283" s="62">
        <f>Ringkasan!M283</f>
        <v>96.8</v>
      </c>
      <c r="N283" s="60">
        <f>Ringkasan!N283</f>
        <v>7.65</v>
      </c>
      <c r="O283" s="60">
        <f>Ringkasan!O283</f>
        <v>24.19</v>
      </c>
      <c r="P283" s="60">
        <f>Ringkasan!P283</f>
        <v>87.43</v>
      </c>
      <c r="Q283" s="60">
        <f>Ringkasan!Q283</f>
        <v>2.86</v>
      </c>
      <c r="R283" s="60">
        <f>Ringkasan!R283</f>
        <v>68.08</v>
      </c>
      <c r="S283" s="60">
        <f>Ringkasan!S283</f>
        <v>40.89</v>
      </c>
      <c r="T283" s="60">
        <f>Ringkasan!T283</f>
        <v>10.24</v>
      </c>
      <c r="U283" s="60">
        <f>Ringkasan!U283</f>
        <v>2850</v>
      </c>
      <c r="V283" s="60">
        <f>Ringkasan!V283</f>
        <v>0</v>
      </c>
      <c r="W283" s="60">
        <f>Ringkasan!W283</f>
        <v>2880</v>
      </c>
      <c r="X283" s="60">
        <f>Ringkasan!X283</f>
        <v>2900</v>
      </c>
      <c r="Y283" s="60">
        <f>Ringkasan!Y283</f>
        <v>2830</v>
      </c>
      <c r="Z283" s="60">
        <f>Ringkasan!Z283</f>
        <v>450530000</v>
      </c>
      <c r="AA283" s="60" t="str">
        <f>Ringkasan!AA283</f>
        <v>Banks</v>
      </c>
      <c r="AB283" s="64" t="str">
        <f>Ringkasan!AB283</f>
        <v>Financials</v>
      </c>
    </row>
    <row r="284">
      <c r="A284" s="64" t="str">
        <f>Ringkasan!A284</f>
        <v>BBRI</v>
      </c>
      <c r="B284" s="60" t="str">
        <f>Ringkasan!B284</f>
        <v>PT Bank Rakyat Indonesia (Persero) Tbk</v>
      </c>
      <c r="C284" s="61">
        <f>Ringkasan!C284</f>
        <v>2850</v>
      </c>
      <c r="D284" s="60" t="str">
        <f>Ringkasan!D284</f>
        <v>#N/A</v>
      </c>
      <c r="E284" s="60" t="str">
        <f>Ringkasan!E284</f>
        <v>SMINFRA18</v>
      </c>
      <c r="F284" s="60" t="str">
        <f>Ringkasan!F284</f>
        <v>30 Oktober 2026</v>
      </c>
      <c r="G284" s="60">
        <f>Ringkasan!G284</f>
        <v>23</v>
      </c>
      <c r="H284" s="62">
        <f>Ringkasan!H284</f>
        <v>7.7</v>
      </c>
      <c r="I284" s="62">
        <f>Ringkasan!I284</f>
        <v>1.3</v>
      </c>
      <c r="J284" s="62">
        <f>Ringkasan!J284</f>
        <v>17</v>
      </c>
      <c r="K284" s="62">
        <f>Ringkasan!K284</f>
        <v>2.6</v>
      </c>
      <c r="L284" s="62">
        <f>Ringkasan!L284</f>
        <v>5.5</v>
      </c>
      <c r="M284" s="62">
        <f>Ringkasan!M284</f>
        <v>96.8</v>
      </c>
      <c r="N284" s="60">
        <f>Ringkasan!N284</f>
        <v>7.65</v>
      </c>
      <c r="O284" s="60">
        <f>Ringkasan!O284</f>
        <v>24.19</v>
      </c>
      <c r="P284" s="60">
        <f>Ringkasan!P284</f>
        <v>87.43</v>
      </c>
      <c r="Q284" s="60">
        <f>Ringkasan!Q284</f>
        <v>2.86</v>
      </c>
      <c r="R284" s="60">
        <f>Ringkasan!R284</f>
        <v>68.08</v>
      </c>
      <c r="S284" s="60">
        <f>Ringkasan!S284</f>
        <v>40.89</v>
      </c>
      <c r="T284" s="60">
        <f>Ringkasan!T284</f>
        <v>10.24</v>
      </c>
      <c r="U284" s="60">
        <f>Ringkasan!U284</f>
        <v>2850</v>
      </c>
      <c r="V284" s="60">
        <f>Ringkasan!V284</f>
        <v>0</v>
      </c>
      <c r="W284" s="60">
        <f>Ringkasan!W284</f>
        <v>2880</v>
      </c>
      <c r="X284" s="60">
        <f>Ringkasan!X284</f>
        <v>2900</v>
      </c>
      <c r="Y284" s="60">
        <f>Ringkasan!Y284</f>
        <v>2830</v>
      </c>
      <c r="Z284" s="60">
        <f>Ringkasan!Z284</f>
        <v>450530000</v>
      </c>
      <c r="AA284" s="60" t="str">
        <f>Ringkasan!AA284</f>
        <v>Banks</v>
      </c>
      <c r="AB284" s="64" t="str">
        <f>Ringkasan!AB284</f>
        <v>Financials</v>
      </c>
    </row>
    <row r="285">
      <c r="A285" s="64" t="str">
        <f>Ringkasan!A285</f>
        <v>BBRI</v>
      </c>
      <c r="B285" s="60" t="str">
        <f>Ringkasan!B285</f>
        <v>PT Bank Rakyat Indonesia (Persero) Tbk</v>
      </c>
      <c r="C285" s="61">
        <f>Ringkasan!C285</f>
        <v>2850</v>
      </c>
      <c r="D285" s="60" t="str">
        <f>Ringkasan!D285</f>
        <v>#N/A</v>
      </c>
      <c r="E285" s="60" t="str">
        <f>Ringkasan!E285</f>
        <v>IDXBUMN20</v>
      </c>
      <c r="F285" s="60" t="str">
        <f>Ringkasan!F285</f>
        <v>4 Agustus 2026</v>
      </c>
      <c r="G285" s="60">
        <f>Ringkasan!G285</f>
        <v>23</v>
      </c>
      <c r="H285" s="62">
        <f>Ringkasan!H285</f>
        <v>7.7</v>
      </c>
      <c r="I285" s="62">
        <f>Ringkasan!I285</f>
        <v>1.3</v>
      </c>
      <c r="J285" s="62">
        <f>Ringkasan!J285</f>
        <v>17</v>
      </c>
      <c r="K285" s="62">
        <f>Ringkasan!K285</f>
        <v>2.6</v>
      </c>
      <c r="L285" s="62">
        <f>Ringkasan!L285</f>
        <v>5.5</v>
      </c>
      <c r="M285" s="62">
        <f>Ringkasan!M285</f>
        <v>96.8</v>
      </c>
      <c r="N285" s="60">
        <f>Ringkasan!N285</f>
        <v>7.65</v>
      </c>
      <c r="O285" s="60">
        <f>Ringkasan!O285</f>
        <v>24.19</v>
      </c>
      <c r="P285" s="60">
        <f>Ringkasan!P285</f>
        <v>87.43</v>
      </c>
      <c r="Q285" s="60">
        <f>Ringkasan!Q285</f>
        <v>2.86</v>
      </c>
      <c r="R285" s="60">
        <f>Ringkasan!R285</f>
        <v>68.08</v>
      </c>
      <c r="S285" s="60">
        <f>Ringkasan!S285</f>
        <v>40.89</v>
      </c>
      <c r="T285" s="60">
        <f>Ringkasan!T285</f>
        <v>10.24</v>
      </c>
      <c r="U285" s="60">
        <f>Ringkasan!U285</f>
        <v>2850</v>
      </c>
      <c r="V285" s="60">
        <f>Ringkasan!V285</f>
        <v>0</v>
      </c>
      <c r="W285" s="60">
        <f>Ringkasan!W285</f>
        <v>2880</v>
      </c>
      <c r="X285" s="60">
        <f>Ringkasan!X285</f>
        <v>2900</v>
      </c>
      <c r="Y285" s="60">
        <f>Ringkasan!Y285</f>
        <v>2830</v>
      </c>
      <c r="Z285" s="60">
        <f>Ringkasan!Z285</f>
        <v>450530000</v>
      </c>
      <c r="AA285" s="60" t="str">
        <f>Ringkasan!AA285</f>
        <v>Banks</v>
      </c>
      <c r="AB285" s="64" t="str">
        <f>Ringkasan!AB285</f>
        <v>Financials</v>
      </c>
    </row>
    <row r="286">
      <c r="A286" s="64" t="str">
        <f>Ringkasan!A286</f>
        <v>BBRI</v>
      </c>
      <c r="B286" s="60" t="str">
        <f>Ringkasan!B286</f>
        <v>PT Bank Rakyat Indonesia (Persero) Tbk</v>
      </c>
      <c r="C286" s="61">
        <f>Ringkasan!C286</f>
        <v>2850</v>
      </c>
      <c r="D286" s="60" t="str">
        <f>Ringkasan!D286</f>
        <v>#N/A</v>
      </c>
      <c r="E286" s="60" t="str">
        <f>Ringkasan!E286</f>
        <v>Pefindo - iGrade</v>
      </c>
      <c r="F286" s="60" t="str">
        <f>Ringkasan!F286</f>
        <v>30 Juni 2026</v>
      </c>
      <c r="G286" s="60">
        <f>Ringkasan!G286</f>
        <v>23</v>
      </c>
      <c r="H286" s="62">
        <f>Ringkasan!H286</f>
        <v>7.7</v>
      </c>
      <c r="I286" s="62">
        <f>Ringkasan!I286</f>
        <v>1.3</v>
      </c>
      <c r="J286" s="62">
        <f>Ringkasan!J286</f>
        <v>17</v>
      </c>
      <c r="K286" s="62">
        <f>Ringkasan!K286</f>
        <v>2.6</v>
      </c>
      <c r="L286" s="62">
        <f>Ringkasan!L286</f>
        <v>5.5</v>
      </c>
      <c r="M286" s="62">
        <f>Ringkasan!M286</f>
        <v>96.8</v>
      </c>
      <c r="N286" s="60">
        <f>Ringkasan!N286</f>
        <v>7.65</v>
      </c>
      <c r="O286" s="60">
        <f>Ringkasan!O286</f>
        <v>24.19</v>
      </c>
      <c r="P286" s="60">
        <f>Ringkasan!P286</f>
        <v>87.43</v>
      </c>
      <c r="Q286" s="60">
        <f>Ringkasan!Q286</f>
        <v>2.86</v>
      </c>
      <c r="R286" s="60">
        <f>Ringkasan!R286</f>
        <v>68.08</v>
      </c>
      <c r="S286" s="60">
        <f>Ringkasan!S286</f>
        <v>40.89</v>
      </c>
      <c r="T286" s="60">
        <f>Ringkasan!T286</f>
        <v>10.24</v>
      </c>
      <c r="U286" s="60">
        <f>Ringkasan!U286</f>
        <v>2850</v>
      </c>
      <c r="V286" s="60">
        <f>Ringkasan!V286</f>
        <v>0</v>
      </c>
      <c r="W286" s="60">
        <f>Ringkasan!W286</f>
        <v>2880</v>
      </c>
      <c r="X286" s="60">
        <f>Ringkasan!X286</f>
        <v>2900</v>
      </c>
      <c r="Y286" s="60">
        <f>Ringkasan!Y286</f>
        <v>2830</v>
      </c>
      <c r="Z286" s="60">
        <f>Ringkasan!Z286</f>
        <v>450530000</v>
      </c>
      <c r="AA286" s="60" t="str">
        <f>Ringkasan!AA286</f>
        <v>Banks</v>
      </c>
      <c r="AB286" s="64" t="str">
        <f>Ringkasan!AB286</f>
        <v>Financials</v>
      </c>
    </row>
    <row r="287">
      <c r="A287" s="64" t="str">
        <f>Ringkasan!A287</f>
        <v>BBRI</v>
      </c>
      <c r="B287" s="60" t="str">
        <f>Ringkasan!B287</f>
        <v>PT Bank Rakyat Indonesia (Persero) Tbk</v>
      </c>
      <c r="C287" s="61">
        <f>Ringkasan!C287</f>
        <v>2850</v>
      </c>
      <c r="D287" s="60" t="str">
        <f>Ringkasan!D287</f>
        <v>#N/A</v>
      </c>
      <c r="E287" s="60" t="str">
        <f>Ringkasan!E287</f>
        <v>PRIMBANK-10</v>
      </c>
      <c r="F287" s="60" t="str">
        <f>Ringkasan!F287</f>
        <v>30 Juni 2026</v>
      </c>
      <c r="G287" s="60">
        <f>Ringkasan!G287</f>
        <v>23</v>
      </c>
      <c r="H287" s="62">
        <f>Ringkasan!H287</f>
        <v>7.7</v>
      </c>
      <c r="I287" s="62">
        <f>Ringkasan!I287</f>
        <v>1.3</v>
      </c>
      <c r="J287" s="62">
        <f>Ringkasan!J287</f>
        <v>17</v>
      </c>
      <c r="K287" s="62">
        <f>Ringkasan!K287</f>
        <v>2.6</v>
      </c>
      <c r="L287" s="62">
        <f>Ringkasan!L287</f>
        <v>5.5</v>
      </c>
      <c r="M287" s="62">
        <f>Ringkasan!M287</f>
        <v>96.8</v>
      </c>
      <c r="N287" s="60">
        <f>Ringkasan!N287</f>
        <v>7.65</v>
      </c>
      <c r="O287" s="60">
        <f>Ringkasan!O287</f>
        <v>24.19</v>
      </c>
      <c r="P287" s="60">
        <f>Ringkasan!P287</f>
        <v>87.43</v>
      </c>
      <c r="Q287" s="60">
        <f>Ringkasan!Q287</f>
        <v>2.86</v>
      </c>
      <c r="R287" s="60">
        <f>Ringkasan!R287</f>
        <v>68.08</v>
      </c>
      <c r="S287" s="60">
        <f>Ringkasan!S287</f>
        <v>40.89</v>
      </c>
      <c r="T287" s="60">
        <f>Ringkasan!T287</f>
        <v>10.24</v>
      </c>
      <c r="U287" s="60">
        <f>Ringkasan!U287</f>
        <v>2850</v>
      </c>
      <c r="V287" s="60">
        <f>Ringkasan!V287</f>
        <v>0</v>
      </c>
      <c r="W287" s="60">
        <f>Ringkasan!W287</f>
        <v>2880</v>
      </c>
      <c r="X287" s="60">
        <f>Ringkasan!X287</f>
        <v>2900</v>
      </c>
      <c r="Y287" s="60">
        <f>Ringkasan!Y287</f>
        <v>2830</v>
      </c>
      <c r="Z287" s="60">
        <f>Ringkasan!Z287</f>
        <v>450530000</v>
      </c>
      <c r="AA287" s="60" t="str">
        <f>Ringkasan!AA287</f>
        <v>Banks</v>
      </c>
      <c r="AB287" s="64" t="str">
        <f>Ringkasan!AB287</f>
        <v>Financials</v>
      </c>
    </row>
    <row r="288">
      <c r="A288" s="64" t="str">
        <f>Ringkasan!A288</f>
        <v>BBRI</v>
      </c>
      <c r="B288" s="60" t="str">
        <f>Ringkasan!B288</f>
        <v>PT Bank Rakyat Indonesia (Persero) Tbk</v>
      </c>
      <c r="C288" s="61">
        <f>Ringkasan!C288</f>
        <v>2850</v>
      </c>
      <c r="D288" s="60" t="str">
        <f>Ringkasan!D288</f>
        <v>#N/A</v>
      </c>
      <c r="E288" s="60" t="str">
        <f>Ringkasan!E288</f>
        <v>ESGSKEHATI</v>
      </c>
      <c r="F288" s="63">
        <f>Ringkasan!F288</f>
        <v>46356</v>
      </c>
      <c r="G288" s="60">
        <f>Ringkasan!G288</f>
        <v>23</v>
      </c>
      <c r="H288" s="62">
        <f>Ringkasan!H288</f>
        <v>7.7</v>
      </c>
      <c r="I288" s="62">
        <f>Ringkasan!I288</f>
        <v>1.3</v>
      </c>
      <c r="J288" s="62">
        <f>Ringkasan!J288</f>
        <v>17</v>
      </c>
      <c r="K288" s="62">
        <f>Ringkasan!K288</f>
        <v>2.6</v>
      </c>
      <c r="L288" s="62">
        <f>Ringkasan!L288</f>
        <v>5.5</v>
      </c>
      <c r="M288" s="62">
        <f>Ringkasan!M288</f>
        <v>96.8</v>
      </c>
      <c r="N288" s="60">
        <f>Ringkasan!N288</f>
        <v>7.65</v>
      </c>
      <c r="O288" s="60">
        <f>Ringkasan!O288</f>
        <v>24.19</v>
      </c>
      <c r="P288" s="60">
        <f>Ringkasan!P288</f>
        <v>87.43</v>
      </c>
      <c r="Q288" s="60">
        <f>Ringkasan!Q288</f>
        <v>2.86</v>
      </c>
      <c r="R288" s="60">
        <f>Ringkasan!R288</f>
        <v>68.08</v>
      </c>
      <c r="S288" s="60">
        <f>Ringkasan!S288</f>
        <v>40.89</v>
      </c>
      <c r="T288" s="60">
        <f>Ringkasan!T288</f>
        <v>10.24</v>
      </c>
      <c r="U288" s="60">
        <f>Ringkasan!U288</f>
        <v>2850</v>
      </c>
      <c r="V288" s="60">
        <f>Ringkasan!V288</f>
        <v>0</v>
      </c>
      <c r="W288" s="60">
        <f>Ringkasan!W288</f>
        <v>2880</v>
      </c>
      <c r="X288" s="60">
        <f>Ringkasan!X288</f>
        <v>2900</v>
      </c>
      <c r="Y288" s="60">
        <f>Ringkasan!Y288</f>
        <v>2830</v>
      </c>
      <c r="Z288" s="60">
        <f>Ringkasan!Z288</f>
        <v>450530000</v>
      </c>
      <c r="AA288" s="60" t="str">
        <f>Ringkasan!AA288</f>
        <v>Banks</v>
      </c>
      <c r="AB288" s="64" t="str">
        <f>Ringkasan!AB288</f>
        <v>Financials</v>
      </c>
    </row>
    <row r="289">
      <c r="A289" s="64" t="str">
        <f>Ringkasan!A289</f>
        <v>BBRI</v>
      </c>
      <c r="B289" s="60" t="str">
        <f>Ringkasan!B289</f>
        <v>PT Bank Rakyat Indonesia (Persero) Tbk</v>
      </c>
      <c r="C289" s="61">
        <f>Ringkasan!C289</f>
        <v>2850</v>
      </c>
      <c r="D289" s="60" t="str">
        <f>Ringkasan!D289</f>
        <v>#N/A</v>
      </c>
      <c r="E289" s="60" t="str">
        <f>Ringkasan!E289</f>
        <v>SRI-KEHATI</v>
      </c>
      <c r="F289" s="63">
        <f>Ringkasan!F289</f>
        <v>46356</v>
      </c>
      <c r="G289" s="60">
        <f>Ringkasan!G289</f>
        <v>23</v>
      </c>
      <c r="H289" s="62">
        <f>Ringkasan!H289</f>
        <v>7.7</v>
      </c>
      <c r="I289" s="62">
        <f>Ringkasan!I289</f>
        <v>1.3</v>
      </c>
      <c r="J289" s="62">
        <f>Ringkasan!J289</f>
        <v>17</v>
      </c>
      <c r="K289" s="62">
        <f>Ringkasan!K289</f>
        <v>2.6</v>
      </c>
      <c r="L289" s="62">
        <f>Ringkasan!L289</f>
        <v>5.5</v>
      </c>
      <c r="M289" s="62">
        <f>Ringkasan!M289</f>
        <v>96.8</v>
      </c>
      <c r="N289" s="60">
        <f>Ringkasan!N289</f>
        <v>7.65</v>
      </c>
      <c r="O289" s="60">
        <f>Ringkasan!O289</f>
        <v>24.19</v>
      </c>
      <c r="P289" s="60">
        <f>Ringkasan!P289</f>
        <v>87.43</v>
      </c>
      <c r="Q289" s="60">
        <f>Ringkasan!Q289</f>
        <v>2.86</v>
      </c>
      <c r="R289" s="60">
        <f>Ringkasan!R289</f>
        <v>68.08</v>
      </c>
      <c r="S289" s="60">
        <f>Ringkasan!S289</f>
        <v>40.89</v>
      </c>
      <c r="T289" s="60">
        <f>Ringkasan!T289</f>
        <v>10.24</v>
      </c>
      <c r="U289" s="60">
        <f>Ringkasan!U289</f>
        <v>2850</v>
      </c>
      <c r="V289" s="60">
        <f>Ringkasan!V289</f>
        <v>0</v>
      </c>
      <c r="W289" s="60">
        <f>Ringkasan!W289</f>
        <v>2880</v>
      </c>
      <c r="X289" s="60">
        <f>Ringkasan!X289</f>
        <v>2900</v>
      </c>
      <c r="Y289" s="60">
        <f>Ringkasan!Y289</f>
        <v>2830</v>
      </c>
      <c r="Z289" s="60">
        <f>Ringkasan!Z289</f>
        <v>450530000</v>
      </c>
      <c r="AA289" s="60" t="str">
        <f>Ringkasan!AA289</f>
        <v>Banks</v>
      </c>
      <c r="AB289" s="64" t="str">
        <f>Ringkasan!AB289</f>
        <v>Financials</v>
      </c>
    </row>
    <row r="290">
      <c r="A290" s="64" t="str">
        <f>Ringkasan!A290</f>
        <v>BBRI</v>
      </c>
      <c r="B290" s="60" t="str">
        <f>Ringkasan!B290</f>
        <v>PT Bank Rakyat Indonesia (Persero) Tbk</v>
      </c>
      <c r="C290" s="61">
        <f>Ringkasan!C290</f>
        <v>2850</v>
      </c>
      <c r="D290" s="60" t="str">
        <f>Ringkasan!D290</f>
        <v>#N/A</v>
      </c>
      <c r="E290" s="60" t="str">
        <f>Ringkasan!E290</f>
        <v>Investor33</v>
      </c>
      <c r="F290" s="63">
        <f>Ringkasan!F290</f>
        <v>46356</v>
      </c>
      <c r="G290" s="60">
        <f>Ringkasan!G290</f>
        <v>23</v>
      </c>
      <c r="H290" s="62">
        <f>Ringkasan!H290</f>
        <v>7.7</v>
      </c>
      <c r="I290" s="62">
        <f>Ringkasan!I290</f>
        <v>1.3</v>
      </c>
      <c r="J290" s="62">
        <f>Ringkasan!J290</f>
        <v>17</v>
      </c>
      <c r="K290" s="62">
        <f>Ringkasan!K290</f>
        <v>2.6</v>
      </c>
      <c r="L290" s="62">
        <f>Ringkasan!L290</f>
        <v>5.5</v>
      </c>
      <c r="M290" s="62">
        <f>Ringkasan!M290</f>
        <v>96.8</v>
      </c>
      <c r="N290" s="60">
        <f>Ringkasan!N290</f>
        <v>7.65</v>
      </c>
      <c r="O290" s="60">
        <f>Ringkasan!O290</f>
        <v>24.19</v>
      </c>
      <c r="P290" s="60">
        <f>Ringkasan!P290</f>
        <v>87.43</v>
      </c>
      <c r="Q290" s="60">
        <f>Ringkasan!Q290</f>
        <v>2.86</v>
      </c>
      <c r="R290" s="60">
        <f>Ringkasan!R290</f>
        <v>68.08</v>
      </c>
      <c r="S290" s="60">
        <f>Ringkasan!S290</f>
        <v>40.89</v>
      </c>
      <c r="T290" s="60">
        <f>Ringkasan!T290</f>
        <v>10.24</v>
      </c>
      <c r="U290" s="60">
        <f>Ringkasan!U290</f>
        <v>2850</v>
      </c>
      <c r="V290" s="60">
        <f>Ringkasan!V290</f>
        <v>0</v>
      </c>
      <c r="W290" s="60">
        <f>Ringkasan!W290</f>
        <v>2880</v>
      </c>
      <c r="X290" s="60">
        <f>Ringkasan!X290</f>
        <v>2900</v>
      </c>
      <c r="Y290" s="60">
        <f>Ringkasan!Y290</f>
        <v>2830</v>
      </c>
      <c r="Z290" s="60">
        <f>Ringkasan!Z290</f>
        <v>450530000</v>
      </c>
      <c r="AA290" s="60" t="str">
        <f>Ringkasan!AA290</f>
        <v>Banks</v>
      </c>
      <c r="AB290" s="64" t="str">
        <f>Ringkasan!AB290</f>
        <v>Financials</v>
      </c>
    </row>
    <row r="291">
      <c r="A291" s="64" t="str">
        <f>Ringkasan!A362</f>
        <v>BMRI</v>
      </c>
      <c r="B291" s="60" t="str">
        <f>Ringkasan!B362</f>
        <v>Bank Mandiri (Persero) Tbk.</v>
      </c>
      <c r="C291" s="61">
        <f>Ringkasan!C362</f>
        <v>4200</v>
      </c>
      <c r="D291" s="60" t="str">
        <f>Ringkasan!D362</f>
        <v>#N/A</v>
      </c>
      <c r="E291" s="60" t="str">
        <f>Ringkasan!E362</f>
        <v>IDXQ30</v>
      </c>
      <c r="F291" s="60" t="str">
        <f>Ringkasan!F362</f>
        <v>4 Agustus 2026</v>
      </c>
      <c r="G291" s="60">
        <f>Ringkasan!G362</f>
        <v>23</v>
      </c>
      <c r="H291" s="62">
        <f>Ringkasan!H362</f>
        <v>6.5</v>
      </c>
      <c r="I291" s="62">
        <f>Ringkasan!I362</f>
        <v>1.2</v>
      </c>
      <c r="J291" s="62">
        <f>Ringkasan!J362</f>
        <v>18.6</v>
      </c>
      <c r="K291" s="62">
        <f>Ringkasan!K362</f>
        <v>2.4</v>
      </c>
      <c r="L291" s="62">
        <f>Ringkasan!L362</f>
        <v>6.8</v>
      </c>
      <c r="M291" s="62">
        <f>Ringkasan!M362</f>
        <v>130</v>
      </c>
      <c r="N291" s="60">
        <f>Ringkasan!N362</f>
        <v>4.93</v>
      </c>
      <c r="O291" s="60">
        <f>Ringkasan!O362</f>
        <v>20.1</v>
      </c>
      <c r="P291" s="60">
        <f>Ringkasan!P362</f>
        <v>98.04</v>
      </c>
      <c r="Q291" s="60">
        <f>Ringkasan!Q362</f>
        <v>0.97</v>
      </c>
      <c r="R291" s="60">
        <f>Ringkasan!R362</f>
        <v>56.46</v>
      </c>
      <c r="S291" s="60">
        <f>Ringkasan!S362</f>
        <v>35.04</v>
      </c>
      <c r="T291" s="60">
        <f>Ringkasan!T362</f>
        <v>6.81</v>
      </c>
      <c r="U291" s="60">
        <f>Ringkasan!U362</f>
        <v>4250</v>
      </c>
      <c r="V291" s="60">
        <f>Ringkasan!V362</f>
        <v>-1.18</v>
      </c>
      <c r="W291" s="60">
        <f>Ringkasan!W362</f>
        <v>4320</v>
      </c>
      <c r="X291" s="60">
        <f>Ringkasan!X362</f>
        <v>4320</v>
      </c>
      <c r="Y291" s="60">
        <f>Ringkasan!Y362</f>
        <v>4200</v>
      </c>
      <c r="Z291" s="60" t="str">
        <f>Ringkasan!Z362</f>
        <v/>
      </c>
      <c r="AA291" s="60" t="str">
        <f>Ringkasan!AA362</f>
        <v>Banks</v>
      </c>
      <c r="AB291" s="64" t="str">
        <f>Ringkasan!AB362</f>
        <v>Financials</v>
      </c>
    </row>
    <row r="292" hidden="1">
      <c r="A292" s="64" t="str">
        <f>Ringkasan!A291</f>
        <v>BBRM</v>
      </c>
      <c r="B292" s="64" t="str">
        <f>Ringkasan!B291</f>
        <v>Pelayaran Nasional Bina Buana Raya Tbk.</v>
      </c>
      <c r="C292" s="65">
        <f>Ringkasan!C291</f>
        <v>102</v>
      </c>
      <c r="D292" s="64" t="str">
        <f>Ringkasan!D291</f>
        <v>#N/A</v>
      </c>
      <c r="E292" s="64" t="str">
        <f>Ringkasan!E291</f>
        <v/>
      </c>
      <c r="F292" s="64" t="str">
        <f>Ringkasan!F291</f>
        <v/>
      </c>
      <c r="G292" s="65">
        <f>Ringkasan!G291</f>
        <v>0</v>
      </c>
      <c r="H292" s="19">
        <f>Ringkasan!H291</f>
        <v>9.6</v>
      </c>
      <c r="I292" s="19">
        <f>Ringkasan!I291</f>
        <v>1.3</v>
      </c>
      <c r="J292" s="19">
        <f>Ringkasan!J291</f>
        <v>13.7</v>
      </c>
      <c r="K292" s="19">
        <f>Ringkasan!K291</f>
        <v>12.7</v>
      </c>
      <c r="L292" s="19">
        <f>Ringkasan!L291</f>
        <v>0.08</v>
      </c>
      <c r="M292" s="19">
        <f>Ringkasan!M291</f>
        <v>200</v>
      </c>
      <c r="N292" s="64" t="str">
        <f>Ringkasan!N291</f>
        <v/>
      </c>
      <c r="O292" s="64" t="str">
        <f>Ringkasan!O291</f>
        <v/>
      </c>
      <c r="P292" s="64" t="str">
        <f>Ringkasan!P291</f>
        <v/>
      </c>
      <c r="Q292" s="64" t="str">
        <f>Ringkasan!Q291</f>
        <v/>
      </c>
      <c r="R292" s="64" t="str">
        <f>Ringkasan!R291</f>
        <v/>
      </c>
      <c r="S292" s="64" t="str">
        <f>Ringkasan!S291</f>
        <v/>
      </c>
      <c r="T292" s="64" t="str">
        <f>Ringkasan!T291</f>
        <v/>
      </c>
      <c r="U292" s="64">
        <f>Ringkasan!U291</f>
        <v>97</v>
      </c>
      <c r="V292" s="64">
        <f>Ringkasan!V291</f>
        <v>5.15</v>
      </c>
      <c r="W292" s="64">
        <f>Ringkasan!W291</f>
        <v>98</v>
      </c>
      <c r="X292" s="64">
        <f>Ringkasan!X291</f>
        <v>106</v>
      </c>
      <c r="Y292" s="64">
        <f>Ringkasan!Y291</f>
        <v>97</v>
      </c>
      <c r="Z292" s="64">
        <f>Ringkasan!Z291</f>
        <v>7633900</v>
      </c>
      <c r="AA292" s="64" t="str">
        <f>Ringkasan!AA291</f>
        <v>Coal</v>
      </c>
      <c r="AB292" s="64" t="str">
        <f>Ringkasan!AB291</f>
        <v>Energy</v>
      </c>
    </row>
    <row r="293" hidden="1">
      <c r="A293" s="64" t="str">
        <f>Ringkasan!A292</f>
        <v>BBSI</v>
      </c>
      <c r="B293" s="64" t="str">
        <f>Ringkasan!B292</f>
        <v>Krom Bank Indonesia Tbk.</v>
      </c>
      <c r="C293" s="65">
        <f>Ringkasan!C292</f>
        <v>4400</v>
      </c>
      <c r="D293" s="64" t="str">
        <f>Ringkasan!D292</f>
        <v>#N/A</v>
      </c>
      <c r="E293" s="64" t="str">
        <f>Ringkasan!E292</f>
        <v/>
      </c>
      <c r="F293" s="64" t="str">
        <f>Ringkasan!F292</f>
        <v/>
      </c>
      <c r="G293" s="64">
        <f>Ringkasan!G292</f>
        <v>0</v>
      </c>
      <c r="H293" s="19">
        <f>Ringkasan!H292</f>
        <v>91.2</v>
      </c>
      <c r="I293" s="19">
        <f>Ringkasan!I292</f>
        <v>4.6</v>
      </c>
      <c r="J293" s="19">
        <f>Ringkasan!J292</f>
        <v>5.1</v>
      </c>
      <c r="K293" s="19">
        <f>Ringkasan!K292</f>
        <v>1.2</v>
      </c>
      <c r="L293" s="19">
        <f>Ringkasan!L292</f>
        <v>3.2</v>
      </c>
      <c r="M293" s="19">
        <f>Ringkasan!M292</f>
        <v>21.9</v>
      </c>
      <c r="N293" s="64">
        <f>Ringkasan!N292</f>
        <v>19.73</v>
      </c>
      <c r="O293" s="64">
        <f>Ringkasan!O292</f>
        <v>45.31</v>
      </c>
      <c r="P293" s="64">
        <f>Ringkasan!P292</f>
        <v>91.01</v>
      </c>
      <c r="Q293" s="64">
        <f>Ringkasan!Q292</f>
        <v>3.11</v>
      </c>
      <c r="R293" s="64">
        <f>Ringkasan!R292</f>
        <v>89.05</v>
      </c>
      <c r="S293" s="64">
        <f>Ringkasan!S292</f>
        <v>17.64</v>
      </c>
      <c r="T293" s="64" t="str">
        <f>Ringkasan!T292</f>
        <v/>
      </c>
      <c r="U293" s="64">
        <f>Ringkasan!U292</f>
        <v>34.25</v>
      </c>
      <c r="V293" s="64">
        <f>Ringkasan!V292</f>
        <v>-0.23</v>
      </c>
      <c r="W293" s="64">
        <f>Ringkasan!W292</f>
        <v>34.2</v>
      </c>
      <c r="X293" s="64">
        <f>Ringkasan!X292</f>
        <v>35.01</v>
      </c>
      <c r="Y293" s="64">
        <f>Ringkasan!Y292</f>
        <v>34</v>
      </c>
      <c r="Z293" s="64">
        <f>Ringkasan!Z292</f>
        <v>189571</v>
      </c>
      <c r="AA293" s="64" t="str">
        <f>Ringkasan!AA292</f>
        <v>Banks</v>
      </c>
      <c r="AB293" s="64" t="str">
        <f>Ringkasan!AB292</f>
        <v>Financials</v>
      </c>
    </row>
    <row r="294" hidden="1">
      <c r="A294" s="64" t="str">
        <f>Ringkasan!A293</f>
        <v>BBSS</v>
      </c>
      <c r="B294" s="64" t="str">
        <f>Ringkasan!B293</f>
        <v>Bumi Benowo Sukses Sejahtera Tbk.</v>
      </c>
      <c r="C294" s="65">
        <f>Ringkasan!C293</f>
        <v>102</v>
      </c>
      <c r="D294" s="64" t="str">
        <f>Ringkasan!D293</f>
        <v>#N/A</v>
      </c>
      <c r="E294" s="64" t="str">
        <f>Ringkasan!E293</f>
        <v/>
      </c>
      <c r="F294" s="64" t="str">
        <f>Ringkasan!F293</f>
        <v/>
      </c>
      <c r="G294" s="64">
        <f>Ringkasan!G293</f>
        <v>0</v>
      </c>
      <c r="H294" s="19">
        <f>Ringkasan!H293</f>
        <v>-1130</v>
      </c>
      <c r="I294" s="19">
        <f>Ringkasan!I293</f>
        <v>2.5</v>
      </c>
      <c r="J294" s="19">
        <f>Ringkasan!J293</f>
        <v>-0.22</v>
      </c>
      <c r="K294" s="19">
        <f>Ringkasan!K293</f>
        <v>-0.22</v>
      </c>
      <c r="L294" s="19">
        <f>Ringkasan!L293</f>
        <v>0.01</v>
      </c>
      <c r="M294" s="19">
        <f>Ringkasan!M293</f>
        <v>-360</v>
      </c>
      <c r="N294" s="64" t="str">
        <f>Ringkasan!N293</f>
        <v/>
      </c>
      <c r="O294" s="64" t="str">
        <f>Ringkasan!O293</f>
        <v/>
      </c>
      <c r="P294" s="64" t="str">
        <f>Ringkasan!P293</f>
        <v/>
      </c>
      <c r="Q294" s="64" t="str">
        <f>Ringkasan!Q293</f>
        <v/>
      </c>
      <c r="R294" s="64" t="str">
        <f>Ringkasan!R293</f>
        <v/>
      </c>
      <c r="S294" s="64" t="str">
        <f>Ringkasan!S293</f>
        <v/>
      </c>
      <c r="T294" s="64" t="str">
        <f>Ringkasan!T293</f>
        <v/>
      </c>
      <c r="U294" s="64">
        <f>Ringkasan!U293</f>
        <v>104</v>
      </c>
      <c r="V294" s="64">
        <f>Ringkasan!V293</f>
        <v>-1.92</v>
      </c>
      <c r="W294" s="64" t="str">
        <f>Ringkasan!W293</f>
        <v/>
      </c>
      <c r="X294" s="64">
        <f>Ringkasan!X293</f>
        <v>105</v>
      </c>
      <c r="Y294" s="64">
        <f>Ringkasan!Y293</f>
        <v>100</v>
      </c>
      <c r="Z294" s="64">
        <f>Ringkasan!Z293</f>
        <v>261700</v>
      </c>
      <c r="AA294" s="64" t="str">
        <f>Ringkasan!AA293</f>
        <v>Real Estate Management &amp; Development</v>
      </c>
      <c r="AB294" s="64" t="str">
        <f>Ringkasan!AB293</f>
        <v>Properties &amp; Real Estate</v>
      </c>
    </row>
    <row r="295" hidden="1">
      <c r="A295" s="64" t="str">
        <f>Ringkasan!A294</f>
        <v>BBTN</v>
      </c>
      <c r="B295" s="64" t="str">
        <f>Ringkasan!B294</f>
        <v>PT Bank Tabungan Negara (Persero) Tbk</v>
      </c>
      <c r="C295" s="65">
        <f>Ringkasan!C294</f>
        <v>1260</v>
      </c>
      <c r="D295" s="64" t="str">
        <f>Ringkasan!D294</f>
        <v>#N/A</v>
      </c>
      <c r="E295" s="64" t="str">
        <f>Ringkasan!E294</f>
        <v>ESGQKEHATI</v>
      </c>
      <c r="F295" s="66">
        <f>Ringkasan!F294</f>
        <v>46356</v>
      </c>
      <c r="G295" s="64">
        <f>Ringkasan!G294</f>
        <v>14</v>
      </c>
      <c r="H295" s="19">
        <f>Ringkasan!H294</f>
        <v>4.8</v>
      </c>
      <c r="I295" s="19">
        <f>Ringkasan!I294</f>
        <v>0.48</v>
      </c>
      <c r="J295" s="19">
        <f>Ringkasan!J294</f>
        <v>10.1</v>
      </c>
      <c r="K295" s="19">
        <f>Ringkasan!K294</f>
        <v>0.72</v>
      </c>
      <c r="L295" s="19">
        <f>Ringkasan!L294</f>
        <v>12.3</v>
      </c>
      <c r="M295" s="19">
        <f>Ringkasan!M294</f>
        <v>48.5</v>
      </c>
      <c r="N295" s="64">
        <f>Ringkasan!N294</f>
        <v>2.86</v>
      </c>
      <c r="O295" s="64">
        <f>Ringkasan!O294</f>
        <v>18.5</v>
      </c>
      <c r="P295" s="64">
        <f>Ringkasan!P294</f>
        <v>93.79</v>
      </c>
      <c r="Q295" s="64">
        <f>Ringkasan!Q294</f>
        <v>3.16</v>
      </c>
      <c r="R295" s="64">
        <f>Ringkasan!R294</f>
        <v>88.7</v>
      </c>
      <c r="S295" s="64">
        <f>Ringkasan!S294</f>
        <v>57.15</v>
      </c>
      <c r="T295" s="64">
        <f>Ringkasan!T294</f>
        <v>19.65</v>
      </c>
      <c r="U295" s="64">
        <f>Ringkasan!U294</f>
        <v>1185</v>
      </c>
      <c r="V295" s="64">
        <f>Ringkasan!V294</f>
        <v>6.33</v>
      </c>
      <c r="W295" s="64">
        <f>Ringkasan!W294</f>
        <v>1200</v>
      </c>
      <c r="X295" s="64">
        <f>Ringkasan!X294</f>
        <v>1295</v>
      </c>
      <c r="Y295" s="64">
        <f>Ringkasan!Y294</f>
        <v>1190</v>
      </c>
      <c r="Z295" s="64">
        <f>Ringkasan!Z294</f>
        <v>35491400</v>
      </c>
      <c r="AA295" s="64" t="str">
        <f>Ringkasan!AA294</f>
        <v>Banks</v>
      </c>
      <c r="AB295" s="64" t="str">
        <f>Ringkasan!AB294</f>
        <v>Financials</v>
      </c>
    </row>
    <row r="296" hidden="1">
      <c r="A296" s="64" t="str">
        <f>Ringkasan!A295</f>
        <v>BBTN</v>
      </c>
      <c r="B296" s="64" t="str">
        <f>Ringkasan!B295</f>
        <v>PT Bank Tabungan Negara (Persero) Tbk</v>
      </c>
      <c r="C296" s="65">
        <f>Ringkasan!C295</f>
        <v>1260</v>
      </c>
      <c r="D296" s="64" t="str">
        <f>Ringkasan!D295</f>
        <v>#N/A</v>
      </c>
      <c r="E296" s="64" t="str">
        <f>Ringkasan!E295</f>
        <v>Infobank15</v>
      </c>
      <c r="F296" s="64" t="str">
        <f>Ringkasan!F295</f>
        <v>30 Juni 2026</v>
      </c>
      <c r="G296" s="64">
        <f>Ringkasan!G295</f>
        <v>14</v>
      </c>
      <c r="H296" s="19">
        <f>Ringkasan!H295</f>
        <v>4.8</v>
      </c>
      <c r="I296" s="19">
        <f>Ringkasan!I295</f>
        <v>0.48</v>
      </c>
      <c r="J296" s="19">
        <f>Ringkasan!J295</f>
        <v>10.1</v>
      </c>
      <c r="K296" s="19">
        <f>Ringkasan!K295</f>
        <v>0.72</v>
      </c>
      <c r="L296" s="19">
        <f>Ringkasan!L295</f>
        <v>12.3</v>
      </c>
      <c r="M296" s="19">
        <f>Ringkasan!M295</f>
        <v>48.5</v>
      </c>
      <c r="N296" s="64">
        <f>Ringkasan!N295</f>
        <v>2.86</v>
      </c>
      <c r="O296" s="64">
        <f>Ringkasan!O295</f>
        <v>18.5</v>
      </c>
      <c r="P296" s="64">
        <f>Ringkasan!P295</f>
        <v>93.79</v>
      </c>
      <c r="Q296" s="64">
        <f>Ringkasan!Q295</f>
        <v>3.16</v>
      </c>
      <c r="R296" s="64">
        <f>Ringkasan!R295</f>
        <v>88.7</v>
      </c>
      <c r="S296" s="64">
        <f>Ringkasan!S295</f>
        <v>57.15</v>
      </c>
      <c r="T296" s="64">
        <f>Ringkasan!T295</f>
        <v>19.65</v>
      </c>
      <c r="U296" s="64">
        <f>Ringkasan!U295</f>
        <v>1185</v>
      </c>
      <c r="V296" s="64">
        <f>Ringkasan!V295</f>
        <v>6.33</v>
      </c>
      <c r="W296" s="64">
        <f>Ringkasan!W295</f>
        <v>1200</v>
      </c>
      <c r="X296" s="64">
        <f>Ringkasan!X295</f>
        <v>1295</v>
      </c>
      <c r="Y296" s="64">
        <f>Ringkasan!Y295</f>
        <v>1190</v>
      </c>
      <c r="Z296" s="64">
        <f>Ringkasan!Z295</f>
        <v>35491400</v>
      </c>
      <c r="AA296" s="64" t="str">
        <f>Ringkasan!AA295</f>
        <v>Banks</v>
      </c>
      <c r="AB296" s="64" t="str">
        <f>Ringkasan!AB295</f>
        <v>Financials</v>
      </c>
    </row>
    <row r="297" hidden="1">
      <c r="A297" s="64" t="str">
        <f>Ringkasan!A296</f>
        <v>BBTN</v>
      </c>
      <c r="B297" s="64" t="str">
        <f>Ringkasan!B296</f>
        <v>PT Bank Tabungan Negara (Persero) Tbk</v>
      </c>
      <c r="C297" s="65">
        <f>Ringkasan!C296</f>
        <v>1260</v>
      </c>
      <c r="D297" s="64" t="str">
        <f>Ringkasan!D296</f>
        <v>#N/A</v>
      </c>
      <c r="E297" s="64" t="str">
        <f>Ringkasan!E296</f>
        <v>Kompas100</v>
      </c>
      <c r="F297" s="64" t="str">
        <f>Ringkasan!F296</f>
        <v>31 Juli 2026</v>
      </c>
      <c r="G297" s="64">
        <f>Ringkasan!G296</f>
        <v>14</v>
      </c>
      <c r="H297" s="19">
        <f>Ringkasan!H296</f>
        <v>4.8</v>
      </c>
      <c r="I297" s="19">
        <f>Ringkasan!I296</f>
        <v>0.48</v>
      </c>
      <c r="J297" s="19">
        <f>Ringkasan!J296</f>
        <v>10.1</v>
      </c>
      <c r="K297" s="19">
        <f>Ringkasan!K296</f>
        <v>0.72</v>
      </c>
      <c r="L297" s="19">
        <f>Ringkasan!L296</f>
        <v>12.3</v>
      </c>
      <c r="M297" s="19">
        <f>Ringkasan!M296</f>
        <v>48.5</v>
      </c>
      <c r="N297" s="64">
        <f>Ringkasan!N296</f>
        <v>2.86</v>
      </c>
      <c r="O297" s="64">
        <f>Ringkasan!O296</f>
        <v>18.5</v>
      </c>
      <c r="P297" s="64">
        <f>Ringkasan!P296</f>
        <v>93.79</v>
      </c>
      <c r="Q297" s="64">
        <f>Ringkasan!Q296</f>
        <v>3.16</v>
      </c>
      <c r="R297" s="64">
        <f>Ringkasan!R296</f>
        <v>88.7</v>
      </c>
      <c r="S297" s="64">
        <f>Ringkasan!S296</f>
        <v>57.15</v>
      </c>
      <c r="T297" s="64">
        <f>Ringkasan!T296</f>
        <v>19.65</v>
      </c>
      <c r="U297" s="64">
        <f>Ringkasan!U296</f>
        <v>1185</v>
      </c>
      <c r="V297" s="64">
        <f>Ringkasan!V296</f>
        <v>6.33</v>
      </c>
      <c r="W297" s="64">
        <f>Ringkasan!W296</f>
        <v>1200</v>
      </c>
      <c r="X297" s="64">
        <f>Ringkasan!X296</f>
        <v>1295</v>
      </c>
      <c r="Y297" s="64">
        <f>Ringkasan!Y296</f>
        <v>1190</v>
      </c>
      <c r="Z297" s="64">
        <f>Ringkasan!Z296</f>
        <v>35491400</v>
      </c>
      <c r="AA297" s="64" t="str">
        <f>Ringkasan!AA296</f>
        <v>Banks</v>
      </c>
      <c r="AB297" s="64" t="str">
        <f>Ringkasan!AB296</f>
        <v>Financials</v>
      </c>
    </row>
    <row r="298" hidden="1">
      <c r="A298" s="64" t="str">
        <f>Ringkasan!A297</f>
        <v>BBTN</v>
      </c>
      <c r="B298" s="64" t="str">
        <f>Ringkasan!B297</f>
        <v>PT Bank Tabungan Negara (Persero) Tbk</v>
      </c>
      <c r="C298" s="65">
        <f>Ringkasan!C297</f>
        <v>1260</v>
      </c>
      <c r="D298" s="64" t="str">
        <f>Ringkasan!D297</f>
        <v>#N/A</v>
      </c>
      <c r="E298" s="64" t="str">
        <f>Ringkasan!E297</f>
        <v>ECONOMIC30</v>
      </c>
      <c r="F298" s="64" t="str">
        <f>Ringkasan!F297</f>
        <v>31 Agustus 2026</v>
      </c>
      <c r="G298" s="64">
        <f>Ringkasan!G297</f>
        <v>14</v>
      </c>
      <c r="H298" s="19">
        <f>Ringkasan!H297</f>
        <v>4.8</v>
      </c>
      <c r="I298" s="19">
        <f>Ringkasan!I297</f>
        <v>0.48</v>
      </c>
      <c r="J298" s="19">
        <f>Ringkasan!J297</f>
        <v>10.1</v>
      </c>
      <c r="K298" s="19">
        <f>Ringkasan!K297</f>
        <v>0.72</v>
      </c>
      <c r="L298" s="19">
        <f>Ringkasan!L297</f>
        <v>12.3</v>
      </c>
      <c r="M298" s="19">
        <f>Ringkasan!M297</f>
        <v>48.5</v>
      </c>
      <c r="N298" s="64">
        <f>Ringkasan!N297</f>
        <v>2.86</v>
      </c>
      <c r="O298" s="64">
        <f>Ringkasan!O297</f>
        <v>18.5</v>
      </c>
      <c r="P298" s="64">
        <f>Ringkasan!P297</f>
        <v>93.79</v>
      </c>
      <c r="Q298" s="64">
        <f>Ringkasan!Q297</f>
        <v>3.16</v>
      </c>
      <c r="R298" s="64">
        <f>Ringkasan!R297</f>
        <v>88.7</v>
      </c>
      <c r="S298" s="64">
        <f>Ringkasan!S297</f>
        <v>57.15</v>
      </c>
      <c r="T298" s="64">
        <f>Ringkasan!T297</f>
        <v>19.65</v>
      </c>
      <c r="U298" s="64">
        <f>Ringkasan!U297</f>
        <v>1185</v>
      </c>
      <c r="V298" s="64">
        <f>Ringkasan!V297</f>
        <v>6.33</v>
      </c>
      <c r="W298" s="64">
        <f>Ringkasan!W297</f>
        <v>1200</v>
      </c>
      <c r="X298" s="64">
        <f>Ringkasan!X297</f>
        <v>1295</v>
      </c>
      <c r="Y298" s="64">
        <f>Ringkasan!Y297</f>
        <v>1190</v>
      </c>
      <c r="Z298" s="64">
        <f>Ringkasan!Z297</f>
        <v>35491400</v>
      </c>
      <c r="AA298" s="64" t="str">
        <f>Ringkasan!AA297</f>
        <v>Banks</v>
      </c>
      <c r="AB298" s="64" t="str">
        <f>Ringkasan!AB297</f>
        <v>Financials</v>
      </c>
    </row>
    <row r="299" hidden="1">
      <c r="A299" s="64" t="str">
        <f>Ringkasan!A298</f>
        <v>BBTN</v>
      </c>
      <c r="B299" s="64" t="str">
        <f>Ringkasan!B298</f>
        <v>PT Bank Tabungan Negara (Persero) Tbk</v>
      </c>
      <c r="C299" s="65">
        <f>Ringkasan!C298</f>
        <v>1260</v>
      </c>
      <c r="D299" s="64" t="str">
        <f>Ringkasan!D298</f>
        <v>#N/A</v>
      </c>
      <c r="E299" s="64" t="str">
        <f>Ringkasan!E298</f>
        <v>LQ45</v>
      </c>
      <c r="F299" s="64" t="str">
        <f>Ringkasan!F298</f>
        <v>31 Juli 2026</v>
      </c>
      <c r="G299" s="64">
        <f>Ringkasan!G298</f>
        <v>14</v>
      </c>
      <c r="H299" s="19">
        <f>Ringkasan!H298</f>
        <v>4.8</v>
      </c>
      <c r="I299" s="19">
        <f>Ringkasan!I298</f>
        <v>0.48</v>
      </c>
      <c r="J299" s="19">
        <f>Ringkasan!J298</f>
        <v>10.1</v>
      </c>
      <c r="K299" s="19">
        <f>Ringkasan!K298</f>
        <v>0.72</v>
      </c>
      <c r="L299" s="19">
        <f>Ringkasan!L298</f>
        <v>12.3</v>
      </c>
      <c r="M299" s="19">
        <f>Ringkasan!M298</f>
        <v>48.5</v>
      </c>
      <c r="N299" s="64">
        <f>Ringkasan!N298</f>
        <v>2.86</v>
      </c>
      <c r="O299" s="64">
        <f>Ringkasan!O298</f>
        <v>18.5</v>
      </c>
      <c r="P299" s="64">
        <f>Ringkasan!P298</f>
        <v>93.79</v>
      </c>
      <c r="Q299" s="64">
        <f>Ringkasan!Q298</f>
        <v>3.16</v>
      </c>
      <c r="R299" s="64">
        <f>Ringkasan!R298</f>
        <v>88.7</v>
      </c>
      <c r="S299" s="64">
        <f>Ringkasan!S298</f>
        <v>57.15</v>
      </c>
      <c r="T299" s="64">
        <f>Ringkasan!T298</f>
        <v>19.65</v>
      </c>
      <c r="U299" s="64">
        <f>Ringkasan!U298</f>
        <v>1185</v>
      </c>
      <c r="V299" s="64">
        <f>Ringkasan!V298</f>
        <v>6.33</v>
      </c>
      <c r="W299" s="64">
        <f>Ringkasan!W298</f>
        <v>1200</v>
      </c>
      <c r="X299" s="64">
        <f>Ringkasan!X298</f>
        <v>1295</v>
      </c>
      <c r="Y299" s="64">
        <f>Ringkasan!Y298</f>
        <v>1190</v>
      </c>
      <c r="Z299" s="64">
        <f>Ringkasan!Z298</f>
        <v>35491400</v>
      </c>
      <c r="AA299" s="64" t="str">
        <f>Ringkasan!AA298</f>
        <v>Banks</v>
      </c>
      <c r="AB299" s="64" t="str">
        <f>Ringkasan!AB298</f>
        <v>Financials</v>
      </c>
    </row>
    <row r="300" hidden="1">
      <c r="A300" s="64" t="str">
        <f>Ringkasan!A299</f>
        <v>BBTN</v>
      </c>
      <c r="B300" s="64" t="str">
        <f>Ringkasan!B299</f>
        <v>PT Bank Tabungan Negara (Persero) Tbk</v>
      </c>
      <c r="C300" s="65">
        <f>Ringkasan!C299</f>
        <v>1260</v>
      </c>
      <c r="D300" s="64" t="str">
        <f>Ringkasan!D299</f>
        <v>#N/A</v>
      </c>
      <c r="E300" s="64" t="str">
        <f>Ringkasan!E299</f>
        <v>IDX80</v>
      </c>
      <c r="F300" s="64" t="str">
        <f>Ringkasan!F299</f>
        <v>31 Juli 2026</v>
      </c>
      <c r="G300" s="64">
        <f>Ringkasan!G299</f>
        <v>14</v>
      </c>
      <c r="H300" s="19">
        <f>Ringkasan!H299</f>
        <v>4.8</v>
      </c>
      <c r="I300" s="19">
        <f>Ringkasan!I299</f>
        <v>0.48</v>
      </c>
      <c r="J300" s="19">
        <f>Ringkasan!J299</f>
        <v>10.1</v>
      </c>
      <c r="K300" s="19">
        <f>Ringkasan!K299</f>
        <v>0.72</v>
      </c>
      <c r="L300" s="19">
        <f>Ringkasan!L299</f>
        <v>12.3</v>
      </c>
      <c r="M300" s="19">
        <f>Ringkasan!M299</f>
        <v>48.5</v>
      </c>
      <c r="N300" s="64">
        <f>Ringkasan!N299</f>
        <v>2.86</v>
      </c>
      <c r="O300" s="64">
        <f>Ringkasan!O299</f>
        <v>18.5</v>
      </c>
      <c r="P300" s="64">
        <f>Ringkasan!P299</f>
        <v>93.79</v>
      </c>
      <c r="Q300" s="64">
        <f>Ringkasan!Q299</f>
        <v>3.16</v>
      </c>
      <c r="R300" s="64">
        <f>Ringkasan!R299</f>
        <v>88.7</v>
      </c>
      <c r="S300" s="64">
        <f>Ringkasan!S299</f>
        <v>57.15</v>
      </c>
      <c r="T300" s="64">
        <f>Ringkasan!T299</f>
        <v>19.65</v>
      </c>
      <c r="U300" s="64">
        <f>Ringkasan!U299</f>
        <v>1185</v>
      </c>
      <c r="V300" s="64">
        <f>Ringkasan!V299</f>
        <v>6.33</v>
      </c>
      <c r="W300" s="64">
        <f>Ringkasan!W299</f>
        <v>1200</v>
      </c>
      <c r="X300" s="64">
        <f>Ringkasan!X299</f>
        <v>1295</v>
      </c>
      <c r="Y300" s="64">
        <f>Ringkasan!Y299</f>
        <v>1190</v>
      </c>
      <c r="Z300" s="64">
        <f>Ringkasan!Z299</f>
        <v>35491400</v>
      </c>
      <c r="AA300" s="64" t="str">
        <f>Ringkasan!AA299</f>
        <v>Banks</v>
      </c>
      <c r="AB300" s="64" t="str">
        <f>Ringkasan!AB299</f>
        <v>Financials</v>
      </c>
    </row>
    <row r="301" hidden="1">
      <c r="A301" s="64" t="str">
        <f>Ringkasan!A300</f>
        <v>BBTN</v>
      </c>
      <c r="B301" s="64" t="str">
        <f>Ringkasan!B300</f>
        <v>PT Bank Tabungan Negara (Persero) Tbk</v>
      </c>
      <c r="C301" s="65">
        <f>Ringkasan!C300</f>
        <v>1260</v>
      </c>
      <c r="D301" s="64" t="str">
        <f>Ringkasan!D300</f>
        <v>#N/A</v>
      </c>
      <c r="E301" s="64" t="str">
        <f>Ringkasan!E300</f>
        <v>IDXBUMN20</v>
      </c>
      <c r="F301" s="64" t="str">
        <f>Ringkasan!F300</f>
        <v>4 Agustus 2026</v>
      </c>
      <c r="G301" s="64">
        <f>Ringkasan!G300</f>
        <v>14</v>
      </c>
      <c r="H301" s="19">
        <f>Ringkasan!H300</f>
        <v>4.8</v>
      </c>
      <c r="I301" s="19">
        <f>Ringkasan!I300</f>
        <v>0.48</v>
      </c>
      <c r="J301" s="19">
        <f>Ringkasan!J300</f>
        <v>10.1</v>
      </c>
      <c r="K301" s="19">
        <f>Ringkasan!K300</f>
        <v>0.72</v>
      </c>
      <c r="L301" s="19">
        <f>Ringkasan!L300</f>
        <v>12.3</v>
      </c>
      <c r="M301" s="19">
        <f>Ringkasan!M300</f>
        <v>48.5</v>
      </c>
      <c r="N301" s="64">
        <f>Ringkasan!N300</f>
        <v>2.86</v>
      </c>
      <c r="O301" s="64">
        <f>Ringkasan!O300</f>
        <v>18.5</v>
      </c>
      <c r="P301" s="64">
        <f>Ringkasan!P300</f>
        <v>93.79</v>
      </c>
      <c r="Q301" s="64">
        <f>Ringkasan!Q300</f>
        <v>3.16</v>
      </c>
      <c r="R301" s="64">
        <f>Ringkasan!R300</f>
        <v>88.7</v>
      </c>
      <c r="S301" s="64">
        <f>Ringkasan!S300</f>
        <v>57.15</v>
      </c>
      <c r="T301" s="64">
        <f>Ringkasan!T300</f>
        <v>19.65</v>
      </c>
      <c r="U301" s="64">
        <f>Ringkasan!U300</f>
        <v>1185</v>
      </c>
      <c r="V301" s="64">
        <f>Ringkasan!V300</f>
        <v>6.33</v>
      </c>
      <c r="W301" s="64">
        <f>Ringkasan!W300</f>
        <v>1200</v>
      </c>
      <c r="X301" s="64">
        <f>Ringkasan!X300</f>
        <v>1295</v>
      </c>
      <c r="Y301" s="64">
        <f>Ringkasan!Y300</f>
        <v>1190</v>
      </c>
      <c r="Z301" s="64">
        <f>Ringkasan!Z300</f>
        <v>35491400</v>
      </c>
      <c r="AA301" s="64" t="str">
        <f>Ringkasan!AA300</f>
        <v>Banks</v>
      </c>
      <c r="AB301" s="64" t="str">
        <f>Ringkasan!AB300</f>
        <v>Financials</v>
      </c>
    </row>
    <row r="302" hidden="1">
      <c r="A302" s="64" t="str">
        <f>Ringkasan!A301</f>
        <v>BBTN</v>
      </c>
      <c r="B302" s="64" t="str">
        <f>Ringkasan!B301</f>
        <v>PT Bank Tabungan Negara (Persero) Tbk</v>
      </c>
      <c r="C302" s="65">
        <f>Ringkasan!C301</f>
        <v>1260</v>
      </c>
      <c r="D302" s="64" t="str">
        <f>Ringkasan!D301</f>
        <v>#N/A</v>
      </c>
      <c r="E302" s="64" t="str">
        <f>Ringkasan!E301</f>
        <v>IDXV30</v>
      </c>
      <c r="F302" s="64" t="str">
        <f>Ringkasan!F301</f>
        <v>4 Agustus 2026</v>
      </c>
      <c r="G302" s="64">
        <f>Ringkasan!G301</f>
        <v>14</v>
      </c>
      <c r="H302" s="19">
        <f>Ringkasan!H301</f>
        <v>4.8</v>
      </c>
      <c r="I302" s="19">
        <f>Ringkasan!I301</f>
        <v>0.48</v>
      </c>
      <c r="J302" s="19">
        <f>Ringkasan!J301</f>
        <v>10.1</v>
      </c>
      <c r="K302" s="19">
        <f>Ringkasan!K301</f>
        <v>0.72</v>
      </c>
      <c r="L302" s="19">
        <f>Ringkasan!L301</f>
        <v>12.3</v>
      </c>
      <c r="M302" s="19">
        <f>Ringkasan!M301</f>
        <v>48.5</v>
      </c>
      <c r="N302" s="64">
        <f>Ringkasan!N301</f>
        <v>2.86</v>
      </c>
      <c r="O302" s="64">
        <f>Ringkasan!O301</f>
        <v>18.5</v>
      </c>
      <c r="P302" s="64">
        <f>Ringkasan!P301</f>
        <v>93.79</v>
      </c>
      <c r="Q302" s="64">
        <f>Ringkasan!Q301</f>
        <v>3.16</v>
      </c>
      <c r="R302" s="64">
        <f>Ringkasan!R301</f>
        <v>88.7</v>
      </c>
      <c r="S302" s="64">
        <f>Ringkasan!S301</f>
        <v>57.15</v>
      </c>
      <c r="T302" s="64">
        <f>Ringkasan!T301</f>
        <v>19.65</v>
      </c>
      <c r="U302" s="64">
        <f>Ringkasan!U301</f>
        <v>1185</v>
      </c>
      <c r="V302" s="64">
        <f>Ringkasan!V301</f>
        <v>6.33</v>
      </c>
      <c r="W302" s="64">
        <f>Ringkasan!W301</f>
        <v>1200</v>
      </c>
      <c r="X302" s="64">
        <f>Ringkasan!X301</f>
        <v>1295</v>
      </c>
      <c r="Y302" s="64">
        <f>Ringkasan!Y301</f>
        <v>1190</v>
      </c>
      <c r="Z302" s="64">
        <f>Ringkasan!Z301</f>
        <v>35491400</v>
      </c>
      <c r="AA302" s="64" t="str">
        <f>Ringkasan!AA301</f>
        <v>Banks</v>
      </c>
      <c r="AB302" s="64" t="str">
        <f>Ringkasan!AB301</f>
        <v>Financials</v>
      </c>
    </row>
    <row r="303" hidden="1">
      <c r="A303" s="64" t="str">
        <f>Ringkasan!A302</f>
        <v>BBTN</v>
      </c>
      <c r="B303" s="64" t="str">
        <f>Ringkasan!B302</f>
        <v>PT Bank Tabungan Negara (Persero) Tbk</v>
      </c>
      <c r="C303" s="65">
        <f>Ringkasan!C302</f>
        <v>1260</v>
      </c>
      <c r="D303" s="64" t="str">
        <f>Ringkasan!D302</f>
        <v>#N/A</v>
      </c>
      <c r="E303" s="64" t="str">
        <f>Ringkasan!E302</f>
        <v>PRIMBANK-10</v>
      </c>
      <c r="F303" s="64" t="str">
        <f>Ringkasan!F302</f>
        <v>30 Juni 2026</v>
      </c>
      <c r="G303" s="64">
        <f>Ringkasan!G302</f>
        <v>14</v>
      </c>
      <c r="H303" s="19">
        <f>Ringkasan!H302</f>
        <v>4.8</v>
      </c>
      <c r="I303" s="19">
        <f>Ringkasan!I302</f>
        <v>0.48</v>
      </c>
      <c r="J303" s="19">
        <f>Ringkasan!J302</f>
        <v>10.1</v>
      </c>
      <c r="K303" s="19">
        <f>Ringkasan!K302</f>
        <v>0.72</v>
      </c>
      <c r="L303" s="19">
        <f>Ringkasan!L302</f>
        <v>12.3</v>
      </c>
      <c r="M303" s="19">
        <f>Ringkasan!M302</f>
        <v>48.5</v>
      </c>
      <c r="N303" s="64">
        <f>Ringkasan!N302</f>
        <v>2.86</v>
      </c>
      <c r="O303" s="64">
        <f>Ringkasan!O302</f>
        <v>18.5</v>
      </c>
      <c r="P303" s="64">
        <f>Ringkasan!P302</f>
        <v>93.79</v>
      </c>
      <c r="Q303" s="64">
        <f>Ringkasan!Q302</f>
        <v>3.16</v>
      </c>
      <c r="R303" s="64">
        <f>Ringkasan!R302</f>
        <v>88.7</v>
      </c>
      <c r="S303" s="64">
        <f>Ringkasan!S302</f>
        <v>57.15</v>
      </c>
      <c r="T303" s="64">
        <f>Ringkasan!T302</f>
        <v>19.65</v>
      </c>
      <c r="U303" s="64">
        <f>Ringkasan!U302</f>
        <v>1185</v>
      </c>
      <c r="V303" s="64">
        <f>Ringkasan!V302</f>
        <v>6.33</v>
      </c>
      <c r="W303" s="64">
        <f>Ringkasan!W302</f>
        <v>1200</v>
      </c>
      <c r="X303" s="64">
        <f>Ringkasan!X302</f>
        <v>1295</v>
      </c>
      <c r="Y303" s="64">
        <f>Ringkasan!Y302</f>
        <v>1190</v>
      </c>
      <c r="Z303" s="64">
        <f>Ringkasan!Z302</f>
        <v>35491400</v>
      </c>
      <c r="AA303" s="64" t="str">
        <f>Ringkasan!AA302</f>
        <v>Banks</v>
      </c>
      <c r="AB303" s="64" t="str">
        <f>Ringkasan!AB302</f>
        <v>Financials</v>
      </c>
    </row>
    <row r="304" hidden="1">
      <c r="A304" s="64" t="str">
        <f>Ringkasan!A303</f>
        <v>BBTN</v>
      </c>
      <c r="B304" s="64" t="str">
        <f>Ringkasan!B303</f>
        <v>PT Bank Tabungan Negara (Persero) Tbk</v>
      </c>
      <c r="C304" s="65">
        <f>Ringkasan!C303</f>
        <v>1260</v>
      </c>
      <c r="D304" s="64" t="str">
        <f>Ringkasan!D303</f>
        <v>#N/A</v>
      </c>
      <c r="E304" s="64" t="str">
        <f>Ringkasan!E303</f>
        <v>IDXSMC-LIQ</v>
      </c>
      <c r="F304" s="64" t="str">
        <f>Ringkasan!F303</f>
        <v>4 Agustus 2026</v>
      </c>
      <c r="G304" s="64">
        <f>Ringkasan!G303</f>
        <v>14</v>
      </c>
      <c r="H304" s="19">
        <f>Ringkasan!H303</f>
        <v>4.8</v>
      </c>
      <c r="I304" s="19">
        <f>Ringkasan!I303</f>
        <v>0.48</v>
      </c>
      <c r="J304" s="19">
        <f>Ringkasan!J303</f>
        <v>10.1</v>
      </c>
      <c r="K304" s="19">
        <f>Ringkasan!K303</f>
        <v>0.72</v>
      </c>
      <c r="L304" s="19">
        <f>Ringkasan!L303</f>
        <v>12.3</v>
      </c>
      <c r="M304" s="19">
        <f>Ringkasan!M303</f>
        <v>48.5</v>
      </c>
      <c r="N304" s="64">
        <f>Ringkasan!N303</f>
        <v>2.86</v>
      </c>
      <c r="O304" s="64">
        <f>Ringkasan!O303</f>
        <v>18.5</v>
      </c>
      <c r="P304" s="64">
        <f>Ringkasan!P303</f>
        <v>93.79</v>
      </c>
      <c r="Q304" s="64">
        <f>Ringkasan!Q303</f>
        <v>3.16</v>
      </c>
      <c r="R304" s="64">
        <f>Ringkasan!R303</f>
        <v>88.7</v>
      </c>
      <c r="S304" s="64">
        <f>Ringkasan!S303</f>
        <v>57.15</v>
      </c>
      <c r="T304" s="64">
        <f>Ringkasan!T303</f>
        <v>19.65</v>
      </c>
      <c r="U304" s="64">
        <f>Ringkasan!U303</f>
        <v>1185</v>
      </c>
      <c r="V304" s="64">
        <f>Ringkasan!V303</f>
        <v>6.33</v>
      </c>
      <c r="W304" s="64">
        <f>Ringkasan!W303</f>
        <v>1200</v>
      </c>
      <c r="X304" s="64">
        <f>Ringkasan!X303</f>
        <v>1295</v>
      </c>
      <c r="Y304" s="64">
        <f>Ringkasan!Y303</f>
        <v>1190</v>
      </c>
      <c r="Z304" s="64">
        <f>Ringkasan!Z303</f>
        <v>35491400</v>
      </c>
      <c r="AA304" s="64" t="str">
        <f>Ringkasan!AA303</f>
        <v>Banks</v>
      </c>
      <c r="AB304" s="64" t="str">
        <f>Ringkasan!AB303</f>
        <v>Financials</v>
      </c>
    </row>
    <row r="305" hidden="1">
      <c r="A305" s="64" t="str">
        <f>Ringkasan!A304</f>
        <v>BBTN</v>
      </c>
      <c r="B305" s="64" t="str">
        <f>Ringkasan!B304</f>
        <v>PT Bank Tabungan Negara (Persero) Tbk</v>
      </c>
      <c r="C305" s="65">
        <f>Ringkasan!C304</f>
        <v>1260</v>
      </c>
      <c r="D305" s="64" t="str">
        <f>Ringkasan!D304</f>
        <v>#N/A</v>
      </c>
      <c r="E305" s="64" t="str">
        <f>Ringkasan!E304</f>
        <v>MSCI Small Cap</v>
      </c>
      <c r="F305" s="64" t="str">
        <f>Ringkasan!F304</f>
        <v>12 Agustus 2026</v>
      </c>
      <c r="G305" s="64">
        <f>Ringkasan!G304</f>
        <v>14</v>
      </c>
      <c r="H305" s="19">
        <f>Ringkasan!H304</f>
        <v>4.8</v>
      </c>
      <c r="I305" s="19">
        <f>Ringkasan!I304</f>
        <v>0.48</v>
      </c>
      <c r="J305" s="19">
        <f>Ringkasan!J304</f>
        <v>10.1</v>
      </c>
      <c r="K305" s="19">
        <f>Ringkasan!K304</f>
        <v>0.72</v>
      </c>
      <c r="L305" s="19">
        <f>Ringkasan!L304</f>
        <v>12.3</v>
      </c>
      <c r="M305" s="19">
        <f>Ringkasan!M304</f>
        <v>48.5</v>
      </c>
      <c r="N305" s="64">
        <f>Ringkasan!N304</f>
        <v>2.86</v>
      </c>
      <c r="O305" s="64">
        <f>Ringkasan!O304</f>
        <v>18.5</v>
      </c>
      <c r="P305" s="64">
        <f>Ringkasan!P304</f>
        <v>93.79</v>
      </c>
      <c r="Q305" s="64">
        <f>Ringkasan!Q304</f>
        <v>3.16</v>
      </c>
      <c r="R305" s="64">
        <f>Ringkasan!R304</f>
        <v>88.7</v>
      </c>
      <c r="S305" s="64">
        <f>Ringkasan!S304</f>
        <v>57.15</v>
      </c>
      <c r="T305" s="64">
        <f>Ringkasan!T304</f>
        <v>19.65</v>
      </c>
      <c r="U305" s="64">
        <f>Ringkasan!U304</f>
        <v>1185</v>
      </c>
      <c r="V305" s="64">
        <f>Ringkasan!V304</f>
        <v>6.33</v>
      </c>
      <c r="W305" s="64">
        <f>Ringkasan!W304</f>
        <v>1200</v>
      </c>
      <c r="X305" s="64">
        <f>Ringkasan!X304</f>
        <v>1295</v>
      </c>
      <c r="Y305" s="64">
        <f>Ringkasan!Y304</f>
        <v>1190</v>
      </c>
      <c r="Z305" s="64">
        <f>Ringkasan!Z304</f>
        <v>35491400</v>
      </c>
      <c r="AA305" s="64" t="str">
        <f>Ringkasan!AA304</f>
        <v>Banks</v>
      </c>
      <c r="AB305" s="64" t="str">
        <f>Ringkasan!AB304</f>
        <v>Financials</v>
      </c>
    </row>
    <row r="306" hidden="1">
      <c r="A306" s="64" t="str">
        <f>Ringkasan!A305</f>
        <v>BBTN</v>
      </c>
      <c r="B306" s="64" t="str">
        <f>Ringkasan!B305</f>
        <v>PT Bank Tabungan Negara (Persero) Tbk</v>
      </c>
      <c r="C306" s="65">
        <f>Ringkasan!C305</f>
        <v>1260</v>
      </c>
      <c r="D306" s="64" t="str">
        <f>Ringkasan!D305</f>
        <v>#N/A</v>
      </c>
      <c r="E306" s="64" t="str">
        <f>Ringkasan!E305</f>
        <v>ESGSKEHATI</v>
      </c>
      <c r="F306" s="66">
        <f>Ringkasan!F305</f>
        <v>46356</v>
      </c>
      <c r="G306" s="64">
        <f>Ringkasan!G305</f>
        <v>14</v>
      </c>
      <c r="H306" s="19">
        <f>Ringkasan!H305</f>
        <v>4.8</v>
      </c>
      <c r="I306" s="19">
        <f>Ringkasan!I305</f>
        <v>0.48</v>
      </c>
      <c r="J306" s="19">
        <f>Ringkasan!J305</f>
        <v>10.1</v>
      </c>
      <c r="K306" s="19">
        <f>Ringkasan!K305</f>
        <v>0.72</v>
      </c>
      <c r="L306" s="19">
        <f>Ringkasan!L305</f>
        <v>12.3</v>
      </c>
      <c r="M306" s="19">
        <f>Ringkasan!M305</f>
        <v>48.5</v>
      </c>
      <c r="N306" s="64">
        <f>Ringkasan!N305</f>
        <v>2.86</v>
      </c>
      <c r="O306" s="64">
        <f>Ringkasan!O305</f>
        <v>18.5</v>
      </c>
      <c r="P306" s="64">
        <f>Ringkasan!P305</f>
        <v>93.79</v>
      </c>
      <c r="Q306" s="64">
        <f>Ringkasan!Q305</f>
        <v>3.16</v>
      </c>
      <c r="R306" s="64">
        <f>Ringkasan!R305</f>
        <v>88.7</v>
      </c>
      <c r="S306" s="64">
        <f>Ringkasan!S305</f>
        <v>57.15</v>
      </c>
      <c r="T306" s="64">
        <f>Ringkasan!T305</f>
        <v>19.65</v>
      </c>
      <c r="U306" s="64">
        <f>Ringkasan!U305</f>
        <v>1185</v>
      </c>
      <c r="V306" s="64">
        <f>Ringkasan!V305</f>
        <v>6.33</v>
      </c>
      <c r="W306" s="64">
        <f>Ringkasan!W305</f>
        <v>1200</v>
      </c>
      <c r="X306" s="64">
        <f>Ringkasan!X305</f>
        <v>1295</v>
      </c>
      <c r="Y306" s="64">
        <f>Ringkasan!Y305</f>
        <v>1190</v>
      </c>
      <c r="Z306" s="64">
        <f>Ringkasan!Z305</f>
        <v>35491400</v>
      </c>
      <c r="AA306" s="64" t="str">
        <f>Ringkasan!AA305</f>
        <v>Banks</v>
      </c>
      <c r="AB306" s="64" t="str">
        <f>Ringkasan!AB305</f>
        <v>Financials</v>
      </c>
    </row>
    <row r="307" hidden="1">
      <c r="A307" s="64" t="str">
        <f>Ringkasan!A306</f>
        <v>BBTN</v>
      </c>
      <c r="B307" s="64" t="str">
        <f>Ringkasan!B306</f>
        <v>PT Bank Tabungan Negara (Persero) Tbk</v>
      </c>
      <c r="C307" s="65">
        <f>Ringkasan!C306</f>
        <v>1260</v>
      </c>
      <c r="D307" s="64" t="str">
        <f>Ringkasan!D306</f>
        <v>#N/A</v>
      </c>
      <c r="E307" s="64" t="str">
        <f>Ringkasan!E306</f>
        <v>SRI-KEHATI</v>
      </c>
      <c r="F307" s="66">
        <f>Ringkasan!F306</f>
        <v>46356</v>
      </c>
      <c r="G307" s="64">
        <f>Ringkasan!G306</f>
        <v>14</v>
      </c>
      <c r="H307" s="19">
        <f>Ringkasan!H306</f>
        <v>4.8</v>
      </c>
      <c r="I307" s="19">
        <f>Ringkasan!I306</f>
        <v>0.48</v>
      </c>
      <c r="J307" s="19">
        <f>Ringkasan!J306</f>
        <v>10.1</v>
      </c>
      <c r="K307" s="19">
        <f>Ringkasan!K306</f>
        <v>0.72</v>
      </c>
      <c r="L307" s="19">
        <f>Ringkasan!L306</f>
        <v>12.3</v>
      </c>
      <c r="M307" s="19">
        <f>Ringkasan!M306</f>
        <v>48.5</v>
      </c>
      <c r="N307" s="64">
        <f>Ringkasan!N306</f>
        <v>2.86</v>
      </c>
      <c r="O307" s="64">
        <f>Ringkasan!O306</f>
        <v>18.5</v>
      </c>
      <c r="P307" s="64">
        <f>Ringkasan!P306</f>
        <v>93.79</v>
      </c>
      <c r="Q307" s="64">
        <f>Ringkasan!Q306</f>
        <v>3.16</v>
      </c>
      <c r="R307" s="64">
        <f>Ringkasan!R306</f>
        <v>88.7</v>
      </c>
      <c r="S307" s="64">
        <f>Ringkasan!S306</f>
        <v>57.15</v>
      </c>
      <c r="T307" s="64">
        <f>Ringkasan!T306</f>
        <v>19.65</v>
      </c>
      <c r="U307" s="64">
        <f>Ringkasan!U306</f>
        <v>1185</v>
      </c>
      <c r="V307" s="64">
        <f>Ringkasan!V306</f>
        <v>6.33</v>
      </c>
      <c r="W307" s="64">
        <f>Ringkasan!W306</f>
        <v>1200</v>
      </c>
      <c r="X307" s="64">
        <f>Ringkasan!X306</f>
        <v>1295</v>
      </c>
      <c r="Y307" s="64">
        <f>Ringkasan!Y306</f>
        <v>1190</v>
      </c>
      <c r="Z307" s="64">
        <f>Ringkasan!Z306</f>
        <v>35491400</v>
      </c>
      <c r="AA307" s="64" t="str">
        <f>Ringkasan!AA306</f>
        <v>Banks</v>
      </c>
      <c r="AB307" s="64" t="str">
        <f>Ringkasan!AB306</f>
        <v>Financials</v>
      </c>
    </row>
    <row r="308" hidden="1">
      <c r="A308" s="64" t="str">
        <f>Ringkasan!A307</f>
        <v>BBTN</v>
      </c>
      <c r="B308" s="64" t="str">
        <f>Ringkasan!B307</f>
        <v>PT Bank Tabungan Negara (Persero) Tbk</v>
      </c>
      <c r="C308" s="65">
        <f>Ringkasan!C307</f>
        <v>1260</v>
      </c>
      <c r="D308" s="64" t="str">
        <f>Ringkasan!D307</f>
        <v>#N/A</v>
      </c>
      <c r="E308" s="64" t="str">
        <f>Ringkasan!E307</f>
        <v>Investor33</v>
      </c>
      <c r="F308" s="66">
        <f>Ringkasan!F307</f>
        <v>46356</v>
      </c>
      <c r="G308" s="64">
        <f>Ringkasan!G307</f>
        <v>14</v>
      </c>
      <c r="H308" s="19">
        <f>Ringkasan!H307</f>
        <v>4.8</v>
      </c>
      <c r="I308" s="19">
        <f>Ringkasan!I307</f>
        <v>0.48</v>
      </c>
      <c r="J308" s="19">
        <f>Ringkasan!J307</f>
        <v>10.1</v>
      </c>
      <c r="K308" s="19">
        <f>Ringkasan!K307</f>
        <v>0.72</v>
      </c>
      <c r="L308" s="19">
        <f>Ringkasan!L307</f>
        <v>12.3</v>
      </c>
      <c r="M308" s="19">
        <f>Ringkasan!M307</f>
        <v>48.5</v>
      </c>
      <c r="N308" s="64">
        <f>Ringkasan!N307</f>
        <v>2.86</v>
      </c>
      <c r="O308" s="64">
        <f>Ringkasan!O307</f>
        <v>18.5</v>
      </c>
      <c r="P308" s="64">
        <f>Ringkasan!P307</f>
        <v>93.79</v>
      </c>
      <c r="Q308" s="64">
        <f>Ringkasan!Q307</f>
        <v>3.16</v>
      </c>
      <c r="R308" s="64">
        <f>Ringkasan!R307</f>
        <v>88.7</v>
      </c>
      <c r="S308" s="64">
        <f>Ringkasan!S307</f>
        <v>57.15</v>
      </c>
      <c r="T308" s="64">
        <f>Ringkasan!T307</f>
        <v>19.65</v>
      </c>
      <c r="U308" s="64">
        <f>Ringkasan!U307</f>
        <v>1185</v>
      </c>
      <c r="V308" s="64">
        <f>Ringkasan!V307</f>
        <v>6.33</v>
      </c>
      <c r="W308" s="64">
        <f>Ringkasan!W307</f>
        <v>1200</v>
      </c>
      <c r="X308" s="64">
        <f>Ringkasan!X307</f>
        <v>1295</v>
      </c>
      <c r="Y308" s="64">
        <f>Ringkasan!Y307</f>
        <v>1190</v>
      </c>
      <c r="Z308" s="64">
        <f>Ringkasan!Z307</f>
        <v>35491400</v>
      </c>
      <c r="AA308" s="64" t="str">
        <f>Ringkasan!AA307</f>
        <v>Banks</v>
      </c>
      <c r="AB308" s="64" t="str">
        <f>Ringkasan!AB307</f>
        <v>Financials</v>
      </c>
    </row>
    <row r="309" hidden="1">
      <c r="A309" s="64" t="str">
        <f>Ringkasan!A308</f>
        <v>BBYB</v>
      </c>
      <c r="B309" s="64" t="str">
        <f>Ringkasan!B308</f>
        <v>PT Bank Neo Commerce Tbk.</v>
      </c>
      <c r="C309" s="65">
        <f>Ringkasan!C308</f>
        <v>234</v>
      </c>
      <c r="D309" s="64" t="str">
        <f>Ringkasan!D308</f>
        <v>#N/A</v>
      </c>
      <c r="E309" s="64" t="str">
        <f>Ringkasan!E308</f>
        <v>Kompas100</v>
      </c>
      <c r="F309" s="64" t="str">
        <f>Ringkasan!F308</f>
        <v>31 Juli 2026</v>
      </c>
      <c r="G309" s="64">
        <f>Ringkasan!G308</f>
        <v>2</v>
      </c>
      <c r="H309" s="19">
        <f>Ringkasan!H308</f>
        <v>6.4</v>
      </c>
      <c r="I309" s="19">
        <f>Ringkasan!I308</f>
        <v>0.81</v>
      </c>
      <c r="J309" s="19">
        <f>Ringkasan!J308</f>
        <v>12.6</v>
      </c>
      <c r="K309" s="19">
        <f>Ringkasan!K308</f>
        <v>3</v>
      </c>
      <c r="L309" s="19">
        <f>Ringkasan!L308</f>
        <v>3.3</v>
      </c>
      <c r="M309" s="19">
        <f>Ringkasan!M308</f>
        <v>70.9</v>
      </c>
      <c r="N309" s="64">
        <f>Ringkasan!N308</f>
        <v>18.34</v>
      </c>
      <c r="O309" s="64">
        <f>Ringkasan!O308</f>
        <v>22.23</v>
      </c>
      <c r="P309" s="64">
        <f>Ringkasan!P308</f>
        <v>75.7</v>
      </c>
      <c r="Q309" s="64">
        <f>Ringkasan!Q308</f>
        <v>3.3</v>
      </c>
      <c r="R309" s="64">
        <f>Ringkasan!R308</f>
        <v>99.23</v>
      </c>
      <c r="S309" s="64">
        <f>Ringkasan!S308</f>
        <v>40.58</v>
      </c>
      <c r="T309" s="64">
        <f>Ringkasan!T308</f>
        <v>11.43</v>
      </c>
      <c r="U309" s="64">
        <f>Ringkasan!U308</f>
        <v>226</v>
      </c>
      <c r="V309" s="64">
        <f>Ringkasan!V308</f>
        <v>3.54</v>
      </c>
      <c r="W309" s="64">
        <f>Ringkasan!W308</f>
        <v>228</v>
      </c>
      <c r="X309" s="64">
        <f>Ringkasan!X308</f>
        <v>238</v>
      </c>
      <c r="Y309" s="64">
        <f>Ringkasan!Y308</f>
        <v>228</v>
      </c>
      <c r="Z309" s="64">
        <f>Ringkasan!Z308</f>
        <v>18277500</v>
      </c>
      <c r="AA309" s="64" t="str">
        <f>Ringkasan!AA308</f>
        <v>Banks</v>
      </c>
      <c r="AB309" s="64" t="str">
        <f>Ringkasan!AB308</f>
        <v>Financials</v>
      </c>
    </row>
    <row r="310" hidden="1">
      <c r="A310" s="64" t="str">
        <f>Ringkasan!A309</f>
        <v>BBYB</v>
      </c>
      <c r="B310" s="64" t="str">
        <f>Ringkasan!B309</f>
        <v>PT Bank Neo Commerce Tbk.</v>
      </c>
      <c r="C310" s="65">
        <f>Ringkasan!C309</f>
        <v>234</v>
      </c>
      <c r="D310" s="64" t="str">
        <f>Ringkasan!D309</f>
        <v>#N/A</v>
      </c>
      <c r="E310" s="64" t="str">
        <f>Ringkasan!E309</f>
        <v>IDXSMC-LIQ</v>
      </c>
      <c r="F310" s="64" t="str">
        <f>Ringkasan!F309</f>
        <v>4 Agustus 2026</v>
      </c>
      <c r="G310" s="64">
        <f>Ringkasan!G309</f>
        <v>2</v>
      </c>
      <c r="H310" s="19">
        <f>Ringkasan!H309</f>
        <v>6.4</v>
      </c>
      <c r="I310" s="19">
        <f>Ringkasan!I309</f>
        <v>0.81</v>
      </c>
      <c r="J310" s="19">
        <f>Ringkasan!J309</f>
        <v>12.6</v>
      </c>
      <c r="K310" s="19">
        <f>Ringkasan!K309</f>
        <v>3</v>
      </c>
      <c r="L310" s="19">
        <f>Ringkasan!L309</f>
        <v>3.3</v>
      </c>
      <c r="M310" s="19">
        <f>Ringkasan!M309</f>
        <v>70.9</v>
      </c>
      <c r="N310" s="64">
        <f>Ringkasan!N309</f>
        <v>18.34</v>
      </c>
      <c r="O310" s="64">
        <f>Ringkasan!O309</f>
        <v>22.23</v>
      </c>
      <c r="P310" s="64">
        <f>Ringkasan!P309</f>
        <v>75.7</v>
      </c>
      <c r="Q310" s="64">
        <f>Ringkasan!Q309</f>
        <v>3.3</v>
      </c>
      <c r="R310" s="64">
        <f>Ringkasan!R309</f>
        <v>99.23</v>
      </c>
      <c r="S310" s="64">
        <f>Ringkasan!S309</f>
        <v>40.58</v>
      </c>
      <c r="T310" s="64">
        <f>Ringkasan!T309</f>
        <v>11.43</v>
      </c>
      <c r="U310" s="64">
        <f>Ringkasan!U309</f>
        <v>226</v>
      </c>
      <c r="V310" s="64">
        <f>Ringkasan!V309</f>
        <v>3.54</v>
      </c>
      <c r="W310" s="64">
        <f>Ringkasan!W309</f>
        <v>228</v>
      </c>
      <c r="X310" s="64">
        <f>Ringkasan!X309</f>
        <v>238</v>
      </c>
      <c r="Y310" s="64">
        <f>Ringkasan!Y309</f>
        <v>228</v>
      </c>
      <c r="Z310" s="64">
        <f>Ringkasan!Z309</f>
        <v>18277500</v>
      </c>
      <c r="AA310" s="64" t="str">
        <f>Ringkasan!AA309</f>
        <v>Banks</v>
      </c>
      <c r="AB310" s="64" t="str">
        <f>Ringkasan!AB309</f>
        <v>Financials</v>
      </c>
    </row>
    <row r="311" hidden="1">
      <c r="A311" s="64" t="str">
        <f>Ringkasan!A310</f>
        <v>BCAP</v>
      </c>
      <c r="B311" s="64" t="str">
        <f>Ringkasan!B310</f>
        <v>MNC Kapital Indonesia Tbk.</v>
      </c>
      <c r="C311" s="65">
        <f>Ringkasan!C310</f>
        <v>50</v>
      </c>
      <c r="D311" s="64" t="str">
        <f>Ringkasan!D310</f>
        <v>#N/A</v>
      </c>
      <c r="E311" s="64" t="str">
        <f>Ringkasan!E310</f>
        <v>FTSE Micro Cap</v>
      </c>
      <c r="F311" s="64" t="str">
        <f>Ringkasan!F310</f>
        <v>4 Agustus 2026</v>
      </c>
      <c r="G311" s="65">
        <f>Ringkasan!G310</f>
        <v>1</v>
      </c>
      <c r="H311" s="19">
        <f>Ringkasan!H310</f>
        <v>7.9</v>
      </c>
      <c r="I311" s="19">
        <f>Ringkasan!I310</f>
        <v>0.39</v>
      </c>
      <c r="J311" s="19">
        <f>Ringkasan!J310</f>
        <v>5</v>
      </c>
      <c r="K311" s="19">
        <f>Ringkasan!K310</f>
        <v>0.87</v>
      </c>
      <c r="L311" s="19">
        <f>Ringkasan!L310</f>
        <v>4.7</v>
      </c>
      <c r="M311" s="19">
        <f>Ringkasan!M310</f>
        <v>31.8</v>
      </c>
      <c r="N311" s="64" t="str">
        <f>Ringkasan!N310</f>
        <v/>
      </c>
      <c r="O311" s="64" t="str">
        <f>Ringkasan!O310</f>
        <v/>
      </c>
      <c r="P311" s="64" t="str">
        <f>Ringkasan!P310</f>
        <v/>
      </c>
      <c r="Q311" s="64" t="str">
        <f>Ringkasan!Q310</f>
        <v/>
      </c>
      <c r="R311" s="64" t="str">
        <f>Ringkasan!R310</f>
        <v/>
      </c>
      <c r="S311" s="64" t="str">
        <f>Ringkasan!S310</f>
        <v/>
      </c>
      <c r="T311" s="64" t="str">
        <f>Ringkasan!T310</f>
        <v/>
      </c>
      <c r="U311" s="64">
        <f>Ringkasan!U310</f>
        <v>0</v>
      </c>
      <c r="V311" s="64">
        <f>Ringkasan!V310</f>
        <v>0</v>
      </c>
      <c r="W311" s="64" t="str">
        <f>Ringkasan!W310</f>
        <v/>
      </c>
      <c r="X311" s="64" t="str">
        <f>Ringkasan!X310</f>
        <v/>
      </c>
      <c r="Y311" s="64" t="str">
        <f>Ringkasan!Y310</f>
        <v/>
      </c>
      <c r="Z311" s="64">
        <f>Ringkasan!Z310</f>
        <v>0</v>
      </c>
      <c r="AA311" s="64" t="str">
        <f>Ringkasan!AA310</f>
        <v>Holding &amp; Investment Companies</v>
      </c>
      <c r="AB311" s="64" t="str">
        <f>Ringkasan!AB310</f>
        <v>Financials</v>
      </c>
    </row>
    <row r="312" hidden="1">
      <c r="A312" s="64" t="str">
        <f>Ringkasan!A311</f>
        <v>BCIC</v>
      </c>
      <c r="B312" s="64" t="str">
        <f>Ringkasan!B311</f>
        <v>PT Bank JTrust Indonesia Tbk.</v>
      </c>
      <c r="C312" s="65">
        <f>Ringkasan!C311</f>
        <v>110</v>
      </c>
      <c r="D312" s="64" t="str">
        <f>Ringkasan!D311</f>
        <v>#N/A</v>
      </c>
      <c r="E312" s="64" t="str">
        <f>Ringkasan!E311</f>
        <v/>
      </c>
      <c r="F312" s="64" t="str">
        <f>Ringkasan!F311</f>
        <v/>
      </c>
      <c r="G312" s="64">
        <f>Ringkasan!G311</f>
        <v>0</v>
      </c>
      <c r="H312" s="19">
        <f>Ringkasan!H311</f>
        <v>-4.3</v>
      </c>
      <c r="I312" s="19">
        <f>Ringkasan!I311</f>
        <v>0.6</v>
      </c>
      <c r="J312" s="19">
        <f>Ringkasan!J311</f>
        <v>-14.1</v>
      </c>
      <c r="K312" s="19">
        <f>Ringkasan!K311</f>
        <v>-1.3</v>
      </c>
      <c r="L312" s="19">
        <f>Ringkasan!L311</f>
        <v>9.9</v>
      </c>
      <c r="M312" s="19">
        <f>Ringkasan!M311</f>
        <v>-77.8</v>
      </c>
      <c r="N312" s="64">
        <f>Ringkasan!N311</f>
        <v>3.69</v>
      </c>
      <c r="O312" s="64">
        <f>Ringkasan!O311</f>
        <v>13.38</v>
      </c>
      <c r="P312" s="64">
        <f>Ringkasan!P311</f>
        <v>83.08</v>
      </c>
      <c r="Q312" s="64">
        <f>Ringkasan!Q311</f>
        <v>1.18</v>
      </c>
      <c r="R312" s="64">
        <f>Ringkasan!R311</f>
        <v>96.15</v>
      </c>
      <c r="S312" s="64">
        <f>Ringkasan!S311</f>
        <v>68.09</v>
      </c>
      <c r="T312" s="64">
        <f>Ringkasan!T311</f>
        <v>6.43</v>
      </c>
      <c r="U312" s="64">
        <f>Ringkasan!U311</f>
        <v>7.51</v>
      </c>
      <c r="V312" s="64">
        <f>Ringkasan!V311</f>
        <v>-0.67</v>
      </c>
      <c r="W312" s="64">
        <f>Ringkasan!W311</f>
        <v>7.5</v>
      </c>
      <c r="X312" s="64">
        <f>Ringkasan!X311</f>
        <v>7.63</v>
      </c>
      <c r="Y312" s="64">
        <f>Ringkasan!Y311</f>
        <v>7.45</v>
      </c>
      <c r="Z312" s="64" t="str">
        <f>Ringkasan!Z311</f>
        <v/>
      </c>
      <c r="AA312" s="64" t="str">
        <f>Ringkasan!AA311</f>
        <v>Banks</v>
      </c>
      <c r="AB312" s="64" t="str">
        <f>Ringkasan!AB311</f>
        <v>Financials</v>
      </c>
    </row>
    <row r="313" hidden="1">
      <c r="A313" s="64" t="str">
        <f>Ringkasan!A312</f>
        <v>BCIP</v>
      </c>
      <c r="B313" s="64" t="str">
        <f>Ringkasan!B312</f>
        <v>Bumi Citra Permai Tbk.</v>
      </c>
      <c r="C313" s="65">
        <f>Ringkasan!C312</f>
        <v>61</v>
      </c>
      <c r="D313" s="64" t="str">
        <f>Ringkasan!D312</f>
        <v>#N/A</v>
      </c>
      <c r="E313" s="64" t="str">
        <f>Ringkasan!E312</f>
        <v/>
      </c>
      <c r="F313" s="64" t="str">
        <f>Ringkasan!F312</f>
        <v/>
      </c>
      <c r="G313" s="64">
        <f>Ringkasan!G312</f>
        <v>0</v>
      </c>
      <c r="H313" s="19">
        <f>Ringkasan!H312</f>
        <v>3.5</v>
      </c>
      <c r="I313" s="19">
        <f>Ringkasan!I312</f>
        <v>0.17</v>
      </c>
      <c r="J313" s="19">
        <f>Ringkasan!J312</f>
        <v>4.9</v>
      </c>
      <c r="K313" s="19">
        <f>Ringkasan!K312</f>
        <v>2.8</v>
      </c>
      <c r="L313" s="19">
        <f>Ringkasan!L312</f>
        <v>0.73</v>
      </c>
      <c r="M313" s="19">
        <f>Ringkasan!M312</f>
        <v>51.5</v>
      </c>
      <c r="N313" s="64" t="str">
        <f>Ringkasan!N312</f>
        <v/>
      </c>
      <c r="O313" s="64" t="str">
        <f>Ringkasan!O312</f>
        <v/>
      </c>
      <c r="P313" s="64" t="str">
        <f>Ringkasan!P312</f>
        <v/>
      </c>
      <c r="Q313" s="64" t="str">
        <f>Ringkasan!Q312</f>
        <v/>
      </c>
      <c r="R313" s="64" t="str">
        <f>Ringkasan!R312</f>
        <v/>
      </c>
      <c r="S313" s="64" t="str">
        <f>Ringkasan!S312</f>
        <v/>
      </c>
      <c r="T313" s="64" t="str">
        <f>Ringkasan!T312</f>
        <v/>
      </c>
      <c r="U313" s="64">
        <f>Ringkasan!U312</f>
        <v>59</v>
      </c>
      <c r="V313" s="64">
        <f>Ringkasan!V312</f>
        <v>3.39</v>
      </c>
      <c r="W313" s="64">
        <f>Ringkasan!W312</f>
        <v>59</v>
      </c>
      <c r="X313" s="64">
        <f>Ringkasan!X312</f>
        <v>63</v>
      </c>
      <c r="Y313" s="64">
        <f>Ringkasan!Y312</f>
        <v>58</v>
      </c>
      <c r="Z313" s="64">
        <f>Ringkasan!Z312</f>
        <v>4903400</v>
      </c>
      <c r="AA313" s="64" t="str">
        <f>Ringkasan!AA312</f>
        <v>Real Estate Management &amp; Development</v>
      </c>
      <c r="AB313" s="64" t="str">
        <f>Ringkasan!AB312</f>
        <v>Properties &amp; Real Estate</v>
      </c>
    </row>
    <row r="314" hidden="1">
      <c r="A314" s="64" t="str">
        <f>Ringkasan!A313</f>
        <v>BDKR</v>
      </c>
      <c r="B314" s="64" t="str">
        <f>Ringkasan!B313</f>
        <v>PT Berdikari Pondasi Perkasa Tbk.</v>
      </c>
      <c r="C314" s="65">
        <f>Ringkasan!C313</f>
        <v>128</v>
      </c>
      <c r="D314" s="64" t="str">
        <f>Ringkasan!D313</f>
        <v>#N/A</v>
      </c>
      <c r="E314" s="64" t="str">
        <f>Ringkasan!E313</f>
        <v/>
      </c>
      <c r="F314" s="64" t="str">
        <f>Ringkasan!F313</f>
        <v/>
      </c>
      <c r="G314" s="65">
        <f>Ringkasan!G313</f>
        <v>0</v>
      </c>
      <c r="H314" s="19">
        <f>Ringkasan!H313</f>
        <v>26.7</v>
      </c>
      <c r="I314" s="19">
        <f>Ringkasan!I313</f>
        <v>0.88</v>
      </c>
      <c r="J314" s="19">
        <f>Ringkasan!J313</f>
        <v>3.3</v>
      </c>
      <c r="K314" s="19">
        <f>Ringkasan!K313</f>
        <v>2.3</v>
      </c>
      <c r="L314" s="19">
        <f>Ringkasan!L313</f>
        <v>0.41</v>
      </c>
      <c r="M314" s="19">
        <f>Ringkasan!M313</f>
        <v>26.1</v>
      </c>
      <c r="N314" s="64" t="str">
        <f>Ringkasan!N313</f>
        <v/>
      </c>
      <c r="O314" s="64" t="str">
        <f>Ringkasan!O313</f>
        <v/>
      </c>
      <c r="P314" s="64" t="str">
        <f>Ringkasan!P313</f>
        <v/>
      </c>
      <c r="Q314" s="64" t="str">
        <f>Ringkasan!Q313</f>
        <v/>
      </c>
      <c r="R314" s="64" t="str">
        <f>Ringkasan!R313</f>
        <v/>
      </c>
      <c r="S314" s="64" t="str">
        <f>Ringkasan!S313</f>
        <v/>
      </c>
      <c r="T314" s="64" t="str">
        <f>Ringkasan!T313</f>
        <v/>
      </c>
      <c r="U314" s="64">
        <f>Ringkasan!U313</f>
        <v>124</v>
      </c>
      <c r="V314" s="64">
        <f>Ringkasan!V313</f>
        <v>3.23</v>
      </c>
      <c r="W314" s="64">
        <f>Ringkasan!W313</f>
        <v>124</v>
      </c>
      <c r="X314" s="64">
        <f>Ringkasan!X313</f>
        <v>129</v>
      </c>
      <c r="Y314" s="64">
        <f>Ringkasan!Y313</f>
        <v>122</v>
      </c>
      <c r="Z314" s="64">
        <f>Ringkasan!Z313</f>
        <v>16719100</v>
      </c>
      <c r="AA314" s="64" t="str">
        <f>Ringkasan!AA313</f>
        <v>Heavy Constructions &amp; Civil Engineering</v>
      </c>
      <c r="AB314" s="64" t="str">
        <f>Ringkasan!AB313</f>
        <v>Infrastructures</v>
      </c>
    </row>
    <row r="315" hidden="1">
      <c r="A315" s="64" t="str">
        <f>Ringkasan!A1050</f>
        <v>KLBF</v>
      </c>
      <c r="B315" s="64" t="str">
        <f>Ringkasan!B1050</f>
        <v>Kalbe Farma Tbk.</v>
      </c>
      <c r="C315" s="65">
        <f>Ringkasan!C1050</f>
        <v>740</v>
      </c>
      <c r="D315" s="64" t="str">
        <f>Ringkasan!D1050</f>
        <v>#N/A</v>
      </c>
      <c r="E315" s="64" t="str">
        <f>Ringkasan!E1050</f>
        <v>ESGQKEHATI</v>
      </c>
      <c r="F315" s="66">
        <f>Ringkasan!F1050</f>
        <v>46356</v>
      </c>
      <c r="G315" s="65">
        <f>Ringkasan!G1050</f>
        <v>17</v>
      </c>
      <c r="H315" s="19">
        <f>Ringkasan!H1050</f>
        <v>10</v>
      </c>
      <c r="I315" s="19">
        <f>Ringkasan!I1050</f>
        <v>1.4</v>
      </c>
      <c r="J315" s="19">
        <f>Ringkasan!J1050</f>
        <v>14.1</v>
      </c>
      <c r="K315" s="19">
        <f>Ringkasan!K1050</f>
        <v>11.3</v>
      </c>
      <c r="L315" s="19">
        <f>Ringkasan!L1050</f>
        <v>0.24</v>
      </c>
      <c r="M315" s="19">
        <f>Ringkasan!M1050</f>
        <v>37.4</v>
      </c>
      <c r="N315" s="64" t="str">
        <f>Ringkasan!N1050</f>
        <v/>
      </c>
      <c r="O315" s="64" t="str">
        <f>Ringkasan!O1050</f>
        <v/>
      </c>
      <c r="P315" s="64" t="str">
        <f>Ringkasan!P1050</f>
        <v/>
      </c>
      <c r="Q315" s="64" t="str">
        <f>Ringkasan!Q1050</f>
        <v/>
      </c>
      <c r="R315" s="64" t="str">
        <f>Ringkasan!R1050</f>
        <v/>
      </c>
      <c r="S315" s="64" t="str">
        <f>Ringkasan!S1050</f>
        <v/>
      </c>
      <c r="T315" s="64" t="str">
        <f>Ringkasan!T1050</f>
        <v/>
      </c>
      <c r="U315" s="64">
        <f>Ringkasan!U1050</f>
        <v>725</v>
      </c>
      <c r="V315" s="64">
        <f>Ringkasan!V1050</f>
        <v>2.07</v>
      </c>
      <c r="W315" s="64">
        <f>Ringkasan!W1050</f>
        <v>760</v>
      </c>
      <c r="X315" s="64">
        <f>Ringkasan!X1050</f>
        <v>760</v>
      </c>
      <c r="Y315" s="64">
        <f>Ringkasan!Y1050</f>
        <v>715</v>
      </c>
      <c r="Z315" s="64">
        <f>Ringkasan!Z1050</f>
        <v>92741200</v>
      </c>
      <c r="AA315" s="64" t="str">
        <f>Ringkasan!AA1050</f>
        <v>Pharmaceuticals</v>
      </c>
      <c r="AB315" s="64" t="str">
        <f>Ringkasan!AB1050</f>
        <v>Healthcare</v>
      </c>
    </row>
    <row r="316" hidden="1">
      <c r="A316" s="64" t="str">
        <f>Ringkasan!A315</f>
        <v>BDMN</v>
      </c>
      <c r="B316" s="64" t="str">
        <f>Ringkasan!B315</f>
        <v>PT Bank Danamon Indonesia Tbk</v>
      </c>
      <c r="C316" s="65">
        <f>Ringkasan!C315</f>
        <v>3920</v>
      </c>
      <c r="D316" s="64" t="str">
        <f>Ringkasan!D315</f>
        <v>#N/A</v>
      </c>
      <c r="E316" s="64" t="str">
        <f>Ringkasan!E315</f>
        <v>PRIMBANK-10</v>
      </c>
      <c r="F316" s="64" t="str">
        <f>Ringkasan!F315</f>
        <v>30 Juni 2026</v>
      </c>
      <c r="G316" s="64">
        <f>Ringkasan!G315</f>
        <v>3</v>
      </c>
      <c r="H316" s="19">
        <f>Ringkasan!H315</f>
        <v>10.5</v>
      </c>
      <c r="I316" s="19">
        <f>Ringkasan!I315</f>
        <v>0.8</v>
      </c>
      <c r="J316" s="19">
        <f>Ringkasan!J315</f>
        <v>7.6</v>
      </c>
      <c r="K316" s="19">
        <f>Ringkasan!K315</f>
        <v>1.6</v>
      </c>
      <c r="L316" s="19">
        <f>Ringkasan!L315</f>
        <v>3.9</v>
      </c>
      <c r="M316" s="19">
        <f>Ringkasan!M315</f>
        <v>60.7</v>
      </c>
      <c r="N316" s="64">
        <f>Ringkasan!N315</f>
        <v>7.4</v>
      </c>
      <c r="O316" s="64">
        <f>Ringkasan!O315</f>
        <v>25.4</v>
      </c>
      <c r="P316" s="64">
        <f>Ringkasan!P315</f>
        <v>95.5</v>
      </c>
      <c r="Q316" s="64">
        <f>Ringkasan!Q315</f>
        <v>1.7</v>
      </c>
      <c r="R316" s="64">
        <f>Ringkasan!R315</f>
        <v>79.3</v>
      </c>
      <c r="S316" s="64">
        <f>Ringkasan!S315</f>
        <v>55.3</v>
      </c>
      <c r="T316" s="64">
        <f>Ringkasan!T315</f>
        <v>8.3</v>
      </c>
      <c r="U316" s="64">
        <f>Ringkasan!U315</f>
        <v>3870</v>
      </c>
      <c r="V316" s="64">
        <f>Ringkasan!V315</f>
        <v>1.29</v>
      </c>
      <c r="W316" s="64">
        <f>Ringkasan!W315</f>
        <v>3930</v>
      </c>
      <c r="X316" s="64">
        <f>Ringkasan!X315</f>
        <v>4030</v>
      </c>
      <c r="Y316" s="64">
        <f>Ringkasan!Y315</f>
        <v>3880</v>
      </c>
      <c r="Z316" s="64">
        <f>Ringkasan!Z315</f>
        <v>2217100</v>
      </c>
      <c r="AA316" s="64" t="str">
        <f>Ringkasan!AA315</f>
        <v>Banks</v>
      </c>
      <c r="AB316" s="64" t="str">
        <f>Ringkasan!AB315</f>
        <v>Financials</v>
      </c>
    </row>
    <row r="317" hidden="1">
      <c r="A317" s="64" t="str">
        <f>Ringkasan!A316</f>
        <v>BDMN</v>
      </c>
      <c r="B317" s="64" t="str">
        <f>Ringkasan!B316</f>
        <v>PT Bank Danamon Indonesia Tbk</v>
      </c>
      <c r="C317" s="65">
        <f>Ringkasan!C316</f>
        <v>3920</v>
      </c>
      <c r="D317" s="64" t="str">
        <f>Ringkasan!D316</f>
        <v>#N/A</v>
      </c>
      <c r="E317" s="64" t="str">
        <f>Ringkasan!E316</f>
        <v>FTSE Large Cap</v>
      </c>
      <c r="F317" s="64" t="str">
        <f>Ringkasan!F316</f>
        <v>Juni 2026</v>
      </c>
      <c r="G317" s="64">
        <f>Ringkasan!G316</f>
        <v>3</v>
      </c>
      <c r="H317" s="19">
        <f>Ringkasan!H316</f>
        <v>10.5</v>
      </c>
      <c r="I317" s="19">
        <f>Ringkasan!I316</f>
        <v>0.8</v>
      </c>
      <c r="J317" s="19">
        <f>Ringkasan!J316</f>
        <v>7.6</v>
      </c>
      <c r="K317" s="19">
        <f>Ringkasan!K316</f>
        <v>1.6</v>
      </c>
      <c r="L317" s="19">
        <f>Ringkasan!L316</f>
        <v>3.9</v>
      </c>
      <c r="M317" s="19">
        <f>Ringkasan!M316</f>
        <v>60.7</v>
      </c>
      <c r="N317" s="64">
        <f>Ringkasan!N316</f>
        <v>7.4</v>
      </c>
      <c r="O317" s="64">
        <f>Ringkasan!O316</f>
        <v>25.4</v>
      </c>
      <c r="P317" s="64">
        <f>Ringkasan!P316</f>
        <v>95.5</v>
      </c>
      <c r="Q317" s="64">
        <f>Ringkasan!Q316</f>
        <v>1.7</v>
      </c>
      <c r="R317" s="64">
        <f>Ringkasan!R316</f>
        <v>79.3</v>
      </c>
      <c r="S317" s="64">
        <f>Ringkasan!S316</f>
        <v>55.3</v>
      </c>
      <c r="T317" s="64">
        <f>Ringkasan!T316</f>
        <v>8.3</v>
      </c>
      <c r="U317" s="64">
        <f>Ringkasan!U316</f>
        <v>3870</v>
      </c>
      <c r="V317" s="64">
        <f>Ringkasan!V316</f>
        <v>1.29</v>
      </c>
      <c r="W317" s="64">
        <f>Ringkasan!W316</f>
        <v>3930</v>
      </c>
      <c r="X317" s="64">
        <f>Ringkasan!X316</f>
        <v>4030</v>
      </c>
      <c r="Y317" s="64">
        <f>Ringkasan!Y316</f>
        <v>3880</v>
      </c>
      <c r="Z317" s="64">
        <f>Ringkasan!Z316</f>
        <v>2217100</v>
      </c>
      <c r="AA317" s="64" t="str">
        <f>Ringkasan!AA316</f>
        <v>Banks</v>
      </c>
      <c r="AB317" s="64" t="str">
        <f>Ringkasan!AB316</f>
        <v>Financials</v>
      </c>
    </row>
    <row r="318" hidden="1">
      <c r="A318" s="64" t="str">
        <f>Ringkasan!A317</f>
        <v>BEBS</v>
      </c>
      <c r="B318" s="64" t="str">
        <f>Ringkasan!B317</f>
        <v>Berkah Beton Sadaya Tbk.</v>
      </c>
      <c r="C318" s="65">
        <f>Ringkasan!C317</f>
        <v>5</v>
      </c>
      <c r="D318" s="64" t="str">
        <f>Ringkasan!D317</f>
        <v>#N/A</v>
      </c>
      <c r="E318" s="64" t="str">
        <f>Ringkasan!E317</f>
        <v/>
      </c>
      <c r="F318" s="64" t="str">
        <f>Ringkasan!F317</f>
        <v/>
      </c>
      <c r="G318" s="64">
        <f>Ringkasan!G317</f>
        <v>0</v>
      </c>
      <c r="H318" s="19">
        <f>Ringkasan!H317</f>
        <v>0</v>
      </c>
      <c r="I318" s="19">
        <f>Ringkasan!I317</f>
        <v>0.28</v>
      </c>
      <c r="J318" s="19">
        <f>Ringkasan!J317</f>
        <v>-4.6</v>
      </c>
      <c r="K318" s="19">
        <f>Ringkasan!K317</f>
        <v>-4.2</v>
      </c>
      <c r="L318" s="19">
        <f>Ringkasan!L317</f>
        <v>0.11</v>
      </c>
      <c r="M318" s="19">
        <f>Ringkasan!M317</f>
        <v>-71.4</v>
      </c>
      <c r="N318" s="64" t="str">
        <f>Ringkasan!N317</f>
        <v/>
      </c>
      <c r="O318" s="64" t="str">
        <f>Ringkasan!O317</f>
        <v/>
      </c>
      <c r="P318" s="64" t="str">
        <f>Ringkasan!P317</f>
        <v/>
      </c>
      <c r="Q318" s="64" t="str">
        <f>Ringkasan!Q317</f>
        <v/>
      </c>
      <c r="R318" s="64" t="str">
        <f>Ringkasan!R317</f>
        <v/>
      </c>
      <c r="S318" s="64" t="str">
        <f>Ringkasan!S317</f>
        <v/>
      </c>
      <c r="T318" s="64" t="str">
        <f>Ringkasan!T317</f>
        <v/>
      </c>
      <c r="U318" s="64">
        <f>Ringkasan!U317</f>
        <v>5</v>
      </c>
      <c r="V318" s="64">
        <f>Ringkasan!V317</f>
        <v>0</v>
      </c>
      <c r="W318" s="64" t="str">
        <f>Ringkasan!W317</f>
        <v/>
      </c>
      <c r="X318" s="64" t="str">
        <f>Ringkasan!X317</f>
        <v/>
      </c>
      <c r="Y318" s="64" t="str">
        <f>Ringkasan!Y317</f>
        <v/>
      </c>
      <c r="Z318" s="64">
        <f>Ringkasan!Z317</f>
        <v>0</v>
      </c>
      <c r="AA318" s="64" t="str">
        <f>Ringkasan!AA317</f>
        <v>Construction Materials</v>
      </c>
      <c r="AB318" s="64" t="str">
        <f>Ringkasan!AB317</f>
        <v>Basic Materials</v>
      </c>
    </row>
    <row r="319" hidden="1">
      <c r="A319" s="64" t="str">
        <f>Ringkasan!A9</f>
        <v>AADI</v>
      </c>
      <c r="B319" s="64" t="str">
        <f>Ringkasan!B9</f>
        <v>Adaro Andalan Indonesia Tbk.</v>
      </c>
      <c r="C319" s="65">
        <f>Ringkasan!C9</f>
        <v>8650</v>
      </c>
      <c r="D319" s="64" t="str">
        <f>Ringkasan!D9</f>
        <v>#N/A</v>
      </c>
      <c r="E319" s="64" t="str">
        <f>Ringkasan!E9</f>
        <v>JII30</v>
      </c>
      <c r="F319" s="66">
        <f>Ringkasan!F9</f>
        <v>46356</v>
      </c>
      <c r="G319" s="65">
        <f>Ringkasan!G9</f>
        <v>9</v>
      </c>
      <c r="H319" s="19">
        <f>Ringkasan!H9</f>
        <v>5.5</v>
      </c>
      <c r="I319" s="19">
        <f>Ringkasan!I9</f>
        <v>1</v>
      </c>
      <c r="J319" s="19">
        <f>Ringkasan!J9</f>
        <v>18.6</v>
      </c>
      <c r="K319" s="19">
        <f>Ringkasan!K9</f>
        <v>12.2</v>
      </c>
      <c r="L319" s="19">
        <f>Ringkasan!L9</f>
        <v>0.53</v>
      </c>
      <c r="M319" s="19">
        <f>Ringkasan!M9</f>
        <v>67.3</v>
      </c>
      <c r="N319" s="64" t="str">
        <f>Ringkasan!N9</f>
        <v/>
      </c>
      <c r="O319" s="64" t="str">
        <f>Ringkasan!O9</f>
        <v/>
      </c>
      <c r="P319" s="64" t="str">
        <f>Ringkasan!P9</f>
        <v/>
      </c>
      <c r="Q319" s="64" t="str">
        <f>Ringkasan!Q9</f>
        <v/>
      </c>
      <c r="R319" s="64" t="str">
        <f>Ringkasan!R9</f>
        <v/>
      </c>
      <c r="S319" s="64" t="str">
        <f>Ringkasan!S9</f>
        <v/>
      </c>
      <c r="T319" s="64" t="str">
        <f>Ringkasan!T9</f>
        <v/>
      </c>
      <c r="U319" s="64">
        <f>Ringkasan!U9</f>
        <v>8050</v>
      </c>
      <c r="V319" s="64">
        <f>Ringkasan!V9</f>
        <v>7.45</v>
      </c>
      <c r="W319" s="64">
        <f>Ringkasan!W9</f>
        <v>8100</v>
      </c>
      <c r="X319" s="64">
        <f>Ringkasan!X9</f>
        <v>8850</v>
      </c>
      <c r="Y319" s="64">
        <f>Ringkasan!Y9</f>
        <v>8050</v>
      </c>
      <c r="Z319" s="64">
        <f>Ringkasan!Z9</f>
        <v>21262200</v>
      </c>
      <c r="AA319" s="64" t="str">
        <f>Ringkasan!AA9</f>
        <v>Coal</v>
      </c>
      <c r="AB319" s="64" t="str">
        <f>Ringkasan!AB9</f>
        <v>Energy</v>
      </c>
    </row>
    <row r="320" hidden="1">
      <c r="A320" s="64" t="str">
        <f>Ringkasan!A35</f>
        <v>ADMR</v>
      </c>
      <c r="B320" s="64" t="str">
        <f>Ringkasan!B35</f>
        <v>Alamtri Minerals Indonesia Tbk.</v>
      </c>
      <c r="C320" s="65">
        <f>Ringkasan!C35</f>
        <v>1575</v>
      </c>
      <c r="D320" s="64" t="str">
        <f>Ringkasan!D35</f>
        <v>#N/A</v>
      </c>
      <c r="E320" s="64" t="str">
        <f>Ringkasan!E35</f>
        <v>Kompas100</v>
      </c>
      <c r="F320" s="64" t="str">
        <f>Ringkasan!F35</f>
        <v>31 Juli 2026</v>
      </c>
      <c r="G320" s="64">
        <f>Ringkasan!G35</f>
        <v>9</v>
      </c>
      <c r="H320" s="19">
        <f>Ringkasan!H35</f>
        <v>12.6</v>
      </c>
      <c r="I320" s="19">
        <f>Ringkasan!I35</f>
        <v>2</v>
      </c>
      <c r="J320" s="19">
        <f>Ringkasan!J35</f>
        <v>16.2</v>
      </c>
      <c r="K320" s="19">
        <f>Ringkasan!K35</f>
        <v>9.1</v>
      </c>
      <c r="L320" s="19">
        <f>Ringkasan!L35</f>
        <v>0.78</v>
      </c>
      <c r="M320" s="19">
        <f>Ringkasan!M35</f>
        <v>110</v>
      </c>
      <c r="N320" s="64" t="str">
        <f>Ringkasan!N35</f>
        <v/>
      </c>
      <c r="O320" s="64" t="str">
        <f>Ringkasan!O35</f>
        <v/>
      </c>
      <c r="P320" s="64" t="str">
        <f>Ringkasan!P35</f>
        <v/>
      </c>
      <c r="Q320" s="64" t="str">
        <f>Ringkasan!Q35</f>
        <v/>
      </c>
      <c r="R320" s="64" t="str">
        <f>Ringkasan!R35</f>
        <v/>
      </c>
      <c r="S320" s="64" t="str">
        <f>Ringkasan!S35</f>
        <v/>
      </c>
      <c r="T320" s="64" t="str">
        <f>Ringkasan!T35</f>
        <v/>
      </c>
      <c r="U320" s="64">
        <f>Ringkasan!U35</f>
        <v>1465</v>
      </c>
      <c r="V320" s="64">
        <f>Ringkasan!V35</f>
        <v>7.51</v>
      </c>
      <c r="W320" s="64">
        <f>Ringkasan!W35</f>
        <v>1495</v>
      </c>
      <c r="X320" s="64">
        <f>Ringkasan!X35</f>
        <v>1640</v>
      </c>
      <c r="Y320" s="64">
        <f>Ringkasan!Y35</f>
        <v>1485</v>
      </c>
      <c r="Z320" s="64">
        <f>Ringkasan!Z35</f>
        <v>43266800</v>
      </c>
      <c r="AA320" s="64" t="str">
        <f>Ringkasan!AA35</f>
        <v>Coal</v>
      </c>
      <c r="AB320" s="64" t="str">
        <f>Ringkasan!AB35</f>
        <v>Energy</v>
      </c>
    </row>
    <row r="321" hidden="1">
      <c r="A321" s="64" t="str">
        <f>Ringkasan!A320</f>
        <v>BEKS</v>
      </c>
      <c r="B321" s="64" t="str">
        <f>Ringkasan!B320</f>
        <v>PT Bank Pembangunan Daerah Banten Tbk.</v>
      </c>
      <c r="C321" s="65">
        <f>Ringkasan!C320</f>
        <v>21</v>
      </c>
      <c r="D321" s="64" t="str">
        <f>Ringkasan!D320</f>
        <v>#N/A</v>
      </c>
      <c r="E321" s="64" t="str">
        <f>Ringkasan!E320</f>
        <v/>
      </c>
      <c r="F321" s="64" t="str">
        <f>Ringkasan!F320</f>
        <v/>
      </c>
      <c r="G321" s="64">
        <f>Ringkasan!G320</f>
        <v>0</v>
      </c>
      <c r="H321" s="19">
        <f>Ringkasan!H320</f>
        <v>21.4</v>
      </c>
      <c r="I321" s="19">
        <f>Ringkasan!I320</f>
        <v>0.6</v>
      </c>
      <c r="J321" s="19">
        <f>Ringkasan!J320</f>
        <v>2.8</v>
      </c>
      <c r="K321" s="19">
        <f>Ringkasan!K320</f>
        <v>0.53</v>
      </c>
      <c r="L321" s="19">
        <f>Ringkasan!L320</f>
        <v>4.3</v>
      </c>
      <c r="M321" s="19">
        <f>Ringkasan!M320</f>
        <v>27.3</v>
      </c>
      <c r="N321" s="64">
        <f>Ringkasan!N320</f>
        <v>3.7</v>
      </c>
      <c r="O321" s="64">
        <f>Ringkasan!O320</f>
        <v>19.3</v>
      </c>
      <c r="P321" s="64">
        <f>Ringkasan!P320</f>
        <v>87.4</v>
      </c>
      <c r="Q321" s="64">
        <f>Ringkasan!Q320</f>
        <v>1.4</v>
      </c>
      <c r="R321" s="64">
        <f>Ringkasan!R320</f>
        <v>87.9</v>
      </c>
      <c r="S321" s="64">
        <f>Ringkasan!S320</f>
        <v>56</v>
      </c>
      <c r="T321" s="64">
        <f>Ringkasan!T320</f>
        <v>6.3</v>
      </c>
      <c r="U321" s="64">
        <f>Ringkasan!U320</f>
        <v>21</v>
      </c>
      <c r="V321" s="64">
        <f>Ringkasan!V320</f>
        <v>0</v>
      </c>
      <c r="W321" s="64">
        <f>Ringkasan!W320</f>
        <v>21</v>
      </c>
      <c r="X321" s="64">
        <f>Ringkasan!X320</f>
        <v>22</v>
      </c>
      <c r="Y321" s="64">
        <f>Ringkasan!Y320</f>
        <v>21</v>
      </c>
      <c r="Z321" s="64">
        <f>Ringkasan!Z320</f>
        <v>21924700</v>
      </c>
      <c r="AA321" s="64" t="str">
        <f>Ringkasan!AA320</f>
        <v>Banks</v>
      </c>
      <c r="AB321" s="64" t="str">
        <f>Ringkasan!AB320</f>
        <v>Financials</v>
      </c>
    </row>
    <row r="322" hidden="1">
      <c r="A322" s="64" t="str">
        <f>Ringkasan!A321</f>
        <v>BELI</v>
      </c>
      <c r="B322" s="64" t="str">
        <f>Ringkasan!B321</f>
        <v>Global Digital Niaga Tbk.</v>
      </c>
      <c r="C322" s="65">
        <f>Ringkasan!C321</f>
        <v>292</v>
      </c>
      <c r="D322" s="64" t="str">
        <f>Ringkasan!D321</f>
        <v>#N/A</v>
      </c>
      <c r="E322" s="64" t="str">
        <f>Ringkasan!E321</f>
        <v/>
      </c>
      <c r="F322" s="64" t="str">
        <f>Ringkasan!F321</f>
        <v/>
      </c>
      <c r="G322" s="64">
        <f>Ringkasan!G321</f>
        <v>0</v>
      </c>
      <c r="H322" s="19">
        <f>Ringkasan!H321</f>
        <v>-23.9</v>
      </c>
      <c r="I322" s="19">
        <f>Ringkasan!I321</f>
        <v>5.1</v>
      </c>
      <c r="J322" s="19">
        <f>Ringkasan!J321</f>
        <v>-21.2</v>
      </c>
      <c r="K322" s="19">
        <f>Ringkasan!K321</f>
        <v>-10.4</v>
      </c>
      <c r="L322" s="19">
        <f>Ringkasan!L321</f>
        <v>1</v>
      </c>
      <c r="M322" s="19">
        <f>Ringkasan!M321</f>
        <v>-24.8</v>
      </c>
      <c r="N322" s="64" t="str">
        <f>Ringkasan!N321</f>
        <v/>
      </c>
      <c r="O322" s="64" t="str">
        <f>Ringkasan!O321</f>
        <v/>
      </c>
      <c r="P322" s="64" t="str">
        <f>Ringkasan!P321</f>
        <v/>
      </c>
      <c r="Q322" s="64" t="str">
        <f>Ringkasan!Q321</f>
        <v/>
      </c>
      <c r="R322" s="64" t="str">
        <f>Ringkasan!R321</f>
        <v/>
      </c>
      <c r="S322" s="64" t="str">
        <f>Ringkasan!S321</f>
        <v/>
      </c>
      <c r="T322" s="64" t="str">
        <f>Ringkasan!T321</f>
        <v/>
      </c>
      <c r="U322" s="64">
        <f>Ringkasan!U321</f>
        <v>296</v>
      </c>
      <c r="V322" s="64">
        <f>Ringkasan!V321</f>
        <v>-1.35</v>
      </c>
      <c r="W322" s="64">
        <f>Ringkasan!W321</f>
        <v>296</v>
      </c>
      <c r="X322" s="64">
        <f>Ringkasan!X321</f>
        <v>296</v>
      </c>
      <c r="Y322" s="64">
        <f>Ringkasan!Y321</f>
        <v>290</v>
      </c>
      <c r="Z322" s="64">
        <f>Ringkasan!Z321</f>
        <v>190900</v>
      </c>
      <c r="AA322" s="64" t="str">
        <f>Ringkasan!AA321</f>
        <v>Online Applications &amp; Services</v>
      </c>
      <c r="AB322" s="64" t="str">
        <f>Ringkasan!AB321</f>
        <v>Technology</v>
      </c>
    </row>
    <row r="323" hidden="1">
      <c r="A323" s="64" t="str">
        <f>Ringkasan!A322</f>
        <v>BELL</v>
      </c>
      <c r="B323" s="64" t="str">
        <f>Ringkasan!B322</f>
        <v>PT Trisula Textile Industries Tbk</v>
      </c>
      <c r="C323" s="65">
        <f>Ringkasan!C322</f>
        <v>95</v>
      </c>
      <c r="D323" s="64" t="str">
        <f>Ringkasan!D322</f>
        <v>#N/A</v>
      </c>
      <c r="E323" s="64" t="str">
        <f>Ringkasan!E322</f>
        <v/>
      </c>
      <c r="F323" s="64" t="str">
        <f>Ringkasan!F322</f>
        <v/>
      </c>
      <c r="G323" s="64">
        <f>Ringkasan!G322</f>
        <v>0</v>
      </c>
      <c r="H323" s="19">
        <f>Ringkasan!H322</f>
        <v>120</v>
      </c>
      <c r="I323" s="19">
        <f>Ringkasan!I322</f>
        <v>2.7</v>
      </c>
      <c r="J323" s="19">
        <f>Ringkasan!J322</f>
        <v>2.4</v>
      </c>
      <c r="K323" s="19">
        <f>Ringkasan!K322</f>
        <v>1.1</v>
      </c>
      <c r="L323" s="19">
        <f>Ringkasan!L322</f>
        <v>1.2</v>
      </c>
      <c r="M323" s="19">
        <f>Ringkasan!M322</f>
        <v>4.4</v>
      </c>
      <c r="N323" s="64" t="str">
        <f>Ringkasan!N322</f>
        <v/>
      </c>
      <c r="O323" s="64" t="str">
        <f>Ringkasan!O322</f>
        <v/>
      </c>
      <c r="P323" s="64" t="str">
        <f>Ringkasan!P322</f>
        <v/>
      </c>
      <c r="Q323" s="64" t="str">
        <f>Ringkasan!Q322</f>
        <v/>
      </c>
      <c r="R323" s="64" t="str">
        <f>Ringkasan!R322</f>
        <v/>
      </c>
      <c r="S323" s="64" t="str">
        <f>Ringkasan!S322</f>
        <v/>
      </c>
      <c r="T323" s="64" t="str">
        <f>Ringkasan!T322</f>
        <v/>
      </c>
      <c r="U323" s="64">
        <f>Ringkasan!U322</f>
        <v>3.12</v>
      </c>
      <c r="V323" s="64">
        <f>Ringkasan!V322</f>
        <v>0.64</v>
      </c>
      <c r="W323" s="64">
        <f>Ringkasan!W322</f>
        <v>3.06</v>
      </c>
      <c r="X323" s="64">
        <f>Ringkasan!X322</f>
        <v>3.14</v>
      </c>
      <c r="Y323" s="64">
        <f>Ringkasan!Y322</f>
        <v>3.04</v>
      </c>
      <c r="Z323" s="64">
        <f>Ringkasan!Z322</f>
        <v>3500</v>
      </c>
      <c r="AA323" s="64" t="str">
        <f>Ringkasan!AA322</f>
        <v>Apparel &amp; Luxury Goods</v>
      </c>
      <c r="AB323" s="64" t="str">
        <f>Ringkasan!AB322</f>
        <v>Consumer Cyclicals</v>
      </c>
    </row>
    <row r="324" hidden="1">
      <c r="A324" s="64" t="str">
        <f>Ringkasan!A323</f>
        <v>BESS</v>
      </c>
      <c r="B324" s="64" t="str">
        <f>Ringkasan!B323</f>
        <v>Batulicin Nusantara Maritim Tbk.</v>
      </c>
      <c r="C324" s="65">
        <f>Ringkasan!C323</f>
        <v>945</v>
      </c>
      <c r="D324" s="64" t="str">
        <f>Ringkasan!D323</f>
        <v>#N/A</v>
      </c>
      <c r="E324" s="64" t="str">
        <f>Ringkasan!E323</f>
        <v/>
      </c>
      <c r="F324" s="64" t="str">
        <f>Ringkasan!F323</f>
        <v/>
      </c>
      <c r="G324" s="64">
        <f>Ringkasan!G323</f>
        <v>0</v>
      </c>
      <c r="H324" s="19">
        <f>Ringkasan!H323</f>
        <v>120</v>
      </c>
      <c r="I324" s="19">
        <f>Ringkasan!I323</f>
        <v>5.2</v>
      </c>
      <c r="J324" s="19">
        <f>Ringkasan!J323</f>
        <v>4.3</v>
      </c>
      <c r="K324" s="19">
        <f>Ringkasan!K323</f>
        <v>3.9</v>
      </c>
      <c r="L324" s="19">
        <f>Ringkasan!L323</f>
        <v>0.09</v>
      </c>
      <c r="M324" s="19">
        <f>Ringkasan!M323</f>
        <v>51.8</v>
      </c>
      <c r="N324" s="64" t="str">
        <f>Ringkasan!N323</f>
        <v/>
      </c>
      <c r="O324" s="64" t="str">
        <f>Ringkasan!O323</f>
        <v/>
      </c>
      <c r="P324" s="64" t="str">
        <f>Ringkasan!P323</f>
        <v/>
      </c>
      <c r="Q324" s="64" t="str">
        <f>Ringkasan!Q323</f>
        <v/>
      </c>
      <c r="R324" s="64" t="str">
        <f>Ringkasan!R323</f>
        <v/>
      </c>
      <c r="S324" s="64" t="str">
        <f>Ringkasan!S323</f>
        <v/>
      </c>
      <c r="T324" s="64" t="str">
        <f>Ringkasan!T323</f>
        <v/>
      </c>
      <c r="U324" s="64">
        <f>Ringkasan!U323</f>
        <v>3.95</v>
      </c>
      <c r="V324" s="64">
        <f>Ringkasan!V323</f>
        <v>-7.09</v>
      </c>
      <c r="W324" s="64">
        <f>Ringkasan!W323</f>
        <v>3.92</v>
      </c>
      <c r="X324" s="64">
        <f>Ringkasan!X323</f>
        <v>4.05</v>
      </c>
      <c r="Y324" s="64">
        <f>Ringkasan!Y323</f>
        <v>3.65</v>
      </c>
      <c r="Z324" s="64">
        <f>Ringkasan!Z323</f>
        <v>149242</v>
      </c>
      <c r="AA324" s="64" t="str">
        <f>Ringkasan!AA323</f>
        <v>Coal</v>
      </c>
      <c r="AB324" s="64" t="str">
        <f>Ringkasan!AB323</f>
        <v>Energy</v>
      </c>
    </row>
    <row r="325" hidden="1">
      <c r="A325" s="64" t="str">
        <f>Ringkasan!A324</f>
        <v>BEST</v>
      </c>
      <c r="B325" s="64" t="str">
        <f>Ringkasan!B324</f>
        <v>Bekasi Fajar Industrial Estate Tbk.</v>
      </c>
      <c r="C325" s="65">
        <f>Ringkasan!C324</f>
        <v>97</v>
      </c>
      <c r="D325" s="64" t="str">
        <f>Ringkasan!D324</f>
        <v>#N/A</v>
      </c>
      <c r="E325" s="64" t="str">
        <f>Ringkasan!E324</f>
        <v/>
      </c>
      <c r="F325" s="64" t="str">
        <f>Ringkasan!F324</f>
        <v/>
      </c>
      <c r="G325" s="64">
        <f>Ringkasan!G324</f>
        <v>0</v>
      </c>
      <c r="H325" s="19">
        <f>Ringkasan!H324</f>
        <v>13.4</v>
      </c>
      <c r="I325" s="19">
        <f>Ringkasan!I324</f>
        <v>0.22</v>
      </c>
      <c r="J325" s="19">
        <f>Ringkasan!J324</f>
        <v>1.6</v>
      </c>
      <c r="K325" s="19">
        <f>Ringkasan!K324</f>
        <v>1.3</v>
      </c>
      <c r="L325" s="19">
        <f>Ringkasan!L324</f>
        <v>0.3</v>
      </c>
      <c r="M325" s="19">
        <f>Ringkasan!M324</f>
        <v>81</v>
      </c>
      <c r="N325" s="64" t="str">
        <f>Ringkasan!N324</f>
        <v/>
      </c>
      <c r="O325" s="64" t="str">
        <f>Ringkasan!O324</f>
        <v/>
      </c>
      <c r="P325" s="64" t="str">
        <f>Ringkasan!P324</f>
        <v/>
      </c>
      <c r="Q325" s="64" t="str">
        <f>Ringkasan!Q324</f>
        <v/>
      </c>
      <c r="R325" s="64" t="str">
        <f>Ringkasan!R324</f>
        <v/>
      </c>
      <c r="S325" s="64" t="str">
        <f>Ringkasan!S324</f>
        <v/>
      </c>
      <c r="T325" s="64" t="str">
        <f>Ringkasan!T324</f>
        <v/>
      </c>
      <c r="U325" s="64">
        <f>Ringkasan!U324</f>
        <v>12.43</v>
      </c>
      <c r="V325" s="64">
        <f>Ringkasan!V324</f>
        <v>-1.61</v>
      </c>
      <c r="W325" s="64">
        <f>Ringkasan!W324</f>
        <v>12.43</v>
      </c>
      <c r="X325" s="64">
        <f>Ringkasan!X324</f>
        <v>12.43</v>
      </c>
      <c r="Y325" s="64">
        <f>Ringkasan!Y324</f>
        <v>12.23</v>
      </c>
      <c r="Z325" s="64" t="str">
        <f>Ringkasan!Z324</f>
        <v/>
      </c>
      <c r="AA325" s="64" t="str">
        <f>Ringkasan!AA324</f>
        <v>Real Estate Management &amp; Development</v>
      </c>
      <c r="AB325" s="64" t="str">
        <f>Ringkasan!AB324</f>
        <v>Properties &amp; Real Estate</v>
      </c>
    </row>
    <row r="326" hidden="1">
      <c r="A326" s="64" t="str">
        <f>Ringkasan!A325</f>
        <v>BFIN</v>
      </c>
      <c r="B326" s="64" t="str">
        <f>Ringkasan!B325</f>
        <v>BFI Finance Indonesia Tbk.</v>
      </c>
      <c r="C326" s="65">
        <f>Ringkasan!C325</f>
        <v>670</v>
      </c>
      <c r="D326" s="64" t="str">
        <f>Ringkasan!D325</f>
        <v>#N/A</v>
      </c>
      <c r="E326" s="64" t="str">
        <f>Ringkasan!E325</f>
        <v>IDXSMC-LIQ</v>
      </c>
      <c r="F326" s="64" t="str">
        <f>Ringkasan!F325</f>
        <v>4 Agustus 2026</v>
      </c>
      <c r="G326" s="64">
        <f>Ringkasan!G325</f>
        <v>2</v>
      </c>
      <c r="H326" s="19">
        <f>Ringkasan!H325</f>
        <v>6.8</v>
      </c>
      <c r="I326" s="19">
        <f>Ringkasan!I325</f>
        <v>0.95</v>
      </c>
      <c r="J326" s="19">
        <f>Ringkasan!J325</f>
        <v>14</v>
      </c>
      <c r="K326" s="19">
        <f>Ringkasan!K325</f>
        <v>6.1</v>
      </c>
      <c r="L326" s="19">
        <f>Ringkasan!L325</f>
        <v>1.3</v>
      </c>
      <c r="M326" s="19">
        <f>Ringkasan!M325</f>
        <v>110</v>
      </c>
      <c r="N326" s="64" t="str">
        <f>Ringkasan!N325</f>
        <v/>
      </c>
      <c r="O326" s="64" t="str">
        <f>Ringkasan!O325</f>
        <v/>
      </c>
      <c r="P326" s="64" t="str">
        <f>Ringkasan!P325</f>
        <v/>
      </c>
      <c r="Q326" s="64" t="str">
        <f>Ringkasan!Q325</f>
        <v/>
      </c>
      <c r="R326" s="64" t="str">
        <f>Ringkasan!R325</f>
        <v/>
      </c>
      <c r="S326" s="64" t="str">
        <f>Ringkasan!S325</f>
        <v/>
      </c>
      <c r="T326" s="64" t="str">
        <f>Ringkasan!T325</f>
        <v/>
      </c>
      <c r="U326" s="64">
        <f>Ringkasan!U325</f>
        <v>28.3</v>
      </c>
      <c r="V326" s="64">
        <f>Ringkasan!V325</f>
        <v>1.31</v>
      </c>
      <c r="W326" s="64">
        <f>Ringkasan!W325</f>
        <v>28.67</v>
      </c>
      <c r="X326" s="64">
        <f>Ringkasan!X325</f>
        <v>28.67</v>
      </c>
      <c r="Y326" s="64">
        <f>Ringkasan!Y325</f>
        <v>28.67</v>
      </c>
      <c r="Z326" s="64">
        <f>Ringkasan!Z325</f>
        <v>300</v>
      </c>
      <c r="AA326" s="64" t="str">
        <f>Ringkasan!AA325</f>
        <v>Consumer Financing</v>
      </c>
      <c r="AB326" s="64" t="str">
        <f>Ringkasan!AB325</f>
        <v>Financials</v>
      </c>
    </row>
    <row r="327" hidden="1">
      <c r="A327" s="64" t="str">
        <f>Ringkasan!A326</f>
        <v>BFIN</v>
      </c>
      <c r="B327" s="64" t="str">
        <f>Ringkasan!B326</f>
        <v>BFI Finance Indonesia Tbk.</v>
      </c>
      <c r="C327" s="65">
        <f>Ringkasan!C326</f>
        <v>670</v>
      </c>
      <c r="D327" s="64" t="str">
        <f>Ringkasan!D326</f>
        <v>#N/A</v>
      </c>
      <c r="E327" s="64" t="str">
        <f>Ringkasan!E326</f>
        <v>MSCI Small Cap</v>
      </c>
      <c r="F327" s="64" t="str">
        <f>Ringkasan!F326</f>
        <v>12 Agustus 2026</v>
      </c>
      <c r="G327" s="64">
        <f>Ringkasan!G326</f>
        <v>2</v>
      </c>
      <c r="H327" s="19">
        <f>Ringkasan!H326</f>
        <v>6.8</v>
      </c>
      <c r="I327" s="19">
        <f>Ringkasan!I326</f>
        <v>0.95</v>
      </c>
      <c r="J327" s="19">
        <f>Ringkasan!J326</f>
        <v>14</v>
      </c>
      <c r="K327" s="19">
        <f>Ringkasan!K326</f>
        <v>6.1</v>
      </c>
      <c r="L327" s="19">
        <f>Ringkasan!L326</f>
        <v>1.3</v>
      </c>
      <c r="M327" s="19">
        <f>Ringkasan!M326</f>
        <v>110</v>
      </c>
      <c r="N327" s="64" t="str">
        <f>Ringkasan!N326</f>
        <v/>
      </c>
      <c r="O327" s="64" t="str">
        <f>Ringkasan!O326</f>
        <v/>
      </c>
      <c r="P327" s="64" t="str">
        <f>Ringkasan!P326</f>
        <v/>
      </c>
      <c r="Q327" s="64" t="str">
        <f>Ringkasan!Q326</f>
        <v/>
      </c>
      <c r="R327" s="64" t="str">
        <f>Ringkasan!R326</f>
        <v/>
      </c>
      <c r="S327" s="64" t="str">
        <f>Ringkasan!S326</f>
        <v/>
      </c>
      <c r="T327" s="64" t="str">
        <f>Ringkasan!T326</f>
        <v/>
      </c>
      <c r="U327" s="64">
        <f>Ringkasan!U326</f>
        <v>28.3</v>
      </c>
      <c r="V327" s="64">
        <f>Ringkasan!V326</f>
        <v>1.31</v>
      </c>
      <c r="W327" s="64">
        <f>Ringkasan!W326</f>
        <v>28.67</v>
      </c>
      <c r="X327" s="64">
        <f>Ringkasan!X326</f>
        <v>28.67</v>
      </c>
      <c r="Y327" s="64">
        <f>Ringkasan!Y326</f>
        <v>28.67</v>
      </c>
      <c r="Z327" s="64">
        <f>Ringkasan!Z326</f>
        <v>300</v>
      </c>
      <c r="AA327" s="64" t="str">
        <f>Ringkasan!AA326</f>
        <v>Consumer Financing</v>
      </c>
      <c r="AB327" s="64" t="str">
        <f>Ringkasan!AB326</f>
        <v>Financials</v>
      </c>
    </row>
    <row r="328" hidden="1">
      <c r="A328" s="64" t="str">
        <f>Ringkasan!A327</f>
        <v>BGTG</v>
      </c>
      <c r="B328" s="64" t="str">
        <f>Ringkasan!B327</f>
        <v>PT Bank Ganesha Tbk.</v>
      </c>
      <c r="C328" s="65">
        <f>Ringkasan!C327</f>
        <v>104</v>
      </c>
      <c r="D328" s="64" t="str">
        <f>Ringkasan!D327</f>
        <v>#N/A</v>
      </c>
      <c r="E328" s="64" t="str">
        <f>Ringkasan!E327</f>
        <v/>
      </c>
      <c r="F328" s="64" t="str">
        <f>Ringkasan!F327</f>
        <v/>
      </c>
      <c r="G328" s="64">
        <f>Ringkasan!G327</f>
        <v>0</v>
      </c>
      <c r="H328" s="19">
        <f>Ringkasan!H327</f>
        <v>12</v>
      </c>
      <c r="I328" s="19">
        <f>Ringkasan!I327</f>
        <v>0.75</v>
      </c>
      <c r="J328" s="19">
        <f>Ringkasan!J327</f>
        <v>6.2</v>
      </c>
      <c r="K328" s="19">
        <f>Ringkasan!K327</f>
        <v>2.2</v>
      </c>
      <c r="L328" s="19">
        <f>Ringkasan!L327</f>
        <v>1.8</v>
      </c>
      <c r="M328" s="19">
        <f>Ringkasan!M327</f>
        <v>130</v>
      </c>
      <c r="N328" s="64">
        <f>Ringkasan!N327</f>
        <v>3.55</v>
      </c>
      <c r="O328" s="64">
        <f>Ringkasan!O327</f>
        <v>77.52</v>
      </c>
      <c r="P328" s="64">
        <f>Ringkasan!P327</f>
        <v>78.73</v>
      </c>
      <c r="Q328" s="64">
        <f>Ringkasan!Q327</f>
        <v>1.4</v>
      </c>
      <c r="R328" s="64">
        <f>Ringkasan!R327</f>
        <v>89.2</v>
      </c>
      <c r="S328" s="64">
        <f>Ringkasan!S327</f>
        <v>72.15</v>
      </c>
      <c r="T328" s="64">
        <f>Ringkasan!T327</f>
        <v>8.11</v>
      </c>
      <c r="U328" s="64">
        <f>Ringkasan!U327</f>
        <v>101</v>
      </c>
      <c r="V328" s="64">
        <f>Ringkasan!V327</f>
        <v>2.97</v>
      </c>
      <c r="W328" s="64">
        <f>Ringkasan!W327</f>
        <v>102</v>
      </c>
      <c r="X328" s="64">
        <f>Ringkasan!X327</f>
        <v>105</v>
      </c>
      <c r="Y328" s="64">
        <f>Ringkasan!Y327</f>
        <v>101</v>
      </c>
      <c r="Z328" s="64">
        <f>Ringkasan!Z327</f>
        <v>3848600</v>
      </c>
      <c r="AA328" s="64" t="str">
        <f>Ringkasan!AA327</f>
        <v>Banks</v>
      </c>
      <c r="AB328" s="64" t="str">
        <f>Ringkasan!AB327</f>
        <v>Financials</v>
      </c>
    </row>
    <row r="329" hidden="1">
      <c r="A329" s="64" t="str">
        <f>Ringkasan!A328</f>
        <v>BHAT</v>
      </c>
      <c r="B329" s="64" t="str">
        <f>Ringkasan!B328</f>
        <v>Bhakti Multi Artha Tbk.</v>
      </c>
      <c r="C329" s="65">
        <f>Ringkasan!C328</f>
        <v>1040</v>
      </c>
      <c r="D329" s="64" t="str">
        <f>Ringkasan!D328</f>
        <v>#N/A</v>
      </c>
      <c r="E329" s="64" t="str">
        <f>Ringkasan!E328</f>
        <v/>
      </c>
      <c r="F329" s="64" t="str">
        <f>Ringkasan!F328</f>
        <v/>
      </c>
      <c r="G329" s="64">
        <f>Ringkasan!G328</f>
        <v>0</v>
      </c>
      <c r="H329" s="19">
        <f>Ringkasan!H328</f>
        <v>-14000</v>
      </c>
      <c r="I329" s="19">
        <f>Ringkasan!I328</f>
        <v>8.1</v>
      </c>
      <c r="J329" s="19">
        <f>Ringkasan!J328</f>
        <v>-0.06</v>
      </c>
      <c r="K329" s="19">
        <f>Ringkasan!K328</f>
        <v>-0.03</v>
      </c>
      <c r="L329" s="19">
        <f>Ringkasan!L328</f>
        <v>1</v>
      </c>
      <c r="M329" s="19">
        <f>Ringkasan!M328</f>
        <v>-0.32</v>
      </c>
      <c r="N329" s="64" t="str">
        <f>Ringkasan!N328</f>
        <v/>
      </c>
      <c r="O329" s="64" t="str">
        <f>Ringkasan!O328</f>
        <v/>
      </c>
      <c r="P329" s="64" t="str">
        <f>Ringkasan!P328</f>
        <v/>
      </c>
      <c r="Q329" s="64" t="str">
        <f>Ringkasan!Q328</f>
        <v/>
      </c>
      <c r="R329" s="64" t="str">
        <f>Ringkasan!R328</f>
        <v/>
      </c>
      <c r="S329" s="64" t="str">
        <f>Ringkasan!S328</f>
        <v/>
      </c>
      <c r="T329" s="64" t="str">
        <f>Ringkasan!T328</f>
        <v/>
      </c>
      <c r="U329" s="64">
        <f>Ringkasan!U328</f>
        <v>1040</v>
      </c>
      <c r="V329" s="64">
        <f>Ringkasan!V328</f>
        <v>0</v>
      </c>
      <c r="W329" s="64">
        <f>Ringkasan!W328</f>
        <v>1040</v>
      </c>
      <c r="X329" s="64">
        <f>Ringkasan!X328</f>
        <v>1050</v>
      </c>
      <c r="Y329" s="64">
        <f>Ringkasan!Y328</f>
        <v>1040</v>
      </c>
      <c r="Z329" s="64">
        <f>Ringkasan!Z328</f>
        <v>1400</v>
      </c>
      <c r="AA329" s="64" t="str">
        <f>Ringkasan!AA328</f>
        <v>Insurance</v>
      </c>
      <c r="AB329" s="64" t="str">
        <f>Ringkasan!AB328</f>
        <v>Financials</v>
      </c>
    </row>
    <row r="330" hidden="1">
      <c r="A330" s="64" t="str">
        <f>Ringkasan!A329</f>
        <v>BHIT</v>
      </c>
      <c r="B330" s="64" t="str">
        <f>Ringkasan!B329</f>
        <v>PT MNC Investama Tbk.</v>
      </c>
      <c r="C330" s="65">
        <f>Ringkasan!C329</f>
        <v>27</v>
      </c>
      <c r="D330" s="64" t="str">
        <f>Ringkasan!D329</f>
        <v>#N/A</v>
      </c>
      <c r="E330" s="64" t="str">
        <f>Ringkasan!E329</f>
        <v/>
      </c>
      <c r="F330" s="64" t="str">
        <f>Ringkasan!F329</f>
        <v/>
      </c>
      <c r="G330" s="64">
        <f>Ringkasan!G329</f>
        <v>0</v>
      </c>
      <c r="H330" s="19">
        <f>Ringkasan!H329</f>
        <v>5.3</v>
      </c>
      <c r="I330" s="19">
        <f>Ringkasan!I329</f>
        <v>0.06</v>
      </c>
      <c r="J330" s="19">
        <f>Ringkasan!J329</f>
        <v>1.2</v>
      </c>
      <c r="K330" s="19">
        <f>Ringkasan!K329</f>
        <v>0.65</v>
      </c>
      <c r="L330" s="19">
        <f>Ringkasan!L329</f>
        <v>0.85</v>
      </c>
      <c r="M330" s="19">
        <f>Ringkasan!M329</f>
        <v>13.2</v>
      </c>
      <c r="N330" s="64" t="str">
        <f>Ringkasan!N329</f>
        <v/>
      </c>
      <c r="O330" s="64" t="str">
        <f>Ringkasan!O329</f>
        <v/>
      </c>
      <c r="P330" s="64" t="str">
        <f>Ringkasan!P329</f>
        <v/>
      </c>
      <c r="Q330" s="64" t="str">
        <f>Ringkasan!Q329</f>
        <v/>
      </c>
      <c r="R330" s="64" t="str">
        <f>Ringkasan!R329</f>
        <v/>
      </c>
      <c r="S330" s="64" t="str">
        <f>Ringkasan!S329</f>
        <v/>
      </c>
      <c r="T330" s="64" t="str">
        <f>Ringkasan!T329</f>
        <v/>
      </c>
      <c r="U330" s="64" t="str">
        <f>Ringkasan!U329</f>
        <v/>
      </c>
      <c r="V330" s="64">
        <f>Ringkasan!V329</f>
        <v>0</v>
      </c>
      <c r="W330" s="64">
        <f>Ringkasan!W329</f>
        <v>26</v>
      </c>
      <c r="X330" s="64">
        <f>Ringkasan!X329</f>
        <v>27</v>
      </c>
      <c r="Y330" s="64">
        <f>Ringkasan!Y329</f>
        <v>26</v>
      </c>
      <c r="Z330" s="64">
        <f>Ringkasan!Z329</f>
        <v>7314700</v>
      </c>
      <c r="AA330" s="64" t="str">
        <f>Ringkasan!AA329</f>
        <v>Multi-sector Holdings</v>
      </c>
      <c r="AB330" s="64" t="str">
        <f>Ringkasan!AB329</f>
        <v>Industrials</v>
      </c>
    </row>
    <row r="331" hidden="1">
      <c r="A331" s="64" t="str">
        <f>Ringkasan!A330</f>
        <v>BIKA</v>
      </c>
      <c r="B331" s="64" t="str">
        <f>Ringkasan!B330</f>
        <v>Binakarya Jaya Abadi Tbk.</v>
      </c>
      <c r="C331" s="65">
        <f>Ringkasan!C330</f>
        <v>55</v>
      </c>
      <c r="D331" s="64" t="str">
        <f>Ringkasan!D330</f>
        <v>#N/A</v>
      </c>
      <c r="E331" s="64" t="str">
        <f>Ringkasan!E330</f>
        <v/>
      </c>
      <c r="F331" s="64" t="str">
        <f>Ringkasan!F330</f>
        <v/>
      </c>
      <c r="G331" s="64">
        <f>Ringkasan!G330</f>
        <v>0</v>
      </c>
      <c r="H331" s="19">
        <f>Ringkasan!H330</f>
        <v>0</v>
      </c>
      <c r="I331" s="19">
        <f>Ringkasan!I330</f>
        <v>-0.07</v>
      </c>
      <c r="J331" s="19">
        <f>Ringkasan!J330</f>
        <v>0</v>
      </c>
      <c r="K331" s="19">
        <f>Ringkasan!K330</f>
        <v>-1.7</v>
      </c>
      <c r="L331" s="19">
        <f>Ringkasan!L330</f>
        <v>-7.7</v>
      </c>
      <c r="M331" s="19">
        <f>Ringkasan!M330</f>
        <v>-54.4</v>
      </c>
      <c r="N331" s="64" t="str">
        <f>Ringkasan!N330</f>
        <v/>
      </c>
      <c r="O331" s="64" t="str">
        <f>Ringkasan!O330</f>
        <v/>
      </c>
      <c r="P331" s="64" t="str">
        <f>Ringkasan!P330</f>
        <v/>
      </c>
      <c r="Q331" s="64" t="str">
        <f>Ringkasan!Q330</f>
        <v/>
      </c>
      <c r="R331" s="64" t="str">
        <f>Ringkasan!R330</f>
        <v/>
      </c>
      <c r="S331" s="64" t="str">
        <f>Ringkasan!S330</f>
        <v/>
      </c>
      <c r="T331" s="64" t="str">
        <f>Ringkasan!T330</f>
        <v/>
      </c>
      <c r="U331" s="64">
        <f>Ringkasan!U330</f>
        <v>55</v>
      </c>
      <c r="V331" s="64">
        <f>Ringkasan!V330</f>
        <v>0</v>
      </c>
      <c r="W331" s="64" t="str">
        <f>Ringkasan!W330</f>
        <v/>
      </c>
      <c r="X331" s="64" t="str">
        <f>Ringkasan!X330</f>
        <v/>
      </c>
      <c r="Y331" s="64" t="str">
        <f>Ringkasan!Y330</f>
        <v/>
      </c>
      <c r="Z331" s="64">
        <f>Ringkasan!Z330</f>
        <v>0</v>
      </c>
      <c r="AA331" s="64" t="str">
        <f>Ringkasan!AA330</f>
        <v>Real Estate Management &amp; Development</v>
      </c>
      <c r="AB331" s="64" t="str">
        <f>Ringkasan!AB330</f>
        <v>Properties &amp; Real Estate</v>
      </c>
    </row>
    <row r="332" hidden="1">
      <c r="A332" s="64" t="str">
        <f>Ringkasan!A69</f>
        <v>AKRA</v>
      </c>
      <c r="B332" s="64" t="str">
        <f>Ringkasan!B69</f>
        <v>AKR Corporindo Tbk.</v>
      </c>
      <c r="C332" s="65">
        <f>Ringkasan!C69</f>
        <v>1250</v>
      </c>
      <c r="D332" s="64" t="str">
        <f>Ringkasan!D69</f>
        <v>#N/A</v>
      </c>
      <c r="E332" s="64" t="str">
        <f>Ringkasan!E69</f>
        <v>IDXHIDIV20</v>
      </c>
      <c r="F332" s="64" t="str">
        <f>Ringkasan!F69</f>
        <v>2 Februari 2027</v>
      </c>
      <c r="G332" s="65">
        <f>Ringkasan!G69</f>
        <v>16</v>
      </c>
      <c r="H332" s="19">
        <f>Ringkasan!H69</f>
        <v>9.7</v>
      </c>
      <c r="I332" s="19">
        <f>Ringkasan!I69</f>
        <v>1.5</v>
      </c>
      <c r="J332" s="19">
        <f>Ringkasan!J69</f>
        <v>15.8</v>
      </c>
      <c r="K332" s="19">
        <f>Ringkasan!K69</f>
        <v>6.9</v>
      </c>
      <c r="L332" s="19">
        <f>Ringkasan!L69</f>
        <v>1.3</v>
      </c>
      <c r="M332" s="19">
        <f>Ringkasan!M69</f>
        <v>19.8</v>
      </c>
      <c r="N332" s="64" t="str">
        <f>Ringkasan!N69</f>
        <v/>
      </c>
      <c r="O332" s="64" t="str">
        <f>Ringkasan!O69</f>
        <v/>
      </c>
      <c r="P332" s="64" t="str">
        <f>Ringkasan!P69</f>
        <v/>
      </c>
      <c r="Q332" s="64" t="str">
        <f>Ringkasan!Q69</f>
        <v/>
      </c>
      <c r="R332" s="64" t="str">
        <f>Ringkasan!R69</f>
        <v/>
      </c>
      <c r="S332" s="64" t="str">
        <f>Ringkasan!S69</f>
        <v/>
      </c>
      <c r="T332" s="64" t="str">
        <f>Ringkasan!T69</f>
        <v/>
      </c>
      <c r="U332" s="64">
        <f>Ringkasan!U69</f>
        <v>1265</v>
      </c>
      <c r="V332" s="64">
        <f>Ringkasan!V69</f>
        <v>-1.19</v>
      </c>
      <c r="W332" s="64">
        <f>Ringkasan!W69</f>
        <v>1280</v>
      </c>
      <c r="X332" s="64">
        <f>Ringkasan!X69</f>
        <v>1315</v>
      </c>
      <c r="Y332" s="64">
        <f>Ringkasan!Y69</f>
        <v>1250</v>
      </c>
      <c r="Z332" s="64">
        <f>Ringkasan!Z69</f>
        <v>21209100</v>
      </c>
      <c r="AA332" s="64" t="str">
        <f>Ringkasan!AA69</f>
        <v>Oil &amp; Gas</v>
      </c>
      <c r="AB332" s="64" t="str">
        <f>Ringkasan!AB69</f>
        <v>Energy</v>
      </c>
    </row>
    <row r="333" hidden="1">
      <c r="A333" s="64" t="str">
        <f>Ringkasan!A332</f>
        <v>BIMA</v>
      </c>
      <c r="B333" s="64" t="str">
        <f>Ringkasan!B332</f>
        <v>Primarindo Asia Infrastructure Tbk.</v>
      </c>
      <c r="C333" s="65">
        <f>Ringkasan!C332</f>
        <v>82</v>
      </c>
      <c r="D333" s="64" t="str">
        <f>Ringkasan!D332</f>
        <v>#N/A</v>
      </c>
      <c r="E333" s="64" t="str">
        <f>Ringkasan!E332</f>
        <v/>
      </c>
      <c r="F333" s="64" t="str">
        <f>Ringkasan!F332</f>
        <v/>
      </c>
      <c r="G333" s="64">
        <f>Ringkasan!G332</f>
        <v>0</v>
      </c>
      <c r="H333" s="19">
        <f>Ringkasan!H332</f>
        <v>-2.2</v>
      </c>
      <c r="I333" s="19">
        <f>Ringkasan!I332</f>
        <v>1.6</v>
      </c>
      <c r="J333" s="19">
        <f>Ringkasan!J332</f>
        <v>-71.2</v>
      </c>
      <c r="K333" s="19">
        <f>Ringkasan!K332</f>
        <v>-7.6</v>
      </c>
      <c r="L333" s="19">
        <f>Ringkasan!L332</f>
        <v>8.4</v>
      </c>
      <c r="M333" s="19">
        <f>Ringkasan!M332</f>
        <v>-160</v>
      </c>
      <c r="N333" s="64" t="str">
        <f>Ringkasan!N332</f>
        <v/>
      </c>
      <c r="O333" s="64" t="str">
        <f>Ringkasan!O332</f>
        <v/>
      </c>
      <c r="P333" s="64" t="str">
        <f>Ringkasan!P332</f>
        <v/>
      </c>
      <c r="Q333" s="64" t="str">
        <f>Ringkasan!Q332</f>
        <v/>
      </c>
      <c r="R333" s="64" t="str">
        <f>Ringkasan!R332</f>
        <v/>
      </c>
      <c r="S333" s="64" t="str">
        <f>Ringkasan!S332</f>
        <v/>
      </c>
      <c r="T333" s="64" t="str">
        <f>Ringkasan!T332</f>
        <v/>
      </c>
      <c r="U333" s="64">
        <f>Ringkasan!U332</f>
        <v>82</v>
      </c>
      <c r="V333" s="64">
        <f>Ringkasan!V332</f>
        <v>0</v>
      </c>
      <c r="W333" s="64" t="str">
        <f>Ringkasan!W332</f>
        <v/>
      </c>
      <c r="X333" s="64" t="str">
        <f>Ringkasan!X332</f>
        <v/>
      </c>
      <c r="Y333" s="64" t="str">
        <f>Ringkasan!Y332</f>
        <v/>
      </c>
      <c r="Z333" s="64">
        <f>Ringkasan!Z332</f>
        <v>0</v>
      </c>
      <c r="AA333" s="64" t="str">
        <f>Ringkasan!AA332</f>
        <v>Apparel &amp; Luxury Goods</v>
      </c>
      <c r="AB333" s="64" t="str">
        <f>Ringkasan!AB332</f>
        <v>Consumer Cyclicals</v>
      </c>
    </row>
    <row r="334" hidden="1">
      <c r="A334" s="64" t="str">
        <f>Ringkasan!A114</f>
        <v>ANTM</v>
      </c>
      <c r="B334" s="64" t="str">
        <f>Ringkasan!B114</f>
        <v>Aneka Tambang Tbk.</v>
      </c>
      <c r="C334" s="65">
        <f>Ringkasan!C114</f>
        <v>2850</v>
      </c>
      <c r="D334" s="64" t="str">
        <f>Ringkasan!D114</f>
        <v>#N/A</v>
      </c>
      <c r="E334" s="64" t="str">
        <f>Ringkasan!E114</f>
        <v>ESGQKEHATI</v>
      </c>
      <c r="F334" s="66">
        <f>Ringkasan!F114</f>
        <v>46356</v>
      </c>
      <c r="G334" s="65">
        <f>Ringkasan!G114</f>
        <v>19</v>
      </c>
      <c r="H334" s="19">
        <f>Ringkasan!H114</f>
        <v>8.2</v>
      </c>
      <c r="I334" s="19">
        <f>Ringkasan!I114</f>
        <v>1.7</v>
      </c>
      <c r="J334" s="19">
        <f>Ringkasan!J114</f>
        <v>21</v>
      </c>
      <c r="K334" s="19">
        <f>Ringkasan!K114</f>
        <v>13.4</v>
      </c>
      <c r="L334" s="19">
        <f>Ringkasan!L114</f>
        <v>0.57</v>
      </c>
      <c r="M334" s="19">
        <f>Ringkasan!M114</f>
        <v>28.9</v>
      </c>
      <c r="N334" s="64" t="str">
        <f>Ringkasan!N114</f>
        <v/>
      </c>
      <c r="O334" s="64" t="str">
        <f>Ringkasan!O114</f>
        <v/>
      </c>
      <c r="P334" s="64" t="str">
        <f>Ringkasan!P114</f>
        <v/>
      </c>
      <c r="Q334" s="64" t="str">
        <f>Ringkasan!Q114</f>
        <v/>
      </c>
      <c r="R334" s="64" t="str">
        <f>Ringkasan!R114</f>
        <v/>
      </c>
      <c r="S334" s="64" t="str">
        <f>Ringkasan!S114</f>
        <v/>
      </c>
      <c r="T334" s="64" t="str">
        <f>Ringkasan!T114</f>
        <v/>
      </c>
      <c r="U334" s="64">
        <f>Ringkasan!U114</f>
        <v>2720</v>
      </c>
      <c r="V334" s="64">
        <f>Ringkasan!V114</f>
        <v>4.78</v>
      </c>
      <c r="W334" s="64">
        <f>Ringkasan!W114</f>
        <v>2800</v>
      </c>
      <c r="X334" s="64">
        <f>Ringkasan!X114</f>
        <v>2910</v>
      </c>
      <c r="Y334" s="64">
        <f>Ringkasan!Y114</f>
        <v>2760</v>
      </c>
      <c r="Z334" s="64">
        <f>Ringkasan!Z114</f>
        <v>174808500</v>
      </c>
      <c r="AA334" s="64" t="str">
        <f>Ringkasan!AA114</f>
        <v>Metals &amp; Minerals</v>
      </c>
      <c r="AB334" s="64" t="str">
        <f>Ringkasan!AB114</f>
        <v>Basic Materials</v>
      </c>
    </row>
    <row r="335" hidden="1">
      <c r="A335" s="64" t="str">
        <f>Ringkasan!A208</f>
        <v>BABP</v>
      </c>
      <c r="B335" s="64" t="str">
        <f>Ringkasan!B208</f>
        <v>PT Bank MNC Internasional Tbk.</v>
      </c>
      <c r="C335" s="67">
        <f>Ringkasan!C208</f>
        <v>50</v>
      </c>
      <c r="D335" s="22" t="str">
        <f>Ringkasan!D208</f>
        <v>#N/A</v>
      </c>
      <c r="E335" s="64" t="str">
        <f>Ringkasan!E208</f>
        <v/>
      </c>
      <c r="F335" s="64" t="str">
        <f>Ringkasan!F208</f>
        <v/>
      </c>
      <c r="G335" s="64">
        <f>Ringkasan!G208</f>
        <v>0</v>
      </c>
      <c r="H335" s="19">
        <f>Ringkasan!H208</f>
        <v>27.7</v>
      </c>
      <c r="I335" s="19">
        <f>Ringkasan!I208</f>
        <v>0.59</v>
      </c>
      <c r="J335" s="19">
        <f>Ringkasan!J208</f>
        <v>2.1</v>
      </c>
      <c r="K335" s="19">
        <f>Ringkasan!K208</f>
        <v>0.38</v>
      </c>
      <c r="L335" s="19">
        <f>Ringkasan!L208</f>
        <v>4.7</v>
      </c>
      <c r="M335" s="19">
        <f>Ringkasan!M208</f>
        <v>20.4</v>
      </c>
      <c r="N335" s="64">
        <f>Ringkasan!N208</f>
        <v>3.15</v>
      </c>
      <c r="O335" s="64">
        <f>Ringkasan!O208</f>
        <v>24.66</v>
      </c>
      <c r="P335" s="64">
        <f>Ringkasan!P208</f>
        <v>78.71</v>
      </c>
      <c r="Q335" s="64">
        <f>Ringkasan!Q208</f>
        <v>2.99</v>
      </c>
      <c r="R335" s="64">
        <f>Ringkasan!R208</f>
        <v>94.63</v>
      </c>
      <c r="S335" s="64">
        <f>Ringkasan!S208</f>
        <v>77.62</v>
      </c>
      <c r="T335" s="64">
        <f>Ringkasan!T208</f>
        <v>6.85</v>
      </c>
      <c r="U335" s="22">
        <f>Ringkasan!U208</f>
        <v>50</v>
      </c>
      <c r="V335" s="22">
        <f>Ringkasan!V208</f>
        <v>0</v>
      </c>
      <c r="W335" s="22">
        <f>Ringkasan!W208</f>
        <v>50</v>
      </c>
      <c r="X335" s="22">
        <f>Ringkasan!X208</f>
        <v>50</v>
      </c>
      <c r="Y335" s="22">
        <f>Ringkasan!Y208</f>
        <v>50</v>
      </c>
      <c r="Z335" s="22" t="str">
        <f>Ringkasan!Z208</f>
        <v/>
      </c>
      <c r="AA335" s="64" t="str">
        <f>Ringkasan!AA208</f>
        <v>Banks</v>
      </c>
      <c r="AB335" s="64" t="str">
        <f>Ringkasan!AB208</f>
        <v>Financials</v>
      </c>
    </row>
    <row r="336" hidden="1">
      <c r="A336" s="64" t="str">
        <f>Ringkasan!A335</f>
        <v>BIPI</v>
      </c>
      <c r="B336" s="64" t="str">
        <f>Ringkasan!B335</f>
        <v>Astrindo Nusantara Infrastruktur Tbk.</v>
      </c>
      <c r="C336" s="65" t="str">
        <f>Ringkasan!C335</f>
        <v>#N/A</v>
      </c>
      <c r="D336" s="64" t="str">
        <f>Ringkasan!D335</f>
        <v>#N/A</v>
      </c>
      <c r="E336" s="64" t="str">
        <f>Ringkasan!E335</f>
        <v/>
      </c>
      <c r="F336" s="64" t="str">
        <f>Ringkasan!F335</f>
        <v/>
      </c>
      <c r="G336" s="64">
        <f>Ringkasan!G335</f>
        <v>0</v>
      </c>
      <c r="H336" s="19">
        <f>Ringkasan!H335</f>
        <v>610</v>
      </c>
      <c r="I336" s="19">
        <f>Ringkasan!I335</f>
        <v>1.1</v>
      </c>
      <c r="J336" s="19">
        <f>Ringkasan!J335</f>
        <v>0.18</v>
      </c>
      <c r="K336" s="19">
        <f>Ringkasan!K335</f>
        <v>0.07</v>
      </c>
      <c r="L336" s="19">
        <f>Ringkasan!L335</f>
        <v>1.7</v>
      </c>
      <c r="M336" s="19">
        <f>Ringkasan!M335</f>
        <v>0.46</v>
      </c>
      <c r="N336" s="64" t="str">
        <f>Ringkasan!N335</f>
        <v/>
      </c>
      <c r="O336" s="64" t="str">
        <f>Ringkasan!O335</f>
        <v/>
      </c>
      <c r="P336" s="64" t="str">
        <f>Ringkasan!P335</f>
        <v/>
      </c>
      <c r="Q336" s="64" t="str">
        <f>Ringkasan!Q335</f>
        <v/>
      </c>
      <c r="R336" s="64" t="str">
        <f>Ringkasan!R335</f>
        <v/>
      </c>
      <c r="S336" s="64" t="str">
        <f>Ringkasan!S335</f>
        <v/>
      </c>
      <c r="T336" s="64" t="str">
        <f>Ringkasan!T335</f>
        <v/>
      </c>
      <c r="U336" s="64">
        <f>Ringkasan!U335</f>
        <v>17.05</v>
      </c>
      <c r="V336" s="64">
        <f>Ringkasan!V335</f>
        <v>-2.35</v>
      </c>
      <c r="W336" s="64">
        <f>Ringkasan!W335</f>
        <v>16.98</v>
      </c>
      <c r="X336" s="64">
        <f>Ringkasan!X335</f>
        <v>17.08</v>
      </c>
      <c r="Y336" s="64">
        <f>Ringkasan!Y335</f>
        <v>16.55</v>
      </c>
      <c r="Z336" s="64">
        <f>Ringkasan!Z335</f>
        <v>0</v>
      </c>
      <c r="AA336" s="64" t="str">
        <f>Ringkasan!AA335</f>
        <v>Coal</v>
      </c>
      <c r="AB336" s="64" t="str">
        <f>Ringkasan!AB335</f>
        <v>Energy</v>
      </c>
    </row>
    <row r="337" hidden="1">
      <c r="A337" s="64" t="str">
        <f>Ringkasan!A336</f>
        <v>BIPP</v>
      </c>
      <c r="B337" s="64" t="str">
        <f>Ringkasan!B336</f>
        <v>Bhuwanatala Indah Permai Tbk.</v>
      </c>
      <c r="C337" s="65">
        <f>Ringkasan!C336</f>
        <v>56</v>
      </c>
      <c r="D337" s="64" t="str">
        <f>Ringkasan!D336</f>
        <v>#N/A</v>
      </c>
      <c r="E337" s="64" t="str">
        <f>Ringkasan!E336</f>
        <v/>
      </c>
      <c r="F337" s="64" t="str">
        <f>Ringkasan!F336</f>
        <v/>
      </c>
      <c r="G337" s="64">
        <f>Ringkasan!G336</f>
        <v>0</v>
      </c>
      <c r="H337" s="19">
        <f>Ringkasan!H336</f>
        <v>-7</v>
      </c>
      <c r="I337" s="19">
        <f>Ringkasan!I336</f>
        <v>0.32</v>
      </c>
      <c r="J337" s="19">
        <f>Ringkasan!J336</f>
        <v>-4.5</v>
      </c>
      <c r="K337" s="19">
        <f>Ringkasan!K336</f>
        <v>-2.4</v>
      </c>
      <c r="L337" s="19">
        <f>Ringkasan!L336</f>
        <v>0.87</v>
      </c>
      <c r="M337" s="19">
        <f>Ringkasan!M336</f>
        <v>-120</v>
      </c>
      <c r="N337" s="64" t="str">
        <f>Ringkasan!N336</f>
        <v/>
      </c>
      <c r="O337" s="64" t="str">
        <f>Ringkasan!O336</f>
        <v/>
      </c>
      <c r="P337" s="64" t="str">
        <f>Ringkasan!P336</f>
        <v/>
      </c>
      <c r="Q337" s="64" t="str">
        <f>Ringkasan!Q336</f>
        <v/>
      </c>
      <c r="R337" s="64" t="str">
        <f>Ringkasan!R336</f>
        <v/>
      </c>
      <c r="S337" s="64" t="str">
        <f>Ringkasan!S336</f>
        <v/>
      </c>
      <c r="T337" s="64" t="str">
        <f>Ringkasan!T336</f>
        <v/>
      </c>
      <c r="U337" s="64">
        <f>Ringkasan!U336</f>
        <v>52</v>
      </c>
      <c r="V337" s="64">
        <f>Ringkasan!V336</f>
        <v>7.69</v>
      </c>
      <c r="W337" s="64">
        <f>Ringkasan!W336</f>
        <v>52</v>
      </c>
      <c r="X337" s="64">
        <f>Ringkasan!X336</f>
        <v>57</v>
      </c>
      <c r="Y337" s="64">
        <f>Ringkasan!Y336</f>
        <v>51</v>
      </c>
      <c r="Z337" s="64">
        <f>Ringkasan!Z336</f>
        <v>8628000</v>
      </c>
      <c r="AA337" s="64" t="str">
        <f>Ringkasan!AA336</f>
        <v>Real Estate Management &amp; Development</v>
      </c>
      <c r="AB337" s="64" t="str">
        <f>Ringkasan!AB336</f>
        <v>Properties &amp; Real Estate</v>
      </c>
    </row>
    <row r="338" hidden="1">
      <c r="A338" s="64" t="str">
        <f>Ringkasan!A337</f>
        <v>BIRD</v>
      </c>
      <c r="B338" s="64" t="str">
        <f>Ringkasan!B337</f>
        <v>PT Blue Bird Tbk</v>
      </c>
      <c r="C338" s="65">
        <f>Ringkasan!C337</f>
        <v>1540</v>
      </c>
      <c r="D338" s="64" t="str">
        <f>Ringkasan!D337</f>
        <v>#N/A</v>
      </c>
      <c r="E338" s="64" t="str">
        <f>Ringkasan!E337</f>
        <v/>
      </c>
      <c r="F338" s="64" t="str">
        <f>Ringkasan!F337</f>
        <v/>
      </c>
      <c r="G338" s="65">
        <f>Ringkasan!G337</f>
        <v>0</v>
      </c>
      <c r="H338" s="19">
        <f>Ringkasan!H337</f>
        <v>6.2</v>
      </c>
      <c r="I338" s="19">
        <f>Ringkasan!I337</f>
        <v>0.6</v>
      </c>
      <c r="J338" s="19">
        <f>Ringkasan!J337</f>
        <v>9.7</v>
      </c>
      <c r="K338" s="19">
        <f>Ringkasan!K337</f>
        <v>6.3</v>
      </c>
      <c r="L338" s="19">
        <f>Ringkasan!L337</f>
        <v>0.52</v>
      </c>
      <c r="M338" s="19">
        <f>Ringkasan!M337</f>
        <v>43.1</v>
      </c>
      <c r="N338" s="64" t="str">
        <f>Ringkasan!N337</f>
        <v/>
      </c>
      <c r="O338" s="64" t="str">
        <f>Ringkasan!O337</f>
        <v/>
      </c>
      <c r="P338" s="64" t="str">
        <f>Ringkasan!P337</f>
        <v/>
      </c>
      <c r="Q338" s="64" t="str">
        <f>Ringkasan!Q337</f>
        <v/>
      </c>
      <c r="R338" s="64" t="str">
        <f>Ringkasan!R337</f>
        <v/>
      </c>
      <c r="S338" s="64" t="str">
        <f>Ringkasan!S337</f>
        <v/>
      </c>
      <c r="T338" s="64" t="str">
        <f>Ringkasan!T337</f>
        <v/>
      </c>
      <c r="U338" s="64">
        <f>Ringkasan!U337</f>
        <v>3.88</v>
      </c>
      <c r="V338" s="64">
        <f>Ringkasan!V337</f>
        <v>-5.67</v>
      </c>
      <c r="W338" s="64">
        <f>Ringkasan!W337</f>
        <v>3.82</v>
      </c>
      <c r="X338" s="64">
        <f>Ringkasan!X337</f>
        <v>3.89</v>
      </c>
      <c r="Y338" s="64">
        <f>Ringkasan!Y337</f>
        <v>3.65</v>
      </c>
      <c r="Z338" s="64">
        <f>Ringkasan!Z337</f>
        <v>196077</v>
      </c>
      <c r="AA338" s="64" t="str">
        <f>Ringkasan!AA337</f>
        <v>Passenger Land Transportation</v>
      </c>
      <c r="AB338" s="64" t="str">
        <f>Ringkasan!AB337</f>
        <v>Transportation &amp; Logistic</v>
      </c>
    </row>
    <row r="339" hidden="1">
      <c r="A339" s="64" t="str">
        <f>Ringkasan!A338</f>
        <v>BISI</v>
      </c>
      <c r="B339" s="64" t="str">
        <f>Ringkasan!B338</f>
        <v>BISI INTERNATIONAL Tbk</v>
      </c>
      <c r="C339" s="67">
        <f>Ringkasan!C338</f>
        <v>695</v>
      </c>
      <c r="D339" s="22" t="str">
        <f>Ringkasan!D338</f>
        <v>#N/A</v>
      </c>
      <c r="E339" s="64" t="str">
        <f>Ringkasan!E338</f>
        <v/>
      </c>
      <c r="F339" s="64" t="str">
        <f>Ringkasan!F338</f>
        <v/>
      </c>
      <c r="G339" s="64">
        <f>Ringkasan!G338</f>
        <v>0</v>
      </c>
      <c r="H339" s="19">
        <f>Ringkasan!H338</f>
        <v>10.7</v>
      </c>
      <c r="I339" s="19">
        <f>Ringkasan!I338</f>
        <v>0.63</v>
      </c>
      <c r="J339" s="19">
        <f>Ringkasan!J338</f>
        <v>5.9</v>
      </c>
      <c r="K339" s="19">
        <f>Ringkasan!K338</f>
        <v>5.5</v>
      </c>
      <c r="L339" s="19">
        <f>Ringkasan!L338</f>
        <v>0.06</v>
      </c>
      <c r="M339" s="19">
        <f>Ringkasan!M338</f>
        <v>53.6</v>
      </c>
      <c r="N339" s="64" t="str">
        <f>Ringkasan!N338</f>
        <v/>
      </c>
      <c r="O339" s="64" t="str">
        <f>Ringkasan!O338</f>
        <v/>
      </c>
      <c r="P339" s="64" t="str">
        <f>Ringkasan!P338</f>
        <v/>
      </c>
      <c r="Q339" s="64" t="str">
        <f>Ringkasan!Q338</f>
        <v/>
      </c>
      <c r="R339" s="64" t="str">
        <f>Ringkasan!R338</f>
        <v/>
      </c>
      <c r="S339" s="64" t="str">
        <f>Ringkasan!S338</f>
        <v/>
      </c>
      <c r="T339" s="64" t="str">
        <f>Ringkasan!T338</f>
        <v/>
      </c>
      <c r="U339" s="22">
        <f>Ringkasan!U338</f>
        <v>680</v>
      </c>
      <c r="V339" s="22">
        <f>Ringkasan!V338</f>
        <v>2.21</v>
      </c>
      <c r="W339" s="22">
        <f>Ringkasan!W338</f>
        <v>680</v>
      </c>
      <c r="X339" s="22">
        <f>Ringkasan!X338</f>
        <v>695</v>
      </c>
      <c r="Y339" s="22">
        <f>Ringkasan!Y338</f>
        <v>680</v>
      </c>
      <c r="Z339" s="22">
        <f>Ringkasan!Z338</f>
        <v>200500</v>
      </c>
      <c r="AA339" s="64" t="str">
        <f>Ringkasan!AA338</f>
        <v>Agricultural Products</v>
      </c>
      <c r="AB339" s="64" t="str">
        <f>Ringkasan!AB338</f>
        <v>Consumer Non-Cyclicals</v>
      </c>
    </row>
    <row r="340" hidden="1">
      <c r="A340" s="64" t="str">
        <f>Ringkasan!A339</f>
        <v>BJBR</v>
      </c>
      <c r="B340" s="64" t="str">
        <f>Ringkasan!B339</f>
        <v>Bank Pembangunan Daerah Jawa Barat dan Banten Tbk</v>
      </c>
      <c r="C340" s="67">
        <f>Ringkasan!C339</f>
        <v>750</v>
      </c>
      <c r="D340" s="22" t="str">
        <f>Ringkasan!D339</f>
        <v>#N/A</v>
      </c>
      <c r="E340" s="64" t="str">
        <f>Ringkasan!E339</f>
        <v>Infobank15</v>
      </c>
      <c r="F340" s="64" t="str">
        <f>Ringkasan!F339</f>
        <v>30 Juni 2026</v>
      </c>
      <c r="G340" s="64">
        <f>Ringkasan!G339</f>
        <v>3</v>
      </c>
      <c r="H340" s="19">
        <f>Ringkasan!H339</f>
        <v>6.9</v>
      </c>
      <c r="I340" s="19">
        <f>Ringkasan!I339</f>
        <v>0.39</v>
      </c>
      <c r="J340" s="19">
        <f>Ringkasan!J339</f>
        <v>5.6</v>
      </c>
      <c r="K340" s="19">
        <f>Ringkasan!K339</f>
        <v>0.53</v>
      </c>
      <c r="L340" s="19">
        <f>Ringkasan!L339</f>
        <v>9.2</v>
      </c>
      <c r="M340" s="19">
        <f>Ringkasan!M339</f>
        <v>26.3</v>
      </c>
      <c r="N340" s="64">
        <f>Ringkasan!N339</f>
        <v>3.7</v>
      </c>
      <c r="O340" s="64">
        <f>Ringkasan!O339</f>
        <v>19.3</v>
      </c>
      <c r="P340" s="64">
        <f>Ringkasan!P339</f>
        <v>87.4</v>
      </c>
      <c r="Q340" s="64">
        <f>Ringkasan!Q339</f>
        <v>1.4</v>
      </c>
      <c r="R340" s="64">
        <f>Ringkasan!R339</f>
        <v>87.9</v>
      </c>
      <c r="S340" s="64">
        <f>Ringkasan!S339</f>
        <v>56</v>
      </c>
      <c r="T340" s="64">
        <f>Ringkasan!T339</f>
        <v>6.3</v>
      </c>
      <c r="U340" s="22">
        <f>Ringkasan!U339</f>
        <v>740</v>
      </c>
      <c r="V340" s="22">
        <f>Ringkasan!V339</f>
        <v>1.35</v>
      </c>
      <c r="W340" s="22">
        <f>Ringkasan!W339</f>
        <v>745</v>
      </c>
      <c r="X340" s="22">
        <f>Ringkasan!X339</f>
        <v>760</v>
      </c>
      <c r="Y340" s="22">
        <f>Ringkasan!Y339</f>
        <v>740</v>
      </c>
      <c r="Z340" s="22">
        <f>Ringkasan!Z339</f>
        <v>3504900</v>
      </c>
      <c r="AA340" s="64" t="str">
        <f>Ringkasan!AA339</f>
        <v>Banks</v>
      </c>
      <c r="AB340" s="64" t="str">
        <f>Ringkasan!AB339</f>
        <v>Financials</v>
      </c>
    </row>
    <row r="341" hidden="1">
      <c r="A341" s="64" t="str">
        <f>Ringkasan!A340</f>
        <v>BJBR</v>
      </c>
      <c r="B341" s="64" t="str">
        <f>Ringkasan!B340</f>
        <v>Bank Pembangunan Daerah Jawa Barat dan Banten Tbk</v>
      </c>
      <c r="C341" s="67">
        <f>Ringkasan!C340</f>
        <v>750</v>
      </c>
      <c r="D341" s="22" t="str">
        <f>Ringkasan!D340</f>
        <v>#N/A</v>
      </c>
      <c r="E341" s="64" t="str">
        <f>Ringkasan!E340</f>
        <v>IDXBUMN20</v>
      </c>
      <c r="F341" s="64" t="str">
        <f>Ringkasan!F340</f>
        <v>4 Agustus 2026</v>
      </c>
      <c r="G341" s="64">
        <f>Ringkasan!G340</f>
        <v>3</v>
      </c>
      <c r="H341" s="19">
        <f>Ringkasan!H340</f>
        <v>6.9</v>
      </c>
      <c r="I341" s="19">
        <f>Ringkasan!I340</f>
        <v>0.39</v>
      </c>
      <c r="J341" s="19">
        <f>Ringkasan!J340</f>
        <v>5.6</v>
      </c>
      <c r="K341" s="19">
        <f>Ringkasan!K340</f>
        <v>0.53</v>
      </c>
      <c r="L341" s="19">
        <f>Ringkasan!L340</f>
        <v>9.2</v>
      </c>
      <c r="M341" s="19">
        <f>Ringkasan!M340</f>
        <v>26.3</v>
      </c>
      <c r="N341" s="64">
        <f>Ringkasan!N340</f>
        <v>3.7</v>
      </c>
      <c r="O341" s="64">
        <f>Ringkasan!O340</f>
        <v>19.3</v>
      </c>
      <c r="P341" s="64">
        <f>Ringkasan!P340</f>
        <v>87.4</v>
      </c>
      <c r="Q341" s="64">
        <f>Ringkasan!Q340</f>
        <v>1.4</v>
      </c>
      <c r="R341" s="64">
        <f>Ringkasan!R340</f>
        <v>87.9</v>
      </c>
      <c r="S341" s="64">
        <f>Ringkasan!S340</f>
        <v>56</v>
      </c>
      <c r="T341" s="64">
        <f>Ringkasan!T340</f>
        <v>6.3</v>
      </c>
      <c r="U341" s="22">
        <f>Ringkasan!U340</f>
        <v>740</v>
      </c>
      <c r="V341" s="22">
        <f>Ringkasan!V340</f>
        <v>1.35</v>
      </c>
      <c r="W341" s="22">
        <f>Ringkasan!W340</f>
        <v>745</v>
      </c>
      <c r="X341" s="22">
        <f>Ringkasan!X340</f>
        <v>760</v>
      </c>
      <c r="Y341" s="22">
        <f>Ringkasan!Y340</f>
        <v>740</v>
      </c>
      <c r="Z341" s="22">
        <f>Ringkasan!Z340</f>
        <v>3504900</v>
      </c>
      <c r="AA341" s="64" t="str">
        <f>Ringkasan!AA340</f>
        <v>Banks</v>
      </c>
      <c r="AB341" s="64" t="str">
        <f>Ringkasan!AB340</f>
        <v>Financials</v>
      </c>
    </row>
    <row r="342" hidden="1">
      <c r="A342" s="64" t="str">
        <f>Ringkasan!A341</f>
        <v>BJBR</v>
      </c>
      <c r="B342" s="64" t="str">
        <f>Ringkasan!B341</f>
        <v>Bank Pembangunan Daerah Jawa Barat dan Banten Tbk</v>
      </c>
      <c r="C342" s="67">
        <f>Ringkasan!C341</f>
        <v>750</v>
      </c>
      <c r="D342" s="22" t="str">
        <f>Ringkasan!D341</f>
        <v>#N/A</v>
      </c>
      <c r="E342" s="64" t="str">
        <f>Ringkasan!E341</f>
        <v>Pefindo - iGrade</v>
      </c>
      <c r="F342" s="64" t="str">
        <f>Ringkasan!F341</f>
        <v>30 Juni 2026</v>
      </c>
      <c r="G342" s="64">
        <f>Ringkasan!G341</f>
        <v>3</v>
      </c>
      <c r="H342" s="19">
        <f>Ringkasan!H341</f>
        <v>6.9</v>
      </c>
      <c r="I342" s="19">
        <f>Ringkasan!I341</f>
        <v>0.39</v>
      </c>
      <c r="J342" s="19">
        <f>Ringkasan!J341</f>
        <v>5.6</v>
      </c>
      <c r="K342" s="19">
        <f>Ringkasan!K341</f>
        <v>0.53</v>
      </c>
      <c r="L342" s="19">
        <f>Ringkasan!L341</f>
        <v>9.2</v>
      </c>
      <c r="M342" s="19">
        <f>Ringkasan!M341</f>
        <v>26.3</v>
      </c>
      <c r="N342" s="64">
        <f>Ringkasan!N341</f>
        <v>3.7</v>
      </c>
      <c r="O342" s="64">
        <f>Ringkasan!O341</f>
        <v>19.3</v>
      </c>
      <c r="P342" s="64">
        <f>Ringkasan!P341</f>
        <v>87.4</v>
      </c>
      <c r="Q342" s="64">
        <f>Ringkasan!Q341</f>
        <v>1.4</v>
      </c>
      <c r="R342" s="64">
        <f>Ringkasan!R341</f>
        <v>87.9</v>
      </c>
      <c r="S342" s="64">
        <f>Ringkasan!S341</f>
        <v>56</v>
      </c>
      <c r="T342" s="64">
        <f>Ringkasan!T341</f>
        <v>6.3</v>
      </c>
      <c r="U342" s="22">
        <f>Ringkasan!U341</f>
        <v>740</v>
      </c>
      <c r="V342" s="22">
        <f>Ringkasan!V341</f>
        <v>1.35</v>
      </c>
      <c r="W342" s="22">
        <f>Ringkasan!W341</f>
        <v>745</v>
      </c>
      <c r="X342" s="22">
        <f>Ringkasan!X341</f>
        <v>760</v>
      </c>
      <c r="Y342" s="22">
        <f>Ringkasan!Y341</f>
        <v>740</v>
      </c>
      <c r="Z342" s="22">
        <f>Ringkasan!Z341</f>
        <v>3504900</v>
      </c>
      <c r="AA342" s="64" t="str">
        <f>Ringkasan!AA341</f>
        <v>Banks</v>
      </c>
      <c r="AB342" s="64" t="str">
        <f>Ringkasan!AB341</f>
        <v>Financials</v>
      </c>
    </row>
    <row r="343" hidden="1">
      <c r="A343" s="64" t="str">
        <f>Ringkasan!A342</f>
        <v>BJTM</v>
      </c>
      <c r="B343" s="64" t="str">
        <f>Ringkasan!B342</f>
        <v>Bank Pembangunan Daerah Jawa Timur Tbk</v>
      </c>
      <c r="C343" s="67">
        <f>Ringkasan!C342</f>
        <v>515</v>
      </c>
      <c r="D343" s="22" t="str">
        <f>Ringkasan!D342</f>
        <v>#N/A</v>
      </c>
      <c r="E343" s="64" t="str">
        <f>Ringkasan!E342</f>
        <v>ESGQKEHATI</v>
      </c>
      <c r="F343" s="66">
        <f>Ringkasan!F342</f>
        <v>46356</v>
      </c>
      <c r="G343" s="64">
        <f>Ringkasan!G342</f>
        <v>2</v>
      </c>
      <c r="H343" s="19">
        <f>Ringkasan!H342</f>
        <v>4.9</v>
      </c>
      <c r="I343" s="19">
        <f>Ringkasan!I342</f>
        <v>0.35</v>
      </c>
      <c r="J343" s="19">
        <f>Ringkasan!J342</f>
        <v>7.1</v>
      </c>
      <c r="K343" s="19">
        <f>Ringkasan!K342</f>
        <v>0.97</v>
      </c>
      <c r="L343" s="19">
        <f>Ringkasan!L342</f>
        <v>5.6</v>
      </c>
      <c r="M343" s="19">
        <f>Ringkasan!M342</f>
        <v>55.3</v>
      </c>
      <c r="N343" s="64">
        <f>Ringkasan!N342</f>
        <v>3.74</v>
      </c>
      <c r="O343" s="64">
        <f>Ringkasan!O342</f>
        <v>24.94</v>
      </c>
      <c r="P343" s="64">
        <f>Ringkasan!P342</f>
        <v>70.03</v>
      </c>
      <c r="Q343" s="64">
        <f>Ringkasan!Q342</f>
        <v>2.83</v>
      </c>
      <c r="R343" s="64">
        <f>Ringkasan!R342</f>
        <v>77.29</v>
      </c>
      <c r="S343" s="64">
        <f>Ringkasan!S342</f>
        <v>51.2</v>
      </c>
      <c r="T343" s="64">
        <f>Ringkasan!T342</f>
        <v>11.1</v>
      </c>
      <c r="U343" s="22">
        <f>Ringkasan!U342</f>
        <v>505</v>
      </c>
      <c r="V343" s="22">
        <f>Ringkasan!V342</f>
        <v>1.98</v>
      </c>
      <c r="W343" s="22">
        <f>Ringkasan!W342</f>
        <v>510</v>
      </c>
      <c r="X343" s="22">
        <f>Ringkasan!X342</f>
        <v>515</v>
      </c>
      <c r="Y343" s="22">
        <f>Ringkasan!Y342</f>
        <v>505</v>
      </c>
      <c r="Z343" s="22">
        <f>Ringkasan!Z342</f>
        <v>4038100</v>
      </c>
      <c r="AA343" s="64" t="str">
        <f>Ringkasan!AA342</f>
        <v>Banks</v>
      </c>
      <c r="AB343" s="64" t="str">
        <f>Ringkasan!AB342</f>
        <v>Financials</v>
      </c>
    </row>
    <row r="344" hidden="1">
      <c r="A344" s="64" t="str">
        <f>Ringkasan!A343</f>
        <v>BJTM</v>
      </c>
      <c r="B344" s="64" t="str">
        <f>Ringkasan!B343</f>
        <v>Bank Pembangunan Daerah Jawa Timur Tbk</v>
      </c>
      <c r="C344" s="67">
        <f>Ringkasan!C343</f>
        <v>515</v>
      </c>
      <c r="D344" s="22" t="str">
        <f>Ringkasan!D343</f>
        <v>#N/A</v>
      </c>
      <c r="E344" s="64" t="str">
        <f>Ringkasan!E343</f>
        <v>IDXBUMN20</v>
      </c>
      <c r="F344" s="64" t="str">
        <f>Ringkasan!F343</f>
        <v>4 Agustus 2026</v>
      </c>
      <c r="G344" s="64">
        <f>Ringkasan!G343</f>
        <v>2</v>
      </c>
      <c r="H344" s="19">
        <f>Ringkasan!H343</f>
        <v>4.9</v>
      </c>
      <c r="I344" s="19">
        <f>Ringkasan!I343</f>
        <v>0.35</v>
      </c>
      <c r="J344" s="19">
        <f>Ringkasan!J343</f>
        <v>7.1</v>
      </c>
      <c r="K344" s="19">
        <f>Ringkasan!K343</f>
        <v>0.97</v>
      </c>
      <c r="L344" s="19">
        <f>Ringkasan!L343</f>
        <v>5.6</v>
      </c>
      <c r="M344" s="19">
        <f>Ringkasan!M343</f>
        <v>55.3</v>
      </c>
      <c r="N344" s="64">
        <f>Ringkasan!N343</f>
        <v>3.74</v>
      </c>
      <c r="O344" s="64">
        <f>Ringkasan!O343</f>
        <v>24.94</v>
      </c>
      <c r="P344" s="64">
        <f>Ringkasan!P343</f>
        <v>70.03</v>
      </c>
      <c r="Q344" s="64">
        <f>Ringkasan!Q343</f>
        <v>2.83</v>
      </c>
      <c r="R344" s="64">
        <f>Ringkasan!R343</f>
        <v>77.29</v>
      </c>
      <c r="S344" s="64">
        <f>Ringkasan!S343</f>
        <v>51.2</v>
      </c>
      <c r="T344" s="64">
        <f>Ringkasan!T343</f>
        <v>11.1</v>
      </c>
      <c r="U344" s="22">
        <f>Ringkasan!U343</f>
        <v>505</v>
      </c>
      <c r="V344" s="22">
        <f>Ringkasan!V343</f>
        <v>1.98</v>
      </c>
      <c r="W344" s="22">
        <f>Ringkasan!W343</f>
        <v>510</v>
      </c>
      <c r="X344" s="22">
        <f>Ringkasan!X343</f>
        <v>515</v>
      </c>
      <c r="Y344" s="22">
        <f>Ringkasan!Y343</f>
        <v>505</v>
      </c>
      <c r="Z344" s="22">
        <f>Ringkasan!Z343</f>
        <v>4038100</v>
      </c>
      <c r="AA344" s="64" t="str">
        <f>Ringkasan!AA343</f>
        <v>Banks</v>
      </c>
      <c r="AB344" s="64" t="str">
        <f>Ringkasan!AB343</f>
        <v>Financials</v>
      </c>
    </row>
    <row r="345" hidden="1">
      <c r="A345" s="64" t="str">
        <f>Ringkasan!A344</f>
        <v>BKDP</v>
      </c>
      <c r="B345" s="64" t="str">
        <f>Ringkasan!B344</f>
        <v>Bukit Darmo Property Tbk</v>
      </c>
      <c r="C345" s="67" t="str">
        <f>Ringkasan!C344</f>
        <v>#N/A</v>
      </c>
      <c r="D345" s="22" t="str">
        <f>Ringkasan!D344</f>
        <v>#N/A</v>
      </c>
      <c r="E345" s="64" t="str">
        <f>Ringkasan!E344</f>
        <v/>
      </c>
      <c r="F345" s="64" t="str">
        <f>Ringkasan!F344</f>
        <v/>
      </c>
      <c r="G345" s="64">
        <f>Ringkasan!G344</f>
        <v>0</v>
      </c>
      <c r="H345" s="19">
        <f>Ringkasan!H344</f>
        <v>-25.8</v>
      </c>
      <c r="I345" s="19">
        <f>Ringkasan!I344</f>
        <v>3.1</v>
      </c>
      <c r="J345" s="19">
        <f>Ringkasan!J344</f>
        <v>-12.1</v>
      </c>
      <c r="K345" s="19">
        <f>Ringkasan!K344</f>
        <v>-5</v>
      </c>
      <c r="L345" s="19">
        <f>Ringkasan!L344</f>
        <v>1.4</v>
      </c>
      <c r="M345" s="19">
        <f>Ringkasan!M344</f>
        <v>-390</v>
      </c>
      <c r="N345" s="64" t="str">
        <f>Ringkasan!N344</f>
        <v/>
      </c>
      <c r="O345" s="64" t="str">
        <f>Ringkasan!O344</f>
        <v/>
      </c>
      <c r="P345" s="64" t="str">
        <f>Ringkasan!P344</f>
        <v/>
      </c>
      <c r="Q345" s="64" t="str">
        <f>Ringkasan!Q344</f>
        <v/>
      </c>
      <c r="R345" s="64" t="str">
        <f>Ringkasan!R344</f>
        <v/>
      </c>
      <c r="S345" s="64" t="str">
        <f>Ringkasan!S344</f>
        <v/>
      </c>
      <c r="T345" s="64" t="str">
        <f>Ringkasan!T344</f>
        <v/>
      </c>
      <c r="U345" s="22">
        <f>Ringkasan!U344</f>
        <v>125</v>
      </c>
      <c r="V345" s="22">
        <f>Ringkasan!V344</f>
        <v>0</v>
      </c>
      <c r="W345" s="22" t="str">
        <f>Ringkasan!W344</f>
        <v/>
      </c>
      <c r="X345" s="22" t="str">
        <f>Ringkasan!X344</f>
        <v/>
      </c>
      <c r="Y345" s="22" t="str">
        <f>Ringkasan!Y344</f>
        <v/>
      </c>
      <c r="Z345" s="22">
        <f>Ringkasan!Z344</f>
        <v>0</v>
      </c>
      <c r="AA345" s="64" t="str">
        <f>Ringkasan!AA344</f>
        <v>Real Estate Management &amp; Development</v>
      </c>
      <c r="AB345" s="64" t="str">
        <f>Ringkasan!AB344</f>
        <v>Properties &amp; Real Estate</v>
      </c>
    </row>
    <row r="346" hidden="1">
      <c r="A346" s="64" t="str">
        <f>Ringkasan!A345</f>
        <v>BKSL</v>
      </c>
      <c r="B346" s="64" t="str">
        <f>Ringkasan!B345</f>
        <v>Sentul City Tbk.</v>
      </c>
      <c r="C346" s="67">
        <f>Ringkasan!C345</f>
        <v>68</v>
      </c>
      <c r="D346" s="22" t="str">
        <f>Ringkasan!D345</f>
        <v>#N/A</v>
      </c>
      <c r="E346" s="64" t="str">
        <f>Ringkasan!E345</f>
        <v>Kompas100</v>
      </c>
      <c r="F346" s="64" t="str">
        <f>Ringkasan!F345</f>
        <v>31 Juli 2026</v>
      </c>
      <c r="G346" s="64">
        <f>Ringkasan!G345</f>
        <v>4</v>
      </c>
      <c r="H346" s="19">
        <f>Ringkasan!H345</f>
        <v>14.6</v>
      </c>
      <c r="I346" s="19">
        <f>Ringkasan!I345</f>
        <v>0.78</v>
      </c>
      <c r="J346" s="19">
        <f>Ringkasan!J345</f>
        <v>5.4</v>
      </c>
      <c r="K346" s="19">
        <f>Ringkasan!K345</f>
        <v>3.8</v>
      </c>
      <c r="L346" s="19">
        <f>Ringkasan!L345</f>
        <v>0.42</v>
      </c>
      <c r="M346" s="19">
        <f>Ringkasan!M345</f>
        <v>240</v>
      </c>
      <c r="N346" s="64" t="str">
        <f>Ringkasan!N345</f>
        <v/>
      </c>
      <c r="O346" s="64" t="str">
        <f>Ringkasan!O345</f>
        <v/>
      </c>
      <c r="P346" s="64" t="str">
        <f>Ringkasan!P345</f>
        <v/>
      </c>
      <c r="Q346" s="64" t="str">
        <f>Ringkasan!Q345</f>
        <v/>
      </c>
      <c r="R346" s="64" t="str">
        <f>Ringkasan!R345</f>
        <v/>
      </c>
      <c r="S346" s="64" t="str">
        <f>Ringkasan!S345</f>
        <v/>
      </c>
      <c r="T346" s="64" t="str">
        <f>Ringkasan!T345</f>
        <v/>
      </c>
      <c r="U346" s="22">
        <f>Ringkasan!U345</f>
        <v>62</v>
      </c>
      <c r="V346" s="22">
        <f>Ringkasan!V345</f>
        <v>9.68</v>
      </c>
      <c r="W346" s="22">
        <f>Ringkasan!W345</f>
        <v>63</v>
      </c>
      <c r="X346" s="22">
        <f>Ringkasan!X345</f>
        <v>70</v>
      </c>
      <c r="Y346" s="22">
        <f>Ringkasan!Y345</f>
        <v>63</v>
      </c>
      <c r="Z346" s="22">
        <f>Ringkasan!Z345</f>
        <v>284600800</v>
      </c>
      <c r="AA346" s="64" t="str">
        <f>Ringkasan!AA345</f>
        <v>Real Estate Management &amp; Development</v>
      </c>
      <c r="AB346" s="64" t="str">
        <f>Ringkasan!AB345</f>
        <v>Properties &amp; Real Estate</v>
      </c>
    </row>
    <row r="347" hidden="1">
      <c r="A347" s="64" t="str">
        <f>Ringkasan!A346</f>
        <v>BKSL</v>
      </c>
      <c r="B347" s="64" t="str">
        <f>Ringkasan!B346</f>
        <v>Sentul City Tbk.</v>
      </c>
      <c r="C347" s="67">
        <f>Ringkasan!C346</f>
        <v>68</v>
      </c>
      <c r="D347" s="22" t="str">
        <f>Ringkasan!D346</f>
        <v>#N/A</v>
      </c>
      <c r="E347" s="64" t="str">
        <f>Ringkasan!E346</f>
        <v>IDX80</v>
      </c>
      <c r="F347" s="64" t="str">
        <f>Ringkasan!F346</f>
        <v>31 Juli 2026</v>
      </c>
      <c r="G347" s="64">
        <f>Ringkasan!G346</f>
        <v>4</v>
      </c>
      <c r="H347" s="19">
        <f>Ringkasan!H346</f>
        <v>14.6</v>
      </c>
      <c r="I347" s="19">
        <f>Ringkasan!I346</f>
        <v>0.78</v>
      </c>
      <c r="J347" s="19">
        <f>Ringkasan!J346</f>
        <v>5.4</v>
      </c>
      <c r="K347" s="19">
        <f>Ringkasan!K346</f>
        <v>3.8</v>
      </c>
      <c r="L347" s="19">
        <f>Ringkasan!L346</f>
        <v>0.42</v>
      </c>
      <c r="M347" s="19">
        <f>Ringkasan!M346</f>
        <v>240</v>
      </c>
      <c r="N347" s="64" t="str">
        <f>Ringkasan!N346</f>
        <v/>
      </c>
      <c r="O347" s="64" t="str">
        <f>Ringkasan!O346</f>
        <v/>
      </c>
      <c r="P347" s="64" t="str">
        <f>Ringkasan!P346</f>
        <v/>
      </c>
      <c r="Q347" s="64" t="str">
        <f>Ringkasan!Q346</f>
        <v/>
      </c>
      <c r="R347" s="64" t="str">
        <f>Ringkasan!R346</f>
        <v/>
      </c>
      <c r="S347" s="64" t="str">
        <f>Ringkasan!S346</f>
        <v/>
      </c>
      <c r="T347" s="64" t="str">
        <f>Ringkasan!T346</f>
        <v/>
      </c>
      <c r="U347" s="22">
        <f>Ringkasan!U346</f>
        <v>62</v>
      </c>
      <c r="V347" s="22">
        <f>Ringkasan!V346</f>
        <v>9.68</v>
      </c>
      <c r="W347" s="22">
        <f>Ringkasan!W346</f>
        <v>63</v>
      </c>
      <c r="X347" s="22">
        <f>Ringkasan!X346</f>
        <v>70</v>
      </c>
      <c r="Y347" s="22">
        <f>Ringkasan!Y346</f>
        <v>63</v>
      </c>
      <c r="Z347" s="22">
        <f>Ringkasan!Z346</f>
        <v>284600800</v>
      </c>
      <c r="AA347" s="64" t="str">
        <f>Ringkasan!AA346</f>
        <v>Real Estate Management &amp; Development</v>
      </c>
      <c r="AB347" s="64" t="str">
        <f>Ringkasan!AB346</f>
        <v>Properties &amp; Real Estate</v>
      </c>
    </row>
    <row r="348" hidden="1">
      <c r="A348" s="64" t="str">
        <f>Ringkasan!A347</f>
        <v>BKSL</v>
      </c>
      <c r="B348" s="64" t="str">
        <f>Ringkasan!B347</f>
        <v>Sentul City Tbk.</v>
      </c>
      <c r="C348" s="67">
        <f>Ringkasan!C347</f>
        <v>68</v>
      </c>
      <c r="D348" s="22" t="str">
        <f>Ringkasan!D347</f>
        <v>#N/A</v>
      </c>
      <c r="E348" s="64" t="str">
        <f>Ringkasan!E347</f>
        <v>JII30</v>
      </c>
      <c r="F348" s="66">
        <f>Ringkasan!F347</f>
        <v>46356</v>
      </c>
      <c r="G348" s="65">
        <f>Ringkasan!G347</f>
        <v>4</v>
      </c>
      <c r="H348" s="19">
        <f>Ringkasan!H347</f>
        <v>14.6</v>
      </c>
      <c r="I348" s="19">
        <f>Ringkasan!I347</f>
        <v>0.78</v>
      </c>
      <c r="J348" s="19">
        <f>Ringkasan!J347</f>
        <v>5.4</v>
      </c>
      <c r="K348" s="19">
        <f>Ringkasan!K347</f>
        <v>3.8</v>
      </c>
      <c r="L348" s="19">
        <f>Ringkasan!L347</f>
        <v>0.42</v>
      </c>
      <c r="M348" s="19">
        <f>Ringkasan!M347</f>
        <v>240</v>
      </c>
      <c r="N348" s="64" t="str">
        <f>Ringkasan!N347</f>
        <v/>
      </c>
      <c r="O348" s="64" t="str">
        <f>Ringkasan!O347</f>
        <v/>
      </c>
      <c r="P348" s="64" t="str">
        <f>Ringkasan!P347</f>
        <v/>
      </c>
      <c r="Q348" s="64" t="str">
        <f>Ringkasan!Q347</f>
        <v/>
      </c>
      <c r="R348" s="64" t="str">
        <f>Ringkasan!R347</f>
        <v/>
      </c>
      <c r="S348" s="64" t="str">
        <f>Ringkasan!S347</f>
        <v/>
      </c>
      <c r="T348" s="64" t="str">
        <f>Ringkasan!T347</f>
        <v/>
      </c>
      <c r="U348" s="22">
        <f>Ringkasan!U347</f>
        <v>62</v>
      </c>
      <c r="V348" s="22">
        <f>Ringkasan!V347</f>
        <v>9.68</v>
      </c>
      <c r="W348" s="22">
        <f>Ringkasan!W347</f>
        <v>63</v>
      </c>
      <c r="X348" s="22">
        <f>Ringkasan!X347</f>
        <v>70</v>
      </c>
      <c r="Y348" s="22">
        <f>Ringkasan!Y347</f>
        <v>63</v>
      </c>
      <c r="Z348" s="22">
        <f>Ringkasan!Z347</f>
        <v>284600800</v>
      </c>
      <c r="AA348" s="64" t="str">
        <f>Ringkasan!AA347</f>
        <v>Real Estate Management &amp; Development</v>
      </c>
      <c r="AB348" s="64" t="str">
        <f>Ringkasan!AB347</f>
        <v>Properties &amp; Real Estate</v>
      </c>
    </row>
    <row r="349" hidden="1">
      <c r="A349" s="64" t="str">
        <f>Ringkasan!A348</f>
        <v>BKSL</v>
      </c>
      <c r="B349" s="64" t="str">
        <f>Ringkasan!B348</f>
        <v>Sentul City Tbk.</v>
      </c>
      <c r="C349" s="67">
        <f>Ringkasan!C348</f>
        <v>68</v>
      </c>
      <c r="D349" s="22" t="str">
        <f>Ringkasan!D348</f>
        <v>#N/A</v>
      </c>
      <c r="E349" s="64" t="str">
        <f>Ringkasan!E348</f>
        <v>JII70</v>
      </c>
      <c r="F349" s="66">
        <f>Ringkasan!F348</f>
        <v>46356</v>
      </c>
      <c r="G349" s="64">
        <f>Ringkasan!G348</f>
        <v>4</v>
      </c>
      <c r="H349" s="19">
        <f>Ringkasan!H348</f>
        <v>14.6</v>
      </c>
      <c r="I349" s="19">
        <f>Ringkasan!I348</f>
        <v>0.78</v>
      </c>
      <c r="J349" s="19">
        <f>Ringkasan!J348</f>
        <v>5.4</v>
      </c>
      <c r="K349" s="19">
        <f>Ringkasan!K348</f>
        <v>3.8</v>
      </c>
      <c r="L349" s="19">
        <f>Ringkasan!L348</f>
        <v>0.42</v>
      </c>
      <c r="M349" s="19">
        <f>Ringkasan!M348</f>
        <v>240</v>
      </c>
      <c r="N349" s="64" t="str">
        <f>Ringkasan!N348</f>
        <v/>
      </c>
      <c r="O349" s="64" t="str">
        <f>Ringkasan!O348</f>
        <v/>
      </c>
      <c r="P349" s="64" t="str">
        <f>Ringkasan!P348</f>
        <v/>
      </c>
      <c r="Q349" s="64" t="str">
        <f>Ringkasan!Q348</f>
        <v/>
      </c>
      <c r="R349" s="64" t="str">
        <f>Ringkasan!R348</f>
        <v/>
      </c>
      <c r="S349" s="64" t="str">
        <f>Ringkasan!S348</f>
        <v/>
      </c>
      <c r="T349" s="64" t="str">
        <f>Ringkasan!T348</f>
        <v/>
      </c>
      <c r="U349" s="22">
        <f>Ringkasan!U348</f>
        <v>62</v>
      </c>
      <c r="V349" s="22">
        <f>Ringkasan!V348</f>
        <v>9.68</v>
      </c>
      <c r="W349" s="22">
        <f>Ringkasan!W348</f>
        <v>63</v>
      </c>
      <c r="X349" s="22">
        <f>Ringkasan!X348</f>
        <v>70</v>
      </c>
      <c r="Y349" s="22">
        <f>Ringkasan!Y348</f>
        <v>63</v>
      </c>
      <c r="Z349" s="22">
        <f>Ringkasan!Z348</f>
        <v>284600800</v>
      </c>
      <c r="AA349" s="64" t="str">
        <f>Ringkasan!AA348</f>
        <v>Real Estate Management &amp; Development</v>
      </c>
      <c r="AB349" s="64" t="str">
        <f>Ringkasan!AB348</f>
        <v>Properties &amp; Real Estate</v>
      </c>
    </row>
    <row r="350" hidden="1">
      <c r="A350" s="64" t="str">
        <f>Ringkasan!A349</f>
        <v>BKSW</v>
      </c>
      <c r="B350" s="64" t="str">
        <f>Ringkasan!B349</f>
        <v>PT Bank QNB Indonesia Tbk</v>
      </c>
      <c r="C350" s="65">
        <f>Ringkasan!C349</f>
        <v>51</v>
      </c>
      <c r="D350" s="64" t="str">
        <f>Ringkasan!D349</f>
        <v>#N/A</v>
      </c>
      <c r="E350" s="64" t="str">
        <f>Ringkasan!E349</f>
        <v/>
      </c>
      <c r="F350" s="64" t="str">
        <f>Ringkasan!F349</f>
        <v/>
      </c>
      <c r="G350" s="64">
        <f>Ringkasan!G349</f>
        <v>0</v>
      </c>
      <c r="H350" s="19">
        <f>Ringkasan!H349</f>
        <v>-42.8</v>
      </c>
      <c r="I350" s="19">
        <f>Ringkasan!I349</f>
        <v>0.4</v>
      </c>
      <c r="J350" s="19">
        <f>Ringkasan!J349</f>
        <v>-0.94</v>
      </c>
      <c r="K350" s="19">
        <f>Ringkasan!K349</f>
        <v>-0.34</v>
      </c>
      <c r="L350" s="19">
        <f>Ringkasan!L349</f>
        <v>1.8</v>
      </c>
      <c r="M350" s="19">
        <f>Ringkasan!M349</f>
        <v>-27</v>
      </c>
      <c r="N350" s="64">
        <f>Ringkasan!N349</f>
        <v>3.12</v>
      </c>
      <c r="O350" s="64">
        <f>Ringkasan!O349</f>
        <v>45.15</v>
      </c>
      <c r="P350" s="64">
        <f>Ringkasan!P349</f>
        <v>80.12</v>
      </c>
      <c r="Q350" s="64" t="str">
        <f>Ringkasan!Q349</f>
        <v>0..85</v>
      </c>
      <c r="R350" s="64">
        <f>Ringkasan!R349</f>
        <v>96.15</v>
      </c>
      <c r="S350" s="64">
        <f>Ringkasan!S349</f>
        <v>82.4</v>
      </c>
      <c r="T350" s="64">
        <f>Ringkasan!T349</f>
        <v>4.15</v>
      </c>
      <c r="U350" s="64">
        <f>Ringkasan!U349</f>
        <v>51</v>
      </c>
      <c r="V350" s="64">
        <f>Ringkasan!V349</f>
        <v>0</v>
      </c>
      <c r="W350" s="64">
        <f>Ringkasan!W349</f>
        <v>51</v>
      </c>
      <c r="X350" s="64">
        <f>Ringkasan!X349</f>
        <v>52</v>
      </c>
      <c r="Y350" s="64">
        <f>Ringkasan!Y349</f>
        <v>50</v>
      </c>
      <c r="Z350" s="64">
        <f>Ringkasan!Z349</f>
        <v>5363700</v>
      </c>
      <c r="AA350" s="64" t="str">
        <f>Ringkasan!AA349</f>
        <v>Banks</v>
      </c>
      <c r="AB350" s="64" t="str">
        <f>Ringkasan!AB349</f>
        <v>Financials</v>
      </c>
    </row>
    <row r="351" hidden="1">
      <c r="A351" s="64" t="str">
        <f>Ringkasan!A350</f>
        <v>BLES</v>
      </c>
      <c r="B351" s="64" t="str">
        <f>Ringkasan!B350</f>
        <v>Superior Prima Sukses Tbk.</v>
      </c>
      <c r="C351" s="65">
        <f>Ringkasan!C350</f>
        <v>133</v>
      </c>
      <c r="D351" s="64" t="str">
        <f>Ringkasan!D350</f>
        <v>#N/A</v>
      </c>
      <c r="E351" s="64" t="str">
        <f>Ringkasan!E350</f>
        <v/>
      </c>
      <c r="F351" s="64" t="str">
        <f>Ringkasan!F350</f>
        <v/>
      </c>
      <c r="G351" s="64">
        <f>Ringkasan!G350</f>
        <v>0</v>
      </c>
      <c r="H351" s="19">
        <f>Ringkasan!H350</f>
        <v>9.2</v>
      </c>
      <c r="I351" s="19">
        <f>Ringkasan!I350</f>
        <v>1</v>
      </c>
      <c r="J351" s="19">
        <f>Ringkasan!J350</f>
        <v>11.1</v>
      </c>
      <c r="K351" s="19">
        <f>Ringkasan!K350</f>
        <v>6.5</v>
      </c>
      <c r="L351" s="19">
        <f>Ringkasan!L350</f>
        <v>0.72</v>
      </c>
      <c r="M351" s="19">
        <f>Ringkasan!M350</f>
        <v>38.8</v>
      </c>
      <c r="N351" s="64" t="str">
        <f>Ringkasan!N350</f>
        <v/>
      </c>
      <c r="O351" s="64" t="str">
        <f>Ringkasan!O350</f>
        <v/>
      </c>
      <c r="P351" s="64" t="str">
        <f>Ringkasan!P350</f>
        <v/>
      </c>
      <c r="Q351" s="64" t="str">
        <f>Ringkasan!Q350</f>
        <v/>
      </c>
      <c r="R351" s="64" t="str">
        <f>Ringkasan!R350</f>
        <v/>
      </c>
      <c r="S351" s="64" t="str">
        <f>Ringkasan!S350</f>
        <v/>
      </c>
      <c r="T351" s="64" t="str">
        <f>Ringkasan!T350</f>
        <v/>
      </c>
      <c r="U351" s="64">
        <f>Ringkasan!U350</f>
        <v>47.81</v>
      </c>
      <c r="V351" s="64">
        <f>Ringkasan!V350</f>
        <v>0.82</v>
      </c>
      <c r="W351" s="64">
        <f>Ringkasan!W350</f>
        <v>48.11</v>
      </c>
      <c r="X351" s="64">
        <f>Ringkasan!X350</f>
        <v>48.24</v>
      </c>
      <c r="Y351" s="64">
        <f>Ringkasan!Y350</f>
        <v>48.11</v>
      </c>
      <c r="Z351" s="64" t="str">
        <f>Ringkasan!Z350</f>
        <v/>
      </c>
      <c r="AA351" s="64" t="str">
        <f>Ringkasan!AA350</f>
        <v>Construction Materials</v>
      </c>
      <c r="AB351" s="64" t="str">
        <f>Ringkasan!AB350</f>
        <v>Basic Materials</v>
      </c>
    </row>
    <row r="352" hidden="1">
      <c r="A352" s="64" t="str">
        <f>Ringkasan!A351</f>
        <v>BLOG</v>
      </c>
      <c r="B352" s="64" t="str">
        <f>Ringkasan!B351</f>
        <v>Trimitra Trans Persada Tbk.</v>
      </c>
      <c r="C352" s="65">
        <f>Ringkasan!C351</f>
        <v>320</v>
      </c>
      <c r="D352" s="64" t="str">
        <f>Ringkasan!D351</f>
        <v>#N/A</v>
      </c>
      <c r="E352" s="64" t="str">
        <f>Ringkasan!E351</f>
        <v/>
      </c>
      <c r="F352" s="64" t="str">
        <f>Ringkasan!F351</f>
        <v/>
      </c>
      <c r="G352" s="65">
        <f>Ringkasan!G351</f>
        <v>0</v>
      </c>
      <c r="H352" s="19">
        <f>Ringkasan!H351</f>
        <v>7.7</v>
      </c>
      <c r="I352" s="19">
        <f>Ringkasan!I351</f>
        <v>1.8</v>
      </c>
      <c r="J352" s="19">
        <f>Ringkasan!J351</f>
        <v>23.1</v>
      </c>
      <c r="K352" s="19">
        <f>Ringkasan!K351</f>
        <v>14.1</v>
      </c>
      <c r="L352" s="19">
        <f>Ringkasan!L351</f>
        <v>0.64</v>
      </c>
      <c r="M352" s="19">
        <f>Ringkasan!M351</f>
        <v>42.5</v>
      </c>
      <c r="N352" s="64" t="str">
        <f>Ringkasan!N351</f>
        <v/>
      </c>
      <c r="O352" s="64" t="str">
        <f>Ringkasan!O351</f>
        <v/>
      </c>
      <c r="P352" s="64" t="str">
        <f>Ringkasan!P351</f>
        <v/>
      </c>
      <c r="Q352" s="64" t="str">
        <f>Ringkasan!Q351</f>
        <v/>
      </c>
      <c r="R352" s="64" t="str">
        <f>Ringkasan!R351</f>
        <v/>
      </c>
      <c r="S352" s="64" t="str">
        <f>Ringkasan!S351</f>
        <v/>
      </c>
      <c r="T352" s="64" t="str">
        <f>Ringkasan!T351</f>
        <v/>
      </c>
      <c r="U352" s="64" t="str">
        <f>Ringkasan!U351</f>
        <v/>
      </c>
      <c r="V352" s="64">
        <f>Ringkasan!V351</f>
        <v>0.63</v>
      </c>
      <c r="W352" s="64">
        <f>Ringkasan!W351</f>
        <v>318</v>
      </c>
      <c r="X352" s="64">
        <f>Ringkasan!X351</f>
        <v>324</v>
      </c>
      <c r="Y352" s="64">
        <f>Ringkasan!Y351</f>
        <v>316</v>
      </c>
      <c r="Z352" s="64">
        <f>Ringkasan!Z351</f>
        <v>461500</v>
      </c>
      <c r="AA352" s="64" t="str">
        <f>Ringkasan!AA351</f>
        <v>Logistics &amp; Deliveries</v>
      </c>
      <c r="AB352" s="64" t="str">
        <f>Ringkasan!AB351</f>
        <v>Transportation &amp; Logistic</v>
      </c>
    </row>
    <row r="353" hidden="1">
      <c r="A353" s="64" t="str">
        <f>Ringkasan!A352</f>
        <v>BLTA</v>
      </c>
      <c r="B353" s="64" t="str">
        <f>Ringkasan!B352</f>
        <v>Berlian Laju Tanker Tbk</v>
      </c>
      <c r="C353" s="61">
        <f>Ringkasan!C352</f>
        <v>38</v>
      </c>
      <c r="D353" s="60" t="str">
        <f>Ringkasan!D352</f>
        <v>#N/A</v>
      </c>
      <c r="E353" s="64" t="str">
        <f>Ringkasan!E352</f>
        <v/>
      </c>
      <c r="F353" s="64" t="str">
        <f>Ringkasan!F352</f>
        <v/>
      </c>
      <c r="G353" s="64">
        <f>Ringkasan!G352</f>
        <v>0</v>
      </c>
      <c r="H353" s="19">
        <f>Ringkasan!H352</f>
        <v>15.9</v>
      </c>
      <c r="I353" s="19">
        <f>Ringkasan!I352</f>
        <v>0.83</v>
      </c>
      <c r="J353" s="19">
        <f>Ringkasan!J352</f>
        <v>5.2</v>
      </c>
      <c r="K353" s="19">
        <f>Ringkasan!K352</f>
        <v>2.4</v>
      </c>
      <c r="L353" s="19">
        <f>Ringkasan!L352</f>
        <v>1.2</v>
      </c>
      <c r="M353" s="19">
        <f>Ringkasan!M352</f>
        <v>29.5</v>
      </c>
      <c r="N353" s="64" t="str">
        <f>Ringkasan!N352</f>
        <v/>
      </c>
      <c r="O353" s="64" t="str">
        <f>Ringkasan!O352</f>
        <v/>
      </c>
      <c r="P353" s="64" t="str">
        <f>Ringkasan!P352</f>
        <v/>
      </c>
      <c r="Q353" s="64" t="str">
        <f>Ringkasan!Q352</f>
        <v/>
      </c>
      <c r="R353" s="64" t="str">
        <f>Ringkasan!R352</f>
        <v/>
      </c>
      <c r="S353" s="64" t="str">
        <f>Ringkasan!S352</f>
        <v/>
      </c>
      <c r="T353" s="64" t="str">
        <f>Ringkasan!T352</f>
        <v/>
      </c>
      <c r="U353" s="60">
        <f>Ringkasan!U352</f>
        <v>36</v>
      </c>
      <c r="V353" s="60">
        <f>Ringkasan!V352</f>
        <v>5.56</v>
      </c>
      <c r="W353" s="60">
        <f>Ringkasan!W352</f>
        <v>39</v>
      </c>
      <c r="X353" s="60">
        <f>Ringkasan!X352</f>
        <v>39</v>
      </c>
      <c r="Y353" s="60">
        <f>Ringkasan!Y352</f>
        <v>36</v>
      </c>
      <c r="Z353" s="60">
        <f>Ringkasan!Z352</f>
        <v>14448700</v>
      </c>
      <c r="AA353" s="64" t="str">
        <f>Ringkasan!AA352</f>
        <v>Logistics &amp; Deliveries</v>
      </c>
      <c r="AB353" s="64" t="str">
        <f>Ringkasan!AB352</f>
        <v>Transportation &amp; Logistic</v>
      </c>
    </row>
    <row r="354" hidden="1">
      <c r="A354" s="64" t="str">
        <f>Ringkasan!A353</f>
        <v>BLTZ</v>
      </c>
      <c r="B354" s="64" t="str">
        <f>Ringkasan!B353</f>
        <v>Graha Layar Prima Tbk.</v>
      </c>
      <c r="C354" s="61" t="str">
        <f>Ringkasan!C353</f>
        <v>#N/A</v>
      </c>
      <c r="D354" s="60" t="str">
        <f>Ringkasan!D353</f>
        <v>#N/A</v>
      </c>
      <c r="E354" s="64" t="str">
        <f>Ringkasan!E353</f>
        <v/>
      </c>
      <c r="F354" s="64" t="str">
        <f>Ringkasan!F353</f>
        <v/>
      </c>
      <c r="G354" s="64">
        <f>Ringkasan!G353</f>
        <v>0</v>
      </c>
      <c r="H354" s="19">
        <f>Ringkasan!H353</f>
        <v>36.8</v>
      </c>
      <c r="I354" s="19">
        <f>Ringkasan!I353</f>
        <v>5.9</v>
      </c>
      <c r="J354" s="19">
        <f>Ringkasan!J353</f>
        <v>16.1</v>
      </c>
      <c r="K354" s="19">
        <f>Ringkasan!K353</f>
        <v>3.9</v>
      </c>
      <c r="L354" s="19">
        <f>Ringkasan!L353</f>
        <v>3.2</v>
      </c>
      <c r="M354" s="19">
        <f>Ringkasan!M353</f>
        <v>32</v>
      </c>
      <c r="N354" s="64" t="str">
        <f>Ringkasan!N353</f>
        <v/>
      </c>
      <c r="O354" s="64" t="str">
        <f>Ringkasan!O353</f>
        <v/>
      </c>
      <c r="P354" s="64" t="str">
        <f>Ringkasan!P353</f>
        <v/>
      </c>
      <c r="Q354" s="64" t="str">
        <f>Ringkasan!Q353</f>
        <v/>
      </c>
      <c r="R354" s="64" t="str">
        <f>Ringkasan!R353</f>
        <v/>
      </c>
      <c r="S354" s="64" t="str">
        <f>Ringkasan!S353</f>
        <v/>
      </c>
      <c r="T354" s="64" t="str">
        <f>Ringkasan!T353</f>
        <v/>
      </c>
      <c r="U354" s="60">
        <f>Ringkasan!U353</f>
        <v>2890</v>
      </c>
      <c r="V354" s="60">
        <f>Ringkasan!V353</f>
        <v>0</v>
      </c>
      <c r="W354" s="60" t="str">
        <f>Ringkasan!W353</f>
        <v/>
      </c>
      <c r="X354" s="60" t="str">
        <f>Ringkasan!X353</f>
        <v/>
      </c>
      <c r="Y354" s="60" t="str">
        <f>Ringkasan!Y353</f>
        <v/>
      </c>
      <c r="Z354" s="60">
        <f>Ringkasan!Z353</f>
        <v>0</v>
      </c>
      <c r="AA354" s="64" t="str">
        <f>Ringkasan!AA353</f>
        <v>Tourism &amp; Recreation</v>
      </c>
      <c r="AB354" s="64" t="str">
        <f>Ringkasan!AB353</f>
        <v>Consumer Cyclicals</v>
      </c>
    </row>
    <row r="355" hidden="1">
      <c r="A355" s="64" t="str">
        <f>Ringkasan!A354</f>
        <v>BLUE</v>
      </c>
      <c r="B355" s="64" t="str">
        <f>Ringkasan!B354</f>
        <v>Berkah Prima Perkasa Tbk.</v>
      </c>
      <c r="C355" s="61">
        <f>Ringkasan!C354</f>
        <v>3290</v>
      </c>
      <c r="D355" s="60" t="str">
        <f>Ringkasan!D354</f>
        <v>#N/A</v>
      </c>
      <c r="E355" s="64" t="str">
        <f>Ringkasan!E354</f>
        <v/>
      </c>
      <c r="F355" s="64" t="str">
        <f>Ringkasan!F354</f>
        <v/>
      </c>
      <c r="G355" s="64">
        <f>Ringkasan!G354</f>
        <v>0</v>
      </c>
      <c r="H355" s="19">
        <f>Ringkasan!H354</f>
        <v>89.6</v>
      </c>
      <c r="I355" s="19">
        <f>Ringkasan!I354</f>
        <v>13.1</v>
      </c>
      <c r="J355" s="19">
        <f>Ringkasan!J354</f>
        <v>14.6</v>
      </c>
      <c r="K355" s="19">
        <f>Ringkasan!K354</f>
        <v>13.8</v>
      </c>
      <c r="L355" s="19">
        <f>Ringkasan!L354</f>
        <v>0.06</v>
      </c>
      <c r="M355" s="19">
        <f>Ringkasan!M354</f>
        <v>43.9</v>
      </c>
      <c r="N355" s="64" t="str">
        <f>Ringkasan!N354</f>
        <v/>
      </c>
      <c r="O355" s="64" t="str">
        <f>Ringkasan!O354</f>
        <v/>
      </c>
      <c r="P355" s="64" t="str">
        <f>Ringkasan!P354</f>
        <v/>
      </c>
      <c r="Q355" s="64" t="str">
        <f>Ringkasan!Q354</f>
        <v/>
      </c>
      <c r="R355" s="64" t="str">
        <f>Ringkasan!R354</f>
        <v/>
      </c>
      <c r="S355" s="64" t="str">
        <f>Ringkasan!S354</f>
        <v/>
      </c>
      <c r="T355" s="64" t="str">
        <f>Ringkasan!T354</f>
        <v/>
      </c>
      <c r="U355" s="60">
        <f>Ringkasan!U354</f>
        <v>17.98</v>
      </c>
      <c r="V355" s="60">
        <f>Ringkasan!V354</f>
        <v>0.56</v>
      </c>
      <c r="W355" s="60">
        <f>Ringkasan!W354</f>
        <v>18.09</v>
      </c>
      <c r="X355" s="60">
        <f>Ringkasan!X354</f>
        <v>18.13</v>
      </c>
      <c r="Y355" s="60">
        <f>Ringkasan!Y354</f>
        <v>17.99</v>
      </c>
      <c r="Z355" s="60">
        <f>Ringkasan!Z354</f>
        <v>19213</v>
      </c>
      <c r="AA355" s="64" t="str">
        <f>Ringkasan!AA354</f>
        <v>Commercial Services</v>
      </c>
      <c r="AB355" s="64" t="str">
        <f>Ringkasan!AB354</f>
        <v>Industrials</v>
      </c>
    </row>
    <row r="356" hidden="1">
      <c r="A356" s="64" t="str">
        <f>Ringkasan!A355</f>
        <v>BMAS</v>
      </c>
      <c r="B356" s="64" t="str">
        <f>Ringkasan!B355</f>
        <v>PT Bank Maspion Indonesia Tbk.</v>
      </c>
      <c r="C356" s="61">
        <f>Ringkasan!C355</f>
        <v>496</v>
      </c>
      <c r="D356" s="60" t="str">
        <f>Ringkasan!D355</f>
        <v>#N/A</v>
      </c>
      <c r="E356" s="64" t="str">
        <f>Ringkasan!E355</f>
        <v/>
      </c>
      <c r="F356" s="64" t="str">
        <f>Ringkasan!F355</f>
        <v/>
      </c>
      <c r="G356" s="64">
        <f>Ringkasan!G355</f>
        <v>0</v>
      </c>
      <c r="H356" s="19">
        <f>Ringkasan!H355</f>
        <v>2430</v>
      </c>
      <c r="I356" s="19">
        <f>Ringkasan!I355</f>
        <v>1.4</v>
      </c>
      <c r="J356" s="19">
        <f>Ringkasan!J355</f>
        <v>0.06</v>
      </c>
      <c r="K356" s="19">
        <f>Ringkasan!K355</f>
        <v>0.01</v>
      </c>
      <c r="L356" s="19">
        <f>Ringkasan!L355</f>
        <v>2.9</v>
      </c>
      <c r="M356" s="19">
        <f>Ringkasan!M355</f>
        <v>1.1</v>
      </c>
      <c r="N356" s="64">
        <f>Ringkasan!N355</f>
        <v>3.85</v>
      </c>
      <c r="O356" s="64">
        <f>Ringkasan!O355</f>
        <v>28.15</v>
      </c>
      <c r="P356" s="64">
        <f>Ringkasan!P355</f>
        <v>84.4</v>
      </c>
      <c r="Q356" s="64">
        <f>Ringkasan!Q355</f>
        <v>2.12</v>
      </c>
      <c r="R356" s="64">
        <f>Ringkasan!R355</f>
        <v>91.4</v>
      </c>
      <c r="S356" s="64">
        <f>Ringkasan!S355</f>
        <v>65.15</v>
      </c>
      <c r="T356" s="64">
        <f>Ringkasan!T355</f>
        <v>7.42</v>
      </c>
      <c r="U356" s="60">
        <f>Ringkasan!U355</f>
        <v>466</v>
      </c>
      <c r="V356" s="60">
        <f>Ringkasan!V355</f>
        <v>6.44</v>
      </c>
      <c r="W356" s="60">
        <f>Ringkasan!W355</f>
        <v>462</v>
      </c>
      <c r="X356" s="60">
        <f>Ringkasan!X355</f>
        <v>496</v>
      </c>
      <c r="Y356" s="60">
        <f>Ringkasan!Y355</f>
        <v>462</v>
      </c>
      <c r="Z356" s="60">
        <f>Ringkasan!Z355</f>
        <v>21100</v>
      </c>
      <c r="AA356" s="64" t="str">
        <f>Ringkasan!AA355</f>
        <v>Banks</v>
      </c>
      <c r="AB356" s="64" t="str">
        <f>Ringkasan!AB355</f>
        <v>Financials</v>
      </c>
    </row>
    <row r="357" hidden="1">
      <c r="A357" s="64" t="str">
        <f>Ringkasan!A356</f>
        <v>BMBL</v>
      </c>
      <c r="B357" s="64" t="str">
        <f>Ringkasan!B356</f>
        <v>PT Lavender Bina Cendikia Tbk</v>
      </c>
      <c r="C357" s="61">
        <f>Ringkasan!C356</f>
        <v>33</v>
      </c>
      <c r="D357" s="60" t="str">
        <f>Ringkasan!D356</f>
        <v>#N/A</v>
      </c>
      <c r="E357" s="64" t="str">
        <f>Ringkasan!E356</f>
        <v/>
      </c>
      <c r="F357" s="64" t="str">
        <f>Ringkasan!F356</f>
        <v/>
      </c>
      <c r="G357" s="64">
        <f>Ringkasan!G356</f>
        <v>0</v>
      </c>
      <c r="H357" s="19">
        <f>Ringkasan!H356</f>
        <v>-15.5</v>
      </c>
      <c r="I357" s="19">
        <f>Ringkasan!I356</f>
        <v>0.5</v>
      </c>
      <c r="J357" s="19">
        <f>Ringkasan!J356</f>
        <v>-3.2</v>
      </c>
      <c r="K357" s="19">
        <f>Ringkasan!K356</f>
        <v>-3</v>
      </c>
      <c r="L357" s="19">
        <f>Ringkasan!L356</f>
        <v>0.07</v>
      </c>
      <c r="M357" s="19">
        <f>Ringkasan!M356</f>
        <v>-14.8</v>
      </c>
      <c r="N357" s="64" t="str">
        <f>Ringkasan!N356</f>
        <v/>
      </c>
      <c r="O357" s="64" t="str">
        <f>Ringkasan!O356</f>
        <v/>
      </c>
      <c r="P357" s="64" t="str">
        <f>Ringkasan!P356</f>
        <v/>
      </c>
      <c r="Q357" s="64" t="str">
        <f>Ringkasan!Q356</f>
        <v/>
      </c>
      <c r="R357" s="64" t="str">
        <f>Ringkasan!R356</f>
        <v/>
      </c>
      <c r="S357" s="64" t="str">
        <f>Ringkasan!S356</f>
        <v/>
      </c>
      <c r="T357" s="64" t="str">
        <f>Ringkasan!T356</f>
        <v/>
      </c>
      <c r="U357" s="60">
        <f>Ringkasan!U356</f>
        <v>2.73</v>
      </c>
      <c r="V357" s="60">
        <f>Ringkasan!V356</f>
        <v>-0.37</v>
      </c>
      <c r="W357" s="60">
        <f>Ringkasan!W356</f>
        <v>2.75</v>
      </c>
      <c r="X357" s="60">
        <f>Ringkasan!X356</f>
        <v>2.76</v>
      </c>
      <c r="Y357" s="60">
        <f>Ringkasan!Y356</f>
        <v>2.7</v>
      </c>
      <c r="Z357" s="60">
        <f>Ringkasan!Z356</f>
        <v>1776866</v>
      </c>
      <c r="AA357" s="64" t="str">
        <f>Ringkasan!AA356</f>
        <v>Education &amp; Support Services</v>
      </c>
      <c r="AB357" s="64" t="str">
        <f>Ringkasan!AB356</f>
        <v>Consumer Cyclicals</v>
      </c>
    </row>
    <row r="358" hidden="1">
      <c r="A358" s="64" t="str">
        <f>Ringkasan!A357</f>
        <v>BMHS</v>
      </c>
      <c r="B358" s="64" t="str">
        <f>Ringkasan!B357</f>
        <v>Bundamedik Tbk.</v>
      </c>
      <c r="C358" s="61">
        <f>Ringkasan!C357</f>
        <v>180</v>
      </c>
      <c r="D358" s="60" t="str">
        <f>Ringkasan!D357</f>
        <v>#N/A</v>
      </c>
      <c r="E358" s="64" t="str">
        <f>Ringkasan!E357</f>
        <v/>
      </c>
      <c r="F358" s="64" t="str">
        <f>Ringkasan!F357</f>
        <v/>
      </c>
      <c r="G358" s="64">
        <f>Ringkasan!G357</f>
        <v>0</v>
      </c>
      <c r="H358" s="19">
        <f>Ringkasan!H357</f>
        <v>170</v>
      </c>
      <c r="I358" s="19">
        <f>Ringkasan!I357</f>
        <v>0.66</v>
      </c>
      <c r="J358" s="19">
        <f>Ringkasan!J357</f>
        <v>0.38</v>
      </c>
      <c r="K358" s="19">
        <f>Ringkasan!K357</f>
        <v>0.23</v>
      </c>
      <c r="L358" s="19">
        <f>Ringkasan!L357</f>
        <v>0.69</v>
      </c>
      <c r="M358" s="19">
        <f>Ringkasan!M357</f>
        <v>2.5</v>
      </c>
      <c r="N358" s="64" t="str">
        <f>Ringkasan!N357</f>
        <v/>
      </c>
      <c r="O358" s="64" t="str">
        <f>Ringkasan!O357</f>
        <v/>
      </c>
      <c r="P358" s="64" t="str">
        <f>Ringkasan!P357</f>
        <v/>
      </c>
      <c r="Q358" s="64" t="str">
        <f>Ringkasan!Q357</f>
        <v/>
      </c>
      <c r="R358" s="64" t="str">
        <f>Ringkasan!R357</f>
        <v/>
      </c>
      <c r="S358" s="64" t="str">
        <f>Ringkasan!S357</f>
        <v/>
      </c>
      <c r="T358" s="64" t="str">
        <f>Ringkasan!T357</f>
        <v/>
      </c>
      <c r="U358" s="60">
        <f>Ringkasan!U357</f>
        <v>174</v>
      </c>
      <c r="V358" s="60">
        <f>Ringkasan!V357</f>
        <v>3.45</v>
      </c>
      <c r="W358" s="60">
        <f>Ringkasan!W357</f>
        <v>177</v>
      </c>
      <c r="X358" s="60">
        <f>Ringkasan!X357</f>
        <v>181</v>
      </c>
      <c r="Y358" s="60">
        <f>Ringkasan!Y357</f>
        <v>175</v>
      </c>
      <c r="Z358" s="60">
        <f>Ringkasan!Z357</f>
        <v>380100</v>
      </c>
      <c r="AA358" s="64" t="str">
        <f>Ringkasan!AA357</f>
        <v>Healthcare Providers</v>
      </c>
      <c r="AB358" s="64" t="str">
        <f>Ringkasan!AB357</f>
        <v>Healthcare</v>
      </c>
    </row>
    <row r="359">
      <c r="A359" s="64" t="str">
        <f>Ringkasan!A358</f>
        <v>BMRI</v>
      </c>
      <c r="B359" s="60" t="str">
        <f>Ringkasan!B358</f>
        <v>Bank Mandiri (Persero) Tbk.</v>
      </c>
      <c r="C359" s="61">
        <f>Ringkasan!C358</f>
        <v>4200</v>
      </c>
      <c r="D359" s="60" t="str">
        <f>Ringkasan!D358</f>
        <v>#N/A</v>
      </c>
      <c r="E359" s="60" t="str">
        <f>Ringkasan!E358</f>
        <v>ESGQKEHATI</v>
      </c>
      <c r="F359" s="63">
        <f>Ringkasan!F358</f>
        <v>46356</v>
      </c>
      <c r="G359" s="60">
        <f>Ringkasan!G358</f>
        <v>23</v>
      </c>
      <c r="H359" s="62">
        <f>Ringkasan!H358</f>
        <v>6.5</v>
      </c>
      <c r="I359" s="62">
        <f>Ringkasan!I358</f>
        <v>1.2</v>
      </c>
      <c r="J359" s="62">
        <f>Ringkasan!J358</f>
        <v>18.6</v>
      </c>
      <c r="K359" s="62">
        <f>Ringkasan!K358</f>
        <v>2.4</v>
      </c>
      <c r="L359" s="62">
        <f>Ringkasan!L358</f>
        <v>6.8</v>
      </c>
      <c r="M359" s="62">
        <f>Ringkasan!M358</f>
        <v>130</v>
      </c>
      <c r="N359" s="60">
        <f>Ringkasan!N358</f>
        <v>4.93</v>
      </c>
      <c r="O359" s="60">
        <f>Ringkasan!O358</f>
        <v>20.1</v>
      </c>
      <c r="P359" s="60">
        <f>Ringkasan!P358</f>
        <v>98.04</v>
      </c>
      <c r="Q359" s="60">
        <f>Ringkasan!Q358</f>
        <v>0.97</v>
      </c>
      <c r="R359" s="60">
        <f>Ringkasan!R358</f>
        <v>56.46</v>
      </c>
      <c r="S359" s="60">
        <f>Ringkasan!S358</f>
        <v>35.04</v>
      </c>
      <c r="T359" s="60">
        <f>Ringkasan!T358</f>
        <v>6.81</v>
      </c>
      <c r="U359" s="60">
        <f>Ringkasan!U358</f>
        <v>4250</v>
      </c>
      <c r="V359" s="60">
        <f>Ringkasan!V358</f>
        <v>-1.18</v>
      </c>
      <c r="W359" s="60">
        <f>Ringkasan!W358</f>
        <v>4320</v>
      </c>
      <c r="X359" s="60">
        <f>Ringkasan!X358</f>
        <v>4320</v>
      </c>
      <c r="Y359" s="60">
        <f>Ringkasan!Y358</f>
        <v>4200</v>
      </c>
      <c r="Z359" s="60" t="str">
        <f>Ringkasan!Z358</f>
        <v/>
      </c>
      <c r="AA359" s="60" t="str">
        <f>Ringkasan!AA358</f>
        <v>Banks</v>
      </c>
      <c r="AB359" s="64" t="str">
        <f>Ringkasan!AB358</f>
        <v>Financials</v>
      </c>
    </row>
    <row r="360">
      <c r="A360" s="64" t="str">
        <f>Ringkasan!A359</f>
        <v>BMRI</v>
      </c>
      <c r="B360" s="60" t="str">
        <f>Ringkasan!B359</f>
        <v>Bank Mandiri (Persero) Tbk.</v>
      </c>
      <c r="C360" s="61">
        <f>Ringkasan!C359</f>
        <v>4200</v>
      </c>
      <c r="D360" s="60" t="str">
        <f>Ringkasan!D359</f>
        <v>#N/A</v>
      </c>
      <c r="E360" s="60" t="str">
        <f>Ringkasan!E359</f>
        <v>ESGSKEHATI</v>
      </c>
      <c r="F360" s="63">
        <f>Ringkasan!F359</f>
        <v>46356</v>
      </c>
      <c r="G360" s="60">
        <f>Ringkasan!G359</f>
        <v>23</v>
      </c>
      <c r="H360" s="62">
        <f>Ringkasan!H359</f>
        <v>6.5</v>
      </c>
      <c r="I360" s="62">
        <f>Ringkasan!I359</f>
        <v>1.2</v>
      </c>
      <c r="J360" s="62">
        <f>Ringkasan!J359</f>
        <v>18.6</v>
      </c>
      <c r="K360" s="62">
        <f>Ringkasan!K359</f>
        <v>2.4</v>
      </c>
      <c r="L360" s="62">
        <f>Ringkasan!L359</f>
        <v>6.8</v>
      </c>
      <c r="M360" s="62">
        <f>Ringkasan!M359</f>
        <v>130</v>
      </c>
      <c r="N360" s="60">
        <f>Ringkasan!N359</f>
        <v>4.93</v>
      </c>
      <c r="O360" s="60">
        <f>Ringkasan!O359</f>
        <v>20.1</v>
      </c>
      <c r="P360" s="60">
        <f>Ringkasan!P359</f>
        <v>98.04</v>
      </c>
      <c r="Q360" s="60">
        <f>Ringkasan!Q359</f>
        <v>0.97</v>
      </c>
      <c r="R360" s="60">
        <f>Ringkasan!R359</f>
        <v>56.46</v>
      </c>
      <c r="S360" s="60">
        <f>Ringkasan!S359</f>
        <v>35.04</v>
      </c>
      <c r="T360" s="60">
        <f>Ringkasan!T359</f>
        <v>6.81</v>
      </c>
      <c r="U360" s="60">
        <f>Ringkasan!U359</f>
        <v>4250</v>
      </c>
      <c r="V360" s="60">
        <f>Ringkasan!V359</f>
        <v>-1.18</v>
      </c>
      <c r="W360" s="60">
        <f>Ringkasan!W359</f>
        <v>4320</v>
      </c>
      <c r="X360" s="60">
        <f>Ringkasan!X359</f>
        <v>4320</v>
      </c>
      <c r="Y360" s="60">
        <f>Ringkasan!Y359</f>
        <v>4200</v>
      </c>
      <c r="Z360" s="60" t="str">
        <f>Ringkasan!Z359</f>
        <v/>
      </c>
      <c r="AA360" s="60" t="str">
        <f>Ringkasan!AA359</f>
        <v>Banks</v>
      </c>
      <c r="AB360" s="64" t="str">
        <f>Ringkasan!AB359</f>
        <v>Financials</v>
      </c>
    </row>
    <row r="361">
      <c r="A361" s="64" t="str">
        <f>Ringkasan!A360</f>
        <v>BMRI</v>
      </c>
      <c r="B361" s="64" t="str">
        <f>Ringkasan!B360</f>
        <v>Bank Mandiri (Persero) Tbk.</v>
      </c>
      <c r="C361" s="61">
        <f>Ringkasan!C360</f>
        <v>4200</v>
      </c>
      <c r="D361" s="60" t="str">
        <f>Ringkasan!D360</f>
        <v>#N/A</v>
      </c>
      <c r="E361" s="64" t="str">
        <f>Ringkasan!E360</f>
        <v>FTSE Large Cap</v>
      </c>
      <c r="F361" s="64" t="str">
        <f>Ringkasan!F360</f>
        <v>Juni 2026</v>
      </c>
      <c r="G361" s="64">
        <f>Ringkasan!G360</f>
        <v>23</v>
      </c>
      <c r="H361" s="19">
        <f>Ringkasan!H360</f>
        <v>6.5</v>
      </c>
      <c r="I361" s="19">
        <f>Ringkasan!I360</f>
        <v>1.2</v>
      </c>
      <c r="J361" s="19">
        <f>Ringkasan!J360</f>
        <v>18.6</v>
      </c>
      <c r="K361" s="19">
        <f>Ringkasan!K360</f>
        <v>2.4</v>
      </c>
      <c r="L361" s="19">
        <f>Ringkasan!L360</f>
        <v>6.8</v>
      </c>
      <c r="M361" s="19">
        <f>Ringkasan!M360</f>
        <v>130</v>
      </c>
      <c r="N361" s="64">
        <f>Ringkasan!N360</f>
        <v>4.93</v>
      </c>
      <c r="O361" s="64">
        <f>Ringkasan!O360</f>
        <v>20.1</v>
      </c>
      <c r="P361" s="64">
        <f>Ringkasan!P360</f>
        <v>98.04</v>
      </c>
      <c r="Q361" s="64">
        <f>Ringkasan!Q360</f>
        <v>0.97</v>
      </c>
      <c r="R361" s="64">
        <f>Ringkasan!R360</f>
        <v>56.46</v>
      </c>
      <c r="S361" s="64">
        <f>Ringkasan!S360</f>
        <v>35.04</v>
      </c>
      <c r="T361" s="64">
        <f>Ringkasan!T360</f>
        <v>6.81</v>
      </c>
      <c r="U361" s="60">
        <f>Ringkasan!U360</f>
        <v>4250</v>
      </c>
      <c r="V361" s="60">
        <f>Ringkasan!V360</f>
        <v>-1.18</v>
      </c>
      <c r="W361" s="60">
        <f>Ringkasan!W360</f>
        <v>4320</v>
      </c>
      <c r="X361" s="60">
        <f>Ringkasan!X360</f>
        <v>4320</v>
      </c>
      <c r="Y361" s="60">
        <f>Ringkasan!Y360</f>
        <v>4200</v>
      </c>
      <c r="Z361" s="60" t="str">
        <f>Ringkasan!Z360</f>
        <v/>
      </c>
      <c r="AA361" s="64" t="str">
        <f>Ringkasan!AA360</f>
        <v>Banks</v>
      </c>
      <c r="AB361" s="64" t="str">
        <f>Ringkasan!AB360</f>
        <v>Financials</v>
      </c>
    </row>
    <row r="362">
      <c r="A362" s="64" t="str">
        <f>Ringkasan!A361</f>
        <v>BMRI</v>
      </c>
      <c r="B362" s="60" t="str">
        <f>Ringkasan!B361</f>
        <v>Bank Mandiri (Persero) Tbk.</v>
      </c>
      <c r="C362" s="61">
        <f>Ringkasan!C361</f>
        <v>4200</v>
      </c>
      <c r="D362" s="60" t="str">
        <f>Ringkasan!D361</f>
        <v>#N/A</v>
      </c>
      <c r="E362" s="60" t="str">
        <f>Ringkasan!E361</f>
        <v>MSCI Global Standard</v>
      </c>
      <c r="F362" s="60" t="str">
        <f>Ringkasan!F361</f>
        <v>12 Agustus 2026</v>
      </c>
      <c r="G362" s="60">
        <f>Ringkasan!G361</f>
        <v>23</v>
      </c>
      <c r="H362" s="62">
        <f>Ringkasan!H361</f>
        <v>6.5</v>
      </c>
      <c r="I362" s="62">
        <f>Ringkasan!I361</f>
        <v>1.2</v>
      </c>
      <c r="J362" s="62">
        <f>Ringkasan!J361</f>
        <v>18.6</v>
      </c>
      <c r="K362" s="62">
        <f>Ringkasan!K361</f>
        <v>2.4</v>
      </c>
      <c r="L362" s="62">
        <f>Ringkasan!L361</f>
        <v>6.8</v>
      </c>
      <c r="M362" s="62">
        <f>Ringkasan!M361</f>
        <v>130</v>
      </c>
      <c r="N362" s="60">
        <f>Ringkasan!N361</f>
        <v>4.93</v>
      </c>
      <c r="O362" s="60">
        <f>Ringkasan!O361</f>
        <v>20.1</v>
      </c>
      <c r="P362" s="60">
        <f>Ringkasan!P361</f>
        <v>98.04</v>
      </c>
      <c r="Q362" s="60">
        <f>Ringkasan!Q361</f>
        <v>0.97</v>
      </c>
      <c r="R362" s="60">
        <f>Ringkasan!R361</f>
        <v>56.46</v>
      </c>
      <c r="S362" s="60">
        <f>Ringkasan!S361</f>
        <v>35.04</v>
      </c>
      <c r="T362" s="60">
        <f>Ringkasan!T361</f>
        <v>6.81</v>
      </c>
      <c r="U362" s="60">
        <f>Ringkasan!U361</f>
        <v>4250</v>
      </c>
      <c r="V362" s="60">
        <f>Ringkasan!V361</f>
        <v>-1.18</v>
      </c>
      <c r="W362" s="60">
        <f>Ringkasan!W361</f>
        <v>4320</v>
      </c>
      <c r="X362" s="60">
        <f>Ringkasan!X361</f>
        <v>4320</v>
      </c>
      <c r="Y362" s="60">
        <f>Ringkasan!Y361</f>
        <v>4200</v>
      </c>
      <c r="Z362" s="60" t="str">
        <f>Ringkasan!Z361</f>
        <v/>
      </c>
      <c r="AA362" s="60" t="str">
        <f>Ringkasan!AA361</f>
        <v>Banks</v>
      </c>
      <c r="AB362" s="64" t="str">
        <f>Ringkasan!AB361</f>
        <v>Financials</v>
      </c>
    </row>
    <row r="363" hidden="1">
      <c r="A363" s="64" t="str">
        <f>Ringkasan!A242</f>
        <v>BBHI</v>
      </c>
      <c r="B363" s="64" t="str">
        <f>Ringkasan!B242</f>
        <v>PT Bank Harda Internasional Tbk.</v>
      </c>
      <c r="C363" s="65">
        <f>Ringkasan!C242</f>
        <v>970</v>
      </c>
      <c r="D363" s="64" t="str">
        <f>Ringkasan!D242</f>
        <v>#N/A</v>
      </c>
      <c r="E363" s="64" t="str">
        <f>Ringkasan!E242</f>
        <v/>
      </c>
      <c r="F363" s="64" t="str">
        <f>Ringkasan!F242</f>
        <v/>
      </c>
      <c r="G363" s="64">
        <f>Ringkasan!G242</f>
        <v>0</v>
      </c>
      <c r="H363" s="19">
        <f>Ringkasan!H242</f>
        <v>38.2</v>
      </c>
      <c r="I363" s="19">
        <f>Ringkasan!I242</f>
        <v>2.9</v>
      </c>
      <c r="J363" s="19">
        <f>Ringkasan!J242</f>
        <v>7.5</v>
      </c>
      <c r="K363" s="19">
        <f>Ringkasan!K242</f>
        <v>3.8</v>
      </c>
      <c r="L363" s="19">
        <f>Ringkasan!L242</f>
        <v>0.96</v>
      </c>
      <c r="M363" s="19">
        <f>Ringkasan!M242</f>
        <v>120</v>
      </c>
      <c r="N363" s="64">
        <f>Ringkasan!N242</f>
        <v>9.47</v>
      </c>
      <c r="O363" s="64">
        <f>Ringkasan!O242</f>
        <v>98.17</v>
      </c>
      <c r="P363" s="64">
        <f>Ringkasan!P242</f>
        <v>126.9</v>
      </c>
      <c r="Q363" s="64">
        <f>Ringkasan!Q242</f>
        <v>0.81</v>
      </c>
      <c r="R363" s="64">
        <f>Ringkasan!R242</f>
        <v>69.17</v>
      </c>
      <c r="S363" s="64">
        <f>Ringkasan!S242</f>
        <v>52.28</v>
      </c>
      <c r="T363" s="64" t="str">
        <f>Ringkasan!T242</f>
        <v/>
      </c>
      <c r="U363" s="64">
        <f>Ringkasan!U242</f>
        <v>960</v>
      </c>
      <c r="V363" s="64">
        <f>Ringkasan!V242</f>
        <v>1.04</v>
      </c>
      <c r="W363" s="64">
        <f>Ringkasan!W242</f>
        <v>925</v>
      </c>
      <c r="X363" s="64">
        <f>Ringkasan!X242</f>
        <v>980</v>
      </c>
      <c r="Y363" s="64">
        <f>Ringkasan!Y242</f>
        <v>925</v>
      </c>
      <c r="Z363" s="64">
        <f>Ringkasan!Z242</f>
        <v>172300</v>
      </c>
      <c r="AA363" s="64" t="str">
        <f>Ringkasan!AA242</f>
        <v>Banks</v>
      </c>
      <c r="AB363" s="64" t="str">
        <f>Ringkasan!AB242</f>
        <v>Financials</v>
      </c>
    </row>
    <row r="364">
      <c r="A364" s="64" t="str">
        <f>Ringkasan!A363</f>
        <v>BMRI</v>
      </c>
      <c r="B364" s="60" t="str">
        <f>Ringkasan!B363</f>
        <v>Bank Mandiri (Persero) Tbk.</v>
      </c>
      <c r="C364" s="61">
        <f>Ringkasan!C363</f>
        <v>4200</v>
      </c>
      <c r="D364" s="60" t="str">
        <f>Ringkasan!D363</f>
        <v>#N/A</v>
      </c>
      <c r="E364" s="60" t="str">
        <f>Ringkasan!E363</f>
        <v>IDXG30</v>
      </c>
      <c r="F364" s="60" t="str">
        <f>Ringkasan!F363</f>
        <v>4 Agustus 2026</v>
      </c>
      <c r="G364" s="60">
        <f>Ringkasan!G363</f>
        <v>23</v>
      </c>
      <c r="H364" s="62">
        <f>Ringkasan!H363</f>
        <v>6.5</v>
      </c>
      <c r="I364" s="62">
        <f>Ringkasan!I363</f>
        <v>1.2</v>
      </c>
      <c r="J364" s="62">
        <f>Ringkasan!J363</f>
        <v>18.6</v>
      </c>
      <c r="K364" s="62">
        <f>Ringkasan!K363</f>
        <v>2.4</v>
      </c>
      <c r="L364" s="62">
        <f>Ringkasan!L363</f>
        <v>6.8</v>
      </c>
      <c r="M364" s="62">
        <f>Ringkasan!M363</f>
        <v>130</v>
      </c>
      <c r="N364" s="60">
        <f>Ringkasan!N363</f>
        <v>4.93</v>
      </c>
      <c r="O364" s="60">
        <f>Ringkasan!O363</f>
        <v>20.1</v>
      </c>
      <c r="P364" s="60">
        <f>Ringkasan!P363</f>
        <v>98.04</v>
      </c>
      <c r="Q364" s="60">
        <f>Ringkasan!Q363</f>
        <v>0.97</v>
      </c>
      <c r="R364" s="60">
        <f>Ringkasan!R363</f>
        <v>56.46</v>
      </c>
      <c r="S364" s="60">
        <f>Ringkasan!S363</f>
        <v>35.04</v>
      </c>
      <c r="T364" s="60">
        <f>Ringkasan!T363</f>
        <v>6.81</v>
      </c>
      <c r="U364" s="60">
        <f>Ringkasan!U363</f>
        <v>4250</v>
      </c>
      <c r="V364" s="60">
        <f>Ringkasan!V363</f>
        <v>-1.18</v>
      </c>
      <c r="W364" s="60">
        <f>Ringkasan!W363</f>
        <v>4320</v>
      </c>
      <c r="X364" s="60">
        <f>Ringkasan!X363</f>
        <v>4320</v>
      </c>
      <c r="Y364" s="60">
        <f>Ringkasan!Y363</f>
        <v>4200</v>
      </c>
      <c r="Z364" s="60" t="str">
        <f>Ringkasan!Z363</f>
        <v/>
      </c>
      <c r="AA364" s="60" t="str">
        <f>Ringkasan!AA363</f>
        <v>Banks</v>
      </c>
      <c r="AB364" s="64" t="str">
        <f>Ringkasan!AB363</f>
        <v>Financials</v>
      </c>
    </row>
    <row r="365" hidden="1">
      <c r="A365" s="64" t="str">
        <f>Ringkasan!A314</f>
        <v>BDMN</v>
      </c>
      <c r="B365" s="64" t="str">
        <f>Ringkasan!B314</f>
        <v>PT Bank Danamon Indonesia Tbk</v>
      </c>
      <c r="C365" s="65">
        <f>Ringkasan!C314</f>
        <v>3920</v>
      </c>
      <c r="D365" s="64" t="str">
        <f>Ringkasan!D314</f>
        <v>#N/A</v>
      </c>
      <c r="E365" s="64" t="str">
        <f>Ringkasan!E314</f>
        <v>Infobank15</v>
      </c>
      <c r="F365" s="64" t="str">
        <f>Ringkasan!F314</f>
        <v>30 Juni 2026</v>
      </c>
      <c r="G365" s="64">
        <f>Ringkasan!G314</f>
        <v>3</v>
      </c>
      <c r="H365" s="19">
        <f>Ringkasan!H314</f>
        <v>10.5</v>
      </c>
      <c r="I365" s="19">
        <f>Ringkasan!I314</f>
        <v>0.8</v>
      </c>
      <c r="J365" s="19">
        <f>Ringkasan!J314</f>
        <v>7.6</v>
      </c>
      <c r="K365" s="19">
        <f>Ringkasan!K314</f>
        <v>1.6</v>
      </c>
      <c r="L365" s="19">
        <f>Ringkasan!L314</f>
        <v>3.9</v>
      </c>
      <c r="M365" s="19">
        <f>Ringkasan!M314</f>
        <v>60.7</v>
      </c>
      <c r="N365" s="64">
        <f>Ringkasan!N314</f>
        <v>7.4</v>
      </c>
      <c r="O365" s="64">
        <f>Ringkasan!O314</f>
        <v>25.4</v>
      </c>
      <c r="P365" s="64">
        <f>Ringkasan!P314</f>
        <v>95.5</v>
      </c>
      <c r="Q365" s="64">
        <f>Ringkasan!Q314</f>
        <v>1.7</v>
      </c>
      <c r="R365" s="64">
        <f>Ringkasan!R314</f>
        <v>79.3</v>
      </c>
      <c r="S365" s="64">
        <f>Ringkasan!S314</f>
        <v>55.3</v>
      </c>
      <c r="T365" s="64">
        <f>Ringkasan!T314</f>
        <v>8.3</v>
      </c>
      <c r="U365" s="64">
        <f>Ringkasan!U314</f>
        <v>3870</v>
      </c>
      <c r="V365" s="64">
        <f>Ringkasan!V314</f>
        <v>1.29</v>
      </c>
      <c r="W365" s="64">
        <f>Ringkasan!W314</f>
        <v>3930</v>
      </c>
      <c r="X365" s="64">
        <f>Ringkasan!X314</f>
        <v>4030</v>
      </c>
      <c r="Y365" s="64">
        <f>Ringkasan!Y314</f>
        <v>3880</v>
      </c>
      <c r="Z365" s="64">
        <f>Ringkasan!Z314</f>
        <v>2217100</v>
      </c>
      <c r="AA365" s="64" t="str">
        <f>Ringkasan!AA314</f>
        <v>Banks</v>
      </c>
      <c r="AB365" s="64" t="str">
        <f>Ringkasan!AB314</f>
        <v>Financials</v>
      </c>
    </row>
    <row r="366" hidden="1">
      <c r="A366" s="64" t="str">
        <f>Ringkasan!A333</f>
        <v>BINA</v>
      </c>
      <c r="B366" s="64" t="str">
        <f>Ringkasan!B333</f>
        <v>PT Bank Ina Perdana Tbk.</v>
      </c>
      <c r="C366" s="65">
        <f>Ringkasan!C333</f>
        <v>3880</v>
      </c>
      <c r="D366" s="64" t="str">
        <f>Ringkasan!D333</f>
        <v>#N/A</v>
      </c>
      <c r="E366" s="64" t="str">
        <f>Ringkasan!E333</f>
        <v/>
      </c>
      <c r="F366" s="64" t="str">
        <f>Ringkasan!F333</f>
        <v/>
      </c>
      <c r="G366" s="64">
        <f>Ringkasan!G333</f>
        <v>0</v>
      </c>
      <c r="H366" s="19">
        <f>Ringkasan!H333</f>
        <v>-81.5</v>
      </c>
      <c r="I366" s="19">
        <f>Ringkasan!I333</f>
        <v>8.7</v>
      </c>
      <c r="J366" s="19">
        <f>Ringkasan!J333</f>
        <v>-10.7</v>
      </c>
      <c r="K366" s="19">
        <f>Ringkasan!K333</f>
        <v>-1.1</v>
      </c>
      <c r="L366" s="19">
        <f>Ringkasan!L333</f>
        <v>9.1</v>
      </c>
      <c r="M366" s="19">
        <f>Ringkasan!M333</f>
        <v>-65.7</v>
      </c>
      <c r="N366" s="64">
        <f>Ringkasan!N333</f>
        <v>2.85</v>
      </c>
      <c r="O366" s="64">
        <f>Ringkasan!O333</f>
        <v>22.4</v>
      </c>
      <c r="P366" s="64">
        <f>Ringkasan!P333</f>
        <v>70.15</v>
      </c>
      <c r="Q366" s="64">
        <f>Ringkasan!Q333</f>
        <v>4.12</v>
      </c>
      <c r="R366" s="64">
        <f>Ringkasan!R333</f>
        <v>95.15</v>
      </c>
      <c r="S366" s="64">
        <f>Ringkasan!S333</f>
        <v>80.12</v>
      </c>
      <c r="T366" s="64">
        <f>Ringkasan!T333</f>
        <v>12.4</v>
      </c>
      <c r="U366" s="64">
        <f>Ringkasan!U333</f>
        <v>3870</v>
      </c>
      <c r="V366" s="64">
        <f>Ringkasan!V333</f>
        <v>0.26</v>
      </c>
      <c r="W366" s="64">
        <f>Ringkasan!W333</f>
        <v>3900</v>
      </c>
      <c r="X366" s="64">
        <f>Ringkasan!X333</f>
        <v>3900</v>
      </c>
      <c r="Y366" s="64">
        <f>Ringkasan!Y333</f>
        <v>3880</v>
      </c>
      <c r="Z366" s="64">
        <f>Ringkasan!Z333</f>
        <v>55200</v>
      </c>
      <c r="AA366" s="64" t="str">
        <f>Ringkasan!AA333</f>
        <v>Banks</v>
      </c>
      <c r="AB366" s="64" t="str">
        <f>Ringkasan!AB333</f>
        <v>Financials</v>
      </c>
    </row>
    <row r="367">
      <c r="A367" s="64" t="str">
        <f>Ringkasan!A366</f>
        <v>BMRI</v>
      </c>
      <c r="B367" s="60" t="str">
        <f>Ringkasan!B366</f>
        <v>Bank Mandiri (Persero) Tbk.</v>
      </c>
      <c r="C367" s="61">
        <f>Ringkasan!C366</f>
        <v>4200</v>
      </c>
      <c r="D367" s="60" t="str">
        <f>Ringkasan!D366</f>
        <v>#N/A</v>
      </c>
      <c r="E367" s="60" t="str">
        <f>Ringkasan!E366</f>
        <v>MNC36</v>
      </c>
      <c r="F367" s="60" t="str">
        <f>Ringkasan!F366</f>
        <v>30 Oktober 2026</v>
      </c>
      <c r="G367" s="60">
        <f>Ringkasan!G366</f>
        <v>23</v>
      </c>
      <c r="H367" s="62">
        <f>Ringkasan!H366</f>
        <v>6.5</v>
      </c>
      <c r="I367" s="62">
        <f>Ringkasan!I366</f>
        <v>1.2</v>
      </c>
      <c r="J367" s="62">
        <f>Ringkasan!J366</f>
        <v>18.6</v>
      </c>
      <c r="K367" s="62">
        <f>Ringkasan!K366</f>
        <v>2.4</v>
      </c>
      <c r="L367" s="62">
        <f>Ringkasan!L366</f>
        <v>6.8</v>
      </c>
      <c r="M367" s="62">
        <f>Ringkasan!M366</f>
        <v>130</v>
      </c>
      <c r="N367" s="60">
        <f>Ringkasan!N366</f>
        <v>4.93</v>
      </c>
      <c r="O367" s="60">
        <f>Ringkasan!O366</f>
        <v>20.1</v>
      </c>
      <c r="P367" s="60">
        <f>Ringkasan!P366</f>
        <v>98.04</v>
      </c>
      <c r="Q367" s="60">
        <f>Ringkasan!Q366</f>
        <v>0.97</v>
      </c>
      <c r="R367" s="60">
        <f>Ringkasan!R366</f>
        <v>56.46</v>
      </c>
      <c r="S367" s="60">
        <f>Ringkasan!S366</f>
        <v>35.04</v>
      </c>
      <c r="T367" s="60">
        <f>Ringkasan!T366</f>
        <v>6.81</v>
      </c>
      <c r="U367" s="60">
        <f>Ringkasan!U366</f>
        <v>4250</v>
      </c>
      <c r="V367" s="60">
        <f>Ringkasan!V366</f>
        <v>-1.18</v>
      </c>
      <c r="W367" s="60">
        <f>Ringkasan!W366</f>
        <v>4320</v>
      </c>
      <c r="X367" s="60">
        <f>Ringkasan!X366</f>
        <v>4320</v>
      </c>
      <c r="Y367" s="60">
        <f>Ringkasan!Y366</f>
        <v>4200</v>
      </c>
      <c r="Z367" s="60" t="str">
        <f>Ringkasan!Z366</f>
        <v/>
      </c>
      <c r="AA367" s="60" t="str">
        <f>Ringkasan!AA366</f>
        <v>Banks</v>
      </c>
      <c r="AB367" s="64" t="str">
        <f>Ringkasan!AB366</f>
        <v>Financials</v>
      </c>
    </row>
    <row r="368">
      <c r="A368" s="64" t="str">
        <f>Ringkasan!A367</f>
        <v>BMRI</v>
      </c>
      <c r="B368" s="60" t="str">
        <f>Ringkasan!B367</f>
        <v>Bank Mandiri (Persero) Tbk.</v>
      </c>
      <c r="C368" s="61">
        <f>Ringkasan!C367</f>
        <v>4200</v>
      </c>
      <c r="D368" s="60" t="str">
        <f>Ringkasan!D367</f>
        <v>#N/A</v>
      </c>
      <c r="E368" s="60" t="str">
        <f>Ringkasan!E367</f>
        <v>IDXVESTA28</v>
      </c>
      <c r="F368" s="60" t="str">
        <f>Ringkasan!F367</f>
        <v>31 Agustus 2026</v>
      </c>
      <c r="G368" s="60">
        <f>Ringkasan!G367</f>
        <v>23</v>
      </c>
      <c r="H368" s="62">
        <f>Ringkasan!H367</f>
        <v>6.5</v>
      </c>
      <c r="I368" s="62">
        <f>Ringkasan!I367</f>
        <v>1.2</v>
      </c>
      <c r="J368" s="62">
        <f>Ringkasan!J367</f>
        <v>18.6</v>
      </c>
      <c r="K368" s="62">
        <f>Ringkasan!K367</f>
        <v>2.4</v>
      </c>
      <c r="L368" s="62">
        <f>Ringkasan!L367</f>
        <v>6.8</v>
      </c>
      <c r="M368" s="62">
        <f>Ringkasan!M367</f>
        <v>130</v>
      </c>
      <c r="N368" s="60">
        <f>Ringkasan!N367</f>
        <v>4.93</v>
      </c>
      <c r="O368" s="60">
        <f>Ringkasan!O367</f>
        <v>20.1</v>
      </c>
      <c r="P368" s="60">
        <f>Ringkasan!P367</f>
        <v>98.04</v>
      </c>
      <c r="Q368" s="60">
        <f>Ringkasan!Q367</f>
        <v>0.97</v>
      </c>
      <c r="R368" s="60">
        <f>Ringkasan!R367</f>
        <v>56.46</v>
      </c>
      <c r="S368" s="60">
        <f>Ringkasan!S367</f>
        <v>35.04</v>
      </c>
      <c r="T368" s="60">
        <f>Ringkasan!T367</f>
        <v>6.81</v>
      </c>
      <c r="U368" s="60">
        <f>Ringkasan!U367</f>
        <v>4250</v>
      </c>
      <c r="V368" s="60">
        <f>Ringkasan!V367</f>
        <v>-1.18</v>
      </c>
      <c r="W368" s="60">
        <f>Ringkasan!W367</f>
        <v>4320</v>
      </c>
      <c r="X368" s="60">
        <f>Ringkasan!X367</f>
        <v>4320</v>
      </c>
      <c r="Y368" s="60">
        <f>Ringkasan!Y367</f>
        <v>4200</v>
      </c>
      <c r="Z368" s="60" t="str">
        <f>Ringkasan!Z367</f>
        <v/>
      </c>
      <c r="AA368" s="60" t="str">
        <f>Ringkasan!AA367</f>
        <v>Banks</v>
      </c>
      <c r="AB368" s="64" t="str">
        <f>Ringkasan!AB367</f>
        <v>Financials</v>
      </c>
    </row>
    <row r="369">
      <c r="A369" s="64" t="str">
        <f>Ringkasan!A368</f>
        <v>BMRI</v>
      </c>
      <c r="B369" s="60" t="str">
        <f>Ringkasan!B368</f>
        <v>Bank Mandiri (Persero) Tbk.</v>
      </c>
      <c r="C369" s="61">
        <f>Ringkasan!C368</f>
        <v>4200</v>
      </c>
      <c r="D369" s="60" t="str">
        <f>Ringkasan!D368</f>
        <v>#N/A</v>
      </c>
      <c r="E369" s="60" t="str">
        <f>Ringkasan!E368</f>
        <v>IDXESGL</v>
      </c>
      <c r="F369" s="60" t="str">
        <f>Ringkasan!F368</f>
        <v>30 Oktober 2026</v>
      </c>
      <c r="G369" s="60">
        <f>Ringkasan!G368</f>
        <v>23</v>
      </c>
      <c r="H369" s="62">
        <f>Ringkasan!H368</f>
        <v>6.5</v>
      </c>
      <c r="I369" s="62">
        <f>Ringkasan!I368</f>
        <v>1.2</v>
      </c>
      <c r="J369" s="62">
        <f>Ringkasan!J368</f>
        <v>18.6</v>
      </c>
      <c r="K369" s="62">
        <f>Ringkasan!K368</f>
        <v>2.4</v>
      </c>
      <c r="L369" s="62">
        <f>Ringkasan!L368</f>
        <v>6.8</v>
      </c>
      <c r="M369" s="62">
        <f>Ringkasan!M368</f>
        <v>130</v>
      </c>
      <c r="N369" s="60">
        <f>Ringkasan!N368</f>
        <v>4.93</v>
      </c>
      <c r="O369" s="60">
        <f>Ringkasan!O368</f>
        <v>20.1</v>
      </c>
      <c r="P369" s="60">
        <f>Ringkasan!P368</f>
        <v>98.04</v>
      </c>
      <c r="Q369" s="60">
        <f>Ringkasan!Q368</f>
        <v>0.97</v>
      </c>
      <c r="R369" s="60">
        <f>Ringkasan!R368</f>
        <v>56.46</v>
      </c>
      <c r="S369" s="60">
        <f>Ringkasan!S368</f>
        <v>35.04</v>
      </c>
      <c r="T369" s="60">
        <f>Ringkasan!T368</f>
        <v>6.81</v>
      </c>
      <c r="U369" s="60">
        <f>Ringkasan!U368</f>
        <v>4250</v>
      </c>
      <c r="V369" s="60">
        <f>Ringkasan!V368</f>
        <v>-1.18</v>
      </c>
      <c r="W369" s="60">
        <f>Ringkasan!W368</f>
        <v>4320</v>
      </c>
      <c r="X369" s="60">
        <f>Ringkasan!X368</f>
        <v>4320</v>
      </c>
      <c r="Y369" s="60">
        <f>Ringkasan!Y368</f>
        <v>4200</v>
      </c>
      <c r="Z369" s="60" t="str">
        <f>Ringkasan!Z368</f>
        <v/>
      </c>
      <c r="AA369" s="60" t="str">
        <f>Ringkasan!AA368</f>
        <v>Banks</v>
      </c>
      <c r="AB369" s="64" t="str">
        <f>Ringkasan!AB368</f>
        <v>Financials</v>
      </c>
    </row>
    <row r="370">
      <c r="A370" s="64" t="str">
        <f>Ringkasan!A369</f>
        <v>BMRI</v>
      </c>
      <c r="B370" s="60" t="str">
        <f>Ringkasan!B369</f>
        <v>Bank Mandiri (Persero) Tbk.</v>
      </c>
      <c r="C370" s="61">
        <f>Ringkasan!C369</f>
        <v>4200</v>
      </c>
      <c r="D370" s="60" t="str">
        <f>Ringkasan!D369</f>
        <v>#N/A</v>
      </c>
      <c r="E370" s="60" t="str">
        <f>Ringkasan!E369</f>
        <v>IDXHIDIV20</v>
      </c>
      <c r="F370" s="60" t="str">
        <f>Ringkasan!F369</f>
        <v>2 Februari 2027</v>
      </c>
      <c r="G370" s="60">
        <f>Ringkasan!G369</f>
        <v>23</v>
      </c>
      <c r="H370" s="62">
        <f>Ringkasan!H369</f>
        <v>6.5</v>
      </c>
      <c r="I370" s="62">
        <f>Ringkasan!I369</f>
        <v>1.2</v>
      </c>
      <c r="J370" s="62">
        <f>Ringkasan!J369</f>
        <v>18.6</v>
      </c>
      <c r="K370" s="62">
        <f>Ringkasan!K369</f>
        <v>2.4</v>
      </c>
      <c r="L370" s="62">
        <f>Ringkasan!L369</f>
        <v>6.8</v>
      </c>
      <c r="M370" s="62">
        <f>Ringkasan!M369</f>
        <v>130</v>
      </c>
      <c r="N370" s="60">
        <f>Ringkasan!N369</f>
        <v>4.93</v>
      </c>
      <c r="O370" s="60">
        <f>Ringkasan!O369</f>
        <v>20.1</v>
      </c>
      <c r="P370" s="60">
        <f>Ringkasan!P369</f>
        <v>98.04</v>
      </c>
      <c r="Q370" s="60">
        <f>Ringkasan!Q369</f>
        <v>0.97</v>
      </c>
      <c r="R370" s="60">
        <f>Ringkasan!R369</f>
        <v>56.46</v>
      </c>
      <c r="S370" s="60">
        <f>Ringkasan!S369</f>
        <v>35.04</v>
      </c>
      <c r="T370" s="60">
        <f>Ringkasan!T369</f>
        <v>6.81</v>
      </c>
      <c r="U370" s="60">
        <f>Ringkasan!U369</f>
        <v>4250</v>
      </c>
      <c r="V370" s="60">
        <f>Ringkasan!V369</f>
        <v>-1.18</v>
      </c>
      <c r="W370" s="60">
        <f>Ringkasan!W369</f>
        <v>4320</v>
      </c>
      <c r="X370" s="60">
        <f>Ringkasan!X369</f>
        <v>4320</v>
      </c>
      <c r="Y370" s="60">
        <f>Ringkasan!Y369</f>
        <v>4200</v>
      </c>
      <c r="Z370" s="60" t="str">
        <f>Ringkasan!Z369</f>
        <v/>
      </c>
      <c r="AA370" s="60" t="str">
        <f>Ringkasan!AA369</f>
        <v>Banks</v>
      </c>
      <c r="AB370" s="64" t="str">
        <f>Ringkasan!AB369</f>
        <v>Financials</v>
      </c>
    </row>
    <row r="371">
      <c r="A371" s="64" t="str">
        <f>Ringkasan!A370</f>
        <v>BMRI</v>
      </c>
      <c r="B371" s="60" t="str">
        <f>Ringkasan!B370</f>
        <v>Bank Mandiri (Persero) Tbk.</v>
      </c>
      <c r="C371" s="61">
        <f>Ringkasan!C370</f>
        <v>4200</v>
      </c>
      <c r="D371" s="60" t="str">
        <f>Ringkasan!D370</f>
        <v>#N/A</v>
      </c>
      <c r="E371" s="60" t="str">
        <f>Ringkasan!E370</f>
        <v>SMINFRA18</v>
      </c>
      <c r="F371" s="60" t="str">
        <f>Ringkasan!F370</f>
        <v>30 Oktober 2026</v>
      </c>
      <c r="G371" s="60">
        <f>Ringkasan!G370</f>
        <v>23</v>
      </c>
      <c r="H371" s="62">
        <f>Ringkasan!H370</f>
        <v>6.5</v>
      </c>
      <c r="I371" s="62">
        <f>Ringkasan!I370</f>
        <v>1.2</v>
      </c>
      <c r="J371" s="62">
        <f>Ringkasan!J370</f>
        <v>18.6</v>
      </c>
      <c r="K371" s="62">
        <f>Ringkasan!K370</f>
        <v>2.4</v>
      </c>
      <c r="L371" s="62">
        <f>Ringkasan!L370</f>
        <v>6.8</v>
      </c>
      <c r="M371" s="62">
        <f>Ringkasan!M370</f>
        <v>130</v>
      </c>
      <c r="N371" s="60">
        <f>Ringkasan!N370</f>
        <v>4.93</v>
      </c>
      <c r="O371" s="60">
        <f>Ringkasan!O370</f>
        <v>20.1</v>
      </c>
      <c r="P371" s="60">
        <f>Ringkasan!P370</f>
        <v>98.04</v>
      </c>
      <c r="Q371" s="60">
        <f>Ringkasan!Q370</f>
        <v>0.97</v>
      </c>
      <c r="R371" s="60">
        <f>Ringkasan!R370</f>
        <v>56.46</v>
      </c>
      <c r="S371" s="60">
        <f>Ringkasan!S370</f>
        <v>35.04</v>
      </c>
      <c r="T371" s="60">
        <f>Ringkasan!T370</f>
        <v>6.81</v>
      </c>
      <c r="U371" s="60">
        <f>Ringkasan!U370</f>
        <v>4250</v>
      </c>
      <c r="V371" s="60">
        <f>Ringkasan!V370</f>
        <v>-1.18</v>
      </c>
      <c r="W371" s="60">
        <f>Ringkasan!W370</f>
        <v>4320</v>
      </c>
      <c r="X371" s="60">
        <f>Ringkasan!X370</f>
        <v>4320</v>
      </c>
      <c r="Y371" s="60">
        <f>Ringkasan!Y370</f>
        <v>4200</v>
      </c>
      <c r="Z371" s="60" t="str">
        <f>Ringkasan!Z370</f>
        <v/>
      </c>
      <c r="AA371" s="60" t="str">
        <f>Ringkasan!AA370</f>
        <v>Banks</v>
      </c>
      <c r="AB371" s="64" t="str">
        <f>Ringkasan!AB370</f>
        <v>Financials</v>
      </c>
    </row>
    <row r="372">
      <c r="A372" s="64" t="str">
        <f>Ringkasan!A371</f>
        <v>BMRI</v>
      </c>
      <c r="B372" s="60" t="str">
        <f>Ringkasan!B371</f>
        <v>Bank Mandiri (Persero) Tbk.</v>
      </c>
      <c r="C372" s="61">
        <f>Ringkasan!C371</f>
        <v>4200</v>
      </c>
      <c r="D372" s="60" t="str">
        <f>Ringkasan!D371</f>
        <v>#N/A</v>
      </c>
      <c r="E372" s="60" t="str">
        <f>Ringkasan!E371</f>
        <v>IDX30</v>
      </c>
      <c r="F372" s="60" t="str">
        <f>Ringkasan!F371</f>
        <v>31 Juli 2026</v>
      </c>
      <c r="G372" s="60">
        <f>Ringkasan!G371</f>
        <v>23</v>
      </c>
      <c r="H372" s="62">
        <f>Ringkasan!H371</f>
        <v>6.5</v>
      </c>
      <c r="I372" s="62">
        <f>Ringkasan!I371</f>
        <v>1.2</v>
      </c>
      <c r="J372" s="62">
        <f>Ringkasan!J371</f>
        <v>18.6</v>
      </c>
      <c r="K372" s="62">
        <f>Ringkasan!K371</f>
        <v>2.4</v>
      </c>
      <c r="L372" s="62">
        <f>Ringkasan!L371</f>
        <v>6.8</v>
      </c>
      <c r="M372" s="62">
        <f>Ringkasan!M371</f>
        <v>130</v>
      </c>
      <c r="N372" s="60">
        <f>Ringkasan!N371</f>
        <v>4.93</v>
      </c>
      <c r="O372" s="60">
        <f>Ringkasan!O371</f>
        <v>20.1</v>
      </c>
      <c r="P372" s="60">
        <f>Ringkasan!P371</f>
        <v>98.04</v>
      </c>
      <c r="Q372" s="60">
        <f>Ringkasan!Q371</f>
        <v>0.97</v>
      </c>
      <c r="R372" s="60">
        <f>Ringkasan!R371</f>
        <v>56.46</v>
      </c>
      <c r="S372" s="60">
        <f>Ringkasan!S371</f>
        <v>35.04</v>
      </c>
      <c r="T372" s="60">
        <f>Ringkasan!T371</f>
        <v>6.81</v>
      </c>
      <c r="U372" s="60">
        <f>Ringkasan!U371</f>
        <v>4250</v>
      </c>
      <c r="V372" s="60">
        <f>Ringkasan!V371</f>
        <v>-1.18</v>
      </c>
      <c r="W372" s="60">
        <f>Ringkasan!W371</f>
        <v>4320</v>
      </c>
      <c r="X372" s="60">
        <f>Ringkasan!X371</f>
        <v>4320</v>
      </c>
      <c r="Y372" s="60">
        <f>Ringkasan!Y371</f>
        <v>4200</v>
      </c>
      <c r="Z372" s="60" t="str">
        <f>Ringkasan!Z371</f>
        <v/>
      </c>
      <c r="AA372" s="60" t="str">
        <f>Ringkasan!AA371</f>
        <v>Banks</v>
      </c>
      <c r="AB372" s="64" t="str">
        <f>Ringkasan!AB371</f>
        <v>Financials</v>
      </c>
    </row>
    <row r="373">
      <c r="A373" s="64" t="str">
        <f>Ringkasan!A372</f>
        <v>BMRI</v>
      </c>
      <c r="B373" s="60" t="str">
        <f>Ringkasan!B372</f>
        <v>Bank Mandiri (Persero) Tbk.</v>
      </c>
      <c r="C373" s="61">
        <f>Ringkasan!C372</f>
        <v>4200</v>
      </c>
      <c r="D373" s="60" t="str">
        <f>Ringkasan!D372</f>
        <v>#N/A</v>
      </c>
      <c r="E373" s="60" t="str">
        <f>Ringkasan!E372</f>
        <v>LQ45</v>
      </c>
      <c r="F373" s="60" t="str">
        <f>Ringkasan!F372</f>
        <v>31 Juli 2026</v>
      </c>
      <c r="G373" s="60">
        <f>Ringkasan!G372</f>
        <v>23</v>
      </c>
      <c r="H373" s="62">
        <f>Ringkasan!H372</f>
        <v>6.5</v>
      </c>
      <c r="I373" s="62">
        <f>Ringkasan!I372</f>
        <v>1.2</v>
      </c>
      <c r="J373" s="62">
        <f>Ringkasan!J372</f>
        <v>18.6</v>
      </c>
      <c r="K373" s="62">
        <f>Ringkasan!K372</f>
        <v>2.4</v>
      </c>
      <c r="L373" s="62">
        <f>Ringkasan!L372</f>
        <v>6.8</v>
      </c>
      <c r="M373" s="62">
        <f>Ringkasan!M372</f>
        <v>130</v>
      </c>
      <c r="N373" s="60">
        <f>Ringkasan!N372</f>
        <v>4.93</v>
      </c>
      <c r="O373" s="60">
        <f>Ringkasan!O372</f>
        <v>20.1</v>
      </c>
      <c r="P373" s="60">
        <f>Ringkasan!P372</f>
        <v>98.04</v>
      </c>
      <c r="Q373" s="60">
        <f>Ringkasan!Q372</f>
        <v>0.97</v>
      </c>
      <c r="R373" s="60">
        <f>Ringkasan!R372</f>
        <v>56.46</v>
      </c>
      <c r="S373" s="60">
        <f>Ringkasan!S372</f>
        <v>35.04</v>
      </c>
      <c r="T373" s="60">
        <f>Ringkasan!T372</f>
        <v>6.81</v>
      </c>
      <c r="U373" s="60">
        <f>Ringkasan!U372</f>
        <v>4250</v>
      </c>
      <c r="V373" s="60">
        <f>Ringkasan!V372</f>
        <v>-1.18</v>
      </c>
      <c r="W373" s="60">
        <f>Ringkasan!W372</f>
        <v>4320</v>
      </c>
      <c r="X373" s="60">
        <f>Ringkasan!X372</f>
        <v>4320</v>
      </c>
      <c r="Y373" s="60">
        <f>Ringkasan!Y372</f>
        <v>4200</v>
      </c>
      <c r="Z373" s="60" t="str">
        <f>Ringkasan!Z372</f>
        <v/>
      </c>
      <c r="AA373" s="60" t="str">
        <f>Ringkasan!AA372</f>
        <v>Banks</v>
      </c>
      <c r="AB373" s="64" t="str">
        <f>Ringkasan!AB372</f>
        <v>Financials</v>
      </c>
    </row>
    <row r="374">
      <c r="A374" s="64" t="str">
        <f>Ringkasan!A373</f>
        <v>BMRI</v>
      </c>
      <c r="B374" s="60" t="str">
        <f>Ringkasan!B373</f>
        <v>Bank Mandiri (Persero) Tbk.</v>
      </c>
      <c r="C374" s="61">
        <f>Ringkasan!C373</f>
        <v>4200</v>
      </c>
      <c r="D374" s="60" t="str">
        <f>Ringkasan!D373</f>
        <v>#N/A</v>
      </c>
      <c r="E374" s="60" t="str">
        <f>Ringkasan!E373</f>
        <v>IDX80</v>
      </c>
      <c r="F374" s="60" t="str">
        <f>Ringkasan!F373</f>
        <v>31 Juli 2026</v>
      </c>
      <c r="G374" s="60">
        <f>Ringkasan!G373</f>
        <v>23</v>
      </c>
      <c r="H374" s="62">
        <f>Ringkasan!H373</f>
        <v>6.5</v>
      </c>
      <c r="I374" s="62">
        <f>Ringkasan!I373</f>
        <v>1.2</v>
      </c>
      <c r="J374" s="62">
        <f>Ringkasan!J373</f>
        <v>18.6</v>
      </c>
      <c r="K374" s="62">
        <f>Ringkasan!K373</f>
        <v>2.4</v>
      </c>
      <c r="L374" s="62">
        <f>Ringkasan!L373</f>
        <v>6.8</v>
      </c>
      <c r="M374" s="62">
        <f>Ringkasan!M373</f>
        <v>130</v>
      </c>
      <c r="N374" s="60">
        <f>Ringkasan!N373</f>
        <v>4.93</v>
      </c>
      <c r="O374" s="60">
        <f>Ringkasan!O373</f>
        <v>20.1</v>
      </c>
      <c r="P374" s="60">
        <f>Ringkasan!P373</f>
        <v>98.04</v>
      </c>
      <c r="Q374" s="60">
        <f>Ringkasan!Q373</f>
        <v>0.97</v>
      </c>
      <c r="R374" s="60">
        <f>Ringkasan!R373</f>
        <v>56.46</v>
      </c>
      <c r="S374" s="60">
        <f>Ringkasan!S373</f>
        <v>35.04</v>
      </c>
      <c r="T374" s="60">
        <f>Ringkasan!T373</f>
        <v>6.81</v>
      </c>
      <c r="U374" s="60">
        <f>Ringkasan!U373</f>
        <v>4250</v>
      </c>
      <c r="V374" s="60">
        <f>Ringkasan!V373</f>
        <v>-1.18</v>
      </c>
      <c r="W374" s="60">
        <f>Ringkasan!W373</f>
        <v>4320</v>
      </c>
      <c r="X374" s="60">
        <f>Ringkasan!X373</f>
        <v>4320</v>
      </c>
      <c r="Y374" s="60">
        <f>Ringkasan!Y373</f>
        <v>4200</v>
      </c>
      <c r="Z374" s="60" t="str">
        <f>Ringkasan!Z373</f>
        <v/>
      </c>
      <c r="AA374" s="60" t="str">
        <f>Ringkasan!AA373</f>
        <v>Banks</v>
      </c>
      <c r="AB374" s="64" t="str">
        <f>Ringkasan!AB373</f>
        <v>Financials</v>
      </c>
    </row>
    <row r="375">
      <c r="A375" s="64" t="str">
        <f>Ringkasan!A374</f>
        <v>BMRI</v>
      </c>
      <c r="B375" s="60" t="str">
        <f>Ringkasan!B374</f>
        <v>Bank Mandiri (Persero) Tbk.</v>
      </c>
      <c r="C375" s="61">
        <f>Ringkasan!C374</f>
        <v>4200</v>
      </c>
      <c r="D375" s="60" t="str">
        <f>Ringkasan!D374</f>
        <v>#N/A</v>
      </c>
      <c r="E375" s="60" t="str">
        <f>Ringkasan!E374</f>
        <v>BISNIS-27</v>
      </c>
      <c r="F375" s="60" t="str">
        <f>Ringkasan!F374</f>
        <v>30 Oktober 2026</v>
      </c>
      <c r="G375" s="60">
        <f>Ringkasan!G374</f>
        <v>23</v>
      </c>
      <c r="H375" s="62">
        <f>Ringkasan!H374</f>
        <v>6.5</v>
      </c>
      <c r="I375" s="62">
        <f>Ringkasan!I374</f>
        <v>1.2</v>
      </c>
      <c r="J375" s="62">
        <f>Ringkasan!J374</f>
        <v>18.6</v>
      </c>
      <c r="K375" s="62">
        <f>Ringkasan!K374</f>
        <v>2.4</v>
      </c>
      <c r="L375" s="62">
        <f>Ringkasan!L374</f>
        <v>6.8</v>
      </c>
      <c r="M375" s="62">
        <f>Ringkasan!M374</f>
        <v>130</v>
      </c>
      <c r="N375" s="60">
        <f>Ringkasan!N374</f>
        <v>4.93</v>
      </c>
      <c r="O375" s="60">
        <f>Ringkasan!O374</f>
        <v>20.1</v>
      </c>
      <c r="P375" s="60">
        <f>Ringkasan!P374</f>
        <v>98.04</v>
      </c>
      <c r="Q375" s="60">
        <f>Ringkasan!Q374</f>
        <v>0.97</v>
      </c>
      <c r="R375" s="60">
        <f>Ringkasan!R374</f>
        <v>56.46</v>
      </c>
      <c r="S375" s="60">
        <f>Ringkasan!S374</f>
        <v>35.04</v>
      </c>
      <c r="T375" s="60">
        <f>Ringkasan!T374</f>
        <v>6.81</v>
      </c>
      <c r="U375" s="60">
        <f>Ringkasan!U374</f>
        <v>4250</v>
      </c>
      <c r="V375" s="60">
        <f>Ringkasan!V374</f>
        <v>-1.18</v>
      </c>
      <c r="W375" s="60">
        <f>Ringkasan!W374</f>
        <v>4320</v>
      </c>
      <c r="X375" s="60">
        <f>Ringkasan!X374</f>
        <v>4320</v>
      </c>
      <c r="Y375" s="60">
        <f>Ringkasan!Y374</f>
        <v>4200</v>
      </c>
      <c r="Z375" s="60" t="str">
        <f>Ringkasan!Z374</f>
        <v/>
      </c>
      <c r="AA375" s="60" t="str">
        <f>Ringkasan!AA374</f>
        <v>Banks</v>
      </c>
      <c r="AB375" s="64" t="str">
        <f>Ringkasan!AB374</f>
        <v>Financials</v>
      </c>
    </row>
    <row r="376">
      <c r="A376" s="64" t="str">
        <f>Ringkasan!A375</f>
        <v>BMRI</v>
      </c>
      <c r="B376" s="64" t="str">
        <f>Ringkasan!B375</f>
        <v>Bank Mandiri (Persero) Tbk.</v>
      </c>
      <c r="C376" s="65">
        <f>Ringkasan!C375</f>
        <v>4200</v>
      </c>
      <c r="D376" s="64" t="str">
        <f>Ringkasan!D375</f>
        <v>#N/A</v>
      </c>
      <c r="E376" s="64" t="str">
        <f>Ringkasan!E375</f>
        <v>IDXBUMN20</v>
      </c>
      <c r="F376" s="64" t="str">
        <f>Ringkasan!F375</f>
        <v>4 Agustus 2026</v>
      </c>
      <c r="G376" s="64">
        <f>Ringkasan!G375</f>
        <v>23</v>
      </c>
      <c r="H376" s="19">
        <f>Ringkasan!H375</f>
        <v>6.5</v>
      </c>
      <c r="I376" s="19">
        <f>Ringkasan!I375</f>
        <v>1.2</v>
      </c>
      <c r="J376" s="19">
        <f>Ringkasan!J375</f>
        <v>18.6</v>
      </c>
      <c r="K376" s="19">
        <f>Ringkasan!K375</f>
        <v>2.4</v>
      </c>
      <c r="L376" s="19">
        <f>Ringkasan!L375</f>
        <v>6.8</v>
      </c>
      <c r="M376" s="19">
        <f>Ringkasan!M375</f>
        <v>130</v>
      </c>
      <c r="N376" s="64">
        <f>Ringkasan!N375</f>
        <v>4.93</v>
      </c>
      <c r="O376" s="64">
        <f>Ringkasan!O375</f>
        <v>20.1</v>
      </c>
      <c r="P376" s="64">
        <f>Ringkasan!P375</f>
        <v>98.04</v>
      </c>
      <c r="Q376" s="64">
        <f>Ringkasan!Q375</f>
        <v>0.97</v>
      </c>
      <c r="R376" s="64">
        <f>Ringkasan!R375</f>
        <v>56.46</v>
      </c>
      <c r="S376" s="64">
        <f>Ringkasan!S375</f>
        <v>35.04</v>
      </c>
      <c r="T376" s="64">
        <f>Ringkasan!T375</f>
        <v>6.81</v>
      </c>
      <c r="U376" s="64">
        <f>Ringkasan!U375</f>
        <v>4250</v>
      </c>
      <c r="V376" s="64">
        <f>Ringkasan!V375</f>
        <v>-1.18</v>
      </c>
      <c r="W376" s="64">
        <f>Ringkasan!W375</f>
        <v>4320</v>
      </c>
      <c r="X376" s="64">
        <f>Ringkasan!X375</f>
        <v>4320</v>
      </c>
      <c r="Y376" s="64">
        <f>Ringkasan!Y375</f>
        <v>4200</v>
      </c>
      <c r="Z376" s="64" t="str">
        <f>Ringkasan!Z375</f>
        <v/>
      </c>
      <c r="AA376" s="64" t="str">
        <f>Ringkasan!AA375</f>
        <v>Banks</v>
      </c>
      <c r="AB376" s="64" t="str">
        <f>Ringkasan!AB375</f>
        <v>Financials</v>
      </c>
    </row>
    <row r="377">
      <c r="A377" s="64" t="str">
        <f>Ringkasan!A376</f>
        <v>BMRI</v>
      </c>
      <c r="B377" s="64" t="str">
        <f>Ringkasan!B376</f>
        <v>Bank Mandiri (Persero) Tbk.</v>
      </c>
      <c r="C377" s="65">
        <f>Ringkasan!C376</f>
        <v>4200</v>
      </c>
      <c r="D377" s="64" t="str">
        <f>Ringkasan!D376</f>
        <v>#N/A</v>
      </c>
      <c r="E377" s="64" t="str">
        <f>Ringkasan!E376</f>
        <v>Pefindo - iGrade</v>
      </c>
      <c r="F377" s="64" t="str">
        <f>Ringkasan!F376</f>
        <v>30 Juni 2026</v>
      </c>
      <c r="G377" s="64">
        <f>Ringkasan!G376</f>
        <v>23</v>
      </c>
      <c r="H377" s="19">
        <f>Ringkasan!H376</f>
        <v>6.5</v>
      </c>
      <c r="I377" s="19">
        <f>Ringkasan!I376</f>
        <v>1.2</v>
      </c>
      <c r="J377" s="19">
        <f>Ringkasan!J376</f>
        <v>18.6</v>
      </c>
      <c r="K377" s="19">
        <f>Ringkasan!K376</f>
        <v>2.4</v>
      </c>
      <c r="L377" s="19">
        <f>Ringkasan!L376</f>
        <v>6.8</v>
      </c>
      <c r="M377" s="19">
        <f>Ringkasan!M376</f>
        <v>130</v>
      </c>
      <c r="N377" s="64">
        <f>Ringkasan!N376</f>
        <v>4.93</v>
      </c>
      <c r="O377" s="64">
        <f>Ringkasan!O376</f>
        <v>20.1</v>
      </c>
      <c r="P377" s="64">
        <f>Ringkasan!P376</f>
        <v>98.04</v>
      </c>
      <c r="Q377" s="64">
        <f>Ringkasan!Q376</f>
        <v>0.97</v>
      </c>
      <c r="R377" s="64">
        <f>Ringkasan!R376</f>
        <v>56.46</v>
      </c>
      <c r="S377" s="64">
        <f>Ringkasan!S376</f>
        <v>35.04</v>
      </c>
      <c r="T377" s="64">
        <f>Ringkasan!T376</f>
        <v>6.81</v>
      </c>
      <c r="U377" s="64">
        <f>Ringkasan!U376</f>
        <v>4250</v>
      </c>
      <c r="V377" s="64">
        <f>Ringkasan!V376</f>
        <v>-1.18</v>
      </c>
      <c r="W377" s="64">
        <f>Ringkasan!W376</f>
        <v>4320</v>
      </c>
      <c r="X377" s="64">
        <f>Ringkasan!X376</f>
        <v>4320</v>
      </c>
      <c r="Y377" s="64">
        <f>Ringkasan!Y376</f>
        <v>4200</v>
      </c>
      <c r="Z377" s="64" t="str">
        <f>Ringkasan!Z376</f>
        <v/>
      </c>
      <c r="AA377" s="64" t="str">
        <f>Ringkasan!AA376</f>
        <v>Banks</v>
      </c>
      <c r="AB377" s="64" t="str">
        <f>Ringkasan!AB376</f>
        <v>Financials</v>
      </c>
    </row>
    <row r="378">
      <c r="A378" s="64" t="str">
        <f>Ringkasan!A377</f>
        <v>BMRI</v>
      </c>
      <c r="B378" s="64" t="str">
        <f>Ringkasan!B377</f>
        <v>Bank Mandiri (Persero) Tbk.</v>
      </c>
      <c r="C378" s="65">
        <f>Ringkasan!C377</f>
        <v>4200</v>
      </c>
      <c r="D378" s="64" t="str">
        <f>Ringkasan!D377</f>
        <v>#N/A</v>
      </c>
      <c r="E378" s="64" t="str">
        <f>Ringkasan!E377</f>
        <v>ECONOMIC30</v>
      </c>
      <c r="F378" s="64" t="str">
        <f>Ringkasan!F377</f>
        <v>31 Agustus 2026</v>
      </c>
      <c r="G378" s="64">
        <f>Ringkasan!G377</f>
        <v>23</v>
      </c>
      <c r="H378" s="19">
        <f>Ringkasan!H377</f>
        <v>6.5</v>
      </c>
      <c r="I378" s="19">
        <f>Ringkasan!I377</f>
        <v>1.2</v>
      </c>
      <c r="J378" s="19">
        <f>Ringkasan!J377</f>
        <v>18.6</v>
      </c>
      <c r="K378" s="19">
        <f>Ringkasan!K377</f>
        <v>2.4</v>
      </c>
      <c r="L378" s="19">
        <f>Ringkasan!L377</f>
        <v>6.8</v>
      </c>
      <c r="M378" s="19">
        <f>Ringkasan!M377</f>
        <v>130</v>
      </c>
      <c r="N378" s="64">
        <f>Ringkasan!N377</f>
        <v>4.93</v>
      </c>
      <c r="O378" s="64">
        <f>Ringkasan!O377</f>
        <v>20.1</v>
      </c>
      <c r="P378" s="64">
        <f>Ringkasan!P377</f>
        <v>98.04</v>
      </c>
      <c r="Q378" s="64">
        <f>Ringkasan!Q377</f>
        <v>0.97</v>
      </c>
      <c r="R378" s="64">
        <f>Ringkasan!R377</f>
        <v>56.46</v>
      </c>
      <c r="S378" s="64">
        <f>Ringkasan!S377</f>
        <v>35.04</v>
      </c>
      <c r="T378" s="64">
        <f>Ringkasan!T377</f>
        <v>6.81</v>
      </c>
      <c r="U378" s="64">
        <f>Ringkasan!U377</f>
        <v>4250</v>
      </c>
      <c r="V378" s="64">
        <f>Ringkasan!V377</f>
        <v>-1.18</v>
      </c>
      <c r="W378" s="64">
        <f>Ringkasan!W377</f>
        <v>4320</v>
      </c>
      <c r="X378" s="64">
        <f>Ringkasan!X377</f>
        <v>4320</v>
      </c>
      <c r="Y378" s="64">
        <f>Ringkasan!Y377</f>
        <v>4200</v>
      </c>
      <c r="Z378" s="64" t="str">
        <f>Ringkasan!Z377</f>
        <v/>
      </c>
      <c r="AA378" s="64" t="str">
        <f>Ringkasan!AA377</f>
        <v>Banks</v>
      </c>
      <c r="AB378" s="64" t="str">
        <f>Ringkasan!AB377</f>
        <v>Financials</v>
      </c>
    </row>
    <row r="379">
      <c r="A379" s="64" t="str">
        <f>Ringkasan!A378</f>
        <v>BMRI</v>
      </c>
      <c r="B379" s="64" t="str">
        <f>Ringkasan!B378</f>
        <v>Bank Mandiri (Persero) Tbk.</v>
      </c>
      <c r="C379" s="65">
        <f>Ringkasan!C378</f>
        <v>4200</v>
      </c>
      <c r="D379" s="64" t="str">
        <f>Ringkasan!D378</f>
        <v>#N/A</v>
      </c>
      <c r="E379" s="64" t="str">
        <f>Ringkasan!E378</f>
        <v>PRIMBANK-10</v>
      </c>
      <c r="F379" s="64" t="str">
        <f>Ringkasan!F378</f>
        <v>30 Juni 2026</v>
      </c>
      <c r="G379" s="64">
        <f>Ringkasan!G378</f>
        <v>23</v>
      </c>
      <c r="H379" s="19">
        <f>Ringkasan!H378</f>
        <v>6.5</v>
      </c>
      <c r="I379" s="19">
        <f>Ringkasan!I378</f>
        <v>1.2</v>
      </c>
      <c r="J379" s="19">
        <f>Ringkasan!J378</f>
        <v>18.6</v>
      </c>
      <c r="K379" s="19">
        <f>Ringkasan!K378</f>
        <v>2.4</v>
      </c>
      <c r="L379" s="19">
        <f>Ringkasan!L378</f>
        <v>6.8</v>
      </c>
      <c r="M379" s="19">
        <f>Ringkasan!M378</f>
        <v>130</v>
      </c>
      <c r="N379" s="64">
        <f>Ringkasan!N378</f>
        <v>4.93</v>
      </c>
      <c r="O379" s="64">
        <f>Ringkasan!O378</f>
        <v>20.1</v>
      </c>
      <c r="P379" s="64">
        <f>Ringkasan!P378</f>
        <v>98.04</v>
      </c>
      <c r="Q379" s="64">
        <f>Ringkasan!Q378</f>
        <v>0.97</v>
      </c>
      <c r="R379" s="64">
        <f>Ringkasan!R378</f>
        <v>56.46</v>
      </c>
      <c r="S379" s="64">
        <f>Ringkasan!S378</f>
        <v>35.04</v>
      </c>
      <c r="T379" s="64">
        <f>Ringkasan!T378</f>
        <v>6.81</v>
      </c>
      <c r="U379" s="64">
        <f>Ringkasan!U378</f>
        <v>4250</v>
      </c>
      <c r="V379" s="64">
        <f>Ringkasan!V378</f>
        <v>-1.18</v>
      </c>
      <c r="W379" s="64">
        <f>Ringkasan!W378</f>
        <v>4320</v>
      </c>
      <c r="X379" s="64">
        <f>Ringkasan!X378</f>
        <v>4320</v>
      </c>
      <c r="Y379" s="64">
        <f>Ringkasan!Y378</f>
        <v>4200</v>
      </c>
      <c r="Z379" s="64" t="str">
        <f>Ringkasan!Z378</f>
        <v/>
      </c>
      <c r="AA379" s="64" t="str">
        <f>Ringkasan!AA378</f>
        <v>Banks</v>
      </c>
      <c r="AB379" s="64" t="str">
        <f>Ringkasan!AB378</f>
        <v>Financials</v>
      </c>
    </row>
    <row r="380">
      <c r="A380" s="64" t="str">
        <f>Ringkasan!A379</f>
        <v>BMRI</v>
      </c>
      <c r="B380" s="64" t="str">
        <f>Ringkasan!B379</f>
        <v>Bank Mandiri (Persero) Tbk.</v>
      </c>
      <c r="C380" s="65">
        <f>Ringkasan!C379</f>
        <v>4200</v>
      </c>
      <c r="D380" s="64" t="str">
        <f>Ringkasan!D379</f>
        <v>#N/A</v>
      </c>
      <c r="E380" s="64" t="str">
        <f>Ringkasan!E379</f>
        <v>SRI-KEHATI</v>
      </c>
      <c r="F380" s="66">
        <f>Ringkasan!F379</f>
        <v>46356</v>
      </c>
      <c r="G380" s="64">
        <f>Ringkasan!G379</f>
        <v>23</v>
      </c>
      <c r="H380" s="19">
        <f>Ringkasan!H379</f>
        <v>6.5</v>
      </c>
      <c r="I380" s="19">
        <f>Ringkasan!I379</f>
        <v>1.2</v>
      </c>
      <c r="J380" s="19">
        <f>Ringkasan!J379</f>
        <v>18.6</v>
      </c>
      <c r="K380" s="19">
        <f>Ringkasan!K379</f>
        <v>2.4</v>
      </c>
      <c r="L380" s="19">
        <f>Ringkasan!L379</f>
        <v>6.8</v>
      </c>
      <c r="M380" s="19">
        <f>Ringkasan!M379</f>
        <v>130</v>
      </c>
      <c r="N380" s="64">
        <f>Ringkasan!N379</f>
        <v>4.93</v>
      </c>
      <c r="O380" s="64">
        <f>Ringkasan!O379</f>
        <v>20.1</v>
      </c>
      <c r="P380" s="64">
        <f>Ringkasan!P379</f>
        <v>98.04</v>
      </c>
      <c r="Q380" s="64">
        <f>Ringkasan!Q379</f>
        <v>0.97</v>
      </c>
      <c r="R380" s="64">
        <f>Ringkasan!R379</f>
        <v>56.46</v>
      </c>
      <c r="S380" s="64">
        <f>Ringkasan!S379</f>
        <v>35.04</v>
      </c>
      <c r="T380" s="64">
        <f>Ringkasan!T379</f>
        <v>6.81</v>
      </c>
      <c r="U380" s="64">
        <f>Ringkasan!U379</f>
        <v>4250</v>
      </c>
      <c r="V380" s="64">
        <f>Ringkasan!V379</f>
        <v>-1.18</v>
      </c>
      <c r="W380" s="64">
        <f>Ringkasan!W379</f>
        <v>4320</v>
      </c>
      <c r="X380" s="64">
        <f>Ringkasan!X379</f>
        <v>4320</v>
      </c>
      <c r="Y380" s="64">
        <f>Ringkasan!Y379</f>
        <v>4200</v>
      </c>
      <c r="Z380" s="64" t="str">
        <f>Ringkasan!Z379</f>
        <v/>
      </c>
      <c r="AA380" s="64" t="str">
        <f>Ringkasan!AA379</f>
        <v>Banks</v>
      </c>
      <c r="AB380" s="64" t="str">
        <f>Ringkasan!AB379</f>
        <v>Financials</v>
      </c>
    </row>
    <row r="381">
      <c r="A381" s="64" t="str">
        <f>Ringkasan!A380</f>
        <v>BMRI</v>
      </c>
      <c r="B381" s="64" t="str">
        <f>Ringkasan!B380</f>
        <v>Bank Mandiri (Persero) Tbk.</v>
      </c>
      <c r="C381" s="65">
        <f>Ringkasan!C380</f>
        <v>4200</v>
      </c>
      <c r="D381" s="64" t="str">
        <f>Ringkasan!D380</f>
        <v>#N/A</v>
      </c>
      <c r="E381" s="64" t="str">
        <f>Ringkasan!E380</f>
        <v>Investor33</v>
      </c>
      <c r="F381" s="66">
        <f>Ringkasan!F380</f>
        <v>46356</v>
      </c>
      <c r="G381" s="64">
        <f>Ringkasan!G380</f>
        <v>23</v>
      </c>
      <c r="H381" s="19">
        <f>Ringkasan!H380</f>
        <v>6.5</v>
      </c>
      <c r="I381" s="19">
        <f>Ringkasan!I380</f>
        <v>1.2</v>
      </c>
      <c r="J381" s="19">
        <f>Ringkasan!J380</f>
        <v>18.6</v>
      </c>
      <c r="K381" s="19">
        <f>Ringkasan!K380</f>
        <v>2.4</v>
      </c>
      <c r="L381" s="19">
        <f>Ringkasan!L380</f>
        <v>6.8</v>
      </c>
      <c r="M381" s="19">
        <f>Ringkasan!M380</f>
        <v>130</v>
      </c>
      <c r="N381" s="64">
        <f>Ringkasan!N380</f>
        <v>4.93</v>
      </c>
      <c r="O381" s="64">
        <f>Ringkasan!O380</f>
        <v>20.1</v>
      </c>
      <c r="P381" s="64">
        <f>Ringkasan!P380</f>
        <v>98.04</v>
      </c>
      <c r="Q381" s="64">
        <f>Ringkasan!Q380</f>
        <v>0.97</v>
      </c>
      <c r="R381" s="64">
        <f>Ringkasan!R380</f>
        <v>56.46</v>
      </c>
      <c r="S381" s="64">
        <f>Ringkasan!S380</f>
        <v>35.04</v>
      </c>
      <c r="T381" s="64">
        <f>Ringkasan!T380</f>
        <v>6.81</v>
      </c>
      <c r="U381" s="64">
        <f>Ringkasan!U380</f>
        <v>4250</v>
      </c>
      <c r="V381" s="64">
        <f>Ringkasan!V380</f>
        <v>-1.18</v>
      </c>
      <c r="W381" s="64">
        <f>Ringkasan!W380</f>
        <v>4320</v>
      </c>
      <c r="X381" s="64">
        <f>Ringkasan!X380</f>
        <v>4320</v>
      </c>
      <c r="Y381" s="64">
        <f>Ringkasan!Y380</f>
        <v>4200</v>
      </c>
      <c r="Z381" s="64" t="str">
        <f>Ringkasan!Z380</f>
        <v/>
      </c>
      <c r="AA381" s="64" t="str">
        <f>Ringkasan!AA380</f>
        <v>Banks</v>
      </c>
      <c r="AB381" s="64" t="str">
        <f>Ringkasan!AB380</f>
        <v>Financials</v>
      </c>
    </row>
    <row r="382" hidden="1">
      <c r="A382" s="64" t="str">
        <f>Ringkasan!A381</f>
        <v>BMSR</v>
      </c>
      <c r="B382" s="64" t="str">
        <f>Ringkasan!B381</f>
        <v>Bintang Mitra Semestaraya Tbk</v>
      </c>
      <c r="C382" s="65">
        <f>Ringkasan!C381</f>
        <v>288</v>
      </c>
      <c r="D382" s="64" t="str">
        <f>Ringkasan!D381</f>
        <v>#N/A</v>
      </c>
      <c r="E382" s="64" t="str">
        <f>Ringkasan!E381</f>
        <v/>
      </c>
      <c r="F382" s="64" t="str">
        <f>Ringkasan!F381</f>
        <v/>
      </c>
      <c r="G382" s="64">
        <f>Ringkasan!G381</f>
        <v>0</v>
      </c>
      <c r="H382" s="19">
        <f>Ringkasan!H381</f>
        <v>3.5</v>
      </c>
      <c r="I382" s="19">
        <f>Ringkasan!I381</f>
        <v>0.38</v>
      </c>
      <c r="J382" s="19">
        <f>Ringkasan!J381</f>
        <v>10.8</v>
      </c>
      <c r="K382" s="19">
        <f>Ringkasan!K381</f>
        <v>6.1</v>
      </c>
      <c r="L382" s="19">
        <f>Ringkasan!L381</f>
        <v>0.78</v>
      </c>
      <c r="M382" s="19">
        <f>Ringkasan!M381</f>
        <v>13.4</v>
      </c>
      <c r="N382" s="64" t="str">
        <f>Ringkasan!N381</f>
        <v/>
      </c>
      <c r="O382" s="64" t="str">
        <f>Ringkasan!O381</f>
        <v/>
      </c>
      <c r="P382" s="64" t="str">
        <f>Ringkasan!P381</f>
        <v/>
      </c>
      <c r="Q382" s="64" t="str">
        <f>Ringkasan!Q381</f>
        <v/>
      </c>
      <c r="R382" s="64" t="str">
        <f>Ringkasan!R381</f>
        <v/>
      </c>
      <c r="S382" s="64" t="str">
        <f>Ringkasan!S381</f>
        <v/>
      </c>
      <c r="T382" s="64" t="str">
        <f>Ringkasan!T381</f>
        <v/>
      </c>
      <c r="U382" s="64">
        <f>Ringkasan!U381</f>
        <v>262</v>
      </c>
      <c r="V382" s="64" t="str">
        <f>Ringkasan!V381</f>
        <v/>
      </c>
      <c r="W382" s="64">
        <f>Ringkasan!W381</f>
        <v>290</v>
      </c>
      <c r="X382" s="64">
        <f>Ringkasan!X381</f>
        <v>300</v>
      </c>
      <c r="Y382" s="64">
        <f>Ringkasan!Y381</f>
        <v>264</v>
      </c>
      <c r="Z382" s="64">
        <f>Ringkasan!Z381</f>
        <v>50400</v>
      </c>
      <c r="AA382" s="64" t="str">
        <f>Ringkasan!AA381</f>
        <v>Chemicals</v>
      </c>
      <c r="AB382" s="64" t="str">
        <f>Ringkasan!AB381</f>
        <v>Basic Materials</v>
      </c>
    </row>
    <row r="383" hidden="1">
      <c r="A383" s="64" t="str">
        <f>Ringkasan!A382</f>
        <v>BMTR</v>
      </c>
      <c r="B383" s="64" t="str">
        <f>Ringkasan!B382</f>
        <v>PT Global Mediacom Tbk</v>
      </c>
      <c r="C383" s="65">
        <f>Ringkasan!C382</f>
        <v>119</v>
      </c>
      <c r="D383" s="64" t="str">
        <f>Ringkasan!D382</f>
        <v>#N/A</v>
      </c>
      <c r="E383" s="64" t="str">
        <f>Ringkasan!E382</f>
        <v/>
      </c>
      <c r="F383" s="64" t="str">
        <f>Ringkasan!F382</f>
        <v/>
      </c>
      <c r="G383" s="64">
        <f>Ringkasan!G382</f>
        <v>0</v>
      </c>
      <c r="H383" s="19">
        <f>Ringkasan!H382</f>
        <v>2.5</v>
      </c>
      <c r="I383" s="19">
        <f>Ringkasan!I382</f>
        <v>0.07</v>
      </c>
      <c r="J383" s="19">
        <f>Ringkasan!J382</f>
        <v>2.9</v>
      </c>
      <c r="K383" s="19">
        <f>Ringkasan!K382</f>
        <v>2.4</v>
      </c>
      <c r="L383" s="19">
        <f>Ringkasan!L382</f>
        <v>0.23</v>
      </c>
      <c r="M383" s="19">
        <f>Ringkasan!M382</f>
        <v>35.3</v>
      </c>
      <c r="N383" s="64" t="str">
        <f>Ringkasan!N382</f>
        <v/>
      </c>
      <c r="O383" s="64" t="str">
        <f>Ringkasan!O382</f>
        <v/>
      </c>
      <c r="P383" s="64" t="str">
        <f>Ringkasan!P382</f>
        <v/>
      </c>
      <c r="Q383" s="64" t="str">
        <f>Ringkasan!Q382</f>
        <v/>
      </c>
      <c r="R383" s="64" t="str">
        <f>Ringkasan!R382</f>
        <v/>
      </c>
      <c r="S383" s="64" t="str">
        <f>Ringkasan!S382</f>
        <v/>
      </c>
      <c r="T383" s="64" t="str">
        <f>Ringkasan!T382</f>
        <v/>
      </c>
      <c r="U383" s="64">
        <f>Ringkasan!U382</f>
        <v>114</v>
      </c>
      <c r="V383" s="64">
        <f>Ringkasan!V382</f>
        <v>4.39</v>
      </c>
      <c r="W383" s="64">
        <f>Ringkasan!W382</f>
        <v>114</v>
      </c>
      <c r="X383" s="64">
        <f>Ringkasan!X382</f>
        <v>119</v>
      </c>
      <c r="Y383" s="64">
        <f>Ringkasan!Y382</f>
        <v>114</v>
      </c>
      <c r="Z383" s="64">
        <f>Ringkasan!Z382</f>
        <v>26107800</v>
      </c>
      <c r="AA383" s="64" t="str">
        <f>Ringkasan!AA382</f>
        <v>Multi-sector Holdings</v>
      </c>
      <c r="AB383" s="64" t="str">
        <f>Ringkasan!AB382</f>
        <v>Industrials</v>
      </c>
    </row>
    <row r="384" hidden="1">
      <c r="A384" s="64" t="str">
        <f>Ringkasan!A383</f>
        <v>BNBA</v>
      </c>
      <c r="B384" s="64" t="str">
        <f>Ringkasan!B383</f>
        <v>Bank Bumi Arta Tbk</v>
      </c>
      <c r="C384" s="65">
        <f>Ringkasan!C383</f>
        <v>785</v>
      </c>
      <c r="D384" s="64" t="str">
        <f>Ringkasan!D383</f>
        <v>#N/A</v>
      </c>
      <c r="E384" s="64" t="str">
        <f>Ringkasan!E383</f>
        <v/>
      </c>
      <c r="F384" s="64" t="str">
        <f>Ringkasan!F383</f>
        <v/>
      </c>
      <c r="G384" s="64">
        <f>Ringkasan!G383</f>
        <v>0</v>
      </c>
      <c r="H384" s="19">
        <f>Ringkasan!H383</f>
        <v>1000</v>
      </c>
      <c r="I384" s="19">
        <f>Ringkasan!I383</f>
        <v>0.7</v>
      </c>
      <c r="J384" s="19">
        <f>Ringkasan!J383</f>
        <v>0.07</v>
      </c>
      <c r="K384" s="19">
        <f>Ringkasan!K383</f>
        <v>0.03</v>
      </c>
      <c r="L384" s="19">
        <f>Ringkasan!L383</f>
        <v>1.6</v>
      </c>
      <c r="M384" s="19">
        <f>Ringkasan!M383</f>
        <v>1.8</v>
      </c>
      <c r="N384" s="64">
        <f>Ringkasan!N383</f>
        <v>3.42</v>
      </c>
      <c r="O384" s="64">
        <f>Ringkasan!O383</f>
        <v>34.15</v>
      </c>
      <c r="P384" s="64">
        <f>Ringkasan!P383</f>
        <v>77.12</v>
      </c>
      <c r="Q384" s="64">
        <f>Ringkasan!Q383</f>
        <v>3.05</v>
      </c>
      <c r="R384" s="64">
        <f>Ringkasan!R383</f>
        <v>94.12</v>
      </c>
      <c r="S384" s="64">
        <f>Ringkasan!S383</f>
        <v>78.15</v>
      </c>
      <c r="T384" s="64">
        <f>Ringkasan!T383</f>
        <v>10.4</v>
      </c>
      <c r="U384" s="64">
        <f>Ringkasan!U383</f>
        <v>39.76</v>
      </c>
      <c r="V384" s="64">
        <f>Ringkasan!V383</f>
        <v>-0.05</v>
      </c>
      <c r="W384" s="64">
        <f>Ringkasan!W383</f>
        <v>39.74</v>
      </c>
      <c r="X384" s="64">
        <f>Ringkasan!X383</f>
        <v>39.74</v>
      </c>
      <c r="Y384" s="64">
        <f>Ringkasan!Y383</f>
        <v>39.74</v>
      </c>
      <c r="Z384" s="64">
        <f>Ringkasan!Z383</f>
        <v>0</v>
      </c>
      <c r="AA384" s="64" t="str">
        <f>Ringkasan!AA383</f>
        <v>Banks</v>
      </c>
      <c r="AB384" s="64" t="str">
        <f>Ringkasan!AB383</f>
        <v>Financials</v>
      </c>
    </row>
    <row r="385" hidden="1">
      <c r="A385" s="64" t="str">
        <f>Ringkasan!A384</f>
        <v>BNBR</v>
      </c>
      <c r="B385" s="64" t="str">
        <f>Ringkasan!B384</f>
        <v>Bakrie &amp; Brothers Tbk</v>
      </c>
      <c r="C385" s="65">
        <f>Ringkasan!C384</f>
        <v>110</v>
      </c>
      <c r="D385" s="64" t="str">
        <f>Ringkasan!D384</f>
        <v>#N/A</v>
      </c>
      <c r="E385" s="64" t="str">
        <f>Ringkasan!E384</f>
        <v/>
      </c>
      <c r="F385" s="64" t="str">
        <f>Ringkasan!F384</f>
        <v/>
      </c>
      <c r="G385" s="64">
        <f>Ringkasan!G384</f>
        <v>0</v>
      </c>
      <c r="H385" s="19">
        <f>Ringkasan!H384</f>
        <v>50.3</v>
      </c>
      <c r="I385" s="19">
        <f>Ringkasan!I384</f>
        <v>4.6</v>
      </c>
      <c r="J385" s="19">
        <f>Ringkasan!J384</f>
        <v>9.2</v>
      </c>
      <c r="K385" s="19">
        <f>Ringkasan!K384</f>
        <v>1.8</v>
      </c>
      <c r="L385" s="19">
        <f>Ringkasan!L384</f>
        <v>4</v>
      </c>
      <c r="M385" s="19">
        <f>Ringkasan!M384</f>
        <v>39.2</v>
      </c>
      <c r="N385" s="64" t="str">
        <f>Ringkasan!N384</f>
        <v/>
      </c>
      <c r="O385" s="64" t="str">
        <f>Ringkasan!O384</f>
        <v/>
      </c>
      <c r="P385" s="64" t="str">
        <f>Ringkasan!P384</f>
        <v/>
      </c>
      <c r="Q385" s="64" t="str">
        <f>Ringkasan!Q384</f>
        <v/>
      </c>
      <c r="R385" s="64" t="str">
        <f>Ringkasan!R384</f>
        <v/>
      </c>
      <c r="S385" s="64" t="str">
        <f>Ringkasan!S384</f>
        <v/>
      </c>
      <c r="T385" s="64" t="str">
        <f>Ringkasan!T384</f>
        <v/>
      </c>
      <c r="U385" s="64">
        <f>Ringkasan!U384</f>
        <v>98</v>
      </c>
      <c r="V385" s="64">
        <f>Ringkasan!V384</f>
        <v>12.24</v>
      </c>
      <c r="W385" s="64">
        <f>Ringkasan!W384</f>
        <v>100</v>
      </c>
      <c r="X385" s="64">
        <f>Ringkasan!X384</f>
        <v>114</v>
      </c>
      <c r="Y385" s="64">
        <f>Ringkasan!Y384</f>
        <v>100</v>
      </c>
      <c r="Z385" s="64">
        <f>Ringkasan!Z384</f>
        <v>1977937700</v>
      </c>
      <c r="AA385" s="64" t="str">
        <f>Ringkasan!AA384</f>
        <v>Multi-sector Holdings</v>
      </c>
      <c r="AB385" s="64" t="str">
        <f>Ringkasan!AB384</f>
        <v>Industrials</v>
      </c>
    </row>
    <row r="386" hidden="1">
      <c r="A386" s="64" t="str">
        <f>Ringkasan!A385</f>
        <v>BNGA</v>
      </c>
      <c r="B386" s="64" t="str">
        <f>Ringkasan!B385</f>
        <v>PT Bank CIMB Niaga Tbk</v>
      </c>
      <c r="C386" s="67">
        <f>Ringkasan!C385</f>
        <v>1550</v>
      </c>
      <c r="D386" s="22" t="str">
        <f>Ringkasan!D385</f>
        <v>#N/A</v>
      </c>
      <c r="E386" s="64" t="str">
        <f>Ringkasan!E385</f>
        <v>Infobank15</v>
      </c>
      <c r="F386" s="64" t="str">
        <f>Ringkasan!F385</f>
        <v>30 Juni 2026</v>
      </c>
      <c r="G386" s="64">
        <f>Ringkasan!G385</f>
        <v>5</v>
      </c>
      <c r="H386" s="19">
        <f>Ringkasan!H385</f>
        <v>5.9</v>
      </c>
      <c r="I386" s="19">
        <f>Ringkasan!I385</f>
        <v>0.69</v>
      </c>
      <c r="J386" s="19">
        <f>Ringkasan!J385</f>
        <v>11.6</v>
      </c>
      <c r="K386" s="19">
        <f>Ringkasan!K385</f>
        <v>1.9</v>
      </c>
      <c r="L386" s="19">
        <f>Ringkasan!L385</f>
        <v>5.2</v>
      </c>
      <c r="M386" s="19">
        <f>Ringkasan!M385</f>
        <v>110</v>
      </c>
      <c r="N386" s="64">
        <f>Ringkasan!N385</f>
        <v>4.37</v>
      </c>
      <c r="O386" s="64">
        <f>Ringkasan!O385</f>
        <v>24.83</v>
      </c>
      <c r="P386" s="64">
        <f>Ringkasan!P385</f>
        <v>86.81</v>
      </c>
      <c r="Q386" s="64">
        <f>Ringkasan!Q385</f>
        <v>2.05</v>
      </c>
      <c r="R386" s="64">
        <f>Ringkasan!R385</f>
        <v>73.11</v>
      </c>
      <c r="S386" s="64">
        <f>Ringkasan!S385</f>
        <v>45.21</v>
      </c>
      <c r="T386" s="64">
        <f>Ringkasan!T385</f>
        <v>10.03</v>
      </c>
      <c r="U386" s="22">
        <f>Ringkasan!U385</f>
        <v>1525</v>
      </c>
      <c r="V386" s="22">
        <f>Ringkasan!V385</f>
        <v>1.64</v>
      </c>
      <c r="W386" s="22">
        <f>Ringkasan!W385</f>
        <v>1525</v>
      </c>
      <c r="X386" s="22">
        <f>Ringkasan!X385</f>
        <v>1560</v>
      </c>
      <c r="Y386" s="22">
        <f>Ringkasan!Y385</f>
        <v>1525</v>
      </c>
      <c r="Z386" s="22">
        <f>Ringkasan!Z385</f>
        <v>4464900</v>
      </c>
      <c r="AA386" s="64" t="str">
        <f>Ringkasan!AA385</f>
        <v>Banks</v>
      </c>
      <c r="AB386" s="64" t="str">
        <f>Ringkasan!AB385</f>
        <v>Financials</v>
      </c>
    </row>
    <row r="387" hidden="1">
      <c r="A387" s="64" t="str">
        <f>Ringkasan!A386</f>
        <v>BNGA</v>
      </c>
      <c r="B387" s="64" t="str">
        <f>Ringkasan!B386</f>
        <v>PT Bank CIMB Niaga Tbk</v>
      </c>
      <c r="C387" s="67">
        <f>Ringkasan!C386</f>
        <v>1550</v>
      </c>
      <c r="D387" s="22" t="str">
        <f>Ringkasan!D386</f>
        <v>#N/A</v>
      </c>
      <c r="E387" s="64" t="str">
        <f>Ringkasan!E386</f>
        <v>MNC36</v>
      </c>
      <c r="F387" s="64" t="str">
        <f>Ringkasan!F386</f>
        <v>30 Oktober 2026</v>
      </c>
      <c r="G387" s="64">
        <f>Ringkasan!G386</f>
        <v>5</v>
      </c>
      <c r="H387" s="19">
        <f>Ringkasan!H386</f>
        <v>5.9</v>
      </c>
      <c r="I387" s="19">
        <f>Ringkasan!I386</f>
        <v>0.69</v>
      </c>
      <c r="J387" s="19">
        <f>Ringkasan!J386</f>
        <v>11.6</v>
      </c>
      <c r="K387" s="19">
        <f>Ringkasan!K386</f>
        <v>1.9</v>
      </c>
      <c r="L387" s="19">
        <f>Ringkasan!L386</f>
        <v>5.2</v>
      </c>
      <c r="M387" s="19">
        <f>Ringkasan!M386</f>
        <v>110</v>
      </c>
      <c r="N387" s="64">
        <f>Ringkasan!N386</f>
        <v>4.37</v>
      </c>
      <c r="O387" s="64">
        <f>Ringkasan!O386</f>
        <v>24.83</v>
      </c>
      <c r="P387" s="64">
        <f>Ringkasan!P386</f>
        <v>86.81</v>
      </c>
      <c r="Q387" s="64">
        <f>Ringkasan!Q386</f>
        <v>2.05</v>
      </c>
      <c r="R387" s="64">
        <f>Ringkasan!R386</f>
        <v>73.11</v>
      </c>
      <c r="S387" s="64">
        <f>Ringkasan!S386</f>
        <v>45.21</v>
      </c>
      <c r="T387" s="64">
        <f>Ringkasan!T386</f>
        <v>10.03</v>
      </c>
      <c r="U387" s="22">
        <f>Ringkasan!U386</f>
        <v>1525</v>
      </c>
      <c r="V387" s="22">
        <f>Ringkasan!V386</f>
        <v>1.64</v>
      </c>
      <c r="W387" s="22">
        <f>Ringkasan!W386</f>
        <v>1525</v>
      </c>
      <c r="X387" s="22">
        <f>Ringkasan!X386</f>
        <v>1560</v>
      </c>
      <c r="Y387" s="22">
        <f>Ringkasan!Y386</f>
        <v>1525</v>
      </c>
      <c r="Z387" s="22">
        <f>Ringkasan!Z386</f>
        <v>4464900</v>
      </c>
      <c r="AA387" s="64" t="str">
        <f>Ringkasan!AA386</f>
        <v>Banks</v>
      </c>
      <c r="AB387" s="64" t="str">
        <f>Ringkasan!AB386</f>
        <v>Financials</v>
      </c>
    </row>
    <row r="388" hidden="1">
      <c r="A388" s="64" t="str">
        <f>Ringkasan!A387</f>
        <v>BNGA</v>
      </c>
      <c r="B388" s="64" t="str">
        <f>Ringkasan!B387</f>
        <v>PT Bank CIMB Niaga Tbk</v>
      </c>
      <c r="C388" s="67">
        <f>Ringkasan!C387</f>
        <v>1550</v>
      </c>
      <c r="D388" s="22" t="str">
        <f>Ringkasan!D387</f>
        <v>#N/A</v>
      </c>
      <c r="E388" s="64" t="str">
        <f>Ringkasan!E387</f>
        <v>PRIMBANK-10</v>
      </c>
      <c r="F388" s="64" t="str">
        <f>Ringkasan!F387</f>
        <v>30 Juni 2026</v>
      </c>
      <c r="G388" s="64">
        <f>Ringkasan!G387</f>
        <v>5</v>
      </c>
      <c r="H388" s="19">
        <f>Ringkasan!H387</f>
        <v>5.9</v>
      </c>
      <c r="I388" s="19">
        <f>Ringkasan!I387</f>
        <v>0.69</v>
      </c>
      <c r="J388" s="19">
        <f>Ringkasan!J387</f>
        <v>11.6</v>
      </c>
      <c r="K388" s="19">
        <f>Ringkasan!K387</f>
        <v>1.9</v>
      </c>
      <c r="L388" s="19">
        <f>Ringkasan!L387</f>
        <v>5.2</v>
      </c>
      <c r="M388" s="19">
        <f>Ringkasan!M387</f>
        <v>110</v>
      </c>
      <c r="N388" s="64">
        <f>Ringkasan!N387</f>
        <v>4.37</v>
      </c>
      <c r="O388" s="64">
        <f>Ringkasan!O387</f>
        <v>24.83</v>
      </c>
      <c r="P388" s="64">
        <f>Ringkasan!P387</f>
        <v>86.81</v>
      </c>
      <c r="Q388" s="64">
        <f>Ringkasan!Q387</f>
        <v>2.05</v>
      </c>
      <c r="R388" s="64">
        <f>Ringkasan!R387</f>
        <v>73.11</v>
      </c>
      <c r="S388" s="64">
        <f>Ringkasan!S387</f>
        <v>45.21</v>
      </c>
      <c r="T388" s="64">
        <f>Ringkasan!T387</f>
        <v>10.03</v>
      </c>
      <c r="U388" s="22">
        <f>Ringkasan!U387</f>
        <v>1525</v>
      </c>
      <c r="V388" s="22">
        <f>Ringkasan!V387</f>
        <v>1.64</v>
      </c>
      <c r="W388" s="22">
        <f>Ringkasan!W387</f>
        <v>1525</v>
      </c>
      <c r="X388" s="22">
        <f>Ringkasan!X387</f>
        <v>1560</v>
      </c>
      <c r="Y388" s="22">
        <f>Ringkasan!Y387</f>
        <v>1525</v>
      </c>
      <c r="Z388" s="22">
        <f>Ringkasan!Z387</f>
        <v>4464900</v>
      </c>
      <c r="AA388" s="64" t="str">
        <f>Ringkasan!AA387</f>
        <v>Banks</v>
      </c>
      <c r="AB388" s="64" t="str">
        <f>Ringkasan!AB387</f>
        <v>Financials</v>
      </c>
    </row>
    <row r="389" hidden="1">
      <c r="A389" s="64" t="str">
        <f>Ringkasan!A388</f>
        <v>BNGA</v>
      </c>
      <c r="B389" s="64" t="str">
        <f>Ringkasan!B388</f>
        <v>PT Bank CIMB Niaga Tbk</v>
      </c>
      <c r="C389" s="67">
        <f>Ringkasan!C388</f>
        <v>1550</v>
      </c>
      <c r="D389" s="22" t="str">
        <f>Ringkasan!D388</f>
        <v>#N/A</v>
      </c>
      <c r="E389" s="64" t="str">
        <f>Ringkasan!E388</f>
        <v>IDXSMC-LIQ</v>
      </c>
      <c r="F389" s="64" t="str">
        <f>Ringkasan!F388</f>
        <v>4 Agustus 2026</v>
      </c>
      <c r="G389" s="64">
        <f>Ringkasan!G388</f>
        <v>5</v>
      </c>
      <c r="H389" s="19">
        <f>Ringkasan!H388</f>
        <v>5.9</v>
      </c>
      <c r="I389" s="19">
        <f>Ringkasan!I388</f>
        <v>0.69</v>
      </c>
      <c r="J389" s="19">
        <f>Ringkasan!J388</f>
        <v>11.6</v>
      </c>
      <c r="K389" s="19">
        <f>Ringkasan!K388</f>
        <v>1.9</v>
      </c>
      <c r="L389" s="19">
        <f>Ringkasan!L388</f>
        <v>5.2</v>
      </c>
      <c r="M389" s="19">
        <f>Ringkasan!M388</f>
        <v>110</v>
      </c>
      <c r="N389" s="64">
        <f>Ringkasan!N388</f>
        <v>4.37</v>
      </c>
      <c r="O389" s="64">
        <f>Ringkasan!O388</f>
        <v>24.83</v>
      </c>
      <c r="P389" s="64">
        <f>Ringkasan!P388</f>
        <v>86.81</v>
      </c>
      <c r="Q389" s="64">
        <f>Ringkasan!Q388</f>
        <v>2.05</v>
      </c>
      <c r="R389" s="64">
        <f>Ringkasan!R388</f>
        <v>73.11</v>
      </c>
      <c r="S389" s="64">
        <f>Ringkasan!S388</f>
        <v>45.21</v>
      </c>
      <c r="T389" s="64">
        <f>Ringkasan!T388</f>
        <v>10.03</v>
      </c>
      <c r="U389" s="22">
        <f>Ringkasan!U388</f>
        <v>1525</v>
      </c>
      <c r="V389" s="22">
        <f>Ringkasan!V388</f>
        <v>1.64</v>
      </c>
      <c r="W389" s="22">
        <f>Ringkasan!W388</f>
        <v>1525</v>
      </c>
      <c r="X389" s="22">
        <f>Ringkasan!X388</f>
        <v>1560</v>
      </c>
      <c r="Y389" s="22">
        <f>Ringkasan!Y388</f>
        <v>1525</v>
      </c>
      <c r="Z389" s="22">
        <f>Ringkasan!Z388</f>
        <v>4464900</v>
      </c>
      <c r="AA389" s="64" t="str">
        <f>Ringkasan!AA388</f>
        <v>Banks</v>
      </c>
      <c r="AB389" s="64" t="str">
        <f>Ringkasan!AB388</f>
        <v>Financials</v>
      </c>
    </row>
    <row r="390" hidden="1">
      <c r="A390" s="64" t="str">
        <f>Ringkasan!A389</f>
        <v>BNGA</v>
      </c>
      <c r="B390" s="64" t="str">
        <f>Ringkasan!B389</f>
        <v>PT Bank CIMB Niaga Tbk</v>
      </c>
      <c r="C390" s="67">
        <f>Ringkasan!C389</f>
        <v>1550</v>
      </c>
      <c r="D390" s="22" t="str">
        <f>Ringkasan!D389</f>
        <v>#N/A</v>
      </c>
      <c r="E390" s="64" t="str">
        <f>Ringkasan!E389</f>
        <v>Investor33</v>
      </c>
      <c r="F390" s="66">
        <f>Ringkasan!F389</f>
        <v>46356</v>
      </c>
      <c r="G390" s="64">
        <f>Ringkasan!G389</f>
        <v>5</v>
      </c>
      <c r="H390" s="19">
        <f>Ringkasan!H389</f>
        <v>5.9</v>
      </c>
      <c r="I390" s="19">
        <f>Ringkasan!I389</f>
        <v>0.69</v>
      </c>
      <c r="J390" s="19">
        <f>Ringkasan!J389</f>
        <v>11.6</v>
      </c>
      <c r="K390" s="19">
        <f>Ringkasan!K389</f>
        <v>1.9</v>
      </c>
      <c r="L390" s="19">
        <f>Ringkasan!L389</f>
        <v>5.2</v>
      </c>
      <c r="M390" s="19">
        <f>Ringkasan!M389</f>
        <v>110</v>
      </c>
      <c r="N390" s="64">
        <f>Ringkasan!N389</f>
        <v>4.37</v>
      </c>
      <c r="O390" s="64">
        <f>Ringkasan!O389</f>
        <v>24.83</v>
      </c>
      <c r="P390" s="64">
        <f>Ringkasan!P389</f>
        <v>86.81</v>
      </c>
      <c r="Q390" s="64">
        <f>Ringkasan!Q389</f>
        <v>2.05</v>
      </c>
      <c r="R390" s="64">
        <f>Ringkasan!R389</f>
        <v>73.11</v>
      </c>
      <c r="S390" s="64">
        <f>Ringkasan!S389</f>
        <v>45.21</v>
      </c>
      <c r="T390" s="64">
        <f>Ringkasan!T389</f>
        <v>10.03</v>
      </c>
      <c r="U390" s="22">
        <f>Ringkasan!U389</f>
        <v>1525</v>
      </c>
      <c r="V390" s="22">
        <f>Ringkasan!V389</f>
        <v>1.64</v>
      </c>
      <c r="W390" s="22">
        <f>Ringkasan!W389</f>
        <v>1525</v>
      </c>
      <c r="X390" s="22">
        <f>Ringkasan!X389</f>
        <v>1560</v>
      </c>
      <c r="Y390" s="22">
        <f>Ringkasan!Y389</f>
        <v>1525</v>
      </c>
      <c r="Z390" s="22">
        <f>Ringkasan!Z389</f>
        <v>4464900</v>
      </c>
      <c r="AA390" s="64" t="str">
        <f>Ringkasan!AA389</f>
        <v>Banks</v>
      </c>
      <c r="AB390" s="64" t="str">
        <f>Ringkasan!AB389</f>
        <v>Financials</v>
      </c>
    </row>
    <row r="391" hidden="1">
      <c r="A391" s="64" t="str">
        <f>Ringkasan!A390</f>
        <v>BNII</v>
      </c>
      <c r="B391" s="64" t="str">
        <f>Ringkasan!B390</f>
        <v>PT Bank Maybank Indonesia Tbk</v>
      </c>
      <c r="C391" s="67">
        <f>Ringkasan!C390</f>
        <v>188</v>
      </c>
      <c r="D391" s="22" t="str">
        <f>Ringkasan!D390</f>
        <v>#N/A</v>
      </c>
      <c r="E391" s="64" t="str">
        <f>Ringkasan!E390</f>
        <v/>
      </c>
      <c r="F391" s="64" t="str">
        <f>Ringkasan!F390</f>
        <v/>
      </c>
      <c r="G391" s="64">
        <f>Ringkasan!G390</f>
        <v>0</v>
      </c>
      <c r="H391" s="19">
        <f>Ringkasan!H390</f>
        <v>9.3</v>
      </c>
      <c r="I391" s="19">
        <f>Ringkasan!I390</f>
        <v>0.45</v>
      </c>
      <c r="J391" s="19">
        <f>Ringkasan!J390</f>
        <v>4.8</v>
      </c>
      <c r="K391" s="19">
        <f>Ringkasan!K390</f>
        <v>0.82</v>
      </c>
      <c r="L391" s="19">
        <f>Ringkasan!L390</f>
        <v>4.9</v>
      </c>
      <c r="M391" s="19">
        <f>Ringkasan!M390</f>
        <v>49</v>
      </c>
      <c r="N391" s="64">
        <f>Ringkasan!N390</f>
        <v>4.9</v>
      </c>
      <c r="O391" s="64">
        <f>Ringkasan!O390</f>
        <v>25.6</v>
      </c>
      <c r="P391" s="64">
        <f>Ringkasan!P390</f>
        <v>85.2</v>
      </c>
      <c r="Q391" s="64">
        <f>Ringkasan!Q390</f>
        <v>2.7</v>
      </c>
      <c r="R391" s="64">
        <f>Ringkasan!R390</f>
        <v>83.4</v>
      </c>
      <c r="S391" s="64">
        <f>Ringkasan!S390</f>
        <v>46.2</v>
      </c>
      <c r="T391" s="64">
        <f>Ringkasan!T390</f>
        <v>8.8</v>
      </c>
      <c r="U391" s="22">
        <f>Ringkasan!U390</f>
        <v>185</v>
      </c>
      <c r="V391" s="22">
        <f>Ringkasan!V390</f>
        <v>1.62</v>
      </c>
      <c r="W391" s="22">
        <f>Ringkasan!W390</f>
        <v>184</v>
      </c>
      <c r="X391" s="22">
        <f>Ringkasan!X390</f>
        <v>188</v>
      </c>
      <c r="Y391" s="22">
        <f>Ringkasan!Y390</f>
        <v>184</v>
      </c>
      <c r="Z391" s="22">
        <f>Ringkasan!Z390</f>
        <v>755000</v>
      </c>
      <c r="AA391" s="64" t="str">
        <f>Ringkasan!AA390</f>
        <v>Banks</v>
      </c>
      <c r="AB391" s="64" t="str">
        <f>Ringkasan!AB390</f>
        <v>Financials</v>
      </c>
    </row>
    <row r="392" hidden="1">
      <c r="A392" s="64" t="str">
        <f>Ringkasan!A391</f>
        <v>BNLI</v>
      </c>
      <c r="B392" s="64" t="str">
        <f>Ringkasan!B391</f>
        <v>Bank Permata Tbk</v>
      </c>
      <c r="C392" s="67">
        <f>Ringkasan!C391</f>
        <v>3220</v>
      </c>
      <c r="D392" s="22" t="str">
        <f>Ringkasan!D391</f>
        <v>#N/A</v>
      </c>
      <c r="E392" s="64" t="str">
        <f>Ringkasan!E391</f>
        <v/>
      </c>
      <c r="F392" s="64" t="str">
        <f>Ringkasan!F391</f>
        <v/>
      </c>
      <c r="G392" s="64">
        <f>Ringkasan!G391</f>
        <v>0</v>
      </c>
      <c r="H392" s="19">
        <f>Ringkasan!H391</f>
        <v>30.3</v>
      </c>
      <c r="I392" s="19">
        <f>Ringkasan!I391</f>
        <v>2.4</v>
      </c>
      <c r="J392" s="19">
        <f>Ringkasan!J391</f>
        <v>8.1</v>
      </c>
      <c r="K392" s="19">
        <f>Ringkasan!K391</f>
        <v>1.4</v>
      </c>
      <c r="L392" s="19">
        <f>Ringkasan!L391</f>
        <v>4.7</v>
      </c>
      <c r="M392" s="19">
        <f>Ringkasan!M391</f>
        <v>84.2</v>
      </c>
      <c r="N392" s="64">
        <f>Ringkasan!N391</f>
        <v>4.4</v>
      </c>
      <c r="O392" s="64">
        <f>Ringkasan!O391</f>
        <v>38.7</v>
      </c>
      <c r="P392" s="64">
        <f>Ringkasan!P391</f>
        <v>81.3</v>
      </c>
      <c r="Q392" s="64">
        <f>Ringkasan!Q391</f>
        <v>1.9</v>
      </c>
      <c r="R392" s="64">
        <f>Ringkasan!R391</f>
        <v>81.1</v>
      </c>
      <c r="S392" s="64">
        <f>Ringkasan!S391</f>
        <v>53.5</v>
      </c>
      <c r="T392" s="64">
        <f>Ringkasan!T391</f>
        <v>7.6</v>
      </c>
      <c r="U392" s="22">
        <f>Ringkasan!U391</f>
        <v>2840</v>
      </c>
      <c r="V392" s="22">
        <f>Ringkasan!V391</f>
        <v>13.38</v>
      </c>
      <c r="W392" s="22">
        <f>Ringkasan!W391</f>
        <v>2840</v>
      </c>
      <c r="X392" s="22">
        <f>Ringkasan!X391</f>
        <v>3300</v>
      </c>
      <c r="Y392" s="22">
        <f>Ringkasan!Y391</f>
        <v>2840</v>
      </c>
      <c r="Z392" s="22">
        <f>Ringkasan!Z391</f>
        <v>85700</v>
      </c>
      <c r="AA392" s="64" t="str">
        <f>Ringkasan!AA391</f>
        <v>Banks</v>
      </c>
      <c r="AB392" s="64" t="str">
        <f>Ringkasan!AB391</f>
        <v>Financials</v>
      </c>
    </row>
    <row r="393" hidden="1">
      <c r="A393" s="64" t="str">
        <f>Ringkasan!A392</f>
        <v>BOAT</v>
      </c>
      <c r="B393" s="64" t="str">
        <f>Ringkasan!B392</f>
        <v>Newport Marine Services Tbk.</v>
      </c>
      <c r="C393" s="67">
        <f>Ringkasan!C392</f>
        <v>102</v>
      </c>
      <c r="D393" s="22" t="str">
        <f>Ringkasan!D392</f>
        <v>#N/A</v>
      </c>
      <c r="E393" s="64" t="str">
        <f>Ringkasan!E392</f>
        <v/>
      </c>
      <c r="F393" s="64" t="str">
        <f>Ringkasan!F392</f>
        <v/>
      </c>
      <c r="G393" s="64">
        <f>Ringkasan!G392</f>
        <v>0</v>
      </c>
      <c r="H393" s="19">
        <f>Ringkasan!H392</f>
        <v>12.2</v>
      </c>
      <c r="I393" s="19">
        <f>Ringkasan!I392</f>
        <v>1</v>
      </c>
      <c r="J393" s="19">
        <f>Ringkasan!J392</f>
        <v>8.5</v>
      </c>
      <c r="K393" s="19">
        <f>Ringkasan!K392</f>
        <v>5.9</v>
      </c>
      <c r="L393" s="19">
        <f>Ringkasan!L392</f>
        <v>0.45</v>
      </c>
      <c r="M393" s="19">
        <f>Ringkasan!M392</f>
        <v>63.6</v>
      </c>
      <c r="N393" s="64" t="str">
        <f>Ringkasan!N392</f>
        <v/>
      </c>
      <c r="O393" s="64" t="str">
        <f>Ringkasan!O392</f>
        <v/>
      </c>
      <c r="P393" s="64" t="str">
        <f>Ringkasan!P392</f>
        <v/>
      </c>
      <c r="Q393" s="64" t="str">
        <f>Ringkasan!Q392</f>
        <v/>
      </c>
      <c r="R393" s="64" t="str">
        <f>Ringkasan!R392</f>
        <v/>
      </c>
      <c r="S393" s="64" t="str">
        <f>Ringkasan!S392</f>
        <v/>
      </c>
      <c r="T393" s="64" t="str">
        <f>Ringkasan!T392</f>
        <v/>
      </c>
      <c r="U393" s="22">
        <f>Ringkasan!U392</f>
        <v>41.95</v>
      </c>
      <c r="V393" s="22">
        <f>Ringkasan!V392</f>
        <v>1.19</v>
      </c>
      <c r="W393" s="22">
        <f>Ringkasan!W392</f>
        <v>41.82</v>
      </c>
      <c r="X393" s="22">
        <f>Ringkasan!X392</f>
        <v>42.59</v>
      </c>
      <c r="Y393" s="22">
        <f>Ringkasan!Y392</f>
        <v>41.82</v>
      </c>
      <c r="Z393" s="22">
        <f>Ringkasan!Z392</f>
        <v>3605</v>
      </c>
      <c r="AA393" s="64" t="str">
        <f>Ringkasan!AA392</f>
        <v>Oil, Gas &amp; Coal Supports</v>
      </c>
      <c r="AB393" s="64" t="str">
        <f>Ringkasan!AB392</f>
        <v>Energy</v>
      </c>
    </row>
    <row r="394" hidden="1">
      <c r="A394" s="64" t="str">
        <f>Ringkasan!A393</f>
        <v>BOBA</v>
      </c>
      <c r="B394" s="64" t="str">
        <f>Ringkasan!B393</f>
        <v>Formosa Ingredient Factory Tbk.</v>
      </c>
      <c r="C394" s="67">
        <f>Ringkasan!C393</f>
        <v>336</v>
      </c>
      <c r="D394" s="22" t="str">
        <f>Ringkasan!D393</f>
        <v>#N/A</v>
      </c>
      <c r="E394" s="64" t="str">
        <f>Ringkasan!E393</f>
        <v/>
      </c>
      <c r="F394" s="64" t="str">
        <f>Ringkasan!F393</f>
        <v/>
      </c>
      <c r="G394" s="65">
        <f>Ringkasan!G393</f>
        <v>0</v>
      </c>
      <c r="H394" s="19">
        <f>Ringkasan!H393</f>
        <v>17.4</v>
      </c>
      <c r="I394" s="19">
        <f>Ringkasan!I393</f>
        <v>2</v>
      </c>
      <c r="J394" s="19">
        <f>Ringkasan!J393</f>
        <v>11.5</v>
      </c>
      <c r="K394" s="19">
        <f>Ringkasan!K393</f>
        <v>10</v>
      </c>
      <c r="L394" s="19">
        <f>Ringkasan!L393</f>
        <v>0.15</v>
      </c>
      <c r="M394" s="19">
        <f>Ringkasan!M393</f>
        <v>41.1</v>
      </c>
      <c r="N394" s="64" t="str">
        <f>Ringkasan!N393</f>
        <v/>
      </c>
      <c r="O394" s="64" t="str">
        <f>Ringkasan!O393</f>
        <v/>
      </c>
      <c r="P394" s="64" t="str">
        <f>Ringkasan!P393</f>
        <v/>
      </c>
      <c r="Q394" s="64" t="str">
        <f>Ringkasan!Q393</f>
        <v/>
      </c>
      <c r="R394" s="64" t="str">
        <f>Ringkasan!R393</f>
        <v/>
      </c>
      <c r="S394" s="64" t="str">
        <f>Ringkasan!S393</f>
        <v/>
      </c>
      <c r="T394" s="64" t="str">
        <f>Ringkasan!T393</f>
        <v/>
      </c>
      <c r="U394" s="22">
        <f>Ringkasan!U393</f>
        <v>340</v>
      </c>
      <c r="V394" s="22">
        <f>Ringkasan!V393</f>
        <v>-1.18</v>
      </c>
      <c r="W394" s="22">
        <f>Ringkasan!W393</f>
        <v>360</v>
      </c>
      <c r="X394" s="22" t="str">
        <f>Ringkasan!X393</f>
        <v/>
      </c>
      <c r="Y394" s="22">
        <f>Ringkasan!Y393</f>
        <v>334</v>
      </c>
      <c r="Z394" s="22">
        <f>Ringkasan!Z393</f>
        <v>1540300</v>
      </c>
      <c r="AA394" s="64" t="str">
        <f>Ringkasan!AA393</f>
        <v>Processed Foods</v>
      </c>
      <c r="AB394" s="64" t="str">
        <f>Ringkasan!AB393</f>
        <v>Consumer Non-Cyclicals</v>
      </c>
    </row>
    <row r="395" hidden="1">
      <c r="A395" s="64" t="str">
        <f>Ringkasan!A394</f>
        <v>BOGA</v>
      </c>
      <c r="B395" s="64" t="str">
        <f>Ringkasan!B394</f>
        <v>Apollo Global Interactive Tbk.</v>
      </c>
      <c r="C395" s="65">
        <f>Ringkasan!C394</f>
        <v>1055</v>
      </c>
      <c r="D395" s="64" t="str">
        <f>Ringkasan!D394</f>
        <v>#N/A</v>
      </c>
      <c r="E395" s="64" t="str">
        <f>Ringkasan!E394</f>
        <v/>
      </c>
      <c r="F395" s="64" t="str">
        <f>Ringkasan!F394</f>
        <v/>
      </c>
      <c r="G395" s="64">
        <f>Ringkasan!G394</f>
        <v>0</v>
      </c>
      <c r="H395" s="19">
        <f>Ringkasan!H394</f>
        <v>1200</v>
      </c>
      <c r="I395" s="19">
        <f>Ringkasan!I394</f>
        <v>11.2</v>
      </c>
      <c r="J395" s="19">
        <f>Ringkasan!J394</f>
        <v>0.94</v>
      </c>
      <c r="K395" s="19">
        <f>Ringkasan!K394</f>
        <v>0.54</v>
      </c>
      <c r="L395" s="19">
        <f>Ringkasan!L394</f>
        <v>0.73</v>
      </c>
      <c r="M395" s="19">
        <f>Ringkasan!M394</f>
        <v>4.8</v>
      </c>
      <c r="N395" s="64" t="str">
        <f>Ringkasan!N394</f>
        <v/>
      </c>
      <c r="O395" s="64" t="str">
        <f>Ringkasan!O394</f>
        <v/>
      </c>
      <c r="P395" s="64" t="str">
        <f>Ringkasan!P394</f>
        <v/>
      </c>
      <c r="Q395" s="64" t="str">
        <f>Ringkasan!Q394</f>
        <v/>
      </c>
      <c r="R395" s="64" t="str">
        <f>Ringkasan!R394</f>
        <v/>
      </c>
      <c r="S395" s="64" t="str">
        <f>Ringkasan!S394</f>
        <v/>
      </c>
      <c r="T395" s="64" t="str">
        <f>Ringkasan!T394</f>
        <v/>
      </c>
      <c r="U395" s="64">
        <f>Ringkasan!U394</f>
        <v>1055</v>
      </c>
      <c r="V395" s="64">
        <f>Ringkasan!V394</f>
        <v>0</v>
      </c>
      <c r="W395" s="64">
        <f>Ringkasan!W394</f>
        <v>985</v>
      </c>
      <c r="X395" s="64">
        <f>Ringkasan!X394</f>
        <v>1055</v>
      </c>
      <c r="Y395" s="64">
        <f>Ringkasan!Y394</f>
        <v>905</v>
      </c>
      <c r="Z395" s="64">
        <f>Ringkasan!Z394</f>
        <v>27800</v>
      </c>
      <c r="AA395" s="64" t="str">
        <f>Ringkasan!AA394</f>
        <v>Specialty Retail</v>
      </c>
      <c r="AB395" s="64" t="str">
        <f>Ringkasan!AB394</f>
        <v>Consumer Cyclicals</v>
      </c>
    </row>
    <row r="396">
      <c r="A396" s="64" t="str">
        <f>Ringkasan!A364</f>
        <v>BMRI</v>
      </c>
      <c r="B396" s="64" t="str">
        <f>Ringkasan!B364</f>
        <v>Bank Mandiri (Persero) Tbk.</v>
      </c>
      <c r="C396" s="61">
        <f>Ringkasan!C364</f>
        <v>4200</v>
      </c>
      <c r="D396" s="60" t="str">
        <f>Ringkasan!D364</f>
        <v>#N/A</v>
      </c>
      <c r="E396" s="64" t="str">
        <f>Ringkasan!E364</f>
        <v>Infobank15</v>
      </c>
      <c r="F396" s="64" t="str">
        <f>Ringkasan!F364</f>
        <v>30 Juni 2026</v>
      </c>
      <c r="G396" s="64">
        <f>Ringkasan!G364</f>
        <v>23</v>
      </c>
      <c r="H396" s="19">
        <f>Ringkasan!H364</f>
        <v>6.5</v>
      </c>
      <c r="I396" s="19">
        <f>Ringkasan!I364</f>
        <v>1.2</v>
      </c>
      <c r="J396" s="19">
        <f>Ringkasan!J364</f>
        <v>18.6</v>
      </c>
      <c r="K396" s="19">
        <f>Ringkasan!K364</f>
        <v>2.4</v>
      </c>
      <c r="L396" s="19">
        <f>Ringkasan!L364</f>
        <v>6.8</v>
      </c>
      <c r="M396" s="19">
        <f>Ringkasan!M364</f>
        <v>130</v>
      </c>
      <c r="N396" s="64">
        <f>Ringkasan!N364</f>
        <v>4.93</v>
      </c>
      <c r="O396" s="64">
        <f>Ringkasan!O364</f>
        <v>20.1</v>
      </c>
      <c r="P396" s="64">
        <f>Ringkasan!P364</f>
        <v>98.04</v>
      </c>
      <c r="Q396" s="64">
        <f>Ringkasan!Q364</f>
        <v>0.97</v>
      </c>
      <c r="R396" s="64">
        <f>Ringkasan!R364</f>
        <v>56.46</v>
      </c>
      <c r="S396" s="64">
        <f>Ringkasan!S364</f>
        <v>35.04</v>
      </c>
      <c r="T396" s="64">
        <f>Ringkasan!T364</f>
        <v>6.81</v>
      </c>
      <c r="U396" s="60">
        <f>Ringkasan!U364</f>
        <v>4250</v>
      </c>
      <c r="V396" s="60">
        <f>Ringkasan!V364</f>
        <v>-1.18</v>
      </c>
      <c r="W396" s="60">
        <f>Ringkasan!W364</f>
        <v>4320</v>
      </c>
      <c r="X396" s="60">
        <f>Ringkasan!X364</f>
        <v>4320</v>
      </c>
      <c r="Y396" s="60">
        <f>Ringkasan!Y364</f>
        <v>4200</v>
      </c>
      <c r="Z396" s="60" t="str">
        <f>Ringkasan!Z364</f>
        <v/>
      </c>
      <c r="AA396" s="64" t="str">
        <f>Ringkasan!AA364</f>
        <v>Banks</v>
      </c>
      <c r="AB396" s="64" t="str">
        <f>Ringkasan!AB364</f>
        <v>Financials</v>
      </c>
    </row>
    <row r="397" hidden="1">
      <c r="A397" s="64" t="str">
        <f>Ringkasan!A396</f>
        <v>BOLT</v>
      </c>
      <c r="B397" s="64" t="str">
        <f>Ringkasan!B396</f>
        <v>Garuda Metalindo Tbk.</v>
      </c>
      <c r="C397" s="61">
        <f>Ringkasan!C396</f>
        <v>780</v>
      </c>
      <c r="D397" s="60" t="str">
        <f>Ringkasan!D396</f>
        <v>#N/A</v>
      </c>
      <c r="E397" s="64" t="str">
        <f>Ringkasan!E396</f>
        <v/>
      </c>
      <c r="F397" s="64" t="str">
        <f>Ringkasan!F396</f>
        <v/>
      </c>
      <c r="G397" s="64">
        <f>Ringkasan!G396</f>
        <v>0</v>
      </c>
      <c r="H397" s="19">
        <f>Ringkasan!H396</f>
        <v>13.4</v>
      </c>
      <c r="I397" s="19">
        <f>Ringkasan!I396</f>
        <v>1.7</v>
      </c>
      <c r="J397" s="19">
        <f>Ringkasan!J396</f>
        <v>12.9</v>
      </c>
      <c r="K397" s="19">
        <f>Ringkasan!K396</f>
        <v>8.2</v>
      </c>
      <c r="L397" s="19">
        <f>Ringkasan!L396</f>
        <v>0.57</v>
      </c>
      <c r="M397" s="19">
        <f>Ringkasan!M396</f>
        <v>33.3</v>
      </c>
      <c r="N397" s="64" t="str">
        <f>Ringkasan!N396</f>
        <v/>
      </c>
      <c r="O397" s="64" t="str">
        <f>Ringkasan!O396</f>
        <v/>
      </c>
      <c r="P397" s="64" t="str">
        <f>Ringkasan!P396</f>
        <v/>
      </c>
      <c r="Q397" s="64" t="str">
        <f>Ringkasan!Q396</f>
        <v/>
      </c>
      <c r="R397" s="64" t="str">
        <f>Ringkasan!R396</f>
        <v/>
      </c>
      <c r="S397" s="64" t="str">
        <f>Ringkasan!S396</f>
        <v/>
      </c>
      <c r="T397" s="64" t="str">
        <f>Ringkasan!T396</f>
        <v/>
      </c>
      <c r="U397" s="60">
        <f>Ringkasan!U396</f>
        <v>4.6</v>
      </c>
      <c r="V397" s="60">
        <f>Ringkasan!V396</f>
        <v>-0.87</v>
      </c>
      <c r="W397" s="60">
        <f>Ringkasan!W396</f>
        <v>4.72</v>
      </c>
      <c r="X397" s="60">
        <f>Ringkasan!X396</f>
        <v>4.92</v>
      </c>
      <c r="Y397" s="60">
        <f>Ringkasan!Y396</f>
        <v>4.47</v>
      </c>
      <c r="Z397" s="60">
        <f>Ringkasan!Z396</f>
        <v>52506</v>
      </c>
      <c r="AA397" s="64" t="str">
        <f>Ringkasan!AA396</f>
        <v>Auto Components</v>
      </c>
      <c r="AB397" s="64" t="str">
        <f>Ringkasan!AB396</f>
        <v>Consumer Cyclicals</v>
      </c>
    </row>
    <row r="398" hidden="1">
      <c r="A398" s="64" t="str">
        <f>Ringkasan!A397</f>
        <v>BOSS</v>
      </c>
      <c r="B398" s="64" t="str">
        <f>Ringkasan!B397</f>
        <v>Borneo Olah Sarana Sukses Tbk.</v>
      </c>
      <c r="C398" s="61">
        <f>Ringkasan!C397</f>
        <v>50</v>
      </c>
      <c r="D398" s="60" t="str">
        <f>Ringkasan!D397</f>
        <v>#N/A</v>
      </c>
      <c r="E398" s="64" t="str">
        <f>Ringkasan!E397</f>
        <v/>
      </c>
      <c r="F398" s="64" t="str">
        <f>Ringkasan!F397</f>
        <v/>
      </c>
      <c r="G398" s="64">
        <f>Ringkasan!G397</f>
        <v>0</v>
      </c>
      <c r="H398" s="19">
        <f>Ringkasan!H397</f>
        <v>0</v>
      </c>
      <c r="I398" s="19">
        <f>Ringkasan!I397</f>
        <v>-0.42</v>
      </c>
      <c r="J398" s="19">
        <f>Ringkasan!J397</f>
        <v>0</v>
      </c>
      <c r="K398" s="19">
        <f>Ringkasan!K397</f>
        <v>-28.9</v>
      </c>
      <c r="L398" s="19">
        <f>Ringkasan!L397</f>
        <v>-4.8</v>
      </c>
      <c r="M398" s="19">
        <f>Ringkasan!M397</f>
        <v>-130</v>
      </c>
      <c r="N398" s="64" t="str">
        <f>Ringkasan!N397</f>
        <v/>
      </c>
      <c r="O398" s="64" t="str">
        <f>Ringkasan!O397</f>
        <v/>
      </c>
      <c r="P398" s="64" t="str">
        <f>Ringkasan!P397</f>
        <v/>
      </c>
      <c r="Q398" s="64" t="str">
        <f>Ringkasan!Q397</f>
        <v/>
      </c>
      <c r="R398" s="64" t="str">
        <f>Ringkasan!R397</f>
        <v/>
      </c>
      <c r="S398" s="64" t="str">
        <f>Ringkasan!S397</f>
        <v/>
      </c>
      <c r="T398" s="64" t="str">
        <f>Ringkasan!T397</f>
        <v/>
      </c>
      <c r="U398" s="60">
        <f>Ringkasan!U397</f>
        <v>39.76</v>
      </c>
      <c r="V398" s="60" t="str">
        <f>Ringkasan!V397</f>
        <v/>
      </c>
      <c r="W398" s="60">
        <f>Ringkasan!W397</f>
        <v>39.52</v>
      </c>
      <c r="X398" s="60">
        <f>Ringkasan!X397</f>
        <v>40.09</v>
      </c>
      <c r="Y398" s="60">
        <f>Ringkasan!Y397</f>
        <v>39.5</v>
      </c>
      <c r="Z398" s="60">
        <f>Ringkasan!Z397</f>
        <v>0</v>
      </c>
      <c r="AA398" s="64" t="str">
        <f>Ringkasan!AA397</f>
        <v>Coal</v>
      </c>
      <c r="AB398" s="64" t="str">
        <f>Ringkasan!AB397</f>
        <v>Energy</v>
      </c>
    </row>
    <row r="399" hidden="1">
      <c r="A399" s="64" t="str">
        <f>Ringkasan!A434</f>
        <v>BRPT</v>
      </c>
      <c r="B399" s="64" t="str">
        <f>Ringkasan!B434</f>
        <v>Barito Pacific Tbk.</v>
      </c>
      <c r="C399" s="65">
        <f>Ringkasan!C434</f>
        <v>1700</v>
      </c>
      <c r="D399" s="64" t="str">
        <f>Ringkasan!D434</f>
        <v>#N/A</v>
      </c>
      <c r="E399" s="64" t="str">
        <f>Ringkasan!E434</f>
        <v>Investor33</v>
      </c>
      <c r="F399" s="66">
        <f>Ringkasan!F434</f>
        <v>46356</v>
      </c>
      <c r="G399" s="64">
        <f>Ringkasan!G434</f>
        <v>10</v>
      </c>
      <c r="H399" s="19">
        <f>Ringkasan!H434</f>
        <v>19.2</v>
      </c>
      <c r="I399" s="19">
        <f>Ringkasan!I434</f>
        <v>1.7</v>
      </c>
      <c r="J399" s="19">
        <f>Ringkasan!J434</f>
        <v>8.9</v>
      </c>
      <c r="K399" s="19">
        <f>Ringkasan!K434</f>
        <v>3.2</v>
      </c>
      <c r="L399" s="19">
        <f>Ringkasan!L434</f>
        <v>1.8</v>
      </c>
      <c r="M399" s="19">
        <f>Ringkasan!M434</f>
        <v>21.7</v>
      </c>
      <c r="N399" s="64" t="str">
        <f>Ringkasan!N434</f>
        <v/>
      </c>
      <c r="O399" s="64" t="str">
        <f>Ringkasan!O434</f>
        <v/>
      </c>
      <c r="P399" s="64" t="str">
        <f>Ringkasan!P434</f>
        <v/>
      </c>
      <c r="Q399" s="64" t="str">
        <f>Ringkasan!Q434</f>
        <v/>
      </c>
      <c r="R399" s="64" t="str">
        <f>Ringkasan!R434</f>
        <v/>
      </c>
      <c r="S399" s="64" t="str">
        <f>Ringkasan!S434</f>
        <v/>
      </c>
      <c r="T399" s="64" t="str">
        <f>Ringkasan!T434</f>
        <v/>
      </c>
      <c r="U399" s="64">
        <f>Ringkasan!U434</f>
        <v>1650</v>
      </c>
      <c r="V399" s="64">
        <f>Ringkasan!V434</f>
        <v>3.03</v>
      </c>
      <c r="W399" s="64">
        <f>Ringkasan!W434</f>
        <v>1700</v>
      </c>
      <c r="X399" s="64">
        <f>Ringkasan!X434</f>
        <v>1770</v>
      </c>
      <c r="Y399" s="64">
        <f>Ringkasan!Y434</f>
        <v>1680</v>
      </c>
      <c r="Z399" s="64">
        <f>Ringkasan!Z434</f>
        <v>279487700</v>
      </c>
      <c r="AA399" s="64" t="str">
        <f>Ringkasan!AA434</f>
        <v>Chemicals</v>
      </c>
      <c r="AB399" s="64" t="str">
        <f>Ringkasan!AB434</f>
        <v>Basic Materials</v>
      </c>
    </row>
    <row r="400" hidden="1">
      <c r="A400" s="64" t="str">
        <f>Ringkasan!A399</f>
        <v>BPII</v>
      </c>
      <c r="B400" s="64" t="str">
        <f>Ringkasan!B399</f>
        <v>Batavia Prosperindo Internasional Tbk.</v>
      </c>
      <c r="C400" s="61">
        <f>Ringkasan!C399</f>
        <v>438</v>
      </c>
      <c r="D400" s="60" t="str">
        <f>Ringkasan!D399</f>
        <v>#N/A</v>
      </c>
      <c r="E400" s="64" t="str">
        <f>Ringkasan!E399</f>
        <v/>
      </c>
      <c r="F400" s="64" t="str">
        <f>Ringkasan!F399</f>
        <v/>
      </c>
      <c r="G400" s="64">
        <f>Ringkasan!G399</f>
        <v>0</v>
      </c>
      <c r="H400" s="19">
        <f>Ringkasan!H399</f>
        <v>39.1</v>
      </c>
      <c r="I400" s="19">
        <f>Ringkasan!I399</f>
        <v>2.5</v>
      </c>
      <c r="J400" s="19">
        <f>Ringkasan!J399</f>
        <v>6.3</v>
      </c>
      <c r="K400" s="19">
        <f>Ringkasan!K399</f>
        <v>1.8</v>
      </c>
      <c r="L400" s="19">
        <f>Ringkasan!L399</f>
        <v>2.5</v>
      </c>
      <c r="M400" s="19">
        <f>Ringkasan!M399</f>
        <v>37.2</v>
      </c>
      <c r="N400" s="64" t="str">
        <f>Ringkasan!N399</f>
        <v/>
      </c>
      <c r="O400" s="64" t="str">
        <f>Ringkasan!O399</f>
        <v/>
      </c>
      <c r="P400" s="64" t="str">
        <f>Ringkasan!P399</f>
        <v/>
      </c>
      <c r="Q400" s="64" t="str">
        <f>Ringkasan!Q399</f>
        <v/>
      </c>
      <c r="R400" s="64" t="str">
        <f>Ringkasan!R399</f>
        <v/>
      </c>
      <c r="S400" s="64" t="str">
        <f>Ringkasan!S399</f>
        <v/>
      </c>
      <c r="T400" s="64" t="str">
        <f>Ringkasan!T399</f>
        <v/>
      </c>
      <c r="U400" s="60">
        <f>Ringkasan!U399</f>
        <v>466</v>
      </c>
      <c r="V400" s="60">
        <f>Ringkasan!V399</f>
        <v>-6.01</v>
      </c>
      <c r="W400" s="60">
        <f>Ringkasan!W399</f>
        <v>466</v>
      </c>
      <c r="X400" s="60">
        <f>Ringkasan!X399</f>
        <v>470</v>
      </c>
      <c r="Y400" s="60">
        <f>Ringkasan!Y399</f>
        <v>438</v>
      </c>
      <c r="Z400" s="60">
        <f>Ringkasan!Z399</f>
        <v>19400</v>
      </c>
      <c r="AA400" s="64" t="str">
        <f>Ringkasan!AA399</f>
        <v>Holding &amp; Investment Companies</v>
      </c>
      <c r="AB400" s="64" t="str">
        <f>Ringkasan!AB399</f>
        <v>Financials</v>
      </c>
    </row>
    <row r="401" hidden="1">
      <c r="A401" s="64" t="str">
        <f>Ringkasan!A400</f>
        <v>BPTR</v>
      </c>
      <c r="B401" s="64" t="str">
        <f>Ringkasan!B400</f>
        <v>Batavia Prosperindo Trans Tbk.</v>
      </c>
      <c r="C401" s="61">
        <f>Ringkasan!C400</f>
        <v>70</v>
      </c>
      <c r="D401" s="60" t="str">
        <f>Ringkasan!D400</f>
        <v>#N/A</v>
      </c>
      <c r="E401" s="64" t="str">
        <f>Ringkasan!E400</f>
        <v/>
      </c>
      <c r="F401" s="64" t="str">
        <f>Ringkasan!F400</f>
        <v/>
      </c>
      <c r="G401" s="64">
        <f>Ringkasan!G400</f>
        <v>0</v>
      </c>
      <c r="H401" s="19">
        <f>Ringkasan!H400</f>
        <v>6.7</v>
      </c>
      <c r="I401" s="19">
        <f>Ringkasan!I400</f>
        <v>0.41</v>
      </c>
      <c r="J401" s="19">
        <f>Ringkasan!J400</f>
        <v>6.1</v>
      </c>
      <c r="K401" s="19">
        <f>Ringkasan!K400</f>
        <v>1.7</v>
      </c>
      <c r="L401" s="19">
        <f>Ringkasan!L400</f>
        <v>2.6</v>
      </c>
      <c r="M401" s="19">
        <f>Ringkasan!M400</f>
        <v>22.4</v>
      </c>
      <c r="N401" s="64" t="str">
        <f>Ringkasan!N400</f>
        <v/>
      </c>
      <c r="O401" s="64" t="str">
        <f>Ringkasan!O400</f>
        <v/>
      </c>
      <c r="P401" s="64" t="str">
        <f>Ringkasan!P400</f>
        <v/>
      </c>
      <c r="Q401" s="64" t="str">
        <f>Ringkasan!Q400</f>
        <v/>
      </c>
      <c r="R401" s="64" t="str">
        <f>Ringkasan!R400</f>
        <v/>
      </c>
      <c r="S401" s="64" t="str">
        <f>Ringkasan!S400</f>
        <v/>
      </c>
      <c r="T401" s="64" t="str">
        <f>Ringkasan!T400</f>
        <v/>
      </c>
      <c r="U401" s="60">
        <f>Ringkasan!U400</f>
        <v>69</v>
      </c>
      <c r="V401" s="60">
        <f>Ringkasan!V400</f>
        <v>1.45</v>
      </c>
      <c r="W401" s="60">
        <f>Ringkasan!W400</f>
        <v>70</v>
      </c>
      <c r="X401" s="60">
        <f>Ringkasan!X400</f>
        <v>71</v>
      </c>
      <c r="Y401" s="60">
        <f>Ringkasan!Y400</f>
        <v>68</v>
      </c>
      <c r="Z401" s="60">
        <f>Ringkasan!Z400</f>
        <v>929300</v>
      </c>
      <c r="AA401" s="64" t="str">
        <f>Ringkasan!AA400</f>
        <v>Passenger Land Transportation</v>
      </c>
      <c r="AB401" s="64" t="str">
        <f>Ringkasan!AB400</f>
        <v>Transportation &amp; Logistic</v>
      </c>
    </row>
    <row r="402" hidden="1">
      <c r="A402" s="64" t="str">
        <f>Ringkasan!A401</f>
        <v>BRAM</v>
      </c>
      <c r="B402" s="64" t="str">
        <f>Ringkasan!B401</f>
        <v>Indo Kordsa Tbk.</v>
      </c>
      <c r="C402" s="61">
        <f>Ringkasan!C401</f>
        <v>4690</v>
      </c>
      <c r="D402" s="60" t="str">
        <f>Ringkasan!D401</f>
        <v>#N/A</v>
      </c>
      <c r="E402" s="64" t="str">
        <f>Ringkasan!E401</f>
        <v/>
      </c>
      <c r="F402" s="64" t="str">
        <f>Ringkasan!F401</f>
        <v/>
      </c>
      <c r="G402" s="64">
        <f>Ringkasan!G401</f>
        <v>0</v>
      </c>
      <c r="H402" s="19">
        <f>Ringkasan!H401</f>
        <v>120</v>
      </c>
      <c r="I402" s="19">
        <f>Ringkasan!I401</f>
        <v>0.52</v>
      </c>
      <c r="J402" s="19">
        <f>Ringkasan!J401</f>
        <v>0.42</v>
      </c>
      <c r="K402" s="19">
        <f>Ringkasan!K401</f>
        <v>0.34</v>
      </c>
      <c r="L402" s="19">
        <f>Ringkasan!L401</f>
        <v>0.24</v>
      </c>
      <c r="M402" s="19">
        <f>Ringkasan!M401</f>
        <v>2.6</v>
      </c>
      <c r="N402" s="64" t="str">
        <f>Ringkasan!N401</f>
        <v/>
      </c>
      <c r="O402" s="64" t="str">
        <f>Ringkasan!O401</f>
        <v/>
      </c>
      <c r="P402" s="64" t="str">
        <f>Ringkasan!P401</f>
        <v/>
      </c>
      <c r="Q402" s="64" t="str">
        <f>Ringkasan!Q401</f>
        <v/>
      </c>
      <c r="R402" s="64" t="str">
        <f>Ringkasan!R401</f>
        <v/>
      </c>
      <c r="S402" s="64" t="str">
        <f>Ringkasan!S401</f>
        <v/>
      </c>
      <c r="T402" s="64" t="str">
        <f>Ringkasan!T401</f>
        <v/>
      </c>
      <c r="U402" s="60">
        <f>Ringkasan!U401</f>
        <v>4450</v>
      </c>
      <c r="V402" s="60">
        <f>Ringkasan!V401</f>
        <v>5.39</v>
      </c>
      <c r="W402" s="60">
        <f>Ringkasan!W401</f>
        <v>4450</v>
      </c>
      <c r="X402" s="60">
        <f>Ringkasan!X401</f>
        <v>4800</v>
      </c>
      <c r="Y402" s="60">
        <f>Ringkasan!Y401</f>
        <v>4450</v>
      </c>
      <c r="Z402" s="60">
        <f>Ringkasan!Z401</f>
        <v>17200</v>
      </c>
      <c r="AA402" s="64" t="str">
        <f>Ringkasan!AA401</f>
        <v>Auto Components</v>
      </c>
      <c r="AB402" s="64" t="str">
        <f>Ringkasan!AB401</f>
        <v>Consumer Cyclicals</v>
      </c>
    </row>
    <row r="403" hidden="1">
      <c r="A403" s="64" t="str">
        <f>Ringkasan!A402</f>
        <v>BREN</v>
      </c>
      <c r="B403" s="64" t="str">
        <f>Ringkasan!B402</f>
        <v>PT Barito Renewables Energy Tbk.</v>
      </c>
      <c r="C403" s="61">
        <f>Ringkasan!C402</f>
        <v>4080</v>
      </c>
      <c r="D403" s="60" t="str">
        <f>Ringkasan!D402</f>
        <v>#N/A</v>
      </c>
      <c r="E403" s="64" t="str">
        <f>Ringkasan!E402</f>
        <v>Kompas100</v>
      </c>
      <c r="F403" s="64" t="str">
        <f>Ringkasan!F402</f>
        <v>31 Juli 2026</v>
      </c>
      <c r="G403" s="64">
        <f>Ringkasan!G402</f>
        <v>1</v>
      </c>
      <c r="H403" s="19">
        <f>Ringkasan!H402</f>
        <v>190</v>
      </c>
      <c r="I403" s="19">
        <f>Ringkasan!I402</f>
        <v>27.7</v>
      </c>
      <c r="J403" s="19">
        <f>Ringkasan!J402</f>
        <v>15</v>
      </c>
      <c r="K403" s="19">
        <f>Ringkasan!K402</f>
        <v>3.6</v>
      </c>
      <c r="L403" s="19">
        <f>Ringkasan!L402</f>
        <v>3.2</v>
      </c>
      <c r="M403" s="19">
        <f>Ringkasan!M402</f>
        <v>84.9</v>
      </c>
      <c r="N403" s="64" t="str">
        <f>Ringkasan!N402</f>
        <v/>
      </c>
      <c r="O403" s="64" t="str">
        <f>Ringkasan!O402</f>
        <v/>
      </c>
      <c r="P403" s="64" t="str">
        <f>Ringkasan!P402</f>
        <v/>
      </c>
      <c r="Q403" s="64" t="str">
        <f>Ringkasan!Q402</f>
        <v/>
      </c>
      <c r="R403" s="64" t="str">
        <f>Ringkasan!R402</f>
        <v/>
      </c>
      <c r="S403" s="64" t="str">
        <f>Ringkasan!S402</f>
        <v/>
      </c>
      <c r="T403" s="64" t="str">
        <f>Ringkasan!T402</f>
        <v/>
      </c>
      <c r="U403" s="60">
        <f>Ringkasan!U402</f>
        <v>176.34</v>
      </c>
      <c r="V403" s="60">
        <f>Ringkasan!V402</f>
        <v>0</v>
      </c>
      <c r="W403" s="60" t="str">
        <f>Ringkasan!W402</f>
        <v/>
      </c>
      <c r="X403" s="60" t="str">
        <f>Ringkasan!X402</f>
        <v/>
      </c>
      <c r="Y403" s="60" t="str">
        <f>Ringkasan!Y402</f>
        <v/>
      </c>
      <c r="Z403" s="60">
        <f>Ringkasan!Z402</f>
        <v>0</v>
      </c>
      <c r="AA403" s="64" t="str">
        <f>Ringkasan!AA402</f>
        <v>Electric Utilities</v>
      </c>
      <c r="AB403" s="64" t="str">
        <f>Ringkasan!AB402</f>
        <v>Infrastructures</v>
      </c>
    </row>
    <row r="404">
      <c r="A404" s="64" t="str">
        <f>Ringkasan!A365</f>
        <v>BMRI</v>
      </c>
      <c r="B404" s="64" t="str">
        <f>Ringkasan!B365</f>
        <v>Bank Mandiri (Persero) Tbk.</v>
      </c>
      <c r="C404" s="61">
        <f>Ringkasan!C365</f>
        <v>4200</v>
      </c>
      <c r="D404" s="60" t="str">
        <f>Ringkasan!D365</f>
        <v>#N/A</v>
      </c>
      <c r="E404" s="64" t="str">
        <f>Ringkasan!E365</f>
        <v>Kompas100</v>
      </c>
      <c r="F404" s="64" t="str">
        <f>Ringkasan!F365</f>
        <v>31 Juli 2026</v>
      </c>
      <c r="G404" s="64">
        <f>Ringkasan!G365</f>
        <v>23</v>
      </c>
      <c r="H404" s="19">
        <f>Ringkasan!H365</f>
        <v>6.5</v>
      </c>
      <c r="I404" s="19">
        <f>Ringkasan!I365</f>
        <v>1.2</v>
      </c>
      <c r="J404" s="19">
        <f>Ringkasan!J365</f>
        <v>18.6</v>
      </c>
      <c r="K404" s="19">
        <f>Ringkasan!K365</f>
        <v>2.4</v>
      </c>
      <c r="L404" s="19">
        <f>Ringkasan!L365</f>
        <v>6.8</v>
      </c>
      <c r="M404" s="19">
        <f>Ringkasan!M365</f>
        <v>130</v>
      </c>
      <c r="N404" s="64">
        <f>Ringkasan!N365</f>
        <v>4.93</v>
      </c>
      <c r="O404" s="64">
        <f>Ringkasan!O365</f>
        <v>20.1</v>
      </c>
      <c r="P404" s="64">
        <f>Ringkasan!P365</f>
        <v>98.04</v>
      </c>
      <c r="Q404" s="64">
        <f>Ringkasan!Q365</f>
        <v>0.97</v>
      </c>
      <c r="R404" s="64">
        <f>Ringkasan!R365</f>
        <v>56.46</v>
      </c>
      <c r="S404" s="64">
        <f>Ringkasan!S365</f>
        <v>35.04</v>
      </c>
      <c r="T404" s="64">
        <f>Ringkasan!T365</f>
        <v>6.81</v>
      </c>
      <c r="U404" s="60">
        <f>Ringkasan!U365</f>
        <v>4250</v>
      </c>
      <c r="V404" s="60">
        <f>Ringkasan!V365</f>
        <v>-1.18</v>
      </c>
      <c r="W404" s="60">
        <f>Ringkasan!W365</f>
        <v>4320</v>
      </c>
      <c r="X404" s="60">
        <f>Ringkasan!X365</f>
        <v>4320</v>
      </c>
      <c r="Y404" s="60">
        <f>Ringkasan!Y365</f>
        <v>4200</v>
      </c>
      <c r="Z404" s="60" t="str">
        <f>Ringkasan!Z365</f>
        <v/>
      </c>
      <c r="AA404" s="64" t="str">
        <f>Ringkasan!AA365</f>
        <v>Banks</v>
      </c>
      <c r="AB404" s="64" t="str">
        <f>Ringkasan!AB365</f>
        <v>Financials</v>
      </c>
    </row>
    <row r="405">
      <c r="A405" s="64" t="str">
        <f>Ringkasan!A403</f>
        <v>BRIS</v>
      </c>
      <c r="B405" s="64" t="str">
        <f>Ringkasan!B403</f>
        <v>Bank Syariah Indonesia (Persero) Tbk.</v>
      </c>
      <c r="C405" s="61" t="str">
        <f>Ringkasan!C403</f>
        <v>#N/A</v>
      </c>
      <c r="D405" s="60" t="str">
        <f>Ringkasan!D403</f>
        <v>#N/A</v>
      </c>
      <c r="E405" s="64" t="str">
        <f>Ringkasan!E403</f>
        <v>Infobank15</v>
      </c>
      <c r="F405" s="64" t="str">
        <f>Ringkasan!F403</f>
        <v>30 Juni 2026</v>
      </c>
      <c r="G405" s="64">
        <f>Ringkasan!G403</f>
        <v>13</v>
      </c>
      <c r="H405" s="19">
        <f>Ringkasan!H403</f>
        <v>11.6</v>
      </c>
      <c r="I405" s="19">
        <f>Ringkasan!I403</f>
        <v>1.8</v>
      </c>
      <c r="J405" s="19">
        <f>Ringkasan!J403</f>
        <v>15.5</v>
      </c>
      <c r="K405" s="19">
        <f>Ringkasan!K403</f>
        <v>1.7</v>
      </c>
      <c r="L405" s="19">
        <f>Ringkasan!L403</f>
        <v>2.2</v>
      </c>
      <c r="M405" s="19">
        <f>Ringkasan!M403</f>
        <v>160</v>
      </c>
      <c r="N405" s="64">
        <f>Ringkasan!N403</f>
        <v>6.1</v>
      </c>
      <c r="O405" s="64">
        <f>Ringkasan!O403</f>
        <v>24.08</v>
      </c>
      <c r="P405" s="64">
        <f>Ringkasan!P403</f>
        <v>83.74</v>
      </c>
      <c r="Q405" s="64">
        <f>Ringkasan!Q403</f>
        <v>1.81</v>
      </c>
      <c r="R405" s="64">
        <f>Ringkasan!R403</f>
        <v>67.49</v>
      </c>
      <c r="S405" s="64">
        <f>Ringkasan!S403</f>
        <v>44.55</v>
      </c>
      <c r="T405" s="64">
        <f>Ringkasan!T403</f>
        <v>10.26</v>
      </c>
      <c r="U405" s="60">
        <f>Ringkasan!U403</f>
        <v>1795</v>
      </c>
      <c r="V405" s="60">
        <f>Ringkasan!V403</f>
        <v>4.18</v>
      </c>
      <c r="W405" s="60">
        <f>Ringkasan!W403</f>
        <v>1805</v>
      </c>
      <c r="X405" s="60">
        <f>Ringkasan!X403</f>
        <v>1870</v>
      </c>
      <c r="Y405" s="60">
        <f>Ringkasan!Y403</f>
        <v>1805</v>
      </c>
      <c r="Z405" s="60">
        <f>Ringkasan!Z403</f>
        <v>22071200</v>
      </c>
      <c r="AA405" s="64" t="str">
        <f>Ringkasan!AA403</f>
        <v>Banks</v>
      </c>
      <c r="AB405" s="64" t="str">
        <f>Ringkasan!AB403</f>
        <v>Financials</v>
      </c>
    </row>
    <row r="406">
      <c r="A406" s="64" t="str">
        <f>Ringkasan!A404</f>
        <v>BRIS</v>
      </c>
      <c r="B406" s="64" t="str">
        <f>Ringkasan!B404</f>
        <v>Bank Syariah Indonesia (Persero) Tbk.</v>
      </c>
      <c r="C406" s="61" t="str">
        <f>Ringkasan!C404</f>
        <v>#N/A</v>
      </c>
      <c r="D406" s="60" t="str">
        <f>Ringkasan!D404</f>
        <v>#N/A</v>
      </c>
      <c r="E406" s="64" t="str">
        <f>Ringkasan!E404</f>
        <v>IDXBUMN20</v>
      </c>
      <c r="F406" s="64" t="str">
        <f>Ringkasan!F404</f>
        <v>4 Agustus 2026</v>
      </c>
      <c r="G406" s="64">
        <f>Ringkasan!G404</f>
        <v>13</v>
      </c>
      <c r="H406" s="19">
        <f>Ringkasan!H404</f>
        <v>11.6</v>
      </c>
      <c r="I406" s="19">
        <f>Ringkasan!I404</f>
        <v>1.8</v>
      </c>
      <c r="J406" s="19">
        <f>Ringkasan!J404</f>
        <v>15.5</v>
      </c>
      <c r="K406" s="19">
        <f>Ringkasan!K404</f>
        <v>1.7</v>
      </c>
      <c r="L406" s="19">
        <f>Ringkasan!L404</f>
        <v>2.2</v>
      </c>
      <c r="M406" s="19">
        <f>Ringkasan!M404</f>
        <v>160</v>
      </c>
      <c r="N406" s="64">
        <f>Ringkasan!N404</f>
        <v>6.1</v>
      </c>
      <c r="O406" s="64">
        <f>Ringkasan!O404</f>
        <v>24.08</v>
      </c>
      <c r="P406" s="64">
        <f>Ringkasan!P404</f>
        <v>83.74</v>
      </c>
      <c r="Q406" s="64">
        <f>Ringkasan!Q404</f>
        <v>1.81</v>
      </c>
      <c r="R406" s="64">
        <f>Ringkasan!R404</f>
        <v>67.49</v>
      </c>
      <c r="S406" s="64">
        <f>Ringkasan!S404</f>
        <v>44.55</v>
      </c>
      <c r="T406" s="64">
        <f>Ringkasan!T404</f>
        <v>10.26</v>
      </c>
      <c r="U406" s="60">
        <f>Ringkasan!U404</f>
        <v>1795</v>
      </c>
      <c r="V406" s="60">
        <f>Ringkasan!V404</f>
        <v>4.18</v>
      </c>
      <c r="W406" s="60">
        <f>Ringkasan!W404</f>
        <v>1805</v>
      </c>
      <c r="X406" s="60">
        <f>Ringkasan!X404</f>
        <v>1870</v>
      </c>
      <c r="Y406" s="60">
        <f>Ringkasan!Y404</f>
        <v>1805</v>
      </c>
      <c r="Z406" s="60">
        <f>Ringkasan!Z404</f>
        <v>22071200</v>
      </c>
      <c r="AA406" s="64" t="str">
        <f>Ringkasan!AA404</f>
        <v>Banks</v>
      </c>
      <c r="AB406" s="64" t="str">
        <f>Ringkasan!AB404</f>
        <v>Financials</v>
      </c>
    </row>
    <row r="407">
      <c r="A407" s="64" t="str">
        <f>Ringkasan!A405</f>
        <v>BRIS</v>
      </c>
      <c r="B407" s="64" t="str">
        <f>Ringkasan!B405</f>
        <v>Bank Syariah Indonesia (Persero) Tbk.</v>
      </c>
      <c r="C407" s="61" t="str">
        <f>Ringkasan!C405</f>
        <v>#N/A</v>
      </c>
      <c r="D407" s="60" t="str">
        <f>Ringkasan!D405</f>
        <v>#N/A</v>
      </c>
      <c r="E407" s="64" t="str">
        <f>Ringkasan!E405</f>
        <v>Kompas100</v>
      </c>
      <c r="F407" s="64" t="str">
        <f>Ringkasan!F405</f>
        <v>31 Juli 2026</v>
      </c>
      <c r="G407" s="64">
        <f>Ringkasan!G405</f>
        <v>13</v>
      </c>
      <c r="H407" s="19">
        <f>Ringkasan!H405</f>
        <v>11.6</v>
      </c>
      <c r="I407" s="19">
        <f>Ringkasan!I405</f>
        <v>1.8</v>
      </c>
      <c r="J407" s="19">
        <f>Ringkasan!J405</f>
        <v>15.5</v>
      </c>
      <c r="K407" s="19">
        <f>Ringkasan!K405</f>
        <v>1.7</v>
      </c>
      <c r="L407" s="19">
        <f>Ringkasan!L405</f>
        <v>2.2</v>
      </c>
      <c r="M407" s="19">
        <f>Ringkasan!M405</f>
        <v>160</v>
      </c>
      <c r="N407" s="64">
        <f>Ringkasan!N405</f>
        <v>6.1</v>
      </c>
      <c r="O407" s="64">
        <f>Ringkasan!O405</f>
        <v>24.08</v>
      </c>
      <c r="P407" s="64">
        <f>Ringkasan!P405</f>
        <v>83.74</v>
      </c>
      <c r="Q407" s="64">
        <f>Ringkasan!Q405</f>
        <v>1.81</v>
      </c>
      <c r="R407" s="64">
        <f>Ringkasan!R405</f>
        <v>67.49</v>
      </c>
      <c r="S407" s="64">
        <f>Ringkasan!S405</f>
        <v>44.55</v>
      </c>
      <c r="T407" s="64">
        <f>Ringkasan!T405</f>
        <v>10.26</v>
      </c>
      <c r="U407" s="60">
        <f>Ringkasan!U405</f>
        <v>1795</v>
      </c>
      <c r="V407" s="60">
        <f>Ringkasan!V405</f>
        <v>4.18</v>
      </c>
      <c r="W407" s="60">
        <f>Ringkasan!W405</f>
        <v>1805</v>
      </c>
      <c r="X407" s="60">
        <f>Ringkasan!X405</f>
        <v>1870</v>
      </c>
      <c r="Y407" s="60">
        <f>Ringkasan!Y405</f>
        <v>1805</v>
      </c>
      <c r="Z407" s="60">
        <f>Ringkasan!Z405</f>
        <v>22071200</v>
      </c>
      <c r="AA407" s="64" t="str">
        <f>Ringkasan!AA405</f>
        <v>Banks</v>
      </c>
      <c r="AB407" s="64" t="str">
        <f>Ringkasan!AB405</f>
        <v>Financials</v>
      </c>
    </row>
    <row r="408">
      <c r="A408" s="64" t="str">
        <f>Ringkasan!A406</f>
        <v>BRIS</v>
      </c>
      <c r="B408" s="64" t="str">
        <f>Ringkasan!B406</f>
        <v>Bank Syariah Indonesia (Persero) Tbk.</v>
      </c>
      <c r="C408" s="61" t="str">
        <f>Ringkasan!C406</f>
        <v>#N/A</v>
      </c>
      <c r="D408" s="60" t="str">
        <f>Ringkasan!D406</f>
        <v>#N/A</v>
      </c>
      <c r="E408" s="64" t="str">
        <f>Ringkasan!E406</f>
        <v>MNC36</v>
      </c>
      <c r="F408" s="64" t="str">
        <f>Ringkasan!F406</f>
        <v>30 Oktober 2026</v>
      </c>
      <c r="G408" s="64">
        <f>Ringkasan!G406</f>
        <v>13</v>
      </c>
      <c r="H408" s="19">
        <f>Ringkasan!H406</f>
        <v>11.6</v>
      </c>
      <c r="I408" s="19">
        <f>Ringkasan!I406</f>
        <v>1.8</v>
      </c>
      <c r="J408" s="19">
        <f>Ringkasan!J406</f>
        <v>15.5</v>
      </c>
      <c r="K408" s="19">
        <f>Ringkasan!K406</f>
        <v>1.7</v>
      </c>
      <c r="L408" s="19">
        <f>Ringkasan!L406</f>
        <v>2.2</v>
      </c>
      <c r="M408" s="19">
        <f>Ringkasan!M406</f>
        <v>160</v>
      </c>
      <c r="N408" s="64">
        <f>Ringkasan!N406</f>
        <v>6.1</v>
      </c>
      <c r="O408" s="64">
        <f>Ringkasan!O406</f>
        <v>24.08</v>
      </c>
      <c r="P408" s="64">
        <f>Ringkasan!P406</f>
        <v>83.74</v>
      </c>
      <c r="Q408" s="64">
        <f>Ringkasan!Q406</f>
        <v>1.81</v>
      </c>
      <c r="R408" s="64">
        <f>Ringkasan!R406</f>
        <v>67.49</v>
      </c>
      <c r="S408" s="64">
        <f>Ringkasan!S406</f>
        <v>44.55</v>
      </c>
      <c r="T408" s="64">
        <f>Ringkasan!T406</f>
        <v>10.26</v>
      </c>
      <c r="U408" s="60">
        <f>Ringkasan!U406</f>
        <v>1795</v>
      </c>
      <c r="V408" s="60">
        <f>Ringkasan!V406</f>
        <v>4.18</v>
      </c>
      <c r="W408" s="60">
        <f>Ringkasan!W406</f>
        <v>1805</v>
      </c>
      <c r="X408" s="60">
        <f>Ringkasan!X406</f>
        <v>1870</v>
      </c>
      <c r="Y408" s="60">
        <f>Ringkasan!Y406</f>
        <v>1805</v>
      </c>
      <c r="Z408" s="60">
        <f>Ringkasan!Z406</f>
        <v>22071200</v>
      </c>
      <c r="AA408" s="64" t="str">
        <f>Ringkasan!AA406</f>
        <v>Banks</v>
      </c>
      <c r="AB408" s="64" t="str">
        <f>Ringkasan!AB406</f>
        <v>Financials</v>
      </c>
    </row>
    <row r="409">
      <c r="A409" s="64" t="str">
        <f>Ringkasan!A407</f>
        <v>BRIS</v>
      </c>
      <c r="B409" s="64" t="str">
        <f>Ringkasan!B407</f>
        <v>Bank Syariah Indonesia (Persero) Tbk.</v>
      </c>
      <c r="C409" s="61" t="str">
        <f>Ringkasan!C407</f>
        <v>#N/A</v>
      </c>
      <c r="D409" s="60" t="str">
        <f>Ringkasan!D407</f>
        <v>#N/A</v>
      </c>
      <c r="E409" s="64" t="str">
        <f>Ringkasan!E407</f>
        <v>Pefindo - iGrade</v>
      </c>
      <c r="F409" s="64" t="str">
        <f>Ringkasan!F407</f>
        <v>30 Juni 2026</v>
      </c>
      <c r="G409" s="64">
        <f>Ringkasan!G407</f>
        <v>13</v>
      </c>
      <c r="H409" s="19">
        <f>Ringkasan!H407</f>
        <v>11.6</v>
      </c>
      <c r="I409" s="19">
        <f>Ringkasan!I407</f>
        <v>1.8</v>
      </c>
      <c r="J409" s="19">
        <f>Ringkasan!J407</f>
        <v>15.5</v>
      </c>
      <c r="K409" s="19">
        <f>Ringkasan!K407</f>
        <v>1.7</v>
      </c>
      <c r="L409" s="19">
        <f>Ringkasan!L407</f>
        <v>2.2</v>
      </c>
      <c r="M409" s="19">
        <f>Ringkasan!M407</f>
        <v>160</v>
      </c>
      <c r="N409" s="64">
        <f>Ringkasan!N407</f>
        <v>6.1</v>
      </c>
      <c r="O409" s="64">
        <f>Ringkasan!O407</f>
        <v>24.08</v>
      </c>
      <c r="P409" s="64">
        <f>Ringkasan!P407</f>
        <v>83.74</v>
      </c>
      <c r="Q409" s="64">
        <f>Ringkasan!Q407</f>
        <v>1.81</v>
      </c>
      <c r="R409" s="64">
        <f>Ringkasan!R407</f>
        <v>67.49</v>
      </c>
      <c r="S409" s="64">
        <f>Ringkasan!S407</f>
        <v>44.55</v>
      </c>
      <c r="T409" s="64">
        <f>Ringkasan!T407</f>
        <v>10.26</v>
      </c>
      <c r="U409" s="60">
        <f>Ringkasan!U407</f>
        <v>1795</v>
      </c>
      <c r="V409" s="60">
        <f>Ringkasan!V407</f>
        <v>4.18</v>
      </c>
      <c r="W409" s="60">
        <f>Ringkasan!W407</f>
        <v>1805</v>
      </c>
      <c r="X409" s="60">
        <f>Ringkasan!X407</f>
        <v>1870</v>
      </c>
      <c r="Y409" s="60">
        <f>Ringkasan!Y407</f>
        <v>1805</v>
      </c>
      <c r="Z409" s="60">
        <f>Ringkasan!Z407</f>
        <v>22071200</v>
      </c>
      <c r="AA409" s="64" t="str">
        <f>Ringkasan!AA407</f>
        <v>Banks</v>
      </c>
      <c r="AB409" s="64" t="str">
        <f>Ringkasan!AB407</f>
        <v>Financials</v>
      </c>
    </row>
    <row r="410">
      <c r="A410" s="64" t="str">
        <f>Ringkasan!A408</f>
        <v>BRIS</v>
      </c>
      <c r="B410" s="64" t="str">
        <f>Ringkasan!B408</f>
        <v>Bank Syariah Indonesia (Persero) Tbk.</v>
      </c>
      <c r="C410" s="61" t="str">
        <f>Ringkasan!C408</f>
        <v>#N/A</v>
      </c>
      <c r="D410" s="60" t="str">
        <f>Ringkasan!D408</f>
        <v>#N/A</v>
      </c>
      <c r="E410" s="64" t="str">
        <f>Ringkasan!E408</f>
        <v>ECONOMIC30</v>
      </c>
      <c r="F410" s="64" t="str">
        <f>Ringkasan!F408</f>
        <v>31 Agustus 2026</v>
      </c>
      <c r="G410" s="64">
        <f>Ringkasan!G408</f>
        <v>13</v>
      </c>
      <c r="H410" s="19">
        <f>Ringkasan!H408</f>
        <v>11.6</v>
      </c>
      <c r="I410" s="19">
        <f>Ringkasan!I408</f>
        <v>1.8</v>
      </c>
      <c r="J410" s="19">
        <f>Ringkasan!J408</f>
        <v>15.5</v>
      </c>
      <c r="K410" s="19">
        <f>Ringkasan!K408</f>
        <v>1.7</v>
      </c>
      <c r="L410" s="19">
        <f>Ringkasan!L408</f>
        <v>2.2</v>
      </c>
      <c r="M410" s="19">
        <f>Ringkasan!M408</f>
        <v>160</v>
      </c>
      <c r="N410" s="64">
        <f>Ringkasan!N408</f>
        <v>6.1</v>
      </c>
      <c r="O410" s="64">
        <f>Ringkasan!O408</f>
        <v>24.08</v>
      </c>
      <c r="P410" s="64">
        <f>Ringkasan!P408</f>
        <v>83.74</v>
      </c>
      <c r="Q410" s="64">
        <f>Ringkasan!Q408</f>
        <v>1.81</v>
      </c>
      <c r="R410" s="64">
        <f>Ringkasan!R408</f>
        <v>67.49</v>
      </c>
      <c r="S410" s="64">
        <f>Ringkasan!S408</f>
        <v>44.55</v>
      </c>
      <c r="T410" s="64">
        <f>Ringkasan!T408</f>
        <v>10.26</v>
      </c>
      <c r="U410" s="60">
        <f>Ringkasan!U408</f>
        <v>1795</v>
      </c>
      <c r="V410" s="60">
        <f>Ringkasan!V408</f>
        <v>4.18</v>
      </c>
      <c r="W410" s="60">
        <f>Ringkasan!W408</f>
        <v>1805</v>
      </c>
      <c r="X410" s="60">
        <f>Ringkasan!X408</f>
        <v>1870</v>
      </c>
      <c r="Y410" s="60">
        <f>Ringkasan!Y408</f>
        <v>1805</v>
      </c>
      <c r="Z410" s="60">
        <f>Ringkasan!Z408</f>
        <v>22071200</v>
      </c>
      <c r="AA410" s="64" t="str">
        <f>Ringkasan!AA408</f>
        <v>Banks</v>
      </c>
      <c r="AB410" s="64" t="str">
        <f>Ringkasan!AB408</f>
        <v>Financials</v>
      </c>
    </row>
    <row r="411">
      <c r="A411" s="64" t="str">
        <f>Ringkasan!A409</f>
        <v>BRIS</v>
      </c>
      <c r="B411" s="64" t="str">
        <f>Ringkasan!B409</f>
        <v>Bank Syariah Indonesia (Persero) Tbk.</v>
      </c>
      <c r="C411" s="65" t="str">
        <f>Ringkasan!C409</f>
        <v>#N/A</v>
      </c>
      <c r="D411" s="64" t="str">
        <f>Ringkasan!D409</f>
        <v>#N/A</v>
      </c>
      <c r="E411" s="64" t="str">
        <f>Ringkasan!E409</f>
        <v>PRIMBANK-10</v>
      </c>
      <c r="F411" s="64" t="str">
        <f>Ringkasan!F409</f>
        <v>30 Juni 2026</v>
      </c>
      <c r="G411" s="64">
        <f>Ringkasan!G409</f>
        <v>13</v>
      </c>
      <c r="H411" s="19">
        <f>Ringkasan!H409</f>
        <v>11.6</v>
      </c>
      <c r="I411" s="19">
        <f>Ringkasan!I409</f>
        <v>1.8</v>
      </c>
      <c r="J411" s="19">
        <f>Ringkasan!J409</f>
        <v>15.5</v>
      </c>
      <c r="K411" s="19">
        <f>Ringkasan!K409</f>
        <v>1.7</v>
      </c>
      <c r="L411" s="19">
        <f>Ringkasan!L409</f>
        <v>2.2</v>
      </c>
      <c r="M411" s="19">
        <f>Ringkasan!M409</f>
        <v>160</v>
      </c>
      <c r="N411" s="64">
        <f>Ringkasan!N409</f>
        <v>6.1</v>
      </c>
      <c r="O411" s="64">
        <f>Ringkasan!O409</f>
        <v>24.08</v>
      </c>
      <c r="P411" s="64">
        <f>Ringkasan!P409</f>
        <v>83.74</v>
      </c>
      <c r="Q411" s="64">
        <f>Ringkasan!Q409</f>
        <v>1.81</v>
      </c>
      <c r="R411" s="64">
        <f>Ringkasan!R409</f>
        <v>67.49</v>
      </c>
      <c r="S411" s="64">
        <f>Ringkasan!S409</f>
        <v>44.55</v>
      </c>
      <c r="T411" s="64">
        <f>Ringkasan!T409</f>
        <v>10.26</v>
      </c>
      <c r="U411" s="64">
        <f>Ringkasan!U409</f>
        <v>1795</v>
      </c>
      <c r="V411" s="64">
        <f>Ringkasan!V409</f>
        <v>4.18</v>
      </c>
      <c r="W411" s="64">
        <f>Ringkasan!W409</f>
        <v>1805</v>
      </c>
      <c r="X411" s="64">
        <f>Ringkasan!X409</f>
        <v>1870</v>
      </c>
      <c r="Y411" s="64">
        <f>Ringkasan!Y409</f>
        <v>1805</v>
      </c>
      <c r="Z411" s="64">
        <f>Ringkasan!Z409</f>
        <v>22071200</v>
      </c>
      <c r="AA411" s="64" t="str">
        <f>Ringkasan!AA409</f>
        <v>Banks</v>
      </c>
      <c r="AB411" s="64" t="str">
        <f>Ringkasan!AB409</f>
        <v>Financials</v>
      </c>
    </row>
    <row r="412" hidden="1">
      <c r="A412" s="64" t="str">
        <f>Ringkasan!A581</f>
        <v>DATA</v>
      </c>
      <c r="B412" s="64" t="str">
        <f>Ringkasan!B581</f>
        <v>Remala Abadi Tbk.</v>
      </c>
      <c r="C412" s="65">
        <f>Ringkasan!C581</f>
        <v>1450</v>
      </c>
      <c r="D412" s="64" t="str">
        <f>Ringkasan!D581</f>
        <v>#N/A</v>
      </c>
      <c r="E412" s="64" t="str">
        <f>Ringkasan!E581</f>
        <v/>
      </c>
      <c r="F412" s="64" t="str">
        <f>Ringkasan!F581</f>
        <v/>
      </c>
      <c r="G412" s="64">
        <f>Ringkasan!G581</f>
        <v>0</v>
      </c>
      <c r="H412" s="19">
        <f>Ringkasan!H581</f>
        <v>20.3</v>
      </c>
      <c r="I412" s="19">
        <f>Ringkasan!I581</f>
        <v>5.5</v>
      </c>
      <c r="J412" s="19">
        <f>Ringkasan!J581</f>
        <v>27.1</v>
      </c>
      <c r="K412" s="19">
        <f>Ringkasan!K581</f>
        <v>10.6</v>
      </c>
      <c r="L412" s="19">
        <f>Ringkasan!L581</f>
        <v>1.6</v>
      </c>
      <c r="M412" s="19">
        <f>Ringkasan!M581</f>
        <v>96.8</v>
      </c>
      <c r="N412" s="64" t="str">
        <f>Ringkasan!N581</f>
        <v/>
      </c>
      <c r="O412" s="64" t="str">
        <f>Ringkasan!O581</f>
        <v/>
      </c>
      <c r="P412" s="64" t="str">
        <f>Ringkasan!P581</f>
        <v/>
      </c>
      <c r="Q412" s="64" t="str">
        <f>Ringkasan!Q581</f>
        <v/>
      </c>
      <c r="R412" s="64" t="str">
        <f>Ringkasan!R581</f>
        <v/>
      </c>
      <c r="S412" s="64" t="str">
        <f>Ringkasan!S581</f>
        <v/>
      </c>
      <c r="T412" s="64" t="str">
        <f>Ringkasan!T581</f>
        <v/>
      </c>
      <c r="U412" s="64">
        <f>Ringkasan!U581</f>
        <v>92.2</v>
      </c>
      <c r="V412" s="64" t="str">
        <f>Ringkasan!V581</f>
        <v/>
      </c>
      <c r="W412" s="64">
        <f>Ringkasan!W581</f>
        <v>90.5</v>
      </c>
      <c r="X412" s="64">
        <f>Ringkasan!X581</f>
        <v>98.5</v>
      </c>
      <c r="Y412" s="64">
        <f>Ringkasan!Y581</f>
        <v>90.5</v>
      </c>
      <c r="Z412" s="64">
        <f>Ringkasan!Z581</f>
        <v>2246204</v>
      </c>
      <c r="AA412" s="64" t="str">
        <f>Ringkasan!AA581</f>
        <v>Telecommunication Service</v>
      </c>
      <c r="AB412" s="64" t="str">
        <f>Ringkasan!AB581</f>
        <v>Infrastructures</v>
      </c>
    </row>
    <row r="413">
      <c r="A413" s="64" t="str">
        <f>Ringkasan!A410</f>
        <v>BRIS</v>
      </c>
      <c r="B413" s="64" t="str">
        <f>Ringkasan!B410</f>
        <v>Bank Syariah Indonesia (Persero) Tbk.</v>
      </c>
      <c r="C413" s="65" t="str">
        <f>Ringkasan!C410</f>
        <v>#N/A</v>
      </c>
      <c r="D413" s="64" t="str">
        <f>Ringkasan!D410</f>
        <v>#N/A</v>
      </c>
      <c r="E413" s="64" t="str">
        <f>Ringkasan!E410</f>
        <v>FTSE Large Cap</v>
      </c>
      <c r="F413" s="64" t="str">
        <f>Ringkasan!F410</f>
        <v>Juni 2026</v>
      </c>
      <c r="G413" s="64">
        <f>Ringkasan!G410</f>
        <v>13</v>
      </c>
      <c r="H413" s="19">
        <f>Ringkasan!H410</f>
        <v>11.6</v>
      </c>
      <c r="I413" s="19">
        <f>Ringkasan!I410</f>
        <v>1.8</v>
      </c>
      <c r="J413" s="19">
        <f>Ringkasan!J410</f>
        <v>15.5</v>
      </c>
      <c r="K413" s="19">
        <f>Ringkasan!K410</f>
        <v>1.7</v>
      </c>
      <c r="L413" s="19">
        <f>Ringkasan!L410</f>
        <v>2.2</v>
      </c>
      <c r="M413" s="19">
        <f>Ringkasan!M410</f>
        <v>160</v>
      </c>
      <c r="N413" s="64">
        <f>Ringkasan!N410</f>
        <v>6.1</v>
      </c>
      <c r="O413" s="64">
        <f>Ringkasan!O410</f>
        <v>24.08</v>
      </c>
      <c r="P413" s="64">
        <f>Ringkasan!P410</f>
        <v>83.74</v>
      </c>
      <c r="Q413" s="64">
        <f>Ringkasan!Q410</f>
        <v>1.81</v>
      </c>
      <c r="R413" s="64">
        <f>Ringkasan!R410</f>
        <v>67.49</v>
      </c>
      <c r="S413" s="64">
        <f>Ringkasan!S410</f>
        <v>44.55</v>
      </c>
      <c r="T413" s="64">
        <f>Ringkasan!T410</f>
        <v>10.26</v>
      </c>
      <c r="U413" s="64">
        <f>Ringkasan!U410</f>
        <v>1795</v>
      </c>
      <c r="V413" s="64">
        <f>Ringkasan!V410</f>
        <v>4.18</v>
      </c>
      <c r="W413" s="64">
        <f>Ringkasan!W410</f>
        <v>1805</v>
      </c>
      <c r="X413" s="64">
        <f>Ringkasan!X410</f>
        <v>1870</v>
      </c>
      <c r="Y413" s="64">
        <f>Ringkasan!Y410</f>
        <v>1805</v>
      </c>
      <c r="Z413" s="64">
        <f>Ringkasan!Z410</f>
        <v>22071200</v>
      </c>
      <c r="AA413" s="64" t="str">
        <f>Ringkasan!AA410</f>
        <v>Banks</v>
      </c>
      <c r="AB413" s="64" t="str">
        <f>Ringkasan!AB410</f>
        <v>Financials</v>
      </c>
    </row>
    <row r="414">
      <c r="A414" s="64" t="str">
        <f>Ringkasan!A412</f>
        <v>BRIS</v>
      </c>
      <c r="B414" s="64" t="str">
        <f>Ringkasan!B412</f>
        <v>Bank Syariah Indonesia (Persero) Tbk.</v>
      </c>
      <c r="C414" s="65" t="str">
        <f>Ringkasan!C412</f>
        <v>#N/A</v>
      </c>
      <c r="D414" s="64" t="str">
        <f>Ringkasan!D412</f>
        <v>#N/A</v>
      </c>
      <c r="E414" s="64" t="str">
        <f>Ringkasan!E412</f>
        <v>IDXSHAGROW</v>
      </c>
      <c r="F414" s="66">
        <f>Ringkasan!F412</f>
        <v>46356</v>
      </c>
      <c r="G414" s="64">
        <f>Ringkasan!G412</f>
        <v>13</v>
      </c>
      <c r="H414" s="19">
        <f>Ringkasan!H412</f>
        <v>11.6</v>
      </c>
      <c r="I414" s="19">
        <f>Ringkasan!I412</f>
        <v>1.8</v>
      </c>
      <c r="J414" s="19">
        <f>Ringkasan!J412</f>
        <v>15.5</v>
      </c>
      <c r="K414" s="19">
        <f>Ringkasan!K412</f>
        <v>1.7</v>
      </c>
      <c r="L414" s="19">
        <f>Ringkasan!L412</f>
        <v>2.2</v>
      </c>
      <c r="M414" s="19">
        <f>Ringkasan!M412</f>
        <v>160</v>
      </c>
      <c r="N414" s="64">
        <f>Ringkasan!N412</f>
        <v>6.1</v>
      </c>
      <c r="O414" s="64">
        <f>Ringkasan!O412</f>
        <v>24.08</v>
      </c>
      <c r="P414" s="64">
        <f>Ringkasan!P412</f>
        <v>83.74</v>
      </c>
      <c r="Q414" s="64">
        <f>Ringkasan!Q412</f>
        <v>1.81</v>
      </c>
      <c r="R414" s="64">
        <f>Ringkasan!R412</f>
        <v>67.49</v>
      </c>
      <c r="S414" s="64">
        <f>Ringkasan!S412</f>
        <v>44.55</v>
      </c>
      <c r="T414" s="64">
        <f>Ringkasan!T412</f>
        <v>10.26</v>
      </c>
      <c r="U414" s="64">
        <f>Ringkasan!U412</f>
        <v>1795</v>
      </c>
      <c r="V414" s="64">
        <f>Ringkasan!V412</f>
        <v>4.18</v>
      </c>
      <c r="W414" s="64">
        <f>Ringkasan!W412</f>
        <v>1805</v>
      </c>
      <c r="X414" s="64">
        <f>Ringkasan!X412</f>
        <v>1870</v>
      </c>
      <c r="Y414" s="64">
        <f>Ringkasan!Y412</f>
        <v>1805</v>
      </c>
      <c r="Z414" s="64">
        <f>Ringkasan!Z412</f>
        <v>22071200</v>
      </c>
      <c r="AA414" s="64" t="str">
        <f>Ringkasan!AA412</f>
        <v>Banks</v>
      </c>
      <c r="AB414" s="64" t="str">
        <f>Ringkasan!AB412</f>
        <v>Financials</v>
      </c>
    </row>
    <row r="415">
      <c r="A415" s="64" t="str">
        <f>Ringkasan!A413</f>
        <v>BRIS</v>
      </c>
      <c r="B415" s="64" t="str">
        <f>Ringkasan!B413</f>
        <v>Bank Syariah Indonesia (Persero) Tbk.</v>
      </c>
      <c r="C415" s="65" t="str">
        <f>Ringkasan!C413</f>
        <v>#N/A</v>
      </c>
      <c r="D415" s="64" t="str">
        <f>Ringkasan!D413</f>
        <v>#N/A</v>
      </c>
      <c r="E415" s="64" t="str">
        <f>Ringkasan!E413</f>
        <v>Investor33</v>
      </c>
      <c r="F415" s="66">
        <f>Ringkasan!F413</f>
        <v>46356</v>
      </c>
      <c r="G415" s="64">
        <f>Ringkasan!G413</f>
        <v>13</v>
      </c>
      <c r="H415" s="19">
        <f>Ringkasan!H413</f>
        <v>11.6</v>
      </c>
      <c r="I415" s="19">
        <f>Ringkasan!I413</f>
        <v>1.8</v>
      </c>
      <c r="J415" s="19">
        <f>Ringkasan!J413</f>
        <v>15.5</v>
      </c>
      <c r="K415" s="19">
        <f>Ringkasan!K413</f>
        <v>1.7</v>
      </c>
      <c r="L415" s="19">
        <f>Ringkasan!L413</f>
        <v>2.2</v>
      </c>
      <c r="M415" s="19">
        <f>Ringkasan!M413</f>
        <v>160</v>
      </c>
      <c r="N415" s="64">
        <f>Ringkasan!N413</f>
        <v>6.1</v>
      </c>
      <c r="O415" s="64">
        <f>Ringkasan!O413</f>
        <v>24.08</v>
      </c>
      <c r="P415" s="64">
        <f>Ringkasan!P413</f>
        <v>83.74</v>
      </c>
      <c r="Q415" s="64">
        <f>Ringkasan!Q413</f>
        <v>1.81</v>
      </c>
      <c r="R415" s="64">
        <f>Ringkasan!R413</f>
        <v>67.49</v>
      </c>
      <c r="S415" s="64">
        <f>Ringkasan!S413</f>
        <v>44.55</v>
      </c>
      <c r="T415" s="64">
        <f>Ringkasan!T413</f>
        <v>10.26</v>
      </c>
      <c r="U415" s="64">
        <f>Ringkasan!U413</f>
        <v>1795</v>
      </c>
      <c r="V415" s="64">
        <f>Ringkasan!V413</f>
        <v>4.18</v>
      </c>
      <c r="W415" s="64">
        <f>Ringkasan!W413</f>
        <v>1805</v>
      </c>
      <c r="X415" s="64">
        <f>Ringkasan!X413</f>
        <v>1870</v>
      </c>
      <c r="Y415" s="64">
        <f>Ringkasan!Y413</f>
        <v>1805</v>
      </c>
      <c r="Z415" s="64">
        <f>Ringkasan!Z413</f>
        <v>22071200</v>
      </c>
      <c r="AA415" s="64" t="str">
        <f>Ringkasan!AA413</f>
        <v>Banks</v>
      </c>
      <c r="AB415" s="64" t="str">
        <f>Ringkasan!AB413</f>
        <v>Financials</v>
      </c>
    </row>
    <row r="416">
      <c r="A416" s="64" t="str">
        <f>Ringkasan!A414</f>
        <v>BRIS</v>
      </c>
      <c r="B416" s="64" t="str">
        <f>Ringkasan!B414</f>
        <v>Bank Syariah Indonesia (Persero) Tbk.</v>
      </c>
      <c r="C416" s="65" t="str">
        <f>Ringkasan!C414</f>
        <v>#N/A</v>
      </c>
      <c r="D416" s="64" t="str">
        <f>Ringkasan!D414</f>
        <v>#N/A</v>
      </c>
      <c r="E416" s="64" t="str">
        <f>Ringkasan!E414</f>
        <v>JII30</v>
      </c>
      <c r="F416" s="66">
        <f>Ringkasan!F414</f>
        <v>46356</v>
      </c>
      <c r="G416" s="64">
        <f>Ringkasan!G414</f>
        <v>13</v>
      </c>
      <c r="H416" s="19">
        <f>Ringkasan!H414</f>
        <v>11.6</v>
      </c>
      <c r="I416" s="19">
        <f>Ringkasan!I414</f>
        <v>1.8</v>
      </c>
      <c r="J416" s="19">
        <f>Ringkasan!J414</f>
        <v>15.5</v>
      </c>
      <c r="K416" s="19">
        <f>Ringkasan!K414</f>
        <v>1.7</v>
      </c>
      <c r="L416" s="19">
        <f>Ringkasan!L414</f>
        <v>2.2</v>
      </c>
      <c r="M416" s="19">
        <f>Ringkasan!M414</f>
        <v>160</v>
      </c>
      <c r="N416" s="64">
        <f>Ringkasan!N414</f>
        <v>6.1</v>
      </c>
      <c r="O416" s="64">
        <f>Ringkasan!O414</f>
        <v>24.08</v>
      </c>
      <c r="P416" s="64">
        <f>Ringkasan!P414</f>
        <v>83.74</v>
      </c>
      <c r="Q416" s="64">
        <f>Ringkasan!Q414</f>
        <v>1.81</v>
      </c>
      <c r="R416" s="64">
        <f>Ringkasan!R414</f>
        <v>67.49</v>
      </c>
      <c r="S416" s="64">
        <f>Ringkasan!S414</f>
        <v>44.55</v>
      </c>
      <c r="T416" s="64">
        <f>Ringkasan!T414</f>
        <v>10.26</v>
      </c>
      <c r="U416" s="64">
        <f>Ringkasan!U414</f>
        <v>1795</v>
      </c>
      <c r="V416" s="64">
        <f>Ringkasan!V414</f>
        <v>4.18</v>
      </c>
      <c r="W416" s="64">
        <f>Ringkasan!W414</f>
        <v>1805</v>
      </c>
      <c r="X416" s="64">
        <f>Ringkasan!X414</f>
        <v>1870</v>
      </c>
      <c r="Y416" s="64">
        <f>Ringkasan!Y414</f>
        <v>1805</v>
      </c>
      <c r="Z416" s="64">
        <f>Ringkasan!Z414</f>
        <v>22071200</v>
      </c>
      <c r="AA416" s="64" t="str">
        <f>Ringkasan!AA414</f>
        <v>Banks</v>
      </c>
      <c r="AB416" s="64" t="str">
        <f>Ringkasan!AB414</f>
        <v>Financials</v>
      </c>
    </row>
    <row r="417">
      <c r="A417" s="64" t="str">
        <f>Ringkasan!A415</f>
        <v>BRIS</v>
      </c>
      <c r="B417" s="64" t="str">
        <f>Ringkasan!B415</f>
        <v>Bank Syariah Indonesia (Persero) Tbk.</v>
      </c>
      <c r="C417" s="65" t="str">
        <f>Ringkasan!C415</f>
        <v>#N/A</v>
      </c>
      <c r="D417" s="64" t="str">
        <f>Ringkasan!D415</f>
        <v>#N/A</v>
      </c>
      <c r="E417" s="64" t="str">
        <f>Ringkasan!E415</f>
        <v>JII70</v>
      </c>
      <c r="F417" s="66">
        <f>Ringkasan!F415</f>
        <v>46356</v>
      </c>
      <c r="G417" s="64">
        <f>Ringkasan!G415</f>
        <v>13</v>
      </c>
      <c r="H417" s="19">
        <f>Ringkasan!H415</f>
        <v>11.6</v>
      </c>
      <c r="I417" s="19">
        <f>Ringkasan!I415</f>
        <v>1.8</v>
      </c>
      <c r="J417" s="19">
        <f>Ringkasan!J415</f>
        <v>15.5</v>
      </c>
      <c r="K417" s="19">
        <f>Ringkasan!K415</f>
        <v>1.7</v>
      </c>
      <c r="L417" s="19">
        <f>Ringkasan!L415</f>
        <v>2.2</v>
      </c>
      <c r="M417" s="19">
        <f>Ringkasan!M415</f>
        <v>160</v>
      </c>
      <c r="N417" s="64">
        <f>Ringkasan!N415</f>
        <v>6.1</v>
      </c>
      <c r="O417" s="64">
        <f>Ringkasan!O415</f>
        <v>24.08</v>
      </c>
      <c r="P417" s="64">
        <f>Ringkasan!P415</f>
        <v>83.74</v>
      </c>
      <c r="Q417" s="64">
        <f>Ringkasan!Q415</f>
        <v>1.81</v>
      </c>
      <c r="R417" s="64">
        <f>Ringkasan!R415</f>
        <v>67.49</v>
      </c>
      <c r="S417" s="64">
        <f>Ringkasan!S415</f>
        <v>44.55</v>
      </c>
      <c r="T417" s="64">
        <f>Ringkasan!T415</f>
        <v>10.26</v>
      </c>
      <c r="U417" s="64">
        <f>Ringkasan!U415</f>
        <v>1795</v>
      </c>
      <c r="V417" s="64">
        <f>Ringkasan!V415</f>
        <v>4.18</v>
      </c>
      <c r="W417" s="64">
        <f>Ringkasan!W415</f>
        <v>1805</v>
      </c>
      <c r="X417" s="64">
        <f>Ringkasan!X415</f>
        <v>1870</v>
      </c>
      <c r="Y417" s="64">
        <f>Ringkasan!Y415</f>
        <v>1805</v>
      </c>
      <c r="Z417" s="64">
        <f>Ringkasan!Z415</f>
        <v>22071200</v>
      </c>
      <c r="AA417" s="64" t="str">
        <f>Ringkasan!AA415</f>
        <v>Banks</v>
      </c>
      <c r="AB417" s="64" t="str">
        <f>Ringkasan!AB415</f>
        <v>Financials</v>
      </c>
    </row>
    <row r="418" hidden="1">
      <c r="A418" s="64" t="str">
        <f>Ringkasan!A417</f>
        <v>BRMS</v>
      </c>
      <c r="B418" s="64" t="str">
        <f>Ringkasan!B417</f>
        <v>Bumi Resources Minerals Tbk.</v>
      </c>
      <c r="C418" s="65">
        <f>Ringkasan!C417</f>
        <v>530</v>
      </c>
      <c r="D418" s="64" t="str">
        <f>Ringkasan!D417</f>
        <v>#N/A</v>
      </c>
      <c r="E418" s="64" t="str">
        <f>Ringkasan!E417</f>
        <v>ECONOMIC30</v>
      </c>
      <c r="F418" s="64" t="str">
        <f>Ringkasan!F417</f>
        <v>31 Agustus 2026</v>
      </c>
      <c r="G418" s="64">
        <f>Ringkasan!G417</f>
        <v>8</v>
      </c>
      <c r="H418" s="19">
        <f>Ringkasan!H417</f>
        <v>94</v>
      </c>
      <c r="I418" s="19">
        <f>Ringkasan!I417</f>
        <v>4.7</v>
      </c>
      <c r="J418" s="19">
        <f>Ringkasan!J417</f>
        <v>5</v>
      </c>
      <c r="K418" s="19">
        <f>Ringkasan!K417</f>
        <v>3.8</v>
      </c>
      <c r="L418" s="19">
        <f>Ringkasan!L417</f>
        <v>0.32</v>
      </c>
      <c r="M418" s="19">
        <f>Ringkasan!M417</f>
        <v>76</v>
      </c>
      <c r="N418" s="64" t="str">
        <f>Ringkasan!N417</f>
        <v/>
      </c>
      <c r="O418" s="64" t="str">
        <f>Ringkasan!O417</f>
        <v/>
      </c>
      <c r="P418" s="64" t="str">
        <f>Ringkasan!P417</f>
        <v/>
      </c>
      <c r="Q418" s="64" t="str">
        <f>Ringkasan!Q417</f>
        <v/>
      </c>
      <c r="R418" s="64" t="str">
        <f>Ringkasan!R417</f>
        <v/>
      </c>
      <c r="S418" s="64" t="str">
        <f>Ringkasan!S417</f>
        <v/>
      </c>
      <c r="T418" s="64" t="str">
        <f>Ringkasan!T417</f>
        <v/>
      </c>
      <c r="U418" s="64">
        <f>Ringkasan!U417</f>
        <v>480</v>
      </c>
      <c r="V418" s="64">
        <f>Ringkasan!V417</f>
        <v>10.42</v>
      </c>
      <c r="W418" s="64">
        <f>Ringkasan!W417</f>
        <v>494</v>
      </c>
      <c r="X418" s="64">
        <f>Ringkasan!X417</f>
        <v>565</v>
      </c>
      <c r="Y418" s="64">
        <f>Ringkasan!Y417</f>
        <v>494</v>
      </c>
      <c r="Z418" s="64">
        <f>Ringkasan!Z417</f>
        <v>592595900</v>
      </c>
      <c r="AA418" s="64" t="str">
        <f>Ringkasan!AA417</f>
        <v>Metals &amp; Minerals</v>
      </c>
      <c r="AB418" s="64" t="str">
        <f>Ringkasan!AB417</f>
        <v>Basic Materials</v>
      </c>
    </row>
    <row r="419" hidden="1">
      <c r="A419" s="64" t="str">
        <f>Ringkasan!A418</f>
        <v>BRMS</v>
      </c>
      <c r="B419" s="64" t="str">
        <f>Ringkasan!B418</f>
        <v>Bumi Resources Minerals Tbk.</v>
      </c>
      <c r="C419" s="65">
        <f>Ringkasan!C418</f>
        <v>530</v>
      </c>
      <c r="D419" s="64" t="str">
        <f>Ringkasan!D418</f>
        <v>#N/A</v>
      </c>
      <c r="E419" s="64" t="str">
        <f>Ringkasan!E418</f>
        <v>IDX80</v>
      </c>
      <c r="F419" s="64" t="str">
        <f>Ringkasan!F418</f>
        <v>31 Juli 2026</v>
      </c>
      <c r="G419" s="64">
        <f>Ringkasan!G418</f>
        <v>8</v>
      </c>
      <c r="H419" s="19">
        <f>Ringkasan!H418</f>
        <v>94</v>
      </c>
      <c r="I419" s="19">
        <f>Ringkasan!I418</f>
        <v>4.7</v>
      </c>
      <c r="J419" s="19">
        <f>Ringkasan!J418</f>
        <v>5</v>
      </c>
      <c r="K419" s="19">
        <f>Ringkasan!K418</f>
        <v>3.8</v>
      </c>
      <c r="L419" s="19">
        <f>Ringkasan!L418</f>
        <v>0.32</v>
      </c>
      <c r="M419" s="19">
        <f>Ringkasan!M418</f>
        <v>76</v>
      </c>
      <c r="N419" s="64" t="str">
        <f>Ringkasan!N418</f>
        <v/>
      </c>
      <c r="O419" s="64" t="str">
        <f>Ringkasan!O418</f>
        <v/>
      </c>
      <c r="P419" s="64" t="str">
        <f>Ringkasan!P418</f>
        <v/>
      </c>
      <c r="Q419" s="64" t="str">
        <f>Ringkasan!Q418</f>
        <v/>
      </c>
      <c r="R419" s="64" t="str">
        <f>Ringkasan!R418</f>
        <v/>
      </c>
      <c r="S419" s="64" t="str">
        <f>Ringkasan!S418</f>
        <v/>
      </c>
      <c r="T419" s="64" t="str">
        <f>Ringkasan!T418</f>
        <v/>
      </c>
      <c r="U419" s="64">
        <f>Ringkasan!U418</f>
        <v>480</v>
      </c>
      <c r="V419" s="64">
        <f>Ringkasan!V418</f>
        <v>10.42</v>
      </c>
      <c r="W419" s="64">
        <f>Ringkasan!W418</f>
        <v>494</v>
      </c>
      <c r="X419" s="64">
        <f>Ringkasan!X418</f>
        <v>565</v>
      </c>
      <c r="Y419" s="64">
        <f>Ringkasan!Y418</f>
        <v>494</v>
      </c>
      <c r="Z419" s="64">
        <f>Ringkasan!Z418</f>
        <v>592595900</v>
      </c>
      <c r="AA419" s="64" t="str">
        <f>Ringkasan!AA418</f>
        <v>Metals &amp; Minerals</v>
      </c>
      <c r="AB419" s="64" t="str">
        <f>Ringkasan!AB418</f>
        <v>Basic Materials</v>
      </c>
    </row>
    <row r="420" hidden="1">
      <c r="A420" s="64" t="str">
        <f>Ringkasan!A419</f>
        <v>BRMS</v>
      </c>
      <c r="B420" s="64" t="str">
        <f>Ringkasan!B419</f>
        <v>Bumi Resources Minerals Tbk.</v>
      </c>
      <c r="C420" s="65">
        <f>Ringkasan!C419</f>
        <v>530</v>
      </c>
      <c r="D420" s="64" t="str">
        <f>Ringkasan!D419</f>
        <v>#N/A</v>
      </c>
      <c r="E420" s="64" t="str">
        <f>Ringkasan!E419</f>
        <v>Kompas100</v>
      </c>
      <c r="F420" s="64" t="str">
        <f>Ringkasan!F419</f>
        <v>31 Juli 2026</v>
      </c>
      <c r="G420" s="64">
        <f>Ringkasan!G419</f>
        <v>8</v>
      </c>
      <c r="H420" s="19">
        <f>Ringkasan!H419</f>
        <v>94</v>
      </c>
      <c r="I420" s="19">
        <f>Ringkasan!I419</f>
        <v>4.7</v>
      </c>
      <c r="J420" s="19">
        <f>Ringkasan!J419</f>
        <v>5</v>
      </c>
      <c r="K420" s="19">
        <f>Ringkasan!K419</f>
        <v>3.8</v>
      </c>
      <c r="L420" s="19">
        <f>Ringkasan!L419</f>
        <v>0.32</v>
      </c>
      <c r="M420" s="19">
        <f>Ringkasan!M419</f>
        <v>76</v>
      </c>
      <c r="N420" s="64" t="str">
        <f>Ringkasan!N419</f>
        <v/>
      </c>
      <c r="O420" s="64" t="str">
        <f>Ringkasan!O419</f>
        <v/>
      </c>
      <c r="P420" s="64" t="str">
        <f>Ringkasan!P419</f>
        <v/>
      </c>
      <c r="Q420" s="64" t="str">
        <f>Ringkasan!Q419</f>
        <v/>
      </c>
      <c r="R420" s="64" t="str">
        <f>Ringkasan!R419</f>
        <v/>
      </c>
      <c r="S420" s="64" t="str">
        <f>Ringkasan!S419</f>
        <v/>
      </c>
      <c r="T420" s="64" t="str">
        <f>Ringkasan!T419</f>
        <v/>
      </c>
      <c r="U420" s="64">
        <f>Ringkasan!U419</f>
        <v>480</v>
      </c>
      <c r="V420" s="64">
        <f>Ringkasan!V419</f>
        <v>10.42</v>
      </c>
      <c r="W420" s="64">
        <f>Ringkasan!W419</f>
        <v>494</v>
      </c>
      <c r="X420" s="64">
        <f>Ringkasan!X419</f>
        <v>565</v>
      </c>
      <c r="Y420" s="64">
        <f>Ringkasan!Y419</f>
        <v>494</v>
      </c>
      <c r="Z420" s="64">
        <f>Ringkasan!Z419</f>
        <v>592595900</v>
      </c>
      <c r="AA420" s="64" t="str">
        <f>Ringkasan!AA419</f>
        <v>Metals &amp; Minerals</v>
      </c>
      <c r="AB420" s="64" t="str">
        <f>Ringkasan!AB419</f>
        <v>Basic Materials</v>
      </c>
    </row>
    <row r="421" hidden="1">
      <c r="A421" s="64" t="str">
        <f>Ringkasan!A420</f>
        <v>BRMS</v>
      </c>
      <c r="B421" s="64" t="str">
        <f>Ringkasan!B420</f>
        <v>Bumi Resources Minerals Tbk.</v>
      </c>
      <c r="C421" s="65">
        <f>Ringkasan!C420</f>
        <v>530</v>
      </c>
      <c r="D421" s="64" t="str">
        <f>Ringkasan!D420</f>
        <v>#N/A</v>
      </c>
      <c r="E421" s="64" t="str">
        <f>Ringkasan!E420</f>
        <v>MNC36</v>
      </c>
      <c r="F421" s="64" t="str">
        <f>Ringkasan!F420</f>
        <v>30 Oktober 2026</v>
      </c>
      <c r="G421" s="64">
        <f>Ringkasan!G420</f>
        <v>8</v>
      </c>
      <c r="H421" s="19">
        <f>Ringkasan!H420</f>
        <v>94</v>
      </c>
      <c r="I421" s="19">
        <f>Ringkasan!I420</f>
        <v>4.7</v>
      </c>
      <c r="J421" s="19">
        <f>Ringkasan!J420</f>
        <v>5</v>
      </c>
      <c r="K421" s="19">
        <f>Ringkasan!K420</f>
        <v>3.8</v>
      </c>
      <c r="L421" s="19">
        <f>Ringkasan!L420</f>
        <v>0.32</v>
      </c>
      <c r="M421" s="19">
        <f>Ringkasan!M420</f>
        <v>76</v>
      </c>
      <c r="N421" s="64" t="str">
        <f>Ringkasan!N420</f>
        <v/>
      </c>
      <c r="O421" s="64" t="str">
        <f>Ringkasan!O420</f>
        <v/>
      </c>
      <c r="P421" s="64" t="str">
        <f>Ringkasan!P420</f>
        <v/>
      </c>
      <c r="Q421" s="64" t="str">
        <f>Ringkasan!Q420</f>
        <v/>
      </c>
      <c r="R421" s="64" t="str">
        <f>Ringkasan!R420</f>
        <v/>
      </c>
      <c r="S421" s="64" t="str">
        <f>Ringkasan!S420</f>
        <v/>
      </c>
      <c r="T421" s="64" t="str">
        <f>Ringkasan!T420</f>
        <v/>
      </c>
      <c r="U421" s="64">
        <f>Ringkasan!U420</f>
        <v>480</v>
      </c>
      <c r="V421" s="64">
        <f>Ringkasan!V420</f>
        <v>10.42</v>
      </c>
      <c r="W421" s="64">
        <f>Ringkasan!W420</f>
        <v>494</v>
      </c>
      <c r="X421" s="64">
        <f>Ringkasan!X420</f>
        <v>565</v>
      </c>
      <c r="Y421" s="64">
        <f>Ringkasan!Y420</f>
        <v>494</v>
      </c>
      <c r="Z421" s="64">
        <f>Ringkasan!Z420</f>
        <v>592595900</v>
      </c>
      <c r="AA421" s="64" t="str">
        <f>Ringkasan!AA420</f>
        <v>Metals &amp; Minerals</v>
      </c>
      <c r="AB421" s="64" t="str">
        <f>Ringkasan!AB420</f>
        <v>Basic Materials</v>
      </c>
    </row>
    <row r="422" hidden="1">
      <c r="A422" s="64" t="str">
        <f>Ringkasan!A421</f>
        <v>BRMS</v>
      </c>
      <c r="B422" s="64" t="str">
        <f>Ringkasan!B421</f>
        <v>Bumi Resources Minerals Tbk.</v>
      </c>
      <c r="C422" s="65">
        <f>Ringkasan!C421</f>
        <v>530</v>
      </c>
      <c r="D422" s="64" t="str">
        <f>Ringkasan!D421</f>
        <v>#N/A</v>
      </c>
      <c r="E422" s="64" t="str">
        <f>Ringkasan!E421</f>
        <v>BISNIS-27</v>
      </c>
      <c r="F422" s="64" t="str">
        <f>Ringkasan!F421</f>
        <v>30 Oktober 2026</v>
      </c>
      <c r="G422" s="64">
        <f>Ringkasan!G421</f>
        <v>8</v>
      </c>
      <c r="H422" s="19">
        <f>Ringkasan!H421</f>
        <v>94</v>
      </c>
      <c r="I422" s="19">
        <f>Ringkasan!I421</f>
        <v>4.7</v>
      </c>
      <c r="J422" s="19">
        <f>Ringkasan!J421</f>
        <v>5</v>
      </c>
      <c r="K422" s="19">
        <f>Ringkasan!K421</f>
        <v>3.8</v>
      </c>
      <c r="L422" s="19">
        <f>Ringkasan!L421</f>
        <v>0.32</v>
      </c>
      <c r="M422" s="19">
        <f>Ringkasan!M421</f>
        <v>76</v>
      </c>
      <c r="N422" s="19" t="str">
        <f>Ringkasan!N421</f>
        <v/>
      </c>
      <c r="O422" s="19" t="str">
        <f>Ringkasan!O421</f>
        <v/>
      </c>
      <c r="P422" s="19" t="str">
        <f>Ringkasan!P421</f>
        <v/>
      </c>
      <c r="Q422" s="19" t="str">
        <f>Ringkasan!Q421</f>
        <v/>
      </c>
      <c r="R422" s="19" t="str">
        <f>Ringkasan!R421</f>
        <v/>
      </c>
      <c r="S422" s="19" t="str">
        <f>Ringkasan!S421</f>
        <v/>
      </c>
      <c r="T422" s="19" t="str">
        <f>Ringkasan!T421</f>
        <v/>
      </c>
      <c r="U422" s="64">
        <f>Ringkasan!U421</f>
        <v>480</v>
      </c>
      <c r="V422" s="64">
        <f>Ringkasan!V421</f>
        <v>10.42</v>
      </c>
      <c r="W422" s="64">
        <f>Ringkasan!W421</f>
        <v>494</v>
      </c>
      <c r="X422" s="64">
        <f>Ringkasan!X421</f>
        <v>565</v>
      </c>
      <c r="Y422" s="64">
        <f>Ringkasan!Y421</f>
        <v>494</v>
      </c>
      <c r="Z422" s="64">
        <f>Ringkasan!Z421</f>
        <v>592595900</v>
      </c>
      <c r="AA422" s="64" t="str">
        <f>Ringkasan!AA421</f>
        <v>Metals &amp; Minerals</v>
      </c>
      <c r="AB422" s="64" t="str">
        <f>Ringkasan!AB421</f>
        <v>Basic Materials</v>
      </c>
    </row>
    <row r="423" hidden="1">
      <c r="A423" s="64" t="str">
        <f>Ringkasan!A422</f>
        <v>BRMS</v>
      </c>
      <c r="B423" s="64" t="str">
        <f>Ringkasan!B422</f>
        <v>Bumi Resources Minerals Tbk.</v>
      </c>
      <c r="C423" s="65">
        <f>Ringkasan!C422</f>
        <v>530</v>
      </c>
      <c r="D423" s="64" t="str">
        <f>Ringkasan!D422</f>
        <v>#N/A</v>
      </c>
      <c r="E423" s="64" t="str">
        <f>Ringkasan!E422</f>
        <v>JII30</v>
      </c>
      <c r="F423" s="66">
        <f>Ringkasan!F422</f>
        <v>46356</v>
      </c>
      <c r="G423" s="64">
        <f>Ringkasan!G422</f>
        <v>8</v>
      </c>
      <c r="H423" s="19">
        <f>Ringkasan!H422</f>
        <v>94</v>
      </c>
      <c r="I423" s="19">
        <f>Ringkasan!I422</f>
        <v>4.7</v>
      </c>
      <c r="J423" s="19">
        <f>Ringkasan!J422</f>
        <v>5</v>
      </c>
      <c r="K423" s="19">
        <f>Ringkasan!K422</f>
        <v>3.8</v>
      </c>
      <c r="L423" s="19">
        <f>Ringkasan!L422</f>
        <v>0.32</v>
      </c>
      <c r="M423" s="19">
        <f>Ringkasan!M422</f>
        <v>76</v>
      </c>
      <c r="N423" s="64" t="str">
        <f>Ringkasan!N422</f>
        <v/>
      </c>
      <c r="O423" s="64" t="str">
        <f>Ringkasan!O422</f>
        <v/>
      </c>
      <c r="P423" s="64" t="str">
        <f>Ringkasan!P422</f>
        <v/>
      </c>
      <c r="Q423" s="64" t="str">
        <f>Ringkasan!Q422</f>
        <v/>
      </c>
      <c r="R423" s="64" t="str">
        <f>Ringkasan!R422</f>
        <v/>
      </c>
      <c r="S423" s="64" t="str">
        <f>Ringkasan!S422</f>
        <v/>
      </c>
      <c r="T423" s="64" t="str">
        <f>Ringkasan!T422</f>
        <v/>
      </c>
      <c r="U423" s="64">
        <f>Ringkasan!U422</f>
        <v>480</v>
      </c>
      <c r="V423" s="64">
        <f>Ringkasan!V422</f>
        <v>10.42</v>
      </c>
      <c r="W423" s="64">
        <f>Ringkasan!W422</f>
        <v>494</v>
      </c>
      <c r="X423" s="64">
        <f>Ringkasan!X422</f>
        <v>565</v>
      </c>
      <c r="Y423" s="64">
        <f>Ringkasan!Y422</f>
        <v>494</v>
      </c>
      <c r="Z423" s="64">
        <f>Ringkasan!Z422</f>
        <v>592595900</v>
      </c>
      <c r="AA423" s="64" t="str">
        <f>Ringkasan!AA422</f>
        <v>Metals &amp; Minerals</v>
      </c>
      <c r="AB423" s="64" t="str">
        <f>Ringkasan!AB422</f>
        <v>Basic Materials</v>
      </c>
    </row>
    <row r="424" hidden="1">
      <c r="A424" s="64" t="str">
        <f>Ringkasan!A423</f>
        <v>BRMS</v>
      </c>
      <c r="B424" s="64" t="str">
        <f>Ringkasan!B423</f>
        <v>Bumi Resources Minerals Tbk.</v>
      </c>
      <c r="C424" s="65">
        <f>Ringkasan!C423</f>
        <v>530</v>
      </c>
      <c r="D424" s="64" t="str">
        <f>Ringkasan!D423</f>
        <v>#N/A</v>
      </c>
      <c r="E424" s="64" t="str">
        <f>Ringkasan!E423</f>
        <v>JII70</v>
      </c>
      <c r="F424" s="66">
        <f>Ringkasan!F423</f>
        <v>46356</v>
      </c>
      <c r="G424" s="64">
        <f>Ringkasan!G423</f>
        <v>8</v>
      </c>
      <c r="H424" s="19">
        <f>Ringkasan!H423</f>
        <v>94</v>
      </c>
      <c r="I424" s="19">
        <f>Ringkasan!I423</f>
        <v>4.7</v>
      </c>
      <c r="J424" s="19">
        <f>Ringkasan!J423</f>
        <v>5</v>
      </c>
      <c r="K424" s="19">
        <f>Ringkasan!K423</f>
        <v>3.8</v>
      </c>
      <c r="L424" s="19">
        <f>Ringkasan!L423</f>
        <v>0.32</v>
      </c>
      <c r="M424" s="19">
        <f>Ringkasan!M423</f>
        <v>76</v>
      </c>
      <c r="N424" s="64" t="str">
        <f>Ringkasan!N423</f>
        <v/>
      </c>
      <c r="O424" s="64" t="str">
        <f>Ringkasan!O423</f>
        <v/>
      </c>
      <c r="P424" s="64" t="str">
        <f>Ringkasan!P423</f>
        <v/>
      </c>
      <c r="Q424" s="64" t="str">
        <f>Ringkasan!Q423</f>
        <v/>
      </c>
      <c r="R424" s="64" t="str">
        <f>Ringkasan!R423</f>
        <v/>
      </c>
      <c r="S424" s="64" t="str">
        <f>Ringkasan!S423</f>
        <v/>
      </c>
      <c r="T424" s="64" t="str">
        <f>Ringkasan!T423</f>
        <v/>
      </c>
      <c r="U424" s="64">
        <f>Ringkasan!U423</f>
        <v>480</v>
      </c>
      <c r="V424" s="64">
        <f>Ringkasan!V423</f>
        <v>10.42</v>
      </c>
      <c r="W424" s="64">
        <f>Ringkasan!W423</f>
        <v>494</v>
      </c>
      <c r="X424" s="64">
        <f>Ringkasan!X423</f>
        <v>565</v>
      </c>
      <c r="Y424" s="64">
        <f>Ringkasan!Y423</f>
        <v>494</v>
      </c>
      <c r="Z424" s="64">
        <f>Ringkasan!Z423</f>
        <v>592595900</v>
      </c>
      <c r="AA424" s="64" t="str">
        <f>Ringkasan!AA423</f>
        <v>Metals &amp; Minerals</v>
      </c>
      <c r="AB424" s="64" t="str">
        <f>Ringkasan!AB423</f>
        <v>Basic Materials</v>
      </c>
    </row>
    <row r="425" hidden="1">
      <c r="A425" s="64" t="str">
        <f>Ringkasan!A424</f>
        <v>BRNA</v>
      </c>
      <c r="B425" s="64" t="str">
        <f>Ringkasan!B424</f>
        <v>Berlina Tbk.</v>
      </c>
      <c r="C425" s="65">
        <f>Ringkasan!C424</f>
        <v>595</v>
      </c>
      <c r="D425" s="64" t="str">
        <f>Ringkasan!D424</f>
        <v>#N/A</v>
      </c>
      <c r="E425" s="64" t="str">
        <f>Ringkasan!E424</f>
        <v/>
      </c>
      <c r="F425" s="64" t="str">
        <f>Ringkasan!F424</f>
        <v/>
      </c>
      <c r="G425" s="64">
        <f>Ringkasan!G424</f>
        <v>0</v>
      </c>
      <c r="H425" s="19">
        <f>Ringkasan!H424</f>
        <v>97.9</v>
      </c>
      <c r="I425" s="19">
        <f>Ringkasan!I424</f>
        <v>0.6</v>
      </c>
      <c r="J425" s="19">
        <f>Ringkasan!J424</f>
        <v>0.61</v>
      </c>
      <c r="K425" s="19">
        <f>Ringkasan!K424</f>
        <v>0.28</v>
      </c>
      <c r="L425" s="19">
        <f>Ringkasan!L424</f>
        <v>1.2</v>
      </c>
      <c r="M425" s="19">
        <f>Ringkasan!M424</f>
        <v>2.2</v>
      </c>
      <c r="N425" s="64" t="str">
        <f>Ringkasan!N424</f>
        <v/>
      </c>
      <c r="O425" s="64" t="str">
        <f>Ringkasan!O424</f>
        <v/>
      </c>
      <c r="P425" s="64" t="str">
        <f>Ringkasan!P424</f>
        <v/>
      </c>
      <c r="Q425" s="64" t="str">
        <f>Ringkasan!Q424</f>
        <v/>
      </c>
      <c r="R425" s="64" t="str">
        <f>Ringkasan!R424</f>
        <v/>
      </c>
      <c r="S425" s="64" t="str">
        <f>Ringkasan!S424</f>
        <v/>
      </c>
      <c r="T425" s="64" t="str">
        <f>Ringkasan!T424</f>
        <v/>
      </c>
      <c r="U425" s="64">
        <f>Ringkasan!U424</f>
        <v>595</v>
      </c>
      <c r="V425" s="64">
        <f>Ringkasan!V424</f>
        <v>0</v>
      </c>
      <c r="W425" s="64">
        <f>Ringkasan!W424</f>
        <v>570</v>
      </c>
      <c r="X425" s="64">
        <f>Ringkasan!X424</f>
        <v>595</v>
      </c>
      <c r="Y425" s="64">
        <f>Ringkasan!Y424</f>
        <v>565</v>
      </c>
      <c r="Z425" s="64">
        <f>Ringkasan!Z424</f>
        <v>16100</v>
      </c>
      <c r="AA425" s="64" t="str">
        <f>Ringkasan!AA424</f>
        <v>Containers &amp; Packaging</v>
      </c>
      <c r="AB425" s="64" t="str">
        <f>Ringkasan!AB424</f>
        <v>Basic Materials</v>
      </c>
    </row>
    <row r="426" hidden="1">
      <c r="A426" s="64" t="str">
        <f>Ringkasan!A425</f>
        <v>BRPT</v>
      </c>
      <c r="B426" s="64" t="str">
        <f>Ringkasan!B425</f>
        <v>Barito Pacific Tbk.</v>
      </c>
      <c r="C426" s="65">
        <f>Ringkasan!C425</f>
        <v>1700</v>
      </c>
      <c r="D426" s="64" t="str">
        <f>Ringkasan!D425</f>
        <v>#N/A</v>
      </c>
      <c r="E426" s="64" t="str">
        <f>Ringkasan!E425</f>
        <v>MSCI Global Standard</v>
      </c>
      <c r="F426" s="64" t="str">
        <f>Ringkasan!F425</f>
        <v>12 Agustus 2026</v>
      </c>
      <c r="G426" s="64">
        <f>Ringkasan!G425</f>
        <v>10</v>
      </c>
      <c r="H426" s="19">
        <f>Ringkasan!H425</f>
        <v>19.2</v>
      </c>
      <c r="I426" s="19">
        <f>Ringkasan!I425</f>
        <v>1.7</v>
      </c>
      <c r="J426" s="19">
        <f>Ringkasan!J425</f>
        <v>8.9</v>
      </c>
      <c r="K426" s="19">
        <f>Ringkasan!K425</f>
        <v>3.2</v>
      </c>
      <c r="L426" s="19">
        <f>Ringkasan!L425</f>
        <v>1.8</v>
      </c>
      <c r="M426" s="19">
        <f>Ringkasan!M425</f>
        <v>21.7</v>
      </c>
      <c r="N426" s="64">
        <f>Ringkasan!N425</f>
        <v>4.93</v>
      </c>
      <c r="O426" s="64">
        <f>Ringkasan!O425</f>
        <v>20.1</v>
      </c>
      <c r="P426" s="64">
        <f>Ringkasan!P425</f>
        <v>98.04</v>
      </c>
      <c r="Q426" s="64">
        <f>Ringkasan!Q425</f>
        <v>0.97</v>
      </c>
      <c r="R426" s="64">
        <f>Ringkasan!R425</f>
        <v>56.46</v>
      </c>
      <c r="S426" s="64">
        <f>Ringkasan!S425</f>
        <v>35.04</v>
      </c>
      <c r="T426" s="64">
        <f>Ringkasan!T425</f>
        <v>6.81</v>
      </c>
      <c r="U426" s="64">
        <f>Ringkasan!U425</f>
        <v>1650</v>
      </c>
      <c r="V426" s="64">
        <f>Ringkasan!V425</f>
        <v>3.03</v>
      </c>
      <c r="W426" s="64">
        <f>Ringkasan!W425</f>
        <v>1700</v>
      </c>
      <c r="X426" s="64">
        <f>Ringkasan!X425</f>
        <v>1770</v>
      </c>
      <c r="Y426" s="64">
        <f>Ringkasan!Y425</f>
        <v>1680</v>
      </c>
      <c r="Z426" s="64">
        <f>Ringkasan!Z425</f>
        <v>279487700</v>
      </c>
      <c r="AA426" s="64" t="str">
        <f>Ringkasan!AA425</f>
        <v>Chemicals</v>
      </c>
      <c r="AB426" s="64" t="str">
        <f>Ringkasan!AB425</f>
        <v>Basic Materials</v>
      </c>
    </row>
    <row r="427" hidden="1">
      <c r="A427" s="64" t="str">
        <f>Ringkasan!A426</f>
        <v>BRPT</v>
      </c>
      <c r="B427" s="64" t="str">
        <f>Ringkasan!B426</f>
        <v>Barito Pacific Tbk.</v>
      </c>
      <c r="C427" s="65">
        <f>Ringkasan!C426</f>
        <v>1700</v>
      </c>
      <c r="D427" s="64" t="str">
        <f>Ringkasan!D426</f>
        <v>#N/A</v>
      </c>
      <c r="E427" s="64" t="str">
        <f>Ringkasan!E426</f>
        <v>IDXESGL</v>
      </c>
      <c r="F427" s="64" t="str">
        <f>Ringkasan!F426</f>
        <v>30 Oktober 2026</v>
      </c>
      <c r="G427" s="65">
        <f>Ringkasan!G426</f>
        <v>10</v>
      </c>
      <c r="H427" s="19">
        <f>Ringkasan!H426</f>
        <v>19.2</v>
      </c>
      <c r="I427" s="19">
        <f>Ringkasan!I426</f>
        <v>1.7</v>
      </c>
      <c r="J427" s="19">
        <f>Ringkasan!J426</f>
        <v>8.9</v>
      </c>
      <c r="K427" s="19">
        <f>Ringkasan!K426</f>
        <v>3.2</v>
      </c>
      <c r="L427" s="19">
        <f>Ringkasan!L426</f>
        <v>1.8</v>
      </c>
      <c r="M427" s="19">
        <f>Ringkasan!M426</f>
        <v>21.7</v>
      </c>
      <c r="N427" s="64" t="str">
        <f>Ringkasan!N426</f>
        <v/>
      </c>
      <c r="O427" s="64" t="str">
        <f>Ringkasan!O426</f>
        <v/>
      </c>
      <c r="P427" s="64" t="str">
        <f>Ringkasan!P426</f>
        <v/>
      </c>
      <c r="Q427" s="64" t="str">
        <f>Ringkasan!Q426</f>
        <v/>
      </c>
      <c r="R427" s="64" t="str">
        <f>Ringkasan!R426</f>
        <v/>
      </c>
      <c r="S427" s="64" t="str">
        <f>Ringkasan!S426</f>
        <v/>
      </c>
      <c r="T427" s="64" t="str">
        <f>Ringkasan!T426</f>
        <v/>
      </c>
      <c r="U427" s="64">
        <f>Ringkasan!U426</f>
        <v>1650</v>
      </c>
      <c r="V427" s="64">
        <f>Ringkasan!V426</f>
        <v>3.03</v>
      </c>
      <c r="W427" s="64">
        <f>Ringkasan!W426</f>
        <v>1700</v>
      </c>
      <c r="X427" s="64">
        <f>Ringkasan!X426</f>
        <v>1770</v>
      </c>
      <c r="Y427" s="64">
        <f>Ringkasan!Y426</f>
        <v>1680</v>
      </c>
      <c r="Z427" s="64">
        <f>Ringkasan!Z426</f>
        <v>279487700</v>
      </c>
      <c r="AA427" s="64" t="str">
        <f>Ringkasan!AA426</f>
        <v>Chemicals</v>
      </c>
      <c r="AB427" s="64" t="str">
        <f>Ringkasan!AB426</f>
        <v>Basic Materials</v>
      </c>
    </row>
    <row r="428" hidden="1">
      <c r="A428" s="64" t="str">
        <f>Ringkasan!A427</f>
        <v>BRPT</v>
      </c>
      <c r="B428" s="64" t="str">
        <f>Ringkasan!B427</f>
        <v>Barito Pacific Tbk.</v>
      </c>
      <c r="C428" s="65">
        <f>Ringkasan!C427</f>
        <v>1700</v>
      </c>
      <c r="D428" s="64" t="str">
        <f>Ringkasan!D427</f>
        <v>#N/A</v>
      </c>
      <c r="E428" s="64" t="str">
        <f>Ringkasan!E427</f>
        <v>IDX80</v>
      </c>
      <c r="F428" s="64" t="str">
        <f>Ringkasan!F427</f>
        <v>31 Juli 2026</v>
      </c>
      <c r="G428" s="64">
        <f>Ringkasan!G427</f>
        <v>10</v>
      </c>
      <c r="H428" s="19">
        <f>Ringkasan!H427</f>
        <v>19.2</v>
      </c>
      <c r="I428" s="19">
        <f>Ringkasan!I427</f>
        <v>1.7</v>
      </c>
      <c r="J428" s="19">
        <f>Ringkasan!J427</f>
        <v>8.9</v>
      </c>
      <c r="K428" s="19">
        <f>Ringkasan!K427</f>
        <v>3.2</v>
      </c>
      <c r="L428" s="19">
        <f>Ringkasan!L427</f>
        <v>1.8</v>
      </c>
      <c r="M428" s="19">
        <f>Ringkasan!M427</f>
        <v>21.7</v>
      </c>
      <c r="N428" s="64" t="str">
        <f>Ringkasan!N427</f>
        <v/>
      </c>
      <c r="O428" s="64" t="str">
        <f>Ringkasan!O427</f>
        <v/>
      </c>
      <c r="P428" s="64" t="str">
        <f>Ringkasan!P427</f>
        <v/>
      </c>
      <c r="Q428" s="64" t="str">
        <f>Ringkasan!Q427</f>
        <v/>
      </c>
      <c r="R428" s="64" t="str">
        <f>Ringkasan!R427</f>
        <v/>
      </c>
      <c r="S428" s="64" t="str">
        <f>Ringkasan!S427</f>
        <v/>
      </c>
      <c r="T428" s="64" t="str">
        <f>Ringkasan!T427</f>
        <v/>
      </c>
      <c r="U428" s="64">
        <f>Ringkasan!U427</f>
        <v>1650</v>
      </c>
      <c r="V428" s="64">
        <f>Ringkasan!V427</f>
        <v>3.03</v>
      </c>
      <c r="W428" s="64">
        <f>Ringkasan!W427</f>
        <v>1700</v>
      </c>
      <c r="X428" s="64">
        <f>Ringkasan!X427</f>
        <v>1770</v>
      </c>
      <c r="Y428" s="64">
        <f>Ringkasan!Y427</f>
        <v>1680</v>
      </c>
      <c r="Z428" s="64">
        <f>Ringkasan!Z427</f>
        <v>279487700</v>
      </c>
      <c r="AA428" s="64" t="str">
        <f>Ringkasan!AA427</f>
        <v>Chemicals</v>
      </c>
      <c r="AB428" s="64" t="str">
        <f>Ringkasan!AB427</f>
        <v>Basic Materials</v>
      </c>
    </row>
    <row r="429" hidden="1">
      <c r="A429" s="64" t="str">
        <f>Ringkasan!A428</f>
        <v>BRPT</v>
      </c>
      <c r="B429" s="64" t="str">
        <f>Ringkasan!B428</f>
        <v>Barito Pacific Tbk.</v>
      </c>
      <c r="C429" s="65">
        <f>Ringkasan!C428</f>
        <v>1700</v>
      </c>
      <c r="D429" s="64" t="str">
        <f>Ringkasan!D428</f>
        <v>#N/A</v>
      </c>
      <c r="E429" s="64" t="str">
        <f>Ringkasan!E428</f>
        <v>LQ45</v>
      </c>
      <c r="F429" s="64" t="str">
        <f>Ringkasan!F428</f>
        <v>31 Juli 2026</v>
      </c>
      <c r="G429" s="64">
        <f>Ringkasan!G428</f>
        <v>10</v>
      </c>
      <c r="H429" s="19">
        <f>Ringkasan!H428</f>
        <v>19.2</v>
      </c>
      <c r="I429" s="19">
        <f>Ringkasan!I428</f>
        <v>1.7</v>
      </c>
      <c r="J429" s="19">
        <f>Ringkasan!J428</f>
        <v>8.9</v>
      </c>
      <c r="K429" s="19">
        <f>Ringkasan!K428</f>
        <v>3.2</v>
      </c>
      <c r="L429" s="19">
        <f>Ringkasan!L428</f>
        <v>1.8</v>
      </c>
      <c r="M429" s="19">
        <f>Ringkasan!M428</f>
        <v>21.7</v>
      </c>
      <c r="N429" s="64" t="str">
        <f>Ringkasan!N428</f>
        <v/>
      </c>
      <c r="O429" s="64" t="str">
        <f>Ringkasan!O428</f>
        <v/>
      </c>
      <c r="P429" s="64" t="str">
        <f>Ringkasan!P428</f>
        <v/>
      </c>
      <c r="Q429" s="64" t="str">
        <f>Ringkasan!Q428</f>
        <v/>
      </c>
      <c r="R429" s="64" t="str">
        <f>Ringkasan!R428</f>
        <v/>
      </c>
      <c r="S429" s="64" t="str">
        <f>Ringkasan!S428</f>
        <v/>
      </c>
      <c r="T429" s="64" t="str">
        <f>Ringkasan!T428</f>
        <v/>
      </c>
      <c r="U429" s="64">
        <f>Ringkasan!U428</f>
        <v>1650</v>
      </c>
      <c r="V429" s="64">
        <f>Ringkasan!V428</f>
        <v>3.03</v>
      </c>
      <c r="W429" s="64">
        <f>Ringkasan!W428</f>
        <v>1700</v>
      </c>
      <c r="X429" s="64">
        <f>Ringkasan!X428</f>
        <v>1770</v>
      </c>
      <c r="Y429" s="64">
        <f>Ringkasan!Y428</f>
        <v>1680</v>
      </c>
      <c r="Z429" s="64">
        <f>Ringkasan!Z428</f>
        <v>279487700</v>
      </c>
      <c r="AA429" s="64" t="str">
        <f>Ringkasan!AA428</f>
        <v>Chemicals</v>
      </c>
      <c r="AB429" s="64" t="str">
        <f>Ringkasan!AB428</f>
        <v>Basic Materials</v>
      </c>
    </row>
    <row r="430" hidden="1">
      <c r="A430" s="64" t="str">
        <f>Ringkasan!A429</f>
        <v>BRPT</v>
      </c>
      <c r="B430" s="64" t="str">
        <f>Ringkasan!B429</f>
        <v>Barito Pacific Tbk.</v>
      </c>
      <c r="C430" s="65">
        <f>Ringkasan!C429</f>
        <v>1700</v>
      </c>
      <c r="D430" s="64" t="str">
        <f>Ringkasan!D429</f>
        <v>#N/A</v>
      </c>
      <c r="E430" s="64" t="str">
        <f>Ringkasan!E429</f>
        <v>Kompas100</v>
      </c>
      <c r="F430" s="64" t="str">
        <f>Ringkasan!F429</f>
        <v>31 Juli 2026</v>
      </c>
      <c r="G430" s="64">
        <f>Ringkasan!G429</f>
        <v>10</v>
      </c>
      <c r="H430" s="19">
        <f>Ringkasan!H429</f>
        <v>19.2</v>
      </c>
      <c r="I430" s="19">
        <f>Ringkasan!I429</f>
        <v>1.7</v>
      </c>
      <c r="J430" s="19">
        <f>Ringkasan!J429</f>
        <v>8.9</v>
      </c>
      <c r="K430" s="19">
        <f>Ringkasan!K429</f>
        <v>3.2</v>
      </c>
      <c r="L430" s="19">
        <f>Ringkasan!L429</f>
        <v>1.8</v>
      </c>
      <c r="M430" s="19">
        <f>Ringkasan!M429</f>
        <v>21.7</v>
      </c>
      <c r="N430" s="64" t="str">
        <f>Ringkasan!N429</f>
        <v/>
      </c>
      <c r="O430" s="64" t="str">
        <f>Ringkasan!O429</f>
        <v/>
      </c>
      <c r="P430" s="64" t="str">
        <f>Ringkasan!P429</f>
        <v/>
      </c>
      <c r="Q430" s="64" t="str">
        <f>Ringkasan!Q429</f>
        <v/>
      </c>
      <c r="R430" s="64" t="str">
        <f>Ringkasan!R429</f>
        <v/>
      </c>
      <c r="S430" s="64" t="str">
        <f>Ringkasan!S429</f>
        <v/>
      </c>
      <c r="T430" s="64" t="str">
        <f>Ringkasan!T429</f>
        <v/>
      </c>
      <c r="U430" s="64">
        <f>Ringkasan!U429</f>
        <v>1650</v>
      </c>
      <c r="V430" s="64">
        <f>Ringkasan!V429</f>
        <v>3.03</v>
      </c>
      <c r="W430" s="64">
        <f>Ringkasan!W429</f>
        <v>1700</v>
      </c>
      <c r="X430" s="64">
        <f>Ringkasan!X429</f>
        <v>1770</v>
      </c>
      <c r="Y430" s="64">
        <f>Ringkasan!Y429</f>
        <v>1680</v>
      </c>
      <c r="Z430" s="64">
        <f>Ringkasan!Z429</f>
        <v>279487700</v>
      </c>
      <c r="AA430" s="64" t="str">
        <f>Ringkasan!AA429</f>
        <v>Chemicals</v>
      </c>
      <c r="AB430" s="64" t="str">
        <f>Ringkasan!AB429</f>
        <v>Basic Materials</v>
      </c>
    </row>
    <row r="431" hidden="1">
      <c r="A431" s="64" t="str">
        <f>Ringkasan!A430</f>
        <v>BRPT</v>
      </c>
      <c r="B431" s="64" t="str">
        <f>Ringkasan!B430</f>
        <v>Barito Pacific Tbk.</v>
      </c>
      <c r="C431" s="65">
        <f>Ringkasan!C430</f>
        <v>1700</v>
      </c>
      <c r="D431" s="64" t="str">
        <f>Ringkasan!D430</f>
        <v>#N/A</v>
      </c>
      <c r="E431" s="64" t="str">
        <f>Ringkasan!E430</f>
        <v>IDX30</v>
      </c>
      <c r="F431" s="64" t="str">
        <f>Ringkasan!F430</f>
        <v>31 Juli 2026</v>
      </c>
      <c r="G431" s="64">
        <f>Ringkasan!G430</f>
        <v>10</v>
      </c>
      <c r="H431" s="19">
        <f>Ringkasan!H430</f>
        <v>19.2</v>
      </c>
      <c r="I431" s="19">
        <f>Ringkasan!I430</f>
        <v>1.7</v>
      </c>
      <c r="J431" s="19">
        <f>Ringkasan!J430</f>
        <v>8.9</v>
      </c>
      <c r="K431" s="19">
        <f>Ringkasan!K430</f>
        <v>3.2</v>
      </c>
      <c r="L431" s="19">
        <f>Ringkasan!L430</f>
        <v>1.8</v>
      </c>
      <c r="M431" s="19">
        <f>Ringkasan!M430</f>
        <v>21.7</v>
      </c>
      <c r="N431" s="64" t="str">
        <f>Ringkasan!N430</f>
        <v/>
      </c>
      <c r="O431" s="64" t="str">
        <f>Ringkasan!O430</f>
        <v/>
      </c>
      <c r="P431" s="64" t="str">
        <f>Ringkasan!P430</f>
        <v/>
      </c>
      <c r="Q431" s="64" t="str">
        <f>Ringkasan!Q430</f>
        <v/>
      </c>
      <c r="R431" s="64" t="str">
        <f>Ringkasan!R430</f>
        <v/>
      </c>
      <c r="S431" s="64" t="str">
        <f>Ringkasan!S430</f>
        <v/>
      </c>
      <c r="T431" s="64" t="str">
        <f>Ringkasan!T430</f>
        <v/>
      </c>
      <c r="U431" s="64">
        <f>Ringkasan!U430</f>
        <v>1650</v>
      </c>
      <c r="V431" s="64">
        <f>Ringkasan!V430</f>
        <v>3.03</v>
      </c>
      <c r="W431" s="64">
        <f>Ringkasan!W430</f>
        <v>1700</v>
      </c>
      <c r="X431" s="64">
        <f>Ringkasan!X430</f>
        <v>1770</v>
      </c>
      <c r="Y431" s="64">
        <f>Ringkasan!Y430</f>
        <v>1680</v>
      </c>
      <c r="Z431" s="64">
        <f>Ringkasan!Z430</f>
        <v>279487700</v>
      </c>
      <c r="AA431" s="64" t="str">
        <f>Ringkasan!AA430</f>
        <v>Chemicals</v>
      </c>
      <c r="AB431" s="64" t="str">
        <f>Ringkasan!AB430</f>
        <v>Basic Materials</v>
      </c>
    </row>
    <row r="432" hidden="1">
      <c r="A432" s="64" t="str">
        <f>Ringkasan!A431</f>
        <v>BRPT</v>
      </c>
      <c r="B432" s="64" t="str">
        <f>Ringkasan!B431</f>
        <v>Barito Pacific Tbk.</v>
      </c>
      <c r="C432" s="65">
        <f>Ringkasan!C431</f>
        <v>1700</v>
      </c>
      <c r="D432" s="64" t="str">
        <f>Ringkasan!D431</f>
        <v>#N/A</v>
      </c>
      <c r="E432" s="64" t="str">
        <f>Ringkasan!E431</f>
        <v>Pefindo - iGrade</v>
      </c>
      <c r="F432" s="64" t="str">
        <f>Ringkasan!F431</f>
        <v>30 Juni 2026</v>
      </c>
      <c r="G432" s="64">
        <f>Ringkasan!G431</f>
        <v>10</v>
      </c>
      <c r="H432" s="19">
        <f>Ringkasan!H431</f>
        <v>19.2</v>
      </c>
      <c r="I432" s="19">
        <f>Ringkasan!I431</f>
        <v>1.7</v>
      </c>
      <c r="J432" s="19">
        <f>Ringkasan!J431</f>
        <v>8.9</v>
      </c>
      <c r="K432" s="19">
        <f>Ringkasan!K431</f>
        <v>3.2</v>
      </c>
      <c r="L432" s="19">
        <f>Ringkasan!L431</f>
        <v>1.8</v>
      </c>
      <c r="M432" s="19">
        <f>Ringkasan!M431</f>
        <v>21.7</v>
      </c>
      <c r="N432" s="64" t="str">
        <f>Ringkasan!N431</f>
        <v/>
      </c>
      <c r="O432" s="64" t="str">
        <f>Ringkasan!O431</f>
        <v/>
      </c>
      <c r="P432" s="64" t="str">
        <f>Ringkasan!P431</f>
        <v/>
      </c>
      <c r="Q432" s="64" t="str">
        <f>Ringkasan!Q431</f>
        <v/>
      </c>
      <c r="R432" s="64" t="str">
        <f>Ringkasan!R431</f>
        <v/>
      </c>
      <c r="S432" s="64" t="str">
        <f>Ringkasan!S431</f>
        <v/>
      </c>
      <c r="T432" s="64" t="str">
        <f>Ringkasan!T431</f>
        <v/>
      </c>
      <c r="U432" s="64">
        <f>Ringkasan!U431</f>
        <v>1650</v>
      </c>
      <c r="V432" s="64">
        <f>Ringkasan!V431</f>
        <v>3.03</v>
      </c>
      <c r="W432" s="64">
        <f>Ringkasan!W431</f>
        <v>1700</v>
      </c>
      <c r="X432" s="64">
        <f>Ringkasan!X431</f>
        <v>1770</v>
      </c>
      <c r="Y432" s="64">
        <f>Ringkasan!Y431</f>
        <v>1680</v>
      </c>
      <c r="Z432" s="64">
        <f>Ringkasan!Z431</f>
        <v>279487700</v>
      </c>
      <c r="AA432" s="64" t="str">
        <f>Ringkasan!AA431</f>
        <v>Chemicals</v>
      </c>
      <c r="AB432" s="64" t="str">
        <f>Ringkasan!AB431</f>
        <v>Basic Materials</v>
      </c>
    </row>
    <row r="433" hidden="1">
      <c r="A433" s="64" t="str">
        <f>Ringkasan!A432</f>
        <v>BRPT</v>
      </c>
      <c r="B433" s="64" t="str">
        <f>Ringkasan!B432</f>
        <v>Barito Pacific Tbk.</v>
      </c>
      <c r="C433" s="65">
        <f>Ringkasan!C432</f>
        <v>1700</v>
      </c>
      <c r="D433" s="64" t="str">
        <f>Ringkasan!D432</f>
        <v>#N/A</v>
      </c>
      <c r="E433" s="64" t="str">
        <f>Ringkasan!E432</f>
        <v>ECONOMIC30</v>
      </c>
      <c r="F433" s="64" t="str">
        <f>Ringkasan!F432</f>
        <v>31 Agustus 2026</v>
      </c>
      <c r="G433" s="64">
        <f>Ringkasan!G432</f>
        <v>10</v>
      </c>
      <c r="H433" s="19">
        <f>Ringkasan!H432</f>
        <v>19.2</v>
      </c>
      <c r="I433" s="19">
        <f>Ringkasan!I432</f>
        <v>1.7</v>
      </c>
      <c r="J433" s="19">
        <f>Ringkasan!J432</f>
        <v>8.9</v>
      </c>
      <c r="K433" s="19">
        <f>Ringkasan!K432</f>
        <v>3.2</v>
      </c>
      <c r="L433" s="19">
        <f>Ringkasan!L432</f>
        <v>1.8</v>
      </c>
      <c r="M433" s="19">
        <f>Ringkasan!M432</f>
        <v>21.7</v>
      </c>
      <c r="N433" s="64" t="str">
        <f>Ringkasan!N432</f>
        <v/>
      </c>
      <c r="O433" s="64" t="str">
        <f>Ringkasan!O432</f>
        <v/>
      </c>
      <c r="P433" s="64" t="str">
        <f>Ringkasan!P432</f>
        <v/>
      </c>
      <c r="Q433" s="64" t="str">
        <f>Ringkasan!Q432</f>
        <v/>
      </c>
      <c r="R433" s="64" t="str">
        <f>Ringkasan!R432</f>
        <v/>
      </c>
      <c r="S433" s="64" t="str">
        <f>Ringkasan!S432</f>
        <v/>
      </c>
      <c r="T433" s="64" t="str">
        <f>Ringkasan!T432</f>
        <v/>
      </c>
      <c r="U433" s="64">
        <f>Ringkasan!U432</f>
        <v>1650</v>
      </c>
      <c r="V433" s="64">
        <f>Ringkasan!V432</f>
        <v>3.03</v>
      </c>
      <c r="W433" s="64">
        <f>Ringkasan!W432</f>
        <v>1700</v>
      </c>
      <c r="X433" s="64">
        <f>Ringkasan!X432</f>
        <v>1770</v>
      </c>
      <c r="Y433" s="64">
        <f>Ringkasan!Y432</f>
        <v>1680</v>
      </c>
      <c r="Z433" s="64">
        <f>Ringkasan!Z432</f>
        <v>279487700</v>
      </c>
      <c r="AA433" s="64" t="str">
        <f>Ringkasan!AA432</f>
        <v>Chemicals</v>
      </c>
      <c r="AB433" s="64" t="str">
        <f>Ringkasan!AB432</f>
        <v>Basic Materials</v>
      </c>
    </row>
    <row r="434" hidden="1">
      <c r="A434" s="64" t="str">
        <f>Ringkasan!A610</f>
        <v>DNET</v>
      </c>
      <c r="B434" s="64" t="str">
        <f>Ringkasan!B610</f>
        <v>PT Indoritel Makmur Internasional Tbk.</v>
      </c>
      <c r="C434" s="65">
        <f>Ringkasan!C610</f>
        <v>10150</v>
      </c>
      <c r="D434" s="64" t="str">
        <f>Ringkasan!D610</f>
        <v>#N/A</v>
      </c>
      <c r="E434" s="64" t="str">
        <f>Ringkasan!E610</f>
        <v/>
      </c>
      <c r="F434" s="64" t="str">
        <f>Ringkasan!F610</f>
        <v/>
      </c>
      <c r="G434" s="64">
        <f>Ringkasan!G610</f>
        <v>0</v>
      </c>
      <c r="H434" s="19">
        <f>Ringkasan!H610</f>
        <v>120</v>
      </c>
      <c r="I434" s="19">
        <f>Ringkasan!I610</f>
        <v>9.9</v>
      </c>
      <c r="J434" s="19">
        <f>Ringkasan!J610</f>
        <v>8.2</v>
      </c>
      <c r="K434" s="19">
        <f>Ringkasan!K610</f>
        <v>5.4</v>
      </c>
      <c r="L434" s="19">
        <f>Ringkasan!L610</f>
        <v>0.51</v>
      </c>
      <c r="M434" s="19">
        <f>Ringkasan!M610</f>
        <v>300</v>
      </c>
      <c r="N434" s="64" t="str">
        <f>Ringkasan!N610</f>
        <v/>
      </c>
      <c r="O434" s="64" t="str">
        <f>Ringkasan!O610</f>
        <v/>
      </c>
      <c r="P434" s="64" t="str">
        <f>Ringkasan!P610</f>
        <v/>
      </c>
      <c r="Q434" s="64" t="str">
        <f>Ringkasan!Q610</f>
        <v/>
      </c>
      <c r="R434" s="64" t="str">
        <f>Ringkasan!R610</f>
        <v/>
      </c>
      <c r="S434" s="64" t="str">
        <f>Ringkasan!S610</f>
        <v/>
      </c>
      <c r="T434" s="64" t="str">
        <f>Ringkasan!T610</f>
        <v/>
      </c>
      <c r="U434" s="64">
        <f>Ringkasan!U610</f>
        <v>10400</v>
      </c>
      <c r="V434" s="64">
        <f>Ringkasan!V610</f>
        <v>-2.4</v>
      </c>
      <c r="W434" s="64">
        <f>Ringkasan!W610</f>
        <v>10500</v>
      </c>
      <c r="X434" s="64">
        <f>Ringkasan!X610</f>
        <v>10500</v>
      </c>
      <c r="Y434" s="64">
        <f>Ringkasan!Y610</f>
        <v>9975</v>
      </c>
      <c r="Z434" s="64">
        <f>Ringkasan!Z610</f>
        <v>2400</v>
      </c>
      <c r="AA434" s="64" t="str">
        <f>Ringkasan!AA610</f>
        <v>Holding &amp; Investment Companies</v>
      </c>
      <c r="AB434" s="64" t="str">
        <f>Ringkasan!AB610</f>
        <v>Financials</v>
      </c>
    </row>
    <row r="435" hidden="1">
      <c r="A435" s="64" t="str">
        <f>Ringkasan!A629</f>
        <v>DSNG</v>
      </c>
      <c r="B435" s="64" t="str">
        <f>Ringkasan!B629</f>
        <v>PT Dharma Satya Nusantara Tbk.</v>
      </c>
      <c r="C435" s="65">
        <f>Ringkasan!C629</f>
        <v>1145</v>
      </c>
      <c r="D435" s="64" t="str">
        <f>Ringkasan!D629</f>
        <v>#N/A</v>
      </c>
      <c r="E435" s="64" t="str">
        <f>Ringkasan!E629</f>
        <v>JII70</v>
      </c>
      <c r="F435" s="66">
        <f>Ringkasan!F629</f>
        <v>46356</v>
      </c>
      <c r="G435" s="65">
        <f>Ringkasan!G629</f>
        <v>12</v>
      </c>
      <c r="H435" s="19">
        <f>Ringkasan!H629</f>
        <v>6.6</v>
      </c>
      <c r="I435" s="19">
        <f>Ringkasan!I629</f>
        <v>1.1</v>
      </c>
      <c r="J435" s="19">
        <f>Ringkasan!J629</f>
        <v>15.8</v>
      </c>
      <c r="K435" s="19">
        <f>Ringkasan!K629</f>
        <v>10.7</v>
      </c>
      <c r="L435" s="19">
        <f>Ringkasan!L629</f>
        <v>0.47</v>
      </c>
      <c r="M435" s="19">
        <f>Ringkasan!M629</f>
        <v>65.9</v>
      </c>
      <c r="N435" s="64" t="str">
        <f>Ringkasan!N629</f>
        <v/>
      </c>
      <c r="O435" s="64" t="str">
        <f>Ringkasan!O629</f>
        <v/>
      </c>
      <c r="P435" s="64" t="str">
        <f>Ringkasan!P629</f>
        <v/>
      </c>
      <c r="Q435" s="64" t="str">
        <f>Ringkasan!Q629</f>
        <v/>
      </c>
      <c r="R435" s="64" t="str">
        <f>Ringkasan!R629</f>
        <v/>
      </c>
      <c r="S435" s="64" t="str">
        <f>Ringkasan!S629</f>
        <v/>
      </c>
      <c r="T435" s="64" t="str">
        <f>Ringkasan!T629</f>
        <v/>
      </c>
      <c r="U435" s="64">
        <f>Ringkasan!U629</f>
        <v>1095</v>
      </c>
      <c r="V435" s="64">
        <f>Ringkasan!V629</f>
        <v>4.57</v>
      </c>
      <c r="W435" s="64">
        <f>Ringkasan!W629</f>
        <v>1105</v>
      </c>
      <c r="X435" s="64">
        <f>Ringkasan!X629</f>
        <v>1170</v>
      </c>
      <c r="Y435" s="64">
        <f>Ringkasan!Y629</f>
        <v>1100</v>
      </c>
      <c r="Z435" s="64">
        <f>Ringkasan!Z629</f>
        <v>7343000</v>
      </c>
      <c r="AA435" s="64" t="str">
        <f>Ringkasan!AA629</f>
        <v>Agricultural Products</v>
      </c>
      <c r="AB435" s="64" t="str">
        <f>Ringkasan!AB629</f>
        <v>Consumer Non-Cyclicals</v>
      </c>
    </row>
    <row r="436" hidden="1">
      <c r="A436" s="64" t="str">
        <f>Ringkasan!A766</f>
        <v>GOTO</v>
      </c>
      <c r="B436" s="64" t="str">
        <f>Ringkasan!B766</f>
        <v>GoTo Gojek Tokopedia Tbk.</v>
      </c>
      <c r="C436" s="65">
        <f>Ringkasan!C766</f>
        <v>50</v>
      </c>
      <c r="D436" s="64" t="str">
        <f>Ringkasan!D766</f>
        <v>#N/A</v>
      </c>
      <c r="E436" s="64" t="str">
        <f>Ringkasan!E766</f>
        <v>IDXESGL</v>
      </c>
      <c r="F436" s="64" t="str">
        <f>Ringkasan!F766</f>
        <v>30 Oktober 2026</v>
      </c>
      <c r="G436" s="64">
        <f>Ringkasan!G766</f>
        <v>6</v>
      </c>
      <c r="H436" s="19">
        <f>Ringkasan!H766</f>
        <v>-88.5</v>
      </c>
      <c r="I436" s="19">
        <f>Ringkasan!I766</f>
        <v>2</v>
      </c>
      <c r="J436" s="19">
        <f>Ringkasan!J766</f>
        <v>-2.2</v>
      </c>
      <c r="K436" s="19">
        <f>Ringkasan!K766</f>
        <v>-1.4</v>
      </c>
      <c r="L436" s="19">
        <f>Ringkasan!L766</f>
        <v>0.62</v>
      </c>
      <c r="M436" s="19">
        <f>Ringkasan!M766</f>
        <v>-12.1</v>
      </c>
      <c r="N436" s="64" t="str">
        <f>Ringkasan!N766</f>
        <v/>
      </c>
      <c r="O436" s="64" t="str">
        <f>Ringkasan!O766</f>
        <v/>
      </c>
      <c r="P436" s="64" t="str">
        <f>Ringkasan!P766</f>
        <v/>
      </c>
      <c r="Q436" s="64" t="str">
        <f>Ringkasan!Q766</f>
        <v/>
      </c>
      <c r="R436" s="64" t="str">
        <f>Ringkasan!R766</f>
        <v/>
      </c>
      <c r="S436" s="64" t="str">
        <f>Ringkasan!S766</f>
        <v/>
      </c>
      <c r="T436" s="64" t="str">
        <f>Ringkasan!T766</f>
        <v/>
      </c>
      <c r="U436" s="64">
        <f>Ringkasan!U766</f>
        <v>50</v>
      </c>
      <c r="V436" s="64">
        <f>Ringkasan!V766</f>
        <v>0</v>
      </c>
      <c r="W436" s="64">
        <f>Ringkasan!W766</f>
        <v>50</v>
      </c>
      <c r="X436" s="64">
        <f>Ringkasan!X766</f>
        <v>50</v>
      </c>
      <c r="Y436" s="64">
        <f>Ringkasan!Y766</f>
        <v>50</v>
      </c>
      <c r="Z436" s="64">
        <f>Ringkasan!Z766</f>
        <v>67675000</v>
      </c>
      <c r="AA436" s="64" t="str">
        <f>Ringkasan!AA766</f>
        <v>Software</v>
      </c>
      <c r="AB436" s="64" t="str">
        <f>Ringkasan!AB766</f>
        <v>Technology</v>
      </c>
    </row>
    <row r="437" hidden="1">
      <c r="A437" s="64" t="str">
        <f>Ringkasan!A436</f>
        <v>BSBK</v>
      </c>
      <c r="B437" s="64" t="str">
        <f>Ringkasan!B436</f>
        <v>Wulandari Bangun Laksana Tbk.</v>
      </c>
      <c r="C437" s="65">
        <f>Ringkasan!C436</f>
        <v>51</v>
      </c>
      <c r="D437" s="64" t="str">
        <f>Ringkasan!D436</f>
        <v>#N/A</v>
      </c>
      <c r="E437" s="64" t="str">
        <f>Ringkasan!E436</f>
        <v/>
      </c>
      <c r="F437" s="64" t="str">
        <f>Ringkasan!F436</f>
        <v/>
      </c>
      <c r="G437" s="65">
        <f>Ringkasan!G436</f>
        <v>0</v>
      </c>
      <c r="H437" s="19">
        <f>Ringkasan!H436</f>
        <v>18.2</v>
      </c>
      <c r="I437" s="19">
        <f>Ringkasan!I436</f>
        <v>0.6</v>
      </c>
      <c r="J437" s="19">
        <f>Ringkasan!J436</f>
        <v>3.3</v>
      </c>
      <c r="K437" s="19">
        <f>Ringkasan!K436</f>
        <v>2.5</v>
      </c>
      <c r="L437" s="19">
        <f>Ringkasan!L436</f>
        <v>0.34</v>
      </c>
      <c r="M437" s="19">
        <f>Ringkasan!M436</f>
        <v>78</v>
      </c>
      <c r="N437" s="64" t="str">
        <f>Ringkasan!N436</f>
        <v/>
      </c>
      <c r="O437" s="64" t="str">
        <f>Ringkasan!O436</f>
        <v/>
      </c>
      <c r="P437" s="64" t="str">
        <f>Ringkasan!P436</f>
        <v/>
      </c>
      <c r="Q437" s="64" t="str">
        <f>Ringkasan!Q436</f>
        <v/>
      </c>
      <c r="R437" s="64" t="str">
        <f>Ringkasan!R436</f>
        <v/>
      </c>
      <c r="S437" s="64" t="str">
        <f>Ringkasan!S436</f>
        <v/>
      </c>
      <c r="T437" s="64" t="str">
        <f>Ringkasan!T436</f>
        <v/>
      </c>
      <c r="U437" s="64">
        <f>Ringkasan!U436</f>
        <v>9.01</v>
      </c>
      <c r="V437" s="64">
        <f>Ringkasan!V436</f>
        <v>0.48</v>
      </c>
      <c r="W437" s="64" t="str">
        <f>Ringkasan!W436</f>
        <v/>
      </c>
      <c r="X437" s="64">
        <f>Ringkasan!X436</f>
        <v>9.14</v>
      </c>
      <c r="Y437" s="64">
        <f>Ringkasan!Y436</f>
        <v>8.96</v>
      </c>
      <c r="Z437" s="64">
        <f>Ringkasan!Z436</f>
        <v>15254</v>
      </c>
      <c r="AA437" s="64" t="str">
        <f>Ringkasan!AA436</f>
        <v>Real Estate Management &amp; Development</v>
      </c>
      <c r="AB437" s="64" t="str">
        <f>Ringkasan!AB436</f>
        <v>Properties &amp; Real Estate</v>
      </c>
    </row>
    <row r="438" hidden="1">
      <c r="A438" s="64" t="str">
        <f>Ringkasan!A437</f>
        <v>BSDE</v>
      </c>
      <c r="B438" s="64" t="str">
        <f>Ringkasan!B437</f>
        <v>Bumi Serpong Damai Tbk.</v>
      </c>
      <c r="C438" s="65">
        <f>Ringkasan!C437</f>
        <v>610</v>
      </c>
      <c r="D438" s="64" t="str">
        <f>Ringkasan!D437</f>
        <v>#N/A</v>
      </c>
      <c r="E438" s="64" t="str">
        <f>Ringkasan!E437</f>
        <v>ESGSKEHATI</v>
      </c>
      <c r="F438" s="66">
        <f>Ringkasan!F437</f>
        <v>46356</v>
      </c>
      <c r="G438" s="64">
        <f>Ringkasan!G437</f>
        <v>9</v>
      </c>
      <c r="H438" s="19">
        <f>Ringkasan!H437</f>
        <v>5.2</v>
      </c>
      <c r="I438" s="19">
        <f>Ringkasan!I437</f>
        <v>0.25</v>
      </c>
      <c r="J438" s="19">
        <f>Ringkasan!J437</f>
        <v>4.8</v>
      </c>
      <c r="K438" s="19">
        <f>Ringkasan!K437</f>
        <v>3.2</v>
      </c>
      <c r="L438" s="19">
        <f>Ringkasan!L437</f>
        <v>0.51</v>
      </c>
      <c r="M438" s="19">
        <f>Ringkasan!M437</f>
        <v>19.9</v>
      </c>
      <c r="N438" s="64" t="str">
        <f>Ringkasan!N437</f>
        <v/>
      </c>
      <c r="O438" s="64" t="str">
        <f>Ringkasan!O437</f>
        <v/>
      </c>
      <c r="P438" s="64" t="str">
        <f>Ringkasan!P437</f>
        <v/>
      </c>
      <c r="Q438" s="64" t="str">
        <f>Ringkasan!Q437</f>
        <v/>
      </c>
      <c r="R438" s="64" t="str">
        <f>Ringkasan!R437</f>
        <v/>
      </c>
      <c r="S438" s="64" t="str">
        <f>Ringkasan!S437</f>
        <v/>
      </c>
      <c r="T438" s="64" t="str">
        <f>Ringkasan!T437</f>
        <v/>
      </c>
      <c r="U438" s="64">
        <f>Ringkasan!U437</f>
        <v>580</v>
      </c>
      <c r="V438" s="64">
        <f>Ringkasan!V437</f>
        <v>5.17</v>
      </c>
      <c r="W438" s="64">
        <f>Ringkasan!W437</f>
        <v>590</v>
      </c>
      <c r="X438" s="64">
        <f>Ringkasan!X437</f>
        <v>615</v>
      </c>
      <c r="Y438" s="64">
        <f>Ringkasan!Y437</f>
        <v>590</v>
      </c>
      <c r="Z438" s="64">
        <f>Ringkasan!Z437</f>
        <v>14873600</v>
      </c>
      <c r="AA438" s="64" t="str">
        <f>Ringkasan!AA437</f>
        <v>Real Estate Management &amp; Development</v>
      </c>
      <c r="AB438" s="64" t="str">
        <f>Ringkasan!AB437</f>
        <v>Properties &amp; Real Estate</v>
      </c>
    </row>
    <row r="439" hidden="1">
      <c r="A439" s="64" t="str">
        <f>Ringkasan!A438</f>
        <v>BSDE</v>
      </c>
      <c r="B439" s="64" t="str">
        <f>Ringkasan!B438</f>
        <v>Bumi Serpong Damai Tbk.</v>
      </c>
      <c r="C439" s="65">
        <f>Ringkasan!C438</f>
        <v>610</v>
      </c>
      <c r="D439" s="64" t="str">
        <f>Ringkasan!D438</f>
        <v>#N/A</v>
      </c>
      <c r="E439" s="64" t="str">
        <f>Ringkasan!E438</f>
        <v>IDXV30</v>
      </c>
      <c r="F439" s="64" t="str">
        <f>Ringkasan!F438</f>
        <v>4 Agustus 2026</v>
      </c>
      <c r="G439" s="64">
        <f>Ringkasan!G438</f>
        <v>9</v>
      </c>
      <c r="H439" s="19">
        <f>Ringkasan!H438</f>
        <v>5.2</v>
      </c>
      <c r="I439" s="19">
        <f>Ringkasan!I438</f>
        <v>0.25</v>
      </c>
      <c r="J439" s="19">
        <f>Ringkasan!J438</f>
        <v>4.8</v>
      </c>
      <c r="K439" s="19">
        <f>Ringkasan!K438</f>
        <v>3.2</v>
      </c>
      <c r="L439" s="19">
        <f>Ringkasan!L438</f>
        <v>0.51</v>
      </c>
      <c r="M439" s="19">
        <f>Ringkasan!M438</f>
        <v>19.9</v>
      </c>
      <c r="N439" s="64" t="str">
        <f>Ringkasan!N438</f>
        <v/>
      </c>
      <c r="O439" s="64" t="str">
        <f>Ringkasan!O438</f>
        <v/>
      </c>
      <c r="P439" s="64" t="str">
        <f>Ringkasan!P438</f>
        <v/>
      </c>
      <c r="Q439" s="64" t="str">
        <f>Ringkasan!Q438</f>
        <v/>
      </c>
      <c r="R439" s="64" t="str">
        <f>Ringkasan!R438</f>
        <v/>
      </c>
      <c r="S439" s="64" t="str">
        <f>Ringkasan!S438</f>
        <v/>
      </c>
      <c r="T439" s="64" t="str">
        <f>Ringkasan!T438</f>
        <v/>
      </c>
      <c r="U439" s="64">
        <f>Ringkasan!U438</f>
        <v>580</v>
      </c>
      <c r="V439" s="64">
        <f>Ringkasan!V438</f>
        <v>5.17</v>
      </c>
      <c r="W439" s="64">
        <f>Ringkasan!W438</f>
        <v>590</v>
      </c>
      <c r="X439" s="64">
        <f>Ringkasan!X438</f>
        <v>615</v>
      </c>
      <c r="Y439" s="64">
        <f>Ringkasan!Y438</f>
        <v>590</v>
      </c>
      <c r="Z439" s="64">
        <f>Ringkasan!Z438</f>
        <v>14873600</v>
      </c>
      <c r="AA439" s="64" t="str">
        <f>Ringkasan!AA438</f>
        <v>Real Estate Management &amp; Development</v>
      </c>
      <c r="AB439" s="64" t="str">
        <f>Ringkasan!AB438</f>
        <v>Properties &amp; Real Estate</v>
      </c>
    </row>
    <row r="440" hidden="1">
      <c r="A440" s="64" t="str">
        <f>Ringkasan!A439</f>
        <v>BSDE</v>
      </c>
      <c r="B440" s="64" t="str">
        <f>Ringkasan!B439</f>
        <v>Bumi Serpong Damai Tbk.</v>
      </c>
      <c r="C440" s="65">
        <f>Ringkasan!C439</f>
        <v>610</v>
      </c>
      <c r="D440" s="64" t="str">
        <f>Ringkasan!D439</f>
        <v>#N/A</v>
      </c>
      <c r="E440" s="64" t="str">
        <f>Ringkasan!E439</f>
        <v>IDX80</v>
      </c>
      <c r="F440" s="64" t="str">
        <f>Ringkasan!F439</f>
        <v>31 Juli 2026</v>
      </c>
      <c r="G440" s="64">
        <f>Ringkasan!G439</f>
        <v>9</v>
      </c>
      <c r="H440" s="19">
        <f>Ringkasan!H439</f>
        <v>5.2</v>
      </c>
      <c r="I440" s="19">
        <f>Ringkasan!I439</f>
        <v>0.25</v>
      </c>
      <c r="J440" s="19">
        <f>Ringkasan!J439</f>
        <v>4.8</v>
      </c>
      <c r="K440" s="19">
        <f>Ringkasan!K439</f>
        <v>3.2</v>
      </c>
      <c r="L440" s="19">
        <f>Ringkasan!L439</f>
        <v>0.51</v>
      </c>
      <c r="M440" s="19">
        <f>Ringkasan!M439</f>
        <v>19.9</v>
      </c>
      <c r="N440" s="64" t="str">
        <f>Ringkasan!N439</f>
        <v/>
      </c>
      <c r="O440" s="64" t="str">
        <f>Ringkasan!O439</f>
        <v/>
      </c>
      <c r="P440" s="64" t="str">
        <f>Ringkasan!P439</f>
        <v/>
      </c>
      <c r="Q440" s="64" t="str">
        <f>Ringkasan!Q439</f>
        <v/>
      </c>
      <c r="R440" s="64" t="str">
        <f>Ringkasan!R439</f>
        <v/>
      </c>
      <c r="S440" s="64" t="str">
        <f>Ringkasan!S439</f>
        <v/>
      </c>
      <c r="T440" s="64" t="str">
        <f>Ringkasan!T439</f>
        <v/>
      </c>
      <c r="U440" s="64">
        <f>Ringkasan!U439</f>
        <v>580</v>
      </c>
      <c r="V440" s="64">
        <f>Ringkasan!V439</f>
        <v>5.17</v>
      </c>
      <c r="W440" s="64">
        <f>Ringkasan!W439</f>
        <v>590</v>
      </c>
      <c r="X440" s="64">
        <f>Ringkasan!X439</f>
        <v>615</v>
      </c>
      <c r="Y440" s="64">
        <f>Ringkasan!Y439</f>
        <v>590</v>
      </c>
      <c r="Z440" s="64">
        <f>Ringkasan!Z439</f>
        <v>14873600</v>
      </c>
      <c r="AA440" s="64" t="str">
        <f>Ringkasan!AA439</f>
        <v>Real Estate Management &amp; Development</v>
      </c>
      <c r="AB440" s="64" t="str">
        <f>Ringkasan!AB439</f>
        <v>Properties &amp; Real Estate</v>
      </c>
    </row>
    <row r="441" hidden="1">
      <c r="A441" s="64" t="str">
        <f>Ringkasan!A440</f>
        <v>BSDE</v>
      </c>
      <c r="B441" s="64" t="str">
        <f>Ringkasan!B440</f>
        <v>Bumi Serpong Damai Tbk.</v>
      </c>
      <c r="C441" s="65">
        <f>Ringkasan!C440</f>
        <v>610</v>
      </c>
      <c r="D441" s="64" t="str">
        <f>Ringkasan!D440</f>
        <v>#N/A</v>
      </c>
      <c r="E441" s="64" t="str">
        <f>Ringkasan!E440</f>
        <v>Kompas100</v>
      </c>
      <c r="F441" s="64" t="str">
        <f>Ringkasan!F440</f>
        <v>31 Juli 2026</v>
      </c>
      <c r="G441" s="64">
        <f>Ringkasan!G440</f>
        <v>9</v>
      </c>
      <c r="H441" s="19">
        <f>Ringkasan!H440</f>
        <v>5.2</v>
      </c>
      <c r="I441" s="19">
        <f>Ringkasan!I440</f>
        <v>0.25</v>
      </c>
      <c r="J441" s="19">
        <f>Ringkasan!J440</f>
        <v>4.8</v>
      </c>
      <c r="K441" s="19">
        <f>Ringkasan!K440</f>
        <v>3.2</v>
      </c>
      <c r="L441" s="19">
        <f>Ringkasan!L440</f>
        <v>0.51</v>
      </c>
      <c r="M441" s="19">
        <f>Ringkasan!M440</f>
        <v>19.9</v>
      </c>
      <c r="N441" s="64" t="str">
        <f>Ringkasan!N440</f>
        <v/>
      </c>
      <c r="O441" s="64" t="str">
        <f>Ringkasan!O440</f>
        <v/>
      </c>
      <c r="P441" s="64" t="str">
        <f>Ringkasan!P440</f>
        <v/>
      </c>
      <c r="Q441" s="64" t="str">
        <f>Ringkasan!Q440</f>
        <v/>
      </c>
      <c r="R441" s="64" t="str">
        <f>Ringkasan!R440</f>
        <v/>
      </c>
      <c r="S441" s="64" t="str">
        <f>Ringkasan!S440</f>
        <v/>
      </c>
      <c r="T441" s="64" t="str">
        <f>Ringkasan!T440</f>
        <v/>
      </c>
      <c r="U441" s="64">
        <f>Ringkasan!U440</f>
        <v>580</v>
      </c>
      <c r="V441" s="64">
        <f>Ringkasan!V440</f>
        <v>5.17</v>
      </c>
      <c r="W441" s="64">
        <f>Ringkasan!W440</f>
        <v>590</v>
      </c>
      <c r="X441" s="64">
        <f>Ringkasan!X440</f>
        <v>615</v>
      </c>
      <c r="Y441" s="64">
        <f>Ringkasan!Y440</f>
        <v>590</v>
      </c>
      <c r="Z441" s="64">
        <f>Ringkasan!Z440</f>
        <v>14873600</v>
      </c>
      <c r="AA441" s="64" t="str">
        <f>Ringkasan!AA440</f>
        <v>Real Estate Management &amp; Development</v>
      </c>
      <c r="AB441" s="64" t="str">
        <f>Ringkasan!AB440</f>
        <v>Properties &amp; Real Estate</v>
      </c>
    </row>
    <row r="442" hidden="1">
      <c r="A442" s="64" t="str">
        <f>Ringkasan!A441</f>
        <v>BSDE</v>
      </c>
      <c r="B442" s="64" t="str">
        <f>Ringkasan!B441</f>
        <v>Bumi Serpong Damai Tbk.</v>
      </c>
      <c r="C442" s="65">
        <f>Ringkasan!C441</f>
        <v>610</v>
      </c>
      <c r="D442" s="64" t="str">
        <f>Ringkasan!D441</f>
        <v>#N/A</v>
      </c>
      <c r="E442" s="64" t="str">
        <f>Ringkasan!E441</f>
        <v>IDXESGL</v>
      </c>
      <c r="F442" s="64" t="str">
        <f>Ringkasan!F441</f>
        <v>30 Oktober 2026</v>
      </c>
      <c r="G442" s="64">
        <f>Ringkasan!G441</f>
        <v>9</v>
      </c>
      <c r="H442" s="19">
        <f>Ringkasan!H441</f>
        <v>5.2</v>
      </c>
      <c r="I442" s="19">
        <f>Ringkasan!I441</f>
        <v>0.25</v>
      </c>
      <c r="J442" s="19">
        <f>Ringkasan!J441</f>
        <v>4.8</v>
      </c>
      <c r="K442" s="19">
        <f>Ringkasan!K441</f>
        <v>3.2</v>
      </c>
      <c r="L442" s="19">
        <f>Ringkasan!L441</f>
        <v>0.51</v>
      </c>
      <c r="M442" s="19">
        <f>Ringkasan!M441</f>
        <v>19.9</v>
      </c>
      <c r="N442" s="64" t="str">
        <f>Ringkasan!N441</f>
        <v/>
      </c>
      <c r="O442" s="64" t="str">
        <f>Ringkasan!O441</f>
        <v/>
      </c>
      <c r="P442" s="64" t="str">
        <f>Ringkasan!P441</f>
        <v/>
      </c>
      <c r="Q442" s="64" t="str">
        <f>Ringkasan!Q441</f>
        <v/>
      </c>
      <c r="R442" s="64" t="str">
        <f>Ringkasan!R441</f>
        <v/>
      </c>
      <c r="S442" s="64" t="str">
        <f>Ringkasan!S441</f>
        <v/>
      </c>
      <c r="T442" s="64" t="str">
        <f>Ringkasan!T441</f>
        <v/>
      </c>
      <c r="U442" s="64">
        <f>Ringkasan!U441</f>
        <v>580</v>
      </c>
      <c r="V442" s="64">
        <f>Ringkasan!V441</f>
        <v>5.17</v>
      </c>
      <c r="W442" s="64">
        <f>Ringkasan!W441</f>
        <v>590</v>
      </c>
      <c r="X442" s="64">
        <f>Ringkasan!X441</f>
        <v>615</v>
      </c>
      <c r="Y442" s="64">
        <f>Ringkasan!Y441</f>
        <v>590</v>
      </c>
      <c r="Z442" s="64">
        <f>Ringkasan!Z441</f>
        <v>14873600</v>
      </c>
      <c r="AA442" s="64" t="str">
        <f>Ringkasan!AA441</f>
        <v>Real Estate Management &amp; Development</v>
      </c>
      <c r="AB442" s="64" t="str">
        <f>Ringkasan!AB441</f>
        <v>Properties &amp; Real Estate</v>
      </c>
    </row>
    <row r="443" hidden="1">
      <c r="A443" s="64" t="str">
        <f>Ringkasan!A442</f>
        <v>BSDE</v>
      </c>
      <c r="B443" s="64" t="str">
        <f>Ringkasan!B442</f>
        <v>Bumi Serpong Damai Tbk.</v>
      </c>
      <c r="C443" s="65">
        <f>Ringkasan!C442</f>
        <v>610</v>
      </c>
      <c r="D443" s="64" t="str">
        <f>Ringkasan!D442</f>
        <v>#N/A</v>
      </c>
      <c r="E443" s="64" t="str">
        <f>Ringkasan!E442</f>
        <v>Pefindo - iGrade</v>
      </c>
      <c r="F443" s="64" t="str">
        <f>Ringkasan!F442</f>
        <v>30 Juni 2026</v>
      </c>
      <c r="G443" s="64">
        <f>Ringkasan!G442</f>
        <v>9</v>
      </c>
      <c r="H443" s="19">
        <f>Ringkasan!H442</f>
        <v>5.2</v>
      </c>
      <c r="I443" s="19">
        <f>Ringkasan!I442</f>
        <v>0.25</v>
      </c>
      <c r="J443" s="19">
        <f>Ringkasan!J442</f>
        <v>4.8</v>
      </c>
      <c r="K443" s="19">
        <f>Ringkasan!K442</f>
        <v>3.2</v>
      </c>
      <c r="L443" s="19">
        <f>Ringkasan!L442</f>
        <v>0.51</v>
      </c>
      <c r="M443" s="19">
        <f>Ringkasan!M442</f>
        <v>19.9</v>
      </c>
      <c r="N443" s="64" t="str">
        <f>Ringkasan!N442</f>
        <v/>
      </c>
      <c r="O443" s="64" t="str">
        <f>Ringkasan!O442</f>
        <v/>
      </c>
      <c r="P443" s="64" t="str">
        <f>Ringkasan!P442</f>
        <v/>
      </c>
      <c r="Q443" s="64" t="str">
        <f>Ringkasan!Q442</f>
        <v/>
      </c>
      <c r="R443" s="64" t="str">
        <f>Ringkasan!R442</f>
        <v/>
      </c>
      <c r="S443" s="64" t="str">
        <f>Ringkasan!S442</f>
        <v/>
      </c>
      <c r="T443" s="64" t="str">
        <f>Ringkasan!T442</f>
        <v/>
      </c>
      <c r="U443" s="64">
        <f>Ringkasan!U442</f>
        <v>580</v>
      </c>
      <c r="V443" s="64">
        <f>Ringkasan!V442</f>
        <v>5.17</v>
      </c>
      <c r="W443" s="64">
        <f>Ringkasan!W442</f>
        <v>590</v>
      </c>
      <c r="X443" s="64">
        <f>Ringkasan!X442</f>
        <v>615</v>
      </c>
      <c r="Y443" s="64">
        <f>Ringkasan!Y442</f>
        <v>590</v>
      </c>
      <c r="Z443" s="64">
        <f>Ringkasan!Z442</f>
        <v>14873600</v>
      </c>
      <c r="AA443" s="64" t="str">
        <f>Ringkasan!AA442</f>
        <v>Real Estate Management &amp; Development</v>
      </c>
      <c r="AB443" s="64" t="str">
        <f>Ringkasan!AB442</f>
        <v>Properties &amp; Real Estate</v>
      </c>
    </row>
    <row r="444" hidden="1">
      <c r="A444" s="64" t="str">
        <f>Ringkasan!A443</f>
        <v>BSDE</v>
      </c>
      <c r="B444" s="64" t="str">
        <f>Ringkasan!B443</f>
        <v>Bumi Serpong Damai Tbk.</v>
      </c>
      <c r="C444" s="65">
        <f>Ringkasan!C443</f>
        <v>610</v>
      </c>
      <c r="D444" s="64" t="str">
        <f>Ringkasan!D443</f>
        <v>#N/A</v>
      </c>
      <c r="E444" s="64" t="str">
        <f>Ringkasan!E443</f>
        <v>IDXSMC-LIQ</v>
      </c>
      <c r="F444" s="64" t="str">
        <f>Ringkasan!F443</f>
        <v>4 Agustus 2026</v>
      </c>
      <c r="G444" s="64">
        <f>Ringkasan!G443</f>
        <v>9</v>
      </c>
      <c r="H444" s="19">
        <f>Ringkasan!H443</f>
        <v>5.2</v>
      </c>
      <c r="I444" s="19">
        <f>Ringkasan!I443</f>
        <v>0.25</v>
      </c>
      <c r="J444" s="19">
        <f>Ringkasan!J443</f>
        <v>4.8</v>
      </c>
      <c r="K444" s="19">
        <f>Ringkasan!K443</f>
        <v>3.2</v>
      </c>
      <c r="L444" s="19">
        <f>Ringkasan!L443</f>
        <v>0.51</v>
      </c>
      <c r="M444" s="19">
        <f>Ringkasan!M443</f>
        <v>19.9</v>
      </c>
      <c r="N444" s="64" t="str">
        <f>Ringkasan!N443</f>
        <v/>
      </c>
      <c r="O444" s="64" t="str">
        <f>Ringkasan!O443</f>
        <v/>
      </c>
      <c r="P444" s="64" t="str">
        <f>Ringkasan!P443</f>
        <v/>
      </c>
      <c r="Q444" s="64" t="str">
        <f>Ringkasan!Q443</f>
        <v/>
      </c>
      <c r="R444" s="64" t="str">
        <f>Ringkasan!R443</f>
        <v/>
      </c>
      <c r="S444" s="64" t="str">
        <f>Ringkasan!S443</f>
        <v/>
      </c>
      <c r="T444" s="64" t="str">
        <f>Ringkasan!T443</f>
        <v/>
      </c>
      <c r="U444" s="64">
        <f>Ringkasan!U443</f>
        <v>580</v>
      </c>
      <c r="V444" s="64">
        <f>Ringkasan!V443</f>
        <v>5.17</v>
      </c>
      <c r="W444" s="64">
        <f>Ringkasan!W443</f>
        <v>590</v>
      </c>
      <c r="X444" s="64">
        <f>Ringkasan!X443</f>
        <v>615</v>
      </c>
      <c r="Y444" s="64">
        <f>Ringkasan!Y443</f>
        <v>590</v>
      </c>
      <c r="Z444" s="64">
        <f>Ringkasan!Z443</f>
        <v>14873600</v>
      </c>
      <c r="AA444" s="64" t="str">
        <f>Ringkasan!AA443</f>
        <v>Real Estate Management &amp; Development</v>
      </c>
      <c r="AB444" s="64" t="str">
        <f>Ringkasan!AB443</f>
        <v>Properties &amp; Real Estate</v>
      </c>
    </row>
    <row r="445" hidden="1">
      <c r="A445" s="64" t="str">
        <f>Ringkasan!A444</f>
        <v>BSDE</v>
      </c>
      <c r="B445" s="64" t="str">
        <f>Ringkasan!B444</f>
        <v>Bumi Serpong Damai Tbk.</v>
      </c>
      <c r="C445" s="65">
        <f>Ringkasan!C444</f>
        <v>610</v>
      </c>
      <c r="D445" s="64" t="str">
        <f>Ringkasan!D444</f>
        <v>#N/A</v>
      </c>
      <c r="E445" s="64" t="str">
        <f>Ringkasan!E444</f>
        <v>FTSE Large Cap</v>
      </c>
      <c r="F445" s="64" t="str">
        <f>Ringkasan!F444</f>
        <v>Juni 2026</v>
      </c>
      <c r="G445" s="64">
        <f>Ringkasan!G444</f>
        <v>9</v>
      </c>
      <c r="H445" s="19">
        <f>Ringkasan!H444</f>
        <v>5.2</v>
      </c>
      <c r="I445" s="19">
        <f>Ringkasan!I444</f>
        <v>0.25</v>
      </c>
      <c r="J445" s="19">
        <f>Ringkasan!J444</f>
        <v>4.8</v>
      </c>
      <c r="K445" s="19">
        <f>Ringkasan!K444</f>
        <v>3.2</v>
      </c>
      <c r="L445" s="19">
        <f>Ringkasan!L444</f>
        <v>0.51</v>
      </c>
      <c r="M445" s="19">
        <f>Ringkasan!M444</f>
        <v>19.9</v>
      </c>
      <c r="N445" s="64" t="str">
        <f>Ringkasan!N444</f>
        <v/>
      </c>
      <c r="O445" s="64" t="str">
        <f>Ringkasan!O444</f>
        <v/>
      </c>
      <c r="P445" s="64" t="str">
        <f>Ringkasan!P444</f>
        <v/>
      </c>
      <c r="Q445" s="64" t="str">
        <f>Ringkasan!Q444</f>
        <v/>
      </c>
      <c r="R445" s="64" t="str">
        <f>Ringkasan!R444</f>
        <v/>
      </c>
      <c r="S445" s="64" t="str">
        <f>Ringkasan!S444</f>
        <v/>
      </c>
      <c r="T445" s="64" t="str">
        <f>Ringkasan!T444</f>
        <v/>
      </c>
      <c r="U445" s="64">
        <f>Ringkasan!U444</f>
        <v>580</v>
      </c>
      <c r="V445" s="64">
        <f>Ringkasan!V444</f>
        <v>5.17</v>
      </c>
      <c r="W445" s="64">
        <f>Ringkasan!W444</f>
        <v>590</v>
      </c>
      <c r="X445" s="64">
        <f>Ringkasan!X444</f>
        <v>615</v>
      </c>
      <c r="Y445" s="64">
        <f>Ringkasan!Y444</f>
        <v>590</v>
      </c>
      <c r="Z445" s="64">
        <f>Ringkasan!Z444</f>
        <v>14873600</v>
      </c>
      <c r="AA445" s="64" t="str">
        <f>Ringkasan!AA444</f>
        <v>Real Estate Management &amp; Development</v>
      </c>
      <c r="AB445" s="64" t="str">
        <f>Ringkasan!AB444</f>
        <v>Properties &amp; Real Estate</v>
      </c>
    </row>
    <row r="446" hidden="1">
      <c r="A446" s="64" t="str">
        <f>Ringkasan!A445</f>
        <v>BSDE</v>
      </c>
      <c r="B446" s="64" t="str">
        <f>Ringkasan!B445</f>
        <v>Bumi Serpong Damai Tbk.</v>
      </c>
      <c r="C446" s="65">
        <f>Ringkasan!C445</f>
        <v>610</v>
      </c>
      <c r="D446" s="64" t="str">
        <f>Ringkasan!D445</f>
        <v>#N/A</v>
      </c>
      <c r="E446" s="64" t="str">
        <f>Ringkasan!E445</f>
        <v>JII70</v>
      </c>
      <c r="F446" s="66">
        <f>Ringkasan!F445</f>
        <v>46356</v>
      </c>
      <c r="G446" s="64">
        <f>Ringkasan!G445</f>
        <v>9</v>
      </c>
      <c r="H446" s="19">
        <f>Ringkasan!H445</f>
        <v>5.2</v>
      </c>
      <c r="I446" s="19">
        <f>Ringkasan!I445</f>
        <v>0.25</v>
      </c>
      <c r="J446" s="19">
        <f>Ringkasan!J445</f>
        <v>4.8</v>
      </c>
      <c r="K446" s="19">
        <f>Ringkasan!K445</f>
        <v>3.2</v>
      </c>
      <c r="L446" s="19">
        <f>Ringkasan!L445</f>
        <v>0.51</v>
      </c>
      <c r="M446" s="19">
        <f>Ringkasan!M445</f>
        <v>19.9</v>
      </c>
      <c r="N446" s="64" t="str">
        <f>Ringkasan!N445</f>
        <v/>
      </c>
      <c r="O446" s="64" t="str">
        <f>Ringkasan!O445</f>
        <v/>
      </c>
      <c r="P446" s="64" t="str">
        <f>Ringkasan!P445</f>
        <v/>
      </c>
      <c r="Q446" s="64" t="str">
        <f>Ringkasan!Q445</f>
        <v/>
      </c>
      <c r="R446" s="64" t="str">
        <f>Ringkasan!R445</f>
        <v/>
      </c>
      <c r="S446" s="64" t="str">
        <f>Ringkasan!S445</f>
        <v/>
      </c>
      <c r="T446" s="64" t="str">
        <f>Ringkasan!T445</f>
        <v/>
      </c>
      <c r="U446" s="64">
        <f>Ringkasan!U445</f>
        <v>580</v>
      </c>
      <c r="V446" s="64">
        <f>Ringkasan!V445</f>
        <v>5.17</v>
      </c>
      <c r="W446" s="64">
        <f>Ringkasan!W445</f>
        <v>590</v>
      </c>
      <c r="X446" s="64">
        <f>Ringkasan!X445</f>
        <v>615</v>
      </c>
      <c r="Y446" s="64">
        <f>Ringkasan!Y445</f>
        <v>590</v>
      </c>
      <c r="Z446" s="64">
        <f>Ringkasan!Z445</f>
        <v>14873600</v>
      </c>
      <c r="AA446" s="64" t="str">
        <f>Ringkasan!AA445</f>
        <v>Real Estate Management &amp; Development</v>
      </c>
      <c r="AB446" s="64" t="str">
        <f>Ringkasan!AB445</f>
        <v>Properties &amp; Real Estate</v>
      </c>
    </row>
    <row r="447" hidden="1">
      <c r="A447" s="64" t="str">
        <f>Ringkasan!A446</f>
        <v>BSIM</v>
      </c>
      <c r="B447" s="64" t="str">
        <f>Ringkasan!B446</f>
        <v>Bank Sinarmas Tbk</v>
      </c>
      <c r="C447" s="65">
        <f>Ringkasan!C446</f>
        <v>730</v>
      </c>
      <c r="D447" s="64" t="str">
        <f>Ringkasan!D446</f>
        <v>#N/A</v>
      </c>
      <c r="E447" s="64" t="str">
        <f>Ringkasan!E446</f>
        <v/>
      </c>
      <c r="F447" s="64" t="str">
        <f>Ringkasan!F446</f>
        <v/>
      </c>
      <c r="G447" s="64">
        <f>Ringkasan!G446</f>
        <v>0</v>
      </c>
      <c r="H447" s="19">
        <f>Ringkasan!H446</f>
        <v>55.2</v>
      </c>
      <c r="I447" s="19">
        <f>Ringkasan!I446</f>
        <v>1.8</v>
      </c>
      <c r="J447" s="19">
        <f>Ringkasan!J446</f>
        <v>3.2</v>
      </c>
      <c r="K447" s="19">
        <f>Ringkasan!K446</f>
        <v>0.51</v>
      </c>
      <c r="L447" s="19">
        <f>Ringkasan!L446</f>
        <v>4.8</v>
      </c>
      <c r="M447" s="19">
        <f>Ringkasan!M446</f>
        <v>35.8</v>
      </c>
      <c r="N447" s="64">
        <f>Ringkasan!N446</f>
        <v>6.1</v>
      </c>
      <c r="O447" s="64">
        <f>Ringkasan!O446</f>
        <v>30.55</v>
      </c>
      <c r="P447" s="64">
        <f>Ringkasan!P446</f>
        <v>81.42</v>
      </c>
      <c r="Q447" s="64">
        <f>Ringkasan!Q446</f>
        <v>2.33</v>
      </c>
      <c r="R447" s="64">
        <f>Ringkasan!R446</f>
        <v>95.95</v>
      </c>
      <c r="S447" s="64">
        <f>Ringkasan!S446</f>
        <v>75.41</v>
      </c>
      <c r="T447" s="64">
        <f>Ringkasan!T446</f>
        <v>12.05</v>
      </c>
      <c r="U447" s="64">
        <f>Ringkasan!U446</f>
        <v>720</v>
      </c>
      <c r="V447" s="64">
        <f>Ringkasan!V446</f>
        <v>1.39</v>
      </c>
      <c r="W447" s="64">
        <f>Ringkasan!W446</f>
        <v>720</v>
      </c>
      <c r="X447" s="64">
        <f>Ringkasan!X446</f>
        <v>735</v>
      </c>
      <c r="Y447" s="64">
        <f>Ringkasan!Y446</f>
        <v>710</v>
      </c>
      <c r="Z447" s="64">
        <f>Ringkasan!Z446</f>
        <v>51600</v>
      </c>
      <c r="AA447" s="64" t="str">
        <f>Ringkasan!AA446</f>
        <v>Banks</v>
      </c>
      <c r="AB447" s="64" t="str">
        <f>Ringkasan!AB446</f>
        <v>Financials</v>
      </c>
    </row>
    <row r="448" hidden="1">
      <c r="A448" s="64" t="str">
        <f>Ringkasan!A447</f>
        <v>BSML</v>
      </c>
      <c r="B448" s="64" t="str">
        <f>Ringkasan!B447</f>
        <v>Bintang Samudera Mandiri Lines Tbk.</v>
      </c>
      <c r="C448" s="65">
        <f>Ringkasan!C447</f>
        <v>428</v>
      </c>
      <c r="D448" s="64" t="str">
        <f>Ringkasan!D447</f>
        <v>#N/A</v>
      </c>
      <c r="E448" s="64" t="str">
        <f>Ringkasan!E447</f>
        <v/>
      </c>
      <c r="F448" s="64" t="str">
        <f>Ringkasan!F447</f>
        <v/>
      </c>
      <c r="G448" s="64">
        <f>Ringkasan!G447</f>
        <v>0</v>
      </c>
      <c r="H448" s="19">
        <f>Ringkasan!H447</f>
        <v>350</v>
      </c>
      <c r="I448" s="19">
        <f>Ringkasan!I447</f>
        <v>5.7</v>
      </c>
      <c r="J448" s="19">
        <f>Ringkasan!J447</f>
        <v>1.7</v>
      </c>
      <c r="K448" s="19">
        <f>Ringkasan!K447</f>
        <v>1.1</v>
      </c>
      <c r="L448" s="19">
        <f>Ringkasan!L447</f>
        <v>0.5</v>
      </c>
      <c r="M448" s="19">
        <f>Ringkasan!M447</f>
        <v>20.6</v>
      </c>
      <c r="N448" s="64" t="str">
        <f>Ringkasan!N447</f>
        <v/>
      </c>
      <c r="O448" s="64" t="str">
        <f>Ringkasan!O447</f>
        <v/>
      </c>
      <c r="P448" s="64" t="str">
        <f>Ringkasan!P447</f>
        <v/>
      </c>
      <c r="Q448" s="64" t="str">
        <f>Ringkasan!Q447</f>
        <v/>
      </c>
      <c r="R448" s="64" t="str">
        <f>Ringkasan!R447</f>
        <v/>
      </c>
      <c r="S448" s="64" t="str">
        <f>Ringkasan!S447</f>
        <v/>
      </c>
      <c r="T448" s="64" t="str">
        <f>Ringkasan!T447</f>
        <v/>
      </c>
      <c r="U448" s="64">
        <f>Ringkasan!U447</f>
        <v>402</v>
      </c>
      <c r="V448" s="64">
        <f>Ringkasan!V447</f>
        <v>6.47</v>
      </c>
      <c r="W448" s="64">
        <f>Ringkasan!W447</f>
        <v>402</v>
      </c>
      <c r="X448" s="64">
        <f>Ringkasan!X447</f>
        <v>434</v>
      </c>
      <c r="Y448" s="64" t="str">
        <f>Ringkasan!Y447</f>
        <v/>
      </c>
      <c r="Z448" s="64">
        <f>Ringkasan!Z447</f>
        <v>19569900</v>
      </c>
      <c r="AA448" s="64" t="str">
        <f>Ringkasan!AA447</f>
        <v>Coal</v>
      </c>
      <c r="AB448" s="64" t="str">
        <f>Ringkasan!AB447</f>
        <v>Energy</v>
      </c>
    </row>
    <row r="449" hidden="1">
      <c r="A449" s="64" t="str">
        <f>Ringkasan!A448</f>
        <v>BSSR</v>
      </c>
      <c r="B449" s="64" t="str">
        <f>Ringkasan!B448</f>
        <v>Baramulti Suksessarana Tbk.</v>
      </c>
      <c r="C449" s="65">
        <f>Ringkasan!C448</f>
        <v>4040</v>
      </c>
      <c r="D449" s="64" t="str">
        <f>Ringkasan!D448</f>
        <v>#N/A</v>
      </c>
      <c r="E449" s="64" t="str">
        <f>Ringkasan!E448</f>
        <v/>
      </c>
      <c r="F449" s="64" t="str">
        <f>Ringkasan!F448</f>
        <v/>
      </c>
      <c r="G449" s="65">
        <f>Ringkasan!G448</f>
        <v>0</v>
      </c>
      <c r="H449" s="19">
        <f>Ringkasan!H448</f>
        <v>6.8</v>
      </c>
      <c r="I449" s="19">
        <f>Ringkasan!I448</f>
        <v>2</v>
      </c>
      <c r="J449" s="19">
        <f>Ringkasan!J448</f>
        <v>29.9</v>
      </c>
      <c r="K449" s="19">
        <f>Ringkasan!K448</f>
        <v>22.7</v>
      </c>
      <c r="L449" s="19">
        <f>Ringkasan!L448</f>
        <v>0.32</v>
      </c>
      <c r="M449" s="19">
        <f>Ringkasan!M448</f>
        <v>53.3</v>
      </c>
      <c r="N449" s="64" t="str">
        <f>Ringkasan!N448</f>
        <v/>
      </c>
      <c r="O449" s="64" t="str">
        <f>Ringkasan!O448</f>
        <v/>
      </c>
      <c r="P449" s="64" t="str">
        <f>Ringkasan!P448</f>
        <v/>
      </c>
      <c r="Q449" s="64" t="str">
        <f>Ringkasan!Q448</f>
        <v/>
      </c>
      <c r="R449" s="64" t="str">
        <f>Ringkasan!R448</f>
        <v/>
      </c>
      <c r="S449" s="64" t="str">
        <f>Ringkasan!S448</f>
        <v/>
      </c>
      <c r="T449" s="64" t="str">
        <f>Ringkasan!T448</f>
        <v/>
      </c>
      <c r="U449" s="64">
        <f>Ringkasan!U448</f>
        <v>4010</v>
      </c>
      <c r="V449" s="64">
        <f>Ringkasan!V448</f>
        <v>0.75</v>
      </c>
      <c r="W449" s="64">
        <f>Ringkasan!W448</f>
        <v>4010</v>
      </c>
      <c r="X449" s="64">
        <f>Ringkasan!X448</f>
        <v>4050</v>
      </c>
      <c r="Y449" s="64">
        <f>Ringkasan!Y448</f>
        <v>4010</v>
      </c>
      <c r="Z449" s="64">
        <f>Ringkasan!Z448</f>
        <v>374600</v>
      </c>
      <c r="AA449" s="64" t="str">
        <f>Ringkasan!AA448</f>
        <v>Coal</v>
      </c>
      <c r="AB449" s="64" t="str">
        <f>Ringkasan!AB448</f>
        <v>Energy</v>
      </c>
    </row>
    <row r="450" hidden="1">
      <c r="A450" s="64" t="str">
        <f>Ringkasan!A449</f>
        <v>BSWD</v>
      </c>
      <c r="B450" s="64" t="str">
        <f>Ringkasan!B449</f>
        <v>Bank of India Indonesia Tbk</v>
      </c>
      <c r="C450" s="65">
        <f>Ringkasan!C449</f>
        <v>1400</v>
      </c>
      <c r="D450" s="64" t="str">
        <f>Ringkasan!D449</f>
        <v>#N/A</v>
      </c>
      <c r="E450" s="64" t="str">
        <f>Ringkasan!E449</f>
        <v/>
      </c>
      <c r="F450" s="64" t="str">
        <f>Ringkasan!F449</f>
        <v/>
      </c>
      <c r="G450" s="64">
        <f>Ringkasan!G449</f>
        <v>0</v>
      </c>
      <c r="H450" s="19">
        <f>Ringkasan!H449</f>
        <v>84.5</v>
      </c>
      <c r="I450" s="19">
        <f>Ringkasan!I449</f>
        <v>1.5</v>
      </c>
      <c r="J450" s="19">
        <f>Ringkasan!J449</f>
        <v>1.7</v>
      </c>
      <c r="K450" s="19">
        <f>Ringkasan!K449</f>
        <v>0.85</v>
      </c>
      <c r="L450" s="19">
        <f>Ringkasan!L449</f>
        <v>1</v>
      </c>
      <c r="M450" s="19">
        <f>Ringkasan!M449</f>
        <v>58.7</v>
      </c>
      <c r="N450" s="64">
        <f>Ringkasan!N449</f>
        <v>2.68</v>
      </c>
      <c r="O450" s="64">
        <f>Ringkasan!O449</f>
        <v>60.33</v>
      </c>
      <c r="P450" s="64">
        <f>Ringkasan!P449</f>
        <v>81.19</v>
      </c>
      <c r="Q450" s="64">
        <f>Ringkasan!Q449</f>
        <v>91.24</v>
      </c>
      <c r="R450" s="64">
        <f>Ringkasan!R449</f>
        <v>91.24</v>
      </c>
      <c r="S450" s="64">
        <f>Ringkasan!S449</f>
        <v>72.58</v>
      </c>
      <c r="T450" s="64">
        <f>Ringkasan!T449</f>
        <v>6.58</v>
      </c>
      <c r="U450" s="64">
        <f>Ringkasan!U449</f>
        <v>1400</v>
      </c>
      <c r="V450" s="64">
        <f>Ringkasan!V449</f>
        <v>0</v>
      </c>
      <c r="W450" s="64" t="str">
        <f>Ringkasan!W449</f>
        <v/>
      </c>
      <c r="X450" s="64" t="str">
        <f>Ringkasan!X449</f>
        <v/>
      </c>
      <c r="Y450" s="64" t="str">
        <f>Ringkasan!Y449</f>
        <v/>
      </c>
      <c r="Z450" s="64">
        <f>Ringkasan!Z449</f>
        <v>0</v>
      </c>
      <c r="AA450" s="64" t="str">
        <f>Ringkasan!AA449</f>
        <v>Banks</v>
      </c>
      <c r="AB450" s="64" t="str">
        <f>Ringkasan!AB449</f>
        <v>Financials</v>
      </c>
    </row>
    <row r="451" hidden="1">
      <c r="A451" s="64" t="str">
        <f>Ringkasan!A450</f>
        <v>BTEK</v>
      </c>
      <c r="B451" s="64" t="str">
        <f>Ringkasan!B450</f>
        <v>Bumi Teknokultura Unggul Tbk</v>
      </c>
      <c r="C451" s="65">
        <f>Ringkasan!C450</f>
        <v>12</v>
      </c>
      <c r="D451" s="64" t="str">
        <f>Ringkasan!D450</f>
        <v>#N/A</v>
      </c>
      <c r="E451" s="64" t="str">
        <f>Ringkasan!E450</f>
        <v/>
      </c>
      <c r="F451" s="64" t="str">
        <f>Ringkasan!F450</f>
        <v/>
      </c>
      <c r="G451" s="64">
        <f>Ringkasan!G450</f>
        <v>0</v>
      </c>
      <c r="H451" s="19">
        <f>Ringkasan!H450</f>
        <v>-1.4</v>
      </c>
      <c r="I451" s="19">
        <f>Ringkasan!I450</f>
        <v>2.1</v>
      </c>
      <c r="J451" s="19">
        <f>Ringkasan!J450</f>
        <v>-150</v>
      </c>
      <c r="K451" s="19">
        <f>Ringkasan!K450</f>
        <v>-11.5</v>
      </c>
      <c r="L451" s="19">
        <f>Ringkasan!L450</f>
        <v>12.4</v>
      </c>
      <c r="M451" s="19">
        <f>Ringkasan!M450</f>
        <v>-8730</v>
      </c>
      <c r="N451" s="64" t="str">
        <f>Ringkasan!N450</f>
        <v/>
      </c>
      <c r="O451" s="64" t="str">
        <f>Ringkasan!O450</f>
        <v/>
      </c>
      <c r="P451" s="64" t="str">
        <f>Ringkasan!P450</f>
        <v/>
      </c>
      <c r="Q451" s="64" t="str">
        <f>Ringkasan!Q450</f>
        <v/>
      </c>
      <c r="R451" s="64" t="str">
        <f>Ringkasan!R450</f>
        <v/>
      </c>
      <c r="S451" s="64" t="str">
        <f>Ringkasan!S450</f>
        <v/>
      </c>
      <c r="T451" s="64" t="str">
        <f>Ringkasan!T450</f>
        <v/>
      </c>
      <c r="U451" s="64">
        <f>Ringkasan!U450</f>
        <v>6.43</v>
      </c>
      <c r="V451" s="64">
        <f>Ringkasan!V450</f>
        <v>0.35</v>
      </c>
      <c r="W451" s="64">
        <f>Ringkasan!W450</f>
        <v>6.42</v>
      </c>
      <c r="X451" s="64">
        <f>Ringkasan!X450</f>
        <v>6.49</v>
      </c>
      <c r="Y451" s="64">
        <f>Ringkasan!Y450</f>
        <v>6.42</v>
      </c>
      <c r="Z451" s="64">
        <f>Ringkasan!Z450</f>
        <v>23504</v>
      </c>
      <c r="AA451" s="64" t="str">
        <f>Ringkasan!AA450</f>
        <v>Agricultural Products</v>
      </c>
      <c r="AB451" s="64" t="str">
        <f>Ringkasan!AB450</f>
        <v>Consumer Non-Cyclicals</v>
      </c>
    </row>
    <row r="452" hidden="1">
      <c r="A452" s="64" t="str">
        <f>Ringkasan!A451</f>
        <v>BTEL</v>
      </c>
      <c r="B452" s="64" t="str">
        <f>Ringkasan!B451</f>
        <v>Bakrie Telecom Tbk</v>
      </c>
      <c r="C452" s="65">
        <f>Ringkasan!C451</f>
        <v>50</v>
      </c>
      <c r="D452" s="64" t="str">
        <f>Ringkasan!D451</f>
        <v>#N/A</v>
      </c>
      <c r="E452" s="64" t="str">
        <f>Ringkasan!E451</f>
        <v/>
      </c>
      <c r="F452" s="64" t="str">
        <f>Ringkasan!F451</f>
        <v/>
      </c>
      <c r="G452" s="64">
        <f>Ringkasan!G451</f>
        <v>0</v>
      </c>
      <c r="H452" s="19">
        <f>Ringkasan!H451</f>
        <v>-41.6</v>
      </c>
      <c r="I452" s="19">
        <f>Ringkasan!I451</f>
        <v>-0.31</v>
      </c>
      <c r="J452" s="19">
        <f>Ringkasan!J451</f>
        <v>0</v>
      </c>
      <c r="K452" s="19">
        <f>Ringkasan!K451</f>
        <v>-76.7</v>
      </c>
      <c r="L452" s="19">
        <f>Ringkasan!L451</f>
        <v>-1</v>
      </c>
      <c r="M452" s="19">
        <f>Ringkasan!M451</f>
        <v>-51.6</v>
      </c>
      <c r="N452" s="64" t="str">
        <f>Ringkasan!N451</f>
        <v/>
      </c>
      <c r="O452" s="64" t="str">
        <f>Ringkasan!O451</f>
        <v/>
      </c>
      <c r="P452" s="64" t="str">
        <f>Ringkasan!P451</f>
        <v/>
      </c>
      <c r="Q452" s="64" t="str">
        <f>Ringkasan!Q451</f>
        <v/>
      </c>
      <c r="R452" s="64" t="str">
        <f>Ringkasan!R451</f>
        <v/>
      </c>
      <c r="S452" s="64" t="str">
        <f>Ringkasan!S451</f>
        <v/>
      </c>
      <c r="T452" s="64" t="str">
        <f>Ringkasan!T451</f>
        <v/>
      </c>
      <c r="U452" s="64">
        <f>Ringkasan!U451</f>
        <v>50</v>
      </c>
      <c r="V452" s="64">
        <f>Ringkasan!V451</f>
        <v>0</v>
      </c>
      <c r="W452" s="64" t="str">
        <f>Ringkasan!W451</f>
        <v/>
      </c>
      <c r="X452" s="64" t="str">
        <f>Ringkasan!X451</f>
        <v/>
      </c>
      <c r="Y452" s="64" t="str">
        <f>Ringkasan!Y451</f>
        <v/>
      </c>
      <c r="Z452" s="64">
        <f>Ringkasan!Z451</f>
        <v>0</v>
      </c>
      <c r="AA452" s="64" t="str">
        <f>Ringkasan!AA451</f>
        <v>Wireless Telecommunication Services</v>
      </c>
      <c r="AB452" s="64" t="str">
        <f>Ringkasan!AB451</f>
        <v>Infrastructures</v>
      </c>
    </row>
    <row r="453" hidden="1">
      <c r="A453" s="64" t="str">
        <f>Ringkasan!A452</f>
        <v>BTON</v>
      </c>
      <c r="B453" s="64" t="str">
        <f>Ringkasan!B452</f>
        <v>Betonjaya Manunggal Tbk.</v>
      </c>
      <c r="C453" s="65">
        <f>Ringkasan!C452</f>
        <v>344</v>
      </c>
      <c r="D453" s="64" t="str">
        <f>Ringkasan!D452</f>
        <v>#N/A</v>
      </c>
      <c r="E453" s="64" t="str">
        <f>Ringkasan!E452</f>
        <v/>
      </c>
      <c r="F453" s="64" t="str">
        <f>Ringkasan!F452</f>
        <v/>
      </c>
      <c r="G453" s="64">
        <f>Ringkasan!G452</f>
        <v>0</v>
      </c>
      <c r="H453" s="19">
        <f>Ringkasan!H452</f>
        <v>12.6</v>
      </c>
      <c r="I453" s="19">
        <f>Ringkasan!I452</f>
        <v>0.87</v>
      </c>
      <c r="J453" s="19">
        <f>Ringkasan!J452</f>
        <v>6.9</v>
      </c>
      <c r="K453" s="19">
        <f>Ringkasan!K452</f>
        <v>4.7</v>
      </c>
      <c r="L453" s="19">
        <f>Ringkasan!L452</f>
        <v>0.48</v>
      </c>
      <c r="M453" s="19">
        <f>Ringkasan!M452</f>
        <v>69.6</v>
      </c>
      <c r="N453" s="64" t="str">
        <f>Ringkasan!N452</f>
        <v/>
      </c>
      <c r="O453" s="64" t="str">
        <f>Ringkasan!O452</f>
        <v/>
      </c>
      <c r="P453" s="64" t="str">
        <f>Ringkasan!P452</f>
        <v/>
      </c>
      <c r="Q453" s="64" t="str">
        <f>Ringkasan!Q452</f>
        <v/>
      </c>
      <c r="R453" s="64" t="str">
        <f>Ringkasan!R452</f>
        <v/>
      </c>
      <c r="S453" s="64" t="str">
        <f>Ringkasan!S452</f>
        <v/>
      </c>
      <c r="T453" s="64" t="str">
        <f>Ringkasan!T452</f>
        <v/>
      </c>
      <c r="U453" s="64">
        <f>Ringkasan!U452</f>
        <v>342</v>
      </c>
      <c r="V453" s="64">
        <f>Ringkasan!V452</f>
        <v>0.58</v>
      </c>
      <c r="W453" s="64">
        <f>Ringkasan!W452</f>
        <v>322</v>
      </c>
      <c r="X453" s="64">
        <f>Ringkasan!X452</f>
        <v>354</v>
      </c>
      <c r="Y453" s="64">
        <f>Ringkasan!Y452</f>
        <v>322</v>
      </c>
      <c r="Z453" s="64">
        <f>Ringkasan!Z452</f>
        <v>4700</v>
      </c>
      <c r="AA453" s="64" t="str">
        <f>Ringkasan!AA452</f>
        <v>Metals &amp; Minerals</v>
      </c>
      <c r="AB453" s="64" t="str">
        <f>Ringkasan!AB452</f>
        <v>Basic Materials</v>
      </c>
    </row>
    <row r="454" hidden="1">
      <c r="A454" s="64" t="str">
        <f>Ringkasan!A453</f>
        <v>BTPN</v>
      </c>
      <c r="B454" s="64" t="str">
        <f>Ringkasan!B453</f>
        <v>Bank SMBC Indonesia Tbk.</v>
      </c>
      <c r="C454" s="65">
        <f>Ringkasan!C453</f>
        <v>2140</v>
      </c>
      <c r="D454" s="64" t="str">
        <f>Ringkasan!D453</f>
        <v>#N/A</v>
      </c>
      <c r="E454" s="64" t="str">
        <f>Ringkasan!E453</f>
        <v>PRIMBANK-10</v>
      </c>
      <c r="F454" s="64" t="str">
        <f>Ringkasan!F453</f>
        <v>30 Juni 2026</v>
      </c>
      <c r="G454" s="64">
        <f>Ringkasan!G453</f>
        <v>1</v>
      </c>
      <c r="H454" s="19">
        <f>Ringkasan!H453</f>
        <v>55.1</v>
      </c>
      <c r="I454" s="19">
        <f>Ringkasan!I453</f>
        <v>0.46</v>
      </c>
      <c r="J454" s="19">
        <f>Ringkasan!J453</f>
        <v>0.84</v>
      </c>
      <c r="K454" s="19">
        <f>Ringkasan!K453</f>
        <v>0.18</v>
      </c>
      <c r="L454" s="19">
        <f>Ringkasan!L453</f>
        <v>3.4</v>
      </c>
      <c r="M454" s="19">
        <f>Ringkasan!M453</f>
        <v>7</v>
      </c>
      <c r="N454" s="64">
        <f>Ringkasan!N453</f>
        <v>6.4</v>
      </c>
      <c r="O454" s="64">
        <f>Ringkasan!O453</f>
        <v>29.8</v>
      </c>
      <c r="P454" s="64">
        <f>Ringkasan!P453</f>
        <v>92.2</v>
      </c>
      <c r="Q454" s="64">
        <f>Ringkasan!Q453</f>
        <v>1.3</v>
      </c>
      <c r="R454" s="64">
        <f>Ringkasan!R453</f>
        <v>83.5</v>
      </c>
      <c r="S454" s="64">
        <f>Ringkasan!S453</f>
        <v>53.2</v>
      </c>
      <c r="T454" s="64">
        <f>Ringkasan!T453</f>
        <v>11.4</v>
      </c>
      <c r="U454" s="64">
        <f>Ringkasan!U453</f>
        <v>2140</v>
      </c>
      <c r="V454" s="64">
        <f>Ringkasan!V453</f>
        <v>0</v>
      </c>
      <c r="W454" s="64">
        <f>Ringkasan!W453</f>
        <v>2140</v>
      </c>
      <c r="X454" s="64">
        <f>Ringkasan!X453</f>
        <v>2140</v>
      </c>
      <c r="Y454" s="64">
        <f>Ringkasan!Y453</f>
        <v>2070</v>
      </c>
      <c r="Z454" s="64">
        <f>Ringkasan!Z453</f>
        <v>190900</v>
      </c>
      <c r="AA454" s="64" t="str">
        <f>Ringkasan!AA453</f>
        <v>Banks</v>
      </c>
      <c r="AB454" s="64" t="str">
        <f>Ringkasan!AB453</f>
        <v>Financials</v>
      </c>
    </row>
    <row r="455" hidden="1">
      <c r="A455" s="64" t="str">
        <f>Ringkasan!A454</f>
        <v>BTPS</v>
      </c>
      <c r="B455" s="64" t="str">
        <f>Ringkasan!B454</f>
        <v>Bank BTPN Syariah Tbk.</v>
      </c>
      <c r="C455" s="65">
        <f>Ringkasan!C454</f>
        <v>965</v>
      </c>
      <c r="D455" s="64" t="str">
        <f>Ringkasan!D454</f>
        <v>#N/A</v>
      </c>
      <c r="E455" s="64" t="str">
        <f>Ringkasan!E454</f>
        <v>ESGQKEHATI</v>
      </c>
      <c r="F455" s="66">
        <f>Ringkasan!F454</f>
        <v>46356</v>
      </c>
      <c r="G455" s="64">
        <f>Ringkasan!G454</f>
        <v>7</v>
      </c>
      <c r="H455" s="19">
        <f>Ringkasan!H454</f>
        <v>5.9</v>
      </c>
      <c r="I455" s="19">
        <f>Ringkasan!I454</f>
        <v>0.7</v>
      </c>
      <c r="J455" s="19">
        <f>Ringkasan!J454</f>
        <v>11.8</v>
      </c>
      <c r="K455" s="19">
        <f>Ringkasan!K454</f>
        <v>5.2</v>
      </c>
      <c r="L455" s="19">
        <f>Ringkasan!L454</f>
        <v>0.28</v>
      </c>
      <c r="M455" s="19">
        <f>Ringkasan!M454</f>
        <v>110</v>
      </c>
      <c r="N455" s="64">
        <f>Ringkasan!N454</f>
        <v>21.7</v>
      </c>
      <c r="O455" s="64">
        <f>Ringkasan!O454</f>
        <v>57.74</v>
      </c>
      <c r="P455" s="64">
        <f>Ringkasan!P454</f>
        <v>84.7</v>
      </c>
      <c r="Q455" s="64">
        <f>Ringkasan!Q454</f>
        <v>2.59</v>
      </c>
      <c r="R455" s="64">
        <f>Ringkasan!R454</f>
        <v>79.28</v>
      </c>
      <c r="S455" s="64">
        <f>Ringkasan!S454</f>
        <v>48.82</v>
      </c>
      <c r="T455" s="64" t="str">
        <f>Ringkasan!T454</f>
        <v/>
      </c>
      <c r="U455" s="64">
        <f>Ringkasan!U454</f>
        <v>935</v>
      </c>
      <c r="V455" s="64" t="str">
        <f>Ringkasan!V454</f>
        <v/>
      </c>
      <c r="W455" s="64">
        <f>Ringkasan!W454</f>
        <v>935</v>
      </c>
      <c r="X455" s="64">
        <f>Ringkasan!X454</f>
        <v>980</v>
      </c>
      <c r="Y455" s="64">
        <f>Ringkasan!Y454</f>
        <v>930</v>
      </c>
      <c r="Z455" s="64">
        <f>Ringkasan!Z454</f>
        <v>5453300</v>
      </c>
      <c r="AA455" s="64" t="str">
        <f>Ringkasan!AA454</f>
        <v>Banks</v>
      </c>
      <c r="AB455" s="64" t="str">
        <f>Ringkasan!AB454</f>
        <v>Financials</v>
      </c>
    </row>
    <row r="456" hidden="1">
      <c r="A456" s="64" t="str">
        <f>Ringkasan!A455</f>
        <v>BTPS</v>
      </c>
      <c r="B456" s="64" t="str">
        <f>Ringkasan!B455</f>
        <v>Bank BTPN Syariah Tbk.</v>
      </c>
      <c r="C456" s="65">
        <f>Ringkasan!C455</f>
        <v>965</v>
      </c>
      <c r="D456" s="64" t="str">
        <f>Ringkasan!D455</f>
        <v>#N/A</v>
      </c>
      <c r="E456" s="64" t="str">
        <f>Ringkasan!E455</f>
        <v>IDXQ30</v>
      </c>
      <c r="F456" s="64" t="str">
        <f>Ringkasan!F455</f>
        <v>4 Agustus 2026</v>
      </c>
      <c r="G456" s="64">
        <f>Ringkasan!G455</f>
        <v>7</v>
      </c>
      <c r="H456" s="19">
        <f>Ringkasan!H455</f>
        <v>5.9</v>
      </c>
      <c r="I456" s="19">
        <f>Ringkasan!I455</f>
        <v>0.7</v>
      </c>
      <c r="J456" s="19">
        <f>Ringkasan!J455</f>
        <v>11.8</v>
      </c>
      <c r="K456" s="19">
        <f>Ringkasan!K455</f>
        <v>5.2</v>
      </c>
      <c r="L456" s="19">
        <f>Ringkasan!L455</f>
        <v>0.28</v>
      </c>
      <c r="M456" s="19">
        <f>Ringkasan!M455</f>
        <v>110</v>
      </c>
      <c r="N456" s="64">
        <f>Ringkasan!N455</f>
        <v>21.7</v>
      </c>
      <c r="O456" s="64">
        <f>Ringkasan!O455</f>
        <v>57.74</v>
      </c>
      <c r="P456" s="64">
        <f>Ringkasan!P455</f>
        <v>84.7</v>
      </c>
      <c r="Q456" s="64">
        <f>Ringkasan!Q455</f>
        <v>2.59</v>
      </c>
      <c r="R456" s="64">
        <f>Ringkasan!R455</f>
        <v>79.28</v>
      </c>
      <c r="S456" s="64">
        <f>Ringkasan!S455</f>
        <v>48.82</v>
      </c>
      <c r="T456" s="64" t="str">
        <f>Ringkasan!T455</f>
        <v/>
      </c>
      <c r="U456" s="64">
        <f>Ringkasan!U455</f>
        <v>935</v>
      </c>
      <c r="V456" s="64" t="str">
        <f>Ringkasan!V455</f>
        <v/>
      </c>
      <c r="W456" s="64">
        <f>Ringkasan!W455</f>
        <v>935</v>
      </c>
      <c r="X456" s="64">
        <f>Ringkasan!X455</f>
        <v>980</v>
      </c>
      <c r="Y456" s="64">
        <f>Ringkasan!Y455</f>
        <v>930</v>
      </c>
      <c r="Z456" s="64">
        <f>Ringkasan!Z455</f>
        <v>5453300</v>
      </c>
      <c r="AA456" s="64" t="str">
        <f>Ringkasan!AA455</f>
        <v>Banks</v>
      </c>
      <c r="AB456" s="64" t="str">
        <f>Ringkasan!AB455</f>
        <v>Financials</v>
      </c>
    </row>
    <row r="457" hidden="1">
      <c r="A457" s="64" t="str">
        <f>Ringkasan!A456</f>
        <v>BTPS</v>
      </c>
      <c r="B457" s="64" t="str">
        <f>Ringkasan!B456</f>
        <v>Bank BTPN Syariah Tbk.</v>
      </c>
      <c r="C457" s="65">
        <f>Ringkasan!C456</f>
        <v>965</v>
      </c>
      <c r="D457" s="64" t="str">
        <f>Ringkasan!D456</f>
        <v>#N/A</v>
      </c>
      <c r="E457" s="64" t="str">
        <f>Ringkasan!E456</f>
        <v>IDXV30</v>
      </c>
      <c r="F457" s="64" t="str">
        <f>Ringkasan!F456</f>
        <v>4 Agustus 2026</v>
      </c>
      <c r="G457" s="64">
        <f>Ringkasan!G456</f>
        <v>7</v>
      </c>
      <c r="H457" s="19">
        <f>Ringkasan!H456</f>
        <v>5.9</v>
      </c>
      <c r="I457" s="19">
        <f>Ringkasan!I456</f>
        <v>0.7</v>
      </c>
      <c r="J457" s="19">
        <f>Ringkasan!J456</f>
        <v>11.8</v>
      </c>
      <c r="K457" s="19">
        <f>Ringkasan!K456</f>
        <v>5.2</v>
      </c>
      <c r="L457" s="19">
        <f>Ringkasan!L456</f>
        <v>0.28</v>
      </c>
      <c r="M457" s="19">
        <f>Ringkasan!M456</f>
        <v>110</v>
      </c>
      <c r="N457" s="64">
        <f>Ringkasan!N456</f>
        <v>21.7</v>
      </c>
      <c r="O457" s="64">
        <f>Ringkasan!O456</f>
        <v>57.74</v>
      </c>
      <c r="P457" s="64">
        <f>Ringkasan!P456</f>
        <v>84.7</v>
      </c>
      <c r="Q457" s="64">
        <f>Ringkasan!Q456</f>
        <v>2.59</v>
      </c>
      <c r="R457" s="64">
        <f>Ringkasan!R456</f>
        <v>79.28</v>
      </c>
      <c r="S457" s="64">
        <f>Ringkasan!S456</f>
        <v>48.82</v>
      </c>
      <c r="T457" s="64" t="str">
        <f>Ringkasan!T456</f>
        <v/>
      </c>
      <c r="U457" s="64">
        <f>Ringkasan!U456</f>
        <v>935</v>
      </c>
      <c r="V457" s="64" t="str">
        <f>Ringkasan!V456</f>
        <v/>
      </c>
      <c r="W457" s="64">
        <f>Ringkasan!W456</f>
        <v>935</v>
      </c>
      <c r="X457" s="64">
        <f>Ringkasan!X456</f>
        <v>980</v>
      </c>
      <c r="Y457" s="64">
        <f>Ringkasan!Y456</f>
        <v>930</v>
      </c>
      <c r="Z457" s="64">
        <f>Ringkasan!Z456</f>
        <v>5453300</v>
      </c>
      <c r="AA457" s="64" t="str">
        <f>Ringkasan!AA456</f>
        <v>Banks</v>
      </c>
      <c r="AB457" s="64" t="str">
        <f>Ringkasan!AB456</f>
        <v>Financials</v>
      </c>
    </row>
    <row r="458" hidden="1">
      <c r="A458" s="64" t="str">
        <f>Ringkasan!A457</f>
        <v>BTPS</v>
      </c>
      <c r="B458" s="64" t="str">
        <f>Ringkasan!B457</f>
        <v>Bank BTPN Syariah Tbk.</v>
      </c>
      <c r="C458" s="65">
        <f>Ringkasan!C457</f>
        <v>965</v>
      </c>
      <c r="D458" s="64" t="str">
        <f>Ringkasan!D457</f>
        <v>#N/A</v>
      </c>
      <c r="E458" s="64" t="str">
        <f>Ringkasan!E457</f>
        <v>Infobank15</v>
      </c>
      <c r="F458" s="64" t="str">
        <f>Ringkasan!F457</f>
        <v>30 Juni 2026</v>
      </c>
      <c r="G458" s="64">
        <f>Ringkasan!G457</f>
        <v>7</v>
      </c>
      <c r="H458" s="19">
        <f>Ringkasan!H457</f>
        <v>5.9</v>
      </c>
      <c r="I458" s="19">
        <f>Ringkasan!I457</f>
        <v>0.7</v>
      </c>
      <c r="J458" s="19">
        <f>Ringkasan!J457</f>
        <v>11.8</v>
      </c>
      <c r="K458" s="19">
        <f>Ringkasan!K457</f>
        <v>5.2</v>
      </c>
      <c r="L458" s="19">
        <f>Ringkasan!L457</f>
        <v>0.28</v>
      </c>
      <c r="M458" s="19">
        <f>Ringkasan!M457</f>
        <v>110</v>
      </c>
      <c r="N458" s="64">
        <f>Ringkasan!N457</f>
        <v>21.7</v>
      </c>
      <c r="O458" s="64">
        <f>Ringkasan!O457</f>
        <v>57.74</v>
      </c>
      <c r="P458" s="64">
        <f>Ringkasan!P457</f>
        <v>84.7</v>
      </c>
      <c r="Q458" s="64">
        <f>Ringkasan!Q457</f>
        <v>2.59</v>
      </c>
      <c r="R458" s="64">
        <f>Ringkasan!R457</f>
        <v>79.28</v>
      </c>
      <c r="S458" s="64">
        <f>Ringkasan!S457</f>
        <v>48.82</v>
      </c>
      <c r="T458" s="64" t="str">
        <f>Ringkasan!T457</f>
        <v/>
      </c>
      <c r="U458" s="64">
        <f>Ringkasan!U457</f>
        <v>935</v>
      </c>
      <c r="V458" s="64" t="str">
        <f>Ringkasan!V457</f>
        <v/>
      </c>
      <c r="W458" s="64">
        <f>Ringkasan!W457</f>
        <v>935</v>
      </c>
      <c r="X458" s="64">
        <f>Ringkasan!X457</f>
        <v>980</v>
      </c>
      <c r="Y458" s="64">
        <f>Ringkasan!Y457</f>
        <v>930</v>
      </c>
      <c r="Z458" s="64">
        <f>Ringkasan!Z457</f>
        <v>5453300</v>
      </c>
      <c r="AA458" s="64" t="str">
        <f>Ringkasan!AA457</f>
        <v>Banks</v>
      </c>
      <c r="AB458" s="64" t="str">
        <f>Ringkasan!AB457</f>
        <v>Financials</v>
      </c>
    </row>
    <row r="459" hidden="1">
      <c r="A459" s="64" t="str">
        <f>Ringkasan!A458</f>
        <v>BTPS</v>
      </c>
      <c r="B459" s="64" t="str">
        <f>Ringkasan!B458</f>
        <v>Bank BTPN Syariah Tbk.</v>
      </c>
      <c r="C459" s="65">
        <f>Ringkasan!C458</f>
        <v>965</v>
      </c>
      <c r="D459" s="64" t="str">
        <f>Ringkasan!D458</f>
        <v>#N/A</v>
      </c>
      <c r="E459" s="64" t="str">
        <f>Ringkasan!E458</f>
        <v>Kompas100</v>
      </c>
      <c r="F459" s="64" t="str">
        <f>Ringkasan!F458</f>
        <v>31 Juli 2026</v>
      </c>
      <c r="G459" s="64">
        <f>Ringkasan!G458</f>
        <v>7</v>
      </c>
      <c r="H459" s="19">
        <f>Ringkasan!H458</f>
        <v>5.9</v>
      </c>
      <c r="I459" s="19">
        <f>Ringkasan!I458</f>
        <v>0.7</v>
      </c>
      <c r="J459" s="19">
        <f>Ringkasan!J458</f>
        <v>11.8</v>
      </c>
      <c r="K459" s="19">
        <f>Ringkasan!K458</f>
        <v>5.2</v>
      </c>
      <c r="L459" s="19">
        <f>Ringkasan!L458</f>
        <v>0.28</v>
      </c>
      <c r="M459" s="19">
        <f>Ringkasan!M458</f>
        <v>110</v>
      </c>
      <c r="N459" s="64">
        <f>Ringkasan!N458</f>
        <v>21.7</v>
      </c>
      <c r="O459" s="64">
        <f>Ringkasan!O458</f>
        <v>57.74</v>
      </c>
      <c r="P459" s="64">
        <f>Ringkasan!P458</f>
        <v>84.7</v>
      </c>
      <c r="Q459" s="64">
        <f>Ringkasan!Q458</f>
        <v>2.59</v>
      </c>
      <c r="R459" s="64">
        <f>Ringkasan!R458</f>
        <v>79.28</v>
      </c>
      <c r="S459" s="64">
        <f>Ringkasan!S458</f>
        <v>48.82</v>
      </c>
      <c r="T459" s="64" t="str">
        <f>Ringkasan!T458</f>
        <v/>
      </c>
      <c r="U459" s="64">
        <f>Ringkasan!U458</f>
        <v>935</v>
      </c>
      <c r="V459" s="64" t="str">
        <f>Ringkasan!V458</f>
        <v/>
      </c>
      <c r="W459" s="64">
        <f>Ringkasan!W458</f>
        <v>935</v>
      </c>
      <c r="X459" s="64">
        <f>Ringkasan!X458</f>
        <v>980</v>
      </c>
      <c r="Y459" s="64">
        <f>Ringkasan!Y458</f>
        <v>930</v>
      </c>
      <c r="Z459" s="64">
        <f>Ringkasan!Z458</f>
        <v>5453300</v>
      </c>
      <c r="AA459" s="64" t="str">
        <f>Ringkasan!AA458</f>
        <v>Banks</v>
      </c>
      <c r="AB459" s="64" t="str">
        <f>Ringkasan!AB458</f>
        <v>Financials</v>
      </c>
    </row>
    <row r="460" hidden="1">
      <c r="A460" s="64" t="str">
        <f>Ringkasan!A459</f>
        <v>BTPS</v>
      </c>
      <c r="B460" s="64" t="str">
        <f>Ringkasan!B459</f>
        <v>Bank BTPN Syariah Tbk.</v>
      </c>
      <c r="C460" s="65">
        <f>Ringkasan!C459</f>
        <v>965</v>
      </c>
      <c r="D460" s="64" t="str">
        <f>Ringkasan!D459</f>
        <v>#N/A</v>
      </c>
      <c r="E460" s="64" t="str">
        <f>Ringkasan!E459</f>
        <v>IDXSMC-LIQ</v>
      </c>
      <c r="F460" s="64" t="str">
        <f>Ringkasan!F459</f>
        <v>4 Agustus 2026</v>
      </c>
      <c r="G460" s="64">
        <f>Ringkasan!G459</f>
        <v>7</v>
      </c>
      <c r="H460" s="19">
        <f>Ringkasan!H459</f>
        <v>5.9</v>
      </c>
      <c r="I460" s="19">
        <f>Ringkasan!I459</f>
        <v>0.7</v>
      </c>
      <c r="J460" s="19">
        <f>Ringkasan!J459</f>
        <v>11.8</v>
      </c>
      <c r="K460" s="19">
        <f>Ringkasan!K459</f>
        <v>5.2</v>
      </c>
      <c r="L460" s="19">
        <f>Ringkasan!L459</f>
        <v>0.28</v>
      </c>
      <c r="M460" s="19">
        <f>Ringkasan!M459</f>
        <v>110</v>
      </c>
      <c r="N460" s="64">
        <f>Ringkasan!N459</f>
        <v>21.7</v>
      </c>
      <c r="O460" s="64">
        <f>Ringkasan!O459</f>
        <v>57.74</v>
      </c>
      <c r="P460" s="64">
        <f>Ringkasan!P459</f>
        <v>84.7</v>
      </c>
      <c r="Q460" s="64">
        <f>Ringkasan!Q459</f>
        <v>2.59</v>
      </c>
      <c r="R460" s="64">
        <f>Ringkasan!R459</f>
        <v>79.28</v>
      </c>
      <c r="S460" s="64">
        <f>Ringkasan!S459</f>
        <v>48.82</v>
      </c>
      <c r="T460" s="64" t="str">
        <f>Ringkasan!T459</f>
        <v/>
      </c>
      <c r="U460" s="64">
        <f>Ringkasan!U459</f>
        <v>935</v>
      </c>
      <c r="V460" s="64" t="str">
        <f>Ringkasan!V459</f>
        <v/>
      </c>
      <c r="W460" s="64">
        <f>Ringkasan!W459</f>
        <v>935</v>
      </c>
      <c r="X460" s="64">
        <f>Ringkasan!X459</f>
        <v>980</v>
      </c>
      <c r="Y460" s="64">
        <f>Ringkasan!Y459</f>
        <v>930</v>
      </c>
      <c r="Z460" s="64">
        <f>Ringkasan!Z459</f>
        <v>5453300</v>
      </c>
      <c r="AA460" s="64" t="str">
        <f>Ringkasan!AA459</f>
        <v>Banks</v>
      </c>
      <c r="AB460" s="64" t="str">
        <f>Ringkasan!AB459</f>
        <v>Financials</v>
      </c>
    </row>
    <row r="461" hidden="1">
      <c r="A461" s="64" t="str">
        <f>Ringkasan!A863</f>
        <v>INCI</v>
      </c>
      <c r="B461" s="64" t="str">
        <f>Ringkasan!B863</f>
        <v>Intanwijaya Internasional Tbk</v>
      </c>
      <c r="C461" s="65">
        <f>Ringkasan!C863</f>
        <v>635</v>
      </c>
      <c r="D461" s="64" t="str">
        <f>Ringkasan!D863</f>
        <v>#N/A</v>
      </c>
      <c r="E461" s="64" t="str">
        <f>Ringkasan!E863</f>
        <v/>
      </c>
      <c r="F461" s="64" t="str">
        <f>Ringkasan!F863</f>
        <v/>
      </c>
      <c r="G461" s="64">
        <f>Ringkasan!G863</f>
        <v>0</v>
      </c>
      <c r="H461" s="19">
        <f>Ringkasan!H863</f>
        <v>5.1</v>
      </c>
      <c r="I461" s="19">
        <f>Ringkasan!I863</f>
        <v>0.28</v>
      </c>
      <c r="J461" s="19">
        <f>Ringkasan!J863</f>
        <v>5.6</v>
      </c>
      <c r="K461" s="19">
        <f>Ringkasan!K863</f>
        <v>4.8</v>
      </c>
      <c r="L461" s="19">
        <f>Ringkasan!L863</f>
        <v>0.17</v>
      </c>
      <c r="M461" s="19">
        <f>Ringkasan!M863</f>
        <v>30</v>
      </c>
      <c r="N461" s="64" t="str">
        <f>Ringkasan!N863</f>
        <v/>
      </c>
      <c r="O461" s="64" t="str">
        <f>Ringkasan!O863</f>
        <v/>
      </c>
      <c r="P461" s="64" t="str">
        <f>Ringkasan!P863</f>
        <v/>
      </c>
      <c r="Q461" s="64" t="str">
        <f>Ringkasan!Q863</f>
        <v/>
      </c>
      <c r="R461" s="64" t="str">
        <f>Ringkasan!R863</f>
        <v/>
      </c>
      <c r="S461" s="64" t="str">
        <f>Ringkasan!S863</f>
        <v/>
      </c>
      <c r="T461" s="64" t="str">
        <f>Ringkasan!T863</f>
        <v/>
      </c>
      <c r="U461" s="64">
        <f>Ringkasan!U863</f>
        <v>610</v>
      </c>
      <c r="V461" s="64">
        <f>Ringkasan!V863</f>
        <v>4.1</v>
      </c>
      <c r="W461" s="64">
        <f>Ringkasan!W863</f>
        <v>615</v>
      </c>
      <c r="X461" s="64">
        <f>Ringkasan!X863</f>
        <v>715</v>
      </c>
      <c r="Y461" s="64">
        <f>Ringkasan!Y863</f>
        <v>615</v>
      </c>
      <c r="Z461" s="64">
        <f>Ringkasan!Z863</f>
        <v>154000</v>
      </c>
      <c r="AA461" s="64" t="str">
        <f>Ringkasan!AA863</f>
        <v>Chemicals</v>
      </c>
      <c r="AB461" s="64" t="str">
        <f>Ringkasan!AB863</f>
        <v>Basic Materials</v>
      </c>
    </row>
    <row r="462" hidden="1">
      <c r="A462" s="64" t="str">
        <f>Ringkasan!A461</f>
        <v>BUAH</v>
      </c>
      <c r="B462" s="64" t="str">
        <f>Ringkasan!B461</f>
        <v>Segar Kumala Indonesia Tbk.</v>
      </c>
      <c r="C462" s="65">
        <f>Ringkasan!C461</f>
        <v>510</v>
      </c>
      <c r="D462" s="64" t="str">
        <f>Ringkasan!D461</f>
        <v>#N/A</v>
      </c>
      <c r="E462" s="64" t="str">
        <f>Ringkasan!E461</f>
        <v/>
      </c>
      <c r="F462" s="64" t="str">
        <f>Ringkasan!F461</f>
        <v/>
      </c>
      <c r="G462" s="64">
        <f>Ringkasan!G461</f>
        <v>0</v>
      </c>
      <c r="H462" s="19">
        <f>Ringkasan!H461</f>
        <v>17.7</v>
      </c>
      <c r="I462" s="19">
        <f>Ringkasan!I461</f>
        <v>4.9</v>
      </c>
      <c r="J462" s="19">
        <f>Ringkasan!J461</f>
        <v>27.7</v>
      </c>
      <c r="K462" s="19">
        <f>Ringkasan!K461</f>
        <v>10.8</v>
      </c>
      <c r="L462" s="19">
        <f>Ringkasan!L461</f>
        <v>1.6</v>
      </c>
      <c r="M462" s="19">
        <f>Ringkasan!M461</f>
        <v>6.7</v>
      </c>
      <c r="N462" s="64" t="str">
        <f>Ringkasan!N461</f>
        <v/>
      </c>
      <c r="O462" s="64" t="str">
        <f>Ringkasan!O461</f>
        <v/>
      </c>
      <c r="P462" s="64" t="str">
        <f>Ringkasan!P461</f>
        <v/>
      </c>
      <c r="Q462" s="64" t="str">
        <f>Ringkasan!Q461</f>
        <v/>
      </c>
      <c r="R462" s="64" t="str">
        <f>Ringkasan!R461</f>
        <v/>
      </c>
      <c r="S462" s="64" t="str">
        <f>Ringkasan!S461</f>
        <v/>
      </c>
      <c r="T462" s="64" t="str">
        <f>Ringkasan!T461</f>
        <v/>
      </c>
      <c r="U462" s="64">
        <f>Ringkasan!U461</f>
        <v>505</v>
      </c>
      <c r="V462" s="64">
        <f>Ringkasan!V461</f>
        <v>0.99</v>
      </c>
      <c r="W462" s="64">
        <f>Ringkasan!W461</f>
        <v>510</v>
      </c>
      <c r="X462" s="64">
        <f>Ringkasan!X461</f>
        <v>515</v>
      </c>
      <c r="Y462" s="64">
        <f>Ringkasan!Y461</f>
        <v>500</v>
      </c>
      <c r="Z462" s="64">
        <f>Ringkasan!Z461</f>
        <v>200600</v>
      </c>
      <c r="AA462" s="64" t="str">
        <f>Ringkasan!AA461</f>
        <v>Food &amp; Staples Retailing</v>
      </c>
      <c r="AB462" s="64" t="str">
        <f>Ringkasan!AB461</f>
        <v>Consumer Non-Cyclicals</v>
      </c>
    </row>
    <row r="463" hidden="1">
      <c r="A463" s="64" t="str">
        <f>Ringkasan!A462</f>
        <v>BUDI</v>
      </c>
      <c r="B463" s="64" t="str">
        <f>Ringkasan!B462</f>
        <v>Budi Starch &amp; Sweetener Tbk.</v>
      </c>
      <c r="C463" s="65">
        <f>Ringkasan!C462</f>
        <v>204</v>
      </c>
      <c r="D463" s="64" t="str">
        <f>Ringkasan!D462</f>
        <v>#N/A</v>
      </c>
      <c r="E463" s="64" t="str">
        <f>Ringkasan!E462</f>
        <v/>
      </c>
      <c r="F463" s="64" t="str">
        <f>Ringkasan!F462</f>
        <v/>
      </c>
      <c r="G463" s="64">
        <f>Ringkasan!G462</f>
        <v>0</v>
      </c>
      <c r="H463" s="19">
        <f>Ringkasan!H462</f>
        <v>7.5</v>
      </c>
      <c r="I463" s="19">
        <f>Ringkasan!I462</f>
        <v>0.53</v>
      </c>
      <c r="J463" s="19">
        <f>Ringkasan!J462</f>
        <v>7.1</v>
      </c>
      <c r="K463" s="19">
        <f>Ringkasan!K462</f>
        <v>3</v>
      </c>
      <c r="L463" s="19">
        <f>Ringkasan!L462</f>
        <v>1.4</v>
      </c>
      <c r="M463" s="19">
        <f>Ringkasan!M462</f>
        <v>11.8</v>
      </c>
      <c r="N463" s="64" t="str">
        <f>Ringkasan!N462</f>
        <v/>
      </c>
      <c r="O463" s="64" t="str">
        <f>Ringkasan!O462</f>
        <v/>
      </c>
      <c r="P463" s="64" t="str">
        <f>Ringkasan!P462</f>
        <v/>
      </c>
      <c r="Q463" s="64" t="str">
        <f>Ringkasan!Q462</f>
        <v/>
      </c>
      <c r="R463" s="64" t="str">
        <f>Ringkasan!R462</f>
        <v/>
      </c>
      <c r="S463" s="64" t="str">
        <f>Ringkasan!S462</f>
        <v/>
      </c>
      <c r="T463" s="64" t="str">
        <f>Ringkasan!T462</f>
        <v/>
      </c>
      <c r="U463" s="64">
        <f>Ringkasan!U462</f>
        <v>204</v>
      </c>
      <c r="V463" s="64">
        <f>Ringkasan!V462</f>
        <v>0</v>
      </c>
      <c r="W463" s="64">
        <f>Ringkasan!W462</f>
        <v>206</v>
      </c>
      <c r="X463" s="64">
        <f>Ringkasan!X462</f>
        <v>206</v>
      </c>
      <c r="Y463" s="64">
        <f>Ringkasan!Y462</f>
        <v>204</v>
      </c>
      <c r="Z463" s="64">
        <f>Ringkasan!Z462</f>
        <v>22800</v>
      </c>
      <c r="AA463" s="64" t="str">
        <f>Ringkasan!AA462</f>
        <v>Processed Foods</v>
      </c>
      <c r="AB463" s="64" t="str">
        <f>Ringkasan!AB462</f>
        <v>Consumer Non-Cyclicals</v>
      </c>
    </row>
    <row r="464" hidden="1">
      <c r="A464" s="64" t="str">
        <f>Ringkasan!A463</f>
        <v>BUKA</v>
      </c>
      <c r="B464" s="64" t="str">
        <f>Ringkasan!B463</f>
        <v>Bukalapak.com Tbk.</v>
      </c>
      <c r="C464" s="65">
        <f>Ringkasan!C463</f>
        <v>113</v>
      </c>
      <c r="D464" s="64" t="str">
        <f>Ringkasan!D463</f>
        <v>#N/A</v>
      </c>
      <c r="E464" s="64" t="str">
        <f>Ringkasan!E463</f>
        <v>IDX80</v>
      </c>
      <c r="F464" s="64" t="str">
        <f>Ringkasan!F463</f>
        <v>31 Juli 2026</v>
      </c>
      <c r="G464" s="64">
        <f>Ringkasan!G463</f>
        <v>6</v>
      </c>
      <c r="H464" s="19">
        <f>Ringkasan!H463</f>
        <v>4.8</v>
      </c>
      <c r="I464" s="19">
        <f>Ringkasan!I463</f>
        <v>0.51</v>
      </c>
      <c r="J464" s="19">
        <f>Ringkasan!J463</f>
        <v>10.5</v>
      </c>
      <c r="K464" s="19">
        <f>Ringkasan!K463</f>
        <v>10.3</v>
      </c>
      <c r="L464" s="19">
        <f>Ringkasan!L463</f>
        <v>0.03</v>
      </c>
      <c r="M464" s="19">
        <f>Ringkasan!M463</f>
        <v>110</v>
      </c>
      <c r="N464" s="64" t="str">
        <f>Ringkasan!N463</f>
        <v/>
      </c>
      <c r="O464" s="64" t="str">
        <f>Ringkasan!O463</f>
        <v/>
      </c>
      <c r="P464" s="64" t="str">
        <f>Ringkasan!P463</f>
        <v/>
      </c>
      <c r="Q464" s="64" t="str">
        <f>Ringkasan!Q463</f>
        <v/>
      </c>
      <c r="R464" s="64" t="str">
        <f>Ringkasan!R463</f>
        <v/>
      </c>
      <c r="S464" s="64" t="str">
        <f>Ringkasan!S463</f>
        <v/>
      </c>
      <c r="T464" s="64" t="str">
        <f>Ringkasan!T463</f>
        <v/>
      </c>
      <c r="U464" s="64">
        <f>Ringkasan!U463</f>
        <v>114</v>
      </c>
      <c r="V464" s="64">
        <f>Ringkasan!V463</f>
        <v>-0.88</v>
      </c>
      <c r="W464" s="64">
        <f>Ringkasan!W463</f>
        <v>114</v>
      </c>
      <c r="X464" s="64">
        <f>Ringkasan!X463</f>
        <v>116</v>
      </c>
      <c r="Y464" s="64">
        <f>Ringkasan!Y463</f>
        <v>112</v>
      </c>
      <c r="Z464" s="64">
        <f>Ringkasan!Z463</f>
        <v>50129300</v>
      </c>
      <c r="AA464" s="64" t="str">
        <f>Ringkasan!AA463</f>
        <v>Online Applications &amp; Services</v>
      </c>
      <c r="AB464" s="64" t="str">
        <f>Ringkasan!AB463</f>
        <v>Technology</v>
      </c>
    </row>
    <row r="465" hidden="1">
      <c r="A465" s="64" t="str">
        <f>Ringkasan!A464</f>
        <v>BUKA</v>
      </c>
      <c r="B465" s="64" t="str">
        <f>Ringkasan!B464</f>
        <v>Bukalapak.com Tbk.</v>
      </c>
      <c r="C465" s="65">
        <f>Ringkasan!C464</f>
        <v>113</v>
      </c>
      <c r="D465" s="64" t="str">
        <f>Ringkasan!D464</f>
        <v>#N/A</v>
      </c>
      <c r="E465" s="64" t="str">
        <f>Ringkasan!E464</f>
        <v>Kompas100</v>
      </c>
      <c r="F465" s="64" t="str">
        <f>Ringkasan!F464</f>
        <v>31 Juli 2026</v>
      </c>
      <c r="G465" s="64">
        <f>Ringkasan!G464</f>
        <v>6</v>
      </c>
      <c r="H465" s="19">
        <f>Ringkasan!H464</f>
        <v>4.8</v>
      </c>
      <c r="I465" s="19">
        <f>Ringkasan!I464</f>
        <v>0.51</v>
      </c>
      <c r="J465" s="19">
        <f>Ringkasan!J464</f>
        <v>10.5</v>
      </c>
      <c r="K465" s="19">
        <f>Ringkasan!K464</f>
        <v>10.3</v>
      </c>
      <c r="L465" s="19">
        <f>Ringkasan!L464</f>
        <v>0.03</v>
      </c>
      <c r="M465" s="19">
        <f>Ringkasan!M464</f>
        <v>110</v>
      </c>
      <c r="N465" s="64" t="str">
        <f>Ringkasan!N464</f>
        <v/>
      </c>
      <c r="O465" s="64" t="str">
        <f>Ringkasan!O464</f>
        <v/>
      </c>
      <c r="P465" s="64" t="str">
        <f>Ringkasan!P464</f>
        <v/>
      </c>
      <c r="Q465" s="64" t="str">
        <f>Ringkasan!Q464</f>
        <v/>
      </c>
      <c r="R465" s="64" t="str">
        <f>Ringkasan!R464</f>
        <v/>
      </c>
      <c r="S465" s="64" t="str">
        <f>Ringkasan!S464</f>
        <v/>
      </c>
      <c r="T465" s="64" t="str">
        <f>Ringkasan!T464</f>
        <v/>
      </c>
      <c r="U465" s="64">
        <f>Ringkasan!U464</f>
        <v>114</v>
      </c>
      <c r="V465" s="64">
        <f>Ringkasan!V464</f>
        <v>-0.88</v>
      </c>
      <c r="W465" s="64">
        <f>Ringkasan!W464</f>
        <v>114</v>
      </c>
      <c r="X465" s="64">
        <f>Ringkasan!X464</f>
        <v>116</v>
      </c>
      <c r="Y465" s="64">
        <f>Ringkasan!Y464</f>
        <v>112</v>
      </c>
      <c r="Z465" s="64">
        <f>Ringkasan!Z464</f>
        <v>50129300</v>
      </c>
      <c r="AA465" s="64" t="str">
        <f>Ringkasan!AA464</f>
        <v>Online Applications &amp; Services</v>
      </c>
      <c r="AB465" s="64" t="str">
        <f>Ringkasan!AB464</f>
        <v>Technology</v>
      </c>
    </row>
    <row r="466" hidden="1">
      <c r="A466" s="64" t="str">
        <f>Ringkasan!A465</f>
        <v>BUKA</v>
      </c>
      <c r="B466" s="64" t="str">
        <f>Ringkasan!B465</f>
        <v>Bukalapak.com Tbk.</v>
      </c>
      <c r="C466" s="65">
        <f>Ringkasan!C465</f>
        <v>113</v>
      </c>
      <c r="D466" s="64" t="str">
        <f>Ringkasan!D465</f>
        <v>#N/A</v>
      </c>
      <c r="E466" s="64" t="str">
        <f>Ringkasan!E465</f>
        <v>IDXESGL</v>
      </c>
      <c r="F466" s="64" t="str">
        <f>Ringkasan!F465</f>
        <v>30 Oktober 2026</v>
      </c>
      <c r="G466" s="64">
        <f>Ringkasan!G465</f>
        <v>6</v>
      </c>
      <c r="H466" s="19">
        <f>Ringkasan!H465</f>
        <v>4.8</v>
      </c>
      <c r="I466" s="19">
        <f>Ringkasan!I465</f>
        <v>0.51</v>
      </c>
      <c r="J466" s="19">
        <f>Ringkasan!J465</f>
        <v>10.5</v>
      </c>
      <c r="K466" s="19">
        <f>Ringkasan!K465</f>
        <v>10.3</v>
      </c>
      <c r="L466" s="19">
        <f>Ringkasan!L465</f>
        <v>0.03</v>
      </c>
      <c r="M466" s="19">
        <f>Ringkasan!M465</f>
        <v>110</v>
      </c>
      <c r="N466" s="64" t="str">
        <f>Ringkasan!N465</f>
        <v/>
      </c>
      <c r="O466" s="64" t="str">
        <f>Ringkasan!O465</f>
        <v/>
      </c>
      <c r="P466" s="64" t="str">
        <f>Ringkasan!P465</f>
        <v/>
      </c>
      <c r="Q466" s="64" t="str">
        <f>Ringkasan!Q465</f>
        <v/>
      </c>
      <c r="R466" s="64" t="str">
        <f>Ringkasan!R465</f>
        <v/>
      </c>
      <c r="S466" s="64" t="str">
        <f>Ringkasan!S465</f>
        <v/>
      </c>
      <c r="T466" s="64" t="str">
        <f>Ringkasan!T465</f>
        <v/>
      </c>
      <c r="U466" s="64">
        <f>Ringkasan!U465</f>
        <v>114</v>
      </c>
      <c r="V466" s="64">
        <f>Ringkasan!V465</f>
        <v>-0.88</v>
      </c>
      <c r="W466" s="64">
        <f>Ringkasan!W465</f>
        <v>114</v>
      </c>
      <c r="X466" s="64">
        <f>Ringkasan!X465</f>
        <v>116</v>
      </c>
      <c r="Y466" s="64">
        <f>Ringkasan!Y465</f>
        <v>112</v>
      </c>
      <c r="Z466" s="64">
        <f>Ringkasan!Z465</f>
        <v>50129300</v>
      </c>
      <c r="AA466" s="64" t="str">
        <f>Ringkasan!AA465</f>
        <v>Online Applications &amp; Services</v>
      </c>
      <c r="AB466" s="64" t="str">
        <f>Ringkasan!AB465</f>
        <v>Technology</v>
      </c>
    </row>
    <row r="467" hidden="1">
      <c r="A467" s="64" t="str">
        <f>Ringkasan!A466</f>
        <v>BUKA</v>
      </c>
      <c r="B467" s="64" t="str">
        <f>Ringkasan!B466</f>
        <v>Bukalapak.com Tbk.</v>
      </c>
      <c r="C467" s="65">
        <f>Ringkasan!C466</f>
        <v>113</v>
      </c>
      <c r="D467" s="64" t="str">
        <f>Ringkasan!D466</f>
        <v>#N/A</v>
      </c>
      <c r="E467" s="64" t="str">
        <f>Ringkasan!E466</f>
        <v>IDXSMC-LIQ</v>
      </c>
      <c r="F467" s="64" t="str">
        <f>Ringkasan!F466</f>
        <v>4 Agustus 2026</v>
      </c>
      <c r="G467" s="64">
        <f>Ringkasan!G466</f>
        <v>6</v>
      </c>
      <c r="H467" s="19">
        <f>Ringkasan!H466</f>
        <v>4.8</v>
      </c>
      <c r="I467" s="19">
        <f>Ringkasan!I466</f>
        <v>0.51</v>
      </c>
      <c r="J467" s="19">
        <f>Ringkasan!J466</f>
        <v>10.5</v>
      </c>
      <c r="K467" s="19">
        <f>Ringkasan!K466</f>
        <v>10.3</v>
      </c>
      <c r="L467" s="19">
        <f>Ringkasan!L466</f>
        <v>0.03</v>
      </c>
      <c r="M467" s="19">
        <f>Ringkasan!M466</f>
        <v>110</v>
      </c>
      <c r="N467" s="64" t="str">
        <f>Ringkasan!N466</f>
        <v/>
      </c>
      <c r="O467" s="64" t="str">
        <f>Ringkasan!O466</f>
        <v/>
      </c>
      <c r="P467" s="64" t="str">
        <f>Ringkasan!P466</f>
        <v/>
      </c>
      <c r="Q467" s="64" t="str">
        <f>Ringkasan!Q466</f>
        <v/>
      </c>
      <c r="R467" s="64" t="str">
        <f>Ringkasan!R466</f>
        <v/>
      </c>
      <c r="S467" s="64" t="str">
        <f>Ringkasan!S466</f>
        <v/>
      </c>
      <c r="T467" s="64" t="str">
        <f>Ringkasan!T466</f>
        <v/>
      </c>
      <c r="U467" s="64">
        <f>Ringkasan!U466</f>
        <v>114</v>
      </c>
      <c r="V467" s="64">
        <f>Ringkasan!V466</f>
        <v>-0.88</v>
      </c>
      <c r="W467" s="64">
        <f>Ringkasan!W466</f>
        <v>114</v>
      </c>
      <c r="X467" s="64">
        <f>Ringkasan!X466</f>
        <v>116</v>
      </c>
      <c r="Y467" s="64">
        <f>Ringkasan!Y466</f>
        <v>112</v>
      </c>
      <c r="Z467" s="64">
        <f>Ringkasan!Z466</f>
        <v>50129300</v>
      </c>
      <c r="AA467" s="64" t="str">
        <f>Ringkasan!AA466</f>
        <v>Online Applications &amp; Services</v>
      </c>
      <c r="AB467" s="64" t="str">
        <f>Ringkasan!AB466</f>
        <v>Technology</v>
      </c>
    </row>
    <row r="468" hidden="1">
      <c r="A468" s="64" t="str">
        <f>Ringkasan!A467</f>
        <v>BUKA</v>
      </c>
      <c r="B468" s="64" t="str">
        <f>Ringkasan!B467</f>
        <v>Bukalapak.com Tbk.</v>
      </c>
      <c r="C468" s="65">
        <f>Ringkasan!C467</f>
        <v>113</v>
      </c>
      <c r="D468" s="64" t="str">
        <f>Ringkasan!D467</f>
        <v>#N/A</v>
      </c>
      <c r="E468" s="64" t="str">
        <f>Ringkasan!E467</f>
        <v>IDXV30</v>
      </c>
      <c r="F468" s="64" t="str">
        <f>Ringkasan!F467</f>
        <v>4 Agustus 2026</v>
      </c>
      <c r="G468" s="64">
        <f>Ringkasan!G467</f>
        <v>6</v>
      </c>
      <c r="H468" s="19">
        <f>Ringkasan!H467</f>
        <v>4.8</v>
      </c>
      <c r="I468" s="19">
        <f>Ringkasan!I467</f>
        <v>0.51</v>
      </c>
      <c r="J468" s="19">
        <f>Ringkasan!J467</f>
        <v>10.5</v>
      </c>
      <c r="K468" s="19">
        <f>Ringkasan!K467</f>
        <v>10.3</v>
      </c>
      <c r="L468" s="19">
        <f>Ringkasan!L467</f>
        <v>0.03</v>
      </c>
      <c r="M468" s="19">
        <f>Ringkasan!M467</f>
        <v>110</v>
      </c>
      <c r="N468" s="64" t="str">
        <f>Ringkasan!N467</f>
        <v/>
      </c>
      <c r="O468" s="64" t="str">
        <f>Ringkasan!O467</f>
        <v/>
      </c>
      <c r="P468" s="64" t="str">
        <f>Ringkasan!P467</f>
        <v/>
      </c>
      <c r="Q468" s="64" t="str">
        <f>Ringkasan!Q467</f>
        <v/>
      </c>
      <c r="R468" s="64" t="str">
        <f>Ringkasan!R467</f>
        <v/>
      </c>
      <c r="S468" s="64" t="str">
        <f>Ringkasan!S467</f>
        <v/>
      </c>
      <c r="T468" s="64" t="str">
        <f>Ringkasan!T467</f>
        <v/>
      </c>
      <c r="U468" s="64">
        <f>Ringkasan!U467</f>
        <v>114</v>
      </c>
      <c r="V468" s="64">
        <f>Ringkasan!V467</f>
        <v>-0.88</v>
      </c>
      <c r="W468" s="64">
        <f>Ringkasan!W467</f>
        <v>114</v>
      </c>
      <c r="X468" s="64">
        <f>Ringkasan!X467</f>
        <v>116</v>
      </c>
      <c r="Y468" s="64">
        <f>Ringkasan!Y467</f>
        <v>112</v>
      </c>
      <c r="Z468" s="64">
        <f>Ringkasan!Z467</f>
        <v>50129300</v>
      </c>
      <c r="AA468" s="64" t="str">
        <f>Ringkasan!AA467</f>
        <v>Online Applications &amp; Services</v>
      </c>
      <c r="AB468" s="64" t="str">
        <f>Ringkasan!AB467</f>
        <v>Technology</v>
      </c>
    </row>
    <row r="469" hidden="1">
      <c r="A469" s="64" t="str">
        <f>Ringkasan!A468</f>
        <v>BUKA</v>
      </c>
      <c r="B469" s="64" t="str">
        <f>Ringkasan!B468</f>
        <v>Bukalapak.com Tbk.</v>
      </c>
      <c r="C469" s="65">
        <f>Ringkasan!C468</f>
        <v>113</v>
      </c>
      <c r="D469" s="64" t="str">
        <f>Ringkasan!D468</f>
        <v>#N/A</v>
      </c>
      <c r="E469" s="64" t="str">
        <f>Ringkasan!E468</f>
        <v>MSCI Small Cap</v>
      </c>
      <c r="F469" s="64" t="str">
        <f>Ringkasan!F468</f>
        <v>12 Agustus 2026</v>
      </c>
      <c r="G469" s="64">
        <f>Ringkasan!G468</f>
        <v>6</v>
      </c>
      <c r="H469" s="19">
        <f>Ringkasan!H468</f>
        <v>4.8</v>
      </c>
      <c r="I469" s="19">
        <f>Ringkasan!I468</f>
        <v>0.51</v>
      </c>
      <c r="J469" s="19">
        <f>Ringkasan!J468</f>
        <v>10.5</v>
      </c>
      <c r="K469" s="19">
        <f>Ringkasan!K468</f>
        <v>10.3</v>
      </c>
      <c r="L469" s="19">
        <f>Ringkasan!L468</f>
        <v>0.03</v>
      </c>
      <c r="M469" s="19">
        <f>Ringkasan!M468</f>
        <v>110</v>
      </c>
      <c r="N469" s="64" t="str">
        <f>Ringkasan!N468</f>
        <v/>
      </c>
      <c r="O469" s="64" t="str">
        <f>Ringkasan!O468</f>
        <v/>
      </c>
      <c r="P469" s="64" t="str">
        <f>Ringkasan!P468</f>
        <v/>
      </c>
      <c r="Q469" s="64" t="str">
        <f>Ringkasan!Q468</f>
        <v/>
      </c>
      <c r="R469" s="64" t="str">
        <f>Ringkasan!R468</f>
        <v/>
      </c>
      <c r="S469" s="64" t="str">
        <f>Ringkasan!S468</f>
        <v/>
      </c>
      <c r="T469" s="64" t="str">
        <f>Ringkasan!T468</f>
        <v/>
      </c>
      <c r="U469" s="64">
        <f>Ringkasan!U468</f>
        <v>114</v>
      </c>
      <c r="V469" s="64">
        <f>Ringkasan!V468</f>
        <v>-0.88</v>
      </c>
      <c r="W469" s="64">
        <f>Ringkasan!W468</f>
        <v>114</v>
      </c>
      <c r="X469" s="64">
        <f>Ringkasan!X468</f>
        <v>116</v>
      </c>
      <c r="Y469" s="64">
        <f>Ringkasan!Y468</f>
        <v>112</v>
      </c>
      <c r="Z469" s="64">
        <f>Ringkasan!Z468</f>
        <v>50129300</v>
      </c>
      <c r="AA469" s="64" t="str">
        <f>Ringkasan!AA468</f>
        <v>Online Applications &amp; Services</v>
      </c>
      <c r="AB469" s="64" t="str">
        <f>Ringkasan!AB468</f>
        <v>Technology</v>
      </c>
    </row>
    <row r="470" hidden="1">
      <c r="A470" s="64" t="str">
        <f>Ringkasan!A469</f>
        <v>BUKK</v>
      </c>
      <c r="B470" s="64" t="str">
        <f>Ringkasan!B469</f>
        <v>Bukaka Teknik Utama Tbk.</v>
      </c>
      <c r="C470" s="65">
        <f>Ringkasan!C469</f>
        <v>1005</v>
      </c>
      <c r="D470" s="64" t="str">
        <f>Ringkasan!D469</f>
        <v>#N/A</v>
      </c>
      <c r="E470" s="64" t="str">
        <f>Ringkasan!E469</f>
        <v/>
      </c>
      <c r="F470" s="64" t="str">
        <f>Ringkasan!F469</f>
        <v/>
      </c>
      <c r="G470" s="64">
        <f>Ringkasan!G469</f>
        <v>0</v>
      </c>
      <c r="H470" s="19">
        <f>Ringkasan!H469</f>
        <v>6.7</v>
      </c>
      <c r="I470" s="19">
        <f>Ringkasan!I469</f>
        <v>0.24</v>
      </c>
      <c r="J470" s="19">
        <f>Ringkasan!J469</f>
        <v>3.6</v>
      </c>
      <c r="K470" s="19">
        <f>Ringkasan!K469</f>
        <v>1.2</v>
      </c>
      <c r="L470" s="19">
        <f>Ringkasan!L469</f>
        <v>1.9</v>
      </c>
      <c r="M470" s="19">
        <f>Ringkasan!M469</f>
        <v>36.1</v>
      </c>
      <c r="N470" s="64" t="str">
        <f>Ringkasan!N469</f>
        <v/>
      </c>
      <c r="O470" s="64" t="str">
        <f>Ringkasan!O469</f>
        <v/>
      </c>
      <c r="P470" s="64" t="str">
        <f>Ringkasan!P469</f>
        <v/>
      </c>
      <c r="Q470" s="64" t="str">
        <f>Ringkasan!Q469</f>
        <v/>
      </c>
      <c r="R470" s="64" t="str">
        <f>Ringkasan!R469</f>
        <v/>
      </c>
      <c r="S470" s="64" t="str">
        <f>Ringkasan!S469</f>
        <v/>
      </c>
      <c r="T470" s="64" t="str">
        <f>Ringkasan!T469</f>
        <v/>
      </c>
      <c r="U470" s="64">
        <f>Ringkasan!U469</f>
        <v>805</v>
      </c>
      <c r="V470" s="64">
        <f>Ringkasan!V469</f>
        <v>24.84</v>
      </c>
      <c r="W470" s="64">
        <f>Ringkasan!W469</f>
        <v>875</v>
      </c>
      <c r="X470" s="64">
        <f>Ringkasan!X469</f>
        <v>1005</v>
      </c>
      <c r="Y470" s="64">
        <f>Ringkasan!Y469</f>
        <v>875</v>
      </c>
      <c r="Z470" s="64">
        <f>Ringkasan!Z469</f>
        <v>289400</v>
      </c>
      <c r="AA470" s="64" t="str">
        <f>Ringkasan!AA469</f>
        <v>Heavy Constructions &amp; Civil Engineering</v>
      </c>
      <c r="AB470" s="64" t="str">
        <f>Ringkasan!AB469</f>
        <v>Infrastructures</v>
      </c>
    </row>
    <row r="471" hidden="1">
      <c r="A471" s="64" t="str">
        <f>Ringkasan!A470</f>
        <v>BULL</v>
      </c>
      <c r="B471" s="64" t="str">
        <f>Ringkasan!B470</f>
        <v>Buana Lintas Lautan Tbk.</v>
      </c>
      <c r="C471" s="65">
        <f>Ringkasan!C470</f>
        <v>368</v>
      </c>
      <c r="D471" s="64" t="str">
        <f>Ringkasan!D470</f>
        <v>#N/A</v>
      </c>
      <c r="E471" s="64" t="str">
        <f>Ringkasan!E470</f>
        <v>Kompas100</v>
      </c>
      <c r="F471" s="64" t="str">
        <f>Ringkasan!F470</f>
        <v>31 Juli 2026</v>
      </c>
      <c r="G471" s="64">
        <f>Ringkasan!G470</f>
        <v>1</v>
      </c>
      <c r="H471" s="19">
        <f>Ringkasan!H470</f>
        <v>14.6</v>
      </c>
      <c r="I471" s="19">
        <f>Ringkasan!I470</f>
        <v>1.8</v>
      </c>
      <c r="J471" s="19">
        <f>Ringkasan!J470</f>
        <v>12</v>
      </c>
      <c r="K471" s="19">
        <f>Ringkasan!K470</f>
        <v>6.6</v>
      </c>
      <c r="L471" s="19">
        <f>Ringkasan!L470</f>
        <v>0.82</v>
      </c>
      <c r="M471" s="19">
        <f>Ringkasan!M470</f>
        <v>16.8</v>
      </c>
      <c r="N471" s="64" t="str">
        <f>Ringkasan!N470</f>
        <v/>
      </c>
      <c r="O471" s="64" t="str">
        <f>Ringkasan!O470</f>
        <v/>
      </c>
      <c r="P471" s="64" t="str">
        <f>Ringkasan!P470</f>
        <v/>
      </c>
      <c r="Q471" s="64" t="str">
        <f>Ringkasan!Q470</f>
        <v/>
      </c>
      <c r="R471" s="64" t="str">
        <f>Ringkasan!R470</f>
        <v/>
      </c>
      <c r="S471" s="64" t="str">
        <f>Ringkasan!S470</f>
        <v/>
      </c>
      <c r="T471" s="64" t="str">
        <f>Ringkasan!T470</f>
        <v/>
      </c>
      <c r="U471" s="64">
        <f>Ringkasan!U470</f>
        <v>6.73</v>
      </c>
      <c r="V471" s="64">
        <f>Ringkasan!V470</f>
        <v>-2.82</v>
      </c>
      <c r="W471" s="64">
        <f>Ringkasan!W470</f>
        <v>6.7</v>
      </c>
      <c r="X471" s="64">
        <f>Ringkasan!X470</f>
        <v>6.81</v>
      </c>
      <c r="Y471" s="64">
        <f>Ringkasan!Y470</f>
        <v>6.42</v>
      </c>
      <c r="Z471" s="64">
        <f>Ringkasan!Z470</f>
        <v>12636785</v>
      </c>
      <c r="AA471" s="64" t="str">
        <f>Ringkasan!AA470</f>
        <v>Oil &amp; Gas</v>
      </c>
      <c r="AB471" s="64" t="str">
        <f>Ringkasan!AB470</f>
        <v>Energy</v>
      </c>
    </row>
    <row r="472" hidden="1">
      <c r="A472" s="64" t="str">
        <f>Ringkasan!A471</f>
        <v>BUMI</v>
      </c>
      <c r="B472" s="64" t="str">
        <f>Ringkasan!B471</f>
        <v>Bumi Resources Tbk.</v>
      </c>
      <c r="C472" s="65">
        <f>Ringkasan!C471</f>
        <v>157</v>
      </c>
      <c r="D472" s="64" t="str">
        <f>Ringkasan!D471</f>
        <v>#N/A</v>
      </c>
      <c r="E472" s="64" t="str">
        <f>Ringkasan!E471</f>
        <v>MNC36</v>
      </c>
      <c r="F472" s="64" t="str">
        <f>Ringkasan!F471</f>
        <v>30 Oktober 2026</v>
      </c>
      <c r="G472" s="64">
        <f>Ringkasan!G471</f>
        <v>11</v>
      </c>
      <c r="H472" s="19">
        <f>Ringkasan!H471</f>
        <v>42.3</v>
      </c>
      <c r="I472" s="19">
        <f>Ringkasan!I471</f>
        <v>1.3</v>
      </c>
      <c r="J472" s="19">
        <f>Ringkasan!J471</f>
        <v>3</v>
      </c>
      <c r="K472" s="19">
        <f>Ringkasan!K471</f>
        <v>1.9</v>
      </c>
      <c r="L472" s="19">
        <f>Ringkasan!L471</f>
        <v>0.53</v>
      </c>
      <c r="M472" s="19">
        <f>Ringkasan!M471</f>
        <v>20.8</v>
      </c>
      <c r="N472" s="64" t="str">
        <f>Ringkasan!N471</f>
        <v/>
      </c>
      <c r="O472" s="64" t="str">
        <f>Ringkasan!O471</f>
        <v/>
      </c>
      <c r="P472" s="64" t="str">
        <f>Ringkasan!P471</f>
        <v/>
      </c>
      <c r="Q472" s="64" t="str">
        <f>Ringkasan!Q471</f>
        <v/>
      </c>
      <c r="R472" s="64" t="str">
        <f>Ringkasan!R471</f>
        <v/>
      </c>
      <c r="S472" s="64" t="str">
        <f>Ringkasan!S471</f>
        <v/>
      </c>
      <c r="T472" s="64" t="str">
        <f>Ringkasan!T471</f>
        <v/>
      </c>
      <c r="U472" s="64">
        <f>Ringkasan!U471</f>
        <v>140</v>
      </c>
      <c r="V472" s="64">
        <f>Ringkasan!V471</f>
        <v>12.14</v>
      </c>
      <c r="W472" s="64">
        <f>Ringkasan!W471</f>
        <v>144</v>
      </c>
      <c r="X472" s="64">
        <f>Ringkasan!X471</f>
        <v>162</v>
      </c>
      <c r="Y472" s="64">
        <f>Ringkasan!Y471</f>
        <v>143</v>
      </c>
      <c r="Z472" s="64">
        <f>Ringkasan!Z471</f>
        <v>6630659700</v>
      </c>
      <c r="AA472" s="64" t="str">
        <f>Ringkasan!AA471</f>
        <v>Coal</v>
      </c>
      <c r="AB472" s="64" t="str">
        <f>Ringkasan!AB471</f>
        <v>Energy</v>
      </c>
    </row>
    <row r="473" hidden="1">
      <c r="A473" s="64" t="str">
        <f>Ringkasan!A472</f>
        <v>BUMI</v>
      </c>
      <c r="B473" s="64" t="str">
        <f>Ringkasan!B472</f>
        <v>Bumi Resources Tbk.</v>
      </c>
      <c r="C473" s="65">
        <f>Ringkasan!C472</f>
        <v>157</v>
      </c>
      <c r="D473" s="64" t="str">
        <f>Ringkasan!D472</f>
        <v>#N/A</v>
      </c>
      <c r="E473" s="64" t="str">
        <f>Ringkasan!E472</f>
        <v>LQ45</v>
      </c>
      <c r="F473" s="64" t="str">
        <f>Ringkasan!F472</f>
        <v>31 Juli 2026</v>
      </c>
      <c r="G473" s="64">
        <f>Ringkasan!G472</f>
        <v>11</v>
      </c>
      <c r="H473" s="19">
        <f>Ringkasan!H472</f>
        <v>42.3</v>
      </c>
      <c r="I473" s="19">
        <f>Ringkasan!I472</f>
        <v>1.3</v>
      </c>
      <c r="J473" s="19">
        <f>Ringkasan!J472</f>
        <v>3</v>
      </c>
      <c r="K473" s="19">
        <f>Ringkasan!K472</f>
        <v>1.9</v>
      </c>
      <c r="L473" s="19">
        <f>Ringkasan!L472</f>
        <v>0.53</v>
      </c>
      <c r="M473" s="19">
        <f>Ringkasan!M472</f>
        <v>20.8</v>
      </c>
      <c r="N473" s="64" t="str">
        <f>Ringkasan!N472</f>
        <v/>
      </c>
      <c r="O473" s="64" t="str">
        <f>Ringkasan!O472</f>
        <v/>
      </c>
      <c r="P473" s="64" t="str">
        <f>Ringkasan!P472</f>
        <v/>
      </c>
      <c r="Q473" s="64" t="str">
        <f>Ringkasan!Q472</f>
        <v/>
      </c>
      <c r="R473" s="64" t="str">
        <f>Ringkasan!R472</f>
        <v/>
      </c>
      <c r="S473" s="64" t="str">
        <f>Ringkasan!S472</f>
        <v/>
      </c>
      <c r="T473" s="64" t="str">
        <f>Ringkasan!T472</f>
        <v/>
      </c>
      <c r="U473" s="64">
        <f>Ringkasan!U472</f>
        <v>140</v>
      </c>
      <c r="V473" s="64">
        <f>Ringkasan!V472</f>
        <v>12.14</v>
      </c>
      <c r="W473" s="64">
        <f>Ringkasan!W472</f>
        <v>144</v>
      </c>
      <c r="X473" s="64">
        <f>Ringkasan!X472</f>
        <v>162</v>
      </c>
      <c r="Y473" s="64">
        <f>Ringkasan!Y472</f>
        <v>143</v>
      </c>
      <c r="Z473" s="64">
        <f>Ringkasan!Z472</f>
        <v>6630659700</v>
      </c>
      <c r="AA473" s="64" t="str">
        <f>Ringkasan!AA472</f>
        <v>Coal</v>
      </c>
      <c r="AB473" s="64" t="str">
        <f>Ringkasan!AB472</f>
        <v>Energy</v>
      </c>
    </row>
    <row r="474" hidden="1">
      <c r="A474" s="64" t="str">
        <f>Ringkasan!A473</f>
        <v>BUMI</v>
      </c>
      <c r="B474" s="64" t="str">
        <f>Ringkasan!B473</f>
        <v>Bumi Resources Tbk.</v>
      </c>
      <c r="C474" s="65">
        <f>Ringkasan!C473</f>
        <v>157</v>
      </c>
      <c r="D474" s="64" t="str">
        <f>Ringkasan!D473</f>
        <v>#N/A</v>
      </c>
      <c r="E474" s="64" t="str">
        <f>Ringkasan!E473</f>
        <v>Kompas100</v>
      </c>
      <c r="F474" s="64" t="str">
        <f>Ringkasan!F473</f>
        <v>31 Juli 2026</v>
      </c>
      <c r="G474" s="64">
        <f>Ringkasan!G473</f>
        <v>11</v>
      </c>
      <c r="H474" s="19">
        <f>Ringkasan!H473</f>
        <v>42.3</v>
      </c>
      <c r="I474" s="19">
        <f>Ringkasan!I473</f>
        <v>1.3</v>
      </c>
      <c r="J474" s="19">
        <f>Ringkasan!J473</f>
        <v>3</v>
      </c>
      <c r="K474" s="19">
        <f>Ringkasan!K473</f>
        <v>1.9</v>
      </c>
      <c r="L474" s="19">
        <f>Ringkasan!L473</f>
        <v>0.53</v>
      </c>
      <c r="M474" s="19">
        <f>Ringkasan!M473</f>
        <v>20.8</v>
      </c>
      <c r="N474" s="64" t="str">
        <f>Ringkasan!N473</f>
        <v/>
      </c>
      <c r="O474" s="64" t="str">
        <f>Ringkasan!O473</f>
        <v/>
      </c>
      <c r="P474" s="64" t="str">
        <f>Ringkasan!P473</f>
        <v/>
      </c>
      <c r="Q474" s="64" t="str">
        <f>Ringkasan!Q473</f>
        <v/>
      </c>
      <c r="R474" s="64" t="str">
        <f>Ringkasan!R473</f>
        <v/>
      </c>
      <c r="S474" s="64" t="str">
        <f>Ringkasan!S473</f>
        <v/>
      </c>
      <c r="T474" s="64" t="str">
        <f>Ringkasan!T473</f>
        <v/>
      </c>
      <c r="U474" s="64">
        <f>Ringkasan!U473</f>
        <v>140</v>
      </c>
      <c r="V474" s="64">
        <f>Ringkasan!V473</f>
        <v>12.14</v>
      </c>
      <c r="W474" s="64">
        <f>Ringkasan!W473</f>
        <v>144</v>
      </c>
      <c r="X474" s="64">
        <f>Ringkasan!X473</f>
        <v>162</v>
      </c>
      <c r="Y474" s="64">
        <f>Ringkasan!Y473</f>
        <v>143</v>
      </c>
      <c r="Z474" s="64">
        <f>Ringkasan!Z473</f>
        <v>6630659700</v>
      </c>
      <c r="AA474" s="64" t="str">
        <f>Ringkasan!AA473</f>
        <v>Coal</v>
      </c>
      <c r="AB474" s="64" t="str">
        <f>Ringkasan!AB473</f>
        <v>Energy</v>
      </c>
    </row>
    <row r="475" hidden="1">
      <c r="A475" s="64" t="str">
        <f>Ringkasan!A474</f>
        <v>BUMI</v>
      </c>
      <c r="B475" s="64" t="str">
        <f>Ringkasan!B474</f>
        <v>Bumi Resources Tbk.</v>
      </c>
      <c r="C475" s="65">
        <f>Ringkasan!C474</f>
        <v>157</v>
      </c>
      <c r="D475" s="64" t="str">
        <f>Ringkasan!D474</f>
        <v>#N/A</v>
      </c>
      <c r="E475" s="64" t="str">
        <f>Ringkasan!E474</f>
        <v>BISNIS-27</v>
      </c>
      <c r="F475" s="64" t="str">
        <f>Ringkasan!F474</f>
        <v>30 Oktober 2026</v>
      </c>
      <c r="G475" s="64">
        <f>Ringkasan!G474</f>
        <v>11</v>
      </c>
      <c r="H475" s="19">
        <f>Ringkasan!H474</f>
        <v>42.3</v>
      </c>
      <c r="I475" s="19">
        <f>Ringkasan!I474</f>
        <v>1.3</v>
      </c>
      <c r="J475" s="19">
        <f>Ringkasan!J474</f>
        <v>3</v>
      </c>
      <c r="K475" s="19">
        <f>Ringkasan!K474</f>
        <v>1.9</v>
      </c>
      <c r="L475" s="19">
        <f>Ringkasan!L474</f>
        <v>0.53</v>
      </c>
      <c r="M475" s="19">
        <f>Ringkasan!M474</f>
        <v>20.8</v>
      </c>
      <c r="N475" s="64" t="str">
        <f>Ringkasan!N474</f>
        <v/>
      </c>
      <c r="O475" s="64" t="str">
        <f>Ringkasan!O474</f>
        <v/>
      </c>
      <c r="P475" s="64" t="str">
        <f>Ringkasan!P474</f>
        <v/>
      </c>
      <c r="Q475" s="64" t="str">
        <f>Ringkasan!Q474</f>
        <v/>
      </c>
      <c r="R475" s="64" t="str">
        <f>Ringkasan!R474</f>
        <v/>
      </c>
      <c r="S475" s="64" t="str">
        <f>Ringkasan!S474</f>
        <v/>
      </c>
      <c r="T475" s="64" t="str">
        <f>Ringkasan!T474</f>
        <v/>
      </c>
      <c r="U475" s="64">
        <f>Ringkasan!U474</f>
        <v>140</v>
      </c>
      <c r="V475" s="64">
        <f>Ringkasan!V474</f>
        <v>12.14</v>
      </c>
      <c r="W475" s="64">
        <f>Ringkasan!W474</f>
        <v>144</v>
      </c>
      <c r="X475" s="64">
        <f>Ringkasan!X474</f>
        <v>162</v>
      </c>
      <c r="Y475" s="64">
        <f>Ringkasan!Y474</f>
        <v>143</v>
      </c>
      <c r="Z475" s="64">
        <f>Ringkasan!Z474</f>
        <v>6630659700</v>
      </c>
      <c r="AA475" s="64" t="str">
        <f>Ringkasan!AA474</f>
        <v>Coal</v>
      </c>
      <c r="AB475" s="64" t="str">
        <f>Ringkasan!AB474</f>
        <v>Energy</v>
      </c>
    </row>
    <row r="476" hidden="1">
      <c r="A476" s="64" t="str">
        <f>Ringkasan!A475</f>
        <v>BUMI</v>
      </c>
      <c r="B476" s="64" t="str">
        <f>Ringkasan!B475</f>
        <v>Bumi Resources Tbk.</v>
      </c>
      <c r="C476" s="65">
        <f>Ringkasan!C475</f>
        <v>157</v>
      </c>
      <c r="D476" s="64" t="str">
        <f>Ringkasan!D475</f>
        <v>#N/A</v>
      </c>
      <c r="E476" s="64" t="str">
        <f>Ringkasan!E475</f>
        <v>IDX80</v>
      </c>
      <c r="F476" s="64" t="str">
        <f>Ringkasan!F475</f>
        <v>31 Juli 2026</v>
      </c>
      <c r="G476" s="64">
        <f>Ringkasan!G475</f>
        <v>11</v>
      </c>
      <c r="H476" s="19">
        <f>Ringkasan!H475</f>
        <v>42.3</v>
      </c>
      <c r="I476" s="19">
        <f>Ringkasan!I475</f>
        <v>1.3</v>
      </c>
      <c r="J476" s="19">
        <f>Ringkasan!J475</f>
        <v>3</v>
      </c>
      <c r="K476" s="19">
        <f>Ringkasan!K475</f>
        <v>1.9</v>
      </c>
      <c r="L476" s="19">
        <f>Ringkasan!L475</f>
        <v>0.53</v>
      </c>
      <c r="M476" s="19">
        <f>Ringkasan!M475</f>
        <v>20.8</v>
      </c>
      <c r="N476" s="64" t="str">
        <f>Ringkasan!N475</f>
        <v/>
      </c>
      <c r="O476" s="64" t="str">
        <f>Ringkasan!O475</f>
        <v/>
      </c>
      <c r="P476" s="64" t="str">
        <f>Ringkasan!P475</f>
        <v/>
      </c>
      <c r="Q476" s="64" t="str">
        <f>Ringkasan!Q475</f>
        <v/>
      </c>
      <c r="R476" s="64" t="str">
        <f>Ringkasan!R475</f>
        <v/>
      </c>
      <c r="S476" s="64" t="str">
        <f>Ringkasan!S475</f>
        <v/>
      </c>
      <c r="T476" s="64" t="str">
        <f>Ringkasan!T475</f>
        <v/>
      </c>
      <c r="U476" s="64">
        <f>Ringkasan!U475</f>
        <v>140</v>
      </c>
      <c r="V476" s="64">
        <f>Ringkasan!V475</f>
        <v>12.14</v>
      </c>
      <c r="W476" s="64">
        <f>Ringkasan!W475</f>
        <v>144</v>
      </c>
      <c r="X476" s="64">
        <f>Ringkasan!X475</f>
        <v>162</v>
      </c>
      <c r="Y476" s="64">
        <f>Ringkasan!Y475</f>
        <v>143</v>
      </c>
      <c r="Z476" s="64">
        <f>Ringkasan!Z475</f>
        <v>6630659700</v>
      </c>
      <c r="AA476" s="64" t="str">
        <f>Ringkasan!AA475</f>
        <v>Coal</v>
      </c>
      <c r="AB476" s="64" t="str">
        <f>Ringkasan!AB475</f>
        <v>Energy</v>
      </c>
    </row>
    <row r="477" hidden="1">
      <c r="A477" s="64" t="str">
        <f>Ringkasan!A476</f>
        <v>BUMI</v>
      </c>
      <c r="B477" s="64" t="str">
        <f>Ringkasan!B476</f>
        <v>Bumi Resources Tbk.</v>
      </c>
      <c r="C477" s="65">
        <f>Ringkasan!C476</f>
        <v>157</v>
      </c>
      <c r="D477" s="64" t="str">
        <f>Ringkasan!D476</f>
        <v>#N/A</v>
      </c>
      <c r="E477" s="64" t="str">
        <f>Ringkasan!E476</f>
        <v>IDX30</v>
      </c>
      <c r="F477" s="64" t="str">
        <f>Ringkasan!F476</f>
        <v>31 Juli 2026</v>
      </c>
      <c r="G477" s="64">
        <f>Ringkasan!G476</f>
        <v>11</v>
      </c>
      <c r="H477" s="19">
        <f>Ringkasan!H476</f>
        <v>42.3</v>
      </c>
      <c r="I477" s="19">
        <f>Ringkasan!I476</f>
        <v>1.3</v>
      </c>
      <c r="J477" s="19">
        <f>Ringkasan!J476</f>
        <v>3</v>
      </c>
      <c r="K477" s="19">
        <f>Ringkasan!K476</f>
        <v>1.9</v>
      </c>
      <c r="L477" s="19">
        <f>Ringkasan!L476</f>
        <v>0.53</v>
      </c>
      <c r="M477" s="19">
        <f>Ringkasan!M476</f>
        <v>20.8</v>
      </c>
      <c r="N477" s="64" t="str">
        <f>Ringkasan!N476</f>
        <v/>
      </c>
      <c r="O477" s="64" t="str">
        <f>Ringkasan!O476</f>
        <v/>
      </c>
      <c r="P477" s="64" t="str">
        <f>Ringkasan!P476</f>
        <v/>
      </c>
      <c r="Q477" s="64" t="str">
        <f>Ringkasan!Q476</f>
        <v/>
      </c>
      <c r="R477" s="64" t="str">
        <f>Ringkasan!R476</f>
        <v/>
      </c>
      <c r="S477" s="64" t="str">
        <f>Ringkasan!S476</f>
        <v/>
      </c>
      <c r="T477" s="64" t="str">
        <f>Ringkasan!T476</f>
        <v/>
      </c>
      <c r="U477" s="64">
        <f>Ringkasan!U476</f>
        <v>140</v>
      </c>
      <c r="V477" s="64">
        <f>Ringkasan!V476</f>
        <v>12.14</v>
      </c>
      <c r="W477" s="64">
        <f>Ringkasan!W476</f>
        <v>144</v>
      </c>
      <c r="X477" s="64">
        <f>Ringkasan!X476</f>
        <v>162</v>
      </c>
      <c r="Y477" s="64">
        <f>Ringkasan!Y476</f>
        <v>143</v>
      </c>
      <c r="Z477" s="64">
        <f>Ringkasan!Z476</f>
        <v>6630659700</v>
      </c>
      <c r="AA477" s="64" t="str">
        <f>Ringkasan!AA476</f>
        <v>Coal</v>
      </c>
      <c r="AB477" s="64" t="str">
        <f>Ringkasan!AB476</f>
        <v>Energy</v>
      </c>
    </row>
    <row r="478" hidden="1">
      <c r="A478" s="64" t="str">
        <f>Ringkasan!A477</f>
        <v>BUMI</v>
      </c>
      <c r="B478" s="64" t="str">
        <f>Ringkasan!B477</f>
        <v>Bumi Resources Tbk.</v>
      </c>
      <c r="C478" s="65">
        <f>Ringkasan!C477</f>
        <v>157</v>
      </c>
      <c r="D478" s="64" t="str">
        <f>Ringkasan!D477</f>
        <v>#N/A</v>
      </c>
      <c r="E478" s="64" t="str">
        <f>Ringkasan!E477</f>
        <v>Pefindo - iGrade</v>
      </c>
      <c r="F478" s="64" t="str">
        <f>Ringkasan!F477</f>
        <v>30 Juni 2026</v>
      </c>
      <c r="G478" s="64">
        <f>Ringkasan!G477</f>
        <v>11</v>
      </c>
      <c r="H478" s="19">
        <f>Ringkasan!H477</f>
        <v>42.3</v>
      </c>
      <c r="I478" s="19">
        <f>Ringkasan!I477</f>
        <v>1.3</v>
      </c>
      <c r="J478" s="19">
        <f>Ringkasan!J477</f>
        <v>3</v>
      </c>
      <c r="K478" s="19">
        <f>Ringkasan!K477</f>
        <v>1.9</v>
      </c>
      <c r="L478" s="19">
        <f>Ringkasan!L477</f>
        <v>0.53</v>
      </c>
      <c r="M478" s="19">
        <f>Ringkasan!M477</f>
        <v>20.8</v>
      </c>
      <c r="N478" s="64" t="str">
        <f>Ringkasan!N477</f>
        <v/>
      </c>
      <c r="O478" s="64" t="str">
        <f>Ringkasan!O477</f>
        <v/>
      </c>
      <c r="P478" s="64" t="str">
        <f>Ringkasan!P477</f>
        <v/>
      </c>
      <c r="Q478" s="64" t="str">
        <f>Ringkasan!Q477</f>
        <v/>
      </c>
      <c r="R478" s="64" t="str">
        <f>Ringkasan!R477</f>
        <v/>
      </c>
      <c r="S478" s="64" t="str">
        <f>Ringkasan!S477</f>
        <v/>
      </c>
      <c r="T478" s="64" t="str">
        <f>Ringkasan!T477</f>
        <v/>
      </c>
      <c r="U478" s="64">
        <f>Ringkasan!U477</f>
        <v>140</v>
      </c>
      <c r="V478" s="64">
        <f>Ringkasan!V477</f>
        <v>12.14</v>
      </c>
      <c r="W478" s="64">
        <f>Ringkasan!W477</f>
        <v>144</v>
      </c>
      <c r="X478" s="64">
        <f>Ringkasan!X477</f>
        <v>162</v>
      </c>
      <c r="Y478" s="64">
        <f>Ringkasan!Y477</f>
        <v>143</v>
      </c>
      <c r="Z478" s="64">
        <f>Ringkasan!Z477</f>
        <v>6630659700</v>
      </c>
      <c r="AA478" s="64" t="str">
        <f>Ringkasan!AA477</f>
        <v>Coal</v>
      </c>
      <c r="AB478" s="64" t="str">
        <f>Ringkasan!AB477</f>
        <v>Energy</v>
      </c>
    </row>
    <row r="479" hidden="1">
      <c r="A479" s="64" t="str">
        <f>Ringkasan!A478</f>
        <v>BUMI</v>
      </c>
      <c r="B479" s="64" t="str">
        <f>Ringkasan!B478</f>
        <v>Bumi Resources Tbk.</v>
      </c>
      <c r="C479" s="65">
        <f>Ringkasan!C478</f>
        <v>157</v>
      </c>
      <c r="D479" s="64" t="str">
        <f>Ringkasan!D478</f>
        <v>#N/A</v>
      </c>
      <c r="E479" s="64" t="str">
        <f>Ringkasan!E478</f>
        <v>MSCI Small Cap</v>
      </c>
      <c r="F479" s="64" t="str">
        <f>Ringkasan!F478</f>
        <v>12 Agustus 2026</v>
      </c>
      <c r="G479" s="64">
        <f>Ringkasan!G478</f>
        <v>11</v>
      </c>
      <c r="H479" s="19">
        <f>Ringkasan!H478</f>
        <v>42.3</v>
      </c>
      <c r="I479" s="19">
        <f>Ringkasan!I478</f>
        <v>1.3</v>
      </c>
      <c r="J479" s="19">
        <f>Ringkasan!J478</f>
        <v>3</v>
      </c>
      <c r="K479" s="19">
        <f>Ringkasan!K478</f>
        <v>1.9</v>
      </c>
      <c r="L479" s="19">
        <f>Ringkasan!L478</f>
        <v>0.53</v>
      </c>
      <c r="M479" s="19">
        <f>Ringkasan!M478</f>
        <v>20.8</v>
      </c>
      <c r="N479" s="64">
        <f>Ringkasan!N478</f>
        <v>5.4</v>
      </c>
      <c r="O479" s="64">
        <f>Ringkasan!O478</f>
        <v>23.2</v>
      </c>
      <c r="P479" s="64">
        <f>Ringkasan!P478</f>
        <v>83</v>
      </c>
      <c r="Q479" s="64">
        <f>Ringkasan!Q478</f>
        <v>1.9</v>
      </c>
      <c r="R479" s="64">
        <f>Ringkasan!R478</f>
        <v>65.9</v>
      </c>
      <c r="S479" s="64">
        <f>Ringkasan!S478</f>
        <v>42.4</v>
      </c>
      <c r="T479" s="64">
        <f>Ringkasan!T478</f>
        <v>5.9</v>
      </c>
      <c r="U479" s="64">
        <f>Ringkasan!U478</f>
        <v>140</v>
      </c>
      <c r="V479" s="64">
        <f>Ringkasan!V478</f>
        <v>12.14</v>
      </c>
      <c r="W479" s="64">
        <f>Ringkasan!W478</f>
        <v>144</v>
      </c>
      <c r="X479" s="64">
        <f>Ringkasan!X478</f>
        <v>162</v>
      </c>
      <c r="Y479" s="64">
        <f>Ringkasan!Y478</f>
        <v>143</v>
      </c>
      <c r="Z479" s="64">
        <f>Ringkasan!Z478</f>
        <v>6630659700</v>
      </c>
      <c r="AA479" s="64" t="str">
        <f>Ringkasan!AA478</f>
        <v>Coal</v>
      </c>
      <c r="AB479" s="64" t="str">
        <f>Ringkasan!AB478</f>
        <v>Energy</v>
      </c>
    </row>
    <row r="480" hidden="1">
      <c r="A480" s="64" t="str">
        <f>Ringkasan!A479</f>
        <v>BUMI</v>
      </c>
      <c r="B480" s="64" t="str">
        <f>Ringkasan!B479</f>
        <v>Bumi Resources Tbk.</v>
      </c>
      <c r="C480" s="65">
        <f>Ringkasan!C479</f>
        <v>157</v>
      </c>
      <c r="D480" s="64" t="str">
        <f>Ringkasan!D479</f>
        <v>#N/A</v>
      </c>
      <c r="E480" s="64" t="str">
        <f>Ringkasan!E479</f>
        <v>IDXSHAGROW</v>
      </c>
      <c r="F480" s="66">
        <f>Ringkasan!F479</f>
        <v>46356</v>
      </c>
      <c r="G480" s="64">
        <f>Ringkasan!G479</f>
        <v>11</v>
      </c>
      <c r="H480" s="19">
        <f>Ringkasan!H479</f>
        <v>42.3</v>
      </c>
      <c r="I480" s="19">
        <f>Ringkasan!I479</f>
        <v>1.3</v>
      </c>
      <c r="J480" s="19">
        <f>Ringkasan!J479</f>
        <v>3</v>
      </c>
      <c r="K480" s="19">
        <f>Ringkasan!K479</f>
        <v>1.9</v>
      </c>
      <c r="L480" s="19">
        <f>Ringkasan!L479</f>
        <v>0.53</v>
      </c>
      <c r="M480" s="19">
        <f>Ringkasan!M479</f>
        <v>20.8</v>
      </c>
      <c r="N480" s="64" t="str">
        <f>Ringkasan!N479</f>
        <v/>
      </c>
      <c r="O480" s="64" t="str">
        <f>Ringkasan!O479</f>
        <v/>
      </c>
      <c r="P480" s="64" t="str">
        <f>Ringkasan!P479</f>
        <v/>
      </c>
      <c r="Q480" s="64" t="str">
        <f>Ringkasan!Q479</f>
        <v/>
      </c>
      <c r="R480" s="64" t="str">
        <f>Ringkasan!R479</f>
        <v/>
      </c>
      <c r="S480" s="64" t="str">
        <f>Ringkasan!S479</f>
        <v/>
      </c>
      <c r="T480" s="64" t="str">
        <f>Ringkasan!T479</f>
        <v/>
      </c>
      <c r="U480" s="64">
        <f>Ringkasan!U479</f>
        <v>140</v>
      </c>
      <c r="V480" s="64">
        <f>Ringkasan!V479</f>
        <v>12.14</v>
      </c>
      <c r="W480" s="64">
        <f>Ringkasan!W479</f>
        <v>144</v>
      </c>
      <c r="X480" s="64">
        <f>Ringkasan!X479</f>
        <v>162</v>
      </c>
      <c r="Y480" s="64">
        <f>Ringkasan!Y479</f>
        <v>143</v>
      </c>
      <c r="Z480" s="64">
        <f>Ringkasan!Z479</f>
        <v>6630659700</v>
      </c>
      <c r="AA480" s="64" t="str">
        <f>Ringkasan!AA479</f>
        <v>Coal</v>
      </c>
      <c r="AB480" s="64" t="str">
        <f>Ringkasan!AB479</f>
        <v>Energy</v>
      </c>
    </row>
    <row r="481" hidden="1">
      <c r="A481" s="64" t="str">
        <f>Ringkasan!A480</f>
        <v>BUMI</v>
      </c>
      <c r="B481" s="64" t="str">
        <f>Ringkasan!B480</f>
        <v>Bumi Resources Tbk.</v>
      </c>
      <c r="C481" s="65">
        <f>Ringkasan!C480</f>
        <v>157</v>
      </c>
      <c r="D481" s="64" t="str">
        <f>Ringkasan!D480</f>
        <v>#N/A</v>
      </c>
      <c r="E481" s="64" t="str">
        <f>Ringkasan!E480</f>
        <v>JII30</v>
      </c>
      <c r="F481" s="66">
        <f>Ringkasan!F480</f>
        <v>46356</v>
      </c>
      <c r="G481" s="64">
        <f>Ringkasan!G480</f>
        <v>11</v>
      </c>
      <c r="H481" s="19">
        <f>Ringkasan!H480</f>
        <v>42.3</v>
      </c>
      <c r="I481" s="19">
        <f>Ringkasan!I480</f>
        <v>1.3</v>
      </c>
      <c r="J481" s="19">
        <f>Ringkasan!J480</f>
        <v>3</v>
      </c>
      <c r="K481" s="19">
        <f>Ringkasan!K480</f>
        <v>1.9</v>
      </c>
      <c r="L481" s="19">
        <f>Ringkasan!L480</f>
        <v>0.53</v>
      </c>
      <c r="M481" s="19">
        <f>Ringkasan!M480</f>
        <v>20.8</v>
      </c>
      <c r="N481" s="64" t="str">
        <f>Ringkasan!N480</f>
        <v/>
      </c>
      <c r="O481" s="64" t="str">
        <f>Ringkasan!O480</f>
        <v/>
      </c>
      <c r="P481" s="64" t="str">
        <f>Ringkasan!P480</f>
        <v/>
      </c>
      <c r="Q481" s="64" t="str">
        <f>Ringkasan!Q480</f>
        <v/>
      </c>
      <c r="R481" s="64" t="str">
        <f>Ringkasan!R480</f>
        <v/>
      </c>
      <c r="S481" s="64" t="str">
        <f>Ringkasan!S480</f>
        <v/>
      </c>
      <c r="T481" s="64" t="str">
        <f>Ringkasan!T480</f>
        <v/>
      </c>
      <c r="U481" s="64">
        <f>Ringkasan!U480</f>
        <v>140</v>
      </c>
      <c r="V481" s="64">
        <f>Ringkasan!V480</f>
        <v>12.14</v>
      </c>
      <c r="W481" s="64">
        <f>Ringkasan!W480</f>
        <v>144</v>
      </c>
      <c r="X481" s="64">
        <f>Ringkasan!X480</f>
        <v>162</v>
      </c>
      <c r="Y481" s="64">
        <f>Ringkasan!Y480</f>
        <v>143</v>
      </c>
      <c r="Z481" s="64">
        <f>Ringkasan!Z480</f>
        <v>6630659700</v>
      </c>
      <c r="AA481" s="64" t="str">
        <f>Ringkasan!AA480</f>
        <v>Coal</v>
      </c>
      <c r="AB481" s="64" t="str">
        <f>Ringkasan!AB480</f>
        <v>Energy</v>
      </c>
    </row>
    <row r="482" hidden="1">
      <c r="A482" s="64" t="str">
        <f>Ringkasan!A481</f>
        <v>BUMI</v>
      </c>
      <c r="B482" s="64" t="str">
        <f>Ringkasan!B481</f>
        <v>Bumi Resources Tbk.</v>
      </c>
      <c r="C482" s="65">
        <f>Ringkasan!C481</f>
        <v>157</v>
      </c>
      <c r="D482" s="64" t="str">
        <f>Ringkasan!D481</f>
        <v>#N/A</v>
      </c>
      <c r="E482" s="64" t="str">
        <f>Ringkasan!E481</f>
        <v>JII70</v>
      </c>
      <c r="F482" s="66">
        <f>Ringkasan!F481</f>
        <v>46356</v>
      </c>
      <c r="G482" s="64">
        <f>Ringkasan!G481</f>
        <v>11</v>
      </c>
      <c r="H482" s="19">
        <f>Ringkasan!H481</f>
        <v>42.3</v>
      </c>
      <c r="I482" s="19">
        <f>Ringkasan!I481</f>
        <v>1.3</v>
      </c>
      <c r="J482" s="19">
        <f>Ringkasan!J481</f>
        <v>3</v>
      </c>
      <c r="K482" s="19">
        <f>Ringkasan!K481</f>
        <v>1.9</v>
      </c>
      <c r="L482" s="19">
        <f>Ringkasan!L481</f>
        <v>0.53</v>
      </c>
      <c r="M482" s="19">
        <f>Ringkasan!M481</f>
        <v>20.8</v>
      </c>
      <c r="N482" s="64" t="str">
        <f>Ringkasan!N481</f>
        <v/>
      </c>
      <c r="O482" s="64" t="str">
        <f>Ringkasan!O481</f>
        <v/>
      </c>
      <c r="P482" s="64" t="str">
        <f>Ringkasan!P481</f>
        <v/>
      </c>
      <c r="Q482" s="64" t="str">
        <f>Ringkasan!Q481</f>
        <v/>
      </c>
      <c r="R482" s="64" t="str">
        <f>Ringkasan!R481</f>
        <v/>
      </c>
      <c r="S482" s="64" t="str">
        <f>Ringkasan!S481</f>
        <v/>
      </c>
      <c r="T482" s="64" t="str">
        <f>Ringkasan!T481</f>
        <v/>
      </c>
      <c r="U482" s="64">
        <f>Ringkasan!U481</f>
        <v>140</v>
      </c>
      <c r="V482" s="64">
        <f>Ringkasan!V481</f>
        <v>12.14</v>
      </c>
      <c r="W482" s="64">
        <f>Ringkasan!W481</f>
        <v>144</v>
      </c>
      <c r="X482" s="64">
        <f>Ringkasan!X481</f>
        <v>162</v>
      </c>
      <c r="Y482" s="64">
        <f>Ringkasan!Y481</f>
        <v>143</v>
      </c>
      <c r="Z482" s="64">
        <f>Ringkasan!Z481</f>
        <v>6630659700</v>
      </c>
      <c r="AA482" s="64" t="str">
        <f>Ringkasan!AA481</f>
        <v>Coal</v>
      </c>
      <c r="AB482" s="64" t="str">
        <f>Ringkasan!AB481</f>
        <v>Energy</v>
      </c>
    </row>
    <row r="483" hidden="1">
      <c r="A483" s="64" t="str">
        <f>Ringkasan!A482</f>
        <v>BUVA</v>
      </c>
      <c r="B483" s="64" t="str">
        <f>Ringkasan!B482</f>
        <v>Bukit Uluwatu Villa Tbk.</v>
      </c>
      <c r="C483" s="65">
        <f>Ringkasan!C482</f>
        <v>775</v>
      </c>
      <c r="D483" s="64" t="str">
        <f>Ringkasan!D482</f>
        <v>#N/A</v>
      </c>
      <c r="E483" s="64" t="str">
        <f>Ringkasan!E482</f>
        <v>Kompas100</v>
      </c>
      <c r="F483" s="64" t="str">
        <f>Ringkasan!F482</f>
        <v>31 Juli 2026</v>
      </c>
      <c r="G483" s="64">
        <f>Ringkasan!G482</f>
        <v>1</v>
      </c>
      <c r="H483" s="19">
        <f>Ringkasan!H482</f>
        <v>940</v>
      </c>
      <c r="I483" s="19">
        <f>Ringkasan!I482</f>
        <v>9.2</v>
      </c>
      <c r="J483" s="19">
        <f>Ringkasan!J482</f>
        <v>0.97</v>
      </c>
      <c r="K483" s="19">
        <f>Ringkasan!K482</f>
        <v>0.77</v>
      </c>
      <c r="L483" s="19">
        <f>Ringkasan!L482</f>
        <v>0.27</v>
      </c>
      <c r="M483" s="19">
        <f>Ringkasan!M482</f>
        <v>31</v>
      </c>
      <c r="N483" s="64" t="str">
        <f>Ringkasan!N482</f>
        <v/>
      </c>
      <c r="O483" s="64" t="str">
        <f>Ringkasan!O482</f>
        <v/>
      </c>
      <c r="P483" s="64" t="str">
        <f>Ringkasan!P482</f>
        <v/>
      </c>
      <c r="Q483" s="64" t="str">
        <f>Ringkasan!Q482</f>
        <v/>
      </c>
      <c r="R483" s="64" t="str">
        <f>Ringkasan!R482</f>
        <v/>
      </c>
      <c r="S483" s="64" t="str">
        <f>Ringkasan!S482</f>
        <v/>
      </c>
      <c r="T483" s="64" t="str">
        <f>Ringkasan!T482</f>
        <v/>
      </c>
      <c r="U483" s="64">
        <f>Ringkasan!U482</f>
        <v>715</v>
      </c>
      <c r="V483" s="64">
        <f>Ringkasan!V482</f>
        <v>8.39</v>
      </c>
      <c r="W483" s="64">
        <f>Ringkasan!W482</f>
        <v>730</v>
      </c>
      <c r="X483" s="64">
        <f>Ringkasan!X482</f>
        <v>795</v>
      </c>
      <c r="Y483" s="64">
        <f>Ringkasan!Y482</f>
        <v>725</v>
      </c>
      <c r="Z483" s="64">
        <f>Ringkasan!Z482</f>
        <v>236437100</v>
      </c>
      <c r="AA483" s="64" t="str">
        <f>Ringkasan!AA482</f>
        <v>Tourism &amp; Recreation</v>
      </c>
      <c r="AB483" s="64" t="str">
        <f>Ringkasan!AB482</f>
        <v>Consumer Cyclicals</v>
      </c>
    </row>
    <row r="484" hidden="1">
      <c r="A484" s="64" t="str">
        <f>Ringkasan!A483</f>
        <v>BVIC</v>
      </c>
      <c r="B484" s="64" t="str">
        <f>Ringkasan!B483</f>
        <v>Bank Victoria International Tbk.</v>
      </c>
      <c r="C484" s="65">
        <f>Ringkasan!C483</f>
        <v>87</v>
      </c>
      <c r="D484" s="64" t="str">
        <f>Ringkasan!D483</f>
        <v>#N/A</v>
      </c>
      <c r="E484" s="64" t="str">
        <f>Ringkasan!E483</f>
        <v/>
      </c>
      <c r="F484" s="64" t="str">
        <f>Ringkasan!F483</f>
        <v/>
      </c>
      <c r="G484" s="64">
        <f>Ringkasan!G483</f>
        <v>0</v>
      </c>
      <c r="H484" s="19">
        <f>Ringkasan!H483</f>
        <v>13.5</v>
      </c>
      <c r="I484" s="19">
        <f>Ringkasan!I483</f>
        <v>0.42</v>
      </c>
      <c r="J484" s="19">
        <f>Ringkasan!J483</f>
        <v>3.2</v>
      </c>
      <c r="K484" s="19">
        <f>Ringkasan!K483</f>
        <v>0.4</v>
      </c>
      <c r="L484" s="19">
        <f>Ringkasan!L483</f>
        <v>6.9</v>
      </c>
      <c r="M484" s="19">
        <f>Ringkasan!M483</f>
        <v>22.6</v>
      </c>
      <c r="N484" s="64">
        <f>Ringkasan!N483</f>
        <v>2.12</v>
      </c>
      <c r="O484" s="64">
        <f>Ringkasan!O483</f>
        <v>19.45</v>
      </c>
      <c r="P484" s="64">
        <f>Ringkasan!P483</f>
        <v>81.1</v>
      </c>
      <c r="Q484" s="64">
        <f>Ringkasan!Q483</f>
        <v>4.15</v>
      </c>
      <c r="R484" s="64">
        <f>Ringkasan!R483</f>
        <v>93.4</v>
      </c>
      <c r="S484" s="64">
        <f>Ringkasan!S483</f>
        <v>60.15</v>
      </c>
      <c r="T484" s="64">
        <f>Ringkasan!T483</f>
        <v>12.11</v>
      </c>
      <c r="U484" s="64">
        <f>Ringkasan!U483</f>
        <v>84</v>
      </c>
      <c r="V484" s="64">
        <f>Ringkasan!V483</f>
        <v>3.57</v>
      </c>
      <c r="W484" s="64">
        <f>Ringkasan!W483</f>
        <v>84</v>
      </c>
      <c r="X484" s="64">
        <f>Ringkasan!X483</f>
        <v>88</v>
      </c>
      <c r="Y484" s="64">
        <f>Ringkasan!Y483</f>
        <v>84</v>
      </c>
      <c r="Z484" s="64">
        <f>Ringkasan!Z483</f>
        <v>1144900</v>
      </c>
      <c r="AA484" s="64" t="str">
        <f>Ringkasan!AA483</f>
        <v>Banks</v>
      </c>
      <c r="AB484" s="64" t="str">
        <f>Ringkasan!AB483</f>
        <v>Financials</v>
      </c>
    </row>
    <row r="485" hidden="1">
      <c r="A485" s="64" t="str">
        <f>Ringkasan!A484</f>
        <v>BWPT</v>
      </c>
      <c r="B485" s="64" t="str">
        <f>Ringkasan!B484</f>
        <v>Eagle High Plantations Tbk</v>
      </c>
      <c r="C485" s="65">
        <f>Ringkasan!C484</f>
        <v>74</v>
      </c>
      <c r="D485" s="64" t="str">
        <f>Ringkasan!D484</f>
        <v>#N/A</v>
      </c>
      <c r="E485" s="64" t="str">
        <f>Ringkasan!E484</f>
        <v>ESGSKEHATI</v>
      </c>
      <c r="F485" s="66">
        <f>Ringkasan!F484</f>
        <v>46356</v>
      </c>
      <c r="G485" s="65">
        <f>Ringkasan!G484</f>
        <v>1</v>
      </c>
      <c r="H485" s="19">
        <f>Ringkasan!H484</f>
        <v>7.1</v>
      </c>
      <c r="I485" s="19">
        <f>Ringkasan!I484</f>
        <v>0.9</v>
      </c>
      <c r="J485" s="19">
        <f>Ringkasan!J484</f>
        <v>12.7</v>
      </c>
      <c r="K485" s="19">
        <f>Ringkasan!K484</f>
        <v>3.6</v>
      </c>
      <c r="L485" s="19">
        <f>Ringkasan!L484</f>
        <v>2.5</v>
      </c>
      <c r="M485" s="19">
        <f>Ringkasan!M484</f>
        <v>26.8</v>
      </c>
      <c r="N485" s="64" t="str">
        <f>Ringkasan!N484</f>
        <v/>
      </c>
      <c r="O485" s="64" t="str">
        <f>Ringkasan!O484</f>
        <v/>
      </c>
      <c r="P485" s="64" t="str">
        <f>Ringkasan!P484</f>
        <v/>
      </c>
      <c r="Q485" s="64" t="str">
        <f>Ringkasan!Q484</f>
        <v/>
      </c>
      <c r="R485" s="64" t="str">
        <f>Ringkasan!R484</f>
        <v/>
      </c>
      <c r="S485" s="64" t="str">
        <f>Ringkasan!S484</f>
        <v/>
      </c>
      <c r="T485" s="64" t="str">
        <f>Ringkasan!T484</f>
        <v/>
      </c>
      <c r="U485" s="64">
        <f>Ringkasan!U484</f>
        <v>72</v>
      </c>
      <c r="V485" s="64">
        <f>Ringkasan!V484</f>
        <v>2.78</v>
      </c>
      <c r="W485" s="64">
        <f>Ringkasan!W484</f>
        <v>73</v>
      </c>
      <c r="X485" s="64">
        <f>Ringkasan!X484</f>
        <v>81</v>
      </c>
      <c r="Y485" s="64">
        <f>Ringkasan!Y484</f>
        <v>72</v>
      </c>
      <c r="Z485" s="64">
        <f>Ringkasan!Z484</f>
        <v>242215100</v>
      </c>
      <c r="AA485" s="64" t="str">
        <f>Ringkasan!AA484</f>
        <v>Agricultural Products</v>
      </c>
      <c r="AB485" s="64" t="str">
        <f>Ringkasan!AB484</f>
        <v>Consumer Non-Cyclicals</v>
      </c>
    </row>
    <row r="486" hidden="1">
      <c r="A486" s="64" t="str">
        <f>Ringkasan!A485</f>
        <v>BYAN</v>
      </c>
      <c r="B486" s="64" t="str">
        <f>Ringkasan!B485</f>
        <v>Bayan Resources Tbk.</v>
      </c>
      <c r="C486" s="65">
        <f>Ringkasan!C485</f>
        <v>9700</v>
      </c>
      <c r="D486" s="64" t="str">
        <f>Ringkasan!D485</f>
        <v>#N/A</v>
      </c>
      <c r="E486" s="64" t="str">
        <f>Ringkasan!E485</f>
        <v/>
      </c>
      <c r="F486" s="64" t="str">
        <f>Ringkasan!F485</f>
        <v/>
      </c>
      <c r="G486" s="64">
        <f>Ringkasan!G485</f>
        <v>0</v>
      </c>
      <c r="H486" s="19">
        <f>Ringkasan!H485</f>
        <v>26.2</v>
      </c>
      <c r="I486" s="19">
        <f>Ringkasan!I485</f>
        <v>6.7</v>
      </c>
      <c r="J486" s="19">
        <f>Ringkasan!J485</f>
        <v>25.5</v>
      </c>
      <c r="K486" s="19">
        <f>Ringkasan!K485</f>
        <v>21</v>
      </c>
      <c r="L486" s="19">
        <f>Ringkasan!L485</f>
        <v>0.21</v>
      </c>
      <c r="M486" s="19">
        <f>Ringkasan!M485</f>
        <v>89.6</v>
      </c>
      <c r="N486" s="64" t="str">
        <f>Ringkasan!N485</f>
        <v/>
      </c>
      <c r="O486" s="64" t="str">
        <f>Ringkasan!O485</f>
        <v/>
      </c>
      <c r="P486" s="64" t="str">
        <f>Ringkasan!P485</f>
        <v/>
      </c>
      <c r="Q486" s="64" t="str">
        <f>Ringkasan!Q485</f>
        <v/>
      </c>
      <c r="R486" s="64" t="str">
        <f>Ringkasan!R485</f>
        <v/>
      </c>
      <c r="S486" s="64" t="str">
        <f>Ringkasan!S485</f>
        <v/>
      </c>
      <c r="T486" s="64" t="str">
        <f>Ringkasan!T485</f>
        <v/>
      </c>
      <c r="U486" s="64">
        <f>Ringkasan!U485</f>
        <v>9700</v>
      </c>
      <c r="V486" s="64">
        <f>Ringkasan!V485</f>
        <v>0</v>
      </c>
      <c r="W486" s="64">
        <f>Ringkasan!W485</f>
        <v>9700</v>
      </c>
      <c r="X486" s="64">
        <f>Ringkasan!X485</f>
        <v>10000</v>
      </c>
      <c r="Y486" s="64" t="str">
        <f>Ringkasan!Y485</f>
        <v/>
      </c>
      <c r="Z486" s="64">
        <f>Ringkasan!Z485</f>
        <v>224500</v>
      </c>
      <c r="AA486" s="64" t="str">
        <f>Ringkasan!AA485</f>
        <v>Coal</v>
      </c>
      <c r="AB486" s="64" t="str">
        <f>Ringkasan!AB485</f>
        <v>Energy</v>
      </c>
    </row>
    <row r="487" hidden="1">
      <c r="A487" s="64" t="str">
        <f>Ringkasan!A486</f>
        <v>CAKK</v>
      </c>
      <c r="B487" s="64" t="str">
        <f>Ringkasan!B486</f>
        <v>Cahayaputra Asa Keramik Tbk.</v>
      </c>
      <c r="C487" s="65">
        <f>Ringkasan!C486</f>
        <v>140</v>
      </c>
      <c r="D487" s="64" t="str">
        <f>Ringkasan!D486</f>
        <v>#N/A</v>
      </c>
      <c r="E487" s="64" t="str">
        <f>Ringkasan!E486</f>
        <v/>
      </c>
      <c r="F487" s="64" t="str">
        <f>Ringkasan!F486</f>
        <v/>
      </c>
      <c r="G487" s="64">
        <f>Ringkasan!G486</f>
        <v>0</v>
      </c>
      <c r="H487" s="19">
        <f>Ringkasan!H486</f>
        <v>-4.3</v>
      </c>
      <c r="I487" s="19">
        <f>Ringkasan!I486</f>
        <v>1.4</v>
      </c>
      <c r="J487" s="19">
        <f>Ringkasan!J486</f>
        <v>-31.6</v>
      </c>
      <c r="K487" s="19">
        <f>Ringkasan!K486</f>
        <v>-8.5</v>
      </c>
      <c r="L487" s="19">
        <f>Ringkasan!L486</f>
        <v>2.7</v>
      </c>
      <c r="M487" s="19">
        <f>Ringkasan!M486</f>
        <v>-40</v>
      </c>
      <c r="N487" s="64" t="str">
        <f>Ringkasan!N486</f>
        <v/>
      </c>
      <c r="O487" s="64" t="str">
        <f>Ringkasan!O486</f>
        <v/>
      </c>
      <c r="P487" s="64" t="str">
        <f>Ringkasan!P486</f>
        <v/>
      </c>
      <c r="Q487" s="64" t="str">
        <f>Ringkasan!Q486</f>
        <v/>
      </c>
      <c r="R487" s="64" t="str">
        <f>Ringkasan!R486</f>
        <v/>
      </c>
      <c r="S487" s="64" t="str">
        <f>Ringkasan!S486</f>
        <v/>
      </c>
      <c r="T487" s="64" t="str">
        <f>Ringkasan!T486</f>
        <v/>
      </c>
      <c r="U487" s="64">
        <f>Ringkasan!U486</f>
        <v>136</v>
      </c>
      <c r="V487" s="64" t="str">
        <f>Ringkasan!V486</f>
        <v/>
      </c>
      <c r="W487" s="64">
        <f>Ringkasan!W486</f>
        <v>137</v>
      </c>
      <c r="X487" s="64">
        <f>Ringkasan!X486</f>
        <v>140</v>
      </c>
      <c r="Y487" s="64" t="str">
        <f>Ringkasan!Y486</f>
        <v/>
      </c>
      <c r="Z487" s="64">
        <f>Ringkasan!Z486</f>
        <v>60800</v>
      </c>
      <c r="AA487" s="64" t="str">
        <f>Ringkasan!AA486</f>
        <v>Building Products &amp; Fixtures</v>
      </c>
      <c r="AB487" s="64" t="str">
        <f>Ringkasan!AB486</f>
        <v>Industrials</v>
      </c>
    </row>
    <row r="488" hidden="1">
      <c r="A488" s="64" t="str">
        <f>Ringkasan!A487</f>
        <v>CAMP</v>
      </c>
      <c r="B488" s="64" t="str">
        <f>Ringkasan!B487</f>
        <v>Campina Ice Cream Industry Tbk.</v>
      </c>
      <c r="C488" s="65" t="str">
        <f>Ringkasan!C487</f>
        <v>#N/A</v>
      </c>
      <c r="D488" s="64" t="str">
        <f>Ringkasan!D487</f>
        <v>#N/A</v>
      </c>
      <c r="E488" s="64" t="str">
        <f>Ringkasan!E487</f>
        <v/>
      </c>
      <c r="F488" s="64" t="str">
        <f>Ringkasan!F487</f>
        <v/>
      </c>
      <c r="G488" s="64">
        <f>Ringkasan!G487</f>
        <v>0</v>
      </c>
      <c r="H488" s="19">
        <f>Ringkasan!H487</f>
        <v>14.6</v>
      </c>
      <c r="I488" s="19">
        <f>Ringkasan!I487</f>
        <v>1.1</v>
      </c>
      <c r="J488" s="19">
        <f>Ringkasan!J487</f>
        <v>7.5</v>
      </c>
      <c r="K488" s="19">
        <f>Ringkasan!K487</f>
        <v>6.4</v>
      </c>
      <c r="L488" s="19">
        <f>Ringkasan!L487</f>
        <v>0.18</v>
      </c>
      <c r="M488" s="19">
        <f>Ringkasan!M487</f>
        <v>27.7</v>
      </c>
      <c r="N488" s="64" t="str">
        <f>Ringkasan!N487</f>
        <v/>
      </c>
      <c r="O488" s="64" t="str">
        <f>Ringkasan!O487</f>
        <v/>
      </c>
      <c r="P488" s="64" t="str">
        <f>Ringkasan!P487</f>
        <v/>
      </c>
      <c r="Q488" s="64" t="str">
        <f>Ringkasan!Q487</f>
        <v/>
      </c>
      <c r="R488" s="64" t="str">
        <f>Ringkasan!R487</f>
        <v/>
      </c>
      <c r="S488" s="64" t="str">
        <f>Ringkasan!S487</f>
        <v/>
      </c>
      <c r="T488" s="64" t="str">
        <f>Ringkasan!T487</f>
        <v/>
      </c>
      <c r="U488" s="64">
        <f>Ringkasan!U487</f>
        <v>4.22</v>
      </c>
      <c r="V488" s="64">
        <f>Ringkasan!V487</f>
        <v>-0.71</v>
      </c>
      <c r="W488" s="64">
        <f>Ringkasan!W487</f>
        <v>4.22</v>
      </c>
      <c r="X488" s="64">
        <f>Ringkasan!X487</f>
        <v>4.46</v>
      </c>
      <c r="Y488" s="64">
        <f>Ringkasan!Y487</f>
        <v>4.16</v>
      </c>
      <c r="Z488" s="64">
        <f>Ringkasan!Z487</f>
        <v>41032</v>
      </c>
      <c r="AA488" s="64" t="str">
        <f>Ringkasan!AA487</f>
        <v>Processed Foods</v>
      </c>
      <c r="AB488" s="64" t="str">
        <f>Ringkasan!AB487</f>
        <v>Consumer Non-Cyclicals</v>
      </c>
    </row>
    <row r="489" hidden="1">
      <c r="A489" s="64" t="str">
        <f>Ringkasan!A488</f>
        <v>CANI</v>
      </c>
      <c r="B489" s="64" t="str">
        <f>Ringkasan!B488</f>
        <v>Capitol Nusantara Indonesia Tbk.</v>
      </c>
      <c r="C489" s="65">
        <f>Ringkasan!C488</f>
        <v>148</v>
      </c>
      <c r="D489" s="64" t="str">
        <f>Ringkasan!D488</f>
        <v>#N/A</v>
      </c>
      <c r="E489" s="64" t="str">
        <f>Ringkasan!E488</f>
        <v/>
      </c>
      <c r="F489" s="64" t="str">
        <f>Ringkasan!F488</f>
        <v/>
      </c>
      <c r="G489" s="64">
        <f>Ringkasan!G488</f>
        <v>0</v>
      </c>
      <c r="H489" s="19">
        <f>Ringkasan!H488</f>
        <v>-4.1</v>
      </c>
      <c r="I489" s="19">
        <f>Ringkasan!I488</f>
        <v>-0.2</v>
      </c>
      <c r="J489" s="19">
        <f>Ringkasan!J488</f>
        <v>0</v>
      </c>
      <c r="K489" s="19">
        <f>Ringkasan!K488</f>
        <v>-23.7</v>
      </c>
      <c r="L489" s="19">
        <f>Ringkasan!L488</f>
        <v>-1.2</v>
      </c>
      <c r="M489" s="19">
        <f>Ringkasan!M488</f>
        <v>-84.4</v>
      </c>
      <c r="N489" s="64" t="str">
        <f>Ringkasan!N488</f>
        <v/>
      </c>
      <c r="O489" s="64" t="str">
        <f>Ringkasan!O488</f>
        <v/>
      </c>
      <c r="P489" s="64" t="str">
        <f>Ringkasan!P488</f>
        <v/>
      </c>
      <c r="Q489" s="64" t="str">
        <f>Ringkasan!Q488</f>
        <v/>
      </c>
      <c r="R489" s="64" t="str">
        <f>Ringkasan!R488</f>
        <v/>
      </c>
      <c r="S489" s="64" t="str">
        <f>Ringkasan!S488</f>
        <v/>
      </c>
      <c r="T489" s="64" t="str">
        <f>Ringkasan!T488</f>
        <v/>
      </c>
      <c r="U489" s="64">
        <f>Ringkasan!U488</f>
        <v>136</v>
      </c>
      <c r="V489" s="64">
        <f>Ringkasan!V488</f>
        <v>8.82</v>
      </c>
      <c r="W489" s="64">
        <f>Ringkasan!W488</f>
        <v>136</v>
      </c>
      <c r="X489" s="64">
        <f>Ringkasan!X488</f>
        <v>148</v>
      </c>
      <c r="Y489" s="64">
        <f>Ringkasan!Y488</f>
        <v>136</v>
      </c>
      <c r="Z489" s="64">
        <f>Ringkasan!Z488</f>
        <v>106300</v>
      </c>
      <c r="AA489" s="64" t="str">
        <f>Ringkasan!AA488</f>
        <v>Coal</v>
      </c>
      <c r="AB489" s="64" t="str">
        <f>Ringkasan!AB488</f>
        <v>Energy</v>
      </c>
    </row>
    <row r="490" hidden="1">
      <c r="A490" s="64" t="str">
        <f>Ringkasan!A489</f>
        <v>CARE</v>
      </c>
      <c r="B490" s="64" t="str">
        <f>Ringkasan!B489</f>
        <v>Metro Healthcare Indonesia Tbk.</v>
      </c>
      <c r="C490" s="65">
        <f>Ringkasan!C489</f>
        <v>406</v>
      </c>
      <c r="D490" s="64" t="str">
        <f>Ringkasan!D489</f>
        <v>#N/A</v>
      </c>
      <c r="E490" s="64" t="str">
        <f>Ringkasan!E489</f>
        <v/>
      </c>
      <c r="F490" s="64" t="str">
        <f>Ringkasan!F489</f>
        <v/>
      </c>
      <c r="G490" s="64">
        <f>Ringkasan!G489</f>
        <v>0</v>
      </c>
      <c r="H490" s="19">
        <f>Ringkasan!H489</f>
        <v>400</v>
      </c>
      <c r="I490" s="19">
        <f>Ringkasan!I489</f>
        <v>4.5</v>
      </c>
      <c r="J490" s="19">
        <f>Ringkasan!J489</f>
        <v>1.1</v>
      </c>
      <c r="K490" s="19">
        <f>Ringkasan!K489</f>
        <v>0.82</v>
      </c>
      <c r="L490" s="19">
        <f>Ringkasan!L489</f>
        <v>0.38</v>
      </c>
      <c r="M490" s="19">
        <f>Ringkasan!M489</f>
        <v>28.4</v>
      </c>
      <c r="N490" s="64" t="str">
        <f>Ringkasan!N489</f>
        <v/>
      </c>
      <c r="O490" s="64" t="str">
        <f>Ringkasan!O489</f>
        <v/>
      </c>
      <c r="P490" s="64" t="str">
        <f>Ringkasan!P489</f>
        <v/>
      </c>
      <c r="Q490" s="64" t="str">
        <f>Ringkasan!Q489</f>
        <v/>
      </c>
      <c r="R490" s="64" t="str">
        <f>Ringkasan!R489</f>
        <v/>
      </c>
      <c r="S490" s="64" t="str">
        <f>Ringkasan!S489</f>
        <v/>
      </c>
      <c r="T490" s="64" t="str">
        <f>Ringkasan!T489</f>
        <v/>
      </c>
      <c r="U490" s="64">
        <f>Ringkasan!U489</f>
        <v>29.56</v>
      </c>
      <c r="V490" s="64">
        <f>Ringkasan!V489</f>
        <v>1.07</v>
      </c>
      <c r="W490" s="64" t="str">
        <f>Ringkasan!W489</f>
        <v/>
      </c>
      <c r="X490" s="64">
        <f>Ringkasan!X489</f>
        <v>29.99</v>
      </c>
      <c r="Y490" s="64">
        <f>Ringkasan!Y489</f>
        <v>29.39</v>
      </c>
      <c r="Z490" s="64">
        <f>Ringkasan!Z489</f>
        <v>447721</v>
      </c>
      <c r="AA490" s="64" t="str">
        <f>Ringkasan!AA489</f>
        <v>Healthcare Providers</v>
      </c>
      <c r="AB490" s="64" t="str">
        <f>Ringkasan!AB489</f>
        <v>Healthcare</v>
      </c>
    </row>
    <row r="491" hidden="1">
      <c r="A491" s="64" t="str">
        <f>Ringkasan!A490</f>
        <v>CARS</v>
      </c>
      <c r="B491" s="64" t="str">
        <f>Ringkasan!B490</f>
        <v>PT Industri dan Perdagangan Bintraco Dharma Tbk</v>
      </c>
      <c r="C491" s="65">
        <f>Ringkasan!C490</f>
        <v>89</v>
      </c>
      <c r="D491" s="64" t="str">
        <f>Ringkasan!D490</f>
        <v>#N/A</v>
      </c>
      <c r="E491" s="64" t="str">
        <f>Ringkasan!E490</f>
        <v>ESGSKEHATI</v>
      </c>
      <c r="F491" s="66">
        <f>Ringkasan!F490</f>
        <v>46356</v>
      </c>
      <c r="G491" s="65">
        <f>Ringkasan!G490</f>
        <v>1</v>
      </c>
      <c r="H491" s="19">
        <f>Ringkasan!H490</f>
        <v>9.3</v>
      </c>
      <c r="I491" s="19">
        <f>Ringkasan!I490</f>
        <v>1</v>
      </c>
      <c r="J491" s="19">
        <f>Ringkasan!J490</f>
        <v>10.8</v>
      </c>
      <c r="K491" s="19">
        <f>Ringkasan!K490</f>
        <v>5</v>
      </c>
      <c r="L491" s="19">
        <f>Ringkasan!L490</f>
        <v>1.1</v>
      </c>
      <c r="M491" s="19">
        <f>Ringkasan!M490</f>
        <v>13.2</v>
      </c>
      <c r="N491" s="64" t="str">
        <f>Ringkasan!N490</f>
        <v/>
      </c>
      <c r="O491" s="64" t="str">
        <f>Ringkasan!O490</f>
        <v/>
      </c>
      <c r="P491" s="64" t="str">
        <f>Ringkasan!P490</f>
        <v/>
      </c>
      <c r="Q491" s="64" t="str">
        <f>Ringkasan!Q490</f>
        <v/>
      </c>
      <c r="R491" s="64" t="str">
        <f>Ringkasan!R490</f>
        <v/>
      </c>
      <c r="S491" s="64" t="str">
        <f>Ringkasan!S490</f>
        <v/>
      </c>
      <c r="T491" s="64" t="str">
        <f>Ringkasan!T490</f>
        <v/>
      </c>
      <c r="U491" s="64">
        <f>Ringkasan!U490</f>
        <v>9.56</v>
      </c>
      <c r="V491" s="64">
        <f>Ringkasan!V490</f>
        <v>-0.84</v>
      </c>
      <c r="W491" s="64">
        <f>Ringkasan!W490</f>
        <v>9.53</v>
      </c>
      <c r="X491" s="64">
        <f>Ringkasan!X490</f>
        <v>9.62</v>
      </c>
      <c r="Y491" s="64">
        <f>Ringkasan!Y490</f>
        <v>9.41</v>
      </c>
      <c r="Z491" s="64">
        <f>Ringkasan!Z490</f>
        <v>772627</v>
      </c>
      <c r="AA491" s="64" t="str">
        <f>Ringkasan!AA490</f>
        <v>Specialty Retail</v>
      </c>
      <c r="AB491" s="64" t="str">
        <f>Ringkasan!AB490</f>
        <v>Consumer Cyclicals</v>
      </c>
    </row>
    <row r="492" hidden="1">
      <c r="A492" s="64" t="str">
        <f>Ringkasan!A491</f>
        <v>CASA</v>
      </c>
      <c r="B492" s="64" t="str">
        <f>Ringkasan!B491</f>
        <v>Capital Financial Indonesia Tbk.</v>
      </c>
      <c r="C492" s="65">
        <f>Ringkasan!C491</f>
        <v>1535</v>
      </c>
      <c r="D492" s="64" t="str">
        <f>Ringkasan!D491</f>
        <v>#N/A</v>
      </c>
      <c r="E492" s="64" t="str">
        <f>Ringkasan!E491</f>
        <v/>
      </c>
      <c r="F492" s="64" t="str">
        <f>Ringkasan!F491</f>
        <v/>
      </c>
      <c r="G492" s="64">
        <f>Ringkasan!G491</f>
        <v>0</v>
      </c>
      <c r="H492" s="19">
        <f>Ringkasan!H491</f>
        <v>590</v>
      </c>
      <c r="I492" s="19">
        <f>Ringkasan!I491</f>
        <v>7.1</v>
      </c>
      <c r="J492" s="19">
        <f>Ringkasan!J491</f>
        <v>1.2</v>
      </c>
      <c r="K492" s="19">
        <f>Ringkasan!K491</f>
        <v>0.36</v>
      </c>
      <c r="L492" s="19">
        <f>Ringkasan!L491</f>
        <v>2.2</v>
      </c>
      <c r="M492" s="19">
        <f>Ringkasan!M491</f>
        <v>11.1</v>
      </c>
      <c r="N492" s="64" t="str">
        <f>Ringkasan!N491</f>
        <v/>
      </c>
      <c r="O492" s="64" t="str">
        <f>Ringkasan!O491</f>
        <v/>
      </c>
      <c r="P492" s="64" t="str">
        <f>Ringkasan!P491</f>
        <v/>
      </c>
      <c r="Q492" s="64" t="str">
        <f>Ringkasan!Q491</f>
        <v/>
      </c>
      <c r="R492" s="64" t="str">
        <f>Ringkasan!R491</f>
        <v/>
      </c>
      <c r="S492" s="64" t="str">
        <f>Ringkasan!S491</f>
        <v/>
      </c>
      <c r="T492" s="64" t="str">
        <f>Ringkasan!T491</f>
        <v/>
      </c>
      <c r="U492" s="64">
        <f>Ringkasan!U491</f>
        <v>0.1</v>
      </c>
      <c r="V492" s="64">
        <f>Ringkasan!V491</f>
        <v>-5.26</v>
      </c>
      <c r="W492" s="64">
        <f>Ringkasan!W491</f>
        <v>0.1</v>
      </c>
      <c r="X492" s="64">
        <f>Ringkasan!X491</f>
        <v>0.1</v>
      </c>
      <c r="Y492" s="64">
        <f>Ringkasan!Y491</f>
        <v>0.09</v>
      </c>
      <c r="Z492" s="64">
        <f>Ringkasan!Z491</f>
        <v>38600</v>
      </c>
      <c r="AA492" s="64" t="str">
        <f>Ringkasan!AA491</f>
        <v>Holding &amp; Investment Companies</v>
      </c>
      <c r="AB492" s="64" t="str">
        <f>Ringkasan!AB491</f>
        <v>Financials</v>
      </c>
    </row>
    <row r="493" hidden="1">
      <c r="A493" s="64" t="str">
        <f>Ringkasan!A492</f>
        <v>CASH</v>
      </c>
      <c r="B493" s="64" t="str">
        <f>Ringkasan!B492</f>
        <v>Cashlez Worldwide Indonesia Tbk.</v>
      </c>
      <c r="C493" s="65">
        <f>Ringkasan!C492</f>
        <v>177</v>
      </c>
      <c r="D493" s="64" t="str">
        <f>Ringkasan!D492</f>
        <v>#N/A</v>
      </c>
      <c r="E493" s="64" t="str">
        <f>Ringkasan!E492</f>
        <v/>
      </c>
      <c r="F493" s="64" t="str">
        <f>Ringkasan!F492</f>
        <v/>
      </c>
      <c r="G493" s="64">
        <f>Ringkasan!G492</f>
        <v>0</v>
      </c>
      <c r="H493" s="19">
        <f>Ringkasan!H492</f>
        <v>-4.5</v>
      </c>
      <c r="I493" s="19">
        <f>Ringkasan!I492</f>
        <v>4.9</v>
      </c>
      <c r="J493" s="19">
        <f>Ringkasan!J492</f>
        <v>-110</v>
      </c>
      <c r="K493" s="19">
        <f>Ringkasan!K492</f>
        <v>-25.1</v>
      </c>
      <c r="L493" s="19">
        <f>Ringkasan!L492</f>
        <v>3.4</v>
      </c>
      <c r="M493" s="19">
        <f>Ringkasan!M492</f>
        <v>-61.8</v>
      </c>
      <c r="N493" s="64" t="str">
        <f>Ringkasan!N492</f>
        <v/>
      </c>
      <c r="O493" s="64" t="str">
        <f>Ringkasan!O492</f>
        <v/>
      </c>
      <c r="P493" s="64" t="str">
        <f>Ringkasan!P492</f>
        <v/>
      </c>
      <c r="Q493" s="64" t="str">
        <f>Ringkasan!Q492</f>
        <v/>
      </c>
      <c r="R493" s="64" t="str">
        <f>Ringkasan!R492</f>
        <v/>
      </c>
      <c r="S493" s="64" t="str">
        <f>Ringkasan!S492</f>
        <v/>
      </c>
      <c r="T493" s="64" t="str">
        <f>Ringkasan!T492</f>
        <v/>
      </c>
      <c r="U493" s="64">
        <f>Ringkasan!U492</f>
        <v>82.91</v>
      </c>
      <c r="V493" s="64">
        <f>Ringkasan!V492</f>
        <v>1.52</v>
      </c>
      <c r="W493" s="64">
        <f>Ringkasan!W492</f>
        <v>83.49</v>
      </c>
      <c r="X493" s="64">
        <f>Ringkasan!X492</f>
        <v>85.26</v>
      </c>
      <c r="Y493" s="64">
        <f>Ringkasan!Y492</f>
        <v>82.93</v>
      </c>
      <c r="Z493" s="64">
        <f>Ringkasan!Z492</f>
        <v>278081</v>
      </c>
      <c r="AA493" s="64" t="str">
        <f>Ringkasan!AA492</f>
        <v>Online Applications &amp; Services</v>
      </c>
      <c r="AB493" s="64" t="str">
        <f>Ringkasan!AB492</f>
        <v>Technology</v>
      </c>
    </row>
    <row r="494" hidden="1">
      <c r="A494" s="64" t="str">
        <f>Ringkasan!A493</f>
        <v>CASS</v>
      </c>
      <c r="B494" s="64" t="str">
        <f>Ringkasan!B493</f>
        <v>Cahaya Aero Services Tbk.</v>
      </c>
      <c r="C494" s="65">
        <f>Ringkasan!C493</f>
        <v>1785</v>
      </c>
      <c r="D494" s="64" t="str">
        <f>Ringkasan!D493</f>
        <v>#N/A</v>
      </c>
      <c r="E494" s="64" t="str">
        <f>Ringkasan!E493</f>
        <v/>
      </c>
      <c r="F494" s="64" t="str">
        <f>Ringkasan!F493</f>
        <v/>
      </c>
      <c r="G494" s="65">
        <f>Ringkasan!G493</f>
        <v>0</v>
      </c>
      <c r="H494" s="19">
        <f>Ringkasan!H493</f>
        <v>8.1</v>
      </c>
      <c r="I494" s="19">
        <f>Ringkasan!I493</f>
        <v>1.5</v>
      </c>
      <c r="J494" s="19">
        <f>Ringkasan!J493</f>
        <v>18.7</v>
      </c>
      <c r="K494" s="19">
        <f>Ringkasan!K493</f>
        <v>13.8</v>
      </c>
      <c r="L494" s="19">
        <f>Ringkasan!L493</f>
        <v>0.35</v>
      </c>
      <c r="M494" s="19">
        <f>Ringkasan!M493</f>
        <v>58.1</v>
      </c>
      <c r="N494" s="64" t="str">
        <f>Ringkasan!N493</f>
        <v/>
      </c>
      <c r="O494" s="64" t="str">
        <f>Ringkasan!O493</f>
        <v/>
      </c>
      <c r="P494" s="64" t="str">
        <f>Ringkasan!P493</f>
        <v/>
      </c>
      <c r="Q494" s="64" t="str">
        <f>Ringkasan!Q493</f>
        <v/>
      </c>
      <c r="R494" s="64" t="str">
        <f>Ringkasan!R493</f>
        <v/>
      </c>
      <c r="S494" s="64" t="str">
        <f>Ringkasan!S493</f>
        <v/>
      </c>
      <c r="T494" s="64" t="str">
        <f>Ringkasan!T493</f>
        <v/>
      </c>
      <c r="U494" s="64">
        <f>Ringkasan!U493</f>
        <v>49.44</v>
      </c>
      <c r="V494" s="64">
        <f>Ringkasan!V493</f>
        <v>0.02</v>
      </c>
      <c r="W494" s="64">
        <f>Ringkasan!W493</f>
        <v>49.1</v>
      </c>
      <c r="X494" s="64">
        <f>Ringkasan!X493</f>
        <v>49.85</v>
      </c>
      <c r="Y494" s="64">
        <f>Ringkasan!Y493</f>
        <v>48.02</v>
      </c>
      <c r="Z494" s="64">
        <f>Ringkasan!Z493</f>
        <v>122653</v>
      </c>
      <c r="AA494" s="64" t="str">
        <f>Ringkasan!AA493</f>
        <v>Transport Infrastructure Operator</v>
      </c>
      <c r="AB494" s="64" t="str">
        <f>Ringkasan!AB493</f>
        <v>Infrastructures</v>
      </c>
    </row>
    <row r="495" hidden="1">
      <c r="A495" s="64" t="str">
        <f>Ringkasan!A494</f>
        <v>CBDK</v>
      </c>
      <c r="B495" s="64" t="str">
        <f>Ringkasan!B494</f>
        <v>Bangun Kosambi Sukses Tbk.</v>
      </c>
      <c r="C495" s="65">
        <f>Ringkasan!C494</f>
        <v>3760</v>
      </c>
      <c r="D495" s="64" t="str">
        <f>Ringkasan!D494</f>
        <v>#N/A</v>
      </c>
      <c r="E495" s="64" t="str">
        <f>Ringkasan!E494</f>
        <v>Kompas100</v>
      </c>
      <c r="F495" s="64" t="str">
        <f>Ringkasan!F494</f>
        <v>31 Juli 2026</v>
      </c>
      <c r="G495" s="64">
        <f>Ringkasan!G494</f>
        <v>2</v>
      </c>
      <c r="H495" s="19">
        <f>Ringkasan!H494</f>
        <v>12.3</v>
      </c>
      <c r="I495" s="19">
        <f>Ringkasan!I494</f>
        <v>1.8</v>
      </c>
      <c r="J495" s="19">
        <f>Ringkasan!J494</f>
        <v>14.2</v>
      </c>
      <c r="K495" s="19">
        <f>Ringkasan!K494</f>
        <v>7.9</v>
      </c>
      <c r="L495" s="19">
        <f>Ringkasan!L494</f>
        <v>0.8</v>
      </c>
      <c r="M495" s="19">
        <f>Ringkasan!M494</f>
        <v>240</v>
      </c>
      <c r="N495" s="64" t="str">
        <f>Ringkasan!N494</f>
        <v/>
      </c>
      <c r="O495" s="64" t="str">
        <f>Ringkasan!O494</f>
        <v/>
      </c>
      <c r="P495" s="64" t="str">
        <f>Ringkasan!P494</f>
        <v/>
      </c>
      <c r="Q495" s="64" t="str">
        <f>Ringkasan!Q494</f>
        <v/>
      </c>
      <c r="R495" s="64" t="str">
        <f>Ringkasan!R494</f>
        <v/>
      </c>
      <c r="S495" s="64" t="str">
        <f>Ringkasan!S494</f>
        <v/>
      </c>
      <c r="T495" s="64" t="str">
        <f>Ringkasan!T494</f>
        <v/>
      </c>
      <c r="U495" s="64">
        <f>Ringkasan!U494</f>
        <v>3320</v>
      </c>
      <c r="V495" s="64">
        <f>Ringkasan!V494</f>
        <v>13.25</v>
      </c>
      <c r="W495" s="64">
        <f>Ringkasan!W494</f>
        <v>3320</v>
      </c>
      <c r="X495" s="64">
        <f>Ringkasan!X494</f>
        <v>3780</v>
      </c>
      <c r="Y495" s="64">
        <f>Ringkasan!Y494</f>
        <v>3320</v>
      </c>
      <c r="Z495" s="64">
        <f>Ringkasan!Z494</f>
        <v>3534200</v>
      </c>
      <c r="AA495" s="64" t="str">
        <f>Ringkasan!AA494</f>
        <v>Real Estate Management &amp; Development</v>
      </c>
      <c r="AB495" s="64" t="str">
        <f>Ringkasan!AB494</f>
        <v>Properties &amp; Real Estate</v>
      </c>
    </row>
    <row r="496" hidden="1">
      <c r="A496" s="64" t="str">
        <f>Ringkasan!A495</f>
        <v>CBDK</v>
      </c>
      <c r="B496" s="64" t="str">
        <f>Ringkasan!B495</f>
        <v>Bangun Kosambi Sukses Tbk.</v>
      </c>
      <c r="C496" s="65">
        <f>Ringkasan!C495</f>
        <v>3760</v>
      </c>
      <c r="D496" s="64" t="str">
        <f>Ringkasan!D495</f>
        <v>#N/A</v>
      </c>
      <c r="E496" s="64" t="str">
        <f>Ringkasan!E495</f>
        <v>IDX80</v>
      </c>
      <c r="F496" s="64" t="str">
        <f>Ringkasan!F495</f>
        <v>31 Juli 2026</v>
      </c>
      <c r="G496" s="65">
        <f>Ringkasan!G495</f>
        <v>2</v>
      </c>
      <c r="H496" s="19">
        <f>Ringkasan!H495</f>
        <v>12.3</v>
      </c>
      <c r="I496" s="19">
        <f>Ringkasan!I495</f>
        <v>1.8</v>
      </c>
      <c r="J496" s="19">
        <f>Ringkasan!J495</f>
        <v>14.2</v>
      </c>
      <c r="K496" s="19">
        <f>Ringkasan!K495</f>
        <v>7.9</v>
      </c>
      <c r="L496" s="19">
        <f>Ringkasan!L495</f>
        <v>0.8</v>
      </c>
      <c r="M496" s="19">
        <f>Ringkasan!M495</f>
        <v>240</v>
      </c>
      <c r="N496" s="64" t="str">
        <f>Ringkasan!N495</f>
        <v/>
      </c>
      <c r="O496" s="64" t="str">
        <f>Ringkasan!O495</f>
        <v/>
      </c>
      <c r="P496" s="64" t="str">
        <f>Ringkasan!P495</f>
        <v/>
      </c>
      <c r="Q496" s="64" t="str">
        <f>Ringkasan!Q495</f>
        <v/>
      </c>
      <c r="R496" s="64" t="str">
        <f>Ringkasan!R495</f>
        <v/>
      </c>
      <c r="S496" s="64" t="str">
        <f>Ringkasan!S495</f>
        <v/>
      </c>
      <c r="T496" s="64" t="str">
        <f>Ringkasan!T495</f>
        <v/>
      </c>
      <c r="U496" s="64">
        <f>Ringkasan!U495</f>
        <v>3320</v>
      </c>
      <c r="V496" s="64">
        <f>Ringkasan!V495</f>
        <v>13.25</v>
      </c>
      <c r="W496" s="64">
        <f>Ringkasan!W495</f>
        <v>3320</v>
      </c>
      <c r="X496" s="64">
        <f>Ringkasan!X495</f>
        <v>3780</v>
      </c>
      <c r="Y496" s="64">
        <f>Ringkasan!Y495</f>
        <v>3320</v>
      </c>
      <c r="Z496" s="64">
        <f>Ringkasan!Z495</f>
        <v>3534200</v>
      </c>
      <c r="AA496" s="64" t="str">
        <f>Ringkasan!AA495</f>
        <v>Real Estate Management &amp; Development</v>
      </c>
      <c r="AB496" s="64" t="str">
        <f>Ringkasan!AB495</f>
        <v>Properties &amp; Real Estate</v>
      </c>
    </row>
    <row r="497" hidden="1">
      <c r="A497" s="64" t="str">
        <f>Ringkasan!A496</f>
        <v>CBMF</v>
      </c>
      <c r="B497" s="64" t="str">
        <f>Ringkasan!B496</f>
        <v>Cahaya Bintang Medan Tbk.</v>
      </c>
      <c r="C497" s="65">
        <f>Ringkasan!C496</f>
        <v>50</v>
      </c>
      <c r="D497" s="64" t="str">
        <f>Ringkasan!D496</f>
        <v>#N/A</v>
      </c>
      <c r="E497" s="64" t="str">
        <f>Ringkasan!E496</f>
        <v/>
      </c>
      <c r="F497" s="64" t="str">
        <f>Ringkasan!F496</f>
        <v/>
      </c>
      <c r="G497" s="64">
        <f>Ringkasan!G496</f>
        <v>0</v>
      </c>
      <c r="H497" s="19">
        <f>Ringkasan!H496</f>
        <v>0</v>
      </c>
      <c r="I497" s="19">
        <f>Ringkasan!I496</f>
        <v>0.39</v>
      </c>
      <c r="J497" s="19">
        <f>Ringkasan!J496</f>
        <v>-5.8</v>
      </c>
      <c r="K497" s="19">
        <f>Ringkasan!K496</f>
        <v>-3.9</v>
      </c>
      <c r="L497" s="19">
        <f>Ringkasan!L496</f>
        <v>0.5</v>
      </c>
      <c r="M497" s="19">
        <f>Ringkasan!M496</f>
        <v>-450</v>
      </c>
      <c r="N497" s="64" t="str">
        <f>Ringkasan!N496</f>
        <v/>
      </c>
      <c r="O497" s="64" t="str">
        <f>Ringkasan!O496</f>
        <v/>
      </c>
      <c r="P497" s="64" t="str">
        <f>Ringkasan!P496</f>
        <v/>
      </c>
      <c r="Q497" s="64" t="str">
        <f>Ringkasan!Q496</f>
        <v/>
      </c>
      <c r="R497" s="64" t="str">
        <f>Ringkasan!R496</f>
        <v/>
      </c>
      <c r="S497" s="64" t="str">
        <f>Ringkasan!S496</f>
        <v/>
      </c>
      <c r="T497" s="64" t="str">
        <f>Ringkasan!T496</f>
        <v/>
      </c>
      <c r="U497" s="64">
        <f>Ringkasan!U496</f>
        <v>50</v>
      </c>
      <c r="V497" s="64">
        <f>Ringkasan!V496</f>
        <v>0</v>
      </c>
      <c r="W497" s="64" t="str">
        <f>Ringkasan!W496</f>
        <v/>
      </c>
      <c r="X497" s="64" t="str">
        <f>Ringkasan!X496</f>
        <v/>
      </c>
      <c r="Y497" s="64" t="str">
        <f>Ringkasan!Y496</f>
        <v/>
      </c>
      <c r="Z497" s="64">
        <f>Ringkasan!Z496</f>
        <v>0</v>
      </c>
      <c r="AA497" s="64" t="str">
        <f>Ringkasan!AA496</f>
        <v>Household Goods</v>
      </c>
      <c r="AB497" s="64" t="str">
        <f>Ringkasan!AB496</f>
        <v>Consumer Cyclicals</v>
      </c>
    </row>
    <row r="498" hidden="1">
      <c r="A498" s="64" t="str">
        <f>Ringkasan!A497</f>
        <v>CBPE</v>
      </c>
      <c r="B498" s="64" t="str">
        <f>Ringkasan!B497</f>
        <v>PT Citra Buana Prasida Tbk</v>
      </c>
      <c r="C498" s="65">
        <f>Ringkasan!C497</f>
        <v>260</v>
      </c>
      <c r="D498" s="64" t="str">
        <f>Ringkasan!D497</f>
        <v>#N/A</v>
      </c>
      <c r="E498" s="64" t="str">
        <f>Ringkasan!E497</f>
        <v/>
      </c>
      <c r="F498" s="64" t="str">
        <f>Ringkasan!F497</f>
        <v/>
      </c>
      <c r="G498" s="65">
        <f>Ringkasan!G497</f>
        <v>0</v>
      </c>
      <c r="H498" s="19">
        <f>Ringkasan!H497</f>
        <v>6.7</v>
      </c>
      <c r="I498" s="19">
        <f>Ringkasan!I497</f>
        <v>1.2</v>
      </c>
      <c r="J498" s="19">
        <f>Ringkasan!J497</f>
        <v>17.5</v>
      </c>
      <c r="K498" s="19">
        <f>Ringkasan!K497</f>
        <v>15.3</v>
      </c>
      <c r="L498" s="19">
        <f>Ringkasan!L497</f>
        <v>0.15</v>
      </c>
      <c r="M498" s="19">
        <f>Ringkasan!M497</f>
        <v>190</v>
      </c>
      <c r="N498" s="64" t="str">
        <f>Ringkasan!N497</f>
        <v/>
      </c>
      <c r="O498" s="64" t="str">
        <f>Ringkasan!O497</f>
        <v/>
      </c>
      <c r="P498" s="64" t="str">
        <f>Ringkasan!P497</f>
        <v/>
      </c>
      <c r="Q498" s="64" t="str">
        <f>Ringkasan!Q497</f>
        <v/>
      </c>
      <c r="R498" s="64" t="str">
        <f>Ringkasan!R497</f>
        <v/>
      </c>
      <c r="S498" s="64" t="str">
        <f>Ringkasan!S497</f>
        <v/>
      </c>
      <c r="T498" s="64" t="str">
        <f>Ringkasan!T497</f>
        <v/>
      </c>
      <c r="U498" s="64">
        <f>Ringkasan!U497</f>
        <v>262</v>
      </c>
      <c r="V498" s="64">
        <f>Ringkasan!V497</f>
        <v>-0.76</v>
      </c>
      <c r="W498" s="64">
        <f>Ringkasan!W497</f>
        <v>262</v>
      </c>
      <c r="X498" s="64">
        <f>Ringkasan!X497</f>
        <v>268</v>
      </c>
      <c r="Y498" s="64">
        <f>Ringkasan!Y497</f>
        <v>260</v>
      </c>
      <c r="Z498" s="64" t="str">
        <f>Ringkasan!Z497</f>
        <v/>
      </c>
      <c r="AA498" s="64" t="str">
        <f>Ringkasan!AA497</f>
        <v>Real Estate Management &amp; Development</v>
      </c>
      <c r="AB498" s="64" t="str">
        <f>Ringkasan!AB497</f>
        <v>Properties &amp; Real Estate</v>
      </c>
    </row>
    <row r="499" hidden="1">
      <c r="A499" s="64" t="str">
        <f>Ringkasan!A498</f>
        <v>CBRE</v>
      </c>
      <c r="B499" s="64" t="str">
        <f>Ringkasan!B498</f>
        <v>PT Cakra Buana Resources Energi Tbk</v>
      </c>
      <c r="C499" s="65">
        <f>Ringkasan!C498</f>
        <v>695</v>
      </c>
      <c r="D499" s="64" t="str">
        <f>Ringkasan!D498</f>
        <v>#N/A</v>
      </c>
      <c r="E499" s="64" t="str">
        <f>Ringkasan!E498</f>
        <v/>
      </c>
      <c r="F499" s="64" t="str">
        <f>Ringkasan!F498</f>
        <v/>
      </c>
      <c r="G499" s="64">
        <f>Ringkasan!G498</f>
        <v>0</v>
      </c>
      <c r="H499" s="19">
        <f>Ringkasan!H498</f>
        <v>-57.9</v>
      </c>
      <c r="I499" s="19">
        <f>Ringkasan!I498</f>
        <v>70.4</v>
      </c>
      <c r="J499" s="19">
        <f>Ringkasan!J498</f>
        <v>-120</v>
      </c>
      <c r="K499" s="19">
        <f>Ringkasan!K498</f>
        <v>-3.2</v>
      </c>
      <c r="L499" s="19">
        <f>Ringkasan!L498</f>
        <v>36.8</v>
      </c>
      <c r="M499" s="19">
        <f>Ringkasan!M498</f>
        <v>-96.7</v>
      </c>
      <c r="N499" s="64" t="str">
        <f>Ringkasan!N498</f>
        <v/>
      </c>
      <c r="O499" s="64" t="str">
        <f>Ringkasan!O498</f>
        <v/>
      </c>
      <c r="P499" s="64" t="str">
        <f>Ringkasan!P498</f>
        <v/>
      </c>
      <c r="Q499" s="64" t="str">
        <f>Ringkasan!Q498</f>
        <v/>
      </c>
      <c r="R499" s="64" t="str">
        <f>Ringkasan!R498</f>
        <v/>
      </c>
      <c r="S499" s="64" t="str">
        <f>Ringkasan!S498</f>
        <v/>
      </c>
      <c r="T499" s="64" t="str">
        <f>Ringkasan!T498</f>
        <v/>
      </c>
      <c r="U499" s="64">
        <f>Ringkasan!U498</f>
        <v>131.91</v>
      </c>
      <c r="V499" s="64">
        <f>Ringkasan!V498</f>
        <v>1.14</v>
      </c>
      <c r="W499" s="64">
        <f>Ringkasan!W498</f>
        <v>132.46</v>
      </c>
      <c r="X499" s="64">
        <f>Ringkasan!X498</f>
        <v>134.6</v>
      </c>
      <c r="Y499" s="64">
        <f>Ringkasan!Y498</f>
        <v>131.95</v>
      </c>
      <c r="Z499" s="64">
        <f>Ringkasan!Z498</f>
        <v>1134574</v>
      </c>
      <c r="AA499" s="64" t="str">
        <f>Ringkasan!AA498</f>
        <v>Coal</v>
      </c>
      <c r="AB499" s="64" t="str">
        <f>Ringkasan!AB498</f>
        <v>Energy</v>
      </c>
    </row>
    <row r="500" hidden="1">
      <c r="A500" s="64" t="str">
        <f>Ringkasan!A499</f>
        <v>CBUT</v>
      </c>
      <c r="B500" s="64" t="str">
        <f>Ringkasan!B499</f>
        <v>Citra Borneo Utama Tbk.</v>
      </c>
      <c r="C500" s="65">
        <f>Ringkasan!C499</f>
        <v>540</v>
      </c>
      <c r="D500" s="64" t="str">
        <f>Ringkasan!D499</f>
        <v>#N/A</v>
      </c>
      <c r="E500" s="64" t="str">
        <f>Ringkasan!E499</f>
        <v/>
      </c>
      <c r="F500" s="64" t="str">
        <f>Ringkasan!F499</f>
        <v/>
      </c>
      <c r="G500" s="64">
        <f>Ringkasan!G499</f>
        <v>0</v>
      </c>
      <c r="H500" s="19">
        <f>Ringkasan!H499</f>
        <v>17</v>
      </c>
      <c r="I500" s="19">
        <f>Ringkasan!I499</f>
        <v>1.6</v>
      </c>
      <c r="J500" s="19">
        <f>Ringkasan!J499</f>
        <v>9.5</v>
      </c>
      <c r="K500" s="19">
        <f>Ringkasan!K499</f>
        <v>2.8</v>
      </c>
      <c r="L500" s="19">
        <f>Ringkasan!L499</f>
        <v>2.5</v>
      </c>
      <c r="M500" s="19">
        <f>Ringkasan!M499</f>
        <v>3.3</v>
      </c>
      <c r="N500" s="64" t="str">
        <f>Ringkasan!N499</f>
        <v/>
      </c>
      <c r="O500" s="64" t="str">
        <f>Ringkasan!O499</f>
        <v/>
      </c>
      <c r="P500" s="64" t="str">
        <f>Ringkasan!P499</f>
        <v/>
      </c>
      <c r="Q500" s="64" t="str">
        <f>Ringkasan!Q499</f>
        <v/>
      </c>
      <c r="R500" s="64" t="str">
        <f>Ringkasan!R499</f>
        <v/>
      </c>
      <c r="S500" s="64" t="str">
        <f>Ringkasan!S499</f>
        <v/>
      </c>
      <c r="T500" s="64" t="str">
        <f>Ringkasan!T499</f>
        <v/>
      </c>
      <c r="U500" s="64">
        <f>Ringkasan!U499</f>
        <v>464</v>
      </c>
      <c r="V500" s="64">
        <f>Ringkasan!V499</f>
        <v>16.38</v>
      </c>
      <c r="W500" s="64">
        <f>Ringkasan!W499</f>
        <v>474</v>
      </c>
      <c r="X500" s="64">
        <f>Ringkasan!X499</f>
        <v>580</v>
      </c>
      <c r="Y500" s="64">
        <f>Ringkasan!Y499</f>
        <v>474</v>
      </c>
      <c r="Z500" s="64">
        <f>Ringkasan!Z499</f>
        <v>2062200</v>
      </c>
      <c r="AA500" s="64" t="str">
        <f>Ringkasan!AA499</f>
        <v>Agricultural Products</v>
      </c>
      <c r="AB500" s="64" t="str">
        <f>Ringkasan!AB499</f>
        <v>Consumer Non-Cyclicals</v>
      </c>
    </row>
    <row r="501" hidden="1">
      <c r="A501" s="64" t="str">
        <f>Ringkasan!A500</f>
        <v>CCSI</v>
      </c>
      <c r="B501" s="64" t="str">
        <f>Ringkasan!B500</f>
        <v>Communication Cable Systems Indonesia Tbk.</v>
      </c>
      <c r="C501" s="65">
        <f>Ringkasan!C500</f>
        <v>244</v>
      </c>
      <c r="D501" s="64" t="str">
        <f>Ringkasan!D500</f>
        <v>#N/A</v>
      </c>
      <c r="E501" s="64" t="str">
        <f>Ringkasan!E500</f>
        <v/>
      </c>
      <c r="F501" s="64" t="str">
        <f>Ringkasan!F500</f>
        <v/>
      </c>
      <c r="G501" s="64">
        <f>Ringkasan!G500</f>
        <v>0</v>
      </c>
      <c r="H501" s="19">
        <f>Ringkasan!H500</f>
        <v>40.4</v>
      </c>
      <c r="I501" s="19">
        <f>Ringkasan!I500</f>
        <v>0.6</v>
      </c>
      <c r="J501" s="19">
        <f>Ringkasan!J500</f>
        <v>1.5</v>
      </c>
      <c r="K501" s="19">
        <f>Ringkasan!K500</f>
        <v>1.1</v>
      </c>
      <c r="L501" s="19">
        <f>Ringkasan!L500</f>
        <v>0.37</v>
      </c>
      <c r="M501" s="19">
        <f>Ringkasan!M500</f>
        <v>10.8</v>
      </c>
      <c r="N501" s="64" t="str">
        <f>Ringkasan!N500</f>
        <v/>
      </c>
      <c r="O501" s="64" t="str">
        <f>Ringkasan!O500</f>
        <v/>
      </c>
      <c r="P501" s="64" t="str">
        <f>Ringkasan!P500</f>
        <v/>
      </c>
      <c r="Q501" s="64" t="str">
        <f>Ringkasan!Q500</f>
        <v/>
      </c>
      <c r="R501" s="64" t="str">
        <f>Ringkasan!R500</f>
        <v/>
      </c>
      <c r="S501" s="64" t="str">
        <f>Ringkasan!S500</f>
        <v/>
      </c>
      <c r="T501" s="64" t="str">
        <f>Ringkasan!T500</f>
        <v/>
      </c>
      <c r="U501" s="64">
        <f>Ringkasan!U500</f>
        <v>34.9</v>
      </c>
      <c r="V501" s="64">
        <f>Ringkasan!V500</f>
        <v>-0.26</v>
      </c>
      <c r="W501" s="64">
        <f>Ringkasan!W500</f>
        <v>34.7</v>
      </c>
      <c r="X501" s="64">
        <f>Ringkasan!X500</f>
        <v>35.62</v>
      </c>
      <c r="Y501" s="64">
        <f>Ringkasan!Y500</f>
        <v>34.23</v>
      </c>
      <c r="Z501" s="64">
        <f>Ringkasan!Z500</f>
        <v>112879</v>
      </c>
      <c r="AA501" s="64" t="str">
        <f>Ringkasan!AA500</f>
        <v>Electrical</v>
      </c>
      <c r="AB501" s="64" t="str">
        <f>Ringkasan!AB500</f>
        <v>Industrials</v>
      </c>
    </row>
    <row r="502" hidden="1">
      <c r="A502" s="64" t="str">
        <f>Ringkasan!A501</f>
        <v>CDIA</v>
      </c>
      <c r="B502" s="64" t="str">
        <f>Ringkasan!B501</f>
        <v>Chandra Daya Investasi Tbk.</v>
      </c>
      <c r="C502" s="65">
        <f>Ringkasan!C501</f>
        <v>690</v>
      </c>
      <c r="D502" s="64" t="str">
        <f>Ringkasan!D501</f>
        <v>#N/A</v>
      </c>
      <c r="E502" s="64" t="str">
        <f>Ringkasan!E501</f>
        <v/>
      </c>
      <c r="F502" s="64" t="str">
        <f>Ringkasan!F501</f>
        <v/>
      </c>
      <c r="G502" s="64">
        <f>Ringkasan!G501</f>
        <v>0</v>
      </c>
      <c r="H502" s="19">
        <f>Ringkasan!H501</f>
        <v>62.6</v>
      </c>
      <c r="I502" s="19">
        <f>Ringkasan!I501</f>
        <v>5.5</v>
      </c>
      <c r="J502" s="19">
        <f>Ringkasan!J501</f>
        <v>8.8</v>
      </c>
      <c r="K502" s="19">
        <f>Ringkasan!K501</f>
        <v>5.2</v>
      </c>
      <c r="L502" s="19">
        <f>Ringkasan!L501</f>
        <v>0.68</v>
      </c>
      <c r="M502" s="19">
        <f>Ringkasan!M501</f>
        <v>240</v>
      </c>
      <c r="N502" s="64" t="str">
        <f>Ringkasan!N501</f>
        <v/>
      </c>
      <c r="O502" s="64" t="str">
        <f>Ringkasan!O501</f>
        <v/>
      </c>
      <c r="P502" s="64" t="str">
        <f>Ringkasan!P501</f>
        <v/>
      </c>
      <c r="Q502" s="64" t="str">
        <f>Ringkasan!Q501</f>
        <v/>
      </c>
      <c r="R502" s="64" t="str">
        <f>Ringkasan!R501</f>
        <v/>
      </c>
      <c r="S502" s="64" t="str">
        <f>Ringkasan!S501</f>
        <v/>
      </c>
      <c r="T502" s="64" t="str">
        <f>Ringkasan!T501</f>
        <v/>
      </c>
      <c r="U502" s="64">
        <f>Ringkasan!U501</f>
        <v>655</v>
      </c>
      <c r="V502" s="64">
        <f>Ringkasan!V501</f>
        <v>5.34</v>
      </c>
      <c r="W502" s="64">
        <f>Ringkasan!W501</f>
        <v>675</v>
      </c>
      <c r="X502" s="64">
        <f>Ringkasan!X501</f>
        <v>710</v>
      </c>
      <c r="Y502" s="64">
        <f>Ringkasan!Y501</f>
        <v>670</v>
      </c>
      <c r="Z502" s="64">
        <f>Ringkasan!Z501</f>
        <v>61257800</v>
      </c>
      <c r="AA502" s="64" t="str">
        <f>Ringkasan!AA501</f>
        <v>Electric Utilities</v>
      </c>
      <c r="AB502" s="64" t="str">
        <f>Ringkasan!AB501</f>
        <v>Infrastructures</v>
      </c>
    </row>
    <row r="503" hidden="1">
      <c r="A503" s="64" t="str">
        <f>Ringkasan!A502</f>
        <v>CEKA</v>
      </c>
      <c r="B503" s="64" t="str">
        <f>Ringkasan!B502</f>
        <v>Wilmar Cahaya Indonesia Tbk.</v>
      </c>
      <c r="C503" s="65">
        <f>Ringkasan!C502</f>
        <v>2240</v>
      </c>
      <c r="D503" s="64" t="str">
        <f>Ringkasan!D502</f>
        <v>#N/A</v>
      </c>
      <c r="E503" s="64" t="str">
        <f>Ringkasan!E502</f>
        <v/>
      </c>
      <c r="F503" s="64" t="str">
        <f>Ringkasan!F502</f>
        <v/>
      </c>
      <c r="G503" s="64">
        <f>Ringkasan!G502</f>
        <v>0</v>
      </c>
      <c r="H503" s="19">
        <f>Ringkasan!H502</f>
        <v>8</v>
      </c>
      <c r="I503" s="19">
        <f>Ringkasan!I502</f>
        <v>0.64</v>
      </c>
      <c r="J503" s="19">
        <f>Ringkasan!J502</f>
        <v>8.1</v>
      </c>
      <c r="K503" s="19">
        <f>Ringkasan!K502</f>
        <v>6.3</v>
      </c>
      <c r="L503" s="19">
        <f>Ringkasan!L502</f>
        <v>0.28</v>
      </c>
      <c r="M503" s="19">
        <f>Ringkasan!M502</f>
        <v>7</v>
      </c>
      <c r="N503" s="64" t="str">
        <f>Ringkasan!N502</f>
        <v/>
      </c>
      <c r="O503" s="64" t="str">
        <f>Ringkasan!O502</f>
        <v/>
      </c>
      <c r="P503" s="64" t="str">
        <f>Ringkasan!P502</f>
        <v/>
      </c>
      <c r="Q503" s="64" t="str">
        <f>Ringkasan!Q502</f>
        <v/>
      </c>
      <c r="R503" s="64" t="str">
        <f>Ringkasan!R502</f>
        <v/>
      </c>
      <c r="S503" s="64" t="str">
        <f>Ringkasan!S502</f>
        <v/>
      </c>
      <c r="T503" s="64" t="str">
        <f>Ringkasan!T502</f>
        <v/>
      </c>
      <c r="U503" s="64">
        <f>Ringkasan!U502</f>
        <v>2210</v>
      </c>
      <c r="V503" s="64">
        <f>Ringkasan!V502</f>
        <v>1.36</v>
      </c>
      <c r="W503" s="64">
        <f>Ringkasan!W502</f>
        <v>2200</v>
      </c>
      <c r="X503" s="64">
        <f>Ringkasan!X502</f>
        <v>2260</v>
      </c>
      <c r="Y503" s="64">
        <f>Ringkasan!Y502</f>
        <v>2200</v>
      </c>
      <c r="Z503" s="64" t="str">
        <f>Ringkasan!Z502</f>
        <v/>
      </c>
      <c r="AA503" s="64" t="str">
        <f>Ringkasan!AA502</f>
        <v>Processed Foods</v>
      </c>
      <c r="AB503" s="64" t="str">
        <f>Ringkasan!AB502</f>
        <v>Consumer Non-Cyclicals</v>
      </c>
    </row>
    <row r="504" hidden="1">
      <c r="A504" s="64" t="str">
        <f>Ringkasan!A503</f>
        <v>CENT</v>
      </c>
      <c r="B504" s="64" t="str">
        <f>Ringkasan!B503</f>
        <v>PT Centratama Telekomunikasi Indonesia Tbk.</v>
      </c>
      <c r="C504" s="65">
        <f>Ringkasan!C503</f>
        <v>78</v>
      </c>
      <c r="D504" s="64" t="str">
        <f>Ringkasan!D503</f>
        <v>#N/A</v>
      </c>
      <c r="E504" s="64" t="str">
        <f>Ringkasan!E503</f>
        <v/>
      </c>
      <c r="F504" s="64" t="str">
        <f>Ringkasan!F503</f>
        <v/>
      </c>
      <c r="G504" s="64">
        <f>Ringkasan!G503</f>
        <v>0</v>
      </c>
      <c r="H504" s="19">
        <f>Ringkasan!H503</f>
        <v>-1.3</v>
      </c>
      <c r="I504" s="19">
        <f>Ringkasan!I503</f>
        <v>0.68</v>
      </c>
      <c r="J504" s="19">
        <f>Ringkasan!J503</f>
        <v>-51.3</v>
      </c>
      <c r="K504" s="19">
        <f>Ringkasan!K503</f>
        <v>-6.7</v>
      </c>
      <c r="L504" s="19">
        <f>Ringkasan!L503</f>
        <v>6.6</v>
      </c>
      <c r="M504" s="19">
        <f>Ringkasan!M503</f>
        <v>-74.9</v>
      </c>
      <c r="N504" s="64" t="str">
        <f>Ringkasan!N503</f>
        <v/>
      </c>
      <c r="O504" s="64" t="str">
        <f>Ringkasan!O503</f>
        <v/>
      </c>
      <c r="P504" s="64" t="str">
        <f>Ringkasan!P503</f>
        <v/>
      </c>
      <c r="Q504" s="64" t="str">
        <f>Ringkasan!Q503</f>
        <v/>
      </c>
      <c r="R504" s="64" t="str">
        <f>Ringkasan!R503</f>
        <v/>
      </c>
      <c r="S504" s="64" t="str">
        <f>Ringkasan!S503</f>
        <v/>
      </c>
      <c r="T504" s="64" t="str">
        <f>Ringkasan!T503</f>
        <v/>
      </c>
      <c r="U504" s="64">
        <f>Ringkasan!U503</f>
        <v>42.38</v>
      </c>
      <c r="V504" s="64">
        <f>Ringkasan!V503</f>
        <v>1.11</v>
      </c>
      <c r="W504" s="64">
        <f>Ringkasan!W503</f>
        <v>42.69</v>
      </c>
      <c r="X504" s="64">
        <f>Ringkasan!X503</f>
        <v>43.17</v>
      </c>
      <c r="Y504" s="64">
        <f>Ringkasan!Y503</f>
        <v>41.96</v>
      </c>
      <c r="Z504" s="64">
        <f>Ringkasan!Z503</f>
        <v>69518</v>
      </c>
      <c r="AA504" s="64" t="str">
        <f>Ringkasan!AA503</f>
        <v>Wireless Telecommunication Services</v>
      </c>
      <c r="AB504" s="64" t="str">
        <f>Ringkasan!AB503</f>
        <v>Infrastructures</v>
      </c>
    </row>
    <row r="505" hidden="1">
      <c r="A505" s="64" t="str">
        <f>Ringkasan!A504</f>
        <v>CFIN</v>
      </c>
      <c r="B505" s="64" t="str">
        <f>Ringkasan!B504</f>
        <v>Clipan Finance Indonesia Tbk.</v>
      </c>
      <c r="C505" s="65">
        <f>Ringkasan!C504</f>
        <v>326</v>
      </c>
      <c r="D505" s="64" t="str">
        <f>Ringkasan!D504</f>
        <v>#N/A</v>
      </c>
      <c r="E505" s="64" t="str">
        <f>Ringkasan!E504</f>
        <v/>
      </c>
      <c r="F505" s="64" t="str">
        <f>Ringkasan!F504</f>
        <v/>
      </c>
      <c r="G505" s="64">
        <f>Ringkasan!G504</f>
        <v>0</v>
      </c>
      <c r="H505" s="19">
        <f>Ringkasan!H504</f>
        <v>5.7</v>
      </c>
      <c r="I505" s="19">
        <f>Ringkasan!I504</f>
        <v>0.23</v>
      </c>
      <c r="J505" s="19">
        <f>Ringkasan!J504</f>
        <v>4.1</v>
      </c>
      <c r="K505" s="19">
        <f>Ringkasan!K504</f>
        <v>2.5</v>
      </c>
      <c r="L505" s="19">
        <f>Ringkasan!L504</f>
        <v>0.64</v>
      </c>
      <c r="M505" s="19">
        <f>Ringkasan!M504</f>
        <v>76.1</v>
      </c>
      <c r="N505" s="64" t="str">
        <f>Ringkasan!N504</f>
        <v/>
      </c>
      <c r="O505" s="64" t="str">
        <f>Ringkasan!O504</f>
        <v/>
      </c>
      <c r="P505" s="64" t="str">
        <f>Ringkasan!P504</f>
        <v/>
      </c>
      <c r="Q505" s="64" t="str">
        <f>Ringkasan!Q504</f>
        <v/>
      </c>
      <c r="R505" s="64" t="str">
        <f>Ringkasan!R504</f>
        <v/>
      </c>
      <c r="S505" s="64" t="str">
        <f>Ringkasan!S504</f>
        <v/>
      </c>
      <c r="T505" s="64" t="str">
        <f>Ringkasan!T504</f>
        <v/>
      </c>
      <c r="U505" s="64">
        <f>Ringkasan!U504</f>
        <v>320</v>
      </c>
      <c r="V505" s="64">
        <f>Ringkasan!V504</f>
        <v>1.88</v>
      </c>
      <c r="W505" s="64">
        <f>Ringkasan!W504</f>
        <v>320</v>
      </c>
      <c r="X505" s="64">
        <f>Ringkasan!X504</f>
        <v>328</v>
      </c>
      <c r="Y505" s="64">
        <f>Ringkasan!Y504</f>
        <v>320</v>
      </c>
      <c r="Z505" s="64">
        <f>Ringkasan!Z504</f>
        <v>592100</v>
      </c>
      <c r="AA505" s="64" t="str">
        <f>Ringkasan!AA504</f>
        <v>Consumer Financing</v>
      </c>
      <c r="AB505" s="64" t="str">
        <f>Ringkasan!AB504</f>
        <v>Financials</v>
      </c>
    </row>
    <row r="506" hidden="1">
      <c r="A506" s="64" t="str">
        <f>Ringkasan!A505</f>
        <v>CGAS</v>
      </c>
      <c r="B506" s="64" t="str">
        <f>Ringkasan!B505</f>
        <v>Citra Nusantara Gemilang Tbk.</v>
      </c>
      <c r="C506" s="65">
        <f>Ringkasan!C505</f>
        <v>155</v>
      </c>
      <c r="D506" s="64" t="str">
        <f>Ringkasan!D505</f>
        <v>#N/A</v>
      </c>
      <c r="E506" s="64" t="str">
        <f>Ringkasan!E505</f>
        <v/>
      </c>
      <c r="F506" s="64" t="str">
        <f>Ringkasan!F505</f>
        <v/>
      </c>
      <c r="G506" s="64">
        <f>Ringkasan!G505</f>
        <v>0</v>
      </c>
      <c r="H506" s="19">
        <f>Ringkasan!H505</f>
        <v>17.2</v>
      </c>
      <c r="I506" s="19">
        <f>Ringkasan!I505</f>
        <v>1.1</v>
      </c>
      <c r="J506" s="19">
        <f>Ringkasan!J505</f>
        <v>6.2</v>
      </c>
      <c r="K506" s="19">
        <f>Ringkasan!K505</f>
        <v>4.2</v>
      </c>
      <c r="L506" s="19">
        <f>Ringkasan!L505</f>
        <v>0.48</v>
      </c>
      <c r="M506" s="19">
        <f>Ringkasan!M505</f>
        <v>10.3</v>
      </c>
      <c r="N506" s="64" t="str">
        <f>Ringkasan!N505</f>
        <v/>
      </c>
      <c r="O506" s="64" t="str">
        <f>Ringkasan!O505</f>
        <v/>
      </c>
      <c r="P506" s="64" t="str">
        <f>Ringkasan!P505</f>
        <v/>
      </c>
      <c r="Q506" s="64" t="str">
        <f>Ringkasan!Q505</f>
        <v/>
      </c>
      <c r="R506" s="64" t="str">
        <f>Ringkasan!R505</f>
        <v/>
      </c>
      <c r="S506" s="64" t="str">
        <f>Ringkasan!S505</f>
        <v/>
      </c>
      <c r="T506" s="64" t="str">
        <f>Ringkasan!T505</f>
        <v/>
      </c>
      <c r="U506" s="64">
        <f>Ringkasan!U505</f>
        <v>150</v>
      </c>
      <c r="V506" s="64">
        <f>Ringkasan!V505</f>
        <v>3.33</v>
      </c>
      <c r="W506" s="64">
        <f>Ringkasan!W505</f>
        <v>150</v>
      </c>
      <c r="X506" s="64">
        <f>Ringkasan!X505</f>
        <v>158</v>
      </c>
      <c r="Y506" s="64">
        <f>Ringkasan!Y505</f>
        <v>150</v>
      </c>
      <c r="Z506" s="64">
        <f>Ringkasan!Z505</f>
        <v>3503200</v>
      </c>
      <c r="AA506" s="64" t="str">
        <f>Ringkasan!AA505</f>
        <v>Oil &amp; Gas</v>
      </c>
      <c r="AB506" s="64" t="str">
        <f>Ringkasan!AB505</f>
        <v>Energy</v>
      </c>
    </row>
    <row r="507" hidden="1">
      <c r="A507" s="64" t="str">
        <f>Ringkasan!A506</f>
        <v>CHEK</v>
      </c>
      <c r="B507" s="64" t="str">
        <f>Ringkasan!B506</f>
        <v>Diastika Biotekindo Tbk.</v>
      </c>
      <c r="C507" s="65">
        <f>Ringkasan!C506</f>
        <v>118</v>
      </c>
      <c r="D507" s="64" t="str">
        <f>Ringkasan!D506</f>
        <v>#N/A</v>
      </c>
      <c r="E507" s="64" t="str">
        <f>Ringkasan!E506</f>
        <v/>
      </c>
      <c r="F507" s="64" t="str">
        <f>Ringkasan!F506</f>
        <v/>
      </c>
      <c r="G507" s="64">
        <f>Ringkasan!G506</f>
        <v>0</v>
      </c>
      <c r="H507" s="19">
        <f>Ringkasan!H506</f>
        <v>39.7</v>
      </c>
      <c r="I507" s="19">
        <f>Ringkasan!I506</f>
        <v>2.4</v>
      </c>
      <c r="J507" s="19">
        <f>Ringkasan!J506</f>
        <v>6</v>
      </c>
      <c r="K507" s="19">
        <f>Ringkasan!K506</f>
        <v>5.1</v>
      </c>
      <c r="L507" s="19">
        <f>Ringkasan!L506</f>
        <v>0.17</v>
      </c>
      <c r="M507" s="19">
        <f>Ringkasan!M506</f>
        <v>34</v>
      </c>
      <c r="N507" s="64" t="str">
        <f>Ringkasan!N506</f>
        <v/>
      </c>
      <c r="O507" s="64" t="str">
        <f>Ringkasan!O506</f>
        <v/>
      </c>
      <c r="P507" s="64" t="str">
        <f>Ringkasan!P506</f>
        <v/>
      </c>
      <c r="Q507" s="64" t="str">
        <f>Ringkasan!Q506</f>
        <v/>
      </c>
      <c r="R507" s="64" t="str">
        <f>Ringkasan!R506</f>
        <v/>
      </c>
      <c r="S507" s="64" t="str">
        <f>Ringkasan!S506</f>
        <v/>
      </c>
      <c r="T507" s="64" t="str">
        <f>Ringkasan!T506</f>
        <v/>
      </c>
      <c r="U507" s="64">
        <f>Ringkasan!U506</f>
        <v>117</v>
      </c>
      <c r="V507" s="64">
        <f>Ringkasan!V506</f>
        <v>0.85</v>
      </c>
      <c r="W507" s="64">
        <f>Ringkasan!W506</f>
        <v>119</v>
      </c>
      <c r="X507" s="64">
        <f>Ringkasan!X506</f>
        <v>120</v>
      </c>
      <c r="Y507" s="64">
        <f>Ringkasan!Y506</f>
        <v>117</v>
      </c>
      <c r="Z507" s="64">
        <f>Ringkasan!Z506</f>
        <v>685300</v>
      </c>
      <c r="AA507" s="64" t="str">
        <f>Ringkasan!AA506</f>
        <v>Healthcare Equipment &amp; Supplies</v>
      </c>
      <c r="AB507" s="64" t="str">
        <f>Ringkasan!AB506</f>
        <v>Healthcare</v>
      </c>
    </row>
    <row r="508" hidden="1">
      <c r="A508" s="64" t="str">
        <f>Ringkasan!A507</f>
        <v>CHEM</v>
      </c>
      <c r="B508" s="64" t="str">
        <f>Ringkasan!B507</f>
        <v>Chemstar Indonesia Tbk.</v>
      </c>
      <c r="C508" s="65">
        <f>Ringkasan!C507</f>
        <v>62</v>
      </c>
      <c r="D508" s="64" t="str">
        <f>Ringkasan!D507</f>
        <v>#N/A</v>
      </c>
      <c r="E508" s="64" t="str">
        <f>Ringkasan!E507</f>
        <v/>
      </c>
      <c r="F508" s="64" t="str">
        <f>Ringkasan!F507</f>
        <v/>
      </c>
      <c r="G508" s="64">
        <f>Ringkasan!G507</f>
        <v>0</v>
      </c>
      <c r="H508" s="19">
        <f>Ringkasan!H507</f>
        <v>-93.7</v>
      </c>
      <c r="I508" s="19">
        <f>Ringkasan!I507</f>
        <v>1</v>
      </c>
      <c r="J508" s="19">
        <f>Ringkasan!J507</f>
        <v>-1.1</v>
      </c>
      <c r="K508" s="19">
        <f>Ringkasan!K507</f>
        <v>-0.67</v>
      </c>
      <c r="L508" s="19">
        <f>Ringkasan!L507</f>
        <v>0.65</v>
      </c>
      <c r="M508" s="19">
        <f>Ringkasan!M507</f>
        <v>-2.8</v>
      </c>
      <c r="N508" s="64" t="str">
        <f>Ringkasan!N507</f>
        <v/>
      </c>
      <c r="O508" s="64" t="str">
        <f>Ringkasan!O507</f>
        <v/>
      </c>
      <c r="P508" s="64" t="str">
        <f>Ringkasan!P507</f>
        <v/>
      </c>
      <c r="Q508" s="64" t="str">
        <f>Ringkasan!Q507</f>
        <v/>
      </c>
      <c r="R508" s="64" t="str">
        <f>Ringkasan!R507</f>
        <v/>
      </c>
      <c r="S508" s="64" t="str">
        <f>Ringkasan!S507</f>
        <v/>
      </c>
      <c r="T508" s="64" t="str">
        <f>Ringkasan!T507</f>
        <v/>
      </c>
      <c r="U508" s="64">
        <f>Ringkasan!U507</f>
        <v>59</v>
      </c>
      <c r="V508" s="64">
        <f>Ringkasan!V507</f>
        <v>5.08</v>
      </c>
      <c r="W508" s="64">
        <f>Ringkasan!W507</f>
        <v>59</v>
      </c>
      <c r="X508" s="64">
        <f>Ringkasan!X507</f>
        <v>63</v>
      </c>
      <c r="Y508" s="64">
        <f>Ringkasan!Y507</f>
        <v>59</v>
      </c>
      <c r="Z508" s="64">
        <f>Ringkasan!Z507</f>
        <v>7886700</v>
      </c>
      <c r="AA508" s="64" t="str">
        <f>Ringkasan!AA507</f>
        <v>Chemicals</v>
      </c>
      <c r="AB508" s="64" t="str">
        <f>Ringkasan!AB507</f>
        <v>Basic Materials</v>
      </c>
    </row>
    <row r="509" hidden="1">
      <c r="A509" s="64" t="str">
        <f>Ringkasan!A508</f>
        <v>CHIP</v>
      </c>
      <c r="B509" s="64" t="str">
        <f>Ringkasan!B508</f>
        <v>PT Pelita Teknologi Global Tbk</v>
      </c>
      <c r="C509" s="65">
        <f>Ringkasan!C508</f>
        <v>945</v>
      </c>
      <c r="D509" s="64" t="str">
        <f>Ringkasan!D508</f>
        <v>#N/A</v>
      </c>
      <c r="E509" s="64" t="str">
        <f>Ringkasan!E508</f>
        <v/>
      </c>
      <c r="F509" s="64" t="str">
        <f>Ringkasan!F508</f>
        <v/>
      </c>
      <c r="G509" s="64">
        <f>Ringkasan!G508</f>
        <v>0</v>
      </c>
      <c r="H509" s="19">
        <f>Ringkasan!H508</f>
        <v>170</v>
      </c>
      <c r="I509" s="19">
        <f>Ringkasan!I508</f>
        <v>11.4</v>
      </c>
      <c r="J509" s="19">
        <f>Ringkasan!J508</f>
        <v>6.8</v>
      </c>
      <c r="K509" s="19">
        <f>Ringkasan!K508</f>
        <v>4</v>
      </c>
      <c r="L509" s="19">
        <f>Ringkasan!L508</f>
        <v>0.69</v>
      </c>
      <c r="M509" s="19">
        <f>Ringkasan!M508</f>
        <v>3.4</v>
      </c>
      <c r="N509" s="64" t="str">
        <f>Ringkasan!N508</f>
        <v/>
      </c>
      <c r="O509" s="64" t="str">
        <f>Ringkasan!O508</f>
        <v/>
      </c>
      <c r="P509" s="64" t="str">
        <f>Ringkasan!P508</f>
        <v/>
      </c>
      <c r="Q509" s="64" t="str">
        <f>Ringkasan!Q508</f>
        <v/>
      </c>
      <c r="R509" s="64" t="str">
        <f>Ringkasan!R508</f>
        <v/>
      </c>
      <c r="S509" s="64" t="str">
        <f>Ringkasan!S508</f>
        <v/>
      </c>
      <c r="T509" s="64" t="str">
        <f>Ringkasan!T508</f>
        <v/>
      </c>
      <c r="U509" s="64">
        <f>Ringkasan!U508</f>
        <v>11.81</v>
      </c>
      <c r="V509" s="64">
        <f>Ringkasan!V508</f>
        <v>1.23</v>
      </c>
      <c r="W509" s="64">
        <f>Ringkasan!W508</f>
        <v>12.1</v>
      </c>
      <c r="X509" s="64">
        <f>Ringkasan!X508</f>
        <v>12.1</v>
      </c>
      <c r="Y509" s="64">
        <f>Ringkasan!Y508</f>
        <v>11.94</v>
      </c>
      <c r="Z509" s="64">
        <f>Ringkasan!Z508</f>
        <v>590</v>
      </c>
      <c r="AA509" s="64" t="str">
        <f>Ringkasan!AA508</f>
        <v>Electronic Equipment, Instruments &amp; Components</v>
      </c>
      <c r="AB509" s="64" t="str">
        <f>Ringkasan!AB508</f>
        <v>Technology</v>
      </c>
    </row>
    <row r="510" hidden="1">
      <c r="A510" s="64" t="str">
        <f>Ringkasan!A509</f>
        <v>CINT</v>
      </c>
      <c r="B510" s="64" t="str">
        <f>Ringkasan!B509</f>
        <v>Chitose Internasional Tbk.</v>
      </c>
      <c r="C510" s="65">
        <f>Ringkasan!C509</f>
        <v>168</v>
      </c>
      <c r="D510" s="64" t="str">
        <f>Ringkasan!D509</f>
        <v>#N/A</v>
      </c>
      <c r="E510" s="64" t="str">
        <f>Ringkasan!E509</f>
        <v/>
      </c>
      <c r="F510" s="64" t="str">
        <f>Ringkasan!F509</f>
        <v/>
      </c>
      <c r="G510" s="64">
        <f>Ringkasan!G509</f>
        <v>0</v>
      </c>
      <c r="H510" s="19">
        <f>Ringkasan!H509</f>
        <v>5.7</v>
      </c>
      <c r="I510" s="19">
        <f>Ringkasan!I509</f>
        <v>0.53</v>
      </c>
      <c r="J510" s="19">
        <f>Ringkasan!J509</f>
        <v>9.3</v>
      </c>
      <c r="K510" s="19">
        <f>Ringkasan!K509</f>
        <v>6.5</v>
      </c>
      <c r="L510" s="19">
        <f>Ringkasan!L509</f>
        <v>0.42</v>
      </c>
      <c r="M510" s="19">
        <f>Ringkasan!M509</f>
        <v>26.4</v>
      </c>
      <c r="N510" s="64" t="str">
        <f>Ringkasan!N509</f>
        <v/>
      </c>
      <c r="O510" s="64" t="str">
        <f>Ringkasan!O509</f>
        <v/>
      </c>
      <c r="P510" s="64" t="str">
        <f>Ringkasan!P509</f>
        <v/>
      </c>
      <c r="Q510" s="64" t="str">
        <f>Ringkasan!Q509</f>
        <v/>
      </c>
      <c r="R510" s="64" t="str">
        <f>Ringkasan!R509</f>
        <v/>
      </c>
      <c r="S510" s="64" t="str">
        <f>Ringkasan!S509</f>
        <v/>
      </c>
      <c r="T510" s="64" t="str">
        <f>Ringkasan!T509</f>
        <v/>
      </c>
      <c r="U510" s="64">
        <f>Ringkasan!U509</f>
        <v>4.08</v>
      </c>
      <c r="V510" s="64">
        <f>Ringkasan!V509</f>
        <v>-0.98</v>
      </c>
      <c r="W510" s="64">
        <f>Ringkasan!W509</f>
        <v>4.05</v>
      </c>
      <c r="X510" s="64">
        <f>Ringkasan!X509</f>
        <v>4.08</v>
      </c>
      <c r="Y510" s="64">
        <f>Ringkasan!Y509</f>
        <v>3.97</v>
      </c>
      <c r="Z510" s="64">
        <f>Ringkasan!Z509</f>
        <v>114789</v>
      </c>
      <c r="AA510" s="64" t="str">
        <f>Ringkasan!AA509</f>
        <v>Household Goods</v>
      </c>
      <c r="AB510" s="64" t="str">
        <f>Ringkasan!AB509</f>
        <v>Consumer Cyclicals</v>
      </c>
    </row>
    <row r="511" hidden="1">
      <c r="A511" s="64" t="str">
        <f>Ringkasan!A510</f>
        <v>CITA</v>
      </c>
      <c r="B511" s="64" t="str">
        <f>Ringkasan!B510</f>
        <v>Cita Mineral Investindo Tbk.</v>
      </c>
      <c r="C511" s="65">
        <f>Ringkasan!C510</f>
        <v>2910</v>
      </c>
      <c r="D511" s="64" t="str">
        <f>Ringkasan!D510</f>
        <v>#N/A</v>
      </c>
      <c r="E511" s="64" t="str">
        <f>Ringkasan!E510</f>
        <v/>
      </c>
      <c r="F511" s="64" t="str">
        <f>Ringkasan!F510</f>
        <v/>
      </c>
      <c r="G511" s="65">
        <f>Ringkasan!G510</f>
        <v>0</v>
      </c>
      <c r="H511" s="19">
        <f>Ringkasan!H510</f>
        <v>7.5</v>
      </c>
      <c r="I511" s="19">
        <f>Ringkasan!I510</f>
        <v>1.4</v>
      </c>
      <c r="J511" s="19">
        <f>Ringkasan!J510</f>
        <v>18.3</v>
      </c>
      <c r="K511" s="19">
        <f>Ringkasan!K510</f>
        <v>17.5</v>
      </c>
      <c r="L511" s="19">
        <f>Ringkasan!L510</f>
        <v>0.04</v>
      </c>
      <c r="M511" s="19">
        <f>Ringkasan!M510</f>
        <v>200</v>
      </c>
      <c r="N511" s="64" t="str">
        <f>Ringkasan!N510</f>
        <v/>
      </c>
      <c r="O511" s="64" t="str">
        <f>Ringkasan!O510</f>
        <v/>
      </c>
      <c r="P511" s="64" t="str">
        <f>Ringkasan!P510</f>
        <v/>
      </c>
      <c r="Q511" s="64" t="str">
        <f>Ringkasan!Q510</f>
        <v/>
      </c>
      <c r="R511" s="64" t="str">
        <f>Ringkasan!R510</f>
        <v/>
      </c>
      <c r="S511" s="64" t="str">
        <f>Ringkasan!S510</f>
        <v/>
      </c>
      <c r="T511" s="64" t="str">
        <f>Ringkasan!T510</f>
        <v/>
      </c>
      <c r="U511" s="64">
        <f>Ringkasan!U510</f>
        <v>2770</v>
      </c>
      <c r="V511" s="64">
        <f>Ringkasan!V510</f>
        <v>5.05</v>
      </c>
      <c r="W511" s="64">
        <f>Ringkasan!W510</f>
        <v>2820</v>
      </c>
      <c r="X511" s="64">
        <f>Ringkasan!X510</f>
        <v>3050</v>
      </c>
      <c r="Y511" s="64">
        <f>Ringkasan!Y510</f>
        <v>2820</v>
      </c>
      <c r="Z511" s="64">
        <f>Ringkasan!Z510</f>
        <v>637700</v>
      </c>
      <c r="AA511" s="64" t="str">
        <f>Ringkasan!AA510</f>
        <v>Metals &amp; Minerals</v>
      </c>
      <c r="AB511" s="64" t="str">
        <f>Ringkasan!AB510</f>
        <v>Basic Materials</v>
      </c>
    </row>
    <row r="512" hidden="1">
      <c r="A512" s="64" t="str">
        <f>Ringkasan!A511</f>
        <v>CITY</v>
      </c>
      <c r="B512" s="64" t="str">
        <f>Ringkasan!B511</f>
        <v>Natura City Developments Tbk.</v>
      </c>
      <c r="C512" s="65">
        <f>Ringkasan!C511</f>
        <v>132</v>
      </c>
      <c r="D512" s="64" t="str">
        <f>Ringkasan!D511</f>
        <v>#N/A</v>
      </c>
      <c r="E512" s="64" t="str">
        <f>Ringkasan!E511</f>
        <v/>
      </c>
      <c r="F512" s="64" t="str">
        <f>Ringkasan!F511</f>
        <v/>
      </c>
      <c r="G512" s="64">
        <f>Ringkasan!G511</f>
        <v>0</v>
      </c>
      <c r="H512" s="19">
        <f>Ringkasan!H511</f>
        <v>41.8</v>
      </c>
      <c r="I512" s="19">
        <f>Ringkasan!I511</f>
        <v>0.98</v>
      </c>
      <c r="J512" s="19">
        <f>Ringkasan!J511</f>
        <v>2.4</v>
      </c>
      <c r="K512" s="19">
        <f>Ringkasan!K511</f>
        <v>1.8</v>
      </c>
      <c r="L512" s="19">
        <f>Ringkasan!L511</f>
        <v>0.28</v>
      </c>
      <c r="M512" s="19">
        <f>Ringkasan!M511</f>
        <v>49.4</v>
      </c>
      <c r="N512" s="64" t="str">
        <f>Ringkasan!N511</f>
        <v/>
      </c>
      <c r="O512" s="64" t="str">
        <f>Ringkasan!O511</f>
        <v/>
      </c>
      <c r="P512" s="64" t="str">
        <f>Ringkasan!P511</f>
        <v/>
      </c>
      <c r="Q512" s="64" t="str">
        <f>Ringkasan!Q511</f>
        <v/>
      </c>
      <c r="R512" s="64" t="str">
        <f>Ringkasan!R511</f>
        <v/>
      </c>
      <c r="S512" s="64" t="str">
        <f>Ringkasan!S511</f>
        <v/>
      </c>
      <c r="T512" s="64" t="str">
        <f>Ringkasan!T511</f>
        <v/>
      </c>
      <c r="U512" s="64">
        <f>Ringkasan!U511</f>
        <v>10.37</v>
      </c>
      <c r="V512" s="64">
        <f>Ringkasan!V511</f>
        <v>2.7</v>
      </c>
      <c r="W512" s="64">
        <f>Ringkasan!W511</f>
        <v>10.53</v>
      </c>
      <c r="X512" s="64">
        <f>Ringkasan!X511</f>
        <v>10.65</v>
      </c>
      <c r="Y512" s="64">
        <f>Ringkasan!Y511</f>
        <v>10.53</v>
      </c>
      <c r="Z512" s="64">
        <f>Ringkasan!Z511</f>
        <v>16656</v>
      </c>
      <c r="AA512" s="64" t="str">
        <f>Ringkasan!AA511</f>
        <v>Real Estate Management &amp; Development</v>
      </c>
      <c r="AB512" s="64" t="str">
        <f>Ringkasan!AB511</f>
        <v>Properties &amp; Real Estate</v>
      </c>
    </row>
    <row r="513" hidden="1">
      <c r="A513" s="64" t="str">
        <f>Ringkasan!A512</f>
        <v>CLAY</v>
      </c>
      <c r="B513" s="64" t="str">
        <f>Ringkasan!B512</f>
        <v>Citra Putra Realty Tbk.</v>
      </c>
      <c r="C513" s="65">
        <f>Ringkasan!C512</f>
        <v>2750</v>
      </c>
      <c r="D513" s="64" t="str">
        <f>Ringkasan!D512</f>
        <v>#N/A</v>
      </c>
      <c r="E513" s="64" t="str">
        <f>Ringkasan!E512</f>
        <v/>
      </c>
      <c r="F513" s="64" t="str">
        <f>Ringkasan!F512</f>
        <v/>
      </c>
      <c r="G513" s="64">
        <f>Ringkasan!G512</f>
        <v>0</v>
      </c>
      <c r="H513" s="19">
        <f>Ringkasan!H512</f>
        <v>580</v>
      </c>
      <c r="I513" s="19">
        <f>Ringkasan!I512</f>
        <v>400</v>
      </c>
      <c r="J513" s="19">
        <f>Ringkasan!J512</f>
        <v>69.7</v>
      </c>
      <c r="K513" s="19">
        <f>Ringkasan!K512</f>
        <v>2.5</v>
      </c>
      <c r="L513" s="19">
        <f>Ringkasan!L512</f>
        <v>27.2</v>
      </c>
      <c r="M513" s="19">
        <f>Ringkasan!M512</f>
        <v>37.8</v>
      </c>
      <c r="N513" s="64" t="str">
        <f>Ringkasan!N512</f>
        <v/>
      </c>
      <c r="O513" s="64" t="str">
        <f>Ringkasan!O512</f>
        <v/>
      </c>
      <c r="P513" s="64" t="str">
        <f>Ringkasan!P512</f>
        <v/>
      </c>
      <c r="Q513" s="64" t="str">
        <f>Ringkasan!Q512</f>
        <v/>
      </c>
      <c r="R513" s="64" t="str">
        <f>Ringkasan!R512</f>
        <v/>
      </c>
      <c r="S513" s="64" t="str">
        <f>Ringkasan!S512</f>
        <v/>
      </c>
      <c r="T513" s="64" t="str">
        <f>Ringkasan!T512</f>
        <v/>
      </c>
      <c r="U513" s="64">
        <f>Ringkasan!U512</f>
        <v>2700</v>
      </c>
      <c r="V513" s="64">
        <f>Ringkasan!V512</f>
        <v>1.85</v>
      </c>
      <c r="W513" s="64">
        <f>Ringkasan!W512</f>
        <v>2600</v>
      </c>
      <c r="X513" s="64">
        <f>Ringkasan!X512</f>
        <v>2760</v>
      </c>
      <c r="Y513" s="64" t="str">
        <f>Ringkasan!Y512</f>
        <v/>
      </c>
      <c r="Z513" s="64">
        <f>Ringkasan!Z512</f>
        <v>11500</v>
      </c>
      <c r="AA513" s="64" t="str">
        <f>Ringkasan!AA512</f>
        <v>Tourism &amp; Recreation</v>
      </c>
      <c r="AB513" s="64" t="str">
        <f>Ringkasan!AB512</f>
        <v>Consumer Cyclicals</v>
      </c>
    </row>
    <row r="514" hidden="1">
      <c r="A514" s="64" t="str">
        <f>Ringkasan!A513</f>
        <v>CLEO</v>
      </c>
      <c r="B514" s="64" t="str">
        <f>Ringkasan!B513</f>
        <v>Sariguna Primatirta Tbk.</v>
      </c>
      <c r="C514" s="65">
        <f>Ringkasan!C513</f>
        <v>380</v>
      </c>
      <c r="D514" s="64" t="str">
        <f>Ringkasan!D513</f>
        <v>#N/A</v>
      </c>
      <c r="E514" s="64" t="str">
        <f>Ringkasan!E513</f>
        <v>FTSE Micro Cap</v>
      </c>
      <c r="F514" s="64" t="str">
        <f>Ringkasan!F513</f>
        <v>4 Agustus 2026</v>
      </c>
      <c r="G514" s="65">
        <f>Ringkasan!G513</f>
        <v>1</v>
      </c>
      <c r="H514" s="19">
        <f>Ringkasan!H513</f>
        <v>24.2</v>
      </c>
      <c r="I514" s="19">
        <f>Ringkasan!I513</f>
        <v>3.8</v>
      </c>
      <c r="J514" s="19">
        <f>Ringkasan!J513</f>
        <v>15.8</v>
      </c>
      <c r="K514" s="19">
        <f>Ringkasan!K513</f>
        <v>11.8</v>
      </c>
      <c r="L514" s="19">
        <f>Ringkasan!L513</f>
        <v>0.34</v>
      </c>
      <c r="M514" s="19">
        <f>Ringkasan!M513</f>
        <v>49.7</v>
      </c>
      <c r="N514" s="64" t="str">
        <f>Ringkasan!N513</f>
        <v/>
      </c>
      <c r="O514" s="64" t="str">
        <f>Ringkasan!O513</f>
        <v/>
      </c>
      <c r="P514" s="64" t="str">
        <f>Ringkasan!P513</f>
        <v/>
      </c>
      <c r="Q514" s="64" t="str">
        <f>Ringkasan!Q513</f>
        <v/>
      </c>
      <c r="R514" s="64" t="str">
        <f>Ringkasan!R513</f>
        <v/>
      </c>
      <c r="S514" s="64" t="str">
        <f>Ringkasan!S513</f>
        <v/>
      </c>
      <c r="T514" s="64" t="str">
        <f>Ringkasan!T513</f>
        <v/>
      </c>
      <c r="U514" s="64">
        <f>Ringkasan!U513</f>
        <v>1.15</v>
      </c>
      <c r="V514" s="64">
        <f>Ringkasan!V513</f>
        <v>-100</v>
      </c>
      <c r="W514" s="64" t="str">
        <f>Ringkasan!W513</f>
        <v/>
      </c>
      <c r="X514" s="64" t="str">
        <f>Ringkasan!X513</f>
        <v/>
      </c>
      <c r="Y514" s="64" t="str">
        <f>Ringkasan!Y513</f>
        <v/>
      </c>
      <c r="Z514" s="64" t="str">
        <f>Ringkasan!Z513</f>
        <v/>
      </c>
      <c r="AA514" s="64" t="str">
        <f>Ringkasan!AA513</f>
        <v>Beverages</v>
      </c>
      <c r="AB514" s="64" t="str">
        <f>Ringkasan!AB513</f>
        <v>Consumer Non-Cyclicals</v>
      </c>
    </row>
    <row r="515" hidden="1">
      <c r="A515" s="64" t="str">
        <f>Ringkasan!A514</f>
        <v>CLPI</v>
      </c>
      <c r="B515" s="64" t="str">
        <f>Ringkasan!B514</f>
        <v>Colorpak Indonesia Tbk.</v>
      </c>
      <c r="C515" s="65">
        <f>Ringkasan!C514</f>
        <v>1595</v>
      </c>
      <c r="D515" s="64" t="str">
        <f>Ringkasan!D514</f>
        <v>#N/A</v>
      </c>
      <c r="E515" s="64" t="str">
        <f>Ringkasan!E514</f>
        <v/>
      </c>
      <c r="F515" s="64" t="str">
        <f>Ringkasan!F514</f>
        <v/>
      </c>
      <c r="G515" s="64">
        <f>Ringkasan!G514</f>
        <v>0</v>
      </c>
      <c r="H515" s="19">
        <f>Ringkasan!H514</f>
        <v>7.1</v>
      </c>
      <c r="I515" s="19">
        <f>Ringkasan!I514</f>
        <v>0.79</v>
      </c>
      <c r="J515" s="19">
        <f>Ringkasan!J514</f>
        <v>11.2</v>
      </c>
      <c r="K515" s="19">
        <f>Ringkasan!K514</f>
        <v>7.8</v>
      </c>
      <c r="L515" s="19">
        <f>Ringkasan!L514</f>
        <v>0.44</v>
      </c>
      <c r="M515" s="19">
        <f>Ringkasan!M514</f>
        <v>27.4</v>
      </c>
      <c r="N515" s="64" t="str">
        <f>Ringkasan!N514</f>
        <v/>
      </c>
      <c r="O515" s="64" t="str">
        <f>Ringkasan!O514</f>
        <v/>
      </c>
      <c r="P515" s="64" t="str">
        <f>Ringkasan!P514</f>
        <v/>
      </c>
      <c r="Q515" s="64" t="str">
        <f>Ringkasan!Q514</f>
        <v/>
      </c>
      <c r="R515" s="64" t="str">
        <f>Ringkasan!R514</f>
        <v/>
      </c>
      <c r="S515" s="64" t="str">
        <f>Ringkasan!S514</f>
        <v/>
      </c>
      <c r="T515" s="64" t="str">
        <f>Ringkasan!T514</f>
        <v/>
      </c>
      <c r="U515" s="64">
        <f>Ringkasan!U514</f>
        <v>1570</v>
      </c>
      <c r="V515" s="64">
        <f>Ringkasan!V514</f>
        <v>1.59</v>
      </c>
      <c r="W515" s="64">
        <f>Ringkasan!W514</f>
        <v>1560</v>
      </c>
      <c r="X515" s="64">
        <f>Ringkasan!X514</f>
        <v>1615</v>
      </c>
      <c r="Y515" s="64">
        <f>Ringkasan!Y514</f>
        <v>1560</v>
      </c>
      <c r="Z515" s="64">
        <f>Ringkasan!Z514</f>
        <v>195700</v>
      </c>
      <c r="AA515" s="64" t="str">
        <f>Ringkasan!AA514</f>
        <v>Chemicals</v>
      </c>
      <c r="AB515" s="64" t="str">
        <f>Ringkasan!AB514</f>
        <v>Basic Materials</v>
      </c>
    </row>
    <row r="516" hidden="1">
      <c r="A516" s="64" t="str">
        <f>Ringkasan!A515</f>
        <v>CMNP</v>
      </c>
      <c r="B516" s="64" t="str">
        <f>Ringkasan!B515</f>
        <v>Citra Marga Nusaphala Persada Tbk.</v>
      </c>
      <c r="C516" s="65">
        <f>Ringkasan!C515</f>
        <v>1380</v>
      </c>
      <c r="D516" s="64" t="str">
        <f>Ringkasan!D515</f>
        <v>#N/A</v>
      </c>
      <c r="E516" s="64" t="str">
        <f>Ringkasan!E515</f>
        <v/>
      </c>
      <c r="F516" s="64" t="str">
        <f>Ringkasan!F515</f>
        <v/>
      </c>
      <c r="G516" s="64">
        <f>Ringkasan!G515</f>
        <v>0</v>
      </c>
      <c r="H516" s="19">
        <f>Ringkasan!H515</f>
        <v>8.7</v>
      </c>
      <c r="I516" s="19">
        <f>Ringkasan!I515</f>
        <v>0.56</v>
      </c>
      <c r="J516" s="19">
        <f>Ringkasan!J515</f>
        <v>6.4</v>
      </c>
      <c r="K516" s="19">
        <f>Ringkasan!K515</f>
        <v>4.1</v>
      </c>
      <c r="L516" s="19">
        <f>Ringkasan!L515</f>
        <v>0.58</v>
      </c>
      <c r="M516" s="19">
        <f>Ringkasan!M515</f>
        <v>110</v>
      </c>
      <c r="N516" s="64" t="str">
        <f>Ringkasan!N515</f>
        <v/>
      </c>
      <c r="O516" s="64" t="str">
        <f>Ringkasan!O515</f>
        <v/>
      </c>
      <c r="P516" s="64" t="str">
        <f>Ringkasan!P515</f>
        <v/>
      </c>
      <c r="Q516" s="64" t="str">
        <f>Ringkasan!Q515</f>
        <v/>
      </c>
      <c r="R516" s="64" t="str">
        <f>Ringkasan!R515</f>
        <v/>
      </c>
      <c r="S516" s="64" t="str">
        <f>Ringkasan!S515</f>
        <v/>
      </c>
      <c r="T516" s="64" t="str">
        <f>Ringkasan!T515</f>
        <v/>
      </c>
      <c r="U516" s="64">
        <f>Ringkasan!U515</f>
        <v>1395</v>
      </c>
      <c r="V516" s="64">
        <f>Ringkasan!V515</f>
        <v>-1.08</v>
      </c>
      <c r="W516" s="64">
        <f>Ringkasan!W515</f>
        <v>1405</v>
      </c>
      <c r="X516" s="64">
        <f>Ringkasan!X515</f>
        <v>1405</v>
      </c>
      <c r="Y516" s="64">
        <f>Ringkasan!Y515</f>
        <v>1310</v>
      </c>
      <c r="Z516" s="64">
        <f>Ringkasan!Z515</f>
        <v>58200</v>
      </c>
      <c r="AA516" s="64" t="str">
        <f>Ringkasan!AA515</f>
        <v>Transport Infrastructure Operator</v>
      </c>
      <c r="AB516" s="64" t="str">
        <f>Ringkasan!AB515</f>
        <v>Infrastructures</v>
      </c>
    </row>
    <row r="517" hidden="1">
      <c r="A517" s="64" t="str">
        <f>Ringkasan!A516</f>
        <v>CMNT</v>
      </c>
      <c r="B517" s="64" t="str">
        <f>Ringkasan!B516</f>
        <v>Cemindo Gemilang Tbk.</v>
      </c>
      <c r="C517" s="65">
        <f>Ringkasan!C516</f>
        <v>815</v>
      </c>
      <c r="D517" s="64" t="str">
        <f>Ringkasan!D516</f>
        <v>#N/A</v>
      </c>
      <c r="E517" s="64" t="str">
        <f>Ringkasan!E516</f>
        <v/>
      </c>
      <c r="F517" s="64" t="str">
        <f>Ringkasan!F516</f>
        <v/>
      </c>
      <c r="G517" s="64">
        <f>Ringkasan!G516</f>
        <v>0</v>
      </c>
      <c r="H517" s="19">
        <f>Ringkasan!H516</f>
        <v>270</v>
      </c>
      <c r="I517" s="19">
        <f>Ringkasan!I516</f>
        <v>5</v>
      </c>
      <c r="J517" s="19">
        <f>Ringkasan!J516</f>
        <v>1.8</v>
      </c>
      <c r="K517" s="19">
        <f>Ringkasan!K516</f>
        <v>0.31</v>
      </c>
      <c r="L517" s="19">
        <f>Ringkasan!L516</f>
        <v>4.8</v>
      </c>
      <c r="M517" s="19">
        <f>Ringkasan!M516</f>
        <v>2.5</v>
      </c>
      <c r="N517" s="64" t="str">
        <f>Ringkasan!N516</f>
        <v/>
      </c>
      <c r="O517" s="64" t="str">
        <f>Ringkasan!O516</f>
        <v/>
      </c>
      <c r="P517" s="64" t="str">
        <f>Ringkasan!P516</f>
        <v/>
      </c>
      <c r="Q517" s="64" t="str">
        <f>Ringkasan!Q516</f>
        <v/>
      </c>
      <c r="R517" s="64" t="str">
        <f>Ringkasan!R516</f>
        <v/>
      </c>
      <c r="S517" s="64" t="str">
        <f>Ringkasan!S516</f>
        <v/>
      </c>
      <c r="T517" s="64" t="str">
        <f>Ringkasan!T516</f>
        <v/>
      </c>
      <c r="U517" s="64">
        <f>Ringkasan!U516</f>
        <v>0</v>
      </c>
      <c r="V517" s="64">
        <f>Ringkasan!V516</f>
        <v>0</v>
      </c>
      <c r="W517" s="64" t="str">
        <f>Ringkasan!W516</f>
        <v/>
      </c>
      <c r="X517" s="64" t="str">
        <f>Ringkasan!X516</f>
        <v/>
      </c>
      <c r="Y517" s="64" t="str">
        <f>Ringkasan!Y516</f>
        <v/>
      </c>
      <c r="Z517" s="64">
        <f>Ringkasan!Z516</f>
        <v>0</v>
      </c>
      <c r="AA517" s="64" t="str">
        <f>Ringkasan!AA516</f>
        <v>Construction Materials</v>
      </c>
      <c r="AB517" s="64" t="str">
        <f>Ringkasan!AB516</f>
        <v>Basic Materials</v>
      </c>
    </row>
    <row r="518" hidden="1">
      <c r="A518" s="64" t="str">
        <f>Ringkasan!A517</f>
        <v>CMPP</v>
      </c>
      <c r="B518" s="64" t="str">
        <f>Ringkasan!B517</f>
        <v>AirAsia Indonesia Tbk.</v>
      </c>
      <c r="C518" s="65">
        <f>Ringkasan!C517</f>
        <v>74</v>
      </c>
      <c r="D518" s="64" t="str">
        <f>Ringkasan!D517</f>
        <v>#N/A</v>
      </c>
      <c r="E518" s="64" t="str">
        <f>Ringkasan!E517</f>
        <v/>
      </c>
      <c r="F518" s="64" t="str">
        <f>Ringkasan!F517</f>
        <v/>
      </c>
      <c r="G518" s="64">
        <f>Ringkasan!G517</f>
        <v>0</v>
      </c>
      <c r="H518" s="19">
        <f>Ringkasan!H517</f>
        <v>-0.81</v>
      </c>
      <c r="I518" s="19">
        <f>Ringkasan!I517</f>
        <v>-0.07</v>
      </c>
      <c r="J518" s="19">
        <f>Ringkasan!J517</f>
        <v>0</v>
      </c>
      <c r="K518" s="19">
        <f>Ringkasan!K517</f>
        <v>-19.2</v>
      </c>
      <c r="L518" s="19">
        <f>Ringkasan!L517</f>
        <v>-1.4</v>
      </c>
      <c r="M518" s="19">
        <f>Ringkasan!M517</f>
        <v>-43.7</v>
      </c>
      <c r="N518" s="64" t="str">
        <f>Ringkasan!N517</f>
        <v/>
      </c>
      <c r="O518" s="64" t="str">
        <f>Ringkasan!O517</f>
        <v/>
      </c>
      <c r="P518" s="64" t="str">
        <f>Ringkasan!P517</f>
        <v/>
      </c>
      <c r="Q518" s="64" t="str">
        <f>Ringkasan!Q517</f>
        <v/>
      </c>
      <c r="R518" s="64" t="str">
        <f>Ringkasan!R517</f>
        <v/>
      </c>
      <c r="S518" s="64" t="str">
        <f>Ringkasan!S517</f>
        <v/>
      </c>
      <c r="T518" s="64" t="str">
        <f>Ringkasan!T517</f>
        <v/>
      </c>
      <c r="U518" s="64">
        <f>Ringkasan!U517</f>
        <v>72</v>
      </c>
      <c r="V518" s="64">
        <f>Ringkasan!V517</f>
        <v>2.78</v>
      </c>
      <c r="W518" s="64">
        <f>Ringkasan!W517</f>
        <v>67</v>
      </c>
      <c r="X518" s="64">
        <f>Ringkasan!X517</f>
        <v>75</v>
      </c>
      <c r="Y518" s="64">
        <f>Ringkasan!Y517</f>
        <v>67</v>
      </c>
      <c r="Z518" s="64">
        <f>Ringkasan!Z517</f>
        <v>84300</v>
      </c>
      <c r="AA518" s="64" t="str">
        <f>Ringkasan!AA517</f>
        <v>Airlines</v>
      </c>
      <c r="AB518" s="64" t="str">
        <f>Ringkasan!AB517</f>
        <v>Transportation &amp; Logistic</v>
      </c>
    </row>
    <row r="519" hidden="1">
      <c r="A519" s="64" t="str">
        <f>Ringkasan!A518</f>
        <v>CMRY</v>
      </c>
      <c r="B519" s="64" t="str">
        <f>Ringkasan!B518</f>
        <v>Cisarua Mountain Dairy Tbk.</v>
      </c>
      <c r="C519" s="65" t="str">
        <f>Ringkasan!C518</f>
        <v>#N/A</v>
      </c>
      <c r="D519" s="64" t="str">
        <f>Ringkasan!D518</f>
        <v>#N/A</v>
      </c>
      <c r="E519" s="64" t="str">
        <f>Ringkasan!E518</f>
        <v>ESGQKEHATI</v>
      </c>
      <c r="F519" s="66">
        <f>Ringkasan!F518</f>
        <v>46356</v>
      </c>
      <c r="G519" s="64">
        <f>Ringkasan!G518</f>
        <v>10</v>
      </c>
      <c r="H519" s="19">
        <f>Ringkasan!H518</f>
        <v>18.2</v>
      </c>
      <c r="I519" s="19">
        <f>Ringkasan!I518</f>
        <v>5.2</v>
      </c>
      <c r="J519" s="19">
        <f>Ringkasan!J518</f>
        <v>28.7</v>
      </c>
      <c r="K519" s="19">
        <f>Ringkasan!K518</f>
        <v>22.3</v>
      </c>
      <c r="L519" s="19">
        <f>Ringkasan!L518</f>
        <v>0.29</v>
      </c>
      <c r="M519" s="19">
        <f>Ringkasan!M518</f>
        <v>67.6</v>
      </c>
      <c r="N519" s="64" t="str">
        <f>Ringkasan!N518</f>
        <v/>
      </c>
      <c r="O519" s="64" t="str">
        <f>Ringkasan!O518</f>
        <v/>
      </c>
      <c r="P519" s="64" t="str">
        <f>Ringkasan!P518</f>
        <v/>
      </c>
      <c r="Q519" s="64" t="str">
        <f>Ringkasan!Q518</f>
        <v/>
      </c>
      <c r="R519" s="64" t="str">
        <f>Ringkasan!R518</f>
        <v/>
      </c>
      <c r="S519" s="64" t="str">
        <f>Ringkasan!S518</f>
        <v/>
      </c>
      <c r="T519" s="64" t="str">
        <f>Ringkasan!T518</f>
        <v/>
      </c>
      <c r="U519" s="64">
        <f>Ringkasan!U518</f>
        <v>4160</v>
      </c>
      <c r="V519" s="64">
        <f>Ringkasan!V518</f>
        <v>5.77</v>
      </c>
      <c r="W519" s="64">
        <f>Ringkasan!W518</f>
        <v>4180</v>
      </c>
      <c r="X519" s="64">
        <f>Ringkasan!X518</f>
        <v>4400</v>
      </c>
      <c r="Y519" s="64">
        <f>Ringkasan!Y518</f>
        <v>4160</v>
      </c>
      <c r="Z519" s="64">
        <f>Ringkasan!Z518</f>
        <v>3542800</v>
      </c>
      <c r="AA519" s="64" t="str">
        <f>Ringkasan!AA518</f>
        <v>Processed Foods</v>
      </c>
      <c r="AB519" s="64" t="str">
        <f>Ringkasan!AB518</f>
        <v>Consumer Non-Cyclicals</v>
      </c>
    </row>
    <row r="520" hidden="1">
      <c r="A520" s="64" t="str">
        <f>Ringkasan!A519</f>
        <v>CMRY</v>
      </c>
      <c r="B520" s="64" t="str">
        <f>Ringkasan!B519</f>
        <v>Cisarua Mountain Dairy Tbk.</v>
      </c>
      <c r="C520" s="65" t="str">
        <f>Ringkasan!C519</f>
        <v>#N/A</v>
      </c>
      <c r="D520" s="64" t="str">
        <f>Ringkasan!D519</f>
        <v>#N/A</v>
      </c>
      <c r="E520" s="64" t="str">
        <f>Ringkasan!E519</f>
        <v>ESGSKEHATI</v>
      </c>
      <c r="F520" s="66">
        <f>Ringkasan!F519</f>
        <v>46356</v>
      </c>
      <c r="G520" s="64">
        <f>Ringkasan!G519</f>
        <v>10</v>
      </c>
      <c r="H520" s="19">
        <f>Ringkasan!H519</f>
        <v>18.2</v>
      </c>
      <c r="I520" s="19">
        <f>Ringkasan!I519</f>
        <v>5.2</v>
      </c>
      <c r="J520" s="19">
        <f>Ringkasan!J519</f>
        <v>28.7</v>
      </c>
      <c r="K520" s="19">
        <f>Ringkasan!K519</f>
        <v>22.3</v>
      </c>
      <c r="L520" s="19">
        <f>Ringkasan!L519</f>
        <v>0.29</v>
      </c>
      <c r="M520" s="19">
        <f>Ringkasan!M519</f>
        <v>67.6</v>
      </c>
      <c r="N520" s="64" t="str">
        <f>Ringkasan!N519</f>
        <v/>
      </c>
      <c r="O520" s="64" t="str">
        <f>Ringkasan!O519</f>
        <v/>
      </c>
      <c r="P520" s="64" t="str">
        <f>Ringkasan!P519</f>
        <v/>
      </c>
      <c r="Q520" s="64" t="str">
        <f>Ringkasan!Q519</f>
        <v/>
      </c>
      <c r="R520" s="64" t="str">
        <f>Ringkasan!R519</f>
        <v/>
      </c>
      <c r="S520" s="64" t="str">
        <f>Ringkasan!S519</f>
        <v/>
      </c>
      <c r="T520" s="64" t="str">
        <f>Ringkasan!T519</f>
        <v/>
      </c>
      <c r="U520" s="64">
        <f>Ringkasan!U519</f>
        <v>4160</v>
      </c>
      <c r="V520" s="64">
        <f>Ringkasan!V519</f>
        <v>5.77</v>
      </c>
      <c r="W520" s="64">
        <f>Ringkasan!W519</f>
        <v>4180</v>
      </c>
      <c r="X520" s="64">
        <f>Ringkasan!X519</f>
        <v>4400</v>
      </c>
      <c r="Y520" s="64">
        <f>Ringkasan!Y519</f>
        <v>4160</v>
      </c>
      <c r="Z520" s="64">
        <f>Ringkasan!Z519</f>
        <v>3542800</v>
      </c>
      <c r="AA520" s="64" t="str">
        <f>Ringkasan!AA519</f>
        <v>Processed Foods</v>
      </c>
      <c r="AB520" s="64" t="str">
        <f>Ringkasan!AB519</f>
        <v>Consumer Non-Cyclicals</v>
      </c>
    </row>
    <row r="521" hidden="1">
      <c r="A521" s="64" t="str">
        <f>Ringkasan!A520</f>
        <v>CMRY</v>
      </c>
      <c r="B521" s="64" t="str">
        <f>Ringkasan!B520</f>
        <v>Cisarua Mountain Dairy Tbk.</v>
      </c>
      <c r="C521" s="65" t="str">
        <f>Ringkasan!C520</f>
        <v>#N/A</v>
      </c>
      <c r="D521" s="64" t="str">
        <f>Ringkasan!D520</f>
        <v>#N/A</v>
      </c>
      <c r="E521" s="64" t="str">
        <f>Ringkasan!E520</f>
        <v>IDXQ30</v>
      </c>
      <c r="F521" s="64" t="str">
        <f>Ringkasan!F520</f>
        <v>4 Agustus 2026</v>
      </c>
      <c r="G521" s="64">
        <f>Ringkasan!G520</f>
        <v>10</v>
      </c>
      <c r="H521" s="19">
        <f>Ringkasan!H520</f>
        <v>18.2</v>
      </c>
      <c r="I521" s="19">
        <f>Ringkasan!I520</f>
        <v>5.2</v>
      </c>
      <c r="J521" s="19">
        <f>Ringkasan!J520</f>
        <v>28.7</v>
      </c>
      <c r="K521" s="19">
        <f>Ringkasan!K520</f>
        <v>22.3</v>
      </c>
      <c r="L521" s="19">
        <f>Ringkasan!L520</f>
        <v>0.29</v>
      </c>
      <c r="M521" s="19">
        <f>Ringkasan!M520</f>
        <v>67.6</v>
      </c>
      <c r="N521" s="64" t="str">
        <f>Ringkasan!N520</f>
        <v/>
      </c>
      <c r="O521" s="64" t="str">
        <f>Ringkasan!O520</f>
        <v/>
      </c>
      <c r="P521" s="64" t="str">
        <f>Ringkasan!P520</f>
        <v/>
      </c>
      <c r="Q521" s="64" t="str">
        <f>Ringkasan!Q520</f>
        <v/>
      </c>
      <c r="R521" s="64" t="str">
        <f>Ringkasan!R520</f>
        <v/>
      </c>
      <c r="S521" s="64" t="str">
        <f>Ringkasan!S520</f>
        <v/>
      </c>
      <c r="T521" s="64" t="str">
        <f>Ringkasan!T520</f>
        <v/>
      </c>
      <c r="U521" s="64">
        <f>Ringkasan!U520</f>
        <v>4160</v>
      </c>
      <c r="V521" s="64">
        <f>Ringkasan!V520</f>
        <v>5.77</v>
      </c>
      <c r="W521" s="64">
        <f>Ringkasan!W520</f>
        <v>4180</v>
      </c>
      <c r="X521" s="64">
        <f>Ringkasan!X520</f>
        <v>4400</v>
      </c>
      <c r="Y521" s="64">
        <f>Ringkasan!Y520</f>
        <v>4160</v>
      </c>
      <c r="Z521" s="64">
        <f>Ringkasan!Z520</f>
        <v>3542800</v>
      </c>
      <c r="AA521" s="64" t="str">
        <f>Ringkasan!AA520</f>
        <v>Processed Foods</v>
      </c>
      <c r="AB521" s="64" t="str">
        <f>Ringkasan!AB520</f>
        <v>Consumer Non-Cyclicals</v>
      </c>
    </row>
    <row r="522" hidden="1">
      <c r="A522" s="64" t="str">
        <f>Ringkasan!A521</f>
        <v>CMRY</v>
      </c>
      <c r="B522" s="64" t="str">
        <f>Ringkasan!B521</f>
        <v>Cisarua Mountain Dairy Tbk.</v>
      </c>
      <c r="C522" s="65" t="str">
        <f>Ringkasan!C521</f>
        <v>#N/A</v>
      </c>
      <c r="D522" s="64" t="str">
        <f>Ringkasan!D521</f>
        <v>#N/A</v>
      </c>
      <c r="E522" s="64" t="str">
        <f>Ringkasan!E521</f>
        <v>IDXESGL</v>
      </c>
      <c r="F522" s="64" t="str">
        <f>Ringkasan!F521</f>
        <v>30 Oktober 2026</v>
      </c>
      <c r="G522" s="64">
        <f>Ringkasan!G521</f>
        <v>10</v>
      </c>
      <c r="H522" s="19">
        <f>Ringkasan!H521</f>
        <v>18.2</v>
      </c>
      <c r="I522" s="19">
        <f>Ringkasan!I521</f>
        <v>5.2</v>
      </c>
      <c r="J522" s="19">
        <f>Ringkasan!J521</f>
        <v>28.7</v>
      </c>
      <c r="K522" s="19">
        <f>Ringkasan!K521</f>
        <v>22.3</v>
      </c>
      <c r="L522" s="19">
        <f>Ringkasan!L521</f>
        <v>0.29</v>
      </c>
      <c r="M522" s="19">
        <f>Ringkasan!M521</f>
        <v>67.6</v>
      </c>
      <c r="N522" s="64" t="str">
        <f>Ringkasan!N521</f>
        <v/>
      </c>
      <c r="O522" s="64" t="str">
        <f>Ringkasan!O521</f>
        <v/>
      </c>
      <c r="P522" s="64" t="str">
        <f>Ringkasan!P521</f>
        <v/>
      </c>
      <c r="Q522" s="64" t="str">
        <f>Ringkasan!Q521</f>
        <v/>
      </c>
      <c r="R522" s="64" t="str">
        <f>Ringkasan!R521</f>
        <v/>
      </c>
      <c r="S522" s="64" t="str">
        <f>Ringkasan!S521</f>
        <v/>
      </c>
      <c r="T522" s="64" t="str">
        <f>Ringkasan!T521</f>
        <v/>
      </c>
      <c r="U522" s="64">
        <f>Ringkasan!U521</f>
        <v>4160</v>
      </c>
      <c r="V522" s="64">
        <f>Ringkasan!V521</f>
        <v>5.77</v>
      </c>
      <c r="W522" s="64">
        <f>Ringkasan!W521</f>
        <v>4180</v>
      </c>
      <c r="X522" s="64">
        <f>Ringkasan!X521</f>
        <v>4400</v>
      </c>
      <c r="Y522" s="64">
        <f>Ringkasan!Y521</f>
        <v>4160</v>
      </c>
      <c r="Z522" s="64">
        <f>Ringkasan!Z521</f>
        <v>3542800</v>
      </c>
      <c r="AA522" s="64" t="str">
        <f>Ringkasan!AA521</f>
        <v>Processed Foods</v>
      </c>
      <c r="AB522" s="64" t="str">
        <f>Ringkasan!AB521</f>
        <v>Consumer Non-Cyclicals</v>
      </c>
    </row>
    <row r="523" hidden="1">
      <c r="A523" s="64" t="str">
        <f>Ringkasan!A522</f>
        <v>CMRY</v>
      </c>
      <c r="B523" s="64" t="str">
        <f>Ringkasan!B522</f>
        <v>Cisarua Mountain Dairy Tbk.</v>
      </c>
      <c r="C523" s="65" t="str">
        <f>Ringkasan!C522</f>
        <v>#N/A</v>
      </c>
      <c r="D523" s="64" t="str">
        <f>Ringkasan!D522</f>
        <v>#N/A</v>
      </c>
      <c r="E523" s="64" t="str">
        <f>Ringkasan!E522</f>
        <v>IDX80</v>
      </c>
      <c r="F523" s="64" t="str">
        <f>Ringkasan!F522</f>
        <v>31 Juli 2026</v>
      </c>
      <c r="G523" s="64">
        <f>Ringkasan!G522</f>
        <v>10</v>
      </c>
      <c r="H523" s="19">
        <f>Ringkasan!H522</f>
        <v>18.2</v>
      </c>
      <c r="I523" s="19">
        <f>Ringkasan!I522</f>
        <v>5.2</v>
      </c>
      <c r="J523" s="19">
        <f>Ringkasan!J522</f>
        <v>28.7</v>
      </c>
      <c r="K523" s="19">
        <f>Ringkasan!K522</f>
        <v>22.3</v>
      </c>
      <c r="L523" s="19">
        <f>Ringkasan!L522</f>
        <v>0.29</v>
      </c>
      <c r="M523" s="19">
        <f>Ringkasan!M522</f>
        <v>67.6</v>
      </c>
      <c r="N523" s="64" t="str">
        <f>Ringkasan!N522</f>
        <v/>
      </c>
      <c r="O523" s="64" t="str">
        <f>Ringkasan!O522</f>
        <v/>
      </c>
      <c r="P523" s="64" t="str">
        <f>Ringkasan!P522</f>
        <v/>
      </c>
      <c r="Q523" s="64" t="str">
        <f>Ringkasan!Q522</f>
        <v/>
      </c>
      <c r="R523" s="64" t="str">
        <f>Ringkasan!R522</f>
        <v/>
      </c>
      <c r="S523" s="64" t="str">
        <f>Ringkasan!S522</f>
        <v/>
      </c>
      <c r="T523" s="64" t="str">
        <f>Ringkasan!T522</f>
        <v/>
      </c>
      <c r="U523" s="64">
        <f>Ringkasan!U522</f>
        <v>4160</v>
      </c>
      <c r="V523" s="64">
        <f>Ringkasan!V522</f>
        <v>5.77</v>
      </c>
      <c r="W523" s="64">
        <f>Ringkasan!W522</f>
        <v>4180</v>
      </c>
      <c r="X523" s="64">
        <f>Ringkasan!X522</f>
        <v>4400</v>
      </c>
      <c r="Y523" s="64">
        <f>Ringkasan!Y522</f>
        <v>4160</v>
      </c>
      <c r="Z523" s="64">
        <f>Ringkasan!Z522</f>
        <v>3542800</v>
      </c>
      <c r="AA523" s="64" t="str">
        <f>Ringkasan!AA522</f>
        <v>Processed Foods</v>
      </c>
      <c r="AB523" s="64" t="str">
        <f>Ringkasan!AB522</f>
        <v>Consumer Non-Cyclicals</v>
      </c>
    </row>
    <row r="524" hidden="1">
      <c r="A524" s="64" t="str">
        <f>Ringkasan!A523</f>
        <v>CMRY</v>
      </c>
      <c r="B524" s="64" t="str">
        <f>Ringkasan!B523</f>
        <v>Cisarua Mountain Dairy Tbk.</v>
      </c>
      <c r="C524" s="65" t="str">
        <f>Ringkasan!C523</f>
        <v>#N/A</v>
      </c>
      <c r="D524" s="64" t="str">
        <f>Ringkasan!D523</f>
        <v>#N/A</v>
      </c>
      <c r="E524" s="64" t="str">
        <f>Ringkasan!E523</f>
        <v>Kompas100</v>
      </c>
      <c r="F524" s="64" t="str">
        <f>Ringkasan!F523</f>
        <v>31 Juli 2026</v>
      </c>
      <c r="G524" s="64">
        <f>Ringkasan!G523</f>
        <v>10</v>
      </c>
      <c r="H524" s="19">
        <f>Ringkasan!H523</f>
        <v>18.2</v>
      </c>
      <c r="I524" s="19">
        <f>Ringkasan!I523</f>
        <v>5.2</v>
      </c>
      <c r="J524" s="19">
        <f>Ringkasan!J523</f>
        <v>28.7</v>
      </c>
      <c r="K524" s="19">
        <f>Ringkasan!K523</f>
        <v>22.3</v>
      </c>
      <c r="L524" s="19">
        <f>Ringkasan!L523</f>
        <v>0.29</v>
      </c>
      <c r="M524" s="19">
        <f>Ringkasan!M523</f>
        <v>67.6</v>
      </c>
      <c r="N524" s="64" t="str">
        <f>Ringkasan!N523</f>
        <v/>
      </c>
      <c r="O524" s="64" t="str">
        <f>Ringkasan!O523</f>
        <v/>
      </c>
      <c r="P524" s="64" t="str">
        <f>Ringkasan!P523</f>
        <v/>
      </c>
      <c r="Q524" s="64" t="str">
        <f>Ringkasan!Q523</f>
        <v/>
      </c>
      <c r="R524" s="64" t="str">
        <f>Ringkasan!R523</f>
        <v/>
      </c>
      <c r="S524" s="64" t="str">
        <f>Ringkasan!S523</f>
        <v/>
      </c>
      <c r="T524" s="64" t="str">
        <f>Ringkasan!T523</f>
        <v/>
      </c>
      <c r="U524" s="64">
        <f>Ringkasan!U523</f>
        <v>4160</v>
      </c>
      <c r="V524" s="64">
        <f>Ringkasan!V523</f>
        <v>5.77</v>
      </c>
      <c r="W524" s="64">
        <f>Ringkasan!W523</f>
        <v>4180</v>
      </c>
      <c r="X524" s="64">
        <f>Ringkasan!X523</f>
        <v>4400</v>
      </c>
      <c r="Y524" s="64">
        <f>Ringkasan!Y523</f>
        <v>4160</v>
      </c>
      <c r="Z524" s="64">
        <f>Ringkasan!Z523</f>
        <v>3542800</v>
      </c>
      <c r="AA524" s="64" t="str">
        <f>Ringkasan!AA523</f>
        <v>Processed Foods</v>
      </c>
      <c r="AB524" s="64" t="str">
        <f>Ringkasan!AB523</f>
        <v>Consumer Non-Cyclicals</v>
      </c>
    </row>
    <row r="525" hidden="1">
      <c r="A525" s="64" t="str">
        <f>Ringkasan!A524</f>
        <v>CMRY</v>
      </c>
      <c r="B525" s="64" t="str">
        <f>Ringkasan!B524</f>
        <v>Cisarua Mountain Dairy Tbk.</v>
      </c>
      <c r="C525" s="65" t="str">
        <f>Ringkasan!C524</f>
        <v>#N/A</v>
      </c>
      <c r="D525" s="64" t="str">
        <f>Ringkasan!D524</f>
        <v>#N/A</v>
      </c>
      <c r="E525" s="64" t="str">
        <f>Ringkasan!E524</f>
        <v>MNC36</v>
      </c>
      <c r="F525" s="64" t="str">
        <f>Ringkasan!F524</f>
        <v>30 Oktober 2026</v>
      </c>
      <c r="G525" s="64">
        <f>Ringkasan!G524</f>
        <v>10</v>
      </c>
      <c r="H525" s="19">
        <f>Ringkasan!H524</f>
        <v>18.2</v>
      </c>
      <c r="I525" s="19">
        <f>Ringkasan!I524</f>
        <v>5.2</v>
      </c>
      <c r="J525" s="19">
        <f>Ringkasan!J524</f>
        <v>28.7</v>
      </c>
      <c r="K525" s="19">
        <f>Ringkasan!K524</f>
        <v>22.3</v>
      </c>
      <c r="L525" s="19">
        <f>Ringkasan!L524</f>
        <v>0.29</v>
      </c>
      <c r="M525" s="19">
        <f>Ringkasan!M524</f>
        <v>67.6</v>
      </c>
      <c r="N525" s="64" t="str">
        <f>Ringkasan!N524</f>
        <v/>
      </c>
      <c r="O525" s="64" t="str">
        <f>Ringkasan!O524</f>
        <v/>
      </c>
      <c r="P525" s="64" t="str">
        <f>Ringkasan!P524</f>
        <v/>
      </c>
      <c r="Q525" s="64" t="str">
        <f>Ringkasan!Q524</f>
        <v/>
      </c>
      <c r="R525" s="64" t="str">
        <f>Ringkasan!R524</f>
        <v/>
      </c>
      <c r="S525" s="64" t="str">
        <f>Ringkasan!S524</f>
        <v/>
      </c>
      <c r="T525" s="64" t="str">
        <f>Ringkasan!T524</f>
        <v/>
      </c>
      <c r="U525" s="64">
        <f>Ringkasan!U524</f>
        <v>4160</v>
      </c>
      <c r="V525" s="64">
        <f>Ringkasan!V524</f>
        <v>5.77</v>
      </c>
      <c r="W525" s="64">
        <f>Ringkasan!W524</f>
        <v>4180</v>
      </c>
      <c r="X525" s="64">
        <f>Ringkasan!X524</f>
        <v>4400</v>
      </c>
      <c r="Y525" s="64">
        <f>Ringkasan!Y524</f>
        <v>4160</v>
      </c>
      <c r="Z525" s="64">
        <f>Ringkasan!Z524</f>
        <v>3542800</v>
      </c>
      <c r="AA525" s="64" t="str">
        <f>Ringkasan!AA524</f>
        <v>Processed Foods</v>
      </c>
      <c r="AB525" s="64" t="str">
        <f>Ringkasan!AB524</f>
        <v>Consumer Non-Cyclicals</v>
      </c>
    </row>
    <row r="526" hidden="1">
      <c r="A526" s="64" t="str">
        <f>Ringkasan!A525</f>
        <v>CMRY</v>
      </c>
      <c r="B526" s="64" t="str">
        <f>Ringkasan!B525</f>
        <v>Cisarua Mountain Dairy Tbk.</v>
      </c>
      <c r="C526" s="65" t="str">
        <f>Ringkasan!C525</f>
        <v>#N/A</v>
      </c>
      <c r="D526" s="64" t="str">
        <f>Ringkasan!D525</f>
        <v>#N/A</v>
      </c>
      <c r="E526" s="64" t="str">
        <f>Ringkasan!E525</f>
        <v>IDXSMC-LIQ</v>
      </c>
      <c r="F526" s="64" t="str">
        <f>Ringkasan!F525</f>
        <v>4 Agustus 2026</v>
      </c>
      <c r="G526" s="64">
        <f>Ringkasan!G525</f>
        <v>10</v>
      </c>
      <c r="H526" s="19">
        <f>Ringkasan!H525</f>
        <v>18.2</v>
      </c>
      <c r="I526" s="19">
        <f>Ringkasan!I525</f>
        <v>5.2</v>
      </c>
      <c r="J526" s="19">
        <f>Ringkasan!J525</f>
        <v>28.7</v>
      </c>
      <c r="K526" s="19">
        <f>Ringkasan!K525</f>
        <v>22.3</v>
      </c>
      <c r="L526" s="19">
        <f>Ringkasan!L525</f>
        <v>0.29</v>
      </c>
      <c r="M526" s="19">
        <f>Ringkasan!M525</f>
        <v>67.6</v>
      </c>
      <c r="N526" s="64" t="str">
        <f>Ringkasan!N525</f>
        <v/>
      </c>
      <c r="O526" s="64" t="str">
        <f>Ringkasan!O525</f>
        <v/>
      </c>
      <c r="P526" s="64" t="str">
        <f>Ringkasan!P525</f>
        <v/>
      </c>
      <c r="Q526" s="64" t="str">
        <f>Ringkasan!Q525</f>
        <v/>
      </c>
      <c r="R526" s="64" t="str">
        <f>Ringkasan!R525</f>
        <v/>
      </c>
      <c r="S526" s="64" t="str">
        <f>Ringkasan!S525</f>
        <v/>
      </c>
      <c r="T526" s="64" t="str">
        <f>Ringkasan!T525</f>
        <v/>
      </c>
      <c r="U526" s="64">
        <f>Ringkasan!U525</f>
        <v>4160</v>
      </c>
      <c r="V526" s="64">
        <f>Ringkasan!V525</f>
        <v>5.77</v>
      </c>
      <c r="W526" s="64">
        <f>Ringkasan!W525</f>
        <v>4180</v>
      </c>
      <c r="X526" s="64">
        <f>Ringkasan!X525</f>
        <v>4400</v>
      </c>
      <c r="Y526" s="64">
        <f>Ringkasan!Y525</f>
        <v>4160</v>
      </c>
      <c r="Z526" s="64">
        <f>Ringkasan!Z525</f>
        <v>3542800</v>
      </c>
      <c r="AA526" s="64" t="str">
        <f>Ringkasan!AA525</f>
        <v>Processed Foods</v>
      </c>
      <c r="AB526" s="64" t="str">
        <f>Ringkasan!AB525</f>
        <v>Consumer Non-Cyclicals</v>
      </c>
    </row>
    <row r="527" hidden="1">
      <c r="A527" s="64" t="str">
        <f>Ringkasan!A526</f>
        <v>CMRY</v>
      </c>
      <c r="B527" s="64" t="str">
        <f>Ringkasan!B526</f>
        <v>Cisarua Mountain Dairy Tbk.</v>
      </c>
      <c r="C527" s="65" t="str">
        <f>Ringkasan!C526</f>
        <v>#N/A</v>
      </c>
      <c r="D527" s="64" t="str">
        <f>Ringkasan!D526</f>
        <v>#N/A</v>
      </c>
      <c r="E527" s="64" t="str">
        <f>Ringkasan!E526</f>
        <v>MSCI Small Cap</v>
      </c>
      <c r="F527" s="64" t="str">
        <f>Ringkasan!F526</f>
        <v>12 Agustus 2026</v>
      </c>
      <c r="G527" s="64">
        <f>Ringkasan!G526</f>
        <v>10</v>
      </c>
      <c r="H527" s="19">
        <f>Ringkasan!H526</f>
        <v>18.2</v>
      </c>
      <c r="I527" s="19">
        <f>Ringkasan!I526</f>
        <v>5.2</v>
      </c>
      <c r="J527" s="19">
        <f>Ringkasan!J526</f>
        <v>28.7</v>
      </c>
      <c r="K527" s="19">
        <f>Ringkasan!K526</f>
        <v>22.3</v>
      </c>
      <c r="L527" s="19">
        <f>Ringkasan!L526</f>
        <v>0.29</v>
      </c>
      <c r="M527" s="19">
        <f>Ringkasan!M526</f>
        <v>67.6</v>
      </c>
      <c r="N527" s="64" t="str">
        <f>Ringkasan!N526</f>
        <v/>
      </c>
      <c r="O527" s="64" t="str">
        <f>Ringkasan!O526</f>
        <v/>
      </c>
      <c r="P527" s="64" t="str">
        <f>Ringkasan!P526</f>
        <v/>
      </c>
      <c r="Q527" s="64" t="str">
        <f>Ringkasan!Q526</f>
        <v/>
      </c>
      <c r="R527" s="64" t="str">
        <f>Ringkasan!R526</f>
        <v/>
      </c>
      <c r="S527" s="64" t="str">
        <f>Ringkasan!S526</f>
        <v/>
      </c>
      <c r="T527" s="64" t="str">
        <f>Ringkasan!T526</f>
        <v/>
      </c>
      <c r="U527" s="64">
        <f>Ringkasan!U526</f>
        <v>4160</v>
      </c>
      <c r="V527" s="64">
        <f>Ringkasan!V526</f>
        <v>5.77</v>
      </c>
      <c r="W527" s="64">
        <f>Ringkasan!W526</f>
        <v>4180</v>
      </c>
      <c r="X527" s="64">
        <f>Ringkasan!X526</f>
        <v>4400</v>
      </c>
      <c r="Y527" s="64">
        <f>Ringkasan!Y526</f>
        <v>4160</v>
      </c>
      <c r="Z527" s="64">
        <f>Ringkasan!Z526</f>
        <v>3542800</v>
      </c>
      <c r="AA527" s="64" t="str">
        <f>Ringkasan!AA526</f>
        <v>Processed Foods</v>
      </c>
      <c r="AB527" s="64" t="str">
        <f>Ringkasan!AB526</f>
        <v>Consumer Non-Cyclicals</v>
      </c>
    </row>
    <row r="528" hidden="1">
      <c r="A528" s="64" t="str">
        <f>Ringkasan!A527</f>
        <v>CMRY</v>
      </c>
      <c r="B528" s="64" t="str">
        <f>Ringkasan!B527</f>
        <v>Cisarua Mountain Dairy Tbk.</v>
      </c>
      <c r="C528" s="65" t="str">
        <f>Ringkasan!C527</f>
        <v>#N/A</v>
      </c>
      <c r="D528" s="64" t="str">
        <f>Ringkasan!D527</f>
        <v>#N/A</v>
      </c>
      <c r="E528" s="64" t="str">
        <f>Ringkasan!E527</f>
        <v>JII70</v>
      </c>
      <c r="F528" s="66">
        <f>Ringkasan!F527</f>
        <v>46356</v>
      </c>
      <c r="G528" s="64">
        <f>Ringkasan!G527</f>
        <v>10</v>
      </c>
      <c r="H528" s="19">
        <f>Ringkasan!H527</f>
        <v>18.2</v>
      </c>
      <c r="I528" s="19">
        <f>Ringkasan!I527</f>
        <v>5.2</v>
      </c>
      <c r="J528" s="19">
        <f>Ringkasan!J527</f>
        <v>28.7</v>
      </c>
      <c r="K528" s="19">
        <f>Ringkasan!K527</f>
        <v>22.3</v>
      </c>
      <c r="L528" s="19">
        <f>Ringkasan!L527</f>
        <v>0.29</v>
      </c>
      <c r="M528" s="19">
        <f>Ringkasan!M527</f>
        <v>67.6</v>
      </c>
      <c r="N528" s="64" t="str">
        <f>Ringkasan!N527</f>
        <v/>
      </c>
      <c r="O528" s="64" t="str">
        <f>Ringkasan!O527</f>
        <v/>
      </c>
      <c r="P528" s="64" t="str">
        <f>Ringkasan!P527</f>
        <v/>
      </c>
      <c r="Q528" s="64" t="str">
        <f>Ringkasan!Q527</f>
        <v/>
      </c>
      <c r="R528" s="64" t="str">
        <f>Ringkasan!R527</f>
        <v/>
      </c>
      <c r="S528" s="64" t="str">
        <f>Ringkasan!S527</f>
        <v/>
      </c>
      <c r="T528" s="64" t="str">
        <f>Ringkasan!T527</f>
        <v/>
      </c>
      <c r="U528" s="64">
        <f>Ringkasan!U527</f>
        <v>4160</v>
      </c>
      <c r="V528" s="64">
        <f>Ringkasan!V527</f>
        <v>5.77</v>
      </c>
      <c r="W528" s="64">
        <f>Ringkasan!W527</f>
        <v>4180</v>
      </c>
      <c r="X528" s="64">
        <f>Ringkasan!X527</f>
        <v>4400</v>
      </c>
      <c r="Y528" s="64">
        <f>Ringkasan!Y527</f>
        <v>4160</v>
      </c>
      <c r="Z528" s="64">
        <f>Ringkasan!Z527</f>
        <v>3542800</v>
      </c>
      <c r="AA528" s="64" t="str">
        <f>Ringkasan!AA527</f>
        <v>Processed Foods</v>
      </c>
      <c r="AB528" s="64" t="str">
        <f>Ringkasan!AB527</f>
        <v>Consumer Non-Cyclicals</v>
      </c>
    </row>
    <row r="529" hidden="1">
      <c r="A529" s="64" t="str">
        <f>Ringkasan!A528</f>
        <v>CNKO</v>
      </c>
      <c r="B529" s="64" t="str">
        <f>Ringkasan!B528</f>
        <v>Exploitasi Energi Indonesia Tbk.</v>
      </c>
      <c r="C529" s="65">
        <f>Ringkasan!C528</f>
        <v>39</v>
      </c>
      <c r="D529" s="64" t="str">
        <f>Ringkasan!D528</f>
        <v>#N/A</v>
      </c>
      <c r="E529" s="64" t="str">
        <f>Ringkasan!E528</f>
        <v/>
      </c>
      <c r="F529" s="64" t="str">
        <f>Ringkasan!F528</f>
        <v/>
      </c>
      <c r="G529" s="64">
        <f>Ringkasan!G528</f>
        <v>0</v>
      </c>
      <c r="H529" s="19">
        <f>Ringkasan!H528</f>
        <v>2.1</v>
      </c>
      <c r="I529" s="19">
        <f>Ringkasan!I528</f>
        <v>-0.39</v>
      </c>
      <c r="J529" s="19">
        <f>Ringkasan!J528</f>
        <v>0</v>
      </c>
      <c r="K529" s="19">
        <f>Ringkasan!K528</f>
        <v>19.2</v>
      </c>
      <c r="L529" s="19">
        <f>Ringkasan!L528</f>
        <v>-2</v>
      </c>
      <c r="M529" s="19">
        <f>Ringkasan!M528</f>
        <v>41</v>
      </c>
      <c r="N529" s="64" t="str">
        <f>Ringkasan!N528</f>
        <v/>
      </c>
      <c r="O529" s="64" t="str">
        <f>Ringkasan!O528</f>
        <v/>
      </c>
      <c r="P529" s="64" t="str">
        <f>Ringkasan!P528</f>
        <v/>
      </c>
      <c r="Q529" s="64" t="str">
        <f>Ringkasan!Q528</f>
        <v/>
      </c>
      <c r="R529" s="64" t="str">
        <f>Ringkasan!R528</f>
        <v/>
      </c>
      <c r="S529" s="64" t="str">
        <f>Ringkasan!S528</f>
        <v/>
      </c>
      <c r="T529" s="64" t="str">
        <f>Ringkasan!T528</f>
        <v/>
      </c>
      <c r="U529" s="64">
        <f>Ringkasan!U528</f>
        <v>36</v>
      </c>
      <c r="V529" s="64">
        <f>Ringkasan!V528</f>
        <v>8.33</v>
      </c>
      <c r="W529" s="64">
        <f>Ringkasan!W528</f>
        <v>39</v>
      </c>
      <c r="X529" s="64">
        <f>Ringkasan!X528</f>
        <v>39</v>
      </c>
      <c r="Y529" s="64">
        <f>Ringkasan!Y528</f>
        <v>39</v>
      </c>
      <c r="Z529" s="64">
        <f>Ringkasan!Z528</f>
        <v>6766500</v>
      </c>
      <c r="AA529" s="64" t="str">
        <f>Ringkasan!AA528</f>
        <v>Coal</v>
      </c>
      <c r="AB529" s="64" t="str">
        <f>Ringkasan!AB528</f>
        <v>Energy</v>
      </c>
    </row>
    <row r="530" hidden="1">
      <c r="A530" s="64" t="str">
        <f>Ringkasan!A529</f>
        <v>CNMA</v>
      </c>
      <c r="B530" s="64" t="str">
        <f>Ringkasan!B529</f>
        <v>PT Nusantara Sejahtera Raya Tbk</v>
      </c>
      <c r="C530" s="65">
        <f>Ringkasan!C529</f>
        <v>90</v>
      </c>
      <c r="D530" s="64" t="str">
        <f>Ringkasan!D529</f>
        <v>#N/A</v>
      </c>
      <c r="E530" s="64" t="str">
        <f>Ringkasan!E529</f>
        <v>IDXSMC-LIQ</v>
      </c>
      <c r="F530" s="64" t="str">
        <f>Ringkasan!F529</f>
        <v>4 Agustus 2026</v>
      </c>
      <c r="G530" s="65">
        <f>Ringkasan!G529</f>
        <v>1</v>
      </c>
      <c r="H530" s="19">
        <f>Ringkasan!H529</f>
        <v>11</v>
      </c>
      <c r="I530" s="19">
        <f>Ringkasan!I529</f>
        <v>1.9</v>
      </c>
      <c r="J530" s="19">
        <f>Ringkasan!J529</f>
        <v>17.7</v>
      </c>
      <c r="K530" s="19">
        <f>Ringkasan!K529</f>
        <v>11.4</v>
      </c>
      <c r="L530" s="19">
        <f>Ringkasan!L529</f>
        <v>0.55</v>
      </c>
      <c r="M530" s="19">
        <f>Ringkasan!M529</f>
        <v>69.8</v>
      </c>
      <c r="N530" s="64" t="str">
        <f>Ringkasan!N529</f>
        <v/>
      </c>
      <c r="O530" s="64" t="str">
        <f>Ringkasan!O529</f>
        <v/>
      </c>
      <c r="P530" s="64" t="str">
        <f>Ringkasan!P529</f>
        <v/>
      </c>
      <c r="Q530" s="64" t="str">
        <f>Ringkasan!Q529</f>
        <v/>
      </c>
      <c r="R530" s="64" t="str">
        <f>Ringkasan!R529</f>
        <v/>
      </c>
      <c r="S530" s="64" t="str">
        <f>Ringkasan!S529</f>
        <v/>
      </c>
      <c r="T530" s="64" t="str">
        <f>Ringkasan!T529</f>
        <v/>
      </c>
      <c r="U530" s="64">
        <f>Ringkasan!U529</f>
        <v>88</v>
      </c>
      <c r="V530" s="64">
        <f>Ringkasan!V529</f>
        <v>2.27</v>
      </c>
      <c r="W530" s="64">
        <f>Ringkasan!W529</f>
        <v>88</v>
      </c>
      <c r="X530" s="64">
        <f>Ringkasan!X529</f>
        <v>92</v>
      </c>
      <c r="Y530" s="64">
        <f>Ringkasan!Y529</f>
        <v>88</v>
      </c>
      <c r="Z530" s="64">
        <f>Ringkasan!Z529</f>
        <v>4694600</v>
      </c>
      <c r="AA530" s="64" t="str">
        <f>Ringkasan!AA529</f>
        <v>Tourism &amp; Recreation</v>
      </c>
      <c r="AB530" s="64" t="str">
        <f>Ringkasan!AB529</f>
        <v>Consumer Cyclicals</v>
      </c>
    </row>
    <row r="531" hidden="1">
      <c r="A531" s="64" t="str">
        <f>Ringkasan!A530</f>
        <v>CNTB</v>
      </c>
      <c r="B531" s="64" t="str">
        <f>Ringkasan!B530</f>
        <v>Century Textile Industry (Seri B) Tbk.</v>
      </c>
      <c r="C531" s="65">
        <f>Ringkasan!C530</f>
        <v>0</v>
      </c>
      <c r="D531" s="64" t="str">
        <f>Ringkasan!D530</f>
        <v>#N/A</v>
      </c>
      <c r="E531" s="64" t="str">
        <f>Ringkasan!E530</f>
        <v/>
      </c>
      <c r="F531" s="64" t="str">
        <f>Ringkasan!F530</f>
        <v/>
      </c>
      <c r="G531" s="64">
        <f>Ringkasan!G530</f>
        <v>0</v>
      </c>
      <c r="H531" s="19">
        <f>Ringkasan!H530</f>
        <v>-0.22</v>
      </c>
      <c r="I531" s="19">
        <f>Ringkasan!I530</f>
        <v>-0.06</v>
      </c>
      <c r="J531" s="19">
        <f>Ringkasan!J530</f>
        <v>0</v>
      </c>
      <c r="K531" s="19">
        <f>Ringkasan!K530</f>
        <v>-31.8</v>
      </c>
      <c r="L531" s="19">
        <f>Ringkasan!L530</f>
        <v>-1.8</v>
      </c>
      <c r="M531" s="19">
        <f>Ringkasan!M530</f>
        <v>-47.6</v>
      </c>
      <c r="N531" s="64" t="str">
        <f>Ringkasan!N530</f>
        <v/>
      </c>
      <c r="O531" s="64" t="str">
        <f>Ringkasan!O530</f>
        <v/>
      </c>
      <c r="P531" s="64" t="str">
        <f>Ringkasan!P530</f>
        <v/>
      </c>
      <c r="Q531" s="64" t="str">
        <f>Ringkasan!Q530</f>
        <v/>
      </c>
      <c r="R531" s="64" t="str">
        <f>Ringkasan!R530</f>
        <v/>
      </c>
      <c r="S531" s="64" t="str">
        <f>Ringkasan!S530</f>
        <v/>
      </c>
      <c r="T531" s="64" t="str">
        <f>Ringkasan!T530</f>
        <v/>
      </c>
      <c r="U531" s="64">
        <f>Ringkasan!U530</f>
        <v>2.1</v>
      </c>
      <c r="V531" s="64">
        <f>Ringkasan!V530</f>
        <v>0.95</v>
      </c>
      <c r="W531" s="64">
        <f>Ringkasan!W530</f>
        <v>2.1</v>
      </c>
      <c r="X531" s="64">
        <f>Ringkasan!X530</f>
        <v>2.17</v>
      </c>
      <c r="Y531" s="64">
        <f>Ringkasan!Y530</f>
        <v>2.07</v>
      </c>
      <c r="Z531" s="64">
        <f>Ringkasan!Z530</f>
        <v>173605</v>
      </c>
      <c r="AA531" s="64" t="str">
        <f>Ringkasan!AA530</f>
        <v/>
      </c>
      <c r="AB531" s="64" t="str">
        <f>Ringkasan!AB530</f>
        <v>No Sector</v>
      </c>
    </row>
    <row r="532" hidden="1">
      <c r="A532" s="64" t="str">
        <f>Ringkasan!A531</f>
        <v>CNTX</v>
      </c>
      <c r="B532" s="64" t="str">
        <f>Ringkasan!B531</f>
        <v>Centex Tbk</v>
      </c>
      <c r="C532" s="65">
        <f>Ringkasan!C531</f>
        <v>142</v>
      </c>
      <c r="D532" s="64" t="str">
        <f>Ringkasan!D531</f>
        <v>#N/A</v>
      </c>
      <c r="E532" s="64" t="str">
        <f>Ringkasan!E531</f>
        <v/>
      </c>
      <c r="F532" s="64" t="str">
        <f>Ringkasan!F531</f>
        <v/>
      </c>
      <c r="G532" s="64">
        <f>Ringkasan!G531</f>
        <v>0</v>
      </c>
      <c r="H532" s="19">
        <f>Ringkasan!H531</f>
        <v>-0.07</v>
      </c>
      <c r="I532" s="19">
        <f>Ringkasan!I531</f>
        <v>-0.02</v>
      </c>
      <c r="J532" s="19">
        <f>Ringkasan!J531</f>
        <v>0</v>
      </c>
      <c r="K532" s="19">
        <f>Ringkasan!K531</f>
        <v>-31.8</v>
      </c>
      <c r="L532" s="19">
        <f>Ringkasan!L531</f>
        <v>-1.8</v>
      </c>
      <c r="M532" s="19">
        <f>Ringkasan!M531</f>
        <v>-47.6</v>
      </c>
      <c r="N532" s="64" t="str">
        <f>Ringkasan!N531</f>
        <v/>
      </c>
      <c r="O532" s="64" t="str">
        <f>Ringkasan!O531</f>
        <v/>
      </c>
      <c r="P532" s="64" t="str">
        <f>Ringkasan!P531</f>
        <v/>
      </c>
      <c r="Q532" s="64" t="str">
        <f>Ringkasan!Q531</f>
        <v/>
      </c>
      <c r="R532" s="64" t="str">
        <f>Ringkasan!R531</f>
        <v/>
      </c>
      <c r="S532" s="64" t="str">
        <f>Ringkasan!S531</f>
        <v/>
      </c>
      <c r="T532" s="64" t="str">
        <f>Ringkasan!T531</f>
        <v/>
      </c>
      <c r="U532" s="64">
        <f>Ringkasan!U531</f>
        <v>1.42</v>
      </c>
      <c r="V532" s="64">
        <f>Ringkasan!V531</f>
        <v>-2.11</v>
      </c>
      <c r="W532" s="64">
        <f>Ringkasan!W531</f>
        <v>1.43</v>
      </c>
      <c r="X532" s="64">
        <f>Ringkasan!X531</f>
        <v>1.51</v>
      </c>
      <c r="Y532" s="64">
        <f>Ringkasan!Y531</f>
        <v>1.39</v>
      </c>
      <c r="Z532" s="64">
        <f>Ringkasan!Z531</f>
        <v>498818</v>
      </c>
      <c r="AA532" s="64" t="str">
        <f>Ringkasan!AA531</f>
        <v>Apparel &amp; Luxury Goods</v>
      </c>
      <c r="AB532" s="64" t="str">
        <f>Ringkasan!AB531</f>
        <v>Consumer Cyclicals</v>
      </c>
    </row>
    <row r="533" hidden="1">
      <c r="A533" s="64" t="str">
        <f>Ringkasan!A532</f>
        <v>COAL</v>
      </c>
      <c r="B533" s="64" t="str">
        <f>Ringkasan!B532</f>
        <v>Black Diamond Resources Tbk.</v>
      </c>
      <c r="C533" s="65">
        <f>Ringkasan!C532</f>
        <v>34</v>
      </c>
      <c r="D533" s="64" t="str">
        <f>Ringkasan!D532</f>
        <v>#N/A</v>
      </c>
      <c r="E533" s="64" t="str">
        <f>Ringkasan!E532</f>
        <v/>
      </c>
      <c r="F533" s="64" t="str">
        <f>Ringkasan!F532</f>
        <v/>
      </c>
      <c r="G533" s="64">
        <f>Ringkasan!G532</f>
        <v>0</v>
      </c>
      <c r="H533" s="19">
        <f>Ringkasan!H532</f>
        <v>73</v>
      </c>
      <c r="I533" s="19">
        <f>Ringkasan!I532</f>
        <v>0.85</v>
      </c>
      <c r="J533" s="19">
        <f>Ringkasan!J532</f>
        <v>1.2</v>
      </c>
      <c r="K533" s="19">
        <f>Ringkasan!K532</f>
        <v>0.53</v>
      </c>
      <c r="L533" s="19">
        <f>Ringkasan!L532</f>
        <v>1.2</v>
      </c>
      <c r="M533" s="19">
        <f>Ringkasan!M532</f>
        <v>1.8</v>
      </c>
      <c r="N533" s="64" t="str">
        <f>Ringkasan!N532</f>
        <v/>
      </c>
      <c r="O533" s="64" t="str">
        <f>Ringkasan!O532</f>
        <v/>
      </c>
      <c r="P533" s="64" t="str">
        <f>Ringkasan!P532</f>
        <v/>
      </c>
      <c r="Q533" s="64" t="str">
        <f>Ringkasan!Q532</f>
        <v/>
      </c>
      <c r="R533" s="64" t="str">
        <f>Ringkasan!R532</f>
        <v/>
      </c>
      <c r="S533" s="64" t="str">
        <f>Ringkasan!S532</f>
        <v/>
      </c>
      <c r="T533" s="64" t="str">
        <f>Ringkasan!T532</f>
        <v/>
      </c>
      <c r="U533" s="64">
        <f>Ringkasan!U532</f>
        <v>25.97</v>
      </c>
      <c r="V533" s="64" t="str">
        <f>Ringkasan!V532</f>
        <v/>
      </c>
      <c r="W533" s="64">
        <f>Ringkasan!W532</f>
        <v>26.25</v>
      </c>
      <c r="X533" s="64" t="str">
        <f>Ringkasan!X532</f>
        <v/>
      </c>
      <c r="Y533" s="64">
        <f>Ringkasan!Y532</f>
        <v>26.25</v>
      </c>
      <c r="Z533" s="64">
        <f>Ringkasan!Z532</f>
        <v>3025</v>
      </c>
      <c r="AA533" s="64" t="str">
        <f>Ringkasan!AA532</f>
        <v>Coal</v>
      </c>
      <c r="AB533" s="64" t="str">
        <f>Ringkasan!AB532</f>
        <v>Energy</v>
      </c>
    </row>
    <row r="534" hidden="1">
      <c r="A534" s="64" t="str">
        <f>Ringkasan!A533</f>
        <v>COCO</v>
      </c>
      <c r="B534" s="64" t="str">
        <f>Ringkasan!B533</f>
        <v>Wahana Interfood Nusantara Tbk.</v>
      </c>
      <c r="C534" s="65">
        <f>Ringkasan!C533</f>
        <v>194</v>
      </c>
      <c r="D534" s="64" t="str">
        <f>Ringkasan!D533</f>
        <v>#N/A</v>
      </c>
      <c r="E534" s="64" t="str">
        <f>Ringkasan!E533</f>
        <v/>
      </c>
      <c r="F534" s="64" t="str">
        <f>Ringkasan!F533</f>
        <v/>
      </c>
      <c r="G534" s="64">
        <f>Ringkasan!G533</f>
        <v>0</v>
      </c>
      <c r="H534" s="19">
        <f>Ringkasan!H533</f>
        <v>-3.5</v>
      </c>
      <c r="I534" s="19">
        <f>Ringkasan!I533</f>
        <v>7.8</v>
      </c>
      <c r="J534" s="19">
        <f>Ringkasan!J533</f>
        <v>-220</v>
      </c>
      <c r="K534" s="19">
        <f>Ringkasan!K533</f>
        <v>-46.3</v>
      </c>
      <c r="L534" s="19">
        <f>Ringkasan!L533</f>
        <v>3.8</v>
      </c>
      <c r="M534" s="19">
        <f>Ringkasan!M533</f>
        <v>-150</v>
      </c>
      <c r="N534" s="64" t="str">
        <f>Ringkasan!N533</f>
        <v/>
      </c>
      <c r="O534" s="64" t="str">
        <f>Ringkasan!O533</f>
        <v/>
      </c>
      <c r="P534" s="64" t="str">
        <f>Ringkasan!P533</f>
        <v/>
      </c>
      <c r="Q534" s="64" t="str">
        <f>Ringkasan!Q533</f>
        <v/>
      </c>
      <c r="R534" s="64" t="str">
        <f>Ringkasan!R533</f>
        <v/>
      </c>
      <c r="S534" s="64" t="str">
        <f>Ringkasan!S533</f>
        <v/>
      </c>
      <c r="T534" s="64" t="str">
        <f>Ringkasan!T533</f>
        <v/>
      </c>
      <c r="U534" s="64">
        <f>Ringkasan!U533</f>
        <v>78.65</v>
      </c>
      <c r="V534" s="64">
        <f>Ringkasan!V533</f>
        <v>2.86</v>
      </c>
      <c r="W534" s="64">
        <f>Ringkasan!W533</f>
        <v>78.65</v>
      </c>
      <c r="X534" s="64">
        <f>Ringkasan!X533</f>
        <v>82.33</v>
      </c>
      <c r="Y534" s="64">
        <f>Ringkasan!Y533</f>
        <v>77</v>
      </c>
      <c r="Z534" s="64">
        <f>Ringkasan!Z533</f>
        <v>1463100</v>
      </c>
      <c r="AA534" s="64" t="str">
        <f>Ringkasan!AA533</f>
        <v>Processed Foods</v>
      </c>
      <c r="AB534" s="64" t="str">
        <f>Ringkasan!AB533</f>
        <v>Consumer Non-Cyclicals</v>
      </c>
    </row>
    <row r="535" hidden="1">
      <c r="A535" s="64" t="str">
        <f>Ringkasan!A534</f>
        <v>COIN</v>
      </c>
      <c r="B535" s="64" t="str">
        <f>Ringkasan!B534</f>
        <v>Indokripto Koin Semesta Tbk.</v>
      </c>
      <c r="C535" s="65">
        <f>Ringkasan!C534</f>
        <v>750</v>
      </c>
      <c r="D535" s="64" t="str">
        <f>Ringkasan!D534</f>
        <v>#N/A</v>
      </c>
      <c r="E535" s="64" t="str">
        <f>Ringkasan!E534</f>
        <v/>
      </c>
      <c r="F535" s="64" t="str">
        <f>Ringkasan!F534</f>
        <v/>
      </c>
      <c r="G535" s="64">
        <f>Ringkasan!G534</f>
        <v>0</v>
      </c>
      <c r="H535" s="19">
        <f>Ringkasan!H534</f>
        <v>430</v>
      </c>
      <c r="I535" s="19">
        <f>Ringkasan!I534</f>
        <v>7.8</v>
      </c>
      <c r="J535" s="19">
        <f>Ringkasan!J534</f>
        <v>1.8</v>
      </c>
      <c r="K535" s="19">
        <f>Ringkasan!K534</f>
        <v>1.8</v>
      </c>
      <c r="L535" s="19">
        <f>Ringkasan!L534</f>
        <v>0.03</v>
      </c>
      <c r="M535" s="19">
        <f>Ringkasan!M534</f>
        <v>66.9</v>
      </c>
      <c r="N535" s="64" t="str">
        <f>Ringkasan!N534</f>
        <v/>
      </c>
      <c r="O535" s="64" t="str">
        <f>Ringkasan!O534</f>
        <v/>
      </c>
      <c r="P535" s="64" t="str">
        <f>Ringkasan!P534</f>
        <v/>
      </c>
      <c r="Q535" s="64" t="str">
        <f>Ringkasan!Q534</f>
        <v/>
      </c>
      <c r="R535" s="64" t="str">
        <f>Ringkasan!R534</f>
        <v/>
      </c>
      <c r="S535" s="64" t="str">
        <f>Ringkasan!S534</f>
        <v/>
      </c>
      <c r="T535" s="64" t="str">
        <f>Ringkasan!T534</f>
        <v/>
      </c>
      <c r="U535" s="64">
        <f>Ringkasan!U534</f>
        <v>160.43</v>
      </c>
      <c r="V535" s="64">
        <f>Ringkasan!V534</f>
        <v>-0.41</v>
      </c>
      <c r="W535" s="64">
        <f>Ringkasan!W534</f>
        <v>160.43</v>
      </c>
      <c r="X535" s="64">
        <f>Ringkasan!X534</f>
        <v>165.49</v>
      </c>
      <c r="Y535" s="64">
        <f>Ringkasan!Y534</f>
        <v>155.42</v>
      </c>
      <c r="Z535" s="64">
        <f>Ringkasan!Z534</f>
        <v>6508340</v>
      </c>
      <c r="AA535" s="64" t="str">
        <f>Ringkasan!AA534</f>
        <v>Holding &amp; Investment Companies</v>
      </c>
      <c r="AB535" s="64" t="str">
        <f>Ringkasan!AB534</f>
        <v>Financials</v>
      </c>
    </row>
    <row r="536" hidden="1">
      <c r="A536" s="64" t="str">
        <f>Ringkasan!A535</f>
        <v>COWL</v>
      </c>
      <c r="B536" s="64" t="str">
        <f>Ringkasan!B535</f>
        <v>Cowell Development Tbk.</v>
      </c>
      <c r="C536" s="65">
        <f>Ringkasan!C535</f>
        <v>50</v>
      </c>
      <c r="D536" s="64" t="str">
        <f>Ringkasan!D535</f>
        <v>#N/A</v>
      </c>
      <c r="E536" s="64" t="str">
        <f>Ringkasan!E535</f>
        <v/>
      </c>
      <c r="F536" s="64" t="str">
        <f>Ringkasan!F535</f>
        <v/>
      </c>
      <c r="G536" s="64">
        <f>Ringkasan!G535</f>
        <v>0</v>
      </c>
      <c r="H536" s="19" t="str">
        <f>Ringkasan!H535</f>
        <v/>
      </c>
      <c r="I536" s="19">
        <f>Ringkasan!I535</f>
        <v>-12.6</v>
      </c>
      <c r="J536" s="19" t="str">
        <f>Ringkasan!J535</f>
        <v/>
      </c>
      <c r="K536" s="19">
        <f>Ringkasan!K535</f>
        <v>0</v>
      </c>
      <c r="L536" s="19">
        <f>Ringkasan!L535</f>
        <v>-130</v>
      </c>
      <c r="M536" s="19">
        <f>Ringkasan!M535</f>
        <v>-210</v>
      </c>
      <c r="N536" s="64" t="str">
        <f>Ringkasan!N535</f>
        <v/>
      </c>
      <c r="O536" s="64" t="str">
        <f>Ringkasan!O535</f>
        <v/>
      </c>
      <c r="P536" s="64" t="str">
        <f>Ringkasan!P535</f>
        <v/>
      </c>
      <c r="Q536" s="64" t="str">
        <f>Ringkasan!Q535</f>
        <v/>
      </c>
      <c r="R536" s="64" t="str">
        <f>Ringkasan!R535</f>
        <v/>
      </c>
      <c r="S536" s="64" t="str">
        <f>Ringkasan!S535</f>
        <v/>
      </c>
      <c r="T536" s="64" t="str">
        <f>Ringkasan!T535</f>
        <v/>
      </c>
      <c r="U536" s="64">
        <f>Ringkasan!U535</f>
        <v>50</v>
      </c>
      <c r="V536" s="64">
        <f>Ringkasan!V535</f>
        <v>0</v>
      </c>
      <c r="W536" s="64" t="str">
        <f>Ringkasan!W535</f>
        <v/>
      </c>
      <c r="X536" s="64" t="str">
        <f>Ringkasan!X535</f>
        <v/>
      </c>
      <c r="Y536" s="64" t="str">
        <f>Ringkasan!Y535</f>
        <v/>
      </c>
      <c r="Z536" s="64">
        <f>Ringkasan!Z535</f>
        <v>0</v>
      </c>
      <c r="AA536" s="64" t="str">
        <f>Ringkasan!AA535</f>
        <v>Real Estate Management &amp; Development</v>
      </c>
      <c r="AB536" s="64" t="str">
        <f>Ringkasan!AB535</f>
        <v>Properties &amp; Real Estate</v>
      </c>
    </row>
    <row r="537" hidden="1">
      <c r="A537" s="64" t="str">
        <f>Ringkasan!A536</f>
        <v>CPIN</v>
      </c>
      <c r="B537" s="64" t="str">
        <f>Ringkasan!B536</f>
        <v>Charoen Pokphand Indonesia Tbk</v>
      </c>
      <c r="C537" s="65">
        <f>Ringkasan!C536</f>
        <v>3300</v>
      </c>
      <c r="D537" s="64" t="str">
        <f>Ringkasan!D536</f>
        <v>#N/A</v>
      </c>
      <c r="E537" s="64" t="str">
        <f>Ringkasan!E536</f>
        <v>MSCI Global Standard</v>
      </c>
      <c r="F537" s="64" t="str">
        <f>Ringkasan!F536</f>
        <v>12 Agustus 2026</v>
      </c>
      <c r="G537" s="64">
        <f>Ringkasan!G536</f>
        <v>13</v>
      </c>
      <c r="H537" s="19">
        <f>Ringkasan!H536</f>
        <v>10.5</v>
      </c>
      <c r="I537" s="19">
        <f>Ringkasan!I536</f>
        <v>1.9</v>
      </c>
      <c r="J537" s="19">
        <f>Ringkasan!J536</f>
        <v>18.2</v>
      </c>
      <c r="K537" s="19">
        <f>Ringkasan!K536</f>
        <v>13.8</v>
      </c>
      <c r="L537" s="19">
        <f>Ringkasan!L536</f>
        <v>0.32</v>
      </c>
      <c r="M537" s="19">
        <f>Ringkasan!M536</f>
        <v>33.5</v>
      </c>
      <c r="N537" s="64" t="str">
        <f>Ringkasan!N536</f>
        <v/>
      </c>
      <c r="O537" s="64" t="str">
        <f>Ringkasan!O536</f>
        <v/>
      </c>
      <c r="P537" s="64" t="str">
        <f>Ringkasan!P536</f>
        <v/>
      </c>
      <c r="Q537" s="64" t="str">
        <f>Ringkasan!Q536</f>
        <v/>
      </c>
      <c r="R537" s="64" t="str">
        <f>Ringkasan!R536</f>
        <v/>
      </c>
      <c r="S537" s="64" t="str">
        <f>Ringkasan!S536</f>
        <v/>
      </c>
      <c r="T537" s="64" t="str">
        <f>Ringkasan!T536</f>
        <v/>
      </c>
      <c r="U537" s="64">
        <f>Ringkasan!U536</f>
        <v>3260</v>
      </c>
      <c r="V537" s="64">
        <f>Ringkasan!V536</f>
        <v>1.23</v>
      </c>
      <c r="W537" s="64">
        <f>Ringkasan!W536</f>
        <v>3340</v>
      </c>
      <c r="X537" s="64">
        <f>Ringkasan!X536</f>
        <v>3340</v>
      </c>
      <c r="Y537" s="64">
        <f>Ringkasan!Y536</f>
        <v>3240</v>
      </c>
      <c r="Z537" s="64">
        <f>Ringkasan!Z536</f>
        <v>4628500</v>
      </c>
      <c r="AA537" s="64" t="str">
        <f>Ringkasan!AA536</f>
        <v>Agricultural Products</v>
      </c>
      <c r="AB537" s="64" t="str">
        <f>Ringkasan!AB536</f>
        <v>Consumer Non-Cyclicals</v>
      </c>
    </row>
    <row r="538" hidden="1">
      <c r="A538" s="64" t="str">
        <f>Ringkasan!A537</f>
        <v>CPIN</v>
      </c>
      <c r="B538" s="64" t="str">
        <f>Ringkasan!B537</f>
        <v>Charoen Pokphand Indonesia Tbk</v>
      </c>
      <c r="C538" s="65">
        <f>Ringkasan!C537</f>
        <v>3300</v>
      </c>
      <c r="D538" s="64" t="str">
        <f>Ringkasan!D537</f>
        <v>#N/A</v>
      </c>
      <c r="E538" s="64" t="str">
        <f>Ringkasan!E537</f>
        <v>BISNIS-27</v>
      </c>
      <c r="F538" s="64" t="str">
        <f>Ringkasan!F537</f>
        <v>30 Oktober 2026</v>
      </c>
      <c r="G538" s="64">
        <f>Ringkasan!G537</f>
        <v>13</v>
      </c>
      <c r="H538" s="19">
        <f>Ringkasan!H537</f>
        <v>10.5</v>
      </c>
      <c r="I538" s="19">
        <f>Ringkasan!I537</f>
        <v>1.9</v>
      </c>
      <c r="J538" s="19">
        <f>Ringkasan!J537</f>
        <v>18.2</v>
      </c>
      <c r="K538" s="19">
        <f>Ringkasan!K537</f>
        <v>13.8</v>
      </c>
      <c r="L538" s="19">
        <f>Ringkasan!L537</f>
        <v>0.32</v>
      </c>
      <c r="M538" s="19">
        <f>Ringkasan!M537</f>
        <v>33.5</v>
      </c>
      <c r="N538" s="19" t="str">
        <f>Ringkasan!N537</f>
        <v/>
      </c>
      <c r="O538" s="19" t="str">
        <f>Ringkasan!O537</f>
        <v/>
      </c>
      <c r="P538" s="19" t="str">
        <f>Ringkasan!P537</f>
        <v/>
      </c>
      <c r="Q538" s="19" t="str">
        <f>Ringkasan!Q537</f>
        <v/>
      </c>
      <c r="R538" s="19" t="str">
        <f>Ringkasan!R537</f>
        <v/>
      </c>
      <c r="S538" s="19" t="str">
        <f>Ringkasan!S537</f>
        <v/>
      </c>
      <c r="T538" s="19" t="str">
        <f>Ringkasan!T537</f>
        <v/>
      </c>
      <c r="U538" s="64">
        <f>Ringkasan!U537</f>
        <v>3260</v>
      </c>
      <c r="V538" s="64">
        <f>Ringkasan!V537</f>
        <v>1.23</v>
      </c>
      <c r="W538" s="64">
        <f>Ringkasan!W537</f>
        <v>3340</v>
      </c>
      <c r="X538" s="64">
        <f>Ringkasan!X537</f>
        <v>3340</v>
      </c>
      <c r="Y538" s="64">
        <f>Ringkasan!Y537</f>
        <v>3240</v>
      </c>
      <c r="Z538" s="64">
        <f>Ringkasan!Z537</f>
        <v>4628500</v>
      </c>
      <c r="AA538" s="64" t="str">
        <f>Ringkasan!AA537</f>
        <v>Agricultural Products</v>
      </c>
      <c r="AB538" s="64" t="str">
        <f>Ringkasan!AB537</f>
        <v>Consumer Non-Cyclicals</v>
      </c>
    </row>
    <row r="539" hidden="1">
      <c r="A539" s="64" t="str">
        <f>Ringkasan!A538</f>
        <v>CPIN</v>
      </c>
      <c r="B539" s="64" t="str">
        <f>Ringkasan!B538</f>
        <v>Charoen Pokphand Indonesia Tbk</v>
      </c>
      <c r="C539" s="65">
        <f>Ringkasan!C538</f>
        <v>3300</v>
      </c>
      <c r="D539" s="64" t="str">
        <f>Ringkasan!D538</f>
        <v>#N/A</v>
      </c>
      <c r="E539" s="64" t="str">
        <f>Ringkasan!E538</f>
        <v>IDX30</v>
      </c>
      <c r="F539" s="64" t="str">
        <f>Ringkasan!F538</f>
        <v>31 Juli 2026</v>
      </c>
      <c r="G539" s="65">
        <f>Ringkasan!G538</f>
        <v>13</v>
      </c>
      <c r="H539" s="19">
        <f>Ringkasan!H538</f>
        <v>10.5</v>
      </c>
      <c r="I539" s="19">
        <f>Ringkasan!I538</f>
        <v>1.9</v>
      </c>
      <c r="J539" s="19">
        <f>Ringkasan!J538</f>
        <v>18.2</v>
      </c>
      <c r="K539" s="19">
        <f>Ringkasan!K538</f>
        <v>13.8</v>
      </c>
      <c r="L539" s="19">
        <f>Ringkasan!L538</f>
        <v>0.32</v>
      </c>
      <c r="M539" s="19">
        <f>Ringkasan!M538</f>
        <v>33.5</v>
      </c>
      <c r="N539" s="64" t="str">
        <f>Ringkasan!N538</f>
        <v/>
      </c>
      <c r="O539" s="64" t="str">
        <f>Ringkasan!O538</f>
        <v/>
      </c>
      <c r="P539" s="64" t="str">
        <f>Ringkasan!P538</f>
        <v/>
      </c>
      <c r="Q539" s="64" t="str">
        <f>Ringkasan!Q538</f>
        <v/>
      </c>
      <c r="R539" s="64" t="str">
        <f>Ringkasan!R538</f>
        <v/>
      </c>
      <c r="S539" s="64" t="str">
        <f>Ringkasan!S538</f>
        <v/>
      </c>
      <c r="T539" s="64" t="str">
        <f>Ringkasan!T538</f>
        <v/>
      </c>
      <c r="U539" s="64">
        <f>Ringkasan!U538</f>
        <v>3260</v>
      </c>
      <c r="V539" s="64">
        <f>Ringkasan!V538</f>
        <v>1.23</v>
      </c>
      <c r="W539" s="64">
        <f>Ringkasan!W538</f>
        <v>3340</v>
      </c>
      <c r="X539" s="64">
        <f>Ringkasan!X538</f>
        <v>3340</v>
      </c>
      <c r="Y539" s="64">
        <f>Ringkasan!Y538</f>
        <v>3240</v>
      </c>
      <c r="Z539" s="64">
        <f>Ringkasan!Z538</f>
        <v>4628500</v>
      </c>
      <c r="AA539" s="64" t="str">
        <f>Ringkasan!AA538</f>
        <v>Agricultural Products</v>
      </c>
      <c r="AB539" s="64" t="str">
        <f>Ringkasan!AB538</f>
        <v>Consumer Non-Cyclicals</v>
      </c>
    </row>
    <row r="540" hidden="1">
      <c r="A540" s="64" t="str">
        <f>Ringkasan!A539</f>
        <v>CPIN</v>
      </c>
      <c r="B540" s="64" t="str">
        <f>Ringkasan!B539</f>
        <v>Charoen Pokphand Indonesia Tbk</v>
      </c>
      <c r="C540" s="65">
        <f>Ringkasan!C539</f>
        <v>3300</v>
      </c>
      <c r="D540" s="64" t="str">
        <f>Ringkasan!D539</f>
        <v>#N/A</v>
      </c>
      <c r="E540" s="64" t="str">
        <f>Ringkasan!E539</f>
        <v>LQ45</v>
      </c>
      <c r="F540" s="64" t="str">
        <f>Ringkasan!F539</f>
        <v>31 Juli 2026</v>
      </c>
      <c r="G540" s="65">
        <f>Ringkasan!G539</f>
        <v>13</v>
      </c>
      <c r="H540" s="19">
        <f>Ringkasan!H539</f>
        <v>10.5</v>
      </c>
      <c r="I540" s="19">
        <f>Ringkasan!I539</f>
        <v>1.9</v>
      </c>
      <c r="J540" s="19">
        <f>Ringkasan!J539</f>
        <v>18.2</v>
      </c>
      <c r="K540" s="19">
        <f>Ringkasan!K539</f>
        <v>13.8</v>
      </c>
      <c r="L540" s="19">
        <f>Ringkasan!L539</f>
        <v>0.32</v>
      </c>
      <c r="M540" s="19">
        <f>Ringkasan!M539</f>
        <v>33.5</v>
      </c>
      <c r="N540" s="64" t="str">
        <f>Ringkasan!N539</f>
        <v/>
      </c>
      <c r="O540" s="64" t="str">
        <f>Ringkasan!O539</f>
        <v/>
      </c>
      <c r="P540" s="64" t="str">
        <f>Ringkasan!P539</f>
        <v/>
      </c>
      <c r="Q540" s="64" t="str">
        <f>Ringkasan!Q539</f>
        <v/>
      </c>
      <c r="R540" s="64" t="str">
        <f>Ringkasan!R539</f>
        <v/>
      </c>
      <c r="S540" s="64" t="str">
        <f>Ringkasan!S539</f>
        <v/>
      </c>
      <c r="T540" s="64" t="str">
        <f>Ringkasan!T539</f>
        <v/>
      </c>
      <c r="U540" s="64">
        <f>Ringkasan!U539</f>
        <v>3260</v>
      </c>
      <c r="V540" s="64">
        <f>Ringkasan!V539</f>
        <v>1.23</v>
      </c>
      <c r="W540" s="64">
        <f>Ringkasan!W539</f>
        <v>3340</v>
      </c>
      <c r="X540" s="64">
        <f>Ringkasan!X539</f>
        <v>3340</v>
      </c>
      <c r="Y540" s="64">
        <f>Ringkasan!Y539</f>
        <v>3240</v>
      </c>
      <c r="Z540" s="64">
        <f>Ringkasan!Z539</f>
        <v>4628500</v>
      </c>
      <c r="AA540" s="64" t="str">
        <f>Ringkasan!AA539</f>
        <v>Agricultural Products</v>
      </c>
      <c r="AB540" s="64" t="str">
        <f>Ringkasan!AB539</f>
        <v>Consumer Non-Cyclicals</v>
      </c>
    </row>
    <row r="541" hidden="1">
      <c r="A541" s="64" t="str">
        <f>Ringkasan!A540</f>
        <v>CPIN</v>
      </c>
      <c r="B541" s="64" t="str">
        <f>Ringkasan!B540</f>
        <v>Charoen Pokphand Indonesia Tbk</v>
      </c>
      <c r="C541" s="65">
        <f>Ringkasan!C540</f>
        <v>3300</v>
      </c>
      <c r="D541" s="64" t="str">
        <f>Ringkasan!D540</f>
        <v>#N/A</v>
      </c>
      <c r="E541" s="64" t="str">
        <f>Ringkasan!E540</f>
        <v>IDX80</v>
      </c>
      <c r="F541" s="64" t="str">
        <f>Ringkasan!F540</f>
        <v>31 Juli 2026</v>
      </c>
      <c r="G541" s="65">
        <f>Ringkasan!G540</f>
        <v>13</v>
      </c>
      <c r="H541" s="19">
        <f>Ringkasan!H540</f>
        <v>10.5</v>
      </c>
      <c r="I541" s="19">
        <f>Ringkasan!I540</f>
        <v>1.9</v>
      </c>
      <c r="J541" s="19">
        <f>Ringkasan!J540</f>
        <v>18.2</v>
      </c>
      <c r="K541" s="19">
        <f>Ringkasan!K540</f>
        <v>13.8</v>
      </c>
      <c r="L541" s="19">
        <f>Ringkasan!L540</f>
        <v>0.32</v>
      </c>
      <c r="M541" s="19">
        <f>Ringkasan!M540</f>
        <v>33.5</v>
      </c>
      <c r="N541" s="64" t="str">
        <f>Ringkasan!N540</f>
        <v/>
      </c>
      <c r="O541" s="64" t="str">
        <f>Ringkasan!O540</f>
        <v/>
      </c>
      <c r="P541" s="64" t="str">
        <f>Ringkasan!P540</f>
        <v/>
      </c>
      <c r="Q541" s="64" t="str">
        <f>Ringkasan!Q540</f>
        <v/>
      </c>
      <c r="R541" s="64" t="str">
        <f>Ringkasan!R540</f>
        <v/>
      </c>
      <c r="S541" s="64" t="str">
        <f>Ringkasan!S540</f>
        <v/>
      </c>
      <c r="T541" s="64" t="str">
        <f>Ringkasan!T540</f>
        <v/>
      </c>
      <c r="U541" s="64">
        <f>Ringkasan!U540</f>
        <v>3260</v>
      </c>
      <c r="V541" s="64">
        <f>Ringkasan!V540</f>
        <v>1.23</v>
      </c>
      <c r="W541" s="64">
        <f>Ringkasan!W540</f>
        <v>3340</v>
      </c>
      <c r="X541" s="64">
        <f>Ringkasan!X540</f>
        <v>3340</v>
      </c>
      <c r="Y541" s="64">
        <f>Ringkasan!Y540</f>
        <v>3240</v>
      </c>
      <c r="Z541" s="64">
        <f>Ringkasan!Z540</f>
        <v>4628500</v>
      </c>
      <c r="AA541" s="64" t="str">
        <f>Ringkasan!AA540</f>
        <v>Agricultural Products</v>
      </c>
      <c r="AB541" s="64" t="str">
        <f>Ringkasan!AB540</f>
        <v>Consumer Non-Cyclicals</v>
      </c>
    </row>
    <row r="542" hidden="1">
      <c r="A542" s="64" t="str">
        <f>Ringkasan!A541</f>
        <v>CPIN</v>
      </c>
      <c r="B542" s="64" t="str">
        <f>Ringkasan!B541</f>
        <v>Charoen Pokphand Indonesia Tbk</v>
      </c>
      <c r="C542" s="65">
        <f>Ringkasan!C541</f>
        <v>3300</v>
      </c>
      <c r="D542" s="64" t="str">
        <f>Ringkasan!D541</f>
        <v>#N/A</v>
      </c>
      <c r="E542" s="64" t="str">
        <f>Ringkasan!E541</f>
        <v>IDXVESTA28</v>
      </c>
      <c r="F542" s="64" t="str">
        <f>Ringkasan!F541</f>
        <v>31 Agustus 2026</v>
      </c>
      <c r="G542" s="65">
        <f>Ringkasan!G541</f>
        <v>13</v>
      </c>
      <c r="H542" s="19">
        <f>Ringkasan!H541</f>
        <v>10.5</v>
      </c>
      <c r="I542" s="19">
        <f>Ringkasan!I541</f>
        <v>1.9</v>
      </c>
      <c r="J542" s="19">
        <f>Ringkasan!J541</f>
        <v>18.2</v>
      </c>
      <c r="K542" s="19">
        <f>Ringkasan!K541</f>
        <v>13.8</v>
      </c>
      <c r="L542" s="19">
        <f>Ringkasan!L541</f>
        <v>0.32</v>
      </c>
      <c r="M542" s="19">
        <f>Ringkasan!M541</f>
        <v>33.5</v>
      </c>
      <c r="N542" s="64" t="str">
        <f>Ringkasan!N541</f>
        <v/>
      </c>
      <c r="O542" s="64" t="str">
        <f>Ringkasan!O541</f>
        <v/>
      </c>
      <c r="P542" s="64" t="str">
        <f>Ringkasan!P541</f>
        <v/>
      </c>
      <c r="Q542" s="64" t="str">
        <f>Ringkasan!Q541</f>
        <v/>
      </c>
      <c r="R542" s="64" t="str">
        <f>Ringkasan!R541</f>
        <v/>
      </c>
      <c r="S542" s="64" t="str">
        <f>Ringkasan!S541</f>
        <v/>
      </c>
      <c r="T542" s="64" t="str">
        <f>Ringkasan!T541</f>
        <v/>
      </c>
      <c r="U542" s="64">
        <f>Ringkasan!U541</f>
        <v>3260</v>
      </c>
      <c r="V542" s="64">
        <f>Ringkasan!V541</f>
        <v>1.23</v>
      </c>
      <c r="W542" s="64">
        <f>Ringkasan!W541</f>
        <v>3340</v>
      </c>
      <c r="X542" s="64">
        <f>Ringkasan!X541</f>
        <v>3340</v>
      </c>
      <c r="Y542" s="64">
        <f>Ringkasan!Y541</f>
        <v>3240</v>
      </c>
      <c r="Z542" s="64">
        <f>Ringkasan!Z541</f>
        <v>4628500</v>
      </c>
      <c r="AA542" s="64" t="str">
        <f>Ringkasan!AA541</f>
        <v>Agricultural Products</v>
      </c>
      <c r="AB542" s="64" t="str">
        <f>Ringkasan!AB541</f>
        <v>Consumer Non-Cyclicals</v>
      </c>
    </row>
    <row r="543" hidden="1">
      <c r="A543" s="64" t="str">
        <f>Ringkasan!A542</f>
        <v>CPIN</v>
      </c>
      <c r="B543" s="64" t="str">
        <f>Ringkasan!B542</f>
        <v>Charoen Pokphand Indonesia Tbk</v>
      </c>
      <c r="C543" s="65">
        <f>Ringkasan!C542</f>
        <v>3300</v>
      </c>
      <c r="D543" s="64" t="str">
        <f>Ringkasan!D542</f>
        <v>#N/A</v>
      </c>
      <c r="E543" s="64" t="str">
        <f>Ringkasan!E542</f>
        <v>Kompas100</v>
      </c>
      <c r="F543" s="64" t="str">
        <f>Ringkasan!F542</f>
        <v>31 Juli 2026</v>
      </c>
      <c r="G543" s="65">
        <f>Ringkasan!G542</f>
        <v>13</v>
      </c>
      <c r="H543" s="19">
        <f>Ringkasan!H542</f>
        <v>10.5</v>
      </c>
      <c r="I543" s="19">
        <f>Ringkasan!I542</f>
        <v>1.9</v>
      </c>
      <c r="J543" s="19">
        <f>Ringkasan!J542</f>
        <v>18.2</v>
      </c>
      <c r="K543" s="19">
        <f>Ringkasan!K542</f>
        <v>13.8</v>
      </c>
      <c r="L543" s="19">
        <f>Ringkasan!L542</f>
        <v>0.32</v>
      </c>
      <c r="M543" s="19">
        <f>Ringkasan!M542</f>
        <v>33.5</v>
      </c>
      <c r="N543" s="64" t="str">
        <f>Ringkasan!N542</f>
        <v/>
      </c>
      <c r="O543" s="64" t="str">
        <f>Ringkasan!O542</f>
        <v/>
      </c>
      <c r="P543" s="64" t="str">
        <f>Ringkasan!P542</f>
        <v/>
      </c>
      <c r="Q543" s="64" t="str">
        <f>Ringkasan!Q542</f>
        <v/>
      </c>
      <c r="R543" s="64" t="str">
        <f>Ringkasan!R542</f>
        <v/>
      </c>
      <c r="S543" s="64" t="str">
        <f>Ringkasan!S542</f>
        <v/>
      </c>
      <c r="T543" s="64" t="str">
        <f>Ringkasan!T542</f>
        <v/>
      </c>
      <c r="U543" s="64">
        <f>Ringkasan!U542</f>
        <v>3260</v>
      </c>
      <c r="V543" s="64">
        <f>Ringkasan!V542</f>
        <v>1.23</v>
      </c>
      <c r="W543" s="64">
        <f>Ringkasan!W542</f>
        <v>3340</v>
      </c>
      <c r="X543" s="64">
        <f>Ringkasan!X542</f>
        <v>3340</v>
      </c>
      <c r="Y543" s="64">
        <f>Ringkasan!Y542</f>
        <v>3240</v>
      </c>
      <c r="Z543" s="64">
        <f>Ringkasan!Z542</f>
        <v>4628500</v>
      </c>
      <c r="AA543" s="64" t="str">
        <f>Ringkasan!AA542</f>
        <v>Agricultural Products</v>
      </c>
      <c r="AB543" s="64" t="str">
        <f>Ringkasan!AB542</f>
        <v>Consumer Non-Cyclicals</v>
      </c>
    </row>
    <row r="544" hidden="1">
      <c r="A544" s="64" t="str">
        <f>Ringkasan!A543</f>
        <v>CPIN</v>
      </c>
      <c r="B544" s="64" t="str">
        <f>Ringkasan!B543</f>
        <v>Charoen Pokphand Indonesia Tbk</v>
      </c>
      <c r="C544" s="65">
        <f>Ringkasan!C543</f>
        <v>3300</v>
      </c>
      <c r="D544" s="64" t="str">
        <f>Ringkasan!D543</f>
        <v>#N/A</v>
      </c>
      <c r="E544" s="64" t="str">
        <f>Ringkasan!E543</f>
        <v>IDXQ30</v>
      </c>
      <c r="F544" s="64" t="str">
        <f>Ringkasan!F543</f>
        <v>4 Agustus 2026</v>
      </c>
      <c r="G544" s="65">
        <f>Ringkasan!G543</f>
        <v>13</v>
      </c>
      <c r="H544" s="19">
        <f>Ringkasan!H543</f>
        <v>10.5</v>
      </c>
      <c r="I544" s="19">
        <f>Ringkasan!I543</f>
        <v>1.9</v>
      </c>
      <c r="J544" s="19">
        <f>Ringkasan!J543</f>
        <v>18.2</v>
      </c>
      <c r="K544" s="19">
        <f>Ringkasan!K543</f>
        <v>13.8</v>
      </c>
      <c r="L544" s="19">
        <f>Ringkasan!L543</f>
        <v>0.32</v>
      </c>
      <c r="M544" s="19">
        <f>Ringkasan!M543</f>
        <v>33.5</v>
      </c>
      <c r="N544" s="64" t="str">
        <f>Ringkasan!N543</f>
        <v/>
      </c>
      <c r="O544" s="64" t="str">
        <f>Ringkasan!O543</f>
        <v/>
      </c>
      <c r="P544" s="64" t="str">
        <f>Ringkasan!P543</f>
        <v/>
      </c>
      <c r="Q544" s="64" t="str">
        <f>Ringkasan!Q543</f>
        <v/>
      </c>
      <c r="R544" s="64" t="str">
        <f>Ringkasan!R543</f>
        <v/>
      </c>
      <c r="S544" s="64" t="str">
        <f>Ringkasan!S543</f>
        <v/>
      </c>
      <c r="T544" s="64" t="str">
        <f>Ringkasan!T543</f>
        <v/>
      </c>
      <c r="U544" s="64">
        <f>Ringkasan!U543</f>
        <v>3260</v>
      </c>
      <c r="V544" s="64">
        <f>Ringkasan!V543</f>
        <v>1.23</v>
      </c>
      <c r="W544" s="64">
        <f>Ringkasan!W543</f>
        <v>3340</v>
      </c>
      <c r="X544" s="64">
        <f>Ringkasan!X543</f>
        <v>3340</v>
      </c>
      <c r="Y544" s="64">
        <f>Ringkasan!Y543</f>
        <v>3240</v>
      </c>
      <c r="Z544" s="64">
        <f>Ringkasan!Z543</f>
        <v>4628500</v>
      </c>
      <c r="AA544" s="64" t="str">
        <f>Ringkasan!AA543</f>
        <v>Agricultural Products</v>
      </c>
      <c r="AB544" s="64" t="str">
        <f>Ringkasan!AB543</f>
        <v>Consumer Non-Cyclicals</v>
      </c>
    </row>
    <row r="545" hidden="1">
      <c r="A545" s="64" t="str">
        <f>Ringkasan!A544</f>
        <v>CPIN</v>
      </c>
      <c r="B545" s="64" t="str">
        <f>Ringkasan!B544</f>
        <v>Charoen Pokphand Indonesia Tbk</v>
      </c>
      <c r="C545" s="65">
        <f>Ringkasan!C544</f>
        <v>3300</v>
      </c>
      <c r="D545" s="64" t="str">
        <f>Ringkasan!D544</f>
        <v>#N/A</v>
      </c>
      <c r="E545" s="64" t="str">
        <f>Ringkasan!E544</f>
        <v>MNC36</v>
      </c>
      <c r="F545" s="64" t="str">
        <f>Ringkasan!F544</f>
        <v>30 Oktober 2026</v>
      </c>
      <c r="G545" s="64">
        <f>Ringkasan!G544</f>
        <v>13</v>
      </c>
      <c r="H545" s="19">
        <f>Ringkasan!H544</f>
        <v>10.5</v>
      </c>
      <c r="I545" s="19">
        <f>Ringkasan!I544</f>
        <v>1.9</v>
      </c>
      <c r="J545" s="19">
        <f>Ringkasan!J544</f>
        <v>18.2</v>
      </c>
      <c r="K545" s="19">
        <f>Ringkasan!K544</f>
        <v>13.8</v>
      </c>
      <c r="L545" s="19">
        <f>Ringkasan!L544</f>
        <v>0.32</v>
      </c>
      <c r="M545" s="19">
        <f>Ringkasan!M544</f>
        <v>33.5</v>
      </c>
      <c r="N545" s="64" t="str">
        <f>Ringkasan!N544</f>
        <v/>
      </c>
      <c r="O545" s="64" t="str">
        <f>Ringkasan!O544</f>
        <v/>
      </c>
      <c r="P545" s="64" t="str">
        <f>Ringkasan!P544</f>
        <v/>
      </c>
      <c r="Q545" s="64" t="str">
        <f>Ringkasan!Q544</f>
        <v/>
      </c>
      <c r="R545" s="64" t="str">
        <f>Ringkasan!R544</f>
        <v/>
      </c>
      <c r="S545" s="64" t="str">
        <f>Ringkasan!S544</f>
        <v/>
      </c>
      <c r="T545" s="64" t="str">
        <f>Ringkasan!T544</f>
        <v/>
      </c>
      <c r="U545" s="64">
        <f>Ringkasan!U544</f>
        <v>3260</v>
      </c>
      <c r="V545" s="64">
        <f>Ringkasan!V544</f>
        <v>1.23</v>
      </c>
      <c r="W545" s="64">
        <f>Ringkasan!W544</f>
        <v>3340</v>
      </c>
      <c r="X545" s="64">
        <f>Ringkasan!X544</f>
        <v>3340</v>
      </c>
      <c r="Y545" s="64">
        <f>Ringkasan!Y544</f>
        <v>3240</v>
      </c>
      <c r="Z545" s="64">
        <f>Ringkasan!Z544</f>
        <v>4628500</v>
      </c>
      <c r="AA545" s="64" t="str">
        <f>Ringkasan!AA544</f>
        <v>Agricultural Products</v>
      </c>
      <c r="AB545" s="64" t="str">
        <f>Ringkasan!AB544</f>
        <v>Consumer Non-Cyclicals</v>
      </c>
    </row>
    <row r="546" hidden="1">
      <c r="A546" s="64" t="str">
        <f>Ringkasan!A545</f>
        <v>CPIN</v>
      </c>
      <c r="B546" s="64" t="str">
        <f>Ringkasan!B545</f>
        <v>Charoen Pokphand Indonesia Tbk</v>
      </c>
      <c r="C546" s="65">
        <f>Ringkasan!C545</f>
        <v>3300</v>
      </c>
      <c r="D546" s="64" t="str">
        <f>Ringkasan!D545</f>
        <v>#N/A</v>
      </c>
      <c r="E546" s="64" t="str">
        <f>Ringkasan!E545</f>
        <v>FTSE Large Cap</v>
      </c>
      <c r="F546" s="64" t="str">
        <f>Ringkasan!F545</f>
        <v>Juni 2026</v>
      </c>
      <c r="G546" s="64">
        <f>Ringkasan!G545</f>
        <v>13</v>
      </c>
      <c r="H546" s="19">
        <f>Ringkasan!H545</f>
        <v>10.5</v>
      </c>
      <c r="I546" s="19">
        <f>Ringkasan!I545</f>
        <v>1.9</v>
      </c>
      <c r="J546" s="19">
        <f>Ringkasan!J545</f>
        <v>18.2</v>
      </c>
      <c r="K546" s="19">
        <f>Ringkasan!K545</f>
        <v>13.8</v>
      </c>
      <c r="L546" s="19">
        <f>Ringkasan!L545</f>
        <v>0.32</v>
      </c>
      <c r="M546" s="19">
        <f>Ringkasan!M545</f>
        <v>33.5</v>
      </c>
      <c r="N546" s="64" t="str">
        <f>Ringkasan!N545</f>
        <v/>
      </c>
      <c r="O546" s="64" t="str">
        <f>Ringkasan!O545</f>
        <v/>
      </c>
      <c r="P546" s="64" t="str">
        <f>Ringkasan!P545</f>
        <v/>
      </c>
      <c r="Q546" s="64" t="str">
        <f>Ringkasan!Q545</f>
        <v/>
      </c>
      <c r="R546" s="64" t="str">
        <f>Ringkasan!R545</f>
        <v/>
      </c>
      <c r="S546" s="64" t="str">
        <f>Ringkasan!S545</f>
        <v/>
      </c>
      <c r="T546" s="64" t="str">
        <f>Ringkasan!T545</f>
        <v/>
      </c>
      <c r="U546" s="64">
        <f>Ringkasan!U545</f>
        <v>3260</v>
      </c>
      <c r="V546" s="64">
        <f>Ringkasan!V545</f>
        <v>1.23</v>
      </c>
      <c r="W546" s="64">
        <f>Ringkasan!W545</f>
        <v>3340</v>
      </c>
      <c r="X546" s="64">
        <f>Ringkasan!X545</f>
        <v>3340</v>
      </c>
      <c r="Y546" s="64">
        <f>Ringkasan!Y545</f>
        <v>3240</v>
      </c>
      <c r="Z546" s="64">
        <f>Ringkasan!Z545</f>
        <v>4628500</v>
      </c>
      <c r="AA546" s="64" t="str">
        <f>Ringkasan!AA545</f>
        <v>Agricultural Products</v>
      </c>
      <c r="AB546" s="64" t="str">
        <f>Ringkasan!AB545</f>
        <v>Consumer Non-Cyclicals</v>
      </c>
    </row>
    <row r="547" hidden="1">
      <c r="A547" s="64" t="str">
        <f>Ringkasan!A546</f>
        <v>CPIN</v>
      </c>
      <c r="B547" s="64" t="str">
        <f>Ringkasan!B546</f>
        <v>Charoen Pokphand Indonesia Tbk</v>
      </c>
      <c r="C547" s="65">
        <f>Ringkasan!C546</f>
        <v>3300</v>
      </c>
      <c r="D547" s="64" t="str">
        <f>Ringkasan!D546</f>
        <v>#N/A</v>
      </c>
      <c r="E547" s="64" t="str">
        <f>Ringkasan!E546</f>
        <v>Investor33</v>
      </c>
      <c r="F547" s="66">
        <f>Ringkasan!F546</f>
        <v>46356</v>
      </c>
      <c r="G547" s="65">
        <f>Ringkasan!G546</f>
        <v>13</v>
      </c>
      <c r="H547" s="19">
        <f>Ringkasan!H546</f>
        <v>10.5</v>
      </c>
      <c r="I547" s="19">
        <f>Ringkasan!I546</f>
        <v>1.9</v>
      </c>
      <c r="J547" s="19">
        <f>Ringkasan!J546</f>
        <v>18.2</v>
      </c>
      <c r="K547" s="19">
        <f>Ringkasan!K546</f>
        <v>13.8</v>
      </c>
      <c r="L547" s="19">
        <f>Ringkasan!L546</f>
        <v>0.32</v>
      </c>
      <c r="M547" s="19">
        <f>Ringkasan!M546</f>
        <v>33.5</v>
      </c>
      <c r="N547" s="64" t="str">
        <f>Ringkasan!N546</f>
        <v/>
      </c>
      <c r="O547" s="64" t="str">
        <f>Ringkasan!O546</f>
        <v/>
      </c>
      <c r="P547" s="64" t="str">
        <f>Ringkasan!P546</f>
        <v/>
      </c>
      <c r="Q547" s="64" t="str">
        <f>Ringkasan!Q546</f>
        <v/>
      </c>
      <c r="R547" s="64" t="str">
        <f>Ringkasan!R546</f>
        <v/>
      </c>
      <c r="S547" s="64" t="str">
        <f>Ringkasan!S546</f>
        <v/>
      </c>
      <c r="T547" s="64" t="str">
        <f>Ringkasan!T546</f>
        <v/>
      </c>
      <c r="U547" s="64">
        <f>Ringkasan!U546</f>
        <v>3260</v>
      </c>
      <c r="V547" s="64">
        <f>Ringkasan!V546</f>
        <v>1.23</v>
      </c>
      <c r="W547" s="64">
        <f>Ringkasan!W546</f>
        <v>3340</v>
      </c>
      <c r="X547" s="64">
        <f>Ringkasan!X546</f>
        <v>3340</v>
      </c>
      <c r="Y547" s="64">
        <f>Ringkasan!Y546</f>
        <v>3240</v>
      </c>
      <c r="Z547" s="64">
        <f>Ringkasan!Z546</f>
        <v>4628500</v>
      </c>
      <c r="AA547" s="64" t="str">
        <f>Ringkasan!AA546</f>
        <v>Agricultural Products</v>
      </c>
      <c r="AB547" s="64" t="str">
        <f>Ringkasan!AB546</f>
        <v>Consumer Non-Cyclicals</v>
      </c>
    </row>
    <row r="548" hidden="1">
      <c r="A548" s="64" t="str">
        <f>Ringkasan!A547</f>
        <v>CPIN</v>
      </c>
      <c r="B548" s="64" t="str">
        <f>Ringkasan!B547</f>
        <v>Charoen Pokphand Indonesia Tbk</v>
      </c>
      <c r="C548" s="65">
        <f>Ringkasan!C547</f>
        <v>3300</v>
      </c>
      <c r="D548" s="64" t="str">
        <f>Ringkasan!D547</f>
        <v>#N/A</v>
      </c>
      <c r="E548" s="64" t="str">
        <f>Ringkasan!E547</f>
        <v>JII30</v>
      </c>
      <c r="F548" s="66">
        <f>Ringkasan!F547</f>
        <v>46356</v>
      </c>
      <c r="G548" s="65">
        <f>Ringkasan!G547</f>
        <v>13</v>
      </c>
      <c r="H548" s="19">
        <f>Ringkasan!H547</f>
        <v>10.5</v>
      </c>
      <c r="I548" s="19">
        <f>Ringkasan!I547</f>
        <v>1.9</v>
      </c>
      <c r="J548" s="19">
        <f>Ringkasan!J547</f>
        <v>18.2</v>
      </c>
      <c r="K548" s="19">
        <f>Ringkasan!K547</f>
        <v>13.8</v>
      </c>
      <c r="L548" s="19">
        <f>Ringkasan!L547</f>
        <v>0.32</v>
      </c>
      <c r="M548" s="19">
        <f>Ringkasan!M547</f>
        <v>33.5</v>
      </c>
      <c r="N548" s="64" t="str">
        <f>Ringkasan!N547</f>
        <v/>
      </c>
      <c r="O548" s="64" t="str">
        <f>Ringkasan!O547</f>
        <v/>
      </c>
      <c r="P548" s="64" t="str">
        <f>Ringkasan!P547</f>
        <v/>
      </c>
      <c r="Q548" s="64" t="str">
        <f>Ringkasan!Q547</f>
        <v/>
      </c>
      <c r="R548" s="64" t="str">
        <f>Ringkasan!R547</f>
        <v/>
      </c>
      <c r="S548" s="64" t="str">
        <f>Ringkasan!S547</f>
        <v/>
      </c>
      <c r="T548" s="64" t="str">
        <f>Ringkasan!T547</f>
        <v/>
      </c>
      <c r="U548" s="64">
        <f>Ringkasan!U547</f>
        <v>3260</v>
      </c>
      <c r="V548" s="64">
        <f>Ringkasan!V547</f>
        <v>1.23</v>
      </c>
      <c r="W548" s="64">
        <f>Ringkasan!W547</f>
        <v>3340</v>
      </c>
      <c r="X548" s="64">
        <f>Ringkasan!X547</f>
        <v>3340</v>
      </c>
      <c r="Y548" s="64">
        <f>Ringkasan!Y547</f>
        <v>3240</v>
      </c>
      <c r="Z548" s="64">
        <f>Ringkasan!Z547</f>
        <v>4628500</v>
      </c>
      <c r="AA548" s="64" t="str">
        <f>Ringkasan!AA547</f>
        <v>Agricultural Products</v>
      </c>
      <c r="AB548" s="64" t="str">
        <f>Ringkasan!AB547</f>
        <v>Consumer Non-Cyclicals</v>
      </c>
    </row>
    <row r="549" hidden="1">
      <c r="A549" s="64" t="str">
        <f>Ringkasan!A548</f>
        <v>CPIN</v>
      </c>
      <c r="B549" s="64" t="str">
        <f>Ringkasan!B548</f>
        <v>Charoen Pokphand Indonesia Tbk</v>
      </c>
      <c r="C549" s="65">
        <f>Ringkasan!C548</f>
        <v>3300</v>
      </c>
      <c r="D549" s="64" t="str">
        <f>Ringkasan!D548</f>
        <v>#N/A</v>
      </c>
      <c r="E549" s="64" t="str">
        <f>Ringkasan!E548</f>
        <v>JII70</v>
      </c>
      <c r="F549" s="66">
        <f>Ringkasan!F548</f>
        <v>46356</v>
      </c>
      <c r="G549" s="65">
        <f>Ringkasan!G548</f>
        <v>13</v>
      </c>
      <c r="H549" s="19">
        <f>Ringkasan!H548</f>
        <v>10.5</v>
      </c>
      <c r="I549" s="19">
        <f>Ringkasan!I548</f>
        <v>1.9</v>
      </c>
      <c r="J549" s="19">
        <f>Ringkasan!J548</f>
        <v>18.2</v>
      </c>
      <c r="K549" s="19">
        <f>Ringkasan!K548</f>
        <v>13.8</v>
      </c>
      <c r="L549" s="19">
        <f>Ringkasan!L548</f>
        <v>0.32</v>
      </c>
      <c r="M549" s="19">
        <f>Ringkasan!M548</f>
        <v>33.5</v>
      </c>
      <c r="N549" s="64" t="str">
        <f>Ringkasan!N548</f>
        <v/>
      </c>
      <c r="O549" s="64" t="str">
        <f>Ringkasan!O548</f>
        <v/>
      </c>
      <c r="P549" s="64" t="str">
        <f>Ringkasan!P548</f>
        <v/>
      </c>
      <c r="Q549" s="64" t="str">
        <f>Ringkasan!Q548</f>
        <v/>
      </c>
      <c r="R549" s="64" t="str">
        <f>Ringkasan!R548</f>
        <v/>
      </c>
      <c r="S549" s="64" t="str">
        <f>Ringkasan!S548</f>
        <v/>
      </c>
      <c r="T549" s="64" t="str">
        <f>Ringkasan!T548</f>
        <v/>
      </c>
      <c r="U549" s="64">
        <f>Ringkasan!U548</f>
        <v>3260</v>
      </c>
      <c r="V549" s="64">
        <f>Ringkasan!V548</f>
        <v>1.23</v>
      </c>
      <c r="W549" s="64">
        <f>Ringkasan!W548</f>
        <v>3340</v>
      </c>
      <c r="X549" s="64">
        <f>Ringkasan!X548</f>
        <v>3340</v>
      </c>
      <c r="Y549" s="64">
        <f>Ringkasan!Y548</f>
        <v>3240</v>
      </c>
      <c r="Z549" s="64">
        <f>Ringkasan!Z548</f>
        <v>4628500</v>
      </c>
      <c r="AA549" s="64" t="str">
        <f>Ringkasan!AA548</f>
        <v>Agricultural Products</v>
      </c>
      <c r="AB549" s="64" t="str">
        <f>Ringkasan!AB548</f>
        <v>Consumer Non-Cyclicals</v>
      </c>
    </row>
    <row r="550" hidden="1">
      <c r="A550" s="64" t="str">
        <f>Ringkasan!A549</f>
        <v>CPRI</v>
      </c>
      <c r="B550" s="64" t="str">
        <f>Ringkasan!B549</f>
        <v>Capri Nusa Satu Properti Tbk.</v>
      </c>
      <c r="C550" s="65">
        <f>Ringkasan!C549</f>
        <v>50</v>
      </c>
      <c r="D550" s="64" t="str">
        <f>Ringkasan!D549</f>
        <v>#N/A</v>
      </c>
      <c r="E550" s="64" t="str">
        <f>Ringkasan!E549</f>
        <v/>
      </c>
      <c r="F550" s="64" t="str">
        <f>Ringkasan!F549</f>
        <v/>
      </c>
      <c r="G550" s="64">
        <f>Ringkasan!G549</f>
        <v>0</v>
      </c>
      <c r="H550" s="19">
        <f>Ringkasan!H549</f>
        <v>0</v>
      </c>
      <c r="I550" s="19">
        <f>Ringkasan!I549</f>
        <v>0.66</v>
      </c>
      <c r="J550" s="19">
        <f>Ringkasan!J549</f>
        <v>-2</v>
      </c>
      <c r="K550" s="19">
        <f>Ringkasan!K549</f>
        <v>-1.8</v>
      </c>
      <c r="L550" s="19">
        <f>Ringkasan!L549</f>
        <v>0.14</v>
      </c>
      <c r="M550" s="19">
        <f>Ringkasan!M549</f>
        <v>-130</v>
      </c>
      <c r="N550" s="64" t="str">
        <f>Ringkasan!N549</f>
        <v/>
      </c>
      <c r="O550" s="64" t="str">
        <f>Ringkasan!O549</f>
        <v/>
      </c>
      <c r="P550" s="64" t="str">
        <f>Ringkasan!P549</f>
        <v/>
      </c>
      <c r="Q550" s="64" t="str">
        <f>Ringkasan!Q549</f>
        <v/>
      </c>
      <c r="R550" s="64" t="str">
        <f>Ringkasan!R549</f>
        <v/>
      </c>
      <c r="S550" s="64" t="str">
        <f>Ringkasan!S549</f>
        <v/>
      </c>
      <c r="T550" s="64" t="str">
        <f>Ringkasan!T549</f>
        <v/>
      </c>
      <c r="U550" s="64">
        <f>Ringkasan!U549</f>
        <v>20.85</v>
      </c>
      <c r="V550" s="64">
        <f>Ringkasan!V549</f>
        <v>2.3</v>
      </c>
      <c r="W550" s="64">
        <f>Ringkasan!W549</f>
        <v>21</v>
      </c>
      <c r="X550" s="64">
        <f>Ringkasan!X549</f>
        <v>21.94</v>
      </c>
      <c r="Y550" s="64">
        <f>Ringkasan!Y549</f>
        <v>20.99</v>
      </c>
      <c r="Z550" s="64">
        <f>Ringkasan!Z549</f>
        <v>3207411</v>
      </c>
      <c r="AA550" s="64" t="str">
        <f>Ringkasan!AA549</f>
        <v>Real Estate Management &amp; Development</v>
      </c>
      <c r="AB550" s="64" t="str">
        <f>Ringkasan!AB549</f>
        <v>Properties &amp; Real Estate</v>
      </c>
    </row>
    <row r="551" hidden="1">
      <c r="A551" s="64" t="str">
        <f>Ringkasan!A550</f>
        <v>CPRO</v>
      </c>
      <c r="B551" s="64" t="str">
        <f>Ringkasan!B550</f>
        <v>Central Proteina Prima Tbk.</v>
      </c>
      <c r="C551" s="65">
        <f>Ringkasan!C550</f>
        <v>50</v>
      </c>
      <c r="D551" s="64" t="str">
        <f>Ringkasan!D550</f>
        <v>#N/A</v>
      </c>
      <c r="E551" s="64" t="str">
        <f>Ringkasan!E550</f>
        <v/>
      </c>
      <c r="F551" s="64" t="str">
        <f>Ringkasan!F550</f>
        <v/>
      </c>
      <c r="G551" s="64">
        <f>Ringkasan!G550</f>
        <v>0</v>
      </c>
      <c r="H551" s="19">
        <f>Ringkasan!H550</f>
        <v>8.2</v>
      </c>
      <c r="I551" s="19">
        <f>Ringkasan!I550</f>
        <v>0.77</v>
      </c>
      <c r="J551" s="19">
        <f>Ringkasan!J550</f>
        <v>9.4</v>
      </c>
      <c r="K551" s="19">
        <f>Ringkasan!K550</f>
        <v>5.1</v>
      </c>
      <c r="L551" s="19">
        <f>Ringkasan!L550</f>
        <v>0.82</v>
      </c>
      <c r="M551" s="19">
        <f>Ringkasan!M550</f>
        <v>14.7</v>
      </c>
      <c r="N551" s="64" t="str">
        <f>Ringkasan!N550</f>
        <v/>
      </c>
      <c r="O551" s="64" t="str">
        <f>Ringkasan!O550</f>
        <v/>
      </c>
      <c r="P551" s="64" t="str">
        <f>Ringkasan!P550</f>
        <v/>
      </c>
      <c r="Q551" s="64" t="str">
        <f>Ringkasan!Q550</f>
        <v/>
      </c>
      <c r="R551" s="64" t="str">
        <f>Ringkasan!R550</f>
        <v/>
      </c>
      <c r="S551" s="64" t="str">
        <f>Ringkasan!S550</f>
        <v/>
      </c>
      <c r="T551" s="64" t="str">
        <f>Ringkasan!T550</f>
        <v/>
      </c>
      <c r="U551" s="64">
        <f>Ringkasan!U550</f>
        <v>27.99</v>
      </c>
      <c r="V551" s="64">
        <f>Ringkasan!V550</f>
        <v>0.11</v>
      </c>
      <c r="W551" s="64">
        <f>Ringkasan!W550</f>
        <v>28.02</v>
      </c>
      <c r="X551" s="64">
        <f>Ringkasan!X550</f>
        <v>28.02</v>
      </c>
      <c r="Y551" s="64">
        <f>Ringkasan!Y550</f>
        <v>28.02</v>
      </c>
      <c r="Z551" s="64">
        <f>Ringkasan!Z550</f>
        <v>200</v>
      </c>
      <c r="AA551" s="64" t="str">
        <f>Ringkasan!AA550</f>
        <v>Agricultural Products</v>
      </c>
      <c r="AB551" s="64" t="str">
        <f>Ringkasan!AB550</f>
        <v>Consumer Non-Cyclicals</v>
      </c>
    </row>
    <row r="552" hidden="1">
      <c r="A552" s="64" t="str">
        <f>Ringkasan!A551</f>
        <v>CRAB</v>
      </c>
      <c r="B552" s="64" t="str">
        <f>Ringkasan!B551</f>
        <v>Toba Surimi Industries Tbk.</v>
      </c>
      <c r="C552" s="65">
        <f>Ringkasan!C551</f>
        <v>212</v>
      </c>
      <c r="D552" s="64" t="str">
        <f>Ringkasan!D551</f>
        <v>#N/A</v>
      </c>
      <c r="E552" s="64" t="str">
        <f>Ringkasan!E551</f>
        <v/>
      </c>
      <c r="F552" s="64" t="str">
        <f>Ringkasan!F551</f>
        <v/>
      </c>
      <c r="G552" s="64">
        <f>Ringkasan!G551</f>
        <v>0</v>
      </c>
      <c r="H552" s="19">
        <f>Ringkasan!H551</f>
        <v>13.8</v>
      </c>
      <c r="I552" s="19">
        <f>Ringkasan!I551</f>
        <v>1.8</v>
      </c>
      <c r="J552" s="19">
        <f>Ringkasan!J551</f>
        <v>12.9</v>
      </c>
      <c r="K552" s="19">
        <f>Ringkasan!K551</f>
        <v>8.9</v>
      </c>
      <c r="L552" s="19">
        <f>Ringkasan!L551</f>
        <v>0.45</v>
      </c>
      <c r="M552" s="19">
        <f>Ringkasan!M551</f>
        <v>6.5</v>
      </c>
      <c r="N552" s="64" t="str">
        <f>Ringkasan!N551</f>
        <v/>
      </c>
      <c r="O552" s="64" t="str">
        <f>Ringkasan!O551</f>
        <v/>
      </c>
      <c r="P552" s="64" t="str">
        <f>Ringkasan!P551</f>
        <v/>
      </c>
      <c r="Q552" s="64" t="str">
        <f>Ringkasan!Q551</f>
        <v/>
      </c>
      <c r="R552" s="64" t="str">
        <f>Ringkasan!R551</f>
        <v/>
      </c>
      <c r="S552" s="64" t="str">
        <f>Ringkasan!S551</f>
        <v/>
      </c>
      <c r="T552" s="64" t="str">
        <f>Ringkasan!T551</f>
        <v/>
      </c>
      <c r="U552" s="64">
        <f>Ringkasan!U551</f>
        <v>210</v>
      </c>
      <c r="V552" s="64">
        <f>Ringkasan!V551</f>
        <v>0.95</v>
      </c>
      <c r="W552" s="64">
        <f>Ringkasan!W551</f>
        <v>212</v>
      </c>
      <c r="X552" s="64">
        <f>Ringkasan!X551</f>
        <v>212</v>
      </c>
      <c r="Y552" s="64">
        <f>Ringkasan!Y551</f>
        <v>210</v>
      </c>
      <c r="Z552" s="64">
        <f>Ringkasan!Z551</f>
        <v>143100</v>
      </c>
      <c r="AA552" s="64" t="str">
        <f>Ringkasan!AA551</f>
        <v>Agricultural Products</v>
      </c>
      <c r="AB552" s="64" t="str">
        <f>Ringkasan!AB551</f>
        <v>Consumer Non-Cyclicals</v>
      </c>
    </row>
    <row r="553" hidden="1">
      <c r="A553" s="64" t="str">
        <f>Ringkasan!A552</f>
        <v>CRSN</v>
      </c>
      <c r="B553" s="64" t="str">
        <f>Ringkasan!B552</f>
        <v>PT Carsurin Tbk</v>
      </c>
      <c r="C553" s="65">
        <f>Ringkasan!C552</f>
        <v>100</v>
      </c>
      <c r="D553" s="64" t="str">
        <f>Ringkasan!D552</f>
        <v>#N/A</v>
      </c>
      <c r="E553" s="64" t="str">
        <f>Ringkasan!E552</f>
        <v/>
      </c>
      <c r="F553" s="64" t="str">
        <f>Ringkasan!F552</f>
        <v/>
      </c>
      <c r="G553" s="64">
        <f>Ringkasan!G552</f>
        <v>0</v>
      </c>
      <c r="H553" s="19">
        <f>Ringkasan!H552</f>
        <v>49.4</v>
      </c>
      <c r="I553" s="19">
        <f>Ringkasan!I552</f>
        <v>1.3</v>
      </c>
      <c r="J553" s="19">
        <f>Ringkasan!J552</f>
        <v>2.6</v>
      </c>
      <c r="K553" s="19">
        <f>Ringkasan!K552</f>
        <v>1.6</v>
      </c>
      <c r="L553" s="19">
        <f>Ringkasan!L552</f>
        <v>0.66</v>
      </c>
      <c r="M553" s="19">
        <f>Ringkasan!M552</f>
        <v>5.3</v>
      </c>
      <c r="N553" s="64" t="str">
        <f>Ringkasan!N552</f>
        <v/>
      </c>
      <c r="O553" s="64" t="str">
        <f>Ringkasan!O552</f>
        <v/>
      </c>
      <c r="P553" s="64" t="str">
        <f>Ringkasan!P552</f>
        <v/>
      </c>
      <c r="Q553" s="64" t="str">
        <f>Ringkasan!Q552</f>
        <v/>
      </c>
      <c r="R553" s="64" t="str">
        <f>Ringkasan!R552</f>
        <v/>
      </c>
      <c r="S553" s="64" t="str">
        <f>Ringkasan!S552</f>
        <v/>
      </c>
      <c r="T553" s="64" t="str">
        <f>Ringkasan!T552</f>
        <v/>
      </c>
      <c r="U553" s="64" t="str">
        <f>Ringkasan!U552</f>
        <v/>
      </c>
      <c r="V553" s="64" t="str">
        <f>Ringkasan!V552</f>
        <v/>
      </c>
      <c r="W553" s="64">
        <f>Ringkasan!W552</f>
        <v>97</v>
      </c>
      <c r="X553" s="64">
        <f>Ringkasan!X552</f>
        <v>100</v>
      </c>
      <c r="Y553" s="64">
        <f>Ringkasan!Y552</f>
        <v>95</v>
      </c>
      <c r="Z553" s="64">
        <f>Ringkasan!Z552</f>
        <v>394400</v>
      </c>
      <c r="AA553" s="64" t="str">
        <f>Ringkasan!AA552</f>
        <v>Professional Services</v>
      </c>
      <c r="AB553" s="64" t="str">
        <f>Ringkasan!AB552</f>
        <v>Industrials</v>
      </c>
    </row>
    <row r="554" hidden="1">
      <c r="A554" s="64" t="str">
        <f>Ringkasan!A553</f>
        <v>CSAP</v>
      </c>
      <c r="B554" s="64" t="str">
        <f>Ringkasan!B553</f>
        <v>Catur Sentosa Adiprana Tbk.</v>
      </c>
      <c r="C554" s="65">
        <f>Ringkasan!C553</f>
        <v>276</v>
      </c>
      <c r="D554" s="64" t="str">
        <f>Ringkasan!D553</f>
        <v>#N/A</v>
      </c>
      <c r="E554" s="64" t="str">
        <f>Ringkasan!E553</f>
        <v/>
      </c>
      <c r="F554" s="64" t="str">
        <f>Ringkasan!F553</f>
        <v/>
      </c>
      <c r="G554" s="64">
        <f>Ringkasan!G553</f>
        <v>0</v>
      </c>
      <c r="H554" s="19">
        <f>Ringkasan!H553</f>
        <v>11.8</v>
      </c>
      <c r="I554" s="19">
        <f>Ringkasan!I553</f>
        <v>0.4</v>
      </c>
      <c r="J554" s="19">
        <f>Ringkasan!J553</f>
        <v>3.4</v>
      </c>
      <c r="K554" s="19">
        <f>Ringkasan!K553</f>
        <v>1.1</v>
      </c>
      <c r="L554" s="19">
        <f>Ringkasan!L553</f>
        <v>2.2</v>
      </c>
      <c r="M554" s="19">
        <f>Ringkasan!M553</f>
        <v>3.1</v>
      </c>
      <c r="N554" s="64" t="str">
        <f>Ringkasan!N553</f>
        <v/>
      </c>
      <c r="O554" s="64" t="str">
        <f>Ringkasan!O553</f>
        <v/>
      </c>
      <c r="P554" s="64" t="str">
        <f>Ringkasan!P553</f>
        <v/>
      </c>
      <c r="Q554" s="64" t="str">
        <f>Ringkasan!Q553</f>
        <v/>
      </c>
      <c r="R554" s="64" t="str">
        <f>Ringkasan!R553</f>
        <v/>
      </c>
      <c r="S554" s="64" t="str">
        <f>Ringkasan!S553</f>
        <v/>
      </c>
      <c r="T554" s="64" t="str">
        <f>Ringkasan!T553</f>
        <v/>
      </c>
      <c r="U554" s="64">
        <f>Ringkasan!U553</f>
        <v>264</v>
      </c>
      <c r="V554" s="64">
        <f>Ringkasan!V553</f>
        <v>4.55</v>
      </c>
      <c r="W554" s="64">
        <f>Ringkasan!W553</f>
        <v>276</v>
      </c>
      <c r="X554" s="64">
        <f>Ringkasan!X553</f>
        <v>276</v>
      </c>
      <c r="Y554" s="64">
        <f>Ringkasan!Y553</f>
        <v>276</v>
      </c>
      <c r="Z554" s="64">
        <f>Ringkasan!Z553</f>
        <v>4300</v>
      </c>
      <c r="AA554" s="64" t="str">
        <f>Ringkasan!AA553</f>
        <v>Specialty Retail</v>
      </c>
      <c r="AB554" s="64" t="str">
        <f>Ringkasan!AB553</f>
        <v>Consumer Cyclicals</v>
      </c>
    </row>
    <row r="555" hidden="1">
      <c r="A555" s="64" t="str">
        <f>Ringkasan!A554</f>
        <v>CSIS</v>
      </c>
      <c r="B555" s="64" t="str">
        <f>Ringkasan!B554</f>
        <v>Cahayasakti Investindo Sukses Tbk.</v>
      </c>
      <c r="C555" s="65">
        <f>Ringkasan!C554</f>
        <v>140</v>
      </c>
      <c r="D555" s="64" t="str">
        <f>Ringkasan!D554</f>
        <v>#N/A</v>
      </c>
      <c r="E555" s="64" t="str">
        <f>Ringkasan!E554</f>
        <v/>
      </c>
      <c r="F555" s="64" t="str">
        <f>Ringkasan!F554</f>
        <v/>
      </c>
      <c r="G555" s="64">
        <f>Ringkasan!G554</f>
        <v>0</v>
      </c>
      <c r="H555" s="19">
        <f>Ringkasan!H554</f>
        <v>9.7</v>
      </c>
      <c r="I555" s="19">
        <f>Ringkasan!I554</f>
        <v>0.47</v>
      </c>
      <c r="J555" s="19">
        <f>Ringkasan!J554</f>
        <v>4.9</v>
      </c>
      <c r="K555" s="19">
        <f>Ringkasan!K554</f>
        <v>3.8</v>
      </c>
      <c r="L555" s="19">
        <f>Ringkasan!L554</f>
        <v>0.29</v>
      </c>
      <c r="M555" s="19">
        <f>Ringkasan!M554</f>
        <v>73.2</v>
      </c>
      <c r="N555" s="64" t="str">
        <f>Ringkasan!N554</f>
        <v/>
      </c>
      <c r="O555" s="64" t="str">
        <f>Ringkasan!O554</f>
        <v/>
      </c>
      <c r="P555" s="64" t="str">
        <f>Ringkasan!P554</f>
        <v/>
      </c>
      <c r="Q555" s="64" t="str">
        <f>Ringkasan!Q554</f>
        <v/>
      </c>
      <c r="R555" s="64" t="str">
        <f>Ringkasan!R554</f>
        <v/>
      </c>
      <c r="S555" s="64" t="str">
        <f>Ringkasan!S554</f>
        <v/>
      </c>
      <c r="T555" s="64" t="str">
        <f>Ringkasan!T554</f>
        <v/>
      </c>
      <c r="U555" s="64">
        <f>Ringkasan!U554</f>
        <v>140</v>
      </c>
      <c r="V555" s="64">
        <f>Ringkasan!V554</f>
        <v>0</v>
      </c>
      <c r="W555" s="64" t="str">
        <f>Ringkasan!W554</f>
        <v/>
      </c>
      <c r="X555" s="64">
        <f>Ringkasan!X554</f>
        <v>146</v>
      </c>
      <c r="Y555" s="64">
        <f>Ringkasan!Y554</f>
        <v>135</v>
      </c>
      <c r="Z555" s="64">
        <f>Ringkasan!Z554</f>
        <v>1274500</v>
      </c>
      <c r="AA555" s="64" t="str">
        <f>Ringkasan!AA554</f>
        <v>Real Estate Management &amp; Development</v>
      </c>
      <c r="AB555" s="64" t="str">
        <f>Ringkasan!AB554</f>
        <v>Properties &amp; Real Estate</v>
      </c>
    </row>
    <row r="556" hidden="1">
      <c r="A556" s="64" t="str">
        <f>Ringkasan!A555</f>
        <v>CSMI</v>
      </c>
      <c r="B556" s="64" t="str">
        <f>Ringkasan!B555</f>
        <v>Cipta Selera Murni Tbk.</v>
      </c>
      <c r="C556" s="65">
        <f>Ringkasan!C555</f>
        <v>73</v>
      </c>
      <c r="D556" s="64" t="str">
        <f>Ringkasan!D555</f>
        <v>#N/A</v>
      </c>
      <c r="E556" s="64" t="str">
        <f>Ringkasan!E555</f>
        <v/>
      </c>
      <c r="F556" s="64" t="str">
        <f>Ringkasan!F555</f>
        <v/>
      </c>
      <c r="G556" s="64">
        <f>Ringkasan!G555</f>
        <v>0</v>
      </c>
      <c r="H556" s="19">
        <f>Ringkasan!H555</f>
        <v>-75.9</v>
      </c>
      <c r="I556" s="19">
        <f>Ringkasan!I555</f>
        <v>17.2</v>
      </c>
      <c r="J556" s="19">
        <f>Ringkasan!J555</f>
        <v>-22.7</v>
      </c>
      <c r="K556" s="19">
        <f>Ringkasan!K555</f>
        <v>-2.2</v>
      </c>
      <c r="L556" s="19">
        <f>Ringkasan!L555</f>
        <v>9.5</v>
      </c>
      <c r="M556" s="19">
        <f>Ringkasan!M555</f>
        <v>-150</v>
      </c>
      <c r="N556" s="64" t="str">
        <f>Ringkasan!N555</f>
        <v/>
      </c>
      <c r="O556" s="64" t="str">
        <f>Ringkasan!O555</f>
        <v/>
      </c>
      <c r="P556" s="64" t="str">
        <f>Ringkasan!P555</f>
        <v/>
      </c>
      <c r="Q556" s="64" t="str">
        <f>Ringkasan!Q555</f>
        <v/>
      </c>
      <c r="R556" s="64" t="str">
        <f>Ringkasan!R555</f>
        <v/>
      </c>
      <c r="S556" s="64" t="str">
        <f>Ringkasan!S555</f>
        <v/>
      </c>
      <c r="T556" s="64" t="str">
        <f>Ringkasan!T555</f>
        <v/>
      </c>
      <c r="U556" s="64">
        <f>Ringkasan!U555</f>
        <v>70</v>
      </c>
      <c r="V556" s="64">
        <f>Ringkasan!V555</f>
        <v>4.29</v>
      </c>
      <c r="W556" s="64">
        <f>Ringkasan!W555</f>
        <v>69</v>
      </c>
      <c r="X556" s="64">
        <f>Ringkasan!X555</f>
        <v>73</v>
      </c>
      <c r="Y556" s="64">
        <f>Ringkasan!Y555</f>
        <v>69</v>
      </c>
      <c r="Z556" s="64">
        <f>Ringkasan!Z555</f>
        <v>9536700</v>
      </c>
      <c r="AA556" s="64" t="str">
        <f>Ringkasan!AA555</f>
        <v>Tourism &amp; Recreation</v>
      </c>
      <c r="AB556" s="64" t="str">
        <f>Ringkasan!AB555</f>
        <v>Consumer Cyclicals</v>
      </c>
    </row>
    <row r="557" hidden="1">
      <c r="A557" s="64" t="str">
        <f>Ringkasan!A556</f>
        <v>CSRA</v>
      </c>
      <c r="B557" s="64" t="str">
        <f>Ringkasan!B556</f>
        <v>Cisadane Sawit Raya Tbk.</v>
      </c>
      <c r="C557" s="65">
        <f>Ringkasan!C556</f>
        <v>785</v>
      </c>
      <c r="D557" s="64" t="str">
        <f>Ringkasan!D556</f>
        <v>#N/A</v>
      </c>
      <c r="E557" s="64" t="str">
        <f>Ringkasan!E556</f>
        <v/>
      </c>
      <c r="F557" s="64" t="str">
        <f>Ringkasan!F556</f>
        <v/>
      </c>
      <c r="G557" s="65">
        <f>Ringkasan!G556</f>
        <v>0</v>
      </c>
      <c r="H557" s="19">
        <f>Ringkasan!H556</f>
        <v>6.3</v>
      </c>
      <c r="I557" s="19">
        <f>Ringkasan!I556</f>
        <v>1.1</v>
      </c>
      <c r="J557" s="19">
        <f>Ringkasan!J556</f>
        <v>17.6</v>
      </c>
      <c r="K557" s="19">
        <f>Ringkasan!K556</f>
        <v>10.4</v>
      </c>
      <c r="L557" s="19">
        <f>Ringkasan!L556</f>
        <v>0.7</v>
      </c>
      <c r="M557" s="19">
        <f>Ringkasan!M556</f>
        <v>50.5</v>
      </c>
      <c r="N557" s="64" t="str">
        <f>Ringkasan!N556</f>
        <v/>
      </c>
      <c r="O557" s="64" t="str">
        <f>Ringkasan!O556</f>
        <v/>
      </c>
      <c r="P557" s="64" t="str">
        <f>Ringkasan!P556</f>
        <v/>
      </c>
      <c r="Q557" s="64" t="str">
        <f>Ringkasan!Q556</f>
        <v/>
      </c>
      <c r="R557" s="64" t="str">
        <f>Ringkasan!R556</f>
        <v/>
      </c>
      <c r="S557" s="64" t="str">
        <f>Ringkasan!S556</f>
        <v/>
      </c>
      <c r="T557" s="64" t="str">
        <f>Ringkasan!T556</f>
        <v/>
      </c>
      <c r="U557" s="64">
        <f>Ringkasan!U556</f>
        <v>710</v>
      </c>
      <c r="V557" s="64">
        <f>Ringkasan!V556</f>
        <v>10.56</v>
      </c>
      <c r="W557" s="64">
        <f>Ringkasan!W556</f>
        <v>710</v>
      </c>
      <c r="X557" s="64">
        <f>Ringkasan!X556</f>
        <v>790</v>
      </c>
      <c r="Y557" s="64">
        <f>Ringkasan!Y556</f>
        <v>700</v>
      </c>
      <c r="Z557" s="64">
        <f>Ringkasan!Z556</f>
        <v>484700</v>
      </c>
      <c r="AA557" s="64" t="str">
        <f>Ringkasan!AA556</f>
        <v>Agricultural Products</v>
      </c>
      <c r="AB557" s="64" t="str">
        <f>Ringkasan!AB556</f>
        <v>Consumer Non-Cyclicals</v>
      </c>
    </row>
    <row r="558" hidden="1">
      <c r="A558" s="64" t="str">
        <f>Ringkasan!A557</f>
        <v>CTBN</v>
      </c>
      <c r="B558" s="64" t="str">
        <f>Ringkasan!B557</f>
        <v>Citra Tubindo Tbk.</v>
      </c>
      <c r="C558" s="65">
        <f>Ringkasan!C557</f>
        <v>5675</v>
      </c>
      <c r="D558" s="64" t="str">
        <f>Ringkasan!D557</f>
        <v>#N/A</v>
      </c>
      <c r="E558" s="64" t="str">
        <f>Ringkasan!E557</f>
        <v/>
      </c>
      <c r="F558" s="64" t="str">
        <f>Ringkasan!F557</f>
        <v/>
      </c>
      <c r="G558" s="65">
        <f>Ringkasan!G557</f>
        <v>0</v>
      </c>
      <c r="H558" s="19">
        <f>Ringkasan!H557</f>
        <v>49</v>
      </c>
      <c r="I558" s="19">
        <f>Ringkasan!I557</f>
        <v>2.2</v>
      </c>
      <c r="J558" s="19">
        <f>Ringkasan!J557</f>
        <v>4.6</v>
      </c>
      <c r="K558" s="19">
        <f>Ringkasan!K557</f>
        <v>3.8</v>
      </c>
      <c r="L558" s="19">
        <f>Ringkasan!L557</f>
        <v>0.2</v>
      </c>
      <c r="M558" s="19">
        <f>Ringkasan!M557</f>
        <v>29.3</v>
      </c>
      <c r="N558" s="64" t="str">
        <f>Ringkasan!N557</f>
        <v/>
      </c>
      <c r="O558" s="64" t="str">
        <f>Ringkasan!O557</f>
        <v/>
      </c>
      <c r="P558" s="64" t="str">
        <f>Ringkasan!P557</f>
        <v/>
      </c>
      <c r="Q558" s="64" t="str">
        <f>Ringkasan!Q557</f>
        <v/>
      </c>
      <c r="R558" s="64" t="str">
        <f>Ringkasan!R557</f>
        <v/>
      </c>
      <c r="S558" s="64" t="str">
        <f>Ringkasan!S557</f>
        <v/>
      </c>
      <c r="T558" s="64" t="str">
        <f>Ringkasan!T557</f>
        <v/>
      </c>
      <c r="U558" s="64">
        <f>Ringkasan!U557</f>
        <v>5700</v>
      </c>
      <c r="V558" s="64">
        <f>Ringkasan!V557</f>
        <v>-0.44</v>
      </c>
      <c r="W558" s="64">
        <f>Ringkasan!W557</f>
        <v>5575</v>
      </c>
      <c r="X558" s="64">
        <f>Ringkasan!X557</f>
        <v>5700</v>
      </c>
      <c r="Y558" s="64">
        <f>Ringkasan!Y557</f>
        <v>5525</v>
      </c>
      <c r="Z558" s="64">
        <f>Ringkasan!Z557</f>
        <v>16300</v>
      </c>
      <c r="AA558" s="64" t="str">
        <f>Ringkasan!AA557</f>
        <v>Metals &amp; Minerals</v>
      </c>
      <c r="AB558" s="64" t="str">
        <f>Ringkasan!AB557</f>
        <v>Basic Materials</v>
      </c>
    </row>
    <row r="559" hidden="1">
      <c r="A559" s="64" t="str">
        <f>Ringkasan!A558</f>
        <v>CTRA</v>
      </c>
      <c r="B559" s="64" t="str">
        <f>Ringkasan!B558</f>
        <v>Ciputra Development Tbk.</v>
      </c>
      <c r="C559" s="65">
        <f>Ringkasan!C558</f>
        <v>600</v>
      </c>
      <c r="D559" s="64" t="str">
        <f>Ringkasan!D558</f>
        <v>#N/A</v>
      </c>
      <c r="E559" s="64" t="str">
        <f>Ringkasan!E558</f>
        <v>ESGQKEHATI</v>
      </c>
      <c r="F559" s="66">
        <f>Ringkasan!F558</f>
        <v>46356</v>
      </c>
      <c r="G559" s="64">
        <f>Ringkasan!G558</f>
        <v>13</v>
      </c>
      <c r="H559" s="19">
        <f>Ringkasan!H558</f>
        <v>4.7</v>
      </c>
      <c r="I559" s="19">
        <f>Ringkasan!I558</f>
        <v>0.44</v>
      </c>
      <c r="J559" s="19">
        <f>Ringkasan!J558</f>
        <v>9.2</v>
      </c>
      <c r="K559" s="19">
        <f>Ringkasan!K558</f>
        <v>5.5</v>
      </c>
      <c r="L559" s="19">
        <f>Ringkasan!L558</f>
        <v>0.67</v>
      </c>
      <c r="M559" s="19">
        <f>Ringkasan!M558</f>
        <v>98.6</v>
      </c>
      <c r="N559" s="64" t="str">
        <f>Ringkasan!N558</f>
        <v/>
      </c>
      <c r="O559" s="64" t="str">
        <f>Ringkasan!O558</f>
        <v/>
      </c>
      <c r="P559" s="64" t="str">
        <f>Ringkasan!P558</f>
        <v/>
      </c>
      <c r="Q559" s="64" t="str">
        <f>Ringkasan!Q558</f>
        <v/>
      </c>
      <c r="R559" s="64" t="str">
        <f>Ringkasan!R558</f>
        <v/>
      </c>
      <c r="S559" s="64" t="str">
        <f>Ringkasan!S558</f>
        <v/>
      </c>
      <c r="T559" s="64" t="str">
        <f>Ringkasan!T558</f>
        <v/>
      </c>
      <c r="U559" s="64">
        <f>Ringkasan!U558</f>
        <v>640</v>
      </c>
      <c r="V559" s="64">
        <f>Ringkasan!V558</f>
        <v>-100</v>
      </c>
      <c r="W559" s="64" t="str">
        <f>Ringkasan!W558</f>
        <v/>
      </c>
      <c r="X559" s="64" t="str">
        <f>Ringkasan!X558</f>
        <v/>
      </c>
      <c r="Y559" s="64" t="str">
        <f>Ringkasan!Y558</f>
        <v/>
      </c>
      <c r="Z559" s="64">
        <f>Ringkasan!Z558</f>
        <v>0</v>
      </c>
      <c r="AA559" s="64" t="str">
        <f>Ringkasan!AA558</f>
        <v>Real Estate Management &amp; Development</v>
      </c>
      <c r="AB559" s="64" t="str">
        <f>Ringkasan!AB558</f>
        <v>Properties &amp; Real Estate</v>
      </c>
    </row>
    <row r="560" hidden="1">
      <c r="A560" s="64" t="str">
        <f>Ringkasan!A559</f>
        <v>CTRA</v>
      </c>
      <c r="B560" s="64" t="str">
        <f>Ringkasan!B559</f>
        <v>Ciputra Development Tbk.</v>
      </c>
      <c r="C560" s="65">
        <f>Ringkasan!C559</f>
        <v>600</v>
      </c>
      <c r="D560" s="64" t="str">
        <f>Ringkasan!D559</f>
        <v>#N/A</v>
      </c>
      <c r="E560" s="64" t="str">
        <f>Ringkasan!E559</f>
        <v>ESGSKEHATI</v>
      </c>
      <c r="F560" s="66">
        <f>Ringkasan!F559</f>
        <v>46356</v>
      </c>
      <c r="G560" s="64">
        <f>Ringkasan!G559</f>
        <v>13</v>
      </c>
      <c r="H560" s="19">
        <f>Ringkasan!H559</f>
        <v>4.7</v>
      </c>
      <c r="I560" s="19">
        <f>Ringkasan!I559</f>
        <v>0.44</v>
      </c>
      <c r="J560" s="19">
        <f>Ringkasan!J559</f>
        <v>9.2</v>
      </c>
      <c r="K560" s="19">
        <f>Ringkasan!K559</f>
        <v>5.5</v>
      </c>
      <c r="L560" s="19">
        <f>Ringkasan!L559</f>
        <v>0.67</v>
      </c>
      <c r="M560" s="19">
        <f>Ringkasan!M559</f>
        <v>98.6</v>
      </c>
      <c r="N560" s="64" t="str">
        <f>Ringkasan!N559</f>
        <v/>
      </c>
      <c r="O560" s="64" t="str">
        <f>Ringkasan!O559</f>
        <v/>
      </c>
      <c r="P560" s="64" t="str">
        <f>Ringkasan!P559</f>
        <v/>
      </c>
      <c r="Q560" s="64" t="str">
        <f>Ringkasan!Q559</f>
        <v/>
      </c>
      <c r="R560" s="64" t="str">
        <f>Ringkasan!R559</f>
        <v/>
      </c>
      <c r="S560" s="64" t="str">
        <f>Ringkasan!S559</f>
        <v/>
      </c>
      <c r="T560" s="64" t="str">
        <f>Ringkasan!T559</f>
        <v/>
      </c>
      <c r="U560" s="64">
        <f>Ringkasan!U559</f>
        <v>640</v>
      </c>
      <c r="V560" s="64">
        <f>Ringkasan!V559</f>
        <v>-100</v>
      </c>
      <c r="W560" s="64" t="str">
        <f>Ringkasan!W559</f>
        <v/>
      </c>
      <c r="X560" s="64" t="str">
        <f>Ringkasan!X559</f>
        <v/>
      </c>
      <c r="Y560" s="64" t="str">
        <f>Ringkasan!Y559</f>
        <v/>
      </c>
      <c r="Z560" s="64">
        <f>Ringkasan!Z559</f>
        <v>0</v>
      </c>
      <c r="AA560" s="64" t="str">
        <f>Ringkasan!AA559</f>
        <v>Real Estate Management &amp; Development</v>
      </c>
      <c r="AB560" s="64" t="str">
        <f>Ringkasan!AB559</f>
        <v>Properties &amp; Real Estate</v>
      </c>
    </row>
    <row r="561" hidden="1">
      <c r="A561" s="64" t="str">
        <f>Ringkasan!A560</f>
        <v>CTRA</v>
      </c>
      <c r="B561" s="64" t="str">
        <f>Ringkasan!B560</f>
        <v>Ciputra Development Tbk.</v>
      </c>
      <c r="C561" s="65">
        <f>Ringkasan!C560</f>
        <v>600</v>
      </c>
      <c r="D561" s="64" t="str">
        <f>Ringkasan!D560</f>
        <v>#N/A</v>
      </c>
      <c r="E561" s="64" t="str">
        <f>Ringkasan!E560</f>
        <v>IDXG30</v>
      </c>
      <c r="F561" s="64" t="str">
        <f>Ringkasan!F560</f>
        <v>4 Agustus 2026</v>
      </c>
      <c r="G561" s="64">
        <f>Ringkasan!G560</f>
        <v>13</v>
      </c>
      <c r="H561" s="19">
        <f>Ringkasan!H560</f>
        <v>4.7</v>
      </c>
      <c r="I561" s="19">
        <f>Ringkasan!I560</f>
        <v>0.44</v>
      </c>
      <c r="J561" s="19">
        <f>Ringkasan!J560</f>
        <v>9.2</v>
      </c>
      <c r="K561" s="19">
        <f>Ringkasan!K560</f>
        <v>5.5</v>
      </c>
      <c r="L561" s="19">
        <f>Ringkasan!L560</f>
        <v>0.67</v>
      </c>
      <c r="M561" s="19">
        <f>Ringkasan!M560</f>
        <v>98.6</v>
      </c>
      <c r="N561" s="64" t="str">
        <f>Ringkasan!N560</f>
        <v/>
      </c>
      <c r="O561" s="64" t="str">
        <f>Ringkasan!O560</f>
        <v/>
      </c>
      <c r="P561" s="64" t="str">
        <f>Ringkasan!P560</f>
        <v/>
      </c>
      <c r="Q561" s="64" t="str">
        <f>Ringkasan!Q560</f>
        <v/>
      </c>
      <c r="R561" s="64" t="str">
        <f>Ringkasan!R560</f>
        <v/>
      </c>
      <c r="S561" s="64" t="str">
        <f>Ringkasan!S560</f>
        <v/>
      </c>
      <c r="T561" s="64" t="str">
        <f>Ringkasan!T560</f>
        <v/>
      </c>
      <c r="U561" s="64">
        <f>Ringkasan!U560</f>
        <v>640</v>
      </c>
      <c r="V561" s="64">
        <f>Ringkasan!V560</f>
        <v>-100</v>
      </c>
      <c r="W561" s="64" t="str">
        <f>Ringkasan!W560</f>
        <v/>
      </c>
      <c r="X561" s="64" t="str">
        <f>Ringkasan!X560</f>
        <v/>
      </c>
      <c r="Y561" s="64" t="str">
        <f>Ringkasan!Y560</f>
        <v/>
      </c>
      <c r="Z561" s="64">
        <f>Ringkasan!Z560</f>
        <v>0</v>
      </c>
      <c r="AA561" s="64" t="str">
        <f>Ringkasan!AA560</f>
        <v>Real Estate Management &amp; Development</v>
      </c>
      <c r="AB561" s="64" t="str">
        <f>Ringkasan!AB560</f>
        <v>Properties &amp; Real Estate</v>
      </c>
    </row>
    <row r="562" hidden="1">
      <c r="A562" s="64" t="str">
        <f>Ringkasan!A561</f>
        <v>CTRA</v>
      </c>
      <c r="B562" s="64" t="str">
        <f>Ringkasan!B561</f>
        <v>Ciputra Development Tbk.</v>
      </c>
      <c r="C562" s="65">
        <f>Ringkasan!C561</f>
        <v>600</v>
      </c>
      <c r="D562" s="64" t="str">
        <f>Ringkasan!D561</f>
        <v>#N/A</v>
      </c>
      <c r="E562" s="64" t="str">
        <f>Ringkasan!E561</f>
        <v>IDXQ30</v>
      </c>
      <c r="F562" s="64" t="str">
        <f>Ringkasan!F561</f>
        <v>4 Agustus 2026</v>
      </c>
      <c r="G562" s="64">
        <f>Ringkasan!G561</f>
        <v>13</v>
      </c>
      <c r="H562" s="19">
        <f>Ringkasan!H561</f>
        <v>4.7</v>
      </c>
      <c r="I562" s="19">
        <f>Ringkasan!I561</f>
        <v>0.44</v>
      </c>
      <c r="J562" s="19">
        <f>Ringkasan!J561</f>
        <v>9.2</v>
      </c>
      <c r="K562" s="19">
        <f>Ringkasan!K561</f>
        <v>5.5</v>
      </c>
      <c r="L562" s="19">
        <f>Ringkasan!L561</f>
        <v>0.67</v>
      </c>
      <c r="M562" s="19">
        <f>Ringkasan!M561</f>
        <v>98.6</v>
      </c>
      <c r="N562" s="64" t="str">
        <f>Ringkasan!N561</f>
        <v/>
      </c>
      <c r="O562" s="64" t="str">
        <f>Ringkasan!O561</f>
        <v/>
      </c>
      <c r="P562" s="64" t="str">
        <f>Ringkasan!P561</f>
        <v/>
      </c>
      <c r="Q562" s="64" t="str">
        <f>Ringkasan!Q561</f>
        <v/>
      </c>
      <c r="R562" s="64" t="str">
        <f>Ringkasan!R561</f>
        <v/>
      </c>
      <c r="S562" s="64" t="str">
        <f>Ringkasan!S561</f>
        <v/>
      </c>
      <c r="T562" s="64" t="str">
        <f>Ringkasan!T561</f>
        <v/>
      </c>
      <c r="U562" s="64">
        <f>Ringkasan!U561</f>
        <v>640</v>
      </c>
      <c r="V562" s="64">
        <f>Ringkasan!V561</f>
        <v>-100</v>
      </c>
      <c r="W562" s="64" t="str">
        <f>Ringkasan!W561</f>
        <v/>
      </c>
      <c r="X562" s="64" t="str">
        <f>Ringkasan!X561</f>
        <v/>
      </c>
      <c r="Y562" s="64" t="str">
        <f>Ringkasan!Y561</f>
        <v/>
      </c>
      <c r="Z562" s="64">
        <f>Ringkasan!Z561</f>
        <v>0</v>
      </c>
      <c r="AA562" s="64" t="str">
        <f>Ringkasan!AA561</f>
        <v>Real Estate Management &amp; Development</v>
      </c>
      <c r="AB562" s="64" t="str">
        <f>Ringkasan!AB561</f>
        <v>Properties &amp; Real Estate</v>
      </c>
    </row>
    <row r="563" hidden="1">
      <c r="A563" s="64" t="str">
        <f>Ringkasan!A562</f>
        <v>CTRA</v>
      </c>
      <c r="B563" s="64" t="str">
        <f>Ringkasan!B562</f>
        <v>Ciputra Development Tbk.</v>
      </c>
      <c r="C563" s="65">
        <f>Ringkasan!C562</f>
        <v>600</v>
      </c>
      <c r="D563" s="64" t="str">
        <f>Ringkasan!D562</f>
        <v>#N/A</v>
      </c>
      <c r="E563" s="64" t="str">
        <f>Ringkasan!E562</f>
        <v>IDX80</v>
      </c>
      <c r="F563" s="64" t="str">
        <f>Ringkasan!F562</f>
        <v>31 Juli 2026</v>
      </c>
      <c r="G563" s="64">
        <f>Ringkasan!G562</f>
        <v>13</v>
      </c>
      <c r="H563" s="19">
        <f>Ringkasan!H562</f>
        <v>4.7</v>
      </c>
      <c r="I563" s="19">
        <f>Ringkasan!I562</f>
        <v>0.44</v>
      </c>
      <c r="J563" s="19">
        <f>Ringkasan!J562</f>
        <v>9.2</v>
      </c>
      <c r="K563" s="19">
        <f>Ringkasan!K562</f>
        <v>5.5</v>
      </c>
      <c r="L563" s="19">
        <f>Ringkasan!L562</f>
        <v>0.67</v>
      </c>
      <c r="M563" s="19">
        <f>Ringkasan!M562</f>
        <v>98.6</v>
      </c>
      <c r="N563" s="64" t="str">
        <f>Ringkasan!N562</f>
        <v/>
      </c>
      <c r="O563" s="64" t="str">
        <f>Ringkasan!O562</f>
        <v/>
      </c>
      <c r="P563" s="64" t="str">
        <f>Ringkasan!P562</f>
        <v/>
      </c>
      <c r="Q563" s="64" t="str">
        <f>Ringkasan!Q562</f>
        <v/>
      </c>
      <c r="R563" s="64" t="str">
        <f>Ringkasan!R562</f>
        <v/>
      </c>
      <c r="S563" s="64" t="str">
        <f>Ringkasan!S562</f>
        <v/>
      </c>
      <c r="T563" s="64" t="str">
        <f>Ringkasan!T562</f>
        <v/>
      </c>
      <c r="U563" s="64">
        <f>Ringkasan!U562</f>
        <v>640</v>
      </c>
      <c r="V563" s="64">
        <f>Ringkasan!V562</f>
        <v>-100</v>
      </c>
      <c r="W563" s="64" t="str">
        <f>Ringkasan!W562</f>
        <v/>
      </c>
      <c r="X563" s="64" t="str">
        <f>Ringkasan!X562</f>
        <v/>
      </c>
      <c r="Y563" s="64" t="str">
        <f>Ringkasan!Y562</f>
        <v/>
      </c>
      <c r="Z563" s="64">
        <f>Ringkasan!Z562</f>
        <v>0</v>
      </c>
      <c r="AA563" s="64" t="str">
        <f>Ringkasan!AA562</f>
        <v>Real Estate Management &amp; Development</v>
      </c>
      <c r="AB563" s="64" t="str">
        <f>Ringkasan!AB562</f>
        <v>Properties &amp; Real Estate</v>
      </c>
    </row>
    <row r="564" hidden="1">
      <c r="A564" s="64" t="str">
        <f>Ringkasan!A563</f>
        <v>CTRA</v>
      </c>
      <c r="B564" s="64" t="str">
        <f>Ringkasan!B563</f>
        <v>Ciputra Development Tbk.</v>
      </c>
      <c r="C564" s="65">
        <f>Ringkasan!C563</f>
        <v>600</v>
      </c>
      <c r="D564" s="64" t="str">
        <f>Ringkasan!D563</f>
        <v>#N/A</v>
      </c>
      <c r="E564" s="64" t="str">
        <f>Ringkasan!E563</f>
        <v>IDXVESTA28</v>
      </c>
      <c r="F564" s="64" t="str">
        <f>Ringkasan!F563</f>
        <v>31 Agustus 2026</v>
      </c>
      <c r="G564" s="64">
        <f>Ringkasan!G563</f>
        <v>13</v>
      </c>
      <c r="H564" s="19">
        <f>Ringkasan!H563</f>
        <v>4.7</v>
      </c>
      <c r="I564" s="19">
        <f>Ringkasan!I563</f>
        <v>0.44</v>
      </c>
      <c r="J564" s="19">
        <f>Ringkasan!J563</f>
        <v>9.2</v>
      </c>
      <c r="K564" s="19">
        <f>Ringkasan!K563</f>
        <v>5.5</v>
      </c>
      <c r="L564" s="19">
        <f>Ringkasan!L563</f>
        <v>0.67</v>
      </c>
      <c r="M564" s="19">
        <f>Ringkasan!M563</f>
        <v>98.6</v>
      </c>
      <c r="N564" s="64" t="str">
        <f>Ringkasan!N563</f>
        <v/>
      </c>
      <c r="O564" s="64" t="str">
        <f>Ringkasan!O563</f>
        <v/>
      </c>
      <c r="P564" s="64" t="str">
        <f>Ringkasan!P563</f>
        <v/>
      </c>
      <c r="Q564" s="64" t="str">
        <f>Ringkasan!Q563</f>
        <v/>
      </c>
      <c r="R564" s="64" t="str">
        <f>Ringkasan!R563</f>
        <v/>
      </c>
      <c r="S564" s="64" t="str">
        <f>Ringkasan!S563</f>
        <v/>
      </c>
      <c r="T564" s="64" t="str">
        <f>Ringkasan!T563</f>
        <v/>
      </c>
      <c r="U564" s="64">
        <f>Ringkasan!U563</f>
        <v>640</v>
      </c>
      <c r="V564" s="64">
        <f>Ringkasan!V563</f>
        <v>-100</v>
      </c>
      <c r="W564" s="64" t="str">
        <f>Ringkasan!W563</f>
        <v/>
      </c>
      <c r="X564" s="64" t="str">
        <f>Ringkasan!X563</f>
        <v/>
      </c>
      <c r="Y564" s="64" t="str">
        <f>Ringkasan!Y563</f>
        <v/>
      </c>
      <c r="Z564" s="64">
        <f>Ringkasan!Z563</f>
        <v>0</v>
      </c>
      <c r="AA564" s="64" t="str">
        <f>Ringkasan!AA563</f>
        <v>Real Estate Management &amp; Development</v>
      </c>
      <c r="AB564" s="64" t="str">
        <f>Ringkasan!AB563</f>
        <v>Properties &amp; Real Estate</v>
      </c>
    </row>
    <row r="565" hidden="1">
      <c r="A565" s="64" t="str">
        <f>Ringkasan!A564</f>
        <v>CTRA</v>
      </c>
      <c r="B565" s="64" t="str">
        <f>Ringkasan!B564</f>
        <v>Ciputra Development Tbk.</v>
      </c>
      <c r="C565" s="65">
        <f>Ringkasan!C564</f>
        <v>600</v>
      </c>
      <c r="D565" s="64" t="str">
        <f>Ringkasan!D564</f>
        <v>#N/A</v>
      </c>
      <c r="E565" s="64" t="str">
        <f>Ringkasan!E564</f>
        <v>IDXESGL</v>
      </c>
      <c r="F565" s="64" t="str">
        <f>Ringkasan!F564</f>
        <v>30 Oktober 2026</v>
      </c>
      <c r="G565" s="64">
        <f>Ringkasan!G564</f>
        <v>13</v>
      </c>
      <c r="H565" s="19">
        <f>Ringkasan!H564</f>
        <v>4.7</v>
      </c>
      <c r="I565" s="19">
        <f>Ringkasan!I564</f>
        <v>0.44</v>
      </c>
      <c r="J565" s="19">
        <f>Ringkasan!J564</f>
        <v>9.2</v>
      </c>
      <c r="K565" s="19">
        <f>Ringkasan!K564</f>
        <v>5.5</v>
      </c>
      <c r="L565" s="19">
        <f>Ringkasan!L564</f>
        <v>0.67</v>
      </c>
      <c r="M565" s="19">
        <f>Ringkasan!M564</f>
        <v>98.6</v>
      </c>
      <c r="N565" s="64" t="str">
        <f>Ringkasan!N564</f>
        <v/>
      </c>
      <c r="O565" s="64" t="str">
        <f>Ringkasan!O564</f>
        <v/>
      </c>
      <c r="P565" s="64" t="str">
        <f>Ringkasan!P564</f>
        <v/>
      </c>
      <c r="Q565" s="64" t="str">
        <f>Ringkasan!Q564</f>
        <v/>
      </c>
      <c r="R565" s="64" t="str">
        <f>Ringkasan!R564</f>
        <v/>
      </c>
      <c r="S565" s="64" t="str">
        <f>Ringkasan!S564</f>
        <v/>
      </c>
      <c r="T565" s="64" t="str">
        <f>Ringkasan!T564</f>
        <v/>
      </c>
      <c r="U565" s="64">
        <f>Ringkasan!U564</f>
        <v>640</v>
      </c>
      <c r="V565" s="64">
        <f>Ringkasan!V564</f>
        <v>-100</v>
      </c>
      <c r="W565" s="64" t="str">
        <f>Ringkasan!W564</f>
        <v/>
      </c>
      <c r="X565" s="64" t="str">
        <f>Ringkasan!X564</f>
        <v/>
      </c>
      <c r="Y565" s="64" t="str">
        <f>Ringkasan!Y564</f>
        <v/>
      </c>
      <c r="Z565" s="64">
        <f>Ringkasan!Z564</f>
        <v>0</v>
      </c>
      <c r="AA565" s="64" t="str">
        <f>Ringkasan!AA564</f>
        <v>Real Estate Management &amp; Development</v>
      </c>
      <c r="AB565" s="64" t="str">
        <f>Ringkasan!AB564</f>
        <v>Properties &amp; Real Estate</v>
      </c>
    </row>
    <row r="566" hidden="1">
      <c r="A566" s="64" t="str">
        <f>Ringkasan!A565</f>
        <v>CTRA</v>
      </c>
      <c r="B566" s="64" t="str">
        <f>Ringkasan!B565</f>
        <v>Ciputra Development Tbk.</v>
      </c>
      <c r="C566" s="65">
        <f>Ringkasan!C565</f>
        <v>600</v>
      </c>
      <c r="D566" s="64" t="str">
        <f>Ringkasan!D565</f>
        <v>#N/A</v>
      </c>
      <c r="E566" s="64" t="str">
        <f>Ringkasan!E565</f>
        <v>Kompas100</v>
      </c>
      <c r="F566" s="64" t="str">
        <f>Ringkasan!F565</f>
        <v>31 Juli 2026</v>
      </c>
      <c r="G566" s="64">
        <f>Ringkasan!G565</f>
        <v>13</v>
      </c>
      <c r="H566" s="19">
        <f>Ringkasan!H565</f>
        <v>4.7</v>
      </c>
      <c r="I566" s="19">
        <f>Ringkasan!I565</f>
        <v>0.44</v>
      </c>
      <c r="J566" s="19">
        <f>Ringkasan!J565</f>
        <v>9.2</v>
      </c>
      <c r="K566" s="19">
        <f>Ringkasan!K565</f>
        <v>5.5</v>
      </c>
      <c r="L566" s="19">
        <f>Ringkasan!L565</f>
        <v>0.67</v>
      </c>
      <c r="M566" s="19">
        <f>Ringkasan!M565</f>
        <v>98.6</v>
      </c>
      <c r="N566" s="64" t="str">
        <f>Ringkasan!N565</f>
        <v/>
      </c>
      <c r="O566" s="64" t="str">
        <f>Ringkasan!O565</f>
        <v/>
      </c>
      <c r="P566" s="64" t="str">
        <f>Ringkasan!P565</f>
        <v/>
      </c>
      <c r="Q566" s="64" t="str">
        <f>Ringkasan!Q565</f>
        <v/>
      </c>
      <c r="R566" s="64" t="str">
        <f>Ringkasan!R565</f>
        <v/>
      </c>
      <c r="S566" s="64" t="str">
        <f>Ringkasan!S565</f>
        <v/>
      </c>
      <c r="T566" s="64" t="str">
        <f>Ringkasan!T565</f>
        <v/>
      </c>
      <c r="U566" s="64">
        <f>Ringkasan!U565</f>
        <v>640</v>
      </c>
      <c r="V566" s="64">
        <f>Ringkasan!V565</f>
        <v>-100</v>
      </c>
      <c r="W566" s="64" t="str">
        <f>Ringkasan!W565</f>
        <v/>
      </c>
      <c r="X566" s="64" t="str">
        <f>Ringkasan!X565</f>
        <v/>
      </c>
      <c r="Y566" s="64" t="str">
        <f>Ringkasan!Y565</f>
        <v/>
      </c>
      <c r="Z566" s="64">
        <f>Ringkasan!Z565</f>
        <v>0</v>
      </c>
      <c r="AA566" s="64" t="str">
        <f>Ringkasan!AA565</f>
        <v>Real Estate Management &amp; Development</v>
      </c>
      <c r="AB566" s="64" t="str">
        <f>Ringkasan!AB565</f>
        <v>Properties &amp; Real Estate</v>
      </c>
    </row>
    <row r="567" hidden="1">
      <c r="A567" s="64" t="str">
        <f>Ringkasan!A566</f>
        <v>CTRA</v>
      </c>
      <c r="B567" s="64" t="str">
        <f>Ringkasan!B566</f>
        <v>Ciputra Development Tbk.</v>
      </c>
      <c r="C567" s="65">
        <f>Ringkasan!C566</f>
        <v>600</v>
      </c>
      <c r="D567" s="64" t="str">
        <f>Ringkasan!D566</f>
        <v>#N/A</v>
      </c>
      <c r="E567" s="64" t="str">
        <f>Ringkasan!E566</f>
        <v>ECONOMIC30</v>
      </c>
      <c r="F567" s="64" t="str">
        <f>Ringkasan!F566</f>
        <v>31 Agustus 2026</v>
      </c>
      <c r="G567" s="64">
        <f>Ringkasan!G566</f>
        <v>13</v>
      </c>
      <c r="H567" s="19">
        <f>Ringkasan!H566</f>
        <v>4.7</v>
      </c>
      <c r="I567" s="19">
        <f>Ringkasan!I566</f>
        <v>0.44</v>
      </c>
      <c r="J567" s="19">
        <f>Ringkasan!J566</f>
        <v>9.2</v>
      </c>
      <c r="K567" s="19">
        <f>Ringkasan!K566</f>
        <v>5.5</v>
      </c>
      <c r="L567" s="19">
        <f>Ringkasan!L566</f>
        <v>0.67</v>
      </c>
      <c r="M567" s="19">
        <f>Ringkasan!M566</f>
        <v>98.6</v>
      </c>
      <c r="N567" s="64" t="str">
        <f>Ringkasan!N566</f>
        <v/>
      </c>
      <c r="O567" s="64" t="str">
        <f>Ringkasan!O566</f>
        <v/>
      </c>
      <c r="P567" s="64" t="str">
        <f>Ringkasan!P566</f>
        <v/>
      </c>
      <c r="Q567" s="64" t="str">
        <f>Ringkasan!Q566</f>
        <v/>
      </c>
      <c r="R567" s="64" t="str">
        <f>Ringkasan!R566</f>
        <v/>
      </c>
      <c r="S567" s="64" t="str">
        <f>Ringkasan!S566</f>
        <v/>
      </c>
      <c r="T567" s="64" t="str">
        <f>Ringkasan!T566</f>
        <v/>
      </c>
      <c r="U567" s="64">
        <f>Ringkasan!U566</f>
        <v>640</v>
      </c>
      <c r="V567" s="64">
        <f>Ringkasan!V566</f>
        <v>-100</v>
      </c>
      <c r="W567" s="64" t="str">
        <f>Ringkasan!W566</f>
        <v/>
      </c>
      <c r="X567" s="64" t="str">
        <f>Ringkasan!X566</f>
        <v/>
      </c>
      <c r="Y567" s="64" t="str">
        <f>Ringkasan!Y566</f>
        <v/>
      </c>
      <c r="Z567" s="64">
        <f>Ringkasan!Z566</f>
        <v>0</v>
      </c>
      <c r="AA567" s="64" t="str">
        <f>Ringkasan!AA566</f>
        <v>Real Estate Management &amp; Development</v>
      </c>
      <c r="AB567" s="64" t="str">
        <f>Ringkasan!AB566</f>
        <v>Properties &amp; Real Estate</v>
      </c>
    </row>
    <row r="568" hidden="1">
      <c r="A568" s="64" t="str">
        <f>Ringkasan!A567</f>
        <v>CTRA</v>
      </c>
      <c r="B568" s="64" t="str">
        <f>Ringkasan!B567</f>
        <v>Ciputra Development Tbk.</v>
      </c>
      <c r="C568" s="65">
        <f>Ringkasan!C567</f>
        <v>600</v>
      </c>
      <c r="D568" s="64" t="str">
        <f>Ringkasan!D567</f>
        <v>#N/A</v>
      </c>
      <c r="E568" s="64" t="str">
        <f>Ringkasan!E567</f>
        <v>IDXV30</v>
      </c>
      <c r="F568" s="64" t="str">
        <f>Ringkasan!F567</f>
        <v>4 Agustus 2026</v>
      </c>
      <c r="G568" s="64">
        <f>Ringkasan!G567</f>
        <v>13</v>
      </c>
      <c r="H568" s="19">
        <f>Ringkasan!H567</f>
        <v>4.7</v>
      </c>
      <c r="I568" s="19">
        <f>Ringkasan!I567</f>
        <v>0.44</v>
      </c>
      <c r="J568" s="19">
        <f>Ringkasan!J567</f>
        <v>9.2</v>
      </c>
      <c r="K568" s="19">
        <f>Ringkasan!K567</f>
        <v>5.5</v>
      </c>
      <c r="L568" s="19">
        <f>Ringkasan!L567</f>
        <v>0.67</v>
      </c>
      <c r="M568" s="19">
        <f>Ringkasan!M567</f>
        <v>98.6</v>
      </c>
      <c r="N568" s="64" t="str">
        <f>Ringkasan!N567</f>
        <v/>
      </c>
      <c r="O568" s="64" t="str">
        <f>Ringkasan!O567</f>
        <v/>
      </c>
      <c r="P568" s="64" t="str">
        <f>Ringkasan!P567</f>
        <v/>
      </c>
      <c r="Q568" s="64" t="str">
        <f>Ringkasan!Q567</f>
        <v/>
      </c>
      <c r="R568" s="64" t="str">
        <f>Ringkasan!R567</f>
        <v/>
      </c>
      <c r="S568" s="64" t="str">
        <f>Ringkasan!S567</f>
        <v/>
      </c>
      <c r="T568" s="64" t="str">
        <f>Ringkasan!T567</f>
        <v/>
      </c>
      <c r="U568" s="64">
        <f>Ringkasan!U567</f>
        <v>640</v>
      </c>
      <c r="V568" s="64">
        <f>Ringkasan!V567</f>
        <v>-100</v>
      </c>
      <c r="W568" s="64" t="str">
        <f>Ringkasan!W567</f>
        <v/>
      </c>
      <c r="X568" s="64" t="str">
        <f>Ringkasan!X567</f>
        <v/>
      </c>
      <c r="Y568" s="64" t="str">
        <f>Ringkasan!Y567</f>
        <v/>
      </c>
      <c r="Z568" s="64">
        <f>Ringkasan!Z567</f>
        <v>0</v>
      </c>
      <c r="AA568" s="64" t="str">
        <f>Ringkasan!AA567</f>
        <v>Real Estate Management &amp; Development</v>
      </c>
      <c r="AB568" s="64" t="str">
        <f>Ringkasan!AB567</f>
        <v>Properties &amp; Real Estate</v>
      </c>
    </row>
    <row r="569" hidden="1">
      <c r="A569" s="64" t="str">
        <f>Ringkasan!A568</f>
        <v>CTRA</v>
      </c>
      <c r="B569" s="64" t="str">
        <f>Ringkasan!B568</f>
        <v>Ciputra Development Tbk.</v>
      </c>
      <c r="C569" s="65">
        <f>Ringkasan!C568</f>
        <v>600</v>
      </c>
      <c r="D569" s="64" t="str">
        <f>Ringkasan!D568</f>
        <v>#N/A</v>
      </c>
      <c r="E569" s="64" t="str">
        <f>Ringkasan!E568</f>
        <v>IDXSMC-LIQ</v>
      </c>
      <c r="F569" s="64" t="str">
        <f>Ringkasan!F568</f>
        <v>4 Agustus 2026</v>
      </c>
      <c r="G569" s="64">
        <f>Ringkasan!G568</f>
        <v>13</v>
      </c>
      <c r="H569" s="19">
        <f>Ringkasan!H568</f>
        <v>4.7</v>
      </c>
      <c r="I569" s="19">
        <f>Ringkasan!I568</f>
        <v>0.44</v>
      </c>
      <c r="J569" s="19">
        <f>Ringkasan!J568</f>
        <v>9.2</v>
      </c>
      <c r="K569" s="19">
        <f>Ringkasan!K568</f>
        <v>5.5</v>
      </c>
      <c r="L569" s="19">
        <f>Ringkasan!L568</f>
        <v>0.67</v>
      </c>
      <c r="M569" s="19">
        <f>Ringkasan!M568</f>
        <v>98.6</v>
      </c>
      <c r="N569" s="64" t="str">
        <f>Ringkasan!N568</f>
        <v/>
      </c>
      <c r="O569" s="64" t="str">
        <f>Ringkasan!O568</f>
        <v/>
      </c>
      <c r="P569" s="64" t="str">
        <f>Ringkasan!P568</f>
        <v/>
      </c>
      <c r="Q569" s="64" t="str">
        <f>Ringkasan!Q568</f>
        <v/>
      </c>
      <c r="R569" s="64" t="str">
        <f>Ringkasan!R568</f>
        <v/>
      </c>
      <c r="S569" s="64" t="str">
        <f>Ringkasan!S568</f>
        <v/>
      </c>
      <c r="T569" s="64" t="str">
        <f>Ringkasan!T568</f>
        <v/>
      </c>
      <c r="U569" s="64">
        <f>Ringkasan!U568</f>
        <v>640</v>
      </c>
      <c r="V569" s="64">
        <f>Ringkasan!V568</f>
        <v>-100</v>
      </c>
      <c r="W569" s="64" t="str">
        <f>Ringkasan!W568</f>
        <v/>
      </c>
      <c r="X569" s="64" t="str">
        <f>Ringkasan!X568</f>
        <v/>
      </c>
      <c r="Y569" s="64" t="str">
        <f>Ringkasan!Y568</f>
        <v/>
      </c>
      <c r="Z569" s="64">
        <f>Ringkasan!Z568</f>
        <v>0</v>
      </c>
      <c r="AA569" s="64" t="str">
        <f>Ringkasan!AA568</f>
        <v>Real Estate Management &amp; Development</v>
      </c>
      <c r="AB569" s="64" t="str">
        <f>Ringkasan!AB568</f>
        <v>Properties &amp; Real Estate</v>
      </c>
    </row>
    <row r="570" hidden="1">
      <c r="A570" s="64" t="str">
        <f>Ringkasan!A569</f>
        <v>CTRA</v>
      </c>
      <c r="B570" s="64" t="str">
        <f>Ringkasan!B569</f>
        <v>Ciputra Development Tbk.</v>
      </c>
      <c r="C570" s="65">
        <f>Ringkasan!C569</f>
        <v>600</v>
      </c>
      <c r="D570" s="64" t="str">
        <f>Ringkasan!D569</f>
        <v>#N/A</v>
      </c>
      <c r="E570" s="64" t="str">
        <f>Ringkasan!E569</f>
        <v>MSCI Small Cap</v>
      </c>
      <c r="F570" s="64" t="str">
        <f>Ringkasan!F569</f>
        <v>12 Agustus 2026</v>
      </c>
      <c r="G570" s="65">
        <f>Ringkasan!G569</f>
        <v>13</v>
      </c>
      <c r="H570" s="19">
        <f>Ringkasan!H569</f>
        <v>4.7</v>
      </c>
      <c r="I570" s="19">
        <f>Ringkasan!I569</f>
        <v>0.44</v>
      </c>
      <c r="J570" s="19">
        <f>Ringkasan!J569</f>
        <v>9.2</v>
      </c>
      <c r="K570" s="19">
        <f>Ringkasan!K569</f>
        <v>5.5</v>
      </c>
      <c r="L570" s="19">
        <f>Ringkasan!L569</f>
        <v>0.67</v>
      </c>
      <c r="M570" s="19">
        <f>Ringkasan!M569</f>
        <v>98.6</v>
      </c>
      <c r="N570" s="64" t="str">
        <f>Ringkasan!N569</f>
        <v/>
      </c>
      <c r="O570" s="64" t="str">
        <f>Ringkasan!O569</f>
        <v/>
      </c>
      <c r="P570" s="64" t="str">
        <f>Ringkasan!P569</f>
        <v/>
      </c>
      <c r="Q570" s="64" t="str">
        <f>Ringkasan!Q569</f>
        <v/>
      </c>
      <c r="R570" s="64" t="str">
        <f>Ringkasan!R569</f>
        <v/>
      </c>
      <c r="S570" s="64" t="str">
        <f>Ringkasan!S569</f>
        <v/>
      </c>
      <c r="T570" s="64" t="str">
        <f>Ringkasan!T569</f>
        <v/>
      </c>
      <c r="U570" s="64">
        <f>Ringkasan!U569</f>
        <v>640</v>
      </c>
      <c r="V570" s="64">
        <f>Ringkasan!V569</f>
        <v>-100</v>
      </c>
      <c r="W570" s="64" t="str">
        <f>Ringkasan!W569</f>
        <v/>
      </c>
      <c r="X570" s="64" t="str">
        <f>Ringkasan!X569</f>
        <v/>
      </c>
      <c r="Y570" s="64" t="str">
        <f>Ringkasan!Y569</f>
        <v/>
      </c>
      <c r="Z570" s="64">
        <f>Ringkasan!Z569</f>
        <v>0</v>
      </c>
      <c r="AA570" s="64" t="str">
        <f>Ringkasan!AA569</f>
        <v>Real Estate Management &amp; Development</v>
      </c>
      <c r="AB570" s="64" t="str">
        <f>Ringkasan!AB569</f>
        <v>Properties &amp; Real Estate</v>
      </c>
    </row>
    <row r="571" hidden="1">
      <c r="A571" s="64" t="str">
        <f>Ringkasan!A570</f>
        <v>CTRA</v>
      </c>
      <c r="B571" s="64" t="str">
        <f>Ringkasan!B570</f>
        <v>Ciputra Development Tbk.</v>
      </c>
      <c r="C571" s="65">
        <f>Ringkasan!C570</f>
        <v>600</v>
      </c>
      <c r="D571" s="64" t="str">
        <f>Ringkasan!D570</f>
        <v>#N/A</v>
      </c>
      <c r="E571" s="64" t="str">
        <f>Ringkasan!E570</f>
        <v>JII70</v>
      </c>
      <c r="F571" s="66">
        <f>Ringkasan!F570</f>
        <v>46356</v>
      </c>
      <c r="G571" s="64">
        <f>Ringkasan!G570</f>
        <v>13</v>
      </c>
      <c r="H571" s="19">
        <f>Ringkasan!H570</f>
        <v>4.7</v>
      </c>
      <c r="I571" s="19">
        <f>Ringkasan!I570</f>
        <v>0.44</v>
      </c>
      <c r="J571" s="19">
        <f>Ringkasan!J570</f>
        <v>9.2</v>
      </c>
      <c r="K571" s="19">
        <f>Ringkasan!K570</f>
        <v>5.5</v>
      </c>
      <c r="L571" s="19">
        <f>Ringkasan!L570</f>
        <v>0.67</v>
      </c>
      <c r="M571" s="19">
        <f>Ringkasan!M570</f>
        <v>98.6</v>
      </c>
      <c r="N571" s="64" t="str">
        <f>Ringkasan!N570</f>
        <v/>
      </c>
      <c r="O571" s="64" t="str">
        <f>Ringkasan!O570</f>
        <v/>
      </c>
      <c r="P571" s="64" t="str">
        <f>Ringkasan!P570</f>
        <v/>
      </c>
      <c r="Q571" s="64" t="str">
        <f>Ringkasan!Q570</f>
        <v/>
      </c>
      <c r="R571" s="64" t="str">
        <f>Ringkasan!R570</f>
        <v/>
      </c>
      <c r="S571" s="64" t="str">
        <f>Ringkasan!S570</f>
        <v/>
      </c>
      <c r="T571" s="64" t="str">
        <f>Ringkasan!T570</f>
        <v/>
      </c>
      <c r="U571" s="64">
        <f>Ringkasan!U570</f>
        <v>640</v>
      </c>
      <c r="V571" s="64">
        <f>Ringkasan!V570</f>
        <v>-100</v>
      </c>
      <c r="W571" s="64" t="str">
        <f>Ringkasan!W570</f>
        <v/>
      </c>
      <c r="X571" s="64" t="str">
        <f>Ringkasan!X570</f>
        <v/>
      </c>
      <c r="Y571" s="64" t="str">
        <f>Ringkasan!Y570</f>
        <v/>
      </c>
      <c r="Z571" s="64">
        <f>Ringkasan!Z570</f>
        <v>0</v>
      </c>
      <c r="AA571" s="64" t="str">
        <f>Ringkasan!AA570</f>
        <v>Real Estate Management &amp; Development</v>
      </c>
      <c r="AB571" s="64" t="str">
        <f>Ringkasan!AB570</f>
        <v>Properties &amp; Real Estate</v>
      </c>
    </row>
    <row r="572" hidden="1">
      <c r="A572" s="64" t="str">
        <f>Ringkasan!A571</f>
        <v>CTTH</v>
      </c>
      <c r="B572" s="64" t="str">
        <f>Ringkasan!B571</f>
        <v>Citatah Tbk.</v>
      </c>
      <c r="C572" s="65">
        <f>Ringkasan!C571</f>
        <v>137</v>
      </c>
      <c r="D572" s="64" t="str">
        <f>Ringkasan!D571</f>
        <v>#N/A</v>
      </c>
      <c r="E572" s="64" t="str">
        <f>Ringkasan!E571</f>
        <v/>
      </c>
      <c r="F572" s="64" t="str">
        <f>Ringkasan!F571</f>
        <v/>
      </c>
      <c r="G572" s="64">
        <f>Ringkasan!G571</f>
        <v>0</v>
      </c>
      <c r="H572" s="19">
        <f>Ringkasan!H571</f>
        <v>-7.9</v>
      </c>
      <c r="I572" s="19">
        <f>Ringkasan!I571</f>
        <v>1.3</v>
      </c>
      <c r="J572" s="19">
        <f>Ringkasan!J571</f>
        <v>-16.7</v>
      </c>
      <c r="K572" s="19">
        <f>Ringkasan!K571</f>
        <v>-4</v>
      </c>
      <c r="L572" s="19">
        <f>Ringkasan!L571</f>
        <v>3.2</v>
      </c>
      <c r="M572" s="19">
        <f>Ringkasan!M571</f>
        <v>-160</v>
      </c>
      <c r="N572" s="64" t="str">
        <f>Ringkasan!N571</f>
        <v/>
      </c>
      <c r="O572" s="64" t="str">
        <f>Ringkasan!O571</f>
        <v/>
      </c>
      <c r="P572" s="64" t="str">
        <f>Ringkasan!P571</f>
        <v/>
      </c>
      <c r="Q572" s="64" t="str">
        <f>Ringkasan!Q571</f>
        <v/>
      </c>
      <c r="R572" s="64" t="str">
        <f>Ringkasan!R571</f>
        <v/>
      </c>
      <c r="S572" s="64" t="str">
        <f>Ringkasan!S571</f>
        <v/>
      </c>
      <c r="T572" s="64" t="str">
        <f>Ringkasan!T571</f>
        <v/>
      </c>
      <c r="U572" s="64">
        <f>Ringkasan!U571</f>
        <v>0.08</v>
      </c>
      <c r="V572" s="64">
        <f>Ringkasan!V571</f>
        <v>0</v>
      </c>
      <c r="W572" s="64" t="str">
        <f>Ringkasan!W571</f>
        <v/>
      </c>
      <c r="X572" s="64" t="str">
        <f>Ringkasan!X571</f>
        <v/>
      </c>
      <c r="Y572" s="64" t="str">
        <f>Ringkasan!Y571</f>
        <v/>
      </c>
      <c r="Z572" s="64">
        <f>Ringkasan!Z571</f>
        <v>0</v>
      </c>
      <c r="AA572" s="64" t="str">
        <f>Ringkasan!AA571</f>
        <v>Building Products &amp; Fixtures</v>
      </c>
      <c r="AB572" s="64" t="str">
        <f>Ringkasan!AB571</f>
        <v>Industrials</v>
      </c>
    </row>
    <row r="573" hidden="1">
      <c r="A573" s="64" t="str">
        <f>Ringkasan!A572</f>
        <v>CUAN</v>
      </c>
      <c r="B573" s="64" t="str">
        <f>Ringkasan!B572</f>
        <v>PT Petrindo Jaya Kreasi Tbk</v>
      </c>
      <c r="C573" s="65">
        <f>Ringkasan!C572</f>
        <v>720</v>
      </c>
      <c r="D573" s="64" t="str">
        <f>Ringkasan!D572</f>
        <v>#N/A</v>
      </c>
      <c r="E573" s="64" t="str">
        <f>Ringkasan!E572</f>
        <v>LQ45</v>
      </c>
      <c r="F573" s="64" t="str">
        <f>Ringkasan!F572</f>
        <v>31 Juli 2026</v>
      </c>
      <c r="G573" s="64">
        <f>Ringkasan!G572</f>
        <v>5</v>
      </c>
      <c r="H573" s="19">
        <f>Ringkasan!H572</f>
        <v>30.4</v>
      </c>
      <c r="I573" s="19">
        <f>Ringkasan!I572</f>
        <v>6.6</v>
      </c>
      <c r="J573" s="19">
        <f>Ringkasan!J572</f>
        <v>21.8</v>
      </c>
      <c r="K573" s="19">
        <f>Ringkasan!K572</f>
        <v>5</v>
      </c>
      <c r="L573" s="19">
        <f>Ringkasan!L572</f>
        <v>3.4</v>
      </c>
      <c r="M573" s="19">
        <f>Ringkasan!M572</f>
        <v>36.9</v>
      </c>
      <c r="N573" s="64" t="str">
        <f>Ringkasan!N572</f>
        <v/>
      </c>
      <c r="O573" s="64" t="str">
        <f>Ringkasan!O572</f>
        <v/>
      </c>
      <c r="P573" s="64" t="str">
        <f>Ringkasan!P572</f>
        <v/>
      </c>
      <c r="Q573" s="64" t="str">
        <f>Ringkasan!Q572</f>
        <v/>
      </c>
      <c r="R573" s="64" t="str">
        <f>Ringkasan!R572</f>
        <v/>
      </c>
      <c r="S573" s="64" t="str">
        <f>Ringkasan!S572</f>
        <v/>
      </c>
      <c r="T573" s="64" t="str">
        <f>Ringkasan!T572</f>
        <v/>
      </c>
      <c r="U573" s="64">
        <f>Ringkasan!U572</f>
        <v>0.08</v>
      </c>
      <c r="V573" s="64">
        <f>Ringkasan!V572</f>
        <v>0</v>
      </c>
      <c r="W573" s="64">
        <f>Ringkasan!W572</f>
        <v>0.08</v>
      </c>
      <c r="X573" s="64">
        <f>Ringkasan!X572</f>
        <v>0.08</v>
      </c>
      <c r="Y573" s="64">
        <f>Ringkasan!Y572</f>
        <v>0.08</v>
      </c>
      <c r="Z573" s="64" t="str">
        <f>Ringkasan!Z572</f>
        <v/>
      </c>
      <c r="AA573" s="64" t="str">
        <f>Ringkasan!AA572</f>
        <v>Coal</v>
      </c>
      <c r="AB573" s="64" t="str">
        <f>Ringkasan!AB572</f>
        <v>Energy</v>
      </c>
    </row>
    <row r="574" hidden="1">
      <c r="A574" s="64" t="str">
        <f>Ringkasan!A573</f>
        <v>CUAN</v>
      </c>
      <c r="B574" s="64" t="str">
        <f>Ringkasan!B573</f>
        <v>PT Petrindo Jaya Kreasi Tbk</v>
      </c>
      <c r="C574" s="65">
        <f>Ringkasan!C573</f>
        <v>720</v>
      </c>
      <c r="D574" s="64" t="str">
        <f>Ringkasan!D573</f>
        <v>#N/A</v>
      </c>
      <c r="E574" s="64" t="str">
        <f>Ringkasan!E573</f>
        <v>Kompas100</v>
      </c>
      <c r="F574" s="64" t="str">
        <f>Ringkasan!F573</f>
        <v>31 Juli 2026</v>
      </c>
      <c r="G574" s="64">
        <f>Ringkasan!G573</f>
        <v>5</v>
      </c>
      <c r="H574" s="19">
        <f>Ringkasan!H573</f>
        <v>30.4</v>
      </c>
      <c r="I574" s="19">
        <f>Ringkasan!I573</f>
        <v>6.6</v>
      </c>
      <c r="J574" s="19">
        <f>Ringkasan!J573</f>
        <v>21.8</v>
      </c>
      <c r="K574" s="19">
        <f>Ringkasan!K573</f>
        <v>5</v>
      </c>
      <c r="L574" s="19">
        <f>Ringkasan!L573</f>
        <v>3.4</v>
      </c>
      <c r="M574" s="19">
        <f>Ringkasan!M573</f>
        <v>36.9</v>
      </c>
      <c r="N574" s="64" t="str">
        <f>Ringkasan!N573</f>
        <v/>
      </c>
      <c r="O574" s="64" t="str">
        <f>Ringkasan!O573</f>
        <v/>
      </c>
      <c r="P574" s="64" t="str">
        <f>Ringkasan!P573</f>
        <v/>
      </c>
      <c r="Q574" s="64" t="str">
        <f>Ringkasan!Q573</f>
        <v/>
      </c>
      <c r="R574" s="64" t="str">
        <f>Ringkasan!R573</f>
        <v/>
      </c>
      <c r="S574" s="64" t="str">
        <f>Ringkasan!S573</f>
        <v/>
      </c>
      <c r="T574" s="64" t="str">
        <f>Ringkasan!T573</f>
        <v/>
      </c>
      <c r="U574" s="64">
        <f>Ringkasan!U573</f>
        <v>0.08</v>
      </c>
      <c r="V574" s="64">
        <f>Ringkasan!V573</f>
        <v>0</v>
      </c>
      <c r="W574" s="64">
        <f>Ringkasan!W573</f>
        <v>0.08</v>
      </c>
      <c r="X574" s="64">
        <f>Ringkasan!X573</f>
        <v>0.08</v>
      </c>
      <c r="Y574" s="64">
        <f>Ringkasan!Y573</f>
        <v>0.08</v>
      </c>
      <c r="Z574" s="64" t="str">
        <f>Ringkasan!Z573</f>
        <v/>
      </c>
      <c r="AA574" s="64" t="str">
        <f>Ringkasan!AA573</f>
        <v>Coal</v>
      </c>
      <c r="AB574" s="64" t="str">
        <f>Ringkasan!AB573</f>
        <v>Energy</v>
      </c>
    </row>
    <row r="575" hidden="1">
      <c r="A575" s="64" t="str">
        <f>Ringkasan!A574</f>
        <v>CUAN</v>
      </c>
      <c r="B575" s="64" t="str">
        <f>Ringkasan!B574</f>
        <v>PT Petrindo Jaya Kreasi Tbk</v>
      </c>
      <c r="C575" s="65">
        <f>Ringkasan!C574</f>
        <v>720</v>
      </c>
      <c r="D575" s="64" t="str">
        <f>Ringkasan!D574</f>
        <v>#N/A</v>
      </c>
      <c r="E575" s="64" t="str">
        <f>Ringkasan!E574</f>
        <v>IDX80</v>
      </c>
      <c r="F575" s="64" t="str">
        <f>Ringkasan!F574</f>
        <v>31 Juli 2026</v>
      </c>
      <c r="G575" s="64">
        <f>Ringkasan!G574</f>
        <v>5</v>
      </c>
      <c r="H575" s="19">
        <f>Ringkasan!H574</f>
        <v>30.4</v>
      </c>
      <c r="I575" s="19">
        <f>Ringkasan!I574</f>
        <v>6.6</v>
      </c>
      <c r="J575" s="19">
        <f>Ringkasan!J574</f>
        <v>21.8</v>
      </c>
      <c r="K575" s="19">
        <f>Ringkasan!K574</f>
        <v>5</v>
      </c>
      <c r="L575" s="19">
        <f>Ringkasan!L574</f>
        <v>3.4</v>
      </c>
      <c r="M575" s="19">
        <f>Ringkasan!M574</f>
        <v>36.9</v>
      </c>
      <c r="N575" s="64" t="str">
        <f>Ringkasan!N574</f>
        <v/>
      </c>
      <c r="O575" s="64" t="str">
        <f>Ringkasan!O574</f>
        <v/>
      </c>
      <c r="P575" s="64" t="str">
        <f>Ringkasan!P574</f>
        <v/>
      </c>
      <c r="Q575" s="64" t="str">
        <f>Ringkasan!Q574</f>
        <v/>
      </c>
      <c r="R575" s="64" t="str">
        <f>Ringkasan!R574</f>
        <v/>
      </c>
      <c r="S575" s="64" t="str">
        <f>Ringkasan!S574</f>
        <v/>
      </c>
      <c r="T575" s="64" t="str">
        <f>Ringkasan!T574</f>
        <v/>
      </c>
      <c r="U575" s="64">
        <f>Ringkasan!U574</f>
        <v>0.08</v>
      </c>
      <c r="V575" s="64">
        <f>Ringkasan!V574</f>
        <v>0</v>
      </c>
      <c r="W575" s="64">
        <f>Ringkasan!W574</f>
        <v>0.08</v>
      </c>
      <c r="X575" s="64">
        <f>Ringkasan!X574</f>
        <v>0.08</v>
      </c>
      <c r="Y575" s="64">
        <f>Ringkasan!Y574</f>
        <v>0.08</v>
      </c>
      <c r="Z575" s="64" t="str">
        <f>Ringkasan!Z574</f>
        <v/>
      </c>
      <c r="AA575" s="64" t="str">
        <f>Ringkasan!AA574</f>
        <v>Coal</v>
      </c>
      <c r="AB575" s="64" t="str">
        <f>Ringkasan!AB574</f>
        <v>Energy</v>
      </c>
    </row>
    <row r="576" hidden="1">
      <c r="A576" s="64" t="str">
        <f>Ringkasan!A575</f>
        <v>CUAN</v>
      </c>
      <c r="B576" s="64" t="str">
        <f>Ringkasan!B575</f>
        <v>PT Petrindo Jaya Kreasi Tbk</v>
      </c>
      <c r="C576" s="65">
        <f>Ringkasan!C575</f>
        <v>720</v>
      </c>
      <c r="D576" s="64" t="str">
        <f>Ringkasan!D575</f>
        <v>#N/A</v>
      </c>
      <c r="E576" s="64" t="str">
        <f>Ringkasan!E575</f>
        <v>Pefindo - iGrade</v>
      </c>
      <c r="F576" s="64" t="str">
        <f>Ringkasan!F575</f>
        <v>30 Juni 2026</v>
      </c>
      <c r="G576" s="64">
        <f>Ringkasan!G575</f>
        <v>5</v>
      </c>
      <c r="H576" s="19">
        <f>Ringkasan!H575</f>
        <v>30.4</v>
      </c>
      <c r="I576" s="19">
        <f>Ringkasan!I575</f>
        <v>6.6</v>
      </c>
      <c r="J576" s="19">
        <f>Ringkasan!J575</f>
        <v>21.8</v>
      </c>
      <c r="K576" s="19">
        <f>Ringkasan!K575</f>
        <v>5</v>
      </c>
      <c r="L576" s="19">
        <f>Ringkasan!L575</f>
        <v>3.4</v>
      </c>
      <c r="M576" s="19">
        <f>Ringkasan!M575</f>
        <v>36.9</v>
      </c>
      <c r="N576" s="64" t="str">
        <f>Ringkasan!N575</f>
        <v/>
      </c>
      <c r="O576" s="64" t="str">
        <f>Ringkasan!O575</f>
        <v/>
      </c>
      <c r="P576" s="64" t="str">
        <f>Ringkasan!P575</f>
        <v/>
      </c>
      <c r="Q576" s="64" t="str">
        <f>Ringkasan!Q575</f>
        <v/>
      </c>
      <c r="R576" s="64" t="str">
        <f>Ringkasan!R575</f>
        <v/>
      </c>
      <c r="S576" s="64" t="str">
        <f>Ringkasan!S575</f>
        <v/>
      </c>
      <c r="T576" s="64" t="str">
        <f>Ringkasan!T575</f>
        <v/>
      </c>
      <c r="U576" s="64">
        <f>Ringkasan!U575</f>
        <v>0.08</v>
      </c>
      <c r="V576" s="64">
        <f>Ringkasan!V575</f>
        <v>0</v>
      </c>
      <c r="W576" s="64">
        <f>Ringkasan!W575</f>
        <v>0.08</v>
      </c>
      <c r="X576" s="64">
        <f>Ringkasan!X575</f>
        <v>0.08</v>
      </c>
      <c r="Y576" s="64">
        <f>Ringkasan!Y575</f>
        <v>0.08</v>
      </c>
      <c r="Z576" s="64" t="str">
        <f>Ringkasan!Z575</f>
        <v/>
      </c>
      <c r="AA576" s="64" t="str">
        <f>Ringkasan!AA575</f>
        <v>Coal</v>
      </c>
      <c r="AB576" s="64" t="str">
        <f>Ringkasan!AB575</f>
        <v>Energy</v>
      </c>
    </row>
    <row r="577" hidden="1">
      <c r="A577" s="64" t="str">
        <f>Ringkasan!A576</f>
        <v>CUAN</v>
      </c>
      <c r="B577" s="64" t="str">
        <f>Ringkasan!B576</f>
        <v>PT Petrindo Jaya Kreasi Tbk</v>
      </c>
      <c r="C577" s="65">
        <f>Ringkasan!C576</f>
        <v>720</v>
      </c>
      <c r="D577" s="64" t="str">
        <f>Ringkasan!D576</f>
        <v>#N/A</v>
      </c>
      <c r="E577" s="64" t="str">
        <f>Ringkasan!E576</f>
        <v>FTSE Large Cap</v>
      </c>
      <c r="F577" s="64" t="str">
        <f>Ringkasan!F576</f>
        <v>Juni 2026</v>
      </c>
      <c r="G577" s="64">
        <f>Ringkasan!G576</f>
        <v>5</v>
      </c>
      <c r="H577" s="19">
        <f>Ringkasan!H576</f>
        <v>30.4</v>
      </c>
      <c r="I577" s="19">
        <f>Ringkasan!I576</f>
        <v>6.6</v>
      </c>
      <c r="J577" s="19">
        <f>Ringkasan!J576</f>
        <v>21.8</v>
      </c>
      <c r="K577" s="19">
        <f>Ringkasan!K576</f>
        <v>5</v>
      </c>
      <c r="L577" s="19">
        <f>Ringkasan!L576</f>
        <v>3.4</v>
      </c>
      <c r="M577" s="19">
        <f>Ringkasan!M576</f>
        <v>36.9</v>
      </c>
      <c r="N577" s="64" t="str">
        <f>Ringkasan!N576</f>
        <v/>
      </c>
      <c r="O577" s="64" t="str">
        <f>Ringkasan!O576</f>
        <v/>
      </c>
      <c r="P577" s="64" t="str">
        <f>Ringkasan!P576</f>
        <v/>
      </c>
      <c r="Q577" s="64" t="str">
        <f>Ringkasan!Q576</f>
        <v/>
      </c>
      <c r="R577" s="64" t="str">
        <f>Ringkasan!R576</f>
        <v/>
      </c>
      <c r="S577" s="64" t="str">
        <f>Ringkasan!S576</f>
        <v/>
      </c>
      <c r="T577" s="64" t="str">
        <f>Ringkasan!T576</f>
        <v/>
      </c>
      <c r="U577" s="64">
        <f>Ringkasan!U576</f>
        <v>0.08</v>
      </c>
      <c r="V577" s="64">
        <f>Ringkasan!V576</f>
        <v>0</v>
      </c>
      <c r="W577" s="64">
        <f>Ringkasan!W576</f>
        <v>0.08</v>
      </c>
      <c r="X577" s="64">
        <f>Ringkasan!X576</f>
        <v>0.08</v>
      </c>
      <c r="Y577" s="64">
        <f>Ringkasan!Y576</f>
        <v>0.08</v>
      </c>
      <c r="Z577" s="64" t="str">
        <f>Ringkasan!Z576</f>
        <v/>
      </c>
      <c r="AA577" s="64" t="str">
        <f>Ringkasan!AA576</f>
        <v>Coal</v>
      </c>
      <c r="AB577" s="64" t="str">
        <f>Ringkasan!AB576</f>
        <v>Energy</v>
      </c>
    </row>
    <row r="578" hidden="1">
      <c r="A578" s="64" t="str">
        <f>Ringkasan!A577</f>
        <v>CYBR</v>
      </c>
      <c r="B578" s="64" t="str">
        <f>Ringkasan!B577</f>
        <v>ITSEC Asia Tbk.</v>
      </c>
      <c r="C578" s="65">
        <f>Ringkasan!C577</f>
        <v>615</v>
      </c>
      <c r="D578" s="64" t="str">
        <f>Ringkasan!D577</f>
        <v>#N/A</v>
      </c>
      <c r="E578" s="64" t="str">
        <f>Ringkasan!E577</f>
        <v/>
      </c>
      <c r="F578" s="64" t="str">
        <f>Ringkasan!F577</f>
        <v/>
      </c>
      <c r="G578" s="64">
        <f>Ringkasan!G577</f>
        <v>0</v>
      </c>
      <c r="H578" s="19">
        <f>Ringkasan!H577</f>
        <v>570</v>
      </c>
      <c r="I578" s="19">
        <f>Ringkasan!I577</f>
        <v>30.8</v>
      </c>
      <c r="J578" s="19">
        <f>Ringkasan!J577</f>
        <v>5.4</v>
      </c>
      <c r="K578" s="19">
        <f>Ringkasan!K577</f>
        <v>3</v>
      </c>
      <c r="L578" s="19">
        <f>Ringkasan!L577</f>
        <v>0.81</v>
      </c>
      <c r="M578" s="19">
        <f>Ringkasan!M577</f>
        <v>15.9</v>
      </c>
      <c r="N578" s="64" t="str">
        <f>Ringkasan!N577</f>
        <v/>
      </c>
      <c r="O578" s="64" t="str">
        <f>Ringkasan!O577</f>
        <v/>
      </c>
      <c r="P578" s="64" t="str">
        <f>Ringkasan!P577</f>
        <v/>
      </c>
      <c r="Q578" s="64" t="str">
        <f>Ringkasan!Q577</f>
        <v/>
      </c>
      <c r="R578" s="64" t="str">
        <f>Ringkasan!R577</f>
        <v/>
      </c>
      <c r="S578" s="64" t="str">
        <f>Ringkasan!S577</f>
        <v/>
      </c>
      <c r="T578" s="64" t="str">
        <f>Ringkasan!T577</f>
        <v/>
      </c>
      <c r="U578" s="64">
        <f>Ringkasan!U577</f>
        <v>9.33</v>
      </c>
      <c r="V578" s="64">
        <f>Ringkasan!V577</f>
        <v>1.93</v>
      </c>
      <c r="W578" s="64">
        <f>Ringkasan!W577</f>
        <v>9.54</v>
      </c>
      <c r="X578" s="64">
        <f>Ringkasan!X577</f>
        <v>9.58</v>
      </c>
      <c r="Y578" s="64">
        <f>Ringkasan!Y577</f>
        <v>9.31</v>
      </c>
      <c r="Z578" s="64">
        <f>Ringkasan!Z577</f>
        <v>2873</v>
      </c>
      <c r="AA578" s="64" t="str">
        <f>Ringkasan!AA577</f>
        <v>IT Services &amp; Consulting</v>
      </c>
      <c r="AB578" s="64" t="str">
        <f>Ringkasan!AB577</f>
        <v>Technology</v>
      </c>
    </row>
    <row r="579" hidden="1">
      <c r="A579" s="64" t="str">
        <f>Ringkasan!A578</f>
        <v>DAAZ</v>
      </c>
      <c r="B579" s="64" t="str">
        <f>Ringkasan!B578</f>
        <v>Daaz Bara Lestari Tbk.</v>
      </c>
      <c r="C579" s="65">
        <f>Ringkasan!C578</f>
        <v>1685</v>
      </c>
      <c r="D579" s="64" t="str">
        <f>Ringkasan!D578</f>
        <v>#N/A</v>
      </c>
      <c r="E579" s="64" t="str">
        <f>Ringkasan!E578</f>
        <v/>
      </c>
      <c r="F579" s="64" t="str">
        <f>Ringkasan!F578</f>
        <v/>
      </c>
      <c r="G579" s="64">
        <f>Ringkasan!G578</f>
        <v>0</v>
      </c>
      <c r="H579" s="19">
        <f>Ringkasan!H578</f>
        <v>12.1</v>
      </c>
      <c r="I579" s="19">
        <f>Ringkasan!I578</f>
        <v>1.3</v>
      </c>
      <c r="J579" s="19">
        <f>Ringkasan!J578</f>
        <v>11.1</v>
      </c>
      <c r="K579" s="19">
        <f>Ringkasan!K578</f>
        <v>3.8</v>
      </c>
      <c r="L579" s="19">
        <f>Ringkasan!L578</f>
        <v>1.9</v>
      </c>
      <c r="M579" s="19">
        <f>Ringkasan!M578</f>
        <v>7.1</v>
      </c>
      <c r="N579" s="64" t="str">
        <f>Ringkasan!N578</f>
        <v/>
      </c>
      <c r="O579" s="64" t="str">
        <f>Ringkasan!O578</f>
        <v/>
      </c>
      <c r="P579" s="64" t="str">
        <f>Ringkasan!P578</f>
        <v/>
      </c>
      <c r="Q579" s="64" t="str">
        <f>Ringkasan!Q578</f>
        <v/>
      </c>
      <c r="R579" s="64" t="str">
        <f>Ringkasan!R578</f>
        <v/>
      </c>
      <c r="S579" s="64" t="str">
        <f>Ringkasan!S578</f>
        <v/>
      </c>
      <c r="T579" s="64" t="str">
        <f>Ringkasan!T578</f>
        <v/>
      </c>
      <c r="U579" s="64">
        <f>Ringkasan!U578</f>
        <v>1685</v>
      </c>
      <c r="V579" s="64">
        <f>Ringkasan!V578</f>
        <v>0</v>
      </c>
      <c r="W579" s="64" t="str">
        <f>Ringkasan!W578</f>
        <v/>
      </c>
      <c r="X579" s="64">
        <f>Ringkasan!X578</f>
        <v>1730</v>
      </c>
      <c r="Y579" s="64">
        <f>Ringkasan!Y578</f>
        <v>1680</v>
      </c>
      <c r="Z579" s="64">
        <f>Ringkasan!Z578</f>
        <v>1040800</v>
      </c>
      <c r="AA579" s="64" t="str">
        <f>Ringkasan!AA578</f>
        <v>Metals &amp; Minerals</v>
      </c>
      <c r="AB579" s="64" t="str">
        <f>Ringkasan!AB578</f>
        <v>Basic Materials</v>
      </c>
    </row>
    <row r="580" hidden="1">
      <c r="A580" s="64" t="str">
        <f>Ringkasan!A579</f>
        <v>DADA</v>
      </c>
      <c r="B580" s="64" t="str">
        <f>Ringkasan!B579</f>
        <v>Diamond Citra Propertindo Tbk.</v>
      </c>
      <c r="C580" s="65">
        <f>Ringkasan!C579</f>
        <v>50</v>
      </c>
      <c r="D580" s="64" t="str">
        <f>Ringkasan!D579</f>
        <v>#N/A</v>
      </c>
      <c r="E580" s="64" t="str">
        <f>Ringkasan!E579</f>
        <v/>
      </c>
      <c r="F580" s="64" t="str">
        <f>Ringkasan!F579</f>
        <v/>
      </c>
      <c r="G580" s="64">
        <f>Ringkasan!G579</f>
        <v>0</v>
      </c>
      <c r="H580" s="19">
        <f>Ringkasan!H579</f>
        <v>69.6</v>
      </c>
      <c r="I580" s="19">
        <f>Ringkasan!I579</f>
        <v>1</v>
      </c>
      <c r="J580" s="19">
        <f>Ringkasan!J579</f>
        <v>1.5</v>
      </c>
      <c r="K580" s="19">
        <f>Ringkasan!K579</f>
        <v>0.83</v>
      </c>
      <c r="L580" s="19">
        <f>Ringkasan!L579</f>
        <v>0.8</v>
      </c>
      <c r="M580" s="19">
        <f>Ringkasan!M579</f>
        <v>79</v>
      </c>
      <c r="N580" s="64" t="str">
        <f>Ringkasan!N579</f>
        <v/>
      </c>
      <c r="O580" s="64" t="str">
        <f>Ringkasan!O579</f>
        <v/>
      </c>
      <c r="P580" s="64" t="str">
        <f>Ringkasan!P579</f>
        <v/>
      </c>
      <c r="Q580" s="64" t="str">
        <f>Ringkasan!Q579</f>
        <v/>
      </c>
      <c r="R580" s="64" t="str">
        <f>Ringkasan!R579</f>
        <v/>
      </c>
      <c r="S580" s="64" t="str">
        <f>Ringkasan!S579</f>
        <v/>
      </c>
      <c r="T580" s="64" t="str">
        <f>Ringkasan!T579</f>
        <v/>
      </c>
      <c r="U580" s="64">
        <f>Ringkasan!U579</f>
        <v>50</v>
      </c>
      <c r="V580" s="64">
        <f>Ringkasan!V579</f>
        <v>0</v>
      </c>
      <c r="W580" s="64">
        <f>Ringkasan!W579</f>
        <v>50</v>
      </c>
      <c r="X580" s="64">
        <f>Ringkasan!X579</f>
        <v>50</v>
      </c>
      <c r="Y580" s="64">
        <f>Ringkasan!Y579</f>
        <v>50</v>
      </c>
      <c r="Z580" s="64" t="str">
        <f>Ringkasan!Z579</f>
        <v/>
      </c>
      <c r="AA580" s="64" t="str">
        <f>Ringkasan!AA579</f>
        <v>Real Estate Management &amp; Development</v>
      </c>
      <c r="AB580" s="64" t="str">
        <f>Ringkasan!AB579</f>
        <v>Properties &amp; Real Estate</v>
      </c>
    </row>
    <row r="581" hidden="1">
      <c r="A581" s="64" t="str">
        <f>Ringkasan!A904</f>
        <v>INET</v>
      </c>
      <c r="B581" s="64" t="str">
        <f>Ringkasan!B904</f>
        <v>PT Sinergi Inti Andalan Prima Tbk.</v>
      </c>
      <c r="C581" s="65">
        <f>Ringkasan!C904</f>
        <v>199</v>
      </c>
      <c r="D581" s="64" t="str">
        <f>Ringkasan!D904</f>
        <v>#N/A</v>
      </c>
      <c r="E581" s="64" t="str">
        <f>Ringkasan!E904</f>
        <v>Kompas100</v>
      </c>
      <c r="F581" s="64" t="str">
        <f>Ringkasan!F904</f>
        <v>31 Juli 2026</v>
      </c>
      <c r="G581" s="64">
        <f>Ringkasan!G904</f>
        <v>2</v>
      </c>
      <c r="H581" s="19">
        <f>Ringkasan!H904</f>
        <v>140</v>
      </c>
      <c r="I581" s="19">
        <f>Ringkasan!I904</f>
        <v>1.4</v>
      </c>
      <c r="J581" s="19">
        <f>Ringkasan!J904</f>
        <v>0.98</v>
      </c>
      <c r="K581" s="19">
        <f>Ringkasan!K904</f>
        <v>0.64</v>
      </c>
      <c r="L581" s="19">
        <f>Ringkasan!L904</f>
        <v>0.52</v>
      </c>
      <c r="M581" s="19">
        <f>Ringkasan!M904</f>
        <v>9.5</v>
      </c>
      <c r="N581" s="64" t="str">
        <f>Ringkasan!N904</f>
        <v/>
      </c>
      <c r="O581" s="64" t="str">
        <f>Ringkasan!O904</f>
        <v/>
      </c>
      <c r="P581" s="64" t="str">
        <f>Ringkasan!P904</f>
        <v/>
      </c>
      <c r="Q581" s="64" t="str">
        <f>Ringkasan!Q904</f>
        <v/>
      </c>
      <c r="R581" s="64" t="str">
        <f>Ringkasan!R904</f>
        <v/>
      </c>
      <c r="S581" s="64" t="str">
        <f>Ringkasan!S904</f>
        <v/>
      </c>
      <c r="T581" s="64" t="str">
        <f>Ringkasan!T904</f>
        <v/>
      </c>
      <c r="U581" s="64" t="str">
        <f>Ringkasan!U904</f>
        <v/>
      </c>
      <c r="V581" s="64" t="str">
        <f>Ringkasan!V904</f>
        <v/>
      </c>
      <c r="W581" s="64" t="str">
        <f>Ringkasan!W904</f>
        <v/>
      </c>
      <c r="X581" s="64" t="str">
        <f>Ringkasan!X904</f>
        <v/>
      </c>
      <c r="Y581" s="64" t="str">
        <f>Ringkasan!Y904</f>
        <v/>
      </c>
      <c r="Z581" s="64" t="str">
        <f>Ringkasan!Z904</f>
        <v/>
      </c>
      <c r="AA581" s="64" t="str">
        <f>Ringkasan!AA904</f>
        <v>Telecommunication Service</v>
      </c>
      <c r="AB581" s="64" t="str">
        <f>Ringkasan!AB904</f>
        <v>Infrastructures</v>
      </c>
    </row>
    <row r="582" hidden="1">
      <c r="A582" s="64" t="str">
        <f>Ringkasan!A937</f>
        <v>INTP</v>
      </c>
      <c r="B582" s="64" t="str">
        <f>Ringkasan!B937</f>
        <v>Indocement Tunggal Prakarsa Tbk.</v>
      </c>
      <c r="C582" s="65">
        <f>Ringkasan!C937</f>
        <v>4110</v>
      </c>
      <c r="D582" s="64" t="str">
        <f>Ringkasan!D937</f>
        <v>#N/A</v>
      </c>
      <c r="E582" s="64" t="str">
        <f>Ringkasan!E937</f>
        <v>MSCI Small Cap</v>
      </c>
      <c r="F582" s="64" t="str">
        <f>Ringkasan!F937</f>
        <v>12 Agustus 2026</v>
      </c>
      <c r="G582" s="64">
        <f>Ringkasan!G937</f>
        <v>13</v>
      </c>
      <c r="H582" s="19">
        <f>Ringkasan!H937</f>
        <v>7.6</v>
      </c>
      <c r="I582" s="19">
        <f>Ringkasan!I937</f>
        <v>0.74</v>
      </c>
      <c r="J582" s="19">
        <f>Ringkasan!J937</f>
        <v>9.7</v>
      </c>
      <c r="K582" s="19">
        <f>Ringkasan!K937</f>
        <v>7.2</v>
      </c>
      <c r="L582" s="19">
        <f>Ringkasan!L937</f>
        <v>0.34</v>
      </c>
      <c r="M582" s="19">
        <f>Ringkasan!M937</f>
        <v>58.6</v>
      </c>
      <c r="N582" s="64">
        <f>Ringkasan!N937</f>
        <v>5.4</v>
      </c>
      <c r="O582" s="64">
        <f>Ringkasan!O937</f>
        <v>23.2</v>
      </c>
      <c r="P582" s="64">
        <f>Ringkasan!P937</f>
        <v>83</v>
      </c>
      <c r="Q582" s="64">
        <f>Ringkasan!Q937</f>
        <v>1.9</v>
      </c>
      <c r="R582" s="64">
        <f>Ringkasan!R937</f>
        <v>65.9</v>
      </c>
      <c r="S582" s="64">
        <f>Ringkasan!S937</f>
        <v>42.4</v>
      </c>
      <c r="T582" s="64">
        <f>Ringkasan!T937</f>
        <v>5.9</v>
      </c>
      <c r="U582" s="64">
        <f>Ringkasan!U937</f>
        <v>4160</v>
      </c>
      <c r="V582" s="64" t="str">
        <f>Ringkasan!V937</f>
        <v/>
      </c>
      <c r="W582" s="64">
        <f>Ringkasan!W937</f>
        <v>4190</v>
      </c>
      <c r="X582" s="64">
        <f>Ringkasan!X937</f>
        <v>4240</v>
      </c>
      <c r="Y582" s="64">
        <f>Ringkasan!Y937</f>
        <v>4090</v>
      </c>
      <c r="Z582" s="64">
        <f>Ringkasan!Z937</f>
        <v>2337500</v>
      </c>
      <c r="AA582" s="64" t="str">
        <f>Ringkasan!AA937</f>
        <v>Construction Materials</v>
      </c>
      <c r="AB582" s="64" t="str">
        <f>Ringkasan!AB937</f>
        <v>Basic Materials</v>
      </c>
    </row>
    <row r="583" hidden="1">
      <c r="A583" s="64" t="str">
        <f>Ringkasan!A990</f>
        <v>JPFA</v>
      </c>
      <c r="B583" s="64" t="str">
        <f>Ringkasan!B990</f>
        <v>Japfa Comfeed Indonesia Tbk.</v>
      </c>
      <c r="C583" s="65">
        <f>Ringkasan!C990</f>
        <v>1905</v>
      </c>
      <c r="D583" s="64" t="str">
        <f>Ringkasan!D990</f>
        <v>#N/A</v>
      </c>
      <c r="E583" s="64" t="str">
        <f>Ringkasan!E990</f>
        <v>LQ45</v>
      </c>
      <c r="F583" s="64" t="str">
        <f>Ringkasan!F990</f>
        <v>31 Juli 2026</v>
      </c>
      <c r="G583" s="65">
        <f>Ringkasan!G990</f>
        <v>13</v>
      </c>
      <c r="H583" s="19">
        <f>Ringkasan!H990</f>
        <v>5.6</v>
      </c>
      <c r="I583" s="19">
        <f>Ringkasan!I990</f>
        <v>1.3</v>
      </c>
      <c r="J583" s="19">
        <f>Ringkasan!J990</f>
        <v>23.3</v>
      </c>
      <c r="K583" s="19">
        <f>Ringkasan!K990</f>
        <v>13.1</v>
      </c>
      <c r="L583" s="19">
        <f>Ringkasan!L990</f>
        <v>0.79</v>
      </c>
      <c r="M583" s="19">
        <f>Ringkasan!M990</f>
        <v>29</v>
      </c>
      <c r="N583" s="64" t="str">
        <f>Ringkasan!N990</f>
        <v/>
      </c>
      <c r="O583" s="64" t="str">
        <f>Ringkasan!O990</f>
        <v/>
      </c>
      <c r="P583" s="64" t="str">
        <f>Ringkasan!P990</f>
        <v/>
      </c>
      <c r="Q583" s="64" t="str">
        <f>Ringkasan!Q990</f>
        <v/>
      </c>
      <c r="R583" s="64" t="str">
        <f>Ringkasan!R990</f>
        <v/>
      </c>
      <c r="S583" s="64" t="str">
        <f>Ringkasan!S990</f>
        <v/>
      </c>
      <c r="T583" s="64" t="str">
        <f>Ringkasan!T990</f>
        <v/>
      </c>
      <c r="U583" s="64">
        <f>Ringkasan!U990</f>
        <v>1860</v>
      </c>
      <c r="V583" s="64">
        <f>Ringkasan!V990</f>
        <v>2.42</v>
      </c>
      <c r="W583" s="64">
        <f>Ringkasan!W990</f>
        <v>1865</v>
      </c>
      <c r="X583" s="64">
        <f>Ringkasan!X990</f>
        <v>1930</v>
      </c>
      <c r="Y583" s="64">
        <f>Ringkasan!Y990</f>
        <v>1840</v>
      </c>
      <c r="Z583" s="64">
        <f>Ringkasan!Z990</f>
        <v>30207300</v>
      </c>
      <c r="AA583" s="64" t="str">
        <f>Ringkasan!AA990</f>
        <v>Agricultural Products</v>
      </c>
      <c r="AB583" s="64" t="str">
        <f>Ringkasan!AB990</f>
        <v>Consumer Non-Cyclicals</v>
      </c>
    </row>
    <row r="584" hidden="1">
      <c r="A584" s="64" t="str">
        <f>Ringkasan!A583</f>
        <v>DCII</v>
      </c>
      <c r="B584" s="64" t="str">
        <f>Ringkasan!B583</f>
        <v>DCI Indonesia Tbk.</v>
      </c>
      <c r="C584" s="65">
        <f>Ringkasan!C583</f>
        <v>188800</v>
      </c>
      <c r="D584" s="64" t="str">
        <f>Ringkasan!D583</f>
        <v>#N/A</v>
      </c>
      <c r="E584" s="64" t="str">
        <f>Ringkasan!E583</f>
        <v/>
      </c>
      <c r="F584" s="64" t="str">
        <f>Ringkasan!F583</f>
        <v/>
      </c>
      <c r="G584" s="64">
        <f>Ringkasan!G583</f>
        <v>0</v>
      </c>
      <c r="H584" s="19">
        <f>Ringkasan!H583</f>
        <v>480</v>
      </c>
      <c r="I584" s="19">
        <f>Ringkasan!I583</f>
        <v>110</v>
      </c>
      <c r="J584" s="19">
        <f>Ringkasan!J583</f>
        <v>21.9</v>
      </c>
      <c r="K584" s="19">
        <f>Ringkasan!K583</f>
        <v>13.2</v>
      </c>
      <c r="L584" s="19">
        <f>Ringkasan!L583</f>
        <v>0.66</v>
      </c>
      <c r="M584" s="19">
        <f>Ringkasan!M583</f>
        <v>110</v>
      </c>
      <c r="N584" s="64" t="str">
        <f>Ringkasan!N583</f>
        <v/>
      </c>
      <c r="O584" s="64" t="str">
        <f>Ringkasan!O583</f>
        <v/>
      </c>
      <c r="P584" s="64" t="str">
        <f>Ringkasan!P583</f>
        <v/>
      </c>
      <c r="Q584" s="64" t="str">
        <f>Ringkasan!Q583</f>
        <v/>
      </c>
      <c r="R584" s="64" t="str">
        <f>Ringkasan!R583</f>
        <v/>
      </c>
      <c r="S584" s="64" t="str">
        <f>Ringkasan!S583</f>
        <v/>
      </c>
      <c r="T584" s="64" t="str">
        <f>Ringkasan!T583</f>
        <v/>
      </c>
      <c r="U584" s="64">
        <f>Ringkasan!U583</f>
        <v>188775</v>
      </c>
      <c r="V584" s="64">
        <f>Ringkasan!V583</f>
        <v>0.01</v>
      </c>
      <c r="W584" s="64">
        <f>Ringkasan!W583</f>
        <v>188825</v>
      </c>
      <c r="X584" s="64">
        <f>Ringkasan!X583</f>
        <v>188825</v>
      </c>
      <c r="Y584" s="64">
        <f>Ringkasan!Y583</f>
        <v>188775</v>
      </c>
      <c r="Z584" s="64" t="str">
        <f>Ringkasan!Z583</f>
        <v/>
      </c>
      <c r="AA584" s="64" t="str">
        <f>Ringkasan!AA583</f>
        <v>IT Services &amp; Consulting</v>
      </c>
      <c r="AB584" s="64" t="str">
        <f>Ringkasan!AB583</f>
        <v>Technology</v>
      </c>
    </row>
    <row r="585" hidden="1">
      <c r="A585" s="64" t="str">
        <f>Ringkasan!A584</f>
        <v>DEAL</v>
      </c>
      <c r="B585" s="64" t="str">
        <f>Ringkasan!B584</f>
        <v>Dewata Freightinternational Tbk.</v>
      </c>
      <c r="C585" s="65">
        <f>Ringkasan!C584</f>
        <v>6</v>
      </c>
      <c r="D585" s="64" t="str">
        <f>Ringkasan!D584</f>
        <v>#N/A</v>
      </c>
      <c r="E585" s="64" t="str">
        <f>Ringkasan!E584</f>
        <v/>
      </c>
      <c r="F585" s="64" t="str">
        <f>Ringkasan!F584</f>
        <v/>
      </c>
      <c r="G585" s="64">
        <f>Ringkasan!G584</f>
        <v>0</v>
      </c>
      <c r="H585" s="19">
        <f>Ringkasan!H584</f>
        <v>0</v>
      </c>
      <c r="I585" s="19">
        <f>Ringkasan!I584</f>
        <v>-0.12</v>
      </c>
      <c r="J585" s="19">
        <f>Ringkasan!J584</f>
        <v>0</v>
      </c>
      <c r="K585" s="19">
        <f>Ringkasan!K584</f>
        <v>-11.9</v>
      </c>
      <c r="L585" s="19">
        <f>Ringkasan!L584</f>
        <v>-3.6</v>
      </c>
      <c r="M585" s="19">
        <f>Ringkasan!M584</f>
        <v>-53.8</v>
      </c>
      <c r="N585" s="64" t="str">
        <f>Ringkasan!N584</f>
        <v/>
      </c>
      <c r="O585" s="64" t="str">
        <f>Ringkasan!O584</f>
        <v/>
      </c>
      <c r="P585" s="64" t="str">
        <f>Ringkasan!P584</f>
        <v/>
      </c>
      <c r="Q585" s="64" t="str">
        <f>Ringkasan!Q584</f>
        <v/>
      </c>
      <c r="R585" s="64" t="str">
        <f>Ringkasan!R584</f>
        <v/>
      </c>
      <c r="S585" s="64" t="str">
        <f>Ringkasan!S584</f>
        <v/>
      </c>
      <c r="T585" s="64" t="str">
        <f>Ringkasan!T584</f>
        <v/>
      </c>
      <c r="U585" s="64">
        <f>Ringkasan!U584</f>
        <v>0.01</v>
      </c>
      <c r="V585" s="64">
        <f>Ringkasan!V584</f>
        <v>0</v>
      </c>
      <c r="W585" s="64" t="str">
        <f>Ringkasan!W584</f>
        <v/>
      </c>
      <c r="X585" s="64" t="str">
        <f>Ringkasan!X584</f>
        <v/>
      </c>
      <c r="Y585" s="64" t="str">
        <f>Ringkasan!Y584</f>
        <v/>
      </c>
      <c r="Z585" s="64">
        <f>Ringkasan!Z584</f>
        <v>1</v>
      </c>
      <c r="AA585" s="64" t="str">
        <f>Ringkasan!AA584</f>
        <v>Logistics &amp; Deliveries</v>
      </c>
      <c r="AB585" s="64" t="str">
        <f>Ringkasan!AB584</f>
        <v>Transportation &amp; Logistic</v>
      </c>
    </row>
    <row r="586" hidden="1">
      <c r="A586" s="64" t="str">
        <f>Ringkasan!A585</f>
        <v>DEFI</v>
      </c>
      <c r="B586" s="64" t="str">
        <f>Ringkasan!B585</f>
        <v>Danasupra Erapacific Tbk.</v>
      </c>
      <c r="C586" s="65">
        <f>Ringkasan!C585</f>
        <v>113</v>
      </c>
      <c r="D586" s="64" t="str">
        <f>Ringkasan!D585</f>
        <v>#N/A</v>
      </c>
      <c r="E586" s="64" t="str">
        <f>Ringkasan!E585</f>
        <v/>
      </c>
      <c r="F586" s="64" t="str">
        <f>Ringkasan!F585</f>
        <v/>
      </c>
      <c r="G586" s="64">
        <f>Ringkasan!G585</f>
        <v>0</v>
      </c>
      <c r="H586" s="19">
        <f>Ringkasan!H585</f>
        <v>-8.3</v>
      </c>
      <c r="I586" s="19">
        <f>Ringkasan!I585</f>
        <v>3.4</v>
      </c>
      <c r="J586" s="19">
        <f>Ringkasan!J585</f>
        <v>-40.4</v>
      </c>
      <c r="K586" s="19">
        <f>Ringkasan!K585</f>
        <v>-36.1</v>
      </c>
      <c r="L586" s="19">
        <f>Ringkasan!L585</f>
        <v>0.12</v>
      </c>
      <c r="M586" s="19">
        <f>Ringkasan!M585</f>
        <v>-810</v>
      </c>
      <c r="N586" s="64" t="str">
        <f>Ringkasan!N585</f>
        <v/>
      </c>
      <c r="O586" s="64" t="str">
        <f>Ringkasan!O585</f>
        <v/>
      </c>
      <c r="P586" s="64" t="str">
        <f>Ringkasan!P585</f>
        <v/>
      </c>
      <c r="Q586" s="64" t="str">
        <f>Ringkasan!Q585</f>
        <v/>
      </c>
      <c r="R586" s="64" t="str">
        <f>Ringkasan!R585</f>
        <v/>
      </c>
      <c r="S586" s="64" t="str">
        <f>Ringkasan!S585</f>
        <v/>
      </c>
      <c r="T586" s="64" t="str">
        <f>Ringkasan!T585</f>
        <v/>
      </c>
      <c r="U586" s="64">
        <f>Ringkasan!U585</f>
        <v>69.23</v>
      </c>
      <c r="V586" s="64">
        <f>Ringkasan!V585</f>
        <v>4.14</v>
      </c>
      <c r="W586" s="64">
        <f>Ringkasan!W585</f>
        <v>71.66</v>
      </c>
      <c r="X586" s="64">
        <f>Ringkasan!X585</f>
        <v>72.09</v>
      </c>
      <c r="Y586" s="64">
        <f>Ringkasan!Y585</f>
        <v>71.66</v>
      </c>
      <c r="Z586" s="64">
        <f>Ringkasan!Z585</f>
        <v>19</v>
      </c>
      <c r="AA586" s="64" t="str">
        <f>Ringkasan!AA585</f>
        <v>Holding &amp; Investment Companies</v>
      </c>
      <c r="AB586" s="64" t="str">
        <f>Ringkasan!AB585</f>
        <v>Financials</v>
      </c>
    </row>
    <row r="587" hidden="1">
      <c r="A587" s="64" t="str">
        <f>Ringkasan!A586</f>
        <v>DEPO</v>
      </c>
      <c r="B587" s="64" t="str">
        <f>Ringkasan!B586</f>
        <v>Caturkarda Depo Bangunan Tbk.</v>
      </c>
      <c r="C587" s="65">
        <f>Ringkasan!C586</f>
        <v>238</v>
      </c>
      <c r="D587" s="64" t="str">
        <f>Ringkasan!D586</f>
        <v>#N/A</v>
      </c>
      <c r="E587" s="64" t="str">
        <f>Ringkasan!E586</f>
        <v/>
      </c>
      <c r="F587" s="64" t="str">
        <f>Ringkasan!F586</f>
        <v/>
      </c>
      <c r="G587" s="64">
        <f>Ringkasan!G586</f>
        <v>0</v>
      </c>
      <c r="H587" s="19">
        <f>Ringkasan!H586</f>
        <v>22.7</v>
      </c>
      <c r="I587" s="19">
        <f>Ringkasan!I586</f>
        <v>1.2</v>
      </c>
      <c r="J587" s="19">
        <f>Ringkasan!J586</f>
        <v>5.5</v>
      </c>
      <c r="K587" s="19">
        <f>Ringkasan!K586</f>
        <v>3.3</v>
      </c>
      <c r="L587" s="19">
        <f>Ringkasan!L586</f>
        <v>0.67</v>
      </c>
      <c r="M587" s="19">
        <f>Ringkasan!M586</f>
        <v>11.7</v>
      </c>
      <c r="N587" s="64" t="str">
        <f>Ringkasan!N586</f>
        <v/>
      </c>
      <c r="O587" s="64" t="str">
        <f>Ringkasan!O586</f>
        <v/>
      </c>
      <c r="P587" s="64" t="str">
        <f>Ringkasan!P586</f>
        <v/>
      </c>
      <c r="Q587" s="64" t="str">
        <f>Ringkasan!Q586</f>
        <v/>
      </c>
      <c r="R587" s="64" t="str">
        <f>Ringkasan!R586</f>
        <v/>
      </c>
      <c r="S587" s="64" t="str">
        <f>Ringkasan!S586</f>
        <v/>
      </c>
      <c r="T587" s="64" t="str">
        <f>Ringkasan!T586</f>
        <v/>
      </c>
      <c r="U587" s="64">
        <f>Ringkasan!U586</f>
        <v>238</v>
      </c>
      <c r="V587" s="64">
        <f>Ringkasan!V586</f>
        <v>0</v>
      </c>
      <c r="W587" s="64">
        <f>Ringkasan!W586</f>
        <v>238</v>
      </c>
      <c r="X587" s="64">
        <f>Ringkasan!X586</f>
        <v>250</v>
      </c>
      <c r="Y587" s="64">
        <f>Ringkasan!Y586</f>
        <v>230</v>
      </c>
      <c r="Z587" s="64">
        <f>Ringkasan!Z586</f>
        <v>24600</v>
      </c>
      <c r="AA587" s="64" t="str">
        <f>Ringkasan!AA586</f>
        <v>Specialty Retail</v>
      </c>
      <c r="AB587" s="64" t="str">
        <f>Ringkasan!AB586</f>
        <v>Consumer Cyclicals</v>
      </c>
    </row>
    <row r="588" hidden="1">
      <c r="A588" s="64" t="str">
        <f>Ringkasan!A587</f>
        <v>DEWA</v>
      </c>
      <c r="B588" s="64" t="str">
        <f>Ringkasan!B587</f>
        <v>Darma Henwa Tbk</v>
      </c>
      <c r="C588" s="65">
        <f>Ringkasan!C587</f>
        <v>330</v>
      </c>
      <c r="D588" s="64" t="str">
        <f>Ringkasan!D587</f>
        <v>#N/A</v>
      </c>
      <c r="E588" s="64" t="str">
        <f>Ringkasan!E587</f>
        <v>LQ45</v>
      </c>
      <c r="F588" s="64" t="str">
        <f>Ringkasan!F587</f>
        <v>31 Juli 2026</v>
      </c>
      <c r="G588" s="64">
        <f>Ringkasan!G587</f>
        <v>7</v>
      </c>
      <c r="H588" s="19">
        <f>Ringkasan!H587</f>
        <v>3.1</v>
      </c>
      <c r="I588" s="19">
        <f>Ringkasan!I587</f>
        <v>1.7</v>
      </c>
      <c r="J588" s="19">
        <f>Ringkasan!J587</f>
        <v>54.9</v>
      </c>
      <c r="K588" s="19">
        <f>Ringkasan!K587</f>
        <v>27.2</v>
      </c>
      <c r="L588" s="19">
        <f>Ringkasan!L587</f>
        <v>1</v>
      </c>
      <c r="M588" s="19">
        <f>Ringkasan!M587</f>
        <v>280</v>
      </c>
      <c r="N588" s="64" t="str">
        <f>Ringkasan!N587</f>
        <v/>
      </c>
      <c r="O588" s="64" t="str">
        <f>Ringkasan!O587</f>
        <v/>
      </c>
      <c r="P588" s="64" t="str">
        <f>Ringkasan!P587</f>
        <v/>
      </c>
      <c r="Q588" s="64" t="str">
        <f>Ringkasan!Q587</f>
        <v/>
      </c>
      <c r="R588" s="64" t="str">
        <f>Ringkasan!R587</f>
        <v/>
      </c>
      <c r="S588" s="64" t="str">
        <f>Ringkasan!S587</f>
        <v/>
      </c>
      <c r="T588" s="64" t="str">
        <f>Ringkasan!T587</f>
        <v/>
      </c>
      <c r="U588" s="64">
        <f>Ringkasan!U587</f>
        <v>294</v>
      </c>
      <c r="V588" s="64">
        <f>Ringkasan!V587</f>
        <v>12.24</v>
      </c>
      <c r="W588" s="64">
        <f>Ringkasan!W587</f>
        <v>300</v>
      </c>
      <c r="X588" s="64">
        <f>Ringkasan!X587</f>
        <v>334</v>
      </c>
      <c r="Y588" s="64">
        <f>Ringkasan!Y587</f>
        <v>300</v>
      </c>
      <c r="Z588" s="64">
        <f>Ringkasan!Z587</f>
        <v>1053314700</v>
      </c>
      <c r="AA588" s="64" t="str">
        <f>Ringkasan!AA587</f>
        <v>Oil, Gas &amp; Coal Supports</v>
      </c>
      <c r="AB588" s="64" t="str">
        <f>Ringkasan!AB587</f>
        <v>Energy</v>
      </c>
    </row>
    <row r="589" hidden="1">
      <c r="A589" s="64" t="str">
        <f>Ringkasan!A588</f>
        <v>DEWA</v>
      </c>
      <c r="B589" s="64" t="str">
        <f>Ringkasan!B588</f>
        <v>Darma Henwa Tbk</v>
      </c>
      <c r="C589" s="65">
        <f>Ringkasan!C588</f>
        <v>330</v>
      </c>
      <c r="D589" s="64" t="str">
        <f>Ringkasan!D588</f>
        <v>#N/A</v>
      </c>
      <c r="E589" s="64" t="str">
        <f>Ringkasan!E588</f>
        <v>Kompas100</v>
      </c>
      <c r="F589" s="64" t="str">
        <f>Ringkasan!F588</f>
        <v>31 Juli 2026</v>
      </c>
      <c r="G589" s="64">
        <f>Ringkasan!G588</f>
        <v>7</v>
      </c>
      <c r="H589" s="19">
        <f>Ringkasan!H588</f>
        <v>3.1</v>
      </c>
      <c r="I589" s="19">
        <f>Ringkasan!I588</f>
        <v>1.7</v>
      </c>
      <c r="J589" s="19">
        <f>Ringkasan!J588</f>
        <v>54.9</v>
      </c>
      <c r="K589" s="19">
        <f>Ringkasan!K588</f>
        <v>27.2</v>
      </c>
      <c r="L589" s="19">
        <f>Ringkasan!L588</f>
        <v>1</v>
      </c>
      <c r="M589" s="19">
        <f>Ringkasan!M588</f>
        <v>280</v>
      </c>
      <c r="N589" s="64" t="str">
        <f>Ringkasan!N588</f>
        <v/>
      </c>
      <c r="O589" s="64" t="str">
        <f>Ringkasan!O588</f>
        <v/>
      </c>
      <c r="P589" s="64" t="str">
        <f>Ringkasan!P588</f>
        <v/>
      </c>
      <c r="Q589" s="64" t="str">
        <f>Ringkasan!Q588</f>
        <v/>
      </c>
      <c r="R589" s="64" t="str">
        <f>Ringkasan!R588</f>
        <v/>
      </c>
      <c r="S589" s="64" t="str">
        <f>Ringkasan!S588</f>
        <v/>
      </c>
      <c r="T589" s="64" t="str">
        <f>Ringkasan!T588</f>
        <v/>
      </c>
      <c r="U589" s="64">
        <f>Ringkasan!U588</f>
        <v>294</v>
      </c>
      <c r="V589" s="64">
        <f>Ringkasan!V588</f>
        <v>12.24</v>
      </c>
      <c r="W589" s="64">
        <f>Ringkasan!W588</f>
        <v>300</v>
      </c>
      <c r="X589" s="64">
        <f>Ringkasan!X588</f>
        <v>334</v>
      </c>
      <c r="Y589" s="64">
        <f>Ringkasan!Y588</f>
        <v>300</v>
      </c>
      <c r="Z589" s="64">
        <f>Ringkasan!Z588</f>
        <v>1053314700</v>
      </c>
      <c r="AA589" s="64" t="str">
        <f>Ringkasan!AA588</f>
        <v>Oil, Gas &amp; Coal Supports</v>
      </c>
      <c r="AB589" s="64" t="str">
        <f>Ringkasan!AB588</f>
        <v>Energy</v>
      </c>
    </row>
    <row r="590" hidden="1">
      <c r="A590" s="64" t="str">
        <f>Ringkasan!A589</f>
        <v>DEWA</v>
      </c>
      <c r="B590" s="64" t="str">
        <f>Ringkasan!B589</f>
        <v>Darma Henwa Tbk</v>
      </c>
      <c r="C590" s="65">
        <f>Ringkasan!C589</f>
        <v>330</v>
      </c>
      <c r="D590" s="64" t="str">
        <f>Ringkasan!D589</f>
        <v>#N/A</v>
      </c>
      <c r="E590" s="64" t="str">
        <f>Ringkasan!E589</f>
        <v>IDXSMC-LIQ</v>
      </c>
      <c r="F590" s="64" t="str">
        <f>Ringkasan!F589</f>
        <v>4 Agustus 2026</v>
      </c>
      <c r="G590" s="64">
        <f>Ringkasan!G589</f>
        <v>7</v>
      </c>
      <c r="H590" s="19">
        <f>Ringkasan!H589</f>
        <v>3.1</v>
      </c>
      <c r="I590" s="19">
        <f>Ringkasan!I589</f>
        <v>1.7</v>
      </c>
      <c r="J590" s="19">
        <f>Ringkasan!J589</f>
        <v>54.9</v>
      </c>
      <c r="K590" s="19">
        <f>Ringkasan!K589</f>
        <v>27.2</v>
      </c>
      <c r="L590" s="19">
        <f>Ringkasan!L589</f>
        <v>1</v>
      </c>
      <c r="M590" s="19">
        <f>Ringkasan!M589</f>
        <v>280</v>
      </c>
      <c r="N590" s="64" t="str">
        <f>Ringkasan!N589</f>
        <v/>
      </c>
      <c r="O590" s="64" t="str">
        <f>Ringkasan!O589</f>
        <v/>
      </c>
      <c r="P590" s="64" t="str">
        <f>Ringkasan!P589</f>
        <v/>
      </c>
      <c r="Q590" s="64" t="str">
        <f>Ringkasan!Q589</f>
        <v/>
      </c>
      <c r="R590" s="64" t="str">
        <f>Ringkasan!R589</f>
        <v/>
      </c>
      <c r="S590" s="64" t="str">
        <f>Ringkasan!S589</f>
        <v/>
      </c>
      <c r="T590" s="64" t="str">
        <f>Ringkasan!T589</f>
        <v/>
      </c>
      <c r="U590" s="64">
        <f>Ringkasan!U589</f>
        <v>294</v>
      </c>
      <c r="V590" s="64">
        <f>Ringkasan!V589</f>
        <v>12.24</v>
      </c>
      <c r="W590" s="64">
        <f>Ringkasan!W589</f>
        <v>300</v>
      </c>
      <c r="X590" s="64">
        <f>Ringkasan!X589</f>
        <v>334</v>
      </c>
      <c r="Y590" s="64">
        <f>Ringkasan!Y589</f>
        <v>300</v>
      </c>
      <c r="Z590" s="64">
        <f>Ringkasan!Z589</f>
        <v>1053314700</v>
      </c>
      <c r="AA590" s="64" t="str">
        <f>Ringkasan!AA589</f>
        <v>Oil, Gas &amp; Coal Supports</v>
      </c>
      <c r="AB590" s="64" t="str">
        <f>Ringkasan!AB589</f>
        <v>Energy</v>
      </c>
    </row>
    <row r="591" hidden="1">
      <c r="A591" s="64" t="str">
        <f>Ringkasan!A590</f>
        <v>DEWA</v>
      </c>
      <c r="B591" s="64" t="str">
        <f>Ringkasan!B590</f>
        <v>Darma Henwa Tbk</v>
      </c>
      <c r="C591" s="65">
        <f>Ringkasan!C590</f>
        <v>330</v>
      </c>
      <c r="D591" s="64" t="str">
        <f>Ringkasan!D590</f>
        <v>#N/A</v>
      </c>
      <c r="E591" s="64" t="str">
        <f>Ringkasan!E590</f>
        <v>IDX80</v>
      </c>
      <c r="F591" s="64" t="str">
        <f>Ringkasan!F590</f>
        <v>31 Juli 2026</v>
      </c>
      <c r="G591" s="64">
        <f>Ringkasan!G590</f>
        <v>7</v>
      </c>
      <c r="H591" s="19">
        <f>Ringkasan!H590</f>
        <v>3.1</v>
      </c>
      <c r="I591" s="19">
        <f>Ringkasan!I590</f>
        <v>1.7</v>
      </c>
      <c r="J591" s="19">
        <f>Ringkasan!J590</f>
        <v>54.9</v>
      </c>
      <c r="K591" s="19">
        <f>Ringkasan!K590</f>
        <v>27.2</v>
      </c>
      <c r="L591" s="19">
        <f>Ringkasan!L590</f>
        <v>1</v>
      </c>
      <c r="M591" s="19">
        <f>Ringkasan!M590</f>
        <v>280</v>
      </c>
      <c r="N591" s="64" t="str">
        <f>Ringkasan!N590</f>
        <v/>
      </c>
      <c r="O591" s="64" t="str">
        <f>Ringkasan!O590</f>
        <v/>
      </c>
      <c r="P591" s="64" t="str">
        <f>Ringkasan!P590</f>
        <v/>
      </c>
      <c r="Q591" s="64" t="str">
        <f>Ringkasan!Q590</f>
        <v/>
      </c>
      <c r="R591" s="64" t="str">
        <f>Ringkasan!R590</f>
        <v/>
      </c>
      <c r="S591" s="64" t="str">
        <f>Ringkasan!S590</f>
        <v/>
      </c>
      <c r="T591" s="64" t="str">
        <f>Ringkasan!T590</f>
        <v/>
      </c>
      <c r="U591" s="64">
        <f>Ringkasan!U590</f>
        <v>294</v>
      </c>
      <c r="V591" s="64">
        <f>Ringkasan!V590</f>
        <v>12.24</v>
      </c>
      <c r="W591" s="64">
        <f>Ringkasan!W590</f>
        <v>300</v>
      </c>
      <c r="X591" s="64">
        <f>Ringkasan!X590</f>
        <v>334</v>
      </c>
      <c r="Y591" s="64">
        <f>Ringkasan!Y590</f>
        <v>300</v>
      </c>
      <c r="Z591" s="64">
        <f>Ringkasan!Z590</f>
        <v>1053314700</v>
      </c>
      <c r="AA591" s="64" t="str">
        <f>Ringkasan!AA590</f>
        <v>Oil, Gas &amp; Coal Supports</v>
      </c>
      <c r="AB591" s="64" t="str">
        <f>Ringkasan!AB590</f>
        <v>Energy</v>
      </c>
    </row>
    <row r="592" hidden="1">
      <c r="A592" s="64" t="str">
        <f>Ringkasan!A591</f>
        <v>DEWA</v>
      </c>
      <c r="B592" s="64" t="str">
        <f>Ringkasan!B591</f>
        <v>Darma Henwa Tbk</v>
      </c>
      <c r="C592" s="65">
        <f>Ringkasan!C591</f>
        <v>330</v>
      </c>
      <c r="D592" s="64" t="str">
        <f>Ringkasan!D591</f>
        <v>#N/A</v>
      </c>
      <c r="E592" s="64" t="str">
        <f>Ringkasan!E591</f>
        <v>BISNIS-27</v>
      </c>
      <c r="F592" s="64" t="str">
        <f>Ringkasan!F591</f>
        <v>30 Oktober 2026</v>
      </c>
      <c r="G592" s="64">
        <f>Ringkasan!G591</f>
        <v>7</v>
      </c>
      <c r="H592" s="19">
        <f>Ringkasan!H591</f>
        <v>3.1</v>
      </c>
      <c r="I592" s="19">
        <f>Ringkasan!I591</f>
        <v>1.7</v>
      </c>
      <c r="J592" s="19">
        <f>Ringkasan!J591</f>
        <v>54.9</v>
      </c>
      <c r="K592" s="19">
        <f>Ringkasan!K591</f>
        <v>27.2</v>
      </c>
      <c r="L592" s="19">
        <f>Ringkasan!L591</f>
        <v>1</v>
      </c>
      <c r="M592" s="19">
        <f>Ringkasan!M591</f>
        <v>280</v>
      </c>
      <c r="N592" s="19" t="str">
        <f>Ringkasan!N591</f>
        <v/>
      </c>
      <c r="O592" s="19" t="str">
        <f>Ringkasan!O591</f>
        <v/>
      </c>
      <c r="P592" s="19" t="str">
        <f>Ringkasan!P591</f>
        <v/>
      </c>
      <c r="Q592" s="19" t="str">
        <f>Ringkasan!Q591</f>
        <v/>
      </c>
      <c r="R592" s="19" t="str">
        <f>Ringkasan!R591</f>
        <v/>
      </c>
      <c r="S592" s="19" t="str">
        <f>Ringkasan!S591</f>
        <v/>
      </c>
      <c r="T592" s="19" t="str">
        <f>Ringkasan!T591</f>
        <v/>
      </c>
      <c r="U592" s="64">
        <f>Ringkasan!U591</f>
        <v>294</v>
      </c>
      <c r="V592" s="64">
        <f>Ringkasan!V591</f>
        <v>12.24</v>
      </c>
      <c r="W592" s="64">
        <f>Ringkasan!W591</f>
        <v>300</v>
      </c>
      <c r="X592" s="64">
        <f>Ringkasan!X591</f>
        <v>334</v>
      </c>
      <c r="Y592" s="64">
        <f>Ringkasan!Y591</f>
        <v>300</v>
      </c>
      <c r="Z592" s="64">
        <f>Ringkasan!Z591</f>
        <v>1053314700</v>
      </c>
      <c r="AA592" s="64" t="str">
        <f>Ringkasan!AA591</f>
        <v>Oil, Gas &amp; Coal Supports</v>
      </c>
      <c r="AB592" s="64" t="str">
        <f>Ringkasan!AB591</f>
        <v>Energy</v>
      </c>
    </row>
    <row r="593" hidden="1">
      <c r="A593" s="64" t="str">
        <f>Ringkasan!A592</f>
        <v>DEWA</v>
      </c>
      <c r="B593" s="64" t="str">
        <f>Ringkasan!B592</f>
        <v>Darma Henwa Tbk</v>
      </c>
      <c r="C593" s="65">
        <f>Ringkasan!C592</f>
        <v>330</v>
      </c>
      <c r="D593" s="64" t="str">
        <f>Ringkasan!D592</f>
        <v>#N/A</v>
      </c>
      <c r="E593" s="64" t="str">
        <f>Ringkasan!E592</f>
        <v>JII30</v>
      </c>
      <c r="F593" s="66">
        <f>Ringkasan!F592</f>
        <v>46356</v>
      </c>
      <c r="G593" s="65">
        <f>Ringkasan!G592</f>
        <v>7</v>
      </c>
      <c r="H593" s="19">
        <f>Ringkasan!H592</f>
        <v>3.1</v>
      </c>
      <c r="I593" s="19">
        <f>Ringkasan!I592</f>
        <v>1.7</v>
      </c>
      <c r="J593" s="19">
        <f>Ringkasan!J592</f>
        <v>54.9</v>
      </c>
      <c r="K593" s="19">
        <f>Ringkasan!K592</f>
        <v>27.2</v>
      </c>
      <c r="L593" s="19">
        <f>Ringkasan!L592</f>
        <v>1</v>
      </c>
      <c r="M593" s="19">
        <f>Ringkasan!M592</f>
        <v>280</v>
      </c>
      <c r="N593" s="64" t="str">
        <f>Ringkasan!N592</f>
        <v/>
      </c>
      <c r="O593" s="64" t="str">
        <f>Ringkasan!O592</f>
        <v/>
      </c>
      <c r="P593" s="64" t="str">
        <f>Ringkasan!P592</f>
        <v/>
      </c>
      <c r="Q593" s="64" t="str">
        <f>Ringkasan!Q592</f>
        <v/>
      </c>
      <c r="R593" s="64" t="str">
        <f>Ringkasan!R592</f>
        <v/>
      </c>
      <c r="S593" s="64" t="str">
        <f>Ringkasan!S592</f>
        <v/>
      </c>
      <c r="T593" s="64" t="str">
        <f>Ringkasan!T592</f>
        <v/>
      </c>
      <c r="U593" s="64">
        <f>Ringkasan!U592</f>
        <v>294</v>
      </c>
      <c r="V593" s="64">
        <f>Ringkasan!V592</f>
        <v>12.24</v>
      </c>
      <c r="W593" s="64">
        <f>Ringkasan!W592</f>
        <v>300</v>
      </c>
      <c r="X593" s="64">
        <f>Ringkasan!X592</f>
        <v>334</v>
      </c>
      <c r="Y593" s="64">
        <f>Ringkasan!Y592</f>
        <v>300</v>
      </c>
      <c r="Z593" s="64">
        <f>Ringkasan!Z592</f>
        <v>1053314700</v>
      </c>
      <c r="AA593" s="64" t="str">
        <f>Ringkasan!AA592</f>
        <v>Oil, Gas &amp; Coal Supports</v>
      </c>
      <c r="AB593" s="64" t="str">
        <f>Ringkasan!AB592</f>
        <v>Energy</v>
      </c>
    </row>
    <row r="594" hidden="1">
      <c r="A594" s="64" t="str">
        <f>Ringkasan!A593</f>
        <v>DEWA</v>
      </c>
      <c r="B594" s="64" t="str">
        <f>Ringkasan!B593</f>
        <v>Darma Henwa Tbk</v>
      </c>
      <c r="C594" s="65">
        <f>Ringkasan!C593</f>
        <v>330</v>
      </c>
      <c r="D594" s="64" t="str">
        <f>Ringkasan!D593</f>
        <v>#N/A</v>
      </c>
      <c r="E594" s="64" t="str">
        <f>Ringkasan!E593</f>
        <v>JII70</v>
      </c>
      <c r="F594" s="66">
        <f>Ringkasan!F593</f>
        <v>46356</v>
      </c>
      <c r="G594" s="65">
        <f>Ringkasan!G593</f>
        <v>7</v>
      </c>
      <c r="H594" s="19">
        <f>Ringkasan!H593</f>
        <v>3.1</v>
      </c>
      <c r="I594" s="19">
        <f>Ringkasan!I593</f>
        <v>1.7</v>
      </c>
      <c r="J594" s="19">
        <f>Ringkasan!J593</f>
        <v>54.9</v>
      </c>
      <c r="K594" s="19">
        <f>Ringkasan!K593</f>
        <v>27.2</v>
      </c>
      <c r="L594" s="19">
        <f>Ringkasan!L593</f>
        <v>1</v>
      </c>
      <c r="M594" s="19">
        <f>Ringkasan!M593</f>
        <v>280</v>
      </c>
      <c r="N594" s="64" t="str">
        <f>Ringkasan!N593</f>
        <v/>
      </c>
      <c r="O594" s="64" t="str">
        <f>Ringkasan!O593</f>
        <v/>
      </c>
      <c r="P594" s="64" t="str">
        <f>Ringkasan!P593</f>
        <v/>
      </c>
      <c r="Q594" s="64" t="str">
        <f>Ringkasan!Q593</f>
        <v/>
      </c>
      <c r="R594" s="64" t="str">
        <f>Ringkasan!R593</f>
        <v/>
      </c>
      <c r="S594" s="64" t="str">
        <f>Ringkasan!S593</f>
        <v/>
      </c>
      <c r="T594" s="64" t="str">
        <f>Ringkasan!T593</f>
        <v/>
      </c>
      <c r="U594" s="64">
        <f>Ringkasan!U593</f>
        <v>294</v>
      </c>
      <c r="V594" s="64">
        <f>Ringkasan!V593</f>
        <v>12.24</v>
      </c>
      <c r="W594" s="64">
        <f>Ringkasan!W593</f>
        <v>300</v>
      </c>
      <c r="X594" s="64">
        <f>Ringkasan!X593</f>
        <v>334</v>
      </c>
      <c r="Y594" s="64">
        <f>Ringkasan!Y593</f>
        <v>300</v>
      </c>
      <c r="Z594" s="64">
        <f>Ringkasan!Z593</f>
        <v>1053314700</v>
      </c>
      <c r="AA594" s="64" t="str">
        <f>Ringkasan!AA593</f>
        <v>Oil, Gas &amp; Coal Supports</v>
      </c>
      <c r="AB594" s="64" t="str">
        <f>Ringkasan!AB593</f>
        <v>Energy</v>
      </c>
    </row>
    <row r="595" hidden="1">
      <c r="A595" s="64" t="str">
        <f>Ringkasan!A594</f>
        <v>DEWI</v>
      </c>
      <c r="B595" s="64" t="str">
        <f>Ringkasan!B594</f>
        <v>Dewi Shri Farmindo Tbk.</v>
      </c>
      <c r="C595" s="65">
        <f>Ringkasan!C594</f>
        <v>118</v>
      </c>
      <c r="D595" s="64" t="str">
        <f>Ringkasan!D594</f>
        <v>#N/A</v>
      </c>
      <c r="E595" s="64" t="str">
        <f>Ringkasan!E594</f>
        <v/>
      </c>
      <c r="F595" s="64" t="str">
        <f>Ringkasan!F594</f>
        <v/>
      </c>
      <c r="G595" s="64">
        <f>Ringkasan!G594</f>
        <v>0</v>
      </c>
      <c r="H595" s="19">
        <f>Ringkasan!H594</f>
        <v>28.3</v>
      </c>
      <c r="I595" s="19">
        <f>Ringkasan!I594</f>
        <v>1.4</v>
      </c>
      <c r="J595" s="19">
        <f>Ringkasan!J594</f>
        <v>5</v>
      </c>
      <c r="K595" s="19">
        <f>Ringkasan!K594</f>
        <v>4.2</v>
      </c>
      <c r="L595" s="19">
        <f>Ringkasan!L594</f>
        <v>0.19</v>
      </c>
      <c r="M595" s="19">
        <f>Ringkasan!M594</f>
        <v>33.8</v>
      </c>
      <c r="N595" s="64" t="str">
        <f>Ringkasan!N594</f>
        <v/>
      </c>
      <c r="O595" s="64" t="str">
        <f>Ringkasan!O594</f>
        <v/>
      </c>
      <c r="P595" s="64" t="str">
        <f>Ringkasan!P594</f>
        <v/>
      </c>
      <c r="Q595" s="64" t="str">
        <f>Ringkasan!Q594</f>
        <v/>
      </c>
      <c r="R595" s="64" t="str">
        <f>Ringkasan!R594</f>
        <v/>
      </c>
      <c r="S595" s="64" t="str">
        <f>Ringkasan!S594</f>
        <v/>
      </c>
      <c r="T595" s="64" t="str">
        <f>Ringkasan!T594</f>
        <v/>
      </c>
      <c r="U595" s="64">
        <f>Ringkasan!U594</f>
        <v>117</v>
      </c>
      <c r="V595" s="64">
        <f>Ringkasan!V594</f>
        <v>0.85</v>
      </c>
      <c r="W595" s="64">
        <f>Ringkasan!W594</f>
        <v>117</v>
      </c>
      <c r="X595" s="64">
        <f>Ringkasan!X594</f>
        <v>119</v>
      </c>
      <c r="Y595" s="64">
        <f>Ringkasan!Y594</f>
        <v>115</v>
      </c>
      <c r="Z595" s="64" t="str">
        <f>Ringkasan!Z594</f>
        <v/>
      </c>
      <c r="AA595" s="64" t="str">
        <f>Ringkasan!AA594</f>
        <v>Agricultural Products</v>
      </c>
      <c r="AB595" s="64" t="str">
        <f>Ringkasan!AB594</f>
        <v>Consumer Non-Cyclicals</v>
      </c>
    </row>
    <row r="596" hidden="1">
      <c r="A596" s="64" t="str">
        <f>Ringkasan!A595</f>
        <v>DFAM</v>
      </c>
      <c r="B596" s="64" t="str">
        <f>Ringkasan!B595</f>
        <v>Dafam Property Indonesia Tbk.</v>
      </c>
      <c r="C596" s="65">
        <f>Ringkasan!C595</f>
        <v>94</v>
      </c>
      <c r="D596" s="64" t="str">
        <f>Ringkasan!D595</f>
        <v>#N/A</v>
      </c>
      <c r="E596" s="64" t="str">
        <f>Ringkasan!E595</f>
        <v/>
      </c>
      <c r="F596" s="64" t="str">
        <f>Ringkasan!F595</f>
        <v/>
      </c>
      <c r="G596" s="64">
        <f>Ringkasan!G595</f>
        <v>0</v>
      </c>
      <c r="H596" s="19">
        <f>Ringkasan!H595</f>
        <v>-28.4</v>
      </c>
      <c r="I596" s="19">
        <f>Ringkasan!I595</f>
        <v>27.2</v>
      </c>
      <c r="J596" s="19">
        <f>Ringkasan!J595</f>
        <v>-95.8</v>
      </c>
      <c r="K596" s="19">
        <f>Ringkasan!K595</f>
        <v>-3.2</v>
      </c>
      <c r="L596" s="19">
        <f>Ringkasan!L595</f>
        <v>29</v>
      </c>
      <c r="M596" s="19">
        <f>Ringkasan!M595</f>
        <v>-52.9</v>
      </c>
      <c r="N596" s="64" t="str">
        <f>Ringkasan!N595</f>
        <v/>
      </c>
      <c r="O596" s="64" t="str">
        <f>Ringkasan!O595</f>
        <v/>
      </c>
      <c r="P596" s="64" t="str">
        <f>Ringkasan!P595</f>
        <v/>
      </c>
      <c r="Q596" s="64" t="str">
        <f>Ringkasan!Q595</f>
        <v/>
      </c>
      <c r="R596" s="64" t="str">
        <f>Ringkasan!R595</f>
        <v/>
      </c>
      <c r="S596" s="64" t="str">
        <f>Ringkasan!S595</f>
        <v/>
      </c>
      <c r="T596" s="64" t="str">
        <f>Ringkasan!T595</f>
        <v/>
      </c>
      <c r="U596" s="64" t="str">
        <f>Ringkasan!U595</f>
        <v/>
      </c>
      <c r="V596" s="64">
        <f>Ringkasan!V595</f>
        <v>-6</v>
      </c>
      <c r="W596" s="64">
        <f>Ringkasan!W595</f>
        <v>101</v>
      </c>
      <c r="X596" s="64">
        <f>Ringkasan!X595</f>
        <v>101</v>
      </c>
      <c r="Y596" s="64">
        <f>Ringkasan!Y595</f>
        <v>94</v>
      </c>
      <c r="Z596" s="64">
        <f>Ringkasan!Z595</f>
        <v>20293000</v>
      </c>
      <c r="AA596" s="64" t="str">
        <f>Ringkasan!AA595</f>
        <v>Tourism &amp; Recreation</v>
      </c>
      <c r="AB596" s="64" t="str">
        <f>Ringkasan!AB595</f>
        <v>Consumer Cyclicals</v>
      </c>
    </row>
    <row r="597" hidden="1">
      <c r="A597" s="64" t="str">
        <f>Ringkasan!A596</f>
        <v>DGIK</v>
      </c>
      <c r="B597" s="64" t="str">
        <f>Ringkasan!B596</f>
        <v>Nusa Konstruksi Enjiniring Tbk</v>
      </c>
      <c r="C597" s="65">
        <f>Ringkasan!C596</f>
        <v>123</v>
      </c>
      <c r="D597" s="64" t="str">
        <f>Ringkasan!D596</f>
        <v>#N/A</v>
      </c>
      <c r="E597" s="64" t="str">
        <f>Ringkasan!E596</f>
        <v/>
      </c>
      <c r="F597" s="64" t="str">
        <f>Ringkasan!F596</f>
        <v/>
      </c>
      <c r="G597" s="64">
        <f>Ringkasan!G596</f>
        <v>0</v>
      </c>
      <c r="H597" s="19">
        <f>Ringkasan!H596</f>
        <v>13.7</v>
      </c>
      <c r="I597" s="19">
        <f>Ringkasan!I596</f>
        <v>0.98</v>
      </c>
      <c r="J597" s="19">
        <f>Ringkasan!J596</f>
        <v>7.2</v>
      </c>
      <c r="K597" s="19">
        <f>Ringkasan!K596</f>
        <v>3.4</v>
      </c>
      <c r="L597" s="19">
        <f>Ringkasan!L596</f>
        <v>1.1</v>
      </c>
      <c r="M597" s="19">
        <f>Ringkasan!M596</f>
        <v>23.2</v>
      </c>
      <c r="N597" s="64" t="str">
        <f>Ringkasan!N596</f>
        <v/>
      </c>
      <c r="O597" s="64" t="str">
        <f>Ringkasan!O596</f>
        <v/>
      </c>
      <c r="P597" s="64" t="str">
        <f>Ringkasan!P596</f>
        <v/>
      </c>
      <c r="Q597" s="64" t="str">
        <f>Ringkasan!Q596</f>
        <v/>
      </c>
      <c r="R597" s="64" t="str">
        <f>Ringkasan!R596</f>
        <v/>
      </c>
      <c r="S597" s="64" t="str">
        <f>Ringkasan!S596</f>
        <v/>
      </c>
      <c r="T597" s="64" t="str">
        <f>Ringkasan!T596</f>
        <v/>
      </c>
      <c r="U597" s="64">
        <f>Ringkasan!U596</f>
        <v>118</v>
      </c>
      <c r="V597" s="64" t="str">
        <f>Ringkasan!V596</f>
        <v/>
      </c>
      <c r="W597" s="64">
        <f>Ringkasan!W596</f>
        <v>127</v>
      </c>
      <c r="X597" s="64">
        <f>Ringkasan!X596</f>
        <v>128</v>
      </c>
      <c r="Y597" s="64">
        <f>Ringkasan!Y596</f>
        <v>118</v>
      </c>
      <c r="Z597" s="64">
        <f>Ringkasan!Z596</f>
        <v>3461500</v>
      </c>
      <c r="AA597" s="64" t="str">
        <f>Ringkasan!AA596</f>
        <v>Heavy Constructions &amp; Civil Engineering</v>
      </c>
      <c r="AB597" s="64" t="str">
        <f>Ringkasan!AB596</f>
        <v>Infrastructures</v>
      </c>
    </row>
    <row r="598" hidden="1">
      <c r="A598" s="64" t="str">
        <f>Ringkasan!A597</f>
        <v>DGNS</v>
      </c>
      <c r="B598" s="64" t="str">
        <f>Ringkasan!B597</f>
        <v>Diagnos Laboratorium Utama Tbk.</v>
      </c>
      <c r="C598" s="65">
        <f>Ringkasan!C597</f>
        <v>226</v>
      </c>
      <c r="D598" s="64" t="str">
        <f>Ringkasan!D597</f>
        <v>#N/A</v>
      </c>
      <c r="E598" s="64" t="str">
        <f>Ringkasan!E597</f>
        <v/>
      </c>
      <c r="F598" s="64" t="str">
        <f>Ringkasan!F597</f>
        <v/>
      </c>
      <c r="G598" s="64">
        <f>Ringkasan!G597</f>
        <v>0</v>
      </c>
      <c r="H598" s="19">
        <f>Ringkasan!H597</f>
        <v>89.5</v>
      </c>
      <c r="I598" s="19">
        <f>Ringkasan!I597</f>
        <v>1.5</v>
      </c>
      <c r="J598" s="19">
        <f>Ringkasan!J597</f>
        <v>1.7</v>
      </c>
      <c r="K598" s="19">
        <f>Ringkasan!K597</f>
        <v>1.1</v>
      </c>
      <c r="L598" s="19">
        <f>Ringkasan!L597</f>
        <v>0.57</v>
      </c>
      <c r="M598" s="19">
        <f>Ringkasan!M597</f>
        <v>8</v>
      </c>
      <c r="N598" s="64" t="str">
        <f>Ringkasan!N597</f>
        <v/>
      </c>
      <c r="O598" s="64" t="str">
        <f>Ringkasan!O597</f>
        <v/>
      </c>
      <c r="P598" s="64" t="str">
        <f>Ringkasan!P597</f>
        <v/>
      </c>
      <c r="Q598" s="64" t="str">
        <f>Ringkasan!Q597</f>
        <v/>
      </c>
      <c r="R598" s="64" t="str">
        <f>Ringkasan!R597</f>
        <v/>
      </c>
      <c r="S598" s="64" t="str">
        <f>Ringkasan!S597</f>
        <v/>
      </c>
      <c r="T598" s="64" t="str">
        <f>Ringkasan!T597</f>
        <v/>
      </c>
      <c r="U598" s="64">
        <f>Ringkasan!U597</f>
        <v>208</v>
      </c>
      <c r="V598" s="64">
        <f>Ringkasan!V597</f>
        <v>8.65</v>
      </c>
      <c r="W598" s="64">
        <f>Ringkasan!W597</f>
        <v>214</v>
      </c>
      <c r="X598" s="64">
        <f>Ringkasan!X597</f>
        <v>226</v>
      </c>
      <c r="Y598" s="64">
        <f>Ringkasan!Y597</f>
        <v>214</v>
      </c>
      <c r="Z598" s="64">
        <f>Ringkasan!Z597</f>
        <v>408000</v>
      </c>
      <c r="AA598" s="64" t="str">
        <f>Ringkasan!AA597</f>
        <v>Healthcare Providers</v>
      </c>
      <c r="AB598" s="64" t="str">
        <f>Ringkasan!AB597</f>
        <v>Healthcare</v>
      </c>
    </row>
    <row r="599" hidden="1">
      <c r="A599" s="64" t="str">
        <f>Ringkasan!A598</f>
        <v>DGWG</v>
      </c>
      <c r="B599" s="64" t="str">
        <f>Ringkasan!B598</f>
        <v>Delta Giri Wacana Tbk.</v>
      </c>
      <c r="C599" s="65">
        <f>Ringkasan!C598</f>
        <v>304</v>
      </c>
      <c r="D599" s="64" t="str">
        <f>Ringkasan!D598</f>
        <v>#N/A</v>
      </c>
      <c r="E599" s="64" t="str">
        <f>Ringkasan!E598</f>
        <v/>
      </c>
      <c r="F599" s="64" t="str">
        <f>Ringkasan!F598</f>
        <v/>
      </c>
      <c r="G599" s="64">
        <f>Ringkasan!G598</f>
        <v>0</v>
      </c>
      <c r="H599" s="19">
        <f>Ringkasan!H598</f>
        <v>8.1</v>
      </c>
      <c r="I599" s="19">
        <f>Ringkasan!I598</f>
        <v>1.7</v>
      </c>
      <c r="J599" s="19">
        <f>Ringkasan!J598</f>
        <v>21.2</v>
      </c>
      <c r="K599" s="19">
        <f>Ringkasan!K598</f>
        <v>6.1</v>
      </c>
      <c r="L599" s="19">
        <f>Ringkasan!L598</f>
        <v>2.5</v>
      </c>
      <c r="M599" s="19">
        <f>Ringkasan!M598</f>
        <v>22</v>
      </c>
      <c r="N599" s="64" t="str">
        <f>Ringkasan!N598</f>
        <v/>
      </c>
      <c r="O599" s="64" t="str">
        <f>Ringkasan!O598</f>
        <v/>
      </c>
      <c r="P599" s="64" t="str">
        <f>Ringkasan!P598</f>
        <v/>
      </c>
      <c r="Q599" s="64" t="str">
        <f>Ringkasan!Q598</f>
        <v/>
      </c>
      <c r="R599" s="64" t="str">
        <f>Ringkasan!R598</f>
        <v/>
      </c>
      <c r="S599" s="64" t="str">
        <f>Ringkasan!S598</f>
        <v/>
      </c>
      <c r="T599" s="64" t="str">
        <f>Ringkasan!T598</f>
        <v/>
      </c>
      <c r="U599" s="64">
        <f>Ringkasan!U598</f>
        <v>294</v>
      </c>
      <c r="V599" s="64">
        <f>Ringkasan!V598</f>
        <v>3.4</v>
      </c>
      <c r="W599" s="64">
        <f>Ringkasan!W598</f>
        <v>296</v>
      </c>
      <c r="X599" s="64">
        <f>Ringkasan!X598</f>
        <v>306</v>
      </c>
      <c r="Y599" s="64">
        <f>Ringkasan!Y598</f>
        <v>296</v>
      </c>
      <c r="Z599" s="64">
        <f>Ringkasan!Z598</f>
        <v>15547100</v>
      </c>
      <c r="AA599" s="64" t="str">
        <f>Ringkasan!AA598</f>
        <v>Chemicals</v>
      </c>
      <c r="AB599" s="64" t="str">
        <f>Ringkasan!AB598</f>
        <v>Basic Materials</v>
      </c>
    </row>
    <row r="600" hidden="1">
      <c r="A600" s="64" t="str">
        <f>Ringkasan!A599</f>
        <v>DIGI</v>
      </c>
      <c r="B600" s="64" t="str">
        <f>Ringkasan!B599</f>
        <v>Arkadia Digital Media Tbk.</v>
      </c>
      <c r="C600" s="65">
        <f>Ringkasan!C599</f>
        <v>31</v>
      </c>
      <c r="D600" s="64" t="str">
        <f>Ringkasan!D599</f>
        <v>#N/A</v>
      </c>
      <c r="E600" s="64" t="str">
        <f>Ringkasan!E599</f>
        <v/>
      </c>
      <c r="F600" s="64" t="str">
        <f>Ringkasan!F599</f>
        <v/>
      </c>
      <c r="G600" s="64">
        <f>Ringkasan!G599</f>
        <v>0</v>
      </c>
      <c r="H600" s="19">
        <f>Ringkasan!H599</f>
        <v>22.1</v>
      </c>
      <c r="I600" s="19">
        <f>Ringkasan!I599</f>
        <v>-8.2</v>
      </c>
      <c r="J600" s="19">
        <f>Ringkasan!J599</f>
        <v>0</v>
      </c>
      <c r="K600" s="19">
        <f>Ringkasan!K599</f>
        <v>17.5</v>
      </c>
      <c r="L600" s="19">
        <f>Ringkasan!L599</f>
        <v>-3.1</v>
      </c>
      <c r="M600" s="19">
        <f>Ringkasan!M599</f>
        <v>34</v>
      </c>
      <c r="N600" s="64" t="str">
        <f>Ringkasan!N599</f>
        <v/>
      </c>
      <c r="O600" s="64" t="str">
        <f>Ringkasan!O599</f>
        <v/>
      </c>
      <c r="P600" s="64" t="str">
        <f>Ringkasan!P599</f>
        <v/>
      </c>
      <c r="Q600" s="64" t="str">
        <f>Ringkasan!Q599</f>
        <v/>
      </c>
      <c r="R600" s="64" t="str">
        <f>Ringkasan!R599</f>
        <v/>
      </c>
      <c r="S600" s="64" t="str">
        <f>Ringkasan!S599</f>
        <v/>
      </c>
      <c r="T600" s="64" t="str">
        <f>Ringkasan!T599</f>
        <v/>
      </c>
      <c r="U600" s="64">
        <f>Ringkasan!U599</f>
        <v>0</v>
      </c>
      <c r="V600" s="64">
        <f>Ringkasan!V599</f>
        <v>0</v>
      </c>
      <c r="W600" s="64" t="str">
        <f>Ringkasan!W599</f>
        <v/>
      </c>
      <c r="X600" s="64" t="str">
        <f>Ringkasan!X599</f>
        <v/>
      </c>
      <c r="Y600" s="64" t="str">
        <f>Ringkasan!Y599</f>
        <v/>
      </c>
      <c r="Z600" s="64">
        <f>Ringkasan!Z599</f>
        <v>0</v>
      </c>
      <c r="AA600" s="64" t="str">
        <f>Ringkasan!AA599</f>
        <v>Media</v>
      </c>
      <c r="AB600" s="64" t="str">
        <f>Ringkasan!AB599</f>
        <v>Consumer Cyclicals</v>
      </c>
    </row>
    <row r="601" hidden="1">
      <c r="A601" s="64" t="str">
        <f>Ringkasan!A600</f>
        <v>DILD</v>
      </c>
      <c r="B601" s="64" t="str">
        <f>Ringkasan!B600</f>
        <v>Intiland Development Tbk.</v>
      </c>
      <c r="C601" s="65">
        <f>Ringkasan!C600</f>
        <v>115</v>
      </c>
      <c r="D601" s="64" t="str">
        <f>Ringkasan!D600</f>
        <v>#N/A</v>
      </c>
      <c r="E601" s="64" t="str">
        <f>Ringkasan!E600</f>
        <v/>
      </c>
      <c r="F601" s="64" t="str">
        <f>Ringkasan!F600</f>
        <v/>
      </c>
      <c r="G601" s="64">
        <f>Ringkasan!G600</f>
        <v>0</v>
      </c>
      <c r="H601" s="19">
        <f>Ringkasan!H600</f>
        <v>22.2</v>
      </c>
      <c r="I601" s="19">
        <f>Ringkasan!I600</f>
        <v>0.18</v>
      </c>
      <c r="J601" s="19">
        <f>Ringkasan!J600</f>
        <v>0.83</v>
      </c>
      <c r="K601" s="19">
        <f>Ringkasan!K600</f>
        <v>0.43</v>
      </c>
      <c r="L601" s="19">
        <f>Ringkasan!L600</f>
        <v>0.91</v>
      </c>
      <c r="M601" s="19">
        <f>Ringkasan!M600</f>
        <v>9.1</v>
      </c>
      <c r="N601" s="64" t="str">
        <f>Ringkasan!N600</f>
        <v/>
      </c>
      <c r="O601" s="64" t="str">
        <f>Ringkasan!O600</f>
        <v/>
      </c>
      <c r="P601" s="64" t="str">
        <f>Ringkasan!P600</f>
        <v/>
      </c>
      <c r="Q601" s="64" t="str">
        <f>Ringkasan!Q600</f>
        <v/>
      </c>
      <c r="R601" s="64" t="str">
        <f>Ringkasan!R600</f>
        <v/>
      </c>
      <c r="S601" s="64" t="str">
        <f>Ringkasan!S600</f>
        <v/>
      </c>
      <c r="T601" s="64" t="str">
        <f>Ringkasan!T600</f>
        <v/>
      </c>
      <c r="U601" s="64">
        <f>Ringkasan!U600</f>
        <v>114</v>
      </c>
      <c r="V601" s="64">
        <f>Ringkasan!V600</f>
        <v>0.88</v>
      </c>
      <c r="W601" s="64">
        <f>Ringkasan!W600</f>
        <v>114</v>
      </c>
      <c r="X601" s="64">
        <f>Ringkasan!X600</f>
        <v>116</v>
      </c>
      <c r="Y601" s="64">
        <f>Ringkasan!Y600</f>
        <v>113</v>
      </c>
      <c r="Z601" s="64">
        <f>Ringkasan!Z600</f>
        <v>10136500</v>
      </c>
      <c r="AA601" s="64" t="str">
        <f>Ringkasan!AA600</f>
        <v>Real Estate Management &amp; Development</v>
      </c>
      <c r="AB601" s="64" t="str">
        <f>Ringkasan!AB600</f>
        <v>Properties &amp; Real Estate</v>
      </c>
    </row>
    <row r="602" hidden="1">
      <c r="A602" s="64" t="str">
        <f>Ringkasan!A601</f>
        <v>DIVA</v>
      </c>
      <c r="B602" s="64" t="str">
        <f>Ringkasan!B601</f>
        <v>Distribusi Voucher Nusantara Tbk.</v>
      </c>
      <c r="C602" s="65">
        <f>Ringkasan!C601</f>
        <v>110</v>
      </c>
      <c r="D602" s="64" t="str">
        <f>Ringkasan!D601</f>
        <v>#N/A</v>
      </c>
      <c r="E602" s="64" t="str">
        <f>Ringkasan!E601</f>
        <v/>
      </c>
      <c r="F602" s="64" t="str">
        <f>Ringkasan!F601</f>
        <v/>
      </c>
      <c r="G602" s="64">
        <f>Ringkasan!G601</f>
        <v>0</v>
      </c>
      <c r="H602" s="19">
        <f>Ringkasan!H601</f>
        <v>130</v>
      </c>
      <c r="I602" s="19">
        <f>Ringkasan!I601</f>
        <v>0.27</v>
      </c>
      <c r="J602" s="19">
        <f>Ringkasan!J601</f>
        <v>0.2</v>
      </c>
      <c r="K602" s="19">
        <f>Ringkasan!K601</f>
        <v>0.18</v>
      </c>
      <c r="L602" s="19">
        <f>Ringkasan!L601</f>
        <v>0.13</v>
      </c>
      <c r="M602" s="19">
        <f>Ringkasan!M601</f>
        <v>0.19</v>
      </c>
      <c r="N602" s="64" t="str">
        <f>Ringkasan!N601</f>
        <v/>
      </c>
      <c r="O602" s="64" t="str">
        <f>Ringkasan!O601</f>
        <v/>
      </c>
      <c r="P602" s="64" t="str">
        <f>Ringkasan!P601</f>
        <v/>
      </c>
      <c r="Q602" s="64" t="str">
        <f>Ringkasan!Q601</f>
        <v/>
      </c>
      <c r="R602" s="64" t="str">
        <f>Ringkasan!R601</f>
        <v/>
      </c>
      <c r="S602" s="64" t="str">
        <f>Ringkasan!S601</f>
        <v/>
      </c>
      <c r="T602" s="64" t="str">
        <f>Ringkasan!T601</f>
        <v/>
      </c>
      <c r="U602" s="64">
        <f>Ringkasan!U601</f>
        <v>38.17</v>
      </c>
      <c r="V602" s="64">
        <f>Ringkasan!V601</f>
        <v>1.17</v>
      </c>
      <c r="W602" s="64">
        <f>Ringkasan!W601</f>
        <v>38.3</v>
      </c>
      <c r="X602" s="64">
        <f>Ringkasan!X601</f>
        <v>39.36</v>
      </c>
      <c r="Y602" s="64">
        <f>Ringkasan!Y601</f>
        <v>38.22</v>
      </c>
      <c r="Z602" s="64">
        <f>Ringkasan!Z601</f>
        <v>9817</v>
      </c>
      <c r="AA602" s="64" t="str">
        <f>Ringkasan!AA601</f>
        <v>Online Applications &amp; Services</v>
      </c>
      <c r="AB602" s="64" t="str">
        <f>Ringkasan!AB601</f>
        <v>Technology</v>
      </c>
    </row>
    <row r="603" hidden="1">
      <c r="A603" s="64" t="str">
        <f>Ringkasan!A602</f>
        <v>DKFT</v>
      </c>
      <c r="B603" s="64" t="str">
        <f>Ringkasan!B602</f>
        <v>Central Omega Resources Tbk.</v>
      </c>
      <c r="C603" s="65">
        <f>Ringkasan!C602</f>
        <v>680</v>
      </c>
      <c r="D603" s="64" t="str">
        <f>Ringkasan!D602</f>
        <v>#N/A</v>
      </c>
      <c r="E603" s="64" t="str">
        <f>Ringkasan!E602</f>
        <v>IDXSHAGROW</v>
      </c>
      <c r="F603" s="66">
        <f>Ringkasan!F602</f>
        <v>46356</v>
      </c>
      <c r="G603" s="64">
        <f>Ringkasan!G602</f>
        <v>2</v>
      </c>
      <c r="H603" s="19">
        <f>Ringkasan!H602</f>
        <v>5.9</v>
      </c>
      <c r="I603" s="19">
        <f>Ringkasan!I602</f>
        <v>2.7</v>
      </c>
      <c r="J603" s="19">
        <f>Ringkasan!J602</f>
        <v>46</v>
      </c>
      <c r="K603" s="19">
        <f>Ringkasan!K602</f>
        <v>21.9</v>
      </c>
      <c r="L603" s="19">
        <f>Ringkasan!L602</f>
        <v>1.1</v>
      </c>
      <c r="M603" s="19">
        <f>Ringkasan!M602</f>
        <v>130</v>
      </c>
      <c r="N603" s="64" t="str">
        <f>Ringkasan!N602</f>
        <v/>
      </c>
      <c r="O603" s="64" t="str">
        <f>Ringkasan!O602</f>
        <v/>
      </c>
      <c r="P603" s="64" t="str">
        <f>Ringkasan!P602</f>
        <v/>
      </c>
      <c r="Q603" s="64" t="str">
        <f>Ringkasan!Q602</f>
        <v/>
      </c>
      <c r="R603" s="64" t="str">
        <f>Ringkasan!R602</f>
        <v/>
      </c>
      <c r="S603" s="64" t="str">
        <f>Ringkasan!S602</f>
        <v/>
      </c>
      <c r="T603" s="64" t="str">
        <f>Ringkasan!T602</f>
        <v/>
      </c>
      <c r="U603" s="64">
        <f>Ringkasan!U602</f>
        <v>620</v>
      </c>
      <c r="V603" s="64">
        <f>Ringkasan!V602</f>
        <v>9.68</v>
      </c>
      <c r="W603" s="64">
        <f>Ringkasan!W602</f>
        <v>625</v>
      </c>
      <c r="X603" s="64">
        <f>Ringkasan!X602</f>
        <v>710</v>
      </c>
      <c r="Y603" s="64">
        <f>Ringkasan!Y602</f>
        <v>625</v>
      </c>
      <c r="Z603" s="64">
        <f>Ringkasan!Z602</f>
        <v>12181600</v>
      </c>
      <c r="AA603" s="64" t="str">
        <f>Ringkasan!AA602</f>
        <v>Metals &amp; Minerals</v>
      </c>
      <c r="AB603" s="64" t="str">
        <f>Ringkasan!AB602</f>
        <v>Basic Materials</v>
      </c>
    </row>
    <row r="604" hidden="1">
      <c r="A604" s="64" t="str">
        <f>Ringkasan!A603</f>
        <v>DKFT</v>
      </c>
      <c r="B604" s="64" t="str">
        <f>Ringkasan!B603</f>
        <v>Central Omega Resources Tbk.</v>
      </c>
      <c r="C604" s="65">
        <f>Ringkasan!C603</f>
        <v>680</v>
      </c>
      <c r="D604" s="64" t="str">
        <f>Ringkasan!D603</f>
        <v>#N/A</v>
      </c>
      <c r="E604" s="64" t="str">
        <f>Ringkasan!E603</f>
        <v>JII70</v>
      </c>
      <c r="F604" s="66">
        <f>Ringkasan!F603</f>
        <v>46356</v>
      </c>
      <c r="G604" s="65">
        <f>Ringkasan!G603</f>
        <v>2</v>
      </c>
      <c r="H604" s="19">
        <f>Ringkasan!H603</f>
        <v>5.9</v>
      </c>
      <c r="I604" s="19">
        <f>Ringkasan!I603</f>
        <v>2.7</v>
      </c>
      <c r="J604" s="19">
        <f>Ringkasan!J603</f>
        <v>46</v>
      </c>
      <c r="K604" s="19">
        <f>Ringkasan!K603</f>
        <v>21.9</v>
      </c>
      <c r="L604" s="19">
        <f>Ringkasan!L603</f>
        <v>1.1</v>
      </c>
      <c r="M604" s="19">
        <f>Ringkasan!M603</f>
        <v>130</v>
      </c>
      <c r="N604" s="64" t="str">
        <f>Ringkasan!N603</f>
        <v/>
      </c>
      <c r="O604" s="64" t="str">
        <f>Ringkasan!O603</f>
        <v/>
      </c>
      <c r="P604" s="64" t="str">
        <f>Ringkasan!P603</f>
        <v/>
      </c>
      <c r="Q604" s="64" t="str">
        <f>Ringkasan!Q603</f>
        <v/>
      </c>
      <c r="R604" s="64" t="str">
        <f>Ringkasan!R603</f>
        <v/>
      </c>
      <c r="S604" s="64" t="str">
        <f>Ringkasan!S603</f>
        <v/>
      </c>
      <c r="T604" s="64" t="str">
        <f>Ringkasan!T603</f>
        <v/>
      </c>
      <c r="U604" s="64">
        <f>Ringkasan!U603</f>
        <v>620</v>
      </c>
      <c r="V604" s="64">
        <f>Ringkasan!V603</f>
        <v>9.68</v>
      </c>
      <c r="W604" s="64">
        <f>Ringkasan!W603</f>
        <v>625</v>
      </c>
      <c r="X604" s="64">
        <f>Ringkasan!X603</f>
        <v>710</v>
      </c>
      <c r="Y604" s="64">
        <f>Ringkasan!Y603</f>
        <v>625</v>
      </c>
      <c r="Z604" s="64">
        <f>Ringkasan!Z603</f>
        <v>12181600</v>
      </c>
      <c r="AA604" s="64" t="str">
        <f>Ringkasan!AA603</f>
        <v>Metals &amp; Minerals</v>
      </c>
      <c r="AB604" s="64" t="str">
        <f>Ringkasan!AB603</f>
        <v>Basic Materials</v>
      </c>
    </row>
    <row r="605" hidden="1">
      <c r="A605" s="64" t="str">
        <f>Ringkasan!A604</f>
        <v>DKHH</v>
      </c>
      <c r="B605" s="64" t="str">
        <f>Ringkasan!B604</f>
        <v>PT Cipta Sarana Medika Tbk</v>
      </c>
      <c r="C605" s="65">
        <f>Ringkasan!C604</f>
        <v>56</v>
      </c>
      <c r="D605" s="64" t="str">
        <f>Ringkasan!D604</f>
        <v>#N/A</v>
      </c>
      <c r="E605" s="64" t="str">
        <f>Ringkasan!E604</f>
        <v/>
      </c>
      <c r="F605" s="64" t="str">
        <f>Ringkasan!F604</f>
        <v/>
      </c>
      <c r="G605" s="64">
        <f>Ringkasan!G604</f>
        <v>0</v>
      </c>
      <c r="H605" s="19">
        <f>Ringkasan!H604</f>
        <v>31.1</v>
      </c>
      <c r="I605" s="19">
        <f>Ringkasan!I604</f>
        <v>0.77</v>
      </c>
      <c r="J605" s="19">
        <f>Ringkasan!J604</f>
        <v>2.5</v>
      </c>
      <c r="K605" s="19">
        <f>Ringkasan!K604</f>
        <v>1.6</v>
      </c>
      <c r="L605" s="19">
        <f>Ringkasan!L604</f>
        <v>0.52</v>
      </c>
      <c r="M605" s="19">
        <f>Ringkasan!M604</f>
        <v>13.8</v>
      </c>
      <c r="N605" s="64" t="str">
        <f>Ringkasan!N604</f>
        <v/>
      </c>
      <c r="O605" s="64" t="str">
        <f>Ringkasan!O604</f>
        <v/>
      </c>
      <c r="P605" s="64" t="str">
        <f>Ringkasan!P604</f>
        <v/>
      </c>
      <c r="Q605" s="64" t="str">
        <f>Ringkasan!Q604</f>
        <v/>
      </c>
      <c r="R605" s="64" t="str">
        <f>Ringkasan!R604</f>
        <v/>
      </c>
      <c r="S605" s="64" t="str">
        <f>Ringkasan!S604</f>
        <v/>
      </c>
      <c r="T605" s="64" t="str">
        <f>Ringkasan!T604</f>
        <v/>
      </c>
      <c r="U605" s="64">
        <f>Ringkasan!U604</f>
        <v>55</v>
      </c>
      <c r="V605" s="64">
        <f>Ringkasan!V604</f>
        <v>1.82</v>
      </c>
      <c r="W605" s="64">
        <f>Ringkasan!W604</f>
        <v>56</v>
      </c>
      <c r="X605" s="64">
        <f>Ringkasan!X604</f>
        <v>58</v>
      </c>
      <c r="Y605" s="64">
        <f>Ringkasan!Y604</f>
        <v>55</v>
      </c>
      <c r="Z605" s="64">
        <f>Ringkasan!Z604</f>
        <v>5810600</v>
      </c>
      <c r="AA605" s="64" t="str">
        <f>Ringkasan!AA604</f>
        <v>Healthcare Providers</v>
      </c>
      <c r="AB605" s="64" t="str">
        <f>Ringkasan!AB604</f>
        <v>Healthcare</v>
      </c>
    </row>
    <row r="606" hidden="1">
      <c r="A606" s="64" t="str">
        <f>Ringkasan!A605</f>
        <v>DLTA</v>
      </c>
      <c r="B606" s="64" t="str">
        <f>Ringkasan!B605</f>
        <v>Delta Djakarta Tbk.</v>
      </c>
      <c r="C606" s="65">
        <f>Ringkasan!C605</f>
        <v>1835</v>
      </c>
      <c r="D606" s="64" t="str">
        <f>Ringkasan!D605</f>
        <v>#N/A</v>
      </c>
      <c r="E606" s="64" t="str">
        <f>Ringkasan!E605</f>
        <v/>
      </c>
      <c r="F606" s="64" t="str">
        <f>Ringkasan!F605</f>
        <v/>
      </c>
      <c r="G606" s="65">
        <f>Ringkasan!G605</f>
        <v>0</v>
      </c>
      <c r="H606" s="19">
        <f>Ringkasan!H605</f>
        <v>10.3</v>
      </c>
      <c r="I606" s="19">
        <f>Ringkasan!I605</f>
        <v>2</v>
      </c>
      <c r="J606" s="19">
        <f>Ringkasan!J605</f>
        <v>19.2</v>
      </c>
      <c r="K606" s="19">
        <f>Ringkasan!K605</f>
        <v>13</v>
      </c>
      <c r="L606" s="19">
        <f>Ringkasan!L605</f>
        <v>0.48</v>
      </c>
      <c r="M606" s="19">
        <f>Ringkasan!M605</f>
        <v>90</v>
      </c>
      <c r="N606" s="64" t="str">
        <f>Ringkasan!N605</f>
        <v/>
      </c>
      <c r="O606" s="64" t="str">
        <f>Ringkasan!O605</f>
        <v/>
      </c>
      <c r="P606" s="64" t="str">
        <f>Ringkasan!P605</f>
        <v/>
      </c>
      <c r="Q606" s="64" t="str">
        <f>Ringkasan!Q605</f>
        <v/>
      </c>
      <c r="R606" s="64" t="str">
        <f>Ringkasan!R605</f>
        <v/>
      </c>
      <c r="S606" s="64" t="str">
        <f>Ringkasan!S605</f>
        <v/>
      </c>
      <c r="T606" s="64" t="str">
        <f>Ringkasan!T605</f>
        <v/>
      </c>
      <c r="U606" s="64">
        <f>Ringkasan!U605</f>
        <v>0</v>
      </c>
      <c r="V606" s="64">
        <f>Ringkasan!V605</f>
        <v>0</v>
      </c>
      <c r="W606" s="64" t="str">
        <f>Ringkasan!W605</f>
        <v/>
      </c>
      <c r="X606" s="64" t="str">
        <f>Ringkasan!X605</f>
        <v/>
      </c>
      <c r="Y606" s="64" t="str">
        <f>Ringkasan!Y605</f>
        <v/>
      </c>
      <c r="Z606" s="64">
        <f>Ringkasan!Z605</f>
        <v>0</v>
      </c>
      <c r="AA606" s="64" t="str">
        <f>Ringkasan!AA605</f>
        <v>Beverages</v>
      </c>
      <c r="AB606" s="64" t="str">
        <f>Ringkasan!AB605</f>
        <v>Consumer Non-Cyclicals</v>
      </c>
    </row>
    <row r="607" hidden="1">
      <c r="A607" s="64" t="str">
        <f>Ringkasan!A606</f>
        <v>DMAS</v>
      </c>
      <c r="B607" s="64" t="str">
        <f>Ringkasan!B606</f>
        <v>Puradelta Lestari Tbk.</v>
      </c>
      <c r="C607" s="65">
        <f>Ringkasan!C606</f>
        <v>154</v>
      </c>
      <c r="D607" s="64" t="str">
        <f>Ringkasan!D606</f>
        <v>#N/A</v>
      </c>
      <c r="E607" s="64" t="str">
        <f>Ringkasan!E606</f>
        <v/>
      </c>
      <c r="F607" s="64" t="str">
        <f>Ringkasan!F606</f>
        <v/>
      </c>
      <c r="G607" s="65">
        <f>Ringkasan!G606</f>
        <v>0</v>
      </c>
      <c r="H607" s="19">
        <f>Ringkasan!H606</f>
        <v>6</v>
      </c>
      <c r="I607" s="19">
        <f>Ringkasan!I606</f>
        <v>1</v>
      </c>
      <c r="J607" s="19">
        <f>Ringkasan!J606</f>
        <v>17</v>
      </c>
      <c r="K607" s="19">
        <f>Ringkasan!K606</f>
        <v>15.6</v>
      </c>
      <c r="L607" s="19">
        <f>Ringkasan!L606</f>
        <v>0.09</v>
      </c>
      <c r="M607" s="19">
        <f>Ringkasan!M606</f>
        <v>120</v>
      </c>
      <c r="N607" s="64" t="str">
        <f>Ringkasan!N606</f>
        <v/>
      </c>
      <c r="O607" s="64" t="str">
        <f>Ringkasan!O606</f>
        <v/>
      </c>
      <c r="P607" s="64" t="str">
        <f>Ringkasan!P606</f>
        <v/>
      </c>
      <c r="Q607" s="64" t="str">
        <f>Ringkasan!Q606</f>
        <v/>
      </c>
      <c r="R607" s="64" t="str">
        <f>Ringkasan!R606</f>
        <v/>
      </c>
      <c r="S607" s="64" t="str">
        <f>Ringkasan!S606</f>
        <v/>
      </c>
      <c r="T607" s="64" t="str">
        <f>Ringkasan!T606</f>
        <v/>
      </c>
      <c r="U607" s="64">
        <f>Ringkasan!U606</f>
        <v>151</v>
      </c>
      <c r="V607" s="64">
        <f>Ringkasan!V606</f>
        <v>1.99</v>
      </c>
      <c r="W607" s="64">
        <f>Ringkasan!W606</f>
        <v>153</v>
      </c>
      <c r="X607" s="64">
        <f>Ringkasan!X606</f>
        <v>156</v>
      </c>
      <c r="Y607" s="64">
        <f>Ringkasan!Y606</f>
        <v>151</v>
      </c>
      <c r="Z607" s="64">
        <f>Ringkasan!Z606</f>
        <v>72375000</v>
      </c>
      <c r="AA607" s="64" t="str">
        <f>Ringkasan!AA606</f>
        <v>Real Estate Management &amp; Development</v>
      </c>
      <c r="AB607" s="64" t="str">
        <f>Ringkasan!AB606</f>
        <v>Properties &amp; Real Estate</v>
      </c>
    </row>
    <row r="608" hidden="1">
      <c r="A608" s="64" t="str">
        <f>Ringkasan!A607</f>
        <v>DMMX</v>
      </c>
      <c r="B608" s="64" t="str">
        <f>Ringkasan!B607</f>
        <v>Digital Mediatama Maxima Tbk.</v>
      </c>
      <c r="C608" s="65">
        <f>Ringkasan!C607</f>
        <v>158</v>
      </c>
      <c r="D608" s="64" t="str">
        <f>Ringkasan!D607</f>
        <v>#N/A</v>
      </c>
      <c r="E608" s="64" t="str">
        <f>Ringkasan!E607</f>
        <v/>
      </c>
      <c r="F608" s="64" t="str">
        <f>Ringkasan!F607</f>
        <v/>
      </c>
      <c r="G608" s="64">
        <f>Ringkasan!G607</f>
        <v>0</v>
      </c>
      <c r="H608" s="19">
        <f>Ringkasan!H607</f>
        <v>22.4</v>
      </c>
      <c r="I608" s="19">
        <f>Ringkasan!I607</f>
        <v>2</v>
      </c>
      <c r="J608" s="19">
        <f>Ringkasan!J607</f>
        <v>8.7</v>
      </c>
      <c r="K608" s="19">
        <f>Ringkasan!K607</f>
        <v>7</v>
      </c>
      <c r="L608" s="19">
        <f>Ringkasan!L607</f>
        <v>0.25</v>
      </c>
      <c r="M608" s="19">
        <f>Ringkasan!M607</f>
        <v>79.9</v>
      </c>
      <c r="N608" s="64" t="str">
        <f>Ringkasan!N607</f>
        <v/>
      </c>
      <c r="O608" s="64" t="str">
        <f>Ringkasan!O607</f>
        <v/>
      </c>
      <c r="P608" s="64" t="str">
        <f>Ringkasan!P607</f>
        <v/>
      </c>
      <c r="Q608" s="64" t="str">
        <f>Ringkasan!Q607</f>
        <v/>
      </c>
      <c r="R608" s="64" t="str">
        <f>Ringkasan!R607</f>
        <v/>
      </c>
      <c r="S608" s="64" t="str">
        <f>Ringkasan!S607</f>
        <v/>
      </c>
      <c r="T608" s="64" t="str">
        <f>Ringkasan!T607</f>
        <v/>
      </c>
      <c r="U608" s="64">
        <f>Ringkasan!U607</f>
        <v>152</v>
      </c>
      <c r="V608" s="64">
        <f>Ringkasan!V607</f>
        <v>3.95</v>
      </c>
      <c r="W608" s="64">
        <f>Ringkasan!W607</f>
        <v>152</v>
      </c>
      <c r="X608" s="64">
        <f>Ringkasan!X607</f>
        <v>158</v>
      </c>
      <c r="Y608" s="64">
        <f>Ringkasan!Y607</f>
        <v>152</v>
      </c>
      <c r="Z608" s="64">
        <f>Ringkasan!Z607</f>
        <v>415300</v>
      </c>
      <c r="AA608" s="64" t="str">
        <f>Ringkasan!AA607</f>
        <v>IT Services &amp; Consulting</v>
      </c>
      <c r="AB608" s="64" t="str">
        <f>Ringkasan!AB607</f>
        <v>Technology</v>
      </c>
    </row>
    <row r="609" hidden="1">
      <c r="A609" s="64" t="str">
        <f>Ringkasan!A1020</f>
        <v>JSMR</v>
      </c>
      <c r="B609" s="64" t="str">
        <f>Ringkasan!B1020</f>
        <v>Jasa Marga (Persero) Tbk.</v>
      </c>
      <c r="C609" s="65">
        <f>Ringkasan!C1020</f>
        <v>2600</v>
      </c>
      <c r="D609" s="64" t="str">
        <f>Ringkasan!D1020</f>
        <v>#N/A</v>
      </c>
      <c r="E609" s="64" t="str">
        <f>Ringkasan!E1020</f>
        <v>SRI-KEHATI</v>
      </c>
      <c r="F609" s="66">
        <f>Ringkasan!F1020</f>
        <v>46356</v>
      </c>
      <c r="G609" s="64">
        <f>Ringkasan!G1020</f>
        <v>17</v>
      </c>
      <c r="H609" s="19">
        <f>Ringkasan!H1020</f>
        <v>6.2</v>
      </c>
      <c r="I609" s="19">
        <f>Ringkasan!I1020</f>
        <v>0.34</v>
      </c>
      <c r="J609" s="19">
        <f>Ringkasan!J1020</f>
        <v>5.5</v>
      </c>
      <c r="K609" s="19">
        <f>Ringkasan!K1020</f>
        <v>2.2</v>
      </c>
      <c r="L609" s="19">
        <f>Ringkasan!L1020</f>
        <v>1.5</v>
      </c>
      <c r="M609" s="19">
        <f>Ringkasan!M1020</f>
        <v>54.4</v>
      </c>
      <c r="N609" s="64" t="str">
        <f>Ringkasan!N1020</f>
        <v/>
      </c>
      <c r="O609" s="64" t="str">
        <f>Ringkasan!O1020</f>
        <v/>
      </c>
      <c r="P609" s="64" t="str">
        <f>Ringkasan!P1020</f>
        <v/>
      </c>
      <c r="Q609" s="64" t="str">
        <f>Ringkasan!Q1020</f>
        <v/>
      </c>
      <c r="R609" s="64" t="str">
        <f>Ringkasan!R1020</f>
        <v/>
      </c>
      <c r="S609" s="64" t="str">
        <f>Ringkasan!S1020</f>
        <v/>
      </c>
      <c r="T609" s="64" t="str">
        <f>Ringkasan!T1020</f>
        <v/>
      </c>
      <c r="U609" s="64">
        <f>Ringkasan!U1020</f>
        <v>2620</v>
      </c>
      <c r="V609" s="64">
        <f>Ringkasan!V1020</f>
        <v>-0.76</v>
      </c>
      <c r="W609" s="64">
        <f>Ringkasan!W1020</f>
        <v>2630</v>
      </c>
      <c r="X609" s="64">
        <f>Ringkasan!X1020</f>
        <v>2650</v>
      </c>
      <c r="Y609" s="64">
        <f>Ringkasan!Y1020</f>
        <v>2600</v>
      </c>
      <c r="Z609" s="64">
        <f>Ringkasan!Z1020</f>
        <v>9670400</v>
      </c>
      <c r="AA609" s="64" t="str">
        <f>Ringkasan!AA1020</f>
        <v>Transport Infrastructure Operator</v>
      </c>
      <c r="AB609" s="64" t="str">
        <f>Ringkasan!AB1020</f>
        <v>Infrastructures</v>
      </c>
    </row>
    <row r="610" hidden="1">
      <c r="A610" s="64" t="str">
        <f>Ringkasan!A609</f>
        <v>DNAR</v>
      </c>
      <c r="B610" s="64" t="str">
        <f>Ringkasan!B609</f>
        <v>PT Bank Oke Indonesia Tbk.</v>
      </c>
      <c r="C610" s="65">
        <f>Ringkasan!C609</f>
        <v>114</v>
      </c>
      <c r="D610" s="64" t="str">
        <f>Ringkasan!D609</f>
        <v>#N/A</v>
      </c>
      <c r="E610" s="64" t="str">
        <f>Ringkasan!E609</f>
        <v/>
      </c>
      <c r="F610" s="64" t="str">
        <f>Ringkasan!F609</f>
        <v/>
      </c>
      <c r="G610" s="64">
        <f>Ringkasan!G609</f>
        <v>0</v>
      </c>
      <c r="H610" s="19">
        <f>Ringkasan!H609</f>
        <v>10.4</v>
      </c>
      <c r="I610" s="19">
        <f>Ringkasan!I609</f>
        <v>0.53</v>
      </c>
      <c r="J610" s="19">
        <f>Ringkasan!J609</f>
        <v>5</v>
      </c>
      <c r="K610" s="19">
        <f>Ringkasan!K609</f>
        <v>1.4</v>
      </c>
      <c r="L610" s="19">
        <f>Ringkasan!L609</f>
        <v>2.6</v>
      </c>
      <c r="M610" s="19">
        <f>Ringkasan!M609</f>
        <v>59.5</v>
      </c>
      <c r="N610" s="64">
        <f>Ringkasan!N609</f>
        <v>3.85</v>
      </c>
      <c r="O610" s="64">
        <f>Ringkasan!O609</f>
        <v>44.15</v>
      </c>
      <c r="P610" s="64">
        <f>Ringkasan!P609</f>
        <v>83.4</v>
      </c>
      <c r="Q610" s="64">
        <f>Ringkasan!Q609</f>
        <v>2.95</v>
      </c>
      <c r="R610" s="64">
        <f>Ringkasan!R609</f>
        <v>94.15</v>
      </c>
      <c r="S610" s="64">
        <f>Ringkasan!S609</f>
        <v>78.4</v>
      </c>
      <c r="T610" s="64">
        <f>Ringkasan!T609</f>
        <v>9.12</v>
      </c>
      <c r="U610" s="64">
        <f>Ringkasan!U609</f>
        <v>104</v>
      </c>
      <c r="V610" s="64">
        <f>Ringkasan!V609</f>
        <v>9.62</v>
      </c>
      <c r="W610" s="64">
        <f>Ringkasan!W609</f>
        <v>104</v>
      </c>
      <c r="X610" s="64">
        <f>Ringkasan!X609</f>
        <v>119</v>
      </c>
      <c r="Y610" s="64">
        <f>Ringkasan!Y609</f>
        <v>104</v>
      </c>
      <c r="Z610" s="64">
        <f>Ringkasan!Z609</f>
        <v>697300</v>
      </c>
      <c r="AA610" s="64" t="str">
        <f>Ringkasan!AA609</f>
        <v>Banks</v>
      </c>
      <c r="AB610" s="64" t="str">
        <f>Ringkasan!AB609</f>
        <v>Financials</v>
      </c>
    </row>
    <row r="611" hidden="1">
      <c r="A611" s="64" t="str">
        <f>Ringkasan!A1030</f>
        <v>KBLM</v>
      </c>
      <c r="B611" s="64" t="str">
        <f>Ringkasan!B1030</f>
        <v>Kabelindo Murni Tbk.</v>
      </c>
      <c r="C611" s="65">
        <f>Ringkasan!C1030</f>
        <v>288</v>
      </c>
      <c r="D611" s="64" t="str">
        <f>Ringkasan!D1030</f>
        <v>#N/A</v>
      </c>
      <c r="E611" s="64" t="str">
        <f>Ringkasan!E1030</f>
        <v/>
      </c>
      <c r="F611" s="64" t="str">
        <f>Ringkasan!F1030</f>
        <v/>
      </c>
      <c r="G611" s="64">
        <f>Ringkasan!G1030</f>
        <v>0</v>
      </c>
      <c r="H611" s="19">
        <f>Ringkasan!H1030</f>
        <v>18</v>
      </c>
      <c r="I611" s="19">
        <f>Ringkasan!I1030</f>
        <v>0.23</v>
      </c>
      <c r="J611" s="19">
        <f>Ringkasan!J1030</f>
        <v>1.3</v>
      </c>
      <c r="K611" s="19">
        <f>Ringkasan!K1030</f>
        <v>0.95</v>
      </c>
      <c r="L611" s="19">
        <f>Ringkasan!L1030</f>
        <v>0.36</v>
      </c>
      <c r="M611" s="19">
        <f>Ringkasan!M1030</f>
        <v>2.7</v>
      </c>
      <c r="N611" s="64" t="str">
        <f>Ringkasan!N1030</f>
        <v/>
      </c>
      <c r="O611" s="64" t="str">
        <f>Ringkasan!O1030</f>
        <v/>
      </c>
      <c r="P611" s="64" t="str">
        <f>Ringkasan!P1030</f>
        <v/>
      </c>
      <c r="Q611" s="64" t="str">
        <f>Ringkasan!Q1030</f>
        <v/>
      </c>
      <c r="R611" s="64" t="str">
        <f>Ringkasan!R1030</f>
        <v/>
      </c>
      <c r="S611" s="64" t="str">
        <f>Ringkasan!S1030</f>
        <v/>
      </c>
      <c r="T611" s="64" t="str">
        <f>Ringkasan!T1030</f>
        <v/>
      </c>
      <c r="U611" s="64">
        <f>Ringkasan!U1030</f>
        <v>278</v>
      </c>
      <c r="V611" s="64">
        <f>Ringkasan!V1030</f>
        <v>3.6</v>
      </c>
      <c r="W611" s="64">
        <f>Ringkasan!W1030</f>
        <v>288</v>
      </c>
      <c r="X611" s="64">
        <f>Ringkasan!X1030</f>
        <v>292</v>
      </c>
      <c r="Y611" s="64">
        <f>Ringkasan!Y1030</f>
        <v>288</v>
      </c>
      <c r="Z611" s="64">
        <f>Ringkasan!Z1030</f>
        <v>50900</v>
      </c>
      <c r="AA611" s="64" t="str">
        <f>Ringkasan!AA1030</f>
        <v>Electrical</v>
      </c>
      <c r="AB611" s="64" t="str">
        <f>Ringkasan!AB1030</f>
        <v>Industrials</v>
      </c>
    </row>
    <row r="612" hidden="1">
      <c r="A612" s="64" t="str">
        <f>Ringkasan!A611</f>
        <v>DOID</v>
      </c>
      <c r="B612" s="64" t="str">
        <f>Ringkasan!B611</f>
        <v>BUMA Internasional Grup Tbk.</v>
      </c>
      <c r="C612" s="65">
        <f>Ringkasan!C611</f>
        <v>206</v>
      </c>
      <c r="D612" s="64" t="str">
        <f>Ringkasan!D611</f>
        <v>#N/A</v>
      </c>
      <c r="E612" s="64" t="str">
        <f>Ringkasan!E611</f>
        <v/>
      </c>
      <c r="F612" s="64" t="str">
        <f>Ringkasan!F611</f>
        <v/>
      </c>
      <c r="G612" s="64">
        <f>Ringkasan!G611</f>
        <v>0</v>
      </c>
      <c r="H612" s="19">
        <f>Ringkasan!H611</f>
        <v>-1.3</v>
      </c>
      <c r="I612" s="19">
        <f>Ringkasan!I611</f>
        <v>3.7</v>
      </c>
      <c r="J612" s="19">
        <f>Ringkasan!J611</f>
        <v>-300</v>
      </c>
      <c r="K612" s="19">
        <f>Ringkasan!K611</f>
        <v>-5.1</v>
      </c>
      <c r="L612" s="19">
        <f>Ringkasan!L611</f>
        <v>57.8</v>
      </c>
      <c r="M612" s="19">
        <f>Ringkasan!M611</f>
        <v>-23.6</v>
      </c>
      <c r="N612" s="64" t="str">
        <f>Ringkasan!N611</f>
        <v/>
      </c>
      <c r="O612" s="64" t="str">
        <f>Ringkasan!O611</f>
        <v/>
      </c>
      <c r="P612" s="64" t="str">
        <f>Ringkasan!P611</f>
        <v/>
      </c>
      <c r="Q612" s="64" t="str">
        <f>Ringkasan!Q611</f>
        <v/>
      </c>
      <c r="R612" s="64" t="str">
        <f>Ringkasan!R611</f>
        <v/>
      </c>
      <c r="S612" s="64" t="str">
        <f>Ringkasan!S611</f>
        <v/>
      </c>
      <c r="T612" s="64" t="str">
        <f>Ringkasan!T611</f>
        <v/>
      </c>
      <c r="U612" s="64">
        <f>Ringkasan!U611</f>
        <v>195</v>
      </c>
      <c r="V612" s="64">
        <f>Ringkasan!V611</f>
        <v>5.64</v>
      </c>
      <c r="W612" s="64">
        <f>Ringkasan!W611</f>
        <v>195</v>
      </c>
      <c r="X612" s="64">
        <f>Ringkasan!X611</f>
        <v>208</v>
      </c>
      <c r="Y612" s="64">
        <f>Ringkasan!Y611</f>
        <v>195</v>
      </c>
      <c r="Z612" s="64">
        <f>Ringkasan!Z611</f>
        <v>7962300</v>
      </c>
      <c r="AA612" s="64" t="str">
        <f>Ringkasan!AA611</f>
        <v>Oil, Gas &amp; Coal Supports</v>
      </c>
      <c r="AB612" s="64" t="str">
        <f>Ringkasan!AB611</f>
        <v>Energy</v>
      </c>
    </row>
    <row r="613" hidden="1">
      <c r="A613" s="64" t="str">
        <f>Ringkasan!A612</f>
        <v>DOOH</v>
      </c>
      <c r="B613" s="64" t="str">
        <f>Ringkasan!B612</f>
        <v>PT Era Media Sejahtera Tbk</v>
      </c>
      <c r="C613" s="65">
        <f>Ringkasan!C612</f>
        <v>125</v>
      </c>
      <c r="D613" s="64" t="str">
        <f>Ringkasan!D612</f>
        <v>#N/A</v>
      </c>
      <c r="E613" s="64" t="str">
        <f>Ringkasan!E612</f>
        <v/>
      </c>
      <c r="F613" s="64" t="str">
        <f>Ringkasan!F612</f>
        <v/>
      </c>
      <c r="G613" s="64">
        <f>Ringkasan!G612</f>
        <v>0</v>
      </c>
      <c r="H613" s="19">
        <f>Ringkasan!H612</f>
        <v>43.1</v>
      </c>
      <c r="I613" s="19">
        <f>Ringkasan!I612</f>
        <v>4.3</v>
      </c>
      <c r="J613" s="19">
        <f>Ringkasan!J612</f>
        <v>10.1</v>
      </c>
      <c r="K613" s="19">
        <f>Ringkasan!K612</f>
        <v>8.3</v>
      </c>
      <c r="L613" s="19">
        <f>Ringkasan!L612</f>
        <v>0.22</v>
      </c>
      <c r="M613" s="19">
        <f>Ringkasan!M612</f>
        <v>83.6</v>
      </c>
      <c r="N613" s="64" t="str">
        <f>Ringkasan!N612</f>
        <v/>
      </c>
      <c r="O613" s="64" t="str">
        <f>Ringkasan!O612</f>
        <v/>
      </c>
      <c r="P613" s="64" t="str">
        <f>Ringkasan!P612</f>
        <v/>
      </c>
      <c r="Q613" s="64" t="str">
        <f>Ringkasan!Q612</f>
        <v/>
      </c>
      <c r="R613" s="64" t="str">
        <f>Ringkasan!R612</f>
        <v/>
      </c>
      <c r="S613" s="64" t="str">
        <f>Ringkasan!S612</f>
        <v/>
      </c>
      <c r="T613" s="64" t="str">
        <f>Ringkasan!T612</f>
        <v/>
      </c>
      <c r="U613" s="64">
        <f>Ringkasan!U612</f>
        <v>121</v>
      </c>
      <c r="V613" s="64">
        <f>Ringkasan!V612</f>
        <v>3.31</v>
      </c>
      <c r="W613" s="64">
        <f>Ringkasan!W612</f>
        <v>121</v>
      </c>
      <c r="X613" s="64">
        <f>Ringkasan!X612</f>
        <v>139</v>
      </c>
      <c r="Y613" s="64">
        <f>Ringkasan!Y612</f>
        <v>120</v>
      </c>
      <c r="Z613" s="64">
        <f>Ringkasan!Z612</f>
        <v>62484900</v>
      </c>
      <c r="AA613" s="64" t="str">
        <f>Ringkasan!AA612</f>
        <v>Media</v>
      </c>
      <c r="AB613" s="64" t="str">
        <f>Ringkasan!AB612</f>
        <v>Consumer Cyclicals</v>
      </c>
    </row>
    <row r="614" hidden="1">
      <c r="A614" s="64" t="str">
        <f>Ringkasan!A613</f>
        <v>DOSS</v>
      </c>
      <c r="B614" s="64" t="str">
        <f>Ringkasan!B613</f>
        <v>Global Sukses Digital Tbk.</v>
      </c>
      <c r="C614" s="65">
        <f>Ringkasan!C613</f>
        <v>135</v>
      </c>
      <c r="D614" s="64" t="str">
        <f>Ringkasan!D613</f>
        <v>#N/A</v>
      </c>
      <c r="E614" s="64" t="str">
        <f>Ringkasan!E613</f>
        <v/>
      </c>
      <c r="F614" s="64" t="str">
        <f>Ringkasan!F613</f>
        <v/>
      </c>
      <c r="G614" s="64">
        <f>Ringkasan!G613</f>
        <v>0</v>
      </c>
      <c r="H614" s="19">
        <f>Ringkasan!H613</f>
        <v>5.5</v>
      </c>
      <c r="I614" s="19">
        <f>Ringkasan!I613</f>
        <v>1.1</v>
      </c>
      <c r="J614" s="19">
        <f>Ringkasan!J613</f>
        <v>19.2</v>
      </c>
      <c r="K614" s="19">
        <f>Ringkasan!K613</f>
        <v>13.1</v>
      </c>
      <c r="L614" s="19">
        <f>Ringkasan!L613</f>
        <v>0.46</v>
      </c>
      <c r="M614" s="19">
        <f>Ringkasan!M613</f>
        <v>14</v>
      </c>
      <c r="N614" s="64" t="str">
        <f>Ringkasan!N613</f>
        <v/>
      </c>
      <c r="O614" s="64" t="str">
        <f>Ringkasan!O613</f>
        <v/>
      </c>
      <c r="P614" s="64" t="str">
        <f>Ringkasan!P613</f>
        <v/>
      </c>
      <c r="Q614" s="64" t="str">
        <f>Ringkasan!Q613</f>
        <v/>
      </c>
      <c r="R614" s="64" t="str">
        <f>Ringkasan!R613</f>
        <v/>
      </c>
      <c r="S614" s="64" t="str">
        <f>Ringkasan!S613</f>
        <v/>
      </c>
      <c r="T614" s="64" t="str">
        <f>Ringkasan!T613</f>
        <v/>
      </c>
      <c r="U614" s="64">
        <f>Ringkasan!U613</f>
        <v>127</v>
      </c>
      <c r="V614" s="64">
        <f>Ringkasan!V613</f>
        <v>6.3</v>
      </c>
      <c r="W614" s="64">
        <f>Ringkasan!W613</f>
        <v>123</v>
      </c>
      <c r="X614" s="64">
        <f>Ringkasan!X613</f>
        <v>135</v>
      </c>
      <c r="Y614" s="64">
        <f>Ringkasan!Y613</f>
        <v>123</v>
      </c>
      <c r="Z614" s="64">
        <f>Ringkasan!Z613</f>
        <v>272200</v>
      </c>
      <c r="AA614" s="64" t="str">
        <f>Ringkasan!AA613</f>
        <v>Consumer Electronics</v>
      </c>
      <c r="AB614" s="64" t="str">
        <f>Ringkasan!AB613</f>
        <v>Consumer Cyclicals</v>
      </c>
    </row>
    <row r="615" hidden="1">
      <c r="A615" s="64" t="str">
        <f>Ringkasan!A1052</f>
        <v>KLBF</v>
      </c>
      <c r="B615" s="64" t="str">
        <f>Ringkasan!B1052</f>
        <v>Kalbe Farma Tbk.</v>
      </c>
      <c r="C615" s="65">
        <f>Ringkasan!C1052</f>
        <v>740</v>
      </c>
      <c r="D615" s="64" t="str">
        <f>Ringkasan!D1052</f>
        <v>#N/A</v>
      </c>
      <c r="E615" s="64" t="str">
        <f>Ringkasan!E1052</f>
        <v>Investor33</v>
      </c>
      <c r="F615" s="66">
        <f>Ringkasan!F1052</f>
        <v>46356</v>
      </c>
      <c r="G615" s="65">
        <f>Ringkasan!G1052</f>
        <v>17</v>
      </c>
      <c r="H615" s="19">
        <f>Ringkasan!H1052</f>
        <v>10</v>
      </c>
      <c r="I615" s="19">
        <f>Ringkasan!I1052</f>
        <v>1.4</v>
      </c>
      <c r="J615" s="19">
        <f>Ringkasan!J1052</f>
        <v>14.1</v>
      </c>
      <c r="K615" s="19">
        <f>Ringkasan!K1052</f>
        <v>11.3</v>
      </c>
      <c r="L615" s="19">
        <f>Ringkasan!L1052</f>
        <v>0.24</v>
      </c>
      <c r="M615" s="19">
        <f>Ringkasan!M1052</f>
        <v>37.4</v>
      </c>
      <c r="N615" s="64" t="str">
        <f>Ringkasan!N1052</f>
        <v/>
      </c>
      <c r="O615" s="64" t="str">
        <f>Ringkasan!O1052</f>
        <v/>
      </c>
      <c r="P615" s="64" t="str">
        <f>Ringkasan!P1052</f>
        <v/>
      </c>
      <c r="Q615" s="64" t="str">
        <f>Ringkasan!Q1052</f>
        <v/>
      </c>
      <c r="R615" s="64" t="str">
        <f>Ringkasan!R1052</f>
        <v/>
      </c>
      <c r="S615" s="64" t="str">
        <f>Ringkasan!S1052</f>
        <v/>
      </c>
      <c r="T615" s="64" t="str">
        <f>Ringkasan!T1052</f>
        <v/>
      </c>
      <c r="U615" s="64">
        <f>Ringkasan!U1052</f>
        <v>725</v>
      </c>
      <c r="V615" s="64">
        <f>Ringkasan!V1052</f>
        <v>2.07</v>
      </c>
      <c r="W615" s="64">
        <f>Ringkasan!W1052</f>
        <v>760</v>
      </c>
      <c r="X615" s="64">
        <f>Ringkasan!X1052</f>
        <v>760</v>
      </c>
      <c r="Y615" s="64">
        <f>Ringkasan!Y1052</f>
        <v>715</v>
      </c>
      <c r="Z615" s="64">
        <f>Ringkasan!Z1052</f>
        <v>92741200</v>
      </c>
      <c r="AA615" s="64" t="str">
        <f>Ringkasan!AA1052</f>
        <v>Pharmaceuticals</v>
      </c>
      <c r="AB615" s="64" t="str">
        <f>Ringkasan!AB1052</f>
        <v>Healthcare</v>
      </c>
    </row>
    <row r="616" hidden="1">
      <c r="A616" s="64" t="str">
        <f>Ringkasan!A615</f>
        <v>DPUM</v>
      </c>
      <c r="B616" s="64" t="str">
        <f>Ringkasan!B615</f>
        <v>Dua Putra Utama Makmur Tbk.</v>
      </c>
      <c r="C616" s="65">
        <f>Ringkasan!C615</f>
        <v>116</v>
      </c>
      <c r="D616" s="64" t="str">
        <f>Ringkasan!D615</f>
        <v>#N/A</v>
      </c>
      <c r="E616" s="64" t="str">
        <f>Ringkasan!E615</f>
        <v/>
      </c>
      <c r="F616" s="64" t="str">
        <f>Ringkasan!F615</f>
        <v/>
      </c>
      <c r="G616" s="64">
        <f>Ringkasan!G615</f>
        <v>0</v>
      </c>
      <c r="H616" s="19">
        <f>Ringkasan!H615</f>
        <v>-19</v>
      </c>
      <c r="I616" s="19">
        <f>Ringkasan!I615</f>
        <v>2.4</v>
      </c>
      <c r="J616" s="19">
        <f>Ringkasan!J615</f>
        <v>-12.5</v>
      </c>
      <c r="K616" s="19">
        <f>Ringkasan!K615</f>
        <v>-3.9</v>
      </c>
      <c r="L616" s="19">
        <f>Ringkasan!L615</f>
        <v>2.2</v>
      </c>
      <c r="M616" s="19">
        <f>Ringkasan!M615</f>
        <v>-20</v>
      </c>
      <c r="N616" s="64" t="str">
        <f>Ringkasan!N615</f>
        <v/>
      </c>
      <c r="O616" s="64" t="str">
        <f>Ringkasan!O615</f>
        <v/>
      </c>
      <c r="P616" s="64" t="str">
        <f>Ringkasan!P615</f>
        <v/>
      </c>
      <c r="Q616" s="64" t="str">
        <f>Ringkasan!Q615</f>
        <v/>
      </c>
      <c r="R616" s="64" t="str">
        <f>Ringkasan!R615</f>
        <v/>
      </c>
      <c r="S616" s="64" t="str">
        <f>Ringkasan!S615</f>
        <v/>
      </c>
      <c r="T616" s="64" t="str">
        <f>Ringkasan!T615</f>
        <v/>
      </c>
      <c r="U616" s="64">
        <f>Ringkasan!U615</f>
        <v>20.39</v>
      </c>
      <c r="V616" s="64">
        <f>Ringkasan!V615</f>
        <v>0.92</v>
      </c>
      <c r="W616" s="64">
        <f>Ringkasan!W615</f>
        <v>20.73</v>
      </c>
      <c r="X616" s="64">
        <f>Ringkasan!X615</f>
        <v>20.73</v>
      </c>
      <c r="Y616" s="64">
        <f>Ringkasan!Y615</f>
        <v>20.58</v>
      </c>
      <c r="Z616" s="64">
        <f>Ringkasan!Z615</f>
        <v>1216</v>
      </c>
      <c r="AA616" s="64" t="str">
        <f>Ringkasan!AA615</f>
        <v>Agricultural Products</v>
      </c>
      <c r="AB616" s="64" t="str">
        <f>Ringkasan!AB615</f>
        <v>Consumer Non-Cyclicals</v>
      </c>
    </row>
    <row r="617" hidden="1">
      <c r="A617" s="64" t="str">
        <f>Ringkasan!A10</f>
        <v>AADI</v>
      </c>
      <c r="B617" s="64" t="str">
        <f>Ringkasan!B10</f>
        <v>Adaro Andalan Indonesia Tbk.</v>
      </c>
      <c r="C617" s="65">
        <f>Ringkasan!C10</f>
        <v>8650</v>
      </c>
      <c r="D617" s="64" t="str">
        <f>Ringkasan!D10</f>
        <v>#N/A</v>
      </c>
      <c r="E617" s="64" t="str">
        <f>Ringkasan!E10</f>
        <v>JII70</v>
      </c>
      <c r="F617" s="66">
        <f>Ringkasan!F10</f>
        <v>46356</v>
      </c>
      <c r="G617" s="65">
        <f>Ringkasan!G10</f>
        <v>9</v>
      </c>
      <c r="H617" s="19">
        <f>Ringkasan!H10</f>
        <v>5.5</v>
      </c>
      <c r="I617" s="19">
        <f>Ringkasan!I10</f>
        <v>1</v>
      </c>
      <c r="J617" s="19">
        <f>Ringkasan!J10</f>
        <v>18.6</v>
      </c>
      <c r="K617" s="19">
        <f>Ringkasan!K10</f>
        <v>12.2</v>
      </c>
      <c r="L617" s="19">
        <f>Ringkasan!L10</f>
        <v>0.53</v>
      </c>
      <c r="M617" s="19">
        <f>Ringkasan!M10</f>
        <v>67.3</v>
      </c>
      <c r="N617" s="64" t="str">
        <f>Ringkasan!N10</f>
        <v/>
      </c>
      <c r="O617" s="64" t="str">
        <f>Ringkasan!O10</f>
        <v/>
      </c>
      <c r="P617" s="64" t="str">
        <f>Ringkasan!P10</f>
        <v/>
      </c>
      <c r="Q617" s="64" t="str">
        <f>Ringkasan!Q10</f>
        <v/>
      </c>
      <c r="R617" s="64" t="str">
        <f>Ringkasan!R10</f>
        <v/>
      </c>
      <c r="S617" s="64" t="str">
        <f>Ringkasan!S10</f>
        <v/>
      </c>
      <c r="T617" s="64" t="str">
        <f>Ringkasan!T10</f>
        <v/>
      </c>
      <c r="U617" s="64">
        <f>Ringkasan!U10</f>
        <v>8050</v>
      </c>
      <c r="V617" s="64">
        <f>Ringkasan!V10</f>
        <v>7.45</v>
      </c>
      <c r="W617" s="64">
        <f>Ringkasan!W10</f>
        <v>8100</v>
      </c>
      <c r="X617" s="64">
        <f>Ringkasan!X10</f>
        <v>8850</v>
      </c>
      <c r="Y617" s="64">
        <f>Ringkasan!Y10</f>
        <v>8050</v>
      </c>
      <c r="Z617" s="64">
        <f>Ringkasan!Z10</f>
        <v>21262200</v>
      </c>
      <c r="AA617" s="64" t="str">
        <f>Ringkasan!AA10</f>
        <v>Coal</v>
      </c>
      <c r="AB617" s="64" t="str">
        <f>Ringkasan!AB10</f>
        <v>Energy</v>
      </c>
    </row>
    <row r="618" hidden="1">
      <c r="A618" s="64" t="str">
        <f>Ringkasan!A617</f>
        <v>DSFI</v>
      </c>
      <c r="B618" s="64" t="str">
        <f>Ringkasan!B617</f>
        <v>Dharma Samudera Fishing Industries Tbk.</v>
      </c>
      <c r="C618" s="65">
        <f>Ringkasan!C617</f>
        <v>71</v>
      </c>
      <c r="D618" s="64" t="str">
        <f>Ringkasan!D617</f>
        <v>#N/A</v>
      </c>
      <c r="E618" s="64" t="str">
        <f>Ringkasan!E617</f>
        <v/>
      </c>
      <c r="F618" s="64" t="str">
        <f>Ringkasan!F617</f>
        <v/>
      </c>
      <c r="G618" s="64">
        <f>Ringkasan!G617</f>
        <v>0</v>
      </c>
      <c r="H618" s="19">
        <f>Ringkasan!H617</f>
        <v>7.1</v>
      </c>
      <c r="I618" s="19">
        <f>Ringkasan!I617</f>
        <v>0.5</v>
      </c>
      <c r="J618" s="19">
        <f>Ringkasan!J617</f>
        <v>7</v>
      </c>
      <c r="K618" s="19">
        <f>Ringkasan!K617</f>
        <v>4.2</v>
      </c>
      <c r="L618" s="19">
        <f>Ringkasan!L617</f>
        <v>0.68</v>
      </c>
      <c r="M618" s="19">
        <f>Ringkasan!M617</f>
        <v>11.2</v>
      </c>
      <c r="N618" s="64" t="str">
        <f>Ringkasan!N617</f>
        <v/>
      </c>
      <c r="O618" s="64" t="str">
        <f>Ringkasan!O617</f>
        <v/>
      </c>
      <c r="P618" s="64" t="str">
        <f>Ringkasan!P617</f>
        <v/>
      </c>
      <c r="Q618" s="64" t="str">
        <f>Ringkasan!Q617</f>
        <v/>
      </c>
      <c r="R618" s="64" t="str">
        <f>Ringkasan!R617</f>
        <v/>
      </c>
      <c r="S618" s="64" t="str">
        <f>Ringkasan!S617</f>
        <v/>
      </c>
      <c r="T618" s="64" t="str">
        <f>Ringkasan!T617</f>
        <v/>
      </c>
      <c r="U618" s="64">
        <f>Ringkasan!U617</f>
        <v>66</v>
      </c>
      <c r="V618" s="64">
        <f>Ringkasan!V617</f>
        <v>7.58</v>
      </c>
      <c r="W618" s="64">
        <f>Ringkasan!W617</f>
        <v>66</v>
      </c>
      <c r="X618" s="64">
        <f>Ringkasan!X617</f>
        <v>71</v>
      </c>
      <c r="Y618" s="64">
        <f>Ringkasan!Y617</f>
        <v>66</v>
      </c>
      <c r="Z618" s="64">
        <f>Ringkasan!Z617</f>
        <v>3060000</v>
      </c>
      <c r="AA618" s="64" t="str">
        <f>Ringkasan!AA617</f>
        <v>Agricultural Products</v>
      </c>
      <c r="AB618" s="64" t="str">
        <f>Ringkasan!AB617</f>
        <v>Consumer Non-Cyclicals</v>
      </c>
    </row>
    <row r="619" hidden="1">
      <c r="A619" s="64" t="str">
        <f>Ringkasan!A618</f>
        <v>DSNG</v>
      </c>
      <c r="B619" s="64" t="str">
        <f>Ringkasan!B618</f>
        <v>PT Dharma Satya Nusantara Tbk.</v>
      </c>
      <c r="C619" s="65">
        <f>Ringkasan!C618</f>
        <v>1145</v>
      </c>
      <c r="D619" s="64" t="str">
        <f>Ringkasan!D618</f>
        <v>#N/A</v>
      </c>
      <c r="E619" s="64" t="str">
        <f>Ringkasan!E618</f>
        <v>ESGQKEHATI</v>
      </c>
      <c r="F619" s="66">
        <f>Ringkasan!F618</f>
        <v>46356</v>
      </c>
      <c r="G619" s="65">
        <f>Ringkasan!G618</f>
        <v>12</v>
      </c>
      <c r="H619" s="19">
        <f>Ringkasan!H618</f>
        <v>6.6</v>
      </c>
      <c r="I619" s="19">
        <f>Ringkasan!I618</f>
        <v>1.1</v>
      </c>
      <c r="J619" s="19">
        <f>Ringkasan!J618</f>
        <v>15.8</v>
      </c>
      <c r="K619" s="19">
        <f>Ringkasan!K618</f>
        <v>10.7</v>
      </c>
      <c r="L619" s="19">
        <f>Ringkasan!L618</f>
        <v>0.47</v>
      </c>
      <c r="M619" s="19">
        <f>Ringkasan!M618</f>
        <v>65.9</v>
      </c>
      <c r="N619" s="64" t="str">
        <f>Ringkasan!N618</f>
        <v/>
      </c>
      <c r="O619" s="64" t="str">
        <f>Ringkasan!O618</f>
        <v/>
      </c>
      <c r="P619" s="64" t="str">
        <f>Ringkasan!P618</f>
        <v/>
      </c>
      <c r="Q619" s="64" t="str">
        <f>Ringkasan!Q618</f>
        <v/>
      </c>
      <c r="R619" s="64" t="str">
        <f>Ringkasan!R618</f>
        <v/>
      </c>
      <c r="S619" s="64" t="str">
        <f>Ringkasan!S618</f>
        <v/>
      </c>
      <c r="T619" s="64" t="str">
        <f>Ringkasan!T618</f>
        <v/>
      </c>
      <c r="U619" s="64">
        <f>Ringkasan!U618</f>
        <v>1095</v>
      </c>
      <c r="V619" s="64">
        <f>Ringkasan!V618</f>
        <v>4.57</v>
      </c>
      <c r="W619" s="64">
        <f>Ringkasan!W618</f>
        <v>1105</v>
      </c>
      <c r="X619" s="64">
        <f>Ringkasan!X618</f>
        <v>1170</v>
      </c>
      <c r="Y619" s="64">
        <f>Ringkasan!Y618</f>
        <v>1100</v>
      </c>
      <c r="Z619" s="64">
        <f>Ringkasan!Z618</f>
        <v>7343000</v>
      </c>
      <c r="AA619" s="64" t="str">
        <f>Ringkasan!AA618</f>
        <v>Agricultural Products</v>
      </c>
      <c r="AB619" s="64" t="str">
        <f>Ringkasan!AB618</f>
        <v>Consumer Non-Cyclicals</v>
      </c>
    </row>
    <row r="620" hidden="1">
      <c r="A620" s="64" t="str">
        <f>Ringkasan!A619</f>
        <v>DSNG</v>
      </c>
      <c r="B620" s="64" t="str">
        <f>Ringkasan!B619</f>
        <v>PT Dharma Satya Nusantara Tbk.</v>
      </c>
      <c r="C620" s="65">
        <f>Ringkasan!C619</f>
        <v>1145</v>
      </c>
      <c r="D620" s="64" t="str">
        <f>Ringkasan!D619</f>
        <v>#N/A</v>
      </c>
      <c r="E620" s="64" t="str">
        <f>Ringkasan!E619</f>
        <v>IDXSHAGROW</v>
      </c>
      <c r="F620" s="66">
        <f>Ringkasan!F619</f>
        <v>46356</v>
      </c>
      <c r="G620" s="65">
        <f>Ringkasan!G619</f>
        <v>12</v>
      </c>
      <c r="H620" s="19">
        <f>Ringkasan!H619</f>
        <v>6.6</v>
      </c>
      <c r="I620" s="19">
        <f>Ringkasan!I619</f>
        <v>1.1</v>
      </c>
      <c r="J620" s="19">
        <f>Ringkasan!J619</f>
        <v>15.8</v>
      </c>
      <c r="K620" s="19">
        <f>Ringkasan!K619</f>
        <v>10.7</v>
      </c>
      <c r="L620" s="19">
        <f>Ringkasan!L619</f>
        <v>0.47</v>
      </c>
      <c r="M620" s="19">
        <f>Ringkasan!M619</f>
        <v>65.9</v>
      </c>
      <c r="N620" s="64" t="str">
        <f>Ringkasan!N619</f>
        <v/>
      </c>
      <c r="O620" s="64" t="str">
        <f>Ringkasan!O619</f>
        <v/>
      </c>
      <c r="P620" s="64" t="str">
        <f>Ringkasan!P619</f>
        <v/>
      </c>
      <c r="Q620" s="64" t="str">
        <f>Ringkasan!Q619</f>
        <v/>
      </c>
      <c r="R620" s="64" t="str">
        <f>Ringkasan!R619</f>
        <v/>
      </c>
      <c r="S620" s="64" t="str">
        <f>Ringkasan!S619</f>
        <v/>
      </c>
      <c r="T620" s="64" t="str">
        <f>Ringkasan!T619</f>
        <v/>
      </c>
      <c r="U620" s="64">
        <f>Ringkasan!U619</f>
        <v>1095</v>
      </c>
      <c r="V620" s="64">
        <f>Ringkasan!V619</f>
        <v>4.57</v>
      </c>
      <c r="W620" s="64">
        <f>Ringkasan!W619</f>
        <v>1105</v>
      </c>
      <c r="X620" s="64">
        <f>Ringkasan!X619</f>
        <v>1170</v>
      </c>
      <c r="Y620" s="64">
        <f>Ringkasan!Y619</f>
        <v>1100</v>
      </c>
      <c r="Z620" s="64">
        <f>Ringkasan!Z619</f>
        <v>7343000</v>
      </c>
      <c r="AA620" s="64" t="str">
        <f>Ringkasan!AA619</f>
        <v>Agricultural Products</v>
      </c>
      <c r="AB620" s="64" t="str">
        <f>Ringkasan!AB619</f>
        <v>Consumer Non-Cyclicals</v>
      </c>
    </row>
    <row r="621" hidden="1">
      <c r="A621" s="64" t="str">
        <f>Ringkasan!A620</f>
        <v>DSNG</v>
      </c>
      <c r="B621" s="64" t="str">
        <f>Ringkasan!B620</f>
        <v>PT Dharma Satya Nusantara Tbk.</v>
      </c>
      <c r="C621" s="65">
        <f>Ringkasan!C620</f>
        <v>1145</v>
      </c>
      <c r="D621" s="64" t="str">
        <f>Ringkasan!D620</f>
        <v>#N/A</v>
      </c>
      <c r="E621" s="64" t="str">
        <f>Ringkasan!E620</f>
        <v>ESGSKEHATI</v>
      </c>
      <c r="F621" s="66">
        <f>Ringkasan!F620</f>
        <v>46356</v>
      </c>
      <c r="G621" s="65">
        <f>Ringkasan!G620</f>
        <v>12</v>
      </c>
      <c r="H621" s="19">
        <f>Ringkasan!H620</f>
        <v>6.6</v>
      </c>
      <c r="I621" s="19">
        <f>Ringkasan!I620</f>
        <v>1.1</v>
      </c>
      <c r="J621" s="19">
        <f>Ringkasan!J620</f>
        <v>15.8</v>
      </c>
      <c r="K621" s="19">
        <f>Ringkasan!K620</f>
        <v>10.7</v>
      </c>
      <c r="L621" s="19">
        <f>Ringkasan!L620</f>
        <v>0.47</v>
      </c>
      <c r="M621" s="19">
        <f>Ringkasan!M620</f>
        <v>65.9</v>
      </c>
      <c r="N621" s="64" t="str">
        <f>Ringkasan!N620</f>
        <v/>
      </c>
      <c r="O621" s="64" t="str">
        <f>Ringkasan!O620</f>
        <v/>
      </c>
      <c r="P621" s="64" t="str">
        <f>Ringkasan!P620</f>
        <v/>
      </c>
      <c r="Q621" s="64" t="str">
        <f>Ringkasan!Q620</f>
        <v/>
      </c>
      <c r="R621" s="64" t="str">
        <f>Ringkasan!R620</f>
        <v/>
      </c>
      <c r="S621" s="64" t="str">
        <f>Ringkasan!S620</f>
        <v/>
      </c>
      <c r="T621" s="64" t="str">
        <f>Ringkasan!T620</f>
        <v/>
      </c>
      <c r="U621" s="64">
        <f>Ringkasan!U620</f>
        <v>1095</v>
      </c>
      <c r="V621" s="64">
        <f>Ringkasan!V620</f>
        <v>4.57</v>
      </c>
      <c r="W621" s="64">
        <f>Ringkasan!W620</f>
        <v>1105</v>
      </c>
      <c r="X621" s="64">
        <f>Ringkasan!X620</f>
        <v>1170</v>
      </c>
      <c r="Y621" s="64">
        <f>Ringkasan!Y620</f>
        <v>1100</v>
      </c>
      <c r="Z621" s="64">
        <f>Ringkasan!Z620</f>
        <v>7343000</v>
      </c>
      <c r="AA621" s="64" t="str">
        <f>Ringkasan!AA620</f>
        <v>Agricultural Products</v>
      </c>
      <c r="AB621" s="64" t="str">
        <f>Ringkasan!AB620</f>
        <v>Consumer Non-Cyclicals</v>
      </c>
    </row>
    <row r="622" hidden="1">
      <c r="A622" s="64" t="str">
        <f>Ringkasan!A621</f>
        <v>DSNG</v>
      </c>
      <c r="B622" s="64" t="str">
        <f>Ringkasan!B621</f>
        <v>PT Dharma Satya Nusantara Tbk.</v>
      </c>
      <c r="C622" s="65">
        <f>Ringkasan!C621</f>
        <v>1145</v>
      </c>
      <c r="D622" s="64" t="str">
        <f>Ringkasan!D621</f>
        <v>#N/A</v>
      </c>
      <c r="E622" s="64" t="str">
        <f>Ringkasan!E621</f>
        <v>IDX80</v>
      </c>
      <c r="F622" s="64" t="str">
        <f>Ringkasan!F621</f>
        <v>31 Juli 2026</v>
      </c>
      <c r="G622" s="65">
        <f>Ringkasan!G621</f>
        <v>12</v>
      </c>
      <c r="H622" s="19">
        <f>Ringkasan!H621</f>
        <v>6.6</v>
      </c>
      <c r="I622" s="19">
        <f>Ringkasan!I621</f>
        <v>1.1</v>
      </c>
      <c r="J622" s="19">
        <f>Ringkasan!J621</f>
        <v>15.8</v>
      </c>
      <c r="K622" s="19">
        <f>Ringkasan!K621</f>
        <v>10.7</v>
      </c>
      <c r="L622" s="19">
        <f>Ringkasan!L621</f>
        <v>0.47</v>
      </c>
      <c r="M622" s="19">
        <f>Ringkasan!M621</f>
        <v>65.9</v>
      </c>
      <c r="N622" s="64" t="str">
        <f>Ringkasan!N621</f>
        <v/>
      </c>
      <c r="O622" s="64" t="str">
        <f>Ringkasan!O621</f>
        <v/>
      </c>
      <c r="P622" s="64" t="str">
        <f>Ringkasan!P621</f>
        <v/>
      </c>
      <c r="Q622" s="64" t="str">
        <f>Ringkasan!Q621</f>
        <v/>
      </c>
      <c r="R622" s="64" t="str">
        <f>Ringkasan!R621</f>
        <v/>
      </c>
      <c r="S622" s="64" t="str">
        <f>Ringkasan!S621</f>
        <v/>
      </c>
      <c r="T622" s="64" t="str">
        <f>Ringkasan!T621</f>
        <v/>
      </c>
      <c r="U622" s="64">
        <f>Ringkasan!U621</f>
        <v>1095</v>
      </c>
      <c r="V622" s="64">
        <f>Ringkasan!V621</f>
        <v>4.57</v>
      </c>
      <c r="W622" s="64">
        <f>Ringkasan!W621</f>
        <v>1105</v>
      </c>
      <c r="X622" s="64">
        <f>Ringkasan!X621</f>
        <v>1170</v>
      </c>
      <c r="Y622" s="64">
        <f>Ringkasan!Y621</f>
        <v>1100</v>
      </c>
      <c r="Z622" s="64">
        <f>Ringkasan!Z621</f>
        <v>7343000</v>
      </c>
      <c r="AA622" s="64" t="str">
        <f>Ringkasan!AA621</f>
        <v>Agricultural Products</v>
      </c>
      <c r="AB622" s="64" t="str">
        <f>Ringkasan!AB621</f>
        <v>Consumer Non-Cyclicals</v>
      </c>
    </row>
    <row r="623" hidden="1">
      <c r="A623" s="64" t="str">
        <f>Ringkasan!A622</f>
        <v>DSNG</v>
      </c>
      <c r="B623" s="64" t="str">
        <f>Ringkasan!B622</f>
        <v>PT Dharma Satya Nusantara Tbk.</v>
      </c>
      <c r="C623" s="65">
        <f>Ringkasan!C622</f>
        <v>1145</v>
      </c>
      <c r="D623" s="64" t="str">
        <f>Ringkasan!D622</f>
        <v>#N/A</v>
      </c>
      <c r="E623" s="64" t="str">
        <f>Ringkasan!E622</f>
        <v>IDXVESTA28</v>
      </c>
      <c r="F623" s="64" t="str">
        <f>Ringkasan!F622</f>
        <v>31 Agustus 2026</v>
      </c>
      <c r="G623" s="65">
        <f>Ringkasan!G622</f>
        <v>12</v>
      </c>
      <c r="H623" s="19">
        <f>Ringkasan!H622</f>
        <v>6.6</v>
      </c>
      <c r="I623" s="19">
        <f>Ringkasan!I622</f>
        <v>1.1</v>
      </c>
      <c r="J623" s="19">
        <f>Ringkasan!J622</f>
        <v>15.8</v>
      </c>
      <c r="K623" s="19">
        <f>Ringkasan!K622</f>
        <v>10.7</v>
      </c>
      <c r="L623" s="19">
        <f>Ringkasan!L622</f>
        <v>0.47</v>
      </c>
      <c r="M623" s="19">
        <f>Ringkasan!M622</f>
        <v>65.9</v>
      </c>
      <c r="N623" s="64" t="str">
        <f>Ringkasan!N622</f>
        <v/>
      </c>
      <c r="O623" s="64" t="str">
        <f>Ringkasan!O622</f>
        <v/>
      </c>
      <c r="P623" s="64" t="str">
        <f>Ringkasan!P622</f>
        <v/>
      </c>
      <c r="Q623" s="64" t="str">
        <f>Ringkasan!Q622</f>
        <v/>
      </c>
      <c r="R623" s="64" t="str">
        <f>Ringkasan!R622</f>
        <v/>
      </c>
      <c r="S623" s="64" t="str">
        <f>Ringkasan!S622</f>
        <v/>
      </c>
      <c r="T623" s="64" t="str">
        <f>Ringkasan!T622</f>
        <v/>
      </c>
      <c r="U623" s="64">
        <f>Ringkasan!U622</f>
        <v>1095</v>
      </c>
      <c r="V623" s="64">
        <f>Ringkasan!V622</f>
        <v>4.57</v>
      </c>
      <c r="W623" s="64">
        <f>Ringkasan!W622</f>
        <v>1105</v>
      </c>
      <c r="X623" s="64">
        <f>Ringkasan!X622</f>
        <v>1170</v>
      </c>
      <c r="Y623" s="64">
        <f>Ringkasan!Y622</f>
        <v>1100</v>
      </c>
      <c r="Z623" s="64">
        <f>Ringkasan!Z622</f>
        <v>7343000</v>
      </c>
      <c r="AA623" s="64" t="str">
        <f>Ringkasan!AA622</f>
        <v>Agricultural Products</v>
      </c>
      <c r="AB623" s="64" t="str">
        <f>Ringkasan!AB622</f>
        <v>Consumer Non-Cyclicals</v>
      </c>
    </row>
    <row r="624" hidden="1">
      <c r="A624" s="64" t="str">
        <f>Ringkasan!A623</f>
        <v>DSNG</v>
      </c>
      <c r="B624" s="64" t="str">
        <f>Ringkasan!B623</f>
        <v>PT Dharma Satya Nusantara Tbk.</v>
      </c>
      <c r="C624" s="65">
        <f>Ringkasan!C623</f>
        <v>1145</v>
      </c>
      <c r="D624" s="64" t="str">
        <f>Ringkasan!D623</f>
        <v>#N/A</v>
      </c>
      <c r="E624" s="64" t="str">
        <f>Ringkasan!E623</f>
        <v>Kompas100</v>
      </c>
      <c r="F624" s="64" t="str">
        <f>Ringkasan!F623</f>
        <v>31 Juli 2026</v>
      </c>
      <c r="G624" s="65">
        <f>Ringkasan!G623</f>
        <v>12</v>
      </c>
      <c r="H624" s="19">
        <f>Ringkasan!H623</f>
        <v>6.6</v>
      </c>
      <c r="I624" s="19">
        <f>Ringkasan!I623</f>
        <v>1.1</v>
      </c>
      <c r="J624" s="19">
        <f>Ringkasan!J623</f>
        <v>15.8</v>
      </c>
      <c r="K624" s="19">
        <f>Ringkasan!K623</f>
        <v>10.7</v>
      </c>
      <c r="L624" s="19">
        <f>Ringkasan!L623</f>
        <v>0.47</v>
      </c>
      <c r="M624" s="19">
        <f>Ringkasan!M623</f>
        <v>65.9</v>
      </c>
      <c r="N624" s="64" t="str">
        <f>Ringkasan!N623</f>
        <v/>
      </c>
      <c r="O624" s="64" t="str">
        <f>Ringkasan!O623</f>
        <v/>
      </c>
      <c r="P624" s="64" t="str">
        <f>Ringkasan!P623</f>
        <v/>
      </c>
      <c r="Q624" s="64" t="str">
        <f>Ringkasan!Q623</f>
        <v/>
      </c>
      <c r="R624" s="64" t="str">
        <f>Ringkasan!R623</f>
        <v/>
      </c>
      <c r="S624" s="64" t="str">
        <f>Ringkasan!S623</f>
        <v/>
      </c>
      <c r="T624" s="64" t="str">
        <f>Ringkasan!T623</f>
        <v/>
      </c>
      <c r="U624" s="64">
        <f>Ringkasan!U623</f>
        <v>1095</v>
      </c>
      <c r="V624" s="64">
        <f>Ringkasan!V623</f>
        <v>4.57</v>
      </c>
      <c r="W624" s="64">
        <f>Ringkasan!W623</f>
        <v>1105</v>
      </c>
      <c r="X624" s="64">
        <f>Ringkasan!X623</f>
        <v>1170</v>
      </c>
      <c r="Y624" s="64">
        <f>Ringkasan!Y623</f>
        <v>1100</v>
      </c>
      <c r="Z624" s="64">
        <f>Ringkasan!Z623</f>
        <v>7343000</v>
      </c>
      <c r="AA624" s="64" t="str">
        <f>Ringkasan!AA623</f>
        <v>Agricultural Products</v>
      </c>
      <c r="AB624" s="64" t="str">
        <f>Ringkasan!AB623</f>
        <v>Consumer Non-Cyclicals</v>
      </c>
    </row>
    <row r="625" hidden="1">
      <c r="A625" s="64" t="str">
        <f>Ringkasan!A624</f>
        <v>DSNG</v>
      </c>
      <c r="B625" s="64" t="str">
        <f>Ringkasan!B624</f>
        <v>PT Dharma Satya Nusantara Tbk.</v>
      </c>
      <c r="C625" s="65">
        <f>Ringkasan!C624</f>
        <v>1145</v>
      </c>
      <c r="D625" s="64" t="str">
        <f>Ringkasan!D624</f>
        <v>#N/A</v>
      </c>
      <c r="E625" s="64" t="str">
        <f>Ringkasan!E624</f>
        <v>IDXG30</v>
      </c>
      <c r="F625" s="64" t="str">
        <f>Ringkasan!F624</f>
        <v>4 Agustus 2026</v>
      </c>
      <c r="G625" s="65">
        <f>Ringkasan!G624</f>
        <v>12</v>
      </c>
      <c r="H625" s="19">
        <f>Ringkasan!H624</f>
        <v>6.6</v>
      </c>
      <c r="I625" s="19">
        <f>Ringkasan!I624</f>
        <v>1.1</v>
      </c>
      <c r="J625" s="19">
        <f>Ringkasan!J624</f>
        <v>15.8</v>
      </c>
      <c r="K625" s="19">
        <f>Ringkasan!K624</f>
        <v>10.7</v>
      </c>
      <c r="L625" s="19">
        <f>Ringkasan!L624</f>
        <v>0.47</v>
      </c>
      <c r="M625" s="19">
        <f>Ringkasan!M624</f>
        <v>65.9</v>
      </c>
      <c r="N625" s="64" t="str">
        <f>Ringkasan!N624</f>
        <v/>
      </c>
      <c r="O625" s="64" t="str">
        <f>Ringkasan!O624</f>
        <v/>
      </c>
      <c r="P625" s="64" t="str">
        <f>Ringkasan!P624</f>
        <v/>
      </c>
      <c r="Q625" s="64" t="str">
        <f>Ringkasan!Q624</f>
        <v/>
      </c>
      <c r="R625" s="64" t="str">
        <f>Ringkasan!R624</f>
        <v/>
      </c>
      <c r="S625" s="64" t="str">
        <f>Ringkasan!S624</f>
        <v/>
      </c>
      <c r="T625" s="64" t="str">
        <f>Ringkasan!T624</f>
        <v/>
      </c>
      <c r="U625" s="64">
        <f>Ringkasan!U624</f>
        <v>1095</v>
      </c>
      <c r="V625" s="64">
        <f>Ringkasan!V624</f>
        <v>4.57</v>
      </c>
      <c r="W625" s="64">
        <f>Ringkasan!W624</f>
        <v>1105</v>
      </c>
      <c r="X625" s="64">
        <f>Ringkasan!X624</f>
        <v>1170</v>
      </c>
      <c r="Y625" s="64">
        <f>Ringkasan!Y624</f>
        <v>1100</v>
      </c>
      <c r="Z625" s="64">
        <f>Ringkasan!Z624</f>
        <v>7343000</v>
      </c>
      <c r="AA625" s="64" t="str">
        <f>Ringkasan!AA624</f>
        <v>Agricultural Products</v>
      </c>
      <c r="AB625" s="64" t="str">
        <f>Ringkasan!AB624</f>
        <v>Consumer Non-Cyclicals</v>
      </c>
    </row>
    <row r="626" hidden="1">
      <c r="A626" s="64" t="str">
        <f>Ringkasan!A625</f>
        <v>DSNG</v>
      </c>
      <c r="B626" s="64" t="str">
        <f>Ringkasan!B625</f>
        <v>PT Dharma Satya Nusantara Tbk.</v>
      </c>
      <c r="C626" s="65">
        <f>Ringkasan!C625</f>
        <v>1145</v>
      </c>
      <c r="D626" s="64" t="str">
        <f>Ringkasan!D625</f>
        <v>#N/A</v>
      </c>
      <c r="E626" s="64" t="str">
        <f>Ringkasan!E625</f>
        <v>IDXQ30</v>
      </c>
      <c r="F626" s="64" t="str">
        <f>Ringkasan!F625</f>
        <v>4 Agustus 2026</v>
      </c>
      <c r="G626" s="65">
        <f>Ringkasan!G625</f>
        <v>12</v>
      </c>
      <c r="H626" s="19">
        <f>Ringkasan!H625</f>
        <v>6.6</v>
      </c>
      <c r="I626" s="19">
        <f>Ringkasan!I625</f>
        <v>1.1</v>
      </c>
      <c r="J626" s="19">
        <f>Ringkasan!J625</f>
        <v>15.8</v>
      </c>
      <c r="K626" s="19">
        <f>Ringkasan!K625</f>
        <v>10.7</v>
      </c>
      <c r="L626" s="19">
        <f>Ringkasan!L625</f>
        <v>0.47</v>
      </c>
      <c r="M626" s="19">
        <f>Ringkasan!M625</f>
        <v>65.9</v>
      </c>
      <c r="N626" s="64" t="str">
        <f>Ringkasan!N625</f>
        <v/>
      </c>
      <c r="O626" s="64" t="str">
        <f>Ringkasan!O625</f>
        <v/>
      </c>
      <c r="P626" s="64" t="str">
        <f>Ringkasan!P625</f>
        <v/>
      </c>
      <c r="Q626" s="64" t="str">
        <f>Ringkasan!Q625</f>
        <v/>
      </c>
      <c r="R626" s="64" t="str">
        <f>Ringkasan!R625</f>
        <v/>
      </c>
      <c r="S626" s="64" t="str">
        <f>Ringkasan!S625</f>
        <v/>
      </c>
      <c r="T626" s="64" t="str">
        <f>Ringkasan!T625</f>
        <v/>
      </c>
      <c r="U626" s="64">
        <f>Ringkasan!U625</f>
        <v>1095</v>
      </c>
      <c r="V626" s="64">
        <f>Ringkasan!V625</f>
        <v>4.57</v>
      </c>
      <c r="W626" s="64">
        <f>Ringkasan!W625</f>
        <v>1105</v>
      </c>
      <c r="X626" s="64">
        <f>Ringkasan!X625</f>
        <v>1170</v>
      </c>
      <c r="Y626" s="64">
        <f>Ringkasan!Y625</f>
        <v>1100</v>
      </c>
      <c r="Z626" s="64">
        <f>Ringkasan!Z625</f>
        <v>7343000</v>
      </c>
      <c r="AA626" s="64" t="str">
        <f>Ringkasan!AA625</f>
        <v>Agricultural Products</v>
      </c>
      <c r="AB626" s="64" t="str">
        <f>Ringkasan!AB625</f>
        <v>Consumer Non-Cyclicals</v>
      </c>
    </row>
    <row r="627" hidden="1">
      <c r="A627" s="64" t="str">
        <f>Ringkasan!A626</f>
        <v>DSNG</v>
      </c>
      <c r="B627" s="64" t="str">
        <f>Ringkasan!B626</f>
        <v>PT Dharma Satya Nusantara Tbk.</v>
      </c>
      <c r="C627" s="65">
        <f>Ringkasan!C626</f>
        <v>1145</v>
      </c>
      <c r="D627" s="64" t="str">
        <f>Ringkasan!D626</f>
        <v>#N/A</v>
      </c>
      <c r="E627" s="64" t="str">
        <f>Ringkasan!E626</f>
        <v>IDXV30</v>
      </c>
      <c r="F627" s="64" t="str">
        <f>Ringkasan!F626</f>
        <v>4 Agustus 2026</v>
      </c>
      <c r="G627" s="65">
        <f>Ringkasan!G626</f>
        <v>12</v>
      </c>
      <c r="H627" s="19">
        <f>Ringkasan!H626</f>
        <v>6.6</v>
      </c>
      <c r="I627" s="19">
        <f>Ringkasan!I626</f>
        <v>1.1</v>
      </c>
      <c r="J627" s="19">
        <f>Ringkasan!J626</f>
        <v>15.8</v>
      </c>
      <c r="K627" s="19">
        <f>Ringkasan!K626</f>
        <v>10.7</v>
      </c>
      <c r="L627" s="19">
        <f>Ringkasan!L626</f>
        <v>0.47</v>
      </c>
      <c r="M627" s="19">
        <f>Ringkasan!M626</f>
        <v>65.9</v>
      </c>
      <c r="N627" s="64" t="str">
        <f>Ringkasan!N626</f>
        <v/>
      </c>
      <c r="O627" s="64" t="str">
        <f>Ringkasan!O626</f>
        <v/>
      </c>
      <c r="P627" s="64" t="str">
        <f>Ringkasan!P626</f>
        <v/>
      </c>
      <c r="Q627" s="64" t="str">
        <f>Ringkasan!Q626</f>
        <v/>
      </c>
      <c r="R627" s="64" t="str">
        <f>Ringkasan!R626</f>
        <v/>
      </c>
      <c r="S627" s="64" t="str">
        <f>Ringkasan!S626</f>
        <v/>
      </c>
      <c r="T627" s="64" t="str">
        <f>Ringkasan!T626</f>
        <v/>
      </c>
      <c r="U627" s="64">
        <f>Ringkasan!U626</f>
        <v>1095</v>
      </c>
      <c r="V627" s="64">
        <f>Ringkasan!V626</f>
        <v>4.57</v>
      </c>
      <c r="W627" s="64">
        <f>Ringkasan!W626</f>
        <v>1105</v>
      </c>
      <c r="X627" s="64">
        <f>Ringkasan!X626</f>
        <v>1170</v>
      </c>
      <c r="Y627" s="64">
        <f>Ringkasan!Y626</f>
        <v>1100</v>
      </c>
      <c r="Z627" s="64">
        <f>Ringkasan!Z626</f>
        <v>7343000</v>
      </c>
      <c r="AA627" s="64" t="str">
        <f>Ringkasan!AA626</f>
        <v>Agricultural Products</v>
      </c>
      <c r="AB627" s="64" t="str">
        <f>Ringkasan!AB626</f>
        <v>Consumer Non-Cyclicals</v>
      </c>
    </row>
    <row r="628" hidden="1">
      <c r="A628" s="64" t="str">
        <f>Ringkasan!A37</f>
        <v>ADMR</v>
      </c>
      <c r="B628" s="64" t="str">
        <f>Ringkasan!B37</f>
        <v>Alamtri Minerals Indonesia Tbk.</v>
      </c>
      <c r="C628" s="65">
        <f>Ringkasan!C37</f>
        <v>1575</v>
      </c>
      <c r="D628" s="64" t="str">
        <f>Ringkasan!D37</f>
        <v>#N/A</v>
      </c>
      <c r="E628" s="64" t="str">
        <f>Ringkasan!E37</f>
        <v>IDX80</v>
      </c>
      <c r="F628" s="64" t="str">
        <f>Ringkasan!F37</f>
        <v>31 Juli 2026</v>
      </c>
      <c r="G628" s="64">
        <f>Ringkasan!G37</f>
        <v>9</v>
      </c>
      <c r="H628" s="19">
        <f>Ringkasan!H37</f>
        <v>12.6</v>
      </c>
      <c r="I628" s="19">
        <f>Ringkasan!I37</f>
        <v>2</v>
      </c>
      <c r="J628" s="19">
        <f>Ringkasan!J37</f>
        <v>16.2</v>
      </c>
      <c r="K628" s="19">
        <f>Ringkasan!K37</f>
        <v>9.1</v>
      </c>
      <c r="L628" s="19">
        <f>Ringkasan!L37</f>
        <v>0.78</v>
      </c>
      <c r="M628" s="19">
        <f>Ringkasan!M37</f>
        <v>110</v>
      </c>
      <c r="N628" s="64" t="str">
        <f>Ringkasan!N37</f>
        <v/>
      </c>
      <c r="O628" s="64" t="str">
        <f>Ringkasan!O37</f>
        <v/>
      </c>
      <c r="P628" s="64" t="str">
        <f>Ringkasan!P37</f>
        <v/>
      </c>
      <c r="Q628" s="64" t="str">
        <f>Ringkasan!Q37</f>
        <v/>
      </c>
      <c r="R628" s="64" t="str">
        <f>Ringkasan!R37</f>
        <v/>
      </c>
      <c r="S628" s="64" t="str">
        <f>Ringkasan!S37</f>
        <v/>
      </c>
      <c r="T628" s="64" t="str">
        <f>Ringkasan!T37</f>
        <v/>
      </c>
      <c r="U628" s="64">
        <f>Ringkasan!U37</f>
        <v>1465</v>
      </c>
      <c r="V628" s="64">
        <f>Ringkasan!V37</f>
        <v>7.51</v>
      </c>
      <c r="W628" s="64">
        <f>Ringkasan!W37</f>
        <v>1495</v>
      </c>
      <c r="X628" s="64">
        <f>Ringkasan!X37</f>
        <v>1640</v>
      </c>
      <c r="Y628" s="64">
        <f>Ringkasan!Y37</f>
        <v>1485</v>
      </c>
      <c r="Z628" s="64">
        <f>Ringkasan!Z37</f>
        <v>43266800</v>
      </c>
      <c r="AA628" s="64" t="str">
        <f>Ringkasan!AA37</f>
        <v>Coal</v>
      </c>
      <c r="AB628" s="64" t="str">
        <f>Ringkasan!AB37</f>
        <v>Energy</v>
      </c>
    </row>
    <row r="629" hidden="1">
      <c r="A629" s="64" t="str">
        <f>Ringkasan!A628</f>
        <v>DSNG</v>
      </c>
      <c r="B629" s="64" t="str">
        <f>Ringkasan!B628</f>
        <v>PT Dharma Satya Nusantara Tbk.</v>
      </c>
      <c r="C629" s="65">
        <f>Ringkasan!C628</f>
        <v>1145</v>
      </c>
      <c r="D629" s="64" t="str">
        <f>Ringkasan!D628</f>
        <v>#N/A</v>
      </c>
      <c r="E629" s="64" t="str">
        <f>Ringkasan!E628</f>
        <v>SRI-KEHATI</v>
      </c>
      <c r="F629" s="66">
        <f>Ringkasan!F628</f>
        <v>46356</v>
      </c>
      <c r="G629" s="65">
        <f>Ringkasan!G628</f>
        <v>12</v>
      </c>
      <c r="H629" s="19">
        <f>Ringkasan!H628</f>
        <v>6.6</v>
      </c>
      <c r="I629" s="19">
        <f>Ringkasan!I628</f>
        <v>1.1</v>
      </c>
      <c r="J629" s="19">
        <f>Ringkasan!J628</f>
        <v>15.8</v>
      </c>
      <c r="K629" s="19">
        <f>Ringkasan!K628</f>
        <v>10.7</v>
      </c>
      <c r="L629" s="19">
        <f>Ringkasan!L628</f>
        <v>0.47</v>
      </c>
      <c r="M629" s="19">
        <f>Ringkasan!M628</f>
        <v>65.9</v>
      </c>
      <c r="N629" s="64" t="str">
        <f>Ringkasan!N628</f>
        <v/>
      </c>
      <c r="O629" s="64" t="str">
        <f>Ringkasan!O628</f>
        <v/>
      </c>
      <c r="P629" s="64" t="str">
        <f>Ringkasan!P628</f>
        <v/>
      </c>
      <c r="Q629" s="64" t="str">
        <f>Ringkasan!Q628</f>
        <v/>
      </c>
      <c r="R629" s="64" t="str">
        <f>Ringkasan!R628</f>
        <v/>
      </c>
      <c r="S629" s="64" t="str">
        <f>Ringkasan!S628</f>
        <v/>
      </c>
      <c r="T629" s="64" t="str">
        <f>Ringkasan!T628</f>
        <v/>
      </c>
      <c r="U629" s="64">
        <f>Ringkasan!U628</f>
        <v>1095</v>
      </c>
      <c r="V629" s="64">
        <f>Ringkasan!V628</f>
        <v>4.57</v>
      </c>
      <c r="W629" s="64">
        <f>Ringkasan!W628</f>
        <v>1105</v>
      </c>
      <c r="X629" s="64">
        <f>Ringkasan!X628</f>
        <v>1170</v>
      </c>
      <c r="Y629" s="64">
        <f>Ringkasan!Y628</f>
        <v>1100</v>
      </c>
      <c r="Z629" s="64">
        <f>Ringkasan!Z628</f>
        <v>7343000</v>
      </c>
      <c r="AA629" s="64" t="str">
        <f>Ringkasan!AA628</f>
        <v>Agricultural Products</v>
      </c>
      <c r="AB629" s="64" t="str">
        <f>Ringkasan!AB628</f>
        <v>Consumer Non-Cyclicals</v>
      </c>
    </row>
    <row r="630" hidden="1">
      <c r="A630" s="64" t="str">
        <f>Ringkasan!A72</f>
        <v>AKRA</v>
      </c>
      <c r="B630" s="64" t="str">
        <f>Ringkasan!B72</f>
        <v>AKR Corporindo Tbk.</v>
      </c>
      <c r="C630" s="65">
        <f>Ringkasan!C72</f>
        <v>1250</v>
      </c>
      <c r="D630" s="64" t="str">
        <f>Ringkasan!D72</f>
        <v>#N/A</v>
      </c>
      <c r="E630" s="64" t="str">
        <f>Ringkasan!E72</f>
        <v>MNC36</v>
      </c>
      <c r="F630" s="64" t="str">
        <f>Ringkasan!F72</f>
        <v>30 Oktober 2026</v>
      </c>
      <c r="G630" s="65">
        <f>Ringkasan!G72</f>
        <v>16</v>
      </c>
      <c r="H630" s="19">
        <f>Ringkasan!H72</f>
        <v>9.7</v>
      </c>
      <c r="I630" s="19">
        <f>Ringkasan!I72</f>
        <v>1.5</v>
      </c>
      <c r="J630" s="19">
        <f>Ringkasan!J72</f>
        <v>15.8</v>
      </c>
      <c r="K630" s="19">
        <f>Ringkasan!K72</f>
        <v>6.9</v>
      </c>
      <c r="L630" s="19">
        <f>Ringkasan!L72</f>
        <v>1.3</v>
      </c>
      <c r="M630" s="19">
        <f>Ringkasan!M72</f>
        <v>19.8</v>
      </c>
      <c r="N630" s="64" t="str">
        <f>Ringkasan!N72</f>
        <v/>
      </c>
      <c r="O630" s="64" t="str">
        <f>Ringkasan!O72</f>
        <v/>
      </c>
      <c r="P630" s="64" t="str">
        <f>Ringkasan!P72</f>
        <v/>
      </c>
      <c r="Q630" s="64" t="str">
        <f>Ringkasan!Q72</f>
        <v/>
      </c>
      <c r="R630" s="64" t="str">
        <f>Ringkasan!R72</f>
        <v/>
      </c>
      <c r="S630" s="64" t="str">
        <f>Ringkasan!S72</f>
        <v/>
      </c>
      <c r="T630" s="64" t="str">
        <f>Ringkasan!T72</f>
        <v/>
      </c>
      <c r="U630" s="64">
        <f>Ringkasan!U72</f>
        <v>1265</v>
      </c>
      <c r="V630" s="64">
        <f>Ringkasan!V72</f>
        <v>-1.19</v>
      </c>
      <c r="W630" s="64">
        <f>Ringkasan!W72</f>
        <v>1280</v>
      </c>
      <c r="X630" s="64">
        <f>Ringkasan!X72</f>
        <v>1315</v>
      </c>
      <c r="Y630" s="64">
        <f>Ringkasan!Y72</f>
        <v>1250</v>
      </c>
      <c r="Z630" s="64">
        <f>Ringkasan!Z72</f>
        <v>21209100</v>
      </c>
      <c r="AA630" s="64" t="str">
        <f>Ringkasan!AA72</f>
        <v>Oil &amp; Gas</v>
      </c>
      <c r="AB630" s="64" t="str">
        <f>Ringkasan!AB72</f>
        <v>Energy</v>
      </c>
    </row>
    <row r="631" hidden="1">
      <c r="A631" s="64" t="str">
        <f>Ringkasan!A630</f>
        <v>DSSA</v>
      </c>
      <c r="B631" s="64" t="str">
        <f>Ringkasan!B630</f>
        <v>Dian Swastatika Sentosa Tbk</v>
      </c>
      <c r="C631" s="65">
        <f>Ringkasan!C630</f>
        <v>825</v>
      </c>
      <c r="D631" s="64" t="str">
        <f>Ringkasan!D630</f>
        <v>#N/A</v>
      </c>
      <c r="E631" s="64" t="str">
        <f>Ringkasan!E630</f>
        <v>Kompas100</v>
      </c>
      <c r="F631" s="64" t="str">
        <f>Ringkasan!F630</f>
        <v>31 Juli 2026</v>
      </c>
      <c r="G631" s="64">
        <f>Ringkasan!G630</f>
        <v>2</v>
      </c>
      <c r="H631" s="19">
        <f>Ringkasan!H630</f>
        <v>24.5</v>
      </c>
      <c r="I631" s="19">
        <f>Ringkasan!I630</f>
        <v>2.5</v>
      </c>
      <c r="J631" s="19">
        <f>Ringkasan!J630</f>
        <v>10.2</v>
      </c>
      <c r="K631" s="19">
        <f>Ringkasan!K630</f>
        <v>5.2</v>
      </c>
      <c r="L631" s="19">
        <f>Ringkasan!L630</f>
        <v>0.95</v>
      </c>
      <c r="M631" s="19">
        <f>Ringkasan!M630</f>
        <v>8.3</v>
      </c>
      <c r="N631" s="64" t="str">
        <f>Ringkasan!N630</f>
        <v/>
      </c>
      <c r="O631" s="64" t="str">
        <f>Ringkasan!O630</f>
        <v/>
      </c>
      <c r="P631" s="64" t="str">
        <f>Ringkasan!P630</f>
        <v/>
      </c>
      <c r="Q631" s="64" t="str">
        <f>Ringkasan!Q630</f>
        <v/>
      </c>
      <c r="R631" s="64" t="str">
        <f>Ringkasan!R630</f>
        <v/>
      </c>
      <c r="S631" s="64" t="str">
        <f>Ringkasan!S630</f>
        <v/>
      </c>
      <c r="T631" s="64" t="str">
        <f>Ringkasan!T630</f>
        <v/>
      </c>
      <c r="U631" s="64">
        <f>Ringkasan!U630</f>
        <v>730</v>
      </c>
      <c r="V631" s="64">
        <f>Ringkasan!V630</f>
        <v>13.01</v>
      </c>
      <c r="W631" s="64" t="str">
        <f>Ringkasan!W630</f>
        <v/>
      </c>
      <c r="X631" s="64">
        <f>Ringkasan!X630</f>
        <v>850</v>
      </c>
      <c r="Y631" s="64">
        <f>Ringkasan!Y630</f>
        <v>750</v>
      </c>
      <c r="Z631" s="64">
        <f>Ringkasan!Z630</f>
        <v>1360516800</v>
      </c>
      <c r="AA631" s="64" t="str">
        <f>Ringkasan!AA630</f>
        <v>Coal</v>
      </c>
      <c r="AB631" s="64" t="str">
        <f>Ringkasan!AB630</f>
        <v>Energy</v>
      </c>
    </row>
    <row r="632" hidden="1">
      <c r="A632" s="64" t="str">
        <f>Ringkasan!A116</f>
        <v>ANTM</v>
      </c>
      <c r="B632" s="64" t="str">
        <f>Ringkasan!B116</f>
        <v>Aneka Tambang Tbk.</v>
      </c>
      <c r="C632" s="65">
        <f>Ringkasan!C116</f>
        <v>2850</v>
      </c>
      <c r="D632" s="64" t="str">
        <f>Ringkasan!D116</f>
        <v>#N/A</v>
      </c>
      <c r="E632" s="64" t="str">
        <f>Ringkasan!E116</f>
        <v>IDX80</v>
      </c>
      <c r="F632" s="64" t="str">
        <f>Ringkasan!F116</f>
        <v>31 Juli 2026</v>
      </c>
      <c r="G632" s="65">
        <f>Ringkasan!G116</f>
        <v>19</v>
      </c>
      <c r="H632" s="19">
        <f>Ringkasan!H116</f>
        <v>8.2</v>
      </c>
      <c r="I632" s="19">
        <f>Ringkasan!I116</f>
        <v>1.7</v>
      </c>
      <c r="J632" s="19">
        <f>Ringkasan!J116</f>
        <v>21</v>
      </c>
      <c r="K632" s="19">
        <f>Ringkasan!K116</f>
        <v>13.4</v>
      </c>
      <c r="L632" s="19">
        <f>Ringkasan!L116</f>
        <v>0.57</v>
      </c>
      <c r="M632" s="19">
        <f>Ringkasan!M116</f>
        <v>28.9</v>
      </c>
      <c r="N632" s="64" t="str">
        <f>Ringkasan!N116</f>
        <v/>
      </c>
      <c r="O632" s="64" t="str">
        <f>Ringkasan!O116</f>
        <v/>
      </c>
      <c r="P632" s="64" t="str">
        <f>Ringkasan!P116</f>
        <v/>
      </c>
      <c r="Q632" s="64" t="str">
        <f>Ringkasan!Q116</f>
        <v/>
      </c>
      <c r="R632" s="64" t="str">
        <f>Ringkasan!R116</f>
        <v/>
      </c>
      <c r="S632" s="64" t="str">
        <f>Ringkasan!S116</f>
        <v/>
      </c>
      <c r="T632" s="64" t="str">
        <f>Ringkasan!T116</f>
        <v/>
      </c>
      <c r="U632" s="64">
        <f>Ringkasan!U116</f>
        <v>2720</v>
      </c>
      <c r="V632" s="64">
        <f>Ringkasan!V116</f>
        <v>4.78</v>
      </c>
      <c r="W632" s="64">
        <f>Ringkasan!W116</f>
        <v>2800</v>
      </c>
      <c r="X632" s="64">
        <f>Ringkasan!X116</f>
        <v>2910</v>
      </c>
      <c r="Y632" s="64">
        <f>Ringkasan!Y116</f>
        <v>2760</v>
      </c>
      <c r="Z632" s="64">
        <f>Ringkasan!Z116</f>
        <v>174808500</v>
      </c>
      <c r="AA632" s="64" t="str">
        <f>Ringkasan!AA116</f>
        <v>Metals &amp; Minerals</v>
      </c>
      <c r="AB632" s="64" t="str">
        <f>Ringkasan!AB116</f>
        <v>Basic Materials</v>
      </c>
    </row>
    <row r="633" hidden="1">
      <c r="A633" s="64" t="str">
        <f>Ringkasan!A632</f>
        <v>DUCK</v>
      </c>
      <c r="B633" s="64" t="str">
        <f>Ringkasan!B632</f>
        <v>Jaya Bersama Indo Tbk.</v>
      </c>
      <c r="C633" s="65">
        <f>Ringkasan!C632</f>
        <v>176</v>
      </c>
      <c r="D633" s="64" t="str">
        <f>Ringkasan!D632</f>
        <v>#N/A</v>
      </c>
      <c r="E633" s="64" t="str">
        <f>Ringkasan!E632</f>
        <v/>
      </c>
      <c r="F633" s="64" t="str">
        <f>Ringkasan!F632</f>
        <v/>
      </c>
      <c r="G633" s="64">
        <f>Ringkasan!G632</f>
        <v>0</v>
      </c>
      <c r="H633" s="19">
        <f>Ringkasan!H632</f>
        <v>0</v>
      </c>
      <c r="I633" s="19">
        <f>Ringkasan!I632</f>
        <v>0.24</v>
      </c>
      <c r="J633" s="19">
        <f>Ringkasan!J632</f>
        <v>4.5</v>
      </c>
      <c r="K633" s="19">
        <f>Ringkasan!K632</f>
        <v>3.1</v>
      </c>
      <c r="L633" s="19">
        <f>Ringkasan!L632</f>
        <v>0.46</v>
      </c>
      <c r="M633" s="19">
        <f>Ringkasan!M632</f>
        <v>22.9</v>
      </c>
      <c r="N633" s="64" t="str">
        <f>Ringkasan!N632</f>
        <v/>
      </c>
      <c r="O633" s="64" t="str">
        <f>Ringkasan!O632</f>
        <v/>
      </c>
      <c r="P633" s="64" t="str">
        <f>Ringkasan!P632</f>
        <v/>
      </c>
      <c r="Q633" s="64" t="str">
        <f>Ringkasan!Q632</f>
        <v/>
      </c>
      <c r="R633" s="64" t="str">
        <f>Ringkasan!R632</f>
        <v/>
      </c>
      <c r="S633" s="64" t="str">
        <f>Ringkasan!S632</f>
        <v/>
      </c>
      <c r="T633" s="64" t="str">
        <f>Ringkasan!T632</f>
        <v/>
      </c>
      <c r="U633" s="64">
        <f>Ringkasan!U632</f>
        <v>176</v>
      </c>
      <c r="V633" s="64">
        <f>Ringkasan!V632</f>
        <v>0</v>
      </c>
      <c r="W633" s="64" t="str">
        <f>Ringkasan!W632</f>
        <v/>
      </c>
      <c r="X633" s="64" t="str">
        <f>Ringkasan!X632</f>
        <v/>
      </c>
      <c r="Y633" s="64" t="str">
        <f>Ringkasan!Y632</f>
        <v/>
      </c>
      <c r="Z633" s="64">
        <f>Ringkasan!Z632</f>
        <v>0</v>
      </c>
      <c r="AA633" s="64" t="str">
        <f>Ringkasan!AA632</f>
        <v>Tourism &amp; Recreation</v>
      </c>
      <c r="AB633" s="64" t="str">
        <f>Ringkasan!AB632</f>
        <v>Consumer Cyclicals</v>
      </c>
    </row>
    <row r="634" hidden="1">
      <c r="A634" s="64" t="str">
        <f>Ringkasan!A209</f>
        <v>BABY</v>
      </c>
      <c r="B634" s="64" t="str">
        <f>Ringkasan!B209</f>
        <v>PT Multitrend Indo Tbk.</v>
      </c>
      <c r="C634" s="67">
        <f>Ringkasan!C209</f>
        <v>200</v>
      </c>
      <c r="D634" s="22" t="str">
        <f>Ringkasan!D209</f>
        <v>#N/A</v>
      </c>
      <c r="E634" s="64" t="str">
        <f>Ringkasan!E209</f>
        <v/>
      </c>
      <c r="F634" s="64" t="str">
        <f>Ringkasan!F209</f>
        <v/>
      </c>
      <c r="G634" s="64">
        <f>Ringkasan!G209</f>
        <v>0</v>
      </c>
      <c r="H634" s="19">
        <f>Ringkasan!H209</f>
        <v>60</v>
      </c>
      <c r="I634" s="19">
        <f>Ringkasan!I209</f>
        <v>0.97</v>
      </c>
      <c r="J634" s="19">
        <f>Ringkasan!J209</f>
        <v>1.6</v>
      </c>
      <c r="K634" s="19">
        <f>Ringkasan!K209</f>
        <v>1</v>
      </c>
      <c r="L634" s="19">
        <f>Ringkasan!L209</f>
        <v>0.59</v>
      </c>
      <c r="M634" s="19">
        <f>Ringkasan!M209</f>
        <v>2.4</v>
      </c>
      <c r="N634" s="64" t="str">
        <f>Ringkasan!N209</f>
        <v/>
      </c>
      <c r="O634" s="64" t="str">
        <f>Ringkasan!O209</f>
        <v/>
      </c>
      <c r="P634" s="64" t="str">
        <f>Ringkasan!P209</f>
        <v/>
      </c>
      <c r="Q634" s="64" t="str">
        <f>Ringkasan!Q209</f>
        <v/>
      </c>
      <c r="R634" s="64" t="str">
        <f>Ringkasan!R209</f>
        <v/>
      </c>
      <c r="S634" s="64" t="str">
        <f>Ringkasan!S209</f>
        <v/>
      </c>
      <c r="T634" s="64" t="str">
        <f>Ringkasan!T209</f>
        <v/>
      </c>
      <c r="U634" s="22">
        <f>Ringkasan!U209</f>
        <v>0.03</v>
      </c>
      <c r="V634" s="22">
        <f>Ringkasan!V209</f>
        <v>0</v>
      </c>
      <c r="W634" s="22" t="str">
        <f>Ringkasan!W209</f>
        <v/>
      </c>
      <c r="X634" s="22" t="str">
        <f>Ringkasan!X209</f>
        <v/>
      </c>
      <c r="Y634" s="22" t="str">
        <f>Ringkasan!Y209</f>
        <v/>
      </c>
      <c r="Z634" s="22">
        <f>Ringkasan!Z209</f>
        <v>0</v>
      </c>
      <c r="AA634" s="64" t="str">
        <f>Ringkasan!AA209</f>
        <v>Specialty Retail</v>
      </c>
      <c r="AB634" s="64" t="str">
        <f>Ringkasan!AB209</f>
        <v>Consumer Cyclicals</v>
      </c>
    </row>
    <row r="635" hidden="1">
      <c r="A635" s="64" t="str">
        <f>Ringkasan!A634</f>
        <v>DVLA</v>
      </c>
      <c r="B635" s="64" t="str">
        <f>Ringkasan!B634</f>
        <v>Darya-Varia Laboratoria Tbk.</v>
      </c>
      <c r="C635" s="65">
        <f>Ringkasan!C634</f>
        <v>1530</v>
      </c>
      <c r="D635" s="64" t="str">
        <f>Ringkasan!D634</f>
        <v>#N/A</v>
      </c>
      <c r="E635" s="64" t="str">
        <f>Ringkasan!E634</f>
        <v/>
      </c>
      <c r="F635" s="64" t="str">
        <f>Ringkasan!F634</f>
        <v/>
      </c>
      <c r="G635" s="64">
        <f>Ringkasan!G634</f>
        <v>0</v>
      </c>
      <c r="H635" s="19">
        <f>Ringkasan!H634</f>
        <v>12.6</v>
      </c>
      <c r="I635" s="19">
        <f>Ringkasan!I634</f>
        <v>1.2</v>
      </c>
      <c r="J635" s="19">
        <f>Ringkasan!J634</f>
        <v>9.2</v>
      </c>
      <c r="K635" s="19">
        <f>Ringkasan!K634</f>
        <v>5.6</v>
      </c>
      <c r="L635" s="19">
        <f>Ringkasan!L634</f>
        <v>0.64</v>
      </c>
      <c r="M635" s="19">
        <f>Ringkasan!M634</f>
        <v>23.6</v>
      </c>
      <c r="N635" s="64" t="str">
        <f>Ringkasan!N634</f>
        <v/>
      </c>
      <c r="O635" s="64" t="str">
        <f>Ringkasan!O634</f>
        <v/>
      </c>
      <c r="P635" s="64" t="str">
        <f>Ringkasan!P634</f>
        <v/>
      </c>
      <c r="Q635" s="64" t="str">
        <f>Ringkasan!Q634</f>
        <v/>
      </c>
      <c r="R635" s="64" t="str">
        <f>Ringkasan!R634</f>
        <v/>
      </c>
      <c r="S635" s="64" t="str">
        <f>Ringkasan!S634</f>
        <v/>
      </c>
      <c r="T635" s="64" t="str">
        <f>Ringkasan!T634</f>
        <v/>
      </c>
      <c r="U635" s="64">
        <f>Ringkasan!U634</f>
        <v>1535</v>
      </c>
      <c r="V635" s="64">
        <f>Ringkasan!V634</f>
        <v>-0.33</v>
      </c>
      <c r="W635" s="64">
        <f>Ringkasan!W634</f>
        <v>1545</v>
      </c>
      <c r="X635" s="64">
        <f>Ringkasan!X634</f>
        <v>1545</v>
      </c>
      <c r="Y635" s="64" t="str">
        <f>Ringkasan!Y634</f>
        <v/>
      </c>
      <c r="Z635" s="64">
        <f>Ringkasan!Z634</f>
        <v>11000</v>
      </c>
      <c r="AA635" s="64" t="str">
        <f>Ringkasan!AA634</f>
        <v>Pharmaceuticals</v>
      </c>
      <c r="AB635" s="64" t="str">
        <f>Ringkasan!AB634</f>
        <v>Healthcare</v>
      </c>
    </row>
    <row r="636" hidden="1">
      <c r="A636" s="64" t="str">
        <f>Ringkasan!A635</f>
        <v>DWGL</v>
      </c>
      <c r="B636" s="64" t="str">
        <f>Ringkasan!B635</f>
        <v>Dwi Guna Laksana Tbk.</v>
      </c>
      <c r="C636" s="65">
        <f>Ringkasan!C635</f>
        <v>254</v>
      </c>
      <c r="D636" s="64" t="str">
        <f>Ringkasan!D635</f>
        <v>#N/A</v>
      </c>
      <c r="E636" s="64" t="str">
        <f>Ringkasan!E635</f>
        <v/>
      </c>
      <c r="F636" s="64" t="str">
        <f>Ringkasan!F635</f>
        <v/>
      </c>
      <c r="G636" s="64">
        <f>Ringkasan!G635</f>
        <v>0</v>
      </c>
      <c r="H636" s="19">
        <f>Ringkasan!H635</f>
        <v>10.4</v>
      </c>
      <c r="I636" s="19">
        <f>Ringkasan!I635</f>
        <v>4.3</v>
      </c>
      <c r="J636" s="19">
        <f>Ringkasan!J635</f>
        <v>41.4</v>
      </c>
      <c r="K636" s="19">
        <f>Ringkasan!K635</f>
        <v>14.1</v>
      </c>
      <c r="L636" s="19">
        <f>Ringkasan!L635</f>
        <v>1.9</v>
      </c>
      <c r="M636" s="19">
        <f>Ringkasan!M635</f>
        <v>30.6</v>
      </c>
      <c r="N636" s="64" t="str">
        <f>Ringkasan!N635</f>
        <v/>
      </c>
      <c r="O636" s="64" t="str">
        <f>Ringkasan!O635</f>
        <v/>
      </c>
      <c r="P636" s="64" t="str">
        <f>Ringkasan!P635</f>
        <v/>
      </c>
      <c r="Q636" s="64" t="str">
        <f>Ringkasan!Q635</f>
        <v/>
      </c>
      <c r="R636" s="64" t="str">
        <f>Ringkasan!R635</f>
        <v/>
      </c>
      <c r="S636" s="64" t="str">
        <f>Ringkasan!S635</f>
        <v/>
      </c>
      <c r="T636" s="64" t="str">
        <f>Ringkasan!T635</f>
        <v/>
      </c>
      <c r="U636" s="64">
        <f>Ringkasan!U635</f>
        <v>256</v>
      </c>
      <c r="V636" s="64">
        <f>Ringkasan!V635</f>
        <v>-0.78</v>
      </c>
      <c r="W636" s="64">
        <f>Ringkasan!W635</f>
        <v>256</v>
      </c>
      <c r="X636" s="64">
        <f>Ringkasan!X635</f>
        <v>258</v>
      </c>
      <c r="Y636" s="64">
        <f>Ringkasan!Y635</f>
        <v>252</v>
      </c>
      <c r="Z636" s="64">
        <f>Ringkasan!Z635</f>
        <v>442800</v>
      </c>
      <c r="AA636" s="64" t="str">
        <f>Ringkasan!AA635</f>
        <v>Coal</v>
      </c>
      <c r="AB636" s="64" t="str">
        <f>Ringkasan!AB635</f>
        <v>Energy</v>
      </c>
    </row>
    <row r="637" hidden="1">
      <c r="A637" s="64" t="str">
        <f>Ringkasan!A636</f>
        <v>DYAN</v>
      </c>
      <c r="B637" s="64" t="str">
        <f>Ringkasan!B636</f>
        <v>Dyandra Media International Tbk.</v>
      </c>
      <c r="C637" s="65">
        <f>Ringkasan!C636</f>
        <v>75</v>
      </c>
      <c r="D637" s="64" t="str">
        <f>Ringkasan!D636</f>
        <v>#N/A</v>
      </c>
      <c r="E637" s="64" t="str">
        <f>Ringkasan!E636</f>
        <v/>
      </c>
      <c r="F637" s="64" t="str">
        <f>Ringkasan!F636</f>
        <v/>
      </c>
      <c r="G637" s="64">
        <f>Ringkasan!G636</f>
        <v>0</v>
      </c>
      <c r="H637" s="19">
        <f>Ringkasan!H636</f>
        <v>7.3</v>
      </c>
      <c r="I637" s="19">
        <f>Ringkasan!I636</f>
        <v>0.44</v>
      </c>
      <c r="J637" s="19">
        <f>Ringkasan!J636</f>
        <v>6.1</v>
      </c>
      <c r="K637" s="19">
        <f>Ringkasan!K636</f>
        <v>3.3</v>
      </c>
      <c r="L637" s="19">
        <f>Ringkasan!L636</f>
        <v>0.86</v>
      </c>
      <c r="M637" s="19">
        <f>Ringkasan!M636</f>
        <v>11.2</v>
      </c>
      <c r="N637" s="64" t="str">
        <f>Ringkasan!N636</f>
        <v/>
      </c>
      <c r="O637" s="64" t="str">
        <f>Ringkasan!O636</f>
        <v/>
      </c>
      <c r="P637" s="64" t="str">
        <f>Ringkasan!P636</f>
        <v/>
      </c>
      <c r="Q637" s="64" t="str">
        <f>Ringkasan!Q636</f>
        <v/>
      </c>
      <c r="R637" s="64" t="str">
        <f>Ringkasan!R636</f>
        <v/>
      </c>
      <c r="S637" s="64" t="str">
        <f>Ringkasan!S636</f>
        <v/>
      </c>
      <c r="T637" s="64" t="str">
        <f>Ringkasan!T636</f>
        <v/>
      </c>
      <c r="U637" s="64">
        <f>Ringkasan!U636</f>
        <v>75</v>
      </c>
      <c r="V637" s="64">
        <f>Ringkasan!V636</f>
        <v>0</v>
      </c>
      <c r="W637" s="64">
        <f>Ringkasan!W636</f>
        <v>74</v>
      </c>
      <c r="X637" s="64">
        <f>Ringkasan!X636</f>
        <v>76</v>
      </c>
      <c r="Y637" s="64">
        <f>Ringkasan!Y636</f>
        <v>73</v>
      </c>
      <c r="Z637" s="64">
        <f>Ringkasan!Z636</f>
        <v>1294800</v>
      </c>
      <c r="AA637" s="64" t="str">
        <f>Ringkasan!AA636</f>
        <v>Commercial Services</v>
      </c>
      <c r="AB637" s="64" t="str">
        <f>Ringkasan!AB636</f>
        <v>Industrials</v>
      </c>
    </row>
    <row r="638" hidden="1">
      <c r="A638" s="64" t="str">
        <f>Ringkasan!A637</f>
        <v>EAST</v>
      </c>
      <c r="B638" s="64" t="str">
        <f>Ringkasan!B637</f>
        <v>Eastparc Hotel Tbk.</v>
      </c>
      <c r="C638" s="65">
        <f>Ringkasan!C637</f>
        <v>89</v>
      </c>
      <c r="D638" s="64" t="str">
        <f>Ringkasan!D637</f>
        <v>#N/A</v>
      </c>
      <c r="E638" s="64" t="str">
        <f>Ringkasan!E637</f>
        <v/>
      </c>
      <c r="F638" s="64" t="str">
        <f>Ringkasan!F637</f>
        <v/>
      </c>
      <c r="G638" s="64">
        <f>Ringkasan!G637</f>
        <v>0</v>
      </c>
      <c r="H638" s="19">
        <f>Ringkasan!H637</f>
        <v>11.5</v>
      </c>
      <c r="I638" s="19">
        <f>Ringkasan!I637</f>
        <v>0.79</v>
      </c>
      <c r="J638" s="19">
        <f>Ringkasan!J637</f>
        <v>6.9</v>
      </c>
      <c r="K638" s="19">
        <f>Ringkasan!K637</f>
        <v>6.5</v>
      </c>
      <c r="L638" s="19">
        <f>Ringkasan!L637</f>
        <v>0.05</v>
      </c>
      <c r="M638" s="19">
        <f>Ringkasan!M637</f>
        <v>150</v>
      </c>
      <c r="N638" s="64" t="str">
        <f>Ringkasan!N637</f>
        <v/>
      </c>
      <c r="O638" s="64" t="str">
        <f>Ringkasan!O637</f>
        <v/>
      </c>
      <c r="P638" s="64" t="str">
        <f>Ringkasan!P637</f>
        <v/>
      </c>
      <c r="Q638" s="64" t="str">
        <f>Ringkasan!Q637</f>
        <v/>
      </c>
      <c r="R638" s="64" t="str">
        <f>Ringkasan!R637</f>
        <v/>
      </c>
      <c r="S638" s="64" t="str">
        <f>Ringkasan!S637</f>
        <v/>
      </c>
      <c r="T638" s="64" t="str">
        <f>Ringkasan!T637</f>
        <v/>
      </c>
      <c r="U638" s="64">
        <f>Ringkasan!U637</f>
        <v>49.38</v>
      </c>
      <c r="V638" s="64">
        <f>Ringkasan!V637</f>
        <v>0.29</v>
      </c>
      <c r="W638" s="64" t="str">
        <f>Ringkasan!W637</f>
        <v/>
      </c>
      <c r="X638" s="64" t="str">
        <f>Ringkasan!X637</f>
        <v/>
      </c>
      <c r="Y638" s="64" t="str">
        <f>Ringkasan!Y637</f>
        <v/>
      </c>
      <c r="Z638" s="64">
        <f>Ringkasan!Z637</f>
        <v>0</v>
      </c>
      <c r="AA638" s="64" t="str">
        <f>Ringkasan!AA637</f>
        <v>Tourism &amp; Recreation</v>
      </c>
      <c r="AB638" s="64" t="str">
        <f>Ringkasan!AB637</f>
        <v>Consumer Cyclicals</v>
      </c>
    </row>
    <row r="639" hidden="1">
      <c r="A639" s="64" t="str">
        <f>Ringkasan!A638</f>
        <v>ECII</v>
      </c>
      <c r="B639" s="64" t="str">
        <f>Ringkasan!B638</f>
        <v>Electronic City Indonesia Tbk.</v>
      </c>
      <c r="C639" s="65">
        <f>Ringkasan!C638</f>
        <v>119</v>
      </c>
      <c r="D639" s="64" t="str">
        <f>Ringkasan!D638</f>
        <v>#N/A</v>
      </c>
      <c r="E639" s="64" t="str">
        <f>Ringkasan!E638</f>
        <v/>
      </c>
      <c r="F639" s="64" t="str">
        <f>Ringkasan!F638</f>
        <v/>
      </c>
      <c r="G639" s="64">
        <f>Ringkasan!G638</f>
        <v>0</v>
      </c>
      <c r="H639" s="19">
        <f>Ringkasan!H638</f>
        <v>-1.4</v>
      </c>
      <c r="I639" s="19">
        <f>Ringkasan!I638</f>
        <v>0.21</v>
      </c>
      <c r="J639" s="19">
        <f>Ringkasan!J638</f>
        <v>-14.6</v>
      </c>
      <c r="K639" s="19">
        <f>Ringkasan!K638</f>
        <v>-9.3</v>
      </c>
      <c r="L639" s="19">
        <f>Ringkasan!L638</f>
        <v>0.58</v>
      </c>
      <c r="M639" s="19">
        <f>Ringkasan!M638</f>
        <v>-24.1</v>
      </c>
      <c r="N639" s="64" t="str">
        <f>Ringkasan!N638</f>
        <v/>
      </c>
      <c r="O639" s="64" t="str">
        <f>Ringkasan!O638</f>
        <v/>
      </c>
      <c r="P639" s="64" t="str">
        <f>Ringkasan!P638</f>
        <v/>
      </c>
      <c r="Q639" s="64" t="str">
        <f>Ringkasan!Q638</f>
        <v/>
      </c>
      <c r="R639" s="64" t="str">
        <f>Ringkasan!R638</f>
        <v/>
      </c>
      <c r="S639" s="64" t="str">
        <f>Ringkasan!S638</f>
        <v/>
      </c>
      <c r="T639" s="64" t="str">
        <f>Ringkasan!T638</f>
        <v/>
      </c>
      <c r="U639" s="64">
        <f>Ringkasan!U638</f>
        <v>119</v>
      </c>
      <c r="V639" s="64">
        <f>Ringkasan!V638</f>
        <v>0</v>
      </c>
      <c r="W639" s="64">
        <f>Ringkasan!W638</f>
        <v>116</v>
      </c>
      <c r="X639" s="64">
        <f>Ringkasan!X638</f>
        <v>130</v>
      </c>
      <c r="Y639" s="64">
        <f>Ringkasan!Y638</f>
        <v>116</v>
      </c>
      <c r="Z639" s="64">
        <f>Ringkasan!Z638</f>
        <v>453900</v>
      </c>
      <c r="AA639" s="64" t="str">
        <f>Ringkasan!AA638</f>
        <v>Specialty Retail</v>
      </c>
      <c r="AB639" s="64" t="str">
        <f>Ringkasan!AB638</f>
        <v>Consumer Cyclicals</v>
      </c>
    </row>
    <row r="640" hidden="1">
      <c r="A640" s="64" t="str">
        <f>Ringkasan!A639</f>
        <v>EDGE</v>
      </c>
      <c r="B640" s="64" t="str">
        <f>Ringkasan!B639</f>
        <v>Indointernet Tbk.</v>
      </c>
      <c r="C640" s="65">
        <f>Ringkasan!C639</f>
        <v>4790</v>
      </c>
      <c r="D640" s="64" t="str">
        <f>Ringkasan!D639</f>
        <v>#N/A</v>
      </c>
      <c r="E640" s="64" t="str">
        <f>Ringkasan!E639</f>
        <v/>
      </c>
      <c r="F640" s="64" t="str">
        <f>Ringkasan!F639</f>
        <v/>
      </c>
      <c r="G640" s="64">
        <f>Ringkasan!G639</f>
        <v>0</v>
      </c>
      <c r="H640" s="19">
        <f>Ringkasan!H639</f>
        <v>80.9</v>
      </c>
      <c r="I640" s="19">
        <f>Ringkasan!I639</f>
        <v>5.2</v>
      </c>
      <c r="J640" s="19">
        <f>Ringkasan!J639</f>
        <v>6.4</v>
      </c>
      <c r="K640" s="19">
        <f>Ringkasan!K639</f>
        <v>1.6</v>
      </c>
      <c r="L640" s="19">
        <f>Ringkasan!L639</f>
        <v>3</v>
      </c>
      <c r="M640" s="19">
        <f>Ringkasan!M639</f>
        <v>49.2</v>
      </c>
      <c r="N640" s="64" t="str">
        <f>Ringkasan!N639</f>
        <v/>
      </c>
      <c r="O640" s="64" t="str">
        <f>Ringkasan!O639</f>
        <v/>
      </c>
      <c r="P640" s="64" t="str">
        <f>Ringkasan!P639</f>
        <v/>
      </c>
      <c r="Q640" s="64" t="str">
        <f>Ringkasan!Q639</f>
        <v/>
      </c>
      <c r="R640" s="64" t="str">
        <f>Ringkasan!R639</f>
        <v/>
      </c>
      <c r="S640" s="64" t="str">
        <f>Ringkasan!S639</f>
        <v/>
      </c>
      <c r="T640" s="64" t="str">
        <f>Ringkasan!T639</f>
        <v/>
      </c>
      <c r="U640" s="64">
        <f>Ringkasan!U639</f>
        <v>49.92</v>
      </c>
      <c r="V640" s="64">
        <f>Ringkasan!V639</f>
        <v>0.56</v>
      </c>
      <c r="W640" s="64">
        <f>Ringkasan!W639</f>
        <v>50.2</v>
      </c>
      <c r="X640" s="64">
        <f>Ringkasan!X639</f>
        <v>50.2</v>
      </c>
      <c r="Y640" s="64">
        <f>Ringkasan!Y639</f>
        <v>50.2</v>
      </c>
      <c r="Z640" s="64">
        <f>Ringkasan!Z639</f>
        <v>267</v>
      </c>
      <c r="AA640" s="64" t="str">
        <f>Ringkasan!AA639</f>
        <v>IT Services &amp; Consulting</v>
      </c>
      <c r="AB640" s="64" t="str">
        <f>Ringkasan!AB639</f>
        <v>Technology</v>
      </c>
    </row>
    <row r="641" hidden="1">
      <c r="A641" s="64" t="str">
        <f>Ringkasan!A640</f>
        <v>EKAD</v>
      </c>
      <c r="B641" s="64" t="str">
        <f>Ringkasan!B640</f>
        <v>Ekadharma International Tbk.</v>
      </c>
      <c r="C641" s="65">
        <f>Ringkasan!C640</f>
        <v>158</v>
      </c>
      <c r="D641" s="64" t="str">
        <f>Ringkasan!D640</f>
        <v>#N/A</v>
      </c>
      <c r="E641" s="64" t="str">
        <f>Ringkasan!E640</f>
        <v/>
      </c>
      <c r="F641" s="64" t="str">
        <f>Ringkasan!F640</f>
        <v/>
      </c>
      <c r="G641" s="64">
        <f>Ringkasan!G640</f>
        <v>0</v>
      </c>
      <c r="H641" s="19">
        <f>Ringkasan!H640</f>
        <v>12</v>
      </c>
      <c r="I641" s="19">
        <f>Ringkasan!I640</f>
        <v>0.47</v>
      </c>
      <c r="J641" s="19">
        <f>Ringkasan!J640</f>
        <v>4</v>
      </c>
      <c r="K641" s="19">
        <f>Ringkasan!K640</f>
        <v>3.7</v>
      </c>
      <c r="L641" s="19">
        <f>Ringkasan!L640</f>
        <v>0.08</v>
      </c>
      <c r="M641" s="19">
        <f>Ringkasan!M640</f>
        <v>35.2</v>
      </c>
      <c r="N641" s="64" t="str">
        <f>Ringkasan!N640</f>
        <v/>
      </c>
      <c r="O641" s="64" t="str">
        <f>Ringkasan!O640</f>
        <v/>
      </c>
      <c r="P641" s="64" t="str">
        <f>Ringkasan!P640</f>
        <v/>
      </c>
      <c r="Q641" s="64" t="str">
        <f>Ringkasan!Q640</f>
        <v/>
      </c>
      <c r="R641" s="64" t="str">
        <f>Ringkasan!R640</f>
        <v/>
      </c>
      <c r="S641" s="64" t="str">
        <f>Ringkasan!S640</f>
        <v/>
      </c>
      <c r="T641" s="64" t="str">
        <f>Ringkasan!T640</f>
        <v/>
      </c>
      <c r="U641" s="64">
        <f>Ringkasan!U640</f>
        <v>158</v>
      </c>
      <c r="V641" s="64">
        <f>Ringkasan!V640</f>
        <v>0</v>
      </c>
      <c r="W641" s="64">
        <f>Ringkasan!W640</f>
        <v>155</v>
      </c>
      <c r="X641" s="64">
        <f>Ringkasan!X640</f>
        <v>167</v>
      </c>
      <c r="Y641" s="64">
        <f>Ringkasan!Y640</f>
        <v>147</v>
      </c>
      <c r="Z641" s="64">
        <f>Ringkasan!Z640</f>
        <v>1068500</v>
      </c>
      <c r="AA641" s="64" t="str">
        <f>Ringkasan!AA640</f>
        <v>Chemicals</v>
      </c>
      <c r="AB641" s="64" t="str">
        <f>Ringkasan!AB640</f>
        <v>Basic Materials</v>
      </c>
    </row>
    <row r="642" hidden="1">
      <c r="A642" s="64" t="str">
        <f>Ringkasan!A641</f>
        <v>ELIT</v>
      </c>
      <c r="B642" s="64" t="str">
        <f>Ringkasan!B641</f>
        <v>PT Data Sinergitama Jaya Tbk</v>
      </c>
      <c r="C642" s="65">
        <f>Ringkasan!C641</f>
        <v>176</v>
      </c>
      <c r="D642" s="64" t="str">
        <f>Ringkasan!D641</f>
        <v>#N/A</v>
      </c>
      <c r="E642" s="64" t="str">
        <f>Ringkasan!E641</f>
        <v/>
      </c>
      <c r="F642" s="64" t="str">
        <f>Ringkasan!F641</f>
        <v/>
      </c>
      <c r="G642" s="64">
        <f>Ringkasan!G641</f>
        <v>0</v>
      </c>
      <c r="H642" s="19">
        <f>Ringkasan!H641</f>
        <v>11.1</v>
      </c>
      <c r="I642" s="19">
        <f>Ringkasan!I641</f>
        <v>2.3</v>
      </c>
      <c r="J642" s="19">
        <f>Ringkasan!J641</f>
        <v>20.7</v>
      </c>
      <c r="K642" s="19">
        <f>Ringkasan!K641</f>
        <v>11.1</v>
      </c>
      <c r="L642" s="19">
        <f>Ringkasan!L641</f>
        <v>0.86</v>
      </c>
      <c r="M642" s="19">
        <f>Ringkasan!M641</f>
        <v>40.5</v>
      </c>
      <c r="N642" s="64" t="str">
        <f>Ringkasan!N641</f>
        <v/>
      </c>
      <c r="O642" s="64" t="str">
        <f>Ringkasan!O641</f>
        <v/>
      </c>
      <c r="P642" s="64" t="str">
        <f>Ringkasan!P641</f>
        <v/>
      </c>
      <c r="Q642" s="64" t="str">
        <f>Ringkasan!Q641</f>
        <v/>
      </c>
      <c r="R642" s="64" t="str">
        <f>Ringkasan!R641</f>
        <v/>
      </c>
      <c r="S642" s="64" t="str">
        <f>Ringkasan!S641</f>
        <v/>
      </c>
      <c r="T642" s="64" t="str">
        <f>Ringkasan!T641</f>
        <v/>
      </c>
      <c r="U642" s="64">
        <f>Ringkasan!U641</f>
        <v>171</v>
      </c>
      <c r="V642" s="64">
        <f>Ringkasan!V641</f>
        <v>2.92</v>
      </c>
      <c r="W642" s="64">
        <f>Ringkasan!W641</f>
        <v>172</v>
      </c>
      <c r="X642" s="64">
        <f>Ringkasan!X641</f>
        <v>185</v>
      </c>
      <c r="Y642" s="64">
        <f>Ringkasan!Y641</f>
        <v>171</v>
      </c>
      <c r="Z642" s="64">
        <f>Ringkasan!Z641</f>
        <v>3516200</v>
      </c>
      <c r="AA642" s="64" t="str">
        <f>Ringkasan!AA641</f>
        <v>IT Services &amp; Consulting</v>
      </c>
      <c r="AB642" s="64" t="str">
        <f>Ringkasan!AB641</f>
        <v>Technology</v>
      </c>
    </row>
    <row r="643" hidden="1">
      <c r="A643" s="64" t="str">
        <f>Ringkasan!A642</f>
        <v>ELPI</v>
      </c>
      <c r="B643" s="64" t="str">
        <f>Ringkasan!B642</f>
        <v>Pelayaran Nasional Ekalya Purnamasari Tbk.</v>
      </c>
      <c r="C643" s="65">
        <f>Ringkasan!C642</f>
        <v>1230</v>
      </c>
      <c r="D643" s="64" t="str">
        <f>Ringkasan!D642</f>
        <v>#N/A</v>
      </c>
      <c r="E643" s="64" t="str">
        <f>Ringkasan!E642</f>
        <v/>
      </c>
      <c r="F643" s="64" t="str">
        <f>Ringkasan!F642</f>
        <v/>
      </c>
      <c r="G643" s="65">
        <f>Ringkasan!G642</f>
        <v>0</v>
      </c>
      <c r="H643" s="19">
        <f>Ringkasan!H642</f>
        <v>68.1</v>
      </c>
      <c r="I643" s="19">
        <f>Ringkasan!I642</f>
        <v>4.8</v>
      </c>
      <c r="J643" s="19">
        <f>Ringkasan!J642</f>
        <v>7</v>
      </c>
      <c r="K643" s="19">
        <f>Ringkasan!K642</f>
        <v>5.3</v>
      </c>
      <c r="L643" s="19">
        <f>Ringkasan!L642</f>
        <v>0.31</v>
      </c>
      <c r="M643" s="19">
        <f>Ringkasan!M642</f>
        <v>97.5</v>
      </c>
      <c r="N643" s="64" t="str">
        <f>Ringkasan!N642</f>
        <v/>
      </c>
      <c r="O643" s="64" t="str">
        <f>Ringkasan!O642</f>
        <v/>
      </c>
      <c r="P643" s="64" t="str">
        <f>Ringkasan!P642</f>
        <v/>
      </c>
      <c r="Q643" s="64" t="str">
        <f>Ringkasan!Q642</f>
        <v/>
      </c>
      <c r="R643" s="64" t="str">
        <f>Ringkasan!R642</f>
        <v/>
      </c>
      <c r="S643" s="64" t="str">
        <f>Ringkasan!S642</f>
        <v/>
      </c>
      <c r="T643" s="64" t="str">
        <f>Ringkasan!T642</f>
        <v/>
      </c>
      <c r="U643" s="64">
        <f>Ringkasan!U642</f>
        <v>1150</v>
      </c>
      <c r="V643" s="64">
        <f>Ringkasan!V642</f>
        <v>6.96</v>
      </c>
      <c r="W643" s="64">
        <f>Ringkasan!W642</f>
        <v>1155</v>
      </c>
      <c r="X643" s="64" t="str">
        <f>Ringkasan!X642</f>
        <v/>
      </c>
      <c r="Y643" s="64">
        <f>Ringkasan!Y642</f>
        <v>1150</v>
      </c>
      <c r="Z643" s="64">
        <f>Ringkasan!Z642</f>
        <v>618300</v>
      </c>
      <c r="AA643" s="64" t="str">
        <f>Ringkasan!AA642</f>
        <v>Logistics &amp; Deliveries</v>
      </c>
      <c r="AB643" s="64" t="str">
        <f>Ringkasan!AB642</f>
        <v>Transportation &amp; Logistic</v>
      </c>
    </row>
    <row r="644" hidden="1">
      <c r="A644" s="64" t="str">
        <f>Ringkasan!A643</f>
        <v>ELSA</v>
      </c>
      <c r="B644" s="64" t="str">
        <f>Ringkasan!B643</f>
        <v>Elnusa Tbk.</v>
      </c>
      <c r="C644" s="65">
        <f>Ringkasan!C643</f>
        <v>620</v>
      </c>
      <c r="D644" s="64" t="str">
        <f>Ringkasan!D643</f>
        <v>#N/A</v>
      </c>
      <c r="E644" s="64" t="str">
        <f>Ringkasan!E643</f>
        <v>ESGQKEHATI</v>
      </c>
      <c r="F644" s="66">
        <f>Ringkasan!F643</f>
        <v>46356</v>
      </c>
      <c r="G644" s="65">
        <f>Ringkasan!G643</f>
        <v>10</v>
      </c>
      <c r="H644" s="19">
        <f>Ringkasan!H643</f>
        <v>6.2</v>
      </c>
      <c r="I644" s="19">
        <f>Ringkasan!I643</f>
        <v>0.81</v>
      </c>
      <c r="J644" s="19">
        <f>Ringkasan!J643</f>
        <v>13.1</v>
      </c>
      <c r="K644" s="19">
        <f>Ringkasan!K643</f>
        <v>6.6</v>
      </c>
      <c r="L644" s="19">
        <f>Ringkasan!L643</f>
        <v>1</v>
      </c>
      <c r="M644" s="19">
        <f>Ringkasan!M643</f>
        <v>19.9</v>
      </c>
      <c r="N644" s="64" t="str">
        <f>Ringkasan!N643</f>
        <v/>
      </c>
      <c r="O644" s="64" t="str">
        <f>Ringkasan!O643</f>
        <v/>
      </c>
      <c r="P644" s="64" t="str">
        <f>Ringkasan!P643</f>
        <v/>
      </c>
      <c r="Q644" s="64" t="str">
        <f>Ringkasan!Q643</f>
        <v/>
      </c>
      <c r="R644" s="64" t="str">
        <f>Ringkasan!R643</f>
        <v/>
      </c>
      <c r="S644" s="64" t="str">
        <f>Ringkasan!S643</f>
        <v/>
      </c>
      <c r="T644" s="64" t="str">
        <f>Ringkasan!T643</f>
        <v/>
      </c>
      <c r="U644" s="64">
        <f>Ringkasan!U643</f>
        <v>2.24</v>
      </c>
      <c r="V644" s="64">
        <f>Ringkasan!V643</f>
        <v>0</v>
      </c>
      <c r="W644" s="64" t="str">
        <f>Ringkasan!W643</f>
        <v/>
      </c>
      <c r="X644" s="64" t="str">
        <f>Ringkasan!X643</f>
        <v/>
      </c>
      <c r="Y644" s="64" t="str">
        <f>Ringkasan!Y643</f>
        <v/>
      </c>
      <c r="Z644" s="64">
        <f>Ringkasan!Z643</f>
        <v>0</v>
      </c>
      <c r="AA644" s="64" t="str">
        <f>Ringkasan!AA643</f>
        <v>Oil, Gas &amp; Coal Supports</v>
      </c>
      <c r="AB644" s="64" t="str">
        <f>Ringkasan!AB643</f>
        <v>Energy</v>
      </c>
    </row>
    <row r="645" hidden="1">
      <c r="A645" s="64" t="str">
        <f>Ringkasan!A644</f>
        <v>ELSA</v>
      </c>
      <c r="B645" s="64" t="str">
        <f>Ringkasan!B644</f>
        <v>Elnusa Tbk.</v>
      </c>
      <c r="C645" s="65">
        <f>Ringkasan!C644</f>
        <v>620</v>
      </c>
      <c r="D645" s="64" t="str">
        <f>Ringkasan!D644</f>
        <v>#N/A</v>
      </c>
      <c r="E645" s="64" t="str">
        <f>Ringkasan!E644</f>
        <v>IDXMESBUMN</v>
      </c>
      <c r="F645" s="66">
        <f>Ringkasan!F644</f>
        <v>46356</v>
      </c>
      <c r="G645" s="64">
        <f>Ringkasan!G644</f>
        <v>10</v>
      </c>
      <c r="H645" s="19">
        <f>Ringkasan!H644</f>
        <v>6.2</v>
      </c>
      <c r="I645" s="19">
        <f>Ringkasan!I644</f>
        <v>0.81</v>
      </c>
      <c r="J645" s="19">
        <f>Ringkasan!J644</f>
        <v>13.1</v>
      </c>
      <c r="K645" s="19">
        <f>Ringkasan!K644</f>
        <v>6.6</v>
      </c>
      <c r="L645" s="19">
        <f>Ringkasan!L644</f>
        <v>1</v>
      </c>
      <c r="M645" s="19">
        <f>Ringkasan!M644</f>
        <v>19.9</v>
      </c>
      <c r="N645" s="64" t="str">
        <f>Ringkasan!N644</f>
        <v/>
      </c>
      <c r="O645" s="64" t="str">
        <f>Ringkasan!O644</f>
        <v/>
      </c>
      <c r="P645" s="64" t="str">
        <f>Ringkasan!P644</f>
        <v/>
      </c>
      <c r="Q645" s="64" t="str">
        <f>Ringkasan!Q644</f>
        <v/>
      </c>
      <c r="R645" s="64" t="str">
        <f>Ringkasan!R644</f>
        <v/>
      </c>
      <c r="S645" s="64" t="str">
        <f>Ringkasan!S644</f>
        <v/>
      </c>
      <c r="T645" s="64" t="str">
        <f>Ringkasan!T644</f>
        <v/>
      </c>
      <c r="U645" s="64">
        <f>Ringkasan!U644</f>
        <v>2.24</v>
      </c>
      <c r="V645" s="64">
        <f>Ringkasan!V644</f>
        <v>0</v>
      </c>
      <c r="W645" s="64" t="str">
        <f>Ringkasan!W644</f>
        <v/>
      </c>
      <c r="X645" s="64" t="str">
        <f>Ringkasan!X644</f>
        <v/>
      </c>
      <c r="Y645" s="64" t="str">
        <f>Ringkasan!Y644</f>
        <v/>
      </c>
      <c r="Z645" s="64">
        <f>Ringkasan!Z644</f>
        <v>0</v>
      </c>
      <c r="AA645" s="64" t="str">
        <f>Ringkasan!AA644</f>
        <v>Oil, Gas &amp; Coal Supports</v>
      </c>
      <c r="AB645" s="64" t="str">
        <f>Ringkasan!AB644</f>
        <v>Energy</v>
      </c>
    </row>
    <row r="646" hidden="1">
      <c r="A646" s="64" t="str">
        <f>Ringkasan!A645</f>
        <v>ELSA</v>
      </c>
      <c r="B646" s="64" t="str">
        <f>Ringkasan!B645</f>
        <v>Elnusa Tbk.</v>
      </c>
      <c r="C646" s="65">
        <f>Ringkasan!C645</f>
        <v>620</v>
      </c>
      <c r="D646" s="64" t="str">
        <f>Ringkasan!D645</f>
        <v>#N/A</v>
      </c>
      <c r="E646" s="64" t="str">
        <f>Ringkasan!E645</f>
        <v>IDXSHAGROW</v>
      </c>
      <c r="F646" s="66">
        <f>Ringkasan!F645</f>
        <v>46356</v>
      </c>
      <c r="G646" s="64">
        <f>Ringkasan!G645</f>
        <v>10</v>
      </c>
      <c r="H646" s="19">
        <f>Ringkasan!H645</f>
        <v>6.2</v>
      </c>
      <c r="I646" s="19">
        <f>Ringkasan!I645</f>
        <v>0.81</v>
      </c>
      <c r="J646" s="19">
        <f>Ringkasan!J645</f>
        <v>13.1</v>
      </c>
      <c r="K646" s="19">
        <f>Ringkasan!K645</f>
        <v>6.6</v>
      </c>
      <c r="L646" s="19">
        <f>Ringkasan!L645</f>
        <v>1</v>
      </c>
      <c r="M646" s="19">
        <f>Ringkasan!M645</f>
        <v>19.9</v>
      </c>
      <c r="N646" s="64" t="str">
        <f>Ringkasan!N645</f>
        <v/>
      </c>
      <c r="O646" s="64" t="str">
        <f>Ringkasan!O645</f>
        <v/>
      </c>
      <c r="P646" s="64" t="str">
        <f>Ringkasan!P645</f>
        <v/>
      </c>
      <c r="Q646" s="64" t="str">
        <f>Ringkasan!Q645</f>
        <v/>
      </c>
      <c r="R646" s="64" t="str">
        <f>Ringkasan!R645</f>
        <v/>
      </c>
      <c r="S646" s="64" t="str">
        <f>Ringkasan!S645</f>
        <v/>
      </c>
      <c r="T646" s="64" t="str">
        <f>Ringkasan!T645</f>
        <v/>
      </c>
      <c r="U646" s="64">
        <f>Ringkasan!U645</f>
        <v>2.24</v>
      </c>
      <c r="V646" s="64">
        <f>Ringkasan!V645</f>
        <v>0</v>
      </c>
      <c r="W646" s="64" t="str">
        <f>Ringkasan!W645</f>
        <v/>
      </c>
      <c r="X646" s="64" t="str">
        <f>Ringkasan!X645</f>
        <v/>
      </c>
      <c r="Y646" s="64" t="str">
        <f>Ringkasan!Y645</f>
        <v/>
      </c>
      <c r="Z646" s="64">
        <f>Ringkasan!Z645</f>
        <v>0</v>
      </c>
      <c r="AA646" s="64" t="str">
        <f>Ringkasan!AA645</f>
        <v>Oil, Gas &amp; Coal Supports</v>
      </c>
      <c r="AB646" s="64" t="str">
        <f>Ringkasan!AB645</f>
        <v>Energy</v>
      </c>
    </row>
    <row r="647" hidden="1">
      <c r="A647" s="64" t="str">
        <f>Ringkasan!A646</f>
        <v>ELSA</v>
      </c>
      <c r="B647" s="64" t="str">
        <f>Ringkasan!B646</f>
        <v>Elnusa Tbk.</v>
      </c>
      <c r="C647" s="65">
        <f>Ringkasan!C646</f>
        <v>620</v>
      </c>
      <c r="D647" s="64" t="str">
        <f>Ringkasan!D646</f>
        <v>#N/A</v>
      </c>
      <c r="E647" s="64" t="str">
        <f>Ringkasan!E646</f>
        <v>Kompas100</v>
      </c>
      <c r="F647" s="64" t="str">
        <f>Ringkasan!F646</f>
        <v>31 Juli 2026</v>
      </c>
      <c r="G647" s="64">
        <f>Ringkasan!G646</f>
        <v>10</v>
      </c>
      <c r="H647" s="19">
        <f>Ringkasan!H646</f>
        <v>6.2</v>
      </c>
      <c r="I647" s="19">
        <f>Ringkasan!I646</f>
        <v>0.81</v>
      </c>
      <c r="J647" s="19">
        <f>Ringkasan!J646</f>
        <v>13.1</v>
      </c>
      <c r="K647" s="19">
        <f>Ringkasan!K646</f>
        <v>6.6</v>
      </c>
      <c r="L647" s="19">
        <f>Ringkasan!L646</f>
        <v>1</v>
      </c>
      <c r="M647" s="19">
        <f>Ringkasan!M646</f>
        <v>19.9</v>
      </c>
      <c r="N647" s="64" t="str">
        <f>Ringkasan!N646</f>
        <v/>
      </c>
      <c r="O647" s="64" t="str">
        <f>Ringkasan!O646</f>
        <v/>
      </c>
      <c r="P647" s="64" t="str">
        <f>Ringkasan!P646</f>
        <v/>
      </c>
      <c r="Q647" s="64" t="str">
        <f>Ringkasan!Q646</f>
        <v/>
      </c>
      <c r="R647" s="64" t="str">
        <f>Ringkasan!R646</f>
        <v/>
      </c>
      <c r="S647" s="64" t="str">
        <f>Ringkasan!S646</f>
        <v/>
      </c>
      <c r="T647" s="64" t="str">
        <f>Ringkasan!T646</f>
        <v/>
      </c>
      <c r="U647" s="64">
        <f>Ringkasan!U646</f>
        <v>2.24</v>
      </c>
      <c r="V647" s="64">
        <f>Ringkasan!V646</f>
        <v>0</v>
      </c>
      <c r="W647" s="64" t="str">
        <f>Ringkasan!W646</f>
        <v/>
      </c>
      <c r="X647" s="64" t="str">
        <f>Ringkasan!X646</f>
        <v/>
      </c>
      <c r="Y647" s="64" t="str">
        <f>Ringkasan!Y646</f>
        <v/>
      </c>
      <c r="Z647" s="64">
        <f>Ringkasan!Z646</f>
        <v>0</v>
      </c>
      <c r="AA647" s="64" t="str">
        <f>Ringkasan!AA646</f>
        <v>Oil, Gas &amp; Coal Supports</v>
      </c>
      <c r="AB647" s="64" t="str">
        <f>Ringkasan!AB646</f>
        <v>Energy</v>
      </c>
    </row>
    <row r="648" hidden="1">
      <c r="A648" s="64" t="str">
        <f>Ringkasan!A647</f>
        <v>ELSA</v>
      </c>
      <c r="B648" s="64" t="str">
        <f>Ringkasan!B647</f>
        <v>Elnusa Tbk.</v>
      </c>
      <c r="C648" s="65">
        <f>Ringkasan!C647</f>
        <v>620</v>
      </c>
      <c r="D648" s="64" t="str">
        <f>Ringkasan!D647</f>
        <v>#N/A</v>
      </c>
      <c r="E648" s="64" t="str">
        <f>Ringkasan!E647</f>
        <v>IDXBUMN20</v>
      </c>
      <c r="F648" s="64" t="str">
        <f>Ringkasan!F647</f>
        <v>4 Agustus 2026</v>
      </c>
      <c r="G648" s="64">
        <f>Ringkasan!G647</f>
        <v>10</v>
      </c>
      <c r="H648" s="19">
        <f>Ringkasan!H647</f>
        <v>6.2</v>
      </c>
      <c r="I648" s="19">
        <f>Ringkasan!I647</f>
        <v>0.81</v>
      </c>
      <c r="J648" s="19">
        <f>Ringkasan!J647</f>
        <v>13.1</v>
      </c>
      <c r="K648" s="19">
        <f>Ringkasan!K647</f>
        <v>6.6</v>
      </c>
      <c r="L648" s="19">
        <f>Ringkasan!L647</f>
        <v>1</v>
      </c>
      <c r="M648" s="19">
        <f>Ringkasan!M647</f>
        <v>19.9</v>
      </c>
      <c r="N648" s="64" t="str">
        <f>Ringkasan!N647</f>
        <v/>
      </c>
      <c r="O648" s="64" t="str">
        <f>Ringkasan!O647</f>
        <v/>
      </c>
      <c r="P648" s="64" t="str">
        <f>Ringkasan!P647</f>
        <v/>
      </c>
      <c r="Q648" s="64" t="str">
        <f>Ringkasan!Q647</f>
        <v/>
      </c>
      <c r="R648" s="64" t="str">
        <f>Ringkasan!R647</f>
        <v/>
      </c>
      <c r="S648" s="64" t="str">
        <f>Ringkasan!S647</f>
        <v/>
      </c>
      <c r="T648" s="64" t="str">
        <f>Ringkasan!T647</f>
        <v/>
      </c>
      <c r="U648" s="64">
        <f>Ringkasan!U647</f>
        <v>2.24</v>
      </c>
      <c r="V648" s="64">
        <f>Ringkasan!V647</f>
        <v>0</v>
      </c>
      <c r="W648" s="64" t="str">
        <f>Ringkasan!W647</f>
        <v/>
      </c>
      <c r="X648" s="64" t="str">
        <f>Ringkasan!X647</f>
        <v/>
      </c>
      <c r="Y648" s="64" t="str">
        <f>Ringkasan!Y647</f>
        <v/>
      </c>
      <c r="Z648" s="64">
        <f>Ringkasan!Z647</f>
        <v>0</v>
      </c>
      <c r="AA648" s="64" t="str">
        <f>Ringkasan!AA647</f>
        <v>Oil, Gas &amp; Coal Supports</v>
      </c>
      <c r="AB648" s="64" t="str">
        <f>Ringkasan!AB647</f>
        <v>Energy</v>
      </c>
    </row>
    <row r="649" hidden="1">
      <c r="A649" s="64" t="str">
        <f>Ringkasan!A648</f>
        <v>ELSA</v>
      </c>
      <c r="B649" s="64" t="str">
        <f>Ringkasan!B648</f>
        <v>Elnusa Tbk.</v>
      </c>
      <c r="C649" s="65">
        <f>Ringkasan!C648</f>
        <v>620</v>
      </c>
      <c r="D649" s="64" t="str">
        <f>Ringkasan!D648</f>
        <v>#N/A</v>
      </c>
      <c r="E649" s="64" t="str">
        <f>Ringkasan!E648</f>
        <v>IDX80</v>
      </c>
      <c r="F649" s="64" t="str">
        <f>Ringkasan!F648</f>
        <v>31 Juli 2026</v>
      </c>
      <c r="G649" s="64">
        <f>Ringkasan!G648</f>
        <v>10</v>
      </c>
      <c r="H649" s="19">
        <f>Ringkasan!H648</f>
        <v>6.2</v>
      </c>
      <c r="I649" s="19">
        <f>Ringkasan!I648</f>
        <v>0.81</v>
      </c>
      <c r="J649" s="19">
        <f>Ringkasan!J648</f>
        <v>13.1</v>
      </c>
      <c r="K649" s="19">
        <f>Ringkasan!K648</f>
        <v>6.6</v>
      </c>
      <c r="L649" s="19">
        <f>Ringkasan!L648</f>
        <v>1</v>
      </c>
      <c r="M649" s="19">
        <f>Ringkasan!M648</f>
        <v>19.9</v>
      </c>
      <c r="N649" s="64" t="str">
        <f>Ringkasan!N648</f>
        <v/>
      </c>
      <c r="O649" s="64" t="str">
        <f>Ringkasan!O648</f>
        <v/>
      </c>
      <c r="P649" s="64" t="str">
        <f>Ringkasan!P648</f>
        <v/>
      </c>
      <c r="Q649" s="64" t="str">
        <f>Ringkasan!Q648</f>
        <v/>
      </c>
      <c r="R649" s="64" t="str">
        <f>Ringkasan!R648</f>
        <v/>
      </c>
      <c r="S649" s="64" t="str">
        <f>Ringkasan!S648</f>
        <v/>
      </c>
      <c r="T649" s="64" t="str">
        <f>Ringkasan!T648</f>
        <v/>
      </c>
      <c r="U649" s="64">
        <f>Ringkasan!U648</f>
        <v>2.24</v>
      </c>
      <c r="V649" s="64">
        <f>Ringkasan!V648</f>
        <v>0</v>
      </c>
      <c r="W649" s="64" t="str">
        <f>Ringkasan!W648</f>
        <v/>
      </c>
      <c r="X649" s="64" t="str">
        <f>Ringkasan!X648</f>
        <v/>
      </c>
      <c r="Y649" s="64" t="str">
        <f>Ringkasan!Y648</f>
        <v/>
      </c>
      <c r="Z649" s="64">
        <f>Ringkasan!Z648</f>
        <v>0</v>
      </c>
      <c r="AA649" s="64" t="str">
        <f>Ringkasan!AA648</f>
        <v>Oil, Gas &amp; Coal Supports</v>
      </c>
      <c r="AB649" s="64" t="str">
        <f>Ringkasan!AB648</f>
        <v>Energy</v>
      </c>
    </row>
    <row r="650" hidden="1">
      <c r="A650" s="64" t="str">
        <f>Ringkasan!A649</f>
        <v>ELSA</v>
      </c>
      <c r="B650" s="64" t="str">
        <f>Ringkasan!B649</f>
        <v>Elnusa Tbk.</v>
      </c>
      <c r="C650" s="65">
        <f>Ringkasan!C649</f>
        <v>620</v>
      </c>
      <c r="D650" s="64" t="str">
        <f>Ringkasan!D649</f>
        <v>#N/A</v>
      </c>
      <c r="E650" s="64" t="str">
        <f>Ringkasan!E649</f>
        <v>IDXV30</v>
      </c>
      <c r="F650" s="64" t="str">
        <f>Ringkasan!F649</f>
        <v>4 Agustus 2026</v>
      </c>
      <c r="G650" s="64">
        <f>Ringkasan!G649</f>
        <v>10</v>
      </c>
      <c r="H650" s="19">
        <f>Ringkasan!H649</f>
        <v>6.2</v>
      </c>
      <c r="I650" s="19">
        <f>Ringkasan!I649</f>
        <v>0.81</v>
      </c>
      <c r="J650" s="19">
        <f>Ringkasan!J649</f>
        <v>13.1</v>
      </c>
      <c r="K650" s="19">
        <f>Ringkasan!K649</f>
        <v>6.6</v>
      </c>
      <c r="L650" s="19">
        <f>Ringkasan!L649</f>
        <v>1</v>
      </c>
      <c r="M650" s="19">
        <f>Ringkasan!M649</f>
        <v>19.9</v>
      </c>
      <c r="N650" s="64" t="str">
        <f>Ringkasan!N649</f>
        <v/>
      </c>
      <c r="O650" s="64" t="str">
        <f>Ringkasan!O649</f>
        <v/>
      </c>
      <c r="P650" s="64" t="str">
        <f>Ringkasan!P649</f>
        <v/>
      </c>
      <c r="Q650" s="64" t="str">
        <f>Ringkasan!Q649</f>
        <v/>
      </c>
      <c r="R650" s="64" t="str">
        <f>Ringkasan!R649</f>
        <v/>
      </c>
      <c r="S650" s="64" t="str">
        <f>Ringkasan!S649</f>
        <v/>
      </c>
      <c r="T650" s="64" t="str">
        <f>Ringkasan!T649</f>
        <v/>
      </c>
      <c r="U650" s="64">
        <f>Ringkasan!U649</f>
        <v>2.24</v>
      </c>
      <c r="V650" s="64">
        <f>Ringkasan!V649</f>
        <v>0</v>
      </c>
      <c r="W650" s="64" t="str">
        <f>Ringkasan!W649</f>
        <v/>
      </c>
      <c r="X650" s="64" t="str">
        <f>Ringkasan!X649</f>
        <v/>
      </c>
      <c r="Y650" s="64" t="str">
        <f>Ringkasan!Y649</f>
        <v/>
      </c>
      <c r="Z650" s="64">
        <f>Ringkasan!Z649</f>
        <v>0</v>
      </c>
      <c r="AA650" s="64" t="str">
        <f>Ringkasan!AA649</f>
        <v>Oil, Gas &amp; Coal Supports</v>
      </c>
      <c r="AB650" s="64" t="str">
        <f>Ringkasan!AB649</f>
        <v>Energy</v>
      </c>
    </row>
    <row r="651" hidden="1">
      <c r="A651" s="64" t="str">
        <f>Ringkasan!A650</f>
        <v>ELSA</v>
      </c>
      <c r="B651" s="64" t="str">
        <f>Ringkasan!B650</f>
        <v>Elnusa Tbk.</v>
      </c>
      <c r="C651" s="65">
        <f>Ringkasan!C650</f>
        <v>620</v>
      </c>
      <c r="D651" s="64" t="str">
        <f>Ringkasan!D650</f>
        <v>#N/A</v>
      </c>
      <c r="E651" s="64" t="str">
        <f>Ringkasan!E650</f>
        <v>IDXSMC-LIQ</v>
      </c>
      <c r="F651" s="64" t="str">
        <f>Ringkasan!F650</f>
        <v>4 Agustus 2026</v>
      </c>
      <c r="G651" s="64">
        <f>Ringkasan!G650</f>
        <v>10</v>
      </c>
      <c r="H651" s="19">
        <f>Ringkasan!H650</f>
        <v>6.2</v>
      </c>
      <c r="I651" s="19">
        <f>Ringkasan!I650</f>
        <v>0.81</v>
      </c>
      <c r="J651" s="19">
        <f>Ringkasan!J650</f>
        <v>13.1</v>
      </c>
      <c r="K651" s="19">
        <f>Ringkasan!K650</f>
        <v>6.6</v>
      </c>
      <c r="L651" s="19">
        <f>Ringkasan!L650</f>
        <v>1</v>
      </c>
      <c r="M651" s="19">
        <f>Ringkasan!M650</f>
        <v>19.9</v>
      </c>
      <c r="N651" s="64" t="str">
        <f>Ringkasan!N650</f>
        <v/>
      </c>
      <c r="O651" s="64" t="str">
        <f>Ringkasan!O650</f>
        <v/>
      </c>
      <c r="P651" s="64" t="str">
        <f>Ringkasan!P650</f>
        <v/>
      </c>
      <c r="Q651" s="64" t="str">
        <f>Ringkasan!Q650</f>
        <v/>
      </c>
      <c r="R651" s="64" t="str">
        <f>Ringkasan!R650</f>
        <v/>
      </c>
      <c r="S651" s="64" t="str">
        <f>Ringkasan!S650</f>
        <v/>
      </c>
      <c r="T651" s="64" t="str">
        <f>Ringkasan!T650</f>
        <v/>
      </c>
      <c r="U651" s="64">
        <f>Ringkasan!U650</f>
        <v>2.24</v>
      </c>
      <c r="V651" s="64">
        <f>Ringkasan!V650</f>
        <v>0</v>
      </c>
      <c r="W651" s="64" t="str">
        <f>Ringkasan!W650</f>
        <v/>
      </c>
      <c r="X651" s="64" t="str">
        <f>Ringkasan!X650</f>
        <v/>
      </c>
      <c r="Y651" s="64" t="str">
        <f>Ringkasan!Y650</f>
        <v/>
      </c>
      <c r="Z651" s="64">
        <f>Ringkasan!Z650</f>
        <v>0</v>
      </c>
      <c r="AA651" s="64" t="str">
        <f>Ringkasan!AA650</f>
        <v>Oil, Gas &amp; Coal Supports</v>
      </c>
      <c r="AB651" s="64" t="str">
        <f>Ringkasan!AB650</f>
        <v>Energy</v>
      </c>
    </row>
    <row r="652" hidden="1">
      <c r="A652" s="64" t="str">
        <f>Ringkasan!A651</f>
        <v>ELSA</v>
      </c>
      <c r="B652" s="64" t="str">
        <f>Ringkasan!B651</f>
        <v>Elnusa Tbk.</v>
      </c>
      <c r="C652" s="65">
        <f>Ringkasan!C651</f>
        <v>620</v>
      </c>
      <c r="D652" s="64" t="str">
        <f>Ringkasan!D651</f>
        <v>#N/A</v>
      </c>
      <c r="E652" s="64" t="str">
        <f>Ringkasan!E651</f>
        <v>SMINFRA18</v>
      </c>
      <c r="F652" s="64" t="str">
        <f>Ringkasan!F651</f>
        <v>30 Oktober 2026</v>
      </c>
      <c r="G652" s="64">
        <f>Ringkasan!G651</f>
        <v>10</v>
      </c>
      <c r="H652" s="19">
        <f>Ringkasan!H651</f>
        <v>6.2</v>
      </c>
      <c r="I652" s="19">
        <f>Ringkasan!I651</f>
        <v>0.81</v>
      </c>
      <c r="J652" s="19">
        <f>Ringkasan!J651</f>
        <v>13.1</v>
      </c>
      <c r="K652" s="19">
        <f>Ringkasan!K651</f>
        <v>6.6</v>
      </c>
      <c r="L652" s="19">
        <f>Ringkasan!L651</f>
        <v>1</v>
      </c>
      <c r="M652" s="19">
        <f>Ringkasan!M651</f>
        <v>19.9</v>
      </c>
      <c r="N652" s="64" t="str">
        <f>Ringkasan!N651</f>
        <v/>
      </c>
      <c r="O652" s="64" t="str">
        <f>Ringkasan!O651</f>
        <v/>
      </c>
      <c r="P652" s="64" t="str">
        <f>Ringkasan!P651</f>
        <v/>
      </c>
      <c r="Q652" s="64" t="str">
        <f>Ringkasan!Q651</f>
        <v/>
      </c>
      <c r="R652" s="64" t="str">
        <f>Ringkasan!R651</f>
        <v/>
      </c>
      <c r="S652" s="64" t="str">
        <f>Ringkasan!S651</f>
        <v/>
      </c>
      <c r="T652" s="64" t="str">
        <f>Ringkasan!T651</f>
        <v/>
      </c>
      <c r="U652" s="64">
        <f>Ringkasan!U651</f>
        <v>2.24</v>
      </c>
      <c r="V652" s="64">
        <f>Ringkasan!V651</f>
        <v>0</v>
      </c>
      <c r="W652" s="64" t="str">
        <f>Ringkasan!W651</f>
        <v/>
      </c>
      <c r="X652" s="64" t="str">
        <f>Ringkasan!X651</f>
        <v/>
      </c>
      <c r="Y652" s="64" t="str">
        <f>Ringkasan!Y651</f>
        <v/>
      </c>
      <c r="Z652" s="64">
        <f>Ringkasan!Z651</f>
        <v>0</v>
      </c>
      <c r="AA652" s="64" t="str">
        <f>Ringkasan!AA651</f>
        <v>Oil, Gas &amp; Coal Supports</v>
      </c>
      <c r="AB652" s="64" t="str">
        <f>Ringkasan!AB651</f>
        <v>Energy</v>
      </c>
    </row>
    <row r="653" hidden="1">
      <c r="A653" s="64" t="str">
        <f>Ringkasan!A652</f>
        <v>ELSA</v>
      </c>
      <c r="B653" s="64" t="str">
        <f>Ringkasan!B652</f>
        <v>Elnusa Tbk.</v>
      </c>
      <c r="C653" s="65">
        <f>Ringkasan!C652</f>
        <v>620</v>
      </c>
      <c r="D653" s="64" t="str">
        <f>Ringkasan!D652</f>
        <v>#N/A</v>
      </c>
      <c r="E653" s="64" t="str">
        <f>Ringkasan!E652</f>
        <v>JII70</v>
      </c>
      <c r="F653" s="66">
        <f>Ringkasan!F652</f>
        <v>46356</v>
      </c>
      <c r="G653" s="64">
        <f>Ringkasan!G652</f>
        <v>10</v>
      </c>
      <c r="H653" s="19">
        <f>Ringkasan!H652</f>
        <v>6.2</v>
      </c>
      <c r="I653" s="19">
        <f>Ringkasan!I652</f>
        <v>0.81</v>
      </c>
      <c r="J653" s="19">
        <f>Ringkasan!J652</f>
        <v>13.1</v>
      </c>
      <c r="K653" s="19">
        <f>Ringkasan!K652</f>
        <v>6.6</v>
      </c>
      <c r="L653" s="19">
        <f>Ringkasan!L652</f>
        <v>1</v>
      </c>
      <c r="M653" s="19">
        <f>Ringkasan!M652</f>
        <v>19.9</v>
      </c>
      <c r="N653" s="64" t="str">
        <f>Ringkasan!N652</f>
        <v/>
      </c>
      <c r="O653" s="64" t="str">
        <f>Ringkasan!O652</f>
        <v/>
      </c>
      <c r="P653" s="64" t="str">
        <f>Ringkasan!P652</f>
        <v/>
      </c>
      <c r="Q653" s="64" t="str">
        <f>Ringkasan!Q652</f>
        <v/>
      </c>
      <c r="R653" s="64" t="str">
        <f>Ringkasan!R652</f>
        <v/>
      </c>
      <c r="S653" s="64" t="str">
        <f>Ringkasan!S652</f>
        <v/>
      </c>
      <c r="T653" s="64" t="str">
        <f>Ringkasan!T652</f>
        <v/>
      </c>
      <c r="U653" s="64">
        <f>Ringkasan!U652</f>
        <v>2.24</v>
      </c>
      <c r="V653" s="64">
        <f>Ringkasan!V652</f>
        <v>0</v>
      </c>
      <c r="W653" s="64" t="str">
        <f>Ringkasan!W652</f>
        <v/>
      </c>
      <c r="X653" s="64" t="str">
        <f>Ringkasan!X652</f>
        <v/>
      </c>
      <c r="Y653" s="64" t="str">
        <f>Ringkasan!Y652</f>
        <v/>
      </c>
      <c r="Z653" s="64">
        <f>Ringkasan!Z652</f>
        <v>0</v>
      </c>
      <c r="AA653" s="64" t="str">
        <f>Ringkasan!AA652</f>
        <v>Oil, Gas &amp; Coal Supports</v>
      </c>
      <c r="AB653" s="64" t="str">
        <f>Ringkasan!AB652</f>
        <v>Energy</v>
      </c>
    </row>
    <row r="654" hidden="1">
      <c r="A654" s="64" t="str">
        <f>Ringkasan!A653</f>
        <v>ELTY</v>
      </c>
      <c r="B654" s="64" t="str">
        <f>Ringkasan!B653</f>
        <v>Bakrieland Development Tbk.</v>
      </c>
      <c r="C654" s="65">
        <f>Ringkasan!C653</f>
        <v>26</v>
      </c>
      <c r="D654" s="64" t="str">
        <f>Ringkasan!D653</f>
        <v>#N/A</v>
      </c>
      <c r="E654" s="64" t="str">
        <f>Ringkasan!E653</f>
        <v/>
      </c>
      <c r="F654" s="64" t="str">
        <f>Ringkasan!F653</f>
        <v/>
      </c>
      <c r="G654" s="64">
        <f>Ringkasan!G653</f>
        <v>0</v>
      </c>
      <c r="H654" s="19">
        <f>Ringkasan!H653</f>
        <v>220</v>
      </c>
      <c r="I654" s="19">
        <f>Ringkasan!I653</f>
        <v>0.23</v>
      </c>
      <c r="J654" s="19">
        <f>Ringkasan!J653</f>
        <v>0.1</v>
      </c>
      <c r="K654" s="19">
        <f>Ringkasan!K653</f>
        <v>0.07</v>
      </c>
      <c r="L654" s="19">
        <f>Ringkasan!L653</f>
        <v>0.44</v>
      </c>
      <c r="M654" s="19">
        <f>Ringkasan!M653</f>
        <v>1.8</v>
      </c>
      <c r="N654" s="64" t="str">
        <f>Ringkasan!N653</f>
        <v/>
      </c>
      <c r="O654" s="64" t="str">
        <f>Ringkasan!O653</f>
        <v/>
      </c>
      <c r="P654" s="64" t="str">
        <f>Ringkasan!P653</f>
        <v/>
      </c>
      <c r="Q654" s="64" t="str">
        <f>Ringkasan!Q653</f>
        <v/>
      </c>
      <c r="R654" s="64" t="str">
        <f>Ringkasan!R653</f>
        <v/>
      </c>
      <c r="S654" s="64" t="str">
        <f>Ringkasan!S653</f>
        <v/>
      </c>
      <c r="T654" s="64" t="str">
        <f>Ringkasan!T653</f>
        <v/>
      </c>
      <c r="U654" s="64">
        <f>Ringkasan!U653</f>
        <v>24</v>
      </c>
      <c r="V654" s="64">
        <f>Ringkasan!V653</f>
        <v>8.33</v>
      </c>
      <c r="W654" s="64">
        <f>Ringkasan!W653</f>
        <v>24</v>
      </c>
      <c r="X654" s="64">
        <f>Ringkasan!X653</f>
        <v>26</v>
      </c>
      <c r="Y654" s="64">
        <f>Ringkasan!Y653</f>
        <v>24</v>
      </c>
      <c r="Z654" s="64">
        <f>Ringkasan!Z653</f>
        <v>97653700</v>
      </c>
      <c r="AA654" s="64" t="str">
        <f>Ringkasan!AA653</f>
        <v>Real Estate Management &amp; Development</v>
      </c>
      <c r="AB654" s="64" t="str">
        <f>Ringkasan!AB653</f>
        <v>Properties &amp; Real Estate</v>
      </c>
    </row>
    <row r="655" hidden="1">
      <c r="A655" s="64" t="str">
        <f>Ringkasan!A654</f>
        <v>EMAS</v>
      </c>
      <c r="B655" s="64" t="str">
        <f>Ringkasan!B654</f>
        <v>Merdeka Gold Resources Tbk.</v>
      </c>
      <c r="C655" s="65">
        <f>Ringkasan!C654</f>
        <v>6975</v>
      </c>
      <c r="D655" s="64" t="str">
        <f>Ringkasan!D654</f>
        <v>#N/A</v>
      </c>
      <c r="E655" s="64" t="str">
        <f>Ringkasan!E654</f>
        <v/>
      </c>
      <c r="F655" s="64" t="str">
        <f>Ringkasan!F654</f>
        <v/>
      </c>
      <c r="G655" s="64">
        <f>Ringkasan!G654</f>
        <v>0</v>
      </c>
      <c r="H655" s="19">
        <f>Ringkasan!H654</f>
        <v>-250</v>
      </c>
      <c r="I655" s="19">
        <f>Ringkasan!I654</f>
        <v>18</v>
      </c>
      <c r="J655" s="19">
        <f>Ringkasan!J654</f>
        <v>-7.2</v>
      </c>
      <c r="K655" s="19">
        <f>Ringkasan!K654</f>
        <v>-3.7</v>
      </c>
      <c r="L655" s="19">
        <f>Ringkasan!L654</f>
        <v>0.94</v>
      </c>
      <c r="M655" s="19">
        <f>Ringkasan!M654</f>
        <v>-21000</v>
      </c>
      <c r="N655" s="64" t="str">
        <f>Ringkasan!N654</f>
        <v/>
      </c>
      <c r="O655" s="64" t="str">
        <f>Ringkasan!O654</f>
        <v/>
      </c>
      <c r="P655" s="64" t="str">
        <f>Ringkasan!P654</f>
        <v/>
      </c>
      <c r="Q655" s="64" t="str">
        <f>Ringkasan!Q654</f>
        <v/>
      </c>
      <c r="R655" s="64" t="str">
        <f>Ringkasan!R654</f>
        <v/>
      </c>
      <c r="S655" s="64" t="str">
        <f>Ringkasan!S654</f>
        <v/>
      </c>
      <c r="T655" s="64" t="str">
        <f>Ringkasan!T654</f>
        <v/>
      </c>
      <c r="U655" s="64">
        <f>Ringkasan!U654</f>
        <v>98.12</v>
      </c>
      <c r="V655" s="64">
        <f>Ringkasan!V654</f>
        <v>0</v>
      </c>
      <c r="W655" s="64" t="str">
        <f>Ringkasan!W654</f>
        <v/>
      </c>
      <c r="X655" s="64" t="str">
        <f>Ringkasan!X654</f>
        <v/>
      </c>
      <c r="Y655" s="64" t="str">
        <f>Ringkasan!Y654</f>
        <v/>
      </c>
      <c r="Z655" s="64">
        <f>Ringkasan!Z654</f>
        <v>0</v>
      </c>
      <c r="AA655" s="64" t="str">
        <f>Ringkasan!AA654</f>
        <v>Metals &amp; Minerals</v>
      </c>
      <c r="AB655" s="64" t="str">
        <f>Ringkasan!AB654</f>
        <v>Basic Materials</v>
      </c>
    </row>
    <row r="656" hidden="1">
      <c r="A656" s="64" t="str">
        <f>Ringkasan!A655</f>
        <v>EMDE</v>
      </c>
      <c r="B656" s="64" t="str">
        <f>Ringkasan!B655</f>
        <v>Megapolitan Developments Tbk.</v>
      </c>
      <c r="C656" s="65">
        <f>Ringkasan!C655</f>
        <v>55</v>
      </c>
      <c r="D656" s="64" t="str">
        <f>Ringkasan!D655</f>
        <v>#N/A</v>
      </c>
      <c r="E656" s="64" t="str">
        <f>Ringkasan!E655</f>
        <v/>
      </c>
      <c r="F656" s="64" t="str">
        <f>Ringkasan!F655</f>
        <v/>
      </c>
      <c r="G656" s="64">
        <f>Ringkasan!G655</f>
        <v>0</v>
      </c>
      <c r="H656" s="19">
        <f>Ringkasan!H655</f>
        <v>-2.6</v>
      </c>
      <c r="I656" s="19">
        <f>Ringkasan!I655</f>
        <v>0.1</v>
      </c>
      <c r="J656" s="19">
        <f>Ringkasan!J655</f>
        <v>-3.8</v>
      </c>
      <c r="K656" s="19">
        <f>Ringkasan!K655</f>
        <v>-2.5</v>
      </c>
      <c r="L656" s="19">
        <f>Ringkasan!L655</f>
        <v>0.53</v>
      </c>
      <c r="M656" s="19">
        <f>Ringkasan!M655</f>
        <v>-180</v>
      </c>
      <c r="N656" s="64" t="str">
        <f>Ringkasan!N655</f>
        <v/>
      </c>
      <c r="O656" s="64" t="str">
        <f>Ringkasan!O655</f>
        <v/>
      </c>
      <c r="P656" s="64" t="str">
        <f>Ringkasan!P655</f>
        <v/>
      </c>
      <c r="Q656" s="64" t="str">
        <f>Ringkasan!Q655</f>
        <v/>
      </c>
      <c r="R656" s="64" t="str">
        <f>Ringkasan!R655</f>
        <v/>
      </c>
      <c r="S656" s="64" t="str">
        <f>Ringkasan!S655</f>
        <v/>
      </c>
      <c r="T656" s="64" t="str">
        <f>Ringkasan!T655</f>
        <v/>
      </c>
      <c r="U656" s="64">
        <f>Ringkasan!U655</f>
        <v>56</v>
      </c>
      <c r="V656" s="64">
        <f>Ringkasan!V655</f>
        <v>-1.79</v>
      </c>
      <c r="W656" s="64">
        <f>Ringkasan!W655</f>
        <v>55</v>
      </c>
      <c r="X656" s="64">
        <f>Ringkasan!X655</f>
        <v>57</v>
      </c>
      <c r="Y656" s="64">
        <f>Ringkasan!Y655</f>
        <v>53</v>
      </c>
      <c r="Z656" s="64" t="str">
        <f>Ringkasan!Z655</f>
        <v/>
      </c>
      <c r="AA656" s="64" t="str">
        <f>Ringkasan!AA655</f>
        <v>Real Estate Management &amp; Development</v>
      </c>
      <c r="AB656" s="64" t="str">
        <f>Ringkasan!AB655</f>
        <v>Properties &amp; Real Estate</v>
      </c>
    </row>
    <row r="657" hidden="1">
      <c r="A657" s="64" t="str">
        <f>Ringkasan!A656</f>
        <v>EMTK</v>
      </c>
      <c r="B657" s="64" t="str">
        <f>Ringkasan!B656</f>
        <v>Elang Mahkota Teknologi Tbk.</v>
      </c>
      <c r="C657" s="65">
        <f>Ringkasan!C656</f>
        <v>550</v>
      </c>
      <c r="D657" s="64" t="str">
        <f>Ringkasan!D656</f>
        <v>#N/A</v>
      </c>
      <c r="E657" s="64" t="str">
        <f>Ringkasan!E656</f>
        <v>ESGQKEHATI</v>
      </c>
      <c r="F657" s="66">
        <f>Ringkasan!F656</f>
        <v>46356</v>
      </c>
      <c r="G657" s="65">
        <f>Ringkasan!G656</f>
        <v>13</v>
      </c>
      <c r="H657" s="19">
        <f>Ringkasan!H656</f>
        <v>13.4</v>
      </c>
      <c r="I657" s="19">
        <f>Ringkasan!I656</f>
        <v>0.72</v>
      </c>
      <c r="J657" s="19">
        <f>Ringkasan!J656</f>
        <v>5.4</v>
      </c>
      <c r="K657" s="19">
        <f>Ringkasan!K656</f>
        <v>4.7</v>
      </c>
      <c r="L657" s="19">
        <f>Ringkasan!L656</f>
        <v>0.14</v>
      </c>
      <c r="M657" s="19">
        <f>Ringkasan!M656</f>
        <v>48.5</v>
      </c>
      <c r="N657" s="64" t="str">
        <f>Ringkasan!N656</f>
        <v/>
      </c>
      <c r="O657" s="64" t="str">
        <f>Ringkasan!O656</f>
        <v/>
      </c>
      <c r="P657" s="64" t="str">
        <f>Ringkasan!P656</f>
        <v/>
      </c>
      <c r="Q657" s="64" t="str">
        <f>Ringkasan!Q656</f>
        <v/>
      </c>
      <c r="R657" s="64" t="str">
        <f>Ringkasan!R656</f>
        <v/>
      </c>
      <c r="S657" s="64" t="str">
        <f>Ringkasan!S656</f>
        <v/>
      </c>
      <c r="T657" s="64" t="str">
        <f>Ringkasan!T656</f>
        <v/>
      </c>
      <c r="U657" s="64">
        <f>Ringkasan!U656</f>
        <v>525</v>
      </c>
      <c r="V657" s="64">
        <f>Ringkasan!V656</f>
        <v>4.76</v>
      </c>
      <c r="W657" s="64">
        <f>Ringkasan!W656</f>
        <v>530</v>
      </c>
      <c r="X657" s="64">
        <f>Ringkasan!X656</f>
        <v>570</v>
      </c>
      <c r="Y657" s="64">
        <f>Ringkasan!Y656</f>
        <v>530</v>
      </c>
      <c r="Z657" s="64">
        <f>Ringkasan!Z656</f>
        <v>34198900</v>
      </c>
      <c r="AA657" s="64" t="str">
        <f>Ringkasan!AA656</f>
        <v>Online Applications &amp; Services</v>
      </c>
      <c r="AB657" s="64" t="str">
        <f>Ringkasan!AB656</f>
        <v>Technology</v>
      </c>
    </row>
    <row r="658" hidden="1">
      <c r="A658" s="64" t="str">
        <f>Ringkasan!A657</f>
        <v>EMTK</v>
      </c>
      <c r="B658" s="64" t="str">
        <f>Ringkasan!B657</f>
        <v>Elang Mahkota Teknologi Tbk.</v>
      </c>
      <c r="C658" s="65">
        <f>Ringkasan!C657</f>
        <v>550</v>
      </c>
      <c r="D658" s="64" t="str">
        <f>Ringkasan!D657</f>
        <v>#N/A</v>
      </c>
      <c r="E658" s="64" t="str">
        <f>Ringkasan!E657</f>
        <v>ESGSKEHATI</v>
      </c>
      <c r="F658" s="66">
        <f>Ringkasan!F657</f>
        <v>46356</v>
      </c>
      <c r="G658" s="65">
        <f>Ringkasan!G657</f>
        <v>13</v>
      </c>
      <c r="H658" s="19">
        <f>Ringkasan!H657</f>
        <v>13.4</v>
      </c>
      <c r="I658" s="19">
        <f>Ringkasan!I657</f>
        <v>0.72</v>
      </c>
      <c r="J658" s="19">
        <f>Ringkasan!J657</f>
        <v>5.4</v>
      </c>
      <c r="K658" s="19">
        <f>Ringkasan!K657</f>
        <v>4.7</v>
      </c>
      <c r="L658" s="19">
        <f>Ringkasan!L657</f>
        <v>0.14</v>
      </c>
      <c r="M658" s="19">
        <f>Ringkasan!M657</f>
        <v>48.5</v>
      </c>
      <c r="N658" s="64" t="str">
        <f>Ringkasan!N657</f>
        <v/>
      </c>
      <c r="O658" s="64" t="str">
        <f>Ringkasan!O657</f>
        <v/>
      </c>
      <c r="P658" s="64" t="str">
        <f>Ringkasan!P657</f>
        <v/>
      </c>
      <c r="Q658" s="64" t="str">
        <f>Ringkasan!Q657</f>
        <v/>
      </c>
      <c r="R658" s="64" t="str">
        <f>Ringkasan!R657</f>
        <v/>
      </c>
      <c r="S658" s="64" t="str">
        <f>Ringkasan!S657</f>
        <v/>
      </c>
      <c r="T658" s="64" t="str">
        <f>Ringkasan!T657</f>
        <v/>
      </c>
      <c r="U658" s="64">
        <f>Ringkasan!U657</f>
        <v>525</v>
      </c>
      <c r="V658" s="64">
        <f>Ringkasan!V657</f>
        <v>4.76</v>
      </c>
      <c r="W658" s="64">
        <f>Ringkasan!W657</f>
        <v>530</v>
      </c>
      <c r="X658" s="64">
        <f>Ringkasan!X657</f>
        <v>570</v>
      </c>
      <c r="Y658" s="64">
        <f>Ringkasan!Y657</f>
        <v>530</v>
      </c>
      <c r="Z658" s="64">
        <f>Ringkasan!Z657</f>
        <v>34198900</v>
      </c>
      <c r="AA658" s="64" t="str">
        <f>Ringkasan!AA657</f>
        <v>Online Applications &amp; Services</v>
      </c>
      <c r="AB658" s="64" t="str">
        <f>Ringkasan!AB657</f>
        <v>Technology</v>
      </c>
    </row>
    <row r="659" hidden="1">
      <c r="A659" s="64" t="str">
        <f>Ringkasan!A658</f>
        <v>EMTK</v>
      </c>
      <c r="B659" s="64" t="str">
        <f>Ringkasan!B658</f>
        <v>Elang Mahkota Teknologi Tbk.</v>
      </c>
      <c r="C659" s="65">
        <f>Ringkasan!C658</f>
        <v>550</v>
      </c>
      <c r="D659" s="64" t="str">
        <f>Ringkasan!D658</f>
        <v>#N/A</v>
      </c>
      <c r="E659" s="64" t="str">
        <f>Ringkasan!E658</f>
        <v>IDX80</v>
      </c>
      <c r="F659" s="64" t="str">
        <f>Ringkasan!F658</f>
        <v>31 Juli 2026</v>
      </c>
      <c r="G659" s="65">
        <f>Ringkasan!G658</f>
        <v>13</v>
      </c>
      <c r="H659" s="19">
        <f>Ringkasan!H658</f>
        <v>13.4</v>
      </c>
      <c r="I659" s="19">
        <f>Ringkasan!I658</f>
        <v>0.72</v>
      </c>
      <c r="J659" s="19">
        <f>Ringkasan!J658</f>
        <v>5.4</v>
      </c>
      <c r="K659" s="19">
        <f>Ringkasan!K658</f>
        <v>4.7</v>
      </c>
      <c r="L659" s="19">
        <f>Ringkasan!L658</f>
        <v>0.14</v>
      </c>
      <c r="M659" s="19">
        <f>Ringkasan!M658</f>
        <v>48.5</v>
      </c>
      <c r="N659" s="64" t="str">
        <f>Ringkasan!N658</f>
        <v/>
      </c>
      <c r="O659" s="64" t="str">
        <f>Ringkasan!O658</f>
        <v/>
      </c>
      <c r="P659" s="64" t="str">
        <f>Ringkasan!P658</f>
        <v/>
      </c>
      <c r="Q659" s="64" t="str">
        <f>Ringkasan!Q658</f>
        <v/>
      </c>
      <c r="R659" s="64" t="str">
        <f>Ringkasan!R658</f>
        <v/>
      </c>
      <c r="S659" s="64" t="str">
        <f>Ringkasan!S658</f>
        <v/>
      </c>
      <c r="T659" s="64" t="str">
        <f>Ringkasan!T658</f>
        <v/>
      </c>
      <c r="U659" s="64">
        <f>Ringkasan!U658</f>
        <v>525</v>
      </c>
      <c r="V659" s="64">
        <f>Ringkasan!V658</f>
        <v>4.76</v>
      </c>
      <c r="W659" s="64">
        <f>Ringkasan!W658</f>
        <v>530</v>
      </c>
      <c r="X659" s="64">
        <f>Ringkasan!X658</f>
        <v>570</v>
      </c>
      <c r="Y659" s="64">
        <f>Ringkasan!Y658</f>
        <v>530</v>
      </c>
      <c r="Z659" s="64">
        <f>Ringkasan!Z658</f>
        <v>34198900</v>
      </c>
      <c r="AA659" s="64" t="str">
        <f>Ringkasan!AA658</f>
        <v>Online Applications &amp; Services</v>
      </c>
      <c r="AB659" s="64" t="str">
        <f>Ringkasan!AB658</f>
        <v>Technology</v>
      </c>
    </row>
    <row r="660" hidden="1">
      <c r="A660" s="64" t="str">
        <f>Ringkasan!A245</f>
        <v>BBMD</v>
      </c>
      <c r="B660" s="64" t="str">
        <f>Ringkasan!B245</f>
        <v>PT Bank Mestika Dharma Tbk.</v>
      </c>
      <c r="C660" s="65">
        <f>Ringkasan!C245</f>
        <v>1955</v>
      </c>
      <c r="D660" s="64" t="str">
        <f>Ringkasan!D245</f>
        <v>#N/A</v>
      </c>
      <c r="E660" s="64" t="str">
        <f>Ringkasan!E245</f>
        <v/>
      </c>
      <c r="F660" s="64" t="str">
        <f>Ringkasan!F245</f>
        <v/>
      </c>
      <c r="G660" s="64">
        <f>Ringkasan!G245</f>
        <v>0</v>
      </c>
      <c r="H660" s="19">
        <f>Ringkasan!H245</f>
        <v>24.9</v>
      </c>
      <c r="I660" s="19">
        <f>Ringkasan!I245</f>
        <v>1.5</v>
      </c>
      <c r="J660" s="19">
        <f>Ringkasan!J245</f>
        <v>5.9</v>
      </c>
      <c r="K660" s="19">
        <f>Ringkasan!K245</f>
        <v>1.9</v>
      </c>
      <c r="L660" s="19">
        <f>Ringkasan!L245</f>
        <v>2.1</v>
      </c>
      <c r="M660" s="19">
        <f>Ringkasan!M245</f>
        <v>100</v>
      </c>
      <c r="N660" s="64">
        <f>Ringkasan!N245</f>
        <v>5.61</v>
      </c>
      <c r="O660" s="64">
        <f>Ringkasan!O245</f>
        <v>43.15</v>
      </c>
      <c r="P660" s="64">
        <f>Ringkasan!P245</f>
        <v>100.52</v>
      </c>
      <c r="Q660" s="64">
        <f>Ringkasan!Q245</f>
        <v>1.33</v>
      </c>
      <c r="R660" s="64">
        <f>Ringkasan!R245</f>
        <v>68.96</v>
      </c>
      <c r="S660" s="64">
        <f>Ringkasan!S245</f>
        <v>60.63</v>
      </c>
      <c r="T660" s="64" t="str">
        <f>Ringkasan!T245</f>
        <v/>
      </c>
      <c r="U660" s="64">
        <f>Ringkasan!U245</f>
        <v>1865</v>
      </c>
      <c r="V660" s="64">
        <f>Ringkasan!V245</f>
        <v>4.83</v>
      </c>
      <c r="W660" s="64">
        <f>Ringkasan!W245</f>
        <v>1955</v>
      </c>
      <c r="X660" s="64">
        <f>Ringkasan!X245</f>
        <v>1980</v>
      </c>
      <c r="Y660" s="64">
        <f>Ringkasan!Y245</f>
        <v>1945</v>
      </c>
      <c r="Z660" s="64">
        <f>Ringkasan!Z245</f>
        <v>3200</v>
      </c>
      <c r="AA660" s="64" t="str">
        <f>Ringkasan!AA245</f>
        <v>Banks</v>
      </c>
      <c r="AB660" s="64" t="str">
        <f>Ringkasan!AB245</f>
        <v>Financials</v>
      </c>
    </row>
    <row r="661" hidden="1">
      <c r="A661" s="64" t="str">
        <f>Ringkasan!A660</f>
        <v>EMTK</v>
      </c>
      <c r="B661" s="64" t="str">
        <f>Ringkasan!B660</f>
        <v>Elang Mahkota Teknologi Tbk.</v>
      </c>
      <c r="C661" s="65">
        <f>Ringkasan!C660</f>
        <v>550</v>
      </c>
      <c r="D661" s="64" t="str">
        <f>Ringkasan!D660</f>
        <v>#N/A</v>
      </c>
      <c r="E661" s="64" t="str">
        <f>Ringkasan!E660</f>
        <v>IDXESGL</v>
      </c>
      <c r="F661" s="64" t="str">
        <f>Ringkasan!F660</f>
        <v>30 Oktober 2026</v>
      </c>
      <c r="G661" s="65">
        <f>Ringkasan!G660</f>
        <v>13</v>
      </c>
      <c r="H661" s="19">
        <f>Ringkasan!H660</f>
        <v>13.4</v>
      </c>
      <c r="I661" s="19">
        <f>Ringkasan!I660</f>
        <v>0.72</v>
      </c>
      <c r="J661" s="19">
        <f>Ringkasan!J660</f>
        <v>5.4</v>
      </c>
      <c r="K661" s="19">
        <f>Ringkasan!K660</f>
        <v>4.7</v>
      </c>
      <c r="L661" s="19">
        <f>Ringkasan!L660</f>
        <v>0.14</v>
      </c>
      <c r="M661" s="19">
        <f>Ringkasan!M660</f>
        <v>48.5</v>
      </c>
      <c r="N661" s="64" t="str">
        <f>Ringkasan!N660</f>
        <v/>
      </c>
      <c r="O661" s="64" t="str">
        <f>Ringkasan!O660</f>
        <v/>
      </c>
      <c r="P661" s="64" t="str">
        <f>Ringkasan!P660</f>
        <v/>
      </c>
      <c r="Q661" s="64" t="str">
        <f>Ringkasan!Q660</f>
        <v/>
      </c>
      <c r="R661" s="64" t="str">
        <f>Ringkasan!R660</f>
        <v/>
      </c>
      <c r="S661" s="64" t="str">
        <f>Ringkasan!S660</f>
        <v/>
      </c>
      <c r="T661" s="64" t="str">
        <f>Ringkasan!T660</f>
        <v/>
      </c>
      <c r="U661" s="64">
        <f>Ringkasan!U660</f>
        <v>525</v>
      </c>
      <c r="V661" s="64">
        <f>Ringkasan!V660</f>
        <v>4.76</v>
      </c>
      <c r="W661" s="64">
        <f>Ringkasan!W660</f>
        <v>530</v>
      </c>
      <c r="X661" s="64">
        <f>Ringkasan!X660</f>
        <v>570</v>
      </c>
      <c r="Y661" s="64">
        <f>Ringkasan!Y660</f>
        <v>530</v>
      </c>
      <c r="Z661" s="64">
        <f>Ringkasan!Z660</f>
        <v>34198900</v>
      </c>
      <c r="AA661" s="64" t="str">
        <f>Ringkasan!AA660</f>
        <v>Online Applications &amp; Services</v>
      </c>
      <c r="AB661" s="64" t="str">
        <f>Ringkasan!AB660</f>
        <v>Technology</v>
      </c>
    </row>
    <row r="662" hidden="1">
      <c r="A662" s="64" t="str">
        <f>Ringkasan!A661</f>
        <v>EMTK</v>
      </c>
      <c r="B662" s="64" t="str">
        <f>Ringkasan!B661</f>
        <v>Elang Mahkota Teknologi Tbk.</v>
      </c>
      <c r="C662" s="65">
        <f>Ringkasan!C661</f>
        <v>550</v>
      </c>
      <c r="D662" s="64" t="str">
        <f>Ringkasan!D661</f>
        <v>#N/A</v>
      </c>
      <c r="E662" s="64" t="str">
        <f>Ringkasan!E661</f>
        <v>IDX30</v>
      </c>
      <c r="F662" s="64" t="str">
        <f>Ringkasan!F661</f>
        <v>31 Juli 2026</v>
      </c>
      <c r="G662" s="65">
        <f>Ringkasan!G661</f>
        <v>13</v>
      </c>
      <c r="H662" s="19">
        <f>Ringkasan!H661</f>
        <v>13.4</v>
      </c>
      <c r="I662" s="19">
        <f>Ringkasan!I661</f>
        <v>0.72</v>
      </c>
      <c r="J662" s="19">
        <f>Ringkasan!J661</f>
        <v>5.4</v>
      </c>
      <c r="K662" s="19">
        <f>Ringkasan!K661</f>
        <v>4.7</v>
      </c>
      <c r="L662" s="19">
        <f>Ringkasan!L661</f>
        <v>0.14</v>
      </c>
      <c r="M662" s="19">
        <f>Ringkasan!M661</f>
        <v>48.5</v>
      </c>
      <c r="N662" s="64" t="str">
        <f>Ringkasan!N661</f>
        <v/>
      </c>
      <c r="O662" s="64" t="str">
        <f>Ringkasan!O661</f>
        <v/>
      </c>
      <c r="P662" s="64" t="str">
        <f>Ringkasan!P661</f>
        <v/>
      </c>
      <c r="Q662" s="64" t="str">
        <f>Ringkasan!Q661</f>
        <v/>
      </c>
      <c r="R662" s="64" t="str">
        <f>Ringkasan!R661</f>
        <v/>
      </c>
      <c r="S662" s="64" t="str">
        <f>Ringkasan!S661</f>
        <v/>
      </c>
      <c r="T662" s="64" t="str">
        <f>Ringkasan!T661</f>
        <v/>
      </c>
      <c r="U662" s="64">
        <f>Ringkasan!U661</f>
        <v>525</v>
      </c>
      <c r="V662" s="64">
        <f>Ringkasan!V661</f>
        <v>4.76</v>
      </c>
      <c r="W662" s="64">
        <f>Ringkasan!W661</f>
        <v>530</v>
      </c>
      <c r="X662" s="64">
        <f>Ringkasan!X661</f>
        <v>570</v>
      </c>
      <c r="Y662" s="64">
        <f>Ringkasan!Y661</f>
        <v>530</v>
      </c>
      <c r="Z662" s="64">
        <f>Ringkasan!Z661</f>
        <v>34198900</v>
      </c>
      <c r="AA662" s="64" t="str">
        <f>Ringkasan!AA661</f>
        <v>Online Applications &amp; Services</v>
      </c>
      <c r="AB662" s="64" t="str">
        <f>Ringkasan!AB661</f>
        <v>Technology</v>
      </c>
    </row>
    <row r="663" hidden="1">
      <c r="A663" s="64" t="str">
        <f>Ringkasan!A662</f>
        <v>EMTK</v>
      </c>
      <c r="B663" s="64" t="str">
        <f>Ringkasan!B662</f>
        <v>Elang Mahkota Teknologi Tbk.</v>
      </c>
      <c r="C663" s="65">
        <f>Ringkasan!C662</f>
        <v>550</v>
      </c>
      <c r="D663" s="64" t="str">
        <f>Ringkasan!D662</f>
        <v>#N/A</v>
      </c>
      <c r="E663" s="64" t="str">
        <f>Ringkasan!E662</f>
        <v>IDXVESTA28</v>
      </c>
      <c r="F663" s="64" t="str">
        <f>Ringkasan!F662</f>
        <v>31 Agustus 2026</v>
      </c>
      <c r="G663" s="65">
        <f>Ringkasan!G662</f>
        <v>13</v>
      </c>
      <c r="H663" s="19">
        <f>Ringkasan!H662</f>
        <v>13.4</v>
      </c>
      <c r="I663" s="19">
        <f>Ringkasan!I662</f>
        <v>0.72</v>
      </c>
      <c r="J663" s="19">
        <f>Ringkasan!J662</f>
        <v>5.4</v>
      </c>
      <c r="K663" s="19">
        <f>Ringkasan!K662</f>
        <v>4.7</v>
      </c>
      <c r="L663" s="19">
        <f>Ringkasan!L662</f>
        <v>0.14</v>
      </c>
      <c r="M663" s="19">
        <f>Ringkasan!M662</f>
        <v>48.5</v>
      </c>
      <c r="N663" s="64" t="str">
        <f>Ringkasan!N662</f>
        <v/>
      </c>
      <c r="O663" s="64" t="str">
        <f>Ringkasan!O662</f>
        <v/>
      </c>
      <c r="P663" s="64" t="str">
        <f>Ringkasan!P662</f>
        <v/>
      </c>
      <c r="Q663" s="64" t="str">
        <f>Ringkasan!Q662</f>
        <v/>
      </c>
      <c r="R663" s="64" t="str">
        <f>Ringkasan!R662</f>
        <v/>
      </c>
      <c r="S663" s="64" t="str">
        <f>Ringkasan!S662</f>
        <v/>
      </c>
      <c r="T663" s="64" t="str">
        <f>Ringkasan!T662</f>
        <v/>
      </c>
      <c r="U663" s="64">
        <f>Ringkasan!U662</f>
        <v>525</v>
      </c>
      <c r="V663" s="64">
        <f>Ringkasan!V662</f>
        <v>4.76</v>
      </c>
      <c r="W663" s="64">
        <f>Ringkasan!W662</f>
        <v>530</v>
      </c>
      <c r="X663" s="64">
        <f>Ringkasan!X662</f>
        <v>570</v>
      </c>
      <c r="Y663" s="64">
        <f>Ringkasan!Y662</f>
        <v>530</v>
      </c>
      <c r="Z663" s="64">
        <f>Ringkasan!Z662</f>
        <v>34198900</v>
      </c>
      <c r="AA663" s="64" t="str">
        <f>Ringkasan!AA662</f>
        <v>Online Applications &amp; Services</v>
      </c>
      <c r="AB663" s="64" t="str">
        <f>Ringkasan!AB662</f>
        <v>Technology</v>
      </c>
    </row>
    <row r="664" hidden="1">
      <c r="A664" s="64" t="str">
        <f>Ringkasan!A663</f>
        <v>EMTK</v>
      </c>
      <c r="B664" s="64" t="str">
        <f>Ringkasan!B663</f>
        <v>Elang Mahkota Teknologi Tbk.</v>
      </c>
      <c r="C664" s="65">
        <f>Ringkasan!C663</f>
        <v>550</v>
      </c>
      <c r="D664" s="64" t="str">
        <f>Ringkasan!D663</f>
        <v>#N/A</v>
      </c>
      <c r="E664" s="64" t="str">
        <f>Ringkasan!E663</f>
        <v>Kompas100</v>
      </c>
      <c r="F664" s="64" t="str">
        <f>Ringkasan!F663</f>
        <v>31 Juli 2026</v>
      </c>
      <c r="G664" s="65">
        <f>Ringkasan!G663</f>
        <v>13</v>
      </c>
      <c r="H664" s="19">
        <f>Ringkasan!H663</f>
        <v>13.4</v>
      </c>
      <c r="I664" s="19">
        <f>Ringkasan!I663</f>
        <v>0.72</v>
      </c>
      <c r="J664" s="19">
        <f>Ringkasan!J663</f>
        <v>5.4</v>
      </c>
      <c r="K664" s="19">
        <f>Ringkasan!K663</f>
        <v>4.7</v>
      </c>
      <c r="L664" s="19">
        <f>Ringkasan!L663</f>
        <v>0.14</v>
      </c>
      <c r="M664" s="19">
        <f>Ringkasan!M663</f>
        <v>48.5</v>
      </c>
      <c r="N664" s="64" t="str">
        <f>Ringkasan!N663</f>
        <v/>
      </c>
      <c r="O664" s="64" t="str">
        <f>Ringkasan!O663</f>
        <v/>
      </c>
      <c r="P664" s="64" t="str">
        <f>Ringkasan!P663</f>
        <v/>
      </c>
      <c r="Q664" s="64" t="str">
        <f>Ringkasan!Q663</f>
        <v/>
      </c>
      <c r="R664" s="64" t="str">
        <f>Ringkasan!R663</f>
        <v/>
      </c>
      <c r="S664" s="64" t="str">
        <f>Ringkasan!S663</f>
        <v/>
      </c>
      <c r="T664" s="64" t="str">
        <f>Ringkasan!T663</f>
        <v/>
      </c>
      <c r="U664" s="64">
        <f>Ringkasan!U663</f>
        <v>525</v>
      </c>
      <c r="V664" s="64">
        <f>Ringkasan!V663</f>
        <v>4.76</v>
      </c>
      <c r="W664" s="64">
        <f>Ringkasan!W663</f>
        <v>530</v>
      </c>
      <c r="X664" s="64">
        <f>Ringkasan!X663</f>
        <v>570</v>
      </c>
      <c r="Y664" s="64">
        <f>Ringkasan!Y663</f>
        <v>530</v>
      </c>
      <c r="Z664" s="64">
        <f>Ringkasan!Z663</f>
        <v>34198900</v>
      </c>
      <c r="AA664" s="64" t="str">
        <f>Ringkasan!AA663</f>
        <v>Online Applications &amp; Services</v>
      </c>
      <c r="AB664" s="64" t="str">
        <f>Ringkasan!AB663</f>
        <v>Technology</v>
      </c>
    </row>
    <row r="665" hidden="1">
      <c r="A665" s="64" t="str">
        <f>Ringkasan!A664</f>
        <v>EMTK</v>
      </c>
      <c r="B665" s="64" t="str">
        <f>Ringkasan!B664</f>
        <v>Elang Mahkota Teknologi Tbk.</v>
      </c>
      <c r="C665" s="65">
        <f>Ringkasan!C664</f>
        <v>550</v>
      </c>
      <c r="D665" s="64" t="str">
        <f>Ringkasan!D664</f>
        <v>#N/A</v>
      </c>
      <c r="E665" s="64" t="str">
        <f>Ringkasan!E664</f>
        <v>IDXG30</v>
      </c>
      <c r="F665" s="64" t="str">
        <f>Ringkasan!F664</f>
        <v>4 Agustus 2026</v>
      </c>
      <c r="G665" s="65">
        <f>Ringkasan!G664</f>
        <v>13</v>
      </c>
      <c r="H665" s="19">
        <f>Ringkasan!H664</f>
        <v>13.4</v>
      </c>
      <c r="I665" s="19">
        <f>Ringkasan!I664</f>
        <v>0.72</v>
      </c>
      <c r="J665" s="19">
        <f>Ringkasan!J664</f>
        <v>5.4</v>
      </c>
      <c r="K665" s="19">
        <f>Ringkasan!K664</f>
        <v>4.7</v>
      </c>
      <c r="L665" s="19">
        <f>Ringkasan!L664</f>
        <v>0.14</v>
      </c>
      <c r="M665" s="19">
        <f>Ringkasan!M664</f>
        <v>48.5</v>
      </c>
      <c r="N665" s="64" t="str">
        <f>Ringkasan!N664</f>
        <v/>
      </c>
      <c r="O665" s="64" t="str">
        <f>Ringkasan!O664</f>
        <v/>
      </c>
      <c r="P665" s="64" t="str">
        <f>Ringkasan!P664</f>
        <v/>
      </c>
      <c r="Q665" s="64" t="str">
        <f>Ringkasan!Q664</f>
        <v/>
      </c>
      <c r="R665" s="64" t="str">
        <f>Ringkasan!R664</f>
        <v/>
      </c>
      <c r="S665" s="64" t="str">
        <f>Ringkasan!S664</f>
        <v/>
      </c>
      <c r="T665" s="64" t="str">
        <f>Ringkasan!T664</f>
        <v/>
      </c>
      <c r="U665" s="64">
        <f>Ringkasan!U664</f>
        <v>525</v>
      </c>
      <c r="V665" s="64">
        <f>Ringkasan!V664</f>
        <v>4.76</v>
      </c>
      <c r="W665" s="64">
        <f>Ringkasan!W664</f>
        <v>530</v>
      </c>
      <c r="X665" s="64">
        <f>Ringkasan!X664</f>
        <v>570</v>
      </c>
      <c r="Y665" s="64">
        <f>Ringkasan!Y664</f>
        <v>530</v>
      </c>
      <c r="Z665" s="64">
        <f>Ringkasan!Z664</f>
        <v>34198900</v>
      </c>
      <c r="AA665" s="64" t="str">
        <f>Ringkasan!AA664</f>
        <v>Online Applications &amp; Services</v>
      </c>
      <c r="AB665" s="64" t="str">
        <f>Ringkasan!AB664</f>
        <v>Technology</v>
      </c>
    </row>
    <row r="666" hidden="1">
      <c r="A666" s="64" t="str">
        <f>Ringkasan!A665</f>
        <v>EMTK</v>
      </c>
      <c r="B666" s="64" t="str">
        <f>Ringkasan!B665</f>
        <v>Elang Mahkota Teknologi Tbk.</v>
      </c>
      <c r="C666" s="65">
        <f>Ringkasan!C665</f>
        <v>550</v>
      </c>
      <c r="D666" s="64" t="str">
        <f>Ringkasan!D665</f>
        <v>#N/A</v>
      </c>
      <c r="E666" s="64" t="str">
        <f>Ringkasan!E665</f>
        <v>IDXV30</v>
      </c>
      <c r="F666" s="64" t="str">
        <f>Ringkasan!F665</f>
        <v>4 Agustus 2026</v>
      </c>
      <c r="G666" s="65">
        <f>Ringkasan!G665</f>
        <v>13</v>
      </c>
      <c r="H666" s="19">
        <f>Ringkasan!H665</f>
        <v>13.4</v>
      </c>
      <c r="I666" s="19">
        <f>Ringkasan!I665</f>
        <v>0.72</v>
      </c>
      <c r="J666" s="19">
        <f>Ringkasan!J665</f>
        <v>5.4</v>
      </c>
      <c r="K666" s="19">
        <f>Ringkasan!K665</f>
        <v>4.7</v>
      </c>
      <c r="L666" s="19">
        <f>Ringkasan!L665</f>
        <v>0.14</v>
      </c>
      <c r="M666" s="19">
        <f>Ringkasan!M665</f>
        <v>48.5</v>
      </c>
      <c r="N666" s="64" t="str">
        <f>Ringkasan!N665</f>
        <v/>
      </c>
      <c r="O666" s="64" t="str">
        <f>Ringkasan!O665</f>
        <v/>
      </c>
      <c r="P666" s="64" t="str">
        <f>Ringkasan!P665</f>
        <v/>
      </c>
      <c r="Q666" s="64" t="str">
        <f>Ringkasan!Q665</f>
        <v/>
      </c>
      <c r="R666" s="64" t="str">
        <f>Ringkasan!R665</f>
        <v/>
      </c>
      <c r="S666" s="64" t="str">
        <f>Ringkasan!S665</f>
        <v/>
      </c>
      <c r="T666" s="64" t="str">
        <f>Ringkasan!T665</f>
        <v/>
      </c>
      <c r="U666" s="64">
        <f>Ringkasan!U665</f>
        <v>525</v>
      </c>
      <c r="V666" s="64">
        <f>Ringkasan!V665</f>
        <v>4.76</v>
      </c>
      <c r="W666" s="64">
        <f>Ringkasan!W665</f>
        <v>530</v>
      </c>
      <c r="X666" s="64">
        <f>Ringkasan!X665</f>
        <v>570</v>
      </c>
      <c r="Y666" s="64">
        <f>Ringkasan!Y665</f>
        <v>530</v>
      </c>
      <c r="Z666" s="64">
        <f>Ringkasan!Z665</f>
        <v>34198900</v>
      </c>
      <c r="AA666" s="64" t="str">
        <f>Ringkasan!AA665</f>
        <v>Online Applications &amp; Services</v>
      </c>
      <c r="AB666" s="64" t="str">
        <f>Ringkasan!AB665</f>
        <v>Technology</v>
      </c>
    </row>
    <row r="667" hidden="1">
      <c r="A667" s="64" t="str">
        <f>Ringkasan!A666</f>
        <v>EMTK</v>
      </c>
      <c r="B667" s="64" t="str">
        <f>Ringkasan!B666</f>
        <v>Elang Mahkota Teknologi Tbk.</v>
      </c>
      <c r="C667" s="65">
        <f>Ringkasan!C666</f>
        <v>550</v>
      </c>
      <c r="D667" s="64" t="str">
        <f>Ringkasan!D666</f>
        <v>#N/A</v>
      </c>
      <c r="E667" s="64" t="str">
        <f>Ringkasan!E666</f>
        <v>FTSE Large Cap</v>
      </c>
      <c r="F667" s="64" t="str">
        <f>Ringkasan!F666</f>
        <v>Juni 2026</v>
      </c>
      <c r="G667" s="64">
        <f>Ringkasan!G666</f>
        <v>13</v>
      </c>
      <c r="H667" s="19">
        <f>Ringkasan!H666</f>
        <v>13.4</v>
      </c>
      <c r="I667" s="19">
        <f>Ringkasan!I666</f>
        <v>0.72</v>
      </c>
      <c r="J667" s="19">
        <f>Ringkasan!J666</f>
        <v>5.4</v>
      </c>
      <c r="K667" s="19">
        <f>Ringkasan!K666</f>
        <v>4.7</v>
      </c>
      <c r="L667" s="19">
        <f>Ringkasan!L666</f>
        <v>0.14</v>
      </c>
      <c r="M667" s="19">
        <f>Ringkasan!M666</f>
        <v>48.5</v>
      </c>
      <c r="N667" s="64" t="str">
        <f>Ringkasan!N666</f>
        <v/>
      </c>
      <c r="O667" s="64" t="str">
        <f>Ringkasan!O666</f>
        <v/>
      </c>
      <c r="P667" s="64" t="str">
        <f>Ringkasan!P666</f>
        <v/>
      </c>
      <c r="Q667" s="64" t="str">
        <f>Ringkasan!Q666</f>
        <v/>
      </c>
      <c r="R667" s="64" t="str">
        <f>Ringkasan!R666</f>
        <v/>
      </c>
      <c r="S667" s="64" t="str">
        <f>Ringkasan!S666</f>
        <v/>
      </c>
      <c r="T667" s="64" t="str">
        <f>Ringkasan!T666</f>
        <v/>
      </c>
      <c r="U667" s="64">
        <f>Ringkasan!U666</f>
        <v>525</v>
      </c>
      <c r="V667" s="64">
        <f>Ringkasan!V666</f>
        <v>4.76</v>
      </c>
      <c r="W667" s="64">
        <f>Ringkasan!W666</f>
        <v>530</v>
      </c>
      <c r="X667" s="64">
        <f>Ringkasan!X666</f>
        <v>570</v>
      </c>
      <c r="Y667" s="64">
        <f>Ringkasan!Y666</f>
        <v>530</v>
      </c>
      <c r="Z667" s="64">
        <f>Ringkasan!Z666</f>
        <v>34198900</v>
      </c>
      <c r="AA667" s="64" t="str">
        <f>Ringkasan!AA666</f>
        <v>Online Applications &amp; Services</v>
      </c>
      <c r="AB667" s="64" t="str">
        <f>Ringkasan!AB666</f>
        <v>Technology</v>
      </c>
    </row>
    <row r="668" hidden="1">
      <c r="A668" s="64" t="str">
        <f>Ringkasan!A667</f>
        <v>EMTK</v>
      </c>
      <c r="B668" s="64" t="str">
        <f>Ringkasan!B667</f>
        <v>Elang Mahkota Teknologi Tbk.</v>
      </c>
      <c r="C668" s="65">
        <f>Ringkasan!C667</f>
        <v>550</v>
      </c>
      <c r="D668" s="64" t="str">
        <f>Ringkasan!D667</f>
        <v>#N/A</v>
      </c>
      <c r="E668" s="64" t="str">
        <f>Ringkasan!E667</f>
        <v>MSCI Small Cap</v>
      </c>
      <c r="F668" s="64" t="str">
        <f>Ringkasan!F667</f>
        <v>12 Agustus 2026</v>
      </c>
      <c r="G668" s="65">
        <f>Ringkasan!G667</f>
        <v>13</v>
      </c>
      <c r="H668" s="19">
        <f>Ringkasan!H667</f>
        <v>13.4</v>
      </c>
      <c r="I668" s="19">
        <f>Ringkasan!I667</f>
        <v>0.72</v>
      </c>
      <c r="J668" s="19">
        <f>Ringkasan!J667</f>
        <v>5.4</v>
      </c>
      <c r="K668" s="19">
        <f>Ringkasan!K667</f>
        <v>4.7</v>
      </c>
      <c r="L668" s="19">
        <f>Ringkasan!L667</f>
        <v>0.14</v>
      </c>
      <c r="M668" s="19">
        <f>Ringkasan!M667</f>
        <v>48.5</v>
      </c>
      <c r="N668" s="64" t="str">
        <f>Ringkasan!N667</f>
        <v/>
      </c>
      <c r="O668" s="64" t="str">
        <f>Ringkasan!O667</f>
        <v/>
      </c>
      <c r="P668" s="64" t="str">
        <f>Ringkasan!P667</f>
        <v/>
      </c>
      <c r="Q668" s="64" t="str">
        <f>Ringkasan!Q667</f>
        <v/>
      </c>
      <c r="R668" s="64" t="str">
        <f>Ringkasan!R667</f>
        <v/>
      </c>
      <c r="S668" s="64" t="str">
        <f>Ringkasan!S667</f>
        <v/>
      </c>
      <c r="T668" s="64" t="str">
        <f>Ringkasan!T667</f>
        <v/>
      </c>
      <c r="U668" s="64">
        <f>Ringkasan!U667</f>
        <v>525</v>
      </c>
      <c r="V668" s="64">
        <f>Ringkasan!V667</f>
        <v>4.76</v>
      </c>
      <c r="W668" s="64">
        <f>Ringkasan!W667</f>
        <v>530</v>
      </c>
      <c r="X668" s="64">
        <f>Ringkasan!X667</f>
        <v>570</v>
      </c>
      <c r="Y668" s="64">
        <f>Ringkasan!Y667</f>
        <v>530</v>
      </c>
      <c r="Z668" s="64">
        <f>Ringkasan!Z667</f>
        <v>34198900</v>
      </c>
      <c r="AA668" s="64" t="str">
        <f>Ringkasan!AA667</f>
        <v>Online Applications &amp; Services</v>
      </c>
      <c r="AB668" s="64" t="str">
        <f>Ringkasan!AB667</f>
        <v>Technology</v>
      </c>
    </row>
    <row r="669" hidden="1">
      <c r="A669" s="64" t="str">
        <f>Ringkasan!A668</f>
        <v>EMTK</v>
      </c>
      <c r="B669" s="64" t="str">
        <f>Ringkasan!B668</f>
        <v>Elang Mahkota Teknologi Tbk.</v>
      </c>
      <c r="C669" s="65">
        <f>Ringkasan!C668</f>
        <v>550</v>
      </c>
      <c r="D669" s="64" t="str">
        <f>Ringkasan!D668</f>
        <v>#N/A</v>
      </c>
      <c r="E669" s="64" t="str">
        <f>Ringkasan!E668</f>
        <v>SRI-KEHATI</v>
      </c>
      <c r="F669" s="66">
        <f>Ringkasan!F668</f>
        <v>46356</v>
      </c>
      <c r="G669" s="65">
        <f>Ringkasan!G668</f>
        <v>13</v>
      </c>
      <c r="H669" s="19">
        <f>Ringkasan!H668</f>
        <v>13.4</v>
      </c>
      <c r="I669" s="19">
        <f>Ringkasan!I668</f>
        <v>0.72</v>
      </c>
      <c r="J669" s="19">
        <f>Ringkasan!J668</f>
        <v>5.4</v>
      </c>
      <c r="K669" s="19">
        <f>Ringkasan!K668</f>
        <v>4.7</v>
      </c>
      <c r="L669" s="19">
        <f>Ringkasan!L668</f>
        <v>0.14</v>
      </c>
      <c r="M669" s="19">
        <f>Ringkasan!M668</f>
        <v>48.5</v>
      </c>
      <c r="N669" s="64" t="str">
        <f>Ringkasan!N668</f>
        <v/>
      </c>
      <c r="O669" s="64" t="str">
        <f>Ringkasan!O668</f>
        <v/>
      </c>
      <c r="P669" s="64" t="str">
        <f>Ringkasan!P668</f>
        <v/>
      </c>
      <c r="Q669" s="64" t="str">
        <f>Ringkasan!Q668</f>
        <v/>
      </c>
      <c r="R669" s="64" t="str">
        <f>Ringkasan!R668</f>
        <v/>
      </c>
      <c r="S669" s="64" t="str">
        <f>Ringkasan!S668</f>
        <v/>
      </c>
      <c r="T669" s="64" t="str">
        <f>Ringkasan!T668</f>
        <v/>
      </c>
      <c r="U669" s="64">
        <f>Ringkasan!U668</f>
        <v>525</v>
      </c>
      <c r="V669" s="64">
        <f>Ringkasan!V668</f>
        <v>4.76</v>
      </c>
      <c r="W669" s="64">
        <f>Ringkasan!W668</f>
        <v>530</v>
      </c>
      <c r="X669" s="64">
        <f>Ringkasan!X668</f>
        <v>570</v>
      </c>
      <c r="Y669" s="64">
        <f>Ringkasan!Y668</f>
        <v>530</v>
      </c>
      <c r="Z669" s="64">
        <f>Ringkasan!Z668</f>
        <v>34198900</v>
      </c>
      <c r="AA669" s="64" t="str">
        <f>Ringkasan!AA668</f>
        <v>Online Applications &amp; Services</v>
      </c>
      <c r="AB669" s="64" t="str">
        <f>Ringkasan!AB668</f>
        <v>Technology</v>
      </c>
    </row>
    <row r="670" hidden="1">
      <c r="A670" s="64" t="str">
        <f>Ringkasan!A669</f>
        <v>ENAK</v>
      </c>
      <c r="B670" s="64" t="str">
        <f>Ringkasan!B669</f>
        <v>Champ Resto Indonesia Tbk.</v>
      </c>
      <c r="C670" s="65">
        <f>Ringkasan!C669</f>
        <v>228</v>
      </c>
      <c r="D670" s="64" t="str">
        <f>Ringkasan!D669</f>
        <v>#N/A</v>
      </c>
      <c r="E670" s="64" t="str">
        <f>Ringkasan!E669</f>
        <v/>
      </c>
      <c r="F670" s="64" t="str">
        <f>Ringkasan!F669</f>
        <v/>
      </c>
      <c r="G670" s="64">
        <f>Ringkasan!G669</f>
        <v>0</v>
      </c>
      <c r="H670" s="19">
        <f>Ringkasan!H669</f>
        <v>-7.9</v>
      </c>
      <c r="I670" s="19">
        <f>Ringkasan!I669</f>
        <v>2.9</v>
      </c>
      <c r="J670" s="19">
        <f>Ringkasan!J669</f>
        <v>-36</v>
      </c>
      <c r="K670" s="19">
        <f>Ringkasan!K669</f>
        <v>-8</v>
      </c>
      <c r="L670" s="19">
        <f>Ringkasan!L669</f>
        <v>3.5</v>
      </c>
      <c r="M670" s="19">
        <f>Ringkasan!M669</f>
        <v>-24</v>
      </c>
      <c r="N670" s="64" t="str">
        <f>Ringkasan!N669</f>
        <v/>
      </c>
      <c r="O670" s="64" t="str">
        <f>Ringkasan!O669</f>
        <v/>
      </c>
      <c r="P670" s="64" t="str">
        <f>Ringkasan!P669</f>
        <v/>
      </c>
      <c r="Q670" s="64" t="str">
        <f>Ringkasan!Q669</f>
        <v/>
      </c>
      <c r="R670" s="64" t="str">
        <f>Ringkasan!R669</f>
        <v/>
      </c>
      <c r="S670" s="64" t="str">
        <f>Ringkasan!S669</f>
        <v/>
      </c>
      <c r="T670" s="64" t="str">
        <f>Ringkasan!T669</f>
        <v/>
      </c>
      <c r="U670" s="64">
        <f>Ringkasan!U669</f>
        <v>204</v>
      </c>
      <c r="V670" s="64">
        <f>Ringkasan!V669</f>
        <v>11.76</v>
      </c>
      <c r="W670" s="64">
        <f>Ringkasan!W669</f>
        <v>204</v>
      </c>
      <c r="X670" s="64">
        <f>Ringkasan!X669</f>
        <v>254</v>
      </c>
      <c r="Y670" s="64">
        <f>Ringkasan!Y669</f>
        <v>204</v>
      </c>
      <c r="Z670" s="64">
        <f>Ringkasan!Z669</f>
        <v>781200</v>
      </c>
      <c r="AA670" s="64" t="str">
        <f>Ringkasan!AA669</f>
        <v>Tourism &amp; Recreation</v>
      </c>
      <c r="AB670" s="64" t="str">
        <f>Ringkasan!AB669</f>
        <v>Consumer Cyclicals</v>
      </c>
    </row>
    <row r="671" hidden="1">
      <c r="A671" s="64" t="str">
        <f>Ringkasan!A670</f>
        <v>ENRG</v>
      </c>
      <c r="B671" s="64" t="str">
        <f>Ringkasan!B670</f>
        <v>Energi Mega Persada Tbk.</v>
      </c>
      <c r="C671" s="65">
        <f>Ringkasan!C670</f>
        <v>1390</v>
      </c>
      <c r="D671" s="64" t="str">
        <f>Ringkasan!D670</f>
        <v>#N/A</v>
      </c>
      <c r="E671" s="64" t="str">
        <f>Ringkasan!E670</f>
        <v>IDXSHAGROW</v>
      </c>
      <c r="F671" s="66">
        <f>Ringkasan!F670</f>
        <v>46356</v>
      </c>
      <c r="G671" s="64">
        <f>Ringkasan!G670</f>
        <v>9</v>
      </c>
      <c r="H671" s="19">
        <f>Ringkasan!H670</f>
        <v>23.2</v>
      </c>
      <c r="I671" s="19">
        <f>Ringkasan!I670</f>
        <v>2.6</v>
      </c>
      <c r="J671" s="19">
        <f>Ringkasan!J670</f>
        <v>11.1</v>
      </c>
      <c r="K671" s="19">
        <f>Ringkasan!K670</f>
        <v>5</v>
      </c>
      <c r="L671" s="19">
        <f>Ringkasan!L670</f>
        <v>1.2</v>
      </c>
      <c r="M671" s="19">
        <f>Ringkasan!M670</f>
        <v>18.4</v>
      </c>
      <c r="N671" s="64" t="str">
        <f>Ringkasan!N670</f>
        <v/>
      </c>
      <c r="O671" s="64" t="str">
        <f>Ringkasan!O670</f>
        <v/>
      </c>
      <c r="P671" s="64" t="str">
        <f>Ringkasan!P670</f>
        <v/>
      </c>
      <c r="Q671" s="64" t="str">
        <f>Ringkasan!Q670</f>
        <v/>
      </c>
      <c r="R671" s="64" t="str">
        <f>Ringkasan!R670</f>
        <v/>
      </c>
      <c r="S671" s="64" t="str">
        <f>Ringkasan!S670</f>
        <v/>
      </c>
      <c r="T671" s="64" t="str">
        <f>Ringkasan!T670</f>
        <v/>
      </c>
      <c r="U671" s="64">
        <f>Ringkasan!U670</f>
        <v>0.3</v>
      </c>
      <c r="V671" s="64">
        <f>Ringkasan!V670</f>
        <v>18.64</v>
      </c>
      <c r="W671" s="64">
        <f>Ringkasan!W670</f>
        <v>0.29</v>
      </c>
      <c r="X671" s="64">
        <f>Ringkasan!X670</f>
        <v>0.35</v>
      </c>
      <c r="Y671" s="64">
        <f>Ringkasan!Y670</f>
        <v>0.26</v>
      </c>
      <c r="Z671" s="64">
        <f>Ringkasan!Z670</f>
        <v>61500</v>
      </c>
      <c r="AA671" s="64" t="str">
        <f>Ringkasan!AA670</f>
        <v>Oil &amp; Gas</v>
      </c>
      <c r="AB671" s="64" t="str">
        <f>Ringkasan!AB670</f>
        <v>Energy</v>
      </c>
    </row>
    <row r="672" hidden="1">
      <c r="A672" s="64" t="str">
        <f>Ringkasan!A671</f>
        <v>ENRG</v>
      </c>
      <c r="B672" s="64" t="str">
        <f>Ringkasan!B671</f>
        <v>Energi Mega Persada Tbk.</v>
      </c>
      <c r="C672" s="65">
        <f>Ringkasan!C671</f>
        <v>1390</v>
      </c>
      <c r="D672" s="64" t="str">
        <f>Ringkasan!D671</f>
        <v>#N/A</v>
      </c>
      <c r="E672" s="64" t="str">
        <f>Ringkasan!E671</f>
        <v>IDXG30</v>
      </c>
      <c r="F672" s="64" t="str">
        <f>Ringkasan!F671</f>
        <v>4 Agustus 2026</v>
      </c>
      <c r="G672" s="64">
        <f>Ringkasan!G671</f>
        <v>9</v>
      </c>
      <c r="H672" s="19">
        <f>Ringkasan!H671</f>
        <v>23.2</v>
      </c>
      <c r="I672" s="19">
        <f>Ringkasan!I671</f>
        <v>2.6</v>
      </c>
      <c r="J672" s="19">
        <f>Ringkasan!J671</f>
        <v>11.1</v>
      </c>
      <c r="K672" s="19">
        <f>Ringkasan!K671</f>
        <v>5</v>
      </c>
      <c r="L672" s="19">
        <f>Ringkasan!L671</f>
        <v>1.2</v>
      </c>
      <c r="M672" s="19">
        <f>Ringkasan!M671</f>
        <v>18.4</v>
      </c>
      <c r="N672" s="64" t="str">
        <f>Ringkasan!N671</f>
        <v/>
      </c>
      <c r="O672" s="64" t="str">
        <f>Ringkasan!O671</f>
        <v/>
      </c>
      <c r="P672" s="64" t="str">
        <f>Ringkasan!P671</f>
        <v/>
      </c>
      <c r="Q672" s="64" t="str">
        <f>Ringkasan!Q671</f>
        <v/>
      </c>
      <c r="R672" s="64" t="str">
        <f>Ringkasan!R671</f>
        <v/>
      </c>
      <c r="S672" s="64" t="str">
        <f>Ringkasan!S671</f>
        <v/>
      </c>
      <c r="T672" s="64" t="str">
        <f>Ringkasan!T671</f>
        <v/>
      </c>
      <c r="U672" s="64">
        <f>Ringkasan!U671</f>
        <v>0.3</v>
      </c>
      <c r="V672" s="64">
        <f>Ringkasan!V671</f>
        <v>18.64</v>
      </c>
      <c r="W672" s="64">
        <f>Ringkasan!W671</f>
        <v>0.29</v>
      </c>
      <c r="X672" s="64">
        <f>Ringkasan!X671</f>
        <v>0.35</v>
      </c>
      <c r="Y672" s="64">
        <f>Ringkasan!Y671</f>
        <v>0.26</v>
      </c>
      <c r="Z672" s="64">
        <f>Ringkasan!Z671</f>
        <v>61500</v>
      </c>
      <c r="AA672" s="64" t="str">
        <f>Ringkasan!AA671</f>
        <v>Oil &amp; Gas</v>
      </c>
      <c r="AB672" s="64" t="str">
        <f>Ringkasan!AB671</f>
        <v>Energy</v>
      </c>
    </row>
    <row r="673" hidden="1">
      <c r="A673" s="64" t="str">
        <f>Ringkasan!A672</f>
        <v>ENRG</v>
      </c>
      <c r="B673" s="64" t="str">
        <f>Ringkasan!B672</f>
        <v>Energi Mega Persada Tbk.</v>
      </c>
      <c r="C673" s="65">
        <f>Ringkasan!C672</f>
        <v>1390</v>
      </c>
      <c r="D673" s="64" t="str">
        <f>Ringkasan!D672</f>
        <v>#N/A</v>
      </c>
      <c r="E673" s="64" t="str">
        <f>Ringkasan!E672</f>
        <v>Kompas100</v>
      </c>
      <c r="F673" s="64" t="str">
        <f>Ringkasan!F672</f>
        <v>31 Juli 2026</v>
      </c>
      <c r="G673" s="64">
        <f>Ringkasan!G672</f>
        <v>9</v>
      </c>
      <c r="H673" s="19">
        <f>Ringkasan!H672</f>
        <v>23.2</v>
      </c>
      <c r="I673" s="19">
        <f>Ringkasan!I672</f>
        <v>2.6</v>
      </c>
      <c r="J673" s="19">
        <f>Ringkasan!J672</f>
        <v>11.1</v>
      </c>
      <c r="K673" s="19">
        <f>Ringkasan!K672</f>
        <v>5</v>
      </c>
      <c r="L673" s="19">
        <f>Ringkasan!L672</f>
        <v>1.2</v>
      </c>
      <c r="M673" s="19">
        <f>Ringkasan!M672</f>
        <v>18.4</v>
      </c>
      <c r="N673" s="64" t="str">
        <f>Ringkasan!N672</f>
        <v/>
      </c>
      <c r="O673" s="64" t="str">
        <f>Ringkasan!O672</f>
        <v/>
      </c>
      <c r="P673" s="64" t="str">
        <f>Ringkasan!P672</f>
        <v/>
      </c>
      <c r="Q673" s="64" t="str">
        <f>Ringkasan!Q672</f>
        <v/>
      </c>
      <c r="R673" s="64" t="str">
        <f>Ringkasan!R672</f>
        <v/>
      </c>
      <c r="S673" s="64" t="str">
        <f>Ringkasan!S672</f>
        <v/>
      </c>
      <c r="T673" s="64" t="str">
        <f>Ringkasan!T672</f>
        <v/>
      </c>
      <c r="U673" s="64">
        <f>Ringkasan!U672</f>
        <v>0.3</v>
      </c>
      <c r="V673" s="64">
        <f>Ringkasan!V672</f>
        <v>18.64</v>
      </c>
      <c r="W673" s="64">
        <f>Ringkasan!W672</f>
        <v>0.29</v>
      </c>
      <c r="X673" s="64">
        <f>Ringkasan!X672</f>
        <v>0.35</v>
      </c>
      <c r="Y673" s="64">
        <f>Ringkasan!Y672</f>
        <v>0.26</v>
      </c>
      <c r="Z673" s="64">
        <f>Ringkasan!Z672</f>
        <v>61500</v>
      </c>
      <c r="AA673" s="64" t="str">
        <f>Ringkasan!AA672</f>
        <v>Oil &amp; Gas</v>
      </c>
      <c r="AB673" s="64" t="str">
        <f>Ringkasan!AB672</f>
        <v>Energy</v>
      </c>
    </row>
    <row r="674" hidden="1">
      <c r="A674" s="64" t="str">
        <f>Ringkasan!A673</f>
        <v>ENRG</v>
      </c>
      <c r="B674" s="64" t="str">
        <f>Ringkasan!B673</f>
        <v>Energi Mega Persada Tbk.</v>
      </c>
      <c r="C674" s="65">
        <f>Ringkasan!C673</f>
        <v>1390</v>
      </c>
      <c r="D674" s="64" t="str">
        <f>Ringkasan!D673</f>
        <v>#N/A</v>
      </c>
      <c r="E674" s="64" t="str">
        <f>Ringkasan!E673</f>
        <v>IDX80</v>
      </c>
      <c r="F674" s="64" t="str">
        <f>Ringkasan!F673</f>
        <v>31 Juli 2026</v>
      </c>
      <c r="G674" s="64">
        <f>Ringkasan!G673</f>
        <v>9</v>
      </c>
      <c r="H674" s="19">
        <f>Ringkasan!H673</f>
        <v>23.2</v>
      </c>
      <c r="I674" s="19">
        <f>Ringkasan!I673</f>
        <v>2.6</v>
      </c>
      <c r="J674" s="19">
        <f>Ringkasan!J673</f>
        <v>11.1</v>
      </c>
      <c r="K674" s="19">
        <f>Ringkasan!K673</f>
        <v>5</v>
      </c>
      <c r="L674" s="19">
        <f>Ringkasan!L673</f>
        <v>1.2</v>
      </c>
      <c r="M674" s="19">
        <f>Ringkasan!M673</f>
        <v>18.4</v>
      </c>
      <c r="N674" s="64" t="str">
        <f>Ringkasan!N673</f>
        <v/>
      </c>
      <c r="O674" s="64" t="str">
        <f>Ringkasan!O673</f>
        <v/>
      </c>
      <c r="P674" s="64" t="str">
        <f>Ringkasan!P673</f>
        <v/>
      </c>
      <c r="Q674" s="64" t="str">
        <f>Ringkasan!Q673</f>
        <v/>
      </c>
      <c r="R674" s="64" t="str">
        <f>Ringkasan!R673</f>
        <v/>
      </c>
      <c r="S674" s="64" t="str">
        <f>Ringkasan!S673</f>
        <v/>
      </c>
      <c r="T674" s="64" t="str">
        <f>Ringkasan!T673</f>
        <v/>
      </c>
      <c r="U674" s="64">
        <f>Ringkasan!U673</f>
        <v>0.3</v>
      </c>
      <c r="V674" s="64">
        <f>Ringkasan!V673</f>
        <v>18.64</v>
      </c>
      <c r="W674" s="64">
        <f>Ringkasan!W673</f>
        <v>0.29</v>
      </c>
      <c r="X674" s="64">
        <f>Ringkasan!X673</f>
        <v>0.35</v>
      </c>
      <c r="Y674" s="64">
        <f>Ringkasan!Y673</f>
        <v>0.26</v>
      </c>
      <c r="Z674" s="64">
        <f>Ringkasan!Z673</f>
        <v>61500</v>
      </c>
      <c r="AA674" s="64" t="str">
        <f>Ringkasan!AA673</f>
        <v>Oil &amp; Gas</v>
      </c>
      <c r="AB674" s="64" t="str">
        <f>Ringkasan!AB673</f>
        <v>Energy</v>
      </c>
    </row>
    <row r="675" hidden="1">
      <c r="A675" s="64" t="str">
        <f>Ringkasan!A674</f>
        <v>ENRG</v>
      </c>
      <c r="B675" s="64" t="str">
        <f>Ringkasan!B674</f>
        <v>Energi Mega Persada Tbk.</v>
      </c>
      <c r="C675" s="65">
        <f>Ringkasan!C674</f>
        <v>1390</v>
      </c>
      <c r="D675" s="64" t="str">
        <f>Ringkasan!D674</f>
        <v>#N/A</v>
      </c>
      <c r="E675" s="64" t="str">
        <f>Ringkasan!E674</f>
        <v>MNC36</v>
      </c>
      <c r="F675" s="64" t="str">
        <f>Ringkasan!F674</f>
        <v>30 Oktober 2026</v>
      </c>
      <c r="G675" s="64">
        <f>Ringkasan!G674</f>
        <v>9</v>
      </c>
      <c r="H675" s="19">
        <f>Ringkasan!H674</f>
        <v>23.2</v>
      </c>
      <c r="I675" s="19">
        <f>Ringkasan!I674</f>
        <v>2.6</v>
      </c>
      <c r="J675" s="19">
        <f>Ringkasan!J674</f>
        <v>11.1</v>
      </c>
      <c r="K675" s="19">
        <f>Ringkasan!K674</f>
        <v>5</v>
      </c>
      <c r="L675" s="19">
        <f>Ringkasan!L674</f>
        <v>1.2</v>
      </c>
      <c r="M675" s="19">
        <f>Ringkasan!M674</f>
        <v>18.4</v>
      </c>
      <c r="N675" s="64" t="str">
        <f>Ringkasan!N674</f>
        <v/>
      </c>
      <c r="O675" s="64" t="str">
        <f>Ringkasan!O674</f>
        <v/>
      </c>
      <c r="P675" s="64" t="str">
        <f>Ringkasan!P674</f>
        <v/>
      </c>
      <c r="Q675" s="64" t="str">
        <f>Ringkasan!Q674</f>
        <v/>
      </c>
      <c r="R675" s="64" t="str">
        <f>Ringkasan!R674</f>
        <v/>
      </c>
      <c r="S675" s="64" t="str">
        <f>Ringkasan!S674</f>
        <v/>
      </c>
      <c r="T675" s="64" t="str">
        <f>Ringkasan!T674</f>
        <v/>
      </c>
      <c r="U675" s="64">
        <f>Ringkasan!U674</f>
        <v>0.3</v>
      </c>
      <c r="V675" s="64">
        <f>Ringkasan!V674</f>
        <v>18.64</v>
      </c>
      <c r="W675" s="64">
        <f>Ringkasan!W674</f>
        <v>0.29</v>
      </c>
      <c r="X675" s="64">
        <f>Ringkasan!X674</f>
        <v>0.35</v>
      </c>
      <c r="Y675" s="64">
        <f>Ringkasan!Y674</f>
        <v>0.26</v>
      </c>
      <c r="Z675" s="64">
        <f>Ringkasan!Z674</f>
        <v>61500</v>
      </c>
      <c r="AA675" s="64" t="str">
        <f>Ringkasan!AA674</f>
        <v>Oil &amp; Gas</v>
      </c>
      <c r="AB675" s="64" t="str">
        <f>Ringkasan!AB674</f>
        <v>Energy</v>
      </c>
    </row>
    <row r="676" hidden="1">
      <c r="A676" s="64" t="str">
        <f>Ringkasan!A675</f>
        <v>ENRG</v>
      </c>
      <c r="B676" s="64" t="str">
        <f>Ringkasan!B675</f>
        <v>Energi Mega Persada Tbk.</v>
      </c>
      <c r="C676" s="65">
        <f>Ringkasan!C675</f>
        <v>1390</v>
      </c>
      <c r="D676" s="64" t="str">
        <f>Ringkasan!D675</f>
        <v>#N/A</v>
      </c>
      <c r="E676" s="64" t="str">
        <f>Ringkasan!E675</f>
        <v>IDXSMC-LIQ</v>
      </c>
      <c r="F676" s="64" t="str">
        <f>Ringkasan!F675</f>
        <v>4 Agustus 2026</v>
      </c>
      <c r="G676" s="64">
        <f>Ringkasan!G675</f>
        <v>9</v>
      </c>
      <c r="H676" s="19">
        <f>Ringkasan!H675</f>
        <v>23.2</v>
      </c>
      <c r="I676" s="19">
        <f>Ringkasan!I675</f>
        <v>2.6</v>
      </c>
      <c r="J676" s="19">
        <f>Ringkasan!J675</f>
        <v>11.1</v>
      </c>
      <c r="K676" s="19">
        <f>Ringkasan!K675</f>
        <v>5</v>
      </c>
      <c r="L676" s="19">
        <f>Ringkasan!L675</f>
        <v>1.2</v>
      </c>
      <c r="M676" s="19">
        <f>Ringkasan!M675</f>
        <v>18.4</v>
      </c>
      <c r="N676" s="64" t="str">
        <f>Ringkasan!N675</f>
        <v/>
      </c>
      <c r="O676" s="64" t="str">
        <f>Ringkasan!O675</f>
        <v/>
      </c>
      <c r="P676" s="64" t="str">
        <f>Ringkasan!P675</f>
        <v/>
      </c>
      <c r="Q676" s="64" t="str">
        <f>Ringkasan!Q675</f>
        <v/>
      </c>
      <c r="R676" s="64" t="str">
        <f>Ringkasan!R675</f>
        <v/>
      </c>
      <c r="S676" s="64" t="str">
        <f>Ringkasan!S675</f>
        <v/>
      </c>
      <c r="T676" s="64" t="str">
        <f>Ringkasan!T675</f>
        <v/>
      </c>
      <c r="U676" s="64">
        <f>Ringkasan!U675</f>
        <v>0.3</v>
      </c>
      <c r="V676" s="64">
        <f>Ringkasan!V675</f>
        <v>18.64</v>
      </c>
      <c r="W676" s="64">
        <f>Ringkasan!W675</f>
        <v>0.29</v>
      </c>
      <c r="X676" s="64">
        <f>Ringkasan!X675</f>
        <v>0.35</v>
      </c>
      <c r="Y676" s="64">
        <f>Ringkasan!Y675</f>
        <v>0.26</v>
      </c>
      <c r="Z676" s="64">
        <f>Ringkasan!Z675</f>
        <v>61500</v>
      </c>
      <c r="AA676" s="64" t="str">
        <f>Ringkasan!AA675</f>
        <v>Oil &amp; Gas</v>
      </c>
      <c r="AB676" s="64" t="str">
        <f>Ringkasan!AB675</f>
        <v>Energy</v>
      </c>
    </row>
    <row r="677" hidden="1">
      <c r="A677" s="64" t="str">
        <f>Ringkasan!A676</f>
        <v>ENRG</v>
      </c>
      <c r="B677" s="64" t="str">
        <f>Ringkasan!B676</f>
        <v>Energi Mega Persada Tbk.</v>
      </c>
      <c r="C677" s="65">
        <f>Ringkasan!C676</f>
        <v>1390</v>
      </c>
      <c r="D677" s="64" t="str">
        <f>Ringkasan!D676</f>
        <v>#N/A</v>
      </c>
      <c r="E677" s="64" t="str">
        <f>Ringkasan!E676</f>
        <v>MSCI Small Cap</v>
      </c>
      <c r="F677" s="64" t="str">
        <f>Ringkasan!F676</f>
        <v>12 Agustus 2026</v>
      </c>
      <c r="G677" s="64">
        <f>Ringkasan!G676</f>
        <v>9</v>
      </c>
      <c r="H677" s="19">
        <f>Ringkasan!H676</f>
        <v>23.2</v>
      </c>
      <c r="I677" s="19">
        <f>Ringkasan!I676</f>
        <v>2.6</v>
      </c>
      <c r="J677" s="19">
        <f>Ringkasan!J676</f>
        <v>11.1</v>
      </c>
      <c r="K677" s="19">
        <f>Ringkasan!K676</f>
        <v>5</v>
      </c>
      <c r="L677" s="19">
        <f>Ringkasan!L676</f>
        <v>1.2</v>
      </c>
      <c r="M677" s="19">
        <f>Ringkasan!M676</f>
        <v>18.4</v>
      </c>
      <c r="N677" s="64" t="str">
        <f>Ringkasan!N676</f>
        <v/>
      </c>
      <c r="O677" s="64" t="str">
        <f>Ringkasan!O676</f>
        <v/>
      </c>
      <c r="P677" s="64" t="str">
        <f>Ringkasan!P676</f>
        <v/>
      </c>
      <c r="Q677" s="64" t="str">
        <f>Ringkasan!Q676</f>
        <v/>
      </c>
      <c r="R677" s="64" t="str">
        <f>Ringkasan!R676</f>
        <v/>
      </c>
      <c r="S677" s="64" t="str">
        <f>Ringkasan!S676</f>
        <v/>
      </c>
      <c r="T677" s="64" t="str">
        <f>Ringkasan!T676</f>
        <v/>
      </c>
      <c r="U677" s="64">
        <f>Ringkasan!U676</f>
        <v>0.3</v>
      </c>
      <c r="V677" s="64">
        <f>Ringkasan!V676</f>
        <v>18.64</v>
      </c>
      <c r="W677" s="64">
        <f>Ringkasan!W676</f>
        <v>0.29</v>
      </c>
      <c r="X677" s="64">
        <f>Ringkasan!X676</f>
        <v>0.35</v>
      </c>
      <c r="Y677" s="64">
        <f>Ringkasan!Y676</f>
        <v>0.26</v>
      </c>
      <c r="Z677" s="64">
        <f>Ringkasan!Z676</f>
        <v>61500</v>
      </c>
      <c r="AA677" s="64" t="str">
        <f>Ringkasan!AA676</f>
        <v>Oil &amp; Gas</v>
      </c>
      <c r="AB677" s="64" t="str">
        <f>Ringkasan!AB676</f>
        <v>Energy</v>
      </c>
    </row>
    <row r="678" hidden="1">
      <c r="A678" s="64" t="str">
        <f>Ringkasan!A677</f>
        <v>ENRG</v>
      </c>
      <c r="B678" s="64" t="str">
        <f>Ringkasan!B677</f>
        <v>Energi Mega Persada Tbk.</v>
      </c>
      <c r="C678" s="65">
        <f>Ringkasan!C677</f>
        <v>1390</v>
      </c>
      <c r="D678" s="64" t="str">
        <f>Ringkasan!D677</f>
        <v>#N/A</v>
      </c>
      <c r="E678" s="64" t="str">
        <f>Ringkasan!E677</f>
        <v>JII30</v>
      </c>
      <c r="F678" s="66">
        <f>Ringkasan!F677</f>
        <v>46356</v>
      </c>
      <c r="G678" s="65">
        <f>Ringkasan!G677</f>
        <v>9</v>
      </c>
      <c r="H678" s="19">
        <f>Ringkasan!H677</f>
        <v>23.2</v>
      </c>
      <c r="I678" s="19">
        <f>Ringkasan!I677</f>
        <v>2.6</v>
      </c>
      <c r="J678" s="19">
        <f>Ringkasan!J677</f>
        <v>11.1</v>
      </c>
      <c r="K678" s="19">
        <f>Ringkasan!K677</f>
        <v>5</v>
      </c>
      <c r="L678" s="19">
        <f>Ringkasan!L677</f>
        <v>1.2</v>
      </c>
      <c r="M678" s="19">
        <f>Ringkasan!M677</f>
        <v>18.4</v>
      </c>
      <c r="N678" s="64" t="str">
        <f>Ringkasan!N677</f>
        <v/>
      </c>
      <c r="O678" s="64" t="str">
        <f>Ringkasan!O677</f>
        <v/>
      </c>
      <c r="P678" s="64" t="str">
        <f>Ringkasan!P677</f>
        <v/>
      </c>
      <c r="Q678" s="64" t="str">
        <f>Ringkasan!Q677</f>
        <v/>
      </c>
      <c r="R678" s="64" t="str">
        <f>Ringkasan!R677</f>
        <v/>
      </c>
      <c r="S678" s="64" t="str">
        <f>Ringkasan!S677</f>
        <v/>
      </c>
      <c r="T678" s="64" t="str">
        <f>Ringkasan!T677</f>
        <v/>
      </c>
      <c r="U678" s="64">
        <f>Ringkasan!U677</f>
        <v>0.3</v>
      </c>
      <c r="V678" s="64">
        <f>Ringkasan!V677</f>
        <v>18.64</v>
      </c>
      <c r="W678" s="64">
        <f>Ringkasan!W677</f>
        <v>0.29</v>
      </c>
      <c r="X678" s="64">
        <f>Ringkasan!X677</f>
        <v>0.35</v>
      </c>
      <c r="Y678" s="64">
        <f>Ringkasan!Y677</f>
        <v>0.26</v>
      </c>
      <c r="Z678" s="64">
        <f>Ringkasan!Z677</f>
        <v>61500</v>
      </c>
      <c r="AA678" s="64" t="str">
        <f>Ringkasan!AA677</f>
        <v>Oil &amp; Gas</v>
      </c>
      <c r="AB678" s="64" t="str">
        <f>Ringkasan!AB677</f>
        <v>Energy</v>
      </c>
    </row>
    <row r="679" hidden="1">
      <c r="A679" s="64" t="str">
        <f>Ringkasan!A678</f>
        <v>ENRG</v>
      </c>
      <c r="B679" s="64" t="str">
        <f>Ringkasan!B678</f>
        <v>Energi Mega Persada Tbk.</v>
      </c>
      <c r="C679" s="65">
        <f>Ringkasan!C678</f>
        <v>1390</v>
      </c>
      <c r="D679" s="64" t="str">
        <f>Ringkasan!D678</f>
        <v>#N/A</v>
      </c>
      <c r="E679" s="64" t="str">
        <f>Ringkasan!E678</f>
        <v>JII70</v>
      </c>
      <c r="F679" s="66">
        <f>Ringkasan!F678</f>
        <v>46356</v>
      </c>
      <c r="G679" s="64">
        <f>Ringkasan!G678</f>
        <v>9</v>
      </c>
      <c r="H679" s="19">
        <f>Ringkasan!H678</f>
        <v>23.2</v>
      </c>
      <c r="I679" s="19">
        <f>Ringkasan!I678</f>
        <v>2.6</v>
      </c>
      <c r="J679" s="19">
        <f>Ringkasan!J678</f>
        <v>11.1</v>
      </c>
      <c r="K679" s="19">
        <f>Ringkasan!K678</f>
        <v>5</v>
      </c>
      <c r="L679" s="19">
        <f>Ringkasan!L678</f>
        <v>1.2</v>
      </c>
      <c r="M679" s="19">
        <f>Ringkasan!M678</f>
        <v>18.4</v>
      </c>
      <c r="N679" s="64" t="str">
        <f>Ringkasan!N678</f>
        <v/>
      </c>
      <c r="O679" s="64" t="str">
        <f>Ringkasan!O678</f>
        <v/>
      </c>
      <c r="P679" s="64" t="str">
        <f>Ringkasan!P678</f>
        <v/>
      </c>
      <c r="Q679" s="64" t="str">
        <f>Ringkasan!Q678</f>
        <v/>
      </c>
      <c r="R679" s="64" t="str">
        <f>Ringkasan!R678</f>
        <v/>
      </c>
      <c r="S679" s="64" t="str">
        <f>Ringkasan!S678</f>
        <v/>
      </c>
      <c r="T679" s="64" t="str">
        <f>Ringkasan!T678</f>
        <v/>
      </c>
      <c r="U679" s="64">
        <f>Ringkasan!U678</f>
        <v>0.3</v>
      </c>
      <c r="V679" s="64">
        <f>Ringkasan!V678</f>
        <v>18.64</v>
      </c>
      <c r="W679" s="64">
        <f>Ringkasan!W678</f>
        <v>0.29</v>
      </c>
      <c r="X679" s="64">
        <f>Ringkasan!X678</f>
        <v>0.35</v>
      </c>
      <c r="Y679" s="64">
        <f>Ringkasan!Y678</f>
        <v>0.26</v>
      </c>
      <c r="Z679" s="64">
        <f>Ringkasan!Z678</f>
        <v>61500</v>
      </c>
      <c r="AA679" s="64" t="str">
        <f>Ringkasan!AA678</f>
        <v>Oil &amp; Gas</v>
      </c>
      <c r="AB679" s="64" t="str">
        <f>Ringkasan!AB678</f>
        <v>Energy</v>
      </c>
    </row>
    <row r="680" hidden="1">
      <c r="A680" s="64" t="str">
        <f>Ringkasan!A679</f>
        <v>ENVY</v>
      </c>
      <c r="B680" s="64" t="str">
        <f>Ringkasan!B679</f>
        <v>Envy Technologies Indonesia Tbk.</v>
      </c>
      <c r="C680" s="65">
        <f>Ringkasan!C679</f>
        <v>50</v>
      </c>
      <c r="D680" s="64" t="str">
        <f>Ringkasan!D679</f>
        <v>#N/A</v>
      </c>
      <c r="E680" s="64" t="str">
        <f>Ringkasan!E679</f>
        <v/>
      </c>
      <c r="F680" s="64" t="str">
        <f>Ringkasan!F679</f>
        <v/>
      </c>
      <c r="G680" s="64">
        <f>Ringkasan!G679</f>
        <v>0</v>
      </c>
      <c r="H680" s="19">
        <f>Ringkasan!H679</f>
        <v>-9.4</v>
      </c>
      <c r="I680" s="19">
        <f>Ringkasan!I679</f>
        <v>-1.7</v>
      </c>
      <c r="J680" s="19">
        <f>Ringkasan!J679</f>
        <v>0</v>
      </c>
      <c r="K680" s="19">
        <f>Ringkasan!K679</f>
        <v>-64.6</v>
      </c>
      <c r="L680" s="19">
        <f>Ringkasan!L679</f>
        <v>-1.3</v>
      </c>
      <c r="M680" s="19">
        <f>Ringkasan!M679</f>
        <v>-1690</v>
      </c>
      <c r="N680" s="64" t="str">
        <f>Ringkasan!N679</f>
        <v/>
      </c>
      <c r="O680" s="64" t="str">
        <f>Ringkasan!O679</f>
        <v/>
      </c>
      <c r="P680" s="64" t="str">
        <f>Ringkasan!P679</f>
        <v/>
      </c>
      <c r="Q680" s="64" t="str">
        <f>Ringkasan!Q679</f>
        <v/>
      </c>
      <c r="R680" s="64" t="str">
        <f>Ringkasan!R679</f>
        <v/>
      </c>
      <c r="S680" s="64" t="str">
        <f>Ringkasan!S679</f>
        <v/>
      </c>
      <c r="T680" s="64" t="str">
        <f>Ringkasan!T679</f>
        <v/>
      </c>
      <c r="U680" s="64">
        <f>Ringkasan!U679</f>
        <v>50</v>
      </c>
      <c r="V680" s="64">
        <f>Ringkasan!V679</f>
        <v>0</v>
      </c>
      <c r="W680" s="64" t="str">
        <f>Ringkasan!W679</f>
        <v/>
      </c>
      <c r="X680" s="64" t="str">
        <f>Ringkasan!X679</f>
        <v/>
      </c>
      <c r="Y680" s="64" t="str">
        <f>Ringkasan!Y679</f>
        <v/>
      </c>
      <c r="Z680" s="64">
        <f>Ringkasan!Z679</f>
        <v>0</v>
      </c>
      <c r="AA680" s="64" t="str">
        <f>Ringkasan!AA679</f>
        <v>IT Services &amp; Consulting</v>
      </c>
      <c r="AB680" s="64" t="str">
        <f>Ringkasan!AB679</f>
        <v>Technology</v>
      </c>
    </row>
    <row r="681" hidden="1">
      <c r="A681" s="64" t="str">
        <f>Ringkasan!A680</f>
        <v>ENZO</v>
      </c>
      <c r="B681" s="64" t="str">
        <f>Ringkasan!B680</f>
        <v>Morenzo Abadi Perkasa Tbk.</v>
      </c>
      <c r="C681" s="65" t="str">
        <f>Ringkasan!C680</f>
        <v>#N/A</v>
      </c>
      <c r="D681" s="64" t="str">
        <f>Ringkasan!D680</f>
        <v>#N/A</v>
      </c>
      <c r="E681" s="64" t="str">
        <f>Ringkasan!E680</f>
        <v/>
      </c>
      <c r="F681" s="64" t="str">
        <f>Ringkasan!F680</f>
        <v/>
      </c>
      <c r="G681" s="64">
        <f>Ringkasan!G680</f>
        <v>0</v>
      </c>
      <c r="H681" s="19">
        <f>Ringkasan!H680</f>
        <v>33.7</v>
      </c>
      <c r="I681" s="19">
        <f>Ringkasan!I680</f>
        <v>0.94</v>
      </c>
      <c r="J681" s="19">
        <f>Ringkasan!J680</f>
        <v>2.8</v>
      </c>
      <c r="K681" s="19">
        <f>Ringkasan!K680</f>
        <v>1.1</v>
      </c>
      <c r="L681" s="19">
        <f>Ringkasan!L680</f>
        <v>1.6</v>
      </c>
      <c r="M681" s="19">
        <f>Ringkasan!M680</f>
        <v>5.1</v>
      </c>
      <c r="N681" s="64" t="str">
        <f>Ringkasan!N680</f>
        <v/>
      </c>
      <c r="O681" s="64" t="str">
        <f>Ringkasan!O680</f>
        <v/>
      </c>
      <c r="P681" s="64" t="str">
        <f>Ringkasan!P680</f>
        <v/>
      </c>
      <c r="Q681" s="64" t="str">
        <f>Ringkasan!Q680</f>
        <v/>
      </c>
      <c r="R681" s="64" t="str">
        <f>Ringkasan!R680</f>
        <v/>
      </c>
      <c r="S681" s="64" t="str">
        <f>Ringkasan!S680</f>
        <v/>
      </c>
      <c r="T681" s="64" t="str">
        <f>Ringkasan!T680</f>
        <v/>
      </c>
      <c r="U681" s="64">
        <f>Ringkasan!U680</f>
        <v>60</v>
      </c>
      <c r="V681" s="64">
        <f>Ringkasan!V680</f>
        <v>11.67</v>
      </c>
      <c r="W681" s="64">
        <f>Ringkasan!W680</f>
        <v>60</v>
      </c>
      <c r="X681" s="64">
        <f>Ringkasan!X680</f>
        <v>70</v>
      </c>
      <c r="Y681" s="64">
        <f>Ringkasan!Y680</f>
        <v>60</v>
      </c>
      <c r="Z681" s="64">
        <f>Ringkasan!Z680</f>
        <v>20232300</v>
      </c>
      <c r="AA681" s="64" t="str">
        <f>Ringkasan!AA680</f>
        <v>Agricultural Products</v>
      </c>
      <c r="AB681" s="64" t="str">
        <f>Ringkasan!AB680</f>
        <v>Consumer Non-Cyclicals</v>
      </c>
    </row>
    <row r="682" hidden="1">
      <c r="A682" s="64" t="str">
        <f>Ringkasan!A681</f>
        <v>EPAC</v>
      </c>
      <c r="B682" s="64" t="str">
        <f>Ringkasan!B681</f>
        <v>Megalestari Epack Sentosaraya Tbk.</v>
      </c>
      <c r="C682" s="65">
        <f>Ringkasan!C681</f>
        <v>55</v>
      </c>
      <c r="D682" s="64" t="str">
        <f>Ringkasan!D681</f>
        <v>#N/A</v>
      </c>
      <c r="E682" s="64" t="str">
        <f>Ringkasan!E681</f>
        <v/>
      </c>
      <c r="F682" s="64" t="str">
        <f>Ringkasan!F681</f>
        <v/>
      </c>
      <c r="G682" s="64">
        <f>Ringkasan!G681</f>
        <v>0</v>
      </c>
      <c r="H682" s="19">
        <f>Ringkasan!H681</f>
        <v>-56.4</v>
      </c>
      <c r="I682" s="19">
        <f>Ringkasan!I681</f>
        <v>3.2</v>
      </c>
      <c r="J682" s="19">
        <f>Ringkasan!J681</f>
        <v>-5.7</v>
      </c>
      <c r="K682" s="19">
        <f>Ringkasan!K681</f>
        <v>-1.6</v>
      </c>
      <c r="L682" s="19">
        <f>Ringkasan!L681</f>
        <v>2.5</v>
      </c>
      <c r="M682" s="19">
        <f>Ringkasan!M681</f>
        <v>-10.3</v>
      </c>
      <c r="N682" s="64" t="str">
        <f>Ringkasan!N681</f>
        <v/>
      </c>
      <c r="O682" s="64" t="str">
        <f>Ringkasan!O681</f>
        <v/>
      </c>
      <c r="P682" s="64" t="str">
        <f>Ringkasan!P681</f>
        <v/>
      </c>
      <c r="Q682" s="64" t="str">
        <f>Ringkasan!Q681</f>
        <v/>
      </c>
      <c r="R682" s="64" t="str">
        <f>Ringkasan!R681</f>
        <v/>
      </c>
      <c r="S682" s="64" t="str">
        <f>Ringkasan!S681</f>
        <v/>
      </c>
      <c r="T682" s="64" t="str">
        <f>Ringkasan!T681</f>
        <v/>
      </c>
      <c r="U682" s="64">
        <f>Ringkasan!U681</f>
        <v>35.22</v>
      </c>
      <c r="V682" s="64">
        <f>Ringkasan!V681</f>
        <v>-0.48</v>
      </c>
      <c r="W682" s="64">
        <f>Ringkasan!W681</f>
        <v>35.45</v>
      </c>
      <c r="X682" s="64">
        <f>Ringkasan!X681</f>
        <v>35.52</v>
      </c>
      <c r="Y682" s="64">
        <f>Ringkasan!Y681</f>
        <v>34.91</v>
      </c>
      <c r="Z682" s="64">
        <f>Ringkasan!Z681</f>
        <v>252363</v>
      </c>
      <c r="AA682" s="64" t="str">
        <f>Ringkasan!AA681</f>
        <v>Containers &amp; Packaging</v>
      </c>
      <c r="AB682" s="64" t="str">
        <f>Ringkasan!AB681</f>
        <v>Basic Materials</v>
      </c>
    </row>
    <row r="683" hidden="1">
      <c r="A683" s="64" t="str">
        <f>Ringkasan!A682</f>
        <v>EPMT</v>
      </c>
      <c r="B683" s="64" t="str">
        <f>Ringkasan!B682</f>
        <v>Enseval Putera Megatrading Tbk.</v>
      </c>
      <c r="C683" s="65">
        <f>Ringkasan!C682</f>
        <v>2310</v>
      </c>
      <c r="D683" s="64" t="str">
        <f>Ringkasan!D682</f>
        <v>#N/A</v>
      </c>
      <c r="E683" s="64" t="str">
        <f>Ringkasan!E682</f>
        <v/>
      </c>
      <c r="F683" s="64" t="str">
        <f>Ringkasan!F682</f>
        <v/>
      </c>
      <c r="G683" s="64">
        <f>Ringkasan!G682</f>
        <v>0</v>
      </c>
      <c r="H683" s="19">
        <f>Ringkasan!H682</f>
        <v>8</v>
      </c>
      <c r="I683" s="19">
        <f>Ringkasan!I682</f>
        <v>0.76</v>
      </c>
      <c r="J683" s="19">
        <f>Ringkasan!J682</f>
        <v>9.5</v>
      </c>
      <c r="K683" s="19">
        <f>Ringkasan!K682</f>
        <v>5.5</v>
      </c>
      <c r="L683" s="19">
        <f>Ringkasan!L682</f>
        <v>0.73</v>
      </c>
      <c r="M683" s="19">
        <f>Ringkasan!M682</f>
        <v>8.6</v>
      </c>
      <c r="N683" s="64" t="str">
        <f>Ringkasan!N682</f>
        <v/>
      </c>
      <c r="O683" s="64" t="str">
        <f>Ringkasan!O682</f>
        <v/>
      </c>
      <c r="P683" s="64" t="str">
        <f>Ringkasan!P682</f>
        <v/>
      </c>
      <c r="Q683" s="64" t="str">
        <f>Ringkasan!Q682</f>
        <v/>
      </c>
      <c r="R683" s="64" t="str">
        <f>Ringkasan!R682</f>
        <v/>
      </c>
      <c r="S683" s="64" t="str">
        <f>Ringkasan!S682</f>
        <v/>
      </c>
      <c r="T683" s="64" t="str">
        <f>Ringkasan!T682</f>
        <v/>
      </c>
      <c r="U683" s="64">
        <f>Ringkasan!U682</f>
        <v>2270</v>
      </c>
      <c r="V683" s="64">
        <f>Ringkasan!V682</f>
        <v>1.76</v>
      </c>
      <c r="W683" s="64" t="str">
        <f>Ringkasan!W682</f>
        <v/>
      </c>
      <c r="X683" s="64">
        <f>Ringkasan!X682</f>
        <v>2320</v>
      </c>
      <c r="Y683" s="64">
        <f>Ringkasan!Y682</f>
        <v>2260</v>
      </c>
      <c r="Z683" s="64">
        <f>Ringkasan!Z682</f>
        <v>172600</v>
      </c>
      <c r="AA683" s="64" t="str">
        <f>Ringkasan!AA682</f>
        <v>Food &amp; Staples Retailing</v>
      </c>
      <c r="AB683" s="64" t="str">
        <f>Ringkasan!AB682</f>
        <v>Consumer Non-Cyclicals</v>
      </c>
    </row>
    <row r="684" hidden="1">
      <c r="A684" s="64" t="str">
        <f>Ringkasan!A683</f>
        <v>ERAA</v>
      </c>
      <c r="B684" s="64" t="str">
        <f>Ringkasan!B683</f>
        <v>Erajaya Swasembada Tbk.</v>
      </c>
      <c r="C684" s="65">
        <f>Ringkasan!C683</f>
        <v>364</v>
      </c>
      <c r="D684" s="64" t="str">
        <f>Ringkasan!D683</f>
        <v>#N/A</v>
      </c>
      <c r="E684" s="64" t="str">
        <f>Ringkasan!E683</f>
        <v>IDXSHAGROW</v>
      </c>
      <c r="F684" s="66">
        <f>Ringkasan!F683</f>
        <v>46356</v>
      </c>
      <c r="G684" s="64">
        <f>Ringkasan!G683</f>
        <v>10</v>
      </c>
      <c r="H684" s="19">
        <f>Ringkasan!H683</f>
        <v>4.1</v>
      </c>
      <c r="I684" s="19">
        <f>Ringkasan!I683</f>
        <v>0.54</v>
      </c>
      <c r="J684" s="19">
        <f>Ringkasan!J683</f>
        <v>13.2</v>
      </c>
      <c r="K684" s="19">
        <f>Ringkasan!K683</f>
        <v>4.6</v>
      </c>
      <c r="L684" s="19">
        <f>Ringkasan!L683</f>
        <v>1.9</v>
      </c>
      <c r="M684" s="19">
        <f>Ringkasan!M683</f>
        <v>6.5</v>
      </c>
      <c r="N684" s="64" t="str">
        <f>Ringkasan!N683</f>
        <v/>
      </c>
      <c r="O684" s="64" t="str">
        <f>Ringkasan!O683</f>
        <v/>
      </c>
      <c r="P684" s="64" t="str">
        <f>Ringkasan!P683</f>
        <v/>
      </c>
      <c r="Q684" s="64" t="str">
        <f>Ringkasan!Q683</f>
        <v/>
      </c>
      <c r="R684" s="64" t="str">
        <f>Ringkasan!R683</f>
        <v/>
      </c>
      <c r="S684" s="64" t="str">
        <f>Ringkasan!S683</f>
        <v/>
      </c>
      <c r="T684" s="64" t="str">
        <f>Ringkasan!T683</f>
        <v/>
      </c>
      <c r="U684" s="64" t="str">
        <f>Ringkasan!U683</f>
        <v/>
      </c>
      <c r="V684" s="64">
        <f>Ringkasan!V683</f>
        <v>2.82</v>
      </c>
      <c r="W684" s="64">
        <f>Ringkasan!W683</f>
        <v>356</v>
      </c>
      <c r="X684" s="64">
        <f>Ringkasan!X683</f>
        <v>370</v>
      </c>
      <c r="Y684" s="64">
        <f>Ringkasan!Y683</f>
        <v>356</v>
      </c>
      <c r="Z684" s="64">
        <f>Ringkasan!Z683</f>
        <v>16043800</v>
      </c>
      <c r="AA684" s="64" t="str">
        <f>Ringkasan!AA683</f>
        <v>Specialty Retail</v>
      </c>
      <c r="AB684" s="64" t="str">
        <f>Ringkasan!AB683</f>
        <v>Consumer Cyclicals</v>
      </c>
    </row>
    <row r="685" hidden="1">
      <c r="A685" s="64" t="str">
        <f>Ringkasan!A684</f>
        <v>ERAA</v>
      </c>
      <c r="B685" s="64" t="str">
        <f>Ringkasan!B684</f>
        <v>Erajaya Swasembada Tbk.</v>
      </c>
      <c r="C685" s="65">
        <f>Ringkasan!C684</f>
        <v>364</v>
      </c>
      <c r="D685" s="64" t="str">
        <f>Ringkasan!D684</f>
        <v>#N/A</v>
      </c>
      <c r="E685" s="64" t="str">
        <f>Ringkasan!E684</f>
        <v>IDXHIDIV20</v>
      </c>
      <c r="F685" s="64" t="str">
        <f>Ringkasan!F684</f>
        <v>2 Februari 2027</v>
      </c>
      <c r="G685" s="64">
        <f>Ringkasan!G684</f>
        <v>10</v>
      </c>
      <c r="H685" s="19">
        <f>Ringkasan!H684</f>
        <v>4.1</v>
      </c>
      <c r="I685" s="19">
        <f>Ringkasan!I684</f>
        <v>0.54</v>
      </c>
      <c r="J685" s="19">
        <f>Ringkasan!J684</f>
        <v>13.2</v>
      </c>
      <c r="K685" s="19">
        <f>Ringkasan!K684</f>
        <v>4.6</v>
      </c>
      <c r="L685" s="19">
        <f>Ringkasan!L684</f>
        <v>1.9</v>
      </c>
      <c r="M685" s="19">
        <f>Ringkasan!M684</f>
        <v>6.5</v>
      </c>
      <c r="N685" s="64" t="str">
        <f>Ringkasan!N684</f>
        <v/>
      </c>
      <c r="O685" s="64" t="str">
        <f>Ringkasan!O684</f>
        <v/>
      </c>
      <c r="P685" s="64" t="str">
        <f>Ringkasan!P684</f>
        <v/>
      </c>
      <c r="Q685" s="64" t="str">
        <f>Ringkasan!Q684</f>
        <v/>
      </c>
      <c r="R685" s="64" t="str">
        <f>Ringkasan!R684</f>
        <v/>
      </c>
      <c r="S685" s="64" t="str">
        <f>Ringkasan!S684</f>
        <v/>
      </c>
      <c r="T685" s="64" t="str">
        <f>Ringkasan!T684</f>
        <v/>
      </c>
      <c r="U685" s="64" t="str">
        <f>Ringkasan!U684</f>
        <v/>
      </c>
      <c r="V685" s="64">
        <f>Ringkasan!V684</f>
        <v>2.82</v>
      </c>
      <c r="W685" s="64">
        <f>Ringkasan!W684</f>
        <v>356</v>
      </c>
      <c r="X685" s="64">
        <f>Ringkasan!X684</f>
        <v>370</v>
      </c>
      <c r="Y685" s="64">
        <f>Ringkasan!Y684</f>
        <v>356</v>
      </c>
      <c r="Z685" s="64">
        <f>Ringkasan!Z684</f>
        <v>16043800</v>
      </c>
      <c r="AA685" s="64" t="str">
        <f>Ringkasan!AA684</f>
        <v>Specialty Retail</v>
      </c>
      <c r="AB685" s="64" t="str">
        <f>Ringkasan!AB684</f>
        <v>Consumer Cyclicals</v>
      </c>
    </row>
    <row r="686" hidden="1">
      <c r="A686" s="64" t="str">
        <f>Ringkasan!A685</f>
        <v>ERAA</v>
      </c>
      <c r="B686" s="64" t="str">
        <f>Ringkasan!B685</f>
        <v>Erajaya Swasembada Tbk.</v>
      </c>
      <c r="C686" s="65">
        <f>Ringkasan!C685</f>
        <v>364</v>
      </c>
      <c r="D686" s="64" t="str">
        <f>Ringkasan!D685</f>
        <v>#N/A</v>
      </c>
      <c r="E686" s="64" t="str">
        <f>Ringkasan!E685</f>
        <v>IDXG30</v>
      </c>
      <c r="F686" s="64" t="str">
        <f>Ringkasan!F685</f>
        <v>4 Agustus 2026</v>
      </c>
      <c r="G686" s="64">
        <f>Ringkasan!G685</f>
        <v>10</v>
      </c>
      <c r="H686" s="19">
        <f>Ringkasan!H685</f>
        <v>4.1</v>
      </c>
      <c r="I686" s="19">
        <f>Ringkasan!I685</f>
        <v>0.54</v>
      </c>
      <c r="J686" s="19">
        <f>Ringkasan!J685</f>
        <v>13.2</v>
      </c>
      <c r="K686" s="19">
        <f>Ringkasan!K685</f>
        <v>4.6</v>
      </c>
      <c r="L686" s="19">
        <f>Ringkasan!L685</f>
        <v>1.9</v>
      </c>
      <c r="M686" s="19">
        <f>Ringkasan!M685</f>
        <v>6.5</v>
      </c>
      <c r="N686" s="64" t="str">
        <f>Ringkasan!N685</f>
        <v/>
      </c>
      <c r="O686" s="64" t="str">
        <f>Ringkasan!O685</f>
        <v/>
      </c>
      <c r="P686" s="64" t="str">
        <f>Ringkasan!P685</f>
        <v/>
      </c>
      <c r="Q686" s="64" t="str">
        <f>Ringkasan!Q685</f>
        <v/>
      </c>
      <c r="R686" s="64" t="str">
        <f>Ringkasan!R685</f>
        <v/>
      </c>
      <c r="S686" s="64" t="str">
        <f>Ringkasan!S685</f>
        <v/>
      </c>
      <c r="T686" s="64" t="str">
        <f>Ringkasan!T685</f>
        <v/>
      </c>
      <c r="U686" s="64" t="str">
        <f>Ringkasan!U685</f>
        <v/>
      </c>
      <c r="V686" s="64">
        <f>Ringkasan!V685</f>
        <v>2.82</v>
      </c>
      <c r="W686" s="64">
        <f>Ringkasan!W685</f>
        <v>356</v>
      </c>
      <c r="X686" s="64">
        <f>Ringkasan!X685</f>
        <v>370</v>
      </c>
      <c r="Y686" s="64">
        <f>Ringkasan!Y685</f>
        <v>356</v>
      </c>
      <c r="Z686" s="64">
        <f>Ringkasan!Z685</f>
        <v>16043800</v>
      </c>
      <c r="AA686" s="64" t="str">
        <f>Ringkasan!AA685</f>
        <v>Specialty Retail</v>
      </c>
      <c r="AB686" s="64" t="str">
        <f>Ringkasan!AB685</f>
        <v>Consumer Cyclicals</v>
      </c>
    </row>
    <row r="687" hidden="1">
      <c r="A687" s="64" t="str">
        <f>Ringkasan!A686</f>
        <v>ERAA</v>
      </c>
      <c r="B687" s="64" t="str">
        <f>Ringkasan!B686</f>
        <v>Erajaya Swasembada Tbk.</v>
      </c>
      <c r="C687" s="65">
        <f>Ringkasan!C686</f>
        <v>364</v>
      </c>
      <c r="D687" s="64" t="str">
        <f>Ringkasan!D686</f>
        <v>#N/A</v>
      </c>
      <c r="E687" s="64" t="str">
        <f>Ringkasan!E686</f>
        <v>IDX80</v>
      </c>
      <c r="F687" s="64" t="str">
        <f>Ringkasan!F686</f>
        <v>31 Juli 2026</v>
      </c>
      <c r="G687" s="64">
        <f>Ringkasan!G686</f>
        <v>10</v>
      </c>
      <c r="H687" s="19">
        <f>Ringkasan!H686</f>
        <v>4.1</v>
      </c>
      <c r="I687" s="19">
        <f>Ringkasan!I686</f>
        <v>0.54</v>
      </c>
      <c r="J687" s="19">
        <f>Ringkasan!J686</f>
        <v>13.2</v>
      </c>
      <c r="K687" s="19">
        <f>Ringkasan!K686</f>
        <v>4.6</v>
      </c>
      <c r="L687" s="19">
        <f>Ringkasan!L686</f>
        <v>1.9</v>
      </c>
      <c r="M687" s="19">
        <f>Ringkasan!M686</f>
        <v>6.5</v>
      </c>
      <c r="N687" s="64" t="str">
        <f>Ringkasan!N686</f>
        <v/>
      </c>
      <c r="O687" s="64" t="str">
        <f>Ringkasan!O686</f>
        <v/>
      </c>
      <c r="P687" s="64" t="str">
        <f>Ringkasan!P686</f>
        <v/>
      </c>
      <c r="Q687" s="64" t="str">
        <f>Ringkasan!Q686</f>
        <v/>
      </c>
      <c r="R687" s="64" t="str">
        <f>Ringkasan!R686</f>
        <v/>
      </c>
      <c r="S687" s="64" t="str">
        <f>Ringkasan!S686</f>
        <v/>
      </c>
      <c r="T687" s="64" t="str">
        <f>Ringkasan!T686</f>
        <v/>
      </c>
      <c r="U687" s="64" t="str">
        <f>Ringkasan!U686</f>
        <v/>
      </c>
      <c r="V687" s="64">
        <f>Ringkasan!V686</f>
        <v>2.82</v>
      </c>
      <c r="W687" s="64">
        <f>Ringkasan!W686</f>
        <v>356</v>
      </c>
      <c r="X687" s="64">
        <f>Ringkasan!X686</f>
        <v>370</v>
      </c>
      <c r="Y687" s="64">
        <f>Ringkasan!Y686</f>
        <v>356</v>
      </c>
      <c r="Z687" s="64">
        <f>Ringkasan!Z686</f>
        <v>16043800</v>
      </c>
      <c r="AA687" s="64" t="str">
        <f>Ringkasan!AA686</f>
        <v>Specialty Retail</v>
      </c>
      <c r="AB687" s="64" t="str">
        <f>Ringkasan!AB686</f>
        <v>Consumer Cyclicals</v>
      </c>
    </row>
    <row r="688" hidden="1">
      <c r="A688" s="64" t="str">
        <f>Ringkasan!A687</f>
        <v>ERAA</v>
      </c>
      <c r="B688" s="64" t="str">
        <f>Ringkasan!B687</f>
        <v>Erajaya Swasembada Tbk.</v>
      </c>
      <c r="C688" s="65">
        <f>Ringkasan!C687</f>
        <v>364</v>
      </c>
      <c r="D688" s="64" t="str">
        <f>Ringkasan!D687</f>
        <v>#N/A</v>
      </c>
      <c r="E688" s="64" t="str">
        <f>Ringkasan!E687</f>
        <v>Kompas100</v>
      </c>
      <c r="F688" s="64" t="str">
        <f>Ringkasan!F687</f>
        <v>31 Juli 2026</v>
      </c>
      <c r="G688" s="64">
        <f>Ringkasan!G687</f>
        <v>10</v>
      </c>
      <c r="H688" s="19">
        <f>Ringkasan!H687</f>
        <v>4.1</v>
      </c>
      <c r="I688" s="19">
        <f>Ringkasan!I687</f>
        <v>0.54</v>
      </c>
      <c r="J688" s="19">
        <f>Ringkasan!J687</f>
        <v>13.2</v>
      </c>
      <c r="K688" s="19">
        <f>Ringkasan!K687</f>
        <v>4.6</v>
      </c>
      <c r="L688" s="19">
        <f>Ringkasan!L687</f>
        <v>1.9</v>
      </c>
      <c r="M688" s="19">
        <f>Ringkasan!M687</f>
        <v>6.5</v>
      </c>
      <c r="N688" s="64" t="str">
        <f>Ringkasan!N687</f>
        <v/>
      </c>
      <c r="O688" s="64" t="str">
        <f>Ringkasan!O687</f>
        <v/>
      </c>
      <c r="P688" s="64" t="str">
        <f>Ringkasan!P687</f>
        <v/>
      </c>
      <c r="Q688" s="64" t="str">
        <f>Ringkasan!Q687</f>
        <v/>
      </c>
      <c r="R688" s="64" t="str">
        <f>Ringkasan!R687</f>
        <v/>
      </c>
      <c r="S688" s="64" t="str">
        <f>Ringkasan!S687</f>
        <v/>
      </c>
      <c r="T688" s="64" t="str">
        <f>Ringkasan!T687</f>
        <v/>
      </c>
      <c r="U688" s="64" t="str">
        <f>Ringkasan!U687</f>
        <v/>
      </c>
      <c r="V688" s="64">
        <f>Ringkasan!V687</f>
        <v>2.82</v>
      </c>
      <c r="W688" s="64">
        <f>Ringkasan!W687</f>
        <v>356</v>
      </c>
      <c r="X688" s="64">
        <f>Ringkasan!X687</f>
        <v>370</v>
      </c>
      <c r="Y688" s="64">
        <f>Ringkasan!Y687</f>
        <v>356</v>
      </c>
      <c r="Z688" s="64">
        <f>Ringkasan!Z687</f>
        <v>16043800</v>
      </c>
      <c r="AA688" s="64" t="str">
        <f>Ringkasan!AA687</f>
        <v>Specialty Retail</v>
      </c>
      <c r="AB688" s="64" t="str">
        <f>Ringkasan!AB687</f>
        <v>Consumer Cyclicals</v>
      </c>
    </row>
    <row r="689" hidden="1">
      <c r="A689" s="64" t="str">
        <f>Ringkasan!A688</f>
        <v>ERAA</v>
      </c>
      <c r="B689" s="64" t="str">
        <f>Ringkasan!B688</f>
        <v>Erajaya Swasembada Tbk.</v>
      </c>
      <c r="C689" s="65">
        <f>Ringkasan!C688</f>
        <v>364</v>
      </c>
      <c r="D689" s="64" t="str">
        <f>Ringkasan!D688</f>
        <v>#N/A</v>
      </c>
      <c r="E689" s="64" t="str">
        <f>Ringkasan!E688</f>
        <v>ECONOMIC30</v>
      </c>
      <c r="F689" s="64" t="str">
        <f>Ringkasan!F688</f>
        <v>31 Agustus 2026</v>
      </c>
      <c r="G689" s="64">
        <f>Ringkasan!G688</f>
        <v>10</v>
      </c>
      <c r="H689" s="19">
        <f>Ringkasan!H688</f>
        <v>4.1</v>
      </c>
      <c r="I689" s="19">
        <f>Ringkasan!I688</f>
        <v>0.54</v>
      </c>
      <c r="J689" s="19">
        <f>Ringkasan!J688</f>
        <v>13.2</v>
      </c>
      <c r="K689" s="19">
        <f>Ringkasan!K688</f>
        <v>4.6</v>
      </c>
      <c r="L689" s="19">
        <f>Ringkasan!L688</f>
        <v>1.9</v>
      </c>
      <c r="M689" s="19">
        <f>Ringkasan!M688</f>
        <v>6.5</v>
      </c>
      <c r="N689" s="64" t="str">
        <f>Ringkasan!N688</f>
        <v/>
      </c>
      <c r="O689" s="64" t="str">
        <f>Ringkasan!O688</f>
        <v/>
      </c>
      <c r="P689" s="64" t="str">
        <f>Ringkasan!P688</f>
        <v/>
      </c>
      <c r="Q689" s="64" t="str">
        <f>Ringkasan!Q688</f>
        <v/>
      </c>
      <c r="R689" s="64" t="str">
        <f>Ringkasan!R688</f>
        <v/>
      </c>
      <c r="S689" s="64" t="str">
        <f>Ringkasan!S688</f>
        <v/>
      </c>
      <c r="T689" s="64" t="str">
        <f>Ringkasan!T688</f>
        <v/>
      </c>
      <c r="U689" s="64" t="str">
        <f>Ringkasan!U688</f>
        <v/>
      </c>
      <c r="V689" s="64">
        <f>Ringkasan!V688</f>
        <v>2.82</v>
      </c>
      <c r="W689" s="64">
        <f>Ringkasan!W688</f>
        <v>356</v>
      </c>
      <c r="X689" s="64">
        <f>Ringkasan!X688</f>
        <v>370</v>
      </c>
      <c r="Y689" s="64">
        <f>Ringkasan!Y688</f>
        <v>356</v>
      </c>
      <c r="Z689" s="64">
        <f>Ringkasan!Z688</f>
        <v>16043800</v>
      </c>
      <c r="AA689" s="64" t="str">
        <f>Ringkasan!AA688</f>
        <v>Specialty Retail</v>
      </c>
      <c r="AB689" s="64" t="str">
        <f>Ringkasan!AB688</f>
        <v>Consumer Cyclicals</v>
      </c>
    </row>
    <row r="690" hidden="1">
      <c r="A690" s="64" t="str">
        <f>Ringkasan!A689</f>
        <v>ERAA</v>
      </c>
      <c r="B690" s="64" t="str">
        <f>Ringkasan!B689</f>
        <v>Erajaya Swasembada Tbk.</v>
      </c>
      <c r="C690" s="65">
        <f>Ringkasan!C689</f>
        <v>364</v>
      </c>
      <c r="D690" s="64" t="str">
        <f>Ringkasan!D689</f>
        <v>#N/A</v>
      </c>
      <c r="E690" s="64" t="str">
        <f>Ringkasan!E689</f>
        <v>IDXESGL</v>
      </c>
      <c r="F690" s="64" t="str">
        <f>Ringkasan!F689</f>
        <v>30 Oktober 2026</v>
      </c>
      <c r="G690" s="64">
        <f>Ringkasan!G689</f>
        <v>10</v>
      </c>
      <c r="H690" s="19">
        <f>Ringkasan!H689</f>
        <v>4.1</v>
      </c>
      <c r="I690" s="19">
        <f>Ringkasan!I689</f>
        <v>0.54</v>
      </c>
      <c r="J690" s="19">
        <f>Ringkasan!J689</f>
        <v>13.2</v>
      </c>
      <c r="K690" s="19">
        <f>Ringkasan!K689</f>
        <v>4.6</v>
      </c>
      <c r="L690" s="19">
        <f>Ringkasan!L689</f>
        <v>1.9</v>
      </c>
      <c r="M690" s="19">
        <f>Ringkasan!M689</f>
        <v>6.5</v>
      </c>
      <c r="N690" s="64" t="str">
        <f>Ringkasan!N689</f>
        <v/>
      </c>
      <c r="O690" s="64" t="str">
        <f>Ringkasan!O689</f>
        <v/>
      </c>
      <c r="P690" s="64" t="str">
        <f>Ringkasan!P689</f>
        <v/>
      </c>
      <c r="Q690" s="64" t="str">
        <f>Ringkasan!Q689</f>
        <v/>
      </c>
      <c r="R690" s="64" t="str">
        <f>Ringkasan!R689</f>
        <v/>
      </c>
      <c r="S690" s="64" t="str">
        <f>Ringkasan!S689</f>
        <v/>
      </c>
      <c r="T690" s="64" t="str">
        <f>Ringkasan!T689</f>
        <v/>
      </c>
      <c r="U690" s="64" t="str">
        <f>Ringkasan!U689</f>
        <v/>
      </c>
      <c r="V690" s="64">
        <f>Ringkasan!V689</f>
        <v>2.82</v>
      </c>
      <c r="W690" s="64">
        <f>Ringkasan!W689</f>
        <v>356</v>
      </c>
      <c r="X690" s="64">
        <f>Ringkasan!X689</f>
        <v>370</v>
      </c>
      <c r="Y690" s="64">
        <f>Ringkasan!Y689</f>
        <v>356</v>
      </c>
      <c r="Z690" s="64">
        <f>Ringkasan!Z689</f>
        <v>16043800</v>
      </c>
      <c r="AA690" s="64" t="str">
        <f>Ringkasan!AA689</f>
        <v>Specialty Retail</v>
      </c>
      <c r="AB690" s="64" t="str">
        <f>Ringkasan!AB689</f>
        <v>Consumer Cyclicals</v>
      </c>
    </row>
    <row r="691" hidden="1">
      <c r="A691" s="64" t="str">
        <f>Ringkasan!A690</f>
        <v>ERAA</v>
      </c>
      <c r="B691" s="64" t="str">
        <f>Ringkasan!B690</f>
        <v>Erajaya Swasembada Tbk.</v>
      </c>
      <c r="C691" s="65">
        <f>Ringkasan!C690</f>
        <v>364</v>
      </c>
      <c r="D691" s="64" t="str">
        <f>Ringkasan!D690</f>
        <v>#N/A</v>
      </c>
      <c r="E691" s="64" t="str">
        <f>Ringkasan!E690</f>
        <v>IDXV30</v>
      </c>
      <c r="F691" s="64" t="str">
        <f>Ringkasan!F690</f>
        <v>4 Agustus 2026</v>
      </c>
      <c r="G691" s="64">
        <f>Ringkasan!G690</f>
        <v>10</v>
      </c>
      <c r="H691" s="19">
        <f>Ringkasan!H690</f>
        <v>4.1</v>
      </c>
      <c r="I691" s="19">
        <f>Ringkasan!I690</f>
        <v>0.54</v>
      </c>
      <c r="J691" s="19">
        <f>Ringkasan!J690</f>
        <v>13.2</v>
      </c>
      <c r="K691" s="19">
        <f>Ringkasan!K690</f>
        <v>4.6</v>
      </c>
      <c r="L691" s="19">
        <f>Ringkasan!L690</f>
        <v>1.9</v>
      </c>
      <c r="M691" s="19">
        <f>Ringkasan!M690</f>
        <v>6.5</v>
      </c>
      <c r="N691" s="64" t="str">
        <f>Ringkasan!N690</f>
        <v/>
      </c>
      <c r="O691" s="64" t="str">
        <f>Ringkasan!O690</f>
        <v/>
      </c>
      <c r="P691" s="64" t="str">
        <f>Ringkasan!P690</f>
        <v/>
      </c>
      <c r="Q691" s="64" t="str">
        <f>Ringkasan!Q690</f>
        <v/>
      </c>
      <c r="R691" s="64" t="str">
        <f>Ringkasan!R690</f>
        <v/>
      </c>
      <c r="S691" s="64" t="str">
        <f>Ringkasan!S690</f>
        <v/>
      </c>
      <c r="T691" s="64" t="str">
        <f>Ringkasan!T690</f>
        <v/>
      </c>
      <c r="U691" s="64" t="str">
        <f>Ringkasan!U690</f>
        <v/>
      </c>
      <c r="V691" s="64">
        <f>Ringkasan!V690</f>
        <v>2.82</v>
      </c>
      <c r="W691" s="64">
        <f>Ringkasan!W690</f>
        <v>356</v>
      </c>
      <c r="X691" s="64">
        <f>Ringkasan!X690</f>
        <v>370</v>
      </c>
      <c r="Y691" s="64">
        <f>Ringkasan!Y690</f>
        <v>356</v>
      </c>
      <c r="Z691" s="64">
        <f>Ringkasan!Z690</f>
        <v>16043800</v>
      </c>
      <c r="AA691" s="64" t="str">
        <f>Ringkasan!AA690</f>
        <v>Specialty Retail</v>
      </c>
      <c r="AB691" s="64" t="str">
        <f>Ringkasan!AB690</f>
        <v>Consumer Cyclicals</v>
      </c>
    </row>
    <row r="692" hidden="1">
      <c r="A692" s="64" t="str">
        <f>Ringkasan!A691</f>
        <v>ERAA</v>
      </c>
      <c r="B692" s="64" t="str">
        <f>Ringkasan!B691</f>
        <v>Erajaya Swasembada Tbk.</v>
      </c>
      <c r="C692" s="65">
        <f>Ringkasan!C691</f>
        <v>364</v>
      </c>
      <c r="D692" s="64" t="str">
        <f>Ringkasan!D691</f>
        <v>#N/A</v>
      </c>
      <c r="E692" s="64" t="str">
        <f>Ringkasan!E691</f>
        <v>IDXSMC-LIQ</v>
      </c>
      <c r="F692" s="64" t="str">
        <f>Ringkasan!F691</f>
        <v>4 Agustus 2026</v>
      </c>
      <c r="G692" s="64">
        <f>Ringkasan!G691</f>
        <v>10</v>
      </c>
      <c r="H692" s="19">
        <f>Ringkasan!H691</f>
        <v>4.1</v>
      </c>
      <c r="I692" s="19">
        <f>Ringkasan!I691</f>
        <v>0.54</v>
      </c>
      <c r="J692" s="19">
        <f>Ringkasan!J691</f>
        <v>13.2</v>
      </c>
      <c r="K692" s="19">
        <f>Ringkasan!K691</f>
        <v>4.6</v>
      </c>
      <c r="L692" s="19">
        <f>Ringkasan!L691</f>
        <v>1.9</v>
      </c>
      <c r="M692" s="19">
        <f>Ringkasan!M691</f>
        <v>6.5</v>
      </c>
      <c r="N692" s="64" t="str">
        <f>Ringkasan!N691</f>
        <v/>
      </c>
      <c r="O692" s="64" t="str">
        <f>Ringkasan!O691</f>
        <v/>
      </c>
      <c r="P692" s="64" t="str">
        <f>Ringkasan!P691</f>
        <v/>
      </c>
      <c r="Q692" s="64" t="str">
        <f>Ringkasan!Q691</f>
        <v/>
      </c>
      <c r="R692" s="64" t="str">
        <f>Ringkasan!R691</f>
        <v/>
      </c>
      <c r="S692" s="64" t="str">
        <f>Ringkasan!S691</f>
        <v/>
      </c>
      <c r="T692" s="64" t="str">
        <f>Ringkasan!T691</f>
        <v/>
      </c>
      <c r="U692" s="64" t="str">
        <f>Ringkasan!U691</f>
        <v/>
      </c>
      <c r="V692" s="64">
        <f>Ringkasan!V691</f>
        <v>2.82</v>
      </c>
      <c r="W692" s="64">
        <f>Ringkasan!W691</f>
        <v>356</v>
      </c>
      <c r="X692" s="64">
        <f>Ringkasan!X691</f>
        <v>370</v>
      </c>
      <c r="Y692" s="64">
        <f>Ringkasan!Y691</f>
        <v>356</v>
      </c>
      <c r="Z692" s="64">
        <f>Ringkasan!Z691</f>
        <v>16043800</v>
      </c>
      <c r="AA692" s="64" t="str">
        <f>Ringkasan!AA691</f>
        <v>Specialty Retail</v>
      </c>
      <c r="AB692" s="64" t="str">
        <f>Ringkasan!AB691</f>
        <v>Consumer Cyclicals</v>
      </c>
    </row>
    <row r="693" hidden="1">
      <c r="A693" s="64" t="str">
        <f>Ringkasan!A318</f>
        <v>BEEF</v>
      </c>
      <c r="B693" s="64" t="str">
        <f>Ringkasan!B318</f>
        <v>Estika Tata Tiara Tbk.</v>
      </c>
      <c r="C693" s="65">
        <f>Ringkasan!C318</f>
        <v>156</v>
      </c>
      <c r="D693" s="64" t="str">
        <f>Ringkasan!D318</f>
        <v>#N/A</v>
      </c>
      <c r="E693" s="64" t="str">
        <f>Ringkasan!E318</f>
        <v/>
      </c>
      <c r="F693" s="64" t="str">
        <f>Ringkasan!F318</f>
        <v/>
      </c>
      <c r="G693" s="64">
        <f>Ringkasan!G318</f>
        <v>0</v>
      </c>
      <c r="H693" s="19">
        <f>Ringkasan!H318</f>
        <v>12.8</v>
      </c>
      <c r="I693" s="19">
        <f>Ringkasan!I318</f>
        <v>3.3</v>
      </c>
      <c r="J693" s="19">
        <f>Ringkasan!J318</f>
        <v>25.9</v>
      </c>
      <c r="K693" s="19">
        <f>Ringkasan!K318</f>
        <v>4.9</v>
      </c>
      <c r="L693" s="19">
        <f>Ringkasan!L318</f>
        <v>4.4</v>
      </c>
      <c r="M693" s="19">
        <f>Ringkasan!M318</f>
        <v>8.4</v>
      </c>
      <c r="N693" s="64" t="str">
        <f>Ringkasan!N318</f>
        <v/>
      </c>
      <c r="O693" s="64" t="str">
        <f>Ringkasan!O318</f>
        <v/>
      </c>
      <c r="P693" s="64" t="str">
        <f>Ringkasan!P318</f>
        <v/>
      </c>
      <c r="Q693" s="64" t="str">
        <f>Ringkasan!Q318</f>
        <v/>
      </c>
      <c r="R693" s="64" t="str">
        <f>Ringkasan!R318</f>
        <v/>
      </c>
      <c r="S693" s="64" t="str">
        <f>Ringkasan!S318</f>
        <v/>
      </c>
      <c r="T693" s="64" t="str">
        <f>Ringkasan!T318</f>
        <v/>
      </c>
      <c r="U693" s="64">
        <f>Ringkasan!U318</f>
        <v>152</v>
      </c>
      <c r="V693" s="64">
        <f>Ringkasan!V318</f>
        <v>2.63</v>
      </c>
      <c r="W693" s="64">
        <f>Ringkasan!W318</f>
        <v>153</v>
      </c>
      <c r="X693" s="64">
        <f>Ringkasan!X318</f>
        <v>160</v>
      </c>
      <c r="Y693" s="64">
        <f>Ringkasan!Y318</f>
        <v>152</v>
      </c>
      <c r="Z693" s="64">
        <f>Ringkasan!Z318</f>
        <v>7602300</v>
      </c>
      <c r="AA693" s="64" t="str">
        <f>Ringkasan!AA318</f>
        <v>Processed Foods</v>
      </c>
      <c r="AB693" s="64" t="str">
        <f>Ringkasan!AB318</f>
        <v>Consumer Non-Cyclicals</v>
      </c>
    </row>
    <row r="694" hidden="1">
      <c r="A694" s="64" t="str">
        <f>Ringkasan!A693</f>
        <v>ERAL</v>
      </c>
      <c r="B694" s="64" t="str">
        <f>Ringkasan!B693</f>
        <v>PT Sinar Eka Selaras Tbk</v>
      </c>
      <c r="C694" s="65">
        <f>Ringkasan!C693</f>
        <v>274</v>
      </c>
      <c r="D694" s="64" t="str">
        <f>Ringkasan!D693</f>
        <v>#N/A</v>
      </c>
      <c r="E694" s="64" t="str">
        <f>Ringkasan!E693</f>
        <v/>
      </c>
      <c r="F694" s="64" t="str">
        <f>Ringkasan!F693</f>
        <v/>
      </c>
      <c r="G694" s="65">
        <f>Ringkasan!G693</f>
        <v>0</v>
      </c>
      <c r="H694" s="19">
        <f>Ringkasan!H693</f>
        <v>8.7</v>
      </c>
      <c r="I694" s="19">
        <f>Ringkasan!I693</f>
        <v>0.83</v>
      </c>
      <c r="J694" s="19">
        <f>Ringkasan!J693</f>
        <v>9.5</v>
      </c>
      <c r="K694" s="19">
        <f>Ringkasan!K693</f>
        <v>5.2</v>
      </c>
      <c r="L694" s="19">
        <f>Ringkasan!L693</f>
        <v>0.83</v>
      </c>
      <c r="M694" s="19">
        <f>Ringkasan!M693</f>
        <v>10</v>
      </c>
      <c r="N694" s="64" t="str">
        <f>Ringkasan!N693</f>
        <v/>
      </c>
      <c r="O694" s="64" t="str">
        <f>Ringkasan!O693</f>
        <v/>
      </c>
      <c r="P694" s="64" t="str">
        <f>Ringkasan!P693</f>
        <v/>
      </c>
      <c r="Q694" s="64" t="str">
        <f>Ringkasan!Q693</f>
        <v/>
      </c>
      <c r="R694" s="64" t="str">
        <f>Ringkasan!R693</f>
        <v/>
      </c>
      <c r="S694" s="64" t="str">
        <f>Ringkasan!S693</f>
        <v/>
      </c>
      <c r="T694" s="64" t="str">
        <f>Ringkasan!T693</f>
        <v/>
      </c>
      <c r="U694" s="64">
        <f>Ringkasan!U693</f>
        <v>260</v>
      </c>
      <c r="V694" s="64">
        <f>Ringkasan!V693</f>
        <v>5.38</v>
      </c>
      <c r="W694" s="64">
        <f>Ringkasan!W693</f>
        <v>260</v>
      </c>
      <c r="X694" s="64">
        <f>Ringkasan!X693</f>
        <v>276</v>
      </c>
      <c r="Y694" s="64">
        <f>Ringkasan!Y693</f>
        <v>260</v>
      </c>
      <c r="Z694" s="64">
        <f>Ringkasan!Z693</f>
        <v>4033700</v>
      </c>
      <c r="AA694" s="64" t="str">
        <f>Ringkasan!AA693</f>
        <v>Specialty Retail</v>
      </c>
      <c r="AB694" s="64" t="str">
        <f>Ringkasan!AB693</f>
        <v>Consumer Cyclicals</v>
      </c>
    </row>
    <row r="695" hidden="1">
      <c r="A695" s="64" t="str">
        <f>Ringkasan!A694</f>
        <v>ERTX</v>
      </c>
      <c r="B695" s="64" t="str">
        <f>Ringkasan!B694</f>
        <v>Eratex Djaja Tbk.</v>
      </c>
      <c r="C695" s="65">
        <f>Ringkasan!C694</f>
        <v>135</v>
      </c>
      <c r="D695" s="64" t="str">
        <f>Ringkasan!D694</f>
        <v>#N/A</v>
      </c>
      <c r="E695" s="64" t="str">
        <f>Ringkasan!E694</f>
        <v/>
      </c>
      <c r="F695" s="64" t="str">
        <f>Ringkasan!F694</f>
        <v/>
      </c>
      <c r="G695" s="64">
        <f>Ringkasan!G694</f>
        <v>0</v>
      </c>
      <c r="H695" s="19">
        <f>Ringkasan!H694</f>
        <v>7.1</v>
      </c>
      <c r="I695" s="19">
        <f>Ringkasan!I694</f>
        <v>0.41</v>
      </c>
      <c r="J695" s="19">
        <f>Ringkasan!J694</f>
        <v>5.8</v>
      </c>
      <c r="K695" s="19">
        <f>Ringkasan!K694</f>
        <v>2.2</v>
      </c>
      <c r="L695" s="19">
        <f>Ringkasan!L694</f>
        <v>1.6</v>
      </c>
      <c r="M695" s="19">
        <f>Ringkasan!M694</f>
        <v>6</v>
      </c>
      <c r="N695" s="64" t="str">
        <f>Ringkasan!N694</f>
        <v/>
      </c>
      <c r="O695" s="64" t="str">
        <f>Ringkasan!O694</f>
        <v/>
      </c>
      <c r="P695" s="64" t="str">
        <f>Ringkasan!P694</f>
        <v/>
      </c>
      <c r="Q695" s="64" t="str">
        <f>Ringkasan!Q694</f>
        <v/>
      </c>
      <c r="R695" s="64" t="str">
        <f>Ringkasan!R694</f>
        <v/>
      </c>
      <c r="S695" s="64" t="str">
        <f>Ringkasan!S694</f>
        <v/>
      </c>
      <c r="T695" s="64" t="str">
        <f>Ringkasan!T694</f>
        <v/>
      </c>
      <c r="U695" s="64">
        <f>Ringkasan!U694</f>
        <v>137</v>
      </c>
      <c r="V695" s="64">
        <f>Ringkasan!V694</f>
        <v>-1.46</v>
      </c>
      <c r="W695" s="64">
        <f>Ringkasan!W694</f>
        <v>149</v>
      </c>
      <c r="X695" s="64">
        <f>Ringkasan!X694</f>
        <v>149</v>
      </c>
      <c r="Y695" s="64">
        <f>Ringkasan!Y694</f>
        <v>129</v>
      </c>
      <c r="Z695" s="64">
        <f>Ringkasan!Z694</f>
        <v>3016900</v>
      </c>
      <c r="AA695" s="64" t="str">
        <f>Ringkasan!AA694</f>
        <v>Apparel &amp; Luxury Goods</v>
      </c>
      <c r="AB695" s="64" t="str">
        <f>Ringkasan!AB694</f>
        <v>Consumer Cyclicals</v>
      </c>
    </row>
    <row r="696" hidden="1">
      <c r="A696" s="64" t="str">
        <f>Ringkasan!A695</f>
        <v>ESIP</v>
      </c>
      <c r="B696" s="64" t="str">
        <f>Ringkasan!B695</f>
        <v>Sinergi Inti Plastindo Tbk.</v>
      </c>
      <c r="C696" s="65">
        <f>Ringkasan!C695</f>
        <v>113</v>
      </c>
      <c r="D696" s="64" t="str">
        <f>Ringkasan!D695</f>
        <v>#N/A</v>
      </c>
      <c r="E696" s="64" t="str">
        <f>Ringkasan!E695</f>
        <v/>
      </c>
      <c r="F696" s="64" t="str">
        <f>Ringkasan!F695</f>
        <v/>
      </c>
      <c r="G696" s="64">
        <f>Ringkasan!G695</f>
        <v>0</v>
      </c>
      <c r="H696" s="19">
        <f>Ringkasan!H695</f>
        <v>54.4</v>
      </c>
      <c r="I696" s="19">
        <f>Ringkasan!I695</f>
        <v>1.5</v>
      </c>
      <c r="J696" s="19">
        <f>Ringkasan!J695</f>
        <v>2.7</v>
      </c>
      <c r="K696" s="19">
        <f>Ringkasan!K695</f>
        <v>2.6</v>
      </c>
      <c r="L696" s="19">
        <f>Ringkasan!L695</f>
        <v>0.03</v>
      </c>
      <c r="M696" s="19">
        <f>Ringkasan!M695</f>
        <v>18</v>
      </c>
      <c r="N696" s="64" t="str">
        <f>Ringkasan!N695</f>
        <v/>
      </c>
      <c r="O696" s="64" t="str">
        <f>Ringkasan!O695</f>
        <v/>
      </c>
      <c r="P696" s="64" t="str">
        <f>Ringkasan!P695</f>
        <v/>
      </c>
      <c r="Q696" s="64" t="str">
        <f>Ringkasan!Q695</f>
        <v/>
      </c>
      <c r="R696" s="64" t="str">
        <f>Ringkasan!R695</f>
        <v/>
      </c>
      <c r="S696" s="64" t="str">
        <f>Ringkasan!S695</f>
        <v/>
      </c>
      <c r="T696" s="64" t="str">
        <f>Ringkasan!T695</f>
        <v/>
      </c>
      <c r="U696" s="64">
        <f>Ringkasan!U695</f>
        <v>110</v>
      </c>
      <c r="V696" s="64">
        <f>Ringkasan!V695</f>
        <v>2.73</v>
      </c>
      <c r="W696" s="64">
        <f>Ringkasan!W695</f>
        <v>110</v>
      </c>
      <c r="X696" s="64">
        <f>Ringkasan!X695</f>
        <v>120</v>
      </c>
      <c r="Y696" s="64">
        <f>Ringkasan!Y695</f>
        <v>106</v>
      </c>
      <c r="Z696" s="64">
        <f>Ringkasan!Z695</f>
        <v>110178900</v>
      </c>
      <c r="AA696" s="64" t="str">
        <f>Ringkasan!AA695</f>
        <v>Containers &amp; Packaging</v>
      </c>
      <c r="AB696" s="64" t="str">
        <f>Ringkasan!AB695</f>
        <v>Basic Materials</v>
      </c>
    </row>
    <row r="697" hidden="1">
      <c r="A697" s="64" t="str">
        <f>Ringkasan!A696</f>
        <v>ESSA</v>
      </c>
      <c r="B697" s="64" t="str">
        <f>Ringkasan!B696</f>
        <v>ESSA Industries Indonesia Tbk.</v>
      </c>
      <c r="C697" s="65">
        <f>Ringkasan!C696</f>
        <v>600</v>
      </c>
      <c r="D697" s="64" t="str">
        <f>Ringkasan!D696</f>
        <v>#N/A</v>
      </c>
      <c r="E697" s="64" t="str">
        <f>Ringkasan!E696</f>
        <v>IDXSHAGROW</v>
      </c>
      <c r="F697" s="66">
        <f>Ringkasan!F696</f>
        <v>46356</v>
      </c>
      <c r="G697" s="64">
        <f>Ringkasan!G696</f>
        <v>10</v>
      </c>
      <c r="H697" s="19">
        <f>Ringkasan!H696</f>
        <v>13.4</v>
      </c>
      <c r="I697" s="19">
        <f>Ringkasan!I696</f>
        <v>1.1</v>
      </c>
      <c r="J697" s="19">
        <f>Ringkasan!J696</f>
        <v>8.3</v>
      </c>
      <c r="K697" s="19">
        <f>Ringkasan!K696</f>
        <v>7.4</v>
      </c>
      <c r="L697" s="19">
        <f>Ringkasan!L696</f>
        <v>0.12</v>
      </c>
      <c r="M697" s="19">
        <f>Ringkasan!M696</f>
        <v>53.2</v>
      </c>
      <c r="N697" s="64" t="str">
        <f>Ringkasan!N696</f>
        <v/>
      </c>
      <c r="O697" s="64" t="str">
        <f>Ringkasan!O696</f>
        <v/>
      </c>
      <c r="P697" s="64" t="str">
        <f>Ringkasan!P696</f>
        <v/>
      </c>
      <c r="Q697" s="64" t="str">
        <f>Ringkasan!Q696</f>
        <v/>
      </c>
      <c r="R697" s="64" t="str">
        <f>Ringkasan!R696</f>
        <v/>
      </c>
      <c r="S697" s="64" t="str">
        <f>Ringkasan!S696</f>
        <v/>
      </c>
      <c r="T697" s="64" t="str">
        <f>Ringkasan!T696</f>
        <v/>
      </c>
      <c r="U697" s="64">
        <f>Ringkasan!U696</f>
        <v>605</v>
      </c>
      <c r="V697" s="64">
        <f>Ringkasan!V696</f>
        <v>-0.83</v>
      </c>
      <c r="W697" s="64">
        <f>Ringkasan!W696</f>
        <v>605</v>
      </c>
      <c r="X697" s="64">
        <f>Ringkasan!X696</f>
        <v>625</v>
      </c>
      <c r="Y697" s="64">
        <f>Ringkasan!Y696</f>
        <v>585</v>
      </c>
      <c r="Z697" s="64" t="str">
        <f>Ringkasan!Z696</f>
        <v/>
      </c>
      <c r="AA697" s="64" t="str">
        <f>Ringkasan!AA696</f>
        <v>Chemicals</v>
      </c>
      <c r="AB697" s="64" t="str">
        <f>Ringkasan!AB696</f>
        <v>Basic Materials</v>
      </c>
    </row>
    <row r="698" hidden="1">
      <c r="A698" s="64" t="str">
        <f>Ringkasan!A697</f>
        <v>ESSA</v>
      </c>
      <c r="B698" s="64" t="str">
        <f>Ringkasan!B697</f>
        <v>ESSA Industries Indonesia Tbk.</v>
      </c>
      <c r="C698" s="65">
        <f>Ringkasan!C697</f>
        <v>600</v>
      </c>
      <c r="D698" s="64" t="str">
        <f>Ringkasan!D697</f>
        <v>#N/A</v>
      </c>
      <c r="E698" s="64" t="str">
        <f>Ringkasan!E697</f>
        <v>LQ45</v>
      </c>
      <c r="F698" s="64" t="str">
        <f>Ringkasan!F697</f>
        <v>31 Juli 2026</v>
      </c>
      <c r="G698" s="64">
        <f>Ringkasan!G697</f>
        <v>10</v>
      </c>
      <c r="H698" s="19">
        <f>Ringkasan!H697</f>
        <v>13.4</v>
      </c>
      <c r="I698" s="19">
        <f>Ringkasan!I697</f>
        <v>1.1</v>
      </c>
      <c r="J698" s="19">
        <f>Ringkasan!J697</f>
        <v>8.3</v>
      </c>
      <c r="K698" s="19">
        <f>Ringkasan!K697</f>
        <v>7.4</v>
      </c>
      <c r="L698" s="19">
        <f>Ringkasan!L697</f>
        <v>0.12</v>
      </c>
      <c r="M698" s="19">
        <f>Ringkasan!M697</f>
        <v>53.2</v>
      </c>
      <c r="N698" s="64" t="str">
        <f>Ringkasan!N697</f>
        <v/>
      </c>
      <c r="O698" s="64" t="str">
        <f>Ringkasan!O697</f>
        <v/>
      </c>
      <c r="P698" s="64" t="str">
        <f>Ringkasan!P697</f>
        <v/>
      </c>
      <c r="Q698" s="64" t="str">
        <f>Ringkasan!Q697</f>
        <v/>
      </c>
      <c r="R698" s="64" t="str">
        <f>Ringkasan!R697</f>
        <v/>
      </c>
      <c r="S698" s="64" t="str">
        <f>Ringkasan!S697</f>
        <v/>
      </c>
      <c r="T698" s="64" t="str">
        <f>Ringkasan!T697</f>
        <v/>
      </c>
      <c r="U698" s="64">
        <f>Ringkasan!U697</f>
        <v>605</v>
      </c>
      <c r="V698" s="64">
        <f>Ringkasan!V697</f>
        <v>-0.83</v>
      </c>
      <c r="W698" s="64">
        <f>Ringkasan!W697</f>
        <v>605</v>
      </c>
      <c r="X698" s="64">
        <f>Ringkasan!X697</f>
        <v>625</v>
      </c>
      <c r="Y698" s="64">
        <f>Ringkasan!Y697</f>
        <v>585</v>
      </c>
      <c r="Z698" s="64" t="str">
        <f>Ringkasan!Z697</f>
        <v/>
      </c>
      <c r="AA698" s="64" t="str">
        <f>Ringkasan!AA697</f>
        <v>Chemicals</v>
      </c>
      <c r="AB698" s="64" t="str">
        <f>Ringkasan!AB697</f>
        <v>Basic Materials</v>
      </c>
    </row>
    <row r="699" hidden="1">
      <c r="A699" s="64" t="str">
        <f>Ringkasan!A698</f>
        <v>ESSA</v>
      </c>
      <c r="B699" s="64" t="str">
        <f>Ringkasan!B698</f>
        <v>ESSA Industries Indonesia Tbk.</v>
      </c>
      <c r="C699" s="65">
        <f>Ringkasan!C698</f>
        <v>600</v>
      </c>
      <c r="D699" s="64" t="str">
        <f>Ringkasan!D698</f>
        <v>#N/A</v>
      </c>
      <c r="E699" s="64" t="str">
        <f>Ringkasan!E698</f>
        <v>IDXG30</v>
      </c>
      <c r="F699" s="64" t="str">
        <f>Ringkasan!F698</f>
        <v>4 Agustus 2026</v>
      </c>
      <c r="G699" s="64">
        <f>Ringkasan!G698</f>
        <v>10</v>
      </c>
      <c r="H699" s="19">
        <f>Ringkasan!H698</f>
        <v>13.4</v>
      </c>
      <c r="I699" s="19">
        <f>Ringkasan!I698</f>
        <v>1.1</v>
      </c>
      <c r="J699" s="19">
        <f>Ringkasan!J698</f>
        <v>8.3</v>
      </c>
      <c r="K699" s="19">
        <f>Ringkasan!K698</f>
        <v>7.4</v>
      </c>
      <c r="L699" s="19">
        <f>Ringkasan!L698</f>
        <v>0.12</v>
      </c>
      <c r="M699" s="19">
        <f>Ringkasan!M698</f>
        <v>53.2</v>
      </c>
      <c r="N699" s="64" t="str">
        <f>Ringkasan!N698</f>
        <v/>
      </c>
      <c r="O699" s="64" t="str">
        <f>Ringkasan!O698</f>
        <v/>
      </c>
      <c r="P699" s="64" t="str">
        <f>Ringkasan!P698</f>
        <v/>
      </c>
      <c r="Q699" s="64" t="str">
        <f>Ringkasan!Q698</f>
        <v/>
      </c>
      <c r="R699" s="64" t="str">
        <f>Ringkasan!R698</f>
        <v/>
      </c>
      <c r="S699" s="64" t="str">
        <f>Ringkasan!S698</f>
        <v/>
      </c>
      <c r="T699" s="64" t="str">
        <f>Ringkasan!T698</f>
        <v/>
      </c>
      <c r="U699" s="64">
        <f>Ringkasan!U698</f>
        <v>605</v>
      </c>
      <c r="V699" s="64">
        <f>Ringkasan!V698</f>
        <v>-0.83</v>
      </c>
      <c r="W699" s="64">
        <f>Ringkasan!W698</f>
        <v>605</v>
      </c>
      <c r="X699" s="64">
        <f>Ringkasan!X698</f>
        <v>625</v>
      </c>
      <c r="Y699" s="64">
        <f>Ringkasan!Y698</f>
        <v>585</v>
      </c>
      <c r="Z699" s="64" t="str">
        <f>Ringkasan!Z698</f>
        <v/>
      </c>
      <c r="AA699" s="64" t="str">
        <f>Ringkasan!AA698</f>
        <v>Chemicals</v>
      </c>
      <c r="AB699" s="64" t="str">
        <f>Ringkasan!AB698</f>
        <v>Basic Materials</v>
      </c>
    </row>
    <row r="700" hidden="1">
      <c r="A700" s="64" t="str">
        <f>Ringkasan!A699</f>
        <v>ESSA</v>
      </c>
      <c r="B700" s="64" t="str">
        <f>Ringkasan!B699</f>
        <v>ESSA Industries Indonesia Tbk.</v>
      </c>
      <c r="C700" s="65">
        <f>Ringkasan!C699</f>
        <v>600</v>
      </c>
      <c r="D700" s="64" t="str">
        <f>Ringkasan!D699</f>
        <v>#N/A</v>
      </c>
      <c r="E700" s="64" t="str">
        <f>Ringkasan!E699</f>
        <v>ECONOMIC30</v>
      </c>
      <c r="F700" s="64" t="str">
        <f>Ringkasan!F699</f>
        <v>31 Agustus 2026</v>
      </c>
      <c r="G700" s="64">
        <f>Ringkasan!G699</f>
        <v>10</v>
      </c>
      <c r="H700" s="19">
        <f>Ringkasan!H699</f>
        <v>13.4</v>
      </c>
      <c r="I700" s="19">
        <f>Ringkasan!I699</f>
        <v>1.1</v>
      </c>
      <c r="J700" s="19">
        <f>Ringkasan!J699</f>
        <v>8.3</v>
      </c>
      <c r="K700" s="19">
        <f>Ringkasan!K699</f>
        <v>7.4</v>
      </c>
      <c r="L700" s="19">
        <f>Ringkasan!L699</f>
        <v>0.12</v>
      </c>
      <c r="M700" s="19">
        <f>Ringkasan!M699</f>
        <v>53.2</v>
      </c>
      <c r="N700" s="64" t="str">
        <f>Ringkasan!N699</f>
        <v/>
      </c>
      <c r="O700" s="64" t="str">
        <f>Ringkasan!O699</f>
        <v/>
      </c>
      <c r="P700" s="64" t="str">
        <f>Ringkasan!P699</f>
        <v/>
      </c>
      <c r="Q700" s="64" t="str">
        <f>Ringkasan!Q699</f>
        <v/>
      </c>
      <c r="R700" s="64" t="str">
        <f>Ringkasan!R699</f>
        <v/>
      </c>
      <c r="S700" s="64" t="str">
        <f>Ringkasan!S699</f>
        <v/>
      </c>
      <c r="T700" s="64" t="str">
        <f>Ringkasan!T699</f>
        <v/>
      </c>
      <c r="U700" s="64">
        <f>Ringkasan!U699</f>
        <v>605</v>
      </c>
      <c r="V700" s="64">
        <f>Ringkasan!V699</f>
        <v>-0.83</v>
      </c>
      <c r="W700" s="64">
        <f>Ringkasan!W699</f>
        <v>605</v>
      </c>
      <c r="X700" s="64">
        <f>Ringkasan!X699</f>
        <v>625</v>
      </c>
      <c r="Y700" s="64">
        <f>Ringkasan!Y699</f>
        <v>585</v>
      </c>
      <c r="Z700" s="64" t="str">
        <f>Ringkasan!Z699</f>
        <v/>
      </c>
      <c r="AA700" s="64" t="str">
        <f>Ringkasan!AA699</f>
        <v>Chemicals</v>
      </c>
      <c r="AB700" s="64" t="str">
        <f>Ringkasan!AB699</f>
        <v>Basic Materials</v>
      </c>
    </row>
    <row r="701" hidden="1">
      <c r="A701" s="64" t="str">
        <f>Ringkasan!A700</f>
        <v>ESSA</v>
      </c>
      <c r="B701" s="64" t="str">
        <f>Ringkasan!B700</f>
        <v>ESSA Industries Indonesia Tbk.</v>
      </c>
      <c r="C701" s="65">
        <f>Ringkasan!C700</f>
        <v>600</v>
      </c>
      <c r="D701" s="64" t="str">
        <f>Ringkasan!D700</f>
        <v>#N/A</v>
      </c>
      <c r="E701" s="64" t="str">
        <f>Ringkasan!E700</f>
        <v>IDXVESTA28</v>
      </c>
      <c r="F701" s="64" t="str">
        <f>Ringkasan!F700</f>
        <v>31 Agustus 2026</v>
      </c>
      <c r="G701" s="64">
        <f>Ringkasan!G700</f>
        <v>10</v>
      </c>
      <c r="H701" s="19">
        <f>Ringkasan!H700</f>
        <v>13.4</v>
      </c>
      <c r="I701" s="19">
        <f>Ringkasan!I700</f>
        <v>1.1</v>
      </c>
      <c r="J701" s="19">
        <f>Ringkasan!J700</f>
        <v>8.3</v>
      </c>
      <c r="K701" s="19">
        <f>Ringkasan!K700</f>
        <v>7.4</v>
      </c>
      <c r="L701" s="19">
        <f>Ringkasan!L700</f>
        <v>0.12</v>
      </c>
      <c r="M701" s="19">
        <f>Ringkasan!M700</f>
        <v>53.2</v>
      </c>
      <c r="N701" s="64" t="str">
        <f>Ringkasan!N700</f>
        <v/>
      </c>
      <c r="O701" s="64" t="str">
        <f>Ringkasan!O700</f>
        <v/>
      </c>
      <c r="P701" s="64" t="str">
        <f>Ringkasan!P700</f>
        <v/>
      </c>
      <c r="Q701" s="64" t="str">
        <f>Ringkasan!Q700</f>
        <v/>
      </c>
      <c r="R701" s="64" t="str">
        <f>Ringkasan!R700</f>
        <v/>
      </c>
      <c r="S701" s="64" t="str">
        <f>Ringkasan!S700</f>
        <v/>
      </c>
      <c r="T701" s="64" t="str">
        <f>Ringkasan!T700</f>
        <v/>
      </c>
      <c r="U701" s="64">
        <f>Ringkasan!U700</f>
        <v>605</v>
      </c>
      <c r="V701" s="64">
        <f>Ringkasan!V700</f>
        <v>-0.83</v>
      </c>
      <c r="W701" s="64">
        <f>Ringkasan!W700</f>
        <v>605</v>
      </c>
      <c r="X701" s="64">
        <f>Ringkasan!X700</f>
        <v>625</v>
      </c>
      <c r="Y701" s="64">
        <f>Ringkasan!Y700</f>
        <v>585</v>
      </c>
      <c r="Z701" s="64" t="str">
        <f>Ringkasan!Z700</f>
        <v/>
      </c>
      <c r="AA701" s="64" t="str">
        <f>Ringkasan!AA700</f>
        <v>Chemicals</v>
      </c>
      <c r="AB701" s="64" t="str">
        <f>Ringkasan!AB700</f>
        <v>Basic Materials</v>
      </c>
    </row>
    <row r="702" hidden="1">
      <c r="A702" s="64" t="str">
        <f>Ringkasan!A701</f>
        <v>ESSA</v>
      </c>
      <c r="B702" s="64" t="str">
        <f>Ringkasan!B701</f>
        <v>ESSA Industries Indonesia Tbk.</v>
      </c>
      <c r="C702" s="65">
        <f>Ringkasan!C701</f>
        <v>600</v>
      </c>
      <c r="D702" s="64" t="str">
        <f>Ringkasan!D701</f>
        <v>#N/A</v>
      </c>
      <c r="E702" s="64" t="str">
        <f>Ringkasan!E701</f>
        <v>Kompas100</v>
      </c>
      <c r="F702" s="64" t="str">
        <f>Ringkasan!F701</f>
        <v>31 Juli 2026</v>
      </c>
      <c r="G702" s="64">
        <f>Ringkasan!G701</f>
        <v>10</v>
      </c>
      <c r="H702" s="19">
        <f>Ringkasan!H701</f>
        <v>13.4</v>
      </c>
      <c r="I702" s="19">
        <f>Ringkasan!I701</f>
        <v>1.1</v>
      </c>
      <c r="J702" s="19">
        <f>Ringkasan!J701</f>
        <v>8.3</v>
      </c>
      <c r="K702" s="19">
        <f>Ringkasan!K701</f>
        <v>7.4</v>
      </c>
      <c r="L702" s="19">
        <f>Ringkasan!L701</f>
        <v>0.12</v>
      </c>
      <c r="M702" s="19">
        <f>Ringkasan!M701</f>
        <v>53.2</v>
      </c>
      <c r="N702" s="64" t="str">
        <f>Ringkasan!N701</f>
        <v/>
      </c>
      <c r="O702" s="64" t="str">
        <f>Ringkasan!O701</f>
        <v/>
      </c>
      <c r="P702" s="64" t="str">
        <f>Ringkasan!P701</f>
        <v/>
      </c>
      <c r="Q702" s="64" t="str">
        <f>Ringkasan!Q701</f>
        <v/>
      </c>
      <c r="R702" s="64" t="str">
        <f>Ringkasan!R701</f>
        <v/>
      </c>
      <c r="S702" s="64" t="str">
        <f>Ringkasan!S701</f>
        <v/>
      </c>
      <c r="T702" s="64" t="str">
        <f>Ringkasan!T701</f>
        <v/>
      </c>
      <c r="U702" s="64">
        <f>Ringkasan!U701</f>
        <v>605</v>
      </c>
      <c r="V702" s="64">
        <f>Ringkasan!V701</f>
        <v>-0.83</v>
      </c>
      <c r="W702" s="64">
        <f>Ringkasan!W701</f>
        <v>605</v>
      </c>
      <c r="X702" s="64">
        <f>Ringkasan!X701</f>
        <v>625</v>
      </c>
      <c r="Y702" s="64">
        <f>Ringkasan!Y701</f>
        <v>585</v>
      </c>
      <c r="Z702" s="64" t="str">
        <f>Ringkasan!Z701</f>
        <v/>
      </c>
      <c r="AA702" s="64" t="str">
        <f>Ringkasan!AA701</f>
        <v>Chemicals</v>
      </c>
      <c r="AB702" s="64" t="str">
        <f>Ringkasan!AB701</f>
        <v>Basic Materials</v>
      </c>
    </row>
    <row r="703" hidden="1">
      <c r="A703" s="64" t="str">
        <f>Ringkasan!A702</f>
        <v>ESSA</v>
      </c>
      <c r="B703" s="64" t="str">
        <f>Ringkasan!B702</f>
        <v>ESSA Industries Indonesia Tbk.</v>
      </c>
      <c r="C703" s="65">
        <f>Ringkasan!C702</f>
        <v>600</v>
      </c>
      <c r="D703" s="64" t="str">
        <f>Ringkasan!D702</f>
        <v>#N/A</v>
      </c>
      <c r="E703" s="64" t="str">
        <f>Ringkasan!E702</f>
        <v>IDX80</v>
      </c>
      <c r="F703" s="64" t="str">
        <f>Ringkasan!F702</f>
        <v>31 Juli 2026</v>
      </c>
      <c r="G703" s="64">
        <f>Ringkasan!G702</f>
        <v>10</v>
      </c>
      <c r="H703" s="19">
        <f>Ringkasan!H702</f>
        <v>13.4</v>
      </c>
      <c r="I703" s="19">
        <f>Ringkasan!I702</f>
        <v>1.1</v>
      </c>
      <c r="J703" s="19">
        <f>Ringkasan!J702</f>
        <v>8.3</v>
      </c>
      <c r="K703" s="19">
        <f>Ringkasan!K702</f>
        <v>7.4</v>
      </c>
      <c r="L703" s="19">
        <f>Ringkasan!L702</f>
        <v>0.12</v>
      </c>
      <c r="M703" s="19">
        <f>Ringkasan!M702</f>
        <v>53.2</v>
      </c>
      <c r="N703" s="64" t="str">
        <f>Ringkasan!N702</f>
        <v/>
      </c>
      <c r="O703" s="64" t="str">
        <f>Ringkasan!O702</f>
        <v/>
      </c>
      <c r="P703" s="64" t="str">
        <f>Ringkasan!P702</f>
        <v/>
      </c>
      <c r="Q703" s="64" t="str">
        <f>Ringkasan!Q702</f>
        <v/>
      </c>
      <c r="R703" s="64" t="str">
        <f>Ringkasan!R702</f>
        <v/>
      </c>
      <c r="S703" s="64" t="str">
        <f>Ringkasan!S702</f>
        <v/>
      </c>
      <c r="T703" s="64" t="str">
        <f>Ringkasan!T702</f>
        <v/>
      </c>
      <c r="U703" s="64">
        <f>Ringkasan!U702</f>
        <v>605</v>
      </c>
      <c r="V703" s="64">
        <f>Ringkasan!V702</f>
        <v>-0.83</v>
      </c>
      <c r="W703" s="64">
        <f>Ringkasan!W702</f>
        <v>605</v>
      </c>
      <c r="X703" s="64">
        <f>Ringkasan!X702</f>
        <v>625</v>
      </c>
      <c r="Y703" s="64">
        <f>Ringkasan!Y702</f>
        <v>585</v>
      </c>
      <c r="Z703" s="64" t="str">
        <f>Ringkasan!Z702</f>
        <v/>
      </c>
      <c r="AA703" s="64" t="str">
        <f>Ringkasan!AA702</f>
        <v>Chemicals</v>
      </c>
      <c r="AB703" s="64" t="str">
        <f>Ringkasan!AB702</f>
        <v>Basic Materials</v>
      </c>
    </row>
    <row r="704" hidden="1">
      <c r="A704" s="64" t="str">
        <f>Ringkasan!A703</f>
        <v>ESSA</v>
      </c>
      <c r="B704" s="64" t="str">
        <f>Ringkasan!B703</f>
        <v>ESSA Industries Indonesia Tbk.</v>
      </c>
      <c r="C704" s="65">
        <f>Ringkasan!C703</f>
        <v>600</v>
      </c>
      <c r="D704" s="64" t="str">
        <f>Ringkasan!D703</f>
        <v>#N/A</v>
      </c>
      <c r="E704" s="64" t="str">
        <f>Ringkasan!E703</f>
        <v>IDXSMC-LIQ</v>
      </c>
      <c r="F704" s="64" t="str">
        <f>Ringkasan!F703</f>
        <v>4 Agustus 2026</v>
      </c>
      <c r="G704" s="64">
        <f>Ringkasan!G703</f>
        <v>10</v>
      </c>
      <c r="H704" s="19">
        <f>Ringkasan!H703</f>
        <v>13.4</v>
      </c>
      <c r="I704" s="19">
        <f>Ringkasan!I703</f>
        <v>1.1</v>
      </c>
      <c r="J704" s="19">
        <f>Ringkasan!J703</f>
        <v>8.3</v>
      </c>
      <c r="K704" s="19">
        <f>Ringkasan!K703</f>
        <v>7.4</v>
      </c>
      <c r="L704" s="19">
        <f>Ringkasan!L703</f>
        <v>0.12</v>
      </c>
      <c r="M704" s="19">
        <f>Ringkasan!M703</f>
        <v>53.2</v>
      </c>
      <c r="N704" s="64" t="str">
        <f>Ringkasan!N703</f>
        <v/>
      </c>
      <c r="O704" s="64" t="str">
        <f>Ringkasan!O703</f>
        <v/>
      </c>
      <c r="P704" s="64" t="str">
        <f>Ringkasan!P703</f>
        <v/>
      </c>
      <c r="Q704" s="64" t="str">
        <f>Ringkasan!Q703</f>
        <v/>
      </c>
      <c r="R704" s="64" t="str">
        <f>Ringkasan!R703</f>
        <v/>
      </c>
      <c r="S704" s="64" t="str">
        <f>Ringkasan!S703</f>
        <v/>
      </c>
      <c r="T704" s="64" t="str">
        <f>Ringkasan!T703</f>
        <v/>
      </c>
      <c r="U704" s="64">
        <f>Ringkasan!U703</f>
        <v>605</v>
      </c>
      <c r="V704" s="64">
        <f>Ringkasan!V703</f>
        <v>-0.83</v>
      </c>
      <c r="W704" s="64">
        <f>Ringkasan!W703</f>
        <v>605</v>
      </c>
      <c r="X704" s="64">
        <f>Ringkasan!X703</f>
        <v>625</v>
      </c>
      <c r="Y704" s="64">
        <f>Ringkasan!Y703</f>
        <v>585</v>
      </c>
      <c r="Z704" s="64" t="str">
        <f>Ringkasan!Z703</f>
        <v/>
      </c>
      <c r="AA704" s="64" t="str">
        <f>Ringkasan!AA703</f>
        <v>Chemicals</v>
      </c>
      <c r="AB704" s="64" t="str">
        <f>Ringkasan!AB703</f>
        <v>Basic Materials</v>
      </c>
    </row>
    <row r="705" hidden="1">
      <c r="A705" s="64" t="str">
        <f>Ringkasan!A704</f>
        <v>ESSA</v>
      </c>
      <c r="B705" s="64" t="str">
        <f>Ringkasan!B704</f>
        <v>ESSA Industries Indonesia Tbk.</v>
      </c>
      <c r="C705" s="65">
        <f>Ringkasan!C704</f>
        <v>600</v>
      </c>
      <c r="D705" s="64" t="str">
        <f>Ringkasan!D704</f>
        <v>#N/A</v>
      </c>
      <c r="E705" s="64" t="str">
        <f>Ringkasan!E704</f>
        <v>MSCI Small Cap</v>
      </c>
      <c r="F705" s="64" t="str">
        <f>Ringkasan!F704</f>
        <v>12 Agustus 2026</v>
      </c>
      <c r="G705" s="64">
        <f>Ringkasan!G704</f>
        <v>10</v>
      </c>
      <c r="H705" s="19">
        <f>Ringkasan!H704</f>
        <v>13.4</v>
      </c>
      <c r="I705" s="19">
        <f>Ringkasan!I704</f>
        <v>1.1</v>
      </c>
      <c r="J705" s="19">
        <f>Ringkasan!J704</f>
        <v>8.3</v>
      </c>
      <c r="K705" s="19">
        <f>Ringkasan!K704</f>
        <v>7.4</v>
      </c>
      <c r="L705" s="19">
        <f>Ringkasan!L704</f>
        <v>0.12</v>
      </c>
      <c r="M705" s="19">
        <f>Ringkasan!M704</f>
        <v>53.2</v>
      </c>
      <c r="N705" s="64" t="str">
        <f>Ringkasan!N704</f>
        <v/>
      </c>
      <c r="O705" s="64" t="str">
        <f>Ringkasan!O704</f>
        <v/>
      </c>
      <c r="P705" s="64" t="str">
        <f>Ringkasan!P704</f>
        <v/>
      </c>
      <c r="Q705" s="64" t="str">
        <f>Ringkasan!Q704</f>
        <v/>
      </c>
      <c r="R705" s="64" t="str">
        <f>Ringkasan!R704</f>
        <v/>
      </c>
      <c r="S705" s="64" t="str">
        <f>Ringkasan!S704</f>
        <v/>
      </c>
      <c r="T705" s="64" t="str">
        <f>Ringkasan!T704</f>
        <v/>
      </c>
      <c r="U705" s="64">
        <f>Ringkasan!U704</f>
        <v>605</v>
      </c>
      <c r="V705" s="64">
        <f>Ringkasan!V704</f>
        <v>-0.83</v>
      </c>
      <c r="W705" s="64">
        <f>Ringkasan!W704</f>
        <v>605</v>
      </c>
      <c r="X705" s="64">
        <f>Ringkasan!X704</f>
        <v>625</v>
      </c>
      <c r="Y705" s="64">
        <f>Ringkasan!Y704</f>
        <v>585</v>
      </c>
      <c r="Z705" s="64" t="str">
        <f>Ringkasan!Z704</f>
        <v/>
      </c>
      <c r="AA705" s="64" t="str">
        <f>Ringkasan!AA704</f>
        <v>Chemicals</v>
      </c>
      <c r="AB705" s="64" t="str">
        <f>Ringkasan!AB704</f>
        <v>Basic Materials</v>
      </c>
    </row>
    <row r="706" hidden="1">
      <c r="A706" s="64" t="str">
        <f>Ringkasan!A705</f>
        <v>ESSA</v>
      </c>
      <c r="B706" s="64" t="str">
        <f>Ringkasan!B705</f>
        <v>ESSA Industries Indonesia Tbk.</v>
      </c>
      <c r="C706" s="65">
        <f>Ringkasan!C705</f>
        <v>600</v>
      </c>
      <c r="D706" s="64" t="str">
        <f>Ringkasan!D705</f>
        <v>#N/A</v>
      </c>
      <c r="E706" s="64" t="str">
        <f>Ringkasan!E705</f>
        <v>JII70</v>
      </c>
      <c r="F706" s="66">
        <f>Ringkasan!F705</f>
        <v>46356</v>
      </c>
      <c r="G706" s="64">
        <f>Ringkasan!G705</f>
        <v>10</v>
      </c>
      <c r="H706" s="19">
        <f>Ringkasan!H705</f>
        <v>13.4</v>
      </c>
      <c r="I706" s="19">
        <f>Ringkasan!I705</f>
        <v>1.1</v>
      </c>
      <c r="J706" s="19">
        <f>Ringkasan!J705</f>
        <v>8.3</v>
      </c>
      <c r="K706" s="19">
        <f>Ringkasan!K705</f>
        <v>7.4</v>
      </c>
      <c r="L706" s="19">
        <f>Ringkasan!L705</f>
        <v>0.12</v>
      </c>
      <c r="M706" s="19">
        <f>Ringkasan!M705</f>
        <v>53.2</v>
      </c>
      <c r="N706" s="64" t="str">
        <f>Ringkasan!N705</f>
        <v/>
      </c>
      <c r="O706" s="64" t="str">
        <f>Ringkasan!O705</f>
        <v/>
      </c>
      <c r="P706" s="64" t="str">
        <f>Ringkasan!P705</f>
        <v/>
      </c>
      <c r="Q706" s="64" t="str">
        <f>Ringkasan!Q705</f>
        <v/>
      </c>
      <c r="R706" s="64" t="str">
        <f>Ringkasan!R705</f>
        <v/>
      </c>
      <c r="S706" s="64" t="str">
        <f>Ringkasan!S705</f>
        <v/>
      </c>
      <c r="T706" s="64" t="str">
        <f>Ringkasan!T705</f>
        <v/>
      </c>
      <c r="U706" s="64">
        <f>Ringkasan!U705</f>
        <v>605</v>
      </c>
      <c r="V706" s="64">
        <f>Ringkasan!V705</f>
        <v>-0.83</v>
      </c>
      <c r="W706" s="64">
        <f>Ringkasan!W705</f>
        <v>605</v>
      </c>
      <c r="X706" s="64">
        <f>Ringkasan!X705</f>
        <v>625</v>
      </c>
      <c r="Y706" s="64">
        <f>Ringkasan!Y705</f>
        <v>585</v>
      </c>
      <c r="Z706" s="64" t="str">
        <f>Ringkasan!Z705</f>
        <v/>
      </c>
      <c r="AA706" s="64" t="str">
        <f>Ringkasan!AA705</f>
        <v>Chemicals</v>
      </c>
      <c r="AB706" s="64" t="str">
        <f>Ringkasan!AB705</f>
        <v>Basic Materials</v>
      </c>
    </row>
    <row r="707" hidden="1">
      <c r="A707" s="64" t="str">
        <f>Ringkasan!A706</f>
        <v>ESTA</v>
      </c>
      <c r="B707" s="64" t="str">
        <f>Ringkasan!B706</f>
        <v>Esta Multi Usaha Tbk.</v>
      </c>
      <c r="C707" s="65">
        <f>Ringkasan!C706</f>
        <v>177</v>
      </c>
      <c r="D707" s="64" t="str">
        <f>Ringkasan!D706</f>
        <v>#N/A</v>
      </c>
      <c r="E707" s="64" t="str">
        <f>Ringkasan!E706</f>
        <v/>
      </c>
      <c r="F707" s="64" t="str">
        <f>Ringkasan!F706</f>
        <v/>
      </c>
      <c r="G707" s="64">
        <f>Ringkasan!G706</f>
        <v>0</v>
      </c>
      <c r="H707" s="19">
        <f>Ringkasan!H706</f>
        <v>-65.8</v>
      </c>
      <c r="I707" s="19">
        <f>Ringkasan!I706</f>
        <v>2.8</v>
      </c>
      <c r="J707" s="19">
        <f>Ringkasan!J706</f>
        <v>-4.3</v>
      </c>
      <c r="K707" s="19">
        <f>Ringkasan!K706</f>
        <v>-2.3</v>
      </c>
      <c r="L707" s="19">
        <f>Ringkasan!L706</f>
        <v>0.87</v>
      </c>
      <c r="M707" s="19">
        <f>Ringkasan!M706</f>
        <v>-66.9</v>
      </c>
      <c r="N707" s="64" t="str">
        <f>Ringkasan!N706</f>
        <v/>
      </c>
      <c r="O707" s="64" t="str">
        <f>Ringkasan!O706</f>
        <v/>
      </c>
      <c r="P707" s="64" t="str">
        <f>Ringkasan!P706</f>
        <v/>
      </c>
      <c r="Q707" s="64" t="str">
        <f>Ringkasan!Q706</f>
        <v/>
      </c>
      <c r="R707" s="64" t="str">
        <f>Ringkasan!R706</f>
        <v/>
      </c>
      <c r="S707" s="64" t="str">
        <f>Ringkasan!S706</f>
        <v/>
      </c>
      <c r="T707" s="64" t="str">
        <f>Ringkasan!T706</f>
        <v/>
      </c>
      <c r="U707" s="64">
        <f>Ringkasan!U706</f>
        <v>85.11</v>
      </c>
      <c r="V707" s="64">
        <f>Ringkasan!V706</f>
        <v>-3.49</v>
      </c>
      <c r="W707" s="64">
        <f>Ringkasan!W706</f>
        <v>85</v>
      </c>
      <c r="X707" s="64">
        <f>Ringkasan!X706</f>
        <v>86</v>
      </c>
      <c r="Y707" s="64">
        <f>Ringkasan!Y706</f>
        <v>81</v>
      </c>
      <c r="Z707" s="64">
        <f>Ringkasan!Z706</f>
        <v>468710</v>
      </c>
      <c r="AA707" s="64" t="str">
        <f>Ringkasan!AA706</f>
        <v>Tourism &amp; Recreation</v>
      </c>
      <c r="AB707" s="64" t="str">
        <f>Ringkasan!AB706</f>
        <v>Consumer Cyclicals</v>
      </c>
    </row>
    <row r="708" hidden="1">
      <c r="A708" s="64" t="str">
        <f>Ringkasan!A707</f>
        <v>ESTI</v>
      </c>
      <c r="B708" s="64" t="str">
        <f>Ringkasan!B707</f>
        <v>Ever Shine Textile Industry Tbk</v>
      </c>
      <c r="C708" s="65">
        <f>Ringkasan!C707</f>
        <v>117</v>
      </c>
      <c r="D708" s="64" t="str">
        <f>Ringkasan!D707</f>
        <v>#N/A</v>
      </c>
      <c r="E708" s="64" t="str">
        <f>Ringkasan!E707</f>
        <v/>
      </c>
      <c r="F708" s="64" t="str">
        <f>Ringkasan!F707</f>
        <v/>
      </c>
      <c r="G708" s="64">
        <f>Ringkasan!G707</f>
        <v>0</v>
      </c>
      <c r="H708" s="19">
        <f>Ringkasan!H707</f>
        <v>16.8</v>
      </c>
      <c r="I708" s="19">
        <f>Ringkasan!I707</f>
        <v>1.4</v>
      </c>
      <c r="J708" s="19">
        <f>Ringkasan!J707</f>
        <v>8.4</v>
      </c>
      <c r="K708" s="19">
        <f>Ringkasan!K707</f>
        <v>2.2</v>
      </c>
      <c r="L708" s="19">
        <f>Ringkasan!L707</f>
        <v>2.8</v>
      </c>
      <c r="M708" s="19">
        <f>Ringkasan!M707</f>
        <v>14.9</v>
      </c>
      <c r="N708" s="64" t="str">
        <f>Ringkasan!N707</f>
        <v/>
      </c>
      <c r="O708" s="64" t="str">
        <f>Ringkasan!O707</f>
        <v/>
      </c>
      <c r="P708" s="64" t="str">
        <f>Ringkasan!P707</f>
        <v/>
      </c>
      <c r="Q708" s="64" t="str">
        <f>Ringkasan!Q707</f>
        <v/>
      </c>
      <c r="R708" s="64" t="str">
        <f>Ringkasan!R707</f>
        <v/>
      </c>
      <c r="S708" s="64" t="str">
        <f>Ringkasan!S707</f>
        <v/>
      </c>
      <c r="T708" s="64" t="str">
        <f>Ringkasan!T707</f>
        <v/>
      </c>
      <c r="U708" s="64">
        <f>Ringkasan!U707</f>
        <v>116</v>
      </c>
      <c r="V708" s="64">
        <f>Ringkasan!V707</f>
        <v>0.86</v>
      </c>
      <c r="W708" s="64">
        <f>Ringkasan!W707</f>
        <v>117</v>
      </c>
      <c r="X708" s="64">
        <f>Ringkasan!X707</f>
        <v>125</v>
      </c>
      <c r="Y708" s="64">
        <f>Ringkasan!Y707</f>
        <v>116</v>
      </c>
      <c r="Z708" s="64">
        <f>Ringkasan!Z707</f>
        <v>3949500</v>
      </c>
      <c r="AA708" s="64" t="str">
        <f>Ringkasan!AA707</f>
        <v>Apparel &amp; Luxury Goods</v>
      </c>
      <c r="AB708" s="64" t="str">
        <f>Ringkasan!AB707</f>
        <v>Consumer Cyclicals</v>
      </c>
    </row>
    <row r="709" hidden="1">
      <c r="A709" s="64" t="str">
        <f>Ringkasan!A708</f>
        <v>ETWA</v>
      </c>
      <c r="B709" s="64" t="str">
        <f>Ringkasan!B708</f>
        <v>Eterindo Wahanatama Tbk</v>
      </c>
      <c r="C709" s="65">
        <f>Ringkasan!C708</f>
        <v>70</v>
      </c>
      <c r="D709" s="64" t="str">
        <f>Ringkasan!D708</f>
        <v>#N/A</v>
      </c>
      <c r="E709" s="64" t="str">
        <f>Ringkasan!E708</f>
        <v/>
      </c>
      <c r="F709" s="64" t="str">
        <f>Ringkasan!F708</f>
        <v/>
      </c>
      <c r="G709" s="64">
        <f>Ringkasan!G708</f>
        <v>0</v>
      </c>
      <c r="H709" s="19">
        <f>Ringkasan!H708</f>
        <v>0</v>
      </c>
      <c r="I709" s="19">
        <f>Ringkasan!I708</f>
        <v>-0.76</v>
      </c>
      <c r="J709" s="19">
        <f>Ringkasan!J708</f>
        <v>0</v>
      </c>
      <c r="K709" s="19">
        <f>Ringkasan!K708</f>
        <v>-8.8</v>
      </c>
      <c r="L709" s="19">
        <f>Ringkasan!L708</f>
        <v>-3.1</v>
      </c>
      <c r="M709" s="19">
        <f>Ringkasan!M708</f>
        <v>-1300000</v>
      </c>
      <c r="N709" s="64" t="str">
        <f>Ringkasan!N708</f>
        <v/>
      </c>
      <c r="O709" s="64" t="str">
        <f>Ringkasan!O708</f>
        <v/>
      </c>
      <c r="P709" s="64" t="str">
        <f>Ringkasan!P708</f>
        <v/>
      </c>
      <c r="Q709" s="64" t="str">
        <f>Ringkasan!Q708</f>
        <v/>
      </c>
      <c r="R709" s="64" t="str">
        <f>Ringkasan!R708</f>
        <v/>
      </c>
      <c r="S709" s="64" t="str">
        <f>Ringkasan!S708</f>
        <v/>
      </c>
      <c r="T709" s="64" t="str">
        <f>Ringkasan!T708</f>
        <v/>
      </c>
      <c r="U709" s="64">
        <f>Ringkasan!U708</f>
        <v>70</v>
      </c>
      <c r="V709" s="64">
        <f>Ringkasan!V708</f>
        <v>0</v>
      </c>
      <c r="W709" s="64" t="str">
        <f>Ringkasan!W708</f>
        <v/>
      </c>
      <c r="X709" s="64" t="str">
        <f>Ringkasan!X708</f>
        <v/>
      </c>
      <c r="Y709" s="64" t="str">
        <f>Ringkasan!Y708</f>
        <v/>
      </c>
      <c r="Z709" s="64">
        <f>Ringkasan!Z708</f>
        <v>0</v>
      </c>
      <c r="AA709" s="64" t="str">
        <f>Ringkasan!AA708</f>
        <v>Alternative Fuels</v>
      </c>
      <c r="AB709" s="64" t="str">
        <f>Ringkasan!AB708</f>
        <v>Energy</v>
      </c>
    </row>
    <row r="710" hidden="1">
      <c r="A710" s="64" t="str">
        <f>Ringkasan!A709</f>
        <v>EURO</v>
      </c>
      <c r="B710" s="64" t="str">
        <f>Ringkasan!B709</f>
        <v>Estee Gold Feet Tbk.</v>
      </c>
      <c r="C710" s="65">
        <f>Ringkasan!C709</f>
        <v>1515</v>
      </c>
      <c r="D710" s="64" t="str">
        <f>Ringkasan!D709</f>
        <v>#N/A</v>
      </c>
      <c r="E710" s="64" t="str">
        <f>Ringkasan!E709</f>
        <v/>
      </c>
      <c r="F710" s="64" t="str">
        <f>Ringkasan!F709</f>
        <v/>
      </c>
      <c r="G710" s="64">
        <f>Ringkasan!G709</f>
        <v>0</v>
      </c>
      <c r="H710" s="19">
        <f>Ringkasan!H709</f>
        <v>2040</v>
      </c>
      <c r="I710" s="19">
        <f>Ringkasan!I709</f>
        <v>76.5</v>
      </c>
      <c r="J710" s="19">
        <f>Ringkasan!J709</f>
        <v>3.8</v>
      </c>
      <c r="K710" s="19">
        <f>Ringkasan!K709</f>
        <v>3.4</v>
      </c>
      <c r="L710" s="19">
        <f>Ringkasan!L709</f>
        <v>0.12</v>
      </c>
      <c r="M710" s="19">
        <f>Ringkasan!M709</f>
        <v>8.7</v>
      </c>
      <c r="N710" s="64" t="str">
        <f>Ringkasan!N709</f>
        <v/>
      </c>
      <c r="O710" s="64" t="str">
        <f>Ringkasan!O709</f>
        <v/>
      </c>
      <c r="P710" s="64" t="str">
        <f>Ringkasan!P709</f>
        <v/>
      </c>
      <c r="Q710" s="64" t="str">
        <f>Ringkasan!Q709</f>
        <v/>
      </c>
      <c r="R710" s="64" t="str">
        <f>Ringkasan!R709</f>
        <v/>
      </c>
      <c r="S710" s="64" t="str">
        <f>Ringkasan!S709</f>
        <v/>
      </c>
      <c r="T710" s="64" t="str">
        <f>Ringkasan!T709</f>
        <v/>
      </c>
      <c r="U710" s="64">
        <f>Ringkasan!U709</f>
        <v>26.23</v>
      </c>
      <c r="V710" s="64">
        <f>Ringkasan!V709</f>
        <v>1.43</v>
      </c>
      <c r="W710" s="64" t="str">
        <f>Ringkasan!W709</f>
        <v/>
      </c>
      <c r="X710" s="64" t="str">
        <f>Ringkasan!X709</f>
        <v/>
      </c>
      <c r="Y710" s="64" t="str">
        <f>Ringkasan!Y709</f>
        <v/>
      </c>
      <c r="Z710" s="64">
        <f>Ringkasan!Z709</f>
        <v>0</v>
      </c>
      <c r="AA710" s="64" t="str">
        <f>Ringkasan!AA709</f>
        <v>Personal Care Products</v>
      </c>
      <c r="AB710" s="64" t="str">
        <f>Ringkasan!AB709</f>
        <v>Consumer Non-Cyclicals</v>
      </c>
    </row>
    <row r="711" hidden="1">
      <c r="A711" s="64" t="str">
        <f>Ringkasan!A710</f>
        <v>EXCL</v>
      </c>
      <c r="B711" s="64" t="str">
        <f>Ringkasan!B710</f>
        <v>XLSMART Telecom Sejahtera Tbk.</v>
      </c>
      <c r="C711" s="65">
        <f>Ringkasan!C710</f>
        <v>2570</v>
      </c>
      <c r="D711" s="64" t="str">
        <f>Ringkasan!D710</f>
        <v>#N/A</v>
      </c>
      <c r="E711" s="64" t="str">
        <f>Ringkasan!E710</f>
        <v>IDXVESTA28</v>
      </c>
      <c r="F711" s="64" t="str">
        <f>Ringkasan!F710</f>
        <v>31 Agustus 2026</v>
      </c>
      <c r="G711" s="64">
        <f>Ringkasan!G710</f>
        <v>9</v>
      </c>
      <c r="H711" s="19">
        <f>Ringkasan!H710</f>
        <v>-9.3</v>
      </c>
      <c r="I711" s="19">
        <f>Ringkasan!I710</f>
        <v>1.8</v>
      </c>
      <c r="J711" s="19">
        <f>Ringkasan!J710</f>
        <v>-18.9</v>
      </c>
      <c r="K711" s="19">
        <f>Ringkasan!K710</f>
        <v>-4.9</v>
      </c>
      <c r="L711" s="19">
        <f>Ringkasan!L710</f>
        <v>2.8</v>
      </c>
      <c r="M711" s="19">
        <f>Ringkasan!M710</f>
        <v>-46.8</v>
      </c>
      <c r="N711" s="64" t="str">
        <f>Ringkasan!N710</f>
        <v/>
      </c>
      <c r="O711" s="64" t="str">
        <f>Ringkasan!O710</f>
        <v/>
      </c>
      <c r="P711" s="64" t="str">
        <f>Ringkasan!P710</f>
        <v/>
      </c>
      <c r="Q711" s="64" t="str">
        <f>Ringkasan!Q710</f>
        <v/>
      </c>
      <c r="R711" s="64" t="str">
        <f>Ringkasan!R710</f>
        <v/>
      </c>
      <c r="S711" s="64" t="str">
        <f>Ringkasan!S710</f>
        <v/>
      </c>
      <c r="T711" s="64" t="str">
        <f>Ringkasan!T710</f>
        <v/>
      </c>
      <c r="U711" s="64">
        <f>Ringkasan!U710</f>
        <v>0</v>
      </c>
      <c r="V711" s="64">
        <f>Ringkasan!V710</f>
        <v>0</v>
      </c>
      <c r="W711" s="64" t="str">
        <f>Ringkasan!W710</f>
        <v/>
      </c>
      <c r="X711" s="64" t="str">
        <f>Ringkasan!X710</f>
        <v/>
      </c>
      <c r="Y711" s="64" t="str">
        <f>Ringkasan!Y710</f>
        <v/>
      </c>
      <c r="Z711" s="64">
        <f>Ringkasan!Z710</f>
        <v>0</v>
      </c>
      <c r="AA711" s="64" t="str">
        <f>Ringkasan!AA710</f>
        <v>Wireless Telecommunication Services</v>
      </c>
      <c r="AB711" s="64" t="str">
        <f>Ringkasan!AB710</f>
        <v>Infrastructures</v>
      </c>
    </row>
    <row r="712" hidden="1">
      <c r="A712" s="64" t="str">
        <f>Ringkasan!A711</f>
        <v>EXCL</v>
      </c>
      <c r="B712" s="64" t="str">
        <f>Ringkasan!B711</f>
        <v>XLSMART Telecom Sejahtera Tbk.</v>
      </c>
      <c r="C712" s="65">
        <f>Ringkasan!C711</f>
        <v>2570</v>
      </c>
      <c r="D712" s="64" t="str">
        <f>Ringkasan!D711</f>
        <v>#N/A</v>
      </c>
      <c r="E712" s="64" t="str">
        <f>Ringkasan!E711</f>
        <v>IDX80</v>
      </c>
      <c r="F712" s="64" t="str">
        <f>Ringkasan!F711</f>
        <v>31 Juli 2026</v>
      </c>
      <c r="G712" s="64">
        <f>Ringkasan!G711</f>
        <v>9</v>
      </c>
      <c r="H712" s="19">
        <f>Ringkasan!H711</f>
        <v>-9.3</v>
      </c>
      <c r="I712" s="19">
        <f>Ringkasan!I711</f>
        <v>1.8</v>
      </c>
      <c r="J712" s="19">
        <f>Ringkasan!J711</f>
        <v>-18.9</v>
      </c>
      <c r="K712" s="19">
        <f>Ringkasan!K711</f>
        <v>-4.9</v>
      </c>
      <c r="L712" s="19">
        <f>Ringkasan!L711</f>
        <v>2.8</v>
      </c>
      <c r="M712" s="19">
        <f>Ringkasan!M711</f>
        <v>-46.8</v>
      </c>
      <c r="N712" s="64" t="str">
        <f>Ringkasan!N711</f>
        <v/>
      </c>
      <c r="O712" s="64" t="str">
        <f>Ringkasan!O711</f>
        <v/>
      </c>
      <c r="P712" s="64" t="str">
        <f>Ringkasan!P711</f>
        <v/>
      </c>
      <c r="Q712" s="64" t="str">
        <f>Ringkasan!Q711</f>
        <v/>
      </c>
      <c r="R712" s="64" t="str">
        <f>Ringkasan!R711</f>
        <v/>
      </c>
      <c r="S712" s="64" t="str">
        <f>Ringkasan!S711</f>
        <v/>
      </c>
      <c r="T712" s="64" t="str">
        <f>Ringkasan!T711</f>
        <v/>
      </c>
      <c r="U712" s="64">
        <f>Ringkasan!U711</f>
        <v>0</v>
      </c>
      <c r="V712" s="64">
        <f>Ringkasan!V711</f>
        <v>0</v>
      </c>
      <c r="W712" s="64" t="str">
        <f>Ringkasan!W711</f>
        <v/>
      </c>
      <c r="X712" s="64" t="str">
        <f>Ringkasan!X711</f>
        <v/>
      </c>
      <c r="Y712" s="64" t="str">
        <f>Ringkasan!Y711</f>
        <v/>
      </c>
      <c r="Z712" s="64">
        <f>Ringkasan!Z711</f>
        <v>0</v>
      </c>
      <c r="AA712" s="64" t="str">
        <f>Ringkasan!AA711</f>
        <v>Wireless Telecommunication Services</v>
      </c>
      <c r="AB712" s="64" t="str">
        <f>Ringkasan!AB711</f>
        <v>Infrastructures</v>
      </c>
    </row>
    <row r="713" hidden="1">
      <c r="A713" s="64" t="str">
        <f>Ringkasan!A712</f>
        <v>EXCL</v>
      </c>
      <c r="B713" s="64" t="str">
        <f>Ringkasan!B712</f>
        <v>XLSMART Telecom Sejahtera Tbk.</v>
      </c>
      <c r="C713" s="65">
        <f>Ringkasan!C712</f>
        <v>2570</v>
      </c>
      <c r="D713" s="64" t="str">
        <f>Ringkasan!D712</f>
        <v>#N/A</v>
      </c>
      <c r="E713" s="64" t="str">
        <f>Ringkasan!E712</f>
        <v>LQ45</v>
      </c>
      <c r="F713" s="64" t="str">
        <f>Ringkasan!F712</f>
        <v>31 Juli 2026</v>
      </c>
      <c r="G713" s="64">
        <f>Ringkasan!G712</f>
        <v>9</v>
      </c>
      <c r="H713" s="19">
        <f>Ringkasan!H712</f>
        <v>-9.3</v>
      </c>
      <c r="I713" s="19">
        <f>Ringkasan!I712</f>
        <v>1.8</v>
      </c>
      <c r="J713" s="19">
        <f>Ringkasan!J712</f>
        <v>-18.9</v>
      </c>
      <c r="K713" s="19">
        <f>Ringkasan!K712</f>
        <v>-4.9</v>
      </c>
      <c r="L713" s="19">
        <f>Ringkasan!L712</f>
        <v>2.8</v>
      </c>
      <c r="M713" s="19">
        <f>Ringkasan!M712</f>
        <v>-46.8</v>
      </c>
      <c r="N713" s="64" t="str">
        <f>Ringkasan!N712</f>
        <v/>
      </c>
      <c r="O713" s="64" t="str">
        <f>Ringkasan!O712</f>
        <v/>
      </c>
      <c r="P713" s="64" t="str">
        <f>Ringkasan!P712</f>
        <v/>
      </c>
      <c r="Q713" s="64" t="str">
        <f>Ringkasan!Q712</f>
        <v/>
      </c>
      <c r="R713" s="64" t="str">
        <f>Ringkasan!R712</f>
        <v/>
      </c>
      <c r="S713" s="64" t="str">
        <f>Ringkasan!S712</f>
        <v/>
      </c>
      <c r="T713" s="64" t="str">
        <f>Ringkasan!T712</f>
        <v/>
      </c>
      <c r="U713" s="64">
        <f>Ringkasan!U712</f>
        <v>0</v>
      </c>
      <c r="V713" s="64">
        <f>Ringkasan!V712</f>
        <v>0</v>
      </c>
      <c r="W713" s="64" t="str">
        <f>Ringkasan!W712</f>
        <v/>
      </c>
      <c r="X713" s="64" t="str">
        <f>Ringkasan!X712</f>
        <v/>
      </c>
      <c r="Y713" s="64" t="str">
        <f>Ringkasan!Y712</f>
        <v/>
      </c>
      <c r="Z713" s="64">
        <f>Ringkasan!Z712</f>
        <v>0</v>
      </c>
      <c r="AA713" s="64" t="str">
        <f>Ringkasan!AA712</f>
        <v>Wireless Telecommunication Services</v>
      </c>
      <c r="AB713" s="64" t="str">
        <f>Ringkasan!AB712</f>
        <v>Infrastructures</v>
      </c>
    </row>
    <row r="714" hidden="1">
      <c r="A714" s="64" t="str">
        <f>Ringkasan!A713</f>
        <v>EXCL</v>
      </c>
      <c r="B714" s="64" t="str">
        <f>Ringkasan!B713</f>
        <v>XLSMART Telecom Sejahtera Tbk.</v>
      </c>
      <c r="C714" s="65">
        <f>Ringkasan!C713</f>
        <v>2570</v>
      </c>
      <c r="D714" s="64" t="str">
        <f>Ringkasan!D713</f>
        <v>#N/A</v>
      </c>
      <c r="E714" s="64" t="str">
        <f>Ringkasan!E713</f>
        <v>Kompas100</v>
      </c>
      <c r="F714" s="64" t="str">
        <f>Ringkasan!F713</f>
        <v>31 Juli 2026</v>
      </c>
      <c r="G714" s="64">
        <f>Ringkasan!G713</f>
        <v>9</v>
      </c>
      <c r="H714" s="19">
        <f>Ringkasan!H713</f>
        <v>-9.3</v>
      </c>
      <c r="I714" s="19">
        <f>Ringkasan!I713</f>
        <v>1.8</v>
      </c>
      <c r="J714" s="19">
        <f>Ringkasan!J713</f>
        <v>-18.9</v>
      </c>
      <c r="K714" s="19">
        <f>Ringkasan!K713</f>
        <v>-4.9</v>
      </c>
      <c r="L714" s="19">
        <f>Ringkasan!L713</f>
        <v>2.8</v>
      </c>
      <c r="M714" s="19">
        <f>Ringkasan!M713</f>
        <v>-46.8</v>
      </c>
      <c r="N714" s="64" t="str">
        <f>Ringkasan!N713</f>
        <v/>
      </c>
      <c r="O714" s="64" t="str">
        <f>Ringkasan!O713</f>
        <v/>
      </c>
      <c r="P714" s="64" t="str">
        <f>Ringkasan!P713</f>
        <v/>
      </c>
      <c r="Q714" s="64" t="str">
        <f>Ringkasan!Q713</f>
        <v/>
      </c>
      <c r="R714" s="64" t="str">
        <f>Ringkasan!R713</f>
        <v/>
      </c>
      <c r="S714" s="64" t="str">
        <f>Ringkasan!S713</f>
        <v/>
      </c>
      <c r="T714" s="64" t="str">
        <f>Ringkasan!T713</f>
        <v/>
      </c>
      <c r="U714" s="64">
        <f>Ringkasan!U713</f>
        <v>0</v>
      </c>
      <c r="V714" s="64">
        <f>Ringkasan!V713</f>
        <v>0</v>
      </c>
      <c r="W714" s="64" t="str">
        <f>Ringkasan!W713</f>
        <v/>
      </c>
      <c r="X714" s="64" t="str">
        <f>Ringkasan!X713</f>
        <v/>
      </c>
      <c r="Y714" s="64" t="str">
        <f>Ringkasan!Y713</f>
        <v/>
      </c>
      <c r="Z714" s="64">
        <f>Ringkasan!Z713</f>
        <v>0</v>
      </c>
      <c r="AA714" s="64" t="str">
        <f>Ringkasan!AA713</f>
        <v>Wireless Telecommunication Services</v>
      </c>
      <c r="AB714" s="64" t="str">
        <f>Ringkasan!AB713</f>
        <v>Infrastructures</v>
      </c>
    </row>
    <row r="715" hidden="1">
      <c r="A715" s="64" t="str">
        <f>Ringkasan!A714</f>
        <v>EXCL</v>
      </c>
      <c r="B715" s="64" t="str">
        <f>Ringkasan!B714</f>
        <v>XLSMART Telecom Sejahtera Tbk.</v>
      </c>
      <c r="C715" s="65">
        <f>Ringkasan!C714</f>
        <v>2570</v>
      </c>
      <c r="D715" s="64" t="str">
        <f>Ringkasan!D714</f>
        <v>#N/A</v>
      </c>
      <c r="E715" s="64" t="str">
        <f>Ringkasan!E714</f>
        <v>IDXESGL</v>
      </c>
      <c r="F715" s="64" t="str">
        <f>Ringkasan!F714</f>
        <v>30 Oktober 2026</v>
      </c>
      <c r="G715" s="64">
        <f>Ringkasan!G714</f>
        <v>9</v>
      </c>
      <c r="H715" s="19">
        <f>Ringkasan!H714</f>
        <v>-9.3</v>
      </c>
      <c r="I715" s="19">
        <f>Ringkasan!I714</f>
        <v>1.8</v>
      </c>
      <c r="J715" s="19">
        <f>Ringkasan!J714</f>
        <v>-18.9</v>
      </c>
      <c r="K715" s="19">
        <f>Ringkasan!K714</f>
        <v>-4.9</v>
      </c>
      <c r="L715" s="19">
        <f>Ringkasan!L714</f>
        <v>2.8</v>
      </c>
      <c r="M715" s="19">
        <f>Ringkasan!M714</f>
        <v>-46.8</v>
      </c>
      <c r="N715" s="64" t="str">
        <f>Ringkasan!N714</f>
        <v/>
      </c>
      <c r="O715" s="64" t="str">
        <f>Ringkasan!O714</f>
        <v/>
      </c>
      <c r="P715" s="64" t="str">
        <f>Ringkasan!P714</f>
        <v/>
      </c>
      <c r="Q715" s="64" t="str">
        <f>Ringkasan!Q714</f>
        <v/>
      </c>
      <c r="R715" s="64" t="str">
        <f>Ringkasan!R714</f>
        <v/>
      </c>
      <c r="S715" s="64" t="str">
        <f>Ringkasan!S714</f>
        <v/>
      </c>
      <c r="T715" s="64" t="str">
        <f>Ringkasan!T714</f>
        <v/>
      </c>
      <c r="U715" s="64">
        <f>Ringkasan!U714</f>
        <v>0</v>
      </c>
      <c r="V715" s="64">
        <f>Ringkasan!V714</f>
        <v>0</v>
      </c>
      <c r="W715" s="64" t="str">
        <f>Ringkasan!W714</f>
        <v/>
      </c>
      <c r="X715" s="64" t="str">
        <f>Ringkasan!X714</f>
        <v/>
      </c>
      <c r="Y715" s="64" t="str">
        <f>Ringkasan!Y714</f>
        <v/>
      </c>
      <c r="Z715" s="64">
        <f>Ringkasan!Z714</f>
        <v>0</v>
      </c>
      <c r="AA715" s="64" t="str">
        <f>Ringkasan!AA714</f>
        <v>Wireless Telecommunication Services</v>
      </c>
      <c r="AB715" s="64" t="str">
        <f>Ringkasan!AB714</f>
        <v>Infrastructures</v>
      </c>
    </row>
    <row r="716" hidden="1">
      <c r="A716" s="64" t="str">
        <f>Ringkasan!A715</f>
        <v>EXCL</v>
      </c>
      <c r="B716" s="64" t="str">
        <f>Ringkasan!B715</f>
        <v>XLSMART Telecom Sejahtera Tbk.</v>
      </c>
      <c r="C716" s="65">
        <f>Ringkasan!C715</f>
        <v>2570</v>
      </c>
      <c r="D716" s="64" t="str">
        <f>Ringkasan!D715</f>
        <v>#N/A</v>
      </c>
      <c r="E716" s="64" t="str">
        <f>Ringkasan!E715</f>
        <v>FTSE Large Cap</v>
      </c>
      <c r="F716" s="64" t="str">
        <f>Ringkasan!F715</f>
        <v>Juni 2026</v>
      </c>
      <c r="G716" s="64">
        <f>Ringkasan!G715</f>
        <v>9</v>
      </c>
      <c r="H716" s="19">
        <f>Ringkasan!H715</f>
        <v>-9.3</v>
      </c>
      <c r="I716" s="19">
        <f>Ringkasan!I715</f>
        <v>1.8</v>
      </c>
      <c r="J716" s="19">
        <f>Ringkasan!J715</f>
        <v>-18.9</v>
      </c>
      <c r="K716" s="19">
        <f>Ringkasan!K715</f>
        <v>-4.9</v>
      </c>
      <c r="L716" s="19">
        <f>Ringkasan!L715</f>
        <v>2.8</v>
      </c>
      <c r="M716" s="19">
        <f>Ringkasan!M715</f>
        <v>-46.8</v>
      </c>
      <c r="N716" s="64" t="str">
        <f>Ringkasan!N715</f>
        <v/>
      </c>
      <c r="O716" s="64" t="str">
        <f>Ringkasan!O715</f>
        <v/>
      </c>
      <c r="P716" s="64" t="str">
        <f>Ringkasan!P715</f>
        <v/>
      </c>
      <c r="Q716" s="64" t="str">
        <f>Ringkasan!Q715</f>
        <v/>
      </c>
      <c r="R716" s="64" t="str">
        <f>Ringkasan!R715</f>
        <v/>
      </c>
      <c r="S716" s="64" t="str">
        <f>Ringkasan!S715</f>
        <v/>
      </c>
      <c r="T716" s="64" t="str">
        <f>Ringkasan!T715</f>
        <v/>
      </c>
      <c r="U716" s="64">
        <f>Ringkasan!U715</f>
        <v>0</v>
      </c>
      <c r="V716" s="64">
        <f>Ringkasan!V715</f>
        <v>0</v>
      </c>
      <c r="W716" s="64" t="str">
        <f>Ringkasan!W715</f>
        <v/>
      </c>
      <c r="X716" s="64" t="str">
        <f>Ringkasan!X715</f>
        <v/>
      </c>
      <c r="Y716" s="64" t="str">
        <f>Ringkasan!Y715</f>
        <v/>
      </c>
      <c r="Z716" s="64">
        <f>Ringkasan!Z715</f>
        <v>0</v>
      </c>
      <c r="AA716" s="64" t="str">
        <f>Ringkasan!AA715</f>
        <v>Wireless Telecommunication Services</v>
      </c>
      <c r="AB716" s="64" t="str">
        <f>Ringkasan!AB715</f>
        <v>Infrastructures</v>
      </c>
    </row>
    <row r="717" hidden="1">
      <c r="A717" s="64" t="str">
        <f>Ringkasan!A716</f>
        <v>EXCL</v>
      </c>
      <c r="B717" s="64" t="str">
        <f>Ringkasan!B716</f>
        <v>XLSMART Telecom Sejahtera Tbk.</v>
      </c>
      <c r="C717" s="65">
        <f>Ringkasan!C716</f>
        <v>2570</v>
      </c>
      <c r="D717" s="64" t="str">
        <f>Ringkasan!D716</f>
        <v>#N/A</v>
      </c>
      <c r="E717" s="64" t="str">
        <f>Ringkasan!E716</f>
        <v>MSCI Small Cap</v>
      </c>
      <c r="F717" s="64" t="str">
        <f>Ringkasan!F716</f>
        <v>12 Agustus 2026</v>
      </c>
      <c r="G717" s="64">
        <f>Ringkasan!G716</f>
        <v>9</v>
      </c>
      <c r="H717" s="19">
        <f>Ringkasan!H716</f>
        <v>-9.3</v>
      </c>
      <c r="I717" s="19">
        <f>Ringkasan!I716</f>
        <v>1.8</v>
      </c>
      <c r="J717" s="19">
        <f>Ringkasan!J716</f>
        <v>-18.9</v>
      </c>
      <c r="K717" s="19">
        <f>Ringkasan!K716</f>
        <v>-4.9</v>
      </c>
      <c r="L717" s="19">
        <f>Ringkasan!L716</f>
        <v>2.8</v>
      </c>
      <c r="M717" s="19">
        <f>Ringkasan!M716</f>
        <v>-46.8</v>
      </c>
      <c r="N717" s="64" t="str">
        <f>Ringkasan!N716</f>
        <v/>
      </c>
      <c r="O717" s="64" t="str">
        <f>Ringkasan!O716</f>
        <v/>
      </c>
      <c r="P717" s="64" t="str">
        <f>Ringkasan!P716</f>
        <v/>
      </c>
      <c r="Q717" s="64" t="str">
        <f>Ringkasan!Q716</f>
        <v/>
      </c>
      <c r="R717" s="64" t="str">
        <f>Ringkasan!R716</f>
        <v/>
      </c>
      <c r="S717" s="64" t="str">
        <f>Ringkasan!S716</f>
        <v/>
      </c>
      <c r="T717" s="64" t="str">
        <f>Ringkasan!T716</f>
        <v/>
      </c>
      <c r="U717" s="64">
        <f>Ringkasan!U716</f>
        <v>0</v>
      </c>
      <c r="V717" s="64">
        <f>Ringkasan!V716</f>
        <v>0</v>
      </c>
      <c r="W717" s="64" t="str">
        <f>Ringkasan!W716</f>
        <v/>
      </c>
      <c r="X717" s="64" t="str">
        <f>Ringkasan!X716</f>
        <v/>
      </c>
      <c r="Y717" s="64" t="str">
        <f>Ringkasan!Y716</f>
        <v/>
      </c>
      <c r="Z717" s="64">
        <f>Ringkasan!Z716</f>
        <v>0</v>
      </c>
      <c r="AA717" s="64" t="str">
        <f>Ringkasan!AA716</f>
        <v>Wireless Telecommunication Services</v>
      </c>
      <c r="AB717" s="64" t="str">
        <f>Ringkasan!AB716</f>
        <v>Infrastructures</v>
      </c>
    </row>
    <row r="718" hidden="1">
      <c r="A718" s="64" t="str">
        <f>Ringkasan!A717</f>
        <v>EXCL</v>
      </c>
      <c r="B718" s="64" t="str">
        <f>Ringkasan!B717</f>
        <v>XLSMART Telecom Sejahtera Tbk.</v>
      </c>
      <c r="C718" s="65">
        <f>Ringkasan!C717</f>
        <v>2570</v>
      </c>
      <c r="D718" s="64" t="str">
        <f>Ringkasan!D717</f>
        <v>#N/A</v>
      </c>
      <c r="E718" s="64" t="str">
        <f>Ringkasan!E717</f>
        <v>JII30</v>
      </c>
      <c r="F718" s="66">
        <f>Ringkasan!F717</f>
        <v>46356</v>
      </c>
      <c r="G718" s="64">
        <f>Ringkasan!G717</f>
        <v>9</v>
      </c>
      <c r="H718" s="19">
        <f>Ringkasan!H717</f>
        <v>-9.3</v>
      </c>
      <c r="I718" s="19">
        <f>Ringkasan!I717</f>
        <v>1.8</v>
      </c>
      <c r="J718" s="19">
        <f>Ringkasan!J717</f>
        <v>-18.9</v>
      </c>
      <c r="K718" s="19">
        <f>Ringkasan!K717</f>
        <v>-4.9</v>
      </c>
      <c r="L718" s="19">
        <f>Ringkasan!L717</f>
        <v>2.8</v>
      </c>
      <c r="M718" s="19">
        <f>Ringkasan!M717</f>
        <v>-46.8</v>
      </c>
      <c r="N718" s="64" t="str">
        <f>Ringkasan!N717</f>
        <v/>
      </c>
      <c r="O718" s="64" t="str">
        <f>Ringkasan!O717</f>
        <v/>
      </c>
      <c r="P718" s="64" t="str">
        <f>Ringkasan!P717</f>
        <v/>
      </c>
      <c r="Q718" s="64" t="str">
        <f>Ringkasan!Q717</f>
        <v/>
      </c>
      <c r="R718" s="64" t="str">
        <f>Ringkasan!R717</f>
        <v/>
      </c>
      <c r="S718" s="64" t="str">
        <f>Ringkasan!S717</f>
        <v/>
      </c>
      <c r="T718" s="64" t="str">
        <f>Ringkasan!T717</f>
        <v/>
      </c>
      <c r="U718" s="64">
        <f>Ringkasan!U717</f>
        <v>0</v>
      </c>
      <c r="V718" s="64">
        <f>Ringkasan!V717</f>
        <v>0</v>
      </c>
      <c r="W718" s="64" t="str">
        <f>Ringkasan!W717</f>
        <v/>
      </c>
      <c r="X718" s="64" t="str">
        <f>Ringkasan!X717</f>
        <v/>
      </c>
      <c r="Y718" s="64" t="str">
        <f>Ringkasan!Y717</f>
        <v/>
      </c>
      <c r="Z718" s="64">
        <f>Ringkasan!Z717</f>
        <v>0</v>
      </c>
      <c r="AA718" s="64" t="str">
        <f>Ringkasan!AA717</f>
        <v>Wireless Telecommunication Services</v>
      </c>
      <c r="AB718" s="64" t="str">
        <f>Ringkasan!AB717</f>
        <v>Infrastructures</v>
      </c>
    </row>
    <row r="719" hidden="1">
      <c r="A719" s="64" t="str">
        <f>Ringkasan!A718</f>
        <v>EXCL</v>
      </c>
      <c r="B719" s="64" t="str">
        <f>Ringkasan!B718</f>
        <v>XLSMART Telecom Sejahtera Tbk.</v>
      </c>
      <c r="C719" s="65">
        <f>Ringkasan!C718</f>
        <v>2570</v>
      </c>
      <c r="D719" s="64" t="str">
        <f>Ringkasan!D718</f>
        <v>#N/A</v>
      </c>
      <c r="E719" s="64" t="str">
        <f>Ringkasan!E718</f>
        <v>JII70</v>
      </c>
      <c r="F719" s="66">
        <f>Ringkasan!F718</f>
        <v>46356</v>
      </c>
      <c r="G719" s="64">
        <f>Ringkasan!G718</f>
        <v>9</v>
      </c>
      <c r="H719" s="19">
        <f>Ringkasan!H718</f>
        <v>-9.3</v>
      </c>
      <c r="I719" s="19">
        <f>Ringkasan!I718</f>
        <v>1.8</v>
      </c>
      <c r="J719" s="19">
        <f>Ringkasan!J718</f>
        <v>-18.9</v>
      </c>
      <c r="K719" s="19">
        <f>Ringkasan!K718</f>
        <v>-4.9</v>
      </c>
      <c r="L719" s="19">
        <f>Ringkasan!L718</f>
        <v>2.8</v>
      </c>
      <c r="M719" s="19">
        <f>Ringkasan!M718</f>
        <v>-46.8</v>
      </c>
      <c r="N719" s="64" t="str">
        <f>Ringkasan!N718</f>
        <v/>
      </c>
      <c r="O719" s="64" t="str">
        <f>Ringkasan!O718</f>
        <v/>
      </c>
      <c r="P719" s="64" t="str">
        <f>Ringkasan!P718</f>
        <v/>
      </c>
      <c r="Q719" s="64" t="str">
        <f>Ringkasan!Q718</f>
        <v/>
      </c>
      <c r="R719" s="64" t="str">
        <f>Ringkasan!R718</f>
        <v/>
      </c>
      <c r="S719" s="64" t="str">
        <f>Ringkasan!S718</f>
        <v/>
      </c>
      <c r="T719" s="64" t="str">
        <f>Ringkasan!T718</f>
        <v/>
      </c>
      <c r="U719" s="64">
        <f>Ringkasan!U718</f>
        <v>0</v>
      </c>
      <c r="V719" s="64">
        <f>Ringkasan!V718</f>
        <v>0</v>
      </c>
      <c r="W719" s="64" t="str">
        <f>Ringkasan!W718</f>
        <v/>
      </c>
      <c r="X719" s="64" t="str">
        <f>Ringkasan!X718</f>
        <v/>
      </c>
      <c r="Y719" s="64" t="str">
        <f>Ringkasan!Y718</f>
        <v/>
      </c>
      <c r="Z719" s="64">
        <f>Ringkasan!Z718</f>
        <v>0</v>
      </c>
      <c r="AA719" s="64" t="str">
        <f>Ringkasan!AA718</f>
        <v>Wireless Telecommunication Services</v>
      </c>
      <c r="AB719" s="64" t="str">
        <f>Ringkasan!AB718</f>
        <v>Infrastructures</v>
      </c>
    </row>
    <row r="720" hidden="1">
      <c r="A720" s="64" t="str">
        <f>Ringkasan!A719</f>
        <v>FAPA</v>
      </c>
      <c r="B720" s="64" t="str">
        <f>Ringkasan!B719</f>
        <v>FAP Agri Tbk.</v>
      </c>
      <c r="C720" s="65">
        <f>Ringkasan!C719</f>
        <v>7275</v>
      </c>
      <c r="D720" s="64" t="str">
        <f>Ringkasan!D719</f>
        <v>#N/A</v>
      </c>
      <c r="E720" s="64" t="str">
        <f>Ringkasan!E719</f>
        <v/>
      </c>
      <c r="F720" s="64" t="str">
        <f>Ringkasan!F719</f>
        <v/>
      </c>
      <c r="G720" s="64">
        <f>Ringkasan!G719</f>
        <v>0</v>
      </c>
      <c r="H720" s="19">
        <f>Ringkasan!H719</f>
        <v>24.4</v>
      </c>
      <c r="I720" s="19">
        <f>Ringkasan!I719</f>
        <v>6.3</v>
      </c>
      <c r="J720" s="19">
        <f>Ringkasan!J719</f>
        <v>25.8</v>
      </c>
      <c r="K720" s="19">
        <f>Ringkasan!K719</f>
        <v>10.4</v>
      </c>
      <c r="L720" s="19">
        <f>Ringkasan!L719</f>
        <v>1.5</v>
      </c>
      <c r="M720" s="19">
        <f>Ringkasan!M719</f>
        <v>53.5</v>
      </c>
      <c r="N720" s="64" t="str">
        <f>Ringkasan!N719</f>
        <v/>
      </c>
      <c r="O720" s="64" t="str">
        <f>Ringkasan!O719</f>
        <v/>
      </c>
      <c r="P720" s="64" t="str">
        <f>Ringkasan!P719</f>
        <v/>
      </c>
      <c r="Q720" s="64" t="str">
        <f>Ringkasan!Q719</f>
        <v/>
      </c>
      <c r="R720" s="64" t="str">
        <f>Ringkasan!R719</f>
        <v/>
      </c>
      <c r="S720" s="64" t="str">
        <f>Ringkasan!S719</f>
        <v/>
      </c>
      <c r="T720" s="64" t="str">
        <f>Ringkasan!T719</f>
        <v/>
      </c>
      <c r="U720" s="64">
        <f>Ringkasan!U719</f>
        <v>7250</v>
      </c>
      <c r="V720" s="64">
        <f>Ringkasan!V719</f>
        <v>0.34</v>
      </c>
      <c r="W720" s="64">
        <f>Ringkasan!W719</f>
        <v>7250</v>
      </c>
      <c r="X720" s="64">
        <f>Ringkasan!X719</f>
        <v>7275</v>
      </c>
      <c r="Y720" s="64" t="str">
        <f>Ringkasan!Y719</f>
        <v/>
      </c>
      <c r="Z720" s="64">
        <f>Ringkasan!Z719</f>
        <v>900</v>
      </c>
      <c r="AA720" s="64" t="str">
        <f>Ringkasan!AA719</f>
        <v>Agricultural Products</v>
      </c>
      <c r="AB720" s="64" t="str">
        <f>Ringkasan!AB719</f>
        <v>Consumer Non-Cyclicals</v>
      </c>
    </row>
    <row r="721" hidden="1">
      <c r="A721" s="64" t="str">
        <f>Ringkasan!A720</f>
        <v>FAST</v>
      </c>
      <c r="B721" s="64" t="str">
        <f>Ringkasan!B720</f>
        <v>Fast Food Indonesia Tbk.</v>
      </c>
      <c r="C721" s="65">
        <f>Ringkasan!C720</f>
        <v>238</v>
      </c>
      <c r="D721" s="64" t="str">
        <f>Ringkasan!D720</f>
        <v>#N/A</v>
      </c>
      <c r="E721" s="64" t="str">
        <f>Ringkasan!E720</f>
        <v/>
      </c>
      <c r="F721" s="64" t="str">
        <f>Ringkasan!F720</f>
        <v/>
      </c>
      <c r="G721" s="64">
        <f>Ringkasan!G720</f>
        <v>0</v>
      </c>
      <c r="H721" s="19">
        <f>Ringkasan!H720</f>
        <v>-3.6</v>
      </c>
      <c r="I721" s="19">
        <f>Ringkasan!I720</f>
        <v>2.4</v>
      </c>
      <c r="J721" s="19">
        <f>Ringkasan!J720</f>
        <v>-68</v>
      </c>
      <c r="K721" s="19">
        <f>Ringkasan!K720</f>
        <v>-6.1</v>
      </c>
      <c r="L721" s="19">
        <f>Ringkasan!L720</f>
        <v>10.2</v>
      </c>
      <c r="M721" s="19">
        <f>Ringkasan!M720</f>
        <v>-22.2</v>
      </c>
      <c r="N721" s="64" t="str">
        <f>Ringkasan!N720</f>
        <v/>
      </c>
      <c r="O721" s="64" t="str">
        <f>Ringkasan!O720</f>
        <v/>
      </c>
      <c r="P721" s="64" t="str">
        <f>Ringkasan!P720</f>
        <v/>
      </c>
      <c r="Q721" s="64" t="str">
        <f>Ringkasan!Q720</f>
        <v/>
      </c>
      <c r="R721" s="64" t="str">
        <f>Ringkasan!R720</f>
        <v/>
      </c>
      <c r="S721" s="64" t="str">
        <f>Ringkasan!S720</f>
        <v/>
      </c>
      <c r="T721" s="64" t="str">
        <f>Ringkasan!T720</f>
        <v/>
      </c>
      <c r="U721" s="64">
        <f>Ringkasan!U720</f>
        <v>46.39</v>
      </c>
      <c r="V721" s="64">
        <f>Ringkasan!V720</f>
        <v>0.39</v>
      </c>
      <c r="W721" s="64">
        <f>Ringkasan!W720</f>
        <v>46.59</v>
      </c>
      <c r="X721" s="64">
        <f>Ringkasan!X720</f>
        <v>47.16</v>
      </c>
      <c r="Y721" s="64">
        <f>Ringkasan!Y720</f>
        <v>46.29</v>
      </c>
      <c r="Z721" s="64">
        <f>Ringkasan!Z720</f>
        <v>4629317</v>
      </c>
      <c r="AA721" s="64" t="str">
        <f>Ringkasan!AA720</f>
        <v>Tourism &amp; Recreation</v>
      </c>
      <c r="AB721" s="64" t="str">
        <f>Ringkasan!AB720</f>
        <v>Consumer Cyclicals</v>
      </c>
    </row>
    <row r="722" hidden="1">
      <c r="A722" s="64" t="str">
        <f>Ringkasan!A721</f>
        <v>FASW</v>
      </c>
      <c r="B722" s="64" t="str">
        <f>Ringkasan!B721</f>
        <v>Fajar Surya Wisesa Tbk.</v>
      </c>
      <c r="C722" s="65">
        <f>Ringkasan!C721</f>
        <v>5450</v>
      </c>
      <c r="D722" s="64" t="str">
        <f>Ringkasan!D721</f>
        <v>#N/A</v>
      </c>
      <c r="E722" s="64" t="str">
        <f>Ringkasan!E721</f>
        <v/>
      </c>
      <c r="F722" s="64" t="str">
        <f>Ringkasan!F721</f>
        <v/>
      </c>
      <c r="G722" s="64">
        <f>Ringkasan!G721</f>
        <v>0</v>
      </c>
      <c r="H722" s="19">
        <f>Ringkasan!H721</f>
        <v>-20</v>
      </c>
      <c r="I722" s="19">
        <f>Ringkasan!I721</f>
        <v>3</v>
      </c>
      <c r="J722" s="19">
        <f>Ringkasan!J721</f>
        <v>-14.8</v>
      </c>
      <c r="K722" s="19">
        <f>Ringkasan!K721</f>
        <v>-6.9</v>
      </c>
      <c r="L722" s="19">
        <f>Ringkasan!L721</f>
        <v>1.2</v>
      </c>
      <c r="M722" s="19">
        <f>Ringkasan!M721</f>
        <v>-43.5</v>
      </c>
      <c r="N722" s="64" t="str">
        <f>Ringkasan!N721</f>
        <v/>
      </c>
      <c r="O722" s="64" t="str">
        <f>Ringkasan!O721</f>
        <v/>
      </c>
      <c r="P722" s="64" t="str">
        <f>Ringkasan!P721</f>
        <v/>
      </c>
      <c r="Q722" s="64" t="str">
        <f>Ringkasan!Q721</f>
        <v/>
      </c>
      <c r="R722" s="64" t="str">
        <f>Ringkasan!R721</f>
        <v/>
      </c>
      <c r="S722" s="64" t="str">
        <f>Ringkasan!S721</f>
        <v/>
      </c>
      <c r="T722" s="64" t="str">
        <f>Ringkasan!T721</f>
        <v/>
      </c>
      <c r="U722" s="64">
        <f>Ringkasan!U721</f>
        <v>5450</v>
      </c>
      <c r="V722" s="64">
        <f>Ringkasan!V721</f>
        <v>0</v>
      </c>
      <c r="W722" s="64" t="str">
        <f>Ringkasan!W721</f>
        <v/>
      </c>
      <c r="X722" s="64" t="str">
        <f>Ringkasan!X721</f>
        <v/>
      </c>
      <c r="Y722" s="64" t="str">
        <f>Ringkasan!Y721</f>
        <v/>
      </c>
      <c r="Z722" s="64">
        <f>Ringkasan!Z721</f>
        <v>0</v>
      </c>
      <c r="AA722" s="64" t="str">
        <f>Ringkasan!AA721</f>
        <v>Containers &amp; Packaging</v>
      </c>
      <c r="AB722" s="64" t="str">
        <f>Ringkasan!AB721</f>
        <v>Basic Materials</v>
      </c>
    </row>
    <row r="723" hidden="1">
      <c r="A723" s="64" t="str">
        <f>Ringkasan!A722</f>
        <v>FILM</v>
      </c>
      <c r="B723" s="64" t="str">
        <f>Ringkasan!B722</f>
        <v>MD Entertainment Tbk.</v>
      </c>
      <c r="C723" s="65">
        <f>Ringkasan!C722</f>
        <v>1780</v>
      </c>
      <c r="D723" s="64" t="str">
        <f>Ringkasan!D722</f>
        <v>#N/A</v>
      </c>
      <c r="E723" s="64" t="str">
        <f>Ringkasan!E722</f>
        <v>ECONOMIC30</v>
      </c>
      <c r="F723" s="64" t="str">
        <f>Ringkasan!F722</f>
        <v>31 Agustus 2026</v>
      </c>
      <c r="G723" s="64">
        <f>Ringkasan!G722</f>
        <v>3</v>
      </c>
      <c r="H723" s="19">
        <f>Ringkasan!H722</f>
        <v>-99.5</v>
      </c>
      <c r="I723" s="19">
        <f>Ringkasan!I722</f>
        <v>7.3</v>
      </c>
      <c r="J723" s="19">
        <f>Ringkasan!J722</f>
        <v>-7.4</v>
      </c>
      <c r="K723" s="19">
        <f>Ringkasan!K722</f>
        <v>-6.3</v>
      </c>
      <c r="L723" s="19">
        <f>Ringkasan!L722</f>
        <v>0.18</v>
      </c>
      <c r="M723" s="19">
        <f>Ringkasan!M722</f>
        <v>-160</v>
      </c>
      <c r="N723" s="64" t="str">
        <f>Ringkasan!N722</f>
        <v/>
      </c>
      <c r="O723" s="64" t="str">
        <f>Ringkasan!O722</f>
        <v/>
      </c>
      <c r="P723" s="64" t="str">
        <f>Ringkasan!P722</f>
        <v/>
      </c>
      <c r="Q723" s="64" t="str">
        <f>Ringkasan!Q722</f>
        <v/>
      </c>
      <c r="R723" s="64" t="str">
        <f>Ringkasan!R722</f>
        <v/>
      </c>
      <c r="S723" s="64" t="str">
        <f>Ringkasan!S722</f>
        <v/>
      </c>
      <c r="T723" s="64" t="str">
        <f>Ringkasan!T722</f>
        <v/>
      </c>
      <c r="U723" s="64">
        <f>Ringkasan!U722</f>
        <v>1775</v>
      </c>
      <c r="V723" s="64">
        <f>Ringkasan!V722</f>
        <v>0.28</v>
      </c>
      <c r="W723" s="64">
        <f>Ringkasan!W722</f>
        <v>1785</v>
      </c>
      <c r="X723" s="64">
        <f>Ringkasan!X722</f>
        <v>1825</v>
      </c>
      <c r="Y723" s="64">
        <f>Ringkasan!Y722</f>
        <v>1750</v>
      </c>
      <c r="Z723" s="64">
        <f>Ringkasan!Z722</f>
        <v>3696900</v>
      </c>
      <c r="AA723" s="64" t="str">
        <f>Ringkasan!AA722</f>
        <v>Entertainment &amp; Movie Production</v>
      </c>
      <c r="AB723" s="64" t="str">
        <f>Ringkasan!AB722</f>
        <v>Consumer Cyclicals</v>
      </c>
    </row>
    <row r="724" hidden="1">
      <c r="A724" s="64" t="str">
        <f>Ringkasan!A723</f>
        <v>FILM</v>
      </c>
      <c r="B724" s="64" t="str">
        <f>Ringkasan!B723</f>
        <v>MD Entertainment Tbk.</v>
      </c>
      <c r="C724" s="65">
        <f>Ringkasan!C723</f>
        <v>1780</v>
      </c>
      <c r="D724" s="64" t="str">
        <f>Ringkasan!D723</f>
        <v>#N/A</v>
      </c>
      <c r="E724" s="64" t="str">
        <f>Ringkasan!E723</f>
        <v>Kompas100</v>
      </c>
      <c r="F724" s="64" t="str">
        <f>Ringkasan!F723</f>
        <v>31 Juli 2026</v>
      </c>
      <c r="G724" s="64">
        <f>Ringkasan!G723</f>
        <v>3</v>
      </c>
      <c r="H724" s="19">
        <f>Ringkasan!H723</f>
        <v>-99.5</v>
      </c>
      <c r="I724" s="19">
        <f>Ringkasan!I723</f>
        <v>7.3</v>
      </c>
      <c r="J724" s="19">
        <f>Ringkasan!J723</f>
        <v>-7.4</v>
      </c>
      <c r="K724" s="19">
        <f>Ringkasan!K723</f>
        <v>-6.3</v>
      </c>
      <c r="L724" s="19">
        <f>Ringkasan!L723</f>
        <v>0.18</v>
      </c>
      <c r="M724" s="19">
        <f>Ringkasan!M723</f>
        <v>-160</v>
      </c>
      <c r="N724" s="64" t="str">
        <f>Ringkasan!N723</f>
        <v/>
      </c>
      <c r="O724" s="64" t="str">
        <f>Ringkasan!O723</f>
        <v/>
      </c>
      <c r="P724" s="64" t="str">
        <f>Ringkasan!P723</f>
        <v/>
      </c>
      <c r="Q724" s="64" t="str">
        <f>Ringkasan!Q723</f>
        <v/>
      </c>
      <c r="R724" s="64" t="str">
        <f>Ringkasan!R723</f>
        <v/>
      </c>
      <c r="S724" s="64" t="str">
        <f>Ringkasan!S723</f>
        <v/>
      </c>
      <c r="T724" s="64" t="str">
        <f>Ringkasan!T723</f>
        <v/>
      </c>
      <c r="U724" s="64">
        <f>Ringkasan!U723</f>
        <v>1775</v>
      </c>
      <c r="V724" s="64">
        <f>Ringkasan!V723</f>
        <v>0.28</v>
      </c>
      <c r="W724" s="64">
        <f>Ringkasan!W723</f>
        <v>1785</v>
      </c>
      <c r="X724" s="64">
        <f>Ringkasan!X723</f>
        <v>1825</v>
      </c>
      <c r="Y724" s="64">
        <f>Ringkasan!Y723</f>
        <v>1750</v>
      </c>
      <c r="Z724" s="64">
        <f>Ringkasan!Z723</f>
        <v>3696900</v>
      </c>
      <c r="AA724" s="64" t="str">
        <f>Ringkasan!AA723</f>
        <v>Entertainment &amp; Movie Production</v>
      </c>
      <c r="AB724" s="64" t="str">
        <f>Ringkasan!AB723</f>
        <v>Consumer Cyclicals</v>
      </c>
    </row>
    <row r="725" hidden="1">
      <c r="A725" s="64" t="str">
        <f>Ringkasan!A724</f>
        <v>FILM</v>
      </c>
      <c r="B725" s="64" t="str">
        <f>Ringkasan!B724</f>
        <v>MD Entertainment Tbk.</v>
      </c>
      <c r="C725" s="65">
        <f>Ringkasan!C724</f>
        <v>1780</v>
      </c>
      <c r="D725" s="64" t="str">
        <f>Ringkasan!D724</f>
        <v>#N/A</v>
      </c>
      <c r="E725" s="64" t="str">
        <f>Ringkasan!E724</f>
        <v>MSCI Small Cap</v>
      </c>
      <c r="F725" s="64" t="str">
        <f>Ringkasan!F724</f>
        <v>12 Agustus 2026</v>
      </c>
      <c r="G725" s="64">
        <f>Ringkasan!G724</f>
        <v>3</v>
      </c>
      <c r="H725" s="19">
        <f>Ringkasan!H724</f>
        <v>-99.5</v>
      </c>
      <c r="I725" s="19">
        <f>Ringkasan!I724</f>
        <v>7.3</v>
      </c>
      <c r="J725" s="19">
        <f>Ringkasan!J724</f>
        <v>-7.4</v>
      </c>
      <c r="K725" s="19">
        <f>Ringkasan!K724</f>
        <v>-6.3</v>
      </c>
      <c r="L725" s="19">
        <f>Ringkasan!L724</f>
        <v>0.18</v>
      </c>
      <c r="M725" s="19">
        <f>Ringkasan!M724</f>
        <v>-160</v>
      </c>
      <c r="N725" s="64" t="str">
        <f>Ringkasan!N724</f>
        <v/>
      </c>
      <c r="O725" s="64" t="str">
        <f>Ringkasan!O724</f>
        <v/>
      </c>
      <c r="P725" s="64" t="str">
        <f>Ringkasan!P724</f>
        <v/>
      </c>
      <c r="Q725" s="64" t="str">
        <f>Ringkasan!Q724</f>
        <v/>
      </c>
      <c r="R725" s="64" t="str">
        <f>Ringkasan!R724</f>
        <v/>
      </c>
      <c r="S725" s="64" t="str">
        <f>Ringkasan!S724</f>
        <v/>
      </c>
      <c r="T725" s="64" t="str">
        <f>Ringkasan!T724</f>
        <v/>
      </c>
      <c r="U725" s="64">
        <f>Ringkasan!U724</f>
        <v>1775</v>
      </c>
      <c r="V725" s="64">
        <f>Ringkasan!V724</f>
        <v>0.28</v>
      </c>
      <c r="W725" s="64">
        <f>Ringkasan!W724</f>
        <v>1785</v>
      </c>
      <c r="X725" s="64">
        <f>Ringkasan!X724</f>
        <v>1825</v>
      </c>
      <c r="Y725" s="64">
        <f>Ringkasan!Y724</f>
        <v>1750</v>
      </c>
      <c r="Z725" s="64">
        <f>Ringkasan!Z724</f>
        <v>3696900</v>
      </c>
      <c r="AA725" s="64" t="str">
        <f>Ringkasan!AA724</f>
        <v>Entertainment &amp; Movie Production</v>
      </c>
      <c r="AB725" s="64" t="str">
        <f>Ringkasan!AB724</f>
        <v>Consumer Cyclicals</v>
      </c>
    </row>
    <row r="726" hidden="1">
      <c r="A726" s="64" t="str">
        <f>Ringkasan!A725</f>
        <v>FIMP</v>
      </c>
      <c r="B726" s="64" t="str">
        <f>Ringkasan!B725</f>
        <v>Fimperkasa Utama Tbk.</v>
      </c>
      <c r="C726" s="65">
        <f>Ringkasan!C725</f>
        <v>69</v>
      </c>
      <c r="D726" s="64" t="str">
        <f>Ringkasan!D725</f>
        <v>#N/A</v>
      </c>
      <c r="E726" s="64" t="str">
        <f>Ringkasan!E725</f>
        <v/>
      </c>
      <c r="F726" s="64" t="str">
        <f>Ringkasan!F725</f>
        <v/>
      </c>
      <c r="G726" s="64">
        <f>Ringkasan!G725</f>
        <v>0</v>
      </c>
      <c r="H726" s="19">
        <f>Ringkasan!H725</f>
        <v>-2.8</v>
      </c>
      <c r="I726" s="19">
        <f>Ringkasan!I725</f>
        <v>1.3</v>
      </c>
      <c r="J726" s="19">
        <f>Ringkasan!J725</f>
        <v>-46.2</v>
      </c>
      <c r="K726" s="19">
        <f>Ringkasan!K725</f>
        <v>-36.8</v>
      </c>
      <c r="L726" s="19">
        <f>Ringkasan!L725</f>
        <v>0.25</v>
      </c>
      <c r="M726" s="19">
        <f>Ringkasan!M725</f>
        <v>-250</v>
      </c>
      <c r="N726" s="64" t="str">
        <f>Ringkasan!N725</f>
        <v/>
      </c>
      <c r="O726" s="64" t="str">
        <f>Ringkasan!O725</f>
        <v/>
      </c>
      <c r="P726" s="64" t="str">
        <f>Ringkasan!P725</f>
        <v/>
      </c>
      <c r="Q726" s="64" t="str">
        <f>Ringkasan!Q725</f>
        <v/>
      </c>
      <c r="R726" s="64" t="str">
        <f>Ringkasan!R725</f>
        <v/>
      </c>
      <c r="S726" s="64" t="str">
        <f>Ringkasan!S725</f>
        <v/>
      </c>
      <c r="T726" s="64" t="str">
        <f>Ringkasan!T725</f>
        <v/>
      </c>
      <c r="U726" s="64">
        <f>Ringkasan!U725</f>
        <v>69</v>
      </c>
      <c r="V726" s="64">
        <f>Ringkasan!V725</f>
        <v>0</v>
      </c>
      <c r="W726" s="64" t="str">
        <f>Ringkasan!W725</f>
        <v/>
      </c>
      <c r="X726" s="64" t="str">
        <f>Ringkasan!X725</f>
        <v/>
      </c>
      <c r="Y726" s="64" t="str">
        <f>Ringkasan!Y725</f>
        <v/>
      </c>
      <c r="Z726" s="64">
        <f>Ringkasan!Z725</f>
        <v>0</v>
      </c>
      <c r="AA726" s="64" t="str">
        <f>Ringkasan!AA725</f>
        <v>Heavy Constructions &amp; Civil Engineering</v>
      </c>
      <c r="AB726" s="64" t="str">
        <f>Ringkasan!AB725</f>
        <v>Infrastructures</v>
      </c>
    </row>
    <row r="727" hidden="1">
      <c r="A727" s="64" t="str">
        <f>Ringkasan!A726</f>
        <v>FIRE</v>
      </c>
      <c r="B727" s="64" t="str">
        <f>Ringkasan!B726</f>
        <v>Alfa Energi Investama Tbk.</v>
      </c>
      <c r="C727" s="65">
        <f>Ringkasan!C726</f>
        <v>107</v>
      </c>
      <c r="D727" s="64" t="str">
        <f>Ringkasan!D726</f>
        <v>#N/A</v>
      </c>
      <c r="E727" s="64" t="str">
        <f>Ringkasan!E726</f>
        <v/>
      </c>
      <c r="F727" s="64" t="str">
        <f>Ringkasan!F726</f>
        <v/>
      </c>
      <c r="G727" s="64">
        <f>Ringkasan!G726</f>
        <v>0</v>
      </c>
      <c r="H727" s="19">
        <f>Ringkasan!H726</f>
        <v>-40.1</v>
      </c>
      <c r="I727" s="19">
        <f>Ringkasan!I726</f>
        <v>0.66</v>
      </c>
      <c r="J727" s="19">
        <f>Ringkasan!J726</f>
        <v>-1.6</v>
      </c>
      <c r="K727" s="19">
        <f>Ringkasan!K726</f>
        <v>-1.2</v>
      </c>
      <c r="L727" s="19">
        <f>Ringkasan!L726</f>
        <v>0.41</v>
      </c>
      <c r="M727" s="19">
        <f>Ringkasan!M726</f>
        <v>-8.1</v>
      </c>
      <c r="N727" s="64" t="str">
        <f>Ringkasan!N726</f>
        <v/>
      </c>
      <c r="O727" s="64" t="str">
        <f>Ringkasan!O726</f>
        <v/>
      </c>
      <c r="P727" s="64" t="str">
        <f>Ringkasan!P726</f>
        <v/>
      </c>
      <c r="Q727" s="64" t="str">
        <f>Ringkasan!Q726</f>
        <v/>
      </c>
      <c r="R727" s="64" t="str">
        <f>Ringkasan!R726</f>
        <v/>
      </c>
      <c r="S727" s="64" t="str">
        <f>Ringkasan!S726</f>
        <v/>
      </c>
      <c r="T727" s="64" t="str">
        <f>Ringkasan!T726</f>
        <v/>
      </c>
      <c r="U727" s="64">
        <f>Ringkasan!U726</f>
        <v>11.06</v>
      </c>
      <c r="V727" s="64">
        <f>Ringkasan!V726</f>
        <v>3.8</v>
      </c>
      <c r="W727" s="64">
        <f>Ringkasan!W726</f>
        <v>11.38</v>
      </c>
      <c r="X727" s="64">
        <f>Ringkasan!X726</f>
        <v>11.48</v>
      </c>
      <c r="Y727" s="64">
        <f>Ringkasan!Y726</f>
        <v>11.35</v>
      </c>
      <c r="Z727" s="64">
        <f>Ringkasan!Z726</f>
        <v>0</v>
      </c>
      <c r="AA727" s="64" t="str">
        <f>Ringkasan!AA726</f>
        <v>Coal</v>
      </c>
      <c r="AB727" s="64" t="str">
        <f>Ringkasan!AB726</f>
        <v>Energy</v>
      </c>
    </row>
    <row r="728" hidden="1">
      <c r="A728" s="64" t="str">
        <f>Ringkasan!A727</f>
        <v>FISH</v>
      </c>
      <c r="B728" s="64" t="str">
        <f>Ringkasan!B727</f>
        <v>FKS Multi Agro Tbk</v>
      </c>
      <c r="C728" s="65">
        <f>Ringkasan!C727</f>
        <v>620</v>
      </c>
      <c r="D728" s="64" t="str">
        <f>Ringkasan!D727</f>
        <v>#N/A</v>
      </c>
      <c r="E728" s="64" t="str">
        <f>Ringkasan!E727</f>
        <v/>
      </c>
      <c r="F728" s="64" t="str">
        <f>Ringkasan!F727</f>
        <v/>
      </c>
      <c r="G728" s="64">
        <f>Ringkasan!G727</f>
        <v>0</v>
      </c>
      <c r="H728" s="19">
        <f>Ringkasan!H727</f>
        <v>16.8</v>
      </c>
      <c r="I728" s="19">
        <f>Ringkasan!I727</f>
        <v>1.1</v>
      </c>
      <c r="J728" s="19">
        <f>Ringkasan!J727</f>
        <v>6.3</v>
      </c>
      <c r="K728" s="19">
        <f>Ringkasan!K727</f>
        <v>2.4</v>
      </c>
      <c r="L728" s="19">
        <f>Ringkasan!L727</f>
        <v>1.6</v>
      </c>
      <c r="M728" s="19">
        <f>Ringkasan!M727</f>
        <v>4.3</v>
      </c>
      <c r="N728" s="64" t="str">
        <f>Ringkasan!N727</f>
        <v/>
      </c>
      <c r="O728" s="64" t="str">
        <f>Ringkasan!O727</f>
        <v/>
      </c>
      <c r="P728" s="64" t="str">
        <f>Ringkasan!P727</f>
        <v/>
      </c>
      <c r="Q728" s="64" t="str">
        <f>Ringkasan!Q727</f>
        <v/>
      </c>
      <c r="R728" s="64" t="str">
        <f>Ringkasan!R727</f>
        <v/>
      </c>
      <c r="S728" s="64" t="str">
        <f>Ringkasan!S727</f>
        <v/>
      </c>
      <c r="T728" s="64" t="str">
        <f>Ringkasan!T727</f>
        <v/>
      </c>
      <c r="U728" s="64">
        <f>Ringkasan!U727</f>
        <v>4.2</v>
      </c>
      <c r="V728" s="64">
        <f>Ringkasan!V727</f>
        <v>4.05</v>
      </c>
      <c r="W728" s="64">
        <f>Ringkasan!W727</f>
        <v>4.21</v>
      </c>
      <c r="X728" s="64">
        <f>Ringkasan!X727</f>
        <v>4.37</v>
      </c>
      <c r="Y728" s="64">
        <f>Ringkasan!Y727</f>
        <v>4.2</v>
      </c>
      <c r="Z728" s="64">
        <f>Ringkasan!Z727</f>
        <v>86703</v>
      </c>
      <c r="AA728" s="64" t="str">
        <f>Ringkasan!AA727</f>
        <v>Agricultural Products</v>
      </c>
      <c r="AB728" s="64" t="str">
        <f>Ringkasan!AB727</f>
        <v>Consumer Non-Cyclicals</v>
      </c>
    </row>
    <row r="729" hidden="1">
      <c r="A729" s="64" t="str">
        <f>Ringkasan!A728</f>
        <v>FITT</v>
      </c>
      <c r="B729" s="64" t="str">
        <f>Ringkasan!B728</f>
        <v>Hotel Fitra International Tbk.</v>
      </c>
      <c r="C729" s="65">
        <f>Ringkasan!C728</f>
        <v>394</v>
      </c>
      <c r="D729" s="64" t="str">
        <f>Ringkasan!D728</f>
        <v>#N/A</v>
      </c>
      <c r="E729" s="64" t="str">
        <f>Ringkasan!E728</f>
        <v/>
      </c>
      <c r="F729" s="64" t="str">
        <f>Ringkasan!F728</f>
        <v/>
      </c>
      <c r="G729" s="64">
        <f>Ringkasan!G728</f>
        <v>0</v>
      </c>
      <c r="H729" s="19">
        <f>Ringkasan!H728</f>
        <v>-88.6</v>
      </c>
      <c r="I729" s="19">
        <f>Ringkasan!I728</f>
        <v>6.3</v>
      </c>
      <c r="J729" s="19">
        <f>Ringkasan!J728</f>
        <v>-7.1</v>
      </c>
      <c r="K729" s="19">
        <f>Ringkasan!K728</f>
        <v>-4.3</v>
      </c>
      <c r="L729" s="19">
        <f>Ringkasan!L728</f>
        <v>0.65</v>
      </c>
      <c r="M729" s="19">
        <f>Ringkasan!M728</f>
        <v>-61.9</v>
      </c>
      <c r="N729" s="64" t="str">
        <f>Ringkasan!N728</f>
        <v/>
      </c>
      <c r="O729" s="64" t="str">
        <f>Ringkasan!O728</f>
        <v/>
      </c>
      <c r="P729" s="64" t="str">
        <f>Ringkasan!P728</f>
        <v/>
      </c>
      <c r="Q729" s="64" t="str">
        <f>Ringkasan!Q728</f>
        <v/>
      </c>
      <c r="R729" s="64" t="str">
        <f>Ringkasan!R728</f>
        <v/>
      </c>
      <c r="S729" s="64" t="str">
        <f>Ringkasan!S728</f>
        <v/>
      </c>
      <c r="T729" s="64" t="str">
        <f>Ringkasan!T728</f>
        <v/>
      </c>
      <c r="U729" s="64">
        <f>Ringkasan!U728</f>
        <v>346</v>
      </c>
      <c r="V729" s="64">
        <f>Ringkasan!V728</f>
        <v>13.87</v>
      </c>
      <c r="W729" s="64">
        <f>Ringkasan!W728</f>
        <v>346</v>
      </c>
      <c r="X729" s="64">
        <f>Ringkasan!X728</f>
        <v>400</v>
      </c>
      <c r="Y729" s="64">
        <f>Ringkasan!Y728</f>
        <v>340</v>
      </c>
      <c r="Z729" s="64">
        <f>Ringkasan!Z728</f>
        <v>448600</v>
      </c>
      <c r="AA729" s="64" t="str">
        <f>Ringkasan!AA728</f>
        <v>Tourism &amp; Recreation</v>
      </c>
      <c r="AB729" s="64" t="str">
        <f>Ringkasan!AB728</f>
        <v>Consumer Cyclicals</v>
      </c>
    </row>
    <row r="730" hidden="1">
      <c r="A730" s="64" t="str">
        <f>Ringkasan!A729</f>
        <v>FLMC</v>
      </c>
      <c r="B730" s="64" t="str">
        <f>Ringkasan!B729</f>
        <v>Falmaco Nonwoven Industri Tbk.</v>
      </c>
      <c r="C730" s="65">
        <f>Ringkasan!C729</f>
        <v>92</v>
      </c>
      <c r="D730" s="64" t="str">
        <f>Ringkasan!D729</f>
        <v>#N/A</v>
      </c>
      <c r="E730" s="64" t="str">
        <f>Ringkasan!E729</f>
        <v/>
      </c>
      <c r="F730" s="64" t="str">
        <f>Ringkasan!F729</f>
        <v/>
      </c>
      <c r="G730" s="64">
        <f>Ringkasan!G729</f>
        <v>0</v>
      </c>
      <c r="H730" s="19">
        <f>Ringkasan!H729</f>
        <v>-5.2</v>
      </c>
      <c r="I730" s="19">
        <f>Ringkasan!I729</f>
        <v>5.8</v>
      </c>
      <c r="J730" s="19">
        <f>Ringkasan!J729</f>
        <v>-110</v>
      </c>
      <c r="K730" s="19">
        <f>Ringkasan!K729</f>
        <v>-41.7</v>
      </c>
      <c r="L730" s="19">
        <f>Ringkasan!L729</f>
        <v>1.7</v>
      </c>
      <c r="M730" s="19">
        <f>Ringkasan!M729</f>
        <v>-160</v>
      </c>
      <c r="N730" s="64" t="str">
        <f>Ringkasan!N729</f>
        <v/>
      </c>
      <c r="O730" s="64" t="str">
        <f>Ringkasan!O729</f>
        <v/>
      </c>
      <c r="P730" s="64" t="str">
        <f>Ringkasan!P729</f>
        <v/>
      </c>
      <c r="Q730" s="64" t="str">
        <f>Ringkasan!Q729</f>
        <v/>
      </c>
      <c r="R730" s="64" t="str">
        <f>Ringkasan!R729</f>
        <v/>
      </c>
      <c r="S730" s="64" t="str">
        <f>Ringkasan!S729</f>
        <v/>
      </c>
      <c r="T730" s="64" t="str">
        <f>Ringkasan!T729</f>
        <v/>
      </c>
      <c r="U730" s="64">
        <f>Ringkasan!U729</f>
        <v>99</v>
      </c>
      <c r="V730" s="64">
        <f>Ringkasan!V729</f>
        <v>-7.07</v>
      </c>
      <c r="W730" s="64">
        <f>Ringkasan!W729</f>
        <v>90</v>
      </c>
      <c r="X730" s="64">
        <f>Ringkasan!X729</f>
        <v>98</v>
      </c>
      <c r="Y730" s="64">
        <f>Ringkasan!Y729</f>
        <v>90</v>
      </c>
      <c r="Z730" s="64">
        <f>Ringkasan!Z729</f>
        <v>26948300</v>
      </c>
      <c r="AA730" s="64" t="str">
        <f>Ringkasan!AA729</f>
        <v>Personal Care Products</v>
      </c>
      <c r="AB730" s="64" t="str">
        <f>Ringkasan!AB729</f>
        <v>Consumer Non-Cyclicals</v>
      </c>
    </row>
    <row r="731" hidden="1">
      <c r="A731" s="64" t="str">
        <f>Ringkasan!A730</f>
        <v>FMII</v>
      </c>
      <c r="B731" s="64" t="str">
        <f>Ringkasan!B730</f>
        <v>Fortune Mate Indonesia Tbk</v>
      </c>
      <c r="C731" s="65">
        <f>Ringkasan!C730</f>
        <v>252</v>
      </c>
      <c r="D731" s="64" t="str">
        <f>Ringkasan!D730</f>
        <v>#N/A</v>
      </c>
      <c r="E731" s="64" t="str">
        <f>Ringkasan!E730</f>
        <v/>
      </c>
      <c r="F731" s="64" t="str">
        <f>Ringkasan!F730</f>
        <v/>
      </c>
      <c r="G731" s="64">
        <f>Ringkasan!G730</f>
        <v>0</v>
      </c>
      <c r="H731" s="19">
        <f>Ringkasan!H730</f>
        <v>-200</v>
      </c>
      <c r="I731" s="19">
        <f>Ringkasan!I730</f>
        <v>2.1</v>
      </c>
      <c r="J731" s="19">
        <f>Ringkasan!J730</f>
        <v>-1.1</v>
      </c>
      <c r="K731" s="19">
        <f>Ringkasan!K730</f>
        <v>-0.96</v>
      </c>
      <c r="L731" s="19">
        <f>Ringkasan!L730</f>
        <v>0.09</v>
      </c>
      <c r="M731" s="19">
        <f>Ringkasan!M730</f>
        <v>0</v>
      </c>
      <c r="N731" s="64" t="str">
        <f>Ringkasan!N730</f>
        <v/>
      </c>
      <c r="O731" s="64" t="str">
        <f>Ringkasan!O730</f>
        <v/>
      </c>
      <c r="P731" s="64" t="str">
        <f>Ringkasan!P730</f>
        <v/>
      </c>
      <c r="Q731" s="64" t="str">
        <f>Ringkasan!Q730</f>
        <v/>
      </c>
      <c r="R731" s="64" t="str">
        <f>Ringkasan!R730</f>
        <v/>
      </c>
      <c r="S731" s="64" t="str">
        <f>Ringkasan!S730</f>
        <v/>
      </c>
      <c r="T731" s="64" t="str">
        <f>Ringkasan!T730</f>
        <v/>
      </c>
      <c r="U731" s="64">
        <f>Ringkasan!U730</f>
        <v>252</v>
      </c>
      <c r="V731" s="64">
        <f>Ringkasan!V730</f>
        <v>0</v>
      </c>
      <c r="W731" s="64">
        <f>Ringkasan!W730</f>
        <v>234</v>
      </c>
      <c r="X731" s="64">
        <f>Ringkasan!X730</f>
        <v>264</v>
      </c>
      <c r="Y731" s="64">
        <f>Ringkasan!Y730</f>
        <v>234</v>
      </c>
      <c r="Z731" s="64">
        <f>Ringkasan!Z730</f>
        <v>56100</v>
      </c>
      <c r="AA731" s="64" t="str">
        <f>Ringkasan!AA730</f>
        <v>Real Estate Management &amp; Development</v>
      </c>
      <c r="AB731" s="64" t="str">
        <f>Ringkasan!AB730</f>
        <v>Properties &amp; Real Estate</v>
      </c>
    </row>
    <row r="732" hidden="1">
      <c r="A732" s="64" t="str">
        <f>Ringkasan!A731</f>
        <v>FOLK</v>
      </c>
      <c r="B732" s="64" t="str">
        <f>Ringkasan!B731</f>
        <v>PT Multi Garam Utama Tbk.</v>
      </c>
      <c r="C732" s="65">
        <f>Ringkasan!C731</f>
        <v>206</v>
      </c>
      <c r="D732" s="64" t="str">
        <f>Ringkasan!D731</f>
        <v>#N/A</v>
      </c>
      <c r="E732" s="64" t="str">
        <f>Ringkasan!E731</f>
        <v/>
      </c>
      <c r="F732" s="64" t="str">
        <f>Ringkasan!F731</f>
        <v/>
      </c>
      <c r="G732" s="64">
        <f>Ringkasan!G731</f>
        <v>0</v>
      </c>
      <c r="H732" s="19">
        <f>Ringkasan!H731</f>
        <v>200</v>
      </c>
      <c r="I732" s="19">
        <f>Ringkasan!I731</f>
        <v>6.4</v>
      </c>
      <c r="J732" s="19">
        <f>Ringkasan!J731</f>
        <v>3.2</v>
      </c>
      <c r="K732" s="19">
        <f>Ringkasan!K731</f>
        <v>3</v>
      </c>
      <c r="L732" s="19">
        <f>Ringkasan!L731</f>
        <v>0.07</v>
      </c>
      <c r="M732" s="19">
        <f>Ringkasan!M731</f>
        <v>110</v>
      </c>
      <c r="N732" s="64" t="str">
        <f>Ringkasan!N731</f>
        <v/>
      </c>
      <c r="O732" s="64" t="str">
        <f>Ringkasan!O731</f>
        <v/>
      </c>
      <c r="P732" s="64" t="str">
        <f>Ringkasan!P731</f>
        <v/>
      </c>
      <c r="Q732" s="64" t="str">
        <f>Ringkasan!Q731</f>
        <v/>
      </c>
      <c r="R732" s="64" t="str">
        <f>Ringkasan!R731</f>
        <v/>
      </c>
      <c r="S732" s="64" t="str">
        <f>Ringkasan!S731</f>
        <v/>
      </c>
      <c r="T732" s="64" t="str">
        <f>Ringkasan!T731</f>
        <v/>
      </c>
      <c r="U732" s="64">
        <f>Ringkasan!U731</f>
        <v>218</v>
      </c>
      <c r="V732" s="64">
        <f>Ringkasan!V731</f>
        <v>-5.5</v>
      </c>
      <c r="W732" s="64">
        <f>Ringkasan!W731</f>
        <v>216</v>
      </c>
      <c r="X732" s="64">
        <f>Ringkasan!X731</f>
        <v>232</v>
      </c>
      <c r="Y732" s="64">
        <f>Ringkasan!Y731</f>
        <v>200</v>
      </c>
      <c r="Z732" s="64">
        <f>Ringkasan!Z731</f>
        <v>14382900</v>
      </c>
      <c r="AA732" s="64" t="str">
        <f>Ringkasan!AA731</f>
        <v>Multi-sector Holdings</v>
      </c>
      <c r="AB732" s="64" t="str">
        <f>Ringkasan!AB731</f>
        <v>Industrials</v>
      </c>
    </row>
    <row r="733" hidden="1">
      <c r="A733" s="64" t="str">
        <f>Ringkasan!A732</f>
        <v>FOOD</v>
      </c>
      <c r="B733" s="64" t="str">
        <f>Ringkasan!B732</f>
        <v>Sentra Food Indonesia Tbk.</v>
      </c>
      <c r="C733" s="65">
        <f>Ringkasan!C732</f>
        <v>161</v>
      </c>
      <c r="D733" s="64" t="str">
        <f>Ringkasan!D732</f>
        <v>#N/A</v>
      </c>
      <c r="E733" s="64" t="str">
        <f>Ringkasan!E732</f>
        <v/>
      </c>
      <c r="F733" s="64" t="str">
        <f>Ringkasan!F732</f>
        <v/>
      </c>
      <c r="G733" s="64">
        <f>Ringkasan!G732</f>
        <v>0</v>
      </c>
      <c r="H733" s="19">
        <f>Ringkasan!H732</f>
        <v>-7.6</v>
      </c>
      <c r="I733" s="19">
        <f>Ringkasan!I732</f>
        <v>-3.8</v>
      </c>
      <c r="J733" s="19">
        <f>Ringkasan!J732</f>
        <v>0</v>
      </c>
      <c r="K733" s="19">
        <f>Ringkasan!K732</f>
        <v>-34.5</v>
      </c>
      <c r="L733" s="19">
        <f>Ringkasan!L732</f>
        <v>-2.4</v>
      </c>
      <c r="M733" s="19">
        <f>Ringkasan!M732</f>
        <v>-64.3</v>
      </c>
      <c r="N733" s="64" t="str">
        <f>Ringkasan!N732</f>
        <v/>
      </c>
      <c r="O733" s="64" t="str">
        <f>Ringkasan!O732</f>
        <v/>
      </c>
      <c r="P733" s="64" t="str">
        <f>Ringkasan!P732</f>
        <v/>
      </c>
      <c r="Q733" s="64" t="str">
        <f>Ringkasan!Q732</f>
        <v/>
      </c>
      <c r="R733" s="64" t="str">
        <f>Ringkasan!R732</f>
        <v/>
      </c>
      <c r="S733" s="64" t="str">
        <f>Ringkasan!S732</f>
        <v/>
      </c>
      <c r="T733" s="64" t="str">
        <f>Ringkasan!T732</f>
        <v/>
      </c>
      <c r="U733" s="64">
        <f>Ringkasan!U732</f>
        <v>3.69</v>
      </c>
      <c r="V733" s="64">
        <f>Ringkasan!V732</f>
        <v>1.67</v>
      </c>
      <c r="W733" s="64">
        <f>Ringkasan!W732</f>
        <v>3.76</v>
      </c>
      <c r="X733" s="64">
        <f>Ringkasan!X732</f>
        <v>3.79</v>
      </c>
      <c r="Y733" s="64">
        <f>Ringkasan!Y732</f>
        <v>3.74</v>
      </c>
      <c r="Z733" s="64">
        <f>Ringkasan!Z732</f>
        <v>392</v>
      </c>
      <c r="AA733" s="64" t="str">
        <f>Ringkasan!AA732</f>
        <v>Processed Foods</v>
      </c>
      <c r="AB733" s="64" t="str">
        <f>Ringkasan!AB732</f>
        <v>Consumer Non-Cyclicals</v>
      </c>
    </row>
    <row r="734" hidden="1">
      <c r="A734" s="64" t="str">
        <f>Ringkasan!A733</f>
        <v>FORE</v>
      </c>
      <c r="B734" s="64" t="str">
        <f>Ringkasan!B733</f>
        <v>Fore Kopi Indonesia Tbk.</v>
      </c>
      <c r="C734" s="65">
        <f>Ringkasan!C733</f>
        <v>700</v>
      </c>
      <c r="D734" s="64" t="str">
        <f>Ringkasan!D733</f>
        <v>#N/A</v>
      </c>
      <c r="E734" s="64" t="str">
        <f>Ringkasan!E733</f>
        <v/>
      </c>
      <c r="F734" s="64" t="str">
        <f>Ringkasan!F733</f>
        <v/>
      </c>
      <c r="G734" s="64">
        <f>Ringkasan!G733</f>
        <v>0</v>
      </c>
      <c r="H734" s="19">
        <f>Ringkasan!H733</f>
        <v>67.1</v>
      </c>
      <c r="I734" s="19">
        <f>Ringkasan!I733</f>
        <v>9.1</v>
      </c>
      <c r="J734" s="19">
        <f>Ringkasan!J733</f>
        <v>13.6</v>
      </c>
      <c r="K734" s="19">
        <f>Ringkasan!K733</f>
        <v>8.1</v>
      </c>
      <c r="L734" s="19">
        <f>Ringkasan!L733</f>
        <v>0.69</v>
      </c>
      <c r="M734" s="19">
        <f>Ringkasan!M733</f>
        <v>21.1</v>
      </c>
      <c r="N734" s="64" t="str">
        <f>Ringkasan!N733</f>
        <v/>
      </c>
      <c r="O734" s="64" t="str">
        <f>Ringkasan!O733</f>
        <v/>
      </c>
      <c r="P734" s="64" t="str">
        <f>Ringkasan!P733</f>
        <v/>
      </c>
      <c r="Q734" s="64" t="str">
        <f>Ringkasan!Q733</f>
        <v/>
      </c>
      <c r="R734" s="64" t="str">
        <f>Ringkasan!R733</f>
        <v/>
      </c>
      <c r="S734" s="64" t="str">
        <f>Ringkasan!S733</f>
        <v/>
      </c>
      <c r="T734" s="64" t="str">
        <f>Ringkasan!T733</f>
        <v/>
      </c>
      <c r="U734" s="64">
        <f>Ringkasan!U733</f>
        <v>765</v>
      </c>
      <c r="V734" s="64">
        <f>Ringkasan!V733</f>
        <v>0</v>
      </c>
      <c r="W734" s="64" t="str">
        <f>Ringkasan!W733</f>
        <v/>
      </c>
      <c r="X734" s="64" t="str">
        <f>Ringkasan!X733</f>
        <v/>
      </c>
      <c r="Y734" s="64" t="str">
        <f>Ringkasan!Y733</f>
        <v/>
      </c>
      <c r="Z734" s="64">
        <f>Ringkasan!Z733</f>
        <v>0</v>
      </c>
      <c r="AA734" s="64" t="str">
        <f>Ringkasan!AA733</f>
        <v>Beverages</v>
      </c>
      <c r="AB734" s="64" t="str">
        <f>Ringkasan!AB733</f>
        <v>Consumer Non-Cyclicals</v>
      </c>
    </row>
    <row r="735" hidden="1">
      <c r="A735" s="64" t="str">
        <f>Ringkasan!A734</f>
        <v>FORU</v>
      </c>
      <c r="B735" s="64" t="str">
        <f>Ringkasan!B734</f>
        <v>Fortune Indonesia Tbk</v>
      </c>
      <c r="C735" s="65">
        <f>Ringkasan!C734</f>
        <v>3770</v>
      </c>
      <c r="D735" s="64" t="str">
        <f>Ringkasan!D734</f>
        <v>#N/A</v>
      </c>
      <c r="E735" s="64" t="str">
        <f>Ringkasan!E734</f>
        <v/>
      </c>
      <c r="F735" s="64" t="str">
        <f>Ringkasan!F734</f>
        <v/>
      </c>
      <c r="G735" s="64">
        <f>Ringkasan!G734</f>
        <v>0</v>
      </c>
      <c r="H735" s="19">
        <f>Ringkasan!H734</f>
        <v>-94.1</v>
      </c>
      <c r="I735" s="19">
        <f>Ringkasan!I734</f>
        <v>36.3</v>
      </c>
      <c r="J735" s="19">
        <f>Ringkasan!J734</f>
        <v>-38.6</v>
      </c>
      <c r="K735" s="19">
        <f>Ringkasan!K734</f>
        <v>-22.1</v>
      </c>
      <c r="L735" s="19">
        <f>Ringkasan!L734</f>
        <v>0.74</v>
      </c>
      <c r="M735" s="19">
        <f>Ringkasan!M734</f>
        <v>-140</v>
      </c>
      <c r="N735" s="64" t="str">
        <f>Ringkasan!N734</f>
        <v/>
      </c>
      <c r="O735" s="64" t="str">
        <f>Ringkasan!O734</f>
        <v/>
      </c>
      <c r="P735" s="64" t="str">
        <f>Ringkasan!P734</f>
        <v/>
      </c>
      <c r="Q735" s="64" t="str">
        <f>Ringkasan!Q734</f>
        <v/>
      </c>
      <c r="R735" s="64" t="str">
        <f>Ringkasan!R734</f>
        <v/>
      </c>
      <c r="S735" s="64" t="str">
        <f>Ringkasan!S734</f>
        <v/>
      </c>
      <c r="T735" s="64" t="str">
        <f>Ringkasan!T734</f>
        <v/>
      </c>
      <c r="U735" s="64">
        <f>Ringkasan!U734</f>
        <v>0</v>
      </c>
      <c r="V735" s="64">
        <f>Ringkasan!V734</f>
        <v>0</v>
      </c>
      <c r="W735" s="64" t="str">
        <f>Ringkasan!W734</f>
        <v/>
      </c>
      <c r="X735" s="64" t="str">
        <f>Ringkasan!X734</f>
        <v/>
      </c>
      <c r="Y735" s="64" t="str">
        <f>Ringkasan!Y734</f>
        <v/>
      </c>
      <c r="Z735" s="64">
        <f>Ringkasan!Z734</f>
        <v>0</v>
      </c>
      <c r="AA735" s="64" t="str">
        <f>Ringkasan!AA734</f>
        <v>Media</v>
      </c>
      <c r="AB735" s="64" t="str">
        <f>Ringkasan!AB734</f>
        <v>Consumer Cyclicals</v>
      </c>
    </row>
    <row r="736" hidden="1">
      <c r="A736" s="64" t="str">
        <f>Ringkasan!A735</f>
        <v>FPNI</v>
      </c>
      <c r="B736" s="64" t="str">
        <f>Ringkasan!B735</f>
        <v>Lotte Chemical Titan Tbk.</v>
      </c>
      <c r="C736" s="65" t="str">
        <f>Ringkasan!C735</f>
        <v>#N/A</v>
      </c>
      <c r="D736" s="64" t="str">
        <f>Ringkasan!D735</f>
        <v>#N/A</v>
      </c>
      <c r="E736" s="64" t="str">
        <f>Ringkasan!E735</f>
        <v/>
      </c>
      <c r="F736" s="64" t="str">
        <f>Ringkasan!F735</f>
        <v/>
      </c>
      <c r="G736" s="64">
        <f>Ringkasan!G735</f>
        <v>0</v>
      </c>
      <c r="H736" s="19">
        <f>Ringkasan!H735</f>
        <v>16.4</v>
      </c>
      <c r="I736" s="19">
        <f>Ringkasan!I735</f>
        <v>1.2</v>
      </c>
      <c r="J736" s="19">
        <f>Ringkasan!J735</f>
        <v>7</v>
      </c>
      <c r="K736" s="19">
        <f>Ringkasan!K735</f>
        <v>4.5</v>
      </c>
      <c r="L736" s="19">
        <f>Ringkasan!L735</f>
        <v>0.56</v>
      </c>
      <c r="M736" s="19">
        <f>Ringkasan!M735</f>
        <v>9.1</v>
      </c>
      <c r="N736" s="64" t="str">
        <f>Ringkasan!N735</f>
        <v/>
      </c>
      <c r="O736" s="64" t="str">
        <f>Ringkasan!O735</f>
        <v/>
      </c>
      <c r="P736" s="64" t="str">
        <f>Ringkasan!P735</f>
        <v/>
      </c>
      <c r="Q736" s="64" t="str">
        <f>Ringkasan!Q735</f>
        <v/>
      </c>
      <c r="R736" s="64" t="str">
        <f>Ringkasan!R735</f>
        <v/>
      </c>
      <c r="S736" s="64" t="str">
        <f>Ringkasan!S735</f>
        <v/>
      </c>
      <c r="T736" s="64" t="str">
        <f>Ringkasan!T735</f>
        <v/>
      </c>
      <c r="U736" s="64">
        <f>Ringkasan!U735</f>
        <v>300</v>
      </c>
      <c r="V736" s="64">
        <f>Ringkasan!V735</f>
        <v>3.33</v>
      </c>
      <c r="W736" s="64">
        <f>Ringkasan!W735</f>
        <v>300</v>
      </c>
      <c r="X736" s="64">
        <f>Ringkasan!X735</f>
        <v>314</v>
      </c>
      <c r="Y736" s="64">
        <f>Ringkasan!Y735</f>
        <v>300</v>
      </c>
      <c r="Z736" s="64">
        <f>Ringkasan!Z735</f>
        <v>2552100</v>
      </c>
      <c r="AA736" s="64" t="str">
        <f>Ringkasan!AA735</f>
        <v>Chemicals</v>
      </c>
      <c r="AB736" s="64" t="str">
        <f>Ringkasan!AB735</f>
        <v>Basic Materials</v>
      </c>
    </row>
    <row r="737" hidden="1">
      <c r="A737" s="64" t="str">
        <f>Ringkasan!A736</f>
        <v>FREN</v>
      </c>
      <c r="B737" s="64" t="str">
        <f>Ringkasan!B736</f>
        <v>Smartfren Telecom Tbk</v>
      </c>
      <c r="C737" s="65" t="str">
        <f>Ringkasan!C736</f>
        <v>#N/A</v>
      </c>
      <c r="D737" s="64" t="str">
        <f>Ringkasan!D736</f>
        <v>#N/A</v>
      </c>
      <c r="E737" s="64" t="str">
        <f>Ringkasan!E736</f>
        <v/>
      </c>
      <c r="F737" s="64" t="str">
        <f>Ringkasan!F736</f>
        <v/>
      </c>
      <c r="G737" s="64">
        <f>Ringkasan!G736</f>
        <v>0</v>
      </c>
      <c r="H737" s="19" t="str">
        <f>Ringkasan!H736</f>
        <v/>
      </c>
      <c r="I737" s="19" t="str">
        <f>Ringkasan!I736</f>
        <v/>
      </c>
      <c r="J737" s="19" t="str">
        <f>Ringkasan!J736</f>
        <v/>
      </c>
      <c r="K737" s="19" t="str">
        <f>Ringkasan!K736</f>
        <v/>
      </c>
      <c r="L737" s="19" t="str">
        <f>Ringkasan!L736</f>
        <v/>
      </c>
      <c r="M737" s="19" t="str">
        <f>Ringkasan!M736</f>
        <v/>
      </c>
      <c r="N737" s="64" t="str">
        <f>Ringkasan!N736</f>
        <v/>
      </c>
      <c r="O737" s="64" t="str">
        <f>Ringkasan!O736</f>
        <v/>
      </c>
      <c r="P737" s="64" t="str">
        <f>Ringkasan!P736</f>
        <v/>
      </c>
      <c r="Q737" s="64" t="str">
        <f>Ringkasan!Q736</f>
        <v/>
      </c>
      <c r="R737" s="64" t="str">
        <f>Ringkasan!R736</f>
        <v/>
      </c>
      <c r="S737" s="64" t="str">
        <f>Ringkasan!S736</f>
        <v/>
      </c>
      <c r="T737" s="64" t="str">
        <f>Ringkasan!T736</f>
        <v/>
      </c>
      <c r="U737" s="64">
        <f>Ringkasan!U736</f>
        <v>791.93</v>
      </c>
      <c r="V737" s="64">
        <f>Ringkasan!V736</f>
        <v>0</v>
      </c>
      <c r="W737" s="64" t="str">
        <f>Ringkasan!W736</f>
        <v/>
      </c>
      <c r="X737" s="64" t="str">
        <f>Ringkasan!X736</f>
        <v/>
      </c>
      <c r="Y737" s="64" t="str">
        <f>Ringkasan!Y736</f>
        <v/>
      </c>
      <c r="Z737" s="64">
        <f>Ringkasan!Z736</f>
        <v>0</v>
      </c>
      <c r="AA737" s="64" t="str">
        <f>Ringkasan!AA736</f>
        <v>Wireless Telecommunication Services</v>
      </c>
      <c r="AB737" s="64" t="str">
        <f>Ringkasan!AB736</f>
        <v>Infrastructures</v>
      </c>
    </row>
    <row r="738" hidden="1">
      <c r="A738" s="64" t="str">
        <f>Ringkasan!A737</f>
        <v>FUJI</v>
      </c>
      <c r="B738" s="64" t="str">
        <f>Ringkasan!B737</f>
        <v>Fuji Finance Indonesia Tbk.</v>
      </c>
      <c r="C738" s="65">
        <f>Ringkasan!C737</f>
        <v>278</v>
      </c>
      <c r="D738" s="64" t="str">
        <f>Ringkasan!D737</f>
        <v>#N/A</v>
      </c>
      <c r="E738" s="64" t="str">
        <f>Ringkasan!E737</f>
        <v/>
      </c>
      <c r="F738" s="64" t="str">
        <f>Ringkasan!F737</f>
        <v/>
      </c>
      <c r="G738" s="64">
        <f>Ringkasan!G737</f>
        <v>0</v>
      </c>
      <c r="H738" s="19">
        <f>Ringkasan!H737</f>
        <v>61.2</v>
      </c>
      <c r="I738" s="19">
        <f>Ringkasan!I737</f>
        <v>2</v>
      </c>
      <c r="J738" s="19">
        <f>Ringkasan!J737</f>
        <v>3.2</v>
      </c>
      <c r="K738" s="19">
        <f>Ringkasan!K737</f>
        <v>3.1</v>
      </c>
      <c r="L738" s="19">
        <f>Ringkasan!L737</f>
        <v>0.03</v>
      </c>
      <c r="M738" s="19">
        <f>Ringkasan!M737</f>
        <v>690</v>
      </c>
      <c r="N738" s="64" t="str">
        <f>Ringkasan!N737</f>
        <v/>
      </c>
      <c r="O738" s="64" t="str">
        <f>Ringkasan!O737</f>
        <v/>
      </c>
      <c r="P738" s="64" t="str">
        <f>Ringkasan!P737</f>
        <v/>
      </c>
      <c r="Q738" s="64" t="str">
        <f>Ringkasan!Q737</f>
        <v/>
      </c>
      <c r="R738" s="64" t="str">
        <f>Ringkasan!R737</f>
        <v/>
      </c>
      <c r="S738" s="64" t="str">
        <f>Ringkasan!S737</f>
        <v/>
      </c>
      <c r="T738" s="64" t="str">
        <f>Ringkasan!T737</f>
        <v/>
      </c>
      <c r="U738" s="64">
        <f>Ringkasan!U737</f>
        <v>11.61</v>
      </c>
      <c r="V738" s="64">
        <f>Ringkasan!V737</f>
        <v>2.05</v>
      </c>
      <c r="W738" s="64">
        <f>Ringkasan!W737</f>
        <v>11.7</v>
      </c>
      <c r="X738" s="64">
        <f>Ringkasan!X737</f>
        <v>11.85</v>
      </c>
      <c r="Y738" s="64">
        <f>Ringkasan!Y737</f>
        <v>11.7</v>
      </c>
      <c r="Z738" s="64">
        <f>Ringkasan!Z737</f>
        <v>919</v>
      </c>
      <c r="AA738" s="64" t="str">
        <f>Ringkasan!AA737</f>
        <v>Consumer Financing</v>
      </c>
      <c r="AB738" s="64" t="str">
        <f>Ringkasan!AB737</f>
        <v>Financials</v>
      </c>
    </row>
    <row r="739" hidden="1">
      <c r="A739" s="64" t="str">
        <f>Ringkasan!A738</f>
        <v>FUTR</v>
      </c>
      <c r="B739" s="64" t="str">
        <f>Ringkasan!B738</f>
        <v>Futura Energi Global Tbk.</v>
      </c>
      <c r="C739" s="65">
        <f>Ringkasan!C738</f>
        <v>156</v>
      </c>
      <c r="D739" s="64" t="str">
        <f>Ringkasan!D738</f>
        <v>#N/A</v>
      </c>
      <c r="E739" s="64" t="str">
        <f>Ringkasan!E738</f>
        <v/>
      </c>
      <c r="F739" s="64" t="str">
        <f>Ringkasan!F738</f>
        <v/>
      </c>
      <c r="G739" s="64">
        <f>Ringkasan!G738</f>
        <v>0</v>
      </c>
      <c r="H739" s="19">
        <f>Ringkasan!H738</f>
        <v>150</v>
      </c>
      <c r="I739" s="19">
        <f>Ringkasan!I738</f>
        <v>5.4</v>
      </c>
      <c r="J739" s="19">
        <f>Ringkasan!J738</f>
        <v>3.5</v>
      </c>
      <c r="K739" s="19">
        <f>Ringkasan!K738</f>
        <v>3.2</v>
      </c>
      <c r="L739" s="19">
        <f>Ringkasan!L738</f>
        <v>0.09</v>
      </c>
      <c r="M739" s="19">
        <f>Ringkasan!M738</f>
        <v>22.9</v>
      </c>
      <c r="N739" s="64" t="str">
        <f>Ringkasan!N738</f>
        <v/>
      </c>
      <c r="O739" s="64" t="str">
        <f>Ringkasan!O738</f>
        <v/>
      </c>
      <c r="P739" s="64" t="str">
        <f>Ringkasan!P738</f>
        <v/>
      </c>
      <c r="Q739" s="64" t="str">
        <f>Ringkasan!Q738</f>
        <v/>
      </c>
      <c r="R739" s="64" t="str">
        <f>Ringkasan!R738</f>
        <v/>
      </c>
      <c r="S739" s="64" t="str">
        <f>Ringkasan!S738</f>
        <v/>
      </c>
      <c r="T739" s="64" t="str">
        <f>Ringkasan!T738</f>
        <v/>
      </c>
      <c r="U739" s="64">
        <f>Ringkasan!U738</f>
        <v>0.24</v>
      </c>
      <c r="V739" s="64">
        <f>Ringkasan!V738</f>
        <v>0</v>
      </c>
      <c r="W739" s="64">
        <f>Ringkasan!W738</f>
        <v>0.24</v>
      </c>
      <c r="X739" s="64">
        <f>Ringkasan!X738</f>
        <v>0.24</v>
      </c>
      <c r="Y739" s="64">
        <f>Ringkasan!Y738</f>
        <v>0.24</v>
      </c>
      <c r="Z739" s="64">
        <f>Ringkasan!Z738</f>
        <v>1525</v>
      </c>
      <c r="AA739" s="64" t="str">
        <f>Ringkasan!AA738</f>
        <v>Media</v>
      </c>
      <c r="AB739" s="64" t="str">
        <f>Ringkasan!AB738</f>
        <v>Consumer Cyclicals</v>
      </c>
    </row>
    <row r="740" hidden="1">
      <c r="A740" s="64" t="str">
        <f>Ringkasan!A739</f>
        <v>FWCT</v>
      </c>
      <c r="B740" s="64" t="str">
        <f>Ringkasan!B739</f>
        <v>PT Wijaya Cahaya Timber Tbk</v>
      </c>
      <c r="C740" s="65">
        <f>Ringkasan!C739</f>
        <v>73</v>
      </c>
      <c r="D740" s="64" t="str">
        <f>Ringkasan!D739</f>
        <v>#N/A</v>
      </c>
      <c r="E740" s="64" t="str">
        <f>Ringkasan!E739</f>
        <v/>
      </c>
      <c r="F740" s="64" t="str">
        <f>Ringkasan!F739</f>
        <v/>
      </c>
      <c r="G740" s="64">
        <f>Ringkasan!G739</f>
        <v>0</v>
      </c>
      <c r="H740" s="19">
        <f>Ringkasan!H739</f>
        <v>-7.6</v>
      </c>
      <c r="I740" s="19">
        <f>Ringkasan!I739</f>
        <v>0.49</v>
      </c>
      <c r="J740" s="19">
        <f>Ringkasan!J739</f>
        <v>-6.4</v>
      </c>
      <c r="K740" s="19">
        <f>Ringkasan!K739</f>
        <v>-2.5</v>
      </c>
      <c r="L740" s="19">
        <f>Ringkasan!L739</f>
        <v>1.6</v>
      </c>
      <c r="M740" s="19">
        <f>Ringkasan!M739</f>
        <v>-17.2</v>
      </c>
      <c r="N740" s="64" t="str">
        <f>Ringkasan!N739</f>
        <v/>
      </c>
      <c r="O740" s="64" t="str">
        <f>Ringkasan!O739</f>
        <v/>
      </c>
      <c r="P740" s="64" t="str">
        <f>Ringkasan!P739</f>
        <v/>
      </c>
      <c r="Q740" s="64" t="str">
        <f>Ringkasan!Q739</f>
        <v/>
      </c>
      <c r="R740" s="64" t="str">
        <f>Ringkasan!R739</f>
        <v/>
      </c>
      <c r="S740" s="64" t="str">
        <f>Ringkasan!S739</f>
        <v/>
      </c>
      <c r="T740" s="64" t="str">
        <f>Ringkasan!T739</f>
        <v/>
      </c>
      <c r="U740" s="64">
        <f>Ringkasan!U739</f>
        <v>70</v>
      </c>
      <c r="V740" s="64">
        <f>Ringkasan!V739</f>
        <v>4.29</v>
      </c>
      <c r="W740" s="64" t="str">
        <f>Ringkasan!W739</f>
        <v/>
      </c>
      <c r="X740" s="64">
        <f>Ringkasan!X739</f>
        <v>74</v>
      </c>
      <c r="Y740" s="64">
        <f>Ringkasan!Y739</f>
        <v>70</v>
      </c>
      <c r="Z740" s="64">
        <f>Ringkasan!Z739</f>
        <v>1606200</v>
      </c>
      <c r="AA740" s="64" t="str">
        <f>Ringkasan!AA739</f>
        <v>Oil &amp; Gas</v>
      </c>
      <c r="AB740" s="64" t="str">
        <f>Ringkasan!AB739</f>
        <v>Energy</v>
      </c>
    </row>
    <row r="741" hidden="1">
      <c r="A741" s="64" t="str">
        <f>Ringkasan!A740</f>
        <v>GAMA</v>
      </c>
      <c r="B741" s="64" t="str">
        <f>Ringkasan!B740</f>
        <v>Aksara Global Development Tbk.</v>
      </c>
      <c r="C741" s="65">
        <f>Ringkasan!C740</f>
        <v>18</v>
      </c>
      <c r="D741" s="64" t="str">
        <f>Ringkasan!D740</f>
        <v>#N/A</v>
      </c>
      <c r="E741" s="64" t="str">
        <f>Ringkasan!E740</f>
        <v/>
      </c>
      <c r="F741" s="64" t="str">
        <f>Ringkasan!F740</f>
        <v/>
      </c>
      <c r="G741" s="64">
        <f>Ringkasan!G740</f>
        <v>0</v>
      </c>
      <c r="H741" s="19">
        <f>Ringkasan!H740</f>
        <v>0</v>
      </c>
      <c r="I741" s="19">
        <f>Ringkasan!I740</f>
        <v>0.17</v>
      </c>
      <c r="J741" s="19">
        <f>Ringkasan!J740</f>
        <v>-3.3</v>
      </c>
      <c r="K741" s="19">
        <f>Ringkasan!K740</f>
        <v>-2.5</v>
      </c>
      <c r="L741" s="19">
        <f>Ringkasan!L740</f>
        <v>0.31</v>
      </c>
      <c r="M741" s="19">
        <f>Ringkasan!M740</f>
        <v>-300</v>
      </c>
      <c r="N741" s="64" t="str">
        <f>Ringkasan!N740</f>
        <v/>
      </c>
      <c r="O741" s="64" t="str">
        <f>Ringkasan!O740</f>
        <v/>
      </c>
      <c r="P741" s="64" t="str">
        <f>Ringkasan!P740</f>
        <v/>
      </c>
      <c r="Q741" s="64" t="str">
        <f>Ringkasan!Q740</f>
        <v/>
      </c>
      <c r="R741" s="64" t="str">
        <f>Ringkasan!R740</f>
        <v/>
      </c>
      <c r="S741" s="64" t="str">
        <f>Ringkasan!S740</f>
        <v/>
      </c>
      <c r="T741" s="64" t="str">
        <f>Ringkasan!T740</f>
        <v/>
      </c>
      <c r="U741" s="64">
        <f>Ringkasan!U740</f>
        <v>0.11</v>
      </c>
      <c r="V741" s="64">
        <f>Ringkasan!V740</f>
        <v>0</v>
      </c>
      <c r="W741" s="64" t="str">
        <f>Ringkasan!W740</f>
        <v/>
      </c>
      <c r="X741" s="64" t="str">
        <f>Ringkasan!X740</f>
        <v/>
      </c>
      <c r="Y741" s="64" t="str">
        <f>Ringkasan!Y740</f>
        <v/>
      </c>
      <c r="Z741" s="64">
        <f>Ringkasan!Z740</f>
        <v>0</v>
      </c>
      <c r="AA741" s="64" t="str">
        <f>Ringkasan!AA740</f>
        <v>Real Estate Management &amp; Development</v>
      </c>
      <c r="AB741" s="64" t="str">
        <f>Ringkasan!AB740</f>
        <v>Properties &amp; Real Estate</v>
      </c>
    </row>
    <row r="742" hidden="1">
      <c r="A742" s="64" t="str">
        <f>Ringkasan!A741</f>
        <v>GDST</v>
      </c>
      <c r="B742" s="64" t="str">
        <f>Ringkasan!B741</f>
        <v>Gunawan Dianjaya Steel Tbk.</v>
      </c>
      <c r="C742" s="65">
        <f>Ringkasan!C741</f>
        <v>79</v>
      </c>
      <c r="D742" s="64" t="str">
        <f>Ringkasan!D741</f>
        <v>#N/A</v>
      </c>
      <c r="E742" s="64" t="str">
        <f>Ringkasan!E741</f>
        <v/>
      </c>
      <c r="F742" s="64" t="str">
        <f>Ringkasan!F741</f>
        <v/>
      </c>
      <c r="G742" s="64">
        <f>Ringkasan!G741</f>
        <v>0</v>
      </c>
      <c r="H742" s="19">
        <f>Ringkasan!H741</f>
        <v>17.5</v>
      </c>
      <c r="I742" s="19">
        <f>Ringkasan!I741</f>
        <v>0.58</v>
      </c>
      <c r="J742" s="19">
        <f>Ringkasan!J741</f>
        <v>3.3</v>
      </c>
      <c r="K742" s="19">
        <f>Ringkasan!K741</f>
        <v>1.4</v>
      </c>
      <c r="L742" s="19">
        <f>Ringkasan!L741</f>
        <v>1.4</v>
      </c>
      <c r="M742" s="19">
        <f>Ringkasan!M741</f>
        <v>10.1</v>
      </c>
      <c r="N742" s="64" t="str">
        <f>Ringkasan!N741</f>
        <v/>
      </c>
      <c r="O742" s="64" t="str">
        <f>Ringkasan!O741</f>
        <v/>
      </c>
      <c r="P742" s="64" t="str">
        <f>Ringkasan!P741</f>
        <v/>
      </c>
      <c r="Q742" s="64" t="str">
        <f>Ringkasan!Q741</f>
        <v/>
      </c>
      <c r="R742" s="64" t="str">
        <f>Ringkasan!R741</f>
        <v/>
      </c>
      <c r="S742" s="64" t="str">
        <f>Ringkasan!S741</f>
        <v/>
      </c>
      <c r="T742" s="64" t="str">
        <f>Ringkasan!T741</f>
        <v/>
      </c>
      <c r="U742" s="64">
        <f>Ringkasan!U741</f>
        <v>12.5</v>
      </c>
      <c r="V742" s="64">
        <f>Ringkasan!V741</f>
        <v>0</v>
      </c>
      <c r="W742" s="64" t="str">
        <f>Ringkasan!W741</f>
        <v/>
      </c>
      <c r="X742" s="64" t="str">
        <f>Ringkasan!X741</f>
        <v/>
      </c>
      <c r="Y742" s="64" t="str">
        <f>Ringkasan!Y741</f>
        <v/>
      </c>
      <c r="Z742" s="64">
        <f>Ringkasan!Z741</f>
        <v>0</v>
      </c>
      <c r="AA742" s="64" t="str">
        <f>Ringkasan!AA741</f>
        <v>Metals &amp; Minerals</v>
      </c>
      <c r="AB742" s="64" t="str">
        <f>Ringkasan!AB741</f>
        <v>Basic Materials</v>
      </c>
    </row>
    <row r="743" hidden="1">
      <c r="A743" s="64" t="str">
        <f>Ringkasan!A742</f>
        <v>GDYR</v>
      </c>
      <c r="B743" s="64" t="str">
        <f>Ringkasan!B742</f>
        <v>Goodyear Indonesia Tbk.</v>
      </c>
      <c r="C743" s="65">
        <f>Ringkasan!C742</f>
        <v>1090</v>
      </c>
      <c r="D743" s="64" t="str">
        <f>Ringkasan!D742</f>
        <v>#N/A</v>
      </c>
      <c r="E743" s="64" t="str">
        <f>Ringkasan!E742</f>
        <v/>
      </c>
      <c r="F743" s="64" t="str">
        <f>Ringkasan!F742</f>
        <v/>
      </c>
      <c r="G743" s="64">
        <f>Ringkasan!G742</f>
        <v>0</v>
      </c>
      <c r="H743" s="19">
        <f>Ringkasan!H742</f>
        <v>12.2</v>
      </c>
      <c r="I743" s="19">
        <f>Ringkasan!I742</f>
        <v>0.43</v>
      </c>
      <c r="J743" s="19">
        <f>Ringkasan!J742</f>
        <v>3.5</v>
      </c>
      <c r="K743" s="19">
        <f>Ringkasan!K742</f>
        <v>2.1</v>
      </c>
      <c r="L743" s="19">
        <f>Ringkasan!L742</f>
        <v>0.71</v>
      </c>
      <c r="M743" s="19">
        <f>Ringkasan!M742</f>
        <v>6.1</v>
      </c>
      <c r="N743" s="64" t="str">
        <f>Ringkasan!N742</f>
        <v/>
      </c>
      <c r="O743" s="64" t="str">
        <f>Ringkasan!O742</f>
        <v/>
      </c>
      <c r="P743" s="64" t="str">
        <f>Ringkasan!P742</f>
        <v/>
      </c>
      <c r="Q743" s="64" t="str">
        <f>Ringkasan!Q742</f>
        <v/>
      </c>
      <c r="R743" s="64" t="str">
        <f>Ringkasan!R742</f>
        <v/>
      </c>
      <c r="S743" s="64" t="str">
        <f>Ringkasan!S742</f>
        <v/>
      </c>
      <c r="T743" s="64" t="str">
        <f>Ringkasan!T742</f>
        <v/>
      </c>
      <c r="U743" s="64">
        <f>Ringkasan!U742</f>
        <v>1090</v>
      </c>
      <c r="V743" s="64">
        <f>Ringkasan!V742</f>
        <v>0</v>
      </c>
      <c r="W743" s="64">
        <f>Ringkasan!W742</f>
        <v>1090</v>
      </c>
      <c r="X743" s="64">
        <f>Ringkasan!X742</f>
        <v>1100</v>
      </c>
      <c r="Y743" s="64">
        <f>Ringkasan!Y742</f>
        <v>1090</v>
      </c>
      <c r="Z743" s="64">
        <f>Ringkasan!Z742</f>
        <v>2300</v>
      </c>
      <c r="AA743" s="64" t="str">
        <f>Ringkasan!AA742</f>
        <v>Auto Components</v>
      </c>
      <c r="AB743" s="64" t="str">
        <f>Ringkasan!AB742</f>
        <v>Consumer Cyclicals</v>
      </c>
    </row>
    <row r="744" hidden="1">
      <c r="A744" s="64" t="str">
        <f>Ringkasan!A743</f>
        <v>GEMA</v>
      </c>
      <c r="B744" s="64" t="str">
        <f>Ringkasan!B743</f>
        <v>Gema Grahasarana Tbk.</v>
      </c>
      <c r="C744" s="65">
        <f>Ringkasan!C743</f>
        <v>78</v>
      </c>
      <c r="D744" s="64" t="str">
        <f>Ringkasan!D743</f>
        <v>#N/A</v>
      </c>
      <c r="E744" s="64" t="str">
        <f>Ringkasan!E743</f>
        <v/>
      </c>
      <c r="F744" s="64" t="str">
        <f>Ringkasan!F743</f>
        <v/>
      </c>
      <c r="G744" s="64">
        <f>Ringkasan!G743</f>
        <v>0</v>
      </c>
      <c r="H744" s="19">
        <f>Ringkasan!H743</f>
        <v>11.9</v>
      </c>
      <c r="I744" s="19">
        <f>Ringkasan!I743</f>
        <v>0.32</v>
      </c>
      <c r="J744" s="19">
        <f>Ringkasan!J743</f>
        <v>2.7</v>
      </c>
      <c r="K744" s="19">
        <f>Ringkasan!K743</f>
        <v>0.93</v>
      </c>
      <c r="L744" s="19">
        <f>Ringkasan!L743</f>
        <v>1.8</v>
      </c>
      <c r="M744" s="19">
        <f>Ringkasan!M743</f>
        <v>3.4</v>
      </c>
      <c r="N744" s="64" t="str">
        <f>Ringkasan!N743</f>
        <v/>
      </c>
      <c r="O744" s="64" t="str">
        <f>Ringkasan!O743</f>
        <v/>
      </c>
      <c r="P744" s="64" t="str">
        <f>Ringkasan!P743</f>
        <v/>
      </c>
      <c r="Q744" s="64" t="str">
        <f>Ringkasan!Q743</f>
        <v/>
      </c>
      <c r="R744" s="64" t="str">
        <f>Ringkasan!R743</f>
        <v/>
      </c>
      <c r="S744" s="64" t="str">
        <f>Ringkasan!S743</f>
        <v/>
      </c>
      <c r="T744" s="64" t="str">
        <f>Ringkasan!T743</f>
        <v/>
      </c>
      <c r="U744" s="64">
        <f>Ringkasan!U743</f>
        <v>76</v>
      </c>
      <c r="V744" s="64">
        <f>Ringkasan!V743</f>
        <v>2.63</v>
      </c>
      <c r="W744" s="64">
        <f>Ringkasan!W743</f>
        <v>76</v>
      </c>
      <c r="X744" s="64">
        <f>Ringkasan!X743</f>
        <v>80</v>
      </c>
      <c r="Y744" s="64">
        <f>Ringkasan!Y743</f>
        <v>76</v>
      </c>
      <c r="Z744" s="64">
        <f>Ringkasan!Z743</f>
        <v>1872700</v>
      </c>
      <c r="AA744" s="64" t="str">
        <f>Ringkasan!AA743</f>
        <v>Household Goods</v>
      </c>
      <c r="AB744" s="64" t="str">
        <f>Ringkasan!AB743</f>
        <v>Consumer Cyclicals</v>
      </c>
    </row>
    <row r="745" hidden="1">
      <c r="A745" s="64" t="str">
        <f>Ringkasan!A744</f>
        <v>GEMS</v>
      </c>
      <c r="B745" s="64" t="str">
        <f>Ringkasan!B744</f>
        <v>Golden Energy Mines Tbk.</v>
      </c>
      <c r="C745" s="65">
        <f>Ringkasan!C744</f>
        <v>6750</v>
      </c>
      <c r="D745" s="64" t="str">
        <f>Ringkasan!D744</f>
        <v>#N/A</v>
      </c>
      <c r="E745" s="64" t="str">
        <f>Ringkasan!E744</f>
        <v/>
      </c>
      <c r="F745" s="64" t="str">
        <f>Ringkasan!F744</f>
        <v/>
      </c>
      <c r="G745" s="64">
        <f>Ringkasan!G744</f>
        <v>0</v>
      </c>
      <c r="H745" s="19">
        <f>Ringkasan!H744</f>
        <v>10.2</v>
      </c>
      <c r="I745" s="19">
        <f>Ringkasan!I744</f>
        <v>3.7</v>
      </c>
      <c r="J745" s="19">
        <f>Ringkasan!J744</f>
        <v>36.4</v>
      </c>
      <c r="K745" s="19">
        <f>Ringkasan!K744</f>
        <v>21.6</v>
      </c>
      <c r="L745" s="19">
        <f>Ringkasan!L744</f>
        <v>0.69</v>
      </c>
      <c r="M745" s="19">
        <f>Ringkasan!M744</f>
        <v>10.7</v>
      </c>
      <c r="N745" s="64" t="str">
        <f>Ringkasan!N744</f>
        <v/>
      </c>
      <c r="O745" s="64" t="str">
        <f>Ringkasan!O744</f>
        <v/>
      </c>
      <c r="P745" s="64" t="str">
        <f>Ringkasan!P744</f>
        <v/>
      </c>
      <c r="Q745" s="64" t="str">
        <f>Ringkasan!Q744</f>
        <v/>
      </c>
      <c r="R745" s="64" t="str">
        <f>Ringkasan!R744</f>
        <v/>
      </c>
      <c r="S745" s="64" t="str">
        <f>Ringkasan!S744</f>
        <v/>
      </c>
      <c r="T745" s="64" t="str">
        <f>Ringkasan!T744</f>
        <v/>
      </c>
      <c r="U745" s="64">
        <f>Ringkasan!U744</f>
        <v>51.32</v>
      </c>
      <c r="V745" s="64">
        <f>Ringkasan!V744</f>
        <v>0.65</v>
      </c>
      <c r="W745" s="64" t="str">
        <f>Ringkasan!W744</f>
        <v/>
      </c>
      <c r="X745" s="64" t="str">
        <f>Ringkasan!X744</f>
        <v/>
      </c>
      <c r="Y745" s="64" t="str">
        <f>Ringkasan!Y744</f>
        <v/>
      </c>
      <c r="Z745" s="64">
        <f>Ringkasan!Z744</f>
        <v>0</v>
      </c>
      <c r="AA745" s="64" t="str">
        <f>Ringkasan!AA744</f>
        <v>Coal</v>
      </c>
      <c r="AB745" s="64" t="str">
        <f>Ringkasan!AB744</f>
        <v>Energy</v>
      </c>
    </row>
    <row r="746" hidden="1">
      <c r="A746" s="64" t="str">
        <f>Ringkasan!A745</f>
        <v>GGRM</v>
      </c>
      <c r="B746" s="64" t="str">
        <f>Ringkasan!B745</f>
        <v>Gudang Garam Tbk</v>
      </c>
      <c r="C746" s="65">
        <f>Ringkasan!C745</f>
        <v>15000</v>
      </c>
      <c r="D746" s="64" t="str">
        <f>Ringkasan!D745</f>
        <v>#N/A</v>
      </c>
      <c r="E746" s="64" t="str">
        <f>Ringkasan!E745</f>
        <v>IDXSMC-LIQ</v>
      </c>
      <c r="F746" s="64" t="str">
        <f>Ringkasan!F745</f>
        <v>4 Agustus 2026</v>
      </c>
      <c r="G746" s="64">
        <f>Ringkasan!G745</f>
        <v>4</v>
      </c>
      <c r="H746" s="19">
        <f>Ringkasan!H745</f>
        <v>10.9</v>
      </c>
      <c r="I746" s="19">
        <f>Ringkasan!I745</f>
        <v>0.51</v>
      </c>
      <c r="J746" s="19">
        <f>Ringkasan!J745</f>
        <v>4.7</v>
      </c>
      <c r="K746" s="19">
        <f>Ringkasan!K745</f>
        <v>3.9</v>
      </c>
      <c r="L746" s="19">
        <f>Ringkasan!L745</f>
        <v>0.2</v>
      </c>
      <c r="M746" s="19">
        <f>Ringkasan!M745</f>
        <v>14.9</v>
      </c>
      <c r="N746" s="64" t="str">
        <f>Ringkasan!N745</f>
        <v/>
      </c>
      <c r="O746" s="64" t="str">
        <f>Ringkasan!O745</f>
        <v/>
      </c>
      <c r="P746" s="64" t="str">
        <f>Ringkasan!P745</f>
        <v/>
      </c>
      <c r="Q746" s="64" t="str">
        <f>Ringkasan!Q745</f>
        <v/>
      </c>
      <c r="R746" s="64" t="str">
        <f>Ringkasan!R745</f>
        <v/>
      </c>
      <c r="S746" s="64" t="str">
        <f>Ringkasan!S745</f>
        <v/>
      </c>
      <c r="T746" s="64" t="str">
        <f>Ringkasan!T745</f>
        <v/>
      </c>
      <c r="U746" s="64">
        <f>Ringkasan!U745</f>
        <v>15050</v>
      </c>
      <c r="V746" s="64" t="str">
        <f>Ringkasan!V745</f>
        <v/>
      </c>
      <c r="W746" s="64">
        <f>Ringkasan!W745</f>
        <v>15050</v>
      </c>
      <c r="X746" s="64">
        <f>Ringkasan!X745</f>
        <v>15200</v>
      </c>
      <c r="Y746" s="64">
        <f>Ringkasan!Y745</f>
        <v>14825</v>
      </c>
      <c r="Z746" s="64">
        <f>Ringkasan!Z745</f>
        <v>690400</v>
      </c>
      <c r="AA746" s="64" t="str">
        <f>Ringkasan!AA745</f>
        <v>Tobacco</v>
      </c>
      <c r="AB746" s="64" t="str">
        <f>Ringkasan!AB745</f>
        <v>Consumer Non-Cyclicals</v>
      </c>
    </row>
    <row r="747" hidden="1">
      <c r="A747" s="64" t="str">
        <f>Ringkasan!A746</f>
        <v>GGRM</v>
      </c>
      <c r="B747" s="64" t="str">
        <f>Ringkasan!B746</f>
        <v>Gudang Garam Tbk</v>
      </c>
      <c r="C747" s="65">
        <f>Ringkasan!C746</f>
        <v>15000</v>
      </c>
      <c r="D747" s="64" t="str">
        <f>Ringkasan!D746</f>
        <v>#N/A</v>
      </c>
      <c r="E747" s="64" t="str">
        <f>Ringkasan!E746</f>
        <v>IDX80</v>
      </c>
      <c r="F747" s="64" t="str">
        <f>Ringkasan!F746</f>
        <v>31 Juli 2026</v>
      </c>
      <c r="G747" s="64">
        <f>Ringkasan!G746</f>
        <v>4</v>
      </c>
      <c r="H747" s="19">
        <f>Ringkasan!H746</f>
        <v>10.9</v>
      </c>
      <c r="I747" s="19">
        <f>Ringkasan!I746</f>
        <v>0.51</v>
      </c>
      <c r="J747" s="19">
        <f>Ringkasan!J746</f>
        <v>4.7</v>
      </c>
      <c r="K747" s="19">
        <f>Ringkasan!K746</f>
        <v>3.9</v>
      </c>
      <c r="L747" s="19">
        <f>Ringkasan!L746</f>
        <v>0.2</v>
      </c>
      <c r="M747" s="19">
        <f>Ringkasan!M746</f>
        <v>14.9</v>
      </c>
      <c r="N747" s="64" t="str">
        <f>Ringkasan!N746</f>
        <v/>
      </c>
      <c r="O747" s="64" t="str">
        <f>Ringkasan!O746</f>
        <v/>
      </c>
      <c r="P747" s="64" t="str">
        <f>Ringkasan!P746</f>
        <v/>
      </c>
      <c r="Q747" s="64" t="str">
        <f>Ringkasan!Q746</f>
        <v/>
      </c>
      <c r="R747" s="64" t="str">
        <f>Ringkasan!R746</f>
        <v/>
      </c>
      <c r="S747" s="64" t="str">
        <f>Ringkasan!S746</f>
        <v/>
      </c>
      <c r="T747" s="64" t="str">
        <f>Ringkasan!T746</f>
        <v/>
      </c>
      <c r="U747" s="64">
        <f>Ringkasan!U746</f>
        <v>15050</v>
      </c>
      <c r="V747" s="64" t="str">
        <f>Ringkasan!V746</f>
        <v/>
      </c>
      <c r="W747" s="64">
        <f>Ringkasan!W746</f>
        <v>15050</v>
      </c>
      <c r="X747" s="64">
        <f>Ringkasan!X746</f>
        <v>15200</v>
      </c>
      <c r="Y747" s="64">
        <f>Ringkasan!Y746</f>
        <v>14825</v>
      </c>
      <c r="Z747" s="64">
        <f>Ringkasan!Z746</f>
        <v>690400</v>
      </c>
      <c r="AA747" s="64" t="str">
        <f>Ringkasan!AA746</f>
        <v>Tobacco</v>
      </c>
      <c r="AB747" s="64" t="str">
        <f>Ringkasan!AB746</f>
        <v>Consumer Non-Cyclicals</v>
      </c>
    </row>
    <row r="748" hidden="1">
      <c r="A748" s="64" t="str">
        <f>Ringkasan!A747</f>
        <v>GGRM</v>
      </c>
      <c r="B748" s="64" t="str">
        <f>Ringkasan!B747</f>
        <v>Gudang Garam Tbk</v>
      </c>
      <c r="C748" s="65">
        <f>Ringkasan!C747</f>
        <v>15000</v>
      </c>
      <c r="D748" s="64" t="str">
        <f>Ringkasan!D747</f>
        <v>#N/A</v>
      </c>
      <c r="E748" s="64" t="str">
        <f>Ringkasan!E747</f>
        <v>FTSE Large Cap</v>
      </c>
      <c r="F748" s="64" t="str">
        <f>Ringkasan!F747</f>
        <v>Juni 2026</v>
      </c>
      <c r="G748" s="64">
        <f>Ringkasan!G747</f>
        <v>4</v>
      </c>
      <c r="H748" s="19">
        <f>Ringkasan!H747</f>
        <v>10.9</v>
      </c>
      <c r="I748" s="19">
        <f>Ringkasan!I747</f>
        <v>0.51</v>
      </c>
      <c r="J748" s="19">
        <f>Ringkasan!J747</f>
        <v>4.7</v>
      </c>
      <c r="K748" s="19">
        <f>Ringkasan!K747</f>
        <v>3.9</v>
      </c>
      <c r="L748" s="19">
        <f>Ringkasan!L747</f>
        <v>0.2</v>
      </c>
      <c r="M748" s="19">
        <f>Ringkasan!M747</f>
        <v>14.9</v>
      </c>
      <c r="N748" s="64" t="str">
        <f>Ringkasan!N747</f>
        <v/>
      </c>
      <c r="O748" s="64" t="str">
        <f>Ringkasan!O747</f>
        <v/>
      </c>
      <c r="P748" s="64" t="str">
        <f>Ringkasan!P747</f>
        <v/>
      </c>
      <c r="Q748" s="64" t="str">
        <f>Ringkasan!Q747</f>
        <v/>
      </c>
      <c r="R748" s="64" t="str">
        <f>Ringkasan!R747</f>
        <v/>
      </c>
      <c r="S748" s="64" t="str">
        <f>Ringkasan!S747</f>
        <v/>
      </c>
      <c r="T748" s="64" t="str">
        <f>Ringkasan!T747</f>
        <v/>
      </c>
      <c r="U748" s="64">
        <f>Ringkasan!U747</f>
        <v>15050</v>
      </c>
      <c r="V748" s="64" t="str">
        <f>Ringkasan!V747</f>
        <v/>
      </c>
      <c r="W748" s="64">
        <f>Ringkasan!W747</f>
        <v>15050</v>
      </c>
      <c r="X748" s="64">
        <f>Ringkasan!X747</f>
        <v>15200</v>
      </c>
      <c r="Y748" s="64">
        <f>Ringkasan!Y747</f>
        <v>14825</v>
      </c>
      <c r="Z748" s="64">
        <f>Ringkasan!Z747</f>
        <v>690400</v>
      </c>
      <c r="AA748" s="64" t="str">
        <f>Ringkasan!AA747</f>
        <v>Tobacco</v>
      </c>
      <c r="AB748" s="64" t="str">
        <f>Ringkasan!AB747</f>
        <v>Consumer Non-Cyclicals</v>
      </c>
    </row>
    <row r="749" hidden="1">
      <c r="A749" s="64" t="str">
        <f>Ringkasan!A748</f>
        <v>GGRM</v>
      </c>
      <c r="B749" s="64" t="str">
        <f>Ringkasan!B748</f>
        <v>Gudang Garam Tbk</v>
      </c>
      <c r="C749" s="65">
        <f>Ringkasan!C748</f>
        <v>15000</v>
      </c>
      <c r="D749" s="64" t="str">
        <f>Ringkasan!D748</f>
        <v>#N/A</v>
      </c>
      <c r="E749" s="64" t="str">
        <f>Ringkasan!E748</f>
        <v>MSCI Small Cap</v>
      </c>
      <c r="F749" s="64" t="str">
        <f>Ringkasan!F748</f>
        <v>12 Agustus 2026</v>
      </c>
      <c r="G749" s="64">
        <f>Ringkasan!G748</f>
        <v>4</v>
      </c>
      <c r="H749" s="19">
        <f>Ringkasan!H748</f>
        <v>10.9</v>
      </c>
      <c r="I749" s="19">
        <f>Ringkasan!I748</f>
        <v>0.51</v>
      </c>
      <c r="J749" s="19">
        <f>Ringkasan!J748</f>
        <v>4.7</v>
      </c>
      <c r="K749" s="19">
        <f>Ringkasan!K748</f>
        <v>3.9</v>
      </c>
      <c r="L749" s="19">
        <f>Ringkasan!L748</f>
        <v>0.2</v>
      </c>
      <c r="M749" s="19">
        <f>Ringkasan!M748</f>
        <v>14.9</v>
      </c>
      <c r="N749" s="64" t="str">
        <f>Ringkasan!N748</f>
        <v/>
      </c>
      <c r="O749" s="64" t="str">
        <f>Ringkasan!O748</f>
        <v/>
      </c>
      <c r="P749" s="64" t="str">
        <f>Ringkasan!P748</f>
        <v/>
      </c>
      <c r="Q749" s="64" t="str">
        <f>Ringkasan!Q748</f>
        <v/>
      </c>
      <c r="R749" s="64" t="str">
        <f>Ringkasan!R748</f>
        <v/>
      </c>
      <c r="S749" s="64" t="str">
        <f>Ringkasan!S748</f>
        <v/>
      </c>
      <c r="T749" s="64" t="str">
        <f>Ringkasan!T748</f>
        <v/>
      </c>
      <c r="U749" s="64">
        <f>Ringkasan!U748</f>
        <v>15050</v>
      </c>
      <c r="V749" s="64" t="str">
        <f>Ringkasan!V748</f>
        <v/>
      </c>
      <c r="W749" s="64">
        <f>Ringkasan!W748</f>
        <v>15050</v>
      </c>
      <c r="X749" s="64">
        <f>Ringkasan!X748</f>
        <v>15200</v>
      </c>
      <c r="Y749" s="64">
        <f>Ringkasan!Y748</f>
        <v>14825</v>
      </c>
      <c r="Z749" s="64">
        <f>Ringkasan!Z748</f>
        <v>690400</v>
      </c>
      <c r="AA749" s="64" t="str">
        <f>Ringkasan!AA748</f>
        <v>Tobacco</v>
      </c>
      <c r="AB749" s="64" t="str">
        <f>Ringkasan!AB748</f>
        <v>Consumer Non-Cyclicals</v>
      </c>
    </row>
    <row r="750" hidden="1">
      <c r="A750" s="64" t="str">
        <f>Ringkasan!A749</f>
        <v>GGRP</v>
      </c>
      <c r="B750" s="64" t="str">
        <f>Ringkasan!B749</f>
        <v>Gunung Raja Paksi Tbk.</v>
      </c>
      <c r="C750" s="65">
        <f>Ringkasan!C749</f>
        <v>292</v>
      </c>
      <c r="D750" s="64" t="str">
        <f>Ringkasan!D749</f>
        <v>#N/A</v>
      </c>
      <c r="E750" s="64" t="str">
        <f>Ringkasan!E749</f>
        <v/>
      </c>
      <c r="F750" s="64" t="str">
        <f>Ringkasan!F749</f>
        <v/>
      </c>
      <c r="G750" s="64">
        <f>Ringkasan!G749</f>
        <v>0</v>
      </c>
      <c r="H750" s="19">
        <f>Ringkasan!H749</f>
        <v>-6.9</v>
      </c>
      <c r="I750" s="19">
        <f>Ringkasan!I749</f>
        <v>0.32</v>
      </c>
      <c r="J750" s="19">
        <f>Ringkasan!J749</f>
        <v>-4.6</v>
      </c>
      <c r="K750" s="19">
        <f>Ringkasan!K749</f>
        <v>-3.9</v>
      </c>
      <c r="L750" s="19">
        <f>Ringkasan!L749</f>
        <v>0.18</v>
      </c>
      <c r="M750" s="19">
        <f>Ringkasan!M749</f>
        <v>-65.3</v>
      </c>
      <c r="N750" s="64" t="str">
        <f>Ringkasan!N749</f>
        <v/>
      </c>
      <c r="O750" s="64" t="str">
        <f>Ringkasan!O749</f>
        <v/>
      </c>
      <c r="P750" s="64" t="str">
        <f>Ringkasan!P749</f>
        <v/>
      </c>
      <c r="Q750" s="64" t="str">
        <f>Ringkasan!Q749</f>
        <v/>
      </c>
      <c r="R750" s="64" t="str">
        <f>Ringkasan!R749</f>
        <v/>
      </c>
      <c r="S750" s="64" t="str">
        <f>Ringkasan!S749</f>
        <v/>
      </c>
      <c r="T750" s="64" t="str">
        <f>Ringkasan!T749</f>
        <v/>
      </c>
      <c r="U750" s="64">
        <f>Ringkasan!U749</f>
        <v>0.85</v>
      </c>
      <c r="V750" s="64">
        <f>Ringkasan!V749</f>
        <v>-5.05</v>
      </c>
      <c r="W750" s="64">
        <f>Ringkasan!W749</f>
        <v>0.81</v>
      </c>
      <c r="X750" s="64">
        <f>Ringkasan!X749</f>
        <v>0.85</v>
      </c>
      <c r="Y750" s="64">
        <f>Ringkasan!Y749</f>
        <v>0.78</v>
      </c>
      <c r="Z750" s="64">
        <f>Ringkasan!Z749</f>
        <v>55882</v>
      </c>
      <c r="AA750" s="64" t="str">
        <f>Ringkasan!AA749</f>
        <v>Metals &amp; Minerals</v>
      </c>
      <c r="AB750" s="64" t="str">
        <f>Ringkasan!AB749</f>
        <v>Basic Materials</v>
      </c>
    </row>
    <row r="751" hidden="1">
      <c r="A751" s="64" t="str">
        <f>Ringkasan!A750</f>
        <v>GHON</v>
      </c>
      <c r="B751" s="64" t="str">
        <f>Ringkasan!B750</f>
        <v>Gihon Telekomunikasi Indonesia Tbk.</v>
      </c>
      <c r="C751" s="65">
        <f>Ringkasan!C750</f>
        <v>1925</v>
      </c>
      <c r="D751" s="64" t="str">
        <f>Ringkasan!D750</f>
        <v>#N/A</v>
      </c>
      <c r="E751" s="64" t="str">
        <f>Ringkasan!E750</f>
        <v/>
      </c>
      <c r="F751" s="64" t="str">
        <f>Ringkasan!F750</f>
        <v/>
      </c>
      <c r="G751" s="64">
        <f>Ringkasan!G750</f>
        <v>0</v>
      </c>
      <c r="H751" s="19">
        <f>Ringkasan!H750</f>
        <v>13.5</v>
      </c>
      <c r="I751" s="19">
        <f>Ringkasan!I750</f>
        <v>1.3</v>
      </c>
      <c r="J751" s="19">
        <f>Ringkasan!J750</f>
        <v>9.3</v>
      </c>
      <c r="K751" s="19">
        <f>Ringkasan!K750</f>
        <v>5.2</v>
      </c>
      <c r="L751" s="19">
        <f>Ringkasan!L750</f>
        <v>0.79</v>
      </c>
      <c r="M751" s="19">
        <f>Ringkasan!M750</f>
        <v>140</v>
      </c>
      <c r="N751" s="64" t="str">
        <f>Ringkasan!N750</f>
        <v/>
      </c>
      <c r="O751" s="64" t="str">
        <f>Ringkasan!O750</f>
        <v/>
      </c>
      <c r="P751" s="64" t="str">
        <f>Ringkasan!P750</f>
        <v/>
      </c>
      <c r="Q751" s="64" t="str">
        <f>Ringkasan!Q750</f>
        <v/>
      </c>
      <c r="R751" s="64" t="str">
        <f>Ringkasan!R750</f>
        <v/>
      </c>
      <c r="S751" s="64" t="str">
        <f>Ringkasan!S750</f>
        <v/>
      </c>
      <c r="T751" s="64" t="str">
        <f>Ringkasan!T750</f>
        <v/>
      </c>
      <c r="U751" s="64">
        <f>Ringkasan!U750</f>
        <v>1890</v>
      </c>
      <c r="V751" s="64">
        <f>Ringkasan!V750</f>
        <v>1.85</v>
      </c>
      <c r="W751" s="64">
        <f>Ringkasan!W750</f>
        <v>1920</v>
      </c>
      <c r="X751" s="64">
        <f>Ringkasan!X750</f>
        <v>1950</v>
      </c>
      <c r="Y751" s="64">
        <f>Ringkasan!Y750</f>
        <v>1910</v>
      </c>
      <c r="Z751" s="64" t="str">
        <f>Ringkasan!Z750</f>
        <v/>
      </c>
      <c r="AA751" s="64" t="str">
        <f>Ringkasan!AA750</f>
        <v>Wireless Telecommunication Services</v>
      </c>
      <c r="AB751" s="64" t="str">
        <f>Ringkasan!AB750</f>
        <v>Infrastructures</v>
      </c>
    </row>
    <row r="752" hidden="1">
      <c r="A752" s="64" t="str">
        <f>Ringkasan!A751</f>
        <v>GIAA</v>
      </c>
      <c r="B752" s="64" t="str">
        <f>Ringkasan!B751</f>
        <v>Garuda Indonesia (Persero) Tbk.</v>
      </c>
      <c r="C752" s="65">
        <f>Ringkasan!C751</f>
        <v>56</v>
      </c>
      <c r="D752" s="64" t="str">
        <f>Ringkasan!D751</f>
        <v>#N/A</v>
      </c>
      <c r="E752" s="64" t="str">
        <f>Ringkasan!E751</f>
        <v/>
      </c>
      <c r="F752" s="64" t="str">
        <f>Ringkasan!F751</f>
        <v/>
      </c>
      <c r="G752" s="64">
        <f>Ringkasan!G751</f>
        <v>0</v>
      </c>
      <c r="H752" s="19">
        <f>Ringkasan!H751</f>
        <v>-4.8</v>
      </c>
      <c r="I752" s="19">
        <f>Ringkasan!I751</f>
        <v>20.4</v>
      </c>
      <c r="J752" s="19">
        <f>Ringkasan!J751</f>
        <v>-430</v>
      </c>
      <c r="K752" s="19">
        <f>Ringkasan!K751</f>
        <v>-3.9</v>
      </c>
      <c r="L752" s="19">
        <f>Ringkasan!L751</f>
        <v>110</v>
      </c>
      <c r="M752" s="19">
        <f>Ringkasan!M751</f>
        <v>-38</v>
      </c>
      <c r="N752" s="64" t="str">
        <f>Ringkasan!N751</f>
        <v/>
      </c>
      <c r="O752" s="64" t="str">
        <f>Ringkasan!O751</f>
        <v/>
      </c>
      <c r="P752" s="64" t="str">
        <f>Ringkasan!P751</f>
        <v/>
      </c>
      <c r="Q752" s="64" t="str">
        <f>Ringkasan!Q751</f>
        <v/>
      </c>
      <c r="R752" s="64" t="str">
        <f>Ringkasan!R751</f>
        <v/>
      </c>
      <c r="S752" s="64" t="str">
        <f>Ringkasan!S751</f>
        <v/>
      </c>
      <c r="T752" s="64" t="str">
        <f>Ringkasan!T751</f>
        <v/>
      </c>
      <c r="U752" s="64">
        <f>Ringkasan!U751</f>
        <v>54</v>
      </c>
      <c r="V752" s="64">
        <f>Ringkasan!V751</f>
        <v>3.7</v>
      </c>
      <c r="W752" s="64">
        <f>Ringkasan!W751</f>
        <v>54</v>
      </c>
      <c r="X752" s="64">
        <f>Ringkasan!X751</f>
        <v>57</v>
      </c>
      <c r="Y752" s="64">
        <f>Ringkasan!Y751</f>
        <v>54</v>
      </c>
      <c r="Z752" s="64">
        <f>Ringkasan!Z751</f>
        <v>35670300</v>
      </c>
      <c r="AA752" s="64" t="str">
        <f>Ringkasan!AA751</f>
        <v>Airlines</v>
      </c>
      <c r="AB752" s="64" t="str">
        <f>Ringkasan!AB751</f>
        <v>Transportation &amp; Logistic</v>
      </c>
    </row>
    <row r="753" hidden="1">
      <c r="A753" s="64" t="str">
        <f>Ringkasan!A752</f>
        <v>GJTL</v>
      </c>
      <c r="B753" s="64" t="str">
        <f>Ringkasan!B752</f>
        <v>Gajah Tunggal Tbk.</v>
      </c>
      <c r="C753" s="65">
        <f>Ringkasan!C752</f>
        <v>1100</v>
      </c>
      <c r="D753" s="64" t="str">
        <f>Ringkasan!D752</f>
        <v>#N/A</v>
      </c>
      <c r="E753" s="64" t="str">
        <f>Ringkasan!E752</f>
        <v>ESGSKEHATI</v>
      </c>
      <c r="F753" s="66">
        <f>Ringkasan!F752</f>
        <v>46356</v>
      </c>
      <c r="G753" s="64">
        <f>Ringkasan!G752</f>
        <v>1</v>
      </c>
      <c r="H753" s="19">
        <f>Ringkasan!H752</f>
        <v>3.3</v>
      </c>
      <c r="I753" s="19">
        <f>Ringkasan!I752</f>
        <v>0.39</v>
      </c>
      <c r="J753" s="19">
        <f>Ringkasan!J752</f>
        <v>11.7</v>
      </c>
      <c r="K753" s="19">
        <f>Ringkasan!K752</f>
        <v>5.7</v>
      </c>
      <c r="L753" s="19">
        <f>Ringkasan!L752</f>
        <v>1.1</v>
      </c>
      <c r="M753" s="19">
        <f>Ringkasan!M752</f>
        <v>30.3</v>
      </c>
      <c r="N753" s="64" t="str">
        <f>Ringkasan!N752</f>
        <v/>
      </c>
      <c r="O753" s="64" t="str">
        <f>Ringkasan!O752</f>
        <v/>
      </c>
      <c r="P753" s="64" t="str">
        <f>Ringkasan!P752</f>
        <v/>
      </c>
      <c r="Q753" s="64" t="str">
        <f>Ringkasan!Q752</f>
        <v/>
      </c>
      <c r="R753" s="64" t="str">
        <f>Ringkasan!R752</f>
        <v/>
      </c>
      <c r="S753" s="64" t="str">
        <f>Ringkasan!S752</f>
        <v/>
      </c>
      <c r="T753" s="64" t="str">
        <f>Ringkasan!T752</f>
        <v/>
      </c>
      <c r="U753" s="64">
        <f>Ringkasan!U752</f>
        <v>1075</v>
      </c>
      <c r="V753" s="64">
        <f>Ringkasan!V752</f>
        <v>2.33</v>
      </c>
      <c r="W753" s="64">
        <f>Ringkasan!W752</f>
        <v>1075</v>
      </c>
      <c r="X753" s="64">
        <f>Ringkasan!X752</f>
        <v>1110</v>
      </c>
      <c r="Y753" s="64">
        <f>Ringkasan!Y752</f>
        <v>1075</v>
      </c>
      <c r="Z753" s="64">
        <f>Ringkasan!Z752</f>
        <v>2252900</v>
      </c>
      <c r="AA753" s="64" t="str">
        <f>Ringkasan!AA752</f>
        <v>Auto Components</v>
      </c>
      <c r="AB753" s="64" t="str">
        <f>Ringkasan!AB752</f>
        <v>Consumer Cyclicals</v>
      </c>
    </row>
    <row r="754" hidden="1">
      <c r="A754" s="64" t="str">
        <f>Ringkasan!A753</f>
        <v>GLOB</v>
      </c>
      <c r="B754" s="64" t="str">
        <f>Ringkasan!B753</f>
        <v>Globe Kita Terang Tbk.</v>
      </c>
      <c r="C754" s="65">
        <f>Ringkasan!C753</f>
        <v>155</v>
      </c>
      <c r="D754" s="64" t="str">
        <f>Ringkasan!D753</f>
        <v>#N/A</v>
      </c>
      <c r="E754" s="64" t="str">
        <f>Ringkasan!E753</f>
        <v/>
      </c>
      <c r="F754" s="64" t="str">
        <f>Ringkasan!F753</f>
        <v/>
      </c>
      <c r="G754" s="64">
        <f>Ringkasan!G753</f>
        <v>0</v>
      </c>
      <c r="H754" s="19">
        <f>Ringkasan!H753</f>
        <v>-1.6</v>
      </c>
      <c r="I754" s="19">
        <f>Ringkasan!I753</f>
        <v>-0.14</v>
      </c>
      <c r="J754" s="19">
        <f>Ringkasan!J753</f>
        <v>0</v>
      </c>
      <c r="K754" s="19">
        <f>Ringkasan!K753</f>
        <v>-3380</v>
      </c>
      <c r="L754" s="19">
        <f>Ringkasan!L753</f>
        <v>-1</v>
      </c>
      <c r="M754" s="19">
        <f>Ringkasan!M753</f>
        <v>-1710</v>
      </c>
      <c r="N754" s="64" t="str">
        <f>Ringkasan!N753</f>
        <v/>
      </c>
      <c r="O754" s="64" t="str">
        <f>Ringkasan!O753</f>
        <v/>
      </c>
      <c r="P754" s="64" t="str">
        <f>Ringkasan!P753</f>
        <v/>
      </c>
      <c r="Q754" s="64" t="str">
        <f>Ringkasan!Q753</f>
        <v/>
      </c>
      <c r="R754" s="64" t="str">
        <f>Ringkasan!R753</f>
        <v/>
      </c>
      <c r="S754" s="64" t="str">
        <f>Ringkasan!S753</f>
        <v/>
      </c>
      <c r="T754" s="64" t="str">
        <f>Ringkasan!T753</f>
        <v/>
      </c>
      <c r="U754" s="64">
        <f>Ringkasan!U753</f>
        <v>36.42</v>
      </c>
      <c r="V754" s="64">
        <f>Ringkasan!V753</f>
        <v>2.94</v>
      </c>
      <c r="W754" s="64">
        <f>Ringkasan!W753</f>
        <v>36.41</v>
      </c>
      <c r="X754" s="64">
        <f>Ringkasan!X753</f>
        <v>38.03</v>
      </c>
      <c r="Y754" s="64">
        <f>Ringkasan!Y753</f>
        <v>35.5</v>
      </c>
      <c r="Z754" s="64">
        <f>Ringkasan!Z753</f>
        <v>1097428</v>
      </c>
      <c r="AA754" s="64" t="str">
        <f>Ringkasan!AA753</f>
        <v>Specialty Retail</v>
      </c>
      <c r="AB754" s="64" t="str">
        <f>Ringkasan!AB753</f>
        <v>Consumer Cyclicals</v>
      </c>
    </row>
    <row r="755" hidden="1">
      <c r="A755" s="64" t="str">
        <f>Ringkasan!A754</f>
        <v>GLVA</v>
      </c>
      <c r="B755" s="64" t="str">
        <f>Ringkasan!B754</f>
        <v>Galva Technologies Tbk.</v>
      </c>
      <c r="C755" s="65">
        <f>Ringkasan!C754</f>
        <v>304</v>
      </c>
      <c r="D755" s="64" t="str">
        <f>Ringkasan!D754</f>
        <v>#N/A</v>
      </c>
      <c r="E755" s="64" t="str">
        <f>Ringkasan!E754</f>
        <v/>
      </c>
      <c r="F755" s="64" t="str">
        <f>Ringkasan!F754</f>
        <v/>
      </c>
      <c r="G755" s="64">
        <f>Ringkasan!G754</f>
        <v>0</v>
      </c>
      <c r="H755" s="19">
        <f>Ringkasan!H754</f>
        <v>17.3</v>
      </c>
      <c r="I755" s="19">
        <f>Ringkasan!I754</f>
        <v>1.1</v>
      </c>
      <c r="J755" s="19">
        <f>Ringkasan!J754</f>
        <v>6.1</v>
      </c>
      <c r="K755" s="19">
        <f>Ringkasan!K754</f>
        <v>2.8</v>
      </c>
      <c r="L755" s="19">
        <f>Ringkasan!L754</f>
        <v>1.2</v>
      </c>
      <c r="M755" s="19">
        <f>Ringkasan!M754</f>
        <v>7.7</v>
      </c>
      <c r="N755" s="64" t="str">
        <f>Ringkasan!N754</f>
        <v/>
      </c>
      <c r="O755" s="64" t="str">
        <f>Ringkasan!O754</f>
        <v/>
      </c>
      <c r="P755" s="64" t="str">
        <f>Ringkasan!P754</f>
        <v/>
      </c>
      <c r="Q755" s="64" t="str">
        <f>Ringkasan!Q754</f>
        <v/>
      </c>
      <c r="R755" s="64" t="str">
        <f>Ringkasan!R754</f>
        <v/>
      </c>
      <c r="S755" s="64" t="str">
        <f>Ringkasan!S754</f>
        <v/>
      </c>
      <c r="T755" s="64" t="str">
        <f>Ringkasan!T754</f>
        <v/>
      </c>
      <c r="U755" s="64">
        <f>Ringkasan!U754</f>
        <v>300</v>
      </c>
      <c r="V755" s="64">
        <f>Ringkasan!V754</f>
        <v>1.33</v>
      </c>
      <c r="W755" s="64">
        <f>Ringkasan!W754</f>
        <v>312</v>
      </c>
      <c r="X755" s="64">
        <f>Ringkasan!X754</f>
        <v>320</v>
      </c>
      <c r="Y755" s="64">
        <f>Ringkasan!Y754</f>
        <v>304</v>
      </c>
      <c r="Z755" s="64">
        <f>Ringkasan!Z754</f>
        <v>10300</v>
      </c>
      <c r="AA755" s="64" t="str">
        <f>Ringkasan!AA754</f>
        <v>Electronic Equipment, Instruments &amp; Components</v>
      </c>
      <c r="AB755" s="64" t="str">
        <f>Ringkasan!AB754</f>
        <v>Technology</v>
      </c>
    </row>
    <row r="756" hidden="1">
      <c r="A756" s="64" t="str">
        <f>Ringkasan!A755</f>
        <v>GMFI</v>
      </c>
      <c r="B756" s="64" t="str">
        <f>Ringkasan!B755</f>
        <v>Garuda Maintenance Facility Aero Asia Tbk.</v>
      </c>
      <c r="C756" s="65">
        <f>Ringkasan!C755</f>
        <v>52</v>
      </c>
      <c r="D756" s="64" t="str">
        <f>Ringkasan!D755</f>
        <v>#N/A</v>
      </c>
      <c r="E756" s="64" t="str">
        <f>Ringkasan!E755</f>
        <v/>
      </c>
      <c r="F756" s="64" t="str">
        <f>Ringkasan!F755</f>
        <v/>
      </c>
      <c r="G756" s="64">
        <f>Ringkasan!G755</f>
        <v>0</v>
      </c>
      <c r="H756" s="19">
        <f>Ringkasan!H755</f>
        <v>10.6</v>
      </c>
      <c r="I756" s="19">
        <f>Ringkasan!I755</f>
        <v>2.8</v>
      </c>
      <c r="J756" s="19">
        <f>Ringkasan!J755</f>
        <v>26</v>
      </c>
      <c r="K756" s="19">
        <f>Ringkasan!K755</f>
        <v>4</v>
      </c>
      <c r="L756" s="19">
        <f>Ringkasan!L755</f>
        <v>5.5</v>
      </c>
      <c r="M756" s="19">
        <f>Ringkasan!M755</f>
        <v>31.8</v>
      </c>
      <c r="N756" s="64" t="str">
        <f>Ringkasan!N755</f>
        <v/>
      </c>
      <c r="O756" s="64" t="str">
        <f>Ringkasan!O755</f>
        <v/>
      </c>
      <c r="P756" s="64" t="str">
        <f>Ringkasan!P755</f>
        <v/>
      </c>
      <c r="Q756" s="64" t="str">
        <f>Ringkasan!Q755</f>
        <v/>
      </c>
      <c r="R756" s="64" t="str">
        <f>Ringkasan!R755</f>
        <v/>
      </c>
      <c r="S756" s="64" t="str">
        <f>Ringkasan!S755</f>
        <v/>
      </c>
      <c r="T756" s="64" t="str">
        <f>Ringkasan!T755</f>
        <v/>
      </c>
      <c r="U756" s="64">
        <f>Ringkasan!U755</f>
        <v>50</v>
      </c>
      <c r="V756" s="64">
        <f>Ringkasan!V755</f>
        <v>4</v>
      </c>
      <c r="W756" s="64">
        <f>Ringkasan!W755</f>
        <v>50</v>
      </c>
      <c r="X756" s="64">
        <f>Ringkasan!X755</f>
        <v>53</v>
      </c>
      <c r="Y756" s="64">
        <f>Ringkasan!Y755</f>
        <v>50</v>
      </c>
      <c r="Z756" s="64">
        <f>Ringkasan!Z755</f>
        <v>79460400</v>
      </c>
      <c r="AA756" s="64" t="str">
        <f>Ringkasan!AA755</f>
        <v>Transport Infrastructure Operator</v>
      </c>
      <c r="AB756" s="64" t="str">
        <f>Ringkasan!AB755</f>
        <v>Infrastructures</v>
      </c>
    </row>
    <row r="757" hidden="1">
      <c r="A757" s="64" t="str">
        <f>Ringkasan!A756</f>
        <v>GMTD</v>
      </c>
      <c r="B757" s="64" t="str">
        <f>Ringkasan!B756</f>
        <v>Gowa Makassar Tourism Development Tbk.</v>
      </c>
      <c r="C757" s="65">
        <f>Ringkasan!C756</f>
        <v>1380</v>
      </c>
      <c r="D757" s="64" t="str">
        <f>Ringkasan!D756</f>
        <v>#N/A</v>
      </c>
      <c r="E757" s="64" t="str">
        <f>Ringkasan!E756</f>
        <v/>
      </c>
      <c r="F757" s="64" t="str">
        <f>Ringkasan!F756</f>
        <v/>
      </c>
      <c r="G757" s="64">
        <f>Ringkasan!G756</f>
        <v>0</v>
      </c>
      <c r="H757" s="19">
        <f>Ringkasan!H756</f>
        <v>54.6</v>
      </c>
      <c r="I757" s="19">
        <f>Ringkasan!I756</f>
        <v>2</v>
      </c>
      <c r="J757" s="19">
        <f>Ringkasan!J756</f>
        <v>3.7</v>
      </c>
      <c r="K757" s="19">
        <f>Ringkasan!K756</f>
        <v>2.3</v>
      </c>
      <c r="L757" s="19">
        <f>Ringkasan!L756</f>
        <v>0.63</v>
      </c>
      <c r="M757" s="19">
        <f>Ringkasan!M756</f>
        <v>11.2</v>
      </c>
      <c r="N757" s="64" t="str">
        <f>Ringkasan!N756</f>
        <v/>
      </c>
      <c r="O757" s="64" t="str">
        <f>Ringkasan!O756</f>
        <v/>
      </c>
      <c r="P757" s="64" t="str">
        <f>Ringkasan!P756</f>
        <v/>
      </c>
      <c r="Q757" s="64" t="str">
        <f>Ringkasan!Q756</f>
        <v/>
      </c>
      <c r="R757" s="64" t="str">
        <f>Ringkasan!R756</f>
        <v/>
      </c>
      <c r="S757" s="64" t="str">
        <f>Ringkasan!S756</f>
        <v/>
      </c>
      <c r="T757" s="64" t="str">
        <f>Ringkasan!T756</f>
        <v/>
      </c>
      <c r="U757" s="64">
        <f>Ringkasan!U756</f>
        <v>1350</v>
      </c>
      <c r="V757" s="64">
        <f>Ringkasan!V756</f>
        <v>2.22</v>
      </c>
      <c r="W757" s="64">
        <f>Ringkasan!W756</f>
        <v>1325</v>
      </c>
      <c r="X757" s="64">
        <f>Ringkasan!X756</f>
        <v>1380</v>
      </c>
      <c r="Y757" s="64">
        <f>Ringkasan!Y756</f>
        <v>1325</v>
      </c>
      <c r="Z757" s="64">
        <f>Ringkasan!Z756</f>
        <v>4200</v>
      </c>
      <c r="AA757" s="64" t="str">
        <f>Ringkasan!AA756</f>
        <v>Real Estate Management &amp; Development</v>
      </c>
      <c r="AB757" s="64" t="str">
        <f>Ringkasan!AB756</f>
        <v>Properties &amp; Real Estate</v>
      </c>
    </row>
    <row r="758" hidden="1">
      <c r="A758" s="64" t="str">
        <f>Ringkasan!A757</f>
        <v>GOLD</v>
      </c>
      <c r="B758" s="64" t="str">
        <f>Ringkasan!B757</f>
        <v>PT Visi Telekomunikasi Infrastruktur Tbk.</v>
      </c>
      <c r="C758" s="65">
        <f>Ringkasan!C757</f>
        <v>242</v>
      </c>
      <c r="D758" s="64" t="str">
        <f>Ringkasan!D757</f>
        <v>#N/A</v>
      </c>
      <c r="E758" s="64" t="str">
        <f>Ringkasan!E757</f>
        <v/>
      </c>
      <c r="F758" s="64" t="str">
        <f>Ringkasan!F757</f>
        <v/>
      </c>
      <c r="G758" s="64">
        <f>Ringkasan!G757</f>
        <v>0</v>
      </c>
      <c r="H758" s="19">
        <f>Ringkasan!H757</f>
        <v>17.3</v>
      </c>
      <c r="I758" s="19">
        <f>Ringkasan!I757</f>
        <v>0.76</v>
      </c>
      <c r="J758" s="19">
        <f>Ringkasan!J757</f>
        <v>4.4</v>
      </c>
      <c r="K758" s="19">
        <f>Ringkasan!K757</f>
        <v>4.1</v>
      </c>
      <c r="L758" s="19">
        <f>Ringkasan!L757</f>
        <v>0.08</v>
      </c>
      <c r="M758" s="19">
        <f>Ringkasan!M757</f>
        <v>130</v>
      </c>
      <c r="N758" s="64" t="str">
        <f>Ringkasan!N757</f>
        <v/>
      </c>
      <c r="O758" s="64" t="str">
        <f>Ringkasan!O757</f>
        <v/>
      </c>
      <c r="P758" s="64" t="str">
        <f>Ringkasan!P757</f>
        <v/>
      </c>
      <c r="Q758" s="64" t="str">
        <f>Ringkasan!Q757</f>
        <v/>
      </c>
      <c r="R758" s="64" t="str">
        <f>Ringkasan!R757</f>
        <v/>
      </c>
      <c r="S758" s="64" t="str">
        <f>Ringkasan!S757</f>
        <v/>
      </c>
      <c r="T758" s="64" t="str">
        <f>Ringkasan!T757</f>
        <v/>
      </c>
      <c r="U758" s="64">
        <f>Ringkasan!U757</f>
        <v>43.29</v>
      </c>
      <c r="V758" s="64">
        <f>Ringkasan!V757</f>
        <v>2.17</v>
      </c>
      <c r="W758" s="64">
        <f>Ringkasan!W757</f>
        <v>43.3</v>
      </c>
      <c r="X758" s="64">
        <f>Ringkasan!X757</f>
        <v>44.35</v>
      </c>
      <c r="Y758" s="64">
        <f>Ringkasan!Y757</f>
        <v>42.61</v>
      </c>
      <c r="Z758" s="64">
        <f>Ringkasan!Z757</f>
        <v>412935</v>
      </c>
      <c r="AA758" s="64" t="str">
        <f>Ringkasan!AA757</f>
        <v>Wireless Telecommunication Services</v>
      </c>
      <c r="AB758" s="64" t="str">
        <f>Ringkasan!AB757</f>
        <v>Infrastructures</v>
      </c>
    </row>
    <row r="759" hidden="1">
      <c r="A759" s="64" t="str">
        <f>Ringkasan!A758</f>
        <v>GOLF</v>
      </c>
      <c r="B759" s="64" t="str">
        <f>Ringkasan!B758</f>
        <v>Intra Golflink Resorts Tbk.</v>
      </c>
      <c r="C759" s="65">
        <f>Ringkasan!C758</f>
        <v>168</v>
      </c>
      <c r="D759" s="64" t="str">
        <f>Ringkasan!D758</f>
        <v>#N/A</v>
      </c>
      <c r="E759" s="64" t="str">
        <f>Ringkasan!E758</f>
        <v/>
      </c>
      <c r="F759" s="64" t="str">
        <f>Ringkasan!F758</f>
        <v/>
      </c>
      <c r="G759" s="64">
        <f>Ringkasan!G758</f>
        <v>0</v>
      </c>
      <c r="H759" s="19">
        <f>Ringkasan!H758</f>
        <v>59.9</v>
      </c>
      <c r="I759" s="19">
        <f>Ringkasan!I758</f>
        <v>0.39</v>
      </c>
      <c r="J759" s="19">
        <f>Ringkasan!J758</f>
        <v>0.65</v>
      </c>
      <c r="K759" s="19">
        <f>Ringkasan!K758</f>
        <v>0.6</v>
      </c>
      <c r="L759" s="19">
        <f>Ringkasan!L758</f>
        <v>0.08</v>
      </c>
      <c r="M759" s="19">
        <f>Ringkasan!M758</f>
        <v>180</v>
      </c>
      <c r="N759" s="64" t="str">
        <f>Ringkasan!N758</f>
        <v/>
      </c>
      <c r="O759" s="64" t="str">
        <f>Ringkasan!O758</f>
        <v/>
      </c>
      <c r="P759" s="64" t="str">
        <f>Ringkasan!P758</f>
        <v/>
      </c>
      <c r="Q759" s="64" t="str">
        <f>Ringkasan!Q758</f>
        <v/>
      </c>
      <c r="R759" s="64" t="str">
        <f>Ringkasan!R758</f>
        <v/>
      </c>
      <c r="S759" s="64" t="str">
        <f>Ringkasan!S758</f>
        <v/>
      </c>
      <c r="T759" s="64" t="str">
        <f>Ringkasan!T758</f>
        <v/>
      </c>
      <c r="U759" s="64">
        <f>Ringkasan!U758</f>
        <v>99.44</v>
      </c>
      <c r="V759" s="64">
        <f>Ringkasan!V758</f>
        <v>-1.29</v>
      </c>
      <c r="W759" s="64">
        <f>Ringkasan!W758</f>
        <v>99.95</v>
      </c>
      <c r="X759" s="64">
        <f>Ringkasan!X758</f>
        <v>101.06</v>
      </c>
      <c r="Y759" s="64">
        <f>Ringkasan!Y758</f>
        <v>97.98</v>
      </c>
      <c r="Z759" s="64">
        <f>Ringkasan!Z758</f>
        <v>370170</v>
      </c>
      <c r="AA759" s="64" t="str">
        <f>Ringkasan!AA758</f>
        <v>Tourism &amp; Recreation</v>
      </c>
      <c r="AB759" s="64" t="str">
        <f>Ringkasan!AB758</f>
        <v>Consumer Cyclicals</v>
      </c>
    </row>
    <row r="760" hidden="1">
      <c r="A760" s="64" t="str">
        <f>Ringkasan!A759</f>
        <v>GOLL</v>
      </c>
      <c r="B760" s="64" t="str">
        <f>Ringkasan!B759</f>
        <v>PT Golden Plantation Tbk</v>
      </c>
      <c r="C760" s="65">
        <f>Ringkasan!C759</f>
        <v>50</v>
      </c>
      <c r="D760" s="64" t="str">
        <f>Ringkasan!D759</f>
        <v>#N/A</v>
      </c>
      <c r="E760" s="64" t="str">
        <f>Ringkasan!E759</f>
        <v/>
      </c>
      <c r="F760" s="64" t="str">
        <f>Ringkasan!F759</f>
        <v/>
      </c>
      <c r="G760" s="64">
        <f>Ringkasan!G759</f>
        <v>0</v>
      </c>
      <c r="H760" s="19">
        <f>Ringkasan!H759</f>
        <v>0</v>
      </c>
      <c r="I760" s="19">
        <f>Ringkasan!I759</f>
        <v>2.3</v>
      </c>
      <c r="J760" s="19">
        <f>Ringkasan!J759</f>
        <v>-21.3</v>
      </c>
      <c r="K760" s="19">
        <f>Ringkasan!K759</f>
        <v>-3.5</v>
      </c>
      <c r="L760" s="19">
        <f>Ringkasan!L759</f>
        <v>5</v>
      </c>
      <c r="M760" s="19">
        <f>Ringkasan!M759</f>
        <v>-450</v>
      </c>
      <c r="N760" s="64" t="str">
        <f>Ringkasan!N759</f>
        <v/>
      </c>
      <c r="O760" s="64" t="str">
        <f>Ringkasan!O759</f>
        <v/>
      </c>
      <c r="P760" s="64" t="str">
        <f>Ringkasan!P759</f>
        <v/>
      </c>
      <c r="Q760" s="64" t="str">
        <f>Ringkasan!Q759</f>
        <v/>
      </c>
      <c r="R760" s="64" t="str">
        <f>Ringkasan!R759</f>
        <v/>
      </c>
      <c r="S760" s="64" t="str">
        <f>Ringkasan!S759</f>
        <v/>
      </c>
      <c r="T760" s="64" t="str">
        <f>Ringkasan!T759</f>
        <v/>
      </c>
      <c r="U760" s="64">
        <f>Ringkasan!U759</f>
        <v>50</v>
      </c>
      <c r="V760" s="64">
        <f>Ringkasan!V759</f>
        <v>0</v>
      </c>
      <c r="W760" s="64" t="str">
        <f>Ringkasan!W759</f>
        <v/>
      </c>
      <c r="X760" s="64" t="str">
        <f>Ringkasan!X759</f>
        <v/>
      </c>
      <c r="Y760" s="64" t="str">
        <f>Ringkasan!Y759</f>
        <v/>
      </c>
      <c r="Z760" s="64">
        <f>Ringkasan!Z759</f>
        <v>0</v>
      </c>
      <c r="AA760" s="64" t="str">
        <f>Ringkasan!AA759</f>
        <v>Agricultural Products</v>
      </c>
      <c r="AB760" s="64" t="str">
        <f>Ringkasan!AB759</f>
        <v>Consumer Non-Cyclicals</v>
      </c>
    </row>
    <row r="761" hidden="1">
      <c r="A761" s="64" t="str">
        <f>Ringkasan!A760</f>
        <v>GOOD</v>
      </c>
      <c r="B761" s="64" t="str">
        <f>Ringkasan!B760</f>
        <v>Garudafood Putra Putri Jaya Tbk.</v>
      </c>
      <c r="C761" s="65">
        <f>Ringkasan!C760</f>
        <v>322</v>
      </c>
      <c r="D761" s="64" t="str">
        <f>Ringkasan!D760</f>
        <v>#N/A</v>
      </c>
      <c r="E761" s="64" t="str">
        <f>Ringkasan!E760</f>
        <v/>
      </c>
      <c r="F761" s="64" t="str">
        <f>Ringkasan!F760</f>
        <v/>
      </c>
      <c r="G761" s="64">
        <f>Ringkasan!G760</f>
        <v>0</v>
      </c>
      <c r="H761" s="19">
        <f>Ringkasan!H760</f>
        <v>17.8</v>
      </c>
      <c r="I761" s="19">
        <f>Ringkasan!I760</f>
        <v>2.7</v>
      </c>
      <c r="J761" s="19">
        <f>Ringkasan!J760</f>
        <v>15.3</v>
      </c>
      <c r="K761" s="19">
        <f>Ringkasan!K760</f>
        <v>7.2</v>
      </c>
      <c r="L761" s="19">
        <f>Ringkasan!L760</f>
        <v>1.1</v>
      </c>
      <c r="M761" s="19">
        <f>Ringkasan!M760</f>
        <v>19.6</v>
      </c>
      <c r="N761" s="64" t="str">
        <f>Ringkasan!N760</f>
        <v/>
      </c>
      <c r="O761" s="64" t="str">
        <f>Ringkasan!O760</f>
        <v/>
      </c>
      <c r="P761" s="64" t="str">
        <f>Ringkasan!P760</f>
        <v/>
      </c>
      <c r="Q761" s="64" t="str">
        <f>Ringkasan!Q760</f>
        <v/>
      </c>
      <c r="R761" s="64" t="str">
        <f>Ringkasan!R760</f>
        <v/>
      </c>
      <c r="S761" s="64" t="str">
        <f>Ringkasan!S760</f>
        <v/>
      </c>
      <c r="T761" s="64" t="str">
        <f>Ringkasan!T760</f>
        <v/>
      </c>
      <c r="U761" s="64">
        <f>Ringkasan!U760</f>
        <v>12.65</v>
      </c>
      <c r="V761" s="64">
        <f>Ringkasan!V760</f>
        <v>-0.87</v>
      </c>
      <c r="W761" s="64">
        <f>Ringkasan!W760</f>
        <v>12.7</v>
      </c>
      <c r="X761" s="64">
        <f>Ringkasan!X760</f>
        <v>12.78</v>
      </c>
      <c r="Y761" s="64">
        <f>Ringkasan!Y760</f>
        <v>12.53</v>
      </c>
      <c r="Z761" s="64">
        <f>Ringkasan!Z760</f>
        <v>424701</v>
      </c>
      <c r="AA761" s="64" t="str">
        <f>Ringkasan!AA760</f>
        <v>Processed Foods</v>
      </c>
      <c r="AB761" s="64" t="str">
        <f>Ringkasan!AB760</f>
        <v>Consumer Non-Cyclicals</v>
      </c>
    </row>
    <row r="762" hidden="1">
      <c r="A762" s="64" t="str">
        <f>Ringkasan!A761</f>
        <v>GOTO</v>
      </c>
      <c r="B762" s="64" t="str">
        <f>Ringkasan!B761</f>
        <v>GoTo Gojek Tokopedia Tbk.</v>
      </c>
      <c r="C762" s="65">
        <f>Ringkasan!C761</f>
        <v>50</v>
      </c>
      <c r="D762" s="64" t="str">
        <f>Ringkasan!D761</f>
        <v>#N/A</v>
      </c>
      <c r="E762" s="64" t="str">
        <f>Ringkasan!E761</f>
        <v>MSCI Global Standard</v>
      </c>
      <c r="F762" s="64" t="str">
        <f>Ringkasan!F761</f>
        <v>12 Agustus 2026</v>
      </c>
      <c r="G762" s="64">
        <f>Ringkasan!G761</f>
        <v>6</v>
      </c>
      <c r="H762" s="19">
        <f>Ringkasan!H761</f>
        <v>-88.5</v>
      </c>
      <c r="I762" s="19">
        <f>Ringkasan!I761</f>
        <v>2</v>
      </c>
      <c r="J762" s="19">
        <f>Ringkasan!J761</f>
        <v>-2.2</v>
      </c>
      <c r="K762" s="19">
        <f>Ringkasan!K761</f>
        <v>-1.4</v>
      </c>
      <c r="L762" s="19">
        <f>Ringkasan!L761</f>
        <v>0.62</v>
      </c>
      <c r="M762" s="19">
        <f>Ringkasan!M761</f>
        <v>-12.1</v>
      </c>
      <c r="N762" s="64" t="str">
        <f>Ringkasan!N761</f>
        <v/>
      </c>
      <c r="O762" s="64" t="str">
        <f>Ringkasan!O761</f>
        <v/>
      </c>
      <c r="P762" s="64" t="str">
        <f>Ringkasan!P761</f>
        <v/>
      </c>
      <c r="Q762" s="64" t="str">
        <f>Ringkasan!Q761</f>
        <v/>
      </c>
      <c r="R762" s="64" t="str">
        <f>Ringkasan!R761</f>
        <v/>
      </c>
      <c r="S762" s="64" t="str">
        <f>Ringkasan!S761</f>
        <v/>
      </c>
      <c r="T762" s="64" t="str">
        <f>Ringkasan!T761</f>
        <v/>
      </c>
      <c r="U762" s="64">
        <f>Ringkasan!U761</f>
        <v>50</v>
      </c>
      <c r="V762" s="64">
        <f>Ringkasan!V761</f>
        <v>0</v>
      </c>
      <c r="W762" s="64">
        <f>Ringkasan!W761</f>
        <v>50</v>
      </c>
      <c r="X762" s="64">
        <f>Ringkasan!X761</f>
        <v>50</v>
      </c>
      <c r="Y762" s="64">
        <f>Ringkasan!Y761</f>
        <v>50</v>
      </c>
      <c r="Z762" s="64">
        <f>Ringkasan!Z761</f>
        <v>67675000</v>
      </c>
      <c r="AA762" s="64" t="str">
        <f>Ringkasan!AA761</f>
        <v>Software</v>
      </c>
      <c r="AB762" s="64" t="str">
        <f>Ringkasan!AB761</f>
        <v>Technology</v>
      </c>
    </row>
    <row r="763" hidden="1">
      <c r="A763" s="64" t="str">
        <f>Ringkasan!A762</f>
        <v>GOTO</v>
      </c>
      <c r="B763" s="64" t="str">
        <f>Ringkasan!B762</f>
        <v>GoTo Gojek Tokopedia Tbk.</v>
      </c>
      <c r="C763" s="65">
        <f>Ringkasan!C762</f>
        <v>50</v>
      </c>
      <c r="D763" s="64" t="str">
        <f>Ringkasan!D762</f>
        <v>#N/A</v>
      </c>
      <c r="E763" s="64" t="str">
        <f>Ringkasan!E762</f>
        <v>IDX80</v>
      </c>
      <c r="F763" s="64" t="str">
        <f>Ringkasan!F762</f>
        <v>31 Juli 2026</v>
      </c>
      <c r="G763" s="64">
        <f>Ringkasan!G762</f>
        <v>6</v>
      </c>
      <c r="H763" s="19">
        <f>Ringkasan!H762</f>
        <v>-88.5</v>
      </c>
      <c r="I763" s="19">
        <f>Ringkasan!I762</f>
        <v>2</v>
      </c>
      <c r="J763" s="19">
        <f>Ringkasan!J762</f>
        <v>-2.2</v>
      </c>
      <c r="K763" s="19">
        <f>Ringkasan!K762</f>
        <v>-1.4</v>
      </c>
      <c r="L763" s="19">
        <f>Ringkasan!L762</f>
        <v>0.62</v>
      </c>
      <c r="M763" s="19">
        <f>Ringkasan!M762</f>
        <v>-12.1</v>
      </c>
      <c r="N763" s="64" t="str">
        <f>Ringkasan!N762</f>
        <v/>
      </c>
      <c r="O763" s="64" t="str">
        <f>Ringkasan!O762</f>
        <v/>
      </c>
      <c r="P763" s="64" t="str">
        <f>Ringkasan!P762</f>
        <v/>
      </c>
      <c r="Q763" s="64" t="str">
        <f>Ringkasan!Q762</f>
        <v/>
      </c>
      <c r="R763" s="64" t="str">
        <f>Ringkasan!R762</f>
        <v/>
      </c>
      <c r="S763" s="64" t="str">
        <f>Ringkasan!S762</f>
        <v/>
      </c>
      <c r="T763" s="64" t="str">
        <f>Ringkasan!T762</f>
        <v/>
      </c>
      <c r="U763" s="64">
        <f>Ringkasan!U762</f>
        <v>50</v>
      </c>
      <c r="V763" s="64">
        <f>Ringkasan!V762</f>
        <v>0</v>
      </c>
      <c r="W763" s="64">
        <f>Ringkasan!W762</f>
        <v>50</v>
      </c>
      <c r="X763" s="64">
        <f>Ringkasan!X762</f>
        <v>50</v>
      </c>
      <c r="Y763" s="64">
        <f>Ringkasan!Y762</f>
        <v>50</v>
      </c>
      <c r="Z763" s="64">
        <f>Ringkasan!Z762</f>
        <v>67675000</v>
      </c>
      <c r="AA763" s="64" t="str">
        <f>Ringkasan!AA762</f>
        <v>Software</v>
      </c>
      <c r="AB763" s="64" t="str">
        <f>Ringkasan!AB762</f>
        <v>Technology</v>
      </c>
    </row>
    <row r="764" hidden="1">
      <c r="A764" s="64" t="str">
        <f>Ringkasan!A763</f>
        <v>GOTO</v>
      </c>
      <c r="B764" s="64" t="str">
        <f>Ringkasan!B763</f>
        <v>GoTo Gojek Tokopedia Tbk.</v>
      </c>
      <c r="C764" s="65">
        <f>Ringkasan!C763</f>
        <v>50</v>
      </c>
      <c r="D764" s="64" t="str">
        <f>Ringkasan!D763</f>
        <v>#N/A</v>
      </c>
      <c r="E764" s="64" t="str">
        <f>Ringkasan!E763</f>
        <v>LQ45</v>
      </c>
      <c r="F764" s="64" t="str">
        <f>Ringkasan!F763</f>
        <v>31 Juli 2026</v>
      </c>
      <c r="G764" s="64">
        <f>Ringkasan!G763</f>
        <v>6</v>
      </c>
      <c r="H764" s="19">
        <f>Ringkasan!H763</f>
        <v>-88.5</v>
      </c>
      <c r="I764" s="19">
        <f>Ringkasan!I763</f>
        <v>2</v>
      </c>
      <c r="J764" s="19">
        <f>Ringkasan!J763</f>
        <v>-2.2</v>
      </c>
      <c r="K764" s="19">
        <f>Ringkasan!K763</f>
        <v>-1.4</v>
      </c>
      <c r="L764" s="19">
        <f>Ringkasan!L763</f>
        <v>0.62</v>
      </c>
      <c r="M764" s="19">
        <f>Ringkasan!M763</f>
        <v>-12.1</v>
      </c>
      <c r="N764" s="64" t="str">
        <f>Ringkasan!N763</f>
        <v/>
      </c>
      <c r="O764" s="64" t="str">
        <f>Ringkasan!O763</f>
        <v/>
      </c>
      <c r="P764" s="64" t="str">
        <f>Ringkasan!P763</f>
        <v/>
      </c>
      <c r="Q764" s="64" t="str">
        <f>Ringkasan!Q763</f>
        <v/>
      </c>
      <c r="R764" s="64" t="str">
        <f>Ringkasan!R763</f>
        <v/>
      </c>
      <c r="S764" s="64" t="str">
        <f>Ringkasan!S763</f>
        <v/>
      </c>
      <c r="T764" s="64" t="str">
        <f>Ringkasan!T763</f>
        <v/>
      </c>
      <c r="U764" s="64">
        <f>Ringkasan!U763</f>
        <v>50</v>
      </c>
      <c r="V764" s="64">
        <f>Ringkasan!V763</f>
        <v>0</v>
      </c>
      <c r="W764" s="64">
        <f>Ringkasan!W763</f>
        <v>50</v>
      </c>
      <c r="X764" s="64">
        <f>Ringkasan!X763</f>
        <v>50</v>
      </c>
      <c r="Y764" s="64">
        <f>Ringkasan!Y763</f>
        <v>50</v>
      </c>
      <c r="Z764" s="64">
        <f>Ringkasan!Z763</f>
        <v>67675000</v>
      </c>
      <c r="AA764" s="64" t="str">
        <f>Ringkasan!AA763</f>
        <v>Software</v>
      </c>
      <c r="AB764" s="64" t="str">
        <f>Ringkasan!AB763</f>
        <v>Technology</v>
      </c>
    </row>
    <row r="765" hidden="1">
      <c r="A765" s="64" t="str">
        <f>Ringkasan!A334</f>
        <v>BINO</v>
      </c>
      <c r="B765" s="64" t="str">
        <f>Ringkasan!B334</f>
        <v>Perma Plasindo Tbk.</v>
      </c>
      <c r="C765" s="65">
        <f>Ringkasan!C334</f>
        <v>103</v>
      </c>
      <c r="D765" s="64" t="str">
        <f>Ringkasan!D334</f>
        <v>#N/A</v>
      </c>
      <c r="E765" s="64" t="str">
        <f>Ringkasan!E334</f>
        <v/>
      </c>
      <c r="F765" s="64" t="str">
        <f>Ringkasan!F334</f>
        <v/>
      </c>
      <c r="G765" s="64">
        <f>Ringkasan!G334</f>
        <v>0</v>
      </c>
      <c r="H765" s="19">
        <f>Ringkasan!H334</f>
        <v>-13.5</v>
      </c>
      <c r="I765" s="19">
        <f>Ringkasan!I334</f>
        <v>0.61</v>
      </c>
      <c r="J765" s="19">
        <f>Ringkasan!J334</f>
        <v>-4.5</v>
      </c>
      <c r="K765" s="19">
        <f>Ringkasan!K334</f>
        <v>-3.2</v>
      </c>
      <c r="L765" s="19">
        <f>Ringkasan!L334</f>
        <v>0.41</v>
      </c>
      <c r="M765" s="19">
        <f>Ringkasan!M334</f>
        <v>-17.1</v>
      </c>
      <c r="N765" s="64" t="str">
        <f>Ringkasan!N334</f>
        <v/>
      </c>
      <c r="O765" s="64" t="str">
        <f>Ringkasan!O334</f>
        <v/>
      </c>
      <c r="P765" s="64" t="str">
        <f>Ringkasan!P334</f>
        <v/>
      </c>
      <c r="Q765" s="64" t="str">
        <f>Ringkasan!Q334</f>
        <v/>
      </c>
      <c r="R765" s="64" t="str">
        <f>Ringkasan!R334</f>
        <v/>
      </c>
      <c r="S765" s="64" t="str">
        <f>Ringkasan!S334</f>
        <v/>
      </c>
      <c r="T765" s="64" t="str">
        <f>Ringkasan!T334</f>
        <v/>
      </c>
      <c r="U765" s="64">
        <f>Ringkasan!U334</f>
        <v>99</v>
      </c>
      <c r="V765" s="64">
        <f>Ringkasan!V334</f>
        <v>4.04</v>
      </c>
      <c r="W765" s="64">
        <f>Ringkasan!W334</f>
        <v>101</v>
      </c>
      <c r="X765" s="64">
        <f>Ringkasan!X334</f>
        <v>108</v>
      </c>
      <c r="Y765" s="64">
        <f>Ringkasan!Y334</f>
        <v>94</v>
      </c>
      <c r="Z765" s="64">
        <f>Ringkasan!Z334</f>
        <v>597500</v>
      </c>
      <c r="AA765" s="64" t="str">
        <f>Ringkasan!AA334</f>
        <v>Commercial Services</v>
      </c>
      <c r="AB765" s="64" t="str">
        <f>Ringkasan!AB334</f>
        <v>Industrials</v>
      </c>
    </row>
    <row r="766" hidden="1">
      <c r="A766" s="64" t="str">
        <f>Ringkasan!A765</f>
        <v>GOTO</v>
      </c>
      <c r="B766" s="64" t="str">
        <f>Ringkasan!B765</f>
        <v>GoTo Gojek Tokopedia Tbk.</v>
      </c>
      <c r="C766" s="65">
        <f>Ringkasan!C765</f>
        <v>50</v>
      </c>
      <c r="D766" s="64" t="str">
        <f>Ringkasan!D765</f>
        <v>#N/A</v>
      </c>
      <c r="E766" s="64" t="str">
        <f>Ringkasan!E765</f>
        <v>Kompas100</v>
      </c>
      <c r="F766" s="64" t="str">
        <f>Ringkasan!F765</f>
        <v>31 Juli 2026</v>
      </c>
      <c r="G766" s="64">
        <f>Ringkasan!G765</f>
        <v>6</v>
      </c>
      <c r="H766" s="19">
        <f>Ringkasan!H765</f>
        <v>-88.5</v>
      </c>
      <c r="I766" s="19">
        <f>Ringkasan!I765</f>
        <v>2</v>
      </c>
      <c r="J766" s="19">
        <f>Ringkasan!J765</f>
        <v>-2.2</v>
      </c>
      <c r="K766" s="19">
        <f>Ringkasan!K765</f>
        <v>-1.4</v>
      </c>
      <c r="L766" s="19">
        <f>Ringkasan!L765</f>
        <v>0.62</v>
      </c>
      <c r="M766" s="19">
        <f>Ringkasan!M765</f>
        <v>-12.1</v>
      </c>
      <c r="N766" s="64" t="str">
        <f>Ringkasan!N765</f>
        <v/>
      </c>
      <c r="O766" s="64" t="str">
        <f>Ringkasan!O765</f>
        <v/>
      </c>
      <c r="P766" s="64" t="str">
        <f>Ringkasan!P765</f>
        <v/>
      </c>
      <c r="Q766" s="64" t="str">
        <f>Ringkasan!Q765</f>
        <v/>
      </c>
      <c r="R766" s="64" t="str">
        <f>Ringkasan!R765</f>
        <v/>
      </c>
      <c r="S766" s="64" t="str">
        <f>Ringkasan!S765</f>
        <v/>
      </c>
      <c r="T766" s="64" t="str">
        <f>Ringkasan!T765</f>
        <v/>
      </c>
      <c r="U766" s="64">
        <f>Ringkasan!U765</f>
        <v>50</v>
      </c>
      <c r="V766" s="64">
        <f>Ringkasan!V765</f>
        <v>0</v>
      </c>
      <c r="W766" s="64">
        <f>Ringkasan!W765</f>
        <v>50</v>
      </c>
      <c r="X766" s="64">
        <f>Ringkasan!X765</f>
        <v>50</v>
      </c>
      <c r="Y766" s="64">
        <f>Ringkasan!Y765</f>
        <v>50</v>
      </c>
      <c r="Z766" s="64">
        <f>Ringkasan!Z765</f>
        <v>67675000</v>
      </c>
      <c r="AA766" s="64" t="str">
        <f>Ringkasan!AA765</f>
        <v>Software</v>
      </c>
      <c r="AB766" s="64" t="str">
        <f>Ringkasan!AB765</f>
        <v>Technology</v>
      </c>
    </row>
    <row r="767" hidden="1">
      <c r="A767" s="64" t="str">
        <f>Ringkasan!A416</f>
        <v>BRMS</v>
      </c>
      <c r="B767" s="64" t="str">
        <f>Ringkasan!B416</f>
        <v>Bumi Resources Minerals Tbk.</v>
      </c>
      <c r="C767" s="65">
        <f>Ringkasan!C416</f>
        <v>530</v>
      </c>
      <c r="D767" s="64" t="str">
        <f>Ringkasan!D416</f>
        <v>#N/A</v>
      </c>
      <c r="E767" s="64" t="str">
        <f>Ringkasan!E416</f>
        <v>MSCI Global Standard</v>
      </c>
      <c r="F767" s="64" t="str">
        <f>Ringkasan!F416</f>
        <v>12 Agustus 2026</v>
      </c>
      <c r="G767" s="64">
        <f>Ringkasan!G416</f>
        <v>8</v>
      </c>
      <c r="H767" s="19">
        <f>Ringkasan!H416</f>
        <v>94</v>
      </c>
      <c r="I767" s="19">
        <f>Ringkasan!I416</f>
        <v>4.7</v>
      </c>
      <c r="J767" s="19">
        <f>Ringkasan!J416</f>
        <v>5</v>
      </c>
      <c r="K767" s="19">
        <f>Ringkasan!K416</f>
        <v>3.8</v>
      </c>
      <c r="L767" s="19">
        <f>Ringkasan!L416</f>
        <v>0.32</v>
      </c>
      <c r="M767" s="19">
        <f>Ringkasan!M416</f>
        <v>76</v>
      </c>
      <c r="N767" s="64" t="str">
        <f>Ringkasan!N416</f>
        <v/>
      </c>
      <c r="O767" s="64" t="str">
        <f>Ringkasan!O416</f>
        <v/>
      </c>
      <c r="P767" s="64" t="str">
        <f>Ringkasan!P416</f>
        <v/>
      </c>
      <c r="Q767" s="64" t="str">
        <f>Ringkasan!Q416</f>
        <v/>
      </c>
      <c r="R767" s="64" t="str">
        <f>Ringkasan!R416</f>
        <v/>
      </c>
      <c r="S767" s="64" t="str">
        <f>Ringkasan!S416</f>
        <v/>
      </c>
      <c r="T767" s="64" t="str">
        <f>Ringkasan!T416</f>
        <v/>
      </c>
      <c r="U767" s="64">
        <f>Ringkasan!U416</f>
        <v>480</v>
      </c>
      <c r="V767" s="64">
        <f>Ringkasan!V416</f>
        <v>10.42</v>
      </c>
      <c r="W767" s="64">
        <f>Ringkasan!W416</f>
        <v>494</v>
      </c>
      <c r="X767" s="64">
        <f>Ringkasan!X416</f>
        <v>565</v>
      </c>
      <c r="Y767" s="64">
        <f>Ringkasan!Y416</f>
        <v>494</v>
      </c>
      <c r="Z767" s="64">
        <f>Ringkasan!Z416</f>
        <v>592595900</v>
      </c>
      <c r="AA767" s="64" t="str">
        <f>Ringkasan!AA416</f>
        <v>Metals &amp; Minerals</v>
      </c>
      <c r="AB767" s="64" t="str">
        <f>Ringkasan!AB416</f>
        <v>Basic Materials</v>
      </c>
    </row>
    <row r="768" hidden="1">
      <c r="A768" s="64" t="str">
        <f>Ringkasan!A767</f>
        <v>GOTOM</v>
      </c>
      <c r="B768" s="64" t="str">
        <f>Ringkasan!B767</f>
        <v>MVS GoTo Gojek Tokopedia Tbk.</v>
      </c>
      <c r="C768" s="65">
        <f>Ringkasan!C767</f>
        <v>0</v>
      </c>
      <c r="D768" s="64" t="str">
        <f>Ringkasan!D767</f>
        <v>#N/A</v>
      </c>
      <c r="E768" s="64" t="str">
        <f>Ringkasan!E767</f>
        <v/>
      </c>
      <c r="F768" s="64" t="str">
        <f>Ringkasan!F767</f>
        <v/>
      </c>
      <c r="G768" s="64">
        <f>Ringkasan!G767</f>
        <v>0</v>
      </c>
      <c r="H768" s="19">
        <f>Ringkasan!H767</f>
        <v>-5.3</v>
      </c>
      <c r="I768" s="19">
        <f>Ringkasan!I767</f>
        <v>0.12</v>
      </c>
      <c r="J768" s="19">
        <f>Ringkasan!J767</f>
        <v>-2.2</v>
      </c>
      <c r="K768" s="19">
        <f>Ringkasan!K767</f>
        <v>-1.4</v>
      </c>
      <c r="L768" s="19">
        <f>Ringkasan!L767</f>
        <v>0.62</v>
      </c>
      <c r="M768" s="19">
        <f>Ringkasan!M767</f>
        <v>-12.1</v>
      </c>
      <c r="N768" s="64" t="str">
        <f>Ringkasan!N767</f>
        <v/>
      </c>
      <c r="O768" s="64" t="str">
        <f>Ringkasan!O767</f>
        <v/>
      </c>
      <c r="P768" s="64" t="str">
        <f>Ringkasan!P767</f>
        <v/>
      </c>
      <c r="Q768" s="64" t="str">
        <f>Ringkasan!Q767</f>
        <v/>
      </c>
      <c r="R768" s="64" t="str">
        <f>Ringkasan!R767</f>
        <v/>
      </c>
      <c r="S768" s="64" t="str">
        <f>Ringkasan!S767</f>
        <v/>
      </c>
      <c r="T768" s="64" t="str">
        <f>Ringkasan!T767</f>
        <v/>
      </c>
      <c r="U768" s="64" t="str">
        <f>Ringkasan!U767</f>
        <v/>
      </c>
      <c r="V768" s="64" t="str">
        <f>Ringkasan!V767</f>
        <v/>
      </c>
      <c r="W768" s="64" t="str">
        <f>Ringkasan!W767</f>
        <v/>
      </c>
      <c r="X768" s="64" t="str">
        <f>Ringkasan!X767</f>
        <v/>
      </c>
      <c r="Y768" s="64" t="str">
        <f>Ringkasan!Y767</f>
        <v/>
      </c>
      <c r="Z768" s="64">
        <f>Ringkasan!Z767</f>
        <v>0</v>
      </c>
      <c r="AA768" s="64" t="str">
        <f>Ringkasan!AA767</f>
        <v>Online Applications &amp; Services</v>
      </c>
      <c r="AB768" s="64" t="str">
        <f>Ringkasan!AB767</f>
        <v>Technology</v>
      </c>
    </row>
    <row r="769" hidden="1">
      <c r="A769" s="64" t="str">
        <f>Ringkasan!A768</f>
        <v>GPRA</v>
      </c>
      <c r="B769" s="64" t="str">
        <f>Ringkasan!B768</f>
        <v>Perdana Gapuraprima Tbk.</v>
      </c>
      <c r="C769" s="65">
        <f>Ringkasan!C768</f>
        <v>105</v>
      </c>
      <c r="D769" s="64" t="str">
        <f>Ringkasan!D768</f>
        <v>#N/A</v>
      </c>
      <c r="E769" s="64" t="str">
        <f>Ringkasan!E768</f>
        <v/>
      </c>
      <c r="F769" s="64" t="str">
        <f>Ringkasan!F768</f>
        <v/>
      </c>
      <c r="G769" s="64">
        <f>Ringkasan!G768</f>
        <v>0</v>
      </c>
      <c r="H769" s="19">
        <f>Ringkasan!H768</f>
        <v>8.5</v>
      </c>
      <c r="I769" s="19">
        <f>Ringkasan!I768</f>
        <v>0.3</v>
      </c>
      <c r="J769" s="19">
        <f>Ringkasan!J768</f>
        <v>3.5</v>
      </c>
      <c r="K769" s="19">
        <f>Ringkasan!K768</f>
        <v>2.6</v>
      </c>
      <c r="L769" s="19">
        <f>Ringkasan!L768</f>
        <v>0.37</v>
      </c>
      <c r="M769" s="19">
        <f>Ringkasan!M768</f>
        <v>62.9</v>
      </c>
      <c r="N769" s="64" t="str">
        <f>Ringkasan!N768</f>
        <v/>
      </c>
      <c r="O769" s="64" t="str">
        <f>Ringkasan!O768</f>
        <v/>
      </c>
      <c r="P769" s="64" t="str">
        <f>Ringkasan!P768</f>
        <v/>
      </c>
      <c r="Q769" s="64" t="str">
        <f>Ringkasan!Q768</f>
        <v/>
      </c>
      <c r="R769" s="64" t="str">
        <f>Ringkasan!R768</f>
        <v/>
      </c>
      <c r="S769" s="64" t="str">
        <f>Ringkasan!S768</f>
        <v/>
      </c>
      <c r="T769" s="64" t="str">
        <f>Ringkasan!T768</f>
        <v/>
      </c>
      <c r="U769" s="64">
        <f>Ringkasan!U768</f>
        <v>104</v>
      </c>
      <c r="V769" s="64">
        <f>Ringkasan!V768</f>
        <v>0.96</v>
      </c>
      <c r="W769" s="64" t="str">
        <f>Ringkasan!W768</f>
        <v/>
      </c>
      <c r="X769" s="64">
        <f>Ringkasan!X768</f>
        <v>107</v>
      </c>
      <c r="Y769" s="64">
        <f>Ringkasan!Y768</f>
        <v>103</v>
      </c>
      <c r="Z769" s="64">
        <f>Ringkasan!Z768</f>
        <v>9944800</v>
      </c>
      <c r="AA769" s="64" t="str">
        <f>Ringkasan!AA768</f>
        <v>Real Estate Management &amp; Development</v>
      </c>
      <c r="AB769" s="64" t="str">
        <f>Ringkasan!AB768</f>
        <v>Properties &amp; Real Estate</v>
      </c>
    </row>
    <row r="770" hidden="1">
      <c r="A770" s="64" t="str">
        <f>Ringkasan!A769</f>
        <v>GPSO</v>
      </c>
      <c r="B770" s="64" t="str">
        <f>Ringkasan!B769</f>
        <v>Geoprima Solusi Tbk.</v>
      </c>
      <c r="C770" s="65">
        <f>Ringkasan!C769</f>
        <v>336</v>
      </c>
      <c r="D770" s="64" t="str">
        <f>Ringkasan!D769</f>
        <v>#N/A</v>
      </c>
      <c r="E770" s="64" t="str">
        <f>Ringkasan!E769</f>
        <v/>
      </c>
      <c r="F770" s="64" t="str">
        <f>Ringkasan!F769</f>
        <v/>
      </c>
      <c r="G770" s="64">
        <f>Ringkasan!G769</f>
        <v>0</v>
      </c>
      <c r="H770" s="19">
        <f>Ringkasan!H769</f>
        <v>-190</v>
      </c>
      <c r="I770" s="19">
        <f>Ringkasan!I769</f>
        <v>8</v>
      </c>
      <c r="J770" s="19">
        <f>Ringkasan!J769</f>
        <v>-4.2</v>
      </c>
      <c r="K770" s="19">
        <f>Ringkasan!K769</f>
        <v>-3.8</v>
      </c>
      <c r="L770" s="19">
        <f>Ringkasan!L769</f>
        <v>0.13</v>
      </c>
      <c r="M770" s="19">
        <f>Ringkasan!M769</f>
        <v>-380</v>
      </c>
      <c r="N770" s="64" t="str">
        <f>Ringkasan!N769</f>
        <v/>
      </c>
      <c r="O770" s="64" t="str">
        <f>Ringkasan!O769</f>
        <v/>
      </c>
      <c r="P770" s="64" t="str">
        <f>Ringkasan!P769</f>
        <v/>
      </c>
      <c r="Q770" s="64" t="str">
        <f>Ringkasan!Q769</f>
        <v/>
      </c>
      <c r="R770" s="64" t="str">
        <f>Ringkasan!R769</f>
        <v/>
      </c>
      <c r="S770" s="64" t="str">
        <f>Ringkasan!S769</f>
        <v/>
      </c>
      <c r="T770" s="64" t="str">
        <f>Ringkasan!T769</f>
        <v/>
      </c>
      <c r="U770" s="64">
        <f>Ringkasan!U769</f>
        <v>312</v>
      </c>
      <c r="V770" s="64">
        <f>Ringkasan!V769</f>
        <v>7.69</v>
      </c>
      <c r="W770" s="64">
        <f>Ringkasan!W769</f>
        <v>310</v>
      </c>
      <c r="X770" s="64">
        <f>Ringkasan!X769</f>
        <v>336</v>
      </c>
      <c r="Y770" s="64">
        <f>Ringkasan!Y769</f>
        <v>308</v>
      </c>
      <c r="Z770" s="64">
        <f>Ringkasan!Z769</f>
        <v>57424900</v>
      </c>
      <c r="AA770" s="64" t="str">
        <f>Ringkasan!AA769</f>
        <v>Machinery</v>
      </c>
      <c r="AB770" s="64" t="str">
        <f>Ringkasan!AB769</f>
        <v>Industrials</v>
      </c>
    </row>
    <row r="771" hidden="1">
      <c r="A771" s="64" t="str">
        <f>Ringkasan!A398</f>
        <v>BPFI</v>
      </c>
      <c r="B771" s="64" t="str">
        <f>Ringkasan!B398</f>
        <v>Woori Finance Indonesia Tbk.</v>
      </c>
      <c r="C771" s="61">
        <f>Ringkasan!C398</f>
        <v>272</v>
      </c>
      <c r="D771" s="60" t="str">
        <f>Ringkasan!D398</f>
        <v>#N/A</v>
      </c>
      <c r="E771" s="64" t="str">
        <f>Ringkasan!E398</f>
        <v/>
      </c>
      <c r="F771" s="64" t="str">
        <f>Ringkasan!F398</f>
        <v/>
      </c>
      <c r="G771" s="64">
        <f>Ringkasan!G398</f>
        <v>0</v>
      </c>
      <c r="H771" s="19">
        <f>Ringkasan!H398</f>
        <v>8.6</v>
      </c>
      <c r="I771" s="19">
        <f>Ringkasan!I398</f>
        <v>0.6</v>
      </c>
      <c r="J771" s="19">
        <f>Ringkasan!J398</f>
        <v>6.9</v>
      </c>
      <c r="K771" s="19">
        <f>Ringkasan!K398</f>
        <v>2.8</v>
      </c>
      <c r="L771" s="19">
        <f>Ringkasan!L398</f>
        <v>1.5</v>
      </c>
      <c r="M771" s="19">
        <f>Ringkasan!M398</f>
        <v>81</v>
      </c>
      <c r="N771" s="64" t="str">
        <f>Ringkasan!N398</f>
        <v/>
      </c>
      <c r="O771" s="64" t="str">
        <f>Ringkasan!O398</f>
        <v/>
      </c>
      <c r="P771" s="64" t="str">
        <f>Ringkasan!P398</f>
        <v/>
      </c>
      <c r="Q771" s="64" t="str">
        <f>Ringkasan!Q398</f>
        <v/>
      </c>
      <c r="R771" s="64" t="str">
        <f>Ringkasan!R398</f>
        <v/>
      </c>
      <c r="S771" s="64" t="str">
        <f>Ringkasan!S398</f>
        <v/>
      </c>
      <c r="T771" s="64" t="str">
        <f>Ringkasan!T398</f>
        <v/>
      </c>
      <c r="U771" s="60">
        <f>Ringkasan!U398</f>
        <v>278</v>
      </c>
      <c r="V771" s="60">
        <f>Ringkasan!V398</f>
        <v>-2.16</v>
      </c>
      <c r="W771" s="60">
        <f>Ringkasan!W398</f>
        <v>274</v>
      </c>
      <c r="X771" s="60">
        <f>Ringkasan!X398</f>
        <v>274</v>
      </c>
      <c r="Y771" s="60">
        <f>Ringkasan!Y398</f>
        <v>252</v>
      </c>
      <c r="Z771" s="60">
        <f>Ringkasan!Z398</f>
        <v>173200</v>
      </c>
      <c r="AA771" s="64" t="str">
        <f>Ringkasan!AA398</f>
        <v>Consumer Financing</v>
      </c>
      <c r="AB771" s="64" t="str">
        <f>Ringkasan!AB398</f>
        <v>Financials</v>
      </c>
    </row>
    <row r="772" hidden="1">
      <c r="A772" s="64" t="str">
        <f>Ringkasan!A771</f>
        <v>GRPH</v>
      </c>
      <c r="B772" s="64" t="str">
        <f>Ringkasan!B771</f>
        <v>Griptha Putra Persada Tbk.</v>
      </c>
      <c r="C772" s="65">
        <f>Ringkasan!C771</f>
        <v>61</v>
      </c>
      <c r="D772" s="64" t="str">
        <f>Ringkasan!D771</f>
        <v>#N/A</v>
      </c>
      <c r="E772" s="64" t="str">
        <f>Ringkasan!E771</f>
        <v/>
      </c>
      <c r="F772" s="64" t="str">
        <f>Ringkasan!F771</f>
        <v/>
      </c>
      <c r="G772" s="64">
        <f>Ringkasan!G771</f>
        <v>0</v>
      </c>
      <c r="H772" s="19">
        <f>Ringkasan!H771</f>
        <v>19.8</v>
      </c>
      <c r="I772" s="19">
        <f>Ringkasan!I771</f>
        <v>0.81</v>
      </c>
      <c r="J772" s="19">
        <f>Ringkasan!J771</f>
        <v>4.1</v>
      </c>
      <c r="K772" s="19">
        <f>Ringkasan!K771</f>
        <v>3.2</v>
      </c>
      <c r="L772" s="19">
        <f>Ringkasan!L771</f>
        <v>0.28</v>
      </c>
      <c r="M772" s="19">
        <f>Ringkasan!M771</f>
        <v>42.8</v>
      </c>
      <c r="N772" s="64" t="str">
        <f>Ringkasan!N771</f>
        <v/>
      </c>
      <c r="O772" s="64" t="str">
        <f>Ringkasan!O771</f>
        <v/>
      </c>
      <c r="P772" s="64" t="str">
        <f>Ringkasan!P771</f>
        <v/>
      </c>
      <c r="Q772" s="64" t="str">
        <f>Ringkasan!Q771</f>
        <v/>
      </c>
      <c r="R772" s="64" t="str">
        <f>Ringkasan!R771</f>
        <v/>
      </c>
      <c r="S772" s="64" t="str">
        <f>Ringkasan!S771</f>
        <v/>
      </c>
      <c r="T772" s="64" t="str">
        <f>Ringkasan!T771</f>
        <v/>
      </c>
      <c r="U772" s="64">
        <f>Ringkasan!U771</f>
        <v>56</v>
      </c>
      <c r="V772" s="64">
        <f>Ringkasan!V771</f>
        <v>8.93</v>
      </c>
      <c r="W772" s="64">
        <f>Ringkasan!W771</f>
        <v>57</v>
      </c>
      <c r="X772" s="64">
        <f>Ringkasan!X771</f>
        <v>71</v>
      </c>
      <c r="Y772" s="64">
        <f>Ringkasan!Y771</f>
        <v>57</v>
      </c>
      <c r="Z772" s="64">
        <f>Ringkasan!Z771</f>
        <v>51946600</v>
      </c>
      <c r="AA772" s="64" t="str">
        <f>Ringkasan!AA771</f>
        <v>Tourism &amp; Recreation</v>
      </c>
      <c r="AB772" s="64" t="str">
        <f>Ringkasan!AB771</f>
        <v>Consumer Cyclicals</v>
      </c>
    </row>
    <row r="773" hidden="1">
      <c r="A773" s="64" t="str">
        <f>Ringkasan!A435</f>
        <v>BRRC</v>
      </c>
      <c r="B773" s="64" t="str">
        <f>Ringkasan!B435</f>
        <v>Raja Roti Cemerlang Tbk.</v>
      </c>
      <c r="C773" s="65">
        <f>Ringkasan!C435</f>
        <v>57</v>
      </c>
      <c r="D773" s="64" t="str">
        <f>Ringkasan!D435</f>
        <v>#N/A</v>
      </c>
      <c r="E773" s="64" t="str">
        <f>Ringkasan!E435</f>
        <v/>
      </c>
      <c r="F773" s="64" t="str">
        <f>Ringkasan!F435</f>
        <v/>
      </c>
      <c r="G773" s="64">
        <f>Ringkasan!G435</f>
        <v>0</v>
      </c>
      <c r="H773" s="19">
        <f>Ringkasan!H435</f>
        <v>33.5</v>
      </c>
      <c r="I773" s="19">
        <f>Ringkasan!I435</f>
        <v>0.69</v>
      </c>
      <c r="J773" s="19">
        <f>Ringkasan!J435</f>
        <v>2.1</v>
      </c>
      <c r="K773" s="19">
        <f>Ringkasan!K435</f>
        <v>1.4</v>
      </c>
      <c r="L773" s="19">
        <f>Ringkasan!L435</f>
        <v>0.46</v>
      </c>
      <c r="M773" s="19">
        <f>Ringkasan!M435</f>
        <v>5.7</v>
      </c>
      <c r="N773" s="64" t="str">
        <f>Ringkasan!N435</f>
        <v/>
      </c>
      <c r="O773" s="64" t="str">
        <f>Ringkasan!O435</f>
        <v/>
      </c>
      <c r="P773" s="64" t="str">
        <f>Ringkasan!P435</f>
        <v/>
      </c>
      <c r="Q773" s="64" t="str">
        <f>Ringkasan!Q435</f>
        <v/>
      </c>
      <c r="R773" s="64" t="str">
        <f>Ringkasan!R435</f>
        <v/>
      </c>
      <c r="S773" s="64" t="str">
        <f>Ringkasan!S435</f>
        <v/>
      </c>
      <c r="T773" s="64" t="str">
        <f>Ringkasan!T435</f>
        <v/>
      </c>
      <c r="U773" s="64">
        <f>Ringkasan!U435</f>
        <v>55</v>
      </c>
      <c r="V773" s="64">
        <f>Ringkasan!V435</f>
        <v>3.64</v>
      </c>
      <c r="W773" s="64">
        <f>Ringkasan!W435</f>
        <v>56</v>
      </c>
      <c r="X773" s="64">
        <f>Ringkasan!X435</f>
        <v>59</v>
      </c>
      <c r="Y773" s="64">
        <f>Ringkasan!Y435</f>
        <v>55</v>
      </c>
      <c r="Z773" s="64">
        <f>Ringkasan!Z435</f>
        <v>9334000</v>
      </c>
      <c r="AA773" s="64" t="str">
        <f>Ringkasan!AA435</f>
        <v>Processed Foods</v>
      </c>
      <c r="AB773" s="64" t="str">
        <f>Ringkasan!AB435</f>
        <v>Consumer Non-Cyclicals</v>
      </c>
    </row>
    <row r="774" hidden="1">
      <c r="A774" s="64" t="str">
        <f>Ringkasan!A773</f>
        <v>GSMF</v>
      </c>
      <c r="B774" s="64" t="str">
        <f>Ringkasan!B773</f>
        <v>Equity Development Investment Tbk.</v>
      </c>
      <c r="C774" s="65">
        <f>Ringkasan!C773</f>
        <v>72</v>
      </c>
      <c r="D774" s="64" t="str">
        <f>Ringkasan!D773</f>
        <v>#N/A</v>
      </c>
      <c r="E774" s="64" t="str">
        <f>Ringkasan!E773</f>
        <v/>
      </c>
      <c r="F774" s="64" t="str">
        <f>Ringkasan!F773</f>
        <v/>
      </c>
      <c r="G774" s="64">
        <f>Ringkasan!G773</f>
        <v>0</v>
      </c>
      <c r="H774" s="19">
        <f>Ringkasan!H773</f>
        <v>23.7</v>
      </c>
      <c r="I774" s="19">
        <f>Ringkasan!I773</f>
        <v>0.55</v>
      </c>
      <c r="J774" s="19">
        <f>Ringkasan!J773</f>
        <v>2.3</v>
      </c>
      <c r="K774" s="19">
        <f>Ringkasan!K773</f>
        <v>1.1</v>
      </c>
      <c r="L774" s="19">
        <f>Ringkasan!L773</f>
        <v>1.2</v>
      </c>
      <c r="M774" s="19">
        <f>Ringkasan!M773</f>
        <v>18.1</v>
      </c>
      <c r="N774" s="64" t="str">
        <f>Ringkasan!N773</f>
        <v/>
      </c>
      <c r="O774" s="64" t="str">
        <f>Ringkasan!O773</f>
        <v/>
      </c>
      <c r="P774" s="64" t="str">
        <f>Ringkasan!P773</f>
        <v/>
      </c>
      <c r="Q774" s="64" t="str">
        <f>Ringkasan!Q773</f>
        <v/>
      </c>
      <c r="R774" s="64" t="str">
        <f>Ringkasan!R773</f>
        <v/>
      </c>
      <c r="S774" s="64" t="str">
        <f>Ringkasan!S773</f>
        <v/>
      </c>
      <c r="T774" s="64" t="str">
        <f>Ringkasan!T773</f>
        <v/>
      </c>
      <c r="U774" s="64">
        <f>Ringkasan!U773</f>
        <v>69</v>
      </c>
      <c r="V774" s="64">
        <f>Ringkasan!V773</f>
        <v>4.35</v>
      </c>
      <c r="W774" s="64">
        <f>Ringkasan!W773</f>
        <v>77</v>
      </c>
      <c r="X774" s="64">
        <f>Ringkasan!X773</f>
        <v>80</v>
      </c>
      <c r="Y774" s="64">
        <f>Ringkasan!Y773</f>
        <v>71</v>
      </c>
      <c r="Z774" s="64" t="str">
        <f>Ringkasan!Z773</f>
        <v/>
      </c>
      <c r="AA774" s="64" t="str">
        <f>Ringkasan!AA773</f>
        <v>Holding &amp; Investment Companies</v>
      </c>
      <c r="AB774" s="64" t="str">
        <f>Ringkasan!AB773</f>
        <v>Financials</v>
      </c>
    </row>
    <row r="775" hidden="1">
      <c r="A775" s="64" t="str">
        <f>Ringkasan!A774</f>
        <v>GTBO</v>
      </c>
      <c r="B775" s="64" t="str">
        <f>Ringkasan!B774</f>
        <v>Garda Tujuh Buana Tbk</v>
      </c>
      <c r="C775" s="65">
        <f>Ringkasan!C774</f>
        <v>180</v>
      </c>
      <c r="D775" s="64" t="str">
        <f>Ringkasan!D774</f>
        <v>#N/A</v>
      </c>
      <c r="E775" s="64" t="str">
        <f>Ringkasan!E774</f>
        <v/>
      </c>
      <c r="F775" s="64" t="str">
        <f>Ringkasan!F774</f>
        <v/>
      </c>
      <c r="G775" s="64">
        <f>Ringkasan!G774</f>
        <v>0</v>
      </c>
      <c r="H775" s="19">
        <f>Ringkasan!H774</f>
        <v>-6.4</v>
      </c>
      <c r="I775" s="19">
        <f>Ringkasan!I774</f>
        <v>0.62</v>
      </c>
      <c r="J775" s="19">
        <f>Ringkasan!J774</f>
        <v>-9.6</v>
      </c>
      <c r="K775" s="19">
        <f>Ringkasan!K774</f>
        <v>-8.2</v>
      </c>
      <c r="L775" s="19">
        <f>Ringkasan!L774</f>
        <v>0.18</v>
      </c>
      <c r="M775" s="19">
        <f>Ringkasan!M774</f>
        <v>-43.4</v>
      </c>
      <c r="N775" s="64" t="str">
        <f>Ringkasan!N774</f>
        <v/>
      </c>
      <c r="O775" s="64" t="str">
        <f>Ringkasan!O774</f>
        <v/>
      </c>
      <c r="P775" s="64" t="str">
        <f>Ringkasan!P774</f>
        <v/>
      </c>
      <c r="Q775" s="64" t="str">
        <f>Ringkasan!Q774</f>
        <v/>
      </c>
      <c r="R775" s="64" t="str">
        <f>Ringkasan!R774</f>
        <v/>
      </c>
      <c r="S775" s="64" t="str">
        <f>Ringkasan!S774</f>
        <v/>
      </c>
      <c r="T775" s="64" t="str">
        <f>Ringkasan!T774</f>
        <v/>
      </c>
      <c r="U775" s="64">
        <f>Ringkasan!U774</f>
        <v>175</v>
      </c>
      <c r="V775" s="64">
        <f>Ringkasan!V774</f>
        <v>2.86</v>
      </c>
      <c r="W775" s="64">
        <f>Ringkasan!W774</f>
        <v>174</v>
      </c>
      <c r="X775" s="64">
        <f>Ringkasan!X774</f>
        <v>188</v>
      </c>
      <c r="Y775" s="64" t="str">
        <f>Ringkasan!Y774</f>
        <v/>
      </c>
      <c r="Z775" s="64">
        <f>Ringkasan!Z774</f>
        <v>942600</v>
      </c>
      <c r="AA775" s="64" t="str">
        <f>Ringkasan!AA774</f>
        <v>Coal</v>
      </c>
      <c r="AB775" s="64" t="str">
        <f>Ringkasan!AB774</f>
        <v>Energy</v>
      </c>
    </row>
    <row r="776" hidden="1">
      <c r="A776" s="64" t="str">
        <f>Ringkasan!A775</f>
        <v>GTRA</v>
      </c>
      <c r="B776" s="64" t="str">
        <f>Ringkasan!B775</f>
        <v>PT Grahaprima Suksesmandiri Tbk</v>
      </c>
      <c r="C776" s="65">
        <f>Ringkasan!C775</f>
        <v>189</v>
      </c>
      <c r="D776" s="64" t="str">
        <f>Ringkasan!D775</f>
        <v>#N/A</v>
      </c>
      <c r="E776" s="64" t="str">
        <f>Ringkasan!E775</f>
        <v/>
      </c>
      <c r="F776" s="64" t="str">
        <f>Ringkasan!F775</f>
        <v/>
      </c>
      <c r="G776" s="64">
        <f>Ringkasan!G775</f>
        <v>0</v>
      </c>
      <c r="H776" s="19">
        <f>Ringkasan!H775</f>
        <v>5.5</v>
      </c>
      <c r="I776" s="19">
        <f>Ringkasan!I775</f>
        <v>0.97</v>
      </c>
      <c r="J776" s="19">
        <f>Ringkasan!J775</f>
        <v>17.5</v>
      </c>
      <c r="K776" s="19">
        <f>Ringkasan!K775</f>
        <v>5</v>
      </c>
      <c r="L776" s="19">
        <f>Ringkasan!L775</f>
        <v>2.5</v>
      </c>
      <c r="M776" s="19">
        <f>Ringkasan!M775</f>
        <v>36</v>
      </c>
      <c r="N776" s="64" t="str">
        <f>Ringkasan!N775</f>
        <v/>
      </c>
      <c r="O776" s="64" t="str">
        <f>Ringkasan!O775</f>
        <v/>
      </c>
      <c r="P776" s="64" t="str">
        <f>Ringkasan!P775</f>
        <v/>
      </c>
      <c r="Q776" s="64" t="str">
        <f>Ringkasan!Q775</f>
        <v/>
      </c>
      <c r="R776" s="64" t="str">
        <f>Ringkasan!R775</f>
        <v/>
      </c>
      <c r="S776" s="64" t="str">
        <f>Ringkasan!S775</f>
        <v/>
      </c>
      <c r="T776" s="64" t="str">
        <f>Ringkasan!T775</f>
        <v/>
      </c>
      <c r="U776" s="64">
        <f>Ringkasan!U775</f>
        <v>174</v>
      </c>
      <c r="V776" s="64">
        <f>Ringkasan!V775</f>
        <v>8.62</v>
      </c>
      <c r="W776" s="64">
        <f>Ringkasan!W775</f>
        <v>173</v>
      </c>
      <c r="X776" s="64">
        <f>Ringkasan!X775</f>
        <v>200</v>
      </c>
      <c r="Y776" s="64">
        <f>Ringkasan!Y775</f>
        <v>171</v>
      </c>
      <c r="Z776" s="64">
        <f>Ringkasan!Z775</f>
        <v>625800</v>
      </c>
      <c r="AA776" s="64" t="str">
        <f>Ringkasan!AA775</f>
        <v>Logistics &amp; Deliveries</v>
      </c>
      <c r="AB776" s="64" t="str">
        <f>Ringkasan!AB775</f>
        <v>Transportation &amp; Logistic</v>
      </c>
    </row>
    <row r="777" hidden="1">
      <c r="A777" s="64" t="str">
        <f>Ringkasan!A776</f>
        <v>GTSI</v>
      </c>
      <c r="B777" s="64" t="str">
        <f>Ringkasan!B776</f>
        <v>GTS Internasional Tbk.</v>
      </c>
      <c r="C777" s="65">
        <f>Ringkasan!C776</f>
        <v>134</v>
      </c>
      <c r="D777" s="64" t="str">
        <f>Ringkasan!D776</f>
        <v>#N/A</v>
      </c>
      <c r="E777" s="64" t="str">
        <f>Ringkasan!E776</f>
        <v/>
      </c>
      <c r="F777" s="64" t="str">
        <f>Ringkasan!F776</f>
        <v/>
      </c>
      <c r="G777" s="64">
        <f>Ringkasan!G776</f>
        <v>0</v>
      </c>
      <c r="H777" s="19">
        <f>Ringkasan!H776</f>
        <v>84.9</v>
      </c>
      <c r="I777" s="19">
        <f>Ringkasan!I776</f>
        <v>2.3</v>
      </c>
      <c r="J777" s="19">
        <f>Ringkasan!J776</f>
        <v>2.7</v>
      </c>
      <c r="K777" s="19">
        <f>Ringkasan!K776</f>
        <v>1.2</v>
      </c>
      <c r="L777" s="19">
        <f>Ringkasan!L776</f>
        <v>1.3</v>
      </c>
      <c r="M777" s="19">
        <f>Ringkasan!M776</f>
        <v>5.1</v>
      </c>
      <c r="N777" s="64" t="str">
        <f>Ringkasan!N776</f>
        <v/>
      </c>
      <c r="O777" s="64" t="str">
        <f>Ringkasan!O776</f>
        <v/>
      </c>
      <c r="P777" s="64" t="str">
        <f>Ringkasan!P776</f>
        <v/>
      </c>
      <c r="Q777" s="64" t="str">
        <f>Ringkasan!Q776</f>
        <v/>
      </c>
      <c r="R777" s="64" t="str">
        <f>Ringkasan!R776</f>
        <v/>
      </c>
      <c r="S777" s="64" t="str">
        <f>Ringkasan!S776</f>
        <v/>
      </c>
      <c r="T777" s="64" t="str">
        <f>Ringkasan!T776</f>
        <v/>
      </c>
      <c r="U777" s="64">
        <f>Ringkasan!U776</f>
        <v>124</v>
      </c>
      <c r="V777" s="64">
        <f>Ringkasan!V776</f>
        <v>8.06</v>
      </c>
      <c r="W777" s="64">
        <f>Ringkasan!W776</f>
        <v>134</v>
      </c>
      <c r="X777" s="64">
        <f>Ringkasan!X776</f>
        <v>139</v>
      </c>
      <c r="Y777" s="64">
        <f>Ringkasan!Y776</f>
        <v>128</v>
      </c>
      <c r="Z777" s="64">
        <f>Ringkasan!Z776</f>
        <v>57220200</v>
      </c>
      <c r="AA777" s="64" t="str">
        <f>Ringkasan!AA776</f>
        <v>Oil &amp; Gas</v>
      </c>
      <c r="AB777" s="64" t="str">
        <f>Ringkasan!AB776</f>
        <v>Energy</v>
      </c>
    </row>
    <row r="778" hidden="1">
      <c r="A778" s="64" t="str">
        <f>Ringkasan!A777</f>
        <v>GULA</v>
      </c>
      <c r="B778" s="64" t="str">
        <f>Ringkasan!B777</f>
        <v>Aman Agrindo Tbk.</v>
      </c>
      <c r="C778" s="65">
        <f>Ringkasan!C777</f>
        <v>575</v>
      </c>
      <c r="D778" s="64" t="str">
        <f>Ringkasan!D777</f>
        <v>#N/A</v>
      </c>
      <c r="E778" s="64" t="str">
        <f>Ringkasan!E777</f>
        <v/>
      </c>
      <c r="F778" s="64" t="str">
        <f>Ringkasan!F777</f>
        <v/>
      </c>
      <c r="G778" s="64">
        <f>Ringkasan!G777</f>
        <v>0</v>
      </c>
      <c r="H778" s="19">
        <f>Ringkasan!H777</f>
        <v>-100</v>
      </c>
      <c r="I778" s="19">
        <f>Ringkasan!I777</f>
        <v>4.1</v>
      </c>
      <c r="J778" s="19">
        <f>Ringkasan!J777</f>
        <v>-4</v>
      </c>
      <c r="K778" s="19">
        <f>Ringkasan!K777</f>
        <v>-2.6</v>
      </c>
      <c r="L778" s="19">
        <f>Ringkasan!L777</f>
        <v>0.53</v>
      </c>
      <c r="M778" s="19">
        <f>Ringkasan!M777</f>
        <v>-14.1</v>
      </c>
      <c r="N778" s="64" t="str">
        <f>Ringkasan!N777</f>
        <v/>
      </c>
      <c r="O778" s="64" t="str">
        <f>Ringkasan!O777</f>
        <v/>
      </c>
      <c r="P778" s="64" t="str">
        <f>Ringkasan!P777</f>
        <v/>
      </c>
      <c r="Q778" s="64" t="str">
        <f>Ringkasan!Q777</f>
        <v/>
      </c>
      <c r="R778" s="64" t="str">
        <f>Ringkasan!R777</f>
        <v/>
      </c>
      <c r="S778" s="64" t="str">
        <f>Ringkasan!S777</f>
        <v/>
      </c>
      <c r="T778" s="64" t="str">
        <f>Ringkasan!T777</f>
        <v/>
      </c>
      <c r="U778" s="64">
        <f>Ringkasan!U777</f>
        <v>555</v>
      </c>
      <c r="V778" s="64" t="str">
        <f>Ringkasan!V777</f>
        <v/>
      </c>
      <c r="W778" s="64">
        <f>Ringkasan!W777</f>
        <v>555</v>
      </c>
      <c r="X778" s="64">
        <f>Ringkasan!X777</f>
        <v>610</v>
      </c>
      <c r="Y778" s="64">
        <f>Ringkasan!Y777</f>
        <v>550</v>
      </c>
      <c r="Z778" s="64">
        <f>Ringkasan!Z777</f>
        <v>48664800</v>
      </c>
      <c r="AA778" s="64" t="str">
        <f>Ringkasan!AA777</f>
        <v>Processed Foods</v>
      </c>
      <c r="AB778" s="64" t="str">
        <f>Ringkasan!AB777</f>
        <v>Consumer Non-Cyclicals</v>
      </c>
    </row>
    <row r="779" hidden="1">
      <c r="A779" s="64" t="str">
        <f>Ringkasan!A778</f>
        <v>GUNA</v>
      </c>
      <c r="B779" s="64" t="str">
        <f>Ringkasan!B778</f>
        <v>Gunanusa Eramandiri Tbk.</v>
      </c>
      <c r="C779" s="65">
        <f>Ringkasan!C778</f>
        <v>160</v>
      </c>
      <c r="D779" s="64" t="str">
        <f>Ringkasan!D778</f>
        <v>#N/A</v>
      </c>
      <c r="E779" s="64" t="str">
        <f>Ringkasan!E778</f>
        <v/>
      </c>
      <c r="F779" s="64" t="str">
        <f>Ringkasan!F778</f>
        <v/>
      </c>
      <c r="G779" s="64">
        <f>Ringkasan!G778</f>
        <v>0</v>
      </c>
      <c r="H779" s="19">
        <f>Ringkasan!H778</f>
        <v>8</v>
      </c>
      <c r="I779" s="19">
        <f>Ringkasan!I778</f>
        <v>0.61</v>
      </c>
      <c r="J779" s="19">
        <f>Ringkasan!J778</f>
        <v>7.7</v>
      </c>
      <c r="K779" s="19">
        <f>Ringkasan!K778</f>
        <v>4.8</v>
      </c>
      <c r="L779" s="19">
        <f>Ringkasan!L778</f>
        <v>0.61</v>
      </c>
      <c r="M779" s="19">
        <f>Ringkasan!M778</f>
        <v>12.8</v>
      </c>
      <c r="N779" s="64" t="str">
        <f>Ringkasan!N778</f>
        <v/>
      </c>
      <c r="O779" s="64" t="str">
        <f>Ringkasan!O778</f>
        <v/>
      </c>
      <c r="P779" s="64" t="str">
        <f>Ringkasan!P778</f>
        <v/>
      </c>
      <c r="Q779" s="64" t="str">
        <f>Ringkasan!Q778</f>
        <v/>
      </c>
      <c r="R779" s="64" t="str">
        <f>Ringkasan!R778</f>
        <v/>
      </c>
      <c r="S779" s="64" t="str">
        <f>Ringkasan!S778</f>
        <v/>
      </c>
      <c r="T779" s="64" t="str">
        <f>Ringkasan!T778</f>
        <v/>
      </c>
      <c r="U779" s="64">
        <f>Ringkasan!U778</f>
        <v>150</v>
      </c>
      <c r="V779" s="64">
        <f>Ringkasan!V778</f>
        <v>6.67</v>
      </c>
      <c r="W779" s="64">
        <f>Ringkasan!W778</f>
        <v>150</v>
      </c>
      <c r="X779" s="64">
        <f>Ringkasan!X778</f>
        <v>161</v>
      </c>
      <c r="Y779" s="64">
        <f>Ringkasan!Y778</f>
        <v>150</v>
      </c>
      <c r="Z779" s="64">
        <f>Ringkasan!Z778</f>
        <v>285100</v>
      </c>
      <c r="AA779" s="64" t="str">
        <f>Ringkasan!AA778</f>
        <v>Agricultural Products</v>
      </c>
      <c r="AB779" s="64" t="str">
        <f>Ringkasan!AB778</f>
        <v>Consumer Non-Cyclicals</v>
      </c>
    </row>
    <row r="780" hidden="1">
      <c r="A780" s="64" t="str">
        <f>Ringkasan!A779</f>
        <v>GWSA</v>
      </c>
      <c r="B780" s="64" t="str">
        <f>Ringkasan!B779</f>
        <v>Greenwood Sejahtera Tbk.</v>
      </c>
      <c r="C780" s="65">
        <f>Ringkasan!C779</f>
        <v>125</v>
      </c>
      <c r="D780" s="64" t="str">
        <f>Ringkasan!D779</f>
        <v>#N/A</v>
      </c>
      <c r="E780" s="64" t="str">
        <f>Ringkasan!E779</f>
        <v/>
      </c>
      <c r="F780" s="64" t="str">
        <f>Ringkasan!F779</f>
        <v/>
      </c>
      <c r="G780" s="64">
        <f>Ringkasan!G779</f>
        <v>0</v>
      </c>
      <c r="H780" s="19">
        <f>Ringkasan!H779</f>
        <v>7.6</v>
      </c>
      <c r="I780" s="19">
        <f>Ringkasan!I779</f>
        <v>0.14</v>
      </c>
      <c r="J780" s="19">
        <f>Ringkasan!J779</f>
        <v>1.8</v>
      </c>
      <c r="K780" s="19">
        <f>Ringkasan!K779</f>
        <v>1.7</v>
      </c>
      <c r="L780" s="19">
        <f>Ringkasan!L779</f>
        <v>0.05</v>
      </c>
      <c r="M780" s="19">
        <f>Ringkasan!M779</f>
        <v>1070</v>
      </c>
      <c r="N780" s="64" t="str">
        <f>Ringkasan!N779</f>
        <v/>
      </c>
      <c r="O780" s="64" t="str">
        <f>Ringkasan!O779</f>
        <v/>
      </c>
      <c r="P780" s="64" t="str">
        <f>Ringkasan!P779</f>
        <v/>
      </c>
      <c r="Q780" s="64" t="str">
        <f>Ringkasan!Q779</f>
        <v/>
      </c>
      <c r="R780" s="64" t="str">
        <f>Ringkasan!R779</f>
        <v/>
      </c>
      <c r="S780" s="64" t="str">
        <f>Ringkasan!S779</f>
        <v/>
      </c>
      <c r="T780" s="64" t="str">
        <f>Ringkasan!T779</f>
        <v/>
      </c>
      <c r="U780" s="64">
        <f>Ringkasan!U779</f>
        <v>121</v>
      </c>
      <c r="V780" s="64">
        <f>Ringkasan!V779</f>
        <v>3.31</v>
      </c>
      <c r="W780" s="64">
        <f>Ringkasan!W779</f>
        <v>122</v>
      </c>
      <c r="X780" s="64">
        <f>Ringkasan!X779</f>
        <v>127</v>
      </c>
      <c r="Y780" s="64">
        <f>Ringkasan!Y779</f>
        <v>122</v>
      </c>
      <c r="Z780" s="64">
        <f>Ringkasan!Z779</f>
        <v>576300</v>
      </c>
      <c r="AA780" s="64" t="str">
        <f>Ringkasan!AA779</f>
        <v>Tourism &amp; Recreation</v>
      </c>
      <c r="AB780" s="64" t="str">
        <f>Ringkasan!AB779</f>
        <v>Consumer Cyclicals</v>
      </c>
    </row>
    <row r="781" hidden="1">
      <c r="A781" s="64" t="str">
        <f>Ringkasan!A780</f>
        <v>GZCO</v>
      </c>
      <c r="B781" s="64" t="str">
        <f>Ringkasan!B780</f>
        <v>Gozco Plantations Tbk</v>
      </c>
      <c r="C781" s="65">
        <f>Ringkasan!C780</f>
        <v>145</v>
      </c>
      <c r="D781" s="64" t="str">
        <f>Ringkasan!D780</f>
        <v>#N/A</v>
      </c>
      <c r="E781" s="64" t="str">
        <f>Ringkasan!E780</f>
        <v/>
      </c>
      <c r="F781" s="64" t="str">
        <f>Ringkasan!F780</f>
        <v/>
      </c>
      <c r="G781" s="64">
        <f>Ringkasan!G780</f>
        <v>0</v>
      </c>
      <c r="H781" s="19">
        <f>Ringkasan!H780</f>
        <v>9.9</v>
      </c>
      <c r="I781" s="19">
        <f>Ringkasan!I780</f>
        <v>0.76</v>
      </c>
      <c r="J781" s="19">
        <f>Ringkasan!J780</f>
        <v>7.7</v>
      </c>
      <c r="K781" s="19">
        <f>Ringkasan!K780</f>
        <v>4.3</v>
      </c>
      <c r="L781" s="19">
        <f>Ringkasan!L780</f>
        <v>0.77</v>
      </c>
      <c r="M781" s="19">
        <f>Ringkasan!M780</f>
        <v>67.3</v>
      </c>
      <c r="N781" s="64" t="str">
        <f>Ringkasan!N780</f>
        <v/>
      </c>
      <c r="O781" s="64" t="str">
        <f>Ringkasan!O780</f>
        <v/>
      </c>
      <c r="P781" s="64" t="str">
        <f>Ringkasan!P780</f>
        <v/>
      </c>
      <c r="Q781" s="64" t="str">
        <f>Ringkasan!Q780</f>
        <v/>
      </c>
      <c r="R781" s="64" t="str">
        <f>Ringkasan!R780</f>
        <v/>
      </c>
      <c r="S781" s="64" t="str">
        <f>Ringkasan!S780</f>
        <v/>
      </c>
      <c r="T781" s="64" t="str">
        <f>Ringkasan!T780</f>
        <v/>
      </c>
      <c r="U781" s="64">
        <f>Ringkasan!U780</f>
        <v>136</v>
      </c>
      <c r="V781" s="64">
        <f>Ringkasan!V780</f>
        <v>6.62</v>
      </c>
      <c r="W781" s="64">
        <f>Ringkasan!W780</f>
        <v>139</v>
      </c>
      <c r="X781" s="64">
        <f>Ringkasan!X780</f>
        <v>148</v>
      </c>
      <c r="Y781" s="64">
        <f>Ringkasan!Y780</f>
        <v>139</v>
      </c>
      <c r="Z781" s="64">
        <f>Ringkasan!Z780</f>
        <v>10415100</v>
      </c>
      <c r="AA781" s="64" t="str">
        <f>Ringkasan!AA780</f>
        <v>Agricultural Products</v>
      </c>
      <c r="AB781" s="64" t="str">
        <f>Ringkasan!AB780</f>
        <v>Consumer Non-Cyclicals</v>
      </c>
    </row>
    <row r="782" hidden="1">
      <c r="A782" s="64" t="str">
        <f>Ringkasan!A781</f>
        <v>HADE</v>
      </c>
      <c r="B782" s="64" t="str">
        <f>Ringkasan!B781</f>
        <v>Himalaya Energi Perkasa Tbk.</v>
      </c>
      <c r="C782" s="65">
        <f>Ringkasan!C781</f>
        <v>17</v>
      </c>
      <c r="D782" s="64" t="str">
        <f>Ringkasan!D781</f>
        <v>#N/A</v>
      </c>
      <c r="E782" s="64" t="str">
        <f>Ringkasan!E781</f>
        <v/>
      </c>
      <c r="F782" s="64" t="str">
        <f>Ringkasan!F781</f>
        <v/>
      </c>
      <c r="G782" s="64">
        <f>Ringkasan!G781</f>
        <v>0</v>
      </c>
      <c r="H782" s="19">
        <f>Ringkasan!H781</f>
        <v>-12.9</v>
      </c>
      <c r="I782" s="19">
        <f>Ringkasan!I781</f>
        <v>4.3</v>
      </c>
      <c r="J782" s="19">
        <f>Ringkasan!J781</f>
        <v>-33.3</v>
      </c>
      <c r="K782" s="19">
        <f>Ringkasan!K781</f>
        <v>-28.3</v>
      </c>
      <c r="L782" s="19">
        <f>Ringkasan!L781</f>
        <v>0.18</v>
      </c>
      <c r="M782" s="19">
        <f>Ringkasan!M781</f>
        <v>-250</v>
      </c>
      <c r="N782" s="64" t="str">
        <f>Ringkasan!N781</f>
        <v/>
      </c>
      <c r="O782" s="64" t="str">
        <f>Ringkasan!O781</f>
        <v/>
      </c>
      <c r="P782" s="64" t="str">
        <f>Ringkasan!P781</f>
        <v/>
      </c>
      <c r="Q782" s="64" t="str">
        <f>Ringkasan!Q781</f>
        <v/>
      </c>
      <c r="R782" s="64" t="str">
        <f>Ringkasan!R781</f>
        <v/>
      </c>
      <c r="S782" s="64" t="str">
        <f>Ringkasan!S781</f>
        <v/>
      </c>
      <c r="T782" s="64" t="str">
        <f>Ringkasan!T781</f>
        <v/>
      </c>
      <c r="U782" s="64">
        <f>Ringkasan!U781</f>
        <v>16</v>
      </c>
      <c r="V782" s="64">
        <f>Ringkasan!V781</f>
        <v>6.25</v>
      </c>
      <c r="W782" s="64">
        <f>Ringkasan!W781</f>
        <v>16</v>
      </c>
      <c r="X782" s="64">
        <f>Ringkasan!X781</f>
        <v>17</v>
      </c>
      <c r="Y782" s="64">
        <f>Ringkasan!Y781</f>
        <v>16</v>
      </c>
      <c r="Z782" s="64">
        <f>Ringkasan!Z781</f>
        <v>4283900</v>
      </c>
      <c r="AA782" s="64" t="str">
        <f>Ringkasan!AA781</f>
        <v>Gas Utilities</v>
      </c>
      <c r="AB782" s="64" t="str">
        <f>Ringkasan!AB781</f>
        <v>Infrastructures</v>
      </c>
    </row>
    <row r="783" hidden="1">
      <c r="A783" s="64" t="str">
        <f>Ringkasan!A782</f>
        <v>HAIS</v>
      </c>
      <c r="B783" s="64" t="str">
        <f>Ringkasan!B782</f>
        <v>Hasnur Internasional Shipping Tbk.</v>
      </c>
      <c r="C783" s="65">
        <f>Ringkasan!C782</f>
        <v>176</v>
      </c>
      <c r="D783" s="64" t="str">
        <f>Ringkasan!D782</f>
        <v>#N/A</v>
      </c>
      <c r="E783" s="64" t="str">
        <f>Ringkasan!E782</f>
        <v/>
      </c>
      <c r="F783" s="64" t="str">
        <f>Ringkasan!F782</f>
        <v/>
      </c>
      <c r="G783" s="64">
        <f>Ringkasan!G782</f>
        <v>0</v>
      </c>
      <c r="H783" s="19">
        <f>Ringkasan!H782</f>
        <v>6.2</v>
      </c>
      <c r="I783" s="19">
        <f>Ringkasan!I782</f>
        <v>0.54</v>
      </c>
      <c r="J783" s="19">
        <f>Ringkasan!J782</f>
        <v>8.7</v>
      </c>
      <c r="K783" s="19">
        <f>Ringkasan!K782</f>
        <v>4.7</v>
      </c>
      <c r="L783" s="19">
        <f>Ringkasan!L782</f>
        <v>0.85</v>
      </c>
      <c r="M783" s="19">
        <f>Ringkasan!M782</f>
        <v>44.9</v>
      </c>
      <c r="N783" s="64" t="str">
        <f>Ringkasan!N782</f>
        <v/>
      </c>
      <c r="O783" s="64" t="str">
        <f>Ringkasan!O782</f>
        <v/>
      </c>
      <c r="P783" s="64" t="str">
        <f>Ringkasan!P782</f>
        <v/>
      </c>
      <c r="Q783" s="64" t="str">
        <f>Ringkasan!Q782</f>
        <v/>
      </c>
      <c r="R783" s="64" t="str">
        <f>Ringkasan!R782</f>
        <v/>
      </c>
      <c r="S783" s="64" t="str">
        <f>Ringkasan!S782</f>
        <v/>
      </c>
      <c r="T783" s="64" t="str">
        <f>Ringkasan!T782</f>
        <v/>
      </c>
      <c r="U783" s="64">
        <f>Ringkasan!U782</f>
        <v>172</v>
      </c>
      <c r="V783" s="64">
        <f>Ringkasan!V782</f>
        <v>2.33</v>
      </c>
      <c r="W783" s="64">
        <f>Ringkasan!W782</f>
        <v>172</v>
      </c>
      <c r="X783" s="64">
        <f>Ringkasan!X782</f>
        <v>189</v>
      </c>
      <c r="Y783" s="64">
        <f>Ringkasan!Y782</f>
        <v>172</v>
      </c>
      <c r="Z783" s="64">
        <f>Ringkasan!Z782</f>
        <v>1127000</v>
      </c>
      <c r="AA783" s="64" t="str">
        <f>Ringkasan!AA782</f>
        <v>Logistics &amp; Deliveries</v>
      </c>
      <c r="AB783" s="64" t="str">
        <f>Ringkasan!AB782</f>
        <v>Transportation &amp; Logistic</v>
      </c>
    </row>
    <row r="784" hidden="1">
      <c r="A784" s="64" t="str">
        <f>Ringkasan!A783</f>
        <v>HAJJ</v>
      </c>
      <c r="B784" s="64" t="str">
        <f>Ringkasan!B783</f>
        <v>PT Arsy Buana Travelindo Tbk</v>
      </c>
      <c r="C784" s="65">
        <f>Ringkasan!C783</f>
        <v>100</v>
      </c>
      <c r="D784" s="64" t="str">
        <f>Ringkasan!D783</f>
        <v>#N/A</v>
      </c>
      <c r="E784" s="64" t="str">
        <f>Ringkasan!E783</f>
        <v/>
      </c>
      <c r="F784" s="64" t="str">
        <f>Ringkasan!F783</f>
        <v/>
      </c>
      <c r="G784" s="64">
        <f>Ringkasan!G783</f>
        <v>0</v>
      </c>
      <c r="H784" s="19">
        <f>Ringkasan!H783</f>
        <v>210</v>
      </c>
      <c r="I784" s="19">
        <f>Ringkasan!I783</f>
        <v>1.2</v>
      </c>
      <c r="J784" s="19">
        <f>Ringkasan!J783</f>
        <v>0.58</v>
      </c>
      <c r="K784" s="19">
        <f>Ringkasan!K783</f>
        <v>0.29</v>
      </c>
      <c r="L784" s="19">
        <f>Ringkasan!L783</f>
        <v>1</v>
      </c>
      <c r="M784" s="19">
        <f>Ringkasan!M783</f>
        <v>0.45</v>
      </c>
      <c r="N784" s="64" t="str">
        <f>Ringkasan!N783</f>
        <v/>
      </c>
      <c r="O784" s="64" t="str">
        <f>Ringkasan!O783</f>
        <v/>
      </c>
      <c r="P784" s="64" t="str">
        <f>Ringkasan!P783</f>
        <v/>
      </c>
      <c r="Q784" s="64" t="str">
        <f>Ringkasan!Q783</f>
        <v/>
      </c>
      <c r="R784" s="64" t="str">
        <f>Ringkasan!R783</f>
        <v/>
      </c>
      <c r="S784" s="64" t="str">
        <f>Ringkasan!S783</f>
        <v/>
      </c>
      <c r="T784" s="64" t="str">
        <f>Ringkasan!T783</f>
        <v/>
      </c>
      <c r="U784" s="64">
        <f>Ringkasan!U783</f>
        <v>95</v>
      </c>
      <c r="V784" s="64">
        <f>Ringkasan!V783</f>
        <v>5.26</v>
      </c>
      <c r="W784" s="64">
        <f>Ringkasan!W783</f>
        <v>95</v>
      </c>
      <c r="X784" s="64">
        <f>Ringkasan!X783</f>
        <v>103</v>
      </c>
      <c r="Y784" s="64">
        <f>Ringkasan!Y783</f>
        <v>94</v>
      </c>
      <c r="Z784" s="64">
        <f>Ringkasan!Z783</f>
        <v>8756100</v>
      </c>
      <c r="AA784" s="64" t="str">
        <f>Ringkasan!AA783</f>
        <v>Tourism &amp; Recreation</v>
      </c>
      <c r="AB784" s="64" t="str">
        <f>Ringkasan!AB783</f>
        <v>Consumer Cyclicals</v>
      </c>
    </row>
    <row r="785" hidden="1">
      <c r="A785" s="64" t="str">
        <f>Ringkasan!A784</f>
        <v>HALO</v>
      </c>
      <c r="B785" s="64" t="str">
        <f>Ringkasan!B784</f>
        <v>PT Haloni Jane Tbk</v>
      </c>
      <c r="C785" s="65">
        <f>Ringkasan!C784</f>
        <v>62</v>
      </c>
      <c r="D785" s="64" t="str">
        <f>Ringkasan!D784</f>
        <v>#N/A</v>
      </c>
      <c r="E785" s="64" t="str">
        <f>Ringkasan!E784</f>
        <v/>
      </c>
      <c r="F785" s="64" t="str">
        <f>Ringkasan!F784</f>
        <v/>
      </c>
      <c r="G785" s="64">
        <f>Ringkasan!G784</f>
        <v>0</v>
      </c>
      <c r="H785" s="19">
        <f>Ringkasan!H784</f>
        <v>71.9</v>
      </c>
      <c r="I785" s="19">
        <f>Ringkasan!I784</f>
        <v>1.8</v>
      </c>
      <c r="J785" s="19">
        <f>Ringkasan!J784</f>
        <v>2.5</v>
      </c>
      <c r="K785" s="19">
        <f>Ringkasan!K784</f>
        <v>1.8</v>
      </c>
      <c r="L785" s="19">
        <f>Ringkasan!L784</f>
        <v>0.37</v>
      </c>
      <c r="M785" s="19">
        <f>Ringkasan!M784</f>
        <v>14.3</v>
      </c>
      <c r="N785" s="64" t="str">
        <f>Ringkasan!N784</f>
        <v/>
      </c>
      <c r="O785" s="64" t="str">
        <f>Ringkasan!O784</f>
        <v/>
      </c>
      <c r="P785" s="64" t="str">
        <f>Ringkasan!P784</f>
        <v/>
      </c>
      <c r="Q785" s="64" t="str">
        <f>Ringkasan!Q784</f>
        <v/>
      </c>
      <c r="R785" s="64" t="str">
        <f>Ringkasan!R784</f>
        <v/>
      </c>
      <c r="S785" s="64" t="str">
        <f>Ringkasan!S784</f>
        <v/>
      </c>
      <c r="T785" s="64" t="str">
        <f>Ringkasan!T784</f>
        <v/>
      </c>
      <c r="U785" s="64">
        <f>Ringkasan!U784</f>
        <v>70.73</v>
      </c>
      <c r="V785" s="64">
        <f>Ringkasan!V784</f>
        <v>-1.74</v>
      </c>
      <c r="W785" s="64">
        <f>Ringkasan!W784</f>
        <v>71.01</v>
      </c>
      <c r="X785" s="64">
        <f>Ringkasan!X784</f>
        <v>71.81</v>
      </c>
      <c r="Y785" s="64">
        <f>Ringkasan!Y784</f>
        <v>69.32</v>
      </c>
      <c r="Z785" s="64">
        <f>Ringkasan!Z784</f>
        <v>1042049</v>
      </c>
      <c r="AA785" s="64" t="str">
        <f>Ringkasan!AA784</f>
        <v>Healthcare Equipment &amp; Supplies</v>
      </c>
      <c r="AB785" s="64" t="str">
        <f>Ringkasan!AB784</f>
        <v>Healthcare</v>
      </c>
    </row>
    <row r="786" hidden="1">
      <c r="A786" s="64" t="str">
        <f>Ringkasan!A785</f>
        <v>HATM</v>
      </c>
      <c r="B786" s="64" t="str">
        <f>Ringkasan!B785</f>
        <v>Habco Trans Maritima Tbk.</v>
      </c>
      <c r="C786" s="65">
        <f>Ringkasan!C785</f>
        <v>330</v>
      </c>
      <c r="D786" s="64" t="str">
        <f>Ringkasan!D785</f>
        <v>#N/A</v>
      </c>
      <c r="E786" s="64" t="str">
        <f>Ringkasan!E785</f>
        <v/>
      </c>
      <c r="F786" s="64" t="str">
        <f>Ringkasan!F785</f>
        <v/>
      </c>
      <c r="G786" s="64">
        <f>Ringkasan!G785</f>
        <v>0</v>
      </c>
      <c r="H786" s="19">
        <f>Ringkasan!H785</f>
        <v>53</v>
      </c>
      <c r="I786" s="19">
        <f>Ringkasan!I785</f>
        <v>1.8</v>
      </c>
      <c r="J786" s="19">
        <f>Ringkasan!J785</f>
        <v>3.4</v>
      </c>
      <c r="K786" s="19">
        <f>Ringkasan!K785</f>
        <v>2.9</v>
      </c>
      <c r="L786" s="19">
        <f>Ringkasan!L785</f>
        <v>0.17</v>
      </c>
      <c r="M786" s="19">
        <f>Ringkasan!M785</f>
        <v>24.2</v>
      </c>
      <c r="N786" s="64" t="str">
        <f>Ringkasan!N785</f>
        <v/>
      </c>
      <c r="O786" s="64" t="str">
        <f>Ringkasan!O785</f>
        <v/>
      </c>
      <c r="P786" s="64" t="str">
        <f>Ringkasan!P785</f>
        <v/>
      </c>
      <c r="Q786" s="64" t="str">
        <f>Ringkasan!Q785</f>
        <v/>
      </c>
      <c r="R786" s="64" t="str">
        <f>Ringkasan!R785</f>
        <v/>
      </c>
      <c r="S786" s="64" t="str">
        <f>Ringkasan!S785</f>
        <v/>
      </c>
      <c r="T786" s="64" t="str">
        <f>Ringkasan!T785</f>
        <v/>
      </c>
      <c r="U786" s="64">
        <f>Ringkasan!U785</f>
        <v>320</v>
      </c>
      <c r="V786" s="64">
        <f>Ringkasan!V785</f>
        <v>3.13</v>
      </c>
      <c r="W786" s="64">
        <f>Ringkasan!W785</f>
        <v>320</v>
      </c>
      <c r="X786" s="64">
        <f>Ringkasan!X785</f>
        <v>332</v>
      </c>
      <c r="Y786" s="64">
        <f>Ringkasan!Y785</f>
        <v>320</v>
      </c>
      <c r="Z786" s="64">
        <f>Ringkasan!Z785</f>
        <v>27098500</v>
      </c>
      <c r="AA786" s="64" t="str">
        <f>Ringkasan!AA785</f>
        <v>Logistics &amp; Deliveries</v>
      </c>
      <c r="AB786" s="64" t="str">
        <f>Ringkasan!AB785</f>
        <v>Transportation &amp; Logistic</v>
      </c>
    </row>
    <row r="787" hidden="1">
      <c r="A787" s="64" t="str">
        <f>Ringkasan!A786</f>
        <v>HBAT</v>
      </c>
      <c r="B787" s="64" t="str">
        <f>Ringkasan!B786</f>
        <v>PT Minahasa Membangun Hebat Tbk</v>
      </c>
      <c r="C787" s="65">
        <f>Ringkasan!C786</f>
        <v>410</v>
      </c>
      <c r="D787" s="64" t="str">
        <f>Ringkasan!D786</f>
        <v>#N/A</v>
      </c>
      <c r="E787" s="64" t="str">
        <f>Ringkasan!E786</f>
        <v/>
      </c>
      <c r="F787" s="64" t="str">
        <f>Ringkasan!F786</f>
        <v/>
      </c>
      <c r="G787" s="64">
        <f>Ringkasan!G786</f>
        <v>0</v>
      </c>
      <c r="H787" s="19">
        <f>Ringkasan!H786</f>
        <v>190</v>
      </c>
      <c r="I787" s="19">
        <f>Ringkasan!I786</f>
        <v>6.4</v>
      </c>
      <c r="J787" s="19">
        <f>Ringkasan!J786</f>
        <v>3.4</v>
      </c>
      <c r="K787" s="19">
        <f>Ringkasan!K786</f>
        <v>3.2</v>
      </c>
      <c r="L787" s="19">
        <f>Ringkasan!L786</f>
        <v>0.04</v>
      </c>
      <c r="M787" s="19">
        <f>Ringkasan!M786</f>
        <v>11.2</v>
      </c>
      <c r="N787" s="64" t="str">
        <f>Ringkasan!N786</f>
        <v/>
      </c>
      <c r="O787" s="64" t="str">
        <f>Ringkasan!O786</f>
        <v/>
      </c>
      <c r="P787" s="64" t="str">
        <f>Ringkasan!P786</f>
        <v/>
      </c>
      <c r="Q787" s="64" t="str">
        <f>Ringkasan!Q786</f>
        <v/>
      </c>
      <c r="R787" s="64" t="str">
        <f>Ringkasan!R786</f>
        <v/>
      </c>
      <c r="S787" s="64" t="str">
        <f>Ringkasan!S786</f>
        <v/>
      </c>
      <c r="T787" s="64" t="str">
        <f>Ringkasan!T786</f>
        <v/>
      </c>
      <c r="U787" s="64">
        <f>Ringkasan!U786</f>
        <v>390</v>
      </c>
      <c r="V787" s="64">
        <f>Ringkasan!V786</f>
        <v>5.13</v>
      </c>
      <c r="W787" s="64">
        <f>Ringkasan!W786</f>
        <v>410</v>
      </c>
      <c r="X787" s="64">
        <f>Ringkasan!X786</f>
        <v>414</v>
      </c>
      <c r="Y787" s="64">
        <f>Ringkasan!Y786</f>
        <v>366</v>
      </c>
      <c r="Z787" s="64">
        <f>Ringkasan!Z786</f>
        <v>840600</v>
      </c>
      <c r="AA787" s="64" t="str">
        <f>Ringkasan!AA786</f>
        <v>Real Estate Management &amp; Development</v>
      </c>
      <c r="AB787" s="64" t="str">
        <f>Ringkasan!AB786</f>
        <v>Properties &amp; Real Estate</v>
      </c>
    </row>
    <row r="788" hidden="1">
      <c r="A788" s="64" t="str">
        <f>Ringkasan!A787</f>
        <v>HDFA</v>
      </c>
      <c r="B788" s="64" t="str">
        <f>Ringkasan!B787</f>
        <v>Radana Bhaskara Finance Tbk.</v>
      </c>
      <c r="C788" s="65" t="str">
        <f>Ringkasan!C787</f>
        <v>#N/A</v>
      </c>
      <c r="D788" s="64" t="str">
        <f>Ringkasan!D787</f>
        <v>#N/A</v>
      </c>
      <c r="E788" s="64" t="str">
        <f>Ringkasan!E787</f>
        <v/>
      </c>
      <c r="F788" s="64" t="str">
        <f>Ringkasan!F787</f>
        <v/>
      </c>
      <c r="G788" s="64">
        <f>Ringkasan!G787</f>
        <v>0</v>
      </c>
      <c r="H788" s="19">
        <f>Ringkasan!H787</f>
        <v>-7.1</v>
      </c>
      <c r="I788" s="19">
        <f>Ringkasan!I787</f>
        <v>1.2</v>
      </c>
      <c r="J788" s="19">
        <f>Ringkasan!J787</f>
        <v>-16.9</v>
      </c>
      <c r="K788" s="19">
        <f>Ringkasan!K787</f>
        <v>-2.7</v>
      </c>
      <c r="L788" s="19">
        <f>Ringkasan!L787</f>
        <v>5.4</v>
      </c>
      <c r="M788" s="19">
        <f>Ringkasan!M787</f>
        <v>-90.3</v>
      </c>
      <c r="N788" s="64" t="str">
        <f>Ringkasan!N787</f>
        <v/>
      </c>
      <c r="O788" s="64" t="str">
        <f>Ringkasan!O787</f>
        <v/>
      </c>
      <c r="P788" s="64" t="str">
        <f>Ringkasan!P787</f>
        <v/>
      </c>
      <c r="Q788" s="64" t="str">
        <f>Ringkasan!Q787</f>
        <v/>
      </c>
      <c r="R788" s="64" t="str">
        <f>Ringkasan!R787</f>
        <v/>
      </c>
      <c r="S788" s="64" t="str">
        <f>Ringkasan!S787</f>
        <v/>
      </c>
      <c r="T788" s="64" t="str">
        <f>Ringkasan!T787</f>
        <v/>
      </c>
      <c r="U788" s="64">
        <f>Ringkasan!U787</f>
        <v>19.9</v>
      </c>
      <c r="V788" s="64">
        <f>Ringkasan!V787</f>
        <v>1.51</v>
      </c>
      <c r="W788" s="64">
        <f>Ringkasan!W787</f>
        <v>20.2</v>
      </c>
      <c r="X788" s="64">
        <f>Ringkasan!X787</f>
        <v>20.2</v>
      </c>
      <c r="Y788" s="64">
        <f>Ringkasan!Y787</f>
        <v>20.2</v>
      </c>
      <c r="Z788" s="64">
        <f>Ringkasan!Z787</f>
        <v>0</v>
      </c>
      <c r="AA788" s="64" t="str">
        <f>Ringkasan!AA787</f>
        <v>Consumer Financing</v>
      </c>
      <c r="AB788" s="64" t="str">
        <f>Ringkasan!AB787</f>
        <v>Financials</v>
      </c>
    </row>
    <row r="789" hidden="1">
      <c r="A789" s="64" t="str">
        <f>Ringkasan!A788</f>
        <v>HDIT</v>
      </c>
      <c r="B789" s="64" t="str">
        <f>Ringkasan!B788</f>
        <v>Hensel Davest Indonesia Tbk.</v>
      </c>
      <c r="C789" s="65">
        <f>Ringkasan!C788</f>
        <v>51</v>
      </c>
      <c r="D789" s="64" t="str">
        <f>Ringkasan!D788</f>
        <v>#N/A</v>
      </c>
      <c r="E789" s="64" t="str">
        <f>Ringkasan!E788</f>
        <v/>
      </c>
      <c r="F789" s="64" t="str">
        <f>Ringkasan!F788</f>
        <v/>
      </c>
      <c r="G789" s="64">
        <f>Ringkasan!G788</f>
        <v>0</v>
      </c>
      <c r="H789" s="19">
        <f>Ringkasan!H788</f>
        <v>-12.5</v>
      </c>
      <c r="I789" s="19">
        <f>Ringkasan!I788</f>
        <v>0.33</v>
      </c>
      <c r="J789" s="19">
        <f>Ringkasan!J788</f>
        <v>-2.7</v>
      </c>
      <c r="K789" s="19">
        <f>Ringkasan!K788</f>
        <v>-2.2</v>
      </c>
      <c r="L789" s="19">
        <f>Ringkasan!L788</f>
        <v>0.2</v>
      </c>
      <c r="M789" s="19">
        <f>Ringkasan!M788</f>
        <v>-2470</v>
      </c>
      <c r="N789" s="64" t="str">
        <f>Ringkasan!N788</f>
        <v/>
      </c>
      <c r="O789" s="64" t="str">
        <f>Ringkasan!O788</f>
        <v/>
      </c>
      <c r="P789" s="64" t="str">
        <f>Ringkasan!P788</f>
        <v/>
      </c>
      <c r="Q789" s="64" t="str">
        <f>Ringkasan!Q788</f>
        <v/>
      </c>
      <c r="R789" s="64" t="str">
        <f>Ringkasan!R788</f>
        <v/>
      </c>
      <c r="S789" s="64" t="str">
        <f>Ringkasan!S788</f>
        <v/>
      </c>
      <c r="T789" s="64" t="str">
        <f>Ringkasan!T788</f>
        <v/>
      </c>
      <c r="U789" s="64">
        <f>Ringkasan!U788</f>
        <v>50</v>
      </c>
      <c r="V789" s="64">
        <f>Ringkasan!V788</f>
        <v>2</v>
      </c>
      <c r="W789" s="64">
        <f>Ringkasan!W788</f>
        <v>51</v>
      </c>
      <c r="X789" s="64">
        <f>Ringkasan!X788</f>
        <v>53</v>
      </c>
      <c r="Y789" s="64">
        <f>Ringkasan!Y788</f>
        <v>50</v>
      </c>
      <c r="Z789" s="64">
        <f>Ringkasan!Z788</f>
        <v>7960800</v>
      </c>
      <c r="AA789" s="64" t="str">
        <f>Ringkasan!AA788</f>
        <v>Online Applications &amp; Services</v>
      </c>
      <c r="AB789" s="64" t="str">
        <f>Ringkasan!AB788</f>
        <v>Technology</v>
      </c>
    </row>
    <row r="790" hidden="1">
      <c r="A790" s="64" t="str">
        <f>Ringkasan!A789</f>
        <v>HEAL</v>
      </c>
      <c r="B790" s="64" t="str">
        <f>Ringkasan!B789</f>
        <v>Medikaloka Hermina Tbk.</v>
      </c>
      <c r="C790" s="65">
        <f>Ringkasan!C789</f>
        <v>845</v>
      </c>
      <c r="D790" s="64" t="str">
        <f>Ringkasan!D789</f>
        <v>#N/A</v>
      </c>
      <c r="E790" s="64" t="str">
        <f>Ringkasan!E789</f>
        <v>IDX80</v>
      </c>
      <c r="F790" s="64" t="str">
        <f>Ringkasan!F789</f>
        <v>31 Juli 2026</v>
      </c>
      <c r="G790" s="64">
        <f>Ringkasan!G789</f>
        <v>6</v>
      </c>
      <c r="H790" s="19">
        <f>Ringkasan!H789</f>
        <v>35.8</v>
      </c>
      <c r="I790" s="19">
        <f>Ringkasan!I789</f>
        <v>2</v>
      </c>
      <c r="J790" s="19">
        <f>Ringkasan!J789</f>
        <v>5.6</v>
      </c>
      <c r="K790" s="19">
        <f>Ringkasan!K789</f>
        <v>3.4</v>
      </c>
      <c r="L790" s="19">
        <f>Ringkasan!L789</f>
        <v>0.66</v>
      </c>
      <c r="M790" s="19">
        <f>Ringkasan!M789</f>
        <v>22.8</v>
      </c>
      <c r="N790" s="64" t="str">
        <f>Ringkasan!N789</f>
        <v/>
      </c>
      <c r="O790" s="64" t="str">
        <f>Ringkasan!O789</f>
        <v/>
      </c>
      <c r="P790" s="64" t="str">
        <f>Ringkasan!P789</f>
        <v/>
      </c>
      <c r="Q790" s="64" t="str">
        <f>Ringkasan!Q789</f>
        <v/>
      </c>
      <c r="R790" s="64" t="str">
        <f>Ringkasan!R789</f>
        <v/>
      </c>
      <c r="S790" s="64" t="str">
        <f>Ringkasan!S789</f>
        <v/>
      </c>
      <c r="T790" s="64" t="str">
        <f>Ringkasan!T789</f>
        <v/>
      </c>
      <c r="U790" s="64">
        <f>Ringkasan!U789</f>
        <v>26.02</v>
      </c>
      <c r="V790" s="64">
        <f>Ringkasan!V789</f>
        <v>-1.04</v>
      </c>
      <c r="W790" s="64">
        <f>Ringkasan!W789</f>
        <v>25.76</v>
      </c>
      <c r="X790" s="64">
        <f>Ringkasan!X789</f>
        <v>26.06</v>
      </c>
      <c r="Y790" s="64">
        <f>Ringkasan!Y789</f>
        <v>25.62</v>
      </c>
      <c r="Z790" s="64">
        <f>Ringkasan!Z789</f>
        <v>4489</v>
      </c>
      <c r="AA790" s="64" t="str">
        <f>Ringkasan!AA789</f>
        <v>Healthcare Providers</v>
      </c>
      <c r="AB790" s="64" t="str">
        <f>Ringkasan!AB789</f>
        <v>Healthcare</v>
      </c>
    </row>
    <row r="791" hidden="1">
      <c r="A791" s="64" t="str">
        <f>Ringkasan!A790</f>
        <v>HEAL</v>
      </c>
      <c r="B791" s="64" t="str">
        <f>Ringkasan!B790</f>
        <v>Medikaloka Hermina Tbk.</v>
      </c>
      <c r="C791" s="65">
        <f>Ringkasan!C790</f>
        <v>845</v>
      </c>
      <c r="D791" s="64" t="str">
        <f>Ringkasan!D790</f>
        <v>#N/A</v>
      </c>
      <c r="E791" s="64" t="str">
        <f>Ringkasan!E790</f>
        <v>Kompas100</v>
      </c>
      <c r="F791" s="64" t="str">
        <f>Ringkasan!F790</f>
        <v>31 Juli 2026</v>
      </c>
      <c r="G791" s="64">
        <f>Ringkasan!G790</f>
        <v>6</v>
      </c>
      <c r="H791" s="19">
        <f>Ringkasan!H790</f>
        <v>35.8</v>
      </c>
      <c r="I791" s="19">
        <f>Ringkasan!I790</f>
        <v>2</v>
      </c>
      <c r="J791" s="19">
        <f>Ringkasan!J790</f>
        <v>5.6</v>
      </c>
      <c r="K791" s="19">
        <f>Ringkasan!K790</f>
        <v>3.4</v>
      </c>
      <c r="L791" s="19">
        <f>Ringkasan!L790</f>
        <v>0.66</v>
      </c>
      <c r="M791" s="19">
        <f>Ringkasan!M790</f>
        <v>22.8</v>
      </c>
      <c r="N791" s="64" t="str">
        <f>Ringkasan!N790</f>
        <v/>
      </c>
      <c r="O791" s="64" t="str">
        <f>Ringkasan!O790</f>
        <v/>
      </c>
      <c r="P791" s="64" t="str">
        <f>Ringkasan!P790</f>
        <v/>
      </c>
      <c r="Q791" s="64" t="str">
        <f>Ringkasan!Q790</f>
        <v/>
      </c>
      <c r="R791" s="64" t="str">
        <f>Ringkasan!R790</f>
        <v/>
      </c>
      <c r="S791" s="64" t="str">
        <f>Ringkasan!S790</f>
        <v/>
      </c>
      <c r="T791" s="64" t="str">
        <f>Ringkasan!T790</f>
        <v/>
      </c>
      <c r="U791" s="64">
        <f>Ringkasan!U790</f>
        <v>26.02</v>
      </c>
      <c r="V791" s="64">
        <f>Ringkasan!V790</f>
        <v>-1.04</v>
      </c>
      <c r="W791" s="64">
        <f>Ringkasan!W790</f>
        <v>25.76</v>
      </c>
      <c r="X791" s="64">
        <f>Ringkasan!X790</f>
        <v>26.06</v>
      </c>
      <c r="Y791" s="64">
        <f>Ringkasan!Y790</f>
        <v>25.62</v>
      </c>
      <c r="Z791" s="64">
        <f>Ringkasan!Z790</f>
        <v>4489</v>
      </c>
      <c r="AA791" s="64" t="str">
        <f>Ringkasan!AA790</f>
        <v>Healthcare Providers</v>
      </c>
      <c r="AB791" s="64" t="str">
        <f>Ringkasan!AB790</f>
        <v>Healthcare</v>
      </c>
    </row>
    <row r="792" hidden="1">
      <c r="A792" s="64" t="str">
        <f>Ringkasan!A791</f>
        <v>HEAL</v>
      </c>
      <c r="B792" s="64" t="str">
        <f>Ringkasan!B791</f>
        <v>Medikaloka Hermina Tbk.</v>
      </c>
      <c r="C792" s="65">
        <f>Ringkasan!C791</f>
        <v>845</v>
      </c>
      <c r="D792" s="64" t="str">
        <f>Ringkasan!D791</f>
        <v>#N/A</v>
      </c>
      <c r="E792" s="64" t="str">
        <f>Ringkasan!E791</f>
        <v>Pefindo - iGrade</v>
      </c>
      <c r="F792" s="64" t="str">
        <f>Ringkasan!F791</f>
        <v>30 Juni 2026</v>
      </c>
      <c r="G792" s="64">
        <f>Ringkasan!G791</f>
        <v>6</v>
      </c>
      <c r="H792" s="19">
        <f>Ringkasan!H791</f>
        <v>35.8</v>
      </c>
      <c r="I792" s="19">
        <f>Ringkasan!I791</f>
        <v>2</v>
      </c>
      <c r="J792" s="19">
        <f>Ringkasan!J791</f>
        <v>5.6</v>
      </c>
      <c r="K792" s="19">
        <f>Ringkasan!K791</f>
        <v>3.4</v>
      </c>
      <c r="L792" s="19">
        <f>Ringkasan!L791</f>
        <v>0.66</v>
      </c>
      <c r="M792" s="19">
        <f>Ringkasan!M791</f>
        <v>22.8</v>
      </c>
      <c r="N792" s="64" t="str">
        <f>Ringkasan!N791</f>
        <v/>
      </c>
      <c r="O792" s="64" t="str">
        <f>Ringkasan!O791</f>
        <v/>
      </c>
      <c r="P792" s="64" t="str">
        <f>Ringkasan!P791</f>
        <v/>
      </c>
      <c r="Q792" s="64" t="str">
        <f>Ringkasan!Q791</f>
        <v/>
      </c>
      <c r="R792" s="64" t="str">
        <f>Ringkasan!R791</f>
        <v/>
      </c>
      <c r="S792" s="64" t="str">
        <f>Ringkasan!S791</f>
        <v/>
      </c>
      <c r="T792" s="64" t="str">
        <f>Ringkasan!T791</f>
        <v/>
      </c>
      <c r="U792" s="64">
        <f>Ringkasan!U791</f>
        <v>26.02</v>
      </c>
      <c r="V792" s="64">
        <f>Ringkasan!V791</f>
        <v>-1.04</v>
      </c>
      <c r="W792" s="64">
        <f>Ringkasan!W791</f>
        <v>25.76</v>
      </c>
      <c r="X792" s="64">
        <f>Ringkasan!X791</f>
        <v>26.06</v>
      </c>
      <c r="Y792" s="64">
        <f>Ringkasan!Y791</f>
        <v>25.62</v>
      </c>
      <c r="Z792" s="64">
        <f>Ringkasan!Z791</f>
        <v>4489</v>
      </c>
      <c r="AA792" s="64" t="str">
        <f>Ringkasan!AA791</f>
        <v>Healthcare Providers</v>
      </c>
      <c r="AB792" s="64" t="str">
        <f>Ringkasan!AB791</f>
        <v>Healthcare</v>
      </c>
    </row>
    <row r="793" hidden="1">
      <c r="A793" s="64" t="str">
        <f>Ringkasan!A792</f>
        <v>HEAL</v>
      </c>
      <c r="B793" s="64" t="str">
        <f>Ringkasan!B792</f>
        <v>Medikaloka Hermina Tbk.</v>
      </c>
      <c r="C793" s="65">
        <f>Ringkasan!C792</f>
        <v>845</v>
      </c>
      <c r="D793" s="64" t="str">
        <f>Ringkasan!D792</f>
        <v>#N/A</v>
      </c>
      <c r="E793" s="64" t="str">
        <f>Ringkasan!E792</f>
        <v>IDXSMC-LIQ</v>
      </c>
      <c r="F793" s="64" t="str">
        <f>Ringkasan!F792</f>
        <v>4 Agustus 2026</v>
      </c>
      <c r="G793" s="64">
        <f>Ringkasan!G792</f>
        <v>6</v>
      </c>
      <c r="H793" s="19">
        <f>Ringkasan!H792</f>
        <v>35.8</v>
      </c>
      <c r="I793" s="19">
        <f>Ringkasan!I792</f>
        <v>2</v>
      </c>
      <c r="J793" s="19">
        <f>Ringkasan!J792</f>
        <v>5.6</v>
      </c>
      <c r="K793" s="19">
        <f>Ringkasan!K792</f>
        <v>3.4</v>
      </c>
      <c r="L793" s="19">
        <f>Ringkasan!L792</f>
        <v>0.66</v>
      </c>
      <c r="M793" s="19">
        <f>Ringkasan!M792</f>
        <v>22.8</v>
      </c>
      <c r="N793" s="64" t="str">
        <f>Ringkasan!N792</f>
        <v/>
      </c>
      <c r="O793" s="64" t="str">
        <f>Ringkasan!O792</f>
        <v/>
      </c>
      <c r="P793" s="64" t="str">
        <f>Ringkasan!P792</f>
        <v/>
      </c>
      <c r="Q793" s="64" t="str">
        <f>Ringkasan!Q792</f>
        <v/>
      </c>
      <c r="R793" s="64" t="str">
        <f>Ringkasan!R792</f>
        <v/>
      </c>
      <c r="S793" s="64" t="str">
        <f>Ringkasan!S792</f>
        <v/>
      </c>
      <c r="T793" s="64" t="str">
        <f>Ringkasan!T792</f>
        <v/>
      </c>
      <c r="U793" s="64">
        <f>Ringkasan!U792</f>
        <v>26.02</v>
      </c>
      <c r="V793" s="64">
        <f>Ringkasan!V792</f>
        <v>-1.04</v>
      </c>
      <c r="W793" s="64">
        <f>Ringkasan!W792</f>
        <v>25.76</v>
      </c>
      <c r="X793" s="64">
        <f>Ringkasan!X792</f>
        <v>26.06</v>
      </c>
      <c r="Y793" s="64">
        <f>Ringkasan!Y792</f>
        <v>25.62</v>
      </c>
      <c r="Z793" s="64">
        <f>Ringkasan!Z792</f>
        <v>4489</v>
      </c>
      <c r="AA793" s="64" t="str">
        <f>Ringkasan!AA792</f>
        <v>Healthcare Providers</v>
      </c>
      <c r="AB793" s="64" t="str">
        <f>Ringkasan!AB792</f>
        <v>Healthcare</v>
      </c>
    </row>
    <row r="794" hidden="1">
      <c r="A794" s="64" t="str">
        <f>Ringkasan!A793</f>
        <v>HEAL</v>
      </c>
      <c r="B794" s="64" t="str">
        <f>Ringkasan!B793</f>
        <v>Medikaloka Hermina Tbk.</v>
      </c>
      <c r="C794" s="65">
        <f>Ringkasan!C793</f>
        <v>845</v>
      </c>
      <c r="D794" s="64" t="str">
        <f>Ringkasan!D793</f>
        <v>#N/A</v>
      </c>
      <c r="E794" s="64" t="str">
        <f>Ringkasan!E793</f>
        <v>MSCI Small Cap</v>
      </c>
      <c r="F794" s="64" t="str">
        <f>Ringkasan!F793</f>
        <v>12 Agustus 2026</v>
      </c>
      <c r="G794" s="64">
        <f>Ringkasan!G793</f>
        <v>6</v>
      </c>
      <c r="H794" s="19">
        <f>Ringkasan!H793</f>
        <v>35.8</v>
      </c>
      <c r="I794" s="19">
        <f>Ringkasan!I793</f>
        <v>2</v>
      </c>
      <c r="J794" s="19">
        <f>Ringkasan!J793</f>
        <v>5.6</v>
      </c>
      <c r="K794" s="19">
        <f>Ringkasan!K793</f>
        <v>3.4</v>
      </c>
      <c r="L794" s="19">
        <f>Ringkasan!L793</f>
        <v>0.66</v>
      </c>
      <c r="M794" s="19">
        <f>Ringkasan!M793</f>
        <v>22.8</v>
      </c>
      <c r="N794" s="64" t="str">
        <f>Ringkasan!N793</f>
        <v/>
      </c>
      <c r="O794" s="64" t="str">
        <f>Ringkasan!O793</f>
        <v/>
      </c>
      <c r="P794" s="64" t="str">
        <f>Ringkasan!P793</f>
        <v/>
      </c>
      <c r="Q794" s="64" t="str">
        <f>Ringkasan!Q793</f>
        <v/>
      </c>
      <c r="R794" s="64" t="str">
        <f>Ringkasan!R793</f>
        <v/>
      </c>
      <c r="S794" s="64" t="str">
        <f>Ringkasan!S793</f>
        <v/>
      </c>
      <c r="T794" s="64" t="str">
        <f>Ringkasan!T793</f>
        <v/>
      </c>
      <c r="U794" s="64">
        <f>Ringkasan!U793</f>
        <v>26.02</v>
      </c>
      <c r="V794" s="64">
        <f>Ringkasan!V793</f>
        <v>-1.04</v>
      </c>
      <c r="W794" s="64">
        <f>Ringkasan!W793</f>
        <v>25.76</v>
      </c>
      <c r="X794" s="64">
        <f>Ringkasan!X793</f>
        <v>26.06</v>
      </c>
      <c r="Y794" s="64">
        <f>Ringkasan!Y793</f>
        <v>25.62</v>
      </c>
      <c r="Z794" s="64">
        <f>Ringkasan!Z793</f>
        <v>4489</v>
      </c>
      <c r="AA794" s="64" t="str">
        <f>Ringkasan!AA793</f>
        <v>Healthcare Providers</v>
      </c>
      <c r="AB794" s="64" t="str">
        <f>Ringkasan!AB793</f>
        <v>Healthcare</v>
      </c>
    </row>
    <row r="795" hidden="1">
      <c r="A795" s="64" t="str">
        <f>Ringkasan!A794</f>
        <v>HEAL</v>
      </c>
      <c r="B795" s="64" t="str">
        <f>Ringkasan!B794</f>
        <v>Medikaloka Hermina Tbk.</v>
      </c>
      <c r="C795" s="65">
        <f>Ringkasan!C794</f>
        <v>845</v>
      </c>
      <c r="D795" s="64" t="str">
        <f>Ringkasan!D794</f>
        <v>#N/A</v>
      </c>
      <c r="E795" s="64" t="str">
        <f>Ringkasan!E794</f>
        <v>JII70</v>
      </c>
      <c r="F795" s="66">
        <f>Ringkasan!F794</f>
        <v>46356</v>
      </c>
      <c r="G795" s="64">
        <f>Ringkasan!G794</f>
        <v>6</v>
      </c>
      <c r="H795" s="19">
        <f>Ringkasan!H794</f>
        <v>35.8</v>
      </c>
      <c r="I795" s="19">
        <f>Ringkasan!I794</f>
        <v>2</v>
      </c>
      <c r="J795" s="19">
        <f>Ringkasan!J794</f>
        <v>5.6</v>
      </c>
      <c r="K795" s="19">
        <f>Ringkasan!K794</f>
        <v>3.4</v>
      </c>
      <c r="L795" s="19">
        <f>Ringkasan!L794</f>
        <v>0.66</v>
      </c>
      <c r="M795" s="19">
        <f>Ringkasan!M794</f>
        <v>22.8</v>
      </c>
      <c r="N795" s="64" t="str">
        <f>Ringkasan!N794</f>
        <v/>
      </c>
      <c r="O795" s="64" t="str">
        <f>Ringkasan!O794</f>
        <v/>
      </c>
      <c r="P795" s="64" t="str">
        <f>Ringkasan!P794</f>
        <v/>
      </c>
      <c r="Q795" s="64" t="str">
        <f>Ringkasan!Q794</f>
        <v/>
      </c>
      <c r="R795" s="64" t="str">
        <f>Ringkasan!R794</f>
        <v/>
      </c>
      <c r="S795" s="64" t="str">
        <f>Ringkasan!S794</f>
        <v/>
      </c>
      <c r="T795" s="64" t="str">
        <f>Ringkasan!T794</f>
        <v/>
      </c>
      <c r="U795" s="64">
        <f>Ringkasan!U794</f>
        <v>26.02</v>
      </c>
      <c r="V795" s="64">
        <f>Ringkasan!V794</f>
        <v>-1.04</v>
      </c>
      <c r="W795" s="64">
        <f>Ringkasan!W794</f>
        <v>25.76</v>
      </c>
      <c r="X795" s="64">
        <f>Ringkasan!X794</f>
        <v>26.06</v>
      </c>
      <c r="Y795" s="64">
        <f>Ringkasan!Y794</f>
        <v>25.62</v>
      </c>
      <c r="Z795" s="64">
        <f>Ringkasan!Z794</f>
        <v>4489</v>
      </c>
      <c r="AA795" s="64" t="str">
        <f>Ringkasan!AA794</f>
        <v>Healthcare Providers</v>
      </c>
      <c r="AB795" s="64" t="str">
        <f>Ringkasan!AB794</f>
        <v>Healthcare</v>
      </c>
    </row>
    <row r="796" hidden="1">
      <c r="A796" s="64" t="str">
        <f>Ringkasan!A795</f>
        <v>HELI</v>
      </c>
      <c r="B796" s="64" t="str">
        <f>Ringkasan!B795</f>
        <v>Jaya Trishindo Tbk.</v>
      </c>
      <c r="C796" s="65">
        <f>Ringkasan!C795</f>
        <v>175</v>
      </c>
      <c r="D796" s="64" t="str">
        <f>Ringkasan!D795</f>
        <v>#N/A</v>
      </c>
      <c r="E796" s="64" t="str">
        <f>Ringkasan!E795</f>
        <v/>
      </c>
      <c r="F796" s="64" t="str">
        <f>Ringkasan!F795</f>
        <v/>
      </c>
      <c r="G796" s="65">
        <f>Ringkasan!G795</f>
        <v>0</v>
      </c>
      <c r="H796" s="19">
        <f>Ringkasan!H795</f>
        <v>5.3</v>
      </c>
      <c r="I796" s="19">
        <f>Ringkasan!I795</f>
        <v>1.5</v>
      </c>
      <c r="J796" s="19">
        <f>Ringkasan!J795</f>
        <v>29.1</v>
      </c>
      <c r="K796" s="19">
        <f>Ringkasan!K795</f>
        <v>14.1</v>
      </c>
      <c r="L796" s="19">
        <f>Ringkasan!L795</f>
        <v>1.1</v>
      </c>
      <c r="M796" s="19">
        <f>Ringkasan!M795</f>
        <v>89</v>
      </c>
      <c r="N796" s="64" t="str">
        <f>Ringkasan!N795</f>
        <v/>
      </c>
      <c r="O796" s="64" t="str">
        <f>Ringkasan!O795</f>
        <v/>
      </c>
      <c r="P796" s="64" t="str">
        <f>Ringkasan!P795</f>
        <v/>
      </c>
      <c r="Q796" s="64" t="str">
        <f>Ringkasan!Q795</f>
        <v/>
      </c>
      <c r="R796" s="64" t="str">
        <f>Ringkasan!R795</f>
        <v/>
      </c>
      <c r="S796" s="64" t="str">
        <f>Ringkasan!S795</f>
        <v/>
      </c>
      <c r="T796" s="64" t="str">
        <f>Ringkasan!T795</f>
        <v/>
      </c>
      <c r="U796" s="64">
        <f>Ringkasan!U795</f>
        <v>0.04</v>
      </c>
      <c r="V796" s="64">
        <f>Ringkasan!V795</f>
        <v>-12.5</v>
      </c>
      <c r="W796" s="64">
        <f>Ringkasan!W795</f>
        <v>0.04</v>
      </c>
      <c r="X796" s="64">
        <f>Ringkasan!X795</f>
        <v>0.04</v>
      </c>
      <c r="Y796" s="64">
        <f>Ringkasan!Y795</f>
        <v>0.04</v>
      </c>
      <c r="Z796" s="64">
        <f>Ringkasan!Z795</f>
        <v>151383</v>
      </c>
      <c r="AA796" s="64" t="str">
        <f>Ringkasan!AA795</f>
        <v>Airlines</v>
      </c>
      <c r="AB796" s="64" t="str">
        <f>Ringkasan!AB795</f>
        <v>Transportation &amp; Logistic</v>
      </c>
    </row>
    <row r="797" hidden="1">
      <c r="A797" s="64" t="str">
        <f>Ringkasan!A796</f>
        <v>HERO</v>
      </c>
      <c r="B797" s="64" t="str">
        <f>Ringkasan!B796</f>
        <v>DFI Retail Nusantara Tbk.</v>
      </c>
      <c r="C797" s="65">
        <f>Ringkasan!C796</f>
        <v>318</v>
      </c>
      <c r="D797" s="64" t="str">
        <f>Ringkasan!D796</f>
        <v>#N/A</v>
      </c>
      <c r="E797" s="64" t="str">
        <f>Ringkasan!E796</f>
        <v/>
      </c>
      <c r="F797" s="64" t="str">
        <f>Ringkasan!F796</f>
        <v/>
      </c>
      <c r="G797" s="64">
        <f>Ringkasan!G796</f>
        <v>0</v>
      </c>
      <c r="H797" s="19">
        <f>Ringkasan!H796</f>
        <v>7.4</v>
      </c>
      <c r="I797" s="19">
        <f>Ringkasan!I796</f>
        <v>0.93</v>
      </c>
      <c r="J797" s="19">
        <f>Ringkasan!J796</f>
        <v>12.6</v>
      </c>
      <c r="K797" s="19">
        <f>Ringkasan!K796</f>
        <v>5.1</v>
      </c>
      <c r="L797" s="19">
        <f>Ringkasan!L796</f>
        <v>1.5</v>
      </c>
      <c r="M797" s="19">
        <f>Ringkasan!M796</f>
        <v>15.6</v>
      </c>
      <c r="N797" s="64" t="str">
        <f>Ringkasan!N796</f>
        <v/>
      </c>
      <c r="O797" s="64" t="str">
        <f>Ringkasan!O796</f>
        <v/>
      </c>
      <c r="P797" s="64" t="str">
        <f>Ringkasan!P796</f>
        <v/>
      </c>
      <c r="Q797" s="64" t="str">
        <f>Ringkasan!Q796</f>
        <v/>
      </c>
      <c r="R797" s="64" t="str">
        <f>Ringkasan!R796</f>
        <v/>
      </c>
      <c r="S797" s="64" t="str">
        <f>Ringkasan!S796</f>
        <v/>
      </c>
      <c r="T797" s="64" t="str">
        <f>Ringkasan!T796</f>
        <v/>
      </c>
      <c r="U797" s="64">
        <f>Ringkasan!U796</f>
        <v>24.78</v>
      </c>
      <c r="V797" s="64">
        <f>Ringkasan!V796</f>
        <v>-0.52</v>
      </c>
      <c r="W797" s="64">
        <f>Ringkasan!W796</f>
        <v>24.44</v>
      </c>
      <c r="X797" s="64">
        <f>Ringkasan!X796</f>
        <v>24.69</v>
      </c>
      <c r="Y797" s="64">
        <f>Ringkasan!Y796</f>
        <v>24.36</v>
      </c>
      <c r="Z797" s="64">
        <f>Ringkasan!Z796</f>
        <v>3623</v>
      </c>
      <c r="AA797" s="64" t="str">
        <f>Ringkasan!AA796</f>
        <v>Food &amp; Staples Retailing</v>
      </c>
      <c r="AB797" s="64" t="str">
        <f>Ringkasan!AB796</f>
        <v>Consumer Non-Cyclicals</v>
      </c>
    </row>
    <row r="798" hidden="1">
      <c r="A798" s="64" t="str">
        <f>Ringkasan!A797</f>
        <v>HEXA</v>
      </c>
      <c r="B798" s="64" t="str">
        <f>Ringkasan!B797</f>
        <v>Hexindo Adiperkasa Tbk.</v>
      </c>
      <c r="C798" s="65">
        <f>Ringkasan!C797</f>
        <v>4410</v>
      </c>
      <c r="D798" s="64" t="str">
        <f>Ringkasan!D797</f>
        <v>#N/A</v>
      </c>
      <c r="E798" s="64" t="str">
        <f>Ringkasan!E797</f>
        <v/>
      </c>
      <c r="F798" s="64" t="str">
        <f>Ringkasan!F797</f>
        <v/>
      </c>
      <c r="G798" s="64">
        <f>Ringkasan!G797</f>
        <v>0</v>
      </c>
      <c r="H798" s="19">
        <f>Ringkasan!H797</f>
        <v>7.6</v>
      </c>
      <c r="I798" s="19">
        <f>Ringkasan!I797</f>
        <v>1.3</v>
      </c>
      <c r="J798" s="19">
        <f>Ringkasan!J797</f>
        <v>17.2</v>
      </c>
      <c r="K798" s="19">
        <f>Ringkasan!K797</f>
        <v>6.7</v>
      </c>
      <c r="L798" s="19">
        <f>Ringkasan!L797</f>
        <v>1.6</v>
      </c>
      <c r="M798" s="19">
        <f>Ringkasan!M797</f>
        <v>7.2</v>
      </c>
      <c r="N798" s="64" t="str">
        <f>Ringkasan!N797</f>
        <v/>
      </c>
      <c r="O798" s="64" t="str">
        <f>Ringkasan!O797</f>
        <v/>
      </c>
      <c r="P798" s="64" t="str">
        <f>Ringkasan!P797</f>
        <v/>
      </c>
      <c r="Q798" s="64" t="str">
        <f>Ringkasan!Q797</f>
        <v/>
      </c>
      <c r="R798" s="64" t="str">
        <f>Ringkasan!R797</f>
        <v/>
      </c>
      <c r="S798" s="64" t="str">
        <f>Ringkasan!S797</f>
        <v/>
      </c>
      <c r="T798" s="64" t="str">
        <f>Ringkasan!T797</f>
        <v/>
      </c>
      <c r="U798" s="64">
        <f>Ringkasan!U797</f>
        <v>4340</v>
      </c>
      <c r="V798" s="64">
        <f>Ringkasan!V797</f>
        <v>1.61</v>
      </c>
      <c r="W798" s="64">
        <f>Ringkasan!W797</f>
        <v>4350</v>
      </c>
      <c r="X798" s="64">
        <f>Ringkasan!X797</f>
        <v>4430</v>
      </c>
      <c r="Y798" s="64">
        <f>Ringkasan!Y797</f>
        <v>4350</v>
      </c>
      <c r="Z798" s="64">
        <f>Ringkasan!Z797</f>
        <v>156800</v>
      </c>
      <c r="AA798" s="64" t="str">
        <f>Ringkasan!AA797</f>
        <v>Machinery</v>
      </c>
      <c r="AB798" s="64" t="str">
        <f>Ringkasan!AB797</f>
        <v>Industrials</v>
      </c>
    </row>
    <row r="799" hidden="1">
      <c r="A799" s="64" t="str">
        <f>Ringkasan!A798</f>
        <v>HGII</v>
      </c>
      <c r="B799" s="64" t="str">
        <f>Ringkasan!B798</f>
        <v>Hero Global Investment Tbk.</v>
      </c>
      <c r="C799" s="65">
        <f>Ringkasan!C798</f>
        <v>132</v>
      </c>
      <c r="D799" s="64" t="str">
        <f>Ringkasan!D798</f>
        <v>#N/A</v>
      </c>
      <c r="E799" s="64" t="str">
        <f>Ringkasan!E798</f>
        <v/>
      </c>
      <c r="F799" s="64" t="str">
        <f>Ringkasan!F798</f>
        <v/>
      </c>
      <c r="G799" s="64">
        <f>Ringkasan!G798</f>
        <v>0</v>
      </c>
      <c r="H799" s="19">
        <f>Ringkasan!H798</f>
        <v>53.6</v>
      </c>
      <c r="I799" s="19">
        <f>Ringkasan!I798</f>
        <v>1.1</v>
      </c>
      <c r="J799" s="19">
        <f>Ringkasan!J798</f>
        <v>2.1</v>
      </c>
      <c r="K799" s="19">
        <f>Ringkasan!K798</f>
        <v>1.7</v>
      </c>
      <c r="L799" s="19">
        <f>Ringkasan!L798</f>
        <v>0.26</v>
      </c>
      <c r="M799" s="19">
        <f>Ringkasan!M798</f>
        <v>89.2</v>
      </c>
      <c r="N799" s="64" t="str">
        <f>Ringkasan!N798</f>
        <v/>
      </c>
      <c r="O799" s="64" t="str">
        <f>Ringkasan!O798</f>
        <v/>
      </c>
      <c r="P799" s="64" t="str">
        <f>Ringkasan!P798</f>
        <v/>
      </c>
      <c r="Q799" s="64" t="str">
        <f>Ringkasan!Q798</f>
        <v/>
      </c>
      <c r="R799" s="64" t="str">
        <f>Ringkasan!R798</f>
        <v/>
      </c>
      <c r="S799" s="64" t="str">
        <f>Ringkasan!S798</f>
        <v/>
      </c>
      <c r="T799" s="64" t="str">
        <f>Ringkasan!T798</f>
        <v/>
      </c>
      <c r="U799" s="64">
        <f>Ringkasan!U798</f>
        <v>132</v>
      </c>
      <c r="V799" s="64">
        <f>Ringkasan!V798</f>
        <v>0</v>
      </c>
      <c r="W799" s="64">
        <f>Ringkasan!W798</f>
        <v>132</v>
      </c>
      <c r="X799" s="64">
        <f>Ringkasan!X798</f>
        <v>133</v>
      </c>
      <c r="Y799" s="64">
        <f>Ringkasan!Y798</f>
        <v>128</v>
      </c>
      <c r="Z799" s="64">
        <f>Ringkasan!Z798</f>
        <v>353300</v>
      </c>
      <c r="AA799" s="64" t="str">
        <f>Ringkasan!AA798</f>
        <v>Electric Utilities</v>
      </c>
      <c r="AB799" s="64" t="str">
        <f>Ringkasan!AB798</f>
        <v>Infrastructures</v>
      </c>
    </row>
    <row r="800" hidden="1">
      <c r="A800" s="64" t="str">
        <f>Ringkasan!A799</f>
        <v>HILL</v>
      </c>
      <c r="B800" s="64" t="str">
        <f>Ringkasan!B799</f>
        <v>PT Hillcon Tbk</v>
      </c>
      <c r="C800" s="65">
        <f>Ringkasan!C799</f>
        <v>17</v>
      </c>
      <c r="D800" s="64" t="str">
        <f>Ringkasan!D799</f>
        <v>#N/A</v>
      </c>
      <c r="E800" s="64" t="str">
        <f>Ringkasan!E799</f>
        <v/>
      </c>
      <c r="F800" s="64" t="str">
        <f>Ringkasan!F799</f>
        <v/>
      </c>
      <c r="G800" s="64">
        <f>Ringkasan!G799</f>
        <v>0</v>
      </c>
      <c r="H800" s="19">
        <f>Ringkasan!H799</f>
        <v>-0.23</v>
      </c>
      <c r="I800" s="19">
        <f>Ringkasan!I799</f>
        <v>0.56</v>
      </c>
      <c r="J800" s="19">
        <f>Ringkasan!J799</f>
        <v>-250</v>
      </c>
      <c r="K800" s="19">
        <f>Ringkasan!K799</f>
        <v>-19.5</v>
      </c>
      <c r="L800" s="19">
        <f>Ringkasan!L799</f>
        <v>11.6</v>
      </c>
      <c r="M800" s="19">
        <f>Ringkasan!M799</f>
        <v>-29.8</v>
      </c>
      <c r="N800" s="64" t="str">
        <f>Ringkasan!N799</f>
        <v/>
      </c>
      <c r="O800" s="64" t="str">
        <f>Ringkasan!O799</f>
        <v/>
      </c>
      <c r="P800" s="64" t="str">
        <f>Ringkasan!P799</f>
        <v/>
      </c>
      <c r="Q800" s="64" t="str">
        <f>Ringkasan!Q799</f>
        <v/>
      </c>
      <c r="R800" s="64" t="str">
        <f>Ringkasan!R799</f>
        <v/>
      </c>
      <c r="S800" s="64" t="str">
        <f>Ringkasan!S799</f>
        <v/>
      </c>
      <c r="T800" s="64" t="str">
        <f>Ringkasan!T799</f>
        <v/>
      </c>
      <c r="U800" s="64">
        <f>Ringkasan!U799</f>
        <v>16</v>
      </c>
      <c r="V800" s="64">
        <f>Ringkasan!V799</f>
        <v>6.25</v>
      </c>
      <c r="W800" s="64">
        <f>Ringkasan!W799</f>
        <v>17</v>
      </c>
      <c r="X800" s="64">
        <f>Ringkasan!X799</f>
        <v>17</v>
      </c>
      <c r="Y800" s="64">
        <f>Ringkasan!Y799</f>
        <v>17</v>
      </c>
      <c r="Z800" s="64">
        <f>Ringkasan!Z799</f>
        <v>17960300</v>
      </c>
      <c r="AA800" s="64" t="str">
        <f>Ringkasan!AA799</f>
        <v>Oil, Gas &amp; Coal Supports</v>
      </c>
      <c r="AB800" s="64" t="str">
        <f>Ringkasan!AB799</f>
        <v>Energy</v>
      </c>
    </row>
    <row r="801" hidden="1">
      <c r="A801" s="64" t="str">
        <f>Ringkasan!A800</f>
        <v>HITS</v>
      </c>
      <c r="B801" s="64" t="str">
        <f>Ringkasan!B800</f>
        <v>Humpuss Intermoda Transportasi Tbk.</v>
      </c>
      <c r="C801" s="65" t="str">
        <f>Ringkasan!C800</f>
        <v>#N/A</v>
      </c>
      <c r="D801" s="64" t="str">
        <f>Ringkasan!D800</f>
        <v>#N/A</v>
      </c>
      <c r="E801" s="64" t="str">
        <f>Ringkasan!E800</f>
        <v/>
      </c>
      <c r="F801" s="64" t="str">
        <f>Ringkasan!F800</f>
        <v/>
      </c>
      <c r="G801" s="64">
        <f>Ringkasan!G800</f>
        <v>0</v>
      </c>
      <c r="H801" s="19">
        <f>Ringkasan!H800</f>
        <v>-11.5</v>
      </c>
      <c r="I801" s="19">
        <f>Ringkasan!I800</f>
        <v>0.42</v>
      </c>
      <c r="J801" s="19">
        <f>Ringkasan!J800</f>
        <v>-3.6</v>
      </c>
      <c r="K801" s="19">
        <f>Ringkasan!K800</f>
        <v>-1.3</v>
      </c>
      <c r="L801" s="19">
        <f>Ringkasan!L800</f>
        <v>1.8</v>
      </c>
      <c r="M801" s="19">
        <f>Ringkasan!M800</f>
        <v>-4.3</v>
      </c>
      <c r="N801" s="64" t="str">
        <f>Ringkasan!N800</f>
        <v/>
      </c>
      <c r="O801" s="64" t="str">
        <f>Ringkasan!O800</f>
        <v/>
      </c>
      <c r="P801" s="64" t="str">
        <f>Ringkasan!P800</f>
        <v/>
      </c>
      <c r="Q801" s="64" t="str">
        <f>Ringkasan!Q800</f>
        <v/>
      </c>
      <c r="R801" s="64" t="str">
        <f>Ringkasan!R800</f>
        <v/>
      </c>
      <c r="S801" s="64" t="str">
        <f>Ringkasan!S800</f>
        <v/>
      </c>
      <c r="T801" s="64" t="str">
        <f>Ringkasan!T800</f>
        <v/>
      </c>
      <c r="U801" s="64" t="str">
        <f>Ringkasan!U800</f>
        <v/>
      </c>
      <c r="V801" s="64" t="str">
        <f>Ringkasan!V800</f>
        <v/>
      </c>
      <c r="W801" s="64" t="str">
        <f>Ringkasan!W800</f>
        <v/>
      </c>
      <c r="X801" s="64" t="str">
        <f>Ringkasan!X800</f>
        <v/>
      </c>
      <c r="Y801" s="64" t="str">
        <f>Ringkasan!Y800</f>
        <v/>
      </c>
      <c r="Z801" s="64" t="str">
        <f>Ringkasan!Z800</f>
        <v/>
      </c>
      <c r="AA801" s="64" t="str">
        <f>Ringkasan!AA800</f>
        <v>Oil &amp; Gas</v>
      </c>
      <c r="AB801" s="64" t="str">
        <f>Ringkasan!AB800</f>
        <v>Energy</v>
      </c>
    </row>
    <row r="802" hidden="1">
      <c r="A802" s="64" t="str">
        <f>Ringkasan!A801</f>
        <v>HKMU</v>
      </c>
      <c r="B802" s="64" t="str">
        <f>Ringkasan!B801</f>
        <v>HK Metals Utama Tbk.</v>
      </c>
      <c r="C802" s="65">
        <f>Ringkasan!C801</f>
        <v>50</v>
      </c>
      <c r="D802" s="64" t="str">
        <f>Ringkasan!D801</f>
        <v>#N/A</v>
      </c>
      <c r="E802" s="64" t="str">
        <f>Ringkasan!E801</f>
        <v/>
      </c>
      <c r="F802" s="64" t="str">
        <f>Ringkasan!F801</f>
        <v/>
      </c>
      <c r="G802" s="64">
        <f>Ringkasan!G801</f>
        <v>0</v>
      </c>
      <c r="H802" s="19">
        <f>Ringkasan!H801</f>
        <v>0</v>
      </c>
      <c r="I802" s="19">
        <f>Ringkasan!I801</f>
        <v>-2.3</v>
      </c>
      <c r="J802" s="19">
        <f>Ringkasan!J801</f>
        <v>0</v>
      </c>
      <c r="K802" s="19">
        <f>Ringkasan!K801</f>
        <v>-71</v>
      </c>
      <c r="L802" s="19">
        <f>Ringkasan!L801</f>
        <v>-6.7</v>
      </c>
      <c r="M802" s="19">
        <f>Ringkasan!M801</f>
        <v>-6710</v>
      </c>
      <c r="N802" s="64" t="str">
        <f>Ringkasan!N801</f>
        <v/>
      </c>
      <c r="O802" s="64" t="str">
        <f>Ringkasan!O801</f>
        <v/>
      </c>
      <c r="P802" s="64" t="str">
        <f>Ringkasan!P801</f>
        <v/>
      </c>
      <c r="Q802" s="64" t="str">
        <f>Ringkasan!Q801</f>
        <v/>
      </c>
      <c r="R802" s="64" t="str">
        <f>Ringkasan!R801</f>
        <v/>
      </c>
      <c r="S802" s="64" t="str">
        <f>Ringkasan!S801</f>
        <v/>
      </c>
      <c r="T802" s="64" t="str">
        <f>Ringkasan!T801</f>
        <v/>
      </c>
      <c r="U802" s="64">
        <f>Ringkasan!U801</f>
        <v>50</v>
      </c>
      <c r="V802" s="64">
        <f>Ringkasan!V801</f>
        <v>0</v>
      </c>
      <c r="W802" s="64" t="str">
        <f>Ringkasan!W801</f>
        <v/>
      </c>
      <c r="X802" s="64" t="str">
        <f>Ringkasan!X801</f>
        <v/>
      </c>
      <c r="Y802" s="64" t="str">
        <f>Ringkasan!Y801</f>
        <v/>
      </c>
      <c r="Z802" s="64">
        <f>Ringkasan!Z801</f>
        <v>0</v>
      </c>
      <c r="AA802" s="64" t="str">
        <f>Ringkasan!AA801</f>
        <v>Metals &amp; Minerals</v>
      </c>
      <c r="AB802" s="64" t="str">
        <f>Ringkasan!AB801</f>
        <v>Basic Materials</v>
      </c>
    </row>
    <row r="803" hidden="1">
      <c r="A803" s="64" t="str">
        <f>Ringkasan!A802</f>
        <v>HMSP</v>
      </c>
      <c r="B803" s="64" t="str">
        <f>Ringkasan!B802</f>
        <v>HM Sampoerna Tbk</v>
      </c>
      <c r="C803" s="65">
        <f>Ringkasan!C802</f>
        <v>605</v>
      </c>
      <c r="D803" s="64" t="str">
        <f>Ringkasan!D802</f>
        <v>#N/A</v>
      </c>
      <c r="E803" s="64" t="str">
        <f>Ringkasan!E802</f>
        <v>IDXHIDIV20</v>
      </c>
      <c r="F803" s="64" t="str">
        <f>Ringkasan!F802</f>
        <v>2 Februari 2027</v>
      </c>
      <c r="G803" s="64">
        <f>Ringkasan!G802</f>
        <v>2</v>
      </c>
      <c r="H803" s="19">
        <f>Ringkasan!H802</f>
        <v>12</v>
      </c>
      <c r="I803" s="19">
        <f>Ringkasan!I802</f>
        <v>2.7</v>
      </c>
      <c r="J803" s="19">
        <f>Ringkasan!J802</f>
        <v>22.2</v>
      </c>
      <c r="K803" s="19">
        <f>Ringkasan!K802</f>
        <v>13</v>
      </c>
      <c r="L803" s="19">
        <f>Ringkasan!L802</f>
        <v>0.71</v>
      </c>
      <c r="M803" s="19">
        <f>Ringkasan!M802</f>
        <v>24.8</v>
      </c>
      <c r="N803" s="64" t="str">
        <f>Ringkasan!N802</f>
        <v/>
      </c>
      <c r="O803" s="64" t="str">
        <f>Ringkasan!O802</f>
        <v/>
      </c>
      <c r="P803" s="64" t="str">
        <f>Ringkasan!P802</f>
        <v/>
      </c>
      <c r="Q803" s="64" t="str">
        <f>Ringkasan!Q802</f>
        <v/>
      </c>
      <c r="R803" s="64" t="str">
        <f>Ringkasan!R802</f>
        <v/>
      </c>
      <c r="S803" s="64" t="str">
        <f>Ringkasan!S802</f>
        <v/>
      </c>
      <c r="T803" s="64" t="str">
        <f>Ringkasan!T802</f>
        <v/>
      </c>
      <c r="U803" s="64">
        <f>Ringkasan!U802</f>
        <v>595</v>
      </c>
      <c r="V803" s="64">
        <f>Ringkasan!V802</f>
        <v>1.68</v>
      </c>
      <c r="W803" s="64">
        <f>Ringkasan!W802</f>
        <v>600</v>
      </c>
      <c r="X803" s="64">
        <f>Ringkasan!X802</f>
        <v>610</v>
      </c>
      <c r="Y803" s="64">
        <f>Ringkasan!Y802</f>
        <v>590</v>
      </c>
      <c r="Z803" s="64">
        <f>Ringkasan!Z802</f>
        <v>32621000</v>
      </c>
      <c r="AA803" s="64" t="str">
        <f>Ringkasan!AA802</f>
        <v>Tobacco</v>
      </c>
      <c r="AB803" s="64" t="str">
        <f>Ringkasan!AB802</f>
        <v>Consumer Non-Cyclicals</v>
      </c>
    </row>
    <row r="804" hidden="1">
      <c r="A804" s="64" t="str">
        <f>Ringkasan!A803</f>
        <v>HMSP</v>
      </c>
      <c r="B804" s="64" t="str">
        <f>Ringkasan!B803</f>
        <v>HM Sampoerna Tbk</v>
      </c>
      <c r="C804" s="65">
        <f>Ringkasan!C803</f>
        <v>605</v>
      </c>
      <c r="D804" s="64" t="str">
        <f>Ringkasan!D803</f>
        <v>#N/A</v>
      </c>
      <c r="E804" s="64" t="str">
        <f>Ringkasan!E803</f>
        <v>Kompas100</v>
      </c>
      <c r="F804" s="64" t="str">
        <f>Ringkasan!F803</f>
        <v>31 Juli 2026</v>
      </c>
      <c r="G804" s="64">
        <f>Ringkasan!G803</f>
        <v>2</v>
      </c>
      <c r="H804" s="19">
        <f>Ringkasan!H803</f>
        <v>12</v>
      </c>
      <c r="I804" s="19">
        <f>Ringkasan!I803</f>
        <v>2.7</v>
      </c>
      <c r="J804" s="19">
        <f>Ringkasan!J803</f>
        <v>22.2</v>
      </c>
      <c r="K804" s="19">
        <f>Ringkasan!K803</f>
        <v>13</v>
      </c>
      <c r="L804" s="19">
        <f>Ringkasan!L803</f>
        <v>0.71</v>
      </c>
      <c r="M804" s="19">
        <f>Ringkasan!M803</f>
        <v>24.8</v>
      </c>
      <c r="N804" s="64" t="str">
        <f>Ringkasan!N803</f>
        <v/>
      </c>
      <c r="O804" s="64" t="str">
        <f>Ringkasan!O803</f>
        <v/>
      </c>
      <c r="P804" s="64" t="str">
        <f>Ringkasan!P803</f>
        <v/>
      </c>
      <c r="Q804" s="64" t="str">
        <f>Ringkasan!Q803</f>
        <v/>
      </c>
      <c r="R804" s="64" t="str">
        <f>Ringkasan!R803</f>
        <v/>
      </c>
      <c r="S804" s="64" t="str">
        <f>Ringkasan!S803</f>
        <v/>
      </c>
      <c r="T804" s="64" t="str">
        <f>Ringkasan!T803</f>
        <v/>
      </c>
      <c r="U804" s="64">
        <f>Ringkasan!U803</f>
        <v>595</v>
      </c>
      <c r="V804" s="64">
        <f>Ringkasan!V803</f>
        <v>1.68</v>
      </c>
      <c r="W804" s="64">
        <f>Ringkasan!W803</f>
        <v>600</v>
      </c>
      <c r="X804" s="64">
        <f>Ringkasan!X803</f>
        <v>610</v>
      </c>
      <c r="Y804" s="64">
        <f>Ringkasan!Y803</f>
        <v>590</v>
      </c>
      <c r="Z804" s="64">
        <f>Ringkasan!Z803</f>
        <v>32621000</v>
      </c>
      <c r="AA804" s="64" t="str">
        <f>Ringkasan!AA803</f>
        <v>Tobacco</v>
      </c>
      <c r="AB804" s="64" t="str">
        <f>Ringkasan!AB803</f>
        <v>Consumer Non-Cyclicals</v>
      </c>
    </row>
    <row r="805" hidden="1">
      <c r="A805" s="64" t="str">
        <f>Ringkasan!A804</f>
        <v>HOKI</v>
      </c>
      <c r="B805" s="64" t="str">
        <f>Ringkasan!B804</f>
        <v>Buyung Poetra Sembada Tbk.</v>
      </c>
      <c r="C805" s="65">
        <f>Ringkasan!C804</f>
        <v>54</v>
      </c>
      <c r="D805" s="64" t="str">
        <f>Ringkasan!D804</f>
        <v>#N/A</v>
      </c>
      <c r="E805" s="64" t="str">
        <f>Ringkasan!E804</f>
        <v/>
      </c>
      <c r="F805" s="64" t="str">
        <f>Ringkasan!F804</f>
        <v/>
      </c>
      <c r="G805" s="64">
        <f>Ringkasan!G804</f>
        <v>0</v>
      </c>
      <c r="H805" s="19">
        <f>Ringkasan!H804</f>
        <v>-15.3</v>
      </c>
      <c r="I805" s="19">
        <f>Ringkasan!I804</f>
        <v>1.1</v>
      </c>
      <c r="J805" s="19">
        <f>Ringkasan!J804</f>
        <v>-6.9</v>
      </c>
      <c r="K805" s="19">
        <f>Ringkasan!K804</f>
        <v>-4.2</v>
      </c>
      <c r="L805" s="19">
        <f>Ringkasan!L804</f>
        <v>0.64</v>
      </c>
      <c r="M805" s="19">
        <f>Ringkasan!M804</f>
        <v>-7.3</v>
      </c>
      <c r="N805" s="64" t="str">
        <f>Ringkasan!N804</f>
        <v/>
      </c>
      <c r="O805" s="64" t="str">
        <f>Ringkasan!O804</f>
        <v/>
      </c>
      <c r="P805" s="64" t="str">
        <f>Ringkasan!P804</f>
        <v/>
      </c>
      <c r="Q805" s="64" t="str">
        <f>Ringkasan!Q804</f>
        <v/>
      </c>
      <c r="R805" s="64" t="str">
        <f>Ringkasan!R804</f>
        <v/>
      </c>
      <c r="S805" s="64" t="str">
        <f>Ringkasan!S804</f>
        <v/>
      </c>
      <c r="T805" s="64" t="str">
        <f>Ringkasan!T804</f>
        <v/>
      </c>
      <c r="U805" s="64">
        <f>Ringkasan!U804</f>
        <v>52</v>
      </c>
      <c r="V805" s="64">
        <f>Ringkasan!V804</f>
        <v>3.85</v>
      </c>
      <c r="W805" s="64">
        <f>Ringkasan!W804</f>
        <v>52</v>
      </c>
      <c r="X805" s="64">
        <f>Ringkasan!X804</f>
        <v>56</v>
      </c>
      <c r="Y805" s="64">
        <f>Ringkasan!Y804</f>
        <v>52</v>
      </c>
      <c r="Z805" s="64">
        <f>Ringkasan!Z804</f>
        <v>20888100</v>
      </c>
      <c r="AA805" s="64" t="str">
        <f>Ringkasan!AA804</f>
        <v>Processed Foods</v>
      </c>
      <c r="AB805" s="64" t="str">
        <f>Ringkasan!AB804</f>
        <v>Consumer Non-Cyclicals</v>
      </c>
    </row>
    <row r="806" hidden="1">
      <c r="A806" s="64" t="str">
        <f>Ringkasan!A805</f>
        <v>HOME</v>
      </c>
      <c r="B806" s="64" t="str">
        <f>Ringkasan!B805</f>
        <v>Hotel Mandarine Regency Tbk.</v>
      </c>
      <c r="C806" s="65">
        <f>Ringkasan!C805</f>
        <v>50</v>
      </c>
      <c r="D806" s="64" t="str">
        <f>Ringkasan!D805</f>
        <v>#N/A</v>
      </c>
      <c r="E806" s="64" t="str">
        <f>Ringkasan!E805</f>
        <v/>
      </c>
      <c r="F806" s="64" t="str">
        <f>Ringkasan!F805</f>
        <v/>
      </c>
      <c r="G806" s="64">
        <f>Ringkasan!G805</f>
        <v>0</v>
      </c>
      <c r="H806" s="19">
        <f>Ringkasan!H805</f>
        <v>0</v>
      </c>
      <c r="I806" s="19">
        <f>Ringkasan!I805</f>
        <v>0.52</v>
      </c>
      <c r="J806" s="19">
        <f>Ringkasan!J805</f>
        <v>-1.7</v>
      </c>
      <c r="K806" s="19">
        <f>Ringkasan!K805</f>
        <v>-1.4</v>
      </c>
      <c r="L806" s="19">
        <f>Ringkasan!L805</f>
        <v>0.16</v>
      </c>
      <c r="M806" s="19">
        <f>Ringkasan!M805</f>
        <v>-340</v>
      </c>
      <c r="N806" s="64" t="str">
        <f>Ringkasan!N805</f>
        <v/>
      </c>
      <c r="O806" s="64" t="str">
        <f>Ringkasan!O805</f>
        <v/>
      </c>
      <c r="P806" s="64" t="str">
        <f>Ringkasan!P805</f>
        <v/>
      </c>
      <c r="Q806" s="64" t="str">
        <f>Ringkasan!Q805</f>
        <v/>
      </c>
      <c r="R806" s="64" t="str">
        <f>Ringkasan!R805</f>
        <v/>
      </c>
      <c r="S806" s="64" t="str">
        <f>Ringkasan!S805</f>
        <v/>
      </c>
      <c r="T806" s="64" t="str">
        <f>Ringkasan!T805</f>
        <v/>
      </c>
      <c r="U806" s="64">
        <f>Ringkasan!U805</f>
        <v>9.95</v>
      </c>
      <c r="V806" s="64">
        <f>Ringkasan!V805</f>
        <v>-0.38</v>
      </c>
      <c r="W806" s="64">
        <f>Ringkasan!W805</f>
        <v>9.91</v>
      </c>
      <c r="X806" s="64">
        <f>Ringkasan!X805</f>
        <v>9.91</v>
      </c>
      <c r="Y806" s="64">
        <f>Ringkasan!Y805</f>
        <v>9.81</v>
      </c>
      <c r="Z806" s="64">
        <f>Ringkasan!Z805</f>
        <v>259807</v>
      </c>
      <c r="AA806" s="64" t="str">
        <f>Ringkasan!AA805</f>
        <v>Tourism &amp; Recreation</v>
      </c>
      <c r="AB806" s="64" t="str">
        <f>Ringkasan!AB805</f>
        <v>Consumer Cyclicals</v>
      </c>
    </row>
    <row r="807" hidden="1">
      <c r="A807" s="64" t="str">
        <f>Ringkasan!A806</f>
        <v>HOMI</v>
      </c>
      <c r="B807" s="64" t="str">
        <f>Ringkasan!B806</f>
        <v>Grand House Mulia Tbk.</v>
      </c>
      <c r="C807" s="65">
        <f>Ringkasan!C806</f>
        <v>194</v>
      </c>
      <c r="D807" s="64" t="str">
        <f>Ringkasan!D806</f>
        <v>#N/A</v>
      </c>
      <c r="E807" s="64" t="str">
        <f>Ringkasan!E806</f>
        <v/>
      </c>
      <c r="F807" s="64" t="str">
        <f>Ringkasan!F806</f>
        <v/>
      </c>
      <c r="G807" s="64">
        <f>Ringkasan!G806</f>
        <v>0</v>
      </c>
      <c r="H807" s="19">
        <f>Ringkasan!H806</f>
        <v>360</v>
      </c>
      <c r="I807" s="19">
        <f>Ringkasan!I806</f>
        <v>2.4</v>
      </c>
      <c r="J807" s="19">
        <f>Ringkasan!J806</f>
        <v>0.67</v>
      </c>
      <c r="K807" s="19">
        <f>Ringkasan!K806</f>
        <v>0.49</v>
      </c>
      <c r="L807" s="19">
        <f>Ringkasan!L806</f>
        <v>0.36</v>
      </c>
      <c r="M807" s="19">
        <f>Ringkasan!M806</f>
        <v>16.5</v>
      </c>
      <c r="N807" s="64" t="str">
        <f>Ringkasan!N806</f>
        <v/>
      </c>
      <c r="O807" s="64" t="str">
        <f>Ringkasan!O806</f>
        <v/>
      </c>
      <c r="P807" s="64" t="str">
        <f>Ringkasan!P806</f>
        <v/>
      </c>
      <c r="Q807" s="64" t="str">
        <f>Ringkasan!Q806</f>
        <v/>
      </c>
      <c r="R807" s="64" t="str">
        <f>Ringkasan!R806</f>
        <v/>
      </c>
      <c r="S807" s="64" t="str">
        <f>Ringkasan!S806</f>
        <v/>
      </c>
      <c r="T807" s="64" t="str">
        <f>Ringkasan!T806</f>
        <v/>
      </c>
      <c r="U807" s="64">
        <f>Ringkasan!U806</f>
        <v>19.92</v>
      </c>
      <c r="V807" s="64">
        <f>Ringkasan!V806</f>
        <v>-0.3</v>
      </c>
      <c r="W807" s="64">
        <f>Ringkasan!W806</f>
        <v>20.55</v>
      </c>
      <c r="X807" s="64">
        <f>Ringkasan!X806</f>
        <v>20.6</v>
      </c>
      <c r="Y807" s="64">
        <f>Ringkasan!Y806</f>
        <v>19.86</v>
      </c>
      <c r="Z807" s="64">
        <f>Ringkasan!Z806</f>
        <v>18352</v>
      </c>
      <c r="AA807" s="64" t="str">
        <f>Ringkasan!AA806</f>
        <v>Real Estate Management &amp; Development</v>
      </c>
      <c r="AB807" s="64" t="str">
        <f>Ringkasan!AB806</f>
        <v>Properties &amp; Real Estate</v>
      </c>
    </row>
    <row r="808" hidden="1">
      <c r="A808" s="64" t="str">
        <f>Ringkasan!A807</f>
        <v>HOPE</v>
      </c>
      <c r="B808" s="64" t="str">
        <f>Ringkasan!B807</f>
        <v>Harapan Duta Pertiwi Tbk.</v>
      </c>
      <c r="C808" s="65">
        <f>Ringkasan!C807</f>
        <v>130</v>
      </c>
      <c r="D808" s="64" t="str">
        <f>Ringkasan!D807</f>
        <v>#N/A</v>
      </c>
      <c r="E808" s="64" t="str">
        <f>Ringkasan!E807</f>
        <v/>
      </c>
      <c r="F808" s="64" t="str">
        <f>Ringkasan!F807</f>
        <v/>
      </c>
      <c r="G808" s="64">
        <f>Ringkasan!G807</f>
        <v>0</v>
      </c>
      <c r="H808" s="19">
        <f>Ringkasan!H807</f>
        <v>-16.4</v>
      </c>
      <c r="I808" s="19">
        <f>Ringkasan!I807</f>
        <v>2</v>
      </c>
      <c r="J808" s="19">
        <f>Ringkasan!J807</f>
        <v>-12.1</v>
      </c>
      <c r="K808" s="19">
        <f>Ringkasan!K807</f>
        <v>-4.2</v>
      </c>
      <c r="L808" s="19">
        <f>Ringkasan!L807</f>
        <v>1.9</v>
      </c>
      <c r="M808" s="19">
        <f>Ringkasan!M807</f>
        <v>-43.6</v>
      </c>
      <c r="N808" s="64" t="str">
        <f>Ringkasan!N807</f>
        <v/>
      </c>
      <c r="O808" s="64" t="str">
        <f>Ringkasan!O807</f>
        <v/>
      </c>
      <c r="P808" s="64" t="str">
        <f>Ringkasan!P807</f>
        <v/>
      </c>
      <c r="Q808" s="64" t="str">
        <f>Ringkasan!Q807</f>
        <v/>
      </c>
      <c r="R808" s="64" t="str">
        <f>Ringkasan!R807</f>
        <v/>
      </c>
      <c r="S808" s="64" t="str">
        <f>Ringkasan!S807</f>
        <v/>
      </c>
      <c r="T808" s="64" t="str">
        <f>Ringkasan!T807</f>
        <v/>
      </c>
      <c r="U808" s="64">
        <f>Ringkasan!U807</f>
        <v>13.01</v>
      </c>
      <c r="V808" s="64">
        <f>Ringkasan!V807</f>
        <v>1.38</v>
      </c>
      <c r="W808" s="64" t="str">
        <f>Ringkasan!W807</f>
        <v/>
      </c>
      <c r="X808" s="64">
        <f>Ringkasan!X807</f>
        <v>13.19</v>
      </c>
      <c r="Y808" s="64">
        <f>Ringkasan!Y807</f>
        <v>13.05</v>
      </c>
      <c r="Z808" s="64">
        <f>Ringkasan!Z807</f>
        <v>699471</v>
      </c>
      <c r="AA808" s="64" t="str">
        <f>Ringkasan!AA807</f>
        <v>Machinery</v>
      </c>
      <c r="AB808" s="64" t="str">
        <f>Ringkasan!AB807</f>
        <v>Industrials</v>
      </c>
    </row>
    <row r="809" hidden="1">
      <c r="A809" s="64" t="str">
        <f>Ringkasan!A808</f>
        <v>HOTL</v>
      </c>
      <c r="B809" s="64" t="str">
        <f>Ringkasan!B808</f>
        <v>Saraswati Griya Lestari Tbk.</v>
      </c>
      <c r="C809" s="65">
        <f>Ringkasan!C808</f>
        <v>50</v>
      </c>
      <c r="D809" s="64" t="str">
        <f>Ringkasan!D808</f>
        <v>#N/A</v>
      </c>
      <c r="E809" s="64" t="str">
        <f>Ringkasan!E808</f>
        <v/>
      </c>
      <c r="F809" s="64" t="str">
        <f>Ringkasan!F808</f>
        <v/>
      </c>
      <c r="G809" s="65">
        <f>Ringkasan!G808</f>
        <v>0</v>
      </c>
      <c r="H809" s="19">
        <f>Ringkasan!H808</f>
        <v>0</v>
      </c>
      <c r="I809" s="19">
        <f>Ringkasan!I808</f>
        <v>0.49</v>
      </c>
      <c r="J809" s="19">
        <f>Ringkasan!J808</f>
        <v>19.1</v>
      </c>
      <c r="K809" s="19">
        <f>Ringkasan!K808</f>
        <v>15.8</v>
      </c>
      <c r="L809" s="19">
        <f>Ringkasan!L808</f>
        <v>0.21</v>
      </c>
      <c r="M809" s="19">
        <f>Ringkasan!M808</f>
        <v>3300</v>
      </c>
      <c r="N809" s="64" t="str">
        <f>Ringkasan!N808</f>
        <v/>
      </c>
      <c r="O809" s="64" t="str">
        <f>Ringkasan!O808</f>
        <v/>
      </c>
      <c r="P809" s="64" t="str">
        <f>Ringkasan!P808</f>
        <v/>
      </c>
      <c r="Q809" s="64" t="str">
        <f>Ringkasan!Q808</f>
        <v/>
      </c>
      <c r="R809" s="64" t="str">
        <f>Ringkasan!R808</f>
        <v/>
      </c>
      <c r="S809" s="64" t="str">
        <f>Ringkasan!S808</f>
        <v/>
      </c>
      <c r="T809" s="64" t="str">
        <f>Ringkasan!T808</f>
        <v/>
      </c>
      <c r="U809" s="64">
        <f>Ringkasan!U808</f>
        <v>50</v>
      </c>
      <c r="V809" s="64">
        <f>Ringkasan!V808</f>
        <v>0</v>
      </c>
      <c r="W809" s="64" t="str">
        <f>Ringkasan!W808</f>
        <v/>
      </c>
      <c r="X809" s="64" t="str">
        <f>Ringkasan!X808</f>
        <v/>
      </c>
      <c r="Y809" s="64" t="str">
        <f>Ringkasan!Y808</f>
        <v/>
      </c>
      <c r="Z809" s="64">
        <f>Ringkasan!Z808</f>
        <v>0</v>
      </c>
      <c r="AA809" s="64" t="str">
        <f>Ringkasan!AA808</f>
        <v>Tourism &amp; Recreation</v>
      </c>
      <c r="AB809" s="64" t="str">
        <f>Ringkasan!AB808</f>
        <v>Consumer Cyclicals</v>
      </c>
    </row>
    <row r="810" hidden="1">
      <c r="A810" s="64" t="str">
        <f>Ringkasan!A809</f>
        <v>HRME</v>
      </c>
      <c r="B810" s="64" t="str">
        <f>Ringkasan!B809</f>
        <v>Menteng Heritage Realty Tbk.</v>
      </c>
      <c r="C810" s="65">
        <f>Ringkasan!C809</f>
        <v>47</v>
      </c>
      <c r="D810" s="64" t="str">
        <f>Ringkasan!D809</f>
        <v>#N/A</v>
      </c>
      <c r="E810" s="64" t="str">
        <f>Ringkasan!E809</f>
        <v/>
      </c>
      <c r="F810" s="64" t="str">
        <f>Ringkasan!F809</f>
        <v/>
      </c>
      <c r="G810" s="64">
        <f>Ringkasan!G809</f>
        <v>0</v>
      </c>
      <c r="H810" s="19">
        <f>Ringkasan!H809</f>
        <v>-51.9</v>
      </c>
      <c r="I810" s="19">
        <f>Ringkasan!I809</f>
        <v>0.53</v>
      </c>
      <c r="J810" s="19">
        <f>Ringkasan!J809</f>
        <v>-1</v>
      </c>
      <c r="K810" s="19">
        <f>Ringkasan!K809</f>
        <v>-0.64</v>
      </c>
      <c r="L810" s="19">
        <f>Ringkasan!L809</f>
        <v>0.6</v>
      </c>
      <c r="M810" s="19">
        <f>Ringkasan!M809</f>
        <v>-23.1</v>
      </c>
      <c r="N810" s="64" t="str">
        <f>Ringkasan!N809</f>
        <v/>
      </c>
      <c r="O810" s="64" t="str">
        <f>Ringkasan!O809</f>
        <v/>
      </c>
      <c r="P810" s="64" t="str">
        <f>Ringkasan!P809</f>
        <v/>
      </c>
      <c r="Q810" s="64" t="str">
        <f>Ringkasan!Q809</f>
        <v/>
      </c>
      <c r="R810" s="64" t="str">
        <f>Ringkasan!R809</f>
        <v/>
      </c>
      <c r="S810" s="64" t="str">
        <f>Ringkasan!S809</f>
        <v/>
      </c>
      <c r="T810" s="64" t="str">
        <f>Ringkasan!T809</f>
        <v/>
      </c>
      <c r="U810" s="64">
        <f>Ringkasan!U809</f>
        <v>47</v>
      </c>
      <c r="V810" s="64">
        <f>Ringkasan!V809</f>
        <v>0</v>
      </c>
      <c r="W810" s="64">
        <f>Ringkasan!W809</f>
        <v>47</v>
      </c>
      <c r="X810" s="64">
        <f>Ringkasan!X809</f>
        <v>47</v>
      </c>
      <c r="Y810" s="64">
        <f>Ringkasan!Y809</f>
        <v>47</v>
      </c>
      <c r="Z810" s="64">
        <f>Ringkasan!Z809</f>
        <v>588800</v>
      </c>
      <c r="AA810" s="64" t="str">
        <f>Ringkasan!AA809</f>
        <v>Tourism &amp; Recreation</v>
      </c>
      <c r="AB810" s="64" t="str">
        <f>Ringkasan!AB809</f>
        <v>Consumer Cyclicals</v>
      </c>
    </row>
    <row r="811" hidden="1">
      <c r="A811" s="64" t="str">
        <f>Ringkasan!A810</f>
        <v>HRTA</v>
      </c>
      <c r="B811" s="64" t="str">
        <f>Ringkasan!B810</f>
        <v>Hartadinata Abadi Tbk.</v>
      </c>
      <c r="C811" s="65">
        <f>Ringkasan!C810</f>
        <v>1950</v>
      </c>
      <c r="D811" s="64" t="str">
        <f>Ringkasan!D810</f>
        <v>#N/A</v>
      </c>
      <c r="E811" s="64" t="str">
        <f>Ringkasan!E810</f>
        <v>LQ45</v>
      </c>
      <c r="F811" s="64" t="str">
        <f>Ringkasan!F810</f>
        <v>31 Juli 2026</v>
      </c>
      <c r="G811" s="64">
        <f>Ringkasan!G810</f>
        <v>8</v>
      </c>
      <c r="H811" s="19">
        <f>Ringkasan!H810</f>
        <v>9.1</v>
      </c>
      <c r="I811" s="19">
        <f>Ringkasan!I810</f>
        <v>3.1</v>
      </c>
      <c r="J811" s="19">
        <f>Ringkasan!J810</f>
        <v>34.5</v>
      </c>
      <c r="K811" s="19">
        <f>Ringkasan!K810</f>
        <v>9.2</v>
      </c>
      <c r="L811" s="19">
        <f>Ringkasan!L810</f>
        <v>2.8</v>
      </c>
      <c r="M811" s="19">
        <f>Ringkasan!M810</f>
        <v>6.3</v>
      </c>
      <c r="N811" s="64" t="str">
        <f>Ringkasan!N810</f>
        <v/>
      </c>
      <c r="O811" s="64" t="str">
        <f>Ringkasan!O810</f>
        <v/>
      </c>
      <c r="P811" s="64" t="str">
        <f>Ringkasan!P810</f>
        <v/>
      </c>
      <c r="Q811" s="64" t="str">
        <f>Ringkasan!Q810</f>
        <v/>
      </c>
      <c r="R811" s="64" t="str">
        <f>Ringkasan!R810</f>
        <v/>
      </c>
      <c r="S811" s="64" t="str">
        <f>Ringkasan!S810</f>
        <v/>
      </c>
      <c r="T811" s="64" t="str">
        <f>Ringkasan!T810</f>
        <v/>
      </c>
      <c r="U811" s="64">
        <f>Ringkasan!U810</f>
        <v>1750</v>
      </c>
      <c r="V811" s="64">
        <f>Ringkasan!V810</f>
        <v>11.43</v>
      </c>
      <c r="W811" s="64">
        <f>Ringkasan!W810</f>
        <v>1885</v>
      </c>
      <c r="X811" s="64">
        <f>Ringkasan!X810</f>
        <v>1960</v>
      </c>
      <c r="Y811" s="64" t="str">
        <f>Ringkasan!Y810</f>
        <v/>
      </c>
      <c r="Z811" s="64">
        <f>Ringkasan!Z810</f>
        <v>26981900</v>
      </c>
      <c r="AA811" s="64" t="str">
        <f>Ringkasan!AA810</f>
        <v>Apparel &amp; Luxury Goods</v>
      </c>
      <c r="AB811" s="64" t="str">
        <f>Ringkasan!AB810</f>
        <v>Consumer Cyclicals</v>
      </c>
    </row>
    <row r="812" hidden="1">
      <c r="A812" s="64" t="str">
        <f>Ringkasan!A811</f>
        <v>HRTA</v>
      </c>
      <c r="B812" s="64" t="str">
        <f>Ringkasan!B811</f>
        <v>Hartadinata Abadi Tbk.</v>
      </c>
      <c r="C812" s="65">
        <f>Ringkasan!C811</f>
        <v>1950</v>
      </c>
      <c r="D812" s="64" t="str">
        <f>Ringkasan!D811</f>
        <v>#N/A</v>
      </c>
      <c r="E812" s="64" t="str">
        <f>Ringkasan!E811</f>
        <v>IDXQ30</v>
      </c>
      <c r="F812" s="64" t="str">
        <f>Ringkasan!F811</f>
        <v>4 Agustus 2026</v>
      </c>
      <c r="G812" s="64">
        <f>Ringkasan!G811</f>
        <v>8</v>
      </c>
      <c r="H812" s="19">
        <f>Ringkasan!H811</f>
        <v>9.1</v>
      </c>
      <c r="I812" s="19">
        <f>Ringkasan!I811</f>
        <v>3.1</v>
      </c>
      <c r="J812" s="19">
        <f>Ringkasan!J811</f>
        <v>34.5</v>
      </c>
      <c r="K812" s="19">
        <f>Ringkasan!K811</f>
        <v>9.2</v>
      </c>
      <c r="L812" s="19">
        <f>Ringkasan!L811</f>
        <v>2.8</v>
      </c>
      <c r="M812" s="19">
        <f>Ringkasan!M811</f>
        <v>6.3</v>
      </c>
      <c r="N812" s="64" t="str">
        <f>Ringkasan!N811</f>
        <v/>
      </c>
      <c r="O812" s="64" t="str">
        <f>Ringkasan!O811</f>
        <v/>
      </c>
      <c r="P812" s="64" t="str">
        <f>Ringkasan!P811</f>
        <v/>
      </c>
      <c r="Q812" s="64" t="str">
        <f>Ringkasan!Q811</f>
        <v/>
      </c>
      <c r="R812" s="64" t="str">
        <f>Ringkasan!R811</f>
        <v/>
      </c>
      <c r="S812" s="64" t="str">
        <f>Ringkasan!S811</f>
        <v/>
      </c>
      <c r="T812" s="64" t="str">
        <f>Ringkasan!T811</f>
        <v/>
      </c>
      <c r="U812" s="64">
        <f>Ringkasan!U811</f>
        <v>1750</v>
      </c>
      <c r="V812" s="64">
        <f>Ringkasan!V811</f>
        <v>11.43</v>
      </c>
      <c r="W812" s="64">
        <f>Ringkasan!W811</f>
        <v>1885</v>
      </c>
      <c r="X812" s="64">
        <f>Ringkasan!X811</f>
        <v>1960</v>
      </c>
      <c r="Y812" s="64" t="str">
        <f>Ringkasan!Y811</f>
        <v/>
      </c>
      <c r="Z812" s="64">
        <f>Ringkasan!Z811</f>
        <v>26981900</v>
      </c>
      <c r="AA812" s="64" t="str">
        <f>Ringkasan!AA811</f>
        <v>Apparel &amp; Luxury Goods</v>
      </c>
      <c r="AB812" s="64" t="str">
        <f>Ringkasan!AB811</f>
        <v>Consumer Cyclicals</v>
      </c>
    </row>
    <row r="813" hidden="1">
      <c r="A813" s="64" t="str">
        <f>Ringkasan!A812</f>
        <v>HRTA</v>
      </c>
      <c r="B813" s="64" t="str">
        <f>Ringkasan!B812</f>
        <v>Hartadinata Abadi Tbk.</v>
      </c>
      <c r="C813" s="65">
        <f>Ringkasan!C812</f>
        <v>1950</v>
      </c>
      <c r="D813" s="64" t="str">
        <f>Ringkasan!D812</f>
        <v>#N/A</v>
      </c>
      <c r="E813" s="64" t="str">
        <f>Ringkasan!E812</f>
        <v>IDXG30</v>
      </c>
      <c r="F813" s="64" t="str">
        <f>Ringkasan!F812</f>
        <v>4 Agustus 2026</v>
      </c>
      <c r="G813" s="64">
        <f>Ringkasan!G812</f>
        <v>8</v>
      </c>
      <c r="H813" s="19">
        <f>Ringkasan!H812</f>
        <v>9.1</v>
      </c>
      <c r="I813" s="19">
        <f>Ringkasan!I812</f>
        <v>3.1</v>
      </c>
      <c r="J813" s="19">
        <f>Ringkasan!J812</f>
        <v>34.5</v>
      </c>
      <c r="K813" s="19">
        <f>Ringkasan!K812</f>
        <v>9.2</v>
      </c>
      <c r="L813" s="19">
        <f>Ringkasan!L812</f>
        <v>2.8</v>
      </c>
      <c r="M813" s="19">
        <f>Ringkasan!M812</f>
        <v>6.3</v>
      </c>
      <c r="N813" s="64" t="str">
        <f>Ringkasan!N812</f>
        <v/>
      </c>
      <c r="O813" s="64" t="str">
        <f>Ringkasan!O812</f>
        <v/>
      </c>
      <c r="P813" s="64" t="str">
        <f>Ringkasan!P812</f>
        <v/>
      </c>
      <c r="Q813" s="64" t="str">
        <f>Ringkasan!Q812</f>
        <v/>
      </c>
      <c r="R813" s="64" t="str">
        <f>Ringkasan!R812</f>
        <v/>
      </c>
      <c r="S813" s="64" t="str">
        <f>Ringkasan!S812</f>
        <v/>
      </c>
      <c r="T813" s="64" t="str">
        <f>Ringkasan!T812</f>
        <v/>
      </c>
      <c r="U813" s="64">
        <f>Ringkasan!U812</f>
        <v>1750</v>
      </c>
      <c r="V813" s="64">
        <f>Ringkasan!V812</f>
        <v>11.43</v>
      </c>
      <c r="W813" s="64">
        <f>Ringkasan!W812</f>
        <v>1885</v>
      </c>
      <c r="X813" s="64">
        <f>Ringkasan!X812</f>
        <v>1960</v>
      </c>
      <c r="Y813" s="64" t="str">
        <f>Ringkasan!Y812</f>
        <v/>
      </c>
      <c r="Z813" s="64">
        <f>Ringkasan!Z812</f>
        <v>26981900</v>
      </c>
      <c r="AA813" s="64" t="str">
        <f>Ringkasan!AA812</f>
        <v>Apparel &amp; Luxury Goods</v>
      </c>
      <c r="AB813" s="64" t="str">
        <f>Ringkasan!AB812</f>
        <v>Consumer Cyclicals</v>
      </c>
    </row>
    <row r="814" hidden="1">
      <c r="A814" s="64" t="str">
        <f>Ringkasan!A813</f>
        <v>HRTA</v>
      </c>
      <c r="B814" s="64" t="str">
        <f>Ringkasan!B813</f>
        <v>Hartadinata Abadi Tbk.</v>
      </c>
      <c r="C814" s="65">
        <f>Ringkasan!C813</f>
        <v>1950</v>
      </c>
      <c r="D814" s="64" t="str">
        <f>Ringkasan!D813</f>
        <v>#N/A</v>
      </c>
      <c r="E814" s="64" t="str">
        <f>Ringkasan!E813</f>
        <v>IDX80</v>
      </c>
      <c r="F814" s="64" t="str">
        <f>Ringkasan!F813</f>
        <v>31 Juli 2026</v>
      </c>
      <c r="G814" s="64">
        <f>Ringkasan!G813</f>
        <v>8</v>
      </c>
      <c r="H814" s="19">
        <f>Ringkasan!H813</f>
        <v>9.1</v>
      </c>
      <c r="I814" s="19">
        <f>Ringkasan!I813</f>
        <v>3.1</v>
      </c>
      <c r="J814" s="19">
        <f>Ringkasan!J813</f>
        <v>34.5</v>
      </c>
      <c r="K814" s="19">
        <f>Ringkasan!K813</f>
        <v>9.2</v>
      </c>
      <c r="L814" s="19">
        <f>Ringkasan!L813</f>
        <v>2.8</v>
      </c>
      <c r="M814" s="19">
        <f>Ringkasan!M813</f>
        <v>6.3</v>
      </c>
      <c r="N814" s="64" t="str">
        <f>Ringkasan!N813</f>
        <v/>
      </c>
      <c r="O814" s="64" t="str">
        <f>Ringkasan!O813</f>
        <v/>
      </c>
      <c r="P814" s="64" t="str">
        <f>Ringkasan!P813</f>
        <v/>
      </c>
      <c r="Q814" s="64" t="str">
        <f>Ringkasan!Q813</f>
        <v/>
      </c>
      <c r="R814" s="64" t="str">
        <f>Ringkasan!R813</f>
        <v/>
      </c>
      <c r="S814" s="64" t="str">
        <f>Ringkasan!S813</f>
        <v/>
      </c>
      <c r="T814" s="64" t="str">
        <f>Ringkasan!T813</f>
        <v/>
      </c>
      <c r="U814" s="64">
        <f>Ringkasan!U813</f>
        <v>1750</v>
      </c>
      <c r="V814" s="64">
        <f>Ringkasan!V813</f>
        <v>11.43</v>
      </c>
      <c r="W814" s="64">
        <f>Ringkasan!W813</f>
        <v>1885</v>
      </c>
      <c r="X814" s="64">
        <f>Ringkasan!X813</f>
        <v>1960</v>
      </c>
      <c r="Y814" s="64" t="str">
        <f>Ringkasan!Y813</f>
        <v/>
      </c>
      <c r="Z814" s="64">
        <f>Ringkasan!Z813</f>
        <v>26981900</v>
      </c>
      <c r="AA814" s="64" t="str">
        <f>Ringkasan!AA813</f>
        <v>Apparel &amp; Luxury Goods</v>
      </c>
      <c r="AB814" s="64" t="str">
        <f>Ringkasan!AB813</f>
        <v>Consumer Cyclicals</v>
      </c>
    </row>
    <row r="815" hidden="1">
      <c r="A815" s="64" t="str">
        <f>Ringkasan!A814</f>
        <v>HRTA</v>
      </c>
      <c r="B815" s="64" t="str">
        <f>Ringkasan!B814</f>
        <v>Hartadinata Abadi Tbk.</v>
      </c>
      <c r="C815" s="65">
        <f>Ringkasan!C814</f>
        <v>1950</v>
      </c>
      <c r="D815" s="64" t="str">
        <f>Ringkasan!D814</f>
        <v>#N/A</v>
      </c>
      <c r="E815" s="64" t="str">
        <f>Ringkasan!E814</f>
        <v>Kompas100</v>
      </c>
      <c r="F815" s="64" t="str">
        <f>Ringkasan!F814</f>
        <v>31 Juli 2026</v>
      </c>
      <c r="G815" s="64">
        <f>Ringkasan!G814</f>
        <v>8</v>
      </c>
      <c r="H815" s="19">
        <f>Ringkasan!H814</f>
        <v>9.1</v>
      </c>
      <c r="I815" s="19">
        <f>Ringkasan!I814</f>
        <v>3.1</v>
      </c>
      <c r="J815" s="19">
        <f>Ringkasan!J814</f>
        <v>34.5</v>
      </c>
      <c r="K815" s="19">
        <f>Ringkasan!K814</f>
        <v>9.2</v>
      </c>
      <c r="L815" s="19">
        <f>Ringkasan!L814</f>
        <v>2.8</v>
      </c>
      <c r="M815" s="19">
        <f>Ringkasan!M814</f>
        <v>6.3</v>
      </c>
      <c r="N815" s="64" t="str">
        <f>Ringkasan!N814</f>
        <v/>
      </c>
      <c r="O815" s="64" t="str">
        <f>Ringkasan!O814</f>
        <v/>
      </c>
      <c r="P815" s="64" t="str">
        <f>Ringkasan!P814</f>
        <v/>
      </c>
      <c r="Q815" s="64" t="str">
        <f>Ringkasan!Q814</f>
        <v/>
      </c>
      <c r="R815" s="64" t="str">
        <f>Ringkasan!R814</f>
        <v/>
      </c>
      <c r="S815" s="64" t="str">
        <f>Ringkasan!S814</f>
        <v/>
      </c>
      <c r="T815" s="64" t="str">
        <f>Ringkasan!T814</f>
        <v/>
      </c>
      <c r="U815" s="64">
        <f>Ringkasan!U814</f>
        <v>1750</v>
      </c>
      <c r="V815" s="64">
        <f>Ringkasan!V814</f>
        <v>11.43</v>
      </c>
      <c r="W815" s="64">
        <f>Ringkasan!W814</f>
        <v>1885</v>
      </c>
      <c r="X815" s="64">
        <f>Ringkasan!X814</f>
        <v>1960</v>
      </c>
      <c r="Y815" s="64" t="str">
        <f>Ringkasan!Y814</f>
        <v/>
      </c>
      <c r="Z815" s="64">
        <f>Ringkasan!Z814</f>
        <v>26981900</v>
      </c>
      <c r="AA815" s="64" t="str">
        <f>Ringkasan!AA814</f>
        <v>Apparel &amp; Luxury Goods</v>
      </c>
      <c r="AB815" s="64" t="str">
        <f>Ringkasan!AB814</f>
        <v>Consumer Cyclicals</v>
      </c>
    </row>
    <row r="816" hidden="1">
      <c r="A816" s="64" t="str">
        <f>Ringkasan!A815</f>
        <v>HRTA</v>
      </c>
      <c r="B816" s="64" t="str">
        <f>Ringkasan!B815</f>
        <v>Hartadinata Abadi Tbk.</v>
      </c>
      <c r="C816" s="65">
        <f>Ringkasan!C815</f>
        <v>1950</v>
      </c>
      <c r="D816" s="64" t="str">
        <f>Ringkasan!D815</f>
        <v>#N/A</v>
      </c>
      <c r="E816" s="64" t="str">
        <f>Ringkasan!E815</f>
        <v>Pefindo - iGrade</v>
      </c>
      <c r="F816" s="64" t="str">
        <f>Ringkasan!F815</f>
        <v>30 Juni 2026</v>
      </c>
      <c r="G816" s="64">
        <f>Ringkasan!G815</f>
        <v>8</v>
      </c>
      <c r="H816" s="19">
        <f>Ringkasan!H815</f>
        <v>9.1</v>
      </c>
      <c r="I816" s="19">
        <f>Ringkasan!I815</f>
        <v>3.1</v>
      </c>
      <c r="J816" s="19">
        <f>Ringkasan!J815</f>
        <v>34.5</v>
      </c>
      <c r="K816" s="19">
        <f>Ringkasan!K815</f>
        <v>9.2</v>
      </c>
      <c r="L816" s="19">
        <f>Ringkasan!L815</f>
        <v>2.8</v>
      </c>
      <c r="M816" s="19">
        <f>Ringkasan!M815</f>
        <v>6.3</v>
      </c>
      <c r="N816" s="64" t="str">
        <f>Ringkasan!N815</f>
        <v/>
      </c>
      <c r="O816" s="64" t="str">
        <f>Ringkasan!O815</f>
        <v/>
      </c>
      <c r="P816" s="64" t="str">
        <f>Ringkasan!P815</f>
        <v/>
      </c>
      <c r="Q816" s="64" t="str">
        <f>Ringkasan!Q815</f>
        <v/>
      </c>
      <c r="R816" s="64" t="str">
        <f>Ringkasan!R815</f>
        <v/>
      </c>
      <c r="S816" s="64" t="str">
        <f>Ringkasan!S815</f>
        <v/>
      </c>
      <c r="T816" s="64" t="str">
        <f>Ringkasan!T815</f>
        <v/>
      </c>
      <c r="U816" s="64">
        <f>Ringkasan!U815</f>
        <v>1750</v>
      </c>
      <c r="V816" s="64">
        <f>Ringkasan!V815</f>
        <v>11.43</v>
      </c>
      <c r="W816" s="64">
        <f>Ringkasan!W815</f>
        <v>1885</v>
      </c>
      <c r="X816" s="64">
        <f>Ringkasan!X815</f>
        <v>1960</v>
      </c>
      <c r="Y816" s="64" t="str">
        <f>Ringkasan!Y815</f>
        <v/>
      </c>
      <c r="Z816" s="64">
        <f>Ringkasan!Z815</f>
        <v>26981900</v>
      </c>
      <c r="AA816" s="64" t="str">
        <f>Ringkasan!AA815</f>
        <v>Apparel &amp; Luxury Goods</v>
      </c>
      <c r="AB816" s="64" t="str">
        <f>Ringkasan!AB815</f>
        <v>Consumer Cyclicals</v>
      </c>
    </row>
    <row r="817" hidden="1">
      <c r="A817" s="64" t="str">
        <f>Ringkasan!A816</f>
        <v>HRTA</v>
      </c>
      <c r="B817" s="64" t="str">
        <f>Ringkasan!B816</f>
        <v>Hartadinata Abadi Tbk.</v>
      </c>
      <c r="C817" s="65">
        <f>Ringkasan!C816</f>
        <v>1950</v>
      </c>
      <c r="D817" s="64" t="str">
        <f>Ringkasan!D816</f>
        <v>#N/A</v>
      </c>
      <c r="E817" s="64" t="str">
        <f>Ringkasan!E816</f>
        <v>IDXSMC-LIQ</v>
      </c>
      <c r="F817" s="64" t="str">
        <f>Ringkasan!F816</f>
        <v>4 Agustus 2026</v>
      </c>
      <c r="G817" s="64">
        <f>Ringkasan!G816</f>
        <v>8</v>
      </c>
      <c r="H817" s="19">
        <f>Ringkasan!H816</f>
        <v>9.1</v>
      </c>
      <c r="I817" s="19">
        <f>Ringkasan!I816</f>
        <v>3.1</v>
      </c>
      <c r="J817" s="19">
        <f>Ringkasan!J816</f>
        <v>34.5</v>
      </c>
      <c r="K817" s="19">
        <f>Ringkasan!K816</f>
        <v>9.2</v>
      </c>
      <c r="L817" s="19">
        <f>Ringkasan!L816</f>
        <v>2.8</v>
      </c>
      <c r="M817" s="19">
        <f>Ringkasan!M816</f>
        <v>6.3</v>
      </c>
      <c r="N817" s="64" t="str">
        <f>Ringkasan!N816</f>
        <v/>
      </c>
      <c r="O817" s="64" t="str">
        <f>Ringkasan!O816</f>
        <v/>
      </c>
      <c r="P817" s="64" t="str">
        <f>Ringkasan!P816</f>
        <v/>
      </c>
      <c r="Q817" s="64" t="str">
        <f>Ringkasan!Q816</f>
        <v/>
      </c>
      <c r="R817" s="64" t="str">
        <f>Ringkasan!R816</f>
        <v/>
      </c>
      <c r="S817" s="64" t="str">
        <f>Ringkasan!S816</f>
        <v/>
      </c>
      <c r="T817" s="64" t="str">
        <f>Ringkasan!T816</f>
        <v/>
      </c>
      <c r="U817" s="64">
        <f>Ringkasan!U816</f>
        <v>1750</v>
      </c>
      <c r="V817" s="64">
        <f>Ringkasan!V816</f>
        <v>11.43</v>
      </c>
      <c r="W817" s="64">
        <f>Ringkasan!W816</f>
        <v>1885</v>
      </c>
      <c r="X817" s="64">
        <f>Ringkasan!X816</f>
        <v>1960</v>
      </c>
      <c r="Y817" s="64" t="str">
        <f>Ringkasan!Y816</f>
        <v/>
      </c>
      <c r="Z817" s="64">
        <f>Ringkasan!Z816</f>
        <v>26981900</v>
      </c>
      <c r="AA817" s="64" t="str">
        <f>Ringkasan!AA816</f>
        <v>Apparel &amp; Luxury Goods</v>
      </c>
      <c r="AB817" s="64" t="str">
        <f>Ringkasan!AB816</f>
        <v>Consumer Cyclicals</v>
      </c>
    </row>
    <row r="818" hidden="1">
      <c r="A818" s="64" t="str">
        <f>Ringkasan!A817</f>
        <v>HRTA</v>
      </c>
      <c r="B818" s="64" t="str">
        <f>Ringkasan!B817</f>
        <v>Hartadinata Abadi Tbk.</v>
      </c>
      <c r="C818" s="65">
        <f>Ringkasan!C817</f>
        <v>1950</v>
      </c>
      <c r="D818" s="64" t="str">
        <f>Ringkasan!D817</f>
        <v>#N/A</v>
      </c>
      <c r="E818" s="64" t="str">
        <f>Ringkasan!E817</f>
        <v>JII70</v>
      </c>
      <c r="F818" s="66">
        <f>Ringkasan!F817</f>
        <v>46356</v>
      </c>
      <c r="G818" s="65">
        <f>Ringkasan!G817</f>
        <v>8</v>
      </c>
      <c r="H818" s="19">
        <f>Ringkasan!H817</f>
        <v>9.1</v>
      </c>
      <c r="I818" s="19">
        <f>Ringkasan!I817</f>
        <v>3.1</v>
      </c>
      <c r="J818" s="19">
        <f>Ringkasan!J817</f>
        <v>34.5</v>
      </c>
      <c r="K818" s="19">
        <f>Ringkasan!K817</f>
        <v>9.2</v>
      </c>
      <c r="L818" s="19">
        <f>Ringkasan!L817</f>
        <v>2.8</v>
      </c>
      <c r="M818" s="19">
        <f>Ringkasan!M817</f>
        <v>6.3</v>
      </c>
      <c r="N818" s="64" t="str">
        <f>Ringkasan!N817</f>
        <v/>
      </c>
      <c r="O818" s="64" t="str">
        <f>Ringkasan!O817</f>
        <v/>
      </c>
      <c r="P818" s="64" t="str">
        <f>Ringkasan!P817</f>
        <v/>
      </c>
      <c r="Q818" s="64" t="str">
        <f>Ringkasan!Q817</f>
        <v/>
      </c>
      <c r="R818" s="64" t="str">
        <f>Ringkasan!R817</f>
        <v/>
      </c>
      <c r="S818" s="64" t="str">
        <f>Ringkasan!S817</f>
        <v/>
      </c>
      <c r="T818" s="64" t="str">
        <f>Ringkasan!T817</f>
        <v/>
      </c>
      <c r="U818" s="64">
        <f>Ringkasan!U817</f>
        <v>1750</v>
      </c>
      <c r="V818" s="64">
        <f>Ringkasan!V817</f>
        <v>11.43</v>
      </c>
      <c r="W818" s="64">
        <f>Ringkasan!W817</f>
        <v>1885</v>
      </c>
      <c r="X818" s="64">
        <f>Ringkasan!X817</f>
        <v>1960</v>
      </c>
      <c r="Y818" s="64" t="str">
        <f>Ringkasan!Y817</f>
        <v/>
      </c>
      <c r="Z818" s="64">
        <f>Ringkasan!Z817</f>
        <v>26981900</v>
      </c>
      <c r="AA818" s="64" t="str">
        <f>Ringkasan!AA817</f>
        <v>Apparel &amp; Luxury Goods</v>
      </c>
      <c r="AB818" s="64" t="str">
        <f>Ringkasan!AB817</f>
        <v>Consumer Cyclicals</v>
      </c>
    </row>
    <row r="819" hidden="1">
      <c r="A819" s="64" t="str">
        <f>Ringkasan!A818</f>
        <v>HRUM</v>
      </c>
      <c r="B819" s="64" t="str">
        <f>Ringkasan!B818</f>
        <v>Harum Energy Tbk.</v>
      </c>
      <c r="C819" s="65">
        <f>Ringkasan!C818</f>
        <v>785</v>
      </c>
      <c r="D819" s="64" t="str">
        <f>Ringkasan!D818</f>
        <v>#N/A</v>
      </c>
      <c r="E819" s="64" t="str">
        <f>Ringkasan!E818</f>
        <v>IDXSHAGROW</v>
      </c>
      <c r="F819" s="66">
        <f>Ringkasan!F818</f>
        <v>46356</v>
      </c>
      <c r="G819" s="64">
        <f>Ringkasan!G818</f>
        <v>5</v>
      </c>
      <c r="H819" s="19">
        <f>Ringkasan!H818</f>
        <v>15.5</v>
      </c>
      <c r="I819" s="19">
        <f>Ringkasan!I818</f>
        <v>0.34</v>
      </c>
      <c r="J819" s="19">
        <f>Ringkasan!J818</f>
        <v>2.2</v>
      </c>
      <c r="K819" s="19">
        <f>Ringkasan!K818</f>
        <v>1.1</v>
      </c>
      <c r="L819" s="19">
        <f>Ringkasan!L818</f>
        <v>1</v>
      </c>
      <c r="M819" s="19">
        <f>Ringkasan!M818</f>
        <v>11.7</v>
      </c>
      <c r="N819" s="64" t="str">
        <f>Ringkasan!N818</f>
        <v/>
      </c>
      <c r="O819" s="64" t="str">
        <f>Ringkasan!O818</f>
        <v/>
      </c>
      <c r="P819" s="64" t="str">
        <f>Ringkasan!P818</f>
        <v/>
      </c>
      <c r="Q819" s="64" t="str">
        <f>Ringkasan!Q818</f>
        <v/>
      </c>
      <c r="R819" s="64" t="str">
        <f>Ringkasan!R818</f>
        <v/>
      </c>
      <c r="S819" s="64" t="str">
        <f>Ringkasan!S818</f>
        <v/>
      </c>
      <c r="T819" s="64" t="str">
        <f>Ringkasan!T818</f>
        <v/>
      </c>
      <c r="U819" s="64">
        <f>Ringkasan!U818</f>
        <v>710</v>
      </c>
      <c r="V819" s="64" t="str">
        <f>Ringkasan!V818</f>
        <v/>
      </c>
      <c r="W819" s="64">
        <f>Ringkasan!W818</f>
        <v>730</v>
      </c>
      <c r="X819" s="64">
        <f>Ringkasan!X818</f>
        <v>800</v>
      </c>
      <c r="Y819" s="64" t="str">
        <f>Ringkasan!Y818</f>
        <v/>
      </c>
      <c r="Z819" s="64">
        <f>Ringkasan!Z818</f>
        <v>18631700</v>
      </c>
      <c r="AA819" s="64" t="str">
        <f>Ringkasan!AA818</f>
        <v>Coal</v>
      </c>
      <c r="AB819" s="64" t="str">
        <f>Ringkasan!AB818</f>
        <v>Energy</v>
      </c>
    </row>
    <row r="820" hidden="1">
      <c r="A820" s="64" t="str">
        <f>Ringkasan!A819</f>
        <v>HRUM</v>
      </c>
      <c r="B820" s="64" t="str">
        <f>Ringkasan!B819</f>
        <v>Harum Energy Tbk.</v>
      </c>
      <c r="C820" s="65">
        <f>Ringkasan!C819</f>
        <v>785</v>
      </c>
      <c r="D820" s="64" t="str">
        <f>Ringkasan!D819</f>
        <v>#N/A</v>
      </c>
      <c r="E820" s="64" t="str">
        <f>Ringkasan!E819</f>
        <v>IDX80</v>
      </c>
      <c r="F820" s="64" t="str">
        <f>Ringkasan!F819</f>
        <v>31 Juli 2026</v>
      </c>
      <c r="G820" s="64">
        <f>Ringkasan!G819</f>
        <v>5</v>
      </c>
      <c r="H820" s="19">
        <f>Ringkasan!H819</f>
        <v>15.5</v>
      </c>
      <c r="I820" s="19">
        <f>Ringkasan!I819</f>
        <v>0.34</v>
      </c>
      <c r="J820" s="19">
        <f>Ringkasan!J819</f>
        <v>2.2</v>
      </c>
      <c r="K820" s="19">
        <f>Ringkasan!K819</f>
        <v>1.1</v>
      </c>
      <c r="L820" s="19">
        <f>Ringkasan!L819</f>
        <v>1</v>
      </c>
      <c r="M820" s="19">
        <f>Ringkasan!M819</f>
        <v>11.7</v>
      </c>
      <c r="N820" s="64" t="str">
        <f>Ringkasan!N819</f>
        <v/>
      </c>
      <c r="O820" s="64" t="str">
        <f>Ringkasan!O819</f>
        <v/>
      </c>
      <c r="P820" s="64" t="str">
        <f>Ringkasan!P819</f>
        <v/>
      </c>
      <c r="Q820" s="64" t="str">
        <f>Ringkasan!Q819</f>
        <v/>
      </c>
      <c r="R820" s="64" t="str">
        <f>Ringkasan!R819</f>
        <v/>
      </c>
      <c r="S820" s="64" t="str">
        <f>Ringkasan!S819</f>
        <v/>
      </c>
      <c r="T820" s="64" t="str">
        <f>Ringkasan!T819</f>
        <v/>
      </c>
      <c r="U820" s="64">
        <f>Ringkasan!U819</f>
        <v>710</v>
      </c>
      <c r="V820" s="64" t="str">
        <f>Ringkasan!V819</f>
        <v/>
      </c>
      <c r="W820" s="64">
        <f>Ringkasan!W819</f>
        <v>730</v>
      </c>
      <c r="X820" s="64">
        <f>Ringkasan!X819</f>
        <v>800</v>
      </c>
      <c r="Y820" s="64" t="str">
        <f>Ringkasan!Y819</f>
        <v/>
      </c>
      <c r="Z820" s="64">
        <f>Ringkasan!Z819</f>
        <v>18631700</v>
      </c>
      <c r="AA820" s="64" t="str">
        <f>Ringkasan!AA819</f>
        <v>Coal</v>
      </c>
      <c r="AB820" s="64" t="str">
        <f>Ringkasan!AB819</f>
        <v>Energy</v>
      </c>
    </row>
    <row r="821" hidden="1">
      <c r="A821" s="64" t="str">
        <f>Ringkasan!A820</f>
        <v>HRUM</v>
      </c>
      <c r="B821" s="64" t="str">
        <f>Ringkasan!B820</f>
        <v>Harum Energy Tbk.</v>
      </c>
      <c r="C821" s="65">
        <f>Ringkasan!C820</f>
        <v>785</v>
      </c>
      <c r="D821" s="64" t="str">
        <f>Ringkasan!D820</f>
        <v>#N/A</v>
      </c>
      <c r="E821" s="64" t="str">
        <f>Ringkasan!E820</f>
        <v>Kompas100</v>
      </c>
      <c r="F821" s="64" t="str">
        <f>Ringkasan!F820</f>
        <v>31 Juli 2026</v>
      </c>
      <c r="G821" s="64">
        <f>Ringkasan!G820</f>
        <v>5</v>
      </c>
      <c r="H821" s="19">
        <f>Ringkasan!H820</f>
        <v>15.5</v>
      </c>
      <c r="I821" s="19">
        <f>Ringkasan!I820</f>
        <v>0.34</v>
      </c>
      <c r="J821" s="19">
        <f>Ringkasan!J820</f>
        <v>2.2</v>
      </c>
      <c r="K821" s="19">
        <f>Ringkasan!K820</f>
        <v>1.1</v>
      </c>
      <c r="L821" s="19">
        <f>Ringkasan!L820</f>
        <v>1</v>
      </c>
      <c r="M821" s="19">
        <f>Ringkasan!M820</f>
        <v>11.7</v>
      </c>
      <c r="N821" s="64" t="str">
        <f>Ringkasan!N820</f>
        <v/>
      </c>
      <c r="O821" s="64" t="str">
        <f>Ringkasan!O820</f>
        <v/>
      </c>
      <c r="P821" s="64" t="str">
        <f>Ringkasan!P820</f>
        <v/>
      </c>
      <c r="Q821" s="64" t="str">
        <f>Ringkasan!Q820</f>
        <v/>
      </c>
      <c r="R821" s="64" t="str">
        <f>Ringkasan!R820</f>
        <v/>
      </c>
      <c r="S821" s="64" t="str">
        <f>Ringkasan!S820</f>
        <v/>
      </c>
      <c r="T821" s="64" t="str">
        <f>Ringkasan!T820</f>
        <v/>
      </c>
      <c r="U821" s="64">
        <f>Ringkasan!U820</f>
        <v>710</v>
      </c>
      <c r="V821" s="64" t="str">
        <f>Ringkasan!V820</f>
        <v/>
      </c>
      <c r="W821" s="64">
        <f>Ringkasan!W820</f>
        <v>730</v>
      </c>
      <c r="X821" s="64">
        <f>Ringkasan!X820</f>
        <v>800</v>
      </c>
      <c r="Y821" s="64" t="str">
        <f>Ringkasan!Y820</f>
        <v/>
      </c>
      <c r="Z821" s="64">
        <f>Ringkasan!Z820</f>
        <v>18631700</v>
      </c>
      <c r="AA821" s="64" t="str">
        <f>Ringkasan!AA820</f>
        <v>Coal</v>
      </c>
      <c r="AB821" s="64" t="str">
        <f>Ringkasan!AB820</f>
        <v>Energy</v>
      </c>
    </row>
    <row r="822" hidden="1">
      <c r="A822" s="64" t="str">
        <f>Ringkasan!A821</f>
        <v>HRUM</v>
      </c>
      <c r="B822" s="64" t="str">
        <f>Ringkasan!B821</f>
        <v>Harum Energy Tbk.</v>
      </c>
      <c r="C822" s="65">
        <f>Ringkasan!C821</f>
        <v>785</v>
      </c>
      <c r="D822" s="64" t="str">
        <f>Ringkasan!D821</f>
        <v>#N/A</v>
      </c>
      <c r="E822" s="64" t="str">
        <f>Ringkasan!E821</f>
        <v>IDXSMC-LIQ</v>
      </c>
      <c r="F822" s="64" t="str">
        <f>Ringkasan!F821</f>
        <v>4 Agustus 2026</v>
      </c>
      <c r="G822" s="64">
        <f>Ringkasan!G821</f>
        <v>5</v>
      </c>
      <c r="H822" s="19">
        <f>Ringkasan!H821</f>
        <v>15.5</v>
      </c>
      <c r="I822" s="19">
        <f>Ringkasan!I821</f>
        <v>0.34</v>
      </c>
      <c r="J822" s="19">
        <f>Ringkasan!J821</f>
        <v>2.2</v>
      </c>
      <c r="K822" s="19">
        <f>Ringkasan!K821</f>
        <v>1.1</v>
      </c>
      <c r="L822" s="19">
        <f>Ringkasan!L821</f>
        <v>1</v>
      </c>
      <c r="M822" s="19">
        <f>Ringkasan!M821</f>
        <v>11.7</v>
      </c>
      <c r="N822" s="64" t="str">
        <f>Ringkasan!N821</f>
        <v/>
      </c>
      <c r="O822" s="64" t="str">
        <f>Ringkasan!O821</f>
        <v/>
      </c>
      <c r="P822" s="64" t="str">
        <f>Ringkasan!P821</f>
        <v/>
      </c>
      <c r="Q822" s="64" t="str">
        <f>Ringkasan!Q821</f>
        <v/>
      </c>
      <c r="R822" s="64" t="str">
        <f>Ringkasan!R821</f>
        <v/>
      </c>
      <c r="S822" s="64" t="str">
        <f>Ringkasan!S821</f>
        <v/>
      </c>
      <c r="T822" s="64" t="str">
        <f>Ringkasan!T821</f>
        <v/>
      </c>
      <c r="U822" s="64">
        <f>Ringkasan!U821</f>
        <v>710</v>
      </c>
      <c r="V822" s="64" t="str">
        <f>Ringkasan!V821</f>
        <v/>
      </c>
      <c r="W822" s="64">
        <f>Ringkasan!W821</f>
        <v>730</v>
      </c>
      <c r="X822" s="64">
        <f>Ringkasan!X821</f>
        <v>800</v>
      </c>
      <c r="Y822" s="64" t="str">
        <f>Ringkasan!Y821</f>
        <v/>
      </c>
      <c r="Z822" s="64">
        <f>Ringkasan!Z821</f>
        <v>18631700</v>
      </c>
      <c r="AA822" s="64" t="str">
        <f>Ringkasan!AA821</f>
        <v>Coal</v>
      </c>
      <c r="AB822" s="64" t="str">
        <f>Ringkasan!AB821</f>
        <v>Energy</v>
      </c>
    </row>
    <row r="823" hidden="1">
      <c r="A823" s="64" t="str">
        <f>Ringkasan!A822</f>
        <v>HRUM</v>
      </c>
      <c r="B823" s="64" t="str">
        <f>Ringkasan!B822</f>
        <v>Harum Energy Tbk.</v>
      </c>
      <c r="C823" s="65">
        <f>Ringkasan!C822</f>
        <v>785</v>
      </c>
      <c r="D823" s="64" t="str">
        <f>Ringkasan!D822</f>
        <v>#N/A</v>
      </c>
      <c r="E823" s="64" t="str">
        <f>Ringkasan!E822</f>
        <v>JII70</v>
      </c>
      <c r="F823" s="66">
        <f>Ringkasan!F822</f>
        <v>46356</v>
      </c>
      <c r="G823" s="64">
        <f>Ringkasan!G822</f>
        <v>5</v>
      </c>
      <c r="H823" s="19">
        <f>Ringkasan!H822</f>
        <v>15.5</v>
      </c>
      <c r="I823" s="19">
        <f>Ringkasan!I822</f>
        <v>0.34</v>
      </c>
      <c r="J823" s="19">
        <f>Ringkasan!J822</f>
        <v>2.2</v>
      </c>
      <c r="K823" s="19">
        <f>Ringkasan!K822</f>
        <v>1.1</v>
      </c>
      <c r="L823" s="19">
        <f>Ringkasan!L822</f>
        <v>1</v>
      </c>
      <c r="M823" s="19">
        <f>Ringkasan!M822</f>
        <v>11.7</v>
      </c>
      <c r="N823" s="64" t="str">
        <f>Ringkasan!N822</f>
        <v/>
      </c>
      <c r="O823" s="64" t="str">
        <f>Ringkasan!O822</f>
        <v/>
      </c>
      <c r="P823" s="64" t="str">
        <f>Ringkasan!P822</f>
        <v/>
      </c>
      <c r="Q823" s="64" t="str">
        <f>Ringkasan!Q822</f>
        <v/>
      </c>
      <c r="R823" s="64" t="str">
        <f>Ringkasan!R822</f>
        <v/>
      </c>
      <c r="S823" s="64" t="str">
        <f>Ringkasan!S822</f>
        <v/>
      </c>
      <c r="T823" s="64" t="str">
        <f>Ringkasan!T822</f>
        <v/>
      </c>
      <c r="U823" s="64">
        <f>Ringkasan!U822</f>
        <v>710</v>
      </c>
      <c r="V823" s="64" t="str">
        <f>Ringkasan!V822</f>
        <v/>
      </c>
      <c r="W823" s="64">
        <f>Ringkasan!W822</f>
        <v>730</v>
      </c>
      <c r="X823" s="64">
        <f>Ringkasan!X822</f>
        <v>800</v>
      </c>
      <c r="Y823" s="64" t="str">
        <f>Ringkasan!Y822</f>
        <v/>
      </c>
      <c r="Z823" s="64">
        <f>Ringkasan!Z822</f>
        <v>18631700</v>
      </c>
      <c r="AA823" s="64" t="str">
        <f>Ringkasan!AA822</f>
        <v>Coal</v>
      </c>
      <c r="AB823" s="64" t="str">
        <f>Ringkasan!AB822</f>
        <v>Energy</v>
      </c>
    </row>
    <row r="824" hidden="1">
      <c r="A824" s="64" t="str">
        <f>Ringkasan!A823</f>
        <v>HUMI</v>
      </c>
      <c r="B824" s="64" t="str">
        <f>Ringkasan!B823</f>
        <v>PT Humpuss Maritim Internasional Tbk</v>
      </c>
      <c r="C824" s="65">
        <f>Ringkasan!C823</f>
        <v>125</v>
      </c>
      <c r="D824" s="64" t="str">
        <f>Ringkasan!D823</f>
        <v>#N/A</v>
      </c>
      <c r="E824" s="64" t="str">
        <f>Ringkasan!E823</f>
        <v/>
      </c>
      <c r="F824" s="64" t="str">
        <f>Ringkasan!F823</f>
        <v/>
      </c>
      <c r="G824" s="64">
        <f>Ringkasan!G823</f>
        <v>0</v>
      </c>
      <c r="H824" s="19">
        <f>Ringkasan!H823</f>
        <v>14.4</v>
      </c>
      <c r="I824" s="19">
        <f>Ringkasan!I823</f>
        <v>0.9</v>
      </c>
      <c r="J824" s="19">
        <f>Ringkasan!J823</f>
        <v>6.2</v>
      </c>
      <c r="K824" s="19">
        <f>Ringkasan!K823</f>
        <v>3.4</v>
      </c>
      <c r="L824" s="19">
        <f>Ringkasan!L823</f>
        <v>0.83</v>
      </c>
      <c r="M824" s="19">
        <f>Ringkasan!M823</f>
        <v>11.4</v>
      </c>
      <c r="N824" s="64" t="str">
        <f>Ringkasan!N823</f>
        <v/>
      </c>
      <c r="O824" s="64" t="str">
        <f>Ringkasan!O823</f>
        <v/>
      </c>
      <c r="P824" s="64" t="str">
        <f>Ringkasan!P823</f>
        <v/>
      </c>
      <c r="Q824" s="64" t="str">
        <f>Ringkasan!Q823</f>
        <v/>
      </c>
      <c r="R824" s="64" t="str">
        <f>Ringkasan!R823</f>
        <v/>
      </c>
      <c r="S824" s="64" t="str">
        <f>Ringkasan!S823</f>
        <v/>
      </c>
      <c r="T824" s="64" t="str">
        <f>Ringkasan!T823</f>
        <v/>
      </c>
      <c r="U824" s="64">
        <f>Ringkasan!U823</f>
        <v>114</v>
      </c>
      <c r="V824" s="64">
        <f>Ringkasan!V823</f>
        <v>9.65</v>
      </c>
      <c r="W824" s="64">
        <f>Ringkasan!W823</f>
        <v>114</v>
      </c>
      <c r="X824" s="64">
        <f>Ringkasan!X823</f>
        <v>127</v>
      </c>
      <c r="Y824" s="64">
        <f>Ringkasan!Y823</f>
        <v>114</v>
      </c>
      <c r="Z824" s="64" t="str">
        <f>Ringkasan!Z823</f>
        <v/>
      </c>
      <c r="AA824" s="64" t="str">
        <f>Ringkasan!AA823</f>
        <v>Oil &amp; Gas</v>
      </c>
      <c r="AB824" s="64" t="str">
        <f>Ringkasan!AB823</f>
        <v>Energy</v>
      </c>
    </row>
    <row r="825" hidden="1">
      <c r="A825" s="64" t="str">
        <f>Ringkasan!A824</f>
        <v>HYGN</v>
      </c>
      <c r="B825" s="64" t="str">
        <f>Ringkasan!B824</f>
        <v>Ecocare Indo Pasifik Tbk.</v>
      </c>
      <c r="C825" s="65">
        <f>Ringkasan!C824</f>
        <v>142</v>
      </c>
      <c r="D825" s="64" t="str">
        <f>Ringkasan!D824</f>
        <v>#N/A</v>
      </c>
      <c r="E825" s="64" t="str">
        <f>Ringkasan!E824</f>
        <v/>
      </c>
      <c r="F825" s="64" t="str">
        <f>Ringkasan!F824</f>
        <v/>
      </c>
      <c r="G825" s="64">
        <f>Ringkasan!G824</f>
        <v>0</v>
      </c>
      <c r="H825" s="19">
        <f>Ringkasan!H824</f>
        <v>17.4</v>
      </c>
      <c r="I825" s="19">
        <f>Ringkasan!I824</f>
        <v>2.1</v>
      </c>
      <c r="J825" s="19">
        <f>Ringkasan!J824</f>
        <v>12.3</v>
      </c>
      <c r="K825" s="19">
        <f>Ringkasan!K824</f>
        <v>8.7</v>
      </c>
      <c r="L825" s="19">
        <f>Ringkasan!L824</f>
        <v>0.41</v>
      </c>
      <c r="M825" s="19">
        <f>Ringkasan!M824</f>
        <v>21</v>
      </c>
      <c r="N825" s="64" t="str">
        <f>Ringkasan!N824</f>
        <v/>
      </c>
      <c r="O825" s="64" t="str">
        <f>Ringkasan!O824</f>
        <v/>
      </c>
      <c r="P825" s="64" t="str">
        <f>Ringkasan!P824</f>
        <v/>
      </c>
      <c r="Q825" s="64" t="str">
        <f>Ringkasan!Q824</f>
        <v/>
      </c>
      <c r="R825" s="64" t="str">
        <f>Ringkasan!R824</f>
        <v/>
      </c>
      <c r="S825" s="64" t="str">
        <f>Ringkasan!S824</f>
        <v/>
      </c>
      <c r="T825" s="64" t="str">
        <f>Ringkasan!T824</f>
        <v/>
      </c>
      <c r="U825" s="64">
        <f>Ringkasan!U824</f>
        <v>0</v>
      </c>
      <c r="V825" s="64">
        <f>Ringkasan!V824</f>
        <v>0</v>
      </c>
      <c r="W825" s="64" t="str">
        <f>Ringkasan!W824</f>
        <v/>
      </c>
      <c r="X825" s="64" t="str">
        <f>Ringkasan!X824</f>
        <v/>
      </c>
      <c r="Y825" s="64" t="str">
        <f>Ringkasan!Y824</f>
        <v/>
      </c>
      <c r="Z825" s="64">
        <f>Ringkasan!Z824</f>
        <v>26</v>
      </c>
      <c r="AA825" s="64" t="str">
        <f>Ringkasan!AA824</f>
        <v>Commercial Services</v>
      </c>
      <c r="AB825" s="64" t="str">
        <f>Ringkasan!AB824</f>
        <v>Industrials</v>
      </c>
    </row>
    <row r="826" hidden="1">
      <c r="A826" s="64" t="str">
        <f>Ringkasan!A825</f>
        <v>IATA</v>
      </c>
      <c r="B826" s="64" t="str">
        <f>Ringkasan!B825</f>
        <v>MNC Energy Investments Tbk.</v>
      </c>
      <c r="C826" s="65">
        <f>Ringkasan!C825</f>
        <v>63</v>
      </c>
      <c r="D826" s="64" t="str">
        <f>Ringkasan!D825</f>
        <v>#N/A</v>
      </c>
      <c r="E826" s="64" t="str">
        <f>Ringkasan!E825</f>
        <v/>
      </c>
      <c r="F826" s="64" t="str">
        <f>Ringkasan!F825</f>
        <v/>
      </c>
      <c r="G826" s="64">
        <f>Ringkasan!G825</f>
        <v>0</v>
      </c>
      <c r="H826" s="19">
        <f>Ringkasan!H825</f>
        <v>19.6</v>
      </c>
      <c r="I826" s="19">
        <f>Ringkasan!I825</f>
        <v>0.93</v>
      </c>
      <c r="J826" s="19">
        <f>Ringkasan!J825</f>
        <v>4.7</v>
      </c>
      <c r="K826" s="19">
        <f>Ringkasan!K825</f>
        <v>2.6</v>
      </c>
      <c r="L826" s="19">
        <f>Ringkasan!L825</f>
        <v>0.81</v>
      </c>
      <c r="M826" s="19">
        <f>Ringkasan!M825</f>
        <v>29.5</v>
      </c>
      <c r="N826" s="64" t="str">
        <f>Ringkasan!N825</f>
        <v/>
      </c>
      <c r="O826" s="64" t="str">
        <f>Ringkasan!O825</f>
        <v/>
      </c>
      <c r="P826" s="64" t="str">
        <f>Ringkasan!P825</f>
        <v/>
      </c>
      <c r="Q826" s="64" t="str">
        <f>Ringkasan!Q825</f>
        <v/>
      </c>
      <c r="R826" s="64" t="str">
        <f>Ringkasan!R825</f>
        <v/>
      </c>
      <c r="S826" s="64" t="str">
        <f>Ringkasan!S825</f>
        <v/>
      </c>
      <c r="T826" s="64" t="str">
        <f>Ringkasan!T825</f>
        <v/>
      </c>
      <c r="U826" s="64">
        <f>Ringkasan!U825</f>
        <v>60</v>
      </c>
      <c r="V826" s="64">
        <f>Ringkasan!V825</f>
        <v>5</v>
      </c>
      <c r="W826" s="64">
        <f>Ringkasan!W825</f>
        <v>60</v>
      </c>
      <c r="X826" s="64">
        <f>Ringkasan!X825</f>
        <v>65</v>
      </c>
      <c r="Y826" s="64">
        <f>Ringkasan!Y825</f>
        <v>60</v>
      </c>
      <c r="Z826" s="64">
        <f>Ringkasan!Z825</f>
        <v>178155700</v>
      </c>
      <c r="AA826" s="64" t="str">
        <f>Ringkasan!AA825</f>
        <v>Coal</v>
      </c>
      <c r="AB826" s="64" t="str">
        <f>Ringkasan!AB825</f>
        <v>Energy</v>
      </c>
    </row>
    <row r="827" hidden="1">
      <c r="A827" s="64" t="str">
        <f>Ringkasan!A826</f>
        <v>IBFN</v>
      </c>
      <c r="B827" s="64" t="str">
        <f>Ringkasan!B826</f>
        <v>Intan Baru Prana Tbk.</v>
      </c>
      <c r="C827" s="65">
        <f>Ringkasan!C826</f>
        <v>58</v>
      </c>
      <c r="D827" s="64" t="str">
        <f>Ringkasan!D826</f>
        <v>#N/A</v>
      </c>
      <c r="E827" s="64" t="str">
        <f>Ringkasan!E826</f>
        <v/>
      </c>
      <c r="F827" s="64" t="str">
        <f>Ringkasan!F826</f>
        <v/>
      </c>
      <c r="G827" s="64">
        <f>Ringkasan!G826</f>
        <v>0</v>
      </c>
      <c r="H827" s="19">
        <f>Ringkasan!H826</f>
        <v>-4.2</v>
      </c>
      <c r="I827" s="19">
        <f>Ringkasan!I826</f>
        <v>-0.14</v>
      </c>
      <c r="J827" s="19">
        <f>Ringkasan!J826</f>
        <v>0</v>
      </c>
      <c r="K827" s="19">
        <f>Ringkasan!K826</f>
        <v>-5.2</v>
      </c>
      <c r="L827" s="19">
        <f>Ringkasan!L826</f>
        <v>-1.6</v>
      </c>
      <c r="M827" s="19">
        <f>Ringkasan!M826</f>
        <v>-47.2</v>
      </c>
      <c r="N827" s="64" t="str">
        <f>Ringkasan!N826</f>
        <v/>
      </c>
      <c r="O827" s="64" t="str">
        <f>Ringkasan!O826</f>
        <v/>
      </c>
      <c r="P827" s="64" t="str">
        <f>Ringkasan!P826</f>
        <v/>
      </c>
      <c r="Q827" s="64" t="str">
        <f>Ringkasan!Q826</f>
        <v/>
      </c>
      <c r="R827" s="64" t="str">
        <f>Ringkasan!R826</f>
        <v/>
      </c>
      <c r="S827" s="64" t="str">
        <f>Ringkasan!S826</f>
        <v/>
      </c>
      <c r="T827" s="64" t="str">
        <f>Ringkasan!T826</f>
        <v/>
      </c>
      <c r="U827" s="64">
        <f>Ringkasan!U826</f>
        <v>59</v>
      </c>
      <c r="V827" s="64">
        <f>Ringkasan!V826</f>
        <v>-1.69</v>
      </c>
      <c r="W827" s="64">
        <f>Ringkasan!W826</f>
        <v>59</v>
      </c>
      <c r="X827" s="64">
        <f>Ringkasan!X826</f>
        <v>62</v>
      </c>
      <c r="Y827" s="64">
        <f>Ringkasan!Y826</f>
        <v>58</v>
      </c>
      <c r="Z827" s="64">
        <f>Ringkasan!Z826</f>
        <v>112600</v>
      </c>
      <c r="AA827" s="64" t="str">
        <f>Ringkasan!AA826</f>
        <v>Machinery</v>
      </c>
      <c r="AB827" s="64" t="str">
        <f>Ringkasan!AB826</f>
        <v>Industrials</v>
      </c>
    </row>
    <row r="828" hidden="1">
      <c r="A828" s="64" t="str">
        <f>Ringkasan!A827</f>
        <v>IBOS</v>
      </c>
      <c r="B828" s="64" t="str">
        <f>Ringkasan!B827</f>
        <v>Indo Boga Sukses Tbk.</v>
      </c>
      <c r="C828" s="65">
        <f>Ringkasan!C827</f>
        <v>83</v>
      </c>
      <c r="D828" s="64" t="str">
        <f>Ringkasan!D827</f>
        <v>#N/A</v>
      </c>
      <c r="E828" s="64" t="str">
        <f>Ringkasan!E827</f>
        <v/>
      </c>
      <c r="F828" s="64" t="str">
        <f>Ringkasan!F827</f>
        <v/>
      </c>
      <c r="G828" s="64">
        <f>Ringkasan!G827</f>
        <v>0</v>
      </c>
      <c r="H828" s="19">
        <f>Ringkasan!H827</f>
        <v>350</v>
      </c>
      <c r="I828" s="19">
        <f>Ringkasan!I827</f>
        <v>2.2</v>
      </c>
      <c r="J828" s="19">
        <f>Ringkasan!J827</f>
        <v>0.62</v>
      </c>
      <c r="K828" s="19">
        <f>Ringkasan!K827</f>
        <v>0.58</v>
      </c>
      <c r="L828" s="19">
        <f>Ringkasan!L827</f>
        <v>0.07</v>
      </c>
      <c r="M828" s="19">
        <f>Ringkasan!M827</f>
        <v>5</v>
      </c>
      <c r="N828" s="64" t="str">
        <f>Ringkasan!N827</f>
        <v/>
      </c>
      <c r="O828" s="64" t="str">
        <f>Ringkasan!O827</f>
        <v/>
      </c>
      <c r="P828" s="64" t="str">
        <f>Ringkasan!P827</f>
        <v/>
      </c>
      <c r="Q828" s="64" t="str">
        <f>Ringkasan!Q827</f>
        <v/>
      </c>
      <c r="R828" s="64" t="str">
        <f>Ringkasan!R827</f>
        <v/>
      </c>
      <c r="S828" s="64" t="str">
        <f>Ringkasan!S827</f>
        <v/>
      </c>
      <c r="T828" s="64" t="str">
        <f>Ringkasan!T827</f>
        <v/>
      </c>
      <c r="U828" s="64">
        <f>Ringkasan!U827</f>
        <v>84</v>
      </c>
      <c r="V828" s="64">
        <f>Ringkasan!V827</f>
        <v>-1.19</v>
      </c>
      <c r="W828" s="64">
        <f>Ringkasan!W827</f>
        <v>84</v>
      </c>
      <c r="X828" s="64">
        <f>Ringkasan!X827</f>
        <v>88</v>
      </c>
      <c r="Y828" s="64">
        <f>Ringkasan!Y827</f>
        <v>81</v>
      </c>
      <c r="Z828" s="64">
        <f>Ringkasan!Z827</f>
        <v>5170800</v>
      </c>
      <c r="AA828" s="64" t="str">
        <f>Ringkasan!AA827</f>
        <v>Agricultural Products</v>
      </c>
      <c r="AB828" s="64" t="str">
        <f>Ringkasan!AB827</f>
        <v>Consumer Non-Cyclicals</v>
      </c>
    </row>
    <row r="829" hidden="1">
      <c r="A829" s="64" t="str">
        <f>Ringkasan!A828</f>
        <v>IBST</v>
      </c>
      <c r="B829" s="64" t="str">
        <f>Ringkasan!B828</f>
        <v>Inti Bangun Sejahtera Tbk</v>
      </c>
      <c r="C829" s="65">
        <f>Ringkasan!C828</f>
        <v>8475</v>
      </c>
      <c r="D829" s="64" t="str">
        <f>Ringkasan!D828</f>
        <v>#N/A</v>
      </c>
      <c r="E829" s="64" t="str">
        <f>Ringkasan!E828</f>
        <v/>
      </c>
      <c r="F829" s="64" t="str">
        <f>Ringkasan!F828</f>
        <v/>
      </c>
      <c r="G829" s="64">
        <f>Ringkasan!G828</f>
        <v>0</v>
      </c>
      <c r="H829" s="19">
        <f>Ringkasan!H828</f>
        <v>27.8</v>
      </c>
      <c r="I829" s="19">
        <f>Ringkasan!I828</f>
        <v>4.4</v>
      </c>
      <c r="J829" s="19">
        <f>Ringkasan!J828</f>
        <v>16</v>
      </c>
      <c r="K829" s="19">
        <f>Ringkasan!K828</f>
        <v>10.4</v>
      </c>
      <c r="L829" s="19">
        <f>Ringkasan!L828</f>
        <v>0.53</v>
      </c>
      <c r="M829" s="19">
        <f>Ringkasan!M828</f>
        <v>47.2</v>
      </c>
      <c r="N829" s="64" t="str">
        <f>Ringkasan!N828</f>
        <v/>
      </c>
      <c r="O829" s="64" t="str">
        <f>Ringkasan!O828</f>
        <v/>
      </c>
      <c r="P829" s="64" t="str">
        <f>Ringkasan!P828</f>
        <v/>
      </c>
      <c r="Q829" s="64" t="str">
        <f>Ringkasan!Q828</f>
        <v/>
      </c>
      <c r="R829" s="64" t="str">
        <f>Ringkasan!R828</f>
        <v/>
      </c>
      <c r="S829" s="64" t="str">
        <f>Ringkasan!S828</f>
        <v/>
      </c>
      <c r="T829" s="64" t="str">
        <f>Ringkasan!T828</f>
        <v/>
      </c>
      <c r="U829" s="64">
        <f>Ringkasan!U828</f>
        <v>91.85</v>
      </c>
      <c r="V829" s="64">
        <f>Ringkasan!V828</f>
        <v>3.43</v>
      </c>
      <c r="W829" s="64">
        <f>Ringkasan!W828</f>
        <v>91.55</v>
      </c>
      <c r="X829" s="64">
        <f>Ringkasan!X828</f>
        <v>97.3</v>
      </c>
      <c r="Y829" s="64">
        <f>Ringkasan!Y828</f>
        <v>91.55</v>
      </c>
      <c r="Z829" s="64">
        <f>Ringkasan!Z828</f>
        <v>791717</v>
      </c>
      <c r="AA829" s="64" t="str">
        <f>Ringkasan!AA828</f>
        <v>Wireless Telecommunication Services</v>
      </c>
      <c r="AB829" s="64" t="str">
        <f>Ringkasan!AB828</f>
        <v>Infrastructures</v>
      </c>
    </row>
    <row r="830" hidden="1">
      <c r="A830" s="64" t="str">
        <f>Ringkasan!A829</f>
        <v>ICBP</v>
      </c>
      <c r="B830" s="64" t="str">
        <f>Ringkasan!B829</f>
        <v>Indofood CBP Sukses Makmur Tbk.</v>
      </c>
      <c r="C830" s="65">
        <f>Ringkasan!C829</f>
        <v>6350</v>
      </c>
      <c r="D830" s="64" t="str">
        <f>Ringkasan!D829</f>
        <v>#N/A</v>
      </c>
      <c r="E830" s="64" t="str">
        <f>Ringkasan!E829</f>
        <v>ESGQKEHATI</v>
      </c>
      <c r="F830" s="66">
        <f>Ringkasan!F829</f>
        <v>46356</v>
      </c>
      <c r="G830" s="64">
        <f>Ringkasan!G829</f>
        <v>16</v>
      </c>
      <c r="H830" s="19">
        <f>Ringkasan!H829</f>
        <v>9.1</v>
      </c>
      <c r="I830" s="19">
        <f>Ringkasan!I829</f>
        <v>1.1</v>
      </c>
      <c r="J830" s="19">
        <f>Ringkasan!J829</f>
        <v>11.9</v>
      </c>
      <c r="K830" s="19">
        <f>Ringkasan!K829</f>
        <v>6.5</v>
      </c>
      <c r="L830" s="19">
        <f>Ringkasan!L829</f>
        <v>0.82</v>
      </c>
      <c r="M830" s="19">
        <f>Ringkasan!M829</f>
        <v>42.1</v>
      </c>
      <c r="N830" s="64" t="str">
        <f>Ringkasan!N829</f>
        <v/>
      </c>
      <c r="O830" s="64" t="str">
        <f>Ringkasan!O829</f>
        <v/>
      </c>
      <c r="P830" s="64" t="str">
        <f>Ringkasan!P829</f>
        <v/>
      </c>
      <c r="Q830" s="64" t="str">
        <f>Ringkasan!Q829</f>
        <v/>
      </c>
      <c r="R830" s="64" t="str">
        <f>Ringkasan!R829</f>
        <v/>
      </c>
      <c r="S830" s="64" t="str">
        <f>Ringkasan!S829</f>
        <v/>
      </c>
      <c r="T830" s="64" t="str">
        <f>Ringkasan!T829</f>
        <v/>
      </c>
      <c r="U830" s="64">
        <f>Ringkasan!U829</f>
        <v>6250</v>
      </c>
      <c r="V830" s="64">
        <f>Ringkasan!V829</f>
        <v>1.6</v>
      </c>
      <c r="W830" s="64">
        <f>Ringkasan!W829</f>
        <v>6275</v>
      </c>
      <c r="X830" s="64">
        <f>Ringkasan!X829</f>
        <v>6450</v>
      </c>
      <c r="Y830" s="64">
        <f>Ringkasan!Y829</f>
        <v>6175</v>
      </c>
      <c r="Z830" s="64">
        <f>Ringkasan!Z829</f>
        <v>13984100</v>
      </c>
      <c r="AA830" s="64" t="str">
        <f>Ringkasan!AA829</f>
        <v>Processed Foods</v>
      </c>
      <c r="AB830" s="64" t="str">
        <f>Ringkasan!AB829</f>
        <v>Consumer Non-Cyclicals</v>
      </c>
    </row>
    <row r="831" hidden="1">
      <c r="A831" s="64" t="str">
        <f>Ringkasan!A830</f>
        <v>ICBP</v>
      </c>
      <c r="B831" s="64" t="str">
        <f>Ringkasan!B830</f>
        <v>Indofood CBP Sukses Makmur Tbk.</v>
      </c>
      <c r="C831" s="65">
        <f>Ringkasan!C830</f>
        <v>6350</v>
      </c>
      <c r="D831" s="64" t="str">
        <f>Ringkasan!D830</f>
        <v>#N/A</v>
      </c>
      <c r="E831" s="64" t="str">
        <f>Ringkasan!E830</f>
        <v>IDXSHAGROW</v>
      </c>
      <c r="F831" s="66">
        <f>Ringkasan!F830</f>
        <v>46356</v>
      </c>
      <c r="G831" s="64">
        <f>Ringkasan!G830</f>
        <v>16</v>
      </c>
      <c r="H831" s="19">
        <f>Ringkasan!H830</f>
        <v>9.1</v>
      </c>
      <c r="I831" s="19">
        <f>Ringkasan!I830</f>
        <v>1.1</v>
      </c>
      <c r="J831" s="19">
        <f>Ringkasan!J830</f>
        <v>11.9</v>
      </c>
      <c r="K831" s="19">
        <f>Ringkasan!K830</f>
        <v>6.5</v>
      </c>
      <c r="L831" s="19">
        <f>Ringkasan!L830</f>
        <v>0.82</v>
      </c>
      <c r="M831" s="19">
        <f>Ringkasan!M830</f>
        <v>42.1</v>
      </c>
      <c r="N831" s="64" t="str">
        <f>Ringkasan!N830</f>
        <v/>
      </c>
      <c r="O831" s="64" t="str">
        <f>Ringkasan!O830</f>
        <v/>
      </c>
      <c r="P831" s="64" t="str">
        <f>Ringkasan!P830</f>
        <v/>
      </c>
      <c r="Q831" s="64" t="str">
        <f>Ringkasan!Q830</f>
        <v/>
      </c>
      <c r="R831" s="64" t="str">
        <f>Ringkasan!R830</f>
        <v/>
      </c>
      <c r="S831" s="64" t="str">
        <f>Ringkasan!S830</f>
        <v/>
      </c>
      <c r="T831" s="64" t="str">
        <f>Ringkasan!T830</f>
        <v/>
      </c>
      <c r="U831" s="64">
        <f>Ringkasan!U830</f>
        <v>6250</v>
      </c>
      <c r="V831" s="64">
        <f>Ringkasan!V830</f>
        <v>1.6</v>
      </c>
      <c r="W831" s="64">
        <f>Ringkasan!W830</f>
        <v>6275</v>
      </c>
      <c r="X831" s="64">
        <f>Ringkasan!X830</f>
        <v>6450</v>
      </c>
      <c r="Y831" s="64">
        <f>Ringkasan!Y830</f>
        <v>6175</v>
      </c>
      <c r="Z831" s="64">
        <f>Ringkasan!Z830</f>
        <v>13984100</v>
      </c>
      <c r="AA831" s="64" t="str">
        <f>Ringkasan!AA830</f>
        <v>Processed Foods</v>
      </c>
      <c r="AB831" s="64" t="str">
        <f>Ringkasan!AB830</f>
        <v>Consumer Non-Cyclicals</v>
      </c>
    </row>
    <row r="832" hidden="1">
      <c r="A832" s="64" t="str">
        <f>Ringkasan!A831</f>
        <v>ICBP</v>
      </c>
      <c r="B832" s="64" t="str">
        <f>Ringkasan!B831</f>
        <v>Indofood CBP Sukses Makmur Tbk.</v>
      </c>
      <c r="C832" s="65">
        <f>Ringkasan!C831</f>
        <v>6350</v>
      </c>
      <c r="D832" s="64" t="str">
        <f>Ringkasan!D831</f>
        <v>#N/A</v>
      </c>
      <c r="E832" s="64" t="str">
        <f>Ringkasan!E831</f>
        <v>ESGSKEHATI</v>
      </c>
      <c r="F832" s="66">
        <f>Ringkasan!F831</f>
        <v>46356</v>
      </c>
      <c r="G832" s="64">
        <f>Ringkasan!G831</f>
        <v>16</v>
      </c>
      <c r="H832" s="19">
        <f>Ringkasan!H831</f>
        <v>9.1</v>
      </c>
      <c r="I832" s="19">
        <f>Ringkasan!I831</f>
        <v>1.1</v>
      </c>
      <c r="J832" s="19">
        <f>Ringkasan!J831</f>
        <v>11.9</v>
      </c>
      <c r="K832" s="19">
        <f>Ringkasan!K831</f>
        <v>6.5</v>
      </c>
      <c r="L832" s="19">
        <f>Ringkasan!L831</f>
        <v>0.82</v>
      </c>
      <c r="M832" s="19">
        <f>Ringkasan!M831</f>
        <v>42.1</v>
      </c>
      <c r="N832" s="64" t="str">
        <f>Ringkasan!N831</f>
        <v/>
      </c>
      <c r="O832" s="64" t="str">
        <f>Ringkasan!O831</f>
        <v/>
      </c>
      <c r="P832" s="64" t="str">
        <f>Ringkasan!P831</f>
        <v/>
      </c>
      <c r="Q832" s="64" t="str">
        <f>Ringkasan!Q831</f>
        <v/>
      </c>
      <c r="R832" s="64" t="str">
        <f>Ringkasan!R831</f>
        <v/>
      </c>
      <c r="S832" s="64" t="str">
        <f>Ringkasan!S831</f>
        <v/>
      </c>
      <c r="T832" s="64" t="str">
        <f>Ringkasan!T831</f>
        <v/>
      </c>
      <c r="U832" s="64">
        <f>Ringkasan!U831</f>
        <v>6250</v>
      </c>
      <c r="V832" s="64">
        <f>Ringkasan!V831</f>
        <v>1.6</v>
      </c>
      <c r="W832" s="64">
        <f>Ringkasan!W831</f>
        <v>6275</v>
      </c>
      <c r="X832" s="64">
        <f>Ringkasan!X831</f>
        <v>6450</v>
      </c>
      <c r="Y832" s="64">
        <f>Ringkasan!Y831</f>
        <v>6175</v>
      </c>
      <c r="Z832" s="64">
        <f>Ringkasan!Z831</f>
        <v>13984100</v>
      </c>
      <c r="AA832" s="64" t="str">
        <f>Ringkasan!AA831</f>
        <v>Processed Foods</v>
      </c>
      <c r="AB832" s="64" t="str">
        <f>Ringkasan!AB831</f>
        <v>Consumer Non-Cyclicals</v>
      </c>
    </row>
    <row r="833" hidden="1">
      <c r="A833" s="64" t="str">
        <f>Ringkasan!A832</f>
        <v>ICBP</v>
      </c>
      <c r="B833" s="64" t="str">
        <f>Ringkasan!B832</f>
        <v>Indofood CBP Sukses Makmur Tbk.</v>
      </c>
      <c r="C833" s="65">
        <f>Ringkasan!C832</f>
        <v>6350</v>
      </c>
      <c r="D833" s="64" t="str">
        <f>Ringkasan!D832</f>
        <v>#N/A</v>
      </c>
      <c r="E833" s="64" t="str">
        <f>Ringkasan!E832</f>
        <v>IDXG30</v>
      </c>
      <c r="F833" s="64" t="str">
        <f>Ringkasan!F832</f>
        <v>4 Agustus 2026</v>
      </c>
      <c r="G833" s="64">
        <f>Ringkasan!G832</f>
        <v>16</v>
      </c>
      <c r="H833" s="19">
        <f>Ringkasan!H832</f>
        <v>9.1</v>
      </c>
      <c r="I833" s="19">
        <f>Ringkasan!I832</f>
        <v>1.1</v>
      </c>
      <c r="J833" s="19">
        <f>Ringkasan!J832</f>
        <v>11.9</v>
      </c>
      <c r="K833" s="19">
        <f>Ringkasan!K832</f>
        <v>6.5</v>
      </c>
      <c r="L833" s="19">
        <f>Ringkasan!L832</f>
        <v>0.82</v>
      </c>
      <c r="M833" s="19">
        <f>Ringkasan!M832</f>
        <v>42.1</v>
      </c>
      <c r="N833" s="64" t="str">
        <f>Ringkasan!N832</f>
        <v/>
      </c>
      <c r="O833" s="64" t="str">
        <f>Ringkasan!O832</f>
        <v/>
      </c>
      <c r="P833" s="64" t="str">
        <f>Ringkasan!P832</f>
        <v/>
      </c>
      <c r="Q833" s="64" t="str">
        <f>Ringkasan!Q832</f>
        <v/>
      </c>
      <c r="R833" s="64" t="str">
        <f>Ringkasan!R832</f>
        <v/>
      </c>
      <c r="S833" s="64" t="str">
        <f>Ringkasan!S832</f>
        <v/>
      </c>
      <c r="T833" s="64" t="str">
        <f>Ringkasan!T832</f>
        <v/>
      </c>
      <c r="U833" s="64">
        <f>Ringkasan!U832</f>
        <v>6250</v>
      </c>
      <c r="V833" s="64">
        <f>Ringkasan!V832</f>
        <v>1.6</v>
      </c>
      <c r="W833" s="64">
        <f>Ringkasan!W832</f>
        <v>6275</v>
      </c>
      <c r="X833" s="64">
        <f>Ringkasan!X832</f>
        <v>6450</v>
      </c>
      <c r="Y833" s="64">
        <f>Ringkasan!Y832</f>
        <v>6175</v>
      </c>
      <c r="Z833" s="64">
        <f>Ringkasan!Z832</f>
        <v>13984100</v>
      </c>
      <c r="AA833" s="64" t="str">
        <f>Ringkasan!AA832</f>
        <v>Processed Foods</v>
      </c>
      <c r="AB833" s="64" t="str">
        <f>Ringkasan!AB832</f>
        <v>Consumer Non-Cyclicals</v>
      </c>
    </row>
    <row r="834" hidden="1">
      <c r="A834" s="64" t="str">
        <f>Ringkasan!A833</f>
        <v>ICBP</v>
      </c>
      <c r="B834" s="64" t="str">
        <f>Ringkasan!B833</f>
        <v>Indofood CBP Sukses Makmur Tbk.</v>
      </c>
      <c r="C834" s="65">
        <f>Ringkasan!C833</f>
        <v>6350</v>
      </c>
      <c r="D834" s="64" t="str">
        <f>Ringkasan!D833</f>
        <v>#N/A</v>
      </c>
      <c r="E834" s="64" t="str">
        <f>Ringkasan!E833</f>
        <v>Kompas100</v>
      </c>
      <c r="F834" s="64" t="str">
        <f>Ringkasan!F833</f>
        <v>31 Juli 2026</v>
      </c>
      <c r="G834" s="64">
        <f>Ringkasan!G833</f>
        <v>16</v>
      </c>
      <c r="H834" s="19">
        <f>Ringkasan!H833</f>
        <v>9.1</v>
      </c>
      <c r="I834" s="19">
        <f>Ringkasan!I833</f>
        <v>1.1</v>
      </c>
      <c r="J834" s="19">
        <f>Ringkasan!J833</f>
        <v>11.9</v>
      </c>
      <c r="K834" s="19">
        <f>Ringkasan!K833</f>
        <v>6.5</v>
      </c>
      <c r="L834" s="19">
        <f>Ringkasan!L833</f>
        <v>0.82</v>
      </c>
      <c r="M834" s="19">
        <f>Ringkasan!M833</f>
        <v>42.1</v>
      </c>
      <c r="N834" s="64" t="str">
        <f>Ringkasan!N833</f>
        <v/>
      </c>
      <c r="O834" s="64" t="str">
        <f>Ringkasan!O833</f>
        <v/>
      </c>
      <c r="P834" s="64" t="str">
        <f>Ringkasan!P833</f>
        <v/>
      </c>
      <c r="Q834" s="64" t="str">
        <f>Ringkasan!Q833</f>
        <v/>
      </c>
      <c r="R834" s="64" t="str">
        <f>Ringkasan!R833</f>
        <v/>
      </c>
      <c r="S834" s="64" t="str">
        <f>Ringkasan!S833</f>
        <v/>
      </c>
      <c r="T834" s="64" t="str">
        <f>Ringkasan!T833</f>
        <v/>
      </c>
      <c r="U834" s="64">
        <f>Ringkasan!U833</f>
        <v>6250</v>
      </c>
      <c r="V834" s="64">
        <f>Ringkasan!V833</f>
        <v>1.6</v>
      </c>
      <c r="W834" s="64">
        <f>Ringkasan!W833</f>
        <v>6275</v>
      </c>
      <c r="X834" s="64">
        <f>Ringkasan!X833</f>
        <v>6450</v>
      </c>
      <c r="Y834" s="64">
        <f>Ringkasan!Y833</f>
        <v>6175</v>
      </c>
      <c r="Z834" s="64">
        <f>Ringkasan!Z833</f>
        <v>13984100</v>
      </c>
      <c r="AA834" s="64" t="str">
        <f>Ringkasan!AA833</f>
        <v>Processed Foods</v>
      </c>
      <c r="AB834" s="64" t="str">
        <f>Ringkasan!AB833</f>
        <v>Consumer Non-Cyclicals</v>
      </c>
    </row>
    <row r="835" hidden="1">
      <c r="A835" s="64" t="str">
        <f>Ringkasan!A834</f>
        <v>ICBP</v>
      </c>
      <c r="B835" s="64" t="str">
        <f>Ringkasan!B834</f>
        <v>Indofood CBP Sukses Makmur Tbk.</v>
      </c>
      <c r="C835" s="65">
        <f>Ringkasan!C834</f>
        <v>6350</v>
      </c>
      <c r="D835" s="64" t="str">
        <f>Ringkasan!D834</f>
        <v>#N/A</v>
      </c>
      <c r="E835" s="64" t="str">
        <f>Ringkasan!E834</f>
        <v>MNC36</v>
      </c>
      <c r="F835" s="64" t="str">
        <f>Ringkasan!F834</f>
        <v>30 Oktober 2026</v>
      </c>
      <c r="G835" s="64">
        <f>Ringkasan!G834</f>
        <v>16</v>
      </c>
      <c r="H835" s="19">
        <f>Ringkasan!H834</f>
        <v>9.1</v>
      </c>
      <c r="I835" s="19">
        <f>Ringkasan!I834</f>
        <v>1.1</v>
      </c>
      <c r="J835" s="19">
        <f>Ringkasan!J834</f>
        <v>11.9</v>
      </c>
      <c r="K835" s="19">
        <f>Ringkasan!K834</f>
        <v>6.5</v>
      </c>
      <c r="L835" s="19">
        <f>Ringkasan!L834</f>
        <v>0.82</v>
      </c>
      <c r="M835" s="19">
        <f>Ringkasan!M834</f>
        <v>42.1</v>
      </c>
      <c r="N835" s="64" t="str">
        <f>Ringkasan!N834</f>
        <v/>
      </c>
      <c r="O835" s="64" t="str">
        <f>Ringkasan!O834</f>
        <v/>
      </c>
      <c r="P835" s="64" t="str">
        <f>Ringkasan!P834</f>
        <v/>
      </c>
      <c r="Q835" s="64" t="str">
        <f>Ringkasan!Q834</f>
        <v/>
      </c>
      <c r="R835" s="64" t="str">
        <f>Ringkasan!R834</f>
        <v/>
      </c>
      <c r="S835" s="64" t="str">
        <f>Ringkasan!S834</f>
        <v/>
      </c>
      <c r="T835" s="64" t="str">
        <f>Ringkasan!T834</f>
        <v/>
      </c>
      <c r="U835" s="64">
        <f>Ringkasan!U834</f>
        <v>6250</v>
      </c>
      <c r="V835" s="64">
        <f>Ringkasan!V834</f>
        <v>1.6</v>
      </c>
      <c r="W835" s="64">
        <f>Ringkasan!W834</f>
        <v>6275</v>
      </c>
      <c r="X835" s="64">
        <f>Ringkasan!X834</f>
        <v>6450</v>
      </c>
      <c r="Y835" s="64">
        <f>Ringkasan!Y834</f>
        <v>6175</v>
      </c>
      <c r="Z835" s="64">
        <f>Ringkasan!Z834</f>
        <v>13984100</v>
      </c>
      <c r="AA835" s="64" t="str">
        <f>Ringkasan!AA834</f>
        <v>Processed Foods</v>
      </c>
      <c r="AB835" s="64" t="str">
        <f>Ringkasan!AB834</f>
        <v>Consumer Non-Cyclicals</v>
      </c>
    </row>
    <row r="836" hidden="1">
      <c r="A836" s="64" t="str">
        <f>Ringkasan!A835</f>
        <v>ICBP</v>
      </c>
      <c r="B836" s="64" t="str">
        <f>Ringkasan!B835</f>
        <v>Indofood CBP Sukses Makmur Tbk.</v>
      </c>
      <c r="C836" s="65">
        <f>Ringkasan!C835</f>
        <v>6350</v>
      </c>
      <c r="D836" s="64" t="str">
        <f>Ringkasan!D835</f>
        <v>#N/A</v>
      </c>
      <c r="E836" s="64" t="str">
        <f>Ringkasan!E835</f>
        <v>IDXVESTA28</v>
      </c>
      <c r="F836" s="64" t="str">
        <f>Ringkasan!F835</f>
        <v>31 Agustus 2026</v>
      </c>
      <c r="G836" s="64">
        <f>Ringkasan!G835</f>
        <v>16</v>
      </c>
      <c r="H836" s="19">
        <f>Ringkasan!H835</f>
        <v>9.1</v>
      </c>
      <c r="I836" s="19">
        <f>Ringkasan!I835</f>
        <v>1.1</v>
      </c>
      <c r="J836" s="19">
        <f>Ringkasan!J835</f>
        <v>11.9</v>
      </c>
      <c r="K836" s="19">
        <f>Ringkasan!K835</f>
        <v>6.5</v>
      </c>
      <c r="L836" s="19">
        <f>Ringkasan!L835</f>
        <v>0.82</v>
      </c>
      <c r="M836" s="19">
        <f>Ringkasan!M835</f>
        <v>42.1</v>
      </c>
      <c r="N836" s="64" t="str">
        <f>Ringkasan!N835</f>
        <v/>
      </c>
      <c r="O836" s="64" t="str">
        <f>Ringkasan!O835</f>
        <v/>
      </c>
      <c r="P836" s="64" t="str">
        <f>Ringkasan!P835</f>
        <v/>
      </c>
      <c r="Q836" s="64" t="str">
        <f>Ringkasan!Q835</f>
        <v/>
      </c>
      <c r="R836" s="64" t="str">
        <f>Ringkasan!R835</f>
        <v/>
      </c>
      <c r="S836" s="64" t="str">
        <f>Ringkasan!S835</f>
        <v/>
      </c>
      <c r="T836" s="64" t="str">
        <f>Ringkasan!T835</f>
        <v/>
      </c>
      <c r="U836" s="64">
        <f>Ringkasan!U835</f>
        <v>6250</v>
      </c>
      <c r="V836" s="64">
        <f>Ringkasan!V835</f>
        <v>1.6</v>
      </c>
      <c r="W836" s="64">
        <f>Ringkasan!W835</f>
        <v>6275</v>
      </c>
      <c r="X836" s="64">
        <f>Ringkasan!X835</f>
        <v>6450</v>
      </c>
      <c r="Y836" s="64">
        <f>Ringkasan!Y835</f>
        <v>6175</v>
      </c>
      <c r="Z836" s="64">
        <f>Ringkasan!Z835</f>
        <v>13984100</v>
      </c>
      <c r="AA836" s="64" t="str">
        <f>Ringkasan!AA835</f>
        <v>Processed Foods</v>
      </c>
      <c r="AB836" s="64" t="str">
        <f>Ringkasan!AB835</f>
        <v>Consumer Non-Cyclicals</v>
      </c>
    </row>
    <row r="837" hidden="1">
      <c r="A837" s="64" t="str">
        <f>Ringkasan!A836</f>
        <v>ICBP</v>
      </c>
      <c r="B837" s="64" t="str">
        <f>Ringkasan!B836</f>
        <v>Indofood CBP Sukses Makmur Tbk.</v>
      </c>
      <c r="C837" s="65">
        <f>Ringkasan!C836</f>
        <v>6350</v>
      </c>
      <c r="D837" s="64" t="str">
        <f>Ringkasan!D836</f>
        <v>#N/A</v>
      </c>
      <c r="E837" s="64" t="str">
        <f>Ringkasan!E836</f>
        <v>IDX30</v>
      </c>
      <c r="F837" s="64" t="str">
        <f>Ringkasan!F836</f>
        <v>31 Juli 2026</v>
      </c>
      <c r="G837" s="64">
        <f>Ringkasan!G836</f>
        <v>16</v>
      </c>
      <c r="H837" s="19">
        <f>Ringkasan!H836</f>
        <v>9.1</v>
      </c>
      <c r="I837" s="19">
        <f>Ringkasan!I836</f>
        <v>1.1</v>
      </c>
      <c r="J837" s="19">
        <f>Ringkasan!J836</f>
        <v>11.9</v>
      </c>
      <c r="K837" s="19">
        <f>Ringkasan!K836</f>
        <v>6.5</v>
      </c>
      <c r="L837" s="19">
        <f>Ringkasan!L836</f>
        <v>0.82</v>
      </c>
      <c r="M837" s="19">
        <f>Ringkasan!M836</f>
        <v>42.1</v>
      </c>
      <c r="N837" s="64" t="str">
        <f>Ringkasan!N836</f>
        <v/>
      </c>
      <c r="O837" s="64" t="str">
        <f>Ringkasan!O836</f>
        <v/>
      </c>
      <c r="P837" s="64" t="str">
        <f>Ringkasan!P836</f>
        <v/>
      </c>
      <c r="Q837" s="64" t="str">
        <f>Ringkasan!Q836</f>
        <v/>
      </c>
      <c r="R837" s="64" t="str">
        <f>Ringkasan!R836</f>
        <v/>
      </c>
      <c r="S837" s="64" t="str">
        <f>Ringkasan!S836</f>
        <v/>
      </c>
      <c r="T837" s="64" t="str">
        <f>Ringkasan!T836</f>
        <v/>
      </c>
      <c r="U837" s="64">
        <f>Ringkasan!U836</f>
        <v>6250</v>
      </c>
      <c r="V837" s="64">
        <f>Ringkasan!V836</f>
        <v>1.6</v>
      </c>
      <c r="W837" s="64">
        <f>Ringkasan!W836</f>
        <v>6275</v>
      </c>
      <c r="X837" s="64">
        <f>Ringkasan!X836</f>
        <v>6450</v>
      </c>
      <c r="Y837" s="64">
        <f>Ringkasan!Y836</f>
        <v>6175</v>
      </c>
      <c r="Z837" s="64">
        <f>Ringkasan!Z836</f>
        <v>13984100</v>
      </c>
      <c r="AA837" s="64" t="str">
        <f>Ringkasan!AA836</f>
        <v>Processed Foods</v>
      </c>
      <c r="AB837" s="64" t="str">
        <f>Ringkasan!AB836</f>
        <v>Consumer Non-Cyclicals</v>
      </c>
    </row>
    <row r="838" hidden="1">
      <c r="A838" s="64" t="str">
        <f>Ringkasan!A837</f>
        <v>ICBP</v>
      </c>
      <c r="B838" s="64" t="str">
        <f>Ringkasan!B837</f>
        <v>Indofood CBP Sukses Makmur Tbk.</v>
      </c>
      <c r="C838" s="65">
        <f>Ringkasan!C837</f>
        <v>6350</v>
      </c>
      <c r="D838" s="64" t="str">
        <f>Ringkasan!D837</f>
        <v>#N/A</v>
      </c>
      <c r="E838" s="64" t="str">
        <f>Ringkasan!E837</f>
        <v>LQ45</v>
      </c>
      <c r="F838" s="64" t="str">
        <f>Ringkasan!F837</f>
        <v>31 Juli 2026</v>
      </c>
      <c r="G838" s="64">
        <f>Ringkasan!G837</f>
        <v>16</v>
      </c>
      <c r="H838" s="19">
        <f>Ringkasan!H837</f>
        <v>9.1</v>
      </c>
      <c r="I838" s="19">
        <f>Ringkasan!I837</f>
        <v>1.1</v>
      </c>
      <c r="J838" s="19">
        <f>Ringkasan!J837</f>
        <v>11.9</v>
      </c>
      <c r="K838" s="19">
        <f>Ringkasan!K837</f>
        <v>6.5</v>
      </c>
      <c r="L838" s="19">
        <f>Ringkasan!L837</f>
        <v>0.82</v>
      </c>
      <c r="M838" s="19">
        <f>Ringkasan!M837</f>
        <v>42.1</v>
      </c>
      <c r="N838" s="64" t="str">
        <f>Ringkasan!N837</f>
        <v/>
      </c>
      <c r="O838" s="64" t="str">
        <f>Ringkasan!O837</f>
        <v/>
      </c>
      <c r="P838" s="64" t="str">
        <f>Ringkasan!P837</f>
        <v/>
      </c>
      <c r="Q838" s="64" t="str">
        <f>Ringkasan!Q837</f>
        <v/>
      </c>
      <c r="R838" s="64" t="str">
        <f>Ringkasan!R837</f>
        <v/>
      </c>
      <c r="S838" s="64" t="str">
        <f>Ringkasan!S837</f>
        <v/>
      </c>
      <c r="T838" s="64" t="str">
        <f>Ringkasan!T837</f>
        <v/>
      </c>
      <c r="U838" s="64">
        <f>Ringkasan!U837</f>
        <v>6250</v>
      </c>
      <c r="V838" s="64">
        <f>Ringkasan!V837</f>
        <v>1.6</v>
      </c>
      <c r="W838" s="64">
        <f>Ringkasan!W837</f>
        <v>6275</v>
      </c>
      <c r="X838" s="64">
        <f>Ringkasan!X837</f>
        <v>6450</v>
      </c>
      <c r="Y838" s="64">
        <f>Ringkasan!Y837</f>
        <v>6175</v>
      </c>
      <c r="Z838" s="64">
        <f>Ringkasan!Z837</f>
        <v>13984100</v>
      </c>
      <c r="AA838" s="64" t="str">
        <f>Ringkasan!AA837</f>
        <v>Processed Foods</v>
      </c>
      <c r="AB838" s="64" t="str">
        <f>Ringkasan!AB837</f>
        <v>Consumer Non-Cyclicals</v>
      </c>
    </row>
    <row r="839" hidden="1">
      <c r="A839" s="64" t="str">
        <f>Ringkasan!A838</f>
        <v>ICBP</v>
      </c>
      <c r="B839" s="64" t="str">
        <f>Ringkasan!B838</f>
        <v>Indofood CBP Sukses Makmur Tbk.</v>
      </c>
      <c r="C839" s="65">
        <f>Ringkasan!C838</f>
        <v>6350</v>
      </c>
      <c r="D839" s="64" t="str">
        <f>Ringkasan!D838</f>
        <v>#N/A</v>
      </c>
      <c r="E839" s="64" t="str">
        <f>Ringkasan!E838</f>
        <v>IDX80</v>
      </c>
      <c r="F839" s="64" t="str">
        <f>Ringkasan!F838</f>
        <v>31 Juli 2026</v>
      </c>
      <c r="G839" s="64">
        <f>Ringkasan!G838</f>
        <v>16</v>
      </c>
      <c r="H839" s="19">
        <f>Ringkasan!H838</f>
        <v>9.1</v>
      </c>
      <c r="I839" s="19">
        <f>Ringkasan!I838</f>
        <v>1.1</v>
      </c>
      <c r="J839" s="19">
        <f>Ringkasan!J838</f>
        <v>11.9</v>
      </c>
      <c r="K839" s="19">
        <f>Ringkasan!K838</f>
        <v>6.5</v>
      </c>
      <c r="L839" s="19">
        <f>Ringkasan!L838</f>
        <v>0.82</v>
      </c>
      <c r="M839" s="19">
        <f>Ringkasan!M838</f>
        <v>42.1</v>
      </c>
      <c r="N839" s="64" t="str">
        <f>Ringkasan!N838</f>
        <v/>
      </c>
      <c r="O839" s="64" t="str">
        <f>Ringkasan!O838</f>
        <v/>
      </c>
      <c r="P839" s="64" t="str">
        <f>Ringkasan!P838</f>
        <v/>
      </c>
      <c r="Q839" s="64" t="str">
        <f>Ringkasan!Q838</f>
        <v/>
      </c>
      <c r="R839" s="64" t="str">
        <f>Ringkasan!R838</f>
        <v/>
      </c>
      <c r="S839" s="64" t="str">
        <f>Ringkasan!S838</f>
        <v/>
      </c>
      <c r="T839" s="64" t="str">
        <f>Ringkasan!T838</f>
        <v/>
      </c>
      <c r="U839" s="64">
        <f>Ringkasan!U838</f>
        <v>6250</v>
      </c>
      <c r="V839" s="64">
        <f>Ringkasan!V838</f>
        <v>1.6</v>
      </c>
      <c r="W839" s="64">
        <f>Ringkasan!W838</f>
        <v>6275</v>
      </c>
      <c r="X839" s="64">
        <f>Ringkasan!X838</f>
        <v>6450</v>
      </c>
      <c r="Y839" s="64">
        <f>Ringkasan!Y838</f>
        <v>6175</v>
      </c>
      <c r="Z839" s="64">
        <f>Ringkasan!Z838</f>
        <v>13984100</v>
      </c>
      <c r="AA839" s="64" t="str">
        <f>Ringkasan!AA838</f>
        <v>Processed Foods</v>
      </c>
      <c r="AB839" s="64" t="str">
        <f>Ringkasan!AB838</f>
        <v>Consumer Non-Cyclicals</v>
      </c>
    </row>
    <row r="840" hidden="1">
      <c r="A840" s="64" t="str">
        <f>Ringkasan!A839</f>
        <v>ICBP</v>
      </c>
      <c r="B840" s="64" t="str">
        <f>Ringkasan!B839</f>
        <v>Indofood CBP Sukses Makmur Tbk.</v>
      </c>
      <c r="C840" s="65">
        <f>Ringkasan!C839</f>
        <v>6350</v>
      </c>
      <c r="D840" s="64" t="str">
        <f>Ringkasan!D839</f>
        <v>#N/A</v>
      </c>
      <c r="E840" s="64" t="str">
        <f>Ringkasan!E839</f>
        <v>BISNIS-27</v>
      </c>
      <c r="F840" s="64" t="str">
        <f>Ringkasan!F839</f>
        <v>30 Oktober 2026</v>
      </c>
      <c r="G840" s="64">
        <f>Ringkasan!G839</f>
        <v>16</v>
      </c>
      <c r="H840" s="19">
        <f>Ringkasan!H839</f>
        <v>9.1</v>
      </c>
      <c r="I840" s="19">
        <f>Ringkasan!I839</f>
        <v>1.1</v>
      </c>
      <c r="J840" s="19">
        <f>Ringkasan!J839</f>
        <v>11.9</v>
      </c>
      <c r="K840" s="19">
        <f>Ringkasan!K839</f>
        <v>6.5</v>
      </c>
      <c r="L840" s="19">
        <f>Ringkasan!L839</f>
        <v>0.82</v>
      </c>
      <c r="M840" s="19">
        <f>Ringkasan!M839</f>
        <v>42.1</v>
      </c>
      <c r="N840" s="19" t="str">
        <f>Ringkasan!N839</f>
        <v/>
      </c>
      <c r="O840" s="19" t="str">
        <f>Ringkasan!O839</f>
        <v/>
      </c>
      <c r="P840" s="19" t="str">
        <f>Ringkasan!P839</f>
        <v/>
      </c>
      <c r="Q840" s="19" t="str">
        <f>Ringkasan!Q839</f>
        <v/>
      </c>
      <c r="R840" s="19" t="str">
        <f>Ringkasan!R839</f>
        <v/>
      </c>
      <c r="S840" s="19" t="str">
        <f>Ringkasan!S839</f>
        <v/>
      </c>
      <c r="T840" s="19" t="str">
        <f>Ringkasan!T839</f>
        <v/>
      </c>
      <c r="U840" s="64">
        <f>Ringkasan!U839</f>
        <v>6250</v>
      </c>
      <c r="V840" s="64">
        <f>Ringkasan!V839</f>
        <v>1.6</v>
      </c>
      <c r="W840" s="64">
        <f>Ringkasan!W839</f>
        <v>6275</v>
      </c>
      <c r="X840" s="64">
        <f>Ringkasan!X839</f>
        <v>6450</v>
      </c>
      <c r="Y840" s="64">
        <f>Ringkasan!Y839</f>
        <v>6175</v>
      </c>
      <c r="Z840" s="64">
        <f>Ringkasan!Z839</f>
        <v>13984100</v>
      </c>
      <c r="AA840" s="64" t="str">
        <f>Ringkasan!AA839</f>
        <v>Processed Foods</v>
      </c>
      <c r="AB840" s="64" t="str">
        <f>Ringkasan!AB839</f>
        <v>Consumer Non-Cyclicals</v>
      </c>
    </row>
    <row r="841" hidden="1">
      <c r="A841" s="64" t="str">
        <f>Ringkasan!A840</f>
        <v>ICBP</v>
      </c>
      <c r="B841" s="64" t="str">
        <f>Ringkasan!B840</f>
        <v>Indofood CBP Sukses Makmur Tbk.</v>
      </c>
      <c r="C841" s="65">
        <f>Ringkasan!C840</f>
        <v>6350</v>
      </c>
      <c r="D841" s="64" t="str">
        <f>Ringkasan!D840</f>
        <v>#N/A</v>
      </c>
      <c r="E841" s="64" t="str">
        <f>Ringkasan!E840</f>
        <v>FTSE Large Cap</v>
      </c>
      <c r="F841" s="64" t="str">
        <f>Ringkasan!F840</f>
        <v>Juni 2026</v>
      </c>
      <c r="G841" s="64">
        <f>Ringkasan!G840</f>
        <v>16</v>
      </c>
      <c r="H841" s="19">
        <f>Ringkasan!H840</f>
        <v>9.1</v>
      </c>
      <c r="I841" s="19">
        <f>Ringkasan!I840</f>
        <v>1.1</v>
      </c>
      <c r="J841" s="19">
        <f>Ringkasan!J840</f>
        <v>11.9</v>
      </c>
      <c r="K841" s="19">
        <f>Ringkasan!K840</f>
        <v>6.5</v>
      </c>
      <c r="L841" s="19">
        <f>Ringkasan!L840</f>
        <v>0.82</v>
      </c>
      <c r="M841" s="19">
        <f>Ringkasan!M840</f>
        <v>42.1</v>
      </c>
      <c r="N841" s="64" t="str">
        <f>Ringkasan!N840</f>
        <v/>
      </c>
      <c r="O841" s="64" t="str">
        <f>Ringkasan!O840</f>
        <v/>
      </c>
      <c r="P841" s="64" t="str">
        <f>Ringkasan!P840</f>
        <v/>
      </c>
      <c r="Q841" s="64" t="str">
        <f>Ringkasan!Q840</f>
        <v/>
      </c>
      <c r="R841" s="64" t="str">
        <f>Ringkasan!R840</f>
        <v/>
      </c>
      <c r="S841" s="64" t="str">
        <f>Ringkasan!S840</f>
        <v/>
      </c>
      <c r="T841" s="64" t="str">
        <f>Ringkasan!T840</f>
        <v/>
      </c>
      <c r="U841" s="64">
        <f>Ringkasan!U840</f>
        <v>6250</v>
      </c>
      <c r="V841" s="64">
        <f>Ringkasan!V840</f>
        <v>1.6</v>
      </c>
      <c r="W841" s="64">
        <f>Ringkasan!W840</f>
        <v>6275</v>
      </c>
      <c r="X841" s="64">
        <f>Ringkasan!X840</f>
        <v>6450</v>
      </c>
      <c r="Y841" s="64">
        <f>Ringkasan!Y840</f>
        <v>6175</v>
      </c>
      <c r="Z841" s="64">
        <f>Ringkasan!Z840</f>
        <v>13984100</v>
      </c>
      <c r="AA841" s="64" t="str">
        <f>Ringkasan!AA840</f>
        <v>Processed Foods</v>
      </c>
      <c r="AB841" s="64" t="str">
        <f>Ringkasan!AB840</f>
        <v>Consumer Non-Cyclicals</v>
      </c>
    </row>
    <row r="842" hidden="1">
      <c r="A842" s="64" t="str">
        <f>Ringkasan!A841</f>
        <v>ICBP</v>
      </c>
      <c r="B842" s="64" t="str">
        <f>Ringkasan!B841</f>
        <v>Indofood CBP Sukses Makmur Tbk.</v>
      </c>
      <c r="C842" s="65">
        <f>Ringkasan!C841</f>
        <v>6350</v>
      </c>
      <c r="D842" s="64" t="str">
        <f>Ringkasan!D841</f>
        <v>#N/A</v>
      </c>
      <c r="E842" s="64" t="str">
        <f>Ringkasan!E841</f>
        <v>SRI-KEHATI</v>
      </c>
      <c r="F842" s="66">
        <f>Ringkasan!F841</f>
        <v>46356</v>
      </c>
      <c r="G842" s="64">
        <f>Ringkasan!G841</f>
        <v>16</v>
      </c>
      <c r="H842" s="19">
        <f>Ringkasan!H841</f>
        <v>9.1</v>
      </c>
      <c r="I842" s="19">
        <f>Ringkasan!I841</f>
        <v>1.1</v>
      </c>
      <c r="J842" s="19">
        <f>Ringkasan!J841</f>
        <v>11.9</v>
      </c>
      <c r="K842" s="19">
        <f>Ringkasan!K841</f>
        <v>6.5</v>
      </c>
      <c r="L842" s="19">
        <f>Ringkasan!L841</f>
        <v>0.82</v>
      </c>
      <c r="M842" s="19">
        <f>Ringkasan!M841</f>
        <v>42.1</v>
      </c>
      <c r="N842" s="64" t="str">
        <f>Ringkasan!N841</f>
        <v/>
      </c>
      <c r="O842" s="64" t="str">
        <f>Ringkasan!O841</f>
        <v/>
      </c>
      <c r="P842" s="64" t="str">
        <f>Ringkasan!P841</f>
        <v/>
      </c>
      <c r="Q842" s="64" t="str">
        <f>Ringkasan!Q841</f>
        <v/>
      </c>
      <c r="R842" s="64" t="str">
        <f>Ringkasan!R841</f>
        <v/>
      </c>
      <c r="S842" s="64" t="str">
        <f>Ringkasan!S841</f>
        <v/>
      </c>
      <c r="T842" s="64" t="str">
        <f>Ringkasan!T841</f>
        <v/>
      </c>
      <c r="U842" s="64">
        <f>Ringkasan!U841</f>
        <v>6250</v>
      </c>
      <c r="V842" s="64">
        <f>Ringkasan!V841</f>
        <v>1.6</v>
      </c>
      <c r="W842" s="64">
        <f>Ringkasan!W841</f>
        <v>6275</v>
      </c>
      <c r="X842" s="64">
        <f>Ringkasan!X841</f>
        <v>6450</v>
      </c>
      <c r="Y842" s="64">
        <f>Ringkasan!Y841</f>
        <v>6175</v>
      </c>
      <c r="Z842" s="64">
        <f>Ringkasan!Z841</f>
        <v>13984100</v>
      </c>
      <c r="AA842" s="64" t="str">
        <f>Ringkasan!AA841</f>
        <v>Processed Foods</v>
      </c>
      <c r="AB842" s="64" t="str">
        <f>Ringkasan!AB841</f>
        <v>Consumer Non-Cyclicals</v>
      </c>
    </row>
    <row r="843" hidden="1">
      <c r="A843" s="64" t="str">
        <f>Ringkasan!A842</f>
        <v>ICBP</v>
      </c>
      <c r="B843" s="64" t="str">
        <f>Ringkasan!B842</f>
        <v>Indofood CBP Sukses Makmur Tbk.</v>
      </c>
      <c r="C843" s="65">
        <f>Ringkasan!C842</f>
        <v>6350</v>
      </c>
      <c r="D843" s="64" t="str">
        <f>Ringkasan!D842</f>
        <v>#N/A</v>
      </c>
      <c r="E843" s="64" t="str">
        <f>Ringkasan!E842</f>
        <v>Investor33</v>
      </c>
      <c r="F843" s="66">
        <f>Ringkasan!F842</f>
        <v>46356</v>
      </c>
      <c r="G843" s="64">
        <f>Ringkasan!G842</f>
        <v>16</v>
      </c>
      <c r="H843" s="19">
        <f>Ringkasan!H842</f>
        <v>9.1</v>
      </c>
      <c r="I843" s="19">
        <f>Ringkasan!I842</f>
        <v>1.1</v>
      </c>
      <c r="J843" s="19">
        <f>Ringkasan!J842</f>
        <v>11.9</v>
      </c>
      <c r="K843" s="19">
        <f>Ringkasan!K842</f>
        <v>6.5</v>
      </c>
      <c r="L843" s="19">
        <f>Ringkasan!L842</f>
        <v>0.82</v>
      </c>
      <c r="M843" s="19">
        <f>Ringkasan!M842</f>
        <v>42.1</v>
      </c>
      <c r="N843" s="64" t="str">
        <f>Ringkasan!N842</f>
        <v/>
      </c>
      <c r="O843" s="64" t="str">
        <f>Ringkasan!O842</f>
        <v/>
      </c>
      <c r="P843" s="64" t="str">
        <f>Ringkasan!P842</f>
        <v/>
      </c>
      <c r="Q843" s="64" t="str">
        <f>Ringkasan!Q842</f>
        <v/>
      </c>
      <c r="R843" s="64" t="str">
        <f>Ringkasan!R842</f>
        <v/>
      </c>
      <c r="S843" s="64" t="str">
        <f>Ringkasan!S842</f>
        <v/>
      </c>
      <c r="T843" s="64" t="str">
        <f>Ringkasan!T842</f>
        <v/>
      </c>
      <c r="U843" s="64">
        <f>Ringkasan!U842</f>
        <v>6250</v>
      </c>
      <c r="V843" s="64">
        <f>Ringkasan!V842</f>
        <v>1.6</v>
      </c>
      <c r="W843" s="64">
        <f>Ringkasan!W842</f>
        <v>6275</v>
      </c>
      <c r="X843" s="64">
        <f>Ringkasan!X842</f>
        <v>6450</v>
      </c>
      <c r="Y843" s="64">
        <f>Ringkasan!Y842</f>
        <v>6175</v>
      </c>
      <c r="Z843" s="64">
        <f>Ringkasan!Z842</f>
        <v>13984100</v>
      </c>
      <c r="AA843" s="64" t="str">
        <f>Ringkasan!AA842</f>
        <v>Processed Foods</v>
      </c>
      <c r="AB843" s="64" t="str">
        <f>Ringkasan!AB842</f>
        <v>Consumer Non-Cyclicals</v>
      </c>
    </row>
    <row r="844" hidden="1">
      <c r="A844" s="64" t="str">
        <f>Ringkasan!A843</f>
        <v>ICBP</v>
      </c>
      <c r="B844" s="64" t="str">
        <f>Ringkasan!B843</f>
        <v>Indofood CBP Sukses Makmur Tbk.</v>
      </c>
      <c r="C844" s="65">
        <f>Ringkasan!C843</f>
        <v>6350</v>
      </c>
      <c r="D844" s="64" t="str">
        <f>Ringkasan!D843</f>
        <v>#N/A</v>
      </c>
      <c r="E844" s="64" t="str">
        <f>Ringkasan!E843</f>
        <v>JII30</v>
      </c>
      <c r="F844" s="66">
        <f>Ringkasan!F843</f>
        <v>46356</v>
      </c>
      <c r="G844" s="64">
        <f>Ringkasan!G843</f>
        <v>16</v>
      </c>
      <c r="H844" s="19">
        <f>Ringkasan!H843</f>
        <v>9.1</v>
      </c>
      <c r="I844" s="19">
        <f>Ringkasan!I843</f>
        <v>1.1</v>
      </c>
      <c r="J844" s="19">
        <f>Ringkasan!J843</f>
        <v>11.9</v>
      </c>
      <c r="K844" s="19">
        <f>Ringkasan!K843</f>
        <v>6.5</v>
      </c>
      <c r="L844" s="19">
        <f>Ringkasan!L843</f>
        <v>0.82</v>
      </c>
      <c r="M844" s="19">
        <f>Ringkasan!M843</f>
        <v>42.1</v>
      </c>
      <c r="N844" s="64" t="str">
        <f>Ringkasan!N843</f>
        <v/>
      </c>
      <c r="O844" s="64" t="str">
        <f>Ringkasan!O843</f>
        <v/>
      </c>
      <c r="P844" s="64" t="str">
        <f>Ringkasan!P843</f>
        <v/>
      </c>
      <c r="Q844" s="64" t="str">
        <f>Ringkasan!Q843</f>
        <v/>
      </c>
      <c r="R844" s="64" t="str">
        <f>Ringkasan!R843</f>
        <v/>
      </c>
      <c r="S844" s="64" t="str">
        <f>Ringkasan!S843</f>
        <v/>
      </c>
      <c r="T844" s="64" t="str">
        <f>Ringkasan!T843</f>
        <v/>
      </c>
      <c r="U844" s="64">
        <f>Ringkasan!U843</f>
        <v>6250</v>
      </c>
      <c r="V844" s="64">
        <f>Ringkasan!V843</f>
        <v>1.6</v>
      </c>
      <c r="W844" s="64">
        <f>Ringkasan!W843</f>
        <v>6275</v>
      </c>
      <c r="X844" s="64">
        <f>Ringkasan!X843</f>
        <v>6450</v>
      </c>
      <c r="Y844" s="64">
        <f>Ringkasan!Y843</f>
        <v>6175</v>
      </c>
      <c r="Z844" s="64">
        <f>Ringkasan!Z843</f>
        <v>13984100</v>
      </c>
      <c r="AA844" s="64" t="str">
        <f>Ringkasan!AA843</f>
        <v>Processed Foods</v>
      </c>
      <c r="AB844" s="64" t="str">
        <f>Ringkasan!AB843</f>
        <v>Consumer Non-Cyclicals</v>
      </c>
    </row>
    <row r="845" hidden="1">
      <c r="A845" s="64" t="str">
        <f>Ringkasan!A844</f>
        <v>ICBP</v>
      </c>
      <c r="B845" s="64" t="str">
        <f>Ringkasan!B844</f>
        <v>Indofood CBP Sukses Makmur Tbk.</v>
      </c>
      <c r="C845" s="65">
        <f>Ringkasan!C844</f>
        <v>6350</v>
      </c>
      <c r="D845" s="64" t="str">
        <f>Ringkasan!D844</f>
        <v>#N/A</v>
      </c>
      <c r="E845" s="64" t="str">
        <f>Ringkasan!E844</f>
        <v>JII70</v>
      </c>
      <c r="F845" s="66">
        <f>Ringkasan!F844</f>
        <v>46356</v>
      </c>
      <c r="G845" s="64">
        <f>Ringkasan!G844</f>
        <v>16</v>
      </c>
      <c r="H845" s="19">
        <f>Ringkasan!H844</f>
        <v>9.1</v>
      </c>
      <c r="I845" s="19">
        <f>Ringkasan!I844</f>
        <v>1.1</v>
      </c>
      <c r="J845" s="19">
        <f>Ringkasan!J844</f>
        <v>11.9</v>
      </c>
      <c r="K845" s="19">
        <f>Ringkasan!K844</f>
        <v>6.5</v>
      </c>
      <c r="L845" s="19">
        <f>Ringkasan!L844</f>
        <v>0.82</v>
      </c>
      <c r="M845" s="19">
        <f>Ringkasan!M844</f>
        <v>42.1</v>
      </c>
      <c r="N845" s="64" t="str">
        <f>Ringkasan!N844</f>
        <v/>
      </c>
      <c r="O845" s="64" t="str">
        <f>Ringkasan!O844</f>
        <v/>
      </c>
      <c r="P845" s="64" t="str">
        <f>Ringkasan!P844</f>
        <v/>
      </c>
      <c r="Q845" s="64" t="str">
        <f>Ringkasan!Q844</f>
        <v/>
      </c>
      <c r="R845" s="64" t="str">
        <f>Ringkasan!R844</f>
        <v/>
      </c>
      <c r="S845" s="64" t="str">
        <f>Ringkasan!S844</f>
        <v/>
      </c>
      <c r="T845" s="64" t="str">
        <f>Ringkasan!T844</f>
        <v/>
      </c>
      <c r="U845" s="64">
        <f>Ringkasan!U844</f>
        <v>6250</v>
      </c>
      <c r="V845" s="64">
        <f>Ringkasan!V844</f>
        <v>1.6</v>
      </c>
      <c r="W845" s="64">
        <f>Ringkasan!W844</f>
        <v>6275</v>
      </c>
      <c r="X845" s="64">
        <f>Ringkasan!X844</f>
        <v>6450</v>
      </c>
      <c r="Y845" s="64">
        <f>Ringkasan!Y844</f>
        <v>6175</v>
      </c>
      <c r="Z845" s="64">
        <f>Ringkasan!Z844</f>
        <v>13984100</v>
      </c>
      <c r="AA845" s="64" t="str">
        <f>Ringkasan!AA844</f>
        <v>Processed Foods</v>
      </c>
      <c r="AB845" s="64" t="str">
        <f>Ringkasan!AB844</f>
        <v>Consumer Non-Cyclicals</v>
      </c>
    </row>
    <row r="846" hidden="1">
      <c r="A846" s="64" t="str">
        <f>Ringkasan!A845</f>
        <v>ICON</v>
      </c>
      <c r="B846" s="64" t="str">
        <f>Ringkasan!B845</f>
        <v>Island Concepts Indonesia Tbk.</v>
      </c>
      <c r="C846" s="65" t="str">
        <f>Ringkasan!C845</f>
        <v>#N/A</v>
      </c>
      <c r="D846" s="64" t="str">
        <f>Ringkasan!D845</f>
        <v>#N/A</v>
      </c>
      <c r="E846" s="64" t="str">
        <f>Ringkasan!E845</f>
        <v/>
      </c>
      <c r="F846" s="64" t="str">
        <f>Ringkasan!F845</f>
        <v/>
      </c>
      <c r="G846" s="64">
        <f>Ringkasan!G845</f>
        <v>0</v>
      </c>
      <c r="H846" s="19">
        <f>Ringkasan!H845</f>
        <v>30</v>
      </c>
      <c r="I846" s="19">
        <f>Ringkasan!I845</f>
        <v>0.51</v>
      </c>
      <c r="J846" s="19">
        <f>Ringkasan!J845</f>
        <v>1.7</v>
      </c>
      <c r="K846" s="19">
        <f>Ringkasan!K845</f>
        <v>1</v>
      </c>
      <c r="L846" s="19">
        <f>Ringkasan!L845</f>
        <v>0.65</v>
      </c>
      <c r="M846" s="19">
        <f>Ringkasan!M845</f>
        <v>6.4</v>
      </c>
      <c r="N846" s="64" t="str">
        <f>Ringkasan!N845</f>
        <v/>
      </c>
      <c r="O846" s="64" t="str">
        <f>Ringkasan!O845</f>
        <v/>
      </c>
      <c r="P846" s="64" t="str">
        <f>Ringkasan!P845</f>
        <v/>
      </c>
      <c r="Q846" s="64" t="str">
        <f>Ringkasan!Q845</f>
        <v/>
      </c>
      <c r="R846" s="64" t="str">
        <f>Ringkasan!R845</f>
        <v/>
      </c>
      <c r="S846" s="64" t="str">
        <f>Ringkasan!S845</f>
        <v/>
      </c>
      <c r="T846" s="64" t="str">
        <f>Ringkasan!T845</f>
        <v/>
      </c>
      <c r="U846" s="64">
        <f>Ringkasan!U845</f>
        <v>0.91</v>
      </c>
      <c r="V846" s="64">
        <f>Ringkasan!V845</f>
        <v>2.74</v>
      </c>
      <c r="W846" s="64">
        <f>Ringkasan!W845</f>
        <v>0.86</v>
      </c>
      <c r="X846" s="64">
        <f>Ringkasan!X845</f>
        <v>0.97</v>
      </c>
      <c r="Y846" s="64">
        <f>Ringkasan!Y845</f>
        <v>0.86</v>
      </c>
      <c r="Z846" s="64">
        <f>Ringkasan!Z845</f>
        <v>220743</v>
      </c>
      <c r="AA846" s="64" t="str">
        <f>Ringkasan!AA845</f>
        <v>Commercial Services</v>
      </c>
      <c r="AB846" s="64" t="str">
        <f>Ringkasan!AB845</f>
        <v>Industrials</v>
      </c>
    </row>
    <row r="847" hidden="1">
      <c r="A847" s="64" t="str">
        <f>Ringkasan!A846</f>
        <v>IDEA</v>
      </c>
      <c r="B847" s="64" t="str">
        <f>Ringkasan!B846</f>
        <v>Idea Indonesia Akademi Tbk.</v>
      </c>
      <c r="C847" s="65">
        <f>Ringkasan!C846</f>
        <v>64</v>
      </c>
      <c r="D847" s="64" t="str">
        <f>Ringkasan!D846</f>
        <v>#N/A</v>
      </c>
      <c r="E847" s="64" t="str">
        <f>Ringkasan!E846</f>
        <v/>
      </c>
      <c r="F847" s="64" t="str">
        <f>Ringkasan!F846</f>
        <v/>
      </c>
      <c r="G847" s="64">
        <f>Ringkasan!G846</f>
        <v>0</v>
      </c>
      <c r="H847" s="19">
        <f>Ringkasan!H846</f>
        <v>25.3</v>
      </c>
      <c r="I847" s="19">
        <f>Ringkasan!I846</f>
        <v>1.1</v>
      </c>
      <c r="J847" s="19">
        <f>Ringkasan!J846</f>
        <v>4.4</v>
      </c>
      <c r="K847" s="19">
        <f>Ringkasan!K846</f>
        <v>3.6</v>
      </c>
      <c r="L847" s="19">
        <f>Ringkasan!L846</f>
        <v>0.21</v>
      </c>
      <c r="M847" s="19">
        <f>Ringkasan!M846</f>
        <v>10.9</v>
      </c>
      <c r="N847" s="64" t="str">
        <f>Ringkasan!N846</f>
        <v/>
      </c>
      <c r="O847" s="64" t="str">
        <f>Ringkasan!O846</f>
        <v/>
      </c>
      <c r="P847" s="64" t="str">
        <f>Ringkasan!P846</f>
        <v/>
      </c>
      <c r="Q847" s="64" t="str">
        <f>Ringkasan!Q846</f>
        <v/>
      </c>
      <c r="R847" s="64" t="str">
        <f>Ringkasan!R846</f>
        <v/>
      </c>
      <c r="S847" s="64" t="str">
        <f>Ringkasan!S846</f>
        <v/>
      </c>
      <c r="T847" s="64" t="str">
        <f>Ringkasan!T846</f>
        <v/>
      </c>
      <c r="U847" s="64">
        <f>Ringkasan!U846</f>
        <v>0.03</v>
      </c>
      <c r="V847" s="64">
        <f>Ringkasan!V846</f>
        <v>0</v>
      </c>
      <c r="W847" s="64" t="str">
        <f>Ringkasan!W846</f>
        <v/>
      </c>
      <c r="X847" s="64" t="str">
        <f>Ringkasan!X846</f>
        <v/>
      </c>
      <c r="Y847" s="64" t="str">
        <f>Ringkasan!Y846</f>
        <v/>
      </c>
      <c r="Z847" s="64">
        <f>Ringkasan!Z846</f>
        <v>15</v>
      </c>
      <c r="AA847" s="64" t="str">
        <f>Ringkasan!AA846</f>
        <v>Education &amp; Support Services</v>
      </c>
      <c r="AB847" s="64" t="str">
        <f>Ringkasan!AB846</f>
        <v>Consumer Cyclicals</v>
      </c>
    </row>
    <row r="848" hidden="1">
      <c r="A848" s="64" t="str">
        <f>Ringkasan!A847</f>
        <v>IDPR</v>
      </c>
      <c r="B848" s="64" t="str">
        <f>Ringkasan!B847</f>
        <v>PT Indonesia Pondasi Raya Tbk.</v>
      </c>
      <c r="C848" s="65">
        <f>Ringkasan!C847</f>
        <v>296</v>
      </c>
      <c r="D848" s="64" t="str">
        <f>Ringkasan!D847</f>
        <v>#N/A</v>
      </c>
      <c r="E848" s="64" t="str">
        <f>Ringkasan!E847</f>
        <v/>
      </c>
      <c r="F848" s="64" t="str">
        <f>Ringkasan!F847</f>
        <v/>
      </c>
      <c r="G848" s="64">
        <f>Ringkasan!G847</f>
        <v>0</v>
      </c>
      <c r="H848" s="19">
        <f>Ringkasan!H847</f>
        <v>20.2</v>
      </c>
      <c r="I848" s="19">
        <f>Ringkasan!I847</f>
        <v>0.86</v>
      </c>
      <c r="J848" s="19">
        <f>Ringkasan!J847</f>
        <v>4.2</v>
      </c>
      <c r="K848" s="19">
        <f>Ringkasan!K847</f>
        <v>1.7</v>
      </c>
      <c r="L848" s="19">
        <f>Ringkasan!L847</f>
        <v>1.5</v>
      </c>
      <c r="M848" s="19">
        <f>Ringkasan!M847</f>
        <v>7.4</v>
      </c>
      <c r="N848" s="64" t="str">
        <f>Ringkasan!N847</f>
        <v/>
      </c>
      <c r="O848" s="64" t="str">
        <f>Ringkasan!O847</f>
        <v/>
      </c>
      <c r="P848" s="64" t="str">
        <f>Ringkasan!P847</f>
        <v/>
      </c>
      <c r="Q848" s="64" t="str">
        <f>Ringkasan!Q847</f>
        <v/>
      </c>
      <c r="R848" s="64" t="str">
        <f>Ringkasan!R847</f>
        <v/>
      </c>
      <c r="S848" s="64" t="str">
        <f>Ringkasan!S847</f>
        <v/>
      </c>
      <c r="T848" s="64" t="str">
        <f>Ringkasan!T847</f>
        <v/>
      </c>
      <c r="U848" s="64" t="str">
        <f>Ringkasan!U847</f>
        <v/>
      </c>
      <c r="V848" s="64">
        <f>Ringkasan!V847</f>
        <v>-0.67</v>
      </c>
      <c r="W848" s="64">
        <f>Ringkasan!W847</f>
        <v>296</v>
      </c>
      <c r="X848" s="64">
        <f>Ringkasan!X847</f>
        <v>300</v>
      </c>
      <c r="Y848" s="64">
        <f>Ringkasan!Y847</f>
        <v>296</v>
      </c>
      <c r="Z848" s="64">
        <f>Ringkasan!Z847</f>
        <v>147000</v>
      </c>
      <c r="AA848" s="64" t="str">
        <f>Ringkasan!AA847</f>
        <v>Heavy Constructions &amp; Civil Engineering</v>
      </c>
      <c r="AB848" s="64" t="str">
        <f>Ringkasan!AB847</f>
        <v>Infrastructures</v>
      </c>
    </row>
    <row r="849" hidden="1">
      <c r="A849" s="64" t="str">
        <f>Ringkasan!A848</f>
        <v>IFII</v>
      </c>
      <c r="B849" s="64" t="str">
        <f>Ringkasan!B848</f>
        <v>Indonesia Fibreboard Industry Tbk.</v>
      </c>
      <c r="C849" s="65">
        <f>Ringkasan!C848</f>
        <v>222</v>
      </c>
      <c r="D849" s="64" t="str">
        <f>Ringkasan!D848</f>
        <v>#N/A</v>
      </c>
      <c r="E849" s="64" t="str">
        <f>Ringkasan!E848</f>
        <v/>
      </c>
      <c r="F849" s="64" t="str">
        <f>Ringkasan!F848</f>
        <v/>
      </c>
      <c r="G849" s="65">
        <f>Ringkasan!G848</f>
        <v>0</v>
      </c>
      <c r="H849" s="19">
        <f>Ringkasan!H848</f>
        <v>14.1</v>
      </c>
      <c r="I849" s="19">
        <f>Ringkasan!I848</f>
        <v>1.5</v>
      </c>
      <c r="J849" s="19">
        <f>Ringkasan!J848</f>
        <v>10.6</v>
      </c>
      <c r="K849" s="19">
        <f>Ringkasan!K848</f>
        <v>8.5</v>
      </c>
      <c r="L849" s="19">
        <f>Ringkasan!L848</f>
        <v>0.24</v>
      </c>
      <c r="M849" s="19">
        <f>Ringkasan!M848</f>
        <v>45.6</v>
      </c>
      <c r="N849" s="64" t="str">
        <f>Ringkasan!N848</f>
        <v/>
      </c>
      <c r="O849" s="64" t="str">
        <f>Ringkasan!O848</f>
        <v/>
      </c>
      <c r="P849" s="64" t="str">
        <f>Ringkasan!P848</f>
        <v/>
      </c>
      <c r="Q849" s="64" t="str">
        <f>Ringkasan!Q848</f>
        <v/>
      </c>
      <c r="R849" s="64" t="str">
        <f>Ringkasan!R848</f>
        <v/>
      </c>
      <c r="S849" s="64" t="str">
        <f>Ringkasan!S848</f>
        <v/>
      </c>
      <c r="T849" s="64" t="str">
        <f>Ringkasan!T848</f>
        <v/>
      </c>
      <c r="U849" s="64">
        <f>Ringkasan!U848</f>
        <v>224</v>
      </c>
      <c r="V849" s="64">
        <f>Ringkasan!V848</f>
        <v>-0.89</v>
      </c>
      <c r="W849" s="64">
        <f>Ringkasan!W848</f>
        <v>224</v>
      </c>
      <c r="X849" s="64">
        <f>Ringkasan!X848</f>
        <v>224</v>
      </c>
      <c r="Y849" s="64">
        <f>Ringkasan!Y848</f>
        <v>218</v>
      </c>
      <c r="Z849" s="64">
        <f>Ringkasan!Z848</f>
        <v>39400</v>
      </c>
      <c r="AA849" s="64" t="str">
        <f>Ringkasan!AA848</f>
        <v>Forestry &amp; Paper</v>
      </c>
      <c r="AB849" s="64" t="str">
        <f>Ringkasan!AB848</f>
        <v>Basic Materials</v>
      </c>
    </row>
    <row r="850" hidden="1">
      <c r="A850" s="64" t="str">
        <f>Ringkasan!A849</f>
        <v>IFSH</v>
      </c>
      <c r="B850" s="64" t="str">
        <f>Ringkasan!B849</f>
        <v>Ifishdeco Tbk.</v>
      </c>
      <c r="C850" s="65">
        <f>Ringkasan!C849</f>
        <v>1075</v>
      </c>
      <c r="D850" s="64" t="str">
        <f>Ringkasan!D849</f>
        <v>#N/A</v>
      </c>
      <c r="E850" s="64" t="str">
        <f>Ringkasan!E849</f>
        <v/>
      </c>
      <c r="F850" s="64" t="str">
        <f>Ringkasan!F849</f>
        <v/>
      </c>
      <c r="G850" s="64">
        <f>Ringkasan!G849</f>
        <v>0</v>
      </c>
      <c r="H850" s="19">
        <f>Ringkasan!H849</f>
        <v>51.9</v>
      </c>
      <c r="I850" s="19">
        <f>Ringkasan!I849</f>
        <v>3.4</v>
      </c>
      <c r="J850" s="19">
        <f>Ringkasan!J849</f>
        <v>6.6</v>
      </c>
      <c r="K850" s="19">
        <f>Ringkasan!K849</f>
        <v>5.5</v>
      </c>
      <c r="L850" s="19">
        <f>Ringkasan!L849</f>
        <v>0.19</v>
      </c>
      <c r="M850" s="19">
        <f>Ringkasan!M849</f>
        <v>20</v>
      </c>
      <c r="N850" s="64" t="str">
        <f>Ringkasan!N849</f>
        <v/>
      </c>
      <c r="O850" s="64" t="str">
        <f>Ringkasan!O849</f>
        <v/>
      </c>
      <c r="P850" s="64" t="str">
        <f>Ringkasan!P849</f>
        <v/>
      </c>
      <c r="Q850" s="64" t="str">
        <f>Ringkasan!Q849</f>
        <v/>
      </c>
      <c r="R850" s="64" t="str">
        <f>Ringkasan!R849</f>
        <v/>
      </c>
      <c r="S850" s="64" t="str">
        <f>Ringkasan!S849</f>
        <v/>
      </c>
      <c r="T850" s="64" t="str">
        <f>Ringkasan!T849</f>
        <v/>
      </c>
      <c r="U850" s="64">
        <f>Ringkasan!U849</f>
        <v>980</v>
      </c>
      <c r="V850" s="64">
        <f>Ringkasan!V849</f>
        <v>9.69</v>
      </c>
      <c r="W850" s="64">
        <f>Ringkasan!W849</f>
        <v>1075</v>
      </c>
      <c r="X850" s="64">
        <f>Ringkasan!X849</f>
        <v>1075</v>
      </c>
      <c r="Y850" s="64">
        <f>Ringkasan!Y849</f>
        <v>1075</v>
      </c>
      <c r="Z850" s="64">
        <f>Ringkasan!Z849</f>
        <v>44800</v>
      </c>
      <c r="AA850" s="64" t="str">
        <f>Ringkasan!AA849</f>
        <v>Metals &amp; Minerals</v>
      </c>
      <c r="AB850" s="64" t="str">
        <f>Ringkasan!AB849</f>
        <v>Basic Materials</v>
      </c>
    </row>
    <row r="851" hidden="1">
      <c r="A851" s="64" t="str">
        <f>Ringkasan!A850</f>
        <v>IGAR</v>
      </c>
      <c r="B851" s="64" t="str">
        <f>Ringkasan!B850</f>
        <v>Champion Pacific Indonesia Tbk.</v>
      </c>
      <c r="C851" s="65" t="str">
        <f>Ringkasan!C850</f>
        <v>#N/A</v>
      </c>
      <c r="D851" s="64" t="str">
        <f>Ringkasan!D850</f>
        <v>#N/A</v>
      </c>
      <c r="E851" s="64" t="str">
        <f>Ringkasan!E850</f>
        <v/>
      </c>
      <c r="F851" s="64" t="str">
        <f>Ringkasan!F850</f>
        <v/>
      </c>
      <c r="G851" s="64">
        <f>Ringkasan!G850</f>
        <v>0</v>
      </c>
      <c r="H851" s="19">
        <f>Ringkasan!H850</f>
        <v>7.3</v>
      </c>
      <c r="I851" s="19">
        <f>Ringkasan!I850</f>
        <v>0.45</v>
      </c>
      <c r="J851" s="19">
        <f>Ringkasan!J850</f>
        <v>6.2</v>
      </c>
      <c r="K851" s="19">
        <f>Ringkasan!K850</f>
        <v>5.4</v>
      </c>
      <c r="L851" s="19">
        <f>Ringkasan!L850</f>
        <v>0.15</v>
      </c>
      <c r="M851" s="19">
        <f>Ringkasan!M850</f>
        <v>26.9</v>
      </c>
      <c r="N851" s="64" t="str">
        <f>Ringkasan!N850</f>
        <v/>
      </c>
      <c r="O851" s="64" t="str">
        <f>Ringkasan!O850</f>
        <v/>
      </c>
      <c r="P851" s="64" t="str">
        <f>Ringkasan!P850</f>
        <v/>
      </c>
      <c r="Q851" s="64" t="str">
        <f>Ringkasan!Q850</f>
        <v/>
      </c>
      <c r="R851" s="64" t="str">
        <f>Ringkasan!R850</f>
        <v/>
      </c>
      <c r="S851" s="64" t="str">
        <f>Ringkasan!S850</f>
        <v/>
      </c>
      <c r="T851" s="64" t="str">
        <f>Ringkasan!T850</f>
        <v/>
      </c>
      <c r="U851" s="64">
        <f>Ringkasan!U850</f>
        <v>416</v>
      </c>
      <c r="V851" s="64">
        <f>Ringkasan!V850</f>
        <v>1.92</v>
      </c>
      <c r="W851" s="64">
        <f>Ringkasan!W850</f>
        <v>426</v>
      </c>
      <c r="X851" s="64">
        <f>Ringkasan!X850</f>
        <v>426</v>
      </c>
      <c r="Y851" s="64">
        <f>Ringkasan!Y850</f>
        <v>416</v>
      </c>
      <c r="Z851" s="64">
        <f>Ringkasan!Z850</f>
        <v>5300</v>
      </c>
      <c r="AA851" s="64" t="str">
        <f>Ringkasan!AA850</f>
        <v>Containers &amp; Packaging</v>
      </c>
      <c r="AB851" s="64" t="str">
        <f>Ringkasan!AB850</f>
        <v>Basic Materials</v>
      </c>
    </row>
    <row r="852" hidden="1">
      <c r="A852" s="64" t="str">
        <f>Ringkasan!A851</f>
        <v>IIKP</v>
      </c>
      <c r="B852" s="64" t="str">
        <f>Ringkasan!B851</f>
        <v>Inti Agri Resources Tbk</v>
      </c>
      <c r="C852" s="65">
        <f>Ringkasan!C851</f>
        <v>50</v>
      </c>
      <c r="D852" s="64" t="str">
        <f>Ringkasan!D851</f>
        <v>#N/A</v>
      </c>
      <c r="E852" s="64" t="str">
        <f>Ringkasan!E851</f>
        <v/>
      </c>
      <c r="F852" s="64" t="str">
        <f>Ringkasan!F851</f>
        <v/>
      </c>
      <c r="G852" s="64">
        <f>Ringkasan!G851</f>
        <v>0</v>
      </c>
      <c r="H852" s="19">
        <f>Ringkasan!H851</f>
        <v>-150</v>
      </c>
      <c r="I852" s="19">
        <f>Ringkasan!I851</f>
        <v>10.7</v>
      </c>
      <c r="J852" s="19">
        <f>Ringkasan!J851</f>
        <v>-7.4</v>
      </c>
      <c r="K852" s="19">
        <f>Ringkasan!K851</f>
        <v>-6.4</v>
      </c>
      <c r="L852" s="19">
        <f>Ringkasan!L851</f>
        <v>0.14</v>
      </c>
      <c r="M852" s="19">
        <f>Ringkasan!M851</f>
        <v>-46000</v>
      </c>
      <c r="N852" s="64" t="str">
        <f>Ringkasan!N851</f>
        <v/>
      </c>
      <c r="O852" s="64" t="str">
        <f>Ringkasan!O851</f>
        <v/>
      </c>
      <c r="P852" s="64" t="str">
        <f>Ringkasan!P851</f>
        <v/>
      </c>
      <c r="Q852" s="64" t="str">
        <f>Ringkasan!Q851</f>
        <v/>
      </c>
      <c r="R852" s="64" t="str">
        <f>Ringkasan!R851</f>
        <v/>
      </c>
      <c r="S852" s="64" t="str">
        <f>Ringkasan!S851</f>
        <v/>
      </c>
      <c r="T852" s="64" t="str">
        <f>Ringkasan!T851</f>
        <v/>
      </c>
      <c r="U852" s="64">
        <f>Ringkasan!U851</f>
        <v>50</v>
      </c>
      <c r="V852" s="64">
        <f>Ringkasan!V851</f>
        <v>0</v>
      </c>
      <c r="W852" s="64" t="str">
        <f>Ringkasan!W851</f>
        <v/>
      </c>
      <c r="X852" s="64" t="str">
        <f>Ringkasan!X851</f>
        <v/>
      </c>
      <c r="Y852" s="64" t="str">
        <f>Ringkasan!Y851</f>
        <v/>
      </c>
      <c r="Z852" s="64">
        <f>Ringkasan!Z851</f>
        <v>0</v>
      </c>
      <c r="AA852" s="64" t="str">
        <f>Ringkasan!AA851</f>
        <v>Sport Equipment &amp; Hobbies Goods</v>
      </c>
      <c r="AB852" s="64" t="str">
        <f>Ringkasan!AB851</f>
        <v>Consumer Cyclicals</v>
      </c>
    </row>
    <row r="853" hidden="1">
      <c r="A853" s="64" t="str">
        <f>Ringkasan!A852</f>
        <v>IKAI</v>
      </c>
      <c r="B853" s="64" t="str">
        <f>Ringkasan!B852</f>
        <v>Intikeramik Alamasri Industri Tbk.</v>
      </c>
      <c r="C853" s="65">
        <f>Ringkasan!C852</f>
        <v>20</v>
      </c>
      <c r="D853" s="64" t="str">
        <f>Ringkasan!D852</f>
        <v>#N/A</v>
      </c>
      <c r="E853" s="64" t="str">
        <f>Ringkasan!E852</f>
        <v/>
      </c>
      <c r="F853" s="64" t="str">
        <f>Ringkasan!F852</f>
        <v/>
      </c>
      <c r="G853" s="64">
        <f>Ringkasan!G852</f>
        <v>0</v>
      </c>
      <c r="H853" s="19">
        <f>Ringkasan!H852</f>
        <v>-5.2</v>
      </c>
      <c r="I853" s="19">
        <f>Ringkasan!I852</f>
        <v>0.46</v>
      </c>
      <c r="J853" s="19">
        <f>Ringkasan!J852</f>
        <v>-8.9</v>
      </c>
      <c r="K853" s="19">
        <f>Ringkasan!K852</f>
        <v>-5</v>
      </c>
      <c r="L853" s="19">
        <f>Ringkasan!L852</f>
        <v>0.78</v>
      </c>
      <c r="M853" s="19">
        <f>Ringkasan!M852</f>
        <v>-180</v>
      </c>
      <c r="N853" s="64" t="str">
        <f>Ringkasan!N852</f>
        <v/>
      </c>
      <c r="O853" s="64" t="str">
        <f>Ringkasan!O852</f>
        <v/>
      </c>
      <c r="P853" s="64" t="str">
        <f>Ringkasan!P852</f>
        <v/>
      </c>
      <c r="Q853" s="64" t="str">
        <f>Ringkasan!Q852</f>
        <v/>
      </c>
      <c r="R853" s="64" t="str">
        <f>Ringkasan!R852</f>
        <v/>
      </c>
      <c r="S853" s="64" t="str">
        <f>Ringkasan!S852</f>
        <v/>
      </c>
      <c r="T853" s="64" t="str">
        <f>Ringkasan!T852</f>
        <v/>
      </c>
      <c r="U853" s="64">
        <f>Ringkasan!U852</f>
        <v>19</v>
      </c>
      <c r="V853" s="64">
        <f>Ringkasan!V852</f>
        <v>5.26</v>
      </c>
      <c r="W853" s="64" t="str">
        <f>Ringkasan!W852</f>
        <v/>
      </c>
      <c r="X853" s="64">
        <f>Ringkasan!X852</f>
        <v>20</v>
      </c>
      <c r="Y853" s="64">
        <f>Ringkasan!Y852</f>
        <v>20</v>
      </c>
      <c r="Z853" s="64">
        <f>Ringkasan!Z852</f>
        <v>6312100</v>
      </c>
      <c r="AA853" s="64" t="str">
        <f>Ringkasan!AA852</f>
        <v>Building Products &amp; Fixtures</v>
      </c>
      <c r="AB853" s="64" t="str">
        <f>Ringkasan!AB852</f>
        <v>Industrials</v>
      </c>
    </row>
    <row r="854" hidden="1">
      <c r="A854" s="64" t="str">
        <f>Ringkasan!A853</f>
        <v>IKAN</v>
      </c>
      <c r="B854" s="64" t="str">
        <f>Ringkasan!B853</f>
        <v>Era Mandiri Cemerlang Tbk.</v>
      </c>
      <c r="C854" s="65">
        <f>Ringkasan!C853</f>
        <v>72</v>
      </c>
      <c r="D854" s="64" t="str">
        <f>Ringkasan!D853</f>
        <v>#N/A</v>
      </c>
      <c r="E854" s="64" t="str">
        <f>Ringkasan!E853</f>
        <v/>
      </c>
      <c r="F854" s="64" t="str">
        <f>Ringkasan!F853</f>
        <v/>
      </c>
      <c r="G854" s="64">
        <f>Ringkasan!G853</f>
        <v>0</v>
      </c>
      <c r="H854" s="19">
        <f>Ringkasan!H853</f>
        <v>-170</v>
      </c>
      <c r="I854" s="19">
        <f>Ringkasan!I853</f>
        <v>0.93</v>
      </c>
      <c r="J854" s="19">
        <f>Ringkasan!J853</f>
        <v>-0.55</v>
      </c>
      <c r="K854" s="19">
        <f>Ringkasan!K853</f>
        <v>-0.32</v>
      </c>
      <c r="L854" s="19">
        <f>Ringkasan!L853</f>
        <v>0.74</v>
      </c>
      <c r="M854" s="19">
        <f>Ringkasan!M853</f>
        <v>-1.4</v>
      </c>
      <c r="N854" s="64" t="str">
        <f>Ringkasan!N853</f>
        <v/>
      </c>
      <c r="O854" s="64" t="str">
        <f>Ringkasan!O853</f>
        <v/>
      </c>
      <c r="P854" s="64" t="str">
        <f>Ringkasan!P853</f>
        <v/>
      </c>
      <c r="Q854" s="64" t="str">
        <f>Ringkasan!Q853</f>
        <v/>
      </c>
      <c r="R854" s="64" t="str">
        <f>Ringkasan!R853</f>
        <v/>
      </c>
      <c r="S854" s="64" t="str">
        <f>Ringkasan!S853</f>
        <v/>
      </c>
      <c r="T854" s="64" t="str">
        <f>Ringkasan!T853</f>
        <v/>
      </c>
      <c r="U854" s="64">
        <f>Ringkasan!U853</f>
        <v>69</v>
      </c>
      <c r="V854" s="64">
        <f>Ringkasan!V853</f>
        <v>4.35</v>
      </c>
      <c r="W854" s="64">
        <f>Ringkasan!W853</f>
        <v>69</v>
      </c>
      <c r="X854" s="64">
        <f>Ringkasan!X853</f>
        <v>75</v>
      </c>
      <c r="Y854" s="64">
        <f>Ringkasan!Y853</f>
        <v>69</v>
      </c>
      <c r="Z854" s="64">
        <f>Ringkasan!Z853</f>
        <v>12352600</v>
      </c>
      <c r="AA854" s="64" t="str">
        <f>Ringkasan!AA853</f>
        <v>Agricultural Products</v>
      </c>
      <c r="AB854" s="64" t="str">
        <f>Ringkasan!AB853</f>
        <v>Consumer Non-Cyclicals</v>
      </c>
    </row>
    <row r="855" hidden="1">
      <c r="A855" s="64" t="str">
        <f>Ringkasan!A854</f>
        <v>IKBI</v>
      </c>
      <c r="B855" s="64" t="str">
        <f>Ringkasan!B854</f>
        <v>Sumi Indo Kabel Tbk.</v>
      </c>
      <c r="C855" s="65">
        <f>Ringkasan!C854</f>
        <v>515</v>
      </c>
      <c r="D855" s="64" t="str">
        <f>Ringkasan!D854</f>
        <v>#N/A</v>
      </c>
      <c r="E855" s="64" t="str">
        <f>Ringkasan!E854</f>
        <v/>
      </c>
      <c r="F855" s="64" t="str">
        <f>Ringkasan!F854</f>
        <v/>
      </c>
      <c r="G855" s="64">
        <f>Ringkasan!G854</f>
        <v>0</v>
      </c>
      <c r="H855" s="19">
        <f>Ringkasan!H854</f>
        <v>4.1</v>
      </c>
      <c r="I855" s="19">
        <f>Ringkasan!I854</f>
        <v>0.43</v>
      </c>
      <c r="J855" s="19">
        <f>Ringkasan!J854</f>
        <v>10.6</v>
      </c>
      <c r="K855" s="19">
        <f>Ringkasan!K854</f>
        <v>8.2</v>
      </c>
      <c r="L855" s="19">
        <f>Ringkasan!L854</f>
        <v>0.3</v>
      </c>
      <c r="M855" s="19">
        <f>Ringkasan!M854</f>
        <v>5</v>
      </c>
      <c r="N855" s="64" t="str">
        <f>Ringkasan!N854</f>
        <v/>
      </c>
      <c r="O855" s="64" t="str">
        <f>Ringkasan!O854</f>
        <v/>
      </c>
      <c r="P855" s="64" t="str">
        <f>Ringkasan!P854</f>
        <v/>
      </c>
      <c r="Q855" s="64" t="str">
        <f>Ringkasan!Q854</f>
        <v/>
      </c>
      <c r="R855" s="64" t="str">
        <f>Ringkasan!R854</f>
        <v/>
      </c>
      <c r="S855" s="64" t="str">
        <f>Ringkasan!S854</f>
        <v/>
      </c>
      <c r="T855" s="64" t="str">
        <f>Ringkasan!T854</f>
        <v/>
      </c>
      <c r="U855" s="64">
        <f>Ringkasan!U854</f>
        <v>500</v>
      </c>
      <c r="V855" s="64">
        <f>Ringkasan!V854</f>
        <v>3</v>
      </c>
      <c r="W855" s="64">
        <f>Ringkasan!W854</f>
        <v>498</v>
      </c>
      <c r="X855" s="64">
        <f>Ringkasan!X854</f>
        <v>520</v>
      </c>
      <c r="Y855" s="64">
        <f>Ringkasan!Y854</f>
        <v>494</v>
      </c>
      <c r="Z855" s="64">
        <f>Ringkasan!Z854</f>
        <v>30500</v>
      </c>
      <c r="AA855" s="64" t="str">
        <f>Ringkasan!AA854</f>
        <v>Electrical</v>
      </c>
      <c r="AB855" s="64" t="str">
        <f>Ringkasan!AB854</f>
        <v>Industrials</v>
      </c>
    </row>
    <row r="856" hidden="1">
      <c r="A856" s="64" t="str">
        <f>Ringkasan!A855</f>
        <v>IKPM</v>
      </c>
      <c r="B856" s="64" t="str">
        <f>Ringkasan!B855</f>
        <v>Ikapharmindo Putramas Tbk.</v>
      </c>
      <c r="C856" s="65">
        <f>Ringkasan!C855</f>
        <v>181</v>
      </c>
      <c r="D856" s="64" t="str">
        <f>Ringkasan!D855</f>
        <v>#N/A</v>
      </c>
      <c r="E856" s="64" t="str">
        <f>Ringkasan!E855</f>
        <v/>
      </c>
      <c r="F856" s="64" t="str">
        <f>Ringkasan!F855</f>
        <v/>
      </c>
      <c r="G856" s="64">
        <f>Ringkasan!G855</f>
        <v>0</v>
      </c>
      <c r="H856" s="19">
        <f>Ringkasan!H855</f>
        <v>-11.8</v>
      </c>
      <c r="I856" s="19">
        <f>Ringkasan!I855</f>
        <v>1.4</v>
      </c>
      <c r="J856" s="19">
        <f>Ringkasan!J855</f>
        <v>-12.1</v>
      </c>
      <c r="K856" s="19">
        <f>Ringkasan!K855</f>
        <v>-5.6</v>
      </c>
      <c r="L856" s="19">
        <f>Ringkasan!L855</f>
        <v>1.2</v>
      </c>
      <c r="M856" s="19">
        <f>Ringkasan!M855</f>
        <v>-25.5</v>
      </c>
      <c r="N856" s="64" t="str">
        <f>Ringkasan!N855</f>
        <v/>
      </c>
      <c r="O856" s="64" t="str">
        <f>Ringkasan!O855</f>
        <v/>
      </c>
      <c r="P856" s="64" t="str">
        <f>Ringkasan!P855</f>
        <v/>
      </c>
      <c r="Q856" s="64" t="str">
        <f>Ringkasan!Q855</f>
        <v/>
      </c>
      <c r="R856" s="64" t="str">
        <f>Ringkasan!R855</f>
        <v/>
      </c>
      <c r="S856" s="64" t="str">
        <f>Ringkasan!S855</f>
        <v/>
      </c>
      <c r="T856" s="64" t="str">
        <f>Ringkasan!T855</f>
        <v/>
      </c>
      <c r="U856" s="64">
        <f>Ringkasan!U855</f>
        <v>175</v>
      </c>
      <c r="V856" s="64">
        <f>Ringkasan!V855</f>
        <v>3.43</v>
      </c>
      <c r="W856" s="64">
        <f>Ringkasan!W855</f>
        <v>175</v>
      </c>
      <c r="X856" s="64">
        <f>Ringkasan!X855</f>
        <v>181</v>
      </c>
      <c r="Y856" s="64">
        <f>Ringkasan!Y855</f>
        <v>172</v>
      </c>
      <c r="Z856" s="64">
        <f>Ringkasan!Z855</f>
        <v>27600</v>
      </c>
      <c r="AA856" s="64" t="str">
        <f>Ringkasan!AA855</f>
        <v>Pharmaceuticals</v>
      </c>
      <c r="AB856" s="64" t="str">
        <f>Ringkasan!AB855</f>
        <v>Healthcare</v>
      </c>
    </row>
    <row r="857" hidden="1">
      <c r="A857" s="64" t="str">
        <f>Ringkasan!A856</f>
        <v>IMAS</v>
      </c>
      <c r="B857" s="64" t="str">
        <f>Ringkasan!B856</f>
        <v>Indomobil Sukses Internasional Tbk</v>
      </c>
      <c r="C857" s="65">
        <f>Ringkasan!C856</f>
        <v>885</v>
      </c>
      <c r="D857" s="64" t="str">
        <f>Ringkasan!D856</f>
        <v>#N/A</v>
      </c>
      <c r="E857" s="64" t="str">
        <f>Ringkasan!E856</f>
        <v/>
      </c>
      <c r="F857" s="64" t="str">
        <f>Ringkasan!F856</f>
        <v/>
      </c>
      <c r="G857" s="64">
        <f>Ringkasan!G856</f>
        <v>0</v>
      </c>
      <c r="H857" s="19">
        <f>Ringkasan!H856</f>
        <v>28.7</v>
      </c>
      <c r="I857" s="19">
        <f>Ringkasan!I856</f>
        <v>0.23</v>
      </c>
      <c r="J857" s="19">
        <f>Ringkasan!J856</f>
        <v>0.79</v>
      </c>
      <c r="K857" s="19">
        <f>Ringkasan!K856</f>
        <v>0.16</v>
      </c>
      <c r="L857" s="19">
        <f>Ringkasan!L856</f>
        <v>4</v>
      </c>
      <c r="M857" s="19">
        <f>Ringkasan!M856</f>
        <v>1.5</v>
      </c>
      <c r="N857" s="64" t="str">
        <f>Ringkasan!N856</f>
        <v/>
      </c>
      <c r="O857" s="64" t="str">
        <f>Ringkasan!O856</f>
        <v/>
      </c>
      <c r="P857" s="64" t="str">
        <f>Ringkasan!P856</f>
        <v/>
      </c>
      <c r="Q857" s="64" t="str">
        <f>Ringkasan!Q856</f>
        <v/>
      </c>
      <c r="R857" s="64" t="str">
        <f>Ringkasan!R856</f>
        <v/>
      </c>
      <c r="S857" s="64" t="str">
        <f>Ringkasan!S856</f>
        <v/>
      </c>
      <c r="T857" s="64" t="str">
        <f>Ringkasan!T856</f>
        <v/>
      </c>
      <c r="U857" s="64">
        <f>Ringkasan!U856</f>
        <v>850</v>
      </c>
      <c r="V857" s="64">
        <f>Ringkasan!V856</f>
        <v>4.12</v>
      </c>
      <c r="W857" s="64">
        <f>Ringkasan!W856</f>
        <v>850</v>
      </c>
      <c r="X857" s="64">
        <f>Ringkasan!X856</f>
        <v>900</v>
      </c>
      <c r="Y857" s="64">
        <f>Ringkasan!Y856</f>
        <v>825</v>
      </c>
      <c r="Z857" s="64">
        <f>Ringkasan!Z856</f>
        <v>785500</v>
      </c>
      <c r="AA857" s="64" t="str">
        <f>Ringkasan!AA856</f>
        <v>Specialty Retail</v>
      </c>
      <c r="AB857" s="64" t="str">
        <f>Ringkasan!AB856</f>
        <v>Consumer Cyclicals</v>
      </c>
    </row>
    <row r="858" hidden="1">
      <c r="A858" s="64" t="str">
        <f>Ringkasan!A857</f>
        <v>IMJS</v>
      </c>
      <c r="B858" s="64" t="str">
        <f>Ringkasan!B857</f>
        <v>Indomobil Multi Jasa Tbk.</v>
      </c>
      <c r="C858" s="65">
        <f>Ringkasan!C857</f>
        <v>140</v>
      </c>
      <c r="D858" s="64" t="str">
        <f>Ringkasan!D857</f>
        <v>#N/A</v>
      </c>
      <c r="E858" s="64" t="str">
        <f>Ringkasan!E857</f>
        <v/>
      </c>
      <c r="F858" s="64" t="str">
        <f>Ringkasan!F857</f>
        <v/>
      </c>
      <c r="G858" s="64">
        <f>Ringkasan!G857</f>
        <v>0</v>
      </c>
      <c r="H858" s="19">
        <f>Ringkasan!H857</f>
        <v>10.4</v>
      </c>
      <c r="I858" s="19">
        <f>Ringkasan!I857</f>
        <v>0.31</v>
      </c>
      <c r="J858" s="19">
        <f>Ringkasan!J857</f>
        <v>3</v>
      </c>
      <c r="K858" s="19">
        <f>Ringkasan!K857</f>
        <v>0.48</v>
      </c>
      <c r="L858" s="19">
        <f>Ringkasan!L857</f>
        <v>5.3</v>
      </c>
      <c r="M858" s="19">
        <f>Ringkasan!M857</f>
        <v>9.8</v>
      </c>
      <c r="N858" s="64" t="str">
        <f>Ringkasan!N857</f>
        <v/>
      </c>
      <c r="O858" s="64" t="str">
        <f>Ringkasan!O857</f>
        <v/>
      </c>
      <c r="P858" s="64" t="str">
        <f>Ringkasan!P857</f>
        <v/>
      </c>
      <c r="Q858" s="64" t="str">
        <f>Ringkasan!Q857</f>
        <v/>
      </c>
      <c r="R858" s="64" t="str">
        <f>Ringkasan!R857</f>
        <v/>
      </c>
      <c r="S858" s="64" t="str">
        <f>Ringkasan!S857</f>
        <v/>
      </c>
      <c r="T858" s="64" t="str">
        <f>Ringkasan!T857</f>
        <v/>
      </c>
      <c r="U858" s="64">
        <f>Ringkasan!U857</f>
        <v>135</v>
      </c>
      <c r="V858" s="64">
        <f>Ringkasan!V857</f>
        <v>3.7</v>
      </c>
      <c r="W858" s="64" t="str">
        <f>Ringkasan!W857</f>
        <v/>
      </c>
      <c r="X858" s="64">
        <f>Ringkasan!X857</f>
        <v>144</v>
      </c>
      <c r="Y858" s="64" t="str">
        <f>Ringkasan!Y857</f>
        <v/>
      </c>
      <c r="Z858" s="64">
        <f>Ringkasan!Z857</f>
        <v>3619900</v>
      </c>
      <c r="AA858" s="64" t="str">
        <f>Ringkasan!AA857</f>
        <v>Passenger Land Transportation</v>
      </c>
      <c r="AB858" s="64" t="str">
        <f>Ringkasan!AB857</f>
        <v>Transportation &amp; Logistic</v>
      </c>
    </row>
    <row r="859" hidden="1">
      <c r="A859" s="64" t="str">
        <f>Ringkasan!A858</f>
        <v>IMPC</v>
      </c>
      <c r="B859" s="64" t="str">
        <f>Ringkasan!B858</f>
        <v>Impack Pratama Industri Tbk.</v>
      </c>
      <c r="C859" s="65">
        <f>Ringkasan!C858</f>
        <v>1665</v>
      </c>
      <c r="D859" s="64" t="str">
        <f>Ringkasan!D858</f>
        <v>#N/A</v>
      </c>
      <c r="E859" s="64" t="str">
        <f>Ringkasan!E858</f>
        <v>Kompas100</v>
      </c>
      <c r="F859" s="64" t="str">
        <f>Ringkasan!F858</f>
        <v>31 Juli 2026</v>
      </c>
      <c r="G859" s="64">
        <f>Ringkasan!G858</f>
        <v>2</v>
      </c>
      <c r="H859" s="19">
        <f>Ringkasan!H858</f>
        <v>150</v>
      </c>
      <c r="I859" s="19">
        <f>Ringkasan!I858</f>
        <v>30.9</v>
      </c>
      <c r="J859" s="19">
        <f>Ringkasan!J858</f>
        <v>20.7</v>
      </c>
      <c r="K859" s="19">
        <f>Ringkasan!K858</f>
        <v>13</v>
      </c>
      <c r="L859" s="19">
        <f>Ringkasan!L858</f>
        <v>0.6</v>
      </c>
      <c r="M859" s="19">
        <f>Ringkasan!M858</f>
        <v>57</v>
      </c>
      <c r="N859" s="64" t="str">
        <f>Ringkasan!N858</f>
        <v/>
      </c>
      <c r="O859" s="64" t="str">
        <f>Ringkasan!O858</f>
        <v/>
      </c>
      <c r="P859" s="64" t="str">
        <f>Ringkasan!P858</f>
        <v/>
      </c>
      <c r="Q859" s="64" t="str">
        <f>Ringkasan!Q858</f>
        <v/>
      </c>
      <c r="R859" s="64" t="str">
        <f>Ringkasan!R858</f>
        <v/>
      </c>
      <c r="S859" s="64" t="str">
        <f>Ringkasan!S858</f>
        <v/>
      </c>
      <c r="T859" s="64" t="str">
        <f>Ringkasan!T858</f>
        <v/>
      </c>
      <c r="U859" s="64">
        <f>Ringkasan!U858</f>
        <v>1600</v>
      </c>
      <c r="V859" s="64">
        <f>Ringkasan!V858</f>
        <v>4.06</v>
      </c>
      <c r="W859" s="64">
        <f>Ringkasan!W858</f>
        <v>1635</v>
      </c>
      <c r="X859" s="64">
        <f>Ringkasan!X858</f>
        <v>1745</v>
      </c>
      <c r="Y859" s="64">
        <f>Ringkasan!Y858</f>
        <v>1610</v>
      </c>
      <c r="Z859" s="64">
        <f>Ringkasan!Z858</f>
        <v>44187400</v>
      </c>
      <c r="AA859" s="64" t="str">
        <f>Ringkasan!AA858</f>
        <v>Building Products &amp; Fixtures</v>
      </c>
      <c r="AB859" s="64" t="str">
        <f>Ringkasan!AB858</f>
        <v>Industrials</v>
      </c>
    </row>
    <row r="860" hidden="1">
      <c r="A860" s="64" t="str">
        <f>Ringkasan!A859</f>
        <v>IMPC</v>
      </c>
      <c r="B860" s="64" t="str">
        <f>Ringkasan!B859</f>
        <v>Impack Pratama Industri Tbk.</v>
      </c>
      <c r="C860" s="65">
        <f>Ringkasan!C859</f>
        <v>1665</v>
      </c>
      <c r="D860" s="64" t="str">
        <f>Ringkasan!D859</f>
        <v>#N/A</v>
      </c>
      <c r="E860" s="64" t="str">
        <f>Ringkasan!E859</f>
        <v>JII70</v>
      </c>
      <c r="F860" s="66">
        <f>Ringkasan!F859</f>
        <v>46356</v>
      </c>
      <c r="G860" s="65">
        <f>Ringkasan!G859</f>
        <v>2</v>
      </c>
      <c r="H860" s="19">
        <f>Ringkasan!H859</f>
        <v>150</v>
      </c>
      <c r="I860" s="19">
        <f>Ringkasan!I859</f>
        <v>30.9</v>
      </c>
      <c r="J860" s="19">
        <f>Ringkasan!J859</f>
        <v>20.7</v>
      </c>
      <c r="K860" s="19">
        <f>Ringkasan!K859</f>
        <v>13</v>
      </c>
      <c r="L860" s="19">
        <f>Ringkasan!L859</f>
        <v>0.6</v>
      </c>
      <c r="M860" s="19">
        <f>Ringkasan!M859</f>
        <v>57</v>
      </c>
      <c r="N860" s="64" t="str">
        <f>Ringkasan!N859</f>
        <v/>
      </c>
      <c r="O860" s="64" t="str">
        <f>Ringkasan!O859</f>
        <v/>
      </c>
      <c r="P860" s="64" t="str">
        <f>Ringkasan!P859</f>
        <v/>
      </c>
      <c r="Q860" s="64" t="str">
        <f>Ringkasan!Q859</f>
        <v/>
      </c>
      <c r="R860" s="64" t="str">
        <f>Ringkasan!R859</f>
        <v/>
      </c>
      <c r="S860" s="64" t="str">
        <f>Ringkasan!S859</f>
        <v/>
      </c>
      <c r="T860" s="64" t="str">
        <f>Ringkasan!T859</f>
        <v/>
      </c>
      <c r="U860" s="64">
        <f>Ringkasan!U859</f>
        <v>1600</v>
      </c>
      <c r="V860" s="64">
        <f>Ringkasan!V859</f>
        <v>4.06</v>
      </c>
      <c r="W860" s="64">
        <f>Ringkasan!W859</f>
        <v>1635</v>
      </c>
      <c r="X860" s="64">
        <f>Ringkasan!X859</f>
        <v>1745</v>
      </c>
      <c r="Y860" s="64">
        <f>Ringkasan!Y859</f>
        <v>1610</v>
      </c>
      <c r="Z860" s="64">
        <f>Ringkasan!Z859</f>
        <v>44187400</v>
      </c>
      <c r="AA860" s="64" t="str">
        <f>Ringkasan!AA859</f>
        <v>Building Products &amp; Fixtures</v>
      </c>
      <c r="AB860" s="64" t="str">
        <f>Ringkasan!AB859</f>
        <v>Industrials</v>
      </c>
    </row>
    <row r="861" hidden="1">
      <c r="A861" s="64" t="str">
        <f>Ringkasan!A860</f>
        <v>INAF</v>
      </c>
      <c r="B861" s="64" t="str">
        <f>Ringkasan!B860</f>
        <v>Indofarma Tbk.</v>
      </c>
      <c r="C861" s="65">
        <f>Ringkasan!C860</f>
        <v>126</v>
      </c>
      <c r="D861" s="64" t="str">
        <f>Ringkasan!D860</f>
        <v>#N/A</v>
      </c>
      <c r="E861" s="64" t="str">
        <f>Ringkasan!E860</f>
        <v/>
      </c>
      <c r="F861" s="64" t="str">
        <f>Ringkasan!F860</f>
        <v/>
      </c>
      <c r="G861" s="64">
        <f>Ringkasan!G860</f>
        <v>0</v>
      </c>
      <c r="H861" s="19">
        <f>Ringkasan!H860</f>
        <v>-5</v>
      </c>
      <c r="I861" s="19">
        <f>Ringkasan!I860</f>
        <v>-0.55</v>
      </c>
      <c r="J861" s="19">
        <f>Ringkasan!J860</f>
        <v>0</v>
      </c>
      <c r="K861" s="19">
        <f>Ringkasan!K860</f>
        <v>-14.6</v>
      </c>
      <c r="L861" s="19">
        <f>Ringkasan!L860</f>
        <v>-1.8</v>
      </c>
      <c r="M861" s="19">
        <f>Ringkasan!M860</f>
        <v>-51.5</v>
      </c>
      <c r="N861" s="64" t="str">
        <f>Ringkasan!N860</f>
        <v/>
      </c>
      <c r="O861" s="64" t="str">
        <f>Ringkasan!O860</f>
        <v/>
      </c>
      <c r="P861" s="64" t="str">
        <f>Ringkasan!P860</f>
        <v/>
      </c>
      <c r="Q861" s="64" t="str">
        <f>Ringkasan!Q860</f>
        <v/>
      </c>
      <c r="R861" s="64" t="str">
        <f>Ringkasan!R860</f>
        <v/>
      </c>
      <c r="S861" s="64" t="str">
        <f>Ringkasan!S860</f>
        <v/>
      </c>
      <c r="T861" s="64" t="str">
        <f>Ringkasan!T860</f>
        <v/>
      </c>
      <c r="U861" s="64">
        <f>Ringkasan!U860</f>
        <v>126</v>
      </c>
      <c r="V861" s="64">
        <f>Ringkasan!V860</f>
        <v>0</v>
      </c>
      <c r="W861" s="64" t="str">
        <f>Ringkasan!W860</f>
        <v/>
      </c>
      <c r="X861" s="64" t="str">
        <f>Ringkasan!X860</f>
        <v/>
      </c>
      <c r="Y861" s="64" t="str">
        <f>Ringkasan!Y860</f>
        <v/>
      </c>
      <c r="Z861" s="64">
        <f>Ringkasan!Z860</f>
        <v>0</v>
      </c>
      <c r="AA861" s="64" t="str">
        <f>Ringkasan!AA860</f>
        <v>Pharmaceuticals</v>
      </c>
      <c r="AB861" s="64" t="str">
        <f>Ringkasan!AB860</f>
        <v>Healthcare</v>
      </c>
    </row>
    <row r="862" hidden="1">
      <c r="A862" s="64" t="str">
        <f>Ringkasan!A582</f>
        <v>DAYA</v>
      </c>
      <c r="B862" s="64" t="str">
        <f>Ringkasan!B582</f>
        <v>Duta Intidaya Tbk.</v>
      </c>
      <c r="C862" s="65">
        <f>Ringkasan!C582</f>
        <v>1045</v>
      </c>
      <c r="D862" s="64" t="str">
        <f>Ringkasan!D582</f>
        <v>#N/A</v>
      </c>
      <c r="E862" s="64" t="str">
        <f>Ringkasan!E582</f>
        <v/>
      </c>
      <c r="F862" s="64" t="str">
        <f>Ringkasan!F582</f>
        <v/>
      </c>
      <c r="G862" s="64">
        <f>Ringkasan!G582</f>
        <v>0</v>
      </c>
      <c r="H862" s="19">
        <f>Ringkasan!H582</f>
        <v>30.1</v>
      </c>
      <c r="I862" s="19">
        <f>Ringkasan!I582</f>
        <v>16.2</v>
      </c>
      <c r="J862" s="19">
        <f>Ringkasan!J582</f>
        <v>53.8</v>
      </c>
      <c r="K862" s="19">
        <f>Ringkasan!K582</f>
        <v>7.1</v>
      </c>
      <c r="L862" s="19">
        <f>Ringkasan!L582</f>
        <v>6.6</v>
      </c>
      <c r="M862" s="19">
        <f>Ringkasan!M582</f>
        <v>10.8</v>
      </c>
      <c r="N862" s="64" t="str">
        <f>Ringkasan!N582</f>
        <v/>
      </c>
      <c r="O862" s="64" t="str">
        <f>Ringkasan!O582</f>
        <v/>
      </c>
      <c r="P862" s="64" t="str">
        <f>Ringkasan!P582</f>
        <v/>
      </c>
      <c r="Q862" s="64" t="str">
        <f>Ringkasan!Q582</f>
        <v/>
      </c>
      <c r="R862" s="64" t="str">
        <f>Ringkasan!R582</f>
        <v/>
      </c>
      <c r="S862" s="64" t="str">
        <f>Ringkasan!S582</f>
        <v/>
      </c>
      <c r="T862" s="64" t="str">
        <f>Ringkasan!T582</f>
        <v/>
      </c>
      <c r="U862" s="64">
        <f>Ringkasan!U582</f>
        <v>950</v>
      </c>
      <c r="V862" s="64">
        <f>Ringkasan!V582</f>
        <v>10</v>
      </c>
      <c r="W862" s="64">
        <f>Ringkasan!W582</f>
        <v>950</v>
      </c>
      <c r="X862" s="64">
        <f>Ringkasan!X582</f>
        <v>1060</v>
      </c>
      <c r="Y862" s="64">
        <f>Ringkasan!Y582</f>
        <v>945</v>
      </c>
      <c r="Z862" s="64">
        <f>Ringkasan!Z582</f>
        <v>39200</v>
      </c>
      <c r="AA862" s="64" t="str">
        <f>Ringkasan!AA582</f>
        <v>Food &amp; Staples Retailing</v>
      </c>
      <c r="AB862" s="64" t="str">
        <f>Ringkasan!AB582</f>
        <v>Consumer Non-Cyclicals</v>
      </c>
    </row>
    <row r="863" hidden="1">
      <c r="A863" s="64" t="str">
        <f>Ringkasan!A862</f>
        <v>INCF</v>
      </c>
      <c r="B863" s="64" t="str">
        <f>Ringkasan!B862</f>
        <v>PT Indo Komoditi Korpora Tbk</v>
      </c>
      <c r="C863" s="65">
        <f>Ringkasan!C862</f>
        <v>50</v>
      </c>
      <c r="D863" s="64" t="str">
        <f>Ringkasan!D862</f>
        <v>#N/A</v>
      </c>
      <c r="E863" s="64" t="str">
        <f>Ringkasan!E862</f>
        <v/>
      </c>
      <c r="F863" s="64" t="str">
        <f>Ringkasan!F862</f>
        <v/>
      </c>
      <c r="G863" s="64">
        <f>Ringkasan!G862</f>
        <v>0</v>
      </c>
      <c r="H863" s="19">
        <f>Ringkasan!H862</f>
        <v>-85.2</v>
      </c>
      <c r="I863" s="19">
        <f>Ringkasan!I862</f>
        <v>0.48</v>
      </c>
      <c r="J863" s="19">
        <f>Ringkasan!J862</f>
        <v>-0.56</v>
      </c>
      <c r="K863" s="19">
        <f>Ringkasan!K862</f>
        <v>-0.2</v>
      </c>
      <c r="L863" s="19">
        <f>Ringkasan!L862</f>
        <v>1.8</v>
      </c>
      <c r="M863" s="19">
        <f>Ringkasan!M862</f>
        <v>-0.79</v>
      </c>
      <c r="N863" s="64" t="str">
        <f>Ringkasan!N862</f>
        <v/>
      </c>
      <c r="O863" s="64" t="str">
        <f>Ringkasan!O862</f>
        <v/>
      </c>
      <c r="P863" s="64" t="str">
        <f>Ringkasan!P862</f>
        <v/>
      </c>
      <c r="Q863" s="64" t="str">
        <f>Ringkasan!Q862</f>
        <v/>
      </c>
      <c r="R863" s="64" t="str">
        <f>Ringkasan!R862</f>
        <v/>
      </c>
      <c r="S863" s="64" t="str">
        <f>Ringkasan!S862</f>
        <v/>
      </c>
      <c r="T863" s="64" t="str">
        <f>Ringkasan!T862</f>
        <v/>
      </c>
      <c r="U863" s="64">
        <f>Ringkasan!U862</f>
        <v>50</v>
      </c>
      <c r="V863" s="64">
        <f>Ringkasan!V862</f>
        <v>0</v>
      </c>
      <c r="W863" s="64">
        <f>Ringkasan!W862</f>
        <v>50</v>
      </c>
      <c r="X863" s="64">
        <f>Ringkasan!X862</f>
        <v>50</v>
      </c>
      <c r="Y863" s="64">
        <f>Ringkasan!Y862</f>
        <v>50</v>
      </c>
      <c r="Z863" s="64">
        <f>Ringkasan!Z862</f>
        <v>329200</v>
      </c>
      <c r="AA863" s="64" t="str">
        <f>Ringkasan!AA862</f>
        <v/>
      </c>
      <c r="AB863" s="64" t="str">
        <f>Ringkasan!AB862</f>
        <v>BASIC INDUSTRY AND CHEMICALS</v>
      </c>
    </row>
    <row r="864" hidden="1">
      <c r="A864" s="64" t="str">
        <f>Ringkasan!A614</f>
        <v>DPNS</v>
      </c>
      <c r="B864" s="64" t="str">
        <f>Ringkasan!B614</f>
        <v>Duta Pertiwi Nusantara Tbk.</v>
      </c>
      <c r="C864" s="65">
        <f>Ringkasan!C614</f>
        <v>310</v>
      </c>
      <c r="D864" s="64" t="str">
        <f>Ringkasan!D614</f>
        <v>#N/A</v>
      </c>
      <c r="E864" s="64" t="str">
        <f>Ringkasan!E614</f>
        <v/>
      </c>
      <c r="F864" s="64" t="str">
        <f>Ringkasan!F614</f>
        <v/>
      </c>
      <c r="G864" s="64">
        <f>Ringkasan!G614</f>
        <v>0</v>
      </c>
      <c r="H864" s="19">
        <f>Ringkasan!H614</f>
        <v>170</v>
      </c>
      <c r="I864" s="19">
        <f>Ringkasan!I614</f>
        <v>0.3</v>
      </c>
      <c r="J864" s="19">
        <f>Ringkasan!J614</f>
        <v>0.18</v>
      </c>
      <c r="K864" s="19">
        <f>Ringkasan!K614</f>
        <v>0.17</v>
      </c>
      <c r="L864" s="19">
        <f>Ringkasan!L614</f>
        <v>0.02</v>
      </c>
      <c r="M864" s="19">
        <f>Ringkasan!M614</f>
        <v>4.6</v>
      </c>
      <c r="N864" s="64" t="str">
        <f>Ringkasan!N614</f>
        <v/>
      </c>
      <c r="O864" s="64" t="str">
        <f>Ringkasan!O614</f>
        <v/>
      </c>
      <c r="P864" s="64" t="str">
        <f>Ringkasan!P614</f>
        <v/>
      </c>
      <c r="Q864" s="64" t="str">
        <f>Ringkasan!Q614</f>
        <v/>
      </c>
      <c r="R864" s="64" t="str">
        <f>Ringkasan!R614</f>
        <v/>
      </c>
      <c r="S864" s="64" t="str">
        <f>Ringkasan!S614</f>
        <v/>
      </c>
      <c r="T864" s="64" t="str">
        <f>Ringkasan!T614</f>
        <v/>
      </c>
      <c r="U864" s="64">
        <f>Ringkasan!U614</f>
        <v>310</v>
      </c>
      <c r="V864" s="64">
        <f>Ringkasan!V614</f>
        <v>0</v>
      </c>
      <c r="W864" s="64" t="str">
        <f>Ringkasan!W614</f>
        <v/>
      </c>
      <c r="X864" s="64" t="str">
        <f>Ringkasan!X614</f>
        <v/>
      </c>
      <c r="Y864" s="64" t="str">
        <f>Ringkasan!Y614</f>
        <v/>
      </c>
      <c r="Z864" s="64">
        <f>Ringkasan!Z614</f>
        <v>0</v>
      </c>
      <c r="AA864" s="64" t="str">
        <f>Ringkasan!AA614</f>
        <v>Chemicals</v>
      </c>
      <c r="AB864" s="64" t="str">
        <f>Ringkasan!AB614</f>
        <v>Basic Materials</v>
      </c>
    </row>
    <row r="865" hidden="1">
      <c r="A865" s="64" t="str">
        <f>Ringkasan!A864</f>
        <v>INCO</v>
      </c>
      <c r="B865" s="64" t="str">
        <f>Ringkasan!B864</f>
        <v>Vale Indonesia Tbk.</v>
      </c>
      <c r="C865" s="65">
        <f>Ringkasan!C864</f>
        <v>4710</v>
      </c>
      <c r="D865" s="64" t="str">
        <f>Ringkasan!D864</f>
        <v>#N/A</v>
      </c>
      <c r="E865" s="64" t="str">
        <f>Ringkasan!E864</f>
        <v>ESGQKEHATI</v>
      </c>
      <c r="F865" s="66">
        <f>Ringkasan!F864</f>
        <v>46356</v>
      </c>
      <c r="G865" s="64">
        <f>Ringkasan!G864</f>
        <v>14</v>
      </c>
      <c r="H865" s="19">
        <f>Ringkasan!H864</f>
        <v>30.1</v>
      </c>
      <c r="I865" s="19">
        <f>Ringkasan!I864</f>
        <v>1</v>
      </c>
      <c r="J865" s="19">
        <f>Ringkasan!J864</f>
        <v>3.5</v>
      </c>
      <c r="K865" s="19">
        <f>Ringkasan!K864</f>
        <v>2.9</v>
      </c>
      <c r="L865" s="19">
        <f>Ringkasan!L864</f>
        <v>0.19</v>
      </c>
      <c r="M865" s="19">
        <f>Ringkasan!M864</f>
        <v>38.6</v>
      </c>
      <c r="N865" s="64" t="str">
        <f>Ringkasan!N864</f>
        <v/>
      </c>
      <c r="O865" s="64" t="str">
        <f>Ringkasan!O864</f>
        <v/>
      </c>
      <c r="P865" s="64" t="str">
        <f>Ringkasan!P864</f>
        <v/>
      </c>
      <c r="Q865" s="64" t="str">
        <f>Ringkasan!Q864</f>
        <v/>
      </c>
      <c r="R865" s="64" t="str">
        <f>Ringkasan!R864</f>
        <v/>
      </c>
      <c r="S865" s="64" t="str">
        <f>Ringkasan!S864</f>
        <v/>
      </c>
      <c r="T865" s="64" t="str">
        <f>Ringkasan!T864</f>
        <v/>
      </c>
      <c r="U865" s="64">
        <f>Ringkasan!U864</f>
        <v>57.53</v>
      </c>
      <c r="V865" s="64">
        <f>Ringkasan!V864</f>
        <v>0.26</v>
      </c>
      <c r="W865" s="64">
        <f>Ringkasan!W864</f>
        <v>57.97</v>
      </c>
      <c r="X865" s="64">
        <f>Ringkasan!X864</f>
        <v>58.06</v>
      </c>
      <c r="Y865" s="64">
        <f>Ringkasan!Y864</f>
        <v>57.68</v>
      </c>
      <c r="Z865" s="64">
        <f>Ringkasan!Z864</f>
        <v>5034</v>
      </c>
      <c r="AA865" s="64" t="str">
        <f>Ringkasan!AA864</f>
        <v>Metals &amp; Minerals</v>
      </c>
      <c r="AB865" s="64" t="str">
        <f>Ringkasan!AB864</f>
        <v>Basic Materials</v>
      </c>
    </row>
    <row r="866" hidden="1">
      <c r="A866" s="64" t="str">
        <f>Ringkasan!A631</f>
        <v>DSSA</v>
      </c>
      <c r="B866" s="64" t="str">
        <f>Ringkasan!B631</f>
        <v>Dian Swastatika Sentosa Tbk</v>
      </c>
      <c r="C866" s="65">
        <f>Ringkasan!C631</f>
        <v>825</v>
      </c>
      <c r="D866" s="64" t="str">
        <f>Ringkasan!D631</f>
        <v>#N/A</v>
      </c>
      <c r="E866" s="64" t="str">
        <f>Ringkasan!E631</f>
        <v>Pefindo - iGrade</v>
      </c>
      <c r="F866" s="64" t="str">
        <f>Ringkasan!F631</f>
        <v>30 Juni 2026</v>
      </c>
      <c r="G866" s="64">
        <f>Ringkasan!G631</f>
        <v>2</v>
      </c>
      <c r="H866" s="19">
        <f>Ringkasan!H631</f>
        <v>24.5</v>
      </c>
      <c r="I866" s="19">
        <f>Ringkasan!I631</f>
        <v>2.5</v>
      </c>
      <c r="J866" s="19">
        <f>Ringkasan!J631</f>
        <v>10.2</v>
      </c>
      <c r="K866" s="19">
        <f>Ringkasan!K631</f>
        <v>5.2</v>
      </c>
      <c r="L866" s="19">
        <f>Ringkasan!L631</f>
        <v>0.95</v>
      </c>
      <c r="M866" s="19">
        <f>Ringkasan!M631</f>
        <v>8.3</v>
      </c>
      <c r="N866" s="64" t="str">
        <f>Ringkasan!N631</f>
        <v/>
      </c>
      <c r="O866" s="64" t="str">
        <f>Ringkasan!O631</f>
        <v/>
      </c>
      <c r="P866" s="64" t="str">
        <f>Ringkasan!P631</f>
        <v/>
      </c>
      <c r="Q866" s="64" t="str">
        <f>Ringkasan!Q631</f>
        <v/>
      </c>
      <c r="R866" s="64" t="str">
        <f>Ringkasan!R631</f>
        <v/>
      </c>
      <c r="S866" s="64" t="str">
        <f>Ringkasan!S631</f>
        <v/>
      </c>
      <c r="T866" s="64" t="str">
        <f>Ringkasan!T631</f>
        <v/>
      </c>
      <c r="U866" s="64">
        <f>Ringkasan!U631</f>
        <v>730</v>
      </c>
      <c r="V866" s="64">
        <f>Ringkasan!V631</f>
        <v>13.01</v>
      </c>
      <c r="W866" s="64" t="str">
        <f>Ringkasan!W631</f>
        <v/>
      </c>
      <c r="X866" s="64">
        <f>Ringkasan!X631</f>
        <v>850</v>
      </c>
      <c r="Y866" s="64">
        <f>Ringkasan!Y631</f>
        <v>750</v>
      </c>
      <c r="Z866" s="64">
        <f>Ringkasan!Z631</f>
        <v>1360516800</v>
      </c>
      <c r="AA866" s="64" t="str">
        <f>Ringkasan!AA631</f>
        <v>Coal</v>
      </c>
      <c r="AB866" s="64" t="str">
        <f>Ringkasan!AB631</f>
        <v>Energy</v>
      </c>
    </row>
    <row r="867" hidden="1">
      <c r="A867" s="64" t="str">
        <f>Ringkasan!A866</f>
        <v>INCO</v>
      </c>
      <c r="B867" s="64" t="str">
        <f>Ringkasan!B866</f>
        <v>Vale Indonesia Tbk.</v>
      </c>
      <c r="C867" s="65">
        <f>Ringkasan!C866</f>
        <v>4710</v>
      </c>
      <c r="D867" s="64" t="str">
        <f>Ringkasan!D866</f>
        <v>#N/A</v>
      </c>
      <c r="E867" s="64" t="str">
        <f>Ringkasan!E866</f>
        <v>IDXESGL</v>
      </c>
      <c r="F867" s="64" t="str">
        <f>Ringkasan!F866</f>
        <v>30 Oktober 2026</v>
      </c>
      <c r="G867" s="64">
        <f>Ringkasan!G866</f>
        <v>14</v>
      </c>
      <c r="H867" s="19">
        <f>Ringkasan!H866</f>
        <v>30.1</v>
      </c>
      <c r="I867" s="19">
        <f>Ringkasan!I866</f>
        <v>1</v>
      </c>
      <c r="J867" s="19">
        <f>Ringkasan!J866</f>
        <v>3.5</v>
      </c>
      <c r="K867" s="19">
        <f>Ringkasan!K866</f>
        <v>2.9</v>
      </c>
      <c r="L867" s="19">
        <f>Ringkasan!L866</f>
        <v>0.19</v>
      </c>
      <c r="M867" s="19">
        <f>Ringkasan!M866</f>
        <v>38.6</v>
      </c>
      <c r="N867" s="64" t="str">
        <f>Ringkasan!N866</f>
        <v/>
      </c>
      <c r="O867" s="64" t="str">
        <f>Ringkasan!O866</f>
        <v/>
      </c>
      <c r="P867" s="64" t="str">
        <f>Ringkasan!P866</f>
        <v/>
      </c>
      <c r="Q867" s="64" t="str">
        <f>Ringkasan!Q866</f>
        <v/>
      </c>
      <c r="R867" s="64" t="str">
        <f>Ringkasan!R866</f>
        <v/>
      </c>
      <c r="S867" s="64" t="str">
        <f>Ringkasan!S866</f>
        <v/>
      </c>
      <c r="T867" s="64" t="str">
        <f>Ringkasan!T866</f>
        <v/>
      </c>
      <c r="U867" s="64">
        <f>Ringkasan!U866</f>
        <v>57.53</v>
      </c>
      <c r="V867" s="64">
        <f>Ringkasan!V866</f>
        <v>0.26</v>
      </c>
      <c r="W867" s="64">
        <f>Ringkasan!W866</f>
        <v>57.97</v>
      </c>
      <c r="X867" s="64">
        <f>Ringkasan!X866</f>
        <v>58.06</v>
      </c>
      <c r="Y867" s="64">
        <f>Ringkasan!Y866</f>
        <v>57.68</v>
      </c>
      <c r="Z867" s="64">
        <f>Ringkasan!Z866</f>
        <v>5034</v>
      </c>
      <c r="AA867" s="64" t="str">
        <f>Ringkasan!AA866</f>
        <v>Metals &amp; Minerals</v>
      </c>
      <c r="AB867" s="64" t="str">
        <f>Ringkasan!AB866</f>
        <v>Basic Materials</v>
      </c>
    </row>
    <row r="868" hidden="1">
      <c r="A868" s="64" t="str">
        <f>Ringkasan!A867</f>
        <v>INCO</v>
      </c>
      <c r="B868" s="64" t="str">
        <f>Ringkasan!B867</f>
        <v>Vale Indonesia Tbk.</v>
      </c>
      <c r="C868" s="65">
        <f>Ringkasan!C867</f>
        <v>4710</v>
      </c>
      <c r="D868" s="64" t="str">
        <f>Ringkasan!D867</f>
        <v>#N/A</v>
      </c>
      <c r="E868" s="64" t="str">
        <f>Ringkasan!E867</f>
        <v>IDXG30</v>
      </c>
      <c r="F868" s="64" t="str">
        <f>Ringkasan!F867</f>
        <v>4 Agustus 2026</v>
      </c>
      <c r="G868" s="64">
        <f>Ringkasan!G867</f>
        <v>14</v>
      </c>
      <c r="H868" s="19">
        <f>Ringkasan!H867</f>
        <v>30.1</v>
      </c>
      <c r="I868" s="19">
        <f>Ringkasan!I867</f>
        <v>1</v>
      </c>
      <c r="J868" s="19">
        <f>Ringkasan!J867</f>
        <v>3.5</v>
      </c>
      <c r="K868" s="19">
        <f>Ringkasan!K867</f>
        <v>2.9</v>
      </c>
      <c r="L868" s="19">
        <f>Ringkasan!L867</f>
        <v>0.19</v>
      </c>
      <c r="M868" s="19">
        <f>Ringkasan!M867</f>
        <v>38.6</v>
      </c>
      <c r="N868" s="64" t="str">
        <f>Ringkasan!N867</f>
        <v/>
      </c>
      <c r="O868" s="64" t="str">
        <f>Ringkasan!O867</f>
        <v/>
      </c>
      <c r="P868" s="64" t="str">
        <f>Ringkasan!P867</f>
        <v/>
      </c>
      <c r="Q868" s="64" t="str">
        <f>Ringkasan!Q867</f>
        <v/>
      </c>
      <c r="R868" s="64" t="str">
        <f>Ringkasan!R867</f>
        <v/>
      </c>
      <c r="S868" s="64" t="str">
        <f>Ringkasan!S867</f>
        <v/>
      </c>
      <c r="T868" s="64" t="str">
        <f>Ringkasan!T867</f>
        <v/>
      </c>
      <c r="U868" s="64">
        <f>Ringkasan!U867</f>
        <v>57.53</v>
      </c>
      <c r="V868" s="64">
        <f>Ringkasan!V867</f>
        <v>0.26</v>
      </c>
      <c r="W868" s="64">
        <f>Ringkasan!W867</f>
        <v>57.97</v>
      </c>
      <c r="X868" s="64">
        <f>Ringkasan!X867</f>
        <v>58.06</v>
      </c>
      <c r="Y868" s="64">
        <f>Ringkasan!Y867</f>
        <v>57.68</v>
      </c>
      <c r="Z868" s="64">
        <f>Ringkasan!Z867</f>
        <v>5034</v>
      </c>
      <c r="AA868" s="64" t="str">
        <f>Ringkasan!AA867</f>
        <v>Metals &amp; Minerals</v>
      </c>
      <c r="AB868" s="64" t="str">
        <f>Ringkasan!AB867</f>
        <v>Basic Materials</v>
      </c>
    </row>
    <row r="869" hidden="1">
      <c r="A869" s="64" t="str">
        <f>Ringkasan!A868</f>
        <v>INCO</v>
      </c>
      <c r="B869" s="64" t="str">
        <f>Ringkasan!B868</f>
        <v>Vale Indonesia Tbk.</v>
      </c>
      <c r="C869" s="65">
        <f>Ringkasan!C868</f>
        <v>4710</v>
      </c>
      <c r="D869" s="64" t="str">
        <f>Ringkasan!D868</f>
        <v>#N/A</v>
      </c>
      <c r="E869" s="64" t="str">
        <f>Ringkasan!E868</f>
        <v>ECONOMIC30</v>
      </c>
      <c r="F869" s="64" t="str">
        <f>Ringkasan!F868</f>
        <v>31 Agustus 2026</v>
      </c>
      <c r="G869" s="64">
        <f>Ringkasan!G868</f>
        <v>14</v>
      </c>
      <c r="H869" s="19">
        <f>Ringkasan!H868</f>
        <v>30.1</v>
      </c>
      <c r="I869" s="19">
        <f>Ringkasan!I868</f>
        <v>1</v>
      </c>
      <c r="J869" s="19">
        <f>Ringkasan!J868</f>
        <v>3.5</v>
      </c>
      <c r="K869" s="19">
        <f>Ringkasan!K868</f>
        <v>2.9</v>
      </c>
      <c r="L869" s="19">
        <f>Ringkasan!L868</f>
        <v>0.19</v>
      </c>
      <c r="M869" s="19">
        <f>Ringkasan!M868</f>
        <v>38.6</v>
      </c>
      <c r="N869" s="64" t="str">
        <f>Ringkasan!N868</f>
        <v/>
      </c>
      <c r="O869" s="64" t="str">
        <f>Ringkasan!O868</f>
        <v/>
      </c>
      <c r="P869" s="64" t="str">
        <f>Ringkasan!P868</f>
        <v/>
      </c>
      <c r="Q869" s="64" t="str">
        <f>Ringkasan!Q868</f>
        <v/>
      </c>
      <c r="R869" s="64" t="str">
        <f>Ringkasan!R868</f>
        <v/>
      </c>
      <c r="S869" s="64" t="str">
        <f>Ringkasan!S868</f>
        <v/>
      </c>
      <c r="T869" s="64" t="str">
        <f>Ringkasan!T868</f>
        <v/>
      </c>
      <c r="U869" s="64">
        <f>Ringkasan!U868</f>
        <v>57.53</v>
      </c>
      <c r="V869" s="64">
        <f>Ringkasan!V868</f>
        <v>0.26</v>
      </c>
      <c r="W869" s="64">
        <f>Ringkasan!W868</f>
        <v>57.97</v>
      </c>
      <c r="X869" s="64">
        <f>Ringkasan!X868</f>
        <v>58.06</v>
      </c>
      <c r="Y869" s="64">
        <f>Ringkasan!Y868</f>
        <v>57.68</v>
      </c>
      <c r="Z869" s="64">
        <f>Ringkasan!Z868</f>
        <v>5034</v>
      </c>
      <c r="AA869" s="64" t="str">
        <f>Ringkasan!AA868</f>
        <v>Metals &amp; Minerals</v>
      </c>
      <c r="AB869" s="64" t="str">
        <f>Ringkasan!AB868</f>
        <v>Basic Materials</v>
      </c>
    </row>
    <row r="870" hidden="1">
      <c r="A870" s="64" t="str">
        <f>Ringkasan!A869</f>
        <v>INCO</v>
      </c>
      <c r="B870" s="64" t="str">
        <f>Ringkasan!B869</f>
        <v>Vale Indonesia Tbk.</v>
      </c>
      <c r="C870" s="65">
        <f>Ringkasan!C869</f>
        <v>4710</v>
      </c>
      <c r="D870" s="64" t="str">
        <f>Ringkasan!D869</f>
        <v>#N/A</v>
      </c>
      <c r="E870" s="64" t="str">
        <f>Ringkasan!E869</f>
        <v>Kompas100</v>
      </c>
      <c r="F870" s="64" t="str">
        <f>Ringkasan!F869</f>
        <v>31 Juli 2026</v>
      </c>
      <c r="G870" s="64">
        <f>Ringkasan!G869</f>
        <v>14</v>
      </c>
      <c r="H870" s="19">
        <f>Ringkasan!H869</f>
        <v>30.1</v>
      </c>
      <c r="I870" s="19">
        <f>Ringkasan!I869</f>
        <v>1</v>
      </c>
      <c r="J870" s="19">
        <f>Ringkasan!J869</f>
        <v>3.5</v>
      </c>
      <c r="K870" s="19">
        <f>Ringkasan!K869</f>
        <v>2.9</v>
      </c>
      <c r="L870" s="19">
        <f>Ringkasan!L869</f>
        <v>0.19</v>
      </c>
      <c r="M870" s="19">
        <f>Ringkasan!M869</f>
        <v>38.6</v>
      </c>
      <c r="N870" s="64" t="str">
        <f>Ringkasan!N869</f>
        <v/>
      </c>
      <c r="O870" s="64" t="str">
        <f>Ringkasan!O869</f>
        <v/>
      </c>
      <c r="P870" s="64" t="str">
        <f>Ringkasan!P869</f>
        <v/>
      </c>
      <c r="Q870" s="64" t="str">
        <f>Ringkasan!Q869</f>
        <v/>
      </c>
      <c r="R870" s="64" t="str">
        <f>Ringkasan!R869</f>
        <v/>
      </c>
      <c r="S870" s="64" t="str">
        <f>Ringkasan!S869</f>
        <v/>
      </c>
      <c r="T870" s="64" t="str">
        <f>Ringkasan!T869</f>
        <v/>
      </c>
      <c r="U870" s="64">
        <f>Ringkasan!U869</f>
        <v>57.53</v>
      </c>
      <c r="V870" s="64">
        <f>Ringkasan!V869</f>
        <v>0.26</v>
      </c>
      <c r="W870" s="64">
        <f>Ringkasan!W869</f>
        <v>57.97</v>
      </c>
      <c r="X870" s="64">
        <f>Ringkasan!X869</f>
        <v>58.06</v>
      </c>
      <c r="Y870" s="64">
        <f>Ringkasan!Y869</f>
        <v>57.68</v>
      </c>
      <c r="Z870" s="64">
        <f>Ringkasan!Z869</f>
        <v>5034</v>
      </c>
      <c r="AA870" s="64" t="str">
        <f>Ringkasan!AA869</f>
        <v>Metals &amp; Minerals</v>
      </c>
      <c r="AB870" s="64" t="str">
        <f>Ringkasan!AB869</f>
        <v>Basic Materials</v>
      </c>
    </row>
    <row r="871" hidden="1">
      <c r="A871" s="64" t="str">
        <f>Ringkasan!A870</f>
        <v>INCO</v>
      </c>
      <c r="B871" s="64" t="str">
        <f>Ringkasan!B870</f>
        <v>Vale Indonesia Tbk.</v>
      </c>
      <c r="C871" s="65">
        <f>Ringkasan!C870</f>
        <v>4710</v>
      </c>
      <c r="D871" s="64" t="str">
        <f>Ringkasan!D870</f>
        <v>#N/A</v>
      </c>
      <c r="E871" s="64" t="str">
        <f>Ringkasan!E870</f>
        <v>LQ45</v>
      </c>
      <c r="F871" s="64" t="str">
        <f>Ringkasan!F870</f>
        <v>31 Juli 2026</v>
      </c>
      <c r="G871" s="64">
        <f>Ringkasan!G870</f>
        <v>14</v>
      </c>
      <c r="H871" s="19">
        <f>Ringkasan!H870</f>
        <v>30.1</v>
      </c>
      <c r="I871" s="19">
        <f>Ringkasan!I870</f>
        <v>1</v>
      </c>
      <c r="J871" s="19">
        <f>Ringkasan!J870</f>
        <v>3.5</v>
      </c>
      <c r="K871" s="19">
        <f>Ringkasan!K870</f>
        <v>2.9</v>
      </c>
      <c r="L871" s="19">
        <f>Ringkasan!L870</f>
        <v>0.19</v>
      </c>
      <c r="M871" s="19">
        <f>Ringkasan!M870</f>
        <v>38.6</v>
      </c>
      <c r="N871" s="64" t="str">
        <f>Ringkasan!N870</f>
        <v/>
      </c>
      <c r="O871" s="64" t="str">
        <f>Ringkasan!O870</f>
        <v/>
      </c>
      <c r="P871" s="64" t="str">
        <f>Ringkasan!P870</f>
        <v/>
      </c>
      <c r="Q871" s="64" t="str">
        <f>Ringkasan!Q870</f>
        <v/>
      </c>
      <c r="R871" s="64" t="str">
        <f>Ringkasan!R870</f>
        <v/>
      </c>
      <c r="S871" s="64" t="str">
        <f>Ringkasan!S870</f>
        <v/>
      </c>
      <c r="T871" s="64" t="str">
        <f>Ringkasan!T870</f>
        <v/>
      </c>
      <c r="U871" s="64">
        <f>Ringkasan!U870</f>
        <v>57.53</v>
      </c>
      <c r="V871" s="64">
        <f>Ringkasan!V870</f>
        <v>0.26</v>
      </c>
      <c r="W871" s="64">
        <f>Ringkasan!W870</f>
        <v>57.97</v>
      </c>
      <c r="X871" s="64">
        <f>Ringkasan!X870</f>
        <v>58.06</v>
      </c>
      <c r="Y871" s="64">
        <f>Ringkasan!Y870</f>
        <v>57.68</v>
      </c>
      <c r="Z871" s="64">
        <f>Ringkasan!Z870</f>
        <v>5034</v>
      </c>
      <c r="AA871" s="64" t="str">
        <f>Ringkasan!AA870</f>
        <v>Metals &amp; Minerals</v>
      </c>
      <c r="AB871" s="64" t="str">
        <f>Ringkasan!AB870</f>
        <v>Basic Materials</v>
      </c>
    </row>
    <row r="872" hidden="1">
      <c r="A872" s="64" t="str">
        <f>Ringkasan!A871</f>
        <v>INCO</v>
      </c>
      <c r="B872" s="64" t="str">
        <f>Ringkasan!B871</f>
        <v>Vale Indonesia Tbk.</v>
      </c>
      <c r="C872" s="65">
        <f>Ringkasan!C871</f>
        <v>4710</v>
      </c>
      <c r="D872" s="64" t="str">
        <f>Ringkasan!D871</f>
        <v>#N/A</v>
      </c>
      <c r="E872" s="64" t="str">
        <f>Ringkasan!E871</f>
        <v>IDX80</v>
      </c>
      <c r="F872" s="64" t="str">
        <f>Ringkasan!F871</f>
        <v>31 Juli 2026</v>
      </c>
      <c r="G872" s="64">
        <f>Ringkasan!G871</f>
        <v>14</v>
      </c>
      <c r="H872" s="19">
        <f>Ringkasan!H871</f>
        <v>30.1</v>
      </c>
      <c r="I872" s="19">
        <f>Ringkasan!I871</f>
        <v>1</v>
      </c>
      <c r="J872" s="19">
        <f>Ringkasan!J871</f>
        <v>3.5</v>
      </c>
      <c r="K872" s="19">
        <f>Ringkasan!K871</f>
        <v>2.9</v>
      </c>
      <c r="L872" s="19">
        <f>Ringkasan!L871</f>
        <v>0.19</v>
      </c>
      <c r="M872" s="19">
        <f>Ringkasan!M871</f>
        <v>38.6</v>
      </c>
      <c r="N872" s="64" t="str">
        <f>Ringkasan!N871</f>
        <v/>
      </c>
      <c r="O872" s="64" t="str">
        <f>Ringkasan!O871</f>
        <v/>
      </c>
      <c r="P872" s="64" t="str">
        <f>Ringkasan!P871</f>
        <v/>
      </c>
      <c r="Q872" s="64" t="str">
        <f>Ringkasan!Q871</f>
        <v/>
      </c>
      <c r="R872" s="64" t="str">
        <f>Ringkasan!R871</f>
        <v/>
      </c>
      <c r="S872" s="64" t="str">
        <f>Ringkasan!S871</f>
        <v/>
      </c>
      <c r="T872" s="64" t="str">
        <f>Ringkasan!T871</f>
        <v/>
      </c>
      <c r="U872" s="64">
        <f>Ringkasan!U871</f>
        <v>57.53</v>
      </c>
      <c r="V872" s="64">
        <f>Ringkasan!V871</f>
        <v>0.26</v>
      </c>
      <c r="W872" s="64">
        <f>Ringkasan!W871</f>
        <v>57.97</v>
      </c>
      <c r="X872" s="64">
        <f>Ringkasan!X871</f>
        <v>58.06</v>
      </c>
      <c r="Y872" s="64">
        <f>Ringkasan!Y871</f>
        <v>57.68</v>
      </c>
      <c r="Z872" s="64">
        <f>Ringkasan!Z871</f>
        <v>5034</v>
      </c>
      <c r="AA872" s="64" t="str">
        <f>Ringkasan!AA871</f>
        <v>Metals &amp; Minerals</v>
      </c>
      <c r="AB872" s="64" t="str">
        <f>Ringkasan!AB871</f>
        <v>Basic Materials</v>
      </c>
    </row>
    <row r="873" hidden="1">
      <c r="A873" s="64" t="str">
        <f>Ringkasan!A872</f>
        <v>INCO</v>
      </c>
      <c r="B873" s="64" t="str">
        <f>Ringkasan!B872</f>
        <v>Vale Indonesia Tbk.</v>
      </c>
      <c r="C873" s="65">
        <f>Ringkasan!C872</f>
        <v>4710</v>
      </c>
      <c r="D873" s="64" t="str">
        <f>Ringkasan!D872</f>
        <v>#N/A</v>
      </c>
      <c r="E873" s="64" t="str">
        <f>Ringkasan!E872</f>
        <v>IDX30</v>
      </c>
      <c r="F873" s="64" t="str">
        <f>Ringkasan!F872</f>
        <v>31 Juli 2026</v>
      </c>
      <c r="G873" s="64">
        <f>Ringkasan!G872</f>
        <v>14</v>
      </c>
      <c r="H873" s="19">
        <f>Ringkasan!H872</f>
        <v>30.1</v>
      </c>
      <c r="I873" s="19">
        <f>Ringkasan!I872</f>
        <v>1</v>
      </c>
      <c r="J873" s="19">
        <f>Ringkasan!J872</f>
        <v>3.5</v>
      </c>
      <c r="K873" s="19">
        <f>Ringkasan!K872</f>
        <v>2.9</v>
      </c>
      <c r="L873" s="19">
        <f>Ringkasan!L872</f>
        <v>0.19</v>
      </c>
      <c r="M873" s="19">
        <f>Ringkasan!M872</f>
        <v>38.6</v>
      </c>
      <c r="N873" s="64" t="str">
        <f>Ringkasan!N872</f>
        <v/>
      </c>
      <c r="O873" s="64" t="str">
        <f>Ringkasan!O872</f>
        <v/>
      </c>
      <c r="P873" s="64" t="str">
        <f>Ringkasan!P872</f>
        <v/>
      </c>
      <c r="Q873" s="64" t="str">
        <f>Ringkasan!Q872</f>
        <v/>
      </c>
      <c r="R873" s="64" t="str">
        <f>Ringkasan!R872</f>
        <v/>
      </c>
      <c r="S873" s="64" t="str">
        <f>Ringkasan!S872</f>
        <v/>
      </c>
      <c r="T873" s="64" t="str">
        <f>Ringkasan!T872</f>
        <v/>
      </c>
      <c r="U873" s="64">
        <f>Ringkasan!U872</f>
        <v>57.53</v>
      </c>
      <c r="V873" s="64">
        <f>Ringkasan!V872</f>
        <v>0.26</v>
      </c>
      <c r="W873" s="64">
        <f>Ringkasan!W872</f>
        <v>57.97</v>
      </c>
      <c r="X873" s="64">
        <f>Ringkasan!X872</f>
        <v>58.06</v>
      </c>
      <c r="Y873" s="64">
        <f>Ringkasan!Y872</f>
        <v>57.68</v>
      </c>
      <c r="Z873" s="64">
        <f>Ringkasan!Z872</f>
        <v>5034</v>
      </c>
      <c r="AA873" s="64" t="str">
        <f>Ringkasan!AA872</f>
        <v>Metals &amp; Minerals</v>
      </c>
      <c r="AB873" s="64" t="str">
        <f>Ringkasan!AB872</f>
        <v>Basic Materials</v>
      </c>
    </row>
    <row r="874" hidden="1">
      <c r="A874" s="64" t="str">
        <f>Ringkasan!A873</f>
        <v>INCO</v>
      </c>
      <c r="B874" s="64" t="str">
        <f>Ringkasan!B873</f>
        <v>Vale Indonesia Tbk.</v>
      </c>
      <c r="C874" s="65">
        <f>Ringkasan!C873</f>
        <v>4710</v>
      </c>
      <c r="D874" s="64" t="str">
        <f>Ringkasan!D873</f>
        <v>#N/A</v>
      </c>
      <c r="E874" s="64" t="str">
        <f>Ringkasan!E873</f>
        <v>BISNIS-27</v>
      </c>
      <c r="F874" s="64" t="str">
        <f>Ringkasan!F873</f>
        <v>30 Oktober 2026</v>
      </c>
      <c r="G874" s="64">
        <f>Ringkasan!G873</f>
        <v>14</v>
      </c>
      <c r="H874" s="19">
        <f>Ringkasan!H873</f>
        <v>30.1</v>
      </c>
      <c r="I874" s="19">
        <f>Ringkasan!I873</f>
        <v>1</v>
      </c>
      <c r="J874" s="19">
        <f>Ringkasan!J873</f>
        <v>3.5</v>
      </c>
      <c r="K874" s="19">
        <f>Ringkasan!K873</f>
        <v>2.9</v>
      </c>
      <c r="L874" s="19">
        <f>Ringkasan!L873</f>
        <v>0.19</v>
      </c>
      <c r="M874" s="19">
        <f>Ringkasan!M873</f>
        <v>38.6</v>
      </c>
      <c r="N874" s="64" t="str">
        <f>Ringkasan!N873</f>
        <v/>
      </c>
      <c r="O874" s="64" t="str">
        <f>Ringkasan!O873</f>
        <v/>
      </c>
      <c r="P874" s="64" t="str">
        <f>Ringkasan!P873</f>
        <v/>
      </c>
      <c r="Q874" s="64" t="str">
        <f>Ringkasan!Q873</f>
        <v/>
      </c>
      <c r="R874" s="64" t="str">
        <f>Ringkasan!R873</f>
        <v/>
      </c>
      <c r="S874" s="64" t="str">
        <f>Ringkasan!S873</f>
        <v/>
      </c>
      <c r="T874" s="64" t="str">
        <f>Ringkasan!T873</f>
        <v/>
      </c>
      <c r="U874" s="64">
        <f>Ringkasan!U873</f>
        <v>57.53</v>
      </c>
      <c r="V874" s="64">
        <f>Ringkasan!V873</f>
        <v>0.26</v>
      </c>
      <c r="W874" s="64">
        <f>Ringkasan!W873</f>
        <v>57.97</v>
      </c>
      <c r="X874" s="64">
        <f>Ringkasan!X873</f>
        <v>58.06</v>
      </c>
      <c r="Y874" s="64">
        <f>Ringkasan!Y873</f>
        <v>57.68</v>
      </c>
      <c r="Z874" s="64">
        <f>Ringkasan!Z873</f>
        <v>5034</v>
      </c>
      <c r="AA874" s="64" t="str">
        <f>Ringkasan!AA873</f>
        <v>Metals &amp; Minerals</v>
      </c>
      <c r="AB874" s="64" t="str">
        <f>Ringkasan!AB873</f>
        <v>Basic Materials</v>
      </c>
    </row>
    <row r="875" hidden="1">
      <c r="A875" s="64" t="str">
        <f>Ringkasan!A874</f>
        <v>INCO</v>
      </c>
      <c r="B875" s="64" t="str">
        <f>Ringkasan!B874</f>
        <v>Vale Indonesia Tbk.</v>
      </c>
      <c r="C875" s="65">
        <f>Ringkasan!C874</f>
        <v>4710</v>
      </c>
      <c r="D875" s="64" t="str">
        <f>Ringkasan!D874</f>
        <v>#N/A</v>
      </c>
      <c r="E875" s="64" t="str">
        <f>Ringkasan!E874</f>
        <v>MNC36</v>
      </c>
      <c r="F875" s="64" t="str">
        <f>Ringkasan!F874</f>
        <v>30 Oktober 2026</v>
      </c>
      <c r="G875" s="64">
        <f>Ringkasan!G874</f>
        <v>14</v>
      </c>
      <c r="H875" s="19">
        <f>Ringkasan!H874</f>
        <v>30.1</v>
      </c>
      <c r="I875" s="19">
        <f>Ringkasan!I874</f>
        <v>1</v>
      </c>
      <c r="J875" s="19">
        <f>Ringkasan!J874</f>
        <v>3.5</v>
      </c>
      <c r="K875" s="19">
        <f>Ringkasan!K874</f>
        <v>2.9</v>
      </c>
      <c r="L875" s="19">
        <f>Ringkasan!L874</f>
        <v>0.19</v>
      </c>
      <c r="M875" s="19">
        <f>Ringkasan!M874</f>
        <v>38.6</v>
      </c>
      <c r="N875" s="64" t="str">
        <f>Ringkasan!N874</f>
        <v/>
      </c>
      <c r="O875" s="64" t="str">
        <f>Ringkasan!O874</f>
        <v/>
      </c>
      <c r="P875" s="64" t="str">
        <f>Ringkasan!P874</f>
        <v/>
      </c>
      <c r="Q875" s="64" t="str">
        <f>Ringkasan!Q874</f>
        <v/>
      </c>
      <c r="R875" s="64" t="str">
        <f>Ringkasan!R874</f>
        <v/>
      </c>
      <c r="S875" s="64" t="str">
        <f>Ringkasan!S874</f>
        <v/>
      </c>
      <c r="T875" s="64" t="str">
        <f>Ringkasan!T874</f>
        <v/>
      </c>
      <c r="U875" s="64">
        <f>Ringkasan!U874</f>
        <v>57.53</v>
      </c>
      <c r="V875" s="64">
        <f>Ringkasan!V874</f>
        <v>0.26</v>
      </c>
      <c r="W875" s="64">
        <f>Ringkasan!W874</f>
        <v>57.97</v>
      </c>
      <c r="X875" s="64">
        <f>Ringkasan!X874</f>
        <v>58.06</v>
      </c>
      <c r="Y875" s="64">
        <f>Ringkasan!Y874</f>
        <v>57.68</v>
      </c>
      <c r="Z875" s="64">
        <f>Ringkasan!Z874</f>
        <v>5034</v>
      </c>
      <c r="AA875" s="64" t="str">
        <f>Ringkasan!AA874</f>
        <v>Metals &amp; Minerals</v>
      </c>
      <c r="AB875" s="64" t="str">
        <f>Ringkasan!AB874</f>
        <v>Basic Materials</v>
      </c>
    </row>
    <row r="876" hidden="1">
      <c r="A876" s="64" t="str">
        <f>Ringkasan!A875</f>
        <v>INCO</v>
      </c>
      <c r="B876" s="64" t="str">
        <f>Ringkasan!B875</f>
        <v>Vale Indonesia Tbk.</v>
      </c>
      <c r="C876" s="65">
        <f>Ringkasan!C875</f>
        <v>4710</v>
      </c>
      <c r="D876" s="64" t="str">
        <f>Ringkasan!D875</f>
        <v>#N/A</v>
      </c>
      <c r="E876" s="64" t="str">
        <f>Ringkasan!E875</f>
        <v>FTSE Large Cap</v>
      </c>
      <c r="F876" s="64" t="str">
        <f>Ringkasan!F875</f>
        <v>Juni 2026</v>
      </c>
      <c r="G876" s="64">
        <f>Ringkasan!G875</f>
        <v>14</v>
      </c>
      <c r="H876" s="19">
        <f>Ringkasan!H875</f>
        <v>30.1</v>
      </c>
      <c r="I876" s="19">
        <f>Ringkasan!I875</f>
        <v>1</v>
      </c>
      <c r="J876" s="19">
        <f>Ringkasan!J875</f>
        <v>3.5</v>
      </c>
      <c r="K876" s="19">
        <f>Ringkasan!K875</f>
        <v>2.9</v>
      </c>
      <c r="L876" s="19">
        <f>Ringkasan!L875</f>
        <v>0.19</v>
      </c>
      <c r="M876" s="19">
        <f>Ringkasan!M875</f>
        <v>38.6</v>
      </c>
      <c r="N876" s="64" t="str">
        <f>Ringkasan!N875</f>
        <v/>
      </c>
      <c r="O876" s="64" t="str">
        <f>Ringkasan!O875</f>
        <v/>
      </c>
      <c r="P876" s="64" t="str">
        <f>Ringkasan!P875</f>
        <v/>
      </c>
      <c r="Q876" s="64" t="str">
        <f>Ringkasan!Q875</f>
        <v/>
      </c>
      <c r="R876" s="64" t="str">
        <f>Ringkasan!R875</f>
        <v/>
      </c>
      <c r="S876" s="64" t="str">
        <f>Ringkasan!S875</f>
        <v/>
      </c>
      <c r="T876" s="64" t="str">
        <f>Ringkasan!T875</f>
        <v/>
      </c>
      <c r="U876" s="64">
        <f>Ringkasan!U875</f>
        <v>57.53</v>
      </c>
      <c r="V876" s="64">
        <f>Ringkasan!V875</f>
        <v>0.26</v>
      </c>
      <c r="W876" s="64">
        <f>Ringkasan!W875</f>
        <v>57.97</v>
      </c>
      <c r="X876" s="64">
        <f>Ringkasan!X875</f>
        <v>58.06</v>
      </c>
      <c r="Y876" s="64">
        <f>Ringkasan!Y875</f>
        <v>57.68</v>
      </c>
      <c r="Z876" s="64">
        <f>Ringkasan!Z875</f>
        <v>5034</v>
      </c>
      <c r="AA876" s="64" t="str">
        <f>Ringkasan!AA875</f>
        <v>Metals &amp; Minerals</v>
      </c>
      <c r="AB876" s="64" t="str">
        <f>Ringkasan!AB875</f>
        <v>Basic Materials</v>
      </c>
    </row>
    <row r="877" hidden="1">
      <c r="A877" s="64" t="str">
        <f>Ringkasan!A876</f>
        <v>INCO</v>
      </c>
      <c r="B877" s="64" t="str">
        <f>Ringkasan!B876</f>
        <v>Vale Indonesia Tbk.</v>
      </c>
      <c r="C877" s="65">
        <f>Ringkasan!C876</f>
        <v>4710</v>
      </c>
      <c r="D877" s="64" t="str">
        <f>Ringkasan!D876</f>
        <v>#N/A</v>
      </c>
      <c r="E877" s="64" t="str">
        <f>Ringkasan!E876</f>
        <v>MSCI Small Cap</v>
      </c>
      <c r="F877" s="64" t="str">
        <f>Ringkasan!F876</f>
        <v>12 Agustus 2026</v>
      </c>
      <c r="G877" s="64">
        <f>Ringkasan!G876</f>
        <v>14</v>
      </c>
      <c r="H877" s="19">
        <f>Ringkasan!H876</f>
        <v>30.1</v>
      </c>
      <c r="I877" s="19">
        <f>Ringkasan!I876</f>
        <v>1</v>
      </c>
      <c r="J877" s="19">
        <f>Ringkasan!J876</f>
        <v>3.5</v>
      </c>
      <c r="K877" s="19">
        <f>Ringkasan!K876</f>
        <v>2.9</v>
      </c>
      <c r="L877" s="19">
        <f>Ringkasan!L876</f>
        <v>0.19</v>
      </c>
      <c r="M877" s="19">
        <f>Ringkasan!M876</f>
        <v>38.6</v>
      </c>
      <c r="N877" s="64" t="str">
        <f>Ringkasan!N876</f>
        <v/>
      </c>
      <c r="O877" s="64" t="str">
        <f>Ringkasan!O876</f>
        <v/>
      </c>
      <c r="P877" s="64" t="str">
        <f>Ringkasan!P876</f>
        <v/>
      </c>
      <c r="Q877" s="64" t="str">
        <f>Ringkasan!Q876</f>
        <v/>
      </c>
      <c r="R877" s="64" t="str">
        <f>Ringkasan!R876</f>
        <v/>
      </c>
      <c r="S877" s="64" t="str">
        <f>Ringkasan!S876</f>
        <v/>
      </c>
      <c r="T877" s="64" t="str">
        <f>Ringkasan!T876</f>
        <v/>
      </c>
      <c r="U877" s="64">
        <f>Ringkasan!U876</f>
        <v>57.53</v>
      </c>
      <c r="V877" s="64">
        <f>Ringkasan!V876</f>
        <v>0.26</v>
      </c>
      <c r="W877" s="64">
        <f>Ringkasan!W876</f>
        <v>57.97</v>
      </c>
      <c r="X877" s="64">
        <f>Ringkasan!X876</f>
        <v>58.06</v>
      </c>
      <c r="Y877" s="64">
        <f>Ringkasan!Y876</f>
        <v>57.68</v>
      </c>
      <c r="Z877" s="64">
        <f>Ringkasan!Z876</f>
        <v>5034</v>
      </c>
      <c r="AA877" s="64" t="str">
        <f>Ringkasan!AA876</f>
        <v>Metals &amp; Minerals</v>
      </c>
      <c r="AB877" s="64" t="str">
        <f>Ringkasan!AB876</f>
        <v>Basic Materials</v>
      </c>
    </row>
    <row r="878" hidden="1">
      <c r="A878" s="64" t="str">
        <f>Ringkasan!A877</f>
        <v>INCO</v>
      </c>
      <c r="B878" s="64" t="str">
        <f>Ringkasan!B877</f>
        <v>Vale Indonesia Tbk.</v>
      </c>
      <c r="C878" s="65">
        <f>Ringkasan!C877</f>
        <v>4710</v>
      </c>
      <c r="D878" s="64" t="str">
        <f>Ringkasan!D877</f>
        <v>#N/A</v>
      </c>
      <c r="E878" s="64" t="str">
        <f>Ringkasan!E877</f>
        <v>Investor33</v>
      </c>
      <c r="F878" s="66">
        <f>Ringkasan!F877</f>
        <v>46356</v>
      </c>
      <c r="G878" s="64">
        <f>Ringkasan!G877</f>
        <v>14</v>
      </c>
      <c r="H878" s="19">
        <f>Ringkasan!H877</f>
        <v>30.1</v>
      </c>
      <c r="I878" s="19">
        <f>Ringkasan!I877</f>
        <v>1</v>
      </c>
      <c r="J878" s="19">
        <f>Ringkasan!J877</f>
        <v>3.5</v>
      </c>
      <c r="K878" s="19">
        <f>Ringkasan!K877</f>
        <v>2.9</v>
      </c>
      <c r="L878" s="19">
        <f>Ringkasan!L877</f>
        <v>0.19</v>
      </c>
      <c r="M878" s="19">
        <f>Ringkasan!M877</f>
        <v>38.6</v>
      </c>
      <c r="N878" s="64" t="str">
        <f>Ringkasan!N877</f>
        <v/>
      </c>
      <c r="O878" s="64" t="str">
        <f>Ringkasan!O877</f>
        <v/>
      </c>
      <c r="P878" s="64" t="str">
        <f>Ringkasan!P877</f>
        <v/>
      </c>
      <c r="Q878" s="64" t="str">
        <f>Ringkasan!Q877</f>
        <v/>
      </c>
      <c r="R878" s="64" t="str">
        <f>Ringkasan!R877</f>
        <v/>
      </c>
      <c r="S878" s="64" t="str">
        <f>Ringkasan!S877</f>
        <v/>
      </c>
      <c r="T878" s="64" t="str">
        <f>Ringkasan!T877</f>
        <v/>
      </c>
      <c r="U878" s="64">
        <f>Ringkasan!U877</f>
        <v>57.53</v>
      </c>
      <c r="V878" s="64">
        <f>Ringkasan!V877</f>
        <v>0.26</v>
      </c>
      <c r="W878" s="64">
        <f>Ringkasan!W877</f>
        <v>57.97</v>
      </c>
      <c r="X878" s="64">
        <f>Ringkasan!X877</f>
        <v>58.06</v>
      </c>
      <c r="Y878" s="64">
        <f>Ringkasan!Y877</f>
        <v>57.68</v>
      </c>
      <c r="Z878" s="64">
        <f>Ringkasan!Z877</f>
        <v>5034</v>
      </c>
      <c r="AA878" s="64" t="str">
        <f>Ringkasan!AA877</f>
        <v>Metals &amp; Minerals</v>
      </c>
      <c r="AB878" s="64" t="str">
        <f>Ringkasan!AB877</f>
        <v>Basic Materials</v>
      </c>
    </row>
    <row r="879" hidden="1">
      <c r="A879" s="64" t="str">
        <f>Ringkasan!A878</f>
        <v>INDF</v>
      </c>
      <c r="B879" s="64" t="str">
        <f>Ringkasan!B878</f>
        <v>Indofood Sukses Makmur Tbk.</v>
      </c>
      <c r="C879" s="65">
        <f>Ringkasan!C878</f>
        <v>6425</v>
      </c>
      <c r="D879" s="64" t="str">
        <f>Ringkasan!D878</f>
        <v>#N/A</v>
      </c>
      <c r="E879" s="64" t="str">
        <f>Ringkasan!E878</f>
        <v>ESGQKEHATI</v>
      </c>
      <c r="F879" s="66">
        <f>Ringkasan!F878</f>
        <v>46356</v>
      </c>
      <c r="G879" s="64">
        <f>Ringkasan!G878</f>
        <v>18</v>
      </c>
      <c r="H879" s="19">
        <f>Ringkasan!H878</f>
        <v>5.6</v>
      </c>
      <c r="I879" s="19">
        <f>Ringkasan!I878</f>
        <v>0.48</v>
      </c>
      <c r="J879" s="19">
        <f>Ringkasan!J878</f>
        <v>8.7</v>
      </c>
      <c r="K879" s="19">
        <f>Ringkasan!K878</f>
        <v>4.8</v>
      </c>
      <c r="L879" s="19">
        <f>Ringkasan!L878</f>
        <v>0.8</v>
      </c>
      <c r="M879" s="19">
        <f>Ringkasan!M878</f>
        <v>32.2</v>
      </c>
      <c r="N879" s="64" t="str">
        <f>Ringkasan!N878</f>
        <v/>
      </c>
      <c r="O879" s="64" t="str">
        <f>Ringkasan!O878</f>
        <v/>
      </c>
      <c r="P879" s="64" t="str">
        <f>Ringkasan!P878</f>
        <v/>
      </c>
      <c r="Q879" s="64" t="str">
        <f>Ringkasan!Q878</f>
        <v/>
      </c>
      <c r="R879" s="64" t="str">
        <f>Ringkasan!R878</f>
        <v/>
      </c>
      <c r="S879" s="64" t="str">
        <f>Ringkasan!S878</f>
        <v/>
      </c>
      <c r="T879" s="64" t="str">
        <f>Ringkasan!T878</f>
        <v/>
      </c>
      <c r="U879" s="64">
        <f>Ringkasan!U878</f>
        <v>6225</v>
      </c>
      <c r="V879" s="64">
        <f>Ringkasan!V878</f>
        <v>3.21</v>
      </c>
      <c r="W879" s="64">
        <f>Ringkasan!W878</f>
        <v>6275</v>
      </c>
      <c r="X879" s="64">
        <f>Ringkasan!X878</f>
        <v>6675</v>
      </c>
      <c r="Y879" s="64">
        <f>Ringkasan!Y878</f>
        <v>6275</v>
      </c>
      <c r="Z879" s="64">
        <f>Ringkasan!Z878</f>
        <v>11991600</v>
      </c>
      <c r="AA879" s="64" t="str">
        <f>Ringkasan!AA878</f>
        <v>Processed Foods</v>
      </c>
      <c r="AB879" s="64" t="str">
        <f>Ringkasan!AB878</f>
        <v>Consumer Non-Cyclicals</v>
      </c>
    </row>
    <row r="880" hidden="1">
      <c r="A880" s="64" t="str">
        <f>Ringkasan!A879</f>
        <v>INDF</v>
      </c>
      <c r="B880" s="64" t="str">
        <f>Ringkasan!B879</f>
        <v>Indofood Sukses Makmur Tbk.</v>
      </c>
      <c r="C880" s="65">
        <f>Ringkasan!C879</f>
        <v>6425</v>
      </c>
      <c r="D880" s="64" t="str">
        <f>Ringkasan!D879</f>
        <v>#N/A</v>
      </c>
      <c r="E880" s="64" t="str">
        <f>Ringkasan!E879</f>
        <v>IDXSHAGROW</v>
      </c>
      <c r="F880" s="66">
        <f>Ringkasan!F879</f>
        <v>46356</v>
      </c>
      <c r="G880" s="64">
        <f>Ringkasan!G879</f>
        <v>18</v>
      </c>
      <c r="H880" s="19">
        <f>Ringkasan!H879</f>
        <v>5.6</v>
      </c>
      <c r="I880" s="19">
        <f>Ringkasan!I879</f>
        <v>0.48</v>
      </c>
      <c r="J880" s="19">
        <f>Ringkasan!J879</f>
        <v>8.7</v>
      </c>
      <c r="K880" s="19">
        <f>Ringkasan!K879</f>
        <v>4.8</v>
      </c>
      <c r="L880" s="19">
        <f>Ringkasan!L879</f>
        <v>0.8</v>
      </c>
      <c r="M880" s="19">
        <f>Ringkasan!M879</f>
        <v>32.2</v>
      </c>
      <c r="N880" s="64" t="str">
        <f>Ringkasan!N879</f>
        <v/>
      </c>
      <c r="O880" s="64" t="str">
        <f>Ringkasan!O879</f>
        <v/>
      </c>
      <c r="P880" s="64" t="str">
        <f>Ringkasan!P879</f>
        <v/>
      </c>
      <c r="Q880" s="64" t="str">
        <f>Ringkasan!Q879</f>
        <v/>
      </c>
      <c r="R880" s="64" t="str">
        <f>Ringkasan!R879</f>
        <v/>
      </c>
      <c r="S880" s="64" t="str">
        <f>Ringkasan!S879</f>
        <v/>
      </c>
      <c r="T880" s="64" t="str">
        <f>Ringkasan!T879</f>
        <v/>
      </c>
      <c r="U880" s="64">
        <f>Ringkasan!U879</f>
        <v>6225</v>
      </c>
      <c r="V880" s="64">
        <f>Ringkasan!V879</f>
        <v>3.21</v>
      </c>
      <c r="W880" s="64">
        <f>Ringkasan!W879</f>
        <v>6275</v>
      </c>
      <c r="X880" s="64">
        <f>Ringkasan!X879</f>
        <v>6675</v>
      </c>
      <c r="Y880" s="64">
        <f>Ringkasan!Y879</f>
        <v>6275</v>
      </c>
      <c r="Z880" s="64">
        <f>Ringkasan!Z879</f>
        <v>11991600</v>
      </c>
      <c r="AA880" s="64" t="str">
        <f>Ringkasan!AA879</f>
        <v>Processed Foods</v>
      </c>
      <c r="AB880" s="64" t="str">
        <f>Ringkasan!AB879</f>
        <v>Consumer Non-Cyclicals</v>
      </c>
    </row>
    <row r="881" hidden="1">
      <c r="A881" s="64" t="str">
        <f>Ringkasan!A880</f>
        <v>INDF</v>
      </c>
      <c r="B881" s="64" t="str">
        <f>Ringkasan!B880</f>
        <v>Indofood Sukses Makmur Tbk.</v>
      </c>
      <c r="C881" s="65">
        <f>Ringkasan!C880</f>
        <v>6425</v>
      </c>
      <c r="D881" s="64" t="str">
        <f>Ringkasan!D880</f>
        <v>#N/A</v>
      </c>
      <c r="E881" s="64" t="str">
        <f>Ringkasan!E880</f>
        <v>ESGSKEHATI</v>
      </c>
      <c r="F881" s="66">
        <f>Ringkasan!F880</f>
        <v>46356</v>
      </c>
      <c r="G881" s="64">
        <f>Ringkasan!G880</f>
        <v>18</v>
      </c>
      <c r="H881" s="19">
        <f>Ringkasan!H880</f>
        <v>5.6</v>
      </c>
      <c r="I881" s="19">
        <f>Ringkasan!I880</f>
        <v>0.48</v>
      </c>
      <c r="J881" s="19">
        <f>Ringkasan!J880</f>
        <v>8.7</v>
      </c>
      <c r="K881" s="19">
        <f>Ringkasan!K880</f>
        <v>4.8</v>
      </c>
      <c r="L881" s="19">
        <f>Ringkasan!L880</f>
        <v>0.8</v>
      </c>
      <c r="M881" s="19">
        <f>Ringkasan!M880</f>
        <v>32.2</v>
      </c>
      <c r="N881" s="64" t="str">
        <f>Ringkasan!N880</f>
        <v/>
      </c>
      <c r="O881" s="64" t="str">
        <f>Ringkasan!O880</f>
        <v/>
      </c>
      <c r="P881" s="64" t="str">
        <f>Ringkasan!P880</f>
        <v/>
      </c>
      <c r="Q881" s="64" t="str">
        <f>Ringkasan!Q880</f>
        <v/>
      </c>
      <c r="R881" s="64" t="str">
        <f>Ringkasan!R880</f>
        <v/>
      </c>
      <c r="S881" s="64" t="str">
        <f>Ringkasan!S880</f>
        <v/>
      </c>
      <c r="T881" s="64" t="str">
        <f>Ringkasan!T880</f>
        <v/>
      </c>
      <c r="U881" s="64">
        <f>Ringkasan!U880</f>
        <v>6225</v>
      </c>
      <c r="V881" s="64">
        <f>Ringkasan!V880</f>
        <v>3.21</v>
      </c>
      <c r="W881" s="64">
        <f>Ringkasan!W880</f>
        <v>6275</v>
      </c>
      <c r="X881" s="64">
        <f>Ringkasan!X880</f>
        <v>6675</v>
      </c>
      <c r="Y881" s="64">
        <f>Ringkasan!Y880</f>
        <v>6275</v>
      </c>
      <c r="Z881" s="64">
        <f>Ringkasan!Z880</f>
        <v>11991600</v>
      </c>
      <c r="AA881" s="64" t="str">
        <f>Ringkasan!AA880</f>
        <v>Processed Foods</v>
      </c>
      <c r="AB881" s="64" t="str">
        <f>Ringkasan!AB880</f>
        <v>Consumer Non-Cyclicals</v>
      </c>
    </row>
    <row r="882" hidden="1">
      <c r="A882" s="64" t="str">
        <f>Ringkasan!A881</f>
        <v>INDF</v>
      </c>
      <c r="B882" s="64" t="str">
        <f>Ringkasan!B881</f>
        <v>Indofood Sukses Makmur Tbk.</v>
      </c>
      <c r="C882" s="65">
        <f>Ringkasan!C881</f>
        <v>6425</v>
      </c>
      <c r="D882" s="64" t="str">
        <f>Ringkasan!D881</f>
        <v>#N/A</v>
      </c>
      <c r="E882" s="64" t="str">
        <f>Ringkasan!E881</f>
        <v>IDXV30</v>
      </c>
      <c r="F882" s="64" t="str">
        <f>Ringkasan!F881</f>
        <v>4 Agustus 2026</v>
      </c>
      <c r="G882" s="64">
        <f>Ringkasan!G881</f>
        <v>18</v>
      </c>
      <c r="H882" s="19">
        <f>Ringkasan!H881</f>
        <v>5.6</v>
      </c>
      <c r="I882" s="19">
        <f>Ringkasan!I881</f>
        <v>0.48</v>
      </c>
      <c r="J882" s="19">
        <f>Ringkasan!J881</f>
        <v>8.7</v>
      </c>
      <c r="K882" s="19">
        <f>Ringkasan!K881</f>
        <v>4.8</v>
      </c>
      <c r="L882" s="19">
        <f>Ringkasan!L881</f>
        <v>0.8</v>
      </c>
      <c r="M882" s="19">
        <f>Ringkasan!M881</f>
        <v>32.2</v>
      </c>
      <c r="N882" s="64" t="str">
        <f>Ringkasan!N881</f>
        <v/>
      </c>
      <c r="O882" s="64" t="str">
        <f>Ringkasan!O881</f>
        <v/>
      </c>
      <c r="P882" s="64" t="str">
        <f>Ringkasan!P881</f>
        <v/>
      </c>
      <c r="Q882" s="64" t="str">
        <f>Ringkasan!Q881</f>
        <v/>
      </c>
      <c r="R882" s="64" t="str">
        <f>Ringkasan!R881</f>
        <v/>
      </c>
      <c r="S882" s="64" t="str">
        <f>Ringkasan!S881</f>
        <v/>
      </c>
      <c r="T882" s="64" t="str">
        <f>Ringkasan!T881</f>
        <v/>
      </c>
      <c r="U882" s="64">
        <f>Ringkasan!U881</f>
        <v>6225</v>
      </c>
      <c r="V882" s="64">
        <f>Ringkasan!V881</f>
        <v>3.21</v>
      </c>
      <c r="W882" s="64">
        <f>Ringkasan!W881</f>
        <v>6275</v>
      </c>
      <c r="X882" s="64">
        <f>Ringkasan!X881</f>
        <v>6675</v>
      </c>
      <c r="Y882" s="64">
        <f>Ringkasan!Y881</f>
        <v>6275</v>
      </c>
      <c r="Z882" s="64">
        <f>Ringkasan!Z881</f>
        <v>11991600</v>
      </c>
      <c r="AA882" s="64" t="str">
        <f>Ringkasan!AA881</f>
        <v>Processed Foods</v>
      </c>
      <c r="AB882" s="64" t="str">
        <f>Ringkasan!AB881</f>
        <v>Consumer Non-Cyclicals</v>
      </c>
    </row>
    <row r="883" hidden="1">
      <c r="A883" s="64" t="str">
        <f>Ringkasan!A882</f>
        <v>INDF</v>
      </c>
      <c r="B883" s="64" t="str">
        <f>Ringkasan!B882</f>
        <v>Indofood Sukses Makmur Tbk.</v>
      </c>
      <c r="C883" s="65">
        <f>Ringkasan!C882</f>
        <v>6425</v>
      </c>
      <c r="D883" s="64" t="str">
        <f>Ringkasan!D882</f>
        <v>#N/A</v>
      </c>
      <c r="E883" s="64" t="str">
        <f>Ringkasan!E882</f>
        <v>IDXG30</v>
      </c>
      <c r="F883" s="64" t="str">
        <f>Ringkasan!F882</f>
        <v>4 Agustus 2026</v>
      </c>
      <c r="G883" s="64">
        <f>Ringkasan!G882</f>
        <v>18</v>
      </c>
      <c r="H883" s="19">
        <f>Ringkasan!H882</f>
        <v>5.6</v>
      </c>
      <c r="I883" s="19">
        <f>Ringkasan!I882</f>
        <v>0.48</v>
      </c>
      <c r="J883" s="19">
        <f>Ringkasan!J882</f>
        <v>8.7</v>
      </c>
      <c r="K883" s="19">
        <f>Ringkasan!K882</f>
        <v>4.8</v>
      </c>
      <c r="L883" s="19">
        <f>Ringkasan!L882</f>
        <v>0.8</v>
      </c>
      <c r="M883" s="19">
        <f>Ringkasan!M882</f>
        <v>32.2</v>
      </c>
      <c r="N883" s="64" t="str">
        <f>Ringkasan!N882</f>
        <v/>
      </c>
      <c r="O883" s="64" t="str">
        <f>Ringkasan!O882</f>
        <v/>
      </c>
      <c r="P883" s="64" t="str">
        <f>Ringkasan!P882</f>
        <v/>
      </c>
      <c r="Q883" s="64" t="str">
        <f>Ringkasan!Q882</f>
        <v/>
      </c>
      <c r="R883" s="64" t="str">
        <f>Ringkasan!R882</f>
        <v/>
      </c>
      <c r="S883" s="64" t="str">
        <f>Ringkasan!S882</f>
        <v/>
      </c>
      <c r="T883" s="64" t="str">
        <f>Ringkasan!T882</f>
        <v/>
      </c>
      <c r="U883" s="64">
        <f>Ringkasan!U882</f>
        <v>6225</v>
      </c>
      <c r="V883" s="64">
        <f>Ringkasan!V882</f>
        <v>3.21</v>
      </c>
      <c r="W883" s="64">
        <f>Ringkasan!W882</f>
        <v>6275</v>
      </c>
      <c r="X883" s="64">
        <f>Ringkasan!X882</f>
        <v>6675</v>
      </c>
      <c r="Y883" s="64">
        <f>Ringkasan!Y882</f>
        <v>6275</v>
      </c>
      <c r="Z883" s="64">
        <f>Ringkasan!Z882</f>
        <v>11991600</v>
      </c>
      <c r="AA883" s="64" t="str">
        <f>Ringkasan!AA882</f>
        <v>Processed Foods</v>
      </c>
      <c r="AB883" s="64" t="str">
        <f>Ringkasan!AB882</f>
        <v>Consumer Non-Cyclicals</v>
      </c>
    </row>
    <row r="884" hidden="1">
      <c r="A884" s="64" t="str">
        <f>Ringkasan!A883</f>
        <v>INDF</v>
      </c>
      <c r="B884" s="64" t="str">
        <f>Ringkasan!B883</f>
        <v>Indofood Sukses Makmur Tbk.</v>
      </c>
      <c r="C884" s="65">
        <f>Ringkasan!C883</f>
        <v>6425</v>
      </c>
      <c r="D884" s="64" t="str">
        <f>Ringkasan!D883</f>
        <v>#N/A</v>
      </c>
      <c r="E884" s="64" t="str">
        <f>Ringkasan!E883</f>
        <v>LQ45</v>
      </c>
      <c r="F884" s="64" t="str">
        <f>Ringkasan!F883</f>
        <v>31 Juli 2026</v>
      </c>
      <c r="G884" s="64">
        <f>Ringkasan!G883</f>
        <v>18</v>
      </c>
      <c r="H884" s="19">
        <f>Ringkasan!H883</f>
        <v>5.6</v>
      </c>
      <c r="I884" s="19">
        <f>Ringkasan!I883</f>
        <v>0.48</v>
      </c>
      <c r="J884" s="19">
        <f>Ringkasan!J883</f>
        <v>8.7</v>
      </c>
      <c r="K884" s="19">
        <f>Ringkasan!K883</f>
        <v>4.8</v>
      </c>
      <c r="L884" s="19">
        <f>Ringkasan!L883</f>
        <v>0.8</v>
      </c>
      <c r="M884" s="19">
        <f>Ringkasan!M883</f>
        <v>32.2</v>
      </c>
      <c r="N884" s="64" t="str">
        <f>Ringkasan!N883</f>
        <v/>
      </c>
      <c r="O884" s="64" t="str">
        <f>Ringkasan!O883</f>
        <v/>
      </c>
      <c r="P884" s="64" t="str">
        <f>Ringkasan!P883</f>
        <v/>
      </c>
      <c r="Q884" s="64" t="str">
        <f>Ringkasan!Q883</f>
        <v/>
      </c>
      <c r="R884" s="64" t="str">
        <f>Ringkasan!R883</f>
        <v/>
      </c>
      <c r="S884" s="64" t="str">
        <f>Ringkasan!S883</f>
        <v/>
      </c>
      <c r="T884" s="64" t="str">
        <f>Ringkasan!T883</f>
        <v/>
      </c>
      <c r="U884" s="64">
        <f>Ringkasan!U883</f>
        <v>6225</v>
      </c>
      <c r="V884" s="64">
        <f>Ringkasan!V883</f>
        <v>3.21</v>
      </c>
      <c r="W884" s="64">
        <f>Ringkasan!W883</f>
        <v>6275</v>
      </c>
      <c r="X884" s="64">
        <f>Ringkasan!X883</f>
        <v>6675</v>
      </c>
      <c r="Y884" s="64">
        <f>Ringkasan!Y883</f>
        <v>6275</v>
      </c>
      <c r="Z884" s="64">
        <f>Ringkasan!Z883</f>
        <v>11991600</v>
      </c>
      <c r="AA884" s="64" t="str">
        <f>Ringkasan!AA883</f>
        <v>Processed Foods</v>
      </c>
      <c r="AB884" s="64" t="str">
        <f>Ringkasan!AB883</f>
        <v>Consumer Non-Cyclicals</v>
      </c>
    </row>
    <row r="885" hidden="1">
      <c r="A885" s="64" t="str">
        <f>Ringkasan!A884</f>
        <v>INDF</v>
      </c>
      <c r="B885" s="64" t="str">
        <f>Ringkasan!B884</f>
        <v>Indofood Sukses Makmur Tbk.</v>
      </c>
      <c r="C885" s="65">
        <f>Ringkasan!C884</f>
        <v>6425</v>
      </c>
      <c r="D885" s="64" t="str">
        <f>Ringkasan!D884</f>
        <v>#N/A</v>
      </c>
      <c r="E885" s="64" t="str">
        <f>Ringkasan!E884</f>
        <v>IDX80</v>
      </c>
      <c r="F885" s="64" t="str">
        <f>Ringkasan!F884</f>
        <v>31 Juli 2026</v>
      </c>
      <c r="G885" s="64">
        <f>Ringkasan!G884</f>
        <v>18</v>
      </c>
      <c r="H885" s="19">
        <f>Ringkasan!H884</f>
        <v>5.6</v>
      </c>
      <c r="I885" s="19">
        <f>Ringkasan!I884</f>
        <v>0.48</v>
      </c>
      <c r="J885" s="19">
        <f>Ringkasan!J884</f>
        <v>8.7</v>
      </c>
      <c r="K885" s="19">
        <f>Ringkasan!K884</f>
        <v>4.8</v>
      </c>
      <c r="L885" s="19">
        <f>Ringkasan!L884</f>
        <v>0.8</v>
      </c>
      <c r="M885" s="19">
        <f>Ringkasan!M884</f>
        <v>32.2</v>
      </c>
      <c r="N885" s="64" t="str">
        <f>Ringkasan!N884</f>
        <v/>
      </c>
      <c r="O885" s="64" t="str">
        <f>Ringkasan!O884</f>
        <v/>
      </c>
      <c r="P885" s="64" t="str">
        <f>Ringkasan!P884</f>
        <v/>
      </c>
      <c r="Q885" s="64" t="str">
        <f>Ringkasan!Q884</f>
        <v/>
      </c>
      <c r="R885" s="64" t="str">
        <f>Ringkasan!R884</f>
        <v/>
      </c>
      <c r="S885" s="64" t="str">
        <f>Ringkasan!S884</f>
        <v/>
      </c>
      <c r="T885" s="64" t="str">
        <f>Ringkasan!T884</f>
        <v/>
      </c>
      <c r="U885" s="64">
        <f>Ringkasan!U884</f>
        <v>6225</v>
      </c>
      <c r="V885" s="64">
        <f>Ringkasan!V884</f>
        <v>3.21</v>
      </c>
      <c r="W885" s="64">
        <f>Ringkasan!W884</f>
        <v>6275</v>
      </c>
      <c r="X885" s="64">
        <f>Ringkasan!X884</f>
        <v>6675</v>
      </c>
      <c r="Y885" s="64">
        <f>Ringkasan!Y884</f>
        <v>6275</v>
      </c>
      <c r="Z885" s="64">
        <f>Ringkasan!Z884</f>
        <v>11991600</v>
      </c>
      <c r="AA885" s="64" t="str">
        <f>Ringkasan!AA884</f>
        <v>Processed Foods</v>
      </c>
      <c r="AB885" s="64" t="str">
        <f>Ringkasan!AB884</f>
        <v>Consumer Non-Cyclicals</v>
      </c>
    </row>
    <row r="886" hidden="1">
      <c r="A886" s="64" t="str">
        <f>Ringkasan!A885</f>
        <v>INDF</v>
      </c>
      <c r="B886" s="64" t="str">
        <f>Ringkasan!B885</f>
        <v>Indofood Sukses Makmur Tbk.</v>
      </c>
      <c r="C886" s="65">
        <f>Ringkasan!C885</f>
        <v>6425</v>
      </c>
      <c r="D886" s="64" t="str">
        <f>Ringkasan!D885</f>
        <v>#N/A</v>
      </c>
      <c r="E886" s="64" t="str">
        <f>Ringkasan!E885</f>
        <v>IDXHIDIV20</v>
      </c>
      <c r="F886" s="64" t="str">
        <f>Ringkasan!F885</f>
        <v>2 Februari 2027</v>
      </c>
      <c r="G886" s="64">
        <f>Ringkasan!G885</f>
        <v>18</v>
      </c>
      <c r="H886" s="19">
        <f>Ringkasan!H885</f>
        <v>5.6</v>
      </c>
      <c r="I886" s="19">
        <f>Ringkasan!I885</f>
        <v>0.48</v>
      </c>
      <c r="J886" s="19">
        <f>Ringkasan!J885</f>
        <v>8.7</v>
      </c>
      <c r="K886" s="19">
        <f>Ringkasan!K885</f>
        <v>4.8</v>
      </c>
      <c r="L886" s="19">
        <f>Ringkasan!L885</f>
        <v>0.8</v>
      </c>
      <c r="M886" s="19">
        <f>Ringkasan!M885</f>
        <v>32.2</v>
      </c>
      <c r="N886" s="64" t="str">
        <f>Ringkasan!N885</f>
        <v/>
      </c>
      <c r="O886" s="64" t="str">
        <f>Ringkasan!O885</f>
        <v/>
      </c>
      <c r="P886" s="64" t="str">
        <f>Ringkasan!P885</f>
        <v/>
      </c>
      <c r="Q886" s="64" t="str">
        <f>Ringkasan!Q885</f>
        <v/>
      </c>
      <c r="R886" s="64" t="str">
        <f>Ringkasan!R885</f>
        <v/>
      </c>
      <c r="S886" s="64" t="str">
        <f>Ringkasan!S885</f>
        <v/>
      </c>
      <c r="T886" s="64" t="str">
        <f>Ringkasan!T885</f>
        <v/>
      </c>
      <c r="U886" s="64">
        <f>Ringkasan!U885</f>
        <v>6225</v>
      </c>
      <c r="V886" s="64">
        <f>Ringkasan!V885</f>
        <v>3.21</v>
      </c>
      <c r="W886" s="64">
        <f>Ringkasan!W885</f>
        <v>6275</v>
      </c>
      <c r="X886" s="64">
        <f>Ringkasan!X885</f>
        <v>6675</v>
      </c>
      <c r="Y886" s="64">
        <f>Ringkasan!Y885</f>
        <v>6275</v>
      </c>
      <c r="Z886" s="64">
        <f>Ringkasan!Z885</f>
        <v>11991600</v>
      </c>
      <c r="AA886" s="64" t="str">
        <f>Ringkasan!AA885</f>
        <v>Processed Foods</v>
      </c>
      <c r="AB886" s="64" t="str">
        <f>Ringkasan!AB885</f>
        <v>Consumer Non-Cyclicals</v>
      </c>
    </row>
    <row r="887" hidden="1">
      <c r="A887" s="64" t="str">
        <f>Ringkasan!A886</f>
        <v>INDF</v>
      </c>
      <c r="B887" s="64" t="str">
        <f>Ringkasan!B886</f>
        <v>Indofood Sukses Makmur Tbk.</v>
      </c>
      <c r="C887" s="65">
        <f>Ringkasan!C886</f>
        <v>6425</v>
      </c>
      <c r="D887" s="64" t="str">
        <f>Ringkasan!D886</f>
        <v>#N/A</v>
      </c>
      <c r="E887" s="64" t="str">
        <f>Ringkasan!E886</f>
        <v>IDX30</v>
      </c>
      <c r="F887" s="64" t="str">
        <f>Ringkasan!F886</f>
        <v>31 Juli 2026</v>
      </c>
      <c r="G887" s="64">
        <f>Ringkasan!G886</f>
        <v>18</v>
      </c>
      <c r="H887" s="19">
        <f>Ringkasan!H886</f>
        <v>5.6</v>
      </c>
      <c r="I887" s="19">
        <f>Ringkasan!I886</f>
        <v>0.48</v>
      </c>
      <c r="J887" s="19">
        <f>Ringkasan!J886</f>
        <v>8.7</v>
      </c>
      <c r="K887" s="19">
        <f>Ringkasan!K886</f>
        <v>4.8</v>
      </c>
      <c r="L887" s="19">
        <f>Ringkasan!L886</f>
        <v>0.8</v>
      </c>
      <c r="M887" s="19">
        <f>Ringkasan!M886</f>
        <v>32.2</v>
      </c>
      <c r="N887" s="64" t="str">
        <f>Ringkasan!N886</f>
        <v/>
      </c>
      <c r="O887" s="64" t="str">
        <f>Ringkasan!O886</f>
        <v/>
      </c>
      <c r="P887" s="64" t="str">
        <f>Ringkasan!P886</f>
        <v/>
      </c>
      <c r="Q887" s="64" t="str">
        <f>Ringkasan!Q886</f>
        <v/>
      </c>
      <c r="R887" s="64" t="str">
        <f>Ringkasan!R886</f>
        <v/>
      </c>
      <c r="S887" s="64" t="str">
        <f>Ringkasan!S886</f>
        <v/>
      </c>
      <c r="T887" s="64" t="str">
        <f>Ringkasan!T886</f>
        <v/>
      </c>
      <c r="U887" s="64">
        <f>Ringkasan!U886</f>
        <v>6225</v>
      </c>
      <c r="V887" s="64">
        <f>Ringkasan!V886</f>
        <v>3.21</v>
      </c>
      <c r="W887" s="64">
        <f>Ringkasan!W886</f>
        <v>6275</v>
      </c>
      <c r="X887" s="64">
        <f>Ringkasan!X886</f>
        <v>6675</v>
      </c>
      <c r="Y887" s="64">
        <f>Ringkasan!Y886</f>
        <v>6275</v>
      </c>
      <c r="Z887" s="64">
        <f>Ringkasan!Z886</f>
        <v>11991600</v>
      </c>
      <c r="AA887" s="64" t="str">
        <f>Ringkasan!AA886</f>
        <v>Processed Foods</v>
      </c>
      <c r="AB887" s="64" t="str">
        <f>Ringkasan!AB886</f>
        <v>Consumer Non-Cyclicals</v>
      </c>
    </row>
    <row r="888" hidden="1">
      <c r="A888" s="64" t="str">
        <f>Ringkasan!A887</f>
        <v>INDF</v>
      </c>
      <c r="B888" s="64" t="str">
        <f>Ringkasan!B887</f>
        <v>Indofood Sukses Makmur Tbk.</v>
      </c>
      <c r="C888" s="65">
        <f>Ringkasan!C887</f>
        <v>6425</v>
      </c>
      <c r="D888" s="64" t="str">
        <f>Ringkasan!D887</f>
        <v>#N/A</v>
      </c>
      <c r="E888" s="64" t="str">
        <f>Ringkasan!E887</f>
        <v>Kompas100</v>
      </c>
      <c r="F888" s="64" t="str">
        <f>Ringkasan!F887</f>
        <v>31 Juli 2026</v>
      </c>
      <c r="G888" s="64">
        <f>Ringkasan!G887</f>
        <v>18</v>
      </c>
      <c r="H888" s="19">
        <f>Ringkasan!H887</f>
        <v>5.6</v>
      </c>
      <c r="I888" s="19">
        <f>Ringkasan!I887</f>
        <v>0.48</v>
      </c>
      <c r="J888" s="19">
        <f>Ringkasan!J887</f>
        <v>8.7</v>
      </c>
      <c r="K888" s="19">
        <f>Ringkasan!K887</f>
        <v>4.8</v>
      </c>
      <c r="L888" s="19">
        <f>Ringkasan!L887</f>
        <v>0.8</v>
      </c>
      <c r="M888" s="19">
        <f>Ringkasan!M887</f>
        <v>32.2</v>
      </c>
      <c r="N888" s="64" t="str">
        <f>Ringkasan!N887</f>
        <v/>
      </c>
      <c r="O888" s="64" t="str">
        <f>Ringkasan!O887</f>
        <v/>
      </c>
      <c r="P888" s="64" t="str">
        <f>Ringkasan!P887</f>
        <v/>
      </c>
      <c r="Q888" s="64" t="str">
        <f>Ringkasan!Q887</f>
        <v/>
      </c>
      <c r="R888" s="64" t="str">
        <f>Ringkasan!R887</f>
        <v/>
      </c>
      <c r="S888" s="64" t="str">
        <f>Ringkasan!S887</f>
        <v/>
      </c>
      <c r="T888" s="64" t="str">
        <f>Ringkasan!T887</f>
        <v/>
      </c>
      <c r="U888" s="64">
        <f>Ringkasan!U887</f>
        <v>6225</v>
      </c>
      <c r="V888" s="64">
        <f>Ringkasan!V887</f>
        <v>3.21</v>
      </c>
      <c r="W888" s="64">
        <f>Ringkasan!W887</f>
        <v>6275</v>
      </c>
      <c r="X888" s="64">
        <f>Ringkasan!X887</f>
        <v>6675</v>
      </c>
      <c r="Y888" s="64">
        <f>Ringkasan!Y887</f>
        <v>6275</v>
      </c>
      <c r="Z888" s="64">
        <f>Ringkasan!Z887</f>
        <v>11991600</v>
      </c>
      <c r="AA888" s="64" t="str">
        <f>Ringkasan!AA887</f>
        <v>Processed Foods</v>
      </c>
      <c r="AB888" s="64" t="str">
        <f>Ringkasan!AB887</f>
        <v>Consumer Non-Cyclicals</v>
      </c>
    </row>
    <row r="889" hidden="1">
      <c r="A889" s="64" t="str">
        <f>Ringkasan!A888</f>
        <v>INDF</v>
      </c>
      <c r="B889" s="64" t="str">
        <f>Ringkasan!B888</f>
        <v>Indofood Sukses Makmur Tbk.</v>
      </c>
      <c r="C889" s="65">
        <f>Ringkasan!C888</f>
        <v>6425</v>
      </c>
      <c r="D889" s="64" t="str">
        <f>Ringkasan!D888</f>
        <v>#N/A</v>
      </c>
      <c r="E889" s="64" t="str">
        <f>Ringkasan!E888</f>
        <v>MNC36</v>
      </c>
      <c r="F889" s="64" t="str">
        <f>Ringkasan!F888</f>
        <v>30 Oktober 2026</v>
      </c>
      <c r="G889" s="64">
        <f>Ringkasan!G888</f>
        <v>18</v>
      </c>
      <c r="H889" s="19">
        <f>Ringkasan!H888</f>
        <v>5.6</v>
      </c>
      <c r="I889" s="19">
        <f>Ringkasan!I888</f>
        <v>0.48</v>
      </c>
      <c r="J889" s="19">
        <f>Ringkasan!J888</f>
        <v>8.7</v>
      </c>
      <c r="K889" s="19">
        <f>Ringkasan!K888</f>
        <v>4.8</v>
      </c>
      <c r="L889" s="19">
        <f>Ringkasan!L888</f>
        <v>0.8</v>
      </c>
      <c r="M889" s="19">
        <f>Ringkasan!M888</f>
        <v>32.2</v>
      </c>
      <c r="N889" s="64" t="str">
        <f>Ringkasan!N888</f>
        <v/>
      </c>
      <c r="O889" s="64" t="str">
        <f>Ringkasan!O888</f>
        <v/>
      </c>
      <c r="P889" s="64" t="str">
        <f>Ringkasan!P888</f>
        <v/>
      </c>
      <c r="Q889" s="64" t="str">
        <f>Ringkasan!Q888</f>
        <v/>
      </c>
      <c r="R889" s="64" t="str">
        <f>Ringkasan!R888</f>
        <v/>
      </c>
      <c r="S889" s="64" t="str">
        <f>Ringkasan!S888</f>
        <v/>
      </c>
      <c r="T889" s="64" t="str">
        <f>Ringkasan!T888</f>
        <v/>
      </c>
      <c r="U889" s="64">
        <f>Ringkasan!U888</f>
        <v>6225</v>
      </c>
      <c r="V889" s="64">
        <f>Ringkasan!V888</f>
        <v>3.21</v>
      </c>
      <c r="W889" s="64">
        <f>Ringkasan!W888</f>
        <v>6275</v>
      </c>
      <c r="X889" s="64">
        <f>Ringkasan!X888</f>
        <v>6675</v>
      </c>
      <c r="Y889" s="64">
        <f>Ringkasan!Y888</f>
        <v>6275</v>
      </c>
      <c r="Z889" s="64">
        <f>Ringkasan!Z888</f>
        <v>11991600</v>
      </c>
      <c r="AA889" s="64" t="str">
        <f>Ringkasan!AA888</f>
        <v>Processed Foods</v>
      </c>
      <c r="AB889" s="64" t="str">
        <f>Ringkasan!AB888</f>
        <v>Consumer Non-Cyclicals</v>
      </c>
    </row>
    <row r="890" hidden="1">
      <c r="A890" s="64" t="str">
        <f>Ringkasan!A889</f>
        <v>INDF</v>
      </c>
      <c r="B890" s="64" t="str">
        <f>Ringkasan!B889</f>
        <v>Indofood Sukses Makmur Tbk.</v>
      </c>
      <c r="C890" s="65">
        <f>Ringkasan!C889</f>
        <v>6425</v>
      </c>
      <c r="D890" s="64" t="str">
        <f>Ringkasan!D889</f>
        <v>#N/A</v>
      </c>
      <c r="E890" s="64" t="str">
        <f>Ringkasan!E889</f>
        <v>IDXVESTA28</v>
      </c>
      <c r="F890" s="64" t="str">
        <f>Ringkasan!F889</f>
        <v>31 Agustus 2026</v>
      </c>
      <c r="G890" s="64">
        <f>Ringkasan!G889</f>
        <v>18</v>
      </c>
      <c r="H890" s="19">
        <f>Ringkasan!H889</f>
        <v>5.6</v>
      </c>
      <c r="I890" s="19">
        <f>Ringkasan!I889</f>
        <v>0.48</v>
      </c>
      <c r="J890" s="19">
        <f>Ringkasan!J889</f>
        <v>8.7</v>
      </c>
      <c r="K890" s="19">
        <f>Ringkasan!K889</f>
        <v>4.8</v>
      </c>
      <c r="L890" s="19">
        <f>Ringkasan!L889</f>
        <v>0.8</v>
      </c>
      <c r="M890" s="19">
        <f>Ringkasan!M889</f>
        <v>32.2</v>
      </c>
      <c r="N890" s="64" t="str">
        <f>Ringkasan!N889</f>
        <v/>
      </c>
      <c r="O890" s="64" t="str">
        <f>Ringkasan!O889</f>
        <v/>
      </c>
      <c r="P890" s="64" t="str">
        <f>Ringkasan!P889</f>
        <v/>
      </c>
      <c r="Q890" s="64" t="str">
        <f>Ringkasan!Q889</f>
        <v/>
      </c>
      <c r="R890" s="64" t="str">
        <f>Ringkasan!R889</f>
        <v/>
      </c>
      <c r="S890" s="64" t="str">
        <f>Ringkasan!S889</f>
        <v/>
      </c>
      <c r="T890" s="64" t="str">
        <f>Ringkasan!T889</f>
        <v/>
      </c>
      <c r="U890" s="64">
        <f>Ringkasan!U889</f>
        <v>6225</v>
      </c>
      <c r="V890" s="64">
        <f>Ringkasan!V889</f>
        <v>3.21</v>
      </c>
      <c r="W890" s="64">
        <f>Ringkasan!W889</f>
        <v>6275</v>
      </c>
      <c r="X890" s="64">
        <f>Ringkasan!X889</f>
        <v>6675</v>
      </c>
      <c r="Y890" s="64">
        <f>Ringkasan!Y889</f>
        <v>6275</v>
      </c>
      <c r="Z890" s="64">
        <f>Ringkasan!Z889</f>
        <v>11991600</v>
      </c>
      <c r="AA890" s="64" t="str">
        <f>Ringkasan!AA889</f>
        <v>Processed Foods</v>
      </c>
      <c r="AB890" s="64" t="str">
        <f>Ringkasan!AB889</f>
        <v>Consumer Non-Cyclicals</v>
      </c>
    </row>
    <row r="891" hidden="1">
      <c r="A891" s="64" t="str">
        <f>Ringkasan!A890</f>
        <v>INDF</v>
      </c>
      <c r="B891" s="64" t="str">
        <f>Ringkasan!B890</f>
        <v>Indofood Sukses Makmur Tbk.</v>
      </c>
      <c r="C891" s="65">
        <f>Ringkasan!C890</f>
        <v>6425</v>
      </c>
      <c r="D891" s="64" t="str">
        <f>Ringkasan!D890</f>
        <v>#N/A</v>
      </c>
      <c r="E891" s="64" t="str">
        <f>Ringkasan!E890</f>
        <v>FTSE Large Cap</v>
      </c>
      <c r="F891" s="64" t="str">
        <f>Ringkasan!F890</f>
        <v>Juni 2026</v>
      </c>
      <c r="G891" s="64">
        <f>Ringkasan!G890</f>
        <v>18</v>
      </c>
      <c r="H891" s="19">
        <f>Ringkasan!H890</f>
        <v>5.6</v>
      </c>
      <c r="I891" s="19">
        <f>Ringkasan!I890</f>
        <v>0.48</v>
      </c>
      <c r="J891" s="19">
        <f>Ringkasan!J890</f>
        <v>8.7</v>
      </c>
      <c r="K891" s="19">
        <f>Ringkasan!K890</f>
        <v>4.8</v>
      </c>
      <c r="L891" s="19">
        <f>Ringkasan!L890</f>
        <v>0.8</v>
      </c>
      <c r="M891" s="19">
        <f>Ringkasan!M890</f>
        <v>32.2</v>
      </c>
      <c r="N891" s="64" t="str">
        <f>Ringkasan!N890</f>
        <v/>
      </c>
      <c r="O891" s="64" t="str">
        <f>Ringkasan!O890</f>
        <v/>
      </c>
      <c r="P891" s="64" t="str">
        <f>Ringkasan!P890</f>
        <v/>
      </c>
      <c r="Q891" s="64" t="str">
        <f>Ringkasan!Q890</f>
        <v/>
      </c>
      <c r="R891" s="64" t="str">
        <f>Ringkasan!R890</f>
        <v/>
      </c>
      <c r="S891" s="64" t="str">
        <f>Ringkasan!S890</f>
        <v/>
      </c>
      <c r="T891" s="64" t="str">
        <f>Ringkasan!T890</f>
        <v/>
      </c>
      <c r="U891" s="64">
        <f>Ringkasan!U890</f>
        <v>6225</v>
      </c>
      <c r="V891" s="64">
        <f>Ringkasan!V890</f>
        <v>3.21</v>
      </c>
      <c r="W891" s="64">
        <f>Ringkasan!W890</f>
        <v>6275</v>
      </c>
      <c r="X891" s="64">
        <f>Ringkasan!X890</f>
        <v>6675</v>
      </c>
      <c r="Y891" s="64">
        <f>Ringkasan!Y890</f>
        <v>6275</v>
      </c>
      <c r="Z891" s="64">
        <f>Ringkasan!Z890</f>
        <v>11991600</v>
      </c>
      <c r="AA891" s="64" t="str">
        <f>Ringkasan!AA890</f>
        <v>Processed Foods</v>
      </c>
      <c r="AB891" s="64" t="str">
        <f>Ringkasan!AB890</f>
        <v>Consumer Non-Cyclicals</v>
      </c>
    </row>
    <row r="892" hidden="1">
      <c r="A892" s="64" t="str">
        <f>Ringkasan!A891</f>
        <v>INDF</v>
      </c>
      <c r="B892" s="64" t="str">
        <f>Ringkasan!B891</f>
        <v>Indofood Sukses Makmur Tbk.</v>
      </c>
      <c r="C892" s="65">
        <f>Ringkasan!C891</f>
        <v>6425</v>
      </c>
      <c r="D892" s="64" t="str">
        <f>Ringkasan!D891</f>
        <v>#N/A</v>
      </c>
      <c r="E892" s="64" t="str">
        <f>Ringkasan!E891</f>
        <v>MSCI Small Cap</v>
      </c>
      <c r="F892" s="64" t="str">
        <f>Ringkasan!F891</f>
        <v>12 Agustus 2026</v>
      </c>
      <c r="G892" s="64">
        <f>Ringkasan!G891</f>
        <v>18</v>
      </c>
      <c r="H892" s="19">
        <f>Ringkasan!H891</f>
        <v>5.6</v>
      </c>
      <c r="I892" s="19">
        <f>Ringkasan!I891</f>
        <v>0.48</v>
      </c>
      <c r="J892" s="19">
        <f>Ringkasan!J891</f>
        <v>8.7</v>
      </c>
      <c r="K892" s="19">
        <f>Ringkasan!K891</f>
        <v>4.8</v>
      </c>
      <c r="L892" s="19">
        <f>Ringkasan!L891</f>
        <v>0.8</v>
      </c>
      <c r="M892" s="19">
        <f>Ringkasan!M891</f>
        <v>32.2</v>
      </c>
      <c r="N892" s="64" t="str">
        <f>Ringkasan!N891</f>
        <v/>
      </c>
      <c r="O892" s="64" t="str">
        <f>Ringkasan!O891</f>
        <v/>
      </c>
      <c r="P892" s="64" t="str">
        <f>Ringkasan!P891</f>
        <v/>
      </c>
      <c r="Q892" s="64" t="str">
        <f>Ringkasan!Q891</f>
        <v/>
      </c>
      <c r="R892" s="64" t="str">
        <f>Ringkasan!R891</f>
        <v/>
      </c>
      <c r="S892" s="64" t="str">
        <f>Ringkasan!S891</f>
        <v/>
      </c>
      <c r="T892" s="64" t="str">
        <f>Ringkasan!T891</f>
        <v/>
      </c>
      <c r="U892" s="64">
        <f>Ringkasan!U891</f>
        <v>6225</v>
      </c>
      <c r="V892" s="64">
        <f>Ringkasan!V891</f>
        <v>3.21</v>
      </c>
      <c r="W892" s="64">
        <f>Ringkasan!W891</f>
        <v>6275</v>
      </c>
      <c r="X892" s="64">
        <f>Ringkasan!X891</f>
        <v>6675</v>
      </c>
      <c r="Y892" s="64">
        <f>Ringkasan!Y891</f>
        <v>6275</v>
      </c>
      <c r="Z892" s="64">
        <f>Ringkasan!Z891</f>
        <v>11991600</v>
      </c>
      <c r="AA892" s="64" t="str">
        <f>Ringkasan!AA891</f>
        <v>Processed Foods</v>
      </c>
      <c r="AB892" s="64" t="str">
        <f>Ringkasan!AB891</f>
        <v>Consumer Non-Cyclicals</v>
      </c>
    </row>
    <row r="893" hidden="1">
      <c r="A893" s="64" t="str">
        <f>Ringkasan!A892</f>
        <v>INDF</v>
      </c>
      <c r="B893" s="64" t="str">
        <f>Ringkasan!B892</f>
        <v>Indofood Sukses Makmur Tbk.</v>
      </c>
      <c r="C893" s="65">
        <f>Ringkasan!C892</f>
        <v>6425</v>
      </c>
      <c r="D893" s="64" t="str">
        <f>Ringkasan!D892</f>
        <v>#N/A</v>
      </c>
      <c r="E893" s="64" t="str">
        <f>Ringkasan!E892</f>
        <v>SRI-KEHATI</v>
      </c>
      <c r="F893" s="66">
        <f>Ringkasan!F892</f>
        <v>46356</v>
      </c>
      <c r="G893" s="64">
        <f>Ringkasan!G892</f>
        <v>18</v>
      </c>
      <c r="H893" s="19">
        <f>Ringkasan!H892</f>
        <v>5.6</v>
      </c>
      <c r="I893" s="19">
        <f>Ringkasan!I892</f>
        <v>0.48</v>
      </c>
      <c r="J893" s="19">
        <f>Ringkasan!J892</f>
        <v>8.7</v>
      </c>
      <c r="K893" s="19">
        <f>Ringkasan!K892</f>
        <v>4.8</v>
      </c>
      <c r="L893" s="19">
        <f>Ringkasan!L892</f>
        <v>0.8</v>
      </c>
      <c r="M893" s="19">
        <f>Ringkasan!M892</f>
        <v>32.2</v>
      </c>
      <c r="N893" s="64" t="str">
        <f>Ringkasan!N892</f>
        <v/>
      </c>
      <c r="O893" s="64" t="str">
        <f>Ringkasan!O892</f>
        <v/>
      </c>
      <c r="P893" s="64" t="str">
        <f>Ringkasan!P892</f>
        <v/>
      </c>
      <c r="Q893" s="64" t="str">
        <f>Ringkasan!Q892</f>
        <v/>
      </c>
      <c r="R893" s="64" t="str">
        <f>Ringkasan!R892</f>
        <v/>
      </c>
      <c r="S893" s="64" t="str">
        <f>Ringkasan!S892</f>
        <v/>
      </c>
      <c r="T893" s="64" t="str">
        <f>Ringkasan!T892</f>
        <v/>
      </c>
      <c r="U893" s="64">
        <f>Ringkasan!U892</f>
        <v>6225</v>
      </c>
      <c r="V893" s="64">
        <f>Ringkasan!V892</f>
        <v>3.21</v>
      </c>
      <c r="W893" s="64">
        <f>Ringkasan!W892</f>
        <v>6275</v>
      </c>
      <c r="X893" s="64">
        <f>Ringkasan!X892</f>
        <v>6675</v>
      </c>
      <c r="Y893" s="64">
        <f>Ringkasan!Y892</f>
        <v>6275</v>
      </c>
      <c r="Z893" s="64">
        <f>Ringkasan!Z892</f>
        <v>11991600</v>
      </c>
      <c r="AA893" s="64" t="str">
        <f>Ringkasan!AA892</f>
        <v>Processed Foods</v>
      </c>
      <c r="AB893" s="64" t="str">
        <f>Ringkasan!AB892</f>
        <v>Consumer Non-Cyclicals</v>
      </c>
    </row>
    <row r="894" hidden="1">
      <c r="A894" s="64" t="str">
        <f>Ringkasan!A893</f>
        <v>INDF</v>
      </c>
      <c r="B894" s="64" t="str">
        <f>Ringkasan!B893</f>
        <v>Indofood Sukses Makmur Tbk.</v>
      </c>
      <c r="C894" s="65">
        <f>Ringkasan!C893</f>
        <v>6425</v>
      </c>
      <c r="D894" s="64" t="str">
        <f>Ringkasan!D893</f>
        <v>#N/A</v>
      </c>
      <c r="E894" s="64" t="str">
        <f>Ringkasan!E893</f>
        <v>Investor33</v>
      </c>
      <c r="F894" s="66">
        <f>Ringkasan!F893</f>
        <v>46356</v>
      </c>
      <c r="G894" s="64">
        <f>Ringkasan!G893</f>
        <v>18</v>
      </c>
      <c r="H894" s="19">
        <f>Ringkasan!H893</f>
        <v>5.6</v>
      </c>
      <c r="I894" s="19">
        <f>Ringkasan!I893</f>
        <v>0.48</v>
      </c>
      <c r="J894" s="19">
        <f>Ringkasan!J893</f>
        <v>8.7</v>
      </c>
      <c r="K894" s="19">
        <f>Ringkasan!K893</f>
        <v>4.8</v>
      </c>
      <c r="L894" s="19">
        <f>Ringkasan!L893</f>
        <v>0.8</v>
      </c>
      <c r="M894" s="19">
        <f>Ringkasan!M893</f>
        <v>32.2</v>
      </c>
      <c r="N894" s="64" t="str">
        <f>Ringkasan!N893</f>
        <v/>
      </c>
      <c r="O894" s="64" t="str">
        <f>Ringkasan!O893</f>
        <v/>
      </c>
      <c r="P894" s="64" t="str">
        <f>Ringkasan!P893</f>
        <v/>
      </c>
      <c r="Q894" s="64" t="str">
        <f>Ringkasan!Q893</f>
        <v/>
      </c>
      <c r="R894" s="64" t="str">
        <f>Ringkasan!R893</f>
        <v/>
      </c>
      <c r="S894" s="64" t="str">
        <f>Ringkasan!S893</f>
        <v/>
      </c>
      <c r="T894" s="64" t="str">
        <f>Ringkasan!T893</f>
        <v/>
      </c>
      <c r="U894" s="64">
        <f>Ringkasan!U893</f>
        <v>6225</v>
      </c>
      <c r="V894" s="64">
        <f>Ringkasan!V893</f>
        <v>3.21</v>
      </c>
      <c r="W894" s="64">
        <f>Ringkasan!W893</f>
        <v>6275</v>
      </c>
      <c r="X894" s="64">
        <f>Ringkasan!X893</f>
        <v>6675</v>
      </c>
      <c r="Y894" s="64">
        <f>Ringkasan!Y893</f>
        <v>6275</v>
      </c>
      <c r="Z894" s="64">
        <f>Ringkasan!Z893</f>
        <v>11991600</v>
      </c>
      <c r="AA894" s="64" t="str">
        <f>Ringkasan!AA893</f>
        <v>Processed Foods</v>
      </c>
      <c r="AB894" s="64" t="str">
        <f>Ringkasan!AB893</f>
        <v>Consumer Non-Cyclicals</v>
      </c>
    </row>
    <row r="895" hidden="1">
      <c r="A895" s="64" t="str">
        <f>Ringkasan!A894</f>
        <v>INDF</v>
      </c>
      <c r="B895" s="64" t="str">
        <f>Ringkasan!B894</f>
        <v>Indofood Sukses Makmur Tbk.</v>
      </c>
      <c r="C895" s="65">
        <f>Ringkasan!C894</f>
        <v>6425</v>
      </c>
      <c r="D895" s="64" t="str">
        <f>Ringkasan!D894</f>
        <v>#N/A</v>
      </c>
      <c r="E895" s="64" t="str">
        <f>Ringkasan!E894</f>
        <v>JII30</v>
      </c>
      <c r="F895" s="66">
        <f>Ringkasan!F894</f>
        <v>46356</v>
      </c>
      <c r="G895" s="64">
        <f>Ringkasan!G894</f>
        <v>18</v>
      </c>
      <c r="H895" s="19">
        <f>Ringkasan!H894</f>
        <v>5.6</v>
      </c>
      <c r="I895" s="19">
        <f>Ringkasan!I894</f>
        <v>0.48</v>
      </c>
      <c r="J895" s="19">
        <f>Ringkasan!J894</f>
        <v>8.7</v>
      </c>
      <c r="K895" s="19">
        <f>Ringkasan!K894</f>
        <v>4.8</v>
      </c>
      <c r="L895" s="19">
        <f>Ringkasan!L894</f>
        <v>0.8</v>
      </c>
      <c r="M895" s="19">
        <f>Ringkasan!M894</f>
        <v>32.2</v>
      </c>
      <c r="N895" s="64" t="str">
        <f>Ringkasan!N894</f>
        <v/>
      </c>
      <c r="O895" s="64" t="str">
        <f>Ringkasan!O894</f>
        <v/>
      </c>
      <c r="P895" s="64" t="str">
        <f>Ringkasan!P894</f>
        <v/>
      </c>
      <c r="Q895" s="64" t="str">
        <f>Ringkasan!Q894</f>
        <v/>
      </c>
      <c r="R895" s="64" t="str">
        <f>Ringkasan!R894</f>
        <v/>
      </c>
      <c r="S895" s="64" t="str">
        <f>Ringkasan!S894</f>
        <v/>
      </c>
      <c r="T895" s="64" t="str">
        <f>Ringkasan!T894</f>
        <v/>
      </c>
      <c r="U895" s="64">
        <f>Ringkasan!U894</f>
        <v>6225</v>
      </c>
      <c r="V895" s="64">
        <f>Ringkasan!V894</f>
        <v>3.21</v>
      </c>
      <c r="W895" s="64">
        <f>Ringkasan!W894</f>
        <v>6275</v>
      </c>
      <c r="X895" s="64">
        <f>Ringkasan!X894</f>
        <v>6675</v>
      </c>
      <c r="Y895" s="64">
        <f>Ringkasan!Y894</f>
        <v>6275</v>
      </c>
      <c r="Z895" s="64">
        <f>Ringkasan!Z894</f>
        <v>11991600</v>
      </c>
      <c r="AA895" s="64" t="str">
        <f>Ringkasan!AA894</f>
        <v>Processed Foods</v>
      </c>
      <c r="AB895" s="64" t="str">
        <f>Ringkasan!AB894</f>
        <v>Consumer Non-Cyclicals</v>
      </c>
    </row>
    <row r="896" hidden="1">
      <c r="A896" s="64" t="str">
        <f>Ringkasan!A895</f>
        <v>INDF</v>
      </c>
      <c r="B896" s="64" t="str">
        <f>Ringkasan!B895</f>
        <v>Indofood Sukses Makmur Tbk.</v>
      </c>
      <c r="C896" s="65">
        <f>Ringkasan!C895</f>
        <v>6425</v>
      </c>
      <c r="D896" s="64" t="str">
        <f>Ringkasan!D895</f>
        <v>#N/A</v>
      </c>
      <c r="E896" s="64" t="str">
        <f>Ringkasan!E895</f>
        <v>JII70</v>
      </c>
      <c r="F896" s="66">
        <f>Ringkasan!F895</f>
        <v>46356</v>
      </c>
      <c r="G896" s="64">
        <f>Ringkasan!G895</f>
        <v>18</v>
      </c>
      <c r="H896" s="19">
        <f>Ringkasan!H895</f>
        <v>5.6</v>
      </c>
      <c r="I896" s="19">
        <f>Ringkasan!I895</f>
        <v>0.48</v>
      </c>
      <c r="J896" s="19">
        <f>Ringkasan!J895</f>
        <v>8.7</v>
      </c>
      <c r="K896" s="19">
        <f>Ringkasan!K895</f>
        <v>4.8</v>
      </c>
      <c r="L896" s="19">
        <f>Ringkasan!L895</f>
        <v>0.8</v>
      </c>
      <c r="M896" s="19">
        <f>Ringkasan!M895</f>
        <v>32.2</v>
      </c>
      <c r="N896" s="64" t="str">
        <f>Ringkasan!N895</f>
        <v/>
      </c>
      <c r="O896" s="64" t="str">
        <f>Ringkasan!O895</f>
        <v/>
      </c>
      <c r="P896" s="64" t="str">
        <f>Ringkasan!P895</f>
        <v/>
      </c>
      <c r="Q896" s="64" t="str">
        <f>Ringkasan!Q895</f>
        <v/>
      </c>
      <c r="R896" s="64" t="str">
        <f>Ringkasan!R895</f>
        <v/>
      </c>
      <c r="S896" s="64" t="str">
        <f>Ringkasan!S895</f>
        <v/>
      </c>
      <c r="T896" s="64" t="str">
        <f>Ringkasan!T895</f>
        <v/>
      </c>
      <c r="U896" s="64">
        <f>Ringkasan!U895</f>
        <v>6225</v>
      </c>
      <c r="V896" s="64">
        <f>Ringkasan!V895</f>
        <v>3.21</v>
      </c>
      <c r="W896" s="64">
        <f>Ringkasan!W895</f>
        <v>6275</v>
      </c>
      <c r="X896" s="64">
        <f>Ringkasan!X895</f>
        <v>6675</v>
      </c>
      <c r="Y896" s="64">
        <f>Ringkasan!Y895</f>
        <v>6275</v>
      </c>
      <c r="Z896" s="64">
        <f>Ringkasan!Z895</f>
        <v>11991600</v>
      </c>
      <c r="AA896" s="64" t="str">
        <f>Ringkasan!AA895</f>
        <v>Processed Foods</v>
      </c>
      <c r="AB896" s="64" t="str">
        <f>Ringkasan!AB895</f>
        <v>Consumer Non-Cyclicals</v>
      </c>
    </row>
    <row r="897" hidden="1">
      <c r="A897" s="64" t="str">
        <f>Ringkasan!A896</f>
        <v>INDO</v>
      </c>
      <c r="B897" s="64" t="str">
        <f>Ringkasan!B896</f>
        <v>Royalindo Investa Wijaya Tbk.</v>
      </c>
      <c r="C897" s="65">
        <f>Ringkasan!C896</f>
        <v>167</v>
      </c>
      <c r="D897" s="64" t="str">
        <f>Ringkasan!D896</f>
        <v>#N/A</v>
      </c>
      <c r="E897" s="64" t="str">
        <f>Ringkasan!E896</f>
        <v/>
      </c>
      <c r="F897" s="64" t="str">
        <f>Ringkasan!F896</f>
        <v/>
      </c>
      <c r="G897" s="64">
        <f>Ringkasan!G896</f>
        <v>0</v>
      </c>
      <c r="H897" s="19">
        <f>Ringkasan!H896</f>
        <v>22.1</v>
      </c>
      <c r="I897" s="19">
        <f>Ringkasan!I896</f>
        <v>0.63</v>
      </c>
      <c r="J897" s="19">
        <f>Ringkasan!J896</f>
        <v>2.9</v>
      </c>
      <c r="K897" s="19">
        <f>Ringkasan!K896</f>
        <v>2.8</v>
      </c>
      <c r="L897" s="19">
        <f>Ringkasan!L896</f>
        <v>0.01</v>
      </c>
      <c r="M897" s="19">
        <f>Ringkasan!M896</f>
        <v>480</v>
      </c>
      <c r="N897" s="64" t="str">
        <f>Ringkasan!N896</f>
        <v/>
      </c>
      <c r="O897" s="64" t="str">
        <f>Ringkasan!O896</f>
        <v/>
      </c>
      <c r="P897" s="64" t="str">
        <f>Ringkasan!P896</f>
        <v/>
      </c>
      <c r="Q897" s="64" t="str">
        <f>Ringkasan!Q896</f>
        <v/>
      </c>
      <c r="R897" s="64" t="str">
        <f>Ringkasan!R896</f>
        <v/>
      </c>
      <c r="S897" s="64" t="str">
        <f>Ringkasan!S896</f>
        <v/>
      </c>
      <c r="T897" s="64" t="str">
        <f>Ringkasan!T896</f>
        <v/>
      </c>
      <c r="U897" s="64">
        <f>Ringkasan!U896</f>
        <v>2.69</v>
      </c>
      <c r="V897" s="64">
        <f>Ringkasan!V896</f>
        <v>-2.97</v>
      </c>
      <c r="W897" s="64">
        <f>Ringkasan!W896</f>
        <v>2.68</v>
      </c>
      <c r="X897" s="64">
        <f>Ringkasan!X896</f>
        <v>2.75</v>
      </c>
      <c r="Y897" s="64">
        <f>Ringkasan!Y896</f>
        <v>2.58</v>
      </c>
      <c r="Z897" s="64">
        <f>Ringkasan!Z896</f>
        <v>642345</v>
      </c>
      <c r="AA897" s="64" t="str">
        <f>Ringkasan!AA896</f>
        <v>Real Estate Management &amp; Development</v>
      </c>
      <c r="AB897" s="64" t="str">
        <f>Ringkasan!AB896</f>
        <v>Properties &amp; Real Estate</v>
      </c>
    </row>
    <row r="898" hidden="1">
      <c r="A898" s="64" t="str">
        <f>Ringkasan!A897</f>
        <v>INDR</v>
      </c>
      <c r="B898" s="64" t="str">
        <f>Ringkasan!B897</f>
        <v>Indorama Synthetics Tbk</v>
      </c>
      <c r="C898" s="65">
        <f>Ringkasan!C897</f>
        <v>1805</v>
      </c>
      <c r="D898" s="64" t="str">
        <f>Ringkasan!D897</f>
        <v>#N/A</v>
      </c>
      <c r="E898" s="64" t="str">
        <f>Ringkasan!E897</f>
        <v/>
      </c>
      <c r="F898" s="64" t="str">
        <f>Ringkasan!F897</f>
        <v/>
      </c>
      <c r="G898" s="64">
        <f>Ringkasan!G897</f>
        <v>0</v>
      </c>
      <c r="H898" s="19">
        <f>Ringkasan!H897</f>
        <v>-4.6</v>
      </c>
      <c r="I898" s="19">
        <f>Ringkasan!I897</f>
        <v>0.22</v>
      </c>
      <c r="J898" s="19">
        <f>Ringkasan!J897</f>
        <v>-4.9</v>
      </c>
      <c r="K898" s="19">
        <f>Ringkasan!K897</f>
        <v>-2.4</v>
      </c>
      <c r="L898" s="19">
        <f>Ringkasan!L897</f>
        <v>1.1</v>
      </c>
      <c r="M898" s="19">
        <f>Ringkasan!M897</f>
        <v>-9.5</v>
      </c>
      <c r="N898" s="64" t="str">
        <f>Ringkasan!N897</f>
        <v/>
      </c>
      <c r="O898" s="64" t="str">
        <f>Ringkasan!O897</f>
        <v/>
      </c>
      <c r="P898" s="64" t="str">
        <f>Ringkasan!P897</f>
        <v/>
      </c>
      <c r="Q898" s="64" t="str">
        <f>Ringkasan!Q897</f>
        <v/>
      </c>
      <c r="R898" s="64" t="str">
        <f>Ringkasan!R897</f>
        <v/>
      </c>
      <c r="S898" s="64" t="str">
        <f>Ringkasan!S897</f>
        <v/>
      </c>
      <c r="T898" s="64" t="str">
        <f>Ringkasan!T897</f>
        <v/>
      </c>
      <c r="U898" s="64">
        <f>Ringkasan!U897</f>
        <v>0</v>
      </c>
      <c r="V898" s="64">
        <f>Ringkasan!V897</f>
        <v>0</v>
      </c>
      <c r="W898" s="64" t="str">
        <f>Ringkasan!W897</f>
        <v/>
      </c>
      <c r="X898" s="64" t="str">
        <f>Ringkasan!X897</f>
        <v/>
      </c>
      <c r="Y898" s="64" t="str">
        <f>Ringkasan!Y897</f>
        <v/>
      </c>
      <c r="Z898" s="64">
        <f>Ringkasan!Z897</f>
        <v>0</v>
      </c>
      <c r="AA898" s="64" t="str">
        <f>Ringkasan!AA897</f>
        <v>Apparel &amp; Luxury Goods</v>
      </c>
      <c r="AB898" s="64" t="str">
        <f>Ringkasan!AB897</f>
        <v>Consumer Cyclicals</v>
      </c>
    </row>
    <row r="899" hidden="1">
      <c r="A899" s="64" t="str">
        <f>Ringkasan!A898</f>
        <v>INDS</v>
      </c>
      <c r="B899" s="64" t="str">
        <f>Ringkasan!B898</f>
        <v>Indospring Tbk.</v>
      </c>
      <c r="C899" s="65">
        <f>Ringkasan!C898</f>
        <v>272</v>
      </c>
      <c r="D899" s="64" t="str">
        <f>Ringkasan!D898</f>
        <v>#N/A</v>
      </c>
      <c r="E899" s="64" t="str">
        <f>Ringkasan!E898</f>
        <v/>
      </c>
      <c r="F899" s="64" t="str">
        <f>Ringkasan!F898</f>
        <v/>
      </c>
      <c r="G899" s="64">
        <f>Ringkasan!G898</f>
        <v>0</v>
      </c>
      <c r="H899" s="19">
        <f>Ringkasan!H898</f>
        <v>34.5</v>
      </c>
      <c r="I899" s="19">
        <f>Ringkasan!I898</f>
        <v>0.53</v>
      </c>
      <c r="J899" s="19">
        <f>Ringkasan!J898</f>
        <v>1.5</v>
      </c>
      <c r="K899" s="19">
        <f>Ringkasan!K898</f>
        <v>1.2</v>
      </c>
      <c r="L899" s="19">
        <f>Ringkasan!L898</f>
        <v>0.25</v>
      </c>
      <c r="M899" s="19">
        <f>Ringkasan!M898</f>
        <v>6.5</v>
      </c>
      <c r="N899" s="64" t="str">
        <f>Ringkasan!N898</f>
        <v/>
      </c>
      <c r="O899" s="64" t="str">
        <f>Ringkasan!O898</f>
        <v/>
      </c>
      <c r="P899" s="64" t="str">
        <f>Ringkasan!P898</f>
        <v/>
      </c>
      <c r="Q899" s="64" t="str">
        <f>Ringkasan!Q898</f>
        <v/>
      </c>
      <c r="R899" s="64" t="str">
        <f>Ringkasan!R898</f>
        <v/>
      </c>
      <c r="S899" s="64" t="str">
        <f>Ringkasan!S898</f>
        <v/>
      </c>
      <c r="T899" s="64" t="str">
        <f>Ringkasan!T898</f>
        <v/>
      </c>
      <c r="U899" s="64">
        <f>Ringkasan!U898</f>
        <v>40.84</v>
      </c>
      <c r="V899" s="64">
        <f>Ringkasan!V898</f>
        <v>0.22</v>
      </c>
      <c r="W899" s="64">
        <f>Ringkasan!W898</f>
        <v>40.77</v>
      </c>
      <c r="X899" s="64">
        <f>Ringkasan!X898</f>
        <v>40.93</v>
      </c>
      <c r="Y899" s="64">
        <f>Ringkasan!Y898</f>
        <v>40.77</v>
      </c>
      <c r="Z899" s="64" t="str">
        <f>Ringkasan!Z898</f>
        <v/>
      </c>
      <c r="AA899" s="64" t="str">
        <f>Ringkasan!AA898</f>
        <v>Auto Components</v>
      </c>
      <c r="AB899" s="64" t="str">
        <f>Ringkasan!AB898</f>
        <v>Consumer Cyclicals</v>
      </c>
    </row>
    <row r="900" hidden="1">
      <c r="A900" s="64" t="str">
        <f>Ringkasan!A899</f>
        <v>INDX</v>
      </c>
      <c r="B900" s="64" t="str">
        <f>Ringkasan!B899</f>
        <v>Tanah Laut Tbk</v>
      </c>
      <c r="C900" s="65">
        <f>Ringkasan!C899</f>
        <v>65</v>
      </c>
      <c r="D900" s="64" t="str">
        <f>Ringkasan!D899</f>
        <v>#N/A</v>
      </c>
      <c r="E900" s="64" t="str">
        <f>Ringkasan!E899</f>
        <v/>
      </c>
      <c r="F900" s="64" t="str">
        <f>Ringkasan!F899</f>
        <v/>
      </c>
      <c r="G900" s="64">
        <f>Ringkasan!G899</f>
        <v>0</v>
      </c>
      <c r="H900" s="19">
        <f>Ringkasan!H899</f>
        <v>-4.2</v>
      </c>
      <c r="I900" s="19">
        <f>Ringkasan!I899</f>
        <v>1.6</v>
      </c>
      <c r="J900" s="19">
        <f>Ringkasan!J899</f>
        <v>-37.4</v>
      </c>
      <c r="K900" s="19">
        <f>Ringkasan!K899</f>
        <v>-18.7</v>
      </c>
      <c r="L900" s="19">
        <f>Ringkasan!L899</f>
        <v>1</v>
      </c>
      <c r="M900" s="19">
        <f>Ringkasan!M899</f>
        <v>-4500</v>
      </c>
      <c r="N900" s="64" t="str">
        <f>Ringkasan!N899</f>
        <v/>
      </c>
      <c r="O900" s="64" t="str">
        <f>Ringkasan!O899</f>
        <v/>
      </c>
      <c r="P900" s="64" t="str">
        <f>Ringkasan!P899</f>
        <v/>
      </c>
      <c r="Q900" s="64" t="str">
        <f>Ringkasan!Q899</f>
        <v/>
      </c>
      <c r="R900" s="64" t="str">
        <f>Ringkasan!R899</f>
        <v/>
      </c>
      <c r="S900" s="64" t="str">
        <f>Ringkasan!S899</f>
        <v/>
      </c>
      <c r="T900" s="64" t="str">
        <f>Ringkasan!T899</f>
        <v/>
      </c>
      <c r="U900" s="64">
        <f>Ringkasan!U899</f>
        <v>60</v>
      </c>
      <c r="V900" s="64">
        <f>Ringkasan!V899</f>
        <v>8.33</v>
      </c>
      <c r="W900" s="64">
        <f>Ringkasan!W899</f>
        <v>60</v>
      </c>
      <c r="X900" s="64">
        <f>Ringkasan!X899</f>
        <v>72</v>
      </c>
      <c r="Y900" s="64">
        <f>Ringkasan!Y899</f>
        <v>59</v>
      </c>
      <c r="Z900" s="64">
        <f>Ringkasan!Z899</f>
        <v>11568400</v>
      </c>
      <c r="AA900" s="64" t="str">
        <f>Ringkasan!AA899</f>
        <v>Professional Services</v>
      </c>
      <c r="AB900" s="64" t="str">
        <f>Ringkasan!AB899</f>
        <v>Industrials</v>
      </c>
    </row>
    <row r="901" hidden="1">
      <c r="A901" s="64" t="str">
        <f>Ringkasan!A900</f>
        <v>INDY</v>
      </c>
      <c r="B901" s="64" t="str">
        <f>Ringkasan!B900</f>
        <v>Indika Energy Tbk.</v>
      </c>
      <c r="C901" s="65">
        <f>Ringkasan!C900</f>
        <v>2260</v>
      </c>
      <c r="D901" s="64" t="str">
        <f>Ringkasan!D900</f>
        <v>#N/A</v>
      </c>
      <c r="E901" s="64" t="str">
        <f>Ringkasan!E900</f>
        <v>Kompas100</v>
      </c>
      <c r="F901" s="64" t="str">
        <f>Ringkasan!F900</f>
        <v>31 Juli 2026</v>
      </c>
      <c r="G901" s="64">
        <f>Ringkasan!G900</f>
        <v>4</v>
      </c>
      <c r="H901" s="19">
        <f>Ringkasan!H900</f>
        <v>68.9</v>
      </c>
      <c r="I901" s="19">
        <f>Ringkasan!I900</f>
        <v>0.52</v>
      </c>
      <c r="J901" s="19">
        <f>Ringkasan!J900</f>
        <v>0.75</v>
      </c>
      <c r="K901" s="19">
        <f>Ringkasan!K900</f>
        <v>0.34</v>
      </c>
      <c r="L901" s="19">
        <f>Ringkasan!L900</f>
        <v>1.2</v>
      </c>
      <c r="M901" s="19">
        <f>Ringkasan!M900</f>
        <v>2.1</v>
      </c>
      <c r="N901" s="64" t="str">
        <f>Ringkasan!N900</f>
        <v/>
      </c>
      <c r="O901" s="64" t="str">
        <f>Ringkasan!O900</f>
        <v/>
      </c>
      <c r="P901" s="64" t="str">
        <f>Ringkasan!P900</f>
        <v/>
      </c>
      <c r="Q901" s="64" t="str">
        <f>Ringkasan!Q900</f>
        <v/>
      </c>
      <c r="R901" s="64" t="str">
        <f>Ringkasan!R900</f>
        <v/>
      </c>
      <c r="S901" s="64" t="str">
        <f>Ringkasan!S900</f>
        <v/>
      </c>
      <c r="T901" s="64" t="str">
        <f>Ringkasan!T900</f>
        <v/>
      </c>
      <c r="U901" s="64">
        <f>Ringkasan!U900</f>
        <v>42.23</v>
      </c>
      <c r="V901" s="64">
        <f>Ringkasan!V900</f>
        <v>1.11</v>
      </c>
      <c r="W901" s="64">
        <f>Ringkasan!W900</f>
        <v>42.69</v>
      </c>
      <c r="X901" s="64">
        <f>Ringkasan!X900</f>
        <v>42.9</v>
      </c>
      <c r="Y901" s="64">
        <f>Ringkasan!Y900</f>
        <v>42.58</v>
      </c>
      <c r="Z901" s="64">
        <f>Ringkasan!Z900</f>
        <v>229335</v>
      </c>
      <c r="AA901" s="64" t="str">
        <f>Ringkasan!AA900</f>
        <v>Coal</v>
      </c>
      <c r="AB901" s="64" t="str">
        <f>Ringkasan!AB900</f>
        <v>Energy</v>
      </c>
    </row>
    <row r="902" hidden="1">
      <c r="A902" s="64" t="str">
        <f>Ringkasan!A901</f>
        <v>INDY</v>
      </c>
      <c r="B902" s="64" t="str">
        <f>Ringkasan!B901</f>
        <v>Indika Energy Tbk.</v>
      </c>
      <c r="C902" s="65">
        <f>Ringkasan!C901</f>
        <v>2260</v>
      </c>
      <c r="D902" s="64" t="str">
        <f>Ringkasan!D901</f>
        <v>#N/A</v>
      </c>
      <c r="E902" s="64" t="str">
        <f>Ringkasan!E901</f>
        <v>IDX80</v>
      </c>
      <c r="F902" s="64" t="str">
        <f>Ringkasan!F901</f>
        <v>31 Juli 2026</v>
      </c>
      <c r="G902" s="64">
        <f>Ringkasan!G901</f>
        <v>4</v>
      </c>
      <c r="H902" s="19">
        <f>Ringkasan!H901</f>
        <v>68.9</v>
      </c>
      <c r="I902" s="19">
        <f>Ringkasan!I901</f>
        <v>0.52</v>
      </c>
      <c r="J902" s="19">
        <f>Ringkasan!J901</f>
        <v>0.75</v>
      </c>
      <c r="K902" s="19">
        <f>Ringkasan!K901</f>
        <v>0.34</v>
      </c>
      <c r="L902" s="19">
        <f>Ringkasan!L901</f>
        <v>1.2</v>
      </c>
      <c r="M902" s="19">
        <f>Ringkasan!M901</f>
        <v>2.1</v>
      </c>
      <c r="N902" s="64" t="str">
        <f>Ringkasan!N901</f>
        <v/>
      </c>
      <c r="O902" s="64" t="str">
        <f>Ringkasan!O901</f>
        <v/>
      </c>
      <c r="P902" s="64" t="str">
        <f>Ringkasan!P901</f>
        <v/>
      </c>
      <c r="Q902" s="64" t="str">
        <f>Ringkasan!Q901</f>
        <v/>
      </c>
      <c r="R902" s="64" t="str">
        <f>Ringkasan!R901</f>
        <v/>
      </c>
      <c r="S902" s="64" t="str">
        <f>Ringkasan!S901</f>
        <v/>
      </c>
      <c r="T902" s="64" t="str">
        <f>Ringkasan!T901</f>
        <v/>
      </c>
      <c r="U902" s="64">
        <f>Ringkasan!U901</f>
        <v>42.23</v>
      </c>
      <c r="V902" s="64">
        <f>Ringkasan!V901</f>
        <v>1.11</v>
      </c>
      <c r="W902" s="64">
        <f>Ringkasan!W901</f>
        <v>42.69</v>
      </c>
      <c r="X902" s="64">
        <f>Ringkasan!X901</f>
        <v>42.9</v>
      </c>
      <c r="Y902" s="64">
        <f>Ringkasan!Y901</f>
        <v>42.58</v>
      </c>
      <c r="Z902" s="64">
        <f>Ringkasan!Z901</f>
        <v>229335</v>
      </c>
      <c r="AA902" s="64" t="str">
        <f>Ringkasan!AA901</f>
        <v>Coal</v>
      </c>
      <c r="AB902" s="64" t="str">
        <f>Ringkasan!AB901</f>
        <v>Energy</v>
      </c>
    </row>
    <row r="903" hidden="1">
      <c r="A903" s="64" t="str">
        <f>Ringkasan!A770</f>
        <v>GRIA</v>
      </c>
      <c r="B903" s="64" t="str">
        <f>Ringkasan!B770</f>
        <v>PT Ingria Pratama Capitalindo Tbk</v>
      </c>
      <c r="C903" s="65">
        <f>Ringkasan!C770</f>
        <v>109</v>
      </c>
      <c r="D903" s="64" t="str">
        <f>Ringkasan!D770</f>
        <v>#N/A</v>
      </c>
      <c r="E903" s="64" t="str">
        <f>Ringkasan!E770</f>
        <v/>
      </c>
      <c r="F903" s="64" t="str">
        <f>Ringkasan!F770</f>
        <v/>
      </c>
      <c r="G903" s="64">
        <f>Ringkasan!G770</f>
        <v>0</v>
      </c>
      <c r="H903" s="19">
        <f>Ringkasan!H770</f>
        <v>140</v>
      </c>
      <c r="I903" s="19">
        <f>Ringkasan!I770</f>
        <v>2.6</v>
      </c>
      <c r="J903" s="19">
        <f>Ringkasan!J770</f>
        <v>1.8</v>
      </c>
      <c r="K903" s="19">
        <f>Ringkasan!K770</f>
        <v>1.6</v>
      </c>
      <c r="L903" s="19">
        <f>Ringkasan!L770</f>
        <v>0.18</v>
      </c>
      <c r="M903" s="19">
        <f>Ringkasan!M770</f>
        <v>160</v>
      </c>
      <c r="N903" s="64" t="str">
        <f>Ringkasan!N770</f>
        <v/>
      </c>
      <c r="O903" s="64" t="str">
        <f>Ringkasan!O770</f>
        <v/>
      </c>
      <c r="P903" s="64" t="str">
        <f>Ringkasan!P770</f>
        <v/>
      </c>
      <c r="Q903" s="64" t="str">
        <f>Ringkasan!Q770</f>
        <v/>
      </c>
      <c r="R903" s="64" t="str">
        <f>Ringkasan!R770</f>
        <v/>
      </c>
      <c r="S903" s="64" t="str">
        <f>Ringkasan!S770</f>
        <v/>
      </c>
      <c r="T903" s="64" t="str">
        <f>Ringkasan!T770</f>
        <v/>
      </c>
      <c r="U903" s="64">
        <f>Ringkasan!U770</f>
        <v>109</v>
      </c>
      <c r="V903" s="64">
        <f>Ringkasan!V770</f>
        <v>0</v>
      </c>
      <c r="W903" s="64">
        <f>Ringkasan!W770</f>
        <v>109</v>
      </c>
      <c r="X903" s="64">
        <f>Ringkasan!X770</f>
        <v>118</v>
      </c>
      <c r="Y903" s="64">
        <f>Ringkasan!Y770</f>
        <v>107</v>
      </c>
      <c r="Z903" s="64">
        <f>Ringkasan!Z770</f>
        <v>26839700</v>
      </c>
      <c r="AA903" s="64" t="str">
        <f>Ringkasan!AA770</f>
        <v>Real Estate Management &amp; Development</v>
      </c>
      <c r="AB903" s="64" t="str">
        <f>Ringkasan!AB770</f>
        <v>Properties &amp; Real Estate</v>
      </c>
    </row>
    <row r="904" hidden="1">
      <c r="A904" s="64" t="str">
        <f>Ringkasan!A903</f>
        <v>INDY</v>
      </c>
      <c r="B904" s="64" t="str">
        <f>Ringkasan!B903</f>
        <v>Indika Energy Tbk.</v>
      </c>
      <c r="C904" s="65">
        <f>Ringkasan!C903</f>
        <v>2260</v>
      </c>
      <c r="D904" s="64" t="str">
        <f>Ringkasan!D903</f>
        <v>#N/A</v>
      </c>
      <c r="E904" s="64" t="str">
        <f>Ringkasan!E903</f>
        <v>JII70</v>
      </c>
      <c r="F904" s="66">
        <f>Ringkasan!F903</f>
        <v>46356</v>
      </c>
      <c r="G904" s="64">
        <f>Ringkasan!G903</f>
        <v>4</v>
      </c>
      <c r="H904" s="19">
        <f>Ringkasan!H903</f>
        <v>68.9</v>
      </c>
      <c r="I904" s="19">
        <f>Ringkasan!I903</f>
        <v>0.52</v>
      </c>
      <c r="J904" s="19">
        <f>Ringkasan!J903</f>
        <v>0.75</v>
      </c>
      <c r="K904" s="19">
        <f>Ringkasan!K903</f>
        <v>0.34</v>
      </c>
      <c r="L904" s="19">
        <f>Ringkasan!L903</f>
        <v>1.2</v>
      </c>
      <c r="M904" s="19">
        <f>Ringkasan!M903</f>
        <v>2.1</v>
      </c>
      <c r="N904" s="64" t="str">
        <f>Ringkasan!N903</f>
        <v/>
      </c>
      <c r="O904" s="64" t="str">
        <f>Ringkasan!O903</f>
        <v/>
      </c>
      <c r="P904" s="64" t="str">
        <f>Ringkasan!P903</f>
        <v/>
      </c>
      <c r="Q904" s="64" t="str">
        <f>Ringkasan!Q903</f>
        <v/>
      </c>
      <c r="R904" s="64" t="str">
        <f>Ringkasan!R903</f>
        <v/>
      </c>
      <c r="S904" s="64" t="str">
        <f>Ringkasan!S903</f>
        <v/>
      </c>
      <c r="T904" s="64" t="str">
        <f>Ringkasan!T903</f>
        <v/>
      </c>
      <c r="U904" s="64">
        <f>Ringkasan!U903</f>
        <v>42.23</v>
      </c>
      <c r="V904" s="64">
        <f>Ringkasan!V903</f>
        <v>1.11</v>
      </c>
      <c r="W904" s="64">
        <f>Ringkasan!W903</f>
        <v>42.69</v>
      </c>
      <c r="X904" s="64">
        <f>Ringkasan!X903</f>
        <v>42.9</v>
      </c>
      <c r="Y904" s="64">
        <f>Ringkasan!Y903</f>
        <v>42.58</v>
      </c>
      <c r="Z904" s="64">
        <f>Ringkasan!Z903</f>
        <v>229335</v>
      </c>
      <c r="AA904" s="64" t="str">
        <f>Ringkasan!AA903</f>
        <v>Coal</v>
      </c>
      <c r="AB904" s="64" t="str">
        <f>Ringkasan!AB903</f>
        <v>Energy</v>
      </c>
    </row>
    <row r="905" hidden="1">
      <c r="A905" s="64" t="str">
        <f>Ringkasan!A865</f>
        <v>INCO</v>
      </c>
      <c r="B905" s="64" t="str">
        <f>Ringkasan!B865</f>
        <v>Vale Indonesia Tbk.</v>
      </c>
      <c r="C905" s="65">
        <f>Ringkasan!C865</f>
        <v>4710</v>
      </c>
      <c r="D905" s="64" t="str">
        <f>Ringkasan!D865</f>
        <v>#N/A</v>
      </c>
      <c r="E905" s="64" t="str">
        <f>Ringkasan!E865</f>
        <v>ESGSKEHATI</v>
      </c>
      <c r="F905" s="66">
        <f>Ringkasan!F865</f>
        <v>46356</v>
      </c>
      <c r="G905" s="64">
        <f>Ringkasan!G865</f>
        <v>14</v>
      </c>
      <c r="H905" s="19">
        <f>Ringkasan!H865</f>
        <v>30.1</v>
      </c>
      <c r="I905" s="19">
        <f>Ringkasan!I865</f>
        <v>1</v>
      </c>
      <c r="J905" s="19">
        <f>Ringkasan!J865</f>
        <v>3.5</v>
      </c>
      <c r="K905" s="19">
        <f>Ringkasan!K865</f>
        <v>2.9</v>
      </c>
      <c r="L905" s="19">
        <f>Ringkasan!L865</f>
        <v>0.19</v>
      </c>
      <c r="M905" s="19">
        <f>Ringkasan!M865</f>
        <v>38.6</v>
      </c>
      <c r="N905" s="64" t="str">
        <f>Ringkasan!N865</f>
        <v/>
      </c>
      <c r="O905" s="64" t="str">
        <f>Ringkasan!O865</f>
        <v/>
      </c>
      <c r="P905" s="64" t="str">
        <f>Ringkasan!P865</f>
        <v/>
      </c>
      <c r="Q905" s="64" t="str">
        <f>Ringkasan!Q865</f>
        <v/>
      </c>
      <c r="R905" s="64" t="str">
        <f>Ringkasan!R865</f>
        <v/>
      </c>
      <c r="S905" s="64" t="str">
        <f>Ringkasan!S865</f>
        <v/>
      </c>
      <c r="T905" s="64" t="str">
        <f>Ringkasan!T865</f>
        <v/>
      </c>
      <c r="U905" s="64">
        <f>Ringkasan!U865</f>
        <v>57.53</v>
      </c>
      <c r="V905" s="64">
        <f>Ringkasan!V865</f>
        <v>0.26</v>
      </c>
      <c r="W905" s="64">
        <f>Ringkasan!W865</f>
        <v>57.97</v>
      </c>
      <c r="X905" s="64">
        <f>Ringkasan!X865</f>
        <v>58.06</v>
      </c>
      <c r="Y905" s="64">
        <f>Ringkasan!Y865</f>
        <v>57.68</v>
      </c>
      <c r="Z905" s="64">
        <f>Ringkasan!Z865</f>
        <v>5034</v>
      </c>
      <c r="AA905" s="64" t="str">
        <f>Ringkasan!AA865</f>
        <v>Metals &amp; Minerals</v>
      </c>
      <c r="AB905" s="64" t="str">
        <f>Ringkasan!AB865</f>
        <v>Basic Materials</v>
      </c>
    </row>
    <row r="906" hidden="1">
      <c r="A906" s="64" t="str">
        <f>Ringkasan!A905</f>
        <v>INET</v>
      </c>
      <c r="B906" s="64" t="str">
        <f>Ringkasan!B905</f>
        <v>PT Sinergi Inti Andalan Prima Tbk.</v>
      </c>
      <c r="C906" s="65">
        <f>Ringkasan!C905</f>
        <v>199</v>
      </c>
      <c r="D906" s="64" t="str">
        <f>Ringkasan!D905</f>
        <v>#N/A</v>
      </c>
      <c r="E906" s="64" t="str">
        <f>Ringkasan!E905</f>
        <v>IDXSMC-LIQ</v>
      </c>
      <c r="F906" s="64" t="str">
        <f>Ringkasan!F905</f>
        <v>4 Agustus 2026</v>
      </c>
      <c r="G906" s="64">
        <f>Ringkasan!G905</f>
        <v>2</v>
      </c>
      <c r="H906" s="19">
        <f>Ringkasan!H905</f>
        <v>140</v>
      </c>
      <c r="I906" s="19">
        <f>Ringkasan!I905</f>
        <v>1.4</v>
      </c>
      <c r="J906" s="19">
        <f>Ringkasan!J905</f>
        <v>0.98</v>
      </c>
      <c r="K906" s="19">
        <f>Ringkasan!K905</f>
        <v>0.64</v>
      </c>
      <c r="L906" s="19">
        <f>Ringkasan!L905</f>
        <v>0.52</v>
      </c>
      <c r="M906" s="19">
        <f>Ringkasan!M905</f>
        <v>9.5</v>
      </c>
      <c r="N906" s="64" t="str">
        <f>Ringkasan!N905</f>
        <v/>
      </c>
      <c r="O906" s="64" t="str">
        <f>Ringkasan!O905</f>
        <v/>
      </c>
      <c r="P906" s="64" t="str">
        <f>Ringkasan!P905</f>
        <v/>
      </c>
      <c r="Q906" s="64" t="str">
        <f>Ringkasan!Q905</f>
        <v/>
      </c>
      <c r="R906" s="64" t="str">
        <f>Ringkasan!R905</f>
        <v/>
      </c>
      <c r="S906" s="64" t="str">
        <f>Ringkasan!S905</f>
        <v/>
      </c>
      <c r="T906" s="64" t="str">
        <f>Ringkasan!T905</f>
        <v/>
      </c>
      <c r="U906" s="64" t="str">
        <f>Ringkasan!U905</f>
        <v/>
      </c>
      <c r="V906" s="64" t="str">
        <f>Ringkasan!V905</f>
        <v/>
      </c>
      <c r="W906" s="64" t="str">
        <f>Ringkasan!W905</f>
        <v/>
      </c>
      <c r="X906" s="64" t="str">
        <f>Ringkasan!X905</f>
        <v/>
      </c>
      <c r="Y906" s="64" t="str">
        <f>Ringkasan!Y905</f>
        <v/>
      </c>
      <c r="Z906" s="64" t="str">
        <f>Ringkasan!Z905</f>
        <v/>
      </c>
      <c r="AA906" s="64" t="str">
        <f>Ringkasan!AA905</f>
        <v>Telecommunication Service</v>
      </c>
      <c r="AB906" s="64" t="str">
        <f>Ringkasan!AB905</f>
        <v>Infrastructures</v>
      </c>
    </row>
    <row r="907" hidden="1">
      <c r="A907" s="64" t="str">
        <f>Ringkasan!A906</f>
        <v>INKP</v>
      </c>
      <c r="B907" s="64" t="str">
        <f>Ringkasan!B906</f>
        <v>Indah Kiat Pulp &amp; Paper Tbk.</v>
      </c>
      <c r="C907" s="65">
        <f>Ringkasan!C906</f>
        <v>7700</v>
      </c>
      <c r="D907" s="64" t="str">
        <f>Ringkasan!D906</f>
        <v>#N/A</v>
      </c>
      <c r="E907" s="64" t="str">
        <f>Ringkasan!E906</f>
        <v>IDXSHAGROW</v>
      </c>
      <c r="F907" s="66">
        <f>Ringkasan!F906</f>
        <v>46356</v>
      </c>
      <c r="G907" s="64">
        <f>Ringkasan!G906</f>
        <v>16</v>
      </c>
      <c r="H907" s="19">
        <f>Ringkasan!H906</f>
        <v>5.3</v>
      </c>
      <c r="I907" s="19">
        <f>Ringkasan!I906</f>
        <v>0.35</v>
      </c>
      <c r="J907" s="19">
        <f>Ringkasan!J906</f>
        <v>6.7</v>
      </c>
      <c r="K907" s="19">
        <f>Ringkasan!K906</f>
        <v>3.7</v>
      </c>
      <c r="L907" s="19">
        <f>Ringkasan!L906</f>
        <v>0.81</v>
      </c>
      <c r="M907" s="19">
        <f>Ringkasan!M906</f>
        <v>57.2</v>
      </c>
      <c r="N907" s="64" t="str">
        <f>Ringkasan!N906</f>
        <v/>
      </c>
      <c r="O907" s="64" t="str">
        <f>Ringkasan!O906</f>
        <v/>
      </c>
      <c r="P907" s="64" t="str">
        <f>Ringkasan!P906</f>
        <v/>
      </c>
      <c r="Q907" s="64" t="str">
        <f>Ringkasan!Q906</f>
        <v/>
      </c>
      <c r="R907" s="64" t="str">
        <f>Ringkasan!R906</f>
        <v/>
      </c>
      <c r="S907" s="64" t="str">
        <f>Ringkasan!S906</f>
        <v/>
      </c>
      <c r="T907" s="64" t="str">
        <f>Ringkasan!T906</f>
        <v/>
      </c>
      <c r="U907" s="64">
        <f>Ringkasan!U906</f>
        <v>7550</v>
      </c>
      <c r="V907" s="64">
        <f>Ringkasan!V906</f>
        <v>1.99</v>
      </c>
      <c r="W907" s="64">
        <f>Ringkasan!W906</f>
        <v>7625</v>
      </c>
      <c r="X907" s="64">
        <f>Ringkasan!X906</f>
        <v>7800</v>
      </c>
      <c r="Y907" s="64">
        <f>Ringkasan!Y906</f>
        <v>7575</v>
      </c>
      <c r="Z907" s="64">
        <f>Ringkasan!Z906</f>
        <v>5343300</v>
      </c>
      <c r="AA907" s="64" t="str">
        <f>Ringkasan!AA906</f>
        <v>Forestry &amp; Paper</v>
      </c>
      <c r="AB907" s="64" t="str">
        <f>Ringkasan!AB906</f>
        <v>Basic Materials</v>
      </c>
    </row>
    <row r="908" hidden="1">
      <c r="A908" s="64" t="str">
        <f>Ringkasan!A938</f>
        <v>INTP</v>
      </c>
      <c r="B908" s="64" t="str">
        <f>Ringkasan!B938</f>
        <v>Indocement Tunggal Prakarsa Tbk.</v>
      </c>
      <c r="C908" s="65">
        <f>Ringkasan!C938</f>
        <v>4110</v>
      </c>
      <c r="D908" s="64" t="str">
        <f>Ringkasan!D938</f>
        <v>#N/A</v>
      </c>
      <c r="E908" s="64" t="str">
        <f>Ringkasan!E938</f>
        <v>SRI-KEHATI</v>
      </c>
      <c r="F908" s="66">
        <f>Ringkasan!F938</f>
        <v>46356</v>
      </c>
      <c r="G908" s="64">
        <f>Ringkasan!G938</f>
        <v>13</v>
      </c>
      <c r="H908" s="19">
        <f>Ringkasan!H938</f>
        <v>7.6</v>
      </c>
      <c r="I908" s="19">
        <f>Ringkasan!I938</f>
        <v>0.74</v>
      </c>
      <c r="J908" s="19">
        <f>Ringkasan!J938</f>
        <v>9.7</v>
      </c>
      <c r="K908" s="19">
        <f>Ringkasan!K938</f>
        <v>7.2</v>
      </c>
      <c r="L908" s="19">
        <f>Ringkasan!L938</f>
        <v>0.34</v>
      </c>
      <c r="M908" s="19">
        <f>Ringkasan!M938</f>
        <v>58.6</v>
      </c>
      <c r="N908" s="64" t="str">
        <f>Ringkasan!N938</f>
        <v/>
      </c>
      <c r="O908" s="64" t="str">
        <f>Ringkasan!O938</f>
        <v/>
      </c>
      <c r="P908" s="64" t="str">
        <f>Ringkasan!P938</f>
        <v/>
      </c>
      <c r="Q908" s="64" t="str">
        <f>Ringkasan!Q938</f>
        <v/>
      </c>
      <c r="R908" s="64" t="str">
        <f>Ringkasan!R938</f>
        <v/>
      </c>
      <c r="S908" s="64" t="str">
        <f>Ringkasan!S938</f>
        <v/>
      </c>
      <c r="T908" s="64" t="str">
        <f>Ringkasan!T938</f>
        <v/>
      </c>
      <c r="U908" s="64">
        <f>Ringkasan!U938</f>
        <v>4160</v>
      </c>
      <c r="V908" s="64" t="str">
        <f>Ringkasan!V938</f>
        <v/>
      </c>
      <c r="W908" s="64">
        <f>Ringkasan!W938</f>
        <v>4190</v>
      </c>
      <c r="X908" s="64">
        <f>Ringkasan!X938</f>
        <v>4240</v>
      </c>
      <c r="Y908" s="64">
        <f>Ringkasan!Y938</f>
        <v>4090</v>
      </c>
      <c r="Z908" s="64">
        <f>Ringkasan!Z938</f>
        <v>2337500</v>
      </c>
      <c r="AA908" s="64" t="str">
        <f>Ringkasan!AA938</f>
        <v>Construction Materials</v>
      </c>
      <c r="AB908" s="64" t="str">
        <f>Ringkasan!AB938</f>
        <v>Basic Materials</v>
      </c>
    </row>
    <row r="909" hidden="1">
      <c r="A909" s="64" t="str">
        <f>Ringkasan!A908</f>
        <v>INKP</v>
      </c>
      <c r="B909" s="64" t="str">
        <f>Ringkasan!B908</f>
        <v>Indah Kiat Pulp &amp; Paper Tbk.</v>
      </c>
      <c r="C909" s="65">
        <f>Ringkasan!C908</f>
        <v>7700</v>
      </c>
      <c r="D909" s="64" t="str">
        <f>Ringkasan!D908</f>
        <v>#N/A</v>
      </c>
      <c r="E909" s="64" t="str">
        <f>Ringkasan!E908</f>
        <v>IDXV30</v>
      </c>
      <c r="F909" s="64" t="str">
        <f>Ringkasan!F908</f>
        <v>4 Agustus 2026</v>
      </c>
      <c r="G909" s="64">
        <f>Ringkasan!G908</f>
        <v>16</v>
      </c>
      <c r="H909" s="19">
        <f>Ringkasan!H908</f>
        <v>5.3</v>
      </c>
      <c r="I909" s="19">
        <f>Ringkasan!I908</f>
        <v>0.35</v>
      </c>
      <c r="J909" s="19">
        <f>Ringkasan!J908</f>
        <v>6.7</v>
      </c>
      <c r="K909" s="19">
        <f>Ringkasan!K908</f>
        <v>3.7</v>
      </c>
      <c r="L909" s="19">
        <f>Ringkasan!L908</f>
        <v>0.81</v>
      </c>
      <c r="M909" s="19">
        <f>Ringkasan!M908</f>
        <v>57.2</v>
      </c>
      <c r="N909" s="64" t="str">
        <f>Ringkasan!N908</f>
        <v/>
      </c>
      <c r="O909" s="64" t="str">
        <f>Ringkasan!O908</f>
        <v/>
      </c>
      <c r="P909" s="64" t="str">
        <f>Ringkasan!P908</f>
        <v/>
      </c>
      <c r="Q909" s="64" t="str">
        <f>Ringkasan!Q908</f>
        <v/>
      </c>
      <c r="R909" s="64" t="str">
        <f>Ringkasan!R908</f>
        <v/>
      </c>
      <c r="S909" s="64" t="str">
        <f>Ringkasan!S908</f>
        <v/>
      </c>
      <c r="T909" s="64" t="str">
        <f>Ringkasan!T908</f>
        <v/>
      </c>
      <c r="U909" s="64">
        <f>Ringkasan!U908</f>
        <v>7550</v>
      </c>
      <c r="V909" s="64">
        <f>Ringkasan!V908</f>
        <v>1.99</v>
      </c>
      <c r="W909" s="64">
        <f>Ringkasan!W908</f>
        <v>7625</v>
      </c>
      <c r="X909" s="64">
        <f>Ringkasan!X908</f>
        <v>7800</v>
      </c>
      <c r="Y909" s="64">
        <f>Ringkasan!Y908</f>
        <v>7575</v>
      </c>
      <c r="Z909" s="64">
        <f>Ringkasan!Z908</f>
        <v>5343300</v>
      </c>
      <c r="AA909" s="64" t="str">
        <f>Ringkasan!AA908</f>
        <v>Forestry &amp; Paper</v>
      </c>
      <c r="AB909" s="64" t="str">
        <f>Ringkasan!AB908</f>
        <v>Basic Materials</v>
      </c>
    </row>
    <row r="910" hidden="1">
      <c r="A910" s="64" t="str">
        <f>Ringkasan!A909</f>
        <v>INKP</v>
      </c>
      <c r="B910" s="64" t="str">
        <f>Ringkasan!B909</f>
        <v>Indah Kiat Pulp &amp; Paper Tbk.</v>
      </c>
      <c r="C910" s="65">
        <f>Ringkasan!C909</f>
        <v>7700</v>
      </c>
      <c r="D910" s="64" t="str">
        <f>Ringkasan!D909</f>
        <v>#N/A</v>
      </c>
      <c r="E910" s="64" t="str">
        <f>Ringkasan!E909</f>
        <v>ECONOMIC30</v>
      </c>
      <c r="F910" s="64" t="str">
        <f>Ringkasan!F909</f>
        <v>31 Agustus 2026</v>
      </c>
      <c r="G910" s="64">
        <f>Ringkasan!G909</f>
        <v>16</v>
      </c>
      <c r="H910" s="19">
        <f>Ringkasan!H909</f>
        <v>5.3</v>
      </c>
      <c r="I910" s="19">
        <f>Ringkasan!I909</f>
        <v>0.35</v>
      </c>
      <c r="J910" s="19">
        <f>Ringkasan!J909</f>
        <v>6.7</v>
      </c>
      <c r="K910" s="19">
        <f>Ringkasan!K909</f>
        <v>3.7</v>
      </c>
      <c r="L910" s="19">
        <f>Ringkasan!L909</f>
        <v>0.81</v>
      </c>
      <c r="M910" s="19">
        <f>Ringkasan!M909</f>
        <v>57.2</v>
      </c>
      <c r="N910" s="64" t="str">
        <f>Ringkasan!N909</f>
        <v/>
      </c>
      <c r="O910" s="64" t="str">
        <f>Ringkasan!O909</f>
        <v/>
      </c>
      <c r="P910" s="64" t="str">
        <f>Ringkasan!P909</f>
        <v/>
      </c>
      <c r="Q910" s="64" t="str">
        <f>Ringkasan!Q909</f>
        <v/>
      </c>
      <c r="R910" s="64" t="str">
        <f>Ringkasan!R909</f>
        <v/>
      </c>
      <c r="S910" s="64" t="str">
        <f>Ringkasan!S909</f>
        <v/>
      </c>
      <c r="T910" s="64" t="str">
        <f>Ringkasan!T909</f>
        <v/>
      </c>
      <c r="U910" s="64">
        <f>Ringkasan!U909</f>
        <v>7550</v>
      </c>
      <c r="V910" s="64">
        <f>Ringkasan!V909</f>
        <v>1.99</v>
      </c>
      <c r="W910" s="64">
        <f>Ringkasan!W909</f>
        <v>7625</v>
      </c>
      <c r="X910" s="64">
        <f>Ringkasan!X909</f>
        <v>7800</v>
      </c>
      <c r="Y910" s="64">
        <f>Ringkasan!Y909</f>
        <v>7575</v>
      </c>
      <c r="Z910" s="64">
        <f>Ringkasan!Z909</f>
        <v>5343300</v>
      </c>
      <c r="AA910" s="64" t="str">
        <f>Ringkasan!AA909</f>
        <v>Forestry &amp; Paper</v>
      </c>
      <c r="AB910" s="64" t="str">
        <f>Ringkasan!AB909</f>
        <v>Basic Materials</v>
      </c>
    </row>
    <row r="911" hidden="1">
      <c r="A911" s="64" t="str">
        <f>Ringkasan!A910</f>
        <v>INKP</v>
      </c>
      <c r="B911" s="64" t="str">
        <f>Ringkasan!B910</f>
        <v>Indah Kiat Pulp &amp; Paper Tbk.</v>
      </c>
      <c r="C911" s="65">
        <f>Ringkasan!C910</f>
        <v>7700</v>
      </c>
      <c r="D911" s="64" t="str">
        <f>Ringkasan!D910</f>
        <v>#N/A</v>
      </c>
      <c r="E911" s="64" t="str">
        <f>Ringkasan!E910</f>
        <v>Pefindo - iGrade</v>
      </c>
      <c r="F911" s="64" t="str">
        <f>Ringkasan!F910</f>
        <v>30 Juni 2026</v>
      </c>
      <c r="G911" s="64">
        <f>Ringkasan!G910</f>
        <v>16</v>
      </c>
      <c r="H911" s="19">
        <f>Ringkasan!H910</f>
        <v>5.3</v>
      </c>
      <c r="I911" s="19">
        <f>Ringkasan!I910</f>
        <v>0.35</v>
      </c>
      <c r="J911" s="19">
        <f>Ringkasan!J910</f>
        <v>6.7</v>
      </c>
      <c r="K911" s="19">
        <f>Ringkasan!K910</f>
        <v>3.7</v>
      </c>
      <c r="L911" s="19">
        <f>Ringkasan!L910</f>
        <v>0.81</v>
      </c>
      <c r="M911" s="19">
        <f>Ringkasan!M910</f>
        <v>57.2</v>
      </c>
      <c r="N911" s="64" t="str">
        <f>Ringkasan!N910</f>
        <v/>
      </c>
      <c r="O911" s="64" t="str">
        <f>Ringkasan!O910</f>
        <v/>
      </c>
      <c r="P911" s="64" t="str">
        <f>Ringkasan!P910</f>
        <v/>
      </c>
      <c r="Q911" s="64" t="str">
        <f>Ringkasan!Q910</f>
        <v/>
      </c>
      <c r="R911" s="64" t="str">
        <f>Ringkasan!R910</f>
        <v/>
      </c>
      <c r="S911" s="64" t="str">
        <f>Ringkasan!S910</f>
        <v/>
      </c>
      <c r="T911" s="64" t="str">
        <f>Ringkasan!T910</f>
        <v/>
      </c>
      <c r="U911" s="64">
        <f>Ringkasan!U910</f>
        <v>7550</v>
      </c>
      <c r="V911" s="64">
        <f>Ringkasan!V910</f>
        <v>1.99</v>
      </c>
      <c r="W911" s="64">
        <f>Ringkasan!W910</f>
        <v>7625</v>
      </c>
      <c r="X911" s="64">
        <f>Ringkasan!X910</f>
        <v>7800</v>
      </c>
      <c r="Y911" s="64">
        <f>Ringkasan!Y910</f>
        <v>7575</v>
      </c>
      <c r="Z911" s="64">
        <f>Ringkasan!Z910</f>
        <v>5343300</v>
      </c>
      <c r="AA911" s="64" t="str">
        <f>Ringkasan!AA910</f>
        <v>Forestry &amp; Paper</v>
      </c>
      <c r="AB911" s="64" t="str">
        <f>Ringkasan!AB910</f>
        <v>Basic Materials</v>
      </c>
    </row>
    <row r="912" hidden="1">
      <c r="A912" s="64" t="str">
        <f>Ringkasan!A911</f>
        <v>INKP</v>
      </c>
      <c r="B912" s="64" t="str">
        <f>Ringkasan!B911</f>
        <v>Indah Kiat Pulp &amp; Paper Tbk.</v>
      </c>
      <c r="C912" s="65">
        <f>Ringkasan!C911</f>
        <v>7700</v>
      </c>
      <c r="D912" s="64" t="str">
        <f>Ringkasan!D911</f>
        <v>#N/A</v>
      </c>
      <c r="E912" s="64" t="str">
        <f>Ringkasan!E911</f>
        <v>BISNIS-27</v>
      </c>
      <c r="F912" s="64" t="str">
        <f>Ringkasan!F911</f>
        <v>30 Oktober 2026</v>
      </c>
      <c r="G912" s="64">
        <f>Ringkasan!G911</f>
        <v>16</v>
      </c>
      <c r="H912" s="19">
        <f>Ringkasan!H911</f>
        <v>5.3</v>
      </c>
      <c r="I912" s="19">
        <f>Ringkasan!I911</f>
        <v>0.35</v>
      </c>
      <c r="J912" s="19">
        <f>Ringkasan!J911</f>
        <v>6.7</v>
      </c>
      <c r="K912" s="19">
        <f>Ringkasan!K911</f>
        <v>3.7</v>
      </c>
      <c r="L912" s="19">
        <f>Ringkasan!L911</f>
        <v>0.81</v>
      </c>
      <c r="M912" s="19">
        <f>Ringkasan!M911</f>
        <v>57.2</v>
      </c>
      <c r="N912" s="64" t="str">
        <f>Ringkasan!N911</f>
        <v/>
      </c>
      <c r="O912" s="64" t="str">
        <f>Ringkasan!O911</f>
        <v/>
      </c>
      <c r="P912" s="64" t="str">
        <f>Ringkasan!P911</f>
        <v/>
      </c>
      <c r="Q912" s="64" t="str">
        <f>Ringkasan!Q911</f>
        <v/>
      </c>
      <c r="R912" s="64" t="str">
        <f>Ringkasan!R911</f>
        <v/>
      </c>
      <c r="S912" s="64" t="str">
        <f>Ringkasan!S911</f>
        <v/>
      </c>
      <c r="T912" s="64" t="str">
        <f>Ringkasan!T911</f>
        <v/>
      </c>
      <c r="U912" s="64">
        <f>Ringkasan!U911</f>
        <v>7550</v>
      </c>
      <c r="V912" s="64">
        <f>Ringkasan!V911</f>
        <v>1.99</v>
      </c>
      <c r="W912" s="64">
        <f>Ringkasan!W911</f>
        <v>7625</v>
      </c>
      <c r="X912" s="64">
        <f>Ringkasan!X911</f>
        <v>7800</v>
      </c>
      <c r="Y912" s="64">
        <f>Ringkasan!Y911</f>
        <v>7575</v>
      </c>
      <c r="Z912" s="64">
        <f>Ringkasan!Z911</f>
        <v>5343300</v>
      </c>
      <c r="AA912" s="64" t="str">
        <f>Ringkasan!AA911</f>
        <v>Forestry &amp; Paper</v>
      </c>
      <c r="AB912" s="64" t="str">
        <f>Ringkasan!AB911</f>
        <v>Basic Materials</v>
      </c>
    </row>
    <row r="913" hidden="1">
      <c r="A913" s="64" t="str">
        <f>Ringkasan!A912</f>
        <v>INKP</v>
      </c>
      <c r="B913" s="64" t="str">
        <f>Ringkasan!B912</f>
        <v>Indah Kiat Pulp &amp; Paper Tbk.</v>
      </c>
      <c r="C913" s="65">
        <f>Ringkasan!C912</f>
        <v>7700</v>
      </c>
      <c r="D913" s="64" t="str">
        <f>Ringkasan!D912</f>
        <v>#N/A</v>
      </c>
      <c r="E913" s="64" t="str">
        <f>Ringkasan!E912</f>
        <v>LQ45</v>
      </c>
      <c r="F913" s="64" t="str">
        <f>Ringkasan!F912</f>
        <v>31 Juli 2026</v>
      </c>
      <c r="G913" s="64">
        <f>Ringkasan!G912</f>
        <v>16</v>
      </c>
      <c r="H913" s="19">
        <f>Ringkasan!H912</f>
        <v>5.3</v>
      </c>
      <c r="I913" s="19">
        <f>Ringkasan!I912</f>
        <v>0.35</v>
      </c>
      <c r="J913" s="19">
        <f>Ringkasan!J912</f>
        <v>6.7</v>
      </c>
      <c r="K913" s="19">
        <f>Ringkasan!K912</f>
        <v>3.7</v>
      </c>
      <c r="L913" s="19">
        <f>Ringkasan!L912</f>
        <v>0.81</v>
      </c>
      <c r="M913" s="19">
        <f>Ringkasan!M912</f>
        <v>57.2</v>
      </c>
      <c r="N913" s="64" t="str">
        <f>Ringkasan!N912</f>
        <v/>
      </c>
      <c r="O913" s="64" t="str">
        <f>Ringkasan!O912</f>
        <v/>
      </c>
      <c r="P913" s="64" t="str">
        <f>Ringkasan!P912</f>
        <v/>
      </c>
      <c r="Q913" s="64" t="str">
        <f>Ringkasan!Q912</f>
        <v/>
      </c>
      <c r="R913" s="64" t="str">
        <f>Ringkasan!R912</f>
        <v/>
      </c>
      <c r="S913" s="64" t="str">
        <f>Ringkasan!S912</f>
        <v/>
      </c>
      <c r="T913" s="64" t="str">
        <f>Ringkasan!T912</f>
        <v/>
      </c>
      <c r="U913" s="64">
        <f>Ringkasan!U912</f>
        <v>7550</v>
      </c>
      <c r="V913" s="64">
        <f>Ringkasan!V912</f>
        <v>1.99</v>
      </c>
      <c r="W913" s="64">
        <f>Ringkasan!W912</f>
        <v>7625</v>
      </c>
      <c r="X913" s="64">
        <f>Ringkasan!X912</f>
        <v>7800</v>
      </c>
      <c r="Y913" s="64">
        <f>Ringkasan!Y912</f>
        <v>7575</v>
      </c>
      <c r="Z913" s="64">
        <f>Ringkasan!Z912</f>
        <v>5343300</v>
      </c>
      <c r="AA913" s="64" t="str">
        <f>Ringkasan!AA912</f>
        <v>Forestry &amp; Paper</v>
      </c>
      <c r="AB913" s="64" t="str">
        <f>Ringkasan!AB912</f>
        <v>Basic Materials</v>
      </c>
    </row>
    <row r="914" hidden="1">
      <c r="A914" s="64" t="str">
        <f>Ringkasan!A913</f>
        <v>INKP</v>
      </c>
      <c r="B914" s="64" t="str">
        <f>Ringkasan!B913</f>
        <v>Indah Kiat Pulp &amp; Paper Tbk.</v>
      </c>
      <c r="C914" s="65">
        <f>Ringkasan!C913</f>
        <v>7700</v>
      </c>
      <c r="D914" s="64" t="str">
        <f>Ringkasan!D913</f>
        <v>#N/A</v>
      </c>
      <c r="E914" s="64" t="str">
        <f>Ringkasan!E913</f>
        <v>IDX80</v>
      </c>
      <c r="F914" s="64" t="str">
        <f>Ringkasan!F913</f>
        <v>31 Juli 2026</v>
      </c>
      <c r="G914" s="64">
        <f>Ringkasan!G913</f>
        <v>16</v>
      </c>
      <c r="H914" s="19">
        <f>Ringkasan!H913</f>
        <v>5.3</v>
      </c>
      <c r="I914" s="19">
        <f>Ringkasan!I913</f>
        <v>0.35</v>
      </c>
      <c r="J914" s="19">
        <f>Ringkasan!J913</f>
        <v>6.7</v>
      </c>
      <c r="K914" s="19">
        <f>Ringkasan!K913</f>
        <v>3.7</v>
      </c>
      <c r="L914" s="19">
        <f>Ringkasan!L913</f>
        <v>0.81</v>
      </c>
      <c r="M914" s="19">
        <f>Ringkasan!M913</f>
        <v>57.2</v>
      </c>
      <c r="N914" s="64" t="str">
        <f>Ringkasan!N913</f>
        <v/>
      </c>
      <c r="O914" s="64" t="str">
        <f>Ringkasan!O913</f>
        <v/>
      </c>
      <c r="P914" s="64" t="str">
        <f>Ringkasan!P913</f>
        <v/>
      </c>
      <c r="Q914" s="64" t="str">
        <f>Ringkasan!Q913</f>
        <v/>
      </c>
      <c r="R914" s="64" t="str">
        <f>Ringkasan!R913</f>
        <v/>
      </c>
      <c r="S914" s="64" t="str">
        <f>Ringkasan!S913</f>
        <v/>
      </c>
      <c r="T914" s="64" t="str">
        <f>Ringkasan!T913</f>
        <v/>
      </c>
      <c r="U914" s="64">
        <f>Ringkasan!U913</f>
        <v>7550</v>
      </c>
      <c r="V914" s="64">
        <f>Ringkasan!V913</f>
        <v>1.99</v>
      </c>
      <c r="W914" s="64">
        <f>Ringkasan!W913</f>
        <v>7625</v>
      </c>
      <c r="X914" s="64">
        <f>Ringkasan!X913</f>
        <v>7800</v>
      </c>
      <c r="Y914" s="64">
        <f>Ringkasan!Y913</f>
        <v>7575</v>
      </c>
      <c r="Z914" s="64">
        <f>Ringkasan!Z913</f>
        <v>5343300</v>
      </c>
      <c r="AA914" s="64" t="str">
        <f>Ringkasan!AA913</f>
        <v>Forestry &amp; Paper</v>
      </c>
      <c r="AB914" s="64" t="str">
        <f>Ringkasan!AB913</f>
        <v>Basic Materials</v>
      </c>
    </row>
    <row r="915" hidden="1">
      <c r="A915" s="64" t="str">
        <f>Ringkasan!A914</f>
        <v>INKP</v>
      </c>
      <c r="B915" s="64" t="str">
        <f>Ringkasan!B914</f>
        <v>Indah Kiat Pulp &amp; Paper Tbk.</v>
      </c>
      <c r="C915" s="65">
        <f>Ringkasan!C914</f>
        <v>7700</v>
      </c>
      <c r="D915" s="64" t="str">
        <f>Ringkasan!D914</f>
        <v>#N/A</v>
      </c>
      <c r="E915" s="64" t="str">
        <f>Ringkasan!E914</f>
        <v>IDXVESTA28</v>
      </c>
      <c r="F915" s="64" t="str">
        <f>Ringkasan!F914</f>
        <v>31 Agustus 2026</v>
      </c>
      <c r="G915" s="64">
        <f>Ringkasan!G914</f>
        <v>16</v>
      </c>
      <c r="H915" s="19">
        <f>Ringkasan!H914</f>
        <v>5.3</v>
      </c>
      <c r="I915" s="19">
        <f>Ringkasan!I914</f>
        <v>0.35</v>
      </c>
      <c r="J915" s="19">
        <f>Ringkasan!J914</f>
        <v>6.7</v>
      </c>
      <c r="K915" s="19">
        <f>Ringkasan!K914</f>
        <v>3.7</v>
      </c>
      <c r="L915" s="19">
        <f>Ringkasan!L914</f>
        <v>0.81</v>
      </c>
      <c r="M915" s="19">
        <f>Ringkasan!M914</f>
        <v>57.2</v>
      </c>
      <c r="N915" s="64" t="str">
        <f>Ringkasan!N914</f>
        <v/>
      </c>
      <c r="O915" s="64" t="str">
        <f>Ringkasan!O914</f>
        <v/>
      </c>
      <c r="P915" s="64" t="str">
        <f>Ringkasan!P914</f>
        <v/>
      </c>
      <c r="Q915" s="64" t="str">
        <f>Ringkasan!Q914</f>
        <v/>
      </c>
      <c r="R915" s="64" t="str">
        <f>Ringkasan!R914</f>
        <v/>
      </c>
      <c r="S915" s="64" t="str">
        <f>Ringkasan!S914</f>
        <v/>
      </c>
      <c r="T915" s="64" t="str">
        <f>Ringkasan!T914</f>
        <v/>
      </c>
      <c r="U915" s="64">
        <f>Ringkasan!U914</f>
        <v>7550</v>
      </c>
      <c r="V915" s="64">
        <f>Ringkasan!V914</f>
        <v>1.99</v>
      </c>
      <c r="W915" s="64">
        <f>Ringkasan!W914</f>
        <v>7625</v>
      </c>
      <c r="X915" s="64">
        <f>Ringkasan!X914</f>
        <v>7800</v>
      </c>
      <c r="Y915" s="64">
        <f>Ringkasan!Y914</f>
        <v>7575</v>
      </c>
      <c r="Z915" s="64">
        <f>Ringkasan!Z914</f>
        <v>5343300</v>
      </c>
      <c r="AA915" s="64" t="str">
        <f>Ringkasan!AA914</f>
        <v>Forestry &amp; Paper</v>
      </c>
      <c r="AB915" s="64" t="str">
        <f>Ringkasan!AB914</f>
        <v>Basic Materials</v>
      </c>
    </row>
    <row r="916" hidden="1">
      <c r="A916" s="64" t="str">
        <f>Ringkasan!A915</f>
        <v>INKP</v>
      </c>
      <c r="B916" s="64" t="str">
        <f>Ringkasan!B915</f>
        <v>Indah Kiat Pulp &amp; Paper Tbk.</v>
      </c>
      <c r="C916" s="65">
        <f>Ringkasan!C915</f>
        <v>7700</v>
      </c>
      <c r="D916" s="64" t="str">
        <f>Ringkasan!D915</f>
        <v>#N/A</v>
      </c>
      <c r="E916" s="64" t="str">
        <f>Ringkasan!E915</f>
        <v>Kompas100</v>
      </c>
      <c r="F916" s="64" t="str">
        <f>Ringkasan!F915</f>
        <v>31 Juli 2026</v>
      </c>
      <c r="G916" s="64">
        <f>Ringkasan!G915</f>
        <v>16</v>
      </c>
      <c r="H916" s="19">
        <f>Ringkasan!H915</f>
        <v>5.3</v>
      </c>
      <c r="I916" s="19">
        <f>Ringkasan!I915</f>
        <v>0.35</v>
      </c>
      <c r="J916" s="19">
        <f>Ringkasan!J915</f>
        <v>6.7</v>
      </c>
      <c r="K916" s="19">
        <f>Ringkasan!K915</f>
        <v>3.7</v>
      </c>
      <c r="L916" s="19">
        <f>Ringkasan!L915</f>
        <v>0.81</v>
      </c>
      <c r="M916" s="19">
        <f>Ringkasan!M915</f>
        <v>57.2</v>
      </c>
      <c r="N916" s="64" t="str">
        <f>Ringkasan!N915</f>
        <v/>
      </c>
      <c r="O916" s="64" t="str">
        <f>Ringkasan!O915</f>
        <v/>
      </c>
      <c r="P916" s="64" t="str">
        <f>Ringkasan!P915</f>
        <v/>
      </c>
      <c r="Q916" s="64" t="str">
        <f>Ringkasan!Q915</f>
        <v/>
      </c>
      <c r="R916" s="64" t="str">
        <f>Ringkasan!R915</f>
        <v/>
      </c>
      <c r="S916" s="64" t="str">
        <f>Ringkasan!S915</f>
        <v/>
      </c>
      <c r="T916" s="64" t="str">
        <f>Ringkasan!T915</f>
        <v/>
      </c>
      <c r="U916" s="64">
        <f>Ringkasan!U915</f>
        <v>7550</v>
      </c>
      <c r="V916" s="64">
        <f>Ringkasan!V915</f>
        <v>1.99</v>
      </c>
      <c r="W916" s="64">
        <f>Ringkasan!W915</f>
        <v>7625</v>
      </c>
      <c r="X916" s="64">
        <f>Ringkasan!X915</f>
        <v>7800</v>
      </c>
      <c r="Y916" s="64">
        <f>Ringkasan!Y915</f>
        <v>7575</v>
      </c>
      <c r="Z916" s="64">
        <f>Ringkasan!Z915</f>
        <v>5343300</v>
      </c>
      <c r="AA916" s="64" t="str">
        <f>Ringkasan!AA915</f>
        <v>Forestry &amp; Paper</v>
      </c>
      <c r="AB916" s="64" t="str">
        <f>Ringkasan!AB915</f>
        <v>Basic Materials</v>
      </c>
    </row>
    <row r="917" hidden="1">
      <c r="A917" s="64" t="str">
        <f>Ringkasan!A916</f>
        <v>INKP</v>
      </c>
      <c r="B917" s="64" t="str">
        <f>Ringkasan!B916</f>
        <v>Indah Kiat Pulp &amp; Paper Tbk.</v>
      </c>
      <c r="C917" s="65">
        <f>Ringkasan!C916</f>
        <v>7700</v>
      </c>
      <c r="D917" s="64" t="str">
        <f>Ringkasan!D916</f>
        <v>#N/A</v>
      </c>
      <c r="E917" s="64" t="str">
        <f>Ringkasan!E916</f>
        <v>IDX30</v>
      </c>
      <c r="F917" s="64" t="str">
        <f>Ringkasan!F916</f>
        <v>31 Juli 2026</v>
      </c>
      <c r="G917" s="64">
        <f>Ringkasan!G916</f>
        <v>16</v>
      </c>
      <c r="H917" s="19">
        <f>Ringkasan!H916</f>
        <v>5.3</v>
      </c>
      <c r="I917" s="19">
        <f>Ringkasan!I916</f>
        <v>0.35</v>
      </c>
      <c r="J917" s="19">
        <f>Ringkasan!J916</f>
        <v>6.7</v>
      </c>
      <c r="K917" s="19">
        <f>Ringkasan!K916</f>
        <v>3.7</v>
      </c>
      <c r="L917" s="19">
        <f>Ringkasan!L916</f>
        <v>0.81</v>
      </c>
      <c r="M917" s="19">
        <f>Ringkasan!M916</f>
        <v>57.2</v>
      </c>
      <c r="N917" s="64" t="str">
        <f>Ringkasan!N916</f>
        <v/>
      </c>
      <c r="O917" s="64" t="str">
        <f>Ringkasan!O916</f>
        <v/>
      </c>
      <c r="P917" s="64" t="str">
        <f>Ringkasan!P916</f>
        <v/>
      </c>
      <c r="Q917" s="64" t="str">
        <f>Ringkasan!Q916</f>
        <v/>
      </c>
      <c r="R917" s="64" t="str">
        <f>Ringkasan!R916</f>
        <v/>
      </c>
      <c r="S917" s="64" t="str">
        <f>Ringkasan!S916</f>
        <v/>
      </c>
      <c r="T917" s="64" t="str">
        <f>Ringkasan!T916</f>
        <v/>
      </c>
      <c r="U917" s="64">
        <f>Ringkasan!U916</f>
        <v>7550</v>
      </c>
      <c r="V917" s="64">
        <f>Ringkasan!V916</f>
        <v>1.99</v>
      </c>
      <c r="W917" s="64">
        <f>Ringkasan!W916</f>
        <v>7625</v>
      </c>
      <c r="X917" s="64">
        <f>Ringkasan!X916</f>
        <v>7800</v>
      </c>
      <c r="Y917" s="64">
        <f>Ringkasan!Y916</f>
        <v>7575</v>
      </c>
      <c r="Z917" s="64">
        <f>Ringkasan!Z916</f>
        <v>5343300</v>
      </c>
      <c r="AA917" s="64" t="str">
        <f>Ringkasan!AA916</f>
        <v>Forestry &amp; Paper</v>
      </c>
      <c r="AB917" s="64" t="str">
        <f>Ringkasan!AB916</f>
        <v>Basic Materials</v>
      </c>
    </row>
    <row r="918" hidden="1">
      <c r="A918" s="64" t="str">
        <f>Ringkasan!A917</f>
        <v>INKP</v>
      </c>
      <c r="B918" s="64" t="str">
        <f>Ringkasan!B917</f>
        <v>Indah Kiat Pulp &amp; Paper Tbk.</v>
      </c>
      <c r="C918" s="65">
        <f>Ringkasan!C917</f>
        <v>7700</v>
      </c>
      <c r="D918" s="64" t="str">
        <f>Ringkasan!D917</f>
        <v>#N/A</v>
      </c>
      <c r="E918" s="64" t="str">
        <f>Ringkasan!E917</f>
        <v>MNC36</v>
      </c>
      <c r="F918" s="64" t="str">
        <f>Ringkasan!F917</f>
        <v>30 Oktober 2026</v>
      </c>
      <c r="G918" s="64">
        <f>Ringkasan!G917</f>
        <v>16</v>
      </c>
      <c r="H918" s="19">
        <f>Ringkasan!H917</f>
        <v>5.3</v>
      </c>
      <c r="I918" s="19">
        <f>Ringkasan!I917</f>
        <v>0.35</v>
      </c>
      <c r="J918" s="19">
        <f>Ringkasan!J917</f>
        <v>6.7</v>
      </c>
      <c r="K918" s="19">
        <f>Ringkasan!K917</f>
        <v>3.7</v>
      </c>
      <c r="L918" s="19">
        <f>Ringkasan!L917</f>
        <v>0.81</v>
      </c>
      <c r="M918" s="19">
        <f>Ringkasan!M917</f>
        <v>57.2</v>
      </c>
      <c r="N918" s="64" t="str">
        <f>Ringkasan!N917</f>
        <v/>
      </c>
      <c r="O918" s="64" t="str">
        <f>Ringkasan!O917</f>
        <v/>
      </c>
      <c r="P918" s="64" t="str">
        <f>Ringkasan!P917</f>
        <v/>
      </c>
      <c r="Q918" s="64" t="str">
        <f>Ringkasan!Q917</f>
        <v/>
      </c>
      <c r="R918" s="64" t="str">
        <f>Ringkasan!R917</f>
        <v/>
      </c>
      <c r="S918" s="64" t="str">
        <f>Ringkasan!S917</f>
        <v/>
      </c>
      <c r="T918" s="64" t="str">
        <f>Ringkasan!T917</f>
        <v/>
      </c>
      <c r="U918" s="64">
        <f>Ringkasan!U917</f>
        <v>7550</v>
      </c>
      <c r="V918" s="64">
        <f>Ringkasan!V917</f>
        <v>1.99</v>
      </c>
      <c r="W918" s="64">
        <f>Ringkasan!W917</f>
        <v>7625</v>
      </c>
      <c r="X918" s="64">
        <f>Ringkasan!X917</f>
        <v>7800</v>
      </c>
      <c r="Y918" s="64">
        <f>Ringkasan!Y917</f>
        <v>7575</v>
      </c>
      <c r="Z918" s="64">
        <f>Ringkasan!Z917</f>
        <v>5343300</v>
      </c>
      <c r="AA918" s="64" t="str">
        <f>Ringkasan!AA917</f>
        <v>Forestry &amp; Paper</v>
      </c>
      <c r="AB918" s="64" t="str">
        <f>Ringkasan!AB917</f>
        <v>Basic Materials</v>
      </c>
    </row>
    <row r="919" hidden="1">
      <c r="A919" s="64" t="str">
        <f>Ringkasan!A918</f>
        <v>INKP</v>
      </c>
      <c r="B919" s="64" t="str">
        <f>Ringkasan!B918</f>
        <v>Indah Kiat Pulp &amp; Paper Tbk.</v>
      </c>
      <c r="C919" s="65">
        <f>Ringkasan!C918</f>
        <v>7700</v>
      </c>
      <c r="D919" s="64" t="str">
        <f>Ringkasan!D918</f>
        <v>#N/A</v>
      </c>
      <c r="E919" s="64" t="str">
        <f>Ringkasan!E918</f>
        <v>FTSE Large Cap</v>
      </c>
      <c r="F919" s="64" t="str">
        <f>Ringkasan!F918</f>
        <v>Juni 2026</v>
      </c>
      <c r="G919" s="64">
        <f>Ringkasan!G918</f>
        <v>16</v>
      </c>
      <c r="H919" s="19">
        <f>Ringkasan!H918</f>
        <v>5.3</v>
      </c>
      <c r="I919" s="19">
        <f>Ringkasan!I918</f>
        <v>0.35</v>
      </c>
      <c r="J919" s="19">
        <f>Ringkasan!J918</f>
        <v>6.7</v>
      </c>
      <c r="K919" s="19">
        <f>Ringkasan!K918</f>
        <v>3.7</v>
      </c>
      <c r="L919" s="19">
        <f>Ringkasan!L918</f>
        <v>0.81</v>
      </c>
      <c r="M919" s="19">
        <f>Ringkasan!M918</f>
        <v>57.2</v>
      </c>
      <c r="N919" s="64" t="str">
        <f>Ringkasan!N918</f>
        <v/>
      </c>
      <c r="O919" s="64" t="str">
        <f>Ringkasan!O918</f>
        <v/>
      </c>
      <c r="P919" s="64" t="str">
        <f>Ringkasan!P918</f>
        <v/>
      </c>
      <c r="Q919" s="64" t="str">
        <f>Ringkasan!Q918</f>
        <v/>
      </c>
      <c r="R919" s="64" t="str">
        <f>Ringkasan!R918</f>
        <v/>
      </c>
      <c r="S919" s="64" t="str">
        <f>Ringkasan!S918</f>
        <v/>
      </c>
      <c r="T919" s="64" t="str">
        <f>Ringkasan!T918</f>
        <v/>
      </c>
      <c r="U919" s="64">
        <f>Ringkasan!U918</f>
        <v>7550</v>
      </c>
      <c r="V919" s="64">
        <f>Ringkasan!V918</f>
        <v>1.99</v>
      </c>
      <c r="W919" s="64">
        <f>Ringkasan!W918</f>
        <v>7625</v>
      </c>
      <c r="X919" s="64">
        <f>Ringkasan!X918</f>
        <v>7800</v>
      </c>
      <c r="Y919" s="64">
        <f>Ringkasan!Y918</f>
        <v>7575</v>
      </c>
      <c r="Z919" s="64">
        <f>Ringkasan!Z918</f>
        <v>5343300</v>
      </c>
      <c r="AA919" s="64" t="str">
        <f>Ringkasan!AA918</f>
        <v>Forestry &amp; Paper</v>
      </c>
      <c r="AB919" s="64" t="str">
        <f>Ringkasan!AB918</f>
        <v>Basic Materials</v>
      </c>
    </row>
    <row r="920" hidden="1">
      <c r="A920" s="64" t="str">
        <f>Ringkasan!A919</f>
        <v>INKP</v>
      </c>
      <c r="B920" s="64" t="str">
        <f>Ringkasan!B919</f>
        <v>Indah Kiat Pulp &amp; Paper Tbk.</v>
      </c>
      <c r="C920" s="65">
        <f>Ringkasan!C919</f>
        <v>7700</v>
      </c>
      <c r="D920" s="64" t="str">
        <f>Ringkasan!D919</f>
        <v>#N/A</v>
      </c>
      <c r="E920" s="64" t="str">
        <f>Ringkasan!E919</f>
        <v>MSCI Small Cap</v>
      </c>
      <c r="F920" s="64" t="str">
        <f>Ringkasan!F919</f>
        <v>12 Agustus 2026</v>
      </c>
      <c r="G920" s="64">
        <f>Ringkasan!G919</f>
        <v>16</v>
      </c>
      <c r="H920" s="19">
        <f>Ringkasan!H919</f>
        <v>5.3</v>
      </c>
      <c r="I920" s="19">
        <f>Ringkasan!I919</f>
        <v>0.35</v>
      </c>
      <c r="J920" s="19">
        <f>Ringkasan!J919</f>
        <v>6.7</v>
      </c>
      <c r="K920" s="19">
        <f>Ringkasan!K919</f>
        <v>3.7</v>
      </c>
      <c r="L920" s="19">
        <f>Ringkasan!L919</f>
        <v>0.81</v>
      </c>
      <c r="M920" s="19">
        <f>Ringkasan!M919</f>
        <v>57.2</v>
      </c>
      <c r="N920" s="64" t="str">
        <f>Ringkasan!N919</f>
        <v/>
      </c>
      <c r="O920" s="64" t="str">
        <f>Ringkasan!O919</f>
        <v/>
      </c>
      <c r="P920" s="64" t="str">
        <f>Ringkasan!P919</f>
        <v/>
      </c>
      <c r="Q920" s="64" t="str">
        <f>Ringkasan!Q919</f>
        <v/>
      </c>
      <c r="R920" s="64" t="str">
        <f>Ringkasan!R919</f>
        <v/>
      </c>
      <c r="S920" s="64" t="str">
        <f>Ringkasan!S919</f>
        <v/>
      </c>
      <c r="T920" s="64" t="str">
        <f>Ringkasan!T919</f>
        <v/>
      </c>
      <c r="U920" s="64">
        <f>Ringkasan!U919</f>
        <v>7550</v>
      </c>
      <c r="V920" s="64">
        <f>Ringkasan!V919</f>
        <v>1.99</v>
      </c>
      <c r="W920" s="64">
        <f>Ringkasan!W919</f>
        <v>7625</v>
      </c>
      <c r="X920" s="64">
        <f>Ringkasan!X919</f>
        <v>7800</v>
      </c>
      <c r="Y920" s="64">
        <f>Ringkasan!Y919</f>
        <v>7575</v>
      </c>
      <c r="Z920" s="64">
        <f>Ringkasan!Z919</f>
        <v>5343300</v>
      </c>
      <c r="AA920" s="64" t="str">
        <f>Ringkasan!AA919</f>
        <v>Forestry &amp; Paper</v>
      </c>
      <c r="AB920" s="64" t="str">
        <f>Ringkasan!AB919</f>
        <v>Basic Materials</v>
      </c>
    </row>
    <row r="921" hidden="1">
      <c r="A921" s="64" t="str">
        <f>Ringkasan!A920</f>
        <v>INKP</v>
      </c>
      <c r="B921" s="64" t="str">
        <f>Ringkasan!B920</f>
        <v>Indah Kiat Pulp &amp; Paper Tbk.</v>
      </c>
      <c r="C921" s="65">
        <f>Ringkasan!C920</f>
        <v>7700</v>
      </c>
      <c r="D921" s="64" t="str">
        <f>Ringkasan!D920</f>
        <v>#N/A</v>
      </c>
      <c r="E921" s="64" t="str">
        <f>Ringkasan!E920</f>
        <v>JII30</v>
      </c>
      <c r="F921" s="66">
        <f>Ringkasan!F920</f>
        <v>46356</v>
      </c>
      <c r="G921" s="64">
        <f>Ringkasan!G920</f>
        <v>16</v>
      </c>
      <c r="H921" s="19">
        <f>Ringkasan!H920</f>
        <v>5.3</v>
      </c>
      <c r="I921" s="19">
        <f>Ringkasan!I920</f>
        <v>0.35</v>
      </c>
      <c r="J921" s="19">
        <f>Ringkasan!J920</f>
        <v>6.7</v>
      </c>
      <c r="K921" s="19">
        <f>Ringkasan!K920</f>
        <v>3.7</v>
      </c>
      <c r="L921" s="19">
        <f>Ringkasan!L920</f>
        <v>0.81</v>
      </c>
      <c r="M921" s="19">
        <f>Ringkasan!M920</f>
        <v>57.2</v>
      </c>
      <c r="N921" s="64" t="str">
        <f>Ringkasan!N920</f>
        <v/>
      </c>
      <c r="O921" s="64" t="str">
        <f>Ringkasan!O920</f>
        <v/>
      </c>
      <c r="P921" s="64" t="str">
        <f>Ringkasan!P920</f>
        <v/>
      </c>
      <c r="Q921" s="64" t="str">
        <f>Ringkasan!Q920</f>
        <v/>
      </c>
      <c r="R921" s="64" t="str">
        <f>Ringkasan!R920</f>
        <v/>
      </c>
      <c r="S921" s="64" t="str">
        <f>Ringkasan!S920</f>
        <v/>
      </c>
      <c r="T921" s="64" t="str">
        <f>Ringkasan!T920</f>
        <v/>
      </c>
      <c r="U921" s="64">
        <f>Ringkasan!U920</f>
        <v>7550</v>
      </c>
      <c r="V921" s="64">
        <f>Ringkasan!V920</f>
        <v>1.99</v>
      </c>
      <c r="W921" s="64">
        <f>Ringkasan!W920</f>
        <v>7625</v>
      </c>
      <c r="X921" s="64">
        <f>Ringkasan!X920</f>
        <v>7800</v>
      </c>
      <c r="Y921" s="64">
        <f>Ringkasan!Y920</f>
        <v>7575</v>
      </c>
      <c r="Z921" s="64">
        <f>Ringkasan!Z920</f>
        <v>5343300</v>
      </c>
      <c r="AA921" s="64" t="str">
        <f>Ringkasan!AA920</f>
        <v>Forestry &amp; Paper</v>
      </c>
      <c r="AB921" s="64" t="str">
        <f>Ringkasan!AB920</f>
        <v>Basic Materials</v>
      </c>
    </row>
    <row r="922" hidden="1">
      <c r="A922" s="64" t="str">
        <f>Ringkasan!A921</f>
        <v>INKP</v>
      </c>
      <c r="B922" s="64" t="str">
        <f>Ringkasan!B921</f>
        <v>Indah Kiat Pulp &amp; Paper Tbk.</v>
      </c>
      <c r="C922" s="65">
        <f>Ringkasan!C921</f>
        <v>7700</v>
      </c>
      <c r="D922" s="64" t="str">
        <f>Ringkasan!D921</f>
        <v>#N/A</v>
      </c>
      <c r="E922" s="64" t="str">
        <f>Ringkasan!E921</f>
        <v>JII70</v>
      </c>
      <c r="F922" s="66">
        <f>Ringkasan!F921</f>
        <v>46356</v>
      </c>
      <c r="G922" s="64">
        <f>Ringkasan!G921</f>
        <v>16</v>
      </c>
      <c r="H922" s="19">
        <f>Ringkasan!H921</f>
        <v>5.3</v>
      </c>
      <c r="I922" s="19">
        <f>Ringkasan!I921</f>
        <v>0.35</v>
      </c>
      <c r="J922" s="19">
        <f>Ringkasan!J921</f>
        <v>6.7</v>
      </c>
      <c r="K922" s="19">
        <f>Ringkasan!K921</f>
        <v>3.7</v>
      </c>
      <c r="L922" s="19">
        <f>Ringkasan!L921</f>
        <v>0.81</v>
      </c>
      <c r="M922" s="19">
        <f>Ringkasan!M921</f>
        <v>57.2</v>
      </c>
      <c r="N922" s="64" t="str">
        <f>Ringkasan!N921</f>
        <v/>
      </c>
      <c r="O922" s="64" t="str">
        <f>Ringkasan!O921</f>
        <v/>
      </c>
      <c r="P922" s="64" t="str">
        <f>Ringkasan!P921</f>
        <v/>
      </c>
      <c r="Q922" s="64" t="str">
        <f>Ringkasan!Q921</f>
        <v/>
      </c>
      <c r="R922" s="64" t="str">
        <f>Ringkasan!R921</f>
        <v/>
      </c>
      <c r="S922" s="64" t="str">
        <f>Ringkasan!S921</f>
        <v/>
      </c>
      <c r="T922" s="64" t="str">
        <f>Ringkasan!T921</f>
        <v/>
      </c>
      <c r="U922" s="64">
        <f>Ringkasan!U921</f>
        <v>7550</v>
      </c>
      <c r="V922" s="64">
        <f>Ringkasan!V921</f>
        <v>1.99</v>
      </c>
      <c r="W922" s="64">
        <f>Ringkasan!W921</f>
        <v>7625</v>
      </c>
      <c r="X922" s="64">
        <f>Ringkasan!X921</f>
        <v>7800</v>
      </c>
      <c r="Y922" s="64">
        <f>Ringkasan!Y921</f>
        <v>7575</v>
      </c>
      <c r="Z922" s="64">
        <f>Ringkasan!Z921</f>
        <v>5343300</v>
      </c>
      <c r="AA922" s="64" t="str">
        <f>Ringkasan!AA921</f>
        <v>Forestry &amp; Paper</v>
      </c>
      <c r="AB922" s="64" t="str">
        <f>Ringkasan!AB921</f>
        <v>Basic Materials</v>
      </c>
    </row>
    <row r="923" hidden="1">
      <c r="A923" s="64" t="str">
        <f>Ringkasan!A922</f>
        <v>INOV</v>
      </c>
      <c r="B923" s="64" t="str">
        <f>Ringkasan!B922</f>
        <v>Inocycle Technology Group Tbk.</v>
      </c>
      <c r="C923" s="65">
        <f>Ringkasan!C922</f>
        <v>112</v>
      </c>
      <c r="D923" s="64" t="str">
        <f>Ringkasan!D922</f>
        <v>#N/A</v>
      </c>
      <c r="E923" s="64" t="str">
        <f>Ringkasan!E922</f>
        <v/>
      </c>
      <c r="F923" s="64" t="str">
        <f>Ringkasan!F922</f>
        <v/>
      </c>
      <c r="G923" s="64">
        <f>Ringkasan!G922</f>
        <v>0</v>
      </c>
      <c r="H923" s="19">
        <f>Ringkasan!H922</f>
        <v>4.9</v>
      </c>
      <c r="I923" s="19">
        <f>Ringkasan!I922</f>
        <v>0.66</v>
      </c>
      <c r="J923" s="19">
        <f>Ringkasan!J922</f>
        <v>13.6</v>
      </c>
      <c r="K923" s="19">
        <f>Ringkasan!K922</f>
        <v>4.6</v>
      </c>
      <c r="L923" s="19">
        <f>Ringkasan!L922</f>
        <v>2</v>
      </c>
      <c r="M923" s="19">
        <f>Ringkasan!M922</f>
        <v>26.2</v>
      </c>
      <c r="N923" s="64" t="str">
        <f>Ringkasan!N922</f>
        <v/>
      </c>
      <c r="O923" s="64" t="str">
        <f>Ringkasan!O922</f>
        <v/>
      </c>
      <c r="P923" s="64" t="str">
        <f>Ringkasan!P922</f>
        <v/>
      </c>
      <c r="Q923" s="64" t="str">
        <f>Ringkasan!Q922</f>
        <v/>
      </c>
      <c r="R923" s="64" t="str">
        <f>Ringkasan!R922</f>
        <v/>
      </c>
      <c r="S923" s="64" t="str">
        <f>Ringkasan!S922</f>
        <v/>
      </c>
      <c r="T923" s="64" t="str">
        <f>Ringkasan!T922</f>
        <v/>
      </c>
      <c r="U923" s="64" t="str">
        <f>Ringkasan!U922</f>
        <v/>
      </c>
      <c r="V923" s="64">
        <f>Ringkasan!V922</f>
        <v>1.57</v>
      </c>
      <c r="W923" s="64">
        <f>Ringkasan!W922</f>
        <v>36.49</v>
      </c>
      <c r="X923" s="64">
        <f>Ringkasan!X922</f>
        <v>36.6</v>
      </c>
      <c r="Y923" s="64">
        <f>Ringkasan!Y922</f>
        <v>36.49</v>
      </c>
      <c r="Z923" s="64">
        <f>Ringkasan!Z922</f>
        <v>175</v>
      </c>
      <c r="AA923" s="64" t="str">
        <f>Ringkasan!AA922</f>
        <v>Apparel &amp; Luxury Goods</v>
      </c>
      <c r="AB923" s="64" t="str">
        <f>Ringkasan!AB922</f>
        <v>Consumer Cyclicals</v>
      </c>
    </row>
    <row r="924" hidden="1">
      <c r="A924" s="64" t="str">
        <f>Ringkasan!A923</f>
        <v>INPC</v>
      </c>
      <c r="B924" s="64" t="str">
        <f>Ringkasan!B923</f>
        <v>Bank Artha Graha Internasional Tbk</v>
      </c>
      <c r="C924" s="65">
        <f>Ringkasan!C923</f>
        <v>132</v>
      </c>
      <c r="D924" s="64" t="str">
        <f>Ringkasan!D923</f>
        <v>#N/A</v>
      </c>
      <c r="E924" s="64" t="str">
        <f>Ringkasan!E923</f>
        <v/>
      </c>
      <c r="F924" s="64" t="str">
        <f>Ringkasan!F923</f>
        <v/>
      </c>
      <c r="G924" s="64">
        <f>Ringkasan!G923</f>
        <v>0</v>
      </c>
      <c r="H924" s="19">
        <f>Ringkasan!H923</f>
        <v>-5.3</v>
      </c>
      <c r="I924" s="19">
        <f>Ringkasan!I923</f>
        <v>0.73</v>
      </c>
      <c r="J924" s="19">
        <f>Ringkasan!J923</f>
        <v>-13.8</v>
      </c>
      <c r="K924" s="19">
        <f>Ringkasan!K923</f>
        <v>-1.7</v>
      </c>
      <c r="L924" s="19">
        <f>Ringkasan!L923</f>
        <v>6.9</v>
      </c>
      <c r="M924" s="19">
        <f>Ringkasan!M923</f>
        <v>-130</v>
      </c>
      <c r="N924" s="64">
        <f>Ringkasan!N923</f>
        <v>2.78</v>
      </c>
      <c r="O924" s="64">
        <f>Ringkasan!O923</f>
        <v>18.15</v>
      </c>
      <c r="P924" s="64">
        <f>Ringkasan!P923</f>
        <v>43.23</v>
      </c>
      <c r="Q924" s="64">
        <f>Ringkasan!Q923</f>
        <v>0.85</v>
      </c>
      <c r="R924" s="64">
        <f>Ringkasan!R923</f>
        <v>124.31</v>
      </c>
      <c r="S924" s="64">
        <f>Ringkasan!S923</f>
        <v>95.12</v>
      </c>
      <c r="T924" s="64">
        <f>Ringkasan!T923</f>
        <v>12.45</v>
      </c>
      <c r="U924" s="64">
        <f>Ringkasan!U923</f>
        <v>130</v>
      </c>
      <c r="V924" s="64">
        <f>Ringkasan!V923</f>
        <v>1.54</v>
      </c>
      <c r="W924" s="64">
        <f>Ringkasan!W923</f>
        <v>130</v>
      </c>
      <c r="X924" s="64">
        <f>Ringkasan!X923</f>
        <v>135</v>
      </c>
      <c r="Y924" s="64">
        <f>Ringkasan!Y923</f>
        <v>130</v>
      </c>
      <c r="Z924" s="64">
        <f>Ringkasan!Z923</f>
        <v>2306700</v>
      </c>
      <c r="AA924" s="64" t="str">
        <f>Ringkasan!AA923</f>
        <v>Banks</v>
      </c>
      <c r="AB924" s="64" t="str">
        <f>Ringkasan!AB923</f>
        <v>Financials</v>
      </c>
    </row>
    <row r="925" hidden="1">
      <c r="A925" s="64" t="str">
        <f>Ringkasan!A924</f>
        <v>INPP</v>
      </c>
      <c r="B925" s="64" t="str">
        <f>Ringkasan!B924</f>
        <v>Indonesian Paradise Property Tbk.</v>
      </c>
      <c r="C925" s="65" t="str">
        <f>Ringkasan!C924</f>
        <v>#N/A</v>
      </c>
      <c r="D925" s="64" t="str">
        <f>Ringkasan!D924</f>
        <v>#N/A</v>
      </c>
      <c r="E925" s="64" t="str">
        <f>Ringkasan!E924</f>
        <v/>
      </c>
      <c r="F925" s="64" t="str">
        <f>Ringkasan!F924</f>
        <v/>
      </c>
      <c r="G925" s="64">
        <f>Ringkasan!G924</f>
        <v>0</v>
      </c>
      <c r="H925" s="19">
        <f>Ringkasan!H924</f>
        <v>-19.7</v>
      </c>
      <c r="I925" s="19">
        <f>Ringkasan!I924</f>
        <v>1.3</v>
      </c>
      <c r="J925" s="19">
        <f>Ringkasan!J924</f>
        <v>-6.6</v>
      </c>
      <c r="K925" s="19">
        <f>Ringkasan!K924</f>
        <v>-4.4</v>
      </c>
      <c r="L925" s="19">
        <f>Ringkasan!L924</f>
        <v>0.51</v>
      </c>
      <c r="M925" s="19">
        <f>Ringkasan!M924</f>
        <v>-140</v>
      </c>
      <c r="N925" s="64" t="str">
        <f>Ringkasan!N924</f>
        <v/>
      </c>
      <c r="O925" s="64" t="str">
        <f>Ringkasan!O924</f>
        <v/>
      </c>
      <c r="P925" s="64" t="str">
        <f>Ringkasan!P924</f>
        <v/>
      </c>
      <c r="Q925" s="64" t="str">
        <f>Ringkasan!Q924</f>
        <v/>
      </c>
      <c r="R925" s="64" t="str">
        <f>Ringkasan!R924</f>
        <v/>
      </c>
      <c r="S925" s="64" t="str">
        <f>Ringkasan!S924</f>
        <v/>
      </c>
      <c r="T925" s="64" t="str">
        <f>Ringkasan!T924</f>
        <v/>
      </c>
      <c r="U925" s="64">
        <f>Ringkasan!U924</f>
        <v>137.2</v>
      </c>
      <c r="V925" s="64">
        <f>Ringkasan!V924</f>
        <v>1.17</v>
      </c>
      <c r="W925" s="64">
        <f>Ringkasan!W924</f>
        <v>138.6</v>
      </c>
      <c r="X925" s="64">
        <f>Ringkasan!X924</f>
        <v>140.2</v>
      </c>
      <c r="Y925" s="64">
        <f>Ringkasan!Y924</f>
        <v>137.92</v>
      </c>
      <c r="Z925" s="64">
        <f>Ringkasan!Z924</f>
        <v>2656290</v>
      </c>
      <c r="AA925" s="64" t="str">
        <f>Ringkasan!AA924</f>
        <v>Real Estate Management &amp; Development</v>
      </c>
      <c r="AB925" s="64" t="str">
        <f>Ringkasan!AB924</f>
        <v>Properties &amp; Real Estate</v>
      </c>
    </row>
    <row r="926" hidden="1">
      <c r="A926" s="64" t="str">
        <f>Ringkasan!A925</f>
        <v>INPS</v>
      </c>
      <c r="B926" s="64" t="str">
        <f>Ringkasan!B925</f>
        <v>Indah Prakasa Sentosa Tbk.</v>
      </c>
      <c r="C926" s="65">
        <f>Ringkasan!C925</f>
        <v>700</v>
      </c>
      <c r="D926" s="64" t="str">
        <f>Ringkasan!D925</f>
        <v>#N/A</v>
      </c>
      <c r="E926" s="64" t="str">
        <f>Ringkasan!E925</f>
        <v/>
      </c>
      <c r="F926" s="64" t="str">
        <f>Ringkasan!F925</f>
        <v/>
      </c>
      <c r="G926" s="64">
        <f>Ringkasan!G925</f>
        <v>0</v>
      </c>
      <c r="H926" s="19">
        <f>Ringkasan!H925</f>
        <v>-20.3</v>
      </c>
      <c r="I926" s="19">
        <f>Ringkasan!I925</f>
        <v>-9.1</v>
      </c>
      <c r="J926" s="19">
        <f>Ringkasan!J925</f>
        <v>0</v>
      </c>
      <c r="K926" s="19">
        <f>Ringkasan!K925</f>
        <v>-14</v>
      </c>
      <c r="L926" s="19">
        <f>Ringkasan!L925</f>
        <v>-4.2</v>
      </c>
      <c r="M926" s="19">
        <f>Ringkasan!M925</f>
        <v>-32.8</v>
      </c>
      <c r="N926" s="64" t="str">
        <f>Ringkasan!N925</f>
        <v/>
      </c>
      <c r="O926" s="64" t="str">
        <f>Ringkasan!O925</f>
        <v/>
      </c>
      <c r="P926" s="64" t="str">
        <f>Ringkasan!P925</f>
        <v/>
      </c>
      <c r="Q926" s="64" t="str">
        <f>Ringkasan!Q925</f>
        <v/>
      </c>
      <c r="R926" s="64" t="str">
        <f>Ringkasan!R925</f>
        <v/>
      </c>
      <c r="S926" s="64" t="str">
        <f>Ringkasan!S925</f>
        <v/>
      </c>
      <c r="T926" s="64" t="str">
        <f>Ringkasan!T925</f>
        <v/>
      </c>
      <c r="U926" s="64">
        <f>Ringkasan!U925</f>
        <v>650</v>
      </c>
      <c r="V926" s="64">
        <f>Ringkasan!V925</f>
        <v>7.69</v>
      </c>
      <c r="W926" s="64" t="str">
        <f>Ringkasan!W925</f>
        <v/>
      </c>
      <c r="X926" s="64">
        <f>Ringkasan!X925</f>
        <v>700</v>
      </c>
      <c r="Y926" s="64">
        <f>Ringkasan!Y925</f>
        <v>645</v>
      </c>
      <c r="Z926" s="64">
        <f>Ringkasan!Z925</f>
        <v>194000</v>
      </c>
      <c r="AA926" s="64" t="str">
        <f>Ringkasan!AA925</f>
        <v>Oil &amp; Gas</v>
      </c>
      <c r="AB926" s="64" t="str">
        <f>Ringkasan!AB925</f>
        <v>Energy</v>
      </c>
    </row>
    <row r="927" hidden="1">
      <c r="A927" s="64" t="str">
        <f>Ringkasan!A926</f>
        <v>INTA</v>
      </c>
      <c r="B927" s="64" t="str">
        <f>Ringkasan!B926</f>
        <v>Intraco Penta Tbk.</v>
      </c>
      <c r="C927" s="65">
        <f>Ringkasan!C926</f>
        <v>63</v>
      </c>
      <c r="D927" s="64" t="str">
        <f>Ringkasan!D926</f>
        <v>#N/A</v>
      </c>
      <c r="E927" s="64" t="str">
        <f>Ringkasan!E926</f>
        <v/>
      </c>
      <c r="F927" s="64" t="str">
        <f>Ringkasan!F926</f>
        <v/>
      </c>
      <c r="G927" s="64">
        <f>Ringkasan!G926</f>
        <v>0</v>
      </c>
      <c r="H927" s="19">
        <f>Ringkasan!H926</f>
        <v>-3</v>
      </c>
      <c r="I927" s="19">
        <f>Ringkasan!I926</f>
        <v>-0.11</v>
      </c>
      <c r="J927" s="19">
        <f>Ringkasan!J926</f>
        <v>0</v>
      </c>
      <c r="K927" s="19">
        <f>Ringkasan!K926</f>
        <v>-3.6</v>
      </c>
      <c r="L927" s="19">
        <f>Ringkasan!L926</f>
        <v>-2.1</v>
      </c>
      <c r="M927" s="19">
        <f>Ringkasan!M926</f>
        <v>-38.3</v>
      </c>
      <c r="N927" s="64" t="str">
        <f>Ringkasan!N926</f>
        <v/>
      </c>
      <c r="O927" s="64" t="str">
        <f>Ringkasan!O926</f>
        <v/>
      </c>
      <c r="P927" s="64" t="str">
        <f>Ringkasan!P926</f>
        <v/>
      </c>
      <c r="Q927" s="64" t="str">
        <f>Ringkasan!Q926</f>
        <v/>
      </c>
      <c r="R927" s="64" t="str">
        <f>Ringkasan!R926</f>
        <v/>
      </c>
      <c r="S927" s="64" t="str">
        <f>Ringkasan!S926</f>
        <v/>
      </c>
      <c r="T927" s="64" t="str">
        <f>Ringkasan!T926</f>
        <v/>
      </c>
      <c r="U927" s="64">
        <f>Ringkasan!U926</f>
        <v>23.2</v>
      </c>
      <c r="V927" s="64">
        <f>Ringkasan!V926</f>
        <v>3.02</v>
      </c>
      <c r="W927" s="64">
        <f>Ringkasan!W926</f>
        <v>23.2</v>
      </c>
      <c r="X927" s="64">
        <f>Ringkasan!X926</f>
        <v>24.18</v>
      </c>
      <c r="Y927" s="64">
        <f>Ringkasan!Y926</f>
        <v>22.3</v>
      </c>
      <c r="Z927" s="64">
        <f>Ringkasan!Z926</f>
        <v>943795</v>
      </c>
      <c r="AA927" s="64" t="str">
        <f>Ringkasan!AA926</f>
        <v>Machinery</v>
      </c>
      <c r="AB927" s="64" t="str">
        <f>Ringkasan!AB926</f>
        <v>Industrials</v>
      </c>
    </row>
    <row r="928" hidden="1">
      <c r="A928" s="64" t="str">
        <f>Ringkasan!A927</f>
        <v>INTD</v>
      </c>
      <c r="B928" s="64" t="str">
        <f>Ringkasan!B927</f>
        <v>Inter Delta Tbk</v>
      </c>
      <c r="C928" s="65">
        <f>Ringkasan!C927</f>
        <v>234</v>
      </c>
      <c r="D928" s="64" t="str">
        <f>Ringkasan!D927</f>
        <v>#N/A</v>
      </c>
      <c r="E928" s="64" t="str">
        <f>Ringkasan!E927</f>
        <v/>
      </c>
      <c r="F928" s="64" t="str">
        <f>Ringkasan!F927</f>
        <v/>
      </c>
      <c r="G928" s="64">
        <f>Ringkasan!G927</f>
        <v>0</v>
      </c>
      <c r="H928" s="19">
        <f>Ringkasan!H927</f>
        <v>-51.9</v>
      </c>
      <c r="I928" s="19">
        <f>Ringkasan!I927</f>
        <v>4.2</v>
      </c>
      <c r="J928" s="19">
        <f>Ringkasan!J927</f>
        <v>-8.1</v>
      </c>
      <c r="K928" s="19">
        <f>Ringkasan!K927</f>
        <v>-7.5</v>
      </c>
      <c r="L928" s="19">
        <f>Ringkasan!L927</f>
        <v>0.07</v>
      </c>
      <c r="M928" s="19">
        <f>Ringkasan!M927</f>
        <v>-32.1</v>
      </c>
      <c r="N928" s="64" t="str">
        <f>Ringkasan!N927</f>
        <v/>
      </c>
      <c r="O928" s="64" t="str">
        <f>Ringkasan!O927</f>
        <v/>
      </c>
      <c r="P928" s="64" t="str">
        <f>Ringkasan!P927</f>
        <v/>
      </c>
      <c r="Q928" s="64" t="str">
        <f>Ringkasan!Q927</f>
        <v/>
      </c>
      <c r="R928" s="64" t="str">
        <f>Ringkasan!R927</f>
        <v/>
      </c>
      <c r="S928" s="64" t="str">
        <f>Ringkasan!S927</f>
        <v/>
      </c>
      <c r="T928" s="64" t="str">
        <f>Ringkasan!T927</f>
        <v/>
      </c>
      <c r="U928" s="64">
        <f>Ringkasan!U927</f>
        <v>224</v>
      </c>
      <c r="V928" s="64">
        <f>Ringkasan!V927</f>
        <v>4.46</v>
      </c>
      <c r="W928" s="64">
        <f>Ringkasan!W927</f>
        <v>250</v>
      </c>
      <c r="X928" s="64">
        <f>Ringkasan!X927</f>
        <v>258</v>
      </c>
      <c r="Y928" s="64">
        <f>Ringkasan!Y927</f>
        <v>228</v>
      </c>
      <c r="Z928" s="64">
        <f>Ringkasan!Z927</f>
        <v>78600</v>
      </c>
      <c r="AA928" s="64" t="str">
        <f>Ringkasan!AA927</f>
        <v>Forestry &amp; Paper</v>
      </c>
      <c r="AB928" s="64" t="str">
        <f>Ringkasan!AB927</f>
        <v>Basic Materials</v>
      </c>
    </row>
    <row r="929" hidden="1">
      <c r="A929" s="64" t="str">
        <f>Ringkasan!A928</f>
        <v>INTP</v>
      </c>
      <c r="B929" s="64" t="str">
        <f>Ringkasan!B928</f>
        <v>Indocement Tunggal Prakarsa Tbk.</v>
      </c>
      <c r="C929" s="65">
        <f>Ringkasan!C928</f>
        <v>4110</v>
      </c>
      <c r="D929" s="64" t="str">
        <f>Ringkasan!D928</f>
        <v>#N/A</v>
      </c>
      <c r="E929" s="64" t="str">
        <f>Ringkasan!E928</f>
        <v>ESGQKEHATI</v>
      </c>
      <c r="F929" s="66">
        <f>Ringkasan!F928</f>
        <v>46356</v>
      </c>
      <c r="G929" s="64">
        <f>Ringkasan!G928</f>
        <v>13</v>
      </c>
      <c r="H929" s="19">
        <f>Ringkasan!H928</f>
        <v>7.6</v>
      </c>
      <c r="I929" s="19">
        <f>Ringkasan!I928</f>
        <v>0.74</v>
      </c>
      <c r="J929" s="19">
        <f>Ringkasan!J928</f>
        <v>9.7</v>
      </c>
      <c r="K929" s="19">
        <f>Ringkasan!K928</f>
        <v>7.2</v>
      </c>
      <c r="L929" s="19">
        <f>Ringkasan!L928</f>
        <v>0.34</v>
      </c>
      <c r="M929" s="19">
        <f>Ringkasan!M928</f>
        <v>58.6</v>
      </c>
      <c r="N929" s="64" t="str">
        <f>Ringkasan!N928</f>
        <v/>
      </c>
      <c r="O929" s="64" t="str">
        <f>Ringkasan!O928</f>
        <v/>
      </c>
      <c r="P929" s="64" t="str">
        <f>Ringkasan!P928</f>
        <v/>
      </c>
      <c r="Q929" s="64" t="str">
        <f>Ringkasan!Q928</f>
        <v/>
      </c>
      <c r="R929" s="64" t="str">
        <f>Ringkasan!R928</f>
        <v/>
      </c>
      <c r="S929" s="64" t="str">
        <f>Ringkasan!S928</f>
        <v/>
      </c>
      <c r="T929" s="64" t="str">
        <f>Ringkasan!T928</f>
        <v/>
      </c>
      <c r="U929" s="64">
        <f>Ringkasan!U928</f>
        <v>4160</v>
      </c>
      <c r="V929" s="64" t="str">
        <f>Ringkasan!V928</f>
        <v/>
      </c>
      <c r="W929" s="64">
        <f>Ringkasan!W928</f>
        <v>4190</v>
      </c>
      <c r="X929" s="64">
        <f>Ringkasan!X928</f>
        <v>4240</v>
      </c>
      <c r="Y929" s="64">
        <f>Ringkasan!Y928</f>
        <v>4090</v>
      </c>
      <c r="Z929" s="64">
        <f>Ringkasan!Z928</f>
        <v>2337500</v>
      </c>
      <c r="AA929" s="64" t="str">
        <f>Ringkasan!AA928</f>
        <v>Construction Materials</v>
      </c>
      <c r="AB929" s="64" t="str">
        <f>Ringkasan!AB928</f>
        <v>Basic Materials</v>
      </c>
    </row>
    <row r="930" hidden="1">
      <c r="A930" s="64" t="str">
        <f>Ringkasan!A929</f>
        <v>INTP</v>
      </c>
      <c r="B930" s="64" t="str">
        <f>Ringkasan!B929</f>
        <v>Indocement Tunggal Prakarsa Tbk.</v>
      </c>
      <c r="C930" s="65">
        <f>Ringkasan!C929</f>
        <v>4110</v>
      </c>
      <c r="D930" s="64" t="str">
        <f>Ringkasan!D929</f>
        <v>#N/A</v>
      </c>
      <c r="E930" s="64" t="str">
        <f>Ringkasan!E929</f>
        <v>ESGSKEHATI</v>
      </c>
      <c r="F930" s="66">
        <f>Ringkasan!F929</f>
        <v>46356</v>
      </c>
      <c r="G930" s="64">
        <f>Ringkasan!G929</f>
        <v>13</v>
      </c>
      <c r="H930" s="19">
        <f>Ringkasan!H929</f>
        <v>7.6</v>
      </c>
      <c r="I930" s="19">
        <f>Ringkasan!I929</f>
        <v>0.74</v>
      </c>
      <c r="J930" s="19">
        <f>Ringkasan!J929</f>
        <v>9.7</v>
      </c>
      <c r="K930" s="19">
        <f>Ringkasan!K929</f>
        <v>7.2</v>
      </c>
      <c r="L930" s="19">
        <f>Ringkasan!L929</f>
        <v>0.34</v>
      </c>
      <c r="M930" s="19">
        <f>Ringkasan!M929</f>
        <v>58.6</v>
      </c>
      <c r="N930" s="64" t="str">
        <f>Ringkasan!N929</f>
        <v/>
      </c>
      <c r="O930" s="64" t="str">
        <f>Ringkasan!O929</f>
        <v/>
      </c>
      <c r="P930" s="64" t="str">
        <f>Ringkasan!P929</f>
        <v/>
      </c>
      <c r="Q930" s="64" t="str">
        <f>Ringkasan!Q929</f>
        <v/>
      </c>
      <c r="R930" s="64" t="str">
        <f>Ringkasan!R929</f>
        <v/>
      </c>
      <c r="S930" s="64" t="str">
        <f>Ringkasan!S929</f>
        <v/>
      </c>
      <c r="T930" s="64" t="str">
        <f>Ringkasan!T929</f>
        <v/>
      </c>
      <c r="U930" s="64">
        <f>Ringkasan!U929</f>
        <v>4160</v>
      </c>
      <c r="V930" s="64" t="str">
        <f>Ringkasan!V929</f>
        <v/>
      </c>
      <c r="W930" s="64">
        <f>Ringkasan!W929</f>
        <v>4190</v>
      </c>
      <c r="X930" s="64">
        <f>Ringkasan!X929</f>
        <v>4240</v>
      </c>
      <c r="Y930" s="64">
        <f>Ringkasan!Y929</f>
        <v>4090</v>
      </c>
      <c r="Z930" s="64">
        <f>Ringkasan!Z929</f>
        <v>2337500</v>
      </c>
      <c r="AA930" s="64" t="str">
        <f>Ringkasan!AA929</f>
        <v>Construction Materials</v>
      </c>
      <c r="AB930" s="64" t="str">
        <f>Ringkasan!AB929</f>
        <v>Basic Materials</v>
      </c>
    </row>
    <row r="931" hidden="1">
      <c r="A931" s="64" t="str">
        <f>Ringkasan!A930</f>
        <v>INTP</v>
      </c>
      <c r="B931" s="64" t="str">
        <f>Ringkasan!B930</f>
        <v>Indocement Tunggal Prakarsa Tbk.</v>
      </c>
      <c r="C931" s="65">
        <f>Ringkasan!C930</f>
        <v>4110</v>
      </c>
      <c r="D931" s="64" t="str">
        <f>Ringkasan!D930</f>
        <v>#N/A</v>
      </c>
      <c r="E931" s="64" t="str">
        <f>Ringkasan!E930</f>
        <v>IDXQ30</v>
      </c>
      <c r="F931" s="64" t="str">
        <f>Ringkasan!F930</f>
        <v>4 Agustus 2026</v>
      </c>
      <c r="G931" s="64">
        <f>Ringkasan!G930</f>
        <v>13</v>
      </c>
      <c r="H931" s="19">
        <f>Ringkasan!H930</f>
        <v>7.6</v>
      </c>
      <c r="I931" s="19">
        <f>Ringkasan!I930</f>
        <v>0.74</v>
      </c>
      <c r="J931" s="19">
        <f>Ringkasan!J930</f>
        <v>9.7</v>
      </c>
      <c r="K931" s="19">
        <f>Ringkasan!K930</f>
        <v>7.2</v>
      </c>
      <c r="L931" s="19">
        <f>Ringkasan!L930</f>
        <v>0.34</v>
      </c>
      <c r="M931" s="19">
        <f>Ringkasan!M930</f>
        <v>58.6</v>
      </c>
      <c r="N931" s="64" t="str">
        <f>Ringkasan!N930</f>
        <v/>
      </c>
      <c r="O931" s="64" t="str">
        <f>Ringkasan!O930</f>
        <v/>
      </c>
      <c r="P931" s="64" t="str">
        <f>Ringkasan!P930</f>
        <v/>
      </c>
      <c r="Q931" s="64" t="str">
        <f>Ringkasan!Q930</f>
        <v/>
      </c>
      <c r="R931" s="64" t="str">
        <f>Ringkasan!R930</f>
        <v/>
      </c>
      <c r="S931" s="64" t="str">
        <f>Ringkasan!S930</f>
        <v/>
      </c>
      <c r="T931" s="64" t="str">
        <f>Ringkasan!T930</f>
        <v/>
      </c>
      <c r="U931" s="64">
        <f>Ringkasan!U930</f>
        <v>4160</v>
      </c>
      <c r="V931" s="64" t="str">
        <f>Ringkasan!V930</f>
        <v/>
      </c>
      <c r="W931" s="64">
        <f>Ringkasan!W930</f>
        <v>4190</v>
      </c>
      <c r="X931" s="64">
        <f>Ringkasan!X930</f>
        <v>4240</v>
      </c>
      <c r="Y931" s="64">
        <f>Ringkasan!Y930</f>
        <v>4090</v>
      </c>
      <c r="Z931" s="64">
        <f>Ringkasan!Z930</f>
        <v>2337500</v>
      </c>
      <c r="AA931" s="64" t="str">
        <f>Ringkasan!AA930</f>
        <v>Construction Materials</v>
      </c>
      <c r="AB931" s="64" t="str">
        <f>Ringkasan!AB930</f>
        <v>Basic Materials</v>
      </c>
    </row>
    <row r="932" hidden="1">
      <c r="A932" s="64" t="str">
        <f>Ringkasan!A931</f>
        <v>INTP</v>
      </c>
      <c r="B932" s="64" t="str">
        <f>Ringkasan!B931</f>
        <v>Indocement Tunggal Prakarsa Tbk.</v>
      </c>
      <c r="C932" s="65">
        <f>Ringkasan!C931</f>
        <v>4110</v>
      </c>
      <c r="D932" s="64" t="str">
        <f>Ringkasan!D931</f>
        <v>#N/A</v>
      </c>
      <c r="E932" s="64" t="str">
        <f>Ringkasan!E931</f>
        <v>IDXV30</v>
      </c>
      <c r="F932" s="64" t="str">
        <f>Ringkasan!F931</f>
        <v>4 Agustus 2026</v>
      </c>
      <c r="G932" s="64">
        <f>Ringkasan!G931</f>
        <v>13</v>
      </c>
      <c r="H932" s="19">
        <f>Ringkasan!H931</f>
        <v>7.6</v>
      </c>
      <c r="I932" s="19">
        <f>Ringkasan!I931</f>
        <v>0.74</v>
      </c>
      <c r="J932" s="19">
        <f>Ringkasan!J931</f>
        <v>9.7</v>
      </c>
      <c r="K932" s="19">
        <f>Ringkasan!K931</f>
        <v>7.2</v>
      </c>
      <c r="L932" s="19">
        <f>Ringkasan!L931</f>
        <v>0.34</v>
      </c>
      <c r="M932" s="19">
        <f>Ringkasan!M931</f>
        <v>58.6</v>
      </c>
      <c r="N932" s="64" t="str">
        <f>Ringkasan!N931</f>
        <v/>
      </c>
      <c r="O932" s="64" t="str">
        <f>Ringkasan!O931</f>
        <v/>
      </c>
      <c r="P932" s="64" t="str">
        <f>Ringkasan!P931</f>
        <v/>
      </c>
      <c r="Q932" s="64" t="str">
        <f>Ringkasan!Q931</f>
        <v/>
      </c>
      <c r="R932" s="64" t="str">
        <f>Ringkasan!R931</f>
        <v/>
      </c>
      <c r="S932" s="64" t="str">
        <f>Ringkasan!S931</f>
        <v/>
      </c>
      <c r="T932" s="64" t="str">
        <f>Ringkasan!T931</f>
        <v/>
      </c>
      <c r="U932" s="64">
        <f>Ringkasan!U931</f>
        <v>4160</v>
      </c>
      <c r="V932" s="64" t="str">
        <f>Ringkasan!V931</f>
        <v/>
      </c>
      <c r="W932" s="64">
        <f>Ringkasan!W931</f>
        <v>4190</v>
      </c>
      <c r="X932" s="64">
        <f>Ringkasan!X931</f>
        <v>4240</v>
      </c>
      <c r="Y932" s="64">
        <f>Ringkasan!Y931</f>
        <v>4090</v>
      </c>
      <c r="Z932" s="64">
        <f>Ringkasan!Z931</f>
        <v>2337500</v>
      </c>
      <c r="AA932" s="64" t="str">
        <f>Ringkasan!AA931</f>
        <v>Construction Materials</v>
      </c>
      <c r="AB932" s="64" t="str">
        <f>Ringkasan!AB931</f>
        <v>Basic Materials</v>
      </c>
    </row>
    <row r="933" hidden="1">
      <c r="A933" s="64" t="str">
        <f>Ringkasan!A932</f>
        <v>INTP</v>
      </c>
      <c r="B933" s="64" t="str">
        <f>Ringkasan!B932</f>
        <v>Indocement Tunggal Prakarsa Tbk.</v>
      </c>
      <c r="C933" s="65">
        <f>Ringkasan!C932</f>
        <v>4110</v>
      </c>
      <c r="D933" s="64" t="str">
        <f>Ringkasan!D932</f>
        <v>#N/A</v>
      </c>
      <c r="E933" s="64" t="str">
        <f>Ringkasan!E932</f>
        <v>IDX80</v>
      </c>
      <c r="F933" s="64" t="str">
        <f>Ringkasan!F932</f>
        <v>31 Juli 2026</v>
      </c>
      <c r="G933" s="64">
        <f>Ringkasan!G932</f>
        <v>13</v>
      </c>
      <c r="H933" s="19">
        <f>Ringkasan!H932</f>
        <v>7.6</v>
      </c>
      <c r="I933" s="19">
        <f>Ringkasan!I932</f>
        <v>0.74</v>
      </c>
      <c r="J933" s="19">
        <f>Ringkasan!J932</f>
        <v>9.7</v>
      </c>
      <c r="K933" s="19">
        <f>Ringkasan!K932</f>
        <v>7.2</v>
      </c>
      <c r="L933" s="19">
        <f>Ringkasan!L932</f>
        <v>0.34</v>
      </c>
      <c r="M933" s="19">
        <f>Ringkasan!M932</f>
        <v>58.6</v>
      </c>
      <c r="N933" s="64" t="str">
        <f>Ringkasan!N932</f>
        <v/>
      </c>
      <c r="O933" s="64" t="str">
        <f>Ringkasan!O932</f>
        <v/>
      </c>
      <c r="P933" s="64" t="str">
        <f>Ringkasan!P932</f>
        <v/>
      </c>
      <c r="Q933" s="64" t="str">
        <f>Ringkasan!Q932</f>
        <v/>
      </c>
      <c r="R933" s="64" t="str">
        <f>Ringkasan!R932</f>
        <v/>
      </c>
      <c r="S933" s="64" t="str">
        <f>Ringkasan!S932</f>
        <v/>
      </c>
      <c r="T933" s="64" t="str">
        <f>Ringkasan!T932</f>
        <v/>
      </c>
      <c r="U933" s="64">
        <f>Ringkasan!U932</f>
        <v>4160</v>
      </c>
      <c r="V933" s="64" t="str">
        <f>Ringkasan!V932</f>
        <v/>
      </c>
      <c r="W933" s="64">
        <f>Ringkasan!W932</f>
        <v>4190</v>
      </c>
      <c r="X933" s="64">
        <f>Ringkasan!X932</f>
        <v>4240</v>
      </c>
      <c r="Y933" s="64">
        <f>Ringkasan!Y932</f>
        <v>4090</v>
      </c>
      <c r="Z933" s="64">
        <f>Ringkasan!Z932</f>
        <v>2337500</v>
      </c>
      <c r="AA933" s="64" t="str">
        <f>Ringkasan!AA932</f>
        <v>Construction Materials</v>
      </c>
      <c r="AB933" s="64" t="str">
        <f>Ringkasan!AB932</f>
        <v>Basic Materials</v>
      </c>
    </row>
    <row r="934" hidden="1">
      <c r="A934" s="64" t="str">
        <f>Ringkasan!A933</f>
        <v>INTP</v>
      </c>
      <c r="B934" s="64" t="str">
        <f>Ringkasan!B933</f>
        <v>Indocement Tunggal Prakarsa Tbk.</v>
      </c>
      <c r="C934" s="65">
        <f>Ringkasan!C933</f>
        <v>4110</v>
      </c>
      <c r="D934" s="64" t="str">
        <f>Ringkasan!D933</f>
        <v>#N/A</v>
      </c>
      <c r="E934" s="64" t="str">
        <f>Ringkasan!E933</f>
        <v>Kompas100</v>
      </c>
      <c r="F934" s="64" t="str">
        <f>Ringkasan!F933</f>
        <v>31 Juli 2026</v>
      </c>
      <c r="G934" s="64">
        <f>Ringkasan!G933</f>
        <v>13</v>
      </c>
      <c r="H934" s="19">
        <f>Ringkasan!H933</f>
        <v>7.6</v>
      </c>
      <c r="I934" s="19">
        <f>Ringkasan!I933</f>
        <v>0.74</v>
      </c>
      <c r="J934" s="19">
        <f>Ringkasan!J933</f>
        <v>9.7</v>
      </c>
      <c r="K934" s="19">
        <f>Ringkasan!K933</f>
        <v>7.2</v>
      </c>
      <c r="L934" s="19">
        <f>Ringkasan!L933</f>
        <v>0.34</v>
      </c>
      <c r="M934" s="19">
        <f>Ringkasan!M933</f>
        <v>58.6</v>
      </c>
      <c r="N934" s="64" t="str">
        <f>Ringkasan!N933</f>
        <v/>
      </c>
      <c r="O934" s="64" t="str">
        <f>Ringkasan!O933</f>
        <v/>
      </c>
      <c r="P934" s="64" t="str">
        <f>Ringkasan!P933</f>
        <v/>
      </c>
      <c r="Q934" s="64" t="str">
        <f>Ringkasan!Q933</f>
        <v/>
      </c>
      <c r="R934" s="64" t="str">
        <f>Ringkasan!R933</f>
        <v/>
      </c>
      <c r="S934" s="64" t="str">
        <f>Ringkasan!S933</f>
        <v/>
      </c>
      <c r="T934" s="64" t="str">
        <f>Ringkasan!T933</f>
        <v/>
      </c>
      <c r="U934" s="64">
        <f>Ringkasan!U933</f>
        <v>4160</v>
      </c>
      <c r="V934" s="64" t="str">
        <f>Ringkasan!V933</f>
        <v/>
      </c>
      <c r="W934" s="64">
        <f>Ringkasan!W933</f>
        <v>4190</v>
      </c>
      <c r="X934" s="64">
        <f>Ringkasan!X933</f>
        <v>4240</v>
      </c>
      <c r="Y934" s="64">
        <f>Ringkasan!Y933</f>
        <v>4090</v>
      </c>
      <c r="Z934" s="64">
        <f>Ringkasan!Z933</f>
        <v>2337500</v>
      </c>
      <c r="AA934" s="64" t="str">
        <f>Ringkasan!AA933</f>
        <v>Construction Materials</v>
      </c>
      <c r="AB934" s="64" t="str">
        <f>Ringkasan!AB933</f>
        <v>Basic Materials</v>
      </c>
    </row>
    <row r="935" hidden="1">
      <c r="A935" s="64" t="str">
        <f>Ringkasan!A934</f>
        <v>INTP</v>
      </c>
      <c r="B935" s="64" t="str">
        <f>Ringkasan!B934</f>
        <v>Indocement Tunggal Prakarsa Tbk.</v>
      </c>
      <c r="C935" s="65">
        <f>Ringkasan!C934</f>
        <v>4110</v>
      </c>
      <c r="D935" s="64" t="str">
        <f>Ringkasan!D934</f>
        <v>#N/A</v>
      </c>
      <c r="E935" s="64" t="str">
        <f>Ringkasan!E934</f>
        <v>SMINFRA18</v>
      </c>
      <c r="F935" s="64" t="str">
        <f>Ringkasan!F934</f>
        <v>30 Oktober 2026</v>
      </c>
      <c r="G935" s="64">
        <f>Ringkasan!G934</f>
        <v>13</v>
      </c>
      <c r="H935" s="19">
        <f>Ringkasan!H934</f>
        <v>7.6</v>
      </c>
      <c r="I935" s="19">
        <f>Ringkasan!I934</f>
        <v>0.74</v>
      </c>
      <c r="J935" s="19">
        <f>Ringkasan!J934</f>
        <v>9.7</v>
      </c>
      <c r="K935" s="19">
        <f>Ringkasan!K934</f>
        <v>7.2</v>
      </c>
      <c r="L935" s="19">
        <f>Ringkasan!L934</f>
        <v>0.34</v>
      </c>
      <c r="M935" s="19">
        <f>Ringkasan!M934</f>
        <v>58.6</v>
      </c>
      <c r="N935" s="64" t="str">
        <f>Ringkasan!N934</f>
        <v/>
      </c>
      <c r="O935" s="64" t="str">
        <f>Ringkasan!O934</f>
        <v/>
      </c>
      <c r="P935" s="64" t="str">
        <f>Ringkasan!P934</f>
        <v/>
      </c>
      <c r="Q935" s="64" t="str">
        <f>Ringkasan!Q934</f>
        <v/>
      </c>
      <c r="R935" s="64" t="str">
        <f>Ringkasan!R934</f>
        <v/>
      </c>
      <c r="S935" s="64" t="str">
        <f>Ringkasan!S934</f>
        <v/>
      </c>
      <c r="T935" s="64" t="str">
        <f>Ringkasan!T934</f>
        <v/>
      </c>
      <c r="U935" s="64">
        <f>Ringkasan!U934</f>
        <v>4160</v>
      </c>
      <c r="V935" s="64" t="str">
        <f>Ringkasan!V934</f>
        <v/>
      </c>
      <c r="W935" s="64">
        <f>Ringkasan!W934</f>
        <v>4190</v>
      </c>
      <c r="X935" s="64">
        <f>Ringkasan!X934</f>
        <v>4240</v>
      </c>
      <c r="Y935" s="64">
        <f>Ringkasan!Y934</f>
        <v>4090</v>
      </c>
      <c r="Z935" s="64">
        <f>Ringkasan!Z934</f>
        <v>2337500</v>
      </c>
      <c r="AA935" s="64" t="str">
        <f>Ringkasan!AA934</f>
        <v>Construction Materials</v>
      </c>
      <c r="AB935" s="64" t="str">
        <f>Ringkasan!AB934</f>
        <v>Basic Materials</v>
      </c>
    </row>
    <row r="936" hidden="1">
      <c r="A936" s="64" t="str">
        <f>Ringkasan!A992</f>
        <v>JPFA</v>
      </c>
      <c r="B936" s="64" t="str">
        <f>Ringkasan!B992</f>
        <v>Japfa Comfeed Indonesia Tbk.</v>
      </c>
      <c r="C936" s="65">
        <f>Ringkasan!C992</f>
        <v>1905</v>
      </c>
      <c r="D936" s="64" t="str">
        <f>Ringkasan!D992</f>
        <v>#N/A</v>
      </c>
      <c r="E936" s="64" t="str">
        <f>Ringkasan!E992</f>
        <v>IDX80</v>
      </c>
      <c r="F936" s="64" t="str">
        <f>Ringkasan!F992</f>
        <v>31 Juli 2026</v>
      </c>
      <c r="G936" s="65">
        <f>Ringkasan!G992</f>
        <v>13</v>
      </c>
      <c r="H936" s="19">
        <f>Ringkasan!H992</f>
        <v>5.6</v>
      </c>
      <c r="I936" s="19">
        <f>Ringkasan!I992</f>
        <v>1.3</v>
      </c>
      <c r="J936" s="19">
        <f>Ringkasan!J992</f>
        <v>23.3</v>
      </c>
      <c r="K936" s="19">
        <f>Ringkasan!K992</f>
        <v>13.1</v>
      </c>
      <c r="L936" s="19">
        <f>Ringkasan!L992</f>
        <v>0.79</v>
      </c>
      <c r="M936" s="19">
        <f>Ringkasan!M992</f>
        <v>29</v>
      </c>
      <c r="N936" s="64" t="str">
        <f>Ringkasan!N992</f>
        <v/>
      </c>
      <c r="O936" s="64" t="str">
        <f>Ringkasan!O992</f>
        <v/>
      </c>
      <c r="P936" s="64" t="str">
        <f>Ringkasan!P992</f>
        <v/>
      </c>
      <c r="Q936" s="64" t="str">
        <f>Ringkasan!Q992</f>
        <v/>
      </c>
      <c r="R936" s="64" t="str">
        <f>Ringkasan!R992</f>
        <v/>
      </c>
      <c r="S936" s="64" t="str">
        <f>Ringkasan!S992</f>
        <v/>
      </c>
      <c r="T936" s="64" t="str">
        <f>Ringkasan!T992</f>
        <v/>
      </c>
      <c r="U936" s="64">
        <f>Ringkasan!U992</f>
        <v>1860</v>
      </c>
      <c r="V936" s="64">
        <f>Ringkasan!V992</f>
        <v>2.42</v>
      </c>
      <c r="W936" s="64">
        <f>Ringkasan!W992</f>
        <v>1865</v>
      </c>
      <c r="X936" s="64">
        <f>Ringkasan!X992</f>
        <v>1930</v>
      </c>
      <c r="Y936" s="64">
        <f>Ringkasan!Y992</f>
        <v>1840</v>
      </c>
      <c r="Z936" s="64">
        <f>Ringkasan!Z992</f>
        <v>30207300</v>
      </c>
      <c r="AA936" s="64" t="str">
        <f>Ringkasan!AA992</f>
        <v>Agricultural Products</v>
      </c>
      <c r="AB936" s="64" t="str">
        <f>Ringkasan!AB992</f>
        <v>Consumer Non-Cyclicals</v>
      </c>
    </row>
    <row r="937" hidden="1">
      <c r="A937" s="64" t="str">
        <f>Ringkasan!A936</f>
        <v>INTP</v>
      </c>
      <c r="B937" s="64" t="str">
        <f>Ringkasan!B936</f>
        <v>Indocement Tunggal Prakarsa Tbk.</v>
      </c>
      <c r="C937" s="65">
        <f>Ringkasan!C936</f>
        <v>4110</v>
      </c>
      <c r="D937" s="64" t="str">
        <f>Ringkasan!D936</f>
        <v>#N/A</v>
      </c>
      <c r="E937" s="64" t="str">
        <f>Ringkasan!E936</f>
        <v>FTSE Large Cap</v>
      </c>
      <c r="F937" s="64" t="str">
        <f>Ringkasan!F936</f>
        <v>Juni 2026</v>
      </c>
      <c r="G937" s="64">
        <f>Ringkasan!G936</f>
        <v>13</v>
      </c>
      <c r="H937" s="19">
        <f>Ringkasan!H936</f>
        <v>7.6</v>
      </c>
      <c r="I937" s="19">
        <f>Ringkasan!I936</f>
        <v>0.74</v>
      </c>
      <c r="J937" s="19">
        <f>Ringkasan!J936</f>
        <v>9.7</v>
      </c>
      <c r="K937" s="19">
        <f>Ringkasan!K936</f>
        <v>7.2</v>
      </c>
      <c r="L937" s="19">
        <f>Ringkasan!L936</f>
        <v>0.34</v>
      </c>
      <c r="M937" s="19">
        <f>Ringkasan!M936</f>
        <v>58.6</v>
      </c>
      <c r="N937" s="64" t="str">
        <f>Ringkasan!N936</f>
        <v/>
      </c>
      <c r="O937" s="64" t="str">
        <f>Ringkasan!O936</f>
        <v/>
      </c>
      <c r="P937" s="64" t="str">
        <f>Ringkasan!P936</f>
        <v/>
      </c>
      <c r="Q937" s="64" t="str">
        <f>Ringkasan!Q936</f>
        <v/>
      </c>
      <c r="R937" s="64" t="str">
        <f>Ringkasan!R936</f>
        <v/>
      </c>
      <c r="S937" s="64" t="str">
        <f>Ringkasan!S936</f>
        <v/>
      </c>
      <c r="T937" s="64" t="str">
        <f>Ringkasan!T936</f>
        <v/>
      </c>
      <c r="U937" s="64">
        <f>Ringkasan!U936</f>
        <v>4160</v>
      </c>
      <c r="V937" s="64" t="str">
        <f>Ringkasan!V936</f>
        <v/>
      </c>
      <c r="W937" s="64">
        <f>Ringkasan!W936</f>
        <v>4190</v>
      </c>
      <c r="X937" s="64">
        <f>Ringkasan!X936</f>
        <v>4240</v>
      </c>
      <c r="Y937" s="64">
        <f>Ringkasan!Y936</f>
        <v>4090</v>
      </c>
      <c r="Z937" s="64">
        <f>Ringkasan!Z936</f>
        <v>2337500</v>
      </c>
      <c r="AA937" s="64" t="str">
        <f>Ringkasan!AA936</f>
        <v>Construction Materials</v>
      </c>
      <c r="AB937" s="64" t="str">
        <f>Ringkasan!AB936</f>
        <v>Basic Materials</v>
      </c>
    </row>
    <row r="938" hidden="1">
      <c r="A938" s="64" t="str">
        <f>Ringkasan!A1023</f>
        <v>JTPE</v>
      </c>
      <c r="B938" s="64" t="str">
        <f>Ringkasan!B1023</f>
        <v>Jasuindo Tiga Perkasa Tbk.</v>
      </c>
      <c r="C938" s="65">
        <f>Ringkasan!C1023</f>
        <v>605</v>
      </c>
      <c r="D938" s="64" t="str">
        <f>Ringkasan!D1023</f>
        <v>#N/A</v>
      </c>
      <c r="E938" s="64" t="str">
        <f>Ringkasan!E1023</f>
        <v/>
      </c>
      <c r="F938" s="64" t="str">
        <f>Ringkasan!F1023</f>
        <v/>
      </c>
      <c r="G938" s="64">
        <f>Ringkasan!G1023</f>
        <v>0</v>
      </c>
      <c r="H938" s="19">
        <f>Ringkasan!H1023</f>
        <v>13.5</v>
      </c>
      <c r="I938" s="19">
        <f>Ringkasan!I1023</f>
        <v>2.9</v>
      </c>
      <c r="J938" s="19">
        <f>Ringkasan!J1023</f>
        <v>21.6</v>
      </c>
      <c r="K938" s="19">
        <f>Ringkasan!K1023</f>
        <v>12.4</v>
      </c>
      <c r="L938" s="19">
        <f>Ringkasan!L1023</f>
        <v>0.74</v>
      </c>
      <c r="M938" s="19">
        <f>Ringkasan!M1023</f>
        <v>120</v>
      </c>
      <c r="N938" s="64" t="str">
        <f>Ringkasan!N1023</f>
        <v/>
      </c>
      <c r="O938" s="64" t="str">
        <f>Ringkasan!O1023</f>
        <v/>
      </c>
      <c r="P938" s="64" t="str">
        <f>Ringkasan!P1023</f>
        <v/>
      </c>
      <c r="Q938" s="64" t="str">
        <f>Ringkasan!Q1023</f>
        <v/>
      </c>
      <c r="R938" s="64" t="str">
        <f>Ringkasan!R1023</f>
        <v/>
      </c>
      <c r="S938" s="64" t="str">
        <f>Ringkasan!S1023</f>
        <v/>
      </c>
      <c r="T938" s="64" t="str">
        <f>Ringkasan!T1023</f>
        <v/>
      </c>
      <c r="U938" s="64">
        <f>Ringkasan!U1023</f>
        <v>585</v>
      </c>
      <c r="V938" s="64">
        <f>Ringkasan!V1023</f>
        <v>3.42</v>
      </c>
      <c r="W938" s="64">
        <f>Ringkasan!W1023</f>
        <v>580</v>
      </c>
      <c r="X938" s="64">
        <f>Ringkasan!X1023</f>
        <v>605</v>
      </c>
      <c r="Y938" s="64">
        <f>Ringkasan!Y1023</f>
        <v>580</v>
      </c>
      <c r="Z938" s="64">
        <f>Ringkasan!Z1023</f>
        <v>3171100</v>
      </c>
      <c r="AA938" s="64" t="str">
        <f>Ringkasan!AA1023</f>
        <v>Commercial Services</v>
      </c>
      <c r="AB938" s="64" t="str">
        <f>Ringkasan!AB1023</f>
        <v>Industrials</v>
      </c>
    </row>
    <row r="939" hidden="1">
      <c r="A939" s="64" t="str">
        <f>Ringkasan!A1031</f>
        <v>KBLV</v>
      </c>
      <c r="B939" s="64" t="str">
        <f>Ringkasan!B1031</f>
        <v>First Media Tbk.</v>
      </c>
      <c r="C939" s="65">
        <f>Ringkasan!C1031</f>
        <v>97</v>
      </c>
      <c r="D939" s="64" t="str">
        <f>Ringkasan!D1031</f>
        <v>#N/A</v>
      </c>
      <c r="E939" s="64" t="str">
        <f>Ringkasan!E1031</f>
        <v/>
      </c>
      <c r="F939" s="64" t="str">
        <f>Ringkasan!F1031</f>
        <v/>
      </c>
      <c r="G939" s="64">
        <f>Ringkasan!G1031</f>
        <v>0</v>
      </c>
      <c r="H939" s="19">
        <f>Ringkasan!H1031</f>
        <v>61.7</v>
      </c>
      <c r="I939" s="19">
        <f>Ringkasan!I1031</f>
        <v>0.33</v>
      </c>
      <c r="J939" s="19">
        <f>Ringkasan!J1031</f>
        <v>0.54</v>
      </c>
      <c r="K939" s="19">
        <f>Ringkasan!K1031</f>
        <v>0.14</v>
      </c>
      <c r="L939" s="19">
        <f>Ringkasan!L1031</f>
        <v>3</v>
      </c>
      <c r="M939" s="19">
        <f>Ringkasan!M1031</f>
        <v>1370</v>
      </c>
      <c r="N939" s="64" t="str">
        <f>Ringkasan!N1031</f>
        <v/>
      </c>
      <c r="O939" s="64" t="str">
        <f>Ringkasan!O1031</f>
        <v/>
      </c>
      <c r="P939" s="64" t="str">
        <f>Ringkasan!P1031</f>
        <v/>
      </c>
      <c r="Q939" s="64" t="str">
        <f>Ringkasan!Q1031</f>
        <v/>
      </c>
      <c r="R939" s="64" t="str">
        <f>Ringkasan!R1031</f>
        <v/>
      </c>
      <c r="S939" s="64" t="str">
        <f>Ringkasan!S1031</f>
        <v/>
      </c>
      <c r="T939" s="64" t="str">
        <f>Ringkasan!T1031</f>
        <v/>
      </c>
      <c r="U939" s="64">
        <f>Ringkasan!U1031</f>
        <v>102</v>
      </c>
      <c r="V939" s="64">
        <f>Ringkasan!V1031</f>
        <v>-4.9</v>
      </c>
      <c r="W939" s="64">
        <f>Ringkasan!W1031</f>
        <v>102</v>
      </c>
      <c r="X939" s="64">
        <f>Ringkasan!X1031</f>
        <v>104</v>
      </c>
      <c r="Y939" s="64">
        <f>Ringkasan!Y1031</f>
        <v>93</v>
      </c>
      <c r="Z939" s="64">
        <f>Ringkasan!Z1031</f>
        <v>23029900</v>
      </c>
      <c r="AA939" s="64" t="str">
        <f>Ringkasan!AA1031</f>
        <v>Telecommunication Service</v>
      </c>
      <c r="AB939" s="64" t="str">
        <f>Ringkasan!AB1031</f>
        <v>Infrastructures</v>
      </c>
    </row>
    <row r="940" hidden="1">
      <c r="A940" s="64" t="str">
        <f>Ringkasan!A939</f>
        <v>INTP</v>
      </c>
      <c r="B940" s="64" t="str">
        <f>Ringkasan!B939</f>
        <v>Indocement Tunggal Prakarsa Tbk.</v>
      </c>
      <c r="C940" s="65">
        <f>Ringkasan!C939</f>
        <v>4110</v>
      </c>
      <c r="D940" s="64" t="str">
        <f>Ringkasan!D939</f>
        <v>#N/A</v>
      </c>
      <c r="E940" s="64" t="str">
        <f>Ringkasan!E939</f>
        <v>Investor33</v>
      </c>
      <c r="F940" s="66">
        <f>Ringkasan!F939</f>
        <v>46356</v>
      </c>
      <c r="G940" s="64">
        <f>Ringkasan!G939</f>
        <v>13</v>
      </c>
      <c r="H940" s="19">
        <f>Ringkasan!H939</f>
        <v>7.6</v>
      </c>
      <c r="I940" s="19">
        <f>Ringkasan!I939</f>
        <v>0.74</v>
      </c>
      <c r="J940" s="19">
        <f>Ringkasan!J939</f>
        <v>9.7</v>
      </c>
      <c r="K940" s="19">
        <f>Ringkasan!K939</f>
        <v>7.2</v>
      </c>
      <c r="L940" s="19">
        <f>Ringkasan!L939</f>
        <v>0.34</v>
      </c>
      <c r="M940" s="19">
        <f>Ringkasan!M939</f>
        <v>58.6</v>
      </c>
      <c r="N940" s="64" t="str">
        <f>Ringkasan!N939</f>
        <v/>
      </c>
      <c r="O940" s="64" t="str">
        <f>Ringkasan!O939</f>
        <v/>
      </c>
      <c r="P940" s="64" t="str">
        <f>Ringkasan!P939</f>
        <v/>
      </c>
      <c r="Q940" s="64" t="str">
        <f>Ringkasan!Q939</f>
        <v/>
      </c>
      <c r="R940" s="64" t="str">
        <f>Ringkasan!R939</f>
        <v/>
      </c>
      <c r="S940" s="64" t="str">
        <f>Ringkasan!S939</f>
        <v/>
      </c>
      <c r="T940" s="64" t="str">
        <f>Ringkasan!T939</f>
        <v/>
      </c>
      <c r="U940" s="64">
        <f>Ringkasan!U939</f>
        <v>4160</v>
      </c>
      <c r="V940" s="64" t="str">
        <f>Ringkasan!V939</f>
        <v/>
      </c>
      <c r="W940" s="64">
        <f>Ringkasan!W939</f>
        <v>4190</v>
      </c>
      <c r="X940" s="64">
        <f>Ringkasan!X939</f>
        <v>4240</v>
      </c>
      <c r="Y940" s="64">
        <f>Ringkasan!Y939</f>
        <v>4090</v>
      </c>
      <c r="Z940" s="64">
        <f>Ringkasan!Z939</f>
        <v>2337500</v>
      </c>
      <c r="AA940" s="64" t="str">
        <f>Ringkasan!AA939</f>
        <v>Construction Materials</v>
      </c>
      <c r="AB940" s="64" t="str">
        <f>Ringkasan!AB939</f>
        <v>Basic Materials</v>
      </c>
    </row>
    <row r="941" hidden="1">
      <c r="A941" s="64" t="str">
        <f>Ringkasan!A940</f>
        <v>INTP</v>
      </c>
      <c r="B941" s="64" t="str">
        <f>Ringkasan!B940</f>
        <v>Indocement Tunggal Prakarsa Tbk.</v>
      </c>
      <c r="C941" s="65">
        <f>Ringkasan!C940</f>
        <v>4110</v>
      </c>
      <c r="D941" s="64" t="str">
        <f>Ringkasan!D940</f>
        <v>#N/A</v>
      </c>
      <c r="E941" s="64" t="str">
        <f>Ringkasan!E940</f>
        <v>JII70</v>
      </c>
      <c r="F941" s="66">
        <f>Ringkasan!F940</f>
        <v>46356</v>
      </c>
      <c r="G941" s="64">
        <f>Ringkasan!G940</f>
        <v>13</v>
      </c>
      <c r="H941" s="19">
        <f>Ringkasan!H940</f>
        <v>7.6</v>
      </c>
      <c r="I941" s="19">
        <f>Ringkasan!I940</f>
        <v>0.74</v>
      </c>
      <c r="J941" s="19">
        <f>Ringkasan!J940</f>
        <v>9.7</v>
      </c>
      <c r="K941" s="19">
        <f>Ringkasan!K940</f>
        <v>7.2</v>
      </c>
      <c r="L941" s="19">
        <f>Ringkasan!L940</f>
        <v>0.34</v>
      </c>
      <c r="M941" s="19">
        <f>Ringkasan!M940</f>
        <v>58.6</v>
      </c>
      <c r="N941" s="64" t="str">
        <f>Ringkasan!N940</f>
        <v/>
      </c>
      <c r="O941" s="64" t="str">
        <f>Ringkasan!O940</f>
        <v/>
      </c>
      <c r="P941" s="64" t="str">
        <f>Ringkasan!P940</f>
        <v/>
      </c>
      <c r="Q941" s="64" t="str">
        <f>Ringkasan!Q940</f>
        <v/>
      </c>
      <c r="R941" s="64" t="str">
        <f>Ringkasan!R940</f>
        <v/>
      </c>
      <c r="S941" s="64" t="str">
        <f>Ringkasan!S940</f>
        <v/>
      </c>
      <c r="T941" s="64" t="str">
        <f>Ringkasan!T940</f>
        <v/>
      </c>
      <c r="U941" s="64">
        <f>Ringkasan!U940</f>
        <v>4160</v>
      </c>
      <c r="V941" s="64" t="str">
        <f>Ringkasan!V940</f>
        <v/>
      </c>
      <c r="W941" s="64">
        <f>Ringkasan!W940</f>
        <v>4190</v>
      </c>
      <c r="X941" s="64">
        <f>Ringkasan!X940</f>
        <v>4240</v>
      </c>
      <c r="Y941" s="64">
        <f>Ringkasan!Y940</f>
        <v>4090</v>
      </c>
      <c r="Z941" s="64">
        <f>Ringkasan!Z940</f>
        <v>2337500</v>
      </c>
      <c r="AA941" s="64" t="str">
        <f>Ringkasan!AA940</f>
        <v>Construction Materials</v>
      </c>
      <c r="AB941" s="64" t="str">
        <f>Ringkasan!AB940</f>
        <v>Basic Materials</v>
      </c>
    </row>
    <row r="942" hidden="1">
      <c r="A942" s="64" t="str">
        <f>Ringkasan!A941</f>
        <v>IOTF</v>
      </c>
      <c r="B942" s="64" t="str">
        <f>Ringkasan!B941</f>
        <v>PT Sumber Sinergi Makmur Tbk</v>
      </c>
      <c r="C942" s="65">
        <f>Ringkasan!C941</f>
        <v>52</v>
      </c>
      <c r="D942" s="64" t="str">
        <f>Ringkasan!D941</f>
        <v>#N/A</v>
      </c>
      <c r="E942" s="64" t="str">
        <f>Ringkasan!E941</f>
        <v/>
      </c>
      <c r="F942" s="64" t="str">
        <f>Ringkasan!F941</f>
        <v/>
      </c>
      <c r="G942" s="64">
        <f>Ringkasan!G941</f>
        <v>0</v>
      </c>
      <c r="H942" s="19">
        <f>Ringkasan!H941</f>
        <v>770</v>
      </c>
      <c r="I942" s="19">
        <f>Ringkasan!I941</f>
        <v>1.9</v>
      </c>
      <c r="J942" s="19">
        <f>Ringkasan!J941</f>
        <v>0.25</v>
      </c>
      <c r="K942" s="19">
        <f>Ringkasan!K941</f>
        <v>0.22</v>
      </c>
      <c r="L942" s="19">
        <f>Ringkasan!L941</f>
        <v>0.11</v>
      </c>
      <c r="M942" s="19">
        <f>Ringkasan!M941</f>
        <v>2.4</v>
      </c>
      <c r="N942" s="64" t="str">
        <f>Ringkasan!N941</f>
        <v/>
      </c>
      <c r="O942" s="64" t="str">
        <f>Ringkasan!O941</f>
        <v/>
      </c>
      <c r="P942" s="64" t="str">
        <f>Ringkasan!P941</f>
        <v/>
      </c>
      <c r="Q942" s="64" t="str">
        <f>Ringkasan!Q941</f>
        <v/>
      </c>
      <c r="R942" s="64" t="str">
        <f>Ringkasan!R941</f>
        <v/>
      </c>
      <c r="S942" s="64" t="str">
        <f>Ringkasan!S941</f>
        <v/>
      </c>
      <c r="T942" s="64" t="str">
        <f>Ringkasan!T941</f>
        <v/>
      </c>
      <c r="U942" s="64">
        <f>Ringkasan!U941</f>
        <v>52</v>
      </c>
      <c r="V942" s="64">
        <f>Ringkasan!V941</f>
        <v>0</v>
      </c>
      <c r="W942" s="64">
        <f>Ringkasan!W941</f>
        <v>53</v>
      </c>
      <c r="X942" s="64">
        <f>Ringkasan!X941</f>
        <v>54</v>
      </c>
      <c r="Y942" s="64">
        <f>Ringkasan!Y941</f>
        <v>52</v>
      </c>
      <c r="Z942" s="64">
        <f>Ringkasan!Z941</f>
        <v>8438000</v>
      </c>
      <c r="AA942" s="64" t="str">
        <f>Ringkasan!AA941</f>
        <v>Electronic Equipment, Instruments &amp; Components</v>
      </c>
      <c r="AB942" s="64" t="str">
        <f>Ringkasan!AB941</f>
        <v>Technology</v>
      </c>
    </row>
    <row r="943" hidden="1">
      <c r="A943" s="64" t="str">
        <f>Ringkasan!A942</f>
        <v>IPAC</v>
      </c>
      <c r="B943" s="64" t="str">
        <f>Ringkasan!B942</f>
        <v>Era Graharealty Tbk.</v>
      </c>
      <c r="C943" s="65">
        <f>Ringkasan!C942</f>
        <v>160</v>
      </c>
      <c r="D943" s="64" t="str">
        <f>Ringkasan!D942</f>
        <v>#N/A</v>
      </c>
      <c r="E943" s="64" t="str">
        <f>Ringkasan!E942</f>
        <v/>
      </c>
      <c r="F943" s="64" t="str">
        <f>Ringkasan!F942</f>
        <v/>
      </c>
      <c r="G943" s="64">
        <f>Ringkasan!G942</f>
        <v>0</v>
      </c>
      <c r="H943" s="19">
        <f>Ringkasan!H942</f>
        <v>110</v>
      </c>
      <c r="I943" s="19">
        <f>Ringkasan!I942</f>
        <v>3.4</v>
      </c>
      <c r="J943" s="19">
        <f>Ringkasan!J942</f>
        <v>3</v>
      </c>
      <c r="K943" s="19">
        <f>Ringkasan!K942</f>
        <v>2.2</v>
      </c>
      <c r="L943" s="19">
        <f>Ringkasan!L942</f>
        <v>0.37</v>
      </c>
      <c r="M943" s="19">
        <f>Ringkasan!M942</f>
        <v>9.1</v>
      </c>
      <c r="N943" s="64" t="str">
        <f>Ringkasan!N942</f>
        <v/>
      </c>
      <c r="O943" s="64" t="str">
        <f>Ringkasan!O942</f>
        <v/>
      </c>
      <c r="P943" s="64" t="str">
        <f>Ringkasan!P942</f>
        <v/>
      </c>
      <c r="Q943" s="64" t="str">
        <f>Ringkasan!Q942</f>
        <v/>
      </c>
      <c r="R943" s="64" t="str">
        <f>Ringkasan!R942</f>
        <v/>
      </c>
      <c r="S943" s="64" t="str">
        <f>Ringkasan!S942</f>
        <v/>
      </c>
      <c r="T943" s="64" t="str">
        <f>Ringkasan!T942</f>
        <v/>
      </c>
      <c r="U943" s="64">
        <f>Ringkasan!U942</f>
        <v>82.03</v>
      </c>
      <c r="V943" s="64">
        <f>Ringkasan!V942</f>
        <v>0.55</v>
      </c>
      <c r="W943" s="64">
        <f>Ringkasan!W942</f>
        <v>82.18</v>
      </c>
      <c r="X943" s="64">
        <f>Ringkasan!X942</f>
        <v>82.6</v>
      </c>
      <c r="Y943" s="64">
        <f>Ringkasan!Y942</f>
        <v>82.02</v>
      </c>
      <c r="Z943" s="64">
        <f>Ringkasan!Z942</f>
        <v>6584</v>
      </c>
      <c r="AA943" s="64" t="str">
        <f>Ringkasan!AA942</f>
        <v>Real Estate Management &amp; Development</v>
      </c>
      <c r="AB943" s="64" t="str">
        <f>Ringkasan!AB942</f>
        <v>Properties &amp; Real Estate</v>
      </c>
    </row>
    <row r="944" hidden="1">
      <c r="A944" s="64" t="str">
        <f>Ringkasan!A943</f>
        <v>IPCC</v>
      </c>
      <c r="B944" s="64" t="str">
        <f>Ringkasan!B943</f>
        <v>Indonesia Kendaraan Terminal Tbk.</v>
      </c>
      <c r="C944" s="65">
        <f>Ringkasan!C943</f>
        <v>1215</v>
      </c>
      <c r="D944" s="64" t="str">
        <f>Ringkasan!D943</f>
        <v>#N/A</v>
      </c>
      <c r="E944" s="64" t="str">
        <f>Ringkasan!E943</f>
        <v/>
      </c>
      <c r="F944" s="64" t="str">
        <f>Ringkasan!F943</f>
        <v/>
      </c>
      <c r="G944" s="65">
        <f>Ringkasan!G943</f>
        <v>0</v>
      </c>
      <c r="H944" s="19">
        <f>Ringkasan!H943</f>
        <v>8.5</v>
      </c>
      <c r="I944" s="19">
        <f>Ringkasan!I943</f>
        <v>1.6</v>
      </c>
      <c r="J944" s="19">
        <f>Ringkasan!J943</f>
        <v>18.3</v>
      </c>
      <c r="K944" s="19">
        <f>Ringkasan!K943</f>
        <v>12.7</v>
      </c>
      <c r="L944" s="19">
        <f>Ringkasan!L943</f>
        <v>0.44</v>
      </c>
      <c r="M944" s="19">
        <f>Ringkasan!M943</f>
        <v>130</v>
      </c>
      <c r="N944" s="64" t="str">
        <f>Ringkasan!N943</f>
        <v/>
      </c>
      <c r="O944" s="64" t="str">
        <f>Ringkasan!O943</f>
        <v/>
      </c>
      <c r="P944" s="64" t="str">
        <f>Ringkasan!P943</f>
        <v/>
      </c>
      <c r="Q944" s="64" t="str">
        <f>Ringkasan!Q943</f>
        <v/>
      </c>
      <c r="R944" s="64" t="str">
        <f>Ringkasan!R943</f>
        <v/>
      </c>
      <c r="S944" s="64" t="str">
        <f>Ringkasan!S943</f>
        <v/>
      </c>
      <c r="T944" s="64" t="str">
        <f>Ringkasan!T943</f>
        <v/>
      </c>
      <c r="U944" s="64">
        <f>Ringkasan!U943</f>
        <v>1205</v>
      </c>
      <c r="V944" s="64">
        <f>Ringkasan!V943</f>
        <v>0.83</v>
      </c>
      <c r="W944" s="64">
        <f>Ringkasan!W943</f>
        <v>1205</v>
      </c>
      <c r="X944" s="64">
        <f>Ringkasan!X943</f>
        <v>1215</v>
      </c>
      <c r="Y944" s="64">
        <f>Ringkasan!Y943</f>
        <v>1195</v>
      </c>
      <c r="Z944" s="64">
        <f>Ringkasan!Z943</f>
        <v>1892300</v>
      </c>
      <c r="AA944" s="64" t="str">
        <f>Ringkasan!AA943</f>
        <v>Transport Infrastructure Operator</v>
      </c>
      <c r="AB944" s="64" t="str">
        <f>Ringkasan!AB943</f>
        <v>Infrastructures</v>
      </c>
    </row>
    <row r="945" hidden="1">
      <c r="A945" s="64" t="str">
        <f>Ringkasan!A944</f>
        <v>IPCM</v>
      </c>
      <c r="B945" s="64" t="str">
        <f>Ringkasan!B944</f>
        <v>PT Jasa Armada Indonesia Tbk.</v>
      </c>
      <c r="C945" s="65">
        <f>Ringkasan!C944</f>
        <v>316</v>
      </c>
      <c r="D945" s="64" t="str">
        <f>Ringkasan!D944</f>
        <v>#N/A</v>
      </c>
      <c r="E945" s="64" t="str">
        <f>Ringkasan!E944</f>
        <v>IDXMESBUMN</v>
      </c>
      <c r="F945" s="66">
        <f>Ringkasan!F944</f>
        <v>46356</v>
      </c>
      <c r="G945" s="64">
        <f>Ringkasan!G944</f>
        <v>1</v>
      </c>
      <c r="H945" s="19">
        <f>Ringkasan!H944</f>
        <v>8.7</v>
      </c>
      <c r="I945" s="19">
        <f>Ringkasan!I944</f>
        <v>1.2</v>
      </c>
      <c r="J945" s="19">
        <f>Ringkasan!J944</f>
        <v>14.1</v>
      </c>
      <c r="K945" s="19">
        <f>Ringkasan!K944</f>
        <v>11.1</v>
      </c>
      <c r="L945" s="19">
        <f>Ringkasan!L944</f>
        <v>0.27</v>
      </c>
      <c r="M945" s="19">
        <f>Ringkasan!M944</f>
        <v>57</v>
      </c>
      <c r="N945" s="64" t="str">
        <f>Ringkasan!N944</f>
        <v/>
      </c>
      <c r="O945" s="64" t="str">
        <f>Ringkasan!O944</f>
        <v/>
      </c>
      <c r="P945" s="64" t="str">
        <f>Ringkasan!P944</f>
        <v/>
      </c>
      <c r="Q945" s="64" t="str">
        <f>Ringkasan!Q944</f>
        <v/>
      </c>
      <c r="R945" s="64" t="str">
        <f>Ringkasan!R944</f>
        <v/>
      </c>
      <c r="S945" s="64" t="str">
        <f>Ringkasan!S944</f>
        <v/>
      </c>
      <c r="T945" s="64" t="str">
        <f>Ringkasan!T944</f>
        <v/>
      </c>
      <c r="U945" s="64">
        <f>Ringkasan!U944</f>
        <v>314</v>
      </c>
      <c r="V945" s="64">
        <f>Ringkasan!V944</f>
        <v>0.64</v>
      </c>
      <c r="W945" s="64">
        <f>Ringkasan!W944</f>
        <v>314</v>
      </c>
      <c r="X945" s="64">
        <f>Ringkasan!X944</f>
        <v>316</v>
      </c>
      <c r="Y945" s="64">
        <f>Ringkasan!Y944</f>
        <v>312</v>
      </c>
      <c r="Z945" s="64">
        <f>Ringkasan!Z944</f>
        <v>467600</v>
      </c>
      <c r="AA945" s="64" t="str">
        <f>Ringkasan!AA944</f>
        <v>Transport Infrastructure Operator</v>
      </c>
      <c r="AB945" s="64" t="str">
        <f>Ringkasan!AB944</f>
        <v>Infrastructures</v>
      </c>
    </row>
    <row r="946" hidden="1">
      <c r="A946" s="64" t="str">
        <f>Ringkasan!A945</f>
        <v>IPOL</v>
      </c>
      <c r="B946" s="64" t="str">
        <f>Ringkasan!B945</f>
        <v>Indopoly Swakarsa Industry Tbk.</v>
      </c>
      <c r="C946" s="65">
        <f>Ringkasan!C945</f>
        <v>107</v>
      </c>
      <c r="D946" s="64" t="str">
        <f>Ringkasan!D945</f>
        <v>#N/A</v>
      </c>
      <c r="E946" s="64" t="str">
        <f>Ringkasan!E945</f>
        <v/>
      </c>
      <c r="F946" s="64" t="str">
        <f>Ringkasan!F945</f>
        <v/>
      </c>
      <c r="G946" s="64">
        <f>Ringkasan!G945</f>
        <v>0</v>
      </c>
      <c r="H946" s="19">
        <f>Ringkasan!H945</f>
        <v>42.2</v>
      </c>
      <c r="I946" s="19">
        <f>Ringkasan!I945</f>
        <v>0.25</v>
      </c>
      <c r="J946" s="19">
        <f>Ringkasan!J945</f>
        <v>0.58</v>
      </c>
      <c r="K946" s="19">
        <f>Ringkasan!K945</f>
        <v>0.28</v>
      </c>
      <c r="L946" s="19">
        <f>Ringkasan!L945</f>
        <v>1.1</v>
      </c>
      <c r="M946" s="19">
        <f>Ringkasan!M945</f>
        <v>1.7</v>
      </c>
      <c r="N946" s="64" t="str">
        <f>Ringkasan!N945</f>
        <v/>
      </c>
      <c r="O946" s="64" t="str">
        <f>Ringkasan!O945</f>
        <v/>
      </c>
      <c r="P946" s="64" t="str">
        <f>Ringkasan!P945</f>
        <v/>
      </c>
      <c r="Q946" s="64" t="str">
        <f>Ringkasan!Q945</f>
        <v/>
      </c>
      <c r="R946" s="64" t="str">
        <f>Ringkasan!R945</f>
        <v/>
      </c>
      <c r="S946" s="64" t="str">
        <f>Ringkasan!S945</f>
        <v/>
      </c>
      <c r="T946" s="64" t="str">
        <f>Ringkasan!T945</f>
        <v/>
      </c>
      <c r="U946" s="64">
        <f>Ringkasan!U945</f>
        <v>37.1</v>
      </c>
      <c r="V946" s="64">
        <f>Ringkasan!V945</f>
        <v>3.54</v>
      </c>
      <c r="W946" s="64">
        <f>Ringkasan!W945</f>
        <v>37.76</v>
      </c>
      <c r="X946" s="64">
        <f>Ringkasan!X945</f>
        <v>38.49</v>
      </c>
      <c r="Y946" s="64">
        <f>Ringkasan!Y945</f>
        <v>37.46</v>
      </c>
      <c r="Z946" s="64">
        <f>Ringkasan!Z945</f>
        <v>20837</v>
      </c>
      <c r="AA946" s="64" t="str">
        <f>Ringkasan!AA945</f>
        <v>Containers &amp; Packaging</v>
      </c>
      <c r="AB946" s="64" t="str">
        <f>Ringkasan!AB945</f>
        <v>Basic Materials</v>
      </c>
    </row>
    <row r="947" hidden="1">
      <c r="A947" s="64" t="str">
        <f>Ringkasan!A946</f>
        <v>IPPE</v>
      </c>
      <c r="B947" s="64" t="str">
        <f>Ringkasan!B946</f>
        <v>Indo Pureco Pratama Tbk.</v>
      </c>
      <c r="C947" s="65">
        <f>Ringkasan!C946</f>
        <v>14</v>
      </c>
      <c r="D947" s="64" t="str">
        <f>Ringkasan!D946</f>
        <v>#N/A</v>
      </c>
      <c r="E947" s="64" t="str">
        <f>Ringkasan!E946</f>
        <v/>
      </c>
      <c r="F947" s="64" t="str">
        <f>Ringkasan!F946</f>
        <v/>
      </c>
      <c r="G947" s="64">
        <f>Ringkasan!G946</f>
        <v>0</v>
      </c>
      <c r="H947" s="19">
        <f>Ringkasan!H946</f>
        <v>0</v>
      </c>
      <c r="I947" s="19">
        <f>Ringkasan!I946</f>
        <v>0.22</v>
      </c>
      <c r="J947" s="19">
        <f>Ringkasan!J946</f>
        <v>0.64</v>
      </c>
      <c r="K947" s="19">
        <f>Ringkasan!K946</f>
        <v>0.61</v>
      </c>
      <c r="L947" s="19">
        <f>Ringkasan!L946</f>
        <v>0.05</v>
      </c>
      <c r="M947" s="19">
        <f>Ringkasan!M946</f>
        <v>9</v>
      </c>
      <c r="N947" s="64" t="str">
        <f>Ringkasan!N946</f>
        <v/>
      </c>
      <c r="O947" s="64" t="str">
        <f>Ringkasan!O946</f>
        <v/>
      </c>
      <c r="P947" s="64" t="str">
        <f>Ringkasan!P946</f>
        <v/>
      </c>
      <c r="Q947" s="64" t="str">
        <f>Ringkasan!Q946</f>
        <v/>
      </c>
      <c r="R947" s="64" t="str">
        <f>Ringkasan!R946</f>
        <v/>
      </c>
      <c r="S947" s="64" t="str">
        <f>Ringkasan!S946</f>
        <v/>
      </c>
      <c r="T947" s="64" t="str">
        <f>Ringkasan!T946</f>
        <v/>
      </c>
      <c r="U947" s="64">
        <f>Ringkasan!U946</f>
        <v>14</v>
      </c>
      <c r="V947" s="64">
        <f>Ringkasan!V946</f>
        <v>0</v>
      </c>
      <c r="W947" s="64" t="str">
        <f>Ringkasan!W946</f>
        <v/>
      </c>
      <c r="X947" s="64" t="str">
        <f>Ringkasan!X946</f>
        <v/>
      </c>
      <c r="Y947" s="64" t="str">
        <f>Ringkasan!Y946</f>
        <v/>
      </c>
      <c r="Z947" s="64">
        <f>Ringkasan!Z946</f>
        <v>0</v>
      </c>
      <c r="AA947" s="64" t="str">
        <f>Ringkasan!AA946</f>
        <v>Agricultural Products</v>
      </c>
      <c r="AB947" s="64" t="str">
        <f>Ringkasan!AB946</f>
        <v>Consumer Non-Cyclicals</v>
      </c>
    </row>
    <row r="948" hidden="1">
      <c r="A948" s="64" t="str">
        <f>Ringkasan!A947</f>
        <v>IPTV</v>
      </c>
      <c r="B948" s="64" t="str">
        <f>Ringkasan!B947</f>
        <v>MNC Vision Networks Tbk.</v>
      </c>
      <c r="C948" s="65">
        <f>Ringkasan!C947</f>
        <v>28</v>
      </c>
      <c r="D948" s="64" t="str">
        <f>Ringkasan!D947</f>
        <v>#N/A</v>
      </c>
      <c r="E948" s="64" t="str">
        <f>Ringkasan!E947</f>
        <v/>
      </c>
      <c r="F948" s="64" t="str">
        <f>Ringkasan!F947</f>
        <v/>
      </c>
      <c r="G948" s="64">
        <f>Ringkasan!G947</f>
        <v>0</v>
      </c>
      <c r="H948" s="19">
        <f>Ringkasan!H947</f>
        <v>-8.6</v>
      </c>
      <c r="I948" s="19">
        <f>Ringkasan!I947</f>
        <v>0.24</v>
      </c>
      <c r="J948" s="19">
        <f>Ringkasan!J947</f>
        <v>-2.9</v>
      </c>
      <c r="K948" s="19">
        <f>Ringkasan!K947</f>
        <v>-2.5</v>
      </c>
      <c r="L948" s="19">
        <f>Ringkasan!L947</f>
        <v>0.16</v>
      </c>
      <c r="M948" s="19">
        <f>Ringkasan!M947</f>
        <v>-43.8</v>
      </c>
      <c r="N948" s="64" t="str">
        <f>Ringkasan!N947</f>
        <v/>
      </c>
      <c r="O948" s="64" t="str">
        <f>Ringkasan!O947</f>
        <v/>
      </c>
      <c r="P948" s="64" t="str">
        <f>Ringkasan!P947</f>
        <v/>
      </c>
      <c r="Q948" s="64" t="str">
        <f>Ringkasan!Q947</f>
        <v/>
      </c>
      <c r="R948" s="64" t="str">
        <f>Ringkasan!R947</f>
        <v/>
      </c>
      <c r="S948" s="64" t="str">
        <f>Ringkasan!S947</f>
        <v/>
      </c>
      <c r="T948" s="64" t="str">
        <f>Ringkasan!T947</f>
        <v/>
      </c>
      <c r="U948" s="64">
        <f>Ringkasan!U947</f>
        <v>30</v>
      </c>
      <c r="V948" s="64">
        <f>Ringkasan!V947</f>
        <v>-6.67</v>
      </c>
      <c r="W948" s="64">
        <f>Ringkasan!W947</f>
        <v>29</v>
      </c>
      <c r="X948" s="64">
        <f>Ringkasan!X947</f>
        <v>29</v>
      </c>
      <c r="Y948" s="64">
        <f>Ringkasan!Y947</f>
        <v>27</v>
      </c>
      <c r="Z948" s="64">
        <f>Ringkasan!Z947</f>
        <v>29349200</v>
      </c>
      <c r="AA948" s="64" t="str">
        <f>Ringkasan!AA947</f>
        <v>Media</v>
      </c>
      <c r="AB948" s="64" t="str">
        <f>Ringkasan!AB947</f>
        <v>Consumer Cyclicals</v>
      </c>
    </row>
    <row r="949" hidden="1">
      <c r="A949" s="64" t="str">
        <f>Ringkasan!A948</f>
        <v>IRRA</v>
      </c>
      <c r="B949" s="64" t="str">
        <f>Ringkasan!B948</f>
        <v>Itama Ranoraya Tbk.</v>
      </c>
      <c r="C949" s="65">
        <f>Ringkasan!C948</f>
        <v>352</v>
      </c>
      <c r="D949" s="64" t="str">
        <f>Ringkasan!D948</f>
        <v>#N/A</v>
      </c>
      <c r="E949" s="64" t="str">
        <f>Ringkasan!E948</f>
        <v/>
      </c>
      <c r="F949" s="64" t="str">
        <f>Ringkasan!F948</f>
        <v/>
      </c>
      <c r="G949" s="64">
        <f>Ringkasan!G948</f>
        <v>0</v>
      </c>
      <c r="H949" s="19">
        <f>Ringkasan!H948</f>
        <v>9.2</v>
      </c>
      <c r="I949" s="19">
        <f>Ringkasan!I948</f>
        <v>1</v>
      </c>
      <c r="J949" s="19">
        <f>Ringkasan!J948</f>
        <v>11.2</v>
      </c>
      <c r="K949" s="19">
        <f>Ringkasan!K948</f>
        <v>2.6</v>
      </c>
      <c r="L949" s="19">
        <f>Ringkasan!L948</f>
        <v>3.4</v>
      </c>
      <c r="M949" s="19">
        <f>Ringkasan!M948</f>
        <v>27.1</v>
      </c>
      <c r="N949" s="64" t="str">
        <f>Ringkasan!N948</f>
        <v/>
      </c>
      <c r="O949" s="64" t="str">
        <f>Ringkasan!O948</f>
        <v/>
      </c>
      <c r="P949" s="64" t="str">
        <f>Ringkasan!P948</f>
        <v/>
      </c>
      <c r="Q949" s="64" t="str">
        <f>Ringkasan!Q948</f>
        <v/>
      </c>
      <c r="R949" s="64" t="str">
        <f>Ringkasan!R948</f>
        <v/>
      </c>
      <c r="S949" s="64" t="str">
        <f>Ringkasan!S948</f>
        <v/>
      </c>
      <c r="T949" s="64" t="str">
        <f>Ringkasan!T948</f>
        <v/>
      </c>
      <c r="U949" s="64">
        <f>Ringkasan!U948</f>
        <v>344</v>
      </c>
      <c r="V949" s="64">
        <f>Ringkasan!V948</f>
        <v>2.33</v>
      </c>
      <c r="W949" s="64">
        <f>Ringkasan!W948</f>
        <v>344</v>
      </c>
      <c r="X949" s="64">
        <f>Ringkasan!X948</f>
        <v>358</v>
      </c>
      <c r="Y949" s="64">
        <f>Ringkasan!Y948</f>
        <v>340</v>
      </c>
      <c r="Z949" s="64">
        <f>Ringkasan!Z948</f>
        <v>1441200</v>
      </c>
      <c r="AA949" s="64" t="str">
        <f>Ringkasan!AA948</f>
        <v>Healthcare Equipment &amp; Supplies</v>
      </c>
      <c r="AB949" s="64" t="str">
        <f>Ringkasan!AB948</f>
        <v>Healthcare</v>
      </c>
    </row>
    <row r="950" hidden="1">
      <c r="A950" s="64" t="str">
        <f>Ringkasan!A949</f>
        <v>IRSX</v>
      </c>
      <c r="B950" s="64" t="str">
        <f>Ringkasan!B949</f>
        <v>Folago Global Nusantara Tbk.</v>
      </c>
      <c r="C950" s="65">
        <f>Ringkasan!C949</f>
        <v>294</v>
      </c>
      <c r="D950" s="64" t="str">
        <f>Ringkasan!D949</f>
        <v>#N/A</v>
      </c>
      <c r="E950" s="64" t="str">
        <f>Ringkasan!E949</f>
        <v/>
      </c>
      <c r="F950" s="64" t="str">
        <f>Ringkasan!F949</f>
        <v/>
      </c>
      <c r="G950" s="64">
        <f>Ringkasan!G949</f>
        <v>0</v>
      </c>
      <c r="H950" s="19">
        <f>Ringkasan!H949</f>
        <v>79.4</v>
      </c>
      <c r="I950" s="19">
        <f>Ringkasan!I949</f>
        <v>7.3</v>
      </c>
      <c r="J950" s="19">
        <f>Ringkasan!J949</f>
        <v>9.2</v>
      </c>
      <c r="K950" s="19">
        <f>Ringkasan!K949</f>
        <v>7.9</v>
      </c>
      <c r="L950" s="19">
        <f>Ringkasan!L949</f>
        <v>0.17</v>
      </c>
      <c r="M950" s="19">
        <f>Ringkasan!M949</f>
        <v>17.1</v>
      </c>
      <c r="N950" s="64" t="str">
        <f>Ringkasan!N949</f>
        <v/>
      </c>
      <c r="O950" s="64" t="str">
        <f>Ringkasan!O949</f>
        <v/>
      </c>
      <c r="P950" s="64" t="str">
        <f>Ringkasan!P949</f>
        <v/>
      </c>
      <c r="Q950" s="64" t="str">
        <f>Ringkasan!Q949</f>
        <v/>
      </c>
      <c r="R950" s="64" t="str">
        <f>Ringkasan!R949</f>
        <v/>
      </c>
      <c r="S950" s="64" t="str">
        <f>Ringkasan!S949</f>
        <v/>
      </c>
      <c r="T950" s="64" t="str">
        <f>Ringkasan!T949</f>
        <v/>
      </c>
      <c r="U950" s="64">
        <f>Ringkasan!U949</f>
        <v>282</v>
      </c>
      <c r="V950" s="64">
        <f>Ringkasan!V949</f>
        <v>4.26</v>
      </c>
      <c r="W950" s="64">
        <f>Ringkasan!W949</f>
        <v>284</v>
      </c>
      <c r="X950" s="64">
        <f>Ringkasan!X949</f>
        <v>326</v>
      </c>
      <c r="Y950" s="64">
        <f>Ringkasan!Y949</f>
        <v>284</v>
      </c>
      <c r="Z950" s="64">
        <f>Ringkasan!Z949</f>
        <v>86107800</v>
      </c>
      <c r="AA950" s="64" t="str">
        <f>Ringkasan!AA949</f>
        <v>Software</v>
      </c>
      <c r="AB950" s="64" t="str">
        <f>Ringkasan!AB949</f>
        <v>Technology</v>
      </c>
    </row>
    <row r="951" hidden="1">
      <c r="A951" s="64" t="str">
        <f>Ringkasan!A950</f>
        <v>ISAP</v>
      </c>
      <c r="B951" s="64" t="str">
        <f>Ringkasan!B950</f>
        <v>Isra Presisi Indonesia Tbk.</v>
      </c>
      <c r="C951" s="65">
        <f>Ringkasan!C950</f>
        <v>25</v>
      </c>
      <c r="D951" s="64" t="str">
        <f>Ringkasan!D950</f>
        <v>#N/A</v>
      </c>
      <c r="E951" s="64" t="str">
        <f>Ringkasan!E950</f>
        <v/>
      </c>
      <c r="F951" s="64" t="str">
        <f>Ringkasan!F950</f>
        <v/>
      </c>
      <c r="G951" s="64">
        <f>Ringkasan!G950</f>
        <v>0</v>
      </c>
      <c r="H951" s="19">
        <f>Ringkasan!H950</f>
        <v>64.5</v>
      </c>
      <c r="I951" s="19">
        <f>Ringkasan!I950</f>
        <v>0.61</v>
      </c>
      <c r="J951" s="19">
        <f>Ringkasan!J950</f>
        <v>0.94</v>
      </c>
      <c r="K951" s="19">
        <f>Ringkasan!K950</f>
        <v>0.89</v>
      </c>
      <c r="L951" s="19">
        <f>Ringkasan!L950</f>
        <v>0.05</v>
      </c>
      <c r="M951" s="19">
        <f>Ringkasan!M950</f>
        <v>6.7</v>
      </c>
      <c r="N951" s="64" t="str">
        <f>Ringkasan!N950</f>
        <v/>
      </c>
      <c r="O951" s="64" t="str">
        <f>Ringkasan!O950</f>
        <v/>
      </c>
      <c r="P951" s="64" t="str">
        <f>Ringkasan!P950</f>
        <v/>
      </c>
      <c r="Q951" s="64" t="str">
        <f>Ringkasan!Q950</f>
        <v/>
      </c>
      <c r="R951" s="64" t="str">
        <f>Ringkasan!R950</f>
        <v/>
      </c>
      <c r="S951" s="64" t="str">
        <f>Ringkasan!S950</f>
        <v/>
      </c>
      <c r="T951" s="64" t="str">
        <f>Ringkasan!T950</f>
        <v/>
      </c>
      <c r="U951" s="64">
        <f>Ringkasan!U950</f>
        <v>23</v>
      </c>
      <c r="V951" s="64">
        <f>Ringkasan!V950</f>
        <v>8.7</v>
      </c>
      <c r="W951" s="64">
        <f>Ringkasan!W950</f>
        <v>24</v>
      </c>
      <c r="X951" s="64">
        <f>Ringkasan!X950</f>
        <v>25</v>
      </c>
      <c r="Y951" s="64">
        <f>Ringkasan!Y950</f>
        <v>23</v>
      </c>
      <c r="Z951" s="64">
        <f>Ringkasan!Z950</f>
        <v>19038400</v>
      </c>
      <c r="AA951" s="64" t="str">
        <f>Ringkasan!AA950</f>
        <v>Auto Components</v>
      </c>
      <c r="AB951" s="64" t="str">
        <f>Ringkasan!AB950</f>
        <v>Consumer Cyclicals</v>
      </c>
    </row>
    <row r="952" hidden="1">
      <c r="A952" s="64" t="str">
        <f>Ringkasan!A951</f>
        <v>ISAT</v>
      </c>
      <c r="B952" s="64" t="str">
        <f>Ringkasan!B951</f>
        <v>PT Indosat Tbk</v>
      </c>
      <c r="C952" s="65">
        <f>Ringkasan!C951</f>
        <v>1855</v>
      </c>
      <c r="D952" s="64" t="str">
        <f>Ringkasan!D951</f>
        <v>#N/A</v>
      </c>
      <c r="E952" s="64" t="str">
        <f>Ringkasan!E951</f>
        <v>ESGQKEHATI</v>
      </c>
      <c r="F952" s="66">
        <f>Ringkasan!F951</f>
        <v>46356</v>
      </c>
      <c r="G952" s="65">
        <f>Ringkasan!G951</f>
        <v>13</v>
      </c>
      <c r="H952" s="19">
        <f>Ringkasan!H951</f>
        <v>12.2</v>
      </c>
      <c r="I952" s="19">
        <f>Ringkasan!I951</f>
        <v>1.7</v>
      </c>
      <c r="J952" s="19">
        <f>Ringkasan!J951</f>
        <v>13.9</v>
      </c>
      <c r="K952" s="19">
        <f>Ringkasan!K951</f>
        <v>4.7</v>
      </c>
      <c r="L952" s="19">
        <f>Ringkasan!L951</f>
        <v>2</v>
      </c>
      <c r="M952" s="19">
        <f>Ringkasan!M951</f>
        <v>37.4</v>
      </c>
      <c r="N952" s="64" t="str">
        <f>Ringkasan!N951</f>
        <v/>
      </c>
      <c r="O952" s="64" t="str">
        <f>Ringkasan!O951</f>
        <v/>
      </c>
      <c r="P952" s="64" t="str">
        <f>Ringkasan!P951</f>
        <v/>
      </c>
      <c r="Q952" s="64" t="str">
        <f>Ringkasan!Q951</f>
        <v/>
      </c>
      <c r="R952" s="64" t="str">
        <f>Ringkasan!R951</f>
        <v/>
      </c>
      <c r="S952" s="64" t="str">
        <f>Ringkasan!S951</f>
        <v/>
      </c>
      <c r="T952" s="64" t="str">
        <f>Ringkasan!T951</f>
        <v/>
      </c>
      <c r="U952" s="64">
        <f>Ringkasan!U951</f>
        <v>1895</v>
      </c>
      <c r="V952" s="64">
        <f>Ringkasan!V951</f>
        <v>-2.11</v>
      </c>
      <c r="W952" s="64">
        <f>Ringkasan!W951</f>
        <v>1905</v>
      </c>
      <c r="X952" s="64">
        <f>Ringkasan!X951</f>
        <v>1915</v>
      </c>
      <c r="Y952" s="64">
        <f>Ringkasan!Y951</f>
        <v>1830</v>
      </c>
      <c r="Z952" s="64">
        <f>Ringkasan!Z951</f>
        <v>30896800</v>
      </c>
      <c r="AA952" s="64" t="str">
        <f>Ringkasan!AA951</f>
        <v>Wireless Telecommunication Services</v>
      </c>
      <c r="AB952" s="64" t="str">
        <f>Ringkasan!AB951</f>
        <v>Infrastructures</v>
      </c>
    </row>
    <row r="953" hidden="1">
      <c r="A953" s="64" t="str">
        <f>Ringkasan!A952</f>
        <v>ISAT</v>
      </c>
      <c r="B953" s="64" t="str">
        <f>Ringkasan!B952</f>
        <v>PT Indosat Tbk</v>
      </c>
      <c r="C953" s="65">
        <f>Ringkasan!C952</f>
        <v>1855</v>
      </c>
      <c r="D953" s="64" t="str">
        <f>Ringkasan!D952</f>
        <v>#N/A</v>
      </c>
      <c r="E953" s="64" t="str">
        <f>Ringkasan!E952</f>
        <v>IDXSHAGROW</v>
      </c>
      <c r="F953" s="66">
        <f>Ringkasan!F952</f>
        <v>46356</v>
      </c>
      <c r="G953" s="64">
        <f>Ringkasan!G952</f>
        <v>13</v>
      </c>
      <c r="H953" s="19">
        <f>Ringkasan!H952</f>
        <v>12.2</v>
      </c>
      <c r="I953" s="19">
        <f>Ringkasan!I952</f>
        <v>1.7</v>
      </c>
      <c r="J953" s="19">
        <f>Ringkasan!J952</f>
        <v>13.9</v>
      </c>
      <c r="K953" s="19">
        <f>Ringkasan!K952</f>
        <v>4.7</v>
      </c>
      <c r="L953" s="19">
        <f>Ringkasan!L952</f>
        <v>2</v>
      </c>
      <c r="M953" s="19">
        <f>Ringkasan!M952</f>
        <v>37.4</v>
      </c>
      <c r="N953" s="64" t="str">
        <f>Ringkasan!N952</f>
        <v/>
      </c>
      <c r="O953" s="64" t="str">
        <f>Ringkasan!O952</f>
        <v/>
      </c>
      <c r="P953" s="64" t="str">
        <f>Ringkasan!P952</f>
        <v/>
      </c>
      <c r="Q953" s="64" t="str">
        <f>Ringkasan!Q952</f>
        <v/>
      </c>
      <c r="R953" s="64" t="str">
        <f>Ringkasan!R952</f>
        <v/>
      </c>
      <c r="S953" s="64" t="str">
        <f>Ringkasan!S952</f>
        <v/>
      </c>
      <c r="T953" s="64" t="str">
        <f>Ringkasan!T952</f>
        <v/>
      </c>
      <c r="U953" s="64">
        <f>Ringkasan!U952</f>
        <v>1895</v>
      </c>
      <c r="V953" s="64">
        <f>Ringkasan!V952</f>
        <v>-2.11</v>
      </c>
      <c r="W953" s="64">
        <f>Ringkasan!W952</f>
        <v>1905</v>
      </c>
      <c r="X953" s="64">
        <f>Ringkasan!X952</f>
        <v>1915</v>
      </c>
      <c r="Y953" s="64">
        <f>Ringkasan!Y952</f>
        <v>1830</v>
      </c>
      <c r="Z953" s="64">
        <f>Ringkasan!Z952</f>
        <v>30896800</v>
      </c>
      <c r="AA953" s="64" t="str">
        <f>Ringkasan!AA952</f>
        <v>Wireless Telecommunication Services</v>
      </c>
      <c r="AB953" s="64" t="str">
        <f>Ringkasan!AB952</f>
        <v>Infrastructures</v>
      </c>
    </row>
    <row r="954" hidden="1">
      <c r="A954" s="64" t="str">
        <f>Ringkasan!A953</f>
        <v>ISAT</v>
      </c>
      <c r="B954" s="64" t="str">
        <f>Ringkasan!B953</f>
        <v>PT Indosat Tbk</v>
      </c>
      <c r="C954" s="65">
        <f>Ringkasan!C953</f>
        <v>1855</v>
      </c>
      <c r="D954" s="64" t="str">
        <f>Ringkasan!D953</f>
        <v>#N/A</v>
      </c>
      <c r="E954" s="64" t="str">
        <f>Ringkasan!E953</f>
        <v>ESGSKEHATI</v>
      </c>
      <c r="F954" s="66">
        <f>Ringkasan!F953</f>
        <v>46356</v>
      </c>
      <c r="G954" s="65">
        <f>Ringkasan!G953</f>
        <v>13</v>
      </c>
      <c r="H954" s="19">
        <f>Ringkasan!H953</f>
        <v>12.2</v>
      </c>
      <c r="I954" s="19">
        <f>Ringkasan!I953</f>
        <v>1.7</v>
      </c>
      <c r="J954" s="19">
        <f>Ringkasan!J953</f>
        <v>13.9</v>
      </c>
      <c r="K954" s="19">
        <f>Ringkasan!K953</f>
        <v>4.7</v>
      </c>
      <c r="L954" s="19">
        <f>Ringkasan!L953</f>
        <v>2</v>
      </c>
      <c r="M954" s="19">
        <f>Ringkasan!M953</f>
        <v>37.4</v>
      </c>
      <c r="N954" s="64" t="str">
        <f>Ringkasan!N953</f>
        <v/>
      </c>
      <c r="O954" s="64" t="str">
        <f>Ringkasan!O953</f>
        <v/>
      </c>
      <c r="P954" s="64" t="str">
        <f>Ringkasan!P953</f>
        <v/>
      </c>
      <c r="Q954" s="64" t="str">
        <f>Ringkasan!Q953</f>
        <v/>
      </c>
      <c r="R954" s="64" t="str">
        <f>Ringkasan!R953</f>
        <v/>
      </c>
      <c r="S954" s="64" t="str">
        <f>Ringkasan!S953</f>
        <v/>
      </c>
      <c r="T954" s="64" t="str">
        <f>Ringkasan!T953</f>
        <v/>
      </c>
      <c r="U954" s="64">
        <f>Ringkasan!U953</f>
        <v>1895</v>
      </c>
      <c r="V954" s="64">
        <f>Ringkasan!V953</f>
        <v>-2.11</v>
      </c>
      <c r="W954" s="64">
        <f>Ringkasan!W953</f>
        <v>1905</v>
      </c>
      <c r="X954" s="64">
        <f>Ringkasan!X953</f>
        <v>1915</v>
      </c>
      <c r="Y954" s="64">
        <f>Ringkasan!Y953</f>
        <v>1830</v>
      </c>
      <c r="Z954" s="64">
        <f>Ringkasan!Z953</f>
        <v>30896800</v>
      </c>
      <c r="AA954" s="64" t="str">
        <f>Ringkasan!AA953</f>
        <v>Wireless Telecommunication Services</v>
      </c>
      <c r="AB954" s="64" t="str">
        <f>Ringkasan!AB953</f>
        <v>Infrastructures</v>
      </c>
    </row>
    <row r="955" hidden="1">
      <c r="A955" s="64" t="str">
        <f>Ringkasan!A954</f>
        <v>ISAT</v>
      </c>
      <c r="B955" s="64" t="str">
        <f>Ringkasan!B954</f>
        <v>PT Indosat Tbk</v>
      </c>
      <c r="C955" s="65">
        <f>Ringkasan!C954</f>
        <v>1855</v>
      </c>
      <c r="D955" s="64" t="str">
        <f>Ringkasan!D954</f>
        <v>#N/A</v>
      </c>
      <c r="E955" s="64" t="str">
        <f>Ringkasan!E954</f>
        <v>IDXG30</v>
      </c>
      <c r="F955" s="64" t="str">
        <f>Ringkasan!F954</f>
        <v>4 Agustus 2026</v>
      </c>
      <c r="G955" s="64">
        <f>Ringkasan!G954</f>
        <v>13</v>
      </c>
      <c r="H955" s="19">
        <f>Ringkasan!H954</f>
        <v>12.2</v>
      </c>
      <c r="I955" s="19">
        <f>Ringkasan!I954</f>
        <v>1.7</v>
      </c>
      <c r="J955" s="19">
        <f>Ringkasan!J954</f>
        <v>13.9</v>
      </c>
      <c r="K955" s="19">
        <f>Ringkasan!K954</f>
        <v>4.7</v>
      </c>
      <c r="L955" s="19">
        <f>Ringkasan!L954</f>
        <v>2</v>
      </c>
      <c r="M955" s="19">
        <f>Ringkasan!M954</f>
        <v>37.4</v>
      </c>
      <c r="N955" s="64" t="str">
        <f>Ringkasan!N954</f>
        <v/>
      </c>
      <c r="O955" s="64" t="str">
        <f>Ringkasan!O954</f>
        <v/>
      </c>
      <c r="P955" s="64" t="str">
        <f>Ringkasan!P954</f>
        <v/>
      </c>
      <c r="Q955" s="64" t="str">
        <f>Ringkasan!Q954</f>
        <v/>
      </c>
      <c r="R955" s="64" t="str">
        <f>Ringkasan!R954</f>
        <v/>
      </c>
      <c r="S955" s="64" t="str">
        <f>Ringkasan!S954</f>
        <v/>
      </c>
      <c r="T955" s="64" t="str">
        <f>Ringkasan!T954</f>
        <v/>
      </c>
      <c r="U955" s="64">
        <f>Ringkasan!U954</f>
        <v>1895</v>
      </c>
      <c r="V955" s="64">
        <f>Ringkasan!V954</f>
        <v>-2.11</v>
      </c>
      <c r="W955" s="64">
        <f>Ringkasan!W954</f>
        <v>1905</v>
      </c>
      <c r="X955" s="64">
        <f>Ringkasan!X954</f>
        <v>1915</v>
      </c>
      <c r="Y955" s="64">
        <f>Ringkasan!Y954</f>
        <v>1830</v>
      </c>
      <c r="Z955" s="64">
        <f>Ringkasan!Z954</f>
        <v>30896800</v>
      </c>
      <c r="AA955" s="64" t="str">
        <f>Ringkasan!AA954</f>
        <v>Wireless Telecommunication Services</v>
      </c>
      <c r="AB955" s="64" t="str">
        <f>Ringkasan!AB954</f>
        <v>Infrastructures</v>
      </c>
    </row>
    <row r="956" hidden="1">
      <c r="A956" s="64" t="str">
        <f>Ringkasan!A955</f>
        <v>ISAT</v>
      </c>
      <c r="B956" s="64" t="str">
        <f>Ringkasan!B955</f>
        <v>PT Indosat Tbk</v>
      </c>
      <c r="C956" s="65">
        <f>Ringkasan!C955</f>
        <v>1855</v>
      </c>
      <c r="D956" s="64" t="str">
        <f>Ringkasan!D955</f>
        <v>#N/A</v>
      </c>
      <c r="E956" s="64" t="str">
        <f>Ringkasan!E955</f>
        <v>Pefindo - iGrade</v>
      </c>
      <c r="F956" s="64" t="str">
        <f>Ringkasan!F955</f>
        <v>30 Juni 2026</v>
      </c>
      <c r="G956" s="64">
        <f>Ringkasan!G955</f>
        <v>13</v>
      </c>
      <c r="H956" s="19">
        <f>Ringkasan!H955</f>
        <v>12.2</v>
      </c>
      <c r="I956" s="19">
        <f>Ringkasan!I955</f>
        <v>1.7</v>
      </c>
      <c r="J956" s="19">
        <f>Ringkasan!J955</f>
        <v>13.9</v>
      </c>
      <c r="K956" s="19">
        <f>Ringkasan!K955</f>
        <v>4.7</v>
      </c>
      <c r="L956" s="19">
        <f>Ringkasan!L955</f>
        <v>2</v>
      </c>
      <c r="M956" s="19">
        <f>Ringkasan!M955</f>
        <v>37.4</v>
      </c>
      <c r="N956" s="64" t="str">
        <f>Ringkasan!N955</f>
        <v/>
      </c>
      <c r="O956" s="64" t="str">
        <f>Ringkasan!O955</f>
        <v/>
      </c>
      <c r="P956" s="64" t="str">
        <f>Ringkasan!P955</f>
        <v/>
      </c>
      <c r="Q956" s="64" t="str">
        <f>Ringkasan!Q955</f>
        <v/>
      </c>
      <c r="R956" s="64" t="str">
        <f>Ringkasan!R955</f>
        <v/>
      </c>
      <c r="S956" s="64" t="str">
        <f>Ringkasan!S955</f>
        <v/>
      </c>
      <c r="T956" s="64" t="str">
        <f>Ringkasan!T955</f>
        <v/>
      </c>
      <c r="U956" s="64">
        <f>Ringkasan!U955</f>
        <v>1895</v>
      </c>
      <c r="V956" s="64">
        <f>Ringkasan!V955</f>
        <v>-2.11</v>
      </c>
      <c r="W956" s="64">
        <f>Ringkasan!W955</f>
        <v>1905</v>
      </c>
      <c r="X956" s="64">
        <f>Ringkasan!X955</f>
        <v>1915</v>
      </c>
      <c r="Y956" s="64">
        <f>Ringkasan!Y955</f>
        <v>1830</v>
      </c>
      <c r="Z956" s="64">
        <f>Ringkasan!Z955</f>
        <v>30896800</v>
      </c>
      <c r="AA956" s="64" t="str">
        <f>Ringkasan!AA955</f>
        <v>Wireless Telecommunication Services</v>
      </c>
      <c r="AB956" s="64" t="str">
        <f>Ringkasan!AB955</f>
        <v>Infrastructures</v>
      </c>
    </row>
    <row r="957" hidden="1">
      <c r="A957" s="64" t="str">
        <f>Ringkasan!A956</f>
        <v>ISAT</v>
      </c>
      <c r="B957" s="64" t="str">
        <f>Ringkasan!B956</f>
        <v>PT Indosat Tbk</v>
      </c>
      <c r="C957" s="65">
        <f>Ringkasan!C956</f>
        <v>1855</v>
      </c>
      <c r="D957" s="64" t="str">
        <f>Ringkasan!D956</f>
        <v>#N/A</v>
      </c>
      <c r="E957" s="64" t="str">
        <f>Ringkasan!E956</f>
        <v>LQ45</v>
      </c>
      <c r="F957" s="64" t="str">
        <f>Ringkasan!F956</f>
        <v>31 Juli 2026</v>
      </c>
      <c r="G957" s="64">
        <f>Ringkasan!G956</f>
        <v>13</v>
      </c>
      <c r="H957" s="19">
        <f>Ringkasan!H956</f>
        <v>12.2</v>
      </c>
      <c r="I957" s="19">
        <f>Ringkasan!I956</f>
        <v>1.7</v>
      </c>
      <c r="J957" s="19">
        <f>Ringkasan!J956</f>
        <v>13.9</v>
      </c>
      <c r="K957" s="19">
        <f>Ringkasan!K956</f>
        <v>4.7</v>
      </c>
      <c r="L957" s="19">
        <f>Ringkasan!L956</f>
        <v>2</v>
      </c>
      <c r="M957" s="19">
        <f>Ringkasan!M956</f>
        <v>37.4</v>
      </c>
      <c r="N957" s="64" t="str">
        <f>Ringkasan!N956</f>
        <v/>
      </c>
      <c r="O957" s="64" t="str">
        <f>Ringkasan!O956</f>
        <v/>
      </c>
      <c r="P957" s="64" t="str">
        <f>Ringkasan!P956</f>
        <v/>
      </c>
      <c r="Q957" s="64" t="str">
        <f>Ringkasan!Q956</f>
        <v/>
      </c>
      <c r="R957" s="64" t="str">
        <f>Ringkasan!R956</f>
        <v/>
      </c>
      <c r="S957" s="64" t="str">
        <f>Ringkasan!S956</f>
        <v/>
      </c>
      <c r="T957" s="64" t="str">
        <f>Ringkasan!T956</f>
        <v/>
      </c>
      <c r="U957" s="64">
        <f>Ringkasan!U956</f>
        <v>1895</v>
      </c>
      <c r="V957" s="64">
        <f>Ringkasan!V956</f>
        <v>-2.11</v>
      </c>
      <c r="W957" s="64">
        <f>Ringkasan!W956</f>
        <v>1905</v>
      </c>
      <c r="X957" s="64">
        <f>Ringkasan!X956</f>
        <v>1915</v>
      </c>
      <c r="Y957" s="64">
        <f>Ringkasan!Y956</f>
        <v>1830</v>
      </c>
      <c r="Z957" s="64">
        <f>Ringkasan!Z956</f>
        <v>30896800</v>
      </c>
      <c r="AA957" s="64" t="str">
        <f>Ringkasan!AA956</f>
        <v>Wireless Telecommunication Services</v>
      </c>
      <c r="AB957" s="64" t="str">
        <f>Ringkasan!AB956</f>
        <v>Infrastructures</v>
      </c>
    </row>
    <row r="958" hidden="1">
      <c r="A958" s="64" t="str">
        <f>Ringkasan!A957</f>
        <v>ISAT</v>
      </c>
      <c r="B958" s="64" t="str">
        <f>Ringkasan!B957</f>
        <v>PT Indosat Tbk</v>
      </c>
      <c r="C958" s="65">
        <f>Ringkasan!C957</f>
        <v>1855</v>
      </c>
      <c r="D958" s="64" t="str">
        <f>Ringkasan!D957</f>
        <v>#N/A</v>
      </c>
      <c r="E958" s="64" t="str">
        <f>Ringkasan!E957</f>
        <v>Kompas100</v>
      </c>
      <c r="F958" s="64" t="str">
        <f>Ringkasan!F957</f>
        <v>31 Juli 2026</v>
      </c>
      <c r="G958" s="64">
        <f>Ringkasan!G957</f>
        <v>13</v>
      </c>
      <c r="H958" s="19">
        <f>Ringkasan!H957</f>
        <v>12.2</v>
      </c>
      <c r="I958" s="19">
        <f>Ringkasan!I957</f>
        <v>1.7</v>
      </c>
      <c r="J958" s="19">
        <f>Ringkasan!J957</f>
        <v>13.9</v>
      </c>
      <c r="K958" s="19">
        <f>Ringkasan!K957</f>
        <v>4.7</v>
      </c>
      <c r="L958" s="19">
        <f>Ringkasan!L957</f>
        <v>2</v>
      </c>
      <c r="M958" s="19">
        <f>Ringkasan!M957</f>
        <v>37.4</v>
      </c>
      <c r="N958" s="64" t="str">
        <f>Ringkasan!N957</f>
        <v/>
      </c>
      <c r="O958" s="64" t="str">
        <f>Ringkasan!O957</f>
        <v/>
      </c>
      <c r="P958" s="64" t="str">
        <f>Ringkasan!P957</f>
        <v/>
      </c>
      <c r="Q958" s="64" t="str">
        <f>Ringkasan!Q957</f>
        <v/>
      </c>
      <c r="R958" s="64" t="str">
        <f>Ringkasan!R957</f>
        <v/>
      </c>
      <c r="S958" s="64" t="str">
        <f>Ringkasan!S957</f>
        <v/>
      </c>
      <c r="T958" s="64" t="str">
        <f>Ringkasan!T957</f>
        <v/>
      </c>
      <c r="U958" s="64">
        <f>Ringkasan!U957</f>
        <v>1895</v>
      </c>
      <c r="V958" s="64">
        <f>Ringkasan!V957</f>
        <v>-2.11</v>
      </c>
      <c r="W958" s="64">
        <f>Ringkasan!W957</f>
        <v>1905</v>
      </c>
      <c r="X958" s="64">
        <f>Ringkasan!X957</f>
        <v>1915</v>
      </c>
      <c r="Y958" s="64">
        <f>Ringkasan!Y957</f>
        <v>1830</v>
      </c>
      <c r="Z958" s="64">
        <f>Ringkasan!Z957</f>
        <v>30896800</v>
      </c>
      <c r="AA958" s="64" t="str">
        <f>Ringkasan!AA957</f>
        <v>Wireless Telecommunication Services</v>
      </c>
      <c r="AB958" s="64" t="str">
        <f>Ringkasan!AB957</f>
        <v>Infrastructures</v>
      </c>
    </row>
    <row r="959" hidden="1">
      <c r="A959" s="64" t="str">
        <f>Ringkasan!A958</f>
        <v>ISAT</v>
      </c>
      <c r="B959" s="64" t="str">
        <f>Ringkasan!B958</f>
        <v>PT Indosat Tbk</v>
      </c>
      <c r="C959" s="65">
        <f>Ringkasan!C958</f>
        <v>1855</v>
      </c>
      <c r="D959" s="64" t="str">
        <f>Ringkasan!D958</f>
        <v>#N/A</v>
      </c>
      <c r="E959" s="64" t="str">
        <f>Ringkasan!E958</f>
        <v>IDX80</v>
      </c>
      <c r="F959" s="64" t="str">
        <f>Ringkasan!F958</f>
        <v>31 Juli 2026</v>
      </c>
      <c r="G959" s="64">
        <f>Ringkasan!G958</f>
        <v>13</v>
      </c>
      <c r="H959" s="19">
        <f>Ringkasan!H958</f>
        <v>12.2</v>
      </c>
      <c r="I959" s="19">
        <f>Ringkasan!I958</f>
        <v>1.7</v>
      </c>
      <c r="J959" s="19">
        <f>Ringkasan!J958</f>
        <v>13.9</v>
      </c>
      <c r="K959" s="19">
        <f>Ringkasan!K958</f>
        <v>4.7</v>
      </c>
      <c r="L959" s="19">
        <f>Ringkasan!L958</f>
        <v>2</v>
      </c>
      <c r="M959" s="19">
        <f>Ringkasan!M958</f>
        <v>37.4</v>
      </c>
      <c r="N959" s="64" t="str">
        <f>Ringkasan!N958</f>
        <v/>
      </c>
      <c r="O959" s="64" t="str">
        <f>Ringkasan!O958</f>
        <v/>
      </c>
      <c r="P959" s="64" t="str">
        <f>Ringkasan!P958</f>
        <v/>
      </c>
      <c r="Q959" s="64" t="str">
        <f>Ringkasan!Q958</f>
        <v/>
      </c>
      <c r="R959" s="64" t="str">
        <f>Ringkasan!R958</f>
        <v/>
      </c>
      <c r="S959" s="64" t="str">
        <f>Ringkasan!S958</f>
        <v/>
      </c>
      <c r="T959" s="64" t="str">
        <f>Ringkasan!T958</f>
        <v/>
      </c>
      <c r="U959" s="64">
        <f>Ringkasan!U958</f>
        <v>1895</v>
      </c>
      <c r="V959" s="64">
        <f>Ringkasan!V958</f>
        <v>-2.11</v>
      </c>
      <c r="W959" s="64">
        <f>Ringkasan!W958</f>
        <v>1905</v>
      </c>
      <c r="X959" s="64">
        <f>Ringkasan!X958</f>
        <v>1915</v>
      </c>
      <c r="Y959" s="64">
        <f>Ringkasan!Y958</f>
        <v>1830</v>
      </c>
      <c r="Z959" s="64">
        <f>Ringkasan!Z958</f>
        <v>30896800</v>
      </c>
      <c r="AA959" s="64" t="str">
        <f>Ringkasan!AA958</f>
        <v>Wireless Telecommunication Services</v>
      </c>
      <c r="AB959" s="64" t="str">
        <f>Ringkasan!AB958</f>
        <v>Infrastructures</v>
      </c>
    </row>
    <row r="960" hidden="1">
      <c r="A960" s="64" t="str">
        <f>Ringkasan!A959</f>
        <v>ISAT</v>
      </c>
      <c r="B960" s="64" t="str">
        <f>Ringkasan!B959</f>
        <v>PT Indosat Tbk</v>
      </c>
      <c r="C960" s="65">
        <f>Ringkasan!C959</f>
        <v>1855</v>
      </c>
      <c r="D960" s="64" t="str">
        <f>Ringkasan!D959</f>
        <v>#N/A</v>
      </c>
      <c r="E960" s="64" t="str">
        <f>Ringkasan!E959</f>
        <v>SMINFRA18</v>
      </c>
      <c r="F960" s="64" t="str">
        <f>Ringkasan!F959</f>
        <v>30 Oktober 2026</v>
      </c>
      <c r="G960" s="64">
        <f>Ringkasan!G959</f>
        <v>13</v>
      </c>
      <c r="H960" s="19">
        <f>Ringkasan!H959</f>
        <v>12.2</v>
      </c>
      <c r="I960" s="19">
        <f>Ringkasan!I959</f>
        <v>1.7</v>
      </c>
      <c r="J960" s="19">
        <f>Ringkasan!J959</f>
        <v>13.9</v>
      </c>
      <c r="K960" s="19">
        <f>Ringkasan!K959</f>
        <v>4.7</v>
      </c>
      <c r="L960" s="19">
        <f>Ringkasan!L959</f>
        <v>2</v>
      </c>
      <c r="M960" s="19">
        <f>Ringkasan!M959</f>
        <v>37.4</v>
      </c>
      <c r="N960" s="64" t="str">
        <f>Ringkasan!N959</f>
        <v/>
      </c>
      <c r="O960" s="64" t="str">
        <f>Ringkasan!O959</f>
        <v/>
      </c>
      <c r="P960" s="64" t="str">
        <f>Ringkasan!P959</f>
        <v/>
      </c>
      <c r="Q960" s="64" t="str">
        <f>Ringkasan!Q959</f>
        <v/>
      </c>
      <c r="R960" s="64" t="str">
        <f>Ringkasan!R959</f>
        <v/>
      </c>
      <c r="S960" s="64" t="str">
        <f>Ringkasan!S959</f>
        <v/>
      </c>
      <c r="T960" s="64" t="str">
        <f>Ringkasan!T959</f>
        <v/>
      </c>
      <c r="U960" s="64">
        <f>Ringkasan!U959</f>
        <v>1895</v>
      </c>
      <c r="V960" s="64">
        <f>Ringkasan!V959</f>
        <v>-2.11</v>
      </c>
      <c r="W960" s="64">
        <f>Ringkasan!W959</f>
        <v>1905</v>
      </c>
      <c r="X960" s="64">
        <f>Ringkasan!X959</f>
        <v>1915</v>
      </c>
      <c r="Y960" s="64">
        <f>Ringkasan!Y959</f>
        <v>1830</v>
      </c>
      <c r="Z960" s="64">
        <f>Ringkasan!Z959</f>
        <v>30896800</v>
      </c>
      <c r="AA960" s="64" t="str">
        <f>Ringkasan!AA959</f>
        <v>Wireless Telecommunication Services</v>
      </c>
      <c r="AB960" s="64" t="str">
        <f>Ringkasan!AB959</f>
        <v>Infrastructures</v>
      </c>
    </row>
    <row r="961" hidden="1">
      <c r="A961" s="64" t="str">
        <f>Ringkasan!A960</f>
        <v>ISAT</v>
      </c>
      <c r="B961" s="64" t="str">
        <f>Ringkasan!B960</f>
        <v>PT Indosat Tbk</v>
      </c>
      <c r="C961" s="65">
        <f>Ringkasan!C960</f>
        <v>1855</v>
      </c>
      <c r="D961" s="64" t="str">
        <f>Ringkasan!D960</f>
        <v>#N/A</v>
      </c>
      <c r="E961" s="64" t="str">
        <f>Ringkasan!E960</f>
        <v>IDXVESTA28</v>
      </c>
      <c r="F961" s="64" t="str">
        <f>Ringkasan!F960</f>
        <v>31 Agustus 2026</v>
      </c>
      <c r="G961" s="64">
        <f>Ringkasan!G960</f>
        <v>13</v>
      </c>
      <c r="H961" s="19">
        <f>Ringkasan!H960</f>
        <v>12.2</v>
      </c>
      <c r="I961" s="19">
        <f>Ringkasan!I960</f>
        <v>1.7</v>
      </c>
      <c r="J961" s="19">
        <f>Ringkasan!J960</f>
        <v>13.9</v>
      </c>
      <c r="K961" s="19">
        <f>Ringkasan!K960</f>
        <v>4.7</v>
      </c>
      <c r="L961" s="19">
        <f>Ringkasan!L960</f>
        <v>2</v>
      </c>
      <c r="M961" s="19">
        <f>Ringkasan!M960</f>
        <v>37.4</v>
      </c>
      <c r="N961" s="64" t="str">
        <f>Ringkasan!N960</f>
        <v/>
      </c>
      <c r="O961" s="64" t="str">
        <f>Ringkasan!O960</f>
        <v/>
      </c>
      <c r="P961" s="64" t="str">
        <f>Ringkasan!P960</f>
        <v/>
      </c>
      <c r="Q961" s="64" t="str">
        <f>Ringkasan!Q960</f>
        <v/>
      </c>
      <c r="R961" s="64" t="str">
        <f>Ringkasan!R960</f>
        <v/>
      </c>
      <c r="S961" s="64" t="str">
        <f>Ringkasan!S960</f>
        <v/>
      </c>
      <c r="T961" s="64" t="str">
        <f>Ringkasan!T960</f>
        <v/>
      </c>
      <c r="U961" s="64">
        <f>Ringkasan!U960</f>
        <v>1895</v>
      </c>
      <c r="V961" s="64">
        <f>Ringkasan!V960</f>
        <v>-2.11</v>
      </c>
      <c r="W961" s="64">
        <f>Ringkasan!W960</f>
        <v>1905</v>
      </c>
      <c r="X961" s="64">
        <f>Ringkasan!X960</f>
        <v>1915</v>
      </c>
      <c r="Y961" s="64">
        <f>Ringkasan!Y960</f>
        <v>1830</v>
      </c>
      <c r="Z961" s="64">
        <f>Ringkasan!Z960</f>
        <v>30896800</v>
      </c>
      <c r="AA961" s="64" t="str">
        <f>Ringkasan!AA960</f>
        <v>Wireless Telecommunication Services</v>
      </c>
      <c r="AB961" s="64" t="str">
        <f>Ringkasan!AB960</f>
        <v>Infrastructures</v>
      </c>
    </row>
    <row r="962" hidden="1">
      <c r="A962" s="64" t="str">
        <f>Ringkasan!A961</f>
        <v>ISAT</v>
      </c>
      <c r="B962" s="64" t="str">
        <f>Ringkasan!B961</f>
        <v>PT Indosat Tbk</v>
      </c>
      <c r="C962" s="65">
        <f>Ringkasan!C961</f>
        <v>1855</v>
      </c>
      <c r="D962" s="64" t="str">
        <f>Ringkasan!D961</f>
        <v>#N/A</v>
      </c>
      <c r="E962" s="64" t="str">
        <f>Ringkasan!E961</f>
        <v>FTSE Large Cap</v>
      </c>
      <c r="F962" s="64" t="str">
        <f>Ringkasan!F961</f>
        <v>Juni 2026</v>
      </c>
      <c r="G962" s="64">
        <f>Ringkasan!G961</f>
        <v>13</v>
      </c>
      <c r="H962" s="19">
        <f>Ringkasan!H961</f>
        <v>12.2</v>
      </c>
      <c r="I962" s="19">
        <f>Ringkasan!I961</f>
        <v>1.7</v>
      </c>
      <c r="J962" s="19">
        <f>Ringkasan!J961</f>
        <v>13.9</v>
      </c>
      <c r="K962" s="19">
        <f>Ringkasan!K961</f>
        <v>4.7</v>
      </c>
      <c r="L962" s="19">
        <f>Ringkasan!L961</f>
        <v>2</v>
      </c>
      <c r="M962" s="19">
        <f>Ringkasan!M961</f>
        <v>37.4</v>
      </c>
      <c r="N962" s="64" t="str">
        <f>Ringkasan!N961</f>
        <v/>
      </c>
      <c r="O962" s="64" t="str">
        <f>Ringkasan!O961</f>
        <v/>
      </c>
      <c r="P962" s="64" t="str">
        <f>Ringkasan!P961</f>
        <v/>
      </c>
      <c r="Q962" s="64" t="str">
        <f>Ringkasan!Q961</f>
        <v/>
      </c>
      <c r="R962" s="64" t="str">
        <f>Ringkasan!R961</f>
        <v/>
      </c>
      <c r="S962" s="64" t="str">
        <f>Ringkasan!S961</f>
        <v/>
      </c>
      <c r="T962" s="64" t="str">
        <f>Ringkasan!T961</f>
        <v/>
      </c>
      <c r="U962" s="64">
        <f>Ringkasan!U961</f>
        <v>1895</v>
      </c>
      <c r="V962" s="64">
        <f>Ringkasan!V961</f>
        <v>-2.11</v>
      </c>
      <c r="W962" s="64">
        <f>Ringkasan!W961</f>
        <v>1905</v>
      </c>
      <c r="X962" s="64">
        <f>Ringkasan!X961</f>
        <v>1915</v>
      </c>
      <c r="Y962" s="64">
        <f>Ringkasan!Y961</f>
        <v>1830</v>
      </c>
      <c r="Z962" s="64">
        <f>Ringkasan!Z961</f>
        <v>30896800</v>
      </c>
      <c r="AA962" s="64" t="str">
        <f>Ringkasan!AA961</f>
        <v>Wireless Telecommunication Services</v>
      </c>
      <c r="AB962" s="64" t="str">
        <f>Ringkasan!AB961</f>
        <v>Infrastructures</v>
      </c>
    </row>
    <row r="963" hidden="1">
      <c r="A963" s="64" t="str">
        <f>Ringkasan!A962</f>
        <v>ISAT</v>
      </c>
      <c r="B963" s="64" t="str">
        <f>Ringkasan!B962</f>
        <v>PT Indosat Tbk</v>
      </c>
      <c r="C963" s="65">
        <f>Ringkasan!C962</f>
        <v>1855</v>
      </c>
      <c r="D963" s="64" t="str">
        <f>Ringkasan!D962</f>
        <v>#N/A</v>
      </c>
      <c r="E963" s="64" t="str">
        <f>Ringkasan!E962</f>
        <v>SRI-KEHATI</v>
      </c>
      <c r="F963" s="66">
        <f>Ringkasan!F962</f>
        <v>46356</v>
      </c>
      <c r="G963" s="65">
        <f>Ringkasan!G962</f>
        <v>13</v>
      </c>
      <c r="H963" s="19">
        <f>Ringkasan!H962</f>
        <v>12.2</v>
      </c>
      <c r="I963" s="19">
        <f>Ringkasan!I962</f>
        <v>1.7</v>
      </c>
      <c r="J963" s="19">
        <f>Ringkasan!J962</f>
        <v>13.9</v>
      </c>
      <c r="K963" s="19">
        <f>Ringkasan!K962</f>
        <v>4.7</v>
      </c>
      <c r="L963" s="19">
        <f>Ringkasan!L962</f>
        <v>2</v>
      </c>
      <c r="M963" s="19">
        <f>Ringkasan!M962</f>
        <v>37.4</v>
      </c>
      <c r="N963" s="64" t="str">
        <f>Ringkasan!N962</f>
        <v/>
      </c>
      <c r="O963" s="64" t="str">
        <f>Ringkasan!O962</f>
        <v/>
      </c>
      <c r="P963" s="64" t="str">
        <f>Ringkasan!P962</f>
        <v/>
      </c>
      <c r="Q963" s="64" t="str">
        <f>Ringkasan!Q962</f>
        <v/>
      </c>
      <c r="R963" s="64" t="str">
        <f>Ringkasan!R962</f>
        <v/>
      </c>
      <c r="S963" s="64" t="str">
        <f>Ringkasan!S962</f>
        <v/>
      </c>
      <c r="T963" s="64" t="str">
        <f>Ringkasan!T962</f>
        <v/>
      </c>
      <c r="U963" s="64">
        <f>Ringkasan!U962</f>
        <v>1895</v>
      </c>
      <c r="V963" s="64">
        <f>Ringkasan!V962</f>
        <v>-2.11</v>
      </c>
      <c r="W963" s="64">
        <f>Ringkasan!W962</f>
        <v>1905</v>
      </c>
      <c r="X963" s="64">
        <f>Ringkasan!X962</f>
        <v>1915</v>
      </c>
      <c r="Y963" s="64">
        <f>Ringkasan!Y962</f>
        <v>1830</v>
      </c>
      <c r="Z963" s="64">
        <f>Ringkasan!Z962</f>
        <v>30896800</v>
      </c>
      <c r="AA963" s="64" t="str">
        <f>Ringkasan!AA962</f>
        <v>Wireless Telecommunication Services</v>
      </c>
      <c r="AB963" s="64" t="str">
        <f>Ringkasan!AB962</f>
        <v>Infrastructures</v>
      </c>
    </row>
    <row r="964" hidden="1">
      <c r="A964" s="64" t="str">
        <f>Ringkasan!A963</f>
        <v>ISAT</v>
      </c>
      <c r="B964" s="64" t="str">
        <f>Ringkasan!B963</f>
        <v>PT Indosat Tbk</v>
      </c>
      <c r="C964" s="65">
        <f>Ringkasan!C963</f>
        <v>1855</v>
      </c>
      <c r="D964" s="64" t="str">
        <f>Ringkasan!D963</f>
        <v>#N/A</v>
      </c>
      <c r="E964" s="64" t="str">
        <f>Ringkasan!E963</f>
        <v>JII70</v>
      </c>
      <c r="F964" s="66">
        <f>Ringkasan!F963</f>
        <v>46356</v>
      </c>
      <c r="G964" s="64">
        <f>Ringkasan!G963</f>
        <v>13</v>
      </c>
      <c r="H964" s="19">
        <f>Ringkasan!H963</f>
        <v>12.2</v>
      </c>
      <c r="I964" s="19">
        <f>Ringkasan!I963</f>
        <v>1.7</v>
      </c>
      <c r="J964" s="19">
        <f>Ringkasan!J963</f>
        <v>13.9</v>
      </c>
      <c r="K964" s="19">
        <f>Ringkasan!K963</f>
        <v>4.7</v>
      </c>
      <c r="L964" s="19">
        <f>Ringkasan!L963</f>
        <v>2</v>
      </c>
      <c r="M964" s="19">
        <f>Ringkasan!M963</f>
        <v>37.4</v>
      </c>
      <c r="N964" s="64" t="str">
        <f>Ringkasan!N963</f>
        <v/>
      </c>
      <c r="O964" s="64" t="str">
        <f>Ringkasan!O963</f>
        <v/>
      </c>
      <c r="P964" s="64" t="str">
        <f>Ringkasan!P963</f>
        <v/>
      </c>
      <c r="Q964" s="64" t="str">
        <f>Ringkasan!Q963</f>
        <v/>
      </c>
      <c r="R964" s="64" t="str">
        <f>Ringkasan!R963</f>
        <v/>
      </c>
      <c r="S964" s="64" t="str">
        <f>Ringkasan!S963</f>
        <v/>
      </c>
      <c r="T964" s="64" t="str">
        <f>Ringkasan!T963</f>
        <v/>
      </c>
      <c r="U964" s="64">
        <f>Ringkasan!U963</f>
        <v>1895</v>
      </c>
      <c r="V964" s="64">
        <f>Ringkasan!V963</f>
        <v>-2.11</v>
      </c>
      <c r="W964" s="64">
        <f>Ringkasan!W963</f>
        <v>1905</v>
      </c>
      <c r="X964" s="64">
        <f>Ringkasan!X963</f>
        <v>1915</v>
      </c>
      <c r="Y964" s="64">
        <f>Ringkasan!Y963</f>
        <v>1830</v>
      </c>
      <c r="Z964" s="64">
        <f>Ringkasan!Z963</f>
        <v>30896800</v>
      </c>
      <c r="AA964" s="64" t="str">
        <f>Ringkasan!AA963</f>
        <v>Wireless Telecommunication Services</v>
      </c>
      <c r="AB964" s="64" t="str">
        <f>Ringkasan!AB963</f>
        <v>Infrastructures</v>
      </c>
    </row>
    <row r="965" hidden="1">
      <c r="A965" s="64" t="str">
        <f>Ringkasan!A964</f>
        <v>ISEA</v>
      </c>
      <c r="B965" s="64" t="str">
        <f>Ringkasan!B964</f>
        <v>Indo American Seafoods Tbk.</v>
      </c>
      <c r="C965" s="65">
        <f>Ringkasan!C964</f>
        <v>65</v>
      </c>
      <c r="D965" s="64" t="str">
        <f>Ringkasan!D964</f>
        <v>#N/A</v>
      </c>
      <c r="E965" s="64" t="str">
        <f>Ringkasan!E964</f>
        <v/>
      </c>
      <c r="F965" s="64" t="str">
        <f>Ringkasan!F964</f>
        <v/>
      </c>
      <c r="G965" s="64">
        <f>Ringkasan!G964</f>
        <v>0</v>
      </c>
      <c r="H965" s="19">
        <f>Ringkasan!H964</f>
        <v>7.6</v>
      </c>
      <c r="I965" s="19">
        <f>Ringkasan!I964</f>
        <v>0.52</v>
      </c>
      <c r="J965" s="19">
        <f>Ringkasan!J964</f>
        <v>6.9</v>
      </c>
      <c r="K965" s="19">
        <f>Ringkasan!K964</f>
        <v>2.9</v>
      </c>
      <c r="L965" s="19">
        <f>Ringkasan!L964</f>
        <v>1.3</v>
      </c>
      <c r="M965" s="19">
        <f>Ringkasan!M964</f>
        <v>7.1</v>
      </c>
      <c r="N965" s="64" t="str">
        <f>Ringkasan!N964</f>
        <v/>
      </c>
      <c r="O965" s="64" t="str">
        <f>Ringkasan!O964</f>
        <v/>
      </c>
      <c r="P965" s="64" t="str">
        <f>Ringkasan!P964</f>
        <v/>
      </c>
      <c r="Q965" s="64" t="str">
        <f>Ringkasan!Q964</f>
        <v/>
      </c>
      <c r="R965" s="64" t="str">
        <f>Ringkasan!R964</f>
        <v/>
      </c>
      <c r="S965" s="64" t="str">
        <f>Ringkasan!S964</f>
        <v/>
      </c>
      <c r="T965" s="64" t="str">
        <f>Ringkasan!T964</f>
        <v/>
      </c>
      <c r="U965" s="64">
        <f>Ringkasan!U964</f>
        <v>63</v>
      </c>
      <c r="V965" s="64">
        <f>Ringkasan!V964</f>
        <v>3.17</v>
      </c>
      <c r="W965" s="64">
        <f>Ringkasan!W964</f>
        <v>63</v>
      </c>
      <c r="X965" s="64">
        <f>Ringkasan!X964</f>
        <v>66</v>
      </c>
      <c r="Y965" s="64">
        <f>Ringkasan!Y964</f>
        <v>62</v>
      </c>
      <c r="Z965" s="64">
        <f>Ringkasan!Z964</f>
        <v>1613200</v>
      </c>
      <c r="AA965" s="64" t="str">
        <f>Ringkasan!AA964</f>
        <v>Agricultural Products</v>
      </c>
      <c r="AB965" s="64" t="str">
        <f>Ringkasan!AB964</f>
        <v>Consumer Non-Cyclicals</v>
      </c>
    </row>
    <row r="966" hidden="1">
      <c r="A966" s="64" t="str">
        <f>Ringkasan!A965</f>
        <v>ISSP</v>
      </c>
      <c r="B966" s="64" t="str">
        <f>Ringkasan!B965</f>
        <v>Steel Pipe Industry of Indonesia Tbk.</v>
      </c>
      <c r="C966" s="65">
        <f>Ringkasan!C965</f>
        <v>398</v>
      </c>
      <c r="D966" s="64" t="str">
        <f>Ringkasan!D965</f>
        <v>#N/A</v>
      </c>
      <c r="E966" s="64" t="str">
        <f>Ringkasan!E965</f>
        <v/>
      </c>
      <c r="F966" s="64" t="str">
        <f>Ringkasan!F965</f>
        <v/>
      </c>
      <c r="G966" s="64">
        <f>Ringkasan!G965</f>
        <v>0</v>
      </c>
      <c r="H966" s="19">
        <f>Ringkasan!H965</f>
        <v>5.8</v>
      </c>
      <c r="I966" s="19">
        <f>Ringkasan!I965</f>
        <v>0.53</v>
      </c>
      <c r="J966" s="19">
        <f>Ringkasan!J965</f>
        <v>9.2</v>
      </c>
      <c r="K966" s="19">
        <f>Ringkasan!K965</f>
        <v>5.9</v>
      </c>
      <c r="L966" s="19">
        <f>Ringkasan!L965</f>
        <v>0.56</v>
      </c>
      <c r="M966" s="19">
        <f>Ringkasan!M965</f>
        <v>43.1</v>
      </c>
      <c r="N966" s="64" t="str">
        <f>Ringkasan!N965</f>
        <v/>
      </c>
      <c r="O966" s="64" t="str">
        <f>Ringkasan!O965</f>
        <v/>
      </c>
      <c r="P966" s="64" t="str">
        <f>Ringkasan!P965</f>
        <v/>
      </c>
      <c r="Q966" s="64" t="str">
        <f>Ringkasan!Q965</f>
        <v/>
      </c>
      <c r="R966" s="64" t="str">
        <f>Ringkasan!R965</f>
        <v/>
      </c>
      <c r="S966" s="64" t="str">
        <f>Ringkasan!S965</f>
        <v/>
      </c>
      <c r="T966" s="64" t="str">
        <f>Ringkasan!T965</f>
        <v/>
      </c>
      <c r="U966" s="64" t="str">
        <f>Ringkasan!U965</f>
        <v/>
      </c>
      <c r="V966" s="64">
        <f>Ringkasan!V965</f>
        <v>0</v>
      </c>
      <c r="W966" s="64">
        <f>Ringkasan!W965</f>
        <v>400</v>
      </c>
      <c r="X966" s="64">
        <f>Ringkasan!X965</f>
        <v>404</v>
      </c>
      <c r="Y966" s="64">
        <f>Ringkasan!Y965</f>
        <v>390</v>
      </c>
      <c r="Z966" s="64">
        <f>Ringkasan!Z965</f>
        <v>3069300</v>
      </c>
      <c r="AA966" s="64" t="str">
        <f>Ringkasan!AA965</f>
        <v>Metals &amp; Minerals</v>
      </c>
      <c r="AB966" s="64" t="str">
        <f>Ringkasan!AB965</f>
        <v>Basic Materials</v>
      </c>
    </row>
    <row r="967" hidden="1">
      <c r="A967" s="64" t="str">
        <f>Ringkasan!A966</f>
        <v>ITIC</v>
      </c>
      <c r="B967" s="64" t="str">
        <f>Ringkasan!B966</f>
        <v>Indonesian Tobacco Tbk.</v>
      </c>
      <c r="C967" s="65">
        <f>Ringkasan!C966</f>
        <v>195</v>
      </c>
      <c r="D967" s="64" t="str">
        <f>Ringkasan!D966</f>
        <v>#N/A</v>
      </c>
      <c r="E967" s="64" t="str">
        <f>Ringkasan!E966</f>
        <v/>
      </c>
      <c r="F967" s="64" t="str">
        <f>Ringkasan!F966</f>
        <v/>
      </c>
      <c r="G967" s="64">
        <f>Ringkasan!G966</f>
        <v>0</v>
      </c>
      <c r="H967" s="19">
        <f>Ringkasan!H966</f>
        <v>9.9</v>
      </c>
      <c r="I967" s="19">
        <f>Ringkasan!I966</f>
        <v>0.42</v>
      </c>
      <c r="J967" s="19">
        <f>Ringkasan!J966</f>
        <v>4.3</v>
      </c>
      <c r="K967" s="19">
        <f>Ringkasan!K966</f>
        <v>3.2</v>
      </c>
      <c r="L967" s="19">
        <f>Ringkasan!L966</f>
        <v>0.34</v>
      </c>
      <c r="M967" s="19">
        <f>Ringkasan!M966</f>
        <v>30.4</v>
      </c>
      <c r="N967" s="64" t="str">
        <f>Ringkasan!N966</f>
        <v/>
      </c>
      <c r="O967" s="64" t="str">
        <f>Ringkasan!O966</f>
        <v/>
      </c>
      <c r="P967" s="64" t="str">
        <f>Ringkasan!P966</f>
        <v/>
      </c>
      <c r="Q967" s="64" t="str">
        <f>Ringkasan!Q966</f>
        <v/>
      </c>
      <c r="R967" s="64" t="str">
        <f>Ringkasan!R966</f>
        <v/>
      </c>
      <c r="S967" s="64" t="str">
        <f>Ringkasan!S966</f>
        <v/>
      </c>
      <c r="T967" s="64" t="str">
        <f>Ringkasan!T966</f>
        <v/>
      </c>
      <c r="U967" s="64">
        <f>Ringkasan!U966</f>
        <v>250.16</v>
      </c>
      <c r="V967" s="64">
        <f>Ringkasan!V966</f>
        <v>1.42</v>
      </c>
      <c r="W967" s="64">
        <f>Ringkasan!W966</f>
        <v>252.47</v>
      </c>
      <c r="X967" s="64">
        <f>Ringkasan!X966</f>
        <v>256.15</v>
      </c>
      <c r="Y967" s="64">
        <f>Ringkasan!Y966</f>
        <v>252.47</v>
      </c>
      <c r="Z967" s="64">
        <f>Ringkasan!Z966</f>
        <v>50251</v>
      </c>
      <c r="AA967" s="64" t="str">
        <f>Ringkasan!AA966</f>
        <v>Tobacco</v>
      </c>
      <c r="AB967" s="64" t="str">
        <f>Ringkasan!AB966</f>
        <v>Consumer Non-Cyclicals</v>
      </c>
    </row>
    <row r="968" hidden="1">
      <c r="A968" s="64" t="str">
        <f>Ringkasan!A967</f>
        <v>ITMA</v>
      </c>
      <c r="B968" s="64" t="str">
        <f>Ringkasan!B967</f>
        <v>SUMBER ENERGI ANDALAN Tbk</v>
      </c>
      <c r="C968" s="65">
        <f>Ringkasan!C967</f>
        <v>1480</v>
      </c>
      <c r="D968" s="64" t="str">
        <f>Ringkasan!D967</f>
        <v>#N/A</v>
      </c>
      <c r="E968" s="64" t="str">
        <f>Ringkasan!E967</f>
        <v/>
      </c>
      <c r="F968" s="64" t="str">
        <f>Ringkasan!F967</f>
        <v/>
      </c>
      <c r="G968" s="64">
        <f>Ringkasan!G967</f>
        <v>0</v>
      </c>
      <c r="H968" s="19">
        <f>Ringkasan!H967</f>
        <v>45.6</v>
      </c>
      <c r="I968" s="19">
        <f>Ringkasan!I967</f>
        <v>0.47</v>
      </c>
      <c r="J968" s="19">
        <f>Ringkasan!J967</f>
        <v>1</v>
      </c>
      <c r="K968" s="19">
        <f>Ringkasan!K967</f>
        <v>0.86</v>
      </c>
      <c r="L968" s="19">
        <f>Ringkasan!L967</f>
        <v>0.2</v>
      </c>
      <c r="M968" s="19">
        <f>Ringkasan!M967</f>
        <v>300</v>
      </c>
      <c r="N968" s="64" t="str">
        <f>Ringkasan!N967</f>
        <v/>
      </c>
      <c r="O968" s="64" t="str">
        <f>Ringkasan!O967</f>
        <v/>
      </c>
      <c r="P968" s="64" t="str">
        <f>Ringkasan!P967</f>
        <v/>
      </c>
      <c r="Q968" s="64" t="str">
        <f>Ringkasan!Q967</f>
        <v/>
      </c>
      <c r="R968" s="64" t="str">
        <f>Ringkasan!R967</f>
        <v/>
      </c>
      <c r="S968" s="64" t="str">
        <f>Ringkasan!S967</f>
        <v/>
      </c>
      <c r="T968" s="64" t="str">
        <f>Ringkasan!T967</f>
        <v/>
      </c>
      <c r="U968" s="64">
        <f>Ringkasan!U967</f>
        <v>1480</v>
      </c>
      <c r="V968" s="64">
        <f>Ringkasan!V967</f>
        <v>0</v>
      </c>
      <c r="W968" s="64">
        <f>Ringkasan!W967</f>
        <v>1475</v>
      </c>
      <c r="X968" s="64">
        <f>Ringkasan!X967</f>
        <v>1500</v>
      </c>
      <c r="Y968" s="64">
        <f>Ringkasan!Y967</f>
        <v>1450</v>
      </c>
      <c r="Z968" s="64">
        <f>Ringkasan!Z967</f>
        <v>101300</v>
      </c>
      <c r="AA968" s="64" t="str">
        <f>Ringkasan!AA967</f>
        <v>Oil, Gas &amp; Coal Supports</v>
      </c>
      <c r="AB968" s="64" t="str">
        <f>Ringkasan!AB967</f>
        <v>Energy</v>
      </c>
    </row>
    <row r="969" hidden="1">
      <c r="A969" s="64" t="str">
        <f>Ringkasan!A968</f>
        <v>ITMG</v>
      </c>
      <c r="B969" s="64" t="str">
        <f>Ringkasan!B968</f>
        <v>Indo Tambangraya Megah Tbk.</v>
      </c>
      <c r="C969" s="65">
        <f>Ringkasan!C968</f>
        <v>23475</v>
      </c>
      <c r="D969" s="64" t="str">
        <f>Ringkasan!D968</f>
        <v>#N/A</v>
      </c>
      <c r="E969" s="64" t="str">
        <f>Ringkasan!E968</f>
        <v>IDXSHAGROW</v>
      </c>
      <c r="F969" s="66">
        <f>Ringkasan!F968</f>
        <v>46356</v>
      </c>
      <c r="G969" s="64">
        <f>Ringkasan!G968</f>
        <v>12</v>
      </c>
      <c r="H969" s="19">
        <f>Ringkasan!H968</f>
        <v>8.2</v>
      </c>
      <c r="I969" s="19">
        <f>Ringkasan!I968</f>
        <v>0.76</v>
      </c>
      <c r="J969" s="19">
        <f>Ringkasan!J968</f>
        <v>9.3</v>
      </c>
      <c r="K969" s="19">
        <f>Ringkasan!K968</f>
        <v>7.5</v>
      </c>
      <c r="L969" s="19">
        <f>Ringkasan!L968</f>
        <v>0.25</v>
      </c>
      <c r="M969" s="19">
        <f>Ringkasan!M968</f>
        <v>36.2</v>
      </c>
      <c r="N969" s="64" t="str">
        <f>Ringkasan!N968</f>
        <v/>
      </c>
      <c r="O969" s="64" t="str">
        <f>Ringkasan!O968</f>
        <v/>
      </c>
      <c r="P969" s="64" t="str">
        <f>Ringkasan!P968</f>
        <v/>
      </c>
      <c r="Q969" s="64" t="str">
        <f>Ringkasan!Q968</f>
        <v/>
      </c>
      <c r="R969" s="64" t="str">
        <f>Ringkasan!R968</f>
        <v/>
      </c>
      <c r="S969" s="64" t="str">
        <f>Ringkasan!S968</f>
        <v/>
      </c>
      <c r="T969" s="64" t="str">
        <f>Ringkasan!T968</f>
        <v/>
      </c>
      <c r="U969" s="64">
        <f>Ringkasan!U968</f>
        <v>22350</v>
      </c>
      <c r="V969" s="64">
        <f>Ringkasan!V968</f>
        <v>5.03</v>
      </c>
      <c r="W969" s="64">
        <f>Ringkasan!W968</f>
        <v>22375</v>
      </c>
      <c r="X969" s="64">
        <f>Ringkasan!X968</f>
        <v>23775</v>
      </c>
      <c r="Y969" s="64">
        <f>Ringkasan!Y968</f>
        <v>22375</v>
      </c>
      <c r="Z969" s="64">
        <f>Ringkasan!Z968</f>
        <v>2791300</v>
      </c>
      <c r="AA969" s="64" t="str">
        <f>Ringkasan!AA968</f>
        <v>Coal</v>
      </c>
      <c r="AB969" s="64" t="str">
        <f>Ringkasan!AB968</f>
        <v>Energy</v>
      </c>
    </row>
    <row r="970" hidden="1">
      <c r="A970" s="64" t="str">
        <f>Ringkasan!A969</f>
        <v>ITMG</v>
      </c>
      <c r="B970" s="64" t="str">
        <f>Ringkasan!B969</f>
        <v>Indo Tambangraya Megah Tbk.</v>
      </c>
      <c r="C970" s="65">
        <f>Ringkasan!C969</f>
        <v>23475</v>
      </c>
      <c r="D970" s="64" t="str">
        <f>Ringkasan!D969</f>
        <v>#N/A</v>
      </c>
      <c r="E970" s="64" t="str">
        <f>Ringkasan!E969</f>
        <v>Investor33</v>
      </c>
      <c r="F970" s="66">
        <f>Ringkasan!F969</f>
        <v>46356</v>
      </c>
      <c r="G970" s="64">
        <f>Ringkasan!G969</f>
        <v>12</v>
      </c>
      <c r="H970" s="19">
        <f>Ringkasan!H969</f>
        <v>8.2</v>
      </c>
      <c r="I970" s="19">
        <f>Ringkasan!I969</f>
        <v>0.76</v>
      </c>
      <c r="J970" s="19">
        <f>Ringkasan!J969</f>
        <v>9.3</v>
      </c>
      <c r="K970" s="19">
        <f>Ringkasan!K969</f>
        <v>7.5</v>
      </c>
      <c r="L970" s="19">
        <f>Ringkasan!L969</f>
        <v>0.25</v>
      </c>
      <c r="M970" s="19">
        <f>Ringkasan!M969</f>
        <v>36.2</v>
      </c>
      <c r="N970" s="64" t="str">
        <f>Ringkasan!N969</f>
        <v/>
      </c>
      <c r="O970" s="64" t="str">
        <f>Ringkasan!O969</f>
        <v/>
      </c>
      <c r="P970" s="64" t="str">
        <f>Ringkasan!P969</f>
        <v/>
      </c>
      <c r="Q970" s="64" t="str">
        <f>Ringkasan!Q969</f>
        <v/>
      </c>
      <c r="R970" s="64" t="str">
        <f>Ringkasan!R969</f>
        <v/>
      </c>
      <c r="S970" s="64" t="str">
        <f>Ringkasan!S969</f>
        <v/>
      </c>
      <c r="T970" s="64" t="str">
        <f>Ringkasan!T969</f>
        <v/>
      </c>
      <c r="U970" s="64">
        <f>Ringkasan!U969</f>
        <v>22350</v>
      </c>
      <c r="V970" s="64">
        <f>Ringkasan!V969</f>
        <v>5.03</v>
      </c>
      <c r="W970" s="64">
        <f>Ringkasan!W969</f>
        <v>22375</v>
      </c>
      <c r="X970" s="64">
        <f>Ringkasan!X969</f>
        <v>23775</v>
      </c>
      <c r="Y970" s="64">
        <f>Ringkasan!Y969</f>
        <v>22375</v>
      </c>
      <c r="Z970" s="64">
        <f>Ringkasan!Z969</f>
        <v>2791300</v>
      </c>
      <c r="AA970" s="64" t="str">
        <f>Ringkasan!AA969</f>
        <v>Coal</v>
      </c>
      <c r="AB970" s="64" t="str">
        <f>Ringkasan!AB969</f>
        <v>Energy</v>
      </c>
    </row>
    <row r="971" hidden="1">
      <c r="A971" s="64" t="str">
        <f>Ringkasan!A970</f>
        <v>ITMG</v>
      </c>
      <c r="B971" s="64" t="str">
        <f>Ringkasan!B970</f>
        <v>Indo Tambangraya Megah Tbk.</v>
      </c>
      <c r="C971" s="65">
        <f>Ringkasan!C970</f>
        <v>23475</v>
      </c>
      <c r="D971" s="64" t="str">
        <f>Ringkasan!D970</f>
        <v>#N/A</v>
      </c>
      <c r="E971" s="64" t="str">
        <f>Ringkasan!E970</f>
        <v>IDXG30</v>
      </c>
      <c r="F971" s="64" t="str">
        <f>Ringkasan!F970</f>
        <v>4 Agustus 2026</v>
      </c>
      <c r="G971" s="64">
        <f>Ringkasan!G970</f>
        <v>12</v>
      </c>
      <c r="H971" s="19">
        <f>Ringkasan!H970</f>
        <v>8.2</v>
      </c>
      <c r="I971" s="19">
        <f>Ringkasan!I970</f>
        <v>0.76</v>
      </c>
      <c r="J971" s="19">
        <f>Ringkasan!J970</f>
        <v>9.3</v>
      </c>
      <c r="K971" s="19">
        <f>Ringkasan!K970</f>
        <v>7.5</v>
      </c>
      <c r="L971" s="19">
        <f>Ringkasan!L970</f>
        <v>0.25</v>
      </c>
      <c r="M971" s="19">
        <f>Ringkasan!M970</f>
        <v>36.2</v>
      </c>
      <c r="N971" s="64" t="str">
        <f>Ringkasan!N970</f>
        <v/>
      </c>
      <c r="O971" s="64" t="str">
        <f>Ringkasan!O970</f>
        <v/>
      </c>
      <c r="P971" s="64" t="str">
        <f>Ringkasan!P970</f>
        <v/>
      </c>
      <c r="Q971" s="64" t="str">
        <f>Ringkasan!Q970</f>
        <v/>
      </c>
      <c r="R971" s="64" t="str">
        <f>Ringkasan!R970</f>
        <v/>
      </c>
      <c r="S971" s="64" t="str">
        <f>Ringkasan!S970</f>
        <v/>
      </c>
      <c r="T971" s="64" t="str">
        <f>Ringkasan!T970</f>
        <v/>
      </c>
      <c r="U971" s="64">
        <f>Ringkasan!U970</f>
        <v>22350</v>
      </c>
      <c r="V971" s="64">
        <f>Ringkasan!V970</f>
        <v>5.03</v>
      </c>
      <c r="W971" s="64">
        <f>Ringkasan!W970</f>
        <v>22375</v>
      </c>
      <c r="X971" s="64">
        <f>Ringkasan!X970</f>
        <v>23775</v>
      </c>
      <c r="Y971" s="64">
        <f>Ringkasan!Y970</f>
        <v>22375</v>
      </c>
      <c r="Z971" s="64">
        <f>Ringkasan!Z970</f>
        <v>2791300</v>
      </c>
      <c r="AA971" s="64" t="str">
        <f>Ringkasan!AA970</f>
        <v>Coal</v>
      </c>
      <c r="AB971" s="64" t="str">
        <f>Ringkasan!AB970</f>
        <v>Energy</v>
      </c>
    </row>
    <row r="972" hidden="1">
      <c r="A972" s="64" t="str">
        <f>Ringkasan!A971</f>
        <v>ITMG</v>
      </c>
      <c r="B972" s="64" t="str">
        <f>Ringkasan!B971</f>
        <v>Indo Tambangraya Megah Tbk.</v>
      </c>
      <c r="C972" s="65">
        <f>Ringkasan!C971</f>
        <v>23475</v>
      </c>
      <c r="D972" s="64" t="str">
        <f>Ringkasan!D971</f>
        <v>#N/A</v>
      </c>
      <c r="E972" s="64" t="str">
        <f>Ringkasan!E971</f>
        <v>IDX80</v>
      </c>
      <c r="F972" s="64" t="str">
        <f>Ringkasan!F971</f>
        <v>31 Juli 2026</v>
      </c>
      <c r="G972" s="64">
        <f>Ringkasan!G971</f>
        <v>12</v>
      </c>
      <c r="H972" s="19">
        <f>Ringkasan!H971</f>
        <v>8.2</v>
      </c>
      <c r="I972" s="19">
        <f>Ringkasan!I971</f>
        <v>0.76</v>
      </c>
      <c r="J972" s="19">
        <f>Ringkasan!J971</f>
        <v>9.3</v>
      </c>
      <c r="K972" s="19">
        <f>Ringkasan!K971</f>
        <v>7.5</v>
      </c>
      <c r="L972" s="19">
        <f>Ringkasan!L971</f>
        <v>0.25</v>
      </c>
      <c r="M972" s="19">
        <f>Ringkasan!M971</f>
        <v>36.2</v>
      </c>
      <c r="N972" s="64" t="str">
        <f>Ringkasan!N971</f>
        <v/>
      </c>
      <c r="O972" s="64" t="str">
        <f>Ringkasan!O971</f>
        <v/>
      </c>
      <c r="P972" s="64" t="str">
        <f>Ringkasan!P971</f>
        <v/>
      </c>
      <c r="Q972" s="64" t="str">
        <f>Ringkasan!Q971</f>
        <v/>
      </c>
      <c r="R972" s="64" t="str">
        <f>Ringkasan!R971</f>
        <v/>
      </c>
      <c r="S972" s="64" t="str">
        <f>Ringkasan!S971</f>
        <v/>
      </c>
      <c r="T972" s="64" t="str">
        <f>Ringkasan!T971</f>
        <v/>
      </c>
      <c r="U972" s="64">
        <f>Ringkasan!U971</f>
        <v>22350</v>
      </c>
      <c r="V972" s="64">
        <f>Ringkasan!V971</f>
        <v>5.03</v>
      </c>
      <c r="W972" s="64">
        <f>Ringkasan!W971</f>
        <v>22375</v>
      </c>
      <c r="X972" s="64">
        <f>Ringkasan!X971</f>
        <v>23775</v>
      </c>
      <c r="Y972" s="64">
        <f>Ringkasan!Y971</f>
        <v>22375</v>
      </c>
      <c r="Z972" s="64">
        <f>Ringkasan!Z971</f>
        <v>2791300</v>
      </c>
      <c r="AA972" s="64" t="str">
        <f>Ringkasan!AA971</f>
        <v>Coal</v>
      </c>
      <c r="AB972" s="64" t="str">
        <f>Ringkasan!AB971</f>
        <v>Energy</v>
      </c>
    </row>
    <row r="973" hidden="1">
      <c r="A973" s="64" t="str">
        <f>Ringkasan!A972</f>
        <v>ITMG</v>
      </c>
      <c r="B973" s="64" t="str">
        <f>Ringkasan!B972</f>
        <v>Indo Tambangraya Megah Tbk.</v>
      </c>
      <c r="C973" s="65">
        <f>Ringkasan!C972</f>
        <v>23475</v>
      </c>
      <c r="D973" s="64" t="str">
        <f>Ringkasan!D972</f>
        <v>#N/A</v>
      </c>
      <c r="E973" s="64" t="str">
        <f>Ringkasan!E972</f>
        <v>IDXHIDIV20</v>
      </c>
      <c r="F973" s="64" t="str">
        <f>Ringkasan!F972</f>
        <v>2 Februari 2027</v>
      </c>
      <c r="G973" s="64">
        <f>Ringkasan!G972</f>
        <v>12</v>
      </c>
      <c r="H973" s="19">
        <f>Ringkasan!H972</f>
        <v>8.2</v>
      </c>
      <c r="I973" s="19">
        <f>Ringkasan!I972</f>
        <v>0.76</v>
      </c>
      <c r="J973" s="19">
        <f>Ringkasan!J972</f>
        <v>9.3</v>
      </c>
      <c r="K973" s="19">
        <f>Ringkasan!K972</f>
        <v>7.5</v>
      </c>
      <c r="L973" s="19">
        <f>Ringkasan!L972</f>
        <v>0.25</v>
      </c>
      <c r="M973" s="19">
        <f>Ringkasan!M972</f>
        <v>36.2</v>
      </c>
      <c r="N973" s="64" t="str">
        <f>Ringkasan!N972</f>
        <v/>
      </c>
      <c r="O973" s="64" t="str">
        <f>Ringkasan!O972</f>
        <v/>
      </c>
      <c r="P973" s="64" t="str">
        <f>Ringkasan!P972</f>
        <v/>
      </c>
      <c r="Q973" s="64" t="str">
        <f>Ringkasan!Q972</f>
        <v/>
      </c>
      <c r="R973" s="64" t="str">
        <f>Ringkasan!R972</f>
        <v/>
      </c>
      <c r="S973" s="64" t="str">
        <f>Ringkasan!S972</f>
        <v/>
      </c>
      <c r="T973" s="64" t="str">
        <f>Ringkasan!T972</f>
        <v/>
      </c>
      <c r="U973" s="64">
        <f>Ringkasan!U972</f>
        <v>22350</v>
      </c>
      <c r="V973" s="64">
        <f>Ringkasan!V972</f>
        <v>5.03</v>
      </c>
      <c r="W973" s="64">
        <f>Ringkasan!W972</f>
        <v>22375</v>
      </c>
      <c r="X973" s="64">
        <f>Ringkasan!X972</f>
        <v>23775</v>
      </c>
      <c r="Y973" s="64">
        <f>Ringkasan!Y972</f>
        <v>22375</v>
      </c>
      <c r="Z973" s="64">
        <f>Ringkasan!Z972</f>
        <v>2791300</v>
      </c>
      <c r="AA973" s="64" t="str">
        <f>Ringkasan!AA972</f>
        <v>Coal</v>
      </c>
      <c r="AB973" s="64" t="str">
        <f>Ringkasan!AB972</f>
        <v>Energy</v>
      </c>
    </row>
    <row r="974" hidden="1">
      <c r="A974" s="64" t="str">
        <f>Ringkasan!A973</f>
        <v>ITMG</v>
      </c>
      <c r="B974" s="64" t="str">
        <f>Ringkasan!B973</f>
        <v>Indo Tambangraya Megah Tbk.</v>
      </c>
      <c r="C974" s="65">
        <f>Ringkasan!C973</f>
        <v>23475</v>
      </c>
      <c r="D974" s="64" t="str">
        <f>Ringkasan!D973</f>
        <v>#N/A</v>
      </c>
      <c r="E974" s="64" t="str">
        <f>Ringkasan!E973</f>
        <v>IDXVESTA28</v>
      </c>
      <c r="F974" s="64" t="str">
        <f>Ringkasan!F973</f>
        <v>31 Agustus 2026</v>
      </c>
      <c r="G974" s="64">
        <f>Ringkasan!G973</f>
        <v>12</v>
      </c>
      <c r="H974" s="19">
        <f>Ringkasan!H973</f>
        <v>8.2</v>
      </c>
      <c r="I974" s="19">
        <f>Ringkasan!I973</f>
        <v>0.76</v>
      </c>
      <c r="J974" s="19">
        <f>Ringkasan!J973</f>
        <v>9.3</v>
      </c>
      <c r="K974" s="19">
        <f>Ringkasan!K973</f>
        <v>7.5</v>
      </c>
      <c r="L974" s="19">
        <f>Ringkasan!L973</f>
        <v>0.25</v>
      </c>
      <c r="M974" s="19">
        <f>Ringkasan!M973</f>
        <v>36.2</v>
      </c>
      <c r="N974" s="64" t="str">
        <f>Ringkasan!N973</f>
        <v/>
      </c>
      <c r="O974" s="64" t="str">
        <f>Ringkasan!O973</f>
        <v/>
      </c>
      <c r="P974" s="64" t="str">
        <f>Ringkasan!P973</f>
        <v/>
      </c>
      <c r="Q974" s="64" t="str">
        <f>Ringkasan!Q973</f>
        <v/>
      </c>
      <c r="R974" s="64" t="str">
        <f>Ringkasan!R973</f>
        <v/>
      </c>
      <c r="S974" s="64" t="str">
        <f>Ringkasan!S973</f>
        <v/>
      </c>
      <c r="T974" s="64" t="str">
        <f>Ringkasan!T973</f>
        <v/>
      </c>
      <c r="U974" s="64">
        <f>Ringkasan!U973</f>
        <v>22350</v>
      </c>
      <c r="V974" s="64">
        <f>Ringkasan!V973</f>
        <v>5.03</v>
      </c>
      <c r="W974" s="64">
        <f>Ringkasan!W973</f>
        <v>22375</v>
      </c>
      <c r="X974" s="64">
        <f>Ringkasan!X973</f>
        <v>23775</v>
      </c>
      <c r="Y974" s="64">
        <f>Ringkasan!Y973</f>
        <v>22375</v>
      </c>
      <c r="Z974" s="64">
        <f>Ringkasan!Z973</f>
        <v>2791300</v>
      </c>
      <c r="AA974" s="64" t="str">
        <f>Ringkasan!AA973</f>
        <v>Coal</v>
      </c>
      <c r="AB974" s="64" t="str">
        <f>Ringkasan!AB973</f>
        <v>Energy</v>
      </c>
    </row>
    <row r="975" hidden="1">
      <c r="A975" s="64" t="str">
        <f>Ringkasan!A974</f>
        <v>ITMG</v>
      </c>
      <c r="B975" s="64" t="str">
        <f>Ringkasan!B974</f>
        <v>Indo Tambangraya Megah Tbk.</v>
      </c>
      <c r="C975" s="65">
        <f>Ringkasan!C974</f>
        <v>23475</v>
      </c>
      <c r="D975" s="64" t="str">
        <f>Ringkasan!D974</f>
        <v>#N/A</v>
      </c>
      <c r="E975" s="64" t="str">
        <f>Ringkasan!E974</f>
        <v>LQ45</v>
      </c>
      <c r="F975" s="64" t="str">
        <f>Ringkasan!F974</f>
        <v>31 Juli 2026</v>
      </c>
      <c r="G975" s="64">
        <f>Ringkasan!G974</f>
        <v>12</v>
      </c>
      <c r="H975" s="19">
        <f>Ringkasan!H974</f>
        <v>8.2</v>
      </c>
      <c r="I975" s="19">
        <f>Ringkasan!I974</f>
        <v>0.76</v>
      </c>
      <c r="J975" s="19">
        <f>Ringkasan!J974</f>
        <v>9.3</v>
      </c>
      <c r="K975" s="19">
        <f>Ringkasan!K974</f>
        <v>7.5</v>
      </c>
      <c r="L975" s="19">
        <f>Ringkasan!L974</f>
        <v>0.25</v>
      </c>
      <c r="M975" s="19">
        <f>Ringkasan!M974</f>
        <v>36.2</v>
      </c>
      <c r="N975" s="64" t="str">
        <f>Ringkasan!N974</f>
        <v/>
      </c>
      <c r="O975" s="64" t="str">
        <f>Ringkasan!O974</f>
        <v/>
      </c>
      <c r="P975" s="64" t="str">
        <f>Ringkasan!P974</f>
        <v/>
      </c>
      <c r="Q975" s="64" t="str">
        <f>Ringkasan!Q974</f>
        <v/>
      </c>
      <c r="R975" s="64" t="str">
        <f>Ringkasan!R974</f>
        <v/>
      </c>
      <c r="S975" s="64" t="str">
        <f>Ringkasan!S974</f>
        <v/>
      </c>
      <c r="T975" s="64" t="str">
        <f>Ringkasan!T974</f>
        <v/>
      </c>
      <c r="U975" s="64">
        <f>Ringkasan!U974</f>
        <v>22350</v>
      </c>
      <c r="V975" s="64">
        <f>Ringkasan!V974</f>
        <v>5.03</v>
      </c>
      <c r="W975" s="64">
        <f>Ringkasan!W974</f>
        <v>22375</v>
      </c>
      <c r="X975" s="64">
        <f>Ringkasan!X974</f>
        <v>23775</v>
      </c>
      <c r="Y975" s="64">
        <f>Ringkasan!Y974</f>
        <v>22375</v>
      </c>
      <c r="Z975" s="64">
        <f>Ringkasan!Z974</f>
        <v>2791300</v>
      </c>
      <c r="AA975" s="64" t="str">
        <f>Ringkasan!AA974</f>
        <v>Coal</v>
      </c>
      <c r="AB975" s="64" t="str">
        <f>Ringkasan!AB974</f>
        <v>Energy</v>
      </c>
    </row>
    <row r="976" hidden="1">
      <c r="A976" s="64" t="str">
        <f>Ringkasan!A975</f>
        <v>ITMG</v>
      </c>
      <c r="B976" s="64" t="str">
        <f>Ringkasan!B975</f>
        <v>Indo Tambangraya Megah Tbk.</v>
      </c>
      <c r="C976" s="65">
        <f>Ringkasan!C975</f>
        <v>23475</v>
      </c>
      <c r="D976" s="64" t="str">
        <f>Ringkasan!D975</f>
        <v>#N/A</v>
      </c>
      <c r="E976" s="64" t="str">
        <f>Ringkasan!E975</f>
        <v>Kompas100</v>
      </c>
      <c r="F976" s="64" t="str">
        <f>Ringkasan!F975</f>
        <v>31 Juli 2026</v>
      </c>
      <c r="G976" s="64">
        <f>Ringkasan!G975</f>
        <v>12</v>
      </c>
      <c r="H976" s="19">
        <f>Ringkasan!H975</f>
        <v>8.2</v>
      </c>
      <c r="I976" s="19">
        <f>Ringkasan!I975</f>
        <v>0.76</v>
      </c>
      <c r="J976" s="19">
        <f>Ringkasan!J975</f>
        <v>9.3</v>
      </c>
      <c r="K976" s="19">
        <f>Ringkasan!K975</f>
        <v>7.5</v>
      </c>
      <c r="L976" s="19">
        <f>Ringkasan!L975</f>
        <v>0.25</v>
      </c>
      <c r="M976" s="19">
        <f>Ringkasan!M975</f>
        <v>36.2</v>
      </c>
      <c r="N976" s="64" t="str">
        <f>Ringkasan!N975</f>
        <v/>
      </c>
      <c r="O976" s="64" t="str">
        <f>Ringkasan!O975</f>
        <v/>
      </c>
      <c r="P976" s="64" t="str">
        <f>Ringkasan!P975</f>
        <v/>
      </c>
      <c r="Q976" s="64" t="str">
        <f>Ringkasan!Q975</f>
        <v/>
      </c>
      <c r="R976" s="64" t="str">
        <f>Ringkasan!R975</f>
        <v/>
      </c>
      <c r="S976" s="64" t="str">
        <f>Ringkasan!S975</f>
        <v/>
      </c>
      <c r="T976" s="64" t="str">
        <f>Ringkasan!T975</f>
        <v/>
      </c>
      <c r="U976" s="64">
        <f>Ringkasan!U975</f>
        <v>22350</v>
      </c>
      <c r="V976" s="64">
        <f>Ringkasan!V975</f>
        <v>5.03</v>
      </c>
      <c r="W976" s="64">
        <f>Ringkasan!W975</f>
        <v>22375</v>
      </c>
      <c r="X976" s="64">
        <f>Ringkasan!X975</f>
        <v>23775</v>
      </c>
      <c r="Y976" s="64">
        <f>Ringkasan!Y975</f>
        <v>22375</v>
      </c>
      <c r="Z976" s="64">
        <f>Ringkasan!Z975</f>
        <v>2791300</v>
      </c>
      <c r="AA976" s="64" t="str">
        <f>Ringkasan!AA975</f>
        <v>Coal</v>
      </c>
      <c r="AB976" s="64" t="str">
        <f>Ringkasan!AB975</f>
        <v>Energy</v>
      </c>
    </row>
    <row r="977" hidden="1">
      <c r="A977" s="64" t="str">
        <f>Ringkasan!A976</f>
        <v>ITMG</v>
      </c>
      <c r="B977" s="64" t="str">
        <f>Ringkasan!B976</f>
        <v>Indo Tambangraya Megah Tbk.</v>
      </c>
      <c r="C977" s="65">
        <f>Ringkasan!C976</f>
        <v>23475</v>
      </c>
      <c r="D977" s="64" t="str">
        <f>Ringkasan!D976</f>
        <v>#N/A</v>
      </c>
      <c r="E977" s="64" t="str">
        <f>Ringkasan!E976</f>
        <v>IDXV30</v>
      </c>
      <c r="F977" s="64" t="str">
        <f>Ringkasan!F976</f>
        <v>4 Agustus 2026</v>
      </c>
      <c r="G977" s="64">
        <f>Ringkasan!G976</f>
        <v>12</v>
      </c>
      <c r="H977" s="19">
        <f>Ringkasan!H976</f>
        <v>8.2</v>
      </c>
      <c r="I977" s="19">
        <f>Ringkasan!I976</f>
        <v>0.76</v>
      </c>
      <c r="J977" s="19">
        <f>Ringkasan!J976</f>
        <v>9.3</v>
      </c>
      <c r="K977" s="19">
        <f>Ringkasan!K976</f>
        <v>7.5</v>
      </c>
      <c r="L977" s="19">
        <f>Ringkasan!L976</f>
        <v>0.25</v>
      </c>
      <c r="M977" s="19">
        <f>Ringkasan!M976</f>
        <v>36.2</v>
      </c>
      <c r="N977" s="64" t="str">
        <f>Ringkasan!N976</f>
        <v/>
      </c>
      <c r="O977" s="64" t="str">
        <f>Ringkasan!O976</f>
        <v/>
      </c>
      <c r="P977" s="64" t="str">
        <f>Ringkasan!P976</f>
        <v/>
      </c>
      <c r="Q977" s="64" t="str">
        <f>Ringkasan!Q976</f>
        <v/>
      </c>
      <c r="R977" s="64" t="str">
        <f>Ringkasan!R976</f>
        <v/>
      </c>
      <c r="S977" s="64" t="str">
        <f>Ringkasan!S976</f>
        <v/>
      </c>
      <c r="T977" s="64" t="str">
        <f>Ringkasan!T976</f>
        <v/>
      </c>
      <c r="U977" s="64">
        <f>Ringkasan!U976</f>
        <v>22350</v>
      </c>
      <c r="V977" s="64">
        <f>Ringkasan!V976</f>
        <v>5.03</v>
      </c>
      <c r="W977" s="64">
        <f>Ringkasan!W976</f>
        <v>22375</v>
      </c>
      <c r="X977" s="64">
        <f>Ringkasan!X976</f>
        <v>23775</v>
      </c>
      <c r="Y977" s="64">
        <f>Ringkasan!Y976</f>
        <v>22375</v>
      </c>
      <c r="Z977" s="64">
        <f>Ringkasan!Z976</f>
        <v>2791300</v>
      </c>
      <c r="AA977" s="64" t="str">
        <f>Ringkasan!AA976</f>
        <v>Coal</v>
      </c>
      <c r="AB977" s="64" t="str">
        <f>Ringkasan!AB976</f>
        <v>Energy</v>
      </c>
    </row>
    <row r="978" hidden="1">
      <c r="A978" s="64" t="str">
        <f>Ringkasan!A977</f>
        <v>ITMG</v>
      </c>
      <c r="B978" s="64" t="str">
        <f>Ringkasan!B977</f>
        <v>Indo Tambangraya Megah Tbk.</v>
      </c>
      <c r="C978" s="65">
        <f>Ringkasan!C977</f>
        <v>23475</v>
      </c>
      <c r="D978" s="64" t="str">
        <f>Ringkasan!D977</f>
        <v>#N/A</v>
      </c>
      <c r="E978" s="64" t="str">
        <f>Ringkasan!E977</f>
        <v>IDXSMC-LIQ</v>
      </c>
      <c r="F978" s="64" t="str">
        <f>Ringkasan!F977</f>
        <v>4 Agustus 2026</v>
      </c>
      <c r="G978" s="64">
        <f>Ringkasan!G977</f>
        <v>12</v>
      </c>
      <c r="H978" s="19">
        <f>Ringkasan!H977</f>
        <v>8.2</v>
      </c>
      <c r="I978" s="19">
        <f>Ringkasan!I977</f>
        <v>0.76</v>
      </c>
      <c r="J978" s="19">
        <f>Ringkasan!J977</f>
        <v>9.3</v>
      </c>
      <c r="K978" s="19">
        <f>Ringkasan!K977</f>
        <v>7.5</v>
      </c>
      <c r="L978" s="19">
        <f>Ringkasan!L977</f>
        <v>0.25</v>
      </c>
      <c r="M978" s="19">
        <f>Ringkasan!M977</f>
        <v>36.2</v>
      </c>
      <c r="N978" s="64" t="str">
        <f>Ringkasan!N977</f>
        <v/>
      </c>
      <c r="O978" s="64" t="str">
        <f>Ringkasan!O977</f>
        <v/>
      </c>
      <c r="P978" s="64" t="str">
        <f>Ringkasan!P977</f>
        <v/>
      </c>
      <c r="Q978" s="64" t="str">
        <f>Ringkasan!Q977</f>
        <v/>
      </c>
      <c r="R978" s="64" t="str">
        <f>Ringkasan!R977</f>
        <v/>
      </c>
      <c r="S978" s="64" t="str">
        <f>Ringkasan!S977</f>
        <v/>
      </c>
      <c r="T978" s="64" t="str">
        <f>Ringkasan!T977</f>
        <v/>
      </c>
      <c r="U978" s="64">
        <f>Ringkasan!U977</f>
        <v>22350</v>
      </c>
      <c r="V978" s="64">
        <f>Ringkasan!V977</f>
        <v>5.03</v>
      </c>
      <c r="W978" s="64">
        <f>Ringkasan!W977</f>
        <v>22375</v>
      </c>
      <c r="X978" s="64">
        <f>Ringkasan!X977</f>
        <v>23775</v>
      </c>
      <c r="Y978" s="64">
        <f>Ringkasan!Y977</f>
        <v>22375</v>
      </c>
      <c r="Z978" s="64">
        <f>Ringkasan!Z977</f>
        <v>2791300</v>
      </c>
      <c r="AA978" s="64" t="str">
        <f>Ringkasan!AA977</f>
        <v>Coal</v>
      </c>
      <c r="AB978" s="64" t="str">
        <f>Ringkasan!AB977</f>
        <v>Energy</v>
      </c>
    </row>
    <row r="979" hidden="1">
      <c r="A979" s="64" t="str">
        <f>Ringkasan!A978</f>
        <v>ITMG</v>
      </c>
      <c r="B979" s="64" t="str">
        <f>Ringkasan!B978</f>
        <v>Indo Tambangraya Megah Tbk.</v>
      </c>
      <c r="C979" s="65">
        <f>Ringkasan!C978</f>
        <v>23475</v>
      </c>
      <c r="D979" s="64" t="str">
        <f>Ringkasan!D978</f>
        <v>#N/A</v>
      </c>
      <c r="E979" s="64" t="str">
        <f>Ringkasan!E978</f>
        <v>MSCI Small Cap</v>
      </c>
      <c r="F979" s="64" t="str">
        <f>Ringkasan!F978</f>
        <v>12 Agustus 2026</v>
      </c>
      <c r="G979" s="64">
        <f>Ringkasan!G978</f>
        <v>12</v>
      </c>
      <c r="H979" s="19">
        <f>Ringkasan!H978</f>
        <v>8.2</v>
      </c>
      <c r="I979" s="19">
        <f>Ringkasan!I978</f>
        <v>0.76</v>
      </c>
      <c r="J979" s="19">
        <f>Ringkasan!J978</f>
        <v>9.3</v>
      </c>
      <c r="K979" s="19">
        <f>Ringkasan!K978</f>
        <v>7.5</v>
      </c>
      <c r="L979" s="19">
        <f>Ringkasan!L978</f>
        <v>0.25</v>
      </c>
      <c r="M979" s="19">
        <f>Ringkasan!M978</f>
        <v>36.2</v>
      </c>
      <c r="N979" s="64" t="str">
        <f>Ringkasan!N978</f>
        <v/>
      </c>
      <c r="O979" s="64" t="str">
        <f>Ringkasan!O978</f>
        <v/>
      </c>
      <c r="P979" s="64" t="str">
        <f>Ringkasan!P978</f>
        <v/>
      </c>
      <c r="Q979" s="64" t="str">
        <f>Ringkasan!Q978</f>
        <v/>
      </c>
      <c r="R979" s="64" t="str">
        <f>Ringkasan!R978</f>
        <v/>
      </c>
      <c r="S979" s="64" t="str">
        <f>Ringkasan!S978</f>
        <v/>
      </c>
      <c r="T979" s="64" t="str">
        <f>Ringkasan!T978</f>
        <v/>
      </c>
      <c r="U979" s="64">
        <f>Ringkasan!U978</f>
        <v>22350</v>
      </c>
      <c r="V979" s="64">
        <f>Ringkasan!V978</f>
        <v>5.03</v>
      </c>
      <c r="W979" s="64">
        <f>Ringkasan!W978</f>
        <v>22375</v>
      </c>
      <c r="X979" s="64">
        <f>Ringkasan!X978</f>
        <v>23775</v>
      </c>
      <c r="Y979" s="64">
        <f>Ringkasan!Y978</f>
        <v>22375</v>
      </c>
      <c r="Z979" s="64">
        <f>Ringkasan!Z978</f>
        <v>2791300</v>
      </c>
      <c r="AA979" s="64" t="str">
        <f>Ringkasan!AA978</f>
        <v>Coal</v>
      </c>
      <c r="AB979" s="64" t="str">
        <f>Ringkasan!AB978</f>
        <v>Energy</v>
      </c>
    </row>
    <row r="980" hidden="1">
      <c r="A980" s="64" t="str">
        <f>Ringkasan!A979</f>
        <v>ITMG</v>
      </c>
      <c r="B980" s="64" t="str">
        <f>Ringkasan!B979</f>
        <v>Indo Tambangraya Megah Tbk.</v>
      </c>
      <c r="C980" s="65">
        <f>Ringkasan!C979</f>
        <v>23475</v>
      </c>
      <c r="D980" s="64" t="str">
        <f>Ringkasan!D979</f>
        <v>#N/A</v>
      </c>
      <c r="E980" s="64" t="str">
        <f>Ringkasan!E979</f>
        <v>JII70</v>
      </c>
      <c r="F980" s="66">
        <f>Ringkasan!F979</f>
        <v>46356</v>
      </c>
      <c r="G980" s="64">
        <f>Ringkasan!G979</f>
        <v>12</v>
      </c>
      <c r="H980" s="19">
        <f>Ringkasan!H979</f>
        <v>8.2</v>
      </c>
      <c r="I980" s="19">
        <f>Ringkasan!I979</f>
        <v>0.76</v>
      </c>
      <c r="J980" s="19">
        <f>Ringkasan!J979</f>
        <v>9.3</v>
      </c>
      <c r="K980" s="19">
        <f>Ringkasan!K979</f>
        <v>7.5</v>
      </c>
      <c r="L980" s="19">
        <f>Ringkasan!L979</f>
        <v>0.25</v>
      </c>
      <c r="M980" s="19">
        <f>Ringkasan!M979</f>
        <v>36.2</v>
      </c>
      <c r="N980" s="64" t="str">
        <f>Ringkasan!N979</f>
        <v/>
      </c>
      <c r="O980" s="64" t="str">
        <f>Ringkasan!O979</f>
        <v/>
      </c>
      <c r="P980" s="64" t="str">
        <f>Ringkasan!P979</f>
        <v/>
      </c>
      <c r="Q980" s="64" t="str">
        <f>Ringkasan!Q979</f>
        <v/>
      </c>
      <c r="R980" s="64" t="str">
        <f>Ringkasan!R979</f>
        <v/>
      </c>
      <c r="S980" s="64" t="str">
        <f>Ringkasan!S979</f>
        <v/>
      </c>
      <c r="T980" s="64" t="str">
        <f>Ringkasan!T979</f>
        <v/>
      </c>
      <c r="U980" s="64">
        <f>Ringkasan!U979</f>
        <v>22350</v>
      </c>
      <c r="V980" s="64">
        <f>Ringkasan!V979</f>
        <v>5.03</v>
      </c>
      <c r="W980" s="64">
        <f>Ringkasan!W979</f>
        <v>22375</v>
      </c>
      <c r="X980" s="64">
        <f>Ringkasan!X979</f>
        <v>23775</v>
      </c>
      <c r="Y980" s="64">
        <f>Ringkasan!Y979</f>
        <v>22375</v>
      </c>
      <c r="Z980" s="64">
        <f>Ringkasan!Z979</f>
        <v>2791300</v>
      </c>
      <c r="AA980" s="64" t="str">
        <f>Ringkasan!AA979</f>
        <v>Coal</v>
      </c>
      <c r="AB980" s="64" t="str">
        <f>Ringkasan!AB979</f>
        <v>Energy</v>
      </c>
    </row>
    <row r="981" hidden="1">
      <c r="A981" s="64" t="str">
        <f>Ringkasan!A980</f>
        <v>JARR</v>
      </c>
      <c r="B981" s="64" t="str">
        <f>Ringkasan!B980</f>
        <v>Jhonlin Agro Raya Tbk.</v>
      </c>
      <c r="C981" s="65">
        <f>Ringkasan!C980</f>
        <v>1610</v>
      </c>
      <c r="D981" s="64" t="str">
        <f>Ringkasan!D980</f>
        <v>#N/A</v>
      </c>
      <c r="E981" s="64" t="str">
        <f>Ringkasan!E980</f>
        <v/>
      </c>
      <c r="F981" s="64" t="str">
        <f>Ringkasan!F980</f>
        <v/>
      </c>
      <c r="G981" s="64">
        <f>Ringkasan!G980</f>
        <v>0</v>
      </c>
      <c r="H981" s="19">
        <f>Ringkasan!H980</f>
        <v>59.6</v>
      </c>
      <c r="I981" s="19">
        <f>Ringkasan!I980</f>
        <v>7.6</v>
      </c>
      <c r="J981" s="19">
        <f>Ringkasan!J980</f>
        <v>12.8</v>
      </c>
      <c r="K981" s="19">
        <f>Ringkasan!K980</f>
        <v>6.3</v>
      </c>
      <c r="L981" s="19">
        <f>Ringkasan!L980</f>
        <v>1</v>
      </c>
      <c r="M981" s="19">
        <f>Ringkasan!M980</f>
        <v>32.2</v>
      </c>
      <c r="N981" s="64" t="str">
        <f>Ringkasan!N980</f>
        <v/>
      </c>
      <c r="O981" s="64" t="str">
        <f>Ringkasan!O980</f>
        <v/>
      </c>
      <c r="P981" s="64" t="str">
        <f>Ringkasan!P980</f>
        <v/>
      </c>
      <c r="Q981" s="64" t="str">
        <f>Ringkasan!Q980</f>
        <v/>
      </c>
      <c r="R981" s="64" t="str">
        <f>Ringkasan!R980</f>
        <v/>
      </c>
      <c r="S981" s="64" t="str">
        <f>Ringkasan!S980</f>
        <v/>
      </c>
      <c r="T981" s="64" t="str">
        <f>Ringkasan!T980</f>
        <v/>
      </c>
      <c r="U981" s="64">
        <f>Ringkasan!U980</f>
        <v>1515</v>
      </c>
      <c r="V981" s="64" t="str">
        <f>Ringkasan!V980</f>
        <v/>
      </c>
      <c r="W981" s="64">
        <f>Ringkasan!W980</f>
        <v>1520</v>
      </c>
      <c r="X981" s="64">
        <f>Ringkasan!X980</f>
        <v>1675</v>
      </c>
      <c r="Y981" s="64" t="str">
        <f>Ringkasan!Y980</f>
        <v/>
      </c>
      <c r="Z981" s="64">
        <f>Ringkasan!Z980</f>
        <v>1607200</v>
      </c>
      <c r="AA981" s="64" t="str">
        <f>Ringkasan!AA980</f>
        <v>Agricultural Products</v>
      </c>
      <c r="AB981" s="64" t="str">
        <f>Ringkasan!AB980</f>
        <v>Consumer Non-Cyclicals</v>
      </c>
    </row>
    <row r="982" hidden="1">
      <c r="A982" s="64" t="str">
        <f>Ringkasan!A981</f>
        <v>JAST</v>
      </c>
      <c r="B982" s="64" t="str">
        <f>Ringkasan!B981</f>
        <v>Jasnita Telekomindo Tbk.</v>
      </c>
      <c r="C982" s="65">
        <f>Ringkasan!C981</f>
        <v>80</v>
      </c>
      <c r="D982" s="64" t="str">
        <f>Ringkasan!D981</f>
        <v>#N/A</v>
      </c>
      <c r="E982" s="64" t="str">
        <f>Ringkasan!E981</f>
        <v/>
      </c>
      <c r="F982" s="64" t="str">
        <f>Ringkasan!F981</f>
        <v/>
      </c>
      <c r="G982" s="64">
        <f>Ringkasan!G981</f>
        <v>0</v>
      </c>
      <c r="H982" s="19">
        <f>Ringkasan!H981</f>
        <v>-26.2</v>
      </c>
      <c r="I982" s="19">
        <f>Ringkasan!I981</f>
        <v>1</v>
      </c>
      <c r="J982" s="19">
        <f>Ringkasan!J981</f>
        <v>-3.8</v>
      </c>
      <c r="K982" s="19">
        <f>Ringkasan!K981</f>
        <v>-2</v>
      </c>
      <c r="L982" s="19">
        <f>Ringkasan!L981</f>
        <v>0.9</v>
      </c>
      <c r="M982" s="19">
        <f>Ringkasan!M981</f>
        <v>-6.3</v>
      </c>
      <c r="N982" s="64" t="str">
        <f>Ringkasan!N981</f>
        <v/>
      </c>
      <c r="O982" s="64" t="str">
        <f>Ringkasan!O981</f>
        <v/>
      </c>
      <c r="P982" s="64" t="str">
        <f>Ringkasan!P981</f>
        <v/>
      </c>
      <c r="Q982" s="64" t="str">
        <f>Ringkasan!Q981</f>
        <v/>
      </c>
      <c r="R982" s="64" t="str">
        <f>Ringkasan!R981</f>
        <v/>
      </c>
      <c r="S982" s="64" t="str">
        <f>Ringkasan!S981</f>
        <v/>
      </c>
      <c r="T982" s="64" t="str">
        <f>Ringkasan!T981</f>
        <v/>
      </c>
      <c r="U982" s="64">
        <f>Ringkasan!U981</f>
        <v>73</v>
      </c>
      <c r="V982" s="64">
        <f>Ringkasan!V981</f>
        <v>9.59</v>
      </c>
      <c r="W982" s="64">
        <f>Ringkasan!W981</f>
        <v>73</v>
      </c>
      <c r="X982" s="64">
        <f>Ringkasan!X981</f>
        <v>81</v>
      </c>
      <c r="Y982" s="64">
        <f>Ringkasan!Y981</f>
        <v>73</v>
      </c>
      <c r="Z982" s="64">
        <f>Ringkasan!Z981</f>
        <v>10491700</v>
      </c>
      <c r="AA982" s="64" t="str">
        <f>Ringkasan!AA981</f>
        <v>Telecommunication Service</v>
      </c>
      <c r="AB982" s="64" t="str">
        <f>Ringkasan!AB981</f>
        <v>Infrastructures</v>
      </c>
    </row>
    <row r="983" hidden="1">
      <c r="A983" s="64" t="str">
        <f>Ringkasan!A982</f>
        <v>JATI</v>
      </c>
      <c r="B983" s="64" t="str">
        <f>Ringkasan!B982</f>
        <v>PT Informasi Teknologi Indonesia Tbk.</v>
      </c>
      <c r="C983" s="65">
        <f>Ringkasan!C982</f>
        <v>95</v>
      </c>
      <c r="D983" s="64" t="str">
        <f>Ringkasan!D982</f>
        <v>#N/A</v>
      </c>
      <c r="E983" s="64" t="str">
        <f>Ringkasan!E982</f>
        <v/>
      </c>
      <c r="F983" s="64" t="str">
        <f>Ringkasan!F982</f>
        <v/>
      </c>
      <c r="G983" s="64">
        <f>Ringkasan!G982</f>
        <v>0</v>
      </c>
      <c r="H983" s="19">
        <f>Ringkasan!H982</f>
        <v>18.2</v>
      </c>
      <c r="I983" s="19">
        <f>Ringkasan!I982</f>
        <v>1.9</v>
      </c>
      <c r="J983" s="19">
        <f>Ringkasan!J982</f>
        <v>10.2</v>
      </c>
      <c r="K983" s="19">
        <f>Ringkasan!K982</f>
        <v>3.8</v>
      </c>
      <c r="L983" s="19">
        <f>Ringkasan!L982</f>
        <v>1.7</v>
      </c>
      <c r="M983" s="19">
        <f>Ringkasan!M982</f>
        <v>10.5</v>
      </c>
      <c r="N983" s="64" t="str">
        <f>Ringkasan!N982</f>
        <v/>
      </c>
      <c r="O983" s="64" t="str">
        <f>Ringkasan!O982</f>
        <v/>
      </c>
      <c r="P983" s="64" t="str">
        <f>Ringkasan!P982</f>
        <v/>
      </c>
      <c r="Q983" s="64" t="str">
        <f>Ringkasan!Q982</f>
        <v/>
      </c>
      <c r="R983" s="64" t="str">
        <f>Ringkasan!R982</f>
        <v/>
      </c>
      <c r="S983" s="64" t="str">
        <f>Ringkasan!S982</f>
        <v/>
      </c>
      <c r="T983" s="64" t="str">
        <f>Ringkasan!T982</f>
        <v/>
      </c>
      <c r="U983" s="64">
        <f>Ringkasan!U982</f>
        <v>90</v>
      </c>
      <c r="V983" s="64">
        <f>Ringkasan!V982</f>
        <v>5.56</v>
      </c>
      <c r="W983" s="64">
        <f>Ringkasan!W982</f>
        <v>92</v>
      </c>
      <c r="X983" s="64">
        <f>Ringkasan!X982</f>
        <v>97</v>
      </c>
      <c r="Y983" s="64">
        <f>Ringkasan!Y982</f>
        <v>91</v>
      </c>
      <c r="Z983" s="64">
        <f>Ringkasan!Z982</f>
        <v>5213600</v>
      </c>
      <c r="AA983" s="64" t="str">
        <f>Ringkasan!AA982</f>
        <v>Online Applications &amp; Services</v>
      </c>
      <c r="AB983" s="64" t="str">
        <f>Ringkasan!AB982</f>
        <v>Technology</v>
      </c>
    </row>
    <row r="984" hidden="1">
      <c r="A984" s="64" t="str">
        <f>Ringkasan!A983</f>
        <v>JAWA</v>
      </c>
      <c r="B984" s="64" t="str">
        <f>Ringkasan!B983</f>
        <v>Jaya Agra Wattie Tbk</v>
      </c>
      <c r="C984" s="65">
        <f>Ringkasan!C983</f>
        <v>118</v>
      </c>
      <c r="D984" s="64" t="str">
        <f>Ringkasan!D983</f>
        <v>#N/A</v>
      </c>
      <c r="E984" s="64" t="str">
        <f>Ringkasan!E983</f>
        <v/>
      </c>
      <c r="F984" s="64" t="str">
        <f>Ringkasan!F983</f>
        <v/>
      </c>
      <c r="G984" s="64">
        <f>Ringkasan!G983</f>
        <v>0</v>
      </c>
      <c r="H984" s="19">
        <f>Ringkasan!H983</f>
        <v>-28.7</v>
      </c>
      <c r="I984" s="19">
        <f>Ringkasan!I983</f>
        <v>1.6</v>
      </c>
      <c r="J984" s="19">
        <f>Ringkasan!J983</f>
        <v>-5.6</v>
      </c>
      <c r="K984" s="19">
        <f>Ringkasan!K983</f>
        <v>-1.9</v>
      </c>
      <c r="L984" s="19">
        <f>Ringkasan!L983</f>
        <v>2</v>
      </c>
      <c r="M984" s="19">
        <f>Ringkasan!M983</f>
        <v>-21.1</v>
      </c>
      <c r="N984" s="64" t="str">
        <f>Ringkasan!N983</f>
        <v/>
      </c>
      <c r="O984" s="64" t="str">
        <f>Ringkasan!O983</f>
        <v/>
      </c>
      <c r="P984" s="64" t="str">
        <f>Ringkasan!P983</f>
        <v/>
      </c>
      <c r="Q984" s="64" t="str">
        <f>Ringkasan!Q983</f>
        <v/>
      </c>
      <c r="R984" s="64" t="str">
        <f>Ringkasan!R983</f>
        <v/>
      </c>
      <c r="S984" s="64" t="str">
        <f>Ringkasan!S983</f>
        <v/>
      </c>
      <c r="T984" s="64" t="str">
        <f>Ringkasan!T983</f>
        <v/>
      </c>
      <c r="U984" s="64">
        <f>Ringkasan!U983</f>
        <v>117</v>
      </c>
      <c r="V984" s="64">
        <f>Ringkasan!V983</f>
        <v>0.85</v>
      </c>
      <c r="W984" s="64">
        <f>Ringkasan!W983</f>
        <v>117</v>
      </c>
      <c r="X984" s="64">
        <f>Ringkasan!X983</f>
        <v>120</v>
      </c>
      <c r="Y984" s="64">
        <f>Ringkasan!Y983</f>
        <v>113</v>
      </c>
      <c r="Z984" s="64">
        <f>Ringkasan!Z983</f>
        <v>1123400</v>
      </c>
      <c r="AA984" s="64" t="str">
        <f>Ringkasan!AA983</f>
        <v>Agricultural Products</v>
      </c>
      <c r="AB984" s="64" t="str">
        <f>Ringkasan!AB983</f>
        <v>Consumer Non-Cyclicals</v>
      </c>
    </row>
    <row r="985" hidden="1">
      <c r="A985" s="64" t="str">
        <f>Ringkasan!A984</f>
        <v>JAYA</v>
      </c>
      <c r="B985" s="64" t="str">
        <f>Ringkasan!B984</f>
        <v>Armada Berjaya Trans Tbk.</v>
      </c>
      <c r="C985" s="65">
        <f>Ringkasan!C984</f>
        <v>121</v>
      </c>
      <c r="D985" s="64" t="str">
        <f>Ringkasan!D984</f>
        <v>#N/A</v>
      </c>
      <c r="E985" s="64" t="str">
        <f>Ringkasan!E984</f>
        <v/>
      </c>
      <c r="F985" s="64" t="str">
        <f>Ringkasan!F984</f>
        <v/>
      </c>
      <c r="G985" s="64">
        <f>Ringkasan!G984</f>
        <v>0</v>
      </c>
      <c r="H985" s="19">
        <f>Ringkasan!H984</f>
        <v>15.7</v>
      </c>
      <c r="I985" s="19">
        <f>Ringkasan!I984</f>
        <v>0.81</v>
      </c>
      <c r="J985" s="19">
        <f>Ringkasan!J984</f>
        <v>5.2</v>
      </c>
      <c r="K985" s="19">
        <f>Ringkasan!K984</f>
        <v>1.6</v>
      </c>
      <c r="L985" s="19">
        <f>Ringkasan!L984</f>
        <v>2.3</v>
      </c>
      <c r="M985" s="19">
        <f>Ringkasan!M984</f>
        <v>24.3</v>
      </c>
      <c r="N985" s="64" t="str">
        <f>Ringkasan!N984</f>
        <v/>
      </c>
      <c r="O985" s="64" t="str">
        <f>Ringkasan!O984</f>
        <v/>
      </c>
      <c r="P985" s="64" t="str">
        <f>Ringkasan!P984</f>
        <v/>
      </c>
      <c r="Q985" s="64" t="str">
        <f>Ringkasan!Q984</f>
        <v/>
      </c>
      <c r="R985" s="64" t="str">
        <f>Ringkasan!R984</f>
        <v/>
      </c>
      <c r="S985" s="64" t="str">
        <f>Ringkasan!S984</f>
        <v/>
      </c>
      <c r="T985" s="64" t="str">
        <f>Ringkasan!T984</f>
        <v/>
      </c>
      <c r="U985" s="64">
        <f>Ringkasan!U984</f>
        <v>118</v>
      </c>
      <c r="V985" s="64">
        <f>Ringkasan!V984</f>
        <v>2.54</v>
      </c>
      <c r="W985" s="64">
        <f>Ringkasan!W984</f>
        <v>121</v>
      </c>
      <c r="X985" s="64">
        <f>Ringkasan!X984</f>
        <v>125</v>
      </c>
      <c r="Y985" s="64">
        <f>Ringkasan!Y984</f>
        <v>118</v>
      </c>
      <c r="Z985" s="64">
        <f>Ringkasan!Z984</f>
        <v>1372800</v>
      </c>
      <c r="AA985" s="64" t="str">
        <f>Ringkasan!AA984</f>
        <v>Logistics &amp; Deliveries</v>
      </c>
      <c r="AB985" s="64" t="str">
        <f>Ringkasan!AB984</f>
        <v>Transportation &amp; Logistic</v>
      </c>
    </row>
    <row r="986" hidden="1">
      <c r="A986" s="64" t="str">
        <f>Ringkasan!A985</f>
        <v>JECC</v>
      </c>
      <c r="B986" s="64" t="str">
        <f>Ringkasan!B985</f>
        <v>Jembo Cable Company Tbk.</v>
      </c>
      <c r="C986" s="65">
        <f>Ringkasan!C985</f>
        <v>570</v>
      </c>
      <c r="D986" s="64" t="str">
        <f>Ringkasan!D985</f>
        <v>#N/A</v>
      </c>
      <c r="E986" s="64" t="str">
        <f>Ringkasan!E985</f>
        <v/>
      </c>
      <c r="F986" s="64" t="str">
        <f>Ringkasan!F985</f>
        <v/>
      </c>
      <c r="G986" s="64">
        <f>Ringkasan!G985</f>
        <v>0</v>
      </c>
      <c r="H986" s="19">
        <f>Ringkasan!H985</f>
        <v>5.9</v>
      </c>
      <c r="I986" s="19">
        <f>Ringkasan!I985</f>
        <v>0.44</v>
      </c>
      <c r="J986" s="19">
        <f>Ringkasan!J985</f>
        <v>7.4</v>
      </c>
      <c r="K986" s="19">
        <f>Ringkasan!K985</f>
        <v>2.7</v>
      </c>
      <c r="L986" s="19">
        <f>Ringkasan!L985</f>
        <v>1.8</v>
      </c>
      <c r="M986" s="19">
        <f>Ringkasan!M985</f>
        <v>7.8</v>
      </c>
      <c r="N986" s="64" t="str">
        <f>Ringkasan!N985</f>
        <v/>
      </c>
      <c r="O986" s="64" t="str">
        <f>Ringkasan!O985</f>
        <v/>
      </c>
      <c r="P986" s="64" t="str">
        <f>Ringkasan!P985</f>
        <v/>
      </c>
      <c r="Q986" s="64" t="str">
        <f>Ringkasan!Q985</f>
        <v/>
      </c>
      <c r="R986" s="64" t="str">
        <f>Ringkasan!R985</f>
        <v/>
      </c>
      <c r="S986" s="64" t="str">
        <f>Ringkasan!S985</f>
        <v/>
      </c>
      <c r="T986" s="64" t="str">
        <f>Ringkasan!T985</f>
        <v/>
      </c>
      <c r="U986" s="64">
        <f>Ringkasan!U985</f>
        <v>570</v>
      </c>
      <c r="V986" s="64">
        <f>Ringkasan!V985</f>
        <v>0</v>
      </c>
      <c r="W986" s="64">
        <f>Ringkasan!W985</f>
        <v>570</v>
      </c>
      <c r="X986" s="64">
        <f>Ringkasan!X985</f>
        <v>570</v>
      </c>
      <c r="Y986" s="64">
        <f>Ringkasan!Y985</f>
        <v>570</v>
      </c>
      <c r="Z986" s="64">
        <f>Ringkasan!Z985</f>
        <v>7100</v>
      </c>
      <c r="AA986" s="64" t="str">
        <f>Ringkasan!AA985</f>
        <v>Electrical</v>
      </c>
      <c r="AB986" s="64" t="str">
        <f>Ringkasan!AB985</f>
        <v>Industrials</v>
      </c>
    </row>
    <row r="987" hidden="1">
      <c r="A987" s="64" t="str">
        <f>Ringkasan!A986</f>
        <v>JGLE</v>
      </c>
      <c r="B987" s="64" t="str">
        <f>Ringkasan!B986</f>
        <v>Graha Andrasentra Propertindo Tbk.</v>
      </c>
      <c r="C987" s="65">
        <f>Ringkasan!C986</f>
        <v>57</v>
      </c>
      <c r="D987" s="64" t="str">
        <f>Ringkasan!D986</f>
        <v>#N/A</v>
      </c>
      <c r="E987" s="64" t="str">
        <f>Ringkasan!E986</f>
        <v/>
      </c>
      <c r="F987" s="64" t="str">
        <f>Ringkasan!F986</f>
        <v/>
      </c>
      <c r="G987" s="64">
        <f>Ringkasan!G986</f>
        <v>0</v>
      </c>
      <c r="H987" s="19">
        <f>Ringkasan!H986</f>
        <v>-35.4</v>
      </c>
      <c r="I987" s="19">
        <f>Ringkasan!I986</f>
        <v>1.3</v>
      </c>
      <c r="J987" s="19">
        <f>Ringkasan!J986</f>
        <v>-3.6</v>
      </c>
      <c r="K987" s="19">
        <f>Ringkasan!K986</f>
        <v>-2.6</v>
      </c>
      <c r="L987" s="19">
        <f>Ringkasan!L986</f>
        <v>0.4</v>
      </c>
      <c r="M987" s="19">
        <f>Ringkasan!M986</f>
        <v>-140</v>
      </c>
      <c r="N987" s="64" t="str">
        <f>Ringkasan!N986</f>
        <v/>
      </c>
      <c r="O987" s="64" t="str">
        <f>Ringkasan!O986</f>
        <v/>
      </c>
      <c r="P987" s="64" t="str">
        <f>Ringkasan!P986</f>
        <v/>
      </c>
      <c r="Q987" s="64" t="str">
        <f>Ringkasan!Q986</f>
        <v/>
      </c>
      <c r="R987" s="64" t="str">
        <f>Ringkasan!R986</f>
        <v/>
      </c>
      <c r="S987" s="64" t="str">
        <f>Ringkasan!S986</f>
        <v/>
      </c>
      <c r="T987" s="64" t="str">
        <f>Ringkasan!T986</f>
        <v/>
      </c>
      <c r="U987" s="64">
        <f>Ringkasan!U986</f>
        <v>53</v>
      </c>
      <c r="V987" s="64">
        <f>Ringkasan!V986</f>
        <v>7.55</v>
      </c>
      <c r="W987" s="64">
        <f>Ringkasan!W986</f>
        <v>54</v>
      </c>
      <c r="X987" s="64">
        <f>Ringkasan!X986</f>
        <v>62</v>
      </c>
      <c r="Y987" s="64">
        <f>Ringkasan!Y986</f>
        <v>53</v>
      </c>
      <c r="Z987" s="64">
        <f>Ringkasan!Z986</f>
        <v>793015500</v>
      </c>
      <c r="AA987" s="64" t="str">
        <f>Ringkasan!AA986</f>
        <v>Tourism &amp; Recreation</v>
      </c>
      <c r="AB987" s="64" t="str">
        <f>Ringkasan!AB986</f>
        <v>Consumer Cyclicals</v>
      </c>
    </row>
    <row r="988" hidden="1">
      <c r="A988" s="64" t="str">
        <f>Ringkasan!A987</f>
        <v>JIHD</v>
      </c>
      <c r="B988" s="64" t="str">
        <f>Ringkasan!B987</f>
        <v>Jakarta International Hotels &amp; Development Tbk.</v>
      </c>
      <c r="C988" s="65">
        <f>Ringkasan!C987</f>
        <v>408</v>
      </c>
      <c r="D988" s="64" t="str">
        <f>Ringkasan!D987</f>
        <v>#N/A</v>
      </c>
      <c r="E988" s="64" t="str">
        <f>Ringkasan!E987</f>
        <v/>
      </c>
      <c r="F988" s="64" t="str">
        <f>Ringkasan!F987</f>
        <v/>
      </c>
      <c r="G988" s="64">
        <f>Ringkasan!G987</f>
        <v>0</v>
      </c>
      <c r="H988" s="19">
        <f>Ringkasan!H987</f>
        <v>-5</v>
      </c>
      <c r="I988" s="19">
        <f>Ringkasan!I987</f>
        <v>0.22</v>
      </c>
      <c r="J988" s="19">
        <f>Ringkasan!J987</f>
        <v>-4.5</v>
      </c>
      <c r="K988" s="19">
        <f>Ringkasan!K987</f>
        <v>-2.9</v>
      </c>
      <c r="L988" s="19">
        <f>Ringkasan!L987</f>
        <v>0.53</v>
      </c>
      <c r="M988" s="19">
        <f>Ringkasan!M987</f>
        <v>-52.7</v>
      </c>
      <c r="N988" s="64" t="str">
        <f>Ringkasan!N987</f>
        <v/>
      </c>
      <c r="O988" s="64" t="str">
        <f>Ringkasan!O987</f>
        <v/>
      </c>
      <c r="P988" s="64" t="str">
        <f>Ringkasan!P987</f>
        <v/>
      </c>
      <c r="Q988" s="64" t="str">
        <f>Ringkasan!Q987</f>
        <v/>
      </c>
      <c r="R988" s="64" t="str">
        <f>Ringkasan!R987</f>
        <v/>
      </c>
      <c r="S988" s="64" t="str">
        <f>Ringkasan!S987</f>
        <v/>
      </c>
      <c r="T988" s="64" t="str">
        <f>Ringkasan!T987</f>
        <v/>
      </c>
      <c r="U988" s="64">
        <f>Ringkasan!U987</f>
        <v>388</v>
      </c>
      <c r="V988" s="64">
        <f>Ringkasan!V987</f>
        <v>5.15</v>
      </c>
      <c r="W988" s="64">
        <f>Ringkasan!W987</f>
        <v>402</v>
      </c>
      <c r="X988" s="64">
        <f>Ringkasan!X987</f>
        <v>416</v>
      </c>
      <c r="Y988" s="64">
        <f>Ringkasan!Y987</f>
        <v>390</v>
      </c>
      <c r="Z988" s="64">
        <f>Ringkasan!Z987</f>
        <v>650800</v>
      </c>
      <c r="AA988" s="64" t="str">
        <f>Ringkasan!AA987</f>
        <v>Tourism &amp; Recreation</v>
      </c>
      <c r="AB988" s="64" t="str">
        <f>Ringkasan!AB987</f>
        <v>Consumer Cyclicals</v>
      </c>
    </row>
    <row r="989" hidden="1">
      <c r="A989" s="64" t="str">
        <f>Ringkasan!A1054</f>
        <v>KLBF</v>
      </c>
      <c r="B989" s="64" t="str">
        <f>Ringkasan!B1054</f>
        <v>Kalbe Farma Tbk.</v>
      </c>
      <c r="C989" s="65">
        <f>Ringkasan!C1054</f>
        <v>740</v>
      </c>
      <c r="D989" s="64" t="str">
        <f>Ringkasan!D1054</f>
        <v>#N/A</v>
      </c>
      <c r="E989" s="64" t="str">
        <f>Ringkasan!E1054</f>
        <v>LQ45</v>
      </c>
      <c r="F989" s="64" t="str">
        <f>Ringkasan!F1054</f>
        <v>31 Juli 2026</v>
      </c>
      <c r="G989" s="65">
        <f>Ringkasan!G1054</f>
        <v>17</v>
      </c>
      <c r="H989" s="19">
        <f>Ringkasan!H1054</f>
        <v>10</v>
      </c>
      <c r="I989" s="19">
        <f>Ringkasan!I1054</f>
        <v>1.4</v>
      </c>
      <c r="J989" s="19">
        <f>Ringkasan!J1054</f>
        <v>14.1</v>
      </c>
      <c r="K989" s="19">
        <f>Ringkasan!K1054</f>
        <v>11.3</v>
      </c>
      <c r="L989" s="19">
        <f>Ringkasan!L1054</f>
        <v>0.24</v>
      </c>
      <c r="M989" s="19">
        <f>Ringkasan!M1054</f>
        <v>37.4</v>
      </c>
      <c r="N989" s="64" t="str">
        <f>Ringkasan!N1054</f>
        <v/>
      </c>
      <c r="O989" s="64" t="str">
        <f>Ringkasan!O1054</f>
        <v/>
      </c>
      <c r="P989" s="64" t="str">
        <f>Ringkasan!P1054</f>
        <v/>
      </c>
      <c r="Q989" s="64" t="str">
        <f>Ringkasan!Q1054</f>
        <v/>
      </c>
      <c r="R989" s="64" t="str">
        <f>Ringkasan!R1054</f>
        <v/>
      </c>
      <c r="S989" s="64" t="str">
        <f>Ringkasan!S1054</f>
        <v/>
      </c>
      <c r="T989" s="64" t="str">
        <f>Ringkasan!T1054</f>
        <v/>
      </c>
      <c r="U989" s="64">
        <f>Ringkasan!U1054</f>
        <v>725</v>
      </c>
      <c r="V989" s="64">
        <f>Ringkasan!V1054</f>
        <v>2.07</v>
      </c>
      <c r="W989" s="64">
        <f>Ringkasan!W1054</f>
        <v>760</v>
      </c>
      <c r="X989" s="64">
        <f>Ringkasan!X1054</f>
        <v>760</v>
      </c>
      <c r="Y989" s="64">
        <f>Ringkasan!Y1054</f>
        <v>715</v>
      </c>
      <c r="Z989" s="64">
        <f>Ringkasan!Z1054</f>
        <v>92741200</v>
      </c>
      <c r="AA989" s="64" t="str">
        <f>Ringkasan!AA1054</f>
        <v>Pharmaceuticals</v>
      </c>
      <c r="AB989" s="64" t="str">
        <f>Ringkasan!AB1054</f>
        <v>Healthcare</v>
      </c>
    </row>
    <row r="990" hidden="1">
      <c r="A990" s="64" t="str">
        <f>Ringkasan!A989</f>
        <v>JMAS</v>
      </c>
      <c r="B990" s="64" t="str">
        <f>Ringkasan!B989</f>
        <v>Asuransi Jiwa Syariah Jasa Mitra Abadi Tbk.</v>
      </c>
      <c r="C990" s="65">
        <f>Ringkasan!C989</f>
        <v>242</v>
      </c>
      <c r="D990" s="64" t="str">
        <f>Ringkasan!D989</f>
        <v>#N/A</v>
      </c>
      <c r="E990" s="64" t="str">
        <f>Ringkasan!E989</f>
        <v/>
      </c>
      <c r="F990" s="64" t="str">
        <f>Ringkasan!F989</f>
        <v/>
      </c>
      <c r="G990" s="64">
        <f>Ringkasan!G989</f>
        <v>0</v>
      </c>
      <c r="H990" s="19">
        <f>Ringkasan!H989</f>
        <v>57.8</v>
      </c>
      <c r="I990" s="19">
        <f>Ringkasan!I989</f>
        <v>2.2</v>
      </c>
      <c r="J990" s="19">
        <f>Ringkasan!J989</f>
        <v>3.8</v>
      </c>
      <c r="K990" s="19">
        <f>Ringkasan!K989</f>
        <v>1.2</v>
      </c>
      <c r="L990" s="19">
        <f>Ringkasan!L989</f>
        <v>2.6</v>
      </c>
      <c r="M990" s="19">
        <f>Ringkasan!M989</f>
        <v>8</v>
      </c>
      <c r="N990" s="64" t="str">
        <f>Ringkasan!N989</f>
        <v/>
      </c>
      <c r="O990" s="64" t="str">
        <f>Ringkasan!O989</f>
        <v/>
      </c>
      <c r="P990" s="64" t="str">
        <f>Ringkasan!P989</f>
        <v/>
      </c>
      <c r="Q990" s="64" t="str">
        <f>Ringkasan!Q989</f>
        <v/>
      </c>
      <c r="R990" s="64" t="str">
        <f>Ringkasan!R989</f>
        <v/>
      </c>
      <c r="S990" s="64" t="str">
        <f>Ringkasan!S989</f>
        <v/>
      </c>
      <c r="T990" s="64" t="str">
        <f>Ringkasan!T989</f>
        <v/>
      </c>
      <c r="U990" s="64">
        <f>Ringkasan!U989</f>
        <v>252</v>
      </c>
      <c r="V990" s="64">
        <f>Ringkasan!V989</f>
        <v>-3.97</v>
      </c>
      <c r="W990" s="64">
        <f>Ringkasan!W989</f>
        <v>242</v>
      </c>
      <c r="X990" s="64">
        <f>Ringkasan!X989</f>
        <v>250</v>
      </c>
      <c r="Y990" s="64">
        <f>Ringkasan!Y989</f>
        <v>238</v>
      </c>
      <c r="Z990" s="64">
        <f>Ringkasan!Z989</f>
        <v>6198700</v>
      </c>
      <c r="AA990" s="64" t="str">
        <f>Ringkasan!AA989</f>
        <v>Insurance</v>
      </c>
      <c r="AB990" s="64" t="str">
        <f>Ringkasan!AB989</f>
        <v>Financials</v>
      </c>
    </row>
    <row r="991" hidden="1">
      <c r="A991" s="64" t="str">
        <f>Ringkasan!A38</f>
        <v>ADMR</v>
      </c>
      <c r="B991" s="64" t="str">
        <f>Ringkasan!B38</f>
        <v>Alamtri Minerals Indonesia Tbk.</v>
      </c>
      <c r="C991" s="65">
        <f>Ringkasan!C38</f>
        <v>1575</v>
      </c>
      <c r="D991" s="64" t="str">
        <f>Ringkasan!D38</f>
        <v>#N/A</v>
      </c>
      <c r="E991" s="64" t="str">
        <f>Ringkasan!E38</f>
        <v>IDX30</v>
      </c>
      <c r="F991" s="64" t="str">
        <f>Ringkasan!F38</f>
        <v>31 Juli 2026</v>
      </c>
      <c r="G991" s="64">
        <f>Ringkasan!G38</f>
        <v>9</v>
      </c>
      <c r="H991" s="19">
        <f>Ringkasan!H38</f>
        <v>12.6</v>
      </c>
      <c r="I991" s="19">
        <f>Ringkasan!I38</f>
        <v>2</v>
      </c>
      <c r="J991" s="19">
        <f>Ringkasan!J38</f>
        <v>16.2</v>
      </c>
      <c r="K991" s="19">
        <f>Ringkasan!K38</f>
        <v>9.1</v>
      </c>
      <c r="L991" s="19">
        <f>Ringkasan!L38</f>
        <v>0.78</v>
      </c>
      <c r="M991" s="19">
        <f>Ringkasan!M38</f>
        <v>110</v>
      </c>
      <c r="N991" s="64" t="str">
        <f>Ringkasan!N38</f>
        <v/>
      </c>
      <c r="O991" s="64" t="str">
        <f>Ringkasan!O38</f>
        <v/>
      </c>
      <c r="P991" s="64" t="str">
        <f>Ringkasan!P38</f>
        <v/>
      </c>
      <c r="Q991" s="64" t="str">
        <f>Ringkasan!Q38</f>
        <v/>
      </c>
      <c r="R991" s="64" t="str">
        <f>Ringkasan!R38</f>
        <v/>
      </c>
      <c r="S991" s="64" t="str">
        <f>Ringkasan!S38</f>
        <v/>
      </c>
      <c r="T991" s="64" t="str">
        <f>Ringkasan!T38</f>
        <v/>
      </c>
      <c r="U991" s="64">
        <f>Ringkasan!U38</f>
        <v>1465</v>
      </c>
      <c r="V991" s="64">
        <f>Ringkasan!V38</f>
        <v>7.51</v>
      </c>
      <c r="W991" s="64">
        <f>Ringkasan!W38</f>
        <v>1495</v>
      </c>
      <c r="X991" s="64">
        <f>Ringkasan!X38</f>
        <v>1640</v>
      </c>
      <c r="Y991" s="64">
        <f>Ringkasan!Y38</f>
        <v>1485</v>
      </c>
      <c r="Z991" s="64">
        <f>Ringkasan!Z38</f>
        <v>43266800</v>
      </c>
      <c r="AA991" s="64" t="str">
        <f>Ringkasan!AA38</f>
        <v>Coal</v>
      </c>
      <c r="AB991" s="64" t="str">
        <f>Ringkasan!AB38</f>
        <v>Energy</v>
      </c>
    </row>
    <row r="992" hidden="1">
      <c r="A992" s="64" t="str">
        <f>Ringkasan!A991</f>
        <v>JPFA</v>
      </c>
      <c r="B992" s="64" t="str">
        <f>Ringkasan!B991</f>
        <v>Japfa Comfeed Indonesia Tbk.</v>
      </c>
      <c r="C992" s="65">
        <f>Ringkasan!C991</f>
        <v>1905</v>
      </c>
      <c r="D992" s="64" t="str">
        <f>Ringkasan!D991</f>
        <v>#N/A</v>
      </c>
      <c r="E992" s="64" t="str">
        <f>Ringkasan!E991</f>
        <v>IDX30</v>
      </c>
      <c r="F992" s="64" t="str">
        <f>Ringkasan!F991</f>
        <v>31 Juli 2026</v>
      </c>
      <c r="G992" s="65">
        <f>Ringkasan!G991</f>
        <v>13</v>
      </c>
      <c r="H992" s="19">
        <f>Ringkasan!H991</f>
        <v>5.6</v>
      </c>
      <c r="I992" s="19">
        <f>Ringkasan!I991</f>
        <v>1.3</v>
      </c>
      <c r="J992" s="19">
        <f>Ringkasan!J991</f>
        <v>23.3</v>
      </c>
      <c r="K992" s="19">
        <f>Ringkasan!K991</f>
        <v>13.1</v>
      </c>
      <c r="L992" s="19">
        <f>Ringkasan!L991</f>
        <v>0.79</v>
      </c>
      <c r="M992" s="19">
        <f>Ringkasan!M991</f>
        <v>29</v>
      </c>
      <c r="N992" s="64" t="str">
        <f>Ringkasan!N991</f>
        <v/>
      </c>
      <c r="O992" s="64" t="str">
        <f>Ringkasan!O991</f>
        <v/>
      </c>
      <c r="P992" s="64" t="str">
        <f>Ringkasan!P991</f>
        <v/>
      </c>
      <c r="Q992" s="64" t="str">
        <f>Ringkasan!Q991</f>
        <v/>
      </c>
      <c r="R992" s="64" t="str">
        <f>Ringkasan!R991</f>
        <v/>
      </c>
      <c r="S992" s="64" t="str">
        <f>Ringkasan!S991</f>
        <v/>
      </c>
      <c r="T992" s="64" t="str">
        <f>Ringkasan!T991</f>
        <v/>
      </c>
      <c r="U992" s="64">
        <f>Ringkasan!U991</f>
        <v>1860</v>
      </c>
      <c r="V992" s="64">
        <f>Ringkasan!V991</f>
        <v>2.42</v>
      </c>
      <c r="W992" s="64">
        <f>Ringkasan!W991</f>
        <v>1865</v>
      </c>
      <c r="X992" s="64">
        <f>Ringkasan!X991</f>
        <v>1930</v>
      </c>
      <c r="Y992" s="64">
        <f>Ringkasan!Y991</f>
        <v>1840</v>
      </c>
      <c r="Z992" s="64">
        <f>Ringkasan!Z991</f>
        <v>30207300</v>
      </c>
      <c r="AA992" s="64" t="str">
        <f>Ringkasan!AA991</f>
        <v>Agricultural Products</v>
      </c>
      <c r="AB992" s="64" t="str">
        <f>Ringkasan!AB991</f>
        <v>Consumer Non-Cyclicals</v>
      </c>
    </row>
    <row r="993" hidden="1">
      <c r="A993" s="64" t="str">
        <f>Ringkasan!A319</f>
        <v>BEER</v>
      </c>
      <c r="B993" s="64" t="str">
        <f>Ringkasan!B319</f>
        <v>PT Jobubu Jarum Minahasa Tbk</v>
      </c>
      <c r="C993" s="65">
        <f>Ringkasan!C319</f>
        <v>86</v>
      </c>
      <c r="D993" s="64" t="str">
        <f>Ringkasan!D319</f>
        <v>#N/A</v>
      </c>
      <c r="E993" s="64" t="str">
        <f>Ringkasan!E319</f>
        <v/>
      </c>
      <c r="F993" s="64" t="str">
        <f>Ringkasan!F319</f>
        <v/>
      </c>
      <c r="G993" s="64">
        <f>Ringkasan!G319</f>
        <v>0</v>
      </c>
      <c r="H993" s="19">
        <f>Ringkasan!H319</f>
        <v>410</v>
      </c>
      <c r="I993" s="19">
        <f>Ringkasan!I319</f>
        <v>1.4</v>
      </c>
      <c r="J993" s="19">
        <f>Ringkasan!J319</f>
        <v>0.35</v>
      </c>
      <c r="K993" s="19">
        <f>Ringkasan!K319</f>
        <v>0.32</v>
      </c>
      <c r="L993" s="19">
        <f>Ringkasan!L319</f>
        <v>0.08</v>
      </c>
      <c r="M993" s="19">
        <f>Ringkasan!M319</f>
        <v>11.4</v>
      </c>
      <c r="N993" s="64" t="str">
        <f>Ringkasan!N319</f>
        <v/>
      </c>
      <c r="O993" s="64" t="str">
        <f>Ringkasan!O319</f>
        <v/>
      </c>
      <c r="P993" s="64" t="str">
        <f>Ringkasan!P319</f>
        <v/>
      </c>
      <c r="Q993" s="64" t="str">
        <f>Ringkasan!Q319</f>
        <v/>
      </c>
      <c r="R993" s="64" t="str">
        <f>Ringkasan!R319</f>
        <v/>
      </c>
      <c r="S993" s="64" t="str">
        <f>Ringkasan!S319</f>
        <v/>
      </c>
      <c r="T993" s="64" t="str">
        <f>Ringkasan!T319</f>
        <v/>
      </c>
      <c r="U993" s="64">
        <f>Ringkasan!U319</f>
        <v>2.5</v>
      </c>
      <c r="V993" s="64">
        <f>Ringkasan!V319</f>
        <v>1.2</v>
      </c>
      <c r="W993" s="64">
        <f>Ringkasan!W319</f>
        <v>2.49</v>
      </c>
      <c r="X993" s="64">
        <f>Ringkasan!X319</f>
        <v>2.54</v>
      </c>
      <c r="Y993" s="64">
        <f>Ringkasan!Y319</f>
        <v>2.49</v>
      </c>
      <c r="Z993" s="64">
        <f>Ringkasan!Z319</f>
        <v>10433</v>
      </c>
      <c r="AA993" s="64" t="str">
        <f>Ringkasan!AA319</f>
        <v>Beverages</v>
      </c>
      <c r="AB993" s="64" t="str">
        <f>Ringkasan!AB319</f>
        <v>Consumer Non-Cyclicals</v>
      </c>
    </row>
    <row r="994">
      <c r="A994" s="64" t="str">
        <f>Ringkasan!A411</f>
        <v>BRIS</v>
      </c>
      <c r="B994" s="64" t="str">
        <f>Ringkasan!B411</f>
        <v>Bank Syariah Indonesia (Persero) Tbk.</v>
      </c>
      <c r="C994" s="65" t="str">
        <f>Ringkasan!C411</f>
        <v>#N/A</v>
      </c>
      <c r="D994" s="64" t="str">
        <f>Ringkasan!D411</f>
        <v>#N/A</v>
      </c>
      <c r="E994" s="64" t="str">
        <f>Ringkasan!E411</f>
        <v>IDXMESBUMN</v>
      </c>
      <c r="F994" s="66">
        <f>Ringkasan!F411</f>
        <v>46356</v>
      </c>
      <c r="G994" s="64">
        <f>Ringkasan!G411</f>
        <v>13</v>
      </c>
      <c r="H994" s="19">
        <f>Ringkasan!H411</f>
        <v>11.6</v>
      </c>
      <c r="I994" s="19">
        <f>Ringkasan!I411</f>
        <v>1.8</v>
      </c>
      <c r="J994" s="19">
        <f>Ringkasan!J411</f>
        <v>15.5</v>
      </c>
      <c r="K994" s="19">
        <f>Ringkasan!K411</f>
        <v>1.7</v>
      </c>
      <c r="L994" s="19">
        <f>Ringkasan!L411</f>
        <v>2.2</v>
      </c>
      <c r="M994" s="19">
        <f>Ringkasan!M411</f>
        <v>160</v>
      </c>
      <c r="N994" s="64">
        <f>Ringkasan!N411</f>
        <v>6.1</v>
      </c>
      <c r="O994" s="64">
        <f>Ringkasan!O411</f>
        <v>24.08</v>
      </c>
      <c r="P994" s="64">
        <f>Ringkasan!P411</f>
        <v>83.74</v>
      </c>
      <c r="Q994" s="64">
        <f>Ringkasan!Q411</f>
        <v>1.81</v>
      </c>
      <c r="R994" s="64">
        <f>Ringkasan!R411</f>
        <v>67.49</v>
      </c>
      <c r="S994" s="64">
        <f>Ringkasan!S411</f>
        <v>44.55</v>
      </c>
      <c r="T994" s="64">
        <f>Ringkasan!T411</f>
        <v>10.26</v>
      </c>
      <c r="U994" s="64">
        <f>Ringkasan!U411</f>
        <v>1795</v>
      </c>
      <c r="V994" s="64">
        <f>Ringkasan!V411</f>
        <v>4.18</v>
      </c>
      <c r="W994" s="64">
        <f>Ringkasan!W411</f>
        <v>1805</v>
      </c>
      <c r="X994" s="64">
        <f>Ringkasan!X411</f>
        <v>1870</v>
      </c>
      <c r="Y994" s="64">
        <f>Ringkasan!Y411</f>
        <v>1805</v>
      </c>
      <c r="Z994" s="64">
        <f>Ringkasan!Z411</f>
        <v>22071200</v>
      </c>
      <c r="AA994" s="64" t="str">
        <f>Ringkasan!AA411</f>
        <v>Banks</v>
      </c>
      <c r="AB994" s="64" t="str">
        <f>Ringkasan!AB411</f>
        <v>Financials</v>
      </c>
    </row>
    <row r="995" hidden="1">
      <c r="A995" s="64" t="str">
        <f>Ringkasan!A994</f>
        <v>JPFA</v>
      </c>
      <c r="B995" s="64" t="str">
        <f>Ringkasan!B994</f>
        <v>Japfa Comfeed Indonesia Tbk.</v>
      </c>
      <c r="C995" s="65">
        <f>Ringkasan!C994</f>
        <v>1905</v>
      </c>
      <c r="D995" s="64" t="str">
        <f>Ringkasan!D994</f>
        <v>#N/A</v>
      </c>
      <c r="E995" s="64" t="str">
        <f>Ringkasan!E994</f>
        <v>MNC36</v>
      </c>
      <c r="F995" s="64" t="str">
        <f>Ringkasan!F994</f>
        <v>30 Oktober 2026</v>
      </c>
      <c r="G995" s="65">
        <f>Ringkasan!G994</f>
        <v>13</v>
      </c>
      <c r="H995" s="19">
        <f>Ringkasan!H994</f>
        <v>5.6</v>
      </c>
      <c r="I995" s="19">
        <f>Ringkasan!I994</f>
        <v>1.3</v>
      </c>
      <c r="J995" s="19">
        <f>Ringkasan!J994</f>
        <v>23.3</v>
      </c>
      <c r="K995" s="19">
        <f>Ringkasan!K994</f>
        <v>13.1</v>
      </c>
      <c r="L995" s="19">
        <f>Ringkasan!L994</f>
        <v>0.79</v>
      </c>
      <c r="M995" s="19">
        <f>Ringkasan!M994</f>
        <v>29</v>
      </c>
      <c r="N995" s="64" t="str">
        <f>Ringkasan!N994</f>
        <v/>
      </c>
      <c r="O995" s="64" t="str">
        <f>Ringkasan!O994</f>
        <v/>
      </c>
      <c r="P995" s="64" t="str">
        <f>Ringkasan!P994</f>
        <v/>
      </c>
      <c r="Q995" s="64" t="str">
        <f>Ringkasan!Q994</f>
        <v/>
      </c>
      <c r="R995" s="64" t="str">
        <f>Ringkasan!R994</f>
        <v/>
      </c>
      <c r="S995" s="64" t="str">
        <f>Ringkasan!S994</f>
        <v/>
      </c>
      <c r="T995" s="64" t="str">
        <f>Ringkasan!T994</f>
        <v/>
      </c>
      <c r="U995" s="64">
        <f>Ringkasan!U994</f>
        <v>1860</v>
      </c>
      <c r="V995" s="64">
        <f>Ringkasan!V994</f>
        <v>2.42</v>
      </c>
      <c r="W995" s="64">
        <f>Ringkasan!W994</f>
        <v>1865</v>
      </c>
      <c r="X995" s="64">
        <f>Ringkasan!X994</f>
        <v>1930</v>
      </c>
      <c r="Y995" s="64">
        <f>Ringkasan!Y994</f>
        <v>1840</v>
      </c>
      <c r="Z995" s="64">
        <f>Ringkasan!Z994</f>
        <v>30207300</v>
      </c>
      <c r="AA995" s="64" t="str">
        <f>Ringkasan!AA994</f>
        <v>Agricultural Products</v>
      </c>
      <c r="AB995" s="64" t="str">
        <f>Ringkasan!AB994</f>
        <v>Consumer Non-Cyclicals</v>
      </c>
    </row>
    <row r="996" hidden="1">
      <c r="A996" s="64" t="str">
        <f>Ringkasan!A995</f>
        <v>JPFA</v>
      </c>
      <c r="B996" s="64" t="str">
        <f>Ringkasan!B995</f>
        <v>Japfa Comfeed Indonesia Tbk.</v>
      </c>
      <c r="C996" s="65">
        <f>Ringkasan!C995</f>
        <v>1905</v>
      </c>
      <c r="D996" s="64" t="str">
        <f>Ringkasan!D995</f>
        <v>#N/A</v>
      </c>
      <c r="E996" s="64" t="str">
        <f>Ringkasan!E995</f>
        <v>IDXVESTA28</v>
      </c>
      <c r="F996" s="64" t="str">
        <f>Ringkasan!F995</f>
        <v>31 Agustus 2026</v>
      </c>
      <c r="G996" s="65">
        <f>Ringkasan!G995</f>
        <v>13</v>
      </c>
      <c r="H996" s="19">
        <f>Ringkasan!H995</f>
        <v>5.6</v>
      </c>
      <c r="I996" s="19">
        <f>Ringkasan!I995</f>
        <v>1.3</v>
      </c>
      <c r="J996" s="19">
        <f>Ringkasan!J995</f>
        <v>23.3</v>
      </c>
      <c r="K996" s="19">
        <f>Ringkasan!K995</f>
        <v>13.1</v>
      </c>
      <c r="L996" s="19">
        <f>Ringkasan!L995</f>
        <v>0.79</v>
      </c>
      <c r="M996" s="19">
        <f>Ringkasan!M995</f>
        <v>29</v>
      </c>
      <c r="N996" s="64" t="str">
        <f>Ringkasan!N995</f>
        <v/>
      </c>
      <c r="O996" s="64" t="str">
        <f>Ringkasan!O995</f>
        <v/>
      </c>
      <c r="P996" s="64" t="str">
        <f>Ringkasan!P995</f>
        <v/>
      </c>
      <c r="Q996" s="64" t="str">
        <f>Ringkasan!Q995</f>
        <v/>
      </c>
      <c r="R996" s="64" t="str">
        <f>Ringkasan!R995</f>
        <v/>
      </c>
      <c r="S996" s="64" t="str">
        <f>Ringkasan!S995</f>
        <v/>
      </c>
      <c r="T996" s="64" t="str">
        <f>Ringkasan!T995</f>
        <v/>
      </c>
      <c r="U996" s="64">
        <f>Ringkasan!U995</f>
        <v>1860</v>
      </c>
      <c r="V996" s="64">
        <f>Ringkasan!V995</f>
        <v>2.42</v>
      </c>
      <c r="W996" s="64">
        <f>Ringkasan!W995</f>
        <v>1865</v>
      </c>
      <c r="X996" s="64">
        <f>Ringkasan!X995</f>
        <v>1930</v>
      </c>
      <c r="Y996" s="64">
        <f>Ringkasan!Y995</f>
        <v>1840</v>
      </c>
      <c r="Z996" s="64">
        <f>Ringkasan!Z995</f>
        <v>30207300</v>
      </c>
      <c r="AA996" s="64" t="str">
        <f>Ringkasan!AA995</f>
        <v>Agricultural Products</v>
      </c>
      <c r="AB996" s="64" t="str">
        <f>Ringkasan!AB995</f>
        <v>Consumer Non-Cyclicals</v>
      </c>
    </row>
    <row r="997" hidden="1">
      <c r="A997" s="64" t="str">
        <f>Ringkasan!A996</f>
        <v>JPFA</v>
      </c>
      <c r="B997" s="64" t="str">
        <f>Ringkasan!B996</f>
        <v>Japfa Comfeed Indonesia Tbk.</v>
      </c>
      <c r="C997" s="65">
        <f>Ringkasan!C996</f>
        <v>1905</v>
      </c>
      <c r="D997" s="64" t="str">
        <f>Ringkasan!D996</f>
        <v>#N/A</v>
      </c>
      <c r="E997" s="64" t="str">
        <f>Ringkasan!E996</f>
        <v>Kompas100</v>
      </c>
      <c r="F997" s="64" t="str">
        <f>Ringkasan!F996</f>
        <v>31 Juli 2026</v>
      </c>
      <c r="G997" s="65">
        <f>Ringkasan!G996</f>
        <v>13</v>
      </c>
      <c r="H997" s="19">
        <f>Ringkasan!H996</f>
        <v>5.6</v>
      </c>
      <c r="I997" s="19">
        <f>Ringkasan!I996</f>
        <v>1.3</v>
      </c>
      <c r="J997" s="19">
        <f>Ringkasan!J996</f>
        <v>23.3</v>
      </c>
      <c r="K997" s="19">
        <f>Ringkasan!K996</f>
        <v>13.1</v>
      </c>
      <c r="L997" s="19">
        <f>Ringkasan!L996</f>
        <v>0.79</v>
      </c>
      <c r="M997" s="19">
        <f>Ringkasan!M996</f>
        <v>29</v>
      </c>
      <c r="N997" s="64" t="str">
        <f>Ringkasan!N996</f>
        <v/>
      </c>
      <c r="O997" s="64" t="str">
        <f>Ringkasan!O996</f>
        <v/>
      </c>
      <c r="P997" s="64" t="str">
        <f>Ringkasan!P996</f>
        <v/>
      </c>
      <c r="Q997" s="64" t="str">
        <f>Ringkasan!Q996</f>
        <v/>
      </c>
      <c r="R997" s="64" t="str">
        <f>Ringkasan!R996</f>
        <v/>
      </c>
      <c r="S997" s="64" t="str">
        <f>Ringkasan!S996</f>
        <v/>
      </c>
      <c r="T997" s="64" t="str">
        <f>Ringkasan!T996</f>
        <v/>
      </c>
      <c r="U997" s="64">
        <f>Ringkasan!U996</f>
        <v>1860</v>
      </c>
      <c r="V997" s="64">
        <f>Ringkasan!V996</f>
        <v>2.42</v>
      </c>
      <c r="W997" s="64">
        <f>Ringkasan!W996</f>
        <v>1865</v>
      </c>
      <c r="X997" s="64">
        <f>Ringkasan!X996</f>
        <v>1930</v>
      </c>
      <c r="Y997" s="64">
        <f>Ringkasan!Y996</f>
        <v>1840</v>
      </c>
      <c r="Z997" s="64">
        <f>Ringkasan!Z996</f>
        <v>30207300</v>
      </c>
      <c r="AA997" s="64" t="str">
        <f>Ringkasan!AA996</f>
        <v>Agricultural Products</v>
      </c>
      <c r="AB997" s="64" t="str">
        <f>Ringkasan!AB996</f>
        <v>Consumer Non-Cyclicals</v>
      </c>
    </row>
    <row r="998" hidden="1">
      <c r="A998" s="64" t="str">
        <f>Ringkasan!A997</f>
        <v>JPFA</v>
      </c>
      <c r="B998" s="64" t="str">
        <f>Ringkasan!B997</f>
        <v>Japfa Comfeed Indonesia Tbk.</v>
      </c>
      <c r="C998" s="65">
        <f>Ringkasan!C997</f>
        <v>1905</v>
      </c>
      <c r="D998" s="64" t="str">
        <f>Ringkasan!D997</f>
        <v>#N/A</v>
      </c>
      <c r="E998" s="64" t="str">
        <f>Ringkasan!E997</f>
        <v>IDXQ30</v>
      </c>
      <c r="F998" s="64" t="str">
        <f>Ringkasan!F997</f>
        <v>4 Agustus 2026</v>
      </c>
      <c r="G998" s="65">
        <f>Ringkasan!G997</f>
        <v>13</v>
      </c>
      <c r="H998" s="19">
        <f>Ringkasan!H997</f>
        <v>5.6</v>
      </c>
      <c r="I998" s="19">
        <f>Ringkasan!I997</f>
        <v>1.3</v>
      </c>
      <c r="J998" s="19">
        <f>Ringkasan!J997</f>
        <v>23.3</v>
      </c>
      <c r="K998" s="19">
        <f>Ringkasan!K997</f>
        <v>13.1</v>
      </c>
      <c r="L998" s="19">
        <f>Ringkasan!L997</f>
        <v>0.79</v>
      </c>
      <c r="M998" s="19">
        <f>Ringkasan!M997</f>
        <v>29</v>
      </c>
      <c r="N998" s="64" t="str">
        <f>Ringkasan!N997</f>
        <v/>
      </c>
      <c r="O998" s="64" t="str">
        <f>Ringkasan!O997</f>
        <v/>
      </c>
      <c r="P998" s="64" t="str">
        <f>Ringkasan!P997</f>
        <v/>
      </c>
      <c r="Q998" s="64" t="str">
        <f>Ringkasan!Q997</f>
        <v/>
      </c>
      <c r="R998" s="64" t="str">
        <f>Ringkasan!R997</f>
        <v/>
      </c>
      <c r="S998" s="64" t="str">
        <f>Ringkasan!S997</f>
        <v/>
      </c>
      <c r="T998" s="64" t="str">
        <f>Ringkasan!T997</f>
        <v/>
      </c>
      <c r="U998" s="64">
        <f>Ringkasan!U997</f>
        <v>1860</v>
      </c>
      <c r="V998" s="64">
        <f>Ringkasan!V997</f>
        <v>2.42</v>
      </c>
      <c r="W998" s="64">
        <f>Ringkasan!W997</f>
        <v>1865</v>
      </c>
      <c r="X998" s="64">
        <f>Ringkasan!X997</f>
        <v>1930</v>
      </c>
      <c r="Y998" s="64">
        <f>Ringkasan!Y997</f>
        <v>1840</v>
      </c>
      <c r="Z998" s="64">
        <f>Ringkasan!Z997</f>
        <v>30207300</v>
      </c>
      <c r="AA998" s="64" t="str">
        <f>Ringkasan!AA997</f>
        <v>Agricultural Products</v>
      </c>
      <c r="AB998" s="64" t="str">
        <f>Ringkasan!AB997</f>
        <v>Consumer Non-Cyclicals</v>
      </c>
    </row>
    <row r="999" hidden="1">
      <c r="A999" s="64" t="str">
        <f>Ringkasan!A998</f>
        <v>JPFA</v>
      </c>
      <c r="B999" s="64" t="str">
        <f>Ringkasan!B998</f>
        <v>Japfa Comfeed Indonesia Tbk.</v>
      </c>
      <c r="C999" s="65">
        <f>Ringkasan!C998</f>
        <v>1905</v>
      </c>
      <c r="D999" s="64" t="str">
        <f>Ringkasan!D998</f>
        <v>#N/A</v>
      </c>
      <c r="E999" s="64" t="str">
        <f>Ringkasan!E998</f>
        <v>IDXG30</v>
      </c>
      <c r="F999" s="64" t="str">
        <f>Ringkasan!F998</f>
        <v>4 Agustus 2026</v>
      </c>
      <c r="G999" s="65">
        <f>Ringkasan!G998</f>
        <v>13</v>
      </c>
      <c r="H999" s="19">
        <f>Ringkasan!H998</f>
        <v>5.6</v>
      </c>
      <c r="I999" s="19">
        <f>Ringkasan!I998</f>
        <v>1.3</v>
      </c>
      <c r="J999" s="19">
        <f>Ringkasan!J998</f>
        <v>23.3</v>
      </c>
      <c r="K999" s="19">
        <f>Ringkasan!K998</f>
        <v>13.1</v>
      </c>
      <c r="L999" s="19">
        <f>Ringkasan!L998</f>
        <v>0.79</v>
      </c>
      <c r="M999" s="19">
        <f>Ringkasan!M998</f>
        <v>29</v>
      </c>
      <c r="N999" s="64" t="str">
        <f>Ringkasan!N998</f>
        <v/>
      </c>
      <c r="O999" s="64" t="str">
        <f>Ringkasan!O998</f>
        <v/>
      </c>
      <c r="P999" s="64" t="str">
        <f>Ringkasan!P998</f>
        <v/>
      </c>
      <c r="Q999" s="64" t="str">
        <f>Ringkasan!Q998</f>
        <v/>
      </c>
      <c r="R999" s="64" t="str">
        <f>Ringkasan!R998</f>
        <v/>
      </c>
      <c r="S999" s="64" t="str">
        <f>Ringkasan!S998</f>
        <v/>
      </c>
      <c r="T999" s="64" t="str">
        <f>Ringkasan!T998</f>
        <v/>
      </c>
      <c r="U999" s="64">
        <f>Ringkasan!U998</f>
        <v>1860</v>
      </c>
      <c r="V999" s="64">
        <f>Ringkasan!V998</f>
        <v>2.42</v>
      </c>
      <c r="W999" s="64">
        <f>Ringkasan!W998</f>
        <v>1865</v>
      </c>
      <c r="X999" s="64">
        <f>Ringkasan!X998</f>
        <v>1930</v>
      </c>
      <c r="Y999" s="64">
        <f>Ringkasan!Y998</f>
        <v>1840</v>
      </c>
      <c r="Z999" s="64">
        <f>Ringkasan!Z998</f>
        <v>30207300</v>
      </c>
      <c r="AA999" s="64" t="str">
        <f>Ringkasan!AA998</f>
        <v>Agricultural Products</v>
      </c>
      <c r="AB999" s="64" t="str">
        <f>Ringkasan!AB998</f>
        <v>Consumer Non-Cyclicals</v>
      </c>
    </row>
    <row r="1000" hidden="1">
      <c r="A1000" s="64" t="str">
        <f>Ringkasan!A999</f>
        <v>JPFA</v>
      </c>
      <c r="B1000" s="64" t="str">
        <f>Ringkasan!B999</f>
        <v>Japfa Comfeed Indonesia Tbk.</v>
      </c>
      <c r="C1000" s="65">
        <f>Ringkasan!C999</f>
        <v>1905</v>
      </c>
      <c r="D1000" s="64" t="str">
        <f>Ringkasan!D999</f>
        <v>#N/A</v>
      </c>
      <c r="E1000" s="64" t="str">
        <f>Ringkasan!E999</f>
        <v>IDXSMC-LIQ</v>
      </c>
      <c r="F1000" s="64" t="str">
        <f>Ringkasan!F999</f>
        <v>4 Agustus 2026</v>
      </c>
      <c r="G1000" s="65">
        <f>Ringkasan!G999</f>
        <v>13</v>
      </c>
      <c r="H1000" s="19">
        <f>Ringkasan!H999</f>
        <v>5.6</v>
      </c>
      <c r="I1000" s="19">
        <f>Ringkasan!I999</f>
        <v>1.3</v>
      </c>
      <c r="J1000" s="19">
        <f>Ringkasan!J999</f>
        <v>23.3</v>
      </c>
      <c r="K1000" s="19">
        <f>Ringkasan!K999</f>
        <v>13.1</v>
      </c>
      <c r="L1000" s="19">
        <f>Ringkasan!L999</f>
        <v>0.79</v>
      </c>
      <c r="M1000" s="19">
        <f>Ringkasan!M999</f>
        <v>29</v>
      </c>
      <c r="N1000" s="64" t="str">
        <f>Ringkasan!N999</f>
        <v/>
      </c>
      <c r="O1000" s="64" t="str">
        <f>Ringkasan!O999</f>
        <v/>
      </c>
      <c r="P1000" s="64" t="str">
        <f>Ringkasan!P999</f>
        <v/>
      </c>
      <c r="Q1000" s="64" t="str">
        <f>Ringkasan!Q999</f>
        <v/>
      </c>
      <c r="R1000" s="64" t="str">
        <f>Ringkasan!R999</f>
        <v/>
      </c>
      <c r="S1000" s="64" t="str">
        <f>Ringkasan!S999</f>
        <v/>
      </c>
      <c r="T1000" s="64" t="str">
        <f>Ringkasan!T999</f>
        <v/>
      </c>
      <c r="U1000" s="64">
        <f>Ringkasan!U999</f>
        <v>1860</v>
      </c>
      <c r="V1000" s="64">
        <f>Ringkasan!V999</f>
        <v>2.42</v>
      </c>
      <c r="W1000" s="64">
        <f>Ringkasan!W999</f>
        <v>1865</v>
      </c>
      <c r="X1000" s="64">
        <f>Ringkasan!X999</f>
        <v>1930</v>
      </c>
      <c r="Y1000" s="64">
        <f>Ringkasan!Y999</f>
        <v>1840</v>
      </c>
      <c r="Z1000" s="64">
        <f>Ringkasan!Z999</f>
        <v>30207300</v>
      </c>
      <c r="AA1000" s="64" t="str">
        <f>Ringkasan!AA999</f>
        <v>Agricultural Products</v>
      </c>
      <c r="AB1000" s="64" t="str">
        <f>Ringkasan!AB999</f>
        <v>Consumer Non-Cyclicals</v>
      </c>
    </row>
    <row r="1001" hidden="1">
      <c r="A1001" s="64" t="str">
        <f>Ringkasan!A1000</f>
        <v>JPFA</v>
      </c>
      <c r="B1001" s="64" t="str">
        <f>Ringkasan!B1000</f>
        <v>Japfa Comfeed Indonesia Tbk.</v>
      </c>
      <c r="C1001" s="65">
        <f>Ringkasan!C1000</f>
        <v>1905</v>
      </c>
      <c r="D1001" s="64" t="str">
        <f>Ringkasan!D1000</f>
        <v>#N/A</v>
      </c>
      <c r="E1001" s="64" t="str">
        <f>Ringkasan!E1000</f>
        <v>MSCI Small Cap</v>
      </c>
      <c r="F1001" s="64" t="str">
        <f>Ringkasan!F1000</f>
        <v>12 Agustus 2026</v>
      </c>
      <c r="G1001" s="65">
        <f>Ringkasan!G1000</f>
        <v>13</v>
      </c>
      <c r="H1001" s="19">
        <f>Ringkasan!H1000</f>
        <v>5.6</v>
      </c>
      <c r="I1001" s="19">
        <f>Ringkasan!I1000</f>
        <v>1.3</v>
      </c>
      <c r="J1001" s="19">
        <f>Ringkasan!J1000</f>
        <v>23.3</v>
      </c>
      <c r="K1001" s="19">
        <f>Ringkasan!K1000</f>
        <v>13.1</v>
      </c>
      <c r="L1001" s="19">
        <f>Ringkasan!L1000</f>
        <v>0.79</v>
      </c>
      <c r="M1001" s="19">
        <f>Ringkasan!M1000</f>
        <v>29</v>
      </c>
      <c r="N1001" s="64" t="str">
        <f>Ringkasan!N1000</f>
        <v/>
      </c>
      <c r="O1001" s="64" t="str">
        <f>Ringkasan!O1000</f>
        <v/>
      </c>
      <c r="P1001" s="64" t="str">
        <f>Ringkasan!P1000</f>
        <v/>
      </c>
      <c r="Q1001" s="64" t="str">
        <f>Ringkasan!Q1000</f>
        <v/>
      </c>
      <c r="R1001" s="64" t="str">
        <f>Ringkasan!R1000</f>
        <v/>
      </c>
      <c r="S1001" s="64" t="str">
        <f>Ringkasan!S1000</f>
        <v/>
      </c>
      <c r="T1001" s="64" t="str">
        <f>Ringkasan!T1000</f>
        <v/>
      </c>
      <c r="U1001" s="64">
        <f>Ringkasan!U1000</f>
        <v>1860</v>
      </c>
      <c r="V1001" s="64">
        <f>Ringkasan!V1000</f>
        <v>2.42</v>
      </c>
      <c r="W1001" s="64">
        <f>Ringkasan!W1000</f>
        <v>1865</v>
      </c>
      <c r="X1001" s="64">
        <f>Ringkasan!X1000</f>
        <v>1930</v>
      </c>
      <c r="Y1001" s="64">
        <f>Ringkasan!Y1000</f>
        <v>1840</v>
      </c>
      <c r="Z1001" s="64">
        <f>Ringkasan!Z1000</f>
        <v>30207300</v>
      </c>
      <c r="AA1001" s="64" t="str">
        <f>Ringkasan!AA1000</f>
        <v>Agricultural Products</v>
      </c>
      <c r="AB1001" s="64" t="str">
        <f>Ringkasan!AB1000</f>
        <v>Consumer Non-Cyclicals</v>
      </c>
    </row>
    <row r="1002" hidden="1">
      <c r="A1002" s="64" t="str">
        <f>Ringkasan!A1001</f>
        <v>JPFA</v>
      </c>
      <c r="B1002" s="64" t="str">
        <f>Ringkasan!B1001</f>
        <v>Japfa Comfeed Indonesia Tbk.</v>
      </c>
      <c r="C1002" s="65">
        <f>Ringkasan!C1001</f>
        <v>1905</v>
      </c>
      <c r="D1002" s="64" t="str">
        <f>Ringkasan!D1001</f>
        <v>#N/A</v>
      </c>
      <c r="E1002" s="64" t="str">
        <f>Ringkasan!E1001</f>
        <v>JII30</v>
      </c>
      <c r="F1002" s="66">
        <f>Ringkasan!F1001</f>
        <v>46356</v>
      </c>
      <c r="G1002" s="65">
        <f>Ringkasan!G1001</f>
        <v>13</v>
      </c>
      <c r="H1002" s="19">
        <f>Ringkasan!H1001</f>
        <v>5.6</v>
      </c>
      <c r="I1002" s="19">
        <f>Ringkasan!I1001</f>
        <v>1.3</v>
      </c>
      <c r="J1002" s="19">
        <f>Ringkasan!J1001</f>
        <v>23.3</v>
      </c>
      <c r="K1002" s="19">
        <f>Ringkasan!K1001</f>
        <v>13.1</v>
      </c>
      <c r="L1002" s="19">
        <f>Ringkasan!L1001</f>
        <v>0.79</v>
      </c>
      <c r="M1002" s="19">
        <f>Ringkasan!M1001</f>
        <v>29</v>
      </c>
      <c r="N1002" s="64" t="str">
        <f>Ringkasan!N1001</f>
        <v/>
      </c>
      <c r="O1002" s="64" t="str">
        <f>Ringkasan!O1001</f>
        <v/>
      </c>
      <c r="P1002" s="64" t="str">
        <f>Ringkasan!P1001</f>
        <v/>
      </c>
      <c r="Q1002" s="64" t="str">
        <f>Ringkasan!Q1001</f>
        <v/>
      </c>
      <c r="R1002" s="64" t="str">
        <f>Ringkasan!R1001</f>
        <v/>
      </c>
      <c r="S1002" s="64" t="str">
        <f>Ringkasan!S1001</f>
        <v/>
      </c>
      <c r="T1002" s="64" t="str">
        <f>Ringkasan!T1001</f>
        <v/>
      </c>
      <c r="U1002" s="64">
        <f>Ringkasan!U1001</f>
        <v>1860</v>
      </c>
      <c r="V1002" s="64">
        <f>Ringkasan!V1001</f>
        <v>2.42</v>
      </c>
      <c r="W1002" s="64">
        <f>Ringkasan!W1001</f>
        <v>1865</v>
      </c>
      <c r="X1002" s="64">
        <f>Ringkasan!X1001</f>
        <v>1930</v>
      </c>
      <c r="Y1002" s="64">
        <f>Ringkasan!Y1001</f>
        <v>1840</v>
      </c>
      <c r="Z1002" s="64">
        <f>Ringkasan!Z1001</f>
        <v>30207300</v>
      </c>
      <c r="AA1002" s="64" t="str">
        <f>Ringkasan!AA1001</f>
        <v>Agricultural Products</v>
      </c>
      <c r="AB1002" s="64" t="str">
        <f>Ringkasan!AB1001</f>
        <v>Consumer Non-Cyclicals</v>
      </c>
    </row>
    <row r="1003" hidden="1">
      <c r="A1003" s="64" t="str">
        <f>Ringkasan!A1002</f>
        <v>JPFA</v>
      </c>
      <c r="B1003" s="64" t="str">
        <f>Ringkasan!B1002</f>
        <v>Japfa Comfeed Indonesia Tbk.</v>
      </c>
      <c r="C1003" s="65">
        <f>Ringkasan!C1002</f>
        <v>1905</v>
      </c>
      <c r="D1003" s="64" t="str">
        <f>Ringkasan!D1002</f>
        <v>#N/A</v>
      </c>
      <c r="E1003" s="64" t="str">
        <f>Ringkasan!E1002</f>
        <v>JII70</v>
      </c>
      <c r="F1003" s="66">
        <f>Ringkasan!F1002</f>
        <v>46356</v>
      </c>
      <c r="G1003" s="65">
        <f>Ringkasan!G1002</f>
        <v>13</v>
      </c>
      <c r="H1003" s="19">
        <f>Ringkasan!H1002</f>
        <v>5.6</v>
      </c>
      <c r="I1003" s="19">
        <f>Ringkasan!I1002</f>
        <v>1.3</v>
      </c>
      <c r="J1003" s="19">
        <f>Ringkasan!J1002</f>
        <v>23.3</v>
      </c>
      <c r="K1003" s="19">
        <f>Ringkasan!K1002</f>
        <v>13.1</v>
      </c>
      <c r="L1003" s="19">
        <f>Ringkasan!L1002</f>
        <v>0.79</v>
      </c>
      <c r="M1003" s="19">
        <f>Ringkasan!M1002</f>
        <v>29</v>
      </c>
      <c r="N1003" s="64" t="str">
        <f>Ringkasan!N1002</f>
        <v/>
      </c>
      <c r="O1003" s="64" t="str">
        <f>Ringkasan!O1002</f>
        <v/>
      </c>
      <c r="P1003" s="64" t="str">
        <f>Ringkasan!P1002</f>
        <v/>
      </c>
      <c r="Q1003" s="64" t="str">
        <f>Ringkasan!Q1002</f>
        <v/>
      </c>
      <c r="R1003" s="64" t="str">
        <f>Ringkasan!R1002</f>
        <v/>
      </c>
      <c r="S1003" s="64" t="str">
        <f>Ringkasan!S1002</f>
        <v/>
      </c>
      <c r="T1003" s="64" t="str">
        <f>Ringkasan!T1002</f>
        <v/>
      </c>
      <c r="U1003" s="64">
        <f>Ringkasan!U1002</f>
        <v>1860</v>
      </c>
      <c r="V1003" s="64">
        <f>Ringkasan!V1002</f>
        <v>2.42</v>
      </c>
      <c r="W1003" s="64">
        <f>Ringkasan!W1002</f>
        <v>1865</v>
      </c>
      <c r="X1003" s="64">
        <f>Ringkasan!X1002</f>
        <v>1930</v>
      </c>
      <c r="Y1003" s="64">
        <f>Ringkasan!Y1002</f>
        <v>1840</v>
      </c>
      <c r="Z1003" s="64">
        <f>Ringkasan!Z1002</f>
        <v>30207300</v>
      </c>
      <c r="AA1003" s="64" t="str">
        <f>Ringkasan!AA1002</f>
        <v>Agricultural Products</v>
      </c>
      <c r="AB1003" s="64" t="str">
        <f>Ringkasan!AB1002</f>
        <v>Consumer Non-Cyclicals</v>
      </c>
    </row>
    <row r="1004" hidden="1">
      <c r="A1004" s="64" t="str">
        <f>Ringkasan!A1003</f>
        <v>JRPT</v>
      </c>
      <c r="B1004" s="64" t="str">
        <f>Ringkasan!B1003</f>
        <v>Jaya Real Property Tbk.</v>
      </c>
      <c r="C1004" s="65">
        <f>Ringkasan!C1003</f>
        <v>1080</v>
      </c>
      <c r="D1004" s="64" t="str">
        <f>Ringkasan!D1003</f>
        <v>#N/A</v>
      </c>
      <c r="E1004" s="64" t="str">
        <f>Ringkasan!E1003</f>
        <v>IDXMESBUMN</v>
      </c>
      <c r="F1004" s="66">
        <f>Ringkasan!F1003</f>
        <v>46356</v>
      </c>
      <c r="G1004" s="64">
        <f>Ringkasan!G1003</f>
        <v>1</v>
      </c>
      <c r="H1004" s="19">
        <f>Ringkasan!H1003</f>
        <v>10.6</v>
      </c>
      <c r="I1004" s="19">
        <f>Ringkasan!I1003</f>
        <v>1.3</v>
      </c>
      <c r="J1004" s="19">
        <f>Ringkasan!J1003</f>
        <v>11.9</v>
      </c>
      <c r="K1004" s="19">
        <f>Ringkasan!K1003</f>
        <v>8.7</v>
      </c>
      <c r="L1004" s="19">
        <f>Ringkasan!L1003</f>
        <v>0.36</v>
      </c>
      <c r="M1004" s="19">
        <f>Ringkasan!M1003</f>
        <v>180</v>
      </c>
      <c r="N1004" s="64" t="str">
        <f>Ringkasan!N1003</f>
        <v/>
      </c>
      <c r="O1004" s="64" t="str">
        <f>Ringkasan!O1003</f>
        <v/>
      </c>
      <c r="P1004" s="64" t="str">
        <f>Ringkasan!P1003</f>
        <v/>
      </c>
      <c r="Q1004" s="64" t="str">
        <f>Ringkasan!Q1003</f>
        <v/>
      </c>
      <c r="R1004" s="64" t="str">
        <f>Ringkasan!R1003</f>
        <v/>
      </c>
      <c r="S1004" s="64" t="str">
        <f>Ringkasan!S1003</f>
        <v/>
      </c>
      <c r="T1004" s="64" t="str">
        <f>Ringkasan!T1003</f>
        <v/>
      </c>
      <c r="U1004" s="64">
        <f>Ringkasan!U1003</f>
        <v>1080</v>
      </c>
      <c r="V1004" s="64">
        <f>Ringkasan!V1003</f>
        <v>0</v>
      </c>
      <c r="W1004" s="64">
        <f>Ringkasan!W1003</f>
        <v>1080</v>
      </c>
      <c r="X1004" s="64">
        <f>Ringkasan!X1003</f>
        <v>1085</v>
      </c>
      <c r="Y1004" s="64">
        <f>Ringkasan!Y1003</f>
        <v>1070</v>
      </c>
      <c r="Z1004" s="64">
        <f>Ringkasan!Z1003</f>
        <v>365600</v>
      </c>
      <c r="AA1004" s="64" t="str">
        <f>Ringkasan!AA1003</f>
        <v>Real Estate Management &amp; Development</v>
      </c>
      <c r="AB1004" s="64" t="str">
        <f>Ringkasan!AB1003</f>
        <v>Properties &amp; Real Estate</v>
      </c>
    </row>
    <row r="1005" hidden="1">
      <c r="A1005" s="64" t="str">
        <f>Ringkasan!A1004</f>
        <v>JSKY</v>
      </c>
      <c r="B1005" s="64" t="str">
        <f>Ringkasan!B1004</f>
        <v>Sky Energy Indonesia Tbk.</v>
      </c>
      <c r="C1005" s="65">
        <f>Ringkasan!C1004</f>
        <v>52</v>
      </c>
      <c r="D1005" s="64" t="str">
        <f>Ringkasan!D1004</f>
        <v>#N/A</v>
      </c>
      <c r="E1005" s="64" t="str">
        <f>Ringkasan!E1004</f>
        <v/>
      </c>
      <c r="F1005" s="64" t="str">
        <f>Ringkasan!F1004</f>
        <v/>
      </c>
      <c r="G1005" s="64">
        <f>Ringkasan!G1004</f>
        <v>0</v>
      </c>
      <c r="H1005" s="19">
        <f>Ringkasan!H1004</f>
        <v>0</v>
      </c>
      <c r="I1005" s="19">
        <f>Ringkasan!I1004</f>
        <v>-7.8</v>
      </c>
      <c r="J1005" s="19">
        <f>Ringkasan!J1004</f>
        <v>0</v>
      </c>
      <c r="K1005" s="19">
        <f>Ringkasan!K1004</f>
        <v>-50.3</v>
      </c>
      <c r="L1005" s="19">
        <f>Ringkasan!L1004</f>
        <v>-19.1</v>
      </c>
      <c r="M1005" s="19">
        <f>Ringkasan!M1004</f>
        <v>-150</v>
      </c>
      <c r="N1005" s="64" t="str">
        <f>Ringkasan!N1004</f>
        <v/>
      </c>
      <c r="O1005" s="64" t="str">
        <f>Ringkasan!O1004</f>
        <v/>
      </c>
      <c r="P1005" s="64" t="str">
        <f>Ringkasan!P1004</f>
        <v/>
      </c>
      <c r="Q1005" s="64" t="str">
        <f>Ringkasan!Q1004</f>
        <v/>
      </c>
      <c r="R1005" s="64" t="str">
        <f>Ringkasan!R1004</f>
        <v/>
      </c>
      <c r="S1005" s="64" t="str">
        <f>Ringkasan!S1004</f>
        <v/>
      </c>
      <c r="T1005" s="64" t="str">
        <f>Ringkasan!T1004</f>
        <v/>
      </c>
      <c r="U1005" s="64">
        <f>Ringkasan!U1004</f>
        <v>52</v>
      </c>
      <c r="V1005" s="64">
        <f>Ringkasan!V1004</f>
        <v>0</v>
      </c>
      <c r="W1005" s="64" t="str">
        <f>Ringkasan!W1004</f>
        <v/>
      </c>
      <c r="X1005" s="64" t="str">
        <f>Ringkasan!X1004</f>
        <v/>
      </c>
      <c r="Y1005" s="64" t="str">
        <f>Ringkasan!Y1004</f>
        <v/>
      </c>
      <c r="Z1005" s="64">
        <f>Ringkasan!Z1004</f>
        <v>0</v>
      </c>
      <c r="AA1005" s="64" t="str">
        <f>Ringkasan!AA1004</f>
        <v>Alternative Energy Equipment</v>
      </c>
      <c r="AB1005" s="64" t="str">
        <f>Ringkasan!AB1004</f>
        <v>Energy</v>
      </c>
    </row>
    <row r="1006" hidden="1">
      <c r="A1006" s="64" t="str">
        <f>Ringkasan!A1005</f>
        <v>JSMR</v>
      </c>
      <c r="B1006" s="64" t="str">
        <f>Ringkasan!B1005</f>
        <v>Jasa Marga (Persero) Tbk.</v>
      </c>
      <c r="C1006" s="65">
        <f>Ringkasan!C1005</f>
        <v>2600</v>
      </c>
      <c r="D1006" s="64" t="str">
        <f>Ringkasan!D1005</f>
        <v>#N/A</v>
      </c>
      <c r="E1006" s="64" t="str">
        <f>Ringkasan!E1005</f>
        <v>ESGQKEHATI</v>
      </c>
      <c r="F1006" s="66">
        <f>Ringkasan!F1005</f>
        <v>46356</v>
      </c>
      <c r="G1006" s="64">
        <f>Ringkasan!G1005</f>
        <v>17</v>
      </c>
      <c r="H1006" s="19">
        <f>Ringkasan!H1005</f>
        <v>6.2</v>
      </c>
      <c r="I1006" s="19">
        <f>Ringkasan!I1005</f>
        <v>0.34</v>
      </c>
      <c r="J1006" s="19">
        <f>Ringkasan!J1005</f>
        <v>5.5</v>
      </c>
      <c r="K1006" s="19">
        <f>Ringkasan!K1005</f>
        <v>2.2</v>
      </c>
      <c r="L1006" s="19">
        <f>Ringkasan!L1005</f>
        <v>1.5</v>
      </c>
      <c r="M1006" s="19">
        <f>Ringkasan!M1005</f>
        <v>54.4</v>
      </c>
      <c r="N1006" s="64" t="str">
        <f>Ringkasan!N1005</f>
        <v/>
      </c>
      <c r="O1006" s="64" t="str">
        <f>Ringkasan!O1005</f>
        <v/>
      </c>
      <c r="P1006" s="64" t="str">
        <f>Ringkasan!P1005</f>
        <v/>
      </c>
      <c r="Q1006" s="64" t="str">
        <f>Ringkasan!Q1005</f>
        <v/>
      </c>
      <c r="R1006" s="64" t="str">
        <f>Ringkasan!R1005</f>
        <v/>
      </c>
      <c r="S1006" s="64" t="str">
        <f>Ringkasan!S1005</f>
        <v/>
      </c>
      <c r="T1006" s="64" t="str">
        <f>Ringkasan!T1005</f>
        <v/>
      </c>
      <c r="U1006" s="64">
        <f>Ringkasan!U1005</f>
        <v>2620</v>
      </c>
      <c r="V1006" s="64">
        <f>Ringkasan!V1005</f>
        <v>-0.76</v>
      </c>
      <c r="W1006" s="64">
        <f>Ringkasan!W1005</f>
        <v>2630</v>
      </c>
      <c r="X1006" s="64">
        <f>Ringkasan!X1005</f>
        <v>2650</v>
      </c>
      <c r="Y1006" s="64">
        <f>Ringkasan!Y1005</f>
        <v>2600</v>
      </c>
      <c r="Z1006" s="64">
        <f>Ringkasan!Z1005</f>
        <v>9670400</v>
      </c>
      <c r="AA1006" s="64" t="str">
        <f>Ringkasan!AA1005</f>
        <v>Transport Infrastructure Operator</v>
      </c>
      <c r="AB1006" s="64" t="str">
        <f>Ringkasan!AB1005</f>
        <v>Infrastructures</v>
      </c>
    </row>
    <row r="1007" hidden="1">
      <c r="A1007" s="64" t="str">
        <f>Ringkasan!A1006</f>
        <v>JSMR</v>
      </c>
      <c r="B1007" s="64" t="str">
        <f>Ringkasan!B1006</f>
        <v>Jasa Marga (Persero) Tbk.</v>
      </c>
      <c r="C1007" s="65">
        <f>Ringkasan!C1006</f>
        <v>2600</v>
      </c>
      <c r="D1007" s="64" t="str">
        <f>Ringkasan!D1006</f>
        <v>#N/A</v>
      </c>
      <c r="E1007" s="64" t="str">
        <f>Ringkasan!E1006</f>
        <v>IDXMESBUMN</v>
      </c>
      <c r="F1007" s="66">
        <f>Ringkasan!F1006</f>
        <v>46356</v>
      </c>
      <c r="G1007" s="64">
        <f>Ringkasan!G1006</f>
        <v>17</v>
      </c>
      <c r="H1007" s="19">
        <f>Ringkasan!H1006</f>
        <v>6.2</v>
      </c>
      <c r="I1007" s="19">
        <f>Ringkasan!I1006</f>
        <v>0.34</v>
      </c>
      <c r="J1007" s="19">
        <f>Ringkasan!J1006</f>
        <v>5.5</v>
      </c>
      <c r="K1007" s="19">
        <f>Ringkasan!K1006</f>
        <v>2.2</v>
      </c>
      <c r="L1007" s="19">
        <f>Ringkasan!L1006</f>
        <v>1.5</v>
      </c>
      <c r="M1007" s="19">
        <f>Ringkasan!M1006</f>
        <v>54.4</v>
      </c>
      <c r="N1007" s="64" t="str">
        <f>Ringkasan!N1006</f>
        <v/>
      </c>
      <c r="O1007" s="64" t="str">
        <f>Ringkasan!O1006</f>
        <v/>
      </c>
      <c r="P1007" s="64" t="str">
        <f>Ringkasan!P1006</f>
        <v/>
      </c>
      <c r="Q1007" s="64" t="str">
        <f>Ringkasan!Q1006</f>
        <v/>
      </c>
      <c r="R1007" s="64" t="str">
        <f>Ringkasan!R1006</f>
        <v/>
      </c>
      <c r="S1007" s="64" t="str">
        <f>Ringkasan!S1006</f>
        <v/>
      </c>
      <c r="T1007" s="64" t="str">
        <f>Ringkasan!T1006</f>
        <v/>
      </c>
      <c r="U1007" s="64">
        <f>Ringkasan!U1006</f>
        <v>2620</v>
      </c>
      <c r="V1007" s="64">
        <f>Ringkasan!V1006</f>
        <v>-0.76</v>
      </c>
      <c r="W1007" s="64">
        <f>Ringkasan!W1006</f>
        <v>2630</v>
      </c>
      <c r="X1007" s="64">
        <f>Ringkasan!X1006</f>
        <v>2650</v>
      </c>
      <c r="Y1007" s="64">
        <f>Ringkasan!Y1006</f>
        <v>2600</v>
      </c>
      <c r="Z1007" s="64">
        <f>Ringkasan!Z1006</f>
        <v>9670400</v>
      </c>
      <c r="AA1007" s="64" t="str">
        <f>Ringkasan!AA1006</f>
        <v>Transport Infrastructure Operator</v>
      </c>
      <c r="AB1007" s="64" t="str">
        <f>Ringkasan!AB1006</f>
        <v>Infrastructures</v>
      </c>
    </row>
    <row r="1008" hidden="1">
      <c r="A1008" s="64" t="str">
        <f>Ringkasan!A1007</f>
        <v>JSMR</v>
      </c>
      <c r="B1008" s="64" t="str">
        <f>Ringkasan!B1007</f>
        <v>Jasa Marga (Persero) Tbk.</v>
      </c>
      <c r="C1008" s="65">
        <f>Ringkasan!C1007</f>
        <v>2600</v>
      </c>
      <c r="D1008" s="64" t="str">
        <f>Ringkasan!D1007</f>
        <v>#N/A</v>
      </c>
      <c r="E1008" s="64" t="str">
        <f>Ringkasan!E1007</f>
        <v>Investor33</v>
      </c>
      <c r="F1008" s="66">
        <f>Ringkasan!F1007</f>
        <v>46356</v>
      </c>
      <c r="G1008" s="64">
        <f>Ringkasan!G1007</f>
        <v>17</v>
      </c>
      <c r="H1008" s="19">
        <f>Ringkasan!H1007</f>
        <v>6.2</v>
      </c>
      <c r="I1008" s="19">
        <f>Ringkasan!I1007</f>
        <v>0.34</v>
      </c>
      <c r="J1008" s="19">
        <f>Ringkasan!J1007</f>
        <v>5.5</v>
      </c>
      <c r="K1008" s="19">
        <f>Ringkasan!K1007</f>
        <v>2.2</v>
      </c>
      <c r="L1008" s="19">
        <f>Ringkasan!L1007</f>
        <v>1.5</v>
      </c>
      <c r="M1008" s="19">
        <f>Ringkasan!M1007</f>
        <v>54.4</v>
      </c>
      <c r="N1008" s="64" t="str">
        <f>Ringkasan!N1007</f>
        <v/>
      </c>
      <c r="O1008" s="64" t="str">
        <f>Ringkasan!O1007</f>
        <v/>
      </c>
      <c r="P1008" s="64" t="str">
        <f>Ringkasan!P1007</f>
        <v/>
      </c>
      <c r="Q1008" s="64" t="str">
        <f>Ringkasan!Q1007</f>
        <v/>
      </c>
      <c r="R1008" s="64" t="str">
        <f>Ringkasan!R1007</f>
        <v/>
      </c>
      <c r="S1008" s="64" t="str">
        <f>Ringkasan!S1007</f>
        <v/>
      </c>
      <c r="T1008" s="64" t="str">
        <f>Ringkasan!T1007</f>
        <v/>
      </c>
      <c r="U1008" s="64">
        <f>Ringkasan!U1007</f>
        <v>2620</v>
      </c>
      <c r="V1008" s="64">
        <f>Ringkasan!V1007</f>
        <v>-0.76</v>
      </c>
      <c r="W1008" s="64">
        <f>Ringkasan!W1007</f>
        <v>2630</v>
      </c>
      <c r="X1008" s="64">
        <f>Ringkasan!X1007</f>
        <v>2650</v>
      </c>
      <c r="Y1008" s="64">
        <f>Ringkasan!Y1007</f>
        <v>2600</v>
      </c>
      <c r="Z1008" s="64">
        <f>Ringkasan!Z1007</f>
        <v>9670400</v>
      </c>
      <c r="AA1008" s="64" t="str">
        <f>Ringkasan!AA1007</f>
        <v>Transport Infrastructure Operator</v>
      </c>
      <c r="AB1008" s="64" t="str">
        <f>Ringkasan!AB1007</f>
        <v>Infrastructures</v>
      </c>
    </row>
    <row r="1009" hidden="1">
      <c r="A1009" s="64" t="str">
        <f>Ringkasan!A1008</f>
        <v>JSMR</v>
      </c>
      <c r="B1009" s="64" t="str">
        <f>Ringkasan!B1008</f>
        <v>Jasa Marga (Persero) Tbk.</v>
      </c>
      <c r="C1009" s="65">
        <f>Ringkasan!C1008</f>
        <v>2600</v>
      </c>
      <c r="D1009" s="64" t="str">
        <f>Ringkasan!D1008</f>
        <v>#N/A</v>
      </c>
      <c r="E1009" s="64" t="str">
        <f>Ringkasan!E1008</f>
        <v>ESGSKEHATI</v>
      </c>
      <c r="F1009" s="66">
        <f>Ringkasan!F1008</f>
        <v>46356</v>
      </c>
      <c r="G1009" s="64">
        <f>Ringkasan!G1008</f>
        <v>17</v>
      </c>
      <c r="H1009" s="19">
        <f>Ringkasan!H1008</f>
        <v>6.2</v>
      </c>
      <c r="I1009" s="19">
        <f>Ringkasan!I1008</f>
        <v>0.34</v>
      </c>
      <c r="J1009" s="19">
        <f>Ringkasan!J1008</f>
        <v>5.5</v>
      </c>
      <c r="K1009" s="19">
        <f>Ringkasan!K1008</f>
        <v>2.2</v>
      </c>
      <c r="L1009" s="19">
        <f>Ringkasan!L1008</f>
        <v>1.5</v>
      </c>
      <c r="M1009" s="19">
        <f>Ringkasan!M1008</f>
        <v>54.4</v>
      </c>
      <c r="N1009" s="64" t="str">
        <f>Ringkasan!N1008</f>
        <v/>
      </c>
      <c r="O1009" s="64" t="str">
        <f>Ringkasan!O1008</f>
        <v/>
      </c>
      <c r="P1009" s="64" t="str">
        <f>Ringkasan!P1008</f>
        <v/>
      </c>
      <c r="Q1009" s="64" t="str">
        <f>Ringkasan!Q1008</f>
        <v/>
      </c>
      <c r="R1009" s="64" t="str">
        <f>Ringkasan!R1008</f>
        <v/>
      </c>
      <c r="S1009" s="64" t="str">
        <f>Ringkasan!S1008</f>
        <v/>
      </c>
      <c r="T1009" s="64" t="str">
        <f>Ringkasan!T1008</f>
        <v/>
      </c>
      <c r="U1009" s="64">
        <f>Ringkasan!U1008</f>
        <v>2620</v>
      </c>
      <c r="V1009" s="64">
        <f>Ringkasan!V1008</f>
        <v>-0.76</v>
      </c>
      <c r="W1009" s="64">
        <f>Ringkasan!W1008</f>
        <v>2630</v>
      </c>
      <c r="X1009" s="64">
        <f>Ringkasan!X1008</f>
        <v>2650</v>
      </c>
      <c r="Y1009" s="64">
        <f>Ringkasan!Y1008</f>
        <v>2600</v>
      </c>
      <c r="Z1009" s="64">
        <f>Ringkasan!Z1008</f>
        <v>9670400</v>
      </c>
      <c r="AA1009" s="64" t="str">
        <f>Ringkasan!AA1008</f>
        <v>Transport Infrastructure Operator</v>
      </c>
      <c r="AB1009" s="64" t="str">
        <f>Ringkasan!AB1008</f>
        <v>Infrastructures</v>
      </c>
    </row>
    <row r="1010" hidden="1">
      <c r="A1010" s="64" t="str">
        <f>Ringkasan!A1009</f>
        <v>JSMR</v>
      </c>
      <c r="B1010" s="64" t="str">
        <f>Ringkasan!B1009</f>
        <v>Jasa Marga (Persero) Tbk.</v>
      </c>
      <c r="C1010" s="65">
        <f>Ringkasan!C1009</f>
        <v>2600</v>
      </c>
      <c r="D1010" s="64" t="str">
        <f>Ringkasan!D1009</f>
        <v>#N/A</v>
      </c>
      <c r="E1010" s="64" t="str">
        <f>Ringkasan!E1009</f>
        <v>Pefindo - iGrade</v>
      </c>
      <c r="F1010" s="64" t="str">
        <f>Ringkasan!F1009</f>
        <v>30 Juni 2026</v>
      </c>
      <c r="G1010" s="64">
        <f>Ringkasan!G1009</f>
        <v>17</v>
      </c>
      <c r="H1010" s="19">
        <f>Ringkasan!H1009</f>
        <v>6.2</v>
      </c>
      <c r="I1010" s="19">
        <f>Ringkasan!I1009</f>
        <v>0.34</v>
      </c>
      <c r="J1010" s="19">
        <f>Ringkasan!J1009</f>
        <v>5.5</v>
      </c>
      <c r="K1010" s="19">
        <f>Ringkasan!K1009</f>
        <v>2.2</v>
      </c>
      <c r="L1010" s="19">
        <f>Ringkasan!L1009</f>
        <v>1.5</v>
      </c>
      <c r="M1010" s="19">
        <f>Ringkasan!M1009</f>
        <v>54.4</v>
      </c>
      <c r="N1010" s="64" t="str">
        <f>Ringkasan!N1009</f>
        <v/>
      </c>
      <c r="O1010" s="64" t="str">
        <f>Ringkasan!O1009</f>
        <v/>
      </c>
      <c r="P1010" s="64" t="str">
        <f>Ringkasan!P1009</f>
        <v/>
      </c>
      <c r="Q1010" s="64" t="str">
        <f>Ringkasan!Q1009</f>
        <v/>
      </c>
      <c r="R1010" s="64" t="str">
        <f>Ringkasan!R1009</f>
        <v/>
      </c>
      <c r="S1010" s="64" t="str">
        <f>Ringkasan!S1009</f>
        <v/>
      </c>
      <c r="T1010" s="64" t="str">
        <f>Ringkasan!T1009</f>
        <v/>
      </c>
      <c r="U1010" s="64">
        <f>Ringkasan!U1009</f>
        <v>2620</v>
      </c>
      <c r="V1010" s="64">
        <f>Ringkasan!V1009</f>
        <v>-0.76</v>
      </c>
      <c r="W1010" s="64">
        <f>Ringkasan!W1009</f>
        <v>2630</v>
      </c>
      <c r="X1010" s="64">
        <f>Ringkasan!X1009</f>
        <v>2650</v>
      </c>
      <c r="Y1010" s="64">
        <f>Ringkasan!Y1009</f>
        <v>2600</v>
      </c>
      <c r="Z1010" s="64">
        <f>Ringkasan!Z1009</f>
        <v>9670400</v>
      </c>
      <c r="AA1010" s="64" t="str">
        <f>Ringkasan!AA1009</f>
        <v>Transport Infrastructure Operator</v>
      </c>
      <c r="AB1010" s="64" t="str">
        <f>Ringkasan!AB1009</f>
        <v>Infrastructures</v>
      </c>
    </row>
    <row r="1011" hidden="1">
      <c r="A1011" s="64" t="str">
        <f>Ringkasan!A1010</f>
        <v>JSMR</v>
      </c>
      <c r="B1011" s="64" t="str">
        <f>Ringkasan!B1010</f>
        <v>Jasa Marga (Persero) Tbk.</v>
      </c>
      <c r="C1011" s="65">
        <f>Ringkasan!C1010</f>
        <v>2600</v>
      </c>
      <c r="D1011" s="64" t="str">
        <f>Ringkasan!D1010</f>
        <v>#N/A</v>
      </c>
      <c r="E1011" s="64" t="str">
        <f>Ringkasan!E1010</f>
        <v>IDXBUMN20</v>
      </c>
      <c r="F1011" s="64" t="str">
        <f>Ringkasan!F1010</f>
        <v>4 Agustus 2026</v>
      </c>
      <c r="G1011" s="64">
        <f>Ringkasan!G1010</f>
        <v>17</v>
      </c>
      <c r="H1011" s="19">
        <f>Ringkasan!H1010</f>
        <v>6.2</v>
      </c>
      <c r="I1011" s="19">
        <f>Ringkasan!I1010</f>
        <v>0.34</v>
      </c>
      <c r="J1011" s="19">
        <f>Ringkasan!J1010</f>
        <v>5.5</v>
      </c>
      <c r="K1011" s="19">
        <f>Ringkasan!K1010</f>
        <v>2.2</v>
      </c>
      <c r="L1011" s="19">
        <f>Ringkasan!L1010</f>
        <v>1.5</v>
      </c>
      <c r="M1011" s="19">
        <f>Ringkasan!M1010</f>
        <v>54.4</v>
      </c>
      <c r="N1011" s="64" t="str">
        <f>Ringkasan!N1010</f>
        <v/>
      </c>
      <c r="O1011" s="64" t="str">
        <f>Ringkasan!O1010</f>
        <v/>
      </c>
      <c r="P1011" s="64" t="str">
        <f>Ringkasan!P1010</f>
        <v/>
      </c>
      <c r="Q1011" s="64" t="str">
        <f>Ringkasan!Q1010</f>
        <v/>
      </c>
      <c r="R1011" s="64" t="str">
        <f>Ringkasan!R1010</f>
        <v/>
      </c>
      <c r="S1011" s="64" t="str">
        <f>Ringkasan!S1010</f>
        <v/>
      </c>
      <c r="T1011" s="64" t="str">
        <f>Ringkasan!T1010</f>
        <v/>
      </c>
      <c r="U1011" s="64">
        <f>Ringkasan!U1010</f>
        <v>2620</v>
      </c>
      <c r="V1011" s="64">
        <f>Ringkasan!V1010</f>
        <v>-0.76</v>
      </c>
      <c r="W1011" s="64">
        <f>Ringkasan!W1010</f>
        <v>2630</v>
      </c>
      <c r="X1011" s="64">
        <f>Ringkasan!X1010</f>
        <v>2650</v>
      </c>
      <c r="Y1011" s="64">
        <f>Ringkasan!Y1010</f>
        <v>2600</v>
      </c>
      <c r="Z1011" s="64">
        <f>Ringkasan!Z1010</f>
        <v>9670400</v>
      </c>
      <c r="AA1011" s="64" t="str">
        <f>Ringkasan!AA1010</f>
        <v>Transport Infrastructure Operator</v>
      </c>
      <c r="AB1011" s="64" t="str">
        <f>Ringkasan!AB1010</f>
        <v>Infrastructures</v>
      </c>
    </row>
    <row r="1012" hidden="1">
      <c r="A1012" s="64" t="str">
        <f>Ringkasan!A1011</f>
        <v>JSMR</v>
      </c>
      <c r="B1012" s="64" t="str">
        <f>Ringkasan!B1011</f>
        <v>Jasa Marga (Persero) Tbk.</v>
      </c>
      <c r="C1012" s="65">
        <f>Ringkasan!C1011</f>
        <v>2600</v>
      </c>
      <c r="D1012" s="64" t="str">
        <f>Ringkasan!D1011</f>
        <v>#N/A</v>
      </c>
      <c r="E1012" s="64" t="str">
        <f>Ringkasan!E1011</f>
        <v>Kompas100</v>
      </c>
      <c r="F1012" s="64" t="str">
        <f>Ringkasan!F1011</f>
        <v>31 Juli 2026</v>
      </c>
      <c r="G1012" s="64">
        <f>Ringkasan!G1011</f>
        <v>17</v>
      </c>
      <c r="H1012" s="19">
        <f>Ringkasan!H1011</f>
        <v>6.2</v>
      </c>
      <c r="I1012" s="19">
        <f>Ringkasan!I1011</f>
        <v>0.34</v>
      </c>
      <c r="J1012" s="19">
        <f>Ringkasan!J1011</f>
        <v>5.5</v>
      </c>
      <c r="K1012" s="19">
        <f>Ringkasan!K1011</f>
        <v>2.2</v>
      </c>
      <c r="L1012" s="19">
        <f>Ringkasan!L1011</f>
        <v>1.5</v>
      </c>
      <c r="M1012" s="19">
        <f>Ringkasan!M1011</f>
        <v>54.4</v>
      </c>
      <c r="N1012" s="64" t="str">
        <f>Ringkasan!N1011</f>
        <v/>
      </c>
      <c r="O1012" s="64" t="str">
        <f>Ringkasan!O1011</f>
        <v/>
      </c>
      <c r="P1012" s="64" t="str">
        <f>Ringkasan!P1011</f>
        <v/>
      </c>
      <c r="Q1012" s="64" t="str">
        <f>Ringkasan!Q1011</f>
        <v/>
      </c>
      <c r="R1012" s="64" t="str">
        <f>Ringkasan!R1011</f>
        <v/>
      </c>
      <c r="S1012" s="64" t="str">
        <f>Ringkasan!S1011</f>
        <v/>
      </c>
      <c r="T1012" s="64" t="str">
        <f>Ringkasan!T1011</f>
        <v/>
      </c>
      <c r="U1012" s="64">
        <f>Ringkasan!U1011</f>
        <v>2620</v>
      </c>
      <c r="V1012" s="64">
        <f>Ringkasan!V1011</f>
        <v>-0.76</v>
      </c>
      <c r="W1012" s="64">
        <f>Ringkasan!W1011</f>
        <v>2630</v>
      </c>
      <c r="X1012" s="64">
        <f>Ringkasan!X1011</f>
        <v>2650</v>
      </c>
      <c r="Y1012" s="64">
        <f>Ringkasan!Y1011</f>
        <v>2600</v>
      </c>
      <c r="Z1012" s="64">
        <f>Ringkasan!Z1011</f>
        <v>9670400</v>
      </c>
      <c r="AA1012" s="64" t="str">
        <f>Ringkasan!AA1011</f>
        <v>Transport Infrastructure Operator</v>
      </c>
      <c r="AB1012" s="64" t="str">
        <f>Ringkasan!AB1011</f>
        <v>Infrastructures</v>
      </c>
    </row>
    <row r="1013" hidden="1">
      <c r="A1013" s="64" t="str">
        <f>Ringkasan!A1012</f>
        <v>JSMR</v>
      </c>
      <c r="B1013" s="64" t="str">
        <f>Ringkasan!B1012</f>
        <v>Jasa Marga (Persero) Tbk.</v>
      </c>
      <c r="C1013" s="65">
        <f>Ringkasan!C1012</f>
        <v>2600</v>
      </c>
      <c r="D1013" s="64" t="str">
        <f>Ringkasan!D1012</f>
        <v>#N/A</v>
      </c>
      <c r="E1013" s="64" t="str">
        <f>Ringkasan!E1012</f>
        <v>IDX80</v>
      </c>
      <c r="F1013" s="64" t="str">
        <f>Ringkasan!F1012</f>
        <v>31 Juli 2026</v>
      </c>
      <c r="G1013" s="64">
        <f>Ringkasan!G1012</f>
        <v>17</v>
      </c>
      <c r="H1013" s="19">
        <f>Ringkasan!H1012</f>
        <v>6.2</v>
      </c>
      <c r="I1013" s="19">
        <f>Ringkasan!I1012</f>
        <v>0.34</v>
      </c>
      <c r="J1013" s="19">
        <f>Ringkasan!J1012</f>
        <v>5.5</v>
      </c>
      <c r="K1013" s="19">
        <f>Ringkasan!K1012</f>
        <v>2.2</v>
      </c>
      <c r="L1013" s="19">
        <f>Ringkasan!L1012</f>
        <v>1.5</v>
      </c>
      <c r="M1013" s="19">
        <f>Ringkasan!M1012</f>
        <v>54.4</v>
      </c>
      <c r="N1013" s="64" t="str">
        <f>Ringkasan!N1012</f>
        <v/>
      </c>
      <c r="O1013" s="64" t="str">
        <f>Ringkasan!O1012</f>
        <v/>
      </c>
      <c r="P1013" s="64" t="str">
        <f>Ringkasan!P1012</f>
        <v/>
      </c>
      <c r="Q1013" s="64" t="str">
        <f>Ringkasan!Q1012</f>
        <v/>
      </c>
      <c r="R1013" s="64" t="str">
        <f>Ringkasan!R1012</f>
        <v/>
      </c>
      <c r="S1013" s="64" t="str">
        <f>Ringkasan!S1012</f>
        <v/>
      </c>
      <c r="T1013" s="64" t="str">
        <f>Ringkasan!T1012</f>
        <v/>
      </c>
      <c r="U1013" s="64">
        <f>Ringkasan!U1012</f>
        <v>2620</v>
      </c>
      <c r="V1013" s="64">
        <f>Ringkasan!V1012</f>
        <v>-0.76</v>
      </c>
      <c r="W1013" s="64">
        <f>Ringkasan!W1012</f>
        <v>2630</v>
      </c>
      <c r="X1013" s="64">
        <f>Ringkasan!X1012</f>
        <v>2650</v>
      </c>
      <c r="Y1013" s="64">
        <f>Ringkasan!Y1012</f>
        <v>2600</v>
      </c>
      <c r="Z1013" s="64">
        <f>Ringkasan!Z1012</f>
        <v>9670400</v>
      </c>
      <c r="AA1013" s="64" t="str">
        <f>Ringkasan!AA1012</f>
        <v>Transport Infrastructure Operator</v>
      </c>
      <c r="AB1013" s="64" t="str">
        <f>Ringkasan!AB1012</f>
        <v>Infrastructures</v>
      </c>
    </row>
    <row r="1014" hidden="1">
      <c r="A1014" s="64" t="str">
        <f>Ringkasan!A1013</f>
        <v>JSMR</v>
      </c>
      <c r="B1014" s="64" t="str">
        <f>Ringkasan!B1013</f>
        <v>Jasa Marga (Persero) Tbk.</v>
      </c>
      <c r="C1014" s="65">
        <f>Ringkasan!C1013</f>
        <v>2600</v>
      </c>
      <c r="D1014" s="64" t="str">
        <f>Ringkasan!D1013</f>
        <v>#N/A</v>
      </c>
      <c r="E1014" s="64" t="str">
        <f>Ringkasan!E1013</f>
        <v>SMINFRA18</v>
      </c>
      <c r="F1014" s="64" t="str">
        <f>Ringkasan!F1013</f>
        <v>30 Oktober 2026</v>
      </c>
      <c r="G1014" s="64">
        <f>Ringkasan!G1013</f>
        <v>17</v>
      </c>
      <c r="H1014" s="19">
        <f>Ringkasan!H1013</f>
        <v>6.2</v>
      </c>
      <c r="I1014" s="19">
        <f>Ringkasan!I1013</f>
        <v>0.34</v>
      </c>
      <c r="J1014" s="19">
        <f>Ringkasan!J1013</f>
        <v>5.5</v>
      </c>
      <c r="K1014" s="19">
        <f>Ringkasan!K1013</f>
        <v>2.2</v>
      </c>
      <c r="L1014" s="19">
        <f>Ringkasan!L1013</f>
        <v>1.5</v>
      </c>
      <c r="M1014" s="19">
        <f>Ringkasan!M1013</f>
        <v>54.4</v>
      </c>
      <c r="N1014" s="64" t="str">
        <f>Ringkasan!N1013</f>
        <v/>
      </c>
      <c r="O1014" s="64" t="str">
        <f>Ringkasan!O1013</f>
        <v/>
      </c>
      <c r="P1014" s="64" t="str">
        <f>Ringkasan!P1013</f>
        <v/>
      </c>
      <c r="Q1014" s="64" t="str">
        <f>Ringkasan!Q1013</f>
        <v/>
      </c>
      <c r="R1014" s="64" t="str">
        <f>Ringkasan!R1013</f>
        <v/>
      </c>
      <c r="S1014" s="64" t="str">
        <f>Ringkasan!S1013</f>
        <v/>
      </c>
      <c r="T1014" s="64" t="str">
        <f>Ringkasan!T1013</f>
        <v/>
      </c>
      <c r="U1014" s="64">
        <f>Ringkasan!U1013</f>
        <v>2620</v>
      </c>
      <c r="V1014" s="64">
        <f>Ringkasan!V1013</f>
        <v>-0.76</v>
      </c>
      <c r="W1014" s="64">
        <f>Ringkasan!W1013</f>
        <v>2630</v>
      </c>
      <c r="X1014" s="64">
        <f>Ringkasan!X1013</f>
        <v>2650</v>
      </c>
      <c r="Y1014" s="64">
        <f>Ringkasan!Y1013</f>
        <v>2600</v>
      </c>
      <c r="Z1014" s="64">
        <f>Ringkasan!Z1013</f>
        <v>9670400</v>
      </c>
      <c r="AA1014" s="64" t="str">
        <f>Ringkasan!AA1013</f>
        <v>Transport Infrastructure Operator</v>
      </c>
      <c r="AB1014" s="64" t="str">
        <f>Ringkasan!AB1013</f>
        <v>Infrastructures</v>
      </c>
    </row>
    <row r="1015" hidden="1">
      <c r="A1015" s="64" t="str">
        <f>Ringkasan!A1014</f>
        <v>JSMR</v>
      </c>
      <c r="B1015" s="64" t="str">
        <f>Ringkasan!B1014</f>
        <v>Jasa Marga (Persero) Tbk.</v>
      </c>
      <c r="C1015" s="65">
        <f>Ringkasan!C1014</f>
        <v>2600</v>
      </c>
      <c r="D1015" s="64" t="str">
        <f>Ringkasan!D1014</f>
        <v>#N/A</v>
      </c>
      <c r="E1015" s="64" t="str">
        <f>Ringkasan!E1014</f>
        <v>IDXESGL</v>
      </c>
      <c r="F1015" s="64" t="str">
        <f>Ringkasan!F1014</f>
        <v>30 Oktober 2026</v>
      </c>
      <c r="G1015" s="64">
        <f>Ringkasan!G1014</f>
        <v>17</v>
      </c>
      <c r="H1015" s="19">
        <f>Ringkasan!H1014</f>
        <v>6.2</v>
      </c>
      <c r="I1015" s="19">
        <f>Ringkasan!I1014</f>
        <v>0.34</v>
      </c>
      <c r="J1015" s="19">
        <f>Ringkasan!J1014</f>
        <v>5.5</v>
      </c>
      <c r="K1015" s="19">
        <f>Ringkasan!K1014</f>
        <v>2.2</v>
      </c>
      <c r="L1015" s="19">
        <f>Ringkasan!L1014</f>
        <v>1.5</v>
      </c>
      <c r="M1015" s="19">
        <f>Ringkasan!M1014</f>
        <v>54.4</v>
      </c>
      <c r="N1015" s="64" t="str">
        <f>Ringkasan!N1014</f>
        <v/>
      </c>
      <c r="O1015" s="64" t="str">
        <f>Ringkasan!O1014</f>
        <v/>
      </c>
      <c r="P1015" s="64" t="str">
        <f>Ringkasan!P1014</f>
        <v/>
      </c>
      <c r="Q1015" s="64" t="str">
        <f>Ringkasan!Q1014</f>
        <v/>
      </c>
      <c r="R1015" s="64" t="str">
        <f>Ringkasan!R1014</f>
        <v/>
      </c>
      <c r="S1015" s="64" t="str">
        <f>Ringkasan!S1014</f>
        <v/>
      </c>
      <c r="T1015" s="64" t="str">
        <f>Ringkasan!T1014</f>
        <v/>
      </c>
      <c r="U1015" s="64">
        <f>Ringkasan!U1014</f>
        <v>2620</v>
      </c>
      <c r="V1015" s="64">
        <f>Ringkasan!V1014</f>
        <v>-0.76</v>
      </c>
      <c r="W1015" s="64">
        <f>Ringkasan!W1014</f>
        <v>2630</v>
      </c>
      <c r="X1015" s="64">
        <f>Ringkasan!X1014</f>
        <v>2650</v>
      </c>
      <c r="Y1015" s="64">
        <f>Ringkasan!Y1014</f>
        <v>2600</v>
      </c>
      <c r="Z1015" s="64">
        <f>Ringkasan!Z1014</f>
        <v>9670400</v>
      </c>
      <c r="AA1015" s="64" t="str">
        <f>Ringkasan!AA1014</f>
        <v>Transport Infrastructure Operator</v>
      </c>
      <c r="AB1015" s="64" t="str">
        <f>Ringkasan!AB1014</f>
        <v>Infrastructures</v>
      </c>
    </row>
    <row r="1016" hidden="1">
      <c r="A1016" s="64" t="str">
        <f>Ringkasan!A1015</f>
        <v>JSMR</v>
      </c>
      <c r="B1016" s="64" t="str">
        <f>Ringkasan!B1015</f>
        <v>Jasa Marga (Persero) Tbk.</v>
      </c>
      <c r="C1016" s="65">
        <f>Ringkasan!C1015</f>
        <v>2600</v>
      </c>
      <c r="D1016" s="64" t="str">
        <f>Ringkasan!D1015</f>
        <v>#N/A</v>
      </c>
      <c r="E1016" s="64" t="str">
        <f>Ringkasan!E1015</f>
        <v>IDXV30</v>
      </c>
      <c r="F1016" s="64" t="str">
        <f>Ringkasan!F1015</f>
        <v>4 Agustus 2026</v>
      </c>
      <c r="G1016" s="64">
        <f>Ringkasan!G1015</f>
        <v>17</v>
      </c>
      <c r="H1016" s="19">
        <f>Ringkasan!H1015</f>
        <v>6.2</v>
      </c>
      <c r="I1016" s="19">
        <f>Ringkasan!I1015</f>
        <v>0.34</v>
      </c>
      <c r="J1016" s="19">
        <f>Ringkasan!J1015</f>
        <v>5.5</v>
      </c>
      <c r="K1016" s="19">
        <f>Ringkasan!K1015</f>
        <v>2.2</v>
      </c>
      <c r="L1016" s="19">
        <f>Ringkasan!L1015</f>
        <v>1.5</v>
      </c>
      <c r="M1016" s="19">
        <f>Ringkasan!M1015</f>
        <v>54.4</v>
      </c>
      <c r="N1016" s="64" t="str">
        <f>Ringkasan!N1015</f>
        <v/>
      </c>
      <c r="O1016" s="64" t="str">
        <f>Ringkasan!O1015</f>
        <v/>
      </c>
      <c r="P1016" s="64" t="str">
        <f>Ringkasan!P1015</f>
        <v/>
      </c>
      <c r="Q1016" s="64" t="str">
        <f>Ringkasan!Q1015</f>
        <v/>
      </c>
      <c r="R1016" s="64" t="str">
        <f>Ringkasan!R1015</f>
        <v/>
      </c>
      <c r="S1016" s="64" t="str">
        <f>Ringkasan!S1015</f>
        <v/>
      </c>
      <c r="T1016" s="64" t="str">
        <f>Ringkasan!T1015</f>
        <v/>
      </c>
      <c r="U1016" s="64">
        <f>Ringkasan!U1015</f>
        <v>2620</v>
      </c>
      <c r="V1016" s="64">
        <f>Ringkasan!V1015</f>
        <v>-0.76</v>
      </c>
      <c r="W1016" s="64">
        <f>Ringkasan!W1015</f>
        <v>2630</v>
      </c>
      <c r="X1016" s="64">
        <f>Ringkasan!X1015</f>
        <v>2650</v>
      </c>
      <c r="Y1016" s="64">
        <f>Ringkasan!Y1015</f>
        <v>2600</v>
      </c>
      <c r="Z1016" s="64">
        <f>Ringkasan!Z1015</f>
        <v>9670400</v>
      </c>
      <c r="AA1016" s="64" t="str">
        <f>Ringkasan!AA1015</f>
        <v>Transport Infrastructure Operator</v>
      </c>
      <c r="AB1016" s="64" t="str">
        <f>Ringkasan!AB1015</f>
        <v>Infrastructures</v>
      </c>
    </row>
    <row r="1017" hidden="1">
      <c r="A1017" s="64" t="str">
        <f>Ringkasan!A1016</f>
        <v>JSMR</v>
      </c>
      <c r="B1017" s="64" t="str">
        <f>Ringkasan!B1016</f>
        <v>Jasa Marga (Persero) Tbk.</v>
      </c>
      <c r="C1017" s="65">
        <f>Ringkasan!C1016</f>
        <v>2600</v>
      </c>
      <c r="D1017" s="64" t="str">
        <f>Ringkasan!D1016</f>
        <v>#N/A</v>
      </c>
      <c r="E1017" s="64" t="str">
        <f>Ringkasan!E1016</f>
        <v>IDXVESTA28</v>
      </c>
      <c r="F1017" s="64" t="str">
        <f>Ringkasan!F1016</f>
        <v>31 Agustus 2026</v>
      </c>
      <c r="G1017" s="64">
        <f>Ringkasan!G1016</f>
        <v>17</v>
      </c>
      <c r="H1017" s="19">
        <f>Ringkasan!H1016</f>
        <v>6.2</v>
      </c>
      <c r="I1017" s="19">
        <f>Ringkasan!I1016</f>
        <v>0.34</v>
      </c>
      <c r="J1017" s="19">
        <f>Ringkasan!J1016</f>
        <v>5.5</v>
      </c>
      <c r="K1017" s="19">
        <f>Ringkasan!K1016</f>
        <v>2.2</v>
      </c>
      <c r="L1017" s="19">
        <f>Ringkasan!L1016</f>
        <v>1.5</v>
      </c>
      <c r="M1017" s="19">
        <f>Ringkasan!M1016</f>
        <v>54.4</v>
      </c>
      <c r="N1017" s="64" t="str">
        <f>Ringkasan!N1016</f>
        <v/>
      </c>
      <c r="O1017" s="64" t="str">
        <f>Ringkasan!O1016</f>
        <v/>
      </c>
      <c r="P1017" s="64" t="str">
        <f>Ringkasan!P1016</f>
        <v/>
      </c>
      <c r="Q1017" s="64" t="str">
        <f>Ringkasan!Q1016</f>
        <v/>
      </c>
      <c r="R1017" s="64" t="str">
        <f>Ringkasan!R1016</f>
        <v/>
      </c>
      <c r="S1017" s="64" t="str">
        <f>Ringkasan!S1016</f>
        <v/>
      </c>
      <c r="T1017" s="64" t="str">
        <f>Ringkasan!T1016</f>
        <v/>
      </c>
      <c r="U1017" s="64">
        <f>Ringkasan!U1016</f>
        <v>2620</v>
      </c>
      <c r="V1017" s="64">
        <f>Ringkasan!V1016</f>
        <v>-0.76</v>
      </c>
      <c r="W1017" s="64">
        <f>Ringkasan!W1016</f>
        <v>2630</v>
      </c>
      <c r="X1017" s="64">
        <f>Ringkasan!X1016</f>
        <v>2650</v>
      </c>
      <c r="Y1017" s="64">
        <f>Ringkasan!Y1016</f>
        <v>2600</v>
      </c>
      <c r="Z1017" s="64">
        <f>Ringkasan!Z1016</f>
        <v>9670400</v>
      </c>
      <c r="AA1017" s="64" t="str">
        <f>Ringkasan!AA1016</f>
        <v>Transport Infrastructure Operator</v>
      </c>
      <c r="AB1017" s="64" t="str">
        <f>Ringkasan!AB1016</f>
        <v>Infrastructures</v>
      </c>
    </row>
    <row r="1018" hidden="1">
      <c r="A1018" s="64" t="str">
        <f>Ringkasan!A1017</f>
        <v>JSMR</v>
      </c>
      <c r="B1018" s="64" t="str">
        <f>Ringkasan!B1017</f>
        <v>Jasa Marga (Persero) Tbk.</v>
      </c>
      <c r="C1018" s="65">
        <f>Ringkasan!C1017</f>
        <v>2600</v>
      </c>
      <c r="D1018" s="64" t="str">
        <f>Ringkasan!D1017</f>
        <v>#N/A</v>
      </c>
      <c r="E1018" s="64" t="str">
        <f>Ringkasan!E1017</f>
        <v>IDXSMC-LIQ</v>
      </c>
      <c r="F1018" s="64" t="str">
        <f>Ringkasan!F1017</f>
        <v>4 Agustus 2026</v>
      </c>
      <c r="G1018" s="64">
        <f>Ringkasan!G1017</f>
        <v>17</v>
      </c>
      <c r="H1018" s="19">
        <f>Ringkasan!H1017</f>
        <v>6.2</v>
      </c>
      <c r="I1018" s="19">
        <f>Ringkasan!I1017</f>
        <v>0.34</v>
      </c>
      <c r="J1018" s="19">
        <f>Ringkasan!J1017</f>
        <v>5.5</v>
      </c>
      <c r="K1018" s="19">
        <f>Ringkasan!K1017</f>
        <v>2.2</v>
      </c>
      <c r="L1018" s="19">
        <f>Ringkasan!L1017</f>
        <v>1.5</v>
      </c>
      <c r="M1018" s="19">
        <f>Ringkasan!M1017</f>
        <v>54.4</v>
      </c>
      <c r="N1018" s="64" t="str">
        <f>Ringkasan!N1017</f>
        <v/>
      </c>
      <c r="O1018" s="64" t="str">
        <f>Ringkasan!O1017</f>
        <v/>
      </c>
      <c r="P1018" s="64" t="str">
        <f>Ringkasan!P1017</f>
        <v/>
      </c>
      <c r="Q1018" s="64" t="str">
        <f>Ringkasan!Q1017</f>
        <v/>
      </c>
      <c r="R1018" s="64" t="str">
        <f>Ringkasan!R1017</f>
        <v/>
      </c>
      <c r="S1018" s="64" t="str">
        <f>Ringkasan!S1017</f>
        <v/>
      </c>
      <c r="T1018" s="64" t="str">
        <f>Ringkasan!T1017</f>
        <v/>
      </c>
      <c r="U1018" s="64">
        <f>Ringkasan!U1017</f>
        <v>2620</v>
      </c>
      <c r="V1018" s="64">
        <f>Ringkasan!V1017</f>
        <v>-0.76</v>
      </c>
      <c r="W1018" s="64">
        <f>Ringkasan!W1017</f>
        <v>2630</v>
      </c>
      <c r="X1018" s="64">
        <f>Ringkasan!X1017</f>
        <v>2650</v>
      </c>
      <c r="Y1018" s="64">
        <f>Ringkasan!Y1017</f>
        <v>2600</v>
      </c>
      <c r="Z1018" s="64">
        <f>Ringkasan!Z1017</f>
        <v>9670400</v>
      </c>
      <c r="AA1018" s="64" t="str">
        <f>Ringkasan!AA1017</f>
        <v>Transport Infrastructure Operator</v>
      </c>
      <c r="AB1018" s="64" t="str">
        <f>Ringkasan!AB1017</f>
        <v>Infrastructures</v>
      </c>
    </row>
    <row r="1019" hidden="1">
      <c r="A1019" s="64" t="str">
        <f>Ringkasan!A460</f>
        <v>BTPS</v>
      </c>
      <c r="B1019" s="64" t="str">
        <f>Ringkasan!B460</f>
        <v>Bank BTPN Syariah Tbk.</v>
      </c>
      <c r="C1019" s="65">
        <f>Ringkasan!C460</f>
        <v>965</v>
      </c>
      <c r="D1019" s="64" t="str">
        <f>Ringkasan!D460</f>
        <v>#N/A</v>
      </c>
      <c r="E1019" s="64" t="str">
        <f>Ringkasan!E460</f>
        <v>JII70</v>
      </c>
      <c r="F1019" s="66">
        <f>Ringkasan!F460</f>
        <v>46356</v>
      </c>
      <c r="G1019" s="64">
        <f>Ringkasan!G460</f>
        <v>7</v>
      </c>
      <c r="H1019" s="19">
        <f>Ringkasan!H460</f>
        <v>5.9</v>
      </c>
      <c r="I1019" s="19">
        <f>Ringkasan!I460</f>
        <v>0.7</v>
      </c>
      <c r="J1019" s="19">
        <f>Ringkasan!J460</f>
        <v>11.8</v>
      </c>
      <c r="K1019" s="19">
        <f>Ringkasan!K460</f>
        <v>5.2</v>
      </c>
      <c r="L1019" s="19">
        <f>Ringkasan!L460</f>
        <v>0.28</v>
      </c>
      <c r="M1019" s="19">
        <f>Ringkasan!M460</f>
        <v>110</v>
      </c>
      <c r="N1019" s="64">
        <f>Ringkasan!N460</f>
        <v>21.7</v>
      </c>
      <c r="O1019" s="64">
        <f>Ringkasan!O460</f>
        <v>57.74</v>
      </c>
      <c r="P1019" s="64">
        <f>Ringkasan!P460</f>
        <v>84.7</v>
      </c>
      <c r="Q1019" s="64">
        <f>Ringkasan!Q460</f>
        <v>2.59</v>
      </c>
      <c r="R1019" s="64">
        <f>Ringkasan!R460</f>
        <v>79.28</v>
      </c>
      <c r="S1019" s="64">
        <f>Ringkasan!S460</f>
        <v>48.82</v>
      </c>
      <c r="T1019" s="64" t="str">
        <f>Ringkasan!T460</f>
        <v/>
      </c>
      <c r="U1019" s="64">
        <f>Ringkasan!U460</f>
        <v>935</v>
      </c>
      <c r="V1019" s="64" t="str">
        <f>Ringkasan!V460</f>
        <v/>
      </c>
      <c r="W1019" s="64">
        <f>Ringkasan!W460</f>
        <v>935</v>
      </c>
      <c r="X1019" s="64">
        <f>Ringkasan!X460</f>
        <v>980</v>
      </c>
      <c r="Y1019" s="64">
        <f>Ringkasan!Y460</f>
        <v>930</v>
      </c>
      <c r="Z1019" s="64">
        <f>Ringkasan!Z460</f>
        <v>5453300</v>
      </c>
      <c r="AA1019" s="64" t="str">
        <f>Ringkasan!AA460</f>
        <v>Banks</v>
      </c>
      <c r="AB1019" s="64" t="str">
        <f>Ringkasan!AB460</f>
        <v>Financials</v>
      </c>
    </row>
    <row r="1020" hidden="1">
      <c r="A1020" s="64" t="str">
        <f>Ringkasan!A1019</f>
        <v>JSMR</v>
      </c>
      <c r="B1020" s="64" t="str">
        <f>Ringkasan!B1019</f>
        <v>Jasa Marga (Persero) Tbk.</v>
      </c>
      <c r="C1020" s="65">
        <f>Ringkasan!C1019</f>
        <v>2600</v>
      </c>
      <c r="D1020" s="64" t="str">
        <f>Ringkasan!D1019</f>
        <v>#N/A</v>
      </c>
      <c r="E1020" s="64" t="str">
        <f>Ringkasan!E1019</f>
        <v>MSCI Small Cap</v>
      </c>
      <c r="F1020" s="64" t="str">
        <f>Ringkasan!F1019</f>
        <v>12 Agustus 2026</v>
      </c>
      <c r="G1020" s="65">
        <f>Ringkasan!G1019</f>
        <v>17</v>
      </c>
      <c r="H1020" s="19">
        <f>Ringkasan!H1019</f>
        <v>6.2</v>
      </c>
      <c r="I1020" s="19">
        <f>Ringkasan!I1019</f>
        <v>0.34</v>
      </c>
      <c r="J1020" s="19">
        <f>Ringkasan!J1019</f>
        <v>5.5</v>
      </c>
      <c r="K1020" s="19">
        <f>Ringkasan!K1019</f>
        <v>2.2</v>
      </c>
      <c r="L1020" s="19">
        <f>Ringkasan!L1019</f>
        <v>1.5</v>
      </c>
      <c r="M1020" s="19">
        <f>Ringkasan!M1019</f>
        <v>54.4</v>
      </c>
      <c r="N1020" s="64" t="str">
        <f>Ringkasan!N1019</f>
        <v/>
      </c>
      <c r="O1020" s="64" t="str">
        <f>Ringkasan!O1019</f>
        <v/>
      </c>
      <c r="P1020" s="64" t="str">
        <f>Ringkasan!P1019</f>
        <v/>
      </c>
      <c r="Q1020" s="64" t="str">
        <f>Ringkasan!Q1019</f>
        <v/>
      </c>
      <c r="R1020" s="64" t="str">
        <f>Ringkasan!R1019</f>
        <v/>
      </c>
      <c r="S1020" s="64" t="str">
        <f>Ringkasan!S1019</f>
        <v/>
      </c>
      <c r="T1020" s="64" t="str">
        <f>Ringkasan!T1019</f>
        <v/>
      </c>
      <c r="U1020" s="64">
        <f>Ringkasan!U1019</f>
        <v>2620</v>
      </c>
      <c r="V1020" s="64">
        <f>Ringkasan!V1019</f>
        <v>-0.76</v>
      </c>
      <c r="W1020" s="64">
        <f>Ringkasan!W1019</f>
        <v>2630</v>
      </c>
      <c r="X1020" s="64">
        <f>Ringkasan!X1019</f>
        <v>2650</v>
      </c>
      <c r="Y1020" s="64">
        <f>Ringkasan!Y1019</f>
        <v>2600</v>
      </c>
      <c r="Z1020" s="64">
        <f>Ringkasan!Z1019</f>
        <v>9670400</v>
      </c>
      <c r="AA1020" s="64" t="str">
        <f>Ringkasan!AA1019</f>
        <v>Transport Infrastructure Operator</v>
      </c>
      <c r="AB1020" s="64" t="str">
        <f>Ringkasan!AB1019</f>
        <v>Infrastructures</v>
      </c>
    </row>
    <row r="1021" hidden="1">
      <c r="A1021" s="64" t="str">
        <f>Ringkasan!A616</f>
        <v>DRMA</v>
      </c>
      <c r="B1021" s="64" t="str">
        <f>Ringkasan!B616</f>
        <v>Dharma Polimetal Tbk.</v>
      </c>
      <c r="C1021" s="65">
        <f>Ringkasan!C616</f>
        <v>940</v>
      </c>
      <c r="D1021" s="64" t="str">
        <f>Ringkasan!D616</f>
        <v>#N/A</v>
      </c>
      <c r="E1021" s="64" t="str">
        <f>Ringkasan!E616</f>
        <v/>
      </c>
      <c r="F1021" s="64" t="str">
        <f>Ringkasan!F616</f>
        <v/>
      </c>
      <c r="G1021" s="65">
        <f>Ringkasan!G616</f>
        <v>0</v>
      </c>
      <c r="H1021" s="19">
        <f>Ringkasan!H616</f>
        <v>7</v>
      </c>
      <c r="I1021" s="19">
        <f>Ringkasan!I616</f>
        <v>1.5</v>
      </c>
      <c r="J1021" s="19">
        <f>Ringkasan!J616</f>
        <v>21.3</v>
      </c>
      <c r="K1021" s="19">
        <f>Ringkasan!K616</f>
        <v>14.6</v>
      </c>
      <c r="L1021" s="19">
        <f>Ringkasan!L616</f>
        <v>0.46</v>
      </c>
      <c r="M1021" s="19">
        <f>Ringkasan!M616</f>
        <v>42.3</v>
      </c>
      <c r="N1021" s="64" t="str">
        <f>Ringkasan!N616</f>
        <v/>
      </c>
      <c r="O1021" s="64" t="str">
        <f>Ringkasan!O616</f>
        <v/>
      </c>
      <c r="P1021" s="64" t="str">
        <f>Ringkasan!P616</f>
        <v/>
      </c>
      <c r="Q1021" s="64" t="str">
        <f>Ringkasan!Q616</f>
        <v/>
      </c>
      <c r="R1021" s="64" t="str">
        <f>Ringkasan!R616</f>
        <v/>
      </c>
      <c r="S1021" s="64" t="str">
        <f>Ringkasan!S616</f>
        <v/>
      </c>
      <c r="T1021" s="64" t="str">
        <f>Ringkasan!T616</f>
        <v/>
      </c>
      <c r="U1021" s="64">
        <f>Ringkasan!U616</f>
        <v>1.22</v>
      </c>
      <c r="V1021" s="64">
        <f>Ringkasan!V616</f>
        <v>-3.28</v>
      </c>
      <c r="W1021" s="64">
        <f>Ringkasan!W616</f>
        <v>1.23</v>
      </c>
      <c r="X1021" s="64">
        <f>Ringkasan!X616</f>
        <v>1.24</v>
      </c>
      <c r="Y1021" s="64">
        <f>Ringkasan!Y616</f>
        <v>1.17</v>
      </c>
      <c r="Z1021" s="64">
        <f>Ringkasan!Z616</f>
        <v>41158</v>
      </c>
      <c r="AA1021" s="64" t="str">
        <f>Ringkasan!AA616</f>
        <v>Auto Components</v>
      </c>
      <c r="AB1021" s="64" t="str">
        <f>Ringkasan!AB616</f>
        <v>Consumer Cyclicals</v>
      </c>
    </row>
    <row r="1022" hidden="1">
      <c r="A1022" s="64" t="str">
        <f>Ringkasan!A1021</f>
        <v>JSMR</v>
      </c>
      <c r="B1022" s="64" t="str">
        <f>Ringkasan!B1021</f>
        <v>Jasa Marga (Persero) Tbk.</v>
      </c>
      <c r="C1022" s="65">
        <f>Ringkasan!C1021</f>
        <v>2600</v>
      </c>
      <c r="D1022" s="64" t="str">
        <f>Ringkasan!D1021</f>
        <v>#N/A</v>
      </c>
      <c r="E1022" s="64" t="str">
        <f>Ringkasan!E1021</f>
        <v>JII70</v>
      </c>
      <c r="F1022" s="66">
        <f>Ringkasan!F1021</f>
        <v>46356</v>
      </c>
      <c r="G1022" s="64">
        <f>Ringkasan!G1021</f>
        <v>17</v>
      </c>
      <c r="H1022" s="19">
        <f>Ringkasan!H1021</f>
        <v>6.2</v>
      </c>
      <c r="I1022" s="19">
        <f>Ringkasan!I1021</f>
        <v>0.34</v>
      </c>
      <c r="J1022" s="19">
        <f>Ringkasan!J1021</f>
        <v>5.5</v>
      </c>
      <c r="K1022" s="19">
        <f>Ringkasan!K1021</f>
        <v>2.2</v>
      </c>
      <c r="L1022" s="19">
        <f>Ringkasan!L1021</f>
        <v>1.5</v>
      </c>
      <c r="M1022" s="19">
        <f>Ringkasan!M1021</f>
        <v>54.4</v>
      </c>
      <c r="N1022" s="64" t="str">
        <f>Ringkasan!N1021</f>
        <v/>
      </c>
      <c r="O1022" s="64" t="str">
        <f>Ringkasan!O1021</f>
        <v/>
      </c>
      <c r="P1022" s="64" t="str">
        <f>Ringkasan!P1021</f>
        <v/>
      </c>
      <c r="Q1022" s="64" t="str">
        <f>Ringkasan!Q1021</f>
        <v/>
      </c>
      <c r="R1022" s="64" t="str">
        <f>Ringkasan!R1021</f>
        <v/>
      </c>
      <c r="S1022" s="64" t="str">
        <f>Ringkasan!S1021</f>
        <v/>
      </c>
      <c r="T1022" s="64" t="str">
        <f>Ringkasan!T1021</f>
        <v/>
      </c>
      <c r="U1022" s="64">
        <f>Ringkasan!U1021</f>
        <v>2620</v>
      </c>
      <c r="V1022" s="64">
        <f>Ringkasan!V1021</f>
        <v>-0.76</v>
      </c>
      <c r="W1022" s="64">
        <f>Ringkasan!W1021</f>
        <v>2630</v>
      </c>
      <c r="X1022" s="64">
        <f>Ringkasan!X1021</f>
        <v>2650</v>
      </c>
      <c r="Y1022" s="64">
        <f>Ringkasan!Y1021</f>
        <v>2600</v>
      </c>
      <c r="Z1022" s="64">
        <f>Ringkasan!Z1021</f>
        <v>9670400</v>
      </c>
      <c r="AA1022" s="64" t="str">
        <f>Ringkasan!AA1021</f>
        <v>Transport Infrastructure Operator</v>
      </c>
      <c r="AB1022" s="64" t="str">
        <f>Ringkasan!AB1021</f>
        <v>Infrastructures</v>
      </c>
    </row>
    <row r="1023" hidden="1">
      <c r="A1023" s="64" t="str">
        <f>Ringkasan!A1022</f>
        <v>JSPT</v>
      </c>
      <c r="B1023" s="64" t="str">
        <f>Ringkasan!B1022</f>
        <v>Jakarta Setiabudi Internasional Tbk.</v>
      </c>
      <c r="C1023" s="65">
        <f>Ringkasan!C1022</f>
        <v>1170</v>
      </c>
      <c r="D1023" s="64" t="str">
        <f>Ringkasan!D1022</f>
        <v>#N/A</v>
      </c>
      <c r="E1023" s="64" t="str">
        <f>Ringkasan!E1022</f>
        <v/>
      </c>
      <c r="F1023" s="64" t="str">
        <f>Ringkasan!F1022</f>
        <v/>
      </c>
      <c r="G1023" s="64">
        <f>Ringkasan!G1022</f>
        <v>0</v>
      </c>
      <c r="H1023" s="19">
        <f>Ringkasan!H1022</f>
        <v>7.7</v>
      </c>
      <c r="I1023" s="19">
        <f>Ringkasan!I1022</f>
        <v>0.88</v>
      </c>
      <c r="J1023" s="19">
        <f>Ringkasan!J1022</f>
        <v>11.4</v>
      </c>
      <c r="K1023" s="19">
        <f>Ringkasan!K1022</f>
        <v>5.8</v>
      </c>
      <c r="L1023" s="19">
        <f>Ringkasan!L1022</f>
        <v>0.98</v>
      </c>
      <c r="M1023" s="19">
        <f>Ringkasan!M1022</f>
        <v>55.8</v>
      </c>
      <c r="N1023" s="64" t="str">
        <f>Ringkasan!N1022</f>
        <v/>
      </c>
      <c r="O1023" s="64" t="str">
        <f>Ringkasan!O1022</f>
        <v/>
      </c>
      <c r="P1023" s="64" t="str">
        <f>Ringkasan!P1022</f>
        <v/>
      </c>
      <c r="Q1023" s="64" t="str">
        <f>Ringkasan!Q1022</f>
        <v/>
      </c>
      <c r="R1023" s="64" t="str">
        <f>Ringkasan!R1022</f>
        <v/>
      </c>
      <c r="S1023" s="64" t="str">
        <f>Ringkasan!S1022</f>
        <v/>
      </c>
      <c r="T1023" s="64" t="str">
        <f>Ringkasan!T1022</f>
        <v/>
      </c>
      <c r="U1023" s="64">
        <f>Ringkasan!U1022</f>
        <v>1145</v>
      </c>
      <c r="V1023" s="64">
        <f>Ringkasan!V1022</f>
        <v>2.18</v>
      </c>
      <c r="W1023" s="64">
        <f>Ringkasan!W1022</f>
        <v>1165</v>
      </c>
      <c r="X1023" s="64">
        <f>Ringkasan!X1022</f>
        <v>1365</v>
      </c>
      <c r="Y1023" s="64">
        <f>Ringkasan!Y1022</f>
        <v>1130</v>
      </c>
      <c r="Z1023" s="64">
        <f>Ringkasan!Z1022</f>
        <v>44000</v>
      </c>
      <c r="AA1023" s="64" t="str">
        <f>Ringkasan!AA1022</f>
        <v>Tourism &amp; Recreation</v>
      </c>
      <c r="AB1023" s="64" t="str">
        <f>Ringkasan!AB1022</f>
        <v>Consumer Cyclicals</v>
      </c>
    </row>
    <row r="1024" hidden="1">
      <c r="A1024" s="64" t="str">
        <f>Ringkasan!A633</f>
        <v>DUTI</v>
      </c>
      <c r="B1024" s="64" t="str">
        <f>Ringkasan!B633</f>
        <v>Duta Pertiwi Tbk</v>
      </c>
      <c r="C1024" s="65">
        <f>Ringkasan!C633</f>
        <v>4000</v>
      </c>
      <c r="D1024" s="64" t="str">
        <f>Ringkasan!D633</f>
        <v>#N/A</v>
      </c>
      <c r="E1024" s="64" t="str">
        <f>Ringkasan!E633</f>
        <v/>
      </c>
      <c r="F1024" s="64" t="str">
        <f>Ringkasan!F633</f>
        <v/>
      </c>
      <c r="G1024" s="64">
        <f>Ringkasan!G633</f>
        <v>0</v>
      </c>
      <c r="H1024" s="19">
        <f>Ringkasan!H633</f>
        <v>18</v>
      </c>
      <c r="I1024" s="19">
        <f>Ringkasan!I633</f>
        <v>0.55</v>
      </c>
      <c r="J1024" s="19">
        <f>Ringkasan!J633</f>
        <v>3.1</v>
      </c>
      <c r="K1024" s="19">
        <f>Ringkasan!K633</f>
        <v>2.6</v>
      </c>
      <c r="L1024" s="19">
        <f>Ringkasan!L633</f>
        <v>0.18</v>
      </c>
      <c r="M1024" s="19">
        <f>Ringkasan!M633</f>
        <v>15.4</v>
      </c>
      <c r="N1024" s="64" t="str">
        <f>Ringkasan!N633</f>
        <v/>
      </c>
      <c r="O1024" s="64" t="str">
        <f>Ringkasan!O633</f>
        <v/>
      </c>
      <c r="P1024" s="64" t="str">
        <f>Ringkasan!P633</f>
        <v/>
      </c>
      <c r="Q1024" s="64" t="str">
        <f>Ringkasan!Q633</f>
        <v/>
      </c>
      <c r="R1024" s="64" t="str">
        <f>Ringkasan!R633</f>
        <v/>
      </c>
      <c r="S1024" s="64" t="str">
        <f>Ringkasan!S633</f>
        <v/>
      </c>
      <c r="T1024" s="64" t="str">
        <f>Ringkasan!T633</f>
        <v/>
      </c>
      <c r="U1024" s="64">
        <f>Ringkasan!U633</f>
        <v>4000</v>
      </c>
      <c r="V1024" s="64">
        <f>Ringkasan!V633</f>
        <v>0</v>
      </c>
      <c r="W1024" s="64" t="str">
        <f>Ringkasan!W633</f>
        <v/>
      </c>
      <c r="X1024" s="64" t="str">
        <f>Ringkasan!X633</f>
        <v/>
      </c>
      <c r="Y1024" s="64" t="str">
        <f>Ringkasan!Y633</f>
        <v/>
      </c>
      <c r="Z1024" s="64">
        <f>Ringkasan!Z633</f>
        <v>0</v>
      </c>
      <c r="AA1024" s="64" t="str">
        <f>Ringkasan!AA633</f>
        <v>Real Estate Management &amp; Development</v>
      </c>
      <c r="AB1024" s="64" t="str">
        <f>Ringkasan!AB633</f>
        <v>Properties &amp; Real Estate</v>
      </c>
    </row>
    <row r="1025" hidden="1">
      <c r="A1025" s="64" t="str">
        <f>Ringkasan!A1024</f>
        <v>KAEF</v>
      </c>
      <c r="B1025" s="64" t="str">
        <f>Ringkasan!B1024</f>
        <v>Kimia Farma Tbk.</v>
      </c>
      <c r="C1025" s="65">
        <f>Ringkasan!C1024</f>
        <v>444</v>
      </c>
      <c r="D1025" s="64" t="str">
        <f>Ringkasan!D1024</f>
        <v>#N/A</v>
      </c>
      <c r="E1025" s="64" t="str">
        <f>Ringkasan!E1024</f>
        <v/>
      </c>
      <c r="F1025" s="64" t="str">
        <f>Ringkasan!F1024</f>
        <v/>
      </c>
      <c r="G1025" s="64">
        <f>Ringkasan!G1024</f>
        <v>0</v>
      </c>
      <c r="H1025" s="19">
        <f>Ringkasan!H1024</f>
        <v>-16.9</v>
      </c>
      <c r="I1025" s="19">
        <f>Ringkasan!I1024</f>
        <v>0.93</v>
      </c>
      <c r="J1025" s="19">
        <f>Ringkasan!J1024</f>
        <v>-5.5</v>
      </c>
      <c r="K1025" s="19">
        <f>Ringkasan!K1024</f>
        <v>-1.1</v>
      </c>
      <c r="L1025" s="19">
        <f>Ringkasan!L1024</f>
        <v>4</v>
      </c>
      <c r="M1025" s="19">
        <f>Ringkasan!M1024</f>
        <v>-7.8</v>
      </c>
      <c r="N1025" s="64" t="str">
        <f>Ringkasan!N1024</f>
        <v/>
      </c>
      <c r="O1025" s="64" t="str">
        <f>Ringkasan!O1024</f>
        <v/>
      </c>
      <c r="P1025" s="64" t="str">
        <f>Ringkasan!P1024</f>
        <v/>
      </c>
      <c r="Q1025" s="64" t="str">
        <f>Ringkasan!Q1024</f>
        <v/>
      </c>
      <c r="R1025" s="64" t="str">
        <f>Ringkasan!R1024</f>
        <v/>
      </c>
      <c r="S1025" s="64" t="str">
        <f>Ringkasan!S1024</f>
        <v/>
      </c>
      <c r="T1025" s="64" t="str">
        <f>Ringkasan!T1024</f>
        <v/>
      </c>
      <c r="U1025" s="64">
        <f>Ringkasan!U1024</f>
        <v>426</v>
      </c>
      <c r="V1025" s="64">
        <f>Ringkasan!V1024</f>
        <v>4.23</v>
      </c>
      <c r="W1025" s="64">
        <f>Ringkasan!W1024</f>
        <v>428</v>
      </c>
      <c r="X1025" s="64">
        <f>Ringkasan!X1024</f>
        <v>446</v>
      </c>
      <c r="Y1025" s="64">
        <f>Ringkasan!Y1024</f>
        <v>426</v>
      </c>
      <c r="Z1025" s="64">
        <f>Ringkasan!Z1024</f>
        <v>531500</v>
      </c>
      <c r="AA1025" s="64" t="str">
        <f>Ringkasan!AA1024</f>
        <v>Pharmaceuticals</v>
      </c>
      <c r="AB1025" s="64" t="str">
        <f>Ringkasan!AB1024</f>
        <v>Healthcare</v>
      </c>
    </row>
    <row r="1026" hidden="1">
      <c r="A1026" s="64" t="str">
        <f>Ringkasan!A659</f>
        <v>EMTK</v>
      </c>
      <c r="B1026" s="64" t="str">
        <f>Ringkasan!B659</f>
        <v>Elang Mahkota Teknologi Tbk.</v>
      </c>
      <c r="C1026" s="65">
        <f>Ringkasan!C659</f>
        <v>550</v>
      </c>
      <c r="D1026" s="64" t="str">
        <f>Ringkasan!D659</f>
        <v>#N/A</v>
      </c>
      <c r="E1026" s="64" t="str">
        <f>Ringkasan!E659</f>
        <v>LQ45</v>
      </c>
      <c r="F1026" s="64" t="str">
        <f>Ringkasan!F659</f>
        <v>31 Juli 2026</v>
      </c>
      <c r="G1026" s="65">
        <f>Ringkasan!G659</f>
        <v>13</v>
      </c>
      <c r="H1026" s="19">
        <f>Ringkasan!H659</f>
        <v>13.4</v>
      </c>
      <c r="I1026" s="19">
        <f>Ringkasan!I659</f>
        <v>0.72</v>
      </c>
      <c r="J1026" s="19">
        <f>Ringkasan!J659</f>
        <v>5.4</v>
      </c>
      <c r="K1026" s="19">
        <f>Ringkasan!K659</f>
        <v>4.7</v>
      </c>
      <c r="L1026" s="19">
        <f>Ringkasan!L659</f>
        <v>0.14</v>
      </c>
      <c r="M1026" s="19">
        <f>Ringkasan!M659</f>
        <v>48.5</v>
      </c>
      <c r="N1026" s="64" t="str">
        <f>Ringkasan!N659</f>
        <v/>
      </c>
      <c r="O1026" s="64" t="str">
        <f>Ringkasan!O659</f>
        <v/>
      </c>
      <c r="P1026" s="64" t="str">
        <f>Ringkasan!P659</f>
        <v/>
      </c>
      <c r="Q1026" s="64" t="str">
        <f>Ringkasan!Q659</f>
        <v/>
      </c>
      <c r="R1026" s="64" t="str">
        <f>Ringkasan!R659</f>
        <v/>
      </c>
      <c r="S1026" s="64" t="str">
        <f>Ringkasan!S659</f>
        <v/>
      </c>
      <c r="T1026" s="64" t="str">
        <f>Ringkasan!T659</f>
        <v/>
      </c>
      <c r="U1026" s="64">
        <f>Ringkasan!U659</f>
        <v>525</v>
      </c>
      <c r="V1026" s="64">
        <f>Ringkasan!V659</f>
        <v>4.76</v>
      </c>
      <c r="W1026" s="64">
        <f>Ringkasan!W659</f>
        <v>530</v>
      </c>
      <c r="X1026" s="64">
        <f>Ringkasan!X659</f>
        <v>570</v>
      </c>
      <c r="Y1026" s="64">
        <f>Ringkasan!Y659</f>
        <v>530</v>
      </c>
      <c r="Z1026" s="64">
        <f>Ringkasan!Z659</f>
        <v>34198900</v>
      </c>
      <c r="AA1026" s="64" t="str">
        <f>Ringkasan!AA659</f>
        <v>Online Applications &amp; Services</v>
      </c>
      <c r="AB1026" s="64" t="str">
        <f>Ringkasan!AB659</f>
        <v>Technology</v>
      </c>
    </row>
    <row r="1027" hidden="1">
      <c r="A1027" s="64" t="str">
        <f>Ringkasan!A1026</f>
        <v>KARW</v>
      </c>
      <c r="B1027" s="64" t="str">
        <f>Ringkasan!B1026</f>
        <v>Meratus Jasa Prima Tbk.</v>
      </c>
      <c r="C1027" s="65">
        <f>Ringkasan!C1026</f>
        <v>274</v>
      </c>
      <c r="D1027" s="64" t="str">
        <f>Ringkasan!D1026</f>
        <v>#N/A</v>
      </c>
      <c r="E1027" s="64" t="str">
        <f>Ringkasan!E1026</f>
        <v/>
      </c>
      <c r="F1027" s="64" t="str">
        <f>Ringkasan!F1026</f>
        <v/>
      </c>
      <c r="G1027" s="64">
        <f>Ringkasan!G1026</f>
        <v>0</v>
      </c>
      <c r="H1027" s="19">
        <f>Ringkasan!H1026</f>
        <v>-64.5</v>
      </c>
      <c r="I1027" s="19">
        <f>Ringkasan!I1026</f>
        <v>-0.29</v>
      </c>
      <c r="J1027" s="19">
        <f>Ringkasan!J1026</f>
        <v>0</v>
      </c>
      <c r="K1027" s="19">
        <f>Ringkasan!K1026</f>
        <v>-1.1</v>
      </c>
      <c r="L1027" s="19">
        <f>Ringkasan!L1026</f>
        <v>-1.4</v>
      </c>
      <c r="M1027" s="19">
        <f>Ringkasan!M1026</f>
        <v>-10.9</v>
      </c>
      <c r="N1027" s="64" t="str">
        <f>Ringkasan!N1026</f>
        <v/>
      </c>
      <c r="O1027" s="64" t="str">
        <f>Ringkasan!O1026</f>
        <v/>
      </c>
      <c r="P1027" s="64" t="str">
        <f>Ringkasan!P1026</f>
        <v/>
      </c>
      <c r="Q1027" s="64" t="str">
        <f>Ringkasan!Q1026</f>
        <v/>
      </c>
      <c r="R1027" s="64" t="str">
        <f>Ringkasan!R1026</f>
        <v/>
      </c>
      <c r="S1027" s="64" t="str">
        <f>Ringkasan!S1026</f>
        <v/>
      </c>
      <c r="T1027" s="64" t="str">
        <f>Ringkasan!T1026</f>
        <v/>
      </c>
      <c r="U1027" s="64">
        <f>Ringkasan!U1026</f>
        <v>250</v>
      </c>
      <c r="V1027" s="64">
        <f>Ringkasan!V1026</f>
        <v>9.6</v>
      </c>
      <c r="W1027" s="64">
        <f>Ringkasan!W1026</f>
        <v>274</v>
      </c>
      <c r="X1027" s="64">
        <f>Ringkasan!X1026</f>
        <v>274</v>
      </c>
      <c r="Y1027" s="64">
        <f>Ringkasan!Y1026</f>
        <v>274</v>
      </c>
      <c r="Z1027" s="64">
        <f>Ringkasan!Z1026</f>
        <v>315100</v>
      </c>
      <c r="AA1027" s="64" t="str">
        <f>Ringkasan!AA1026</f>
        <v>Transport Infrastructure Operator</v>
      </c>
      <c r="AB1027" s="64" t="str">
        <f>Ringkasan!AB1026</f>
        <v>Infrastructures</v>
      </c>
    </row>
    <row r="1028" hidden="1">
      <c r="A1028" s="64" t="str">
        <f>Ringkasan!A1027</f>
        <v>KAYU</v>
      </c>
      <c r="B1028" s="64" t="str">
        <f>Ringkasan!B1027</f>
        <v>Darmi Bersaudara Tbk.</v>
      </c>
      <c r="C1028" s="65">
        <f>Ringkasan!C1027</f>
        <v>18</v>
      </c>
      <c r="D1028" s="64" t="str">
        <f>Ringkasan!D1027</f>
        <v>#N/A</v>
      </c>
      <c r="E1028" s="64" t="str">
        <f>Ringkasan!E1027</f>
        <v/>
      </c>
      <c r="F1028" s="64" t="str">
        <f>Ringkasan!F1027</f>
        <v/>
      </c>
      <c r="G1028" s="64">
        <f>Ringkasan!G1027</f>
        <v>0</v>
      </c>
      <c r="H1028" s="19">
        <f>Ringkasan!H1027</f>
        <v>0</v>
      </c>
      <c r="I1028" s="19">
        <f>Ringkasan!I1027</f>
        <v>0.15</v>
      </c>
      <c r="J1028" s="19">
        <f>Ringkasan!J1027</f>
        <v>0.99</v>
      </c>
      <c r="K1028" s="19">
        <f>Ringkasan!K1027</f>
        <v>0.82</v>
      </c>
      <c r="L1028" s="19">
        <f>Ringkasan!L1027</f>
        <v>0.22</v>
      </c>
      <c r="M1028" s="19">
        <f>Ringkasan!M1027</f>
        <v>12</v>
      </c>
      <c r="N1028" s="64" t="str">
        <f>Ringkasan!N1027</f>
        <v/>
      </c>
      <c r="O1028" s="64" t="str">
        <f>Ringkasan!O1027</f>
        <v/>
      </c>
      <c r="P1028" s="64" t="str">
        <f>Ringkasan!P1027</f>
        <v/>
      </c>
      <c r="Q1028" s="64" t="str">
        <f>Ringkasan!Q1027</f>
        <v/>
      </c>
      <c r="R1028" s="64" t="str">
        <f>Ringkasan!R1027</f>
        <v/>
      </c>
      <c r="S1028" s="64" t="str">
        <f>Ringkasan!S1027</f>
        <v/>
      </c>
      <c r="T1028" s="64" t="str">
        <f>Ringkasan!T1027</f>
        <v/>
      </c>
      <c r="U1028" s="64">
        <f>Ringkasan!U1027</f>
        <v>18</v>
      </c>
      <c r="V1028" s="64">
        <f>Ringkasan!V1027</f>
        <v>0</v>
      </c>
      <c r="W1028" s="64" t="str">
        <f>Ringkasan!W1027</f>
        <v/>
      </c>
      <c r="X1028" s="64" t="str">
        <f>Ringkasan!X1027</f>
        <v/>
      </c>
      <c r="Y1028" s="64" t="str">
        <f>Ringkasan!Y1027</f>
        <v/>
      </c>
      <c r="Z1028" s="64">
        <f>Ringkasan!Z1027</f>
        <v>0</v>
      </c>
      <c r="AA1028" s="64" t="str">
        <f>Ringkasan!AA1027</f>
        <v>Forestry &amp; Paper</v>
      </c>
      <c r="AB1028" s="64" t="str">
        <f>Ringkasan!AB1027</f>
        <v>Basic Materials</v>
      </c>
    </row>
    <row r="1029" hidden="1">
      <c r="A1029" s="64" t="str">
        <f>Ringkasan!A1028</f>
        <v>KBAG</v>
      </c>
      <c r="B1029" s="64" t="str">
        <f>Ringkasan!B1028</f>
        <v>Karya Bersama Anugerah Tbk.</v>
      </c>
      <c r="C1029" s="65">
        <f>Ringkasan!C1028</f>
        <v>38</v>
      </c>
      <c r="D1029" s="64" t="str">
        <f>Ringkasan!D1028</f>
        <v>#N/A</v>
      </c>
      <c r="E1029" s="64" t="str">
        <f>Ringkasan!E1028</f>
        <v/>
      </c>
      <c r="F1029" s="64" t="str">
        <f>Ringkasan!F1028</f>
        <v/>
      </c>
      <c r="G1029" s="64">
        <f>Ringkasan!G1028</f>
        <v>0</v>
      </c>
      <c r="H1029" s="19">
        <f>Ringkasan!H1028</f>
        <v>-36.9</v>
      </c>
      <c r="I1029" s="19">
        <f>Ringkasan!I1028</f>
        <v>0.85</v>
      </c>
      <c r="J1029" s="19">
        <f>Ringkasan!J1028</f>
        <v>-2.3</v>
      </c>
      <c r="K1029" s="19">
        <f>Ringkasan!K1028</f>
        <v>-2</v>
      </c>
      <c r="L1029" s="19">
        <f>Ringkasan!L1028</f>
        <v>0.17</v>
      </c>
      <c r="M1029" s="19">
        <f>Ringkasan!M1028</f>
        <v>-380</v>
      </c>
      <c r="N1029" s="64" t="str">
        <f>Ringkasan!N1028</f>
        <v/>
      </c>
      <c r="O1029" s="64" t="str">
        <f>Ringkasan!O1028</f>
        <v/>
      </c>
      <c r="P1029" s="64" t="str">
        <f>Ringkasan!P1028</f>
        <v/>
      </c>
      <c r="Q1029" s="64" t="str">
        <f>Ringkasan!Q1028</f>
        <v/>
      </c>
      <c r="R1029" s="64" t="str">
        <f>Ringkasan!R1028</f>
        <v/>
      </c>
      <c r="S1029" s="64" t="str">
        <f>Ringkasan!S1028</f>
        <v/>
      </c>
      <c r="T1029" s="64" t="str">
        <f>Ringkasan!T1028</f>
        <v/>
      </c>
      <c r="U1029" s="64">
        <f>Ringkasan!U1028</f>
        <v>38</v>
      </c>
      <c r="V1029" s="64">
        <f>Ringkasan!V1028</f>
        <v>0</v>
      </c>
      <c r="W1029" s="64">
        <f>Ringkasan!W1028</f>
        <v>38</v>
      </c>
      <c r="X1029" s="64">
        <f>Ringkasan!X1028</f>
        <v>38</v>
      </c>
      <c r="Y1029" s="64">
        <f>Ringkasan!Y1028</f>
        <v>38</v>
      </c>
      <c r="Z1029" s="64">
        <f>Ringkasan!Z1028</f>
        <v>10301400</v>
      </c>
      <c r="AA1029" s="64" t="str">
        <f>Ringkasan!AA1028</f>
        <v>Real Estate Management &amp; Development</v>
      </c>
      <c r="AB1029" s="64" t="str">
        <f>Ringkasan!AB1028</f>
        <v>Properties &amp; Real Estate</v>
      </c>
    </row>
    <row r="1030" hidden="1">
      <c r="A1030" s="64" t="str">
        <f>Ringkasan!A1029</f>
        <v>KBLI</v>
      </c>
      <c r="B1030" s="64" t="str">
        <f>Ringkasan!B1029</f>
        <v>KMI Wire &amp; Cable Tbk.</v>
      </c>
      <c r="C1030" s="65">
        <f>Ringkasan!C1029</f>
        <v>318</v>
      </c>
      <c r="D1030" s="64" t="str">
        <f>Ringkasan!D1029</f>
        <v>#N/A</v>
      </c>
      <c r="E1030" s="64" t="str">
        <f>Ringkasan!E1029</f>
        <v/>
      </c>
      <c r="F1030" s="64" t="str">
        <f>Ringkasan!F1029</f>
        <v/>
      </c>
      <c r="G1030" s="64">
        <f>Ringkasan!G1029</f>
        <v>0</v>
      </c>
      <c r="H1030" s="19">
        <f>Ringkasan!H1029</f>
        <v>6.5</v>
      </c>
      <c r="I1030" s="19">
        <f>Ringkasan!I1029</f>
        <v>0.43</v>
      </c>
      <c r="J1030" s="19">
        <f>Ringkasan!J1029</f>
        <v>6.6</v>
      </c>
      <c r="K1030" s="19">
        <f>Ringkasan!K1029</f>
        <v>5.7</v>
      </c>
      <c r="L1030" s="19">
        <f>Ringkasan!L1029</f>
        <v>0.17</v>
      </c>
      <c r="M1030" s="19">
        <f>Ringkasan!M1029</f>
        <v>22.7</v>
      </c>
      <c r="N1030" s="64" t="str">
        <f>Ringkasan!N1029</f>
        <v/>
      </c>
      <c r="O1030" s="64" t="str">
        <f>Ringkasan!O1029</f>
        <v/>
      </c>
      <c r="P1030" s="64" t="str">
        <f>Ringkasan!P1029</f>
        <v/>
      </c>
      <c r="Q1030" s="64" t="str">
        <f>Ringkasan!Q1029</f>
        <v/>
      </c>
      <c r="R1030" s="64" t="str">
        <f>Ringkasan!R1029</f>
        <v/>
      </c>
      <c r="S1030" s="64" t="str">
        <f>Ringkasan!S1029</f>
        <v/>
      </c>
      <c r="T1030" s="64" t="str">
        <f>Ringkasan!T1029</f>
        <v/>
      </c>
      <c r="U1030" s="64">
        <f>Ringkasan!U1029</f>
        <v>312</v>
      </c>
      <c r="V1030" s="64">
        <f>Ringkasan!V1029</f>
        <v>1.92</v>
      </c>
      <c r="W1030" s="64">
        <f>Ringkasan!W1029</f>
        <v>316</v>
      </c>
      <c r="X1030" s="64">
        <f>Ringkasan!X1029</f>
        <v>328</v>
      </c>
      <c r="Y1030" s="64">
        <f>Ringkasan!Y1029</f>
        <v>316</v>
      </c>
      <c r="Z1030" s="64">
        <f>Ringkasan!Z1029</f>
        <v>530100</v>
      </c>
      <c r="AA1030" s="64" t="str">
        <f>Ringkasan!AA1029</f>
        <v>Electrical</v>
      </c>
      <c r="AB1030" s="64" t="str">
        <f>Ringkasan!AB1029</f>
        <v>Industrials</v>
      </c>
    </row>
    <row r="1031" hidden="1">
      <c r="A1031" s="64" t="str">
        <f>Ringkasan!A692</f>
        <v>ERAA</v>
      </c>
      <c r="B1031" s="64" t="str">
        <f>Ringkasan!B692</f>
        <v>Erajaya Swasembada Tbk.</v>
      </c>
      <c r="C1031" s="65">
        <f>Ringkasan!C692</f>
        <v>364</v>
      </c>
      <c r="D1031" s="64" t="str">
        <f>Ringkasan!D692</f>
        <v>#N/A</v>
      </c>
      <c r="E1031" s="64" t="str">
        <f>Ringkasan!E692</f>
        <v>JII70</v>
      </c>
      <c r="F1031" s="66">
        <f>Ringkasan!F692</f>
        <v>46356</v>
      </c>
      <c r="G1031" s="64">
        <f>Ringkasan!G692</f>
        <v>10</v>
      </c>
      <c r="H1031" s="19">
        <f>Ringkasan!H692</f>
        <v>4.1</v>
      </c>
      <c r="I1031" s="19">
        <f>Ringkasan!I692</f>
        <v>0.54</v>
      </c>
      <c r="J1031" s="19">
        <f>Ringkasan!J692</f>
        <v>13.2</v>
      </c>
      <c r="K1031" s="19">
        <f>Ringkasan!K692</f>
        <v>4.6</v>
      </c>
      <c r="L1031" s="19">
        <f>Ringkasan!L692</f>
        <v>1.9</v>
      </c>
      <c r="M1031" s="19">
        <f>Ringkasan!M692</f>
        <v>6.5</v>
      </c>
      <c r="N1031" s="64" t="str">
        <f>Ringkasan!N692</f>
        <v/>
      </c>
      <c r="O1031" s="64" t="str">
        <f>Ringkasan!O692</f>
        <v/>
      </c>
      <c r="P1031" s="64" t="str">
        <f>Ringkasan!P692</f>
        <v/>
      </c>
      <c r="Q1031" s="64" t="str">
        <f>Ringkasan!Q692</f>
        <v/>
      </c>
      <c r="R1031" s="64" t="str">
        <f>Ringkasan!R692</f>
        <v/>
      </c>
      <c r="S1031" s="64" t="str">
        <f>Ringkasan!S692</f>
        <v/>
      </c>
      <c r="T1031" s="64" t="str">
        <f>Ringkasan!T692</f>
        <v/>
      </c>
      <c r="U1031" s="64" t="str">
        <f>Ringkasan!U692</f>
        <v/>
      </c>
      <c r="V1031" s="64">
        <f>Ringkasan!V692</f>
        <v>2.82</v>
      </c>
      <c r="W1031" s="64">
        <f>Ringkasan!W692</f>
        <v>356</v>
      </c>
      <c r="X1031" s="64">
        <f>Ringkasan!X692</f>
        <v>370</v>
      </c>
      <c r="Y1031" s="64">
        <f>Ringkasan!Y692</f>
        <v>356</v>
      </c>
      <c r="Z1031" s="64">
        <f>Ringkasan!Z692</f>
        <v>16043800</v>
      </c>
      <c r="AA1031" s="64" t="str">
        <f>Ringkasan!AA692</f>
        <v>Specialty Retail</v>
      </c>
      <c r="AB1031" s="64" t="str">
        <f>Ringkasan!AB692</f>
        <v>Consumer Cyclicals</v>
      </c>
    </row>
    <row r="1032" hidden="1">
      <c r="A1032" s="64" t="str">
        <f>Ringkasan!A772</f>
        <v>GRPM</v>
      </c>
      <c r="B1032" s="64" t="str">
        <f>Ringkasan!B772</f>
        <v>PT Graha Prima Mentari Tbk.</v>
      </c>
      <c r="C1032" s="65">
        <f>Ringkasan!C772</f>
        <v>226</v>
      </c>
      <c r="D1032" s="64" t="str">
        <f>Ringkasan!D772</f>
        <v>#N/A</v>
      </c>
      <c r="E1032" s="64" t="str">
        <f>Ringkasan!E772</f>
        <v/>
      </c>
      <c r="F1032" s="64" t="str">
        <f>Ringkasan!F772</f>
        <v/>
      </c>
      <c r="G1032" s="64">
        <f>Ringkasan!G772</f>
        <v>0</v>
      </c>
      <c r="H1032" s="19">
        <f>Ringkasan!H772</f>
        <v>130</v>
      </c>
      <c r="I1032" s="19">
        <f>Ringkasan!I772</f>
        <v>4.5</v>
      </c>
      <c r="J1032" s="19">
        <f>Ringkasan!J772</f>
        <v>3.4</v>
      </c>
      <c r="K1032" s="19">
        <f>Ringkasan!K772</f>
        <v>1.6</v>
      </c>
      <c r="L1032" s="19">
        <f>Ringkasan!L772</f>
        <v>1.1</v>
      </c>
      <c r="M1032" s="19">
        <f>Ringkasan!M772</f>
        <v>0.4</v>
      </c>
      <c r="N1032" s="64" t="str">
        <f>Ringkasan!N772</f>
        <v/>
      </c>
      <c r="O1032" s="64" t="str">
        <f>Ringkasan!O772</f>
        <v/>
      </c>
      <c r="P1032" s="64" t="str">
        <f>Ringkasan!P772</f>
        <v/>
      </c>
      <c r="Q1032" s="64" t="str">
        <f>Ringkasan!Q772</f>
        <v/>
      </c>
      <c r="R1032" s="64" t="str">
        <f>Ringkasan!R772</f>
        <v/>
      </c>
      <c r="S1032" s="64" t="str">
        <f>Ringkasan!S772</f>
        <v/>
      </c>
      <c r="T1032" s="64" t="str">
        <f>Ringkasan!T772</f>
        <v/>
      </c>
      <c r="U1032" s="64">
        <f>Ringkasan!U772</f>
        <v>128.98</v>
      </c>
      <c r="V1032" s="64">
        <f>Ringkasan!V772</f>
        <v>1.09</v>
      </c>
      <c r="W1032" s="64">
        <f>Ringkasan!W772</f>
        <v>129.8</v>
      </c>
      <c r="X1032" s="64">
        <f>Ringkasan!X772</f>
        <v>130.39</v>
      </c>
      <c r="Y1032" s="64">
        <f>Ringkasan!Y772</f>
        <v>129.8</v>
      </c>
      <c r="Z1032" s="64">
        <f>Ringkasan!Z772</f>
        <v>77</v>
      </c>
      <c r="AA1032" s="64" t="str">
        <f>Ringkasan!AA772</f>
        <v>Beverages</v>
      </c>
      <c r="AB1032" s="64" t="str">
        <f>Ringkasan!AB772</f>
        <v>Consumer Non-Cyclicals</v>
      </c>
    </row>
    <row r="1033" hidden="1">
      <c r="A1033" s="64" t="str">
        <f>Ringkasan!A1032</f>
        <v>KBRI</v>
      </c>
      <c r="B1033" s="64" t="str">
        <f>Ringkasan!B1032</f>
        <v>Kertas Basuki Rachmat Indonesia Tbk.</v>
      </c>
      <c r="C1033" s="65">
        <f>Ringkasan!C1032</f>
        <v>50</v>
      </c>
      <c r="D1033" s="64" t="str">
        <f>Ringkasan!D1032</f>
        <v>#N/A</v>
      </c>
      <c r="E1033" s="64" t="str">
        <f>Ringkasan!E1032</f>
        <v/>
      </c>
      <c r="F1033" s="64" t="str">
        <f>Ringkasan!F1032</f>
        <v/>
      </c>
      <c r="G1033" s="64">
        <f>Ringkasan!G1032</f>
        <v>0</v>
      </c>
      <c r="H1033" s="19">
        <f>Ringkasan!H1032</f>
        <v>0</v>
      </c>
      <c r="I1033" s="19">
        <f>Ringkasan!I1032</f>
        <v>3.2</v>
      </c>
      <c r="J1033" s="19">
        <f>Ringkasan!J1032</f>
        <v>-25.2</v>
      </c>
      <c r="K1033" s="19">
        <f>Ringkasan!K1032</f>
        <v>-3.4</v>
      </c>
      <c r="L1033" s="19">
        <f>Ringkasan!L1032</f>
        <v>6.5</v>
      </c>
      <c r="M1033" s="19">
        <f>Ringkasan!M1032</f>
        <v>-8950</v>
      </c>
      <c r="N1033" s="64" t="str">
        <f>Ringkasan!N1032</f>
        <v/>
      </c>
      <c r="O1033" s="64" t="str">
        <f>Ringkasan!O1032</f>
        <v/>
      </c>
      <c r="P1033" s="64" t="str">
        <f>Ringkasan!P1032</f>
        <v/>
      </c>
      <c r="Q1033" s="64" t="str">
        <f>Ringkasan!Q1032</f>
        <v/>
      </c>
      <c r="R1033" s="64" t="str">
        <f>Ringkasan!R1032</f>
        <v/>
      </c>
      <c r="S1033" s="64" t="str">
        <f>Ringkasan!S1032</f>
        <v/>
      </c>
      <c r="T1033" s="64" t="str">
        <f>Ringkasan!T1032</f>
        <v/>
      </c>
      <c r="U1033" s="64">
        <f>Ringkasan!U1032</f>
        <v>50</v>
      </c>
      <c r="V1033" s="64">
        <f>Ringkasan!V1032</f>
        <v>0</v>
      </c>
      <c r="W1033" s="64" t="str">
        <f>Ringkasan!W1032</f>
        <v/>
      </c>
      <c r="X1033" s="64" t="str">
        <f>Ringkasan!X1032</f>
        <v/>
      </c>
      <c r="Y1033" s="64" t="str">
        <f>Ringkasan!Y1032</f>
        <v/>
      </c>
      <c r="Z1033" s="64">
        <f>Ringkasan!Z1032</f>
        <v>0</v>
      </c>
      <c r="AA1033" s="64" t="str">
        <f>Ringkasan!AA1032</f>
        <v>Forestry &amp; Paper</v>
      </c>
      <c r="AB1033" s="64" t="str">
        <f>Ringkasan!AB1032</f>
        <v>Basic Materials</v>
      </c>
    </row>
    <row r="1034" hidden="1">
      <c r="A1034" s="64" t="str">
        <f>Ringkasan!A1033</f>
        <v>KDSI</v>
      </c>
      <c r="B1034" s="64" t="str">
        <f>Ringkasan!B1033</f>
        <v>Kedawung Setia Industrial Tbk.</v>
      </c>
      <c r="C1034" s="65">
        <f>Ringkasan!C1033</f>
        <v>444</v>
      </c>
      <c r="D1034" s="64" t="str">
        <f>Ringkasan!D1033</f>
        <v>#N/A</v>
      </c>
      <c r="E1034" s="64" t="str">
        <f>Ringkasan!E1033</f>
        <v/>
      </c>
      <c r="F1034" s="64" t="str">
        <f>Ringkasan!F1033</f>
        <v/>
      </c>
      <c r="G1034" s="64">
        <f>Ringkasan!G1033</f>
        <v>0</v>
      </c>
      <c r="H1034" s="19">
        <f>Ringkasan!H1033</f>
        <v>24.6</v>
      </c>
      <c r="I1034" s="19">
        <f>Ringkasan!I1033</f>
        <v>0.91</v>
      </c>
      <c r="J1034" s="19">
        <f>Ringkasan!J1033</f>
        <v>3.7</v>
      </c>
      <c r="K1034" s="19">
        <f>Ringkasan!K1033</f>
        <v>2.5</v>
      </c>
      <c r="L1034" s="19">
        <f>Ringkasan!L1033</f>
        <v>0.49</v>
      </c>
      <c r="M1034" s="19">
        <f>Ringkasan!M1033</f>
        <v>6.2</v>
      </c>
      <c r="N1034" s="64" t="str">
        <f>Ringkasan!N1033</f>
        <v/>
      </c>
      <c r="O1034" s="64" t="str">
        <f>Ringkasan!O1033</f>
        <v/>
      </c>
      <c r="P1034" s="64" t="str">
        <f>Ringkasan!P1033</f>
        <v/>
      </c>
      <c r="Q1034" s="64" t="str">
        <f>Ringkasan!Q1033</f>
        <v/>
      </c>
      <c r="R1034" s="64" t="str">
        <f>Ringkasan!R1033</f>
        <v/>
      </c>
      <c r="S1034" s="64" t="str">
        <f>Ringkasan!S1033</f>
        <v/>
      </c>
      <c r="T1034" s="64" t="str">
        <f>Ringkasan!T1033</f>
        <v/>
      </c>
      <c r="U1034" s="64">
        <f>Ringkasan!U1033</f>
        <v>432</v>
      </c>
      <c r="V1034" s="64">
        <f>Ringkasan!V1033</f>
        <v>2.78</v>
      </c>
      <c r="W1034" s="64">
        <f>Ringkasan!W1033</f>
        <v>432</v>
      </c>
      <c r="X1034" s="64">
        <f>Ringkasan!X1033</f>
        <v>446</v>
      </c>
      <c r="Y1034" s="64">
        <f>Ringkasan!Y1033</f>
        <v>410</v>
      </c>
      <c r="Z1034" s="64">
        <f>Ringkasan!Z1033</f>
        <v>27400</v>
      </c>
      <c r="AA1034" s="64" t="str">
        <f>Ringkasan!AA1033</f>
        <v>Containers &amp; Packaging</v>
      </c>
      <c r="AB1034" s="64" t="str">
        <f>Ringkasan!AB1033</f>
        <v>Basic Materials</v>
      </c>
    </row>
    <row r="1035" hidden="1">
      <c r="A1035" s="64" t="str">
        <f>Ringkasan!A1034</f>
        <v>KDTN</v>
      </c>
      <c r="B1035" s="64" t="str">
        <f>Ringkasan!B1034</f>
        <v>Puri Sentul Permai Tbk.</v>
      </c>
      <c r="C1035" s="65">
        <f>Ringkasan!C1034</f>
        <v>740</v>
      </c>
      <c r="D1035" s="64" t="str">
        <f>Ringkasan!D1034</f>
        <v>#N/A</v>
      </c>
      <c r="E1035" s="64" t="str">
        <f>Ringkasan!E1034</f>
        <v/>
      </c>
      <c r="F1035" s="64" t="str">
        <f>Ringkasan!F1034</f>
        <v/>
      </c>
      <c r="G1035" s="64">
        <f>Ringkasan!G1034</f>
        <v>0</v>
      </c>
      <c r="H1035" s="19">
        <f>Ringkasan!H1034</f>
        <v>420</v>
      </c>
      <c r="I1035" s="19">
        <f>Ringkasan!I1034</f>
        <v>15.5</v>
      </c>
      <c r="J1035" s="19">
        <f>Ringkasan!J1034</f>
        <v>3.7</v>
      </c>
      <c r="K1035" s="19">
        <f>Ringkasan!K1034</f>
        <v>3.1</v>
      </c>
      <c r="L1035" s="19">
        <f>Ringkasan!L1034</f>
        <v>0.19</v>
      </c>
      <c r="M1035" s="19">
        <f>Ringkasan!M1034</f>
        <v>27.6</v>
      </c>
      <c r="N1035" s="64" t="str">
        <f>Ringkasan!N1034</f>
        <v/>
      </c>
      <c r="O1035" s="64" t="str">
        <f>Ringkasan!O1034</f>
        <v/>
      </c>
      <c r="P1035" s="64" t="str">
        <f>Ringkasan!P1034</f>
        <v/>
      </c>
      <c r="Q1035" s="64" t="str">
        <f>Ringkasan!Q1034</f>
        <v/>
      </c>
      <c r="R1035" s="64" t="str">
        <f>Ringkasan!R1034</f>
        <v/>
      </c>
      <c r="S1035" s="64" t="str">
        <f>Ringkasan!S1034</f>
        <v/>
      </c>
      <c r="T1035" s="64" t="str">
        <f>Ringkasan!T1034</f>
        <v/>
      </c>
      <c r="U1035" s="64">
        <f>Ringkasan!U1034</f>
        <v>735</v>
      </c>
      <c r="V1035" s="64">
        <f>Ringkasan!V1034</f>
        <v>0.68</v>
      </c>
      <c r="W1035" s="64">
        <f>Ringkasan!W1034</f>
        <v>725</v>
      </c>
      <c r="X1035" s="64" t="str">
        <f>Ringkasan!X1034</f>
        <v/>
      </c>
      <c r="Y1035" s="64">
        <f>Ringkasan!Y1034</f>
        <v>720</v>
      </c>
      <c r="Z1035" s="64">
        <f>Ringkasan!Z1034</f>
        <v>354300</v>
      </c>
      <c r="AA1035" s="64" t="str">
        <f>Ringkasan!AA1034</f>
        <v>Tourism &amp; Recreation</v>
      </c>
      <c r="AB1035" s="64" t="str">
        <f>Ringkasan!AB1034</f>
        <v>Consumer Cyclicals</v>
      </c>
    </row>
    <row r="1036" hidden="1">
      <c r="A1036" s="64" t="str">
        <f>Ringkasan!A1035</f>
        <v>KEEN</v>
      </c>
      <c r="B1036" s="64" t="str">
        <f>Ringkasan!B1035</f>
        <v>Kencana Energi Lestari Tbk.</v>
      </c>
      <c r="C1036" s="65">
        <f>Ringkasan!C1035</f>
        <v>845</v>
      </c>
      <c r="D1036" s="64" t="str">
        <f>Ringkasan!D1035</f>
        <v>#N/A</v>
      </c>
      <c r="E1036" s="64" t="str">
        <f>Ringkasan!E1035</f>
        <v>FTSE Micro Cap</v>
      </c>
      <c r="F1036" s="64" t="str">
        <f>Ringkasan!F1035</f>
        <v>4 Agustus 2026</v>
      </c>
      <c r="G1036" s="65">
        <f>Ringkasan!G1035</f>
        <v>1</v>
      </c>
      <c r="H1036" s="19">
        <f>Ringkasan!H1035</f>
        <v>25.1</v>
      </c>
      <c r="I1036" s="19">
        <f>Ringkasan!I1035</f>
        <v>0.91</v>
      </c>
      <c r="J1036" s="19">
        <f>Ringkasan!J1035</f>
        <v>3.6</v>
      </c>
      <c r="K1036" s="19">
        <f>Ringkasan!K1035</f>
        <v>2</v>
      </c>
      <c r="L1036" s="19">
        <f>Ringkasan!L1035</f>
        <v>0.77</v>
      </c>
      <c r="M1036" s="19">
        <f>Ringkasan!M1035</f>
        <v>82.1</v>
      </c>
      <c r="N1036" s="64" t="str">
        <f>Ringkasan!N1035</f>
        <v/>
      </c>
      <c r="O1036" s="64" t="str">
        <f>Ringkasan!O1035</f>
        <v/>
      </c>
      <c r="P1036" s="64" t="str">
        <f>Ringkasan!P1035</f>
        <v/>
      </c>
      <c r="Q1036" s="64" t="str">
        <f>Ringkasan!Q1035</f>
        <v/>
      </c>
      <c r="R1036" s="64" t="str">
        <f>Ringkasan!R1035</f>
        <v/>
      </c>
      <c r="S1036" s="64" t="str">
        <f>Ringkasan!S1035</f>
        <v/>
      </c>
      <c r="T1036" s="64" t="str">
        <f>Ringkasan!T1035</f>
        <v/>
      </c>
      <c r="U1036" s="64">
        <f>Ringkasan!U1035</f>
        <v>810</v>
      </c>
      <c r="V1036" s="64">
        <f>Ringkasan!V1035</f>
        <v>4.32</v>
      </c>
      <c r="W1036" s="64">
        <f>Ringkasan!W1035</f>
        <v>810</v>
      </c>
      <c r="X1036" s="64">
        <f>Ringkasan!X1035</f>
        <v>855</v>
      </c>
      <c r="Y1036" s="64">
        <f>Ringkasan!Y1035</f>
        <v>810</v>
      </c>
      <c r="Z1036" s="64">
        <f>Ringkasan!Z1035</f>
        <v>11165100</v>
      </c>
      <c r="AA1036" s="64" t="str">
        <f>Ringkasan!AA1035</f>
        <v>Electric Utilities</v>
      </c>
      <c r="AB1036" s="64" t="str">
        <f>Ringkasan!AB1035</f>
        <v>Infrastructures</v>
      </c>
    </row>
    <row r="1037" hidden="1">
      <c r="A1037" s="64" t="str">
        <f>Ringkasan!A1036</f>
        <v>KEJU</v>
      </c>
      <c r="B1037" s="64" t="str">
        <f>Ringkasan!B1036</f>
        <v>Mulia Boga Raya Tbk.</v>
      </c>
      <c r="C1037" s="65">
        <f>Ringkasan!C1036</f>
        <v>600</v>
      </c>
      <c r="D1037" s="64" t="str">
        <f>Ringkasan!D1036</f>
        <v>#N/A</v>
      </c>
      <c r="E1037" s="64" t="str">
        <f>Ringkasan!E1036</f>
        <v/>
      </c>
      <c r="F1037" s="64" t="str">
        <f>Ringkasan!F1036</f>
        <v/>
      </c>
      <c r="G1037" s="64">
        <f>Ringkasan!G1036</f>
        <v>0</v>
      </c>
      <c r="H1037" s="19">
        <f>Ringkasan!H1036</f>
        <v>18.8</v>
      </c>
      <c r="I1037" s="19">
        <f>Ringkasan!I1036</f>
        <v>3.8</v>
      </c>
      <c r="J1037" s="19">
        <f>Ringkasan!J1036</f>
        <v>20</v>
      </c>
      <c r="K1037" s="19">
        <f>Ringkasan!K1036</f>
        <v>13.5</v>
      </c>
      <c r="L1037" s="19">
        <f>Ringkasan!L1036</f>
        <v>0.48</v>
      </c>
      <c r="M1037" s="19">
        <f>Ringkasan!M1036</f>
        <v>37.8</v>
      </c>
      <c r="N1037" s="64" t="str">
        <f>Ringkasan!N1036</f>
        <v/>
      </c>
      <c r="O1037" s="64" t="str">
        <f>Ringkasan!O1036</f>
        <v/>
      </c>
      <c r="P1037" s="64" t="str">
        <f>Ringkasan!P1036</f>
        <v/>
      </c>
      <c r="Q1037" s="64" t="str">
        <f>Ringkasan!Q1036</f>
        <v/>
      </c>
      <c r="R1037" s="64" t="str">
        <f>Ringkasan!R1036</f>
        <v/>
      </c>
      <c r="S1037" s="64" t="str">
        <f>Ringkasan!S1036</f>
        <v/>
      </c>
      <c r="T1037" s="64" t="str">
        <f>Ringkasan!T1036</f>
        <v/>
      </c>
      <c r="U1037" s="64">
        <f>Ringkasan!U1036</f>
        <v>605</v>
      </c>
      <c r="V1037" s="64">
        <f>Ringkasan!V1036</f>
        <v>-0.83</v>
      </c>
      <c r="W1037" s="64">
        <f>Ringkasan!W1036</f>
        <v>605</v>
      </c>
      <c r="X1037" s="64">
        <f>Ringkasan!X1036</f>
        <v>615</v>
      </c>
      <c r="Y1037" s="64">
        <f>Ringkasan!Y1036</f>
        <v>600</v>
      </c>
      <c r="Z1037" s="64">
        <f>Ringkasan!Z1036</f>
        <v>246000</v>
      </c>
      <c r="AA1037" s="64" t="str">
        <f>Ringkasan!AA1036</f>
        <v>Processed Foods</v>
      </c>
      <c r="AB1037" s="64" t="str">
        <f>Ringkasan!AB1036</f>
        <v>Consumer Non-Cyclicals</v>
      </c>
    </row>
    <row r="1038" hidden="1">
      <c r="A1038" s="64" t="str">
        <f>Ringkasan!A1037</f>
        <v>KICI</v>
      </c>
      <c r="B1038" s="64" t="str">
        <f>Ringkasan!B1037</f>
        <v>Kedaung Indah Can Tbk</v>
      </c>
      <c r="C1038" s="65">
        <f>Ringkasan!C1037</f>
        <v>173</v>
      </c>
      <c r="D1038" s="64" t="str">
        <f>Ringkasan!D1037</f>
        <v>#N/A</v>
      </c>
      <c r="E1038" s="64" t="str">
        <f>Ringkasan!E1037</f>
        <v/>
      </c>
      <c r="F1038" s="64" t="str">
        <f>Ringkasan!F1037</f>
        <v/>
      </c>
      <c r="G1038" s="64">
        <f>Ringkasan!G1037</f>
        <v>0</v>
      </c>
      <c r="H1038" s="19">
        <f>Ringkasan!H1037</f>
        <v>-9.1</v>
      </c>
      <c r="I1038" s="19">
        <f>Ringkasan!I1037</f>
        <v>0.5</v>
      </c>
      <c r="J1038" s="19">
        <f>Ringkasan!J1037</f>
        <v>-5.5</v>
      </c>
      <c r="K1038" s="19">
        <f>Ringkasan!K1037</f>
        <v>-2.8</v>
      </c>
      <c r="L1038" s="19">
        <f>Ringkasan!L1037</f>
        <v>0.93</v>
      </c>
      <c r="M1038" s="19">
        <f>Ringkasan!M1037</f>
        <v>-28.7</v>
      </c>
      <c r="N1038" s="64" t="str">
        <f>Ringkasan!N1037</f>
        <v/>
      </c>
      <c r="O1038" s="64" t="str">
        <f>Ringkasan!O1037</f>
        <v/>
      </c>
      <c r="P1038" s="64" t="str">
        <f>Ringkasan!P1037</f>
        <v/>
      </c>
      <c r="Q1038" s="64" t="str">
        <f>Ringkasan!Q1037</f>
        <v/>
      </c>
      <c r="R1038" s="64" t="str">
        <f>Ringkasan!R1037</f>
        <v/>
      </c>
      <c r="S1038" s="64" t="str">
        <f>Ringkasan!S1037</f>
        <v/>
      </c>
      <c r="T1038" s="64" t="str">
        <f>Ringkasan!T1037</f>
        <v/>
      </c>
      <c r="U1038" s="64">
        <f>Ringkasan!U1037</f>
        <v>169</v>
      </c>
      <c r="V1038" s="64">
        <f>Ringkasan!V1037</f>
        <v>2.37</v>
      </c>
      <c r="W1038" s="64">
        <f>Ringkasan!W1037</f>
        <v>165</v>
      </c>
      <c r="X1038" s="64">
        <f>Ringkasan!X1037</f>
        <v>176</v>
      </c>
      <c r="Y1038" s="64">
        <f>Ringkasan!Y1037</f>
        <v>160</v>
      </c>
      <c r="Z1038" s="64">
        <f>Ringkasan!Z1037</f>
        <v>111700</v>
      </c>
      <c r="AA1038" s="64" t="str">
        <f>Ringkasan!AA1037</f>
        <v>Household Goods</v>
      </c>
      <c r="AB1038" s="64" t="str">
        <f>Ringkasan!AB1037</f>
        <v>Consumer Cyclicals</v>
      </c>
    </row>
    <row r="1039" hidden="1">
      <c r="A1039" s="64" t="str">
        <f>Ringkasan!A1038</f>
        <v>KIJA</v>
      </c>
      <c r="B1039" s="64" t="str">
        <f>Ringkasan!B1038</f>
        <v>Kawasan Industri Jababeka Tbk.</v>
      </c>
      <c r="C1039" s="65">
        <f>Ringkasan!C1038</f>
        <v>116</v>
      </c>
      <c r="D1039" s="64" t="str">
        <f>Ringkasan!D1038</f>
        <v>#N/A</v>
      </c>
      <c r="E1039" s="64" t="str">
        <f>Ringkasan!E1038</f>
        <v>IDXG30</v>
      </c>
      <c r="F1039" s="64" t="str">
        <f>Ringkasan!F1038</f>
        <v>4 Agustus 2026</v>
      </c>
      <c r="G1039" s="64">
        <f>Ringkasan!G1038</f>
        <v>5</v>
      </c>
      <c r="H1039" s="19">
        <f>Ringkasan!H1038</f>
        <v>5.9</v>
      </c>
      <c r="I1039" s="19">
        <f>Ringkasan!I1038</f>
        <v>0.31</v>
      </c>
      <c r="J1039" s="19">
        <f>Ringkasan!J1038</f>
        <v>5.3</v>
      </c>
      <c r="K1039" s="19">
        <f>Ringkasan!K1038</f>
        <v>2.9</v>
      </c>
      <c r="L1039" s="19">
        <f>Ringkasan!L1038</f>
        <v>0.85</v>
      </c>
      <c r="M1039" s="19">
        <f>Ringkasan!M1038</f>
        <v>36.7</v>
      </c>
      <c r="N1039" s="64" t="str">
        <f>Ringkasan!N1038</f>
        <v/>
      </c>
      <c r="O1039" s="64" t="str">
        <f>Ringkasan!O1038</f>
        <v/>
      </c>
      <c r="P1039" s="64" t="str">
        <f>Ringkasan!P1038</f>
        <v/>
      </c>
      <c r="Q1039" s="64" t="str">
        <f>Ringkasan!Q1038</f>
        <v/>
      </c>
      <c r="R1039" s="64" t="str">
        <f>Ringkasan!R1038</f>
        <v/>
      </c>
      <c r="S1039" s="64" t="str">
        <f>Ringkasan!S1038</f>
        <v/>
      </c>
      <c r="T1039" s="64" t="str">
        <f>Ringkasan!T1038</f>
        <v/>
      </c>
      <c r="U1039" s="64">
        <f>Ringkasan!U1038</f>
        <v>114</v>
      </c>
      <c r="V1039" s="64">
        <f>Ringkasan!V1038</f>
        <v>1.75</v>
      </c>
      <c r="W1039" s="64">
        <f>Ringkasan!W1038</f>
        <v>115</v>
      </c>
      <c r="X1039" s="64">
        <f>Ringkasan!X1038</f>
        <v>117</v>
      </c>
      <c r="Y1039" s="64">
        <f>Ringkasan!Y1038</f>
        <v>114</v>
      </c>
      <c r="Z1039" s="64">
        <f>Ringkasan!Z1038</f>
        <v>74925800</v>
      </c>
      <c r="AA1039" s="64" t="str">
        <f>Ringkasan!AA1038</f>
        <v>Real Estate Management &amp; Development</v>
      </c>
      <c r="AB1039" s="64" t="str">
        <f>Ringkasan!AB1038</f>
        <v>Properties &amp; Real Estate</v>
      </c>
    </row>
    <row r="1040" hidden="1">
      <c r="A1040" s="64" t="str">
        <f>Ringkasan!A1039</f>
        <v>KIJA</v>
      </c>
      <c r="B1040" s="64" t="str">
        <f>Ringkasan!B1039</f>
        <v>Kawasan Industri Jababeka Tbk.</v>
      </c>
      <c r="C1040" s="65">
        <f>Ringkasan!C1039</f>
        <v>116</v>
      </c>
      <c r="D1040" s="64" t="str">
        <f>Ringkasan!D1039</f>
        <v>#N/A</v>
      </c>
      <c r="E1040" s="64" t="str">
        <f>Ringkasan!E1039</f>
        <v>IDX80</v>
      </c>
      <c r="F1040" s="64" t="str">
        <f>Ringkasan!F1039</f>
        <v>31 Juli 2026</v>
      </c>
      <c r="G1040" s="64">
        <f>Ringkasan!G1039</f>
        <v>5</v>
      </c>
      <c r="H1040" s="19">
        <f>Ringkasan!H1039</f>
        <v>5.9</v>
      </c>
      <c r="I1040" s="19">
        <f>Ringkasan!I1039</f>
        <v>0.31</v>
      </c>
      <c r="J1040" s="19">
        <f>Ringkasan!J1039</f>
        <v>5.3</v>
      </c>
      <c r="K1040" s="19">
        <f>Ringkasan!K1039</f>
        <v>2.9</v>
      </c>
      <c r="L1040" s="19">
        <f>Ringkasan!L1039</f>
        <v>0.85</v>
      </c>
      <c r="M1040" s="19">
        <f>Ringkasan!M1039</f>
        <v>36.7</v>
      </c>
      <c r="N1040" s="64" t="str">
        <f>Ringkasan!N1039</f>
        <v/>
      </c>
      <c r="O1040" s="64" t="str">
        <f>Ringkasan!O1039</f>
        <v/>
      </c>
      <c r="P1040" s="64" t="str">
        <f>Ringkasan!P1039</f>
        <v/>
      </c>
      <c r="Q1040" s="64" t="str">
        <f>Ringkasan!Q1039</f>
        <v/>
      </c>
      <c r="R1040" s="64" t="str">
        <f>Ringkasan!R1039</f>
        <v/>
      </c>
      <c r="S1040" s="64" t="str">
        <f>Ringkasan!S1039</f>
        <v/>
      </c>
      <c r="T1040" s="64" t="str">
        <f>Ringkasan!T1039</f>
        <v/>
      </c>
      <c r="U1040" s="64">
        <f>Ringkasan!U1039</f>
        <v>114</v>
      </c>
      <c r="V1040" s="64">
        <f>Ringkasan!V1039</f>
        <v>1.75</v>
      </c>
      <c r="W1040" s="64">
        <f>Ringkasan!W1039</f>
        <v>115</v>
      </c>
      <c r="X1040" s="64">
        <f>Ringkasan!X1039</f>
        <v>117</v>
      </c>
      <c r="Y1040" s="64">
        <f>Ringkasan!Y1039</f>
        <v>114</v>
      </c>
      <c r="Z1040" s="64">
        <f>Ringkasan!Z1039</f>
        <v>74925800</v>
      </c>
      <c r="AA1040" s="64" t="str">
        <f>Ringkasan!AA1039</f>
        <v>Real Estate Management &amp; Development</v>
      </c>
      <c r="AB1040" s="64" t="str">
        <f>Ringkasan!AB1039</f>
        <v>Properties &amp; Real Estate</v>
      </c>
    </row>
    <row r="1041" hidden="1">
      <c r="A1041" s="64" t="str">
        <f>Ringkasan!A1040</f>
        <v>KIJA</v>
      </c>
      <c r="B1041" s="64" t="str">
        <f>Ringkasan!B1040</f>
        <v>Kawasan Industri Jababeka Tbk.</v>
      </c>
      <c r="C1041" s="65">
        <f>Ringkasan!C1040</f>
        <v>116</v>
      </c>
      <c r="D1041" s="64" t="str">
        <f>Ringkasan!D1040</f>
        <v>#N/A</v>
      </c>
      <c r="E1041" s="64" t="str">
        <f>Ringkasan!E1040</f>
        <v>Kompas100</v>
      </c>
      <c r="F1041" s="64" t="str">
        <f>Ringkasan!F1040</f>
        <v>31 Juli 2026</v>
      </c>
      <c r="G1041" s="64">
        <f>Ringkasan!G1040</f>
        <v>5</v>
      </c>
      <c r="H1041" s="19">
        <f>Ringkasan!H1040</f>
        <v>5.9</v>
      </c>
      <c r="I1041" s="19">
        <f>Ringkasan!I1040</f>
        <v>0.31</v>
      </c>
      <c r="J1041" s="19">
        <f>Ringkasan!J1040</f>
        <v>5.3</v>
      </c>
      <c r="K1041" s="19">
        <f>Ringkasan!K1040</f>
        <v>2.9</v>
      </c>
      <c r="L1041" s="19">
        <f>Ringkasan!L1040</f>
        <v>0.85</v>
      </c>
      <c r="M1041" s="19">
        <f>Ringkasan!M1040</f>
        <v>36.7</v>
      </c>
      <c r="N1041" s="64" t="str">
        <f>Ringkasan!N1040</f>
        <v/>
      </c>
      <c r="O1041" s="64" t="str">
        <f>Ringkasan!O1040</f>
        <v/>
      </c>
      <c r="P1041" s="64" t="str">
        <f>Ringkasan!P1040</f>
        <v/>
      </c>
      <c r="Q1041" s="64" t="str">
        <f>Ringkasan!Q1040</f>
        <v/>
      </c>
      <c r="R1041" s="64" t="str">
        <f>Ringkasan!R1040</f>
        <v/>
      </c>
      <c r="S1041" s="64" t="str">
        <f>Ringkasan!S1040</f>
        <v/>
      </c>
      <c r="T1041" s="64" t="str">
        <f>Ringkasan!T1040</f>
        <v/>
      </c>
      <c r="U1041" s="64">
        <f>Ringkasan!U1040</f>
        <v>114</v>
      </c>
      <c r="V1041" s="64">
        <f>Ringkasan!V1040</f>
        <v>1.75</v>
      </c>
      <c r="W1041" s="64">
        <f>Ringkasan!W1040</f>
        <v>115</v>
      </c>
      <c r="X1041" s="64">
        <f>Ringkasan!X1040</f>
        <v>117</v>
      </c>
      <c r="Y1041" s="64">
        <f>Ringkasan!Y1040</f>
        <v>114</v>
      </c>
      <c r="Z1041" s="64">
        <f>Ringkasan!Z1040</f>
        <v>74925800</v>
      </c>
      <c r="AA1041" s="64" t="str">
        <f>Ringkasan!AA1040</f>
        <v>Real Estate Management &amp; Development</v>
      </c>
      <c r="AB1041" s="64" t="str">
        <f>Ringkasan!AB1040</f>
        <v>Properties &amp; Real Estate</v>
      </c>
    </row>
    <row r="1042" hidden="1">
      <c r="A1042" s="64" t="str">
        <f>Ringkasan!A1041</f>
        <v>KIJA</v>
      </c>
      <c r="B1042" s="64" t="str">
        <f>Ringkasan!B1041</f>
        <v>Kawasan Industri Jababeka Tbk.</v>
      </c>
      <c r="C1042" s="65">
        <f>Ringkasan!C1041</f>
        <v>116</v>
      </c>
      <c r="D1042" s="64" t="str">
        <f>Ringkasan!D1041</f>
        <v>#N/A</v>
      </c>
      <c r="E1042" s="64" t="str">
        <f>Ringkasan!E1041</f>
        <v>IDXESGL</v>
      </c>
      <c r="F1042" s="64" t="str">
        <f>Ringkasan!F1041</f>
        <v>30 Oktober 2026</v>
      </c>
      <c r="G1042" s="64">
        <f>Ringkasan!G1041</f>
        <v>5</v>
      </c>
      <c r="H1042" s="19">
        <f>Ringkasan!H1041</f>
        <v>5.9</v>
      </c>
      <c r="I1042" s="19">
        <f>Ringkasan!I1041</f>
        <v>0.31</v>
      </c>
      <c r="J1042" s="19">
        <f>Ringkasan!J1041</f>
        <v>5.3</v>
      </c>
      <c r="K1042" s="19">
        <f>Ringkasan!K1041</f>
        <v>2.9</v>
      </c>
      <c r="L1042" s="19">
        <f>Ringkasan!L1041</f>
        <v>0.85</v>
      </c>
      <c r="M1042" s="19">
        <f>Ringkasan!M1041</f>
        <v>36.7</v>
      </c>
      <c r="N1042" s="64" t="str">
        <f>Ringkasan!N1041</f>
        <v/>
      </c>
      <c r="O1042" s="64" t="str">
        <f>Ringkasan!O1041</f>
        <v/>
      </c>
      <c r="P1042" s="64" t="str">
        <f>Ringkasan!P1041</f>
        <v/>
      </c>
      <c r="Q1042" s="64" t="str">
        <f>Ringkasan!Q1041</f>
        <v/>
      </c>
      <c r="R1042" s="64" t="str">
        <f>Ringkasan!R1041</f>
        <v/>
      </c>
      <c r="S1042" s="64" t="str">
        <f>Ringkasan!S1041</f>
        <v/>
      </c>
      <c r="T1042" s="64" t="str">
        <f>Ringkasan!T1041</f>
        <v/>
      </c>
      <c r="U1042" s="64">
        <f>Ringkasan!U1041</f>
        <v>114</v>
      </c>
      <c r="V1042" s="64">
        <f>Ringkasan!V1041</f>
        <v>1.75</v>
      </c>
      <c r="W1042" s="64">
        <f>Ringkasan!W1041</f>
        <v>115</v>
      </c>
      <c r="X1042" s="64">
        <f>Ringkasan!X1041</f>
        <v>117</v>
      </c>
      <c r="Y1042" s="64">
        <f>Ringkasan!Y1041</f>
        <v>114</v>
      </c>
      <c r="Z1042" s="64">
        <f>Ringkasan!Z1041</f>
        <v>74925800</v>
      </c>
      <c r="AA1042" s="64" t="str">
        <f>Ringkasan!AA1041</f>
        <v>Real Estate Management &amp; Development</v>
      </c>
      <c r="AB1042" s="64" t="str">
        <f>Ringkasan!AB1041</f>
        <v>Properties &amp; Real Estate</v>
      </c>
    </row>
    <row r="1043" hidden="1">
      <c r="A1043" s="64" t="str">
        <f>Ringkasan!A1042</f>
        <v>KIJA</v>
      </c>
      <c r="B1043" s="64" t="str">
        <f>Ringkasan!B1042</f>
        <v>Kawasan Industri Jababeka Tbk.</v>
      </c>
      <c r="C1043" s="65">
        <f>Ringkasan!C1042</f>
        <v>116</v>
      </c>
      <c r="D1043" s="64" t="str">
        <f>Ringkasan!D1042</f>
        <v>#N/A</v>
      </c>
      <c r="E1043" s="64" t="str">
        <f>Ringkasan!E1042</f>
        <v>JII70</v>
      </c>
      <c r="F1043" s="66">
        <f>Ringkasan!F1042</f>
        <v>46356</v>
      </c>
      <c r="G1043" s="64">
        <f>Ringkasan!G1042</f>
        <v>5</v>
      </c>
      <c r="H1043" s="19">
        <f>Ringkasan!H1042</f>
        <v>5.9</v>
      </c>
      <c r="I1043" s="19">
        <f>Ringkasan!I1042</f>
        <v>0.31</v>
      </c>
      <c r="J1043" s="19">
        <f>Ringkasan!J1042</f>
        <v>5.3</v>
      </c>
      <c r="K1043" s="19">
        <f>Ringkasan!K1042</f>
        <v>2.9</v>
      </c>
      <c r="L1043" s="19">
        <f>Ringkasan!L1042</f>
        <v>0.85</v>
      </c>
      <c r="M1043" s="19">
        <f>Ringkasan!M1042</f>
        <v>36.7</v>
      </c>
      <c r="N1043" s="64" t="str">
        <f>Ringkasan!N1042</f>
        <v/>
      </c>
      <c r="O1043" s="64" t="str">
        <f>Ringkasan!O1042</f>
        <v/>
      </c>
      <c r="P1043" s="64" t="str">
        <f>Ringkasan!P1042</f>
        <v/>
      </c>
      <c r="Q1043" s="64" t="str">
        <f>Ringkasan!Q1042</f>
        <v/>
      </c>
      <c r="R1043" s="64" t="str">
        <f>Ringkasan!R1042</f>
        <v/>
      </c>
      <c r="S1043" s="64" t="str">
        <f>Ringkasan!S1042</f>
        <v/>
      </c>
      <c r="T1043" s="64" t="str">
        <f>Ringkasan!T1042</f>
        <v/>
      </c>
      <c r="U1043" s="64">
        <f>Ringkasan!U1042</f>
        <v>114</v>
      </c>
      <c r="V1043" s="64">
        <f>Ringkasan!V1042</f>
        <v>1.75</v>
      </c>
      <c r="W1043" s="64">
        <f>Ringkasan!W1042</f>
        <v>115</v>
      </c>
      <c r="X1043" s="64">
        <f>Ringkasan!X1042</f>
        <v>117</v>
      </c>
      <c r="Y1043" s="64">
        <f>Ringkasan!Y1042</f>
        <v>114</v>
      </c>
      <c r="Z1043" s="64">
        <f>Ringkasan!Z1042</f>
        <v>74925800</v>
      </c>
      <c r="AA1043" s="64" t="str">
        <f>Ringkasan!AA1042</f>
        <v>Real Estate Management &amp; Development</v>
      </c>
      <c r="AB1043" s="64" t="str">
        <f>Ringkasan!AB1042</f>
        <v>Properties &amp; Real Estate</v>
      </c>
    </row>
    <row r="1044" hidden="1">
      <c r="A1044" s="64" t="str">
        <f>Ringkasan!A1043</f>
        <v>KING</v>
      </c>
      <c r="B1044" s="64" t="str">
        <f>Ringkasan!B1043</f>
        <v>PT Hoffmen Cleanindo Tbk</v>
      </c>
      <c r="C1044" s="65">
        <f>Ringkasan!C1043</f>
        <v>460</v>
      </c>
      <c r="D1044" s="64" t="str">
        <f>Ringkasan!D1043</f>
        <v>#N/A</v>
      </c>
      <c r="E1044" s="64" t="str">
        <f>Ringkasan!E1043</f>
        <v/>
      </c>
      <c r="F1044" s="64" t="str">
        <f>Ringkasan!F1043</f>
        <v/>
      </c>
      <c r="G1044" s="64">
        <f>Ringkasan!G1043</f>
        <v>0</v>
      </c>
      <c r="H1044" s="19">
        <f>Ringkasan!H1043</f>
        <v>260</v>
      </c>
      <c r="I1044" s="19">
        <f>Ringkasan!I1043</f>
        <v>21.4</v>
      </c>
      <c r="J1044" s="19">
        <f>Ringkasan!J1043</f>
        <v>8.2</v>
      </c>
      <c r="K1044" s="19">
        <f>Ringkasan!K1043</f>
        <v>4</v>
      </c>
      <c r="L1044" s="19">
        <f>Ringkasan!L1043</f>
        <v>1</v>
      </c>
      <c r="M1044" s="19">
        <f>Ringkasan!M1043</f>
        <v>4.6</v>
      </c>
      <c r="N1044" s="64" t="str">
        <f>Ringkasan!N1043</f>
        <v/>
      </c>
      <c r="O1044" s="64" t="str">
        <f>Ringkasan!O1043</f>
        <v/>
      </c>
      <c r="P1044" s="64" t="str">
        <f>Ringkasan!P1043</f>
        <v/>
      </c>
      <c r="Q1044" s="64" t="str">
        <f>Ringkasan!Q1043</f>
        <v/>
      </c>
      <c r="R1044" s="64" t="str">
        <f>Ringkasan!R1043</f>
        <v/>
      </c>
      <c r="S1044" s="64" t="str">
        <f>Ringkasan!S1043</f>
        <v/>
      </c>
      <c r="T1044" s="64" t="str">
        <f>Ringkasan!T1043</f>
        <v/>
      </c>
      <c r="U1044" s="64">
        <f>Ringkasan!U1043</f>
        <v>0.52</v>
      </c>
      <c r="V1044" s="64">
        <f>Ringkasan!V1043</f>
        <v>5.77</v>
      </c>
      <c r="W1044" s="64">
        <f>Ringkasan!W1043</f>
        <v>0.54</v>
      </c>
      <c r="X1044" s="64" t="str">
        <f>Ringkasan!X1043</f>
        <v/>
      </c>
      <c r="Y1044" s="64">
        <f>Ringkasan!Y1043</f>
        <v>0.54</v>
      </c>
      <c r="Z1044" s="64">
        <f>Ringkasan!Z1043</f>
        <v>13500</v>
      </c>
      <c r="AA1044" s="64" t="str">
        <f>Ringkasan!AA1043</f>
        <v>Professional Services</v>
      </c>
      <c r="AB1044" s="64" t="str">
        <f>Ringkasan!AB1043</f>
        <v>Industrials</v>
      </c>
    </row>
    <row r="1045" hidden="1">
      <c r="A1045" s="64" t="str">
        <f>Ringkasan!A1044</f>
        <v>KINO</v>
      </c>
      <c r="B1045" s="64" t="str">
        <f>Ringkasan!B1044</f>
        <v>PT Kino Indonesia Tbk</v>
      </c>
      <c r="C1045" s="65">
        <f>Ringkasan!C1044</f>
        <v>1115</v>
      </c>
      <c r="D1045" s="64" t="str">
        <f>Ringkasan!D1044</f>
        <v>#N/A</v>
      </c>
      <c r="E1045" s="64" t="str">
        <f>Ringkasan!E1044</f>
        <v/>
      </c>
      <c r="F1045" s="64" t="str">
        <f>Ringkasan!F1044</f>
        <v/>
      </c>
      <c r="G1045" s="64">
        <f>Ringkasan!G1044</f>
        <v>0</v>
      </c>
      <c r="H1045" s="19">
        <f>Ringkasan!H1044</f>
        <v>11.1</v>
      </c>
      <c r="I1045" s="19">
        <f>Ringkasan!I1044</f>
        <v>0.91</v>
      </c>
      <c r="J1045" s="19">
        <f>Ringkasan!J1044</f>
        <v>8.2</v>
      </c>
      <c r="K1045" s="19">
        <f>Ringkasan!K1044</f>
        <v>3.2</v>
      </c>
      <c r="L1045" s="19">
        <f>Ringkasan!L1044</f>
        <v>1.6</v>
      </c>
      <c r="M1045" s="19">
        <f>Ringkasan!M1044</f>
        <v>11.8</v>
      </c>
      <c r="N1045" s="64" t="str">
        <f>Ringkasan!N1044</f>
        <v/>
      </c>
      <c r="O1045" s="64" t="str">
        <f>Ringkasan!O1044</f>
        <v/>
      </c>
      <c r="P1045" s="64" t="str">
        <f>Ringkasan!P1044</f>
        <v/>
      </c>
      <c r="Q1045" s="64" t="str">
        <f>Ringkasan!Q1044</f>
        <v/>
      </c>
      <c r="R1045" s="64" t="str">
        <f>Ringkasan!R1044</f>
        <v/>
      </c>
      <c r="S1045" s="64" t="str">
        <f>Ringkasan!S1044</f>
        <v/>
      </c>
      <c r="T1045" s="64" t="str">
        <f>Ringkasan!T1044</f>
        <v/>
      </c>
      <c r="U1045" s="64">
        <f>Ringkasan!U1044</f>
        <v>1110</v>
      </c>
      <c r="V1045" s="64">
        <f>Ringkasan!V1044</f>
        <v>0.45</v>
      </c>
      <c r="W1045" s="64">
        <f>Ringkasan!W1044</f>
        <v>1105</v>
      </c>
      <c r="X1045" s="64">
        <f>Ringkasan!X1044</f>
        <v>1120</v>
      </c>
      <c r="Y1045" s="64">
        <f>Ringkasan!Y1044</f>
        <v>1105</v>
      </c>
      <c r="Z1045" s="64">
        <f>Ringkasan!Z1044</f>
        <v>700</v>
      </c>
      <c r="AA1045" s="64" t="str">
        <f>Ringkasan!AA1044</f>
        <v>Personal Care Products</v>
      </c>
      <c r="AB1045" s="64" t="str">
        <f>Ringkasan!AB1044</f>
        <v>Consumer Non-Cyclicals</v>
      </c>
    </row>
    <row r="1046" hidden="1">
      <c r="A1046" s="64" t="str">
        <f>Ringkasan!A1045</f>
        <v>KIOS</v>
      </c>
      <c r="B1046" s="64" t="str">
        <f>Ringkasan!B1045</f>
        <v>Kioson Komersial Indonesia Tbk.</v>
      </c>
      <c r="C1046" s="65">
        <f>Ringkasan!C1045</f>
        <v>91</v>
      </c>
      <c r="D1046" s="64" t="str">
        <f>Ringkasan!D1045</f>
        <v>#N/A</v>
      </c>
      <c r="E1046" s="64" t="str">
        <f>Ringkasan!E1045</f>
        <v/>
      </c>
      <c r="F1046" s="64" t="str">
        <f>Ringkasan!F1045</f>
        <v/>
      </c>
      <c r="G1046" s="64">
        <f>Ringkasan!G1045</f>
        <v>0</v>
      </c>
      <c r="H1046" s="19">
        <f>Ringkasan!H1045</f>
        <v>74.3</v>
      </c>
      <c r="I1046" s="19">
        <f>Ringkasan!I1045</f>
        <v>0.66</v>
      </c>
      <c r="J1046" s="19">
        <f>Ringkasan!J1045</f>
        <v>0.89</v>
      </c>
      <c r="K1046" s="19">
        <f>Ringkasan!K1045</f>
        <v>0.82</v>
      </c>
      <c r="L1046" s="19">
        <f>Ringkasan!L1045</f>
        <v>0.08</v>
      </c>
      <c r="M1046" s="19">
        <f>Ringkasan!M1045</f>
        <v>66.1</v>
      </c>
      <c r="N1046" s="64" t="str">
        <f>Ringkasan!N1045</f>
        <v/>
      </c>
      <c r="O1046" s="64" t="str">
        <f>Ringkasan!O1045</f>
        <v/>
      </c>
      <c r="P1046" s="64" t="str">
        <f>Ringkasan!P1045</f>
        <v/>
      </c>
      <c r="Q1046" s="64" t="str">
        <f>Ringkasan!Q1045</f>
        <v/>
      </c>
      <c r="R1046" s="64" t="str">
        <f>Ringkasan!R1045</f>
        <v/>
      </c>
      <c r="S1046" s="64" t="str">
        <f>Ringkasan!S1045</f>
        <v/>
      </c>
      <c r="T1046" s="64" t="str">
        <f>Ringkasan!T1045</f>
        <v/>
      </c>
      <c r="U1046" s="64">
        <f>Ringkasan!U1045</f>
        <v>68</v>
      </c>
      <c r="V1046" s="64">
        <f>Ringkasan!V1045</f>
        <v>33.82</v>
      </c>
      <c r="W1046" s="64">
        <f>Ringkasan!W1045</f>
        <v>68</v>
      </c>
      <c r="X1046" s="64">
        <f>Ringkasan!X1045</f>
        <v>91</v>
      </c>
      <c r="Y1046" s="64">
        <f>Ringkasan!Y1045</f>
        <v>67</v>
      </c>
      <c r="Z1046" s="64">
        <f>Ringkasan!Z1045</f>
        <v>49168300</v>
      </c>
      <c r="AA1046" s="64" t="str">
        <f>Ringkasan!AA1045</f>
        <v>Online Applications &amp; Services</v>
      </c>
      <c r="AB1046" s="64" t="str">
        <f>Ringkasan!AB1045</f>
        <v>Technology</v>
      </c>
    </row>
    <row r="1047" hidden="1">
      <c r="A1047" s="64" t="str">
        <f>Ringkasan!A1046</f>
        <v>KJEN</v>
      </c>
      <c r="B1047" s="64" t="str">
        <f>Ringkasan!B1046</f>
        <v>Krida Jaringan Nusantara Tbk.</v>
      </c>
      <c r="C1047" s="65">
        <f>Ringkasan!C1046</f>
        <v>115</v>
      </c>
      <c r="D1047" s="64" t="str">
        <f>Ringkasan!D1046</f>
        <v>#N/A</v>
      </c>
      <c r="E1047" s="64" t="str">
        <f>Ringkasan!E1046</f>
        <v/>
      </c>
      <c r="F1047" s="64" t="str">
        <f>Ringkasan!F1046</f>
        <v/>
      </c>
      <c r="G1047" s="64">
        <f>Ringkasan!G1046</f>
        <v>0</v>
      </c>
      <c r="H1047" s="19">
        <f>Ringkasan!H1046</f>
        <v>5920</v>
      </c>
      <c r="I1047" s="19">
        <f>Ringkasan!I1046</f>
        <v>1.7</v>
      </c>
      <c r="J1047" s="19">
        <f>Ringkasan!J1046</f>
        <v>0.03</v>
      </c>
      <c r="K1047" s="19">
        <f>Ringkasan!K1046</f>
        <v>0.03</v>
      </c>
      <c r="L1047" s="19">
        <f>Ringkasan!L1046</f>
        <v>0.07</v>
      </c>
      <c r="M1047" s="19">
        <f>Ringkasan!M1046</f>
        <v>1.8</v>
      </c>
      <c r="N1047" s="64" t="str">
        <f>Ringkasan!N1046</f>
        <v/>
      </c>
      <c r="O1047" s="64" t="str">
        <f>Ringkasan!O1046</f>
        <v/>
      </c>
      <c r="P1047" s="64" t="str">
        <f>Ringkasan!P1046</f>
        <v/>
      </c>
      <c r="Q1047" s="64" t="str">
        <f>Ringkasan!Q1046</f>
        <v/>
      </c>
      <c r="R1047" s="64" t="str">
        <f>Ringkasan!R1046</f>
        <v/>
      </c>
      <c r="S1047" s="64" t="str">
        <f>Ringkasan!S1046</f>
        <v/>
      </c>
      <c r="T1047" s="64" t="str">
        <f>Ringkasan!T1046</f>
        <v/>
      </c>
      <c r="U1047" s="64">
        <f>Ringkasan!U1046</f>
        <v>115</v>
      </c>
      <c r="V1047" s="64">
        <f>Ringkasan!V1046</f>
        <v>0</v>
      </c>
      <c r="W1047" s="64">
        <f>Ringkasan!W1046</f>
        <v>115</v>
      </c>
      <c r="X1047" s="64">
        <f>Ringkasan!X1046</f>
        <v>119</v>
      </c>
      <c r="Y1047" s="64">
        <f>Ringkasan!Y1046</f>
        <v>114</v>
      </c>
      <c r="Z1047" s="64">
        <f>Ringkasan!Z1046</f>
        <v>6240800</v>
      </c>
      <c r="AA1047" s="64" t="str">
        <f>Ringkasan!AA1046</f>
        <v>Logistics &amp; Deliveries</v>
      </c>
      <c r="AB1047" s="64" t="str">
        <f>Ringkasan!AB1046</f>
        <v>Transportation &amp; Logistic</v>
      </c>
    </row>
    <row r="1048" hidden="1">
      <c r="A1048" s="64" t="str">
        <f>Ringkasan!A1047</f>
        <v>KKES</v>
      </c>
      <c r="B1048" s="64" t="str">
        <f>Ringkasan!B1047</f>
        <v>Kusuma Kemindo Sentosa Tbk.</v>
      </c>
      <c r="C1048" s="65">
        <f>Ringkasan!C1047</f>
        <v>44</v>
      </c>
      <c r="D1048" s="64" t="str">
        <f>Ringkasan!D1047</f>
        <v>#N/A</v>
      </c>
      <c r="E1048" s="64" t="str">
        <f>Ringkasan!E1047</f>
        <v/>
      </c>
      <c r="F1048" s="64" t="str">
        <f>Ringkasan!F1047</f>
        <v/>
      </c>
      <c r="G1048" s="64">
        <f>Ringkasan!G1047</f>
        <v>0</v>
      </c>
      <c r="H1048" s="19">
        <f>Ringkasan!H1047</f>
        <v>-42.5</v>
      </c>
      <c r="I1048" s="19">
        <f>Ringkasan!I1047</f>
        <v>1.1</v>
      </c>
      <c r="J1048" s="19">
        <f>Ringkasan!J1047</f>
        <v>-2.6</v>
      </c>
      <c r="K1048" s="19">
        <f>Ringkasan!K1047</f>
        <v>-1.2</v>
      </c>
      <c r="L1048" s="19">
        <f>Ringkasan!L1047</f>
        <v>1.2</v>
      </c>
      <c r="M1048" s="19">
        <f>Ringkasan!M1047</f>
        <v>-3.1</v>
      </c>
      <c r="N1048" s="64" t="str">
        <f>Ringkasan!N1047</f>
        <v/>
      </c>
      <c r="O1048" s="64" t="str">
        <f>Ringkasan!O1047</f>
        <v/>
      </c>
      <c r="P1048" s="64" t="str">
        <f>Ringkasan!P1047</f>
        <v/>
      </c>
      <c r="Q1048" s="64" t="str">
        <f>Ringkasan!Q1047</f>
        <v/>
      </c>
      <c r="R1048" s="64" t="str">
        <f>Ringkasan!R1047</f>
        <v/>
      </c>
      <c r="S1048" s="64" t="str">
        <f>Ringkasan!S1047</f>
        <v/>
      </c>
      <c r="T1048" s="64" t="str">
        <f>Ringkasan!T1047</f>
        <v/>
      </c>
      <c r="U1048" s="64">
        <f>Ringkasan!U1047</f>
        <v>42</v>
      </c>
      <c r="V1048" s="64">
        <f>Ringkasan!V1047</f>
        <v>4.76</v>
      </c>
      <c r="W1048" s="64">
        <f>Ringkasan!W1047</f>
        <v>42</v>
      </c>
      <c r="X1048" s="64">
        <f>Ringkasan!X1047</f>
        <v>44</v>
      </c>
      <c r="Y1048" s="64">
        <f>Ringkasan!Y1047</f>
        <v>42</v>
      </c>
      <c r="Z1048" s="64">
        <f>Ringkasan!Z1047</f>
        <v>2966800</v>
      </c>
      <c r="AA1048" s="64" t="str">
        <f>Ringkasan!AA1047</f>
        <v>Chemicals</v>
      </c>
      <c r="AB1048" s="64" t="str">
        <f>Ringkasan!AB1047</f>
        <v>Basic Materials</v>
      </c>
    </row>
    <row r="1049" hidden="1">
      <c r="A1049" s="64" t="str">
        <f>Ringkasan!A1048</f>
        <v>KKGI</v>
      </c>
      <c r="B1049" s="64" t="str">
        <f>Ringkasan!B1048</f>
        <v>Resource Alam Indonesia Tbk.</v>
      </c>
      <c r="C1049" s="65">
        <f>Ringkasan!C1048</f>
        <v>280</v>
      </c>
      <c r="D1049" s="64" t="str">
        <f>Ringkasan!D1048</f>
        <v>#N/A</v>
      </c>
      <c r="E1049" s="64" t="str">
        <f>Ringkasan!E1048</f>
        <v/>
      </c>
      <c r="F1049" s="64" t="str">
        <f>Ringkasan!F1048</f>
        <v/>
      </c>
      <c r="G1049" s="64">
        <f>Ringkasan!G1048</f>
        <v>0</v>
      </c>
      <c r="H1049" s="19">
        <f>Ringkasan!H1048</f>
        <v>31.1</v>
      </c>
      <c r="I1049" s="19">
        <f>Ringkasan!I1048</f>
        <v>0.56</v>
      </c>
      <c r="J1049" s="19">
        <f>Ringkasan!J1048</f>
        <v>1.8</v>
      </c>
      <c r="K1049" s="19">
        <f>Ringkasan!K1048</f>
        <v>1.5</v>
      </c>
      <c r="L1049" s="19">
        <f>Ringkasan!L1048</f>
        <v>0.17</v>
      </c>
      <c r="M1049" s="19">
        <f>Ringkasan!M1048</f>
        <v>8.6</v>
      </c>
      <c r="N1049" s="64" t="str">
        <f>Ringkasan!N1048</f>
        <v/>
      </c>
      <c r="O1049" s="64" t="str">
        <f>Ringkasan!O1048</f>
        <v/>
      </c>
      <c r="P1049" s="64" t="str">
        <f>Ringkasan!P1048</f>
        <v/>
      </c>
      <c r="Q1049" s="64" t="str">
        <f>Ringkasan!Q1048</f>
        <v/>
      </c>
      <c r="R1049" s="64" t="str">
        <f>Ringkasan!R1048</f>
        <v/>
      </c>
      <c r="S1049" s="64" t="str">
        <f>Ringkasan!S1048</f>
        <v/>
      </c>
      <c r="T1049" s="64" t="str">
        <f>Ringkasan!T1048</f>
        <v/>
      </c>
      <c r="U1049" s="64">
        <f>Ringkasan!U1048</f>
        <v>264</v>
      </c>
      <c r="V1049" s="64">
        <f>Ringkasan!V1048</f>
        <v>6.06</v>
      </c>
      <c r="W1049" s="64">
        <f>Ringkasan!W1048</f>
        <v>266</v>
      </c>
      <c r="X1049" s="64">
        <f>Ringkasan!X1048</f>
        <v>284</v>
      </c>
      <c r="Y1049" s="64">
        <f>Ringkasan!Y1048</f>
        <v>264</v>
      </c>
      <c r="Z1049" s="64">
        <f>Ringkasan!Z1048</f>
        <v>1952600</v>
      </c>
      <c r="AA1049" s="64" t="str">
        <f>Ringkasan!AA1048</f>
        <v>Coal</v>
      </c>
      <c r="AB1049" s="64" t="str">
        <f>Ringkasan!AB1048</f>
        <v>Energy</v>
      </c>
    </row>
    <row r="1050" hidden="1">
      <c r="A1050" s="64" t="str">
        <f>Ringkasan!A1049</f>
        <v>KLAS</v>
      </c>
      <c r="B1050" s="64" t="str">
        <f>Ringkasan!B1049</f>
        <v>PT Pelayaran Kurnia Lautan Semesta Tbk</v>
      </c>
      <c r="C1050" s="65">
        <f>Ringkasan!C1049</f>
        <v>68</v>
      </c>
      <c r="D1050" s="64" t="str">
        <f>Ringkasan!D1049</f>
        <v>#N/A</v>
      </c>
      <c r="E1050" s="64" t="str">
        <f>Ringkasan!E1049</f>
        <v/>
      </c>
      <c r="F1050" s="64" t="str">
        <f>Ringkasan!F1049</f>
        <v/>
      </c>
      <c r="G1050" s="65">
        <f>Ringkasan!G1049</f>
        <v>0</v>
      </c>
      <c r="H1050" s="19">
        <f>Ringkasan!H1049</f>
        <v>12.4</v>
      </c>
      <c r="I1050" s="19">
        <f>Ringkasan!I1049</f>
        <v>0.96</v>
      </c>
      <c r="J1050" s="19">
        <f>Ringkasan!J1049</f>
        <v>7.7</v>
      </c>
      <c r="K1050" s="19">
        <f>Ringkasan!K1049</f>
        <v>4.6</v>
      </c>
      <c r="L1050" s="19">
        <f>Ringkasan!L1049</f>
        <v>0.7</v>
      </c>
      <c r="M1050" s="19">
        <f>Ringkasan!M1049</f>
        <v>46.7</v>
      </c>
      <c r="N1050" s="64" t="str">
        <f>Ringkasan!N1049</f>
        <v/>
      </c>
      <c r="O1050" s="64" t="str">
        <f>Ringkasan!O1049</f>
        <v/>
      </c>
      <c r="P1050" s="64" t="str">
        <f>Ringkasan!P1049</f>
        <v/>
      </c>
      <c r="Q1050" s="64" t="str">
        <f>Ringkasan!Q1049</f>
        <v/>
      </c>
      <c r="R1050" s="64" t="str">
        <f>Ringkasan!R1049</f>
        <v/>
      </c>
      <c r="S1050" s="64" t="str">
        <f>Ringkasan!S1049</f>
        <v/>
      </c>
      <c r="T1050" s="64" t="str">
        <f>Ringkasan!T1049</f>
        <v/>
      </c>
      <c r="U1050" s="64">
        <f>Ringkasan!U1049</f>
        <v>66</v>
      </c>
      <c r="V1050" s="64">
        <f>Ringkasan!V1049</f>
        <v>3.03</v>
      </c>
      <c r="W1050" s="64">
        <f>Ringkasan!W1049</f>
        <v>67</v>
      </c>
      <c r="X1050" s="64">
        <f>Ringkasan!X1049</f>
        <v>70</v>
      </c>
      <c r="Y1050" s="64">
        <f>Ringkasan!Y1049</f>
        <v>66</v>
      </c>
      <c r="Z1050" s="64">
        <f>Ringkasan!Z1049</f>
        <v>10175500</v>
      </c>
      <c r="AA1050" s="64" t="str">
        <f>Ringkasan!AA1049</f>
        <v>Logistics &amp; Deliveries</v>
      </c>
      <c r="AB1050" s="64" t="str">
        <f>Ringkasan!AB1049</f>
        <v>Transportation &amp; Logistic</v>
      </c>
    </row>
    <row r="1051" hidden="1">
      <c r="A1051" s="64" t="str">
        <f>Ringkasan!A907</f>
        <v>INKP</v>
      </c>
      <c r="B1051" s="64" t="str">
        <f>Ringkasan!B907</f>
        <v>Indah Kiat Pulp &amp; Paper Tbk.</v>
      </c>
      <c r="C1051" s="65">
        <f>Ringkasan!C907</f>
        <v>7700</v>
      </c>
      <c r="D1051" s="64" t="str">
        <f>Ringkasan!D907</f>
        <v>#N/A</v>
      </c>
      <c r="E1051" s="64" t="str">
        <f>Ringkasan!E907</f>
        <v>IDXG30</v>
      </c>
      <c r="F1051" s="64" t="str">
        <f>Ringkasan!F907</f>
        <v>4 Agustus 2026</v>
      </c>
      <c r="G1051" s="64">
        <f>Ringkasan!G907</f>
        <v>16</v>
      </c>
      <c r="H1051" s="19">
        <f>Ringkasan!H907</f>
        <v>5.3</v>
      </c>
      <c r="I1051" s="19">
        <f>Ringkasan!I907</f>
        <v>0.35</v>
      </c>
      <c r="J1051" s="19">
        <f>Ringkasan!J907</f>
        <v>6.7</v>
      </c>
      <c r="K1051" s="19">
        <f>Ringkasan!K907</f>
        <v>3.7</v>
      </c>
      <c r="L1051" s="19">
        <f>Ringkasan!L907</f>
        <v>0.81</v>
      </c>
      <c r="M1051" s="19">
        <f>Ringkasan!M907</f>
        <v>57.2</v>
      </c>
      <c r="N1051" s="64" t="str">
        <f>Ringkasan!N907</f>
        <v/>
      </c>
      <c r="O1051" s="64" t="str">
        <f>Ringkasan!O907</f>
        <v/>
      </c>
      <c r="P1051" s="64" t="str">
        <f>Ringkasan!P907</f>
        <v/>
      </c>
      <c r="Q1051" s="64" t="str">
        <f>Ringkasan!Q907</f>
        <v/>
      </c>
      <c r="R1051" s="64" t="str">
        <f>Ringkasan!R907</f>
        <v/>
      </c>
      <c r="S1051" s="64" t="str">
        <f>Ringkasan!S907</f>
        <v/>
      </c>
      <c r="T1051" s="64" t="str">
        <f>Ringkasan!T907</f>
        <v/>
      </c>
      <c r="U1051" s="64">
        <f>Ringkasan!U907</f>
        <v>7550</v>
      </c>
      <c r="V1051" s="64">
        <f>Ringkasan!V907</f>
        <v>1.99</v>
      </c>
      <c r="W1051" s="64">
        <f>Ringkasan!W907</f>
        <v>7625</v>
      </c>
      <c r="X1051" s="64">
        <f>Ringkasan!X907</f>
        <v>7800</v>
      </c>
      <c r="Y1051" s="64">
        <f>Ringkasan!Y907</f>
        <v>7575</v>
      </c>
      <c r="Z1051" s="64">
        <f>Ringkasan!Z907</f>
        <v>5343300</v>
      </c>
      <c r="AA1051" s="64" t="str">
        <f>Ringkasan!AA907</f>
        <v>Forestry &amp; Paper</v>
      </c>
      <c r="AB1051" s="64" t="str">
        <f>Ringkasan!AB907</f>
        <v>Basic Materials</v>
      </c>
    </row>
    <row r="1052" hidden="1">
      <c r="A1052" s="64" t="str">
        <f>Ringkasan!A1051</f>
        <v>KLBF</v>
      </c>
      <c r="B1052" s="64" t="str">
        <f>Ringkasan!B1051</f>
        <v>Kalbe Farma Tbk.</v>
      </c>
      <c r="C1052" s="65">
        <f>Ringkasan!C1051</f>
        <v>740</v>
      </c>
      <c r="D1052" s="64" t="str">
        <f>Ringkasan!D1051</f>
        <v>#N/A</v>
      </c>
      <c r="E1052" s="64" t="str">
        <f>Ringkasan!E1051</f>
        <v>IDXSHAGROW</v>
      </c>
      <c r="F1052" s="66">
        <f>Ringkasan!F1051</f>
        <v>46356</v>
      </c>
      <c r="G1052" s="64">
        <f>Ringkasan!G1051</f>
        <v>17</v>
      </c>
      <c r="H1052" s="19">
        <f>Ringkasan!H1051</f>
        <v>10</v>
      </c>
      <c r="I1052" s="19">
        <f>Ringkasan!I1051</f>
        <v>1.4</v>
      </c>
      <c r="J1052" s="19">
        <f>Ringkasan!J1051</f>
        <v>14.1</v>
      </c>
      <c r="K1052" s="19">
        <f>Ringkasan!K1051</f>
        <v>11.3</v>
      </c>
      <c r="L1052" s="19">
        <f>Ringkasan!L1051</f>
        <v>0.24</v>
      </c>
      <c r="M1052" s="19">
        <f>Ringkasan!M1051</f>
        <v>37.4</v>
      </c>
      <c r="N1052" s="64" t="str">
        <f>Ringkasan!N1051</f>
        <v/>
      </c>
      <c r="O1052" s="64" t="str">
        <f>Ringkasan!O1051</f>
        <v/>
      </c>
      <c r="P1052" s="64" t="str">
        <f>Ringkasan!P1051</f>
        <v/>
      </c>
      <c r="Q1052" s="64" t="str">
        <f>Ringkasan!Q1051</f>
        <v/>
      </c>
      <c r="R1052" s="64" t="str">
        <f>Ringkasan!R1051</f>
        <v/>
      </c>
      <c r="S1052" s="64" t="str">
        <f>Ringkasan!S1051</f>
        <v/>
      </c>
      <c r="T1052" s="64" t="str">
        <f>Ringkasan!T1051</f>
        <v/>
      </c>
      <c r="U1052" s="64">
        <f>Ringkasan!U1051</f>
        <v>725</v>
      </c>
      <c r="V1052" s="64">
        <f>Ringkasan!V1051</f>
        <v>2.07</v>
      </c>
      <c r="W1052" s="64">
        <f>Ringkasan!W1051</f>
        <v>760</v>
      </c>
      <c r="X1052" s="64">
        <f>Ringkasan!X1051</f>
        <v>760</v>
      </c>
      <c r="Y1052" s="64">
        <f>Ringkasan!Y1051</f>
        <v>715</v>
      </c>
      <c r="Z1052" s="64">
        <f>Ringkasan!Z1051</f>
        <v>92741200</v>
      </c>
      <c r="AA1052" s="64" t="str">
        <f>Ringkasan!AA1051</f>
        <v>Pharmaceuticals</v>
      </c>
      <c r="AB1052" s="64" t="str">
        <f>Ringkasan!AB1051</f>
        <v>Healthcare</v>
      </c>
    </row>
    <row r="1053" hidden="1">
      <c r="A1053" s="64" t="str">
        <f>Ringkasan!A993</f>
        <v>JPFA</v>
      </c>
      <c r="B1053" s="64" t="str">
        <f>Ringkasan!B993</f>
        <v>Japfa Comfeed Indonesia Tbk.</v>
      </c>
      <c r="C1053" s="65">
        <f>Ringkasan!C993</f>
        <v>1905</v>
      </c>
      <c r="D1053" s="64" t="str">
        <f>Ringkasan!D993</f>
        <v>#N/A</v>
      </c>
      <c r="E1053" s="64" t="str">
        <f>Ringkasan!E993</f>
        <v>BISNIS-27</v>
      </c>
      <c r="F1053" s="64" t="str">
        <f>Ringkasan!F993</f>
        <v>30 Oktober 2026</v>
      </c>
      <c r="G1053" s="65">
        <f>Ringkasan!G993</f>
        <v>13</v>
      </c>
      <c r="H1053" s="19">
        <f>Ringkasan!H993</f>
        <v>5.6</v>
      </c>
      <c r="I1053" s="19">
        <f>Ringkasan!I993</f>
        <v>1.3</v>
      </c>
      <c r="J1053" s="19">
        <f>Ringkasan!J993</f>
        <v>23.3</v>
      </c>
      <c r="K1053" s="19">
        <f>Ringkasan!K993</f>
        <v>13.1</v>
      </c>
      <c r="L1053" s="19">
        <f>Ringkasan!L993</f>
        <v>0.79</v>
      </c>
      <c r="M1053" s="19">
        <f>Ringkasan!M993</f>
        <v>29</v>
      </c>
      <c r="N1053" s="64" t="str">
        <f>Ringkasan!N993</f>
        <v/>
      </c>
      <c r="O1053" s="64" t="str">
        <f>Ringkasan!O993</f>
        <v/>
      </c>
      <c r="P1053" s="64" t="str">
        <f>Ringkasan!P993</f>
        <v/>
      </c>
      <c r="Q1053" s="64" t="str">
        <f>Ringkasan!Q993</f>
        <v/>
      </c>
      <c r="R1053" s="64" t="str">
        <f>Ringkasan!R993</f>
        <v/>
      </c>
      <c r="S1053" s="64" t="str">
        <f>Ringkasan!S993</f>
        <v/>
      </c>
      <c r="T1053" s="64" t="str">
        <f>Ringkasan!T993</f>
        <v/>
      </c>
      <c r="U1053" s="64">
        <f>Ringkasan!U993</f>
        <v>1860</v>
      </c>
      <c r="V1053" s="64">
        <f>Ringkasan!V993</f>
        <v>2.42</v>
      </c>
      <c r="W1053" s="64">
        <f>Ringkasan!W993</f>
        <v>1865</v>
      </c>
      <c r="X1053" s="64">
        <f>Ringkasan!X993</f>
        <v>1930</v>
      </c>
      <c r="Y1053" s="64">
        <f>Ringkasan!Y993</f>
        <v>1840</v>
      </c>
      <c r="Z1053" s="64">
        <f>Ringkasan!Z993</f>
        <v>30207300</v>
      </c>
      <c r="AA1053" s="64" t="str">
        <f>Ringkasan!AA993</f>
        <v>Agricultural Products</v>
      </c>
      <c r="AB1053" s="64" t="str">
        <f>Ringkasan!AB993</f>
        <v>Consumer Non-Cyclicals</v>
      </c>
    </row>
    <row r="1054" hidden="1">
      <c r="A1054" s="64" t="str">
        <f>Ringkasan!A1053</f>
        <v>KLBF</v>
      </c>
      <c r="B1054" s="64" t="str">
        <f>Ringkasan!B1053</f>
        <v>Kalbe Farma Tbk.</v>
      </c>
      <c r="C1054" s="65">
        <f>Ringkasan!C1053</f>
        <v>740</v>
      </c>
      <c r="D1054" s="64" t="str">
        <f>Ringkasan!D1053</f>
        <v>#N/A</v>
      </c>
      <c r="E1054" s="64" t="str">
        <f>Ringkasan!E1053</f>
        <v>ESGSKEHATI</v>
      </c>
      <c r="F1054" s="66">
        <f>Ringkasan!F1053</f>
        <v>46356</v>
      </c>
      <c r="G1054" s="65">
        <f>Ringkasan!G1053</f>
        <v>17</v>
      </c>
      <c r="H1054" s="19">
        <f>Ringkasan!H1053</f>
        <v>10</v>
      </c>
      <c r="I1054" s="19">
        <f>Ringkasan!I1053</f>
        <v>1.4</v>
      </c>
      <c r="J1054" s="19">
        <f>Ringkasan!J1053</f>
        <v>14.1</v>
      </c>
      <c r="K1054" s="19">
        <f>Ringkasan!K1053</f>
        <v>11.3</v>
      </c>
      <c r="L1054" s="19">
        <f>Ringkasan!L1053</f>
        <v>0.24</v>
      </c>
      <c r="M1054" s="19">
        <f>Ringkasan!M1053</f>
        <v>37.4</v>
      </c>
      <c r="N1054" s="64" t="str">
        <f>Ringkasan!N1053</f>
        <v/>
      </c>
      <c r="O1054" s="64" t="str">
        <f>Ringkasan!O1053</f>
        <v/>
      </c>
      <c r="P1054" s="64" t="str">
        <f>Ringkasan!P1053</f>
        <v/>
      </c>
      <c r="Q1054" s="64" t="str">
        <f>Ringkasan!Q1053</f>
        <v/>
      </c>
      <c r="R1054" s="64" t="str">
        <f>Ringkasan!R1053</f>
        <v/>
      </c>
      <c r="S1054" s="64" t="str">
        <f>Ringkasan!S1053</f>
        <v/>
      </c>
      <c r="T1054" s="64" t="str">
        <f>Ringkasan!T1053</f>
        <v/>
      </c>
      <c r="U1054" s="64">
        <f>Ringkasan!U1053</f>
        <v>725</v>
      </c>
      <c r="V1054" s="64">
        <f>Ringkasan!V1053</f>
        <v>2.07</v>
      </c>
      <c r="W1054" s="64">
        <f>Ringkasan!W1053</f>
        <v>760</v>
      </c>
      <c r="X1054" s="64">
        <f>Ringkasan!X1053</f>
        <v>760</v>
      </c>
      <c r="Y1054" s="64">
        <f>Ringkasan!Y1053</f>
        <v>715</v>
      </c>
      <c r="Z1054" s="64">
        <f>Ringkasan!Z1053</f>
        <v>92741200</v>
      </c>
      <c r="AA1054" s="64" t="str">
        <f>Ringkasan!AA1053</f>
        <v>Pharmaceuticals</v>
      </c>
      <c r="AB1054" s="64" t="str">
        <f>Ringkasan!AB1053</f>
        <v>Healthcare</v>
      </c>
    </row>
    <row r="1055" hidden="1">
      <c r="A1055" s="64" t="str">
        <f>Ringkasan!A1025</f>
        <v>KAQI</v>
      </c>
      <c r="B1055" s="64" t="str">
        <f>Ringkasan!B1025</f>
        <v>Jantra Grupo Indonesia Tbk.</v>
      </c>
      <c r="C1055" s="65">
        <f>Ringkasan!C1025</f>
        <v>91</v>
      </c>
      <c r="D1055" s="64" t="str">
        <f>Ringkasan!D1025</f>
        <v>#N/A</v>
      </c>
      <c r="E1055" s="64" t="str">
        <f>Ringkasan!E1025</f>
        <v/>
      </c>
      <c r="F1055" s="64" t="str">
        <f>Ringkasan!F1025</f>
        <v/>
      </c>
      <c r="G1055" s="64">
        <f>Ringkasan!G1025</f>
        <v>0</v>
      </c>
      <c r="H1055" s="19">
        <f>Ringkasan!H1025</f>
        <v>15.9</v>
      </c>
      <c r="I1055" s="19">
        <f>Ringkasan!I1025</f>
        <v>1.6</v>
      </c>
      <c r="J1055" s="19">
        <f>Ringkasan!J1025</f>
        <v>9.9</v>
      </c>
      <c r="K1055" s="19">
        <f>Ringkasan!K1025</f>
        <v>8.6</v>
      </c>
      <c r="L1055" s="19">
        <f>Ringkasan!L1025</f>
        <v>0.15</v>
      </c>
      <c r="M1055" s="19">
        <f>Ringkasan!M1025</f>
        <v>66.4</v>
      </c>
      <c r="N1055" s="64" t="str">
        <f>Ringkasan!N1025</f>
        <v/>
      </c>
      <c r="O1055" s="64" t="str">
        <f>Ringkasan!O1025</f>
        <v/>
      </c>
      <c r="P1055" s="64" t="str">
        <f>Ringkasan!P1025</f>
        <v/>
      </c>
      <c r="Q1055" s="64" t="str">
        <f>Ringkasan!Q1025</f>
        <v/>
      </c>
      <c r="R1055" s="64" t="str">
        <f>Ringkasan!R1025</f>
        <v/>
      </c>
      <c r="S1055" s="64" t="str">
        <f>Ringkasan!S1025</f>
        <v/>
      </c>
      <c r="T1055" s="64" t="str">
        <f>Ringkasan!T1025</f>
        <v/>
      </c>
      <c r="U1055" s="64">
        <f>Ringkasan!U1025</f>
        <v>89</v>
      </c>
      <c r="V1055" s="64">
        <f>Ringkasan!V1025</f>
        <v>2.25</v>
      </c>
      <c r="W1055" s="64">
        <f>Ringkasan!W1025</f>
        <v>89</v>
      </c>
      <c r="X1055" s="64">
        <f>Ringkasan!X1025</f>
        <v>95</v>
      </c>
      <c r="Y1055" s="64">
        <f>Ringkasan!Y1025</f>
        <v>89</v>
      </c>
      <c r="Z1055" s="64">
        <f>Ringkasan!Z1025</f>
        <v>78551500</v>
      </c>
      <c r="AA1055" s="64" t="str">
        <f>Ringkasan!AA1025</f>
        <v>Auto Components</v>
      </c>
      <c r="AB1055" s="64" t="str">
        <f>Ringkasan!AB1025</f>
        <v>Consumer Cyclicals</v>
      </c>
    </row>
    <row r="1056" hidden="1">
      <c r="A1056" s="64" t="str">
        <f>Ringkasan!A1055</f>
        <v>KLBF</v>
      </c>
      <c r="B1056" s="64" t="str">
        <f>Ringkasan!B1055</f>
        <v>Kalbe Farma Tbk.</v>
      </c>
      <c r="C1056" s="65">
        <f>Ringkasan!C1055</f>
        <v>740</v>
      </c>
      <c r="D1056" s="64" t="str">
        <f>Ringkasan!D1055</f>
        <v>#N/A</v>
      </c>
      <c r="E1056" s="64" t="str">
        <f>Ringkasan!E1055</f>
        <v>MNC36</v>
      </c>
      <c r="F1056" s="64" t="str">
        <f>Ringkasan!F1055</f>
        <v>30 Oktober 2026</v>
      </c>
      <c r="G1056" s="65">
        <f>Ringkasan!G1055</f>
        <v>17</v>
      </c>
      <c r="H1056" s="19">
        <f>Ringkasan!H1055</f>
        <v>10</v>
      </c>
      <c r="I1056" s="19">
        <f>Ringkasan!I1055</f>
        <v>1.4</v>
      </c>
      <c r="J1056" s="19">
        <f>Ringkasan!J1055</f>
        <v>14.1</v>
      </c>
      <c r="K1056" s="19">
        <f>Ringkasan!K1055</f>
        <v>11.3</v>
      </c>
      <c r="L1056" s="19">
        <f>Ringkasan!L1055</f>
        <v>0.24</v>
      </c>
      <c r="M1056" s="19">
        <f>Ringkasan!M1055</f>
        <v>37.4</v>
      </c>
      <c r="N1056" s="64" t="str">
        <f>Ringkasan!N1055</f>
        <v/>
      </c>
      <c r="O1056" s="64" t="str">
        <f>Ringkasan!O1055</f>
        <v/>
      </c>
      <c r="P1056" s="64" t="str">
        <f>Ringkasan!P1055</f>
        <v/>
      </c>
      <c r="Q1056" s="64" t="str">
        <f>Ringkasan!Q1055</f>
        <v/>
      </c>
      <c r="R1056" s="64" t="str">
        <f>Ringkasan!R1055</f>
        <v/>
      </c>
      <c r="S1056" s="64" t="str">
        <f>Ringkasan!S1055</f>
        <v/>
      </c>
      <c r="T1056" s="64" t="str">
        <f>Ringkasan!T1055</f>
        <v/>
      </c>
      <c r="U1056" s="64">
        <f>Ringkasan!U1055</f>
        <v>725</v>
      </c>
      <c r="V1056" s="64">
        <f>Ringkasan!V1055</f>
        <v>2.07</v>
      </c>
      <c r="W1056" s="64">
        <f>Ringkasan!W1055</f>
        <v>760</v>
      </c>
      <c r="X1056" s="64">
        <f>Ringkasan!X1055</f>
        <v>760</v>
      </c>
      <c r="Y1056" s="64">
        <f>Ringkasan!Y1055</f>
        <v>715</v>
      </c>
      <c r="Z1056" s="64">
        <f>Ringkasan!Z1055</f>
        <v>92741200</v>
      </c>
      <c r="AA1056" s="64" t="str">
        <f>Ringkasan!AA1055</f>
        <v>Pharmaceuticals</v>
      </c>
      <c r="AB1056" s="64" t="str">
        <f>Ringkasan!AB1055</f>
        <v>Healthcare</v>
      </c>
    </row>
    <row r="1057" hidden="1">
      <c r="A1057" s="64" t="str">
        <f>Ringkasan!A1056</f>
        <v>KLBF</v>
      </c>
      <c r="B1057" s="64" t="str">
        <f>Ringkasan!B1056</f>
        <v>Kalbe Farma Tbk.</v>
      </c>
      <c r="C1057" s="65">
        <f>Ringkasan!C1056</f>
        <v>740</v>
      </c>
      <c r="D1057" s="64" t="str">
        <f>Ringkasan!D1056</f>
        <v>#N/A</v>
      </c>
      <c r="E1057" s="64" t="str">
        <f>Ringkasan!E1056</f>
        <v>IDX30</v>
      </c>
      <c r="F1057" s="64" t="str">
        <f>Ringkasan!F1056</f>
        <v>31 Juli 2026</v>
      </c>
      <c r="G1057" s="65">
        <f>Ringkasan!G1056</f>
        <v>17</v>
      </c>
      <c r="H1057" s="19">
        <f>Ringkasan!H1056</f>
        <v>10</v>
      </c>
      <c r="I1057" s="19">
        <f>Ringkasan!I1056</f>
        <v>1.4</v>
      </c>
      <c r="J1057" s="19">
        <f>Ringkasan!J1056</f>
        <v>14.1</v>
      </c>
      <c r="K1057" s="19">
        <f>Ringkasan!K1056</f>
        <v>11.3</v>
      </c>
      <c r="L1057" s="19">
        <f>Ringkasan!L1056</f>
        <v>0.24</v>
      </c>
      <c r="M1057" s="19">
        <f>Ringkasan!M1056</f>
        <v>37.4</v>
      </c>
      <c r="N1057" s="64" t="str">
        <f>Ringkasan!N1056</f>
        <v/>
      </c>
      <c r="O1057" s="64" t="str">
        <f>Ringkasan!O1056</f>
        <v/>
      </c>
      <c r="P1057" s="64" t="str">
        <f>Ringkasan!P1056</f>
        <v/>
      </c>
      <c r="Q1057" s="64" t="str">
        <f>Ringkasan!Q1056</f>
        <v/>
      </c>
      <c r="R1057" s="64" t="str">
        <f>Ringkasan!R1056</f>
        <v/>
      </c>
      <c r="S1057" s="64" t="str">
        <f>Ringkasan!S1056</f>
        <v/>
      </c>
      <c r="T1057" s="64" t="str">
        <f>Ringkasan!T1056</f>
        <v/>
      </c>
      <c r="U1057" s="64">
        <f>Ringkasan!U1056</f>
        <v>725</v>
      </c>
      <c r="V1057" s="64">
        <f>Ringkasan!V1056</f>
        <v>2.07</v>
      </c>
      <c r="W1057" s="64">
        <f>Ringkasan!W1056</f>
        <v>760</v>
      </c>
      <c r="X1057" s="64">
        <f>Ringkasan!X1056</f>
        <v>760</v>
      </c>
      <c r="Y1057" s="64">
        <f>Ringkasan!Y1056</f>
        <v>715</v>
      </c>
      <c r="Z1057" s="64">
        <f>Ringkasan!Z1056</f>
        <v>92741200</v>
      </c>
      <c r="AA1057" s="64" t="str">
        <f>Ringkasan!AA1056</f>
        <v>Pharmaceuticals</v>
      </c>
      <c r="AB1057" s="64" t="str">
        <f>Ringkasan!AB1056</f>
        <v>Healthcare</v>
      </c>
    </row>
    <row r="1058" hidden="1">
      <c r="A1058" s="64" t="str">
        <f>Ringkasan!A1057</f>
        <v>KLBF</v>
      </c>
      <c r="B1058" s="64" t="str">
        <f>Ringkasan!B1057</f>
        <v>Kalbe Farma Tbk.</v>
      </c>
      <c r="C1058" s="65">
        <f>Ringkasan!C1057</f>
        <v>740</v>
      </c>
      <c r="D1058" s="64" t="str">
        <f>Ringkasan!D1057</f>
        <v>#N/A</v>
      </c>
      <c r="E1058" s="64" t="str">
        <f>Ringkasan!E1057</f>
        <v>IDX80</v>
      </c>
      <c r="F1058" s="64" t="str">
        <f>Ringkasan!F1057</f>
        <v>31 Juli 2026</v>
      </c>
      <c r="G1058" s="65">
        <f>Ringkasan!G1057</f>
        <v>17</v>
      </c>
      <c r="H1058" s="19">
        <f>Ringkasan!H1057</f>
        <v>10</v>
      </c>
      <c r="I1058" s="19">
        <f>Ringkasan!I1057</f>
        <v>1.4</v>
      </c>
      <c r="J1058" s="19">
        <f>Ringkasan!J1057</f>
        <v>14.1</v>
      </c>
      <c r="K1058" s="19">
        <f>Ringkasan!K1057</f>
        <v>11.3</v>
      </c>
      <c r="L1058" s="19">
        <f>Ringkasan!L1057</f>
        <v>0.24</v>
      </c>
      <c r="M1058" s="19">
        <f>Ringkasan!M1057</f>
        <v>37.4</v>
      </c>
      <c r="N1058" s="64" t="str">
        <f>Ringkasan!N1057</f>
        <v/>
      </c>
      <c r="O1058" s="64" t="str">
        <f>Ringkasan!O1057</f>
        <v/>
      </c>
      <c r="P1058" s="64" t="str">
        <f>Ringkasan!P1057</f>
        <v/>
      </c>
      <c r="Q1058" s="64" t="str">
        <f>Ringkasan!Q1057</f>
        <v/>
      </c>
      <c r="R1058" s="64" t="str">
        <f>Ringkasan!R1057</f>
        <v/>
      </c>
      <c r="S1058" s="64" t="str">
        <f>Ringkasan!S1057</f>
        <v/>
      </c>
      <c r="T1058" s="64" t="str">
        <f>Ringkasan!T1057</f>
        <v/>
      </c>
      <c r="U1058" s="64">
        <f>Ringkasan!U1057</f>
        <v>725</v>
      </c>
      <c r="V1058" s="64">
        <f>Ringkasan!V1057</f>
        <v>2.07</v>
      </c>
      <c r="W1058" s="64">
        <f>Ringkasan!W1057</f>
        <v>760</v>
      </c>
      <c r="X1058" s="64">
        <f>Ringkasan!X1057</f>
        <v>760</v>
      </c>
      <c r="Y1058" s="64">
        <f>Ringkasan!Y1057</f>
        <v>715</v>
      </c>
      <c r="Z1058" s="64">
        <f>Ringkasan!Z1057</f>
        <v>92741200</v>
      </c>
      <c r="AA1058" s="64" t="str">
        <f>Ringkasan!AA1057</f>
        <v>Pharmaceuticals</v>
      </c>
      <c r="AB1058" s="64" t="str">
        <f>Ringkasan!AB1057</f>
        <v>Healthcare</v>
      </c>
    </row>
    <row r="1059" hidden="1">
      <c r="A1059" s="64" t="str">
        <f>Ringkasan!A1058</f>
        <v>KLBF</v>
      </c>
      <c r="B1059" s="64" t="str">
        <f>Ringkasan!B1058</f>
        <v>Kalbe Farma Tbk.</v>
      </c>
      <c r="C1059" s="65">
        <f>Ringkasan!C1058</f>
        <v>740</v>
      </c>
      <c r="D1059" s="64" t="str">
        <f>Ringkasan!D1058</f>
        <v>#N/A</v>
      </c>
      <c r="E1059" s="64" t="str">
        <f>Ringkasan!E1058</f>
        <v>BISNIS-27</v>
      </c>
      <c r="F1059" s="64" t="str">
        <f>Ringkasan!F1058</f>
        <v>30 Oktober 2026</v>
      </c>
      <c r="G1059" s="65">
        <f>Ringkasan!G1058</f>
        <v>17</v>
      </c>
      <c r="H1059" s="19">
        <f>Ringkasan!H1058</f>
        <v>10</v>
      </c>
      <c r="I1059" s="19">
        <f>Ringkasan!I1058</f>
        <v>1.4</v>
      </c>
      <c r="J1059" s="19">
        <f>Ringkasan!J1058</f>
        <v>14.1</v>
      </c>
      <c r="K1059" s="19">
        <f>Ringkasan!K1058</f>
        <v>11.3</v>
      </c>
      <c r="L1059" s="19">
        <f>Ringkasan!L1058</f>
        <v>0.24</v>
      </c>
      <c r="M1059" s="19">
        <f>Ringkasan!M1058</f>
        <v>37.4</v>
      </c>
      <c r="N1059" s="64" t="str">
        <f>Ringkasan!N1058</f>
        <v/>
      </c>
      <c r="O1059" s="64" t="str">
        <f>Ringkasan!O1058</f>
        <v/>
      </c>
      <c r="P1059" s="64" t="str">
        <f>Ringkasan!P1058</f>
        <v/>
      </c>
      <c r="Q1059" s="64" t="str">
        <f>Ringkasan!Q1058</f>
        <v/>
      </c>
      <c r="R1059" s="64" t="str">
        <f>Ringkasan!R1058</f>
        <v/>
      </c>
      <c r="S1059" s="64" t="str">
        <f>Ringkasan!S1058</f>
        <v/>
      </c>
      <c r="T1059" s="64" t="str">
        <f>Ringkasan!T1058</f>
        <v/>
      </c>
      <c r="U1059" s="64">
        <f>Ringkasan!U1058</f>
        <v>725</v>
      </c>
      <c r="V1059" s="64">
        <f>Ringkasan!V1058</f>
        <v>2.07</v>
      </c>
      <c r="W1059" s="64">
        <f>Ringkasan!W1058</f>
        <v>760</v>
      </c>
      <c r="X1059" s="64">
        <f>Ringkasan!X1058</f>
        <v>760</v>
      </c>
      <c r="Y1059" s="64">
        <f>Ringkasan!Y1058</f>
        <v>715</v>
      </c>
      <c r="Z1059" s="64">
        <f>Ringkasan!Z1058</f>
        <v>92741200</v>
      </c>
      <c r="AA1059" s="64" t="str">
        <f>Ringkasan!AA1058</f>
        <v>Pharmaceuticals</v>
      </c>
      <c r="AB1059" s="64" t="str">
        <f>Ringkasan!AB1058</f>
        <v>Healthcare</v>
      </c>
    </row>
    <row r="1060" hidden="1">
      <c r="A1060" s="64" t="str">
        <f>Ringkasan!A1059</f>
        <v>KLBF</v>
      </c>
      <c r="B1060" s="64" t="str">
        <f>Ringkasan!B1059</f>
        <v>Kalbe Farma Tbk.</v>
      </c>
      <c r="C1060" s="65">
        <f>Ringkasan!C1059</f>
        <v>740</v>
      </c>
      <c r="D1060" s="64" t="str">
        <f>Ringkasan!D1059</f>
        <v>#N/A</v>
      </c>
      <c r="E1060" s="64" t="str">
        <f>Ringkasan!E1059</f>
        <v>IDXVESTA28</v>
      </c>
      <c r="F1060" s="64" t="str">
        <f>Ringkasan!F1059</f>
        <v>31 Agustus 2026</v>
      </c>
      <c r="G1060" s="65">
        <f>Ringkasan!G1059</f>
        <v>17</v>
      </c>
      <c r="H1060" s="19">
        <f>Ringkasan!H1059</f>
        <v>10</v>
      </c>
      <c r="I1060" s="19">
        <f>Ringkasan!I1059</f>
        <v>1.4</v>
      </c>
      <c r="J1060" s="19">
        <f>Ringkasan!J1059</f>
        <v>14.1</v>
      </c>
      <c r="K1060" s="19">
        <f>Ringkasan!K1059</f>
        <v>11.3</v>
      </c>
      <c r="L1060" s="19">
        <f>Ringkasan!L1059</f>
        <v>0.24</v>
      </c>
      <c r="M1060" s="19">
        <f>Ringkasan!M1059</f>
        <v>37.4</v>
      </c>
      <c r="N1060" s="64" t="str">
        <f>Ringkasan!N1059</f>
        <v/>
      </c>
      <c r="O1060" s="64" t="str">
        <f>Ringkasan!O1059</f>
        <v/>
      </c>
      <c r="P1060" s="64" t="str">
        <f>Ringkasan!P1059</f>
        <v/>
      </c>
      <c r="Q1060" s="64" t="str">
        <f>Ringkasan!Q1059</f>
        <v/>
      </c>
      <c r="R1060" s="64" t="str">
        <f>Ringkasan!R1059</f>
        <v/>
      </c>
      <c r="S1060" s="64" t="str">
        <f>Ringkasan!S1059</f>
        <v/>
      </c>
      <c r="T1060" s="64" t="str">
        <f>Ringkasan!T1059</f>
        <v/>
      </c>
      <c r="U1060" s="64">
        <f>Ringkasan!U1059</f>
        <v>725</v>
      </c>
      <c r="V1060" s="64">
        <f>Ringkasan!V1059</f>
        <v>2.07</v>
      </c>
      <c r="W1060" s="64">
        <f>Ringkasan!W1059</f>
        <v>760</v>
      </c>
      <c r="X1060" s="64">
        <f>Ringkasan!X1059</f>
        <v>760</v>
      </c>
      <c r="Y1060" s="64">
        <f>Ringkasan!Y1059</f>
        <v>715</v>
      </c>
      <c r="Z1060" s="64">
        <f>Ringkasan!Z1059</f>
        <v>92741200</v>
      </c>
      <c r="AA1060" s="64" t="str">
        <f>Ringkasan!AA1059</f>
        <v>Pharmaceuticals</v>
      </c>
      <c r="AB1060" s="64" t="str">
        <f>Ringkasan!AB1059</f>
        <v>Healthcare</v>
      </c>
    </row>
    <row r="1061" hidden="1">
      <c r="A1061" s="64" t="str">
        <f>Ringkasan!A1060</f>
        <v>KLBF</v>
      </c>
      <c r="B1061" s="64" t="str">
        <f>Ringkasan!B1060</f>
        <v>Kalbe Farma Tbk.</v>
      </c>
      <c r="C1061" s="65">
        <f>Ringkasan!C1060</f>
        <v>740</v>
      </c>
      <c r="D1061" s="64" t="str">
        <f>Ringkasan!D1060</f>
        <v>#N/A</v>
      </c>
      <c r="E1061" s="64" t="str">
        <f>Ringkasan!E1060</f>
        <v>Kompas100</v>
      </c>
      <c r="F1061" s="64" t="str">
        <f>Ringkasan!F1060</f>
        <v>31 Juli 2026</v>
      </c>
      <c r="G1061" s="65">
        <f>Ringkasan!G1060</f>
        <v>17</v>
      </c>
      <c r="H1061" s="19">
        <f>Ringkasan!H1060</f>
        <v>10</v>
      </c>
      <c r="I1061" s="19">
        <f>Ringkasan!I1060</f>
        <v>1.4</v>
      </c>
      <c r="J1061" s="19">
        <f>Ringkasan!J1060</f>
        <v>14.1</v>
      </c>
      <c r="K1061" s="19">
        <f>Ringkasan!K1060</f>
        <v>11.3</v>
      </c>
      <c r="L1061" s="19">
        <f>Ringkasan!L1060</f>
        <v>0.24</v>
      </c>
      <c r="M1061" s="19">
        <f>Ringkasan!M1060</f>
        <v>37.4</v>
      </c>
      <c r="N1061" s="64" t="str">
        <f>Ringkasan!N1060</f>
        <v/>
      </c>
      <c r="O1061" s="64" t="str">
        <f>Ringkasan!O1060</f>
        <v/>
      </c>
      <c r="P1061" s="64" t="str">
        <f>Ringkasan!P1060</f>
        <v/>
      </c>
      <c r="Q1061" s="64" t="str">
        <f>Ringkasan!Q1060</f>
        <v/>
      </c>
      <c r="R1061" s="64" t="str">
        <f>Ringkasan!R1060</f>
        <v/>
      </c>
      <c r="S1061" s="64" t="str">
        <f>Ringkasan!S1060</f>
        <v/>
      </c>
      <c r="T1061" s="64" t="str">
        <f>Ringkasan!T1060</f>
        <v/>
      </c>
      <c r="U1061" s="64">
        <f>Ringkasan!U1060</f>
        <v>725</v>
      </c>
      <c r="V1061" s="64">
        <f>Ringkasan!V1060</f>
        <v>2.07</v>
      </c>
      <c r="W1061" s="64">
        <f>Ringkasan!W1060</f>
        <v>760</v>
      </c>
      <c r="X1061" s="64">
        <f>Ringkasan!X1060</f>
        <v>760</v>
      </c>
      <c r="Y1061" s="64">
        <f>Ringkasan!Y1060</f>
        <v>715</v>
      </c>
      <c r="Z1061" s="64">
        <f>Ringkasan!Z1060</f>
        <v>92741200</v>
      </c>
      <c r="AA1061" s="64" t="str">
        <f>Ringkasan!AA1060</f>
        <v>Pharmaceuticals</v>
      </c>
      <c r="AB1061" s="64" t="str">
        <f>Ringkasan!AB1060</f>
        <v>Healthcare</v>
      </c>
    </row>
    <row r="1062" hidden="1">
      <c r="A1062" s="64" t="str">
        <f>Ringkasan!A1061</f>
        <v>KLBF</v>
      </c>
      <c r="B1062" s="64" t="str">
        <f>Ringkasan!B1061</f>
        <v>Kalbe Farma Tbk.</v>
      </c>
      <c r="C1062" s="65">
        <f>Ringkasan!C1061</f>
        <v>740</v>
      </c>
      <c r="D1062" s="64" t="str">
        <f>Ringkasan!D1061</f>
        <v>#N/A</v>
      </c>
      <c r="E1062" s="64" t="str">
        <f>Ringkasan!E1061</f>
        <v>IDXQ30</v>
      </c>
      <c r="F1062" s="64" t="str">
        <f>Ringkasan!F1061</f>
        <v>4 Agustus 2026</v>
      </c>
      <c r="G1062" s="65">
        <f>Ringkasan!G1061</f>
        <v>17</v>
      </c>
      <c r="H1062" s="19">
        <f>Ringkasan!H1061</f>
        <v>10</v>
      </c>
      <c r="I1062" s="19">
        <f>Ringkasan!I1061</f>
        <v>1.4</v>
      </c>
      <c r="J1062" s="19">
        <f>Ringkasan!J1061</f>
        <v>14.1</v>
      </c>
      <c r="K1062" s="19">
        <f>Ringkasan!K1061</f>
        <v>11.3</v>
      </c>
      <c r="L1062" s="19">
        <f>Ringkasan!L1061</f>
        <v>0.24</v>
      </c>
      <c r="M1062" s="19">
        <f>Ringkasan!M1061</f>
        <v>37.4</v>
      </c>
      <c r="N1062" s="64" t="str">
        <f>Ringkasan!N1061</f>
        <v/>
      </c>
      <c r="O1062" s="64" t="str">
        <f>Ringkasan!O1061</f>
        <v/>
      </c>
      <c r="P1062" s="64" t="str">
        <f>Ringkasan!P1061</f>
        <v/>
      </c>
      <c r="Q1062" s="64" t="str">
        <f>Ringkasan!Q1061</f>
        <v/>
      </c>
      <c r="R1062" s="64" t="str">
        <f>Ringkasan!R1061</f>
        <v/>
      </c>
      <c r="S1062" s="64" t="str">
        <f>Ringkasan!S1061</f>
        <v/>
      </c>
      <c r="T1062" s="64" t="str">
        <f>Ringkasan!T1061</f>
        <v/>
      </c>
      <c r="U1062" s="64">
        <f>Ringkasan!U1061</f>
        <v>725</v>
      </c>
      <c r="V1062" s="64">
        <f>Ringkasan!V1061</f>
        <v>2.07</v>
      </c>
      <c r="W1062" s="64">
        <f>Ringkasan!W1061</f>
        <v>760</v>
      </c>
      <c r="X1062" s="64">
        <f>Ringkasan!X1061</f>
        <v>760</v>
      </c>
      <c r="Y1062" s="64">
        <f>Ringkasan!Y1061</f>
        <v>715</v>
      </c>
      <c r="Z1062" s="64">
        <f>Ringkasan!Z1061</f>
        <v>92741200</v>
      </c>
      <c r="AA1062" s="64" t="str">
        <f>Ringkasan!AA1061</f>
        <v>Pharmaceuticals</v>
      </c>
      <c r="AB1062" s="64" t="str">
        <f>Ringkasan!AB1061</f>
        <v>Healthcare</v>
      </c>
    </row>
    <row r="1063" hidden="1">
      <c r="A1063" s="64" t="str">
        <f>Ringkasan!A1062</f>
        <v>KLBF</v>
      </c>
      <c r="B1063" s="64" t="str">
        <f>Ringkasan!B1062</f>
        <v>Kalbe Farma Tbk.</v>
      </c>
      <c r="C1063" s="65">
        <f>Ringkasan!C1062</f>
        <v>740</v>
      </c>
      <c r="D1063" s="64" t="str">
        <f>Ringkasan!D1062</f>
        <v>#N/A</v>
      </c>
      <c r="E1063" s="64" t="str">
        <f>Ringkasan!E1062</f>
        <v>FTSE Large Cap</v>
      </c>
      <c r="F1063" s="64" t="str">
        <f>Ringkasan!F1062</f>
        <v>Juni 2026</v>
      </c>
      <c r="G1063" s="64">
        <f>Ringkasan!G1062</f>
        <v>17</v>
      </c>
      <c r="H1063" s="19">
        <f>Ringkasan!H1062</f>
        <v>10</v>
      </c>
      <c r="I1063" s="19">
        <f>Ringkasan!I1062</f>
        <v>1.4</v>
      </c>
      <c r="J1063" s="19">
        <f>Ringkasan!J1062</f>
        <v>14.1</v>
      </c>
      <c r="K1063" s="19">
        <f>Ringkasan!K1062</f>
        <v>11.3</v>
      </c>
      <c r="L1063" s="19">
        <f>Ringkasan!L1062</f>
        <v>0.24</v>
      </c>
      <c r="M1063" s="19">
        <f>Ringkasan!M1062</f>
        <v>37.4</v>
      </c>
      <c r="N1063" s="64" t="str">
        <f>Ringkasan!N1062</f>
        <v/>
      </c>
      <c r="O1063" s="64" t="str">
        <f>Ringkasan!O1062</f>
        <v/>
      </c>
      <c r="P1063" s="64" t="str">
        <f>Ringkasan!P1062</f>
        <v/>
      </c>
      <c r="Q1063" s="64" t="str">
        <f>Ringkasan!Q1062</f>
        <v/>
      </c>
      <c r="R1063" s="64" t="str">
        <f>Ringkasan!R1062</f>
        <v/>
      </c>
      <c r="S1063" s="64" t="str">
        <f>Ringkasan!S1062</f>
        <v/>
      </c>
      <c r="T1063" s="64" t="str">
        <f>Ringkasan!T1062</f>
        <v/>
      </c>
      <c r="U1063" s="64">
        <f>Ringkasan!U1062</f>
        <v>725</v>
      </c>
      <c r="V1063" s="64">
        <f>Ringkasan!V1062</f>
        <v>2.07</v>
      </c>
      <c r="W1063" s="64">
        <f>Ringkasan!W1062</f>
        <v>760</v>
      </c>
      <c r="X1063" s="64">
        <f>Ringkasan!X1062</f>
        <v>760</v>
      </c>
      <c r="Y1063" s="64">
        <f>Ringkasan!Y1062</f>
        <v>715</v>
      </c>
      <c r="Z1063" s="64">
        <f>Ringkasan!Z1062</f>
        <v>92741200</v>
      </c>
      <c r="AA1063" s="64" t="str">
        <f>Ringkasan!AA1062</f>
        <v>Pharmaceuticals</v>
      </c>
      <c r="AB1063" s="64" t="str">
        <f>Ringkasan!AB1062</f>
        <v>Healthcare</v>
      </c>
    </row>
    <row r="1064" hidden="1">
      <c r="A1064" s="64" t="str">
        <f>Ringkasan!A1063</f>
        <v>KLBF</v>
      </c>
      <c r="B1064" s="64" t="str">
        <f>Ringkasan!B1063</f>
        <v>Kalbe Farma Tbk.</v>
      </c>
      <c r="C1064" s="65">
        <f>Ringkasan!C1063</f>
        <v>740</v>
      </c>
      <c r="D1064" s="64" t="str">
        <f>Ringkasan!D1063</f>
        <v>#N/A</v>
      </c>
      <c r="E1064" s="64" t="str">
        <f>Ringkasan!E1063</f>
        <v>MSCI Small Cap</v>
      </c>
      <c r="F1064" s="64" t="str">
        <f>Ringkasan!F1063</f>
        <v>12 Agustus 2026</v>
      </c>
      <c r="G1064" s="64">
        <f>Ringkasan!G1063</f>
        <v>17</v>
      </c>
      <c r="H1064" s="19">
        <f>Ringkasan!H1063</f>
        <v>10</v>
      </c>
      <c r="I1064" s="19">
        <f>Ringkasan!I1063</f>
        <v>1.4</v>
      </c>
      <c r="J1064" s="19">
        <f>Ringkasan!J1063</f>
        <v>14.1</v>
      </c>
      <c r="K1064" s="19">
        <f>Ringkasan!K1063</f>
        <v>11.3</v>
      </c>
      <c r="L1064" s="19">
        <f>Ringkasan!L1063</f>
        <v>0.24</v>
      </c>
      <c r="M1064" s="19">
        <f>Ringkasan!M1063</f>
        <v>37.4</v>
      </c>
      <c r="N1064" s="64" t="str">
        <f>Ringkasan!N1063</f>
        <v/>
      </c>
      <c r="O1064" s="64" t="str">
        <f>Ringkasan!O1063</f>
        <v/>
      </c>
      <c r="P1064" s="64" t="str">
        <f>Ringkasan!P1063</f>
        <v/>
      </c>
      <c r="Q1064" s="64" t="str">
        <f>Ringkasan!Q1063</f>
        <v/>
      </c>
      <c r="R1064" s="64" t="str">
        <f>Ringkasan!R1063</f>
        <v/>
      </c>
      <c r="S1064" s="64" t="str">
        <f>Ringkasan!S1063</f>
        <v/>
      </c>
      <c r="T1064" s="64" t="str">
        <f>Ringkasan!T1063</f>
        <v/>
      </c>
      <c r="U1064" s="64">
        <f>Ringkasan!U1063</f>
        <v>725</v>
      </c>
      <c r="V1064" s="64">
        <f>Ringkasan!V1063</f>
        <v>2.07</v>
      </c>
      <c r="W1064" s="64">
        <f>Ringkasan!W1063</f>
        <v>760</v>
      </c>
      <c r="X1064" s="64">
        <f>Ringkasan!X1063</f>
        <v>760</v>
      </c>
      <c r="Y1064" s="64">
        <f>Ringkasan!Y1063</f>
        <v>715</v>
      </c>
      <c r="Z1064" s="64">
        <f>Ringkasan!Z1063</f>
        <v>92741200</v>
      </c>
      <c r="AA1064" s="64" t="str">
        <f>Ringkasan!AA1063</f>
        <v>Pharmaceuticals</v>
      </c>
      <c r="AB1064" s="64" t="str">
        <f>Ringkasan!AB1063</f>
        <v>Healthcare</v>
      </c>
    </row>
    <row r="1065" hidden="1">
      <c r="A1065" s="64" t="str">
        <f>Ringkasan!A1064</f>
        <v>KLBF</v>
      </c>
      <c r="B1065" s="64" t="str">
        <f>Ringkasan!B1064</f>
        <v>Kalbe Farma Tbk.</v>
      </c>
      <c r="C1065" s="65">
        <f>Ringkasan!C1064</f>
        <v>740</v>
      </c>
      <c r="D1065" s="64" t="str">
        <f>Ringkasan!D1064</f>
        <v>#N/A</v>
      </c>
      <c r="E1065" s="64" t="str">
        <f>Ringkasan!E1064</f>
        <v>SRI-KEHATI</v>
      </c>
      <c r="F1065" s="66">
        <f>Ringkasan!F1064</f>
        <v>46356</v>
      </c>
      <c r="G1065" s="65">
        <f>Ringkasan!G1064</f>
        <v>17</v>
      </c>
      <c r="H1065" s="19">
        <f>Ringkasan!H1064</f>
        <v>10</v>
      </c>
      <c r="I1065" s="19">
        <f>Ringkasan!I1064</f>
        <v>1.4</v>
      </c>
      <c r="J1065" s="19">
        <f>Ringkasan!J1064</f>
        <v>14.1</v>
      </c>
      <c r="K1065" s="19">
        <f>Ringkasan!K1064</f>
        <v>11.3</v>
      </c>
      <c r="L1065" s="19">
        <f>Ringkasan!L1064</f>
        <v>0.24</v>
      </c>
      <c r="M1065" s="19">
        <f>Ringkasan!M1064</f>
        <v>37.4</v>
      </c>
      <c r="N1065" s="64" t="str">
        <f>Ringkasan!N1064</f>
        <v/>
      </c>
      <c r="O1065" s="64" t="str">
        <f>Ringkasan!O1064</f>
        <v/>
      </c>
      <c r="P1065" s="64" t="str">
        <f>Ringkasan!P1064</f>
        <v/>
      </c>
      <c r="Q1065" s="64" t="str">
        <f>Ringkasan!Q1064</f>
        <v/>
      </c>
      <c r="R1065" s="64" t="str">
        <f>Ringkasan!R1064</f>
        <v/>
      </c>
      <c r="S1065" s="64" t="str">
        <f>Ringkasan!S1064</f>
        <v/>
      </c>
      <c r="T1065" s="64" t="str">
        <f>Ringkasan!T1064</f>
        <v/>
      </c>
      <c r="U1065" s="64">
        <f>Ringkasan!U1064</f>
        <v>725</v>
      </c>
      <c r="V1065" s="64">
        <f>Ringkasan!V1064</f>
        <v>2.07</v>
      </c>
      <c r="W1065" s="64">
        <f>Ringkasan!W1064</f>
        <v>760</v>
      </c>
      <c r="X1065" s="64">
        <f>Ringkasan!X1064</f>
        <v>760</v>
      </c>
      <c r="Y1065" s="64">
        <f>Ringkasan!Y1064</f>
        <v>715</v>
      </c>
      <c r="Z1065" s="64">
        <f>Ringkasan!Z1064</f>
        <v>92741200</v>
      </c>
      <c r="AA1065" s="64" t="str">
        <f>Ringkasan!AA1064</f>
        <v>Pharmaceuticals</v>
      </c>
      <c r="AB1065" s="64" t="str">
        <f>Ringkasan!AB1064</f>
        <v>Healthcare</v>
      </c>
    </row>
    <row r="1066" hidden="1">
      <c r="A1066" s="64" t="str">
        <f>Ringkasan!A1065</f>
        <v>KLBF</v>
      </c>
      <c r="B1066" s="64" t="str">
        <f>Ringkasan!B1065</f>
        <v>Kalbe Farma Tbk.</v>
      </c>
      <c r="C1066" s="65">
        <f>Ringkasan!C1065</f>
        <v>740</v>
      </c>
      <c r="D1066" s="64" t="str">
        <f>Ringkasan!D1065</f>
        <v>#N/A</v>
      </c>
      <c r="E1066" s="64" t="str">
        <f>Ringkasan!E1065</f>
        <v>JII30</v>
      </c>
      <c r="F1066" s="66">
        <f>Ringkasan!F1065</f>
        <v>46356</v>
      </c>
      <c r="G1066" s="65">
        <f>Ringkasan!G1065</f>
        <v>17</v>
      </c>
      <c r="H1066" s="19">
        <f>Ringkasan!H1065</f>
        <v>10</v>
      </c>
      <c r="I1066" s="19">
        <f>Ringkasan!I1065</f>
        <v>1.4</v>
      </c>
      <c r="J1066" s="19">
        <f>Ringkasan!J1065</f>
        <v>14.1</v>
      </c>
      <c r="K1066" s="19">
        <f>Ringkasan!K1065</f>
        <v>11.3</v>
      </c>
      <c r="L1066" s="19">
        <f>Ringkasan!L1065</f>
        <v>0.24</v>
      </c>
      <c r="M1066" s="19">
        <f>Ringkasan!M1065</f>
        <v>37.4</v>
      </c>
      <c r="N1066" s="64" t="str">
        <f>Ringkasan!N1065</f>
        <v/>
      </c>
      <c r="O1066" s="64" t="str">
        <f>Ringkasan!O1065</f>
        <v/>
      </c>
      <c r="P1066" s="64" t="str">
        <f>Ringkasan!P1065</f>
        <v/>
      </c>
      <c r="Q1066" s="64" t="str">
        <f>Ringkasan!Q1065</f>
        <v/>
      </c>
      <c r="R1066" s="64" t="str">
        <f>Ringkasan!R1065</f>
        <v/>
      </c>
      <c r="S1066" s="64" t="str">
        <f>Ringkasan!S1065</f>
        <v/>
      </c>
      <c r="T1066" s="64" t="str">
        <f>Ringkasan!T1065</f>
        <v/>
      </c>
      <c r="U1066" s="64">
        <f>Ringkasan!U1065</f>
        <v>725</v>
      </c>
      <c r="V1066" s="64">
        <f>Ringkasan!V1065</f>
        <v>2.07</v>
      </c>
      <c r="W1066" s="64">
        <f>Ringkasan!W1065</f>
        <v>760</v>
      </c>
      <c r="X1066" s="64">
        <f>Ringkasan!X1065</f>
        <v>760</v>
      </c>
      <c r="Y1066" s="64">
        <f>Ringkasan!Y1065</f>
        <v>715</v>
      </c>
      <c r="Z1066" s="64">
        <f>Ringkasan!Z1065</f>
        <v>92741200</v>
      </c>
      <c r="AA1066" s="64" t="str">
        <f>Ringkasan!AA1065</f>
        <v>Pharmaceuticals</v>
      </c>
      <c r="AB1066" s="64" t="str">
        <f>Ringkasan!AB1065</f>
        <v>Healthcare</v>
      </c>
    </row>
    <row r="1067" hidden="1">
      <c r="A1067" s="64" t="str">
        <f>Ringkasan!A1066</f>
        <v>KLBF</v>
      </c>
      <c r="B1067" s="64" t="str">
        <f>Ringkasan!B1066</f>
        <v>Kalbe Farma Tbk.</v>
      </c>
      <c r="C1067" s="65">
        <f>Ringkasan!C1066</f>
        <v>740</v>
      </c>
      <c r="D1067" s="64" t="str">
        <f>Ringkasan!D1066</f>
        <v>#N/A</v>
      </c>
      <c r="E1067" s="64" t="str">
        <f>Ringkasan!E1066</f>
        <v>JII70</v>
      </c>
      <c r="F1067" s="66">
        <f>Ringkasan!F1066</f>
        <v>46356</v>
      </c>
      <c r="G1067" s="65">
        <f>Ringkasan!G1066</f>
        <v>17</v>
      </c>
      <c r="H1067" s="19">
        <f>Ringkasan!H1066</f>
        <v>10</v>
      </c>
      <c r="I1067" s="19">
        <f>Ringkasan!I1066</f>
        <v>1.4</v>
      </c>
      <c r="J1067" s="19">
        <f>Ringkasan!J1066</f>
        <v>14.1</v>
      </c>
      <c r="K1067" s="19">
        <f>Ringkasan!K1066</f>
        <v>11.3</v>
      </c>
      <c r="L1067" s="19">
        <f>Ringkasan!L1066</f>
        <v>0.24</v>
      </c>
      <c r="M1067" s="19">
        <f>Ringkasan!M1066</f>
        <v>37.4</v>
      </c>
      <c r="N1067" s="64" t="str">
        <f>Ringkasan!N1066</f>
        <v/>
      </c>
      <c r="O1067" s="64" t="str">
        <f>Ringkasan!O1066</f>
        <v/>
      </c>
      <c r="P1067" s="64" t="str">
        <f>Ringkasan!P1066</f>
        <v/>
      </c>
      <c r="Q1067" s="64" t="str">
        <f>Ringkasan!Q1066</f>
        <v/>
      </c>
      <c r="R1067" s="64" t="str">
        <f>Ringkasan!R1066</f>
        <v/>
      </c>
      <c r="S1067" s="64" t="str">
        <f>Ringkasan!S1066</f>
        <v/>
      </c>
      <c r="T1067" s="64" t="str">
        <f>Ringkasan!T1066</f>
        <v/>
      </c>
      <c r="U1067" s="64">
        <f>Ringkasan!U1066</f>
        <v>725</v>
      </c>
      <c r="V1067" s="64">
        <f>Ringkasan!V1066</f>
        <v>2.07</v>
      </c>
      <c r="W1067" s="64">
        <f>Ringkasan!W1066</f>
        <v>760</v>
      </c>
      <c r="X1067" s="64">
        <f>Ringkasan!X1066</f>
        <v>760</v>
      </c>
      <c r="Y1067" s="64">
        <f>Ringkasan!Y1066</f>
        <v>715</v>
      </c>
      <c r="Z1067" s="64">
        <f>Ringkasan!Z1066</f>
        <v>92741200</v>
      </c>
      <c r="AA1067" s="64" t="str">
        <f>Ringkasan!AA1066</f>
        <v>Pharmaceuticals</v>
      </c>
      <c r="AB1067" s="64" t="str">
        <f>Ringkasan!AB1066</f>
        <v>Healthcare</v>
      </c>
    </row>
    <row r="1068" hidden="1">
      <c r="A1068" s="64" t="str">
        <f>Ringkasan!A1067</f>
        <v>KLIN</v>
      </c>
      <c r="B1068" s="64" t="str">
        <f>Ringkasan!B1067</f>
        <v>Klinko Karya Imaji Tbk.</v>
      </c>
      <c r="C1068" s="65">
        <f>Ringkasan!C1067</f>
        <v>102</v>
      </c>
      <c r="D1068" s="64" t="str">
        <f>Ringkasan!D1067</f>
        <v>#N/A</v>
      </c>
      <c r="E1068" s="64" t="str">
        <f>Ringkasan!E1067</f>
        <v/>
      </c>
      <c r="F1068" s="64" t="str">
        <f>Ringkasan!F1067</f>
        <v/>
      </c>
      <c r="G1068" s="64">
        <f>Ringkasan!G1067</f>
        <v>0</v>
      </c>
      <c r="H1068" s="19">
        <f>Ringkasan!H1067</f>
        <v>-35</v>
      </c>
      <c r="I1068" s="19">
        <f>Ringkasan!I1067</f>
        <v>5.2</v>
      </c>
      <c r="J1068" s="19">
        <f>Ringkasan!J1067</f>
        <v>-15</v>
      </c>
      <c r="K1068" s="19">
        <f>Ringkasan!K1067</f>
        <v>-14.2</v>
      </c>
      <c r="L1068" s="19">
        <f>Ringkasan!L1067</f>
        <v>0.05</v>
      </c>
      <c r="M1068" s="19">
        <f>Ringkasan!M1067</f>
        <v>-54.8</v>
      </c>
      <c r="N1068" s="64" t="str">
        <f>Ringkasan!N1067</f>
        <v/>
      </c>
      <c r="O1068" s="64" t="str">
        <f>Ringkasan!O1067</f>
        <v/>
      </c>
      <c r="P1068" s="64" t="str">
        <f>Ringkasan!P1067</f>
        <v/>
      </c>
      <c r="Q1068" s="64" t="str">
        <f>Ringkasan!Q1067</f>
        <v/>
      </c>
      <c r="R1068" s="64" t="str">
        <f>Ringkasan!R1067</f>
        <v/>
      </c>
      <c r="S1068" s="64" t="str">
        <f>Ringkasan!S1067</f>
        <v/>
      </c>
      <c r="T1068" s="64" t="str">
        <f>Ringkasan!T1067</f>
        <v/>
      </c>
      <c r="U1068" s="64">
        <f>Ringkasan!U1067</f>
        <v>101</v>
      </c>
      <c r="V1068" s="64">
        <f>Ringkasan!V1067</f>
        <v>0.99</v>
      </c>
      <c r="W1068" s="64">
        <f>Ringkasan!W1067</f>
        <v>102</v>
      </c>
      <c r="X1068" s="64">
        <f>Ringkasan!X1067</f>
        <v>103</v>
      </c>
      <c r="Y1068" s="64">
        <f>Ringkasan!Y1067</f>
        <v>100</v>
      </c>
      <c r="Z1068" s="64">
        <f>Ringkasan!Z1067</f>
        <v>16400</v>
      </c>
      <c r="AA1068" s="64" t="str">
        <f>Ringkasan!AA1067</f>
        <v>Specialty Retail</v>
      </c>
      <c r="AB1068" s="64" t="str">
        <f>Ringkasan!AB1067</f>
        <v>Consumer Cyclicals</v>
      </c>
    </row>
    <row r="1069" hidden="1">
      <c r="A1069" s="64" t="str">
        <f>Ringkasan!A1068</f>
        <v>KMDS</v>
      </c>
      <c r="B1069" s="64" t="str">
        <f>Ringkasan!B1068</f>
        <v>Kurniamitra Duta Sentosa Tbk.</v>
      </c>
      <c r="C1069" s="65">
        <f>Ringkasan!C1068</f>
        <v>525</v>
      </c>
      <c r="D1069" s="64" t="str">
        <f>Ringkasan!D1068</f>
        <v>#N/A</v>
      </c>
      <c r="E1069" s="64" t="str">
        <f>Ringkasan!E1068</f>
        <v/>
      </c>
      <c r="F1069" s="64" t="str">
        <f>Ringkasan!F1068</f>
        <v/>
      </c>
      <c r="G1069" s="65">
        <f>Ringkasan!G1068</f>
        <v>0</v>
      </c>
      <c r="H1069" s="19">
        <f>Ringkasan!H1068</f>
        <v>8.2</v>
      </c>
      <c r="I1069" s="19">
        <f>Ringkasan!I1068</f>
        <v>1.7</v>
      </c>
      <c r="J1069" s="19">
        <f>Ringkasan!J1068</f>
        <v>20.3</v>
      </c>
      <c r="K1069" s="19">
        <f>Ringkasan!K1068</f>
        <v>16.6</v>
      </c>
      <c r="L1069" s="19">
        <f>Ringkasan!L1068</f>
        <v>0.22</v>
      </c>
      <c r="M1069" s="19">
        <f>Ringkasan!M1068</f>
        <v>50</v>
      </c>
      <c r="N1069" s="64" t="str">
        <f>Ringkasan!N1068</f>
        <v/>
      </c>
      <c r="O1069" s="64" t="str">
        <f>Ringkasan!O1068</f>
        <v/>
      </c>
      <c r="P1069" s="64" t="str">
        <f>Ringkasan!P1068</f>
        <v/>
      </c>
      <c r="Q1069" s="64" t="str">
        <f>Ringkasan!Q1068</f>
        <v/>
      </c>
      <c r="R1069" s="64" t="str">
        <f>Ringkasan!R1068</f>
        <v/>
      </c>
      <c r="S1069" s="64" t="str">
        <f>Ringkasan!S1068</f>
        <v/>
      </c>
      <c r="T1069" s="64" t="str">
        <f>Ringkasan!T1068</f>
        <v/>
      </c>
      <c r="U1069" s="64">
        <f>Ringkasan!U1068</f>
        <v>525</v>
      </c>
      <c r="V1069" s="64">
        <f>Ringkasan!V1068</f>
        <v>0</v>
      </c>
      <c r="W1069" s="64">
        <f>Ringkasan!W1068</f>
        <v>530</v>
      </c>
      <c r="X1069" s="64">
        <f>Ringkasan!X1068</f>
        <v>530</v>
      </c>
      <c r="Y1069" s="64">
        <f>Ringkasan!Y1068</f>
        <v>510</v>
      </c>
      <c r="Z1069" s="64">
        <f>Ringkasan!Z1068</f>
        <v>51200</v>
      </c>
      <c r="AA1069" s="64" t="str">
        <f>Ringkasan!AA1068</f>
        <v>Food &amp; Staples Retailing</v>
      </c>
      <c r="AB1069" s="64" t="str">
        <f>Ringkasan!AB1068</f>
        <v>Consumer Non-Cyclicals</v>
      </c>
    </row>
    <row r="1070" hidden="1">
      <c r="A1070" s="64" t="str">
        <f>Ringkasan!A1069</f>
        <v>KMTR</v>
      </c>
      <c r="B1070" s="64" t="str">
        <f>Ringkasan!B1069</f>
        <v>PT Kirana Megatara Tbk.</v>
      </c>
      <c r="C1070" s="65">
        <f>Ringkasan!C1069</f>
        <v>230</v>
      </c>
      <c r="D1070" s="64" t="str">
        <f>Ringkasan!D1069</f>
        <v>#N/A</v>
      </c>
      <c r="E1070" s="64" t="str">
        <f>Ringkasan!E1069</f>
        <v/>
      </c>
      <c r="F1070" s="64" t="str">
        <f>Ringkasan!F1069</f>
        <v/>
      </c>
      <c r="G1070" s="64">
        <f>Ringkasan!G1069</f>
        <v>0</v>
      </c>
      <c r="H1070" s="19">
        <f>Ringkasan!H1069</f>
        <v>30.8</v>
      </c>
      <c r="I1070" s="19">
        <f>Ringkasan!I1069</f>
        <v>0.83</v>
      </c>
      <c r="J1070" s="19">
        <f>Ringkasan!J1069</f>
        <v>2.7</v>
      </c>
      <c r="K1070" s="19">
        <f>Ringkasan!K1069</f>
        <v>1.1</v>
      </c>
      <c r="L1070" s="19">
        <f>Ringkasan!L1069</f>
        <v>1.4</v>
      </c>
      <c r="M1070" s="19">
        <f>Ringkasan!M1069</f>
        <v>2.1</v>
      </c>
      <c r="N1070" s="64" t="str">
        <f>Ringkasan!N1069</f>
        <v/>
      </c>
      <c r="O1070" s="64" t="str">
        <f>Ringkasan!O1069</f>
        <v/>
      </c>
      <c r="P1070" s="64" t="str">
        <f>Ringkasan!P1069</f>
        <v/>
      </c>
      <c r="Q1070" s="64" t="str">
        <f>Ringkasan!Q1069</f>
        <v/>
      </c>
      <c r="R1070" s="64" t="str">
        <f>Ringkasan!R1069</f>
        <v/>
      </c>
      <c r="S1070" s="64" t="str">
        <f>Ringkasan!S1069</f>
        <v/>
      </c>
      <c r="T1070" s="64" t="str">
        <f>Ringkasan!T1069</f>
        <v/>
      </c>
      <c r="U1070" s="64">
        <f>Ringkasan!U1069</f>
        <v>226</v>
      </c>
      <c r="V1070" s="64">
        <f>Ringkasan!V1069</f>
        <v>1.77</v>
      </c>
      <c r="W1070" s="64">
        <f>Ringkasan!W1069</f>
        <v>226</v>
      </c>
      <c r="X1070" s="64">
        <f>Ringkasan!X1069</f>
        <v>238</v>
      </c>
      <c r="Y1070" s="64">
        <f>Ringkasan!Y1069</f>
        <v>226</v>
      </c>
      <c r="Z1070" s="64">
        <f>Ringkasan!Z1069</f>
        <v>27500</v>
      </c>
      <c r="AA1070" s="64" t="str">
        <f>Ringkasan!AA1069</f>
        <v>Forestry &amp; Paper</v>
      </c>
      <c r="AB1070" s="64" t="str">
        <f>Ringkasan!AB1069</f>
        <v>Basic Materials</v>
      </c>
    </row>
    <row r="1071" hidden="1">
      <c r="A1071" s="64" t="str">
        <f>Ringkasan!A1070</f>
        <v>KOBX</v>
      </c>
      <c r="B1071" s="64" t="str">
        <f>Ringkasan!B1070</f>
        <v>Kobexindo Tractors Tbk.</v>
      </c>
      <c r="C1071" s="65">
        <f>Ringkasan!C1070</f>
        <v>142</v>
      </c>
      <c r="D1071" s="64" t="str">
        <f>Ringkasan!D1070</f>
        <v>#N/A</v>
      </c>
      <c r="E1071" s="64" t="str">
        <f>Ringkasan!E1070</f>
        <v/>
      </c>
      <c r="F1071" s="64" t="str">
        <f>Ringkasan!F1070</f>
        <v/>
      </c>
      <c r="G1071" s="64">
        <f>Ringkasan!G1070</f>
        <v>0</v>
      </c>
      <c r="H1071" s="19">
        <f>Ringkasan!H1070</f>
        <v>-2.8</v>
      </c>
      <c r="I1071" s="19">
        <f>Ringkasan!I1070</f>
        <v>0.67</v>
      </c>
      <c r="J1071" s="19">
        <f>Ringkasan!J1070</f>
        <v>-23.9</v>
      </c>
      <c r="K1071" s="19">
        <f>Ringkasan!K1070</f>
        <v>-3.8</v>
      </c>
      <c r="L1071" s="19">
        <f>Ringkasan!L1070</f>
        <v>5.3</v>
      </c>
      <c r="M1071" s="19">
        <f>Ringkasan!M1070</f>
        <v>-28.3</v>
      </c>
      <c r="N1071" s="64" t="str">
        <f>Ringkasan!N1070</f>
        <v/>
      </c>
      <c r="O1071" s="64" t="str">
        <f>Ringkasan!O1070</f>
        <v/>
      </c>
      <c r="P1071" s="64" t="str">
        <f>Ringkasan!P1070</f>
        <v/>
      </c>
      <c r="Q1071" s="64" t="str">
        <f>Ringkasan!Q1070</f>
        <v/>
      </c>
      <c r="R1071" s="64" t="str">
        <f>Ringkasan!R1070</f>
        <v/>
      </c>
      <c r="S1071" s="64" t="str">
        <f>Ringkasan!S1070</f>
        <v/>
      </c>
      <c r="T1071" s="64" t="str">
        <f>Ringkasan!T1070</f>
        <v/>
      </c>
      <c r="U1071" s="64">
        <f>Ringkasan!U1070</f>
        <v>141</v>
      </c>
      <c r="V1071" s="64">
        <f>Ringkasan!V1070</f>
        <v>0.71</v>
      </c>
      <c r="W1071" s="64">
        <f>Ringkasan!W1070</f>
        <v>141</v>
      </c>
      <c r="X1071" s="64">
        <f>Ringkasan!X1070</f>
        <v>147</v>
      </c>
      <c r="Y1071" s="64">
        <f>Ringkasan!Y1070</f>
        <v>141</v>
      </c>
      <c r="Z1071" s="64">
        <f>Ringkasan!Z1070</f>
        <v>2294600</v>
      </c>
      <c r="AA1071" s="64" t="str">
        <f>Ringkasan!AA1070</f>
        <v>Machinery</v>
      </c>
      <c r="AB1071" s="64" t="str">
        <f>Ringkasan!AB1070</f>
        <v>Industrials</v>
      </c>
    </row>
    <row r="1072" hidden="1">
      <c r="A1072" s="64" t="str">
        <f>Ringkasan!A1071</f>
        <v>KOCI</v>
      </c>
      <c r="B1072" s="64" t="str">
        <f>Ringkasan!B1071</f>
        <v>PT Kokoh Exa Nusantara</v>
      </c>
      <c r="C1072" s="65">
        <f>Ringkasan!C1071</f>
        <v>88</v>
      </c>
      <c r="D1072" s="64" t="str">
        <f>Ringkasan!D1071</f>
        <v>#N/A</v>
      </c>
      <c r="E1072" s="64" t="str">
        <f>Ringkasan!E1071</f>
        <v/>
      </c>
      <c r="F1072" s="64" t="str">
        <f>Ringkasan!F1071</f>
        <v/>
      </c>
      <c r="G1072" s="64">
        <f>Ringkasan!G1071</f>
        <v>0</v>
      </c>
      <c r="H1072" s="19">
        <f>Ringkasan!H1071</f>
        <v>30.6</v>
      </c>
      <c r="I1072" s="19">
        <f>Ringkasan!I1071</f>
        <v>3.1</v>
      </c>
      <c r="J1072" s="19">
        <f>Ringkasan!J1071</f>
        <v>10</v>
      </c>
      <c r="K1072" s="19">
        <f>Ringkasan!K1071</f>
        <v>9.3</v>
      </c>
      <c r="L1072" s="19">
        <f>Ringkasan!L1071</f>
        <v>0.07</v>
      </c>
      <c r="M1072" s="19">
        <f>Ringkasan!M1071</f>
        <v>150</v>
      </c>
      <c r="N1072" s="64" t="str">
        <f>Ringkasan!N1071</f>
        <v/>
      </c>
      <c r="O1072" s="64" t="str">
        <f>Ringkasan!O1071</f>
        <v/>
      </c>
      <c r="P1072" s="64" t="str">
        <f>Ringkasan!P1071</f>
        <v/>
      </c>
      <c r="Q1072" s="64" t="str">
        <f>Ringkasan!Q1071</f>
        <v/>
      </c>
      <c r="R1072" s="64" t="str">
        <f>Ringkasan!R1071</f>
        <v/>
      </c>
      <c r="S1072" s="64" t="str">
        <f>Ringkasan!S1071</f>
        <v/>
      </c>
      <c r="T1072" s="64" t="str">
        <f>Ringkasan!T1071</f>
        <v/>
      </c>
      <c r="U1072" s="64">
        <f>Ringkasan!U1071</f>
        <v>81</v>
      </c>
      <c r="V1072" s="64" t="str">
        <f>Ringkasan!V1071</f>
        <v/>
      </c>
      <c r="W1072" s="64">
        <f>Ringkasan!W1071</f>
        <v>81</v>
      </c>
      <c r="X1072" s="64">
        <f>Ringkasan!X1071</f>
        <v>97</v>
      </c>
      <c r="Y1072" s="64">
        <f>Ringkasan!Y1071</f>
        <v>81</v>
      </c>
      <c r="Z1072" s="64">
        <f>Ringkasan!Z1071</f>
        <v>29069400</v>
      </c>
      <c r="AA1072" s="64" t="str">
        <f>Ringkasan!AA1071</f>
        <v>Real Estate Management &amp; Development</v>
      </c>
      <c r="AB1072" s="64" t="str">
        <f>Ringkasan!AB1071</f>
        <v>Properties &amp; Real Estate</v>
      </c>
    </row>
    <row r="1073" hidden="1">
      <c r="A1073" s="64" t="str">
        <f>Ringkasan!A1072</f>
        <v>KOIN</v>
      </c>
      <c r="B1073" s="64" t="str">
        <f>Ringkasan!B1072</f>
        <v>Kokoh Inti Arebama Tbk</v>
      </c>
      <c r="C1073" s="65">
        <f>Ringkasan!C1072</f>
        <v>74</v>
      </c>
      <c r="D1073" s="64" t="str">
        <f>Ringkasan!D1072</f>
        <v>#N/A</v>
      </c>
      <c r="E1073" s="64" t="str">
        <f>Ringkasan!E1072</f>
        <v/>
      </c>
      <c r="F1073" s="64" t="str">
        <f>Ringkasan!F1072</f>
        <v/>
      </c>
      <c r="G1073" s="64">
        <f>Ringkasan!G1072</f>
        <v>0</v>
      </c>
      <c r="H1073" s="19">
        <f>Ringkasan!H1072</f>
        <v>-14</v>
      </c>
      <c r="I1073" s="19">
        <f>Ringkasan!I1072</f>
        <v>-0.8</v>
      </c>
      <c r="J1073" s="19">
        <f>Ringkasan!J1072</f>
        <v>0</v>
      </c>
      <c r="K1073" s="19">
        <f>Ringkasan!K1072</f>
        <v>-0.72</v>
      </c>
      <c r="L1073" s="19">
        <f>Ringkasan!L1072</f>
        <v>-8.9</v>
      </c>
      <c r="M1073" s="19">
        <f>Ringkasan!M1072</f>
        <v>-0.79</v>
      </c>
      <c r="N1073" s="64" t="str">
        <f>Ringkasan!N1072</f>
        <v/>
      </c>
      <c r="O1073" s="64" t="str">
        <f>Ringkasan!O1072</f>
        <v/>
      </c>
      <c r="P1073" s="64" t="str">
        <f>Ringkasan!P1072</f>
        <v/>
      </c>
      <c r="Q1073" s="64" t="str">
        <f>Ringkasan!Q1072</f>
        <v/>
      </c>
      <c r="R1073" s="64" t="str">
        <f>Ringkasan!R1072</f>
        <v/>
      </c>
      <c r="S1073" s="64" t="str">
        <f>Ringkasan!S1072</f>
        <v/>
      </c>
      <c r="T1073" s="64" t="str">
        <f>Ringkasan!T1072</f>
        <v/>
      </c>
      <c r="U1073" s="64">
        <f>Ringkasan!U1072</f>
        <v>74</v>
      </c>
      <c r="V1073" s="64">
        <f>Ringkasan!V1072</f>
        <v>0</v>
      </c>
      <c r="W1073" s="64">
        <f>Ringkasan!W1072</f>
        <v>74</v>
      </c>
      <c r="X1073" s="64">
        <f>Ringkasan!X1072</f>
        <v>74</v>
      </c>
      <c r="Y1073" s="64">
        <f>Ringkasan!Y1072</f>
        <v>74</v>
      </c>
      <c r="Z1073" s="64">
        <f>Ringkasan!Z1072</f>
        <v>73600</v>
      </c>
      <c r="AA1073" s="64" t="str">
        <f>Ringkasan!AA1072</f>
        <v>Building Products &amp; Fixtures</v>
      </c>
      <c r="AB1073" s="64" t="str">
        <f>Ringkasan!AB1072</f>
        <v>Industrials</v>
      </c>
    </row>
    <row r="1074" hidden="1">
      <c r="A1074" s="64" t="str">
        <f>Ringkasan!A1073</f>
        <v>KOKA</v>
      </c>
      <c r="B1074" s="64" t="str">
        <f>Ringkasan!B1073</f>
        <v>PT Koka Indonesia Tbk.</v>
      </c>
      <c r="C1074" s="65">
        <f>Ringkasan!C1073</f>
        <v>94</v>
      </c>
      <c r="D1074" s="64" t="str">
        <f>Ringkasan!D1073</f>
        <v>#N/A</v>
      </c>
      <c r="E1074" s="64" t="str">
        <f>Ringkasan!E1073</f>
        <v/>
      </c>
      <c r="F1074" s="64" t="str">
        <f>Ringkasan!F1073</f>
        <v/>
      </c>
      <c r="G1074" s="64">
        <f>Ringkasan!G1073</f>
        <v>0</v>
      </c>
      <c r="H1074" s="19">
        <f>Ringkasan!H1073</f>
        <v>-11.6</v>
      </c>
      <c r="I1074" s="19">
        <f>Ringkasan!I1073</f>
        <v>2.2</v>
      </c>
      <c r="J1074" s="19">
        <f>Ringkasan!J1073</f>
        <v>-18.6</v>
      </c>
      <c r="K1074" s="19">
        <f>Ringkasan!K1073</f>
        <v>-15.7</v>
      </c>
      <c r="L1074" s="19">
        <f>Ringkasan!L1073</f>
        <v>0.19</v>
      </c>
      <c r="M1074" s="19">
        <f>Ringkasan!M1073</f>
        <v>-960</v>
      </c>
      <c r="N1074" s="64" t="str">
        <f>Ringkasan!N1073</f>
        <v/>
      </c>
      <c r="O1074" s="64" t="str">
        <f>Ringkasan!O1073</f>
        <v/>
      </c>
      <c r="P1074" s="64" t="str">
        <f>Ringkasan!P1073</f>
        <v/>
      </c>
      <c r="Q1074" s="64" t="str">
        <f>Ringkasan!Q1073</f>
        <v/>
      </c>
      <c r="R1074" s="64" t="str">
        <f>Ringkasan!R1073</f>
        <v/>
      </c>
      <c r="S1074" s="64" t="str">
        <f>Ringkasan!S1073</f>
        <v/>
      </c>
      <c r="T1074" s="64" t="str">
        <f>Ringkasan!T1073</f>
        <v/>
      </c>
      <c r="U1074" s="64">
        <f>Ringkasan!U1073</f>
        <v>89</v>
      </c>
      <c r="V1074" s="64">
        <f>Ringkasan!V1073</f>
        <v>5.62</v>
      </c>
      <c r="W1074" s="64">
        <f>Ringkasan!W1073</f>
        <v>98</v>
      </c>
      <c r="X1074" s="64">
        <f>Ringkasan!X1073</f>
        <v>100</v>
      </c>
      <c r="Y1074" s="64">
        <f>Ringkasan!Y1073</f>
        <v>88</v>
      </c>
      <c r="Z1074" s="64">
        <f>Ringkasan!Z1073</f>
        <v>34941800</v>
      </c>
      <c r="AA1074" s="64" t="str">
        <f>Ringkasan!AA1073</f>
        <v>Heavy Constructions &amp; Civil Engineering</v>
      </c>
      <c r="AB1074" s="64" t="str">
        <f>Ringkasan!AB1073</f>
        <v>Infrastructures</v>
      </c>
    </row>
    <row r="1075" hidden="1">
      <c r="A1075" s="64" t="str">
        <f>Ringkasan!A1074</f>
        <v>KONI</v>
      </c>
      <c r="B1075" s="64" t="str">
        <f>Ringkasan!B1074</f>
        <v>Perdana Bangun Pusaka Tbk</v>
      </c>
      <c r="C1075" s="65">
        <f>Ringkasan!C1074</f>
        <v>2320</v>
      </c>
      <c r="D1075" s="64" t="str">
        <f>Ringkasan!D1074</f>
        <v>#N/A</v>
      </c>
      <c r="E1075" s="64" t="str">
        <f>Ringkasan!E1074</f>
        <v/>
      </c>
      <c r="F1075" s="64" t="str">
        <f>Ringkasan!F1074</f>
        <v/>
      </c>
      <c r="G1075" s="64">
        <f>Ringkasan!G1074</f>
        <v>0</v>
      </c>
      <c r="H1075" s="19">
        <f>Ringkasan!H1074</f>
        <v>37.7</v>
      </c>
      <c r="I1075" s="19">
        <f>Ringkasan!I1074</f>
        <v>4.2</v>
      </c>
      <c r="J1075" s="19">
        <f>Ringkasan!J1074</f>
        <v>11.3</v>
      </c>
      <c r="K1075" s="19">
        <f>Ringkasan!K1074</f>
        <v>10.3</v>
      </c>
      <c r="L1075" s="19">
        <f>Ringkasan!L1074</f>
        <v>0.09</v>
      </c>
      <c r="M1075" s="19">
        <f>Ringkasan!M1074</f>
        <v>30.2</v>
      </c>
      <c r="N1075" s="64" t="str">
        <f>Ringkasan!N1074</f>
        <v/>
      </c>
      <c r="O1075" s="64" t="str">
        <f>Ringkasan!O1074</f>
        <v/>
      </c>
      <c r="P1075" s="64" t="str">
        <f>Ringkasan!P1074</f>
        <v/>
      </c>
      <c r="Q1075" s="64" t="str">
        <f>Ringkasan!Q1074</f>
        <v/>
      </c>
      <c r="R1075" s="64" t="str">
        <f>Ringkasan!R1074</f>
        <v/>
      </c>
      <c r="S1075" s="64" t="str">
        <f>Ringkasan!S1074</f>
        <v/>
      </c>
      <c r="T1075" s="64" t="str">
        <f>Ringkasan!T1074</f>
        <v/>
      </c>
      <c r="U1075" s="64">
        <f>Ringkasan!U1074</f>
        <v>2280</v>
      </c>
      <c r="V1075" s="64">
        <f>Ringkasan!V1074</f>
        <v>1.75</v>
      </c>
      <c r="W1075" s="64">
        <f>Ringkasan!W1074</f>
        <v>2280</v>
      </c>
      <c r="X1075" s="64">
        <f>Ringkasan!X1074</f>
        <v>2450</v>
      </c>
      <c r="Y1075" s="64">
        <f>Ringkasan!Y1074</f>
        <v>2200</v>
      </c>
      <c r="Z1075" s="64">
        <f>Ringkasan!Z1074</f>
        <v>59200</v>
      </c>
      <c r="AA1075" s="64" t="str">
        <f>Ringkasan!AA1074</f>
        <v>Commercial Services</v>
      </c>
      <c r="AB1075" s="64" t="str">
        <f>Ringkasan!AB1074</f>
        <v>Industrials</v>
      </c>
    </row>
    <row r="1076" hidden="1">
      <c r="A1076" s="64" t="str">
        <f>Ringkasan!A1075</f>
        <v>KOPI</v>
      </c>
      <c r="B1076" s="64" t="str">
        <f>Ringkasan!B1075</f>
        <v>Mitra Energi Persada Tbk.</v>
      </c>
      <c r="C1076" s="65">
        <f>Ringkasan!C1075</f>
        <v>187</v>
      </c>
      <c r="D1076" s="64" t="str">
        <f>Ringkasan!D1075</f>
        <v>#N/A</v>
      </c>
      <c r="E1076" s="64" t="str">
        <f>Ringkasan!E1075</f>
        <v/>
      </c>
      <c r="F1076" s="64" t="str">
        <f>Ringkasan!F1075</f>
        <v/>
      </c>
      <c r="G1076" s="64">
        <f>Ringkasan!G1075</f>
        <v>0</v>
      </c>
      <c r="H1076" s="19">
        <f>Ringkasan!H1075</f>
        <v>120</v>
      </c>
      <c r="I1076" s="19">
        <f>Ringkasan!I1075</f>
        <v>1.8</v>
      </c>
      <c r="J1076" s="19">
        <f>Ringkasan!J1075</f>
        <v>1.5</v>
      </c>
      <c r="K1076" s="19">
        <f>Ringkasan!K1075</f>
        <v>0.4</v>
      </c>
      <c r="L1076" s="19">
        <f>Ringkasan!L1075</f>
        <v>2.8</v>
      </c>
      <c r="M1076" s="19">
        <f>Ringkasan!M1075</f>
        <v>1.6</v>
      </c>
      <c r="N1076" s="64" t="str">
        <f>Ringkasan!N1075</f>
        <v/>
      </c>
      <c r="O1076" s="64" t="str">
        <f>Ringkasan!O1075</f>
        <v/>
      </c>
      <c r="P1076" s="64" t="str">
        <f>Ringkasan!P1075</f>
        <v/>
      </c>
      <c r="Q1076" s="64" t="str">
        <f>Ringkasan!Q1075</f>
        <v/>
      </c>
      <c r="R1076" s="64" t="str">
        <f>Ringkasan!R1075</f>
        <v/>
      </c>
      <c r="S1076" s="64" t="str">
        <f>Ringkasan!S1075</f>
        <v/>
      </c>
      <c r="T1076" s="64" t="str">
        <f>Ringkasan!T1075</f>
        <v/>
      </c>
      <c r="U1076" s="64">
        <f>Ringkasan!U1075</f>
        <v>202</v>
      </c>
      <c r="V1076" s="64">
        <f>Ringkasan!V1075</f>
        <v>-7.43</v>
      </c>
      <c r="W1076" s="64">
        <f>Ringkasan!W1075</f>
        <v>216</v>
      </c>
      <c r="X1076" s="64">
        <f>Ringkasan!X1075</f>
        <v>240</v>
      </c>
      <c r="Y1076" s="64">
        <f>Ringkasan!Y1075</f>
        <v>180</v>
      </c>
      <c r="Z1076" s="64">
        <f>Ringkasan!Z1075</f>
        <v>5035400</v>
      </c>
      <c r="AA1076" s="64" t="str">
        <f>Ringkasan!AA1075</f>
        <v>Oil &amp; Gas</v>
      </c>
      <c r="AB1076" s="64" t="str">
        <f>Ringkasan!AB1075</f>
        <v>Energy</v>
      </c>
    </row>
    <row r="1077" hidden="1">
      <c r="A1077" s="64" t="str">
        <f>Ringkasan!A1076</f>
        <v>KOTA</v>
      </c>
      <c r="B1077" s="64" t="str">
        <f>Ringkasan!B1076</f>
        <v>DMS Propertindo Tbk.</v>
      </c>
      <c r="C1077" s="65">
        <f>Ringkasan!C1076</f>
        <v>89</v>
      </c>
      <c r="D1077" s="64" t="str">
        <f>Ringkasan!D1076</f>
        <v>#N/A</v>
      </c>
      <c r="E1077" s="64" t="str">
        <f>Ringkasan!E1076</f>
        <v/>
      </c>
      <c r="F1077" s="64" t="str">
        <f>Ringkasan!F1076</f>
        <v/>
      </c>
      <c r="G1077" s="64">
        <f>Ringkasan!G1076</f>
        <v>0</v>
      </c>
      <c r="H1077" s="19">
        <f>Ringkasan!H1076</f>
        <v>22</v>
      </c>
      <c r="I1077" s="19">
        <f>Ringkasan!I1076</f>
        <v>0.93</v>
      </c>
      <c r="J1077" s="19">
        <f>Ringkasan!J1076</f>
        <v>4.3</v>
      </c>
      <c r="K1077" s="19">
        <f>Ringkasan!K1076</f>
        <v>2.8</v>
      </c>
      <c r="L1077" s="19">
        <f>Ringkasan!L1076</f>
        <v>0.52</v>
      </c>
      <c r="M1077" s="19">
        <f>Ringkasan!M1076</f>
        <v>160</v>
      </c>
      <c r="N1077" s="64" t="str">
        <f>Ringkasan!N1076</f>
        <v/>
      </c>
      <c r="O1077" s="64" t="str">
        <f>Ringkasan!O1076</f>
        <v/>
      </c>
      <c r="P1077" s="64" t="str">
        <f>Ringkasan!P1076</f>
        <v/>
      </c>
      <c r="Q1077" s="64" t="str">
        <f>Ringkasan!Q1076</f>
        <v/>
      </c>
      <c r="R1077" s="64" t="str">
        <f>Ringkasan!R1076</f>
        <v/>
      </c>
      <c r="S1077" s="64" t="str">
        <f>Ringkasan!S1076</f>
        <v/>
      </c>
      <c r="T1077" s="64" t="str">
        <f>Ringkasan!T1076</f>
        <v/>
      </c>
      <c r="U1077" s="64">
        <f>Ringkasan!U1076</f>
        <v>82</v>
      </c>
      <c r="V1077" s="64">
        <f>Ringkasan!V1076</f>
        <v>8.54</v>
      </c>
      <c r="W1077" s="64">
        <f>Ringkasan!W1076</f>
        <v>83</v>
      </c>
      <c r="X1077" s="64">
        <f>Ringkasan!X1076</f>
        <v>96</v>
      </c>
      <c r="Y1077" s="64">
        <f>Ringkasan!Y1076</f>
        <v>83</v>
      </c>
      <c r="Z1077" s="64">
        <f>Ringkasan!Z1076</f>
        <v>273652800</v>
      </c>
      <c r="AA1077" s="64" t="str">
        <f>Ringkasan!AA1076</f>
        <v>Tourism &amp; Recreation</v>
      </c>
      <c r="AB1077" s="64" t="str">
        <f>Ringkasan!AB1076</f>
        <v>Consumer Cyclicals</v>
      </c>
    </row>
    <row r="1078" hidden="1">
      <c r="A1078" s="64" t="str">
        <f>Ringkasan!A1077</f>
        <v>KPIG</v>
      </c>
      <c r="B1078" s="64" t="str">
        <f>Ringkasan!B1077</f>
        <v>MNC Tourism Indonesia Tbk.</v>
      </c>
      <c r="C1078" s="65">
        <f>Ringkasan!C1077</f>
        <v>85</v>
      </c>
      <c r="D1078" s="64" t="str">
        <f>Ringkasan!D1077</f>
        <v>#N/A</v>
      </c>
      <c r="E1078" s="64" t="str">
        <f>Ringkasan!E1077</f>
        <v>IDX80</v>
      </c>
      <c r="F1078" s="64" t="str">
        <f>Ringkasan!F1077</f>
        <v>31 Juli 2026</v>
      </c>
      <c r="G1078" s="64">
        <f>Ringkasan!G1077</f>
        <v>6</v>
      </c>
      <c r="H1078" s="19">
        <f>Ringkasan!H1077</f>
        <v>12.4</v>
      </c>
      <c r="I1078" s="19">
        <f>Ringkasan!I1077</f>
        <v>0.32</v>
      </c>
      <c r="J1078" s="19">
        <f>Ringkasan!J1077</f>
        <v>2.6</v>
      </c>
      <c r="K1078" s="19">
        <f>Ringkasan!K1077</f>
        <v>2.1</v>
      </c>
      <c r="L1078" s="19">
        <f>Ringkasan!L1077</f>
        <v>0.24</v>
      </c>
      <c r="M1078" s="19">
        <f>Ringkasan!M1077</f>
        <v>130</v>
      </c>
      <c r="N1078" s="64" t="str">
        <f>Ringkasan!N1077</f>
        <v/>
      </c>
      <c r="O1078" s="64" t="str">
        <f>Ringkasan!O1077</f>
        <v/>
      </c>
      <c r="P1078" s="64" t="str">
        <f>Ringkasan!P1077</f>
        <v/>
      </c>
      <c r="Q1078" s="64" t="str">
        <f>Ringkasan!Q1077</f>
        <v/>
      </c>
      <c r="R1078" s="64" t="str">
        <f>Ringkasan!R1077</f>
        <v/>
      </c>
      <c r="S1078" s="64" t="str">
        <f>Ringkasan!S1077</f>
        <v/>
      </c>
      <c r="T1078" s="64" t="str">
        <f>Ringkasan!T1077</f>
        <v/>
      </c>
      <c r="U1078" s="64">
        <f>Ringkasan!U1077</f>
        <v>83</v>
      </c>
      <c r="V1078" s="64">
        <f>Ringkasan!V1077</f>
        <v>2.41</v>
      </c>
      <c r="W1078" s="64">
        <f>Ringkasan!W1077</f>
        <v>83</v>
      </c>
      <c r="X1078" s="64">
        <f>Ringkasan!X1077</f>
        <v>86</v>
      </c>
      <c r="Y1078" s="64">
        <f>Ringkasan!Y1077</f>
        <v>82</v>
      </c>
      <c r="Z1078" s="64">
        <f>Ringkasan!Z1077</f>
        <v>64987500</v>
      </c>
      <c r="AA1078" s="64" t="str">
        <f>Ringkasan!AA1077</f>
        <v>Tourism &amp; Recreation</v>
      </c>
      <c r="AB1078" s="64" t="str">
        <f>Ringkasan!AB1077</f>
        <v>Consumer Cyclicals</v>
      </c>
    </row>
    <row r="1079" hidden="1">
      <c r="A1079" s="64" t="str">
        <f>Ringkasan!A1078</f>
        <v>KPIG</v>
      </c>
      <c r="B1079" s="64" t="str">
        <f>Ringkasan!B1078</f>
        <v>MNC Tourism Indonesia Tbk.</v>
      </c>
      <c r="C1079" s="65">
        <f>Ringkasan!C1078</f>
        <v>85</v>
      </c>
      <c r="D1079" s="64" t="str">
        <f>Ringkasan!D1078</f>
        <v>#N/A</v>
      </c>
      <c r="E1079" s="64" t="str">
        <f>Ringkasan!E1078</f>
        <v>Kompas100</v>
      </c>
      <c r="F1079" s="64" t="str">
        <f>Ringkasan!F1078</f>
        <v>31 Juli 2026</v>
      </c>
      <c r="G1079" s="64">
        <f>Ringkasan!G1078</f>
        <v>6</v>
      </c>
      <c r="H1079" s="19">
        <f>Ringkasan!H1078</f>
        <v>12.4</v>
      </c>
      <c r="I1079" s="19">
        <f>Ringkasan!I1078</f>
        <v>0.32</v>
      </c>
      <c r="J1079" s="19">
        <f>Ringkasan!J1078</f>
        <v>2.6</v>
      </c>
      <c r="K1079" s="19">
        <f>Ringkasan!K1078</f>
        <v>2.1</v>
      </c>
      <c r="L1079" s="19">
        <f>Ringkasan!L1078</f>
        <v>0.24</v>
      </c>
      <c r="M1079" s="19">
        <f>Ringkasan!M1078</f>
        <v>130</v>
      </c>
      <c r="N1079" s="64" t="str">
        <f>Ringkasan!N1078</f>
        <v/>
      </c>
      <c r="O1079" s="64" t="str">
        <f>Ringkasan!O1078</f>
        <v/>
      </c>
      <c r="P1079" s="64" t="str">
        <f>Ringkasan!P1078</f>
        <v/>
      </c>
      <c r="Q1079" s="64" t="str">
        <f>Ringkasan!Q1078</f>
        <v/>
      </c>
      <c r="R1079" s="64" t="str">
        <f>Ringkasan!R1078</f>
        <v/>
      </c>
      <c r="S1079" s="64" t="str">
        <f>Ringkasan!S1078</f>
        <v/>
      </c>
      <c r="T1079" s="64" t="str">
        <f>Ringkasan!T1078</f>
        <v/>
      </c>
      <c r="U1079" s="64">
        <f>Ringkasan!U1078</f>
        <v>83</v>
      </c>
      <c r="V1079" s="64">
        <f>Ringkasan!V1078</f>
        <v>2.41</v>
      </c>
      <c r="W1079" s="64">
        <f>Ringkasan!W1078</f>
        <v>83</v>
      </c>
      <c r="X1079" s="64">
        <f>Ringkasan!X1078</f>
        <v>86</v>
      </c>
      <c r="Y1079" s="64">
        <f>Ringkasan!Y1078</f>
        <v>82</v>
      </c>
      <c r="Z1079" s="64">
        <f>Ringkasan!Z1078</f>
        <v>64987500</v>
      </c>
      <c r="AA1079" s="64" t="str">
        <f>Ringkasan!AA1078</f>
        <v>Tourism &amp; Recreation</v>
      </c>
      <c r="AB1079" s="64" t="str">
        <f>Ringkasan!AB1078</f>
        <v>Consumer Cyclicals</v>
      </c>
    </row>
    <row r="1080" hidden="1">
      <c r="A1080" s="64" t="str">
        <f>Ringkasan!A1079</f>
        <v>KPIG</v>
      </c>
      <c r="B1080" s="64" t="str">
        <f>Ringkasan!B1079</f>
        <v>MNC Tourism Indonesia Tbk.</v>
      </c>
      <c r="C1080" s="65">
        <f>Ringkasan!C1079</f>
        <v>85</v>
      </c>
      <c r="D1080" s="64" t="str">
        <f>Ringkasan!D1079</f>
        <v>#N/A</v>
      </c>
      <c r="E1080" s="64" t="str">
        <f>Ringkasan!E1079</f>
        <v>IDXV30</v>
      </c>
      <c r="F1080" s="64" t="str">
        <f>Ringkasan!F1079</f>
        <v>4 Agustus 2026</v>
      </c>
      <c r="G1080" s="64">
        <f>Ringkasan!G1079</f>
        <v>6</v>
      </c>
      <c r="H1080" s="19">
        <f>Ringkasan!H1079</f>
        <v>12.4</v>
      </c>
      <c r="I1080" s="19">
        <f>Ringkasan!I1079</f>
        <v>0.32</v>
      </c>
      <c r="J1080" s="19">
        <f>Ringkasan!J1079</f>
        <v>2.6</v>
      </c>
      <c r="K1080" s="19">
        <f>Ringkasan!K1079</f>
        <v>2.1</v>
      </c>
      <c r="L1080" s="19">
        <f>Ringkasan!L1079</f>
        <v>0.24</v>
      </c>
      <c r="M1080" s="19">
        <f>Ringkasan!M1079</f>
        <v>130</v>
      </c>
      <c r="N1080" s="64" t="str">
        <f>Ringkasan!N1079</f>
        <v/>
      </c>
      <c r="O1080" s="64" t="str">
        <f>Ringkasan!O1079</f>
        <v/>
      </c>
      <c r="P1080" s="64" t="str">
        <f>Ringkasan!P1079</f>
        <v/>
      </c>
      <c r="Q1080" s="64" t="str">
        <f>Ringkasan!Q1079</f>
        <v/>
      </c>
      <c r="R1080" s="64" t="str">
        <f>Ringkasan!R1079</f>
        <v/>
      </c>
      <c r="S1080" s="64" t="str">
        <f>Ringkasan!S1079</f>
        <v/>
      </c>
      <c r="T1080" s="64" t="str">
        <f>Ringkasan!T1079</f>
        <v/>
      </c>
      <c r="U1080" s="64">
        <f>Ringkasan!U1079</f>
        <v>83</v>
      </c>
      <c r="V1080" s="64">
        <f>Ringkasan!V1079</f>
        <v>2.41</v>
      </c>
      <c r="W1080" s="64">
        <f>Ringkasan!W1079</f>
        <v>83</v>
      </c>
      <c r="X1080" s="64">
        <f>Ringkasan!X1079</f>
        <v>86</v>
      </c>
      <c r="Y1080" s="64">
        <f>Ringkasan!Y1079</f>
        <v>82</v>
      </c>
      <c r="Z1080" s="64">
        <f>Ringkasan!Z1079</f>
        <v>64987500</v>
      </c>
      <c r="AA1080" s="64" t="str">
        <f>Ringkasan!AA1079</f>
        <v>Tourism &amp; Recreation</v>
      </c>
      <c r="AB1080" s="64" t="str">
        <f>Ringkasan!AB1079</f>
        <v>Consumer Cyclicals</v>
      </c>
    </row>
    <row r="1081" hidden="1">
      <c r="A1081" s="64" t="str">
        <f>Ringkasan!A1080</f>
        <v>KPIG</v>
      </c>
      <c r="B1081" s="64" t="str">
        <f>Ringkasan!B1080</f>
        <v>MNC Tourism Indonesia Tbk.</v>
      </c>
      <c r="C1081" s="65">
        <f>Ringkasan!C1080</f>
        <v>85</v>
      </c>
      <c r="D1081" s="64" t="str">
        <f>Ringkasan!D1080</f>
        <v>#N/A</v>
      </c>
      <c r="E1081" s="64" t="str">
        <f>Ringkasan!E1080</f>
        <v>IDXESGL</v>
      </c>
      <c r="F1081" s="64" t="str">
        <f>Ringkasan!F1080</f>
        <v>30 Oktober 2026</v>
      </c>
      <c r="G1081" s="64">
        <f>Ringkasan!G1080</f>
        <v>6</v>
      </c>
      <c r="H1081" s="19">
        <f>Ringkasan!H1080</f>
        <v>12.4</v>
      </c>
      <c r="I1081" s="19">
        <f>Ringkasan!I1080</f>
        <v>0.32</v>
      </c>
      <c r="J1081" s="19">
        <f>Ringkasan!J1080</f>
        <v>2.6</v>
      </c>
      <c r="K1081" s="19">
        <f>Ringkasan!K1080</f>
        <v>2.1</v>
      </c>
      <c r="L1081" s="19">
        <f>Ringkasan!L1080</f>
        <v>0.24</v>
      </c>
      <c r="M1081" s="19">
        <f>Ringkasan!M1080</f>
        <v>130</v>
      </c>
      <c r="N1081" s="64" t="str">
        <f>Ringkasan!N1080</f>
        <v/>
      </c>
      <c r="O1081" s="64" t="str">
        <f>Ringkasan!O1080</f>
        <v/>
      </c>
      <c r="P1081" s="64" t="str">
        <f>Ringkasan!P1080</f>
        <v/>
      </c>
      <c r="Q1081" s="64" t="str">
        <f>Ringkasan!Q1080</f>
        <v/>
      </c>
      <c r="R1081" s="64" t="str">
        <f>Ringkasan!R1080</f>
        <v/>
      </c>
      <c r="S1081" s="64" t="str">
        <f>Ringkasan!S1080</f>
        <v/>
      </c>
      <c r="T1081" s="64" t="str">
        <f>Ringkasan!T1080</f>
        <v/>
      </c>
      <c r="U1081" s="64">
        <f>Ringkasan!U1080</f>
        <v>83</v>
      </c>
      <c r="V1081" s="64">
        <f>Ringkasan!V1080</f>
        <v>2.41</v>
      </c>
      <c r="W1081" s="64">
        <f>Ringkasan!W1080</f>
        <v>83</v>
      </c>
      <c r="X1081" s="64">
        <f>Ringkasan!X1080</f>
        <v>86</v>
      </c>
      <c r="Y1081" s="64">
        <f>Ringkasan!Y1080</f>
        <v>82</v>
      </c>
      <c r="Z1081" s="64">
        <f>Ringkasan!Z1080</f>
        <v>64987500</v>
      </c>
      <c r="AA1081" s="64" t="str">
        <f>Ringkasan!AA1080</f>
        <v>Tourism &amp; Recreation</v>
      </c>
      <c r="AB1081" s="64" t="str">
        <f>Ringkasan!AB1080</f>
        <v>Consumer Cyclicals</v>
      </c>
    </row>
    <row r="1082" hidden="1">
      <c r="A1082" s="64" t="str">
        <f>Ringkasan!A1081</f>
        <v>KPIG</v>
      </c>
      <c r="B1082" s="64" t="str">
        <f>Ringkasan!B1081</f>
        <v>MNC Tourism Indonesia Tbk.</v>
      </c>
      <c r="C1082" s="65">
        <f>Ringkasan!C1081</f>
        <v>85</v>
      </c>
      <c r="D1082" s="64" t="str">
        <f>Ringkasan!D1081</f>
        <v>#N/A</v>
      </c>
      <c r="E1082" s="64" t="str">
        <f>Ringkasan!E1081</f>
        <v>MSCI Small Cap</v>
      </c>
      <c r="F1082" s="64" t="str">
        <f>Ringkasan!F1081</f>
        <v>12 Agustus 2026</v>
      </c>
      <c r="G1082" s="64">
        <f>Ringkasan!G1081</f>
        <v>6</v>
      </c>
      <c r="H1082" s="19">
        <f>Ringkasan!H1081</f>
        <v>12.4</v>
      </c>
      <c r="I1082" s="19">
        <f>Ringkasan!I1081</f>
        <v>0.32</v>
      </c>
      <c r="J1082" s="19">
        <f>Ringkasan!J1081</f>
        <v>2.6</v>
      </c>
      <c r="K1082" s="19">
        <f>Ringkasan!K1081</f>
        <v>2.1</v>
      </c>
      <c r="L1082" s="19">
        <f>Ringkasan!L1081</f>
        <v>0.24</v>
      </c>
      <c r="M1082" s="19">
        <f>Ringkasan!M1081</f>
        <v>130</v>
      </c>
      <c r="N1082" s="64" t="str">
        <f>Ringkasan!N1081</f>
        <v/>
      </c>
      <c r="O1082" s="64" t="str">
        <f>Ringkasan!O1081</f>
        <v/>
      </c>
      <c r="P1082" s="64" t="str">
        <f>Ringkasan!P1081</f>
        <v/>
      </c>
      <c r="Q1082" s="64" t="str">
        <f>Ringkasan!Q1081</f>
        <v/>
      </c>
      <c r="R1082" s="64" t="str">
        <f>Ringkasan!R1081</f>
        <v/>
      </c>
      <c r="S1082" s="64" t="str">
        <f>Ringkasan!S1081</f>
        <v/>
      </c>
      <c r="T1082" s="64" t="str">
        <f>Ringkasan!T1081</f>
        <v/>
      </c>
      <c r="U1082" s="64">
        <f>Ringkasan!U1081</f>
        <v>83</v>
      </c>
      <c r="V1082" s="64">
        <f>Ringkasan!V1081</f>
        <v>2.41</v>
      </c>
      <c r="W1082" s="64">
        <f>Ringkasan!W1081</f>
        <v>83</v>
      </c>
      <c r="X1082" s="64">
        <f>Ringkasan!X1081</f>
        <v>86</v>
      </c>
      <c r="Y1082" s="64">
        <f>Ringkasan!Y1081</f>
        <v>82</v>
      </c>
      <c r="Z1082" s="64">
        <f>Ringkasan!Z1081</f>
        <v>64987500</v>
      </c>
      <c r="AA1082" s="64" t="str">
        <f>Ringkasan!AA1081</f>
        <v>Tourism &amp; Recreation</v>
      </c>
      <c r="AB1082" s="64" t="str">
        <f>Ringkasan!AB1081</f>
        <v>Consumer Cyclicals</v>
      </c>
    </row>
    <row r="1083" hidden="1">
      <c r="A1083" s="64" t="str">
        <f>Ringkasan!A1082</f>
        <v>KPIG</v>
      </c>
      <c r="B1083" s="64" t="str">
        <f>Ringkasan!B1082</f>
        <v>MNC Tourism Indonesia Tbk.</v>
      </c>
      <c r="C1083" s="65">
        <f>Ringkasan!C1082</f>
        <v>85</v>
      </c>
      <c r="D1083" s="64" t="str">
        <f>Ringkasan!D1082</f>
        <v>#N/A</v>
      </c>
      <c r="E1083" s="64" t="str">
        <f>Ringkasan!E1082</f>
        <v>JII70</v>
      </c>
      <c r="F1083" s="66">
        <f>Ringkasan!F1082</f>
        <v>46356</v>
      </c>
      <c r="G1083" s="64">
        <f>Ringkasan!G1082</f>
        <v>6</v>
      </c>
      <c r="H1083" s="19">
        <f>Ringkasan!H1082</f>
        <v>12.4</v>
      </c>
      <c r="I1083" s="19">
        <f>Ringkasan!I1082</f>
        <v>0.32</v>
      </c>
      <c r="J1083" s="19">
        <f>Ringkasan!J1082</f>
        <v>2.6</v>
      </c>
      <c r="K1083" s="19">
        <f>Ringkasan!K1082</f>
        <v>2.1</v>
      </c>
      <c r="L1083" s="19">
        <f>Ringkasan!L1082</f>
        <v>0.24</v>
      </c>
      <c r="M1083" s="19">
        <f>Ringkasan!M1082</f>
        <v>130</v>
      </c>
      <c r="N1083" s="64" t="str">
        <f>Ringkasan!N1082</f>
        <v/>
      </c>
      <c r="O1083" s="64" t="str">
        <f>Ringkasan!O1082</f>
        <v/>
      </c>
      <c r="P1083" s="64" t="str">
        <f>Ringkasan!P1082</f>
        <v/>
      </c>
      <c r="Q1083" s="64" t="str">
        <f>Ringkasan!Q1082</f>
        <v/>
      </c>
      <c r="R1083" s="64" t="str">
        <f>Ringkasan!R1082</f>
        <v/>
      </c>
      <c r="S1083" s="64" t="str">
        <f>Ringkasan!S1082</f>
        <v/>
      </c>
      <c r="T1083" s="64" t="str">
        <f>Ringkasan!T1082</f>
        <v/>
      </c>
      <c r="U1083" s="64">
        <f>Ringkasan!U1082</f>
        <v>83</v>
      </c>
      <c r="V1083" s="64">
        <f>Ringkasan!V1082</f>
        <v>2.41</v>
      </c>
      <c r="W1083" s="64">
        <f>Ringkasan!W1082</f>
        <v>83</v>
      </c>
      <c r="X1083" s="64">
        <f>Ringkasan!X1082</f>
        <v>86</v>
      </c>
      <c r="Y1083" s="64">
        <f>Ringkasan!Y1082</f>
        <v>82</v>
      </c>
      <c r="Z1083" s="64">
        <f>Ringkasan!Z1082</f>
        <v>64987500</v>
      </c>
      <c r="AA1083" s="64" t="str">
        <f>Ringkasan!AA1082</f>
        <v>Tourism &amp; Recreation</v>
      </c>
      <c r="AB1083" s="64" t="str">
        <f>Ringkasan!AB1082</f>
        <v>Consumer Cyclicals</v>
      </c>
    </row>
    <row r="1084" hidden="1">
      <c r="A1084" s="64" t="str">
        <f>Ringkasan!A1083</f>
        <v>KRAS</v>
      </c>
      <c r="B1084" s="64" t="str">
        <f>Ringkasan!B1083</f>
        <v>Krakatau Steel (Persero) Tbk.</v>
      </c>
      <c r="C1084" s="65">
        <f>Ringkasan!C1083</f>
        <v>195</v>
      </c>
      <c r="D1084" s="64" t="str">
        <f>Ringkasan!D1083</f>
        <v>#N/A</v>
      </c>
      <c r="E1084" s="64" t="str">
        <f>Ringkasan!E1083</f>
        <v/>
      </c>
      <c r="F1084" s="64" t="str">
        <f>Ringkasan!F1083</f>
        <v/>
      </c>
      <c r="G1084" s="64">
        <f>Ringkasan!G1083</f>
        <v>0</v>
      </c>
      <c r="H1084" s="19">
        <f>Ringkasan!H1083</f>
        <v>0.66</v>
      </c>
      <c r="I1084" s="19">
        <f>Ringkasan!I1083</f>
        <v>0.33</v>
      </c>
      <c r="J1084" s="19">
        <f>Ringkasan!J1083</f>
        <v>49.6</v>
      </c>
      <c r="K1084" s="19">
        <f>Ringkasan!K1083</f>
        <v>12.7</v>
      </c>
      <c r="L1084" s="19">
        <f>Ringkasan!L1083</f>
        <v>2.9</v>
      </c>
      <c r="M1084" s="19">
        <f>Ringkasan!M1083</f>
        <v>140</v>
      </c>
      <c r="N1084" s="64" t="str">
        <f>Ringkasan!N1083</f>
        <v/>
      </c>
      <c r="O1084" s="64" t="str">
        <f>Ringkasan!O1083</f>
        <v/>
      </c>
      <c r="P1084" s="64" t="str">
        <f>Ringkasan!P1083</f>
        <v/>
      </c>
      <c r="Q1084" s="64" t="str">
        <f>Ringkasan!Q1083</f>
        <v/>
      </c>
      <c r="R1084" s="64" t="str">
        <f>Ringkasan!R1083</f>
        <v/>
      </c>
      <c r="S1084" s="64" t="str">
        <f>Ringkasan!S1083</f>
        <v/>
      </c>
      <c r="T1084" s="64" t="str">
        <f>Ringkasan!T1083</f>
        <v/>
      </c>
      <c r="U1084" s="64">
        <f>Ringkasan!U1083</f>
        <v>195</v>
      </c>
      <c r="V1084" s="64">
        <f>Ringkasan!V1083</f>
        <v>0</v>
      </c>
      <c r="W1084" s="64">
        <f>Ringkasan!W1083</f>
        <v>195</v>
      </c>
      <c r="X1084" s="64">
        <f>Ringkasan!X1083</f>
        <v>202</v>
      </c>
      <c r="Y1084" s="64">
        <f>Ringkasan!Y1083</f>
        <v>192</v>
      </c>
      <c r="Z1084" s="64">
        <f>Ringkasan!Z1083</f>
        <v>11265300</v>
      </c>
      <c r="AA1084" s="64" t="str">
        <f>Ringkasan!AA1083</f>
        <v>Metals &amp; Minerals</v>
      </c>
      <c r="AB1084" s="64" t="str">
        <f>Ringkasan!AB1083</f>
        <v>Basic Materials</v>
      </c>
    </row>
    <row r="1085" hidden="1">
      <c r="A1085" s="64" t="str">
        <f>Ringkasan!A1084</f>
        <v>KREN</v>
      </c>
      <c r="B1085" s="64" t="str">
        <f>Ringkasan!B1084</f>
        <v>Quantum Clovera Investama Tbk.</v>
      </c>
      <c r="C1085" s="65">
        <f>Ringkasan!C1084</f>
        <v>13</v>
      </c>
      <c r="D1085" s="64" t="str">
        <f>Ringkasan!D1084</f>
        <v>#N/A</v>
      </c>
      <c r="E1085" s="64" t="str">
        <f>Ringkasan!E1084</f>
        <v/>
      </c>
      <c r="F1085" s="64" t="str">
        <f>Ringkasan!F1084</f>
        <v/>
      </c>
      <c r="G1085" s="64">
        <f>Ringkasan!G1084</f>
        <v>0</v>
      </c>
      <c r="H1085" s="19">
        <f>Ringkasan!H1084</f>
        <v>-1.9</v>
      </c>
      <c r="I1085" s="19">
        <f>Ringkasan!I1084</f>
        <v>0.16</v>
      </c>
      <c r="J1085" s="19">
        <f>Ringkasan!J1084</f>
        <v>-8.7</v>
      </c>
      <c r="K1085" s="19">
        <f>Ringkasan!K1084</f>
        <v>-6</v>
      </c>
      <c r="L1085" s="19">
        <f>Ringkasan!L1084</f>
        <v>0.45</v>
      </c>
      <c r="M1085" s="19">
        <f>Ringkasan!M1084</f>
        <v>-19.4</v>
      </c>
      <c r="N1085" s="64" t="str">
        <f>Ringkasan!N1084</f>
        <v/>
      </c>
      <c r="O1085" s="64" t="str">
        <f>Ringkasan!O1084</f>
        <v/>
      </c>
      <c r="P1085" s="64" t="str">
        <f>Ringkasan!P1084</f>
        <v/>
      </c>
      <c r="Q1085" s="64" t="str">
        <f>Ringkasan!Q1084</f>
        <v/>
      </c>
      <c r="R1085" s="64" t="str">
        <f>Ringkasan!R1084</f>
        <v/>
      </c>
      <c r="S1085" s="64" t="str">
        <f>Ringkasan!S1084</f>
        <v/>
      </c>
      <c r="T1085" s="64" t="str">
        <f>Ringkasan!T1084</f>
        <v/>
      </c>
      <c r="U1085" s="64">
        <f>Ringkasan!U1084</f>
        <v>12</v>
      </c>
      <c r="V1085" s="64">
        <f>Ringkasan!V1084</f>
        <v>8.33</v>
      </c>
      <c r="W1085" s="64">
        <f>Ringkasan!W1084</f>
        <v>13</v>
      </c>
      <c r="X1085" s="64">
        <f>Ringkasan!X1084</f>
        <v>13</v>
      </c>
      <c r="Y1085" s="64">
        <f>Ringkasan!Y1084</f>
        <v>13</v>
      </c>
      <c r="Z1085" s="64">
        <f>Ringkasan!Z1084</f>
        <v>23808700</v>
      </c>
      <c r="AA1085" s="64" t="str">
        <f>Ringkasan!AA1084</f>
        <v>Online Applications &amp; Services</v>
      </c>
      <c r="AB1085" s="64" t="str">
        <f>Ringkasan!AB1084</f>
        <v>Technology</v>
      </c>
    </row>
    <row r="1086" hidden="1">
      <c r="A1086" s="64" t="str">
        <f>Ringkasan!A1085</f>
        <v>KRYA</v>
      </c>
      <c r="B1086" s="64" t="str">
        <f>Ringkasan!B1085</f>
        <v>Bangun Karya Perkasa Jaya Tbk.</v>
      </c>
      <c r="C1086" s="65">
        <f>Ringkasan!C1085</f>
        <v>59</v>
      </c>
      <c r="D1086" s="64" t="str">
        <f>Ringkasan!D1085</f>
        <v>#N/A</v>
      </c>
      <c r="E1086" s="64" t="str">
        <f>Ringkasan!E1085</f>
        <v/>
      </c>
      <c r="F1086" s="64" t="str">
        <f>Ringkasan!F1085</f>
        <v/>
      </c>
      <c r="G1086" s="64">
        <f>Ringkasan!G1085</f>
        <v>0</v>
      </c>
      <c r="H1086" s="19">
        <f>Ringkasan!H1085</f>
        <v>-1.4</v>
      </c>
      <c r="I1086" s="19">
        <f>Ringkasan!I1085</f>
        <v>3.1</v>
      </c>
      <c r="J1086" s="19">
        <f>Ringkasan!J1085</f>
        <v>-220</v>
      </c>
      <c r="K1086" s="19">
        <f>Ringkasan!K1085</f>
        <v>-55.1</v>
      </c>
      <c r="L1086" s="19">
        <f>Ringkasan!L1085</f>
        <v>3</v>
      </c>
      <c r="M1086" s="19">
        <f>Ringkasan!M1085</f>
        <v>-89.1</v>
      </c>
      <c r="N1086" s="64" t="str">
        <f>Ringkasan!N1085</f>
        <v/>
      </c>
      <c r="O1086" s="64" t="str">
        <f>Ringkasan!O1085</f>
        <v/>
      </c>
      <c r="P1086" s="64" t="str">
        <f>Ringkasan!P1085</f>
        <v/>
      </c>
      <c r="Q1086" s="64" t="str">
        <f>Ringkasan!Q1085</f>
        <v/>
      </c>
      <c r="R1086" s="64" t="str">
        <f>Ringkasan!R1085</f>
        <v/>
      </c>
      <c r="S1086" s="64" t="str">
        <f>Ringkasan!S1085</f>
        <v/>
      </c>
      <c r="T1086" s="64" t="str">
        <f>Ringkasan!T1085</f>
        <v/>
      </c>
      <c r="U1086" s="64">
        <f>Ringkasan!U1085</f>
        <v>56</v>
      </c>
      <c r="V1086" s="64">
        <f>Ringkasan!V1085</f>
        <v>5.36</v>
      </c>
      <c r="W1086" s="64">
        <f>Ringkasan!W1085</f>
        <v>56</v>
      </c>
      <c r="X1086" s="64">
        <f>Ringkasan!X1085</f>
        <v>60</v>
      </c>
      <c r="Y1086" s="64">
        <f>Ringkasan!Y1085</f>
        <v>56</v>
      </c>
      <c r="Z1086" s="64">
        <f>Ringkasan!Z1085</f>
        <v>19644500</v>
      </c>
      <c r="AA1086" s="64" t="str">
        <f>Ringkasan!AA1085</f>
        <v>Heavy Constructions &amp; Civil Engineering</v>
      </c>
      <c r="AB1086" s="64" t="str">
        <f>Ringkasan!AB1085</f>
        <v>Infrastructures</v>
      </c>
    </row>
    <row r="1087" hidden="1">
      <c r="A1087" s="64" t="str">
        <f>Ringkasan!A1086</f>
        <v>KSIX</v>
      </c>
      <c r="B1087" s="64" t="str">
        <f>Ringkasan!B1086</f>
        <v>Kentanix Supra International Tbk.</v>
      </c>
      <c r="C1087" s="65">
        <f>Ringkasan!C1086</f>
        <v>354</v>
      </c>
      <c r="D1087" s="64" t="str">
        <f>Ringkasan!D1086</f>
        <v>#N/A</v>
      </c>
      <c r="E1087" s="64" t="str">
        <f>Ringkasan!E1086</f>
        <v/>
      </c>
      <c r="F1087" s="64" t="str">
        <f>Ringkasan!F1086</f>
        <v/>
      </c>
      <c r="G1087" s="64">
        <f>Ringkasan!G1086</f>
        <v>0</v>
      </c>
      <c r="H1087" s="19">
        <f>Ringkasan!H1086</f>
        <v>61</v>
      </c>
      <c r="I1087" s="19">
        <f>Ringkasan!I1086</f>
        <v>0.53</v>
      </c>
      <c r="J1087" s="19">
        <f>Ringkasan!J1086</f>
        <v>0.87</v>
      </c>
      <c r="K1087" s="19">
        <f>Ringkasan!K1086</f>
        <v>0.86</v>
      </c>
      <c r="L1087" s="19">
        <f>Ringkasan!L1086</f>
        <v>0.01</v>
      </c>
      <c r="M1087" s="19">
        <f>Ringkasan!M1086</f>
        <v>110</v>
      </c>
      <c r="N1087" s="64" t="str">
        <f>Ringkasan!N1086</f>
        <v/>
      </c>
      <c r="O1087" s="64" t="str">
        <f>Ringkasan!O1086</f>
        <v/>
      </c>
      <c r="P1087" s="64" t="str">
        <f>Ringkasan!P1086</f>
        <v/>
      </c>
      <c r="Q1087" s="64" t="str">
        <f>Ringkasan!Q1086</f>
        <v/>
      </c>
      <c r="R1087" s="64" t="str">
        <f>Ringkasan!R1086</f>
        <v/>
      </c>
      <c r="S1087" s="64" t="str">
        <f>Ringkasan!S1086</f>
        <v/>
      </c>
      <c r="T1087" s="64" t="str">
        <f>Ringkasan!T1086</f>
        <v/>
      </c>
      <c r="U1087" s="64">
        <f>Ringkasan!U1086</f>
        <v>338</v>
      </c>
      <c r="V1087" s="64">
        <f>Ringkasan!V1086</f>
        <v>4.73</v>
      </c>
      <c r="W1087" s="64">
        <f>Ringkasan!W1086</f>
        <v>334</v>
      </c>
      <c r="X1087" s="64">
        <f>Ringkasan!X1086</f>
        <v>354</v>
      </c>
      <c r="Y1087" s="64">
        <f>Ringkasan!Y1086</f>
        <v>328</v>
      </c>
      <c r="Z1087" s="64">
        <f>Ringkasan!Z1086</f>
        <v>69600</v>
      </c>
      <c r="AA1087" s="64" t="str">
        <f>Ringkasan!AA1086</f>
        <v>Real Estate Management &amp; Development</v>
      </c>
      <c r="AB1087" s="64" t="str">
        <f>Ringkasan!AB1086</f>
        <v>Properties &amp; Real Estate</v>
      </c>
    </row>
    <row r="1088" hidden="1">
      <c r="A1088" s="64" t="str">
        <f>Ringkasan!A1087</f>
        <v>KUAS</v>
      </c>
      <c r="B1088" s="64" t="str">
        <f>Ringkasan!B1087</f>
        <v>Ace Oldfields Tbk.</v>
      </c>
      <c r="C1088" s="65">
        <f>Ringkasan!C1087</f>
        <v>93</v>
      </c>
      <c r="D1088" s="64" t="str">
        <f>Ringkasan!D1087</f>
        <v>#N/A</v>
      </c>
      <c r="E1088" s="64" t="str">
        <f>Ringkasan!E1087</f>
        <v/>
      </c>
      <c r="F1088" s="64" t="str">
        <f>Ringkasan!F1087</f>
        <v/>
      </c>
      <c r="G1088" s="64">
        <f>Ringkasan!G1087</f>
        <v>0</v>
      </c>
      <c r="H1088" s="19">
        <f>Ringkasan!H1087</f>
        <v>12.1</v>
      </c>
      <c r="I1088" s="19">
        <f>Ringkasan!I1087</f>
        <v>0.69</v>
      </c>
      <c r="J1088" s="19">
        <f>Ringkasan!J1087</f>
        <v>5.7</v>
      </c>
      <c r="K1088" s="19">
        <f>Ringkasan!K1087</f>
        <v>3.2</v>
      </c>
      <c r="L1088" s="19">
        <f>Ringkasan!L1087</f>
        <v>0.81</v>
      </c>
      <c r="M1088" s="19">
        <f>Ringkasan!M1087</f>
        <v>37.4</v>
      </c>
      <c r="N1088" s="64" t="str">
        <f>Ringkasan!N1087</f>
        <v/>
      </c>
      <c r="O1088" s="64" t="str">
        <f>Ringkasan!O1087</f>
        <v/>
      </c>
      <c r="P1088" s="64" t="str">
        <f>Ringkasan!P1087</f>
        <v/>
      </c>
      <c r="Q1088" s="64" t="str">
        <f>Ringkasan!Q1087</f>
        <v/>
      </c>
      <c r="R1088" s="64" t="str">
        <f>Ringkasan!R1087</f>
        <v/>
      </c>
      <c r="S1088" s="64" t="str">
        <f>Ringkasan!S1087</f>
        <v/>
      </c>
      <c r="T1088" s="64" t="str">
        <f>Ringkasan!T1087</f>
        <v/>
      </c>
      <c r="U1088" s="64">
        <f>Ringkasan!U1087</f>
        <v>91</v>
      </c>
      <c r="V1088" s="64">
        <f>Ringkasan!V1087</f>
        <v>2.2</v>
      </c>
      <c r="W1088" s="64">
        <f>Ringkasan!W1087</f>
        <v>93</v>
      </c>
      <c r="X1088" s="64">
        <f>Ringkasan!X1087</f>
        <v>96</v>
      </c>
      <c r="Y1088" s="64">
        <f>Ringkasan!Y1087</f>
        <v>90</v>
      </c>
      <c r="Z1088" s="64">
        <f>Ringkasan!Z1087</f>
        <v>47999600</v>
      </c>
      <c r="AA1088" s="64" t="str">
        <f>Ringkasan!AA1087</f>
        <v>Building Products &amp; Fixtures</v>
      </c>
      <c r="AB1088" s="64" t="str">
        <f>Ringkasan!AB1087</f>
        <v>Industrials</v>
      </c>
    </row>
    <row r="1089" hidden="1">
      <c r="A1089" s="64" t="str">
        <f>Ringkasan!A1088</f>
        <v>LABA</v>
      </c>
      <c r="B1089" s="64" t="str">
        <f>Ringkasan!B1088</f>
        <v>Green Power Group Tbk.</v>
      </c>
      <c r="C1089" s="65">
        <f>Ringkasan!C1088</f>
        <v>86</v>
      </c>
      <c r="D1089" s="64" t="str">
        <f>Ringkasan!D1088</f>
        <v>#N/A</v>
      </c>
      <c r="E1089" s="64" t="str">
        <f>Ringkasan!E1088</f>
        <v/>
      </c>
      <c r="F1089" s="64" t="str">
        <f>Ringkasan!F1088</f>
        <v/>
      </c>
      <c r="G1089" s="64">
        <f>Ringkasan!G1088</f>
        <v>0</v>
      </c>
      <c r="H1089" s="19">
        <f>Ringkasan!H1088</f>
        <v>450</v>
      </c>
      <c r="I1089" s="19">
        <f>Ringkasan!I1088</f>
        <v>0.88</v>
      </c>
      <c r="J1089" s="19">
        <f>Ringkasan!J1088</f>
        <v>0.2</v>
      </c>
      <c r="K1089" s="19">
        <f>Ringkasan!K1088</f>
        <v>0.15</v>
      </c>
      <c r="L1089" s="19">
        <f>Ringkasan!L1088</f>
        <v>0.34</v>
      </c>
      <c r="M1089" s="19">
        <f>Ringkasan!M1088</f>
        <v>0.74</v>
      </c>
      <c r="N1089" s="64" t="str">
        <f>Ringkasan!N1088</f>
        <v/>
      </c>
      <c r="O1089" s="64" t="str">
        <f>Ringkasan!O1088</f>
        <v/>
      </c>
      <c r="P1089" s="64" t="str">
        <f>Ringkasan!P1088</f>
        <v/>
      </c>
      <c r="Q1089" s="64" t="str">
        <f>Ringkasan!Q1088</f>
        <v/>
      </c>
      <c r="R1089" s="64" t="str">
        <f>Ringkasan!R1088</f>
        <v/>
      </c>
      <c r="S1089" s="64" t="str">
        <f>Ringkasan!S1088</f>
        <v/>
      </c>
      <c r="T1089" s="64" t="str">
        <f>Ringkasan!T1088</f>
        <v/>
      </c>
      <c r="U1089" s="64">
        <f>Ringkasan!U1088</f>
        <v>82</v>
      </c>
      <c r="V1089" s="64">
        <f>Ringkasan!V1088</f>
        <v>4.88</v>
      </c>
      <c r="W1089" s="64">
        <f>Ringkasan!W1088</f>
        <v>83</v>
      </c>
      <c r="X1089" s="64">
        <f>Ringkasan!X1088</f>
        <v>90</v>
      </c>
      <c r="Y1089" s="64">
        <f>Ringkasan!Y1088</f>
        <v>82</v>
      </c>
      <c r="Z1089" s="64">
        <f>Ringkasan!Z1088</f>
        <v>9498400</v>
      </c>
      <c r="AA1089" s="64" t="str">
        <f>Ringkasan!AA1088</f>
        <v>Machinery</v>
      </c>
      <c r="AB1089" s="64" t="str">
        <f>Ringkasan!AB1088</f>
        <v>Industrials</v>
      </c>
    </row>
    <row r="1090" hidden="1">
      <c r="A1090" s="64" t="str">
        <f>Ringkasan!A1089</f>
        <v>LABS</v>
      </c>
      <c r="B1090" s="64" t="str">
        <f>Ringkasan!B1089</f>
        <v>UBC Medical Indonesia Tbk.</v>
      </c>
      <c r="C1090" s="65">
        <f>Ringkasan!C1089</f>
        <v>140</v>
      </c>
      <c r="D1090" s="64" t="str">
        <f>Ringkasan!D1089</f>
        <v>#N/A</v>
      </c>
      <c r="E1090" s="64" t="str">
        <f>Ringkasan!E1089</f>
        <v/>
      </c>
      <c r="F1090" s="64" t="str">
        <f>Ringkasan!F1089</f>
        <v/>
      </c>
      <c r="G1090" s="64">
        <f>Ringkasan!G1089</f>
        <v>0</v>
      </c>
      <c r="H1090" s="19">
        <f>Ringkasan!H1089</f>
        <v>44.8</v>
      </c>
      <c r="I1090" s="19">
        <f>Ringkasan!I1089</f>
        <v>3.5</v>
      </c>
      <c r="J1090" s="19">
        <f>Ringkasan!J1089</f>
        <v>7.9</v>
      </c>
      <c r="K1090" s="19">
        <f>Ringkasan!K1089</f>
        <v>5.5</v>
      </c>
      <c r="L1090" s="19">
        <f>Ringkasan!L1089</f>
        <v>0.43</v>
      </c>
      <c r="M1090" s="19">
        <f>Ringkasan!M1089</f>
        <v>30.2</v>
      </c>
      <c r="N1090" s="64" t="str">
        <f>Ringkasan!N1089</f>
        <v/>
      </c>
      <c r="O1090" s="64" t="str">
        <f>Ringkasan!O1089</f>
        <v/>
      </c>
      <c r="P1090" s="64" t="str">
        <f>Ringkasan!P1089</f>
        <v/>
      </c>
      <c r="Q1090" s="64" t="str">
        <f>Ringkasan!Q1089</f>
        <v/>
      </c>
      <c r="R1090" s="64" t="str">
        <f>Ringkasan!R1089</f>
        <v/>
      </c>
      <c r="S1090" s="64" t="str">
        <f>Ringkasan!S1089</f>
        <v/>
      </c>
      <c r="T1090" s="64" t="str">
        <f>Ringkasan!T1089</f>
        <v/>
      </c>
      <c r="U1090" s="64">
        <f>Ringkasan!U1089</f>
        <v>0.07</v>
      </c>
      <c r="V1090" s="64">
        <f>Ringkasan!V1089</f>
        <v>7.14</v>
      </c>
      <c r="W1090" s="64">
        <f>Ringkasan!W1089</f>
        <v>0.08</v>
      </c>
      <c r="X1090" s="64">
        <f>Ringkasan!X1089</f>
        <v>0.08</v>
      </c>
      <c r="Y1090" s="64">
        <f>Ringkasan!Y1089</f>
        <v>0.07</v>
      </c>
      <c r="Z1090" s="64">
        <f>Ringkasan!Z1089</f>
        <v>76864</v>
      </c>
      <c r="AA1090" s="64" t="str">
        <f>Ringkasan!AA1089</f>
        <v>Healthcare Equipment &amp; Supplies</v>
      </c>
      <c r="AB1090" s="64" t="str">
        <f>Ringkasan!AB1089</f>
        <v>Healthcare</v>
      </c>
    </row>
    <row r="1091" hidden="1">
      <c r="A1091" s="64" t="str">
        <f>Ringkasan!A1090</f>
        <v>LAJU</v>
      </c>
      <c r="B1091" s="64" t="str">
        <f>Ringkasan!B1090</f>
        <v>PT Jasa Berdikari Logistics Tbk</v>
      </c>
      <c r="C1091" s="65">
        <f>Ringkasan!C1090</f>
        <v>59</v>
      </c>
      <c r="D1091" s="64" t="str">
        <f>Ringkasan!D1090</f>
        <v>#N/A</v>
      </c>
      <c r="E1091" s="64" t="str">
        <f>Ringkasan!E1090</f>
        <v/>
      </c>
      <c r="F1091" s="64" t="str">
        <f>Ringkasan!F1090</f>
        <v/>
      </c>
      <c r="G1091" s="64">
        <f>Ringkasan!G1090</f>
        <v>0</v>
      </c>
      <c r="H1091" s="19">
        <f>Ringkasan!H1090</f>
        <v>16.9</v>
      </c>
      <c r="I1091" s="19">
        <f>Ringkasan!I1090</f>
        <v>1.1</v>
      </c>
      <c r="J1091" s="19">
        <f>Ringkasan!J1090</f>
        <v>6.5</v>
      </c>
      <c r="K1091" s="19">
        <f>Ringkasan!K1090</f>
        <v>3.6</v>
      </c>
      <c r="L1091" s="19">
        <f>Ringkasan!L1090</f>
        <v>0.78</v>
      </c>
      <c r="M1091" s="19">
        <f>Ringkasan!M1090</f>
        <v>18.2</v>
      </c>
      <c r="N1091" s="64" t="str">
        <f>Ringkasan!N1090</f>
        <v/>
      </c>
      <c r="O1091" s="64" t="str">
        <f>Ringkasan!O1090</f>
        <v/>
      </c>
      <c r="P1091" s="64" t="str">
        <f>Ringkasan!P1090</f>
        <v/>
      </c>
      <c r="Q1091" s="64" t="str">
        <f>Ringkasan!Q1090</f>
        <v/>
      </c>
      <c r="R1091" s="64" t="str">
        <f>Ringkasan!R1090</f>
        <v/>
      </c>
      <c r="S1091" s="64" t="str">
        <f>Ringkasan!S1090</f>
        <v/>
      </c>
      <c r="T1091" s="64" t="str">
        <f>Ringkasan!T1090</f>
        <v/>
      </c>
      <c r="U1091" s="64">
        <f>Ringkasan!U1090</f>
        <v>56</v>
      </c>
      <c r="V1091" s="64">
        <f>Ringkasan!V1090</f>
        <v>5.36</v>
      </c>
      <c r="W1091" s="64">
        <f>Ringkasan!W1090</f>
        <v>55</v>
      </c>
      <c r="X1091" s="64">
        <f>Ringkasan!X1090</f>
        <v>61</v>
      </c>
      <c r="Y1091" s="64">
        <f>Ringkasan!Y1090</f>
        <v>55</v>
      </c>
      <c r="Z1091" s="64">
        <f>Ringkasan!Z1090</f>
        <v>24802200</v>
      </c>
      <c r="AA1091" s="64" t="str">
        <f>Ringkasan!AA1090</f>
        <v>Logistics &amp; Deliveries</v>
      </c>
      <c r="AB1091" s="64" t="str">
        <f>Ringkasan!AB1090</f>
        <v>Transportation &amp; Logistic</v>
      </c>
    </row>
    <row r="1092" hidden="1">
      <c r="A1092" s="64" t="str">
        <f>Ringkasan!A1091</f>
        <v>LAND</v>
      </c>
      <c r="B1092" s="64" t="str">
        <f>Ringkasan!B1091</f>
        <v>Trimitra Propertindo Tbk.</v>
      </c>
      <c r="C1092" s="65">
        <f>Ringkasan!C1091</f>
        <v>55</v>
      </c>
      <c r="D1092" s="64" t="str">
        <f>Ringkasan!D1091</f>
        <v>#N/A</v>
      </c>
      <c r="E1092" s="64" t="str">
        <f>Ringkasan!E1091</f>
        <v/>
      </c>
      <c r="F1092" s="64" t="str">
        <f>Ringkasan!F1091</f>
        <v/>
      </c>
      <c r="G1092" s="64">
        <f>Ringkasan!G1091</f>
        <v>0</v>
      </c>
      <c r="H1092" s="19">
        <f>Ringkasan!H1091</f>
        <v>83.8</v>
      </c>
      <c r="I1092" s="19">
        <f>Ringkasan!I1091</f>
        <v>0.38</v>
      </c>
      <c r="J1092" s="19">
        <f>Ringkasan!J1091</f>
        <v>0.45</v>
      </c>
      <c r="K1092" s="19">
        <f>Ringkasan!K1091</f>
        <v>0.25</v>
      </c>
      <c r="L1092" s="19">
        <f>Ringkasan!L1091</f>
        <v>0.77</v>
      </c>
      <c r="M1092" s="19">
        <f>Ringkasan!M1091</f>
        <v>21.1</v>
      </c>
      <c r="N1092" s="64" t="str">
        <f>Ringkasan!N1091</f>
        <v/>
      </c>
      <c r="O1092" s="64" t="str">
        <f>Ringkasan!O1091</f>
        <v/>
      </c>
      <c r="P1092" s="64" t="str">
        <f>Ringkasan!P1091</f>
        <v/>
      </c>
      <c r="Q1092" s="64" t="str">
        <f>Ringkasan!Q1091</f>
        <v/>
      </c>
      <c r="R1092" s="64" t="str">
        <f>Ringkasan!R1091</f>
        <v/>
      </c>
      <c r="S1092" s="64" t="str">
        <f>Ringkasan!S1091</f>
        <v/>
      </c>
      <c r="T1092" s="64" t="str">
        <f>Ringkasan!T1091</f>
        <v/>
      </c>
      <c r="U1092" s="64">
        <f>Ringkasan!U1091</f>
        <v>9</v>
      </c>
      <c r="V1092" s="64">
        <f>Ringkasan!V1091</f>
        <v>-0.44</v>
      </c>
      <c r="W1092" s="64">
        <f>Ringkasan!W1091</f>
        <v>9.06</v>
      </c>
      <c r="X1092" s="64">
        <f>Ringkasan!X1091</f>
        <v>9.09</v>
      </c>
      <c r="Y1092" s="64">
        <f>Ringkasan!Y1091</f>
        <v>8.93</v>
      </c>
      <c r="Z1092" s="64">
        <f>Ringkasan!Z1091</f>
        <v>690627</v>
      </c>
      <c r="AA1092" s="64" t="str">
        <f>Ringkasan!AA1091</f>
        <v>Real Estate Management &amp; Development</v>
      </c>
      <c r="AB1092" s="64" t="str">
        <f>Ringkasan!AB1091</f>
        <v>Properties &amp; Real Estate</v>
      </c>
    </row>
    <row r="1093" hidden="1">
      <c r="A1093" s="64" t="str">
        <f>Ringkasan!A1092</f>
        <v>LAPD</v>
      </c>
      <c r="B1093" s="64" t="str">
        <f>Ringkasan!B1092</f>
        <v>Leyand International Tbk.</v>
      </c>
      <c r="C1093" s="65">
        <f>Ringkasan!C1092</f>
        <v>61</v>
      </c>
      <c r="D1093" s="64" t="str">
        <f>Ringkasan!D1092</f>
        <v>#N/A</v>
      </c>
      <c r="E1093" s="64" t="str">
        <f>Ringkasan!E1092</f>
        <v/>
      </c>
      <c r="F1093" s="64" t="str">
        <f>Ringkasan!F1092</f>
        <v/>
      </c>
      <c r="G1093" s="64">
        <f>Ringkasan!G1092</f>
        <v>0</v>
      </c>
      <c r="H1093" s="19">
        <f>Ringkasan!H1092</f>
        <v>-40.8</v>
      </c>
      <c r="I1093" s="19">
        <f>Ringkasan!I1092</f>
        <v>15.1</v>
      </c>
      <c r="J1093" s="19">
        <f>Ringkasan!J1092</f>
        <v>-37.1</v>
      </c>
      <c r="K1093" s="19">
        <f>Ringkasan!K1092</f>
        <v>-5</v>
      </c>
      <c r="L1093" s="19">
        <f>Ringkasan!L1092</f>
        <v>6.4</v>
      </c>
      <c r="M1093" s="19">
        <f>Ringkasan!M1092</f>
        <v>-430</v>
      </c>
      <c r="N1093" s="64" t="str">
        <f>Ringkasan!N1092</f>
        <v/>
      </c>
      <c r="O1093" s="64" t="str">
        <f>Ringkasan!O1092</f>
        <v/>
      </c>
      <c r="P1093" s="64" t="str">
        <f>Ringkasan!P1092</f>
        <v/>
      </c>
      <c r="Q1093" s="64" t="str">
        <f>Ringkasan!Q1092</f>
        <v/>
      </c>
      <c r="R1093" s="64" t="str">
        <f>Ringkasan!R1092</f>
        <v/>
      </c>
      <c r="S1093" s="64" t="str">
        <f>Ringkasan!S1092</f>
        <v/>
      </c>
      <c r="T1093" s="64" t="str">
        <f>Ringkasan!T1092</f>
        <v/>
      </c>
      <c r="U1093" s="64">
        <f>Ringkasan!U1092</f>
        <v>65</v>
      </c>
      <c r="V1093" s="64">
        <f>Ringkasan!V1092</f>
        <v>-6.15</v>
      </c>
      <c r="W1093" s="64">
        <f>Ringkasan!W1092</f>
        <v>65</v>
      </c>
      <c r="X1093" s="64">
        <f>Ringkasan!X1092</f>
        <v>66</v>
      </c>
      <c r="Y1093" s="64">
        <f>Ringkasan!Y1092</f>
        <v>60</v>
      </c>
      <c r="Z1093" s="64">
        <f>Ringkasan!Z1092</f>
        <v>44577100</v>
      </c>
      <c r="AA1093" s="64" t="str">
        <f>Ringkasan!AA1092</f>
        <v>Food &amp; Staples Retailing</v>
      </c>
      <c r="AB1093" s="64" t="str">
        <f>Ringkasan!AB1092</f>
        <v>Consumer Non-Cyclicals</v>
      </c>
    </row>
    <row r="1094" hidden="1">
      <c r="A1094" s="64" t="str">
        <f>Ringkasan!A1093</f>
        <v>LCGP</v>
      </c>
      <c r="B1094" s="64" t="str">
        <f>Ringkasan!B1093</f>
        <v>Eureka Prima Jakarta Tbk.</v>
      </c>
      <c r="C1094" s="65">
        <f>Ringkasan!C1093</f>
        <v>114</v>
      </c>
      <c r="D1094" s="64" t="str">
        <f>Ringkasan!D1093</f>
        <v>#N/A</v>
      </c>
      <c r="E1094" s="64" t="str">
        <f>Ringkasan!E1093</f>
        <v/>
      </c>
      <c r="F1094" s="64" t="str">
        <f>Ringkasan!F1093</f>
        <v/>
      </c>
      <c r="G1094" s="64">
        <f>Ringkasan!G1093</f>
        <v>0</v>
      </c>
      <c r="H1094" s="19">
        <f>Ringkasan!H1093</f>
        <v>0</v>
      </c>
      <c r="I1094" s="19">
        <f>Ringkasan!I1093</f>
        <v>0.4</v>
      </c>
      <c r="J1094" s="19">
        <f>Ringkasan!J1093</f>
        <v>0.02</v>
      </c>
      <c r="K1094" s="19">
        <f>Ringkasan!K1093</f>
        <v>0.02</v>
      </c>
      <c r="L1094" s="19">
        <f>Ringkasan!L1093</f>
        <v>0.03</v>
      </c>
      <c r="M1094" s="19">
        <f>Ringkasan!M1093</f>
        <v>19.5</v>
      </c>
      <c r="N1094" s="64" t="str">
        <f>Ringkasan!N1093</f>
        <v/>
      </c>
      <c r="O1094" s="64" t="str">
        <f>Ringkasan!O1093</f>
        <v/>
      </c>
      <c r="P1094" s="64" t="str">
        <f>Ringkasan!P1093</f>
        <v/>
      </c>
      <c r="Q1094" s="64" t="str">
        <f>Ringkasan!Q1093</f>
        <v/>
      </c>
      <c r="R1094" s="64" t="str">
        <f>Ringkasan!R1093</f>
        <v/>
      </c>
      <c r="S1094" s="64" t="str">
        <f>Ringkasan!S1093</f>
        <v/>
      </c>
      <c r="T1094" s="64" t="str">
        <f>Ringkasan!T1093</f>
        <v/>
      </c>
      <c r="U1094" s="64">
        <f>Ringkasan!U1093</f>
        <v>114</v>
      </c>
      <c r="V1094" s="64">
        <f>Ringkasan!V1093</f>
        <v>0</v>
      </c>
      <c r="W1094" s="64" t="str">
        <f>Ringkasan!W1093</f>
        <v/>
      </c>
      <c r="X1094" s="64" t="str">
        <f>Ringkasan!X1093</f>
        <v/>
      </c>
      <c r="Y1094" s="64" t="str">
        <f>Ringkasan!Y1093</f>
        <v/>
      </c>
      <c r="Z1094" s="64">
        <f>Ringkasan!Z1093</f>
        <v>0</v>
      </c>
      <c r="AA1094" s="64" t="str">
        <f>Ringkasan!AA1093</f>
        <v>Real Estate Management &amp; Development</v>
      </c>
      <c r="AB1094" s="64" t="str">
        <f>Ringkasan!AB1093</f>
        <v>Properties &amp; Real Estate</v>
      </c>
    </row>
    <row r="1095" hidden="1">
      <c r="A1095" s="64" t="str">
        <f>Ringkasan!A1094</f>
        <v>LCKM</v>
      </c>
      <c r="B1095" s="64" t="str">
        <f>Ringkasan!B1094</f>
        <v>LCK Global Kedaton Tbk.</v>
      </c>
      <c r="C1095" s="65">
        <f>Ringkasan!C1094</f>
        <v>131</v>
      </c>
      <c r="D1095" s="64" t="str">
        <f>Ringkasan!D1094</f>
        <v>#N/A</v>
      </c>
      <c r="E1095" s="64" t="str">
        <f>Ringkasan!E1094</f>
        <v/>
      </c>
      <c r="F1095" s="64" t="str">
        <f>Ringkasan!F1094</f>
        <v/>
      </c>
      <c r="G1095" s="64">
        <f>Ringkasan!G1094</f>
        <v>0</v>
      </c>
      <c r="H1095" s="19">
        <f>Ringkasan!H1094</f>
        <v>48</v>
      </c>
      <c r="I1095" s="19">
        <f>Ringkasan!I1094</f>
        <v>0.79</v>
      </c>
      <c r="J1095" s="19">
        <f>Ringkasan!J1094</f>
        <v>1.7</v>
      </c>
      <c r="K1095" s="19">
        <f>Ringkasan!K1094</f>
        <v>1.6</v>
      </c>
      <c r="L1095" s="19">
        <f>Ringkasan!L1094</f>
        <v>0.05</v>
      </c>
      <c r="M1095" s="19">
        <f>Ringkasan!M1094</f>
        <v>720</v>
      </c>
      <c r="N1095" s="64" t="str">
        <f>Ringkasan!N1094</f>
        <v/>
      </c>
      <c r="O1095" s="64" t="str">
        <f>Ringkasan!O1094</f>
        <v/>
      </c>
      <c r="P1095" s="64" t="str">
        <f>Ringkasan!P1094</f>
        <v/>
      </c>
      <c r="Q1095" s="64" t="str">
        <f>Ringkasan!Q1094</f>
        <v/>
      </c>
      <c r="R1095" s="64" t="str">
        <f>Ringkasan!R1094</f>
        <v/>
      </c>
      <c r="S1095" s="64" t="str">
        <f>Ringkasan!S1094</f>
        <v/>
      </c>
      <c r="T1095" s="64" t="str">
        <f>Ringkasan!T1094</f>
        <v/>
      </c>
      <c r="U1095" s="64">
        <f>Ringkasan!U1094</f>
        <v>153</v>
      </c>
      <c r="V1095" s="64">
        <f>Ringkasan!V1094</f>
        <v>-14.38</v>
      </c>
      <c r="W1095" s="64">
        <f>Ringkasan!W1094</f>
        <v>153</v>
      </c>
      <c r="X1095" s="64">
        <f>Ringkasan!X1094</f>
        <v>163</v>
      </c>
      <c r="Y1095" s="64">
        <f>Ringkasan!Y1094</f>
        <v>131</v>
      </c>
      <c r="Z1095" s="64">
        <f>Ringkasan!Z1094</f>
        <v>441175300</v>
      </c>
      <c r="AA1095" s="64" t="str">
        <f>Ringkasan!AA1094</f>
        <v>Wireless Telecommunication Services</v>
      </c>
      <c r="AB1095" s="64" t="str">
        <f>Ringkasan!AB1094</f>
        <v>Infrastructures</v>
      </c>
    </row>
    <row r="1096" hidden="1">
      <c r="A1096" s="64" t="str">
        <f>Ringkasan!A1095</f>
        <v>LEAD</v>
      </c>
      <c r="B1096" s="64" t="str">
        <f>Ringkasan!B1095</f>
        <v>Logindo Samudramakmur Tbk.</v>
      </c>
      <c r="C1096" s="65">
        <f>Ringkasan!C1095</f>
        <v>97</v>
      </c>
      <c r="D1096" s="64" t="str">
        <f>Ringkasan!D1095</f>
        <v>#N/A</v>
      </c>
      <c r="E1096" s="64" t="str">
        <f>Ringkasan!E1095</f>
        <v/>
      </c>
      <c r="F1096" s="64" t="str">
        <f>Ringkasan!F1095</f>
        <v/>
      </c>
      <c r="G1096" s="64">
        <f>Ringkasan!G1095</f>
        <v>0</v>
      </c>
      <c r="H1096" s="19">
        <f>Ringkasan!H1095</f>
        <v>3.1</v>
      </c>
      <c r="I1096" s="19">
        <f>Ringkasan!I1095</f>
        <v>0.62</v>
      </c>
      <c r="J1096" s="19">
        <f>Ringkasan!J1095</f>
        <v>20.1</v>
      </c>
      <c r="K1096" s="19">
        <f>Ringkasan!K1095</f>
        <v>10.8</v>
      </c>
      <c r="L1096" s="19">
        <f>Ringkasan!L1095</f>
        <v>0.87</v>
      </c>
      <c r="M1096" s="19">
        <f>Ringkasan!M1095</f>
        <v>150</v>
      </c>
      <c r="N1096" s="64" t="str">
        <f>Ringkasan!N1095</f>
        <v/>
      </c>
      <c r="O1096" s="64" t="str">
        <f>Ringkasan!O1095</f>
        <v/>
      </c>
      <c r="P1096" s="64" t="str">
        <f>Ringkasan!P1095</f>
        <v/>
      </c>
      <c r="Q1096" s="64" t="str">
        <f>Ringkasan!Q1095</f>
        <v/>
      </c>
      <c r="R1096" s="64" t="str">
        <f>Ringkasan!R1095</f>
        <v/>
      </c>
      <c r="S1096" s="64" t="str">
        <f>Ringkasan!S1095</f>
        <v/>
      </c>
      <c r="T1096" s="64" t="str">
        <f>Ringkasan!T1095</f>
        <v/>
      </c>
      <c r="U1096" s="64">
        <f>Ringkasan!U1095</f>
        <v>20.61</v>
      </c>
      <c r="V1096" s="64">
        <f>Ringkasan!V1095</f>
        <v>-1.89</v>
      </c>
      <c r="W1096" s="64" t="str">
        <f>Ringkasan!W1095</f>
        <v/>
      </c>
      <c r="X1096" s="64" t="str">
        <f>Ringkasan!X1095</f>
        <v/>
      </c>
      <c r="Y1096" s="64" t="str">
        <f>Ringkasan!Y1095</f>
        <v/>
      </c>
      <c r="Z1096" s="64">
        <f>Ringkasan!Z1095</f>
        <v>0</v>
      </c>
      <c r="AA1096" s="64" t="str">
        <f>Ringkasan!AA1095</f>
        <v>Oil &amp; Gas</v>
      </c>
      <c r="AB1096" s="64" t="str">
        <f>Ringkasan!AB1095</f>
        <v>Energy</v>
      </c>
    </row>
    <row r="1097" hidden="1">
      <c r="A1097" s="64" t="str">
        <f>Ringkasan!A1096</f>
        <v>LFLO</v>
      </c>
      <c r="B1097" s="64" t="str">
        <f>Ringkasan!B1096</f>
        <v>Imago Mulia Persada Tbk.</v>
      </c>
      <c r="C1097" s="65">
        <f>Ringkasan!C1096</f>
        <v>498</v>
      </c>
      <c r="D1097" s="64" t="str">
        <f>Ringkasan!D1096</f>
        <v>#N/A</v>
      </c>
      <c r="E1097" s="64" t="str">
        <f>Ringkasan!E1096</f>
        <v/>
      </c>
      <c r="F1097" s="64" t="str">
        <f>Ringkasan!F1096</f>
        <v/>
      </c>
      <c r="G1097" s="64">
        <f>Ringkasan!G1096</f>
        <v>0</v>
      </c>
      <c r="H1097" s="19">
        <f>Ringkasan!H1096</f>
        <v>31.6</v>
      </c>
      <c r="I1097" s="19">
        <f>Ringkasan!I1096</f>
        <v>7.7</v>
      </c>
      <c r="J1097" s="19">
        <f>Ringkasan!J1096</f>
        <v>24.3</v>
      </c>
      <c r="K1097" s="19">
        <f>Ringkasan!K1096</f>
        <v>11.5</v>
      </c>
      <c r="L1097" s="19">
        <f>Ringkasan!L1096</f>
        <v>1.1</v>
      </c>
      <c r="M1097" s="19">
        <f>Ringkasan!M1096</f>
        <v>12.2</v>
      </c>
      <c r="N1097" s="64" t="str">
        <f>Ringkasan!N1096</f>
        <v/>
      </c>
      <c r="O1097" s="64" t="str">
        <f>Ringkasan!O1096</f>
        <v/>
      </c>
      <c r="P1097" s="64" t="str">
        <f>Ringkasan!P1096</f>
        <v/>
      </c>
      <c r="Q1097" s="64" t="str">
        <f>Ringkasan!Q1096</f>
        <v/>
      </c>
      <c r="R1097" s="64" t="str">
        <f>Ringkasan!R1096</f>
        <v/>
      </c>
      <c r="S1097" s="64" t="str">
        <f>Ringkasan!S1096</f>
        <v/>
      </c>
      <c r="T1097" s="64" t="str">
        <f>Ringkasan!T1096</f>
        <v/>
      </c>
      <c r="U1097" s="64">
        <f>Ringkasan!U1096</f>
        <v>468</v>
      </c>
      <c r="V1097" s="64">
        <f>Ringkasan!V1096</f>
        <v>6.41</v>
      </c>
      <c r="W1097" s="64">
        <f>Ringkasan!W1096</f>
        <v>468</v>
      </c>
      <c r="X1097" s="64">
        <f>Ringkasan!X1096</f>
        <v>498</v>
      </c>
      <c r="Y1097" s="64">
        <f>Ringkasan!Y1096</f>
        <v>450</v>
      </c>
      <c r="Z1097" s="64">
        <f>Ringkasan!Z1096</f>
        <v>20700</v>
      </c>
      <c r="AA1097" s="64" t="str">
        <f>Ringkasan!AA1096</f>
        <v>Household Goods</v>
      </c>
      <c r="AB1097" s="64" t="str">
        <f>Ringkasan!AB1096</f>
        <v>Consumer Cyclicals</v>
      </c>
    </row>
    <row r="1098" hidden="1">
      <c r="A1098" s="64" t="str">
        <f>Ringkasan!A1097</f>
        <v>LIFE</v>
      </c>
      <c r="B1098" s="64" t="str">
        <f>Ringkasan!B1097</f>
        <v>MSIG Life Insurance Indonesia Tbk.</v>
      </c>
      <c r="C1098" s="65">
        <f>Ringkasan!C1097</f>
        <v>5700</v>
      </c>
      <c r="D1098" s="64" t="str">
        <f>Ringkasan!D1097</f>
        <v>#N/A</v>
      </c>
      <c r="E1098" s="64" t="str">
        <f>Ringkasan!E1097</f>
        <v/>
      </c>
      <c r="F1098" s="64" t="str">
        <f>Ringkasan!F1097</f>
        <v/>
      </c>
      <c r="G1098" s="64">
        <f>Ringkasan!G1097</f>
        <v>0</v>
      </c>
      <c r="H1098" s="19">
        <f>Ringkasan!H1097</f>
        <v>47</v>
      </c>
      <c r="I1098" s="19">
        <f>Ringkasan!I1097</f>
        <v>1.5</v>
      </c>
      <c r="J1098" s="19">
        <f>Ringkasan!J1097</f>
        <v>3.2</v>
      </c>
      <c r="K1098" s="19">
        <f>Ringkasan!K1097</f>
        <v>1.7</v>
      </c>
      <c r="L1098" s="19">
        <f>Ringkasan!L1097</f>
        <v>0.86</v>
      </c>
      <c r="M1098" s="19">
        <f>Ringkasan!M1097</f>
        <v>47.9</v>
      </c>
      <c r="N1098" s="64" t="str">
        <f>Ringkasan!N1097</f>
        <v/>
      </c>
      <c r="O1098" s="64" t="str">
        <f>Ringkasan!O1097</f>
        <v/>
      </c>
      <c r="P1098" s="64" t="str">
        <f>Ringkasan!P1097</f>
        <v/>
      </c>
      <c r="Q1098" s="64" t="str">
        <f>Ringkasan!Q1097</f>
        <v/>
      </c>
      <c r="R1098" s="64" t="str">
        <f>Ringkasan!R1097</f>
        <v/>
      </c>
      <c r="S1098" s="64" t="str">
        <f>Ringkasan!S1097</f>
        <v/>
      </c>
      <c r="T1098" s="64" t="str">
        <f>Ringkasan!T1097</f>
        <v/>
      </c>
      <c r="U1098" s="64">
        <f>Ringkasan!U1097</f>
        <v>17.18</v>
      </c>
      <c r="V1098" s="64">
        <f>Ringkasan!V1097</f>
        <v>-9.14</v>
      </c>
      <c r="W1098" s="64">
        <f>Ringkasan!W1097</f>
        <v>17.12</v>
      </c>
      <c r="X1098" s="64">
        <f>Ringkasan!X1097</f>
        <v>17.2</v>
      </c>
      <c r="Y1098" s="64">
        <f>Ringkasan!Y1097</f>
        <v>15.33</v>
      </c>
      <c r="Z1098" s="64">
        <f>Ringkasan!Z1097</f>
        <v>786152</v>
      </c>
      <c r="AA1098" s="64" t="str">
        <f>Ringkasan!AA1097</f>
        <v>Insurance</v>
      </c>
      <c r="AB1098" s="64" t="str">
        <f>Ringkasan!AB1097</f>
        <v>Financials</v>
      </c>
    </row>
    <row r="1099" hidden="1">
      <c r="A1099" s="64" t="str">
        <f>Ringkasan!A1098</f>
        <v>LINK</v>
      </c>
      <c r="B1099" s="64" t="str">
        <f>Ringkasan!B1098</f>
        <v>Link Net Tbk.</v>
      </c>
      <c r="C1099" s="65">
        <f>Ringkasan!C1098</f>
        <v>1330</v>
      </c>
      <c r="D1099" s="64" t="str">
        <f>Ringkasan!D1098</f>
        <v>#N/A</v>
      </c>
      <c r="E1099" s="64" t="str">
        <f>Ringkasan!E1098</f>
        <v/>
      </c>
      <c r="F1099" s="64" t="str">
        <f>Ringkasan!F1098</f>
        <v/>
      </c>
      <c r="G1099" s="64">
        <f>Ringkasan!G1098</f>
        <v>0</v>
      </c>
      <c r="H1099" s="19">
        <f>Ringkasan!H1098</f>
        <v>-2.1</v>
      </c>
      <c r="I1099" s="19">
        <f>Ringkasan!I1098</f>
        <v>1</v>
      </c>
      <c r="J1099" s="19">
        <f>Ringkasan!J1098</f>
        <v>-48.8</v>
      </c>
      <c r="K1099" s="19">
        <f>Ringkasan!K1098</f>
        <v>-11.2</v>
      </c>
      <c r="L1099" s="19">
        <f>Ringkasan!L1098</f>
        <v>3.4</v>
      </c>
      <c r="M1099" s="19">
        <f>Ringkasan!M1098</f>
        <v>-230</v>
      </c>
      <c r="N1099" s="64" t="str">
        <f>Ringkasan!N1098</f>
        <v/>
      </c>
      <c r="O1099" s="64" t="str">
        <f>Ringkasan!O1098</f>
        <v/>
      </c>
      <c r="P1099" s="64" t="str">
        <f>Ringkasan!P1098</f>
        <v/>
      </c>
      <c r="Q1099" s="64" t="str">
        <f>Ringkasan!Q1098</f>
        <v/>
      </c>
      <c r="R1099" s="64" t="str">
        <f>Ringkasan!R1098</f>
        <v/>
      </c>
      <c r="S1099" s="64" t="str">
        <f>Ringkasan!S1098</f>
        <v/>
      </c>
      <c r="T1099" s="64" t="str">
        <f>Ringkasan!T1098</f>
        <v/>
      </c>
      <c r="U1099" s="64">
        <f>Ringkasan!U1098</f>
        <v>4.47</v>
      </c>
      <c r="V1099" s="64">
        <f>Ringkasan!V1098</f>
        <v>-1.79</v>
      </c>
      <c r="W1099" s="64">
        <f>Ringkasan!W1098</f>
        <v>4.46</v>
      </c>
      <c r="X1099" s="64">
        <f>Ringkasan!X1098</f>
        <v>4.53</v>
      </c>
      <c r="Y1099" s="64">
        <f>Ringkasan!Y1098</f>
        <v>4.32</v>
      </c>
      <c r="Z1099" s="64">
        <f>Ringkasan!Z1098</f>
        <v>8511</v>
      </c>
      <c r="AA1099" s="64" t="str">
        <f>Ringkasan!AA1098</f>
        <v>Telecommunication Service</v>
      </c>
      <c r="AB1099" s="64" t="str">
        <f>Ringkasan!AB1098</f>
        <v>Infrastructures</v>
      </c>
    </row>
    <row r="1100" hidden="1">
      <c r="A1100" s="64" t="str">
        <f>Ringkasan!A1099</f>
        <v>LION</v>
      </c>
      <c r="B1100" s="64" t="str">
        <f>Ringkasan!B1099</f>
        <v>Lion Metal Works Tbk.</v>
      </c>
      <c r="C1100" s="65">
        <f>Ringkasan!C1099</f>
        <v>330</v>
      </c>
      <c r="D1100" s="64" t="str">
        <f>Ringkasan!D1099</f>
        <v>#N/A</v>
      </c>
      <c r="E1100" s="64" t="str">
        <f>Ringkasan!E1099</f>
        <v/>
      </c>
      <c r="F1100" s="64" t="str">
        <f>Ringkasan!F1099</f>
        <v/>
      </c>
      <c r="G1100" s="64">
        <f>Ringkasan!G1099</f>
        <v>0</v>
      </c>
      <c r="H1100" s="19">
        <f>Ringkasan!H1099</f>
        <v>-8.6</v>
      </c>
      <c r="I1100" s="19">
        <f>Ringkasan!I1099</f>
        <v>0.43</v>
      </c>
      <c r="J1100" s="19">
        <f>Ringkasan!J1099</f>
        <v>-5</v>
      </c>
      <c r="K1100" s="19">
        <f>Ringkasan!K1099</f>
        <v>-3.8</v>
      </c>
      <c r="L1100" s="19">
        <f>Ringkasan!L1099</f>
        <v>0.31</v>
      </c>
      <c r="M1100" s="19">
        <f>Ringkasan!M1099</f>
        <v>-34.4</v>
      </c>
      <c r="N1100" s="64" t="str">
        <f>Ringkasan!N1099</f>
        <v/>
      </c>
      <c r="O1100" s="64" t="str">
        <f>Ringkasan!O1099</f>
        <v/>
      </c>
      <c r="P1100" s="64" t="str">
        <f>Ringkasan!P1099</f>
        <v/>
      </c>
      <c r="Q1100" s="64" t="str">
        <f>Ringkasan!Q1099</f>
        <v/>
      </c>
      <c r="R1100" s="64" t="str">
        <f>Ringkasan!R1099</f>
        <v/>
      </c>
      <c r="S1100" s="64" t="str">
        <f>Ringkasan!S1099</f>
        <v/>
      </c>
      <c r="T1100" s="64" t="str">
        <f>Ringkasan!T1099</f>
        <v/>
      </c>
      <c r="U1100" s="64">
        <f>Ringkasan!U1099</f>
        <v>13.92</v>
      </c>
      <c r="V1100" s="64">
        <f>Ringkasan!V1099</f>
        <v>2.87</v>
      </c>
      <c r="W1100" s="64">
        <f>Ringkasan!W1099</f>
        <v>13.96</v>
      </c>
      <c r="X1100" s="64">
        <f>Ringkasan!X1099</f>
        <v>14.49</v>
      </c>
      <c r="Y1100" s="64">
        <f>Ringkasan!Y1099</f>
        <v>13.62</v>
      </c>
      <c r="Z1100" s="64">
        <f>Ringkasan!Z1099</f>
        <v>3302163</v>
      </c>
      <c r="AA1100" s="64" t="str">
        <f>Ringkasan!AA1099</f>
        <v>Commercial Services</v>
      </c>
      <c r="AB1100" s="64" t="str">
        <f>Ringkasan!AB1099</f>
        <v>Industrials</v>
      </c>
    </row>
    <row r="1101" hidden="1">
      <c r="A1101" s="64" t="str">
        <f>Ringkasan!A1100</f>
        <v>LIVE</v>
      </c>
      <c r="B1101" s="64" t="str">
        <f>Ringkasan!B1100</f>
        <v>Homeco Victoria Makmur Tbk.</v>
      </c>
      <c r="C1101" s="65">
        <f>Ringkasan!C1100</f>
        <v>250</v>
      </c>
      <c r="D1101" s="64" t="str">
        <f>Ringkasan!D1100</f>
        <v>#N/A</v>
      </c>
      <c r="E1101" s="64" t="str">
        <f>Ringkasan!E1100</f>
        <v/>
      </c>
      <c r="F1101" s="64" t="str">
        <f>Ringkasan!F1100</f>
        <v/>
      </c>
      <c r="G1101" s="64">
        <f>Ringkasan!G1100</f>
        <v>0</v>
      </c>
      <c r="H1101" s="19">
        <f>Ringkasan!H1100</f>
        <v>630</v>
      </c>
      <c r="I1101" s="19">
        <f>Ringkasan!I1100</f>
        <v>2.8</v>
      </c>
      <c r="J1101" s="19">
        <f>Ringkasan!J1100</f>
        <v>0.45</v>
      </c>
      <c r="K1101" s="19">
        <f>Ringkasan!K1100</f>
        <v>0.29</v>
      </c>
      <c r="L1101" s="19">
        <f>Ringkasan!L1100</f>
        <v>0.56</v>
      </c>
      <c r="M1101" s="19">
        <f>Ringkasan!M1100</f>
        <v>3.3</v>
      </c>
      <c r="N1101" s="64" t="str">
        <f>Ringkasan!N1100</f>
        <v/>
      </c>
      <c r="O1101" s="64" t="str">
        <f>Ringkasan!O1100</f>
        <v/>
      </c>
      <c r="P1101" s="64" t="str">
        <f>Ringkasan!P1100</f>
        <v/>
      </c>
      <c r="Q1101" s="64" t="str">
        <f>Ringkasan!Q1100</f>
        <v/>
      </c>
      <c r="R1101" s="64" t="str">
        <f>Ringkasan!R1100</f>
        <v/>
      </c>
      <c r="S1101" s="64" t="str">
        <f>Ringkasan!S1100</f>
        <v/>
      </c>
      <c r="T1101" s="64" t="str">
        <f>Ringkasan!T1100</f>
        <v/>
      </c>
      <c r="U1101" s="64">
        <f>Ringkasan!U1100</f>
        <v>9.45</v>
      </c>
      <c r="V1101" s="64">
        <f>Ringkasan!V1100</f>
        <v>4.82</v>
      </c>
      <c r="W1101" s="64">
        <f>Ringkasan!W1100</f>
        <v>9.25</v>
      </c>
      <c r="X1101" s="64">
        <f>Ringkasan!X1100</f>
        <v>9.9</v>
      </c>
      <c r="Y1101" s="64">
        <f>Ringkasan!Y1100</f>
        <v>9.18</v>
      </c>
      <c r="Z1101" s="64">
        <f>Ringkasan!Z1100</f>
        <v>7282</v>
      </c>
      <c r="AA1101" s="64" t="str">
        <f>Ringkasan!AA1100</f>
        <v>Household Goods</v>
      </c>
      <c r="AB1101" s="64" t="str">
        <f>Ringkasan!AB1100</f>
        <v>Consumer Cyclicals</v>
      </c>
    </row>
    <row r="1102" hidden="1">
      <c r="A1102" s="64" t="str">
        <f>Ringkasan!A1101</f>
        <v>LMAS</v>
      </c>
      <c r="B1102" s="64" t="str">
        <f>Ringkasan!B1101</f>
        <v>Limas Indonesia Makmur Tbk</v>
      </c>
      <c r="C1102" s="65">
        <f>Ringkasan!C1101</f>
        <v>50</v>
      </c>
      <c r="D1102" s="64" t="str">
        <f>Ringkasan!D1101</f>
        <v>#N/A</v>
      </c>
      <c r="E1102" s="64" t="str">
        <f>Ringkasan!E1101</f>
        <v/>
      </c>
      <c r="F1102" s="64" t="str">
        <f>Ringkasan!F1101</f>
        <v/>
      </c>
      <c r="G1102" s="64">
        <f>Ringkasan!G1101</f>
        <v>0</v>
      </c>
      <c r="H1102" s="19">
        <f>Ringkasan!H1101</f>
        <v>0</v>
      </c>
      <c r="I1102" s="19">
        <f>Ringkasan!I1101</f>
        <v>0.32</v>
      </c>
      <c r="J1102" s="19">
        <f>Ringkasan!J1101</f>
        <v>1.6</v>
      </c>
      <c r="K1102" s="19">
        <f>Ringkasan!K1101</f>
        <v>0.59</v>
      </c>
      <c r="L1102" s="19">
        <f>Ringkasan!L1101</f>
        <v>1.8</v>
      </c>
      <c r="M1102" s="19">
        <f>Ringkasan!M1101</f>
        <v>6.4</v>
      </c>
      <c r="N1102" s="64" t="str">
        <f>Ringkasan!N1101</f>
        <v/>
      </c>
      <c r="O1102" s="64" t="str">
        <f>Ringkasan!O1101</f>
        <v/>
      </c>
      <c r="P1102" s="64" t="str">
        <f>Ringkasan!P1101</f>
        <v/>
      </c>
      <c r="Q1102" s="64" t="str">
        <f>Ringkasan!Q1101</f>
        <v/>
      </c>
      <c r="R1102" s="64" t="str">
        <f>Ringkasan!R1101</f>
        <v/>
      </c>
      <c r="S1102" s="64" t="str">
        <f>Ringkasan!S1101</f>
        <v/>
      </c>
      <c r="T1102" s="64" t="str">
        <f>Ringkasan!T1101</f>
        <v/>
      </c>
      <c r="U1102" s="64">
        <f>Ringkasan!U1101</f>
        <v>50</v>
      </c>
      <c r="V1102" s="64">
        <f>Ringkasan!V1101</f>
        <v>0</v>
      </c>
      <c r="W1102" s="64" t="str">
        <f>Ringkasan!W1101</f>
        <v/>
      </c>
      <c r="X1102" s="64" t="str">
        <f>Ringkasan!X1101</f>
        <v/>
      </c>
      <c r="Y1102" s="64" t="str">
        <f>Ringkasan!Y1101</f>
        <v/>
      </c>
      <c r="Z1102" s="64">
        <f>Ringkasan!Z1101</f>
        <v>0</v>
      </c>
      <c r="AA1102" s="64" t="str">
        <f>Ringkasan!AA1101</f>
        <v>IT Services &amp; Consulting</v>
      </c>
      <c r="AB1102" s="64" t="str">
        <f>Ringkasan!AB1101</f>
        <v>Technology</v>
      </c>
    </row>
    <row r="1103" hidden="1">
      <c r="A1103" s="64" t="str">
        <f>Ringkasan!A1102</f>
        <v>LMAX</v>
      </c>
      <c r="B1103" s="64" t="str">
        <f>Ringkasan!B1102</f>
        <v>PT Lupromax Pelumas Indonesia Tbk.</v>
      </c>
      <c r="C1103" s="65">
        <f>Ringkasan!C1102</f>
        <v>81</v>
      </c>
      <c r="D1103" s="64" t="str">
        <f>Ringkasan!D1102</f>
        <v>#N/A</v>
      </c>
      <c r="E1103" s="64" t="str">
        <f>Ringkasan!E1102</f>
        <v/>
      </c>
      <c r="F1103" s="64" t="str">
        <f>Ringkasan!F1102</f>
        <v/>
      </c>
      <c r="G1103" s="64">
        <f>Ringkasan!G1102</f>
        <v>0</v>
      </c>
      <c r="H1103" s="19">
        <f>Ringkasan!H1102</f>
        <v>100</v>
      </c>
      <c r="I1103" s="19">
        <f>Ringkasan!I1102</f>
        <v>1.5</v>
      </c>
      <c r="J1103" s="19">
        <f>Ringkasan!J1102</f>
        <v>1.4</v>
      </c>
      <c r="K1103" s="19">
        <f>Ringkasan!K1102</f>
        <v>1</v>
      </c>
      <c r="L1103" s="19">
        <f>Ringkasan!L1102</f>
        <v>0.38</v>
      </c>
      <c r="M1103" s="19">
        <f>Ringkasan!M1102</f>
        <v>1.1</v>
      </c>
      <c r="N1103" s="64" t="str">
        <f>Ringkasan!N1102</f>
        <v/>
      </c>
      <c r="O1103" s="64" t="str">
        <f>Ringkasan!O1102</f>
        <v/>
      </c>
      <c r="P1103" s="64" t="str">
        <f>Ringkasan!P1102</f>
        <v/>
      </c>
      <c r="Q1103" s="64" t="str">
        <f>Ringkasan!Q1102</f>
        <v/>
      </c>
      <c r="R1103" s="64" t="str">
        <f>Ringkasan!R1102</f>
        <v/>
      </c>
      <c r="S1103" s="64" t="str">
        <f>Ringkasan!S1102</f>
        <v/>
      </c>
      <c r="T1103" s="64" t="str">
        <f>Ringkasan!T1102</f>
        <v/>
      </c>
      <c r="U1103" s="64">
        <f>Ringkasan!U1102</f>
        <v>13.36</v>
      </c>
      <c r="V1103" s="64">
        <f>Ringkasan!V1102</f>
        <v>0.22</v>
      </c>
      <c r="W1103" s="64">
        <f>Ringkasan!W1102</f>
        <v>13.45</v>
      </c>
      <c r="X1103" s="64">
        <f>Ringkasan!X1102</f>
        <v>13.45</v>
      </c>
      <c r="Y1103" s="64">
        <f>Ringkasan!Y1102</f>
        <v>13.35</v>
      </c>
      <c r="Z1103" s="64">
        <f>Ringkasan!Z1102</f>
        <v>40825</v>
      </c>
      <c r="AA1103" s="64" t="str">
        <f>Ringkasan!AA1102</f>
        <v>Auto Components</v>
      </c>
      <c r="AB1103" s="64" t="str">
        <f>Ringkasan!AB1102</f>
        <v>Consumer Cyclicals</v>
      </c>
    </row>
    <row r="1104" hidden="1">
      <c r="A1104" s="64" t="str">
        <f>Ringkasan!A1103</f>
        <v>LMPI</v>
      </c>
      <c r="B1104" s="64" t="str">
        <f>Ringkasan!B1103</f>
        <v>Langgeng Makmur Industri Tbk</v>
      </c>
      <c r="C1104" s="65">
        <f>Ringkasan!C1103</f>
        <v>137</v>
      </c>
      <c r="D1104" s="64" t="str">
        <f>Ringkasan!D1103</f>
        <v>#N/A</v>
      </c>
      <c r="E1104" s="64" t="str">
        <f>Ringkasan!E1103</f>
        <v/>
      </c>
      <c r="F1104" s="64" t="str">
        <f>Ringkasan!F1103</f>
        <v/>
      </c>
      <c r="G1104" s="64">
        <f>Ringkasan!G1103</f>
        <v>0</v>
      </c>
      <c r="H1104" s="19">
        <f>Ringkasan!H1103</f>
        <v>-1.7</v>
      </c>
      <c r="I1104" s="19">
        <f>Ringkasan!I1103</f>
        <v>4.1</v>
      </c>
      <c r="J1104" s="19">
        <f>Ringkasan!J1103</f>
        <v>-250</v>
      </c>
      <c r="K1104" s="19">
        <f>Ringkasan!K1103</f>
        <v>-15.1</v>
      </c>
      <c r="L1104" s="19">
        <f>Ringkasan!L1103</f>
        <v>15.4</v>
      </c>
      <c r="M1104" s="19">
        <f>Ringkasan!M1103</f>
        <v>-130</v>
      </c>
      <c r="N1104" s="64" t="str">
        <f>Ringkasan!N1103</f>
        <v/>
      </c>
      <c r="O1104" s="64" t="str">
        <f>Ringkasan!O1103</f>
        <v/>
      </c>
      <c r="P1104" s="64" t="str">
        <f>Ringkasan!P1103</f>
        <v/>
      </c>
      <c r="Q1104" s="64" t="str">
        <f>Ringkasan!Q1103</f>
        <v/>
      </c>
      <c r="R1104" s="64" t="str">
        <f>Ringkasan!R1103</f>
        <v/>
      </c>
      <c r="S1104" s="64" t="str">
        <f>Ringkasan!S1103</f>
        <v/>
      </c>
      <c r="T1104" s="64" t="str">
        <f>Ringkasan!T1103</f>
        <v/>
      </c>
      <c r="U1104" s="64">
        <f>Ringkasan!U1103</f>
        <v>130</v>
      </c>
      <c r="V1104" s="64">
        <f>Ringkasan!V1103</f>
        <v>5.38</v>
      </c>
      <c r="W1104" s="64">
        <f>Ringkasan!W1103</f>
        <v>129</v>
      </c>
      <c r="X1104" s="64">
        <f>Ringkasan!X1103</f>
        <v>137</v>
      </c>
      <c r="Y1104" s="64">
        <f>Ringkasan!Y1103</f>
        <v>129</v>
      </c>
      <c r="Z1104" s="64">
        <f>Ringkasan!Z1103</f>
        <v>175100</v>
      </c>
      <c r="AA1104" s="64" t="str">
        <f>Ringkasan!AA1103</f>
        <v>Household Goods</v>
      </c>
      <c r="AB1104" s="64" t="str">
        <f>Ringkasan!AB1103</f>
        <v>Consumer Cyclicals</v>
      </c>
    </row>
    <row r="1105" hidden="1">
      <c r="A1105" s="64" t="str">
        <f>Ringkasan!A1104</f>
        <v>LMSH</v>
      </c>
      <c r="B1105" s="64" t="str">
        <f>Ringkasan!B1104</f>
        <v>Lionmesh Prima Tbk.</v>
      </c>
      <c r="C1105" s="65">
        <f>Ringkasan!C1104</f>
        <v>256</v>
      </c>
      <c r="D1105" s="64" t="str">
        <f>Ringkasan!D1104</f>
        <v>#N/A</v>
      </c>
      <c r="E1105" s="64" t="str">
        <f>Ringkasan!E1104</f>
        <v/>
      </c>
      <c r="F1105" s="64" t="str">
        <f>Ringkasan!F1104</f>
        <v/>
      </c>
      <c r="G1105" s="64">
        <f>Ringkasan!G1104</f>
        <v>0</v>
      </c>
      <c r="H1105" s="19">
        <f>Ringkasan!H1104</f>
        <v>-5.1</v>
      </c>
      <c r="I1105" s="19">
        <f>Ringkasan!I1104</f>
        <v>0.27</v>
      </c>
      <c r="J1105" s="19">
        <f>Ringkasan!J1104</f>
        <v>-5.3</v>
      </c>
      <c r="K1105" s="19">
        <f>Ringkasan!K1104</f>
        <v>-4.4</v>
      </c>
      <c r="L1105" s="19">
        <f>Ringkasan!L1104</f>
        <v>0.18</v>
      </c>
      <c r="M1105" s="19">
        <f>Ringkasan!M1104</f>
        <v>-27.9</v>
      </c>
      <c r="N1105" s="64" t="str">
        <f>Ringkasan!N1104</f>
        <v/>
      </c>
      <c r="O1105" s="64" t="str">
        <f>Ringkasan!O1104</f>
        <v/>
      </c>
      <c r="P1105" s="64" t="str">
        <f>Ringkasan!P1104</f>
        <v/>
      </c>
      <c r="Q1105" s="64" t="str">
        <f>Ringkasan!Q1104</f>
        <v/>
      </c>
      <c r="R1105" s="64" t="str">
        <f>Ringkasan!R1104</f>
        <v/>
      </c>
      <c r="S1105" s="64" t="str">
        <f>Ringkasan!S1104</f>
        <v/>
      </c>
      <c r="T1105" s="64" t="str">
        <f>Ringkasan!T1104</f>
        <v/>
      </c>
      <c r="U1105" s="64">
        <f>Ringkasan!U1104</f>
        <v>256</v>
      </c>
      <c r="V1105" s="64">
        <f>Ringkasan!V1104</f>
        <v>0</v>
      </c>
      <c r="W1105" s="64" t="str">
        <f>Ringkasan!W1104</f>
        <v/>
      </c>
      <c r="X1105" s="64" t="str">
        <f>Ringkasan!X1104</f>
        <v/>
      </c>
      <c r="Y1105" s="64" t="str">
        <f>Ringkasan!Y1104</f>
        <v/>
      </c>
      <c r="Z1105" s="64">
        <f>Ringkasan!Z1104</f>
        <v>0</v>
      </c>
      <c r="AA1105" s="64" t="str">
        <f>Ringkasan!AA1104</f>
        <v>Metals &amp; Minerals</v>
      </c>
      <c r="AB1105" s="64" t="str">
        <f>Ringkasan!AB1104</f>
        <v>Basic Materials</v>
      </c>
    </row>
    <row r="1106" hidden="1">
      <c r="A1106" s="64" t="str">
        <f>Ringkasan!A1105</f>
        <v>LOPI</v>
      </c>
      <c r="B1106" s="64" t="str">
        <f>Ringkasan!B1105</f>
        <v>PT Logisticsplus International Tbk</v>
      </c>
      <c r="C1106" s="65">
        <f>Ringkasan!C1105</f>
        <v>62</v>
      </c>
      <c r="D1106" s="64" t="str">
        <f>Ringkasan!D1105</f>
        <v>#N/A</v>
      </c>
      <c r="E1106" s="64" t="str">
        <f>Ringkasan!E1105</f>
        <v/>
      </c>
      <c r="F1106" s="64" t="str">
        <f>Ringkasan!F1105</f>
        <v/>
      </c>
      <c r="G1106" s="64">
        <f>Ringkasan!G1105</f>
        <v>0</v>
      </c>
      <c r="H1106" s="19">
        <f>Ringkasan!H1105</f>
        <v>31.3</v>
      </c>
      <c r="I1106" s="19">
        <f>Ringkasan!I1105</f>
        <v>1.8</v>
      </c>
      <c r="J1106" s="19">
        <f>Ringkasan!J1105</f>
        <v>5.6</v>
      </c>
      <c r="K1106" s="19">
        <f>Ringkasan!K1105</f>
        <v>3.3</v>
      </c>
      <c r="L1106" s="19">
        <f>Ringkasan!L1105</f>
        <v>0.73</v>
      </c>
      <c r="M1106" s="19">
        <f>Ringkasan!M1105</f>
        <v>2.7</v>
      </c>
      <c r="N1106" s="64" t="str">
        <f>Ringkasan!N1105</f>
        <v/>
      </c>
      <c r="O1106" s="64" t="str">
        <f>Ringkasan!O1105</f>
        <v/>
      </c>
      <c r="P1106" s="64" t="str">
        <f>Ringkasan!P1105</f>
        <v/>
      </c>
      <c r="Q1106" s="64" t="str">
        <f>Ringkasan!Q1105</f>
        <v/>
      </c>
      <c r="R1106" s="64" t="str">
        <f>Ringkasan!R1105</f>
        <v/>
      </c>
      <c r="S1106" s="64" t="str">
        <f>Ringkasan!S1105</f>
        <v/>
      </c>
      <c r="T1106" s="64" t="str">
        <f>Ringkasan!T1105</f>
        <v/>
      </c>
      <c r="U1106" s="64">
        <f>Ringkasan!U1105</f>
        <v>60</v>
      </c>
      <c r="V1106" s="64">
        <f>Ringkasan!V1105</f>
        <v>3.33</v>
      </c>
      <c r="W1106" s="64">
        <f>Ringkasan!W1105</f>
        <v>62</v>
      </c>
      <c r="X1106" s="64">
        <f>Ringkasan!X1105</f>
        <v>65</v>
      </c>
      <c r="Y1106" s="64">
        <f>Ringkasan!Y1105</f>
        <v>58</v>
      </c>
      <c r="Z1106" s="64">
        <f>Ringkasan!Z1105</f>
        <v>2177100</v>
      </c>
      <c r="AA1106" s="64" t="str">
        <f>Ringkasan!AA1105</f>
        <v>Logistics &amp; Deliveries</v>
      </c>
      <c r="AB1106" s="64" t="str">
        <f>Ringkasan!AB1105</f>
        <v>Transportation &amp; Logistic</v>
      </c>
    </row>
    <row r="1107" hidden="1">
      <c r="A1107" s="64" t="str">
        <f>Ringkasan!A1106</f>
        <v>LPCK</v>
      </c>
      <c r="B1107" s="64" t="str">
        <f>Ringkasan!B1106</f>
        <v>Lippo Cikarang Tbk</v>
      </c>
      <c r="C1107" s="65">
        <f>Ringkasan!C1106</f>
        <v>520</v>
      </c>
      <c r="D1107" s="64" t="str">
        <f>Ringkasan!D1106</f>
        <v>#N/A</v>
      </c>
      <c r="E1107" s="64" t="str">
        <f>Ringkasan!E1106</f>
        <v/>
      </c>
      <c r="F1107" s="64" t="str">
        <f>Ringkasan!F1106</f>
        <v/>
      </c>
      <c r="G1107" s="64">
        <f>Ringkasan!G1106</f>
        <v>0</v>
      </c>
      <c r="H1107" s="19">
        <f>Ringkasan!H1106</f>
        <v>16.9</v>
      </c>
      <c r="I1107" s="19">
        <f>Ringkasan!I1106</f>
        <v>0.38</v>
      </c>
      <c r="J1107" s="19">
        <f>Ringkasan!J1106</f>
        <v>2.3</v>
      </c>
      <c r="K1107" s="19">
        <f>Ringkasan!K1106</f>
        <v>1.4</v>
      </c>
      <c r="L1107" s="19">
        <f>Ringkasan!L1106</f>
        <v>0.65</v>
      </c>
      <c r="M1107" s="19">
        <f>Ringkasan!M1106</f>
        <v>20</v>
      </c>
      <c r="N1107" s="64" t="str">
        <f>Ringkasan!N1106</f>
        <v/>
      </c>
      <c r="O1107" s="64" t="str">
        <f>Ringkasan!O1106</f>
        <v/>
      </c>
      <c r="P1107" s="64" t="str">
        <f>Ringkasan!P1106</f>
        <v/>
      </c>
      <c r="Q1107" s="64" t="str">
        <f>Ringkasan!Q1106</f>
        <v/>
      </c>
      <c r="R1107" s="64" t="str">
        <f>Ringkasan!R1106</f>
        <v/>
      </c>
      <c r="S1107" s="64" t="str">
        <f>Ringkasan!S1106</f>
        <v/>
      </c>
      <c r="T1107" s="64" t="str">
        <f>Ringkasan!T1106</f>
        <v/>
      </c>
      <c r="U1107" s="64">
        <f>Ringkasan!U1106</f>
        <v>520</v>
      </c>
      <c r="V1107" s="64">
        <f>Ringkasan!V1106</f>
        <v>0</v>
      </c>
      <c r="W1107" s="64">
        <f>Ringkasan!W1106</f>
        <v>550</v>
      </c>
      <c r="X1107" s="64">
        <f>Ringkasan!X1106</f>
        <v>550</v>
      </c>
      <c r="Y1107" s="64" t="str">
        <f>Ringkasan!Y1106</f>
        <v/>
      </c>
      <c r="Z1107" s="64">
        <f>Ringkasan!Z1106</f>
        <v>332300</v>
      </c>
      <c r="AA1107" s="64" t="str">
        <f>Ringkasan!AA1106</f>
        <v>Real Estate Management &amp; Development</v>
      </c>
      <c r="AB1107" s="64" t="str">
        <f>Ringkasan!AB1106</f>
        <v>Properties &amp; Real Estate</v>
      </c>
    </row>
    <row r="1108" hidden="1">
      <c r="A1108" s="64" t="str">
        <f>Ringkasan!A1107</f>
        <v>LPGI</v>
      </c>
      <c r="B1108" s="64" t="str">
        <f>Ringkasan!B1107</f>
        <v>Lippo General Insurance Tbk.</v>
      </c>
      <c r="C1108" s="65">
        <f>Ringkasan!C1107</f>
        <v>660</v>
      </c>
      <c r="D1108" s="64" t="str">
        <f>Ringkasan!D1107</f>
        <v>#N/A</v>
      </c>
      <c r="E1108" s="64" t="str">
        <f>Ringkasan!E1107</f>
        <v/>
      </c>
      <c r="F1108" s="64" t="str">
        <f>Ringkasan!F1107</f>
        <v/>
      </c>
      <c r="G1108" s="64">
        <f>Ringkasan!G1107</f>
        <v>0</v>
      </c>
      <c r="H1108" s="19">
        <f>Ringkasan!H1107</f>
        <v>14</v>
      </c>
      <c r="I1108" s="19">
        <f>Ringkasan!I1107</f>
        <v>2</v>
      </c>
      <c r="J1108" s="19">
        <f>Ringkasan!J1107</f>
        <v>14</v>
      </c>
      <c r="K1108" s="19">
        <f>Ringkasan!K1107</f>
        <v>4.2</v>
      </c>
      <c r="L1108" s="19">
        <f>Ringkasan!L1107</f>
        <v>2.3</v>
      </c>
      <c r="M1108" s="19">
        <f>Ringkasan!M1107</f>
        <v>13</v>
      </c>
      <c r="N1108" s="64" t="str">
        <f>Ringkasan!N1107</f>
        <v/>
      </c>
      <c r="O1108" s="64" t="str">
        <f>Ringkasan!O1107</f>
        <v/>
      </c>
      <c r="P1108" s="64" t="str">
        <f>Ringkasan!P1107</f>
        <v/>
      </c>
      <c r="Q1108" s="64" t="str">
        <f>Ringkasan!Q1107</f>
        <v/>
      </c>
      <c r="R1108" s="64" t="str">
        <f>Ringkasan!R1107</f>
        <v/>
      </c>
      <c r="S1108" s="64" t="str">
        <f>Ringkasan!S1107</f>
        <v/>
      </c>
      <c r="T1108" s="64" t="str">
        <f>Ringkasan!T1107</f>
        <v/>
      </c>
      <c r="U1108" s="64">
        <f>Ringkasan!U1107</f>
        <v>660</v>
      </c>
      <c r="V1108" s="64">
        <f>Ringkasan!V1107</f>
        <v>0</v>
      </c>
      <c r="W1108" s="64">
        <f>Ringkasan!W1107</f>
        <v>675</v>
      </c>
      <c r="X1108" s="64">
        <f>Ringkasan!X1107</f>
        <v>675</v>
      </c>
      <c r="Y1108" s="64">
        <f>Ringkasan!Y1107</f>
        <v>605</v>
      </c>
      <c r="Z1108" s="64">
        <f>Ringkasan!Z1107</f>
        <v>8300</v>
      </c>
      <c r="AA1108" s="64" t="str">
        <f>Ringkasan!AA1107</f>
        <v>Insurance</v>
      </c>
      <c r="AB1108" s="64" t="str">
        <f>Ringkasan!AB1107</f>
        <v>Financials</v>
      </c>
    </row>
    <row r="1109" hidden="1">
      <c r="A1109" s="64" t="str">
        <f>Ringkasan!A1108</f>
        <v>LPIN</v>
      </c>
      <c r="B1109" s="64" t="str">
        <f>Ringkasan!B1108</f>
        <v>Multi Prima Sejahtera Tbk</v>
      </c>
      <c r="C1109" s="65">
        <f>Ringkasan!C1108</f>
        <v>396</v>
      </c>
      <c r="D1109" s="64" t="str">
        <f>Ringkasan!D1108</f>
        <v>#N/A</v>
      </c>
      <c r="E1109" s="64" t="str">
        <f>Ringkasan!E1108</f>
        <v/>
      </c>
      <c r="F1109" s="64" t="str">
        <f>Ringkasan!F1108</f>
        <v/>
      </c>
      <c r="G1109" s="64">
        <f>Ringkasan!G1108</f>
        <v>0</v>
      </c>
      <c r="H1109" s="19">
        <f>Ringkasan!H1108</f>
        <v>5.3</v>
      </c>
      <c r="I1109" s="19">
        <f>Ringkasan!I1108</f>
        <v>0.47</v>
      </c>
      <c r="J1109" s="19">
        <f>Ringkasan!J1108</f>
        <v>9</v>
      </c>
      <c r="K1109" s="19">
        <f>Ringkasan!K1108</f>
        <v>8.3</v>
      </c>
      <c r="L1109" s="19">
        <f>Ringkasan!L1108</f>
        <v>0.09</v>
      </c>
      <c r="M1109" s="19">
        <f>Ringkasan!M1108</f>
        <v>77</v>
      </c>
      <c r="N1109" s="64" t="str">
        <f>Ringkasan!N1108</f>
        <v/>
      </c>
      <c r="O1109" s="64" t="str">
        <f>Ringkasan!O1108</f>
        <v/>
      </c>
      <c r="P1109" s="64" t="str">
        <f>Ringkasan!P1108</f>
        <v/>
      </c>
      <c r="Q1109" s="64" t="str">
        <f>Ringkasan!Q1108</f>
        <v/>
      </c>
      <c r="R1109" s="64" t="str">
        <f>Ringkasan!R1108</f>
        <v/>
      </c>
      <c r="S1109" s="64" t="str">
        <f>Ringkasan!S1108</f>
        <v/>
      </c>
      <c r="T1109" s="64" t="str">
        <f>Ringkasan!T1108</f>
        <v/>
      </c>
      <c r="U1109" s="64">
        <f>Ringkasan!U1108</f>
        <v>390</v>
      </c>
      <c r="V1109" s="64">
        <f>Ringkasan!V1108</f>
        <v>1.54</v>
      </c>
      <c r="W1109" s="64">
        <f>Ringkasan!W1108</f>
        <v>390</v>
      </c>
      <c r="X1109" s="64">
        <f>Ringkasan!X1108</f>
        <v>396</v>
      </c>
      <c r="Y1109" s="64">
        <f>Ringkasan!Y1108</f>
        <v>390</v>
      </c>
      <c r="Z1109" s="64">
        <f>Ringkasan!Z1108</f>
        <v>31700</v>
      </c>
      <c r="AA1109" s="64" t="str">
        <f>Ringkasan!AA1108</f>
        <v>Auto Components</v>
      </c>
      <c r="AB1109" s="64" t="str">
        <f>Ringkasan!AB1108</f>
        <v>Consumer Cyclicals</v>
      </c>
    </row>
    <row r="1110" hidden="1">
      <c r="A1110" s="64" t="str">
        <f>Ringkasan!A1109</f>
        <v>LPKR</v>
      </c>
      <c r="B1110" s="64" t="str">
        <f>Ringkasan!B1109</f>
        <v>Lippo Karawaci Tbk.</v>
      </c>
      <c r="C1110" s="65">
        <f>Ringkasan!C1109</f>
        <v>64</v>
      </c>
      <c r="D1110" s="64" t="str">
        <f>Ringkasan!D1109</f>
        <v>#N/A</v>
      </c>
      <c r="E1110" s="64" t="str">
        <f>Ringkasan!E1109</f>
        <v/>
      </c>
      <c r="F1110" s="64" t="str">
        <f>Ringkasan!F1109</f>
        <v/>
      </c>
      <c r="G1110" s="64">
        <f>Ringkasan!G1109</f>
        <v>0</v>
      </c>
      <c r="H1110" s="19">
        <f>Ringkasan!H1109</f>
        <v>12</v>
      </c>
      <c r="I1110" s="19">
        <f>Ringkasan!I1109</f>
        <v>0.16</v>
      </c>
      <c r="J1110" s="19">
        <f>Ringkasan!J1109</f>
        <v>1.3</v>
      </c>
      <c r="K1110" s="19">
        <f>Ringkasan!K1109</f>
        <v>0.84</v>
      </c>
      <c r="L1110" s="19">
        <f>Ringkasan!L1109</f>
        <v>0.59</v>
      </c>
      <c r="M1110" s="19">
        <f>Ringkasan!M1109</f>
        <v>22.6</v>
      </c>
      <c r="N1110" s="64" t="str">
        <f>Ringkasan!N1109</f>
        <v/>
      </c>
      <c r="O1110" s="64" t="str">
        <f>Ringkasan!O1109</f>
        <v/>
      </c>
      <c r="P1110" s="64" t="str">
        <f>Ringkasan!P1109</f>
        <v/>
      </c>
      <c r="Q1110" s="64" t="str">
        <f>Ringkasan!Q1109</f>
        <v/>
      </c>
      <c r="R1110" s="64" t="str">
        <f>Ringkasan!R1109</f>
        <v/>
      </c>
      <c r="S1110" s="64" t="str">
        <f>Ringkasan!S1109</f>
        <v/>
      </c>
      <c r="T1110" s="64" t="str">
        <f>Ringkasan!T1109</f>
        <v/>
      </c>
      <c r="U1110" s="64">
        <f>Ringkasan!U1109</f>
        <v>61</v>
      </c>
      <c r="V1110" s="64">
        <f>Ringkasan!V1109</f>
        <v>4.92</v>
      </c>
      <c r="W1110" s="64" t="str">
        <f>Ringkasan!W1109</f>
        <v/>
      </c>
      <c r="X1110" s="64">
        <f>Ringkasan!X1109</f>
        <v>65</v>
      </c>
      <c r="Y1110" s="64">
        <f>Ringkasan!Y1109</f>
        <v>62</v>
      </c>
      <c r="Z1110" s="64">
        <f>Ringkasan!Z1109</f>
        <v>76873800</v>
      </c>
      <c r="AA1110" s="64" t="str">
        <f>Ringkasan!AA1109</f>
        <v>Real Estate Management &amp; Development</v>
      </c>
      <c r="AB1110" s="64" t="str">
        <f>Ringkasan!AB1109</f>
        <v>Properties &amp; Real Estate</v>
      </c>
    </row>
    <row r="1111" hidden="1">
      <c r="A1111" s="64" t="str">
        <f>Ringkasan!A1110</f>
        <v>LPLI</v>
      </c>
      <c r="B1111" s="64" t="str">
        <f>Ringkasan!B1110</f>
        <v>Star Pacific Tbk</v>
      </c>
      <c r="C1111" s="65">
        <f>Ringkasan!C1110</f>
        <v>246</v>
      </c>
      <c r="D1111" s="64" t="str">
        <f>Ringkasan!D1110</f>
        <v>#N/A</v>
      </c>
      <c r="E1111" s="64" t="str">
        <f>Ringkasan!E1110</f>
        <v/>
      </c>
      <c r="F1111" s="64" t="str">
        <f>Ringkasan!F1110</f>
        <v/>
      </c>
      <c r="G1111" s="64">
        <f>Ringkasan!G1110</f>
        <v>0</v>
      </c>
      <c r="H1111" s="19">
        <f>Ringkasan!H1110</f>
        <v>0.34</v>
      </c>
      <c r="I1111" s="19">
        <f>Ringkasan!I1110</f>
        <v>0.15</v>
      </c>
      <c r="J1111" s="19">
        <f>Ringkasan!J1110</f>
        <v>44.1</v>
      </c>
      <c r="K1111" s="19">
        <f>Ringkasan!K1110</f>
        <v>43.6</v>
      </c>
      <c r="L1111" s="19">
        <f>Ringkasan!L1110</f>
        <v>0.01</v>
      </c>
      <c r="M1111" s="19">
        <f>Ringkasan!M1110</f>
        <v>34000</v>
      </c>
      <c r="N1111" s="64" t="str">
        <f>Ringkasan!N1110</f>
        <v/>
      </c>
      <c r="O1111" s="64" t="str">
        <f>Ringkasan!O1110</f>
        <v/>
      </c>
      <c r="P1111" s="64" t="str">
        <f>Ringkasan!P1110</f>
        <v/>
      </c>
      <c r="Q1111" s="64" t="str">
        <f>Ringkasan!Q1110</f>
        <v/>
      </c>
      <c r="R1111" s="64" t="str">
        <f>Ringkasan!R1110</f>
        <v/>
      </c>
      <c r="S1111" s="64" t="str">
        <f>Ringkasan!S1110</f>
        <v/>
      </c>
      <c r="T1111" s="64" t="str">
        <f>Ringkasan!T1110</f>
        <v/>
      </c>
      <c r="U1111" s="64">
        <f>Ringkasan!U1110</f>
        <v>240</v>
      </c>
      <c r="V1111" s="64">
        <f>Ringkasan!V1110</f>
        <v>2.5</v>
      </c>
      <c r="W1111" s="64" t="str">
        <f>Ringkasan!W1110</f>
        <v/>
      </c>
      <c r="X1111" s="64">
        <f>Ringkasan!X1110</f>
        <v>246</v>
      </c>
      <c r="Y1111" s="64">
        <f>Ringkasan!Y1110</f>
        <v>224</v>
      </c>
      <c r="Z1111" s="64">
        <f>Ringkasan!Z1110</f>
        <v>83400</v>
      </c>
      <c r="AA1111" s="64" t="str">
        <f>Ringkasan!AA1110</f>
        <v>Real Estate Management &amp; Development</v>
      </c>
      <c r="AB1111" s="64" t="str">
        <f>Ringkasan!AB1110</f>
        <v>Properties &amp; Real Estate</v>
      </c>
    </row>
    <row r="1112" hidden="1">
      <c r="A1112" s="64" t="str">
        <f>Ringkasan!A1111</f>
        <v>LPPF</v>
      </c>
      <c r="B1112" s="64" t="str">
        <f>Ringkasan!B1111</f>
        <v>MDS Retailing Tbk.</v>
      </c>
      <c r="C1112" s="65">
        <f>Ringkasan!C1111</f>
        <v>1595</v>
      </c>
      <c r="D1112" s="64" t="str">
        <f>Ringkasan!D1111</f>
        <v>#N/A</v>
      </c>
      <c r="E1112" s="64" t="str">
        <f>Ringkasan!E1111</f>
        <v/>
      </c>
      <c r="F1112" s="64" t="str">
        <f>Ringkasan!F1111</f>
        <v/>
      </c>
      <c r="G1112" s="64">
        <f>Ringkasan!G1111</f>
        <v>0</v>
      </c>
      <c r="H1112" s="19">
        <f>Ringkasan!H1111</f>
        <v>4.7</v>
      </c>
      <c r="I1112" s="19">
        <f>Ringkasan!I1111</f>
        <v>3.6</v>
      </c>
      <c r="J1112" s="19">
        <f>Ringkasan!J1111</f>
        <v>76.8</v>
      </c>
      <c r="K1112" s="19">
        <f>Ringkasan!K1111</f>
        <v>11.3</v>
      </c>
      <c r="L1112" s="19">
        <f>Ringkasan!L1111</f>
        <v>5.8</v>
      </c>
      <c r="M1112" s="19">
        <f>Ringkasan!M1111</f>
        <v>31.1</v>
      </c>
      <c r="N1112" s="64" t="str">
        <f>Ringkasan!N1111</f>
        <v/>
      </c>
      <c r="O1112" s="64" t="str">
        <f>Ringkasan!O1111</f>
        <v/>
      </c>
      <c r="P1112" s="64" t="str">
        <f>Ringkasan!P1111</f>
        <v/>
      </c>
      <c r="Q1112" s="64" t="str">
        <f>Ringkasan!Q1111</f>
        <v/>
      </c>
      <c r="R1112" s="64" t="str">
        <f>Ringkasan!R1111</f>
        <v/>
      </c>
      <c r="S1112" s="64" t="str">
        <f>Ringkasan!S1111</f>
        <v/>
      </c>
      <c r="T1112" s="64" t="str">
        <f>Ringkasan!T1111</f>
        <v/>
      </c>
      <c r="U1112" s="64">
        <f>Ringkasan!U1111</f>
        <v>1540</v>
      </c>
      <c r="V1112" s="64">
        <f>Ringkasan!V1111</f>
        <v>3.57</v>
      </c>
      <c r="W1112" s="64">
        <f>Ringkasan!W1111</f>
        <v>1540</v>
      </c>
      <c r="X1112" s="64">
        <f>Ringkasan!X1111</f>
        <v>1595</v>
      </c>
      <c r="Y1112" s="64">
        <f>Ringkasan!Y1111</f>
        <v>1540</v>
      </c>
      <c r="Z1112" s="64">
        <f>Ringkasan!Z1111</f>
        <v>1279900</v>
      </c>
      <c r="AA1112" s="64" t="str">
        <f>Ringkasan!AA1111</f>
        <v>Department Stores</v>
      </c>
      <c r="AB1112" s="64" t="str">
        <f>Ringkasan!AB1111</f>
        <v>Consumer Cyclicals</v>
      </c>
    </row>
    <row r="1113" hidden="1">
      <c r="A1113" s="64" t="str">
        <f>Ringkasan!A1112</f>
        <v>LPPS</v>
      </c>
      <c r="B1113" s="64" t="str">
        <f>Ringkasan!B1112</f>
        <v>PT Lenox Pasifik Investama Tbk</v>
      </c>
      <c r="C1113" s="65">
        <f>Ringkasan!C1112</f>
        <v>68</v>
      </c>
      <c r="D1113" s="64" t="str">
        <f>Ringkasan!D1112</f>
        <v>#N/A</v>
      </c>
      <c r="E1113" s="64" t="str">
        <f>Ringkasan!E1112</f>
        <v/>
      </c>
      <c r="F1113" s="64" t="str">
        <f>Ringkasan!F1112</f>
        <v/>
      </c>
      <c r="G1113" s="65">
        <f>Ringkasan!G1112</f>
        <v>0</v>
      </c>
      <c r="H1113" s="19">
        <f>Ringkasan!H1112</f>
        <v>13.1</v>
      </c>
      <c r="I1113" s="19">
        <f>Ringkasan!I1112</f>
        <v>0.26</v>
      </c>
      <c r="J1113" s="19">
        <f>Ringkasan!J1112</f>
        <v>2</v>
      </c>
      <c r="K1113" s="19">
        <f>Ringkasan!K1112</f>
        <v>2</v>
      </c>
      <c r="L1113" s="19">
        <f>Ringkasan!L1112</f>
        <v>0</v>
      </c>
      <c r="M1113" s="19">
        <f>Ringkasan!M1112</f>
        <v>16000</v>
      </c>
      <c r="N1113" s="64" t="str">
        <f>Ringkasan!N1112</f>
        <v/>
      </c>
      <c r="O1113" s="64" t="str">
        <f>Ringkasan!O1112</f>
        <v/>
      </c>
      <c r="P1113" s="64" t="str">
        <f>Ringkasan!P1112</f>
        <v/>
      </c>
      <c r="Q1113" s="64" t="str">
        <f>Ringkasan!Q1112</f>
        <v/>
      </c>
      <c r="R1113" s="64" t="str">
        <f>Ringkasan!R1112</f>
        <v/>
      </c>
      <c r="S1113" s="64" t="str">
        <f>Ringkasan!S1112</f>
        <v/>
      </c>
      <c r="T1113" s="64" t="str">
        <f>Ringkasan!T1112</f>
        <v/>
      </c>
      <c r="U1113" s="64">
        <f>Ringkasan!U1112</f>
        <v>66</v>
      </c>
      <c r="V1113" s="64">
        <f>Ringkasan!V1112</f>
        <v>3.03</v>
      </c>
      <c r="W1113" s="64">
        <f>Ringkasan!W1112</f>
        <v>67</v>
      </c>
      <c r="X1113" s="64">
        <f>Ringkasan!X1112</f>
        <v>71</v>
      </c>
      <c r="Y1113" s="64">
        <f>Ringkasan!Y1112</f>
        <v>67</v>
      </c>
      <c r="Z1113" s="64">
        <f>Ringkasan!Z1112</f>
        <v>1177900</v>
      </c>
      <c r="AA1113" s="64" t="str">
        <f>Ringkasan!AA1112</f>
        <v>Holding &amp; Investment Companies</v>
      </c>
      <c r="AB1113" s="64" t="str">
        <f>Ringkasan!AB1112</f>
        <v>Financials</v>
      </c>
    </row>
    <row r="1114" hidden="1">
      <c r="A1114" s="64" t="str">
        <f>Ringkasan!A1113</f>
        <v>LRNA</v>
      </c>
      <c r="B1114" s="64" t="str">
        <f>Ringkasan!B1113</f>
        <v>PT Eka Sari Lorena Transport Tbk.</v>
      </c>
      <c r="C1114" s="65">
        <f>Ringkasan!C1113</f>
        <v>181</v>
      </c>
      <c r="D1114" s="64" t="str">
        <f>Ringkasan!D1113</f>
        <v>#N/A</v>
      </c>
      <c r="E1114" s="64" t="str">
        <f>Ringkasan!E1113</f>
        <v/>
      </c>
      <c r="F1114" s="64" t="str">
        <f>Ringkasan!F1113</f>
        <v/>
      </c>
      <c r="G1114" s="64">
        <f>Ringkasan!G1113</f>
        <v>0</v>
      </c>
      <c r="H1114" s="19">
        <f>Ringkasan!H1113</f>
        <v>-2.9</v>
      </c>
      <c r="I1114" s="19">
        <f>Ringkasan!I1113</f>
        <v>0.26</v>
      </c>
      <c r="J1114" s="19">
        <f>Ringkasan!J1113</f>
        <v>-8.8</v>
      </c>
      <c r="K1114" s="19">
        <f>Ringkasan!K1113</f>
        <v>-7.7</v>
      </c>
      <c r="L1114" s="19">
        <f>Ringkasan!L1113</f>
        <v>0.14</v>
      </c>
      <c r="M1114" s="19">
        <f>Ringkasan!M1113</f>
        <v>-160</v>
      </c>
      <c r="N1114" s="64" t="str">
        <f>Ringkasan!N1113</f>
        <v/>
      </c>
      <c r="O1114" s="64" t="str">
        <f>Ringkasan!O1113</f>
        <v/>
      </c>
      <c r="P1114" s="64" t="str">
        <f>Ringkasan!P1113</f>
        <v/>
      </c>
      <c r="Q1114" s="64" t="str">
        <f>Ringkasan!Q1113</f>
        <v/>
      </c>
      <c r="R1114" s="64" t="str">
        <f>Ringkasan!R1113</f>
        <v/>
      </c>
      <c r="S1114" s="64" t="str">
        <f>Ringkasan!S1113</f>
        <v/>
      </c>
      <c r="T1114" s="64" t="str">
        <f>Ringkasan!T1113</f>
        <v/>
      </c>
      <c r="U1114" s="64">
        <f>Ringkasan!U1113</f>
        <v>174</v>
      </c>
      <c r="V1114" s="64" t="str">
        <f>Ringkasan!V1113</f>
        <v/>
      </c>
      <c r="W1114" s="64">
        <f>Ringkasan!W1113</f>
        <v>173</v>
      </c>
      <c r="X1114" s="64">
        <f>Ringkasan!X1113</f>
        <v>182</v>
      </c>
      <c r="Y1114" s="64">
        <f>Ringkasan!Y1113</f>
        <v>173</v>
      </c>
      <c r="Z1114" s="64">
        <f>Ringkasan!Z1113</f>
        <v>264800</v>
      </c>
      <c r="AA1114" s="64" t="str">
        <f>Ringkasan!AA1113</f>
        <v>Passenger Land Transportation</v>
      </c>
      <c r="AB1114" s="64" t="str">
        <f>Ringkasan!AB1113</f>
        <v>Transportation &amp; Logistic</v>
      </c>
    </row>
    <row r="1115" hidden="1">
      <c r="A1115" s="64" t="str">
        <f>Ringkasan!A1114</f>
        <v>LSIP</v>
      </c>
      <c r="B1115" s="64" t="str">
        <f>Ringkasan!B1114</f>
        <v>PP London Sumatra Indonesia Tbk</v>
      </c>
      <c r="C1115" s="65">
        <f>Ringkasan!C1114</f>
        <v>1250</v>
      </c>
      <c r="D1115" s="64" t="str">
        <f>Ringkasan!D1114</f>
        <v>#N/A</v>
      </c>
      <c r="E1115" s="64" t="str">
        <f>Ringkasan!E1114</f>
        <v>IDXSHAGROW</v>
      </c>
      <c r="F1115" s="66">
        <f>Ringkasan!F1114</f>
        <v>46356</v>
      </c>
      <c r="G1115" s="65">
        <f>Ringkasan!G1114</f>
        <v>5</v>
      </c>
      <c r="H1115" s="19">
        <f>Ringkasan!H1114</f>
        <v>4.7</v>
      </c>
      <c r="I1115" s="19">
        <f>Ringkasan!I1114</f>
        <v>0.61</v>
      </c>
      <c r="J1115" s="19">
        <f>Ringkasan!J1114</f>
        <v>13.1</v>
      </c>
      <c r="K1115" s="19">
        <f>Ringkasan!K1114</f>
        <v>12</v>
      </c>
      <c r="L1115" s="19">
        <f>Ringkasan!L1114</f>
        <v>0.1</v>
      </c>
      <c r="M1115" s="19">
        <f>Ringkasan!M1114</f>
        <v>140</v>
      </c>
      <c r="N1115" s="64" t="str">
        <f>Ringkasan!N1114</f>
        <v/>
      </c>
      <c r="O1115" s="64" t="str">
        <f>Ringkasan!O1114</f>
        <v/>
      </c>
      <c r="P1115" s="64" t="str">
        <f>Ringkasan!P1114</f>
        <v/>
      </c>
      <c r="Q1115" s="64" t="str">
        <f>Ringkasan!Q1114</f>
        <v/>
      </c>
      <c r="R1115" s="64" t="str">
        <f>Ringkasan!R1114</f>
        <v/>
      </c>
      <c r="S1115" s="64" t="str">
        <f>Ringkasan!S1114</f>
        <v/>
      </c>
      <c r="T1115" s="64" t="str">
        <f>Ringkasan!T1114</f>
        <v/>
      </c>
      <c r="U1115" s="64">
        <f>Ringkasan!U1114</f>
        <v>1195</v>
      </c>
      <c r="V1115" s="64">
        <f>Ringkasan!V1114</f>
        <v>4.6</v>
      </c>
      <c r="W1115" s="64">
        <f>Ringkasan!W1114</f>
        <v>1200</v>
      </c>
      <c r="X1115" s="64">
        <f>Ringkasan!X1114</f>
        <v>1285</v>
      </c>
      <c r="Y1115" s="64">
        <f>Ringkasan!Y1114</f>
        <v>1200</v>
      </c>
      <c r="Z1115" s="64">
        <f>Ringkasan!Z1114</f>
        <v>19224200</v>
      </c>
      <c r="AA1115" s="64" t="str">
        <f>Ringkasan!AA1114</f>
        <v>Agricultural Products</v>
      </c>
      <c r="AB1115" s="64" t="str">
        <f>Ringkasan!AB1114</f>
        <v>Consumer Non-Cyclicals</v>
      </c>
    </row>
    <row r="1116" hidden="1">
      <c r="A1116" s="64" t="str">
        <f>Ringkasan!A1115</f>
        <v>LSIP</v>
      </c>
      <c r="B1116" s="64" t="str">
        <f>Ringkasan!B1115</f>
        <v>PP London Sumatra Indonesia Tbk</v>
      </c>
      <c r="C1116" s="65">
        <f>Ringkasan!C1115</f>
        <v>1250</v>
      </c>
      <c r="D1116" s="64" t="str">
        <f>Ringkasan!D1115</f>
        <v>#N/A</v>
      </c>
      <c r="E1116" s="64" t="str">
        <f>Ringkasan!E1115</f>
        <v>ESGSKEHATI</v>
      </c>
      <c r="F1116" s="66">
        <f>Ringkasan!F1115</f>
        <v>46356</v>
      </c>
      <c r="G1116" s="65">
        <f>Ringkasan!G1115</f>
        <v>5</v>
      </c>
      <c r="H1116" s="19">
        <f>Ringkasan!H1115</f>
        <v>4.7</v>
      </c>
      <c r="I1116" s="19">
        <f>Ringkasan!I1115</f>
        <v>0.61</v>
      </c>
      <c r="J1116" s="19">
        <f>Ringkasan!J1115</f>
        <v>13.1</v>
      </c>
      <c r="K1116" s="19">
        <f>Ringkasan!K1115</f>
        <v>12</v>
      </c>
      <c r="L1116" s="19">
        <f>Ringkasan!L1115</f>
        <v>0.1</v>
      </c>
      <c r="M1116" s="19">
        <f>Ringkasan!M1115</f>
        <v>140</v>
      </c>
      <c r="N1116" s="64" t="str">
        <f>Ringkasan!N1115</f>
        <v/>
      </c>
      <c r="O1116" s="64" t="str">
        <f>Ringkasan!O1115</f>
        <v/>
      </c>
      <c r="P1116" s="64" t="str">
        <f>Ringkasan!P1115</f>
        <v/>
      </c>
      <c r="Q1116" s="64" t="str">
        <f>Ringkasan!Q1115</f>
        <v/>
      </c>
      <c r="R1116" s="64" t="str">
        <f>Ringkasan!R1115</f>
        <v/>
      </c>
      <c r="S1116" s="64" t="str">
        <f>Ringkasan!S1115</f>
        <v/>
      </c>
      <c r="T1116" s="64" t="str">
        <f>Ringkasan!T1115</f>
        <v/>
      </c>
      <c r="U1116" s="64">
        <f>Ringkasan!U1115</f>
        <v>1195</v>
      </c>
      <c r="V1116" s="64">
        <f>Ringkasan!V1115</f>
        <v>4.6</v>
      </c>
      <c r="W1116" s="64">
        <f>Ringkasan!W1115</f>
        <v>1200</v>
      </c>
      <c r="X1116" s="64">
        <f>Ringkasan!X1115</f>
        <v>1285</v>
      </c>
      <c r="Y1116" s="64">
        <f>Ringkasan!Y1115</f>
        <v>1200</v>
      </c>
      <c r="Z1116" s="64">
        <f>Ringkasan!Z1115</f>
        <v>19224200</v>
      </c>
      <c r="AA1116" s="64" t="str">
        <f>Ringkasan!AA1115</f>
        <v>Agricultural Products</v>
      </c>
      <c r="AB1116" s="64" t="str">
        <f>Ringkasan!AB1115</f>
        <v>Consumer Non-Cyclicals</v>
      </c>
    </row>
    <row r="1117" hidden="1">
      <c r="A1117" s="64" t="str">
        <f>Ringkasan!A1116</f>
        <v>LSIP</v>
      </c>
      <c r="B1117" s="64" t="str">
        <f>Ringkasan!B1116</f>
        <v>PP London Sumatra Indonesia Tbk</v>
      </c>
      <c r="C1117" s="65">
        <f>Ringkasan!C1116</f>
        <v>1250</v>
      </c>
      <c r="D1117" s="64" t="str">
        <f>Ringkasan!D1116</f>
        <v>#N/A</v>
      </c>
      <c r="E1117" s="64" t="str">
        <f>Ringkasan!E1116</f>
        <v>IDXVESTA28</v>
      </c>
      <c r="F1117" s="64" t="str">
        <f>Ringkasan!F1116</f>
        <v>31 Agustus 2026</v>
      </c>
      <c r="G1117" s="65">
        <f>Ringkasan!G1116</f>
        <v>5</v>
      </c>
      <c r="H1117" s="19">
        <f>Ringkasan!H1116</f>
        <v>4.7</v>
      </c>
      <c r="I1117" s="19">
        <f>Ringkasan!I1116</f>
        <v>0.61</v>
      </c>
      <c r="J1117" s="19">
        <f>Ringkasan!J1116</f>
        <v>13.1</v>
      </c>
      <c r="K1117" s="19">
        <f>Ringkasan!K1116</f>
        <v>12</v>
      </c>
      <c r="L1117" s="19">
        <f>Ringkasan!L1116</f>
        <v>0.1</v>
      </c>
      <c r="M1117" s="19">
        <f>Ringkasan!M1116</f>
        <v>140</v>
      </c>
      <c r="N1117" s="64" t="str">
        <f>Ringkasan!N1116</f>
        <v/>
      </c>
      <c r="O1117" s="64" t="str">
        <f>Ringkasan!O1116</f>
        <v/>
      </c>
      <c r="P1117" s="64" t="str">
        <f>Ringkasan!P1116</f>
        <v/>
      </c>
      <c r="Q1117" s="64" t="str">
        <f>Ringkasan!Q1116</f>
        <v/>
      </c>
      <c r="R1117" s="64" t="str">
        <f>Ringkasan!R1116</f>
        <v/>
      </c>
      <c r="S1117" s="64" t="str">
        <f>Ringkasan!S1116</f>
        <v/>
      </c>
      <c r="T1117" s="64" t="str">
        <f>Ringkasan!T1116</f>
        <v/>
      </c>
      <c r="U1117" s="64">
        <f>Ringkasan!U1116</f>
        <v>1195</v>
      </c>
      <c r="V1117" s="64">
        <f>Ringkasan!V1116</f>
        <v>4.6</v>
      </c>
      <c r="W1117" s="64">
        <f>Ringkasan!W1116</f>
        <v>1200</v>
      </c>
      <c r="X1117" s="64">
        <f>Ringkasan!X1116</f>
        <v>1285</v>
      </c>
      <c r="Y1117" s="64">
        <f>Ringkasan!Y1116</f>
        <v>1200</v>
      </c>
      <c r="Z1117" s="64">
        <f>Ringkasan!Z1116</f>
        <v>19224200</v>
      </c>
      <c r="AA1117" s="64" t="str">
        <f>Ringkasan!AA1116</f>
        <v>Agricultural Products</v>
      </c>
      <c r="AB1117" s="64" t="str">
        <f>Ringkasan!AB1116</f>
        <v>Consumer Non-Cyclicals</v>
      </c>
    </row>
    <row r="1118" hidden="1">
      <c r="A1118" s="64" t="str">
        <f>Ringkasan!A1117</f>
        <v>LSIP</v>
      </c>
      <c r="B1118" s="64" t="str">
        <f>Ringkasan!B1117</f>
        <v>PP London Sumatra Indonesia Tbk</v>
      </c>
      <c r="C1118" s="65">
        <f>Ringkasan!C1117</f>
        <v>1250</v>
      </c>
      <c r="D1118" s="64" t="str">
        <f>Ringkasan!D1117</f>
        <v>#N/A</v>
      </c>
      <c r="E1118" s="64" t="str">
        <f>Ringkasan!E1117</f>
        <v>IDXSMC-LIQ</v>
      </c>
      <c r="F1118" s="64" t="str">
        <f>Ringkasan!F1117</f>
        <v>4 Agustus 2026</v>
      </c>
      <c r="G1118" s="65">
        <f>Ringkasan!G1117</f>
        <v>5</v>
      </c>
      <c r="H1118" s="19">
        <f>Ringkasan!H1117</f>
        <v>4.7</v>
      </c>
      <c r="I1118" s="19">
        <f>Ringkasan!I1117</f>
        <v>0.61</v>
      </c>
      <c r="J1118" s="19">
        <f>Ringkasan!J1117</f>
        <v>13.1</v>
      </c>
      <c r="K1118" s="19">
        <f>Ringkasan!K1117</f>
        <v>12</v>
      </c>
      <c r="L1118" s="19">
        <f>Ringkasan!L1117</f>
        <v>0.1</v>
      </c>
      <c r="M1118" s="19">
        <f>Ringkasan!M1117</f>
        <v>140</v>
      </c>
      <c r="N1118" s="64" t="str">
        <f>Ringkasan!N1117</f>
        <v/>
      </c>
      <c r="O1118" s="64" t="str">
        <f>Ringkasan!O1117</f>
        <v/>
      </c>
      <c r="P1118" s="64" t="str">
        <f>Ringkasan!P1117</f>
        <v/>
      </c>
      <c r="Q1118" s="64" t="str">
        <f>Ringkasan!Q1117</f>
        <v/>
      </c>
      <c r="R1118" s="64" t="str">
        <f>Ringkasan!R1117</f>
        <v/>
      </c>
      <c r="S1118" s="64" t="str">
        <f>Ringkasan!S1117</f>
        <v/>
      </c>
      <c r="T1118" s="64" t="str">
        <f>Ringkasan!T1117</f>
        <v/>
      </c>
      <c r="U1118" s="64">
        <f>Ringkasan!U1117</f>
        <v>1195</v>
      </c>
      <c r="V1118" s="64">
        <f>Ringkasan!V1117</f>
        <v>4.6</v>
      </c>
      <c r="W1118" s="64">
        <f>Ringkasan!W1117</f>
        <v>1200</v>
      </c>
      <c r="X1118" s="64">
        <f>Ringkasan!X1117</f>
        <v>1285</v>
      </c>
      <c r="Y1118" s="64">
        <f>Ringkasan!Y1117</f>
        <v>1200</v>
      </c>
      <c r="Z1118" s="64">
        <f>Ringkasan!Z1117</f>
        <v>19224200</v>
      </c>
      <c r="AA1118" s="64" t="str">
        <f>Ringkasan!AA1117</f>
        <v>Agricultural Products</v>
      </c>
      <c r="AB1118" s="64" t="str">
        <f>Ringkasan!AB1117</f>
        <v>Consumer Non-Cyclicals</v>
      </c>
    </row>
    <row r="1119" hidden="1">
      <c r="A1119" s="64" t="str">
        <f>Ringkasan!A1118</f>
        <v>LSIP</v>
      </c>
      <c r="B1119" s="64" t="str">
        <f>Ringkasan!B1118</f>
        <v>PP London Sumatra Indonesia Tbk</v>
      </c>
      <c r="C1119" s="65">
        <f>Ringkasan!C1118</f>
        <v>1250</v>
      </c>
      <c r="D1119" s="64" t="str">
        <f>Ringkasan!D1118</f>
        <v>#N/A</v>
      </c>
      <c r="E1119" s="64" t="str">
        <f>Ringkasan!E1118</f>
        <v>JII70</v>
      </c>
      <c r="F1119" s="66">
        <f>Ringkasan!F1118</f>
        <v>46356</v>
      </c>
      <c r="G1119" s="65">
        <f>Ringkasan!G1118</f>
        <v>5</v>
      </c>
      <c r="H1119" s="19">
        <f>Ringkasan!H1118</f>
        <v>4.7</v>
      </c>
      <c r="I1119" s="19">
        <f>Ringkasan!I1118</f>
        <v>0.61</v>
      </c>
      <c r="J1119" s="19">
        <f>Ringkasan!J1118</f>
        <v>13.1</v>
      </c>
      <c r="K1119" s="19">
        <f>Ringkasan!K1118</f>
        <v>12</v>
      </c>
      <c r="L1119" s="19">
        <f>Ringkasan!L1118</f>
        <v>0.1</v>
      </c>
      <c r="M1119" s="19">
        <f>Ringkasan!M1118</f>
        <v>140</v>
      </c>
      <c r="N1119" s="64" t="str">
        <f>Ringkasan!N1118</f>
        <v/>
      </c>
      <c r="O1119" s="64" t="str">
        <f>Ringkasan!O1118</f>
        <v/>
      </c>
      <c r="P1119" s="64" t="str">
        <f>Ringkasan!P1118</f>
        <v/>
      </c>
      <c r="Q1119" s="64" t="str">
        <f>Ringkasan!Q1118</f>
        <v/>
      </c>
      <c r="R1119" s="64" t="str">
        <f>Ringkasan!R1118</f>
        <v/>
      </c>
      <c r="S1119" s="64" t="str">
        <f>Ringkasan!S1118</f>
        <v/>
      </c>
      <c r="T1119" s="64" t="str">
        <f>Ringkasan!T1118</f>
        <v/>
      </c>
      <c r="U1119" s="64">
        <f>Ringkasan!U1118</f>
        <v>1195</v>
      </c>
      <c r="V1119" s="64">
        <f>Ringkasan!V1118</f>
        <v>4.6</v>
      </c>
      <c r="W1119" s="64">
        <f>Ringkasan!W1118</f>
        <v>1200</v>
      </c>
      <c r="X1119" s="64">
        <f>Ringkasan!X1118</f>
        <v>1285</v>
      </c>
      <c r="Y1119" s="64">
        <f>Ringkasan!Y1118</f>
        <v>1200</v>
      </c>
      <c r="Z1119" s="64">
        <f>Ringkasan!Z1118</f>
        <v>19224200</v>
      </c>
      <c r="AA1119" s="64" t="str">
        <f>Ringkasan!AA1118</f>
        <v>Agricultural Products</v>
      </c>
      <c r="AB1119" s="64" t="str">
        <f>Ringkasan!AB1118</f>
        <v>Consumer Non-Cyclicals</v>
      </c>
    </row>
    <row r="1120" hidden="1">
      <c r="A1120" s="64" t="str">
        <f>Ringkasan!A1119</f>
        <v>LTLS</v>
      </c>
      <c r="B1120" s="64" t="str">
        <f>Ringkasan!B1119</f>
        <v>Lautan Luas Tbk.</v>
      </c>
      <c r="C1120" s="65">
        <f>Ringkasan!C1119</f>
        <v>715</v>
      </c>
      <c r="D1120" s="64" t="str">
        <f>Ringkasan!D1119</f>
        <v>#N/A</v>
      </c>
      <c r="E1120" s="64" t="str">
        <f>Ringkasan!E1119</f>
        <v/>
      </c>
      <c r="F1120" s="64" t="str">
        <f>Ringkasan!F1119</f>
        <v/>
      </c>
      <c r="G1120" s="64">
        <f>Ringkasan!G1119</f>
        <v>0</v>
      </c>
      <c r="H1120" s="19">
        <f>Ringkasan!H1119</f>
        <v>8.1</v>
      </c>
      <c r="I1120" s="19">
        <f>Ringkasan!I1119</f>
        <v>0.35</v>
      </c>
      <c r="J1120" s="19">
        <f>Ringkasan!J1119</f>
        <v>4.3</v>
      </c>
      <c r="K1120" s="19">
        <f>Ringkasan!K1119</f>
        <v>2.1</v>
      </c>
      <c r="L1120" s="19">
        <f>Ringkasan!L1119</f>
        <v>1</v>
      </c>
      <c r="M1120" s="19">
        <f>Ringkasan!M1119</f>
        <v>6.6</v>
      </c>
      <c r="N1120" s="64" t="str">
        <f>Ringkasan!N1119</f>
        <v/>
      </c>
      <c r="O1120" s="64" t="str">
        <f>Ringkasan!O1119</f>
        <v/>
      </c>
      <c r="P1120" s="64" t="str">
        <f>Ringkasan!P1119</f>
        <v/>
      </c>
      <c r="Q1120" s="64" t="str">
        <f>Ringkasan!Q1119</f>
        <v/>
      </c>
      <c r="R1120" s="64" t="str">
        <f>Ringkasan!R1119</f>
        <v/>
      </c>
      <c r="S1120" s="64" t="str">
        <f>Ringkasan!S1119</f>
        <v/>
      </c>
      <c r="T1120" s="64" t="str">
        <f>Ringkasan!T1119</f>
        <v/>
      </c>
      <c r="U1120" s="64">
        <f>Ringkasan!U1119</f>
        <v>710</v>
      </c>
      <c r="V1120" s="64">
        <f>Ringkasan!V1119</f>
        <v>0.7</v>
      </c>
      <c r="W1120" s="64">
        <f>Ringkasan!W1119</f>
        <v>710</v>
      </c>
      <c r="X1120" s="64">
        <f>Ringkasan!X1119</f>
        <v>760</v>
      </c>
      <c r="Y1120" s="64">
        <f>Ringkasan!Y1119</f>
        <v>670</v>
      </c>
      <c r="Z1120" s="64">
        <f>Ringkasan!Z1119</f>
        <v>101400</v>
      </c>
      <c r="AA1120" s="64" t="str">
        <f>Ringkasan!AA1119</f>
        <v>Chemicals</v>
      </c>
      <c r="AB1120" s="64" t="str">
        <f>Ringkasan!AB1119</f>
        <v>Basic Materials</v>
      </c>
    </row>
    <row r="1121" hidden="1">
      <c r="A1121" s="64" t="str">
        <f>Ringkasan!A1120</f>
        <v>LUCK</v>
      </c>
      <c r="B1121" s="64" t="str">
        <f>Ringkasan!B1120</f>
        <v>Sentral Mitra Informatika Tbk.</v>
      </c>
      <c r="C1121" s="65">
        <f>Ringkasan!C1120</f>
        <v>101</v>
      </c>
      <c r="D1121" s="64" t="str">
        <f>Ringkasan!D1120</f>
        <v>#N/A</v>
      </c>
      <c r="E1121" s="64" t="str">
        <f>Ringkasan!E1120</f>
        <v/>
      </c>
      <c r="F1121" s="64" t="str">
        <f>Ringkasan!F1120</f>
        <v/>
      </c>
      <c r="G1121" s="64">
        <f>Ringkasan!G1120</f>
        <v>0</v>
      </c>
      <c r="H1121" s="19">
        <f>Ringkasan!H1120</f>
        <v>-5.9</v>
      </c>
      <c r="I1121" s="19">
        <f>Ringkasan!I1120</f>
        <v>0.69</v>
      </c>
      <c r="J1121" s="19">
        <f>Ringkasan!J1120</f>
        <v>-11.7</v>
      </c>
      <c r="K1121" s="19">
        <f>Ringkasan!K1120</f>
        <v>-9.2</v>
      </c>
      <c r="L1121" s="19">
        <f>Ringkasan!L1120</f>
        <v>0.27</v>
      </c>
      <c r="M1121" s="19">
        <f>Ringkasan!M1120</f>
        <v>-24</v>
      </c>
      <c r="N1121" s="64" t="str">
        <f>Ringkasan!N1120</f>
        <v/>
      </c>
      <c r="O1121" s="64" t="str">
        <f>Ringkasan!O1120</f>
        <v/>
      </c>
      <c r="P1121" s="64" t="str">
        <f>Ringkasan!P1120</f>
        <v/>
      </c>
      <c r="Q1121" s="64" t="str">
        <f>Ringkasan!Q1120</f>
        <v/>
      </c>
      <c r="R1121" s="64" t="str">
        <f>Ringkasan!R1120</f>
        <v/>
      </c>
      <c r="S1121" s="64" t="str">
        <f>Ringkasan!S1120</f>
        <v/>
      </c>
      <c r="T1121" s="64" t="str">
        <f>Ringkasan!T1120</f>
        <v/>
      </c>
      <c r="U1121" s="64">
        <f>Ringkasan!U1120</f>
        <v>8.81</v>
      </c>
      <c r="V1121" s="64">
        <f>Ringkasan!V1120</f>
        <v>-0.57</v>
      </c>
      <c r="W1121" s="64">
        <f>Ringkasan!W1120</f>
        <v>8.8</v>
      </c>
      <c r="X1121" s="64">
        <f>Ringkasan!X1120</f>
        <v>9.01</v>
      </c>
      <c r="Y1121" s="64">
        <f>Ringkasan!Y1120</f>
        <v>8.73</v>
      </c>
      <c r="Z1121" s="64">
        <f>Ringkasan!Z1120</f>
        <v>133776</v>
      </c>
      <c r="AA1121" s="64" t="str">
        <f>Ringkasan!AA1120</f>
        <v>Computer Hardware</v>
      </c>
      <c r="AB1121" s="64" t="str">
        <f>Ringkasan!AB1120</f>
        <v>Technology</v>
      </c>
    </row>
    <row r="1122" hidden="1">
      <c r="A1122" s="64" t="str">
        <f>Ringkasan!A1121</f>
        <v>LUCY</v>
      </c>
      <c r="B1122" s="64" t="str">
        <f>Ringkasan!B1121</f>
        <v>Lima Dua Lima Tiga Tbk.</v>
      </c>
      <c r="C1122" s="65">
        <f>Ringkasan!C1121</f>
        <v>1490</v>
      </c>
      <c r="D1122" s="64" t="str">
        <f>Ringkasan!D1121</f>
        <v>#N/A</v>
      </c>
      <c r="E1122" s="64" t="str">
        <f>Ringkasan!E1121</f>
        <v/>
      </c>
      <c r="F1122" s="64" t="str">
        <f>Ringkasan!F1121</f>
        <v/>
      </c>
      <c r="G1122" s="64">
        <f>Ringkasan!G1121</f>
        <v>0</v>
      </c>
      <c r="H1122" s="19">
        <f>Ringkasan!H1121</f>
        <v>-35.8</v>
      </c>
      <c r="I1122" s="19">
        <f>Ringkasan!I1121</f>
        <v>60.1</v>
      </c>
      <c r="J1122" s="19">
        <f>Ringkasan!J1121</f>
        <v>-170</v>
      </c>
      <c r="K1122" s="19">
        <f>Ringkasan!K1121</f>
        <v>-51.8</v>
      </c>
      <c r="L1122" s="19">
        <f>Ringkasan!L1121</f>
        <v>2.2</v>
      </c>
      <c r="M1122" s="19">
        <f>Ringkasan!M1121</f>
        <v>-52.4</v>
      </c>
      <c r="N1122" s="64" t="str">
        <f>Ringkasan!N1121</f>
        <v/>
      </c>
      <c r="O1122" s="64" t="str">
        <f>Ringkasan!O1121</f>
        <v/>
      </c>
      <c r="P1122" s="64" t="str">
        <f>Ringkasan!P1121</f>
        <v/>
      </c>
      <c r="Q1122" s="64" t="str">
        <f>Ringkasan!Q1121</f>
        <v/>
      </c>
      <c r="R1122" s="64" t="str">
        <f>Ringkasan!R1121</f>
        <v/>
      </c>
      <c r="S1122" s="64" t="str">
        <f>Ringkasan!S1121</f>
        <v/>
      </c>
      <c r="T1122" s="64" t="str">
        <f>Ringkasan!T1121</f>
        <v/>
      </c>
      <c r="U1122" s="64">
        <f>Ringkasan!U1121</f>
        <v>0.89</v>
      </c>
      <c r="V1122" s="64">
        <f>Ringkasan!V1121</f>
        <v>-2.1</v>
      </c>
      <c r="W1122" s="64">
        <f>Ringkasan!W1121</f>
        <v>0.88</v>
      </c>
      <c r="X1122" s="64">
        <f>Ringkasan!X1121</f>
        <v>0.92</v>
      </c>
      <c r="Y1122" s="64">
        <f>Ringkasan!Y1121</f>
        <v>0.87</v>
      </c>
      <c r="Z1122" s="64">
        <f>Ringkasan!Z1121</f>
        <v>59685</v>
      </c>
      <c r="AA1122" s="64" t="str">
        <f>Ringkasan!AA1121</f>
        <v>Tourism &amp; Recreation</v>
      </c>
      <c r="AB1122" s="64" t="str">
        <f>Ringkasan!AB1121</f>
        <v>Consumer Cyclicals</v>
      </c>
    </row>
    <row r="1123" hidden="1">
      <c r="A1123" s="64" t="str">
        <f>Ringkasan!A1122</f>
        <v>MABA</v>
      </c>
      <c r="B1123" s="64" t="str">
        <f>Ringkasan!B1122</f>
        <v>Marga Abhinaya Abadi Tbk.</v>
      </c>
      <c r="C1123" s="65">
        <f>Ringkasan!C1122</f>
        <v>50</v>
      </c>
      <c r="D1123" s="64" t="str">
        <f>Ringkasan!D1122</f>
        <v>#N/A</v>
      </c>
      <c r="E1123" s="64" t="str">
        <f>Ringkasan!E1122</f>
        <v/>
      </c>
      <c r="F1123" s="64" t="str">
        <f>Ringkasan!F1122</f>
        <v/>
      </c>
      <c r="G1123" s="64">
        <f>Ringkasan!G1122</f>
        <v>0</v>
      </c>
      <c r="H1123" s="19">
        <f>Ringkasan!H1122</f>
        <v>0</v>
      </c>
      <c r="I1123" s="19">
        <f>Ringkasan!I1122</f>
        <v>2.7</v>
      </c>
      <c r="J1123" s="19">
        <f>Ringkasan!J1122</f>
        <v>-92.1</v>
      </c>
      <c r="K1123" s="19">
        <f>Ringkasan!K1122</f>
        <v>-11.8</v>
      </c>
      <c r="L1123" s="19">
        <f>Ringkasan!L1122</f>
        <v>6.8</v>
      </c>
      <c r="M1123" s="19">
        <f>Ringkasan!M1122</f>
        <v>-580</v>
      </c>
      <c r="N1123" s="64" t="str">
        <f>Ringkasan!N1122</f>
        <v/>
      </c>
      <c r="O1123" s="64" t="str">
        <f>Ringkasan!O1122</f>
        <v/>
      </c>
      <c r="P1123" s="64" t="str">
        <f>Ringkasan!P1122</f>
        <v/>
      </c>
      <c r="Q1123" s="64" t="str">
        <f>Ringkasan!Q1122</f>
        <v/>
      </c>
      <c r="R1123" s="64" t="str">
        <f>Ringkasan!R1122</f>
        <v/>
      </c>
      <c r="S1123" s="64" t="str">
        <f>Ringkasan!S1122</f>
        <v/>
      </c>
      <c r="T1123" s="64" t="str">
        <f>Ringkasan!T1122</f>
        <v/>
      </c>
      <c r="U1123" s="64">
        <f>Ringkasan!U1122</f>
        <v>50</v>
      </c>
      <c r="V1123" s="64">
        <f>Ringkasan!V1122</f>
        <v>0</v>
      </c>
      <c r="W1123" s="64" t="str">
        <f>Ringkasan!W1122</f>
        <v/>
      </c>
      <c r="X1123" s="64" t="str">
        <f>Ringkasan!X1122</f>
        <v/>
      </c>
      <c r="Y1123" s="64" t="str">
        <f>Ringkasan!Y1122</f>
        <v/>
      </c>
      <c r="Z1123" s="64">
        <f>Ringkasan!Z1122</f>
        <v>0</v>
      </c>
      <c r="AA1123" s="64" t="str">
        <f>Ringkasan!AA1122</f>
        <v>Tourism &amp; Recreation</v>
      </c>
      <c r="AB1123" s="64" t="str">
        <f>Ringkasan!AB1122</f>
        <v>Consumer Cyclicals</v>
      </c>
    </row>
    <row r="1124" hidden="1">
      <c r="A1124" s="64" t="str">
        <f>Ringkasan!A1123</f>
        <v>MAGP</v>
      </c>
      <c r="B1124" s="64" t="str">
        <f>Ringkasan!B1123</f>
        <v>Multi Agro Gemilang Plantation Tbk</v>
      </c>
      <c r="C1124" s="65">
        <f>Ringkasan!C1123</f>
        <v>50</v>
      </c>
      <c r="D1124" s="64" t="str">
        <f>Ringkasan!D1123</f>
        <v>#N/A</v>
      </c>
      <c r="E1124" s="64" t="str">
        <f>Ringkasan!E1123</f>
        <v/>
      </c>
      <c r="F1124" s="64" t="str">
        <f>Ringkasan!F1123</f>
        <v/>
      </c>
      <c r="G1124" s="64">
        <f>Ringkasan!G1123</f>
        <v>0</v>
      </c>
      <c r="H1124" s="19">
        <f>Ringkasan!H1123</f>
        <v>0</v>
      </c>
      <c r="I1124" s="19">
        <f>Ringkasan!I1123</f>
        <v>5.9</v>
      </c>
      <c r="J1124" s="19">
        <f>Ringkasan!J1123</f>
        <v>-83.7</v>
      </c>
      <c r="K1124" s="19">
        <f>Ringkasan!K1123</f>
        <v>-7.6</v>
      </c>
      <c r="L1124" s="19">
        <f>Ringkasan!L1123</f>
        <v>10.1</v>
      </c>
      <c r="M1124" s="19">
        <f>Ringkasan!M1123</f>
        <v>-200</v>
      </c>
      <c r="N1124" s="64" t="str">
        <f>Ringkasan!N1123</f>
        <v/>
      </c>
      <c r="O1124" s="64" t="str">
        <f>Ringkasan!O1123</f>
        <v/>
      </c>
      <c r="P1124" s="64" t="str">
        <f>Ringkasan!P1123</f>
        <v/>
      </c>
      <c r="Q1124" s="64" t="str">
        <f>Ringkasan!Q1123</f>
        <v/>
      </c>
      <c r="R1124" s="64" t="str">
        <f>Ringkasan!R1123</f>
        <v/>
      </c>
      <c r="S1124" s="64" t="str">
        <f>Ringkasan!S1123</f>
        <v/>
      </c>
      <c r="T1124" s="64" t="str">
        <f>Ringkasan!T1123</f>
        <v/>
      </c>
      <c r="U1124" s="64">
        <f>Ringkasan!U1123</f>
        <v>50</v>
      </c>
      <c r="V1124" s="64">
        <f>Ringkasan!V1123</f>
        <v>0</v>
      </c>
      <c r="W1124" s="64" t="str">
        <f>Ringkasan!W1123</f>
        <v/>
      </c>
      <c r="X1124" s="64" t="str">
        <f>Ringkasan!X1123</f>
        <v/>
      </c>
      <c r="Y1124" s="64" t="str">
        <f>Ringkasan!Y1123</f>
        <v/>
      </c>
      <c r="Z1124" s="64">
        <f>Ringkasan!Z1123</f>
        <v>0</v>
      </c>
      <c r="AA1124" s="64" t="str">
        <f>Ringkasan!AA1123</f>
        <v>Agricultural Products</v>
      </c>
      <c r="AB1124" s="64" t="str">
        <f>Ringkasan!AB1123</f>
        <v>Consumer Non-Cyclicals</v>
      </c>
    </row>
    <row r="1125" hidden="1">
      <c r="A1125" s="64" t="str">
        <f>Ringkasan!A1124</f>
        <v>MAHA</v>
      </c>
      <c r="B1125" s="64" t="str">
        <f>Ringkasan!B1124</f>
        <v>PT Mandiri Herindo Adiperkasa Tbk</v>
      </c>
      <c r="C1125" s="65">
        <f>Ringkasan!C1124</f>
        <v>134</v>
      </c>
      <c r="D1125" s="64" t="str">
        <f>Ringkasan!D1124</f>
        <v>#N/A</v>
      </c>
      <c r="E1125" s="64" t="str">
        <f>Ringkasan!E1124</f>
        <v/>
      </c>
      <c r="F1125" s="64" t="str">
        <f>Ringkasan!F1124</f>
        <v/>
      </c>
      <c r="G1125" s="64">
        <f>Ringkasan!G1124</f>
        <v>0</v>
      </c>
      <c r="H1125" s="19">
        <f>Ringkasan!H1124</f>
        <v>7.6</v>
      </c>
      <c r="I1125" s="19">
        <f>Ringkasan!I1124</f>
        <v>1.2</v>
      </c>
      <c r="J1125" s="19">
        <f>Ringkasan!J1124</f>
        <v>16</v>
      </c>
      <c r="K1125" s="19">
        <f>Ringkasan!K1124</f>
        <v>10.6</v>
      </c>
      <c r="L1125" s="19">
        <f>Ringkasan!L1124</f>
        <v>0.52</v>
      </c>
      <c r="M1125" s="19">
        <f>Ringkasan!M1124</f>
        <v>44</v>
      </c>
      <c r="N1125" s="64" t="str">
        <f>Ringkasan!N1124</f>
        <v/>
      </c>
      <c r="O1125" s="64" t="str">
        <f>Ringkasan!O1124</f>
        <v/>
      </c>
      <c r="P1125" s="64" t="str">
        <f>Ringkasan!P1124</f>
        <v/>
      </c>
      <c r="Q1125" s="64" t="str">
        <f>Ringkasan!Q1124</f>
        <v/>
      </c>
      <c r="R1125" s="64" t="str">
        <f>Ringkasan!R1124</f>
        <v/>
      </c>
      <c r="S1125" s="64" t="str">
        <f>Ringkasan!S1124</f>
        <v/>
      </c>
      <c r="T1125" s="64" t="str">
        <f>Ringkasan!T1124</f>
        <v/>
      </c>
      <c r="U1125" s="64">
        <f>Ringkasan!U1124</f>
        <v>129</v>
      </c>
      <c r="V1125" s="64">
        <f>Ringkasan!V1124</f>
        <v>3.88</v>
      </c>
      <c r="W1125" s="64">
        <f>Ringkasan!W1124</f>
        <v>129</v>
      </c>
      <c r="X1125" s="64">
        <f>Ringkasan!X1124</f>
        <v>135</v>
      </c>
      <c r="Y1125" s="64">
        <f>Ringkasan!Y1124</f>
        <v>128</v>
      </c>
      <c r="Z1125" s="64">
        <f>Ringkasan!Z1124</f>
        <v>1820200</v>
      </c>
      <c r="AA1125" s="64" t="str">
        <f>Ringkasan!AA1124</f>
        <v>Coal</v>
      </c>
      <c r="AB1125" s="64" t="str">
        <f>Ringkasan!AB1124</f>
        <v>Energy</v>
      </c>
    </row>
    <row r="1126" hidden="1">
      <c r="A1126" s="64" t="str">
        <f>Ringkasan!A1125</f>
        <v>MAIN</v>
      </c>
      <c r="B1126" s="64" t="str">
        <f>Ringkasan!B1125</f>
        <v>Malindo Feedmill Tbk.</v>
      </c>
      <c r="C1126" s="65">
        <f>Ringkasan!C1125</f>
        <v>685</v>
      </c>
      <c r="D1126" s="64" t="str">
        <f>Ringkasan!D1125</f>
        <v>#N/A</v>
      </c>
      <c r="E1126" s="64" t="str">
        <f>Ringkasan!E1125</f>
        <v/>
      </c>
      <c r="F1126" s="64" t="str">
        <f>Ringkasan!F1125</f>
        <v/>
      </c>
      <c r="G1126" s="64">
        <f>Ringkasan!G1125</f>
        <v>0</v>
      </c>
      <c r="H1126" s="19">
        <f>Ringkasan!H1125</f>
        <v>4.1</v>
      </c>
      <c r="I1126" s="19">
        <f>Ringkasan!I1125</f>
        <v>0.62</v>
      </c>
      <c r="J1126" s="19">
        <f>Ringkasan!J1125</f>
        <v>15.1</v>
      </c>
      <c r="K1126" s="19">
        <f>Ringkasan!K1125</f>
        <v>7.4</v>
      </c>
      <c r="L1126" s="19">
        <f>Ringkasan!L1125</f>
        <v>1</v>
      </c>
      <c r="M1126" s="19">
        <f>Ringkasan!M1125</f>
        <v>12.3</v>
      </c>
      <c r="N1126" s="64" t="str">
        <f>Ringkasan!N1125</f>
        <v/>
      </c>
      <c r="O1126" s="64" t="str">
        <f>Ringkasan!O1125</f>
        <v/>
      </c>
      <c r="P1126" s="64" t="str">
        <f>Ringkasan!P1125</f>
        <v/>
      </c>
      <c r="Q1126" s="64" t="str">
        <f>Ringkasan!Q1125</f>
        <v/>
      </c>
      <c r="R1126" s="64" t="str">
        <f>Ringkasan!R1125</f>
        <v/>
      </c>
      <c r="S1126" s="64" t="str">
        <f>Ringkasan!S1125</f>
        <v/>
      </c>
      <c r="T1126" s="64" t="str">
        <f>Ringkasan!T1125</f>
        <v/>
      </c>
      <c r="U1126" s="64">
        <f>Ringkasan!U1125</f>
        <v>51.74</v>
      </c>
      <c r="V1126" s="64">
        <f>Ringkasan!V1125</f>
        <v>0.54</v>
      </c>
      <c r="W1126" s="64">
        <f>Ringkasan!W1125</f>
        <v>51.9</v>
      </c>
      <c r="X1126" s="64">
        <f>Ringkasan!X1125</f>
        <v>52.45</v>
      </c>
      <c r="Y1126" s="64">
        <f>Ringkasan!Y1125</f>
        <v>51.5</v>
      </c>
      <c r="Z1126" s="64">
        <f>Ringkasan!Z1125</f>
        <v>385627</v>
      </c>
      <c r="AA1126" s="64" t="str">
        <f>Ringkasan!AA1125</f>
        <v>Agricultural Products</v>
      </c>
      <c r="AB1126" s="64" t="str">
        <f>Ringkasan!AB1125</f>
        <v>Consumer Non-Cyclicals</v>
      </c>
    </row>
    <row r="1127" hidden="1">
      <c r="A1127" s="64" t="str">
        <f>Ringkasan!A1126</f>
        <v>MANG</v>
      </c>
      <c r="B1127" s="64" t="str">
        <f>Ringkasan!B1126</f>
        <v>Manggung Polahraya Tbk.</v>
      </c>
      <c r="C1127" s="65">
        <f>Ringkasan!C1126</f>
        <v>42</v>
      </c>
      <c r="D1127" s="64" t="str">
        <f>Ringkasan!D1126</f>
        <v>#N/A</v>
      </c>
      <c r="E1127" s="64" t="str">
        <f>Ringkasan!E1126</f>
        <v/>
      </c>
      <c r="F1127" s="64" t="str">
        <f>Ringkasan!F1126</f>
        <v/>
      </c>
      <c r="G1127" s="64">
        <f>Ringkasan!G1126</f>
        <v>0</v>
      </c>
      <c r="H1127" s="19">
        <f>Ringkasan!H1126</f>
        <v>-14.3</v>
      </c>
      <c r="I1127" s="19">
        <f>Ringkasan!I1126</f>
        <v>1.4</v>
      </c>
      <c r="J1127" s="19">
        <f>Ringkasan!J1126</f>
        <v>-9.5</v>
      </c>
      <c r="K1127" s="19">
        <f>Ringkasan!K1126</f>
        <v>-7.8</v>
      </c>
      <c r="L1127" s="19">
        <f>Ringkasan!L1126</f>
        <v>0.22</v>
      </c>
      <c r="M1127" s="19">
        <f>Ringkasan!M1126</f>
        <v>-390</v>
      </c>
      <c r="N1127" s="64" t="str">
        <f>Ringkasan!N1126</f>
        <v/>
      </c>
      <c r="O1127" s="64" t="str">
        <f>Ringkasan!O1126</f>
        <v/>
      </c>
      <c r="P1127" s="64" t="str">
        <f>Ringkasan!P1126</f>
        <v/>
      </c>
      <c r="Q1127" s="64" t="str">
        <f>Ringkasan!Q1126</f>
        <v/>
      </c>
      <c r="R1127" s="64" t="str">
        <f>Ringkasan!R1126</f>
        <v/>
      </c>
      <c r="S1127" s="64" t="str">
        <f>Ringkasan!S1126</f>
        <v/>
      </c>
      <c r="T1127" s="64" t="str">
        <f>Ringkasan!T1126</f>
        <v/>
      </c>
      <c r="U1127" s="64">
        <f>Ringkasan!U1126</f>
        <v>42</v>
      </c>
      <c r="V1127" s="64">
        <f>Ringkasan!V1126</f>
        <v>0</v>
      </c>
      <c r="W1127" s="64">
        <f>Ringkasan!W1126</f>
        <v>42</v>
      </c>
      <c r="X1127" s="64">
        <f>Ringkasan!X1126</f>
        <v>42</v>
      </c>
      <c r="Y1127" s="64">
        <f>Ringkasan!Y1126</f>
        <v>41</v>
      </c>
      <c r="Z1127" s="64">
        <f>Ringkasan!Z1126</f>
        <v>5273100</v>
      </c>
      <c r="AA1127" s="64" t="str">
        <f>Ringkasan!AA1126</f>
        <v>Heavy Constructions &amp; Civil Engineering</v>
      </c>
      <c r="AB1127" s="64" t="str">
        <f>Ringkasan!AB1126</f>
        <v>Infrastructures</v>
      </c>
    </row>
    <row r="1128" hidden="1">
      <c r="A1128" s="64" t="str">
        <f>Ringkasan!A1127</f>
        <v>MAPA</v>
      </c>
      <c r="B1128" s="64" t="str">
        <f>Ringkasan!B1127</f>
        <v>Map Aktif Adiperkasa Tbk.</v>
      </c>
      <c r="C1128" s="65">
        <f>Ringkasan!C1127</f>
        <v>565</v>
      </c>
      <c r="D1128" s="64" t="str">
        <f>Ringkasan!D1127</f>
        <v>#N/A</v>
      </c>
      <c r="E1128" s="64" t="str">
        <f>Ringkasan!E1127</f>
        <v>IDXSHAGROW</v>
      </c>
      <c r="F1128" s="66">
        <f>Ringkasan!F1127</f>
        <v>46356</v>
      </c>
      <c r="G1128" s="65">
        <f>Ringkasan!G1127</f>
        <v>9</v>
      </c>
      <c r="H1128" s="19">
        <f>Ringkasan!H1127</f>
        <v>9.9</v>
      </c>
      <c r="I1128" s="19">
        <f>Ringkasan!I1127</f>
        <v>2</v>
      </c>
      <c r="J1128" s="19">
        <f>Ringkasan!J1127</f>
        <v>20</v>
      </c>
      <c r="K1128" s="19">
        <f>Ringkasan!K1127</f>
        <v>12.7</v>
      </c>
      <c r="L1128" s="19">
        <f>Ringkasan!L1127</f>
        <v>0.57</v>
      </c>
      <c r="M1128" s="19">
        <f>Ringkasan!M1127</f>
        <v>37.4</v>
      </c>
      <c r="N1128" s="64" t="str">
        <f>Ringkasan!N1127</f>
        <v/>
      </c>
      <c r="O1128" s="64" t="str">
        <f>Ringkasan!O1127</f>
        <v/>
      </c>
      <c r="P1128" s="64" t="str">
        <f>Ringkasan!P1127</f>
        <v/>
      </c>
      <c r="Q1128" s="64" t="str">
        <f>Ringkasan!Q1127</f>
        <v/>
      </c>
      <c r="R1128" s="64" t="str">
        <f>Ringkasan!R1127</f>
        <v/>
      </c>
      <c r="S1128" s="64" t="str">
        <f>Ringkasan!S1127</f>
        <v/>
      </c>
      <c r="T1128" s="64" t="str">
        <f>Ringkasan!T1127</f>
        <v/>
      </c>
      <c r="U1128" s="64">
        <f>Ringkasan!U1127</f>
        <v>565</v>
      </c>
      <c r="V1128" s="64">
        <f>Ringkasan!V1127</f>
        <v>0</v>
      </c>
      <c r="W1128" s="64">
        <f>Ringkasan!W1127</f>
        <v>565</v>
      </c>
      <c r="X1128" s="64">
        <f>Ringkasan!X1127</f>
        <v>570</v>
      </c>
      <c r="Y1128" s="64">
        <f>Ringkasan!Y1127</f>
        <v>545</v>
      </c>
      <c r="Z1128" s="64">
        <f>Ringkasan!Z1127</f>
        <v>22530400</v>
      </c>
      <c r="AA1128" s="64" t="str">
        <f>Ringkasan!AA1127</f>
        <v>Specialty Retail</v>
      </c>
      <c r="AB1128" s="64" t="str">
        <f>Ringkasan!AB1127</f>
        <v>Consumer Cyclicals</v>
      </c>
    </row>
    <row r="1129" hidden="1">
      <c r="A1129" s="64" t="str">
        <f>Ringkasan!A1128</f>
        <v>MAPA</v>
      </c>
      <c r="B1129" s="64" t="str">
        <f>Ringkasan!B1128</f>
        <v>Map Aktif Adiperkasa Tbk.</v>
      </c>
      <c r="C1129" s="65">
        <f>Ringkasan!C1128</f>
        <v>565</v>
      </c>
      <c r="D1129" s="64" t="str">
        <f>Ringkasan!D1128</f>
        <v>#N/A</v>
      </c>
      <c r="E1129" s="64" t="str">
        <f>Ringkasan!E1128</f>
        <v>IDXESGL</v>
      </c>
      <c r="F1129" s="64" t="str">
        <f>Ringkasan!F1128</f>
        <v>30 Oktober 2026</v>
      </c>
      <c r="G1129" s="65">
        <f>Ringkasan!G1128</f>
        <v>9</v>
      </c>
      <c r="H1129" s="19">
        <f>Ringkasan!H1128</f>
        <v>9.9</v>
      </c>
      <c r="I1129" s="19">
        <f>Ringkasan!I1128</f>
        <v>2</v>
      </c>
      <c r="J1129" s="19">
        <f>Ringkasan!J1128</f>
        <v>20</v>
      </c>
      <c r="K1129" s="19">
        <f>Ringkasan!K1128</f>
        <v>12.7</v>
      </c>
      <c r="L1129" s="19">
        <f>Ringkasan!L1128</f>
        <v>0.57</v>
      </c>
      <c r="M1129" s="19">
        <f>Ringkasan!M1128</f>
        <v>37.4</v>
      </c>
      <c r="N1129" s="64" t="str">
        <f>Ringkasan!N1128</f>
        <v/>
      </c>
      <c r="O1129" s="64" t="str">
        <f>Ringkasan!O1128</f>
        <v/>
      </c>
      <c r="P1129" s="64" t="str">
        <f>Ringkasan!P1128</f>
        <v/>
      </c>
      <c r="Q1129" s="64" t="str">
        <f>Ringkasan!Q1128</f>
        <v/>
      </c>
      <c r="R1129" s="64" t="str">
        <f>Ringkasan!R1128</f>
        <v/>
      </c>
      <c r="S1129" s="64" t="str">
        <f>Ringkasan!S1128</f>
        <v/>
      </c>
      <c r="T1129" s="64" t="str">
        <f>Ringkasan!T1128</f>
        <v/>
      </c>
      <c r="U1129" s="64">
        <f>Ringkasan!U1128</f>
        <v>565</v>
      </c>
      <c r="V1129" s="64">
        <f>Ringkasan!V1128</f>
        <v>0</v>
      </c>
      <c r="W1129" s="64">
        <f>Ringkasan!W1128</f>
        <v>565</v>
      </c>
      <c r="X1129" s="64">
        <f>Ringkasan!X1128</f>
        <v>570</v>
      </c>
      <c r="Y1129" s="64">
        <f>Ringkasan!Y1128</f>
        <v>545</v>
      </c>
      <c r="Z1129" s="64">
        <f>Ringkasan!Z1128</f>
        <v>22530400</v>
      </c>
      <c r="AA1129" s="64" t="str">
        <f>Ringkasan!AA1128</f>
        <v>Specialty Retail</v>
      </c>
      <c r="AB1129" s="64" t="str">
        <f>Ringkasan!AB1128</f>
        <v>Consumer Cyclicals</v>
      </c>
    </row>
    <row r="1130" hidden="1">
      <c r="A1130" s="64" t="str">
        <f>Ringkasan!A1129</f>
        <v>MAPA</v>
      </c>
      <c r="B1130" s="64" t="str">
        <f>Ringkasan!B1129</f>
        <v>Map Aktif Adiperkasa Tbk.</v>
      </c>
      <c r="C1130" s="65">
        <f>Ringkasan!C1129</f>
        <v>565</v>
      </c>
      <c r="D1130" s="64" t="str">
        <f>Ringkasan!D1129</f>
        <v>#N/A</v>
      </c>
      <c r="E1130" s="64" t="str">
        <f>Ringkasan!E1129</f>
        <v>IDX80</v>
      </c>
      <c r="F1130" s="64" t="str">
        <f>Ringkasan!F1129</f>
        <v>31 Juli 2026</v>
      </c>
      <c r="G1130" s="65">
        <f>Ringkasan!G1129</f>
        <v>9</v>
      </c>
      <c r="H1130" s="19">
        <f>Ringkasan!H1129</f>
        <v>9.9</v>
      </c>
      <c r="I1130" s="19">
        <f>Ringkasan!I1129</f>
        <v>2</v>
      </c>
      <c r="J1130" s="19">
        <f>Ringkasan!J1129</f>
        <v>20</v>
      </c>
      <c r="K1130" s="19">
        <f>Ringkasan!K1129</f>
        <v>12.7</v>
      </c>
      <c r="L1130" s="19">
        <f>Ringkasan!L1129</f>
        <v>0.57</v>
      </c>
      <c r="M1130" s="19">
        <f>Ringkasan!M1129</f>
        <v>37.4</v>
      </c>
      <c r="N1130" s="64" t="str">
        <f>Ringkasan!N1129</f>
        <v/>
      </c>
      <c r="O1130" s="64" t="str">
        <f>Ringkasan!O1129</f>
        <v/>
      </c>
      <c r="P1130" s="64" t="str">
        <f>Ringkasan!P1129</f>
        <v/>
      </c>
      <c r="Q1130" s="64" t="str">
        <f>Ringkasan!Q1129</f>
        <v/>
      </c>
      <c r="R1130" s="64" t="str">
        <f>Ringkasan!R1129</f>
        <v/>
      </c>
      <c r="S1130" s="64" t="str">
        <f>Ringkasan!S1129</f>
        <v/>
      </c>
      <c r="T1130" s="64" t="str">
        <f>Ringkasan!T1129</f>
        <v/>
      </c>
      <c r="U1130" s="64">
        <f>Ringkasan!U1129</f>
        <v>565</v>
      </c>
      <c r="V1130" s="64">
        <f>Ringkasan!V1129</f>
        <v>0</v>
      </c>
      <c r="W1130" s="64">
        <f>Ringkasan!W1129</f>
        <v>565</v>
      </c>
      <c r="X1130" s="64">
        <f>Ringkasan!X1129</f>
        <v>570</v>
      </c>
      <c r="Y1130" s="64">
        <f>Ringkasan!Y1129</f>
        <v>545</v>
      </c>
      <c r="Z1130" s="64">
        <f>Ringkasan!Z1129</f>
        <v>22530400</v>
      </c>
      <c r="AA1130" s="64" t="str">
        <f>Ringkasan!AA1129</f>
        <v>Specialty Retail</v>
      </c>
      <c r="AB1130" s="64" t="str">
        <f>Ringkasan!AB1129</f>
        <v>Consumer Cyclicals</v>
      </c>
    </row>
    <row r="1131" hidden="1">
      <c r="A1131" s="64" t="str">
        <f>Ringkasan!A1130</f>
        <v>MAPA</v>
      </c>
      <c r="B1131" s="64" t="str">
        <f>Ringkasan!B1130</f>
        <v>Map Aktif Adiperkasa Tbk.</v>
      </c>
      <c r="C1131" s="65">
        <f>Ringkasan!C1130</f>
        <v>565</v>
      </c>
      <c r="D1131" s="64" t="str">
        <f>Ringkasan!D1130</f>
        <v>#N/A</v>
      </c>
      <c r="E1131" s="64" t="str">
        <f>Ringkasan!E1130</f>
        <v>ECONOMIC30</v>
      </c>
      <c r="F1131" s="64" t="str">
        <f>Ringkasan!F1130</f>
        <v>31 Agustus 2026</v>
      </c>
      <c r="G1131" s="65">
        <f>Ringkasan!G1130</f>
        <v>9</v>
      </c>
      <c r="H1131" s="19">
        <f>Ringkasan!H1130</f>
        <v>9.9</v>
      </c>
      <c r="I1131" s="19">
        <f>Ringkasan!I1130</f>
        <v>2</v>
      </c>
      <c r="J1131" s="19">
        <f>Ringkasan!J1130</f>
        <v>20</v>
      </c>
      <c r="K1131" s="19">
        <f>Ringkasan!K1130</f>
        <v>12.7</v>
      </c>
      <c r="L1131" s="19">
        <f>Ringkasan!L1130</f>
        <v>0.57</v>
      </c>
      <c r="M1131" s="19">
        <f>Ringkasan!M1130</f>
        <v>37.4</v>
      </c>
      <c r="N1131" s="64" t="str">
        <f>Ringkasan!N1130</f>
        <v/>
      </c>
      <c r="O1131" s="64" t="str">
        <f>Ringkasan!O1130</f>
        <v/>
      </c>
      <c r="P1131" s="64" t="str">
        <f>Ringkasan!P1130</f>
        <v/>
      </c>
      <c r="Q1131" s="64" t="str">
        <f>Ringkasan!Q1130</f>
        <v/>
      </c>
      <c r="R1131" s="64" t="str">
        <f>Ringkasan!R1130</f>
        <v/>
      </c>
      <c r="S1131" s="64" t="str">
        <f>Ringkasan!S1130</f>
        <v/>
      </c>
      <c r="T1131" s="64" t="str">
        <f>Ringkasan!T1130</f>
        <v/>
      </c>
      <c r="U1131" s="64">
        <f>Ringkasan!U1130</f>
        <v>565</v>
      </c>
      <c r="V1131" s="64">
        <f>Ringkasan!V1130</f>
        <v>0</v>
      </c>
      <c r="W1131" s="64">
        <f>Ringkasan!W1130</f>
        <v>565</v>
      </c>
      <c r="X1131" s="64">
        <f>Ringkasan!X1130</f>
        <v>570</v>
      </c>
      <c r="Y1131" s="64">
        <f>Ringkasan!Y1130</f>
        <v>545</v>
      </c>
      <c r="Z1131" s="64">
        <f>Ringkasan!Z1130</f>
        <v>22530400</v>
      </c>
      <c r="AA1131" s="64" t="str">
        <f>Ringkasan!AA1130</f>
        <v>Specialty Retail</v>
      </c>
      <c r="AB1131" s="64" t="str">
        <f>Ringkasan!AB1130</f>
        <v>Consumer Cyclicals</v>
      </c>
    </row>
    <row r="1132" hidden="1">
      <c r="A1132" s="64" t="str">
        <f>Ringkasan!A1131</f>
        <v>MAPA</v>
      </c>
      <c r="B1132" s="64" t="str">
        <f>Ringkasan!B1131</f>
        <v>Map Aktif Adiperkasa Tbk.</v>
      </c>
      <c r="C1132" s="65">
        <f>Ringkasan!C1131</f>
        <v>565</v>
      </c>
      <c r="D1132" s="64" t="str">
        <f>Ringkasan!D1131</f>
        <v>#N/A</v>
      </c>
      <c r="E1132" s="64" t="str">
        <f>Ringkasan!E1131</f>
        <v>Kompas100</v>
      </c>
      <c r="F1132" s="64" t="str">
        <f>Ringkasan!F1131</f>
        <v>31 Juli 2026</v>
      </c>
      <c r="G1132" s="65">
        <f>Ringkasan!G1131</f>
        <v>9</v>
      </c>
      <c r="H1132" s="19">
        <f>Ringkasan!H1131</f>
        <v>9.9</v>
      </c>
      <c r="I1132" s="19">
        <f>Ringkasan!I1131</f>
        <v>2</v>
      </c>
      <c r="J1132" s="19">
        <f>Ringkasan!J1131</f>
        <v>20</v>
      </c>
      <c r="K1132" s="19">
        <f>Ringkasan!K1131</f>
        <v>12.7</v>
      </c>
      <c r="L1132" s="19">
        <f>Ringkasan!L1131</f>
        <v>0.57</v>
      </c>
      <c r="M1132" s="19">
        <f>Ringkasan!M1131</f>
        <v>37.4</v>
      </c>
      <c r="N1132" s="64" t="str">
        <f>Ringkasan!N1131</f>
        <v/>
      </c>
      <c r="O1132" s="64" t="str">
        <f>Ringkasan!O1131</f>
        <v/>
      </c>
      <c r="P1132" s="64" t="str">
        <f>Ringkasan!P1131</f>
        <v/>
      </c>
      <c r="Q1132" s="64" t="str">
        <f>Ringkasan!Q1131</f>
        <v/>
      </c>
      <c r="R1132" s="64" t="str">
        <f>Ringkasan!R1131</f>
        <v/>
      </c>
      <c r="S1132" s="64" t="str">
        <f>Ringkasan!S1131</f>
        <v/>
      </c>
      <c r="T1132" s="64" t="str">
        <f>Ringkasan!T1131</f>
        <v/>
      </c>
      <c r="U1132" s="64">
        <f>Ringkasan!U1131</f>
        <v>565</v>
      </c>
      <c r="V1132" s="64">
        <f>Ringkasan!V1131</f>
        <v>0</v>
      </c>
      <c r="W1132" s="64">
        <f>Ringkasan!W1131</f>
        <v>565</v>
      </c>
      <c r="X1132" s="64">
        <f>Ringkasan!X1131</f>
        <v>570</v>
      </c>
      <c r="Y1132" s="64">
        <f>Ringkasan!Y1131</f>
        <v>545</v>
      </c>
      <c r="Z1132" s="64">
        <f>Ringkasan!Z1131</f>
        <v>22530400</v>
      </c>
      <c r="AA1132" s="64" t="str">
        <f>Ringkasan!AA1131</f>
        <v>Specialty Retail</v>
      </c>
      <c r="AB1132" s="64" t="str">
        <f>Ringkasan!AB1131</f>
        <v>Consumer Cyclicals</v>
      </c>
    </row>
    <row r="1133" hidden="1">
      <c r="A1133" s="64" t="str">
        <f>Ringkasan!A1132</f>
        <v>MAPA</v>
      </c>
      <c r="B1133" s="64" t="str">
        <f>Ringkasan!B1132</f>
        <v>Map Aktif Adiperkasa Tbk.</v>
      </c>
      <c r="C1133" s="65">
        <f>Ringkasan!C1132</f>
        <v>565</v>
      </c>
      <c r="D1133" s="64" t="str">
        <f>Ringkasan!D1132</f>
        <v>#N/A</v>
      </c>
      <c r="E1133" s="64" t="str">
        <f>Ringkasan!E1132</f>
        <v>IDXG30</v>
      </c>
      <c r="F1133" s="64" t="str">
        <f>Ringkasan!F1132</f>
        <v>4 Agustus 2026</v>
      </c>
      <c r="G1133" s="65">
        <f>Ringkasan!G1132</f>
        <v>9</v>
      </c>
      <c r="H1133" s="19">
        <f>Ringkasan!H1132</f>
        <v>9.9</v>
      </c>
      <c r="I1133" s="19">
        <f>Ringkasan!I1132</f>
        <v>2</v>
      </c>
      <c r="J1133" s="19">
        <f>Ringkasan!J1132</f>
        <v>20</v>
      </c>
      <c r="K1133" s="19">
        <f>Ringkasan!K1132</f>
        <v>12.7</v>
      </c>
      <c r="L1133" s="19">
        <f>Ringkasan!L1132</f>
        <v>0.57</v>
      </c>
      <c r="M1133" s="19">
        <f>Ringkasan!M1132</f>
        <v>37.4</v>
      </c>
      <c r="N1133" s="64" t="str">
        <f>Ringkasan!N1132</f>
        <v/>
      </c>
      <c r="O1133" s="64" t="str">
        <f>Ringkasan!O1132</f>
        <v/>
      </c>
      <c r="P1133" s="64" t="str">
        <f>Ringkasan!P1132</f>
        <v/>
      </c>
      <c r="Q1133" s="64" t="str">
        <f>Ringkasan!Q1132</f>
        <v/>
      </c>
      <c r="R1133" s="64" t="str">
        <f>Ringkasan!R1132</f>
        <v/>
      </c>
      <c r="S1133" s="64" t="str">
        <f>Ringkasan!S1132</f>
        <v/>
      </c>
      <c r="T1133" s="64" t="str">
        <f>Ringkasan!T1132</f>
        <v/>
      </c>
      <c r="U1133" s="64">
        <f>Ringkasan!U1132</f>
        <v>565</v>
      </c>
      <c r="V1133" s="64">
        <f>Ringkasan!V1132</f>
        <v>0</v>
      </c>
      <c r="W1133" s="64">
        <f>Ringkasan!W1132</f>
        <v>565</v>
      </c>
      <c r="X1133" s="64">
        <f>Ringkasan!X1132</f>
        <v>570</v>
      </c>
      <c r="Y1133" s="64">
        <f>Ringkasan!Y1132</f>
        <v>545</v>
      </c>
      <c r="Z1133" s="64">
        <f>Ringkasan!Z1132</f>
        <v>22530400</v>
      </c>
      <c r="AA1133" s="64" t="str">
        <f>Ringkasan!AA1132</f>
        <v>Specialty Retail</v>
      </c>
      <c r="AB1133" s="64" t="str">
        <f>Ringkasan!AB1132</f>
        <v>Consumer Cyclicals</v>
      </c>
    </row>
    <row r="1134" hidden="1">
      <c r="A1134" s="64" t="str">
        <f>Ringkasan!A1133</f>
        <v>MAPA</v>
      </c>
      <c r="B1134" s="64" t="str">
        <f>Ringkasan!B1133</f>
        <v>Map Aktif Adiperkasa Tbk.</v>
      </c>
      <c r="C1134" s="65">
        <f>Ringkasan!C1133</f>
        <v>565</v>
      </c>
      <c r="D1134" s="64" t="str">
        <f>Ringkasan!D1133</f>
        <v>#N/A</v>
      </c>
      <c r="E1134" s="64" t="str">
        <f>Ringkasan!E1133</f>
        <v>IDXSMC-LIQ</v>
      </c>
      <c r="F1134" s="64" t="str">
        <f>Ringkasan!F1133</f>
        <v>4 Agustus 2026</v>
      </c>
      <c r="G1134" s="65">
        <f>Ringkasan!G1133</f>
        <v>9</v>
      </c>
      <c r="H1134" s="19">
        <f>Ringkasan!H1133</f>
        <v>9.9</v>
      </c>
      <c r="I1134" s="19">
        <f>Ringkasan!I1133</f>
        <v>2</v>
      </c>
      <c r="J1134" s="19">
        <f>Ringkasan!J1133</f>
        <v>20</v>
      </c>
      <c r="K1134" s="19">
        <f>Ringkasan!K1133</f>
        <v>12.7</v>
      </c>
      <c r="L1134" s="19">
        <f>Ringkasan!L1133</f>
        <v>0.57</v>
      </c>
      <c r="M1134" s="19">
        <f>Ringkasan!M1133</f>
        <v>37.4</v>
      </c>
      <c r="N1134" s="64" t="str">
        <f>Ringkasan!N1133</f>
        <v/>
      </c>
      <c r="O1134" s="64" t="str">
        <f>Ringkasan!O1133</f>
        <v/>
      </c>
      <c r="P1134" s="64" t="str">
        <f>Ringkasan!P1133</f>
        <v/>
      </c>
      <c r="Q1134" s="64" t="str">
        <f>Ringkasan!Q1133</f>
        <v/>
      </c>
      <c r="R1134" s="64" t="str">
        <f>Ringkasan!R1133</f>
        <v/>
      </c>
      <c r="S1134" s="64" t="str">
        <f>Ringkasan!S1133</f>
        <v/>
      </c>
      <c r="T1134" s="64" t="str">
        <f>Ringkasan!T1133</f>
        <v/>
      </c>
      <c r="U1134" s="64">
        <f>Ringkasan!U1133</f>
        <v>565</v>
      </c>
      <c r="V1134" s="64">
        <f>Ringkasan!V1133</f>
        <v>0</v>
      </c>
      <c r="W1134" s="64">
        <f>Ringkasan!W1133</f>
        <v>565</v>
      </c>
      <c r="X1134" s="64">
        <f>Ringkasan!X1133</f>
        <v>570</v>
      </c>
      <c r="Y1134" s="64">
        <f>Ringkasan!Y1133</f>
        <v>545</v>
      </c>
      <c r="Z1134" s="64">
        <f>Ringkasan!Z1133</f>
        <v>22530400</v>
      </c>
      <c r="AA1134" s="64" t="str">
        <f>Ringkasan!AA1133</f>
        <v>Specialty Retail</v>
      </c>
      <c r="AB1134" s="64" t="str">
        <f>Ringkasan!AB1133</f>
        <v>Consumer Cyclicals</v>
      </c>
    </row>
    <row r="1135" hidden="1">
      <c r="A1135" s="64" t="str">
        <f>Ringkasan!A1134</f>
        <v>MAPA</v>
      </c>
      <c r="B1135" s="64" t="str">
        <f>Ringkasan!B1134</f>
        <v>Map Aktif Adiperkasa Tbk.</v>
      </c>
      <c r="C1135" s="65">
        <f>Ringkasan!C1134</f>
        <v>565</v>
      </c>
      <c r="D1135" s="64" t="str">
        <f>Ringkasan!D1134</f>
        <v>#N/A</v>
      </c>
      <c r="E1135" s="64" t="str">
        <f>Ringkasan!E1134</f>
        <v>MSCI Small Cap</v>
      </c>
      <c r="F1135" s="64" t="str">
        <f>Ringkasan!F1134</f>
        <v>12 Agustus 2026</v>
      </c>
      <c r="G1135" s="64">
        <f>Ringkasan!G1134</f>
        <v>9</v>
      </c>
      <c r="H1135" s="19">
        <f>Ringkasan!H1134</f>
        <v>9.9</v>
      </c>
      <c r="I1135" s="19">
        <f>Ringkasan!I1134</f>
        <v>2</v>
      </c>
      <c r="J1135" s="19">
        <f>Ringkasan!J1134</f>
        <v>20</v>
      </c>
      <c r="K1135" s="19">
        <f>Ringkasan!K1134</f>
        <v>12.7</v>
      </c>
      <c r="L1135" s="19">
        <f>Ringkasan!L1134</f>
        <v>0.57</v>
      </c>
      <c r="M1135" s="19">
        <f>Ringkasan!M1134</f>
        <v>37.4</v>
      </c>
      <c r="N1135" s="64" t="str">
        <f>Ringkasan!N1134</f>
        <v/>
      </c>
      <c r="O1135" s="64" t="str">
        <f>Ringkasan!O1134</f>
        <v/>
      </c>
      <c r="P1135" s="64" t="str">
        <f>Ringkasan!P1134</f>
        <v/>
      </c>
      <c r="Q1135" s="64" t="str">
        <f>Ringkasan!Q1134</f>
        <v/>
      </c>
      <c r="R1135" s="64" t="str">
        <f>Ringkasan!R1134</f>
        <v/>
      </c>
      <c r="S1135" s="64" t="str">
        <f>Ringkasan!S1134</f>
        <v/>
      </c>
      <c r="T1135" s="64" t="str">
        <f>Ringkasan!T1134</f>
        <v/>
      </c>
      <c r="U1135" s="64">
        <f>Ringkasan!U1134</f>
        <v>565</v>
      </c>
      <c r="V1135" s="64">
        <f>Ringkasan!V1134</f>
        <v>0</v>
      </c>
      <c r="W1135" s="64">
        <f>Ringkasan!W1134</f>
        <v>565</v>
      </c>
      <c r="X1135" s="64">
        <f>Ringkasan!X1134</f>
        <v>570</v>
      </c>
      <c r="Y1135" s="64">
        <f>Ringkasan!Y1134</f>
        <v>545</v>
      </c>
      <c r="Z1135" s="64">
        <f>Ringkasan!Z1134</f>
        <v>22530400</v>
      </c>
      <c r="AA1135" s="64" t="str">
        <f>Ringkasan!AA1134</f>
        <v>Specialty Retail</v>
      </c>
      <c r="AB1135" s="64" t="str">
        <f>Ringkasan!AB1134</f>
        <v>Consumer Cyclicals</v>
      </c>
    </row>
    <row r="1136" hidden="1">
      <c r="A1136" s="64" t="str">
        <f>Ringkasan!A1135</f>
        <v>MAPA</v>
      </c>
      <c r="B1136" s="64" t="str">
        <f>Ringkasan!B1135</f>
        <v>Map Aktif Adiperkasa Tbk.</v>
      </c>
      <c r="C1136" s="65">
        <f>Ringkasan!C1135</f>
        <v>565</v>
      </c>
      <c r="D1136" s="64" t="str">
        <f>Ringkasan!D1135</f>
        <v>#N/A</v>
      </c>
      <c r="E1136" s="64" t="str">
        <f>Ringkasan!E1135</f>
        <v>JII70</v>
      </c>
      <c r="F1136" s="66">
        <f>Ringkasan!F1135</f>
        <v>46356</v>
      </c>
      <c r="G1136" s="65">
        <f>Ringkasan!G1135</f>
        <v>9</v>
      </c>
      <c r="H1136" s="19">
        <f>Ringkasan!H1135</f>
        <v>9.9</v>
      </c>
      <c r="I1136" s="19">
        <f>Ringkasan!I1135</f>
        <v>2</v>
      </c>
      <c r="J1136" s="19">
        <f>Ringkasan!J1135</f>
        <v>20</v>
      </c>
      <c r="K1136" s="19">
        <f>Ringkasan!K1135</f>
        <v>12.7</v>
      </c>
      <c r="L1136" s="19">
        <f>Ringkasan!L1135</f>
        <v>0.57</v>
      </c>
      <c r="M1136" s="19">
        <f>Ringkasan!M1135</f>
        <v>37.4</v>
      </c>
      <c r="N1136" s="64" t="str">
        <f>Ringkasan!N1135</f>
        <v/>
      </c>
      <c r="O1136" s="64" t="str">
        <f>Ringkasan!O1135</f>
        <v/>
      </c>
      <c r="P1136" s="64" t="str">
        <f>Ringkasan!P1135</f>
        <v/>
      </c>
      <c r="Q1136" s="64" t="str">
        <f>Ringkasan!Q1135</f>
        <v/>
      </c>
      <c r="R1136" s="64" t="str">
        <f>Ringkasan!R1135</f>
        <v/>
      </c>
      <c r="S1136" s="64" t="str">
        <f>Ringkasan!S1135</f>
        <v/>
      </c>
      <c r="T1136" s="64" t="str">
        <f>Ringkasan!T1135</f>
        <v/>
      </c>
      <c r="U1136" s="64">
        <f>Ringkasan!U1135</f>
        <v>565</v>
      </c>
      <c r="V1136" s="64">
        <f>Ringkasan!V1135</f>
        <v>0</v>
      </c>
      <c r="W1136" s="64">
        <f>Ringkasan!W1135</f>
        <v>565</v>
      </c>
      <c r="X1136" s="64">
        <f>Ringkasan!X1135</f>
        <v>570</v>
      </c>
      <c r="Y1136" s="64">
        <f>Ringkasan!Y1135</f>
        <v>545</v>
      </c>
      <c r="Z1136" s="64">
        <f>Ringkasan!Z1135</f>
        <v>22530400</v>
      </c>
      <c r="AA1136" s="64" t="str">
        <f>Ringkasan!AA1135</f>
        <v>Specialty Retail</v>
      </c>
      <c r="AB1136" s="64" t="str">
        <f>Ringkasan!AB1135</f>
        <v>Consumer Cyclicals</v>
      </c>
    </row>
    <row r="1137" hidden="1">
      <c r="A1137" s="64" t="str">
        <f>Ringkasan!A1136</f>
        <v>MAPB</v>
      </c>
      <c r="B1137" s="64" t="str">
        <f>Ringkasan!B1136</f>
        <v>MAP Boga Adiperkasa Tbk.</v>
      </c>
      <c r="C1137" s="65">
        <f>Ringkasan!C1136</f>
        <v>1150</v>
      </c>
      <c r="D1137" s="64" t="str">
        <f>Ringkasan!D1136</f>
        <v>#N/A</v>
      </c>
      <c r="E1137" s="64" t="str">
        <f>Ringkasan!E1136</f>
        <v/>
      </c>
      <c r="F1137" s="64" t="str">
        <f>Ringkasan!F1136</f>
        <v/>
      </c>
      <c r="G1137" s="64">
        <f>Ringkasan!G1136</f>
        <v>0</v>
      </c>
      <c r="H1137" s="19">
        <f>Ringkasan!H1136</f>
        <v>-23.6</v>
      </c>
      <c r="I1137" s="19">
        <f>Ringkasan!I1136</f>
        <v>2.6</v>
      </c>
      <c r="J1137" s="19">
        <f>Ringkasan!J1136</f>
        <v>-11.1</v>
      </c>
      <c r="K1137" s="19">
        <f>Ringkasan!K1136</f>
        <v>-5.5</v>
      </c>
      <c r="L1137" s="19">
        <f>Ringkasan!L1136</f>
        <v>1</v>
      </c>
      <c r="M1137" s="19">
        <f>Ringkasan!M1136</f>
        <v>-18.5</v>
      </c>
      <c r="N1137" s="64" t="str">
        <f>Ringkasan!N1136</f>
        <v/>
      </c>
      <c r="O1137" s="64" t="str">
        <f>Ringkasan!O1136</f>
        <v/>
      </c>
      <c r="P1137" s="64" t="str">
        <f>Ringkasan!P1136</f>
        <v/>
      </c>
      <c r="Q1137" s="64" t="str">
        <f>Ringkasan!Q1136</f>
        <v/>
      </c>
      <c r="R1137" s="64" t="str">
        <f>Ringkasan!R1136</f>
        <v/>
      </c>
      <c r="S1137" s="64" t="str">
        <f>Ringkasan!S1136</f>
        <v/>
      </c>
      <c r="T1137" s="64" t="str">
        <f>Ringkasan!T1136</f>
        <v/>
      </c>
      <c r="U1137" s="64">
        <f>Ringkasan!U1136</f>
        <v>1200</v>
      </c>
      <c r="V1137" s="64">
        <f>Ringkasan!V1136</f>
        <v>-4.17</v>
      </c>
      <c r="W1137" s="64">
        <f>Ringkasan!W1136</f>
        <v>1205</v>
      </c>
      <c r="X1137" s="64">
        <f>Ringkasan!X1136</f>
        <v>1205</v>
      </c>
      <c r="Y1137" s="64">
        <f>Ringkasan!Y1136</f>
        <v>1150</v>
      </c>
      <c r="Z1137" s="64">
        <f>Ringkasan!Z1136</f>
        <v>2100</v>
      </c>
      <c r="AA1137" s="64" t="str">
        <f>Ringkasan!AA1136</f>
        <v>Tourism &amp; Recreation</v>
      </c>
      <c r="AB1137" s="64" t="str">
        <f>Ringkasan!AB1136</f>
        <v>Consumer Cyclicals</v>
      </c>
    </row>
    <row r="1138" hidden="1">
      <c r="A1138" s="64" t="str">
        <f>Ringkasan!A1137</f>
        <v>MAPI</v>
      </c>
      <c r="B1138" s="64" t="str">
        <f>Ringkasan!B1137</f>
        <v>Mitra Adiperkasa Tbk.</v>
      </c>
      <c r="C1138" s="65">
        <f>Ringkasan!C1137</f>
        <v>1490</v>
      </c>
      <c r="D1138" s="64" t="str">
        <f>Ringkasan!D1137</f>
        <v>#N/A</v>
      </c>
      <c r="E1138" s="64" t="str">
        <f>Ringkasan!E1137</f>
        <v>ESGSKEHATI</v>
      </c>
      <c r="F1138" s="66">
        <f>Ringkasan!F1137</f>
        <v>46356</v>
      </c>
      <c r="G1138" s="64">
        <f>Ringkasan!G1137</f>
        <v>12</v>
      </c>
      <c r="H1138" s="19">
        <f>Ringkasan!H1137</f>
        <v>10.4</v>
      </c>
      <c r="I1138" s="19">
        <f>Ringkasan!I1137</f>
        <v>1.4</v>
      </c>
      <c r="J1138" s="19">
        <f>Ringkasan!J1137</f>
        <v>13.3</v>
      </c>
      <c r="K1138" s="19">
        <f>Ringkasan!K1137</f>
        <v>7</v>
      </c>
      <c r="L1138" s="19">
        <f>Ringkasan!L1137</f>
        <v>0.9</v>
      </c>
      <c r="M1138" s="19">
        <f>Ringkasan!M1137</f>
        <v>19.4</v>
      </c>
      <c r="N1138" s="64" t="str">
        <f>Ringkasan!N1137</f>
        <v/>
      </c>
      <c r="O1138" s="64" t="str">
        <f>Ringkasan!O1137</f>
        <v/>
      </c>
      <c r="P1138" s="64" t="str">
        <f>Ringkasan!P1137</f>
        <v/>
      </c>
      <c r="Q1138" s="64" t="str">
        <f>Ringkasan!Q1137</f>
        <v/>
      </c>
      <c r="R1138" s="64" t="str">
        <f>Ringkasan!R1137</f>
        <v/>
      </c>
      <c r="S1138" s="64" t="str">
        <f>Ringkasan!S1137</f>
        <v/>
      </c>
      <c r="T1138" s="64" t="str">
        <f>Ringkasan!T1137</f>
        <v/>
      </c>
      <c r="U1138" s="64">
        <f>Ringkasan!U1137</f>
        <v>1485</v>
      </c>
      <c r="V1138" s="64">
        <f>Ringkasan!V1137</f>
        <v>0.34</v>
      </c>
      <c r="W1138" s="64">
        <f>Ringkasan!W1137</f>
        <v>1485</v>
      </c>
      <c r="X1138" s="64">
        <f>Ringkasan!X1137</f>
        <v>1490</v>
      </c>
      <c r="Y1138" s="64">
        <f>Ringkasan!Y1137</f>
        <v>1485</v>
      </c>
      <c r="Z1138" s="64">
        <f>Ringkasan!Z1137</f>
        <v>73594900</v>
      </c>
      <c r="AA1138" s="64" t="str">
        <f>Ringkasan!AA1137</f>
        <v>Specialty Retail</v>
      </c>
      <c r="AB1138" s="64" t="str">
        <f>Ringkasan!AB1137</f>
        <v>Consumer Cyclicals</v>
      </c>
    </row>
    <row r="1139" hidden="1">
      <c r="A1139" s="64" t="str">
        <f>Ringkasan!A1138</f>
        <v>MAPI</v>
      </c>
      <c r="B1139" s="64" t="str">
        <f>Ringkasan!B1138</f>
        <v>Mitra Adiperkasa Tbk.</v>
      </c>
      <c r="C1139" s="65">
        <f>Ringkasan!C1138</f>
        <v>1490</v>
      </c>
      <c r="D1139" s="64" t="str">
        <f>Ringkasan!D1138</f>
        <v>#N/A</v>
      </c>
      <c r="E1139" s="64" t="str">
        <f>Ringkasan!E1138</f>
        <v>ECONOMIC30</v>
      </c>
      <c r="F1139" s="64" t="str">
        <f>Ringkasan!F1138</f>
        <v>31 Agustus 2026</v>
      </c>
      <c r="G1139" s="64">
        <f>Ringkasan!G1138</f>
        <v>12</v>
      </c>
      <c r="H1139" s="19">
        <f>Ringkasan!H1138</f>
        <v>10.4</v>
      </c>
      <c r="I1139" s="19">
        <f>Ringkasan!I1138</f>
        <v>1.4</v>
      </c>
      <c r="J1139" s="19">
        <f>Ringkasan!J1138</f>
        <v>13.3</v>
      </c>
      <c r="K1139" s="19">
        <f>Ringkasan!K1138</f>
        <v>7</v>
      </c>
      <c r="L1139" s="19">
        <f>Ringkasan!L1138</f>
        <v>0.9</v>
      </c>
      <c r="M1139" s="19">
        <f>Ringkasan!M1138</f>
        <v>19.4</v>
      </c>
      <c r="N1139" s="64" t="str">
        <f>Ringkasan!N1138</f>
        <v/>
      </c>
      <c r="O1139" s="64" t="str">
        <f>Ringkasan!O1138</f>
        <v/>
      </c>
      <c r="P1139" s="64" t="str">
        <f>Ringkasan!P1138</f>
        <v/>
      </c>
      <c r="Q1139" s="64" t="str">
        <f>Ringkasan!Q1138</f>
        <v/>
      </c>
      <c r="R1139" s="64" t="str">
        <f>Ringkasan!R1138</f>
        <v/>
      </c>
      <c r="S1139" s="64" t="str">
        <f>Ringkasan!S1138</f>
        <v/>
      </c>
      <c r="T1139" s="64" t="str">
        <f>Ringkasan!T1138</f>
        <v/>
      </c>
      <c r="U1139" s="64">
        <f>Ringkasan!U1138</f>
        <v>1485</v>
      </c>
      <c r="V1139" s="64">
        <f>Ringkasan!V1138</f>
        <v>0.34</v>
      </c>
      <c r="W1139" s="64">
        <f>Ringkasan!W1138</f>
        <v>1485</v>
      </c>
      <c r="X1139" s="64">
        <f>Ringkasan!X1138</f>
        <v>1490</v>
      </c>
      <c r="Y1139" s="64">
        <f>Ringkasan!Y1138</f>
        <v>1485</v>
      </c>
      <c r="Z1139" s="64">
        <f>Ringkasan!Z1138</f>
        <v>73594900</v>
      </c>
      <c r="AA1139" s="64" t="str">
        <f>Ringkasan!AA1138</f>
        <v>Specialty Retail</v>
      </c>
      <c r="AB1139" s="64" t="str">
        <f>Ringkasan!AB1138</f>
        <v>Consumer Cyclicals</v>
      </c>
    </row>
    <row r="1140" hidden="1">
      <c r="A1140" s="64" t="str">
        <f>Ringkasan!A1139</f>
        <v>MAPI</v>
      </c>
      <c r="B1140" s="64" t="str">
        <f>Ringkasan!B1139</f>
        <v>Mitra Adiperkasa Tbk.</v>
      </c>
      <c r="C1140" s="65">
        <f>Ringkasan!C1139</f>
        <v>1490</v>
      </c>
      <c r="D1140" s="64" t="str">
        <f>Ringkasan!D1139</f>
        <v>#N/A</v>
      </c>
      <c r="E1140" s="64" t="str">
        <f>Ringkasan!E1139</f>
        <v>IDX80</v>
      </c>
      <c r="F1140" s="64" t="str">
        <f>Ringkasan!F1139</f>
        <v>31 Juli 2026</v>
      </c>
      <c r="G1140" s="64">
        <f>Ringkasan!G1139</f>
        <v>12</v>
      </c>
      <c r="H1140" s="19">
        <f>Ringkasan!H1139</f>
        <v>10.4</v>
      </c>
      <c r="I1140" s="19">
        <f>Ringkasan!I1139</f>
        <v>1.4</v>
      </c>
      <c r="J1140" s="19">
        <f>Ringkasan!J1139</f>
        <v>13.3</v>
      </c>
      <c r="K1140" s="19">
        <f>Ringkasan!K1139</f>
        <v>7</v>
      </c>
      <c r="L1140" s="19">
        <f>Ringkasan!L1139</f>
        <v>0.9</v>
      </c>
      <c r="M1140" s="19">
        <f>Ringkasan!M1139</f>
        <v>19.4</v>
      </c>
      <c r="N1140" s="64" t="str">
        <f>Ringkasan!N1139</f>
        <v/>
      </c>
      <c r="O1140" s="64" t="str">
        <f>Ringkasan!O1139</f>
        <v/>
      </c>
      <c r="P1140" s="64" t="str">
        <f>Ringkasan!P1139</f>
        <v/>
      </c>
      <c r="Q1140" s="64" t="str">
        <f>Ringkasan!Q1139</f>
        <v/>
      </c>
      <c r="R1140" s="64" t="str">
        <f>Ringkasan!R1139</f>
        <v/>
      </c>
      <c r="S1140" s="64" t="str">
        <f>Ringkasan!S1139</f>
        <v/>
      </c>
      <c r="T1140" s="64" t="str">
        <f>Ringkasan!T1139</f>
        <v/>
      </c>
      <c r="U1140" s="64">
        <f>Ringkasan!U1139</f>
        <v>1485</v>
      </c>
      <c r="V1140" s="64">
        <f>Ringkasan!V1139</f>
        <v>0.34</v>
      </c>
      <c r="W1140" s="64">
        <f>Ringkasan!W1139</f>
        <v>1485</v>
      </c>
      <c r="X1140" s="64">
        <f>Ringkasan!X1139</f>
        <v>1490</v>
      </c>
      <c r="Y1140" s="64">
        <f>Ringkasan!Y1139</f>
        <v>1485</v>
      </c>
      <c r="Z1140" s="64">
        <f>Ringkasan!Z1139</f>
        <v>73594900</v>
      </c>
      <c r="AA1140" s="64" t="str">
        <f>Ringkasan!AA1139</f>
        <v>Specialty Retail</v>
      </c>
      <c r="AB1140" s="64" t="str">
        <f>Ringkasan!AB1139</f>
        <v>Consumer Cyclicals</v>
      </c>
    </row>
    <row r="1141" hidden="1">
      <c r="A1141" s="64" t="str">
        <f>Ringkasan!A1140</f>
        <v>MAPI</v>
      </c>
      <c r="B1141" s="64" t="str">
        <f>Ringkasan!B1140</f>
        <v>Mitra Adiperkasa Tbk.</v>
      </c>
      <c r="C1141" s="65">
        <f>Ringkasan!C1140</f>
        <v>1490</v>
      </c>
      <c r="D1141" s="64" t="str">
        <f>Ringkasan!D1140</f>
        <v>#N/A</v>
      </c>
      <c r="E1141" s="64" t="str">
        <f>Ringkasan!E1140</f>
        <v>LQ45</v>
      </c>
      <c r="F1141" s="64" t="str">
        <f>Ringkasan!F1140</f>
        <v>31 Juli 2026</v>
      </c>
      <c r="G1141" s="64">
        <f>Ringkasan!G1140</f>
        <v>12</v>
      </c>
      <c r="H1141" s="19">
        <f>Ringkasan!H1140</f>
        <v>10.4</v>
      </c>
      <c r="I1141" s="19">
        <f>Ringkasan!I1140</f>
        <v>1.4</v>
      </c>
      <c r="J1141" s="19">
        <f>Ringkasan!J1140</f>
        <v>13.3</v>
      </c>
      <c r="K1141" s="19">
        <f>Ringkasan!K1140</f>
        <v>7</v>
      </c>
      <c r="L1141" s="19">
        <f>Ringkasan!L1140</f>
        <v>0.9</v>
      </c>
      <c r="M1141" s="19">
        <f>Ringkasan!M1140</f>
        <v>19.4</v>
      </c>
      <c r="N1141" s="64" t="str">
        <f>Ringkasan!N1140</f>
        <v/>
      </c>
      <c r="O1141" s="64" t="str">
        <f>Ringkasan!O1140</f>
        <v/>
      </c>
      <c r="P1141" s="64" t="str">
        <f>Ringkasan!P1140</f>
        <v/>
      </c>
      <c r="Q1141" s="64" t="str">
        <f>Ringkasan!Q1140</f>
        <v/>
      </c>
      <c r="R1141" s="64" t="str">
        <f>Ringkasan!R1140</f>
        <v/>
      </c>
      <c r="S1141" s="64" t="str">
        <f>Ringkasan!S1140</f>
        <v/>
      </c>
      <c r="T1141" s="64" t="str">
        <f>Ringkasan!T1140</f>
        <v/>
      </c>
      <c r="U1141" s="64">
        <f>Ringkasan!U1140</f>
        <v>1485</v>
      </c>
      <c r="V1141" s="64">
        <f>Ringkasan!V1140</f>
        <v>0.34</v>
      </c>
      <c r="W1141" s="64">
        <f>Ringkasan!W1140</f>
        <v>1485</v>
      </c>
      <c r="X1141" s="64">
        <f>Ringkasan!X1140</f>
        <v>1490</v>
      </c>
      <c r="Y1141" s="64">
        <f>Ringkasan!Y1140</f>
        <v>1485</v>
      </c>
      <c r="Z1141" s="64">
        <f>Ringkasan!Z1140</f>
        <v>73594900</v>
      </c>
      <c r="AA1141" s="64" t="str">
        <f>Ringkasan!AA1140</f>
        <v>Specialty Retail</v>
      </c>
      <c r="AB1141" s="64" t="str">
        <f>Ringkasan!AB1140</f>
        <v>Consumer Cyclicals</v>
      </c>
    </row>
    <row r="1142" hidden="1">
      <c r="A1142" s="64" t="str">
        <f>Ringkasan!A1141</f>
        <v>MAPI</v>
      </c>
      <c r="B1142" s="64" t="str">
        <f>Ringkasan!B1141</f>
        <v>Mitra Adiperkasa Tbk.</v>
      </c>
      <c r="C1142" s="65">
        <f>Ringkasan!C1141</f>
        <v>1490</v>
      </c>
      <c r="D1142" s="64" t="str">
        <f>Ringkasan!D1141</f>
        <v>#N/A</v>
      </c>
      <c r="E1142" s="64" t="str">
        <f>Ringkasan!E1141</f>
        <v>Kompas100</v>
      </c>
      <c r="F1142" s="64" t="str">
        <f>Ringkasan!F1141</f>
        <v>31 Juli 2026</v>
      </c>
      <c r="G1142" s="64">
        <f>Ringkasan!G1141</f>
        <v>12</v>
      </c>
      <c r="H1142" s="19">
        <f>Ringkasan!H1141</f>
        <v>10.4</v>
      </c>
      <c r="I1142" s="19">
        <f>Ringkasan!I1141</f>
        <v>1.4</v>
      </c>
      <c r="J1142" s="19">
        <f>Ringkasan!J1141</f>
        <v>13.3</v>
      </c>
      <c r="K1142" s="19">
        <f>Ringkasan!K1141</f>
        <v>7</v>
      </c>
      <c r="L1142" s="19">
        <f>Ringkasan!L1141</f>
        <v>0.9</v>
      </c>
      <c r="M1142" s="19">
        <f>Ringkasan!M1141</f>
        <v>19.4</v>
      </c>
      <c r="N1142" s="64" t="str">
        <f>Ringkasan!N1141</f>
        <v/>
      </c>
      <c r="O1142" s="64" t="str">
        <f>Ringkasan!O1141</f>
        <v/>
      </c>
      <c r="P1142" s="64" t="str">
        <f>Ringkasan!P1141</f>
        <v/>
      </c>
      <c r="Q1142" s="64" t="str">
        <f>Ringkasan!Q1141</f>
        <v/>
      </c>
      <c r="R1142" s="64" t="str">
        <f>Ringkasan!R1141</f>
        <v/>
      </c>
      <c r="S1142" s="64" t="str">
        <f>Ringkasan!S1141</f>
        <v/>
      </c>
      <c r="T1142" s="64" t="str">
        <f>Ringkasan!T1141</f>
        <v/>
      </c>
      <c r="U1142" s="64">
        <f>Ringkasan!U1141</f>
        <v>1485</v>
      </c>
      <c r="V1142" s="64">
        <f>Ringkasan!V1141</f>
        <v>0.34</v>
      </c>
      <c r="W1142" s="64">
        <f>Ringkasan!W1141</f>
        <v>1485</v>
      </c>
      <c r="X1142" s="64">
        <f>Ringkasan!X1141</f>
        <v>1490</v>
      </c>
      <c r="Y1142" s="64">
        <f>Ringkasan!Y1141</f>
        <v>1485</v>
      </c>
      <c r="Z1142" s="64">
        <f>Ringkasan!Z1141</f>
        <v>73594900</v>
      </c>
      <c r="AA1142" s="64" t="str">
        <f>Ringkasan!AA1141</f>
        <v>Specialty Retail</v>
      </c>
      <c r="AB1142" s="64" t="str">
        <f>Ringkasan!AB1141</f>
        <v>Consumer Cyclicals</v>
      </c>
    </row>
    <row r="1143" hidden="1">
      <c r="A1143" s="64" t="str">
        <f>Ringkasan!A1142</f>
        <v>MAPI</v>
      </c>
      <c r="B1143" s="64" t="str">
        <f>Ringkasan!B1142</f>
        <v>Mitra Adiperkasa Tbk.</v>
      </c>
      <c r="C1143" s="65">
        <f>Ringkasan!C1142</f>
        <v>1490</v>
      </c>
      <c r="D1143" s="64" t="str">
        <f>Ringkasan!D1142</f>
        <v>#N/A</v>
      </c>
      <c r="E1143" s="64" t="str">
        <f>Ringkasan!E1142</f>
        <v>BISNIS-27</v>
      </c>
      <c r="F1143" s="64" t="str">
        <f>Ringkasan!F1142</f>
        <v>30 Oktober 2026</v>
      </c>
      <c r="G1143" s="64">
        <f>Ringkasan!G1142</f>
        <v>12</v>
      </c>
      <c r="H1143" s="19">
        <f>Ringkasan!H1142</f>
        <v>10.4</v>
      </c>
      <c r="I1143" s="19">
        <f>Ringkasan!I1142</f>
        <v>1.4</v>
      </c>
      <c r="J1143" s="19">
        <f>Ringkasan!J1142</f>
        <v>13.3</v>
      </c>
      <c r="K1143" s="19">
        <f>Ringkasan!K1142</f>
        <v>7</v>
      </c>
      <c r="L1143" s="19">
        <f>Ringkasan!L1142</f>
        <v>0.9</v>
      </c>
      <c r="M1143" s="19">
        <f>Ringkasan!M1142</f>
        <v>19.4</v>
      </c>
      <c r="N1143" s="64" t="str">
        <f>Ringkasan!N1142</f>
        <v/>
      </c>
      <c r="O1143" s="64" t="str">
        <f>Ringkasan!O1142</f>
        <v/>
      </c>
      <c r="P1143" s="64" t="str">
        <f>Ringkasan!P1142</f>
        <v/>
      </c>
      <c r="Q1143" s="64" t="str">
        <f>Ringkasan!Q1142</f>
        <v/>
      </c>
      <c r="R1143" s="64" t="str">
        <f>Ringkasan!R1142</f>
        <v/>
      </c>
      <c r="S1143" s="64" t="str">
        <f>Ringkasan!S1142</f>
        <v/>
      </c>
      <c r="T1143" s="64" t="str">
        <f>Ringkasan!T1142</f>
        <v/>
      </c>
      <c r="U1143" s="64">
        <f>Ringkasan!U1142</f>
        <v>1485</v>
      </c>
      <c r="V1143" s="64">
        <f>Ringkasan!V1142</f>
        <v>0.34</v>
      </c>
      <c r="W1143" s="64">
        <f>Ringkasan!W1142</f>
        <v>1485</v>
      </c>
      <c r="X1143" s="64">
        <f>Ringkasan!X1142</f>
        <v>1490</v>
      </c>
      <c r="Y1143" s="64">
        <f>Ringkasan!Y1142</f>
        <v>1485</v>
      </c>
      <c r="Z1143" s="64">
        <f>Ringkasan!Z1142</f>
        <v>73594900</v>
      </c>
      <c r="AA1143" s="64" t="str">
        <f>Ringkasan!AA1142</f>
        <v>Specialty Retail</v>
      </c>
      <c r="AB1143" s="64" t="str">
        <f>Ringkasan!AB1142</f>
        <v>Consumer Cyclicals</v>
      </c>
    </row>
    <row r="1144" hidden="1">
      <c r="A1144" s="64" t="str">
        <f>Ringkasan!A1143</f>
        <v>MAPI</v>
      </c>
      <c r="B1144" s="64" t="str">
        <f>Ringkasan!B1143</f>
        <v>Mitra Adiperkasa Tbk.</v>
      </c>
      <c r="C1144" s="65">
        <f>Ringkasan!C1143</f>
        <v>1490</v>
      </c>
      <c r="D1144" s="64" t="str">
        <f>Ringkasan!D1143</f>
        <v>#N/A</v>
      </c>
      <c r="E1144" s="64" t="str">
        <f>Ringkasan!E1143</f>
        <v>MNC36</v>
      </c>
      <c r="F1144" s="64" t="str">
        <f>Ringkasan!F1143</f>
        <v>30 Oktober 2026</v>
      </c>
      <c r="G1144" s="64">
        <f>Ringkasan!G1143</f>
        <v>12</v>
      </c>
      <c r="H1144" s="19">
        <f>Ringkasan!H1143</f>
        <v>10.4</v>
      </c>
      <c r="I1144" s="19">
        <f>Ringkasan!I1143</f>
        <v>1.4</v>
      </c>
      <c r="J1144" s="19">
        <f>Ringkasan!J1143</f>
        <v>13.3</v>
      </c>
      <c r="K1144" s="19">
        <f>Ringkasan!K1143</f>
        <v>7</v>
      </c>
      <c r="L1144" s="19">
        <f>Ringkasan!L1143</f>
        <v>0.9</v>
      </c>
      <c r="M1144" s="19">
        <f>Ringkasan!M1143</f>
        <v>19.4</v>
      </c>
      <c r="N1144" s="64" t="str">
        <f>Ringkasan!N1143</f>
        <v/>
      </c>
      <c r="O1144" s="64" t="str">
        <f>Ringkasan!O1143</f>
        <v/>
      </c>
      <c r="P1144" s="64" t="str">
        <f>Ringkasan!P1143</f>
        <v/>
      </c>
      <c r="Q1144" s="64" t="str">
        <f>Ringkasan!Q1143</f>
        <v/>
      </c>
      <c r="R1144" s="64" t="str">
        <f>Ringkasan!R1143</f>
        <v/>
      </c>
      <c r="S1144" s="64" t="str">
        <f>Ringkasan!S1143</f>
        <v/>
      </c>
      <c r="T1144" s="64" t="str">
        <f>Ringkasan!T1143</f>
        <v/>
      </c>
      <c r="U1144" s="64">
        <f>Ringkasan!U1143</f>
        <v>1485</v>
      </c>
      <c r="V1144" s="64">
        <f>Ringkasan!V1143</f>
        <v>0.34</v>
      </c>
      <c r="W1144" s="64">
        <f>Ringkasan!W1143</f>
        <v>1485</v>
      </c>
      <c r="X1144" s="64">
        <f>Ringkasan!X1143</f>
        <v>1490</v>
      </c>
      <c r="Y1144" s="64">
        <f>Ringkasan!Y1143</f>
        <v>1485</v>
      </c>
      <c r="Z1144" s="64">
        <f>Ringkasan!Z1143</f>
        <v>73594900</v>
      </c>
      <c r="AA1144" s="64" t="str">
        <f>Ringkasan!AA1143</f>
        <v>Specialty Retail</v>
      </c>
      <c r="AB1144" s="64" t="str">
        <f>Ringkasan!AB1143</f>
        <v>Consumer Cyclicals</v>
      </c>
    </row>
    <row r="1145" hidden="1">
      <c r="A1145" s="64" t="str">
        <f>Ringkasan!A1144</f>
        <v>MAPI</v>
      </c>
      <c r="B1145" s="64" t="str">
        <f>Ringkasan!B1144</f>
        <v>Mitra Adiperkasa Tbk.</v>
      </c>
      <c r="C1145" s="65">
        <f>Ringkasan!C1144</f>
        <v>1490</v>
      </c>
      <c r="D1145" s="64" t="str">
        <f>Ringkasan!D1144</f>
        <v>#N/A</v>
      </c>
      <c r="E1145" s="64" t="str">
        <f>Ringkasan!E1144</f>
        <v>IDXESGL</v>
      </c>
      <c r="F1145" s="64" t="str">
        <f>Ringkasan!F1144</f>
        <v>30 Oktober 2026</v>
      </c>
      <c r="G1145" s="64">
        <f>Ringkasan!G1144</f>
        <v>12</v>
      </c>
      <c r="H1145" s="19">
        <f>Ringkasan!H1144</f>
        <v>10.4</v>
      </c>
      <c r="I1145" s="19">
        <f>Ringkasan!I1144</f>
        <v>1.4</v>
      </c>
      <c r="J1145" s="19">
        <f>Ringkasan!J1144</f>
        <v>13.3</v>
      </c>
      <c r="K1145" s="19">
        <f>Ringkasan!K1144</f>
        <v>7</v>
      </c>
      <c r="L1145" s="19">
        <f>Ringkasan!L1144</f>
        <v>0.9</v>
      </c>
      <c r="M1145" s="19">
        <f>Ringkasan!M1144</f>
        <v>19.4</v>
      </c>
      <c r="N1145" s="64" t="str">
        <f>Ringkasan!N1144</f>
        <v/>
      </c>
      <c r="O1145" s="64" t="str">
        <f>Ringkasan!O1144</f>
        <v/>
      </c>
      <c r="P1145" s="64" t="str">
        <f>Ringkasan!P1144</f>
        <v/>
      </c>
      <c r="Q1145" s="64" t="str">
        <f>Ringkasan!Q1144</f>
        <v/>
      </c>
      <c r="R1145" s="64" t="str">
        <f>Ringkasan!R1144</f>
        <v/>
      </c>
      <c r="S1145" s="64" t="str">
        <f>Ringkasan!S1144</f>
        <v/>
      </c>
      <c r="T1145" s="64" t="str">
        <f>Ringkasan!T1144</f>
        <v/>
      </c>
      <c r="U1145" s="64">
        <f>Ringkasan!U1144</f>
        <v>1485</v>
      </c>
      <c r="V1145" s="64">
        <f>Ringkasan!V1144</f>
        <v>0.34</v>
      </c>
      <c r="W1145" s="64">
        <f>Ringkasan!W1144</f>
        <v>1485</v>
      </c>
      <c r="X1145" s="64">
        <f>Ringkasan!X1144</f>
        <v>1490</v>
      </c>
      <c r="Y1145" s="64">
        <f>Ringkasan!Y1144</f>
        <v>1485</v>
      </c>
      <c r="Z1145" s="64">
        <f>Ringkasan!Z1144</f>
        <v>73594900</v>
      </c>
      <c r="AA1145" s="64" t="str">
        <f>Ringkasan!AA1144</f>
        <v>Specialty Retail</v>
      </c>
      <c r="AB1145" s="64" t="str">
        <f>Ringkasan!AB1144</f>
        <v>Consumer Cyclicals</v>
      </c>
    </row>
    <row r="1146" hidden="1">
      <c r="A1146" s="64" t="str">
        <f>Ringkasan!A1145</f>
        <v>MAPI</v>
      </c>
      <c r="B1146" s="64" t="str">
        <f>Ringkasan!B1145</f>
        <v>Mitra Adiperkasa Tbk.</v>
      </c>
      <c r="C1146" s="65">
        <f>Ringkasan!C1145</f>
        <v>1490</v>
      </c>
      <c r="D1146" s="64" t="str">
        <f>Ringkasan!D1145</f>
        <v>#N/A</v>
      </c>
      <c r="E1146" s="64" t="str">
        <f>Ringkasan!E1145</f>
        <v>IDXV30</v>
      </c>
      <c r="F1146" s="64" t="str">
        <f>Ringkasan!F1145</f>
        <v>4 Agustus 2026</v>
      </c>
      <c r="G1146" s="64">
        <f>Ringkasan!G1145</f>
        <v>12</v>
      </c>
      <c r="H1146" s="19">
        <f>Ringkasan!H1145</f>
        <v>10.4</v>
      </c>
      <c r="I1146" s="19">
        <f>Ringkasan!I1145</f>
        <v>1.4</v>
      </c>
      <c r="J1146" s="19">
        <f>Ringkasan!J1145</f>
        <v>13.3</v>
      </c>
      <c r="K1146" s="19">
        <f>Ringkasan!K1145</f>
        <v>7</v>
      </c>
      <c r="L1146" s="19">
        <f>Ringkasan!L1145</f>
        <v>0.9</v>
      </c>
      <c r="M1146" s="19">
        <f>Ringkasan!M1145</f>
        <v>19.4</v>
      </c>
      <c r="N1146" s="64" t="str">
        <f>Ringkasan!N1145</f>
        <v/>
      </c>
      <c r="O1146" s="64" t="str">
        <f>Ringkasan!O1145</f>
        <v/>
      </c>
      <c r="P1146" s="64" t="str">
        <f>Ringkasan!P1145</f>
        <v/>
      </c>
      <c r="Q1146" s="64" t="str">
        <f>Ringkasan!Q1145</f>
        <v/>
      </c>
      <c r="R1146" s="64" t="str">
        <f>Ringkasan!R1145</f>
        <v/>
      </c>
      <c r="S1146" s="64" t="str">
        <f>Ringkasan!S1145</f>
        <v/>
      </c>
      <c r="T1146" s="64" t="str">
        <f>Ringkasan!T1145</f>
        <v/>
      </c>
      <c r="U1146" s="64">
        <f>Ringkasan!U1145</f>
        <v>1485</v>
      </c>
      <c r="V1146" s="64">
        <f>Ringkasan!V1145</f>
        <v>0.34</v>
      </c>
      <c r="W1146" s="64">
        <f>Ringkasan!W1145</f>
        <v>1485</v>
      </c>
      <c r="X1146" s="64">
        <f>Ringkasan!X1145</f>
        <v>1490</v>
      </c>
      <c r="Y1146" s="64">
        <f>Ringkasan!Y1145</f>
        <v>1485</v>
      </c>
      <c r="Z1146" s="64">
        <f>Ringkasan!Z1145</f>
        <v>73594900</v>
      </c>
      <c r="AA1146" s="64" t="str">
        <f>Ringkasan!AA1145</f>
        <v>Specialty Retail</v>
      </c>
      <c r="AB1146" s="64" t="str">
        <f>Ringkasan!AB1145</f>
        <v>Consumer Cyclicals</v>
      </c>
    </row>
    <row r="1147" hidden="1">
      <c r="A1147" s="64" t="str">
        <f>Ringkasan!A1146</f>
        <v>MAPI</v>
      </c>
      <c r="B1147" s="64" t="str">
        <f>Ringkasan!B1146</f>
        <v>Mitra Adiperkasa Tbk.</v>
      </c>
      <c r="C1147" s="65">
        <f>Ringkasan!C1146</f>
        <v>1490</v>
      </c>
      <c r="D1147" s="64" t="str">
        <f>Ringkasan!D1146</f>
        <v>#N/A</v>
      </c>
      <c r="E1147" s="64" t="str">
        <f>Ringkasan!E1146</f>
        <v>IDXSMC-LIQ</v>
      </c>
      <c r="F1147" s="64" t="str">
        <f>Ringkasan!F1146</f>
        <v>4 Agustus 2026</v>
      </c>
      <c r="G1147" s="64">
        <f>Ringkasan!G1146</f>
        <v>12</v>
      </c>
      <c r="H1147" s="19">
        <f>Ringkasan!H1146</f>
        <v>10.4</v>
      </c>
      <c r="I1147" s="19">
        <f>Ringkasan!I1146</f>
        <v>1.4</v>
      </c>
      <c r="J1147" s="19">
        <f>Ringkasan!J1146</f>
        <v>13.3</v>
      </c>
      <c r="K1147" s="19">
        <f>Ringkasan!K1146</f>
        <v>7</v>
      </c>
      <c r="L1147" s="19">
        <f>Ringkasan!L1146</f>
        <v>0.9</v>
      </c>
      <c r="M1147" s="19">
        <f>Ringkasan!M1146</f>
        <v>19.4</v>
      </c>
      <c r="N1147" s="64" t="str">
        <f>Ringkasan!N1146</f>
        <v/>
      </c>
      <c r="O1147" s="64" t="str">
        <f>Ringkasan!O1146</f>
        <v/>
      </c>
      <c r="P1147" s="64" t="str">
        <f>Ringkasan!P1146</f>
        <v/>
      </c>
      <c r="Q1147" s="64" t="str">
        <f>Ringkasan!Q1146</f>
        <v/>
      </c>
      <c r="R1147" s="64" t="str">
        <f>Ringkasan!R1146</f>
        <v/>
      </c>
      <c r="S1147" s="64" t="str">
        <f>Ringkasan!S1146</f>
        <v/>
      </c>
      <c r="T1147" s="64" t="str">
        <f>Ringkasan!T1146</f>
        <v/>
      </c>
      <c r="U1147" s="64">
        <f>Ringkasan!U1146</f>
        <v>1485</v>
      </c>
      <c r="V1147" s="64">
        <f>Ringkasan!V1146</f>
        <v>0.34</v>
      </c>
      <c r="W1147" s="64">
        <f>Ringkasan!W1146</f>
        <v>1485</v>
      </c>
      <c r="X1147" s="64">
        <f>Ringkasan!X1146</f>
        <v>1490</v>
      </c>
      <c r="Y1147" s="64">
        <f>Ringkasan!Y1146</f>
        <v>1485</v>
      </c>
      <c r="Z1147" s="64">
        <f>Ringkasan!Z1146</f>
        <v>73594900</v>
      </c>
      <c r="AA1147" s="64" t="str">
        <f>Ringkasan!AA1146</f>
        <v>Specialty Retail</v>
      </c>
      <c r="AB1147" s="64" t="str">
        <f>Ringkasan!AB1146</f>
        <v>Consumer Cyclicals</v>
      </c>
    </row>
    <row r="1148" hidden="1">
      <c r="A1148" s="64" t="str">
        <f>Ringkasan!A1147</f>
        <v>MAPI</v>
      </c>
      <c r="B1148" s="64" t="str">
        <f>Ringkasan!B1147</f>
        <v>Mitra Adiperkasa Tbk.</v>
      </c>
      <c r="C1148" s="65">
        <f>Ringkasan!C1147</f>
        <v>1490</v>
      </c>
      <c r="D1148" s="64" t="str">
        <f>Ringkasan!D1147</f>
        <v>#N/A</v>
      </c>
      <c r="E1148" s="64" t="str">
        <f>Ringkasan!E1147</f>
        <v>MSCI Small Cap</v>
      </c>
      <c r="F1148" s="64" t="str">
        <f>Ringkasan!F1147</f>
        <v>12 Agustus 2026</v>
      </c>
      <c r="G1148" s="64">
        <f>Ringkasan!G1147</f>
        <v>12</v>
      </c>
      <c r="H1148" s="19">
        <f>Ringkasan!H1147</f>
        <v>10.4</v>
      </c>
      <c r="I1148" s="19">
        <f>Ringkasan!I1147</f>
        <v>1.4</v>
      </c>
      <c r="J1148" s="19">
        <f>Ringkasan!J1147</f>
        <v>13.3</v>
      </c>
      <c r="K1148" s="19">
        <f>Ringkasan!K1147</f>
        <v>7</v>
      </c>
      <c r="L1148" s="19">
        <f>Ringkasan!L1147</f>
        <v>0.9</v>
      </c>
      <c r="M1148" s="19">
        <f>Ringkasan!M1147</f>
        <v>19.4</v>
      </c>
      <c r="N1148" s="64" t="str">
        <f>Ringkasan!N1147</f>
        <v/>
      </c>
      <c r="O1148" s="64" t="str">
        <f>Ringkasan!O1147</f>
        <v/>
      </c>
      <c r="P1148" s="64" t="str">
        <f>Ringkasan!P1147</f>
        <v/>
      </c>
      <c r="Q1148" s="64" t="str">
        <f>Ringkasan!Q1147</f>
        <v/>
      </c>
      <c r="R1148" s="64" t="str">
        <f>Ringkasan!R1147</f>
        <v/>
      </c>
      <c r="S1148" s="64" t="str">
        <f>Ringkasan!S1147</f>
        <v/>
      </c>
      <c r="T1148" s="64" t="str">
        <f>Ringkasan!T1147</f>
        <v/>
      </c>
      <c r="U1148" s="64">
        <f>Ringkasan!U1147</f>
        <v>1485</v>
      </c>
      <c r="V1148" s="64">
        <f>Ringkasan!V1147</f>
        <v>0.34</v>
      </c>
      <c r="W1148" s="64">
        <f>Ringkasan!W1147</f>
        <v>1485</v>
      </c>
      <c r="X1148" s="64">
        <f>Ringkasan!X1147</f>
        <v>1490</v>
      </c>
      <c r="Y1148" s="64">
        <f>Ringkasan!Y1147</f>
        <v>1485</v>
      </c>
      <c r="Z1148" s="64">
        <f>Ringkasan!Z1147</f>
        <v>73594900</v>
      </c>
      <c r="AA1148" s="64" t="str">
        <f>Ringkasan!AA1147</f>
        <v>Specialty Retail</v>
      </c>
      <c r="AB1148" s="64" t="str">
        <f>Ringkasan!AB1147</f>
        <v>Consumer Cyclicals</v>
      </c>
    </row>
    <row r="1149" hidden="1">
      <c r="A1149" s="64" t="str">
        <f>Ringkasan!A1148</f>
        <v>MAPI</v>
      </c>
      <c r="B1149" s="64" t="str">
        <f>Ringkasan!B1148</f>
        <v>Mitra Adiperkasa Tbk.</v>
      </c>
      <c r="C1149" s="65">
        <f>Ringkasan!C1148</f>
        <v>1490</v>
      </c>
      <c r="D1149" s="64" t="str">
        <f>Ringkasan!D1148</f>
        <v>#N/A</v>
      </c>
      <c r="E1149" s="64" t="str">
        <f>Ringkasan!E1148</f>
        <v>JII70</v>
      </c>
      <c r="F1149" s="66">
        <f>Ringkasan!F1148</f>
        <v>46356</v>
      </c>
      <c r="G1149" s="64">
        <f>Ringkasan!G1148</f>
        <v>12</v>
      </c>
      <c r="H1149" s="19">
        <f>Ringkasan!H1148</f>
        <v>10.4</v>
      </c>
      <c r="I1149" s="19">
        <f>Ringkasan!I1148</f>
        <v>1.4</v>
      </c>
      <c r="J1149" s="19">
        <f>Ringkasan!J1148</f>
        <v>13.3</v>
      </c>
      <c r="K1149" s="19">
        <f>Ringkasan!K1148</f>
        <v>7</v>
      </c>
      <c r="L1149" s="19">
        <f>Ringkasan!L1148</f>
        <v>0.9</v>
      </c>
      <c r="M1149" s="19">
        <f>Ringkasan!M1148</f>
        <v>19.4</v>
      </c>
      <c r="N1149" s="64" t="str">
        <f>Ringkasan!N1148</f>
        <v/>
      </c>
      <c r="O1149" s="64" t="str">
        <f>Ringkasan!O1148</f>
        <v/>
      </c>
      <c r="P1149" s="64" t="str">
        <f>Ringkasan!P1148</f>
        <v/>
      </c>
      <c r="Q1149" s="64" t="str">
        <f>Ringkasan!Q1148</f>
        <v/>
      </c>
      <c r="R1149" s="64" t="str">
        <f>Ringkasan!R1148</f>
        <v/>
      </c>
      <c r="S1149" s="64" t="str">
        <f>Ringkasan!S1148</f>
        <v/>
      </c>
      <c r="T1149" s="64" t="str">
        <f>Ringkasan!T1148</f>
        <v/>
      </c>
      <c r="U1149" s="64">
        <f>Ringkasan!U1148</f>
        <v>1485</v>
      </c>
      <c r="V1149" s="64">
        <f>Ringkasan!V1148</f>
        <v>0.34</v>
      </c>
      <c r="W1149" s="64">
        <f>Ringkasan!W1148</f>
        <v>1485</v>
      </c>
      <c r="X1149" s="64">
        <f>Ringkasan!X1148</f>
        <v>1490</v>
      </c>
      <c r="Y1149" s="64">
        <f>Ringkasan!Y1148</f>
        <v>1485</v>
      </c>
      <c r="Z1149" s="64">
        <f>Ringkasan!Z1148</f>
        <v>73594900</v>
      </c>
      <c r="AA1149" s="64" t="str">
        <f>Ringkasan!AA1148</f>
        <v>Specialty Retail</v>
      </c>
      <c r="AB1149" s="64" t="str">
        <f>Ringkasan!AB1148</f>
        <v>Consumer Cyclicals</v>
      </c>
    </row>
    <row r="1150" hidden="1">
      <c r="A1150" s="64" t="str">
        <f>Ringkasan!A1149</f>
        <v>MARI</v>
      </c>
      <c r="B1150" s="64" t="str">
        <f>Ringkasan!B1149</f>
        <v>Mahaka Radio Integra Tbk.</v>
      </c>
      <c r="C1150" s="65">
        <f>Ringkasan!C1149</f>
        <v>23</v>
      </c>
      <c r="D1150" s="64" t="str">
        <f>Ringkasan!D1149</f>
        <v>#N/A</v>
      </c>
      <c r="E1150" s="64" t="str">
        <f>Ringkasan!E1149</f>
        <v/>
      </c>
      <c r="F1150" s="64" t="str">
        <f>Ringkasan!F1149</f>
        <v/>
      </c>
      <c r="G1150" s="64">
        <f>Ringkasan!G1149</f>
        <v>0</v>
      </c>
      <c r="H1150" s="19">
        <f>Ringkasan!H1149</f>
        <v>-4.7</v>
      </c>
      <c r="I1150" s="19">
        <f>Ringkasan!I1149</f>
        <v>-1.3</v>
      </c>
      <c r="J1150" s="19">
        <f>Ringkasan!J1149</f>
        <v>0</v>
      </c>
      <c r="K1150" s="19">
        <f>Ringkasan!K1149</f>
        <v>-9.3</v>
      </c>
      <c r="L1150" s="19">
        <f>Ringkasan!L1149</f>
        <v>-3.9</v>
      </c>
      <c r="M1150" s="19">
        <f>Ringkasan!M1149</f>
        <v>-83</v>
      </c>
      <c r="N1150" s="64" t="str">
        <f>Ringkasan!N1149</f>
        <v/>
      </c>
      <c r="O1150" s="64" t="str">
        <f>Ringkasan!O1149</f>
        <v/>
      </c>
      <c r="P1150" s="64" t="str">
        <f>Ringkasan!P1149</f>
        <v/>
      </c>
      <c r="Q1150" s="64" t="str">
        <f>Ringkasan!Q1149</f>
        <v/>
      </c>
      <c r="R1150" s="64" t="str">
        <f>Ringkasan!R1149</f>
        <v/>
      </c>
      <c r="S1150" s="64" t="str">
        <f>Ringkasan!S1149</f>
        <v/>
      </c>
      <c r="T1150" s="64" t="str">
        <f>Ringkasan!T1149</f>
        <v/>
      </c>
      <c r="U1150" s="64">
        <f>Ringkasan!U1149</f>
        <v>8.01</v>
      </c>
      <c r="V1150" s="64">
        <f>Ringkasan!V1149</f>
        <v>-0.25</v>
      </c>
      <c r="W1150" s="64">
        <f>Ringkasan!W1149</f>
        <v>8.18</v>
      </c>
      <c r="X1150" s="64">
        <f>Ringkasan!X1149</f>
        <v>8.25</v>
      </c>
      <c r="Y1150" s="64">
        <f>Ringkasan!Y1149</f>
        <v>7.9</v>
      </c>
      <c r="Z1150" s="64">
        <f>Ringkasan!Z1149</f>
        <v>108227</v>
      </c>
      <c r="AA1150" s="64" t="str">
        <f>Ringkasan!AA1149</f>
        <v>Media</v>
      </c>
      <c r="AB1150" s="64" t="str">
        <f>Ringkasan!AB1149</f>
        <v>Consumer Cyclicals</v>
      </c>
    </row>
    <row r="1151" hidden="1">
      <c r="A1151" s="64" t="str">
        <f>Ringkasan!A1150</f>
        <v>MARK</v>
      </c>
      <c r="B1151" s="64" t="str">
        <f>Ringkasan!B1150</f>
        <v>PT Mark Dynamics Indonesia Tbk.</v>
      </c>
      <c r="C1151" s="65">
        <f>Ringkasan!C1150</f>
        <v>850</v>
      </c>
      <c r="D1151" s="64" t="str">
        <f>Ringkasan!D1150</f>
        <v>#N/A</v>
      </c>
      <c r="E1151" s="64" t="str">
        <f>Ringkasan!E1150</f>
        <v>JII70</v>
      </c>
      <c r="F1151" s="66">
        <f>Ringkasan!F1150</f>
        <v>46356</v>
      </c>
      <c r="G1151" s="64">
        <f>Ringkasan!G1150</f>
        <v>1</v>
      </c>
      <c r="H1151" s="19">
        <f>Ringkasan!H1150</f>
        <v>10.2</v>
      </c>
      <c r="I1151" s="19">
        <f>Ringkasan!I1150</f>
        <v>3.1</v>
      </c>
      <c r="J1151" s="19">
        <f>Ringkasan!J1150</f>
        <v>30.2</v>
      </c>
      <c r="K1151" s="19">
        <f>Ringkasan!K1150</f>
        <v>27.6</v>
      </c>
      <c r="L1151" s="19">
        <f>Ringkasan!L1150</f>
        <v>0.1</v>
      </c>
      <c r="M1151" s="19">
        <f>Ringkasan!M1150</f>
        <v>120</v>
      </c>
      <c r="N1151" s="64" t="str">
        <f>Ringkasan!N1150</f>
        <v/>
      </c>
      <c r="O1151" s="64" t="str">
        <f>Ringkasan!O1150</f>
        <v/>
      </c>
      <c r="P1151" s="64" t="str">
        <f>Ringkasan!P1150</f>
        <v/>
      </c>
      <c r="Q1151" s="64" t="str">
        <f>Ringkasan!Q1150</f>
        <v/>
      </c>
      <c r="R1151" s="64" t="str">
        <f>Ringkasan!R1150</f>
        <v/>
      </c>
      <c r="S1151" s="64" t="str">
        <f>Ringkasan!S1150</f>
        <v/>
      </c>
      <c r="T1151" s="64" t="str">
        <f>Ringkasan!T1150</f>
        <v/>
      </c>
      <c r="U1151" s="64">
        <f>Ringkasan!U1150</f>
        <v>0</v>
      </c>
      <c r="V1151" s="64">
        <f>Ringkasan!V1150</f>
        <v>42.86</v>
      </c>
      <c r="W1151" s="64">
        <f>Ringkasan!W1150</f>
        <v>0</v>
      </c>
      <c r="X1151" s="64">
        <f>Ringkasan!X1150</f>
        <v>0</v>
      </c>
      <c r="Y1151" s="64">
        <f>Ringkasan!Y1150</f>
        <v>0</v>
      </c>
      <c r="Z1151" s="64">
        <f>Ringkasan!Z1150</f>
        <v>4687</v>
      </c>
      <c r="AA1151" s="64" t="str">
        <f>Ringkasan!AA1150</f>
        <v>Machinery</v>
      </c>
      <c r="AB1151" s="64" t="str">
        <f>Ringkasan!AB1150</f>
        <v>Industrials</v>
      </c>
    </row>
    <row r="1152" hidden="1">
      <c r="A1152" s="64" t="str">
        <f>Ringkasan!A1151</f>
        <v>MASB</v>
      </c>
      <c r="B1152" s="64" t="str">
        <f>Ringkasan!B1151</f>
        <v>Bank Multiarta Sentosa Tbk.</v>
      </c>
      <c r="C1152" s="65">
        <f>Ringkasan!C1151</f>
        <v>3380</v>
      </c>
      <c r="D1152" s="64" t="str">
        <f>Ringkasan!D1151</f>
        <v>#N/A</v>
      </c>
      <c r="E1152" s="64" t="str">
        <f>Ringkasan!E1151</f>
        <v/>
      </c>
      <c r="F1152" s="64" t="str">
        <f>Ringkasan!F1151</f>
        <v/>
      </c>
      <c r="G1152" s="64">
        <f>Ringkasan!G1151</f>
        <v>0</v>
      </c>
      <c r="H1152" s="19">
        <f>Ringkasan!H1151</f>
        <v>22.6</v>
      </c>
      <c r="I1152" s="19">
        <f>Ringkasan!I1151</f>
        <v>1.1</v>
      </c>
      <c r="J1152" s="19">
        <f>Ringkasan!J1151</f>
        <v>5.1</v>
      </c>
      <c r="K1152" s="19">
        <f>Ringkasan!K1151</f>
        <v>0.61</v>
      </c>
      <c r="L1152" s="19">
        <f>Ringkasan!L1151</f>
        <v>7.3</v>
      </c>
      <c r="M1152" s="19">
        <f>Ringkasan!M1151</f>
        <v>41.3</v>
      </c>
      <c r="N1152" s="64">
        <f>Ringkasan!N1151</f>
        <v>3.45</v>
      </c>
      <c r="O1152" s="64">
        <f>Ringkasan!O1151</f>
        <v>28.12</v>
      </c>
      <c r="P1152" s="64">
        <f>Ringkasan!P1151</f>
        <v>81.15</v>
      </c>
      <c r="Q1152" s="64">
        <f>Ringkasan!Q1151</f>
        <v>1.98</v>
      </c>
      <c r="R1152" s="64">
        <f>Ringkasan!R1151</f>
        <v>83.12</v>
      </c>
      <c r="S1152" s="64">
        <f>Ringkasan!S1151</f>
        <v>54.15</v>
      </c>
      <c r="T1152" s="64">
        <f>Ringkasan!T1151</f>
        <v>6.12</v>
      </c>
      <c r="U1152" s="64">
        <f>Ringkasan!U1151</f>
        <v>3350</v>
      </c>
      <c r="V1152" s="64">
        <f>Ringkasan!V1151</f>
        <v>0.9</v>
      </c>
      <c r="W1152" s="64">
        <f>Ringkasan!W1151</f>
        <v>3450</v>
      </c>
      <c r="X1152" s="64">
        <f>Ringkasan!X1151</f>
        <v>3450</v>
      </c>
      <c r="Y1152" s="64">
        <f>Ringkasan!Y1151</f>
        <v>3370</v>
      </c>
      <c r="Z1152" s="64">
        <f>Ringkasan!Z1151</f>
        <v>9100</v>
      </c>
      <c r="AA1152" s="64" t="str">
        <f>Ringkasan!AA1151</f>
        <v>Banks</v>
      </c>
      <c r="AB1152" s="64" t="str">
        <f>Ringkasan!AB1151</f>
        <v>Financials</v>
      </c>
    </row>
    <row r="1153" hidden="1">
      <c r="A1153" s="64" t="str">
        <f>Ringkasan!A1152</f>
        <v>MAXI</v>
      </c>
      <c r="B1153" s="64" t="str">
        <f>Ringkasan!B1152</f>
        <v>PT Maxindo Karya Anugerah Tbk</v>
      </c>
      <c r="C1153" s="65">
        <f>Ringkasan!C1152</f>
        <v>50</v>
      </c>
      <c r="D1153" s="64" t="str">
        <f>Ringkasan!D1152</f>
        <v>#N/A</v>
      </c>
      <c r="E1153" s="64" t="str">
        <f>Ringkasan!E1152</f>
        <v/>
      </c>
      <c r="F1153" s="64" t="str">
        <f>Ringkasan!F1152</f>
        <v/>
      </c>
      <c r="G1153" s="64">
        <f>Ringkasan!G1152</f>
        <v>0</v>
      </c>
      <c r="H1153" s="19">
        <f>Ringkasan!H1152</f>
        <v>-49.6</v>
      </c>
      <c r="I1153" s="19">
        <f>Ringkasan!I1152</f>
        <v>3.5</v>
      </c>
      <c r="J1153" s="19">
        <f>Ringkasan!J1152</f>
        <v>-7</v>
      </c>
      <c r="K1153" s="19">
        <f>Ringkasan!K1152</f>
        <v>-3.3</v>
      </c>
      <c r="L1153" s="19">
        <f>Ringkasan!L1152</f>
        <v>1.2</v>
      </c>
      <c r="M1153" s="19">
        <f>Ringkasan!M1152</f>
        <v>-26.5</v>
      </c>
      <c r="N1153" s="64" t="str">
        <f>Ringkasan!N1152</f>
        <v/>
      </c>
      <c r="O1153" s="64" t="str">
        <f>Ringkasan!O1152</f>
        <v/>
      </c>
      <c r="P1153" s="64" t="str">
        <f>Ringkasan!P1152</f>
        <v/>
      </c>
      <c r="Q1153" s="64" t="str">
        <f>Ringkasan!Q1152</f>
        <v/>
      </c>
      <c r="R1153" s="64" t="str">
        <f>Ringkasan!R1152</f>
        <v/>
      </c>
      <c r="S1153" s="64" t="str">
        <f>Ringkasan!S1152</f>
        <v/>
      </c>
      <c r="T1153" s="64" t="str">
        <f>Ringkasan!T1152</f>
        <v/>
      </c>
      <c r="U1153" s="64">
        <f>Ringkasan!U1152</f>
        <v>9</v>
      </c>
      <c r="V1153" s="64">
        <f>Ringkasan!V1152</f>
        <v>-0.33</v>
      </c>
      <c r="W1153" s="64">
        <f>Ringkasan!W1152</f>
        <v>9.1</v>
      </c>
      <c r="X1153" s="64">
        <f>Ringkasan!X1152</f>
        <v>9.1</v>
      </c>
      <c r="Y1153" s="64">
        <f>Ringkasan!Y1152</f>
        <v>8.9</v>
      </c>
      <c r="Z1153" s="64">
        <f>Ringkasan!Z1152</f>
        <v>15140</v>
      </c>
      <c r="AA1153" s="64" t="str">
        <f>Ringkasan!AA1152</f>
        <v>Processed Foods</v>
      </c>
      <c r="AB1153" s="64" t="str">
        <f>Ringkasan!AB1152</f>
        <v>Consumer Non-Cyclicals</v>
      </c>
    </row>
    <row r="1154" hidden="1">
      <c r="A1154" s="64" t="str">
        <f>Ringkasan!A1153</f>
        <v>MAYA</v>
      </c>
      <c r="B1154" s="64" t="str">
        <f>Ringkasan!B1153</f>
        <v>PT Bank Mayapada Internasional Tbk</v>
      </c>
      <c r="C1154" s="65">
        <f>Ringkasan!C1153</f>
        <v>186</v>
      </c>
      <c r="D1154" s="64" t="str">
        <f>Ringkasan!D1153</f>
        <v>#N/A</v>
      </c>
      <c r="E1154" s="64" t="str">
        <f>Ringkasan!E1153</f>
        <v/>
      </c>
      <c r="F1154" s="64" t="str">
        <f>Ringkasan!F1153</f>
        <v/>
      </c>
      <c r="G1154" s="65">
        <f>Ringkasan!G1153</f>
        <v>0</v>
      </c>
      <c r="H1154" s="19">
        <f>Ringkasan!H1153</f>
        <v>87.6</v>
      </c>
      <c r="I1154" s="19">
        <f>Ringkasan!I1153</f>
        <v>0.26</v>
      </c>
      <c r="J1154" s="19">
        <f>Ringkasan!J1153</f>
        <v>0.29</v>
      </c>
      <c r="K1154" s="19">
        <f>Ringkasan!K1153</f>
        <v>0.03</v>
      </c>
      <c r="L1154" s="19">
        <f>Ringkasan!L1153</f>
        <v>7.9</v>
      </c>
      <c r="M1154" s="19">
        <f>Ringkasan!M1153</f>
        <v>1.8</v>
      </c>
      <c r="N1154" s="64">
        <f>Ringkasan!N1153</f>
        <v>3.67</v>
      </c>
      <c r="O1154" s="64">
        <f>Ringkasan!O1153</f>
        <v>10.1</v>
      </c>
      <c r="P1154" s="64">
        <f>Ringkasan!P1153</f>
        <v>77.93</v>
      </c>
      <c r="Q1154" s="64">
        <f>Ringkasan!Q1153</f>
        <v>3.47</v>
      </c>
      <c r="R1154" s="64">
        <f>Ringkasan!R1153</f>
        <v>99.15</v>
      </c>
      <c r="S1154" s="64">
        <f>Ringkasan!S1153</f>
        <v>85.12</v>
      </c>
      <c r="T1154" s="64">
        <f>Ringkasan!T1153</f>
        <v>11.4</v>
      </c>
      <c r="U1154" s="64">
        <f>Ringkasan!U1153</f>
        <v>180</v>
      </c>
      <c r="V1154" s="64" t="str">
        <f>Ringkasan!V1153</f>
        <v/>
      </c>
      <c r="W1154" s="64">
        <f>Ringkasan!W1153</f>
        <v>181</v>
      </c>
      <c r="X1154" s="64">
        <f>Ringkasan!X1153</f>
        <v>193</v>
      </c>
      <c r="Y1154" s="64">
        <f>Ringkasan!Y1153</f>
        <v>181</v>
      </c>
      <c r="Z1154" s="64">
        <f>Ringkasan!Z1153</f>
        <v>2247500</v>
      </c>
      <c r="AA1154" s="64" t="str">
        <f>Ringkasan!AA1153</f>
        <v>Banks</v>
      </c>
      <c r="AB1154" s="64" t="str">
        <f>Ringkasan!AB1153</f>
        <v>Financials</v>
      </c>
    </row>
    <row r="1155" hidden="1">
      <c r="A1155" s="64" t="str">
        <f>Ringkasan!A1154</f>
        <v>MBAP</v>
      </c>
      <c r="B1155" s="64" t="str">
        <f>Ringkasan!B1154</f>
        <v>Mitrabara Adiperdana Tbk.</v>
      </c>
      <c r="C1155" s="65">
        <f>Ringkasan!C1154</f>
        <v>1450</v>
      </c>
      <c r="D1155" s="64" t="str">
        <f>Ringkasan!D1154</f>
        <v>#N/A</v>
      </c>
      <c r="E1155" s="64" t="str">
        <f>Ringkasan!E1154</f>
        <v/>
      </c>
      <c r="F1155" s="64" t="str">
        <f>Ringkasan!F1154</f>
        <v/>
      </c>
      <c r="G1155" s="64">
        <f>Ringkasan!G1154</f>
        <v>0</v>
      </c>
      <c r="H1155" s="19">
        <f>Ringkasan!H1154</f>
        <v>63.5</v>
      </c>
      <c r="I1155" s="19">
        <f>Ringkasan!I1154</f>
        <v>0.59</v>
      </c>
      <c r="J1155" s="19">
        <f>Ringkasan!J1154</f>
        <v>0.92</v>
      </c>
      <c r="K1155" s="19">
        <f>Ringkasan!K1154</f>
        <v>0.67</v>
      </c>
      <c r="L1155" s="19">
        <f>Ringkasan!L1154</f>
        <v>0.37</v>
      </c>
      <c r="M1155" s="19">
        <f>Ringkasan!M1154</f>
        <v>3.7</v>
      </c>
      <c r="N1155" s="64" t="str">
        <f>Ringkasan!N1154</f>
        <v/>
      </c>
      <c r="O1155" s="64" t="str">
        <f>Ringkasan!O1154</f>
        <v/>
      </c>
      <c r="P1155" s="64" t="str">
        <f>Ringkasan!P1154</f>
        <v/>
      </c>
      <c r="Q1155" s="64" t="str">
        <f>Ringkasan!Q1154</f>
        <v/>
      </c>
      <c r="R1155" s="64" t="str">
        <f>Ringkasan!R1154</f>
        <v/>
      </c>
      <c r="S1155" s="64" t="str">
        <f>Ringkasan!S1154</f>
        <v/>
      </c>
      <c r="T1155" s="64" t="str">
        <f>Ringkasan!T1154</f>
        <v/>
      </c>
      <c r="U1155" s="64">
        <f>Ringkasan!U1154</f>
        <v>10.3</v>
      </c>
      <c r="V1155" s="64">
        <f>Ringkasan!V1154</f>
        <v>0.58</v>
      </c>
      <c r="W1155" s="64">
        <f>Ringkasan!W1154</f>
        <v>10.36</v>
      </c>
      <c r="X1155" s="64">
        <f>Ringkasan!X1154</f>
        <v>10.47</v>
      </c>
      <c r="Y1155" s="64">
        <f>Ringkasan!Y1154</f>
        <v>10.36</v>
      </c>
      <c r="Z1155" s="64">
        <f>Ringkasan!Z1154</f>
        <v>7100</v>
      </c>
      <c r="AA1155" s="64" t="str">
        <f>Ringkasan!AA1154</f>
        <v>Coal</v>
      </c>
      <c r="AB1155" s="64" t="str">
        <f>Ringkasan!AB1154</f>
        <v>Energy</v>
      </c>
    </row>
    <row r="1156" hidden="1">
      <c r="A1156" s="64" t="str">
        <f>Ringkasan!A1155</f>
        <v>MBMA</v>
      </c>
      <c r="B1156" s="64" t="str">
        <f>Ringkasan!B1155</f>
        <v>PT Merdeka Battery Materials Tbk</v>
      </c>
      <c r="C1156" s="65">
        <f>Ringkasan!C1155</f>
        <v>482</v>
      </c>
      <c r="D1156" s="64" t="str">
        <f>Ringkasan!D1155</f>
        <v>#N/A</v>
      </c>
      <c r="E1156" s="64" t="str">
        <f>Ringkasan!E1155</f>
        <v>ESGSKEHATI</v>
      </c>
      <c r="F1156" s="66">
        <f>Ringkasan!F1155</f>
        <v>46356</v>
      </c>
      <c r="G1156" s="65">
        <f>Ringkasan!G1155</f>
        <v>10</v>
      </c>
      <c r="H1156" s="19">
        <f>Ringkasan!H1155</f>
        <v>100</v>
      </c>
      <c r="I1156" s="19">
        <f>Ringkasan!I1155</f>
        <v>1.3</v>
      </c>
      <c r="J1156" s="19">
        <f>Ringkasan!J1155</f>
        <v>1.3</v>
      </c>
      <c r="K1156" s="19">
        <f>Ringkasan!K1155</f>
        <v>0.79</v>
      </c>
      <c r="L1156" s="19">
        <f>Ringkasan!L1155</f>
        <v>0.59</v>
      </c>
      <c r="M1156" s="19">
        <f>Ringkasan!M1155</f>
        <v>2.1</v>
      </c>
      <c r="N1156" s="64" t="str">
        <f>Ringkasan!N1155</f>
        <v/>
      </c>
      <c r="O1156" s="64" t="str">
        <f>Ringkasan!O1155</f>
        <v/>
      </c>
      <c r="P1156" s="64" t="str">
        <f>Ringkasan!P1155</f>
        <v/>
      </c>
      <c r="Q1156" s="64" t="str">
        <f>Ringkasan!Q1155</f>
        <v/>
      </c>
      <c r="R1156" s="64" t="str">
        <f>Ringkasan!R1155</f>
        <v/>
      </c>
      <c r="S1156" s="64" t="str">
        <f>Ringkasan!S1155</f>
        <v/>
      </c>
      <c r="T1156" s="64" t="str">
        <f>Ringkasan!T1155</f>
        <v/>
      </c>
      <c r="U1156" s="64">
        <f>Ringkasan!U1155</f>
        <v>448</v>
      </c>
      <c r="V1156" s="64">
        <f>Ringkasan!V1155</f>
        <v>7.59</v>
      </c>
      <c r="W1156" s="64">
        <f>Ringkasan!W1155</f>
        <v>452</v>
      </c>
      <c r="X1156" s="64">
        <f>Ringkasan!X1155</f>
        <v>486</v>
      </c>
      <c r="Y1156" s="64">
        <f>Ringkasan!Y1155</f>
        <v>452</v>
      </c>
      <c r="Z1156" s="64">
        <f>Ringkasan!Z1155</f>
        <v>202671900</v>
      </c>
      <c r="AA1156" s="64" t="str">
        <f>Ringkasan!AA1155</f>
        <v>Metals &amp; Minerals</v>
      </c>
      <c r="AB1156" s="64" t="str">
        <f>Ringkasan!AB1155</f>
        <v>Basic Materials</v>
      </c>
    </row>
    <row r="1157" hidden="1">
      <c r="A1157" s="64" t="str">
        <f>Ringkasan!A1156</f>
        <v>MBMA</v>
      </c>
      <c r="B1157" s="64" t="str">
        <f>Ringkasan!B1156</f>
        <v>PT Merdeka Battery Materials Tbk</v>
      </c>
      <c r="C1157" s="65">
        <f>Ringkasan!C1156</f>
        <v>482</v>
      </c>
      <c r="D1157" s="64" t="str">
        <f>Ringkasan!D1156</f>
        <v>#N/A</v>
      </c>
      <c r="E1157" s="64" t="str">
        <f>Ringkasan!E1156</f>
        <v>Pefindo - iGrade</v>
      </c>
      <c r="F1157" s="64" t="str">
        <f>Ringkasan!F1156</f>
        <v>30 Juni 2026</v>
      </c>
      <c r="G1157" s="64">
        <f>Ringkasan!G1156</f>
        <v>10</v>
      </c>
      <c r="H1157" s="19">
        <f>Ringkasan!H1156</f>
        <v>100</v>
      </c>
      <c r="I1157" s="19">
        <f>Ringkasan!I1156</f>
        <v>1.3</v>
      </c>
      <c r="J1157" s="19">
        <f>Ringkasan!J1156</f>
        <v>1.3</v>
      </c>
      <c r="K1157" s="19">
        <f>Ringkasan!K1156</f>
        <v>0.79</v>
      </c>
      <c r="L1157" s="19">
        <f>Ringkasan!L1156</f>
        <v>0.59</v>
      </c>
      <c r="M1157" s="19">
        <f>Ringkasan!M1156</f>
        <v>2.1</v>
      </c>
      <c r="N1157" s="64" t="str">
        <f>Ringkasan!N1156</f>
        <v/>
      </c>
      <c r="O1157" s="64" t="str">
        <f>Ringkasan!O1156</f>
        <v/>
      </c>
      <c r="P1157" s="64" t="str">
        <f>Ringkasan!P1156</f>
        <v/>
      </c>
      <c r="Q1157" s="64" t="str">
        <f>Ringkasan!Q1156</f>
        <v/>
      </c>
      <c r="R1157" s="64" t="str">
        <f>Ringkasan!R1156</f>
        <v/>
      </c>
      <c r="S1157" s="64" t="str">
        <f>Ringkasan!S1156</f>
        <v/>
      </c>
      <c r="T1157" s="64" t="str">
        <f>Ringkasan!T1156</f>
        <v/>
      </c>
      <c r="U1157" s="64">
        <f>Ringkasan!U1156</f>
        <v>448</v>
      </c>
      <c r="V1157" s="64">
        <f>Ringkasan!V1156</f>
        <v>7.59</v>
      </c>
      <c r="W1157" s="64">
        <f>Ringkasan!W1156</f>
        <v>452</v>
      </c>
      <c r="X1157" s="64">
        <f>Ringkasan!X1156</f>
        <v>486</v>
      </c>
      <c r="Y1157" s="64">
        <f>Ringkasan!Y1156</f>
        <v>452</v>
      </c>
      <c r="Z1157" s="64">
        <f>Ringkasan!Z1156</f>
        <v>202671900</v>
      </c>
      <c r="AA1157" s="64" t="str">
        <f>Ringkasan!AA1156</f>
        <v>Metals &amp; Minerals</v>
      </c>
      <c r="AB1157" s="64" t="str">
        <f>Ringkasan!AB1156</f>
        <v>Basic Materials</v>
      </c>
    </row>
    <row r="1158" hidden="1">
      <c r="A1158" s="64" t="str">
        <f>Ringkasan!A1157</f>
        <v>MBMA</v>
      </c>
      <c r="B1158" s="64" t="str">
        <f>Ringkasan!B1157</f>
        <v>PT Merdeka Battery Materials Tbk</v>
      </c>
      <c r="C1158" s="65">
        <f>Ringkasan!C1157</f>
        <v>482</v>
      </c>
      <c r="D1158" s="64" t="str">
        <f>Ringkasan!D1157</f>
        <v>#N/A</v>
      </c>
      <c r="E1158" s="64" t="str">
        <f>Ringkasan!E1157</f>
        <v>IDX80</v>
      </c>
      <c r="F1158" s="64" t="str">
        <f>Ringkasan!F1157</f>
        <v>31 Juli 2026</v>
      </c>
      <c r="G1158" s="64">
        <f>Ringkasan!G1157</f>
        <v>10</v>
      </c>
      <c r="H1158" s="19">
        <f>Ringkasan!H1157</f>
        <v>100</v>
      </c>
      <c r="I1158" s="19">
        <f>Ringkasan!I1157</f>
        <v>1.3</v>
      </c>
      <c r="J1158" s="19">
        <f>Ringkasan!J1157</f>
        <v>1.3</v>
      </c>
      <c r="K1158" s="19">
        <f>Ringkasan!K1157</f>
        <v>0.79</v>
      </c>
      <c r="L1158" s="19">
        <f>Ringkasan!L1157</f>
        <v>0.59</v>
      </c>
      <c r="M1158" s="19">
        <f>Ringkasan!M1157</f>
        <v>2.1</v>
      </c>
      <c r="N1158" s="64" t="str">
        <f>Ringkasan!N1157</f>
        <v/>
      </c>
      <c r="O1158" s="64" t="str">
        <f>Ringkasan!O1157</f>
        <v/>
      </c>
      <c r="P1158" s="64" t="str">
        <f>Ringkasan!P1157</f>
        <v/>
      </c>
      <c r="Q1158" s="64" t="str">
        <f>Ringkasan!Q1157</f>
        <v/>
      </c>
      <c r="R1158" s="64" t="str">
        <f>Ringkasan!R1157</f>
        <v/>
      </c>
      <c r="S1158" s="64" t="str">
        <f>Ringkasan!S1157</f>
        <v/>
      </c>
      <c r="T1158" s="64" t="str">
        <f>Ringkasan!T1157</f>
        <v/>
      </c>
      <c r="U1158" s="64">
        <f>Ringkasan!U1157</f>
        <v>448</v>
      </c>
      <c r="V1158" s="64">
        <f>Ringkasan!V1157</f>
        <v>7.59</v>
      </c>
      <c r="W1158" s="64">
        <f>Ringkasan!W1157</f>
        <v>452</v>
      </c>
      <c r="X1158" s="64">
        <f>Ringkasan!X1157</f>
        <v>486</v>
      </c>
      <c r="Y1158" s="64">
        <f>Ringkasan!Y1157</f>
        <v>452</v>
      </c>
      <c r="Z1158" s="64">
        <f>Ringkasan!Z1157</f>
        <v>202671900</v>
      </c>
      <c r="AA1158" s="64" t="str">
        <f>Ringkasan!AA1157</f>
        <v>Metals &amp; Minerals</v>
      </c>
      <c r="AB1158" s="64" t="str">
        <f>Ringkasan!AB1157</f>
        <v>Basic Materials</v>
      </c>
    </row>
    <row r="1159" hidden="1">
      <c r="A1159" s="64" t="str">
        <f>Ringkasan!A1158</f>
        <v>MBMA</v>
      </c>
      <c r="B1159" s="64" t="str">
        <f>Ringkasan!B1158</f>
        <v>PT Merdeka Battery Materials Tbk</v>
      </c>
      <c r="C1159" s="65">
        <f>Ringkasan!C1158</f>
        <v>482</v>
      </c>
      <c r="D1159" s="64" t="str">
        <f>Ringkasan!D1158</f>
        <v>#N/A</v>
      </c>
      <c r="E1159" s="64" t="str">
        <f>Ringkasan!E1158</f>
        <v>IDX30</v>
      </c>
      <c r="F1159" s="64" t="str">
        <f>Ringkasan!F1158</f>
        <v>31 Juli 2026</v>
      </c>
      <c r="G1159" s="64">
        <f>Ringkasan!G1158</f>
        <v>10</v>
      </c>
      <c r="H1159" s="19">
        <f>Ringkasan!H1158</f>
        <v>100</v>
      </c>
      <c r="I1159" s="19">
        <f>Ringkasan!I1158</f>
        <v>1.3</v>
      </c>
      <c r="J1159" s="19">
        <f>Ringkasan!J1158</f>
        <v>1.3</v>
      </c>
      <c r="K1159" s="19">
        <f>Ringkasan!K1158</f>
        <v>0.79</v>
      </c>
      <c r="L1159" s="19">
        <f>Ringkasan!L1158</f>
        <v>0.59</v>
      </c>
      <c r="M1159" s="19">
        <f>Ringkasan!M1158</f>
        <v>2.1</v>
      </c>
      <c r="N1159" s="64" t="str">
        <f>Ringkasan!N1158</f>
        <v/>
      </c>
      <c r="O1159" s="64" t="str">
        <f>Ringkasan!O1158</f>
        <v/>
      </c>
      <c r="P1159" s="64" t="str">
        <f>Ringkasan!P1158</f>
        <v/>
      </c>
      <c r="Q1159" s="64" t="str">
        <f>Ringkasan!Q1158</f>
        <v/>
      </c>
      <c r="R1159" s="64" t="str">
        <f>Ringkasan!R1158</f>
        <v/>
      </c>
      <c r="S1159" s="64" t="str">
        <f>Ringkasan!S1158</f>
        <v/>
      </c>
      <c r="T1159" s="64" t="str">
        <f>Ringkasan!T1158</f>
        <v/>
      </c>
      <c r="U1159" s="64">
        <f>Ringkasan!U1158</f>
        <v>448</v>
      </c>
      <c r="V1159" s="64">
        <f>Ringkasan!V1158</f>
        <v>7.59</v>
      </c>
      <c r="W1159" s="64">
        <f>Ringkasan!W1158</f>
        <v>452</v>
      </c>
      <c r="X1159" s="64">
        <f>Ringkasan!X1158</f>
        <v>486</v>
      </c>
      <c r="Y1159" s="64">
        <f>Ringkasan!Y1158</f>
        <v>452</v>
      </c>
      <c r="Z1159" s="64">
        <f>Ringkasan!Z1158</f>
        <v>202671900</v>
      </c>
      <c r="AA1159" s="64" t="str">
        <f>Ringkasan!AA1158</f>
        <v>Metals &amp; Minerals</v>
      </c>
      <c r="AB1159" s="64" t="str">
        <f>Ringkasan!AB1158</f>
        <v>Basic Materials</v>
      </c>
    </row>
    <row r="1160" hidden="1">
      <c r="A1160" s="64" t="str">
        <f>Ringkasan!A1159</f>
        <v>MBMA</v>
      </c>
      <c r="B1160" s="64" t="str">
        <f>Ringkasan!B1159</f>
        <v>PT Merdeka Battery Materials Tbk</v>
      </c>
      <c r="C1160" s="65">
        <f>Ringkasan!C1159</f>
        <v>482</v>
      </c>
      <c r="D1160" s="64" t="str">
        <f>Ringkasan!D1159</f>
        <v>#N/A</v>
      </c>
      <c r="E1160" s="64" t="str">
        <f>Ringkasan!E1159</f>
        <v>LQ45</v>
      </c>
      <c r="F1160" s="64" t="str">
        <f>Ringkasan!F1159</f>
        <v>31 Juli 2026</v>
      </c>
      <c r="G1160" s="64">
        <f>Ringkasan!G1159</f>
        <v>10</v>
      </c>
      <c r="H1160" s="19">
        <f>Ringkasan!H1159</f>
        <v>100</v>
      </c>
      <c r="I1160" s="19">
        <f>Ringkasan!I1159</f>
        <v>1.3</v>
      </c>
      <c r="J1160" s="19">
        <f>Ringkasan!J1159</f>
        <v>1.3</v>
      </c>
      <c r="K1160" s="19">
        <f>Ringkasan!K1159</f>
        <v>0.79</v>
      </c>
      <c r="L1160" s="19">
        <f>Ringkasan!L1159</f>
        <v>0.59</v>
      </c>
      <c r="M1160" s="19">
        <f>Ringkasan!M1159</f>
        <v>2.1</v>
      </c>
      <c r="N1160" s="64" t="str">
        <f>Ringkasan!N1159</f>
        <v/>
      </c>
      <c r="O1160" s="64" t="str">
        <f>Ringkasan!O1159</f>
        <v/>
      </c>
      <c r="P1160" s="64" t="str">
        <f>Ringkasan!P1159</f>
        <v/>
      </c>
      <c r="Q1160" s="64" t="str">
        <f>Ringkasan!Q1159</f>
        <v/>
      </c>
      <c r="R1160" s="64" t="str">
        <f>Ringkasan!R1159</f>
        <v/>
      </c>
      <c r="S1160" s="64" t="str">
        <f>Ringkasan!S1159</f>
        <v/>
      </c>
      <c r="T1160" s="64" t="str">
        <f>Ringkasan!T1159</f>
        <v/>
      </c>
      <c r="U1160" s="64">
        <f>Ringkasan!U1159</f>
        <v>448</v>
      </c>
      <c r="V1160" s="64">
        <f>Ringkasan!V1159</f>
        <v>7.59</v>
      </c>
      <c r="W1160" s="64">
        <f>Ringkasan!W1159</f>
        <v>452</v>
      </c>
      <c r="X1160" s="64">
        <f>Ringkasan!X1159</f>
        <v>486</v>
      </c>
      <c r="Y1160" s="64">
        <f>Ringkasan!Y1159</f>
        <v>452</v>
      </c>
      <c r="Z1160" s="64">
        <f>Ringkasan!Z1159</f>
        <v>202671900</v>
      </c>
      <c r="AA1160" s="64" t="str">
        <f>Ringkasan!AA1159</f>
        <v>Metals &amp; Minerals</v>
      </c>
      <c r="AB1160" s="64" t="str">
        <f>Ringkasan!AB1159</f>
        <v>Basic Materials</v>
      </c>
    </row>
    <row r="1161" hidden="1">
      <c r="A1161" s="64" t="str">
        <f>Ringkasan!A1160</f>
        <v>MBMA</v>
      </c>
      <c r="B1161" s="64" t="str">
        <f>Ringkasan!B1160</f>
        <v>PT Merdeka Battery Materials Tbk</v>
      </c>
      <c r="C1161" s="65">
        <f>Ringkasan!C1160</f>
        <v>482</v>
      </c>
      <c r="D1161" s="64" t="str">
        <f>Ringkasan!D1160</f>
        <v>#N/A</v>
      </c>
      <c r="E1161" s="64" t="str">
        <f>Ringkasan!E1160</f>
        <v>Kompas100</v>
      </c>
      <c r="F1161" s="64" t="str">
        <f>Ringkasan!F1160</f>
        <v>31 Juli 2026</v>
      </c>
      <c r="G1161" s="64">
        <f>Ringkasan!G1160</f>
        <v>10</v>
      </c>
      <c r="H1161" s="19">
        <f>Ringkasan!H1160</f>
        <v>100</v>
      </c>
      <c r="I1161" s="19">
        <f>Ringkasan!I1160</f>
        <v>1.3</v>
      </c>
      <c r="J1161" s="19">
        <f>Ringkasan!J1160</f>
        <v>1.3</v>
      </c>
      <c r="K1161" s="19">
        <f>Ringkasan!K1160</f>
        <v>0.79</v>
      </c>
      <c r="L1161" s="19">
        <f>Ringkasan!L1160</f>
        <v>0.59</v>
      </c>
      <c r="M1161" s="19">
        <f>Ringkasan!M1160</f>
        <v>2.1</v>
      </c>
      <c r="N1161" s="64" t="str">
        <f>Ringkasan!N1160</f>
        <v/>
      </c>
      <c r="O1161" s="64" t="str">
        <f>Ringkasan!O1160</f>
        <v/>
      </c>
      <c r="P1161" s="64" t="str">
        <f>Ringkasan!P1160</f>
        <v/>
      </c>
      <c r="Q1161" s="64" t="str">
        <f>Ringkasan!Q1160</f>
        <v/>
      </c>
      <c r="R1161" s="64" t="str">
        <f>Ringkasan!R1160</f>
        <v/>
      </c>
      <c r="S1161" s="64" t="str">
        <f>Ringkasan!S1160</f>
        <v/>
      </c>
      <c r="T1161" s="64" t="str">
        <f>Ringkasan!T1160</f>
        <v/>
      </c>
      <c r="U1161" s="64">
        <f>Ringkasan!U1160</f>
        <v>448</v>
      </c>
      <c r="V1161" s="64">
        <f>Ringkasan!V1160</f>
        <v>7.59</v>
      </c>
      <c r="W1161" s="64">
        <f>Ringkasan!W1160</f>
        <v>452</v>
      </c>
      <c r="X1161" s="64">
        <f>Ringkasan!X1160</f>
        <v>486</v>
      </c>
      <c r="Y1161" s="64">
        <f>Ringkasan!Y1160</f>
        <v>452</v>
      </c>
      <c r="Z1161" s="64">
        <f>Ringkasan!Z1160</f>
        <v>202671900</v>
      </c>
      <c r="AA1161" s="64" t="str">
        <f>Ringkasan!AA1160</f>
        <v>Metals &amp; Minerals</v>
      </c>
      <c r="AB1161" s="64" t="str">
        <f>Ringkasan!AB1160</f>
        <v>Basic Materials</v>
      </c>
    </row>
    <row r="1162" hidden="1">
      <c r="A1162" s="64" t="str">
        <f>Ringkasan!A1161</f>
        <v>MBMA</v>
      </c>
      <c r="B1162" s="64" t="str">
        <f>Ringkasan!B1161</f>
        <v>PT Merdeka Battery Materials Tbk</v>
      </c>
      <c r="C1162" s="65">
        <f>Ringkasan!C1161</f>
        <v>482</v>
      </c>
      <c r="D1162" s="64" t="str">
        <f>Ringkasan!D1161</f>
        <v>#N/A</v>
      </c>
      <c r="E1162" s="64" t="str">
        <f>Ringkasan!E1161</f>
        <v>ECONOMIC30</v>
      </c>
      <c r="F1162" s="64" t="str">
        <f>Ringkasan!F1161</f>
        <v>31 Agustus 2026</v>
      </c>
      <c r="G1162" s="64">
        <f>Ringkasan!G1161</f>
        <v>10</v>
      </c>
      <c r="H1162" s="19">
        <f>Ringkasan!H1161</f>
        <v>100</v>
      </c>
      <c r="I1162" s="19">
        <f>Ringkasan!I1161</f>
        <v>1.3</v>
      </c>
      <c r="J1162" s="19">
        <f>Ringkasan!J1161</f>
        <v>1.3</v>
      </c>
      <c r="K1162" s="19">
        <f>Ringkasan!K1161</f>
        <v>0.79</v>
      </c>
      <c r="L1162" s="19">
        <f>Ringkasan!L1161</f>
        <v>0.59</v>
      </c>
      <c r="M1162" s="19">
        <f>Ringkasan!M1161</f>
        <v>2.1</v>
      </c>
      <c r="N1162" s="64" t="str">
        <f>Ringkasan!N1161</f>
        <v/>
      </c>
      <c r="O1162" s="64" t="str">
        <f>Ringkasan!O1161</f>
        <v/>
      </c>
      <c r="P1162" s="64" t="str">
        <f>Ringkasan!P1161</f>
        <v/>
      </c>
      <c r="Q1162" s="64" t="str">
        <f>Ringkasan!Q1161</f>
        <v/>
      </c>
      <c r="R1162" s="64" t="str">
        <f>Ringkasan!R1161</f>
        <v/>
      </c>
      <c r="S1162" s="64" t="str">
        <f>Ringkasan!S1161</f>
        <v/>
      </c>
      <c r="T1162" s="64" t="str">
        <f>Ringkasan!T1161</f>
        <v/>
      </c>
      <c r="U1162" s="64">
        <f>Ringkasan!U1161</f>
        <v>448</v>
      </c>
      <c r="V1162" s="64">
        <f>Ringkasan!V1161</f>
        <v>7.59</v>
      </c>
      <c r="W1162" s="64">
        <f>Ringkasan!W1161</f>
        <v>452</v>
      </c>
      <c r="X1162" s="64">
        <f>Ringkasan!X1161</f>
        <v>486</v>
      </c>
      <c r="Y1162" s="64">
        <f>Ringkasan!Y1161</f>
        <v>452</v>
      </c>
      <c r="Z1162" s="64">
        <f>Ringkasan!Z1161</f>
        <v>202671900</v>
      </c>
      <c r="AA1162" s="64" t="str">
        <f>Ringkasan!AA1161</f>
        <v>Metals &amp; Minerals</v>
      </c>
      <c r="AB1162" s="64" t="str">
        <f>Ringkasan!AB1161</f>
        <v>Basic Materials</v>
      </c>
    </row>
    <row r="1163" hidden="1">
      <c r="A1163" s="64" t="str">
        <f>Ringkasan!A1162</f>
        <v>MBMA</v>
      </c>
      <c r="B1163" s="64" t="str">
        <f>Ringkasan!B1162</f>
        <v>PT Merdeka Battery Materials Tbk</v>
      </c>
      <c r="C1163" s="65">
        <f>Ringkasan!C1162</f>
        <v>482</v>
      </c>
      <c r="D1163" s="64" t="str">
        <f>Ringkasan!D1162</f>
        <v>#N/A</v>
      </c>
      <c r="E1163" s="64" t="str">
        <f>Ringkasan!E1162</f>
        <v>BISNIS-27</v>
      </c>
      <c r="F1163" s="64" t="str">
        <f>Ringkasan!F1162</f>
        <v>30 Oktober 2026</v>
      </c>
      <c r="G1163" s="64">
        <f>Ringkasan!G1162</f>
        <v>10</v>
      </c>
      <c r="H1163" s="19">
        <f>Ringkasan!H1162</f>
        <v>100</v>
      </c>
      <c r="I1163" s="19">
        <f>Ringkasan!I1162</f>
        <v>1.3</v>
      </c>
      <c r="J1163" s="19">
        <f>Ringkasan!J1162</f>
        <v>1.3</v>
      </c>
      <c r="K1163" s="19">
        <f>Ringkasan!K1162</f>
        <v>0.79</v>
      </c>
      <c r="L1163" s="19">
        <f>Ringkasan!L1162</f>
        <v>0.59</v>
      </c>
      <c r="M1163" s="19">
        <f>Ringkasan!M1162</f>
        <v>2.1</v>
      </c>
      <c r="N1163" s="19" t="str">
        <f>Ringkasan!N1162</f>
        <v/>
      </c>
      <c r="O1163" s="19" t="str">
        <f>Ringkasan!O1162</f>
        <v/>
      </c>
      <c r="P1163" s="19" t="str">
        <f>Ringkasan!P1162</f>
        <v/>
      </c>
      <c r="Q1163" s="19" t="str">
        <f>Ringkasan!Q1162</f>
        <v/>
      </c>
      <c r="R1163" s="19" t="str">
        <f>Ringkasan!R1162</f>
        <v/>
      </c>
      <c r="S1163" s="19" t="str">
        <f>Ringkasan!S1162</f>
        <v/>
      </c>
      <c r="T1163" s="19" t="str">
        <f>Ringkasan!T1162</f>
        <v/>
      </c>
      <c r="U1163" s="64">
        <f>Ringkasan!U1162</f>
        <v>448</v>
      </c>
      <c r="V1163" s="64">
        <f>Ringkasan!V1162</f>
        <v>7.59</v>
      </c>
      <c r="W1163" s="64">
        <f>Ringkasan!W1162</f>
        <v>452</v>
      </c>
      <c r="X1163" s="64">
        <f>Ringkasan!X1162</f>
        <v>486</v>
      </c>
      <c r="Y1163" s="64">
        <f>Ringkasan!Y1162</f>
        <v>452</v>
      </c>
      <c r="Z1163" s="64">
        <f>Ringkasan!Z1162</f>
        <v>202671900</v>
      </c>
      <c r="AA1163" s="64" t="str">
        <f>Ringkasan!AA1162</f>
        <v>Metals &amp; Minerals</v>
      </c>
      <c r="AB1163" s="64" t="str">
        <f>Ringkasan!AB1162</f>
        <v>Basic Materials</v>
      </c>
    </row>
    <row r="1164" hidden="1">
      <c r="A1164" s="64" t="str">
        <f>Ringkasan!A1163</f>
        <v>MBMA</v>
      </c>
      <c r="B1164" s="64" t="str">
        <f>Ringkasan!B1163</f>
        <v>PT Merdeka Battery Materials Tbk</v>
      </c>
      <c r="C1164" s="65">
        <f>Ringkasan!C1163</f>
        <v>482</v>
      </c>
      <c r="D1164" s="64" t="str">
        <f>Ringkasan!D1163</f>
        <v>#N/A</v>
      </c>
      <c r="E1164" s="64" t="str">
        <f>Ringkasan!E1163</f>
        <v>JII30</v>
      </c>
      <c r="F1164" s="66">
        <f>Ringkasan!F1163</f>
        <v>46356</v>
      </c>
      <c r="G1164" s="64">
        <f>Ringkasan!G1163</f>
        <v>10</v>
      </c>
      <c r="H1164" s="19">
        <f>Ringkasan!H1163</f>
        <v>100</v>
      </c>
      <c r="I1164" s="19">
        <f>Ringkasan!I1163</f>
        <v>1.3</v>
      </c>
      <c r="J1164" s="19">
        <f>Ringkasan!J1163</f>
        <v>1.3</v>
      </c>
      <c r="K1164" s="19">
        <f>Ringkasan!K1163</f>
        <v>0.79</v>
      </c>
      <c r="L1164" s="19">
        <f>Ringkasan!L1163</f>
        <v>0.59</v>
      </c>
      <c r="M1164" s="19">
        <f>Ringkasan!M1163</f>
        <v>2.1</v>
      </c>
      <c r="N1164" s="64" t="str">
        <f>Ringkasan!N1163</f>
        <v/>
      </c>
      <c r="O1164" s="64" t="str">
        <f>Ringkasan!O1163</f>
        <v/>
      </c>
      <c r="P1164" s="64" t="str">
        <f>Ringkasan!P1163</f>
        <v/>
      </c>
      <c r="Q1164" s="64" t="str">
        <f>Ringkasan!Q1163</f>
        <v/>
      </c>
      <c r="R1164" s="64" t="str">
        <f>Ringkasan!R1163</f>
        <v/>
      </c>
      <c r="S1164" s="64" t="str">
        <f>Ringkasan!S1163</f>
        <v/>
      </c>
      <c r="T1164" s="64" t="str">
        <f>Ringkasan!T1163</f>
        <v/>
      </c>
      <c r="U1164" s="64">
        <f>Ringkasan!U1163</f>
        <v>448</v>
      </c>
      <c r="V1164" s="64">
        <f>Ringkasan!V1163</f>
        <v>7.59</v>
      </c>
      <c r="W1164" s="64">
        <f>Ringkasan!W1163</f>
        <v>452</v>
      </c>
      <c r="X1164" s="64">
        <f>Ringkasan!X1163</f>
        <v>486</v>
      </c>
      <c r="Y1164" s="64">
        <f>Ringkasan!Y1163</f>
        <v>452</v>
      </c>
      <c r="Z1164" s="64">
        <f>Ringkasan!Z1163</f>
        <v>202671900</v>
      </c>
      <c r="AA1164" s="64" t="str">
        <f>Ringkasan!AA1163</f>
        <v>Metals &amp; Minerals</v>
      </c>
      <c r="AB1164" s="64" t="str">
        <f>Ringkasan!AB1163</f>
        <v>Basic Materials</v>
      </c>
    </row>
    <row r="1165" hidden="1">
      <c r="A1165" s="64" t="str">
        <f>Ringkasan!A1164</f>
        <v>MBMA</v>
      </c>
      <c r="B1165" s="64" t="str">
        <f>Ringkasan!B1164</f>
        <v>PT Merdeka Battery Materials Tbk</v>
      </c>
      <c r="C1165" s="65">
        <f>Ringkasan!C1164</f>
        <v>482</v>
      </c>
      <c r="D1165" s="64" t="str">
        <f>Ringkasan!D1164</f>
        <v>#N/A</v>
      </c>
      <c r="E1165" s="64" t="str">
        <f>Ringkasan!E1164</f>
        <v>JII70</v>
      </c>
      <c r="F1165" s="66">
        <f>Ringkasan!F1164</f>
        <v>46356</v>
      </c>
      <c r="G1165" s="64">
        <f>Ringkasan!G1164</f>
        <v>10</v>
      </c>
      <c r="H1165" s="19">
        <f>Ringkasan!H1164</f>
        <v>100</v>
      </c>
      <c r="I1165" s="19">
        <f>Ringkasan!I1164</f>
        <v>1.3</v>
      </c>
      <c r="J1165" s="19">
        <f>Ringkasan!J1164</f>
        <v>1.3</v>
      </c>
      <c r="K1165" s="19">
        <f>Ringkasan!K1164</f>
        <v>0.79</v>
      </c>
      <c r="L1165" s="19">
        <f>Ringkasan!L1164</f>
        <v>0.59</v>
      </c>
      <c r="M1165" s="19">
        <f>Ringkasan!M1164</f>
        <v>2.1</v>
      </c>
      <c r="N1165" s="64" t="str">
        <f>Ringkasan!N1164</f>
        <v/>
      </c>
      <c r="O1165" s="64" t="str">
        <f>Ringkasan!O1164</f>
        <v/>
      </c>
      <c r="P1165" s="64" t="str">
        <f>Ringkasan!P1164</f>
        <v/>
      </c>
      <c r="Q1165" s="64" t="str">
        <f>Ringkasan!Q1164</f>
        <v/>
      </c>
      <c r="R1165" s="64" t="str">
        <f>Ringkasan!R1164</f>
        <v/>
      </c>
      <c r="S1165" s="64" t="str">
        <f>Ringkasan!S1164</f>
        <v/>
      </c>
      <c r="T1165" s="64" t="str">
        <f>Ringkasan!T1164</f>
        <v/>
      </c>
      <c r="U1165" s="64">
        <f>Ringkasan!U1164</f>
        <v>448</v>
      </c>
      <c r="V1165" s="64">
        <f>Ringkasan!V1164</f>
        <v>7.59</v>
      </c>
      <c r="W1165" s="64">
        <f>Ringkasan!W1164</f>
        <v>452</v>
      </c>
      <c r="X1165" s="64">
        <f>Ringkasan!X1164</f>
        <v>486</v>
      </c>
      <c r="Y1165" s="64">
        <f>Ringkasan!Y1164</f>
        <v>452</v>
      </c>
      <c r="Z1165" s="64">
        <f>Ringkasan!Z1164</f>
        <v>202671900</v>
      </c>
      <c r="AA1165" s="64" t="str">
        <f>Ringkasan!AA1164</f>
        <v>Metals &amp; Minerals</v>
      </c>
      <c r="AB1165" s="64" t="str">
        <f>Ringkasan!AB1164</f>
        <v>Basic Materials</v>
      </c>
    </row>
    <row r="1166" hidden="1">
      <c r="A1166" s="64" t="str">
        <f>Ringkasan!A1165</f>
        <v>MBSS</v>
      </c>
      <c r="B1166" s="64" t="str">
        <f>Ringkasan!B1165</f>
        <v>Mitrabahtera Segara Sejati Tbk.</v>
      </c>
      <c r="C1166" s="65" t="str">
        <f>Ringkasan!C1165</f>
        <v>#N/A</v>
      </c>
      <c r="D1166" s="64" t="str">
        <f>Ringkasan!D1165</f>
        <v>#N/A</v>
      </c>
      <c r="E1166" s="64" t="str">
        <f>Ringkasan!E1165</f>
        <v/>
      </c>
      <c r="F1166" s="64" t="str">
        <f>Ringkasan!F1165</f>
        <v/>
      </c>
      <c r="G1166" s="64">
        <f>Ringkasan!G1165</f>
        <v>0</v>
      </c>
      <c r="H1166" s="19">
        <f>Ringkasan!H1165</f>
        <v>17</v>
      </c>
      <c r="I1166" s="19">
        <f>Ringkasan!I1165</f>
        <v>1.1</v>
      </c>
      <c r="J1166" s="19">
        <f>Ringkasan!J1165</f>
        <v>6.4</v>
      </c>
      <c r="K1166" s="19">
        <f>Ringkasan!K1165</f>
        <v>5.9</v>
      </c>
      <c r="L1166" s="19">
        <f>Ringkasan!L1165</f>
        <v>0.09</v>
      </c>
      <c r="M1166" s="19">
        <f>Ringkasan!M1165</f>
        <v>140</v>
      </c>
      <c r="N1166" s="64" t="str">
        <f>Ringkasan!N1165</f>
        <v/>
      </c>
      <c r="O1166" s="64" t="str">
        <f>Ringkasan!O1165</f>
        <v/>
      </c>
      <c r="P1166" s="64" t="str">
        <f>Ringkasan!P1165</f>
        <v/>
      </c>
      <c r="Q1166" s="64" t="str">
        <f>Ringkasan!Q1165</f>
        <v/>
      </c>
      <c r="R1166" s="64" t="str">
        <f>Ringkasan!R1165</f>
        <v/>
      </c>
      <c r="S1166" s="64" t="str">
        <f>Ringkasan!S1165</f>
        <v/>
      </c>
      <c r="T1166" s="64" t="str">
        <f>Ringkasan!T1165</f>
        <v/>
      </c>
      <c r="U1166" s="64">
        <f>Ringkasan!U1165</f>
        <v>2390</v>
      </c>
      <c r="V1166" s="64">
        <f>Ringkasan!V1165</f>
        <v>6.28</v>
      </c>
      <c r="W1166" s="64" t="str">
        <f>Ringkasan!W1165</f>
        <v/>
      </c>
      <c r="X1166" s="64">
        <f>Ringkasan!X1165</f>
        <v>2600</v>
      </c>
      <c r="Y1166" s="64">
        <f>Ringkasan!Y1165</f>
        <v>2340</v>
      </c>
      <c r="Z1166" s="64">
        <f>Ringkasan!Z1165</f>
        <v>4192000</v>
      </c>
      <c r="AA1166" s="64" t="str">
        <f>Ringkasan!AA1165</f>
        <v>Coal</v>
      </c>
      <c r="AB1166" s="64" t="str">
        <f>Ringkasan!AB1165</f>
        <v>Energy</v>
      </c>
    </row>
    <row r="1167" hidden="1">
      <c r="A1167" s="64" t="str">
        <f>Ringkasan!A1166</f>
        <v>MBTO</v>
      </c>
      <c r="B1167" s="64" t="str">
        <f>Ringkasan!B1166</f>
        <v>Martina Berto Tbk</v>
      </c>
      <c r="C1167" s="65">
        <f>Ringkasan!C1166</f>
        <v>115</v>
      </c>
      <c r="D1167" s="64" t="str">
        <f>Ringkasan!D1166</f>
        <v>#N/A</v>
      </c>
      <c r="E1167" s="64" t="str">
        <f>Ringkasan!E1166</f>
        <v/>
      </c>
      <c r="F1167" s="64" t="str">
        <f>Ringkasan!F1166</f>
        <v/>
      </c>
      <c r="G1167" s="64">
        <f>Ringkasan!G1166</f>
        <v>0</v>
      </c>
      <c r="H1167" s="19">
        <f>Ringkasan!H1166</f>
        <v>-9.1</v>
      </c>
      <c r="I1167" s="19">
        <f>Ringkasan!I1166</f>
        <v>0.35</v>
      </c>
      <c r="J1167" s="19">
        <f>Ringkasan!J1166</f>
        <v>-3.8</v>
      </c>
      <c r="K1167" s="19">
        <f>Ringkasan!K1166</f>
        <v>-2</v>
      </c>
      <c r="L1167" s="19">
        <f>Ringkasan!L1166</f>
        <v>0.9</v>
      </c>
      <c r="M1167" s="19">
        <f>Ringkasan!M1166</f>
        <v>-11.7</v>
      </c>
      <c r="N1167" s="64" t="str">
        <f>Ringkasan!N1166</f>
        <v/>
      </c>
      <c r="O1167" s="64" t="str">
        <f>Ringkasan!O1166</f>
        <v/>
      </c>
      <c r="P1167" s="64" t="str">
        <f>Ringkasan!P1166</f>
        <v/>
      </c>
      <c r="Q1167" s="64" t="str">
        <f>Ringkasan!Q1166</f>
        <v/>
      </c>
      <c r="R1167" s="64" t="str">
        <f>Ringkasan!R1166</f>
        <v/>
      </c>
      <c r="S1167" s="64" t="str">
        <f>Ringkasan!S1166</f>
        <v/>
      </c>
      <c r="T1167" s="64" t="str">
        <f>Ringkasan!T1166</f>
        <v/>
      </c>
      <c r="U1167" s="64">
        <f>Ringkasan!U1166</f>
        <v>103</v>
      </c>
      <c r="V1167" s="64">
        <f>Ringkasan!V1166</f>
        <v>11.65</v>
      </c>
      <c r="W1167" s="64">
        <f>Ringkasan!W1166</f>
        <v>101</v>
      </c>
      <c r="X1167" s="64">
        <f>Ringkasan!X1166</f>
        <v>128</v>
      </c>
      <c r="Y1167" s="64">
        <f>Ringkasan!Y1166</f>
        <v>101</v>
      </c>
      <c r="Z1167" s="64">
        <f>Ringkasan!Z1166</f>
        <v>2516600</v>
      </c>
      <c r="AA1167" s="64" t="str">
        <f>Ringkasan!AA1166</f>
        <v>Personal Care Products</v>
      </c>
      <c r="AB1167" s="64" t="str">
        <f>Ringkasan!AB1166</f>
        <v>Consumer Non-Cyclicals</v>
      </c>
    </row>
    <row r="1168" hidden="1">
      <c r="A1168" s="64" t="str">
        <f>Ringkasan!A1167</f>
        <v>MCAS</v>
      </c>
      <c r="B1168" s="64" t="str">
        <f>Ringkasan!B1167</f>
        <v>M Cash Integrasi Tbk.</v>
      </c>
      <c r="C1168" s="65">
        <f>Ringkasan!C1167</f>
        <v>194</v>
      </c>
      <c r="D1168" s="64" t="str">
        <f>Ringkasan!D1167</f>
        <v>#N/A</v>
      </c>
      <c r="E1168" s="64" t="str">
        <f>Ringkasan!E1167</f>
        <v/>
      </c>
      <c r="F1168" s="64" t="str">
        <f>Ringkasan!F1167</f>
        <v/>
      </c>
      <c r="G1168" s="64">
        <f>Ringkasan!G1167</f>
        <v>0</v>
      </c>
      <c r="H1168" s="19">
        <f>Ringkasan!H1167</f>
        <v>-4.9</v>
      </c>
      <c r="I1168" s="19">
        <f>Ringkasan!I1167</f>
        <v>0.2</v>
      </c>
      <c r="J1168" s="19">
        <f>Ringkasan!J1167</f>
        <v>-4.2</v>
      </c>
      <c r="K1168" s="19">
        <f>Ringkasan!K1167</f>
        <v>-2.4</v>
      </c>
      <c r="L1168" s="19">
        <f>Ringkasan!L1167</f>
        <v>0.75</v>
      </c>
      <c r="M1168" s="19">
        <f>Ringkasan!M1167</f>
        <v>-5.3</v>
      </c>
      <c r="N1168" s="64" t="str">
        <f>Ringkasan!N1167</f>
        <v/>
      </c>
      <c r="O1168" s="64" t="str">
        <f>Ringkasan!O1167</f>
        <v/>
      </c>
      <c r="P1168" s="64" t="str">
        <f>Ringkasan!P1167</f>
        <v/>
      </c>
      <c r="Q1168" s="64" t="str">
        <f>Ringkasan!Q1167</f>
        <v/>
      </c>
      <c r="R1168" s="64" t="str">
        <f>Ringkasan!R1167</f>
        <v/>
      </c>
      <c r="S1168" s="64" t="str">
        <f>Ringkasan!S1167</f>
        <v/>
      </c>
      <c r="T1168" s="64" t="str">
        <f>Ringkasan!T1167</f>
        <v/>
      </c>
      <c r="U1168" s="64">
        <f>Ringkasan!U1167</f>
        <v>180</v>
      </c>
      <c r="V1168" s="64">
        <f>Ringkasan!V1167</f>
        <v>7.78</v>
      </c>
      <c r="W1168" s="64">
        <f>Ringkasan!W1167</f>
        <v>180</v>
      </c>
      <c r="X1168" s="64">
        <f>Ringkasan!X1167</f>
        <v>195</v>
      </c>
      <c r="Y1168" s="64">
        <f>Ringkasan!Y1167</f>
        <v>179</v>
      </c>
      <c r="Z1168" s="64">
        <f>Ringkasan!Z1167</f>
        <v>512000</v>
      </c>
      <c r="AA1168" s="64" t="str">
        <f>Ringkasan!AA1167</f>
        <v>Online Applications &amp; Services</v>
      </c>
      <c r="AB1168" s="64" t="str">
        <f>Ringkasan!AB1167</f>
        <v>Technology</v>
      </c>
    </row>
    <row r="1169" hidden="1">
      <c r="A1169" s="64" t="str">
        <f>Ringkasan!A1168</f>
        <v>MCOL</v>
      </c>
      <c r="B1169" s="64" t="str">
        <f>Ringkasan!B1168</f>
        <v>Prima Andalan Mandiri Tbk.</v>
      </c>
      <c r="C1169" s="65">
        <f>Ringkasan!C1168</f>
        <v>3650</v>
      </c>
      <c r="D1169" s="64" t="str">
        <f>Ringkasan!D1168</f>
        <v>#N/A</v>
      </c>
      <c r="E1169" s="64" t="str">
        <f>Ringkasan!E1168</f>
        <v/>
      </c>
      <c r="F1169" s="64" t="str">
        <f>Ringkasan!F1168</f>
        <v/>
      </c>
      <c r="G1169" s="64">
        <f>Ringkasan!G1168</f>
        <v>0</v>
      </c>
      <c r="H1169" s="19">
        <f>Ringkasan!H1168</f>
        <v>10</v>
      </c>
      <c r="I1169" s="19">
        <f>Ringkasan!I1168</f>
        <v>1.3</v>
      </c>
      <c r="J1169" s="19">
        <f>Ringkasan!J1168</f>
        <v>12.6</v>
      </c>
      <c r="K1169" s="19">
        <f>Ringkasan!K1168</f>
        <v>10.1</v>
      </c>
      <c r="L1169" s="19">
        <f>Ringkasan!L1168</f>
        <v>0.25</v>
      </c>
      <c r="M1169" s="19">
        <f>Ringkasan!M1168</f>
        <v>46.6</v>
      </c>
      <c r="N1169" s="64" t="str">
        <f>Ringkasan!N1168</f>
        <v/>
      </c>
      <c r="O1169" s="64" t="str">
        <f>Ringkasan!O1168</f>
        <v/>
      </c>
      <c r="P1169" s="64" t="str">
        <f>Ringkasan!P1168</f>
        <v/>
      </c>
      <c r="Q1169" s="64" t="str">
        <f>Ringkasan!Q1168</f>
        <v/>
      </c>
      <c r="R1169" s="64" t="str">
        <f>Ringkasan!R1168</f>
        <v/>
      </c>
      <c r="S1169" s="64" t="str">
        <f>Ringkasan!S1168</f>
        <v/>
      </c>
      <c r="T1169" s="64" t="str">
        <f>Ringkasan!T1168</f>
        <v/>
      </c>
      <c r="U1169" s="64">
        <f>Ringkasan!U1168</f>
        <v>3290</v>
      </c>
      <c r="V1169" s="64">
        <f>Ringkasan!V1168</f>
        <v>10.94</v>
      </c>
      <c r="W1169" s="64">
        <f>Ringkasan!W1168</f>
        <v>3290</v>
      </c>
      <c r="X1169" s="64">
        <f>Ringkasan!X1168</f>
        <v>3670</v>
      </c>
      <c r="Y1169" s="64">
        <f>Ringkasan!Y1168</f>
        <v>3290</v>
      </c>
      <c r="Z1169" s="64">
        <f>Ringkasan!Z1168</f>
        <v>100900</v>
      </c>
      <c r="AA1169" s="64" t="str">
        <f>Ringkasan!AA1168</f>
        <v>Coal</v>
      </c>
      <c r="AB1169" s="64" t="str">
        <f>Ringkasan!AB1168</f>
        <v>Energy</v>
      </c>
    </row>
    <row r="1170" hidden="1">
      <c r="A1170" s="64" t="str">
        <f>Ringkasan!A1169</f>
        <v>MCOR</v>
      </c>
      <c r="B1170" s="64" t="str">
        <f>Ringkasan!B1169</f>
        <v>PT Bank China Construction Bank Indonesia Tbk</v>
      </c>
      <c r="C1170" s="65">
        <f>Ringkasan!C1169</f>
        <v>64</v>
      </c>
      <c r="D1170" s="64" t="str">
        <f>Ringkasan!D1169</f>
        <v>#N/A</v>
      </c>
      <c r="E1170" s="64" t="str">
        <f>Ringkasan!E1169</f>
        <v/>
      </c>
      <c r="F1170" s="64" t="str">
        <f>Ringkasan!F1169</f>
        <v/>
      </c>
      <c r="G1170" s="64">
        <f>Ringkasan!G1169</f>
        <v>0</v>
      </c>
      <c r="H1170" s="19">
        <f>Ringkasan!H1169</f>
        <v>8.7</v>
      </c>
      <c r="I1170" s="19">
        <f>Ringkasan!I1169</f>
        <v>0.36</v>
      </c>
      <c r="J1170" s="19">
        <f>Ringkasan!J1169</f>
        <v>4.2</v>
      </c>
      <c r="K1170" s="19">
        <f>Ringkasan!K1169</f>
        <v>0.81</v>
      </c>
      <c r="L1170" s="19">
        <f>Ringkasan!L1169</f>
        <v>4.1</v>
      </c>
      <c r="M1170" s="19">
        <f>Ringkasan!M1169</f>
        <v>54.2</v>
      </c>
      <c r="N1170" s="64">
        <f>Ringkasan!N1169</f>
        <v>2.98</v>
      </c>
      <c r="O1170" s="64">
        <f>Ringkasan!O1169</f>
        <v>29.48</v>
      </c>
      <c r="P1170" s="64">
        <f>Ringkasan!P1169</f>
        <v>84.15</v>
      </c>
      <c r="Q1170" s="64">
        <f>Ringkasan!Q1169</f>
        <v>2.11</v>
      </c>
      <c r="R1170" s="64">
        <f>Ringkasan!R1169</f>
        <v>88.4</v>
      </c>
      <c r="S1170" s="64">
        <f>Ringkasan!S1169</f>
        <v>52.15</v>
      </c>
      <c r="T1170" s="64">
        <f>Ringkasan!T1169</f>
        <v>7.12</v>
      </c>
      <c r="U1170" s="64" t="str">
        <f>Ringkasan!U1169</f>
        <v/>
      </c>
      <c r="V1170" s="64">
        <f>Ringkasan!V1169</f>
        <v>-0.4</v>
      </c>
      <c r="W1170" s="64" t="str">
        <f>Ringkasan!W1169</f>
        <v/>
      </c>
      <c r="X1170" s="64" t="str">
        <f>Ringkasan!X1169</f>
        <v/>
      </c>
      <c r="Y1170" s="64" t="str">
        <f>Ringkasan!Y1169</f>
        <v/>
      </c>
      <c r="Z1170" s="64" t="str">
        <f>Ringkasan!Z1169</f>
        <v/>
      </c>
      <c r="AA1170" s="64" t="str">
        <f>Ringkasan!AA1169</f>
        <v>Banks</v>
      </c>
      <c r="AB1170" s="64" t="str">
        <f>Ringkasan!AB1169</f>
        <v>Financials</v>
      </c>
    </row>
    <row r="1171" hidden="1">
      <c r="A1171" s="64" t="str">
        <f>Ringkasan!A1170</f>
        <v>MDIA</v>
      </c>
      <c r="B1171" s="64" t="str">
        <f>Ringkasan!B1170</f>
        <v>Intermedia Capital Tbk.</v>
      </c>
      <c r="C1171" s="65">
        <f>Ringkasan!C1170</f>
        <v>72</v>
      </c>
      <c r="D1171" s="64" t="str">
        <f>Ringkasan!D1170</f>
        <v>#N/A</v>
      </c>
      <c r="E1171" s="64" t="str">
        <f>Ringkasan!E1170</f>
        <v/>
      </c>
      <c r="F1171" s="64" t="str">
        <f>Ringkasan!F1170</f>
        <v/>
      </c>
      <c r="G1171" s="64">
        <f>Ringkasan!G1170</f>
        <v>0</v>
      </c>
      <c r="H1171" s="19">
        <f>Ringkasan!H1170</f>
        <v>-72</v>
      </c>
      <c r="I1171" s="19">
        <f>Ringkasan!I1170</f>
        <v>3.6</v>
      </c>
      <c r="J1171" s="19">
        <f>Ringkasan!J1170</f>
        <v>-5</v>
      </c>
      <c r="K1171" s="19">
        <f>Ringkasan!K1170</f>
        <v>-1.4</v>
      </c>
      <c r="L1171" s="19">
        <f>Ringkasan!L1170</f>
        <v>2.5</v>
      </c>
      <c r="M1171" s="19">
        <f>Ringkasan!M1170</f>
        <v>-7.8</v>
      </c>
      <c r="N1171" s="64" t="str">
        <f>Ringkasan!N1170</f>
        <v/>
      </c>
      <c r="O1171" s="64" t="str">
        <f>Ringkasan!O1170</f>
        <v/>
      </c>
      <c r="P1171" s="64" t="str">
        <f>Ringkasan!P1170</f>
        <v/>
      </c>
      <c r="Q1171" s="64" t="str">
        <f>Ringkasan!Q1170</f>
        <v/>
      </c>
      <c r="R1171" s="64" t="str">
        <f>Ringkasan!R1170</f>
        <v/>
      </c>
      <c r="S1171" s="64" t="str">
        <f>Ringkasan!S1170</f>
        <v/>
      </c>
      <c r="T1171" s="64" t="str">
        <f>Ringkasan!T1170</f>
        <v/>
      </c>
      <c r="U1171" s="64">
        <f>Ringkasan!U1170</f>
        <v>0.82</v>
      </c>
      <c r="V1171" s="64">
        <f>Ringkasan!V1170</f>
        <v>-8.7</v>
      </c>
      <c r="W1171" s="64">
        <f>Ringkasan!W1170</f>
        <v>0.8</v>
      </c>
      <c r="X1171" s="64">
        <f>Ringkasan!X1170</f>
        <v>0.86</v>
      </c>
      <c r="Y1171" s="64">
        <f>Ringkasan!Y1170</f>
        <v>0.73</v>
      </c>
      <c r="Z1171" s="64">
        <f>Ringkasan!Z1170</f>
        <v>175450</v>
      </c>
      <c r="AA1171" s="64" t="str">
        <f>Ringkasan!AA1170</f>
        <v>Media</v>
      </c>
      <c r="AB1171" s="64" t="str">
        <f>Ringkasan!AB1170</f>
        <v>Consumer Cyclicals</v>
      </c>
    </row>
    <row r="1172" hidden="1">
      <c r="A1172" s="64" t="str">
        <f>Ringkasan!A1171</f>
        <v>MDIY</v>
      </c>
      <c r="B1172" s="64" t="str">
        <f>Ringkasan!B1171</f>
        <v>Daya Intiguna Yasa Tbk.</v>
      </c>
      <c r="C1172" s="65">
        <f>Ringkasan!C1171</f>
        <v>850</v>
      </c>
      <c r="D1172" s="64" t="str">
        <f>Ringkasan!D1171</f>
        <v>#N/A</v>
      </c>
      <c r="E1172" s="64" t="str">
        <f>Ringkasan!E1171</f>
        <v/>
      </c>
      <c r="F1172" s="64" t="str">
        <f>Ringkasan!F1171</f>
        <v/>
      </c>
      <c r="G1172" s="64">
        <f>Ringkasan!G1171</f>
        <v>0</v>
      </c>
      <c r="H1172" s="19">
        <f>Ringkasan!H1171</f>
        <v>18.7</v>
      </c>
      <c r="I1172" s="19">
        <f>Ringkasan!I1171</f>
        <v>4.9</v>
      </c>
      <c r="J1172" s="19">
        <f>Ringkasan!J1171</f>
        <v>26.3</v>
      </c>
      <c r="K1172" s="19">
        <f>Ringkasan!K1171</f>
        <v>15.4</v>
      </c>
      <c r="L1172" s="19">
        <f>Ringkasan!L1171</f>
        <v>0.7</v>
      </c>
      <c r="M1172" s="19">
        <f>Ringkasan!M1171</f>
        <v>50.3</v>
      </c>
      <c r="N1172" s="64" t="str">
        <f>Ringkasan!N1171</f>
        <v/>
      </c>
      <c r="O1172" s="64" t="str">
        <f>Ringkasan!O1171</f>
        <v/>
      </c>
      <c r="P1172" s="64" t="str">
        <f>Ringkasan!P1171</f>
        <v/>
      </c>
      <c r="Q1172" s="64" t="str">
        <f>Ringkasan!Q1171</f>
        <v/>
      </c>
      <c r="R1172" s="64" t="str">
        <f>Ringkasan!R1171</f>
        <v/>
      </c>
      <c r="S1172" s="64" t="str">
        <f>Ringkasan!S1171</f>
        <v/>
      </c>
      <c r="T1172" s="64" t="str">
        <f>Ringkasan!T1171</f>
        <v/>
      </c>
      <c r="U1172" s="64">
        <f>Ringkasan!U1171</f>
        <v>850</v>
      </c>
      <c r="V1172" s="64">
        <f>Ringkasan!V1171</f>
        <v>0</v>
      </c>
      <c r="W1172" s="64">
        <f>Ringkasan!W1171</f>
        <v>850</v>
      </c>
      <c r="X1172" s="64">
        <f>Ringkasan!X1171</f>
        <v>885</v>
      </c>
      <c r="Y1172" s="64">
        <f>Ringkasan!Y1171</f>
        <v>830</v>
      </c>
      <c r="Z1172" s="64">
        <f>Ringkasan!Z1171</f>
        <v>3173900</v>
      </c>
      <c r="AA1172" s="64" t="str">
        <f>Ringkasan!AA1171</f>
        <v>Specialty Retail</v>
      </c>
      <c r="AB1172" s="64" t="str">
        <f>Ringkasan!AB1171</f>
        <v>Consumer Cyclicals</v>
      </c>
    </row>
    <row r="1173" hidden="1">
      <c r="A1173" s="64" t="str">
        <f>Ringkasan!A1172</f>
        <v>MDKA</v>
      </c>
      <c r="B1173" s="64" t="str">
        <f>Ringkasan!B1172</f>
        <v>Merdeka Copper Gold Tbk.</v>
      </c>
      <c r="C1173" s="65">
        <f>Ringkasan!C1172</f>
        <v>2540</v>
      </c>
      <c r="D1173" s="64" t="str">
        <f>Ringkasan!D1172</f>
        <v>#N/A</v>
      </c>
      <c r="E1173" s="64" t="str">
        <f>Ringkasan!E1172</f>
        <v>JII30</v>
      </c>
      <c r="F1173" s="66">
        <f>Ringkasan!F1172</f>
        <v>46356</v>
      </c>
      <c r="G1173" s="64">
        <f>Ringkasan!G1172</f>
        <v>11</v>
      </c>
      <c r="H1173" s="19">
        <f>Ringkasan!H1172</f>
        <v>-60.9</v>
      </c>
      <c r="I1173" s="19">
        <f>Ringkasan!I1172</f>
        <v>1.3</v>
      </c>
      <c r="J1173" s="19">
        <f>Ringkasan!J1172</f>
        <v>-2.1</v>
      </c>
      <c r="K1173" s="19">
        <f>Ringkasan!K1172</f>
        <v>-1.1</v>
      </c>
      <c r="L1173" s="19">
        <f>Ringkasan!L1172</f>
        <v>0.95</v>
      </c>
      <c r="M1173" s="19">
        <f>Ringkasan!M1172</f>
        <v>-3.3</v>
      </c>
      <c r="N1173" s="64" t="str">
        <f>Ringkasan!N1172</f>
        <v/>
      </c>
      <c r="O1173" s="64" t="str">
        <f>Ringkasan!O1172</f>
        <v/>
      </c>
      <c r="P1173" s="64" t="str">
        <f>Ringkasan!P1172</f>
        <v/>
      </c>
      <c r="Q1173" s="64" t="str">
        <f>Ringkasan!Q1172</f>
        <v/>
      </c>
      <c r="R1173" s="64" t="str">
        <f>Ringkasan!R1172</f>
        <v/>
      </c>
      <c r="S1173" s="64" t="str">
        <f>Ringkasan!S1172</f>
        <v/>
      </c>
      <c r="T1173" s="64" t="str">
        <f>Ringkasan!T1172</f>
        <v/>
      </c>
      <c r="U1173" s="64">
        <f>Ringkasan!U1172</f>
        <v>2470</v>
      </c>
      <c r="V1173" s="64" t="str">
        <f>Ringkasan!V1172</f>
        <v/>
      </c>
      <c r="W1173" s="64">
        <f>Ringkasan!W1172</f>
        <v>2520</v>
      </c>
      <c r="X1173" s="64" t="str">
        <f>Ringkasan!X1172</f>
        <v/>
      </c>
      <c r="Y1173" s="64">
        <f>Ringkasan!Y1172</f>
        <v>2520</v>
      </c>
      <c r="Z1173" s="64" t="str">
        <f>Ringkasan!Z1172</f>
        <v/>
      </c>
      <c r="AA1173" s="64" t="str">
        <f>Ringkasan!AA1172</f>
        <v>Metals &amp; Minerals</v>
      </c>
      <c r="AB1173" s="64" t="str">
        <f>Ringkasan!AB1172</f>
        <v>Basic Materials</v>
      </c>
    </row>
    <row r="1174" hidden="1">
      <c r="A1174" s="64" t="str">
        <f>Ringkasan!A1173</f>
        <v>MDKA</v>
      </c>
      <c r="B1174" s="64" t="str">
        <f>Ringkasan!B1173</f>
        <v>Merdeka Copper Gold Tbk.</v>
      </c>
      <c r="C1174" s="65">
        <f>Ringkasan!C1173</f>
        <v>2540</v>
      </c>
      <c r="D1174" s="64" t="str">
        <f>Ringkasan!D1173</f>
        <v>#N/A</v>
      </c>
      <c r="E1174" s="64" t="str">
        <f>Ringkasan!E1173</f>
        <v>Pefindo - iGrade</v>
      </c>
      <c r="F1174" s="64" t="str">
        <f>Ringkasan!F1173</f>
        <v>30 Juni 2026</v>
      </c>
      <c r="G1174" s="64">
        <f>Ringkasan!G1173</f>
        <v>11</v>
      </c>
      <c r="H1174" s="19">
        <f>Ringkasan!H1173</f>
        <v>-60.9</v>
      </c>
      <c r="I1174" s="19">
        <f>Ringkasan!I1173</f>
        <v>1.3</v>
      </c>
      <c r="J1174" s="19">
        <f>Ringkasan!J1173</f>
        <v>-2.1</v>
      </c>
      <c r="K1174" s="19">
        <f>Ringkasan!K1173</f>
        <v>-1.1</v>
      </c>
      <c r="L1174" s="19">
        <f>Ringkasan!L1173</f>
        <v>0.95</v>
      </c>
      <c r="M1174" s="19">
        <f>Ringkasan!M1173</f>
        <v>-3.3</v>
      </c>
      <c r="N1174" s="64" t="str">
        <f>Ringkasan!N1173</f>
        <v/>
      </c>
      <c r="O1174" s="64" t="str">
        <f>Ringkasan!O1173</f>
        <v/>
      </c>
      <c r="P1174" s="64" t="str">
        <f>Ringkasan!P1173</f>
        <v/>
      </c>
      <c r="Q1174" s="64" t="str">
        <f>Ringkasan!Q1173</f>
        <v/>
      </c>
      <c r="R1174" s="64" t="str">
        <f>Ringkasan!R1173</f>
        <v/>
      </c>
      <c r="S1174" s="64" t="str">
        <f>Ringkasan!S1173</f>
        <v/>
      </c>
      <c r="T1174" s="64" t="str">
        <f>Ringkasan!T1173</f>
        <v/>
      </c>
      <c r="U1174" s="64">
        <f>Ringkasan!U1173</f>
        <v>2470</v>
      </c>
      <c r="V1174" s="64" t="str">
        <f>Ringkasan!V1173</f>
        <v/>
      </c>
      <c r="W1174" s="64">
        <f>Ringkasan!W1173</f>
        <v>2520</v>
      </c>
      <c r="X1174" s="64" t="str">
        <f>Ringkasan!X1173</f>
        <v/>
      </c>
      <c r="Y1174" s="64">
        <f>Ringkasan!Y1173</f>
        <v>2520</v>
      </c>
      <c r="Z1174" s="64" t="str">
        <f>Ringkasan!Z1173</f>
        <v/>
      </c>
      <c r="AA1174" s="64" t="str">
        <f>Ringkasan!AA1173</f>
        <v>Metals &amp; Minerals</v>
      </c>
      <c r="AB1174" s="64" t="str">
        <f>Ringkasan!AB1173</f>
        <v>Basic Materials</v>
      </c>
    </row>
    <row r="1175" hidden="1">
      <c r="A1175" s="64" t="str">
        <f>Ringkasan!A1174</f>
        <v>MDKA</v>
      </c>
      <c r="B1175" s="64" t="str">
        <f>Ringkasan!B1174</f>
        <v>Merdeka Copper Gold Tbk.</v>
      </c>
      <c r="C1175" s="65">
        <f>Ringkasan!C1174</f>
        <v>2540</v>
      </c>
      <c r="D1175" s="64" t="str">
        <f>Ringkasan!D1174</f>
        <v>#N/A</v>
      </c>
      <c r="E1175" s="64" t="str">
        <f>Ringkasan!E1174</f>
        <v>LQ45</v>
      </c>
      <c r="F1175" s="64" t="str">
        <f>Ringkasan!F1174</f>
        <v>31 Juli 2026</v>
      </c>
      <c r="G1175" s="64">
        <f>Ringkasan!G1174</f>
        <v>11</v>
      </c>
      <c r="H1175" s="19">
        <f>Ringkasan!H1174</f>
        <v>-60.9</v>
      </c>
      <c r="I1175" s="19">
        <f>Ringkasan!I1174</f>
        <v>1.3</v>
      </c>
      <c r="J1175" s="19">
        <f>Ringkasan!J1174</f>
        <v>-2.1</v>
      </c>
      <c r="K1175" s="19">
        <f>Ringkasan!K1174</f>
        <v>-1.1</v>
      </c>
      <c r="L1175" s="19">
        <f>Ringkasan!L1174</f>
        <v>0.95</v>
      </c>
      <c r="M1175" s="19">
        <f>Ringkasan!M1174</f>
        <v>-3.3</v>
      </c>
      <c r="N1175" s="64" t="str">
        <f>Ringkasan!N1174</f>
        <v/>
      </c>
      <c r="O1175" s="64" t="str">
        <f>Ringkasan!O1174</f>
        <v/>
      </c>
      <c r="P1175" s="64" t="str">
        <f>Ringkasan!P1174</f>
        <v/>
      </c>
      <c r="Q1175" s="64" t="str">
        <f>Ringkasan!Q1174</f>
        <v/>
      </c>
      <c r="R1175" s="64" t="str">
        <f>Ringkasan!R1174</f>
        <v/>
      </c>
      <c r="S1175" s="64" t="str">
        <f>Ringkasan!S1174</f>
        <v/>
      </c>
      <c r="T1175" s="64" t="str">
        <f>Ringkasan!T1174</f>
        <v/>
      </c>
      <c r="U1175" s="64">
        <f>Ringkasan!U1174</f>
        <v>2470</v>
      </c>
      <c r="V1175" s="64" t="str">
        <f>Ringkasan!V1174</f>
        <v/>
      </c>
      <c r="W1175" s="64">
        <f>Ringkasan!W1174</f>
        <v>2520</v>
      </c>
      <c r="X1175" s="64" t="str">
        <f>Ringkasan!X1174</f>
        <v/>
      </c>
      <c r="Y1175" s="64">
        <f>Ringkasan!Y1174</f>
        <v>2520</v>
      </c>
      <c r="Z1175" s="64" t="str">
        <f>Ringkasan!Z1174</f>
        <v/>
      </c>
      <c r="AA1175" s="64" t="str">
        <f>Ringkasan!AA1174</f>
        <v>Metals &amp; Minerals</v>
      </c>
      <c r="AB1175" s="64" t="str">
        <f>Ringkasan!AB1174</f>
        <v>Basic Materials</v>
      </c>
    </row>
    <row r="1176" hidden="1">
      <c r="A1176" s="64" t="str">
        <f>Ringkasan!A1175</f>
        <v>MDKA</v>
      </c>
      <c r="B1176" s="64" t="str">
        <f>Ringkasan!B1175</f>
        <v>Merdeka Copper Gold Tbk.</v>
      </c>
      <c r="C1176" s="65">
        <f>Ringkasan!C1175</f>
        <v>2540</v>
      </c>
      <c r="D1176" s="64" t="str">
        <f>Ringkasan!D1175</f>
        <v>#N/A</v>
      </c>
      <c r="E1176" s="64" t="str">
        <f>Ringkasan!E1175</f>
        <v>IDX80</v>
      </c>
      <c r="F1176" s="64" t="str">
        <f>Ringkasan!F1175</f>
        <v>31 Juli 2026</v>
      </c>
      <c r="G1176" s="64">
        <f>Ringkasan!G1175</f>
        <v>11</v>
      </c>
      <c r="H1176" s="19">
        <f>Ringkasan!H1175</f>
        <v>-60.9</v>
      </c>
      <c r="I1176" s="19">
        <f>Ringkasan!I1175</f>
        <v>1.3</v>
      </c>
      <c r="J1176" s="19">
        <f>Ringkasan!J1175</f>
        <v>-2.1</v>
      </c>
      <c r="K1176" s="19">
        <f>Ringkasan!K1175</f>
        <v>-1.1</v>
      </c>
      <c r="L1176" s="19">
        <f>Ringkasan!L1175</f>
        <v>0.95</v>
      </c>
      <c r="M1176" s="19">
        <f>Ringkasan!M1175</f>
        <v>-3.3</v>
      </c>
      <c r="N1176" s="64" t="str">
        <f>Ringkasan!N1175</f>
        <v/>
      </c>
      <c r="O1176" s="64" t="str">
        <f>Ringkasan!O1175</f>
        <v/>
      </c>
      <c r="P1176" s="64" t="str">
        <f>Ringkasan!P1175</f>
        <v/>
      </c>
      <c r="Q1176" s="64" t="str">
        <f>Ringkasan!Q1175</f>
        <v/>
      </c>
      <c r="R1176" s="64" t="str">
        <f>Ringkasan!R1175</f>
        <v/>
      </c>
      <c r="S1176" s="64" t="str">
        <f>Ringkasan!S1175</f>
        <v/>
      </c>
      <c r="T1176" s="64" t="str">
        <f>Ringkasan!T1175</f>
        <v/>
      </c>
      <c r="U1176" s="64">
        <f>Ringkasan!U1175</f>
        <v>2470</v>
      </c>
      <c r="V1176" s="64" t="str">
        <f>Ringkasan!V1175</f>
        <v/>
      </c>
      <c r="W1176" s="64">
        <f>Ringkasan!W1175</f>
        <v>2520</v>
      </c>
      <c r="X1176" s="64" t="str">
        <f>Ringkasan!X1175</f>
        <v/>
      </c>
      <c r="Y1176" s="64">
        <f>Ringkasan!Y1175</f>
        <v>2520</v>
      </c>
      <c r="Z1176" s="64" t="str">
        <f>Ringkasan!Z1175</f>
        <v/>
      </c>
      <c r="AA1176" s="64" t="str">
        <f>Ringkasan!AA1175</f>
        <v>Metals &amp; Minerals</v>
      </c>
      <c r="AB1176" s="64" t="str">
        <f>Ringkasan!AB1175</f>
        <v>Basic Materials</v>
      </c>
    </row>
    <row r="1177" hidden="1">
      <c r="A1177" s="64" t="str">
        <f>Ringkasan!A1176</f>
        <v>MDKA</v>
      </c>
      <c r="B1177" s="64" t="str">
        <f>Ringkasan!B1176</f>
        <v>Merdeka Copper Gold Tbk.</v>
      </c>
      <c r="C1177" s="65">
        <f>Ringkasan!C1176</f>
        <v>2540</v>
      </c>
      <c r="D1177" s="64" t="str">
        <f>Ringkasan!D1176</f>
        <v>#N/A</v>
      </c>
      <c r="E1177" s="64" t="str">
        <f>Ringkasan!E1176</f>
        <v>MNC36</v>
      </c>
      <c r="F1177" s="64" t="str">
        <f>Ringkasan!F1176</f>
        <v>30 Oktober 2026</v>
      </c>
      <c r="G1177" s="64">
        <f>Ringkasan!G1176</f>
        <v>11</v>
      </c>
      <c r="H1177" s="19">
        <f>Ringkasan!H1176</f>
        <v>-60.9</v>
      </c>
      <c r="I1177" s="19">
        <f>Ringkasan!I1176</f>
        <v>1.3</v>
      </c>
      <c r="J1177" s="19">
        <f>Ringkasan!J1176</f>
        <v>-2.1</v>
      </c>
      <c r="K1177" s="19">
        <f>Ringkasan!K1176</f>
        <v>-1.1</v>
      </c>
      <c r="L1177" s="19">
        <f>Ringkasan!L1176</f>
        <v>0.95</v>
      </c>
      <c r="M1177" s="19">
        <f>Ringkasan!M1176</f>
        <v>-3.3</v>
      </c>
      <c r="N1177" s="64" t="str">
        <f>Ringkasan!N1176</f>
        <v/>
      </c>
      <c r="O1177" s="64" t="str">
        <f>Ringkasan!O1176</f>
        <v/>
      </c>
      <c r="P1177" s="64" t="str">
        <f>Ringkasan!P1176</f>
        <v/>
      </c>
      <c r="Q1177" s="64" t="str">
        <f>Ringkasan!Q1176</f>
        <v/>
      </c>
      <c r="R1177" s="64" t="str">
        <f>Ringkasan!R1176</f>
        <v/>
      </c>
      <c r="S1177" s="64" t="str">
        <f>Ringkasan!S1176</f>
        <v/>
      </c>
      <c r="T1177" s="64" t="str">
        <f>Ringkasan!T1176</f>
        <v/>
      </c>
      <c r="U1177" s="64">
        <f>Ringkasan!U1176</f>
        <v>2470</v>
      </c>
      <c r="V1177" s="64" t="str">
        <f>Ringkasan!V1176</f>
        <v/>
      </c>
      <c r="W1177" s="64">
        <f>Ringkasan!W1176</f>
        <v>2520</v>
      </c>
      <c r="X1177" s="64" t="str">
        <f>Ringkasan!X1176</f>
        <v/>
      </c>
      <c r="Y1177" s="64">
        <f>Ringkasan!Y1176</f>
        <v>2520</v>
      </c>
      <c r="Z1177" s="64" t="str">
        <f>Ringkasan!Z1176</f>
        <v/>
      </c>
      <c r="AA1177" s="64" t="str">
        <f>Ringkasan!AA1176</f>
        <v>Metals &amp; Minerals</v>
      </c>
      <c r="AB1177" s="64" t="str">
        <f>Ringkasan!AB1176</f>
        <v>Basic Materials</v>
      </c>
    </row>
    <row r="1178" hidden="1">
      <c r="A1178" s="64" t="str">
        <f>Ringkasan!A1177</f>
        <v>MDKA</v>
      </c>
      <c r="B1178" s="64" t="str">
        <f>Ringkasan!B1177</f>
        <v>Merdeka Copper Gold Tbk.</v>
      </c>
      <c r="C1178" s="65">
        <f>Ringkasan!C1177</f>
        <v>2540</v>
      </c>
      <c r="D1178" s="64" t="str">
        <f>Ringkasan!D1177</f>
        <v>#N/A</v>
      </c>
      <c r="E1178" s="64" t="str">
        <f>Ringkasan!E1177</f>
        <v>Kompas100</v>
      </c>
      <c r="F1178" s="64" t="str">
        <f>Ringkasan!F1177</f>
        <v>31 Juli 2026</v>
      </c>
      <c r="G1178" s="64">
        <f>Ringkasan!G1177</f>
        <v>11</v>
      </c>
      <c r="H1178" s="19">
        <f>Ringkasan!H1177</f>
        <v>-60.9</v>
      </c>
      <c r="I1178" s="19">
        <f>Ringkasan!I1177</f>
        <v>1.3</v>
      </c>
      <c r="J1178" s="19">
        <f>Ringkasan!J1177</f>
        <v>-2.1</v>
      </c>
      <c r="K1178" s="19">
        <f>Ringkasan!K1177</f>
        <v>-1.1</v>
      </c>
      <c r="L1178" s="19">
        <f>Ringkasan!L1177</f>
        <v>0.95</v>
      </c>
      <c r="M1178" s="19">
        <f>Ringkasan!M1177</f>
        <v>-3.3</v>
      </c>
      <c r="N1178" s="64" t="str">
        <f>Ringkasan!N1177</f>
        <v/>
      </c>
      <c r="O1178" s="64" t="str">
        <f>Ringkasan!O1177</f>
        <v/>
      </c>
      <c r="P1178" s="64" t="str">
        <f>Ringkasan!P1177</f>
        <v/>
      </c>
      <c r="Q1178" s="64" t="str">
        <f>Ringkasan!Q1177</f>
        <v/>
      </c>
      <c r="R1178" s="64" t="str">
        <f>Ringkasan!R1177</f>
        <v/>
      </c>
      <c r="S1178" s="64" t="str">
        <f>Ringkasan!S1177</f>
        <v/>
      </c>
      <c r="T1178" s="64" t="str">
        <f>Ringkasan!T1177</f>
        <v/>
      </c>
      <c r="U1178" s="64">
        <f>Ringkasan!U1177</f>
        <v>2470</v>
      </c>
      <c r="V1178" s="64" t="str">
        <f>Ringkasan!V1177</f>
        <v/>
      </c>
      <c r="W1178" s="64">
        <f>Ringkasan!W1177</f>
        <v>2520</v>
      </c>
      <c r="X1178" s="64" t="str">
        <f>Ringkasan!X1177</f>
        <v/>
      </c>
      <c r="Y1178" s="64">
        <f>Ringkasan!Y1177</f>
        <v>2520</v>
      </c>
      <c r="Z1178" s="64" t="str">
        <f>Ringkasan!Z1177</f>
        <v/>
      </c>
      <c r="AA1178" s="64" t="str">
        <f>Ringkasan!AA1177</f>
        <v>Metals &amp; Minerals</v>
      </c>
      <c r="AB1178" s="64" t="str">
        <f>Ringkasan!AB1177</f>
        <v>Basic Materials</v>
      </c>
    </row>
    <row r="1179" hidden="1">
      <c r="A1179" s="64" t="str">
        <f>Ringkasan!A1178</f>
        <v>MDKA</v>
      </c>
      <c r="B1179" s="64" t="str">
        <f>Ringkasan!B1178</f>
        <v>Merdeka Copper Gold Tbk.</v>
      </c>
      <c r="C1179" s="65">
        <f>Ringkasan!C1178</f>
        <v>2540</v>
      </c>
      <c r="D1179" s="64" t="str">
        <f>Ringkasan!D1178</f>
        <v>#N/A</v>
      </c>
      <c r="E1179" s="64" t="str">
        <f>Ringkasan!E1178</f>
        <v>IDX30</v>
      </c>
      <c r="F1179" s="64" t="str">
        <f>Ringkasan!F1178</f>
        <v>31 Juli 2026</v>
      </c>
      <c r="G1179" s="64">
        <f>Ringkasan!G1178</f>
        <v>11</v>
      </c>
      <c r="H1179" s="19">
        <f>Ringkasan!H1178</f>
        <v>-60.9</v>
      </c>
      <c r="I1179" s="19">
        <f>Ringkasan!I1178</f>
        <v>1.3</v>
      </c>
      <c r="J1179" s="19">
        <f>Ringkasan!J1178</f>
        <v>-2.1</v>
      </c>
      <c r="K1179" s="19">
        <f>Ringkasan!K1178</f>
        <v>-1.1</v>
      </c>
      <c r="L1179" s="19">
        <f>Ringkasan!L1178</f>
        <v>0.95</v>
      </c>
      <c r="M1179" s="19">
        <f>Ringkasan!M1178</f>
        <v>-3.3</v>
      </c>
      <c r="N1179" s="64" t="str">
        <f>Ringkasan!N1178</f>
        <v/>
      </c>
      <c r="O1179" s="64" t="str">
        <f>Ringkasan!O1178</f>
        <v/>
      </c>
      <c r="P1179" s="64" t="str">
        <f>Ringkasan!P1178</f>
        <v/>
      </c>
      <c r="Q1179" s="64" t="str">
        <f>Ringkasan!Q1178</f>
        <v/>
      </c>
      <c r="R1179" s="64" t="str">
        <f>Ringkasan!R1178</f>
        <v/>
      </c>
      <c r="S1179" s="64" t="str">
        <f>Ringkasan!S1178</f>
        <v/>
      </c>
      <c r="T1179" s="64" t="str">
        <f>Ringkasan!T1178</f>
        <v/>
      </c>
      <c r="U1179" s="64">
        <f>Ringkasan!U1178</f>
        <v>2470</v>
      </c>
      <c r="V1179" s="64" t="str">
        <f>Ringkasan!V1178</f>
        <v/>
      </c>
      <c r="W1179" s="64">
        <f>Ringkasan!W1178</f>
        <v>2520</v>
      </c>
      <c r="X1179" s="64" t="str">
        <f>Ringkasan!X1178</f>
        <v/>
      </c>
      <c r="Y1179" s="64">
        <f>Ringkasan!Y1178</f>
        <v>2520</v>
      </c>
      <c r="Z1179" s="64" t="str">
        <f>Ringkasan!Z1178</f>
        <v/>
      </c>
      <c r="AA1179" s="64" t="str">
        <f>Ringkasan!AA1178</f>
        <v>Metals &amp; Minerals</v>
      </c>
      <c r="AB1179" s="64" t="str">
        <f>Ringkasan!AB1178</f>
        <v>Basic Materials</v>
      </c>
    </row>
    <row r="1180" hidden="1">
      <c r="A1180" s="64" t="str">
        <f>Ringkasan!A1179</f>
        <v>MDKA</v>
      </c>
      <c r="B1180" s="64" t="str">
        <f>Ringkasan!B1179</f>
        <v>Merdeka Copper Gold Tbk.</v>
      </c>
      <c r="C1180" s="65">
        <f>Ringkasan!C1179</f>
        <v>2540</v>
      </c>
      <c r="D1180" s="64" t="str">
        <f>Ringkasan!D1179</f>
        <v>#N/A</v>
      </c>
      <c r="E1180" s="64" t="str">
        <f>Ringkasan!E1179</f>
        <v>ECONOMIC30</v>
      </c>
      <c r="F1180" s="64" t="str">
        <f>Ringkasan!F1179</f>
        <v>31 Agustus 2026</v>
      </c>
      <c r="G1180" s="64">
        <f>Ringkasan!G1179</f>
        <v>11</v>
      </c>
      <c r="H1180" s="19">
        <f>Ringkasan!H1179</f>
        <v>-60.9</v>
      </c>
      <c r="I1180" s="19">
        <f>Ringkasan!I1179</f>
        <v>1.3</v>
      </c>
      <c r="J1180" s="19">
        <f>Ringkasan!J1179</f>
        <v>-2.1</v>
      </c>
      <c r="K1180" s="19">
        <f>Ringkasan!K1179</f>
        <v>-1.1</v>
      </c>
      <c r="L1180" s="19">
        <f>Ringkasan!L1179</f>
        <v>0.95</v>
      </c>
      <c r="M1180" s="19">
        <f>Ringkasan!M1179</f>
        <v>-3.3</v>
      </c>
      <c r="N1180" s="64" t="str">
        <f>Ringkasan!N1179</f>
        <v/>
      </c>
      <c r="O1180" s="64" t="str">
        <f>Ringkasan!O1179</f>
        <v/>
      </c>
      <c r="P1180" s="64" t="str">
        <f>Ringkasan!P1179</f>
        <v/>
      </c>
      <c r="Q1180" s="64" t="str">
        <f>Ringkasan!Q1179</f>
        <v/>
      </c>
      <c r="R1180" s="64" t="str">
        <f>Ringkasan!R1179</f>
        <v/>
      </c>
      <c r="S1180" s="64" t="str">
        <f>Ringkasan!S1179</f>
        <v/>
      </c>
      <c r="T1180" s="64" t="str">
        <f>Ringkasan!T1179</f>
        <v/>
      </c>
      <c r="U1180" s="64">
        <f>Ringkasan!U1179</f>
        <v>2470</v>
      </c>
      <c r="V1180" s="64" t="str">
        <f>Ringkasan!V1179</f>
        <v/>
      </c>
      <c r="W1180" s="64">
        <f>Ringkasan!W1179</f>
        <v>2520</v>
      </c>
      <c r="X1180" s="64" t="str">
        <f>Ringkasan!X1179</f>
        <v/>
      </c>
      <c r="Y1180" s="64">
        <f>Ringkasan!Y1179</f>
        <v>2520</v>
      </c>
      <c r="Z1180" s="64" t="str">
        <f>Ringkasan!Z1179</f>
        <v/>
      </c>
      <c r="AA1180" s="64" t="str">
        <f>Ringkasan!AA1179</f>
        <v>Metals &amp; Minerals</v>
      </c>
      <c r="AB1180" s="64" t="str">
        <f>Ringkasan!AB1179</f>
        <v>Basic Materials</v>
      </c>
    </row>
    <row r="1181" hidden="1">
      <c r="A1181" s="64" t="str">
        <f>Ringkasan!A1180</f>
        <v>MDKA</v>
      </c>
      <c r="B1181" s="64" t="str">
        <f>Ringkasan!B1180</f>
        <v>Merdeka Copper Gold Tbk.</v>
      </c>
      <c r="C1181" s="65">
        <f>Ringkasan!C1180</f>
        <v>2540</v>
      </c>
      <c r="D1181" s="64" t="str">
        <f>Ringkasan!D1180</f>
        <v>#N/A</v>
      </c>
      <c r="E1181" s="64" t="str">
        <f>Ringkasan!E1180</f>
        <v>FTSE Large Cap</v>
      </c>
      <c r="F1181" s="64" t="str">
        <f>Ringkasan!F1180</f>
        <v>Juni 2026</v>
      </c>
      <c r="G1181" s="64">
        <f>Ringkasan!G1180</f>
        <v>11</v>
      </c>
      <c r="H1181" s="19">
        <f>Ringkasan!H1180</f>
        <v>-60.9</v>
      </c>
      <c r="I1181" s="19">
        <f>Ringkasan!I1180</f>
        <v>1.3</v>
      </c>
      <c r="J1181" s="19">
        <f>Ringkasan!J1180</f>
        <v>-2.1</v>
      </c>
      <c r="K1181" s="19">
        <f>Ringkasan!K1180</f>
        <v>-1.1</v>
      </c>
      <c r="L1181" s="19">
        <f>Ringkasan!L1180</f>
        <v>0.95</v>
      </c>
      <c r="M1181" s="19">
        <f>Ringkasan!M1180</f>
        <v>-3.3</v>
      </c>
      <c r="N1181" s="64" t="str">
        <f>Ringkasan!N1180</f>
        <v/>
      </c>
      <c r="O1181" s="64" t="str">
        <f>Ringkasan!O1180</f>
        <v/>
      </c>
      <c r="P1181" s="64" t="str">
        <f>Ringkasan!P1180</f>
        <v/>
      </c>
      <c r="Q1181" s="64" t="str">
        <f>Ringkasan!Q1180</f>
        <v/>
      </c>
      <c r="R1181" s="64" t="str">
        <f>Ringkasan!R1180</f>
        <v/>
      </c>
      <c r="S1181" s="64" t="str">
        <f>Ringkasan!S1180</f>
        <v/>
      </c>
      <c r="T1181" s="64" t="str">
        <f>Ringkasan!T1180</f>
        <v/>
      </c>
      <c r="U1181" s="64">
        <f>Ringkasan!U1180</f>
        <v>2470</v>
      </c>
      <c r="V1181" s="64" t="str">
        <f>Ringkasan!V1180</f>
        <v/>
      </c>
      <c r="W1181" s="64">
        <f>Ringkasan!W1180</f>
        <v>2520</v>
      </c>
      <c r="X1181" s="64" t="str">
        <f>Ringkasan!X1180</f>
        <v/>
      </c>
      <c r="Y1181" s="64">
        <f>Ringkasan!Y1180</f>
        <v>2520</v>
      </c>
      <c r="Z1181" s="64" t="str">
        <f>Ringkasan!Z1180</f>
        <v/>
      </c>
      <c r="AA1181" s="64" t="str">
        <f>Ringkasan!AA1180</f>
        <v>Metals &amp; Minerals</v>
      </c>
      <c r="AB1181" s="64" t="str">
        <f>Ringkasan!AB1180</f>
        <v>Basic Materials</v>
      </c>
    </row>
    <row r="1182" hidden="1">
      <c r="A1182" s="64" t="str">
        <f>Ringkasan!A1181</f>
        <v>MDKA</v>
      </c>
      <c r="B1182" s="64" t="str">
        <f>Ringkasan!B1181</f>
        <v>Merdeka Copper Gold Tbk.</v>
      </c>
      <c r="C1182" s="65">
        <f>Ringkasan!C1181</f>
        <v>2540</v>
      </c>
      <c r="D1182" s="64" t="str">
        <f>Ringkasan!D1181</f>
        <v>#N/A</v>
      </c>
      <c r="E1182" s="64" t="str">
        <f>Ringkasan!E1181</f>
        <v>MSCI Small Cap</v>
      </c>
      <c r="F1182" s="64" t="str">
        <f>Ringkasan!F1181</f>
        <v>12 Agustus 2026</v>
      </c>
      <c r="G1182" s="64">
        <f>Ringkasan!G1181</f>
        <v>11</v>
      </c>
      <c r="H1182" s="19">
        <f>Ringkasan!H1181</f>
        <v>-60.9</v>
      </c>
      <c r="I1182" s="19">
        <f>Ringkasan!I1181</f>
        <v>1.3</v>
      </c>
      <c r="J1182" s="19">
        <f>Ringkasan!J1181</f>
        <v>-2.1</v>
      </c>
      <c r="K1182" s="19">
        <f>Ringkasan!K1181</f>
        <v>-1.1</v>
      </c>
      <c r="L1182" s="19">
        <f>Ringkasan!L1181</f>
        <v>0.95</v>
      </c>
      <c r="M1182" s="19">
        <f>Ringkasan!M1181</f>
        <v>-3.3</v>
      </c>
      <c r="N1182" s="64" t="str">
        <f>Ringkasan!N1181</f>
        <v/>
      </c>
      <c r="O1182" s="64" t="str">
        <f>Ringkasan!O1181</f>
        <v/>
      </c>
      <c r="P1182" s="64" t="str">
        <f>Ringkasan!P1181</f>
        <v/>
      </c>
      <c r="Q1182" s="64" t="str">
        <f>Ringkasan!Q1181</f>
        <v/>
      </c>
      <c r="R1182" s="64" t="str">
        <f>Ringkasan!R1181</f>
        <v/>
      </c>
      <c r="S1182" s="64" t="str">
        <f>Ringkasan!S1181</f>
        <v/>
      </c>
      <c r="T1182" s="64" t="str">
        <f>Ringkasan!T1181</f>
        <v/>
      </c>
      <c r="U1182" s="64">
        <f>Ringkasan!U1181</f>
        <v>2470</v>
      </c>
      <c r="V1182" s="64" t="str">
        <f>Ringkasan!V1181</f>
        <v/>
      </c>
      <c r="W1182" s="64">
        <f>Ringkasan!W1181</f>
        <v>2520</v>
      </c>
      <c r="X1182" s="64" t="str">
        <f>Ringkasan!X1181</f>
        <v/>
      </c>
      <c r="Y1182" s="64">
        <f>Ringkasan!Y1181</f>
        <v>2520</v>
      </c>
      <c r="Z1182" s="64" t="str">
        <f>Ringkasan!Z1181</f>
        <v/>
      </c>
      <c r="AA1182" s="64" t="str">
        <f>Ringkasan!AA1181</f>
        <v>Metals &amp; Minerals</v>
      </c>
      <c r="AB1182" s="64" t="str">
        <f>Ringkasan!AB1181</f>
        <v>Basic Materials</v>
      </c>
    </row>
    <row r="1183" hidden="1">
      <c r="A1183" s="64" t="str">
        <f>Ringkasan!A1182</f>
        <v>MDKA</v>
      </c>
      <c r="B1183" s="64" t="str">
        <f>Ringkasan!B1182</f>
        <v>Merdeka Copper Gold Tbk.</v>
      </c>
      <c r="C1183" s="65">
        <f>Ringkasan!C1182</f>
        <v>2540</v>
      </c>
      <c r="D1183" s="64" t="str">
        <f>Ringkasan!D1182</f>
        <v>#N/A</v>
      </c>
      <c r="E1183" s="64" t="str">
        <f>Ringkasan!E1182</f>
        <v>JII70</v>
      </c>
      <c r="F1183" s="66">
        <f>Ringkasan!F1182</f>
        <v>46356</v>
      </c>
      <c r="G1183" s="64">
        <f>Ringkasan!G1182</f>
        <v>11</v>
      </c>
      <c r="H1183" s="19">
        <f>Ringkasan!H1182</f>
        <v>-60.9</v>
      </c>
      <c r="I1183" s="19">
        <f>Ringkasan!I1182</f>
        <v>1.3</v>
      </c>
      <c r="J1183" s="19">
        <f>Ringkasan!J1182</f>
        <v>-2.1</v>
      </c>
      <c r="K1183" s="19">
        <f>Ringkasan!K1182</f>
        <v>-1.1</v>
      </c>
      <c r="L1183" s="19">
        <f>Ringkasan!L1182</f>
        <v>0.95</v>
      </c>
      <c r="M1183" s="19">
        <f>Ringkasan!M1182</f>
        <v>-3.3</v>
      </c>
      <c r="N1183" s="64" t="str">
        <f>Ringkasan!N1182</f>
        <v/>
      </c>
      <c r="O1183" s="64" t="str">
        <f>Ringkasan!O1182</f>
        <v/>
      </c>
      <c r="P1183" s="64" t="str">
        <f>Ringkasan!P1182</f>
        <v/>
      </c>
      <c r="Q1183" s="64" t="str">
        <f>Ringkasan!Q1182</f>
        <v/>
      </c>
      <c r="R1183" s="64" t="str">
        <f>Ringkasan!R1182</f>
        <v/>
      </c>
      <c r="S1183" s="64" t="str">
        <f>Ringkasan!S1182</f>
        <v/>
      </c>
      <c r="T1183" s="64" t="str">
        <f>Ringkasan!T1182</f>
        <v/>
      </c>
      <c r="U1183" s="64">
        <f>Ringkasan!U1182</f>
        <v>2470</v>
      </c>
      <c r="V1183" s="64" t="str">
        <f>Ringkasan!V1182</f>
        <v/>
      </c>
      <c r="W1183" s="64">
        <f>Ringkasan!W1182</f>
        <v>2520</v>
      </c>
      <c r="X1183" s="64" t="str">
        <f>Ringkasan!X1182</f>
        <v/>
      </c>
      <c r="Y1183" s="64">
        <f>Ringkasan!Y1182</f>
        <v>2520</v>
      </c>
      <c r="Z1183" s="64" t="str">
        <f>Ringkasan!Z1182</f>
        <v/>
      </c>
      <c r="AA1183" s="64" t="str">
        <f>Ringkasan!AA1182</f>
        <v>Metals &amp; Minerals</v>
      </c>
      <c r="AB1183" s="64" t="str">
        <f>Ringkasan!AB1182</f>
        <v>Basic Materials</v>
      </c>
    </row>
    <row r="1184" hidden="1">
      <c r="A1184" s="64" t="str">
        <f>Ringkasan!A1183</f>
        <v>MDKI</v>
      </c>
      <c r="B1184" s="64" t="str">
        <f>Ringkasan!B1183</f>
        <v>Emdeki Utama Tbk.</v>
      </c>
      <c r="C1184" s="65">
        <f>Ringkasan!C1183</f>
        <v>178</v>
      </c>
      <c r="D1184" s="64" t="str">
        <f>Ringkasan!D1183</f>
        <v>#N/A</v>
      </c>
      <c r="E1184" s="64" t="str">
        <f>Ringkasan!E1183</f>
        <v/>
      </c>
      <c r="F1184" s="64" t="str">
        <f>Ringkasan!F1183</f>
        <v/>
      </c>
      <c r="G1184" s="64">
        <f>Ringkasan!G1183</f>
        <v>0</v>
      </c>
      <c r="H1184" s="19">
        <f>Ringkasan!H1183</f>
        <v>15.4</v>
      </c>
      <c r="I1184" s="19">
        <f>Ringkasan!I1183</f>
        <v>0.47</v>
      </c>
      <c r="J1184" s="19">
        <f>Ringkasan!J1183</f>
        <v>3.1</v>
      </c>
      <c r="K1184" s="19">
        <f>Ringkasan!K1183</f>
        <v>2.9</v>
      </c>
      <c r="L1184" s="19">
        <f>Ringkasan!L1183</f>
        <v>0.07</v>
      </c>
      <c r="M1184" s="19">
        <f>Ringkasan!M1183</f>
        <v>42.9</v>
      </c>
      <c r="N1184" s="64" t="str">
        <f>Ringkasan!N1183</f>
        <v/>
      </c>
      <c r="O1184" s="64" t="str">
        <f>Ringkasan!O1183</f>
        <v/>
      </c>
      <c r="P1184" s="64" t="str">
        <f>Ringkasan!P1183</f>
        <v/>
      </c>
      <c r="Q1184" s="64" t="str">
        <f>Ringkasan!Q1183</f>
        <v/>
      </c>
      <c r="R1184" s="64" t="str">
        <f>Ringkasan!R1183</f>
        <v/>
      </c>
      <c r="S1184" s="64" t="str">
        <f>Ringkasan!S1183</f>
        <v/>
      </c>
      <c r="T1184" s="64" t="str">
        <f>Ringkasan!T1183</f>
        <v/>
      </c>
      <c r="U1184" s="64">
        <f>Ringkasan!U1183</f>
        <v>173</v>
      </c>
      <c r="V1184" s="64">
        <f>Ringkasan!V1183</f>
        <v>2.89</v>
      </c>
      <c r="W1184" s="64">
        <f>Ringkasan!W1183</f>
        <v>171</v>
      </c>
      <c r="X1184" s="64">
        <f>Ringkasan!X1183</f>
        <v>178</v>
      </c>
      <c r="Y1184" s="64">
        <f>Ringkasan!Y1183</f>
        <v>171</v>
      </c>
      <c r="Z1184" s="64">
        <f>Ringkasan!Z1183</f>
        <v>90200</v>
      </c>
      <c r="AA1184" s="64" t="str">
        <f>Ringkasan!AA1183</f>
        <v>Chemicals</v>
      </c>
      <c r="AB1184" s="64" t="str">
        <f>Ringkasan!AB1183</f>
        <v>Basic Materials</v>
      </c>
    </row>
    <row r="1185" hidden="1">
      <c r="A1185" s="64" t="str">
        <f>Ringkasan!A1184</f>
        <v>MDLA</v>
      </c>
      <c r="B1185" s="64" t="str">
        <f>Ringkasan!B1184</f>
        <v>Medela Potentia Tbk.</v>
      </c>
      <c r="C1185" s="65">
        <f>Ringkasan!C1184</f>
        <v>200</v>
      </c>
      <c r="D1185" s="64" t="str">
        <f>Ringkasan!D1184</f>
        <v>#N/A</v>
      </c>
      <c r="E1185" s="64" t="str">
        <f>Ringkasan!E1184</f>
        <v/>
      </c>
      <c r="F1185" s="64" t="str">
        <f>Ringkasan!F1184</f>
        <v/>
      </c>
      <c r="G1185" s="64">
        <f>Ringkasan!G1184</f>
        <v>0</v>
      </c>
      <c r="H1185" s="19">
        <f>Ringkasan!H1184</f>
        <v>7.2</v>
      </c>
      <c r="I1185" s="19">
        <f>Ringkasan!I1184</f>
        <v>0.89</v>
      </c>
      <c r="J1185" s="19">
        <f>Ringkasan!J1184</f>
        <v>12.4</v>
      </c>
      <c r="K1185" s="19">
        <f>Ringkasan!K1184</f>
        <v>5.8</v>
      </c>
      <c r="L1185" s="19">
        <f>Ringkasan!L1184</f>
        <v>1.1</v>
      </c>
      <c r="M1185" s="19">
        <f>Ringkasan!M1184</f>
        <v>9.9</v>
      </c>
      <c r="N1185" s="64" t="str">
        <f>Ringkasan!N1184</f>
        <v/>
      </c>
      <c r="O1185" s="64" t="str">
        <f>Ringkasan!O1184</f>
        <v/>
      </c>
      <c r="P1185" s="64" t="str">
        <f>Ringkasan!P1184</f>
        <v/>
      </c>
      <c r="Q1185" s="64" t="str">
        <f>Ringkasan!Q1184</f>
        <v/>
      </c>
      <c r="R1185" s="64" t="str">
        <f>Ringkasan!R1184</f>
        <v/>
      </c>
      <c r="S1185" s="64" t="str">
        <f>Ringkasan!S1184</f>
        <v/>
      </c>
      <c r="T1185" s="64" t="str">
        <f>Ringkasan!T1184</f>
        <v/>
      </c>
      <c r="U1185" s="64">
        <f>Ringkasan!U1184</f>
        <v>196</v>
      </c>
      <c r="V1185" s="64">
        <f>Ringkasan!V1184</f>
        <v>2.04</v>
      </c>
      <c r="W1185" s="64">
        <f>Ringkasan!W1184</f>
        <v>197</v>
      </c>
      <c r="X1185" s="64">
        <f>Ringkasan!X1184</f>
        <v>202</v>
      </c>
      <c r="Y1185" s="64">
        <f>Ringkasan!Y1184</f>
        <v>197</v>
      </c>
      <c r="Z1185" s="64">
        <f>Ringkasan!Z1184</f>
        <v>2800100</v>
      </c>
      <c r="AA1185" s="64" t="str">
        <f>Ringkasan!AA1184</f>
        <v>Pharmaceuticals</v>
      </c>
      <c r="AB1185" s="64" t="str">
        <f>Ringkasan!AB1184</f>
        <v>Healthcare</v>
      </c>
    </row>
    <row r="1186" hidden="1">
      <c r="A1186" s="64" t="str">
        <f>Ringkasan!A1185</f>
        <v>MDLN</v>
      </c>
      <c r="B1186" s="64" t="str">
        <f>Ringkasan!B1185</f>
        <v>Modernland Realty Tbk.</v>
      </c>
      <c r="C1186" s="65">
        <f>Ringkasan!C1185</f>
        <v>52</v>
      </c>
      <c r="D1186" s="64" t="str">
        <f>Ringkasan!D1185</f>
        <v>#N/A</v>
      </c>
      <c r="E1186" s="64" t="str">
        <f>Ringkasan!E1185</f>
        <v/>
      </c>
      <c r="F1186" s="64" t="str">
        <f>Ringkasan!F1185</f>
        <v/>
      </c>
      <c r="G1186" s="64">
        <f>Ringkasan!G1185</f>
        <v>0</v>
      </c>
      <c r="H1186" s="19">
        <f>Ringkasan!H1185</f>
        <v>-0.84</v>
      </c>
      <c r="I1186" s="19">
        <f>Ringkasan!I1185</f>
        <v>0.18</v>
      </c>
      <c r="J1186" s="19">
        <f>Ringkasan!J1185</f>
        <v>-21.6</v>
      </c>
      <c r="K1186" s="19">
        <f>Ringkasan!K1185</f>
        <v>-5.7</v>
      </c>
      <c r="L1186" s="19">
        <f>Ringkasan!L1185</f>
        <v>2.8</v>
      </c>
      <c r="M1186" s="19">
        <f>Ringkasan!M1185</f>
        <v>-530</v>
      </c>
      <c r="N1186" s="64" t="str">
        <f>Ringkasan!N1185</f>
        <v/>
      </c>
      <c r="O1186" s="64" t="str">
        <f>Ringkasan!O1185</f>
        <v/>
      </c>
      <c r="P1186" s="64" t="str">
        <f>Ringkasan!P1185</f>
        <v/>
      </c>
      <c r="Q1186" s="64" t="str">
        <f>Ringkasan!Q1185</f>
        <v/>
      </c>
      <c r="R1186" s="64" t="str">
        <f>Ringkasan!R1185</f>
        <v/>
      </c>
      <c r="S1186" s="64" t="str">
        <f>Ringkasan!S1185</f>
        <v/>
      </c>
      <c r="T1186" s="64" t="str">
        <f>Ringkasan!T1185</f>
        <v/>
      </c>
      <c r="U1186" s="64">
        <f>Ringkasan!U1185</f>
        <v>37.13</v>
      </c>
      <c r="V1186" s="64">
        <f>Ringkasan!V1185</f>
        <v>-1.4</v>
      </c>
      <c r="W1186" s="64">
        <f>Ringkasan!W1185</f>
        <v>35.94</v>
      </c>
      <c r="X1186" s="64">
        <f>Ringkasan!X1185</f>
        <v>36.74</v>
      </c>
      <c r="Y1186" s="64">
        <f>Ringkasan!Y1185</f>
        <v>34.95</v>
      </c>
      <c r="Z1186" s="64">
        <f>Ringkasan!Z1185</f>
        <v>12484668</v>
      </c>
      <c r="AA1186" s="64" t="str">
        <f>Ringkasan!AA1185</f>
        <v>Real Estate Management &amp; Development</v>
      </c>
      <c r="AB1186" s="64" t="str">
        <f>Ringkasan!AB1185</f>
        <v>Properties &amp; Real Estate</v>
      </c>
    </row>
    <row r="1187" hidden="1">
      <c r="A1187" s="64" t="str">
        <f>Ringkasan!A1186</f>
        <v>MDRN</v>
      </c>
      <c r="B1187" s="64" t="str">
        <f>Ringkasan!B1186</f>
        <v>Modern Internasional Tbk.</v>
      </c>
      <c r="C1187" s="65">
        <f>Ringkasan!C1186</f>
        <v>29</v>
      </c>
      <c r="D1187" s="64" t="str">
        <f>Ringkasan!D1186</f>
        <v>#N/A</v>
      </c>
      <c r="E1187" s="64" t="str">
        <f>Ringkasan!E1186</f>
        <v/>
      </c>
      <c r="F1187" s="64" t="str">
        <f>Ringkasan!F1186</f>
        <v/>
      </c>
      <c r="G1187" s="64">
        <f>Ringkasan!G1186</f>
        <v>0</v>
      </c>
      <c r="H1187" s="19">
        <f>Ringkasan!H1186</f>
        <v>2.4</v>
      </c>
      <c r="I1187" s="19">
        <f>Ringkasan!I1186</f>
        <v>-1.2</v>
      </c>
      <c r="J1187" s="19">
        <f>Ringkasan!J1186</f>
        <v>0</v>
      </c>
      <c r="K1187" s="19">
        <f>Ringkasan!K1186</f>
        <v>59.1</v>
      </c>
      <c r="L1187" s="19">
        <f>Ringkasan!L1186</f>
        <v>-1.9</v>
      </c>
      <c r="M1187" s="19">
        <f>Ringkasan!M1186</f>
        <v>1330</v>
      </c>
      <c r="N1187" s="64" t="str">
        <f>Ringkasan!N1186</f>
        <v/>
      </c>
      <c r="O1187" s="64" t="str">
        <f>Ringkasan!O1186</f>
        <v/>
      </c>
      <c r="P1187" s="64" t="str">
        <f>Ringkasan!P1186</f>
        <v/>
      </c>
      <c r="Q1187" s="64" t="str">
        <f>Ringkasan!Q1186</f>
        <v/>
      </c>
      <c r="R1187" s="64" t="str">
        <f>Ringkasan!R1186</f>
        <v/>
      </c>
      <c r="S1187" s="64" t="str">
        <f>Ringkasan!S1186</f>
        <v/>
      </c>
      <c r="T1187" s="64" t="str">
        <f>Ringkasan!T1186</f>
        <v/>
      </c>
      <c r="U1187" s="64">
        <f>Ringkasan!U1186</f>
        <v>29</v>
      </c>
      <c r="V1187" s="64">
        <f>Ringkasan!V1186</f>
        <v>0</v>
      </c>
      <c r="W1187" s="64">
        <f>Ringkasan!W1186</f>
        <v>28</v>
      </c>
      <c r="X1187" s="64">
        <f>Ringkasan!X1186</f>
        <v>29</v>
      </c>
      <c r="Y1187" s="64">
        <f>Ringkasan!Y1186</f>
        <v>28</v>
      </c>
      <c r="Z1187" s="64">
        <f>Ringkasan!Z1186</f>
        <v>2861800</v>
      </c>
      <c r="AA1187" s="64" t="str">
        <f>Ringkasan!AA1186</f>
        <v>Commercial Services</v>
      </c>
      <c r="AB1187" s="64" t="str">
        <f>Ringkasan!AB1186</f>
        <v>Industrials</v>
      </c>
    </row>
    <row r="1188" hidden="1">
      <c r="A1188" s="64" t="str">
        <f>Ringkasan!A1187</f>
        <v>MEDC</v>
      </c>
      <c r="B1188" s="64" t="str">
        <f>Ringkasan!B1187</f>
        <v>Medco Energi Internasional Tbk.</v>
      </c>
      <c r="C1188" s="65">
        <f>Ringkasan!C1187</f>
        <v>1225</v>
      </c>
      <c r="D1188" s="64" t="str">
        <f>Ringkasan!D1187</f>
        <v>#N/A</v>
      </c>
      <c r="E1188" s="64" t="str">
        <f>Ringkasan!E1187</f>
        <v>ESGQKEHATI</v>
      </c>
      <c r="F1188" s="66">
        <f>Ringkasan!F1187</f>
        <v>46356</v>
      </c>
      <c r="G1188" s="64">
        <f>Ringkasan!G1187</f>
        <v>17</v>
      </c>
      <c r="H1188" s="19">
        <f>Ringkasan!H1187</f>
        <v>11.9</v>
      </c>
      <c r="I1188" s="19">
        <f>Ringkasan!I1187</f>
        <v>0.74</v>
      </c>
      <c r="J1188" s="19">
        <f>Ringkasan!J1187</f>
        <v>6.2</v>
      </c>
      <c r="K1188" s="19">
        <f>Ringkasan!K1187</f>
        <v>1.8</v>
      </c>
      <c r="L1188" s="19">
        <f>Ringkasan!L1187</f>
        <v>2.4</v>
      </c>
      <c r="M1188" s="19">
        <f>Ringkasan!M1187</f>
        <v>22.4</v>
      </c>
      <c r="N1188" s="64" t="str">
        <f>Ringkasan!N1187</f>
        <v/>
      </c>
      <c r="O1188" s="64" t="str">
        <f>Ringkasan!O1187</f>
        <v/>
      </c>
      <c r="P1188" s="64" t="str">
        <f>Ringkasan!P1187</f>
        <v/>
      </c>
      <c r="Q1188" s="64" t="str">
        <f>Ringkasan!Q1187</f>
        <v/>
      </c>
      <c r="R1188" s="64" t="str">
        <f>Ringkasan!R1187</f>
        <v/>
      </c>
      <c r="S1188" s="64" t="str">
        <f>Ringkasan!S1187</f>
        <v/>
      </c>
      <c r="T1188" s="64" t="str">
        <f>Ringkasan!T1187</f>
        <v/>
      </c>
      <c r="U1188" s="64">
        <f>Ringkasan!U1187</f>
        <v>1215</v>
      </c>
      <c r="V1188" s="64" t="str">
        <f>Ringkasan!V1187</f>
        <v/>
      </c>
      <c r="W1188" s="64">
        <f>Ringkasan!W1187</f>
        <v>1185</v>
      </c>
      <c r="X1188" s="64">
        <f>Ringkasan!X1187</f>
        <v>1265</v>
      </c>
      <c r="Y1188" s="64">
        <f>Ringkasan!Y1187</f>
        <v>1185</v>
      </c>
      <c r="Z1188" s="64">
        <f>Ringkasan!Z1187</f>
        <v>96851900</v>
      </c>
      <c r="AA1188" s="64" t="str">
        <f>Ringkasan!AA1187</f>
        <v>Oil &amp; Gas</v>
      </c>
      <c r="AB1188" s="64" t="str">
        <f>Ringkasan!AB1187</f>
        <v>Energy</v>
      </c>
    </row>
    <row r="1189" hidden="1">
      <c r="A1189" s="64" t="str">
        <f>Ringkasan!A1188</f>
        <v>MEDC</v>
      </c>
      <c r="B1189" s="64" t="str">
        <f>Ringkasan!B1188</f>
        <v>Medco Energi Internasional Tbk.</v>
      </c>
      <c r="C1189" s="65">
        <f>Ringkasan!C1188</f>
        <v>1225</v>
      </c>
      <c r="D1189" s="64" t="str">
        <f>Ringkasan!D1188</f>
        <v>#N/A</v>
      </c>
      <c r="E1189" s="64" t="str">
        <f>Ringkasan!E1188</f>
        <v>IDXSHAGROW</v>
      </c>
      <c r="F1189" s="66">
        <f>Ringkasan!F1188</f>
        <v>46356</v>
      </c>
      <c r="G1189" s="64">
        <f>Ringkasan!G1188</f>
        <v>17</v>
      </c>
      <c r="H1189" s="19">
        <f>Ringkasan!H1188</f>
        <v>11.9</v>
      </c>
      <c r="I1189" s="19">
        <f>Ringkasan!I1188</f>
        <v>0.74</v>
      </c>
      <c r="J1189" s="19">
        <f>Ringkasan!J1188</f>
        <v>6.2</v>
      </c>
      <c r="K1189" s="19">
        <f>Ringkasan!K1188</f>
        <v>1.8</v>
      </c>
      <c r="L1189" s="19">
        <f>Ringkasan!L1188</f>
        <v>2.4</v>
      </c>
      <c r="M1189" s="19">
        <f>Ringkasan!M1188</f>
        <v>22.4</v>
      </c>
      <c r="N1189" s="64" t="str">
        <f>Ringkasan!N1188</f>
        <v/>
      </c>
      <c r="O1189" s="64" t="str">
        <f>Ringkasan!O1188</f>
        <v/>
      </c>
      <c r="P1189" s="64" t="str">
        <f>Ringkasan!P1188</f>
        <v/>
      </c>
      <c r="Q1189" s="64" t="str">
        <f>Ringkasan!Q1188</f>
        <v/>
      </c>
      <c r="R1189" s="64" t="str">
        <f>Ringkasan!R1188</f>
        <v/>
      </c>
      <c r="S1189" s="64" t="str">
        <f>Ringkasan!S1188</f>
        <v/>
      </c>
      <c r="T1189" s="64" t="str">
        <f>Ringkasan!T1188</f>
        <v/>
      </c>
      <c r="U1189" s="64">
        <f>Ringkasan!U1188</f>
        <v>1215</v>
      </c>
      <c r="V1189" s="64" t="str">
        <f>Ringkasan!V1188</f>
        <v/>
      </c>
      <c r="W1189" s="64">
        <f>Ringkasan!W1188</f>
        <v>1185</v>
      </c>
      <c r="X1189" s="64">
        <f>Ringkasan!X1188</f>
        <v>1265</v>
      </c>
      <c r="Y1189" s="64">
        <f>Ringkasan!Y1188</f>
        <v>1185</v>
      </c>
      <c r="Z1189" s="64">
        <f>Ringkasan!Z1188</f>
        <v>96851900</v>
      </c>
      <c r="AA1189" s="64" t="str">
        <f>Ringkasan!AA1188</f>
        <v>Oil &amp; Gas</v>
      </c>
      <c r="AB1189" s="64" t="str">
        <f>Ringkasan!AB1188</f>
        <v>Energy</v>
      </c>
    </row>
    <row r="1190" hidden="1">
      <c r="A1190" s="64" t="str">
        <f>Ringkasan!A1189</f>
        <v>MEDC</v>
      </c>
      <c r="B1190" s="64" t="str">
        <f>Ringkasan!B1189</f>
        <v>Medco Energi Internasional Tbk.</v>
      </c>
      <c r="C1190" s="65">
        <f>Ringkasan!C1189</f>
        <v>1225</v>
      </c>
      <c r="D1190" s="64" t="str">
        <f>Ringkasan!D1189</f>
        <v>#N/A</v>
      </c>
      <c r="E1190" s="64" t="str">
        <f>Ringkasan!E1189</f>
        <v>JII30</v>
      </c>
      <c r="F1190" s="66">
        <f>Ringkasan!F1189</f>
        <v>46356</v>
      </c>
      <c r="G1190" s="64">
        <f>Ringkasan!G1189</f>
        <v>17</v>
      </c>
      <c r="H1190" s="19">
        <f>Ringkasan!H1189</f>
        <v>11.9</v>
      </c>
      <c r="I1190" s="19">
        <f>Ringkasan!I1189</f>
        <v>0.74</v>
      </c>
      <c r="J1190" s="19">
        <f>Ringkasan!J1189</f>
        <v>6.2</v>
      </c>
      <c r="K1190" s="19">
        <f>Ringkasan!K1189</f>
        <v>1.8</v>
      </c>
      <c r="L1190" s="19">
        <f>Ringkasan!L1189</f>
        <v>2.4</v>
      </c>
      <c r="M1190" s="19">
        <f>Ringkasan!M1189</f>
        <v>22.4</v>
      </c>
      <c r="N1190" s="64" t="str">
        <f>Ringkasan!N1189</f>
        <v/>
      </c>
      <c r="O1190" s="64" t="str">
        <f>Ringkasan!O1189</f>
        <v/>
      </c>
      <c r="P1190" s="64" t="str">
        <f>Ringkasan!P1189</f>
        <v/>
      </c>
      <c r="Q1190" s="64" t="str">
        <f>Ringkasan!Q1189</f>
        <v/>
      </c>
      <c r="R1190" s="64" t="str">
        <f>Ringkasan!R1189</f>
        <v/>
      </c>
      <c r="S1190" s="64" t="str">
        <f>Ringkasan!S1189</f>
        <v/>
      </c>
      <c r="T1190" s="64" t="str">
        <f>Ringkasan!T1189</f>
        <v/>
      </c>
      <c r="U1190" s="64">
        <f>Ringkasan!U1189</f>
        <v>1215</v>
      </c>
      <c r="V1190" s="64" t="str">
        <f>Ringkasan!V1189</f>
        <v/>
      </c>
      <c r="W1190" s="64">
        <f>Ringkasan!W1189</f>
        <v>1185</v>
      </c>
      <c r="X1190" s="64">
        <f>Ringkasan!X1189</f>
        <v>1265</v>
      </c>
      <c r="Y1190" s="64">
        <f>Ringkasan!Y1189</f>
        <v>1185</v>
      </c>
      <c r="Z1190" s="64">
        <f>Ringkasan!Z1189</f>
        <v>96851900</v>
      </c>
      <c r="AA1190" s="64" t="str">
        <f>Ringkasan!AA1189</f>
        <v>Oil &amp; Gas</v>
      </c>
      <c r="AB1190" s="64" t="str">
        <f>Ringkasan!AB1189</f>
        <v>Energy</v>
      </c>
    </row>
    <row r="1191" hidden="1">
      <c r="A1191" s="64" t="str">
        <f>Ringkasan!A1190</f>
        <v>MEDC</v>
      </c>
      <c r="B1191" s="64" t="str">
        <f>Ringkasan!B1190</f>
        <v>Medco Energi Internasional Tbk.</v>
      </c>
      <c r="C1191" s="65">
        <f>Ringkasan!C1190</f>
        <v>1225</v>
      </c>
      <c r="D1191" s="64" t="str">
        <f>Ringkasan!D1190</f>
        <v>#N/A</v>
      </c>
      <c r="E1191" s="64" t="str">
        <f>Ringkasan!E1190</f>
        <v>ESGSKEHATI</v>
      </c>
      <c r="F1191" s="66">
        <f>Ringkasan!F1190</f>
        <v>46356</v>
      </c>
      <c r="G1191" s="64">
        <f>Ringkasan!G1190</f>
        <v>17</v>
      </c>
      <c r="H1191" s="19">
        <f>Ringkasan!H1190</f>
        <v>11.9</v>
      </c>
      <c r="I1191" s="19">
        <f>Ringkasan!I1190</f>
        <v>0.74</v>
      </c>
      <c r="J1191" s="19">
        <f>Ringkasan!J1190</f>
        <v>6.2</v>
      </c>
      <c r="K1191" s="19">
        <f>Ringkasan!K1190</f>
        <v>1.8</v>
      </c>
      <c r="L1191" s="19">
        <f>Ringkasan!L1190</f>
        <v>2.4</v>
      </c>
      <c r="M1191" s="19">
        <f>Ringkasan!M1190</f>
        <v>22.4</v>
      </c>
      <c r="N1191" s="64" t="str">
        <f>Ringkasan!N1190</f>
        <v/>
      </c>
      <c r="O1191" s="64" t="str">
        <f>Ringkasan!O1190</f>
        <v/>
      </c>
      <c r="P1191" s="64" t="str">
        <f>Ringkasan!P1190</f>
        <v/>
      </c>
      <c r="Q1191" s="64" t="str">
        <f>Ringkasan!Q1190</f>
        <v/>
      </c>
      <c r="R1191" s="64" t="str">
        <f>Ringkasan!R1190</f>
        <v/>
      </c>
      <c r="S1191" s="64" t="str">
        <f>Ringkasan!S1190</f>
        <v/>
      </c>
      <c r="T1191" s="64" t="str">
        <f>Ringkasan!T1190</f>
        <v/>
      </c>
      <c r="U1191" s="64">
        <f>Ringkasan!U1190</f>
        <v>1215</v>
      </c>
      <c r="V1191" s="64" t="str">
        <f>Ringkasan!V1190</f>
        <v/>
      </c>
      <c r="W1191" s="64">
        <f>Ringkasan!W1190</f>
        <v>1185</v>
      </c>
      <c r="X1191" s="64">
        <f>Ringkasan!X1190</f>
        <v>1265</v>
      </c>
      <c r="Y1191" s="64">
        <f>Ringkasan!Y1190</f>
        <v>1185</v>
      </c>
      <c r="Z1191" s="64">
        <f>Ringkasan!Z1190</f>
        <v>96851900</v>
      </c>
      <c r="AA1191" s="64" t="str">
        <f>Ringkasan!AA1190</f>
        <v>Oil &amp; Gas</v>
      </c>
      <c r="AB1191" s="64" t="str">
        <f>Ringkasan!AB1190</f>
        <v>Energy</v>
      </c>
    </row>
    <row r="1192" hidden="1">
      <c r="A1192" s="64" t="str">
        <f>Ringkasan!A1191</f>
        <v>MEDC</v>
      </c>
      <c r="B1192" s="64" t="str">
        <f>Ringkasan!B1191</f>
        <v>Medco Energi Internasional Tbk.</v>
      </c>
      <c r="C1192" s="65">
        <f>Ringkasan!C1191</f>
        <v>1225</v>
      </c>
      <c r="D1192" s="64" t="str">
        <f>Ringkasan!D1191</f>
        <v>#N/A</v>
      </c>
      <c r="E1192" s="64" t="str">
        <f>Ringkasan!E1191</f>
        <v>IDXG30</v>
      </c>
      <c r="F1192" s="64" t="str">
        <f>Ringkasan!F1191</f>
        <v>4 Agustus 2026</v>
      </c>
      <c r="G1192" s="64">
        <f>Ringkasan!G1191</f>
        <v>17</v>
      </c>
      <c r="H1192" s="19">
        <f>Ringkasan!H1191</f>
        <v>11.9</v>
      </c>
      <c r="I1192" s="19">
        <f>Ringkasan!I1191</f>
        <v>0.74</v>
      </c>
      <c r="J1192" s="19">
        <f>Ringkasan!J1191</f>
        <v>6.2</v>
      </c>
      <c r="K1192" s="19">
        <f>Ringkasan!K1191</f>
        <v>1.8</v>
      </c>
      <c r="L1192" s="19">
        <f>Ringkasan!L1191</f>
        <v>2.4</v>
      </c>
      <c r="M1192" s="19">
        <f>Ringkasan!M1191</f>
        <v>22.4</v>
      </c>
      <c r="N1192" s="64" t="str">
        <f>Ringkasan!N1191</f>
        <v/>
      </c>
      <c r="O1192" s="64" t="str">
        <f>Ringkasan!O1191</f>
        <v/>
      </c>
      <c r="P1192" s="64" t="str">
        <f>Ringkasan!P1191</f>
        <v/>
      </c>
      <c r="Q1192" s="64" t="str">
        <f>Ringkasan!Q1191</f>
        <v/>
      </c>
      <c r="R1192" s="64" t="str">
        <f>Ringkasan!R1191</f>
        <v/>
      </c>
      <c r="S1192" s="64" t="str">
        <f>Ringkasan!S1191</f>
        <v/>
      </c>
      <c r="T1192" s="64" t="str">
        <f>Ringkasan!T1191</f>
        <v/>
      </c>
      <c r="U1192" s="64">
        <f>Ringkasan!U1191</f>
        <v>1215</v>
      </c>
      <c r="V1192" s="64" t="str">
        <f>Ringkasan!V1191</f>
        <v/>
      </c>
      <c r="W1192" s="64">
        <f>Ringkasan!W1191</f>
        <v>1185</v>
      </c>
      <c r="X1192" s="64">
        <f>Ringkasan!X1191</f>
        <v>1265</v>
      </c>
      <c r="Y1192" s="64">
        <f>Ringkasan!Y1191</f>
        <v>1185</v>
      </c>
      <c r="Z1192" s="64">
        <f>Ringkasan!Z1191</f>
        <v>96851900</v>
      </c>
      <c r="AA1192" s="64" t="str">
        <f>Ringkasan!AA1191</f>
        <v>Oil &amp; Gas</v>
      </c>
      <c r="AB1192" s="64" t="str">
        <f>Ringkasan!AB1191</f>
        <v>Energy</v>
      </c>
    </row>
    <row r="1193" hidden="1">
      <c r="A1193" s="64" t="str">
        <f>Ringkasan!A1192</f>
        <v>MEDC</v>
      </c>
      <c r="B1193" s="64" t="str">
        <f>Ringkasan!B1192</f>
        <v>Medco Energi Internasional Tbk.</v>
      </c>
      <c r="C1193" s="65">
        <f>Ringkasan!C1192</f>
        <v>1225</v>
      </c>
      <c r="D1193" s="64" t="str">
        <f>Ringkasan!D1192</f>
        <v>#N/A</v>
      </c>
      <c r="E1193" s="64" t="str">
        <f>Ringkasan!E1192</f>
        <v>Pefindo - iGrade</v>
      </c>
      <c r="F1193" s="64" t="str">
        <f>Ringkasan!F1192</f>
        <v>30 Juni 2026</v>
      </c>
      <c r="G1193" s="64">
        <f>Ringkasan!G1192</f>
        <v>17</v>
      </c>
      <c r="H1193" s="19">
        <f>Ringkasan!H1192</f>
        <v>11.9</v>
      </c>
      <c r="I1193" s="19">
        <f>Ringkasan!I1192</f>
        <v>0.74</v>
      </c>
      <c r="J1193" s="19">
        <f>Ringkasan!J1192</f>
        <v>6.2</v>
      </c>
      <c r="K1193" s="19">
        <f>Ringkasan!K1192</f>
        <v>1.8</v>
      </c>
      <c r="L1193" s="19">
        <f>Ringkasan!L1192</f>
        <v>2.4</v>
      </c>
      <c r="M1193" s="19">
        <f>Ringkasan!M1192</f>
        <v>22.4</v>
      </c>
      <c r="N1193" s="64" t="str">
        <f>Ringkasan!N1192</f>
        <v/>
      </c>
      <c r="O1193" s="64" t="str">
        <f>Ringkasan!O1192</f>
        <v/>
      </c>
      <c r="P1193" s="64" t="str">
        <f>Ringkasan!P1192</f>
        <v/>
      </c>
      <c r="Q1193" s="64" t="str">
        <f>Ringkasan!Q1192</f>
        <v/>
      </c>
      <c r="R1193" s="64" t="str">
        <f>Ringkasan!R1192</f>
        <v/>
      </c>
      <c r="S1193" s="64" t="str">
        <f>Ringkasan!S1192</f>
        <v/>
      </c>
      <c r="T1193" s="64" t="str">
        <f>Ringkasan!T1192</f>
        <v/>
      </c>
      <c r="U1193" s="64">
        <f>Ringkasan!U1192</f>
        <v>1215</v>
      </c>
      <c r="V1193" s="64" t="str">
        <f>Ringkasan!V1192</f>
        <v/>
      </c>
      <c r="W1193" s="64">
        <f>Ringkasan!W1192</f>
        <v>1185</v>
      </c>
      <c r="X1193" s="64">
        <f>Ringkasan!X1192</f>
        <v>1265</v>
      </c>
      <c r="Y1193" s="64">
        <f>Ringkasan!Y1192</f>
        <v>1185</v>
      </c>
      <c r="Z1193" s="64">
        <f>Ringkasan!Z1192</f>
        <v>96851900</v>
      </c>
      <c r="AA1193" s="64" t="str">
        <f>Ringkasan!AA1192</f>
        <v>Oil &amp; Gas</v>
      </c>
      <c r="AB1193" s="64" t="str">
        <f>Ringkasan!AB1192</f>
        <v>Energy</v>
      </c>
    </row>
    <row r="1194" hidden="1">
      <c r="A1194" s="64" t="str">
        <f>Ringkasan!A1193</f>
        <v>MEDC</v>
      </c>
      <c r="B1194" s="64" t="str">
        <f>Ringkasan!B1193</f>
        <v>Medco Energi Internasional Tbk.</v>
      </c>
      <c r="C1194" s="65">
        <f>Ringkasan!C1193</f>
        <v>1225</v>
      </c>
      <c r="D1194" s="64" t="str">
        <f>Ringkasan!D1193</f>
        <v>#N/A</v>
      </c>
      <c r="E1194" s="64" t="str">
        <f>Ringkasan!E1193</f>
        <v>LQ45</v>
      </c>
      <c r="F1194" s="64" t="str">
        <f>Ringkasan!F1193</f>
        <v>31 Juli 2026</v>
      </c>
      <c r="G1194" s="64">
        <f>Ringkasan!G1193</f>
        <v>17</v>
      </c>
      <c r="H1194" s="19">
        <f>Ringkasan!H1193</f>
        <v>11.9</v>
      </c>
      <c r="I1194" s="19">
        <f>Ringkasan!I1193</f>
        <v>0.74</v>
      </c>
      <c r="J1194" s="19">
        <f>Ringkasan!J1193</f>
        <v>6.2</v>
      </c>
      <c r="K1194" s="19">
        <f>Ringkasan!K1193</f>
        <v>1.8</v>
      </c>
      <c r="L1194" s="19">
        <f>Ringkasan!L1193</f>
        <v>2.4</v>
      </c>
      <c r="M1194" s="19">
        <f>Ringkasan!M1193</f>
        <v>22.4</v>
      </c>
      <c r="N1194" s="64" t="str">
        <f>Ringkasan!N1193</f>
        <v/>
      </c>
      <c r="O1194" s="64" t="str">
        <f>Ringkasan!O1193</f>
        <v/>
      </c>
      <c r="P1194" s="64" t="str">
        <f>Ringkasan!P1193</f>
        <v/>
      </c>
      <c r="Q1194" s="64" t="str">
        <f>Ringkasan!Q1193</f>
        <v/>
      </c>
      <c r="R1194" s="64" t="str">
        <f>Ringkasan!R1193</f>
        <v/>
      </c>
      <c r="S1194" s="64" t="str">
        <f>Ringkasan!S1193</f>
        <v/>
      </c>
      <c r="T1194" s="64" t="str">
        <f>Ringkasan!T1193</f>
        <v/>
      </c>
      <c r="U1194" s="64">
        <f>Ringkasan!U1193</f>
        <v>1215</v>
      </c>
      <c r="V1194" s="64" t="str">
        <f>Ringkasan!V1193</f>
        <v/>
      </c>
      <c r="W1194" s="64">
        <f>Ringkasan!W1193</f>
        <v>1185</v>
      </c>
      <c r="X1194" s="64">
        <f>Ringkasan!X1193</f>
        <v>1265</v>
      </c>
      <c r="Y1194" s="64">
        <f>Ringkasan!Y1193</f>
        <v>1185</v>
      </c>
      <c r="Z1194" s="64">
        <f>Ringkasan!Z1193</f>
        <v>96851900</v>
      </c>
      <c r="AA1194" s="64" t="str">
        <f>Ringkasan!AA1193</f>
        <v>Oil &amp; Gas</v>
      </c>
      <c r="AB1194" s="64" t="str">
        <f>Ringkasan!AB1193</f>
        <v>Energy</v>
      </c>
    </row>
    <row r="1195" hidden="1">
      <c r="A1195" s="64" t="str">
        <f>Ringkasan!A1194</f>
        <v>MEDC</v>
      </c>
      <c r="B1195" s="64" t="str">
        <f>Ringkasan!B1194</f>
        <v>Medco Energi Internasional Tbk.</v>
      </c>
      <c r="C1195" s="65">
        <f>Ringkasan!C1194</f>
        <v>1225</v>
      </c>
      <c r="D1195" s="64" t="str">
        <f>Ringkasan!D1194</f>
        <v>#N/A</v>
      </c>
      <c r="E1195" s="64" t="str">
        <f>Ringkasan!E1194</f>
        <v>IDX80</v>
      </c>
      <c r="F1195" s="64" t="str">
        <f>Ringkasan!F1194</f>
        <v>31 Juli 2026</v>
      </c>
      <c r="G1195" s="64">
        <f>Ringkasan!G1194</f>
        <v>17</v>
      </c>
      <c r="H1195" s="19">
        <f>Ringkasan!H1194</f>
        <v>11.9</v>
      </c>
      <c r="I1195" s="19">
        <f>Ringkasan!I1194</f>
        <v>0.74</v>
      </c>
      <c r="J1195" s="19">
        <f>Ringkasan!J1194</f>
        <v>6.2</v>
      </c>
      <c r="K1195" s="19">
        <f>Ringkasan!K1194</f>
        <v>1.8</v>
      </c>
      <c r="L1195" s="19">
        <f>Ringkasan!L1194</f>
        <v>2.4</v>
      </c>
      <c r="M1195" s="19">
        <f>Ringkasan!M1194</f>
        <v>22.4</v>
      </c>
      <c r="N1195" s="64" t="str">
        <f>Ringkasan!N1194</f>
        <v/>
      </c>
      <c r="O1195" s="64" t="str">
        <f>Ringkasan!O1194</f>
        <v/>
      </c>
      <c r="P1195" s="64" t="str">
        <f>Ringkasan!P1194</f>
        <v/>
      </c>
      <c r="Q1195" s="64" t="str">
        <f>Ringkasan!Q1194</f>
        <v/>
      </c>
      <c r="R1195" s="64" t="str">
        <f>Ringkasan!R1194</f>
        <v/>
      </c>
      <c r="S1195" s="64" t="str">
        <f>Ringkasan!S1194</f>
        <v/>
      </c>
      <c r="T1195" s="64" t="str">
        <f>Ringkasan!T1194</f>
        <v/>
      </c>
      <c r="U1195" s="64">
        <f>Ringkasan!U1194</f>
        <v>1215</v>
      </c>
      <c r="V1195" s="64" t="str">
        <f>Ringkasan!V1194</f>
        <v/>
      </c>
      <c r="W1195" s="64">
        <f>Ringkasan!W1194</f>
        <v>1185</v>
      </c>
      <c r="X1195" s="64">
        <f>Ringkasan!X1194</f>
        <v>1265</v>
      </c>
      <c r="Y1195" s="64">
        <f>Ringkasan!Y1194</f>
        <v>1185</v>
      </c>
      <c r="Z1195" s="64">
        <f>Ringkasan!Z1194</f>
        <v>96851900</v>
      </c>
      <c r="AA1195" s="64" t="str">
        <f>Ringkasan!AA1194</f>
        <v>Oil &amp; Gas</v>
      </c>
      <c r="AB1195" s="64" t="str">
        <f>Ringkasan!AB1194</f>
        <v>Energy</v>
      </c>
    </row>
    <row r="1196" hidden="1">
      <c r="A1196" s="64" t="str">
        <f>Ringkasan!A1195</f>
        <v>MEDC</v>
      </c>
      <c r="B1196" s="64" t="str">
        <f>Ringkasan!B1195</f>
        <v>Medco Energi Internasional Tbk.</v>
      </c>
      <c r="C1196" s="65">
        <f>Ringkasan!C1195</f>
        <v>1225</v>
      </c>
      <c r="D1196" s="64" t="str">
        <f>Ringkasan!D1195</f>
        <v>#N/A</v>
      </c>
      <c r="E1196" s="64" t="str">
        <f>Ringkasan!E1195</f>
        <v>IDXVESTA28</v>
      </c>
      <c r="F1196" s="64" t="str">
        <f>Ringkasan!F1195</f>
        <v>31 Agustus 2026</v>
      </c>
      <c r="G1196" s="64">
        <f>Ringkasan!G1195</f>
        <v>17</v>
      </c>
      <c r="H1196" s="19">
        <f>Ringkasan!H1195</f>
        <v>11.9</v>
      </c>
      <c r="I1196" s="19">
        <f>Ringkasan!I1195</f>
        <v>0.74</v>
      </c>
      <c r="J1196" s="19">
        <f>Ringkasan!J1195</f>
        <v>6.2</v>
      </c>
      <c r="K1196" s="19">
        <f>Ringkasan!K1195</f>
        <v>1.8</v>
      </c>
      <c r="L1196" s="19">
        <f>Ringkasan!L1195</f>
        <v>2.4</v>
      </c>
      <c r="M1196" s="19">
        <f>Ringkasan!M1195</f>
        <v>22.4</v>
      </c>
      <c r="N1196" s="64" t="str">
        <f>Ringkasan!N1195</f>
        <v/>
      </c>
      <c r="O1196" s="64" t="str">
        <f>Ringkasan!O1195</f>
        <v/>
      </c>
      <c r="P1196" s="64" t="str">
        <f>Ringkasan!P1195</f>
        <v/>
      </c>
      <c r="Q1196" s="64" t="str">
        <f>Ringkasan!Q1195</f>
        <v/>
      </c>
      <c r="R1196" s="64" t="str">
        <f>Ringkasan!R1195</f>
        <v/>
      </c>
      <c r="S1196" s="64" t="str">
        <f>Ringkasan!S1195</f>
        <v/>
      </c>
      <c r="T1196" s="64" t="str">
        <f>Ringkasan!T1195</f>
        <v/>
      </c>
      <c r="U1196" s="64">
        <f>Ringkasan!U1195</f>
        <v>1215</v>
      </c>
      <c r="V1196" s="64" t="str">
        <f>Ringkasan!V1195</f>
        <v/>
      </c>
      <c r="W1196" s="64">
        <f>Ringkasan!W1195</f>
        <v>1185</v>
      </c>
      <c r="X1196" s="64">
        <f>Ringkasan!X1195</f>
        <v>1265</v>
      </c>
      <c r="Y1196" s="64">
        <f>Ringkasan!Y1195</f>
        <v>1185</v>
      </c>
      <c r="Z1196" s="64">
        <f>Ringkasan!Z1195</f>
        <v>96851900</v>
      </c>
      <c r="AA1196" s="64" t="str">
        <f>Ringkasan!AA1195</f>
        <v>Oil &amp; Gas</v>
      </c>
      <c r="AB1196" s="64" t="str">
        <f>Ringkasan!AB1195</f>
        <v>Energy</v>
      </c>
    </row>
    <row r="1197" hidden="1">
      <c r="A1197" s="64" t="str">
        <f>Ringkasan!A1196</f>
        <v>MEDC</v>
      </c>
      <c r="B1197" s="64" t="str">
        <f>Ringkasan!B1196</f>
        <v>Medco Energi Internasional Tbk.</v>
      </c>
      <c r="C1197" s="65">
        <f>Ringkasan!C1196</f>
        <v>1225</v>
      </c>
      <c r="D1197" s="64" t="str">
        <f>Ringkasan!D1196</f>
        <v>#N/A</v>
      </c>
      <c r="E1197" s="64" t="str">
        <f>Ringkasan!E1196</f>
        <v>SMINFRA18</v>
      </c>
      <c r="F1197" s="64" t="str">
        <f>Ringkasan!F1196</f>
        <v>30 Oktober 2026</v>
      </c>
      <c r="G1197" s="64">
        <f>Ringkasan!G1196</f>
        <v>17</v>
      </c>
      <c r="H1197" s="19">
        <f>Ringkasan!H1196</f>
        <v>11.9</v>
      </c>
      <c r="I1197" s="19">
        <f>Ringkasan!I1196</f>
        <v>0.74</v>
      </c>
      <c r="J1197" s="19">
        <f>Ringkasan!J1196</f>
        <v>6.2</v>
      </c>
      <c r="K1197" s="19">
        <f>Ringkasan!K1196</f>
        <v>1.8</v>
      </c>
      <c r="L1197" s="19">
        <f>Ringkasan!L1196</f>
        <v>2.4</v>
      </c>
      <c r="M1197" s="19">
        <f>Ringkasan!M1196</f>
        <v>22.4</v>
      </c>
      <c r="N1197" s="64" t="str">
        <f>Ringkasan!N1196</f>
        <v/>
      </c>
      <c r="O1197" s="64" t="str">
        <f>Ringkasan!O1196</f>
        <v/>
      </c>
      <c r="P1197" s="64" t="str">
        <f>Ringkasan!P1196</f>
        <v/>
      </c>
      <c r="Q1197" s="64" t="str">
        <f>Ringkasan!Q1196</f>
        <v/>
      </c>
      <c r="R1197" s="64" t="str">
        <f>Ringkasan!R1196</f>
        <v/>
      </c>
      <c r="S1197" s="64" t="str">
        <f>Ringkasan!S1196</f>
        <v/>
      </c>
      <c r="T1197" s="64" t="str">
        <f>Ringkasan!T1196</f>
        <v/>
      </c>
      <c r="U1197" s="64">
        <f>Ringkasan!U1196</f>
        <v>1215</v>
      </c>
      <c r="V1197" s="64" t="str">
        <f>Ringkasan!V1196</f>
        <v/>
      </c>
      <c r="W1197" s="64">
        <f>Ringkasan!W1196</f>
        <v>1185</v>
      </c>
      <c r="X1197" s="64">
        <f>Ringkasan!X1196</f>
        <v>1265</v>
      </c>
      <c r="Y1197" s="64">
        <f>Ringkasan!Y1196</f>
        <v>1185</v>
      </c>
      <c r="Z1197" s="64">
        <f>Ringkasan!Z1196</f>
        <v>96851900</v>
      </c>
      <c r="AA1197" s="64" t="str">
        <f>Ringkasan!AA1196</f>
        <v>Oil &amp; Gas</v>
      </c>
      <c r="AB1197" s="64" t="str">
        <f>Ringkasan!AB1196</f>
        <v>Energy</v>
      </c>
    </row>
    <row r="1198" hidden="1">
      <c r="A1198" s="64" t="str">
        <f>Ringkasan!A1197</f>
        <v>MEDC</v>
      </c>
      <c r="B1198" s="64" t="str">
        <f>Ringkasan!B1197</f>
        <v>Medco Energi Internasional Tbk.</v>
      </c>
      <c r="C1198" s="65">
        <f>Ringkasan!C1197</f>
        <v>1225</v>
      </c>
      <c r="D1198" s="64" t="str">
        <f>Ringkasan!D1197</f>
        <v>#N/A</v>
      </c>
      <c r="E1198" s="64" t="str">
        <f>Ringkasan!E1197</f>
        <v>IDX30</v>
      </c>
      <c r="F1198" s="64" t="str">
        <f>Ringkasan!F1197</f>
        <v>31 Juli 2026</v>
      </c>
      <c r="G1198" s="64">
        <f>Ringkasan!G1197</f>
        <v>17</v>
      </c>
      <c r="H1198" s="19">
        <f>Ringkasan!H1197</f>
        <v>11.9</v>
      </c>
      <c r="I1198" s="19">
        <f>Ringkasan!I1197</f>
        <v>0.74</v>
      </c>
      <c r="J1198" s="19">
        <f>Ringkasan!J1197</f>
        <v>6.2</v>
      </c>
      <c r="K1198" s="19">
        <f>Ringkasan!K1197</f>
        <v>1.8</v>
      </c>
      <c r="L1198" s="19">
        <f>Ringkasan!L1197</f>
        <v>2.4</v>
      </c>
      <c r="M1198" s="19">
        <f>Ringkasan!M1197</f>
        <v>22.4</v>
      </c>
      <c r="N1198" s="64" t="str">
        <f>Ringkasan!N1197</f>
        <v/>
      </c>
      <c r="O1198" s="64" t="str">
        <f>Ringkasan!O1197</f>
        <v/>
      </c>
      <c r="P1198" s="64" t="str">
        <f>Ringkasan!P1197</f>
        <v/>
      </c>
      <c r="Q1198" s="64" t="str">
        <f>Ringkasan!Q1197</f>
        <v/>
      </c>
      <c r="R1198" s="64" t="str">
        <f>Ringkasan!R1197</f>
        <v/>
      </c>
      <c r="S1198" s="64" t="str">
        <f>Ringkasan!S1197</f>
        <v/>
      </c>
      <c r="T1198" s="64" t="str">
        <f>Ringkasan!T1197</f>
        <v/>
      </c>
      <c r="U1198" s="64">
        <f>Ringkasan!U1197</f>
        <v>1215</v>
      </c>
      <c r="V1198" s="64" t="str">
        <f>Ringkasan!V1197</f>
        <v/>
      </c>
      <c r="W1198" s="64">
        <f>Ringkasan!W1197</f>
        <v>1185</v>
      </c>
      <c r="X1198" s="64">
        <f>Ringkasan!X1197</f>
        <v>1265</v>
      </c>
      <c r="Y1198" s="64">
        <f>Ringkasan!Y1197</f>
        <v>1185</v>
      </c>
      <c r="Z1198" s="64">
        <f>Ringkasan!Z1197</f>
        <v>96851900</v>
      </c>
      <c r="AA1198" s="64" t="str">
        <f>Ringkasan!AA1197</f>
        <v>Oil &amp; Gas</v>
      </c>
      <c r="AB1198" s="64" t="str">
        <f>Ringkasan!AB1197</f>
        <v>Energy</v>
      </c>
    </row>
    <row r="1199" hidden="1">
      <c r="A1199" s="64" t="str">
        <f>Ringkasan!A1198</f>
        <v>MEDC</v>
      </c>
      <c r="B1199" s="64" t="str">
        <f>Ringkasan!B1198</f>
        <v>Medco Energi Internasional Tbk.</v>
      </c>
      <c r="C1199" s="65">
        <f>Ringkasan!C1198</f>
        <v>1225</v>
      </c>
      <c r="D1199" s="64" t="str">
        <f>Ringkasan!D1198</f>
        <v>#N/A</v>
      </c>
      <c r="E1199" s="64" t="str">
        <f>Ringkasan!E1198</f>
        <v>Kompas100</v>
      </c>
      <c r="F1199" s="64" t="str">
        <f>Ringkasan!F1198</f>
        <v>31 Juli 2026</v>
      </c>
      <c r="G1199" s="64">
        <f>Ringkasan!G1198</f>
        <v>17</v>
      </c>
      <c r="H1199" s="19">
        <f>Ringkasan!H1198</f>
        <v>11.9</v>
      </c>
      <c r="I1199" s="19">
        <f>Ringkasan!I1198</f>
        <v>0.74</v>
      </c>
      <c r="J1199" s="19">
        <f>Ringkasan!J1198</f>
        <v>6.2</v>
      </c>
      <c r="K1199" s="19">
        <f>Ringkasan!K1198</f>
        <v>1.8</v>
      </c>
      <c r="L1199" s="19">
        <f>Ringkasan!L1198</f>
        <v>2.4</v>
      </c>
      <c r="M1199" s="19">
        <f>Ringkasan!M1198</f>
        <v>22.4</v>
      </c>
      <c r="N1199" s="64" t="str">
        <f>Ringkasan!N1198</f>
        <v/>
      </c>
      <c r="O1199" s="64" t="str">
        <f>Ringkasan!O1198</f>
        <v/>
      </c>
      <c r="P1199" s="64" t="str">
        <f>Ringkasan!P1198</f>
        <v/>
      </c>
      <c r="Q1199" s="64" t="str">
        <f>Ringkasan!Q1198</f>
        <v/>
      </c>
      <c r="R1199" s="64" t="str">
        <f>Ringkasan!R1198</f>
        <v/>
      </c>
      <c r="S1199" s="64" t="str">
        <f>Ringkasan!S1198</f>
        <v/>
      </c>
      <c r="T1199" s="64" t="str">
        <f>Ringkasan!T1198</f>
        <v/>
      </c>
      <c r="U1199" s="64">
        <f>Ringkasan!U1198</f>
        <v>1215</v>
      </c>
      <c r="V1199" s="64" t="str">
        <f>Ringkasan!V1198</f>
        <v/>
      </c>
      <c r="W1199" s="64">
        <f>Ringkasan!W1198</f>
        <v>1185</v>
      </c>
      <c r="X1199" s="64">
        <f>Ringkasan!X1198</f>
        <v>1265</v>
      </c>
      <c r="Y1199" s="64">
        <f>Ringkasan!Y1198</f>
        <v>1185</v>
      </c>
      <c r="Z1199" s="64">
        <f>Ringkasan!Z1198</f>
        <v>96851900</v>
      </c>
      <c r="AA1199" s="64" t="str">
        <f>Ringkasan!AA1198</f>
        <v>Oil &amp; Gas</v>
      </c>
      <c r="AB1199" s="64" t="str">
        <f>Ringkasan!AB1198</f>
        <v>Energy</v>
      </c>
    </row>
    <row r="1200" hidden="1">
      <c r="A1200" s="64" t="str">
        <f>Ringkasan!A1199</f>
        <v>MEDC</v>
      </c>
      <c r="B1200" s="64" t="str">
        <f>Ringkasan!B1199</f>
        <v>Medco Energi Internasional Tbk.</v>
      </c>
      <c r="C1200" s="65">
        <f>Ringkasan!C1199</f>
        <v>1225</v>
      </c>
      <c r="D1200" s="64" t="str">
        <f>Ringkasan!D1199</f>
        <v>#N/A</v>
      </c>
      <c r="E1200" s="64" t="str">
        <f>Ringkasan!E1199</f>
        <v>BISNIS-27</v>
      </c>
      <c r="F1200" s="64" t="str">
        <f>Ringkasan!F1199</f>
        <v>30 Oktober 2026</v>
      </c>
      <c r="G1200" s="64">
        <f>Ringkasan!G1199</f>
        <v>17</v>
      </c>
      <c r="H1200" s="19">
        <f>Ringkasan!H1199</f>
        <v>11.9</v>
      </c>
      <c r="I1200" s="19">
        <f>Ringkasan!I1199</f>
        <v>0.74</v>
      </c>
      <c r="J1200" s="19">
        <f>Ringkasan!J1199</f>
        <v>6.2</v>
      </c>
      <c r="K1200" s="19">
        <f>Ringkasan!K1199</f>
        <v>1.8</v>
      </c>
      <c r="L1200" s="19">
        <f>Ringkasan!L1199</f>
        <v>2.4</v>
      </c>
      <c r="M1200" s="19">
        <f>Ringkasan!M1199</f>
        <v>22.4</v>
      </c>
      <c r="N1200" s="64" t="str">
        <f>Ringkasan!N1199</f>
        <v/>
      </c>
      <c r="O1200" s="64" t="str">
        <f>Ringkasan!O1199</f>
        <v/>
      </c>
      <c r="P1200" s="64" t="str">
        <f>Ringkasan!P1199</f>
        <v/>
      </c>
      <c r="Q1200" s="64" t="str">
        <f>Ringkasan!Q1199</f>
        <v/>
      </c>
      <c r="R1200" s="64" t="str">
        <f>Ringkasan!R1199</f>
        <v/>
      </c>
      <c r="S1200" s="64" t="str">
        <f>Ringkasan!S1199</f>
        <v/>
      </c>
      <c r="T1200" s="64" t="str">
        <f>Ringkasan!T1199</f>
        <v/>
      </c>
      <c r="U1200" s="64">
        <f>Ringkasan!U1199</f>
        <v>1215</v>
      </c>
      <c r="V1200" s="64" t="str">
        <f>Ringkasan!V1199</f>
        <v/>
      </c>
      <c r="W1200" s="64">
        <f>Ringkasan!W1199</f>
        <v>1185</v>
      </c>
      <c r="X1200" s="64">
        <f>Ringkasan!X1199</f>
        <v>1265</v>
      </c>
      <c r="Y1200" s="64">
        <f>Ringkasan!Y1199</f>
        <v>1185</v>
      </c>
      <c r="Z1200" s="64">
        <f>Ringkasan!Z1199</f>
        <v>96851900</v>
      </c>
      <c r="AA1200" s="64" t="str">
        <f>Ringkasan!AA1199</f>
        <v>Oil &amp; Gas</v>
      </c>
      <c r="AB1200" s="64" t="str">
        <f>Ringkasan!AB1199</f>
        <v>Energy</v>
      </c>
    </row>
    <row r="1201" hidden="1">
      <c r="A1201" s="64" t="str">
        <f>Ringkasan!A1200</f>
        <v>MEDC</v>
      </c>
      <c r="B1201" s="64" t="str">
        <f>Ringkasan!B1200</f>
        <v>Medco Energi Internasional Tbk.</v>
      </c>
      <c r="C1201" s="65">
        <f>Ringkasan!C1200</f>
        <v>1225</v>
      </c>
      <c r="D1201" s="64" t="str">
        <f>Ringkasan!D1200</f>
        <v>#N/A</v>
      </c>
      <c r="E1201" s="64" t="str">
        <f>Ringkasan!E1200</f>
        <v>IDXV30</v>
      </c>
      <c r="F1201" s="64" t="str">
        <f>Ringkasan!F1200</f>
        <v>4 Agustus 2026</v>
      </c>
      <c r="G1201" s="64">
        <f>Ringkasan!G1200</f>
        <v>17</v>
      </c>
      <c r="H1201" s="19">
        <f>Ringkasan!H1200</f>
        <v>11.9</v>
      </c>
      <c r="I1201" s="19">
        <f>Ringkasan!I1200</f>
        <v>0.74</v>
      </c>
      <c r="J1201" s="19">
        <f>Ringkasan!J1200</f>
        <v>6.2</v>
      </c>
      <c r="K1201" s="19">
        <f>Ringkasan!K1200</f>
        <v>1.8</v>
      </c>
      <c r="L1201" s="19">
        <f>Ringkasan!L1200</f>
        <v>2.4</v>
      </c>
      <c r="M1201" s="19">
        <f>Ringkasan!M1200</f>
        <v>22.4</v>
      </c>
      <c r="N1201" s="64" t="str">
        <f>Ringkasan!N1200</f>
        <v/>
      </c>
      <c r="O1201" s="64" t="str">
        <f>Ringkasan!O1200</f>
        <v/>
      </c>
      <c r="P1201" s="64" t="str">
        <f>Ringkasan!P1200</f>
        <v/>
      </c>
      <c r="Q1201" s="64" t="str">
        <f>Ringkasan!Q1200</f>
        <v/>
      </c>
      <c r="R1201" s="64" t="str">
        <f>Ringkasan!R1200</f>
        <v/>
      </c>
      <c r="S1201" s="64" t="str">
        <f>Ringkasan!S1200</f>
        <v/>
      </c>
      <c r="T1201" s="64" t="str">
        <f>Ringkasan!T1200</f>
        <v/>
      </c>
      <c r="U1201" s="64">
        <f>Ringkasan!U1200</f>
        <v>1215</v>
      </c>
      <c r="V1201" s="64" t="str">
        <f>Ringkasan!V1200</f>
        <v/>
      </c>
      <c r="W1201" s="64">
        <f>Ringkasan!W1200</f>
        <v>1185</v>
      </c>
      <c r="X1201" s="64">
        <f>Ringkasan!X1200</f>
        <v>1265</v>
      </c>
      <c r="Y1201" s="64">
        <f>Ringkasan!Y1200</f>
        <v>1185</v>
      </c>
      <c r="Z1201" s="64">
        <f>Ringkasan!Z1200</f>
        <v>96851900</v>
      </c>
      <c r="AA1201" s="64" t="str">
        <f>Ringkasan!AA1200</f>
        <v>Oil &amp; Gas</v>
      </c>
      <c r="AB1201" s="64" t="str">
        <f>Ringkasan!AB1200</f>
        <v>Energy</v>
      </c>
    </row>
    <row r="1202" hidden="1">
      <c r="A1202" s="64" t="str">
        <f>Ringkasan!A1201</f>
        <v>MEDC</v>
      </c>
      <c r="B1202" s="64" t="str">
        <f>Ringkasan!B1201</f>
        <v>Medco Energi Internasional Tbk.</v>
      </c>
      <c r="C1202" s="65">
        <f>Ringkasan!C1201</f>
        <v>1225</v>
      </c>
      <c r="D1202" s="64" t="str">
        <f>Ringkasan!D1201</f>
        <v>#N/A</v>
      </c>
      <c r="E1202" s="64" t="str">
        <f>Ringkasan!E1201</f>
        <v>IDXSMC-LIQ</v>
      </c>
      <c r="F1202" s="64" t="str">
        <f>Ringkasan!F1201</f>
        <v>4 Agustus 2026</v>
      </c>
      <c r="G1202" s="64">
        <f>Ringkasan!G1201</f>
        <v>17</v>
      </c>
      <c r="H1202" s="19">
        <f>Ringkasan!H1201</f>
        <v>11.9</v>
      </c>
      <c r="I1202" s="19">
        <f>Ringkasan!I1201</f>
        <v>0.74</v>
      </c>
      <c r="J1202" s="19">
        <f>Ringkasan!J1201</f>
        <v>6.2</v>
      </c>
      <c r="K1202" s="19">
        <f>Ringkasan!K1201</f>
        <v>1.8</v>
      </c>
      <c r="L1202" s="19">
        <f>Ringkasan!L1201</f>
        <v>2.4</v>
      </c>
      <c r="M1202" s="19">
        <f>Ringkasan!M1201</f>
        <v>22.4</v>
      </c>
      <c r="N1202" s="64" t="str">
        <f>Ringkasan!N1201</f>
        <v/>
      </c>
      <c r="O1202" s="64" t="str">
        <f>Ringkasan!O1201</f>
        <v/>
      </c>
      <c r="P1202" s="64" t="str">
        <f>Ringkasan!P1201</f>
        <v/>
      </c>
      <c r="Q1202" s="64" t="str">
        <f>Ringkasan!Q1201</f>
        <v/>
      </c>
      <c r="R1202" s="64" t="str">
        <f>Ringkasan!R1201</f>
        <v/>
      </c>
      <c r="S1202" s="64" t="str">
        <f>Ringkasan!S1201</f>
        <v/>
      </c>
      <c r="T1202" s="64" t="str">
        <f>Ringkasan!T1201</f>
        <v/>
      </c>
      <c r="U1202" s="64">
        <f>Ringkasan!U1201</f>
        <v>1215</v>
      </c>
      <c r="V1202" s="64" t="str">
        <f>Ringkasan!V1201</f>
        <v/>
      </c>
      <c r="W1202" s="64">
        <f>Ringkasan!W1201</f>
        <v>1185</v>
      </c>
      <c r="X1202" s="64">
        <f>Ringkasan!X1201</f>
        <v>1265</v>
      </c>
      <c r="Y1202" s="64">
        <f>Ringkasan!Y1201</f>
        <v>1185</v>
      </c>
      <c r="Z1202" s="64">
        <f>Ringkasan!Z1201</f>
        <v>96851900</v>
      </c>
      <c r="AA1202" s="64" t="str">
        <f>Ringkasan!AA1201</f>
        <v>Oil &amp; Gas</v>
      </c>
      <c r="AB1202" s="64" t="str">
        <f>Ringkasan!AB1201</f>
        <v>Energy</v>
      </c>
    </row>
    <row r="1203" hidden="1">
      <c r="A1203" s="64" t="str">
        <f>Ringkasan!A1202</f>
        <v>MEDC</v>
      </c>
      <c r="B1203" s="64" t="str">
        <f>Ringkasan!B1202</f>
        <v>Medco Energi Internasional Tbk.</v>
      </c>
      <c r="C1203" s="65">
        <f>Ringkasan!C1202</f>
        <v>1225</v>
      </c>
      <c r="D1203" s="64" t="str">
        <f>Ringkasan!D1202</f>
        <v>#N/A</v>
      </c>
      <c r="E1203" s="64" t="str">
        <f>Ringkasan!E1202</f>
        <v>MSCI Small Cap</v>
      </c>
      <c r="F1203" s="64" t="str">
        <f>Ringkasan!F1202</f>
        <v>12 Agustus 2026</v>
      </c>
      <c r="G1203" s="64">
        <f>Ringkasan!G1202</f>
        <v>17</v>
      </c>
      <c r="H1203" s="19">
        <f>Ringkasan!H1202</f>
        <v>11.9</v>
      </c>
      <c r="I1203" s="19">
        <f>Ringkasan!I1202</f>
        <v>0.74</v>
      </c>
      <c r="J1203" s="19">
        <f>Ringkasan!J1202</f>
        <v>6.2</v>
      </c>
      <c r="K1203" s="19">
        <f>Ringkasan!K1202</f>
        <v>1.8</v>
      </c>
      <c r="L1203" s="19">
        <f>Ringkasan!L1202</f>
        <v>2.4</v>
      </c>
      <c r="M1203" s="19">
        <f>Ringkasan!M1202</f>
        <v>22.4</v>
      </c>
      <c r="N1203" s="64" t="str">
        <f>Ringkasan!N1202</f>
        <v/>
      </c>
      <c r="O1203" s="64" t="str">
        <f>Ringkasan!O1202</f>
        <v/>
      </c>
      <c r="P1203" s="64" t="str">
        <f>Ringkasan!P1202</f>
        <v/>
      </c>
      <c r="Q1203" s="64" t="str">
        <f>Ringkasan!Q1202</f>
        <v/>
      </c>
      <c r="R1203" s="64" t="str">
        <f>Ringkasan!R1202</f>
        <v/>
      </c>
      <c r="S1203" s="64" t="str">
        <f>Ringkasan!S1202</f>
        <v/>
      </c>
      <c r="T1203" s="64" t="str">
        <f>Ringkasan!T1202</f>
        <v/>
      </c>
      <c r="U1203" s="64">
        <f>Ringkasan!U1202</f>
        <v>1215</v>
      </c>
      <c r="V1203" s="64" t="str">
        <f>Ringkasan!V1202</f>
        <v/>
      </c>
      <c r="W1203" s="64">
        <f>Ringkasan!W1202</f>
        <v>1185</v>
      </c>
      <c r="X1203" s="64">
        <f>Ringkasan!X1202</f>
        <v>1265</v>
      </c>
      <c r="Y1203" s="64">
        <f>Ringkasan!Y1202</f>
        <v>1185</v>
      </c>
      <c r="Z1203" s="64">
        <f>Ringkasan!Z1202</f>
        <v>96851900</v>
      </c>
      <c r="AA1203" s="64" t="str">
        <f>Ringkasan!AA1202</f>
        <v>Oil &amp; Gas</v>
      </c>
      <c r="AB1203" s="64" t="str">
        <f>Ringkasan!AB1202</f>
        <v>Energy</v>
      </c>
    </row>
    <row r="1204" hidden="1">
      <c r="A1204" s="64" t="str">
        <f>Ringkasan!A1203</f>
        <v>MEDC</v>
      </c>
      <c r="B1204" s="64" t="str">
        <f>Ringkasan!B1203</f>
        <v>Medco Energi Internasional Tbk.</v>
      </c>
      <c r="C1204" s="65">
        <f>Ringkasan!C1203</f>
        <v>1225</v>
      </c>
      <c r="D1204" s="64" t="str">
        <f>Ringkasan!D1203</f>
        <v>#N/A</v>
      </c>
      <c r="E1204" s="64" t="str">
        <f>Ringkasan!E1203</f>
        <v>JII70</v>
      </c>
      <c r="F1204" s="66">
        <f>Ringkasan!F1203</f>
        <v>46356</v>
      </c>
      <c r="G1204" s="64">
        <f>Ringkasan!G1203</f>
        <v>17</v>
      </c>
      <c r="H1204" s="19">
        <f>Ringkasan!H1203</f>
        <v>11.9</v>
      </c>
      <c r="I1204" s="19">
        <f>Ringkasan!I1203</f>
        <v>0.74</v>
      </c>
      <c r="J1204" s="19">
        <f>Ringkasan!J1203</f>
        <v>6.2</v>
      </c>
      <c r="K1204" s="19">
        <f>Ringkasan!K1203</f>
        <v>1.8</v>
      </c>
      <c r="L1204" s="19">
        <f>Ringkasan!L1203</f>
        <v>2.4</v>
      </c>
      <c r="M1204" s="19">
        <f>Ringkasan!M1203</f>
        <v>22.4</v>
      </c>
      <c r="N1204" s="64" t="str">
        <f>Ringkasan!N1203</f>
        <v/>
      </c>
      <c r="O1204" s="64" t="str">
        <f>Ringkasan!O1203</f>
        <v/>
      </c>
      <c r="P1204" s="64" t="str">
        <f>Ringkasan!P1203</f>
        <v/>
      </c>
      <c r="Q1204" s="64" t="str">
        <f>Ringkasan!Q1203</f>
        <v/>
      </c>
      <c r="R1204" s="64" t="str">
        <f>Ringkasan!R1203</f>
        <v/>
      </c>
      <c r="S1204" s="64" t="str">
        <f>Ringkasan!S1203</f>
        <v/>
      </c>
      <c r="T1204" s="64" t="str">
        <f>Ringkasan!T1203</f>
        <v/>
      </c>
      <c r="U1204" s="64">
        <f>Ringkasan!U1203</f>
        <v>1215</v>
      </c>
      <c r="V1204" s="64" t="str">
        <f>Ringkasan!V1203</f>
        <v/>
      </c>
      <c r="W1204" s="64">
        <f>Ringkasan!W1203</f>
        <v>1185</v>
      </c>
      <c r="X1204" s="64">
        <f>Ringkasan!X1203</f>
        <v>1265</v>
      </c>
      <c r="Y1204" s="64">
        <f>Ringkasan!Y1203</f>
        <v>1185</v>
      </c>
      <c r="Z1204" s="64">
        <f>Ringkasan!Z1203</f>
        <v>96851900</v>
      </c>
      <c r="AA1204" s="64" t="str">
        <f>Ringkasan!AA1203</f>
        <v>Oil &amp; Gas</v>
      </c>
      <c r="AB1204" s="64" t="str">
        <f>Ringkasan!AB1203</f>
        <v>Energy</v>
      </c>
    </row>
    <row r="1205" hidden="1">
      <c r="A1205" s="64" t="str">
        <f>Ringkasan!A1204</f>
        <v>MEDS</v>
      </c>
      <c r="B1205" s="64" t="str">
        <f>Ringkasan!B1204</f>
        <v>Hetzer Medical Indonesia Tbk.</v>
      </c>
      <c r="C1205" s="65">
        <f>Ringkasan!C1204</f>
        <v>73</v>
      </c>
      <c r="D1205" s="64" t="str">
        <f>Ringkasan!D1204</f>
        <v>#N/A</v>
      </c>
      <c r="E1205" s="64" t="str">
        <f>Ringkasan!E1204</f>
        <v/>
      </c>
      <c r="F1205" s="64" t="str">
        <f>Ringkasan!F1204</f>
        <v/>
      </c>
      <c r="G1205" s="64">
        <f>Ringkasan!G1204</f>
        <v>0</v>
      </c>
      <c r="H1205" s="19">
        <f>Ringkasan!H1204</f>
        <v>-22.5</v>
      </c>
      <c r="I1205" s="19">
        <f>Ringkasan!I1204</f>
        <v>2.9</v>
      </c>
      <c r="J1205" s="19">
        <f>Ringkasan!J1204</f>
        <v>-12.8</v>
      </c>
      <c r="K1205" s="19">
        <f>Ringkasan!K1204</f>
        <v>-9.8</v>
      </c>
      <c r="L1205" s="19">
        <f>Ringkasan!L1204</f>
        <v>0.31</v>
      </c>
      <c r="M1205" s="19">
        <f>Ringkasan!M1204</f>
        <v>-130</v>
      </c>
      <c r="N1205" s="64" t="str">
        <f>Ringkasan!N1204</f>
        <v/>
      </c>
      <c r="O1205" s="64" t="str">
        <f>Ringkasan!O1204</f>
        <v/>
      </c>
      <c r="P1205" s="64" t="str">
        <f>Ringkasan!P1204</f>
        <v/>
      </c>
      <c r="Q1205" s="64" t="str">
        <f>Ringkasan!Q1204</f>
        <v/>
      </c>
      <c r="R1205" s="64" t="str">
        <f>Ringkasan!R1204</f>
        <v/>
      </c>
      <c r="S1205" s="64" t="str">
        <f>Ringkasan!S1204</f>
        <v/>
      </c>
      <c r="T1205" s="64" t="str">
        <f>Ringkasan!T1204</f>
        <v/>
      </c>
      <c r="U1205" s="64">
        <f>Ringkasan!U1204</f>
        <v>69</v>
      </c>
      <c r="V1205" s="64">
        <f>Ringkasan!V1204</f>
        <v>5.8</v>
      </c>
      <c r="W1205" s="64">
        <f>Ringkasan!W1204</f>
        <v>69</v>
      </c>
      <c r="X1205" s="64">
        <f>Ringkasan!X1204</f>
        <v>74</v>
      </c>
      <c r="Y1205" s="64">
        <f>Ringkasan!Y1204</f>
        <v>68</v>
      </c>
      <c r="Z1205" s="64">
        <f>Ringkasan!Z1204</f>
        <v>32076000</v>
      </c>
      <c r="AA1205" s="64" t="str">
        <f>Ringkasan!AA1204</f>
        <v>Healthcare Equipment &amp; Supplies</v>
      </c>
      <c r="AB1205" s="64" t="str">
        <f>Ringkasan!AB1204</f>
        <v>Healthcare</v>
      </c>
    </row>
    <row r="1206" hidden="1">
      <c r="A1206" s="64" t="str">
        <f>Ringkasan!A1205</f>
        <v>MEGA</v>
      </c>
      <c r="B1206" s="64" t="str">
        <f>Ringkasan!B1205</f>
        <v>Bank Mega Tbk</v>
      </c>
      <c r="C1206" s="65">
        <f>Ringkasan!C1205</f>
        <v>2010</v>
      </c>
      <c r="D1206" s="64" t="str">
        <f>Ringkasan!D1205</f>
        <v>#N/A</v>
      </c>
      <c r="E1206" s="64" t="str">
        <f>Ringkasan!E1205</f>
        <v/>
      </c>
      <c r="F1206" s="64" t="str">
        <f>Ringkasan!F1205</f>
        <v/>
      </c>
      <c r="G1206" s="64">
        <f>Ringkasan!G1205</f>
        <v>0</v>
      </c>
      <c r="H1206" s="19">
        <f>Ringkasan!H1205</f>
        <v>12.1</v>
      </c>
      <c r="I1206" s="19">
        <f>Ringkasan!I1205</f>
        <v>1.7</v>
      </c>
      <c r="J1206" s="19">
        <f>Ringkasan!J1205</f>
        <v>14.3</v>
      </c>
      <c r="K1206" s="19">
        <f>Ringkasan!K1205</f>
        <v>2.6</v>
      </c>
      <c r="L1206" s="19">
        <f>Ringkasan!L1205</f>
        <v>4.5</v>
      </c>
      <c r="M1206" s="19">
        <f>Ringkasan!M1205</f>
        <v>130</v>
      </c>
      <c r="N1206" s="64">
        <f>Ringkasan!N1205</f>
        <v>5.12</v>
      </c>
      <c r="O1206" s="64">
        <f>Ringkasan!O1205</f>
        <v>26.85</v>
      </c>
      <c r="P1206" s="64">
        <f>Ringkasan!P1205</f>
        <v>68.4</v>
      </c>
      <c r="Q1206" s="64">
        <f>Ringkasan!Q1205</f>
        <v>1.62</v>
      </c>
      <c r="R1206" s="64">
        <f>Ringkasan!R1205</f>
        <v>69.58</v>
      </c>
      <c r="S1206" s="64">
        <f>Ringkasan!S1205</f>
        <v>43.22</v>
      </c>
      <c r="T1206" s="64">
        <f>Ringkasan!T1205</f>
        <v>6.15</v>
      </c>
      <c r="U1206" s="64">
        <f>Ringkasan!U1205</f>
        <v>0.37</v>
      </c>
      <c r="V1206" s="64">
        <f>Ringkasan!V1205</f>
        <v>0</v>
      </c>
      <c r="W1206" s="64" t="str">
        <f>Ringkasan!W1205</f>
        <v/>
      </c>
      <c r="X1206" s="64" t="str">
        <f>Ringkasan!X1205</f>
        <v/>
      </c>
      <c r="Y1206" s="64" t="str">
        <f>Ringkasan!Y1205</f>
        <v/>
      </c>
      <c r="Z1206" s="64">
        <f>Ringkasan!Z1205</f>
        <v>0</v>
      </c>
      <c r="AA1206" s="64" t="str">
        <f>Ringkasan!AA1205</f>
        <v>Banks</v>
      </c>
      <c r="AB1206" s="64" t="str">
        <f>Ringkasan!AB1205</f>
        <v>Financials</v>
      </c>
    </row>
    <row r="1207" hidden="1">
      <c r="A1207" s="64" t="str">
        <f>Ringkasan!A1206</f>
        <v>MEJA</v>
      </c>
      <c r="B1207" s="64" t="str">
        <f>Ringkasan!B1206</f>
        <v>Harta Djaya Karya Tbk.</v>
      </c>
      <c r="C1207" s="65">
        <f>Ringkasan!C1206</f>
        <v>80</v>
      </c>
      <c r="D1207" s="64" t="str">
        <f>Ringkasan!D1206</f>
        <v>#N/A</v>
      </c>
      <c r="E1207" s="64" t="str">
        <f>Ringkasan!E1206</f>
        <v/>
      </c>
      <c r="F1207" s="64" t="str">
        <f>Ringkasan!F1206</f>
        <v/>
      </c>
      <c r="G1207" s="64">
        <f>Ringkasan!G1206</f>
        <v>0</v>
      </c>
      <c r="H1207" s="19">
        <f>Ringkasan!H1206</f>
        <v>-11.3</v>
      </c>
      <c r="I1207" s="19">
        <f>Ringkasan!I1206</f>
        <v>3.9</v>
      </c>
      <c r="J1207" s="19">
        <f>Ringkasan!J1206</f>
        <v>-34</v>
      </c>
      <c r="K1207" s="19">
        <f>Ringkasan!K1206</f>
        <v>-24.4</v>
      </c>
      <c r="L1207" s="19">
        <f>Ringkasan!L1206</f>
        <v>0.4</v>
      </c>
      <c r="M1207" s="19">
        <f>Ringkasan!M1206</f>
        <v>-77</v>
      </c>
      <c r="N1207" s="64" t="str">
        <f>Ringkasan!N1206</f>
        <v/>
      </c>
      <c r="O1207" s="64" t="str">
        <f>Ringkasan!O1206</f>
        <v/>
      </c>
      <c r="P1207" s="64" t="str">
        <f>Ringkasan!P1206</f>
        <v/>
      </c>
      <c r="Q1207" s="64" t="str">
        <f>Ringkasan!Q1206</f>
        <v/>
      </c>
      <c r="R1207" s="64" t="str">
        <f>Ringkasan!R1206</f>
        <v/>
      </c>
      <c r="S1207" s="64" t="str">
        <f>Ringkasan!S1206</f>
        <v/>
      </c>
      <c r="T1207" s="64" t="str">
        <f>Ringkasan!T1206</f>
        <v/>
      </c>
      <c r="U1207" s="64">
        <f>Ringkasan!U1206</f>
        <v>79</v>
      </c>
      <c r="V1207" s="64">
        <f>Ringkasan!V1206</f>
        <v>1.27</v>
      </c>
      <c r="W1207" s="64">
        <f>Ringkasan!W1206</f>
        <v>80</v>
      </c>
      <c r="X1207" s="64">
        <f>Ringkasan!X1206</f>
        <v>82</v>
      </c>
      <c r="Y1207" s="64">
        <f>Ringkasan!Y1206</f>
        <v>77</v>
      </c>
      <c r="Z1207" s="64">
        <f>Ringkasan!Z1206</f>
        <v>14157400</v>
      </c>
      <c r="AA1207" s="64" t="str">
        <f>Ringkasan!AA1206</f>
        <v>Household Goods</v>
      </c>
      <c r="AB1207" s="64" t="str">
        <f>Ringkasan!AB1206</f>
        <v>Consumer Cyclicals</v>
      </c>
    </row>
    <row r="1208" hidden="1">
      <c r="A1208" s="64" t="str">
        <f>Ringkasan!A1207</f>
        <v>MENN</v>
      </c>
      <c r="B1208" s="64" t="str">
        <f>Ringkasan!B1207</f>
        <v>PT Menn Teknologi Indonesia Tbk.</v>
      </c>
      <c r="C1208" s="65">
        <f>Ringkasan!C1207</f>
        <v>53</v>
      </c>
      <c r="D1208" s="64" t="str">
        <f>Ringkasan!D1207</f>
        <v>#N/A</v>
      </c>
      <c r="E1208" s="64" t="str">
        <f>Ringkasan!E1207</f>
        <v/>
      </c>
      <c r="F1208" s="64" t="str">
        <f>Ringkasan!F1207</f>
        <v/>
      </c>
      <c r="G1208" s="64">
        <f>Ringkasan!G1207</f>
        <v>0</v>
      </c>
      <c r="H1208" s="19">
        <f>Ringkasan!H1207</f>
        <v>-20.2</v>
      </c>
      <c r="I1208" s="19">
        <f>Ringkasan!I1207</f>
        <v>1.9</v>
      </c>
      <c r="J1208" s="19">
        <f>Ringkasan!J1207</f>
        <v>-9.6</v>
      </c>
      <c r="K1208" s="19">
        <f>Ringkasan!K1207</f>
        <v>-9.6</v>
      </c>
      <c r="L1208" s="19">
        <f>Ringkasan!L1207</f>
        <v>0</v>
      </c>
      <c r="M1208" s="19">
        <f>Ringkasan!M1207</f>
        <v>-520</v>
      </c>
      <c r="N1208" s="64" t="str">
        <f>Ringkasan!N1207</f>
        <v/>
      </c>
      <c r="O1208" s="64" t="str">
        <f>Ringkasan!O1207</f>
        <v/>
      </c>
      <c r="P1208" s="64" t="str">
        <f>Ringkasan!P1207</f>
        <v/>
      </c>
      <c r="Q1208" s="64" t="str">
        <f>Ringkasan!Q1207</f>
        <v/>
      </c>
      <c r="R1208" s="64" t="str">
        <f>Ringkasan!R1207</f>
        <v/>
      </c>
      <c r="S1208" s="64" t="str">
        <f>Ringkasan!S1207</f>
        <v/>
      </c>
      <c r="T1208" s="64" t="str">
        <f>Ringkasan!T1207</f>
        <v/>
      </c>
      <c r="U1208" s="64">
        <f>Ringkasan!U1207</f>
        <v>53</v>
      </c>
      <c r="V1208" s="64">
        <f>Ringkasan!V1207</f>
        <v>0</v>
      </c>
      <c r="W1208" s="64" t="str">
        <f>Ringkasan!W1207</f>
        <v/>
      </c>
      <c r="X1208" s="64" t="str">
        <f>Ringkasan!X1207</f>
        <v/>
      </c>
      <c r="Y1208" s="64" t="str">
        <f>Ringkasan!Y1207</f>
        <v/>
      </c>
      <c r="Z1208" s="64">
        <f>Ringkasan!Z1207</f>
        <v>0</v>
      </c>
      <c r="AA1208" s="64" t="str">
        <f>Ringkasan!AA1207</f>
        <v>Electronic Equipment, Instruments &amp; Components</v>
      </c>
      <c r="AB1208" s="64" t="str">
        <f>Ringkasan!AB1207</f>
        <v>Technology</v>
      </c>
    </row>
    <row r="1209" hidden="1">
      <c r="A1209" s="64" t="str">
        <f>Ringkasan!A1208</f>
        <v>MERI</v>
      </c>
      <c r="B1209" s="64" t="str">
        <f>Ringkasan!B1208</f>
        <v>Merry Riana Edukasi Tbk.</v>
      </c>
      <c r="C1209" s="65">
        <f>Ringkasan!C1208</f>
        <v>109</v>
      </c>
      <c r="D1209" s="64" t="str">
        <f>Ringkasan!D1208</f>
        <v>#N/A</v>
      </c>
      <c r="E1209" s="64" t="str">
        <f>Ringkasan!E1208</f>
        <v/>
      </c>
      <c r="F1209" s="64" t="str">
        <f>Ringkasan!F1208</f>
        <v/>
      </c>
      <c r="G1209" s="64">
        <f>Ringkasan!G1208</f>
        <v>0</v>
      </c>
      <c r="H1209" s="19">
        <f>Ringkasan!H1208</f>
        <v>44.2</v>
      </c>
      <c r="I1209" s="19">
        <f>Ringkasan!I1208</f>
        <v>2.9</v>
      </c>
      <c r="J1209" s="19">
        <f>Ringkasan!J1208</f>
        <v>6.5</v>
      </c>
      <c r="K1209" s="19">
        <f>Ringkasan!K1208</f>
        <v>5.2</v>
      </c>
      <c r="L1209" s="19">
        <f>Ringkasan!L1208</f>
        <v>0.25</v>
      </c>
      <c r="M1209" s="19">
        <f>Ringkasan!M1208</f>
        <v>29</v>
      </c>
      <c r="N1209" s="64" t="str">
        <f>Ringkasan!N1208</f>
        <v/>
      </c>
      <c r="O1209" s="64" t="str">
        <f>Ringkasan!O1208</f>
        <v/>
      </c>
      <c r="P1209" s="64" t="str">
        <f>Ringkasan!P1208</f>
        <v/>
      </c>
      <c r="Q1209" s="64" t="str">
        <f>Ringkasan!Q1208</f>
        <v/>
      </c>
      <c r="R1209" s="64" t="str">
        <f>Ringkasan!R1208</f>
        <v/>
      </c>
      <c r="S1209" s="64" t="str">
        <f>Ringkasan!S1208</f>
        <v/>
      </c>
      <c r="T1209" s="64" t="str">
        <f>Ringkasan!T1208</f>
        <v/>
      </c>
      <c r="U1209" s="64">
        <f>Ringkasan!U1208</f>
        <v>107</v>
      </c>
      <c r="V1209" s="64">
        <f>Ringkasan!V1208</f>
        <v>1.87</v>
      </c>
      <c r="W1209" s="64">
        <f>Ringkasan!W1208</f>
        <v>108</v>
      </c>
      <c r="X1209" s="64">
        <f>Ringkasan!X1208</f>
        <v>115</v>
      </c>
      <c r="Y1209" s="64">
        <f>Ringkasan!Y1208</f>
        <v>108</v>
      </c>
      <c r="Z1209" s="64">
        <f>Ringkasan!Z1208</f>
        <v>568700</v>
      </c>
      <c r="AA1209" s="64" t="str">
        <f>Ringkasan!AA1208</f>
        <v>Education &amp; Support Services</v>
      </c>
      <c r="AB1209" s="64" t="str">
        <f>Ringkasan!AB1208</f>
        <v>Consumer Cyclicals</v>
      </c>
    </row>
    <row r="1210" hidden="1">
      <c r="A1210" s="64" t="str">
        <f>Ringkasan!A1209</f>
        <v>MERK</v>
      </c>
      <c r="B1210" s="64" t="str">
        <f>Ringkasan!B1209</f>
        <v>Merck Tbk.</v>
      </c>
      <c r="C1210" s="65">
        <f>Ringkasan!C1209</f>
        <v>3500</v>
      </c>
      <c r="D1210" s="64" t="str">
        <f>Ringkasan!D1209</f>
        <v>#N/A</v>
      </c>
      <c r="E1210" s="64" t="str">
        <f>Ringkasan!E1209</f>
        <v/>
      </c>
      <c r="F1210" s="64" t="str">
        <f>Ringkasan!F1209</f>
        <v/>
      </c>
      <c r="G1210" s="65">
        <f>Ringkasan!G1209</f>
        <v>0</v>
      </c>
      <c r="H1210" s="19">
        <f>Ringkasan!H1209</f>
        <v>5.9</v>
      </c>
      <c r="I1210" s="19">
        <f>Ringkasan!I1209</f>
        <v>1.7</v>
      </c>
      <c r="J1210" s="19">
        <f>Ringkasan!J1209</f>
        <v>28.4</v>
      </c>
      <c r="K1210" s="19">
        <f>Ringkasan!K1209</f>
        <v>22.4</v>
      </c>
      <c r="L1210" s="19">
        <f>Ringkasan!L1209</f>
        <v>0.27</v>
      </c>
      <c r="M1210" s="19">
        <f>Ringkasan!M1209</f>
        <v>100</v>
      </c>
      <c r="N1210" s="64" t="str">
        <f>Ringkasan!N1209</f>
        <v/>
      </c>
      <c r="O1210" s="64" t="str">
        <f>Ringkasan!O1209</f>
        <v/>
      </c>
      <c r="P1210" s="64" t="str">
        <f>Ringkasan!P1209</f>
        <v/>
      </c>
      <c r="Q1210" s="64" t="str">
        <f>Ringkasan!Q1209</f>
        <v/>
      </c>
      <c r="R1210" s="64" t="str">
        <f>Ringkasan!R1209</f>
        <v/>
      </c>
      <c r="S1210" s="64" t="str">
        <f>Ringkasan!S1209</f>
        <v/>
      </c>
      <c r="T1210" s="64" t="str">
        <f>Ringkasan!T1209</f>
        <v/>
      </c>
      <c r="U1210" s="64">
        <f>Ringkasan!U1209</f>
        <v>3420</v>
      </c>
      <c r="V1210" s="64">
        <f>Ringkasan!V1209</f>
        <v>2.34</v>
      </c>
      <c r="W1210" s="64">
        <f>Ringkasan!W1209</f>
        <v>3420</v>
      </c>
      <c r="X1210" s="64">
        <f>Ringkasan!X1209</f>
        <v>3590</v>
      </c>
      <c r="Y1210" s="64">
        <f>Ringkasan!Y1209</f>
        <v>3390</v>
      </c>
      <c r="Z1210" s="64">
        <f>Ringkasan!Z1209</f>
        <v>90000</v>
      </c>
      <c r="AA1210" s="64" t="str">
        <f>Ringkasan!AA1209</f>
        <v>Pharmaceuticals</v>
      </c>
      <c r="AB1210" s="64" t="str">
        <f>Ringkasan!AB1209</f>
        <v>Healthcare</v>
      </c>
    </row>
    <row r="1211" hidden="1">
      <c r="A1211" s="64" t="str">
        <f>Ringkasan!A1210</f>
        <v>META</v>
      </c>
      <c r="B1211" s="64" t="str">
        <f>Ringkasan!B1210</f>
        <v>Nusantara Infrastructure Tbk.</v>
      </c>
      <c r="C1211" s="65">
        <f>Ringkasan!C1210</f>
        <v>238</v>
      </c>
      <c r="D1211" s="64" t="str">
        <f>Ringkasan!D1210</f>
        <v>#N/A</v>
      </c>
      <c r="E1211" s="64" t="str">
        <f>Ringkasan!E1210</f>
        <v/>
      </c>
      <c r="F1211" s="64" t="str">
        <f>Ringkasan!F1210</f>
        <v/>
      </c>
      <c r="G1211" s="64">
        <f>Ringkasan!G1210</f>
        <v>0</v>
      </c>
      <c r="H1211" s="19">
        <f>Ringkasan!H1210</f>
        <v>44.7</v>
      </c>
      <c r="I1211" s="19">
        <f>Ringkasan!I1210</f>
        <v>1</v>
      </c>
      <c r="J1211" s="19">
        <f>Ringkasan!J1210</f>
        <v>2.3</v>
      </c>
      <c r="K1211" s="19">
        <f>Ringkasan!K1210</f>
        <v>2.1</v>
      </c>
      <c r="L1211" s="19">
        <f>Ringkasan!L1210</f>
        <v>0.12</v>
      </c>
      <c r="M1211" s="19">
        <f>Ringkasan!M1210</f>
        <v>150</v>
      </c>
      <c r="N1211" s="64" t="str">
        <f>Ringkasan!N1210</f>
        <v/>
      </c>
      <c r="O1211" s="64" t="str">
        <f>Ringkasan!O1210</f>
        <v/>
      </c>
      <c r="P1211" s="64" t="str">
        <f>Ringkasan!P1210</f>
        <v/>
      </c>
      <c r="Q1211" s="64" t="str">
        <f>Ringkasan!Q1210</f>
        <v/>
      </c>
      <c r="R1211" s="64" t="str">
        <f>Ringkasan!R1210</f>
        <v/>
      </c>
      <c r="S1211" s="64" t="str">
        <f>Ringkasan!S1210</f>
        <v/>
      </c>
      <c r="T1211" s="64" t="str">
        <f>Ringkasan!T1210</f>
        <v/>
      </c>
      <c r="U1211" s="64">
        <f>Ringkasan!U1210</f>
        <v>568.43</v>
      </c>
      <c r="V1211" s="64">
        <f>Ringkasan!V1210</f>
        <v>-0.26</v>
      </c>
      <c r="W1211" s="64">
        <f>Ringkasan!W1210</f>
        <v>572.95</v>
      </c>
      <c r="X1211" s="64">
        <f>Ringkasan!X1210</f>
        <v>576.07</v>
      </c>
      <c r="Y1211" s="64">
        <f>Ringkasan!Y1210</f>
        <v>560.9</v>
      </c>
      <c r="Z1211" s="64">
        <f>Ringkasan!Z1210</f>
        <v>14347769</v>
      </c>
      <c r="AA1211" s="64" t="str">
        <f>Ringkasan!AA1210</f>
        <v>Transport Infrastructure Operator</v>
      </c>
      <c r="AB1211" s="64" t="str">
        <f>Ringkasan!AB1210</f>
        <v>Infrastructures</v>
      </c>
    </row>
    <row r="1212" hidden="1">
      <c r="A1212" s="64" t="str">
        <f>Ringkasan!A1211</f>
        <v>MFMI</v>
      </c>
      <c r="B1212" s="64" t="str">
        <f>Ringkasan!B1211</f>
        <v>Multifiling Mitra Indonesia Tbk.</v>
      </c>
      <c r="C1212" s="65">
        <f>Ringkasan!C1211</f>
        <v>1300</v>
      </c>
      <c r="D1212" s="64" t="str">
        <f>Ringkasan!D1211</f>
        <v>#N/A</v>
      </c>
      <c r="E1212" s="64" t="str">
        <f>Ringkasan!E1211</f>
        <v/>
      </c>
      <c r="F1212" s="64" t="str">
        <f>Ringkasan!F1211</f>
        <v/>
      </c>
      <c r="G1212" s="64">
        <f>Ringkasan!G1211</f>
        <v>0</v>
      </c>
      <c r="H1212" s="19">
        <f>Ringkasan!H1211</f>
        <v>48.2</v>
      </c>
      <c r="I1212" s="19">
        <f>Ringkasan!I1211</f>
        <v>7.7</v>
      </c>
      <c r="J1212" s="19">
        <f>Ringkasan!J1211</f>
        <v>15.9</v>
      </c>
      <c r="K1212" s="19">
        <f>Ringkasan!K1211</f>
        <v>4.6</v>
      </c>
      <c r="L1212" s="19">
        <f>Ringkasan!L1211</f>
        <v>2.5</v>
      </c>
      <c r="M1212" s="19">
        <f>Ringkasan!M1211</f>
        <v>47.1</v>
      </c>
      <c r="N1212" s="64" t="str">
        <f>Ringkasan!N1211</f>
        <v/>
      </c>
      <c r="O1212" s="64" t="str">
        <f>Ringkasan!O1211</f>
        <v/>
      </c>
      <c r="P1212" s="64" t="str">
        <f>Ringkasan!P1211</f>
        <v/>
      </c>
      <c r="Q1212" s="64" t="str">
        <f>Ringkasan!Q1211</f>
        <v/>
      </c>
      <c r="R1212" s="64" t="str">
        <f>Ringkasan!R1211</f>
        <v/>
      </c>
      <c r="S1212" s="64" t="str">
        <f>Ringkasan!S1211</f>
        <v/>
      </c>
      <c r="T1212" s="64" t="str">
        <f>Ringkasan!T1211</f>
        <v/>
      </c>
      <c r="U1212" s="64">
        <f>Ringkasan!U1211</f>
        <v>1300</v>
      </c>
      <c r="V1212" s="64">
        <f>Ringkasan!V1211</f>
        <v>0</v>
      </c>
      <c r="W1212" s="64" t="str">
        <f>Ringkasan!W1211</f>
        <v/>
      </c>
      <c r="X1212" s="64" t="str">
        <f>Ringkasan!X1211</f>
        <v/>
      </c>
      <c r="Y1212" s="64" t="str">
        <f>Ringkasan!Y1211</f>
        <v/>
      </c>
      <c r="Z1212" s="64">
        <f>Ringkasan!Z1211</f>
        <v>0</v>
      </c>
      <c r="AA1212" s="64" t="str">
        <f>Ringkasan!AA1211</f>
        <v>Commercial Services</v>
      </c>
      <c r="AB1212" s="64" t="str">
        <f>Ringkasan!AB1211</f>
        <v>Industrials</v>
      </c>
    </row>
    <row r="1213" hidden="1">
      <c r="A1213" s="64" t="str">
        <f>Ringkasan!A1212</f>
        <v>MGLV</v>
      </c>
      <c r="B1213" s="64" t="str">
        <f>Ringkasan!B1212</f>
        <v>Panca Anugrah Wisesa Tbk.</v>
      </c>
      <c r="C1213" s="65">
        <f>Ringkasan!C1212</f>
        <v>8500</v>
      </c>
      <c r="D1213" s="64" t="str">
        <f>Ringkasan!D1212</f>
        <v>#N/A</v>
      </c>
      <c r="E1213" s="64" t="str">
        <f>Ringkasan!E1212</f>
        <v/>
      </c>
      <c r="F1213" s="64" t="str">
        <f>Ringkasan!F1212</f>
        <v/>
      </c>
      <c r="G1213" s="64">
        <f>Ringkasan!G1212</f>
        <v>0</v>
      </c>
      <c r="H1213" s="19">
        <f>Ringkasan!H1212</f>
        <v>-1420</v>
      </c>
      <c r="I1213" s="19">
        <f>Ringkasan!I1212</f>
        <v>100</v>
      </c>
      <c r="J1213" s="19">
        <f>Ringkasan!J1212</f>
        <v>-7</v>
      </c>
      <c r="K1213" s="19">
        <f>Ringkasan!K1212</f>
        <v>-4.8</v>
      </c>
      <c r="L1213" s="19">
        <f>Ringkasan!L1212</f>
        <v>0.47</v>
      </c>
      <c r="M1213" s="19">
        <f>Ringkasan!M1212</f>
        <v>-7.1</v>
      </c>
      <c r="N1213" s="64" t="str">
        <f>Ringkasan!N1212</f>
        <v/>
      </c>
      <c r="O1213" s="64" t="str">
        <f>Ringkasan!O1212</f>
        <v/>
      </c>
      <c r="P1213" s="64" t="str">
        <f>Ringkasan!P1212</f>
        <v/>
      </c>
      <c r="Q1213" s="64" t="str">
        <f>Ringkasan!Q1212</f>
        <v/>
      </c>
      <c r="R1213" s="64" t="str">
        <f>Ringkasan!R1212</f>
        <v/>
      </c>
      <c r="S1213" s="64" t="str">
        <f>Ringkasan!S1212</f>
        <v/>
      </c>
      <c r="T1213" s="64" t="str">
        <f>Ringkasan!T1212</f>
        <v/>
      </c>
      <c r="U1213" s="64">
        <f>Ringkasan!U1212</f>
        <v>8350</v>
      </c>
      <c r="V1213" s="64">
        <f>Ringkasan!V1212</f>
        <v>1.8</v>
      </c>
      <c r="W1213" s="64">
        <f>Ringkasan!W1212</f>
        <v>8100</v>
      </c>
      <c r="X1213" s="64">
        <f>Ringkasan!X1212</f>
        <v>8600</v>
      </c>
      <c r="Y1213" s="64">
        <f>Ringkasan!Y1212</f>
        <v>8100</v>
      </c>
      <c r="Z1213" s="64">
        <f>Ringkasan!Z1212</f>
        <v>132400</v>
      </c>
      <c r="AA1213" s="64" t="str">
        <f>Ringkasan!AA1212</f>
        <v>Household Goods</v>
      </c>
      <c r="AB1213" s="64" t="str">
        <f>Ringkasan!AB1212</f>
        <v>Consumer Cyclicals</v>
      </c>
    </row>
    <row r="1214" hidden="1">
      <c r="A1214" s="64" t="str">
        <f>Ringkasan!A1213</f>
        <v>MGNA</v>
      </c>
      <c r="B1214" s="64" t="str">
        <f>Ringkasan!B1213</f>
        <v>PT Magna Investama Mandiri Tbk</v>
      </c>
      <c r="C1214" s="65">
        <f>Ringkasan!C1213</f>
        <v>77</v>
      </c>
      <c r="D1214" s="64" t="str">
        <f>Ringkasan!D1213</f>
        <v>#N/A</v>
      </c>
      <c r="E1214" s="64" t="str">
        <f>Ringkasan!E1213</f>
        <v/>
      </c>
      <c r="F1214" s="64" t="str">
        <f>Ringkasan!F1213</f>
        <v/>
      </c>
      <c r="G1214" s="64">
        <f>Ringkasan!G1213</f>
        <v>0</v>
      </c>
      <c r="H1214" s="19">
        <f>Ringkasan!H1213</f>
        <v>240</v>
      </c>
      <c r="I1214" s="19">
        <f>Ringkasan!I1213</f>
        <v>8.2</v>
      </c>
      <c r="J1214" s="19">
        <f>Ringkasan!J1213</f>
        <v>3.5</v>
      </c>
      <c r="K1214" s="19">
        <f>Ringkasan!K1213</f>
        <v>1.2</v>
      </c>
      <c r="L1214" s="19">
        <f>Ringkasan!L1213</f>
        <v>2</v>
      </c>
      <c r="M1214" s="19">
        <f>Ringkasan!M1213</f>
        <v>2.9</v>
      </c>
      <c r="N1214" s="64" t="str">
        <f>Ringkasan!N1213</f>
        <v/>
      </c>
      <c r="O1214" s="64" t="str">
        <f>Ringkasan!O1213</f>
        <v/>
      </c>
      <c r="P1214" s="64" t="str">
        <f>Ringkasan!P1213</f>
        <v/>
      </c>
      <c r="Q1214" s="64" t="str">
        <f>Ringkasan!Q1213</f>
        <v/>
      </c>
      <c r="R1214" s="64" t="str">
        <f>Ringkasan!R1213</f>
        <v/>
      </c>
      <c r="S1214" s="64" t="str">
        <f>Ringkasan!S1213</f>
        <v/>
      </c>
      <c r="T1214" s="64" t="str">
        <f>Ringkasan!T1213</f>
        <v/>
      </c>
      <c r="U1214" s="64">
        <f>Ringkasan!U1213</f>
        <v>73</v>
      </c>
      <c r="V1214" s="64">
        <f>Ringkasan!V1213</f>
        <v>5.48</v>
      </c>
      <c r="W1214" s="64">
        <f>Ringkasan!W1213</f>
        <v>73</v>
      </c>
      <c r="X1214" s="64">
        <f>Ringkasan!X1213</f>
        <v>79</v>
      </c>
      <c r="Y1214" s="64">
        <f>Ringkasan!Y1213</f>
        <v>73</v>
      </c>
      <c r="Z1214" s="64">
        <f>Ringkasan!Z1213</f>
        <v>920500</v>
      </c>
      <c r="AA1214" s="64" t="str">
        <f>Ringkasan!AA1213</f>
        <v>Holding &amp; Investment Companies</v>
      </c>
      <c r="AB1214" s="64" t="str">
        <f>Ringkasan!AB1213</f>
        <v>Financials</v>
      </c>
    </row>
    <row r="1215" hidden="1">
      <c r="A1215" s="64" t="str">
        <f>Ringkasan!A1214</f>
        <v>MGRO</v>
      </c>
      <c r="B1215" s="64" t="str">
        <f>Ringkasan!B1214</f>
        <v>Mahkota Group Tbk.</v>
      </c>
      <c r="C1215" s="65">
        <f>Ringkasan!C1214</f>
        <v>685</v>
      </c>
      <c r="D1215" s="64" t="str">
        <f>Ringkasan!D1214</f>
        <v>#N/A</v>
      </c>
      <c r="E1215" s="64" t="str">
        <f>Ringkasan!E1214</f>
        <v/>
      </c>
      <c r="F1215" s="64" t="str">
        <f>Ringkasan!F1214</f>
        <v/>
      </c>
      <c r="G1215" s="64">
        <f>Ringkasan!G1214</f>
        <v>0</v>
      </c>
      <c r="H1215" s="19">
        <f>Ringkasan!H1214</f>
        <v>-47.3</v>
      </c>
      <c r="I1215" s="19">
        <f>Ringkasan!I1214</f>
        <v>5.8</v>
      </c>
      <c r="J1215" s="19">
        <f>Ringkasan!J1214</f>
        <v>-12.2</v>
      </c>
      <c r="K1215" s="19">
        <f>Ringkasan!K1214</f>
        <v>-1.8</v>
      </c>
      <c r="L1215" s="19">
        <f>Ringkasan!L1214</f>
        <v>5.8</v>
      </c>
      <c r="M1215" s="19">
        <f>Ringkasan!M1214</f>
        <v>-3.1</v>
      </c>
      <c r="N1215" s="64" t="str">
        <f>Ringkasan!N1214</f>
        <v/>
      </c>
      <c r="O1215" s="64" t="str">
        <f>Ringkasan!O1214</f>
        <v/>
      </c>
      <c r="P1215" s="64" t="str">
        <f>Ringkasan!P1214</f>
        <v/>
      </c>
      <c r="Q1215" s="64" t="str">
        <f>Ringkasan!Q1214</f>
        <v/>
      </c>
      <c r="R1215" s="64" t="str">
        <f>Ringkasan!R1214</f>
        <v/>
      </c>
      <c r="S1215" s="64" t="str">
        <f>Ringkasan!S1214</f>
        <v/>
      </c>
      <c r="T1215" s="64" t="str">
        <f>Ringkasan!T1214</f>
        <v/>
      </c>
      <c r="U1215" s="64">
        <f>Ringkasan!U1214</f>
        <v>0.49</v>
      </c>
      <c r="V1215" s="64">
        <f>Ringkasan!V1214</f>
        <v>1.03</v>
      </c>
      <c r="W1215" s="64">
        <f>Ringkasan!W1214</f>
        <v>0.49</v>
      </c>
      <c r="X1215" s="64">
        <f>Ringkasan!X1214</f>
        <v>0.49</v>
      </c>
      <c r="Y1215" s="64">
        <f>Ringkasan!Y1214</f>
        <v>0.46</v>
      </c>
      <c r="Z1215" s="64">
        <f>Ringkasan!Z1214</f>
        <v>18814</v>
      </c>
      <c r="AA1215" s="64" t="str">
        <f>Ringkasan!AA1214</f>
        <v>Agricultural Products</v>
      </c>
      <c r="AB1215" s="64" t="str">
        <f>Ringkasan!AB1214</f>
        <v>Consumer Non-Cyclicals</v>
      </c>
    </row>
    <row r="1216" hidden="1">
      <c r="A1216" s="64" t="str">
        <f>Ringkasan!A1215</f>
        <v>MHKI</v>
      </c>
      <c r="B1216" s="64" t="str">
        <f>Ringkasan!B1215</f>
        <v>Multi Hanna Kreasindo Tbk.</v>
      </c>
      <c r="C1216" s="65">
        <f>Ringkasan!C1215</f>
        <v>121</v>
      </c>
      <c r="D1216" s="64" t="str">
        <f>Ringkasan!D1215</f>
        <v>#N/A</v>
      </c>
      <c r="E1216" s="64" t="str">
        <f>Ringkasan!E1215</f>
        <v/>
      </c>
      <c r="F1216" s="64" t="str">
        <f>Ringkasan!F1215</f>
        <v/>
      </c>
      <c r="G1216" s="64">
        <f>Ringkasan!G1215</f>
        <v>0</v>
      </c>
      <c r="H1216" s="19">
        <f>Ringkasan!H1215</f>
        <v>15</v>
      </c>
      <c r="I1216" s="19">
        <f>Ringkasan!I1215</f>
        <v>1</v>
      </c>
      <c r="J1216" s="19">
        <f>Ringkasan!J1215</f>
        <v>6.7</v>
      </c>
      <c r="K1216" s="19">
        <f>Ringkasan!K1215</f>
        <v>6.4</v>
      </c>
      <c r="L1216" s="19">
        <f>Ringkasan!L1215</f>
        <v>0.05</v>
      </c>
      <c r="M1216" s="19">
        <f>Ringkasan!M1215</f>
        <v>93.6</v>
      </c>
      <c r="N1216" s="64" t="str">
        <f>Ringkasan!N1215</f>
        <v/>
      </c>
      <c r="O1216" s="64" t="str">
        <f>Ringkasan!O1215</f>
        <v/>
      </c>
      <c r="P1216" s="64" t="str">
        <f>Ringkasan!P1215</f>
        <v/>
      </c>
      <c r="Q1216" s="64" t="str">
        <f>Ringkasan!Q1215</f>
        <v/>
      </c>
      <c r="R1216" s="64" t="str">
        <f>Ringkasan!R1215</f>
        <v/>
      </c>
      <c r="S1216" s="64" t="str">
        <f>Ringkasan!S1215</f>
        <v/>
      </c>
      <c r="T1216" s="64" t="str">
        <f>Ringkasan!T1215</f>
        <v/>
      </c>
      <c r="U1216" s="64" t="str">
        <f>Ringkasan!U1215</f>
        <v/>
      </c>
      <c r="V1216" s="64">
        <f>Ringkasan!V1215</f>
        <v>1.68</v>
      </c>
      <c r="W1216" s="64">
        <f>Ringkasan!W1215</f>
        <v>119</v>
      </c>
      <c r="X1216" s="64">
        <f>Ringkasan!X1215</f>
        <v>128</v>
      </c>
      <c r="Y1216" s="64">
        <f>Ringkasan!Y1215</f>
        <v>119</v>
      </c>
      <c r="Z1216" s="64">
        <f>Ringkasan!Z1215</f>
        <v>6067000</v>
      </c>
      <c r="AA1216" s="64" t="str">
        <f>Ringkasan!AA1215</f>
        <v>Commercial Services</v>
      </c>
      <c r="AB1216" s="64" t="str">
        <f>Ringkasan!AB1215</f>
        <v>Industrials</v>
      </c>
    </row>
    <row r="1217" hidden="1">
      <c r="A1217" s="64" t="str">
        <f>Ringkasan!A1216</f>
        <v>MICE</v>
      </c>
      <c r="B1217" s="64" t="str">
        <f>Ringkasan!B1216</f>
        <v>Multi Indocitra Tbk</v>
      </c>
      <c r="C1217" s="65">
        <f>Ringkasan!C1216</f>
        <v>498</v>
      </c>
      <c r="D1217" s="64" t="str">
        <f>Ringkasan!D1216</f>
        <v>#N/A</v>
      </c>
      <c r="E1217" s="64" t="str">
        <f>Ringkasan!E1216</f>
        <v/>
      </c>
      <c r="F1217" s="64" t="str">
        <f>Ringkasan!F1216</f>
        <v/>
      </c>
      <c r="G1217" s="64">
        <f>Ringkasan!G1216</f>
        <v>0</v>
      </c>
      <c r="H1217" s="19">
        <f>Ringkasan!H1216</f>
        <v>7.5</v>
      </c>
      <c r="I1217" s="19">
        <f>Ringkasan!I1216</f>
        <v>0.31</v>
      </c>
      <c r="J1217" s="19">
        <f>Ringkasan!J1216</f>
        <v>4.2</v>
      </c>
      <c r="K1217" s="19">
        <f>Ringkasan!K1216</f>
        <v>2.7</v>
      </c>
      <c r="L1217" s="19">
        <f>Ringkasan!L1216</f>
        <v>0.53</v>
      </c>
      <c r="M1217" s="19">
        <f>Ringkasan!M1216</f>
        <v>12.3</v>
      </c>
      <c r="N1217" s="64" t="str">
        <f>Ringkasan!N1216</f>
        <v/>
      </c>
      <c r="O1217" s="64" t="str">
        <f>Ringkasan!O1216</f>
        <v/>
      </c>
      <c r="P1217" s="64" t="str">
        <f>Ringkasan!P1216</f>
        <v/>
      </c>
      <c r="Q1217" s="64" t="str">
        <f>Ringkasan!Q1216</f>
        <v/>
      </c>
      <c r="R1217" s="64" t="str">
        <f>Ringkasan!R1216</f>
        <v/>
      </c>
      <c r="S1217" s="64" t="str">
        <f>Ringkasan!S1216</f>
        <v/>
      </c>
      <c r="T1217" s="64" t="str">
        <f>Ringkasan!T1216</f>
        <v/>
      </c>
      <c r="U1217" s="64">
        <f>Ringkasan!U1216</f>
        <v>498</v>
      </c>
      <c r="V1217" s="64">
        <f>Ringkasan!V1216</f>
        <v>0</v>
      </c>
      <c r="W1217" s="64">
        <f>Ringkasan!W1216</f>
        <v>496</v>
      </c>
      <c r="X1217" s="64">
        <f>Ringkasan!X1216</f>
        <v>498</v>
      </c>
      <c r="Y1217" s="64">
        <f>Ringkasan!Y1216</f>
        <v>496</v>
      </c>
      <c r="Z1217" s="64">
        <f>Ringkasan!Z1216</f>
        <v>1800</v>
      </c>
      <c r="AA1217" s="64" t="str">
        <f>Ringkasan!AA1216</f>
        <v>Household Goods</v>
      </c>
      <c r="AB1217" s="64" t="str">
        <f>Ringkasan!AB1216</f>
        <v>Consumer Cyclicals</v>
      </c>
    </row>
    <row r="1218" hidden="1">
      <c r="A1218" s="64" t="str">
        <f>Ringkasan!A1217</f>
        <v>MIDI</v>
      </c>
      <c r="B1218" s="64" t="str">
        <f>Ringkasan!B1217</f>
        <v>Midi Utama Indonesia Tbk</v>
      </c>
      <c r="C1218" s="65">
        <f>Ringkasan!C1217</f>
        <v>300</v>
      </c>
      <c r="D1218" s="64" t="str">
        <f>Ringkasan!D1217</f>
        <v>#N/A</v>
      </c>
      <c r="E1218" s="64" t="str">
        <f>Ringkasan!E1217</f>
        <v>FTSE Micro Cap</v>
      </c>
      <c r="F1218" s="64" t="str">
        <f>Ringkasan!F1217</f>
        <v>4 Agustus 2026</v>
      </c>
      <c r="G1218" s="65">
        <f>Ringkasan!G1217</f>
        <v>2</v>
      </c>
      <c r="H1218" s="19">
        <f>Ringkasan!H1217</f>
        <v>10.6</v>
      </c>
      <c r="I1218" s="19">
        <f>Ringkasan!I1217</f>
        <v>1.9</v>
      </c>
      <c r="J1218" s="19">
        <f>Ringkasan!J1217</f>
        <v>18.1</v>
      </c>
      <c r="K1218" s="19">
        <f>Ringkasan!K1217</f>
        <v>9</v>
      </c>
      <c r="L1218" s="19">
        <f>Ringkasan!L1217</f>
        <v>1</v>
      </c>
      <c r="M1218" s="19">
        <f>Ringkasan!M1217</f>
        <v>14.8</v>
      </c>
      <c r="N1218" s="64" t="str">
        <f>Ringkasan!N1217</f>
        <v/>
      </c>
      <c r="O1218" s="64" t="str">
        <f>Ringkasan!O1217</f>
        <v/>
      </c>
      <c r="P1218" s="64" t="str">
        <f>Ringkasan!P1217</f>
        <v/>
      </c>
      <c r="Q1218" s="64" t="str">
        <f>Ringkasan!Q1217</f>
        <v/>
      </c>
      <c r="R1218" s="64" t="str">
        <f>Ringkasan!R1217</f>
        <v/>
      </c>
      <c r="S1218" s="64" t="str">
        <f>Ringkasan!S1217</f>
        <v/>
      </c>
      <c r="T1218" s="64" t="str">
        <f>Ringkasan!T1217</f>
        <v/>
      </c>
      <c r="U1218" s="64">
        <f>Ringkasan!U1217</f>
        <v>296</v>
      </c>
      <c r="V1218" s="64">
        <f>Ringkasan!V1217</f>
        <v>1.35</v>
      </c>
      <c r="W1218" s="64">
        <f>Ringkasan!W1217</f>
        <v>300</v>
      </c>
      <c r="X1218" s="64">
        <f>Ringkasan!X1217</f>
        <v>302</v>
      </c>
      <c r="Y1218" s="64">
        <f>Ringkasan!Y1217</f>
        <v>290</v>
      </c>
      <c r="Z1218" s="64">
        <f>Ringkasan!Z1217</f>
        <v>10713300</v>
      </c>
      <c r="AA1218" s="64" t="str">
        <f>Ringkasan!AA1217</f>
        <v>Food &amp; Staples Retailing</v>
      </c>
      <c r="AB1218" s="64" t="str">
        <f>Ringkasan!AB1217</f>
        <v>Consumer Non-Cyclicals</v>
      </c>
    </row>
    <row r="1219" hidden="1">
      <c r="A1219" s="64" t="str">
        <f>Ringkasan!A1218</f>
        <v>MIDI</v>
      </c>
      <c r="B1219" s="64" t="str">
        <f>Ringkasan!B1218</f>
        <v>Midi Utama Indonesia Tbk</v>
      </c>
      <c r="C1219" s="65">
        <f>Ringkasan!C1218</f>
        <v>300</v>
      </c>
      <c r="D1219" s="64" t="str">
        <f>Ringkasan!D1218</f>
        <v>#N/A</v>
      </c>
      <c r="E1219" s="64" t="str">
        <f>Ringkasan!E1218</f>
        <v>IDXSMC-LIQ</v>
      </c>
      <c r="F1219" s="64" t="str">
        <f>Ringkasan!F1218</f>
        <v>4 Agustus 2026</v>
      </c>
      <c r="G1219" s="64">
        <f>Ringkasan!G1218</f>
        <v>2</v>
      </c>
      <c r="H1219" s="19">
        <f>Ringkasan!H1218</f>
        <v>10.6</v>
      </c>
      <c r="I1219" s="19">
        <f>Ringkasan!I1218</f>
        <v>1.9</v>
      </c>
      <c r="J1219" s="19">
        <f>Ringkasan!J1218</f>
        <v>18.1</v>
      </c>
      <c r="K1219" s="19">
        <f>Ringkasan!K1218</f>
        <v>9</v>
      </c>
      <c r="L1219" s="19">
        <f>Ringkasan!L1218</f>
        <v>1</v>
      </c>
      <c r="M1219" s="19">
        <f>Ringkasan!M1218</f>
        <v>14.8</v>
      </c>
      <c r="N1219" s="64" t="str">
        <f>Ringkasan!N1218</f>
        <v/>
      </c>
      <c r="O1219" s="64" t="str">
        <f>Ringkasan!O1218</f>
        <v/>
      </c>
      <c r="P1219" s="64" t="str">
        <f>Ringkasan!P1218</f>
        <v/>
      </c>
      <c r="Q1219" s="64" t="str">
        <f>Ringkasan!Q1218</f>
        <v/>
      </c>
      <c r="R1219" s="64" t="str">
        <f>Ringkasan!R1218</f>
        <v/>
      </c>
      <c r="S1219" s="64" t="str">
        <f>Ringkasan!S1218</f>
        <v/>
      </c>
      <c r="T1219" s="64" t="str">
        <f>Ringkasan!T1218</f>
        <v/>
      </c>
      <c r="U1219" s="64">
        <f>Ringkasan!U1218</f>
        <v>296</v>
      </c>
      <c r="V1219" s="64">
        <f>Ringkasan!V1218</f>
        <v>1.35</v>
      </c>
      <c r="W1219" s="64">
        <f>Ringkasan!W1218</f>
        <v>300</v>
      </c>
      <c r="X1219" s="64">
        <f>Ringkasan!X1218</f>
        <v>302</v>
      </c>
      <c r="Y1219" s="64">
        <f>Ringkasan!Y1218</f>
        <v>290</v>
      </c>
      <c r="Z1219" s="64">
        <f>Ringkasan!Z1218</f>
        <v>10713300</v>
      </c>
      <c r="AA1219" s="64" t="str">
        <f>Ringkasan!AA1218</f>
        <v>Food &amp; Staples Retailing</v>
      </c>
      <c r="AB1219" s="64" t="str">
        <f>Ringkasan!AB1218</f>
        <v>Consumer Non-Cyclicals</v>
      </c>
    </row>
    <row r="1220" hidden="1">
      <c r="A1220" s="64" t="str">
        <f>Ringkasan!A1219</f>
        <v>MIKA</v>
      </c>
      <c r="B1220" s="64" t="str">
        <f>Ringkasan!B1219</f>
        <v>PT Mitra Keluarga Karyasehat Tbk.</v>
      </c>
      <c r="C1220" s="65">
        <f>Ringkasan!C1219</f>
        <v>1530</v>
      </c>
      <c r="D1220" s="64" t="str">
        <f>Ringkasan!D1219</f>
        <v>#N/A</v>
      </c>
      <c r="E1220" s="64" t="str">
        <f>Ringkasan!E1219</f>
        <v>IDXQ30</v>
      </c>
      <c r="F1220" s="64" t="str">
        <f>Ringkasan!F1219</f>
        <v>4 Agustus 2026</v>
      </c>
      <c r="G1220" s="64">
        <f>Ringkasan!G1219</f>
        <v>10</v>
      </c>
      <c r="H1220" s="19">
        <f>Ringkasan!H1219</f>
        <v>16.3</v>
      </c>
      <c r="I1220" s="19">
        <f>Ringkasan!I1219</f>
        <v>2.7</v>
      </c>
      <c r="J1220" s="19">
        <f>Ringkasan!J1219</f>
        <v>16.2</v>
      </c>
      <c r="K1220" s="19">
        <f>Ringkasan!K1219</f>
        <v>14.3</v>
      </c>
      <c r="L1220" s="19">
        <f>Ringkasan!L1219</f>
        <v>0.13</v>
      </c>
      <c r="M1220" s="19">
        <f>Ringkasan!M1219</f>
        <v>100</v>
      </c>
      <c r="N1220" s="64" t="str">
        <f>Ringkasan!N1219</f>
        <v/>
      </c>
      <c r="O1220" s="64" t="str">
        <f>Ringkasan!O1219</f>
        <v/>
      </c>
      <c r="P1220" s="64" t="str">
        <f>Ringkasan!P1219</f>
        <v/>
      </c>
      <c r="Q1220" s="64" t="str">
        <f>Ringkasan!Q1219</f>
        <v/>
      </c>
      <c r="R1220" s="64" t="str">
        <f>Ringkasan!R1219</f>
        <v/>
      </c>
      <c r="S1220" s="64" t="str">
        <f>Ringkasan!S1219</f>
        <v/>
      </c>
      <c r="T1220" s="64" t="str">
        <f>Ringkasan!T1219</f>
        <v/>
      </c>
      <c r="U1220" s="64">
        <f>Ringkasan!U1219</f>
        <v>1500</v>
      </c>
      <c r="V1220" s="64">
        <f>Ringkasan!V1219</f>
        <v>2</v>
      </c>
      <c r="W1220" s="64">
        <f>Ringkasan!W1219</f>
        <v>1500</v>
      </c>
      <c r="X1220" s="64">
        <f>Ringkasan!X1219</f>
        <v>1570</v>
      </c>
      <c r="Y1220" s="64">
        <f>Ringkasan!Y1219</f>
        <v>1500</v>
      </c>
      <c r="Z1220" s="64">
        <f>Ringkasan!Z1219</f>
        <v>3752200</v>
      </c>
      <c r="AA1220" s="64" t="str">
        <f>Ringkasan!AA1219</f>
        <v>Healthcare Providers</v>
      </c>
      <c r="AB1220" s="64" t="str">
        <f>Ringkasan!AB1219</f>
        <v>Healthcare</v>
      </c>
    </row>
    <row r="1221" hidden="1">
      <c r="A1221" s="64" t="str">
        <f>Ringkasan!A1220</f>
        <v>MIKA</v>
      </c>
      <c r="B1221" s="64" t="str">
        <f>Ringkasan!B1220</f>
        <v>PT Mitra Keluarga Karyasehat Tbk.</v>
      </c>
      <c r="C1221" s="65">
        <f>Ringkasan!C1220</f>
        <v>1530</v>
      </c>
      <c r="D1221" s="64" t="str">
        <f>Ringkasan!D1220</f>
        <v>#N/A</v>
      </c>
      <c r="E1221" s="64" t="str">
        <f>Ringkasan!E1220</f>
        <v>Kompas100</v>
      </c>
      <c r="F1221" s="64" t="str">
        <f>Ringkasan!F1220</f>
        <v>31 Juli 2026</v>
      </c>
      <c r="G1221" s="64">
        <f>Ringkasan!G1220</f>
        <v>10</v>
      </c>
      <c r="H1221" s="19">
        <f>Ringkasan!H1220</f>
        <v>16.3</v>
      </c>
      <c r="I1221" s="19">
        <f>Ringkasan!I1220</f>
        <v>2.7</v>
      </c>
      <c r="J1221" s="19">
        <f>Ringkasan!J1220</f>
        <v>16.2</v>
      </c>
      <c r="K1221" s="19">
        <f>Ringkasan!K1220</f>
        <v>14.3</v>
      </c>
      <c r="L1221" s="19">
        <f>Ringkasan!L1220</f>
        <v>0.13</v>
      </c>
      <c r="M1221" s="19">
        <f>Ringkasan!M1220</f>
        <v>100</v>
      </c>
      <c r="N1221" s="64" t="str">
        <f>Ringkasan!N1220</f>
        <v/>
      </c>
      <c r="O1221" s="64" t="str">
        <f>Ringkasan!O1220</f>
        <v/>
      </c>
      <c r="P1221" s="64" t="str">
        <f>Ringkasan!P1220</f>
        <v/>
      </c>
      <c r="Q1221" s="64" t="str">
        <f>Ringkasan!Q1220</f>
        <v/>
      </c>
      <c r="R1221" s="64" t="str">
        <f>Ringkasan!R1220</f>
        <v/>
      </c>
      <c r="S1221" s="64" t="str">
        <f>Ringkasan!S1220</f>
        <v/>
      </c>
      <c r="T1221" s="64" t="str">
        <f>Ringkasan!T1220</f>
        <v/>
      </c>
      <c r="U1221" s="64">
        <f>Ringkasan!U1220</f>
        <v>1500</v>
      </c>
      <c r="V1221" s="64">
        <f>Ringkasan!V1220</f>
        <v>2</v>
      </c>
      <c r="W1221" s="64">
        <f>Ringkasan!W1220</f>
        <v>1500</v>
      </c>
      <c r="X1221" s="64">
        <f>Ringkasan!X1220</f>
        <v>1570</v>
      </c>
      <c r="Y1221" s="64">
        <f>Ringkasan!Y1220</f>
        <v>1500</v>
      </c>
      <c r="Z1221" s="64">
        <f>Ringkasan!Z1220</f>
        <v>3752200</v>
      </c>
      <c r="AA1221" s="64" t="str">
        <f>Ringkasan!AA1220</f>
        <v>Healthcare Providers</v>
      </c>
      <c r="AB1221" s="64" t="str">
        <f>Ringkasan!AB1220</f>
        <v>Healthcare</v>
      </c>
    </row>
    <row r="1222" hidden="1">
      <c r="A1222" s="64" t="str">
        <f>Ringkasan!A1221</f>
        <v>MIKA</v>
      </c>
      <c r="B1222" s="64" t="str">
        <f>Ringkasan!B1221</f>
        <v>PT Mitra Keluarga Karyasehat Tbk.</v>
      </c>
      <c r="C1222" s="65">
        <f>Ringkasan!C1221</f>
        <v>1530</v>
      </c>
      <c r="D1222" s="64" t="str">
        <f>Ringkasan!D1221</f>
        <v>#N/A</v>
      </c>
      <c r="E1222" s="64" t="str">
        <f>Ringkasan!E1221</f>
        <v>IDXVESTA28</v>
      </c>
      <c r="F1222" s="64" t="str">
        <f>Ringkasan!F1221</f>
        <v>31 Agustus 2026</v>
      </c>
      <c r="G1222" s="64">
        <f>Ringkasan!G1221</f>
        <v>10</v>
      </c>
      <c r="H1222" s="19">
        <f>Ringkasan!H1221</f>
        <v>16.3</v>
      </c>
      <c r="I1222" s="19">
        <f>Ringkasan!I1221</f>
        <v>2.7</v>
      </c>
      <c r="J1222" s="19">
        <f>Ringkasan!J1221</f>
        <v>16.2</v>
      </c>
      <c r="K1222" s="19">
        <f>Ringkasan!K1221</f>
        <v>14.3</v>
      </c>
      <c r="L1222" s="19">
        <f>Ringkasan!L1221</f>
        <v>0.13</v>
      </c>
      <c r="M1222" s="19">
        <f>Ringkasan!M1221</f>
        <v>100</v>
      </c>
      <c r="N1222" s="64" t="str">
        <f>Ringkasan!N1221</f>
        <v/>
      </c>
      <c r="O1222" s="64" t="str">
        <f>Ringkasan!O1221</f>
        <v/>
      </c>
      <c r="P1222" s="64" t="str">
        <f>Ringkasan!P1221</f>
        <v/>
      </c>
      <c r="Q1222" s="64" t="str">
        <f>Ringkasan!Q1221</f>
        <v/>
      </c>
      <c r="R1222" s="64" t="str">
        <f>Ringkasan!R1221</f>
        <v/>
      </c>
      <c r="S1222" s="64" t="str">
        <f>Ringkasan!S1221</f>
        <v/>
      </c>
      <c r="T1222" s="64" t="str">
        <f>Ringkasan!T1221</f>
        <v/>
      </c>
      <c r="U1222" s="64">
        <f>Ringkasan!U1221</f>
        <v>1500</v>
      </c>
      <c r="V1222" s="64">
        <f>Ringkasan!V1221</f>
        <v>2</v>
      </c>
      <c r="W1222" s="64">
        <f>Ringkasan!W1221</f>
        <v>1500</v>
      </c>
      <c r="X1222" s="64">
        <f>Ringkasan!X1221</f>
        <v>1570</v>
      </c>
      <c r="Y1222" s="64">
        <f>Ringkasan!Y1221</f>
        <v>1500</v>
      </c>
      <c r="Z1222" s="64">
        <f>Ringkasan!Z1221</f>
        <v>3752200</v>
      </c>
      <c r="AA1222" s="64" t="str">
        <f>Ringkasan!AA1221</f>
        <v>Healthcare Providers</v>
      </c>
      <c r="AB1222" s="64" t="str">
        <f>Ringkasan!AB1221</f>
        <v>Healthcare</v>
      </c>
    </row>
    <row r="1223" hidden="1">
      <c r="A1223" s="64" t="str">
        <f>Ringkasan!A1222</f>
        <v>MIKA</v>
      </c>
      <c r="B1223" s="64" t="str">
        <f>Ringkasan!B1222</f>
        <v>PT Mitra Keluarga Karyasehat Tbk.</v>
      </c>
      <c r="C1223" s="65">
        <f>Ringkasan!C1222</f>
        <v>1530</v>
      </c>
      <c r="D1223" s="64" t="str">
        <f>Ringkasan!D1222</f>
        <v>#N/A</v>
      </c>
      <c r="E1223" s="64" t="str">
        <f>Ringkasan!E1222</f>
        <v>MNC36</v>
      </c>
      <c r="F1223" s="64" t="str">
        <f>Ringkasan!F1222</f>
        <v>30 Oktober 2026</v>
      </c>
      <c r="G1223" s="64">
        <f>Ringkasan!G1222</f>
        <v>10</v>
      </c>
      <c r="H1223" s="19">
        <f>Ringkasan!H1222</f>
        <v>16.3</v>
      </c>
      <c r="I1223" s="19">
        <f>Ringkasan!I1222</f>
        <v>2.7</v>
      </c>
      <c r="J1223" s="19">
        <f>Ringkasan!J1222</f>
        <v>16.2</v>
      </c>
      <c r="K1223" s="19">
        <f>Ringkasan!K1222</f>
        <v>14.3</v>
      </c>
      <c r="L1223" s="19">
        <f>Ringkasan!L1222</f>
        <v>0.13</v>
      </c>
      <c r="M1223" s="19">
        <f>Ringkasan!M1222</f>
        <v>100</v>
      </c>
      <c r="N1223" s="64" t="str">
        <f>Ringkasan!N1222</f>
        <v/>
      </c>
      <c r="O1223" s="64" t="str">
        <f>Ringkasan!O1222</f>
        <v/>
      </c>
      <c r="P1223" s="64" t="str">
        <f>Ringkasan!P1222</f>
        <v/>
      </c>
      <c r="Q1223" s="64" t="str">
        <f>Ringkasan!Q1222</f>
        <v/>
      </c>
      <c r="R1223" s="64" t="str">
        <f>Ringkasan!R1222</f>
        <v/>
      </c>
      <c r="S1223" s="64" t="str">
        <f>Ringkasan!S1222</f>
        <v/>
      </c>
      <c r="T1223" s="64" t="str">
        <f>Ringkasan!T1222</f>
        <v/>
      </c>
      <c r="U1223" s="64">
        <f>Ringkasan!U1222</f>
        <v>1500</v>
      </c>
      <c r="V1223" s="64">
        <f>Ringkasan!V1222</f>
        <v>2</v>
      </c>
      <c r="W1223" s="64">
        <f>Ringkasan!W1222</f>
        <v>1500</v>
      </c>
      <c r="X1223" s="64">
        <f>Ringkasan!X1222</f>
        <v>1570</v>
      </c>
      <c r="Y1223" s="64">
        <f>Ringkasan!Y1222</f>
        <v>1500</v>
      </c>
      <c r="Z1223" s="64">
        <f>Ringkasan!Z1222</f>
        <v>3752200</v>
      </c>
      <c r="AA1223" s="64" t="str">
        <f>Ringkasan!AA1222</f>
        <v>Healthcare Providers</v>
      </c>
      <c r="AB1223" s="64" t="str">
        <f>Ringkasan!AB1222</f>
        <v>Healthcare</v>
      </c>
    </row>
    <row r="1224" hidden="1">
      <c r="A1224" s="64" t="str">
        <f>Ringkasan!A1223</f>
        <v>MIKA</v>
      </c>
      <c r="B1224" s="64" t="str">
        <f>Ringkasan!B1223</f>
        <v>PT Mitra Keluarga Karyasehat Tbk.</v>
      </c>
      <c r="C1224" s="65">
        <f>Ringkasan!C1223</f>
        <v>1530</v>
      </c>
      <c r="D1224" s="64" t="str">
        <f>Ringkasan!D1223</f>
        <v>#N/A</v>
      </c>
      <c r="E1224" s="64" t="str">
        <f>Ringkasan!E1223</f>
        <v>IDX80</v>
      </c>
      <c r="F1224" s="64" t="str">
        <f>Ringkasan!F1223</f>
        <v>31 Juli 2026</v>
      </c>
      <c r="G1224" s="64">
        <f>Ringkasan!G1223</f>
        <v>10</v>
      </c>
      <c r="H1224" s="19">
        <f>Ringkasan!H1223</f>
        <v>16.3</v>
      </c>
      <c r="I1224" s="19">
        <f>Ringkasan!I1223</f>
        <v>2.7</v>
      </c>
      <c r="J1224" s="19">
        <f>Ringkasan!J1223</f>
        <v>16.2</v>
      </c>
      <c r="K1224" s="19">
        <f>Ringkasan!K1223</f>
        <v>14.3</v>
      </c>
      <c r="L1224" s="19">
        <f>Ringkasan!L1223</f>
        <v>0.13</v>
      </c>
      <c r="M1224" s="19">
        <f>Ringkasan!M1223</f>
        <v>100</v>
      </c>
      <c r="N1224" s="64" t="str">
        <f>Ringkasan!N1223</f>
        <v/>
      </c>
      <c r="O1224" s="64" t="str">
        <f>Ringkasan!O1223</f>
        <v/>
      </c>
      <c r="P1224" s="64" t="str">
        <f>Ringkasan!P1223</f>
        <v/>
      </c>
      <c r="Q1224" s="64" t="str">
        <f>Ringkasan!Q1223</f>
        <v/>
      </c>
      <c r="R1224" s="64" t="str">
        <f>Ringkasan!R1223</f>
        <v/>
      </c>
      <c r="S1224" s="64" t="str">
        <f>Ringkasan!S1223</f>
        <v/>
      </c>
      <c r="T1224" s="64" t="str">
        <f>Ringkasan!T1223</f>
        <v/>
      </c>
      <c r="U1224" s="64">
        <f>Ringkasan!U1223</f>
        <v>1500</v>
      </c>
      <c r="V1224" s="64">
        <f>Ringkasan!V1223</f>
        <v>2</v>
      </c>
      <c r="W1224" s="64">
        <f>Ringkasan!W1223</f>
        <v>1500</v>
      </c>
      <c r="X1224" s="64">
        <f>Ringkasan!X1223</f>
        <v>1570</v>
      </c>
      <c r="Y1224" s="64">
        <f>Ringkasan!Y1223</f>
        <v>1500</v>
      </c>
      <c r="Z1224" s="64">
        <f>Ringkasan!Z1223</f>
        <v>3752200</v>
      </c>
      <c r="AA1224" s="64" t="str">
        <f>Ringkasan!AA1223</f>
        <v>Healthcare Providers</v>
      </c>
      <c r="AB1224" s="64" t="str">
        <f>Ringkasan!AB1223</f>
        <v>Healthcare</v>
      </c>
    </row>
    <row r="1225" hidden="1">
      <c r="A1225" s="64" t="str">
        <f>Ringkasan!A1224</f>
        <v>MIKA</v>
      </c>
      <c r="B1225" s="64" t="str">
        <f>Ringkasan!B1224</f>
        <v>PT Mitra Keluarga Karyasehat Tbk.</v>
      </c>
      <c r="C1225" s="65">
        <f>Ringkasan!C1224</f>
        <v>1530</v>
      </c>
      <c r="D1225" s="64" t="str">
        <f>Ringkasan!D1224</f>
        <v>#N/A</v>
      </c>
      <c r="E1225" s="64" t="str">
        <f>Ringkasan!E1224</f>
        <v>BISNIS-27</v>
      </c>
      <c r="F1225" s="64" t="str">
        <f>Ringkasan!F1224</f>
        <v>30 Oktober 2026</v>
      </c>
      <c r="G1225" s="64">
        <f>Ringkasan!G1224</f>
        <v>10</v>
      </c>
      <c r="H1225" s="19">
        <f>Ringkasan!H1224</f>
        <v>16.3</v>
      </c>
      <c r="I1225" s="19">
        <f>Ringkasan!I1224</f>
        <v>2.7</v>
      </c>
      <c r="J1225" s="19">
        <f>Ringkasan!J1224</f>
        <v>16.2</v>
      </c>
      <c r="K1225" s="19">
        <f>Ringkasan!K1224</f>
        <v>14.3</v>
      </c>
      <c r="L1225" s="19">
        <f>Ringkasan!L1224</f>
        <v>0.13</v>
      </c>
      <c r="M1225" s="19">
        <f>Ringkasan!M1224</f>
        <v>100</v>
      </c>
      <c r="N1225" s="64" t="str">
        <f>Ringkasan!N1224</f>
        <v/>
      </c>
      <c r="O1225" s="64" t="str">
        <f>Ringkasan!O1224</f>
        <v/>
      </c>
      <c r="P1225" s="64" t="str">
        <f>Ringkasan!P1224</f>
        <v/>
      </c>
      <c r="Q1225" s="64" t="str">
        <f>Ringkasan!Q1224</f>
        <v/>
      </c>
      <c r="R1225" s="64" t="str">
        <f>Ringkasan!R1224</f>
        <v/>
      </c>
      <c r="S1225" s="64" t="str">
        <f>Ringkasan!S1224</f>
        <v/>
      </c>
      <c r="T1225" s="64" t="str">
        <f>Ringkasan!T1224</f>
        <v/>
      </c>
      <c r="U1225" s="64">
        <f>Ringkasan!U1224</f>
        <v>1500</v>
      </c>
      <c r="V1225" s="64">
        <f>Ringkasan!V1224</f>
        <v>2</v>
      </c>
      <c r="W1225" s="64">
        <f>Ringkasan!W1224</f>
        <v>1500</v>
      </c>
      <c r="X1225" s="64">
        <f>Ringkasan!X1224</f>
        <v>1570</v>
      </c>
      <c r="Y1225" s="64">
        <f>Ringkasan!Y1224</f>
        <v>1500</v>
      </c>
      <c r="Z1225" s="64">
        <f>Ringkasan!Z1224</f>
        <v>3752200</v>
      </c>
      <c r="AA1225" s="64" t="str">
        <f>Ringkasan!AA1224</f>
        <v>Healthcare Providers</v>
      </c>
      <c r="AB1225" s="64" t="str">
        <f>Ringkasan!AB1224</f>
        <v>Healthcare</v>
      </c>
    </row>
    <row r="1226" hidden="1">
      <c r="A1226" s="64" t="str">
        <f>Ringkasan!A1225</f>
        <v>MIKA</v>
      </c>
      <c r="B1226" s="64" t="str">
        <f>Ringkasan!B1225</f>
        <v>PT Mitra Keluarga Karyasehat Tbk.</v>
      </c>
      <c r="C1226" s="65">
        <f>Ringkasan!C1225</f>
        <v>1530</v>
      </c>
      <c r="D1226" s="64" t="str">
        <f>Ringkasan!D1225</f>
        <v>#N/A</v>
      </c>
      <c r="E1226" s="64" t="str">
        <f>Ringkasan!E1225</f>
        <v>IDXESGL</v>
      </c>
      <c r="F1226" s="64" t="str">
        <f>Ringkasan!F1225</f>
        <v>30 Oktober 2026</v>
      </c>
      <c r="G1226" s="64">
        <f>Ringkasan!G1225</f>
        <v>10</v>
      </c>
      <c r="H1226" s="19">
        <f>Ringkasan!H1225</f>
        <v>16.3</v>
      </c>
      <c r="I1226" s="19">
        <f>Ringkasan!I1225</f>
        <v>2.7</v>
      </c>
      <c r="J1226" s="19">
        <f>Ringkasan!J1225</f>
        <v>16.2</v>
      </c>
      <c r="K1226" s="19">
        <f>Ringkasan!K1225</f>
        <v>14.3</v>
      </c>
      <c r="L1226" s="19">
        <f>Ringkasan!L1225</f>
        <v>0.13</v>
      </c>
      <c r="M1226" s="19">
        <f>Ringkasan!M1225</f>
        <v>100</v>
      </c>
      <c r="N1226" s="64" t="str">
        <f>Ringkasan!N1225</f>
        <v/>
      </c>
      <c r="O1226" s="64" t="str">
        <f>Ringkasan!O1225</f>
        <v/>
      </c>
      <c r="P1226" s="64" t="str">
        <f>Ringkasan!P1225</f>
        <v/>
      </c>
      <c r="Q1226" s="64" t="str">
        <f>Ringkasan!Q1225</f>
        <v/>
      </c>
      <c r="R1226" s="64" t="str">
        <f>Ringkasan!R1225</f>
        <v/>
      </c>
      <c r="S1226" s="64" t="str">
        <f>Ringkasan!S1225</f>
        <v/>
      </c>
      <c r="T1226" s="64" t="str">
        <f>Ringkasan!T1225</f>
        <v/>
      </c>
      <c r="U1226" s="64">
        <f>Ringkasan!U1225</f>
        <v>1500</v>
      </c>
      <c r="V1226" s="64">
        <f>Ringkasan!V1225</f>
        <v>2</v>
      </c>
      <c r="W1226" s="64">
        <f>Ringkasan!W1225</f>
        <v>1500</v>
      </c>
      <c r="X1226" s="64">
        <f>Ringkasan!X1225</f>
        <v>1570</v>
      </c>
      <c r="Y1226" s="64">
        <f>Ringkasan!Y1225</f>
        <v>1500</v>
      </c>
      <c r="Z1226" s="64">
        <f>Ringkasan!Z1225</f>
        <v>3752200</v>
      </c>
      <c r="AA1226" s="64" t="str">
        <f>Ringkasan!AA1225</f>
        <v>Healthcare Providers</v>
      </c>
      <c r="AB1226" s="64" t="str">
        <f>Ringkasan!AB1225</f>
        <v>Healthcare</v>
      </c>
    </row>
    <row r="1227" hidden="1">
      <c r="A1227" s="64" t="str">
        <f>Ringkasan!A1226</f>
        <v>MIKA</v>
      </c>
      <c r="B1227" s="64" t="str">
        <f>Ringkasan!B1226</f>
        <v>PT Mitra Keluarga Karyasehat Tbk.</v>
      </c>
      <c r="C1227" s="65">
        <f>Ringkasan!C1226</f>
        <v>1530</v>
      </c>
      <c r="D1227" s="64" t="str">
        <f>Ringkasan!D1226</f>
        <v>#N/A</v>
      </c>
      <c r="E1227" s="64" t="str">
        <f>Ringkasan!E1226</f>
        <v>IDXSMC-LIQ</v>
      </c>
      <c r="F1227" s="64" t="str">
        <f>Ringkasan!F1226</f>
        <v>4 Agustus 2026</v>
      </c>
      <c r="G1227" s="64">
        <f>Ringkasan!G1226</f>
        <v>10</v>
      </c>
      <c r="H1227" s="19">
        <f>Ringkasan!H1226</f>
        <v>16.3</v>
      </c>
      <c r="I1227" s="19">
        <f>Ringkasan!I1226</f>
        <v>2.7</v>
      </c>
      <c r="J1227" s="19">
        <f>Ringkasan!J1226</f>
        <v>16.2</v>
      </c>
      <c r="K1227" s="19">
        <f>Ringkasan!K1226</f>
        <v>14.3</v>
      </c>
      <c r="L1227" s="19">
        <f>Ringkasan!L1226</f>
        <v>0.13</v>
      </c>
      <c r="M1227" s="19">
        <f>Ringkasan!M1226</f>
        <v>100</v>
      </c>
      <c r="N1227" s="64" t="str">
        <f>Ringkasan!N1226</f>
        <v/>
      </c>
      <c r="O1227" s="64" t="str">
        <f>Ringkasan!O1226</f>
        <v/>
      </c>
      <c r="P1227" s="64" t="str">
        <f>Ringkasan!P1226</f>
        <v/>
      </c>
      <c r="Q1227" s="64" t="str">
        <f>Ringkasan!Q1226</f>
        <v/>
      </c>
      <c r="R1227" s="64" t="str">
        <f>Ringkasan!R1226</f>
        <v/>
      </c>
      <c r="S1227" s="64" t="str">
        <f>Ringkasan!S1226</f>
        <v/>
      </c>
      <c r="T1227" s="64" t="str">
        <f>Ringkasan!T1226</f>
        <v/>
      </c>
      <c r="U1227" s="64">
        <f>Ringkasan!U1226</f>
        <v>1500</v>
      </c>
      <c r="V1227" s="64">
        <f>Ringkasan!V1226</f>
        <v>2</v>
      </c>
      <c r="W1227" s="64">
        <f>Ringkasan!W1226</f>
        <v>1500</v>
      </c>
      <c r="X1227" s="64">
        <f>Ringkasan!X1226</f>
        <v>1570</v>
      </c>
      <c r="Y1227" s="64">
        <f>Ringkasan!Y1226</f>
        <v>1500</v>
      </c>
      <c r="Z1227" s="64">
        <f>Ringkasan!Z1226</f>
        <v>3752200</v>
      </c>
      <c r="AA1227" s="64" t="str">
        <f>Ringkasan!AA1226</f>
        <v>Healthcare Providers</v>
      </c>
      <c r="AB1227" s="64" t="str">
        <f>Ringkasan!AB1226</f>
        <v>Healthcare</v>
      </c>
    </row>
    <row r="1228" hidden="1">
      <c r="A1228" s="64" t="str">
        <f>Ringkasan!A1227</f>
        <v>MIKA</v>
      </c>
      <c r="B1228" s="64" t="str">
        <f>Ringkasan!B1227</f>
        <v>PT Mitra Keluarga Karyasehat Tbk.</v>
      </c>
      <c r="C1228" s="65">
        <f>Ringkasan!C1227</f>
        <v>1530</v>
      </c>
      <c r="D1228" s="64" t="str">
        <f>Ringkasan!D1227</f>
        <v>#N/A</v>
      </c>
      <c r="E1228" s="64" t="str">
        <f>Ringkasan!E1227</f>
        <v>SMINFRA18</v>
      </c>
      <c r="F1228" s="64" t="str">
        <f>Ringkasan!F1227</f>
        <v>30 Oktober 2026</v>
      </c>
      <c r="G1228" s="64">
        <f>Ringkasan!G1227</f>
        <v>10</v>
      </c>
      <c r="H1228" s="19">
        <f>Ringkasan!H1227</f>
        <v>16.3</v>
      </c>
      <c r="I1228" s="19">
        <f>Ringkasan!I1227</f>
        <v>2.7</v>
      </c>
      <c r="J1228" s="19">
        <f>Ringkasan!J1227</f>
        <v>16.2</v>
      </c>
      <c r="K1228" s="19">
        <f>Ringkasan!K1227</f>
        <v>14.3</v>
      </c>
      <c r="L1228" s="19">
        <f>Ringkasan!L1227</f>
        <v>0.13</v>
      </c>
      <c r="M1228" s="19">
        <f>Ringkasan!M1227</f>
        <v>100</v>
      </c>
      <c r="N1228" s="64" t="str">
        <f>Ringkasan!N1227</f>
        <v/>
      </c>
      <c r="O1228" s="64" t="str">
        <f>Ringkasan!O1227</f>
        <v/>
      </c>
      <c r="P1228" s="64" t="str">
        <f>Ringkasan!P1227</f>
        <v/>
      </c>
      <c r="Q1228" s="64" t="str">
        <f>Ringkasan!Q1227</f>
        <v/>
      </c>
      <c r="R1228" s="64" t="str">
        <f>Ringkasan!R1227</f>
        <v/>
      </c>
      <c r="S1228" s="64" t="str">
        <f>Ringkasan!S1227</f>
        <v/>
      </c>
      <c r="T1228" s="64" t="str">
        <f>Ringkasan!T1227</f>
        <v/>
      </c>
      <c r="U1228" s="64">
        <f>Ringkasan!U1227</f>
        <v>1500</v>
      </c>
      <c r="V1228" s="64">
        <f>Ringkasan!V1227</f>
        <v>2</v>
      </c>
      <c r="W1228" s="64">
        <f>Ringkasan!W1227</f>
        <v>1500</v>
      </c>
      <c r="X1228" s="64">
        <f>Ringkasan!X1227</f>
        <v>1570</v>
      </c>
      <c r="Y1228" s="64">
        <f>Ringkasan!Y1227</f>
        <v>1500</v>
      </c>
      <c r="Z1228" s="64">
        <f>Ringkasan!Z1227</f>
        <v>3752200</v>
      </c>
      <c r="AA1228" s="64" t="str">
        <f>Ringkasan!AA1227</f>
        <v>Healthcare Providers</v>
      </c>
      <c r="AB1228" s="64" t="str">
        <f>Ringkasan!AB1227</f>
        <v>Healthcare</v>
      </c>
    </row>
    <row r="1229" hidden="1">
      <c r="A1229" s="64" t="str">
        <f>Ringkasan!A1228</f>
        <v>MIKA</v>
      </c>
      <c r="B1229" s="64" t="str">
        <f>Ringkasan!B1228</f>
        <v>PT Mitra Keluarga Karyasehat Tbk.</v>
      </c>
      <c r="C1229" s="65">
        <f>Ringkasan!C1228</f>
        <v>1530</v>
      </c>
      <c r="D1229" s="64" t="str">
        <f>Ringkasan!D1228</f>
        <v>#N/A</v>
      </c>
      <c r="E1229" s="64" t="str">
        <f>Ringkasan!E1228</f>
        <v>JII70</v>
      </c>
      <c r="F1229" s="66">
        <f>Ringkasan!F1228</f>
        <v>46356</v>
      </c>
      <c r="G1229" s="64">
        <f>Ringkasan!G1228</f>
        <v>10</v>
      </c>
      <c r="H1229" s="19">
        <f>Ringkasan!H1228</f>
        <v>16.3</v>
      </c>
      <c r="I1229" s="19">
        <f>Ringkasan!I1228</f>
        <v>2.7</v>
      </c>
      <c r="J1229" s="19">
        <f>Ringkasan!J1228</f>
        <v>16.2</v>
      </c>
      <c r="K1229" s="19">
        <f>Ringkasan!K1228</f>
        <v>14.3</v>
      </c>
      <c r="L1229" s="19">
        <f>Ringkasan!L1228</f>
        <v>0.13</v>
      </c>
      <c r="M1229" s="19">
        <f>Ringkasan!M1228</f>
        <v>100</v>
      </c>
      <c r="N1229" s="64" t="str">
        <f>Ringkasan!N1228</f>
        <v/>
      </c>
      <c r="O1229" s="64" t="str">
        <f>Ringkasan!O1228</f>
        <v/>
      </c>
      <c r="P1229" s="64" t="str">
        <f>Ringkasan!P1228</f>
        <v/>
      </c>
      <c r="Q1229" s="64" t="str">
        <f>Ringkasan!Q1228</f>
        <v/>
      </c>
      <c r="R1229" s="64" t="str">
        <f>Ringkasan!R1228</f>
        <v/>
      </c>
      <c r="S1229" s="64" t="str">
        <f>Ringkasan!S1228</f>
        <v/>
      </c>
      <c r="T1229" s="64" t="str">
        <f>Ringkasan!T1228</f>
        <v/>
      </c>
      <c r="U1229" s="64">
        <f>Ringkasan!U1228</f>
        <v>1500</v>
      </c>
      <c r="V1229" s="64">
        <f>Ringkasan!V1228</f>
        <v>2</v>
      </c>
      <c r="W1229" s="64">
        <f>Ringkasan!W1228</f>
        <v>1500</v>
      </c>
      <c r="X1229" s="64">
        <f>Ringkasan!X1228</f>
        <v>1570</v>
      </c>
      <c r="Y1229" s="64">
        <f>Ringkasan!Y1228</f>
        <v>1500</v>
      </c>
      <c r="Z1229" s="64">
        <f>Ringkasan!Z1228</f>
        <v>3752200</v>
      </c>
      <c r="AA1229" s="64" t="str">
        <f>Ringkasan!AA1228</f>
        <v>Healthcare Providers</v>
      </c>
      <c r="AB1229" s="64" t="str">
        <f>Ringkasan!AB1228</f>
        <v>Healthcare</v>
      </c>
    </row>
    <row r="1230" hidden="1">
      <c r="A1230" s="64" t="str">
        <f>Ringkasan!A1229</f>
        <v>MINA</v>
      </c>
      <c r="B1230" s="64" t="str">
        <f>Ringkasan!B1229</f>
        <v>Sanurhasta Mitra Tbk.</v>
      </c>
      <c r="C1230" s="65">
        <f>Ringkasan!C1229</f>
        <v>288</v>
      </c>
      <c r="D1230" s="64" t="str">
        <f>Ringkasan!D1229</f>
        <v>#N/A</v>
      </c>
      <c r="E1230" s="64" t="str">
        <f>Ringkasan!E1229</f>
        <v/>
      </c>
      <c r="F1230" s="64" t="str">
        <f>Ringkasan!F1229</f>
        <v/>
      </c>
      <c r="G1230" s="64">
        <f>Ringkasan!G1229</f>
        <v>0</v>
      </c>
      <c r="H1230" s="19">
        <f>Ringkasan!H1229</f>
        <v>-2030</v>
      </c>
      <c r="I1230" s="19">
        <f>Ringkasan!I1229</f>
        <v>13.2</v>
      </c>
      <c r="J1230" s="19">
        <f>Ringkasan!J1229</f>
        <v>-0.65</v>
      </c>
      <c r="K1230" s="19">
        <f>Ringkasan!K1229</f>
        <v>-0.64</v>
      </c>
      <c r="L1230" s="19">
        <f>Ringkasan!L1229</f>
        <v>0.01</v>
      </c>
      <c r="M1230" s="19">
        <f>Ringkasan!M1229</f>
        <v>-86.9</v>
      </c>
      <c r="N1230" s="64" t="str">
        <f>Ringkasan!N1229</f>
        <v/>
      </c>
      <c r="O1230" s="64" t="str">
        <f>Ringkasan!O1229</f>
        <v/>
      </c>
      <c r="P1230" s="64" t="str">
        <f>Ringkasan!P1229</f>
        <v/>
      </c>
      <c r="Q1230" s="64" t="str">
        <f>Ringkasan!Q1229</f>
        <v/>
      </c>
      <c r="R1230" s="64" t="str">
        <f>Ringkasan!R1229</f>
        <v/>
      </c>
      <c r="S1230" s="64" t="str">
        <f>Ringkasan!S1229</f>
        <v/>
      </c>
      <c r="T1230" s="64" t="str">
        <f>Ringkasan!T1229</f>
        <v/>
      </c>
      <c r="U1230" s="64" t="str">
        <f>Ringkasan!U1229</f>
        <v/>
      </c>
      <c r="V1230" s="64" t="str">
        <f>Ringkasan!V1229</f>
        <v/>
      </c>
      <c r="W1230" s="64" t="str">
        <f>Ringkasan!W1229</f>
        <v/>
      </c>
      <c r="X1230" s="64" t="str">
        <f>Ringkasan!X1229</f>
        <v/>
      </c>
      <c r="Y1230" s="64" t="str">
        <f>Ringkasan!Y1229</f>
        <v/>
      </c>
      <c r="Z1230" s="64">
        <f>Ringkasan!Z1229</f>
        <v>0</v>
      </c>
      <c r="AA1230" s="64" t="str">
        <f>Ringkasan!AA1229</f>
        <v>Tourism &amp; Recreation</v>
      </c>
      <c r="AB1230" s="64" t="str">
        <f>Ringkasan!AB1229</f>
        <v>Consumer Cyclicals</v>
      </c>
    </row>
    <row r="1231" hidden="1">
      <c r="A1231" s="64" t="str">
        <f>Ringkasan!A1230</f>
        <v>MINE</v>
      </c>
      <c r="B1231" s="64" t="str">
        <f>Ringkasan!B1230</f>
        <v>Sinar Terang Mandiri Tbk.</v>
      </c>
      <c r="C1231" s="65">
        <f>Ringkasan!C1230</f>
        <v>216</v>
      </c>
      <c r="D1231" s="64" t="str">
        <f>Ringkasan!D1230</f>
        <v>#N/A</v>
      </c>
      <c r="E1231" s="64" t="str">
        <f>Ringkasan!E1230</f>
        <v/>
      </c>
      <c r="F1231" s="64" t="str">
        <f>Ringkasan!F1230</f>
        <v/>
      </c>
      <c r="G1231" s="65">
        <f>Ringkasan!G1230</f>
        <v>0</v>
      </c>
      <c r="H1231" s="19">
        <f>Ringkasan!H1230</f>
        <v>4.9</v>
      </c>
      <c r="I1231" s="19">
        <f>Ringkasan!I1230</f>
        <v>0.99</v>
      </c>
      <c r="J1231" s="19">
        <f>Ringkasan!J1230</f>
        <v>20.2</v>
      </c>
      <c r="K1231" s="19">
        <f>Ringkasan!K1230</f>
        <v>10.2</v>
      </c>
      <c r="L1231" s="19">
        <f>Ringkasan!L1230</f>
        <v>0.99</v>
      </c>
      <c r="M1231" s="19">
        <f>Ringkasan!M1230</f>
        <v>29.8</v>
      </c>
      <c r="N1231" s="64" t="str">
        <f>Ringkasan!N1230</f>
        <v/>
      </c>
      <c r="O1231" s="64" t="str">
        <f>Ringkasan!O1230</f>
        <v/>
      </c>
      <c r="P1231" s="64" t="str">
        <f>Ringkasan!P1230</f>
        <v/>
      </c>
      <c r="Q1231" s="64" t="str">
        <f>Ringkasan!Q1230</f>
        <v/>
      </c>
      <c r="R1231" s="64" t="str">
        <f>Ringkasan!R1230</f>
        <v/>
      </c>
      <c r="S1231" s="64" t="str">
        <f>Ringkasan!S1230</f>
        <v/>
      </c>
      <c r="T1231" s="64" t="str">
        <f>Ringkasan!T1230</f>
        <v/>
      </c>
      <c r="U1231" s="64">
        <f>Ringkasan!U1230</f>
        <v>2.69</v>
      </c>
      <c r="V1231" s="64">
        <f>Ringkasan!V1230</f>
        <v>-1.49</v>
      </c>
      <c r="W1231" s="64">
        <f>Ringkasan!W1230</f>
        <v>2.66</v>
      </c>
      <c r="X1231" s="64">
        <f>Ringkasan!X1230</f>
        <v>2.75</v>
      </c>
      <c r="Y1231" s="64">
        <f>Ringkasan!Y1230</f>
        <v>2.62</v>
      </c>
      <c r="Z1231" s="64">
        <f>Ringkasan!Z1230</f>
        <v>54396</v>
      </c>
      <c r="AA1231" s="64" t="str">
        <f>Ringkasan!AA1230</f>
        <v>Metals &amp; Minerals</v>
      </c>
      <c r="AB1231" s="64" t="str">
        <f>Ringkasan!AB1230</f>
        <v>Basic Materials</v>
      </c>
    </row>
    <row r="1232" hidden="1">
      <c r="A1232" s="64" t="str">
        <f>Ringkasan!A1231</f>
        <v>MIRA</v>
      </c>
      <c r="B1232" s="64" t="str">
        <f>Ringkasan!B1231</f>
        <v>Mitra International Resources Tbk</v>
      </c>
      <c r="C1232" s="65">
        <f>Ringkasan!C1231</f>
        <v>22</v>
      </c>
      <c r="D1232" s="64" t="str">
        <f>Ringkasan!D1231</f>
        <v>#N/A</v>
      </c>
      <c r="E1232" s="64" t="str">
        <f>Ringkasan!E1231</f>
        <v/>
      </c>
      <c r="F1232" s="64" t="str">
        <f>Ringkasan!F1231</f>
        <v/>
      </c>
      <c r="G1232" s="64">
        <f>Ringkasan!G1231</f>
        <v>0</v>
      </c>
      <c r="H1232" s="19">
        <f>Ringkasan!H1231</f>
        <v>-10.5</v>
      </c>
      <c r="I1232" s="19">
        <f>Ringkasan!I1231</f>
        <v>0.55</v>
      </c>
      <c r="J1232" s="19">
        <f>Ringkasan!J1231</f>
        <v>-5.3</v>
      </c>
      <c r="K1232" s="19">
        <f>Ringkasan!K1231</f>
        <v>-3.3</v>
      </c>
      <c r="L1232" s="19">
        <f>Ringkasan!L1231</f>
        <v>0.6</v>
      </c>
      <c r="M1232" s="19">
        <f>Ringkasan!M1231</f>
        <v>-56.3</v>
      </c>
      <c r="N1232" s="64" t="str">
        <f>Ringkasan!N1231</f>
        <v/>
      </c>
      <c r="O1232" s="64" t="str">
        <f>Ringkasan!O1231</f>
        <v/>
      </c>
      <c r="P1232" s="64" t="str">
        <f>Ringkasan!P1231</f>
        <v/>
      </c>
      <c r="Q1232" s="64" t="str">
        <f>Ringkasan!Q1231</f>
        <v/>
      </c>
      <c r="R1232" s="64" t="str">
        <f>Ringkasan!R1231</f>
        <v/>
      </c>
      <c r="S1232" s="64" t="str">
        <f>Ringkasan!S1231</f>
        <v/>
      </c>
      <c r="T1232" s="64" t="str">
        <f>Ringkasan!T1231</f>
        <v/>
      </c>
      <c r="U1232" s="64">
        <f>Ringkasan!U1231</f>
        <v>0.96</v>
      </c>
      <c r="V1232" s="64">
        <f>Ringkasan!V1231</f>
        <v>-2.08</v>
      </c>
      <c r="W1232" s="64">
        <f>Ringkasan!W1231</f>
        <v>0.96</v>
      </c>
      <c r="X1232" s="64">
        <f>Ringkasan!X1231</f>
        <v>0.98</v>
      </c>
      <c r="Y1232" s="64">
        <f>Ringkasan!Y1231</f>
        <v>0.94</v>
      </c>
      <c r="Z1232" s="64" t="str">
        <f>Ringkasan!Z1231</f>
        <v/>
      </c>
      <c r="AA1232" s="64" t="str">
        <f>Ringkasan!AA1231</f>
        <v>Logistics &amp; Deliveries</v>
      </c>
      <c r="AB1232" s="64" t="str">
        <f>Ringkasan!AB1231</f>
        <v>Transportation &amp; Logistic</v>
      </c>
    </row>
    <row r="1233" hidden="1">
      <c r="A1233" s="64" t="str">
        <f>Ringkasan!A1232</f>
        <v>MITI</v>
      </c>
      <c r="B1233" s="64" t="str">
        <f>Ringkasan!B1232</f>
        <v>Mitra Investindo Tbk.</v>
      </c>
      <c r="C1233" s="65">
        <f>Ringkasan!C1232</f>
        <v>166</v>
      </c>
      <c r="D1233" s="64" t="str">
        <f>Ringkasan!D1232</f>
        <v>#N/A</v>
      </c>
      <c r="E1233" s="64" t="str">
        <f>Ringkasan!E1232</f>
        <v/>
      </c>
      <c r="F1233" s="64" t="str">
        <f>Ringkasan!F1232</f>
        <v/>
      </c>
      <c r="G1233" s="64">
        <f>Ringkasan!G1232</f>
        <v>0</v>
      </c>
      <c r="H1233" s="19">
        <f>Ringkasan!H1232</f>
        <v>55.1</v>
      </c>
      <c r="I1233" s="19">
        <f>Ringkasan!I1232</f>
        <v>1.4</v>
      </c>
      <c r="J1233" s="19">
        <f>Ringkasan!J1232</f>
        <v>2.5</v>
      </c>
      <c r="K1233" s="19">
        <f>Ringkasan!K1232</f>
        <v>2.2</v>
      </c>
      <c r="L1233" s="19">
        <f>Ringkasan!L1232</f>
        <v>0.16</v>
      </c>
      <c r="M1233" s="19">
        <f>Ringkasan!M1232</f>
        <v>30.6</v>
      </c>
      <c r="N1233" s="64" t="str">
        <f>Ringkasan!N1232</f>
        <v/>
      </c>
      <c r="O1233" s="64" t="str">
        <f>Ringkasan!O1232</f>
        <v/>
      </c>
      <c r="P1233" s="64" t="str">
        <f>Ringkasan!P1232</f>
        <v/>
      </c>
      <c r="Q1233" s="64" t="str">
        <f>Ringkasan!Q1232</f>
        <v/>
      </c>
      <c r="R1233" s="64" t="str">
        <f>Ringkasan!R1232</f>
        <v/>
      </c>
      <c r="S1233" s="64" t="str">
        <f>Ringkasan!S1232</f>
        <v/>
      </c>
      <c r="T1233" s="64" t="str">
        <f>Ringkasan!T1232</f>
        <v/>
      </c>
      <c r="U1233" s="64">
        <f>Ringkasan!U1232</f>
        <v>0.09</v>
      </c>
      <c r="V1233" s="64">
        <f>Ringkasan!V1232</f>
        <v>-9.09</v>
      </c>
      <c r="W1233" s="64">
        <f>Ringkasan!W1232</f>
        <v>0.07</v>
      </c>
      <c r="X1233" s="64">
        <f>Ringkasan!X1232</f>
        <v>0.09</v>
      </c>
      <c r="Y1233" s="64">
        <f>Ringkasan!Y1232</f>
        <v>0.06</v>
      </c>
      <c r="Z1233" s="64">
        <f>Ringkasan!Z1232</f>
        <v>52830</v>
      </c>
      <c r="AA1233" s="64" t="str">
        <f>Ringkasan!AA1232</f>
        <v>Logistics &amp; Deliveries</v>
      </c>
      <c r="AB1233" s="64" t="str">
        <f>Ringkasan!AB1232</f>
        <v>Transportation &amp; Logistic</v>
      </c>
    </row>
    <row r="1234" hidden="1">
      <c r="A1234" s="64" t="str">
        <f>Ringkasan!A1233</f>
        <v>MKAP</v>
      </c>
      <c r="B1234" s="64" t="str">
        <f>Ringkasan!B1233</f>
        <v>Multikarya Asia Pasifik Raya Tbk.</v>
      </c>
      <c r="C1234" s="65">
        <f>Ringkasan!C1233</f>
        <v>1045</v>
      </c>
      <c r="D1234" s="64" t="str">
        <f>Ringkasan!D1233</f>
        <v>#N/A</v>
      </c>
      <c r="E1234" s="64" t="str">
        <f>Ringkasan!E1233</f>
        <v/>
      </c>
      <c r="F1234" s="64" t="str">
        <f>Ringkasan!F1233</f>
        <v/>
      </c>
      <c r="G1234" s="64">
        <f>Ringkasan!G1233</f>
        <v>0</v>
      </c>
      <c r="H1234" s="19">
        <f>Ringkasan!H1233</f>
        <v>81.1</v>
      </c>
      <c r="I1234" s="19">
        <f>Ringkasan!I1233</f>
        <v>10.6</v>
      </c>
      <c r="J1234" s="19">
        <f>Ringkasan!J1233</f>
        <v>13</v>
      </c>
      <c r="K1234" s="19">
        <f>Ringkasan!K1233</f>
        <v>8</v>
      </c>
      <c r="L1234" s="19">
        <f>Ringkasan!L1233</f>
        <v>0.62</v>
      </c>
      <c r="M1234" s="19">
        <f>Ringkasan!M1233</f>
        <v>47.7</v>
      </c>
      <c r="N1234" s="64" t="str">
        <f>Ringkasan!N1233</f>
        <v/>
      </c>
      <c r="O1234" s="64" t="str">
        <f>Ringkasan!O1233</f>
        <v/>
      </c>
      <c r="P1234" s="64" t="str">
        <f>Ringkasan!P1233</f>
        <v/>
      </c>
      <c r="Q1234" s="64" t="str">
        <f>Ringkasan!Q1233</f>
        <v/>
      </c>
      <c r="R1234" s="64" t="str">
        <f>Ringkasan!R1233</f>
        <v/>
      </c>
      <c r="S1234" s="64" t="str">
        <f>Ringkasan!S1233</f>
        <v/>
      </c>
      <c r="T1234" s="64" t="str">
        <f>Ringkasan!T1233</f>
        <v/>
      </c>
      <c r="U1234" s="64">
        <f>Ringkasan!U1233</f>
        <v>1050</v>
      </c>
      <c r="V1234" s="64">
        <f>Ringkasan!V1233</f>
        <v>-0.48</v>
      </c>
      <c r="W1234" s="64">
        <f>Ringkasan!W1233</f>
        <v>1045</v>
      </c>
      <c r="X1234" s="64">
        <f>Ringkasan!X1233</f>
        <v>1050</v>
      </c>
      <c r="Y1234" s="64">
        <f>Ringkasan!Y1233</f>
        <v>1045</v>
      </c>
      <c r="Z1234" s="64">
        <f>Ringkasan!Z1233</f>
        <v>170300</v>
      </c>
      <c r="AA1234" s="64" t="str">
        <f>Ringkasan!AA1233</f>
        <v>Oil, Gas &amp; Coal Supports</v>
      </c>
      <c r="AB1234" s="64" t="str">
        <f>Ringkasan!AB1233</f>
        <v>Energy</v>
      </c>
    </row>
    <row r="1235" hidden="1">
      <c r="A1235" s="64" t="str">
        <f>Ringkasan!A1234</f>
        <v>MKNT</v>
      </c>
      <c r="B1235" s="64" t="str">
        <f>Ringkasan!B1234</f>
        <v>Mitra Komunikasi Nusantara Tbk.</v>
      </c>
      <c r="C1235" s="65">
        <f>Ringkasan!C1234</f>
        <v>1</v>
      </c>
      <c r="D1235" s="64" t="str">
        <f>Ringkasan!D1234</f>
        <v>#N/A</v>
      </c>
      <c r="E1235" s="64" t="str">
        <f>Ringkasan!E1234</f>
        <v/>
      </c>
      <c r="F1235" s="64" t="str">
        <f>Ringkasan!F1234</f>
        <v/>
      </c>
      <c r="G1235" s="64">
        <f>Ringkasan!G1234</f>
        <v>0</v>
      </c>
      <c r="H1235" s="19">
        <f>Ringkasan!H1234</f>
        <v>-3.6</v>
      </c>
      <c r="I1235" s="19">
        <f>Ringkasan!I1234</f>
        <v>-0.75</v>
      </c>
      <c r="J1235" s="19">
        <f>Ringkasan!J1234</f>
        <v>0</v>
      </c>
      <c r="K1235" s="19">
        <f>Ringkasan!K1234</f>
        <v>-0.19</v>
      </c>
      <c r="L1235" s="19">
        <f>Ringkasan!L1234</f>
        <v>-110</v>
      </c>
      <c r="M1235" s="19">
        <f>Ringkasan!M1234</f>
        <v>-41.6</v>
      </c>
      <c r="N1235" s="64" t="str">
        <f>Ringkasan!N1234</f>
        <v/>
      </c>
      <c r="O1235" s="64" t="str">
        <f>Ringkasan!O1234</f>
        <v/>
      </c>
      <c r="P1235" s="64" t="str">
        <f>Ringkasan!P1234</f>
        <v/>
      </c>
      <c r="Q1235" s="64" t="str">
        <f>Ringkasan!Q1234</f>
        <v/>
      </c>
      <c r="R1235" s="64" t="str">
        <f>Ringkasan!R1234</f>
        <v/>
      </c>
      <c r="S1235" s="64" t="str">
        <f>Ringkasan!S1234</f>
        <v/>
      </c>
      <c r="T1235" s="64" t="str">
        <f>Ringkasan!T1234</f>
        <v/>
      </c>
      <c r="U1235" s="64">
        <f>Ringkasan!U1234</f>
        <v>1</v>
      </c>
      <c r="V1235" s="64">
        <f>Ringkasan!V1234</f>
        <v>0</v>
      </c>
      <c r="W1235" s="64" t="str">
        <f>Ringkasan!W1234</f>
        <v/>
      </c>
      <c r="X1235" s="64" t="str">
        <f>Ringkasan!X1234</f>
        <v/>
      </c>
      <c r="Y1235" s="64" t="str">
        <f>Ringkasan!Y1234</f>
        <v/>
      </c>
      <c r="Z1235" s="64">
        <f>Ringkasan!Z1234</f>
        <v>0</v>
      </c>
      <c r="AA1235" s="64" t="str">
        <f>Ringkasan!AA1234</f>
        <v>Consumer Distributors</v>
      </c>
      <c r="AB1235" s="64" t="str">
        <f>Ringkasan!AB1234</f>
        <v>Consumer Cyclicals</v>
      </c>
    </row>
    <row r="1236" hidden="1">
      <c r="A1236" s="64" t="str">
        <f>Ringkasan!A1235</f>
        <v>MKPI</v>
      </c>
      <c r="B1236" s="64" t="str">
        <f>Ringkasan!B1235</f>
        <v>Metropolitan Kentjana Tbk.</v>
      </c>
      <c r="C1236" s="65">
        <f>Ringkasan!C1235</f>
        <v>21850</v>
      </c>
      <c r="D1236" s="64" t="str">
        <f>Ringkasan!D1235</f>
        <v>#N/A</v>
      </c>
      <c r="E1236" s="64" t="str">
        <f>Ringkasan!E1235</f>
        <v/>
      </c>
      <c r="F1236" s="64" t="str">
        <f>Ringkasan!F1235</f>
        <v/>
      </c>
      <c r="G1236" s="64">
        <f>Ringkasan!G1235</f>
        <v>0</v>
      </c>
      <c r="H1236" s="19">
        <f>Ringkasan!H1235</f>
        <v>17.8</v>
      </c>
      <c r="I1236" s="19">
        <f>Ringkasan!I1235</f>
        <v>2.6</v>
      </c>
      <c r="J1236" s="19">
        <f>Ringkasan!J1235</f>
        <v>14.5</v>
      </c>
      <c r="K1236" s="19">
        <f>Ringkasan!K1235</f>
        <v>11.8</v>
      </c>
      <c r="L1236" s="19">
        <f>Ringkasan!L1235</f>
        <v>0.23</v>
      </c>
      <c r="M1236" s="19">
        <f>Ringkasan!M1235</f>
        <v>170</v>
      </c>
      <c r="N1236" s="64" t="str">
        <f>Ringkasan!N1235</f>
        <v/>
      </c>
      <c r="O1236" s="64" t="str">
        <f>Ringkasan!O1235</f>
        <v/>
      </c>
      <c r="P1236" s="64" t="str">
        <f>Ringkasan!P1235</f>
        <v/>
      </c>
      <c r="Q1236" s="64" t="str">
        <f>Ringkasan!Q1235</f>
        <v/>
      </c>
      <c r="R1236" s="64" t="str">
        <f>Ringkasan!R1235</f>
        <v/>
      </c>
      <c r="S1236" s="64" t="str">
        <f>Ringkasan!S1235</f>
        <v/>
      </c>
      <c r="T1236" s="64" t="str">
        <f>Ringkasan!T1235</f>
        <v/>
      </c>
      <c r="U1236" s="64">
        <f>Ringkasan!U1235</f>
        <v>21825</v>
      </c>
      <c r="V1236" s="64">
        <f>Ringkasan!V1235</f>
        <v>0.11</v>
      </c>
      <c r="W1236" s="64">
        <f>Ringkasan!W1235</f>
        <v>21750</v>
      </c>
      <c r="X1236" s="64">
        <f>Ringkasan!X1235</f>
        <v>21850</v>
      </c>
      <c r="Y1236" s="64">
        <f>Ringkasan!Y1235</f>
        <v>21750</v>
      </c>
      <c r="Z1236" s="64">
        <f>Ringkasan!Z1235</f>
        <v>41000</v>
      </c>
      <c r="AA1236" s="64" t="str">
        <f>Ringkasan!AA1235</f>
        <v>Real Estate Management &amp; Development</v>
      </c>
      <c r="AB1236" s="64" t="str">
        <f>Ringkasan!AB1235</f>
        <v>Properties &amp; Real Estate</v>
      </c>
    </row>
    <row r="1237" hidden="1">
      <c r="A1237" s="64" t="str">
        <f>Ringkasan!A1236</f>
        <v>MKTR</v>
      </c>
      <c r="B1237" s="64" t="str">
        <f>Ringkasan!B1236</f>
        <v>Menthobi Karyatama Raya Tbk.</v>
      </c>
      <c r="C1237" s="65">
        <f>Ringkasan!C1236</f>
        <v>123</v>
      </c>
      <c r="D1237" s="64" t="str">
        <f>Ringkasan!D1236</f>
        <v>#N/A</v>
      </c>
      <c r="E1237" s="64" t="str">
        <f>Ringkasan!E1236</f>
        <v/>
      </c>
      <c r="F1237" s="64" t="str">
        <f>Ringkasan!F1236</f>
        <v/>
      </c>
      <c r="G1237" s="64">
        <f>Ringkasan!G1236</f>
        <v>0</v>
      </c>
      <c r="H1237" s="19">
        <f>Ringkasan!H1236</f>
        <v>26.3</v>
      </c>
      <c r="I1237" s="19">
        <f>Ringkasan!I1236</f>
        <v>2.2</v>
      </c>
      <c r="J1237" s="19">
        <f>Ringkasan!J1236</f>
        <v>8.5</v>
      </c>
      <c r="K1237" s="19">
        <f>Ringkasan!K1236</f>
        <v>3.8</v>
      </c>
      <c r="L1237" s="19">
        <f>Ringkasan!L1236</f>
        <v>1.3</v>
      </c>
      <c r="M1237" s="19">
        <f>Ringkasan!M1236</f>
        <v>17.8</v>
      </c>
      <c r="N1237" s="64" t="str">
        <f>Ringkasan!N1236</f>
        <v/>
      </c>
      <c r="O1237" s="64" t="str">
        <f>Ringkasan!O1236</f>
        <v/>
      </c>
      <c r="P1237" s="64" t="str">
        <f>Ringkasan!P1236</f>
        <v/>
      </c>
      <c r="Q1237" s="64" t="str">
        <f>Ringkasan!Q1236</f>
        <v/>
      </c>
      <c r="R1237" s="64" t="str">
        <f>Ringkasan!R1236</f>
        <v/>
      </c>
      <c r="S1237" s="64" t="str">
        <f>Ringkasan!S1236</f>
        <v/>
      </c>
      <c r="T1237" s="64" t="str">
        <f>Ringkasan!T1236</f>
        <v/>
      </c>
      <c r="U1237" s="64">
        <f>Ringkasan!U1236</f>
        <v>123</v>
      </c>
      <c r="V1237" s="64">
        <f>Ringkasan!V1236</f>
        <v>0</v>
      </c>
      <c r="W1237" s="64">
        <f>Ringkasan!W1236</f>
        <v>125</v>
      </c>
      <c r="X1237" s="64">
        <f>Ringkasan!X1236</f>
        <v>125</v>
      </c>
      <c r="Y1237" s="64">
        <f>Ringkasan!Y1236</f>
        <v>114</v>
      </c>
      <c r="Z1237" s="64">
        <f>Ringkasan!Z1236</f>
        <v>175000</v>
      </c>
      <c r="AA1237" s="64" t="str">
        <f>Ringkasan!AA1236</f>
        <v>Agricultural Products</v>
      </c>
      <c r="AB1237" s="64" t="str">
        <f>Ringkasan!AB1236</f>
        <v>Consumer Non-Cyclicals</v>
      </c>
    </row>
    <row r="1238" hidden="1">
      <c r="A1238" s="64" t="str">
        <f>Ringkasan!A1237</f>
        <v>MLBI</v>
      </c>
      <c r="B1238" s="64" t="str">
        <f>Ringkasan!B1237</f>
        <v>Multi Bintang Indonesia Tbk.</v>
      </c>
      <c r="C1238" s="65">
        <f>Ringkasan!C1237</f>
        <v>6000</v>
      </c>
      <c r="D1238" s="64" t="str">
        <f>Ringkasan!D1237</f>
        <v>#N/A</v>
      </c>
      <c r="E1238" s="64" t="str">
        <f>Ringkasan!E1237</f>
        <v>FTSE Micro Cap</v>
      </c>
      <c r="F1238" s="64" t="str">
        <f>Ringkasan!F1237</f>
        <v>4 Agustus 2026</v>
      </c>
      <c r="G1238" s="65">
        <f>Ringkasan!G1237</f>
        <v>1</v>
      </c>
      <c r="H1238" s="19">
        <f>Ringkasan!H1237</f>
        <v>10.4</v>
      </c>
      <c r="I1238" s="19">
        <f>Ringkasan!I1237</f>
        <v>8</v>
      </c>
      <c r="J1238" s="19">
        <f>Ringkasan!J1237</f>
        <v>76.7</v>
      </c>
      <c r="K1238" s="19">
        <f>Ringkasan!K1237</f>
        <v>33.6</v>
      </c>
      <c r="L1238" s="19">
        <f>Ringkasan!L1237</f>
        <v>1.3</v>
      </c>
      <c r="M1238" s="19">
        <f>Ringkasan!M1237</f>
        <v>160</v>
      </c>
      <c r="N1238" s="64" t="str">
        <f>Ringkasan!N1237</f>
        <v/>
      </c>
      <c r="O1238" s="64" t="str">
        <f>Ringkasan!O1237</f>
        <v/>
      </c>
      <c r="P1238" s="64" t="str">
        <f>Ringkasan!P1237</f>
        <v/>
      </c>
      <c r="Q1238" s="64" t="str">
        <f>Ringkasan!Q1237</f>
        <v/>
      </c>
      <c r="R1238" s="64" t="str">
        <f>Ringkasan!R1237</f>
        <v/>
      </c>
      <c r="S1238" s="64" t="str">
        <f>Ringkasan!S1237</f>
        <v/>
      </c>
      <c r="T1238" s="64" t="str">
        <f>Ringkasan!T1237</f>
        <v/>
      </c>
      <c r="U1238" s="64">
        <f>Ringkasan!U1237</f>
        <v>6000</v>
      </c>
      <c r="V1238" s="64">
        <f>Ringkasan!V1237</f>
        <v>0</v>
      </c>
      <c r="W1238" s="64">
        <f>Ringkasan!W1237</f>
        <v>6000</v>
      </c>
      <c r="X1238" s="64">
        <f>Ringkasan!X1237</f>
        <v>6025</v>
      </c>
      <c r="Y1238" s="64">
        <f>Ringkasan!Y1237</f>
        <v>5975</v>
      </c>
      <c r="Z1238" s="64">
        <f>Ringkasan!Z1237</f>
        <v>162700</v>
      </c>
      <c r="AA1238" s="64" t="str">
        <f>Ringkasan!AA1237</f>
        <v>Beverages</v>
      </c>
      <c r="AB1238" s="64" t="str">
        <f>Ringkasan!AB1237</f>
        <v>Consumer Non-Cyclicals</v>
      </c>
    </row>
    <row r="1239" hidden="1">
      <c r="A1239" s="64" t="str">
        <f>Ringkasan!A1238</f>
        <v>MLIA</v>
      </c>
      <c r="B1239" s="64" t="str">
        <f>Ringkasan!B1238</f>
        <v>Mulia Industrindo Tbk</v>
      </c>
      <c r="C1239" s="65">
        <f>Ringkasan!C1238</f>
        <v>236</v>
      </c>
      <c r="D1239" s="64" t="str">
        <f>Ringkasan!D1238</f>
        <v>#N/A</v>
      </c>
      <c r="E1239" s="64" t="str">
        <f>Ringkasan!E1238</f>
        <v/>
      </c>
      <c r="F1239" s="64" t="str">
        <f>Ringkasan!F1238</f>
        <v/>
      </c>
      <c r="G1239" s="64">
        <f>Ringkasan!G1238</f>
        <v>0</v>
      </c>
      <c r="H1239" s="19">
        <f>Ringkasan!H1238</f>
        <v>-20.9</v>
      </c>
      <c r="I1239" s="19">
        <f>Ringkasan!I1238</f>
        <v>0.31</v>
      </c>
      <c r="J1239" s="19">
        <f>Ringkasan!J1238</f>
        <v>-1.5</v>
      </c>
      <c r="K1239" s="19">
        <f>Ringkasan!K1238</f>
        <v>-1.1</v>
      </c>
      <c r="L1239" s="19">
        <f>Ringkasan!L1238</f>
        <v>0.38</v>
      </c>
      <c r="M1239" s="19">
        <f>Ringkasan!M1238</f>
        <v>-8.9</v>
      </c>
      <c r="N1239" s="64" t="str">
        <f>Ringkasan!N1238</f>
        <v/>
      </c>
      <c r="O1239" s="64" t="str">
        <f>Ringkasan!O1238</f>
        <v/>
      </c>
      <c r="P1239" s="64" t="str">
        <f>Ringkasan!P1238</f>
        <v/>
      </c>
      <c r="Q1239" s="64" t="str">
        <f>Ringkasan!Q1238</f>
        <v/>
      </c>
      <c r="R1239" s="64" t="str">
        <f>Ringkasan!R1238</f>
        <v/>
      </c>
      <c r="S1239" s="64" t="str">
        <f>Ringkasan!S1238</f>
        <v/>
      </c>
      <c r="T1239" s="64" t="str">
        <f>Ringkasan!T1238</f>
        <v/>
      </c>
      <c r="U1239" s="64">
        <f>Ringkasan!U1238</f>
        <v>236</v>
      </c>
      <c r="V1239" s="64">
        <f>Ringkasan!V1238</f>
        <v>0</v>
      </c>
      <c r="W1239" s="64">
        <f>Ringkasan!W1238</f>
        <v>236</v>
      </c>
      <c r="X1239" s="64">
        <f>Ringkasan!X1238</f>
        <v>236</v>
      </c>
      <c r="Y1239" s="64">
        <f>Ringkasan!Y1238</f>
        <v>234</v>
      </c>
      <c r="Z1239" s="64" t="str">
        <f>Ringkasan!Z1238</f>
        <v/>
      </c>
      <c r="AA1239" s="64" t="str">
        <f>Ringkasan!AA1238</f>
        <v>Building Products &amp; Fixtures</v>
      </c>
      <c r="AB1239" s="64" t="str">
        <f>Ringkasan!AB1238</f>
        <v>Industrials</v>
      </c>
    </row>
    <row r="1240" hidden="1">
      <c r="A1240" s="64" t="str">
        <f>Ringkasan!A1239</f>
        <v>MLPL</v>
      </c>
      <c r="B1240" s="64" t="str">
        <f>Ringkasan!B1239</f>
        <v>Multipolar Tbk</v>
      </c>
      <c r="C1240" s="65">
        <f>Ringkasan!C1239</f>
        <v>80</v>
      </c>
      <c r="D1240" s="64" t="str">
        <f>Ringkasan!D1239</f>
        <v>#N/A</v>
      </c>
      <c r="E1240" s="64" t="str">
        <f>Ringkasan!E1239</f>
        <v/>
      </c>
      <c r="F1240" s="64" t="str">
        <f>Ringkasan!F1239</f>
        <v/>
      </c>
      <c r="G1240" s="64">
        <f>Ringkasan!G1239</f>
        <v>0</v>
      </c>
      <c r="H1240" s="19">
        <f>Ringkasan!H1239</f>
        <v>-27.6</v>
      </c>
      <c r="I1240" s="19">
        <f>Ringkasan!I1239</f>
        <v>0.25</v>
      </c>
      <c r="J1240" s="19">
        <f>Ringkasan!J1239</f>
        <v>-0.92</v>
      </c>
      <c r="K1240" s="19">
        <f>Ringkasan!K1239</f>
        <v>-0.34</v>
      </c>
      <c r="L1240" s="19">
        <f>Ringkasan!L1239</f>
        <v>1.7</v>
      </c>
      <c r="M1240" s="19">
        <f>Ringkasan!M1239</f>
        <v>-1.5</v>
      </c>
      <c r="N1240" s="64" t="str">
        <f>Ringkasan!N1239</f>
        <v/>
      </c>
      <c r="O1240" s="64" t="str">
        <f>Ringkasan!O1239</f>
        <v/>
      </c>
      <c r="P1240" s="64" t="str">
        <f>Ringkasan!P1239</f>
        <v/>
      </c>
      <c r="Q1240" s="64" t="str">
        <f>Ringkasan!Q1239</f>
        <v/>
      </c>
      <c r="R1240" s="64" t="str">
        <f>Ringkasan!R1239</f>
        <v/>
      </c>
      <c r="S1240" s="64" t="str">
        <f>Ringkasan!S1239</f>
        <v/>
      </c>
      <c r="T1240" s="64" t="str">
        <f>Ringkasan!T1239</f>
        <v/>
      </c>
      <c r="U1240" s="64">
        <f>Ringkasan!U1239</f>
        <v>77</v>
      </c>
      <c r="V1240" s="64">
        <f>Ringkasan!V1239</f>
        <v>3.9</v>
      </c>
      <c r="W1240" s="64">
        <f>Ringkasan!W1239</f>
        <v>80</v>
      </c>
      <c r="X1240" s="64">
        <f>Ringkasan!X1239</f>
        <v>81</v>
      </c>
      <c r="Y1240" s="64">
        <f>Ringkasan!Y1239</f>
        <v>79</v>
      </c>
      <c r="Z1240" s="64">
        <f>Ringkasan!Z1239</f>
        <v>13054900</v>
      </c>
      <c r="AA1240" s="64" t="str">
        <f>Ringkasan!AA1239</f>
        <v>Multi-sector Holdings</v>
      </c>
      <c r="AB1240" s="64" t="str">
        <f>Ringkasan!AB1239</f>
        <v>Industrials</v>
      </c>
    </row>
    <row r="1241" hidden="1">
      <c r="A1241" s="64" t="str">
        <f>Ringkasan!A1240</f>
        <v>MLPT</v>
      </c>
      <c r="B1241" s="64" t="str">
        <f>Ringkasan!B1240</f>
        <v>Multipolar Technology Tbk.</v>
      </c>
      <c r="C1241" s="65">
        <f>Ringkasan!C1240</f>
        <v>20200</v>
      </c>
      <c r="D1241" s="64" t="str">
        <f>Ringkasan!D1240</f>
        <v>#N/A</v>
      </c>
      <c r="E1241" s="64" t="str">
        <f>Ringkasan!E1240</f>
        <v/>
      </c>
      <c r="F1241" s="64" t="str">
        <f>Ringkasan!F1240</f>
        <v/>
      </c>
      <c r="G1241" s="64">
        <f>Ringkasan!G1240</f>
        <v>0</v>
      </c>
      <c r="H1241" s="19">
        <f>Ringkasan!H1240</f>
        <v>120</v>
      </c>
      <c r="I1241" s="19">
        <f>Ringkasan!I1240</f>
        <v>45.2</v>
      </c>
      <c r="J1241" s="19">
        <f>Ringkasan!J1240</f>
        <v>38.4</v>
      </c>
      <c r="K1241" s="19">
        <f>Ringkasan!K1240</f>
        <v>7.8</v>
      </c>
      <c r="L1241" s="19">
        <f>Ringkasan!L1240</f>
        <v>3.9</v>
      </c>
      <c r="M1241" s="19">
        <f>Ringkasan!M1240</f>
        <v>36.1</v>
      </c>
      <c r="N1241" s="64" t="str">
        <f>Ringkasan!N1240</f>
        <v/>
      </c>
      <c r="O1241" s="64" t="str">
        <f>Ringkasan!O1240</f>
        <v/>
      </c>
      <c r="P1241" s="64" t="str">
        <f>Ringkasan!P1240</f>
        <v/>
      </c>
      <c r="Q1241" s="64" t="str">
        <f>Ringkasan!Q1240</f>
        <v/>
      </c>
      <c r="R1241" s="64" t="str">
        <f>Ringkasan!R1240</f>
        <v/>
      </c>
      <c r="S1241" s="64" t="str">
        <f>Ringkasan!S1240</f>
        <v/>
      </c>
      <c r="T1241" s="64" t="str">
        <f>Ringkasan!T1240</f>
        <v/>
      </c>
      <c r="U1241" s="64">
        <f>Ringkasan!U1240</f>
        <v>20400</v>
      </c>
      <c r="V1241" s="64">
        <f>Ringkasan!V1240</f>
        <v>-0.98</v>
      </c>
      <c r="W1241" s="64" t="str">
        <f>Ringkasan!W1240</f>
        <v/>
      </c>
      <c r="X1241" s="64">
        <f>Ringkasan!X1240</f>
        <v>22175</v>
      </c>
      <c r="Y1241" s="64">
        <f>Ringkasan!Y1240</f>
        <v>20175</v>
      </c>
      <c r="Z1241" s="64">
        <f>Ringkasan!Z1240</f>
        <v>74800</v>
      </c>
      <c r="AA1241" s="64" t="str">
        <f>Ringkasan!AA1240</f>
        <v>IT Services &amp; Consulting</v>
      </c>
      <c r="AB1241" s="64" t="str">
        <f>Ringkasan!AB1240</f>
        <v>Technology</v>
      </c>
    </row>
    <row r="1242" hidden="1">
      <c r="A1242" s="64" t="str">
        <f>Ringkasan!A1241</f>
        <v>MMIX</v>
      </c>
      <c r="B1242" s="64" t="str">
        <f>Ringkasan!B1241</f>
        <v>PT Multi Medika Internasional Tbk</v>
      </c>
      <c r="C1242" s="65" t="str">
        <f>Ringkasan!C1241</f>
        <v>#N/A</v>
      </c>
      <c r="D1242" s="64" t="str">
        <f>Ringkasan!D1241</f>
        <v>#N/A</v>
      </c>
      <c r="E1242" s="64" t="str">
        <f>Ringkasan!E1241</f>
        <v/>
      </c>
      <c r="F1242" s="64" t="str">
        <f>Ringkasan!F1241</f>
        <v/>
      </c>
      <c r="G1242" s="64">
        <f>Ringkasan!G1241</f>
        <v>0</v>
      </c>
      <c r="H1242" s="19">
        <f>Ringkasan!H1241</f>
        <v>370</v>
      </c>
      <c r="I1242" s="19">
        <f>Ringkasan!I1241</f>
        <v>10.8</v>
      </c>
      <c r="J1242" s="19">
        <f>Ringkasan!J1241</f>
        <v>2.9</v>
      </c>
      <c r="K1242" s="19">
        <f>Ringkasan!K1241</f>
        <v>1.3</v>
      </c>
      <c r="L1242" s="19">
        <f>Ringkasan!L1241</f>
        <v>1.3</v>
      </c>
      <c r="M1242" s="19">
        <f>Ringkasan!M1241</f>
        <v>11</v>
      </c>
      <c r="N1242" s="64" t="str">
        <f>Ringkasan!N1241</f>
        <v/>
      </c>
      <c r="O1242" s="64" t="str">
        <f>Ringkasan!O1241</f>
        <v/>
      </c>
      <c r="P1242" s="64" t="str">
        <f>Ringkasan!P1241</f>
        <v/>
      </c>
      <c r="Q1242" s="64" t="str">
        <f>Ringkasan!Q1241</f>
        <v/>
      </c>
      <c r="R1242" s="64" t="str">
        <f>Ringkasan!R1241</f>
        <v/>
      </c>
      <c r="S1242" s="64" t="str">
        <f>Ringkasan!S1241</f>
        <v/>
      </c>
      <c r="T1242" s="64" t="str">
        <f>Ringkasan!T1241</f>
        <v/>
      </c>
      <c r="U1242" s="64">
        <f>Ringkasan!U1241</f>
        <v>750</v>
      </c>
      <c r="V1242" s="64">
        <f>Ringkasan!V1241</f>
        <v>0</v>
      </c>
      <c r="W1242" s="64" t="str">
        <f>Ringkasan!W1241</f>
        <v/>
      </c>
      <c r="X1242" s="64" t="str">
        <f>Ringkasan!X1241</f>
        <v/>
      </c>
      <c r="Y1242" s="64" t="str">
        <f>Ringkasan!Y1241</f>
        <v/>
      </c>
      <c r="Z1242" s="64">
        <f>Ringkasan!Z1241</f>
        <v>0</v>
      </c>
      <c r="AA1242" s="64" t="str">
        <f>Ringkasan!AA1241</f>
        <v>Healthcare Equipment &amp; Supplies</v>
      </c>
      <c r="AB1242" s="64" t="str">
        <f>Ringkasan!AB1241</f>
        <v>Healthcare</v>
      </c>
    </row>
    <row r="1243" hidden="1">
      <c r="A1243" s="64" t="str">
        <f>Ringkasan!A1242</f>
        <v>MMLP</v>
      </c>
      <c r="B1243" s="64" t="str">
        <f>Ringkasan!B1242</f>
        <v>Mega Manunggal Property Tbk.</v>
      </c>
      <c r="C1243" s="65">
        <f>Ringkasan!C1242</f>
        <v>308</v>
      </c>
      <c r="D1243" s="64" t="str">
        <f>Ringkasan!D1242</f>
        <v>#N/A</v>
      </c>
      <c r="E1243" s="64" t="str">
        <f>Ringkasan!E1242</f>
        <v/>
      </c>
      <c r="F1243" s="64" t="str">
        <f>Ringkasan!F1242</f>
        <v/>
      </c>
      <c r="G1243" s="65">
        <f>Ringkasan!G1242</f>
        <v>0</v>
      </c>
      <c r="H1243" s="19">
        <f>Ringkasan!H1242</f>
        <v>25.1</v>
      </c>
      <c r="I1243" s="19">
        <f>Ringkasan!I1242</f>
        <v>0.45</v>
      </c>
      <c r="J1243" s="19">
        <f>Ringkasan!J1242</f>
        <v>1.8</v>
      </c>
      <c r="K1243" s="19">
        <f>Ringkasan!K1242</f>
        <v>1.3</v>
      </c>
      <c r="L1243" s="19">
        <f>Ringkasan!L1242</f>
        <v>0.38</v>
      </c>
      <c r="M1243" s="19">
        <f>Ringkasan!M1242</f>
        <v>92.8</v>
      </c>
      <c r="N1243" s="64" t="str">
        <f>Ringkasan!N1242</f>
        <v/>
      </c>
      <c r="O1243" s="64" t="str">
        <f>Ringkasan!O1242</f>
        <v/>
      </c>
      <c r="P1243" s="64" t="str">
        <f>Ringkasan!P1242</f>
        <v/>
      </c>
      <c r="Q1243" s="64" t="str">
        <f>Ringkasan!Q1242</f>
        <v/>
      </c>
      <c r="R1243" s="64" t="str">
        <f>Ringkasan!R1242</f>
        <v/>
      </c>
      <c r="S1243" s="64" t="str">
        <f>Ringkasan!S1242</f>
        <v/>
      </c>
      <c r="T1243" s="64" t="str">
        <f>Ringkasan!T1242</f>
        <v/>
      </c>
      <c r="U1243" s="64">
        <f>Ringkasan!U1242</f>
        <v>2.94</v>
      </c>
      <c r="V1243" s="64">
        <f>Ringkasan!V1242</f>
        <v>-8.67</v>
      </c>
      <c r="W1243" s="64">
        <f>Ringkasan!W1242</f>
        <v>2.92</v>
      </c>
      <c r="X1243" s="64">
        <f>Ringkasan!X1242</f>
        <v>2.97</v>
      </c>
      <c r="Y1243" s="64" t="str">
        <f>Ringkasan!Y1242</f>
        <v/>
      </c>
      <c r="Z1243" s="64">
        <f>Ringkasan!Z1242</f>
        <v>70569</v>
      </c>
      <c r="AA1243" s="64" t="str">
        <f>Ringkasan!AA1242</f>
        <v>Real Estate Management &amp; Development</v>
      </c>
      <c r="AB1243" s="64" t="str">
        <f>Ringkasan!AB1242</f>
        <v>Properties &amp; Real Estate</v>
      </c>
    </row>
    <row r="1244" hidden="1">
      <c r="A1244" s="64" t="str">
        <f>Ringkasan!A1243</f>
        <v>MNCN</v>
      </c>
      <c r="B1244" s="64" t="str">
        <f>Ringkasan!B1243</f>
        <v>Media Nusantara Citra Tbk.</v>
      </c>
      <c r="C1244" s="65">
        <f>Ringkasan!C1243</f>
        <v>214</v>
      </c>
      <c r="D1244" s="64" t="str">
        <f>Ringkasan!D1243</f>
        <v>#N/A</v>
      </c>
      <c r="E1244" s="64" t="str">
        <f>Ringkasan!E1243</f>
        <v>MNC36</v>
      </c>
      <c r="F1244" s="64" t="str">
        <f>Ringkasan!F1243</f>
        <v>30 Oktober 2026</v>
      </c>
      <c r="G1244" s="64">
        <f>Ringkasan!G1243</f>
        <v>2</v>
      </c>
      <c r="H1244" s="19">
        <f>Ringkasan!H1243</f>
        <v>2.5</v>
      </c>
      <c r="I1244" s="19">
        <f>Ringkasan!I1243</f>
        <v>0.14</v>
      </c>
      <c r="J1244" s="19">
        <f>Ringkasan!J1243</f>
        <v>5.4</v>
      </c>
      <c r="K1244" s="19">
        <f>Ringkasan!K1243</f>
        <v>5</v>
      </c>
      <c r="L1244" s="19">
        <f>Ringkasan!L1243</f>
        <v>0.08</v>
      </c>
      <c r="M1244" s="19">
        <f>Ringkasan!M1243</f>
        <v>67.4</v>
      </c>
      <c r="N1244" s="64" t="str">
        <f>Ringkasan!N1243</f>
        <v/>
      </c>
      <c r="O1244" s="64" t="str">
        <f>Ringkasan!O1243</f>
        <v/>
      </c>
      <c r="P1244" s="64" t="str">
        <f>Ringkasan!P1243</f>
        <v/>
      </c>
      <c r="Q1244" s="64" t="str">
        <f>Ringkasan!Q1243</f>
        <v/>
      </c>
      <c r="R1244" s="64" t="str">
        <f>Ringkasan!R1243</f>
        <v/>
      </c>
      <c r="S1244" s="64" t="str">
        <f>Ringkasan!S1243</f>
        <v/>
      </c>
      <c r="T1244" s="64" t="str">
        <f>Ringkasan!T1243</f>
        <v/>
      </c>
      <c r="U1244" s="64">
        <f>Ringkasan!U1243</f>
        <v>210</v>
      </c>
      <c r="V1244" s="64">
        <f>Ringkasan!V1243</f>
        <v>1.9</v>
      </c>
      <c r="W1244" s="64">
        <f>Ringkasan!W1243</f>
        <v>212</v>
      </c>
      <c r="X1244" s="64">
        <f>Ringkasan!X1243</f>
        <v>216</v>
      </c>
      <c r="Y1244" s="64">
        <f>Ringkasan!Y1243</f>
        <v>210</v>
      </c>
      <c r="Z1244" s="64">
        <f>Ringkasan!Z1243</f>
        <v>16623500</v>
      </c>
      <c r="AA1244" s="64" t="str">
        <f>Ringkasan!AA1243</f>
        <v>Media</v>
      </c>
      <c r="AB1244" s="64" t="str">
        <f>Ringkasan!AB1243</f>
        <v>Consumer Cyclicals</v>
      </c>
    </row>
    <row r="1245" hidden="1">
      <c r="A1245" s="64" t="str">
        <f>Ringkasan!A1244</f>
        <v>MNCN</v>
      </c>
      <c r="B1245" s="64" t="str">
        <f>Ringkasan!B1244</f>
        <v>Media Nusantara Citra Tbk.</v>
      </c>
      <c r="C1245" s="65">
        <f>Ringkasan!C1244</f>
        <v>214</v>
      </c>
      <c r="D1245" s="64" t="str">
        <f>Ringkasan!D1244</f>
        <v>#N/A</v>
      </c>
      <c r="E1245" s="64" t="str">
        <f>Ringkasan!E1244</f>
        <v>IDXSMC-LIQ</v>
      </c>
      <c r="F1245" s="64" t="str">
        <f>Ringkasan!F1244</f>
        <v>4 Agustus 2026</v>
      </c>
      <c r="G1245" s="64">
        <f>Ringkasan!G1244</f>
        <v>2</v>
      </c>
      <c r="H1245" s="19">
        <f>Ringkasan!H1244</f>
        <v>2.5</v>
      </c>
      <c r="I1245" s="19">
        <f>Ringkasan!I1244</f>
        <v>0.14</v>
      </c>
      <c r="J1245" s="19">
        <f>Ringkasan!J1244</f>
        <v>5.4</v>
      </c>
      <c r="K1245" s="19">
        <f>Ringkasan!K1244</f>
        <v>5</v>
      </c>
      <c r="L1245" s="19">
        <f>Ringkasan!L1244</f>
        <v>0.08</v>
      </c>
      <c r="M1245" s="19">
        <f>Ringkasan!M1244</f>
        <v>67.4</v>
      </c>
      <c r="N1245" s="64" t="str">
        <f>Ringkasan!N1244</f>
        <v/>
      </c>
      <c r="O1245" s="64" t="str">
        <f>Ringkasan!O1244</f>
        <v/>
      </c>
      <c r="P1245" s="64" t="str">
        <f>Ringkasan!P1244</f>
        <v/>
      </c>
      <c r="Q1245" s="64" t="str">
        <f>Ringkasan!Q1244</f>
        <v/>
      </c>
      <c r="R1245" s="64" t="str">
        <f>Ringkasan!R1244</f>
        <v/>
      </c>
      <c r="S1245" s="64" t="str">
        <f>Ringkasan!S1244</f>
        <v/>
      </c>
      <c r="T1245" s="64" t="str">
        <f>Ringkasan!T1244</f>
        <v/>
      </c>
      <c r="U1245" s="64">
        <f>Ringkasan!U1244</f>
        <v>210</v>
      </c>
      <c r="V1245" s="64">
        <f>Ringkasan!V1244</f>
        <v>1.9</v>
      </c>
      <c r="W1245" s="64">
        <f>Ringkasan!W1244</f>
        <v>212</v>
      </c>
      <c r="X1245" s="64">
        <f>Ringkasan!X1244</f>
        <v>216</v>
      </c>
      <c r="Y1245" s="64">
        <f>Ringkasan!Y1244</f>
        <v>210</v>
      </c>
      <c r="Z1245" s="64">
        <f>Ringkasan!Z1244</f>
        <v>16623500</v>
      </c>
      <c r="AA1245" s="64" t="str">
        <f>Ringkasan!AA1244</f>
        <v>Media</v>
      </c>
      <c r="AB1245" s="64" t="str">
        <f>Ringkasan!AB1244</f>
        <v>Consumer Cyclicals</v>
      </c>
    </row>
    <row r="1246" hidden="1">
      <c r="A1246" s="64" t="str">
        <f>Ringkasan!A1245</f>
        <v>MOLI</v>
      </c>
      <c r="B1246" s="64" t="str">
        <f>Ringkasan!B1245</f>
        <v>Madusari Murni Indah Tbk.</v>
      </c>
      <c r="C1246" s="65">
        <f>Ringkasan!C1245</f>
        <v>234</v>
      </c>
      <c r="D1246" s="64" t="str">
        <f>Ringkasan!D1245</f>
        <v>#N/A</v>
      </c>
      <c r="E1246" s="64" t="str">
        <f>Ringkasan!E1245</f>
        <v/>
      </c>
      <c r="F1246" s="64" t="str">
        <f>Ringkasan!F1245</f>
        <v/>
      </c>
      <c r="G1246" s="64">
        <f>Ringkasan!G1245</f>
        <v>0</v>
      </c>
      <c r="H1246" s="19">
        <f>Ringkasan!H1245</f>
        <v>6.3</v>
      </c>
      <c r="I1246" s="19">
        <f>Ringkasan!I1245</f>
        <v>0.41</v>
      </c>
      <c r="J1246" s="19">
        <f>Ringkasan!J1245</f>
        <v>6.6</v>
      </c>
      <c r="K1246" s="19">
        <f>Ringkasan!K1245</f>
        <v>5.9</v>
      </c>
      <c r="L1246" s="19">
        <f>Ringkasan!L1245</f>
        <v>0.11</v>
      </c>
      <c r="M1246" s="19">
        <f>Ringkasan!M1245</f>
        <v>30.3</v>
      </c>
      <c r="N1246" s="64" t="str">
        <f>Ringkasan!N1245</f>
        <v/>
      </c>
      <c r="O1246" s="64" t="str">
        <f>Ringkasan!O1245</f>
        <v/>
      </c>
      <c r="P1246" s="64" t="str">
        <f>Ringkasan!P1245</f>
        <v/>
      </c>
      <c r="Q1246" s="64" t="str">
        <f>Ringkasan!Q1245</f>
        <v/>
      </c>
      <c r="R1246" s="64" t="str">
        <f>Ringkasan!R1245</f>
        <v/>
      </c>
      <c r="S1246" s="64" t="str">
        <f>Ringkasan!S1245</f>
        <v/>
      </c>
      <c r="T1246" s="64" t="str">
        <f>Ringkasan!T1245</f>
        <v/>
      </c>
      <c r="U1246" s="64">
        <f>Ringkasan!U1245</f>
        <v>2805</v>
      </c>
      <c r="V1246" s="64">
        <f>Ringkasan!V1245</f>
        <v>-4.46</v>
      </c>
      <c r="W1246" s="64">
        <f>Ringkasan!W1245</f>
        <v>2850</v>
      </c>
      <c r="X1246" s="64">
        <f>Ringkasan!X1245</f>
        <v>2850</v>
      </c>
      <c r="Y1246" s="64">
        <f>Ringkasan!Y1245</f>
        <v>2610</v>
      </c>
      <c r="Z1246" s="64">
        <f>Ringkasan!Z1245</f>
        <v>26414</v>
      </c>
      <c r="AA1246" s="64" t="str">
        <f>Ringkasan!AA1245</f>
        <v>Chemicals</v>
      </c>
      <c r="AB1246" s="64" t="str">
        <f>Ringkasan!AB1245</f>
        <v>Basic Materials</v>
      </c>
    </row>
    <row r="1247" hidden="1">
      <c r="A1247" s="64" t="str">
        <f>Ringkasan!A1246</f>
        <v>MORA</v>
      </c>
      <c r="B1247" s="64" t="str">
        <f>Ringkasan!B1246</f>
        <v>Ekamas Mora Republik Tbk.</v>
      </c>
      <c r="C1247" s="65">
        <f>Ringkasan!C1246</f>
        <v>6325</v>
      </c>
      <c r="D1247" s="64" t="str">
        <f>Ringkasan!D1246</f>
        <v>#N/A</v>
      </c>
      <c r="E1247" s="64" t="str">
        <f>Ringkasan!E1246</f>
        <v/>
      </c>
      <c r="F1247" s="64" t="str">
        <f>Ringkasan!F1246</f>
        <v/>
      </c>
      <c r="G1247" s="64">
        <f>Ringkasan!G1246</f>
        <v>0</v>
      </c>
      <c r="H1247" s="19">
        <f>Ringkasan!H1246</f>
        <v>700</v>
      </c>
      <c r="I1247" s="19">
        <f>Ringkasan!I1246</f>
        <v>40.9</v>
      </c>
      <c r="J1247" s="19">
        <f>Ringkasan!J1246</f>
        <v>5.9</v>
      </c>
      <c r="K1247" s="19">
        <f>Ringkasan!K1246</f>
        <v>3.2</v>
      </c>
      <c r="L1247" s="19">
        <f>Ringkasan!L1246</f>
        <v>0.85</v>
      </c>
      <c r="M1247" s="19">
        <f>Ringkasan!M1246</f>
        <v>49.1</v>
      </c>
      <c r="N1247" s="64" t="str">
        <f>Ringkasan!N1246</f>
        <v/>
      </c>
      <c r="O1247" s="64" t="str">
        <f>Ringkasan!O1246</f>
        <v/>
      </c>
      <c r="P1247" s="64" t="str">
        <f>Ringkasan!P1246</f>
        <v/>
      </c>
      <c r="Q1247" s="64" t="str">
        <f>Ringkasan!Q1246</f>
        <v/>
      </c>
      <c r="R1247" s="64" t="str">
        <f>Ringkasan!R1246</f>
        <v/>
      </c>
      <c r="S1247" s="64" t="str">
        <f>Ringkasan!S1246</f>
        <v/>
      </c>
      <c r="T1247" s="64" t="str">
        <f>Ringkasan!T1246</f>
        <v/>
      </c>
      <c r="U1247" s="64">
        <f>Ringkasan!U1246</f>
        <v>6325</v>
      </c>
      <c r="V1247" s="64">
        <f>Ringkasan!V1246</f>
        <v>0</v>
      </c>
      <c r="W1247" s="64">
        <f>Ringkasan!W1246</f>
        <v>6350</v>
      </c>
      <c r="X1247" s="64">
        <f>Ringkasan!X1246</f>
        <v>6575</v>
      </c>
      <c r="Y1247" s="64">
        <f>Ringkasan!Y1246</f>
        <v>6150</v>
      </c>
      <c r="Z1247" s="64">
        <f>Ringkasan!Z1246</f>
        <v>347600</v>
      </c>
      <c r="AA1247" s="64" t="str">
        <f>Ringkasan!AA1246</f>
        <v>Telecommunication Service</v>
      </c>
      <c r="AB1247" s="64" t="str">
        <f>Ringkasan!AB1246</f>
        <v>Infrastructures</v>
      </c>
    </row>
    <row r="1248" hidden="1">
      <c r="A1248" s="64" t="str">
        <f>Ringkasan!A1247</f>
        <v>MPIX</v>
      </c>
      <c r="B1248" s="64" t="str">
        <f>Ringkasan!B1247</f>
        <v>Mitra Pedagang Indonesia Tbk.</v>
      </c>
      <c r="C1248" s="65">
        <f>Ringkasan!C1247</f>
        <v>85</v>
      </c>
      <c r="D1248" s="64" t="str">
        <f>Ringkasan!D1247</f>
        <v>#N/A</v>
      </c>
      <c r="E1248" s="64" t="str">
        <f>Ringkasan!E1247</f>
        <v/>
      </c>
      <c r="F1248" s="64" t="str">
        <f>Ringkasan!F1247</f>
        <v/>
      </c>
      <c r="G1248" s="64">
        <f>Ringkasan!G1247</f>
        <v>0</v>
      </c>
      <c r="H1248" s="19">
        <f>Ringkasan!H1247</f>
        <v>15.1</v>
      </c>
      <c r="I1248" s="19">
        <f>Ringkasan!I1247</f>
        <v>0.84</v>
      </c>
      <c r="J1248" s="19">
        <f>Ringkasan!J1247</f>
        <v>5.6</v>
      </c>
      <c r="K1248" s="19">
        <f>Ringkasan!K1247</f>
        <v>5.1</v>
      </c>
      <c r="L1248" s="19">
        <f>Ringkasan!L1247</f>
        <v>0.1</v>
      </c>
      <c r="M1248" s="19">
        <f>Ringkasan!M1247</f>
        <v>1.6</v>
      </c>
      <c r="N1248" s="64" t="str">
        <f>Ringkasan!N1247</f>
        <v/>
      </c>
      <c r="O1248" s="64" t="str">
        <f>Ringkasan!O1247</f>
        <v/>
      </c>
      <c r="P1248" s="64" t="str">
        <f>Ringkasan!P1247</f>
        <v/>
      </c>
      <c r="Q1248" s="64" t="str">
        <f>Ringkasan!Q1247</f>
        <v/>
      </c>
      <c r="R1248" s="64" t="str">
        <f>Ringkasan!R1247</f>
        <v/>
      </c>
      <c r="S1248" s="64" t="str">
        <f>Ringkasan!S1247</f>
        <v/>
      </c>
      <c r="T1248" s="64" t="str">
        <f>Ringkasan!T1247</f>
        <v/>
      </c>
      <c r="U1248" s="64">
        <f>Ringkasan!U1247</f>
        <v>82</v>
      </c>
      <c r="V1248" s="64">
        <f>Ringkasan!V1247</f>
        <v>3.66</v>
      </c>
      <c r="W1248" s="64">
        <f>Ringkasan!W1247</f>
        <v>82</v>
      </c>
      <c r="X1248" s="64">
        <f>Ringkasan!X1247</f>
        <v>85</v>
      </c>
      <c r="Y1248" s="64">
        <f>Ringkasan!Y1247</f>
        <v>82</v>
      </c>
      <c r="Z1248" s="64">
        <f>Ringkasan!Z1247</f>
        <v>3165000</v>
      </c>
      <c r="AA1248" s="64" t="str">
        <f>Ringkasan!AA1247</f>
        <v>Online Applications &amp; Services</v>
      </c>
      <c r="AB1248" s="64" t="str">
        <f>Ringkasan!AB1247</f>
        <v>Technology</v>
      </c>
    </row>
    <row r="1249" hidden="1">
      <c r="A1249" s="64" t="str">
        <f>Ringkasan!A1248</f>
        <v>MPMX</v>
      </c>
      <c r="B1249" s="64" t="str">
        <f>Ringkasan!B1248</f>
        <v>PT Mitra Pinasthika Mustika Tbk.</v>
      </c>
      <c r="C1249" s="65">
        <f>Ringkasan!C1248</f>
        <v>945</v>
      </c>
      <c r="D1249" s="64" t="str">
        <f>Ringkasan!D1248</f>
        <v>#N/A</v>
      </c>
      <c r="E1249" s="64" t="str">
        <f>Ringkasan!E1248</f>
        <v/>
      </c>
      <c r="F1249" s="64" t="str">
        <f>Ringkasan!F1248</f>
        <v/>
      </c>
      <c r="G1249" s="65">
        <f>Ringkasan!G1248</f>
        <v>0</v>
      </c>
      <c r="H1249" s="19">
        <f>Ringkasan!H1248</f>
        <v>10.3</v>
      </c>
      <c r="I1249" s="19">
        <f>Ringkasan!I1248</f>
        <v>0.81</v>
      </c>
      <c r="J1249" s="19">
        <f>Ringkasan!J1248</f>
        <v>7.8</v>
      </c>
      <c r="K1249" s="19">
        <f>Ringkasan!K1248</f>
        <v>5.8</v>
      </c>
      <c r="L1249" s="19">
        <f>Ringkasan!L1248</f>
        <v>0.35</v>
      </c>
      <c r="M1249" s="19">
        <f>Ringkasan!M1248</f>
        <v>12</v>
      </c>
      <c r="N1249" s="64" t="str">
        <f>Ringkasan!N1248</f>
        <v/>
      </c>
      <c r="O1249" s="64" t="str">
        <f>Ringkasan!O1248</f>
        <v/>
      </c>
      <c r="P1249" s="64" t="str">
        <f>Ringkasan!P1248</f>
        <v/>
      </c>
      <c r="Q1249" s="64" t="str">
        <f>Ringkasan!Q1248</f>
        <v/>
      </c>
      <c r="R1249" s="64" t="str">
        <f>Ringkasan!R1248</f>
        <v/>
      </c>
      <c r="S1249" s="64" t="str">
        <f>Ringkasan!S1248</f>
        <v/>
      </c>
      <c r="T1249" s="64" t="str">
        <f>Ringkasan!T1248</f>
        <v/>
      </c>
      <c r="U1249" s="64">
        <f>Ringkasan!U1248</f>
        <v>925</v>
      </c>
      <c r="V1249" s="64">
        <f>Ringkasan!V1248</f>
        <v>2.16</v>
      </c>
      <c r="W1249" s="64">
        <f>Ringkasan!W1248</f>
        <v>925</v>
      </c>
      <c r="X1249" s="64">
        <f>Ringkasan!X1248</f>
        <v>945</v>
      </c>
      <c r="Y1249" s="64">
        <f>Ringkasan!Y1248</f>
        <v>925</v>
      </c>
      <c r="Z1249" s="64">
        <f>Ringkasan!Z1248</f>
        <v>7391800</v>
      </c>
      <c r="AA1249" s="64" t="str">
        <f>Ringkasan!AA1248</f>
        <v>Specialty Retail</v>
      </c>
      <c r="AB1249" s="64" t="str">
        <f>Ringkasan!AB1248</f>
        <v>Consumer Cyclicals</v>
      </c>
    </row>
    <row r="1250" hidden="1">
      <c r="A1250" s="64" t="str">
        <f>Ringkasan!A1249</f>
        <v>MPOW</v>
      </c>
      <c r="B1250" s="64" t="str">
        <f>Ringkasan!B1249</f>
        <v>Megapower Makmur Tbk.</v>
      </c>
      <c r="C1250" s="65">
        <f>Ringkasan!C1249</f>
        <v>97</v>
      </c>
      <c r="D1250" s="64" t="str">
        <f>Ringkasan!D1249</f>
        <v>#N/A</v>
      </c>
      <c r="E1250" s="64" t="str">
        <f>Ringkasan!E1249</f>
        <v/>
      </c>
      <c r="F1250" s="64" t="str">
        <f>Ringkasan!F1249</f>
        <v/>
      </c>
      <c r="G1250" s="64">
        <f>Ringkasan!G1249</f>
        <v>0</v>
      </c>
      <c r="H1250" s="19">
        <f>Ringkasan!H1249</f>
        <v>-6.7</v>
      </c>
      <c r="I1250" s="19">
        <f>Ringkasan!I1249</f>
        <v>0.93</v>
      </c>
      <c r="J1250" s="19">
        <f>Ringkasan!J1249</f>
        <v>-14</v>
      </c>
      <c r="K1250" s="19">
        <f>Ringkasan!K1249</f>
        <v>-10.4</v>
      </c>
      <c r="L1250" s="19">
        <f>Ringkasan!L1249</f>
        <v>0.35</v>
      </c>
      <c r="M1250" s="19">
        <f>Ringkasan!M1249</f>
        <v>-400</v>
      </c>
      <c r="N1250" s="64" t="str">
        <f>Ringkasan!N1249</f>
        <v/>
      </c>
      <c r="O1250" s="64" t="str">
        <f>Ringkasan!O1249</f>
        <v/>
      </c>
      <c r="P1250" s="64" t="str">
        <f>Ringkasan!P1249</f>
        <v/>
      </c>
      <c r="Q1250" s="64" t="str">
        <f>Ringkasan!Q1249</f>
        <v/>
      </c>
      <c r="R1250" s="64" t="str">
        <f>Ringkasan!R1249</f>
        <v/>
      </c>
      <c r="S1250" s="64" t="str">
        <f>Ringkasan!S1249</f>
        <v/>
      </c>
      <c r="T1250" s="64" t="str">
        <f>Ringkasan!T1249</f>
        <v/>
      </c>
      <c r="U1250" s="64">
        <f>Ringkasan!U1249</f>
        <v>96</v>
      </c>
      <c r="V1250" s="64">
        <f>Ringkasan!V1249</f>
        <v>1.04</v>
      </c>
      <c r="W1250" s="64">
        <f>Ringkasan!W1249</f>
        <v>94</v>
      </c>
      <c r="X1250" s="64">
        <f>Ringkasan!X1249</f>
        <v>100</v>
      </c>
      <c r="Y1250" s="64">
        <f>Ringkasan!Y1249</f>
        <v>94</v>
      </c>
      <c r="Z1250" s="64">
        <f>Ringkasan!Z1249</f>
        <v>5406200</v>
      </c>
      <c r="AA1250" s="64" t="str">
        <f>Ringkasan!AA1249</f>
        <v>Electric Utilities</v>
      </c>
      <c r="AB1250" s="64" t="str">
        <f>Ringkasan!AB1249</f>
        <v>Infrastructures</v>
      </c>
    </row>
    <row r="1251" hidden="1">
      <c r="A1251" s="64" t="str">
        <f>Ringkasan!A1250</f>
        <v>MPPA</v>
      </c>
      <c r="B1251" s="64" t="str">
        <f>Ringkasan!B1250</f>
        <v>Matahari Putra Prima Tbk</v>
      </c>
      <c r="C1251" s="65">
        <f>Ringkasan!C1250</f>
        <v>41</v>
      </c>
      <c r="D1251" s="64" t="str">
        <f>Ringkasan!D1250</f>
        <v>#N/A</v>
      </c>
      <c r="E1251" s="64" t="str">
        <f>Ringkasan!E1250</f>
        <v/>
      </c>
      <c r="F1251" s="64" t="str">
        <f>Ringkasan!F1250</f>
        <v/>
      </c>
      <c r="G1251" s="64">
        <f>Ringkasan!G1250</f>
        <v>0</v>
      </c>
      <c r="H1251" s="19">
        <f>Ringkasan!H1250</f>
        <v>-4.9</v>
      </c>
      <c r="I1251" s="19">
        <f>Ringkasan!I1250</f>
        <v>-1040</v>
      </c>
      <c r="J1251" s="19">
        <f>Ringkasan!J1250</f>
        <v>0</v>
      </c>
      <c r="K1251" s="19">
        <f>Ringkasan!K1250</f>
        <v>-4</v>
      </c>
      <c r="L1251" s="19">
        <f>Ringkasan!L1250</f>
        <v>-5380</v>
      </c>
      <c r="M1251" s="19">
        <f>Ringkasan!M1250</f>
        <v>-5.8</v>
      </c>
      <c r="N1251" s="64" t="str">
        <f>Ringkasan!N1250</f>
        <v/>
      </c>
      <c r="O1251" s="64" t="str">
        <f>Ringkasan!O1250</f>
        <v/>
      </c>
      <c r="P1251" s="64" t="str">
        <f>Ringkasan!P1250</f>
        <v/>
      </c>
      <c r="Q1251" s="64" t="str">
        <f>Ringkasan!Q1250</f>
        <v/>
      </c>
      <c r="R1251" s="64" t="str">
        <f>Ringkasan!R1250</f>
        <v/>
      </c>
      <c r="S1251" s="64" t="str">
        <f>Ringkasan!S1250</f>
        <v/>
      </c>
      <c r="T1251" s="64" t="str">
        <f>Ringkasan!T1250</f>
        <v/>
      </c>
      <c r="U1251" s="64">
        <f>Ringkasan!U1250</f>
        <v>40</v>
      </c>
      <c r="V1251" s="64">
        <f>Ringkasan!V1250</f>
        <v>2.5</v>
      </c>
      <c r="W1251" s="64">
        <f>Ringkasan!W1250</f>
        <v>39</v>
      </c>
      <c r="X1251" s="64">
        <f>Ringkasan!X1250</f>
        <v>41</v>
      </c>
      <c r="Y1251" s="64">
        <f>Ringkasan!Y1250</f>
        <v>39</v>
      </c>
      <c r="Z1251" s="64">
        <f>Ringkasan!Z1250</f>
        <v>28277200</v>
      </c>
      <c r="AA1251" s="64" t="str">
        <f>Ringkasan!AA1250</f>
        <v>Food &amp; Staples Retailing</v>
      </c>
      <c r="AB1251" s="64" t="str">
        <f>Ringkasan!AB1250</f>
        <v>Consumer Non-Cyclicals</v>
      </c>
    </row>
    <row r="1252" hidden="1">
      <c r="A1252" s="64" t="str">
        <f>Ringkasan!A1251</f>
        <v>MPRO</v>
      </c>
      <c r="B1252" s="64" t="str">
        <f>Ringkasan!B1251</f>
        <v>Maha Properti Indonesia Tbk.</v>
      </c>
      <c r="C1252" s="65">
        <f>Ringkasan!C1251</f>
        <v>7000</v>
      </c>
      <c r="D1252" s="64" t="str">
        <f>Ringkasan!D1251</f>
        <v>#N/A</v>
      </c>
      <c r="E1252" s="64" t="str">
        <f>Ringkasan!E1251</f>
        <v/>
      </c>
      <c r="F1252" s="64" t="str">
        <f>Ringkasan!F1251</f>
        <v/>
      </c>
      <c r="G1252" s="64">
        <f>Ringkasan!G1251</f>
        <v>0</v>
      </c>
      <c r="H1252" s="19">
        <f>Ringkasan!H1251</f>
        <v>-1510</v>
      </c>
      <c r="I1252" s="19">
        <f>Ringkasan!I1251</f>
        <v>76</v>
      </c>
      <c r="J1252" s="19">
        <f>Ringkasan!J1251</f>
        <v>-5</v>
      </c>
      <c r="K1252" s="19">
        <f>Ringkasan!K1251</f>
        <v>-3.5</v>
      </c>
      <c r="L1252" s="19">
        <f>Ringkasan!L1251</f>
        <v>0.42</v>
      </c>
      <c r="M1252" s="19">
        <f>Ringkasan!M1251</f>
        <v>-5390</v>
      </c>
      <c r="N1252" s="64" t="str">
        <f>Ringkasan!N1251</f>
        <v/>
      </c>
      <c r="O1252" s="64" t="str">
        <f>Ringkasan!O1251</f>
        <v/>
      </c>
      <c r="P1252" s="64" t="str">
        <f>Ringkasan!P1251</f>
        <v/>
      </c>
      <c r="Q1252" s="64" t="str">
        <f>Ringkasan!Q1251</f>
        <v/>
      </c>
      <c r="R1252" s="64" t="str">
        <f>Ringkasan!R1251</f>
        <v/>
      </c>
      <c r="S1252" s="64" t="str">
        <f>Ringkasan!S1251</f>
        <v/>
      </c>
      <c r="T1252" s="64" t="str">
        <f>Ringkasan!T1251</f>
        <v/>
      </c>
      <c r="U1252" s="64">
        <f>Ringkasan!U1251</f>
        <v>32.64</v>
      </c>
      <c r="V1252" s="64">
        <f>Ringkasan!V1251</f>
        <v>0.07</v>
      </c>
      <c r="W1252" s="64">
        <f>Ringkasan!W1251</f>
        <v>32.64</v>
      </c>
      <c r="X1252" s="64">
        <f>Ringkasan!X1251</f>
        <v>32.66</v>
      </c>
      <c r="Y1252" s="64">
        <f>Ringkasan!Y1251</f>
        <v>32.64</v>
      </c>
      <c r="Z1252" s="64">
        <f>Ringkasan!Z1251</f>
        <v>43</v>
      </c>
      <c r="AA1252" s="64" t="str">
        <f>Ringkasan!AA1251</f>
        <v>Real Estate Management &amp; Development</v>
      </c>
      <c r="AB1252" s="64" t="str">
        <f>Ringkasan!AB1251</f>
        <v>Properties &amp; Real Estate</v>
      </c>
    </row>
    <row r="1253" hidden="1">
      <c r="A1253" s="64" t="str">
        <f>Ringkasan!A1252</f>
        <v>MPXL</v>
      </c>
      <c r="B1253" s="64" t="str">
        <f>Ringkasan!B1252</f>
        <v>PT MPX Logistics International Tbk</v>
      </c>
      <c r="C1253" s="65">
        <f>Ringkasan!C1252</f>
        <v>145</v>
      </c>
      <c r="D1253" s="64" t="str">
        <f>Ringkasan!D1252</f>
        <v>#N/A</v>
      </c>
      <c r="E1253" s="64" t="str">
        <f>Ringkasan!E1252</f>
        <v/>
      </c>
      <c r="F1253" s="64" t="str">
        <f>Ringkasan!F1252</f>
        <v/>
      </c>
      <c r="G1253" s="64">
        <f>Ringkasan!G1252</f>
        <v>0</v>
      </c>
      <c r="H1253" s="19">
        <f>Ringkasan!H1252</f>
        <v>-40.9</v>
      </c>
      <c r="I1253" s="19">
        <f>Ringkasan!I1252</f>
        <v>3.4</v>
      </c>
      <c r="J1253" s="19">
        <f>Ringkasan!J1252</f>
        <v>-8.3</v>
      </c>
      <c r="K1253" s="19">
        <f>Ringkasan!K1252</f>
        <v>-3.7</v>
      </c>
      <c r="L1253" s="19">
        <f>Ringkasan!L1252</f>
        <v>1.2</v>
      </c>
      <c r="M1253" s="19">
        <f>Ringkasan!M1252</f>
        <v>-21</v>
      </c>
      <c r="N1253" s="64" t="str">
        <f>Ringkasan!N1252</f>
        <v/>
      </c>
      <c r="O1253" s="64" t="str">
        <f>Ringkasan!O1252</f>
        <v/>
      </c>
      <c r="P1253" s="64" t="str">
        <f>Ringkasan!P1252</f>
        <v/>
      </c>
      <c r="Q1253" s="64" t="str">
        <f>Ringkasan!Q1252</f>
        <v/>
      </c>
      <c r="R1253" s="64" t="str">
        <f>Ringkasan!R1252</f>
        <v/>
      </c>
      <c r="S1253" s="64" t="str">
        <f>Ringkasan!S1252</f>
        <v/>
      </c>
      <c r="T1253" s="64" t="str">
        <f>Ringkasan!T1252</f>
        <v/>
      </c>
      <c r="U1253" s="64">
        <f>Ringkasan!U1252</f>
        <v>145</v>
      </c>
      <c r="V1253" s="64">
        <f>Ringkasan!V1252</f>
        <v>0</v>
      </c>
      <c r="W1253" s="64">
        <f>Ringkasan!W1252</f>
        <v>145</v>
      </c>
      <c r="X1253" s="64">
        <f>Ringkasan!X1252</f>
        <v>150</v>
      </c>
      <c r="Y1253" s="64">
        <f>Ringkasan!Y1252</f>
        <v>139</v>
      </c>
      <c r="Z1253" s="64">
        <f>Ringkasan!Z1252</f>
        <v>478600</v>
      </c>
      <c r="AA1253" s="64" t="str">
        <f>Ringkasan!AA1252</f>
        <v>Logistics &amp; Deliveries</v>
      </c>
      <c r="AB1253" s="64" t="str">
        <f>Ringkasan!AB1252</f>
        <v>Transportation &amp; Logistic</v>
      </c>
    </row>
    <row r="1254" hidden="1">
      <c r="A1254" s="64" t="str">
        <f>Ringkasan!A1253</f>
        <v>MRAT</v>
      </c>
      <c r="B1254" s="64" t="str">
        <f>Ringkasan!B1253</f>
        <v>Mustika Ratu Tbk</v>
      </c>
      <c r="C1254" s="65">
        <f>Ringkasan!C1253</f>
        <v>450</v>
      </c>
      <c r="D1254" s="64" t="str">
        <f>Ringkasan!D1253</f>
        <v>#N/A</v>
      </c>
      <c r="E1254" s="64" t="str">
        <f>Ringkasan!E1253</f>
        <v/>
      </c>
      <c r="F1254" s="64" t="str">
        <f>Ringkasan!F1253</f>
        <v/>
      </c>
      <c r="G1254" s="64">
        <f>Ringkasan!G1253</f>
        <v>0</v>
      </c>
      <c r="H1254" s="19">
        <f>Ringkasan!H1253</f>
        <v>150</v>
      </c>
      <c r="I1254" s="19">
        <f>Ringkasan!I1253</f>
        <v>0.3</v>
      </c>
      <c r="J1254" s="19">
        <f>Ringkasan!J1253</f>
        <v>0.2</v>
      </c>
      <c r="K1254" s="19">
        <f>Ringkasan!K1253</f>
        <v>0.15</v>
      </c>
      <c r="L1254" s="19">
        <f>Ringkasan!L1253</f>
        <v>0.37</v>
      </c>
      <c r="M1254" s="19">
        <f>Ringkasan!M1253</f>
        <v>1</v>
      </c>
      <c r="N1254" s="64" t="str">
        <f>Ringkasan!N1253</f>
        <v/>
      </c>
      <c r="O1254" s="64" t="str">
        <f>Ringkasan!O1253</f>
        <v/>
      </c>
      <c r="P1254" s="64" t="str">
        <f>Ringkasan!P1253</f>
        <v/>
      </c>
      <c r="Q1254" s="64" t="str">
        <f>Ringkasan!Q1253</f>
        <v/>
      </c>
      <c r="R1254" s="64" t="str">
        <f>Ringkasan!R1253</f>
        <v/>
      </c>
      <c r="S1254" s="64" t="str">
        <f>Ringkasan!S1253</f>
        <v/>
      </c>
      <c r="T1254" s="64" t="str">
        <f>Ringkasan!T1253</f>
        <v/>
      </c>
      <c r="U1254" s="64">
        <f>Ringkasan!U1253</f>
        <v>430</v>
      </c>
      <c r="V1254" s="64">
        <f>Ringkasan!V1253</f>
        <v>4.65</v>
      </c>
      <c r="W1254" s="64">
        <f>Ringkasan!W1253</f>
        <v>440</v>
      </c>
      <c r="X1254" s="64">
        <f>Ringkasan!X1253</f>
        <v>450</v>
      </c>
      <c r="Y1254" s="64">
        <f>Ringkasan!Y1253</f>
        <v>430</v>
      </c>
      <c r="Z1254" s="64">
        <f>Ringkasan!Z1253</f>
        <v>294300</v>
      </c>
      <c r="AA1254" s="64" t="str">
        <f>Ringkasan!AA1253</f>
        <v>Personal Care Products</v>
      </c>
      <c r="AB1254" s="64" t="str">
        <f>Ringkasan!AB1253</f>
        <v>Consumer Non-Cyclicals</v>
      </c>
    </row>
    <row r="1255" hidden="1">
      <c r="A1255" s="64" t="str">
        <f>Ringkasan!A1254</f>
        <v>MREI</v>
      </c>
      <c r="B1255" s="64" t="str">
        <f>Ringkasan!B1254</f>
        <v>Maskapai Reasuransi Indonesia Tbk</v>
      </c>
      <c r="C1255" s="65">
        <f>Ringkasan!C1254</f>
        <v>985</v>
      </c>
      <c r="D1255" s="64" t="str">
        <f>Ringkasan!D1254</f>
        <v>#N/A</v>
      </c>
      <c r="E1255" s="64" t="str">
        <f>Ringkasan!E1254</f>
        <v/>
      </c>
      <c r="F1255" s="64" t="str">
        <f>Ringkasan!F1254</f>
        <v/>
      </c>
      <c r="G1255" s="64">
        <f>Ringkasan!G1254</f>
        <v>0</v>
      </c>
      <c r="H1255" s="19">
        <f>Ringkasan!H1254</f>
        <v>5.5</v>
      </c>
      <c r="I1255" s="19">
        <f>Ringkasan!I1254</f>
        <v>0.31</v>
      </c>
      <c r="J1255" s="19">
        <f>Ringkasan!J1254</f>
        <v>5.6</v>
      </c>
      <c r="K1255" s="19">
        <f>Ringkasan!K1254</f>
        <v>1.7</v>
      </c>
      <c r="L1255" s="19">
        <f>Ringkasan!L1254</f>
        <v>2.3</v>
      </c>
      <c r="M1255" s="19">
        <f>Ringkasan!M1254</f>
        <v>3.1</v>
      </c>
      <c r="N1255" s="64" t="str">
        <f>Ringkasan!N1254</f>
        <v/>
      </c>
      <c r="O1255" s="64" t="str">
        <f>Ringkasan!O1254</f>
        <v/>
      </c>
      <c r="P1255" s="64" t="str">
        <f>Ringkasan!P1254</f>
        <v/>
      </c>
      <c r="Q1255" s="64" t="str">
        <f>Ringkasan!Q1254</f>
        <v/>
      </c>
      <c r="R1255" s="64" t="str">
        <f>Ringkasan!R1254</f>
        <v/>
      </c>
      <c r="S1255" s="64" t="str">
        <f>Ringkasan!S1254</f>
        <v/>
      </c>
      <c r="T1255" s="64" t="str">
        <f>Ringkasan!T1254</f>
        <v/>
      </c>
      <c r="U1255" s="64">
        <f>Ringkasan!U1254</f>
        <v>970</v>
      </c>
      <c r="V1255" s="64">
        <f>Ringkasan!V1254</f>
        <v>1.55</v>
      </c>
      <c r="W1255" s="64">
        <f>Ringkasan!W1254</f>
        <v>1000</v>
      </c>
      <c r="X1255" s="64">
        <f>Ringkasan!X1254</f>
        <v>1000</v>
      </c>
      <c r="Y1255" s="64">
        <f>Ringkasan!Y1254</f>
        <v>965</v>
      </c>
      <c r="Z1255" s="64">
        <f>Ringkasan!Z1254</f>
        <v>40800</v>
      </c>
      <c r="AA1255" s="64" t="str">
        <f>Ringkasan!AA1254</f>
        <v>Insurance</v>
      </c>
      <c r="AB1255" s="64" t="str">
        <f>Ringkasan!AB1254</f>
        <v>Financials</v>
      </c>
    </row>
    <row r="1256" hidden="1">
      <c r="A1256" s="64" t="str">
        <f>Ringkasan!A1255</f>
        <v>MSIE</v>
      </c>
      <c r="B1256" s="64" t="str">
        <f>Ringkasan!B1255</f>
        <v>PT Multisarana Intan Eduka Tbk</v>
      </c>
      <c r="C1256" s="65">
        <f>Ringkasan!C1255</f>
        <v>97</v>
      </c>
      <c r="D1256" s="64" t="str">
        <f>Ringkasan!D1255</f>
        <v>#N/A</v>
      </c>
      <c r="E1256" s="64" t="str">
        <f>Ringkasan!E1255</f>
        <v/>
      </c>
      <c r="F1256" s="64" t="str">
        <f>Ringkasan!F1255</f>
        <v/>
      </c>
      <c r="G1256" s="64">
        <f>Ringkasan!G1255</f>
        <v>0</v>
      </c>
      <c r="H1256" s="19">
        <f>Ringkasan!H1255</f>
        <v>310</v>
      </c>
      <c r="I1256" s="19">
        <f>Ringkasan!I1255</f>
        <v>1.9</v>
      </c>
      <c r="J1256" s="19">
        <f>Ringkasan!J1255</f>
        <v>0.61</v>
      </c>
      <c r="K1256" s="19">
        <f>Ringkasan!K1255</f>
        <v>0.55</v>
      </c>
      <c r="L1256" s="19">
        <f>Ringkasan!L1255</f>
        <v>0.1</v>
      </c>
      <c r="M1256" s="19">
        <f>Ringkasan!M1255</f>
        <v>38.6</v>
      </c>
      <c r="N1256" s="64" t="str">
        <f>Ringkasan!N1255</f>
        <v/>
      </c>
      <c r="O1256" s="64" t="str">
        <f>Ringkasan!O1255</f>
        <v/>
      </c>
      <c r="P1256" s="64" t="str">
        <f>Ringkasan!P1255</f>
        <v/>
      </c>
      <c r="Q1256" s="64" t="str">
        <f>Ringkasan!Q1255</f>
        <v/>
      </c>
      <c r="R1256" s="64" t="str">
        <f>Ringkasan!R1255</f>
        <v/>
      </c>
      <c r="S1256" s="64" t="str">
        <f>Ringkasan!S1255</f>
        <v/>
      </c>
      <c r="T1256" s="64" t="str">
        <f>Ringkasan!T1255</f>
        <v/>
      </c>
      <c r="U1256" s="64">
        <f>Ringkasan!U1255</f>
        <v>89</v>
      </c>
      <c r="V1256" s="64">
        <f>Ringkasan!V1255</f>
        <v>8.99</v>
      </c>
      <c r="W1256" s="64">
        <f>Ringkasan!W1255</f>
        <v>82</v>
      </c>
      <c r="X1256" s="64">
        <f>Ringkasan!X1255</f>
        <v>97</v>
      </c>
      <c r="Y1256" s="64">
        <f>Ringkasan!Y1255</f>
        <v>81</v>
      </c>
      <c r="Z1256" s="64">
        <f>Ringkasan!Z1255</f>
        <v>18944400</v>
      </c>
      <c r="AA1256" s="64" t="str">
        <f>Ringkasan!AA1255</f>
        <v>Real Estate Management &amp; Development</v>
      </c>
      <c r="AB1256" s="64" t="str">
        <f>Ringkasan!AB1255</f>
        <v>Properties &amp; Real Estate</v>
      </c>
    </row>
    <row r="1257" hidden="1">
      <c r="A1257" s="64" t="str">
        <f>Ringkasan!A1256</f>
        <v>MSIN</v>
      </c>
      <c r="B1257" s="64" t="str">
        <f>Ringkasan!B1256</f>
        <v>MNC Digital Entertainment Tbk.</v>
      </c>
      <c r="C1257" s="65">
        <f>Ringkasan!C1256</f>
        <v>530</v>
      </c>
      <c r="D1257" s="64" t="str">
        <f>Ringkasan!D1256</f>
        <v>#N/A</v>
      </c>
      <c r="E1257" s="64" t="str">
        <f>Ringkasan!E1256</f>
        <v>MNC36</v>
      </c>
      <c r="F1257" s="64" t="str">
        <f>Ringkasan!F1256</f>
        <v>30 Oktober 2026</v>
      </c>
      <c r="G1257" s="64">
        <f>Ringkasan!G1256</f>
        <v>1</v>
      </c>
      <c r="H1257" s="19">
        <f>Ringkasan!H1256</f>
        <v>24.5</v>
      </c>
      <c r="I1257" s="19">
        <f>Ringkasan!I1256</f>
        <v>3.6</v>
      </c>
      <c r="J1257" s="19">
        <f>Ringkasan!J1256</f>
        <v>14.5</v>
      </c>
      <c r="K1257" s="19">
        <f>Ringkasan!K1256</f>
        <v>12.1</v>
      </c>
      <c r="L1257" s="19">
        <f>Ringkasan!L1256</f>
        <v>0.2</v>
      </c>
      <c r="M1257" s="19">
        <f>Ringkasan!M1256</f>
        <v>95.3</v>
      </c>
      <c r="N1257" s="64" t="str">
        <f>Ringkasan!N1256</f>
        <v/>
      </c>
      <c r="O1257" s="64" t="str">
        <f>Ringkasan!O1256</f>
        <v/>
      </c>
      <c r="P1257" s="64" t="str">
        <f>Ringkasan!P1256</f>
        <v/>
      </c>
      <c r="Q1257" s="64" t="str">
        <f>Ringkasan!Q1256</f>
        <v/>
      </c>
      <c r="R1257" s="64" t="str">
        <f>Ringkasan!R1256</f>
        <v/>
      </c>
      <c r="S1257" s="64" t="str">
        <f>Ringkasan!S1256</f>
        <v/>
      </c>
      <c r="T1257" s="64" t="str">
        <f>Ringkasan!T1256</f>
        <v/>
      </c>
      <c r="U1257" s="64">
        <f>Ringkasan!U1256</f>
        <v>510</v>
      </c>
      <c r="V1257" s="64">
        <f>Ringkasan!V1256</f>
        <v>3.92</v>
      </c>
      <c r="W1257" s="64">
        <f>Ringkasan!W1256</f>
        <v>510</v>
      </c>
      <c r="X1257" s="64">
        <f>Ringkasan!X1256</f>
        <v>530</v>
      </c>
      <c r="Y1257" s="64">
        <f>Ringkasan!Y1256</f>
        <v>500</v>
      </c>
      <c r="Z1257" s="64">
        <f>Ringkasan!Z1256</f>
        <v>24798600</v>
      </c>
      <c r="AA1257" s="64" t="str">
        <f>Ringkasan!AA1256</f>
        <v>Entertainment &amp; Movie Production</v>
      </c>
      <c r="AB1257" s="64" t="str">
        <f>Ringkasan!AB1256</f>
        <v>Consumer Cyclicals</v>
      </c>
    </row>
    <row r="1258" hidden="1">
      <c r="A1258" s="64" t="str">
        <f>Ringkasan!A1257</f>
        <v>MSJA</v>
      </c>
      <c r="B1258" s="64" t="str">
        <f>Ringkasan!B1257</f>
        <v>Multi Spunindo Jaya Tbk.</v>
      </c>
      <c r="C1258" s="65">
        <f>Ringkasan!C1257</f>
        <v>414</v>
      </c>
      <c r="D1258" s="64" t="str">
        <f>Ringkasan!D1257</f>
        <v>#N/A</v>
      </c>
      <c r="E1258" s="64" t="str">
        <f>Ringkasan!E1257</f>
        <v/>
      </c>
      <c r="F1258" s="64" t="str">
        <f>Ringkasan!F1257</f>
        <v/>
      </c>
      <c r="G1258" s="64">
        <f>Ringkasan!G1257</f>
        <v>0</v>
      </c>
      <c r="H1258" s="19">
        <f>Ringkasan!H1257</f>
        <v>22.1</v>
      </c>
      <c r="I1258" s="19">
        <f>Ringkasan!I1257</f>
        <v>1.6</v>
      </c>
      <c r="J1258" s="19">
        <f>Ringkasan!J1257</f>
        <v>7.3</v>
      </c>
      <c r="K1258" s="19">
        <f>Ringkasan!K1257</f>
        <v>5.9</v>
      </c>
      <c r="L1258" s="19">
        <f>Ringkasan!L1257</f>
        <v>0.24</v>
      </c>
      <c r="M1258" s="19">
        <f>Ringkasan!M1257</f>
        <v>41.9</v>
      </c>
      <c r="N1258" s="64" t="str">
        <f>Ringkasan!N1257</f>
        <v/>
      </c>
      <c r="O1258" s="64" t="str">
        <f>Ringkasan!O1257</f>
        <v/>
      </c>
      <c r="P1258" s="64" t="str">
        <f>Ringkasan!P1257</f>
        <v/>
      </c>
      <c r="Q1258" s="64" t="str">
        <f>Ringkasan!Q1257</f>
        <v/>
      </c>
      <c r="R1258" s="64" t="str">
        <f>Ringkasan!R1257</f>
        <v/>
      </c>
      <c r="S1258" s="64" t="str">
        <f>Ringkasan!S1257</f>
        <v/>
      </c>
      <c r="T1258" s="64" t="str">
        <f>Ringkasan!T1257</f>
        <v/>
      </c>
      <c r="U1258" s="64">
        <f>Ringkasan!U1257</f>
        <v>398</v>
      </c>
      <c r="V1258" s="64">
        <f>Ringkasan!V1257</f>
        <v>4.02</v>
      </c>
      <c r="W1258" s="64">
        <f>Ringkasan!W1257</f>
        <v>392</v>
      </c>
      <c r="X1258" s="64">
        <f>Ringkasan!X1257</f>
        <v>436</v>
      </c>
      <c r="Y1258" s="64">
        <f>Ringkasan!Y1257</f>
        <v>390</v>
      </c>
      <c r="Z1258" s="64" t="str">
        <f>Ringkasan!Z1257</f>
        <v/>
      </c>
      <c r="AA1258" s="64" t="str">
        <f>Ringkasan!AA1257</f>
        <v>Personal Care Products</v>
      </c>
      <c r="AB1258" s="64" t="str">
        <f>Ringkasan!AB1257</f>
        <v>Consumer Non-Cyclicals</v>
      </c>
    </row>
    <row r="1259" hidden="1">
      <c r="A1259" s="64" t="str">
        <f>Ringkasan!A1258</f>
        <v>MSKY</v>
      </c>
      <c r="B1259" s="64" t="str">
        <f>Ringkasan!B1258</f>
        <v>MNC Sky Vision Tbk.</v>
      </c>
      <c r="C1259" s="65">
        <f>Ringkasan!C1258</f>
        <v>62</v>
      </c>
      <c r="D1259" s="64" t="str">
        <f>Ringkasan!D1258</f>
        <v>#N/A</v>
      </c>
      <c r="E1259" s="64" t="str">
        <f>Ringkasan!E1258</f>
        <v/>
      </c>
      <c r="F1259" s="64" t="str">
        <f>Ringkasan!F1258</f>
        <v/>
      </c>
      <c r="G1259" s="64">
        <f>Ringkasan!G1258</f>
        <v>0</v>
      </c>
      <c r="H1259" s="19">
        <f>Ringkasan!H1258</f>
        <v>-3.9</v>
      </c>
      <c r="I1259" s="19">
        <f>Ringkasan!I1258</f>
        <v>0.16</v>
      </c>
      <c r="J1259" s="19">
        <f>Ringkasan!J1258</f>
        <v>-4.2</v>
      </c>
      <c r="K1259" s="19">
        <f>Ringkasan!K1258</f>
        <v>-2.6</v>
      </c>
      <c r="L1259" s="19">
        <f>Ringkasan!L1258</f>
        <v>0.64</v>
      </c>
      <c r="M1259" s="19">
        <f>Ringkasan!M1258</f>
        <v>-49.5</v>
      </c>
      <c r="N1259" s="64" t="str">
        <f>Ringkasan!N1258</f>
        <v/>
      </c>
      <c r="O1259" s="64" t="str">
        <f>Ringkasan!O1258</f>
        <v/>
      </c>
      <c r="P1259" s="64" t="str">
        <f>Ringkasan!P1258</f>
        <v/>
      </c>
      <c r="Q1259" s="64" t="str">
        <f>Ringkasan!Q1258</f>
        <v/>
      </c>
      <c r="R1259" s="64" t="str">
        <f>Ringkasan!R1258</f>
        <v/>
      </c>
      <c r="S1259" s="64" t="str">
        <f>Ringkasan!S1258</f>
        <v/>
      </c>
      <c r="T1259" s="64" t="str">
        <f>Ringkasan!T1258</f>
        <v/>
      </c>
      <c r="U1259" s="64">
        <f>Ringkasan!U1258</f>
        <v>62</v>
      </c>
      <c r="V1259" s="64">
        <f>Ringkasan!V1258</f>
        <v>0</v>
      </c>
      <c r="W1259" s="64">
        <f>Ringkasan!W1258</f>
        <v>62</v>
      </c>
      <c r="X1259" s="64">
        <f>Ringkasan!X1258</f>
        <v>65</v>
      </c>
      <c r="Y1259" s="64">
        <f>Ringkasan!Y1258</f>
        <v>62</v>
      </c>
      <c r="Z1259" s="64">
        <f>Ringkasan!Z1258</f>
        <v>7739000</v>
      </c>
      <c r="AA1259" s="64" t="str">
        <f>Ringkasan!AA1258</f>
        <v>Media</v>
      </c>
      <c r="AB1259" s="64" t="str">
        <f>Ringkasan!AB1258</f>
        <v>Consumer Cyclicals</v>
      </c>
    </row>
    <row r="1260" hidden="1">
      <c r="A1260" s="64" t="str">
        <f>Ringkasan!A1259</f>
        <v>MSTI</v>
      </c>
      <c r="B1260" s="64" t="str">
        <f>Ringkasan!B1259</f>
        <v>Mastersystem Infotama Tbk.</v>
      </c>
      <c r="C1260" s="65">
        <f>Ringkasan!C1259</f>
        <v>1210</v>
      </c>
      <c r="D1260" s="64" t="str">
        <f>Ringkasan!D1259</f>
        <v>#N/A</v>
      </c>
      <c r="E1260" s="64" t="str">
        <f>Ringkasan!E1259</f>
        <v/>
      </c>
      <c r="F1260" s="64" t="str">
        <f>Ringkasan!F1259</f>
        <v/>
      </c>
      <c r="G1260" s="65">
        <f>Ringkasan!G1259</f>
        <v>0</v>
      </c>
      <c r="H1260" s="19">
        <f>Ringkasan!H1259</f>
        <v>7.9</v>
      </c>
      <c r="I1260" s="19">
        <f>Ringkasan!I1259</f>
        <v>1.8</v>
      </c>
      <c r="J1260" s="19">
        <f>Ringkasan!J1259</f>
        <v>22.5</v>
      </c>
      <c r="K1260" s="19">
        <f>Ringkasan!K1259</f>
        <v>15.9</v>
      </c>
      <c r="L1260" s="19">
        <f>Ringkasan!L1259</f>
        <v>0.42</v>
      </c>
      <c r="M1260" s="19">
        <f>Ringkasan!M1259</f>
        <v>49.3</v>
      </c>
      <c r="N1260" s="64" t="str">
        <f>Ringkasan!N1259</f>
        <v/>
      </c>
      <c r="O1260" s="64" t="str">
        <f>Ringkasan!O1259</f>
        <v/>
      </c>
      <c r="P1260" s="64" t="str">
        <f>Ringkasan!P1259</f>
        <v/>
      </c>
      <c r="Q1260" s="64" t="str">
        <f>Ringkasan!Q1259</f>
        <v/>
      </c>
      <c r="R1260" s="64" t="str">
        <f>Ringkasan!R1259</f>
        <v/>
      </c>
      <c r="S1260" s="64" t="str">
        <f>Ringkasan!S1259</f>
        <v/>
      </c>
      <c r="T1260" s="64" t="str">
        <f>Ringkasan!T1259</f>
        <v/>
      </c>
      <c r="U1260" s="64">
        <f>Ringkasan!U1259</f>
        <v>20.24</v>
      </c>
      <c r="V1260" s="64">
        <f>Ringkasan!V1259</f>
        <v>0.25</v>
      </c>
      <c r="W1260" s="64">
        <f>Ringkasan!W1259</f>
        <v>20.28</v>
      </c>
      <c r="X1260" s="64">
        <f>Ringkasan!X1259</f>
        <v>20.29</v>
      </c>
      <c r="Y1260" s="64">
        <f>Ringkasan!Y1259</f>
        <v>20.16</v>
      </c>
      <c r="Z1260" s="64">
        <f>Ringkasan!Z1259</f>
        <v>1411</v>
      </c>
      <c r="AA1260" s="64" t="str">
        <f>Ringkasan!AA1259</f>
        <v>Networking Equipment</v>
      </c>
      <c r="AB1260" s="64" t="str">
        <f>Ringkasan!AB1259</f>
        <v>Technology</v>
      </c>
    </row>
    <row r="1261" hidden="1">
      <c r="A1261" s="64" t="str">
        <f>Ringkasan!A1260</f>
        <v>MTDL</v>
      </c>
      <c r="B1261" s="64" t="str">
        <f>Ringkasan!B1260</f>
        <v>Metrodata Electronics Tbk.</v>
      </c>
      <c r="C1261" s="65">
        <f>Ringkasan!C1260</f>
        <v>535</v>
      </c>
      <c r="D1261" s="64" t="str">
        <f>Ringkasan!D1260</f>
        <v>#N/A</v>
      </c>
      <c r="E1261" s="64" t="str">
        <f>Ringkasan!E1260</f>
        <v/>
      </c>
      <c r="F1261" s="64" t="str">
        <f>Ringkasan!F1260</f>
        <v/>
      </c>
      <c r="G1261" s="65">
        <f>Ringkasan!G1260</f>
        <v>0</v>
      </c>
      <c r="H1261" s="19">
        <f>Ringkasan!H1260</f>
        <v>8</v>
      </c>
      <c r="I1261" s="19">
        <f>Ringkasan!I1260</f>
        <v>1</v>
      </c>
      <c r="J1261" s="19">
        <f>Ringkasan!J1260</f>
        <v>12.5</v>
      </c>
      <c r="K1261" s="19">
        <f>Ringkasan!K1260</f>
        <v>5.6</v>
      </c>
      <c r="L1261" s="19">
        <f>Ringkasan!L1260</f>
        <v>1.2</v>
      </c>
      <c r="M1261" s="19">
        <f>Ringkasan!M1260</f>
        <v>12.2</v>
      </c>
      <c r="N1261" s="64" t="str">
        <f>Ringkasan!N1260</f>
        <v/>
      </c>
      <c r="O1261" s="64" t="str">
        <f>Ringkasan!O1260</f>
        <v/>
      </c>
      <c r="P1261" s="64" t="str">
        <f>Ringkasan!P1260</f>
        <v/>
      </c>
      <c r="Q1261" s="64" t="str">
        <f>Ringkasan!Q1260</f>
        <v/>
      </c>
      <c r="R1261" s="64" t="str">
        <f>Ringkasan!R1260</f>
        <v/>
      </c>
      <c r="S1261" s="64" t="str">
        <f>Ringkasan!S1260</f>
        <v/>
      </c>
      <c r="T1261" s="64" t="str">
        <f>Ringkasan!T1260</f>
        <v/>
      </c>
      <c r="U1261" s="64">
        <f>Ringkasan!U1260</f>
        <v>510</v>
      </c>
      <c r="V1261" s="64">
        <f>Ringkasan!V1260</f>
        <v>4.9</v>
      </c>
      <c r="W1261" s="64">
        <f>Ringkasan!W1260</f>
        <v>510</v>
      </c>
      <c r="X1261" s="64">
        <f>Ringkasan!X1260</f>
        <v>550</v>
      </c>
      <c r="Y1261" s="64">
        <f>Ringkasan!Y1260</f>
        <v>510</v>
      </c>
      <c r="Z1261" s="64">
        <f>Ringkasan!Z1260</f>
        <v>3419300</v>
      </c>
      <c r="AA1261" s="64" t="str">
        <f>Ringkasan!AA1260</f>
        <v>Computer Hardware</v>
      </c>
      <c r="AB1261" s="64" t="str">
        <f>Ringkasan!AB1260</f>
        <v>Technology</v>
      </c>
    </row>
    <row r="1262" hidden="1">
      <c r="A1262" s="64" t="str">
        <f>Ringkasan!A1261</f>
        <v>MTEL</v>
      </c>
      <c r="B1262" s="64" t="str">
        <f>Ringkasan!B1261</f>
        <v>Dayamitra Telekomunikasi Tbk.</v>
      </c>
      <c r="C1262" s="65">
        <f>Ringkasan!C1261</f>
        <v>498</v>
      </c>
      <c r="D1262" s="64" t="str">
        <f>Ringkasan!D1261</f>
        <v>#N/A</v>
      </c>
      <c r="E1262" s="64" t="str">
        <f>Ringkasan!E1261</f>
        <v>ESGQKEHATI</v>
      </c>
      <c r="F1262" s="66">
        <f>Ringkasan!F1261</f>
        <v>46356</v>
      </c>
      <c r="G1262" s="64">
        <f>Ringkasan!G1261</f>
        <v>10</v>
      </c>
      <c r="H1262" s="19">
        <f>Ringkasan!H1261</f>
        <v>20.3</v>
      </c>
      <c r="I1262" s="19">
        <f>Ringkasan!I1261</f>
        <v>1.3</v>
      </c>
      <c r="J1262" s="19">
        <f>Ringkasan!J1261</f>
        <v>6.4</v>
      </c>
      <c r="K1262" s="19">
        <f>Ringkasan!K1261</f>
        <v>3.5</v>
      </c>
      <c r="L1262" s="19">
        <f>Ringkasan!L1261</f>
        <v>0.8</v>
      </c>
      <c r="M1262" s="19">
        <f>Ringkasan!M1261</f>
        <v>93.2</v>
      </c>
      <c r="N1262" s="64" t="str">
        <f>Ringkasan!N1261</f>
        <v/>
      </c>
      <c r="O1262" s="64" t="str">
        <f>Ringkasan!O1261</f>
        <v/>
      </c>
      <c r="P1262" s="64" t="str">
        <f>Ringkasan!P1261</f>
        <v/>
      </c>
      <c r="Q1262" s="64" t="str">
        <f>Ringkasan!Q1261</f>
        <v/>
      </c>
      <c r="R1262" s="64" t="str">
        <f>Ringkasan!R1261</f>
        <v/>
      </c>
      <c r="S1262" s="64" t="str">
        <f>Ringkasan!S1261</f>
        <v/>
      </c>
      <c r="T1262" s="64" t="str">
        <f>Ringkasan!T1261</f>
        <v/>
      </c>
      <c r="U1262" s="64">
        <f>Ringkasan!U1261</f>
        <v>500</v>
      </c>
      <c r="V1262" s="64">
        <f>Ringkasan!V1261</f>
        <v>-0.4</v>
      </c>
      <c r="W1262" s="64">
        <f>Ringkasan!W1261</f>
        <v>498</v>
      </c>
      <c r="X1262" s="64">
        <f>Ringkasan!X1261</f>
        <v>500</v>
      </c>
      <c r="Y1262" s="64">
        <f>Ringkasan!Y1261</f>
        <v>492</v>
      </c>
      <c r="Z1262" s="64">
        <f>Ringkasan!Z1261</f>
        <v>32723600</v>
      </c>
      <c r="AA1262" s="64" t="str">
        <f>Ringkasan!AA1261</f>
        <v>Wireless Telecommunication Services</v>
      </c>
      <c r="AB1262" s="64" t="str">
        <f>Ringkasan!AB1261</f>
        <v>Infrastructures</v>
      </c>
    </row>
    <row r="1263" hidden="1">
      <c r="A1263" s="64" t="str">
        <f>Ringkasan!A1262</f>
        <v>MTEL</v>
      </c>
      <c r="B1263" s="64" t="str">
        <f>Ringkasan!B1262</f>
        <v>Dayamitra Telekomunikasi Tbk.</v>
      </c>
      <c r="C1263" s="65">
        <f>Ringkasan!C1262</f>
        <v>498</v>
      </c>
      <c r="D1263" s="64" t="str">
        <f>Ringkasan!D1262</f>
        <v>#N/A</v>
      </c>
      <c r="E1263" s="64" t="str">
        <f>Ringkasan!E1262</f>
        <v>IDXMESBUMN</v>
      </c>
      <c r="F1263" s="66">
        <f>Ringkasan!F1262</f>
        <v>46356</v>
      </c>
      <c r="G1263" s="64">
        <f>Ringkasan!G1262</f>
        <v>10</v>
      </c>
      <c r="H1263" s="19">
        <f>Ringkasan!H1262</f>
        <v>20.3</v>
      </c>
      <c r="I1263" s="19">
        <f>Ringkasan!I1262</f>
        <v>1.3</v>
      </c>
      <c r="J1263" s="19">
        <f>Ringkasan!J1262</f>
        <v>6.4</v>
      </c>
      <c r="K1263" s="19">
        <f>Ringkasan!K1262</f>
        <v>3.5</v>
      </c>
      <c r="L1263" s="19">
        <f>Ringkasan!L1262</f>
        <v>0.8</v>
      </c>
      <c r="M1263" s="19">
        <f>Ringkasan!M1262</f>
        <v>93.2</v>
      </c>
      <c r="N1263" s="64" t="str">
        <f>Ringkasan!N1262</f>
        <v/>
      </c>
      <c r="O1263" s="64" t="str">
        <f>Ringkasan!O1262</f>
        <v/>
      </c>
      <c r="P1263" s="64" t="str">
        <f>Ringkasan!P1262</f>
        <v/>
      </c>
      <c r="Q1263" s="64" t="str">
        <f>Ringkasan!Q1262</f>
        <v/>
      </c>
      <c r="R1263" s="64" t="str">
        <f>Ringkasan!R1262</f>
        <v/>
      </c>
      <c r="S1263" s="64" t="str">
        <f>Ringkasan!S1262</f>
        <v/>
      </c>
      <c r="T1263" s="64" t="str">
        <f>Ringkasan!T1262</f>
        <v/>
      </c>
      <c r="U1263" s="64">
        <f>Ringkasan!U1262</f>
        <v>500</v>
      </c>
      <c r="V1263" s="64">
        <f>Ringkasan!V1262</f>
        <v>-0.4</v>
      </c>
      <c r="W1263" s="64">
        <f>Ringkasan!W1262</f>
        <v>498</v>
      </c>
      <c r="X1263" s="64">
        <f>Ringkasan!X1262</f>
        <v>500</v>
      </c>
      <c r="Y1263" s="64">
        <f>Ringkasan!Y1262</f>
        <v>492</v>
      </c>
      <c r="Z1263" s="64">
        <f>Ringkasan!Z1262</f>
        <v>32723600</v>
      </c>
      <c r="AA1263" s="64" t="str">
        <f>Ringkasan!AA1262</f>
        <v>Wireless Telecommunication Services</v>
      </c>
      <c r="AB1263" s="64" t="str">
        <f>Ringkasan!AB1262</f>
        <v>Infrastructures</v>
      </c>
    </row>
    <row r="1264" hidden="1">
      <c r="A1264" s="64" t="str">
        <f>Ringkasan!A1263</f>
        <v>MTEL</v>
      </c>
      <c r="B1264" s="64" t="str">
        <f>Ringkasan!B1263</f>
        <v>Dayamitra Telekomunikasi Tbk.</v>
      </c>
      <c r="C1264" s="65">
        <f>Ringkasan!C1263</f>
        <v>498</v>
      </c>
      <c r="D1264" s="64" t="str">
        <f>Ringkasan!D1263</f>
        <v>#N/A</v>
      </c>
      <c r="E1264" s="64" t="str">
        <f>Ringkasan!E1263</f>
        <v>ESGSKEHATI</v>
      </c>
      <c r="F1264" s="66">
        <f>Ringkasan!F1263</f>
        <v>46356</v>
      </c>
      <c r="G1264" s="64">
        <f>Ringkasan!G1263</f>
        <v>10</v>
      </c>
      <c r="H1264" s="19">
        <f>Ringkasan!H1263</f>
        <v>20.3</v>
      </c>
      <c r="I1264" s="19">
        <f>Ringkasan!I1263</f>
        <v>1.3</v>
      </c>
      <c r="J1264" s="19">
        <f>Ringkasan!J1263</f>
        <v>6.4</v>
      </c>
      <c r="K1264" s="19">
        <f>Ringkasan!K1263</f>
        <v>3.5</v>
      </c>
      <c r="L1264" s="19">
        <f>Ringkasan!L1263</f>
        <v>0.8</v>
      </c>
      <c r="M1264" s="19">
        <f>Ringkasan!M1263</f>
        <v>93.2</v>
      </c>
      <c r="N1264" s="64" t="str">
        <f>Ringkasan!N1263</f>
        <v/>
      </c>
      <c r="O1264" s="64" t="str">
        <f>Ringkasan!O1263</f>
        <v/>
      </c>
      <c r="P1264" s="64" t="str">
        <f>Ringkasan!P1263</f>
        <v/>
      </c>
      <c r="Q1264" s="64" t="str">
        <f>Ringkasan!Q1263</f>
        <v/>
      </c>
      <c r="R1264" s="64" t="str">
        <f>Ringkasan!R1263</f>
        <v/>
      </c>
      <c r="S1264" s="64" t="str">
        <f>Ringkasan!S1263</f>
        <v/>
      </c>
      <c r="T1264" s="64" t="str">
        <f>Ringkasan!T1263</f>
        <v/>
      </c>
      <c r="U1264" s="64">
        <f>Ringkasan!U1263</f>
        <v>500</v>
      </c>
      <c r="V1264" s="64">
        <f>Ringkasan!V1263</f>
        <v>-0.4</v>
      </c>
      <c r="W1264" s="64">
        <f>Ringkasan!W1263</f>
        <v>498</v>
      </c>
      <c r="X1264" s="64">
        <f>Ringkasan!X1263</f>
        <v>500</v>
      </c>
      <c r="Y1264" s="64">
        <f>Ringkasan!Y1263</f>
        <v>492</v>
      </c>
      <c r="Z1264" s="64">
        <f>Ringkasan!Z1263</f>
        <v>32723600</v>
      </c>
      <c r="AA1264" s="64" t="str">
        <f>Ringkasan!AA1263</f>
        <v>Wireless Telecommunication Services</v>
      </c>
      <c r="AB1264" s="64" t="str">
        <f>Ringkasan!AB1263</f>
        <v>Infrastructures</v>
      </c>
    </row>
    <row r="1265" hidden="1">
      <c r="A1265" s="64" t="str">
        <f>Ringkasan!A1264</f>
        <v>MTEL</v>
      </c>
      <c r="B1265" s="64" t="str">
        <f>Ringkasan!B1264</f>
        <v>Dayamitra Telekomunikasi Tbk.</v>
      </c>
      <c r="C1265" s="65">
        <f>Ringkasan!C1264</f>
        <v>498</v>
      </c>
      <c r="D1265" s="64" t="str">
        <f>Ringkasan!D1264</f>
        <v>#N/A</v>
      </c>
      <c r="E1265" s="64" t="str">
        <f>Ringkasan!E1264</f>
        <v>IDXBUMN20</v>
      </c>
      <c r="F1265" s="64" t="str">
        <f>Ringkasan!F1264</f>
        <v>4 Agustus 2026</v>
      </c>
      <c r="G1265" s="64">
        <f>Ringkasan!G1264</f>
        <v>10</v>
      </c>
      <c r="H1265" s="19">
        <f>Ringkasan!H1264</f>
        <v>20.3</v>
      </c>
      <c r="I1265" s="19">
        <f>Ringkasan!I1264</f>
        <v>1.3</v>
      </c>
      <c r="J1265" s="19">
        <f>Ringkasan!J1264</f>
        <v>6.4</v>
      </c>
      <c r="K1265" s="19">
        <f>Ringkasan!K1264</f>
        <v>3.5</v>
      </c>
      <c r="L1265" s="19">
        <f>Ringkasan!L1264</f>
        <v>0.8</v>
      </c>
      <c r="M1265" s="19">
        <f>Ringkasan!M1264</f>
        <v>93.2</v>
      </c>
      <c r="N1265" s="64" t="str">
        <f>Ringkasan!N1264</f>
        <v/>
      </c>
      <c r="O1265" s="64" t="str">
        <f>Ringkasan!O1264</f>
        <v/>
      </c>
      <c r="P1265" s="64" t="str">
        <f>Ringkasan!P1264</f>
        <v/>
      </c>
      <c r="Q1265" s="64" t="str">
        <f>Ringkasan!Q1264</f>
        <v/>
      </c>
      <c r="R1265" s="64" t="str">
        <f>Ringkasan!R1264</f>
        <v/>
      </c>
      <c r="S1265" s="64" t="str">
        <f>Ringkasan!S1264</f>
        <v/>
      </c>
      <c r="T1265" s="64" t="str">
        <f>Ringkasan!T1264</f>
        <v/>
      </c>
      <c r="U1265" s="64">
        <f>Ringkasan!U1264</f>
        <v>500</v>
      </c>
      <c r="V1265" s="64">
        <f>Ringkasan!V1264</f>
        <v>-0.4</v>
      </c>
      <c r="W1265" s="64">
        <f>Ringkasan!W1264</f>
        <v>498</v>
      </c>
      <c r="X1265" s="64">
        <f>Ringkasan!X1264</f>
        <v>500</v>
      </c>
      <c r="Y1265" s="64">
        <f>Ringkasan!Y1264</f>
        <v>492</v>
      </c>
      <c r="Z1265" s="64">
        <f>Ringkasan!Z1264</f>
        <v>32723600</v>
      </c>
      <c r="AA1265" s="64" t="str">
        <f>Ringkasan!AA1264</f>
        <v>Wireless Telecommunication Services</v>
      </c>
      <c r="AB1265" s="64" t="str">
        <f>Ringkasan!AB1264</f>
        <v>Infrastructures</v>
      </c>
    </row>
    <row r="1266" hidden="1">
      <c r="A1266" s="64" t="str">
        <f>Ringkasan!A1265</f>
        <v>MTEL</v>
      </c>
      <c r="B1266" s="64" t="str">
        <f>Ringkasan!B1265</f>
        <v>Dayamitra Telekomunikasi Tbk.</v>
      </c>
      <c r="C1266" s="65">
        <f>Ringkasan!C1265</f>
        <v>498</v>
      </c>
      <c r="D1266" s="64" t="str">
        <f>Ringkasan!D1265</f>
        <v>#N/A</v>
      </c>
      <c r="E1266" s="64" t="str">
        <f>Ringkasan!E1265</f>
        <v>MNC36</v>
      </c>
      <c r="F1266" s="64" t="str">
        <f>Ringkasan!F1265</f>
        <v>30 Oktober 2026</v>
      </c>
      <c r="G1266" s="64">
        <f>Ringkasan!G1265</f>
        <v>10</v>
      </c>
      <c r="H1266" s="19">
        <f>Ringkasan!H1265</f>
        <v>20.3</v>
      </c>
      <c r="I1266" s="19">
        <f>Ringkasan!I1265</f>
        <v>1.3</v>
      </c>
      <c r="J1266" s="19">
        <f>Ringkasan!J1265</f>
        <v>6.4</v>
      </c>
      <c r="K1266" s="19">
        <f>Ringkasan!K1265</f>
        <v>3.5</v>
      </c>
      <c r="L1266" s="19">
        <f>Ringkasan!L1265</f>
        <v>0.8</v>
      </c>
      <c r="M1266" s="19">
        <f>Ringkasan!M1265</f>
        <v>93.2</v>
      </c>
      <c r="N1266" s="64" t="str">
        <f>Ringkasan!N1265</f>
        <v/>
      </c>
      <c r="O1266" s="64" t="str">
        <f>Ringkasan!O1265</f>
        <v/>
      </c>
      <c r="P1266" s="64" t="str">
        <f>Ringkasan!P1265</f>
        <v/>
      </c>
      <c r="Q1266" s="64" t="str">
        <f>Ringkasan!Q1265</f>
        <v/>
      </c>
      <c r="R1266" s="64" t="str">
        <f>Ringkasan!R1265</f>
        <v/>
      </c>
      <c r="S1266" s="64" t="str">
        <f>Ringkasan!S1265</f>
        <v/>
      </c>
      <c r="T1266" s="64" t="str">
        <f>Ringkasan!T1265</f>
        <v/>
      </c>
      <c r="U1266" s="64">
        <f>Ringkasan!U1265</f>
        <v>500</v>
      </c>
      <c r="V1266" s="64">
        <f>Ringkasan!V1265</f>
        <v>-0.4</v>
      </c>
      <c r="W1266" s="64">
        <f>Ringkasan!W1265</f>
        <v>498</v>
      </c>
      <c r="X1266" s="64">
        <f>Ringkasan!X1265</f>
        <v>500</v>
      </c>
      <c r="Y1266" s="64">
        <f>Ringkasan!Y1265</f>
        <v>492</v>
      </c>
      <c r="Z1266" s="64">
        <f>Ringkasan!Z1265</f>
        <v>32723600</v>
      </c>
      <c r="AA1266" s="64" t="str">
        <f>Ringkasan!AA1265</f>
        <v>Wireless Telecommunication Services</v>
      </c>
      <c r="AB1266" s="64" t="str">
        <f>Ringkasan!AB1265</f>
        <v>Infrastructures</v>
      </c>
    </row>
    <row r="1267" hidden="1">
      <c r="A1267" s="64" t="str">
        <f>Ringkasan!A1266</f>
        <v>MTEL</v>
      </c>
      <c r="B1267" s="64" t="str">
        <f>Ringkasan!B1266</f>
        <v>Dayamitra Telekomunikasi Tbk.</v>
      </c>
      <c r="C1267" s="65">
        <f>Ringkasan!C1266</f>
        <v>498</v>
      </c>
      <c r="D1267" s="64" t="str">
        <f>Ringkasan!D1266</f>
        <v>#N/A</v>
      </c>
      <c r="E1267" s="64" t="str">
        <f>Ringkasan!E1266</f>
        <v>Kompas100</v>
      </c>
      <c r="F1267" s="64" t="str">
        <f>Ringkasan!F1266</f>
        <v>31 Juli 2026</v>
      </c>
      <c r="G1267" s="64">
        <f>Ringkasan!G1266</f>
        <v>10</v>
      </c>
      <c r="H1267" s="19">
        <f>Ringkasan!H1266</f>
        <v>20.3</v>
      </c>
      <c r="I1267" s="19">
        <f>Ringkasan!I1266</f>
        <v>1.3</v>
      </c>
      <c r="J1267" s="19">
        <f>Ringkasan!J1266</f>
        <v>6.4</v>
      </c>
      <c r="K1267" s="19">
        <f>Ringkasan!K1266</f>
        <v>3.5</v>
      </c>
      <c r="L1267" s="19">
        <f>Ringkasan!L1266</f>
        <v>0.8</v>
      </c>
      <c r="M1267" s="19">
        <f>Ringkasan!M1266</f>
        <v>93.2</v>
      </c>
      <c r="N1267" s="64" t="str">
        <f>Ringkasan!N1266</f>
        <v/>
      </c>
      <c r="O1267" s="64" t="str">
        <f>Ringkasan!O1266</f>
        <v/>
      </c>
      <c r="P1267" s="64" t="str">
        <f>Ringkasan!P1266</f>
        <v/>
      </c>
      <c r="Q1267" s="64" t="str">
        <f>Ringkasan!Q1266</f>
        <v/>
      </c>
      <c r="R1267" s="64" t="str">
        <f>Ringkasan!R1266</f>
        <v/>
      </c>
      <c r="S1267" s="64" t="str">
        <f>Ringkasan!S1266</f>
        <v/>
      </c>
      <c r="T1267" s="64" t="str">
        <f>Ringkasan!T1266</f>
        <v/>
      </c>
      <c r="U1267" s="64">
        <f>Ringkasan!U1266</f>
        <v>500</v>
      </c>
      <c r="V1267" s="64">
        <f>Ringkasan!V1266</f>
        <v>-0.4</v>
      </c>
      <c r="W1267" s="64">
        <f>Ringkasan!W1266</f>
        <v>498</v>
      </c>
      <c r="X1267" s="64">
        <f>Ringkasan!X1266</f>
        <v>500</v>
      </c>
      <c r="Y1267" s="64">
        <f>Ringkasan!Y1266</f>
        <v>492</v>
      </c>
      <c r="Z1267" s="64">
        <f>Ringkasan!Z1266</f>
        <v>32723600</v>
      </c>
      <c r="AA1267" s="64" t="str">
        <f>Ringkasan!AA1266</f>
        <v>Wireless Telecommunication Services</v>
      </c>
      <c r="AB1267" s="64" t="str">
        <f>Ringkasan!AB1266</f>
        <v>Infrastructures</v>
      </c>
    </row>
    <row r="1268" hidden="1">
      <c r="A1268" s="64" t="str">
        <f>Ringkasan!A1267</f>
        <v>MTEL</v>
      </c>
      <c r="B1268" s="64" t="str">
        <f>Ringkasan!B1267</f>
        <v>Dayamitra Telekomunikasi Tbk.</v>
      </c>
      <c r="C1268" s="65">
        <f>Ringkasan!C1267</f>
        <v>498</v>
      </c>
      <c r="D1268" s="64" t="str">
        <f>Ringkasan!D1267</f>
        <v>#N/A</v>
      </c>
      <c r="E1268" s="64" t="str">
        <f>Ringkasan!E1267</f>
        <v>FTSE Large Cap</v>
      </c>
      <c r="F1268" s="64" t="str">
        <f>Ringkasan!F1267</f>
        <v>Juni 2026</v>
      </c>
      <c r="G1268" s="64">
        <f>Ringkasan!G1267</f>
        <v>10</v>
      </c>
      <c r="H1268" s="19">
        <f>Ringkasan!H1267</f>
        <v>20.3</v>
      </c>
      <c r="I1268" s="19">
        <f>Ringkasan!I1267</f>
        <v>1.3</v>
      </c>
      <c r="J1268" s="19">
        <f>Ringkasan!J1267</f>
        <v>6.4</v>
      </c>
      <c r="K1268" s="19">
        <f>Ringkasan!K1267</f>
        <v>3.5</v>
      </c>
      <c r="L1268" s="19">
        <f>Ringkasan!L1267</f>
        <v>0.8</v>
      </c>
      <c r="M1268" s="19">
        <f>Ringkasan!M1267</f>
        <v>93.2</v>
      </c>
      <c r="N1268" s="64" t="str">
        <f>Ringkasan!N1267</f>
        <v/>
      </c>
      <c r="O1268" s="64" t="str">
        <f>Ringkasan!O1267</f>
        <v/>
      </c>
      <c r="P1268" s="64" t="str">
        <f>Ringkasan!P1267</f>
        <v/>
      </c>
      <c r="Q1268" s="64" t="str">
        <f>Ringkasan!Q1267</f>
        <v/>
      </c>
      <c r="R1268" s="64" t="str">
        <f>Ringkasan!R1267</f>
        <v/>
      </c>
      <c r="S1268" s="64" t="str">
        <f>Ringkasan!S1267</f>
        <v/>
      </c>
      <c r="T1268" s="64" t="str">
        <f>Ringkasan!T1267</f>
        <v/>
      </c>
      <c r="U1268" s="64">
        <f>Ringkasan!U1267</f>
        <v>500</v>
      </c>
      <c r="V1268" s="64">
        <f>Ringkasan!V1267</f>
        <v>-0.4</v>
      </c>
      <c r="W1268" s="64">
        <f>Ringkasan!W1267</f>
        <v>498</v>
      </c>
      <c r="X1268" s="64">
        <f>Ringkasan!X1267</f>
        <v>500</v>
      </c>
      <c r="Y1268" s="64">
        <f>Ringkasan!Y1267</f>
        <v>492</v>
      </c>
      <c r="Z1268" s="64">
        <f>Ringkasan!Z1267</f>
        <v>32723600</v>
      </c>
      <c r="AA1268" s="64" t="str">
        <f>Ringkasan!AA1267</f>
        <v>Wireless Telecommunication Services</v>
      </c>
      <c r="AB1268" s="64" t="str">
        <f>Ringkasan!AB1267</f>
        <v>Infrastructures</v>
      </c>
    </row>
    <row r="1269" hidden="1">
      <c r="A1269" s="64" t="str">
        <f>Ringkasan!A1268</f>
        <v>MTEL</v>
      </c>
      <c r="B1269" s="64" t="str">
        <f>Ringkasan!B1268</f>
        <v>Dayamitra Telekomunikasi Tbk.</v>
      </c>
      <c r="C1269" s="65">
        <f>Ringkasan!C1268</f>
        <v>498</v>
      </c>
      <c r="D1269" s="64" t="str">
        <f>Ringkasan!D1268</f>
        <v>#N/A</v>
      </c>
      <c r="E1269" s="64" t="str">
        <f>Ringkasan!E1268</f>
        <v>MSCI Small Cap</v>
      </c>
      <c r="F1269" s="64" t="str">
        <f>Ringkasan!F1268</f>
        <v>12 Agustus 2026</v>
      </c>
      <c r="G1269" s="64">
        <f>Ringkasan!G1268</f>
        <v>10</v>
      </c>
      <c r="H1269" s="19">
        <f>Ringkasan!H1268</f>
        <v>20.3</v>
      </c>
      <c r="I1269" s="19">
        <f>Ringkasan!I1268</f>
        <v>1.3</v>
      </c>
      <c r="J1269" s="19">
        <f>Ringkasan!J1268</f>
        <v>6.4</v>
      </c>
      <c r="K1269" s="19">
        <f>Ringkasan!K1268</f>
        <v>3.5</v>
      </c>
      <c r="L1269" s="19">
        <f>Ringkasan!L1268</f>
        <v>0.8</v>
      </c>
      <c r="M1269" s="19">
        <f>Ringkasan!M1268</f>
        <v>93.2</v>
      </c>
      <c r="N1269" s="64" t="str">
        <f>Ringkasan!N1268</f>
        <v/>
      </c>
      <c r="O1269" s="64" t="str">
        <f>Ringkasan!O1268</f>
        <v/>
      </c>
      <c r="P1269" s="64" t="str">
        <f>Ringkasan!P1268</f>
        <v/>
      </c>
      <c r="Q1269" s="64" t="str">
        <f>Ringkasan!Q1268</f>
        <v/>
      </c>
      <c r="R1269" s="64" t="str">
        <f>Ringkasan!R1268</f>
        <v/>
      </c>
      <c r="S1269" s="64" t="str">
        <f>Ringkasan!S1268</f>
        <v/>
      </c>
      <c r="T1269" s="64" t="str">
        <f>Ringkasan!T1268</f>
        <v/>
      </c>
      <c r="U1269" s="64">
        <f>Ringkasan!U1268</f>
        <v>500</v>
      </c>
      <c r="V1269" s="64">
        <f>Ringkasan!V1268</f>
        <v>-0.4</v>
      </c>
      <c r="W1269" s="64">
        <f>Ringkasan!W1268</f>
        <v>498</v>
      </c>
      <c r="X1269" s="64">
        <f>Ringkasan!X1268</f>
        <v>500</v>
      </c>
      <c r="Y1269" s="64">
        <f>Ringkasan!Y1268</f>
        <v>492</v>
      </c>
      <c r="Z1269" s="64">
        <f>Ringkasan!Z1268</f>
        <v>32723600</v>
      </c>
      <c r="AA1269" s="64" t="str">
        <f>Ringkasan!AA1268</f>
        <v>Wireless Telecommunication Services</v>
      </c>
      <c r="AB1269" s="64" t="str">
        <f>Ringkasan!AB1268</f>
        <v>Infrastructures</v>
      </c>
    </row>
    <row r="1270" hidden="1">
      <c r="A1270" s="64" t="str">
        <f>Ringkasan!A1269</f>
        <v>MTEL</v>
      </c>
      <c r="B1270" s="64" t="str">
        <f>Ringkasan!B1269</f>
        <v>Dayamitra Telekomunikasi Tbk.</v>
      </c>
      <c r="C1270" s="65">
        <f>Ringkasan!C1269</f>
        <v>498</v>
      </c>
      <c r="D1270" s="64" t="str">
        <f>Ringkasan!D1269</f>
        <v>#N/A</v>
      </c>
      <c r="E1270" s="64" t="str">
        <f>Ringkasan!E1269</f>
        <v>SRI-KEHATI</v>
      </c>
      <c r="F1270" s="66">
        <f>Ringkasan!F1269</f>
        <v>46356</v>
      </c>
      <c r="G1270" s="64">
        <f>Ringkasan!G1269</f>
        <v>10</v>
      </c>
      <c r="H1270" s="19">
        <f>Ringkasan!H1269</f>
        <v>20.3</v>
      </c>
      <c r="I1270" s="19">
        <f>Ringkasan!I1269</f>
        <v>1.3</v>
      </c>
      <c r="J1270" s="19">
        <f>Ringkasan!J1269</f>
        <v>6.4</v>
      </c>
      <c r="K1270" s="19">
        <f>Ringkasan!K1269</f>
        <v>3.5</v>
      </c>
      <c r="L1270" s="19">
        <f>Ringkasan!L1269</f>
        <v>0.8</v>
      </c>
      <c r="M1270" s="19">
        <f>Ringkasan!M1269</f>
        <v>93.2</v>
      </c>
      <c r="N1270" s="64" t="str">
        <f>Ringkasan!N1269</f>
        <v/>
      </c>
      <c r="O1270" s="64" t="str">
        <f>Ringkasan!O1269</f>
        <v/>
      </c>
      <c r="P1270" s="64" t="str">
        <f>Ringkasan!P1269</f>
        <v/>
      </c>
      <c r="Q1270" s="64" t="str">
        <f>Ringkasan!Q1269</f>
        <v/>
      </c>
      <c r="R1270" s="64" t="str">
        <f>Ringkasan!R1269</f>
        <v/>
      </c>
      <c r="S1270" s="64" t="str">
        <f>Ringkasan!S1269</f>
        <v/>
      </c>
      <c r="T1270" s="64" t="str">
        <f>Ringkasan!T1269</f>
        <v/>
      </c>
      <c r="U1270" s="64">
        <f>Ringkasan!U1269</f>
        <v>500</v>
      </c>
      <c r="V1270" s="64">
        <f>Ringkasan!V1269</f>
        <v>-0.4</v>
      </c>
      <c r="W1270" s="64">
        <f>Ringkasan!W1269</f>
        <v>498</v>
      </c>
      <c r="X1270" s="64">
        <f>Ringkasan!X1269</f>
        <v>500</v>
      </c>
      <c r="Y1270" s="64">
        <f>Ringkasan!Y1269</f>
        <v>492</v>
      </c>
      <c r="Z1270" s="64">
        <f>Ringkasan!Z1269</f>
        <v>32723600</v>
      </c>
      <c r="AA1270" s="64" t="str">
        <f>Ringkasan!AA1269</f>
        <v>Wireless Telecommunication Services</v>
      </c>
      <c r="AB1270" s="64" t="str">
        <f>Ringkasan!AB1269</f>
        <v>Infrastructures</v>
      </c>
    </row>
    <row r="1271" hidden="1">
      <c r="A1271" s="64" t="str">
        <f>Ringkasan!A1270</f>
        <v>MTEL</v>
      </c>
      <c r="B1271" s="64" t="str">
        <f>Ringkasan!B1270</f>
        <v>Dayamitra Telekomunikasi Tbk.</v>
      </c>
      <c r="C1271" s="65">
        <f>Ringkasan!C1270</f>
        <v>498</v>
      </c>
      <c r="D1271" s="64" t="str">
        <f>Ringkasan!D1270</f>
        <v>#N/A</v>
      </c>
      <c r="E1271" s="64" t="str">
        <f>Ringkasan!E1270</f>
        <v>JII70</v>
      </c>
      <c r="F1271" s="66">
        <f>Ringkasan!F1270</f>
        <v>46356</v>
      </c>
      <c r="G1271" s="64">
        <f>Ringkasan!G1270</f>
        <v>10</v>
      </c>
      <c r="H1271" s="19">
        <f>Ringkasan!H1270</f>
        <v>20.3</v>
      </c>
      <c r="I1271" s="19">
        <f>Ringkasan!I1270</f>
        <v>1.3</v>
      </c>
      <c r="J1271" s="19">
        <f>Ringkasan!J1270</f>
        <v>6.4</v>
      </c>
      <c r="K1271" s="19">
        <f>Ringkasan!K1270</f>
        <v>3.5</v>
      </c>
      <c r="L1271" s="19">
        <f>Ringkasan!L1270</f>
        <v>0.8</v>
      </c>
      <c r="M1271" s="19">
        <f>Ringkasan!M1270</f>
        <v>93.2</v>
      </c>
      <c r="N1271" s="64" t="str">
        <f>Ringkasan!N1270</f>
        <v/>
      </c>
      <c r="O1271" s="64" t="str">
        <f>Ringkasan!O1270</f>
        <v/>
      </c>
      <c r="P1271" s="64" t="str">
        <f>Ringkasan!P1270</f>
        <v/>
      </c>
      <c r="Q1271" s="64" t="str">
        <f>Ringkasan!Q1270</f>
        <v/>
      </c>
      <c r="R1271" s="64" t="str">
        <f>Ringkasan!R1270</f>
        <v/>
      </c>
      <c r="S1271" s="64" t="str">
        <f>Ringkasan!S1270</f>
        <v/>
      </c>
      <c r="T1271" s="64" t="str">
        <f>Ringkasan!T1270</f>
        <v/>
      </c>
      <c r="U1271" s="64">
        <f>Ringkasan!U1270</f>
        <v>500</v>
      </c>
      <c r="V1271" s="64">
        <f>Ringkasan!V1270</f>
        <v>-0.4</v>
      </c>
      <c r="W1271" s="64">
        <f>Ringkasan!W1270</f>
        <v>498</v>
      </c>
      <c r="X1271" s="64">
        <f>Ringkasan!X1270</f>
        <v>500</v>
      </c>
      <c r="Y1271" s="64">
        <f>Ringkasan!Y1270</f>
        <v>492</v>
      </c>
      <c r="Z1271" s="64">
        <f>Ringkasan!Z1270</f>
        <v>32723600</v>
      </c>
      <c r="AA1271" s="64" t="str">
        <f>Ringkasan!AA1270</f>
        <v>Wireless Telecommunication Services</v>
      </c>
      <c r="AB1271" s="64" t="str">
        <f>Ringkasan!AB1270</f>
        <v>Infrastructures</v>
      </c>
    </row>
    <row r="1272" hidden="1">
      <c r="A1272" s="64" t="str">
        <f>Ringkasan!A1271</f>
        <v>MTFN</v>
      </c>
      <c r="B1272" s="64" t="str">
        <f>Ringkasan!B1271</f>
        <v>Capitalinc Investment Tbk.</v>
      </c>
      <c r="C1272" s="65">
        <f>Ringkasan!C1271</f>
        <v>15</v>
      </c>
      <c r="D1272" s="64" t="str">
        <f>Ringkasan!D1271</f>
        <v>#N/A</v>
      </c>
      <c r="E1272" s="64" t="str">
        <f>Ringkasan!E1271</f>
        <v/>
      </c>
      <c r="F1272" s="64" t="str">
        <f>Ringkasan!F1271</f>
        <v/>
      </c>
      <c r="G1272" s="64">
        <f>Ringkasan!G1271</f>
        <v>0</v>
      </c>
      <c r="H1272" s="19">
        <f>Ringkasan!H1271</f>
        <v>-6.9</v>
      </c>
      <c r="I1272" s="19">
        <f>Ringkasan!I1271</f>
        <v>-1.1</v>
      </c>
      <c r="J1272" s="19">
        <f>Ringkasan!J1271</f>
        <v>0</v>
      </c>
      <c r="K1272" s="19">
        <f>Ringkasan!K1271</f>
        <v>-16.1</v>
      </c>
      <c r="L1272" s="19">
        <f>Ringkasan!L1271</f>
        <v>-2</v>
      </c>
      <c r="M1272" s="19">
        <f>Ringkasan!M1271</f>
        <v>-20.4</v>
      </c>
      <c r="N1272" s="64" t="str">
        <f>Ringkasan!N1271</f>
        <v/>
      </c>
      <c r="O1272" s="64" t="str">
        <f>Ringkasan!O1271</f>
        <v/>
      </c>
      <c r="P1272" s="64" t="str">
        <f>Ringkasan!P1271</f>
        <v/>
      </c>
      <c r="Q1272" s="64" t="str">
        <f>Ringkasan!Q1271</f>
        <v/>
      </c>
      <c r="R1272" s="64" t="str">
        <f>Ringkasan!R1271</f>
        <v/>
      </c>
      <c r="S1272" s="64" t="str">
        <f>Ringkasan!S1271</f>
        <v/>
      </c>
      <c r="T1272" s="64" t="str">
        <f>Ringkasan!T1271</f>
        <v/>
      </c>
      <c r="U1272" s="64">
        <f>Ringkasan!U1271</f>
        <v>14</v>
      </c>
      <c r="V1272" s="64">
        <f>Ringkasan!V1271</f>
        <v>7.14</v>
      </c>
      <c r="W1272" s="64">
        <f>Ringkasan!W1271</f>
        <v>15</v>
      </c>
      <c r="X1272" s="64">
        <f>Ringkasan!X1271</f>
        <v>15</v>
      </c>
      <c r="Y1272" s="64">
        <f>Ringkasan!Y1271</f>
        <v>15</v>
      </c>
      <c r="Z1272" s="64">
        <f>Ringkasan!Z1271</f>
        <v>16375200</v>
      </c>
      <c r="AA1272" s="64" t="str">
        <f>Ringkasan!AA1271</f>
        <v>Oil &amp; Gas</v>
      </c>
      <c r="AB1272" s="64" t="str">
        <f>Ringkasan!AB1271</f>
        <v>Energy</v>
      </c>
    </row>
    <row r="1273" hidden="1">
      <c r="A1273" s="64" t="str">
        <f>Ringkasan!A1272</f>
        <v>MTLA</v>
      </c>
      <c r="B1273" s="64" t="str">
        <f>Ringkasan!B1272</f>
        <v>Metropolitan Land Tbk.</v>
      </c>
      <c r="C1273" s="65">
        <f>Ringkasan!C1272</f>
        <v>488</v>
      </c>
      <c r="D1273" s="64" t="str">
        <f>Ringkasan!D1272</f>
        <v>#N/A</v>
      </c>
      <c r="E1273" s="64" t="str">
        <f>Ringkasan!E1272</f>
        <v/>
      </c>
      <c r="F1273" s="64" t="str">
        <f>Ringkasan!F1272</f>
        <v/>
      </c>
      <c r="G1273" s="64">
        <f>Ringkasan!G1272</f>
        <v>0</v>
      </c>
      <c r="H1273" s="19">
        <f>Ringkasan!H1272</f>
        <v>9.8</v>
      </c>
      <c r="I1273" s="19">
        <f>Ringkasan!I1272</f>
        <v>0.64</v>
      </c>
      <c r="J1273" s="19">
        <f>Ringkasan!J1272</f>
        <v>6.6</v>
      </c>
      <c r="K1273" s="19">
        <f>Ringkasan!K1272</f>
        <v>4.9</v>
      </c>
      <c r="L1273" s="19">
        <f>Ringkasan!L1272</f>
        <v>0.35</v>
      </c>
      <c r="M1273" s="19">
        <f>Ringkasan!M1272</f>
        <v>110</v>
      </c>
      <c r="N1273" s="64" t="str">
        <f>Ringkasan!N1272</f>
        <v/>
      </c>
      <c r="O1273" s="64" t="str">
        <f>Ringkasan!O1272</f>
        <v/>
      </c>
      <c r="P1273" s="64" t="str">
        <f>Ringkasan!P1272</f>
        <v/>
      </c>
      <c r="Q1273" s="64" t="str">
        <f>Ringkasan!Q1272</f>
        <v/>
      </c>
      <c r="R1273" s="64" t="str">
        <f>Ringkasan!R1272</f>
        <v/>
      </c>
      <c r="S1273" s="64" t="str">
        <f>Ringkasan!S1272</f>
        <v/>
      </c>
      <c r="T1273" s="64" t="str">
        <f>Ringkasan!T1272</f>
        <v/>
      </c>
      <c r="U1273" s="64">
        <f>Ringkasan!U1272</f>
        <v>353.5</v>
      </c>
      <c r="V1273" s="64">
        <f>Ringkasan!V1272</f>
        <v>-0.76</v>
      </c>
      <c r="W1273" s="64">
        <f>Ringkasan!W1272</f>
        <v>355.9</v>
      </c>
      <c r="X1273" s="64">
        <f>Ringkasan!X1272</f>
        <v>355.9</v>
      </c>
      <c r="Y1273" s="64">
        <f>Ringkasan!Y1272</f>
        <v>350.8</v>
      </c>
      <c r="Z1273" s="64">
        <f>Ringkasan!Z1272</f>
        <v>1</v>
      </c>
      <c r="AA1273" s="64" t="str">
        <f>Ringkasan!AA1272</f>
        <v>Real Estate Management &amp; Development</v>
      </c>
      <c r="AB1273" s="64" t="str">
        <f>Ringkasan!AB1272</f>
        <v>Properties &amp; Real Estate</v>
      </c>
    </row>
    <row r="1274" hidden="1">
      <c r="A1274" s="64" t="str">
        <f>Ringkasan!A1273</f>
        <v>MTMH</v>
      </c>
      <c r="B1274" s="64" t="str">
        <f>Ringkasan!B1273</f>
        <v>Murni Sadar Tbk.</v>
      </c>
      <c r="C1274" s="65">
        <f>Ringkasan!C1273</f>
        <v>985</v>
      </c>
      <c r="D1274" s="64" t="str">
        <f>Ringkasan!D1273</f>
        <v>#N/A</v>
      </c>
      <c r="E1274" s="64" t="str">
        <f>Ringkasan!E1273</f>
        <v/>
      </c>
      <c r="F1274" s="64" t="str">
        <f>Ringkasan!F1273</f>
        <v/>
      </c>
      <c r="G1274" s="64">
        <f>Ringkasan!G1273</f>
        <v>0</v>
      </c>
      <c r="H1274" s="19">
        <f>Ringkasan!H1273</f>
        <v>48.1</v>
      </c>
      <c r="I1274" s="19">
        <f>Ringkasan!I1273</f>
        <v>1.3</v>
      </c>
      <c r="J1274" s="19">
        <f>Ringkasan!J1273</f>
        <v>2.6</v>
      </c>
      <c r="K1274" s="19">
        <f>Ringkasan!K1273</f>
        <v>1.5</v>
      </c>
      <c r="L1274" s="19">
        <f>Ringkasan!L1273</f>
        <v>0.79</v>
      </c>
      <c r="M1274" s="19">
        <f>Ringkasan!M1273</f>
        <v>10.7</v>
      </c>
      <c r="N1274" s="64" t="str">
        <f>Ringkasan!N1273</f>
        <v/>
      </c>
      <c r="O1274" s="64" t="str">
        <f>Ringkasan!O1273</f>
        <v/>
      </c>
      <c r="P1274" s="64" t="str">
        <f>Ringkasan!P1273</f>
        <v/>
      </c>
      <c r="Q1274" s="64" t="str">
        <f>Ringkasan!Q1273</f>
        <v/>
      </c>
      <c r="R1274" s="64" t="str">
        <f>Ringkasan!R1273</f>
        <v/>
      </c>
      <c r="S1274" s="64" t="str">
        <f>Ringkasan!S1273</f>
        <v/>
      </c>
      <c r="T1274" s="64" t="str">
        <f>Ringkasan!T1273</f>
        <v/>
      </c>
      <c r="U1274" s="64">
        <f>Ringkasan!U1273</f>
        <v>930</v>
      </c>
      <c r="V1274" s="64">
        <f>Ringkasan!V1273</f>
        <v>5.91</v>
      </c>
      <c r="W1274" s="64">
        <f>Ringkasan!W1273</f>
        <v>935</v>
      </c>
      <c r="X1274" s="64">
        <f>Ringkasan!X1273</f>
        <v>1000</v>
      </c>
      <c r="Y1274" s="64" t="str">
        <f>Ringkasan!Y1273</f>
        <v/>
      </c>
      <c r="Z1274" s="64">
        <f>Ringkasan!Z1273</f>
        <v>5000</v>
      </c>
      <c r="AA1274" s="64" t="str">
        <f>Ringkasan!AA1273</f>
        <v>Healthcare Providers</v>
      </c>
      <c r="AB1274" s="64" t="str">
        <f>Ringkasan!AB1273</f>
        <v>Healthcare</v>
      </c>
    </row>
    <row r="1275" hidden="1">
      <c r="A1275" s="64" t="str">
        <f>Ringkasan!A1274</f>
        <v>MTPS</v>
      </c>
      <c r="B1275" s="64" t="str">
        <f>Ringkasan!B1274</f>
        <v>Meta Epsi Tbk.</v>
      </c>
      <c r="C1275" s="65">
        <f>Ringkasan!C1274</f>
        <v>81</v>
      </c>
      <c r="D1275" s="64" t="str">
        <f>Ringkasan!D1274</f>
        <v>#N/A</v>
      </c>
      <c r="E1275" s="64" t="str">
        <f>Ringkasan!E1274</f>
        <v/>
      </c>
      <c r="F1275" s="64" t="str">
        <f>Ringkasan!F1274</f>
        <v/>
      </c>
      <c r="G1275" s="64">
        <f>Ringkasan!G1274</f>
        <v>0</v>
      </c>
      <c r="H1275" s="19">
        <f>Ringkasan!H1274</f>
        <v>-55.8</v>
      </c>
      <c r="I1275" s="19">
        <f>Ringkasan!I1274</f>
        <v>4.3</v>
      </c>
      <c r="J1275" s="19">
        <f>Ringkasan!J1274</f>
        <v>-7.6</v>
      </c>
      <c r="K1275" s="19">
        <f>Ringkasan!K1274</f>
        <v>-3.8</v>
      </c>
      <c r="L1275" s="19">
        <f>Ringkasan!L1274</f>
        <v>0.99</v>
      </c>
      <c r="M1275" s="19">
        <f>Ringkasan!M1274</f>
        <v>0</v>
      </c>
      <c r="N1275" s="64" t="str">
        <f>Ringkasan!N1274</f>
        <v/>
      </c>
      <c r="O1275" s="64" t="str">
        <f>Ringkasan!O1274</f>
        <v/>
      </c>
      <c r="P1275" s="64" t="str">
        <f>Ringkasan!P1274</f>
        <v/>
      </c>
      <c r="Q1275" s="64" t="str">
        <f>Ringkasan!Q1274</f>
        <v/>
      </c>
      <c r="R1275" s="64" t="str">
        <f>Ringkasan!R1274</f>
        <v/>
      </c>
      <c r="S1275" s="64" t="str">
        <f>Ringkasan!S1274</f>
        <v/>
      </c>
      <c r="T1275" s="64" t="str">
        <f>Ringkasan!T1274</f>
        <v/>
      </c>
      <c r="U1275" s="64">
        <f>Ringkasan!U1274</f>
        <v>81</v>
      </c>
      <c r="V1275" s="64">
        <f>Ringkasan!V1274</f>
        <v>0</v>
      </c>
      <c r="W1275" s="64" t="str">
        <f>Ringkasan!W1274</f>
        <v/>
      </c>
      <c r="X1275" s="64" t="str">
        <f>Ringkasan!X1274</f>
        <v/>
      </c>
      <c r="Y1275" s="64" t="str">
        <f>Ringkasan!Y1274</f>
        <v/>
      </c>
      <c r="Z1275" s="64">
        <f>Ringkasan!Z1274</f>
        <v>0</v>
      </c>
      <c r="AA1275" s="64" t="str">
        <f>Ringkasan!AA1274</f>
        <v>Heavy Constructions &amp; Civil Engineering</v>
      </c>
      <c r="AB1275" s="64" t="str">
        <f>Ringkasan!AB1274</f>
        <v>Infrastructures</v>
      </c>
    </row>
    <row r="1276" hidden="1">
      <c r="A1276" s="64" t="str">
        <f>Ringkasan!A1275</f>
        <v>MTRA</v>
      </c>
      <c r="B1276" s="64" t="str">
        <f>Ringkasan!B1275</f>
        <v>PT Mitra Pemuda Tbk.</v>
      </c>
      <c r="C1276" s="65">
        <f>Ringkasan!C1275</f>
        <v>244</v>
      </c>
      <c r="D1276" s="64" t="str">
        <f>Ringkasan!D1275</f>
        <v>#N/A</v>
      </c>
      <c r="E1276" s="64" t="str">
        <f>Ringkasan!E1275</f>
        <v/>
      </c>
      <c r="F1276" s="64" t="str">
        <f>Ringkasan!F1275</f>
        <v/>
      </c>
      <c r="G1276" s="64">
        <f>Ringkasan!G1275</f>
        <v>0</v>
      </c>
      <c r="H1276" s="19">
        <f>Ringkasan!H1275</f>
        <v>0</v>
      </c>
      <c r="I1276" s="19">
        <f>Ringkasan!I1275</f>
        <v>-2.6</v>
      </c>
      <c r="J1276" s="19">
        <f>Ringkasan!J1275</f>
        <v>0</v>
      </c>
      <c r="K1276" s="19">
        <f>Ringkasan!K1275</f>
        <v>-56.6</v>
      </c>
      <c r="L1276" s="19">
        <f>Ringkasan!L1275</f>
        <v>-2.9</v>
      </c>
      <c r="M1276" s="19">
        <f>Ringkasan!M1275</f>
        <v>-1460</v>
      </c>
      <c r="N1276" s="64" t="str">
        <f>Ringkasan!N1275</f>
        <v/>
      </c>
      <c r="O1276" s="64" t="str">
        <f>Ringkasan!O1275</f>
        <v/>
      </c>
      <c r="P1276" s="64" t="str">
        <f>Ringkasan!P1275</f>
        <v/>
      </c>
      <c r="Q1276" s="64" t="str">
        <f>Ringkasan!Q1275</f>
        <v/>
      </c>
      <c r="R1276" s="64" t="str">
        <f>Ringkasan!R1275</f>
        <v/>
      </c>
      <c r="S1276" s="64" t="str">
        <f>Ringkasan!S1275</f>
        <v/>
      </c>
      <c r="T1276" s="64" t="str">
        <f>Ringkasan!T1275</f>
        <v/>
      </c>
      <c r="U1276" s="64">
        <f>Ringkasan!U1275</f>
        <v>26.4</v>
      </c>
      <c r="V1276" s="64">
        <f>Ringkasan!V1275</f>
        <v>0.36</v>
      </c>
      <c r="W1276" s="64">
        <f>Ringkasan!W1275</f>
        <v>26.4</v>
      </c>
      <c r="X1276" s="64">
        <f>Ringkasan!X1275</f>
        <v>26.49</v>
      </c>
      <c r="Y1276" s="64">
        <f>Ringkasan!Y1275</f>
        <v>26.4</v>
      </c>
      <c r="Z1276" s="64">
        <f>Ringkasan!Z1275</f>
        <v>38</v>
      </c>
      <c r="AA1276" s="64" t="str">
        <f>Ringkasan!AA1275</f>
        <v>Heavy Constructions &amp; Civil Engineering</v>
      </c>
      <c r="AB1276" s="64" t="str">
        <f>Ringkasan!AB1275</f>
        <v>Infrastructures</v>
      </c>
    </row>
    <row r="1277" hidden="1">
      <c r="A1277" s="64" t="str">
        <f>Ringkasan!A1276</f>
        <v>MTSM</v>
      </c>
      <c r="B1277" s="64" t="str">
        <f>Ringkasan!B1276</f>
        <v>Metro Realty Tbk.</v>
      </c>
      <c r="C1277" s="65">
        <f>Ringkasan!C1276</f>
        <v>500</v>
      </c>
      <c r="D1277" s="64" t="str">
        <f>Ringkasan!D1276</f>
        <v>#N/A</v>
      </c>
      <c r="E1277" s="64" t="str">
        <f>Ringkasan!E1276</f>
        <v/>
      </c>
      <c r="F1277" s="64" t="str">
        <f>Ringkasan!F1276</f>
        <v/>
      </c>
      <c r="G1277" s="64">
        <f>Ringkasan!G1276</f>
        <v>0</v>
      </c>
      <c r="H1277" s="19">
        <f>Ringkasan!H1276</f>
        <v>-1970</v>
      </c>
      <c r="I1277" s="19">
        <f>Ringkasan!I1276</f>
        <v>4.1</v>
      </c>
      <c r="J1277" s="19">
        <f>Ringkasan!J1276</f>
        <v>-0.21</v>
      </c>
      <c r="K1277" s="19">
        <f>Ringkasan!K1276</f>
        <v>-0.13</v>
      </c>
      <c r="L1277" s="19">
        <f>Ringkasan!L1276</f>
        <v>0.62</v>
      </c>
      <c r="M1277" s="19">
        <f>Ringkasan!M1276</f>
        <v>-0.18</v>
      </c>
      <c r="N1277" s="64" t="str">
        <f>Ringkasan!N1276</f>
        <v/>
      </c>
      <c r="O1277" s="64" t="str">
        <f>Ringkasan!O1276</f>
        <v/>
      </c>
      <c r="P1277" s="64" t="str">
        <f>Ringkasan!P1276</f>
        <v/>
      </c>
      <c r="Q1277" s="64" t="str">
        <f>Ringkasan!Q1276</f>
        <v/>
      </c>
      <c r="R1277" s="64" t="str">
        <f>Ringkasan!R1276</f>
        <v/>
      </c>
      <c r="S1277" s="64" t="str">
        <f>Ringkasan!S1276</f>
        <v/>
      </c>
      <c r="T1277" s="64" t="str">
        <f>Ringkasan!T1276</f>
        <v/>
      </c>
      <c r="U1277" s="64">
        <f>Ringkasan!U1276</f>
        <v>500</v>
      </c>
      <c r="V1277" s="64">
        <f>Ringkasan!V1276</f>
        <v>0</v>
      </c>
      <c r="W1277" s="64" t="str">
        <f>Ringkasan!W1276</f>
        <v/>
      </c>
      <c r="X1277" s="64" t="str">
        <f>Ringkasan!X1276</f>
        <v/>
      </c>
      <c r="Y1277" s="64" t="str">
        <f>Ringkasan!Y1276</f>
        <v/>
      </c>
      <c r="Z1277" s="64">
        <f>Ringkasan!Z1276</f>
        <v>0</v>
      </c>
      <c r="AA1277" s="64" t="str">
        <f>Ringkasan!AA1276</f>
        <v>Real Estate Management &amp; Development</v>
      </c>
      <c r="AB1277" s="64" t="str">
        <f>Ringkasan!AB1276</f>
        <v>Properties &amp; Real Estate</v>
      </c>
    </row>
    <row r="1278" hidden="1">
      <c r="A1278" s="64" t="str">
        <f>Ringkasan!A1277</f>
        <v>MTWI</v>
      </c>
      <c r="B1278" s="64" t="str">
        <f>Ringkasan!B1277</f>
        <v>Malacca Trust Wuwungan Insurance Tbk.</v>
      </c>
      <c r="C1278" s="65">
        <f>Ringkasan!C1277</f>
        <v>266</v>
      </c>
      <c r="D1278" s="64" t="str">
        <f>Ringkasan!D1277</f>
        <v>#N/A</v>
      </c>
      <c r="E1278" s="64" t="str">
        <f>Ringkasan!E1277</f>
        <v/>
      </c>
      <c r="F1278" s="64" t="str">
        <f>Ringkasan!F1277</f>
        <v/>
      </c>
      <c r="G1278" s="64">
        <f>Ringkasan!G1277</f>
        <v>0</v>
      </c>
      <c r="H1278" s="19">
        <f>Ringkasan!H1277</f>
        <v>15.3</v>
      </c>
      <c r="I1278" s="19">
        <f>Ringkasan!I1277</f>
        <v>1.9</v>
      </c>
      <c r="J1278" s="19">
        <f>Ringkasan!J1277</f>
        <v>12.3</v>
      </c>
      <c r="K1278" s="19">
        <f>Ringkasan!K1277</f>
        <v>1.5</v>
      </c>
      <c r="L1278" s="19">
        <f>Ringkasan!L1277</f>
        <v>7</v>
      </c>
      <c r="M1278" s="19">
        <f>Ringkasan!M1277</f>
        <v>10.4</v>
      </c>
      <c r="N1278" s="64" t="str">
        <f>Ringkasan!N1277</f>
        <v/>
      </c>
      <c r="O1278" s="64" t="str">
        <f>Ringkasan!O1277</f>
        <v/>
      </c>
      <c r="P1278" s="64" t="str">
        <f>Ringkasan!P1277</f>
        <v/>
      </c>
      <c r="Q1278" s="64" t="str">
        <f>Ringkasan!Q1277</f>
        <v/>
      </c>
      <c r="R1278" s="64" t="str">
        <f>Ringkasan!R1277</f>
        <v/>
      </c>
      <c r="S1278" s="64" t="str">
        <f>Ringkasan!S1277</f>
        <v/>
      </c>
      <c r="T1278" s="64" t="str">
        <f>Ringkasan!T1277</f>
        <v/>
      </c>
      <c r="U1278" s="64">
        <f>Ringkasan!U1277</f>
        <v>257.86</v>
      </c>
      <c r="V1278" s="64">
        <f>Ringkasan!V1277</f>
        <v>3.16</v>
      </c>
      <c r="W1278" s="64">
        <f>Ringkasan!W1277</f>
        <v>258</v>
      </c>
      <c r="X1278" s="64">
        <f>Ringkasan!X1277</f>
        <v>266</v>
      </c>
      <c r="Y1278" s="64">
        <f>Ringkasan!Y1277</f>
        <v>246</v>
      </c>
      <c r="Z1278" s="64">
        <f>Ringkasan!Z1277</f>
        <v>15900</v>
      </c>
      <c r="AA1278" s="64" t="str">
        <f>Ringkasan!AA1277</f>
        <v>Insurance</v>
      </c>
      <c r="AB1278" s="64" t="str">
        <f>Ringkasan!AB1277</f>
        <v>Financials</v>
      </c>
    </row>
    <row r="1279" hidden="1">
      <c r="A1279" s="64" t="str">
        <f>Ringkasan!A1278</f>
        <v>MUTU</v>
      </c>
      <c r="B1279" s="64" t="str">
        <f>Ringkasan!B1278</f>
        <v>PT Mutuagung Lestari Tbk</v>
      </c>
      <c r="C1279" s="65">
        <f>Ringkasan!C1278</f>
        <v>105</v>
      </c>
      <c r="D1279" s="64" t="str">
        <f>Ringkasan!D1278</f>
        <v>#N/A</v>
      </c>
      <c r="E1279" s="64" t="str">
        <f>Ringkasan!E1278</f>
        <v/>
      </c>
      <c r="F1279" s="64" t="str">
        <f>Ringkasan!F1278</f>
        <v/>
      </c>
      <c r="G1279" s="64">
        <f>Ringkasan!G1278</f>
        <v>0</v>
      </c>
      <c r="H1279" s="19">
        <f>Ringkasan!H1278</f>
        <v>14.2</v>
      </c>
      <c r="I1279" s="19">
        <f>Ringkasan!I1278</f>
        <v>1.4</v>
      </c>
      <c r="J1279" s="19">
        <f>Ringkasan!J1278</f>
        <v>9.8</v>
      </c>
      <c r="K1279" s="19">
        <f>Ringkasan!K1278</f>
        <v>7</v>
      </c>
      <c r="L1279" s="19">
        <f>Ringkasan!L1278</f>
        <v>0.39</v>
      </c>
      <c r="M1279" s="19">
        <f>Ringkasan!M1278</f>
        <v>34</v>
      </c>
      <c r="N1279" s="64" t="str">
        <f>Ringkasan!N1278</f>
        <v/>
      </c>
      <c r="O1279" s="64" t="str">
        <f>Ringkasan!O1278</f>
        <v/>
      </c>
      <c r="P1279" s="64" t="str">
        <f>Ringkasan!P1278</f>
        <v/>
      </c>
      <c r="Q1279" s="64" t="str">
        <f>Ringkasan!Q1278</f>
        <v/>
      </c>
      <c r="R1279" s="64" t="str">
        <f>Ringkasan!R1278</f>
        <v/>
      </c>
      <c r="S1279" s="64" t="str">
        <f>Ringkasan!S1278</f>
        <v/>
      </c>
      <c r="T1279" s="64" t="str">
        <f>Ringkasan!T1278</f>
        <v/>
      </c>
      <c r="U1279" s="64">
        <f>Ringkasan!U1278</f>
        <v>105</v>
      </c>
      <c r="V1279" s="64">
        <f>Ringkasan!V1278</f>
        <v>0</v>
      </c>
      <c r="W1279" s="64">
        <f>Ringkasan!W1278</f>
        <v>107</v>
      </c>
      <c r="X1279" s="64">
        <f>Ringkasan!X1278</f>
        <v>110</v>
      </c>
      <c r="Y1279" s="64">
        <f>Ringkasan!Y1278</f>
        <v>105</v>
      </c>
      <c r="Z1279" s="64">
        <f>Ringkasan!Z1278</f>
        <v>9337400</v>
      </c>
      <c r="AA1279" s="64" t="str">
        <f>Ringkasan!AA1278</f>
        <v>Professional Services</v>
      </c>
      <c r="AB1279" s="64" t="str">
        <f>Ringkasan!AB1278</f>
        <v>Industrials</v>
      </c>
    </row>
    <row r="1280" hidden="1">
      <c r="A1280" s="64" t="str">
        <f>Ringkasan!A1279</f>
        <v>MYOH</v>
      </c>
      <c r="B1280" s="64" t="str">
        <f>Ringkasan!B1279</f>
        <v>Samindo Resources Tbk</v>
      </c>
      <c r="C1280" s="65">
        <f>Ringkasan!C1279</f>
        <v>1020</v>
      </c>
      <c r="D1280" s="64" t="str">
        <f>Ringkasan!D1279</f>
        <v>#N/A</v>
      </c>
      <c r="E1280" s="64" t="str">
        <f>Ringkasan!E1279</f>
        <v/>
      </c>
      <c r="F1280" s="64" t="str">
        <f>Ringkasan!F1279</f>
        <v/>
      </c>
      <c r="G1280" s="64">
        <f>Ringkasan!G1279</f>
        <v>0</v>
      </c>
      <c r="H1280" s="19">
        <f>Ringkasan!H1279</f>
        <v>10.3</v>
      </c>
      <c r="I1280" s="19">
        <f>Ringkasan!I1279</f>
        <v>0.82</v>
      </c>
      <c r="J1280" s="19">
        <f>Ringkasan!J1279</f>
        <v>8</v>
      </c>
      <c r="K1280" s="19">
        <f>Ringkasan!K1279</f>
        <v>6.7</v>
      </c>
      <c r="L1280" s="19">
        <f>Ringkasan!L1279</f>
        <v>0.21</v>
      </c>
      <c r="M1280" s="19">
        <f>Ringkasan!M1279</f>
        <v>36.2</v>
      </c>
      <c r="N1280" s="64" t="str">
        <f>Ringkasan!N1279</f>
        <v/>
      </c>
      <c r="O1280" s="64" t="str">
        <f>Ringkasan!O1279</f>
        <v/>
      </c>
      <c r="P1280" s="64" t="str">
        <f>Ringkasan!P1279</f>
        <v/>
      </c>
      <c r="Q1280" s="64" t="str">
        <f>Ringkasan!Q1279</f>
        <v/>
      </c>
      <c r="R1280" s="64" t="str">
        <f>Ringkasan!R1279</f>
        <v/>
      </c>
      <c r="S1280" s="64" t="str">
        <f>Ringkasan!S1279</f>
        <v/>
      </c>
      <c r="T1280" s="64" t="str">
        <f>Ringkasan!T1279</f>
        <v/>
      </c>
      <c r="U1280" s="64">
        <f>Ringkasan!U1279</f>
        <v>1050</v>
      </c>
      <c r="V1280" s="64">
        <f>Ringkasan!V1279</f>
        <v>-2.86</v>
      </c>
      <c r="W1280" s="64">
        <f>Ringkasan!W1279</f>
        <v>1050</v>
      </c>
      <c r="X1280" s="64">
        <f>Ringkasan!X1279</f>
        <v>1080</v>
      </c>
      <c r="Y1280" s="64">
        <f>Ringkasan!Y1279</f>
        <v>980</v>
      </c>
      <c r="Z1280" s="64">
        <f>Ringkasan!Z1279</f>
        <v>63200</v>
      </c>
      <c r="AA1280" s="64" t="str">
        <f>Ringkasan!AA1279</f>
        <v>Oil, Gas &amp; Coal Supports</v>
      </c>
      <c r="AB1280" s="64" t="str">
        <f>Ringkasan!AB1279</f>
        <v>Energy</v>
      </c>
    </row>
    <row r="1281" hidden="1">
      <c r="A1281" s="64" t="str">
        <f>Ringkasan!A1280</f>
        <v>MYOR</v>
      </c>
      <c r="B1281" s="64" t="str">
        <f>Ringkasan!B1280</f>
        <v>Mayora Indah Tbk.</v>
      </c>
      <c r="C1281" s="65">
        <f>Ringkasan!C1280</f>
        <v>1700</v>
      </c>
      <c r="D1281" s="64" t="str">
        <f>Ringkasan!D1280</f>
        <v>#N/A</v>
      </c>
      <c r="E1281" s="64" t="str">
        <f>Ringkasan!E1280</f>
        <v>ESGQKEHATI</v>
      </c>
      <c r="F1281" s="66">
        <f>Ringkasan!F1280</f>
        <v>46356</v>
      </c>
      <c r="G1281" s="65">
        <f>Ringkasan!G1280</f>
        <v>10</v>
      </c>
      <c r="H1281" s="19">
        <f>Ringkasan!H1280</f>
        <v>13.2</v>
      </c>
      <c r="I1281" s="19">
        <f>Ringkasan!I1280</f>
        <v>2.1</v>
      </c>
      <c r="J1281" s="19">
        <f>Ringkasan!J1280</f>
        <v>16.3</v>
      </c>
      <c r="K1281" s="19">
        <f>Ringkasan!K1280</f>
        <v>10.9</v>
      </c>
      <c r="L1281" s="19">
        <f>Ringkasan!L1280</f>
        <v>0.49</v>
      </c>
      <c r="M1281" s="19">
        <f>Ringkasan!M1280</f>
        <v>33.2</v>
      </c>
      <c r="N1281" s="64" t="str">
        <f>Ringkasan!N1280</f>
        <v/>
      </c>
      <c r="O1281" s="64" t="str">
        <f>Ringkasan!O1280</f>
        <v/>
      </c>
      <c r="P1281" s="64" t="str">
        <f>Ringkasan!P1280</f>
        <v/>
      </c>
      <c r="Q1281" s="64" t="str">
        <f>Ringkasan!Q1280</f>
        <v/>
      </c>
      <c r="R1281" s="64" t="str">
        <f>Ringkasan!R1280</f>
        <v/>
      </c>
      <c r="S1281" s="64" t="str">
        <f>Ringkasan!S1280</f>
        <v/>
      </c>
      <c r="T1281" s="64" t="str">
        <f>Ringkasan!T1280</f>
        <v/>
      </c>
      <c r="U1281" s="64">
        <f>Ringkasan!U1280</f>
        <v>1645</v>
      </c>
      <c r="V1281" s="64">
        <f>Ringkasan!V1280</f>
        <v>3.34</v>
      </c>
      <c r="W1281" s="64">
        <f>Ringkasan!W1280</f>
        <v>1645</v>
      </c>
      <c r="X1281" s="64">
        <f>Ringkasan!X1280</f>
        <v>1700</v>
      </c>
      <c r="Y1281" s="64">
        <f>Ringkasan!Y1280</f>
        <v>1630</v>
      </c>
      <c r="Z1281" s="64">
        <f>Ringkasan!Z1280</f>
        <v>7817400</v>
      </c>
      <c r="AA1281" s="64" t="str">
        <f>Ringkasan!AA1280</f>
        <v>Processed Foods</v>
      </c>
      <c r="AB1281" s="64" t="str">
        <f>Ringkasan!AB1280</f>
        <v>Consumer Non-Cyclicals</v>
      </c>
    </row>
    <row r="1282" hidden="1">
      <c r="A1282" s="64" t="str">
        <f>Ringkasan!A1281</f>
        <v>MYOR</v>
      </c>
      <c r="B1282" s="64" t="str">
        <f>Ringkasan!B1281</f>
        <v>Mayora Indah Tbk.</v>
      </c>
      <c r="C1282" s="65">
        <f>Ringkasan!C1281</f>
        <v>1700</v>
      </c>
      <c r="D1282" s="64" t="str">
        <f>Ringkasan!D1281</f>
        <v>#N/A</v>
      </c>
      <c r="E1282" s="64" t="str">
        <f>Ringkasan!E1281</f>
        <v>Investor33</v>
      </c>
      <c r="F1282" s="66">
        <f>Ringkasan!F1281</f>
        <v>46356</v>
      </c>
      <c r="G1282" s="64">
        <f>Ringkasan!G1281</f>
        <v>10</v>
      </c>
      <c r="H1282" s="19">
        <f>Ringkasan!H1281</f>
        <v>13.2</v>
      </c>
      <c r="I1282" s="19">
        <f>Ringkasan!I1281</f>
        <v>2.1</v>
      </c>
      <c r="J1282" s="19">
        <f>Ringkasan!J1281</f>
        <v>16.3</v>
      </c>
      <c r="K1282" s="19">
        <f>Ringkasan!K1281</f>
        <v>10.9</v>
      </c>
      <c r="L1282" s="19">
        <f>Ringkasan!L1281</f>
        <v>0.49</v>
      </c>
      <c r="M1282" s="19">
        <f>Ringkasan!M1281</f>
        <v>33.2</v>
      </c>
      <c r="N1282" s="64" t="str">
        <f>Ringkasan!N1281</f>
        <v/>
      </c>
      <c r="O1282" s="64" t="str">
        <f>Ringkasan!O1281</f>
        <v/>
      </c>
      <c r="P1282" s="64" t="str">
        <f>Ringkasan!P1281</f>
        <v/>
      </c>
      <c r="Q1282" s="64" t="str">
        <f>Ringkasan!Q1281</f>
        <v/>
      </c>
      <c r="R1282" s="64" t="str">
        <f>Ringkasan!R1281</f>
        <v/>
      </c>
      <c r="S1282" s="64" t="str">
        <f>Ringkasan!S1281</f>
        <v/>
      </c>
      <c r="T1282" s="64" t="str">
        <f>Ringkasan!T1281</f>
        <v/>
      </c>
      <c r="U1282" s="64">
        <f>Ringkasan!U1281</f>
        <v>1645</v>
      </c>
      <c r="V1282" s="64">
        <f>Ringkasan!V1281</f>
        <v>3.34</v>
      </c>
      <c r="W1282" s="64">
        <f>Ringkasan!W1281</f>
        <v>1645</v>
      </c>
      <c r="X1282" s="64">
        <f>Ringkasan!X1281</f>
        <v>1700</v>
      </c>
      <c r="Y1282" s="64">
        <f>Ringkasan!Y1281</f>
        <v>1630</v>
      </c>
      <c r="Z1282" s="64">
        <f>Ringkasan!Z1281</f>
        <v>7817400</v>
      </c>
      <c r="AA1282" s="64" t="str">
        <f>Ringkasan!AA1281</f>
        <v>Processed Foods</v>
      </c>
      <c r="AB1282" s="64" t="str">
        <f>Ringkasan!AB1281</f>
        <v>Consumer Non-Cyclicals</v>
      </c>
    </row>
    <row r="1283" hidden="1">
      <c r="A1283" s="64" t="str">
        <f>Ringkasan!A1282</f>
        <v>MYOR</v>
      </c>
      <c r="B1283" s="64" t="str">
        <f>Ringkasan!B1282</f>
        <v>Mayora Indah Tbk.</v>
      </c>
      <c r="C1283" s="65">
        <f>Ringkasan!C1282</f>
        <v>1700</v>
      </c>
      <c r="D1283" s="64" t="str">
        <f>Ringkasan!D1282</f>
        <v>#N/A</v>
      </c>
      <c r="E1283" s="64" t="str">
        <f>Ringkasan!E1282</f>
        <v>IDXQ30</v>
      </c>
      <c r="F1283" s="64" t="str">
        <f>Ringkasan!F1282</f>
        <v>4 Agustus 2026</v>
      </c>
      <c r="G1283" s="64">
        <f>Ringkasan!G1282</f>
        <v>10</v>
      </c>
      <c r="H1283" s="19">
        <f>Ringkasan!H1282</f>
        <v>13.2</v>
      </c>
      <c r="I1283" s="19">
        <f>Ringkasan!I1282</f>
        <v>2.1</v>
      </c>
      <c r="J1283" s="19">
        <f>Ringkasan!J1282</f>
        <v>16.3</v>
      </c>
      <c r="K1283" s="19">
        <f>Ringkasan!K1282</f>
        <v>10.9</v>
      </c>
      <c r="L1283" s="19">
        <f>Ringkasan!L1282</f>
        <v>0.49</v>
      </c>
      <c r="M1283" s="19">
        <f>Ringkasan!M1282</f>
        <v>33.2</v>
      </c>
      <c r="N1283" s="64" t="str">
        <f>Ringkasan!N1282</f>
        <v/>
      </c>
      <c r="O1283" s="64" t="str">
        <f>Ringkasan!O1282</f>
        <v/>
      </c>
      <c r="P1283" s="64" t="str">
        <f>Ringkasan!P1282</f>
        <v/>
      </c>
      <c r="Q1283" s="64" t="str">
        <f>Ringkasan!Q1282</f>
        <v/>
      </c>
      <c r="R1283" s="64" t="str">
        <f>Ringkasan!R1282</f>
        <v/>
      </c>
      <c r="S1283" s="64" t="str">
        <f>Ringkasan!S1282</f>
        <v/>
      </c>
      <c r="T1283" s="64" t="str">
        <f>Ringkasan!T1282</f>
        <v/>
      </c>
      <c r="U1283" s="64">
        <f>Ringkasan!U1282</f>
        <v>1645</v>
      </c>
      <c r="V1283" s="64">
        <f>Ringkasan!V1282</f>
        <v>3.34</v>
      </c>
      <c r="W1283" s="64">
        <f>Ringkasan!W1282</f>
        <v>1645</v>
      </c>
      <c r="X1283" s="64">
        <f>Ringkasan!X1282</f>
        <v>1700</v>
      </c>
      <c r="Y1283" s="64">
        <f>Ringkasan!Y1282</f>
        <v>1630</v>
      </c>
      <c r="Z1283" s="64">
        <f>Ringkasan!Z1282</f>
        <v>7817400</v>
      </c>
      <c r="AA1283" s="64" t="str">
        <f>Ringkasan!AA1282</f>
        <v>Processed Foods</v>
      </c>
      <c r="AB1283" s="64" t="str">
        <f>Ringkasan!AB1282</f>
        <v>Consumer Non-Cyclicals</v>
      </c>
    </row>
    <row r="1284" hidden="1">
      <c r="A1284" s="64" t="str">
        <f>Ringkasan!A1283</f>
        <v>MYOR</v>
      </c>
      <c r="B1284" s="64" t="str">
        <f>Ringkasan!B1283</f>
        <v>Mayora Indah Tbk.</v>
      </c>
      <c r="C1284" s="65">
        <f>Ringkasan!C1283</f>
        <v>1700</v>
      </c>
      <c r="D1284" s="64" t="str">
        <f>Ringkasan!D1283</f>
        <v>#N/A</v>
      </c>
      <c r="E1284" s="64" t="str">
        <f>Ringkasan!E1283</f>
        <v>Pefindo - iGrade</v>
      </c>
      <c r="F1284" s="64" t="str">
        <f>Ringkasan!F1283</f>
        <v>30 Juni 2026</v>
      </c>
      <c r="G1284" s="64">
        <f>Ringkasan!G1283</f>
        <v>10</v>
      </c>
      <c r="H1284" s="19">
        <f>Ringkasan!H1283</f>
        <v>13.2</v>
      </c>
      <c r="I1284" s="19">
        <f>Ringkasan!I1283</f>
        <v>2.1</v>
      </c>
      <c r="J1284" s="19">
        <f>Ringkasan!J1283</f>
        <v>16.3</v>
      </c>
      <c r="K1284" s="19">
        <f>Ringkasan!K1283</f>
        <v>10.9</v>
      </c>
      <c r="L1284" s="19">
        <f>Ringkasan!L1283</f>
        <v>0.49</v>
      </c>
      <c r="M1284" s="19">
        <f>Ringkasan!M1283</f>
        <v>33.2</v>
      </c>
      <c r="N1284" s="64" t="str">
        <f>Ringkasan!N1283</f>
        <v/>
      </c>
      <c r="O1284" s="64" t="str">
        <f>Ringkasan!O1283</f>
        <v/>
      </c>
      <c r="P1284" s="64" t="str">
        <f>Ringkasan!P1283</f>
        <v/>
      </c>
      <c r="Q1284" s="64" t="str">
        <f>Ringkasan!Q1283</f>
        <v/>
      </c>
      <c r="R1284" s="64" t="str">
        <f>Ringkasan!R1283</f>
        <v/>
      </c>
      <c r="S1284" s="64" t="str">
        <f>Ringkasan!S1283</f>
        <v/>
      </c>
      <c r="T1284" s="64" t="str">
        <f>Ringkasan!T1283</f>
        <v/>
      </c>
      <c r="U1284" s="64">
        <f>Ringkasan!U1283</f>
        <v>1645</v>
      </c>
      <c r="V1284" s="64">
        <f>Ringkasan!V1283</f>
        <v>3.34</v>
      </c>
      <c r="W1284" s="64">
        <f>Ringkasan!W1283</f>
        <v>1645</v>
      </c>
      <c r="X1284" s="64">
        <f>Ringkasan!X1283</f>
        <v>1700</v>
      </c>
      <c r="Y1284" s="64">
        <f>Ringkasan!Y1283</f>
        <v>1630</v>
      </c>
      <c r="Z1284" s="64">
        <f>Ringkasan!Z1283</f>
        <v>7817400</v>
      </c>
      <c r="AA1284" s="64" t="str">
        <f>Ringkasan!AA1283</f>
        <v>Processed Foods</v>
      </c>
      <c r="AB1284" s="64" t="str">
        <f>Ringkasan!AB1283</f>
        <v>Consumer Non-Cyclicals</v>
      </c>
    </row>
    <row r="1285" hidden="1">
      <c r="A1285" s="64" t="str">
        <f>Ringkasan!A1284</f>
        <v>MYOR</v>
      </c>
      <c r="B1285" s="64" t="str">
        <f>Ringkasan!B1284</f>
        <v>Mayora Indah Tbk.</v>
      </c>
      <c r="C1285" s="65">
        <f>Ringkasan!C1284</f>
        <v>1700</v>
      </c>
      <c r="D1285" s="64" t="str">
        <f>Ringkasan!D1284</f>
        <v>#N/A</v>
      </c>
      <c r="E1285" s="64" t="str">
        <f>Ringkasan!E1284</f>
        <v>IDX80</v>
      </c>
      <c r="F1285" s="64" t="str">
        <f>Ringkasan!F1284</f>
        <v>31 Juli 2026</v>
      </c>
      <c r="G1285" s="64">
        <f>Ringkasan!G1284</f>
        <v>10</v>
      </c>
      <c r="H1285" s="19">
        <f>Ringkasan!H1284</f>
        <v>13.2</v>
      </c>
      <c r="I1285" s="19">
        <f>Ringkasan!I1284</f>
        <v>2.1</v>
      </c>
      <c r="J1285" s="19">
        <f>Ringkasan!J1284</f>
        <v>16.3</v>
      </c>
      <c r="K1285" s="19">
        <f>Ringkasan!K1284</f>
        <v>10.9</v>
      </c>
      <c r="L1285" s="19">
        <f>Ringkasan!L1284</f>
        <v>0.49</v>
      </c>
      <c r="M1285" s="19">
        <f>Ringkasan!M1284</f>
        <v>33.2</v>
      </c>
      <c r="N1285" s="64" t="str">
        <f>Ringkasan!N1284</f>
        <v/>
      </c>
      <c r="O1285" s="64" t="str">
        <f>Ringkasan!O1284</f>
        <v/>
      </c>
      <c r="P1285" s="64" t="str">
        <f>Ringkasan!P1284</f>
        <v/>
      </c>
      <c r="Q1285" s="64" t="str">
        <f>Ringkasan!Q1284</f>
        <v/>
      </c>
      <c r="R1285" s="64" t="str">
        <f>Ringkasan!R1284</f>
        <v/>
      </c>
      <c r="S1285" s="64" t="str">
        <f>Ringkasan!S1284</f>
        <v/>
      </c>
      <c r="T1285" s="64" t="str">
        <f>Ringkasan!T1284</f>
        <v/>
      </c>
      <c r="U1285" s="64">
        <f>Ringkasan!U1284</f>
        <v>1645</v>
      </c>
      <c r="V1285" s="64">
        <f>Ringkasan!V1284</f>
        <v>3.34</v>
      </c>
      <c r="W1285" s="64">
        <f>Ringkasan!W1284</f>
        <v>1645</v>
      </c>
      <c r="X1285" s="64">
        <f>Ringkasan!X1284</f>
        <v>1700</v>
      </c>
      <c r="Y1285" s="64">
        <f>Ringkasan!Y1284</f>
        <v>1630</v>
      </c>
      <c r="Z1285" s="64">
        <f>Ringkasan!Z1284</f>
        <v>7817400</v>
      </c>
      <c r="AA1285" s="64" t="str">
        <f>Ringkasan!AA1284</f>
        <v>Processed Foods</v>
      </c>
      <c r="AB1285" s="64" t="str">
        <f>Ringkasan!AB1284</f>
        <v>Consumer Non-Cyclicals</v>
      </c>
    </row>
    <row r="1286" hidden="1">
      <c r="A1286" s="64" t="str">
        <f>Ringkasan!A1285</f>
        <v>MYOR</v>
      </c>
      <c r="B1286" s="64" t="str">
        <f>Ringkasan!B1285</f>
        <v>Mayora Indah Tbk.</v>
      </c>
      <c r="C1286" s="65">
        <f>Ringkasan!C1285</f>
        <v>1700</v>
      </c>
      <c r="D1286" s="64" t="str">
        <f>Ringkasan!D1285</f>
        <v>#N/A</v>
      </c>
      <c r="E1286" s="64" t="str">
        <f>Ringkasan!E1285</f>
        <v>MNC36</v>
      </c>
      <c r="F1286" s="64" t="str">
        <f>Ringkasan!F1285</f>
        <v>30 Oktober 2026</v>
      </c>
      <c r="G1286" s="64">
        <f>Ringkasan!G1285</f>
        <v>10</v>
      </c>
      <c r="H1286" s="19">
        <f>Ringkasan!H1285</f>
        <v>13.2</v>
      </c>
      <c r="I1286" s="19">
        <f>Ringkasan!I1285</f>
        <v>2.1</v>
      </c>
      <c r="J1286" s="19">
        <f>Ringkasan!J1285</f>
        <v>16.3</v>
      </c>
      <c r="K1286" s="19">
        <f>Ringkasan!K1285</f>
        <v>10.9</v>
      </c>
      <c r="L1286" s="19">
        <f>Ringkasan!L1285</f>
        <v>0.49</v>
      </c>
      <c r="M1286" s="19">
        <f>Ringkasan!M1285</f>
        <v>33.2</v>
      </c>
      <c r="N1286" s="64" t="str">
        <f>Ringkasan!N1285</f>
        <v/>
      </c>
      <c r="O1286" s="64" t="str">
        <f>Ringkasan!O1285</f>
        <v/>
      </c>
      <c r="P1286" s="64" t="str">
        <f>Ringkasan!P1285</f>
        <v/>
      </c>
      <c r="Q1286" s="64" t="str">
        <f>Ringkasan!Q1285</f>
        <v/>
      </c>
      <c r="R1286" s="64" t="str">
        <f>Ringkasan!R1285</f>
        <v/>
      </c>
      <c r="S1286" s="64" t="str">
        <f>Ringkasan!S1285</f>
        <v/>
      </c>
      <c r="T1286" s="64" t="str">
        <f>Ringkasan!T1285</f>
        <v/>
      </c>
      <c r="U1286" s="64">
        <f>Ringkasan!U1285</f>
        <v>1645</v>
      </c>
      <c r="V1286" s="64">
        <f>Ringkasan!V1285</f>
        <v>3.34</v>
      </c>
      <c r="W1286" s="64">
        <f>Ringkasan!W1285</f>
        <v>1645</v>
      </c>
      <c r="X1286" s="64">
        <f>Ringkasan!X1285</f>
        <v>1700</v>
      </c>
      <c r="Y1286" s="64">
        <f>Ringkasan!Y1285</f>
        <v>1630</v>
      </c>
      <c r="Z1286" s="64">
        <f>Ringkasan!Z1285</f>
        <v>7817400</v>
      </c>
      <c r="AA1286" s="64" t="str">
        <f>Ringkasan!AA1285</f>
        <v>Processed Foods</v>
      </c>
      <c r="AB1286" s="64" t="str">
        <f>Ringkasan!AB1285</f>
        <v>Consumer Non-Cyclicals</v>
      </c>
    </row>
    <row r="1287" hidden="1">
      <c r="A1287" s="64" t="str">
        <f>Ringkasan!A1286</f>
        <v>MYOR</v>
      </c>
      <c r="B1287" s="64" t="str">
        <f>Ringkasan!B1286</f>
        <v>Mayora Indah Tbk.</v>
      </c>
      <c r="C1287" s="65">
        <f>Ringkasan!C1286</f>
        <v>1700</v>
      </c>
      <c r="D1287" s="64" t="str">
        <f>Ringkasan!D1286</f>
        <v>#N/A</v>
      </c>
      <c r="E1287" s="64" t="str">
        <f>Ringkasan!E1286</f>
        <v>Kompas100</v>
      </c>
      <c r="F1287" s="64" t="str">
        <f>Ringkasan!F1286</f>
        <v>31 Juli 2026</v>
      </c>
      <c r="G1287" s="64">
        <f>Ringkasan!G1286</f>
        <v>10</v>
      </c>
      <c r="H1287" s="19">
        <f>Ringkasan!H1286</f>
        <v>13.2</v>
      </c>
      <c r="I1287" s="19">
        <f>Ringkasan!I1286</f>
        <v>2.1</v>
      </c>
      <c r="J1287" s="19">
        <f>Ringkasan!J1286</f>
        <v>16.3</v>
      </c>
      <c r="K1287" s="19">
        <f>Ringkasan!K1286</f>
        <v>10.9</v>
      </c>
      <c r="L1287" s="19">
        <f>Ringkasan!L1286</f>
        <v>0.49</v>
      </c>
      <c r="M1287" s="19">
        <f>Ringkasan!M1286</f>
        <v>33.2</v>
      </c>
      <c r="N1287" s="64" t="str">
        <f>Ringkasan!N1286</f>
        <v/>
      </c>
      <c r="O1287" s="64" t="str">
        <f>Ringkasan!O1286</f>
        <v/>
      </c>
      <c r="P1287" s="64" t="str">
        <f>Ringkasan!P1286</f>
        <v/>
      </c>
      <c r="Q1287" s="64" t="str">
        <f>Ringkasan!Q1286</f>
        <v/>
      </c>
      <c r="R1287" s="64" t="str">
        <f>Ringkasan!R1286</f>
        <v/>
      </c>
      <c r="S1287" s="64" t="str">
        <f>Ringkasan!S1286</f>
        <v/>
      </c>
      <c r="T1287" s="64" t="str">
        <f>Ringkasan!T1286</f>
        <v/>
      </c>
      <c r="U1287" s="64">
        <f>Ringkasan!U1286</f>
        <v>1645</v>
      </c>
      <c r="V1287" s="64">
        <f>Ringkasan!V1286</f>
        <v>3.34</v>
      </c>
      <c r="W1287" s="64">
        <f>Ringkasan!W1286</f>
        <v>1645</v>
      </c>
      <c r="X1287" s="64">
        <f>Ringkasan!X1286</f>
        <v>1700</v>
      </c>
      <c r="Y1287" s="64">
        <f>Ringkasan!Y1286</f>
        <v>1630</v>
      </c>
      <c r="Z1287" s="64">
        <f>Ringkasan!Z1286</f>
        <v>7817400</v>
      </c>
      <c r="AA1287" s="64" t="str">
        <f>Ringkasan!AA1286</f>
        <v>Processed Foods</v>
      </c>
      <c r="AB1287" s="64" t="str">
        <f>Ringkasan!AB1286</f>
        <v>Consumer Non-Cyclicals</v>
      </c>
    </row>
    <row r="1288" hidden="1">
      <c r="A1288" s="64" t="str">
        <f>Ringkasan!A1287</f>
        <v>MYOR</v>
      </c>
      <c r="B1288" s="64" t="str">
        <f>Ringkasan!B1287</f>
        <v>Mayora Indah Tbk.</v>
      </c>
      <c r="C1288" s="65">
        <f>Ringkasan!C1287</f>
        <v>1700</v>
      </c>
      <c r="D1288" s="64" t="str">
        <f>Ringkasan!D1287</f>
        <v>#N/A</v>
      </c>
      <c r="E1288" s="64" t="str">
        <f>Ringkasan!E1287</f>
        <v>IDXSMC-LIQ</v>
      </c>
      <c r="F1288" s="64" t="str">
        <f>Ringkasan!F1287</f>
        <v>4 Agustus 2026</v>
      </c>
      <c r="G1288" s="64">
        <f>Ringkasan!G1287</f>
        <v>10</v>
      </c>
      <c r="H1288" s="19">
        <f>Ringkasan!H1287</f>
        <v>13.2</v>
      </c>
      <c r="I1288" s="19">
        <f>Ringkasan!I1287</f>
        <v>2.1</v>
      </c>
      <c r="J1288" s="19">
        <f>Ringkasan!J1287</f>
        <v>16.3</v>
      </c>
      <c r="K1288" s="19">
        <f>Ringkasan!K1287</f>
        <v>10.9</v>
      </c>
      <c r="L1288" s="19">
        <f>Ringkasan!L1287</f>
        <v>0.49</v>
      </c>
      <c r="M1288" s="19">
        <f>Ringkasan!M1287</f>
        <v>33.2</v>
      </c>
      <c r="N1288" s="64" t="str">
        <f>Ringkasan!N1287</f>
        <v/>
      </c>
      <c r="O1288" s="64" t="str">
        <f>Ringkasan!O1287</f>
        <v/>
      </c>
      <c r="P1288" s="64" t="str">
        <f>Ringkasan!P1287</f>
        <v/>
      </c>
      <c r="Q1288" s="64" t="str">
        <f>Ringkasan!Q1287</f>
        <v/>
      </c>
      <c r="R1288" s="64" t="str">
        <f>Ringkasan!R1287</f>
        <v/>
      </c>
      <c r="S1288" s="64" t="str">
        <f>Ringkasan!S1287</f>
        <v/>
      </c>
      <c r="T1288" s="64" t="str">
        <f>Ringkasan!T1287</f>
        <v/>
      </c>
      <c r="U1288" s="64">
        <f>Ringkasan!U1287</f>
        <v>1645</v>
      </c>
      <c r="V1288" s="64">
        <f>Ringkasan!V1287</f>
        <v>3.34</v>
      </c>
      <c r="W1288" s="64">
        <f>Ringkasan!W1287</f>
        <v>1645</v>
      </c>
      <c r="X1288" s="64">
        <f>Ringkasan!X1287</f>
        <v>1700</v>
      </c>
      <c r="Y1288" s="64">
        <f>Ringkasan!Y1287</f>
        <v>1630</v>
      </c>
      <c r="Z1288" s="64">
        <f>Ringkasan!Z1287</f>
        <v>7817400</v>
      </c>
      <c r="AA1288" s="64" t="str">
        <f>Ringkasan!AA1287</f>
        <v>Processed Foods</v>
      </c>
      <c r="AB1288" s="64" t="str">
        <f>Ringkasan!AB1287</f>
        <v>Consumer Non-Cyclicals</v>
      </c>
    </row>
    <row r="1289" hidden="1">
      <c r="A1289" s="64" t="str">
        <f>Ringkasan!A1288</f>
        <v>MYOR</v>
      </c>
      <c r="B1289" s="64" t="str">
        <f>Ringkasan!B1288</f>
        <v>Mayora Indah Tbk.</v>
      </c>
      <c r="C1289" s="65">
        <f>Ringkasan!C1288</f>
        <v>1700</v>
      </c>
      <c r="D1289" s="64" t="str">
        <f>Ringkasan!D1288</f>
        <v>#N/A</v>
      </c>
      <c r="E1289" s="64" t="str">
        <f>Ringkasan!E1288</f>
        <v>FTSE Large Cap</v>
      </c>
      <c r="F1289" s="64" t="str">
        <f>Ringkasan!F1288</f>
        <v>Juni 2026</v>
      </c>
      <c r="G1289" s="64">
        <f>Ringkasan!G1288</f>
        <v>10</v>
      </c>
      <c r="H1289" s="19">
        <f>Ringkasan!H1288</f>
        <v>13.2</v>
      </c>
      <c r="I1289" s="19">
        <f>Ringkasan!I1288</f>
        <v>2.1</v>
      </c>
      <c r="J1289" s="19">
        <f>Ringkasan!J1288</f>
        <v>16.3</v>
      </c>
      <c r="K1289" s="19">
        <f>Ringkasan!K1288</f>
        <v>10.9</v>
      </c>
      <c r="L1289" s="19">
        <f>Ringkasan!L1288</f>
        <v>0.49</v>
      </c>
      <c r="M1289" s="19">
        <f>Ringkasan!M1288</f>
        <v>33.2</v>
      </c>
      <c r="N1289" s="64" t="str">
        <f>Ringkasan!N1288</f>
        <v/>
      </c>
      <c r="O1289" s="64" t="str">
        <f>Ringkasan!O1288</f>
        <v/>
      </c>
      <c r="P1289" s="64" t="str">
        <f>Ringkasan!P1288</f>
        <v/>
      </c>
      <c r="Q1289" s="64" t="str">
        <f>Ringkasan!Q1288</f>
        <v/>
      </c>
      <c r="R1289" s="64" t="str">
        <f>Ringkasan!R1288</f>
        <v/>
      </c>
      <c r="S1289" s="64" t="str">
        <f>Ringkasan!S1288</f>
        <v/>
      </c>
      <c r="T1289" s="64" t="str">
        <f>Ringkasan!T1288</f>
        <v/>
      </c>
      <c r="U1289" s="64">
        <f>Ringkasan!U1288</f>
        <v>1645</v>
      </c>
      <c r="V1289" s="64">
        <f>Ringkasan!V1288</f>
        <v>3.34</v>
      </c>
      <c r="W1289" s="64">
        <f>Ringkasan!W1288</f>
        <v>1645</v>
      </c>
      <c r="X1289" s="64">
        <f>Ringkasan!X1288</f>
        <v>1700</v>
      </c>
      <c r="Y1289" s="64">
        <f>Ringkasan!Y1288</f>
        <v>1630</v>
      </c>
      <c r="Z1289" s="64">
        <f>Ringkasan!Z1288</f>
        <v>7817400</v>
      </c>
      <c r="AA1289" s="64" t="str">
        <f>Ringkasan!AA1288</f>
        <v>Processed Foods</v>
      </c>
      <c r="AB1289" s="64" t="str">
        <f>Ringkasan!AB1288</f>
        <v>Consumer Non-Cyclicals</v>
      </c>
    </row>
    <row r="1290" hidden="1">
      <c r="A1290" s="64" t="str">
        <f>Ringkasan!A1289</f>
        <v>MYOR</v>
      </c>
      <c r="B1290" s="64" t="str">
        <f>Ringkasan!B1289</f>
        <v>Mayora Indah Tbk.</v>
      </c>
      <c r="C1290" s="65">
        <f>Ringkasan!C1289</f>
        <v>1700</v>
      </c>
      <c r="D1290" s="64" t="str">
        <f>Ringkasan!D1289</f>
        <v>#N/A</v>
      </c>
      <c r="E1290" s="64" t="str">
        <f>Ringkasan!E1289</f>
        <v>JII70</v>
      </c>
      <c r="F1290" s="66">
        <f>Ringkasan!F1289</f>
        <v>46356</v>
      </c>
      <c r="G1290" s="64">
        <f>Ringkasan!G1289</f>
        <v>10</v>
      </c>
      <c r="H1290" s="19">
        <f>Ringkasan!H1289</f>
        <v>13.2</v>
      </c>
      <c r="I1290" s="19">
        <f>Ringkasan!I1289</f>
        <v>2.1</v>
      </c>
      <c r="J1290" s="19">
        <f>Ringkasan!J1289</f>
        <v>16.3</v>
      </c>
      <c r="K1290" s="19">
        <f>Ringkasan!K1289</f>
        <v>10.9</v>
      </c>
      <c r="L1290" s="19">
        <f>Ringkasan!L1289</f>
        <v>0.49</v>
      </c>
      <c r="M1290" s="19">
        <f>Ringkasan!M1289</f>
        <v>33.2</v>
      </c>
      <c r="N1290" s="64" t="str">
        <f>Ringkasan!N1289</f>
        <v/>
      </c>
      <c r="O1290" s="64" t="str">
        <f>Ringkasan!O1289</f>
        <v/>
      </c>
      <c r="P1290" s="64" t="str">
        <f>Ringkasan!P1289</f>
        <v/>
      </c>
      <c r="Q1290" s="64" t="str">
        <f>Ringkasan!Q1289</f>
        <v/>
      </c>
      <c r="R1290" s="64" t="str">
        <f>Ringkasan!R1289</f>
        <v/>
      </c>
      <c r="S1290" s="64" t="str">
        <f>Ringkasan!S1289</f>
        <v/>
      </c>
      <c r="T1290" s="64" t="str">
        <f>Ringkasan!T1289</f>
        <v/>
      </c>
      <c r="U1290" s="64">
        <f>Ringkasan!U1289</f>
        <v>1645</v>
      </c>
      <c r="V1290" s="64">
        <f>Ringkasan!V1289</f>
        <v>3.34</v>
      </c>
      <c r="W1290" s="64">
        <f>Ringkasan!W1289</f>
        <v>1645</v>
      </c>
      <c r="X1290" s="64">
        <f>Ringkasan!X1289</f>
        <v>1700</v>
      </c>
      <c r="Y1290" s="64">
        <f>Ringkasan!Y1289</f>
        <v>1630</v>
      </c>
      <c r="Z1290" s="64">
        <f>Ringkasan!Z1289</f>
        <v>7817400</v>
      </c>
      <c r="AA1290" s="64" t="str">
        <f>Ringkasan!AA1289</f>
        <v>Processed Foods</v>
      </c>
      <c r="AB1290" s="64" t="str">
        <f>Ringkasan!AB1289</f>
        <v>Consumer Non-Cyclicals</v>
      </c>
    </row>
    <row r="1291" hidden="1">
      <c r="A1291" s="64" t="str">
        <f>Ringkasan!A1290</f>
        <v>MYTX</v>
      </c>
      <c r="B1291" s="64" t="str">
        <f>Ringkasan!B1290</f>
        <v>PT Asia Pacific Investama Tbk.</v>
      </c>
      <c r="C1291" s="65" t="str">
        <f>Ringkasan!C1290</f>
        <v>#N/A</v>
      </c>
      <c r="D1291" s="64" t="str">
        <f>Ringkasan!D1290</f>
        <v>#N/A</v>
      </c>
      <c r="E1291" s="64" t="str">
        <f>Ringkasan!E1290</f>
        <v/>
      </c>
      <c r="F1291" s="64" t="str">
        <f>Ringkasan!F1290</f>
        <v/>
      </c>
      <c r="G1291" s="64">
        <f>Ringkasan!G1290</f>
        <v>0</v>
      </c>
      <c r="H1291" s="19">
        <f>Ringkasan!H1290</f>
        <v>-38.8</v>
      </c>
      <c r="I1291" s="19">
        <f>Ringkasan!I1290</f>
        <v>-0.62</v>
      </c>
      <c r="J1291" s="19">
        <f>Ringkasan!J1290</f>
        <v>0</v>
      </c>
      <c r="K1291" s="19">
        <f>Ringkasan!K1290</f>
        <v>-0.29</v>
      </c>
      <c r="L1291" s="19">
        <f>Ringkasan!L1290</f>
        <v>-6.6</v>
      </c>
      <c r="M1291" s="19">
        <f>Ringkasan!M1290</f>
        <v>-4.4</v>
      </c>
      <c r="N1291" s="64" t="str">
        <f>Ringkasan!N1290</f>
        <v/>
      </c>
      <c r="O1291" s="64" t="str">
        <f>Ringkasan!O1290</f>
        <v/>
      </c>
      <c r="P1291" s="64" t="str">
        <f>Ringkasan!P1290</f>
        <v/>
      </c>
      <c r="Q1291" s="64" t="str">
        <f>Ringkasan!Q1290</f>
        <v/>
      </c>
      <c r="R1291" s="64" t="str">
        <f>Ringkasan!R1290</f>
        <v/>
      </c>
      <c r="S1291" s="64" t="str">
        <f>Ringkasan!S1290</f>
        <v/>
      </c>
      <c r="T1291" s="64" t="str">
        <f>Ringkasan!T1290</f>
        <v/>
      </c>
      <c r="U1291" s="64">
        <f>Ringkasan!U1290</f>
        <v>49</v>
      </c>
      <c r="V1291" s="64">
        <f>Ringkasan!V1290</f>
        <v>0</v>
      </c>
      <c r="W1291" s="64">
        <f>Ringkasan!W1290</f>
        <v>48</v>
      </c>
      <c r="X1291" s="64">
        <f>Ringkasan!X1290</f>
        <v>49</v>
      </c>
      <c r="Y1291" s="64">
        <f>Ringkasan!Y1290</f>
        <v>48</v>
      </c>
      <c r="Z1291" s="64">
        <f>Ringkasan!Z1290</f>
        <v>48700</v>
      </c>
      <c r="AA1291" s="64" t="str">
        <f>Ringkasan!AA1290</f>
        <v>Apparel &amp; Luxury Goods</v>
      </c>
      <c r="AB1291" s="64" t="str">
        <f>Ringkasan!AB1290</f>
        <v>Consumer Cyclicals</v>
      </c>
    </row>
    <row r="1292" hidden="1">
      <c r="A1292" s="64" t="str">
        <f>Ringkasan!A1291</f>
        <v>NAIK</v>
      </c>
      <c r="B1292" s="64" t="str">
        <f>Ringkasan!B1291</f>
        <v>Adiwarna Anugerah Abadi Tbk.</v>
      </c>
      <c r="C1292" s="65">
        <f>Ringkasan!C1291</f>
        <v>82</v>
      </c>
      <c r="D1292" s="64" t="str">
        <f>Ringkasan!D1291</f>
        <v>#N/A</v>
      </c>
      <c r="E1292" s="64" t="str">
        <f>Ringkasan!E1291</f>
        <v/>
      </c>
      <c r="F1292" s="64" t="str">
        <f>Ringkasan!F1291</f>
        <v/>
      </c>
      <c r="G1292" s="65">
        <f>Ringkasan!G1291</f>
        <v>0</v>
      </c>
      <c r="H1292" s="19">
        <f>Ringkasan!H1291</f>
        <v>9.5</v>
      </c>
      <c r="I1292" s="19">
        <f>Ringkasan!I1291</f>
        <v>1.4</v>
      </c>
      <c r="J1292" s="19">
        <f>Ringkasan!J1291</f>
        <v>14.4</v>
      </c>
      <c r="K1292" s="19">
        <f>Ringkasan!K1291</f>
        <v>12</v>
      </c>
      <c r="L1292" s="19">
        <f>Ringkasan!L1291</f>
        <v>0.2</v>
      </c>
      <c r="M1292" s="19">
        <f>Ringkasan!M1291</f>
        <v>47.5</v>
      </c>
      <c r="N1292" s="64" t="str">
        <f>Ringkasan!N1291</f>
        <v/>
      </c>
      <c r="O1292" s="64" t="str">
        <f>Ringkasan!O1291</f>
        <v/>
      </c>
      <c r="P1292" s="64" t="str">
        <f>Ringkasan!P1291</f>
        <v/>
      </c>
      <c r="Q1292" s="64" t="str">
        <f>Ringkasan!Q1291</f>
        <v/>
      </c>
      <c r="R1292" s="64" t="str">
        <f>Ringkasan!R1291</f>
        <v/>
      </c>
      <c r="S1292" s="64" t="str">
        <f>Ringkasan!S1291</f>
        <v/>
      </c>
      <c r="T1292" s="64" t="str">
        <f>Ringkasan!T1291</f>
        <v/>
      </c>
      <c r="U1292" s="64">
        <f>Ringkasan!U1291</f>
        <v>79</v>
      </c>
      <c r="V1292" s="64">
        <f>Ringkasan!V1291</f>
        <v>3.8</v>
      </c>
      <c r="W1292" s="64">
        <f>Ringkasan!W1291</f>
        <v>79</v>
      </c>
      <c r="X1292" s="64">
        <f>Ringkasan!X1291</f>
        <v>84</v>
      </c>
      <c r="Y1292" s="64">
        <f>Ringkasan!Y1291</f>
        <v>79</v>
      </c>
      <c r="Z1292" s="64">
        <f>Ringkasan!Z1291</f>
        <v>2504800</v>
      </c>
      <c r="AA1292" s="64" t="str">
        <f>Ringkasan!AA1291</f>
        <v>Diversified Industrial Trading</v>
      </c>
      <c r="AB1292" s="64" t="str">
        <f>Ringkasan!AB1291</f>
        <v>Industrials</v>
      </c>
    </row>
    <row r="1293" hidden="1">
      <c r="A1293" s="64" t="str">
        <f>Ringkasan!A1292</f>
        <v>NANO</v>
      </c>
      <c r="B1293" s="64" t="str">
        <f>Ringkasan!B1292</f>
        <v>Nanotech Indonesia Global Tbk.</v>
      </c>
      <c r="C1293" s="65" t="str">
        <f>Ringkasan!C1292</f>
        <v>#N/A</v>
      </c>
      <c r="D1293" s="64" t="str">
        <f>Ringkasan!D1292</f>
        <v>#N/A</v>
      </c>
      <c r="E1293" s="64" t="str">
        <f>Ringkasan!E1292</f>
        <v/>
      </c>
      <c r="F1293" s="64" t="str">
        <f>Ringkasan!F1292</f>
        <v/>
      </c>
      <c r="G1293" s="64">
        <f>Ringkasan!G1292</f>
        <v>0</v>
      </c>
      <c r="H1293" s="19">
        <f>Ringkasan!H1292</f>
        <v>54.2</v>
      </c>
      <c r="I1293" s="19">
        <f>Ringkasan!I1292</f>
        <v>0.65</v>
      </c>
      <c r="J1293" s="19">
        <f>Ringkasan!J1292</f>
        <v>1.2</v>
      </c>
      <c r="K1293" s="19">
        <f>Ringkasan!K1292</f>
        <v>0.98</v>
      </c>
      <c r="L1293" s="19">
        <f>Ringkasan!L1292</f>
        <v>0.21</v>
      </c>
      <c r="M1293" s="19">
        <f>Ringkasan!M1292</f>
        <v>2.9</v>
      </c>
      <c r="N1293" s="64" t="str">
        <f>Ringkasan!N1292</f>
        <v/>
      </c>
      <c r="O1293" s="64" t="str">
        <f>Ringkasan!O1292</f>
        <v/>
      </c>
      <c r="P1293" s="64" t="str">
        <f>Ringkasan!P1292</f>
        <v/>
      </c>
      <c r="Q1293" s="64" t="str">
        <f>Ringkasan!Q1292</f>
        <v/>
      </c>
      <c r="R1293" s="64" t="str">
        <f>Ringkasan!R1292</f>
        <v/>
      </c>
      <c r="S1293" s="64" t="str">
        <f>Ringkasan!S1292</f>
        <v/>
      </c>
      <c r="T1293" s="64" t="str">
        <f>Ringkasan!T1292</f>
        <v/>
      </c>
      <c r="U1293" s="64">
        <f>Ringkasan!U1292</f>
        <v>2.2</v>
      </c>
      <c r="V1293" s="64">
        <f>Ringkasan!V1292</f>
        <v>36.36</v>
      </c>
      <c r="W1293" s="64">
        <f>Ringkasan!W1292</f>
        <v>2.3</v>
      </c>
      <c r="X1293" s="64">
        <f>Ringkasan!X1292</f>
        <v>3</v>
      </c>
      <c r="Y1293" s="64">
        <f>Ringkasan!Y1292</f>
        <v>2.24</v>
      </c>
      <c r="Z1293" s="64">
        <f>Ringkasan!Z1292</f>
        <v>5679787</v>
      </c>
      <c r="AA1293" s="64" t="str">
        <f>Ringkasan!AA1292</f>
        <v>Personal Care Products</v>
      </c>
      <c r="AB1293" s="64" t="str">
        <f>Ringkasan!AB1292</f>
        <v>Consumer Non-Cyclicals</v>
      </c>
    </row>
    <row r="1294" hidden="1">
      <c r="A1294" s="64" t="str">
        <f>Ringkasan!A1293</f>
        <v>NASA</v>
      </c>
      <c r="B1294" s="64" t="str">
        <f>Ringkasan!B1293</f>
        <v>Andalan Perkasa Abadi Tbk.</v>
      </c>
      <c r="C1294" s="65">
        <f>Ringkasan!C1293</f>
        <v>34</v>
      </c>
      <c r="D1294" s="64" t="str">
        <f>Ringkasan!D1293</f>
        <v>#N/A</v>
      </c>
      <c r="E1294" s="64" t="str">
        <f>Ringkasan!E1293</f>
        <v/>
      </c>
      <c r="F1294" s="64" t="str">
        <f>Ringkasan!F1293</f>
        <v/>
      </c>
      <c r="G1294" s="64">
        <f>Ringkasan!G1293</f>
        <v>0</v>
      </c>
      <c r="H1294" s="19">
        <f>Ringkasan!H1293</f>
        <v>220</v>
      </c>
      <c r="I1294" s="19">
        <f>Ringkasan!I1293</f>
        <v>0.37</v>
      </c>
      <c r="J1294" s="19">
        <f>Ringkasan!J1293</f>
        <v>0.17</v>
      </c>
      <c r="K1294" s="19">
        <f>Ringkasan!K1293</f>
        <v>0.16</v>
      </c>
      <c r="L1294" s="19">
        <f>Ringkasan!L1293</f>
        <v>0.02</v>
      </c>
      <c r="M1294" s="19">
        <f>Ringkasan!M1293</f>
        <v>240</v>
      </c>
      <c r="N1294" s="64" t="str">
        <f>Ringkasan!N1293</f>
        <v/>
      </c>
      <c r="O1294" s="64" t="str">
        <f>Ringkasan!O1293</f>
        <v/>
      </c>
      <c r="P1294" s="64" t="str">
        <f>Ringkasan!P1293</f>
        <v/>
      </c>
      <c r="Q1294" s="64" t="str">
        <f>Ringkasan!Q1293</f>
        <v/>
      </c>
      <c r="R1294" s="64" t="str">
        <f>Ringkasan!R1293</f>
        <v/>
      </c>
      <c r="S1294" s="64" t="str">
        <f>Ringkasan!S1293</f>
        <v/>
      </c>
      <c r="T1294" s="64" t="str">
        <f>Ringkasan!T1293</f>
        <v/>
      </c>
      <c r="U1294" s="64">
        <f>Ringkasan!U1293</f>
        <v>35.24</v>
      </c>
      <c r="V1294" s="64">
        <f>Ringkasan!V1293</f>
        <v>-9.39</v>
      </c>
      <c r="W1294" s="64">
        <f>Ringkasan!W1293</f>
        <v>35.23</v>
      </c>
      <c r="X1294" s="64">
        <f>Ringkasan!X1293</f>
        <v>35.26</v>
      </c>
      <c r="Y1294" s="64">
        <f>Ringkasan!Y1293</f>
        <v>31.41</v>
      </c>
      <c r="Z1294" s="64">
        <f>Ringkasan!Z1293</f>
        <v>6998039</v>
      </c>
      <c r="AA1294" s="64" t="str">
        <f>Ringkasan!AA1293</f>
        <v>Real Estate Management &amp; Development</v>
      </c>
      <c r="AB1294" s="64" t="str">
        <f>Ringkasan!AB1293</f>
        <v>Properties &amp; Real Estate</v>
      </c>
    </row>
    <row r="1295" hidden="1">
      <c r="A1295" s="64" t="str">
        <f>Ringkasan!A1294</f>
        <v>NASI</v>
      </c>
      <c r="B1295" s="64" t="str">
        <f>Ringkasan!B1294</f>
        <v>Wahana Inti Makmur Tbk.</v>
      </c>
      <c r="C1295" s="65">
        <f>Ringkasan!C1294</f>
        <v>104</v>
      </c>
      <c r="D1295" s="64" t="str">
        <f>Ringkasan!D1294</f>
        <v>#N/A</v>
      </c>
      <c r="E1295" s="64" t="str">
        <f>Ringkasan!E1294</f>
        <v/>
      </c>
      <c r="F1295" s="64" t="str">
        <f>Ringkasan!F1294</f>
        <v/>
      </c>
      <c r="G1295" s="64">
        <f>Ringkasan!G1294</f>
        <v>0</v>
      </c>
      <c r="H1295" s="19">
        <f>Ringkasan!H1294</f>
        <v>-22.9</v>
      </c>
      <c r="I1295" s="19">
        <f>Ringkasan!I1294</f>
        <v>1.8</v>
      </c>
      <c r="J1295" s="19">
        <f>Ringkasan!J1294</f>
        <v>-7.9</v>
      </c>
      <c r="K1295" s="19">
        <f>Ringkasan!K1294</f>
        <v>-6.6</v>
      </c>
      <c r="L1295" s="19">
        <f>Ringkasan!L1294</f>
        <v>0.2</v>
      </c>
      <c r="M1295" s="19">
        <f>Ringkasan!M1294</f>
        <v>-51.1</v>
      </c>
      <c r="N1295" s="64" t="str">
        <f>Ringkasan!N1294</f>
        <v/>
      </c>
      <c r="O1295" s="64" t="str">
        <f>Ringkasan!O1294</f>
        <v/>
      </c>
      <c r="P1295" s="64" t="str">
        <f>Ringkasan!P1294</f>
        <v/>
      </c>
      <c r="Q1295" s="64" t="str">
        <f>Ringkasan!Q1294</f>
        <v/>
      </c>
      <c r="R1295" s="64" t="str">
        <f>Ringkasan!R1294</f>
        <v/>
      </c>
      <c r="S1295" s="64" t="str">
        <f>Ringkasan!S1294</f>
        <v/>
      </c>
      <c r="T1295" s="64" t="str">
        <f>Ringkasan!T1294</f>
        <v/>
      </c>
      <c r="U1295" s="64">
        <f>Ringkasan!U1294</f>
        <v>99</v>
      </c>
      <c r="V1295" s="64">
        <f>Ringkasan!V1294</f>
        <v>5.05</v>
      </c>
      <c r="W1295" s="64">
        <f>Ringkasan!W1294</f>
        <v>100</v>
      </c>
      <c r="X1295" s="64">
        <f>Ringkasan!X1294</f>
        <v>105</v>
      </c>
      <c r="Y1295" s="64">
        <f>Ringkasan!Y1294</f>
        <v>99</v>
      </c>
      <c r="Z1295" s="64">
        <f>Ringkasan!Z1294</f>
        <v>1918500</v>
      </c>
      <c r="AA1295" s="64" t="str">
        <f>Ringkasan!AA1294</f>
        <v>Processed Foods</v>
      </c>
      <c r="AB1295" s="64" t="str">
        <f>Ringkasan!AB1294</f>
        <v>Consumer Non-Cyclicals</v>
      </c>
    </row>
    <row r="1296" hidden="1">
      <c r="A1296" s="64" t="str">
        <f>Ringkasan!A1295</f>
        <v>NATO</v>
      </c>
      <c r="B1296" s="64" t="str">
        <f>Ringkasan!B1295</f>
        <v>Olympus Strategic Indonesia Tbk.</v>
      </c>
      <c r="C1296" s="65">
        <f>Ringkasan!C1295</f>
        <v>590</v>
      </c>
      <c r="D1296" s="64" t="str">
        <f>Ringkasan!D1295</f>
        <v>#N/A</v>
      </c>
      <c r="E1296" s="64" t="str">
        <f>Ringkasan!E1295</f>
        <v/>
      </c>
      <c r="F1296" s="64" t="str">
        <f>Ringkasan!F1295</f>
        <v/>
      </c>
      <c r="G1296" s="64">
        <f>Ringkasan!G1295</f>
        <v>0</v>
      </c>
      <c r="H1296" s="19">
        <f>Ringkasan!H1295</f>
        <v>-57.1</v>
      </c>
      <c r="I1296" s="19">
        <f>Ringkasan!I1295</f>
        <v>2.4</v>
      </c>
      <c r="J1296" s="19">
        <f>Ringkasan!J1295</f>
        <v>-4.2</v>
      </c>
      <c r="K1296" s="19">
        <f>Ringkasan!K1295</f>
        <v>-1.9</v>
      </c>
      <c r="L1296" s="19">
        <f>Ringkasan!L1295</f>
        <v>1.2</v>
      </c>
      <c r="M1296" s="19">
        <f>Ringkasan!M1295</f>
        <v>-24.2</v>
      </c>
      <c r="N1296" s="64" t="str">
        <f>Ringkasan!N1295</f>
        <v/>
      </c>
      <c r="O1296" s="64" t="str">
        <f>Ringkasan!O1295</f>
        <v/>
      </c>
      <c r="P1296" s="64" t="str">
        <f>Ringkasan!P1295</f>
        <v/>
      </c>
      <c r="Q1296" s="64" t="str">
        <f>Ringkasan!Q1295</f>
        <v/>
      </c>
      <c r="R1296" s="64" t="str">
        <f>Ringkasan!R1295</f>
        <v/>
      </c>
      <c r="S1296" s="64" t="str">
        <f>Ringkasan!S1295</f>
        <v/>
      </c>
      <c r="T1296" s="64" t="str">
        <f>Ringkasan!T1295</f>
        <v/>
      </c>
      <c r="U1296" s="64">
        <f>Ringkasan!U1295</f>
        <v>40.04</v>
      </c>
      <c r="V1296" s="64" t="str">
        <f>Ringkasan!V1295</f>
        <v/>
      </c>
      <c r="W1296" s="64">
        <f>Ringkasan!W1295</f>
        <v>40.11</v>
      </c>
      <c r="X1296" s="64">
        <f>Ringkasan!X1295</f>
        <v>40.11</v>
      </c>
      <c r="Y1296" s="64">
        <f>Ringkasan!Y1295</f>
        <v>39.8</v>
      </c>
      <c r="Z1296" s="64">
        <f>Ringkasan!Z1295</f>
        <v>16896</v>
      </c>
      <c r="AA1296" s="64" t="str">
        <f>Ringkasan!AA1295</f>
        <v>Tourism &amp; Recreation</v>
      </c>
      <c r="AB1296" s="64" t="str">
        <f>Ringkasan!AB1295</f>
        <v>Consumer Cyclicals</v>
      </c>
    </row>
    <row r="1297" hidden="1">
      <c r="A1297" s="64" t="str">
        <f>Ringkasan!A1296</f>
        <v>NAYZ</v>
      </c>
      <c r="B1297" s="64" t="str">
        <f>Ringkasan!B1296</f>
        <v>PT Hassana Boga Sejahtera Tbk</v>
      </c>
      <c r="C1297" s="65">
        <f>Ringkasan!C1296</f>
        <v>55</v>
      </c>
      <c r="D1297" s="64" t="str">
        <f>Ringkasan!D1296</f>
        <v>#N/A</v>
      </c>
      <c r="E1297" s="64" t="str">
        <f>Ringkasan!E1296</f>
        <v/>
      </c>
      <c r="F1297" s="64" t="str">
        <f>Ringkasan!F1296</f>
        <v/>
      </c>
      <c r="G1297" s="64">
        <f>Ringkasan!G1296</f>
        <v>0</v>
      </c>
      <c r="H1297" s="19">
        <f>Ringkasan!H1296</f>
        <v>-30.3</v>
      </c>
      <c r="I1297" s="19">
        <f>Ringkasan!I1296</f>
        <v>2</v>
      </c>
      <c r="J1297" s="19">
        <f>Ringkasan!J1296</f>
        <v>-6.5</v>
      </c>
      <c r="K1297" s="19">
        <f>Ringkasan!K1296</f>
        <v>-6.3</v>
      </c>
      <c r="L1297" s="19">
        <f>Ringkasan!L1296</f>
        <v>0.04</v>
      </c>
      <c r="M1297" s="19">
        <f>Ringkasan!M1296</f>
        <v>-18</v>
      </c>
      <c r="N1297" s="64" t="str">
        <f>Ringkasan!N1296</f>
        <v/>
      </c>
      <c r="O1297" s="64" t="str">
        <f>Ringkasan!O1296</f>
        <v/>
      </c>
      <c r="P1297" s="64" t="str">
        <f>Ringkasan!P1296</f>
        <v/>
      </c>
      <c r="Q1297" s="64" t="str">
        <f>Ringkasan!Q1296</f>
        <v/>
      </c>
      <c r="R1297" s="64" t="str">
        <f>Ringkasan!R1296</f>
        <v/>
      </c>
      <c r="S1297" s="64" t="str">
        <f>Ringkasan!S1296</f>
        <v/>
      </c>
      <c r="T1297" s="64" t="str">
        <f>Ringkasan!T1296</f>
        <v/>
      </c>
      <c r="U1297" s="64">
        <f>Ringkasan!U1296</f>
        <v>57</v>
      </c>
      <c r="V1297" s="64">
        <f>Ringkasan!V1296</f>
        <v>-3.51</v>
      </c>
      <c r="W1297" s="64">
        <f>Ringkasan!W1296</f>
        <v>57</v>
      </c>
      <c r="X1297" s="64">
        <f>Ringkasan!X1296</f>
        <v>58</v>
      </c>
      <c r="Y1297" s="64">
        <f>Ringkasan!Y1296</f>
        <v>54</v>
      </c>
      <c r="Z1297" s="64">
        <f>Ringkasan!Z1296</f>
        <v>13831100</v>
      </c>
      <c r="AA1297" s="64" t="str">
        <f>Ringkasan!AA1296</f>
        <v>Processed Foods</v>
      </c>
      <c r="AB1297" s="64" t="str">
        <f>Ringkasan!AB1296</f>
        <v>Consumer Non-Cyclicals</v>
      </c>
    </row>
    <row r="1298" hidden="1">
      <c r="A1298" s="64" t="str">
        <f>Ringkasan!A1297</f>
        <v>NCKL</v>
      </c>
      <c r="B1298" s="64" t="str">
        <f>Ringkasan!B1297</f>
        <v>PT Trimegah Bangun Persada Tbk.</v>
      </c>
      <c r="C1298" s="65">
        <f>Ringkasan!C1297</f>
        <v>890</v>
      </c>
      <c r="D1298" s="64" t="str">
        <f>Ringkasan!D1297</f>
        <v>#N/A</v>
      </c>
      <c r="E1298" s="64" t="str">
        <f>Ringkasan!E1297</f>
        <v>Kompas100</v>
      </c>
      <c r="F1298" s="64" t="str">
        <f>Ringkasan!F1297</f>
        <v>31 Juli 2026</v>
      </c>
      <c r="G1298" s="65">
        <f>Ringkasan!G1297</f>
        <v>4</v>
      </c>
      <c r="H1298" s="19">
        <f>Ringkasan!H1297</f>
        <v>5.6</v>
      </c>
      <c r="I1298" s="19">
        <f>Ringkasan!I1297</f>
        <v>1.1</v>
      </c>
      <c r="J1298" s="19">
        <f>Ringkasan!J1297</f>
        <v>20</v>
      </c>
      <c r="K1298" s="19">
        <f>Ringkasan!K1297</f>
        <v>15.4</v>
      </c>
      <c r="L1298" s="19">
        <f>Ringkasan!L1297</f>
        <v>0.3</v>
      </c>
      <c r="M1298" s="19">
        <f>Ringkasan!M1297</f>
        <v>150</v>
      </c>
      <c r="N1298" s="64" t="str">
        <f>Ringkasan!N1297</f>
        <v/>
      </c>
      <c r="O1298" s="64" t="str">
        <f>Ringkasan!O1297</f>
        <v/>
      </c>
      <c r="P1298" s="64" t="str">
        <f>Ringkasan!P1297</f>
        <v/>
      </c>
      <c r="Q1298" s="64" t="str">
        <f>Ringkasan!Q1297</f>
        <v/>
      </c>
      <c r="R1298" s="64" t="str">
        <f>Ringkasan!R1297</f>
        <v/>
      </c>
      <c r="S1298" s="64" t="str">
        <f>Ringkasan!S1297</f>
        <v/>
      </c>
      <c r="T1298" s="64" t="str">
        <f>Ringkasan!T1297</f>
        <v/>
      </c>
      <c r="U1298" s="64">
        <f>Ringkasan!U1297</f>
        <v>785</v>
      </c>
      <c r="V1298" s="64">
        <f>Ringkasan!V1297</f>
        <v>13.38</v>
      </c>
      <c r="W1298" s="64">
        <f>Ringkasan!W1297</f>
        <v>790</v>
      </c>
      <c r="X1298" s="64">
        <f>Ringkasan!X1297</f>
        <v>890</v>
      </c>
      <c r="Y1298" s="64">
        <f>Ringkasan!Y1297</f>
        <v>790</v>
      </c>
      <c r="Z1298" s="64">
        <f>Ringkasan!Z1297</f>
        <v>63386300</v>
      </c>
      <c r="AA1298" s="64" t="str">
        <f>Ringkasan!AA1297</f>
        <v>Metals &amp; Minerals</v>
      </c>
      <c r="AB1298" s="64" t="str">
        <f>Ringkasan!AB1297</f>
        <v>Basic Materials</v>
      </c>
    </row>
    <row r="1299" hidden="1">
      <c r="A1299" s="64" t="str">
        <f>Ringkasan!A1298</f>
        <v>NCKL</v>
      </c>
      <c r="B1299" s="64" t="str">
        <f>Ringkasan!B1298</f>
        <v>PT Trimegah Bangun Persada Tbk.</v>
      </c>
      <c r="C1299" s="65">
        <f>Ringkasan!C1298</f>
        <v>890</v>
      </c>
      <c r="D1299" s="64" t="str">
        <f>Ringkasan!D1298</f>
        <v>#N/A</v>
      </c>
      <c r="E1299" s="64" t="str">
        <f>Ringkasan!E1298</f>
        <v>IDXQ30</v>
      </c>
      <c r="F1299" s="64" t="str">
        <f>Ringkasan!F1298</f>
        <v>4 Agustus 2026</v>
      </c>
      <c r="G1299" s="65">
        <f>Ringkasan!G1298</f>
        <v>4</v>
      </c>
      <c r="H1299" s="19">
        <f>Ringkasan!H1298</f>
        <v>5.6</v>
      </c>
      <c r="I1299" s="19">
        <f>Ringkasan!I1298</f>
        <v>1.1</v>
      </c>
      <c r="J1299" s="19">
        <f>Ringkasan!J1298</f>
        <v>20</v>
      </c>
      <c r="K1299" s="19">
        <f>Ringkasan!K1298</f>
        <v>15.4</v>
      </c>
      <c r="L1299" s="19">
        <f>Ringkasan!L1298</f>
        <v>0.3</v>
      </c>
      <c r="M1299" s="19">
        <f>Ringkasan!M1298</f>
        <v>150</v>
      </c>
      <c r="N1299" s="64" t="str">
        <f>Ringkasan!N1298</f>
        <v/>
      </c>
      <c r="O1299" s="64" t="str">
        <f>Ringkasan!O1298</f>
        <v/>
      </c>
      <c r="P1299" s="64" t="str">
        <f>Ringkasan!P1298</f>
        <v/>
      </c>
      <c r="Q1299" s="64" t="str">
        <f>Ringkasan!Q1298</f>
        <v/>
      </c>
      <c r="R1299" s="64" t="str">
        <f>Ringkasan!R1298</f>
        <v/>
      </c>
      <c r="S1299" s="64" t="str">
        <f>Ringkasan!S1298</f>
        <v/>
      </c>
      <c r="T1299" s="64" t="str">
        <f>Ringkasan!T1298</f>
        <v/>
      </c>
      <c r="U1299" s="64">
        <f>Ringkasan!U1298</f>
        <v>785</v>
      </c>
      <c r="V1299" s="64">
        <f>Ringkasan!V1298</f>
        <v>13.38</v>
      </c>
      <c r="W1299" s="64">
        <f>Ringkasan!W1298</f>
        <v>790</v>
      </c>
      <c r="X1299" s="64">
        <f>Ringkasan!X1298</f>
        <v>890</v>
      </c>
      <c r="Y1299" s="64">
        <f>Ringkasan!Y1298</f>
        <v>790</v>
      </c>
      <c r="Z1299" s="64">
        <f>Ringkasan!Z1298</f>
        <v>63386300</v>
      </c>
      <c r="AA1299" s="64" t="str">
        <f>Ringkasan!AA1298</f>
        <v>Metals &amp; Minerals</v>
      </c>
      <c r="AB1299" s="64" t="str">
        <f>Ringkasan!AB1298</f>
        <v>Basic Materials</v>
      </c>
    </row>
    <row r="1300" hidden="1">
      <c r="A1300" s="64" t="str">
        <f>Ringkasan!A1299</f>
        <v>NCKL</v>
      </c>
      <c r="B1300" s="64" t="str">
        <f>Ringkasan!B1299</f>
        <v>PT Trimegah Bangun Persada Tbk.</v>
      </c>
      <c r="C1300" s="65">
        <f>Ringkasan!C1299</f>
        <v>890</v>
      </c>
      <c r="D1300" s="64" t="str">
        <f>Ringkasan!D1299</f>
        <v>#N/A</v>
      </c>
      <c r="E1300" s="64" t="str">
        <f>Ringkasan!E1299</f>
        <v>IDXV30</v>
      </c>
      <c r="F1300" s="64" t="str">
        <f>Ringkasan!F1299</f>
        <v>4 Agustus 2026</v>
      </c>
      <c r="G1300" s="65">
        <f>Ringkasan!G1299</f>
        <v>4</v>
      </c>
      <c r="H1300" s="19">
        <f>Ringkasan!H1299</f>
        <v>5.6</v>
      </c>
      <c r="I1300" s="19">
        <f>Ringkasan!I1299</f>
        <v>1.1</v>
      </c>
      <c r="J1300" s="19">
        <f>Ringkasan!J1299</f>
        <v>20</v>
      </c>
      <c r="K1300" s="19">
        <f>Ringkasan!K1299</f>
        <v>15.4</v>
      </c>
      <c r="L1300" s="19">
        <f>Ringkasan!L1299</f>
        <v>0.3</v>
      </c>
      <c r="M1300" s="19">
        <f>Ringkasan!M1299</f>
        <v>150</v>
      </c>
      <c r="N1300" s="64" t="str">
        <f>Ringkasan!N1299</f>
        <v/>
      </c>
      <c r="O1300" s="64" t="str">
        <f>Ringkasan!O1299</f>
        <v/>
      </c>
      <c r="P1300" s="64" t="str">
        <f>Ringkasan!P1299</f>
        <v/>
      </c>
      <c r="Q1300" s="64" t="str">
        <f>Ringkasan!Q1299</f>
        <v/>
      </c>
      <c r="R1300" s="64" t="str">
        <f>Ringkasan!R1299</f>
        <v/>
      </c>
      <c r="S1300" s="64" t="str">
        <f>Ringkasan!S1299</f>
        <v/>
      </c>
      <c r="T1300" s="64" t="str">
        <f>Ringkasan!T1299</f>
        <v/>
      </c>
      <c r="U1300" s="64">
        <f>Ringkasan!U1299</f>
        <v>785</v>
      </c>
      <c r="V1300" s="64">
        <f>Ringkasan!V1299</f>
        <v>13.38</v>
      </c>
      <c r="W1300" s="64">
        <f>Ringkasan!W1299</f>
        <v>790</v>
      </c>
      <c r="X1300" s="64">
        <f>Ringkasan!X1299</f>
        <v>890</v>
      </c>
      <c r="Y1300" s="64">
        <f>Ringkasan!Y1299</f>
        <v>790</v>
      </c>
      <c r="Z1300" s="64">
        <f>Ringkasan!Z1299</f>
        <v>63386300</v>
      </c>
      <c r="AA1300" s="64" t="str">
        <f>Ringkasan!AA1299</f>
        <v>Metals &amp; Minerals</v>
      </c>
      <c r="AB1300" s="64" t="str">
        <f>Ringkasan!AB1299</f>
        <v>Basic Materials</v>
      </c>
    </row>
    <row r="1301" hidden="1">
      <c r="A1301" s="64" t="str">
        <f>Ringkasan!A1300</f>
        <v>NCKL</v>
      </c>
      <c r="B1301" s="64" t="str">
        <f>Ringkasan!B1300</f>
        <v>PT Trimegah Bangun Persada Tbk.</v>
      </c>
      <c r="C1301" s="65">
        <f>Ringkasan!C1300</f>
        <v>890</v>
      </c>
      <c r="D1301" s="64" t="str">
        <f>Ringkasan!D1300</f>
        <v>#N/A</v>
      </c>
      <c r="E1301" s="64" t="str">
        <f>Ringkasan!E1300</f>
        <v>FTSE Large Cap</v>
      </c>
      <c r="F1301" s="64" t="str">
        <f>Ringkasan!F1300</f>
        <v>Juni 2026</v>
      </c>
      <c r="G1301" s="64">
        <f>Ringkasan!G1300</f>
        <v>4</v>
      </c>
      <c r="H1301" s="19">
        <f>Ringkasan!H1300</f>
        <v>5.6</v>
      </c>
      <c r="I1301" s="19">
        <f>Ringkasan!I1300</f>
        <v>1.1</v>
      </c>
      <c r="J1301" s="19">
        <f>Ringkasan!J1300</f>
        <v>20</v>
      </c>
      <c r="K1301" s="19">
        <f>Ringkasan!K1300</f>
        <v>15.4</v>
      </c>
      <c r="L1301" s="19">
        <f>Ringkasan!L1300</f>
        <v>0.3</v>
      </c>
      <c r="M1301" s="19">
        <f>Ringkasan!M1300</f>
        <v>150</v>
      </c>
      <c r="N1301" s="64" t="str">
        <f>Ringkasan!N1300</f>
        <v/>
      </c>
      <c r="O1301" s="64" t="str">
        <f>Ringkasan!O1300</f>
        <v/>
      </c>
      <c r="P1301" s="64" t="str">
        <f>Ringkasan!P1300</f>
        <v/>
      </c>
      <c r="Q1301" s="64" t="str">
        <f>Ringkasan!Q1300</f>
        <v/>
      </c>
      <c r="R1301" s="64" t="str">
        <f>Ringkasan!R1300</f>
        <v/>
      </c>
      <c r="S1301" s="64" t="str">
        <f>Ringkasan!S1300</f>
        <v/>
      </c>
      <c r="T1301" s="64" t="str">
        <f>Ringkasan!T1300</f>
        <v/>
      </c>
      <c r="U1301" s="64">
        <f>Ringkasan!U1300</f>
        <v>785</v>
      </c>
      <c r="V1301" s="64">
        <f>Ringkasan!V1300</f>
        <v>13.38</v>
      </c>
      <c r="W1301" s="64">
        <f>Ringkasan!W1300</f>
        <v>790</v>
      </c>
      <c r="X1301" s="64">
        <f>Ringkasan!X1300</f>
        <v>890</v>
      </c>
      <c r="Y1301" s="64">
        <f>Ringkasan!Y1300</f>
        <v>790</v>
      </c>
      <c r="Z1301" s="64">
        <f>Ringkasan!Z1300</f>
        <v>63386300</v>
      </c>
      <c r="AA1301" s="64" t="str">
        <f>Ringkasan!AA1300</f>
        <v>Metals &amp; Minerals</v>
      </c>
      <c r="AB1301" s="64" t="str">
        <f>Ringkasan!AB1300</f>
        <v>Basic Materials</v>
      </c>
    </row>
    <row r="1302" hidden="1">
      <c r="A1302" s="64" t="str">
        <f>Ringkasan!A1301</f>
        <v>NELY</v>
      </c>
      <c r="B1302" s="64" t="str">
        <f>Ringkasan!B1301</f>
        <v>Pelayaran Nelly Dwi Putri Tbk</v>
      </c>
      <c r="C1302" s="65">
        <f>Ringkasan!C1301</f>
        <v>195</v>
      </c>
      <c r="D1302" s="64" t="str">
        <f>Ringkasan!D1301</f>
        <v>#N/A</v>
      </c>
      <c r="E1302" s="64" t="str">
        <f>Ringkasan!E1301</f>
        <v/>
      </c>
      <c r="F1302" s="64" t="str">
        <f>Ringkasan!F1301</f>
        <v/>
      </c>
      <c r="G1302" s="64">
        <f>Ringkasan!G1301</f>
        <v>0</v>
      </c>
      <c r="H1302" s="19">
        <f>Ringkasan!H1301</f>
        <v>-77</v>
      </c>
      <c r="I1302" s="19">
        <f>Ringkasan!I1301</f>
        <v>0.61</v>
      </c>
      <c r="J1302" s="19">
        <f>Ringkasan!J1301</f>
        <v>-0.79</v>
      </c>
      <c r="K1302" s="19">
        <f>Ringkasan!K1301</f>
        <v>-0.61</v>
      </c>
      <c r="L1302" s="19">
        <f>Ringkasan!L1301</f>
        <v>0.28</v>
      </c>
      <c r="M1302" s="19">
        <f>Ringkasan!M1301</f>
        <v>-15.7</v>
      </c>
      <c r="N1302" s="64" t="str">
        <f>Ringkasan!N1301</f>
        <v/>
      </c>
      <c r="O1302" s="64" t="str">
        <f>Ringkasan!O1301</f>
        <v/>
      </c>
      <c r="P1302" s="64" t="str">
        <f>Ringkasan!P1301</f>
        <v/>
      </c>
      <c r="Q1302" s="64" t="str">
        <f>Ringkasan!Q1301</f>
        <v/>
      </c>
      <c r="R1302" s="64" t="str">
        <f>Ringkasan!R1301</f>
        <v/>
      </c>
      <c r="S1302" s="64" t="str">
        <f>Ringkasan!S1301</f>
        <v/>
      </c>
      <c r="T1302" s="64" t="str">
        <f>Ringkasan!T1301</f>
        <v/>
      </c>
      <c r="U1302" s="64">
        <f>Ringkasan!U1301</f>
        <v>175</v>
      </c>
      <c r="V1302" s="64" t="str">
        <f>Ringkasan!V1301</f>
        <v/>
      </c>
      <c r="W1302" s="64">
        <f>Ringkasan!W1301</f>
        <v>178</v>
      </c>
      <c r="X1302" s="64">
        <f>Ringkasan!X1301</f>
        <v>230</v>
      </c>
      <c r="Y1302" s="64">
        <f>Ringkasan!Y1301</f>
        <v>174</v>
      </c>
      <c r="Z1302" s="64">
        <f>Ringkasan!Z1301</f>
        <v>7056100</v>
      </c>
      <c r="AA1302" s="64" t="str">
        <f>Ringkasan!AA1301</f>
        <v>Logistics &amp; Deliveries</v>
      </c>
      <c r="AB1302" s="64" t="str">
        <f>Ringkasan!AB1301</f>
        <v>Transportation &amp; Logistic</v>
      </c>
    </row>
    <row r="1303" hidden="1">
      <c r="A1303" s="64" t="str">
        <f>Ringkasan!A1302</f>
        <v>NEST</v>
      </c>
      <c r="B1303" s="64" t="str">
        <f>Ringkasan!B1302</f>
        <v>Esta Indonesia Tbk.</v>
      </c>
      <c r="C1303" s="65">
        <f>Ringkasan!C1302</f>
        <v>560</v>
      </c>
      <c r="D1303" s="64" t="str">
        <f>Ringkasan!D1302</f>
        <v>#N/A</v>
      </c>
      <c r="E1303" s="64" t="str">
        <f>Ringkasan!E1302</f>
        <v/>
      </c>
      <c r="F1303" s="64" t="str">
        <f>Ringkasan!F1302</f>
        <v/>
      </c>
      <c r="G1303" s="64">
        <f>Ringkasan!G1302</f>
        <v>0</v>
      </c>
      <c r="H1303" s="19">
        <f>Ringkasan!H1302</f>
        <v>84.3</v>
      </c>
      <c r="I1303" s="19">
        <f>Ringkasan!I1302</f>
        <v>5.6</v>
      </c>
      <c r="J1303" s="19">
        <f>Ringkasan!J1302</f>
        <v>6.6</v>
      </c>
      <c r="K1303" s="19">
        <f>Ringkasan!K1302</f>
        <v>6</v>
      </c>
      <c r="L1303" s="19">
        <f>Ringkasan!L1302</f>
        <v>0.09</v>
      </c>
      <c r="M1303" s="19">
        <f>Ringkasan!M1302</f>
        <v>26.3</v>
      </c>
      <c r="N1303" s="64" t="str">
        <f>Ringkasan!N1302</f>
        <v/>
      </c>
      <c r="O1303" s="64" t="str">
        <f>Ringkasan!O1302</f>
        <v/>
      </c>
      <c r="P1303" s="64" t="str">
        <f>Ringkasan!P1302</f>
        <v/>
      </c>
      <c r="Q1303" s="64" t="str">
        <f>Ringkasan!Q1302</f>
        <v/>
      </c>
      <c r="R1303" s="64" t="str">
        <f>Ringkasan!R1302</f>
        <v/>
      </c>
      <c r="S1303" s="64" t="str">
        <f>Ringkasan!S1302</f>
        <v/>
      </c>
      <c r="T1303" s="64" t="str">
        <f>Ringkasan!T1302</f>
        <v/>
      </c>
      <c r="U1303" s="64">
        <f>Ringkasan!U1302</f>
        <v>520</v>
      </c>
      <c r="V1303" s="64">
        <f>Ringkasan!V1302</f>
        <v>7.69</v>
      </c>
      <c r="W1303" s="64">
        <f>Ringkasan!W1302</f>
        <v>520</v>
      </c>
      <c r="X1303" s="64">
        <f>Ringkasan!X1302</f>
        <v>565</v>
      </c>
      <c r="Y1303" s="64">
        <f>Ringkasan!Y1302</f>
        <v>515</v>
      </c>
      <c r="Z1303" s="64" t="str">
        <f>Ringkasan!Z1302</f>
        <v/>
      </c>
      <c r="AA1303" s="64" t="str">
        <f>Ringkasan!AA1302</f>
        <v>Agricultural Products</v>
      </c>
      <c r="AB1303" s="64" t="str">
        <f>Ringkasan!AB1302</f>
        <v>Consumer Non-Cyclicals</v>
      </c>
    </row>
    <row r="1304" hidden="1">
      <c r="A1304" s="64" t="str">
        <f>Ringkasan!A1303</f>
        <v>NETV</v>
      </c>
      <c r="B1304" s="64" t="str">
        <f>Ringkasan!B1303</f>
        <v>MDTV Media Technologies Tbk.</v>
      </c>
      <c r="C1304" s="65">
        <f>Ringkasan!C1303</f>
        <v>55</v>
      </c>
      <c r="D1304" s="64" t="str">
        <f>Ringkasan!D1303</f>
        <v>#N/A</v>
      </c>
      <c r="E1304" s="64" t="str">
        <f>Ringkasan!E1303</f>
        <v/>
      </c>
      <c r="F1304" s="64" t="str">
        <f>Ringkasan!F1303</f>
        <v/>
      </c>
      <c r="G1304" s="64">
        <f>Ringkasan!G1303</f>
        <v>0</v>
      </c>
      <c r="H1304" s="19">
        <f>Ringkasan!H1303</f>
        <v>-10.6</v>
      </c>
      <c r="I1304" s="19">
        <f>Ringkasan!I1303</f>
        <v>7.5</v>
      </c>
      <c r="J1304" s="19">
        <f>Ringkasan!J1303</f>
        <v>-71</v>
      </c>
      <c r="K1304" s="19">
        <f>Ringkasan!K1303</f>
        <v>-30.6</v>
      </c>
      <c r="L1304" s="19">
        <f>Ringkasan!L1303</f>
        <v>1.3</v>
      </c>
      <c r="M1304" s="19">
        <f>Ringkasan!M1303</f>
        <v>-980</v>
      </c>
      <c r="N1304" s="64" t="str">
        <f>Ringkasan!N1303</f>
        <v/>
      </c>
      <c r="O1304" s="64" t="str">
        <f>Ringkasan!O1303</f>
        <v/>
      </c>
      <c r="P1304" s="64" t="str">
        <f>Ringkasan!P1303</f>
        <v/>
      </c>
      <c r="Q1304" s="64" t="str">
        <f>Ringkasan!Q1303</f>
        <v/>
      </c>
      <c r="R1304" s="64" t="str">
        <f>Ringkasan!R1303</f>
        <v/>
      </c>
      <c r="S1304" s="64" t="str">
        <f>Ringkasan!S1303</f>
        <v/>
      </c>
      <c r="T1304" s="64" t="str">
        <f>Ringkasan!T1303</f>
        <v/>
      </c>
      <c r="U1304" s="64">
        <f>Ringkasan!U1303</f>
        <v>54</v>
      </c>
      <c r="V1304" s="64">
        <f>Ringkasan!V1303</f>
        <v>1.85</v>
      </c>
      <c r="W1304" s="64">
        <f>Ringkasan!W1303</f>
        <v>53</v>
      </c>
      <c r="X1304" s="64">
        <f>Ringkasan!X1303</f>
        <v>58</v>
      </c>
      <c r="Y1304" s="64">
        <f>Ringkasan!Y1303</f>
        <v>53</v>
      </c>
      <c r="Z1304" s="64">
        <f>Ringkasan!Z1303</f>
        <v>37046000</v>
      </c>
      <c r="AA1304" s="64" t="str">
        <f>Ringkasan!AA1303</f>
        <v>Media</v>
      </c>
      <c r="AB1304" s="64" t="str">
        <f>Ringkasan!AB1303</f>
        <v>Consumer Cyclicals</v>
      </c>
    </row>
    <row r="1305" hidden="1">
      <c r="A1305" s="64" t="str">
        <f>Ringkasan!A1304</f>
        <v>NFCX</v>
      </c>
      <c r="B1305" s="64" t="str">
        <f>Ringkasan!B1304</f>
        <v>NFC Indonesia Tbk.</v>
      </c>
      <c r="C1305" s="65">
        <f>Ringkasan!C1304</f>
        <v>1685</v>
      </c>
      <c r="D1305" s="64" t="str">
        <f>Ringkasan!D1304</f>
        <v>#N/A</v>
      </c>
      <c r="E1305" s="64" t="str">
        <f>Ringkasan!E1304</f>
        <v/>
      </c>
      <c r="F1305" s="64" t="str">
        <f>Ringkasan!F1304</f>
        <v/>
      </c>
      <c r="G1305" s="64">
        <f>Ringkasan!G1304</f>
        <v>0</v>
      </c>
      <c r="H1305" s="19">
        <f>Ringkasan!H1304</f>
        <v>-1790</v>
      </c>
      <c r="I1305" s="19">
        <f>Ringkasan!I1304</f>
        <v>1.6</v>
      </c>
      <c r="J1305" s="19">
        <f>Ringkasan!J1304</f>
        <v>-0.09</v>
      </c>
      <c r="K1305" s="19">
        <f>Ringkasan!K1304</f>
        <v>-0.04</v>
      </c>
      <c r="L1305" s="19">
        <f>Ringkasan!L1304</f>
        <v>0.93</v>
      </c>
      <c r="M1305" s="19">
        <f>Ringkasan!M1304</f>
        <v>-0.09</v>
      </c>
      <c r="N1305" s="64" t="str">
        <f>Ringkasan!N1304</f>
        <v/>
      </c>
      <c r="O1305" s="64" t="str">
        <f>Ringkasan!O1304</f>
        <v/>
      </c>
      <c r="P1305" s="64" t="str">
        <f>Ringkasan!P1304</f>
        <v/>
      </c>
      <c r="Q1305" s="64" t="str">
        <f>Ringkasan!Q1304</f>
        <v/>
      </c>
      <c r="R1305" s="64" t="str">
        <f>Ringkasan!R1304</f>
        <v/>
      </c>
      <c r="S1305" s="64" t="str">
        <f>Ringkasan!S1304</f>
        <v/>
      </c>
      <c r="T1305" s="64" t="str">
        <f>Ringkasan!T1304</f>
        <v/>
      </c>
      <c r="U1305" s="64">
        <f>Ringkasan!U1304</f>
        <v>1685</v>
      </c>
      <c r="V1305" s="64">
        <f>Ringkasan!V1304</f>
        <v>0</v>
      </c>
      <c r="W1305" s="64">
        <f>Ringkasan!W1304</f>
        <v>1585</v>
      </c>
      <c r="X1305" s="64">
        <f>Ringkasan!X1304</f>
        <v>1685</v>
      </c>
      <c r="Y1305" s="64">
        <f>Ringkasan!Y1304</f>
        <v>1585</v>
      </c>
      <c r="Z1305" s="64">
        <f>Ringkasan!Z1304</f>
        <v>14000</v>
      </c>
      <c r="AA1305" s="64" t="str">
        <f>Ringkasan!AA1304</f>
        <v>Online Applications &amp; Services</v>
      </c>
      <c r="AB1305" s="64" t="str">
        <f>Ringkasan!AB1304</f>
        <v>Technology</v>
      </c>
    </row>
    <row r="1306" hidden="1">
      <c r="A1306" s="64" t="str">
        <f>Ringkasan!A1305</f>
        <v>NICE</v>
      </c>
      <c r="B1306" s="64" t="str">
        <f>Ringkasan!B1305</f>
        <v>Adhi Kartiko Pratama Tbk.</v>
      </c>
      <c r="C1306" s="65">
        <f>Ringkasan!C1305</f>
        <v>274</v>
      </c>
      <c r="D1306" s="64" t="str">
        <f>Ringkasan!D1305</f>
        <v>#N/A</v>
      </c>
      <c r="E1306" s="64" t="str">
        <f>Ringkasan!E1305</f>
        <v/>
      </c>
      <c r="F1306" s="64" t="str">
        <f>Ringkasan!F1305</f>
        <v/>
      </c>
      <c r="G1306" s="64">
        <f>Ringkasan!G1305</f>
        <v>0</v>
      </c>
      <c r="H1306" s="19">
        <f>Ringkasan!H1305</f>
        <v>-90.7</v>
      </c>
      <c r="I1306" s="19">
        <f>Ringkasan!I1305</f>
        <v>8.3</v>
      </c>
      <c r="J1306" s="19">
        <f>Ringkasan!J1305</f>
        <v>-9.1</v>
      </c>
      <c r="K1306" s="19">
        <f>Ringkasan!K1305</f>
        <v>-2.4</v>
      </c>
      <c r="L1306" s="19">
        <f>Ringkasan!L1305</f>
        <v>2.9</v>
      </c>
      <c r="M1306" s="19">
        <f>Ringkasan!M1305</f>
        <v>-5</v>
      </c>
      <c r="N1306" s="64" t="str">
        <f>Ringkasan!N1305</f>
        <v/>
      </c>
      <c r="O1306" s="64" t="str">
        <f>Ringkasan!O1305</f>
        <v/>
      </c>
      <c r="P1306" s="64" t="str">
        <f>Ringkasan!P1305</f>
        <v/>
      </c>
      <c r="Q1306" s="64" t="str">
        <f>Ringkasan!Q1305</f>
        <v/>
      </c>
      <c r="R1306" s="64" t="str">
        <f>Ringkasan!R1305</f>
        <v/>
      </c>
      <c r="S1306" s="64" t="str">
        <f>Ringkasan!S1305</f>
        <v/>
      </c>
      <c r="T1306" s="64" t="str">
        <f>Ringkasan!T1305</f>
        <v/>
      </c>
      <c r="U1306" s="64">
        <f>Ringkasan!U1305</f>
        <v>88.08</v>
      </c>
      <c r="V1306" s="64">
        <f>Ringkasan!V1305</f>
        <v>0.72</v>
      </c>
      <c r="W1306" s="64">
        <f>Ringkasan!W1305</f>
        <v>87.24</v>
      </c>
      <c r="X1306" s="64">
        <f>Ringkasan!X1305</f>
        <v>88.97</v>
      </c>
      <c r="Y1306" s="64">
        <f>Ringkasan!Y1305</f>
        <v>85.8</v>
      </c>
      <c r="Z1306" s="64">
        <f>Ringkasan!Z1305</f>
        <v>735364</v>
      </c>
      <c r="AA1306" s="64" t="str">
        <f>Ringkasan!AA1305</f>
        <v>Metals &amp; Minerals</v>
      </c>
      <c r="AB1306" s="64" t="str">
        <f>Ringkasan!AB1305</f>
        <v>Basic Materials</v>
      </c>
    </row>
    <row r="1307" hidden="1">
      <c r="A1307" s="64" t="str">
        <f>Ringkasan!A1306</f>
        <v>NICK</v>
      </c>
      <c r="B1307" s="64" t="str">
        <f>Ringkasan!B1306</f>
        <v>Charnic Capital Tbk.</v>
      </c>
      <c r="C1307" s="65">
        <f>Ringkasan!C1306</f>
        <v>1040</v>
      </c>
      <c r="D1307" s="64" t="str">
        <f>Ringkasan!D1306</f>
        <v>#N/A</v>
      </c>
      <c r="E1307" s="64" t="str">
        <f>Ringkasan!E1306</f>
        <v/>
      </c>
      <c r="F1307" s="64" t="str">
        <f>Ringkasan!F1306</f>
        <v/>
      </c>
      <c r="G1307" s="65">
        <f>Ringkasan!G1306</f>
        <v>0</v>
      </c>
      <c r="H1307" s="19">
        <f>Ringkasan!H1306</f>
        <v>8</v>
      </c>
      <c r="I1307" s="19">
        <f>Ringkasan!I1306</f>
        <v>2.4</v>
      </c>
      <c r="J1307" s="19">
        <f>Ringkasan!J1306</f>
        <v>29.5</v>
      </c>
      <c r="K1307" s="19">
        <f>Ringkasan!K1306</f>
        <v>29.1</v>
      </c>
      <c r="L1307" s="19">
        <f>Ringkasan!L1306</f>
        <v>0.01</v>
      </c>
      <c r="M1307" s="19">
        <f>Ringkasan!M1306</f>
        <v>0</v>
      </c>
      <c r="N1307" s="64" t="str">
        <f>Ringkasan!N1306</f>
        <v/>
      </c>
      <c r="O1307" s="64" t="str">
        <f>Ringkasan!O1306</f>
        <v/>
      </c>
      <c r="P1307" s="64" t="str">
        <f>Ringkasan!P1306</f>
        <v/>
      </c>
      <c r="Q1307" s="64" t="str">
        <f>Ringkasan!Q1306</f>
        <v/>
      </c>
      <c r="R1307" s="64" t="str">
        <f>Ringkasan!R1306</f>
        <v/>
      </c>
      <c r="S1307" s="64" t="str">
        <f>Ringkasan!S1306</f>
        <v/>
      </c>
      <c r="T1307" s="64" t="str">
        <f>Ringkasan!T1306</f>
        <v/>
      </c>
      <c r="U1307" s="64">
        <f>Ringkasan!U1306</f>
        <v>1020</v>
      </c>
      <c r="V1307" s="64">
        <f>Ringkasan!V1306</f>
        <v>1.96</v>
      </c>
      <c r="W1307" s="64">
        <f>Ringkasan!W1306</f>
        <v>1070</v>
      </c>
      <c r="X1307" s="64" t="str">
        <f>Ringkasan!X1306</f>
        <v/>
      </c>
      <c r="Y1307" s="64">
        <f>Ringkasan!Y1306</f>
        <v>1040</v>
      </c>
      <c r="Z1307" s="64">
        <f>Ringkasan!Z1306</f>
        <v>200</v>
      </c>
      <c r="AA1307" s="64" t="str">
        <f>Ringkasan!AA1306</f>
        <v>Holding &amp; Investment Companies</v>
      </c>
      <c r="AB1307" s="64" t="str">
        <f>Ringkasan!AB1306</f>
        <v>Financials</v>
      </c>
    </row>
    <row r="1308" hidden="1">
      <c r="A1308" s="64" t="str">
        <f>Ringkasan!A1307</f>
        <v>NICL</v>
      </c>
      <c r="B1308" s="64" t="str">
        <f>Ringkasan!B1307</f>
        <v>PAM Mineral Tbk.</v>
      </c>
      <c r="C1308" s="65">
        <f>Ringkasan!C1307</f>
        <v>610</v>
      </c>
      <c r="D1308" s="64" t="str">
        <f>Ringkasan!D1307</f>
        <v>#N/A</v>
      </c>
      <c r="E1308" s="64" t="str">
        <f>Ringkasan!E1307</f>
        <v/>
      </c>
      <c r="F1308" s="64" t="str">
        <f>Ringkasan!F1307</f>
        <v/>
      </c>
      <c r="G1308" s="64">
        <f>Ringkasan!G1307</f>
        <v>0</v>
      </c>
      <c r="H1308" s="19">
        <f>Ringkasan!H1307</f>
        <v>22.4</v>
      </c>
      <c r="I1308" s="19">
        <f>Ringkasan!I1307</f>
        <v>6.8</v>
      </c>
      <c r="J1308" s="19">
        <f>Ringkasan!J1307</f>
        <v>30.2</v>
      </c>
      <c r="K1308" s="19">
        <f>Ringkasan!K1307</f>
        <v>25.3</v>
      </c>
      <c r="L1308" s="19">
        <f>Ringkasan!L1307</f>
        <v>0.19</v>
      </c>
      <c r="M1308" s="19">
        <f>Ringkasan!M1307</f>
        <v>91.6</v>
      </c>
      <c r="N1308" s="64" t="str">
        <f>Ringkasan!N1307</f>
        <v/>
      </c>
      <c r="O1308" s="64" t="str">
        <f>Ringkasan!O1307</f>
        <v/>
      </c>
      <c r="P1308" s="64" t="str">
        <f>Ringkasan!P1307</f>
        <v/>
      </c>
      <c r="Q1308" s="64" t="str">
        <f>Ringkasan!Q1307</f>
        <v/>
      </c>
      <c r="R1308" s="64" t="str">
        <f>Ringkasan!R1307</f>
        <v/>
      </c>
      <c r="S1308" s="64" t="str">
        <f>Ringkasan!S1307</f>
        <v/>
      </c>
      <c r="T1308" s="64" t="str">
        <f>Ringkasan!T1307</f>
        <v/>
      </c>
      <c r="U1308" s="64">
        <f>Ringkasan!U1307</f>
        <v>970</v>
      </c>
      <c r="V1308" s="64">
        <f>Ringkasan!V1307</f>
        <v>1.65</v>
      </c>
      <c r="W1308" s="64">
        <f>Ringkasan!W1307</f>
        <v>976</v>
      </c>
      <c r="X1308" s="64">
        <f>Ringkasan!X1307</f>
        <v>986</v>
      </c>
      <c r="Y1308" s="64" t="str">
        <f>Ringkasan!Y1307</f>
        <v/>
      </c>
      <c r="Z1308" s="64">
        <f>Ringkasan!Z1307</f>
        <v>44888</v>
      </c>
      <c r="AA1308" s="64" t="str">
        <f>Ringkasan!AA1307</f>
        <v>Metals &amp; Minerals</v>
      </c>
      <c r="AB1308" s="64" t="str">
        <f>Ringkasan!AB1307</f>
        <v>Basic Materials</v>
      </c>
    </row>
    <row r="1309" hidden="1">
      <c r="A1309" s="64" t="str">
        <f>Ringkasan!A1308</f>
        <v>NIKL</v>
      </c>
      <c r="B1309" s="64" t="str">
        <f>Ringkasan!B1308</f>
        <v>Pelat Timah Nusantara Tbk.</v>
      </c>
      <c r="C1309" s="65">
        <f>Ringkasan!C1308</f>
        <v>192</v>
      </c>
      <c r="D1309" s="64" t="str">
        <f>Ringkasan!D1308</f>
        <v>#N/A</v>
      </c>
      <c r="E1309" s="64" t="str">
        <f>Ringkasan!E1308</f>
        <v>IDXMESBUMN</v>
      </c>
      <c r="F1309" s="66">
        <f>Ringkasan!F1308</f>
        <v>46356</v>
      </c>
      <c r="G1309" s="65">
        <f>Ringkasan!G1308</f>
        <v>1</v>
      </c>
      <c r="H1309" s="19">
        <f>Ringkasan!H1308</f>
        <v>22.1</v>
      </c>
      <c r="I1309" s="19">
        <f>Ringkasan!I1308</f>
        <v>0.65</v>
      </c>
      <c r="J1309" s="19">
        <f>Ringkasan!J1308</f>
        <v>2.9</v>
      </c>
      <c r="K1309" s="19">
        <f>Ringkasan!K1308</f>
        <v>1.5</v>
      </c>
      <c r="L1309" s="19">
        <f>Ringkasan!L1308</f>
        <v>0.92</v>
      </c>
      <c r="M1309" s="19">
        <f>Ringkasan!M1308</f>
        <v>5.1</v>
      </c>
      <c r="N1309" s="64" t="str">
        <f>Ringkasan!N1308</f>
        <v/>
      </c>
      <c r="O1309" s="64" t="str">
        <f>Ringkasan!O1308</f>
        <v/>
      </c>
      <c r="P1309" s="64" t="str">
        <f>Ringkasan!P1308</f>
        <v/>
      </c>
      <c r="Q1309" s="64" t="str">
        <f>Ringkasan!Q1308</f>
        <v/>
      </c>
      <c r="R1309" s="64" t="str">
        <f>Ringkasan!R1308</f>
        <v/>
      </c>
      <c r="S1309" s="64" t="str">
        <f>Ringkasan!S1308</f>
        <v/>
      </c>
      <c r="T1309" s="64" t="str">
        <f>Ringkasan!T1308</f>
        <v/>
      </c>
      <c r="U1309" s="64">
        <f>Ringkasan!U1308</f>
        <v>13.82</v>
      </c>
      <c r="V1309" s="64">
        <f>Ringkasan!V1308</f>
        <v>2.68</v>
      </c>
      <c r="W1309" s="64">
        <f>Ringkasan!W1308</f>
        <v>14.08</v>
      </c>
      <c r="X1309" s="64">
        <f>Ringkasan!X1308</f>
        <v>14.32</v>
      </c>
      <c r="Y1309" s="64">
        <f>Ringkasan!Y1308</f>
        <v>14.02</v>
      </c>
      <c r="Z1309" s="64">
        <f>Ringkasan!Z1308</f>
        <v>42526</v>
      </c>
      <c r="AA1309" s="64" t="str">
        <f>Ringkasan!AA1308</f>
        <v>Metals &amp; Minerals</v>
      </c>
      <c r="AB1309" s="64" t="str">
        <f>Ringkasan!AB1308</f>
        <v>Basic Materials</v>
      </c>
    </row>
    <row r="1310" hidden="1">
      <c r="A1310" s="64" t="str">
        <f>Ringkasan!A1309</f>
        <v>NINE</v>
      </c>
      <c r="B1310" s="64" t="str">
        <f>Ringkasan!B1309</f>
        <v>PT Techno9 Indonesia Tbk</v>
      </c>
      <c r="C1310" s="65">
        <f>Ringkasan!C1309</f>
        <v>81</v>
      </c>
      <c r="D1310" s="64" t="str">
        <f>Ringkasan!D1309</f>
        <v>#N/A</v>
      </c>
      <c r="E1310" s="64" t="str">
        <f>Ringkasan!E1309</f>
        <v/>
      </c>
      <c r="F1310" s="64" t="str">
        <f>Ringkasan!F1309</f>
        <v/>
      </c>
      <c r="G1310" s="64">
        <f>Ringkasan!G1309</f>
        <v>0</v>
      </c>
      <c r="H1310" s="19">
        <f>Ringkasan!H1309</f>
        <v>-32.5</v>
      </c>
      <c r="I1310" s="19">
        <f>Ringkasan!I1309</f>
        <v>6.6</v>
      </c>
      <c r="J1310" s="19">
        <f>Ringkasan!J1309</f>
        <v>-20.3</v>
      </c>
      <c r="K1310" s="19">
        <f>Ringkasan!K1309</f>
        <v>-18.6</v>
      </c>
      <c r="L1310" s="19">
        <f>Ringkasan!L1309</f>
        <v>0.09</v>
      </c>
      <c r="M1310" s="19">
        <f>Ringkasan!M1309</f>
        <v>-560</v>
      </c>
      <c r="N1310" s="64" t="str">
        <f>Ringkasan!N1309</f>
        <v/>
      </c>
      <c r="O1310" s="64" t="str">
        <f>Ringkasan!O1309</f>
        <v/>
      </c>
      <c r="P1310" s="64" t="str">
        <f>Ringkasan!P1309</f>
        <v/>
      </c>
      <c r="Q1310" s="64" t="str">
        <f>Ringkasan!Q1309</f>
        <v/>
      </c>
      <c r="R1310" s="64" t="str">
        <f>Ringkasan!R1309</f>
        <v/>
      </c>
      <c r="S1310" s="64" t="str">
        <f>Ringkasan!S1309</f>
        <v/>
      </c>
      <c r="T1310" s="64" t="str">
        <f>Ringkasan!T1309</f>
        <v/>
      </c>
      <c r="U1310" s="64">
        <f>Ringkasan!U1309</f>
        <v>9.92</v>
      </c>
      <c r="V1310" s="64">
        <f>Ringkasan!V1309</f>
        <v>4.94</v>
      </c>
      <c r="W1310" s="64">
        <f>Ringkasan!W1309</f>
        <v>10.02</v>
      </c>
      <c r="X1310" s="64">
        <f>Ringkasan!X1309</f>
        <v>10.55</v>
      </c>
      <c r="Y1310" s="64">
        <f>Ringkasan!Y1309</f>
        <v>10.02</v>
      </c>
      <c r="Z1310" s="64">
        <f>Ringkasan!Z1309</f>
        <v>48874</v>
      </c>
      <c r="AA1310" s="64" t="str">
        <f>Ringkasan!AA1309</f>
        <v>Computer Hardware</v>
      </c>
      <c r="AB1310" s="64" t="str">
        <f>Ringkasan!AB1309</f>
        <v>Technology</v>
      </c>
    </row>
    <row r="1311" hidden="1">
      <c r="A1311" s="64" t="str">
        <f>Ringkasan!A1310</f>
        <v>NIRO</v>
      </c>
      <c r="B1311" s="64" t="str">
        <f>Ringkasan!B1310</f>
        <v>City Retail Developments Tbk.</v>
      </c>
      <c r="C1311" s="65">
        <f>Ringkasan!C1310</f>
        <v>151</v>
      </c>
      <c r="D1311" s="64" t="str">
        <f>Ringkasan!D1310</f>
        <v>#N/A</v>
      </c>
      <c r="E1311" s="64" t="str">
        <f>Ringkasan!E1310</f>
        <v/>
      </c>
      <c r="F1311" s="64" t="str">
        <f>Ringkasan!F1310</f>
        <v/>
      </c>
      <c r="G1311" s="64">
        <f>Ringkasan!G1310</f>
        <v>0</v>
      </c>
      <c r="H1311" s="19">
        <f>Ringkasan!H1310</f>
        <v>-18.6</v>
      </c>
      <c r="I1311" s="19">
        <f>Ringkasan!I1310</f>
        <v>0.77</v>
      </c>
      <c r="J1311" s="19">
        <f>Ringkasan!J1310</f>
        <v>-4.1</v>
      </c>
      <c r="K1311" s="19">
        <f>Ringkasan!K1310</f>
        <v>-1.4</v>
      </c>
      <c r="L1311" s="19">
        <f>Ringkasan!L1310</f>
        <v>2.1</v>
      </c>
      <c r="M1311" s="19">
        <f>Ringkasan!M1310</f>
        <v>-47.2</v>
      </c>
      <c r="N1311" s="64" t="str">
        <f>Ringkasan!N1310</f>
        <v/>
      </c>
      <c r="O1311" s="64" t="str">
        <f>Ringkasan!O1310</f>
        <v/>
      </c>
      <c r="P1311" s="64" t="str">
        <f>Ringkasan!P1310</f>
        <v/>
      </c>
      <c r="Q1311" s="64" t="str">
        <f>Ringkasan!Q1310</f>
        <v/>
      </c>
      <c r="R1311" s="64" t="str">
        <f>Ringkasan!R1310</f>
        <v/>
      </c>
      <c r="S1311" s="64" t="str">
        <f>Ringkasan!S1310</f>
        <v/>
      </c>
      <c r="T1311" s="64" t="str">
        <f>Ringkasan!T1310</f>
        <v/>
      </c>
      <c r="U1311" s="64">
        <f>Ringkasan!U1310</f>
        <v>148</v>
      </c>
      <c r="V1311" s="64">
        <f>Ringkasan!V1310</f>
        <v>2.03</v>
      </c>
      <c r="W1311" s="64">
        <f>Ringkasan!W1310</f>
        <v>146</v>
      </c>
      <c r="X1311" s="64">
        <f>Ringkasan!X1310</f>
        <v>160</v>
      </c>
      <c r="Y1311" s="64">
        <f>Ringkasan!Y1310</f>
        <v>142</v>
      </c>
      <c r="Z1311" s="64">
        <f>Ringkasan!Z1310</f>
        <v>740700</v>
      </c>
      <c r="AA1311" s="64" t="str">
        <f>Ringkasan!AA1310</f>
        <v>Real Estate Management &amp; Development</v>
      </c>
      <c r="AB1311" s="64" t="str">
        <f>Ringkasan!AB1310</f>
        <v>Properties &amp; Real Estate</v>
      </c>
    </row>
    <row r="1312" hidden="1">
      <c r="A1312" s="64" t="str">
        <f>Ringkasan!A1311</f>
        <v>NISP</v>
      </c>
      <c r="B1312" s="64" t="str">
        <f>Ringkasan!B1311</f>
        <v>PT Bank OCBC NISP Tbk</v>
      </c>
      <c r="C1312" s="65">
        <f>Ringkasan!C1311</f>
        <v>1230</v>
      </c>
      <c r="D1312" s="64" t="str">
        <f>Ringkasan!D1311</f>
        <v>#N/A</v>
      </c>
      <c r="E1312" s="64" t="str">
        <f>Ringkasan!E1311</f>
        <v>ESGQKEHATI</v>
      </c>
      <c r="F1312" s="66">
        <f>Ringkasan!F1311</f>
        <v>46356</v>
      </c>
      <c r="G1312" s="64">
        <f>Ringkasan!G1311</f>
        <v>4</v>
      </c>
      <c r="H1312" s="19">
        <f>Ringkasan!H1311</f>
        <v>5.8</v>
      </c>
      <c r="I1312" s="19">
        <f>Ringkasan!I1311</f>
        <v>0.67</v>
      </c>
      <c r="J1312" s="19">
        <f>Ringkasan!J1311</f>
        <v>11.5</v>
      </c>
      <c r="K1312" s="19">
        <f>Ringkasan!K1311</f>
        <v>1.6</v>
      </c>
      <c r="L1312" s="19">
        <f>Ringkasan!L1311</f>
        <v>6</v>
      </c>
      <c r="M1312" s="19">
        <f>Ringkasan!M1311</f>
        <v>100</v>
      </c>
      <c r="N1312" s="64">
        <f>Ringkasan!N1311</f>
        <v>5.4</v>
      </c>
      <c r="O1312" s="64">
        <f>Ringkasan!O1311</f>
        <v>23.2</v>
      </c>
      <c r="P1312" s="64">
        <f>Ringkasan!P1311</f>
        <v>83</v>
      </c>
      <c r="Q1312" s="64">
        <f>Ringkasan!Q1311</f>
        <v>1.9</v>
      </c>
      <c r="R1312" s="64">
        <f>Ringkasan!R1311</f>
        <v>65.9</v>
      </c>
      <c r="S1312" s="64">
        <f>Ringkasan!S1311</f>
        <v>42.4</v>
      </c>
      <c r="T1312" s="64">
        <f>Ringkasan!T1311</f>
        <v>5.9</v>
      </c>
      <c r="U1312" s="64">
        <f>Ringkasan!U1311</f>
        <v>1195</v>
      </c>
      <c r="V1312" s="64">
        <f>Ringkasan!V1311</f>
        <v>2.93</v>
      </c>
      <c r="W1312" s="64">
        <f>Ringkasan!W1311</f>
        <v>1200</v>
      </c>
      <c r="X1312" s="64">
        <f>Ringkasan!X1311</f>
        <v>1235</v>
      </c>
      <c r="Y1312" s="64">
        <f>Ringkasan!Y1311</f>
        <v>1190</v>
      </c>
      <c r="Z1312" s="64">
        <f>Ringkasan!Z1311</f>
        <v>4781000</v>
      </c>
      <c r="AA1312" s="64" t="str">
        <f>Ringkasan!AA1311</f>
        <v>Banks</v>
      </c>
      <c r="AB1312" s="64" t="str">
        <f>Ringkasan!AB1311</f>
        <v>Financials</v>
      </c>
    </row>
    <row r="1313" hidden="1">
      <c r="A1313" s="64" t="str">
        <f>Ringkasan!A1312</f>
        <v>NISP</v>
      </c>
      <c r="B1313" s="64" t="str">
        <f>Ringkasan!B1312</f>
        <v>PT Bank OCBC NISP Tbk</v>
      </c>
      <c r="C1313" s="65">
        <f>Ringkasan!C1312</f>
        <v>1230</v>
      </c>
      <c r="D1313" s="64" t="str">
        <f>Ringkasan!D1312</f>
        <v>#N/A</v>
      </c>
      <c r="E1313" s="64" t="str">
        <f>Ringkasan!E1312</f>
        <v>ESGSKEHATI</v>
      </c>
      <c r="F1313" s="66">
        <f>Ringkasan!F1312</f>
        <v>46356</v>
      </c>
      <c r="G1313" s="64">
        <f>Ringkasan!G1312</f>
        <v>4</v>
      </c>
      <c r="H1313" s="19">
        <f>Ringkasan!H1312</f>
        <v>5.8</v>
      </c>
      <c r="I1313" s="19">
        <f>Ringkasan!I1312</f>
        <v>0.67</v>
      </c>
      <c r="J1313" s="19">
        <f>Ringkasan!J1312</f>
        <v>11.5</v>
      </c>
      <c r="K1313" s="19">
        <f>Ringkasan!K1312</f>
        <v>1.6</v>
      </c>
      <c r="L1313" s="19">
        <f>Ringkasan!L1312</f>
        <v>6</v>
      </c>
      <c r="M1313" s="19">
        <f>Ringkasan!M1312</f>
        <v>100</v>
      </c>
      <c r="N1313" s="64">
        <f>Ringkasan!N1312</f>
        <v>5.4</v>
      </c>
      <c r="O1313" s="64">
        <f>Ringkasan!O1312</f>
        <v>23.2</v>
      </c>
      <c r="P1313" s="64">
        <f>Ringkasan!P1312</f>
        <v>83</v>
      </c>
      <c r="Q1313" s="64">
        <f>Ringkasan!Q1312</f>
        <v>1.9</v>
      </c>
      <c r="R1313" s="64">
        <f>Ringkasan!R1312</f>
        <v>65.9</v>
      </c>
      <c r="S1313" s="64">
        <f>Ringkasan!S1312</f>
        <v>42.4</v>
      </c>
      <c r="T1313" s="64">
        <f>Ringkasan!T1312</f>
        <v>5.9</v>
      </c>
      <c r="U1313" s="64">
        <f>Ringkasan!U1312</f>
        <v>1195</v>
      </c>
      <c r="V1313" s="64">
        <f>Ringkasan!V1312</f>
        <v>2.93</v>
      </c>
      <c r="W1313" s="64">
        <f>Ringkasan!W1312</f>
        <v>1200</v>
      </c>
      <c r="X1313" s="64">
        <f>Ringkasan!X1312</f>
        <v>1235</v>
      </c>
      <c r="Y1313" s="64">
        <f>Ringkasan!Y1312</f>
        <v>1190</v>
      </c>
      <c r="Z1313" s="64">
        <f>Ringkasan!Z1312</f>
        <v>4781000</v>
      </c>
      <c r="AA1313" s="64" t="str">
        <f>Ringkasan!AA1312</f>
        <v>Banks</v>
      </c>
      <c r="AB1313" s="64" t="str">
        <f>Ringkasan!AB1312</f>
        <v>Financials</v>
      </c>
    </row>
    <row r="1314" hidden="1">
      <c r="A1314" s="64" t="str">
        <f>Ringkasan!A1313</f>
        <v>NISP</v>
      </c>
      <c r="B1314" s="64" t="str">
        <f>Ringkasan!B1313</f>
        <v>PT Bank OCBC NISP Tbk</v>
      </c>
      <c r="C1314" s="65">
        <f>Ringkasan!C1313</f>
        <v>1230</v>
      </c>
      <c r="D1314" s="64" t="str">
        <f>Ringkasan!D1313</f>
        <v>#N/A</v>
      </c>
      <c r="E1314" s="64" t="str">
        <f>Ringkasan!E1313</f>
        <v>IDXVESTA28</v>
      </c>
      <c r="F1314" s="64" t="str">
        <f>Ringkasan!F1313</f>
        <v>31 Agustus 2026</v>
      </c>
      <c r="G1314" s="64">
        <f>Ringkasan!G1313</f>
        <v>4</v>
      </c>
      <c r="H1314" s="19">
        <f>Ringkasan!H1313</f>
        <v>5.8</v>
      </c>
      <c r="I1314" s="19">
        <f>Ringkasan!I1313</f>
        <v>0.67</v>
      </c>
      <c r="J1314" s="19">
        <f>Ringkasan!J1313</f>
        <v>11.5</v>
      </c>
      <c r="K1314" s="19">
        <f>Ringkasan!K1313</f>
        <v>1.6</v>
      </c>
      <c r="L1314" s="19">
        <f>Ringkasan!L1313</f>
        <v>6</v>
      </c>
      <c r="M1314" s="19">
        <f>Ringkasan!M1313</f>
        <v>100</v>
      </c>
      <c r="N1314" s="64">
        <f>Ringkasan!N1313</f>
        <v>5.4</v>
      </c>
      <c r="O1314" s="64">
        <f>Ringkasan!O1313</f>
        <v>23.2</v>
      </c>
      <c r="P1314" s="64">
        <f>Ringkasan!P1313</f>
        <v>83</v>
      </c>
      <c r="Q1314" s="64">
        <f>Ringkasan!Q1313</f>
        <v>1.9</v>
      </c>
      <c r="R1314" s="64">
        <f>Ringkasan!R1313</f>
        <v>65.9</v>
      </c>
      <c r="S1314" s="64">
        <f>Ringkasan!S1313</f>
        <v>42.4</v>
      </c>
      <c r="T1314" s="64">
        <f>Ringkasan!T1313</f>
        <v>5.9</v>
      </c>
      <c r="U1314" s="64">
        <f>Ringkasan!U1313</f>
        <v>1195</v>
      </c>
      <c r="V1314" s="64">
        <f>Ringkasan!V1313</f>
        <v>2.93</v>
      </c>
      <c r="W1314" s="64">
        <f>Ringkasan!W1313</f>
        <v>1200</v>
      </c>
      <c r="X1314" s="64">
        <f>Ringkasan!X1313</f>
        <v>1235</v>
      </c>
      <c r="Y1314" s="64">
        <f>Ringkasan!Y1313</f>
        <v>1190</v>
      </c>
      <c r="Z1314" s="64">
        <f>Ringkasan!Z1313</f>
        <v>4781000</v>
      </c>
      <c r="AA1314" s="64" t="str">
        <f>Ringkasan!AA1313</f>
        <v>Banks</v>
      </c>
      <c r="AB1314" s="64" t="str">
        <f>Ringkasan!AB1313</f>
        <v>Financials</v>
      </c>
    </row>
    <row r="1315" hidden="1">
      <c r="A1315" s="64" t="str">
        <f>Ringkasan!A1314</f>
        <v>NISP</v>
      </c>
      <c r="B1315" s="64" t="str">
        <f>Ringkasan!B1314</f>
        <v>PT Bank OCBC NISP Tbk</v>
      </c>
      <c r="C1315" s="65">
        <f>Ringkasan!C1314</f>
        <v>1230</v>
      </c>
      <c r="D1315" s="64" t="str">
        <f>Ringkasan!D1314</f>
        <v>#N/A</v>
      </c>
      <c r="E1315" s="64" t="str">
        <f>Ringkasan!E1314</f>
        <v>Infobank15</v>
      </c>
      <c r="F1315" s="64" t="str">
        <f>Ringkasan!F1314</f>
        <v>30 Juni 2026</v>
      </c>
      <c r="G1315" s="64">
        <f>Ringkasan!G1314</f>
        <v>4</v>
      </c>
      <c r="H1315" s="19">
        <f>Ringkasan!H1314</f>
        <v>5.8</v>
      </c>
      <c r="I1315" s="19">
        <f>Ringkasan!I1314</f>
        <v>0.67</v>
      </c>
      <c r="J1315" s="19">
        <f>Ringkasan!J1314</f>
        <v>11.5</v>
      </c>
      <c r="K1315" s="19">
        <f>Ringkasan!K1314</f>
        <v>1.6</v>
      </c>
      <c r="L1315" s="19">
        <f>Ringkasan!L1314</f>
        <v>6</v>
      </c>
      <c r="M1315" s="19">
        <f>Ringkasan!M1314</f>
        <v>100</v>
      </c>
      <c r="N1315" s="64">
        <f>Ringkasan!N1314</f>
        <v>5.4</v>
      </c>
      <c r="O1315" s="64">
        <f>Ringkasan!O1314</f>
        <v>23.2</v>
      </c>
      <c r="P1315" s="64">
        <f>Ringkasan!P1314</f>
        <v>83</v>
      </c>
      <c r="Q1315" s="64">
        <f>Ringkasan!Q1314</f>
        <v>1.9</v>
      </c>
      <c r="R1315" s="64">
        <f>Ringkasan!R1314</f>
        <v>65.9</v>
      </c>
      <c r="S1315" s="64">
        <f>Ringkasan!S1314</f>
        <v>42.4</v>
      </c>
      <c r="T1315" s="64">
        <f>Ringkasan!T1314</f>
        <v>5.9</v>
      </c>
      <c r="U1315" s="64">
        <f>Ringkasan!U1314</f>
        <v>1195</v>
      </c>
      <c r="V1315" s="64">
        <f>Ringkasan!V1314</f>
        <v>2.93</v>
      </c>
      <c r="W1315" s="64">
        <f>Ringkasan!W1314</f>
        <v>1200</v>
      </c>
      <c r="X1315" s="64">
        <f>Ringkasan!X1314</f>
        <v>1235</v>
      </c>
      <c r="Y1315" s="64">
        <f>Ringkasan!Y1314</f>
        <v>1190</v>
      </c>
      <c r="Z1315" s="64">
        <f>Ringkasan!Z1314</f>
        <v>4781000</v>
      </c>
      <c r="AA1315" s="64" t="str">
        <f>Ringkasan!AA1314</f>
        <v>Banks</v>
      </c>
      <c r="AB1315" s="64" t="str">
        <f>Ringkasan!AB1314</f>
        <v>Financials</v>
      </c>
    </row>
    <row r="1316" hidden="1">
      <c r="A1316" s="64" t="str">
        <f>Ringkasan!A1315</f>
        <v>NOBU</v>
      </c>
      <c r="B1316" s="64" t="str">
        <f>Ringkasan!B1315</f>
        <v>PT Bank Nationalnobu Tbk.</v>
      </c>
      <c r="C1316" s="65">
        <f>Ringkasan!C1315</f>
        <v>440</v>
      </c>
      <c r="D1316" s="64" t="str">
        <f>Ringkasan!D1315</f>
        <v>#N/A</v>
      </c>
      <c r="E1316" s="64" t="str">
        <f>Ringkasan!E1315</f>
        <v/>
      </c>
      <c r="F1316" s="64" t="str">
        <f>Ringkasan!F1315</f>
        <v/>
      </c>
      <c r="G1316" s="64">
        <f>Ringkasan!G1315</f>
        <v>0</v>
      </c>
      <c r="H1316" s="19">
        <f>Ringkasan!H1315</f>
        <v>6.6</v>
      </c>
      <c r="I1316" s="19">
        <f>Ringkasan!I1315</f>
        <v>0.8</v>
      </c>
      <c r="J1316" s="19">
        <f>Ringkasan!J1315</f>
        <v>12.2</v>
      </c>
      <c r="K1316" s="19">
        <f>Ringkasan!K1315</f>
        <v>1.3</v>
      </c>
      <c r="L1316" s="19">
        <f>Ringkasan!L1315</f>
        <v>8.8</v>
      </c>
      <c r="M1316" s="19">
        <f>Ringkasan!M1315</f>
        <v>63.3</v>
      </c>
      <c r="N1316" s="64" t="str">
        <f>Ringkasan!N1315</f>
        <v/>
      </c>
      <c r="O1316" s="64">
        <f>Ringkasan!O1315</f>
        <v>23.84</v>
      </c>
      <c r="P1316" s="64" t="str">
        <f>Ringkasan!P1315</f>
        <v/>
      </c>
      <c r="Q1316" s="64" t="str">
        <f>Ringkasan!Q1315</f>
        <v/>
      </c>
      <c r="R1316" s="64" t="str">
        <f>Ringkasan!R1315</f>
        <v/>
      </c>
      <c r="S1316" s="64" t="str">
        <f>Ringkasan!S1315</f>
        <v/>
      </c>
      <c r="T1316" s="64" t="str">
        <f>Ringkasan!T1315</f>
        <v/>
      </c>
      <c r="U1316" s="64">
        <f>Ringkasan!U1315</f>
        <v>426</v>
      </c>
      <c r="V1316" s="64">
        <f>Ringkasan!V1315</f>
        <v>3.29</v>
      </c>
      <c r="W1316" s="64">
        <f>Ringkasan!W1315</f>
        <v>430</v>
      </c>
      <c r="X1316" s="64">
        <f>Ringkasan!X1315</f>
        <v>454</v>
      </c>
      <c r="Y1316" s="64">
        <f>Ringkasan!Y1315</f>
        <v>430</v>
      </c>
      <c r="Z1316" s="64">
        <f>Ringkasan!Z1315</f>
        <v>1907900</v>
      </c>
      <c r="AA1316" s="64" t="str">
        <f>Ringkasan!AA1315</f>
        <v>Banks</v>
      </c>
      <c r="AB1316" s="64" t="str">
        <f>Ringkasan!AB1315</f>
        <v>Financials</v>
      </c>
    </row>
    <row r="1317" hidden="1">
      <c r="A1317" s="64" t="str">
        <f>Ringkasan!A1316</f>
        <v>NPGF</v>
      </c>
      <c r="B1317" s="64" t="str">
        <f>Ringkasan!B1316</f>
        <v>Nusa Palapa Gemilang Tbk.</v>
      </c>
      <c r="C1317" s="65">
        <f>Ringkasan!C1316</f>
        <v>61</v>
      </c>
      <c r="D1317" s="64" t="str">
        <f>Ringkasan!D1316</f>
        <v>#N/A</v>
      </c>
      <c r="E1317" s="64" t="str">
        <f>Ringkasan!E1316</f>
        <v/>
      </c>
      <c r="F1317" s="64" t="str">
        <f>Ringkasan!F1316</f>
        <v/>
      </c>
      <c r="G1317" s="64">
        <f>Ringkasan!G1316</f>
        <v>0</v>
      </c>
      <c r="H1317" s="19">
        <f>Ringkasan!H1316</f>
        <v>54.1</v>
      </c>
      <c r="I1317" s="19">
        <f>Ringkasan!I1316</f>
        <v>0.83</v>
      </c>
      <c r="J1317" s="19">
        <f>Ringkasan!J1316</f>
        <v>1.5</v>
      </c>
      <c r="K1317" s="19">
        <f>Ringkasan!K1316</f>
        <v>1.1</v>
      </c>
      <c r="L1317" s="19">
        <f>Ringkasan!L1316</f>
        <v>0.38</v>
      </c>
      <c r="M1317" s="19">
        <f>Ringkasan!M1316</f>
        <v>2.8</v>
      </c>
      <c r="N1317" s="64" t="str">
        <f>Ringkasan!N1316</f>
        <v/>
      </c>
      <c r="O1317" s="64" t="str">
        <f>Ringkasan!O1316</f>
        <v/>
      </c>
      <c r="P1317" s="64" t="str">
        <f>Ringkasan!P1316</f>
        <v/>
      </c>
      <c r="Q1317" s="64" t="str">
        <f>Ringkasan!Q1316</f>
        <v/>
      </c>
      <c r="R1317" s="64" t="str">
        <f>Ringkasan!R1316</f>
        <v/>
      </c>
      <c r="S1317" s="64" t="str">
        <f>Ringkasan!S1316</f>
        <v/>
      </c>
      <c r="T1317" s="64" t="str">
        <f>Ringkasan!T1316</f>
        <v/>
      </c>
      <c r="U1317" s="64">
        <f>Ringkasan!U1316</f>
        <v>65</v>
      </c>
      <c r="V1317" s="64">
        <f>Ringkasan!V1316</f>
        <v>-6.15</v>
      </c>
      <c r="W1317" s="64">
        <f>Ringkasan!W1316</f>
        <v>67</v>
      </c>
      <c r="X1317" s="64">
        <f>Ringkasan!X1316</f>
        <v>69</v>
      </c>
      <c r="Y1317" s="64">
        <f>Ringkasan!Y1316</f>
        <v>61</v>
      </c>
      <c r="Z1317" s="64">
        <f>Ringkasan!Z1316</f>
        <v>42630800</v>
      </c>
      <c r="AA1317" s="64" t="str">
        <f>Ringkasan!AA1316</f>
        <v>Chemicals</v>
      </c>
      <c r="AB1317" s="64" t="str">
        <f>Ringkasan!AB1316</f>
        <v>Basic Materials</v>
      </c>
    </row>
    <row r="1318" hidden="1">
      <c r="A1318" s="64" t="str">
        <f>Ringkasan!A1317</f>
        <v>NRCA</v>
      </c>
      <c r="B1318" s="64" t="str">
        <f>Ringkasan!B1317</f>
        <v>PT Nusa Raya Cipta Tbk.</v>
      </c>
      <c r="C1318" s="65" t="str">
        <f>Ringkasan!C1317</f>
        <v>#N/A</v>
      </c>
      <c r="D1318" s="64" t="str">
        <f>Ringkasan!D1317</f>
        <v>#N/A</v>
      </c>
      <c r="E1318" s="64" t="str">
        <f>Ringkasan!E1317</f>
        <v/>
      </c>
      <c r="F1318" s="64" t="str">
        <f>Ringkasan!F1317</f>
        <v/>
      </c>
      <c r="G1318" s="64">
        <f>Ringkasan!G1317</f>
        <v>0</v>
      </c>
      <c r="H1318" s="19">
        <f>Ringkasan!H1317</f>
        <v>7.1</v>
      </c>
      <c r="I1318" s="19">
        <f>Ringkasan!I1317</f>
        <v>0.87</v>
      </c>
      <c r="J1318" s="19">
        <f>Ringkasan!J1317</f>
        <v>12.3</v>
      </c>
      <c r="K1318" s="19">
        <f>Ringkasan!K1317</f>
        <v>5.9</v>
      </c>
      <c r="L1318" s="19">
        <f>Ringkasan!L1317</f>
        <v>1.1</v>
      </c>
      <c r="M1318" s="19">
        <f>Ringkasan!M1317</f>
        <v>20.7</v>
      </c>
      <c r="N1318" s="64" t="str">
        <f>Ringkasan!N1317</f>
        <v/>
      </c>
      <c r="O1318" s="64" t="str">
        <f>Ringkasan!O1317</f>
        <v/>
      </c>
      <c r="P1318" s="64" t="str">
        <f>Ringkasan!P1317</f>
        <v/>
      </c>
      <c r="Q1318" s="64" t="str">
        <f>Ringkasan!Q1317</f>
        <v/>
      </c>
      <c r="R1318" s="64" t="str">
        <f>Ringkasan!R1317</f>
        <v/>
      </c>
      <c r="S1318" s="64" t="str">
        <f>Ringkasan!S1317</f>
        <v/>
      </c>
      <c r="T1318" s="64" t="str">
        <f>Ringkasan!T1317</f>
        <v/>
      </c>
      <c r="U1318" s="64">
        <f>Ringkasan!U1317</f>
        <v>400</v>
      </c>
      <c r="V1318" s="64">
        <f>Ringkasan!V1317</f>
        <v>3.5</v>
      </c>
      <c r="W1318" s="64">
        <f>Ringkasan!W1317</f>
        <v>400</v>
      </c>
      <c r="X1318" s="64">
        <f>Ringkasan!X1317</f>
        <v>422</v>
      </c>
      <c r="Y1318" s="64">
        <f>Ringkasan!Y1317</f>
        <v>400</v>
      </c>
      <c r="Z1318" s="64">
        <f>Ringkasan!Z1317</f>
        <v>4115900</v>
      </c>
      <c r="AA1318" s="64" t="str">
        <f>Ringkasan!AA1317</f>
        <v>Heavy Constructions &amp; Civil Engineering</v>
      </c>
      <c r="AB1318" s="64" t="str">
        <f>Ringkasan!AB1317</f>
        <v>Infrastructures</v>
      </c>
    </row>
    <row r="1319" hidden="1">
      <c r="A1319" s="64" t="str">
        <f>Ringkasan!A1318</f>
        <v>NSSS</v>
      </c>
      <c r="B1319" s="64" t="str">
        <f>Ringkasan!B1318</f>
        <v>PT Nusantara Sawit Sejahtera Tbk</v>
      </c>
      <c r="C1319" s="65">
        <f>Ringkasan!C1318</f>
        <v>442</v>
      </c>
      <c r="D1319" s="64" t="str">
        <f>Ringkasan!D1318</f>
        <v>#N/A</v>
      </c>
      <c r="E1319" s="64" t="str">
        <f>Ringkasan!E1318</f>
        <v/>
      </c>
      <c r="F1319" s="64" t="str">
        <f>Ringkasan!F1318</f>
        <v/>
      </c>
      <c r="G1319" s="64">
        <f>Ringkasan!G1318</f>
        <v>0</v>
      </c>
      <c r="H1319" s="19">
        <f>Ringkasan!H1318</f>
        <v>17.5</v>
      </c>
      <c r="I1319" s="19">
        <f>Ringkasan!I1318</f>
        <v>5.3</v>
      </c>
      <c r="J1319" s="19">
        <f>Ringkasan!J1318</f>
        <v>30.1</v>
      </c>
      <c r="K1319" s="19">
        <f>Ringkasan!K1318</f>
        <v>14.8</v>
      </c>
      <c r="L1319" s="19">
        <f>Ringkasan!L1318</f>
        <v>1</v>
      </c>
      <c r="M1319" s="19">
        <f>Ringkasan!M1318</f>
        <v>120</v>
      </c>
      <c r="N1319" s="64" t="str">
        <f>Ringkasan!N1318</f>
        <v/>
      </c>
      <c r="O1319" s="64" t="str">
        <f>Ringkasan!O1318</f>
        <v/>
      </c>
      <c r="P1319" s="64" t="str">
        <f>Ringkasan!P1318</f>
        <v/>
      </c>
      <c r="Q1319" s="64" t="str">
        <f>Ringkasan!Q1318</f>
        <v/>
      </c>
      <c r="R1319" s="64" t="str">
        <f>Ringkasan!R1318</f>
        <v/>
      </c>
      <c r="S1319" s="64" t="str">
        <f>Ringkasan!S1318</f>
        <v/>
      </c>
      <c r="T1319" s="64" t="str">
        <f>Ringkasan!T1318</f>
        <v/>
      </c>
      <c r="U1319" s="64">
        <f>Ringkasan!U1318</f>
        <v>366</v>
      </c>
      <c r="V1319" s="64">
        <f>Ringkasan!V1318</f>
        <v>20.77</v>
      </c>
      <c r="W1319" s="64">
        <f>Ringkasan!W1318</f>
        <v>370</v>
      </c>
      <c r="X1319" s="64">
        <f>Ringkasan!X1318</f>
        <v>454</v>
      </c>
      <c r="Y1319" s="64">
        <f>Ringkasan!Y1318</f>
        <v>370</v>
      </c>
      <c r="Z1319" s="64">
        <f>Ringkasan!Z1318</f>
        <v>27851400</v>
      </c>
      <c r="AA1319" s="64" t="str">
        <f>Ringkasan!AA1318</f>
        <v>Agricultural Products</v>
      </c>
      <c r="AB1319" s="64" t="str">
        <f>Ringkasan!AB1318</f>
        <v>Consumer Non-Cyclicals</v>
      </c>
    </row>
    <row r="1320" hidden="1">
      <c r="A1320" s="64" t="str">
        <f>Ringkasan!A1319</f>
        <v>NTBK</v>
      </c>
      <c r="B1320" s="64" t="str">
        <f>Ringkasan!B1319</f>
        <v>Nusatama Berkah Tbk.</v>
      </c>
      <c r="C1320" s="65" t="str">
        <f>Ringkasan!C1319</f>
        <v>#N/A</v>
      </c>
      <c r="D1320" s="64" t="str">
        <f>Ringkasan!D1319</f>
        <v>#N/A</v>
      </c>
      <c r="E1320" s="64" t="str">
        <f>Ringkasan!E1319</f>
        <v/>
      </c>
      <c r="F1320" s="64" t="str">
        <f>Ringkasan!F1319</f>
        <v/>
      </c>
      <c r="G1320" s="64">
        <f>Ringkasan!G1319</f>
        <v>0</v>
      </c>
      <c r="H1320" s="19">
        <f>Ringkasan!H1319</f>
        <v>-170</v>
      </c>
      <c r="I1320" s="19">
        <f>Ringkasan!I1319</f>
        <v>2.2</v>
      </c>
      <c r="J1320" s="19">
        <f>Ringkasan!J1319</f>
        <v>-1.3</v>
      </c>
      <c r="K1320" s="19">
        <f>Ringkasan!K1319</f>
        <v>-0.79</v>
      </c>
      <c r="L1320" s="19">
        <f>Ringkasan!L1319</f>
        <v>0.63</v>
      </c>
      <c r="M1320" s="19">
        <f>Ringkasan!M1319</f>
        <v>-7.7</v>
      </c>
      <c r="N1320" s="64" t="str">
        <f>Ringkasan!N1319</f>
        <v/>
      </c>
      <c r="O1320" s="64" t="str">
        <f>Ringkasan!O1319</f>
        <v/>
      </c>
      <c r="P1320" s="64" t="str">
        <f>Ringkasan!P1319</f>
        <v/>
      </c>
      <c r="Q1320" s="64" t="str">
        <f>Ringkasan!Q1319</f>
        <v/>
      </c>
      <c r="R1320" s="64" t="str">
        <f>Ringkasan!R1319</f>
        <v/>
      </c>
      <c r="S1320" s="64" t="str">
        <f>Ringkasan!S1319</f>
        <v/>
      </c>
      <c r="T1320" s="64" t="str">
        <f>Ringkasan!T1319</f>
        <v/>
      </c>
      <c r="U1320" s="64">
        <f>Ringkasan!U1319</f>
        <v>55</v>
      </c>
      <c r="V1320" s="64">
        <f>Ringkasan!V1319</f>
        <v>7.27</v>
      </c>
      <c r="W1320" s="64">
        <f>Ringkasan!W1319</f>
        <v>56</v>
      </c>
      <c r="X1320" s="64">
        <f>Ringkasan!X1319</f>
        <v>63</v>
      </c>
      <c r="Y1320" s="64">
        <f>Ringkasan!Y1319</f>
        <v>56</v>
      </c>
      <c r="Z1320" s="64">
        <f>Ringkasan!Z1319</f>
        <v>46303600</v>
      </c>
      <c r="AA1320" s="64" t="str">
        <f>Ringkasan!AA1319</f>
        <v>Machinery</v>
      </c>
      <c r="AB1320" s="64" t="str">
        <f>Ringkasan!AB1319</f>
        <v>Industrials</v>
      </c>
    </row>
    <row r="1321" hidden="1">
      <c r="A1321" s="64" t="str">
        <f>Ringkasan!A1320</f>
        <v>NUSA</v>
      </c>
      <c r="B1321" s="64" t="str">
        <f>Ringkasan!B1320</f>
        <v>Sinergi Megah Internusa Tbk.</v>
      </c>
      <c r="C1321" s="65">
        <f>Ringkasan!C1320</f>
        <v>50</v>
      </c>
      <c r="D1321" s="64" t="str">
        <f>Ringkasan!D1320</f>
        <v>#N/A</v>
      </c>
      <c r="E1321" s="64" t="str">
        <f>Ringkasan!E1320</f>
        <v/>
      </c>
      <c r="F1321" s="64" t="str">
        <f>Ringkasan!F1320</f>
        <v/>
      </c>
      <c r="G1321" s="64">
        <f>Ringkasan!G1320</f>
        <v>0</v>
      </c>
      <c r="H1321" s="19">
        <f>Ringkasan!H1320</f>
        <v>0</v>
      </c>
      <c r="I1321" s="19">
        <f>Ringkasan!I1320</f>
        <v>0.51</v>
      </c>
      <c r="J1321" s="19">
        <f>Ringkasan!J1320</f>
        <v>-1.6</v>
      </c>
      <c r="K1321" s="19">
        <f>Ringkasan!K1320</f>
        <v>-1.4</v>
      </c>
      <c r="L1321" s="19">
        <f>Ringkasan!L1320</f>
        <v>0.09</v>
      </c>
      <c r="M1321" s="19">
        <f>Ringkasan!M1320</f>
        <v>-130</v>
      </c>
      <c r="N1321" s="64" t="str">
        <f>Ringkasan!N1320</f>
        <v/>
      </c>
      <c r="O1321" s="64" t="str">
        <f>Ringkasan!O1320</f>
        <v/>
      </c>
      <c r="P1321" s="64" t="str">
        <f>Ringkasan!P1320</f>
        <v/>
      </c>
      <c r="Q1321" s="64" t="str">
        <f>Ringkasan!Q1320</f>
        <v/>
      </c>
      <c r="R1321" s="64" t="str">
        <f>Ringkasan!R1320</f>
        <v/>
      </c>
      <c r="S1321" s="64" t="str">
        <f>Ringkasan!S1320</f>
        <v/>
      </c>
      <c r="T1321" s="64" t="str">
        <f>Ringkasan!T1320</f>
        <v/>
      </c>
      <c r="U1321" s="64">
        <f>Ringkasan!U1320</f>
        <v>23.16</v>
      </c>
      <c r="V1321" s="64">
        <f>Ringkasan!V1320</f>
        <v>-0.06</v>
      </c>
      <c r="W1321" s="64">
        <f>Ringkasan!W1320</f>
        <v>23.14</v>
      </c>
      <c r="X1321" s="64">
        <f>Ringkasan!X1320</f>
        <v>23.15</v>
      </c>
      <c r="Y1321" s="64" t="str">
        <f>Ringkasan!Y1320</f>
        <v/>
      </c>
      <c r="Z1321" s="64">
        <f>Ringkasan!Z1320</f>
        <v>101</v>
      </c>
      <c r="AA1321" s="64" t="str">
        <f>Ringkasan!AA1320</f>
        <v>Tourism &amp; Recreation</v>
      </c>
      <c r="AB1321" s="64" t="str">
        <f>Ringkasan!AB1320</f>
        <v>Consumer Cyclicals</v>
      </c>
    </row>
    <row r="1322" hidden="1">
      <c r="A1322" s="64" t="str">
        <f>Ringkasan!A1321</f>
        <v>NZIA</v>
      </c>
      <c r="B1322" s="64" t="str">
        <f>Ringkasan!B1321</f>
        <v>Nusantara Almazia Tbk.</v>
      </c>
      <c r="C1322" s="65">
        <f>Ringkasan!C1321</f>
        <v>177</v>
      </c>
      <c r="D1322" s="64" t="str">
        <f>Ringkasan!D1321</f>
        <v>#N/A</v>
      </c>
      <c r="E1322" s="64" t="str">
        <f>Ringkasan!E1321</f>
        <v/>
      </c>
      <c r="F1322" s="64" t="str">
        <f>Ringkasan!F1321</f>
        <v/>
      </c>
      <c r="G1322" s="64">
        <f>Ringkasan!G1321</f>
        <v>0</v>
      </c>
      <c r="H1322" s="19">
        <f>Ringkasan!H1321</f>
        <v>-21.2</v>
      </c>
      <c r="I1322" s="19">
        <f>Ringkasan!I1321</f>
        <v>0.61</v>
      </c>
      <c r="J1322" s="19">
        <f>Ringkasan!J1321</f>
        <v>-2.9</v>
      </c>
      <c r="K1322" s="19">
        <f>Ringkasan!K1321</f>
        <v>-2.5</v>
      </c>
      <c r="L1322" s="19">
        <f>Ringkasan!L1321</f>
        <v>0.17</v>
      </c>
      <c r="M1322" s="19">
        <f>Ringkasan!M1321</f>
        <v>-310</v>
      </c>
      <c r="N1322" s="64" t="str">
        <f>Ringkasan!N1321</f>
        <v/>
      </c>
      <c r="O1322" s="64" t="str">
        <f>Ringkasan!O1321</f>
        <v/>
      </c>
      <c r="P1322" s="64" t="str">
        <f>Ringkasan!P1321</f>
        <v/>
      </c>
      <c r="Q1322" s="64" t="str">
        <f>Ringkasan!Q1321</f>
        <v/>
      </c>
      <c r="R1322" s="64" t="str">
        <f>Ringkasan!R1321</f>
        <v/>
      </c>
      <c r="S1322" s="64" t="str">
        <f>Ringkasan!S1321</f>
        <v/>
      </c>
      <c r="T1322" s="64" t="str">
        <f>Ringkasan!T1321</f>
        <v/>
      </c>
      <c r="U1322" s="64">
        <f>Ringkasan!U1321</f>
        <v>168</v>
      </c>
      <c r="V1322" s="64">
        <f>Ringkasan!V1321</f>
        <v>5.36</v>
      </c>
      <c r="W1322" s="64">
        <f>Ringkasan!W1321</f>
        <v>170</v>
      </c>
      <c r="X1322" s="64">
        <f>Ringkasan!X1321</f>
        <v>183</v>
      </c>
      <c r="Y1322" s="64" t="str">
        <f>Ringkasan!Y1321</f>
        <v/>
      </c>
      <c r="Z1322" s="64">
        <f>Ringkasan!Z1321</f>
        <v>12398000</v>
      </c>
      <c r="AA1322" s="64" t="str">
        <f>Ringkasan!AA1321</f>
        <v>Real Estate Management &amp; Development</v>
      </c>
      <c r="AB1322" s="64" t="str">
        <f>Ringkasan!AB1321</f>
        <v>Properties &amp; Real Estate</v>
      </c>
    </row>
    <row r="1323" hidden="1">
      <c r="A1323" s="64" t="str">
        <f>Ringkasan!A1322</f>
        <v>OASA</v>
      </c>
      <c r="B1323" s="64" t="str">
        <f>Ringkasan!B1322</f>
        <v>PT Protech Mitra Perkasa Tbk</v>
      </c>
      <c r="C1323" s="65">
        <f>Ringkasan!C1322</f>
        <v>260</v>
      </c>
      <c r="D1323" s="64" t="str">
        <f>Ringkasan!D1322</f>
        <v>#N/A</v>
      </c>
      <c r="E1323" s="64" t="str">
        <f>Ringkasan!E1322</f>
        <v/>
      </c>
      <c r="F1323" s="64" t="str">
        <f>Ringkasan!F1322</f>
        <v/>
      </c>
      <c r="G1323" s="64">
        <f>Ringkasan!G1322</f>
        <v>0</v>
      </c>
      <c r="H1323" s="19">
        <f>Ringkasan!H1322</f>
        <v>-29.1</v>
      </c>
      <c r="I1323" s="19">
        <f>Ringkasan!I1322</f>
        <v>3.8</v>
      </c>
      <c r="J1323" s="19">
        <f>Ringkasan!J1322</f>
        <v>-13</v>
      </c>
      <c r="K1323" s="19">
        <f>Ringkasan!K1322</f>
        <v>-11.5</v>
      </c>
      <c r="L1323" s="19">
        <f>Ringkasan!L1322</f>
        <v>0.13</v>
      </c>
      <c r="M1323" s="19">
        <f>Ringkasan!M1322</f>
        <v>-250</v>
      </c>
      <c r="N1323" s="64" t="str">
        <f>Ringkasan!N1322</f>
        <v/>
      </c>
      <c r="O1323" s="64" t="str">
        <f>Ringkasan!O1322</f>
        <v/>
      </c>
      <c r="P1323" s="64" t="str">
        <f>Ringkasan!P1322</f>
        <v/>
      </c>
      <c r="Q1323" s="64" t="str">
        <f>Ringkasan!Q1322</f>
        <v/>
      </c>
      <c r="R1323" s="64" t="str">
        <f>Ringkasan!R1322</f>
        <v/>
      </c>
      <c r="S1323" s="64" t="str">
        <f>Ringkasan!S1322</f>
        <v/>
      </c>
      <c r="T1323" s="64" t="str">
        <f>Ringkasan!T1322</f>
        <v/>
      </c>
      <c r="U1323" s="64">
        <f>Ringkasan!U1322</f>
        <v>236</v>
      </c>
      <c r="V1323" s="64">
        <f>Ringkasan!V1322</f>
        <v>10.17</v>
      </c>
      <c r="W1323" s="64">
        <f>Ringkasan!W1322</f>
        <v>240</v>
      </c>
      <c r="X1323" s="64">
        <f>Ringkasan!X1322</f>
        <v>262</v>
      </c>
      <c r="Y1323" s="64">
        <f>Ringkasan!Y1322</f>
        <v>240</v>
      </c>
      <c r="Z1323" s="64">
        <f>Ringkasan!Z1322</f>
        <v>45585200</v>
      </c>
      <c r="AA1323" s="64" t="str">
        <f>Ringkasan!AA1322</f>
        <v>Wireless Telecommunication Services</v>
      </c>
      <c r="AB1323" s="64" t="str">
        <f>Ringkasan!AB1322</f>
        <v>Infrastructures</v>
      </c>
    </row>
    <row r="1324" hidden="1">
      <c r="A1324" s="64" t="str">
        <f>Ringkasan!A1323</f>
        <v>OBAT</v>
      </c>
      <c r="B1324" s="64" t="str">
        <f>Ringkasan!B1323</f>
        <v>Brigit Biofarmaka Teknologi Tbk.</v>
      </c>
      <c r="C1324" s="65">
        <f>Ringkasan!C1323</f>
        <v>234</v>
      </c>
      <c r="D1324" s="64" t="str">
        <f>Ringkasan!D1323</f>
        <v>#N/A</v>
      </c>
      <c r="E1324" s="64" t="str">
        <f>Ringkasan!E1323</f>
        <v/>
      </c>
      <c r="F1324" s="64" t="str">
        <f>Ringkasan!F1323</f>
        <v/>
      </c>
      <c r="G1324" s="65">
        <f>Ringkasan!G1323</f>
        <v>0</v>
      </c>
      <c r="H1324" s="19">
        <f>Ringkasan!H1323</f>
        <v>10</v>
      </c>
      <c r="I1324" s="19">
        <f>Ringkasan!I1323</f>
        <v>1.3</v>
      </c>
      <c r="J1324" s="19">
        <f>Ringkasan!J1323</f>
        <v>13.2</v>
      </c>
      <c r="K1324" s="19">
        <f>Ringkasan!K1323</f>
        <v>11.3</v>
      </c>
      <c r="L1324" s="19">
        <f>Ringkasan!L1323</f>
        <v>0.17</v>
      </c>
      <c r="M1324" s="19">
        <f>Ringkasan!M1323</f>
        <v>43</v>
      </c>
      <c r="N1324" s="64" t="str">
        <f>Ringkasan!N1323</f>
        <v/>
      </c>
      <c r="O1324" s="64" t="str">
        <f>Ringkasan!O1323</f>
        <v/>
      </c>
      <c r="P1324" s="64" t="str">
        <f>Ringkasan!P1323</f>
        <v/>
      </c>
      <c r="Q1324" s="64" t="str">
        <f>Ringkasan!Q1323</f>
        <v/>
      </c>
      <c r="R1324" s="64" t="str">
        <f>Ringkasan!R1323</f>
        <v/>
      </c>
      <c r="S1324" s="64" t="str">
        <f>Ringkasan!S1323</f>
        <v/>
      </c>
      <c r="T1324" s="64" t="str">
        <f>Ringkasan!T1323</f>
        <v/>
      </c>
      <c r="U1324" s="64">
        <f>Ringkasan!U1323</f>
        <v>230</v>
      </c>
      <c r="V1324" s="64">
        <f>Ringkasan!V1323</f>
        <v>1.74</v>
      </c>
      <c r="W1324" s="64">
        <f>Ringkasan!W1323</f>
        <v>230</v>
      </c>
      <c r="X1324" s="64">
        <f>Ringkasan!X1323</f>
        <v>244</v>
      </c>
      <c r="Y1324" s="64">
        <f>Ringkasan!Y1323</f>
        <v>228</v>
      </c>
      <c r="Z1324" s="64">
        <f>Ringkasan!Z1323</f>
        <v>244500</v>
      </c>
      <c r="AA1324" s="64" t="str">
        <f>Ringkasan!AA1323</f>
        <v>Pharmaceuticals</v>
      </c>
      <c r="AB1324" s="64" t="str">
        <f>Ringkasan!AB1323</f>
        <v>Healthcare</v>
      </c>
    </row>
    <row r="1325" hidden="1">
      <c r="A1325" s="64" t="str">
        <f>Ringkasan!A1324</f>
        <v>OBMD</v>
      </c>
      <c r="B1325" s="64" t="str">
        <f>Ringkasan!B1324</f>
        <v>OBM Drilchem Tbk.</v>
      </c>
      <c r="C1325" s="65">
        <f>Ringkasan!C1324</f>
        <v>164</v>
      </c>
      <c r="D1325" s="64" t="str">
        <f>Ringkasan!D1324</f>
        <v>#N/A</v>
      </c>
      <c r="E1325" s="64" t="str">
        <f>Ringkasan!E1324</f>
        <v/>
      </c>
      <c r="F1325" s="64" t="str">
        <f>Ringkasan!F1324</f>
        <v/>
      </c>
      <c r="G1325" s="65">
        <f>Ringkasan!G1324</f>
        <v>0</v>
      </c>
      <c r="H1325" s="19">
        <f>Ringkasan!H1324</f>
        <v>4.9</v>
      </c>
      <c r="I1325" s="19">
        <f>Ringkasan!I1324</f>
        <v>0.8</v>
      </c>
      <c r="J1325" s="19">
        <f>Ringkasan!J1324</f>
        <v>16.3</v>
      </c>
      <c r="K1325" s="19">
        <f>Ringkasan!K1324</f>
        <v>14.8</v>
      </c>
      <c r="L1325" s="19">
        <f>Ringkasan!L1324</f>
        <v>0.1</v>
      </c>
      <c r="M1325" s="19">
        <f>Ringkasan!M1324</f>
        <v>19.7</v>
      </c>
      <c r="N1325" s="64" t="str">
        <f>Ringkasan!N1324</f>
        <v/>
      </c>
      <c r="O1325" s="64" t="str">
        <f>Ringkasan!O1324</f>
        <v/>
      </c>
      <c r="P1325" s="64" t="str">
        <f>Ringkasan!P1324</f>
        <v/>
      </c>
      <c r="Q1325" s="64" t="str">
        <f>Ringkasan!Q1324</f>
        <v/>
      </c>
      <c r="R1325" s="64" t="str">
        <f>Ringkasan!R1324</f>
        <v/>
      </c>
      <c r="S1325" s="64" t="str">
        <f>Ringkasan!S1324</f>
        <v/>
      </c>
      <c r="T1325" s="64" t="str">
        <f>Ringkasan!T1324</f>
        <v/>
      </c>
      <c r="U1325" s="64">
        <f>Ringkasan!U1324</f>
        <v>164</v>
      </c>
      <c r="V1325" s="64">
        <f>Ringkasan!V1324</f>
        <v>0</v>
      </c>
      <c r="W1325" s="64">
        <f>Ringkasan!W1324</f>
        <v>164</v>
      </c>
      <c r="X1325" s="64">
        <f>Ringkasan!X1324</f>
        <v>167</v>
      </c>
      <c r="Y1325" s="64">
        <f>Ringkasan!Y1324</f>
        <v>152</v>
      </c>
      <c r="Z1325" s="64">
        <f>Ringkasan!Z1324</f>
        <v>956400</v>
      </c>
      <c r="AA1325" s="64" t="str">
        <f>Ringkasan!AA1324</f>
        <v>Chemicals</v>
      </c>
      <c r="AB1325" s="64" t="str">
        <f>Ringkasan!AB1324</f>
        <v>Basic Materials</v>
      </c>
    </row>
    <row r="1326" hidden="1">
      <c r="A1326" s="64" t="str">
        <f>Ringkasan!A1325</f>
        <v>OCAP</v>
      </c>
      <c r="B1326" s="64" t="str">
        <f>Ringkasan!B1325</f>
        <v>Onix Capital Tbk.</v>
      </c>
      <c r="C1326" s="65">
        <f>Ringkasan!C1325</f>
        <v>159</v>
      </c>
      <c r="D1326" s="64" t="str">
        <f>Ringkasan!D1325</f>
        <v>#N/A</v>
      </c>
      <c r="E1326" s="64" t="str">
        <f>Ringkasan!E1325</f>
        <v/>
      </c>
      <c r="F1326" s="64" t="str">
        <f>Ringkasan!F1325</f>
        <v/>
      </c>
      <c r="G1326" s="64">
        <f>Ringkasan!G1325</f>
        <v>0</v>
      </c>
      <c r="H1326" s="19">
        <f>Ringkasan!H1325</f>
        <v>-1.9</v>
      </c>
      <c r="I1326" s="19">
        <f>Ringkasan!I1325</f>
        <v>-0.15</v>
      </c>
      <c r="J1326" s="19">
        <f>Ringkasan!J1325</f>
        <v>0</v>
      </c>
      <c r="K1326" s="19">
        <f>Ringkasan!K1325</f>
        <v>-280</v>
      </c>
      <c r="L1326" s="19">
        <f>Ringkasan!L1325</f>
        <v>-1</v>
      </c>
      <c r="M1326" s="19">
        <f>Ringkasan!M1325</f>
        <v>0</v>
      </c>
      <c r="N1326" s="64" t="str">
        <f>Ringkasan!N1325</f>
        <v/>
      </c>
      <c r="O1326" s="64" t="str">
        <f>Ringkasan!O1325</f>
        <v/>
      </c>
      <c r="P1326" s="64" t="str">
        <f>Ringkasan!P1325</f>
        <v/>
      </c>
      <c r="Q1326" s="64" t="str">
        <f>Ringkasan!Q1325</f>
        <v/>
      </c>
      <c r="R1326" s="64" t="str">
        <f>Ringkasan!R1325</f>
        <v/>
      </c>
      <c r="S1326" s="64" t="str">
        <f>Ringkasan!S1325</f>
        <v/>
      </c>
      <c r="T1326" s="64" t="str">
        <f>Ringkasan!T1325</f>
        <v/>
      </c>
      <c r="U1326" s="64">
        <f>Ringkasan!U1325</f>
        <v>159</v>
      </c>
      <c r="V1326" s="64">
        <f>Ringkasan!V1325</f>
        <v>0</v>
      </c>
      <c r="W1326" s="64" t="str">
        <f>Ringkasan!W1325</f>
        <v/>
      </c>
      <c r="X1326" s="64" t="str">
        <f>Ringkasan!X1325</f>
        <v/>
      </c>
      <c r="Y1326" s="64" t="str">
        <f>Ringkasan!Y1325</f>
        <v/>
      </c>
      <c r="Z1326" s="64">
        <f>Ringkasan!Z1325</f>
        <v>0</v>
      </c>
      <c r="AA1326" s="64" t="str">
        <f>Ringkasan!AA1325</f>
        <v>Holding &amp; Investment Companies</v>
      </c>
      <c r="AB1326" s="64" t="str">
        <f>Ringkasan!AB1325</f>
        <v>Financials</v>
      </c>
    </row>
    <row r="1327" hidden="1">
      <c r="A1327" s="64" t="str">
        <f>Ringkasan!A1326</f>
        <v>OILS</v>
      </c>
      <c r="B1327" s="64" t="str">
        <f>Ringkasan!B1326</f>
        <v>Indo Oil Perkasa Tbk.</v>
      </c>
      <c r="C1327" s="65">
        <f>Ringkasan!C1326</f>
        <v>202</v>
      </c>
      <c r="D1327" s="64" t="str">
        <f>Ringkasan!D1326</f>
        <v>#N/A</v>
      </c>
      <c r="E1327" s="64" t="str">
        <f>Ringkasan!E1326</f>
        <v/>
      </c>
      <c r="F1327" s="64" t="str">
        <f>Ringkasan!F1326</f>
        <v/>
      </c>
      <c r="G1327" s="64">
        <f>Ringkasan!G1326</f>
        <v>0</v>
      </c>
      <c r="H1327" s="19">
        <f>Ringkasan!H1326</f>
        <v>8.2</v>
      </c>
      <c r="I1327" s="19">
        <f>Ringkasan!I1326</f>
        <v>0.84</v>
      </c>
      <c r="J1327" s="19">
        <f>Ringkasan!J1326</f>
        <v>10.2</v>
      </c>
      <c r="K1327" s="19">
        <f>Ringkasan!K1326</f>
        <v>3.4</v>
      </c>
      <c r="L1327" s="19">
        <f>Ringkasan!L1326</f>
        <v>2</v>
      </c>
      <c r="M1327" s="19">
        <f>Ringkasan!M1326</f>
        <v>3.5</v>
      </c>
      <c r="N1327" s="64" t="str">
        <f>Ringkasan!N1326</f>
        <v/>
      </c>
      <c r="O1327" s="64" t="str">
        <f>Ringkasan!O1326</f>
        <v/>
      </c>
      <c r="P1327" s="64" t="str">
        <f>Ringkasan!P1326</f>
        <v/>
      </c>
      <c r="Q1327" s="64" t="str">
        <f>Ringkasan!Q1326</f>
        <v/>
      </c>
      <c r="R1327" s="64" t="str">
        <f>Ringkasan!R1326</f>
        <v/>
      </c>
      <c r="S1327" s="64" t="str">
        <f>Ringkasan!S1326</f>
        <v/>
      </c>
      <c r="T1327" s="64" t="str">
        <f>Ringkasan!T1326</f>
        <v/>
      </c>
      <c r="U1327" s="64">
        <f>Ringkasan!U1326</f>
        <v>0.05</v>
      </c>
      <c r="V1327" s="64">
        <f>Ringkasan!V1326</f>
        <v>0</v>
      </c>
      <c r="W1327" s="64">
        <f>Ringkasan!W1326</f>
        <v>0.05</v>
      </c>
      <c r="X1327" s="64">
        <f>Ringkasan!X1326</f>
        <v>0.05</v>
      </c>
      <c r="Y1327" s="64">
        <f>Ringkasan!Y1326</f>
        <v>0.05</v>
      </c>
      <c r="Z1327" s="64">
        <f>Ringkasan!Z1326</f>
        <v>12000</v>
      </c>
      <c r="AA1327" s="64" t="str">
        <f>Ringkasan!AA1326</f>
        <v>Agricultural Products</v>
      </c>
      <c r="AB1327" s="64" t="str">
        <f>Ringkasan!AB1326</f>
        <v>Consumer Non-Cyclicals</v>
      </c>
    </row>
    <row r="1328" hidden="1">
      <c r="A1328" s="64" t="str">
        <f>Ringkasan!A1327</f>
        <v>OKAS</v>
      </c>
      <c r="B1328" s="64" t="str">
        <f>Ringkasan!B1327</f>
        <v>Ancora Indonesia Resources Tbk.</v>
      </c>
      <c r="C1328" s="65">
        <f>Ringkasan!C1327</f>
        <v>95</v>
      </c>
      <c r="D1328" s="64" t="str">
        <f>Ringkasan!D1327</f>
        <v>#N/A</v>
      </c>
      <c r="E1328" s="64" t="str">
        <f>Ringkasan!E1327</f>
        <v/>
      </c>
      <c r="F1328" s="64" t="str">
        <f>Ringkasan!F1327</f>
        <v/>
      </c>
      <c r="G1328" s="64">
        <f>Ringkasan!G1327</f>
        <v>0</v>
      </c>
      <c r="H1328" s="19">
        <f>Ringkasan!H1327</f>
        <v>-3.7</v>
      </c>
      <c r="I1328" s="19">
        <f>Ringkasan!I1327</f>
        <v>0.26</v>
      </c>
      <c r="J1328" s="19">
        <f>Ringkasan!J1327</f>
        <v>-6.9</v>
      </c>
      <c r="K1328" s="19">
        <f>Ringkasan!K1327</f>
        <v>-2.5</v>
      </c>
      <c r="L1328" s="19">
        <f>Ringkasan!L1327</f>
        <v>1.8</v>
      </c>
      <c r="M1328" s="19">
        <f>Ringkasan!M1327</f>
        <v>-10.6</v>
      </c>
      <c r="N1328" s="64" t="str">
        <f>Ringkasan!N1327</f>
        <v/>
      </c>
      <c r="O1328" s="64" t="str">
        <f>Ringkasan!O1327</f>
        <v/>
      </c>
      <c r="P1328" s="64" t="str">
        <f>Ringkasan!P1327</f>
        <v/>
      </c>
      <c r="Q1328" s="64" t="str">
        <f>Ringkasan!Q1327</f>
        <v/>
      </c>
      <c r="R1328" s="64" t="str">
        <f>Ringkasan!R1327</f>
        <v/>
      </c>
      <c r="S1328" s="64" t="str">
        <f>Ringkasan!S1327</f>
        <v/>
      </c>
      <c r="T1328" s="64" t="str">
        <f>Ringkasan!T1327</f>
        <v/>
      </c>
      <c r="U1328" s="64">
        <f>Ringkasan!U1327</f>
        <v>90</v>
      </c>
      <c r="V1328" s="64">
        <f>Ringkasan!V1327</f>
        <v>5.56</v>
      </c>
      <c r="W1328" s="64">
        <f>Ringkasan!W1327</f>
        <v>90</v>
      </c>
      <c r="X1328" s="64">
        <f>Ringkasan!X1327</f>
        <v>97</v>
      </c>
      <c r="Y1328" s="64">
        <f>Ringkasan!Y1327</f>
        <v>90</v>
      </c>
      <c r="Z1328" s="64">
        <f>Ringkasan!Z1327</f>
        <v>2631100</v>
      </c>
      <c r="AA1328" s="64" t="str">
        <f>Ringkasan!AA1327</f>
        <v>Chemicals</v>
      </c>
      <c r="AB1328" s="64" t="str">
        <f>Ringkasan!AB1327</f>
        <v>Basic Materials</v>
      </c>
    </row>
    <row r="1329" hidden="1">
      <c r="A1329" s="64" t="str">
        <f>Ringkasan!A1328</f>
        <v>OLIV</v>
      </c>
      <c r="B1329" s="64" t="str">
        <f>Ringkasan!B1328</f>
        <v>Oscar Mitra Sukses Sejahtera Tbk.</v>
      </c>
      <c r="C1329" s="65">
        <f>Ringkasan!C1328</f>
        <v>51</v>
      </c>
      <c r="D1329" s="64" t="str">
        <f>Ringkasan!D1328</f>
        <v>#N/A</v>
      </c>
      <c r="E1329" s="64" t="str">
        <f>Ringkasan!E1328</f>
        <v/>
      </c>
      <c r="F1329" s="64" t="str">
        <f>Ringkasan!F1328</f>
        <v/>
      </c>
      <c r="G1329" s="64">
        <f>Ringkasan!G1328</f>
        <v>0</v>
      </c>
      <c r="H1329" s="19">
        <f>Ringkasan!H1328</f>
        <v>-12.4</v>
      </c>
      <c r="I1329" s="19">
        <f>Ringkasan!I1328</f>
        <v>2.8</v>
      </c>
      <c r="J1329" s="19">
        <f>Ringkasan!J1328</f>
        <v>-22.2</v>
      </c>
      <c r="K1329" s="19">
        <f>Ringkasan!K1328</f>
        <v>-20.2</v>
      </c>
      <c r="L1329" s="19">
        <f>Ringkasan!L1328</f>
        <v>0.1</v>
      </c>
      <c r="M1329" s="19">
        <f>Ringkasan!M1328</f>
        <v>-81.1</v>
      </c>
      <c r="N1329" s="64" t="str">
        <f>Ringkasan!N1328</f>
        <v/>
      </c>
      <c r="O1329" s="64" t="str">
        <f>Ringkasan!O1328</f>
        <v/>
      </c>
      <c r="P1329" s="64" t="str">
        <f>Ringkasan!P1328</f>
        <v/>
      </c>
      <c r="Q1329" s="64" t="str">
        <f>Ringkasan!Q1328</f>
        <v/>
      </c>
      <c r="R1329" s="64" t="str">
        <f>Ringkasan!R1328</f>
        <v/>
      </c>
      <c r="S1329" s="64" t="str">
        <f>Ringkasan!S1328</f>
        <v/>
      </c>
      <c r="T1329" s="64" t="str">
        <f>Ringkasan!T1328</f>
        <v/>
      </c>
      <c r="U1329" s="64">
        <f>Ringkasan!U1328</f>
        <v>52</v>
      </c>
      <c r="V1329" s="64">
        <f>Ringkasan!V1328</f>
        <v>-1.92</v>
      </c>
      <c r="W1329" s="64">
        <f>Ringkasan!W1328</f>
        <v>57</v>
      </c>
      <c r="X1329" s="64">
        <f>Ringkasan!X1328</f>
        <v>57</v>
      </c>
      <c r="Y1329" s="64">
        <f>Ringkasan!Y1328</f>
        <v>50</v>
      </c>
      <c r="Z1329" s="64">
        <f>Ringkasan!Z1328</f>
        <v>3746200</v>
      </c>
      <c r="AA1329" s="64" t="str">
        <f>Ringkasan!AA1328</f>
        <v>Household Goods</v>
      </c>
      <c r="AB1329" s="64" t="str">
        <f>Ringkasan!AB1328</f>
        <v>Consumer Cyclicals</v>
      </c>
    </row>
    <row r="1330" hidden="1">
      <c r="A1330" s="64" t="str">
        <f>Ringkasan!A1329</f>
        <v>OMED</v>
      </c>
      <c r="B1330" s="64" t="str">
        <f>Ringkasan!B1329</f>
        <v>Jayamas Medica Industri Tbk.</v>
      </c>
      <c r="C1330" s="65">
        <f>Ringkasan!C1329</f>
        <v>196</v>
      </c>
      <c r="D1330" s="64" t="str">
        <f>Ringkasan!D1329</f>
        <v>#N/A</v>
      </c>
      <c r="E1330" s="64" t="str">
        <f>Ringkasan!E1329</f>
        <v/>
      </c>
      <c r="F1330" s="64" t="str">
        <f>Ringkasan!F1329</f>
        <v/>
      </c>
      <c r="G1330" s="64">
        <f>Ringkasan!G1329</f>
        <v>0</v>
      </c>
      <c r="H1330" s="19">
        <f>Ringkasan!H1329</f>
        <v>15.9</v>
      </c>
      <c r="I1330" s="19">
        <f>Ringkasan!I1329</f>
        <v>2.2</v>
      </c>
      <c r="J1330" s="19">
        <f>Ringkasan!J1329</f>
        <v>13.8</v>
      </c>
      <c r="K1330" s="19">
        <f>Ringkasan!K1329</f>
        <v>11.8</v>
      </c>
      <c r="L1330" s="19">
        <f>Ringkasan!L1329</f>
        <v>0.16</v>
      </c>
      <c r="M1330" s="19">
        <f>Ringkasan!M1329</f>
        <v>68.6</v>
      </c>
      <c r="N1330" s="64" t="str">
        <f>Ringkasan!N1329</f>
        <v/>
      </c>
      <c r="O1330" s="64" t="str">
        <f>Ringkasan!O1329</f>
        <v/>
      </c>
      <c r="P1330" s="64" t="str">
        <f>Ringkasan!P1329</f>
        <v/>
      </c>
      <c r="Q1330" s="64" t="str">
        <f>Ringkasan!Q1329</f>
        <v/>
      </c>
      <c r="R1330" s="64" t="str">
        <f>Ringkasan!R1329</f>
        <v/>
      </c>
      <c r="S1330" s="64" t="str">
        <f>Ringkasan!S1329</f>
        <v/>
      </c>
      <c r="T1330" s="64" t="str">
        <f>Ringkasan!T1329</f>
        <v/>
      </c>
      <c r="U1330" s="64">
        <f>Ringkasan!U1329</f>
        <v>196</v>
      </c>
      <c r="V1330" s="64">
        <f>Ringkasan!V1329</f>
        <v>0</v>
      </c>
      <c r="W1330" s="64">
        <f>Ringkasan!W1329</f>
        <v>200</v>
      </c>
      <c r="X1330" s="64">
        <f>Ringkasan!X1329</f>
        <v>206</v>
      </c>
      <c r="Y1330" s="64">
        <f>Ringkasan!Y1329</f>
        <v>195</v>
      </c>
      <c r="Z1330" s="64">
        <f>Ringkasan!Z1329</f>
        <v>44515400</v>
      </c>
      <c r="AA1330" s="64" t="str">
        <f>Ringkasan!AA1329</f>
        <v>Healthcare Equipment &amp; Supplies</v>
      </c>
      <c r="AB1330" s="64" t="str">
        <f>Ringkasan!AB1329</f>
        <v>Healthcare</v>
      </c>
    </row>
    <row r="1331" hidden="1">
      <c r="A1331" s="64" t="str">
        <f>Ringkasan!A1330</f>
        <v>OMRE</v>
      </c>
      <c r="B1331" s="64" t="str">
        <f>Ringkasan!B1330</f>
        <v>Indonesia Prima Property Tbk</v>
      </c>
      <c r="C1331" s="65">
        <f>Ringkasan!C1330</f>
        <v>1075</v>
      </c>
      <c r="D1331" s="64" t="str">
        <f>Ringkasan!D1330</f>
        <v>#N/A</v>
      </c>
      <c r="E1331" s="64" t="str">
        <f>Ringkasan!E1330</f>
        <v/>
      </c>
      <c r="F1331" s="64" t="str">
        <f>Ringkasan!F1330</f>
        <v/>
      </c>
      <c r="G1331" s="64">
        <f>Ringkasan!G1330</f>
        <v>0</v>
      </c>
      <c r="H1331" s="19">
        <f>Ringkasan!H1330</f>
        <v>-16.8</v>
      </c>
      <c r="I1331" s="19">
        <f>Ringkasan!I1330</f>
        <v>0.94</v>
      </c>
      <c r="J1331" s="19">
        <f>Ringkasan!J1330</f>
        <v>-5.6</v>
      </c>
      <c r="K1331" s="19">
        <f>Ringkasan!K1330</f>
        <v>-4.6</v>
      </c>
      <c r="L1331" s="19">
        <f>Ringkasan!L1330</f>
        <v>0.22</v>
      </c>
      <c r="M1331" s="19">
        <f>Ringkasan!M1330</f>
        <v>-1870</v>
      </c>
      <c r="N1331" s="64" t="str">
        <f>Ringkasan!N1330</f>
        <v/>
      </c>
      <c r="O1331" s="64" t="str">
        <f>Ringkasan!O1330</f>
        <v/>
      </c>
      <c r="P1331" s="64" t="str">
        <f>Ringkasan!P1330</f>
        <v/>
      </c>
      <c r="Q1331" s="64" t="str">
        <f>Ringkasan!Q1330</f>
        <v/>
      </c>
      <c r="R1331" s="64" t="str">
        <f>Ringkasan!R1330</f>
        <v/>
      </c>
      <c r="S1331" s="64" t="str">
        <f>Ringkasan!S1330</f>
        <v/>
      </c>
      <c r="T1331" s="64" t="str">
        <f>Ringkasan!T1330</f>
        <v/>
      </c>
      <c r="U1331" s="64">
        <f>Ringkasan!U1330</f>
        <v>995</v>
      </c>
      <c r="V1331" s="64">
        <f>Ringkasan!V1330</f>
        <v>8.04</v>
      </c>
      <c r="W1331" s="64">
        <f>Ringkasan!W1330</f>
        <v>995</v>
      </c>
      <c r="X1331" s="64">
        <f>Ringkasan!X1330</f>
        <v>1080</v>
      </c>
      <c r="Y1331" s="64">
        <f>Ringkasan!Y1330</f>
        <v>995</v>
      </c>
      <c r="Z1331" s="64">
        <f>Ringkasan!Z1330</f>
        <v>3100</v>
      </c>
      <c r="AA1331" s="64" t="str">
        <f>Ringkasan!AA1330</f>
        <v>Real Estate Management &amp; Development</v>
      </c>
      <c r="AB1331" s="64" t="str">
        <f>Ringkasan!AB1330</f>
        <v>Properties &amp; Real Estate</v>
      </c>
    </row>
    <row r="1332" hidden="1">
      <c r="A1332" s="64" t="str">
        <f>Ringkasan!A1331</f>
        <v>OPMS</v>
      </c>
      <c r="B1332" s="64" t="str">
        <f>Ringkasan!B1331</f>
        <v>Optima Prima Metal Sinergi Tbk.</v>
      </c>
      <c r="C1332" s="65">
        <f>Ringkasan!C1331</f>
        <v>91</v>
      </c>
      <c r="D1332" s="64" t="str">
        <f>Ringkasan!D1331</f>
        <v>#N/A</v>
      </c>
      <c r="E1332" s="64" t="str">
        <f>Ringkasan!E1331</f>
        <v/>
      </c>
      <c r="F1332" s="64" t="str">
        <f>Ringkasan!F1331</f>
        <v/>
      </c>
      <c r="G1332" s="64">
        <f>Ringkasan!G1331</f>
        <v>0</v>
      </c>
      <c r="H1332" s="19">
        <f>Ringkasan!H1331</f>
        <v>-16.9</v>
      </c>
      <c r="I1332" s="19">
        <f>Ringkasan!I1331</f>
        <v>1.5</v>
      </c>
      <c r="J1332" s="19">
        <f>Ringkasan!J1331</f>
        <v>-8.9</v>
      </c>
      <c r="K1332" s="19">
        <f>Ringkasan!K1331</f>
        <v>-8.7</v>
      </c>
      <c r="L1332" s="19">
        <f>Ringkasan!L1331</f>
        <v>0.02</v>
      </c>
      <c r="M1332" s="19">
        <f>Ringkasan!M1331</f>
        <v>-620</v>
      </c>
      <c r="N1332" s="64" t="str">
        <f>Ringkasan!N1331</f>
        <v/>
      </c>
      <c r="O1332" s="64" t="str">
        <f>Ringkasan!O1331</f>
        <v/>
      </c>
      <c r="P1332" s="64" t="str">
        <f>Ringkasan!P1331</f>
        <v/>
      </c>
      <c r="Q1332" s="64" t="str">
        <f>Ringkasan!Q1331</f>
        <v/>
      </c>
      <c r="R1332" s="64" t="str">
        <f>Ringkasan!R1331</f>
        <v/>
      </c>
      <c r="S1332" s="64" t="str">
        <f>Ringkasan!S1331</f>
        <v/>
      </c>
      <c r="T1332" s="64" t="str">
        <f>Ringkasan!T1331</f>
        <v/>
      </c>
      <c r="U1332" s="64">
        <f>Ringkasan!U1331</f>
        <v>91</v>
      </c>
      <c r="V1332" s="64">
        <f>Ringkasan!V1331</f>
        <v>0</v>
      </c>
      <c r="W1332" s="64">
        <f>Ringkasan!W1331</f>
        <v>96</v>
      </c>
      <c r="X1332" s="64">
        <f>Ringkasan!X1331</f>
        <v>96</v>
      </c>
      <c r="Y1332" s="64">
        <f>Ringkasan!Y1331</f>
        <v>86</v>
      </c>
      <c r="Z1332" s="64">
        <f>Ringkasan!Z1331</f>
        <v>4196800</v>
      </c>
      <c r="AA1332" s="64" t="str">
        <f>Ringkasan!AA1331</f>
        <v>Metals &amp; Minerals</v>
      </c>
      <c r="AB1332" s="64" t="str">
        <f>Ringkasan!AB1331</f>
        <v>Basic Materials</v>
      </c>
    </row>
    <row r="1333" hidden="1">
      <c r="A1333" s="64" t="str">
        <f>Ringkasan!A1332</f>
        <v>PACK</v>
      </c>
      <c r="B1333" s="64" t="str">
        <f>Ringkasan!B1332</f>
        <v>Abadi Nusantara Hijau Investama Tbk.</v>
      </c>
      <c r="C1333" s="65">
        <f>Ringkasan!C1332</f>
        <v>252</v>
      </c>
      <c r="D1333" s="64" t="str">
        <f>Ringkasan!D1332</f>
        <v>#N/A</v>
      </c>
      <c r="E1333" s="64" t="str">
        <f>Ringkasan!E1332</f>
        <v/>
      </c>
      <c r="F1333" s="64" t="str">
        <f>Ringkasan!F1332</f>
        <v/>
      </c>
      <c r="G1333" s="64">
        <f>Ringkasan!G1332</f>
        <v>0</v>
      </c>
      <c r="H1333" s="19">
        <f>Ringkasan!H1332</f>
        <v>350</v>
      </c>
      <c r="I1333" s="19">
        <f>Ringkasan!I1332</f>
        <v>94.5</v>
      </c>
      <c r="J1333" s="19">
        <f>Ringkasan!J1332</f>
        <v>27.1</v>
      </c>
      <c r="K1333" s="19">
        <f>Ringkasan!K1332</f>
        <v>0.95</v>
      </c>
      <c r="L1333" s="19">
        <f>Ringkasan!L1332</f>
        <v>27.4</v>
      </c>
      <c r="M1333" s="19">
        <f>Ringkasan!M1332</f>
        <v>13.2</v>
      </c>
      <c r="N1333" s="64" t="str">
        <f>Ringkasan!N1332</f>
        <v/>
      </c>
      <c r="O1333" s="64" t="str">
        <f>Ringkasan!O1332</f>
        <v/>
      </c>
      <c r="P1333" s="64" t="str">
        <f>Ringkasan!P1332</f>
        <v/>
      </c>
      <c r="Q1333" s="64" t="str">
        <f>Ringkasan!Q1332</f>
        <v/>
      </c>
      <c r="R1333" s="64" t="str">
        <f>Ringkasan!R1332</f>
        <v/>
      </c>
      <c r="S1333" s="64" t="str">
        <f>Ringkasan!S1332</f>
        <v/>
      </c>
      <c r="T1333" s="64" t="str">
        <f>Ringkasan!T1332</f>
        <v/>
      </c>
      <c r="U1333" s="64">
        <f>Ringkasan!U1332</f>
        <v>7.14</v>
      </c>
      <c r="V1333" s="64">
        <f>Ringkasan!V1332</f>
        <v>2.24</v>
      </c>
      <c r="W1333" s="64">
        <f>Ringkasan!W1332</f>
        <v>7.23</v>
      </c>
      <c r="X1333" s="64">
        <f>Ringkasan!X1332</f>
        <v>7.4</v>
      </c>
      <c r="Y1333" s="64">
        <f>Ringkasan!Y1332</f>
        <v>7.13</v>
      </c>
      <c r="Z1333" s="64">
        <f>Ringkasan!Z1332</f>
        <v>450320</v>
      </c>
      <c r="AA1333" s="64" t="str">
        <f>Ringkasan!AA1332</f>
        <v>Containers &amp; Packaging</v>
      </c>
      <c r="AB1333" s="64" t="str">
        <f>Ringkasan!AB1332</f>
        <v>Basic Materials</v>
      </c>
    </row>
    <row r="1334" hidden="1">
      <c r="A1334" s="64" t="str">
        <f>Ringkasan!A1333</f>
        <v>PADA</v>
      </c>
      <c r="B1334" s="64" t="str">
        <f>Ringkasan!B1333</f>
        <v>PT Personel Alih Daya Tbk</v>
      </c>
      <c r="C1334" s="65">
        <f>Ringkasan!C1333</f>
        <v>127</v>
      </c>
      <c r="D1334" s="64" t="str">
        <f>Ringkasan!D1333</f>
        <v>#N/A</v>
      </c>
      <c r="E1334" s="64" t="str">
        <f>Ringkasan!E1333</f>
        <v/>
      </c>
      <c r="F1334" s="64" t="str">
        <f>Ringkasan!F1333</f>
        <v/>
      </c>
      <c r="G1334" s="64">
        <f>Ringkasan!G1333</f>
        <v>0</v>
      </c>
      <c r="H1334" s="19">
        <f>Ringkasan!H1333</f>
        <v>84.3</v>
      </c>
      <c r="I1334" s="19">
        <f>Ringkasan!I1333</f>
        <v>3.6</v>
      </c>
      <c r="J1334" s="19">
        <f>Ringkasan!J1333</f>
        <v>4.2</v>
      </c>
      <c r="K1334" s="19">
        <f>Ringkasan!K1333</f>
        <v>1.5</v>
      </c>
      <c r="L1334" s="19">
        <f>Ringkasan!L1333</f>
        <v>1.9</v>
      </c>
      <c r="M1334" s="19">
        <f>Ringkasan!M1333</f>
        <v>1.1</v>
      </c>
      <c r="N1334" s="64" t="str">
        <f>Ringkasan!N1333</f>
        <v/>
      </c>
      <c r="O1334" s="64" t="str">
        <f>Ringkasan!O1333</f>
        <v/>
      </c>
      <c r="P1334" s="64" t="str">
        <f>Ringkasan!P1333</f>
        <v/>
      </c>
      <c r="Q1334" s="64" t="str">
        <f>Ringkasan!Q1333</f>
        <v/>
      </c>
      <c r="R1334" s="64" t="str">
        <f>Ringkasan!R1333</f>
        <v/>
      </c>
      <c r="S1334" s="64" t="str">
        <f>Ringkasan!S1333</f>
        <v/>
      </c>
      <c r="T1334" s="64" t="str">
        <f>Ringkasan!T1333</f>
        <v/>
      </c>
      <c r="U1334" s="64">
        <f>Ringkasan!U1333</f>
        <v>108</v>
      </c>
      <c r="V1334" s="64">
        <f>Ringkasan!V1333</f>
        <v>17.59</v>
      </c>
      <c r="W1334" s="64">
        <f>Ringkasan!W1333</f>
        <v>110</v>
      </c>
      <c r="X1334" s="64">
        <f>Ringkasan!X1333</f>
        <v>143</v>
      </c>
      <c r="Y1334" s="64">
        <f>Ringkasan!Y1333</f>
        <v>110</v>
      </c>
      <c r="Z1334" s="64">
        <f>Ringkasan!Z1333</f>
        <v>67964500</v>
      </c>
      <c r="AA1334" s="64" t="str">
        <f>Ringkasan!AA1333</f>
        <v>Professional Services</v>
      </c>
      <c r="AB1334" s="64" t="str">
        <f>Ringkasan!AB1333</f>
        <v>Industrials</v>
      </c>
    </row>
    <row r="1335" hidden="1">
      <c r="A1335" s="64" t="str">
        <f>Ringkasan!A1334</f>
        <v>PADI</v>
      </c>
      <c r="B1335" s="64" t="str">
        <f>Ringkasan!B1334</f>
        <v>Minna Padi Investama Sekuritas Tbk.</v>
      </c>
      <c r="C1335" s="65">
        <f>Ringkasan!C1334</f>
        <v>74</v>
      </c>
      <c r="D1335" s="64" t="str">
        <f>Ringkasan!D1334</f>
        <v>#N/A</v>
      </c>
      <c r="E1335" s="64" t="str">
        <f>Ringkasan!E1334</f>
        <v/>
      </c>
      <c r="F1335" s="64" t="str">
        <f>Ringkasan!F1334</f>
        <v/>
      </c>
      <c r="G1335" s="64">
        <f>Ringkasan!G1334</f>
        <v>0</v>
      </c>
      <c r="H1335" s="19">
        <f>Ringkasan!H1334</f>
        <v>110</v>
      </c>
      <c r="I1335" s="19">
        <f>Ringkasan!I1334</f>
        <v>6.3</v>
      </c>
      <c r="J1335" s="19">
        <f>Ringkasan!J1334</f>
        <v>5.7</v>
      </c>
      <c r="K1335" s="19">
        <f>Ringkasan!K1334</f>
        <v>4.4</v>
      </c>
      <c r="L1335" s="19">
        <f>Ringkasan!L1334</f>
        <v>0.29</v>
      </c>
      <c r="M1335" s="19">
        <f>Ringkasan!M1334</f>
        <v>67.6</v>
      </c>
      <c r="N1335" s="64" t="str">
        <f>Ringkasan!N1334</f>
        <v/>
      </c>
      <c r="O1335" s="64" t="str">
        <f>Ringkasan!O1334</f>
        <v/>
      </c>
      <c r="P1335" s="64" t="str">
        <f>Ringkasan!P1334</f>
        <v/>
      </c>
      <c r="Q1335" s="64" t="str">
        <f>Ringkasan!Q1334</f>
        <v/>
      </c>
      <c r="R1335" s="64" t="str">
        <f>Ringkasan!R1334</f>
        <v/>
      </c>
      <c r="S1335" s="64" t="str">
        <f>Ringkasan!S1334</f>
        <v/>
      </c>
      <c r="T1335" s="64" t="str">
        <f>Ringkasan!T1334</f>
        <v/>
      </c>
      <c r="U1335" s="64">
        <f>Ringkasan!U1334</f>
        <v>68</v>
      </c>
      <c r="V1335" s="64">
        <f>Ringkasan!V1334</f>
        <v>8.82</v>
      </c>
      <c r="W1335" s="64">
        <f>Ringkasan!W1334</f>
        <v>69</v>
      </c>
      <c r="X1335" s="64">
        <f>Ringkasan!X1334</f>
        <v>78</v>
      </c>
      <c r="Y1335" s="64">
        <f>Ringkasan!Y1334</f>
        <v>68</v>
      </c>
      <c r="Z1335" s="64">
        <f>Ringkasan!Z1334</f>
        <v>260888000</v>
      </c>
      <c r="AA1335" s="64" t="str">
        <f>Ringkasan!AA1334</f>
        <v>Investment Services</v>
      </c>
      <c r="AB1335" s="64" t="str">
        <f>Ringkasan!AB1334</f>
        <v>Financials</v>
      </c>
    </row>
    <row r="1336" hidden="1">
      <c r="A1336" s="64" t="str">
        <f>Ringkasan!A1335</f>
        <v>PALM</v>
      </c>
      <c r="B1336" s="64" t="str">
        <f>Ringkasan!B1335</f>
        <v>PT Provident Investasi Bersama Tbk</v>
      </c>
      <c r="C1336" s="65">
        <f>Ringkasan!C1335</f>
        <v>328</v>
      </c>
      <c r="D1336" s="64" t="str">
        <f>Ringkasan!D1335</f>
        <v>#N/A</v>
      </c>
      <c r="E1336" s="64" t="str">
        <f>Ringkasan!E1335</f>
        <v/>
      </c>
      <c r="F1336" s="64" t="str">
        <f>Ringkasan!F1335</f>
        <v/>
      </c>
      <c r="G1336" s="64">
        <f>Ringkasan!G1335</f>
        <v>0</v>
      </c>
      <c r="H1336" s="19">
        <f>Ringkasan!H1335</f>
        <v>0.96</v>
      </c>
      <c r="I1336" s="19">
        <f>Ringkasan!I1335</f>
        <v>0.65</v>
      </c>
      <c r="J1336" s="19">
        <f>Ringkasan!J1335</f>
        <v>67.7</v>
      </c>
      <c r="K1336" s="19">
        <f>Ringkasan!K1335</f>
        <v>48.5</v>
      </c>
      <c r="L1336" s="19">
        <f>Ringkasan!L1335</f>
        <v>0.4</v>
      </c>
      <c r="M1336" s="19">
        <f>Ringkasan!M1335</f>
        <v>140000</v>
      </c>
      <c r="N1336" s="64" t="str">
        <f>Ringkasan!N1335</f>
        <v/>
      </c>
      <c r="O1336" s="64" t="str">
        <f>Ringkasan!O1335</f>
        <v/>
      </c>
      <c r="P1336" s="64" t="str">
        <f>Ringkasan!P1335</f>
        <v/>
      </c>
      <c r="Q1336" s="64" t="str">
        <f>Ringkasan!Q1335</f>
        <v/>
      </c>
      <c r="R1336" s="64" t="str">
        <f>Ringkasan!R1335</f>
        <v/>
      </c>
      <c r="S1336" s="64" t="str">
        <f>Ringkasan!S1335</f>
        <v/>
      </c>
      <c r="T1336" s="64" t="str">
        <f>Ringkasan!T1335</f>
        <v/>
      </c>
      <c r="U1336" s="64">
        <f>Ringkasan!U1335</f>
        <v>155</v>
      </c>
      <c r="V1336" s="64">
        <f>Ringkasan!V1335</f>
        <v>-0.65</v>
      </c>
      <c r="W1336" s="64">
        <f>Ringkasan!W1335</f>
        <v>165</v>
      </c>
      <c r="X1336" s="64">
        <f>Ringkasan!X1335</f>
        <v>165</v>
      </c>
      <c r="Y1336" s="64">
        <f>Ringkasan!Y1335</f>
        <v>145</v>
      </c>
      <c r="Z1336" s="64">
        <f>Ringkasan!Z1335</f>
        <v>75433</v>
      </c>
      <c r="AA1336" s="64" t="str">
        <f>Ringkasan!AA1335</f>
        <v>Agricultural Products</v>
      </c>
      <c r="AB1336" s="64" t="str">
        <f>Ringkasan!AB1335</f>
        <v>Consumer Non-Cyclicals</v>
      </c>
    </row>
    <row r="1337" hidden="1">
      <c r="A1337" s="64" t="str">
        <f>Ringkasan!A1336</f>
        <v>PAMG</v>
      </c>
      <c r="B1337" s="64" t="str">
        <f>Ringkasan!B1336</f>
        <v>Bima Sakti Pertiwi Tbk.</v>
      </c>
      <c r="C1337" s="65">
        <f>Ringkasan!C1336</f>
        <v>51</v>
      </c>
      <c r="D1337" s="64" t="str">
        <f>Ringkasan!D1336</f>
        <v>#N/A</v>
      </c>
      <c r="E1337" s="64" t="str">
        <f>Ringkasan!E1336</f>
        <v/>
      </c>
      <c r="F1337" s="64" t="str">
        <f>Ringkasan!F1336</f>
        <v/>
      </c>
      <c r="G1337" s="64">
        <f>Ringkasan!G1336</f>
        <v>0</v>
      </c>
      <c r="H1337" s="19">
        <f>Ringkasan!H1336</f>
        <v>-340</v>
      </c>
      <c r="I1337" s="19">
        <f>Ringkasan!I1336</f>
        <v>0.38</v>
      </c>
      <c r="J1337" s="19">
        <f>Ringkasan!J1336</f>
        <v>-0.11</v>
      </c>
      <c r="K1337" s="19">
        <f>Ringkasan!K1336</f>
        <v>-0.08</v>
      </c>
      <c r="L1337" s="19">
        <f>Ringkasan!L1336</f>
        <v>0.38</v>
      </c>
      <c r="M1337" s="19">
        <f>Ringkasan!M1336</f>
        <v>-4.2</v>
      </c>
      <c r="N1337" s="64" t="str">
        <f>Ringkasan!N1336</f>
        <v/>
      </c>
      <c r="O1337" s="64" t="str">
        <f>Ringkasan!O1336</f>
        <v/>
      </c>
      <c r="P1337" s="64" t="str">
        <f>Ringkasan!P1336</f>
        <v/>
      </c>
      <c r="Q1337" s="64" t="str">
        <f>Ringkasan!Q1336</f>
        <v/>
      </c>
      <c r="R1337" s="64" t="str">
        <f>Ringkasan!R1336</f>
        <v/>
      </c>
      <c r="S1337" s="64" t="str">
        <f>Ringkasan!S1336</f>
        <v/>
      </c>
      <c r="T1337" s="64" t="str">
        <f>Ringkasan!T1336</f>
        <v/>
      </c>
      <c r="U1337" s="64">
        <f>Ringkasan!U1336</f>
        <v>50</v>
      </c>
      <c r="V1337" s="64">
        <f>Ringkasan!V1336</f>
        <v>2</v>
      </c>
      <c r="W1337" s="64">
        <f>Ringkasan!W1336</f>
        <v>50</v>
      </c>
      <c r="X1337" s="64">
        <f>Ringkasan!X1336</f>
        <v>53</v>
      </c>
      <c r="Y1337" s="64">
        <f>Ringkasan!Y1336</f>
        <v>50</v>
      </c>
      <c r="Z1337" s="64">
        <f>Ringkasan!Z1336</f>
        <v>6881100</v>
      </c>
      <c r="AA1337" s="64" t="str">
        <f>Ringkasan!AA1336</f>
        <v>Real Estate Management &amp; Development</v>
      </c>
      <c r="AB1337" s="64" t="str">
        <f>Ringkasan!AB1336</f>
        <v>Properties &amp; Real Estate</v>
      </c>
    </row>
    <row r="1338" hidden="1">
      <c r="A1338" s="64" t="str">
        <f>Ringkasan!A1337</f>
        <v>PANI</v>
      </c>
      <c r="B1338" s="64" t="str">
        <f>Ringkasan!B1337</f>
        <v>Pantai Indah Kapuk Dua Tbk.</v>
      </c>
      <c r="C1338" s="65">
        <f>Ringkasan!C1337</f>
        <v>6850</v>
      </c>
      <c r="D1338" s="64" t="str">
        <f>Ringkasan!D1337</f>
        <v>#N/A</v>
      </c>
      <c r="E1338" s="64" t="str">
        <f>Ringkasan!E1337</f>
        <v>ECONOMIC30</v>
      </c>
      <c r="F1338" s="64" t="str">
        <f>Ringkasan!F1337</f>
        <v>31 Agustus 2026</v>
      </c>
      <c r="G1338" s="64">
        <f>Ringkasan!G1337</f>
        <v>3</v>
      </c>
      <c r="H1338" s="19">
        <f>Ringkasan!H1337</f>
        <v>79.7</v>
      </c>
      <c r="I1338" s="19">
        <f>Ringkasan!I1337</f>
        <v>4.2</v>
      </c>
      <c r="J1338" s="19">
        <f>Ringkasan!J1337</f>
        <v>5.2</v>
      </c>
      <c r="K1338" s="19">
        <f>Ringkasan!K1337</f>
        <v>3.3</v>
      </c>
      <c r="L1338" s="19">
        <f>Ringkasan!L1337</f>
        <v>0.57</v>
      </c>
      <c r="M1338" s="19">
        <f>Ringkasan!M1337</f>
        <v>150</v>
      </c>
      <c r="N1338" s="64" t="str">
        <f>Ringkasan!N1337</f>
        <v/>
      </c>
      <c r="O1338" s="64" t="str">
        <f>Ringkasan!O1337</f>
        <v/>
      </c>
      <c r="P1338" s="64" t="str">
        <f>Ringkasan!P1337</f>
        <v/>
      </c>
      <c r="Q1338" s="64" t="str">
        <f>Ringkasan!Q1337</f>
        <v/>
      </c>
      <c r="R1338" s="64" t="str">
        <f>Ringkasan!R1337</f>
        <v/>
      </c>
      <c r="S1338" s="64" t="str">
        <f>Ringkasan!S1337</f>
        <v/>
      </c>
      <c r="T1338" s="64" t="str">
        <f>Ringkasan!T1337</f>
        <v/>
      </c>
      <c r="U1338" s="64">
        <f>Ringkasan!U1337</f>
        <v>6275</v>
      </c>
      <c r="V1338" s="64">
        <f>Ringkasan!V1337</f>
        <v>9.16</v>
      </c>
      <c r="W1338" s="64" t="str">
        <f>Ringkasan!W1337</f>
        <v/>
      </c>
      <c r="X1338" s="64">
        <f>Ringkasan!X1337</f>
        <v>6850</v>
      </c>
      <c r="Y1338" s="64">
        <f>Ringkasan!Y1337</f>
        <v>6300</v>
      </c>
      <c r="Z1338" s="64">
        <f>Ringkasan!Z1337</f>
        <v>5972800</v>
      </c>
      <c r="AA1338" s="64" t="str">
        <f>Ringkasan!AA1337</f>
        <v>Real Estate Management &amp; Development</v>
      </c>
      <c r="AB1338" s="64" t="str">
        <f>Ringkasan!AB1337</f>
        <v>Properties &amp; Real Estate</v>
      </c>
    </row>
    <row r="1339" hidden="1">
      <c r="A1339" s="64" t="str">
        <f>Ringkasan!A1338</f>
        <v>PANI</v>
      </c>
      <c r="B1339" s="64" t="str">
        <f>Ringkasan!B1338</f>
        <v>Pantai Indah Kapuk Dua Tbk.</v>
      </c>
      <c r="C1339" s="65">
        <f>Ringkasan!C1338</f>
        <v>6850</v>
      </c>
      <c r="D1339" s="64" t="str">
        <f>Ringkasan!D1338</f>
        <v>#N/A</v>
      </c>
      <c r="E1339" s="64" t="str">
        <f>Ringkasan!E1338</f>
        <v>Kompas100</v>
      </c>
      <c r="F1339" s="64" t="str">
        <f>Ringkasan!F1338</f>
        <v>31 Juli 2026</v>
      </c>
      <c r="G1339" s="64">
        <f>Ringkasan!G1338</f>
        <v>3</v>
      </c>
      <c r="H1339" s="19">
        <f>Ringkasan!H1338</f>
        <v>79.7</v>
      </c>
      <c r="I1339" s="19">
        <f>Ringkasan!I1338</f>
        <v>4.2</v>
      </c>
      <c r="J1339" s="19">
        <f>Ringkasan!J1338</f>
        <v>5.2</v>
      </c>
      <c r="K1339" s="19">
        <f>Ringkasan!K1338</f>
        <v>3.3</v>
      </c>
      <c r="L1339" s="19">
        <f>Ringkasan!L1338</f>
        <v>0.57</v>
      </c>
      <c r="M1339" s="19">
        <f>Ringkasan!M1338</f>
        <v>150</v>
      </c>
      <c r="N1339" s="64" t="str">
        <f>Ringkasan!N1338</f>
        <v/>
      </c>
      <c r="O1339" s="64" t="str">
        <f>Ringkasan!O1338</f>
        <v/>
      </c>
      <c r="P1339" s="64" t="str">
        <f>Ringkasan!P1338</f>
        <v/>
      </c>
      <c r="Q1339" s="64" t="str">
        <f>Ringkasan!Q1338</f>
        <v/>
      </c>
      <c r="R1339" s="64" t="str">
        <f>Ringkasan!R1338</f>
        <v/>
      </c>
      <c r="S1339" s="64" t="str">
        <f>Ringkasan!S1338</f>
        <v/>
      </c>
      <c r="T1339" s="64" t="str">
        <f>Ringkasan!T1338</f>
        <v/>
      </c>
      <c r="U1339" s="64">
        <f>Ringkasan!U1338</f>
        <v>6275</v>
      </c>
      <c r="V1339" s="64">
        <f>Ringkasan!V1338</f>
        <v>9.16</v>
      </c>
      <c r="W1339" s="64" t="str">
        <f>Ringkasan!W1338</f>
        <v/>
      </c>
      <c r="X1339" s="64">
        <f>Ringkasan!X1338</f>
        <v>6850</v>
      </c>
      <c r="Y1339" s="64">
        <f>Ringkasan!Y1338</f>
        <v>6300</v>
      </c>
      <c r="Z1339" s="64">
        <f>Ringkasan!Z1338</f>
        <v>5972800</v>
      </c>
      <c r="AA1339" s="64" t="str">
        <f>Ringkasan!AA1338</f>
        <v>Real Estate Management &amp; Development</v>
      </c>
      <c r="AB1339" s="64" t="str">
        <f>Ringkasan!AB1338</f>
        <v>Properties &amp; Real Estate</v>
      </c>
    </row>
    <row r="1340" hidden="1">
      <c r="A1340" s="64" t="str">
        <f>Ringkasan!A1339</f>
        <v>PANI</v>
      </c>
      <c r="B1340" s="64" t="str">
        <f>Ringkasan!B1339</f>
        <v>Pantai Indah Kapuk Dua Tbk.</v>
      </c>
      <c r="C1340" s="65">
        <f>Ringkasan!C1339</f>
        <v>6850</v>
      </c>
      <c r="D1340" s="64" t="str">
        <f>Ringkasan!D1339</f>
        <v>#N/A</v>
      </c>
      <c r="E1340" s="64" t="str">
        <f>Ringkasan!E1339</f>
        <v>IDX80</v>
      </c>
      <c r="F1340" s="64" t="str">
        <f>Ringkasan!F1339</f>
        <v>31 Juli 2026</v>
      </c>
      <c r="G1340" s="64">
        <f>Ringkasan!G1339</f>
        <v>3</v>
      </c>
      <c r="H1340" s="19">
        <f>Ringkasan!H1339</f>
        <v>79.7</v>
      </c>
      <c r="I1340" s="19">
        <f>Ringkasan!I1339</f>
        <v>4.2</v>
      </c>
      <c r="J1340" s="19">
        <f>Ringkasan!J1339</f>
        <v>5.2</v>
      </c>
      <c r="K1340" s="19">
        <f>Ringkasan!K1339</f>
        <v>3.3</v>
      </c>
      <c r="L1340" s="19">
        <f>Ringkasan!L1339</f>
        <v>0.57</v>
      </c>
      <c r="M1340" s="19">
        <f>Ringkasan!M1339</f>
        <v>150</v>
      </c>
      <c r="N1340" s="64" t="str">
        <f>Ringkasan!N1339</f>
        <v/>
      </c>
      <c r="O1340" s="64" t="str">
        <f>Ringkasan!O1339</f>
        <v/>
      </c>
      <c r="P1340" s="64" t="str">
        <f>Ringkasan!P1339</f>
        <v/>
      </c>
      <c r="Q1340" s="64" t="str">
        <f>Ringkasan!Q1339</f>
        <v/>
      </c>
      <c r="R1340" s="64" t="str">
        <f>Ringkasan!R1339</f>
        <v/>
      </c>
      <c r="S1340" s="64" t="str">
        <f>Ringkasan!S1339</f>
        <v/>
      </c>
      <c r="T1340" s="64" t="str">
        <f>Ringkasan!T1339</f>
        <v/>
      </c>
      <c r="U1340" s="64">
        <f>Ringkasan!U1339</f>
        <v>6275</v>
      </c>
      <c r="V1340" s="64">
        <f>Ringkasan!V1339</f>
        <v>9.16</v>
      </c>
      <c r="W1340" s="64" t="str">
        <f>Ringkasan!W1339</f>
        <v/>
      </c>
      <c r="X1340" s="64">
        <f>Ringkasan!X1339</f>
        <v>6850</v>
      </c>
      <c r="Y1340" s="64">
        <f>Ringkasan!Y1339</f>
        <v>6300</v>
      </c>
      <c r="Z1340" s="64">
        <f>Ringkasan!Z1339</f>
        <v>5972800</v>
      </c>
      <c r="AA1340" s="64" t="str">
        <f>Ringkasan!AA1339</f>
        <v>Real Estate Management &amp; Development</v>
      </c>
      <c r="AB1340" s="64" t="str">
        <f>Ringkasan!AB1339</f>
        <v>Properties &amp; Real Estate</v>
      </c>
    </row>
    <row r="1341" hidden="1">
      <c r="A1341" s="64" t="str">
        <f>Ringkasan!A1340</f>
        <v>PANR</v>
      </c>
      <c r="B1341" s="64" t="str">
        <f>Ringkasan!B1340</f>
        <v>Panorama Sentrawisata Tbk.</v>
      </c>
      <c r="C1341" s="65">
        <f>Ringkasan!C1340</f>
        <v>450</v>
      </c>
      <c r="D1341" s="64" t="str">
        <f>Ringkasan!D1340</f>
        <v>#N/A</v>
      </c>
      <c r="E1341" s="64" t="str">
        <f>Ringkasan!E1340</f>
        <v/>
      </c>
      <c r="F1341" s="64" t="str">
        <f>Ringkasan!F1340</f>
        <v/>
      </c>
      <c r="G1341" s="65">
        <f>Ringkasan!G1340</f>
        <v>0</v>
      </c>
      <c r="H1341" s="19">
        <f>Ringkasan!H1340</f>
        <v>7.4</v>
      </c>
      <c r="I1341" s="19">
        <f>Ringkasan!I1340</f>
        <v>0.52</v>
      </c>
      <c r="J1341" s="19">
        <f>Ringkasan!J1340</f>
        <v>7</v>
      </c>
      <c r="K1341" s="19">
        <f>Ringkasan!K1340</f>
        <v>4.4</v>
      </c>
      <c r="L1341" s="19">
        <f>Ringkasan!L1340</f>
        <v>0.59</v>
      </c>
      <c r="M1341" s="19">
        <f>Ringkasan!M1340</f>
        <v>9</v>
      </c>
      <c r="N1341" s="64" t="str">
        <f>Ringkasan!N1340</f>
        <v/>
      </c>
      <c r="O1341" s="64" t="str">
        <f>Ringkasan!O1340</f>
        <v/>
      </c>
      <c r="P1341" s="64" t="str">
        <f>Ringkasan!P1340</f>
        <v/>
      </c>
      <c r="Q1341" s="64" t="str">
        <f>Ringkasan!Q1340</f>
        <v/>
      </c>
      <c r="R1341" s="64" t="str">
        <f>Ringkasan!R1340</f>
        <v/>
      </c>
      <c r="S1341" s="64" t="str">
        <f>Ringkasan!S1340</f>
        <v/>
      </c>
      <c r="T1341" s="64" t="str">
        <f>Ringkasan!T1340</f>
        <v/>
      </c>
      <c r="U1341" s="64">
        <f>Ringkasan!U1340</f>
        <v>16.12</v>
      </c>
      <c r="V1341" s="64">
        <f>Ringkasan!V1340</f>
        <v>-1.92</v>
      </c>
      <c r="W1341" s="64">
        <f>Ringkasan!W1340</f>
        <v>15.75</v>
      </c>
      <c r="X1341" s="64">
        <f>Ringkasan!X1340</f>
        <v>16.15</v>
      </c>
      <c r="Y1341" s="64">
        <f>Ringkasan!Y1340</f>
        <v>14.79</v>
      </c>
      <c r="Z1341" s="64">
        <f>Ringkasan!Z1340</f>
        <v>4730612</v>
      </c>
      <c r="AA1341" s="64" t="str">
        <f>Ringkasan!AA1340</f>
        <v>Tourism &amp; Recreation</v>
      </c>
      <c r="AB1341" s="64" t="str">
        <f>Ringkasan!AB1340</f>
        <v>Consumer Cyclicals</v>
      </c>
    </row>
    <row r="1342" hidden="1">
      <c r="A1342" s="64" t="str">
        <f>Ringkasan!A1341</f>
        <v>PANS</v>
      </c>
      <c r="B1342" s="64" t="str">
        <f>Ringkasan!B1341</f>
        <v>Panin Sekuritas Tbk.</v>
      </c>
      <c r="C1342" s="65">
        <f>Ringkasan!C1341</f>
        <v>1675</v>
      </c>
      <c r="D1342" s="64" t="str">
        <f>Ringkasan!D1341</f>
        <v>#N/A</v>
      </c>
      <c r="E1342" s="64" t="str">
        <f>Ringkasan!E1341</f>
        <v/>
      </c>
      <c r="F1342" s="64" t="str">
        <f>Ringkasan!F1341</f>
        <v/>
      </c>
      <c r="G1342" s="64">
        <f>Ringkasan!G1341</f>
        <v>0</v>
      </c>
      <c r="H1342" s="19">
        <f>Ringkasan!H1341</f>
        <v>5.7</v>
      </c>
      <c r="I1342" s="19">
        <f>Ringkasan!I1341</f>
        <v>0.75</v>
      </c>
      <c r="J1342" s="19">
        <f>Ringkasan!J1341</f>
        <v>13.3</v>
      </c>
      <c r="K1342" s="19">
        <f>Ringkasan!K1341</f>
        <v>9.1</v>
      </c>
      <c r="L1342" s="19">
        <f>Ringkasan!L1341</f>
        <v>0.45</v>
      </c>
      <c r="M1342" s="19">
        <f>Ringkasan!M1341</f>
        <v>250</v>
      </c>
      <c r="N1342" s="64" t="str">
        <f>Ringkasan!N1341</f>
        <v/>
      </c>
      <c r="O1342" s="64" t="str">
        <f>Ringkasan!O1341</f>
        <v/>
      </c>
      <c r="P1342" s="64" t="str">
        <f>Ringkasan!P1341</f>
        <v/>
      </c>
      <c r="Q1342" s="64" t="str">
        <f>Ringkasan!Q1341</f>
        <v/>
      </c>
      <c r="R1342" s="64" t="str">
        <f>Ringkasan!R1341</f>
        <v/>
      </c>
      <c r="S1342" s="64" t="str">
        <f>Ringkasan!S1341</f>
        <v/>
      </c>
      <c r="T1342" s="64" t="str">
        <f>Ringkasan!T1341</f>
        <v/>
      </c>
      <c r="U1342" s="64">
        <f>Ringkasan!U1341</f>
        <v>1650</v>
      </c>
      <c r="V1342" s="64">
        <f>Ringkasan!V1341</f>
        <v>1.52</v>
      </c>
      <c r="W1342" s="64">
        <f>Ringkasan!W1341</f>
        <v>1645</v>
      </c>
      <c r="X1342" s="64">
        <f>Ringkasan!X1341</f>
        <v>1710</v>
      </c>
      <c r="Y1342" s="64">
        <f>Ringkasan!Y1341</f>
        <v>1645</v>
      </c>
      <c r="Z1342" s="64">
        <f>Ringkasan!Z1341</f>
        <v>159100</v>
      </c>
      <c r="AA1342" s="64" t="str">
        <f>Ringkasan!AA1341</f>
        <v>Investment Services</v>
      </c>
      <c r="AB1342" s="64" t="str">
        <f>Ringkasan!AB1341</f>
        <v>Financials</v>
      </c>
    </row>
    <row r="1343" hidden="1">
      <c r="A1343" s="64" t="str">
        <f>Ringkasan!A1342</f>
        <v>PART</v>
      </c>
      <c r="B1343" s="64" t="str">
        <f>Ringkasan!B1342</f>
        <v>Cipta Perdana Lancar Tbk.</v>
      </c>
      <c r="C1343" s="65">
        <f>Ringkasan!C1342</f>
        <v>100</v>
      </c>
      <c r="D1343" s="64" t="str">
        <f>Ringkasan!D1342</f>
        <v>#N/A</v>
      </c>
      <c r="E1343" s="64" t="str">
        <f>Ringkasan!E1342</f>
        <v/>
      </c>
      <c r="F1343" s="64" t="str">
        <f>Ringkasan!F1342</f>
        <v/>
      </c>
      <c r="G1343" s="64">
        <f>Ringkasan!G1342</f>
        <v>0</v>
      </c>
      <c r="H1343" s="19">
        <f>Ringkasan!H1342</f>
        <v>9</v>
      </c>
      <c r="I1343" s="19">
        <f>Ringkasan!I1342</f>
        <v>1.4</v>
      </c>
      <c r="J1343" s="19">
        <f>Ringkasan!J1342</f>
        <v>15.4</v>
      </c>
      <c r="K1343" s="19">
        <f>Ringkasan!K1342</f>
        <v>7.6</v>
      </c>
      <c r="L1343" s="19">
        <f>Ringkasan!L1342</f>
        <v>1</v>
      </c>
      <c r="M1343" s="19">
        <f>Ringkasan!M1342</f>
        <v>32.3</v>
      </c>
      <c r="N1343" s="64" t="str">
        <f>Ringkasan!N1342</f>
        <v/>
      </c>
      <c r="O1343" s="64" t="str">
        <f>Ringkasan!O1342</f>
        <v/>
      </c>
      <c r="P1343" s="64" t="str">
        <f>Ringkasan!P1342</f>
        <v/>
      </c>
      <c r="Q1343" s="64" t="str">
        <f>Ringkasan!Q1342</f>
        <v/>
      </c>
      <c r="R1343" s="64" t="str">
        <f>Ringkasan!R1342</f>
        <v/>
      </c>
      <c r="S1343" s="64" t="str">
        <f>Ringkasan!S1342</f>
        <v/>
      </c>
      <c r="T1343" s="64" t="str">
        <f>Ringkasan!T1342</f>
        <v/>
      </c>
      <c r="U1343" s="64">
        <f>Ringkasan!U1342</f>
        <v>80</v>
      </c>
      <c r="V1343" s="64">
        <f>Ringkasan!V1342</f>
        <v>25</v>
      </c>
      <c r="W1343" s="64">
        <f>Ringkasan!W1342</f>
        <v>83</v>
      </c>
      <c r="X1343" s="64">
        <f>Ringkasan!X1342</f>
        <v>104</v>
      </c>
      <c r="Y1343" s="64">
        <f>Ringkasan!Y1342</f>
        <v>80</v>
      </c>
      <c r="Z1343" s="64">
        <f>Ringkasan!Z1342</f>
        <v>27542300</v>
      </c>
      <c r="AA1343" s="64" t="str">
        <f>Ringkasan!AA1342</f>
        <v>Auto Components</v>
      </c>
      <c r="AB1343" s="64" t="str">
        <f>Ringkasan!AB1342</f>
        <v>Consumer Cyclicals</v>
      </c>
    </row>
    <row r="1344" hidden="1">
      <c r="A1344" s="64" t="str">
        <f>Ringkasan!A1343</f>
        <v>PBID</v>
      </c>
      <c r="B1344" s="64" t="str">
        <f>Ringkasan!B1343</f>
        <v>Panca Budi Idaman Tbk.</v>
      </c>
      <c r="C1344" s="65">
        <f>Ringkasan!C1343</f>
        <v>476</v>
      </c>
      <c r="D1344" s="64" t="str">
        <f>Ringkasan!D1343</f>
        <v>#N/A</v>
      </c>
      <c r="E1344" s="64" t="str">
        <f>Ringkasan!E1343</f>
        <v/>
      </c>
      <c r="F1344" s="64" t="str">
        <f>Ringkasan!F1343</f>
        <v/>
      </c>
      <c r="G1344" s="65">
        <f>Ringkasan!G1343</f>
        <v>0</v>
      </c>
      <c r="H1344" s="19">
        <f>Ringkasan!H1343</f>
        <v>8.8</v>
      </c>
      <c r="I1344" s="19">
        <f>Ringkasan!I1343</f>
        <v>1.2</v>
      </c>
      <c r="J1344" s="19">
        <f>Ringkasan!J1343</f>
        <v>13.8</v>
      </c>
      <c r="K1344" s="19">
        <f>Ringkasan!K1343</f>
        <v>11.6</v>
      </c>
      <c r="L1344" s="19">
        <f>Ringkasan!L1343</f>
        <v>0.19</v>
      </c>
      <c r="M1344" s="19">
        <f>Ringkasan!M1343</f>
        <v>32.8</v>
      </c>
      <c r="N1344" s="64" t="str">
        <f>Ringkasan!N1343</f>
        <v/>
      </c>
      <c r="O1344" s="64" t="str">
        <f>Ringkasan!O1343</f>
        <v/>
      </c>
      <c r="P1344" s="64" t="str">
        <f>Ringkasan!P1343</f>
        <v/>
      </c>
      <c r="Q1344" s="64" t="str">
        <f>Ringkasan!Q1343</f>
        <v/>
      </c>
      <c r="R1344" s="64" t="str">
        <f>Ringkasan!R1343</f>
        <v/>
      </c>
      <c r="S1344" s="64" t="str">
        <f>Ringkasan!S1343</f>
        <v/>
      </c>
      <c r="T1344" s="64" t="str">
        <f>Ringkasan!T1343</f>
        <v/>
      </c>
      <c r="U1344" s="64">
        <f>Ringkasan!U1343</f>
        <v>472</v>
      </c>
      <c r="V1344" s="64">
        <f>Ringkasan!V1343</f>
        <v>0.85</v>
      </c>
      <c r="W1344" s="64">
        <f>Ringkasan!W1343</f>
        <v>472</v>
      </c>
      <c r="X1344" s="64">
        <f>Ringkasan!X1343</f>
        <v>478</v>
      </c>
      <c r="Y1344" s="64">
        <f>Ringkasan!Y1343</f>
        <v>468</v>
      </c>
      <c r="Z1344" s="64">
        <f>Ringkasan!Z1343</f>
        <v>388900</v>
      </c>
      <c r="AA1344" s="64" t="str">
        <f>Ringkasan!AA1343</f>
        <v>Containers &amp; Packaging</v>
      </c>
      <c r="AB1344" s="64" t="str">
        <f>Ringkasan!AB1343</f>
        <v>Basic Materials</v>
      </c>
    </row>
    <row r="1345" hidden="1">
      <c r="A1345" s="64" t="str">
        <f>Ringkasan!A1344</f>
        <v>PBRX</v>
      </c>
      <c r="B1345" s="64" t="str">
        <f>Ringkasan!B1344</f>
        <v>Pan Brothers Tbk.</v>
      </c>
      <c r="C1345" s="65">
        <f>Ringkasan!C1344</f>
        <v>29</v>
      </c>
      <c r="D1345" s="64" t="str">
        <f>Ringkasan!D1344</f>
        <v>#N/A</v>
      </c>
      <c r="E1345" s="64" t="str">
        <f>Ringkasan!E1344</f>
        <v/>
      </c>
      <c r="F1345" s="64" t="str">
        <f>Ringkasan!F1344</f>
        <v/>
      </c>
      <c r="G1345" s="65">
        <f>Ringkasan!G1344</f>
        <v>0</v>
      </c>
      <c r="H1345" s="19">
        <f>Ringkasan!H1344</f>
        <v>-0.56</v>
      </c>
      <c r="I1345" s="19">
        <f>Ringkasan!I1344</f>
        <v>0.65</v>
      </c>
      <c r="J1345" s="19">
        <f>Ringkasan!J1344</f>
        <v>-120</v>
      </c>
      <c r="K1345" s="19">
        <f>Ringkasan!K1344</f>
        <v>-31.9</v>
      </c>
      <c r="L1345" s="19">
        <f>Ringkasan!L1344</f>
        <v>2.7</v>
      </c>
      <c r="M1345" s="19">
        <f>Ringkasan!M1344</f>
        <v>-120</v>
      </c>
      <c r="N1345" s="64" t="str">
        <f>Ringkasan!N1344</f>
        <v/>
      </c>
      <c r="O1345" s="64" t="str">
        <f>Ringkasan!O1344</f>
        <v/>
      </c>
      <c r="P1345" s="64" t="str">
        <f>Ringkasan!P1344</f>
        <v/>
      </c>
      <c r="Q1345" s="64" t="str">
        <f>Ringkasan!Q1344</f>
        <v/>
      </c>
      <c r="R1345" s="64" t="str">
        <f>Ringkasan!R1344</f>
        <v/>
      </c>
      <c r="S1345" s="64" t="str">
        <f>Ringkasan!S1344</f>
        <v/>
      </c>
      <c r="T1345" s="64" t="str">
        <f>Ringkasan!T1344</f>
        <v/>
      </c>
      <c r="U1345" s="64">
        <f>Ringkasan!U1344</f>
        <v>27</v>
      </c>
      <c r="V1345" s="64">
        <f>Ringkasan!V1344</f>
        <v>7.41</v>
      </c>
      <c r="W1345" s="64">
        <f>Ringkasan!W1344</f>
        <v>28</v>
      </c>
      <c r="X1345" s="64">
        <f>Ringkasan!X1344</f>
        <v>29</v>
      </c>
      <c r="Y1345" s="64">
        <f>Ringkasan!Y1344</f>
        <v>28</v>
      </c>
      <c r="Z1345" s="64">
        <f>Ringkasan!Z1344</f>
        <v>2795700</v>
      </c>
      <c r="AA1345" s="64" t="str">
        <f>Ringkasan!AA1344</f>
        <v>Apparel &amp; Luxury Goods</v>
      </c>
      <c r="AB1345" s="64" t="str">
        <f>Ringkasan!AB1344</f>
        <v>Consumer Cyclicals</v>
      </c>
    </row>
    <row r="1346" hidden="1">
      <c r="A1346" s="64" t="str">
        <f>Ringkasan!A1345</f>
        <v>PBSA</v>
      </c>
      <c r="B1346" s="64" t="str">
        <f>Ringkasan!B1345</f>
        <v>PT Paramita Bangun Sarana Tbk</v>
      </c>
      <c r="C1346" s="65">
        <f>Ringkasan!C1345</f>
        <v>710</v>
      </c>
      <c r="D1346" s="64" t="str">
        <f>Ringkasan!D1345</f>
        <v>#N/A</v>
      </c>
      <c r="E1346" s="64" t="str">
        <f>Ringkasan!E1345</f>
        <v/>
      </c>
      <c r="F1346" s="64" t="str">
        <f>Ringkasan!F1345</f>
        <v/>
      </c>
      <c r="G1346" s="64">
        <f>Ringkasan!G1345</f>
        <v>0</v>
      </c>
      <c r="H1346" s="19">
        <f>Ringkasan!H1345</f>
        <v>8.8</v>
      </c>
      <c r="I1346" s="19">
        <f>Ringkasan!I1345</f>
        <v>2.9</v>
      </c>
      <c r="J1346" s="19">
        <f>Ringkasan!J1345</f>
        <v>32.4</v>
      </c>
      <c r="K1346" s="19">
        <f>Ringkasan!K1345</f>
        <v>21.1</v>
      </c>
      <c r="L1346" s="19">
        <f>Ringkasan!L1345</f>
        <v>0.54</v>
      </c>
      <c r="M1346" s="19">
        <f>Ringkasan!M1345</f>
        <v>72</v>
      </c>
      <c r="N1346" s="64" t="str">
        <f>Ringkasan!N1345</f>
        <v/>
      </c>
      <c r="O1346" s="64" t="str">
        <f>Ringkasan!O1345</f>
        <v/>
      </c>
      <c r="P1346" s="64" t="str">
        <f>Ringkasan!P1345</f>
        <v/>
      </c>
      <c r="Q1346" s="64" t="str">
        <f>Ringkasan!Q1345</f>
        <v/>
      </c>
      <c r="R1346" s="64" t="str">
        <f>Ringkasan!R1345</f>
        <v/>
      </c>
      <c r="S1346" s="64" t="str">
        <f>Ringkasan!S1345</f>
        <v/>
      </c>
      <c r="T1346" s="64" t="str">
        <f>Ringkasan!T1345</f>
        <v/>
      </c>
      <c r="U1346" s="64">
        <f>Ringkasan!U1345</f>
        <v>695</v>
      </c>
      <c r="V1346" s="64">
        <f>Ringkasan!V1345</f>
        <v>2.16</v>
      </c>
      <c r="W1346" s="64">
        <f>Ringkasan!W1345</f>
        <v>695</v>
      </c>
      <c r="X1346" s="64">
        <f>Ringkasan!X1345</f>
        <v>750</v>
      </c>
      <c r="Y1346" s="64">
        <f>Ringkasan!Y1345</f>
        <v>695</v>
      </c>
      <c r="Z1346" s="64">
        <f>Ringkasan!Z1345</f>
        <v>501800</v>
      </c>
      <c r="AA1346" s="64" t="str">
        <f>Ringkasan!AA1345</f>
        <v>Heavy Constructions &amp; Civil Engineering</v>
      </c>
      <c r="AB1346" s="64" t="str">
        <f>Ringkasan!AB1345</f>
        <v>Infrastructures</v>
      </c>
    </row>
    <row r="1347" hidden="1">
      <c r="A1347" s="64" t="str">
        <f>Ringkasan!A1346</f>
        <v>PCAR</v>
      </c>
      <c r="B1347" s="64" t="str">
        <f>Ringkasan!B1346</f>
        <v>Prima Cakrawala Abadi Tbk.</v>
      </c>
      <c r="C1347" s="65">
        <f>Ringkasan!C1346</f>
        <v>39</v>
      </c>
      <c r="D1347" s="64" t="str">
        <f>Ringkasan!D1346</f>
        <v>#N/A</v>
      </c>
      <c r="E1347" s="64" t="str">
        <f>Ringkasan!E1346</f>
        <v/>
      </c>
      <c r="F1347" s="64" t="str">
        <f>Ringkasan!F1346</f>
        <v/>
      </c>
      <c r="G1347" s="64">
        <f>Ringkasan!G1346</f>
        <v>0</v>
      </c>
      <c r="H1347" s="19">
        <f>Ringkasan!H1346</f>
        <v>-3.6</v>
      </c>
      <c r="I1347" s="19">
        <f>Ringkasan!I1346</f>
        <v>0.74</v>
      </c>
      <c r="J1347" s="19">
        <f>Ringkasan!J1346</f>
        <v>-20.7</v>
      </c>
      <c r="K1347" s="19">
        <f>Ringkasan!K1346</f>
        <v>-13.9</v>
      </c>
      <c r="L1347" s="19">
        <f>Ringkasan!L1346</f>
        <v>0.49</v>
      </c>
      <c r="M1347" s="19">
        <f>Ringkasan!M1346</f>
        <v>-21</v>
      </c>
      <c r="N1347" s="64" t="str">
        <f>Ringkasan!N1346</f>
        <v/>
      </c>
      <c r="O1347" s="64" t="str">
        <f>Ringkasan!O1346</f>
        <v/>
      </c>
      <c r="P1347" s="64" t="str">
        <f>Ringkasan!P1346</f>
        <v/>
      </c>
      <c r="Q1347" s="64" t="str">
        <f>Ringkasan!Q1346</f>
        <v/>
      </c>
      <c r="R1347" s="64" t="str">
        <f>Ringkasan!R1346</f>
        <v/>
      </c>
      <c r="S1347" s="64" t="str">
        <f>Ringkasan!S1346</f>
        <v/>
      </c>
      <c r="T1347" s="64" t="str">
        <f>Ringkasan!T1346</f>
        <v/>
      </c>
      <c r="U1347" s="64">
        <f>Ringkasan!U1346</f>
        <v>117.58</v>
      </c>
      <c r="V1347" s="64">
        <f>Ringkasan!V1346</f>
        <v>0.8</v>
      </c>
      <c r="W1347" s="64">
        <f>Ringkasan!W1346</f>
        <v>118.25</v>
      </c>
      <c r="X1347" s="64">
        <f>Ringkasan!X1346</f>
        <v>119.1</v>
      </c>
      <c r="Y1347" s="64">
        <f>Ringkasan!Y1346</f>
        <v>117</v>
      </c>
      <c r="Z1347" s="64">
        <f>Ringkasan!Z1346</f>
        <v>2618234</v>
      </c>
      <c r="AA1347" s="64" t="str">
        <f>Ringkasan!AA1346</f>
        <v>Food &amp; Staples Retailing</v>
      </c>
      <c r="AB1347" s="64" t="str">
        <f>Ringkasan!AB1346</f>
        <v>Consumer Non-Cyclicals</v>
      </c>
    </row>
    <row r="1348" hidden="1">
      <c r="A1348" s="64" t="str">
        <f>Ringkasan!A1347</f>
        <v>PDES</v>
      </c>
      <c r="B1348" s="64" t="str">
        <f>Ringkasan!B1347</f>
        <v>Destinasi Tirta Nusantara Tbk</v>
      </c>
      <c r="C1348" s="65">
        <f>Ringkasan!C1347</f>
        <v>510</v>
      </c>
      <c r="D1348" s="64" t="str">
        <f>Ringkasan!D1347</f>
        <v>#N/A</v>
      </c>
      <c r="E1348" s="64" t="str">
        <f>Ringkasan!E1347</f>
        <v/>
      </c>
      <c r="F1348" s="64" t="str">
        <f>Ringkasan!F1347</f>
        <v/>
      </c>
      <c r="G1348" s="64">
        <f>Ringkasan!G1347</f>
        <v>0</v>
      </c>
      <c r="H1348" s="19">
        <f>Ringkasan!H1347</f>
        <v>11.3</v>
      </c>
      <c r="I1348" s="19">
        <f>Ringkasan!I1347</f>
        <v>2.9</v>
      </c>
      <c r="J1348" s="19">
        <f>Ringkasan!J1347</f>
        <v>25.7</v>
      </c>
      <c r="K1348" s="19">
        <f>Ringkasan!K1347</f>
        <v>9</v>
      </c>
      <c r="L1348" s="19">
        <f>Ringkasan!L1347</f>
        <v>1.9</v>
      </c>
      <c r="M1348" s="19">
        <f>Ringkasan!M1347</f>
        <v>15.5</v>
      </c>
      <c r="N1348" s="64" t="str">
        <f>Ringkasan!N1347</f>
        <v/>
      </c>
      <c r="O1348" s="64" t="str">
        <f>Ringkasan!O1347</f>
        <v/>
      </c>
      <c r="P1348" s="64" t="str">
        <f>Ringkasan!P1347</f>
        <v/>
      </c>
      <c r="Q1348" s="64" t="str">
        <f>Ringkasan!Q1347</f>
        <v/>
      </c>
      <c r="R1348" s="64" t="str">
        <f>Ringkasan!R1347</f>
        <v/>
      </c>
      <c r="S1348" s="64" t="str">
        <f>Ringkasan!S1347</f>
        <v/>
      </c>
      <c r="T1348" s="64" t="str">
        <f>Ringkasan!T1347</f>
        <v/>
      </c>
      <c r="U1348" s="64">
        <f>Ringkasan!U1347</f>
        <v>505</v>
      </c>
      <c r="V1348" s="64">
        <f>Ringkasan!V1347</f>
        <v>0.99</v>
      </c>
      <c r="W1348" s="64">
        <f>Ringkasan!W1347</f>
        <v>505</v>
      </c>
      <c r="X1348" s="64">
        <f>Ringkasan!X1347</f>
        <v>510</v>
      </c>
      <c r="Y1348" s="64">
        <f>Ringkasan!Y1347</f>
        <v>505</v>
      </c>
      <c r="Z1348" s="64">
        <f>Ringkasan!Z1347</f>
        <v>2900</v>
      </c>
      <c r="AA1348" s="64" t="str">
        <f>Ringkasan!AA1347</f>
        <v>Tourism &amp; Recreation</v>
      </c>
      <c r="AB1348" s="64" t="str">
        <f>Ringkasan!AB1347</f>
        <v>Consumer Cyclicals</v>
      </c>
    </row>
    <row r="1349" hidden="1">
      <c r="A1349" s="64" t="str">
        <f>Ringkasan!A1348</f>
        <v>PDPP</v>
      </c>
      <c r="B1349" s="64" t="str">
        <f>Ringkasan!B1348</f>
        <v>Primadaya Plastisindo Tbk.</v>
      </c>
      <c r="C1349" s="65">
        <f>Ringkasan!C1348</f>
        <v>254</v>
      </c>
      <c r="D1349" s="64" t="str">
        <f>Ringkasan!D1348</f>
        <v>#N/A</v>
      </c>
      <c r="E1349" s="64" t="str">
        <f>Ringkasan!E1348</f>
        <v/>
      </c>
      <c r="F1349" s="64" t="str">
        <f>Ringkasan!F1348</f>
        <v/>
      </c>
      <c r="G1349" s="64">
        <f>Ringkasan!G1348</f>
        <v>0</v>
      </c>
      <c r="H1349" s="19">
        <f>Ringkasan!H1348</f>
        <v>20.3</v>
      </c>
      <c r="I1349" s="19">
        <f>Ringkasan!I1348</f>
        <v>1.9</v>
      </c>
      <c r="J1349" s="19">
        <f>Ringkasan!J1348</f>
        <v>9.5</v>
      </c>
      <c r="K1349" s="19">
        <f>Ringkasan!K1348</f>
        <v>6.5</v>
      </c>
      <c r="L1349" s="19">
        <f>Ringkasan!L1348</f>
        <v>0.46</v>
      </c>
      <c r="M1349" s="19">
        <f>Ringkasan!M1348</f>
        <v>25.1</v>
      </c>
      <c r="N1349" s="64" t="str">
        <f>Ringkasan!N1348</f>
        <v/>
      </c>
      <c r="O1349" s="64" t="str">
        <f>Ringkasan!O1348</f>
        <v/>
      </c>
      <c r="P1349" s="64" t="str">
        <f>Ringkasan!P1348</f>
        <v/>
      </c>
      <c r="Q1349" s="64" t="str">
        <f>Ringkasan!Q1348</f>
        <v/>
      </c>
      <c r="R1349" s="64" t="str">
        <f>Ringkasan!R1348</f>
        <v/>
      </c>
      <c r="S1349" s="64" t="str">
        <f>Ringkasan!S1348</f>
        <v/>
      </c>
      <c r="T1349" s="64" t="str">
        <f>Ringkasan!T1348</f>
        <v/>
      </c>
      <c r="U1349" s="64">
        <f>Ringkasan!U1348</f>
        <v>244</v>
      </c>
      <c r="V1349" s="64">
        <f>Ringkasan!V1348</f>
        <v>4.1</v>
      </c>
      <c r="W1349" s="64">
        <f>Ringkasan!W1348</f>
        <v>268</v>
      </c>
      <c r="X1349" s="64">
        <f>Ringkasan!X1348</f>
        <v>268</v>
      </c>
      <c r="Y1349" s="64">
        <f>Ringkasan!Y1348</f>
        <v>242</v>
      </c>
      <c r="Z1349" s="64">
        <f>Ringkasan!Z1348</f>
        <v>192700</v>
      </c>
      <c r="AA1349" s="64" t="str">
        <f>Ringkasan!AA1348</f>
        <v>Containers &amp; Packaging</v>
      </c>
      <c r="AB1349" s="64" t="str">
        <f>Ringkasan!AB1348</f>
        <v>Basic Materials</v>
      </c>
    </row>
    <row r="1350" hidden="1">
      <c r="A1350" s="64" t="str">
        <f>Ringkasan!A1349</f>
        <v>PEGE</v>
      </c>
      <c r="B1350" s="64" t="str">
        <f>Ringkasan!B1349</f>
        <v>Panca Global Kapital Tbk.</v>
      </c>
      <c r="C1350" s="65">
        <f>Ringkasan!C1349</f>
        <v>105</v>
      </c>
      <c r="D1350" s="64" t="str">
        <f>Ringkasan!D1349</f>
        <v>#N/A</v>
      </c>
      <c r="E1350" s="64" t="str">
        <f>Ringkasan!E1349</f>
        <v/>
      </c>
      <c r="F1350" s="64" t="str">
        <f>Ringkasan!F1349</f>
        <v/>
      </c>
      <c r="G1350" s="64">
        <f>Ringkasan!G1349</f>
        <v>0</v>
      </c>
      <c r="H1350" s="19">
        <f>Ringkasan!H1349</f>
        <v>-6.5</v>
      </c>
      <c r="I1350" s="19">
        <f>Ringkasan!I1349</f>
        <v>2.3</v>
      </c>
      <c r="J1350" s="19">
        <f>Ringkasan!J1349</f>
        <v>-35.7</v>
      </c>
      <c r="K1350" s="19">
        <f>Ringkasan!K1349</f>
        <v>-30.6</v>
      </c>
      <c r="L1350" s="19">
        <f>Ringkasan!L1349</f>
        <v>0.17</v>
      </c>
      <c r="M1350" s="19">
        <f>Ringkasan!M1349</f>
        <v>0</v>
      </c>
      <c r="N1350" s="64" t="str">
        <f>Ringkasan!N1349</f>
        <v/>
      </c>
      <c r="O1350" s="64" t="str">
        <f>Ringkasan!O1349</f>
        <v/>
      </c>
      <c r="P1350" s="64" t="str">
        <f>Ringkasan!P1349</f>
        <v/>
      </c>
      <c r="Q1350" s="64" t="str">
        <f>Ringkasan!Q1349</f>
        <v/>
      </c>
      <c r="R1350" s="64" t="str">
        <f>Ringkasan!R1349</f>
        <v/>
      </c>
      <c r="S1350" s="64" t="str">
        <f>Ringkasan!S1349</f>
        <v/>
      </c>
      <c r="T1350" s="64" t="str">
        <f>Ringkasan!T1349</f>
        <v/>
      </c>
      <c r="U1350" s="64">
        <f>Ringkasan!U1349</f>
        <v>100</v>
      </c>
      <c r="V1350" s="64">
        <f>Ringkasan!V1349</f>
        <v>5</v>
      </c>
      <c r="W1350" s="64">
        <f>Ringkasan!W1349</f>
        <v>98</v>
      </c>
      <c r="X1350" s="64">
        <f>Ringkasan!X1349</f>
        <v>114</v>
      </c>
      <c r="Y1350" s="64">
        <f>Ringkasan!Y1349</f>
        <v>98</v>
      </c>
      <c r="Z1350" s="64">
        <f>Ringkasan!Z1349</f>
        <v>1424100</v>
      </c>
      <c r="AA1350" s="64" t="str">
        <f>Ringkasan!AA1349</f>
        <v>Holding &amp; Investment Companies</v>
      </c>
      <c r="AB1350" s="64" t="str">
        <f>Ringkasan!AB1349</f>
        <v>Financials</v>
      </c>
    </row>
    <row r="1351" hidden="1">
      <c r="A1351" s="64" t="str">
        <f>Ringkasan!A1350</f>
        <v>PEHA</v>
      </c>
      <c r="B1351" s="64" t="str">
        <f>Ringkasan!B1350</f>
        <v>Phapros Tbk.</v>
      </c>
      <c r="C1351" s="65">
        <f>Ringkasan!C1350</f>
        <v>244</v>
      </c>
      <c r="D1351" s="64" t="str">
        <f>Ringkasan!D1350</f>
        <v>#N/A</v>
      </c>
      <c r="E1351" s="64" t="str">
        <f>Ringkasan!E1350</f>
        <v/>
      </c>
      <c r="F1351" s="64" t="str">
        <f>Ringkasan!F1350</f>
        <v/>
      </c>
      <c r="G1351" s="64">
        <f>Ringkasan!G1350</f>
        <v>0</v>
      </c>
      <c r="H1351" s="19">
        <f>Ringkasan!H1350</f>
        <v>6.5</v>
      </c>
      <c r="I1351" s="19">
        <f>Ringkasan!I1350</f>
        <v>0.54</v>
      </c>
      <c r="J1351" s="19">
        <f>Ringkasan!J1350</f>
        <v>8.3</v>
      </c>
      <c r="K1351" s="19">
        <f>Ringkasan!K1350</f>
        <v>2.5</v>
      </c>
      <c r="L1351" s="19">
        <f>Ringkasan!L1350</f>
        <v>2.3</v>
      </c>
      <c r="M1351" s="19">
        <f>Ringkasan!M1350</f>
        <v>16</v>
      </c>
      <c r="N1351" s="64" t="str">
        <f>Ringkasan!N1350</f>
        <v/>
      </c>
      <c r="O1351" s="64" t="str">
        <f>Ringkasan!O1350</f>
        <v/>
      </c>
      <c r="P1351" s="64" t="str">
        <f>Ringkasan!P1350</f>
        <v/>
      </c>
      <c r="Q1351" s="64" t="str">
        <f>Ringkasan!Q1350</f>
        <v/>
      </c>
      <c r="R1351" s="64" t="str">
        <f>Ringkasan!R1350</f>
        <v/>
      </c>
      <c r="S1351" s="64" t="str">
        <f>Ringkasan!S1350</f>
        <v/>
      </c>
      <c r="T1351" s="64" t="str">
        <f>Ringkasan!T1350</f>
        <v/>
      </c>
      <c r="U1351" s="64">
        <f>Ringkasan!U1350</f>
        <v>230</v>
      </c>
      <c r="V1351" s="64">
        <f>Ringkasan!V1350</f>
        <v>6.09</v>
      </c>
      <c r="W1351" s="64">
        <f>Ringkasan!W1350</f>
        <v>238</v>
      </c>
      <c r="X1351" s="64">
        <f>Ringkasan!X1350</f>
        <v>264</v>
      </c>
      <c r="Y1351" s="64">
        <f>Ringkasan!Y1350</f>
        <v>234</v>
      </c>
      <c r="Z1351" s="64">
        <f>Ringkasan!Z1350</f>
        <v>361100</v>
      </c>
      <c r="AA1351" s="64" t="str">
        <f>Ringkasan!AA1350</f>
        <v>Pharmaceuticals</v>
      </c>
      <c r="AB1351" s="64" t="str">
        <f>Ringkasan!AB1350</f>
        <v>Healthcare</v>
      </c>
    </row>
    <row r="1352" hidden="1">
      <c r="A1352" s="64" t="str">
        <f>Ringkasan!A1351</f>
        <v>PEVE</v>
      </c>
      <c r="B1352" s="64" t="str">
        <f>Ringkasan!B1351</f>
        <v>PT Penta Valent Tbk</v>
      </c>
      <c r="C1352" s="65">
        <f>Ringkasan!C1351</f>
        <v>312</v>
      </c>
      <c r="D1352" s="64" t="str">
        <f>Ringkasan!D1351</f>
        <v>#N/A</v>
      </c>
      <c r="E1352" s="64" t="str">
        <f>Ringkasan!E1351</f>
        <v/>
      </c>
      <c r="F1352" s="64" t="str">
        <f>Ringkasan!F1351</f>
        <v/>
      </c>
      <c r="G1352" s="64">
        <f>Ringkasan!G1351</f>
        <v>0</v>
      </c>
      <c r="H1352" s="19">
        <f>Ringkasan!H1351</f>
        <v>10.5</v>
      </c>
      <c r="I1352" s="19">
        <f>Ringkasan!I1351</f>
        <v>1.6</v>
      </c>
      <c r="J1352" s="19">
        <f>Ringkasan!J1351</f>
        <v>15.5</v>
      </c>
      <c r="K1352" s="19">
        <f>Ringkasan!K1351</f>
        <v>4.1</v>
      </c>
      <c r="L1352" s="19">
        <f>Ringkasan!L1351</f>
        <v>2.8</v>
      </c>
      <c r="M1352" s="19">
        <f>Ringkasan!M1351</f>
        <v>6.4</v>
      </c>
      <c r="N1352" s="64" t="str">
        <f>Ringkasan!N1351</f>
        <v/>
      </c>
      <c r="O1352" s="64" t="str">
        <f>Ringkasan!O1351</f>
        <v/>
      </c>
      <c r="P1352" s="64" t="str">
        <f>Ringkasan!P1351</f>
        <v/>
      </c>
      <c r="Q1352" s="64" t="str">
        <f>Ringkasan!Q1351</f>
        <v/>
      </c>
      <c r="R1352" s="64" t="str">
        <f>Ringkasan!R1351</f>
        <v/>
      </c>
      <c r="S1352" s="64" t="str">
        <f>Ringkasan!S1351</f>
        <v/>
      </c>
      <c r="T1352" s="64" t="str">
        <f>Ringkasan!T1351</f>
        <v/>
      </c>
      <c r="U1352" s="64">
        <f>Ringkasan!U1351</f>
        <v>300</v>
      </c>
      <c r="V1352" s="64">
        <f>Ringkasan!V1351</f>
        <v>4</v>
      </c>
      <c r="W1352" s="64">
        <f>Ringkasan!W1351</f>
        <v>290</v>
      </c>
      <c r="X1352" s="64">
        <f>Ringkasan!X1351</f>
        <v>318</v>
      </c>
      <c r="Y1352" s="64">
        <f>Ringkasan!Y1351</f>
        <v>290</v>
      </c>
      <c r="Z1352" s="64">
        <f>Ringkasan!Z1351</f>
        <v>13700</v>
      </c>
      <c r="AA1352" s="64" t="str">
        <f>Ringkasan!AA1351</f>
        <v>Pharmaceuticals</v>
      </c>
      <c r="AB1352" s="64" t="str">
        <f>Ringkasan!AB1351</f>
        <v>Healthcare</v>
      </c>
    </row>
    <row r="1353" hidden="1">
      <c r="A1353" s="64" t="str">
        <f>Ringkasan!A1352</f>
        <v>PGAS</v>
      </c>
      <c r="B1353" s="64" t="str">
        <f>Ringkasan!B1352</f>
        <v>Perusahaan Gas Negara (Persero) Tbk.</v>
      </c>
      <c r="C1353" s="65">
        <f>Ringkasan!C1352</f>
        <v>1530</v>
      </c>
      <c r="D1353" s="64" t="str">
        <f>Ringkasan!D1352</f>
        <v>#N/A</v>
      </c>
      <c r="E1353" s="64" t="str">
        <f>Ringkasan!E1352</f>
        <v>ESGQKEHATI</v>
      </c>
      <c r="F1353" s="66">
        <f>Ringkasan!F1352</f>
        <v>46356</v>
      </c>
      <c r="G1353" s="64">
        <f>Ringkasan!G1352</f>
        <v>22</v>
      </c>
      <c r="H1353" s="19">
        <f>Ringkasan!H1352</f>
        <v>10.7</v>
      </c>
      <c r="I1353" s="19">
        <f>Ringkasan!I1352</f>
        <v>0.7</v>
      </c>
      <c r="J1353" s="19">
        <f>Ringkasan!J1352</f>
        <v>6.5</v>
      </c>
      <c r="K1353" s="19">
        <f>Ringkasan!K1352</f>
        <v>3.9</v>
      </c>
      <c r="L1353" s="19">
        <f>Ringkasan!L1352</f>
        <v>0.66</v>
      </c>
      <c r="M1353" s="19">
        <f>Ringkasan!M1352</f>
        <v>26.1</v>
      </c>
      <c r="N1353" s="64" t="str">
        <f>Ringkasan!N1352</f>
        <v/>
      </c>
      <c r="O1353" s="64" t="str">
        <f>Ringkasan!O1352</f>
        <v/>
      </c>
      <c r="P1353" s="64" t="str">
        <f>Ringkasan!P1352</f>
        <v/>
      </c>
      <c r="Q1353" s="64" t="str">
        <f>Ringkasan!Q1352</f>
        <v/>
      </c>
      <c r="R1353" s="64" t="str">
        <f>Ringkasan!R1352</f>
        <v/>
      </c>
      <c r="S1353" s="64" t="str">
        <f>Ringkasan!S1352</f>
        <v/>
      </c>
      <c r="T1353" s="64" t="str">
        <f>Ringkasan!T1352</f>
        <v/>
      </c>
      <c r="U1353" s="64">
        <f>Ringkasan!U1352</f>
        <v>1500</v>
      </c>
      <c r="V1353" s="64">
        <f>Ringkasan!V1352</f>
        <v>2</v>
      </c>
      <c r="W1353" s="64">
        <f>Ringkasan!W1352</f>
        <v>1550</v>
      </c>
      <c r="X1353" s="64">
        <f>Ringkasan!X1352</f>
        <v>1560</v>
      </c>
      <c r="Y1353" s="64">
        <f>Ringkasan!Y1352</f>
        <v>1510</v>
      </c>
      <c r="Z1353" s="64" t="str">
        <f>Ringkasan!Z1352</f>
        <v/>
      </c>
      <c r="AA1353" s="64" t="str">
        <f>Ringkasan!AA1352</f>
        <v>Oil &amp; Gas</v>
      </c>
      <c r="AB1353" s="64" t="str">
        <f>Ringkasan!AB1352</f>
        <v>Energy</v>
      </c>
    </row>
    <row r="1354" hidden="1">
      <c r="A1354" s="64" t="str">
        <f>Ringkasan!A1353</f>
        <v>PGAS</v>
      </c>
      <c r="B1354" s="64" t="str">
        <f>Ringkasan!B1353</f>
        <v>Perusahaan Gas Negara (Persero) Tbk.</v>
      </c>
      <c r="C1354" s="65">
        <f>Ringkasan!C1353</f>
        <v>1530</v>
      </c>
      <c r="D1354" s="64" t="str">
        <f>Ringkasan!D1353</f>
        <v>#N/A</v>
      </c>
      <c r="E1354" s="64" t="str">
        <f>Ringkasan!E1353</f>
        <v>IDXMESBUMN</v>
      </c>
      <c r="F1354" s="66">
        <f>Ringkasan!F1353</f>
        <v>46356</v>
      </c>
      <c r="G1354" s="64">
        <f>Ringkasan!G1353</f>
        <v>22</v>
      </c>
      <c r="H1354" s="19">
        <f>Ringkasan!H1353</f>
        <v>10.7</v>
      </c>
      <c r="I1354" s="19">
        <f>Ringkasan!I1353</f>
        <v>0.7</v>
      </c>
      <c r="J1354" s="19">
        <f>Ringkasan!J1353</f>
        <v>6.5</v>
      </c>
      <c r="K1354" s="19">
        <f>Ringkasan!K1353</f>
        <v>3.9</v>
      </c>
      <c r="L1354" s="19">
        <f>Ringkasan!L1353</f>
        <v>0.66</v>
      </c>
      <c r="M1354" s="19">
        <f>Ringkasan!M1353</f>
        <v>26.1</v>
      </c>
      <c r="N1354" s="64" t="str">
        <f>Ringkasan!N1353</f>
        <v/>
      </c>
      <c r="O1354" s="64" t="str">
        <f>Ringkasan!O1353</f>
        <v/>
      </c>
      <c r="P1354" s="64" t="str">
        <f>Ringkasan!P1353</f>
        <v/>
      </c>
      <c r="Q1354" s="64" t="str">
        <f>Ringkasan!Q1353</f>
        <v/>
      </c>
      <c r="R1354" s="64" t="str">
        <f>Ringkasan!R1353</f>
        <v/>
      </c>
      <c r="S1354" s="64" t="str">
        <f>Ringkasan!S1353</f>
        <v/>
      </c>
      <c r="T1354" s="64" t="str">
        <f>Ringkasan!T1353</f>
        <v/>
      </c>
      <c r="U1354" s="64">
        <f>Ringkasan!U1353</f>
        <v>1500</v>
      </c>
      <c r="V1354" s="64">
        <f>Ringkasan!V1353</f>
        <v>2</v>
      </c>
      <c r="W1354" s="64">
        <f>Ringkasan!W1353</f>
        <v>1550</v>
      </c>
      <c r="X1354" s="64">
        <f>Ringkasan!X1353</f>
        <v>1560</v>
      </c>
      <c r="Y1354" s="64">
        <f>Ringkasan!Y1353</f>
        <v>1510</v>
      </c>
      <c r="Z1354" s="64" t="str">
        <f>Ringkasan!Z1353</f>
        <v/>
      </c>
      <c r="AA1354" s="64" t="str">
        <f>Ringkasan!AA1353</f>
        <v>Oil &amp; Gas</v>
      </c>
      <c r="AB1354" s="64" t="str">
        <f>Ringkasan!AB1353</f>
        <v>Energy</v>
      </c>
    </row>
    <row r="1355" hidden="1">
      <c r="A1355" s="64" t="str">
        <f>Ringkasan!A1354</f>
        <v>PGAS</v>
      </c>
      <c r="B1355" s="64" t="str">
        <f>Ringkasan!B1354</f>
        <v>Perusahaan Gas Negara (Persero) Tbk.</v>
      </c>
      <c r="C1355" s="65">
        <f>Ringkasan!C1354</f>
        <v>1530</v>
      </c>
      <c r="D1355" s="64" t="str">
        <f>Ringkasan!D1354</f>
        <v>#N/A</v>
      </c>
      <c r="E1355" s="64" t="str">
        <f>Ringkasan!E1354</f>
        <v>IDXSHAGROW</v>
      </c>
      <c r="F1355" s="66">
        <f>Ringkasan!F1354</f>
        <v>46356</v>
      </c>
      <c r="G1355" s="64">
        <f>Ringkasan!G1354</f>
        <v>22</v>
      </c>
      <c r="H1355" s="19">
        <f>Ringkasan!H1354</f>
        <v>10.7</v>
      </c>
      <c r="I1355" s="19">
        <f>Ringkasan!I1354</f>
        <v>0.7</v>
      </c>
      <c r="J1355" s="19">
        <f>Ringkasan!J1354</f>
        <v>6.5</v>
      </c>
      <c r="K1355" s="19">
        <f>Ringkasan!K1354</f>
        <v>3.9</v>
      </c>
      <c r="L1355" s="19">
        <f>Ringkasan!L1354</f>
        <v>0.66</v>
      </c>
      <c r="M1355" s="19">
        <f>Ringkasan!M1354</f>
        <v>26.1</v>
      </c>
      <c r="N1355" s="64" t="str">
        <f>Ringkasan!N1354</f>
        <v/>
      </c>
      <c r="O1355" s="64" t="str">
        <f>Ringkasan!O1354</f>
        <v/>
      </c>
      <c r="P1355" s="64" t="str">
        <f>Ringkasan!P1354</f>
        <v/>
      </c>
      <c r="Q1355" s="64" t="str">
        <f>Ringkasan!Q1354</f>
        <v/>
      </c>
      <c r="R1355" s="64" t="str">
        <f>Ringkasan!R1354</f>
        <v/>
      </c>
      <c r="S1355" s="64" t="str">
        <f>Ringkasan!S1354</f>
        <v/>
      </c>
      <c r="T1355" s="64" t="str">
        <f>Ringkasan!T1354</f>
        <v/>
      </c>
      <c r="U1355" s="64">
        <f>Ringkasan!U1354</f>
        <v>1500</v>
      </c>
      <c r="V1355" s="64">
        <f>Ringkasan!V1354</f>
        <v>2</v>
      </c>
      <c r="W1355" s="64">
        <f>Ringkasan!W1354</f>
        <v>1550</v>
      </c>
      <c r="X1355" s="64">
        <f>Ringkasan!X1354</f>
        <v>1560</v>
      </c>
      <c r="Y1355" s="64">
        <f>Ringkasan!Y1354</f>
        <v>1510</v>
      </c>
      <c r="Z1355" s="64" t="str">
        <f>Ringkasan!Z1354</f>
        <v/>
      </c>
      <c r="AA1355" s="64" t="str">
        <f>Ringkasan!AA1354</f>
        <v>Oil &amp; Gas</v>
      </c>
      <c r="AB1355" s="64" t="str">
        <f>Ringkasan!AB1354</f>
        <v>Energy</v>
      </c>
    </row>
    <row r="1356" hidden="1">
      <c r="A1356" s="64" t="str">
        <f>Ringkasan!A1355</f>
        <v>PGAS</v>
      </c>
      <c r="B1356" s="64" t="str">
        <f>Ringkasan!B1355</f>
        <v>Perusahaan Gas Negara (Persero) Tbk.</v>
      </c>
      <c r="C1356" s="65">
        <f>Ringkasan!C1355</f>
        <v>1530</v>
      </c>
      <c r="D1356" s="64" t="str">
        <f>Ringkasan!D1355</f>
        <v>#N/A</v>
      </c>
      <c r="E1356" s="64" t="str">
        <f>Ringkasan!E1355</f>
        <v>Investor33</v>
      </c>
      <c r="F1356" s="66">
        <f>Ringkasan!F1355</f>
        <v>46356</v>
      </c>
      <c r="G1356" s="64">
        <f>Ringkasan!G1355</f>
        <v>22</v>
      </c>
      <c r="H1356" s="19">
        <f>Ringkasan!H1355</f>
        <v>10.7</v>
      </c>
      <c r="I1356" s="19">
        <f>Ringkasan!I1355</f>
        <v>0.7</v>
      </c>
      <c r="J1356" s="19">
        <f>Ringkasan!J1355</f>
        <v>6.5</v>
      </c>
      <c r="K1356" s="19">
        <f>Ringkasan!K1355</f>
        <v>3.9</v>
      </c>
      <c r="L1356" s="19">
        <f>Ringkasan!L1355</f>
        <v>0.66</v>
      </c>
      <c r="M1356" s="19">
        <f>Ringkasan!M1355</f>
        <v>26.1</v>
      </c>
      <c r="N1356" s="64" t="str">
        <f>Ringkasan!N1355</f>
        <v/>
      </c>
      <c r="O1356" s="64" t="str">
        <f>Ringkasan!O1355</f>
        <v/>
      </c>
      <c r="P1356" s="64" t="str">
        <f>Ringkasan!P1355</f>
        <v/>
      </c>
      <c r="Q1356" s="64" t="str">
        <f>Ringkasan!Q1355</f>
        <v/>
      </c>
      <c r="R1356" s="64" t="str">
        <f>Ringkasan!R1355</f>
        <v/>
      </c>
      <c r="S1356" s="64" t="str">
        <f>Ringkasan!S1355</f>
        <v/>
      </c>
      <c r="T1356" s="64" t="str">
        <f>Ringkasan!T1355</f>
        <v/>
      </c>
      <c r="U1356" s="64">
        <f>Ringkasan!U1355</f>
        <v>1500</v>
      </c>
      <c r="V1356" s="64">
        <f>Ringkasan!V1355</f>
        <v>2</v>
      </c>
      <c r="W1356" s="64">
        <f>Ringkasan!W1355</f>
        <v>1550</v>
      </c>
      <c r="X1356" s="64">
        <f>Ringkasan!X1355</f>
        <v>1560</v>
      </c>
      <c r="Y1356" s="64">
        <f>Ringkasan!Y1355</f>
        <v>1510</v>
      </c>
      <c r="Z1356" s="64" t="str">
        <f>Ringkasan!Z1355</f>
        <v/>
      </c>
      <c r="AA1356" s="64" t="str">
        <f>Ringkasan!AA1355</f>
        <v>Oil &amp; Gas</v>
      </c>
      <c r="AB1356" s="64" t="str">
        <f>Ringkasan!AB1355</f>
        <v>Energy</v>
      </c>
    </row>
    <row r="1357" hidden="1">
      <c r="A1357" s="64" t="str">
        <f>Ringkasan!A1356</f>
        <v>PGAS</v>
      </c>
      <c r="B1357" s="64" t="str">
        <f>Ringkasan!B1356</f>
        <v>Perusahaan Gas Negara (Persero) Tbk.</v>
      </c>
      <c r="C1357" s="65">
        <f>Ringkasan!C1356</f>
        <v>1530</v>
      </c>
      <c r="D1357" s="64" t="str">
        <f>Ringkasan!D1356</f>
        <v>#N/A</v>
      </c>
      <c r="E1357" s="64" t="str">
        <f>Ringkasan!E1356</f>
        <v>JII30</v>
      </c>
      <c r="F1357" s="66">
        <f>Ringkasan!F1356</f>
        <v>46356</v>
      </c>
      <c r="G1357" s="64">
        <f>Ringkasan!G1356</f>
        <v>22</v>
      </c>
      <c r="H1357" s="19">
        <f>Ringkasan!H1356</f>
        <v>10.7</v>
      </c>
      <c r="I1357" s="19">
        <f>Ringkasan!I1356</f>
        <v>0.7</v>
      </c>
      <c r="J1357" s="19">
        <f>Ringkasan!J1356</f>
        <v>6.5</v>
      </c>
      <c r="K1357" s="19">
        <f>Ringkasan!K1356</f>
        <v>3.9</v>
      </c>
      <c r="L1357" s="19">
        <f>Ringkasan!L1356</f>
        <v>0.66</v>
      </c>
      <c r="M1357" s="19">
        <f>Ringkasan!M1356</f>
        <v>26.1</v>
      </c>
      <c r="N1357" s="64" t="str">
        <f>Ringkasan!N1356</f>
        <v/>
      </c>
      <c r="O1357" s="64" t="str">
        <f>Ringkasan!O1356</f>
        <v/>
      </c>
      <c r="P1357" s="64" t="str">
        <f>Ringkasan!P1356</f>
        <v/>
      </c>
      <c r="Q1357" s="64" t="str">
        <f>Ringkasan!Q1356</f>
        <v/>
      </c>
      <c r="R1357" s="64" t="str">
        <f>Ringkasan!R1356</f>
        <v/>
      </c>
      <c r="S1357" s="64" t="str">
        <f>Ringkasan!S1356</f>
        <v/>
      </c>
      <c r="T1357" s="64" t="str">
        <f>Ringkasan!T1356</f>
        <v/>
      </c>
      <c r="U1357" s="64">
        <f>Ringkasan!U1356</f>
        <v>1500</v>
      </c>
      <c r="V1357" s="64">
        <f>Ringkasan!V1356</f>
        <v>2</v>
      </c>
      <c r="W1357" s="64">
        <f>Ringkasan!W1356</f>
        <v>1550</v>
      </c>
      <c r="X1357" s="64">
        <f>Ringkasan!X1356</f>
        <v>1560</v>
      </c>
      <c r="Y1357" s="64">
        <f>Ringkasan!Y1356</f>
        <v>1510</v>
      </c>
      <c r="Z1357" s="64" t="str">
        <f>Ringkasan!Z1356</f>
        <v/>
      </c>
      <c r="AA1357" s="64" t="str">
        <f>Ringkasan!AA1356</f>
        <v>Oil &amp; Gas</v>
      </c>
      <c r="AB1357" s="64" t="str">
        <f>Ringkasan!AB1356</f>
        <v>Energy</v>
      </c>
    </row>
    <row r="1358" hidden="1">
      <c r="A1358" s="64" t="str">
        <f>Ringkasan!A1357</f>
        <v>PGAS</v>
      </c>
      <c r="B1358" s="64" t="str">
        <f>Ringkasan!B1357</f>
        <v>Perusahaan Gas Negara (Persero) Tbk.</v>
      </c>
      <c r="C1358" s="65">
        <f>Ringkasan!C1357</f>
        <v>1530</v>
      </c>
      <c r="D1358" s="64" t="str">
        <f>Ringkasan!D1357</f>
        <v>#N/A</v>
      </c>
      <c r="E1358" s="64" t="str">
        <f>Ringkasan!E1357</f>
        <v>ESGSKEHATI</v>
      </c>
      <c r="F1358" s="66">
        <f>Ringkasan!F1357</f>
        <v>46356</v>
      </c>
      <c r="G1358" s="64">
        <f>Ringkasan!G1357</f>
        <v>22</v>
      </c>
      <c r="H1358" s="19">
        <f>Ringkasan!H1357</f>
        <v>10.7</v>
      </c>
      <c r="I1358" s="19">
        <f>Ringkasan!I1357</f>
        <v>0.7</v>
      </c>
      <c r="J1358" s="19">
        <f>Ringkasan!J1357</f>
        <v>6.5</v>
      </c>
      <c r="K1358" s="19">
        <f>Ringkasan!K1357</f>
        <v>3.9</v>
      </c>
      <c r="L1358" s="19">
        <f>Ringkasan!L1357</f>
        <v>0.66</v>
      </c>
      <c r="M1358" s="19">
        <f>Ringkasan!M1357</f>
        <v>26.1</v>
      </c>
      <c r="N1358" s="64" t="str">
        <f>Ringkasan!N1357</f>
        <v/>
      </c>
      <c r="O1358" s="64" t="str">
        <f>Ringkasan!O1357</f>
        <v/>
      </c>
      <c r="P1358" s="64" t="str">
        <f>Ringkasan!P1357</f>
        <v/>
      </c>
      <c r="Q1358" s="64" t="str">
        <f>Ringkasan!Q1357</f>
        <v/>
      </c>
      <c r="R1358" s="64" t="str">
        <f>Ringkasan!R1357</f>
        <v/>
      </c>
      <c r="S1358" s="64" t="str">
        <f>Ringkasan!S1357</f>
        <v/>
      </c>
      <c r="T1358" s="64" t="str">
        <f>Ringkasan!T1357</f>
        <v/>
      </c>
      <c r="U1358" s="64">
        <f>Ringkasan!U1357</f>
        <v>1500</v>
      </c>
      <c r="V1358" s="64">
        <f>Ringkasan!V1357</f>
        <v>2</v>
      </c>
      <c r="W1358" s="64">
        <f>Ringkasan!W1357</f>
        <v>1550</v>
      </c>
      <c r="X1358" s="64">
        <f>Ringkasan!X1357</f>
        <v>1560</v>
      </c>
      <c r="Y1358" s="64">
        <f>Ringkasan!Y1357</f>
        <v>1510</v>
      </c>
      <c r="Z1358" s="64" t="str">
        <f>Ringkasan!Z1357</f>
        <v/>
      </c>
      <c r="AA1358" s="64" t="str">
        <f>Ringkasan!AA1357</f>
        <v>Oil &amp; Gas</v>
      </c>
      <c r="AB1358" s="64" t="str">
        <f>Ringkasan!AB1357</f>
        <v>Energy</v>
      </c>
    </row>
    <row r="1359" hidden="1">
      <c r="A1359" s="64" t="str">
        <f>Ringkasan!A1358</f>
        <v>PGAS</v>
      </c>
      <c r="B1359" s="64" t="str">
        <f>Ringkasan!B1358</f>
        <v>Perusahaan Gas Negara (Persero) Tbk.</v>
      </c>
      <c r="C1359" s="65">
        <f>Ringkasan!C1358</f>
        <v>1530</v>
      </c>
      <c r="D1359" s="64" t="str">
        <f>Ringkasan!D1358</f>
        <v>#N/A</v>
      </c>
      <c r="E1359" s="64" t="str">
        <f>Ringkasan!E1358</f>
        <v>IDXHIDIV20</v>
      </c>
      <c r="F1359" s="64" t="str">
        <f>Ringkasan!F1358</f>
        <v>2 Februari 2027</v>
      </c>
      <c r="G1359" s="64">
        <f>Ringkasan!G1358</f>
        <v>22</v>
      </c>
      <c r="H1359" s="19">
        <f>Ringkasan!H1358</f>
        <v>10.7</v>
      </c>
      <c r="I1359" s="19">
        <f>Ringkasan!I1358</f>
        <v>0.7</v>
      </c>
      <c r="J1359" s="19">
        <f>Ringkasan!J1358</f>
        <v>6.5</v>
      </c>
      <c r="K1359" s="19">
        <f>Ringkasan!K1358</f>
        <v>3.9</v>
      </c>
      <c r="L1359" s="19">
        <f>Ringkasan!L1358</f>
        <v>0.66</v>
      </c>
      <c r="M1359" s="19">
        <f>Ringkasan!M1358</f>
        <v>26.1</v>
      </c>
      <c r="N1359" s="64" t="str">
        <f>Ringkasan!N1358</f>
        <v/>
      </c>
      <c r="O1359" s="64" t="str">
        <f>Ringkasan!O1358</f>
        <v/>
      </c>
      <c r="P1359" s="64" t="str">
        <f>Ringkasan!P1358</f>
        <v/>
      </c>
      <c r="Q1359" s="64" t="str">
        <f>Ringkasan!Q1358</f>
        <v/>
      </c>
      <c r="R1359" s="64" t="str">
        <f>Ringkasan!R1358</f>
        <v/>
      </c>
      <c r="S1359" s="64" t="str">
        <f>Ringkasan!S1358</f>
        <v/>
      </c>
      <c r="T1359" s="64" t="str">
        <f>Ringkasan!T1358</f>
        <v/>
      </c>
      <c r="U1359" s="64">
        <f>Ringkasan!U1358</f>
        <v>1500</v>
      </c>
      <c r="V1359" s="64">
        <f>Ringkasan!V1358</f>
        <v>2</v>
      </c>
      <c r="W1359" s="64">
        <f>Ringkasan!W1358</f>
        <v>1550</v>
      </c>
      <c r="X1359" s="64">
        <f>Ringkasan!X1358</f>
        <v>1560</v>
      </c>
      <c r="Y1359" s="64">
        <f>Ringkasan!Y1358</f>
        <v>1510</v>
      </c>
      <c r="Z1359" s="64" t="str">
        <f>Ringkasan!Z1358</f>
        <v/>
      </c>
      <c r="AA1359" s="64" t="str">
        <f>Ringkasan!AA1358</f>
        <v>Oil &amp; Gas</v>
      </c>
      <c r="AB1359" s="64" t="str">
        <f>Ringkasan!AB1358</f>
        <v>Energy</v>
      </c>
    </row>
    <row r="1360" hidden="1">
      <c r="A1360" s="64" t="str">
        <f>Ringkasan!A1359</f>
        <v>PGAS</v>
      </c>
      <c r="B1360" s="64" t="str">
        <f>Ringkasan!B1359</f>
        <v>Perusahaan Gas Negara (Persero) Tbk.</v>
      </c>
      <c r="C1360" s="65">
        <f>Ringkasan!C1359</f>
        <v>1530</v>
      </c>
      <c r="D1360" s="64" t="str">
        <f>Ringkasan!D1359</f>
        <v>#N/A</v>
      </c>
      <c r="E1360" s="64" t="str">
        <f>Ringkasan!E1359</f>
        <v>IDXG30</v>
      </c>
      <c r="F1360" s="64" t="str">
        <f>Ringkasan!F1359</f>
        <v>4 Agustus 2026</v>
      </c>
      <c r="G1360" s="64">
        <f>Ringkasan!G1359</f>
        <v>22</v>
      </c>
      <c r="H1360" s="19">
        <f>Ringkasan!H1359</f>
        <v>10.7</v>
      </c>
      <c r="I1360" s="19">
        <f>Ringkasan!I1359</f>
        <v>0.7</v>
      </c>
      <c r="J1360" s="19">
        <f>Ringkasan!J1359</f>
        <v>6.5</v>
      </c>
      <c r="K1360" s="19">
        <f>Ringkasan!K1359</f>
        <v>3.9</v>
      </c>
      <c r="L1360" s="19">
        <f>Ringkasan!L1359</f>
        <v>0.66</v>
      </c>
      <c r="M1360" s="19">
        <f>Ringkasan!M1359</f>
        <v>26.1</v>
      </c>
      <c r="N1360" s="64" t="str">
        <f>Ringkasan!N1359</f>
        <v/>
      </c>
      <c r="O1360" s="64" t="str">
        <f>Ringkasan!O1359</f>
        <v/>
      </c>
      <c r="P1360" s="64" t="str">
        <f>Ringkasan!P1359</f>
        <v/>
      </c>
      <c r="Q1360" s="64" t="str">
        <f>Ringkasan!Q1359</f>
        <v/>
      </c>
      <c r="R1360" s="64" t="str">
        <f>Ringkasan!R1359</f>
        <v/>
      </c>
      <c r="S1360" s="64" t="str">
        <f>Ringkasan!S1359</f>
        <v/>
      </c>
      <c r="T1360" s="64" t="str">
        <f>Ringkasan!T1359</f>
        <v/>
      </c>
      <c r="U1360" s="64">
        <f>Ringkasan!U1359</f>
        <v>1500</v>
      </c>
      <c r="V1360" s="64">
        <f>Ringkasan!V1359</f>
        <v>2</v>
      </c>
      <c r="W1360" s="64">
        <f>Ringkasan!W1359</f>
        <v>1550</v>
      </c>
      <c r="X1360" s="64">
        <f>Ringkasan!X1359</f>
        <v>1560</v>
      </c>
      <c r="Y1360" s="64">
        <f>Ringkasan!Y1359</f>
        <v>1510</v>
      </c>
      <c r="Z1360" s="64" t="str">
        <f>Ringkasan!Z1359</f>
        <v/>
      </c>
      <c r="AA1360" s="64" t="str">
        <f>Ringkasan!AA1359</f>
        <v>Oil &amp; Gas</v>
      </c>
      <c r="AB1360" s="64" t="str">
        <f>Ringkasan!AB1359</f>
        <v>Energy</v>
      </c>
    </row>
    <row r="1361" hidden="1">
      <c r="A1361" s="64" t="str">
        <f>Ringkasan!A1360</f>
        <v>PGAS</v>
      </c>
      <c r="B1361" s="64" t="str">
        <f>Ringkasan!B1360</f>
        <v>Perusahaan Gas Negara (Persero) Tbk.</v>
      </c>
      <c r="C1361" s="65">
        <f>Ringkasan!C1360</f>
        <v>1530</v>
      </c>
      <c r="D1361" s="64" t="str">
        <f>Ringkasan!D1360</f>
        <v>#N/A</v>
      </c>
      <c r="E1361" s="64" t="str">
        <f>Ringkasan!E1360</f>
        <v>IDXBUMN20</v>
      </c>
      <c r="F1361" s="64" t="str">
        <f>Ringkasan!F1360</f>
        <v>4 Agustus 2026</v>
      </c>
      <c r="G1361" s="64">
        <f>Ringkasan!G1360</f>
        <v>22</v>
      </c>
      <c r="H1361" s="19">
        <f>Ringkasan!H1360</f>
        <v>10.7</v>
      </c>
      <c r="I1361" s="19">
        <f>Ringkasan!I1360</f>
        <v>0.7</v>
      </c>
      <c r="J1361" s="19">
        <f>Ringkasan!J1360</f>
        <v>6.5</v>
      </c>
      <c r="K1361" s="19">
        <f>Ringkasan!K1360</f>
        <v>3.9</v>
      </c>
      <c r="L1361" s="19">
        <f>Ringkasan!L1360</f>
        <v>0.66</v>
      </c>
      <c r="M1361" s="19">
        <f>Ringkasan!M1360</f>
        <v>26.1</v>
      </c>
      <c r="N1361" s="64" t="str">
        <f>Ringkasan!N1360</f>
        <v/>
      </c>
      <c r="O1361" s="64" t="str">
        <f>Ringkasan!O1360</f>
        <v/>
      </c>
      <c r="P1361" s="64" t="str">
        <f>Ringkasan!P1360</f>
        <v/>
      </c>
      <c r="Q1361" s="64" t="str">
        <f>Ringkasan!Q1360</f>
        <v/>
      </c>
      <c r="R1361" s="64" t="str">
        <f>Ringkasan!R1360</f>
        <v/>
      </c>
      <c r="S1361" s="64" t="str">
        <f>Ringkasan!S1360</f>
        <v/>
      </c>
      <c r="T1361" s="64" t="str">
        <f>Ringkasan!T1360</f>
        <v/>
      </c>
      <c r="U1361" s="64">
        <f>Ringkasan!U1360</f>
        <v>1500</v>
      </c>
      <c r="V1361" s="64">
        <f>Ringkasan!V1360</f>
        <v>2</v>
      </c>
      <c r="W1361" s="64">
        <f>Ringkasan!W1360</f>
        <v>1550</v>
      </c>
      <c r="X1361" s="64">
        <f>Ringkasan!X1360</f>
        <v>1560</v>
      </c>
      <c r="Y1361" s="64">
        <f>Ringkasan!Y1360</f>
        <v>1510</v>
      </c>
      <c r="Z1361" s="64" t="str">
        <f>Ringkasan!Z1360</f>
        <v/>
      </c>
      <c r="AA1361" s="64" t="str">
        <f>Ringkasan!AA1360</f>
        <v>Oil &amp; Gas</v>
      </c>
      <c r="AB1361" s="64" t="str">
        <f>Ringkasan!AB1360</f>
        <v>Energy</v>
      </c>
    </row>
    <row r="1362" hidden="1">
      <c r="A1362" s="64" t="str">
        <f>Ringkasan!A1361</f>
        <v>PGAS</v>
      </c>
      <c r="B1362" s="64" t="str">
        <f>Ringkasan!B1361</f>
        <v>Perusahaan Gas Negara (Persero) Tbk.</v>
      </c>
      <c r="C1362" s="65">
        <f>Ringkasan!C1361</f>
        <v>1530</v>
      </c>
      <c r="D1362" s="64" t="str">
        <f>Ringkasan!D1361</f>
        <v>#N/A</v>
      </c>
      <c r="E1362" s="64" t="str">
        <f>Ringkasan!E1361</f>
        <v>Kompas100</v>
      </c>
      <c r="F1362" s="64" t="str">
        <f>Ringkasan!F1361</f>
        <v>31 Juli 2026</v>
      </c>
      <c r="G1362" s="64">
        <f>Ringkasan!G1361</f>
        <v>22</v>
      </c>
      <c r="H1362" s="19">
        <f>Ringkasan!H1361</f>
        <v>10.7</v>
      </c>
      <c r="I1362" s="19">
        <f>Ringkasan!I1361</f>
        <v>0.7</v>
      </c>
      <c r="J1362" s="19">
        <f>Ringkasan!J1361</f>
        <v>6.5</v>
      </c>
      <c r="K1362" s="19">
        <f>Ringkasan!K1361</f>
        <v>3.9</v>
      </c>
      <c r="L1362" s="19">
        <f>Ringkasan!L1361</f>
        <v>0.66</v>
      </c>
      <c r="M1362" s="19">
        <f>Ringkasan!M1361</f>
        <v>26.1</v>
      </c>
      <c r="N1362" s="64" t="str">
        <f>Ringkasan!N1361</f>
        <v/>
      </c>
      <c r="O1362" s="64" t="str">
        <f>Ringkasan!O1361</f>
        <v/>
      </c>
      <c r="P1362" s="64" t="str">
        <f>Ringkasan!P1361</f>
        <v/>
      </c>
      <c r="Q1362" s="64" t="str">
        <f>Ringkasan!Q1361</f>
        <v/>
      </c>
      <c r="R1362" s="64" t="str">
        <f>Ringkasan!R1361</f>
        <v/>
      </c>
      <c r="S1362" s="64" t="str">
        <f>Ringkasan!S1361</f>
        <v/>
      </c>
      <c r="T1362" s="64" t="str">
        <f>Ringkasan!T1361</f>
        <v/>
      </c>
      <c r="U1362" s="64">
        <f>Ringkasan!U1361</f>
        <v>1500</v>
      </c>
      <c r="V1362" s="64">
        <f>Ringkasan!V1361</f>
        <v>2</v>
      </c>
      <c r="W1362" s="64">
        <f>Ringkasan!W1361</f>
        <v>1550</v>
      </c>
      <c r="X1362" s="64">
        <f>Ringkasan!X1361</f>
        <v>1560</v>
      </c>
      <c r="Y1362" s="64">
        <f>Ringkasan!Y1361</f>
        <v>1510</v>
      </c>
      <c r="Z1362" s="64" t="str">
        <f>Ringkasan!Z1361</f>
        <v/>
      </c>
      <c r="AA1362" s="64" t="str">
        <f>Ringkasan!AA1361</f>
        <v>Oil &amp; Gas</v>
      </c>
      <c r="AB1362" s="64" t="str">
        <f>Ringkasan!AB1361</f>
        <v>Energy</v>
      </c>
    </row>
    <row r="1363" hidden="1">
      <c r="A1363" s="64" t="str">
        <f>Ringkasan!A1362</f>
        <v>PGAS</v>
      </c>
      <c r="B1363" s="64" t="str">
        <f>Ringkasan!B1362</f>
        <v>Perusahaan Gas Negara (Persero) Tbk.</v>
      </c>
      <c r="C1363" s="65">
        <f>Ringkasan!C1362</f>
        <v>1530</v>
      </c>
      <c r="D1363" s="64" t="str">
        <f>Ringkasan!D1362</f>
        <v>#N/A</v>
      </c>
      <c r="E1363" s="64" t="str">
        <f>Ringkasan!E1362</f>
        <v>LQ45</v>
      </c>
      <c r="F1363" s="64" t="str">
        <f>Ringkasan!F1362</f>
        <v>31 Juli 2026</v>
      </c>
      <c r="G1363" s="64">
        <f>Ringkasan!G1362</f>
        <v>22</v>
      </c>
      <c r="H1363" s="19">
        <f>Ringkasan!H1362</f>
        <v>10.7</v>
      </c>
      <c r="I1363" s="19">
        <f>Ringkasan!I1362</f>
        <v>0.7</v>
      </c>
      <c r="J1363" s="19">
        <f>Ringkasan!J1362</f>
        <v>6.5</v>
      </c>
      <c r="K1363" s="19">
        <f>Ringkasan!K1362</f>
        <v>3.9</v>
      </c>
      <c r="L1363" s="19">
        <f>Ringkasan!L1362</f>
        <v>0.66</v>
      </c>
      <c r="M1363" s="19">
        <f>Ringkasan!M1362</f>
        <v>26.1</v>
      </c>
      <c r="N1363" s="64" t="str">
        <f>Ringkasan!N1362</f>
        <v/>
      </c>
      <c r="O1363" s="64" t="str">
        <f>Ringkasan!O1362</f>
        <v/>
      </c>
      <c r="P1363" s="64" t="str">
        <f>Ringkasan!P1362</f>
        <v/>
      </c>
      <c r="Q1363" s="64" t="str">
        <f>Ringkasan!Q1362</f>
        <v/>
      </c>
      <c r="R1363" s="64" t="str">
        <f>Ringkasan!R1362</f>
        <v/>
      </c>
      <c r="S1363" s="64" t="str">
        <f>Ringkasan!S1362</f>
        <v/>
      </c>
      <c r="T1363" s="64" t="str">
        <f>Ringkasan!T1362</f>
        <v/>
      </c>
      <c r="U1363" s="64">
        <f>Ringkasan!U1362</f>
        <v>1500</v>
      </c>
      <c r="V1363" s="64">
        <f>Ringkasan!V1362</f>
        <v>2</v>
      </c>
      <c r="W1363" s="64">
        <f>Ringkasan!W1362</f>
        <v>1550</v>
      </c>
      <c r="X1363" s="64">
        <f>Ringkasan!X1362</f>
        <v>1560</v>
      </c>
      <c r="Y1363" s="64">
        <f>Ringkasan!Y1362</f>
        <v>1510</v>
      </c>
      <c r="Z1363" s="64" t="str">
        <f>Ringkasan!Z1362</f>
        <v/>
      </c>
      <c r="AA1363" s="64" t="str">
        <f>Ringkasan!AA1362</f>
        <v>Oil &amp; Gas</v>
      </c>
      <c r="AB1363" s="64" t="str">
        <f>Ringkasan!AB1362</f>
        <v>Energy</v>
      </c>
    </row>
    <row r="1364" hidden="1">
      <c r="A1364" s="64" t="str">
        <f>Ringkasan!A1363</f>
        <v>PGAS</v>
      </c>
      <c r="B1364" s="64" t="str">
        <f>Ringkasan!B1363</f>
        <v>Perusahaan Gas Negara (Persero) Tbk.</v>
      </c>
      <c r="C1364" s="65">
        <f>Ringkasan!C1363</f>
        <v>1530</v>
      </c>
      <c r="D1364" s="64" t="str">
        <f>Ringkasan!D1363</f>
        <v>#N/A</v>
      </c>
      <c r="E1364" s="64" t="str">
        <f>Ringkasan!E1363</f>
        <v>IDX80</v>
      </c>
      <c r="F1364" s="64" t="str">
        <f>Ringkasan!F1363</f>
        <v>31 Juli 2026</v>
      </c>
      <c r="G1364" s="64">
        <f>Ringkasan!G1363</f>
        <v>22</v>
      </c>
      <c r="H1364" s="19">
        <f>Ringkasan!H1363</f>
        <v>10.7</v>
      </c>
      <c r="I1364" s="19">
        <f>Ringkasan!I1363</f>
        <v>0.7</v>
      </c>
      <c r="J1364" s="19">
        <f>Ringkasan!J1363</f>
        <v>6.5</v>
      </c>
      <c r="K1364" s="19">
        <f>Ringkasan!K1363</f>
        <v>3.9</v>
      </c>
      <c r="L1364" s="19">
        <f>Ringkasan!L1363</f>
        <v>0.66</v>
      </c>
      <c r="M1364" s="19">
        <f>Ringkasan!M1363</f>
        <v>26.1</v>
      </c>
      <c r="N1364" s="64" t="str">
        <f>Ringkasan!N1363</f>
        <v/>
      </c>
      <c r="O1364" s="64" t="str">
        <f>Ringkasan!O1363</f>
        <v/>
      </c>
      <c r="P1364" s="64" t="str">
        <f>Ringkasan!P1363</f>
        <v/>
      </c>
      <c r="Q1364" s="64" t="str">
        <f>Ringkasan!Q1363</f>
        <v/>
      </c>
      <c r="R1364" s="64" t="str">
        <f>Ringkasan!R1363</f>
        <v/>
      </c>
      <c r="S1364" s="64" t="str">
        <f>Ringkasan!S1363</f>
        <v/>
      </c>
      <c r="T1364" s="64" t="str">
        <f>Ringkasan!T1363</f>
        <v/>
      </c>
      <c r="U1364" s="64">
        <f>Ringkasan!U1363</f>
        <v>1500</v>
      </c>
      <c r="V1364" s="64">
        <f>Ringkasan!V1363</f>
        <v>2</v>
      </c>
      <c r="W1364" s="64">
        <f>Ringkasan!W1363</f>
        <v>1550</v>
      </c>
      <c r="X1364" s="64">
        <f>Ringkasan!X1363</f>
        <v>1560</v>
      </c>
      <c r="Y1364" s="64">
        <f>Ringkasan!Y1363</f>
        <v>1510</v>
      </c>
      <c r="Z1364" s="64" t="str">
        <f>Ringkasan!Z1363</f>
        <v/>
      </c>
      <c r="AA1364" s="64" t="str">
        <f>Ringkasan!AA1363</f>
        <v>Oil &amp; Gas</v>
      </c>
      <c r="AB1364" s="64" t="str">
        <f>Ringkasan!AB1363</f>
        <v>Energy</v>
      </c>
    </row>
    <row r="1365" hidden="1">
      <c r="A1365" s="64" t="str">
        <f>Ringkasan!A1364</f>
        <v>PGAS</v>
      </c>
      <c r="B1365" s="64" t="str">
        <f>Ringkasan!B1364</f>
        <v>Perusahaan Gas Negara (Persero) Tbk.</v>
      </c>
      <c r="C1365" s="65">
        <f>Ringkasan!C1364</f>
        <v>1530</v>
      </c>
      <c r="D1365" s="64" t="str">
        <f>Ringkasan!D1364</f>
        <v>#N/A</v>
      </c>
      <c r="E1365" s="64" t="str">
        <f>Ringkasan!E1364</f>
        <v>IDX30</v>
      </c>
      <c r="F1365" s="64" t="str">
        <f>Ringkasan!F1364</f>
        <v>31 Juli 2026</v>
      </c>
      <c r="G1365" s="64">
        <f>Ringkasan!G1364</f>
        <v>22</v>
      </c>
      <c r="H1365" s="19">
        <f>Ringkasan!H1364</f>
        <v>10.7</v>
      </c>
      <c r="I1365" s="19">
        <f>Ringkasan!I1364</f>
        <v>0.7</v>
      </c>
      <c r="J1365" s="19">
        <f>Ringkasan!J1364</f>
        <v>6.5</v>
      </c>
      <c r="K1365" s="19">
        <f>Ringkasan!K1364</f>
        <v>3.9</v>
      </c>
      <c r="L1365" s="19">
        <f>Ringkasan!L1364</f>
        <v>0.66</v>
      </c>
      <c r="M1365" s="19">
        <f>Ringkasan!M1364</f>
        <v>26.1</v>
      </c>
      <c r="N1365" s="64" t="str">
        <f>Ringkasan!N1364</f>
        <v/>
      </c>
      <c r="O1365" s="64" t="str">
        <f>Ringkasan!O1364</f>
        <v/>
      </c>
      <c r="P1365" s="64" t="str">
        <f>Ringkasan!P1364</f>
        <v/>
      </c>
      <c r="Q1365" s="64" t="str">
        <f>Ringkasan!Q1364</f>
        <v/>
      </c>
      <c r="R1365" s="64" t="str">
        <f>Ringkasan!R1364</f>
        <v/>
      </c>
      <c r="S1365" s="64" t="str">
        <f>Ringkasan!S1364</f>
        <v/>
      </c>
      <c r="T1365" s="64" t="str">
        <f>Ringkasan!T1364</f>
        <v/>
      </c>
      <c r="U1365" s="64">
        <f>Ringkasan!U1364</f>
        <v>1500</v>
      </c>
      <c r="V1365" s="64">
        <f>Ringkasan!V1364</f>
        <v>2</v>
      </c>
      <c r="W1365" s="64">
        <f>Ringkasan!W1364</f>
        <v>1550</v>
      </c>
      <c r="X1365" s="64">
        <f>Ringkasan!X1364</f>
        <v>1560</v>
      </c>
      <c r="Y1365" s="64">
        <f>Ringkasan!Y1364</f>
        <v>1510</v>
      </c>
      <c r="Z1365" s="64" t="str">
        <f>Ringkasan!Z1364</f>
        <v/>
      </c>
      <c r="AA1365" s="64" t="str">
        <f>Ringkasan!AA1364</f>
        <v>Oil &amp; Gas</v>
      </c>
      <c r="AB1365" s="64" t="str">
        <f>Ringkasan!AB1364</f>
        <v>Energy</v>
      </c>
    </row>
    <row r="1366" hidden="1">
      <c r="A1366" s="64" t="str">
        <f>Ringkasan!A1365</f>
        <v>PGAS</v>
      </c>
      <c r="B1366" s="64" t="str">
        <f>Ringkasan!B1365</f>
        <v>Perusahaan Gas Negara (Persero) Tbk.</v>
      </c>
      <c r="C1366" s="65">
        <f>Ringkasan!C1365</f>
        <v>1530</v>
      </c>
      <c r="D1366" s="64" t="str">
        <f>Ringkasan!D1365</f>
        <v>#N/A</v>
      </c>
      <c r="E1366" s="64" t="str">
        <f>Ringkasan!E1365</f>
        <v>IDXV30</v>
      </c>
      <c r="F1366" s="64" t="str">
        <f>Ringkasan!F1365</f>
        <v>4 Agustus 2026</v>
      </c>
      <c r="G1366" s="64">
        <f>Ringkasan!G1365</f>
        <v>22</v>
      </c>
      <c r="H1366" s="19">
        <f>Ringkasan!H1365</f>
        <v>10.7</v>
      </c>
      <c r="I1366" s="19">
        <f>Ringkasan!I1365</f>
        <v>0.7</v>
      </c>
      <c r="J1366" s="19">
        <f>Ringkasan!J1365</f>
        <v>6.5</v>
      </c>
      <c r="K1366" s="19">
        <f>Ringkasan!K1365</f>
        <v>3.9</v>
      </c>
      <c r="L1366" s="19">
        <f>Ringkasan!L1365</f>
        <v>0.66</v>
      </c>
      <c r="M1366" s="19">
        <f>Ringkasan!M1365</f>
        <v>26.1</v>
      </c>
      <c r="N1366" s="64" t="str">
        <f>Ringkasan!N1365</f>
        <v/>
      </c>
      <c r="O1366" s="64" t="str">
        <f>Ringkasan!O1365</f>
        <v/>
      </c>
      <c r="P1366" s="64" t="str">
        <f>Ringkasan!P1365</f>
        <v/>
      </c>
      <c r="Q1366" s="64" t="str">
        <f>Ringkasan!Q1365</f>
        <v/>
      </c>
      <c r="R1366" s="64" t="str">
        <f>Ringkasan!R1365</f>
        <v/>
      </c>
      <c r="S1366" s="64" t="str">
        <f>Ringkasan!S1365</f>
        <v/>
      </c>
      <c r="T1366" s="64" t="str">
        <f>Ringkasan!T1365</f>
        <v/>
      </c>
      <c r="U1366" s="64">
        <f>Ringkasan!U1365</f>
        <v>1500</v>
      </c>
      <c r="V1366" s="64">
        <f>Ringkasan!V1365</f>
        <v>2</v>
      </c>
      <c r="W1366" s="64">
        <f>Ringkasan!W1365</f>
        <v>1550</v>
      </c>
      <c r="X1366" s="64">
        <f>Ringkasan!X1365</f>
        <v>1560</v>
      </c>
      <c r="Y1366" s="64">
        <f>Ringkasan!Y1365</f>
        <v>1510</v>
      </c>
      <c r="Z1366" s="64" t="str">
        <f>Ringkasan!Z1365</f>
        <v/>
      </c>
      <c r="AA1366" s="64" t="str">
        <f>Ringkasan!AA1365</f>
        <v>Oil &amp; Gas</v>
      </c>
      <c r="AB1366" s="64" t="str">
        <f>Ringkasan!AB1365</f>
        <v>Energy</v>
      </c>
    </row>
    <row r="1367" hidden="1">
      <c r="A1367" s="64" t="str">
        <f>Ringkasan!A1366</f>
        <v>PGAS</v>
      </c>
      <c r="B1367" s="64" t="str">
        <f>Ringkasan!B1366</f>
        <v>Perusahaan Gas Negara (Persero) Tbk.</v>
      </c>
      <c r="C1367" s="65">
        <f>Ringkasan!C1366</f>
        <v>1530</v>
      </c>
      <c r="D1367" s="64" t="str">
        <f>Ringkasan!D1366</f>
        <v>#N/A</v>
      </c>
      <c r="E1367" s="64" t="str">
        <f>Ringkasan!E1366</f>
        <v>SMINFRA18</v>
      </c>
      <c r="F1367" s="64" t="str">
        <f>Ringkasan!F1366</f>
        <v>30 Oktober 2026</v>
      </c>
      <c r="G1367" s="64">
        <f>Ringkasan!G1366</f>
        <v>22</v>
      </c>
      <c r="H1367" s="19">
        <f>Ringkasan!H1366</f>
        <v>10.7</v>
      </c>
      <c r="I1367" s="19">
        <f>Ringkasan!I1366</f>
        <v>0.7</v>
      </c>
      <c r="J1367" s="19">
        <f>Ringkasan!J1366</f>
        <v>6.5</v>
      </c>
      <c r="K1367" s="19">
        <f>Ringkasan!K1366</f>
        <v>3.9</v>
      </c>
      <c r="L1367" s="19">
        <f>Ringkasan!L1366</f>
        <v>0.66</v>
      </c>
      <c r="M1367" s="19">
        <f>Ringkasan!M1366</f>
        <v>26.1</v>
      </c>
      <c r="N1367" s="64" t="str">
        <f>Ringkasan!N1366</f>
        <v/>
      </c>
      <c r="O1367" s="64" t="str">
        <f>Ringkasan!O1366</f>
        <v/>
      </c>
      <c r="P1367" s="64" t="str">
        <f>Ringkasan!P1366</f>
        <v/>
      </c>
      <c r="Q1367" s="64" t="str">
        <f>Ringkasan!Q1366</f>
        <v/>
      </c>
      <c r="R1367" s="64" t="str">
        <f>Ringkasan!R1366</f>
        <v/>
      </c>
      <c r="S1367" s="64" t="str">
        <f>Ringkasan!S1366</f>
        <v/>
      </c>
      <c r="T1367" s="64" t="str">
        <f>Ringkasan!T1366</f>
        <v/>
      </c>
      <c r="U1367" s="64">
        <f>Ringkasan!U1366</f>
        <v>1500</v>
      </c>
      <c r="V1367" s="64">
        <f>Ringkasan!V1366</f>
        <v>2</v>
      </c>
      <c r="W1367" s="64">
        <f>Ringkasan!W1366</f>
        <v>1550</v>
      </c>
      <c r="X1367" s="64">
        <f>Ringkasan!X1366</f>
        <v>1560</v>
      </c>
      <c r="Y1367" s="64">
        <f>Ringkasan!Y1366</f>
        <v>1510</v>
      </c>
      <c r="Z1367" s="64" t="str">
        <f>Ringkasan!Z1366</f>
        <v/>
      </c>
      <c r="AA1367" s="64" t="str">
        <f>Ringkasan!AA1366</f>
        <v>Oil &amp; Gas</v>
      </c>
      <c r="AB1367" s="64" t="str">
        <f>Ringkasan!AB1366</f>
        <v>Energy</v>
      </c>
    </row>
    <row r="1368" hidden="1">
      <c r="A1368" s="64" t="str">
        <f>Ringkasan!A1367</f>
        <v>PGAS</v>
      </c>
      <c r="B1368" s="64" t="str">
        <f>Ringkasan!B1367</f>
        <v>Perusahaan Gas Negara (Persero) Tbk.</v>
      </c>
      <c r="C1368" s="65">
        <f>Ringkasan!C1367</f>
        <v>1530</v>
      </c>
      <c r="D1368" s="64" t="str">
        <f>Ringkasan!D1367</f>
        <v>#N/A</v>
      </c>
      <c r="E1368" s="64" t="str">
        <f>Ringkasan!E1367</f>
        <v>IDXVESTA28</v>
      </c>
      <c r="F1368" s="64" t="str">
        <f>Ringkasan!F1367</f>
        <v>31 Agustus 2026</v>
      </c>
      <c r="G1368" s="64">
        <f>Ringkasan!G1367</f>
        <v>22</v>
      </c>
      <c r="H1368" s="19">
        <f>Ringkasan!H1367</f>
        <v>10.7</v>
      </c>
      <c r="I1368" s="19">
        <f>Ringkasan!I1367</f>
        <v>0.7</v>
      </c>
      <c r="J1368" s="19">
        <f>Ringkasan!J1367</f>
        <v>6.5</v>
      </c>
      <c r="K1368" s="19">
        <f>Ringkasan!K1367</f>
        <v>3.9</v>
      </c>
      <c r="L1368" s="19">
        <f>Ringkasan!L1367</f>
        <v>0.66</v>
      </c>
      <c r="M1368" s="19">
        <f>Ringkasan!M1367</f>
        <v>26.1</v>
      </c>
      <c r="N1368" s="64" t="str">
        <f>Ringkasan!N1367</f>
        <v/>
      </c>
      <c r="O1368" s="64" t="str">
        <f>Ringkasan!O1367</f>
        <v/>
      </c>
      <c r="P1368" s="64" t="str">
        <f>Ringkasan!P1367</f>
        <v/>
      </c>
      <c r="Q1368" s="64" t="str">
        <f>Ringkasan!Q1367</f>
        <v/>
      </c>
      <c r="R1368" s="64" t="str">
        <f>Ringkasan!R1367</f>
        <v/>
      </c>
      <c r="S1368" s="64" t="str">
        <f>Ringkasan!S1367</f>
        <v/>
      </c>
      <c r="T1368" s="64" t="str">
        <f>Ringkasan!T1367</f>
        <v/>
      </c>
      <c r="U1368" s="64">
        <f>Ringkasan!U1367</f>
        <v>1500</v>
      </c>
      <c r="V1368" s="64">
        <f>Ringkasan!V1367</f>
        <v>2</v>
      </c>
      <c r="W1368" s="64">
        <f>Ringkasan!W1367</f>
        <v>1550</v>
      </c>
      <c r="X1368" s="64">
        <f>Ringkasan!X1367</f>
        <v>1560</v>
      </c>
      <c r="Y1368" s="64">
        <f>Ringkasan!Y1367</f>
        <v>1510</v>
      </c>
      <c r="Z1368" s="64" t="str">
        <f>Ringkasan!Z1367</f>
        <v/>
      </c>
      <c r="AA1368" s="64" t="str">
        <f>Ringkasan!AA1367</f>
        <v>Oil &amp; Gas</v>
      </c>
      <c r="AB1368" s="64" t="str">
        <f>Ringkasan!AB1367</f>
        <v>Energy</v>
      </c>
    </row>
    <row r="1369" hidden="1">
      <c r="A1369" s="64" t="str">
        <f>Ringkasan!A1368</f>
        <v>PGAS</v>
      </c>
      <c r="B1369" s="64" t="str">
        <f>Ringkasan!B1368</f>
        <v>Perusahaan Gas Negara (Persero) Tbk.</v>
      </c>
      <c r="C1369" s="65">
        <f>Ringkasan!C1368</f>
        <v>1530</v>
      </c>
      <c r="D1369" s="64" t="str">
        <f>Ringkasan!D1368</f>
        <v>#N/A</v>
      </c>
      <c r="E1369" s="64" t="str">
        <f>Ringkasan!E1368</f>
        <v>IDXSMC-LIQ</v>
      </c>
      <c r="F1369" s="64" t="str">
        <f>Ringkasan!F1368</f>
        <v>4 Agustus 2026</v>
      </c>
      <c r="G1369" s="64">
        <f>Ringkasan!G1368</f>
        <v>22</v>
      </c>
      <c r="H1369" s="19">
        <f>Ringkasan!H1368</f>
        <v>10.7</v>
      </c>
      <c r="I1369" s="19">
        <f>Ringkasan!I1368</f>
        <v>0.7</v>
      </c>
      <c r="J1369" s="19">
        <f>Ringkasan!J1368</f>
        <v>6.5</v>
      </c>
      <c r="K1369" s="19">
        <f>Ringkasan!K1368</f>
        <v>3.9</v>
      </c>
      <c r="L1369" s="19">
        <f>Ringkasan!L1368</f>
        <v>0.66</v>
      </c>
      <c r="M1369" s="19">
        <f>Ringkasan!M1368</f>
        <v>26.1</v>
      </c>
      <c r="N1369" s="64" t="str">
        <f>Ringkasan!N1368</f>
        <v/>
      </c>
      <c r="O1369" s="64" t="str">
        <f>Ringkasan!O1368</f>
        <v/>
      </c>
      <c r="P1369" s="64" t="str">
        <f>Ringkasan!P1368</f>
        <v/>
      </c>
      <c r="Q1369" s="64" t="str">
        <f>Ringkasan!Q1368</f>
        <v/>
      </c>
      <c r="R1369" s="64" t="str">
        <f>Ringkasan!R1368</f>
        <v/>
      </c>
      <c r="S1369" s="64" t="str">
        <f>Ringkasan!S1368</f>
        <v/>
      </c>
      <c r="T1369" s="64" t="str">
        <f>Ringkasan!T1368</f>
        <v/>
      </c>
      <c r="U1369" s="64">
        <f>Ringkasan!U1368</f>
        <v>1500</v>
      </c>
      <c r="V1369" s="64">
        <f>Ringkasan!V1368</f>
        <v>2</v>
      </c>
      <c r="W1369" s="64">
        <f>Ringkasan!W1368</f>
        <v>1550</v>
      </c>
      <c r="X1369" s="64">
        <f>Ringkasan!X1368</f>
        <v>1560</v>
      </c>
      <c r="Y1369" s="64">
        <f>Ringkasan!Y1368</f>
        <v>1510</v>
      </c>
      <c r="Z1369" s="64" t="str">
        <f>Ringkasan!Z1368</f>
        <v/>
      </c>
      <c r="AA1369" s="64" t="str">
        <f>Ringkasan!AA1368</f>
        <v>Oil &amp; Gas</v>
      </c>
      <c r="AB1369" s="64" t="str">
        <f>Ringkasan!AB1368</f>
        <v>Energy</v>
      </c>
    </row>
    <row r="1370" hidden="1">
      <c r="A1370" s="64" t="str">
        <f>Ringkasan!A1369</f>
        <v>PGAS</v>
      </c>
      <c r="B1370" s="64" t="str">
        <f>Ringkasan!B1369</f>
        <v>Perusahaan Gas Negara (Persero) Tbk.</v>
      </c>
      <c r="C1370" s="65">
        <f>Ringkasan!C1369</f>
        <v>1530</v>
      </c>
      <c r="D1370" s="64" t="str">
        <f>Ringkasan!D1369</f>
        <v>#N/A</v>
      </c>
      <c r="E1370" s="64" t="str">
        <f>Ringkasan!E1369</f>
        <v>BISNIS-27</v>
      </c>
      <c r="F1370" s="64" t="str">
        <f>Ringkasan!F1369</f>
        <v>30 Oktober 2026</v>
      </c>
      <c r="G1370" s="65">
        <f>Ringkasan!G1369</f>
        <v>22</v>
      </c>
      <c r="H1370" s="19">
        <f>Ringkasan!H1369</f>
        <v>10.7</v>
      </c>
      <c r="I1370" s="19">
        <f>Ringkasan!I1369</f>
        <v>0.7</v>
      </c>
      <c r="J1370" s="19">
        <f>Ringkasan!J1369</f>
        <v>6.5</v>
      </c>
      <c r="K1370" s="19">
        <f>Ringkasan!K1369</f>
        <v>3.9</v>
      </c>
      <c r="L1370" s="19">
        <f>Ringkasan!L1369</f>
        <v>0.66</v>
      </c>
      <c r="M1370" s="19">
        <f>Ringkasan!M1369</f>
        <v>26.1</v>
      </c>
      <c r="N1370" s="19" t="str">
        <f>Ringkasan!N1369</f>
        <v/>
      </c>
      <c r="O1370" s="19" t="str">
        <f>Ringkasan!O1369</f>
        <v/>
      </c>
      <c r="P1370" s="19" t="str">
        <f>Ringkasan!P1369</f>
        <v/>
      </c>
      <c r="Q1370" s="19" t="str">
        <f>Ringkasan!Q1369</f>
        <v/>
      </c>
      <c r="R1370" s="19" t="str">
        <f>Ringkasan!R1369</f>
        <v/>
      </c>
      <c r="S1370" s="19" t="str">
        <f>Ringkasan!S1369</f>
        <v/>
      </c>
      <c r="T1370" s="19" t="str">
        <f>Ringkasan!T1369</f>
        <v/>
      </c>
      <c r="U1370" s="64">
        <f>Ringkasan!U1369</f>
        <v>1500</v>
      </c>
      <c r="V1370" s="64">
        <f>Ringkasan!V1369</f>
        <v>2</v>
      </c>
      <c r="W1370" s="64">
        <f>Ringkasan!W1369</f>
        <v>1550</v>
      </c>
      <c r="X1370" s="64">
        <f>Ringkasan!X1369</f>
        <v>1560</v>
      </c>
      <c r="Y1370" s="64">
        <f>Ringkasan!Y1369</f>
        <v>1510</v>
      </c>
      <c r="Z1370" s="64" t="str">
        <f>Ringkasan!Z1369</f>
        <v/>
      </c>
      <c r="AA1370" s="64" t="str">
        <f>Ringkasan!AA1369</f>
        <v>Oil &amp; Gas</v>
      </c>
      <c r="AB1370" s="64" t="str">
        <f>Ringkasan!AB1369</f>
        <v>Energy</v>
      </c>
    </row>
    <row r="1371" hidden="1">
      <c r="A1371" s="64" t="str">
        <f>Ringkasan!A1370</f>
        <v>PGAS</v>
      </c>
      <c r="B1371" s="64" t="str">
        <f>Ringkasan!B1370</f>
        <v>Perusahaan Gas Negara (Persero) Tbk.</v>
      </c>
      <c r="C1371" s="65">
        <f>Ringkasan!C1370</f>
        <v>1530</v>
      </c>
      <c r="D1371" s="64" t="str">
        <f>Ringkasan!D1370</f>
        <v>#N/A</v>
      </c>
      <c r="E1371" s="64" t="str">
        <f>Ringkasan!E1370</f>
        <v>FTSE Large Cap</v>
      </c>
      <c r="F1371" s="64" t="str">
        <f>Ringkasan!F1370</f>
        <v>Juni 2026</v>
      </c>
      <c r="G1371" s="64">
        <f>Ringkasan!G1370</f>
        <v>22</v>
      </c>
      <c r="H1371" s="19">
        <f>Ringkasan!H1370</f>
        <v>10.7</v>
      </c>
      <c r="I1371" s="19">
        <f>Ringkasan!I1370</f>
        <v>0.7</v>
      </c>
      <c r="J1371" s="19">
        <f>Ringkasan!J1370</f>
        <v>6.5</v>
      </c>
      <c r="K1371" s="19">
        <f>Ringkasan!K1370</f>
        <v>3.9</v>
      </c>
      <c r="L1371" s="19">
        <f>Ringkasan!L1370</f>
        <v>0.66</v>
      </c>
      <c r="M1371" s="19">
        <f>Ringkasan!M1370</f>
        <v>26.1</v>
      </c>
      <c r="N1371" s="64" t="str">
        <f>Ringkasan!N1370</f>
        <v/>
      </c>
      <c r="O1371" s="64" t="str">
        <f>Ringkasan!O1370</f>
        <v/>
      </c>
      <c r="P1371" s="64" t="str">
        <f>Ringkasan!P1370</f>
        <v/>
      </c>
      <c r="Q1371" s="64" t="str">
        <f>Ringkasan!Q1370</f>
        <v/>
      </c>
      <c r="R1371" s="64" t="str">
        <f>Ringkasan!R1370</f>
        <v/>
      </c>
      <c r="S1371" s="64" t="str">
        <f>Ringkasan!S1370</f>
        <v/>
      </c>
      <c r="T1371" s="64" t="str">
        <f>Ringkasan!T1370</f>
        <v/>
      </c>
      <c r="U1371" s="64">
        <f>Ringkasan!U1370</f>
        <v>1500</v>
      </c>
      <c r="V1371" s="64">
        <f>Ringkasan!V1370</f>
        <v>2</v>
      </c>
      <c r="W1371" s="64">
        <f>Ringkasan!W1370</f>
        <v>1550</v>
      </c>
      <c r="X1371" s="64">
        <f>Ringkasan!X1370</f>
        <v>1560</v>
      </c>
      <c r="Y1371" s="64">
        <f>Ringkasan!Y1370</f>
        <v>1510</v>
      </c>
      <c r="Z1371" s="64" t="str">
        <f>Ringkasan!Z1370</f>
        <v/>
      </c>
      <c r="AA1371" s="64" t="str">
        <f>Ringkasan!AA1370</f>
        <v>Oil &amp; Gas</v>
      </c>
      <c r="AB1371" s="64" t="str">
        <f>Ringkasan!AB1370</f>
        <v>Energy</v>
      </c>
    </row>
    <row r="1372" hidden="1">
      <c r="A1372" s="64" t="str">
        <f>Ringkasan!A1371</f>
        <v>PGAS</v>
      </c>
      <c r="B1372" s="64" t="str">
        <f>Ringkasan!B1371</f>
        <v>Perusahaan Gas Negara (Persero) Tbk.</v>
      </c>
      <c r="C1372" s="65">
        <f>Ringkasan!C1371</f>
        <v>1530</v>
      </c>
      <c r="D1372" s="64" t="str">
        <f>Ringkasan!D1371</f>
        <v>#N/A</v>
      </c>
      <c r="E1372" s="64" t="str">
        <f>Ringkasan!E1371</f>
        <v>MSCI Small Cap</v>
      </c>
      <c r="F1372" s="64" t="str">
        <f>Ringkasan!F1371</f>
        <v>12 Agustus 2026</v>
      </c>
      <c r="G1372" s="64">
        <f>Ringkasan!G1371</f>
        <v>22</v>
      </c>
      <c r="H1372" s="19">
        <f>Ringkasan!H1371</f>
        <v>10.7</v>
      </c>
      <c r="I1372" s="19">
        <f>Ringkasan!I1371</f>
        <v>0.7</v>
      </c>
      <c r="J1372" s="19">
        <f>Ringkasan!J1371</f>
        <v>6.5</v>
      </c>
      <c r="K1372" s="19">
        <f>Ringkasan!K1371</f>
        <v>3.9</v>
      </c>
      <c r="L1372" s="19">
        <f>Ringkasan!L1371</f>
        <v>0.66</v>
      </c>
      <c r="M1372" s="19">
        <f>Ringkasan!M1371</f>
        <v>26.1</v>
      </c>
      <c r="N1372" s="64">
        <f>Ringkasan!N1371</f>
        <v>5.4</v>
      </c>
      <c r="O1372" s="64">
        <f>Ringkasan!O1371</f>
        <v>23.2</v>
      </c>
      <c r="P1372" s="64">
        <f>Ringkasan!P1371</f>
        <v>83</v>
      </c>
      <c r="Q1372" s="64">
        <f>Ringkasan!Q1371</f>
        <v>1.9</v>
      </c>
      <c r="R1372" s="64">
        <f>Ringkasan!R1371</f>
        <v>65.9</v>
      </c>
      <c r="S1372" s="64">
        <f>Ringkasan!S1371</f>
        <v>42.4</v>
      </c>
      <c r="T1372" s="64">
        <f>Ringkasan!T1371</f>
        <v>5.9</v>
      </c>
      <c r="U1372" s="64">
        <f>Ringkasan!U1371</f>
        <v>1500</v>
      </c>
      <c r="V1372" s="64">
        <f>Ringkasan!V1371</f>
        <v>2</v>
      </c>
      <c r="W1372" s="64">
        <f>Ringkasan!W1371</f>
        <v>1550</v>
      </c>
      <c r="X1372" s="64">
        <f>Ringkasan!X1371</f>
        <v>1560</v>
      </c>
      <c r="Y1372" s="64">
        <f>Ringkasan!Y1371</f>
        <v>1510</v>
      </c>
      <c r="Z1372" s="64" t="str">
        <f>Ringkasan!Z1371</f>
        <v/>
      </c>
      <c r="AA1372" s="64" t="str">
        <f>Ringkasan!AA1371</f>
        <v>Oil &amp; Gas</v>
      </c>
      <c r="AB1372" s="64" t="str">
        <f>Ringkasan!AB1371</f>
        <v>Energy</v>
      </c>
    </row>
    <row r="1373" hidden="1">
      <c r="A1373" s="64" t="str">
        <f>Ringkasan!A1372</f>
        <v>PGAS</v>
      </c>
      <c r="B1373" s="64" t="str">
        <f>Ringkasan!B1372</f>
        <v>Perusahaan Gas Negara (Persero) Tbk.</v>
      </c>
      <c r="C1373" s="65">
        <f>Ringkasan!C1372</f>
        <v>1530</v>
      </c>
      <c r="D1373" s="64" t="str">
        <f>Ringkasan!D1372</f>
        <v>#N/A</v>
      </c>
      <c r="E1373" s="64" t="str">
        <f>Ringkasan!E1372</f>
        <v>SRI-KEHATI</v>
      </c>
      <c r="F1373" s="66">
        <f>Ringkasan!F1372</f>
        <v>46356</v>
      </c>
      <c r="G1373" s="64">
        <f>Ringkasan!G1372</f>
        <v>22</v>
      </c>
      <c r="H1373" s="19">
        <f>Ringkasan!H1372</f>
        <v>10.7</v>
      </c>
      <c r="I1373" s="19">
        <f>Ringkasan!I1372</f>
        <v>0.7</v>
      </c>
      <c r="J1373" s="19">
        <f>Ringkasan!J1372</f>
        <v>6.5</v>
      </c>
      <c r="K1373" s="19">
        <f>Ringkasan!K1372</f>
        <v>3.9</v>
      </c>
      <c r="L1373" s="19">
        <f>Ringkasan!L1372</f>
        <v>0.66</v>
      </c>
      <c r="M1373" s="19">
        <f>Ringkasan!M1372</f>
        <v>26.1</v>
      </c>
      <c r="N1373" s="64" t="str">
        <f>Ringkasan!N1372</f>
        <v/>
      </c>
      <c r="O1373" s="64" t="str">
        <f>Ringkasan!O1372</f>
        <v/>
      </c>
      <c r="P1373" s="64" t="str">
        <f>Ringkasan!P1372</f>
        <v/>
      </c>
      <c r="Q1373" s="64" t="str">
        <f>Ringkasan!Q1372</f>
        <v/>
      </c>
      <c r="R1373" s="64" t="str">
        <f>Ringkasan!R1372</f>
        <v/>
      </c>
      <c r="S1373" s="64" t="str">
        <f>Ringkasan!S1372</f>
        <v/>
      </c>
      <c r="T1373" s="64" t="str">
        <f>Ringkasan!T1372</f>
        <v/>
      </c>
      <c r="U1373" s="64">
        <f>Ringkasan!U1372</f>
        <v>1500</v>
      </c>
      <c r="V1373" s="64">
        <f>Ringkasan!V1372</f>
        <v>2</v>
      </c>
      <c r="W1373" s="64">
        <f>Ringkasan!W1372</f>
        <v>1550</v>
      </c>
      <c r="X1373" s="64">
        <f>Ringkasan!X1372</f>
        <v>1560</v>
      </c>
      <c r="Y1373" s="64">
        <f>Ringkasan!Y1372</f>
        <v>1510</v>
      </c>
      <c r="Z1373" s="64" t="str">
        <f>Ringkasan!Z1372</f>
        <v/>
      </c>
      <c r="AA1373" s="64" t="str">
        <f>Ringkasan!AA1372</f>
        <v>Oil &amp; Gas</v>
      </c>
      <c r="AB1373" s="64" t="str">
        <f>Ringkasan!AB1372</f>
        <v>Energy</v>
      </c>
    </row>
    <row r="1374" hidden="1">
      <c r="A1374" s="64" t="str">
        <f>Ringkasan!A1373</f>
        <v>PGAS</v>
      </c>
      <c r="B1374" s="64" t="str">
        <f>Ringkasan!B1373</f>
        <v>Perusahaan Gas Negara (Persero) Tbk.</v>
      </c>
      <c r="C1374" s="65">
        <f>Ringkasan!C1373</f>
        <v>1530</v>
      </c>
      <c r="D1374" s="64" t="str">
        <f>Ringkasan!D1373</f>
        <v>#N/A</v>
      </c>
      <c r="E1374" s="64" t="str">
        <f>Ringkasan!E1373</f>
        <v>JII70</v>
      </c>
      <c r="F1374" s="66">
        <f>Ringkasan!F1373</f>
        <v>46356</v>
      </c>
      <c r="G1374" s="64">
        <f>Ringkasan!G1373</f>
        <v>22</v>
      </c>
      <c r="H1374" s="19">
        <f>Ringkasan!H1373</f>
        <v>10.7</v>
      </c>
      <c r="I1374" s="19">
        <f>Ringkasan!I1373</f>
        <v>0.7</v>
      </c>
      <c r="J1374" s="19">
        <f>Ringkasan!J1373</f>
        <v>6.5</v>
      </c>
      <c r="K1374" s="19">
        <f>Ringkasan!K1373</f>
        <v>3.9</v>
      </c>
      <c r="L1374" s="19">
        <f>Ringkasan!L1373</f>
        <v>0.66</v>
      </c>
      <c r="M1374" s="19">
        <f>Ringkasan!M1373</f>
        <v>26.1</v>
      </c>
      <c r="N1374" s="64" t="str">
        <f>Ringkasan!N1373</f>
        <v/>
      </c>
      <c r="O1374" s="64" t="str">
        <f>Ringkasan!O1373</f>
        <v/>
      </c>
      <c r="P1374" s="64" t="str">
        <f>Ringkasan!P1373</f>
        <v/>
      </c>
      <c r="Q1374" s="64" t="str">
        <f>Ringkasan!Q1373</f>
        <v/>
      </c>
      <c r="R1374" s="64" t="str">
        <f>Ringkasan!R1373</f>
        <v/>
      </c>
      <c r="S1374" s="64" t="str">
        <f>Ringkasan!S1373</f>
        <v/>
      </c>
      <c r="T1374" s="64" t="str">
        <f>Ringkasan!T1373</f>
        <v/>
      </c>
      <c r="U1374" s="64">
        <f>Ringkasan!U1373</f>
        <v>1500</v>
      </c>
      <c r="V1374" s="64">
        <f>Ringkasan!V1373</f>
        <v>2</v>
      </c>
      <c r="W1374" s="64">
        <f>Ringkasan!W1373</f>
        <v>1550</v>
      </c>
      <c r="X1374" s="64">
        <f>Ringkasan!X1373</f>
        <v>1560</v>
      </c>
      <c r="Y1374" s="64">
        <f>Ringkasan!Y1373</f>
        <v>1510</v>
      </c>
      <c r="Z1374" s="64" t="str">
        <f>Ringkasan!Z1373</f>
        <v/>
      </c>
      <c r="AA1374" s="64" t="str">
        <f>Ringkasan!AA1373</f>
        <v>Oil &amp; Gas</v>
      </c>
      <c r="AB1374" s="64" t="str">
        <f>Ringkasan!AB1373</f>
        <v>Energy</v>
      </c>
    </row>
    <row r="1375" hidden="1">
      <c r="A1375" s="64" t="str">
        <f>Ringkasan!A1374</f>
        <v>PGEO</v>
      </c>
      <c r="B1375" s="64" t="str">
        <f>Ringkasan!B1374</f>
        <v>PT Pertamina Geothermal Energy Tbk</v>
      </c>
      <c r="C1375" s="65">
        <f>Ringkasan!C1374</f>
        <v>865</v>
      </c>
      <c r="D1375" s="64" t="str">
        <f>Ringkasan!D1374</f>
        <v>#N/A</v>
      </c>
      <c r="E1375" s="64" t="str">
        <f>Ringkasan!E1374</f>
        <v>ESGQKEHATI</v>
      </c>
      <c r="F1375" s="66">
        <f>Ringkasan!F1374</f>
        <v>46356</v>
      </c>
      <c r="G1375" s="64">
        <f>Ringkasan!G1374</f>
        <v>13</v>
      </c>
      <c r="H1375" s="19">
        <f>Ringkasan!H1374</f>
        <v>14.8</v>
      </c>
      <c r="I1375" s="19">
        <f>Ringkasan!I1374</f>
        <v>1.1</v>
      </c>
      <c r="J1375" s="19">
        <f>Ringkasan!J1374</f>
        <v>7.1</v>
      </c>
      <c r="K1375" s="19">
        <f>Ringkasan!K1374</f>
        <v>4.9</v>
      </c>
      <c r="L1375" s="19">
        <f>Ringkasan!L1374</f>
        <v>0.46</v>
      </c>
      <c r="M1375" s="19">
        <f>Ringkasan!M1374</f>
        <v>130</v>
      </c>
      <c r="N1375" s="64" t="str">
        <f>Ringkasan!N1374</f>
        <v/>
      </c>
      <c r="O1375" s="64" t="str">
        <f>Ringkasan!O1374</f>
        <v/>
      </c>
      <c r="P1375" s="64" t="str">
        <f>Ringkasan!P1374</f>
        <v/>
      </c>
      <c r="Q1375" s="64" t="str">
        <f>Ringkasan!Q1374</f>
        <v/>
      </c>
      <c r="R1375" s="64" t="str">
        <f>Ringkasan!R1374</f>
        <v/>
      </c>
      <c r="S1375" s="64" t="str">
        <f>Ringkasan!S1374</f>
        <v/>
      </c>
      <c r="T1375" s="64" t="str">
        <f>Ringkasan!T1374</f>
        <v/>
      </c>
      <c r="U1375" s="64">
        <f>Ringkasan!U1374</f>
        <v>825</v>
      </c>
      <c r="V1375" s="64">
        <f>Ringkasan!V1374</f>
        <v>4.85</v>
      </c>
      <c r="W1375" s="64" t="str">
        <f>Ringkasan!W1374</f>
        <v/>
      </c>
      <c r="X1375" s="64">
        <f>Ringkasan!X1374</f>
        <v>875</v>
      </c>
      <c r="Y1375" s="64">
        <f>Ringkasan!Y1374</f>
        <v>840</v>
      </c>
      <c r="Z1375" s="64">
        <f>Ringkasan!Z1374</f>
        <v>11591300</v>
      </c>
      <c r="AA1375" s="64" t="str">
        <f>Ringkasan!AA1374</f>
        <v>Electric Utilities</v>
      </c>
      <c r="AB1375" s="64" t="str">
        <f>Ringkasan!AB1374</f>
        <v>Infrastructures</v>
      </c>
    </row>
    <row r="1376" hidden="1">
      <c r="A1376" s="64" t="str">
        <f>Ringkasan!A1375</f>
        <v>PGEO</v>
      </c>
      <c r="B1376" s="64" t="str">
        <f>Ringkasan!B1375</f>
        <v>PT Pertamina Geothermal Energy Tbk</v>
      </c>
      <c r="C1376" s="65">
        <f>Ringkasan!C1375</f>
        <v>865</v>
      </c>
      <c r="D1376" s="64" t="str">
        <f>Ringkasan!D1375</f>
        <v>#N/A</v>
      </c>
      <c r="E1376" s="64" t="str">
        <f>Ringkasan!E1375</f>
        <v>ESGSKEHATI</v>
      </c>
      <c r="F1376" s="66">
        <f>Ringkasan!F1375</f>
        <v>46356</v>
      </c>
      <c r="G1376" s="64">
        <f>Ringkasan!G1375</f>
        <v>13</v>
      </c>
      <c r="H1376" s="19">
        <f>Ringkasan!H1375</f>
        <v>14.8</v>
      </c>
      <c r="I1376" s="19">
        <f>Ringkasan!I1375</f>
        <v>1.1</v>
      </c>
      <c r="J1376" s="19">
        <f>Ringkasan!J1375</f>
        <v>7.1</v>
      </c>
      <c r="K1376" s="19">
        <f>Ringkasan!K1375</f>
        <v>4.9</v>
      </c>
      <c r="L1376" s="19">
        <f>Ringkasan!L1375</f>
        <v>0.46</v>
      </c>
      <c r="M1376" s="19">
        <f>Ringkasan!M1375</f>
        <v>130</v>
      </c>
      <c r="N1376" s="64" t="str">
        <f>Ringkasan!N1375</f>
        <v/>
      </c>
      <c r="O1376" s="64" t="str">
        <f>Ringkasan!O1375</f>
        <v/>
      </c>
      <c r="P1376" s="64" t="str">
        <f>Ringkasan!P1375</f>
        <v/>
      </c>
      <c r="Q1376" s="64" t="str">
        <f>Ringkasan!Q1375</f>
        <v/>
      </c>
      <c r="R1376" s="64" t="str">
        <f>Ringkasan!R1375</f>
        <v/>
      </c>
      <c r="S1376" s="64" t="str">
        <f>Ringkasan!S1375</f>
        <v/>
      </c>
      <c r="T1376" s="64" t="str">
        <f>Ringkasan!T1375</f>
        <v/>
      </c>
      <c r="U1376" s="64">
        <f>Ringkasan!U1375</f>
        <v>825</v>
      </c>
      <c r="V1376" s="64">
        <f>Ringkasan!V1375</f>
        <v>4.85</v>
      </c>
      <c r="W1376" s="64" t="str">
        <f>Ringkasan!W1375</f>
        <v/>
      </c>
      <c r="X1376" s="64">
        <f>Ringkasan!X1375</f>
        <v>875</v>
      </c>
      <c r="Y1376" s="64">
        <f>Ringkasan!Y1375</f>
        <v>840</v>
      </c>
      <c r="Z1376" s="64">
        <f>Ringkasan!Z1375</f>
        <v>11591300</v>
      </c>
      <c r="AA1376" s="64" t="str">
        <f>Ringkasan!AA1375</f>
        <v>Electric Utilities</v>
      </c>
      <c r="AB1376" s="64" t="str">
        <f>Ringkasan!AB1375</f>
        <v>Infrastructures</v>
      </c>
    </row>
    <row r="1377" hidden="1">
      <c r="A1377" s="64" t="str">
        <f>Ringkasan!A1376</f>
        <v>PGEO</v>
      </c>
      <c r="B1377" s="64" t="str">
        <f>Ringkasan!B1376</f>
        <v>PT Pertamina Geothermal Energy Tbk</v>
      </c>
      <c r="C1377" s="65">
        <f>Ringkasan!C1376</f>
        <v>865</v>
      </c>
      <c r="D1377" s="64" t="str">
        <f>Ringkasan!D1376</f>
        <v>#N/A</v>
      </c>
      <c r="E1377" s="64" t="str">
        <f>Ringkasan!E1376</f>
        <v>IDXQ30</v>
      </c>
      <c r="F1377" s="64" t="str">
        <f>Ringkasan!F1376</f>
        <v>4 Agustus 2026</v>
      </c>
      <c r="G1377" s="64">
        <f>Ringkasan!G1376</f>
        <v>13</v>
      </c>
      <c r="H1377" s="19">
        <f>Ringkasan!H1376</f>
        <v>14.8</v>
      </c>
      <c r="I1377" s="19">
        <f>Ringkasan!I1376</f>
        <v>1.1</v>
      </c>
      <c r="J1377" s="19">
        <f>Ringkasan!J1376</f>
        <v>7.1</v>
      </c>
      <c r="K1377" s="19">
        <f>Ringkasan!K1376</f>
        <v>4.9</v>
      </c>
      <c r="L1377" s="19">
        <f>Ringkasan!L1376</f>
        <v>0.46</v>
      </c>
      <c r="M1377" s="19">
        <f>Ringkasan!M1376</f>
        <v>130</v>
      </c>
      <c r="N1377" s="64" t="str">
        <f>Ringkasan!N1376</f>
        <v/>
      </c>
      <c r="O1377" s="64" t="str">
        <f>Ringkasan!O1376</f>
        <v/>
      </c>
      <c r="P1377" s="64" t="str">
        <f>Ringkasan!P1376</f>
        <v/>
      </c>
      <c r="Q1377" s="64" t="str">
        <f>Ringkasan!Q1376</f>
        <v/>
      </c>
      <c r="R1377" s="64" t="str">
        <f>Ringkasan!R1376</f>
        <v/>
      </c>
      <c r="S1377" s="64" t="str">
        <f>Ringkasan!S1376</f>
        <v/>
      </c>
      <c r="T1377" s="64" t="str">
        <f>Ringkasan!T1376</f>
        <v/>
      </c>
      <c r="U1377" s="64">
        <f>Ringkasan!U1376</f>
        <v>825</v>
      </c>
      <c r="V1377" s="64">
        <f>Ringkasan!V1376</f>
        <v>4.85</v>
      </c>
      <c r="W1377" s="64" t="str">
        <f>Ringkasan!W1376</f>
        <v/>
      </c>
      <c r="X1377" s="64">
        <f>Ringkasan!X1376</f>
        <v>875</v>
      </c>
      <c r="Y1377" s="64">
        <f>Ringkasan!Y1376</f>
        <v>840</v>
      </c>
      <c r="Z1377" s="64">
        <f>Ringkasan!Z1376</f>
        <v>11591300</v>
      </c>
      <c r="AA1377" s="64" t="str">
        <f>Ringkasan!AA1376</f>
        <v>Electric Utilities</v>
      </c>
      <c r="AB1377" s="64" t="str">
        <f>Ringkasan!AB1376</f>
        <v>Infrastructures</v>
      </c>
    </row>
    <row r="1378" hidden="1">
      <c r="A1378" s="64" t="str">
        <f>Ringkasan!A1377</f>
        <v>PGEO</v>
      </c>
      <c r="B1378" s="64" t="str">
        <f>Ringkasan!B1377</f>
        <v>PT Pertamina Geothermal Energy Tbk</v>
      </c>
      <c r="C1378" s="65">
        <f>Ringkasan!C1377</f>
        <v>865</v>
      </c>
      <c r="D1378" s="64" t="str">
        <f>Ringkasan!D1377</f>
        <v>#N/A</v>
      </c>
      <c r="E1378" s="64" t="str">
        <f>Ringkasan!E1377</f>
        <v>IDXBUMN20</v>
      </c>
      <c r="F1378" s="64" t="str">
        <f>Ringkasan!F1377</f>
        <v>4 Agustus 2026</v>
      </c>
      <c r="G1378" s="64">
        <f>Ringkasan!G1377</f>
        <v>13</v>
      </c>
      <c r="H1378" s="19">
        <f>Ringkasan!H1377</f>
        <v>14.8</v>
      </c>
      <c r="I1378" s="19">
        <f>Ringkasan!I1377</f>
        <v>1.1</v>
      </c>
      <c r="J1378" s="19">
        <f>Ringkasan!J1377</f>
        <v>7.1</v>
      </c>
      <c r="K1378" s="19">
        <f>Ringkasan!K1377</f>
        <v>4.9</v>
      </c>
      <c r="L1378" s="19">
        <f>Ringkasan!L1377</f>
        <v>0.46</v>
      </c>
      <c r="M1378" s="19">
        <f>Ringkasan!M1377</f>
        <v>130</v>
      </c>
      <c r="N1378" s="64" t="str">
        <f>Ringkasan!N1377</f>
        <v/>
      </c>
      <c r="O1378" s="64" t="str">
        <f>Ringkasan!O1377</f>
        <v/>
      </c>
      <c r="P1378" s="64" t="str">
        <f>Ringkasan!P1377</f>
        <v/>
      </c>
      <c r="Q1378" s="64" t="str">
        <f>Ringkasan!Q1377</f>
        <v/>
      </c>
      <c r="R1378" s="64" t="str">
        <f>Ringkasan!R1377</f>
        <v/>
      </c>
      <c r="S1378" s="64" t="str">
        <f>Ringkasan!S1377</f>
        <v/>
      </c>
      <c r="T1378" s="64" t="str">
        <f>Ringkasan!T1377</f>
        <v/>
      </c>
      <c r="U1378" s="64">
        <f>Ringkasan!U1377</f>
        <v>825</v>
      </c>
      <c r="V1378" s="64">
        <f>Ringkasan!V1377</f>
        <v>4.85</v>
      </c>
      <c r="W1378" s="64" t="str">
        <f>Ringkasan!W1377</f>
        <v/>
      </c>
      <c r="X1378" s="64">
        <f>Ringkasan!X1377</f>
        <v>875</v>
      </c>
      <c r="Y1378" s="64">
        <f>Ringkasan!Y1377</f>
        <v>840</v>
      </c>
      <c r="Z1378" s="64">
        <f>Ringkasan!Z1377</f>
        <v>11591300</v>
      </c>
      <c r="AA1378" s="64" t="str">
        <f>Ringkasan!AA1377</f>
        <v>Electric Utilities</v>
      </c>
      <c r="AB1378" s="64" t="str">
        <f>Ringkasan!AB1377</f>
        <v>Infrastructures</v>
      </c>
    </row>
    <row r="1379" hidden="1">
      <c r="A1379" s="64" t="str">
        <f>Ringkasan!A1378</f>
        <v>PGEO</v>
      </c>
      <c r="B1379" s="64" t="str">
        <f>Ringkasan!B1378</f>
        <v>PT Pertamina Geothermal Energy Tbk</v>
      </c>
      <c r="C1379" s="65">
        <f>Ringkasan!C1378</f>
        <v>865</v>
      </c>
      <c r="D1379" s="64" t="str">
        <f>Ringkasan!D1378</f>
        <v>#N/A</v>
      </c>
      <c r="E1379" s="64" t="str">
        <f>Ringkasan!E1378</f>
        <v>IDX30</v>
      </c>
      <c r="F1379" s="64" t="str">
        <f>Ringkasan!F1378</f>
        <v>31 Juli 2026</v>
      </c>
      <c r="G1379" s="64">
        <f>Ringkasan!G1378</f>
        <v>13</v>
      </c>
      <c r="H1379" s="19">
        <f>Ringkasan!H1378</f>
        <v>14.8</v>
      </c>
      <c r="I1379" s="19">
        <f>Ringkasan!I1378</f>
        <v>1.1</v>
      </c>
      <c r="J1379" s="19">
        <f>Ringkasan!J1378</f>
        <v>7.1</v>
      </c>
      <c r="K1379" s="19">
        <f>Ringkasan!K1378</f>
        <v>4.9</v>
      </c>
      <c r="L1379" s="19">
        <f>Ringkasan!L1378</f>
        <v>0.46</v>
      </c>
      <c r="M1379" s="19">
        <f>Ringkasan!M1378</f>
        <v>130</v>
      </c>
      <c r="N1379" s="64" t="str">
        <f>Ringkasan!N1378</f>
        <v/>
      </c>
      <c r="O1379" s="64" t="str">
        <f>Ringkasan!O1378</f>
        <v/>
      </c>
      <c r="P1379" s="64" t="str">
        <f>Ringkasan!P1378</f>
        <v/>
      </c>
      <c r="Q1379" s="64" t="str">
        <f>Ringkasan!Q1378</f>
        <v/>
      </c>
      <c r="R1379" s="64" t="str">
        <f>Ringkasan!R1378</f>
        <v/>
      </c>
      <c r="S1379" s="64" t="str">
        <f>Ringkasan!S1378</f>
        <v/>
      </c>
      <c r="T1379" s="64" t="str">
        <f>Ringkasan!T1378</f>
        <v/>
      </c>
      <c r="U1379" s="64">
        <f>Ringkasan!U1378</f>
        <v>825</v>
      </c>
      <c r="V1379" s="64">
        <f>Ringkasan!V1378</f>
        <v>4.85</v>
      </c>
      <c r="W1379" s="64" t="str">
        <f>Ringkasan!W1378</f>
        <v/>
      </c>
      <c r="X1379" s="64">
        <f>Ringkasan!X1378</f>
        <v>875</v>
      </c>
      <c r="Y1379" s="64">
        <f>Ringkasan!Y1378</f>
        <v>840</v>
      </c>
      <c r="Z1379" s="64">
        <f>Ringkasan!Z1378</f>
        <v>11591300</v>
      </c>
      <c r="AA1379" s="64" t="str">
        <f>Ringkasan!AA1378</f>
        <v>Electric Utilities</v>
      </c>
      <c r="AB1379" s="64" t="str">
        <f>Ringkasan!AB1378</f>
        <v>Infrastructures</v>
      </c>
    </row>
    <row r="1380" hidden="1">
      <c r="A1380" s="64" t="str">
        <f>Ringkasan!A1379</f>
        <v>PGEO</v>
      </c>
      <c r="B1380" s="64" t="str">
        <f>Ringkasan!B1379</f>
        <v>PT Pertamina Geothermal Energy Tbk</v>
      </c>
      <c r="C1380" s="65">
        <f>Ringkasan!C1379</f>
        <v>865</v>
      </c>
      <c r="D1380" s="64" t="str">
        <f>Ringkasan!D1379</f>
        <v>#N/A</v>
      </c>
      <c r="E1380" s="64" t="str">
        <f>Ringkasan!E1379</f>
        <v>IDX80</v>
      </c>
      <c r="F1380" s="64" t="str">
        <f>Ringkasan!F1379</f>
        <v>31 Juli 2026</v>
      </c>
      <c r="G1380" s="64">
        <f>Ringkasan!G1379</f>
        <v>13</v>
      </c>
      <c r="H1380" s="19">
        <f>Ringkasan!H1379</f>
        <v>14.8</v>
      </c>
      <c r="I1380" s="19">
        <f>Ringkasan!I1379</f>
        <v>1.1</v>
      </c>
      <c r="J1380" s="19">
        <f>Ringkasan!J1379</f>
        <v>7.1</v>
      </c>
      <c r="K1380" s="19">
        <f>Ringkasan!K1379</f>
        <v>4.9</v>
      </c>
      <c r="L1380" s="19">
        <f>Ringkasan!L1379</f>
        <v>0.46</v>
      </c>
      <c r="M1380" s="19">
        <f>Ringkasan!M1379</f>
        <v>130</v>
      </c>
      <c r="N1380" s="64" t="str">
        <f>Ringkasan!N1379</f>
        <v/>
      </c>
      <c r="O1380" s="64" t="str">
        <f>Ringkasan!O1379</f>
        <v/>
      </c>
      <c r="P1380" s="64" t="str">
        <f>Ringkasan!P1379</f>
        <v/>
      </c>
      <c r="Q1380" s="64" t="str">
        <f>Ringkasan!Q1379</f>
        <v/>
      </c>
      <c r="R1380" s="64" t="str">
        <f>Ringkasan!R1379</f>
        <v/>
      </c>
      <c r="S1380" s="64" t="str">
        <f>Ringkasan!S1379</f>
        <v/>
      </c>
      <c r="T1380" s="64" t="str">
        <f>Ringkasan!T1379</f>
        <v/>
      </c>
      <c r="U1380" s="64">
        <f>Ringkasan!U1379</f>
        <v>825</v>
      </c>
      <c r="V1380" s="64">
        <f>Ringkasan!V1379</f>
        <v>4.85</v>
      </c>
      <c r="W1380" s="64" t="str">
        <f>Ringkasan!W1379</f>
        <v/>
      </c>
      <c r="X1380" s="64">
        <f>Ringkasan!X1379</f>
        <v>875</v>
      </c>
      <c r="Y1380" s="64">
        <f>Ringkasan!Y1379</f>
        <v>840</v>
      </c>
      <c r="Z1380" s="64">
        <f>Ringkasan!Z1379</f>
        <v>11591300</v>
      </c>
      <c r="AA1380" s="64" t="str">
        <f>Ringkasan!AA1379</f>
        <v>Electric Utilities</v>
      </c>
      <c r="AB1380" s="64" t="str">
        <f>Ringkasan!AB1379</f>
        <v>Infrastructures</v>
      </c>
    </row>
    <row r="1381" hidden="1">
      <c r="A1381" s="64" t="str">
        <f>Ringkasan!A1380</f>
        <v>PGEO</v>
      </c>
      <c r="B1381" s="64" t="str">
        <f>Ringkasan!B1380</f>
        <v>PT Pertamina Geothermal Energy Tbk</v>
      </c>
      <c r="C1381" s="65">
        <f>Ringkasan!C1380</f>
        <v>865</v>
      </c>
      <c r="D1381" s="64" t="str">
        <f>Ringkasan!D1380</f>
        <v>#N/A</v>
      </c>
      <c r="E1381" s="64" t="str">
        <f>Ringkasan!E1380</f>
        <v>Kompas100</v>
      </c>
      <c r="F1381" s="64" t="str">
        <f>Ringkasan!F1380</f>
        <v>31 Juli 2026</v>
      </c>
      <c r="G1381" s="64">
        <f>Ringkasan!G1380</f>
        <v>13</v>
      </c>
      <c r="H1381" s="19">
        <f>Ringkasan!H1380</f>
        <v>14.8</v>
      </c>
      <c r="I1381" s="19">
        <f>Ringkasan!I1380</f>
        <v>1.1</v>
      </c>
      <c r="J1381" s="19">
        <f>Ringkasan!J1380</f>
        <v>7.1</v>
      </c>
      <c r="K1381" s="19">
        <f>Ringkasan!K1380</f>
        <v>4.9</v>
      </c>
      <c r="L1381" s="19">
        <f>Ringkasan!L1380</f>
        <v>0.46</v>
      </c>
      <c r="M1381" s="19">
        <f>Ringkasan!M1380</f>
        <v>130</v>
      </c>
      <c r="N1381" s="64" t="str">
        <f>Ringkasan!N1380</f>
        <v/>
      </c>
      <c r="O1381" s="64" t="str">
        <f>Ringkasan!O1380</f>
        <v/>
      </c>
      <c r="P1381" s="64" t="str">
        <f>Ringkasan!P1380</f>
        <v/>
      </c>
      <c r="Q1381" s="64" t="str">
        <f>Ringkasan!Q1380</f>
        <v/>
      </c>
      <c r="R1381" s="64" t="str">
        <f>Ringkasan!R1380</f>
        <v/>
      </c>
      <c r="S1381" s="64" t="str">
        <f>Ringkasan!S1380</f>
        <v/>
      </c>
      <c r="T1381" s="64" t="str">
        <f>Ringkasan!T1380</f>
        <v/>
      </c>
      <c r="U1381" s="64">
        <f>Ringkasan!U1380</f>
        <v>825</v>
      </c>
      <c r="V1381" s="64">
        <f>Ringkasan!V1380</f>
        <v>4.85</v>
      </c>
      <c r="W1381" s="64" t="str">
        <f>Ringkasan!W1380</f>
        <v/>
      </c>
      <c r="X1381" s="64">
        <f>Ringkasan!X1380</f>
        <v>875</v>
      </c>
      <c r="Y1381" s="64">
        <f>Ringkasan!Y1380</f>
        <v>840</v>
      </c>
      <c r="Z1381" s="64">
        <f>Ringkasan!Z1380</f>
        <v>11591300</v>
      </c>
      <c r="AA1381" s="64" t="str">
        <f>Ringkasan!AA1380</f>
        <v>Electric Utilities</v>
      </c>
      <c r="AB1381" s="64" t="str">
        <f>Ringkasan!AB1380</f>
        <v>Infrastructures</v>
      </c>
    </row>
    <row r="1382" hidden="1">
      <c r="A1382" s="64" t="str">
        <f>Ringkasan!A1381</f>
        <v>PGEO</v>
      </c>
      <c r="B1382" s="64" t="str">
        <f>Ringkasan!B1381</f>
        <v>PT Pertamina Geothermal Energy Tbk</v>
      </c>
      <c r="C1382" s="65">
        <f>Ringkasan!C1381</f>
        <v>865</v>
      </c>
      <c r="D1382" s="64" t="str">
        <f>Ringkasan!D1381</f>
        <v>#N/A</v>
      </c>
      <c r="E1382" s="64" t="str">
        <f>Ringkasan!E1381</f>
        <v>LQ45</v>
      </c>
      <c r="F1382" s="64" t="str">
        <f>Ringkasan!F1381</f>
        <v>31 Juli 2026</v>
      </c>
      <c r="G1382" s="64">
        <f>Ringkasan!G1381</f>
        <v>13</v>
      </c>
      <c r="H1382" s="19">
        <f>Ringkasan!H1381</f>
        <v>14.8</v>
      </c>
      <c r="I1382" s="19">
        <f>Ringkasan!I1381</f>
        <v>1.1</v>
      </c>
      <c r="J1382" s="19">
        <f>Ringkasan!J1381</f>
        <v>7.1</v>
      </c>
      <c r="K1382" s="19">
        <f>Ringkasan!K1381</f>
        <v>4.9</v>
      </c>
      <c r="L1382" s="19">
        <f>Ringkasan!L1381</f>
        <v>0.46</v>
      </c>
      <c r="M1382" s="19">
        <f>Ringkasan!M1381</f>
        <v>130</v>
      </c>
      <c r="N1382" s="64" t="str">
        <f>Ringkasan!N1381</f>
        <v/>
      </c>
      <c r="O1382" s="64" t="str">
        <f>Ringkasan!O1381</f>
        <v/>
      </c>
      <c r="P1382" s="64" t="str">
        <f>Ringkasan!P1381</f>
        <v/>
      </c>
      <c r="Q1382" s="64" t="str">
        <f>Ringkasan!Q1381</f>
        <v/>
      </c>
      <c r="R1382" s="64" t="str">
        <f>Ringkasan!R1381</f>
        <v/>
      </c>
      <c r="S1382" s="64" t="str">
        <f>Ringkasan!S1381</f>
        <v/>
      </c>
      <c r="T1382" s="64" t="str">
        <f>Ringkasan!T1381</f>
        <v/>
      </c>
      <c r="U1382" s="64">
        <f>Ringkasan!U1381</f>
        <v>825</v>
      </c>
      <c r="V1382" s="64">
        <f>Ringkasan!V1381</f>
        <v>4.85</v>
      </c>
      <c r="W1382" s="64" t="str">
        <f>Ringkasan!W1381</f>
        <v/>
      </c>
      <c r="X1382" s="64">
        <f>Ringkasan!X1381</f>
        <v>875</v>
      </c>
      <c r="Y1382" s="64">
        <f>Ringkasan!Y1381</f>
        <v>840</v>
      </c>
      <c r="Z1382" s="64">
        <f>Ringkasan!Z1381</f>
        <v>11591300</v>
      </c>
      <c r="AA1382" s="64" t="str">
        <f>Ringkasan!AA1381</f>
        <v>Electric Utilities</v>
      </c>
      <c r="AB1382" s="64" t="str">
        <f>Ringkasan!AB1381</f>
        <v>Infrastructures</v>
      </c>
    </row>
    <row r="1383" hidden="1">
      <c r="A1383" s="64" t="str">
        <f>Ringkasan!A1382</f>
        <v>PGEO</v>
      </c>
      <c r="B1383" s="64" t="str">
        <f>Ringkasan!B1382</f>
        <v>PT Pertamina Geothermal Energy Tbk</v>
      </c>
      <c r="C1383" s="65">
        <f>Ringkasan!C1382</f>
        <v>865</v>
      </c>
      <c r="D1383" s="64" t="str">
        <f>Ringkasan!D1382</f>
        <v>#N/A</v>
      </c>
      <c r="E1383" s="64" t="str">
        <f>Ringkasan!E1382</f>
        <v>MNC36</v>
      </c>
      <c r="F1383" s="64" t="str">
        <f>Ringkasan!F1382</f>
        <v>30 Oktober 2026</v>
      </c>
      <c r="G1383" s="64">
        <f>Ringkasan!G1382</f>
        <v>13</v>
      </c>
      <c r="H1383" s="19">
        <f>Ringkasan!H1382</f>
        <v>14.8</v>
      </c>
      <c r="I1383" s="19">
        <f>Ringkasan!I1382</f>
        <v>1.1</v>
      </c>
      <c r="J1383" s="19">
        <f>Ringkasan!J1382</f>
        <v>7.1</v>
      </c>
      <c r="K1383" s="19">
        <f>Ringkasan!K1382</f>
        <v>4.9</v>
      </c>
      <c r="L1383" s="19">
        <f>Ringkasan!L1382</f>
        <v>0.46</v>
      </c>
      <c r="M1383" s="19">
        <f>Ringkasan!M1382</f>
        <v>130</v>
      </c>
      <c r="N1383" s="64" t="str">
        <f>Ringkasan!N1382</f>
        <v/>
      </c>
      <c r="O1383" s="64" t="str">
        <f>Ringkasan!O1382</f>
        <v/>
      </c>
      <c r="P1383" s="64" t="str">
        <f>Ringkasan!P1382</f>
        <v/>
      </c>
      <c r="Q1383" s="64" t="str">
        <f>Ringkasan!Q1382</f>
        <v/>
      </c>
      <c r="R1383" s="64" t="str">
        <f>Ringkasan!R1382</f>
        <v/>
      </c>
      <c r="S1383" s="64" t="str">
        <f>Ringkasan!S1382</f>
        <v/>
      </c>
      <c r="T1383" s="64" t="str">
        <f>Ringkasan!T1382</f>
        <v/>
      </c>
      <c r="U1383" s="64">
        <f>Ringkasan!U1382</f>
        <v>825</v>
      </c>
      <c r="V1383" s="64">
        <f>Ringkasan!V1382</f>
        <v>4.85</v>
      </c>
      <c r="W1383" s="64" t="str">
        <f>Ringkasan!W1382</f>
        <v/>
      </c>
      <c r="X1383" s="64">
        <f>Ringkasan!X1382</f>
        <v>875</v>
      </c>
      <c r="Y1383" s="64">
        <f>Ringkasan!Y1382</f>
        <v>840</v>
      </c>
      <c r="Z1383" s="64">
        <f>Ringkasan!Z1382</f>
        <v>11591300</v>
      </c>
      <c r="AA1383" s="64" t="str">
        <f>Ringkasan!AA1382</f>
        <v>Electric Utilities</v>
      </c>
      <c r="AB1383" s="64" t="str">
        <f>Ringkasan!AB1382</f>
        <v>Infrastructures</v>
      </c>
    </row>
    <row r="1384" hidden="1">
      <c r="A1384" s="64" t="str">
        <f>Ringkasan!A1383</f>
        <v>PGEO</v>
      </c>
      <c r="B1384" s="64" t="str">
        <f>Ringkasan!B1383</f>
        <v>PT Pertamina Geothermal Energy Tbk</v>
      </c>
      <c r="C1384" s="65">
        <f>Ringkasan!C1383</f>
        <v>865</v>
      </c>
      <c r="D1384" s="64" t="str">
        <f>Ringkasan!D1383</f>
        <v>#N/A</v>
      </c>
      <c r="E1384" s="64" t="str">
        <f>Ringkasan!E1383</f>
        <v>SMINFRA18</v>
      </c>
      <c r="F1384" s="64" t="str">
        <f>Ringkasan!F1383</f>
        <v>30 Oktober 2026</v>
      </c>
      <c r="G1384" s="64">
        <f>Ringkasan!G1383</f>
        <v>13</v>
      </c>
      <c r="H1384" s="19">
        <f>Ringkasan!H1383</f>
        <v>14.8</v>
      </c>
      <c r="I1384" s="19">
        <f>Ringkasan!I1383</f>
        <v>1.1</v>
      </c>
      <c r="J1384" s="19">
        <f>Ringkasan!J1383</f>
        <v>7.1</v>
      </c>
      <c r="K1384" s="19">
        <f>Ringkasan!K1383</f>
        <v>4.9</v>
      </c>
      <c r="L1384" s="19">
        <f>Ringkasan!L1383</f>
        <v>0.46</v>
      </c>
      <c r="M1384" s="19">
        <f>Ringkasan!M1383</f>
        <v>130</v>
      </c>
      <c r="N1384" s="64" t="str">
        <f>Ringkasan!N1383</f>
        <v/>
      </c>
      <c r="O1384" s="64" t="str">
        <f>Ringkasan!O1383</f>
        <v/>
      </c>
      <c r="P1384" s="64" t="str">
        <f>Ringkasan!P1383</f>
        <v/>
      </c>
      <c r="Q1384" s="64" t="str">
        <f>Ringkasan!Q1383</f>
        <v/>
      </c>
      <c r="R1384" s="64" t="str">
        <f>Ringkasan!R1383</f>
        <v/>
      </c>
      <c r="S1384" s="64" t="str">
        <f>Ringkasan!S1383</f>
        <v/>
      </c>
      <c r="T1384" s="64" t="str">
        <f>Ringkasan!T1383</f>
        <v/>
      </c>
      <c r="U1384" s="64">
        <f>Ringkasan!U1383</f>
        <v>825</v>
      </c>
      <c r="V1384" s="64">
        <f>Ringkasan!V1383</f>
        <v>4.85</v>
      </c>
      <c r="W1384" s="64" t="str">
        <f>Ringkasan!W1383</f>
        <v/>
      </c>
      <c r="X1384" s="64">
        <f>Ringkasan!X1383</f>
        <v>875</v>
      </c>
      <c r="Y1384" s="64">
        <f>Ringkasan!Y1383</f>
        <v>840</v>
      </c>
      <c r="Z1384" s="64">
        <f>Ringkasan!Z1383</f>
        <v>11591300</v>
      </c>
      <c r="AA1384" s="64" t="str">
        <f>Ringkasan!AA1383</f>
        <v>Electric Utilities</v>
      </c>
      <c r="AB1384" s="64" t="str">
        <f>Ringkasan!AB1383</f>
        <v>Infrastructures</v>
      </c>
    </row>
    <row r="1385" hidden="1">
      <c r="A1385" s="64" t="str">
        <f>Ringkasan!A1384</f>
        <v>PGEO</v>
      </c>
      <c r="B1385" s="64" t="str">
        <f>Ringkasan!B1384</f>
        <v>PT Pertamina Geothermal Energy Tbk</v>
      </c>
      <c r="C1385" s="65">
        <f>Ringkasan!C1384</f>
        <v>865</v>
      </c>
      <c r="D1385" s="64" t="str">
        <f>Ringkasan!D1384</f>
        <v>#N/A</v>
      </c>
      <c r="E1385" s="64" t="str">
        <f>Ringkasan!E1384</f>
        <v>IDXESGL</v>
      </c>
      <c r="F1385" s="64" t="str">
        <f>Ringkasan!F1384</f>
        <v>30 Oktober 2026</v>
      </c>
      <c r="G1385" s="64">
        <f>Ringkasan!G1384</f>
        <v>13</v>
      </c>
      <c r="H1385" s="19">
        <f>Ringkasan!H1384</f>
        <v>14.8</v>
      </c>
      <c r="I1385" s="19">
        <f>Ringkasan!I1384</f>
        <v>1.1</v>
      </c>
      <c r="J1385" s="19">
        <f>Ringkasan!J1384</f>
        <v>7.1</v>
      </c>
      <c r="K1385" s="19">
        <f>Ringkasan!K1384</f>
        <v>4.9</v>
      </c>
      <c r="L1385" s="19">
        <f>Ringkasan!L1384</f>
        <v>0.46</v>
      </c>
      <c r="M1385" s="19">
        <f>Ringkasan!M1384</f>
        <v>130</v>
      </c>
      <c r="N1385" s="64" t="str">
        <f>Ringkasan!N1384</f>
        <v/>
      </c>
      <c r="O1385" s="64" t="str">
        <f>Ringkasan!O1384</f>
        <v/>
      </c>
      <c r="P1385" s="64" t="str">
        <f>Ringkasan!P1384</f>
        <v/>
      </c>
      <c r="Q1385" s="64" t="str">
        <f>Ringkasan!Q1384</f>
        <v/>
      </c>
      <c r="R1385" s="64" t="str">
        <f>Ringkasan!R1384</f>
        <v/>
      </c>
      <c r="S1385" s="64" t="str">
        <f>Ringkasan!S1384</f>
        <v/>
      </c>
      <c r="T1385" s="64" t="str">
        <f>Ringkasan!T1384</f>
        <v/>
      </c>
      <c r="U1385" s="64">
        <f>Ringkasan!U1384</f>
        <v>825</v>
      </c>
      <c r="V1385" s="64">
        <f>Ringkasan!V1384</f>
        <v>4.85</v>
      </c>
      <c r="W1385" s="64" t="str">
        <f>Ringkasan!W1384</f>
        <v/>
      </c>
      <c r="X1385" s="64">
        <f>Ringkasan!X1384</f>
        <v>875</v>
      </c>
      <c r="Y1385" s="64">
        <f>Ringkasan!Y1384</f>
        <v>840</v>
      </c>
      <c r="Z1385" s="64">
        <f>Ringkasan!Z1384</f>
        <v>11591300</v>
      </c>
      <c r="AA1385" s="64" t="str">
        <f>Ringkasan!AA1384</f>
        <v>Electric Utilities</v>
      </c>
      <c r="AB1385" s="64" t="str">
        <f>Ringkasan!AB1384</f>
        <v>Infrastructures</v>
      </c>
    </row>
    <row r="1386" hidden="1">
      <c r="A1386" s="64" t="str">
        <f>Ringkasan!A1385</f>
        <v>PGEO</v>
      </c>
      <c r="B1386" s="64" t="str">
        <f>Ringkasan!B1385</f>
        <v>PT Pertamina Geothermal Energy Tbk</v>
      </c>
      <c r="C1386" s="65">
        <f>Ringkasan!C1385</f>
        <v>865</v>
      </c>
      <c r="D1386" s="64" t="str">
        <f>Ringkasan!D1385</f>
        <v>#N/A</v>
      </c>
      <c r="E1386" s="64" t="str">
        <f>Ringkasan!E1385</f>
        <v>IDXSMC-LIQ</v>
      </c>
      <c r="F1386" s="64" t="str">
        <f>Ringkasan!F1385</f>
        <v>4 Agustus 2026</v>
      </c>
      <c r="G1386" s="64">
        <f>Ringkasan!G1385</f>
        <v>13</v>
      </c>
      <c r="H1386" s="19">
        <f>Ringkasan!H1385</f>
        <v>14.8</v>
      </c>
      <c r="I1386" s="19">
        <f>Ringkasan!I1385</f>
        <v>1.1</v>
      </c>
      <c r="J1386" s="19">
        <f>Ringkasan!J1385</f>
        <v>7.1</v>
      </c>
      <c r="K1386" s="19">
        <f>Ringkasan!K1385</f>
        <v>4.9</v>
      </c>
      <c r="L1386" s="19">
        <f>Ringkasan!L1385</f>
        <v>0.46</v>
      </c>
      <c r="M1386" s="19">
        <f>Ringkasan!M1385</f>
        <v>130</v>
      </c>
      <c r="N1386" s="64" t="str">
        <f>Ringkasan!N1385</f>
        <v/>
      </c>
      <c r="O1386" s="64" t="str">
        <f>Ringkasan!O1385</f>
        <v/>
      </c>
      <c r="P1386" s="64" t="str">
        <f>Ringkasan!P1385</f>
        <v/>
      </c>
      <c r="Q1386" s="64" t="str">
        <f>Ringkasan!Q1385</f>
        <v/>
      </c>
      <c r="R1386" s="64" t="str">
        <f>Ringkasan!R1385</f>
        <v/>
      </c>
      <c r="S1386" s="64" t="str">
        <f>Ringkasan!S1385</f>
        <v/>
      </c>
      <c r="T1386" s="64" t="str">
        <f>Ringkasan!T1385</f>
        <v/>
      </c>
      <c r="U1386" s="64">
        <f>Ringkasan!U1385</f>
        <v>825</v>
      </c>
      <c r="V1386" s="64">
        <f>Ringkasan!V1385</f>
        <v>4.85</v>
      </c>
      <c r="W1386" s="64" t="str">
        <f>Ringkasan!W1385</f>
        <v/>
      </c>
      <c r="X1386" s="64">
        <f>Ringkasan!X1385</f>
        <v>875</v>
      </c>
      <c r="Y1386" s="64">
        <f>Ringkasan!Y1385</f>
        <v>840</v>
      </c>
      <c r="Z1386" s="64">
        <f>Ringkasan!Z1385</f>
        <v>11591300</v>
      </c>
      <c r="AA1386" s="64" t="str">
        <f>Ringkasan!AA1385</f>
        <v>Electric Utilities</v>
      </c>
      <c r="AB1386" s="64" t="str">
        <f>Ringkasan!AB1385</f>
        <v>Infrastructures</v>
      </c>
    </row>
    <row r="1387" hidden="1">
      <c r="A1387" s="64" t="str">
        <f>Ringkasan!A1386</f>
        <v>PGEO</v>
      </c>
      <c r="B1387" s="64" t="str">
        <f>Ringkasan!B1386</f>
        <v>PT Pertamina Geothermal Energy Tbk</v>
      </c>
      <c r="C1387" s="65">
        <f>Ringkasan!C1386</f>
        <v>865</v>
      </c>
      <c r="D1387" s="64" t="str">
        <f>Ringkasan!D1386</f>
        <v>#N/A</v>
      </c>
      <c r="E1387" s="64" t="str">
        <f>Ringkasan!E1386</f>
        <v>SRI-KEHATI</v>
      </c>
      <c r="F1387" s="66">
        <f>Ringkasan!F1386</f>
        <v>46356</v>
      </c>
      <c r="G1387" s="64">
        <f>Ringkasan!G1386</f>
        <v>13</v>
      </c>
      <c r="H1387" s="19">
        <f>Ringkasan!H1386</f>
        <v>14.8</v>
      </c>
      <c r="I1387" s="19">
        <f>Ringkasan!I1386</f>
        <v>1.1</v>
      </c>
      <c r="J1387" s="19">
        <f>Ringkasan!J1386</f>
        <v>7.1</v>
      </c>
      <c r="K1387" s="19">
        <f>Ringkasan!K1386</f>
        <v>4.9</v>
      </c>
      <c r="L1387" s="19">
        <f>Ringkasan!L1386</f>
        <v>0.46</v>
      </c>
      <c r="M1387" s="19">
        <f>Ringkasan!M1386</f>
        <v>130</v>
      </c>
      <c r="N1387" s="64" t="str">
        <f>Ringkasan!N1386</f>
        <v/>
      </c>
      <c r="O1387" s="64" t="str">
        <f>Ringkasan!O1386</f>
        <v/>
      </c>
      <c r="P1387" s="64" t="str">
        <f>Ringkasan!P1386</f>
        <v/>
      </c>
      <c r="Q1387" s="64" t="str">
        <f>Ringkasan!Q1386</f>
        <v/>
      </c>
      <c r="R1387" s="64" t="str">
        <f>Ringkasan!R1386</f>
        <v/>
      </c>
      <c r="S1387" s="64" t="str">
        <f>Ringkasan!S1386</f>
        <v/>
      </c>
      <c r="T1387" s="64" t="str">
        <f>Ringkasan!T1386</f>
        <v/>
      </c>
      <c r="U1387" s="64">
        <f>Ringkasan!U1386</f>
        <v>825</v>
      </c>
      <c r="V1387" s="64">
        <f>Ringkasan!V1386</f>
        <v>4.85</v>
      </c>
      <c r="W1387" s="64" t="str">
        <f>Ringkasan!W1386</f>
        <v/>
      </c>
      <c r="X1387" s="64">
        <f>Ringkasan!X1386</f>
        <v>875</v>
      </c>
      <c r="Y1387" s="64">
        <f>Ringkasan!Y1386</f>
        <v>840</v>
      </c>
      <c r="Z1387" s="64">
        <f>Ringkasan!Z1386</f>
        <v>11591300</v>
      </c>
      <c r="AA1387" s="64" t="str">
        <f>Ringkasan!AA1386</f>
        <v>Electric Utilities</v>
      </c>
      <c r="AB1387" s="64" t="str">
        <f>Ringkasan!AB1386</f>
        <v>Infrastructures</v>
      </c>
    </row>
    <row r="1388" hidden="1">
      <c r="A1388" s="64" t="str">
        <f>Ringkasan!A1387</f>
        <v>PGJO</v>
      </c>
      <c r="B1388" s="64" t="str">
        <f>Ringkasan!B1387</f>
        <v>Bahtera Bumi Raya Tbk.</v>
      </c>
      <c r="C1388" s="65">
        <f>Ringkasan!C1387</f>
        <v>790</v>
      </c>
      <c r="D1388" s="64" t="str">
        <f>Ringkasan!D1387</f>
        <v>#N/A</v>
      </c>
      <c r="E1388" s="64" t="str">
        <f>Ringkasan!E1387</f>
        <v/>
      </c>
      <c r="F1388" s="64" t="str">
        <f>Ringkasan!F1387</f>
        <v/>
      </c>
      <c r="G1388" s="64">
        <f>Ringkasan!G1387</f>
        <v>0</v>
      </c>
      <c r="H1388" s="19">
        <f>Ringkasan!H1387</f>
        <v>-100</v>
      </c>
      <c r="I1388" s="19">
        <f>Ringkasan!I1387</f>
        <v>-350</v>
      </c>
      <c r="J1388" s="19">
        <f>Ringkasan!J1387</f>
        <v>0</v>
      </c>
      <c r="K1388" s="19">
        <f>Ringkasan!K1387</f>
        <v>-22.4</v>
      </c>
      <c r="L1388" s="19">
        <f>Ringkasan!L1387</f>
        <v>-16.2</v>
      </c>
      <c r="M1388" s="19">
        <f>Ringkasan!M1387</f>
        <v>-24.3</v>
      </c>
      <c r="N1388" s="64" t="str">
        <f>Ringkasan!N1387</f>
        <v/>
      </c>
      <c r="O1388" s="64" t="str">
        <f>Ringkasan!O1387</f>
        <v/>
      </c>
      <c r="P1388" s="64" t="str">
        <f>Ringkasan!P1387</f>
        <v/>
      </c>
      <c r="Q1388" s="64" t="str">
        <f>Ringkasan!Q1387</f>
        <v/>
      </c>
      <c r="R1388" s="64" t="str">
        <f>Ringkasan!R1387</f>
        <v/>
      </c>
      <c r="S1388" s="64" t="str">
        <f>Ringkasan!S1387</f>
        <v/>
      </c>
      <c r="T1388" s="64" t="str">
        <f>Ringkasan!T1387</f>
        <v/>
      </c>
      <c r="U1388" s="64">
        <f>Ringkasan!U1387</f>
        <v>795</v>
      </c>
      <c r="V1388" s="64">
        <f>Ringkasan!V1387</f>
        <v>-0.63</v>
      </c>
      <c r="W1388" s="64">
        <f>Ringkasan!W1387</f>
        <v>795</v>
      </c>
      <c r="X1388" s="64">
        <f>Ringkasan!X1387</f>
        <v>795</v>
      </c>
      <c r="Y1388" s="64">
        <f>Ringkasan!Y1387</f>
        <v>790</v>
      </c>
      <c r="Z1388" s="64">
        <f>Ringkasan!Z1387</f>
        <v>155800</v>
      </c>
      <c r="AA1388" s="64" t="str">
        <f>Ringkasan!AA1387</f>
        <v>Online Applications &amp; Services</v>
      </c>
      <c r="AB1388" s="64" t="str">
        <f>Ringkasan!AB1387</f>
        <v>Technology</v>
      </c>
    </row>
    <row r="1389" hidden="1">
      <c r="A1389" s="64" t="str">
        <f>Ringkasan!A1388</f>
        <v>PGLI</v>
      </c>
      <c r="B1389" s="64" t="str">
        <f>Ringkasan!B1388</f>
        <v>Pembangunan Graha Lestari Indah Tbk.</v>
      </c>
      <c r="C1389" s="65">
        <f>Ringkasan!C1388</f>
        <v>186</v>
      </c>
      <c r="D1389" s="64" t="str">
        <f>Ringkasan!D1388</f>
        <v>#N/A</v>
      </c>
      <c r="E1389" s="64" t="str">
        <f>Ringkasan!E1388</f>
        <v/>
      </c>
      <c r="F1389" s="64" t="str">
        <f>Ringkasan!F1388</f>
        <v/>
      </c>
      <c r="G1389" s="64">
        <f>Ringkasan!G1388</f>
        <v>0</v>
      </c>
      <c r="H1389" s="19">
        <f>Ringkasan!H1388</f>
        <v>-32.3</v>
      </c>
      <c r="I1389" s="19">
        <f>Ringkasan!I1388</f>
        <v>6.8</v>
      </c>
      <c r="J1389" s="19">
        <f>Ringkasan!J1388</f>
        <v>-21</v>
      </c>
      <c r="K1389" s="19">
        <f>Ringkasan!K1388</f>
        <v>-7.6</v>
      </c>
      <c r="L1389" s="19">
        <f>Ringkasan!L1388</f>
        <v>1.8</v>
      </c>
      <c r="M1389" s="19">
        <f>Ringkasan!M1388</f>
        <v>-49</v>
      </c>
      <c r="N1389" s="64" t="str">
        <f>Ringkasan!N1388</f>
        <v/>
      </c>
      <c r="O1389" s="64" t="str">
        <f>Ringkasan!O1388</f>
        <v/>
      </c>
      <c r="P1389" s="64" t="str">
        <f>Ringkasan!P1388</f>
        <v/>
      </c>
      <c r="Q1389" s="64" t="str">
        <f>Ringkasan!Q1388</f>
        <v/>
      </c>
      <c r="R1389" s="64" t="str">
        <f>Ringkasan!R1388</f>
        <v/>
      </c>
      <c r="S1389" s="64" t="str">
        <f>Ringkasan!S1388</f>
        <v/>
      </c>
      <c r="T1389" s="64" t="str">
        <f>Ringkasan!T1388</f>
        <v/>
      </c>
      <c r="U1389" s="64">
        <f>Ringkasan!U1388</f>
        <v>184</v>
      </c>
      <c r="V1389" s="64">
        <f>Ringkasan!V1388</f>
        <v>1.09</v>
      </c>
      <c r="W1389" s="64">
        <f>Ringkasan!W1388</f>
        <v>190</v>
      </c>
      <c r="X1389" s="64">
        <f>Ringkasan!X1388</f>
        <v>190</v>
      </c>
      <c r="Y1389" s="64">
        <f>Ringkasan!Y1388</f>
        <v>174</v>
      </c>
      <c r="Z1389" s="64">
        <f>Ringkasan!Z1388</f>
        <v>48700</v>
      </c>
      <c r="AA1389" s="64" t="str">
        <f>Ringkasan!AA1388</f>
        <v>Tourism &amp; Recreation</v>
      </c>
      <c r="AB1389" s="64" t="str">
        <f>Ringkasan!AB1388</f>
        <v>Consumer Cyclicals</v>
      </c>
    </row>
    <row r="1390" hidden="1">
      <c r="A1390" s="64" t="str">
        <f>Ringkasan!A1389</f>
        <v>PGUN</v>
      </c>
      <c r="B1390" s="64" t="str">
        <f>Ringkasan!B1389</f>
        <v>Pradiksi Gunatama Tbk.</v>
      </c>
      <c r="C1390" s="65">
        <f>Ringkasan!C1389</f>
        <v>7625</v>
      </c>
      <c r="D1390" s="64" t="str">
        <f>Ringkasan!D1389</f>
        <v>#N/A</v>
      </c>
      <c r="E1390" s="64" t="str">
        <f>Ringkasan!E1389</f>
        <v/>
      </c>
      <c r="F1390" s="64" t="str">
        <f>Ringkasan!F1389</f>
        <v/>
      </c>
      <c r="G1390" s="64">
        <f>Ringkasan!G1389</f>
        <v>0</v>
      </c>
      <c r="H1390" s="19">
        <f>Ringkasan!H1389</f>
        <v>300</v>
      </c>
      <c r="I1390" s="19">
        <f>Ringkasan!I1389</f>
        <v>22.1</v>
      </c>
      <c r="J1390" s="19">
        <f>Ringkasan!J1389</f>
        <v>7.5</v>
      </c>
      <c r="K1390" s="19">
        <f>Ringkasan!K1389</f>
        <v>5.8</v>
      </c>
      <c r="L1390" s="19">
        <f>Ringkasan!L1389</f>
        <v>0.29</v>
      </c>
      <c r="M1390" s="19">
        <f>Ringkasan!M1389</f>
        <v>87.9</v>
      </c>
      <c r="N1390" s="64" t="str">
        <f>Ringkasan!N1389</f>
        <v/>
      </c>
      <c r="O1390" s="64" t="str">
        <f>Ringkasan!O1389</f>
        <v/>
      </c>
      <c r="P1390" s="64" t="str">
        <f>Ringkasan!P1389</f>
        <v/>
      </c>
      <c r="Q1390" s="64" t="str">
        <f>Ringkasan!Q1389</f>
        <v/>
      </c>
      <c r="R1390" s="64" t="str">
        <f>Ringkasan!R1389</f>
        <v/>
      </c>
      <c r="S1390" s="64" t="str">
        <f>Ringkasan!S1389</f>
        <v/>
      </c>
      <c r="T1390" s="64" t="str">
        <f>Ringkasan!T1389</f>
        <v/>
      </c>
      <c r="U1390" s="64">
        <f>Ringkasan!U1389</f>
        <v>7350</v>
      </c>
      <c r="V1390" s="64">
        <f>Ringkasan!V1389</f>
        <v>3.74</v>
      </c>
      <c r="W1390" s="64">
        <f>Ringkasan!W1389</f>
        <v>7350</v>
      </c>
      <c r="X1390" s="64">
        <f>Ringkasan!X1389</f>
        <v>8400</v>
      </c>
      <c r="Y1390" s="64">
        <f>Ringkasan!Y1389</f>
        <v>7350</v>
      </c>
      <c r="Z1390" s="64">
        <f>Ringkasan!Z1389</f>
        <v>27100</v>
      </c>
      <c r="AA1390" s="64" t="str">
        <f>Ringkasan!AA1389</f>
        <v>Agricultural Products</v>
      </c>
      <c r="AB1390" s="64" t="str">
        <f>Ringkasan!AB1389</f>
        <v>Consumer Non-Cyclicals</v>
      </c>
    </row>
    <row r="1391" hidden="1">
      <c r="A1391" s="64" t="str">
        <f>Ringkasan!A1390</f>
        <v>PICO</v>
      </c>
      <c r="B1391" s="64" t="str">
        <f>Ringkasan!B1390</f>
        <v>Pelangi Indah Canindo Tbk</v>
      </c>
      <c r="C1391" s="65">
        <f>Ringkasan!C1390</f>
        <v>126</v>
      </c>
      <c r="D1391" s="64" t="str">
        <f>Ringkasan!D1390</f>
        <v>#N/A</v>
      </c>
      <c r="E1391" s="64" t="str">
        <f>Ringkasan!E1390</f>
        <v/>
      </c>
      <c r="F1391" s="64" t="str">
        <f>Ringkasan!F1390</f>
        <v/>
      </c>
      <c r="G1391" s="64">
        <f>Ringkasan!G1390</f>
        <v>0</v>
      </c>
      <c r="H1391" s="19">
        <f>Ringkasan!H1390</f>
        <v>19.6</v>
      </c>
      <c r="I1391" s="19">
        <f>Ringkasan!I1390</f>
        <v>0.38</v>
      </c>
      <c r="J1391" s="19">
        <f>Ringkasan!J1390</f>
        <v>2</v>
      </c>
      <c r="K1391" s="19">
        <f>Ringkasan!K1390</f>
        <v>0.61</v>
      </c>
      <c r="L1391" s="19">
        <f>Ringkasan!L1390</f>
        <v>2.2</v>
      </c>
      <c r="M1391" s="19">
        <f>Ringkasan!M1390</f>
        <v>3</v>
      </c>
      <c r="N1391" s="64" t="str">
        <f>Ringkasan!N1390</f>
        <v/>
      </c>
      <c r="O1391" s="64" t="str">
        <f>Ringkasan!O1390</f>
        <v/>
      </c>
      <c r="P1391" s="64" t="str">
        <f>Ringkasan!P1390</f>
        <v/>
      </c>
      <c r="Q1391" s="64" t="str">
        <f>Ringkasan!Q1390</f>
        <v/>
      </c>
      <c r="R1391" s="64" t="str">
        <f>Ringkasan!R1390</f>
        <v/>
      </c>
      <c r="S1391" s="64" t="str">
        <f>Ringkasan!S1390</f>
        <v/>
      </c>
      <c r="T1391" s="64" t="str">
        <f>Ringkasan!T1390</f>
        <v/>
      </c>
      <c r="U1391" s="64" t="str">
        <f>Ringkasan!U1390</f>
        <v/>
      </c>
      <c r="V1391" s="64" t="str">
        <f>Ringkasan!V1390</f>
        <v/>
      </c>
      <c r="W1391" s="64" t="str">
        <f>Ringkasan!W1390</f>
        <v/>
      </c>
      <c r="X1391" s="64" t="str">
        <f>Ringkasan!X1390</f>
        <v/>
      </c>
      <c r="Y1391" s="64" t="str">
        <f>Ringkasan!Y1390</f>
        <v/>
      </c>
      <c r="Z1391" s="64" t="str">
        <f>Ringkasan!Z1390</f>
        <v/>
      </c>
      <c r="AA1391" s="64" t="str">
        <f>Ringkasan!AA1390</f>
        <v>Containers &amp; Packaging</v>
      </c>
      <c r="AB1391" s="64" t="str">
        <f>Ringkasan!AB1390</f>
        <v>Basic Materials</v>
      </c>
    </row>
    <row r="1392" hidden="1">
      <c r="A1392" s="64" t="str">
        <f>Ringkasan!A1391</f>
        <v>PIPA</v>
      </c>
      <c r="B1392" s="64" t="str">
        <f>Ringkasan!B1391</f>
        <v>PT Multi Makmur Lemindo Tbk.</v>
      </c>
      <c r="C1392" s="65">
        <f>Ringkasan!C1391</f>
        <v>111</v>
      </c>
      <c r="D1392" s="64" t="str">
        <f>Ringkasan!D1391</f>
        <v>#N/A</v>
      </c>
      <c r="E1392" s="64" t="str">
        <f>Ringkasan!E1391</f>
        <v/>
      </c>
      <c r="F1392" s="64" t="str">
        <f>Ringkasan!F1391</f>
        <v/>
      </c>
      <c r="G1392" s="64">
        <f>Ringkasan!G1391</f>
        <v>0</v>
      </c>
      <c r="H1392" s="19">
        <f>Ringkasan!H1391</f>
        <v>110</v>
      </c>
      <c r="I1392" s="19">
        <f>Ringkasan!I1391</f>
        <v>2.7</v>
      </c>
      <c r="J1392" s="19">
        <f>Ringkasan!J1391</f>
        <v>2.5</v>
      </c>
      <c r="K1392" s="19">
        <f>Ringkasan!K1391</f>
        <v>2.1</v>
      </c>
      <c r="L1392" s="19">
        <f>Ringkasan!L1391</f>
        <v>0.16</v>
      </c>
      <c r="M1392" s="19">
        <f>Ringkasan!M1391</f>
        <v>14.2</v>
      </c>
      <c r="N1392" s="64" t="str">
        <f>Ringkasan!N1391</f>
        <v/>
      </c>
      <c r="O1392" s="64" t="str">
        <f>Ringkasan!O1391</f>
        <v/>
      </c>
      <c r="P1392" s="64" t="str">
        <f>Ringkasan!P1391</f>
        <v/>
      </c>
      <c r="Q1392" s="64" t="str">
        <f>Ringkasan!Q1391</f>
        <v/>
      </c>
      <c r="R1392" s="64" t="str">
        <f>Ringkasan!R1391</f>
        <v/>
      </c>
      <c r="S1392" s="64" t="str">
        <f>Ringkasan!S1391</f>
        <v/>
      </c>
      <c r="T1392" s="64" t="str">
        <f>Ringkasan!T1391</f>
        <v/>
      </c>
      <c r="U1392" s="64">
        <f>Ringkasan!U1391</f>
        <v>100</v>
      </c>
      <c r="V1392" s="64">
        <f>Ringkasan!V1391</f>
        <v>11</v>
      </c>
      <c r="W1392" s="64">
        <f>Ringkasan!W1391</f>
        <v>97</v>
      </c>
      <c r="X1392" s="64">
        <f>Ringkasan!X1391</f>
        <v>113</v>
      </c>
      <c r="Y1392" s="64">
        <f>Ringkasan!Y1391</f>
        <v>94</v>
      </c>
      <c r="Z1392" s="64">
        <f>Ringkasan!Z1391</f>
        <v>88890700</v>
      </c>
      <c r="AA1392" s="64" t="str">
        <f>Ringkasan!AA1391</f>
        <v>Building Products &amp; Fixtures</v>
      </c>
      <c r="AB1392" s="64" t="str">
        <f>Ringkasan!AB1391</f>
        <v>Industrials</v>
      </c>
    </row>
    <row r="1393" hidden="1">
      <c r="A1393" s="64" t="str">
        <f>Ringkasan!A1392</f>
        <v>PJAA</v>
      </c>
      <c r="B1393" s="64" t="str">
        <f>Ringkasan!B1392</f>
        <v>Pembangunan Jaya Ancol Tbk.</v>
      </c>
      <c r="C1393" s="65">
        <f>Ringkasan!C1392</f>
        <v>440</v>
      </c>
      <c r="D1393" s="64" t="str">
        <f>Ringkasan!D1392</f>
        <v>#N/A</v>
      </c>
      <c r="E1393" s="64" t="str">
        <f>Ringkasan!E1392</f>
        <v/>
      </c>
      <c r="F1393" s="64" t="str">
        <f>Ringkasan!F1392</f>
        <v/>
      </c>
      <c r="G1393" s="64">
        <f>Ringkasan!G1392</f>
        <v>0</v>
      </c>
      <c r="H1393" s="19">
        <f>Ringkasan!H1392</f>
        <v>5</v>
      </c>
      <c r="I1393" s="19">
        <f>Ringkasan!I1392</f>
        <v>0.42</v>
      </c>
      <c r="J1393" s="19">
        <f>Ringkasan!J1392</f>
        <v>8.4</v>
      </c>
      <c r="K1393" s="19">
        <f>Ringkasan!K1392</f>
        <v>4.3</v>
      </c>
      <c r="L1393" s="19">
        <f>Ringkasan!L1392</f>
        <v>0.94</v>
      </c>
      <c r="M1393" s="19">
        <f>Ringkasan!M1392</f>
        <v>73.5</v>
      </c>
      <c r="N1393" s="64" t="str">
        <f>Ringkasan!N1392</f>
        <v/>
      </c>
      <c r="O1393" s="64" t="str">
        <f>Ringkasan!O1392</f>
        <v/>
      </c>
      <c r="P1393" s="64" t="str">
        <f>Ringkasan!P1392</f>
        <v/>
      </c>
      <c r="Q1393" s="64" t="str">
        <f>Ringkasan!Q1392</f>
        <v/>
      </c>
      <c r="R1393" s="64" t="str">
        <f>Ringkasan!R1392</f>
        <v/>
      </c>
      <c r="S1393" s="64" t="str">
        <f>Ringkasan!S1392</f>
        <v/>
      </c>
      <c r="T1393" s="64" t="str">
        <f>Ringkasan!T1392</f>
        <v/>
      </c>
      <c r="U1393" s="64">
        <f>Ringkasan!U1392</f>
        <v>428</v>
      </c>
      <c r="V1393" s="64">
        <f>Ringkasan!V1392</f>
        <v>2.8</v>
      </c>
      <c r="W1393" s="64">
        <f>Ringkasan!W1392</f>
        <v>436</v>
      </c>
      <c r="X1393" s="64">
        <f>Ringkasan!X1392</f>
        <v>444</v>
      </c>
      <c r="Y1393" s="64">
        <f>Ringkasan!Y1392</f>
        <v>434</v>
      </c>
      <c r="Z1393" s="64">
        <f>Ringkasan!Z1392</f>
        <v>18800</v>
      </c>
      <c r="AA1393" s="64" t="str">
        <f>Ringkasan!AA1392</f>
        <v>Tourism &amp; Recreation</v>
      </c>
      <c r="AB1393" s="64" t="str">
        <f>Ringkasan!AB1392</f>
        <v>Consumer Cyclicals</v>
      </c>
    </row>
    <row r="1394" hidden="1">
      <c r="A1394" s="64" t="str">
        <f>Ringkasan!A1393</f>
        <v>PJHB</v>
      </c>
      <c r="B1394" s="64" t="str">
        <f>Ringkasan!B1393</f>
        <v>Pelayaran Jaya Hidup Baru Tbk.</v>
      </c>
      <c r="C1394" s="65">
        <f>Ringkasan!C1393</f>
        <v>177</v>
      </c>
      <c r="D1394" s="64" t="str">
        <f>Ringkasan!D1393</f>
        <v>#N/A</v>
      </c>
      <c r="E1394" s="64" t="str">
        <f>Ringkasan!E1393</f>
        <v/>
      </c>
      <c r="F1394" s="64" t="str">
        <f>Ringkasan!F1393</f>
        <v/>
      </c>
      <c r="G1394" s="64">
        <f>Ringkasan!G1393</f>
        <v>0</v>
      </c>
      <c r="H1394" s="19">
        <f>Ringkasan!H1393</f>
        <v>28.7</v>
      </c>
      <c r="I1394" s="19">
        <f>Ringkasan!I1393</f>
        <v>1.1</v>
      </c>
      <c r="J1394" s="19">
        <f>Ringkasan!J1393</f>
        <v>3.9</v>
      </c>
      <c r="K1394" s="19">
        <f>Ringkasan!K1393</f>
        <v>0</v>
      </c>
      <c r="L1394" s="19">
        <f>Ringkasan!L1393</f>
        <v>0.05</v>
      </c>
      <c r="M1394" s="19">
        <f>Ringkasan!M1393</f>
        <v>74.4</v>
      </c>
      <c r="N1394" s="64" t="str">
        <f>Ringkasan!N1393</f>
        <v/>
      </c>
      <c r="O1394" s="64" t="str">
        <f>Ringkasan!O1393</f>
        <v/>
      </c>
      <c r="P1394" s="64" t="str">
        <f>Ringkasan!P1393</f>
        <v/>
      </c>
      <c r="Q1394" s="64" t="str">
        <f>Ringkasan!Q1393</f>
        <v/>
      </c>
      <c r="R1394" s="64" t="str">
        <f>Ringkasan!R1393</f>
        <v/>
      </c>
      <c r="S1394" s="64" t="str">
        <f>Ringkasan!S1393</f>
        <v/>
      </c>
      <c r="T1394" s="64" t="str">
        <f>Ringkasan!T1393</f>
        <v/>
      </c>
      <c r="U1394" s="64">
        <f>Ringkasan!U1393</f>
        <v>172</v>
      </c>
      <c r="V1394" s="64">
        <f>Ringkasan!V1393</f>
        <v>2.91</v>
      </c>
      <c r="W1394" s="64">
        <f>Ringkasan!W1393</f>
        <v>174</v>
      </c>
      <c r="X1394" s="64">
        <f>Ringkasan!X1393</f>
        <v>180</v>
      </c>
      <c r="Y1394" s="64">
        <f>Ringkasan!Y1393</f>
        <v>173</v>
      </c>
      <c r="Z1394" s="64">
        <f>Ringkasan!Z1393</f>
        <v>3101300</v>
      </c>
      <c r="AA1394" s="64" t="str">
        <f>Ringkasan!AA1393</f>
        <v>Logistics &amp; Deliveries</v>
      </c>
      <c r="AB1394" s="64" t="str">
        <f>Ringkasan!AB1393</f>
        <v>Transportation &amp; Logistic</v>
      </c>
    </row>
    <row r="1395" hidden="1">
      <c r="A1395" s="64" t="str">
        <f>Ringkasan!A1394</f>
        <v>PKPK</v>
      </c>
      <c r="B1395" s="64" t="str">
        <f>Ringkasan!B1394</f>
        <v>Paragon Karya Perkasa Tbk.</v>
      </c>
      <c r="C1395" s="65">
        <f>Ringkasan!C1394</f>
        <v>2670</v>
      </c>
      <c r="D1395" s="64" t="str">
        <f>Ringkasan!D1394</f>
        <v>#N/A</v>
      </c>
      <c r="E1395" s="64" t="str">
        <f>Ringkasan!E1394</f>
        <v/>
      </c>
      <c r="F1395" s="64" t="str">
        <f>Ringkasan!F1394</f>
        <v/>
      </c>
      <c r="G1395" s="64">
        <f>Ringkasan!G1394</f>
        <v>0</v>
      </c>
      <c r="H1395" s="19">
        <f>Ringkasan!H1394</f>
        <v>63.5</v>
      </c>
      <c r="I1395" s="19">
        <f>Ringkasan!I1394</f>
        <v>10.5</v>
      </c>
      <c r="J1395" s="19">
        <f>Ringkasan!J1394</f>
        <v>16.5</v>
      </c>
      <c r="K1395" s="19">
        <f>Ringkasan!K1394</f>
        <v>7.9</v>
      </c>
      <c r="L1395" s="19">
        <f>Ringkasan!L1394</f>
        <v>1.1</v>
      </c>
      <c r="M1395" s="19">
        <f>Ringkasan!M1394</f>
        <v>28.4</v>
      </c>
      <c r="N1395" s="64" t="str">
        <f>Ringkasan!N1394</f>
        <v/>
      </c>
      <c r="O1395" s="64" t="str">
        <f>Ringkasan!O1394</f>
        <v/>
      </c>
      <c r="P1395" s="64" t="str">
        <f>Ringkasan!P1394</f>
        <v/>
      </c>
      <c r="Q1395" s="64" t="str">
        <f>Ringkasan!Q1394</f>
        <v/>
      </c>
      <c r="R1395" s="64" t="str">
        <f>Ringkasan!R1394</f>
        <v/>
      </c>
      <c r="S1395" s="64" t="str">
        <f>Ringkasan!S1394</f>
        <v/>
      </c>
      <c r="T1395" s="64" t="str">
        <f>Ringkasan!T1394</f>
        <v/>
      </c>
      <c r="U1395" s="64">
        <f>Ringkasan!U1394</f>
        <v>2680</v>
      </c>
      <c r="V1395" s="64">
        <f>Ringkasan!V1394</f>
        <v>-0.37</v>
      </c>
      <c r="W1395" s="64">
        <f>Ringkasan!W1394</f>
        <v>2600</v>
      </c>
      <c r="X1395" s="64">
        <f>Ringkasan!X1394</f>
        <v>2760</v>
      </c>
      <c r="Y1395" s="64" t="str">
        <f>Ringkasan!Y1394</f>
        <v/>
      </c>
      <c r="Z1395" s="64">
        <f>Ringkasan!Z1394</f>
        <v>864700</v>
      </c>
      <c r="AA1395" s="64" t="str">
        <f>Ringkasan!AA1394</f>
        <v>Oil, Gas &amp; Coal Supports</v>
      </c>
      <c r="AB1395" s="64" t="str">
        <f>Ringkasan!AB1394</f>
        <v>Energy</v>
      </c>
    </row>
    <row r="1396" hidden="1">
      <c r="A1396" s="64" t="str">
        <f>Ringkasan!A1395</f>
        <v>PLAN</v>
      </c>
      <c r="B1396" s="64" t="str">
        <f>Ringkasan!B1395</f>
        <v>Planet Properindo Jaya Tbk.</v>
      </c>
      <c r="C1396" s="65">
        <f>Ringkasan!C1395</f>
        <v>39</v>
      </c>
      <c r="D1396" s="64" t="str">
        <f>Ringkasan!D1395</f>
        <v>#N/A</v>
      </c>
      <c r="E1396" s="64" t="str">
        <f>Ringkasan!E1395</f>
        <v/>
      </c>
      <c r="F1396" s="64" t="str">
        <f>Ringkasan!F1395</f>
        <v/>
      </c>
      <c r="G1396" s="64">
        <f>Ringkasan!G1395</f>
        <v>0</v>
      </c>
      <c r="H1396" s="19">
        <f>Ringkasan!H1395</f>
        <v>-6.7</v>
      </c>
      <c r="I1396" s="19">
        <f>Ringkasan!I1395</f>
        <v>0.67</v>
      </c>
      <c r="J1396" s="19">
        <f>Ringkasan!J1395</f>
        <v>-9.9</v>
      </c>
      <c r="K1396" s="19">
        <f>Ringkasan!K1395</f>
        <v>-6.7</v>
      </c>
      <c r="L1396" s="19">
        <f>Ringkasan!L1395</f>
        <v>0.48</v>
      </c>
      <c r="M1396" s="19">
        <f>Ringkasan!M1395</f>
        <v>-42.1</v>
      </c>
      <c r="N1396" s="64" t="str">
        <f>Ringkasan!N1395</f>
        <v/>
      </c>
      <c r="O1396" s="64" t="str">
        <f>Ringkasan!O1395</f>
        <v/>
      </c>
      <c r="P1396" s="64" t="str">
        <f>Ringkasan!P1395</f>
        <v/>
      </c>
      <c r="Q1396" s="64" t="str">
        <f>Ringkasan!Q1395</f>
        <v/>
      </c>
      <c r="R1396" s="64" t="str">
        <f>Ringkasan!R1395</f>
        <v/>
      </c>
      <c r="S1396" s="64" t="str">
        <f>Ringkasan!S1395</f>
        <v/>
      </c>
      <c r="T1396" s="64" t="str">
        <f>Ringkasan!T1395</f>
        <v/>
      </c>
      <c r="U1396" s="64">
        <f>Ringkasan!U1395</f>
        <v>0.37</v>
      </c>
      <c r="V1396" s="64">
        <f>Ringkasan!V1395</f>
        <v>-5.41</v>
      </c>
      <c r="W1396" s="64">
        <f>Ringkasan!W1395</f>
        <v>0.35</v>
      </c>
      <c r="X1396" s="64">
        <f>Ringkasan!X1395</f>
        <v>0.35</v>
      </c>
      <c r="Y1396" s="64">
        <f>Ringkasan!Y1395</f>
        <v>0.35</v>
      </c>
      <c r="Z1396" s="64">
        <f>Ringkasan!Z1395</f>
        <v>2375</v>
      </c>
      <c r="AA1396" s="64" t="str">
        <f>Ringkasan!AA1395</f>
        <v>Tourism &amp; Recreation</v>
      </c>
      <c r="AB1396" s="64" t="str">
        <f>Ringkasan!AB1395</f>
        <v>Consumer Cyclicals</v>
      </c>
    </row>
    <row r="1397" hidden="1">
      <c r="A1397" s="64" t="str">
        <f>Ringkasan!A1396</f>
        <v>PLAS</v>
      </c>
      <c r="B1397" s="64" t="str">
        <f>Ringkasan!B1396</f>
        <v>Polaris Investama Tbk</v>
      </c>
      <c r="C1397" s="65">
        <f>Ringkasan!C1396</f>
        <v>50</v>
      </c>
      <c r="D1397" s="64" t="str">
        <f>Ringkasan!D1396</f>
        <v>#N/A</v>
      </c>
      <c r="E1397" s="64" t="str">
        <f>Ringkasan!E1396</f>
        <v/>
      </c>
      <c r="F1397" s="64" t="str">
        <f>Ringkasan!F1396</f>
        <v/>
      </c>
      <c r="G1397" s="64">
        <f>Ringkasan!G1396</f>
        <v>0</v>
      </c>
      <c r="H1397" s="19">
        <f>Ringkasan!H1396</f>
        <v>0</v>
      </c>
      <c r="I1397" s="19">
        <f>Ringkasan!I1396</f>
        <v>0.38</v>
      </c>
      <c r="J1397" s="19">
        <f>Ringkasan!J1396</f>
        <v>-0.24</v>
      </c>
      <c r="K1397" s="19">
        <f>Ringkasan!K1396</f>
        <v>-0.2</v>
      </c>
      <c r="L1397" s="19">
        <f>Ringkasan!L1396</f>
        <v>0.2</v>
      </c>
      <c r="M1397" s="19">
        <f>Ringkasan!M1396</f>
        <v>-18.9</v>
      </c>
      <c r="N1397" s="64" t="str">
        <f>Ringkasan!N1396</f>
        <v/>
      </c>
      <c r="O1397" s="64" t="str">
        <f>Ringkasan!O1396</f>
        <v/>
      </c>
      <c r="P1397" s="64" t="str">
        <f>Ringkasan!P1396</f>
        <v/>
      </c>
      <c r="Q1397" s="64" t="str">
        <f>Ringkasan!Q1396</f>
        <v/>
      </c>
      <c r="R1397" s="64" t="str">
        <f>Ringkasan!R1396</f>
        <v/>
      </c>
      <c r="S1397" s="64" t="str">
        <f>Ringkasan!S1396</f>
        <v/>
      </c>
      <c r="T1397" s="64" t="str">
        <f>Ringkasan!T1396</f>
        <v/>
      </c>
      <c r="U1397" s="64">
        <f>Ringkasan!U1396</f>
        <v>0.2</v>
      </c>
      <c r="V1397" s="64">
        <f>Ringkasan!V1396</f>
        <v>-2.5</v>
      </c>
      <c r="W1397" s="64">
        <f>Ringkasan!W1396</f>
        <v>0.19</v>
      </c>
      <c r="X1397" s="64">
        <f>Ringkasan!X1396</f>
        <v>0.21</v>
      </c>
      <c r="Y1397" s="64">
        <f>Ringkasan!Y1396</f>
        <v>0.19</v>
      </c>
      <c r="Z1397" s="64">
        <f>Ringkasan!Z1396</f>
        <v>361526</v>
      </c>
      <c r="AA1397" s="64" t="str">
        <f>Ringkasan!AA1396</f>
        <v>Holding &amp; Investment Companies</v>
      </c>
      <c r="AB1397" s="64" t="str">
        <f>Ringkasan!AB1396</f>
        <v>Financials</v>
      </c>
    </row>
    <row r="1398" hidden="1">
      <c r="A1398" s="64" t="str">
        <f>Ringkasan!A1397</f>
        <v>PLIN</v>
      </c>
      <c r="B1398" s="64" t="str">
        <f>Ringkasan!B1397</f>
        <v>Plaza Indonesia Realty Tbk.</v>
      </c>
      <c r="C1398" s="65">
        <f>Ringkasan!C1397</f>
        <v>2510</v>
      </c>
      <c r="D1398" s="64" t="str">
        <f>Ringkasan!D1397</f>
        <v>#N/A</v>
      </c>
      <c r="E1398" s="64" t="str">
        <f>Ringkasan!E1397</f>
        <v/>
      </c>
      <c r="F1398" s="64" t="str">
        <f>Ringkasan!F1397</f>
        <v/>
      </c>
      <c r="G1398" s="64">
        <f>Ringkasan!G1397</f>
        <v>0</v>
      </c>
      <c r="H1398" s="19">
        <f>Ringkasan!H1397</f>
        <v>13.6</v>
      </c>
      <c r="I1398" s="19">
        <f>Ringkasan!I1397</f>
        <v>0.77</v>
      </c>
      <c r="J1398" s="19">
        <f>Ringkasan!J1397</f>
        <v>5.7</v>
      </c>
      <c r="K1398" s="19">
        <f>Ringkasan!K1397</f>
        <v>5</v>
      </c>
      <c r="L1398" s="19">
        <f>Ringkasan!L1397</f>
        <v>0.13</v>
      </c>
      <c r="M1398" s="19">
        <f>Ringkasan!M1397</f>
        <v>180</v>
      </c>
      <c r="N1398" s="64" t="str">
        <f>Ringkasan!N1397</f>
        <v/>
      </c>
      <c r="O1398" s="64" t="str">
        <f>Ringkasan!O1397</f>
        <v/>
      </c>
      <c r="P1398" s="64" t="str">
        <f>Ringkasan!P1397</f>
        <v/>
      </c>
      <c r="Q1398" s="64" t="str">
        <f>Ringkasan!Q1397</f>
        <v/>
      </c>
      <c r="R1398" s="64" t="str">
        <f>Ringkasan!R1397</f>
        <v/>
      </c>
      <c r="S1398" s="64" t="str">
        <f>Ringkasan!S1397</f>
        <v/>
      </c>
      <c r="T1398" s="64" t="str">
        <f>Ringkasan!T1397</f>
        <v/>
      </c>
      <c r="U1398" s="64">
        <f>Ringkasan!U1397</f>
        <v>2510</v>
      </c>
      <c r="V1398" s="64">
        <f>Ringkasan!V1397</f>
        <v>0</v>
      </c>
      <c r="W1398" s="64" t="str">
        <f>Ringkasan!W1397</f>
        <v/>
      </c>
      <c r="X1398" s="64" t="str">
        <f>Ringkasan!X1397</f>
        <v/>
      </c>
      <c r="Y1398" s="64" t="str">
        <f>Ringkasan!Y1397</f>
        <v/>
      </c>
      <c r="Z1398" s="64">
        <f>Ringkasan!Z1397</f>
        <v>0</v>
      </c>
      <c r="AA1398" s="64" t="str">
        <f>Ringkasan!AA1397</f>
        <v>Real Estate Management &amp; Development</v>
      </c>
      <c r="AB1398" s="64" t="str">
        <f>Ringkasan!AB1397</f>
        <v>Properties &amp; Real Estate</v>
      </c>
    </row>
    <row r="1399" hidden="1">
      <c r="A1399" s="64" t="str">
        <f>Ringkasan!A1398</f>
        <v>PMJS</v>
      </c>
      <c r="B1399" s="64" t="str">
        <f>Ringkasan!B1398</f>
        <v>Putra Mandiri Jembar Tbk.</v>
      </c>
      <c r="C1399" s="65">
        <f>Ringkasan!C1398</f>
        <v>106</v>
      </c>
      <c r="D1399" s="64" t="str">
        <f>Ringkasan!D1398</f>
        <v>#N/A</v>
      </c>
      <c r="E1399" s="64" t="str">
        <f>Ringkasan!E1398</f>
        <v/>
      </c>
      <c r="F1399" s="64" t="str">
        <f>Ringkasan!F1398</f>
        <v/>
      </c>
      <c r="G1399" s="64">
        <f>Ringkasan!G1398</f>
        <v>0</v>
      </c>
      <c r="H1399" s="19">
        <f>Ringkasan!H1398</f>
        <v>11.7</v>
      </c>
      <c r="I1399" s="19">
        <f>Ringkasan!I1398</f>
        <v>0.47</v>
      </c>
      <c r="J1399" s="19">
        <f>Ringkasan!J1398</f>
        <v>4.1</v>
      </c>
      <c r="K1399" s="19">
        <f>Ringkasan!K1398</f>
        <v>1.6</v>
      </c>
      <c r="L1399" s="19">
        <f>Ringkasan!L1398</f>
        <v>1.5</v>
      </c>
      <c r="M1399" s="19">
        <f>Ringkasan!M1398</f>
        <v>5.5</v>
      </c>
      <c r="N1399" s="64" t="str">
        <f>Ringkasan!N1398</f>
        <v/>
      </c>
      <c r="O1399" s="64" t="str">
        <f>Ringkasan!O1398</f>
        <v/>
      </c>
      <c r="P1399" s="64" t="str">
        <f>Ringkasan!P1398</f>
        <v/>
      </c>
      <c r="Q1399" s="64" t="str">
        <f>Ringkasan!Q1398</f>
        <v/>
      </c>
      <c r="R1399" s="64" t="str">
        <f>Ringkasan!R1398</f>
        <v/>
      </c>
      <c r="S1399" s="64" t="str">
        <f>Ringkasan!S1398</f>
        <v/>
      </c>
      <c r="T1399" s="64" t="str">
        <f>Ringkasan!T1398</f>
        <v/>
      </c>
      <c r="U1399" s="64">
        <f>Ringkasan!U1398</f>
        <v>106</v>
      </c>
      <c r="V1399" s="64">
        <f>Ringkasan!V1398</f>
        <v>0</v>
      </c>
      <c r="W1399" s="64">
        <f>Ringkasan!W1398</f>
        <v>106</v>
      </c>
      <c r="X1399" s="64">
        <f>Ringkasan!X1398</f>
        <v>112</v>
      </c>
      <c r="Y1399" s="64">
        <f>Ringkasan!Y1398</f>
        <v>105</v>
      </c>
      <c r="Z1399" s="64">
        <f>Ringkasan!Z1398</f>
        <v>857400</v>
      </c>
      <c r="AA1399" s="64" t="str">
        <f>Ringkasan!AA1398</f>
        <v>Specialty Retail</v>
      </c>
      <c r="AB1399" s="64" t="str">
        <f>Ringkasan!AB1398</f>
        <v>Consumer Cyclicals</v>
      </c>
    </row>
    <row r="1400" hidden="1">
      <c r="A1400" s="64" t="str">
        <f>Ringkasan!A1399</f>
        <v>PMMP</v>
      </c>
      <c r="B1400" s="64" t="str">
        <f>Ringkasan!B1399</f>
        <v>Panca Mitra Multiperdana Tbk.</v>
      </c>
      <c r="C1400" s="65">
        <f>Ringkasan!C1399</f>
        <v>50</v>
      </c>
      <c r="D1400" s="64" t="str">
        <f>Ringkasan!D1399</f>
        <v>#N/A</v>
      </c>
      <c r="E1400" s="64" t="str">
        <f>Ringkasan!E1399</f>
        <v/>
      </c>
      <c r="F1400" s="64" t="str">
        <f>Ringkasan!F1399</f>
        <v/>
      </c>
      <c r="G1400" s="64">
        <f>Ringkasan!G1399</f>
        <v>0</v>
      </c>
      <c r="H1400" s="19">
        <f>Ringkasan!H1399</f>
        <v>-0.05</v>
      </c>
      <c r="I1400" s="19">
        <f>Ringkasan!I1399</f>
        <v>-0.1</v>
      </c>
      <c r="J1400" s="19">
        <f>Ringkasan!J1399</f>
        <v>0</v>
      </c>
      <c r="K1400" s="19">
        <f>Ringkasan!K1399</f>
        <v>-92.3</v>
      </c>
      <c r="L1400" s="19">
        <f>Ringkasan!L1399</f>
        <v>-3.1</v>
      </c>
      <c r="M1400" s="19">
        <f>Ringkasan!M1399</f>
        <v>-460</v>
      </c>
      <c r="N1400" s="64" t="str">
        <f>Ringkasan!N1399</f>
        <v/>
      </c>
      <c r="O1400" s="64" t="str">
        <f>Ringkasan!O1399</f>
        <v/>
      </c>
      <c r="P1400" s="64" t="str">
        <f>Ringkasan!P1399</f>
        <v/>
      </c>
      <c r="Q1400" s="64" t="str">
        <f>Ringkasan!Q1399</f>
        <v/>
      </c>
      <c r="R1400" s="64" t="str">
        <f>Ringkasan!R1399</f>
        <v/>
      </c>
      <c r="S1400" s="64" t="str">
        <f>Ringkasan!S1399</f>
        <v/>
      </c>
      <c r="T1400" s="64" t="str">
        <f>Ringkasan!T1399</f>
        <v/>
      </c>
      <c r="U1400" s="64">
        <f>Ringkasan!U1399</f>
        <v>50</v>
      </c>
      <c r="V1400" s="64">
        <f>Ringkasan!V1399</f>
        <v>0</v>
      </c>
      <c r="W1400" s="64" t="str">
        <f>Ringkasan!W1399</f>
        <v/>
      </c>
      <c r="X1400" s="64" t="str">
        <f>Ringkasan!X1399</f>
        <v/>
      </c>
      <c r="Y1400" s="64" t="str">
        <f>Ringkasan!Y1399</f>
        <v/>
      </c>
      <c r="Z1400" s="64">
        <f>Ringkasan!Z1399</f>
        <v>0</v>
      </c>
      <c r="AA1400" s="64" t="str">
        <f>Ringkasan!AA1399</f>
        <v>Processed Foods</v>
      </c>
      <c r="AB1400" s="64" t="str">
        <f>Ringkasan!AB1399</f>
        <v>Consumer Non-Cyclicals</v>
      </c>
    </row>
    <row r="1401" hidden="1">
      <c r="A1401" s="64" t="str">
        <f>Ringkasan!A1400</f>
        <v>PMUI</v>
      </c>
      <c r="B1401" s="64" t="str">
        <f>Ringkasan!B1400</f>
        <v>Prima Multi Usaha Indonesia Tbk.</v>
      </c>
      <c r="C1401" s="65">
        <f>Ringkasan!C1400</f>
        <v>68</v>
      </c>
      <c r="D1401" s="64" t="str">
        <f>Ringkasan!D1400</f>
        <v>#N/A</v>
      </c>
      <c r="E1401" s="64" t="str">
        <f>Ringkasan!E1400</f>
        <v/>
      </c>
      <c r="F1401" s="64" t="str">
        <f>Ringkasan!F1400</f>
        <v/>
      </c>
      <c r="G1401" s="64">
        <f>Ringkasan!G1400</f>
        <v>0</v>
      </c>
      <c r="H1401" s="19">
        <f>Ringkasan!H1400</f>
        <v>10.2</v>
      </c>
      <c r="I1401" s="19">
        <f>Ringkasan!I1400</f>
        <v>0.9</v>
      </c>
      <c r="J1401" s="19">
        <f>Ringkasan!J1400</f>
        <v>8.8</v>
      </c>
      <c r="K1401" s="19">
        <f>Ringkasan!K1400</f>
        <v>6.7</v>
      </c>
      <c r="L1401" s="19">
        <f>Ringkasan!L1400</f>
        <v>0.31</v>
      </c>
      <c r="M1401" s="19">
        <f>Ringkasan!M1400</f>
        <v>3.5</v>
      </c>
      <c r="N1401" s="64" t="str">
        <f>Ringkasan!N1400</f>
        <v/>
      </c>
      <c r="O1401" s="64" t="str">
        <f>Ringkasan!O1400</f>
        <v/>
      </c>
      <c r="P1401" s="64" t="str">
        <f>Ringkasan!P1400</f>
        <v/>
      </c>
      <c r="Q1401" s="64" t="str">
        <f>Ringkasan!Q1400</f>
        <v/>
      </c>
      <c r="R1401" s="64" t="str">
        <f>Ringkasan!R1400</f>
        <v/>
      </c>
      <c r="S1401" s="64" t="str">
        <f>Ringkasan!S1400</f>
        <v/>
      </c>
      <c r="T1401" s="64" t="str">
        <f>Ringkasan!T1400</f>
        <v/>
      </c>
      <c r="U1401" s="64">
        <f>Ringkasan!U1400</f>
        <v>65</v>
      </c>
      <c r="V1401" s="64" t="str">
        <f>Ringkasan!V1400</f>
        <v/>
      </c>
      <c r="W1401" s="64" t="str">
        <f>Ringkasan!W1400</f>
        <v/>
      </c>
      <c r="X1401" s="64">
        <f>Ringkasan!X1400</f>
        <v>70</v>
      </c>
      <c r="Y1401" s="64">
        <f>Ringkasan!Y1400</f>
        <v>65</v>
      </c>
      <c r="Z1401" s="64">
        <f>Ringkasan!Z1400</f>
        <v>2309400</v>
      </c>
      <c r="AA1401" s="64" t="str">
        <f>Ringkasan!AA1400</f>
        <v>Consumer Distributors</v>
      </c>
      <c r="AB1401" s="64" t="str">
        <f>Ringkasan!AB1400</f>
        <v>Consumer Cyclicals</v>
      </c>
    </row>
    <row r="1402" hidden="1">
      <c r="A1402" s="64" t="str">
        <f>Ringkasan!A1401</f>
        <v>PNBN</v>
      </c>
      <c r="B1402" s="64" t="str">
        <f>Ringkasan!B1401</f>
        <v>Bank Pan Indonesia Tbk</v>
      </c>
      <c r="C1402" s="65" t="str">
        <f>Ringkasan!C1401</f>
        <v>#N/A</v>
      </c>
      <c r="D1402" s="64" t="str">
        <f>Ringkasan!D1401</f>
        <v>#N/A</v>
      </c>
      <c r="E1402" s="64" t="str">
        <f>Ringkasan!E1401</f>
        <v>Infobank15</v>
      </c>
      <c r="F1402" s="64" t="str">
        <f>Ringkasan!F1401</f>
        <v>30 Juni 2026</v>
      </c>
      <c r="G1402" s="64">
        <f>Ringkasan!G1401</f>
        <v>3</v>
      </c>
      <c r="H1402" s="19">
        <f>Ringkasan!H1401</f>
        <v>8.4</v>
      </c>
      <c r="I1402" s="19">
        <f>Ringkasan!I1401</f>
        <v>0.39</v>
      </c>
      <c r="J1402" s="19">
        <f>Ringkasan!J1401</f>
        <v>4.7</v>
      </c>
      <c r="K1402" s="19">
        <f>Ringkasan!K1401</f>
        <v>1.2</v>
      </c>
      <c r="L1402" s="19">
        <f>Ringkasan!L1401</f>
        <v>2.6</v>
      </c>
      <c r="M1402" s="19">
        <f>Ringkasan!M1401</f>
        <v>70.4</v>
      </c>
      <c r="N1402" s="64">
        <f>Ringkasan!N1401</f>
        <v>3.67</v>
      </c>
      <c r="O1402" s="64">
        <f>Ringkasan!O1401</f>
        <v>32.41</v>
      </c>
      <c r="P1402" s="64">
        <f>Ringkasan!P1401</f>
        <v>87.4</v>
      </c>
      <c r="Q1402" s="64">
        <f>Ringkasan!Q1401</f>
        <v>3.03</v>
      </c>
      <c r="R1402" s="64">
        <f>Ringkasan!R1401</f>
        <v>81.11</v>
      </c>
      <c r="S1402" s="64">
        <f>Ringkasan!S1401</f>
        <v>50.49</v>
      </c>
      <c r="T1402" s="64">
        <f>Ringkasan!T1401</f>
        <v>9.47</v>
      </c>
      <c r="U1402" s="64">
        <f>Ringkasan!U1401</f>
        <v>915</v>
      </c>
      <c r="V1402" s="64">
        <f>Ringkasan!V1401</f>
        <v>0</v>
      </c>
      <c r="W1402" s="64">
        <f>Ringkasan!W1401</f>
        <v>930</v>
      </c>
      <c r="X1402" s="64">
        <f>Ringkasan!X1401</f>
        <v>940</v>
      </c>
      <c r="Y1402" s="64">
        <f>Ringkasan!Y1401</f>
        <v>915</v>
      </c>
      <c r="Z1402" s="64">
        <f>Ringkasan!Z1401</f>
        <v>527900</v>
      </c>
      <c r="AA1402" s="64" t="str">
        <f>Ringkasan!AA1401</f>
        <v>Banks</v>
      </c>
      <c r="AB1402" s="64" t="str">
        <f>Ringkasan!AB1401</f>
        <v>Financials</v>
      </c>
    </row>
    <row r="1403" hidden="1">
      <c r="A1403" s="64" t="str">
        <f>Ringkasan!A1402</f>
        <v>PNBN</v>
      </c>
      <c r="B1403" s="64" t="str">
        <f>Ringkasan!B1402</f>
        <v>Bank Pan Indonesia Tbk</v>
      </c>
      <c r="C1403" s="65" t="str">
        <f>Ringkasan!C1402</f>
        <v>#N/A</v>
      </c>
      <c r="D1403" s="64" t="str">
        <f>Ringkasan!D1402</f>
        <v>#N/A</v>
      </c>
      <c r="E1403" s="64" t="str">
        <f>Ringkasan!E1402</f>
        <v>Pefindo - iGrade</v>
      </c>
      <c r="F1403" s="64" t="str">
        <f>Ringkasan!F1402</f>
        <v>30 Juni 2026</v>
      </c>
      <c r="G1403" s="64">
        <f>Ringkasan!G1402</f>
        <v>3</v>
      </c>
      <c r="H1403" s="19">
        <f>Ringkasan!H1402</f>
        <v>8.4</v>
      </c>
      <c r="I1403" s="19">
        <f>Ringkasan!I1402</f>
        <v>0.39</v>
      </c>
      <c r="J1403" s="19">
        <f>Ringkasan!J1402</f>
        <v>4.7</v>
      </c>
      <c r="K1403" s="19">
        <f>Ringkasan!K1402</f>
        <v>1.2</v>
      </c>
      <c r="L1403" s="19">
        <f>Ringkasan!L1402</f>
        <v>2.6</v>
      </c>
      <c r="M1403" s="19">
        <f>Ringkasan!M1402</f>
        <v>70.4</v>
      </c>
      <c r="N1403" s="64">
        <f>Ringkasan!N1402</f>
        <v>3.67</v>
      </c>
      <c r="O1403" s="64">
        <f>Ringkasan!O1402</f>
        <v>32.41</v>
      </c>
      <c r="P1403" s="64">
        <f>Ringkasan!P1402</f>
        <v>87.4</v>
      </c>
      <c r="Q1403" s="64">
        <f>Ringkasan!Q1402</f>
        <v>3.03</v>
      </c>
      <c r="R1403" s="64">
        <f>Ringkasan!R1402</f>
        <v>81.11</v>
      </c>
      <c r="S1403" s="64">
        <f>Ringkasan!S1402</f>
        <v>50.49</v>
      </c>
      <c r="T1403" s="64">
        <f>Ringkasan!T1402</f>
        <v>9.47</v>
      </c>
      <c r="U1403" s="64">
        <f>Ringkasan!U1402</f>
        <v>915</v>
      </c>
      <c r="V1403" s="64">
        <f>Ringkasan!V1402</f>
        <v>0</v>
      </c>
      <c r="W1403" s="64">
        <f>Ringkasan!W1402</f>
        <v>930</v>
      </c>
      <c r="X1403" s="64">
        <f>Ringkasan!X1402</f>
        <v>940</v>
      </c>
      <c r="Y1403" s="64">
        <f>Ringkasan!Y1402</f>
        <v>915</v>
      </c>
      <c r="Z1403" s="64">
        <f>Ringkasan!Z1402</f>
        <v>527900</v>
      </c>
      <c r="AA1403" s="64" t="str">
        <f>Ringkasan!AA1402</f>
        <v>Banks</v>
      </c>
      <c r="AB1403" s="64" t="str">
        <f>Ringkasan!AB1402</f>
        <v>Financials</v>
      </c>
    </row>
    <row r="1404" hidden="1">
      <c r="A1404" s="64" t="str">
        <f>Ringkasan!A1403</f>
        <v>PNBN</v>
      </c>
      <c r="B1404" s="64" t="str">
        <f>Ringkasan!B1403</f>
        <v>Bank Pan Indonesia Tbk</v>
      </c>
      <c r="C1404" s="65" t="str">
        <f>Ringkasan!C1403</f>
        <v>#N/A</v>
      </c>
      <c r="D1404" s="64" t="str">
        <f>Ringkasan!D1403</f>
        <v>#N/A</v>
      </c>
      <c r="E1404" s="64" t="str">
        <f>Ringkasan!E1403</f>
        <v>PRIMBANK-10</v>
      </c>
      <c r="F1404" s="64" t="str">
        <f>Ringkasan!F1403</f>
        <v>30 Juni 2026</v>
      </c>
      <c r="G1404" s="64">
        <f>Ringkasan!G1403</f>
        <v>3</v>
      </c>
      <c r="H1404" s="19">
        <f>Ringkasan!H1403</f>
        <v>8.4</v>
      </c>
      <c r="I1404" s="19">
        <f>Ringkasan!I1403</f>
        <v>0.39</v>
      </c>
      <c r="J1404" s="19">
        <f>Ringkasan!J1403</f>
        <v>4.7</v>
      </c>
      <c r="K1404" s="19">
        <f>Ringkasan!K1403</f>
        <v>1.2</v>
      </c>
      <c r="L1404" s="19">
        <f>Ringkasan!L1403</f>
        <v>2.6</v>
      </c>
      <c r="M1404" s="19">
        <f>Ringkasan!M1403</f>
        <v>70.4</v>
      </c>
      <c r="N1404" s="64">
        <f>Ringkasan!N1403</f>
        <v>3.67</v>
      </c>
      <c r="O1404" s="64">
        <f>Ringkasan!O1403</f>
        <v>32.41</v>
      </c>
      <c r="P1404" s="64">
        <f>Ringkasan!P1403</f>
        <v>87.4</v>
      </c>
      <c r="Q1404" s="64">
        <f>Ringkasan!Q1403</f>
        <v>3.03</v>
      </c>
      <c r="R1404" s="64">
        <f>Ringkasan!R1403</f>
        <v>81.11</v>
      </c>
      <c r="S1404" s="64">
        <f>Ringkasan!S1403</f>
        <v>50.49</v>
      </c>
      <c r="T1404" s="64">
        <f>Ringkasan!T1403</f>
        <v>9.47</v>
      </c>
      <c r="U1404" s="64">
        <f>Ringkasan!U1403</f>
        <v>915</v>
      </c>
      <c r="V1404" s="64">
        <f>Ringkasan!V1403</f>
        <v>0</v>
      </c>
      <c r="W1404" s="64">
        <f>Ringkasan!W1403</f>
        <v>930</v>
      </c>
      <c r="X1404" s="64">
        <f>Ringkasan!X1403</f>
        <v>940</v>
      </c>
      <c r="Y1404" s="64">
        <f>Ringkasan!Y1403</f>
        <v>915</v>
      </c>
      <c r="Z1404" s="64">
        <f>Ringkasan!Z1403</f>
        <v>527900</v>
      </c>
      <c r="AA1404" s="64" t="str">
        <f>Ringkasan!AA1403</f>
        <v>Banks</v>
      </c>
      <c r="AB1404" s="64" t="str">
        <f>Ringkasan!AB1403</f>
        <v>Financials</v>
      </c>
    </row>
    <row r="1405" hidden="1">
      <c r="A1405" s="64" t="str">
        <f>Ringkasan!A1404</f>
        <v>PNBS</v>
      </c>
      <c r="B1405" s="64" t="str">
        <f>Ringkasan!B1404</f>
        <v>PT Bank Panin Dubai Syariah Tbk.</v>
      </c>
      <c r="C1405" s="65">
        <f>Ringkasan!C1404</f>
        <v>50</v>
      </c>
      <c r="D1405" s="64" t="str">
        <f>Ringkasan!D1404</f>
        <v>#N/A</v>
      </c>
      <c r="E1405" s="64" t="str">
        <f>Ringkasan!E1404</f>
        <v/>
      </c>
      <c r="F1405" s="64" t="str">
        <f>Ringkasan!F1404</f>
        <v/>
      </c>
      <c r="G1405" s="64">
        <f>Ringkasan!G1404</f>
        <v>0</v>
      </c>
      <c r="H1405" s="19">
        <f>Ringkasan!H1404</f>
        <v>34</v>
      </c>
      <c r="I1405" s="19">
        <f>Ringkasan!I1404</f>
        <v>0.65</v>
      </c>
      <c r="J1405" s="19">
        <f>Ringkasan!J1404</f>
        <v>1.9</v>
      </c>
      <c r="K1405" s="19">
        <f>Ringkasan!K1404</f>
        <v>0.29</v>
      </c>
      <c r="L1405" s="19">
        <f>Ringkasan!L1404</f>
        <v>0.39</v>
      </c>
      <c r="M1405" s="19">
        <f>Ringkasan!M1404</f>
        <v>39.7</v>
      </c>
      <c r="N1405" s="64" t="str">
        <f>Ringkasan!N1404</f>
        <v/>
      </c>
      <c r="O1405" s="64">
        <f>Ringkasan!O1404</f>
        <v>21.94</v>
      </c>
      <c r="P1405" s="64" t="str">
        <f>Ringkasan!P1404</f>
        <v/>
      </c>
      <c r="Q1405" s="64">
        <f>Ringkasan!Q1404</f>
        <v>3.25</v>
      </c>
      <c r="R1405" s="64" t="str">
        <f>Ringkasan!R1404</f>
        <v/>
      </c>
      <c r="S1405" s="64" t="str">
        <f>Ringkasan!S1404</f>
        <v/>
      </c>
      <c r="T1405" s="64" t="str">
        <f>Ringkasan!T1404</f>
        <v/>
      </c>
      <c r="U1405" s="64">
        <f>Ringkasan!U1404</f>
        <v>50</v>
      </c>
      <c r="V1405" s="64">
        <f>Ringkasan!V1404</f>
        <v>0</v>
      </c>
      <c r="W1405" s="64">
        <f>Ringkasan!W1404</f>
        <v>50</v>
      </c>
      <c r="X1405" s="64" t="str">
        <f>Ringkasan!X1404</f>
        <v/>
      </c>
      <c r="Y1405" s="64">
        <f>Ringkasan!Y1404</f>
        <v>50</v>
      </c>
      <c r="Z1405" s="64">
        <f>Ringkasan!Z1404</f>
        <v>16736700</v>
      </c>
      <c r="AA1405" s="64" t="str">
        <f>Ringkasan!AA1404</f>
        <v>Banks</v>
      </c>
      <c r="AB1405" s="64" t="str">
        <f>Ringkasan!AB1404</f>
        <v>Financials</v>
      </c>
    </row>
    <row r="1406" hidden="1">
      <c r="A1406" s="64" t="str">
        <f>Ringkasan!A1405</f>
        <v>PNGO</v>
      </c>
      <c r="B1406" s="64" t="str">
        <f>Ringkasan!B1405</f>
        <v>Pinago Utama Tbk.</v>
      </c>
      <c r="C1406" s="65" t="str">
        <f>Ringkasan!C1405</f>
        <v>#N/A</v>
      </c>
      <c r="D1406" s="64" t="str">
        <f>Ringkasan!D1405</f>
        <v>#N/A</v>
      </c>
      <c r="E1406" s="64" t="str">
        <f>Ringkasan!E1405</f>
        <v/>
      </c>
      <c r="F1406" s="64" t="str">
        <f>Ringkasan!F1405</f>
        <v/>
      </c>
      <c r="G1406" s="65">
        <f>Ringkasan!G1405</f>
        <v>0</v>
      </c>
      <c r="H1406" s="19">
        <f>Ringkasan!H1405</f>
        <v>10</v>
      </c>
      <c r="I1406" s="19">
        <f>Ringkasan!I1405</f>
        <v>2.4</v>
      </c>
      <c r="J1406" s="19">
        <f>Ringkasan!J1405</f>
        <v>24</v>
      </c>
      <c r="K1406" s="19">
        <f>Ringkasan!K1405</f>
        <v>16.2</v>
      </c>
      <c r="L1406" s="19">
        <f>Ringkasan!L1405</f>
        <v>0.48</v>
      </c>
      <c r="M1406" s="19">
        <f>Ringkasan!M1405</f>
        <v>47.9</v>
      </c>
      <c r="N1406" s="64" t="str">
        <f>Ringkasan!N1405</f>
        <v/>
      </c>
      <c r="O1406" s="64" t="str">
        <f>Ringkasan!O1405</f>
        <v/>
      </c>
      <c r="P1406" s="64" t="str">
        <f>Ringkasan!P1405</f>
        <v/>
      </c>
      <c r="Q1406" s="64" t="str">
        <f>Ringkasan!Q1405</f>
        <v/>
      </c>
      <c r="R1406" s="64" t="str">
        <f>Ringkasan!R1405</f>
        <v/>
      </c>
      <c r="S1406" s="64" t="str">
        <f>Ringkasan!S1405</f>
        <v/>
      </c>
      <c r="T1406" s="64" t="str">
        <f>Ringkasan!T1405</f>
        <v/>
      </c>
      <c r="U1406" s="64">
        <f>Ringkasan!U1405</f>
        <v>3410</v>
      </c>
      <c r="V1406" s="64">
        <f>Ringkasan!V1405</f>
        <v>0.59</v>
      </c>
      <c r="W1406" s="64">
        <f>Ringkasan!W1405</f>
        <v>3410</v>
      </c>
      <c r="X1406" s="64">
        <f>Ringkasan!X1405</f>
        <v>3460</v>
      </c>
      <c r="Y1406" s="64">
        <f>Ringkasan!Y1405</f>
        <v>3410</v>
      </c>
      <c r="Z1406" s="64">
        <f>Ringkasan!Z1405</f>
        <v>5700</v>
      </c>
      <c r="AA1406" s="64" t="str">
        <f>Ringkasan!AA1405</f>
        <v>Agricultural Products</v>
      </c>
      <c r="AB1406" s="64" t="str">
        <f>Ringkasan!AB1405</f>
        <v>Consumer Non-Cyclicals</v>
      </c>
    </row>
    <row r="1407" hidden="1">
      <c r="A1407" s="64" t="str">
        <f>Ringkasan!A1406</f>
        <v>PNIN</v>
      </c>
      <c r="B1407" s="64" t="str">
        <f>Ringkasan!B1406</f>
        <v>Paninvest Tbk.</v>
      </c>
      <c r="C1407" s="65">
        <f>Ringkasan!C1406</f>
        <v>710</v>
      </c>
      <c r="D1407" s="64" t="str">
        <f>Ringkasan!D1406</f>
        <v>#N/A</v>
      </c>
      <c r="E1407" s="64" t="str">
        <f>Ringkasan!E1406</f>
        <v/>
      </c>
      <c r="F1407" s="64" t="str">
        <f>Ringkasan!F1406</f>
        <v/>
      </c>
      <c r="G1407" s="64">
        <f>Ringkasan!G1406</f>
        <v>0</v>
      </c>
      <c r="H1407" s="19">
        <f>Ringkasan!H1406</f>
        <v>2.6</v>
      </c>
      <c r="I1407" s="19">
        <f>Ringkasan!I1406</f>
        <v>0.04</v>
      </c>
      <c r="J1407" s="19">
        <f>Ringkasan!J1406</f>
        <v>1.7</v>
      </c>
      <c r="K1407" s="19">
        <f>Ringkasan!K1406</f>
        <v>0.5</v>
      </c>
      <c r="L1407" s="19">
        <f>Ringkasan!L1406</f>
        <v>2.2</v>
      </c>
      <c r="M1407" s="19">
        <f>Ringkasan!M1406</f>
        <v>34.8</v>
      </c>
      <c r="N1407" s="64" t="str">
        <f>Ringkasan!N1406</f>
        <v/>
      </c>
      <c r="O1407" s="64" t="str">
        <f>Ringkasan!O1406</f>
        <v/>
      </c>
      <c r="P1407" s="64" t="str">
        <f>Ringkasan!P1406</f>
        <v/>
      </c>
      <c r="Q1407" s="64" t="str">
        <f>Ringkasan!Q1406</f>
        <v/>
      </c>
      <c r="R1407" s="64" t="str">
        <f>Ringkasan!R1406</f>
        <v/>
      </c>
      <c r="S1407" s="64" t="str">
        <f>Ringkasan!S1406</f>
        <v/>
      </c>
      <c r="T1407" s="64" t="str">
        <f>Ringkasan!T1406</f>
        <v/>
      </c>
      <c r="U1407" s="64">
        <f>Ringkasan!U1406</f>
        <v>700</v>
      </c>
      <c r="V1407" s="64">
        <f>Ringkasan!V1406</f>
        <v>1.43</v>
      </c>
      <c r="W1407" s="64">
        <f>Ringkasan!W1406</f>
        <v>695</v>
      </c>
      <c r="X1407" s="64">
        <f>Ringkasan!X1406</f>
        <v>715</v>
      </c>
      <c r="Y1407" s="64">
        <f>Ringkasan!Y1406</f>
        <v>695</v>
      </c>
      <c r="Z1407" s="64" t="str">
        <f>Ringkasan!Z1406</f>
        <v/>
      </c>
      <c r="AA1407" s="64" t="str">
        <f>Ringkasan!AA1406</f>
        <v>Insurance</v>
      </c>
      <c r="AB1407" s="64" t="str">
        <f>Ringkasan!AB1406</f>
        <v>Financials</v>
      </c>
    </row>
    <row r="1408" hidden="1">
      <c r="A1408" s="64" t="str">
        <f>Ringkasan!A1407</f>
        <v>PNLF</v>
      </c>
      <c r="B1408" s="64" t="str">
        <f>Ringkasan!B1407</f>
        <v>Panin Financial Tbk.</v>
      </c>
      <c r="C1408" s="65" t="str">
        <f>Ringkasan!C1407</f>
        <v>#N/A</v>
      </c>
      <c r="D1408" s="64" t="str">
        <f>Ringkasan!D1407</f>
        <v>#N/A</v>
      </c>
      <c r="E1408" s="64" t="str">
        <f>Ringkasan!E1407</f>
        <v>ECONOMIC30</v>
      </c>
      <c r="F1408" s="64" t="str">
        <f>Ringkasan!F1407</f>
        <v>31 Agustus 2026</v>
      </c>
      <c r="G1408" s="64">
        <f>Ringkasan!G1407</f>
        <v>4</v>
      </c>
      <c r="H1408" s="19">
        <f>Ringkasan!H1407</f>
        <v>3.6</v>
      </c>
      <c r="I1408" s="19">
        <f>Ringkasan!I1407</f>
        <v>0.11</v>
      </c>
      <c r="J1408" s="19">
        <f>Ringkasan!J1407</f>
        <v>3.1</v>
      </c>
      <c r="K1408" s="19">
        <f>Ringkasan!K1407</f>
        <v>0.88</v>
      </c>
      <c r="L1408" s="19">
        <f>Ringkasan!L1407</f>
        <v>2.3</v>
      </c>
      <c r="M1408" s="19">
        <f>Ringkasan!M1407</f>
        <v>62.6</v>
      </c>
      <c r="N1408" s="64" t="str">
        <f>Ringkasan!N1407</f>
        <v/>
      </c>
      <c r="O1408" s="64" t="str">
        <f>Ringkasan!O1407</f>
        <v/>
      </c>
      <c r="P1408" s="64" t="str">
        <f>Ringkasan!P1407</f>
        <v/>
      </c>
      <c r="Q1408" s="64" t="str">
        <f>Ringkasan!Q1407</f>
        <v/>
      </c>
      <c r="R1408" s="64" t="str">
        <f>Ringkasan!R1407</f>
        <v/>
      </c>
      <c r="S1408" s="64" t="str">
        <f>Ringkasan!S1407</f>
        <v/>
      </c>
      <c r="T1408" s="64" t="str">
        <f>Ringkasan!T1407</f>
        <v/>
      </c>
      <c r="U1408" s="64">
        <f>Ringkasan!U1407</f>
        <v>206</v>
      </c>
      <c r="V1408" s="64">
        <f>Ringkasan!V1407</f>
        <v>2.91</v>
      </c>
      <c r="W1408" s="64">
        <f>Ringkasan!W1407</f>
        <v>208</v>
      </c>
      <c r="X1408" s="64">
        <f>Ringkasan!X1407</f>
        <v>216</v>
      </c>
      <c r="Y1408" s="64">
        <f>Ringkasan!Y1407</f>
        <v>208</v>
      </c>
      <c r="Z1408" s="64">
        <f>Ringkasan!Z1407</f>
        <v>70944600</v>
      </c>
      <c r="AA1408" s="64" t="str">
        <f>Ringkasan!AA1407</f>
        <v>Insurance</v>
      </c>
      <c r="AB1408" s="64" t="str">
        <f>Ringkasan!AB1407</f>
        <v>Financials</v>
      </c>
    </row>
    <row r="1409" hidden="1">
      <c r="A1409" s="64" t="str">
        <f>Ringkasan!A1408</f>
        <v>PNLF</v>
      </c>
      <c r="B1409" s="64" t="str">
        <f>Ringkasan!B1408</f>
        <v>Panin Financial Tbk.</v>
      </c>
      <c r="C1409" s="65" t="str">
        <f>Ringkasan!C1408</f>
        <v>#N/A</v>
      </c>
      <c r="D1409" s="64" t="str">
        <f>Ringkasan!D1408</f>
        <v>#N/A</v>
      </c>
      <c r="E1409" s="64" t="str">
        <f>Ringkasan!E1408</f>
        <v>IDXV30</v>
      </c>
      <c r="F1409" s="64" t="str">
        <f>Ringkasan!F1408</f>
        <v>4 Agustus 2026</v>
      </c>
      <c r="G1409" s="64">
        <f>Ringkasan!G1408</f>
        <v>4</v>
      </c>
      <c r="H1409" s="19">
        <f>Ringkasan!H1408</f>
        <v>3.6</v>
      </c>
      <c r="I1409" s="19">
        <f>Ringkasan!I1408</f>
        <v>0.11</v>
      </c>
      <c r="J1409" s="19">
        <f>Ringkasan!J1408</f>
        <v>3.1</v>
      </c>
      <c r="K1409" s="19">
        <f>Ringkasan!K1408</f>
        <v>0.88</v>
      </c>
      <c r="L1409" s="19">
        <f>Ringkasan!L1408</f>
        <v>2.3</v>
      </c>
      <c r="M1409" s="19">
        <f>Ringkasan!M1408</f>
        <v>62.6</v>
      </c>
      <c r="N1409" s="64" t="str">
        <f>Ringkasan!N1408</f>
        <v/>
      </c>
      <c r="O1409" s="64" t="str">
        <f>Ringkasan!O1408</f>
        <v/>
      </c>
      <c r="P1409" s="64" t="str">
        <f>Ringkasan!P1408</f>
        <v/>
      </c>
      <c r="Q1409" s="64" t="str">
        <f>Ringkasan!Q1408</f>
        <v/>
      </c>
      <c r="R1409" s="64" t="str">
        <f>Ringkasan!R1408</f>
        <v/>
      </c>
      <c r="S1409" s="64" t="str">
        <f>Ringkasan!S1408</f>
        <v/>
      </c>
      <c r="T1409" s="64" t="str">
        <f>Ringkasan!T1408</f>
        <v/>
      </c>
      <c r="U1409" s="64">
        <f>Ringkasan!U1408</f>
        <v>206</v>
      </c>
      <c r="V1409" s="64">
        <f>Ringkasan!V1408</f>
        <v>2.91</v>
      </c>
      <c r="W1409" s="64">
        <f>Ringkasan!W1408</f>
        <v>208</v>
      </c>
      <c r="X1409" s="64">
        <f>Ringkasan!X1408</f>
        <v>216</v>
      </c>
      <c r="Y1409" s="64">
        <f>Ringkasan!Y1408</f>
        <v>208</v>
      </c>
      <c r="Z1409" s="64">
        <f>Ringkasan!Z1408</f>
        <v>70944600</v>
      </c>
      <c r="AA1409" s="64" t="str">
        <f>Ringkasan!AA1408</f>
        <v>Insurance</v>
      </c>
      <c r="AB1409" s="64" t="str">
        <f>Ringkasan!AB1408</f>
        <v>Financials</v>
      </c>
    </row>
    <row r="1410" hidden="1">
      <c r="A1410" s="64" t="str">
        <f>Ringkasan!A1409</f>
        <v>PNLF</v>
      </c>
      <c r="B1410" s="64" t="str">
        <f>Ringkasan!B1409</f>
        <v>Panin Financial Tbk.</v>
      </c>
      <c r="C1410" s="65" t="str">
        <f>Ringkasan!C1409</f>
        <v>#N/A</v>
      </c>
      <c r="D1410" s="64" t="str">
        <f>Ringkasan!D1409</f>
        <v>#N/A</v>
      </c>
      <c r="E1410" s="64" t="str">
        <f>Ringkasan!E1409</f>
        <v>IDX80</v>
      </c>
      <c r="F1410" s="64" t="str">
        <f>Ringkasan!F1409</f>
        <v>31 Juli 2026</v>
      </c>
      <c r="G1410" s="64">
        <f>Ringkasan!G1409</f>
        <v>4</v>
      </c>
      <c r="H1410" s="19">
        <f>Ringkasan!H1409</f>
        <v>3.6</v>
      </c>
      <c r="I1410" s="19">
        <f>Ringkasan!I1409</f>
        <v>0.11</v>
      </c>
      <c r="J1410" s="19">
        <f>Ringkasan!J1409</f>
        <v>3.1</v>
      </c>
      <c r="K1410" s="19">
        <f>Ringkasan!K1409</f>
        <v>0.88</v>
      </c>
      <c r="L1410" s="19">
        <f>Ringkasan!L1409</f>
        <v>2.3</v>
      </c>
      <c r="M1410" s="19">
        <f>Ringkasan!M1409</f>
        <v>62.6</v>
      </c>
      <c r="N1410" s="64" t="str">
        <f>Ringkasan!N1409</f>
        <v/>
      </c>
      <c r="O1410" s="64" t="str">
        <f>Ringkasan!O1409</f>
        <v/>
      </c>
      <c r="P1410" s="64" t="str">
        <f>Ringkasan!P1409</f>
        <v/>
      </c>
      <c r="Q1410" s="64" t="str">
        <f>Ringkasan!Q1409</f>
        <v/>
      </c>
      <c r="R1410" s="64" t="str">
        <f>Ringkasan!R1409</f>
        <v/>
      </c>
      <c r="S1410" s="64" t="str">
        <f>Ringkasan!S1409</f>
        <v/>
      </c>
      <c r="T1410" s="64" t="str">
        <f>Ringkasan!T1409</f>
        <v/>
      </c>
      <c r="U1410" s="64">
        <f>Ringkasan!U1409</f>
        <v>206</v>
      </c>
      <c r="V1410" s="64">
        <f>Ringkasan!V1409</f>
        <v>2.91</v>
      </c>
      <c r="W1410" s="64">
        <f>Ringkasan!W1409</f>
        <v>208</v>
      </c>
      <c r="X1410" s="64">
        <f>Ringkasan!X1409</f>
        <v>216</v>
      </c>
      <c r="Y1410" s="64">
        <f>Ringkasan!Y1409</f>
        <v>208</v>
      </c>
      <c r="Z1410" s="64">
        <f>Ringkasan!Z1409</f>
        <v>70944600</v>
      </c>
      <c r="AA1410" s="64" t="str">
        <f>Ringkasan!AA1409</f>
        <v>Insurance</v>
      </c>
      <c r="AB1410" s="64" t="str">
        <f>Ringkasan!AB1409</f>
        <v>Financials</v>
      </c>
    </row>
    <row r="1411" hidden="1">
      <c r="A1411" s="64" t="str">
        <f>Ringkasan!A1410</f>
        <v>PNLF</v>
      </c>
      <c r="B1411" s="64" t="str">
        <f>Ringkasan!B1410</f>
        <v>Panin Financial Tbk.</v>
      </c>
      <c r="C1411" s="65" t="str">
        <f>Ringkasan!C1410</f>
        <v>#N/A</v>
      </c>
      <c r="D1411" s="64" t="str">
        <f>Ringkasan!D1410</f>
        <v>#N/A</v>
      </c>
      <c r="E1411" s="64" t="str">
        <f>Ringkasan!E1410</f>
        <v>Kompas100</v>
      </c>
      <c r="F1411" s="64" t="str">
        <f>Ringkasan!F1410</f>
        <v>31 Juli 2026</v>
      </c>
      <c r="G1411" s="64">
        <f>Ringkasan!G1410</f>
        <v>4</v>
      </c>
      <c r="H1411" s="19">
        <f>Ringkasan!H1410</f>
        <v>3.6</v>
      </c>
      <c r="I1411" s="19">
        <f>Ringkasan!I1410</f>
        <v>0.11</v>
      </c>
      <c r="J1411" s="19">
        <f>Ringkasan!J1410</f>
        <v>3.1</v>
      </c>
      <c r="K1411" s="19">
        <f>Ringkasan!K1410</f>
        <v>0.88</v>
      </c>
      <c r="L1411" s="19">
        <f>Ringkasan!L1410</f>
        <v>2.3</v>
      </c>
      <c r="M1411" s="19">
        <f>Ringkasan!M1410</f>
        <v>62.6</v>
      </c>
      <c r="N1411" s="64" t="str">
        <f>Ringkasan!N1410</f>
        <v/>
      </c>
      <c r="O1411" s="64" t="str">
        <f>Ringkasan!O1410</f>
        <v/>
      </c>
      <c r="P1411" s="64" t="str">
        <f>Ringkasan!P1410</f>
        <v/>
      </c>
      <c r="Q1411" s="64" t="str">
        <f>Ringkasan!Q1410</f>
        <v/>
      </c>
      <c r="R1411" s="64" t="str">
        <f>Ringkasan!R1410</f>
        <v/>
      </c>
      <c r="S1411" s="64" t="str">
        <f>Ringkasan!S1410</f>
        <v/>
      </c>
      <c r="T1411" s="64" t="str">
        <f>Ringkasan!T1410</f>
        <v/>
      </c>
      <c r="U1411" s="64">
        <f>Ringkasan!U1410</f>
        <v>206</v>
      </c>
      <c r="V1411" s="64">
        <f>Ringkasan!V1410</f>
        <v>2.91</v>
      </c>
      <c r="W1411" s="64">
        <f>Ringkasan!W1410</f>
        <v>208</v>
      </c>
      <c r="X1411" s="64">
        <f>Ringkasan!X1410</f>
        <v>216</v>
      </c>
      <c r="Y1411" s="64">
        <f>Ringkasan!Y1410</f>
        <v>208</v>
      </c>
      <c r="Z1411" s="64">
        <f>Ringkasan!Z1410</f>
        <v>70944600</v>
      </c>
      <c r="AA1411" s="64" t="str">
        <f>Ringkasan!AA1410</f>
        <v>Insurance</v>
      </c>
      <c r="AB1411" s="64" t="str">
        <f>Ringkasan!AB1410</f>
        <v>Financials</v>
      </c>
    </row>
    <row r="1412" hidden="1">
      <c r="A1412" s="64" t="str">
        <f>Ringkasan!A1411</f>
        <v>PNSE</v>
      </c>
      <c r="B1412" s="64" t="str">
        <f>Ringkasan!B1411</f>
        <v>Pudjiadi &amp; Sons Tbk.</v>
      </c>
      <c r="C1412" s="65">
        <f>Ringkasan!C1411</f>
        <v>545</v>
      </c>
      <c r="D1412" s="64" t="str">
        <f>Ringkasan!D1411</f>
        <v>#N/A</v>
      </c>
      <c r="E1412" s="64" t="str">
        <f>Ringkasan!E1411</f>
        <v/>
      </c>
      <c r="F1412" s="64" t="str">
        <f>Ringkasan!F1411</f>
        <v/>
      </c>
      <c r="G1412" s="64">
        <f>Ringkasan!G1411</f>
        <v>0</v>
      </c>
      <c r="H1412" s="19">
        <f>Ringkasan!H1411</f>
        <v>-32.6</v>
      </c>
      <c r="I1412" s="19">
        <f>Ringkasan!I1411</f>
        <v>2.3</v>
      </c>
      <c r="J1412" s="19">
        <f>Ringkasan!J1411</f>
        <v>-6.9</v>
      </c>
      <c r="K1412" s="19">
        <f>Ringkasan!K1411</f>
        <v>-3.3</v>
      </c>
      <c r="L1412" s="19">
        <f>Ringkasan!L1411</f>
        <v>1.1</v>
      </c>
      <c r="M1412" s="19">
        <f>Ringkasan!M1411</f>
        <v>-30.3</v>
      </c>
      <c r="N1412" s="64" t="str">
        <f>Ringkasan!N1411</f>
        <v/>
      </c>
      <c r="O1412" s="64" t="str">
        <f>Ringkasan!O1411</f>
        <v/>
      </c>
      <c r="P1412" s="64" t="str">
        <f>Ringkasan!P1411</f>
        <v/>
      </c>
      <c r="Q1412" s="64" t="str">
        <f>Ringkasan!Q1411</f>
        <v/>
      </c>
      <c r="R1412" s="64" t="str">
        <f>Ringkasan!R1411</f>
        <v/>
      </c>
      <c r="S1412" s="64" t="str">
        <f>Ringkasan!S1411</f>
        <v/>
      </c>
      <c r="T1412" s="64" t="str">
        <f>Ringkasan!T1411</f>
        <v/>
      </c>
      <c r="U1412" s="64">
        <f>Ringkasan!U1411</f>
        <v>515</v>
      </c>
      <c r="V1412" s="64">
        <f>Ringkasan!V1411</f>
        <v>5.83</v>
      </c>
      <c r="W1412" s="64">
        <f>Ringkasan!W1411</f>
        <v>530</v>
      </c>
      <c r="X1412" s="64" t="str">
        <f>Ringkasan!X1411</f>
        <v/>
      </c>
      <c r="Y1412" s="64">
        <f>Ringkasan!Y1411</f>
        <v>480</v>
      </c>
      <c r="Z1412" s="64">
        <f>Ringkasan!Z1411</f>
        <v>54900</v>
      </c>
      <c r="AA1412" s="64" t="str">
        <f>Ringkasan!AA1411</f>
        <v>Tourism &amp; Recreation</v>
      </c>
      <c r="AB1412" s="64" t="str">
        <f>Ringkasan!AB1411</f>
        <v>Consumer Cyclicals</v>
      </c>
    </row>
    <row r="1413" hidden="1">
      <c r="A1413" s="64" t="str">
        <f>Ringkasan!A1412</f>
        <v>POLA</v>
      </c>
      <c r="B1413" s="64" t="str">
        <f>Ringkasan!B1412</f>
        <v>Pool Advista Finance Tbk.</v>
      </c>
      <c r="C1413" s="65">
        <f>Ringkasan!C1412</f>
        <v>55</v>
      </c>
      <c r="D1413" s="64" t="str">
        <f>Ringkasan!D1412</f>
        <v>#N/A</v>
      </c>
      <c r="E1413" s="64" t="str">
        <f>Ringkasan!E1412</f>
        <v/>
      </c>
      <c r="F1413" s="64" t="str">
        <f>Ringkasan!F1412</f>
        <v/>
      </c>
      <c r="G1413" s="64">
        <f>Ringkasan!G1412</f>
        <v>0</v>
      </c>
      <c r="H1413" s="19">
        <f>Ringkasan!H1412</f>
        <v>69.2</v>
      </c>
      <c r="I1413" s="19">
        <f>Ringkasan!I1412</f>
        <v>0.92</v>
      </c>
      <c r="J1413" s="19">
        <f>Ringkasan!J1412</f>
        <v>1.3</v>
      </c>
      <c r="K1413" s="19">
        <f>Ringkasan!K1412</f>
        <v>1.3</v>
      </c>
      <c r="L1413" s="19">
        <f>Ringkasan!L1412</f>
        <v>0.04</v>
      </c>
      <c r="M1413" s="19">
        <f>Ringkasan!M1412</f>
        <v>82.7</v>
      </c>
      <c r="N1413" s="64" t="str">
        <f>Ringkasan!N1412</f>
        <v/>
      </c>
      <c r="O1413" s="64" t="str">
        <f>Ringkasan!O1412</f>
        <v/>
      </c>
      <c r="P1413" s="64" t="str">
        <f>Ringkasan!P1412</f>
        <v/>
      </c>
      <c r="Q1413" s="64" t="str">
        <f>Ringkasan!Q1412</f>
        <v/>
      </c>
      <c r="R1413" s="64" t="str">
        <f>Ringkasan!R1412</f>
        <v/>
      </c>
      <c r="S1413" s="64" t="str">
        <f>Ringkasan!S1412</f>
        <v/>
      </c>
      <c r="T1413" s="64" t="str">
        <f>Ringkasan!T1412</f>
        <v/>
      </c>
      <c r="U1413" s="64">
        <f>Ringkasan!U1412</f>
        <v>1.7</v>
      </c>
      <c r="V1413" s="64">
        <f>Ringkasan!V1412</f>
        <v>6.47</v>
      </c>
      <c r="W1413" s="64">
        <f>Ringkasan!W1412</f>
        <v>1.73</v>
      </c>
      <c r="X1413" s="64">
        <f>Ringkasan!X1412</f>
        <v>1.9</v>
      </c>
      <c r="Y1413" s="64">
        <f>Ringkasan!Y1412</f>
        <v>1.73</v>
      </c>
      <c r="Z1413" s="64">
        <f>Ringkasan!Z1412</f>
        <v>117120</v>
      </c>
      <c r="AA1413" s="64" t="str">
        <f>Ringkasan!AA1412</f>
        <v>Consumer Financing</v>
      </c>
      <c r="AB1413" s="64" t="str">
        <f>Ringkasan!AB1412</f>
        <v>Financials</v>
      </c>
    </row>
    <row r="1414" hidden="1">
      <c r="A1414" s="64" t="str">
        <f>Ringkasan!A1413</f>
        <v>POLI</v>
      </c>
      <c r="B1414" s="64" t="str">
        <f>Ringkasan!B1413</f>
        <v>Pollux Hotels Group Tbk.</v>
      </c>
      <c r="C1414" s="65">
        <f>Ringkasan!C1413</f>
        <v>815</v>
      </c>
      <c r="D1414" s="64" t="str">
        <f>Ringkasan!D1413</f>
        <v>#N/A</v>
      </c>
      <c r="E1414" s="64" t="str">
        <f>Ringkasan!E1413</f>
        <v/>
      </c>
      <c r="F1414" s="64" t="str">
        <f>Ringkasan!F1413</f>
        <v/>
      </c>
      <c r="G1414" s="64">
        <f>Ringkasan!G1413</f>
        <v>0</v>
      </c>
      <c r="H1414" s="19">
        <f>Ringkasan!H1413</f>
        <v>26.3</v>
      </c>
      <c r="I1414" s="19">
        <f>Ringkasan!I1413</f>
        <v>0.84</v>
      </c>
      <c r="J1414" s="19">
        <f>Ringkasan!J1413</f>
        <v>3.2</v>
      </c>
      <c r="K1414" s="19">
        <f>Ringkasan!K1413</f>
        <v>1.6</v>
      </c>
      <c r="L1414" s="19">
        <f>Ringkasan!L1413</f>
        <v>0.98</v>
      </c>
      <c r="M1414" s="19">
        <f>Ringkasan!M1413</f>
        <v>59.7</v>
      </c>
      <c r="N1414" s="64" t="str">
        <f>Ringkasan!N1413</f>
        <v/>
      </c>
      <c r="O1414" s="64" t="str">
        <f>Ringkasan!O1413</f>
        <v/>
      </c>
      <c r="P1414" s="64" t="str">
        <f>Ringkasan!P1413</f>
        <v/>
      </c>
      <c r="Q1414" s="64" t="str">
        <f>Ringkasan!Q1413</f>
        <v/>
      </c>
      <c r="R1414" s="64" t="str">
        <f>Ringkasan!R1413</f>
        <v/>
      </c>
      <c r="S1414" s="64" t="str">
        <f>Ringkasan!S1413</f>
        <v/>
      </c>
      <c r="T1414" s="64" t="str">
        <f>Ringkasan!T1413</f>
        <v/>
      </c>
      <c r="U1414" s="64">
        <f>Ringkasan!U1413</f>
        <v>825</v>
      </c>
      <c r="V1414" s="64">
        <f>Ringkasan!V1413</f>
        <v>-1.21</v>
      </c>
      <c r="W1414" s="64">
        <f>Ringkasan!W1413</f>
        <v>735</v>
      </c>
      <c r="X1414" s="64">
        <f>Ringkasan!X1413</f>
        <v>825</v>
      </c>
      <c r="Y1414" s="64">
        <f>Ringkasan!Y1413</f>
        <v>730</v>
      </c>
      <c r="Z1414" s="64">
        <f>Ringkasan!Z1413</f>
        <v>3800</v>
      </c>
      <c r="AA1414" s="64" t="str">
        <f>Ringkasan!AA1413</f>
        <v>Real Estate Management &amp; Development</v>
      </c>
      <c r="AB1414" s="64" t="str">
        <f>Ringkasan!AB1413</f>
        <v>Properties &amp; Real Estate</v>
      </c>
    </row>
    <row r="1415" hidden="1">
      <c r="A1415" s="64" t="str">
        <f>Ringkasan!A1414</f>
        <v>POLL</v>
      </c>
      <c r="B1415" s="64" t="str">
        <f>Ringkasan!B1414</f>
        <v>Pollux Properties Indonesia Tbk.</v>
      </c>
      <c r="C1415" s="65">
        <f>Ringkasan!C1414</f>
        <v>112</v>
      </c>
      <c r="D1415" s="64" t="str">
        <f>Ringkasan!D1414</f>
        <v>#N/A</v>
      </c>
      <c r="E1415" s="64" t="str">
        <f>Ringkasan!E1414</f>
        <v/>
      </c>
      <c r="F1415" s="64" t="str">
        <f>Ringkasan!F1414</f>
        <v/>
      </c>
      <c r="G1415" s="64">
        <f>Ringkasan!G1414</f>
        <v>0</v>
      </c>
      <c r="H1415" s="19">
        <f>Ringkasan!H1414</f>
        <v>20.9</v>
      </c>
      <c r="I1415" s="19">
        <f>Ringkasan!I1414</f>
        <v>0.49</v>
      </c>
      <c r="J1415" s="19">
        <f>Ringkasan!J1414</f>
        <v>2.3</v>
      </c>
      <c r="K1415" s="19">
        <f>Ringkasan!K1414</f>
        <v>0.92</v>
      </c>
      <c r="L1415" s="19">
        <f>Ringkasan!L1414</f>
        <v>0.32</v>
      </c>
      <c r="M1415" s="19">
        <f>Ringkasan!M1414</f>
        <v>20.7</v>
      </c>
      <c r="N1415" s="64" t="str">
        <f>Ringkasan!N1414</f>
        <v/>
      </c>
      <c r="O1415" s="64" t="str">
        <f>Ringkasan!O1414</f>
        <v/>
      </c>
      <c r="P1415" s="64" t="str">
        <f>Ringkasan!P1414</f>
        <v/>
      </c>
      <c r="Q1415" s="64" t="str">
        <f>Ringkasan!Q1414</f>
        <v/>
      </c>
      <c r="R1415" s="64" t="str">
        <f>Ringkasan!R1414</f>
        <v/>
      </c>
      <c r="S1415" s="64" t="str">
        <f>Ringkasan!S1414</f>
        <v/>
      </c>
      <c r="T1415" s="64" t="str">
        <f>Ringkasan!T1414</f>
        <v/>
      </c>
      <c r="U1415" s="64">
        <f>Ringkasan!U1414</f>
        <v>290</v>
      </c>
      <c r="V1415" s="64">
        <f>Ringkasan!V1414</f>
        <v>0</v>
      </c>
      <c r="W1415" s="64">
        <f>Ringkasan!W1414</f>
        <v>290</v>
      </c>
      <c r="X1415" s="64">
        <f>Ringkasan!X1414</f>
        <v>290</v>
      </c>
      <c r="Y1415" s="64">
        <f>Ringkasan!Y1414</f>
        <v>290</v>
      </c>
      <c r="Z1415" s="64">
        <f>Ringkasan!Z1414</f>
        <v>6085</v>
      </c>
      <c r="AA1415" s="64" t="str">
        <f>Ringkasan!AA1414</f>
        <v>Real Estate Management &amp; Development</v>
      </c>
      <c r="AB1415" s="64" t="str">
        <f>Ringkasan!AB1414</f>
        <v>Properties &amp; Real Estate</v>
      </c>
    </row>
    <row r="1416" hidden="1">
      <c r="A1416" s="64" t="str">
        <f>Ringkasan!A1415</f>
        <v>POLU</v>
      </c>
      <c r="B1416" s="64" t="str">
        <f>Ringkasan!B1415</f>
        <v>Golden Flower Tbk.</v>
      </c>
      <c r="C1416" s="65">
        <f>Ringkasan!C1415</f>
        <v>14025</v>
      </c>
      <c r="D1416" s="64" t="str">
        <f>Ringkasan!D1415</f>
        <v>#N/A</v>
      </c>
      <c r="E1416" s="64" t="str">
        <f>Ringkasan!E1415</f>
        <v/>
      </c>
      <c r="F1416" s="64" t="str">
        <f>Ringkasan!F1415</f>
        <v/>
      </c>
      <c r="G1416" s="64">
        <f>Ringkasan!G1415</f>
        <v>0</v>
      </c>
      <c r="H1416" s="19">
        <f>Ringkasan!H1415</f>
        <v>-220</v>
      </c>
      <c r="I1416" s="19">
        <f>Ringkasan!I1415</f>
        <v>67</v>
      </c>
      <c r="J1416" s="19">
        <f>Ringkasan!J1415</f>
        <v>-30.1</v>
      </c>
      <c r="K1416" s="19">
        <f>Ringkasan!K1415</f>
        <v>-8.9</v>
      </c>
      <c r="L1416" s="19">
        <f>Ringkasan!L1415</f>
        <v>1.1</v>
      </c>
      <c r="M1416" s="19">
        <f>Ringkasan!M1415</f>
        <v>-22.6</v>
      </c>
      <c r="N1416" s="64" t="str">
        <f>Ringkasan!N1415</f>
        <v/>
      </c>
      <c r="O1416" s="64" t="str">
        <f>Ringkasan!O1415</f>
        <v/>
      </c>
      <c r="P1416" s="64" t="str">
        <f>Ringkasan!P1415</f>
        <v/>
      </c>
      <c r="Q1416" s="64" t="str">
        <f>Ringkasan!Q1415</f>
        <v/>
      </c>
      <c r="R1416" s="64" t="str">
        <f>Ringkasan!R1415</f>
        <v/>
      </c>
      <c r="S1416" s="64" t="str">
        <f>Ringkasan!S1415</f>
        <v/>
      </c>
      <c r="T1416" s="64" t="str">
        <f>Ringkasan!T1415</f>
        <v/>
      </c>
      <c r="U1416" s="64">
        <f>Ringkasan!U1415</f>
        <v>11700</v>
      </c>
      <c r="V1416" s="64">
        <f>Ringkasan!V1415</f>
        <v>19.87</v>
      </c>
      <c r="W1416" s="64">
        <f>Ringkasan!W1415</f>
        <v>12125</v>
      </c>
      <c r="X1416" s="64">
        <f>Ringkasan!X1415</f>
        <v>14025</v>
      </c>
      <c r="Y1416" s="64">
        <f>Ringkasan!Y1415</f>
        <v>12125</v>
      </c>
      <c r="Z1416" s="64">
        <f>Ringkasan!Z1415</f>
        <v>29300</v>
      </c>
      <c r="AA1416" s="64" t="str">
        <f>Ringkasan!AA1415</f>
        <v>Apparel &amp; Luxury Goods</v>
      </c>
      <c r="AB1416" s="64" t="str">
        <f>Ringkasan!AB1415</f>
        <v>Consumer Cyclicals</v>
      </c>
    </row>
    <row r="1417" hidden="1">
      <c r="A1417" s="64" t="str">
        <f>Ringkasan!A1416</f>
        <v>POLY</v>
      </c>
      <c r="B1417" s="64" t="str">
        <f>Ringkasan!B1416</f>
        <v>Asia Pacific Fibers Tbk</v>
      </c>
      <c r="C1417" s="65">
        <f>Ringkasan!C1416</f>
        <v>32</v>
      </c>
      <c r="D1417" s="64" t="str">
        <f>Ringkasan!D1416</f>
        <v>#N/A</v>
      </c>
      <c r="E1417" s="64" t="str">
        <f>Ringkasan!E1416</f>
        <v/>
      </c>
      <c r="F1417" s="64" t="str">
        <f>Ringkasan!F1416</f>
        <v/>
      </c>
      <c r="G1417" s="64">
        <f>Ringkasan!G1416</f>
        <v>0</v>
      </c>
      <c r="H1417" s="19">
        <f>Ringkasan!H1416</f>
        <v>-0.23</v>
      </c>
      <c r="I1417" s="19">
        <f>Ringkasan!I1416</f>
        <v>0</v>
      </c>
      <c r="J1417" s="19">
        <f>Ringkasan!J1416</f>
        <v>0</v>
      </c>
      <c r="K1417" s="19">
        <f>Ringkasan!K1416</f>
        <v>-26</v>
      </c>
      <c r="L1417" s="19">
        <f>Ringkasan!L1416</f>
        <v>-1.1</v>
      </c>
      <c r="M1417" s="19">
        <f>Ringkasan!M1416</f>
        <v>-200</v>
      </c>
      <c r="N1417" s="64" t="str">
        <f>Ringkasan!N1416</f>
        <v/>
      </c>
      <c r="O1417" s="64" t="str">
        <f>Ringkasan!O1416</f>
        <v/>
      </c>
      <c r="P1417" s="64" t="str">
        <f>Ringkasan!P1416</f>
        <v/>
      </c>
      <c r="Q1417" s="64" t="str">
        <f>Ringkasan!Q1416</f>
        <v/>
      </c>
      <c r="R1417" s="64" t="str">
        <f>Ringkasan!R1416</f>
        <v/>
      </c>
      <c r="S1417" s="64" t="str">
        <f>Ringkasan!S1416</f>
        <v/>
      </c>
      <c r="T1417" s="64" t="str">
        <f>Ringkasan!T1416</f>
        <v/>
      </c>
      <c r="U1417" s="64">
        <f>Ringkasan!U1416</f>
        <v>0.79</v>
      </c>
      <c r="V1417" s="64">
        <f>Ringkasan!V1416</f>
        <v>1.92</v>
      </c>
      <c r="W1417" s="64">
        <f>Ringkasan!W1416</f>
        <v>0.81</v>
      </c>
      <c r="X1417" s="64">
        <f>Ringkasan!X1416</f>
        <v>0.81</v>
      </c>
      <c r="Y1417" s="64">
        <f>Ringkasan!Y1416</f>
        <v>0.81</v>
      </c>
      <c r="Z1417" s="64">
        <f>Ringkasan!Z1416</f>
        <v>1</v>
      </c>
      <c r="AA1417" s="64" t="str">
        <f>Ringkasan!AA1416</f>
        <v>Apparel &amp; Luxury Goods</v>
      </c>
      <c r="AB1417" s="64" t="str">
        <f>Ringkasan!AB1416</f>
        <v>Consumer Cyclicals</v>
      </c>
    </row>
    <row r="1418" hidden="1">
      <c r="A1418" s="64" t="str">
        <f>Ringkasan!A1417</f>
        <v>POOL</v>
      </c>
      <c r="B1418" s="64" t="str">
        <f>Ringkasan!B1417</f>
        <v>Pool Advista Indonesia Tbk.</v>
      </c>
      <c r="C1418" s="65" t="str">
        <f>Ringkasan!C1417</f>
        <v>#N/A</v>
      </c>
      <c r="D1418" s="64" t="str">
        <f>Ringkasan!D1417</f>
        <v>#N/A</v>
      </c>
      <c r="E1418" s="64" t="str">
        <f>Ringkasan!E1417</f>
        <v/>
      </c>
      <c r="F1418" s="64" t="str">
        <f>Ringkasan!F1417</f>
        <v/>
      </c>
      <c r="G1418" s="64">
        <f>Ringkasan!G1417</f>
        <v>0</v>
      </c>
      <c r="H1418" s="19">
        <f>Ringkasan!H1417</f>
        <v>0</v>
      </c>
      <c r="I1418" s="19">
        <f>Ringkasan!I1417</f>
        <v>0.28</v>
      </c>
      <c r="J1418" s="19">
        <f>Ringkasan!J1417</f>
        <v>-8.4</v>
      </c>
      <c r="K1418" s="19">
        <f>Ringkasan!K1417</f>
        <v>-8.2</v>
      </c>
      <c r="L1418" s="19">
        <f>Ringkasan!L1417</f>
        <v>0.03</v>
      </c>
      <c r="M1418" s="19">
        <f>Ringkasan!M1417</f>
        <v>-290</v>
      </c>
      <c r="N1418" s="64" t="str">
        <f>Ringkasan!N1417</f>
        <v/>
      </c>
      <c r="O1418" s="64" t="str">
        <f>Ringkasan!O1417</f>
        <v/>
      </c>
      <c r="P1418" s="64" t="str">
        <f>Ringkasan!P1417</f>
        <v/>
      </c>
      <c r="Q1418" s="64" t="str">
        <f>Ringkasan!Q1417</f>
        <v/>
      </c>
      <c r="R1418" s="64" t="str">
        <f>Ringkasan!R1417</f>
        <v/>
      </c>
      <c r="S1418" s="64" t="str">
        <f>Ringkasan!S1417</f>
        <v/>
      </c>
      <c r="T1418" s="64" t="str">
        <f>Ringkasan!T1417</f>
        <v/>
      </c>
      <c r="U1418" s="64">
        <f>Ringkasan!U1417</f>
        <v>192.34</v>
      </c>
      <c r="V1418" s="64">
        <f>Ringkasan!V1417</f>
        <v>1.38</v>
      </c>
      <c r="W1418" s="64">
        <f>Ringkasan!W1417</f>
        <v>191.93</v>
      </c>
      <c r="X1418" s="64">
        <f>Ringkasan!X1417</f>
        <v>197.21</v>
      </c>
      <c r="Y1418" s="64">
        <f>Ringkasan!Y1417</f>
        <v>190.98</v>
      </c>
      <c r="Z1418" s="64">
        <f>Ringkasan!Z1417</f>
        <v>677414</v>
      </c>
      <c r="AA1418" s="64" t="str">
        <f>Ringkasan!AA1417</f>
        <v>Holding &amp; Investment Companies</v>
      </c>
      <c r="AB1418" s="64" t="str">
        <f>Ringkasan!AB1417</f>
        <v>Financials</v>
      </c>
    </row>
    <row r="1419" hidden="1">
      <c r="A1419" s="64" t="str">
        <f>Ringkasan!A1418</f>
        <v>PORT</v>
      </c>
      <c r="B1419" s="64" t="str">
        <f>Ringkasan!B1418</f>
        <v>PT Nusantara Pelabuhan Handal Tbk.</v>
      </c>
      <c r="C1419" s="65">
        <f>Ringkasan!C1418</f>
        <v>890</v>
      </c>
      <c r="D1419" s="64" t="str">
        <f>Ringkasan!D1418</f>
        <v>#N/A</v>
      </c>
      <c r="E1419" s="64" t="str">
        <f>Ringkasan!E1418</f>
        <v/>
      </c>
      <c r="F1419" s="64" t="str">
        <f>Ringkasan!F1418</f>
        <v/>
      </c>
      <c r="G1419" s="64">
        <f>Ringkasan!G1418</f>
        <v>0</v>
      </c>
      <c r="H1419" s="19">
        <f>Ringkasan!H1418</f>
        <v>21.5</v>
      </c>
      <c r="I1419" s="19">
        <f>Ringkasan!I1418</f>
        <v>2.1</v>
      </c>
      <c r="J1419" s="19">
        <f>Ringkasan!J1418</f>
        <v>9.7</v>
      </c>
      <c r="K1419" s="19">
        <f>Ringkasan!K1418</f>
        <v>5.3</v>
      </c>
      <c r="L1419" s="19">
        <f>Ringkasan!L1418</f>
        <v>0.85</v>
      </c>
      <c r="M1419" s="19">
        <f>Ringkasan!M1418</f>
        <v>45.6</v>
      </c>
      <c r="N1419" s="64" t="str">
        <f>Ringkasan!N1418</f>
        <v/>
      </c>
      <c r="O1419" s="64" t="str">
        <f>Ringkasan!O1418</f>
        <v/>
      </c>
      <c r="P1419" s="64" t="str">
        <f>Ringkasan!P1418</f>
        <v/>
      </c>
      <c r="Q1419" s="64" t="str">
        <f>Ringkasan!Q1418</f>
        <v/>
      </c>
      <c r="R1419" s="64" t="str">
        <f>Ringkasan!R1418</f>
        <v/>
      </c>
      <c r="S1419" s="64" t="str">
        <f>Ringkasan!S1418</f>
        <v/>
      </c>
      <c r="T1419" s="64" t="str">
        <f>Ringkasan!T1418</f>
        <v/>
      </c>
      <c r="U1419" s="64" t="str">
        <f>Ringkasan!U1418</f>
        <v/>
      </c>
      <c r="V1419" s="64" t="str">
        <f>Ringkasan!V1418</f>
        <v/>
      </c>
      <c r="W1419" s="64" t="str">
        <f>Ringkasan!W1418</f>
        <v/>
      </c>
      <c r="X1419" s="64" t="str">
        <f>Ringkasan!X1418</f>
        <v/>
      </c>
      <c r="Y1419" s="64" t="str">
        <f>Ringkasan!Y1418</f>
        <v/>
      </c>
      <c r="Z1419" s="64" t="str">
        <f>Ringkasan!Z1418</f>
        <v/>
      </c>
      <c r="AA1419" s="64" t="str">
        <f>Ringkasan!AA1418</f>
        <v>Transport Infrastructure Operator</v>
      </c>
      <c r="AB1419" s="64" t="str">
        <f>Ringkasan!AB1418</f>
        <v>Infrastructures</v>
      </c>
    </row>
    <row r="1420" hidden="1">
      <c r="A1420" s="64" t="str">
        <f>Ringkasan!A1419</f>
        <v>POSA</v>
      </c>
      <c r="B1420" s="64" t="str">
        <f>Ringkasan!B1419</f>
        <v>Bliss Properti Indonesia Tbk.</v>
      </c>
      <c r="C1420" s="65">
        <f>Ringkasan!C1419</f>
        <v>50</v>
      </c>
      <c r="D1420" s="64" t="str">
        <f>Ringkasan!D1419</f>
        <v>#N/A</v>
      </c>
      <c r="E1420" s="64" t="str">
        <f>Ringkasan!E1419</f>
        <v/>
      </c>
      <c r="F1420" s="64" t="str">
        <f>Ringkasan!F1419</f>
        <v/>
      </c>
      <c r="G1420" s="64">
        <f>Ringkasan!G1419</f>
        <v>0</v>
      </c>
      <c r="H1420" s="19">
        <f>Ringkasan!H1419</f>
        <v>-3.5</v>
      </c>
      <c r="I1420" s="19">
        <f>Ringkasan!I1419</f>
        <v>-0.77</v>
      </c>
      <c r="J1420" s="19">
        <f>Ringkasan!J1419</f>
        <v>0</v>
      </c>
      <c r="K1420" s="19">
        <f>Ringkasan!K1419</f>
        <v>-17.2</v>
      </c>
      <c r="L1420" s="19">
        <f>Ringkasan!L1419</f>
        <v>-2.3</v>
      </c>
      <c r="M1420" s="19">
        <f>Ringkasan!M1419</f>
        <v>-930</v>
      </c>
      <c r="N1420" s="64" t="str">
        <f>Ringkasan!N1419</f>
        <v/>
      </c>
      <c r="O1420" s="64" t="str">
        <f>Ringkasan!O1419</f>
        <v/>
      </c>
      <c r="P1420" s="64" t="str">
        <f>Ringkasan!P1419</f>
        <v/>
      </c>
      <c r="Q1420" s="64" t="str">
        <f>Ringkasan!Q1419</f>
        <v/>
      </c>
      <c r="R1420" s="64" t="str">
        <f>Ringkasan!R1419</f>
        <v/>
      </c>
      <c r="S1420" s="64" t="str">
        <f>Ringkasan!S1419</f>
        <v/>
      </c>
      <c r="T1420" s="64" t="str">
        <f>Ringkasan!T1419</f>
        <v/>
      </c>
      <c r="U1420" s="64">
        <f>Ringkasan!U1419</f>
        <v>50</v>
      </c>
      <c r="V1420" s="64">
        <f>Ringkasan!V1419</f>
        <v>0</v>
      </c>
      <c r="W1420" s="64" t="str">
        <f>Ringkasan!W1419</f>
        <v/>
      </c>
      <c r="X1420" s="64" t="str">
        <f>Ringkasan!X1419</f>
        <v/>
      </c>
      <c r="Y1420" s="64" t="str">
        <f>Ringkasan!Y1419</f>
        <v/>
      </c>
      <c r="Z1420" s="64">
        <f>Ringkasan!Z1419</f>
        <v>0</v>
      </c>
      <c r="AA1420" s="64" t="str">
        <f>Ringkasan!AA1419</f>
        <v>Real Estate Management &amp; Development</v>
      </c>
      <c r="AB1420" s="64" t="str">
        <f>Ringkasan!AB1419</f>
        <v>Properties &amp; Real Estate</v>
      </c>
    </row>
    <row r="1421" hidden="1">
      <c r="A1421" s="64" t="str">
        <f>Ringkasan!A1420</f>
        <v>POWR</v>
      </c>
      <c r="B1421" s="64" t="str">
        <f>Ringkasan!B1420</f>
        <v>Cikarang Listrindo Tbk.</v>
      </c>
      <c r="C1421" s="65">
        <f>Ringkasan!C1420</f>
        <v>685</v>
      </c>
      <c r="D1421" s="64" t="str">
        <f>Ringkasan!D1420</f>
        <v>#N/A</v>
      </c>
      <c r="E1421" s="64" t="str">
        <f>Ringkasan!E1420</f>
        <v>ESGQKEHATI</v>
      </c>
      <c r="F1421" s="66">
        <f>Ringkasan!F1420</f>
        <v>46356</v>
      </c>
      <c r="G1421" s="64">
        <f>Ringkasan!G1420</f>
        <v>3</v>
      </c>
      <c r="H1421" s="19">
        <f>Ringkasan!H1420</f>
        <v>9.3</v>
      </c>
      <c r="I1421" s="19">
        <f>Ringkasan!I1420</f>
        <v>0.92</v>
      </c>
      <c r="J1421" s="19">
        <f>Ringkasan!J1420</f>
        <v>9.9</v>
      </c>
      <c r="K1421" s="19">
        <f>Ringkasan!K1420</f>
        <v>6</v>
      </c>
      <c r="L1421" s="19">
        <f>Ringkasan!L1420</f>
        <v>0.64</v>
      </c>
      <c r="M1421" s="19">
        <f>Ringkasan!M1420</f>
        <v>56.3</v>
      </c>
      <c r="N1421" s="64" t="str">
        <f>Ringkasan!N1420</f>
        <v/>
      </c>
      <c r="O1421" s="64" t="str">
        <f>Ringkasan!O1420</f>
        <v/>
      </c>
      <c r="P1421" s="64" t="str">
        <f>Ringkasan!P1420</f>
        <v/>
      </c>
      <c r="Q1421" s="64" t="str">
        <f>Ringkasan!Q1420</f>
        <v/>
      </c>
      <c r="R1421" s="64" t="str">
        <f>Ringkasan!R1420</f>
        <v/>
      </c>
      <c r="S1421" s="64" t="str">
        <f>Ringkasan!S1420</f>
        <v/>
      </c>
      <c r="T1421" s="64" t="str">
        <f>Ringkasan!T1420</f>
        <v/>
      </c>
      <c r="U1421" s="64">
        <f>Ringkasan!U1420</f>
        <v>26.71</v>
      </c>
      <c r="V1421" s="64">
        <f>Ringkasan!V1420</f>
        <v>1.54</v>
      </c>
      <c r="W1421" s="64">
        <f>Ringkasan!W1420</f>
        <v>26.87</v>
      </c>
      <c r="X1421" s="64" t="str">
        <f>Ringkasan!X1420</f>
        <v/>
      </c>
      <c r="Y1421" s="64">
        <f>Ringkasan!Y1420</f>
        <v>26.87</v>
      </c>
      <c r="Z1421" s="64">
        <f>Ringkasan!Z1420</f>
        <v>11702</v>
      </c>
      <c r="AA1421" s="64" t="str">
        <f>Ringkasan!AA1420</f>
        <v>Electric Utilities</v>
      </c>
      <c r="AB1421" s="64" t="str">
        <f>Ringkasan!AB1420</f>
        <v>Infrastructures</v>
      </c>
    </row>
    <row r="1422" hidden="1">
      <c r="A1422" s="64" t="str">
        <f>Ringkasan!A1421</f>
        <v>POWR</v>
      </c>
      <c r="B1422" s="64" t="str">
        <f>Ringkasan!B1421</f>
        <v>Cikarang Listrindo Tbk.</v>
      </c>
      <c r="C1422" s="65">
        <f>Ringkasan!C1421</f>
        <v>685</v>
      </c>
      <c r="D1422" s="64" t="str">
        <f>Ringkasan!D1421</f>
        <v>#N/A</v>
      </c>
      <c r="E1422" s="64" t="str">
        <f>Ringkasan!E1421</f>
        <v>ESGSKEHATI</v>
      </c>
      <c r="F1422" s="66">
        <f>Ringkasan!F1421</f>
        <v>46356</v>
      </c>
      <c r="G1422" s="64">
        <f>Ringkasan!G1421</f>
        <v>3</v>
      </c>
      <c r="H1422" s="19">
        <f>Ringkasan!H1421</f>
        <v>9.3</v>
      </c>
      <c r="I1422" s="19">
        <f>Ringkasan!I1421</f>
        <v>0.92</v>
      </c>
      <c r="J1422" s="19">
        <f>Ringkasan!J1421</f>
        <v>9.9</v>
      </c>
      <c r="K1422" s="19">
        <f>Ringkasan!K1421</f>
        <v>6</v>
      </c>
      <c r="L1422" s="19">
        <f>Ringkasan!L1421</f>
        <v>0.64</v>
      </c>
      <c r="M1422" s="19">
        <f>Ringkasan!M1421</f>
        <v>56.3</v>
      </c>
      <c r="N1422" s="64" t="str">
        <f>Ringkasan!N1421</f>
        <v/>
      </c>
      <c r="O1422" s="64" t="str">
        <f>Ringkasan!O1421</f>
        <v/>
      </c>
      <c r="P1422" s="64" t="str">
        <f>Ringkasan!P1421</f>
        <v/>
      </c>
      <c r="Q1422" s="64" t="str">
        <f>Ringkasan!Q1421</f>
        <v/>
      </c>
      <c r="R1422" s="64" t="str">
        <f>Ringkasan!R1421</f>
        <v/>
      </c>
      <c r="S1422" s="64" t="str">
        <f>Ringkasan!S1421</f>
        <v/>
      </c>
      <c r="T1422" s="64" t="str">
        <f>Ringkasan!T1421</f>
        <v/>
      </c>
      <c r="U1422" s="64">
        <f>Ringkasan!U1421</f>
        <v>26.71</v>
      </c>
      <c r="V1422" s="64">
        <f>Ringkasan!V1421</f>
        <v>1.54</v>
      </c>
      <c r="W1422" s="64">
        <f>Ringkasan!W1421</f>
        <v>26.87</v>
      </c>
      <c r="X1422" s="64" t="str">
        <f>Ringkasan!X1421</f>
        <v/>
      </c>
      <c r="Y1422" s="64">
        <f>Ringkasan!Y1421</f>
        <v>26.87</v>
      </c>
      <c r="Z1422" s="64">
        <f>Ringkasan!Z1421</f>
        <v>11702</v>
      </c>
      <c r="AA1422" s="64" t="str">
        <f>Ringkasan!AA1421</f>
        <v>Electric Utilities</v>
      </c>
      <c r="AB1422" s="64" t="str">
        <f>Ringkasan!AB1421</f>
        <v>Infrastructures</v>
      </c>
    </row>
    <row r="1423" hidden="1">
      <c r="A1423" s="64" t="str">
        <f>Ringkasan!A1422</f>
        <v>POWR</v>
      </c>
      <c r="B1423" s="64" t="str">
        <f>Ringkasan!B1422</f>
        <v>Cikarang Listrindo Tbk.</v>
      </c>
      <c r="C1423" s="65">
        <f>Ringkasan!C1422</f>
        <v>685</v>
      </c>
      <c r="D1423" s="64" t="str">
        <f>Ringkasan!D1422</f>
        <v>#N/A</v>
      </c>
      <c r="E1423" s="64" t="str">
        <f>Ringkasan!E1422</f>
        <v>SRI-KEHATI</v>
      </c>
      <c r="F1423" s="66">
        <f>Ringkasan!F1422</f>
        <v>46356</v>
      </c>
      <c r="G1423" s="64">
        <f>Ringkasan!G1422</f>
        <v>3</v>
      </c>
      <c r="H1423" s="19">
        <f>Ringkasan!H1422</f>
        <v>9.3</v>
      </c>
      <c r="I1423" s="19">
        <f>Ringkasan!I1422</f>
        <v>0.92</v>
      </c>
      <c r="J1423" s="19">
        <f>Ringkasan!J1422</f>
        <v>9.9</v>
      </c>
      <c r="K1423" s="19">
        <f>Ringkasan!K1422</f>
        <v>6</v>
      </c>
      <c r="L1423" s="19">
        <f>Ringkasan!L1422</f>
        <v>0.64</v>
      </c>
      <c r="M1423" s="19">
        <f>Ringkasan!M1422</f>
        <v>56.3</v>
      </c>
      <c r="N1423" s="64" t="str">
        <f>Ringkasan!N1422</f>
        <v/>
      </c>
      <c r="O1423" s="64" t="str">
        <f>Ringkasan!O1422</f>
        <v/>
      </c>
      <c r="P1423" s="64" t="str">
        <f>Ringkasan!P1422</f>
        <v/>
      </c>
      <c r="Q1423" s="64" t="str">
        <f>Ringkasan!Q1422</f>
        <v/>
      </c>
      <c r="R1423" s="64" t="str">
        <f>Ringkasan!R1422</f>
        <v/>
      </c>
      <c r="S1423" s="64" t="str">
        <f>Ringkasan!S1422</f>
        <v/>
      </c>
      <c r="T1423" s="64" t="str">
        <f>Ringkasan!T1422</f>
        <v/>
      </c>
      <c r="U1423" s="64">
        <f>Ringkasan!U1422</f>
        <v>26.71</v>
      </c>
      <c r="V1423" s="64">
        <f>Ringkasan!V1422</f>
        <v>1.54</v>
      </c>
      <c r="W1423" s="64">
        <f>Ringkasan!W1422</f>
        <v>26.87</v>
      </c>
      <c r="X1423" s="64" t="str">
        <f>Ringkasan!X1422</f>
        <v/>
      </c>
      <c r="Y1423" s="64">
        <f>Ringkasan!Y1422</f>
        <v>26.87</v>
      </c>
      <c r="Z1423" s="64">
        <f>Ringkasan!Z1422</f>
        <v>11702</v>
      </c>
      <c r="AA1423" s="64" t="str">
        <f>Ringkasan!AA1422</f>
        <v>Electric Utilities</v>
      </c>
      <c r="AB1423" s="64" t="str">
        <f>Ringkasan!AB1422</f>
        <v>Infrastructures</v>
      </c>
    </row>
    <row r="1424" hidden="1">
      <c r="A1424" s="64" t="str">
        <f>Ringkasan!A1423</f>
        <v>PPGL</v>
      </c>
      <c r="B1424" s="64" t="str">
        <f>Ringkasan!B1423</f>
        <v>Prima Globalindo Logistik Tbk.</v>
      </c>
      <c r="C1424" s="65">
        <f>Ringkasan!C1423</f>
        <v>162</v>
      </c>
      <c r="D1424" s="64" t="str">
        <f>Ringkasan!D1423</f>
        <v>#N/A</v>
      </c>
      <c r="E1424" s="64" t="str">
        <f>Ringkasan!E1423</f>
        <v/>
      </c>
      <c r="F1424" s="64" t="str">
        <f>Ringkasan!F1423</f>
        <v/>
      </c>
      <c r="G1424" s="64">
        <f>Ringkasan!G1423</f>
        <v>0</v>
      </c>
      <c r="H1424" s="19">
        <f>Ringkasan!H1423</f>
        <v>27.1</v>
      </c>
      <c r="I1424" s="19">
        <f>Ringkasan!I1423</f>
        <v>1.3</v>
      </c>
      <c r="J1424" s="19">
        <f>Ringkasan!J1423</f>
        <v>4.9</v>
      </c>
      <c r="K1424" s="19">
        <f>Ringkasan!K1423</f>
        <v>1.7</v>
      </c>
      <c r="L1424" s="19">
        <f>Ringkasan!L1423</f>
        <v>1.9</v>
      </c>
      <c r="M1424" s="19">
        <f>Ringkasan!M1423</f>
        <v>4.1</v>
      </c>
      <c r="N1424" s="64" t="str">
        <f>Ringkasan!N1423</f>
        <v/>
      </c>
      <c r="O1424" s="64" t="str">
        <f>Ringkasan!O1423</f>
        <v/>
      </c>
      <c r="P1424" s="64" t="str">
        <f>Ringkasan!P1423</f>
        <v/>
      </c>
      <c r="Q1424" s="64" t="str">
        <f>Ringkasan!Q1423</f>
        <v/>
      </c>
      <c r="R1424" s="64" t="str">
        <f>Ringkasan!R1423</f>
        <v/>
      </c>
      <c r="S1424" s="64" t="str">
        <f>Ringkasan!S1423</f>
        <v/>
      </c>
      <c r="T1424" s="64" t="str">
        <f>Ringkasan!T1423</f>
        <v/>
      </c>
      <c r="U1424" s="64">
        <f>Ringkasan!U1423</f>
        <v>156</v>
      </c>
      <c r="V1424" s="64">
        <f>Ringkasan!V1423</f>
        <v>3.85</v>
      </c>
      <c r="W1424" s="64">
        <f>Ringkasan!W1423</f>
        <v>156</v>
      </c>
      <c r="X1424" s="64">
        <f>Ringkasan!X1423</f>
        <v>164</v>
      </c>
      <c r="Y1424" s="64">
        <f>Ringkasan!Y1423</f>
        <v>154</v>
      </c>
      <c r="Z1424" s="64">
        <f>Ringkasan!Z1423</f>
        <v>1147900</v>
      </c>
      <c r="AA1424" s="64" t="str">
        <f>Ringkasan!AA1423</f>
        <v>Logistics &amp; Deliveries</v>
      </c>
      <c r="AB1424" s="64" t="str">
        <f>Ringkasan!AB1423</f>
        <v>Transportation &amp; Logistic</v>
      </c>
    </row>
    <row r="1425" hidden="1">
      <c r="A1425" s="64" t="str">
        <f>Ringkasan!A1424</f>
        <v>PPRE</v>
      </c>
      <c r="B1425" s="64" t="str">
        <f>Ringkasan!B1424</f>
        <v>PT PP Presisi Tbk.</v>
      </c>
      <c r="C1425" s="65">
        <f>Ringkasan!C1424</f>
        <v>93</v>
      </c>
      <c r="D1425" s="64" t="str">
        <f>Ringkasan!D1424</f>
        <v>#N/A</v>
      </c>
      <c r="E1425" s="64" t="str">
        <f>Ringkasan!E1424</f>
        <v/>
      </c>
      <c r="F1425" s="64" t="str">
        <f>Ringkasan!F1424</f>
        <v/>
      </c>
      <c r="G1425" s="64">
        <f>Ringkasan!G1424</f>
        <v>0</v>
      </c>
      <c r="H1425" s="19">
        <f>Ringkasan!H1424</f>
        <v>-0.7</v>
      </c>
      <c r="I1425" s="19">
        <f>Ringkasan!I1424</f>
        <v>0.48</v>
      </c>
      <c r="J1425" s="19">
        <f>Ringkasan!J1424</f>
        <v>-69.3</v>
      </c>
      <c r="K1425" s="19">
        <f>Ringkasan!K1424</f>
        <v>-22.5</v>
      </c>
      <c r="L1425" s="19">
        <f>Ringkasan!L1424</f>
        <v>2.1</v>
      </c>
      <c r="M1425" s="19">
        <f>Ringkasan!M1424</f>
        <v>-130</v>
      </c>
      <c r="N1425" s="64" t="str">
        <f>Ringkasan!N1424</f>
        <v/>
      </c>
      <c r="O1425" s="64" t="str">
        <f>Ringkasan!O1424</f>
        <v/>
      </c>
      <c r="P1425" s="64" t="str">
        <f>Ringkasan!P1424</f>
        <v/>
      </c>
      <c r="Q1425" s="64" t="str">
        <f>Ringkasan!Q1424</f>
        <v/>
      </c>
      <c r="R1425" s="64" t="str">
        <f>Ringkasan!R1424</f>
        <v/>
      </c>
      <c r="S1425" s="64" t="str">
        <f>Ringkasan!S1424</f>
        <v/>
      </c>
      <c r="T1425" s="64" t="str">
        <f>Ringkasan!T1424</f>
        <v/>
      </c>
      <c r="U1425" s="64" t="str">
        <f>Ringkasan!U1424</f>
        <v/>
      </c>
      <c r="V1425" s="64">
        <f>Ringkasan!V1424</f>
        <v>16.25</v>
      </c>
      <c r="W1425" s="64">
        <f>Ringkasan!W1424</f>
        <v>82</v>
      </c>
      <c r="X1425" s="64">
        <f>Ringkasan!X1424</f>
        <v>108</v>
      </c>
      <c r="Y1425" s="64">
        <f>Ringkasan!Y1424</f>
        <v>80</v>
      </c>
      <c r="Z1425" s="64">
        <f>Ringkasan!Z1424</f>
        <v>424198500</v>
      </c>
      <c r="AA1425" s="64" t="str">
        <f>Ringkasan!AA1424</f>
        <v>Heavy Constructions &amp; Civil Engineering</v>
      </c>
      <c r="AB1425" s="64" t="str">
        <f>Ringkasan!AB1424</f>
        <v>Infrastructures</v>
      </c>
    </row>
    <row r="1426" hidden="1">
      <c r="A1426" s="64" t="str">
        <f>Ringkasan!A1425</f>
        <v>PPRI</v>
      </c>
      <c r="B1426" s="64" t="str">
        <f>Ringkasan!B1425</f>
        <v>PT Paperocks Indonesia Tbk.</v>
      </c>
      <c r="C1426" s="65">
        <f>Ringkasan!C1425</f>
        <v>147</v>
      </c>
      <c r="D1426" s="64" t="str">
        <f>Ringkasan!D1425</f>
        <v>#N/A</v>
      </c>
      <c r="E1426" s="64" t="str">
        <f>Ringkasan!E1425</f>
        <v/>
      </c>
      <c r="F1426" s="64" t="str">
        <f>Ringkasan!F1425</f>
        <v/>
      </c>
      <c r="G1426" s="64">
        <f>Ringkasan!G1425</f>
        <v>0</v>
      </c>
      <c r="H1426" s="19">
        <f>Ringkasan!H1425</f>
        <v>69</v>
      </c>
      <c r="I1426" s="19">
        <f>Ringkasan!I1425</f>
        <v>1.6</v>
      </c>
      <c r="J1426" s="19">
        <f>Ringkasan!J1425</f>
        <v>2.4</v>
      </c>
      <c r="K1426" s="19">
        <f>Ringkasan!K1425</f>
        <v>1.9</v>
      </c>
      <c r="L1426" s="19">
        <f>Ringkasan!L1425</f>
        <v>0.27</v>
      </c>
      <c r="M1426" s="19">
        <f>Ringkasan!M1425</f>
        <v>7.1</v>
      </c>
      <c r="N1426" s="64" t="str">
        <f>Ringkasan!N1425</f>
        <v/>
      </c>
      <c r="O1426" s="64" t="str">
        <f>Ringkasan!O1425</f>
        <v/>
      </c>
      <c r="P1426" s="64" t="str">
        <f>Ringkasan!P1425</f>
        <v/>
      </c>
      <c r="Q1426" s="64" t="str">
        <f>Ringkasan!Q1425</f>
        <v/>
      </c>
      <c r="R1426" s="64" t="str">
        <f>Ringkasan!R1425</f>
        <v/>
      </c>
      <c r="S1426" s="64" t="str">
        <f>Ringkasan!S1425</f>
        <v/>
      </c>
      <c r="T1426" s="64" t="str">
        <f>Ringkasan!T1425</f>
        <v/>
      </c>
      <c r="U1426" s="64">
        <f>Ringkasan!U1425</f>
        <v>140</v>
      </c>
      <c r="V1426" s="64">
        <f>Ringkasan!V1425</f>
        <v>5</v>
      </c>
      <c r="W1426" s="64">
        <f>Ringkasan!W1425</f>
        <v>140</v>
      </c>
      <c r="X1426" s="64">
        <f>Ringkasan!X1425</f>
        <v>149</v>
      </c>
      <c r="Y1426" s="64">
        <f>Ringkasan!Y1425</f>
        <v>140</v>
      </c>
      <c r="Z1426" s="64">
        <f>Ringkasan!Z1425</f>
        <v>1278600</v>
      </c>
      <c r="AA1426" s="64" t="str">
        <f>Ringkasan!AA1425</f>
        <v>Containers &amp; Packaging</v>
      </c>
      <c r="AB1426" s="64" t="str">
        <f>Ringkasan!AB1425</f>
        <v>Basic Materials</v>
      </c>
    </row>
    <row r="1427" hidden="1">
      <c r="A1427" s="64" t="str">
        <f>Ringkasan!A1426</f>
        <v>PPRO</v>
      </c>
      <c r="B1427" s="64" t="str">
        <f>Ringkasan!B1426</f>
        <v>PP Properti Tbk.</v>
      </c>
      <c r="C1427" s="65">
        <f>Ringkasan!C1426</f>
        <v>14</v>
      </c>
      <c r="D1427" s="64" t="str">
        <f>Ringkasan!D1426</f>
        <v>#N/A</v>
      </c>
      <c r="E1427" s="64" t="str">
        <f>Ringkasan!E1426</f>
        <v/>
      </c>
      <c r="F1427" s="64" t="str">
        <f>Ringkasan!F1426</f>
        <v/>
      </c>
      <c r="G1427" s="64">
        <f>Ringkasan!G1426</f>
        <v>0</v>
      </c>
      <c r="H1427" s="19">
        <f>Ringkasan!H1426</f>
        <v>-0.18</v>
      </c>
      <c r="I1427" s="19">
        <f>Ringkasan!I1426</f>
        <v>0.15</v>
      </c>
      <c r="J1427" s="19">
        <f>Ringkasan!J1426</f>
        <v>-83.3</v>
      </c>
      <c r="K1427" s="19">
        <f>Ringkasan!K1426</f>
        <v>-47.8</v>
      </c>
      <c r="L1427" s="19">
        <f>Ringkasan!L1426</f>
        <v>0.74</v>
      </c>
      <c r="M1427" s="19">
        <f>Ringkasan!M1426</f>
        <v>-6420</v>
      </c>
      <c r="N1427" s="64" t="str">
        <f>Ringkasan!N1426</f>
        <v/>
      </c>
      <c r="O1427" s="64" t="str">
        <f>Ringkasan!O1426</f>
        <v/>
      </c>
      <c r="P1427" s="64" t="str">
        <f>Ringkasan!P1426</f>
        <v/>
      </c>
      <c r="Q1427" s="64" t="str">
        <f>Ringkasan!Q1426</f>
        <v/>
      </c>
      <c r="R1427" s="64" t="str">
        <f>Ringkasan!R1426</f>
        <v/>
      </c>
      <c r="S1427" s="64" t="str">
        <f>Ringkasan!S1426</f>
        <v/>
      </c>
      <c r="T1427" s="64" t="str">
        <f>Ringkasan!T1426</f>
        <v/>
      </c>
      <c r="U1427" s="64">
        <f>Ringkasan!U1426</f>
        <v>13</v>
      </c>
      <c r="V1427" s="64">
        <f>Ringkasan!V1426</f>
        <v>7.69</v>
      </c>
      <c r="W1427" s="64">
        <f>Ringkasan!W1426</f>
        <v>13</v>
      </c>
      <c r="X1427" s="64">
        <f>Ringkasan!X1426</f>
        <v>14</v>
      </c>
      <c r="Y1427" s="64">
        <f>Ringkasan!Y1426</f>
        <v>13</v>
      </c>
      <c r="Z1427" s="64">
        <f>Ringkasan!Z1426</f>
        <v>43158900</v>
      </c>
      <c r="AA1427" s="64" t="str">
        <f>Ringkasan!AA1426</f>
        <v>Real Estate Management &amp; Development</v>
      </c>
      <c r="AB1427" s="64" t="str">
        <f>Ringkasan!AB1426</f>
        <v>Properties &amp; Real Estate</v>
      </c>
    </row>
    <row r="1428" hidden="1">
      <c r="A1428" s="64" t="str">
        <f>Ringkasan!A1427</f>
        <v>PRAY</v>
      </c>
      <c r="B1428" s="64" t="str">
        <f>Ringkasan!B1427</f>
        <v>Famon Awal Bros Sedaya Tbk.</v>
      </c>
      <c r="C1428" s="65" t="str">
        <f>Ringkasan!C1427</f>
        <v>#N/A</v>
      </c>
      <c r="D1428" s="64" t="str">
        <f>Ringkasan!D1427</f>
        <v>#N/A</v>
      </c>
      <c r="E1428" s="64" t="str">
        <f>Ringkasan!E1427</f>
        <v/>
      </c>
      <c r="F1428" s="64" t="str">
        <f>Ringkasan!F1427</f>
        <v/>
      </c>
      <c r="G1428" s="64">
        <f>Ringkasan!G1427</f>
        <v>0</v>
      </c>
      <c r="H1428" s="19">
        <f>Ringkasan!H1427</f>
        <v>52.6</v>
      </c>
      <c r="I1428" s="19">
        <f>Ringkasan!I1427</f>
        <v>2.9</v>
      </c>
      <c r="J1428" s="19">
        <f>Ringkasan!J1427</f>
        <v>5.5</v>
      </c>
      <c r="K1428" s="19">
        <f>Ringkasan!K1427</f>
        <v>3.1</v>
      </c>
      <c r="L1428" s="19">
        <f>Ringkasan!L1427</f>
        <v>0.77</v>
      </c>
      <c r="M1428" s="19">
        <f>Ringkasan!M1427</f>
        <v>27.9</v>
      </c>
      <c r="N1428" s="64" t="str">
        <f>Ringkasan!N1427</f>
        <v/>
      </c>
      <c r="O1428" s="64" t="str">
        <f>Ringkasan!O1427</f>
        <v/>
      </c>
      <c r="P1428" s="64" t="str">
        <f>Ringkasan!P1427</f>
        <v/>
      </c>
      <c r="Q1428" s="64" t="str">
        <f>Ringkasan!Q1427</f>
        <v/>
      </c>
      <c r="R1428" s="64" t="str">
        <f>Ringkasan!R1427</f>
        <v/>
      </c>
      <c r="S1428" s="64" t="str">
        <f>Ringkasan!S1427</f>
        <v/>
      </c>
      <c r="T1428" s="64" t="str">
        <f>Ringkasan!T1427</f>
        <v/>
      </c>
      <c r="U1428" s="64">
        <f>Ringkasan!U1427</f>
        <v>35.45</v>
      </c>
      <c r="V1428" s="64">
        <f>Ringkasan!V1427</f>
        <v>0.59</v>
      </c>
      <c r="W1428" s="64">
        <f>Ringkasan!W1427</f>
        <v>35.54</v>
      </c>
      <c r="X1428" s="64">
        <f>Ringkasan!X1427</f>
        <v>35.83</v>
      </c>
      <c r="Y1428" s="64">
        <f>Ringkasan!Y1427</f>
        <v>35.54</v>
      </c>
      <c r="Z1428" s="64">
        <f>Ringkasan!Z1427</f>
        <v>868</v>
      </c>
      <c r="AA1428" s="64" t="str">
        <f>Ringkasan!AA1427</f>
        <v>Healthcare Providers</v>
      </c>
      <c r="AB1428" s="64" t="str">
        <f>Ringkasan!AB1427</f>
        <v>Healthcare</v>
      </c>
    </row>
    <row r="1429" hidden="1">
      <c r="A1429" s="64" t="str">
        <f>Ringkasan!A1428</f>
        <v>PRDA</v>
      </c>
      <c r="B1429" s="64" t="str">
        <f>Ringkasan!B1428</f>
        <v>PT Prodia Widyahusada Tbk.</v>
      </c>
      <c r="C1429" s="65">
        <f>Ringkasan!C1428</f>
        <v>2440</v>
      </c>
      <c r="D1429" s="64" t="str">
        <f>Ringkasan!D1428</f>
        <v>#N/A</v>
      </c>
      <c r="E1429" s="64" t="str">
        <f>Ringkasan!E1428</f>
        <v/>
      </c>
      <c r="F1429" s="64" t="str">
        <f>Ringkasan!F1428</f>
        <v/>
      </c>
      <c r="G1429" s="65">
        <f>Ringkasan!G1428</f>
        <v>0</v>
      </c>
      <c r="H1429" s="19">
        <f>Ringkasan!H1428</f>
        <v>10.9</v>
      </c>
      <c r="I1429" s="19">
        <f>Ringkasan!I1428</f>
        <v>0.98</v>
      </c>
      <c r="J1429" s="19">
        <f>Ringkasan!J1428</f>
        <v>9</v>
      </c>
      <c r="K1429" s="19">
        <f>Ringkasan!K1428</f>
        <v>8.1</v>
      </c>
      <c r="L1429" s="19">
        <f>Ringkasan!L1428</f>
        <v>0.11</v>
      </c>
      <c r="M1429" s="19">
        <f>Ringkasan!M1428</f>
        <v>43.3</v>
      </c>
      <c r="N1429" s="64" t="str">
        <f>Ringkasan!N1428</f>
        <v/>
      </c>
      <c r="O1429" s="64" t="str">
        <f>Ringkasan!O1428</f>
        <v/>
      </c>
      <c r="P1429" s="64" t="str">
        <f>Ringkasan!P1428</f>
        <v/>
      </c>
      <c r="Q1429" s="64" t="str">
        <f>Ringkasan!Q1428</f>
        <v/>
      </c>
      <c r="R1429" s="64" t="str">
        <f>Ringkasan!R1428</f>
        <v/>
      </c>
      <c r="S1429" s="64" t="str">
        <f>Ringkasan!S1428</f>
        <v/>
      </c>
      <c r="T1429" s="64" t="str">
        <f>Ringkasan!T1428</f>
        <v/>
      </c>
      <c r="U1429" s="64">
        <f>Ringkasan!U1428</f>
        <v>2410</v>
      </c>
      <c r="V1429" s="64">
        <f>Ringkasan!V1428</f>
        <v>1.24</v>
      </c>
      <c r="W1429" s="64">
        <f>Ringkasan!W1428</f>
        <v>2410</v>
      </c>
      <c r="X1429" s="64">
        <f>Ringkasan!X1428</f>
        <v>2440</v>
      </c>
      <c r="Y1429" s="64">
        <f>Ringkasan!Y1428</f>
        <v>2390</v>
      </c>
      <c r="Z1429" s="64">
        <f>Ringkasan!Z1428</f>
        <v>120400</v>
      </c>
      <c r="AA1429" s="64" t="str">
        <f>Ringkasan!AA1428</f>
        <v>Healthcare Providers</v>
      </c>
      <c r="AB1429" s="64" t="str">
        <f>Ringkasan!AB1428</f>
        <v>Healthcare</v>
      </c>
    </row>
    <row r="1430" hidden="1">
      <c r="A1430" s="64" t="str">
        <f>Ringkasan!A1429</f>
        <v>PRIM</v>
      </c>
      <c r="B1430" s="64" t="str">
        <f>Ringkasan!B1429</f>
        <v>Royal Prima Tbk.</v>
      </c>
      <c r="C1430" s="65">
        <f>Ringkasan!C1429</f>
        <v>79</v>
      </c>
      <c r="D1430" s="64" t="str">
        <f>Ringkasan!D1429</f>
        <v>#N/A</v>
      </c>
      <c r="E1430" s="64" t="str">
        <f>Ringkasan!E1429</f>
        <v/>
      </c>
      <c r="F1430" s="64" t="str">
        <f>Ringkasan!F1429</f>
        <v/>
      </c>
      <c r="G1430" s="64">
        <f>Ringkasan!G1429</f>
        <v>0</v>
      </c>
      <c r="H1430" s="19">
        <f>Ringkasan!H1429</f>
        <v>-14.4</v>
      </c>
      <c r="I1430" s="19">
        <f>Ringkasan!I1429</f>
        <v>0.3</v>
      </c>
      <c r="J1430" s="19">
        <f>Ringkasan!J1429</f>
        <v>-2.1</v>
      </c>
      <c r="K1430" s="19">
        <f>Ringkasan!K1429</f>
        <v>-1.9</v>
      </c>
      <c r="L1430" s="19">
        <f>Ringkasan!L1429</f>
        <v>0.11</v>
      </c>
      <c r="M1430" s="19">
        <f>Ringkasan!M1429</f>
        <v>-27.2</v>
      </c>
      <c r="N1430" s="64" t="str">
        <f>Ringkasan!N1429</f>
        <v/>
      </c>
      <c r="O1430" s="64" t="str">
        <f>Ringkasan!O1429</f>
        <v/>
      </c>
      <c r="P1430" s="64" t="str">
        <f>Ringkasan!P1429</f>
        <v/>
      </c>
      <c r="Q1430" s="64" t="str">
        <f>Ringkasan!Q1429</f>
        <v/>
      </c>
      <c r="R1430" s="64" t="str">
        <f>Ringkasan!R1429</f>
        <v/>
      </c>
      <c r="S1430" s="64" t="str">
        <f>Ringkasan!S1429</f>
        <v/>
      </c>
      <c r="T1430" s="64" t="str">
        <f>Ringkasan!T1429</f>
        <v/>
      </c>
      <c r="U1430" s="64">
        <f>Ringkasan!U1429</f>
        <v>94.5</v>
      </c>
      <c r="V1430" s="64">
        <f>Ringkasan!V1429</f>
        <v>4.39</v>
      </c>
      <c r="W1430" s="64">
        <f>Ringkasan!W1429</f>
        <v>94.53</v>
      </c>
      <c r="X1430" s="64">
        <f>Ringkasan!X1429</f>
        <v>99.98</v>
      </c>
      <c r="Y1430" s="64">
        <f>Ringkasan!Y1429</f>
        <v>93.2</v>
      </c>
      <c r="Z1430" s="64">
        <f>Ringkasan!Z1429</f>
        <v>1772391</v>
      </c>
      <c r="AA1430" s="64" t="str">
        <f>Ringkasan!AA1429</f>
        <v>Healthcare Providers</v>
      </c>
      <c r="AB1430" s="64" t="str">
        <f>Ringkasan!AB1429</f>
        <v>Healthcare</v>
      </c>
    </row>
    <row r="1431" hidden="1">
      <c r="A1431" s="64" t="str">
        <f>Ringkasan!A1430</f>
        <v>PSAB</v>
      </c>
      <c r="B1431" s="64" t="str">
        <f>Ringkasan!B1430</f>
        <v>J Resources Asia Pasifik Tbk.</v>
      </c>
      <c r="C1431" s="65">
        <f>Ringkasan!C1430</f>
        <v>468</v>
      </c>
      <c r="D1431" s="64" t="str">
        <f>Ringkasan!D1430</f>
        <v>#N/A</v>
      </c>
      <c r="E1431" s="64" t="str">
        <f>Ringkasan!E1430</f>
        <v>Kompas100</v>
      </c>
      <c r="F1431" s="64" t="str">
        <f>Ringkasan!F1430</f>
        <v>31 Juli 2026</v>
      </c>
      <c r="G1431" s="64">
        <f>Ringkasan!G1430</f>
        <v>1</v>
      </c>
      <c r="H1431" s="19">
        <f>Ringkasan!H1430</f>
        <v>20.7</v>
      </c>
      <c r="I1431" s="19">
        <f>Ringkasan!I1430</f>
        <v>1.7</v>
      </c>
      <c r="J1431" s="19">
        <f>Ringkasan!J1430</f>
        <v>8</v>
      </c>
      <c r="K1431" s="19">
        <f>Ringkasan!K1430</f>
        <v>4.4</v>
      </c>
      <c r="L1431" s="19">
        <f>Ringkasan!L1430</f>
        <v>0.81</v>
      </c>
      <c r="M1431" s="19">
        <f>Ringkasan!M1430</f>
        <v>12.6</v>
      </c>
      <c r="N1431" s="64" t="str">
        <f>Ringkasan!N1430</f>
        <v/>
      </c>
      <c r="O1431" s="64" t="str">
        <f>Ringkasan!O1430</f>
        <v/>
      </c>
      <c r="P1431" s="64" t="str">
        <f>Ringkasan!P1430</f>
        <v/>
      </c>
      <c r="Q1431" s="64" t="str">
        <f>Ringkasan!Q1430</f>
        <v/>
      </c>
      <c r="R1431" s="64" t="str">
        <f>Ringkasan!R1430</f>
        <v/>
      </c>
      <c r="S1431" s="64" t="str">
        <f>Ringkasan!S1430</f>
        <v/>
      </c>
      <c r="T1431" s="64" t="str">
        <f>Ringkasan!T1430</f>
        <v/>
      </c>
      <c r="U1431" s="64">
        <f>Ringkasan!U1430</f>
        <v>445</v>
      </c>
      <c r="V1431" s="64">
        <f>Ringkasan!V1430</f>
        <v>5.17</v>
      </c>
      <c r="W1431" s="64">
        <f>Ringkasan!W1430</f>
        <v>468</v>
      </c>
      <c r="X1431" s="64">
        <f>Ringkasan!X1430</f>
        <v>468</v>
      </c>
      <c r="Y1431" s="64" t="str">
        <f>Ringkasan!Y1430</f>
        <v/>
      </c>
      <c r="Z1431" s="64">
        <f>Ringkasan!Z1430</f>
        <v>34989800</v>
      </c>
      <c r="AA1431" s="64" t="str">
        <f>Ringkasan!AA1430</f>
        <v>Metals &amp; Minerals</v>
      </c>
      <c r="AB1431" s="64" t="str">
        <f>Ringkasan!AB1430</f>
        <v>Basic Materials</v>
      </c>
    </row>
    <row r="1432" hidden="1">
      <c r="A1432" s="64" t="str">
        <f>Ringkasan!A1431</f>
        <v>PSAT</v>
      </c>
      <c r="B1432" s="64" t="str">
        <f>Ringkasan!B1431</f>
        <v>Pancaran Samudera Transport Tbk.</v>
      </c>
      <c r="C1432" s="65">
        <f>Ringkasan!C1431</f>
        <v>850</v>
      </c>
      <c r="D1432" s="64" t="str">
        <f>Ringkasan!D1431</f>
        <v>#N/A</v>
      </c>
      <c r="E1432" s="64" t="str">
        <f>Ringkasan!E1431</f>
        <v/>
      </c>
      <c r="F1432" s="64" t="str">
        <f>Ringkasan!F1431</f>
        <v/>
      </c>
      <c r="G1432" s="64">
        <f>Ringkasan!G1431</f>
        <v>0</v>
      </c>
      <c r="H1432" s="19">
        <f>Ringkasan!H1431</f>
        <v>-45</v>
      </c>
      <c r="I1432" s="19">
        <f>Ringkasan!I1431</f>
        <v>0.9</v>
      </c>
      <c r="J1432" s="19">
        <f>Ringkasan!J1431</f>
        <v>-2</v>
      </c>
      <c r="K1432" s="19">
        <f>Ringkasan!K1431</f>
        <v>-1.5</v>
      </c>
      <c r="L1432" s="19">
        <f>Ringkasan!L1431</f>
        <v>0.29</v>
      </c>
      <c r="M1432" s="19">
        <f>Ringkasan!M1431</f>
        <v>-13.8</v>
      </c>
      <c r="N1432" s="64" t="str">
        <f>Ringkasan!N1431</f>
        <v/>
      </c>
      <c r="O1432" s="64" t="str">
        <f>Ringkasan!O1431</f>
        <v/>
      </c>
      <c r="P1432" s="64" t="str">
        <f>Ringkasan!P1431</f>
        <v/>
      </c>
      <c r="Q1432" s="64" t="str">
        <f>Ringkasan!Q1431</f>
        <v/>
      </c>
      <c r="R1432" s="64" t="str">
        <f>Ringkasan!R1431</f>
        <v/>
      </c>
      <c r="S1432" s="64" t="str">
        <f>Ringkasan!S1431</f>
        <v/>
      </c>
      <c r="T1432" s="64" t="str">
        <f>Ringkasan!T1431</f>
        <v/>
      </c>
      <c r="U1432" s="64">
        <f>Ringkasan!U1431</f>
        <v>850</v>
      </c>
      <c r="V1432" s="64">
        <f>Ringkasan!V1431</f>
        <v>0</v>
      </c>
      <c r="W1432" s="64">
        <f>Ringkasan!W1431</f>
        <v>850</v>
      </c>
      <c r="X1432" s="64">
        <f>Ringkasan!X1431</f>
        <v>900</v>
      </c>
      <c r="Y1432" s="64">
        <f>Ringkasan!Y1431</f>
        <v>800</v>
      </c>
      <c r="Z1432" s="64" t="str">
        <f>Ringkasan!Z1431</f>
        <v/>
      </c>
      <c r="AA1432" s="64" t="str">
        <f>Ringkasan!AA1431</f>
        <v>Coal</v>
      </c>
      <c r="AB1432" s="64" t="str">
        <f>Ringkasan!AB1431</f>
        <v>Energy</v>
      </c>
    </row>
    <row r="1433" hidden="1">
      <c r="A1433" s="64" t="str">
        <f>Ringkasan!A1432</f>
        <v>PSDN</v>
      </c>
      <c r="B1433" s="64" t="str">
        <f>Ringkasan!B1432</f>
        <v>Prasidha Aneka Niaga Tbk</v>
      </c>
      <c r="C1433" s="65" t="str">
        <f>Ringkasan!C1432</f>
        <v>#N/A</v>
      </c>
      <c r="D1433" s="64" t="str">
        <f>Ringkasan!D1432</f>
        <v>#N/A</v>
      </c>
      <c r="E1433" s="64" t="str">
        <f>Ringkasan!E1432</f>
        <v/>
      </c>
      <c r="F1433" s="64" t="str">
        <f>Ringkasan!F1432</f>
        <v/>
      </c>
      <c r="G1433" s="64">
        <f>Ringkasan!G1432</f>
        <v>0</v>
      </c>
      <c r="H1433" s="19">
        <f>Ringkasan!H1432</f>
        <v>-6.8</v>
      </c>
      <c r="I1433" s="19">
        <f>Ringkasan!I1432</f>
        <v>13.4</v>
      </c>
      <c r="J1433" s="19">
        <f>Ringkasan!J1432</f>
        <v>-200</v>
      </c>
      <c r="K1433" s="19">
        <f>Ringkasan!K1432</f>
        <v>-20.3</v>
      </c>
      <c r="L1433" s="19">
        <f>Ringkasan!L1432</f>
        <v>8.7</v>
      </c>
      <c r="M1433" s="19">
        <f>Ringkasan!M1432</f>
        <v>-680</v>
      </c>
      <c r="N1433" s="64" t="str">
        <f>Ringkasan!N1432</f>
        <v/>
      </c>
      <c r="O1433" s="64" t="str">
        <f>Ringkasan!O1432</f>
        <v/>
      </c>
      <c r="P1433" s="64" t="str">
        <f>Ringkasan!P1432</f>
        <v/>
      </c>
      <c r="Q1433" s="64" t="str">
        <f>Ringkasan!Q1432</f>
        <v/>
      </c>
      <c r="R1433" s="64" t="str">
        <f>Ringkasan!R1432</f>
        <v/>
      </c>
      <c r="S1433" s="64" t="str">
        <f>Ringkasan!S1432</f>
        <v/>
      </c>
      <c r="T1433" s="64" t="str">
        <f>Ringkasan!T1432</f>
        <v/>
      </c>
      <c r="U1433" s="64">
        <f>Ringkasan!U1432</f>
        <v>113</v>
      </c>
      <c r="V1433" s="64">
        <f>Ringkasan!V1432</f>
        <v>1.77</v>
      </c>
      <c r="W1433" s="64">
        <f>Ringkasan!W1432</f>
        <v>112</v>
      </c>
      <c r="X1433" s="64">
        <f>Ringkasan!X1432</f>
        <v>126</v>
      </c>
      <c r="Y1433" s="64">
        <f>Ringkasan!Y1432</f>
        <v>111</v>
      </c>
      <c r="Z1433" s="64">
        <f>Ringkasan!Z1432</f>
        <v>16950000</v>
      </c>
      <c r="AA1433" s="64" t="str">
        <f>Ringkasan!AA1432</f>
        <v>Processed Foods</v>
      </c>
      <c r="AB1433" s="64" t="str">
        <f>Ringkasan!AB1432</f>
        <v>Consumer Non-Cyclicals</v>
      </c>
    </row>
    <row r="1434" hidden="1">
      <c r="A1434" s="64" t="str">
        <f>Ringkasan!A1433</f>
        <v>PSGO</v>
      </c>
      <c r="B1434" s="64" t="str">
        <f>Ringkasan!B1433</f>
        <v>Palma Serasih Tbk.</v>
      </c>
      <c r="C1434" s="65">
        <f>Ringkasan!C1433</f>
        <v>190</v>
      </c>
      <c r="D1434" s="64" t="str">
        <f>Ringkasan!D1433</f>
        <v>#N/A</v>
      </c>
      <c r="E1434" s="64" t="str">
        <f>Ringkasan!E1433</f>
        <v/>
      </c>
      <c r="F1434" s="64" t="str">
        <f>Ringkasan!F1433</f>
        <v/>
      </c>
      <c r="G1434" s="65">
        <f>Ringkasan!G1433</f>
        <v>0</v>
      </c>
      <c r="H1434" s="19">
        <f>Ringkasan!H1433</f>
        <v>8.4</v>
      </c>
      <c r="I1434" s="19">
        <f>Ringkasan!I1433</f>
        <v>1.3</v>
      </c>
      <c r="J1434" s="19">
        <f>Ringkasan!J1433</f>
        <v>15.3</v>
      </c>
      <c r="K1434" s="19">
        <f>Ringkasan!K1433</f>
        <v>13.2</v>
      </c>
      <c r="L1434" s="19">
        <f>Ringkasan!L1433</f>
        <v>0.16</v>
      </c>
      <c r="M1434" s="19">
        <f>Ringkasan!M1433</f>
        <v>81.4</v>
      </c>
      <c r="N1434" s="64" t="str">
        <f>Ringkasan!N1433</f>
        <v/>
      </c>
      <c r="O1434" s="64" t="str">
        <f>Ringkasan!O1433</f>
        <v/>
      </c>
      <c r="P1434" s="64" t="str">
        <f>Ringkasan!P1433</f>
        <v/>
      </c>
      <c r="Q1434" s="64" t="str">
        <f>Ringkasan!Q1433</f>
        <v/>
      </c>
      <c r="R1434" s="64" t="str">
        <f>Ringkasan!R1433</f>
        <v/>
      </c>
      <c r="S1434" s="64" t="str">
        <f>Ringkasan!S1433</f>
        <v/>
      </c>
      <c r="T1434" s="64" t="str">
        <f>Ringkasan!T1433</f>
        <v/>
      </c>
      <c r="U1434" s="64">
        <f>Ringkasan!U1433</f>
        <v>190</v>
      </c>
      <c r="V1434" s="64">
        <f>Ringkasan!V1433</f>
        <v>0</v>
      </c>
      <c r="W1434" s="64">
        <f>Ringkasan!W1433</f>
        <v>192</v>
      </c>
      <c r="X1434" s="64">
        <f>Ringkasan!X1433</f>
        <v>194</v>
      </c>
      <c r="Y1434" s="64">
        <f>Ringkasan!Y1433</f>
        <v>190</v>
      </c>
      <c r="Z1434" s="64">
        <f>Ringkasan!Z1433</f>
        <v>338700</v>
      </c>
      <c r="AA1434" s="64" t="str">
        <f>Ringkasan!AA1433</f>
        <v>Agricultural Products</v>
      </c>
      <c r="AB1434" s="64" t="str">
        <f>Ringkasan!AB1433</f>
        <v>Consumer Non-Cyclicals</v>
      </c>
    </row>
    <row r="1435" hidden="1">
      <c r="A1435" s="64" t="str">
        <f>Ringkasan!A1434</f>
        <v>PSKT</v>
      </c>
      <c r="B1435" s="64" t="str">
        <f>Ringkasan!B1434</f>
        <v>Red Planet Indonesia Tbk.</v>
      </c>
      <c r="C1435" s="65">
        <f>Ringkasan!C1434</f>
        <v>189</v>
      </c>
      <c r="D1435" s="64" t="str">
        <f>Ringkasan!D1434</f>
        <v>#N/A</v>
      </c>
      <c r="E1435" s="64" t="str">
        <f>Ringkasan!E1434</f>
        <v/>
      </c>
      <c r="F1435" s="64" t="str">
        <f>Ringkasan!F1434</f>
        <v/>
      </c>
      <c r="G1435" s="64">
        <f>Ringkasan!G1434</f>
        <v>0</v>
      </c>
      <c r="H1435" s="19">
        <f>Ringkasan!H1434</f>
        <v>-200</v>
      </c>
      <c r="I1435" s="19">
        <f>Ringkasan!I1434</f>
        <v>7.2</v>
      </c>
      <c r="J1435" s="19">
        <f>Ringkasan!J1434</f>
        <v>-3.7</v>
      </c>
      <c r="K1435" s="19">
        <f>Ringkasan!K1434</f>
        <v>-3.2</v>
      </c>
      <c r="L1435" s="19">
        <f>Ringkasan!L1434</f>
        <v>0.14</v>
      </c>
      <c r="M1435" s="19">
        <f>Ringkasan!M1434</f>
        <v>-100</v>
      </c>
      <c r="N1435" s="64" t="str">
        <f>Ringkasan!N1434</f>
        <v/>
      </c>
      <c r="O1435" s="64" t="str">
        <f>Ringkasan!O1434</f>
        <v/>
      </c>
      <c r="P1435" s="64" t="str">
        <f>Ringkasan!P1434</f>
        <v/>
      </c>
      <c r="Q1435" s="64" t="str">
        <f>Ringkasan!Q1434</f>
        <v/>
      </c>
      <c r="R1435" s="64" t="str">
        <f>Ringkasan!R1434</f>
        <v/>
      </c>
      <c r="S1435" s="64" t="str">
        <f>Ringkasan!S1434</f>
        <v/>
      </c>
      <c r="T1435" s="64" t="str">
        <f>Ringkasan!T1434</f>
        <v/>
      </c>
      <c r="U1435" s="64">
        <f>Ringkasan!U1434</f>
        <v>180</v>
      </c>
      <c r="V1435" s="64">
        <f>Ringkasan!V1434</f>
        <v>5</v>
      </c>
      <c r="W1435" s="64">
        <f>Ringkasan!W1434</f>
        <v>181</v>
      </c>
      <c r="X1435" s="64">
        <f>Ringkasan!X1434</f>
        <v>194</v>
      </c>
      <c r="Y1435" s="64">
        <f>Ringkasan!Y1434</f>
        <v>181</v>
      </c>
      <c r="Z1435" s="64">
        <f>Ringkasan!Z1434</f>
        <v>24747700</v>
      </c>
      <c r="AA1435" s="64" t="str">
        <f>Ringkasan!AA1434</f>
        <v>Tourism &amp; Recreation</v>
      </c>
      <c r="AB1435" s="64" t="str">
        <f>Ringkasan!AB1434</f>
        <v>Consumer Cyclicals</v>
      </c>
    </row>
    <row r="1436" hidden="1">
      <c r="A1436" s="64" t="str">
        <f>Ringkasan!A1435</f>
        <v>PSSI</v>
      </c>
      <c r="B1436" s="64" t="str">
        <f>Ringkasan!B1435</f>
        <v>IMC Pelita Logistik Tbk.</v>
      </c>
      <c r="C1436" s="65">
        <f>Ringkasan!C1435</f>
        <v>296</v>
      </c>
      <c r="D1436" s="64" t="str">
        <f>Ringkasan!D1435</f>
        <v>#N/A</v>
      </c>
      <c r="E1436" s="64" t="str">
        <f>Ringkasan!E1435</f>
        <v/>
      </c>
      <c r="F1436" s="64" t="str">
        <f>Ringkasan!F1435</f>
        <v/>
      </c>
      <c r="G1436" s="64">
        <f>Ringkasan!G1435</f>
        <v>0</v>
      </c>
      <c r="H1436" s="19">
        <f>Ringkasan!H1435</f>
        <v>-160</v>
      </c>
      <c r="I1436" s="19">
        <f>Ringkasan!I1435</f>
        <v>0.63</v>
      </c>
      <c r="J1436" s="19">
        <f>Ringkasan!J1435</f>
        <v>-0.39</v>
      </c>
      <c r="K1436" s="19">
        <f>Ringkasan!K1435</f>
        <v>-0.34</v>
      </c>
      <c r="L1436" s="19">
        <f>Ringkasan!L1435</f>
        <v>0.13</v>
      </c>
      <c r="M1436" s="19">
        <f>Ringkasan!M1435</f>
        <v>-5.5</v>
      </c>
      <c r="N1436" s="64" t="str">
        <f>Ringkasan!N1435</f>
        <v/>
      </c>
      <c r="O1436" s="64" t="str">
        <f>Ringkasan!O1435</f>
        <v/>
      </c>
      <c r="P1436" s="64" t="str">
        <f>Ringkasan!P1435</f>
        <v/>
      </c>
      <c r="Q1436" s="64" t="str">
        <f>Ringkasan!Q1435</f>
        <v/>
      </c>
      <c r="R1436" s="64" t="str">
        <f>Ringkasan!R1435</f>
        <v/>
      </c>
      <c r="S1436" s="64" t="str">
        <f>Ringkasan!S1435</f>
        <v/>
      </c>
      <c r="T1436" s="64" t="str">
        <f>Ringkasan!T1435</f>
        <v/>
      </c>
      <c r="U1436" s="64">
        <f>Ringkasan!U1435</f>
        <v>290</v>
      </c>
      <c r="V1436" s="64">
        <f>Ringkasan!V1435</f>
        <v>2.07</v>
      </c>
      <c r="W1436" s="64">
        <f>Ringkasan!W1435</f>
        <v>290</v>
      </c>
      <c r="X1436" s="64">
        <f>Ringkasan!X1435</f>
        <v>298</v>
      </c>
      <c r="Y1436" s="64">
        <f>Ringkasan!Y1435</f>
        <v>286</v>
      </c>
      <c r="Z1436" s="64">
        <f>Ringkasan!Z1435</f>
        <v>61300</v>
      </c>
      <c r="AA1436" s="64" t="str">
        <f>Ringkasan!AA1435</f>
        <v>Coal</v>
      </c>
      <c r="AB1436" s="64" t="str">
        <f>Ringkasan!AB1435</f>
        <v>Energy</v>
      </c>
    </row>
    <row r="1437" hidden="1">
      <c r="A1437" s="64" t="str">
        <f>Ringkasan!A1436</f>
        <v>PTBA</v>
      </c>
      <c r="B1437" s="64" t="str">
        <f>Ringkasan!B1436</f>
        <v>Bukit Asam (Persero) Tbk.</v>
      </c>
      <c r="C1437" s="65">
        <f>Ringkasan!C1436</f>
        <v>2620</v>
      </c>
      <c r="D1437" s="64" t="str">
        <f>Ringkasan!D1436</f>
        <v>#N/A</v>
      </c>
      <c r="E1437" s="64" t="str">
        <f>Ringkasan!E1436</f>
        <v>IDXMESBUMN</v>
      </c>
      <c r="F1437" s="66">
        <f>Ringkasan!F1436</f>
        <v>46356</v>
      </c>
      <c r="G1437" s="65">
        <f>Ringkasan!G1436</f>
        <v>18</v>
      </c>
      <c r="H1437" s="19">
        <f>Ringkasan!H1436</f>
        <v>9.6</v>
      </c>
      <c r="I1437" s="19">
        <f>Ringkasan!I1436</f>
        <v>1.4</v>
      </c>
      <c r="J1437" s="19">
        <f>Ringkasan!J1436</f>
        <v>14.1</v>
      </c>
      <c r="K1437" s="19">
        <f>Ringkasan!K1436</f>
        <v>7.7</v>
      </c>
      <c r="L1437" s="19">
        <f>Ringkasan!L1436</f>
        <v>0.83</v>
      </c>
      <c r="M1437" s="19">
        <f>Ringkasan!M1436</f>
        <v>33.6</v>
      </c>
      <c r="N1437" s="64" t="str">
        <f>Ringkasan!N1436</f>
        <v/>
      </c>
      <c r="O1437" s="64" t="str">
        <f>Ringkasan!O1436</f>
        <v/>
      </c>
      <c r="P1437" s="64" t="str">
        <f>Ringkasan!P1436</f>
        <v/>
      </c>
      <c r="Q1437" s="64" t="str">
        <f>Ringkasan!Q1436</f>
        <v/>
      </c>
      <c r="R1437" s="64" t="str">
        <f>Ringkasan!R1436</f>
        <v/>
      </c>
      <c r="S1437" s="64" t="str">
        <f>Ringkasan!S1436</f>
        <v/>
      </c>
      <c r="T1437" s="64" t="str">
        <f>Ringkasan!T1436</f>
        <v/>
      </c>
      <c r="U1437" s="64">
        <f>Ringkasan!U1436</f>
        <v>2630</v>
      </c>
      <c r="V1437" s="64">
        <f>Ringkasan!V1436</f>
        <v>-0.38</v>
      </c>
      <c r="W1437" s="64">
        <f>Ringkasan!W1436</f>
        <v>2600</v>
      </c>
      <c r="X1437" s="64">
        <f>Ringkasan!X1436</f>
        <v>2670</v>
      </c>
      <c r="Y1437" s="64">
        <f>Ringkasan!Y1436</f>
        <v>2550</v>
      </c>
      <c r="Z1437" s="64">
        <f>Ringkasan!Z1436</f>
        <v>46138000</v>
      </c>
      <c r="AA1437" s="64" t="str">
        <f>Ringkasan!AA1436</f>
        <v>Coal</v>
      </c>
      <c r="AB1437" s="64" t="str">
        <f>Ringkasan!AB1436</f>
        <v>Energy</v>
      </c>
    </row>
    <row r="1438" hidden="1">
      <c r="A1438" s="64" t="str">
        <f>Ringkasan!A1437</f>
        <v>PTBA</v>
      </c>
      <c r="B1438" s="64" t="str">
        <f>Ringkasan!B1437</f>
        <v>Bukit Asam (Persero) Tbk.</v>
      </c>
      <c r="C1438" s="65">
        <f>Ringkasan!C1437</f>
        <v>2620</v>
      </c>
      <c r="D1438" s="64" t="str">
        <f>Ringkasan!D1437</f>
        <v>#N/A</v>
      </c>
      <c r="E1438" s="64" t="str">
        <f>Ringkasan!E1437</f>
        <v>IDXSHAGROW</v>
      </c>
      <c r="F1438" s="66">
        <f>Ringkasan!F1437</f>
        <v>46356</v>
      </c>
      <c r="G1438" s="65">
        <f>Ringkasan!G1437</f>
        <v>18</v>
      </c>
      <c r="H1438" s="19">
        <f>Ringkasan!H1437</f>
        <v>9.6</v>
      </c>
      <c r="I1438" s="19">
        <f>Ringkasan!I1437</f>
        <v>1.4</v>
      </c>
      <c r="J1438" s="19">
        <f>Ringkasan!J1437</f>
        <v>14.1</v>
      </c>
      <c r="K1438" s="19">
        <f>Ringkasan!K1437</f>
        <v>7.7</v>
      </c>
      <c r="L1438" s="19">
        <f>Ringkasan!L1437</f>
        <v>0.83</v>
      </c>
      <c r="M1438" s="19">
        <f>Ringkasan!M1437</f>
        <v>33.6</v>
      </c>
      <c r="N1438" s="64" t="str">
        <f>Ringkasan!N1437</f>
        <v/>
      </c>
      <c r="O1438" s="64" t="str">
        <f>Ringkasan!O1437</f>
        <v/>
      </c>
      <c r="P1438" s="64" t="str">
        <f>Ringkasan!P1437</f>
        <v/>
      </c>
      <c r="Q1438" s="64" t="str">
        <f>Ringkasan!Q1437</f>
        <v/>
      </c>
      <c r="R1438" s="64" t="str">
        <f>Ringkasan!R1437</f>
        <v/>
      </c>
      <c r="S1438" s="64" t="str">
        <f>Ringkasan!S1437</f>
        <v/>
      </c>
      <c r="T1438" s="64" t="str">
        <f>Ringkasan!T1437</f>
        <v/>
      </c>
      <c r="U1438" s="64">
        <f>Ringkasan!U1437</f>
        <v>2630</v>
      </c>
      <c r="V1438" s="64">
        <f>Ringkasan!V1437</f>
        <v>-0.38</v>
      </c>
      <c r="W1438" s="64">
        <f>Ringkasan!W1437</f>
        <v>2600</v>
      </c>
      <c r="X1438" s="64">
        <f>Ringkasan!X1437</f>
        <v>2670</v>
      </c>
      <c r="Y1438" s="64">
        <f>Ringkasan!Y1437</f>
        <v>2550</v>
      </c>
      <c r="Z1438" s="64">
        <f>Ringkasan!Z1437</f>
        <v>46138000</v>
      </c>
      <c r="AA1438" s="64" t="str">
        <f>Ringkasan!AA1437</f>
        <v>Coal</v>
      </c>
      <c r="AB1438" s="64" t="str">
        <f>Ringkasan!AB1437</f>
        <v>Energy</v>
      </c>
    </row>
    <row r="1439" hidden="1">
      <c r="A1439" s="64" t="str">
        <f>Ringkasan!A1438</f>
        <v>PTBA</v>
      </c>
      <c r="B1439" s="64" t="str">
        <f>Ringkasan!B1438</f>
        <v>Bukit Asam (Persero) Tbk.</v>
      </c>
      <c r="C1439" s="65">
        <f>Ringkasan!C1438</f>
        <v>2620</v>
      </c>
      <c r="D1439" s="64" t="str">
        <f>Ringkasan!D1438</f>
        <v>#N/A</v>
      </c>
      <c r="E1439" s="64" t="str">
        <f>Ringkasan!E1438</f>
        <v>Investor33</v>
      </c>
      <c r="F1439" s="66">
        <f>Ringkasan!F1438</f>
        <v>46356</v>
      </c>
      <c r="G1439" s="65">
        <f>Ringkasan!G1438</f>
        <v>18</v>
      </c>
      <c r="H1439" s="19">
        <f>Ringkasan!H1438</f>
        <v>9.6</v>
      </c>
      <c r="I1439" s="19">
        <f>Ringkasan!I1438</f>
        <v>1.4</v>
      </c>
      <c r="J1439" s="19">
        <f>Ringkasan!J1438</f>
        <v>14.1</v>
      </c>
      <c r="K1439" s="19">
        <f>Ringkasan!K1438</f>
        <v>7.7</v>
      </c>
      <c r="L1439" s="19">
        <f>Ringkasan!L1438</f>
        <v>0.83</v>
      </c>
      <c r="M1439" s="19">
        <f>Ringkasan!M1438</f>
        <v>33.6</v>
      </c>
      <c r="N1439" s="64" t="str">
        <f>Ringkasan!N1438</f>
        <v/>
      </c>
      <c r="O1439" s="64" t="str">
        <f>Ringkasan!O1438</f>
        <v/>
      </c>
      <c r="P1439" s="64" t="str">
        <f>Ringkasan!P1438</f>
        <v/>
      </c>
      <c r="Q1439" s="64" t="str">
        <f>Ringkasan!Q1438</f>
        <v/>
      </c>
      <c r="R1439" s="64" t="str">
        <f>Ringkasan!R1438</f>
        <v/>
      </c>
      <c r="S1439" s="64" t="str">
        <f>Ringkasan!S1438</f>
        <v/>
      </c>
      <c r="T1439" s="64" t="str">
        <f>Ringkasan!T1438</f>
        <v/>
      </c>
      <c r="U1439" s="64">
        <f>Ringkasan!U1438</f>
        <v>2630</v>
      </c>
      <c r="V1439" s="64">
        <f>Ringkasan!V1438</f>
        <v>-0.38</v>
      </c>
      <c r="W1439" s="64">
        <f>Ringkasan!W1438</f>
        <v>2600</v>
      </c>
      <c r="X1439" s="64">
        <f>Ringkasan!X1438</f>
        <v>2670</v>
      </c>
      <c r="Y1439" s="64">
        <f>Ringkasan!Y1438</f>
        <v>2550</v>
      </c>
      <c r="Z1439" s="64">
        <f>Ringkasan!Z1438</f>
        <v>46138000</v>
      </c>
      <c r="AA1439" s="64" t="str">
        <f>Ringkasan!AA1438</f>
        <v>Coal</v>
      </c>
      <c r="AB1439" s="64" t="str">
        <f>Ringkasan!AB1438</f>
        <v>Energy</v>
      </c>
    </row>
    <row r="1440" hidden="1">
      <c r="A1440" s="64" t="str">
        <f>Ringkasan!A1439</f>
        <v>PTBA</v>
      </c>
      <c r="B1440" s="64" t="str">
        <f>Ringkasan!B1439</f>
        <v>Bukit Asam (Persero) Tbk.</v>
      </c>
      <c r="C1440" s="65">
        <f>Ringkasan!C1439</f>
        <v>2620</v>
      </c>
      <c r="D1440" s="64" t="str">
        <f>Ringkasan!D1439</f>
        <v>#N/A</v>
      </c>
      <c r="E1440" s="64" t="str">
        <f>Ringkasan!E1439</f>
        <v>JII30</v>
      </c>
      <c r="F1440" s="66">
        <f>Ringkasan!F1439</f>
        <v>46356</v>
      </c>
      <c r="G1440" s="65">
        <f>Ringkasan!G1439</f>
        <v>18</v>
      </c>
      <c r="H1440" s="19">
        <f>Ringkasan!H1439</f>
        <v>9.6</v>
      </c>
      <c r="I1440" s="19">
        <f>Ringkasan!I1439</f>
        <v>1.4</v>
      </c>
      <c r="J1440" s="19">
        <f>Ringkasan!J1439</f>
        <v>14.1</v>
      </c>
      <c r="K1440" s="19">
        <f>Ringkasan!K1439</f>
        <v>7.7</v>
      </c>
      <c r="L1440" s="19">
        <f>Ringkasan!L1439</f>
        <v>0.83</v>
      </c>
      <c r="M1440" s="19">
        <f>Ringkasan!M1439</f>
        <v>33.6</v>
      </c>
      <c r="N1440" s="64" t="str">
        <f>Ringkasan!N1439</f>
        <v/>
      </c>
      <c r="O1440" s="64" t="str">
        <f>Ringkasan!O1439</f>
        <v/>
      </c>
      <c r="P1440" s="64" t="str">
        <f>Ringkasan!P1439</f>
        <v/>
      </c>
      <c r="Q1440" s="64" t="str">
        <f>Ringkasan!Q1439</f>
        <v/>
      </c>
      <c r="R1440" s="64" t="str">
        <f>Ringkasan!R1439</f>
        <v/>
      </c>
      <c r="S1440" s="64" t="str">
        <f>Ringkasan!S1439</f>
        <v/>
      </c>
      <c r="T1440" s="64" t="str">
        <f>Ringkasan!T1439</f>
        <v/>
      </c>
      <c r="U1440" s="64">
        <f>Ringkasan!U1439</f>
        <v>2630</v>
      </c>
      <c r="V1440" s="64">
        <f>Ringkasan!V1439</f>
        <v>-0.38</v>
      </c>
      <c r="W1440" s="64">
        <f>Ringkasan!W1439</f>
        <v>2600</v>
      </c>
      <c r="X1440" s="64">
        <f>Ringkasan!X1439</f>
        <v>2670</v>
      </c>
      <c r="Y1440" s="64">
        <f>Ringkasan!Y1439</f>
        <v>2550</v>
      </c>
      <c r="Z1440" s="64">
        <f>Ringkasan!Z1439</f>
        <v>46138000</v>
      </c>
      <c r="AA1440" s="64" t="str">
        <f>Ringkasan!AA1439</f>
        <v>Coal</v>
      </c>
      <c r="AB1440" s="64" t="str">
        <f>Ringkasan!AB1439</f>
        <v>Energy</v>
      </c>
    </row>
    <row r="1441" hidden="1">
      <c r="A1441" s="64" t="str">
        <f>Ringkasan!A1440</f>
        <v>PTBA</v>
      </c>
      <c r="B1441" s="64" t="str">
        <f>Ringkasan!B1440</f>
        <v>Bukit Asam (Persero) Tbk.</v>
      </c>
      <c r="C1441" s="65">
        <f>Ringkasan!C1440</f>
        <v>2620</v>
      </c>
      <c r="D1441" s="64" t="str">
        <f>Ringkasan!D1440</f>
        <v>#N/A</v>
      </c>
      <c r="E1441" s="64" t="str">
        <f>Ringkasan!E1440</f>
        <v>MNC36</v>
      </c>
      <c r="F1441" s="64" t="str">
        <f>Ringkasan!F1440</f>
        <v>30 Oktober 2026</v>
      </c>
      <c r="G1441" s="64">
        <f>Ringkasan!G1440</f>
        <v>18</v>
      </c>
      <c r="H1441" s="19">
        <f>Ringkasan!H1440</f>
        <v>9.6</v>
      </c>
      <c r="I1441" s="19">
        <f>Ringkasan!I1440</f>
        <v>1.4</v>
      </c>
      <c r="J1441" s="19">
        <f>Ringkasan!J1440</f>
        <v>14.1</v>
      </c>
      <c r="K1441" s="19">
        <f>Ringkasan!K1440</f>
        <v>7.7</v>
      </c>
      <c r="L1441" s="19">
        <f>Ringkasan!L1440</f>
        <v>0.83</v>
      </c>
      <c r="M1441" s="19">
        <f>Ringkasan!M1440</f>
        <v>33.6</v>
      </c>
      <c r="N1441" s="64" t="str">
        <f>Ringkasan!N1440</f>
        <v/>
      </c>
      <c r="O1441" s="64" t="str">
        <f>Ringkasan!O1440</f>
        <v/>
      </c>
      <c r="P1441" s="64" t="str">
        <f>Ringkasan!P1440</f>
        <v/>
      </c>
      <c r="Q1441" s="64" t="str">
        <f>Ringkasan!Q1440</f>
        <v/>
      </c>
      <c r="R1441" s="64" t="str">
        <f>Ringkasan!R1440</f>
        <v/>
      </c>
      <c r="S1441" s="64" t="str">
        <f>Ringkasan!S1440</f>
        <v/>
      </c>
      <c r="T1441" s="64" t="str">
        <f>Ringkasan!T1440</f>
        <v/>
      </c>
      <c r="U1441" s="64">
        <f>Ringkasan!U1440</f>
        <v>2630</v>
      </c>
      <c r="V1441" s="64">
        <f>Ringkasan!V1440</f>
        <v>-0.38</v>
      </c>
      <c r="W1441" s="64">
        <f>Ringkasan!W1440</f>
        <v>2600</v>
      </c>
      <c r="X1441" s="64">
        <f>Ringkasan!X1440</f>
        <v>2670</v>
      </c>
      <c r="Y1441" s="64">
        <f>Ringkasan!Y1440</f>
        <v>2550</v>
      </c>
      <c r="Z1441" s="64">
        <f>Ringkasan!Z1440</f>
        <v>46138000</v>
      </c>
      <c r="AA1441" s="64" t="str">
        <f>Ringkasan!AA1440</f>
        <v>Coal</v>
      </c>
      <c r="AB1441" s="64" t="str">
        <f>Ringkasan!AB1440</f>
        <v>Energy</v>
      </c>
    </row>
    <row r="1442" hidden="1">
      <c r="A1442" s="64" t="str">
        <f>Ringkasan!A1441</f>
        <v>PTBA</v>
      </c>
      <c r="B1442" s="64" t="str">
        <f>Ringkasan!B1441</f>
        <v>Bukit Asam (Persero) Tbk.</v>
      </c>
      <c r="C1442" s="65">
        <f>Ringkasan!C1441</f>
        <v>2620</v>
      </c>
      <c r="D1442" s="64" t="str">
        <f>Ringkasan!D1441</f>
        <v>#N/A</v>
      </c>
      <c r="E1442" s="64" t="str">
        <f>Ringkasan!E1441</f>
        <v>IDXHIDIV20</v>
      </c>
      <c r="F1442" s="64" t="str">
        <f>Ringkasan!F1441</f>
        <v>2 Februari 2027</v>
      </c>
      <c r="G1442" s="65">
        <f>Ringkasan!G1441</f>
        <v>18</v>
      </c>
      <c r="H1442" s="19">
        <f>Ringkasan!H1441</f>
        <v>9.6</v>
      </c>
      <c r="I1442" s="19">
        <f>Ringkasan!I1441</f>
        <v>1.4</v>
      </c>
      <c r="J1442" s="19">
        <f>Ringkasan!J1441</f>
        <v>14.1</v>
      </c>
      <c r="K1442" s="19">
        <f>Ringkasan!K1441</f>
        <v>7.7</v>
      </c>
      <c r="L1442" s="19">
        <f>Ringkasan!L1441</f>
        <v>0.83</v>
      </c>
      <c r="M1442" s="19">
        <f>Ringkasan!M1441</f>
        <v>33.6</v>
      </c>
      <c r="N1442" s="64" t="str">
        <f>Ringkasan!N1441</f>
        <v/>
      </c>
      <c r="O1442" s="64" t="str">
        <f>Ringkasan!O1441</f>
        <v/>
      </c>
      <c r="P1442" s="64" t="str">
        <f>Ringkasan!P1441</f>
        <v/>
      </c>
      <c r="Q1442" s="64" t="str">
        <f>Ringkasan!Q1441</f>
        <v/>
      </c>
      <c r="R1442" s="64" t="str">
        <f>Ringkasan!R1441</f>
        <v/>
      </c>
      <c r="S1442" s="64" t="str">
        <f>Ringkasan!S1441</f>
        <v/>
      </c>
      <c r="T1442" s="64" t="str">
        <f>Ringkasan!T1441</f>
        <v/>
      </c>
      <c r="U1442" s="64">
        <f>Ringkasan!U1441</f>
        <v>2630</v>
      </c>
      <c r="V1442" s="64">
        <f>Ringkasan!V1441</f>
        <v>-0.38</v>
      </c>
      <c r="W1442" s="64">
        <f>Ringkasan!W1441</f>
        <v>2600</v>
      </c>
      <c r="X1442" s="64">
        <f>Ringkasan!X1441</f>
        <v>2670</v>
      </c>
      <c r="Y1442" s="64">
        <f>Ringkasan!Y1441</f>
        <v>2550</v>
      </c>
      <c r="Z1442" s="64">
        <f>Ringkasan!Z1441</f>
        <v>46138000</v>
      </c>
      <c r="AA1442" s="64" t="str">
        <f>Ringkasan!AA1441</f>
        <v>Coal</v>
      </c>
      <c r="AB1442" s="64" t="str">
        <f>Ringkasan!AB1441</f>
        <v>Energy</v>
      </c>
    </row>
    <row r="1443" hidden="1">
      <c r="A1443" s="64" t="str">
        <f>Ringkasan!A1442</f>
        <v>PTBA</v>
      </c>
      <c r="B1443" s="64" t="str">
        <f>Ringkasan!B1442</f>
        <v>Bukit Asam (Persero) Tbk.</v>
      </c>
      <c r="C1443" s="65">
        <f>Ringkasan!C1442</f>
        <v>2620</v>
      </c>
      <c r="D1443" s="64" t="str">
        <f>Ringkasan!D1442</f>
        <v>#N/A</v>
      </c>
      <c r="E1443" s="64" t="str">
        <f>Ringkasan!E1442</f>
        <v>IDX80</v>
      </c>
      <c r="F1443" s="64" t="str">
        <f>Ringkasan!F1442</f>
        <v>31 Juli 2026</v>
      </c>
      <c r="G1443" s="65">
        <f>Ringkasan!G1442</f>
        <v>18</v>
      </c>
      <c r="H1443" s="19">
        <f>Ringkasan!H1442</f>
        <v>9.6</v>
      </c>
      <c r="I1443" s="19">
        <f>Ringkasan!I1442</f>
        <v>1.4</v>
      </c>
      <c r="J1443" s="19">
        <f>Ringkasan!J1442</f>
        <v>14.1</v>
      </c>
      <c r="K1443" s="19">
        <f>Ringkasan!K1442</f>
        <v>7.7</v>
      </c>
      <c r="L1443" s="19">
        <f>Ringkasan!L1442</f>
        <v>0.83</v>
      </c>
      <c r="M1443" s="19">
        <f>Ringkasan!M1442</f>
        <v>33.6</v>
      </c>
      <c r="N1443" s="64" t="str">
        <f>Ringkasan!N1442</f>
        <v/>
      </c>
      <c r="O1443" s="64" t="str">
        <f>Ringkasan!O1442</f>
        <v/>
      </c>
      <c r="P1443" s="64" t="str">
        <f>Ringkasan!P1442</f>
        <v/>
      </c>
      <c r="Q1443" s="64" t="str">
        <f>Ringkasan!Q1442</f>
        <v/>
      </c>
      <c r="R1443" s="64" t="str">
        <f>Ringkasan!R1442</f>
        <v/>
      </c>
      <c r="S1443" s="64" t="str">
        <f>Ringkasan!S1442</f>
        <v/>
      </c>
      <c r="T1443" s="64" t="str">
        <f>Ringkasan!T1442</f>
        <v/>
      </c>
      <c r="U1443" s="64">
        <f>Ringkasan!U1442</f>
        <v>2630</v>
      </c>
      <c r="V1443" s="64">
        <f>Ringkasan!V1442</f>
        <v>-0.38</v>
      </c>
      <c r="W1443" s="64">
        <f>Ringkasan!W1442</f>
        <v>2600</v>
      </c>
      <c r="X1443" s="64">
        <f>Ringkasan!X1442</f>
        <v>2670</v>
      </c>
      <c r="Y1443" s="64">
        <f>Ringkasan!Y1442</f>
        <v>2550</v>
      </c>
      <c r="Z1443" s="64">
        <f>Ringkasan!Z1442</f>
        <v>46138000</v>
      </c>
      <c r="AA1443" s="64" t="str">
        <f>Ringkasan!AA1442</f>
        <v>Coal</v>
      </c>
      <c r="AB1443" s="64" t="str">
        <f>Ringkasan!AB1442</f>
        <v>Energy</v>
      </c>
    </row>
    <row r="1444" hidden="1">
      <c r="A1444" s="64" t="str">
        <f>Ringkasan!A1443</f>
        <v>PTBA</v>
      </c>
      <c r="B1444" s="64" t="str">
        <f>Ringkasan!B1443</f>
        <v>Bukit Asam (Persero) Tbk.</v>
      </c>
      <c r="C1444" s="65">
        <f>Ringkasan!C1443</f>
        <v>2620</v>
      </c>
      <c r="D1444" s="64" t="str">
        <f>Ringkasan!D1443</f>
        <v>#N/A</v>
      </c>
      <c r="E1444" s="64" t="str">
        <f>Ringkasan!E1443</f>
        <v>IDX30</v>
      </c>
      <c r="F1444" s="64" t="str">
        <f>Ringkasan!F1443</f>
        <v>31 Juli 2026</v>
      </c>
      <c r="G1444" s="65">
        <f>Ringkasan!G1443</f>
        <v>18</v>
      </c>
      <c r="H1444" s="19">
        <f>Ringkasan!H1443</f>
        <v>9.6</v>
      </c>
      <c r="I1444" s="19">
        <f>Ringkasan!I1443</f>
        <v>1.4</v>
      </c>
      <c r="J1444" s="19">
        <f>Ringkasan!J1443</f>
        <v>14.1</v>
      </c>
      <c r="K1444" s="19">
        <f>Ringkasan!K1443</f>
        <v>7.7</v>
      </c>
      <c r="L1444" s="19">
        <f>Ringkasan!L1443</f>
        <v>0.83</v>
      </c>
      <c r="M1444" s="19">
        <f>Ringkasan!M1443</f>
        <v>33.6</v>
      </c>
      <c r="N1444" s="64" t="str">
        <f>Ringkasan!N1443</f>
        <v/>
      </c>
      <c r="O1444" s="64" t="str">
        <f>Ringkasan!O1443</f>
        <v/>
      </c>
      <c r="P1444" s="64" t="str">
        <f>Ringkasan!P1443</f>
        <v/>
      </c>
      <c r="Q1444" s="64" t="str">
        <f>Ringkasan!Q1443</f>
        <v/>
      </c>
      <c r="R1444" s="64" t="str">
        <f>Ringkasan!R1443</f>
        <v/>
      </c>
      <c r="S1444" s="64" t="str">
        <f>Ringkasan!S1443</f>
        <v/>
      </c>
      <c r="T1444" s="64" t="str">
        <f>Ringkasan!T1443</f>
        <v/>
      </c>
      <c r="U1444" s="64">
        <f>Ringkasan!U1443</f>
        <v>2630</v>
      </c>
      <c r="V1444" s="64">
        <f>Ringkasan!V1443</f>
        <v>-0.38</v>
      </c>
      <c r="W1444" s="64">
        <f>Ringkasan!W1443</f>
        <v>2600</v>
      </c>
      <c r="X1444" s="64">
        <f>Ringkasan!X1443</f>
        <v>2670</v>
      </c>
      <c r="Y1444" s="64">
        <f>Ringkasan!Y1443</f>
        <v>2550</v>
      </c>
      <c r="Z1444" s="64">
        <f>Ringkasan!Z1443</f>
        <v>46138000</v>
      </c>
      <c r="AA1444" s="64" t="str">
        <f>Ringkasan!AA1443</f>
        <v>Coal</v>
      </c>
      <c r="AB1444" s="64" t="str">
        <f>Ringkasan!AB1443</f>
        <v>Energy</v>
      </c>
    </row>
    <row r="1445" hidden="1">
      <c r="A1445" s="64" t="str">
        <f>Ringkasan!A1444</f>
        <v>PTBA</v>
      </c>
      <c r="B1445" s="64" t="str">
        <f>Ringkasan!B1444</f>
        <v>Bukit Asam (Persero) Tbk.</v>
      </c>
      <c r="C1445" s="65">
        <f>Ringkasan!C1444</f>
        <v>2620</v>
      </c>
      <c r="D1445" s="64" t="str">
        <f>Ringkasan!D1444</f>
        <v>#N/A</v>
      </c>
      <c r="E1445" s="64" t="str">
        <f>Ringkasan!E1444</f>
        <v>LQ45</v>
      </c>
      <c r="F1445" s="64" t="str">
        <f>Ringkasan!F1444</f>
        <v>31 Juli 2026</v>
      </c>
      <c r="G1445" s="65">
        <f>Ringkasan!G1444</f>
        <v>18</v>
      </c>
      <c r="H1445" s="19">
        <f>Ringkasan!H1444</f>
        <v>9.6</v>
      </c>
      <c r="I1445" s="19">
        <f>Ringkasan!I1444</f>
        <v>1.4</v>
      </c>
      <c r="J1445" s="19">
        <f>Ringkasan!J1444</f>
        <v>14.1</v>
      </c>
      <c r="K1445" s="19">
        <f>Ringkasan!K1444</f>
        <v>7.7</v>
      </c>
      <c r="L1445" s="19">
        <f>Ringkasan!L1444</f>
        <v>0.83</v>
      </c>
      <c r="M1445" s="19">
        <f>Ringkasan!M1444</f>
        <v>33.6</v>
      </c>
      <c r="N1445" s="64" t="str">
        <f>Ringkasan!N1444</f>
        <v/>
      </c>
      <c r="O1445" s="64" t="str">
        <f>Ringkasan!O1444</f>
        <v/>
      </c>
      <c r="P1445" s="64" t="str">
        <f>Ringkasan!P1444</f>
        <v/>
      </c>
      <c r="Q1445" s="64" t="str">
        <f>Ringkasan!Q1444</f>
        <v/>
      </c>
      <c r="R1445" s="64" t="str">
        <f>Ringkasan!R1444</f>
        <v/>
      </c>
      <c r="S1445" s="64" t="str">
        <f>Ringkasan!S1444</f>
        <v/>
      </c>
      <c r="T1445" s="64" t="str">
        <f>Ringkasan!T1444</f>
        <v/>
      </c>
      <c r="U1445" s="64">
        <f>Ringkasan!U1444</f>
        <v>2630</v>
      </c>
      <c r="V1445" s="64">
        <f>Ringkasan!V1444</f>
        <v>-0.38</v>
      </c>
      <c r="W1445" s="64">
        <f>Ringkasan!W1444</f>
        <v>2600</v>
      </c>
      <c r="X1445" s="64">
        <f>Ringkasan!X1444</f>
        <v>2670</v>
      </c>
      <c r="Y1445" s="64">
        <f>Ringkasan!Y1444</f>
        <v>2550</v>
      </c>
      <c r="Z1445" s="64">
        <f>Ringkasan!Z1444</f>
        <v>46138000</v>
      </c>
      <c r="AA1445" s="64" t="str">
        <f>Ringkasan!AA1444</f>
        <v>Coal</v>
      </c>
      <c r="AB1445" s="64" t="str">
        <f>Ringkasan!AB1444</f>
        <v>Energy</v>
      </c>
    </row>
    <row r="1446" hidden="1">
      <c r="A1446" s="64" t="str">
        <f>Ringkasan!A1445</f>
        <v>PTBA</v>
      </c>
      <c r="B1446" s="64" t="str">
        <f>Ringkasan!B1445</f>
        <v>Bukit Asam (Persero) Tbk.</v>
      </c>
      <c r="C1446" s="65">
        <f>Ringkasan!C1445</f>
        <v>2620</v>
      </c>
      <c r="D1446" s="64" t="str">
        <f>Ringkasan!D1445</f>
        <v>#N/A</v>
      </c>
      <c r="E1446" s="64" t="str">
        <f>Ringkasan!E1445</f>
        <v>BISNIS-27</v>
      </c>
      <c r="F1446" s="64" t="str">
        <f>Ringkasan!F1445</f>
        <v>30 Oktober 2026</v>
      </c>
      <c r="G1446" s="65">
        <f>Ringkasan!G1445</f>
        <v>18</v>
      </c>
      <c r="H1446" s="19">
        <f>Ringkasan!H1445</f>
        <v>9.6</v>
      </c>
      <c r="I1446" s="19">
        <f>Ringkasan!I1445</f>
        <v>1.4</v>
      </c>
      <c r="J1446" s="19">
        <f>Ringkasan!J1445</f>
        <v>14.1</v>
      </c>
      <c r="K1446" s="19">
        <f>Ringkasan!K1445</f>
        <v>7.7</v>
      </c>
      <c r="L1446" s="19">
        <f>Ringkasan!L1445</f>
        <v>0.83</v>
      </c>
      <c r="M1446" s="19">
        <f>Ringkasan!M1445</f>
        <v>33.6</v>
      </c>
      <c r="N1446" s="64" t="str">
        <f>Ringkasan!N1445</f>
        <v/>
      </c>
      <c r="O1446" s="64" t="str">
        <f>Ringkasan!O1445</f>
        <v/>
      </c>
      <c r="P1446" s="64" t="str">
        <f>Ringkasan!P1445</f>
        <v/>
      </c>
      <c r="Q1446" s="64" t="str">
        <f>Ringkasan!Q1445</f>
        <v/>
      </c>
      <c r="R1446" s="64" t="str">
        <f>Ringkasan!R1445</f>
        <v/>
      </c>
      <c r="S1446" s="64" t="str">
        <f>Ringkasan!S1445</f>
        <v/>
      </c>
      <c r="T1446" s="64" t="str">
        <f>Ringkasan!T1445</f>
        <v/>
      </c>
      <c r="U1446" s="64">
        <f>Ringkasan!U1445</f>
        <v>2630</v>
      </c>
      <c r="V1446" s="64">
        <f>Ringkasan!V1445</f>
        <v>-0.38</v>
      </c>
      <c r="W1446" s="64">
        <f>Ringkasan!W1445</f>
        <v>2600</v>
      </c>
      <c r="X1446" s="64">
        <f>Ringkasan!X1445</f>
        <v>2670</v>
      </c>
      <c r="Y1446" s="64">
        <f>Ringkasan!Y1445</f>
        <v>2550</v>
      </c>
      <c r="Z1446" s="64">
        <f>Ringkasan!Z1445</f>
        <v>46138000</v>
      </c>
      <c r="AA1446" s="64" t="str">
        <f>Ringkasan!AA1445</f>
        <v>Coal</v>
      </c>
      <c r="AB1446" s="64" t="str">
        <f>Ringkasan!AB1445</f>
        <v>Energy</v>
      </c>
    </row>
    <row r="1447" hidden="1">
      <c r="A1447" s="64" t="str">
        <f>Ringkasan!A1446</f>
        <v>PTBA</v>
      </c>
      <c r="B1447" s="64" t="str">
        <f>Ringkasan!B1446</f>
        <v>Bukit Asam (Persero) Tbk.</v>
      </c>
      <c r="C1447" s="65">
        <f>Ringkasan!C1446</f>
        <v>2620</v>
      </c>
      <c r="D1447" s="64" t="str">
        <f>Ringkasan!D1446</f>
        <v>#N/A</v>
      </c>
      <c r="E1447" s="64" t="str">
        <f>Ringkasan!E1446</f>
        <v>Kompas100</v>
      </c>
      <c r="F1447" s="64" t="str">
        <f>Ringkasan!F1446</f>
        <v>31 Juli 2026</v>
      </c>
      <c r="G1447" s="65">
        <f>Ringkasan!G1446</f>
        <v>18</v>
      </c>
      <c r="H1447" s="19">
        <f>Ringkasan!H1446</f>
        <v>9.6</v>
      </c>
      <c r="I1447" s="19">
        <f>Ringkasan!I1446</f>
        <v>1.4</v>
      </c>
      <c r="J1447" s="19">
        <f>Ringkasan!J1446</f>
        <v>14.1</v>
      </c>
      <c r="K1447" s="19">
        <f>Ringkasan!K1446</f>
        <v>7.7</v>
      </c>
      <c r="L1447" s="19">
        <f>Ringkasan!L1446</f>
        <v>0.83</v>
      </c>
      <c r="M1447" s="19">
        <f>Ringkasan!M1446</f>
        <v>33.6</v>
      </c>
      <c r="N1447" s="64" t="str">
        <f>Ringkasan!N1446</f>
        <v/>
      </c>
      <c r="O1447" s="64" t="str">
        <f>Ringkasan!O1446</f>
        <v/>
      </c>
      <c r="P1447" s="64" t="str">
        <f>Ringkasan!P1446</f>
        <v/>
      </c>
      <c r="Q1447" s="64" t="str">
        <f>Ringkasan!Q1446</f>
        <v/>
      </c>
      <c r="R1447" s="64" t="str">
        <f>Ringkasan!R1446</f>
        <v/>
      </c>
      <c r="S1447" s="64" t="str">
        <f>Ringkasan!S1446</f>
        <v/>
      </c>
      <c r="T1447" s="64" t="str">
        <f>Ringkasan!T1446</f>
        <v/>
      </c>
      <c r="U1447" s="64">
        <f>Ringkasan!U1446</f>
        <v>2630</v>
      </c>
      <c r="V1447" s="64">
        <f>Ringkasan!V1446</f>
        <v>-0.38</v>
      </c>
      <c r="W1447" s="64">
        <f>Ringkasan!W1446</f>
        <v>2600</v>
      </c>
      <c r="X1447" s="64">
        <f>Ringkasan!X1446</f>
        <v>2670</v>
      </c>
      <c r="Y1447" s="64">
        <f>Ringkasan!Y1446</f>
        <v>2550</v>
      </c>
      <c r="Z1447" s="64">
        <f>Ringkasan!Z1446</f>
        <v>46138000</v>
      </c>
      <c r="AA1447" s="64" t="str">
        <f>Ringkasan!AA1446</f>
        <v>Coal</v>
      </c>
      <c r="AB1447" s="64" t="str">
        <f>Ringkasan!AB1446</f>
        <v>Energy</v>
      </c>
    </row>
    <row r="1448" hidden="1">
      <c r="A1448" s="64" t="str">
        <f>Ringkasan!A1447</f>
        <v>PTBA</v>
      </c>
      <c r="B1448" s="64" t="str">
        <f>Ringkasan!B1447</f>
        <v>Bukit Asam (Persero) Tbk.</v>
      </c>
      <c r="C1448" s="65">
        <f>Ringkasan!C1447</f>
        <v>2620</v>
      </c>
      <c r="D1448" s="64" t="str">
        <f>Ringkasan!D1447</f>
        <v>#N/A</v>
      </c>
      <c r="E1448" s="64" t="str">
        <f>Ringkasan!E1447</f>
        <v>IDXQ30</v>
      </c>
      <c r="F1448" s="64" t="str">
        <f>Ringkasan!F1447</f>
        <v>4 Agustus 2026</v>
      </c>
      <c r="G1448" s="65">
        <f>Ringkasan!G1447</f>
        <v>18</v>
      </c>
      <c r="H1448" s="19">
        <f>Ringkasan!H1447</f>
        <v>9.6</v>
      </c>
      <c r="I1448" s="19">
        <f>Ringkasan!I1447</f>
        <v>1.4</v>
      </c>
      <c r="J1448" s="19">
        <f>Ringkasan!J1447</f>
        <v>14.1</v>
      </c>
      <c r="K1448" s="19">
        <f>Ringkasan!K1447</f>
        <v>7.7</v>
      </c>
      <c r="L1448" s="19">
        <f>Ringkasan!L1447</f>
        <v>0.83</v>
      </c>
      <c r="M1448" s="19">
        <f>Ringkasan!M1447</f>
        <v>33.6</v>
      </c>
      <c r="N1448" s="64" t="str">
        <f>Ringkasan!N1447</f>
        <v/>
      </c>
      <c r="O1448" s="64" t="str">
        <f>Ringkasan!O1447</f>
        <v/>
      </c>
      <c r="P1448" s="64" t="str">
        <f>Ringkasan!P1447</f>
        <v/>
      </c>
      <c r="Q1448" s="64" t="str">
        <f>Ringkasan!Q1447</f>
        <v/>
      </c>
      <c r="R1448" s="64" t="str">
        <f>Ringkasan!R1447</f>
        <v/>
      </c>
      <c r="S1448" s="64" t="str">
        <f>Ringkasan!S1447</f>
        <v/>
      </c>
      <c r="T1448" s="64" t="str">
        <f>Ringkasan!T1447</f>
        <v/>
      </c>
      <c r="U1448" s="64">
        <f>Ringkasan!U1447</f>
        <v>2630</v>
      </c>
      <c r="V1448" s="64">
        <f>Ringkasan!V1447</f>
        <v>-0.38</v>
      </c>
      <c r="W1448" s="64">
        <f>Ringkasan!W1447</f>
        <v>2600</v>
      </c>
      <c r="X1448" s="64">
        <f>Ringkasan!X1447</f>
        <v>2670</v>
      </c>
      <c r="Y1448" s="64">
        <f>Ringkasan!Y1447</f>
        <v>2550</v>
      </c>
      <c r="Z1448" s="64">
        <f>Ringkasan!Z1447</f>
        <v>46138000</v>
      </c>
      <c r="AA1448" s="64" t="str">
        <f>Ringkasan!AA1447</f>
        <v>Coal</v>
      </c>
      <c r="AB1448" s="64" t="str">
        <f>Ringkasan!AB1447</f>
        <v>Energy</v>
      </c>
    </row>
    <row r="1449" hidden="1">
      <c r="A1449" s="64" t="str">
        <f>Ringkasan!A1448</f>
        <v>PTBA</v>
      </c>
      <c r="B1449" s="64" t="str">
        <f>Ringkasan!B1448</f>
        <v>Bukit Asam (Persero) Tbk.</v>
      </c>
      <c r="C1449" s="65">
        <f>Ringkasan!C1448</f>
        <v>2620</v>
      </c>
      <c r="D1449" s="64" t="str">
        <f>Ringkasan!D1448</f>
        <v>#N/A</v>
      </c>
      <c r="E1449" s="64" t="str">
        <f>Ringkasan!E1448</f>
        <v>IDXBUMN20</v>
      </c>
      <c r="F1449" s="64" t="str">
        <f>Ringkasan!F1448</f>
        <v>4 Agustus 2026</v>
      </c>
      <c r="G1449" s="65">
        <f>Ringkasan!G1448</f>
        <v>18</v>
      </c>
      <c r="H1449" s="19">
        <f>Ringkasan!H1448</f>
        <v>9.6</v>
      </c>
      <c r="I1449" s="19">
        <f>Ringkasan!I1448</f>
        <v>1.4</v>
      </c>
      <c r="J1449" s="19">
        <f>Ringkasan!J1448</f>
        <v>14.1</v>
      </c>
      <c r="K1449" s="19">
        <f>Ringkasan!K1448</f>
        <v>7.7</v>
      </c>
      <c r="L1449" s="19">
        <f>Ringkasan!L1448</f>
        <v>0.83</v>
      </c>
      <c r="M1449" s="19">
        <f>Ringkasan!M1448</f>
        <v>33.6</v>
      </c>
      <c r="N1449" s="64" t="str">
        <f>Ringkasan!N1448</f>
        <v/>
      </c>
      <c r="O1449" s="64" t="str">
        <f>Ringkasan!O1448</f>
        <v/>
      </c>
      <c r="P1449" s="64" t="str">
        <f>Ringkasan!P1448</f>
        <v/>
      </c>
      <c r="Q1449" s="64" t="str">
        <f>Ringkasan!Q1448</f>
        <v/>
      </c>
      <c r="R1449" s="64" t="str">
        <f>Ringkasan!R1448</f>
        <v/>
      </c>
      <c r="S1449" s="64" t="str">
        <f>Ringkasan!S1448</f>
        <v/>
      </c>
      <c r="T1449" s="64" t="str">
        <f>Ringkasan!T1448</f>
        <v/>
      </c>
      <c r="U1449" s="64">
        <f>Ringkasan!U1448</f>
        <v>2630</v>
      </c>
      <c r="V1449" s="64">
        <f>Ringkasan!V1448</f>
        <v>-0.38</v>
      </c>
      <c r="W1449" s="64">
        <f>Ringkasan!W1448</f>
        <v>2600</v>
      </c>
      <c r="X1449" s="64">
        <f>Ringkasan!X1448</f>
        <v>2670</v>
      </c>
      <c r="Y1449" s="64">
        <f>Ringkasan!Y1448</f>
        <v>2550</v>
      </c>
      <c r="Z1449" s="64">
        <f>Ringkasan!Z1448</f>
        <v>46138000</v>
      </c>
      <c r="AA1449" s="64" t="str">
        <f>Ringkasan!AA1448</f>
        <v>Coal</v>
      </c>
      <c r="AB1449" s="64" t="str">
        <f>Ringkasan!AB1448</f>
        <v>Energy</v>
      </c>
    </row>
    <row r="1450" hidden="1">
      <c r="A1450" s="64" t="str">
        <f>Ringkasan!A1449</f>
        <v>PTBA</v>
      </c>
      <c r="B1450" s="64" t="str">
        <f>Ringkasan!B1449</f>
        <v>Bukit Asam (Persero) Tbk.</v>
      </c>
      <c r="C1450" s="65">
        <f>Ringkasan!C1449</f>
        <v>2620</v>
      </c>
      <c r="D1450" s="64" t="str">
        <f>Ringkasan!D1449</f>
        <v>#N/A</v>
      </c>
      <c r="E1450" s="64" t="str">
        <f>Ringkasan!E1449</f>
        <v>IDXV30</v>
      </c>
      <c r="F1450" s="64" t="str">
        <f>Ringkasan!F1449</f>
        <v>4 Agustus 2026</v>
      </c>
      <c r="G1450" s="65">
        <f>Ringkasan!G1449</f>
        <v>18</v>
      </c>
      <c r="H1450" s="19">
        <f>Ringkasan!H1449</f>
        <v>9.6</v>
      </c>
      <c r="I1450" s="19">
        <f>Ringkasan!I1449</f>
        <v>1.4</v>
      </c>
      <c r="J1450" s="19">
        <f>Ringkasan!J1449</f>
        <v>14.1</v>
      </c>
      <c r="K1450" s="19">
        <f>Ringkasan!K1449</f>
        <v>7.7</v>
      </c>
      <c r="L1450" s="19">
        <f>Ringkasan!L1449</f>
        <v>0.83</v>
      </c>
      <c r="M1450" s="19">
        <f>Ringkasan!M1449</f>
        <v>33.6</v>
      </c>
      <c r="N1450" s="64" t="str">
        <f>Ringkasan!N1449</f>
        <v/>
      </c>
      <c r="O1450" s="64" t="str">
        <f>Ringkasan!O1449</f>
        <v/>
      </c>
      <c r="P1450" s="64" t="str">
        <f>Ringkasan!P1449</f>
        <v/>
      </c>
      <c r="Q1450" s="64" t="str">
        <f>Ringkasan!Q1449</f>
        <v/>
      </c>
      <c r="R1450" s="64" t="str">
        <f>Ringkasan!R1449</f>
        <v/>
      </c>
      <c r="S1450" s="64" t="str">
        <f>Ringkasan!S1449</f>
        <v/>
      </c>
      <c r="T1450" s="64" t="str">
        <f>Ringkasan!T1449</f>
        <v/>
      </c>
      <c r="U1450" s="64">
        <f>Ringkasan!U1449</f>
        <v>2630</v>
      </c>
      <c r="V1450" s="64">
        <f>Ringkasan!V1449</f>
        <v>-0.38</v>
      </c>
      <c r="W1450" s="64">
        <f>Ringkasan!W1449</f>
        <v>2600</v>
      </c>
      <c r="X1450" s="64">
        <f>Ringkasan!X1449</f>
        <v>2670</v>
      </c>
      <c r="Y1450" s="64">
        <f>Ringkasan!Y1449</f>
        <v>2550</v>
      </c>
      <c r="Z1450" s="64">
        <f>Ringkasan!Z1449</f>
        <v>46138000</v>
      </c>
      <c r="AA1450" s="64" t="str">
        <f>Ringkasan!AA1449</f>
        <v>Coal</v>
      </c>
      <c r="AB1450" s="64" t="str">
        <f>Ringkasan!AB1449</f>
        <v>Energy</v>
      </c>
    </row>
    <row r="1451" hidden="1">
      <c r="A1451" s="64" t="str">
        <f>Ringkasan!A1450</f>
        <v>PTBA</v>
      </c>
      <c r="B1451" s="64" t="str">
        <f>Ringkasan!B1450</f>
        <v>Bukit Asam (Persero) Tbk.</v>
      </c>
      <c r="C1451" s="65">
        <f>Ringkasan!C1450</f>
        <v>2620</v>
      </c>
      <c r="D1451" s="64" t="str">
        <f>Ringkasan!D1450</f>
        <v>#N/A</v>
      </c>
      <c r="E1451" s="64" t="str">
        <f>Ringkasan!E1450</f>
        <v>IDXSMC-LIQ</v>
      </c>
      <c r="F1451" s="64" t="str">
        <f>Ringkasan!F1450</f>
        <v>4 Agustus 2026</v>
      </c>
      <c r="G1451" s="65">
        <f>Ringkasan!G1450</f>
        <v>18</v>
      </c>
      <c r="H1451" s="19">
        <f>Ringkasan!H1450</f>
        <v>9.6</v>
      </c>
      <c r="I1451" s="19">
        <f>Ringkasan!I1450</f>
        <v>1.4</v>
      </c>
      <c r="J1451" s="19">
        <f>Ringkasan!J1450</f>
        <v>14.1</v>
      </c>
      <c r="K1451" s="19">
        <f>Ringkasan!K1450</f>
        <v>7.7</v>
      </c>
      <c r="L1451" s="19">
        <f>Ringkasan!L1450</f>
        <v>0.83</v>
      </c>
      <c r="M1451" s="19">
        <f>Ringkasan!M1450</f>
        <v>33.6</v>
      </c>
      <c r="N1451" s="64" t="str">
        <f>Ringkasan!N1450</f>
        <v/>
      </c>
      <c r="O1451" s="64" t="str">
        <f>Ringkasan!O1450</f>
        <v/>
      </c>
      <c r="P1451" s="64" t="str">
        <f>Ringkasan!P1450</f>
        <v/>
      </c>
      <c r="Q1451" s="64" t="str">
        <f>Ringkasan!Q1450</f>
        <v/>
      </c>
      <c r="R1451" s="64" t="str">
        <f>Ringkasan!R1450</f>
        <v/>
      </c>
      <c r="S1451" s="64" t="str">
        <f>Ringkasan!S1450</f>
        <v/>
      </c>
      <c r="T1451" s="64" t="str">
        <f>Ringkasan!T1450</f>
        <v/>
      </c>
      <c r="U1451" s="64">
        <f>Ringkasan!U1450</f>
        <v>2630</v>
      </c>
      <c r="V1451" s="64">
        <f>Ringkasan!V1450</f>
        <v>-0.38</v>
      </c>
      <c r="W1451" s="64">
        <f>Ringkasan!W1450</f>
        <v>2600</v>
      </c>
      <c r="X1451" s="64">
        <f>Ringkasan!X1450</f>
        <v>2670</v>
      </c>
      <c r="Y1451" s="64">
        <f>Ringkasan!Y1450</f>
        <v>2550</v>
      </c>
      <c r="Z1451" s="64">
        <f>Ringkasan!Z1450</f>
        <v>46138000</v>
      </c>
      <c r="AA1451" s="64" t="str">
        <f>Ringkasan!AA1450</f>
        <v>Coal</v>
      </c>
      <c r="AB1451" s="64" t="str">
        <f>Ringkasan!AB1450</f>
        <v>Energy</v>
      </c>
    </row>
    <row r="1452" hidden="1">
      <c r="A1452" s="64" t="str">
        <f>Ringkasan!A1451</f>
        <v>PTBA</v>
      </c>
      <c r="B1452" s="64" t="str">
        <f>Ringkasan!B1451</f>
        <v>Bukit Asam (Persero) Tbk.</v>
      </c>
      <c r="C1452" s="65">
        <f>Ringkasan!C1451</f>
        <v>2620</v>
      </c>
      <c r="D1452" s="64" t="str">
        <f>Ringkasan!D1451</f>
        <v>#N/A</v>
      </c>
      <c r="E1452" s="64" t="str">
        <f>Ringkasan!E1451</f>
        <v>FTSE Large Cap</v>
      </c>
      <c r="F1452" s="64" t="str">
        <f>Ringkasan!F1451</f>
        <v>Juni 2026</v>
      </c>
      <c r="G1452" s="64">
        <f>Ringkasan!G1451</f>
        <v>18</v>
      </c>
      <c r="H1452" s="19">
        <f>Ringkasan!H1451</f>
        <v>9.6</v>
      </c>
      <c r="I1452" s="19">
        <f>Ringkasan!I1451</f>
        <v>1.4</v>
      </c>
      <c r="J1452" s="19">
        <f>Ringkasan!J1451</f>
        <v>14.1</v>
      </c>
      <c r="K1452" s="19">
        <f>Ringkasan!K1451</f>
        <v>7.7</v>
      </c>
      <c r="L1452" s="19">
        <f>Ringkasan!L1451</f>
        <v>0.83</v>
      </c>
      <c r="M1452" s="19">
        <f>Ringkasan!M1451</f>
        <v>33.6</v>
      </c>
      <c r="N1452" s="64" t="str">
        <f>Ringkasan!N1451</f>
        <v/>
      </c>
      <c r="O1452" s="64" t="str">
        <f>Ringkasan!O1451</f>
        <v/>
      </c>
      <c r="P1452" s="64" t="str">
        <f>Ringkasan!P1451</f>
        <v/>
      </c>
      <c r="Q1452" s="64" t="str">
        <f>Ringkasan!Q1451</f>
        <v/>
      </c>
      <c r="R1452" s="64" t="str">
        <f>Ringkasan!R1451</f>
        <v/>
      </c>
      <c r="S1452" s="64" t="str">
        <f>Ringkasan!S1451</f>
        <v/>
      </c>
      <c r="T1452" s="64" t="str">
        <f>Ringkasan!T1451</f>
        <v/>
      </c>
      <c r="U1452" s="64">
        <f>Ringkasan!U1451</f>
        <v>2630</v>
      </c>
      <c r="V1452" s="64">
        <f>Ringkasan!V1451</f>
        <v>-0.38</v>
      </c>
      <c r="W1452" s="64">
        <f>Ringkasan!W1451</f>
        <v>2600</v>
      </c>
      <c r="X1452" s="64">
        <f>Ringkasan!X1451</f>
        <v>2670</v>
      </c>
      <c r="Y1452" s="64">
        <f>Ringkasan!Y1451</f>
        <v>2550</v>
      </c>
      <c r="Z1452" s="64">
        <f>Ringkasan!Z1451</f>
        <v>46138000</v>
      </c>
      <c r="AA1452" s="64" t="str">
        <f>Ringkasan!AA1451</f>
        <v>Coal</v>
      </c>
      <c r="AB1452" s="64" t="str">
        <f>Ringkasan!AB1451</f>
        <v>Energy</v>
      </c>
    </row>
    <row r="1453" hidden="1">
      <c r="A1453" s="64" t="str">
        <f>Ringkasan!A1452</f>
        <v>PTBA</v>
      </c>
      <c r="B1453" s="64" t="str">
        <f>Ringkasan!B1452</f>
        <v>Bukit Asam (Persero) Tbk.</v>
      </c>
      <c r="C1453" s="65">
        <f>Ringkasan!C1452</f>
        <v>2620</v>
      </c>
      <c r="D1453" s="64" t="str">
        <f>Ringkasan!D1452</f>
        <v>#N/A</v>
      </c>
      <c r="E1453" s="64" t="str">
        <f>Ringkasan!E1452</f>
        <v>MSCI Small Cap</v>
      </c>
      <c r="F1453" s="64" t="str">
        <f>Ringkasan!F1452</f>
        <v>12 Agustus 2026</v>
      </c>
      <c r="G1453" s="64">
        <f>Ringkasan!G1452</f>
        <v>18</v>
      </c>
      <c r="H1453" s="19">
        <f>Ringkasan!H1452</f>
        <v>9.6</v>
      </c>
      <c r="I1453" s="19">
        <f>Ringkasan!I1452</f>
        <v>1.4</v>
      </c>
      <c r="J1453" s="19">
        <f>Ringkasan!J1452</f>
        <v>14.1</v>
      </c>
      <c r="K1453" s="19">
        <f>Ringkasan!K1452</f>
        <v>7.7</v>
      </c>
      <c r="L1453" s="19">
        <f>Ringkasan!L1452</f>
        <v>0.83</v>
      </c>
      <c r="M1453" s="19">
        <f>Ringkasan!M1452</f>
        <v>33.6</v>
      </c>
      <c r="N1453" s="64" t="str">
        <f>Ringkasan!N1452</f>
        <v/>
      </c>
      <c r="O1453" s="64" t="str">
        <f>Ringkasan!O1452</f>
        <v/>
      </c>
      <c r="P1453" s="64" t="str">
        <f>Ringkasan!P1452</f>
        <v/>
      </c>
      <c r="Q1453" s="64" t="str">
        <f>Ringkasan!Q1452</f>
        <v/>
      </c>
      <c r="R1453" s="64" t="str">
        <f>Ringkasan!R1452</f>
        <v/>
      </c>
      <c r="S1453" s="64" t="str">
        <f>Ringkasan!S1452</f>
        <v/>
      </c>
      <c r="T1453" s="64" t="str">
        <f>Ringkasan!T1452</f>
        <v/>
      </c>
      <c r="U1453" s="64">
        <f>Ringkasan!U1452</f>
        <v>2630</v>
      </c>
      <c r="V1453" s="64">
        <f>Ringkasan!V1452</f>
        <v>-0.38</v>
      </c>
      <c r="W1453" s="64">
        <f>Ringkasan!W1452</f>
        <v>2600</v>
      </c>
      <c r="X1453" s="64">
        <f>Ringkasan!X1452</f>
        <v>2670</v>
      </c>
      <c r="Y1453" s="64">
        <f>Ringkasan!Y1452</f>
        <v>2550</v>
      </c>
      <c r="Z1453" s="64">
        <f>Ringkasan!Z1452</f>
        <v>46138000</v>
      </c>
      <c r="AA1453" s="64" t="str">
        <f>Ringkasan!AA1452</f>
        <v>Coal</v>
      </c>
      <c r="AB1453" s="64" t="str">
        <f>Ringkasan!AB1452</f>
        <v>Energy</v>
      </c>
    </row>
    <row r="1454" hidden="1">
      <c r="A1454" s="64" t="str">
        <f>Ringkasan!A1453</f>
        <v>PTBA</v>
      </c>
      <c r="B1454" s="64" t="str">
        <f>Ringkasan!B1453</f>
        <v>Bukit Asam (Persero) Tbk.</v>
      </c>
      <c r="C1454" s="65">
        <f>Ringkasan!C1453</f>
        <v>2620</v>
      </c>
      <c r="D1454" s="64" t="str">
        <f>Ringkasan!D1453</f>
        <v>#N/A</v>
      </c>
      <c r="E1454" s="64" t="str">
        <f>Ringkasan!E1453</f>
        <v>JII70</v>
      </c>
      <c r="F1454" s="66">
        <f>Ringkasan!F1453</f>
        <v>46356</v>
      </c>
      <c r="G1454" s="65">
        <f>Ringkasan!G1453</f>
        <v>18</v>
      </c>
      <c r="H1454" s="19">
        <f>Ringkasan!H1453</f>
        <v>9.6</v>
      </c>
      <c r="I1454" s="19">
        <f>Ringkasan!I1453</f>
        <v>1.4</v>
      </c>
      <c r="J1454" s="19">
        <f>Ringkasan!J1453</f>
        <v>14.1</v>
      </c>
      <c r="K1454" s="19">
        <f>Ringkasan!K1453</f>
        <v>7.7</v>
      </c>
      <c r="L1454" s="19">
        <f>Ringkasan!L1453</f>
        <v>0.83</v>
      </c>
      <c r="M1454" s="19">
        <f>Ringkasan!M1453</f>
        <v>33.6</v>
      </c>
      <c r="N1454" s="64" t="str">
        <f>Ringkasan!N1453</f>
        <v/>
      </c>
      <c r="O1454" s="64" t="str">
        <f>Ringkasan!O1453</f>
        <v/>
      </c>
      <c r="P1454" s="64" t="str">
        <f>Ringkasan!P1453</f>
        <v/>
      </c>
      <c r="Q1454" s="64" t="str">
        <f>Ringkasan!Q1453</f>
        <v/>
      </c>
      <c r="R1454" s="64" t="str">
        <f>Ringkasan!R1453</f>
        <v/>
      </c>
      <c r="S1454" s="64" t="str">
        <f>Ringkasan!S1453</f>
        <v/>
      </c>
      <c r="T1454" s="64" t="str">
        <f>Ringkasan!T1453</f>
        <v/>
      </c>
      <c r="U1454" s="64">
        <f>Ringkasan!U1453</f>
        <v>2630</v>
      </c>
      <c r="V1454" s="64">
        <f>Ringkasan!V1453</f>
        <v>-0.38</v>
      </c>
      <c r="W1454" s="64">
        <f>Ringkasan!W1453</f>
        <v>2600</v>
      </c>
      <c r="X1454" s="64">
        <f>Ringkasan!X1453</f>
        <v>2670</v>
      </c>
      <c r="Y1454" s="64">
        <f>Ringkasan!Y1453</f>
        <v>2550</v>
      </c>
      <c r="Z1454" s="64">
        <f>Ringkasan!Z1453</f>
        <v>46138000</v>
      </c>
      <c r="AA1454" s="64" t="str">
        <f>Ringkasan!AA1453</f>
        <v>Coal</v>
      </c>
      <c r="AB1454" s="64" t="str">
        <f>Ringkasan!AB1453</f>
        <v>Energy</v>
      </c>
    </row>
    <row r="1455" hidden="1">
      <c r="A1455" s="64" t="str">
        <f>Ringkasan!A1454</f>
        <v>PTDU</v>
      </c>
      <c r="B1455" s="64" t="str">
        <f>Ringkasan!B1454</f>
        <v>Djasa Ubersakti Tbk.</v>
      </c>
      <c r="C1455" s="65">
        <f>Ringkasan!C1454</f>
        <v>70</v>
      </c>
      <c r="D1455" s="64" t="str">
        <f>Ringkasan!D1454</f>
        <v>#N/A</v>
      </c>
      <c r="E1455" s="64" t="str">
        <f>Ringkasan!E1454</f>
        <v/>
      </c>
      <c r="F1455" s="64" t="str">
        <f>Ringkasan!F1454</f>
        <v/>
      </c>
      <c r="G1455" s="64">
        <f>Ringkasan!G1454</f>
        <v>0</v>
      </c>
      <c r="H1455" s="19">
        <f>Ringkasan!H1454</f>
        <v>-4.2</v>
      </c>
      <c r="I1455" s="19">
        <f>Ringkasan!I1454</f>
        <v>-13.5</v>
      </c>
      <c r="J1455" s="19">
        <f>Ringkasan!J1454</f>
        <v>0</v>
      </c>
      <c r="K1455" s="19">
        <f>Ringkasan!K1454</f>
        <v>-20.8</v>
      </c>
      <c r="L1455" s="19">
        <f>Ringkasan!L1454</f>
        <v>-16.7</v>
      </c>
      <c r="M1455" s="19">
        <f>Ringkasan!M1454</f>
        <v>-50.9</v>
      </c>
      <c r="N1455" s="64" t="str">
        <f>Ringkasan!N1454</f>
        <v/>
      </c>
      <c r="O1455" s="64" t="str">
        <f>Ringkasan!O1454</f>
        <v/>
      </c>
      <c r="P1455" s="64" t="str">
        <f>Ringkasan!P1454</f>
        <v/>
      </c>
      <c r="Q1455" s="64" t="str">
        <f>Ringkasan!Q1454</f>
        <v/>
      </c>
      <c r="R1455" s="64" t="str">
        <f>Ringkasan!R1454</f>
        <v/>
      </c>
      <c r="S1455" s="64" t="str">
        <f>Ringkasan!S1454</f>
        <v/>
      </c>
      <c r="T1455" s="64" t="str">
        <f>Ringkasan!T1454</f>
        <v/>
      </c>
      <c r="U1455" s="64">
        <f>Ringkasan!U1454</f>
        <v>70</v>
      </c>
      <c r="V1455" s="64">
        <f>Ringkasan!V1454</f>
        <v>0</v>
      </c>
      <c r="W1455" s="64" t="str">
        <f>Ringkasan!W1454</f>
        <v/>
      </c>
      <c r="X1455" s="64" t="str">
        <f>Ringkasan!X1454</f>
        <v/>
      </c>
      <c r="Y1455" s="64" t="str">
        <f>Ringkasan!Y1454</f>
        <v/>
      </c>
      <c r="Z1455" s="64">
        <f>Ringkasan!Z1454</f>
        <v>0</v>
      </c>
      <c r="AA1455" s="64" t="str">
        <f>Ringkasan!AA1454</f>
        <v>Heavy Constructions &amp; Civil Engineering</v>
      </c>
      <c r="AB1455" s="64" t="str">
        <f>Ringkasan!AB1454</f>
        <v>Infrastructures</v>
      </c>
    </row>
    <row r="1456" hidden="1">
      <c r="A1456" s="64" t="str">
        <f>Ringkasan!A1455</f>
        <v>PTIS</v>
      </c>
      <c r="B1456" s="64" t="str">
        <f>Ringkasan!B1455</f>
        <v>Indo Straits Tbk.</v>
      </c>
      <c r="C1456" s="65">
        <f>Ringkasan!C1455</f>
        <v>290</v>
      </c>
      <c r="D1456" s="64" t="str">
        <f>Ringkasan!D1455</f>
        <v>#N/A</v>
      </c>
      <c r="E1456" s="64" t="str">
        <f>Ringkasan!E1455</f>
        <v/>
      </c>
      <c r="F1456" s="64" t="str">
        <f>Ringkasan!F1455</f>
        <v/>
      </c>
      <c r="G1456" s="64">
        <f>Ringkasan!G1455</f>
        <v>0</v>
      </c>
      <c r="H1456" s="19">
        <f>Ringkasan!H1455</f>
        <v>-23.9</v>
      </c>
      <c r="I1456" s="19">
        <f>Ringkasan!I1455</f>
        <v>0.47</v>
      </c>
      <c r="J1456" s="19">
        <f>Ringkasan!J1455</f>
        <v>-2</v>
      </c>
      <c r="K1456" s="19">
        <f>Ringkasan!K1455</f>
        <v>-1.3</v>
      </c>
      <c r="L1456" s="19">
        <f>Ringkasan!L1455</f>
        <v>0.51</v>
      </c>
      <c r="M1456" s="19">
        <f>Ringkasan!M1455</f>
        <v>-13.7</v>
      </c>
      <c r="N1456" s="64" t="str">
        <f>Ringkasan!N1455</f>
        <v/>
      </c>
      <c r="O1456" s="64" t="str">
        <f>Ringkasan!O1455</f>
        <v/>
      </c>
      <c r="P1456" s="64" t="str">
        <f>Ringkasan!P1455</f>
        <v/>
      </c>
      <c r="Q1456" s="64" t="str">
        <f>Ringkasan!Q1455</f>
        <v/>
      </c>
      <c r="R1456" s="64" t="str">
        <f>Ringkasan!R1455</f>
        <v/>
      </c>
      <c r="S1456" s="64" t="str">
        <f>Ringkasan!S1455</f>
        <v/>
      </c>
      <c r="T1456" s="64" t="str">
        <f>Ringkasan!T1455</f>
        <v/>
      </c>
      <c r="U1456" s="64">
        <f>Ringkasan!U1455</f>
        <v>290</v>
      </c>
      <c r="V1456" s="64">
        <f>Ringkasan!V1455</f>
        <v>0</v>
      </c>
      <c r="W1456" s="64">
        <f>Ringkasan!W1455</f>
        <v>282</v>
      </c>
      <c r="X1456" s="64">
        <f>Ringkasan!X1455</f>
        <v>292</v>
      </c>
      <c r="Y1456" s="64">
        <f>Ringkasan!Y1455</f>
        <v>280</v>
      </c>
      <c r="Z1456" s="64">
        <f>Ringkasan!Z1455</f>
        <v>50200</v>
      </c>
      <c r="AA1456" s="64" t="str">
        <f>Ringkasan!AA1455</f>
        <v>Coal</v>
      </c>
      <c r="AB1456" s="64" t="str">
        <f>Ringkasan!AB1455</f>
        <v>Energy</v>
      </c>
    </row>
    <row r="1457" hidden="1">
      <c r="A1457" s="64" t="str">
        <f>Ringkasan!A1456</f>
        <v>PTMP</v>
      </c>
      <c r="B1457" s="64" t="str">
        <f>Ringkasan!B1456</f>
        <v>PT Mitra Pack Tbk.</v>
      </c>
      <c r="C1457" s="65">
        <f>Ringkasan!C1456</f>
        <v>59</v>
      </c>
      <c r="D1457" s="64" t="str">
        <f>Ringkasan!D1456</f>
        <v>#N/A</v>
      </c>
      <c r="E1457" s="64" t="str">
        <f>Ringkasan!E1456</f>
        <v/>
      </c>
      <c r="F1457" s="64" t="str">
        <f>Ringkasan!F1456</f>
        <v/>
      </c>
      <c r="G1457" s="65">
        <f>Ringkasan!G1456</f>
        <v>0</v>
      </c>
      <c r="H1457" s="19">
        <f>Ringkasan!H1456</f>
        <v>-3.7</v>
      </c>
      <c r="I1457" s="19">
        <f>Ringkasan!I1456</f>
        <v>1.1</v>
      </c>
      <c r="J1457" s="19">
        <f>Ringkasan!J1456</f>
        <v>-30.2</v>
      </c>
      <c r="K1457" s="19">
        <f>Ringkasan!K1456</f>
        <v>-19.5</v>
      </c>
      <c r="L1457" s="19">
        <f>Ringkasan!L1456</f>
        <v>0.55</v>
      </c>
      <c r="M1457" s="19">
        <f>Ringkasan!M1456</f>
        <v>-120</v>
      </c>
      <c r="N1457" s="64" t="str">
        <f>Ringkasan!N1456</f>
        <v/>
      </c>
      <c r="O1457" s="64" t="str">
        <f>Ringkasan!O1456</f>
        <v/>
      </c>
      <c r="P1457" s="64" t="str">
        <f>Ringkasan!P1456</f>
        <v/>
      </c>
      <c r="Q1457" s="64" t="str">
        <f>Ringkasan!Q1456</f>
        <v/>
      </c>
      <c r="R1457" s="64" t="str">
        <f>Ringkasan!R1456</f>
        <v/>
      </c>
      <c r="S1457" s="64" t="str">
        <f>Ringkasan!S1456</f>
        <v/>
      </c>
      <c r="T1457" s="64" t="str">
        <f>Ringkasan!T1456</f>
        <v/>
      </c>
      <c r="U1457" s="64">
        <f>Ringkasan!U1456</f>
        <v>55</v>
      </c>
      <c r="V1457" s="64">
        <f>Ringkasan!V1456</f>
        <v>7.27</v>
      </c>
      <c r="W1457" s="64">
        <f>Ringkasan!W1456</f>
        <v>55</v>
      </c>
      <c r="X1457" s="64">
        <f>Ringkasan!X1456</f>
        <v>59</v>
      </c>
      <c r="Y1457" s="64">
        <f>Ringkasan!Y1456</f>
        <v>54</v>
      </c>
      <c r="Z1457" s="64">
        <f>Ringkasan!Z1456</f>
        <v>4095400</v>
      </c>
      <c r="AA1457" s="64" t="str">
        <f>Ringkasan!AA1456</f>
        <v>Machinery</v>
      </c>
      <c r="AB1457" s="64" t="str">
        <f>Ringkasan!AB1456</f>
        <v>Industrials</v>
      </c>
    </row>
    <row r="1458" hidden="1">
      <c r="A1458" s="64" t="str">
        <f>Ringkasan!A1457</f>
        <v>PTMR</v>
      </c>
      <c r="B1458" s="64" t="str">
        <f>Ringkasan!B1457</f>
        <v>Master Print Tbk.</v>
      </c>
      <c r="C1458" s="65" t="str">
        <f>Ringkasan!C1457</f>
        <v>#N/A</v>
      </c>
      <c r="D1458" s="64" t="str">
        <f>Ringkasan!D1457</f>
        <v>#N/A</v>
      </c>
      <c r="E1458" s="64" t="str">
        <f>Ringkasan!E1457</f>
        <v/>
      </c>
      <c r="F1458" s="64" t="str">
        <f>Ringkasan!F1457</f>
        <v/>
      </c>
      <c r="G1458" s="64">
        <f>Ringkasan!G1457</f>
        <v>0</v>
      </c>
      <c r="H1458" s="19">
        <f>Ringkasan!H1457</f>
        <v>-30.5</v>
      </c>
      <c r="I1458" s="19">
        <f>Ringkasan!I1457</f>
        <v>9.3</v>
      </c>
      <c r="J1458" s="19">
        <f>Ringkasan!J1457</f>
        <v>-30.4</v>
      </c>
      <c r="K1458" s="19">
        <f>Ringkasan!K1457</f>
        <v>0</v>
      </c>
      <c r="L1458" s="19">
        <f>Ringkasan!L1457</f>
        <v>0.59</v>
      </c>
      <c r="M1458" s="19">
        <f>Ringkasan!M1457</f>
        <v>-79.5</v>
      </c>
      <c r="N1458" s="64" t="str">
        <f>Ringkasan!N1457</f>
        <v/>
      </c>
      <c r="O1458" s="64" t="str">
        <f>Ringkasan!O1457</f>
        <v/>
      </c>
      <c r="P1458" s="64" t="str">
        <f>Ringkasan!P1457</f>
        <v/>
      </c>
      <c r="Q1458" s="64" t="str">
        <f>Ringkasan!Q1457</f>
        <v/>
      </c>
      <c r="R1458" s="64" t="str">
        <f>Ringkasan!R1457</f>
        <v/>
      </c>
      <c r="S1458" s="64" t="str">
        <f>Ringkasan!S1457</f>
        <v/>
      </c>
      <c r="T1458" s="64" t="str">
        <f>Ringkasan!T1457</f>
        <v/>
      </c>
      <c r="U1458" s="64">
        <f>Ringkasan!U1457</f>
        <v>374</v>
      </c>
      <c r="V1458" s="64">
        <f>Ringkasan!V1457</f>
        <v>0</v>
      </c>
      <c r="W1458" s="64" t="str">
        <f>Ringkasan!W1457</f>
        <v/>
      </c>
      <c r="X1458" s="64" t="str">
        <f>Ringkasan!X1457</f>
        <v/>
      </c>
      <c r="Y1458" s="64" t="str">
        <f>Ringkasan!Y1457</f>
        <v/>
      </c>
      <c r="Z1458" s="64">
        <f>Ringkasan!Z1457</f>
        <v>0</v>
      </c>
      <c r="AA1458" s="64" t="str">
        <f>Ringkasan!AA1457</f>
        <v>Containers &amp; Packaging</v>
      </c>
      <c r="AB1458" s="64" t="str">
        <f>Ringkasan!AB1457</f>
        <v>Basic Materials</v>
      </c>
    </row>
    <row r="1459" hidden="1">
      <c r="A1459" s="64" t="str">
        <f>Ringkasan!A1458</f>
        <v>PTPP</v>
      </c>
      <c r="B1459" s="64" t="str">
        <f>Ringkasan!B1458</f>
        <v>PP (Persero) Tbk</v>
      </c>
      <c r="C1459" s="65">
        <f>Ringkasan!C1458</f>
        <v>202</v>
      </c>
      <c r="D1459" s="64" t="str">
        <f>Ringkasan!D1458</f>
        <v>#N/A</v>
      </c>
      <c r="E1459" s="64" t="str">
        <f>Ringkasan!E1458</f>
        <v>IDXMESBUMN</v>
      </c>
      <c r="F1459" s="66">
        <f>Ringkasan!F1458</f>
        <v>46356</v>
      </c>
      <c r="G1459" s="64">
        <f>Ringkasan!G1458</f>
        <v>4</v>
      </c>
      <c r="H1459" s="19">
        <f>Ringkasan!H1458</f>
        <v>-0.21</v>
      </c>
      <c r="I1459" s="19">
        <f>Ringkasan!I1458</f>
        <v>0.29</v>
      </c>
      <c r="J1459" s="19">
        <f>Ringkasan!J1458</f>
        <v>-140</v>
      </c>
      <c r="K1459" s="19">
        <f>Ringkasan!K1458</f>
        <v>-14.5</v>
      </c>
      <c r="L1459" s="19">
        <f>Ringkasan!L1458</f>
        <v>8.7</v>
      </c>
      <c r="M1459" s="19">
        <f>Ringkasan!M1458</f>
        <v>-210</v>
      </c>
      <c r="N1459" s="64" t="str">
        <f>Ringkasan!N1458</f>
        <v/>
      </c>
      <c r="O1459" s="64" t="str">
        <f>Ringkasan!O1458</f>
        <v/>
      </c>
      <c r="P1459" s="64" t="str">
        <f>Ringkasan!P1458</f>
        <v/>
      </c>
      <c r="Q1459" s="64" t="str">
        <f>Ringkasan!Q1458</f>
        <v/>
      </c>
      <c r="R1459" s="64" t="str">
        <f>Ringkasan!R1458</f>
        <v/>
      </c>
      <c r="S1459" s="64" t="str">
        <f>Ringkasan!S1458</f>
        <v/>
      </c>
      <c r="T1459" s="64" t="str">
        <f>Ringkasan!T1458</f>
        <v/>
      </c>
      <c r="U1459" s="64">
        <f>Ringkasan!U1458</f>
        <v>199</v>
      </c>
      <c r="V1459" s="64">
        <f>Ringkasan!V1458</f>
        <v>1.51</v>
      </c>
      <c r="W1459" s="64">
        <f>Ringkasan!W1458</f>
        <v>200</v>
      </c>
      <c r="X1459" s="64">
        <f>Ringkasan!X1458</f>
        <v>206</v>
      </c>
      <c r="Y1459" s="64">
        <f>Ringkasan!Y1458</f>
        <v>198</v>
      </c>
      <c r="Z1459" s="64">
        <f>Ringkasan!Z1458</f>
        <v>5378500</v>
      </c>
      <c r="AA1459" s="64" t="str">
        <f>Ringkasan!AA1458</f>
        <v>Heavy Constructions &amp; Civil Engineering</v>
      </c>
      <c r="AB1459" s="64" t="str">
        <f>Ringkasan!AB1458</f>
        <v>Infrastructures</v>
      </c>
    </row>
    <row r="1460" hidden="1">
      <c r="A1460" s="64" t="str">
        <f>Ringkasan!A1459</f>
        <v>PTPP</v>
      </c>
      <c r="B1460" s="64" t="str">
        <f>Ringkasan!B1459</f>
        <v>PP (Persero) Tbk</v>
      </c>
      <c r="C1460" s="65">
        <f>Ringkasan!C1459</f>
        <v>202</v>
      </c>
      <c r="D1460" s="64" t="str">
        <f>Ringkasan!D1459</f>
        <v>#N/A</v>
      </c>
      <c r="E1460" s="64" t="str">
        <f>Ringkasan!E1459</f>
        <v>ESGSKEHATI</v>
      </c>
      <c r="F1460" s="66">
        <f>Ringkasan!F1459</f>
        <v>46356</v>
      </c>
      <c r="G1460" s="64">
        <f>Ringkasan!G1459</f>
        <v>4</v>
      </c>
      <c r="H1460" s="19">
        <f>Ringkasan!H1459</f>
        <v>-0.21</v>
      </c>
      <c r="I1460" s="19">
        <f>Ringkasan!I1459</f>
        <v>0.29</v>
      </c>
      <c r="J1460" s="19">
        <f>Ringkasan!J1459</f>
        <v>-140</v>
      </c>
      <c r="K1460" s="19">
        <f>Ringkasan!K1459</f>
        <v>-14.5</v>
      </c>
      <c r="L1460" s="19">
        <f>Ringkasan!L1459</f>
        <v>8.7</v>
      </c>
      <c r="M1460" s="19">
        <f>Ringkasan!M1459</f>
        <v>-210</v>
      </c>
      <c r="N1460" s="64" t="str">
        <f>Ringkasan!N1459</f>
        <v/>
      </c>
      <c r="O1460" s="64" t="str">
        <f>Ringkasan!O1459</f>
        <v/>
      </c>
      <c r="P1460" s="64" t="str">
        <f>Ringkasan!P1459</f>
        <v/>
      </c>
      <c r="Q1460" s="64" t="str">
        <f>Ringkasan!Q1459</f>
        <v/>
      </c>
      <c r="R1460" s="64" t="str">
        <f>Ringkasan!R1459</f>
        <v/>
      </c>
      <c r="S1460" s="64" t="str">
        <f>Ringkasan!S1459</f>
        <v/>
      </c>
      <c r="T1460" s="64" t="str">
        <f>Ringkasan!T1459</f>
        <v/>
      </c>
      <c r="U1460" s="64">
        <f>Ringkasan!U1459</f>
        <v>199</v>
      </c>
      <c r="V1460" s="64">
        <f>Ringkasan!V1459</f>
        <v>1.51</v>
      </c>
      <c r="W1460" s="64">
        <f>Ringkasan!W1459</f>
        <v>200</v>
      </c>
      <c r="X1460" s="64">
        <f>Ringkasan!X1459</f>
        <v>206</v>
      </c>
      <c r="Y1460" s="64">
        <f>Ringkasan!Y1459</f>
        <v>198</v>
      </c>
      <c r="Z1460" s="64">
        <f>Ringkasan!Z1459</f>
        <v>5378500</v>
      </c>
      <c r="AA1460" s="64" t="str">
        <f>Ringkasan!AA1459</f>
        <v>Heavy Constructions &amp; Civil Engineering</v>
      </c>
      <c r="AB1460" s="64" t="str">
        <f>Ringkasan!AB1459</f>
        <v>Infrastructures</v>
      </c>
    </row>
    <row r="1461" hidden="1">
      <c r="A1461" s="64" t="str">
        <f>Ringkasan!A1460</f>
        <v>PTPP</v>
      </c>
      <c r="B1461" s="64" t="str">
        <f>Ringkasan!B1460</f>
        <v>PP (Persero) Tbk</v>
      </c>
      <c r="C1461" s="65">
        <f>Ringkasan!C1460</f>
        <v>202</v>
      </c>
      <c r="D1461" s="64" t="str">
        <f>Ringkasan!D1460</f>
        <v>#N/A</v>
      </c>
      <c r="E1461" s="64" t="str">
        <f>Ringkasan!E1460</f>
        <v>IDXBUMN20</v>
      </c>
      <c r="F1461" s="64" t="str">
        <f>Ringkasan!F1460</f>
        <v>4 Agustus 2026</v>
      </c>
      <c r="G1461" s="64">
        <f>Ringkasan!G1460</f>
        <v>4</v>
      </c>
      <c r="H1461" s="19">
        <f>Ringkasan!H1460</f>
        <v>-0.21</v>
      </c>
      <c r="I1461" s="19">
        <f>Ringkasan!I1460</f>
        <v>0.29</v>
      </c>
      <c r="J1461" s="19">
        <f>Ringkasan!J1460</f>
        <v>-140</v>
      </c>
      <c r="K1461" s="19">
        <f>Ringkasan!K1460</f>
        <v>-14.5</v>
      </c>
      <c r="L1461" s="19">
        <f>Ringkasan!L1460</f>
        <v>8.7</v>
      </c>
      <c r="M1461" s="19">
        <f>Ringkasan!M1460</f>
        <v>-210</v>
      </c>
      <c r="N1461" s="64" t="str">
        <f>Ringkasan!N1460</f>
        <v/>
      </c>
      <c r="O1461" s="64" t="str">
        <f>Ringkasan!O1460</f>
        <v/>
      </c>
      <c r="P1461" s="64" t="str">
        <f>Ringkasan!P1460</f>
        <v/>
      </c>
      <c r="Q1461" s="64" t="str">
        <f>Ringkasan!Q1460</f>
        <v/>
      </c>
      <c r="R1461" s="64" t="str">
        <f>Ringkasan!R1460</f>
        <v/>
      </c>
      <c r="S1461" s="64" t="str">
        <f>Ringkasan!S1460</f>
        <v/>
      </c>
      <c r="T1461" s="64" t="str">
        <f>Ringkasan!T1460</f>
        <v/>
      </c>
      <c r="U1461" s="64">
        <f>Ringkasan!U1460</f>
        <v>199</v>
      </c>
      <c r="V1461" s="64">
        <f>Ringkasan!V1460</f>
        <v>1.51</v>
      </c>
      <c r="W1461" s="64">
        <f>Ringkasan!W1460</f>
        <v>200</v>
      </c>
      <c r="X1461" s="64">
        <f>Ringkasan!X1460</f>
        <v>206</v>
      </c>
      <c r="Y1461" s="64">
        <f>Ringkasan!Y1460</f>
        <v>198</v>
      </c>
      <c r="Z1461" s="64">
        <f>Ringkasan!Z1460</f>
        <v>5378500</v>
      </c>
      <c r="AA1461" s="64" t="str">
        <f>Ringkasan!AA1460</f>
        <v>Heavy Constructions &amp; Civil Engineering</v>
      </c>
      <c r="AB1461" s="64" t="str">
        <f>Ringkasan!AB1460</f>
        <v>Infrastructures</v>
      </c>
    </row>
    <row r="1462" hidden="1">
      <c r="A1462" s="64" t="str">
        <f>Ringkasan!A1461</f>
        <v>PTPP</v>
      </c>
      <c r="B1462" s="64" t="str">
        <f>Ringkasan!B1461</f>
        <v>PP (Persero) Tbk</v>
      </c>
      <c r="C1462" s="65">
        <f>Ringkasan!C1461</f>
        <v>202</v>
      </c>
      <c r="D1462" s="64" t="str">
        <f>Ringkasan!D1461</f>
        <v>#N/A</v>
      </c>
      <c r="E1462" s="64" t="str">
        <f>Ringkasan!E1461</f>
        <v>IDXSMC-LIQ</v>
      </c>
      <c r="F1462" s="64" t="str">
        <f>Ringkasan!F1461</f>
        <v>4 Agustus 2026</v>
      </c>
      <c r="G1462" s="64">
        <f>Ringkasan!G1461</f>
        <v>4</v>
      </c>
      <c r="H1462" s="19">
        <f>Ringkasan!H1461</f>
        <v>-0.21</v>
      </c>
      <c r="I1462" s="19">
        <f>Ringkasan!I1461</f>
        <v>0.29</v>
      </c>
      <c r="J1462" s="19">
        <f>Ringkasan!J1461</f>
        <v>-140</v>
      </c>
      <c r="K1462" s="19">
        <f>Ringkasan!K1461</f>
        <v>-14.5</v>
      </c>
      <c r="L1462" s="19">
        <f>Ringkasan!L1461</f>
        <v>8.7</v>
      </c>
      <c r="M1462" s="19">
        <f>Ringkasan!M1461</f>
        <v>-210</v>
      </c>
      <c r="N1462" s="64" t="str">
        <f>Ringkasan!N1461</f>
        <v/>
      </c>
      <c r="O1462" s="64" t="str">
        <f>Ringkasan!O1461</f>
        <v/>
      </c>
      <c r="P1462" s="64" t="str">
        <f>Ringkasan!P1461</f>
        <v/>
      </c>
      <c r="Q1462" s="64" t="str">
        <f>Ringkasan!Q1461</f>
        <v/>
      </c>
      <c r="R1462" s="64" t="str">
        <f>Ringkasan!R1461</f>
        <v/>
      </c>
      <c r="S1462" s="64" t="str">
        <f>Ringkasan!S1461</f>
        <v/>
      </c>
      <c r="T1462" s="64" t="str">
        <f>Ringkasan!T1461</f>
        <v/>
      </c>
      <c r="U1462" s="64">
        <f>Ringkasan!U1461</f>
        <v>199</v>
      </c>
      <c r="V1462" s="64">
        <f>Ringkasan!V1461</f>
        <v>1.51</v>
      </c>
      <c r="W1462" s="64">
        <f>Ringkasan!W1461</f>
        <v>200</v>
      </c>
      <c r="X1462" s="64">
        <f>Ringkasan!X1461</f>
        <v>206</v>
      </c>
      <c r="Y1462" s="64">
        <f>Ringkasan!Y1461</f>
        <v>198</v>
      </c>
      <c r="Z1462" s="64">
        <f>Ringkasan!Z1461</f>
        <v>5378500</v>
      </c>
      <c r="AA1462" s="64" t="str">
        <f>Ringkasan!AA1461</f>
        <v>Heavy Constructions &amp; Civil Engineering</v>
      </c>
      <c r="AB1462" s="64" t="str">
        <f>Ringkasan!AB1461</f>
        <v>Infrastructures</v>
      </c>
    </row>
    <row r="1463" hidden="1">
      <c r="A1463" s="64" t="str">
        <f>Ringkasan!A1462</f>
        <v>PTPS</v>
      </c>
      <c r="B1463" s="64" t="str">
        <f>Ringkasan!B1462</f>
        <v>PT Pulau Subur Tbk.</v>
      </c>
      <c r="C1463" s="65">
        <f>Ringkasan!C1462</f>
        <v>113</v>
      </c>
      <c r="D1463" s="64" t="str">
        <f>Ringkasan!D1462</f>
        <v>#N/A</v>
      </c>
      <c r="E1463" s="64" t="str">
        <f>Ringkasan!E1462</f>
        <v/>
      </c>
      <c r="F1463" s="64" t="str">
        <f>Ringkasan!F1462</f>
        <v/>
      </c>
      <c r="G1463" s="65">
        <f>Ringkasan!G1462</f>
        <v>0</v>
      </c>
      <c r="H1463" s="19">
        <f>Ringkasan!H1462</f>
        <v>36.9</v>
      </c>
      <c r="I1463" s="19">
        <f>Ringkasan!I1462</f>
        <v>1.7</v>
      </c>
      <c r="J1463" s="19">
        <f>Ringkasan!J1462</f>
        <v>4.5</v>
      </c>
      <c r="K1463" s="19">
        <f>Ringkasan!K1462</f>
        <v>4.4</v>
      </c>
      <c r="L1463" s="19">
        <f>Ringkasan!L1462</f>
        <v>0.02</v>
      </c>
      <c r="M1463" s="19">
        <f>Ringkasan!M1462</f>
        <v>79.9</v>
      </c>
      <c r="N1463" s="64" t="str">
        <f>Ringkasan!N1462</f>
        <v/>
      </c>
      <c r="O1463" s="64" t="str">
        <f>Ringkasan!O1462</f>
        <v/>
      </c>
      <c r="P1463" s="64" t="str">
        <f>Ringkasan!P1462</f>
        <v/>
      </c>
      <c r="Q1463" s="64" t="str">
        <f>Ringkasan!Q1462</f>
        <v/>
      </c>
      <c r="R1463" s="64" t="str">
        <f>Ringkasan!R1462</f>
        <v/>
      </c>
      <c r="S1463" s="64" t="str">
        <f>Ringkasan!S1462</f>
        <v/>
      </c>
      <c r="T1463" s="64" t="str">
        <f>Ringkasan!T1462</f>
        <v/>
      </c>
      <c r="U1463" s="64">
        <f>Ringkasan!U1462</f>
        <v>106</v>
      </c>
      <c r="V1463" s="64">
        <f>Ringkasan!V1462</f>
        <v>6.6</v>
      </c>
      <c r="W1463" s="64">
        <f>Ringkasan!W1462</f>
        <v>107</v>
      </c>
      <c r="X1463" s="64">
        <f>Ringkasan!X1462</f>
        <v>120</v>
      </c>
      <c r="Y1463" s="64">
        <f>Ringkasan!Y1462</f>
        <v>106</v>
      </c>
      <c r="Z1463" s="64">
        <f>Ringkasan!Z1462</f>
        <v>3531000</v>
      </c>
      <c r="AA1463" s="64" t="str">
        <f>Ringkasan!AA1462</f>
        <v>Agricultural Products</v>
      </c>
      <c r="AB1463" s="64" t="str">
        <f>Ringkasan!AB1462</f>
        <v>Consumer Non-Cyclicals</v>
      </c>
    </row>
    <row r="1464" hidden="1">
      <c r="A1464" s="64" t="str">
        <f>Ringkasan!A1463</f>
        <v>PTPW</v>
      </c>
      <c r="B1464" s="64" t="str">
        <f>Ringkasan!B1463</f>
        <v>Pratama Widya Tbk.</v>
      </c>
      <c r="C1464" s="65">
        <f>Ringkasan!C1463</f>
        <v>940</v>
      </c>
      <c r="D1464" s="64" t="str">
        <f>Ringkasan!D1463</f>
        <v>#N/A</v>
      </c>
      <c r="E1464" s="64" t="str">
        <f>Ringkasan!E1463</f>
        <v/>
      </c>
      <c r="F1464" s="64" t="str">
        <f>Ringkasan!F1463</f>
        <v/>
      </c>
      <c r="G1464" s="64">
        <f>Ringkasan!G1463</f>
        <v>0</v>
      </c>
      <c r="H1464" s="19">
        <f>Ringkasan!H1463</f>
        <v>20.4</v>
      </c>
      <c r="I1464" s="19">
        <f>Ringkasan!I1463</f>
        <v>1.2</v>
      </c>
      <c r="J1464" s="19">
        <f>Ringkasan!J1463</f>
        <v>6</v>
      </c>
      <c r="K1464" s="19">
        <f>Ringkasan!K1463</f>
        <v>5.3</v>
      </c>
      <c r="L1464" s="19">
        <f>Ringkasan!L1463</f>
        <v>0.13</v>
      </c>
      <c r="M1464" s="19">
        <f>Ringkasan!M1463</f>
        <v>52.7</v>
      </c>
      <c r="N1464" s="64" t="str">
        <f>Ringkasan!N1463</f>
        <v/>
      </c>
      <c r="O1464" s="64" t="str">
        <f>Ringkasan!O1463</f>
        <v/>
      </c>
      <c r="P1464" s="64" t="str">
        <f>Ringkasan!P1463</f>
        <v/>
      </c>
      <c r="Q1464" s="64" t="str">
        <f>Ringkasan!Q1463</f>
        <v/>
      </c>
      <c r="R1464" s="64" t="str">
        <f>Ringkasan!R1463</f>
        <v/>
      </c>
      <c r="S1464" s="64" t="str">
        <f>Ringkasan!S1463</f>
        <v/>
      </c>
      <c r="T1464" s="64" t="str">
        <f>Ringkasan!T1463</f>
        <v/>
      </c>
      <c r="U1464" s="64">
        <f>Ringkasan!U1463</f>
        <v>930</v>
      </c>
      <c r="V1464" s="64">
        <f>Ringkasan!V1463</f>
        <v>1.08</v>
      </c>
      <c r="W1464" s="64">
        <f>Ringkasan!W1463</f>
        <v>935</v>
      </c>
      <c r="X1464" s="64">
        <f>Ringkasan!X1463</f>
        <v>940</v>
      </c>
      <c r="Y1464" s="64">
        <f>Ringkasan!Y1463</f>
        <v>935</v>
      </c>
      <c r="Z1464" s="64">
        <f>Ringkasan!Z1463</f>
        <v>11800</v>
      </c>
      <c r="AA1464" s="64" t="str">
        <f>Ringkasan!AA1463</f>
        <v>Heavy Constructions &amp; Civil Engineering</v>
      </c>
      <c r="AB1464" s="64" t="str">
        <f>Ringkasan!AB1463</f>
        <v>Infrastructures</v>
      </c>
    </row>
    <row r="1465" hidden="1">
      <c r="A1465" s="64" t="str">
        <f>Ringkasan!A1464</f>
        <v>PTRO</v>
      </c>
      <c r="B1465" s="64" t="str">
        <f>Ringkasan!B1464</f>
        <v>Petrosea Tbk</v>
      </c>
      <c r="C1465" s="65">
        <f>Ringkasan!C1464</f>
        <v>4180</v>
      </c>
      <c r="D1465" s="64" t="str">
        <f>Ringkasan!D1464</f>
        <v>#N/A</v>
      </c>
      <c r="E1465" s="64" t="str">
        <f>Ringkasan!E1464</f>
        <v>Pefindo - iGrade</v>
      </c>
      <c r="F1465" s="64" t="str">
        <f>Ringkasan!F1464</f>
        <v>30 Juni 2026</v>
      </c>
      <c r="G1465" s="64">
        <f>Ringkasan!G1464</f>
        <v>4</v>
      </c>
      <c r="H1465" s="19">
        <f>Ringkasan!H1464</f>
        <v>95.8</v>
      </c>
      <c r="I1465" s="19">
        <f>Ringkasan!I1464</f>
        <v>9</v>
      </c>
      <c r="J1465" s="19">
        <f>Ringkasan!J1464</f>
        <v>9.4</v>
      </c>
      <c r="K1465" s="19">
        <f>Ringkasan!K1464</f>
        <v>1.8</v>
      </c>
      <c r="L1465" s="19">
        <f>Ringkasan!L1464</f>
        <v>4.2</v>
      </c>
      <c r="M1465" s="19">
        <f>Ringkasan!M1464</f>
        <v>10.2</v>
      </c>
      <c r="N1465" s="64" t="str">
        <f>Ringkasan!N1464</f>
        <v/>
      </c>
      <c r="O1465" s="64" t="str">
        <f>Ringkasan!O1464</f>
        <v/>
      </c>
      <c r="P1465" s="64" t="str">
        <f>Ringkasan!P1464</f>
        <v/>
      </c>
      <c r="Q1465" s="64" t="str">
        <f>Ringkasan!Q1464</f>
        <v/>
      </c>
      <c r="R1465" s="64" t="str">
        <f>Ringkasan!R1464</f>
        <v/>
      </c>
      <c r="S1465" s="64" t="str">
        <f>Ringkasan!S1464</f>
        <v/>
      </c>
      <c r="T1465" s="64" t="str">
        <f>Ringkasan!T1464</f>
        <v/>
      </c>
      <c r="U1465" s="64">
        <f>Ringkasan!U1464</f>
        <v>4010</v>
      </c>
      <c r="V1465" s="64">
        <f>Ringkasan!V1464</f>
        <v>4.24</v>
      </c>
      <c r="W1465" s="64">
        <f>Ringkasan!W1464</f>
        <v>4150</v>
      </c>
      <c r="X1465" s="64">
        <f>Ringkasan!X1464</f>
        <v>4340</v>
      </c>
      <c r="Y1465" s="64">
        <f>Ringkasan!Y1464</f>
        <v>4150</v>
      </c>
      <c r="Z1465" s="64">
        <f>Ringkasan!Z1464</f>
        <v>64705700</v>
      </c>
      <c r="AA1465" s="64" t="str">
        <f>Ringkasan!AA1464</f>
        <v>Oil, Gas &amp; Coal Supports</v>
      </c>
      <c r="AB1465" s="64" t="str">
        <f>Ringkasan!AB1464</f>
        <v>Energy</v>
      </c>
    </row>
    <row r="1466" hidden="1">
      <c r="A1466" s="64" t="str">
        <f>Ringkasan!A1465</f>
        <v>PTRO</v>
      </c>
      <c r="B1466" s="64" t="str">
        <f>Ringkasan!B1465</f>
        <v>Petrosea Tbk</v>
      </c>
      <c r="C1466" s="65">
        <f>Ringkasan!C1465</f>
        <v>4180</v>
      </c>
      <c r="D1466" s="64" t="str">
        <f>Ringkasan!D1465</f>
        <v>#N/A</v>
      </c>
      <c r="E1466" s="64" t="str">
        <f>Ringkasan!E1465</f>
        <v>IDX80</v>
      </c>
      <c r="F1466" s="64" t="str">
        <f>Ringkasan!F1465</f>
        <v>31 Juli 2026</v>
      </c>
      <c r="G1466" s="64">
        <f>Ringkasan!G1465</f>
        <v>4</v>
      </c>
      <c r="H1466" s="19">
        <f>Ringkasan!H1465</f>
        <v>95.8</v>
      </c>
      <c r="I1466" s="19">
        <f>Ringkasan!I1465</f>
        <v>9</v>
      </c>
      <c r="J1466" s="19">
        <f>Ringkasan!J1465</f>
        <v>9.4</v>
      </c>
      <c r="K1466" s="19">
        <f>Ringkasan!K1465</f>
        <v>1.8</v>
      </c>
      <c r="L1466" s="19">
        <f>Ringkasan!L1465</f>
        <v>4.2</v>
      </c>
      <c r="M1466" s="19">
        <f>Ringkasan!M1465</f>
        <v>10.2</v>
      </c>
      <c r="N1466" s="64" t="str">
        <f>Ringkasan!N1465</f>
        <v/>
      </c>
      <c r="O1466" s="64" t="str">
        <f>Ringkasan!O1465</f>
        <v/>
      </c>
      <c r="P1466" s="64" t="str">
        <f>Ringkasan!P1465</f>
        <v/>
      </c>
      <c r="Q1466" s="64" t="str">
        <f>Ringkasan!Q1465</f>
        <v/>
      </c>
      <c r="R1466" s="64" t="str">
        <f>Ringkasan!R1465</f>
        <v/>
      </c>
      <c r="S1466" s="64" t="str">
        <f>Ringkasan!S1465</f>
        <v/>
      </c>
      <c r="T1466" s="64" t="str">
        <f>Ringkasan!T1465</f>
        <v/>
      </c>
      <c r="U1466" s="64">
        <f>Ringkasan!U1465</f>
        <v>4010</v>
      </c>
      <c r="V1466" s="64">
        <f>Ringkasan!V1465</f>
        <v>4.24</v>
      </c>
      <c r="W1466" s="64">
        <f>Ringkasan!W1465</f>
        <v>4150</v>
      </c>
      <c r="X1466" s="64">
        <f>Ringkasan!X1465</f>
        <v>4340</v>
      </c>
      <c r="Y1466" s="64">
        <f>Ringkasan!Y1465</f>
        <v>4150</v>
      </c>
      <c r="Z1466" s="64">
        <f>Ringkasan!Z1465</f>
        <v>64705700</v>
      </c>
      <c r="AA1466" s="64" t="str">
        <f>Ringkasan!AA1465</f>
        <v>Oil, Gas &amp; Coal Supports</v>
      </c>
      <c r="AB1466" s="64" t="str">
        <f>Ringkasan!AB1465</f>
        <v>Energy</v>
      </c>
    </row>
    <row r="1467" hidden="1">
      <c r="A1467" s="64" t="str">
        <f>Ringkasan!A1466</f>
        <v>PTRO</v>
      </c>
      <c r="B1467" s="64" t="str">
        <f>Ringkasan!B1466</f>
        <v>Petrosea Tbk</v>
      </c>
      <c r="C1467" s="65">
        <f>Ringkasan!C1466</f>
        <v>4180</v>
      </c>
      <c r="D1467" s="64" t="str">
        <f>Ringkasan!D1466</f>
        <v>#N/A</v>
      </c>
      <c r="E1467" s="64" t="str">
        <f>Ringkasan!E1466</f>
        <v>Kompas100</v>
      </c>
      <c r="F1467" s="64" t="str">
        <f>Ringkasan!F1466</f>
        <v>31 Juli 2026</v>
      </c>
      <c r="G1467" s="64">
        <f>Ringkasan!G1466</f>
        <v>4</v>
      </c>
      <c r="H1467" s="19">
        <f>Ringkasan!H1466</f>
        <v>95.8</v>
      </c>
      <c r="I1467" s="19">
        <f>Ringkasan!I1466</f>
        <v>9</v>
      </c>
      <c r="J1467" s="19">
        <f>Ringkasan!J1466</f>
        <v>9.4</v>
      </c>
      <c r="K1467" s="19">
        <f>Ringkasan!K1466</f>
        <v>1.8</v>
      </c>
      <c r="L1467" s="19">
        <f>Ringkasan!L1466</f>
        <v>4.2</v>
      </c>
      <c r="M1467" s="19">
        <f>Ringkasan!M1466</f>
        <v>10.2</v>
      </c>
      <c r="N1467" s="64" t="str">
        <f>Ringkasan!N1466</f>
        <v/>
      </c>
      <c r="O1467" s="64" t="str">
        <f>Ringkasan!O1466</f>
        <v/>
      </c>
      <c r="P1467" s="64" t="str">
        <f>Ringkasan!P1466</f>
        <v/>
      </c>
      <c r="Q1467" s="64" t="str">
        <f>Ringkasan!Q1466</f>
        <v/>
      </c>
      <c r="R1467" s="64" t="str">
        <f>Ringkasan!R1466</f>
        <v/>
      </c>
      <c r="S1467" s="64" t="str">
        <f>Ringkasan!S1466</f>
        <v/>
      </c>
      <c r="T1467" s="64" t="str">
        <f>Ringkasan!T1466</f>
        <v/>
      </c>
      <c r="U1467" s="64">
        <f>Ringkasan!U1466</f>
        <v>4010</v>
      </c>
      <c r="V1467" s="64">
        <f>Ringkasan!V1466</f>
        <v>4.24</v>
      </c>
      <c r="W1467" s="64">
        <f>Ringkasan!W1466</f>
        <v>4150</v>
      </c>
      <c r="X1467" s="64">
        <f>Ringkasan!X1466</f>
        <v>4340</v>
      </c>
      <c r="Y1467" s="64">
        <f>Ringkasan!Y1466</f>
        <v>4150</v>
      </c>
      <c r="Z1467" s="64">
        <f>Ringkasan!Z1466</f>
        <v>64705700</v>
      </c>
      <c r="AA1467" s="64" t="str">
        <f>Ringkasan!AA1466</f>
        <v>Oil, Gas &amp; Coal Supports</v>
      </c>
      <c r="AB1467" s="64" t="str">
        <f>Ringkasan!AB1466</f>
        <v>Energy</v>
      </c>
    </row>
    <row r="1468" hidden="1">
      <c r="A1468" s="64" t="str">
        <f>Ringkasan!A1467</f>
        <v>PTRO</v>
      </c>
      <c r="B1468" s="64" t="str">
        <f>Ringkasan!B1467</f>
        <v>Petrosea Tbk</v>
      </c>
      <c r="C1468" s="65">
        <f>Ringkasan!C1467</f>
        <v>4180</v>
      </c>
      <c r="D1468" s="64" t="str">
        <f>Ringkasan!D1467</f>
        <v>#N/A</v>
      </c>
      <c r="E1468" s="64" t="str">
        <f>Ringkasan!E1467</f>
        <v>MSCI Small Cap</v>
      </c>
      <c r="F1468" s="64" t="str">
        <f>Ringkasan!F1467</f>
        <v>12 Agustus 2026</v>
      </c>
      <c r="G1468" s="64">
        <f>Ringkasan!G1467</f>
        <v>4</v>
      </c>
      <c r="H1468" s="19">
        <f>Ringkasan!H1467</f>
        <v>95.8</v>
      </c>
      <c r="I1468" s="19">
        <f>Ringkasan!I1467</f>
        <v>9</v>
      </c>
      <c r="J1468" s="19">
        <f>Ringkasan!J1467</f>
        <v>9.4</v>
      </c>
      <c r="K1468" s="19">
        <f>Ringkasan!K1467</f>
        <v>1.8</v>
      </c>
      <c r="L1468" s="19">
        <f>Ringkasan!L1467</f>
        <v>4.2</v>
      </c>
      <c r="M1468" s="19">
        <f>Ringkasan!M1467</f>
        <v>10.2</v>
      </c>
      <c r="N1468" s="64" t="str">
        <f>Ringkasan!N1467</f>
        <v/>
      </c>
      <c r="O1468" s="64" t="str">
        <f>Ringkasan!O1467</f>
        <v/>
      </c>
      <c r="P1468" s="64" t="str">
        <f>Ringkasan!P1467</f>
        <v/>
      </c>
      <c r="Q1468" s="64" t="str">
        <f>Ringkasan!Q1467</f>
        <v/>
      </c>
      <c r="R1468" s="64" t="str">
        <f>Ringkasan!R1467</f>
        <v/>
      </c>
      <c r="S1468" s="64" t="str">
        <f>Ringkasan!S1467</f>
        <v/>
      </c>
      <c r="T1468" s="64" t="str">
        <f>Ringkasan!T1467</f>
        <v/>
      </c>
      <c r="U1468" s="64">
        <f>Ringkasan!U1467</f>
        <v>4010</v>
      </c>
      <c r="V1468" s="64">
        <f>Ringkasan!V1467</f>
        <v>4.24</v>
      </c>
      <c r="W1468" s="64">
        <f>Ringkasan!W1467</f>
        <v>4150</v>
      </c>
      <c r="X1468" s="64">
        <f>Ringkasan!X1467</f>
        <v>4340</v>
      </c>
      <c r="Y1468" s="64">
        <f>Ringkasan!Y1467</f>
        <v>4150</v>
      </c>
      <c r="Z1468" s="64">
        <f>Ringkasan!Z1467</f>
        <v>64705700</v>
      </c>
      <c r="AA1468" s="64" t="str">
        <f>Ringkasan!AA1467</f>
        <v>Oil, Gas &amp; Coal Supports</v>
      </c>
      <c r="AB1468" s="64" t="str">
        <f>Ringkasan!AB1467</f>
        <v>Energy</v>
      </c>
    </row>
    <row r="1469" hidden="1">
      <c r="A1469" s="64" t="str">
        <f>Ringkasan!A1468</f>
        <v>PTSN</v>
      </c>
      <c r="B1469" s="64" t="str">
        <f>Ringkasan!B1468</f>
        <v>Sat Nusapersada Tbk</v>
      </c>
      <c r="C1469" s="65">
        <f>Ringkasan!C1468</f>
        <v>228</v>
      </c>
      <c r="D1469" s="64" t="str">
        <f>Ringkasan!D1468</f>
        <v>#N/A</v>
      </c>
      <c r="E1469" s="64" t="str">
        <f>Ringkasan!E1468</f>
        <v/>
      </c>
      <c r="F1469" s="64" t="str">
        <f>Ringkasan!F1468</f>
        <v/>
      </c>
      <c r="G1469" s="64">
        <f>Ringkasan!G1468</f>
        <v>0</v>
      </c>
      <c r="H1469" s="19">
        <f>Ringkasan!H1468</f>
        <v>5.5</v>
      </c>
      <c r="I1469" s="19">
        <f>Ringkasan!I1468</f>
        <v>0.65</v>
      </c>
      <c r="J1469" s="19">
        <f>Ringkasan!J1468</f>
        <v>11.9</v>
      </c>
      <c r="K1469" s="19">
        <f>Ringkasan!K1468</f>
        <v>6.3</v>
      </c>
      <c r="L1469" s="19">
        <f>Ringkasan!L1468</f>
        <v>0.9</v>
      </c>
      <c r="M1469" s="19">
        <f>Ringkasan!M1468</f>
        <v>21.3</v>
      </c>
      <c r="N1469" s="64" t="str">
        <f>Ringkasan!N1468</f>
        <v/>
      </c>
      <c r="O1469" s="64" t="str">
        <f>Ringkasan!O1468</f>
        <v/>
      </c>
      <c r="P1469" s="64" t="str">
        <f>Ringkasan!P1468</f>
        <v/>
      </c>
      <c r="Q1469" s="64" t="str">
        <f>Ringkasan!Q1468</f>
        <v/>
      </c>
      <c r="R1469" s="64" t="str">
        <f>Ringkasan!R1468</f>
        <v/>
      </c>
      <c r="S1469" s="64" t="str">
        <f>Ringkasan!S1468</f>
        <v/>
      </c>
      <c r="T1469" s="64" t="str">
        <f>Ringkasan!T1468</f>
        <v/>
      </c>
      <c r="U1469" s="64">
        <f>Ringkasan!U1468</f>
        <v>226</v>
      </c>
      <c r="V1469" s="64">
        <f>Ringkasan!V1468</f>
        <v>0.88</v>
      </c>
      <c r="W1469" s="64">
        <f>Ringkasan!W1468</f>
        <v>234</v>
      </c>
      <c r="X1469" s="64">
        <f>Ringkasan!X1468</f>
        <v>238</v>
      </c>
      <c r="Y1469" s="64">
        <f>Ringkasan!Y1468</f>
        <v>222</v>
      </c>
      <c r="Z1469" s="64">
        <f>Ringkasan!Z1468</f>
        <v>1168300</v>
      </c>
      <c r="AA1469" s="64" t="str">
        <f>Ringkasan!AA1468</f>
        <v>Networking Equipment</v>
      </c>
      <c r="AB1469" s="64" t="str">
        <f>Ringkasan!AB1468</f>
        <v>Technology</v>
      </c>
    </row>
    <row r="1470" hidden="1">
      <c r="A1470" s="64" t="str">
        <f>Ringkasan!A1469</f>
        <v>PTSP</v>
      </c>
      <c r="B1470" s="64" t="str">
        <f>Ringkasan!B1469</f>
        <v>Pioneerindo Gourmet International Tbk.</v>
      </c>
      <c r="C1470" s="65">
        <f>Ringkasan!C1469</f>
        <v>900</v>
      </c>
      <c r="D1470" s="64" t="str">
        <f>Ringkasan!D1469</f>
        <v>#N/A</v>
      </c>
      <c r="E1470" s="64" t="str">
        <f>Ringkasan!E1469</f>
        <v/>
      </c>
      <c r="F1470" s="64" t="str">
        <f>Ringkasan!F1469</f>
        <v/>
      </c>
      <c r="G1470" s="64">
        <f>Ringkasan!G1469</f>
        <v>0</v>
      </c>
      <c r="H1470" s="19">
        <f>Ringkasan!H1469</f>
        <v>5.4</v>
      </c>
      <c r="I1470" s="19">
        <f>Ringkasan!I1469</f>
        <v>0.97</v>
      </c>
      <c r="J1470" s="19">
        <f>Ringkasan!J1469</f>
        <v>17.8</v>
      </c>
      <c r="K1470" s="19">
        <f>Ringkasan!K1469</f>
        <v>9.2</v>
      </c>
      <c r="L1470" s="19">
        <f>Ringkasan!L1469</f>
        <v>0.93</v>
      </c>
      <c r="M1470" s="19">
        <f>Ringkasan!M1469</f>
        <v>17.7</v>
      </c>
      <c r="N1470" s="64" t="str">
        <f>Ringkasan!N1469</f>
        <v/>
      </c>
      <c r="O1470" s="64" t="str">
        <f>Ringkasan!O1469</f>
        <v/>
      </c>
      <c r="P1470" s="64" t="str">
        <f>Ringkasan!P1469</f>
        <v/>
      </c>
      <c r="Q1470" s="64" t="str">
        <f>Ringkasan!Q1469</f>
        <v/>
      </c>
      <c r="R1470" s="64" t="str">
        <f>Ringkasan!R1469</f>
        <v/>
      </c>
      <c r="S1470" s="64" t="str">
        <f>Ringkasan!S1469</f>
        <v/>
      </c>
      <c r="T1470" s="64" t="str">
        <f>Ringkasan!T1469</f>
        <v/>
      </c>
      <c r="U1470" s="64">
        <f>Ringkasan!U1469</f>
        <v>900</v>
      </c>
      <c r="V1470" s="64">
        <f>Ringkasan!V1469</f>
        <v>0</v>
      </c>
      <c r="W1470" s="64">
        <f>Ringkasan!W1469</f>
        <v>900</v>
      </c>
      <c r="X1470" s="64">
        <f>Ringkasan!X1469</f>
        <v>920</v>
      </c>
      <c r="Y1470" s="64">
        <f>Ringkasan!Y1469</f>
        <v>900</v>
      </c>
      <c r="Z1470" s="64" t="str">
        <f>Ringkasan!Z1469</f>
        <v/>
      </c>
      <c r="AA1470" s="64" t="str">
        <f>Ringkasan!AA1469</f>
        <v>Tourism &amp; Recreation</v>
      </c>
      <c r="AB1470" s="64" t="str">
        <f>Ringkasan!AB1469</f>
        <v>Consumer Cyclicals</v>
      </c>
    </row>
    <row r="1471" hidden="1">
      <c r="A1471" s="64" t="str">
        <f>Ringkasan!A1470</f>
        <v>PUDP</v>
      </c>
      <c r="B1471" s="64" t="str">
        <f>Ringkasan!B1470</f>
        <v>Pudjiadi Prestige Tbk.</v>
      </c>
      <c r="C1471" s="65">
        <f>Ringkasan!C1470</f>
        <v>310</v>
      </c>
      <c r="D1471" s="64" t="str">
        <f>Ringkasan!D1470</f>
        <v>#N/A</v>
      </c>
      <c r="E1471" s="64" t="str">
        <f>Ringkasan!E1470</f>
        <v/>
      </c>
      <c r="F1471" s="64" t="str">
        <f>Ringkasan!F1470</f>
        <v/>
      </c>
      <c r="G1471" s="64">
        <f>Ringkasan!G1470</f>
        <v>0</v>
      </c>
      <c r="H1471" s="19">
        <f>Ringkasan!H1470</f>
        <v>390</v>
      </c>
      <c r="I1471" s="19">
        <f>Ringkasan!I1470</f>
        <v>0.46</v>
      </c>
      <c r="J1471" s="19">
        <f>Ringkasan!J1470</f>
        <v>0.12</v>
      </c>
      <c r="K1471" s="19">
        <f>Ringkasan!K1470</f>
        <v>0.11</v>
      </c>
      <c r="L1471" s="19">
        <f>Ringkasan!L1470</f>
        <v>0.07</v>
      </c>
      <c r="M1471" s="19">
        <f>Ringkasan!M1470</f>
        <v>6.2</v>
      </c>
      <c r="N1471" s="64" t="str">
        <f>Ringkasan!N1470</f>
        <v/>
      </c>
      <c r="O1471" s="64" t="str">
        <f>Ringkasan!O1470</f>
        <v/>
      </c>
      <c r="P1471" s="64" t="str">
        <f>Ringkasan!P1470</f>
        <v/>
      </c>
      <c r="Q1471" s="64" t="str">
        <f>Ringkasan!Q1470</f>
        <v/>
      </c>
      <c r="R1471" s="64" t="str">
        <f>Ringkasan!R1470</f>
        <v/>
      </c>
      <c r="S1471" s="64" t="str">
        <f>Ringkasan!S1470</f>
        <v/>
      </c>
      <c r="T1471" s="64" t="str">
        <f>Ringkasan!T1470</f>
        <v/>
      </c>
      <c r="U1471" s="64">
        <f>Ringkasan!U1470</f>
        <v>284</v>
      </c>
      <c r="V1471" s="64">
        <f>Ringkasan!V1470</f>
        <v>9.15</v>
      </c>
      <c r="W1471" s="64">
        <f>Ringkasan!W1470</f>
        <v>284</v>
      </c>
      <c r="X1471" s="64">
        <f>Ringkasan!X1470</f>
        <v>316</v>
      </c>
      <c r="Y1471" s="64">
        <f>Ringkasan!Y1470</f>
        <v>284</v>
      </c>
      <c r="Z1471" s="64">
        <f>Ringkasan!Z1470</f>
        <v>361500</v>
      </c>
      <c r="AA1471" s="64" t="str">
        <f>Ringkasan!AA1470</f>
        <v>Real Estate Management &amp; Development</v>
      </c>
      <c r="AB1471" s="64" t="str">
        <f>Ringkasan!AB1470</f>
        <v>Properties &amp; Real Estate</v>
      </c>
    </row>
    <row r="1472" hidden="1">
      <c r="A1472" s="64" t="str">
        <f>Ringkasan!A1471</f>
        <v>PURA</v>
      </c>
      <c r="B1472" s="64" t="str">
        <f>Ringkasan!B1471</f>
        <v>Putra Rajawali Kencana Tbk.</v>
      </c>
      <c r="C1472" s="65">
        <f>Ringkasan!C1471</f>
        <v>33</v>
      </c>
      <c r="D1472" s="64" t="str">
        <f>Ringkasan!D1471</f>
        <v>#N/A</v>
      </c>
      <c r="E1472" s="64" t="str">
        <f>Ringkasan!E1471</f>
        <v/>
      </c>
      <c r="F1472" s="64" t="str">
        <f>Ringkasan!F1471</f>
        <v/>
      </c>
      <c r="G1472" s="64">
        <f>Ringkasan!G1471</f>
        <v>0</v>
      </c>
      <c r="H1472" s="19">
        <f>Ringkasan!H1471</f>
        <v>32.5</v>
      </c>
      <c r="I1472" s="19">
        <f>Ringkasan!I1471</f>
        <v>0.47</v>
      </c>
      <c r="J1472" s="19">
        <f>Ringkasan!J1471</f>
        <v>1.4</v>
      </c>
      <c r="K1472" s="19">
        <f>Ringkasan!K1471</f>
        <v>1.1</v>
      </c>
      <c r="L1472" s="19">
        <f>Ringkasan!L1471</f>
        <v>0.25</v>
      </c>
      <c r="M1472" s="19">
        <f>Ringkasan!M1471</f>
        <v>6</v>
      </c>
      <c r="N1472" s="64" t="str">
        <f>Ringkasan!N1471</f>
        <v/>
      </c>
      <c r="O1472" s="64" t="str">
        <f>Ringkasan!O1471</f>
        <v/>
      </c>
      <c r="P1472" s="64" t="str">
        <f>Ringkasan!P1471</f>
        <v/>
      </c>
      <c r="Q1472" s="64" t="str">
        <f>Ringkasan!Q1471</f>
        <v/>
      </c>
      <c r="R1472" s="64" t="str">
        <f>Ringkasan!R1471</f>
        <v/>
      </c>
      <c r="S1472" s="64" t="str">
        <f>Ringkasan!S1471</f>
        <v/>
      </c>
      <c r="T1472" s="64" t="str">
        <f>Ringkasan!T1471</f>
        <v/>
      </c>
      <c r="U1472" s="64">
        <f>Ringkasan!U1471</f>
        <v>0</v>
      </c>
      <c r="V1472" s="64">
        <f>Ringkasan!V1471</f>
        <v>0</v>
      </c>
      <c r="W1472" s="64">
        <f>Ringkasan!W1471</f>
        <v>0</v>
      </c>
      <c r="X1472" s="64">
        <f>Ringkasan!X1471</f>
        <v>0</v>
      </c>
      <c r="Y1472" s="64">
        <f>Ringkasan!Y1471</f>
        <v>0</v>
      </c>
      <c r="Z1472" s="64">
        <f>Ringkasan!Z1471</f>
        <v>76000</v>
      </c>
      <c r="AA1472" s="64" t="str">
        <f>Ringkasan!AA1471</f>
        <v>Logistics &amp; Deliveries</v>
      </c>
      <c r="AB1472" s="64" t="str">
        <f>Ringkasan!AB1471</f>
        <v>Transportation &amp; Logistic</v>
      </c>
    </row>
    <row r="1473" hidden="1">
      <c r="A1473" s="64" t="str">
        <f>Ringkasan!A1472</f>
        <v>PURE</v>
      </c>
      <c r="B1473" s="64" t="str">
        <f>Ringkasan!B1472</f>
        <v>Trinitan Metals and Minerals Tbk.</v>
      </c>
      <c r="C1473" s="65">
        <f>Ringkasan!C1472</f>
        <v>51</v>
      </c>
      <c r="D1473" s="64" t="str">
        <f>Ringkasan!D1472</f>
        <v>#N/A</v>
      </c>
      <c r="E1473" s="64" t="str">
        <f>Ringkasan!E1472</f>
        <v/>
      </c>
      <c r="F1473" s="64" t="str">
        <f>Ringkasan!F1472</f>
        <v/>
      </c>
      <c r="G1473" s="64">
        <f>Ringkasan!G1472</f>
        <v>0</v>
      </c>
      <c r="H1473" s="19">
        <f>Ringkasan!H1472</f>
        <v>0</v>
      </c>
      <c r="I1473" s="19">
        <f>Ringkasan!I1472</f>
        <v>-0.53</v>
      </c>
      <c r="J1473" s="19">
        <f>Ringkasan!J1472</f>
        <v>0</v>
      </c>
      <c r="K1473" s="19">
        <f>Ringkasan!K1472</f>
        <v>-9.8</v>
      </c>
      <c r="L1473" s="19">
        <f>Ringkasan!L1472</f>
        <v>-6.6</v>
      </c>
      <c r="M1473" s="19">
        <f>Ringkasan!M1472</f>
        <v>-120</v>
      </c>
      <c r="N1473" s="64" t="str">
        <f>Ringkasan!N1472</f>
        <v/>
      </c>
      <c r="O1473" s="64" t="str">
        <f>Ringkasan!O1472</f>
        <v/>
      </c>
      <c r="P1473" s="64" t="str">
        <f>Ringkasan!P1472</f>
        <v/>
      </c>
      <c r="Q1473" s="64" t="str">
        <f>Ringkasan!Q1472</f>
        <v/>
      </c>
      <c r="R1473" s="64" t="str">
        <f>Ringkasan!R1472</f>
        <v/>
      </c>
      <c r="S1473" s="64" t="str">
        <f>Ringkasan!S1472</f>
        <v/>
      </c>
      <c r="T1473" s="64" t="str">
        <f>Ringkasan!T1472</f>
        <v/>
      </c>
      <c r="U1473" s="64">
        <f>Ringkasan!U1472</f>
        <v>0.07</v>
      </c>
      <c r="V1473" s="64">
        <f>Ringkasan!V1472</f>
        <v>-6.43</v>
      </c>
      <c r="W1473" s="64">
        <f>Ringkasan!W1472</f>
        <v>0.06</v>
      </c>
      <c r="X1473" s="64">
        <f>Ringkasan!X1472</f>
        <v>0.07</v>
      </c>
      <c r="Y1473" s="64">
        <f>Ringkasan!Y1472</f>
        <v>0.06</v>
      </c>
      <c r="Z1473" s="64">
        <f>Ringkasan!Z1472</f>
        <v>22864</v>
      </c>
      <c r="AA1473" s="64" t="str">
        <f>Ringkasan!AA1472</f>
        <v>Metals &amp; Minerals</v>
      </c>
      <c r="AB1473" s="64" t="str">
        <f>Ringkasan!AB1472</f>
        <v>Basic Materials</v>
      </c>
    </row>
    <row r="1474" hidden="1">
      <c r="A1474" s="64" t="str">
        <f>Ringkasan!A1473</f>
        <v>PURI</v>
      </c>
      <c r="B1474" s="64" t="str">
        <f>Ringkasan!B1473</f>
        <v>Puri Global Sukses Tbk.</v>
      </c>
      <c r="C1474" s="65">
        <f>Ringkasan!C1473</f>
        <v>126</v>
      </c>
      <c r="D1474" s="64" t="str">
        <f>Ringkasan!D1473</f>
        <v>#N/A</v>
      </c>
      <c r="E1474" s="64" t="str">
        <f>Ringkasan!E1473</f>
        <v/>
      </c>
      <c r="F1474" s="64" t="str">
        <f>Ringkasan!F1473</f>
        <v/>
      </c>
      <c r="G1474" s="64">
        <f>Ringkasan!G1473</f>
        <v>0</v>
      </c>
      <c r="H1474" s="19">
        <f>Ringkasan!H1473</f>
        <v>-180</v>
      </c>
      <c r="I1474" s="19">
        <f>Ringkasan!I1473</f>
        <v>1.2</v>
      </c>
      <c r="J1474" s="19">
        <f>Ringkasan!J1473</f>
        <v>-0.66</v>
      </c>
      <c r="K1474" s="19">
        <f>Ringkasan!K1473</f>
        <v>-0.11</v>
      </c>
      <c r="L1474" s="19">
        <f>Ringkasan!L1473</f>
        <v>4.9</v>
      </c>
      <c r="M1474" s="19">
        <f>Ringkasan!M1473</f>
        <v>-4.9</v>
      </c>
      <c r="N1474" s="64" t="str">
        <f>Ringkasan!N1473</f>
        <v/>
      </c>
      <c r="O1474" s="64" t="str">
        <f>Ringkasan!O1473</f>
        <v/>
      </c>
      <c r="P1474" s="64" t="str">
        <f>Ringkasan!P1473</f>
        <v/>
      </c>
      <c r="Q1474" s="64" t="str">
        <f>Ringkasan!Q1473</f>
        <v/>
      </c>
      <c r="R1474" s="64" t="str">
        <f>Ringkasan!R1473</f>
        <v/>
      </c>
      <c r="S1474" s="64" t="str">
        <f>Ringkasan!S1473</f>
        <v/>
      </c>
      <c r="T1474" s="64" t="str">
        <f>Ringkasan!T1473</f>
        <v/>
      </c>
      <c r="U1474" s="64">
        <f>Ringkasan!U1473</f>
        <v>127</v>
      </c>
      <c r="V1474" s="64">
        <f>Ringkasan!V1473</f>
        <v>-0.79</v>
      </c>
      <c r="W1474" s="64">
        <f>Ringkasan!W1473</f>
        <v>127</v>
      </c>
      <c r="X1474" s="64">
        <f>Ringkasan!X1473</f>
        <v>171</v>
      </c>
      <c r="Y1474" s="64">
        <f>Ringkasan!Y1473</f>
        <v>124</v>
      </c>
      <c r="Z1474" s="64">
        <f>Ringkasan!Z1473</f>
        <v>9541500</v>
      </c>
      <c r="AA1474" s="64" t="str">
        <f>Ringkasan!AA1473</f>
        <v>Real Estate Management &amp; Development</v>
      </c>
      <c r="AB1474" s="64" t="str">
        <f>Ringkasan!AB1473</f>
        <v>Properties &amp; Real Estate</v>
      </c>
    </row>
    <row r="1475" hidden="1">
      <c r="A1475" s="64" t="str">
        <f>Ringkasan!A1474</f>
        <v>PWON</v>
      </c>
      <c r="B1475" s="64" t="str">
        <f>Ringkasan!B1474</f>
        <v>Pakuwon Jati Tbk.</v>
      </c>
      <c r="C1475" s="65">
        <f>Ringkasan!C1474</f>
        <v>262</v>
      </c>
      <c r="D1475" s="64" t="str">
        <f>Ringkasan!D1474</f>
        <v>#N/A</v>
      </c>
      <c r="E1475" s="64" t="str">
        <f>Ringkasan!E1474</f>
        <v>ESGQKEHATI</v>
      </c>
      <c r="F1475" s="66">
        <f>Ringkasan!F1474</f>
        <v>46356</v>
      </c>
      <c r="G1475" s="64">
        <f>Ringkasan!G1474</f>
        <v>12</v>
      </c>
      <c r="H1475" s="19">
        <f>Ringkasan!H1474</f>
        <v>5.7</v>
      </c>
      <c r="I1475" s="19">
        <f>Ringkasan!I1474</f>
        <v>0.52</v>
      </c>
      <c r="J1475" s="19">
        <f>Ringkasan!J1474</f>
        <v>9</v>
      </c>
      <c r="K1475" s="19">
        <f>Ringkasan!K1474</f>
        <v>6.6</v>
      </c>
      <c r="L1475" s="19">
        <f>Ringkasan!L1474</f>
        <v>0.37</v>
      </c>
      <c r="M1475" s="19">
        <f>Ringkasan!M1474</f>
        <v>150</v>
      </c>
      <c r="N1475" s="64" t="str">
        <f>Ringkasan!N1474</f>
        <v/>
      </c>
      <c r="O1475" s="64" t="str">
        <f>Ringkasan!O1474</f>
        <v/>
      </c>
      <c r="P1475" s="64" t="str">
        <f>Ringkasan!P1474</f>
        <v/>
      </c>
      <c r="Q1475" s="64" t="str">
        <f>Ringkasan!Q1474</f>
        <v/>
      </c>
      <c r="R1475" s="64" t="str">
        <f>Ringkasan!R1474</f>
        <v/>
      </c>
      <c r="S1475" s="64" t="str">
        <f>Ringkasan!S1474</f>
        <v/>
      </c>
      <c r="T1475" s="64" t="str">
        <f>Ringkasan!T1474</f>
        <v/>
      </c>
      <c r="U1475" s="64">
        <f>Ringkasan!U1474</f>
        <v>256</v>
      </c>
      <c r="V1475" s="64">
        <f>Ringkasan!V1474</f>
        <v>2.34</v>
      </c>
      <c r="W1475" s="64">
        <f>Ringkasan!W1474</f>
        <v>260</v>
      </c>
      <c r="X1475" s="64">
        <f>Ringkasan!X1474</f>
        <v>266</v>
      </c>
      <c r="Y1475" s="64">
        <f>Ringkasan!Y1474</f>
        <v>258</v>
      </c>
      <c r="Z1475" s="64">
        <f>Ringkasan!Z1474</f>
        <v>46987400</v>
      </c>
      <c r="AA1475" s="64" t="str">
        <f>Ringkasan!AA1474</f>
        <v>Real Estate Management &amp; Development</v>
      </c>
      <c r="AB1475" s="64" t="str">
        <f>Ringkasan!AB1474</f>
        <v>Properties &amp; Real Estate</v>
      </c>
    </row>
    <row r="1476" hidden="1">
      <c r="A1476" s="64" t="str">
        <f>Ringkasan!A1475</f>
        <v>PWON</v>
      </c>
      <c r="B1476" s="64" t="str">
        <f>Ringkasan!B1475</f>
        <v>Pakuwon Jati Tbk.</v>
      </c>
      <c r="C1476" s="65">
        <f>Ringkasan!C1475</f>
        <v>262</v>
      </c>
      <c r="D1476" s="64" t="str">
        <f>Ringkasan!D1475</f>
        <v>#N/A</v>
      </c>
      <c r="E1476" s="64" t="str">
        <f>Ringkasan!E1475</f>
        <v>ESGSKEHATI</v>
      </c>
      <c r="F1476" s="66">
        <f>Ringkasan!F1475</f>
        <v>46356</v>
      </c>
      <c r="G1476" s="64">
        <f>Ringkasan!G1475</f>
        <v>12</v>
      </c>
      <c r="H1476" s="19">
        <f>Ringkasan!H1475</f>
        <v>5.7</v>
      </c>
      <c r="I1476" s="19">
        <f>Ringkasan!I1475</f>
        <v>0.52</v>
      </c>
      <c r="J1476" s="19">
        <f>Ringkasan!J1475</f>
        <v>9</v>
      </c>
      <c r="K1476" s="19">
        <f>Ringkasan!K1475</f>
        <v>6.6</v>
      </c>
      <c r="L1476" s="19">
        <f>Ringkasan!L1475</f>
        <v>0.37</v>
      </c>
      <c r="M1476" s="19">
        <f>Ringkasan!M1475</f>
        <v>150</v>
      </c>
      <c r="N1476" s="64" t="str">
        <f>Ringkasan!N1475</f>
        <v/>
      </c>
      <c r="O1476" s="64" t="str">
        <f>Ringkasan!O1475</f>
        <v/>
      </c>
      <c r="P1476" s="64" t="str">
        <f>Ringkasan!P1475</f>
        <v/>
      </c>
      <c r="Q1476" s="64" t="str">
        <f>Ringkasan!Q1475</f>
        <v/>
      </c>
      <c r="R1476" s="64" t="str">
        <f>Ringkasan!R1475</f>
        <v/>
      </c>
      <c r="S1476" s="64" t="str">
        <f>Ringkasan!S1475</f>
        <v/>
      </c>
      <c r="T1476" s="64" t="str">
        <f>Ringkasan!T1475</f>
        <v/>
      </c>
      <c r="U1476" s="64">
        <f>Ringkasan!U1475</f>
        <v>256</v>
      </c>
      <c r="V1476" s="64">
        <f>Ringkasan!V1475</f>
        <v>2.34</v>
      </c>
      <c r="W1476" s="64">
        <f>Ringkasan!W1475</f>
        <v>260</v>
      </c>
      <c r="X1476" s="64">
        <f>Ringkasan!X1475</f>
        <v>266</v>
      </c>
      <c r="Y1476" s="64">
        <f>Ringkasan!Y1475</f>
        <v>258</v>
      </c>
      <c r="Z1476" s="64">
        <f>Ringkasan!Z1475</f>
        <v>46987400</v>
      </c>
      <c r="AA1476" s="64" t="str">
        <f>Ringkasan!AA1475</f>
        <v>Real Estate Management &amp; Development</v>
      </c>
      <c r="AB1476" s="64" t="str">
        <f>Ringkasan!AB1475</f>
        <v>Properties &amp; Real Estate</v>
      </c>
    </row>
    <row r="1477" hidden="1">
      <c r="A1477" s="64" t="str">
        <f>Ringkasan!A1476</f>
        <v>PWON</v>
      </c>
      <c r="B1477" s="64" t="str">
        <f>Ringkasan!B1476</f>
        <v>Pakuwon Jati Tbk.</v>
      </c>
      <c r="C1477" s="65">
        <f>Ringkasan!C1476</f>
        <v>262</v>
      </c>
      <c r="D1477" s="64" t="str">
        <f>Ringkasan!D1476</f>
        <v>#N/A</v>
      </c>
      <c r="E1477" s="64" t="str">
        <f>Ringkasan!E1476</f>
        <v>IDXQ30</v>
      </c>
      <c r="F1477" s="64" t="str">
        <f>Ringkasan!F1476</f>
        <v>4 Agustus 2026</v>
      </c>
      <c r="G1477" s="64">
        <f>Ringkasan!G1476</f>
        <v>12</v>
      </c>
      <c r="H1477" s="19">
        <f>Ringkasan!H1476</f>
        <v>5.7</v>
      </c>
      <c r="I1477" s="19">
        <f>Ringkasan!I1476</f>
        <v>0.52</v>
      </c>
      <c r="J1477" s="19">
        <f>Ringkasan!J1476</f>
        <v>9</v>
      </c>
      <c r="K1477" s="19">
        <f>Ringkasan!K1476</f>
        <v>6.6</v>
      </c>
      <c r="L1477" s="19">
        <f>Ringkasan!L1476</f>
        <v>0.37</v>
      </c>
      <c r="M1477" s="19">
        <f>Ringkasan!M1476</f>
        <v>150</v>
      </c>
      <c r="N1477" s="64" t="str">
        <f>Ringkasan!N1476</f>
        <v/>
      </c>
      <c r="O1477" s="64" t="str">
        <f>Ringkasan!O1476</f>
        <v/>
      </c>
      <c r="P1477" s="64" t="str">
        <f>Ringkasan!P1476</f>
        <v/>
      </c>
      <c r="Q1477" s="64" t="str">
        <f>Ringkasan!Q1476</f>
        <v/>
      </c>
      <c r="R1477" s="64" t="str">
        <f>Ringkasan!R1476</f>
        <v/>
      </c>
      <c r="S1477" s="64" t="str">
        <f>Ringkasan!S1476</f>
        <v/>
      </c>
      <c r="T1477" s="64" t="str">
        <f>Ringkasan!T1476</f>
        <v/>
      </c>
      <c r="U1477" s="64">
        <f>Ringkasan!U1476</f>
        <v>256</v>
      </c>
      <c r="V1477" s="64">
        <f>Ringkasan!V1476</f>
        <v>2.34</v>
      </c>
      <c r="W1477" s="64">
        <f>Ringkasan!W1476</f>
        <v>260</v>
      </c>
      <c r="X1477" s="64">
        <f>Ringkasan!X1476</f>
        <v>266</v>
      </c>
      <c r="Y1477" s="64">
        <f>Ringkasan!Y1476</f>
        <v>258</v>
      </c>
      <c r="Z1477" s="64">
        <f>Ringkasan!Z1476</f>
        <v>46987400</v>
      </c>
      <c r="AA1477" s="64" t="str">
        <f>Ringkasan!AA1476</f>
        <v>Real Estate Management &amp; Development</v>
      </c>
      <c r="AB1477" s="64" t="str">
        <f>Ringkasan!AB1476</f>
        <v>Properties &amp; Real Estate</v>
      </c>
    </row>
    <row r="1478" hidden="1">
      <c r="A1478" s="64" t="str">
        <f>Ringkasan!A1477</f>
        <v>PWON</v>
      </c>
      <c r="B1478" s="64" t="str">
        <f>Ringkasan!B1477</f>
        <v>Pakuwon Jati Tbk.</v>
      </c>
      <c r="C1478" s="65">
        <f>Ringkasan!C1477</f>
        <v>262</v>
      </c>
      <c r="D1478" s="64" t="str">
        <f>Ringkasan!D1477</f>
        <v>#N/A</v>
      </c>
      <c r="E1478" s="64" t="str">
        <f>Ringkasan!E1477</f>
        <v>Kompas100</v>
      </c>
      <c r="F1478" s="64" t="str">
        <f>Ringkasan!F1477</f>
        <v>31 Juli 2026</v>
      </c>
      <c r="G1478" s="64">
        <f>Ringkasan!G1477</f>
        <v>12</v>
      </c>
      <c r="H1478" s="19">
        <f>Ringkasan!H1477</f>
        <v>5.7</v>
      </c>
      <c r="I1478" s="19">
        <f>Ringkasan!I1477</f>
        <v>0.52</v>
      </c>
      <c r="J1478" s="19">
        <f>Ringkasan!J1477</f>
        <v>9</v>
      </c>
      <c r="K1478" s="19">
        <f>Ringkasan!K1477</f>
        <v>6.6</v>
      </c>
      <c r="L1478" s="19">
        <f>Ringkasan!L1477</f>
        <v>0.37</v>
      </c>
      <c r="M1478" s="19">
        <f>Ringkasan!M1477</f>
        <v>150</v>
      </c>
      <c r="N1478" s="64" t="str">
        <f>Ringkasan!N1477</f>
        <v/>
      </c>
      <c r="O1478" s="64" t="str">
        <f>Ringkasan!O1477</f>
        <v/>
      </c>
      <c r="P1478" s="64" t="str">
        <f>Ringkasan!P1477</f>
        <v/>
      </c>
      <c r="Q1478" s="64" t="str">
        <f>Ringkasan!Q1477</f>
        <v/>
      </c>
      <c r="R1478" s="64" t="str">
        <f>Ringkasan!R1477</f>
        <v/>
      </c>
      <c r="S1478" s="64" t="str">
        <f>Ringkasan!S1477</f>
        <v/>
      </c>
      <c r="T1478" s="64" t="str">
        <f>Ringkasan!T1477</f>
        <v/>
      </c>
      <c r="U1478" s="64">
        <f>Ringkasan!U1477</f>
        <v>256</v>
      </c>
      <c r="V1478" s="64">
        <f>Ringkasan!V1477</f>
        <v>2.34</v>
      </c>
      <c r="W1478" s="64">
        <f>Ringkasan!W1477</f>
        <v>260</v>
      </c>
      <c r="X1478" s="64">
        <f>Ringkasan!X1477</f>
        <v>266</v>
      </c>
      <c r="Y1478" s="64">
        <f>Ringkasan!Y1477</f>
        <v>258</v>
      </c>
      <c r="Z1478" s="64">
        <f>Ringkasan!Z1477</f>
        <v>46987400</v>
      </c>
      <c r="AA1478" s="64" t="str">
        <f>Ringkasan!AA1477</f>
        <v>Real Estate Management &amp; Development</v>
      </c>
      <c r="AB1478" s="64" t="str">
        <f>Ringkasan!AB1477</f>
        <v>Properties &amp; Real Estate</v>
      </c>
    </row>
    <row r="1479" hidden="1">
      <c r="A1479" s="64" t="str">
        <f>Ringkasan!A1478</f>
        <v>PWON</v>
      </c>
      <c r="B1479" s="64" t="str">
        <f>Ringkasan!B1478</f>
        <v>Pakuwon Jati Tbk.</v>
      </c>
      <c r="C1479" s="65">
        <f>Ringkasan!C1478</f>
        <v>262</v>
      </c>
      <c r="D1479" s="64" t="str">
        <f>Ringkasan!D1478</f>
        <v>#N/A</v>
      </c>
      <c r="E1479" s="64" t="str">
        <f>Ringkasan!E1478</f>
        <v>ECONOMIC30</v>
      </c>
      <c r="F1479" s="64" t="str">
        <f>Ringkasan!F1478</f>
        <v>31 Agustus 2026</v>
      </c>
      <c r="G1479" s="64">
        <f>Ringkasan!G1478</f>
        <v>12</v>
      </c>
      <c r="H1479" s="19">
        <f>Ringkasan!H1478</f>
        <v>5.7</v>
      </c>
      <c r="I1479" s="19">
        <f>Ringkasan!I1478</f>
        <v>0.52</v>
      </c>
      <c r="J1479" s="19">
        <f>Ringkasan!J1478</f>
        <v>9</v>
      </c>
      <c r="K1479" s="19">
        <f>Ringkasan!K1478</f>
        <v>6.6</v>
      </c>
      <c r="L1479" s="19">
        <f>Ringkasan!L1478</f>
        <v>0.37</v>
      </c>
      <c r="M1479" s="19">
        <f>Ringkasan!M1478</f>
        <v>150</v>
      </c>
      <c r="N1479" s="64" t="str">
        <f>Ringkasan!N1478</f>
        <v/>
      </c>
      <c r="O1479" s="64" t="str">
        <f>Ringkasan!O1478</f>
        <v/>
      </c>
      <c r="P1479" s="64" t="str">
        <f>Ringkasan!P1478</f>
        <v/>
      </c>
      <c r="Q1479" s="64" t="str">
        <f>Ringkasan!Q1478</f>
        <v/>
      </c>
      <c r="R1479" s="64" t="str">
        <f>Ringkasan!R1478</f>
        <v/>
      </c>
      <c r="S1479" s="64" t="str">
        <f>Ringkasan!S1478</f>
        <v/>
      </c>
      <c r="T1479" s="64" t="str">
        <f>Ringkasan!T1478</f>
        <v/>
      </c>
      <c r="U1479" s="64">
        <f>Ringkasan!U1478</f>
        <v>256</v>
      </c>
      <c r="V1479" s="64">
        <f>Ringkasan!V1478</f>
        <v>2.34</v>
      </c>
      <c r="W1479" s="64">
        <f>Ringkasan!W1478</f>
        <v>260</v>
      </c>
      <c r="X1479" s="64">
        <f>Ringkasan!X1478</f>
        <v>266</v>
      </c>
      <c r="Y1479" s="64">
        <f>Ringkasan!Y1478</f>
        <v>258</v>
      </c>
      <c r="Z1479" s="64">
        <f>Ringkasan!Z1478</f>
        <v>46987400</v>
      </c>
      <c r="AA1479" s="64" t="str">
        <f>Ringkasan!AA1478</f>
        <v>Real Estate Management &amp; Development</v>
      </c>
      <c r="AB1479" s="64" t="str">
        <f>Ringkasan!AB1478</f>
        <v>Properties &amp; Real Estate</v>
      </c>
    </row>
    <row r="1480" hidden="1">
      <c r="A1480" s="64" t="str">
        <f>Ringkasan!A1479</f>
        <v>PWON</v>
      </c>
      <c r="B1480" s="64" t="str">
        <f>Ringkasan!B1479</f>
        <v>Pakuwon Jati Tbk.</v>
      </c>
      <c r="C1480" s="65">
        <f>Ringkasan!C1479</f>
        <v>262</v>
      </c>
      <c r="D1480" s="64" t="str">
        <f>Ringkasan!D1479</f>
        <v>#N/A</v>
      </c>
      <c r="E1480" s="64" t="str">
        <f>Ringkasan!E1479</f>
        <v>IDX80</v>
      </c>
      <c r="F1480" s="64" t="str">
        <f>Ringkasan!F1479</f>
        <v>31 Juli 2026</v>
      </c>
      <c r="G1480" s="64">
        <f>Ringkasan!G1479</f>
        <v>12</v>
      </c>
      <c r="H1480" s="19">
        <f>Ringkasan!H1479</f>
        <v>5.7</v>
      </c>
      <c r="I1480" s="19">
        <f>Ringkasan!I1479</f>
        <v>0.52</v>
      </c>
      <c r="J1480" s="19">
        <f>Ringkasan!J1479</f>
        <v>9</v>
      </c>
      <c r="K1480" s="19">
        <f>Ringkasan!K1479</f>
        <v>6.6</v>
      </c>
      <c r="L1480" s="19">
        <f>Ringkasan!L1479</f>
        <v>0.37</v>
      </c>
      <c r="M1480" s="19">
        <f>Ringkasan!M1479</f>
        <v>150</v>
      </c>
      <c r="N1480" s="64" t="str">
        <f>Ringkasan!N1479</f>
        <v/>
      </c>
      <c r="O1480" s="64" t="str">
        <f>Ringkasan!O1479</f>
        <v/>
      </c>
      <c r="P1480" s="64" t="str">
        <f>Ringkasan!P1479</f>
        <v/>
      </c>
      <c r="Q1480" s="64" t="str">
        <f>Ringkasan!Q1479</f>
        <v/>
      </c>
      <c r="R1480" s="64" t="str">
        <f>Ringkasan!R1479</f>
        <v/>
      </c>
      <c r="S1480" s="64" t="str">
        <f>Ringkasan!S1479</f>
        <v/>
      </c>
      <c r="T1480" s="64" t="str">
        <f>Ringkasan!T1479</f>
        <v/>
      </c>
      <c r="U1480" s="64">
        <f>Ringkasan!U1479</f>
        <v>256</v>
      </c>
      <c r="V1480" s="64">
        <f>Ringkasan!V1479</f>
        <v>2.34</v>
      </c>
      <c r="W1480" s="64">
        <f>Ringkasan!W1479</f>
        <v>260</v>
      </c>
      <c r="X1480" s="64">
        <f>Ringkasan!X1479</f>
        <v>266</v>
      </c>
      <c r="Y1480" s="64">
        <f>Ringkasan!Y1479</f>
        <v>258</v>
      </c>
      <c r="Z1480" s="64">
        <f>Ringkasan!Z1479</f>
        <v>46987400</v>
      </c>
      <c r="AA1480" s="64" t="str">
        <f>Ringkasan!AA1479</f>
        <v>Real Estate Management &amp; Development</v>
      </c>
      <c r="AB1480" s="64" t="str">
        <f>Ringkasan!AB1479</f>
        <v>Properties &amp; Real Estate</v>
      </c>
    </row>
    <row r="1481" hidden="1">
      <c r="A1481" s="64" t="str">
        <f>Ringkasan!A1480</f>
        <v>PWON</v>
      </c>
      <c r="B1481" s="64" t="str">
        <f>Ringkasan!B1480</f>
        <v>Pakuwon Jati Tbk.</v>
      </c>
      <c r="C1481" s="65">
        <f>Ringkasan!C1480</f>
        <v>262</v>
      </c>
      <c r="D1481" s="64" t="str">
        <f>Ringkasan!D1480</f>
        <v>#N/A</v>
      </c>
      <c r="E1481" s="64" t="str">
        <f>Ringkasan!E1480</f>
        <v>MNC36</v>
      </c>
      <c r="F1481" s="64" t="str">
        <f>Ringkasan!F1480</f>
        <v>30 Oktober 2026</v>
      </c>
      <c r="G1481" s="64">
        <f>Ringkasan!G1480</f>
        <v>12</v>
      </c>
      <c r="H1481" s="19">
        <f>Ringkasan!H1480</f>
        <v>5.7</v>
      </c>
      <c r="I1481" s="19">
        <f>Ringkasan!I1480</f>
        <v>0.52</v>
      </c>
      <c r="J1481" s="19">
        <f>Ringkasan!J1480</f>
        <v>9</v>
      </c>
      <c r="K1481" s="19">
        <f>Ringkasan!K1480</f>
        <v>6.6</v>
      </c>
      <c r="L1481" s="19">
        <f>Ringkasan!L1480</f>
        <v>0.37</v>
      </c>
      <c r="M1481" s="19">
        <f>Ringkasan!M1480</f>
        <v>150</v>
      </c>
      <c r="N1481" s="64" t="str">
        <f>Ringkasan!N1480</f>
        <v/>
      </c>
      <c r="O1481" s="64" t="str">
        <f>Ringkasan!O1480</f>
        <v/>
      </c>
      <c r="P1481" s="64" t="str">
        <f>Ringkasan!P1480</f>
        <v/>
      </c>
      <c r="Q1481" s="64" t="str">
        <f>Ringkasan!Q1480</f>
        <v/>
      </c>
      <c r="R1481" s="64" t="str">
        <f>Ringkasan!R1480</f>
        <v/>
      </c>
      <c r="S1481" s="64" t="str">
        <f>Ringkasan!S1480</f>
        <v/>
      </c>
      <c r="T1481" s="64" t="str">
        <f>Ringkasan!T1480</f>
        <v/>
      </c>
      <c r="U1481" s="64">
        <f>Ringkasan!U1480</f>
        <v>256</v>
      </c>
      <c r="V1481" s="64">
        <f>Ringkasan!V1480</f>
        <v>2.34</v>
      </c>
      <c r="W1481" s="64">
        <f>Ringkasan!W1480</f>
        <v>260</v>
      </c>
      <c r="X1481" s="64">
        <f>Ringkasan!X1480</f>
        <v>266</v>
      </c>
      <c r="Y1481" s="64">
        <f>Ringkasan!Y1480</f>
        <v>258</v>
      </c>
      <c r="Z1481" s="64">
        <f>Ringkasan!Z1480</f>
        <v>46987400</v>
      </c>
      <c r="AA1481" s="64" t="str">
        <f>Ringkasan!AA1480</f>
        <v>Real Estate Management &amp; Development</v>
      </c>
      <c r="AB1481" s="64" t="str">
        <f>Ringkasan!AB1480</f>
        <v>Properties &amp; Real Estate</v>
      </c>
    </row>
    <row r="1482" hidden="1">
      <c r="A1482" s="64" t="str">
        <f>Ringkasan!A1481</f>
        <v>PWON</v>
      </c>
      <c r="B1482" s="64" t="str">
        <f>Ringkasan!B1481</f>
        <v>Pakuwon Jati Tbk.</v>
      </c>
      <c r="C1482" s="65">
        <f>Ringkasan!C1481</f>
        <v>262</v>
      </c>
      <c r="D1482" s="64" t="str">
        <f>Ringkasan!D1481</f>
        <v>#N/A</v>
      </c>
      <c r="E1482" s="64" t="str">
        <f>Ringkasan!E1481</f>
        <v>IDXESGL</v>
      </c>
      <c r="F1482" s="64" t="str">
        <f>Ringkasan!F1481</f>
        <v>30 Oktober 2026</v>
      </c>
      <c r="G1482" s="64">
        <f>Ringkasan!G1481</f>
        <v>12</v>
      </c>
      <c r="H1482" s="19">
        <f>Ringkasan!H1481</f>
        <v>5.7</v>
      </c>
      <c r="I1482" s="19">
        <f>Ringkasan!I1481</f>
        <v>0.52</v>
      </c>
      <c r="J1482" s="19">
        <f>Ringkasan!J1481</f>
        <v>9</v>
      </c>
      <c r="K1482" s="19">
        <f>Ringkasan!K1481</f>
        <v>6.6</v>
      </c>
      <c r="L1482" s="19">
        <f>Ringkasan!L1481</f>
        <v>0.37</v>
      </c>
      <c r="M1482" s="19">
        <f>Ringkasan!M1481</f>
        <v>150</v>
      </c>
      <c r="N1482" s="64" t="str">
        <f>Ringkasan!N1481</f>
        <v/>
      </c>
      <c r="O1482" s="64" t="str">
        <f>Ringkasan!O1481</f>
        <v/>
      </c>
      <c r="P1482" s="64" t="str">
        <f>Ringkasan!P1481</f>
        <v/>
      </c>
      <c r="Q1482" s="64" t="str">
        <f>Ringkasan!Q1481</f>
        <v/>
      </c>
      <c r="R1482" s="64" t="str">
        <f>Ringkasan!R1481</f>
        <v/>
      </c>
      <c r="S1482" s="64" t="str">
        <f>Ringkasan!S1481</f>
        <v/>
      </c>
      <c r="T1482" s="64" t="str">
        <f>Ringkasan!T1481</f>
        <v/>
      </c>
      <c r="U1482" s="64">
        <f>Ringkasan!U1481</f>
        <v>256</v>
      </c>
      <c r="V1482" s="64">
        <f>Ringkasan!V1481</f>
        <v>2.34</v>
      </c>
      <c r="W1482" s="64">
        <f>Ringkasan!W1481</f>
        <v>260</v>
      </c>
      <c r="X1482" s="64">
        <f>Ringkasan!X1481</f>
        <v>266</v>
      </c>
      <c r="Y1482" s="64">
        <f>Ringkasan!Y1481</f>
        <v>258</v>
      </c>
      <c r="Z1482" s="64">
        <f>Ringkasan!Z1481</f>
        <v>46987400</v>
      </c>
      <c r="AA1482" s="64" t="str">
        <f>Ringkasan!AA1481</f>
        <v>Real Estate Management &amp; Development</v>
      </c>
      <c r="AB1482" s="64" t="str">
        <f>Ringkasan!AB1481</f>
        <v>Properties &amp; Real Estate</v>
      </c>
    </row>
    <row r="1483" hidden="1">
      <c r="A1483" s="64" t="str">
        <f>Ringkasan!A1482</f>
        <v>PWON</v>
      </c>
      <c r="B1483" s="64" t="str">
        <f>Ringkasan!B1482</f>
        <v>Pakuwon Jati Tbk.</v>
      </c>
      <c r="C1483" s="65">
        <f>Ringkasan!C1482</f>
        <v>262</v>
      </c>
      <c r="D1483" s="64" t="str">
        <f>Ringkasan!D1482</f>
        <v>#N/A</v>
      </c>
      <c r="E1483" s="64" t="str">
        <f>Ringkasan!E1482</f>
        <v>IDXV30</v>
      </c>
      <c r="F1483" s="64" t="str">
        <f>Ringkasan!F1482</f>
        <v>4 Agustus 2026</v>
      </c>
      <c r="G1483" s="64">
        <f>Ringkasan!G1482</f>
        <v>12</v>
      </c>
      <c r="H1483" s="19">
        <f>Ringkasan!H1482</f>
        <v>5.7</v>
      </c>
      <c r="I1483" s="19">
        <f>Ringkasan!I1482</f>
        <v>0.52</v>
      </c>
      <c r="J1483" s="19">
        <f>Ringkasan!J1482</f>
        <v>9</v>
      </c>
      <c r="K1483" s="19">
        <f>Ringkasan!K1482</f>
        <v>6.6</v>
      </c>
      <c r="L1483" s="19">
        <f>Ringkasan!L1482</f>
        <v>0.37</v>
      </c>
      <c r="M1483" s="19">
        <f>Ringkasan!M1482</f>
        <v>150</v>
      </c>
      <c r="N1483" s="64" t="str">
        <f>Ringkasan!N1482</f>
        <v/>
      </c>
      <c r="O1483" s="64" t="str">
        <f>Ringkasan!O1482</f>
        <v/>
      </c>
      <c r="P1483" s="64" t="str">
        <f>Ringkasan!P1482</f>
        <v/>
      </c>
      <c r="Q1483" s="64" t="str">
        <f>Ringkasan!Q1482</f>
        <v/>
      </c>
      <c r="R1483" s="64" t="str">
        <f>Ringkasan!R1482</f>
        <v/>
      </c>
      <c r="S1483" s="64" t="str">
        <f>Ringkasan!S1482</f>
        <v/>
      </c>
      <c r="T1483" s="64" t="str">
        <f>Ringkasan!T1482</f>
        <v/>
      </c>
      <c r="U1483" s="64">
        <f>Ringkasan!U1482</f>
        <v>256</v>
      </c>
      <c r="V1483" s="64">
        <f>Ringkasan!V1482</f>
        <v>2.34</v>
      </c>
      <c r="W1483" s="64">
        <f>Ringkasan!W1482</f>
        <v>260</v>
      </c>
      <c r="X1483" s="64">
        <f>Ringkasan!X1482</f>
        <v>266</v>
      </c>
      <c r="Y1483" s="64">
        <f>Ringkasan!Y1482</f>
        <v>258</v>
      </c>
      <c r="Z1483" s="64">
        <f>Ringkasan!Z1482</f>
        <v>46987400</v>
      </c>
      <c r="AA1483" s="64" t="str">
        <f>Ringkasan!AA1482</f>
        <v>Real Estate Management &amp; Development</v>
      </c>
      <c r="AB1483" s="64" t="str">
        <f>Ringkasan!AB1482</f>
        <v>Properties &amp; Real Estate</v>
      </c>
    </row>
    <row r="1484" hidden="1">
      <c r="A1484" s="64" t="str">
        <f>Ringkasan!A1483</f>
        <v>PWON</v>
      </c>
      <c r="B1484" s="64" t="str">
        <f>Ringkasan!B1483</f>
        <v>Pakuwon Jati Tbk.</v>
      </c>
      <c r="C1484" s="65">
        <f>Ringkasan!C1483</f>
        <v>262</v>
      </c>
      <c r="D1484" s="64" t="str">
        <f>Ringkasan!D1483</f>
        <v>#N/A</v>
      </c>
      <c r="E1484" s="64" t="str">
        <f>Ringkasan!E1483</f>
        <v>IDXSMC-LIQ</v>
      </c>
      <c r="F1484" s="64" t="str">
        <f>Ringkasan!F1483</f>
        <v>4 Agustus 2026</v>
      </c>
      <c r="G1484" s="64">
        <f>Ringkasan!G1483</f>
        <v>12</v>
      </c>
      <c r="H1484" s="19">
        <f>Ringkasan!H1483</f>
        <v>5.7</v>
      </c>
      <c r="I1484" s="19">
        <f>Ringkasan!I1483</f>
        <v>0.52</v>
      </c>
      <c r="J1484" s="19">
        <f>Ringkasan!J1483</f>
        <v>9</v>
      </c>
      <c r="K1484" s="19">
        <f>Ringkasan!K1483</f>
        <v>6.6</v>
      </c>
      <c r="L1484" s="19">
        <f>Ringkasan!L1483</f>
        <v>0.37</v>
      </c>
      <c r="M1484" s="19">
        <f>Ringkasan!M1483</f>
        <v>150</v>
      </c>
      <c r="N1484" s="64" t="str">
        <f>Ringkasan!N1483</f>
        <v/>
      </c>
      <c r="O1484" s="64" t="str">
        <f>Ringkasan!O1483</f>
        <v/>
      </c>
      <c r="P1484" s="64" t="str">
        <f>Ringkasan!P1483</f>
        <v/>
      </c>
      <c r="Q1484" s="64" t="str">
        <f>Ringkasan!Q1483</f>
        <v/>
      </c>
      <c r="R1484" s="64" t="str">
        <f>Ringkasan!R1483</f>
        <v/>
      </c>
      <c r="S1484" s="64" t="str">
        <f>Ringkasan!S1483</f>
        <v/>
      </c>
      <c r="T1484" s="64" t="str">
        <f>Ringkasan!T1483</f>
        <v/>
      </c>
      <c r="U1484" s="64">
        <f>Ringkasan!U1483</f>
        <v>256</v>
      </c>
      <c r="V1484" s="64">
        <f>Ringkasan!V1483</f>
        <v>2.34</v>
      </c>
      <c r="W1484" s="64">
        <f>Ringkasan!W1483</f>
        <v>260</v>
      </c>
      <c r="X1484" s="64">
        <f>Ringkasan!X1483</f>
        <v>266</v>
      </c>
      <c r="Y1484" s="64">
        <f>Ringkasan!Y1483</f>
        <v>258</v>
      </c>
      <c r="Z1484" s="64">
        <f>Ringkasan!Z1483</f>
        <v>46987400</v>
      </c>
      <c r="AA1484" s="64" t="str">
        <f>Ringkasan!AA1483</f>
        <v>Real Estate Management &amp; Development</v>
      </c>
      <c r="AB1484" s="64" t="str">
        <f>Ringkasan!AB1483</f>
        <v>Properties &amp; Real Estate</v>
      </c>
    </row>
    <row r="1485" hidden="1">
      <c r="A1485" s="64" t="str">
        <f>Ringkasan!A1484</f>
        <v>PWON</v>
      </c>
      <c r="B1485" s="64" t="str">
        <f>Ringkasan!B1484</f>
        <v>Pakuwon Jati Tbk.</v>
      </c>
      <c r="C1485" s="65">
        <f>Ringkasan!C1484</f>
        <v>262</v>
      </c>
      <c r="D1485" s="64" t="str">
        <f>Ringkasan!D1484</f>
        <v>#N/A</v>
      </c>
      <c r="E1485" s="64" t="str">
        <f>Ringkasan!E1484</f>
        <v>MSCI Small Cap</v>
      </c>
      <c r="F1485" s="64" t="str">
        <f>Ringkasan!F1484</f>
        <v>12 Agustus 2026</v>
      </c>
      <c r="G1485" s="64">
        <f>Ringkasan!G1484</f>
        <v>12</v>
      </c>
      <c r="H1485" s="19">
        <f>Ringkasan!H1484</f>
        <v>5.7</v>
      </c>
      <c r="I1485" s="19">
        <f>Ringkasan!I1484</f>
        <v>0.52</v>
      </c>
      <c r="J1485" s="19">
        <f>Ringkasan!J1484</f>
        <v>9</v>
      </c>
      <c r="K1485" s="19">
        <f>Ringkasan!K1484</f>
        <v>6.6</v>
      </c>
      <c r="L1485" s="19">
        <f>Ringkasan!L1484</f>
        <v>0.37</v>
      </c>
      <c r="M1485" s="19">
        <f>Ringkasan!M1484</f>
        <v>150</v>
      </c>
      <c r="N1485" s="64" t="str">
        <f>Ringkasan!N1484</f>
        <v/>
      </c>
      <c r="O1485" s="64" t="str">
        <f>Ringkasan!O1484</f>
        <v/>
      </c>
      <c r="P1485" s="64" t="str">
        <f>Ringkasan!P1484</f>
        <v/>
      </c>
      <c r="Q1485" s="64" t="str">
        <f>Ringkasan!Q1484</f>
        <v/>
      </c>
      <c r="R1485" s="64" t="str">
        <f>Ringkasan!R1484</f>
        <v/>
      </c>
      <c r="S1485" s="64" t="str">
        <f>Ringkasan!S1484</f>
        <v/>
      </c>
      <c r="T1485" s="64" t="str">
        <f>Ringkasan!T1484</f>
        <v/>
      </c>
      <c r="U1485" s="64">
        <f>Ringkasan!U1484</f>
        <v>256</v>
      </c>
      <c r="V1485" s="64">
        <f>Ringkasan!V1484</f>
        <v>2.34</v>
      </c>
      <c r="W1485" s="64">
        <f>Ringkasan!W1484</f>
        <v>260</v>
      </c>
      <c r="X1485" s="64">
        <f>Ringkasan!X1484</f>
        <v>266</v>
      </c>
      <c r="Y1485" s="64">
        <f>Ringkasan!Y1484</f>
        <v>258</v>
      </c>
      <c r="Z1485" s="64">
        <f>Ringkasan!Z1484</f>
        <v>46987400</v>
      </c>
      <c r="AA1485" s="64" t="str">
        <f>Ringkasan!AA1484</f>
        <v>Real Estate Management &amp; Development</v>
      </c>
      <c r="AB1485" s="64" t="str">
        <f>Ringkasan!AB1484</f>
        <v>Properties &amp; Real Estate</v>
      </c>
    </row>
    <row r="1486" hidden="1">
      <c r="A1486" s="64" t="str">
        <f>Ringkasan!A1485</f>
        <v>PWON</v>
      </c>
      <c r="B1486" s="64" t="str">
        <f>Ringkasan!B1485</f>
        <v>Pakuwon Jati Tbk.</v>
      </c>
      <c r="C1486" s="65">
        <f>Ringkasan!C1485</f>
        <v>262</v>
      </c>
      <c r="D1486" s="64" t="str">
        <f>Ringkasan!D1485</f>
        <v>#N/A</v>
      </c>
      <c r="E1486" s="64" t="str">
        <f>Ringkasan!E1485</f>
        <v>SRI-KEHATI</v>
      </c>
      <c r="F1486" s="66">
        <f>Ringkasan!F1485</f>
        <v>46356</v>
      </c>
      <c r="G1486" s="64">
        <f>Ringkasan!G1485</f>
        <v>12</v>
      </c>
      <c r="H1486" s="19">
        <f>Ringkasan!H1485</f>
        <v>5.7</v>
      </c>
      <c r="I1486" s="19">
        <f>Ringkasan!I1485</f>
        <v>0.52</v>
      </c>
      <c r="J1486" s="19">
        <f>Ringkasan!J1485</f>
        <v>9</v>
      </c>
      <c r="K1486" s="19">
        <f>Ringkasan!K1485</f>
        <v>6.6</v>
      </c>
      <c r="L1486" s="19">
        <f>Ringkasan!L1485</f>
        <v>0.37</v>
      </c>
      <c r="M1486" s="19">
        <f>Ringkasan!M1485</f>
        <v>150</v>
      </c>
      <c r="N1486" s="64" t="str">
        <f>Ringkasan!N1485</f>
        <v/>
      </c>
      <c r="O1486" s="64" t="str">
        <f>Ringkasan!O1485</f>
        <v/>
      </c>
      <c r="P1486" s="64" t="str">
        <f>Ringkasan!P1485</f>
        <v/>
      </c>
      <c r="Q1486" s="64" t="str">
        <f>Ringkasan!Q1485</f>
        <v/>
      </c>
      <c r="R1486" s="64" t="str">
        <f>Ringkasan!R1485</f>
        <v/>
      </c>
      <c r="S1486" s="64" t="str">
        <f>Ringkasan!S1485</f>
        <v/>
      </c>
      <c r="T1486" s="64" t="str">
        <f>Ringkasan!T1485</f>
        <v/>
      </c>
      <c r="U1486" s="64">
        <f>Ringkasan!U1485</f>
        <v>256</v>
      </c>
      <c r="V1486" s="64">
        <f>Ringkasan!V1485</f>
        <v>2.34</v>
      </c>
      <c r="W1486" s="64">
        <f>Ringkasan!W1485</f>
        <v>260</v>
      </c>
      <c r="X1486" s="64">
        <f>Ringkasan!X1485</f>
        <v>266</v>
      </c>
      <c r="Y1486" s="64">
        <f>Ringkasan!Y1485</f>
        <v>258</v>
      </c>
      <c r="Z1486" s="64">
        <f>Ringkasan!Z1485</f>
        <v>46987400</v>
      </c>
      <c r="AA1486" s="64" t="str">
        <f>Ringkasan!AA1485</f>
        <v>Real Estate Management &amp; Development</v>
      </c>
      <c r="AB1486" s="64" t="str">
        <f>Ringkasan!AB1485</f>
        <v>Properties &amp; Real Estate</v>
      </c>
    </row>
    <row r="1487" hidden="1">
      <c r="A1487" s="64" t="str">
        <f>Ringkasan!A1486</f>
        <v>PYFA</v>
      </c>
      <c r="B1487" s="64" t="str">
        <f>Ringkasan!B1486</f>
        <v>Pyridam Farma Tbk</v>
      </c>
      <c r="C1487" s="65">
        <f>Ringkasan!C1486</f>
        <v>194</v>
      </c>
      <c r="D1487" s="64" t="str">
        <f>Ringkasan!D1486</f>
        <v>#N/A</v>
      </c>
      <c r="E1487" s="64" t="str">
        <f>Ringkasan!E1486</f>
        <v/>
      </c>
      <c r="F1487" s="64" t="str">
        <f>Ringkasan!F1486</f>
        <v/>
      </c>
      <c r="G1487" s="64">
        <f>Ringkasan!G1486</f>
        <v>0</v>
      </c>
      <c r="H1487" s="19">
        <f>Ringkasan!H1486</f>
        <v>-6.9</v>
      </c>
      <c r="I1487" s="19">
        <f>Ringkasan!I1486</f>
        <v>2.7</v>
      </c>
      <c r="J1487" s="19">
        <f>Ringkasan!J1486</f>
        <v>-38.5</v>
      </c>
      <c r="K1487" s="19">
        <f>Ringkasan!K1486</f>
        <v>-5.6</v>
      </c>
      <c r="L1487" s="19">
        <f>Ringkasan!L1486</f>
        <v>5.9</v>
      </c>
      <c r="M1487" s="19">
        <f>Ringkasan!M1486</f>
        <v>-13.8</v>
      </c>
      <c r="N1487" s="64" t="str">
        <f>Ringkasan!N1486</f>
        <v/>
      </c>
      <c r="O1487" s="64" t="str">
        <f>Ringkasan!O1486</f>
        <v/>
      </c>
      <c r="P1487" s="64" t="str">
        <f>Ringkasan!P1486</f>
        <v/>
      </c>
      <c r="Q1487" s="64" t="str">
        <f>Ringkasan!Q1486</f>
        <v/>
      </c>
      <c r="R1487" s="64" t="str">
        <f>Ringkasan!R1486</f>
        <v/>
      </c>
      <c r="S1487" s="64" t="str">
        <f>Ringkasan!S1486</f>
        <v/>
      </c>
      <c r="T1487" s="64" t="str">
        <f>Ringkasan!T1486</f>
        <v/>
      </c>
      <c r="U1487" s="64">
        <f>Ringkasan!U1486</f>
        <v>193</v>
      </c>
      <c r="V1487" s="64">
        <f>Ringkasan!V1486</f>
        <v>0.52</v>
      </c>
      <c r="W1487" s="64">
        <f>Ringkasan!W1486</f>
        <v>184</v>
      </c>
      <c r="X1487" s="64">
        <f>Ringkasan!X1486</f>
        <v>197</v>
      </c>
      <c r="Y1487" s="64">
        <f>Ringkasan!Y1486</f>
        <v>176</v>
      </c>
      <c r="Z1487" s="64">
        <f>Ringkasan!Z1486</f>
        <v>26450300</v>
      </c>
      <c r="AA1487" s="64" t="str">
        <f>Ringkasan!AA1486</f>
        <v>Pharmaceuticals</v>
      </c>
      <c r="AB1487" s="64" t="str">
        <f>Ringkasan!AB1486</f>
        <v>Healthcare</v>
      </c>
    </row>
    <row r="1488" hidden="1">
      <c r="A1488" s="64" t="str">
        <f>Ringkasan!A1487</f>
        <v>PZZA</v>
      </c>
      <c r="B1488" s="64" t="str">
        <f>Ringkasan!B1487</f>
        <v>Sarimelati Kencana Tbk.</v>
      </c>
      <c r="C1488" s="65">
        <f>Ringkasan!C1487</f>
        <v>188</v>
      </c>
      <c r="D1488" s="64" t="str">
        <f>Ringkasan!D1487</f>
        <v>#N/A</v>
      </c>
      <c r="E1488" s="64" t="str">
        <f>Ringkasan!E1487</f>
        <v/>
      </c>
      <c r="F1488" s="64" t="str">
        <f>Ringkasan!F1487</f>
        <v/>
      </c>
      <c r="G1488" s="64">
        <f>Ringkasan!G1487</f>
        <v>0</v>
      </c>
      <c r="H1488" s="19">
        <f>Ringkasan!H1487</f>
        <v>18.9</v>
      </c>
      <c r="I1488" s="19">
        <f>Ringkasan!I1487</f>
        <v>0.55</v>
      </c>
      <c r="J1488" s="19">
        <f>Ringkasan!J1487</f>
        <v>2.9</v>
      </c>
      <c r="K1488" s="19">
        <f>Ringkasan!K1487</f>
        <v>1.6</v>
      </c>
      <c r="L1488" s="19">
        <f>Ringkasan!L1487</f>
        <v>0.82</v>
      </c>
      <c r="M1488" s="19">
        <f>Ringkasan!M1487</f>
        <v>4.2</v>
      </c>
      <c r="N1488" s="64" t="str">
        <f>Ringkasan!N1487</f>
        <v/>
      </c>
      <c r="O1488" s="64" t="str">
        <f>Ringkasan!O1487</f>
        <v/>
      </c>
      <c r="P1488" s="64" t="str">
        <f>Ringkasan!P1487</f>
        <v/>
      </c>
      <c r="Q1488" s="64" t="str">
        <f>Ringkasan!Q1487</f>
        <v/>
      </c>
      <c r="R1488" s="64" t="str">
        <f>Ringkasan!R1487</f>
        <v/>
      </c>
      <c r="S1488" s="64" t="str">
        <f>Ringkasan!S1487</f>
        <v/>
      </c>
      <c r="T1488" s="64" t="str">
        <f>Ringkasan!T1487</f>
        <v/>
      </c>
      <c r="U1488" s="64">
        <f>Ringkasan!U1487</f>
        <v>32.34</v>
      </c>
      <c r="V1488" s="64">
        <f>Ringkasan!V1487</f>
        <v>0.8</v>
      </c>
      <c r="W1488" s="64">
        <f>Ringkasan!W1487</f>
        <v>32.34</v>
      </c>
      <c r="X1488" s="64">
        <f>Ringkasan!X1487</f>
        <v>33.28</v>
      </c>
      <c r="Y1488" s="64">
        <f>Ringkasan!Y1487</f>
        <v>32.12</v>
      </c>
      <c r="Z1488" s="64">
        <f>Ringkasan!Z1487</f>
        <v>827490</v>
      </c>
      <c r="AA1488" s="64" t="str">
        <f>Ringkasan!AA1487</f>
        <v>Tourism &amp; Recreation</v>
      </c>
      <c r="AB1488" s="64" t="str">
        <f>Ringkasan!AB1487</f>
        <v>Consumer Cyclicals</v>
      </c>
    </row>
    <row r="1489" hidden="1">
      <c r="A1489" s="64" t="str">
        <f>Ringkasan!A1488</f>
        <v>RAAM</v>
      </c>
      <c r="B1489" s="64" t="str">
        <f>Ringkasan!B1488</f>
        <v>PT Tripar Multivision Plus Tbk.</v>
      </c>
      <c r="C1489" s="65">
        <f>Ringkasan!C1488</f>
        <v>208</v>
      </c>
      <c r="D1489" s="64" t="str">
        <f>Ringkasan!D1488</f>
        <v>#N/A</v>
      </c>
      <c r="E1489" s="64" t="str">
        <f>Ringkasan!E1488</f>
        <v/>
      </c>
      <c r="F1489" s="64" t="str">
        <f>Ringkasan!F1488</f>
        <v/>
      </c>
      <c r="G1489" s="64">
        <f>Ringkasan!G1488</f>
        <v>0</v>
      </c>
      <c r="H1489" s="19">
        <f>Ringkasan!H1488</f>
        <v>-19</v>
      </c>
      <c r="I1489" s="19">
        <f>Ringkasan!I1488</f>
        <v>1</v>
      </c>
      <c r="J1489" s="19">
        <f>Ringkasan!J1488</f>
        <v>-5.4</v>
      </c>
      <c r="K1489" s="19">
        <f>Ringkasan!K1488</f>
        <v>-4.1</v>
      </c>
      <c r="L1489" s="19">
        <f>Ringkasan!L1488</f>
        <v>0.32</v>
      </c>
      <c r="M1489" s="19">
        <f>Ringkasan!M1488</f>
        <v>-150</v>
      </c>
      <c r="N1489" s="64" t="str">
        <f>Ringkasan!N1488</f>
        <v/>
      </c>
      <c r="O1489" s="64" t="str">
        <f>Ringkasan!O1488</f>
        <v/>
      </c>
      <c r="P1489" s="64" t="str">
        <f>Ringkasan!P1488</f>
        <v/>
      </c>
      <c r="Q1489" s="64" t="str">
        <f>Ringkasan!Q1488</f>
        <v/>
      </c>
      <c r="R1489" s="64" t="str">
        <f>Ringkasan!R1488</f>
        <v/>
      </c>
      <c r="S1489" s="64" t="str">
        <f>Ringkasan!S1488</f>
        <v/>
      </c>
      <c r="T1489" s="64" t="str">
        <f>Ringkasan!T1488</f>
        <v/>
      </c>
      <c r="U1489" s="64">
        <f>Ringkasan!U1488</f>
        <v>214</v>
      </c>
      <c r="V1489" s="64">
        <f>Ringkasan!V1488</f>
        <v>-2.8</v>
      </c>
      <c r="W1489" s="64">
        <f>Ringkasan!W1488</f>
        <v>214</v>
      </c>
      <c r="X1489" s="64">
        <f>Ringkasan!X1488</f>
        <v>220</v>
      </c>
      <c r="Y1489" s="64">
        <f>Ringkasan!Y1488</f>
        <v>206</v>
      </c>
      <c r="Z1489" s="64">
        <f>Ringkasan!Z1488</f>
        <v>862400</v>
      </c>
      <c r="AA1489" s="64" t="str">
        <f>Ringkasan!AA1488</f>
        <v>Entertainment &amp; Movie Production</v>
      </c>
      <c r="AB1489" s="64" t="str">
        <f>Ringkasan!AB1488</f>
        <v>Consumer Cyclicals</v>
      </c>
    </row>
    <row r="1490" hidden="1">
      <c r="A1490" s="64" t="str">
        <f>Ringkasan!A1489</f>
        <v>RAFI</v>
      </c>
      <c r="B1490" s="64" t="str">
        <f>Ringkasan!B1489</f>
        <v>Sari Kreasi Boga Tbk.</v>
      </c>
      <c r="C1490" s="65">
        <f>Ringkasan!C1489</f>
        <v>36</v>
      </c>
      <c r="D1490" s="64" t="str">
        <f>Ringkasan!D1489</f>
        <v>#N/A</v>
      </c>
      <c r="E1490" s="64" t="str">
        <f>Ringkasan!E1489</f>
        <v/>
      </c>
      <c r="F1490" s="64" t="str">
        <f>Ringkasan!F1489</f>
        <v/>
      </c>
      <c r="G1490" s="64">
        <f>Ringkasan!G1489</f>
        <v>0</v>
      </c>
      <c r="H1490" s="19">
        <f>Ringkasan!H1489</f>
        <v>-2.1</v>
      </c>
      <c r="I1490" s="19">
        <f>Ringkasan!I1489</f>
        <v>0.39</v>
      </c>
      <c r="J1490" s="19">
        <f>Ringkasan!J1489</f>
        <v>-18.6</v>
      </c>
      <c r="K1490" s="19">
        <f>Ringkasan!K1489</f>
        <v>-12.2</v>
      </c>
      <c r="L1490" s="19">
        <f>Ringkasan!L1489</f>
        <v>0.52</v>
      </c>
      <c r="M1490" s="19">
        <f>Ringkasan!M1489</f>
        <v>-39.9</v>
      </c>
      <c r="N1490" s="64" t="str">
        <f>Ringkasan!N1489</f>
        <v/>
      </c>
      <c r="O1490" s="64" t="str">
        <f>Ringkasan!O1489</f>
        <v/>
      </c>
      <c r="P1490" s="64" t="str">
        <f>Ringkasan!P1489</f>
        <v/>
      </c>
      <c r="Q1490" s="64" t="str">
        <f>Ringkasan!Q1489</f>
        <v/>
      </c>
      <c r="R1490" s="64" t="str">
        <f>Ringkasan!R1489</f>
        <v/>
      </c>
      <c r="S1490" s="64" t="str">
        <f>Ringkasan!S1489</f>
        <v/>
      </c>
      <c r="T1490" s="64" t="str">
        <f>Ringkasan!T1489</f>
        <v/>
      </c>
      <c r="U1490" s="64">
        <f>Ringkasan!U1489</f>
        <v>4.16</v>
      </c>
      <c r="V1490" s="64">
        <f>Ringkasan!V1489</f>
        <v>-0.48</v>
      </c>
      <c r="W1490" s="64">
        <f>Ringkasan!W1489</f>
        <v>4.26</v>
      </c>
      <c r="X1490" s="64">
        <f>Ringkasan!X1489</f>
        <v>4.26</v>
      </c>
      <c r="Y1490" s="64">
        <f>Ringkasan!Y1489</f>
        <v>4.14</v>
      </c>
      <c r="Z1490" s="64">
        <f>Ringkasan!Z1489</f>
        <v>2000</v>
      </c>
      <c r="AA1490" s="64" t="str">
        <f>Ringkasan!AA1489</f>
        <v>Tourism &amp; Recreation</v>
      </c>
      <c r="AB1490" s="64" t="str">
        <f>Ringkasan!AB1489</f>
        <v>Consumer Cyclicals</v>
      </c>
    </row>
    <row r="1491" hidden="1">
      <c r="A1491" s="64" t="str">
        <f>Ringkasan!A1490</f>
        <v>RAJA</v>
      </c>
      <c r="B1491" s="64" t="str">
        <f>Ringkasan!B1490</f>
        <v>Rukun Raharja Tbk.</v>
      </c>
      <c r="C1491" s="65">
        <f>Ringkasan!C1490</f>
        <v>3750</v>
      </c>
      <c r="D1491" s="64" t="str">
        <f>Ringkasan!D1490</f>
        <v>#N/A</v>
      </c>
      <c r="E1491" s="64" t="str">
        <f>Ringkasan!E1490</f>
        <v>JII30</v>
      </c>
      <c r="F1491" s="66">
        <f>Ringkasan!F1490</f>
        <v>46356</v>
      </c>
      <c r="G1491" s="65">
        <f>Ringkasan!G1490</f>
        <v>6</v>
      </c>
      <c r="H1491" s="19">
        <f>Ringkasan!H1490</f>
        <v>32.1</v>
      </c>
      <c r="I1491" s="19">
        <f>Ringkasan!I1490</f>
        <v>3.6</v>
      </c>
      <c r="J1491" s="19">
        <f>Ringkasan!J1490</f>
        <v>11.2</v>
      </c>
      <c r="K1491" s="19">
        <f>Ringkasan!K1490</f>
        <v>5.6</v>
      </c>
      <c r="L1491" s="19">
        <f>Ringkasan!L1490</f>
        <v>0.99</v>
      </c>
      <c r="M1491" s="19">
        <f>Ringkasan!M1490</f>
        <v>52.4</v>
      </c>
      <c r="N1491" s="64" t="str">
        <f>Ringkasan!N1490</f>
        <v/>
      </c>
      <c r="O1491" s="64" t="str">
        <f>Ringkasan!O1490</f>
        <v/>
      </c>
      <c r="P1491" s="64" t="str">
        <f>Ringkasan!P1490</f>
        <v/>
      </c>
      <c r="Q1491" s="64" t="str">
        <f>Ringkasan!Q1490</f>
        <v/>
      </c>
      <c r="R1491" s="64" t="str">
        <f>Ringkasan!R1490</f>
        <v/>
      </c>
      <c r="S1491" s="64" t="str">
        <f>Ringkasan!S1490</f>
        <v/>
      </c>
      <c r="T1491" s="64" t="str">
        <f>Ringkasan!T1490</f>
        <v/>
      </c>
      <c r="U1491" s="64">
        <f>Ringkasan!U1490</f>
        <v>3600</v>
      </c>
      <c r="V1491" s="64">
        <f>Ringkasan!V1490</f>
        <v>4.17</v>
      </c>
      <c r="W1491" s="64">
        <f>Ringkasan!W1490</f>
        <v>3670</v>
      </c>
      <c r="X1491" s="64" t="str">
        <f>Ringkasan!X1490</f>
        <v/>
      </c>
      <c r="Y1491" s="64">
        <f>Ringkasan!Y1490</f>
        <v>3660</v>
      </c>
      <c r="Z1491" s="64">
        <f>Ringkasan!Z1490</f>
        <v>38346600</v>
      </c>
      <c r="AA1491" s="64" t="str">
        <f>Ringkasan!AA1490</f>
        <v>Oil &amp; Gas</v>
      </c>
      <c r="AB1491" s="64" t="str">
        <f>Ringkasan!AB1490</f>
        <v>Energy</v>
      </c>
    </row>
    <row r="1492" hidden="1">
      <c r="A1492" s="64" t="str">
        <f>Ringkasan!A1491</f>
        <v>RAJA</v>
      </c>
      <c r="B1492" s="64" t="str">
        <f>Ringkasan!B1491</f>
        <v>Rukun Raharja Tbk.</v>
      </c>
      <c r="C1492" s="65">
        <f>Ringkasan!C1491</f>
        <v>3750</v>
      </c>
      <c r="D1492" s="64" t="str">
        <f>Ringkasan!D1491</f>
        <v>#N/A</v>
      </c>
      <c r="E1492" s="64" t="str">
        <f>Ringkasan!E1491</f>
        <v>JII70</v>
      </c>
      <c r="F1492" s="66">
        <f>Ringkasan!F1491</f>
        <v>46356</v>
      </c>
      <c r="G1492" s="65">
        <f>Ringkasan!G1491</f>
        <v>6</v>
      </c>
      <c r="H1492" s="19">
        <f>Ringkasan!H1491</f>
        <v>32.1</v>
      </c>
      <c r="I1492" s="19">
        <f>Ringkasan!I1491</f>
        <v>3.6</v>
      </c>
      <c r="J1492" s="19">
        <f>Ringkasan!J1491</f>
        <v>11.2</v>
      </c>
      <c r="K1492" s="19">
        <f>Ringkasan!K1491</f>
        <v>5.6</v>
      </c>
      <c r="L1492" s="19">
        <f>Ringkasan!L1491</f>
        <v>0.99</v>
      </c>
      <c r="M1492" s="19">
        <f>Ringkasan!M1491</f>
        <v>52.4</v>
      </c>
      <c r="N1492" s="64" t="str">
        <f>Ringkasan!N1491</f>
        <v/>
      </c>
      <c r="O1492" s="64" t="str">
        <f>Ringkasan!O1491</f>
        <v/>
      </c>
      <c r="P1492" s="64" t="str">
        <f>Ringkasan!P1491</f>
        <v/>
      </c>
      <c r="Q1492" s="64" t="str">
        <f>Ringkasan!Q1491</f>
        <v/>
      </c>
      <c r="R1492" s="64" t="str">
        <f>Ringkasan!R1491</f>
        <v/>
      </c>
      <c r="S1492" s="64" t="str">
        <f>Ringkasan!S1491</f>
        <v/>
      </c>
      <c r="T1492" s="64" t="str">
        <f>Ringkasan!T1491</f>
        <v/>
      </c>
      <c r="U1492" s="64">
        <f>Ringkasan!U1491</f>
        <v>3600</v>
      </c>
      <c r="V1492" s="64">
        <f>Ringkasan!V1491</f>
        <v>4.17</v>
      </c>
      <c r="W1492" s="64">
        <f>Ringkasan!W1491</f>
        <v>3670</v>
      </c>
      <c r="X1492" s="64" t="str">
        <f>Ringkasan!X1491</f>
        <v/>
      </c>
      <c r="Y1492" s="64">
        <f>Ringkasan!Y1491</f>
        <v>3660</v>
      </c>
      <c r="Z1492" s="64">
        <f>Ringkasan!Z1491</f>
        <v>38346600</v>
      </c>
      <c r="AA1492" s="64" t="str">
        <f>Ringkasan!AA1491</f>
        <v>Oil &amp; Gas</v>
      </c>
      <c r="AB1492" s="64" t="str">
        <f>Ringkasan!AB1491</f>
        <v>Energy</v>
      </c>
    </row>
    <row r="1493" hidden="1">
      <c r="A1493" s="64" t="str">
        <f>Ringkasan!A1492</f>
        <v>RAJA</v>
      </c>
      <c r="B1493" s="64" t="str">
        <f>Ringkasan!B1492</f>
        <v>Rukun Raharja Tbk.</v>
      </c>
      <c r="C1493" s="65">
        <f>Ringkasan!C1492</f>
        <v>3750</v>
      </c>
      <c r="D1493" s="64" t="str">
        <f>Ringkasan!D1492</f>
        <v>#N/A</v>
      </c>
      <c r="E1493" s="64" t="str">
        <f>Ringkasan!E1492</f>
        <v>IDXG30</v>
      </c>
      <c r="F1493" s="64" t="str">
        <f>Ringkasan!F1492</f>
        <v>4 Agustus 2026</v>
      </c>
      <c r="G1493" s="64">
        <f>Ringkasan!G1492</f>
        <v>6</v>
      </c>
      <c r="H1493" s="19">
        <f>Ringkasan!H1492</f>
        <v>32.1</v>
      </c>
      <c r="I1493" s="19">
        <f>Ringkasan!I1492</f>
        <v>3.6</v>
      </c>
      <c r="J1493" s="19">
        <f>Ringkasan!J1492</f>
        <v>11.2</v>
      </c>
      <c r="K1493" s="19">
        <f>Ringkasan!K1492</f>
        <v>5.6</v>
      </c>
      <c r="L1493" s="19">
        <f>Ringkasan!L1492</f>
        <v>0.99</v>
      </c>
      <c r="M1493" s="19">
        <f>Ringkasan!M1492</f>
        <v>52.4</v>
      </c>
      <c r="N1493" s="64" t="str">
        <f>Ringkasan!N1492</f>
        <v/>
      </c>
      <c r="O1493" s="64" t="str">
        <f>Ringkasan!O1492</f>
        <v/>
      </c>
      <c r="P1493" s="64" t="str">
        <f>Ringkasan!P1492</f>
        <v/>
      </c>
      <c r="Q1493" s="64" t="str">
        <f>Ringkasan!Q1492</f>
        <v/>
      </c>
      <c r="R1493" s="64" t="str">
        <f>Ringkasan!R1492</f>
        <v/>
      </c>
      <c r="S1493" s="64" t="str">
        <f>Ringkasan!S1492</f>
        <v/>
      </c>
      <c r="T1493" s="64" t="str">
        <f>Ringkasan!T1492</f>
        <v/>
      </c>
      <c r="U1493" s="64">
        <f>Ringkasan!U1492</f>
        <v>3600</v>
      </c>
      <c r="V1493" s="64">
        <f>Ringkasan!V1492</f>
        <v>4.17</v>
      </c>
      <c r="W1493" s="64">
        <f>Ringkasan!W1492</f>
        <v>3670</v>
      </c>
      <c r="X1493" s="64" t="str">
        <f>Ringkasan!X1492</f>
        <v/>
      </c>
      <c r="Y1493" s="64">
        <f>Ringkasan!Y1492</f>
        <v>3660</v>
      </c>
      <c r="Z1493" s="64">
        <f>Ringkasan!Z1492</f>
        <v>38346600</v>
      </c>
      <c r="AA1493" s="64" t="str">
        <f>Ringkasan!AA1492</f>
        <v>Oil &amp; Gas</v>
      </c>
      <c r="AB1493" s="64" t="str">
        <f>Ringkasan!AB1492</f>
        <v>Energy</v>
      </c>
    </row>
    <row r="1494" hidden="1">
      <c r="A1494" s="64" t="str">
        <f>Ringkasan!A1493</f>
        <v>RAJA</v>
      </c>
      <c r="B1494" s="64" t="str">
        <f>Ringkasan!B1493</f>
        <v>Rukun Raharja Tbk.</v>
      </c>
      <c r="C1494" s="65">
        <f>Ringkasan!C1493</f>
        <v>3750</v>
      </c>
      <c r="D1494" s="64" t="str">
        <f>Ringkasan!D1493</f>
        <v>#N/A</v>
      </c>
      <c r="E1494" s="64" t="str">
        <f>Ringkasan!E1493</f>
        <v>Kompas100</v>
      </c>
      <c r="F1494" s="64" t="str">
        <f>Ringkasan!F1493</f>
        <v>31 Juli 2026</v>
      </c>
      <c r="G1494" s="64">
        <f>Ringkasan!G1493</f>
        <v>6</v>
      </c>
      <c r="H1494" s="19">
        <f>Ringkasan!H1493</f>
        <v>32.1</v>
      </c>
      <c r="I1494" s="19">
        <f>Ringkasan!I1493</f>
        <v>3.6</v>
      </c>
      <c r="J1494" s="19">
        <f>Ringkasan!J1493</f>
        <v>11.2</v>
      </c>
      <c r="K1494" s="19">
        <f>Ringkasan!K1493</f>
        <v>5.6</v>
      </c>
      <c r="L1494" s="19">
        <f>Ringkasan!L1493</f>
        <v>0.99</v>
      </c>
      <c r="M1494" s="19">
        <f>Ringkasan!M1493</f>
        <v>52.4</v>
      </c>
      <c r="N1494" s="64" t="str">
        <f>Ringkasan!N1493</f>
        <v/>
      </c>
      <c r="O1494" s="64" t="str">
        <f>Ringkasan!O1493</f>
        <v/>
      </c>
      <c r="P1494" s="64" t="str">
        <f>Ringkasan!P1493</f>
        <v/>
      </c>
      <c r="Q1494" s="64" t="str">
        <f>Ringkasan!Q1493</f>
        <v/>
      </c>
      <c r="R1494" s="64" t="str">
        <f>Ringkasan!R1493</f>
        <v/>
      </c>
      <c r="S1494" s="64" t="str">
        <f>Ringkasan!S1493</f>
        <v/>
      </c>
      <c r="T1494" s="64" t="str">
        <f>Ringkasan!T1493</f>
        <v/>
      </c>
      <c r="U1494" s="64">
        <f>Ringkasan!U1493</f>
        <v>3600</v>
      </c>
      <c r="V1494" s="64">
        <f>Ringkasan!V1493</f>
        <v>4.17</v>
      </c>
      <c r="W1494" s="64">
        <f>Ringkasan!W1493</f>
        <v>3670</v>
      </c>
      <c r="X1494" s="64" t="str">
        <f>Ringkasan!X1493</f>
        <v/>
      </c>
      <c r="Y1494" s="64">
        <f>Ringkasan!Y1493</f>
        <v>3660</v>
      </c>
      <c r="Z1494" s="64">
        <f>Ringkasan!Z1493</f>
        <v>38346600</v>
      </c>
      <c r="AA1494" s="64" t="str">
        <f>Ringkasan!AA1493</f>
        <v>Oil &amp; Gas</v>
      </c>
      <c r="AB1494" s="64" t="str">
        <f>Ringkasan!AB1493</f>
        <v>Energy</v>
      </c>
    </row>
    <row r="1495" hidden="1">
      <c r="A1495" s="64" t="str">
        <f>Ringkasan!A1494</f>
        <v>RAJA</v>
      </c>
      <c r="B1495" s="64" t="str">
        <f>Ringkasan!B1494</f>
        <v>Rukun Raharja Tbk.</v>
      </c>
      <c r="C1495" s="65">
        <f>Ringkasan!C1494</f>
        <v>3750</v>
      </c>
      <c r="D1495" s="64" t="str">
        <f>Ringkasan!D1494</f>
        <v>#N/A</v>
      </c>
      <c r="E1495" s="64" t="str">
        <f>Ringkasan!E1494</f>
        <v>IDX80</v>
      </c>
      <c r="F1495" s="64" t="str">
        <f>Ringkasan!F1494</f>
        <v>31 Juli 2026</v>
      </c>
      <c r="G1495" s="64">
        <f>Ringkasan!G1494</f>
        <v>6</v>
      </c>
      <c r="H1495" s="19">
        <f>Ringkasan!H1494</f>
        <v>32.1</v>
      </c>
      <c r="I1495" s="19">
        <f>Ringkasan!I1494</f>
        <v>3.6</v>
      </c>
      <c r="J1495" s="19">
        <f>Ringkasan!J1494</f>
        <v>11.2</v>
      </c>
      <c r="K1495" s="19">
        <f>Ringkasan!K1494</f>
        <v>5.6</v>
      </c>
      <c r="L1495" s="19">
        <f>Ringkasan!L1494</f>
        <v>0.99</v>
      </c>
      <c r="M1495" s="19">
        <f>Ringkasan!M1494</f>
        <v>52.4</v>
      </c>
      <c r="N1495" s="64" t="str">
        <f>Ringkasan!N1494</f>
        <v/>
      </c>
      <c r="O1495" s="64" t="str">
        <f>Ringkasan!O1494</f>
        <v/>
      </c>
      <c r="P1495" s="64" t="str">
        <f>Ringkasan!P1494</f>
        <v/>
      </c>
      <c r="Q1495" s="64" t="str">
        <f>Ringkasan!Q1494</f>
        <v/>
      </c>
      <c r="R1495" s="64" t="str">
        <f>Ringkasan!R1494</f>
        <v/>
      </c>
      <c r="S1495" s="64" t="str">
        <f>Ringkasan!S1494</f>
        <v/>
      </c>
      <c r="T1495" s="64" t="str">
        <f>Ringkasan!T1494</f>
        <v/>
      </c>
      <c r="U1495" s="64">
        <f>Ringkasan!U1494</f>
        <v>3600</v>
      </c>
      <c r="V1495" s="64">
        <f>Ringkasan!V1494</f>
        <v>4.17</v>
      </c>
      <c r="W1495" s="64">
        <f>Ringkasan!W1494</f>
        <v>3670</v>
      </c>
      <c r="X1495" s="64" t="str">
        <f>Ringkasan!X1494</f>
        <v/>
      </c>
      <c r="Y1495" s="64">
        <f>Ringkasan!Y1494</f>
        <v>3660</v>
      </c>
      <c r="Z1495" s="64">
        <f>Ringkasan!Z1494</f>
        <v>38346600</v>
      </c>
      <c r="AA1495" s="64" t="str">
        <f>Ringkasan!AA1494</f>
        <v>Oil &amp; Gas</v>
      </c>
      <c r="AB1495" s="64" t="str">
        <f>Ringkasan!AB1494</f>
        <v>Energy</v>
      </c>
    </row>
    <row r="1496" hidden="1">
      <c r="A1496" s="64" t="str">
        <f>Ringkasan!A1495</f>
        <v>RAJA</v>
      </c>
      <c r="B1496" s="64" t="str">
        <f>Ringkasan!B1495</f>
        <v>Rukun Raharja Tbk.</v>
      </c>
      <c r="C1496" s="65">
        <f>Ringkasan!C1495</f>
        <v>3750</v>
      </c>
      <c r="D1496" s="64" t="str">
        <f>Ringkasan!D1495</f>
        <v>#N/A</v>
      </c>
      <c r="E1496" s="64" t="str">
        <f>Ringkasan!E1495</f>
        <v>MSCI Small Cap</v>
      </c>
      <c r="F1496" s="64" t="str">
        <f>Ringkasan!F1495</f>
        <v>12 Agustus 2026</v>
      </c>
      <c r="G1496" s="65">
        <f>Ringkasan!G1495</f>
        <v>6</v>
      </c>
      <c r="H1496" s="19">
        <f>Ringkasan!H1495</f>
        <v>32.1</v>
      </c>
      <c r="I1496" s="19">
        <f>Ringkasan!I1495</f>
        <v>3.6</v>
      </c>
      <c r="J1496" s="19">
        <f>Ringkasan!J1495</f>
        <v>11.2</v>
      </c>
      <c r="K1496" s="19">
        <f>Ringkasan!K1495</f>
        <v>5.6</v>
      </c>
      <c r="L1496" s="19">
        <f>Ringkasan!L1495</f>
        <v>0.99</v>
      </c>
      <c r="M1496" s="19">
        <f>Ringkasan!M1495</f>
        <v>52.4</v>
      </c>
      <c r="N1496" s="64" t="str">
        <f>Ringkasan!N1495</f>
        <v/>
      </c>
      <c r="O1496" s="64" t="str">
        <f>Ringkasan!O1495</f>
        <v/>
      </c>
      <c r="P1496" s="64" t="str">
        <f>Ringkasan!P1495</f>
        <v/>
      </c>
      <c r="Q1496" s="64" t="str">
        <f>Ringkasan!Q1495</f>
        <v/>
      </c>
      <c r="R1496" s="64" t="str">
        <f>Ringkasan!R1495</f>
        <v/>
      </c>
      <c r="S1496" s="64" t="str">
        <f>Ringkasan!S1495</f>
        <v/>
      </c>
      <c r="T1496" s="64" t="str">
        <f>Ringkasan!T1495</f>
        <v/>
      </c>
      <c r="U1496" s="64">
        <f>Ringkasan!U1495</f>
        <v>3600</v>
      </c>
      <c r="V1496" s="64">
        <f>Ringkasan!V1495</f>
        <v>4.17</v>
      </c>
      <c r="W1496" s="64">
        <f>Ringkasan!W1495</f>
        <v>3670</v>
      </c>
      <c r="X1496" s="64" t="str">
        <f>Ringkasan!X1495</f>
        <v/>
      </c>
      <c r="Y1496" s="64">
        <f>Ringkasan!Y1495</f>
        <v>3660</v>
      </c>
      <c r="Z1496" s="64">
        <f>Ringkasan!Z1495</f>
        <v>38346600</v>
      </c>
      <c r="AA1496" s="64" t="str">
        <f>Ringkasan!AA1495</f>
        <v>Oil &amp; Gas</v>
      </c>
      <c r="AB1496" s="64" t="str">
        <f>Ringkasan!AB1495</f>
        <v>Energy</v>
      </c>
    </row>
    <row r="1497" hidden="1">
      <c r="A1497" s="64" t="str">
        <f>Ringkasan!A1496</f>
        <v>RALS</v>
      </c>
      <c r="B1497" s="64" t="str">
        <f>Ringkasan!B1496</f>
        <v>Ramayana Lestari Sentosa Tbk.</v>
      </c>
      <c r="C1497" s="65">
        <f>Ringkasan!C1496</f>
        <v>382</v>
      </c>
      <c r="D1497" s="64" t="str">
        <f>Ringkasan!D1496</f>
        <v>#N/A</v>
      </c>
      <c r="E1497" s="64" t="str">
        <f>Ringkasan!E1496</f>
        <v/>
      </c>
      <c r="F1497" s="64" t="str">
        <f>Ringkasan!F1496</f>
        <v/>
      </c>
      <c r="G1497" s="64">
        <f>Ringkasan!G1496</f>
        <v>0</v>
      </c>
      <c r="H1497" s="19">
        <f>Ringkasan!H1496</f>
        <v>11.2</v>
      </c>
      <c r="I1497" s="19">
        <f>Ringkasan!I1496</f>
        <v>0.71</v>
      </c>
      <c r="J1497" s="19">
        <f>Ringkasan!J1496</f>
        <v>6.4</v>
      </c>
      <c r="K1497" s="19">
        <f>Ringkasan!K1496</f>
        <v>4.4</v>
      </c>
      <c r="L1497" s="19">
        <f>Ringkasan!L1496</f>
        <v>0.47</v>
      </c>
      <c r="M1497" s="19">
        <f>Ringkasan!M1496</f>
        <v>24.4</v>
      </c>
      <c r="N1497" s="64" t="str">
        <f>Ringkasan!N1496</f>
        <v/>
      </c>
      <c r="O1497" s="64" t="str">
        <f>Ringkasan!O1496</f>
        <v/>
      </c>
      <c r="P1497" s="64" t="str">
        <f>Ringkasan!P1496</f>
        <v/>
      </c>
      <c r="Q1497" s="64" t="str">
        <f>Ringkasan!Q1496</f>
        <v/>
      </c>
      <c r="R1497" s="64" t="str">
        <f>Ringkasan!R1496</f>
        <v/>
      </c>
      <c r="S1497" s="64" t="str">
        <f>Ringkasan!S1496</f>
        <v/>
      </c>
      <c r="T1497" s="64" t="str">
        <f>Ringkasan!T1496</f>
        <v/>
      </c>
      <c r="U1497" s="64">
        <f>Ringkasan!U1496</f>
        <v>378</v>
      </c>
      <c r="V1497" s="64">
        <f>Ringkasan!V1496</f>
        <v>1.06</v>
      </c>
      <c r="W1497" s="64">
        <f>Ringkasan!W1496</f>
        <v>378</v>
      </c>
      <c r="X1497" s="64">
        <f>Ringkasan!X1496</f>
        <v>388</v>
      </c>
      <c r="Y1497" s="64">
        <f>Ringkasan!Y1496</f>
        <v>378</v>
      </c>
      <c r="Z1497" s="64">
        <f>Ringkasan!Z1496</f>
        <v>4739200</v>
      </c>
      <c r="AA1497" s="64" t="str">
        <f>Ringkasan!AA1496</f>
        <v>Department Stores</v>
      </c>
      <c r="AB1497" s="64" t="str">
        <f>Ringkasan!AB1496</f>
        <v>Consumer Cyclicals</v>
      </c>
    </row>
    <row r="1498" hidden="1">
      <c r="A1498" s="64" t="str">
        <f>Ringkasan!A1497</f>
        <v>RANC</v>
      </c>
      <c r="B1498" s="64" t="str">
        <f>Ringkasan!B1497</f>
        <v>Supra Boga Lestari Tbk</v>
      </c>
      <c r="C1498" s="65">
        <f>Ringkasan!C1497</f>
        <v>535</v>
      </c>
      <c r="D1498" s="64" t="str">
        <f>Ringkasan!D1497</f>
        <v>#N/A</v>
      </c>
      <c r="E1498" s="64" t="str">
        <f>Ringkasan!E1497</f>
        <v/>
      </c>
      <c r="F1498" s="64" t="str">
        <f>Ringkasan!F1497</f>
        <v/>
      </c>
      <c r="G1498" s="64">
        <f>Ringkasan!G1497</f>
        <v>0</v>
      </c>
      <c r="H1498" s="19">
        <f>Ringkasan!H1497</f>
        <v>-20.2</v>
      </c>
      <c r="I1498" s="19">
        <f>Ringkasan!I1497</f>
        <v>3</v>
      </c>
      <c r="J1498" s="19">
        <f>Ringkasan!J1497</f>
        <v>-14.9</v>
      </c>
      <c r="K1498" s="19">
        <f>Ringkasan!K1497</f>
        <v>-3.4</v>
      </c>
      <c r="L1498" s="19">
        <f>Ringkasan!L1497</f>
        <v>3.3</v>
      </c>
      <c r="M1498" s="19">
        <f>Ringkasan!M1497</f>
        <v>-4.9</v>
      </c>
      <c r="N1498" s="64" t="str">
        <f>Ringkasan!N1497</f>
        <v/>
      </c>
      <c r="O1498" s="64" t="str">
        <f>Ringkasan!O1497</f>
        <v/>
      </c>
      <c r="P1498" s="64" t="str">
        <f>Ringkasan!P1497</f>
        <v/>
      </c>
      <c r="Q1498" s="64" t="str">
        <f>Ringkasan!Q1497</f>
        <v/>
      </c>
      <c r="R1498" s="64" t="str">
        <f>Ringkasan!R1497</f>
        <v/>
      </c>
      <c r="S1498" s="64" t="str">
        <f>Ringkasan!S1497</f>
        <v/>
      </c>
      <c r="T1498" s="64" t="str">
        <f>Ringkasan!T1497</f>
        <v/>
      </c>
      <c r="U1498" s="64">
        <f>Ringkasan!U1497</f>
        <v>510</v>
      </c>
      <c r="V1498" s="64">
        <f>Ringkasan!V1497</f>
        <v>4.9</v>
      </c>
      <c r="W1498" s="64">
        <f>Ringkasan!W1497</f>
        <v>490</v>
      </c>
      <c r="X1498" s="64">
        <f>Ringkasan!X1497</f>
        <v>585</v>
      </c>
      <c r="Y1498" s="64">
        <f>Ringkasan!Y1497</f>
        <v>490</v>
      </c>
      <c r="Z1498" s="64">
        <f>Ringkasan!Z1497</f>
        <v>21200</v>
      </c>
      <c r="AA1498" s="64" t="str">
        <f>Ringkasan!AA1497</f>
        <v>Food &amp; Staples Retailing</v>
      </c>
      <c r="AB1498" s="64" t="str">
        <f>Ringkasan!AB1497</f>
        <v>Consumer Non-Cyclicals</v>
      </c>
    </row>
    <row r="1499" hidden="1">
      <c r="A1499" s="64" t="str">
        <f>Ringkasan!A1498</f>
        <v>RATU</v>
      </c>
      <c r="B1499" s="64" t="str">
        <f>Ringkasan!B1498</f>
        <v>Raharja Energi Cepu Tbk.</v>
      </c>
      <c r="C1499" s="65">
        <f>Ringkasan!C1498</f>
        <v>4710</v>
      </c>
      <c r="D1499" s="64" t="str">
        <f>Ringkasan!D1498</f>
        <v>#N/A</v>
      </c>
      <c r="E1499" s="64" t="str">
        <f>Ringkasan!E1498</f>
        <v>IDXSHAGROW</v>
      </c>
      <c r="F1499" s="66">
        <f>Ringkasan!F1498</f>
        <v>46356</v>
      </c>
      <c r="G1499" s="64">
        <f>Ringkasan!G1498</f>
        <v>6</v>
      </c>
      <c r="H1499" s="19">
        <f>Ringkasan!H1498</f>
        <v>63.4</v>
      </c>
      <c r="I1499" s="19">
        <f>Ringkasan!I1498</f>
        <v>14</v>
      </c>
      <c r="J1499" s="19">
        <f>Ringkasan!J1498</f>
        <v>22</v>
      </c>
      <c r="K1499" s="19">
        <f>Ringkasan!K1498</f>
        <v>10.2</v>
      </c>
      <c r="L1499" s="19">
        <f>Ringkasan!L1498</f>
        <v>1.2</v>
      </c>
      <c r="M1499" s="19">
        <f>Ringkasan!M1498</f>
        <v>120</v>
      </c>
      <c r="N1499" s="64" t="str">
        <f>Ringkasan!N1498</f>
        <v/>
      </c>
      <c r="O1499" s="64" t="str">
        <f>Ringkasan!O1498</f>
        <v/>
      </c>
      <c r="P1499" s="64" t="str">
        <f>Ringkasan!P1498</f>
        <v/>
      </c>
      <c r="Q1499" s="64" t="str">
        <f>Ringkasan!Q1498</f>
        <v/>
      </c>
      <c r="R1499" s="64" t="str">
        <f>Ringkasan!R1498</f>
        <v/>
      </c>
      <c r="S1499" s="64" t="str">
        <f>Ringkasan!S1498</f>
        <v/>
      </c>
      <c r="T1499" s="64" t="str">
        <f>Ringkasan!T1498</f>
        <v/>
      </c>
      <c r="U1499" s="64">
        <f>Ringkasan!U1498</f>
        <v>4540</v>
      </c>
      <c r="V1499" s="64">
        <f>Ringkasan!V1498</f>
        <v>3.74</v>
      </c>
      <c r="W1499" s="64">
        <f>Ringkasan!W1498</f>
        <v>4620</v>
      </c>
      <c r="X1499" s="64">
        <f>Ringkasan!X1498</f>
        <v>4850</v>
      </c>
      <c r="Y1499" s="64">
        <f>Ringkasan!Y1498</f>
        <v>4620</v>
      </c>
      <c r="Z1499" s="64">
        <f>Ringkasan!Z1498</f>
        <v>6294000</v>
      </c>
      <c r="AA1499" s="64" t="str">
        <f>Ringkasan!AA1498</f>
        <v>Oil &amp; Gas</v>
      </c>
      <c r="AB1499" s="64" t="str">
        <f>Ringkasan!AB1498</f>
        <v>Energy</v>
      </c>
    </row>
    <row r="1500" hidden="1">
      <c r="A1500" s="64" t="str">
        <f>Ringkasan!A1499</f>
        <v>RATU</v>
      </c>
      <c r="B1500" s="64" t="str">
        <f>Ringkasan!B1499</f>
        <v>Raharja Energi Cepu Tbk.</v>
      </c>
      <c r="C1500" s="65">
        <f>Ringkasan!C1499</f>
        <v>4710</v>
      </c>
      <c r="D1500" s="64" t="str">
        <f>Ringkasan!D1499</f>
        <v>#N/A</v>
      </c>
      <c r="E1500" s="64" t="str">
        <f>Ringkasan!E1499</f>
        <v>JII30</v>
      </c>
      <c r="F1500" s="66">
        <f>Ringkasan!F1499</f>
        <v>46356</v>
      </c>
      <c r="G1500" s="64">
        <f>Ringkasan!G1499</f>
        <v>6</v>
      </c>
      <c r="H1500" s="19">
        <f>Ringkasan!H1499</f>
        <v>63.4</v>
      </c>
      <c r="I1500" s="19">
        <f>Ringkasan!I1499</f>
        <v>14</v>
      </c>
      <c r="J1500" s="19">
        <f>Ringkasan!J1499</f>
        <v>22</v>
      </c>
      <c r="K1500" s="19">
        <f>Ringkasan!K1499</f>
        <v>10.2</v>
      </c>
      <c r="L1500" s="19">
        <f>Ringkasan!L1499</f>
        <v>1.2</v>
      </c>
      <c r="M1500" s="19">
        <f>Ringkasan!M1499</f>
        <v>120</v>
      </c>
      <c r="N1500" s="64" t="str">
        <f>Ringkasan!N1499</f>
        <v/>
      </c>
      <c r="O1500" s="64" t="str">
        <f>Ringkasan!O1499</f>
        <v/>
      </c>
      <c r="P1500" s="64" t="str">
        <f>Ringkasan!P1499</f>
        <v/>
      </c>
      <c r="Q1500" s="64" t="str">
        <f>Ringkasan!Q1499</f>
        <v/>
      </c>
      <c r="R1500" s="64" t="str">
        <f>Ringkasan!R1499</f>
        <v/>
      </c>
      <c r="S1500" s="64" t="str">
        <f>Ringkasan!S1499</f>
        <v/>
      </c>
      <c r="T1500" s="64" t="str">
        <f>Ringkasan!T1499</f>
        <v/>
      </c>
      <c r="U1500" s="64">
        <f>Ringkasan!U1499</f>
        <v>4540</v>
      </c>
      <c r="V1500" s="64">
        <f>Ringkasan!V1499</f>
        <v>3.74</v>
      </c>
      <c r="W1500" s="64">
        <f>Ringkasan!W1499</f>
        <v>4620</v>
      </c>
      <c r="X1500" s="64">
        <f>Ringkasan!X1499</f>
        <v>4850</v>
      </c>
      <c r="Y1500" s="64">
        <f>Ringkasan!Y1499</f>
        <v>4620</v>
      </c>
      <c r="Z1500" s="64">
        <f>Ringkasan!Z1499</f>
        <v>6294000</v>
      </c>
      <c r="AA1500" s="64" t="str">
        <f>Ringkasan!AA1499</f>
        <v>Oil &amp; Gas</v>
      </c>
      <c r="AB1500" s="64" t="str">
        <f>Ringkasan!AB1499</f>
        <v>Energy</v>
      </c>
    </row>
    <row r="1501" hidden="1">
      <c r="A1501" s="64" t="str">
        <f>Ringkasan!A1500</f>
        <v>RATU</v>
      </c>
      <c r="B1501" s="64" t="str">
        <f>Ringkasan!B1500</f>
        <v>Raharja Energi Cepu Tbk.</v>
      </c>
      <c r="C1501" s="65">
        <f>Ringkasan!C1500</f>
        <v>4710</v>
      </c>
      <c r="D1501" s="64" t="str">
        <f>Ringkasan!D1500</f>
        <v>#N/A</v>
      </c>
      <c r="E1501" s="64" t="str">
        <f>Ringkasan!E1500</f>
        <v>IDX80</v>
      </c>
      <c r="F1501" s="64" t="str">
        <f>Ringkasan!F1500</f>
        <v>31 Juli 2026</v>
      </c>
      <c r="G1501" s="64">
        <f>Ringkasan!G1500</f>
        <v>6</v>
      </c>
      <c r="H1501" s="19">
        <f>Ringkasan!H1500</f>
        <v>63.4</v>
      </c>
      <c r="I1501" s="19">
        <f>Ringkasan!I1500</f>
        <v>14</v>
      </c>
      <c r="J1501" s="19">
        <f>Ringkasan!J1500</f>
        <v>22</v>
      </c>
      <c r="K1501" s="19">
        <f>Ringkasan!K1500</f>
        <v>10.2</v>
      </c>
      <c r="L1501" s="19">
        <f>Ringkasan!L1500</f>
        <v>1.2</v>
      </c>
      <c r="M1501" s="19">
        <f>Ringkasan!M1500</f>
        <v>120</v>
      </c>
      <c r="N1501" s="64" t="str">
        <f>Ringkasan!N1500</f>
        <v/>
      </c>
      <c r="O1501" s="64" t="str">
        <f>Ringkasan!O1500</f>
        <v/>
      </c>
      <c r="P1501" s="64" t="str">
        <f>Ringkasan!P1500</f>
        <v/>
      </c>
      <c r="Q1501" s="64" t="str">
        <f>Ringkasan!Q1500</f>
        <v/>
      </c>
      <c r="R1501" s="64" t="str">
        <f>Ringkasan!R1500</f>
        <v/>
      </c>
      <c r="S1501" s="64" t="str">
        <f>Ringkasan!S1500</f>
        <v/>
      </c>
      <c r="T1501" s="64" t="str">
        <f>Ringkasan!T1500</f>
        <v/>
      </c>
      <c r="U1501" s="64">
        <f>Ringkasan!U1500</f>
        <v>4540</v>
      </c>
      <c r="V1501" s="64">
        <f>Ringkasan!V1500</f>
        <v>3.74</v>
      </c>
      <c r="W1501" s="64">
        <f>Ringkasan!W1500</f>
        <v>4620</v>
      </c>
      <c r="X1501" s="64">
        <f>Ringkasan!X1500</f>
        <v>4850</v>
      </c>
      <c r="Y1501" s="64">
        <f>Ringkasan!Y1500</f>
        <v>4620</v>
      </c>
      <c r="Z1501" s="64">
        <f>Ringkasan!Z1500</f>
        <v>6294000</v>
      </c>
      <c r="AA1501" s="64" t="str">
        <f>Ringkasan!AA1500</f>
        <v>Oil &amp; Gas</v>
      </c>
      <c r="AB1501" s="64" t="str">
        <f>Ringkasan!AB1500</f>
        <v>Energy</v>
      </c>
    </row>
    <row r="1502" hidden="1">
      <c r="A1502" s="64" t="str">
        <f>Ringkasan!A1501</f>
        <v>RATU</v>
      </c>
      <c r="B1502" s="64" t="str">
        <f>Ringkasan!B1501</f>
        <v>Raharja Energi Cepu Tbk.</v>
      </c>
      <c r="C1502" s="65">
        <f>Ringkasan!C1501</f>
        <v>4710</v>
      </c>
      <c r="D1502" s="64" t="str">
        <f>Ringkasan!D1501</f>
        <v>#N/A</v>
      </c>
      <c r="E1502" s="64" t="str">
        <f>Ringkasan!E1501</f>
        <v>Kompas100</v>
      </c>
      <c r="F1502" s="64" t="str">
        <f>Ringkasan!F1501</f>
        <v>31 Juli 2026</v>
      </c>
      <c r="G1502" s="64">
        <f>Ringkasan!G1501</f>
        <v>6</v>
      </c>
      <c r="H1502" s="19">
        <f>Ringkasan!H1501</f>
        <v>63.4</v>
      </c>
      <c r="I1502" s="19">
        <f>Ringkasan!I1501</f>
        <v>14</v>
      </c>
      <c r="J1502" s="19">
        <f>Ringkasan!J1501</f>
        <v>22</v>
      </c>
      <c r="K1502" s="19">
        <f>Ringkasan!K1501</f>
        <v>10.2</v>
      </c>
      <c r="L1502" s="19">
        <f>Ringkasan!L1501</f>
        <v>1.2</v>
      </c>
      <c r="M1502" s="19">
        <f>Ringkasan!M1501</f>
        <v>120</v>
      </c>
      <c r="N1502" s="64" t="str">
        <f>Ringkasan!N1501</f>
        <v/>
      </c>
      <c r="O1502" s="64" t="str">
        <f>Ringkasan!O1501</f>
        <v/>
      </c>
      <c r="P1502" s="64" t="str">
        <f>Ringkasan!P1501</f>
        <v/>
      </c>
      <c r="Q1502" s="64" t="str">
        <f>Ringkasan!Q1501</f>
        <v/>
      </c>
      <c r="R1502" s="64" t="str">
        <f>Ringkasan!R1501</f>
        <v/>
      </c>
      <c r="S1502" s="64" t="str">
        <f>Ringkasan!S1501</f>
        <v/>
      </c>
      <c r="T1502" s="64" t="str">
        <f>Ringkasan!T1501</f>
        <v/>
      </c>
      <c r="U1502" s="64">
        <f>Ringkasan!U1501</f>
        <v>4540</v>
      </c>
      <c r="V1502" s="64">
        <f>Ringkasan!V1501</f>
        <v>3.74</v>
      </c>
      <c r="W1502" s="64">
        <f>Ringkasan!W1501</f>
        <v>4620</v>
      </c>
      <c r="X1502" s="64">
        <f>Ringkasan!X1501</f>
        <v>4850</v>
      </c>
      <c r="Y1502" s="64">
        <f>Ringkasan!Y1501</f>
        <v>4620</v>
      </c>
      <c r="Z1502" s="64">
        <f>Ringkasan!Z1501</f>
        <v>6294000</v>
      </c>
      <c r="AA1502" s="64" t="str">
        <f>Ringkasan!AA1501</f>
        <v>Oil &amp; Gas</v>
      </c>
      <c r="AB1502" s="64" t="str">
        <f>Ringkasan!AB1501</f>
        <v>Energy</v>
      </c>
    </row>
    <row r="1503" hidden="1">
      <c r="A1503" s="64" t="str">
        <f>Ringkasan!A1502</f>
        <v>RATU</v>
      </c>
      <c r="B1503" s="64" t="str">
        <f>Ringkasan!B1502</f>
        <v>Raharja Energi Cepu Tbk.</v>
      </c>
      <c r="C1503" s="65">
        <f>Ringkasan!C1502</f>
        <v>4710</v>
      </c>
      <c r="D1503" s="64" t="str">
        <f>Ringkasan!D1502</f>
        <v>#N/A</v>
      </c>
      <c r="E1503" s="64" t="str">
        <f>Ringkasan!E1502</f>
        <v>MSCI Small Cap</v>
      </c>
      <c r="F1503" s="64" t="str">
        <f>Ringkasan!F1502</f>
        <v>12 Agustus 2026</v>
      </c>
      <c r="G1503" s="65">
        <f>Ringkasan!G1502</f>
        <v>6</v>
      </c>
      <c r="H1503" s="19">
        <f>Ringkasan!H1502</f>
        <v>63.4</v>
      </c>
      <c r="I1503" s="19">
        <f>Ringkasan!I1502</f>
        <v>14</v>
      </c>
      <c r="J1503" s="19">
        <f>Ringkasan!J1502</f>
        <v>22</v>
      </c>
      <c r="K1503" s="19">
        <f>Ringkasan!K1502</f>
        <v>10.2</v>
      </c>
      <c r="L1503" s="19">
        <f>Ringkasan!L1502</f>
        <v>1.2</v>
      </c>
      <c r="M1503" s="19">
        <f>Ringkasan!M1502</f>
        <v>120</v>
      </c>
      <c r="N1503" s="64" t="str">
        <f>Ringkasan!N1502</f>
        <v/>
      </c>
      <c r="O1503" s="64" t="str">
        <f>Ringkasan!O1502</f>
        <v/>
      </c>
      <c r="P1503" s="64" t="str">
        <f>Ringkasan!P1502</f>
        <v/>
      </c>
      <c r="Q1503" s="64" t="str">
        <f>Ringkasan!Q1502</f>
        <v/>
      </c>
      <c r="R1503" s="64" t="str">
        <f>Ringkasan!R1502</f>
        <v/>
      </c>
      <c r="S1503" s="64" t="str">
        <f>Ringkasan!S1502</f>
        <v/>
      </c>
      <c r="T1503" s="64" t="str">
        <f>Ringkasan!T1502</f>
        <v/>
      </c>
      <c r="U1503" s="64">
        <f>Ringkasan!U1502</f>
        <v>4540</v>
      </c>
      <c r="V1503" s="64">
        <f>Ringkasan!V1502</f>
        <v>3.74</v>
      </c>
      <c r="W1503" s="64">
        <f>Ringkasan!W1502</f>
        <v>4620</v>
      </c>
      <c r="X1503" s="64">
        <f>Ringkasan!X1502</f>
        <v>4850</v>
      </c>
      <c r="Y1503" s="64">
        <f>Ringkasan!Y1502</f>
        <v>4620</v>
      </c>
      <c r="Z1503" s="64">
        <f>Ringkasan!Z1502</f>
        <v>6294000</v>
      </c>
      <c r="AA1503" s="64" t="str">
        <f>Ringkasan!AA1502</f>
        <v>Oil &amp; Gas</v>
      </c>
      <c r="AB1503" s="64" t="str">
        <f>Ringkasan!AB1502</f>
        <v>Energy</v>
      </c>
    </row>
    <row r="1504" hidden="1">
      <c r="A1504" s="64" t="str">
        <f>Ringkasan!A1710</f>
        <v>TLKM</v>
      </c>
      <c r="B1504" s="64" t="str">
        <f>Ringkasan!B1710</f>
        <v>Telkom Indonesia (Persero) Tbk.</v>
      </c>
      <c r="C1504" s="65">
        <f>Ringkasan!C1710</f>
        <v>2860</v>
      </c>
      <c r="D1504" s="64" t="str">
        <f>Ringkasan!D1710</f>
        <v>#N/A</v>
      </c>
      <c r="E1504" s="64" t="str">
        <f>Ringkasan!E1710</f>
        <v>Investor33</v>
      </c>
      <c r="F1504" s="66">
        <f>Ringkasan!F1710</f>
        <v>46356</v>
      </c>
      <c r="G1504" s="64">
        <f>Ringkasan!G1710</f>
        <v>19</v>
      </c>
      <c r="H1504" s="19">
        <f>Ringkasan!H1710</f>
        <v>10.1</v>
      </c>
      <c r="I1504" s="19">
        <f>Ringkasan!I1710</f>
        <v>1.9</v>
      </c>
      <c r="J1504" s="19">
        <f>Ringkasan!J1710</f>
        <v>19.1</v>
      </c>
      <c r="K1504" s="19">
        <f>Ringkasan!K1710</f>
        <v>4.7</v>
      </c>
      <c r="L1504" s="19">
        <f>Ringkasan!L1710</f>
        <v>0.86</v>
      </c>
      <c r="M1504" s="19">
        <f>Ringkasan!M1710</f>
        <v>20.3</v>
      </c>
      <c r="N1504" s="64" t="str">
        <f>Ringkasan!N1710</f>
        <v/>
      </c>
      <c r="O1504" s="64" t="str">
        <f>Ringkasan!O1710</f>
        <v/>
      </c>
      <c r="P1504" s="64" t="str">
        <f>Ringkasan!P1710</f>
        <v/>
      </c>
      <c r="Q1504" s="64" t="str">
        <f>Ringkasan!Q1710</f>
        <v/>
      </c>
      <c r="R1504" s="64" t="str">
        <f>Ringkasan!R1710</f>
        <v/>
      </c>
      <c r="S1504" s="64" t="str">
        <f>Ringkasan!S1710</f>
        <v/>
      </c>
      <c r="T1504" s="64" t="str">
        <f>Ringkasan!T1710</f>
        <v/>
      </c>
      <c r="U1504" s="64">
        <f>Ringkasan!U1710</f>
        <v>2870</v>
      </c>
      <c r="V1504" s="64">
        <f>Ringkasan!V1710</f>
        <v>-0.35</v>
      </c>
      <c r="W1504" s="64">
        <f>Ringkasan!W1710</f>
        <v>2910</v>
      </c>
      <c r="X1504" s="64">
        <f>Ringkasan!X1710</f>
        <v>2980</v>
      </c>
      <c r="Y1504" s="64">
        <f>Ringkasan!Y1710</f>
        <v>2860</v>
      </c>
      <c r="Z1504" s="64">
        <f>Ringkasan!Z1710</f>
        <v>181531900</v>
      </c>
      <c r="AA1504" s="64" t="str">
        <f>Ringkasan!AA1710</f>
        <v>Telecommunication Service</v>
      </c>
      <c r="AB1504" s="64" t="str">
        <f>Ringkasan!AB1710</f>
        <v>Infrastructures</v>
      </c>
    </row>
    <row r="1505" hidden="1">
      <c r="A1505" s="64" t="str">
        <f>Ringkasan!A1504</f>
        <v>RBMS</v>
      </c>
      <c r="B1505" s="64" t="str">
        <f>Ringkasan!B1504</f>
        <v>Ristia Bintang Mahkotasejati Tbk.</v>
      </c>
      <c r="C1505" s="65">
        <f>Ringkasan!C1504</f>
        <v>54</v>
      </c>
      <c r="D1505" s="64" t="str">
        <f>Ringkasan!D1504</f>
        <v>#N/A</v>
      </c>
      <c r="E1505" s="64" t="str">
        <f>Ringkasan!E1504</f>
        <v/>
      </c>
      <c r="F1505" s="64" t="str">
        <f>Ringkasan!F1504</f>
        <v/>
      </c>
      <c r="G1505" s="64">
        <f>Ringkasan!G1504</f>
        <v>0</v>
      </c>
      <c r="H1505" s="19">
        <f>Ringkasan!H1504</f>
        <v>33.2</v>
      </c>
      <c r="I1505" s="19">
        <f>Ringkasan!I1504</f>
        <v>0.34</v>
      </c>
      <c r="J1505" s="19">
        <f>Ringkasan!J1504</f>
        <v>1</v>
      </c>
      <c r="K1505" s="19">
        <f>Ringkasan!K1504</f>
        <v>0.66</v>
      </c>
      <c r="L1505" s="19">
        <f>Ringkasan!L1504</f>
        <v>0.56</v>
      </c>
      <c r="M1505" s="19">
        <f>Ringkasan!M1504</f>
        <v>12.4</v>
      </c>
      <c r="N1505" s="64" t="str">
        <f>Ringkasan!N1504</f>
        <v/>
      </c>
      <c r="O1505" s="64" t="str">
        <f>Ringkasan!O1504</f>
        <v/>
      </c>
      <c r="P1505" s="64" t="str">
        <f>Ringkasan!P1504</f>
        <v/>
      </c>
      <c r="Q1505" s="64" t="str">
        <f>Ringkasan!Q1504</f>
        <v/>
      </c>
      <c r="R1505" s="64" t="str">
        <f>Ringkasan!R1504</f>
        <v/>
      </c>
      <c r="S1505" s="64" t="str">
        <f>Ringkasan!S1504</f>
        <v/>
      </c>
      <c r="T1505" s="64" t="str">
        <f>Ringkasan!T1504</f>
        <v/>
      </c>
      <c r="U1505" s="64">
        <f>Ringkasan!U1504</f>
        <v>53</v>
      </c>
      <c r="V1505" s="64">
        <f>Ringkasan!V1504</f>
        <v>1.89</v>
      </c>
      <c r="W1505" s="64">
        <f>Ringkasan!W1504</f>
        <v>53</v>
      </c>
      <c r="X1505" s="64" t="str">
        <f>Ringkasan!X1504</f>
        <v/>
      </c>
      <c r="Y1505" s="64">
        <f>Ringkasan!Y1504</f>
        <v>52</v>
      </c>
      <c r="Z1505" s="64">
        <f>Ringkasan!Z1504</f>
        <v>197033800</v>
      </c>
      <c r="AA1505" s="64" t="str">
        <f>Ringkasan!AA1504</f>
        <v>Real Estate Management &amp; Development</v>
      </c>
      <c r="AB1505" s="64" t="str">
        <f>Ringkasan!AB1504</f>
        <v>Properties &amp; Real Estate</v>
      </c>
    </row>
    <row r="1506" hidden="1">
      <c r="A1506" s="64" t="str">
        <f>Ringkasan!A1711</f>
        <v>TLKM</v>
      </c>
      <c r="B1506" s="64" t="str">
        <f>Ringkasan!B1711</f>
        <v>Telkom Indonesia (Persero) Tbk.</v>
      </c>
      <c r="C1506" s="65">
        <f>Ringkasan!C1711</f>
        <v>2860</v>
      </c>
      <c r="D1506" s="64" t="str">
        <f>Ringkasan!D1711</f>
        <v>#N/A</v>
      </c>
      <c r="E1506" s="64" t="str">
        <f>Ringkasan!E1711</f>
        <v>JII30</v>
      </c>
      <c r="F1506" s="66">
        <f>Ringkasan!F1711</f>
        <v>46356</v>
      </c>
      <c r="G1506" s="64">
        <f>Ringkasan!G1711</f>
        <v>19</v>
      </c>
      <c r="H1506" s="19">
        <f>Ringkasan!H1711</f>
        <v>10.1</v>
      </c>
      <c r="I1506" s="19">
        <f>Ringkasan!I1711</f>
        <v>1.9</v>
      </c>
      <c r="J1506" s="19">
        <f>Ringkasan!J1711</f>
        <v>19.1</v>
      </c>
      <c r="K1506" s="19">
        <f>Ringkasan!K1711</f>
        <v>4.7</v>
      </c>
      <c r="L1506" s="19">
        <f>Ringkasan!L1711</f>
        <v>0.86</v>
      </c>
      <c r="M1506" s="19">
        <f>Ringkasan!M1711</f>
        <v>20.3</v>
      </c>
      <c r="N1506" s="64" t="str">
        <f>Ringkasan!N1711</f>
        <v/>
      </c>
      <c r="O1506" s="64" t="str">
        <f>Ringkasan!O1711</f>
        <v/>
      </c>
      <c r="P1506" s="64" t="str">
        <f>Ringkasan!P1711</f>
        <v/>
      </c>
      <c r="Q1506" s="64" t="str">
        <f>Ringkasan!Q1711</f>
        <v/>
      </c>
      <c r="R1506" s="64" t="str">
        <f>Ringkasan!R1711</f>
        <v/>
      </c>
      <c r="S1506" s="64" t="str">
        <f>Ringkasan!S1711</f>
        <v/>
      </c>
      <c r="T1506" s="64" t="str">
        <f>Ringkasan!T1711</f>
        <v/>
      </c>
      <c r="U1506" s="64">
        <f>Ringkasan!U1711</f>
        <v>2870</v>
      </c>
      <c r="V1506" s="64">
        <f>Ringkasan!V1711</f>
        <v>-0.35</v>
      </c>
      <c r="W1506" s="64">
        <f>Ringkasan!W1711</f>
        <v>2910</v>
      </c>
      <c r="X1506" s="64">
        <f>Ringkasan!X1711</f>
        <v>2980</v>
      </c>
      <c r="Y1506" s="64">
        <f>Ringkasan!Y1711</f>
        <v>2860</v>
      </c>
      <c r="Z1506" s="64">
        <f>Ringkasan!Z1711</f>
        <v>181531900</v>
      </c>
      <c r="AA1506" s="64" t="str">
        <f>Ringkasan!AA1711</f>
        <v>Telecommunication Service</v>
      </c>
      <c r="AB1506" s="64" t="str">
        <f>Ringkasan!AB1711</f>
        <v>Infrastructures</v>
      </c>
    </row>
    <row r="1507" hidden="1">
      <c r="A1507" s="64" t="str">
        <f>Ringkasan!A1712</f>
        <v>TLKM</v>
      </c>
      <c r="B1507" s="64" t="str">
        <f>Ringkasan!B1712</f>
        <v>Telkom Indonesia (Persero) Tbk.</v>
      </c>
      <c r="C1507" s="65">
        <f>Ringkasan!C1712</f>
        <v>2860</v>
      </c>
      <c r="D1507" s="64" t="str">
        <f>Ringkasan!D1712</f>
        <v>#N/A</v>
      </c>
      <c r="E1507" s="64" t="str">
        <f>Ringkasan!E1712</f>
        <v>FTSE Large Cap</v>
      </c>
      <c r="F1507" s="64" t="str">
        <f>Ringkasan!F1712</f>
        <v>Juni 2026</v>
      </c>
      <c r="G1507" s="64">
        <f>Ringkasan!G1712</f>
        <v>19</v>
      </c>
      <c r="H1507" s="19">
        <f>Ringkasan!H1712</f>
        <v>10.1</v>
      </c>
      <c r="I1507" s="19">
        <f>Ringkasan!I1712</f>
        <v>1.9</v>
      </c>
      <c r="J1507" s="19">
        <f>Ringkasan!J1712</f>
        <v>19.1</v>
      </c>
      <c r="K1507" s="19">
        <f>Ringkasan!K1712</f>
        <v>4.7</v>
      </c>
      <c r="L1507" s="19">
        <f>Ringkasan!L1712</f>
        <v>0.86</v>
      </c>
      <c r="M1507" s="19">
        <f>Ringkasan!M1712</f>
        <v>20.3</v>
      </c>
      <c r="N1507" s="64" t="str">
        <f>Ringkasan!N1712</f>
        <v/>
      </c>
      <c r="O1507" s="64" t="str">
        <f>Ringkasan!O1712</f>
        <v/>
      </c>
      <c r="P1507" s="64" t="str">
        <f>Ringkasan!P1712</f>
        <v/>
      </c>
      <c r="Q1507" s="64" t="str">
        <f>Ringkasan!Q1712</f>
        <v/>
      </c>
      <c r="R1507" s="64" t="str">
        <f>Ringkasan!R1712</f>
        <v/>
      </c>
      <c r="S1507" s="64" t="str">
        <f>Ringkasan!S1712</f>
        <v/>
      </c>
      <c r="T1507" s="64" t="str">
        <f>Ringkasan!T1712</f>
        <v/>
      </c>
      <c r="U1507" s="64">
        <f>Ringkasan!U1712</f>
        <v>2870</v>
      </c>
      <c r="V1507" s="64">
        <f>Ringkasan!V1712</f>
        <v>-0.35</v>
      </c>
      <c r="W1507" s="64">
        <f>Ringkasan!W1712</f>
        <v>2910</v>
      </c>
      <c r="X1507" s="64">
        <f>Ringkasan!X1712</f>
        <v>2980</v>
      </c>
      <c r="Y1507" s="64">
        <f>Ringkasan!Y1712</f>
        <v>2860</v>
      </c>
      <c r="Z1507" s="64">
        <f>Ringkasan!Z1712</f>
        <v>181531900</v>
      </c>
      <c r="AA1507" s="64" t="str">
        <f>Ringkasan!AA1712</f>
        <v>Telecommunication Service</v>
      </c>
      <c r="AB1507" s="64" t="str">
        <f>Ringkasan!AB1712</f>
        <v>Infrastructures</v>
      </c>
    </row>
    <row r="1508" hidden="1">
      <c r="A1508" s="64" t="str">
        <f>Ringkasan!A1713</f>
        <v>TLKM</v>
      </c>
      <c r="B1508" s="64" t="str">
        <f>Ringkasan!B1713</f>
        <v>Telkom Indonesia (Persero) Tbk.</v>
      </c>
      <c r="C1508" s="65">
        <f>Ringkasan!C1713</f>
        <v>2860</v>
      </c>
      <c r="D1508" s="64" t="str">
        <f>Ringkasan!D1713</f>
        <v>#N/A</v>
      </c>
      <c r="E1508" s="64" t="str">
        <f>Ringkasan!E1713</f>
        <v>MSCI Global Standard</v>
      </c>
      <c r="F1508" s="64" t="str">
        <f>Ringkasan!F1713</f>
        <v>12 Agustus 2026</v>
      </c>
      <c r="G1508" s="64">
        <f>Ringkasan!G1713</f>
        <v>19</v>
      </c>
      <c r="H1508" s="19">
        <f>Ringkasan!H1713</f>
        <v>10.1</v>
      </c>
      <c r="I1508" s="19">
        <f>Ringkasan!I1713</f>
        <v>1.9</v>
      </c>
      <c r="J1508" s="19">
        <f>Ringkasan!J1713</f>
        <v>19.1</v>
      </c>
      <c r="K1508" s="19">
        <f>Ringkasan!K1713</f>
        <v>4.7</v>
      </c>
      <c r="L1508" s="19">
        <f>Ringkasan!L1713</f>
        <v>0.86</v>
      </c>
      <c r="M1508" s="19">
        <f>Ringkasan!M1713</f>
        <v>20.3</v>
      </c>
      <c r="N1508" s="64" t="str">
        <f>Ringkasan!N1713</f>
        <v/>
      </c>
      <c r="O1508" s="64" t="str">
        <f>Ringkasan!O1713</f>
        <v/>
      </c>
      <c r="P1508" s="64" t="str">
        <f>Ringkasan!P1713</f>
        <v/>
      </c>
      <c r="Q1508" s="64" t="str">
        <f>Ringkasan!Q1713</f>
        <v/>
      </c>
      <c r="R1508" s="64" t="str">
        <f>Ringkasan!R1713</f>
        <v/>
      </c>
      <c r="S1508" s="64" t="str">
        <f>Ringkasan!S1713</f>
        <v/>
      </c>
      <c r="T1508" s="64" t="str">
        <f>Ringkasan!T1713</f>
        <v/>
      </c>
      <c r="U1508" s="64">
        <f>Ringkasan!U1713</f>
        <v>2870</v>
      </c>
      <c r="V1508" s="64">
        <f>Ringkasan!V1713</f>
        <v>-0.35</v>
      </c>
      <c r="W1508" s="64">
        <f>Ringkasan!W1713</f>
        <v>2910</v>
      </c>
      <c r="X1508" s="64">
        <f>Ringkasan!X1713</f>
        <v>2980</v>
      </c>
      <c r="Y1508" s="64">
        <f>Ringkasan!Y1713</f>
        <v>2860</v>
      </c>
      <c r="Z1508" s="64">
        <f>Ringkasan!Z1713</f>
        <v>181531900</v>
      </c>
      <c r="AA1508" s="64" t="str">
        <f>Ringkasan!AA1713</f>
        <v>Telecommunication Service</v>
      </c>
      <c r="AB1508" s="64" t="str">
        <f>Ringkasan!AB1713</f>
        <v>Infrastructures</v>
      </c>
    </row>
    <row r="1509" hidden="1">
      <c r="A1509" s="64" t="str">
        <f>Ringkasan!A1714</f>
        <v>TLKM</v>
      </c>
      <c r="B1509" s="64" t="str">
        <f>Ringkasan!B1714</f>
        <v>Telkom Indonesia (Persero) Tbk.</v>
      </c>
      <c r="C1509" s="65">
        <f>Ringkasan!C1714</f>
        <v>2860</v>
      </c>
      <c r="D1509" s="64" t="str">
        <f>Ringkasan!D1714</f>
        <v>#N/A</v>
      </c>
      <c r="E1509" s="64" t="str">
        <f>Ringkasan!E1714</f>
        <v>IDXQ30</v>
      </c>
      <c r="F1509" s="64" t="str">
        <f>Ringkasan!F1714</f>
        <v>4 Agustus 2026</v>
      </c>
      <c r="G1509" s="64">
        <f>Ringkasan!G1714</f>
        <v>19</v>
      </c>
      <c r="H1509" s="19">
        <f>Ringkasan!H1714</f>
        <v>10.1</v>
      </c>
      <c r="I1509" s="19">
        <f>Ringkasan!I1714</f>
        <v>1.9</v>
      </c>
      <c r="J1509" s="19">
        <f>Ringkasan!J1714</f>
        <v>19.1</v>
      </c>
      <c r="K1509" s="19">
        <f>Ringkasan!K1714</f>
        <v>4.7</v>
      </c>
      <c r="L1509" s="19">
        <f>Ringkasan!L1714</f>
        <v>0.86</v>
      </c>
      <c r="M1509" s="19">
        <f>Ringkasan!M1714</f>
        <v>20.3</v>
      </c>
      <c r="N1509" s="64" t="str">
        <f>Ringkasan!N1714</f>
        <v/>
      </c>
      <c r="O1509" s="64" t="str">
        <f>Ringkasan!O1714</f>
        <v/>
      </c>
      <c r="P1509" s="64" t="str">
        <f>Ringkasan!P1714</f>
        <v/>
      </c>
      <c r="Q1509" s="64" t="str">
        <f>Ringkasan!Q1714</f>
        <v/>
      </c>
      <c r="R1509" s="64" t="str">
        <f>Ringkasan!R1714</f>
        <v/>
      </c>
      <c r="S1509" s="64" t="str">
        <f>Ringkasan!S1714</f>
        <v/>
      </c>
      <c r="T1509" s="64" t="str">
        <f>Ringkasan!T1714</f>
        <v/>
      </c>
      <c r="U1509" s="64">
        <f>Ringkasan!U1714</f>
        <v>2870</v>
      </c>
      <c r="V1509" s="64">
        <f>Ringkasan!V1714</f>
        <v>-0.35</v>
      </c>
      <c r="W1509" s="64">
        <f>Ringkasan!W1714</f>
        <v>2910</v>
      </c>
      <c r="X1509" s="64">
        <f>Ringkasan!X1714</f>
        <v>2980</v>
      </c>
      <c r="Y1509" s="64">
        <f>Ringkasan!Y1714</f>
        <v>2860</v>
      </c>
      <c r="Z1509" s="64">
        <f>Ringkasan!Z1714</f>
        <v>181531900</v>
      </c>
      <c r="AA1509" s="64" t="str">
        <f>Ringkasan!AA1714</f>
        <v>Telecommunication Service</v>
      </c>
      <c r="AB1509" s="64" t="str">
        <f>Ringkasan!AB1714</f>
        <v>Infrastructures</v>
      </c>
    </row>
    <row r="1510" hidden="1">
      <c r="A1510" s="64" t="str">
        <f>Ringkasan!A1715</f>
        <v>TLKM</v>
      </c>
      <c r="B1510" s="64" t="str">
        <f>Ringkasan!B1715</f>
        <v>Telkom Indonesia (Persero) Tbk.</v>
      </c>
      <c r="C1510" s="65">
        <f>Ringkasan!C1715</f>
        <v>2860</v>
      </c>
      <c r="D1510" s="64" t="str">
        <f>Ringkasan!D1715</f>
        <v>#N/A</v>
      </c>
      <c r="E1510" s="64" t="str">
        <f>Ringkasan!E1715</f>
        <v>IDXG30</v>
      </c>
      <c r="F1510" s="64" t="str">
        <f>Ringkasan!F1715</f>
        <v>4 Agustus 2026</v>
      </c>
      <c r="G1510" s="64">
        <f>Ringkasan!G1715</f>
        <v>19</v>
      </c>
      <c r="H1510" s="19">
        <f>Ringkasan!H1715</f>
        <v>10.1</v>
      </c>
      <c r="I1510" s="19">
        <f>Ringkasan!I1715</f>
        <v>1.9</v>
      </c>
      <c r="J1510" s="19">
        <f>Ringkasan!J1715</f>
        <v>19.1</v>
      </c>
      <c r="K1510" s="19">
        <f>Ringkasan!K1715</f>
        <v>4.7</v>
      </c>
      <c r="L1510" s="19">
        <f>Ringkasan!L1715</f>
        <v>0.86</v>
      </c>
      <c r="M1510" s="19">
        <f>Ringkasan!M1715</f>
        <v>20.3</v>
      </c>
      <c r="N1510" s="64" t="str">
        <f>Ringkasan!N1715</f>
        <v/>
      </c>
      <c r="O1510" s="64" t="str">
        <f>Ringkasan!O1715</f>
        <v/>
      </c>
      <c r="P1510" s="64" t="str">
        <f>Ringkasan!P1715</f>
        <v/>
      </c>
      <c r="Q1510" s="64" t="str">
        <f>Ringkasan!Q1715</f>
        <v/>
      </c>
      <c r="R1510" s="64" t="str">
        <f>Ringkasan!R1715</f>
        <v/>
      </c>
      <c r="S1510" s="64" t="str">
        <f>Ringkasan!S1715</f>
        <v/>
      </c>
      <c r="T1510" s="64" t="str">
        <f>Ringkasan!T1715</f>
        <v/>
      </c>
      <c r="U1510" s="64">
        <f>Ringkasan!U1715</f>
        <v>2870</v>
      </c>
      <c r="V1510" s="64">
        <f>Ringkasan!V1715</f>
        <v>-0.35</v>
      </c>
      <c r="W1510" s="64">
        <f>Ringkasan!W1715</f>
        <v>2910</v>
      </c>
      <c r="X1510" s="64">
        <f>Ringkasan!X1715</f>
        <v>2980</v>
      </c>
      <c r="Y1510" s="64">
        <f>Ringkasan!Y1715</f>
        <v>2860</v>
      </c>
      <c r="Z1510" s="64">
        <f>Ringkasan!Z1715</f>
        <v>181531900</v>
      </c>
      <c r="AA1510" s="64" t="str">
        <f>Ringkasan!AA1715</f>
        <v>Telecommunication Service</v>
      </c>
      <c r="AB1510" s="64" t="str">
        <f>Ringkasan!AB1715</f>
        <v>Infrastructures</v>
      </c>
    </row>
    <row r="1511" hidden="1">
      <c r="A1511" s="64" t="str">
        <f>Ringkasan!A1716</f>
        <v>TLKM</v>
      </c>
      <c r="B1511" s="64" t="str">
        <f>Ringkasan!B1716</f>
        <v>Telkom Indonesia (Persero) Tbk.</v>
      </c>
      <c r="C1511" s="65">
        <f>Ringkasan!C1716</f>
        <v>2860</v>
      </c>
      <c r="D1511" s="64" t="str">
        <f>Ringkasan!D1716</f>
        <v>#N/A</v>
      </c>
      <c r="E1511" s="64" t="str">
        <f>Ringkasan!E1716</f>
        <v>Pefindo - iGrade</v>
      </c>
      <c r="F1511" s="64" t="str">
        <f>Ringkasan!F1716</f>
        <v>30 Juni 2026</v>
      </c>
      <c r="G1511" s="64">
        <f>Ringkasan!G1716</f>
        <v>19</v>
      </c>
      <c r="H1511" s="19">
        <f>Ringkasan!H1716</f>
        <v>10.1</v>
      </c>
      <c r="I1511" s="19">
        <f>Ringkasan!I1716</f>
        <v>1.9</v>
      </c>
      <c r="J1511" s="19">
        <f>Ringkasan!J1716</f>
        <v>19.1</v>
      </c>
      <c r="K1511" s="19">
        <f>Ringkasan!K1716</f>
        <v>4.7</v>
      </c>
      <c r="L1511" s="19">
        <f>Ringkasan!L1716</f>
        <v>0.86</v>
      </c>
      <c r="M1511" s="19">
        <f>Ringkasan!M1716</f>
        <v>20.3</v>
      </c>
      <c r="N1511" s="64" t="str">
        <f>Ringkasan!N1716</f>
        <v/>
      </c>
      <c r="O1511" s="64" t="str">
        <f>Ringkasan!O1716</f>
        <v/>
      </c>
      <c r="P1511" s="64" t="str">
        <f>Ringkasan!P1716</f>
        <v/>
      </c>
      <c r="Q1511" s="64" t="str">
        <f>Ringkasan!Q1716</f>
        <v/>
      </c>
      <c r="R1511" s="64" t="str">
        <f>Ringkasan!R1716</f>
        <v/>
      </c>
      <c r="S1511" s="64" t="str">
        <f>Ringkasan!S1716</f>
        <v/>
      </c>
      <c r="T1511" s="64" t="str">
        <f>Ringkasan!T1716</f>
        <v/>
      </c>
      <c r="U1511" s="64">
        <f>Ringkasan!U1716</f>
        <v>2870</v>
      </c>
      <c r="V1511" s="64">
        <f>Ringkasan!V1716</f>
        <v>-0.35</v>
      </c>
      <c r="W1511" s="64">
        <f>Ringkasan!W1716</f>
        <v>2910</v>
      </c>
      <c r="X1511" s="64">
        <f>Ringkasan!X1716</f>
        <v>2980</v>
      </c>
      <c r="Y1511" s="64">
        <f>Ringkasan!Y1716</f>
        <v>2860</v>
      </c>
      <c r="Z1511" s="64">
        <f>Ringkasan!Z1716</f>
        <v>181531900</v>
      </c>
      <c r="AA1511" s="64" t="str">
        <f>Ringkasan!AA1716</f>
        <v>Telecommunication Service</v>
      </c>
      <c r="AB1511" s="64" t="str">
        <f>Ringkasan!AB1716</f>
        <v>Infrastructures</v>
      </c>
    </row>
    <row r="1512" hidden="1">
      <c r="A1512" s="64" t="str">
        <f>Ringkasan!A1717</f>
        <v>TLKM</v>
      </c>
      <c r="B1512" s="64" t="str">
        <f>Ringkasan!B1717</f>
        <v>Telkom Indonesia (Persero) Tbk.</v>
      </c>
      <c r="C1512" s="65">
        <f>Ringkasan!C1717</f>
        <v>2860</v>
      </c>
      <c r="D1512" s="64" t="str">
        <f>Ringkasan!D1717</f>
        <v>#N/A</v>
      </c>
      <c r="E1512" s="64" t="str">
        <f>Ringkasan!E1717</f>
        <v>LQ45</v>
      </c>
      <c r="F1512" s="64" t="str">
        <f>Ringkasan!F1717</f>
        <v>31 Juli 2026</v>
      </c>
      <c r="G1512" s="64">
        <f>Ringkasan!G1717</f>
        <v>19</v>
      </c>
      <c r="H1512" s="19">
        <f>Ringkasan!H1717</f>
        <v>10.1</v>
      </c>
      <c r="I1512" s="19">
        <f>Ringkasan!I1717</f>
        <v>1.9</v>
      </c>
      <c r="J1512" s="19">
        <f>Ringkasan!J1717</f>
        <v>19.1</v>
      </c>
      <c r="K1512" s="19">
        <f>Ringkasan!K1717</f>
        <v>4.7</v>
      </c>
      <c r="L1512" s="19">
        <f>Ringkasan!L1717</f>
        <v>0.86</v>
      </c>
      <c r="M1512" s="19">
        <f>Ringkasan!M1717</f>
        <v>20.3</v>
      </c>
      <c r="N1512" s="64" t="str">
        <f>Ringkasan!N1717</f>
        <v/>
      </c>
      <c r="O1512" s="64" t="str">
        <f>Ringkasan!O1717</f>
        <v/>
      </c>
      <c r="P1512" s="64" t="str">
        <f>Ringkasan!P1717</f>
        <v/>
      </c>
      <c r="Q1512" s="64" t="str">
        <f>Ringkasan!Q1717</f>
        <v/>
      </c>
      <c r="R1512" s="64" t="str">
        <f>Ringkasan!R1717</f>
        <v/>
      </c>
      <c r="S1512" s="64" t="str">
        <f>Ringkasan!S1717</f>
        <v/>
      </c>
      <c r="T1512" s="64" t="str">
        <f>Ringkasan!T1717</f>
        <v/>
      </c>
      <c r="U1512" s="64">
        <f>Ringkasan!U1717</f>
        <v>2870</v>
      </c>
      <c r="V1512" s="64">
        <f>Ringkasan!V1717</f>
        <v>-0.35</v>
      </c>
      <c r="W1512" s="64">
        <f>Ringkasan!W1717</f>
        <v>2910</v>
      </c>
      <c r="X1512" s="64">
        <f>Ringkasan!X1717</f>
        <v>2980</v>
      </c>
      <c r="Y1512" s="64">
        <f>Ringkasan!Y1717</f>
        <v>2860</v>
      </c>
      <c r="Z1512" s="64">
        <f>Ringkasan!Z1717</f>
        <v>181531900</v>
      </c>
      <c r="AA1512" s="64" t="str">
        <f>Ringkasan!AA1717</f>
        <v>Telecommunication Service</v>
      </c>
      <c r="AB1512" s="64" t="str">
        <f>Ringkasan!AB1717</f>
        <v>Infrastructures</v>
      </c>
    </row>
    <row r="1513" hidden="1">
      <c r="A1513" s="64" t="str">
        <f>Ringkasan!A1718</f>
        <v>TLKM</v>
      </c>
      <c r="B1513" s="64" t="str">
        <f>Ringkasan!B1718</f>
        <v>Telkom Indonesia (Persero) Tbk.</v>
      </c>
      <c r="C1513" s="65">
        <f>Ringkasan!C1718</f>
        <v>2860</v>
      </c>
      <c r="D1513" s="64" t="str">
        <f>Ringkasan!D1718</f>
        <v>#N/A</v>
      </c>
      <c r="E1513" s="64" t="str">
        <f>Ringkasan!E1718</f>
        <v>MNC36</v>
      </c>
      <c r="F1513" s="64" t="str">
        <f>Ringkasan!F1718</f>
        <v>30 Oktober 2026</v>
      </c>
      <c r="G1513" s="64">
        <f>Ringkasan!G1718</f>
        <v>19</v>
      </c>
      <c r="H1513" s="19">
        <f>Ringkasan!H1718</f>
        <v>10.1</v>
      </c>
      <c r="I1513" s="19">
        <f>Ringkasan!I1718</f>
        <v>1.9</v>
      </c>
      <c r="J1513" s="19">
        <f>Ringkasan!J1718</f>
        <v>19.1</v>
      </c>
      <c r="K1513" s="19">
        <f>Ringkasan!K1718</f>
        <v>4.7</v>
      </c>
      <c r="L1513" s="19">
        <f>Ringkasan!L1718</f>
        <v>0.86</v>
      </c>
      <c r="M1513" s="19">
        <f>Ringkasan!M1718</f>
        <v>20.3</v>
      </c>
      <c r="N1513" s="64" t="str">
        <f>Ringkasan!N1718</f>
        <v/>
      </c>
      <c r="O1513" s="64" t="str">
        <f>Ringkasan!O1718</f>
        <v/>
      </c>
      <c r="P1513" s="64" t="str">
        <f>Ringkasan!P1718</f>
        <v/>
      </c>
      <c r="Q1513" s="64" t="str">
        <f>Ringkasan!Q1718</f>
        <v/>
      </c>
      <c r="R1513" s="64" t="str">
        <f>Ringkasan!R1718</f>
        <v/>
      </c>
      <c r="S1513" s="64" t="str">
        <f>Ringkasan!S1718</f>
        <v/>
      </c>
      <c r="T1513" s="64" t="str">
        <f>Ringkasan!T1718</f>
        <v/>
      </c>
      <c r="U1513" s="64">
        <f>Ringkasan!U1718</f>
        <v>2870</v>
      </c>
      <c r="V1513" s="64">
        <f>Ringkasan!V1718</f>
        <v>-0.35</v>
      </c>
      <c r="W1513" s="64">
        <f>Ringkasan!W1718</f>
        <v>2910</v>
      </c>
      <c r="X1513" s="64">
        <f>Ringkasan!X1718</f>
        <v>2980</v>
      </c>
      <c r="Y1513" s="64">
        <f>Ringkasan!Y1718</f>
        <v>2860</v>
      </c>
      <c r="Z1513" s="64">
        <f>Ringkasan!Z1718</f>
        <v>181531900</v>
      </c>
      <c r="AA1513" s="64" t="str">
        <f>Ringkasan!AA1718</f>
        <v>Telecommunication Service</v>
      </c>
      <c r="AB1513" s="64" t="str">
        <f>Ringkasan!AB1718</f>
        <v>Infrastructures</v>
      </c>
    </row>
    <row r="1514" hidden="1">
      <c r="A1514" s="64" t="str">
        <f>Ringkasan!A1719</f>
        <v>TLKM</v>
      </c>
      <c r="B1514" s="64" t="str">
        <f>Ringkasan!B1719</f>
        <v>Telkom Indonesia (Persero) Tbk.</v>
      </c>
      <c r="C1514" s="65">
        <f>Ringkasan!C1719</f>
        <v>2860</v>
      </c>
      <c r="D1514" s="64" t="str">
        <f>Ringkasan!D1719</f>
        <v>#N/A</v>
      </c>
      <c r="E1514" s="64" t="str">
        <f>Ringkasan!E1719</f>
        <v>Kompas100</v>
      </c>
      <c r="F1514" s="64" t="str">
        <f>Ringkasan!F1719</f>
        <v>31 Juli 2026</v>
      </c>
      <c r="G1514" s="64">
        <f>Ringkasan!G1719</f>
        <v>19</v>
      </c>
      <c r="H1514" s="19">
        <f>Ringkasan!H1719</f>
        <v>10.1</v>
      </c>
      <c r="I1514" s="19">
        <f>Ringkasan!I1719</f>
        <v>1.9</v>
      </c>
      <c r="J1514" s="19">
        <f>Ringkasan!J1719</f>
        <v>19.1</v>
      </c>
      <c r="K1514" s="19">
        <f>Ringkasan!K1719</f>
        <v>4.7</v>
      </c>
      <c r="L1514" s="19">
        <f>Ringkasan!L1719</f>
        <v>0.86</v>
      </c>
      <c r="M1514" s="19">
        <f>Ringkasan!M1719</f>
        <v>20.3</v>
      </c>
      <c r="N1514" s="64" t="str">
        <f>Ringkasan!N1719</f>
        <v/>
      </c>
      <c r="O1514" s="64" t="str">
        <f>Ringkasan!O1719</f>
        <v/>
      </c>
      <c r="P1514" s="64" t="str">
        <f>Ringkasan!P1719</f>
        <v/>
      </c>
      <c r="Q1514" s="64" t="str">
        <f>Ringkasan!Q1719</f>
        <v/>
      </c>
      <c r="R1514" s="64" t="str">
        <f>Ringkasan!R1719</f>
        <v/>
      </c>
      <c r="S1514" s="64" t="str">
        <f>Ringkasan!S1719</f>
        <v/>
      </c>
      <c r="T1514" s="64" t="str">
        <f>Ringkasan!T1719</f>
        <v/>
      </c>
      <c r="U1514" s="64">
        <f>Ringkasan!U1719</f>
        <v>2870</v>
      </c>
      <c r="V1514" s="64">
        <f>Ringkasan!V1719</f>
        <v>-0.35</v>
      </c>
      <c r="W1514" s="64">
        <f>Ringkasan!W1719</f>
        <v>2910</v>
      </c>
      <c r="X1514" s="64">
        <f>Ringkasan!X1719</f>
        <v>2980</v>
      </c>
      <c r="Y1514" s="64">
        <f>Ringkasan!Y1719</f>
        <v>2860</v>
      </c>
      <c r="Z1514" s="64">
        <f>Ringkasan!Z1719</f>
        <v>181531900</v>
      </c>
      <c r="AA1514" s="64" t="str">
        <f>Ringkasan!AA1719</f>
        <v>Telecommunication Service</v>
      </c>
      <c r="AB1514" s="64" t="str">
        <f>Ringkasan!AB1719</f>
        <v>Infrastructures</v>
      </c>
    </row>
    <row r="1515" hidden="1">
      <c r="A1515" s="64" t="str">
        <f>Ringkasan!A1720</f>
        <v>TLKM</v>
      </c>
      <c r="B1515" s="64" t="str">
        <f>Ringkasan!B1720</f>
        <v>Telkom Indonesia (Persero) Tbk.</v>
      </c>
      <c r="C1515" s="65">
        <f>Ringkasan!C1720</f>
        <v>2860</v>
      </c>
      <c r="D1515" s="64" t="str">
        <f>Ringkasan!D1720</f>
        <v>#N/A</v>
      </c>
      <c r="E1515" s="64" t="str">
        <f>Ringkasan!E1720</f>
        <v>IDX80</v>
      </c>
      <c r="F1515" s="64" t="str">
        <f>Ringkasan!F1720</f>
        <v>31 Juli 2026</v>
      </c>
      <c r="G1515" s="64">
        <f>Ringkasan!G1720</f>
        <v>19</v>
      </c>
      <c r="H1515" s="19">
        <f>Ringkasan!H1720</f>
        <v>10.1</v>
      </c>
      <c r="I1515" s="19">
        <f>Ringkasan!I1720</f>
        <v>1.9</v>
      </c>
      <c r="J1515" s="19">
        <f>Ringkasan!J1720</f>
        <v>19.1</v>
      </c>
      <c r="K1515" s="19">
        <f>Ringkasan!K1720</f>
        <v>4.7</v>
      </c>
      <c r="L1515" s="19">
        <f>Ringkasan!L1720</f>
        <v>0.86</v>
      </c>
      <c r="M1515" s="19">
        <f>Ringkasan!M1720</f>
        <v>20.3</v>
      </c>
      <c r="N1515" s="64" t="str">
        <f>Ringkasan!N1720</f>
        <v/>
      </c>
      <c r="O1515" s="64" t="str">
        <f>Ringkasan!O1720</f>
        <v/>
      </c>
      <c r="P1515" s="64" t="str">
        <f>Ringkasan!P1720</f>
        <v/>
      </c>
      <c r="Q1515" s="64" t="str">
        <f>Ringkasan!Q1720</f>
        <v/>
      </c>
      <c r="R1515" s="64" t="str">
        <f>Ringkasan!R1720</f>
        <v/>
      </c>
      <c r="S1515" s="64" t="str">
        <f>Ringkasan!S1720</f>
        <v/>
      </c>
      <c r="T1515" s="64" t="str">
        <f>Ringkasan!T1720</f>
        <v/>
      </c>
      <c r="U1515" s="64">
        <f>Ringkasan!U1720</f>
        <v>2870</v>
      </c>
      <c r="V1515" s="64">
        <f>Ringkasan!V1720</f>
        <v>-0.35</v>
      </c>
      <c r="W1515" s="64">
        <f>Ringkasan!W1720</f>
        <v>2910</v>
      </c>
      <c r="X1515" s="64">
        <f>Ringkasan!X1720</f>
        <v>2980</v>
      </c>
      <c r="Y1515" s="64">
        <f>Ringkasan!Y1720</f>
        <v>2860</v>
      </c>
      <c r="Z1515" s="64">
        <f>Ringkasan!Z1720</f>
        <v>181531900</v>
      </c>
      <c r="AA1515" s="64" t="str">
        <f>Ringkasan!AA1720</f>
        <v>Telecommunication Service</v>
      </c>
      <c r="AB1515" s="64" t="str">
        <f>Ringkasan!AB1720</f>
        <v>Infrastructures</v>
      </c>
    </row>
    <row r="1516" hidden="1">
      <c r="A1516" s="64" t="str">
        <f>Ringkasan!A1721</f>
        <v>TLKM</v>
      </c>
      <c r="B1516" s="64" t="str">
        <f>Ringkasan!B1721</f>
        <v>Telkom Indonesia (Persero) Tbk.</v>
      </c>
      <c r="C1516" s="65">
        <f>Ringkasan!C1721</f>
        <v>2860</v>
      </c>
      <c r="D1516" s="64" t="str">
        <f>Ringkasan!D1721</f>
        <v>#N/A</v>
      </c>
      <c r="E1516" s="64" t="str">
        <f>Ringkasan!E1721</f>
        <v>IDXBUMN20</v>
      </c>
      <c r="F1516" s="64" t="str">
        <f>Ringkasan!F1721</f>
        <v>4 Agustus 2026</v>
      </c>
      <c r="G1516" s="64">
        <f>Ringkasan!G1721</f>
        <v>19</v>
      </c>
      <c r="H1516" s="19">
        <f>Ringkasan!H1721</f>
        <v>10.1</v>
      </c>
      <c r="I1516" s="19">
        <f>Ringkasan!I1721</f>
        <v>1.9</v>
      </c>
      <c r="J1516" s="19">
        <f>Ringkasan!J1721</f>
        <v>19.1</v>
      </c>
      <c r="K1516" s="19">
        <f>Ringkasan!K1721</f>
        <v>4.7</v>
      </c>
      <c r="L1516" s="19">
        <f>Ringkasan!L1721</f>
        <v>0.86</v>
      </c>
      <c r="M1516" s="19">
        <f>Ringkasan!M1721</f>
        <v>20.3</v>
      </c>
      <c r="N1516" s="64" t="str">
        <f>Ringkasan!N1721</f>
        <v/>
      </c>
      <c r="O1516" s="64" t="str">
        <f>Ringkasan!O1721</f>
        <v/>
      </c>
      <c r="P1516" s="64" t="str">
        <f>Ringkasan!P1721</f>
        <v/>
      </c>
      <c r="Q1516" s="64" t="str">
        <f>Ringkasan!Q1721</f>
        <v/>
      </c>
      <c r="R1516" s="64" t="str">
        <f>Ringkasan!R1721</f>
        <v/>
      </c>
      <c r="S1516" s="64" t="str">
        <f>Ringkasan!S1721</f>
        <v/>
      </c>
      <c r="T1516" s="64" t="str">
        <f>Ringkasan!T1721</f>
        <v/>
      </c>
      <c r="U1516" s="64">
        <f>Ringkasan!U1721</f>
        <v>2870</v>
      </c>
      <c r="V1516" s="64">
        <f>Ringkasan!V1721</f>
        <v>-0.35</v>
      </c>
      <c r="W1516" s="64">
        <f>Ringkasan!W1721</f>
        <v>2910</v>
      </c>
      <c r="X1516" s="64">
        <f>Ringkasan!X1721</f>
        <v>2980</v>
      </c>
      <c r="Y1516" s="64">
        <f>Ringkasan!Y1721</f>
        <v>2860</v>
      </c>
      <c r="Z1516" s="64">
        <f>Ringkasan!Z1721</f>
        <v>181531900</v>
      </c>
      <c r="AA1516" s="64" t="str">
        <f>Ringkasan!AA1721</f>
        <v>Telecommunication Service</v>
      </c>
      <c r="AB1516" s="64" t="str">
        <f>Ringkasan!AB1721</f>
        <v>Infrastructures</v>
      </c>
    </row>
    <row r="1517" hidden="1">
      <c r="A1517" s="64" t="str">
        <f>Ringkasan!A1722</f>
        <v>TLKM</v>
      </c>
      <c r="B1517" s="64" t="str">
        <f>Ringkasan!B1722</f>
        <v>Telkom Indonesia (Persero) Tbk.</v>
      </c>
      <c r="C1517" s="65">
        <f>Ringkasan!C1722</f>
        <v>2860</v>
      </c>
      <c r="D1517" s="64" t="str">
        <f>Ringkasan!D1722</f>
        <v>#N/A</v>
      </c>
      <c r="E1517" s="64" t="str">
        <f>Ringkasan!E1722</f>
        <v>IDXHIDIV20</v>
      </c>
      <c r="F1517" s="64" t="str">
        <f>Ringkasan!F1722</f>
        <v>2 Februari 2027</v>
      </c>
      <c r="G1517" s="64">
        <f>Ringkasan!G1722</f>
        <v>19</v>
      </c>
      <c r="H1517" s="19">
        <f>Ringkasan!H1722</f>
        <v>10.1</v>
      </c>
      <c r="I1517" s="19">
        <f>Ringkasan!I1722</f>
        <v>1.9</v>
      </c>
      <c r="J1517" s="19">
        <f>Ringkasan!J1722</f>
        <v>19.1</v>
      </c>
      <c r="K1517" s="19">
        <f>Ringkasan!K1722</f>
        <v>4.7</v>
      </c>
      <c r="L1517" s="19">
        <f>Ringkasan!L1722</f>
        <v>0.86</v>
      </c>
      <c r="M1517" s="19">
        <f>Ringkasan!M1722</f>
        <v>20.3</v>
      </c>
      <c r="N1517" s="64" t="str">
        <f>Ringkasan!N1722</f>
        <v/>
      </c>
      <c r="O1517" s="64" t="str">
        <f>Ringkasan!O1722</f>
        <v/>
      </c>
      <c r="P1517" s="64" t="str">
        <f>Ringkasan!P1722</f>
        <v/>
      </c>
      <c r="Q1517" s="64" t="str">
        <f>Ringkasan!Q1722</f>
        <v/>
      </c>
      <c r="R1517" s="64" t="str">
        <f>Ringkasan!R1722</f>
        <v/>
      </c>
      <c r="S1517" s="64" t="str">
        <f>Ringkasan!S1722</f>
        <v/>
      </c>
      <c r="T1517" s="64" t="str">
        <f>Ringkasan!T1722</f>
        <v/>
      </c>
      <c r="U1517" s="64">
        <f>Ringkasan!U1722</f>
        <v>2870</v>
      </c>
      <c r="V1517" s="64">
        <f>Ringkasan!V1722</f>
        <v>-0.35</v>
      </c>
      <c r="W1517" s="64">
        <f>Ringkasan!W1722</f>
        <v>2910</v>
      </c>
      <c r="X1517" s="64">
        <f>Ringkasan!X1722</f>
        <v>2980</v>
      </c>
      <c r="Y1517" s="64">
        <f>Ringkasan!Y1722</f>
        <v>2860</v>
      </c>
      <c r="Z1517" s="64">
        <f>Ringkasan!Z1722</f>
        <v>181531900</v>
      </c>
      <c r="AA1517" s="64" t="str">
        <f>Ringkasan!AA1722</f>
        <v>Telecommunication Service</v>
      </c>
      <c r="AB1517" s="64" t="str">
        <f>Ringkasan!AB1722</f>
        <v>Infrastructures</v>
      </c>
    </row>
    <row r="1518" hidden="1">
      <c r="A1518" s="64" t="str">
        <f>Ringkasan!A1723</f>
        <v>TLKM</v>
      </c>
      <c r="B1518" s="64" t="str">
        <f>Ringkasan!B1723</f>
        <v>Telkom Indonesia (Persero) Tbk.</v>
      </c>
      <c r="C1518" s="65">
        <f>Ringkasan!C1723</f>
        <v>2860</v>
      </c>
      <c r="D1518" s="64" t="str">
        <f>Ringkasan!D1723</f>
        <v>#N/A</v>
      </c>
      <c r="E1518" s="64" t="str">
        <f>Ringkasan!E1723</f>
        <v>IDX30</v>
      </c>
      <c r="F1518" s="64" t="str">
        <f>Ringkasan!F1723</f>
        <v>31 Juli 2026</v>
      </c>
      <c r="G1518" s="64">
        <f>Ringkasan!G1723</f>
        <v>19</v>
      </c>
      <c r="H1518" s="19">
        <f>Ringkasan!H1723</f>
        <v>10.1</v>
      </c>
      <c r="I1518" s="19">
        <f>Ringkasan!I1723</f>
        <v>1.9</v>
      </c>
      <c r="J1518" s="19">
        <f>Ringkasan!J1723</f>
        <v>19.1</v>
      </c>
      <c r="K1518" s="19">
        <f>Ringkasan!K1723</f>
        <v>4.7</v>
      </c>
      <c r="L1518" s="19">
        <f>Ringkasan!L1723</f>
        <v>0.86</v>
      </c>
      <c r="M1518" s="19">
        <f>Ringkasan!M1723</f>
        <v>20.3</v>
      </c>
      <c r="N1518" s="64" t="str">
        <f>Ringkasan!N1723</f>
        <v/>
      </c>
      <c r="O1518" s="64" t="str">
        <f>Ringkasan!O1723</f>
        <v/>
      </c>
      <c r="P1518" s="64" t="str">
        <f>Ringkasan!P1723</f>
        <v/>
      </c>
      <c r="Q1518" s="64" t="str">
        <f>Ringkasan!Q1723</f>
        <v/>
      </c>
      <c r="R1518" s="64" t="str">
        <f>Ringkasan!R1723</f>
        <v/>
      </c>
      <c r="S1518" s="64" t="str">
        <f>Ringkasan!S1723</f>
        <v/>
      </c>
      <c r="T1518" s="64" t="str">
        <f>Ringkasan!T1723</f>
        <v/>
      </c>
      <c r="U1518" s="64">
        <f>Ringkasan!U1723</f>
        <v>2870</v>
      </c>
      <c r="V1518" s="64">
        <f>Ringkasan!V1723</f>
        <v>-0.35</v>
      </c>
      <c r="W1518" s="64">
        <f>Ringkasan!W1723</f>
        <v>2910</v>
      </c>
      <c r="X1518" s="64">
        <f>Ringkasan!X1723</f>
        <v>2980</v>
      </c>
      <c r="Y1518" s="64">
        <f>Ringkasan!Y1723</f>
        <v>2860</v>
      </c>
      <c r="Z1518" s="64">
        <f>Ringkasan!Z1723</f>
        <v>181531900</v>
      </c>
      <c r="AA1518" s="64" t="str">
        <f>Ringkasan!AA1723</f>
        <v>Telecommunication Service</v>
      </c>
      <c r="AB1518" s="64" t="str">
        <f>Ringkasan!AB1723</f>
        <v>Infrastructures</v>
      </c>
    </row>
    <row r="1519" hidden="1">
      <c r="A1519" s="64" t="str">
        <f>Ringkasan!A1724</f>
        <v>TLKM</v>
      </c>
      <c r="B1519" s="64" t="str">
        <f>Ringkasan!B1724</f>
        <v>Telkom Indonesia (Persero) Tbk.</v>
      </c>
      <c r="C1519" s="65">
        <f>Ringkasan!C1724</f>
        <v>2860</v>
      </c>
      <c r="D1519" s="64" t="str">
        <f>Ringkasan!D1724</f>
        <v>#N/A</v>
      </c>
      <c r="E1519" s="64" t="str">
        <f>Ringkasan!E1724</f>
        <v>BISNIS-27</v>
      </c>
      <c r="F1519" s="64" t="str">
        <f>Ringkasan!F1724</f>
        <v>30 Oktober 2026</v>
      </c>
      <c r="G1519" s="64">
        <f>Ringkasan!G1724</f>
        <v>19</v>
      </c>
      <c r="H1519" s="19">
        <f>Ringkasan!H1724</f>
        <v>10.1</v>
      </c>
      <c r="I1519" s="19">
        <f>Ringkasan!I1724</f>
        <v>1.9</v>
      </c>
      <c r="J1519" s="19">
        <f>Ringkasan!J1724</f>
        <v>19.1</v>
      </c>
      <c r="K1519" s="19">
        <f>Ringkasan!K1724</f>
        <v>4.7</v>
      </c>
      <c r="L1519" s="19">
        <f>Ringkasan!L1724</f>
        <v>0.86</v>
      </c>
      <c r="M1519" s="19">
        <f>Ringkasan!M1724</f>
        <v>20.3</v>
      </c>
      <c r="N1519" s="64" t="str">
        <f>Ringkasan!N1724</f>
        <v/>
      </c>
      <c r="O1519" s="64" t="str">
        <f>Ringkasan!O1724</f>
        <v/>
      </c>
      <c r="P1519" s="64" t="str">
        <f>Ringkasan!P1724</f>
        <v/>
      </c>
      <c r="Q1519" s="64" t="str">
        <f>Ringkasan!Q1724</f>
        <v/>
      </c>
      <c r="R1519" s="64" t="str">
        <f>Ringkasan!R1724</f>
        <v/>
      </c>
      <c r="S1519" s="64" t="str">
        <f>Ringkasan!S1724</f>
        <v/>
      </c>
      <c r="T1519" s="64" t="str">
        <f>Ringkasan!T1724</f>
        <v/>
      </c>
      <c r="U1519" s="64">
        <f>Ringkasan!U1724</f>
        <v>2870</v>
      </c>
      <c r="V1519" s="64">
        <f>Ringkasan!V1724</f>
        <v>-0.35</v>
      </c>
      <c r="W1519" s="64">
        <f>Ringkasan!W1724</f>
        <v>2910</v>
      </c>
      <c r="X1519" s="64">
        <f>Ringkasan!X1724</f>
        <v>2980</v>
      </c>
      <c r="Y1519" s="64">
        <f>Ringkasan!Y1724</f>
        <v>2860</v>
      </c>
      <c r="Z1519" s="64">
        <f>Ringkasan!Z1724</f>
        <v>181531900</v>
      </c>
      <c r="AA1519" s="64" t="str">
        <f>Ringkasan!AA1724</f>
        <v>Telecommunication Service</v>
      </c>
      <c r="AB1519" s="64" t="str">
        <f>Ringkasan!AB1724</f>
        <v>Infrastructures</v>
      </c>
    </row>
    <row r="1520" hidden="1">
      <c r="A1520" s="64" t="str">
        <f>Ringkasan!A1725</f>
        <v>TLKM</v>
      </c>
      <c r="B1520" s="64" t="str">
        <f>Ringkasan!B1725</f>
        <v>Telkom Indonesia (Persero) Tbk.</v>
      </c>
      <c r="C1520" s="65">
        <f>Ringkasan!C1725</f>
        <v>2860</v>
      </c>
      <c r="D1520" s="64" t="str">
        <f>Ringkasan!D1725</f>
        <v>#N/A</v>
      </c>
      <c r="E1520" s="64" t="str">
        <f>Ringkasan!E1725</f>
        <v>SMINFRA18</v>
      </c>
      <c r="F1520" s="64" t="str">
        <f>Ringkasan!F1725</f>
        <v>30 Oktober 2026</v>
      </c>
      <c r="G1520" s="64">
        <f>Ringkasan!G1725</f>
        <v>19</v>
      </c>
      <c r="H1520" s="19">
        <f>Ringkasan!H1725</f>
        <v>10.1</v>
      </c>
      <c r="I1520" s="19">
        <f>Ringkasan!I1725</f>
        <v>1.9</v>
      </c>
      <c r="J1520" s="19">
        <f>Ringkasan!J1725</f>
        <v>19.1</v>
      </c>
      <c r="K1520" s="19">
        <f>Ringkasan!K1725</f>
        <v>4.7</v>
      </c>
      <c r="L1520" s="19">
        <f>Ringkasan!L1725</f>
        <v>0.86</v>
      </c>
      <c r="M1520" s="19">
        <f>Ringkasan!M1725</f>
        <v>20.3</v>
      </c>
      <c r="N1520" s="64" t="str">
        <f>Ringkasan!N1725</f>
        <v/>
      </c>
      <c r="O1520" s="64" t="str">
        <f>Ringkasan!O1725</f>
        <v/>
      </c>
      <c r="P1520" s="64" t="str">
        <f>Ringkasan!P1725</f>
        <v/>
      </c>
      <c r="Q1520" s="64" t="str">
        <f>Ringkasan!Q1725</f>
        <v/>
      </c>
      <c r="R1520" s="64" t="str">
        <f>Ringkasan!R1725</f>
        <v/>
      </c>
      <c r="S1520" s="64" t="str">
        <f>Ringkasan!S1725</f>
        <v/>
      </c>
      <c r="T1520" s="64" t="str">
        <f>Ringkasan!T1725</f>
        <v/>
      </c>
      <c r="U1520" s="64">
        <f>Ringkasan!U1725</f>
        <v>2870</v>
      </c>
      <c r="V1520" s="64">
        <f>Ringkasan!V1725</f>
        <v>-0.35</v>
      </c>
      <c r="W1520" s="64">
        <f>Ringkasan!W1725</f>
        <v>2910</v>
      </c>
      <c r="X1520" s="64">
        <f>Ringkasan!X1725</f>
        <v>2980</v>
      </c>
      <c r="Y1520" s="64">
        <f>Ringkasan!Y1725</f>
        <v>2860</v>
      </c>
      <c r="Z1520" s="64">
        <f>Ringkasan!Z1725</f>
        <v>181531900</v>
      </c>
      <c r="AA1520" s="64" t="str">
        <f>Ringkasan!AA1725</f>
        <v>Telecommunication Service</v>
      </c>
      <c r="AB1520" s="64" t="str">
        <f>Ringkasan!AB1725</f>
        <v>Infrastructures</v>
      </c>
    </row>
    <row r="1521" hidden="1">
      <c r="A1521" s="64" t="str">
        <f>Ringkasan!A1726</f>
        <v>TLKM</v>
      </c>
      <c r="B1521" s="64" t="str">
        <f>Ringkasan!B1726</f>
        <v>Telkom Indonesia (Persero) Tbk.</v>
      </c>
      <c r="C1521" s="65">
        <f>Ringkasan!C1726</f>
        <v>2860</v>
      </c>
      <c r="D1521" s="64" t="str">
        <f>Ringkasan!D1726</f>
        <v>#N/A</v>
      </c>
      <c r="E1521" s="64" t="str">
        <f>Ringkasan!E1726</f>
        <v>IDXESGL</v>
      </c>
      <c r="F1521" s="64" t="str">
        <f>Ringkasan!F1726</f>
        <v>30 Oktober 2026</v>
      </c>
      <c r="G1521" s="64">
        <f>Ringkasan!G1726</f>
        <v>19</v>
      </c>
      <c r="H1521" s="19">
        <f>Ringkasan!H1726</f>
        <v>10.1</v>
      </c>
      <c r="I1521" s="19">
        <f>Ringkasan!I1726</f>
        <v>1.9</v>
      </c>
      <c r="J1521" s="19">
        <f>Ringkasan!J1726</f>
        <v>19.1</v>
      </c>
      <c r="K1521" s="19">
        <f>Ringkasan!K1726</f>
        <v>4.7</v>
      </c>
      <c r="L1521" s="19">
        <f>Ringkasan!L1726</f>
        <v>0.86</v>
      </c>
      <c r="M1521" s="19">
        <f>Ringkasan!M1726</f>
        <v>20.3</v>
      </c>
      <c r="N1521" s="64" t="str">
        <f>Ringkasan!N1726</f>
        <v/>
      </c>
      <c r="O1521" s="64" t="str">
        <f>Ringkasan!O1726</f>
        <v/>
      </c>
      <c r="P1521" s="64" t="str">
        <f>Ringkasan!P1726</f>
        <v/>
      </c>
      <c r="Q1521" s="64" t="str">
        <f>Ringkasan!Q1726</f>
        <v/>
      </c>
      <c r="R1521" s="64" t="str">
        <f>Ringkasan!R1726</f>
        <v/>
      </c>
      <c r="S1521" s="64" t="str">
        <f>Ringkasan!S1726</f>
        <v/>
      </c>
      <c r="T1521" s="64" t="str">
        <f>Ringkasan!T1726</f>
        <v/>
      </c>
      <c r="U1521" s="64">
        <f>Ringkasan!U1726</f>
        <v>2870</v>
      </c>
      <c r="V1521" s="64">
        <f>Ringkasan!V1726</f>
        <v>-0.35</v>
      </c>
      <c r="W1521" s="64">
        <f>Ringkasan!W1726</f>
        <v>2910</v>
      </c>
      <c r="X1521" s="64">
        <f>Ringkasan!X1726</f>
        <v>2980</v>
      </c>
      <c r="Y1521" s="64">
        <f>Ringkasan!Y1726</f>
        <v>2860</v>
      </c>
      <c r="Z1521" s="64">
        <f>Ringkasan!Z1726</f>
        <v>181531900</v>
      </c>
      <c r="AA1521" s="64" t="str">
        <f>Ringkasan!AA1726</f>
        <v>Telecommunication Service</v>
      </c>
      <c r="AB1521" s="64" t="str">
        <f>Ringkasan!AB1726</f>
        <v>Infrastructures</v>
      </c>
    </row>
    <row r="1522" hidden="1">
      <c r="A1522" s="64" t="str">
        <f>Ringkasan!A1728</f>
        <v>TMAS</v>
      </c>
      <c r="B1522" s="64" t="str">
        <f>Ringkasan!B1728</f>
        <v>PT Temas Tbk.</v>
      </c>
      <c r="C1522" s="65">
        <f>Ringkasan!C1728</f>
        <v>117</v>
      </c>
      <c r="D1522" s="64" t="str">
        <f>Ringkasan!D1728</f>
        <v>#N/A</v>
      </c>
      <c r="E1522" s="64" t="str">
        <f>Ringkasan!E1728</f>
        <v/>
      </c>
      <c r="F1522" s="64" t="str">
        <f>Ringkasan!F1728</f>
        <v/>
      </c>
      <c r="G1522" s="65">
        <f>Ringkasan!G1728</f>
        <v>0</v>
      </c>
      <c r="H1522" s="19">
        <f>Ringkasan!H1728</f>
        <v>12.9</v>
      </c>
      <c r="I1522" s="19">
        <f>Ringkasan!I1728</f>
        <v>2.1</v>
      </c>
      <c r="J1522" s="19">
        <f>Ringkasan!J1728</f>
        <v>15.9</v>
      </c>
      <c r="K1522" s="19">
        <f>Ringkasan!K1728</f>
        <v>9.3</v>
      </c>
      <c r="L1522" s="19">
        <f>Ringkasan!L1728</f>
        <v>0.7</v>
      </c>
      <c r="M1522" s="19">
        <f>Ringkasan!M1728</f>
        <v>45.7</v>
      </c>
      <c r="N1522" s="64" t="str">
        <f>Ringkasan!N1728</f>
        <v/>
      </c>
      <c r="O1522" s="64" t="str">
        <f>Ringkasan!O1728</f>
        <v/>
      </c>
      <c r="P1522" s="64" t="str">
        <f>Ringkasan!P1728</f>
        <v/>
      </c>
      <c r="Q1522" s="64" t="str">
        <f>Ringkasan!Q1728</f>
        <v/>
      </c>
      <c r="R1522" s="64" t="str">
        <f>Ringkasan!R1728</f>
        <v/>
      </c>
      <c r="S1522" s="64" t="str">
        <f>Ringkasan!S1728</f>
        <v/>
      </c>
      <c r="T1522" s="64" t="str">
        <f>Ringkasan!T1728</f>
        <v/>
      </c>
      <c r="U1522" s="64">
        <f>Ringkasan!U1728</f>
        <v>0.11</v>
      </c>
      <c r="V1522" s="64">
        <f>Ringkasan!V1728</f>
        <v>0</v>
      </c>
      <c r="W1522" s="64">
        <f>Ringkasan!W1728</f>
        <v>0.11</v>
      </c>
      <c r="X1522" s="64">
        <f>Ringkasan!X1728</f>
        <v>0.11</v>
      </c>
      <c r="Y1522" s="64">
        <f>Ringkasan!Y1728</f>
        <v>0.1</v>
      </c>
      <c r="Z1522" s="64">
        <f>Ringkasan!Z1728</f>
        <v>121768</v>
      </c>
      <c r="AA1522" s="64" t="str">
        <f>Ringkasan!AA1728</f>
        <v>Logistics &amp; Deliveries</v>
      </c>
      <c r="AB1522" s="64" t="str">
        <f>Ringkasan!AB1728</f>
        <v>Transportation &amp; Logistic</v>
      </c>
    </row>
    <row r="1523" hidden="1">
      <c r="A1523" s="64" t="str">
        <f>Ringkasan!A1729</f>
        <v>TMPO</v>
      </c>
      <c r="B1523" s="64" t="str">
        <f>Ringkasan!B1729</f>
        <v>Tempo Intimedia Tbk.</v>
      </c>
      <c r="C1523" s="65" t="str">
        <f>Ringkasan!C1729</f>
        <v>#N/A</v>
      </c>
      <c r="D1523" s="64" t="str">
        <f>Ringkasan!D1729</f>
        <v>#N/A</v>
      </c>
      <c r="E1523" s="64" t="str">
        <f>Ringkasan!E1729</f>
        <v/>
      </c>
      <c r="F1523" s="64" t="str">
        <f>Ringkasan!F1729</f>
        <v/>
      </c>
      <c r="G1523" s="64">
        <f>Ringkasan!G1729</f>
        <v>0</v>
      </c>
      <c r="H1523" s="19">
        <f>Ringkasan!H1729</f>
        <v>46.1</v>
      </c>
      <c r="I1523" s="19">
        <f>Ringkasan!I1729</f>
        <v>0.45</v>
      </c>
      <c r="J1523" s="19">
        <f>Ringkasan!J1729</f>
        <v>0.98</v>
      </c>
      <c r="K1523" s="19">
        <f>Ringkasan!K1729</f>
        <v>0.57</v>
      </c>
      <c r="L1523" s="19">
        <f>Ringkasan!L1729</f>
        <v>0.72</v>
      </c>
      <c r="M1523" s="19">
        <f>Ringkasan!M1729</f>
        <v>6.7</v>
      </c>
      <c r="N1523" s="64" t="str">
        <f>Ringkasan!N1729</f>
        <v/>
      </c>
      <c r="O1523" s="64" t="str">
        <f>Ringkasan!O1729</f>
        <v/>
      </c>
      <c r="P1523" s="64" t="str">
        <f>Ringkasan!P1729</f>
        <v/>
      </c>
      <c r="Q1523" s="64" t="str">
        <f>Ringkasan!Q1729</f>
        <v/>
      </c>
      <c r="R1523" s="64" t="str">
        <f>Ringkasan!R1729</f>
        <v/>
      </c>
      <c r="S1523" s="64" t="str">
        <f>Ringkasan!S1729</f>
        <v/>
      </c>
      <c r="T1523" s="64" t="str">
        <f>Ringkasan!T1729</f>
        <v/>
      </c>
      <c r="U1523" s="64">
        <f>Ringkasan!U1729</f>
        <v>126</v>
      </c>
      <c r="V1523" s="64">
        <f>Ringkasan!V1729</f>
        <v>3.17</v>
      </c>
      <c r="W1523" s="64">
        <f>Ringkasan!W1729</f>
        <v>141</v>
      </c>
      <c r="X1523" s="64">
        <f>Ringkasan!X1729</f>
        <v>165</v>
      </c>
      <c r="Y1523" s="64">
        <f>Ringkasan!Y1729</f>
        <v>126</v>
      </c>
      <c r="Z1523" s="64">
        <f>Ringkasan!Z1729</f>
        <v>120906300</v>
      </c>
      <c r="AA1523" s="64" t="str">
        <f>Ringkasan!AA1729</f>
        <v>Media</v>
      </c>
      <c r="AB1523" s="64" t="str">
        <f>Ringkasan!AB1729</f>
        <v>Consumer Cyclicals</v>
      </c>
    </row>
    <row r="1524" hidden="1">
      <c r="A1524" s="64" t="str">
        <f>Ringkasan!A1730</f>
        <v>TNCA</v>
      </c>
      <c r="B1524" s="64" t="str">
        <f>Ringkasan!B1730</f>
        <v>Trimuda Nuansa Citra Tbk.</v>
      </c>
      <c r="C1524" s="65">
        <f>Ringkasan!C1730</f>
        <v>145</v>
      </c>
      <c r="D1524" s="64" t="str">
        <f>Ringkasan!D1730</f>
        <v>#N/A</v>
      </c>
      <c r="E1524" s="64" t="str">
        <f>Ringkasan!E1730</f>
        <v/>
      </c>
      <c r="F1524" s="64" t="str">
        <f>Ringkasan!F1730</f>
        <v/>
      </c>
      <c r="G1524" s="64">
        <f>Ringkasan!G1730</f>
        <v>0</v>
      </c>
      <c r="H1524" s="19">
        <f>Ringkasan!H1730</f>
        <v>-18.5</v>
      </c>
      <c r="I1524" s="19">
        <f>Ringkasan!I1730</f>
        <v>1.7</v>
      </c>
      <c r="J1524" s="19">
        <f>Ringkasan!J1730</f>
        <v>-9.4</v>
      </c>
      <c r="K1524" s="19">
        <f>Ringkasan!K1730</f>
        <v>-7</v>
      </c>
      <c r="L1524" s="19">
        <f>Ringkasan!L1730</f>
        <v>0.35</v>
      </c>
      <c r="M1524" s="19">
        <f>Ringkasan!M1730</f>
        <v>-20.7</v>
      </c>
      <c r="N1524" s="64" t="str">
        <f>Ringkasan!N1730</f>
        <v/>
      </c>
      <c r="O1524" s="64" t="str">
        <f>Ringkasan!O1730</f>
        <v/>
      </c>
      <c r="P1524" s="64" t="str">
        <f>Ringkasan!P1730</f>
        <v/>
      </c>
      <c r="Q1524" s="64" t="str">
        <f>Ringkasan!Q1730</f>
        <v/>
      </c>
      <c r="R1524" s="64" t="str">
        <f>Ringkasan!R1730</f>
        <v/>
      </c>
      <c r="S1524" s="64" t="str">
        <f>Ringkasan!S1730</f>
        <v/>
      </c>
      <c r="T1524" s="64" t="str">
        <f>Ringkasan!T1730</f>
        <v/>
      </c>
      <c r="U1524" s="64">
        <f>Ringkasan!U1730</f>
        <v>137</v>
      </c>
      <c r="V1524" s="64">
        <f>Ringkasan!V1730</f>
        <v>5.84</v>
      </c>
      <c r="W1524" s="64">
        <f>Ringkasan!W1730</f>
        <v>138</v>
      </c>
      <c r="X1524" s="64">
        <f>Ringkasan!X1730</f>
        <v>149</v>
      </c>
      <c r="Y1524" s="64">
        <f>Ringkasan!Y1730</f>
        <v>138</v>
      </c>
      <c r="Z1524" s="64">
        <f>Ringkasan!Z1730</f>
        <v>52100</v>
      </c>
      <c r="AA1524" s="64" t="str">
        <f>Ringkasan!AA1730</f>
        <v>Logistics &amp; Deliveries</v>
      </c>
      <c r="AB1524" s="64" t="str">
        <f>Ringkasan!AB1730</f>
        <v>Transportation &amp; Logistic</v>
      </c>
    </row>
    <row r="1525" hidden="1">
      <c r="A1525" s="64" t="str">
        <f>Ringkasan!A1551</f>
        <v>SEMA</v>
      </c>
      <c r="B1525" s="64" t="str">
        <f>Ringkasan!B1551</f>
        <v>Semacom Integrated Tbk.</v>
      </c>
      <c r="C1525" s="65">
        <f>Ringkasan!C1551</f>
        <v>93</v>
      </c>
      <c r="D1525" s="64" t="str">
        <f>Ringkasan!D1551</f>
        <v>#N/A</v>
      </c>
      <c r="E1525" s="64" t="str">
        <f>Ringkasan!E1551</f>
        <v/>
      </c>
      <c r="F1525" s="64" t="str">
        <f>Ringkasan!F1551</f>
        <v/>
      </c>
      <c r="G1525" s="64">
        <f>Ringkasan!G1551</f>
        <v>0</v>
      </c>
      <c r="H1525" s="19">
        <f>Ringkasan!H1551</f>
        <v>15.1</v>
      </c>
      <c r="I1525" s="19">
        <f>Ringkasan!I1551</f>
        <v>0.8</v>
      </c>
      <c r="J1525" s="19">
        <f>Ringkasan!J1551</f>
        <v>5.3</v>
      </c>
      <c r="K1525" s="19">
        <f>Ringkasan!K1551</f>
        <v>3.7</v>
      </c>
      <c r="L1525" s="19">
        <f>Ringkasan!L1551</f>
        <v>0.42</v>
      </c>
      <c r="M1525" s="19">
        <f>Ringkasan!M1551</f>
        <v>28.7</v>
      </c>
      <c r="N1525" s="64" t="str">
        <f>Ringkasan!N1551</f>
        <v/>
      </c>
      <c r="O1525" s="64" t="str">
        <f>Ringkasan!O1551</f>
        <v/>
      </c>
      <c r="P1525" s="64" t="str">
        <f>Ringkasan!P1551</f>
        <v/>
      </c>
      <c r="Q1525" s="64" t="str">
        <f>Ringkasan!Q1551</f>
        <v/>
      </c>
      <c r="R1525" s="64" t="str">
        <f>Ringkasan!R1551</f>
        <v/>
      </c>
      <c r="S1525" s="64" t="str">
        <f>Ringkasan!S1551</f>
        <v/>
      </c>
      <c r="T1525" s="64" t="str">
        <f>Ringkasan!T1551</f>
        <v/>
      </c>
      <c r="U1525" s="64">
        <f>Ringkasan!U1551</f>
        <v>4706</v>
      </c>
      <c r="V1525" s="64">
        <f>Ringkasan!V1551</f>
        <v>3.06</v>
      </c>
      <c r="W1525" s="64">
        <f>Ringkasan!W1551</f>
        <v>4770.2</v>
      </c>
      <c r="X1525" s="64">
        <f>Ringkasan!X1551</f>
        <v>4850</v>
      </c>
      <c r="Y1525" s="64">
        <f>Ringkasan!Y1551</f>
        <v>4762</v>
      </c>
      <c r="Z1525" s="64">
        <f>Ringkasan!Z1551</f>
        <v>14981</v>
      </c>
      <c r="AA1525" s="64" t="str">
        <f>Ringkasan!AA1551</f>
        <v>Alternative Energy Equipment</v>
      </c>
      <c r="AB1525" s="64" t="str">
        <f>Ringkasan!AB1551</f>
        <v>Energy</v>
      </c>
    </row>
    <row r="1526" hidden="1">
      <c r="A1526" s="64" t="str">
        <f>Ringkasan!A1552</f>
        <v>SFAN</v>
      </c>
      <c r="B1526" s="64" t="str">
        <f>Ringkasan!B1552</f>
        <v>Surya Fajar Capital Tbk.</v>
      </c>
      <c r="C1526" s="65">
        <f>Ringkasan!C1552</f>
        <v>1970</v>
      </c>
      <c r="D1526" s="64" t="str">
        <f>Ringkasan!D1552</f>
        <v>#N/A</v>
      </c>
      <c r="E1526" s="64" t="str">
        <f>Ringkasan!E1552</f>
        <v/>
      </c>
      <c r="F1526" s="64" t="str">
        <f>Ringkasan!F1552</f>
        <v/>
      </c>
      <c r="G1526" s="64">
        <f>Ringkasan!G1552</f>
        <v>0</v>
      </c>
      <c r="H1526" s="19">
        <f>Ringkasan!H1552</f>
        <v>-170</v>
      </c>
      <c r="I1526" s="19">
        <f>Ringkasan!I1552</f>
        <v>21.2</v>
      </c>
      <c r="J1526" s="19">
        <f>Ringkasan!J1552</f>
        <v>-12.7</v>
      </c>
      <c r="K1526" s="19">
        <f>Ringkasan!K1552</f>
        <v>-10.9</v>
      </c>
      <c r="L1526" s="19">
        <f>Ringkasan!L1552</f>
        <v>0.17</v>
      </c>
      <c r="M1526" s="19">
        <f>Ringkasan!M1552</f>
        <v>0</v>
      </c>
      <c r="N1526" s="64" t="str">
        <f>Ringkasan!N1552</f>
        <v/>
      </c>
      <c r="O1526" s="64" t="str">
        <f>Ringkasan!O1552</f>
        <v/>
      </c>
      <c r="P1526" s="64" t="str">
        <f>Ringkasan!P1552</f>
        <v/>
      </c>
      <c r="Q1526" s="64" t="str">
        <f>Ringkasan!Q1552</f>
        <v/>
      </c>
      <c r="R1526" s="64" t="str">
        <f>Ringkasan!R1552</f>
        <v/>
      </c>
      <c r="S1526" s="64" t="str">
        <f>Ringkasan!S1552</f>
        <v/>
      </c>
      <c r="T1526" s="64" t="str">
        <f>Ringkasan!T1552</f>
        <v/>
      </c>
      <c r="U1526" s="64">
        <f>Ringkasan!U1552</f>
        <v>1960</v>
      </c>
      <c r="V1526" s="64">
        <f>Ringkasan!V1552</f>
        <v>0.51</v>
      </c>
      <c r="W1526" s="64">
        <f>Ringkasan!W1552</f>
        <v>1960</v>
      </c>
      <c r="X1526" s="64">
        <f>Ringkasan!X1552</f>
        <v>1975</v>
      </c>
      <c r="Y1526" s="64">
        <f>Ringkasan!Y1552</f>
        <v>1960</v>
      </c>
      <c r="Z1526" s="64">
        <f>Ringkasan!Z1552</f>
        <v>48600</v>
      </c>
      <c r="AA1526" s="64" t="str">
        <f>Ringkasan!AA1552</f>
        <v>Holding &amp; Investment Companies</v>
      </c>
      <c r="AB1526" s="64" t="str">
        <f>Ringkasan!AB1552</f>
        <v>Financials</v>
      </c>
    </row>
    <row r="1527" hidden="1">
      <c r="A1527" s="64" t="str">
        <f>Ringkasan!A1526</f>
        <v>SAFE</v>
      </c>
      <c r="B1527" s="64" t="str">
        <f>Ringkasan!B1526</f>
        <v>Steady Safe Tbk</v>
      </c>
      <c r="C1527" s="65">
        <f>Ringkasan!C1526</f>
        <v>324</v>
      </c>
      <c r="D1527" s="64" t="str">
        <f>Ringkasan!D1526</f>
        <v>#N/A</v>
      </c>
      <c r="E1527" s="64" t="str">
        <f>Ringkasan!E1526</f>
        <v/>
      </c>
      <c r="F1527" s="64" t="str">
        <f>Ringkasan!F1526</f>
        <v/>
      </c>
      <c r="G1527" s="64">
        <f>Ringkasan!G1526</f>
        <v>0</v>
      </c>
      <c r="H1527" s="19">
        <f>Ringkasan!H1526</f>
        <v>7.9</v>
      </c>
      <c r="I1527" s="19">
        <f>Ringkasan!I1526</f>
        <v>3.9</v>
      </c>
      <c r="J1527" s="19">
        <f>Ringkasan!J1526</f>
        <v>49.4</v>
      </c>
      <c r="K1527" s="19">
        <f>Ringkasan!K1526</f>
        <v>17.2</v>
      </c>
      <c r="L1527" s="19">
        <f>Ringkasan!L1526</f>
        <v>1.9</v>
      </c>
      <c r="M1527" s="19">
        <f>Ringkasan!M1526</f>
        <v>67.6</v>
      </c>
      <c r="N1527" s="64" t="str">
        <f>Ringkasan!N1526</f>
        <v/>
      </c>
      <c r="O1527" s="64" t="str">
        <f>Ringkasan!O1526</f>
        <v/>
      </c>
      <c r="P1527" s="64" t="str">
        <f>Ringkasan!P1526</f>
        <v/>
      </c>
      <c r="Q1527" s="64" t="str">
        <f>Ringkasan!Q1526</f>
        <v/>
      </c>
      <c r="R1527" s="64" t="str">
        <f>Ringkasan!R1526</f>
        <v/>
      </c>
      <c r="S1527" s="64" t="str">
        <f>Ringkasan!S1526</f>
        <v/>
      </c>
      <c r="T1527" s="64" t="str">
        <f>Ringkasan!T1526</f>
        <v/>
      </c>
      <c r="U1527" s="64">
        <f>Ringkasan!U1526</f>
        <v>16.09</v>
      </c>
      <c r="V1527" s="64">
        <f>Ringkasan!V1526</f>
        <v>-1.74</v>
      </c>
      <c r="W1527" s="64">
        <f>Ringkasan!W1526</f>
        <v>16.11</v>
      </c>
      <c r="X1527" s="64">
        <f>Ringkasan!X1526</f>
        <v>16.29</v>
      </c>
      <c r="Y1527" s="64">
        <f>Ringkasan!Y1526</f>
        <v>15.78</v>
      </c>
      <c r="Z1527" s="64">
        <f>Ringkasan!Z1526</f>
        <v>375755</v>
      </c>
      <c r="AA1527" s="64" t="str">
        <f>Ringkasan!AA1526</f>
        <v>Passenger Land Transportation</v>
      </c>
      <c r="AB1527" s="64" t="str">
        <f>Ringkasan!AB1526</f>
        <v>Transportation &amp; Logistic</v>
      </c>
    </row>
    <row r="1528" hidden="1">
      <c r="A1528" s="64" t="str">
        <f>Ringkasan!A1527</f>
        <v>SAGE</v>
      </c>
      <c r="B1528" s="64" t="str">
        <f>Ringkasan!B1527</f>
        <v>PT Saptausaha Gemilangindah Tbk</v>
      </c>
      <c r="C1528" s="65">
        <f>Ringkasan!C1527</f>
        <v>26</v>
      </c>
      <c r="D1528" s="64" t="str">
        <f>Ringkasan!D1527</f>
        <v>#N/A</v>
      </c>
      <c r="E1528" s="64" t="str">
        <f>Ringkasan!E1527</f>
        <v/>
      </c>
      <c r="F1528" s="64" t="str">
        <f>Ringkasan!F1527</f>
        <v/>
      </c>
      <c r="G1528" s="64">
        <f>Ringkasan!G1527</f>
        <v>0</v>
      </c>
      <c r="H1528" s="19">
        <f>Ringkasan!H1527</f>
        <v>-76.4</v>
      </c>
      <c r="I1528" s="19">
        <f>Ringkasan!I1527</f>
        <v>0.96</v>
      </c>
      <c r="J1528" s="19">
        <f>Ringkasan!J1527</f>
        <v>-1.3</v>
      </c>
      <c r="K1528" s="19">
        <f>Ringkasan!K1527</f>
        <v>-1.1</v>
      </c>
      <c r="L1528" s="19">
        <f>Ringkasan!L1527</f>
        <v>0.13</v>
      </c>
      <c r="M1528" s="19">
        <f>Ringkasan!M1527</f>
        <v>-180</v>
      </c>
      <c r="N1528" s="64" t="str">
        <f>Ringkasan!N1527</f>
        <v/>
      </c>
      <c r="O1528" s="64" t="str">
        <f>Ringkasan!O1527</f>
        <v/>
      </c>
      <c r="P1528" s="64" t="str">
        <f>Ringkasan!P1527</f>
        <v/>
      </c>
      <c r="Q1528" s="64" t="str">
        <f>Ringkasan!Q1527</f>
        <v/>
      </c>
      <c r="R1528" s="64" t="str">
        <f>Ringkasan!R1527</f>
        <v/>
      </c>
      <c r="S1528" s="64" t="str">
        <f>Ringkasan!S1527</f>
        <v/>
      </c>
      <c r="T1528" s="64" t="str">
        <f>Ringkasan!T1527</f>
        <v/>
      </c>
      <c r="U1528" s="64">
        <f>Ringkasan!U1527</f>
        <v>0.12</v>
      </c>
      <c r="V1528" s="64">
        <f>Ringkasan!V1527</f>
        <v>8.33</v>
      </c>
      <c r="W1528" s="64">
        <f>Ringkasan!W1527</f>
        <v>0.13</v>
      </c>
      <c r="X1528" s="64">
        <f>Ringkasan!X1527</f>
        <v>0.13</v>
      </c>
      <c r="Y1528" s="64">
        <f>Ringkasan!Y1527</f>
        <v>0.13</v>
      </c>
      <c r="Z1528" s="64">
        <f>Ringkasan!Z1527</f>
        <v>29206</v>
      </c>
      <c r="AA1528" s="64" t="str">
        <f>Ringkasan!AA1527</f>
        <v>Real Estate Management &amp; Development</v>
      </c>
      <c r="AB1528" s="64" t="str">
        <f>Ringkasan!AB1527</f>
        <v>Properties &amp; Real Estate</v>
      </c>
    </row>
    <row r="1529" hidden="1">
      <c r="A1529" s="64" t="str">
        <f>Ringkasan!A1528</f>
        <v>SAME</v>
      </c>
      <c r="B1529" s="64" t="str">
        <f>Ringkasan!B1528</f>
        <v>Sarana Meditama Metropolitan Tbk</v>
      </c>
      <c r="C1529" s="65">
        <f>Ringkasan!C1528</f>
        <v>300</v>
      </c>
      <c r="D1529" s="64" t="str">
        <f>Ringkasan!D1528</f>
        <v>#N/A</v>
      </c>
      <c r="E1529" s="64" t="str">
        <f>Ringkasan!E1528</f>
        <v/>
      </c>
      <c r="F1529" s="64" t="str">
        <f>Ringkasan!F1528</f>
        <v/>
      </c>
      <c r="G1529" s="64">
        <f>Ringkasan!G1528</f>
        <v>0</v>
      </c>
      <c r="H1529" s="19">
        <f>Ringkasan!H1528</f>
        <v>290</v>
      </c>
      <c r="I1529" s="19">
        <f>Ringkasan!I1528</f>
        <v>1.3</v>
      </c>
      <c r="J1529" s="19">
        <f>Ringkasan!J1528</f>
        <v>0.47</v>
      </c>
      <c r="K1529" s="19">
        <f>Ringkasan!K1528</f>
        <v>0.34</v>
      </c>
      <c r="L1529" s="19">
        <f>Ringkasan!L1528</f>
        <v>0.38</v>
      </c>
      <c r="M1529" s="19">
        <f>Ringkasan!M1528</f>
        <v>4.1</v>
      </c>
      <c r="N1529" s="64" t="str">
        <f>Ringkasan!N1528</f>
        <v/>
      </c>
      <c r="O1529" s="64" t="str">
        <f>Ringkasan!O1528</f>
        <v/>
      </c>
      <c r="P1529" s="64" t="str">
        <f>Ringkasan!P1528</f>
        <v/>
      </c>
      <c r="Q1529" s="64" t="str">
        <f>Ringkasan!Q1528</f>
        <v/>
      </c>
      <c r="R1529" s="64" t="str">
        <f>Ringkasan!R1528</f>
        <v/>
      </c>
      <c r="S1529" s="64" t="str">
        <f>Ringkasan!S1528</f>
        <v/>
      </c>
      <c r="T1529" s="64" t="str">
        <f>Ringkasan!T1528</f>
        <v/>
      </c>
      <c r="U1529" s="64">
        <f>Ringkasan!U1528</f>
        <v>298</v>
      </c>
      <c r="V1529" s="64">
        <f>Ringkasan!V1528</f>
        <v>0.67</v>
      </c>
      <c r="W1529" s="64">
        <f>Ringkasan!W1528</f>
        <v>298</v>
      </c>
      <c r="X1529" s="64">
        <f>Ringkasan!X1528</f>
        <v>314</v>
      </c>
      <c r="Y1529" s="64">
        <f>Ringkasan!Y1528</f>
        <v>298</v>
      </c>
      <c r="Z1529" s="64">
        <f>Ringkasan!Z1528</f>
        <v>940300</v>
      </c>
      <c r="AA1529" s="64" t="str">
        <f>Ringkasan!AA1528</f>
        <v>Healthcare Providers</v>
      </c>
      <c r="AB1529" s="64" t="str">
        <f>Ringkasan!AB1528</f>
        <v>Healthcare</v>
      </c>
    </row>
    <row r="1530" hidden="1">
      <c r="A1530" s="64" t="str">
        <f>Ringkasan!A1529</f>
        <v>SAMF</v>
      </c>
      <c r="B1530" s="64" t="str">
        <f>Ringkasan!B1529</f>
        <v>Saraswanti Anugerah Makmur Tbk.</v>
      </c>
      <c r="C1530" s="65">
        <f>Ringkasan!C1529</f>
        <v>272</v>
      </c>
      <c r="D1530" s="64" t="str">
        <f>Ringkasan!D1529</f>
        <v>#N/A</v>
      </c>
      <c r="E1530" s="64" t="str">
        <f>Ringkasan!E1529</f>
        <v/>
      </c>
      <c r="F1530" s="64" t="str">
        <f>Ringkasan!F1529</f>
        <v/>
      </c>
      <c r="G1530" s="65">
        <f>Ringkasan!G1529</f>
        <v>0</v>
      </c>
      <c r="H1530" s="19">
        <f>Ringkasan!H1529</f>
        <v>11.9</v>
      </c>
      <c r="I1530" s="19">
        <f>Ringkasan!I1529</f>
        <v>1.5</v>
      </c>
      <c r="J1530" s="19">
        <f>Ringkasan!J1529</f>
        <v>12.9</v>
      </c>
      <c r="K1530" s="19">
        <f>Ringkasan!K1529</f>
        <v>7.1</v>
      </c>
      <c r="L1530" s="19">
        <f>Ringkasan!L1529</f>
        <v>0.82</v>
      </c>
      <c r="M1530" s="19">
        <f>Ringkasan!M1529</f>
        <v>41.4</v>
      </c>
      <c r="N1530" s="64" t="str">
        <f>Ringkasan!N1529</f>
        <v/>
      </c>
      <c r="O1530" s="64" t="str">
        <f>Ringkasan!O1529</f>
        <v/>
      </c>
      <c r="P1530" s="64" t="str">
        <f>Ringkasan!P1529</f>
        <v/>
      </c>
      <c r="Q1530" s="64" t="str">
        <f>Ringkasan!Q1529</f>
        <v/>
      </c>
      <c r="R1530" s="64" t="str">
        <f>Ringkasan!R1529</f>
        <v/>
      </c>
      <c r="S1530" s="64" t="str">
        <f>Ringkasan!S1529</f>
        <v/>
      </c>
      <c r="T1530" s="64" t="str">
        <f>Ringkasan!T1529</f>
        <v/>
      </c>
      <c r="U1530" s="64">
        <f>Ringkasan!U1529</f>
        <v>266</v>
      </c>
      <c r="V1530" s="64">
        <f>Ringkasan!V1529</f>
        <v>2.26</v>
      </c>
      <c r="W1530" s="64">
        <f>Ringkasan!W1529</f>
        <v>264</v>
      </c>
      <c r="X1530" s="64">
        <f>Ringkasan!X1529</f>
        <v>278</v>
      </c>
      <c r="Y1530" s="64">
        <f>Ringkasan!Y1529</f>
        <v>262</v>
      </c>
      <c r="Z1530" s="64" t="str">
        <f>Ringkasan!Z1529</f>
        <v/>
      </c>
      <c r="AA1530" s="64" t="str">
        <f>Ringkasan!AA1529</f>
        <v>Chemicals</v>
      </c>
      <c r="AB1530" s="64" t="str">
        <f>Ringkasan!AB1529</f>
        <v>Basic Materials</v>
      </c>
    </row>
    <row r="1531" hidden="1">
      <c r="A1531" s="64" t="str">
        <f>Ringkasan!A1530</f>
        <v>SAPX</v>
      </c>
      <c r="B1531" s="64" t="str">
        <f>Ringkasan!B1530</f>
        <v>Satria Antaran Prima Tbk.</v>
      </c>
      <c r="C1531" s="65">
        <f>Ringkasan!C1530</f>
        <v>216</v>
      </c>
      <c r="D1531" s="64" t="str">
        <f>Ringkasan!D1530</f>
        <v>#N/A</v>
      </c>
      <c r="E1531" s="64" t="str">
        <f>Ringkasan!E1530</f>
        <v/>
      </c>
      <c r="F1531" s="64" t="str">
        <f>Ringkasan!F1530</f>
        <v/>
      </c>
      <c r="G1531" s="64">
        <f>Ringkasan!G1530</f>
        <v>0</v>
      </c>
      <c r="H1531" s="19">
        <f>Ringkasan!H1530</f>
        <v>150</v>
      </c>
      <c r="I1531" s="19">
        <f>Ringkasan!I1530</f>
        <v>0.79</v>
      </c>
      <c r="J1531" s="19">
        <f>Ringkasan!J1530</f>
        <v>0.53</v>
      </c>
      <c r="K1531" s="19">
        <f>Ringkasan!K1530</f>
        <v>0.26</v>
      </c>
      <c r="L1531" s="19">
        <f>Ringkasan!L1530</f>
        <v>1</v>
      </c>
      <c r="M1531" s="19">
        <f>Ringkasan!M1530</f>
        <v>0.99</v>
      </c>
      <c r="N1531" s="64" t="str">
        <f>Ringkasan!N1530</f>
        <v/>
      </c>
      <c r="O1531" s="64" t="str">
        <f>Ringkasan!O1530</f>
        <v/>
      </c>
      <c r="P1531" s="64" t="str">
        <f>Ringkasan!P1530</f>
        <v/>
      </c>
      <c r="Q1531" s="64" t="str">
        <f>Ringkasan!Q1530</f>
        <v/>
      </c>
      <c r="R1531" s="64" t="str">
        <f>Ringkasan!R1530</f>
        <v/>
      </c>
      <c r="S1531" s="64" t="str">
        <f>Ringkasan!S1530</f>
        <v/>
      </c>
      <c r="T1531" s="64" t="str">
        <f>Ringkasan!T1530</f>
        <v/>
      </c>
      <c r="U1531" s="64">
        <f>Ringkasan!U1530</f>
        <v>0</v>
      </c>
      <c r="V1531" s="64">
        <f>Ringkasan!V1530</f>
        <v>0</v>
      </c>
      <c r="W1531" s="64" t="str">
        <f>Ringkasan!W1530</f>
        <v/>
      </c>
      <c r="X1531" s="64" t="str">
        <f>Ringkasan!X1530</f>
        <v/>
      </c>
      <c r="Y1531" s="64" t="str">
        <f>Ringkasan!Y1530</f>
        <v/>
      </c>
      <c r="Z1531" s="64">
        <f>Ringkasan!Z1530</f>
        <v>0</v>
      </c>
      <c r="AA1531" s="64" t="str">
        <f>Ringkasan!AA1530</f>
        <v>Logistics &amp; Deliveries</v>
      </c>
      <c r="AB1531" s="64" t="str">
        <f>Ringkasan!AB1530</f>
        <v>Transportation &amp; Logistic</v>
      </c>
    </row>
    <row r="1532" hidden="1">
      <c r="A1532" s="64" t="str">
        <f>Ringkasan!A1531</f>
        <v>SATU</v>
      </c>
      <c r="B1532" s="64" t="str">
        <f>Ringkasan!B1531</f>
        <v>Kota Satu Properti Tbk.</v>
      </c>
      <c r="C1532" s="65">
        <f>Ringkasan!C1531</f>
        <v>272</v>
      </c>
      <c r="D1532" s="64" t="str">
        <f>Ringkasan!D1531</f>
        <v>#N/A</v>
      </c>
      <c r="E1532" s="64" t="str">
        <f>Ringkasan!E1531</f>
        <v/>
      </c>
      <c r="F1532" s="64" t="str">
        <f>Ringkasan!F1531</f>
        <v/>
      </c>
      <c r="G1532" s="64">
        <f>Ringkasan!G1531</f>
        <v>0</v>
      </c>
      <c r="H1532" s="19">
        <f>Ringkasan!H1531</f>
        <v>-130</v>
      </c>
      <c r="I1532" s="19">
        <f>Ringkasan!I1531</f>
        <v>7.9</v>
      </c>
      <c r="J1532" s="19">
        <f>Ringkasan!J1531</f>
        <v>-6</v>
      </c>
      <c r="K1532" s="19">
        <f>Ringkasan!K1531</f>
        <v>-1.3</v>
      </c>
      <c r="L1532" s="19">
        <f>Ringkasan!L1531</f>
        <v>3.7</v>
      </c>
      <c r="M1532" s="19">
        <f>Ringkasan!M1531</f>
        <v>-37</v>
      </c>
      <c r="N1532" s="64" t="str">
        <f>Ringkasan!N1531</f>
        <v/>
      </c>
      <c r="O1532" s="64" t="str">
        <f>Ringkasan!O1531</f>
        <v/>
      </c>
      <c r="P1532" s="64" t="str">
        <f>Ringkasan!P1531</f>
        <v/>
      </c>
      <c r="Q1532" s="64" t="str">
        <f>Ringkasan!Q1531</f>
        <v/>
      </c>
      <c r="R1532" s="64" t="str">
        <f>Ringkasan!R1531</f>
        <v/>
      </c>
      <c r="S1532" s="64" t="str">
        <f>Ringkasan!S1531</f>
        <v/>
      </c>
      <c r="T1532" s="64" t="str">
        <f>Ringkasan!T1531</f>
        <v/>
      </c>
      <c r="U1532" s="64">
        <f>Ringkasan!U1531</f>
        <v>270</v>
      </c>
      <c r="V1532" s="64">
        <f>Ringkasan!V1531</f>
        <v>0.74</v>
      </c>
      <c r="W1532" s="64">
        <f>Ringkasan!W1531</f>
        <v>270</v>
      </c>
      <c r="X1532" s="64">
        <f>Ringkasan!X1531</f>
        <v>272</v>
      </c>
      <c r="Y1532" s="64">
        <f>Ringkasan!Y1531</f>
        <v>268</v>
      </c>
      <c r="Z1532" s="64">
        <f>Ringkasan!Z1531</f>
        <v>939800</v>
      </c>
      <c r="AA1532" s="64" t="str">
        <f>Ringkasan!AA1531</f>
        <v>Real Estate Management &amp; Development</v>
      </c>
      <c r="AB1532" s="64" t="str">
        <f>Ringkasan!AB1531</f>
        <v>Properties &amp; Real Estate</v>
      </c>
    </row>
    <row r="1533" hidden="1">
      <c r="A1533" s="64" t="str">
        <f>Ringkasan!A1532</f>
        <v>SBAT</v>
      </c>
      <c r="B1533" s="64" t="str">
        <f>Ringkasan!B1532</f>
        <v>Sejahtera Bintang Abadi Textile Tbk.</v>
      </c>
      <c r="C1533" s="65">
        <f>Ringkasan!C1532</f>
        <v>1</v>
      </c>
      <c r="D1533" s="64" t="str">
        <f>Ringkasan!D1532</f>
        <v>#N/A</v>
      </c>
      <c r="E1533" s="64" t="str">
        <f>Ringkasan!E1532</f>
        <v/>
      </c>
      <c r="F1533" s="64" t="str">
        <f>Ringkasan!F1532</f>
        <v/>
      </c>
      <c r="G1533" s="64">
        <f>Ringkasan!G1532</f>
        <v>0</v>
      </c>
      <c r="H1533" s="19">
        <f>Ringkasan!H1532</f>
        <v>0</v>
      </c>
      <c r="I1533" s="19">
        <f>Ringkasan!I1532</f>
        <v>0.03</v>
      </c>
      <c r="J1533" s="19">
        <f>Ringkasan!J1532</f>
        <v>-49.5</v>
      </c>
      <c r="K1533" s="19">
        <f>Ringkasan!K1532</f>
        <v>-11.4</v>
      </c>
      <c r="L1533" s="19">
        <f>Ringkasan!L1532</f>
        <v>3.4</v>
      </c>
      <c r="M1533" s="19">
        <f>Ringkasan!M1532</f>
        <v>-660</v>
      </c>
      <c r="N1533" s="64" t="str">
        <f>Ringkasan!N1532</f>
        <v/>
      </c>
      <c r="O1533" s="64" t="str">
        <f>Ringkasan!O1532</f>
        <v/>
      </c>
      <c r="P1533" s="64" t="str">
        <f>Ringkasan!P1532</f>
        <v/>
      </c>
      <c r="Q1533" s="64" t="str">
        <f>Ringkasan!Q1532</f>
        <v/>
      </c>
      <c r="R1533" s="64" t="str">
        <f>Ringkasan!R1532</f>
        <v/>
      </c>
      <c r="S1533" s="64" t="str">
        <f>Ringkasan!S1532</f>
        <v/>
      </c>
      <c r="T1533" s="64" t="str">
        <f>Ringkasan!T1532</f>
        <v/>
      </c>
      <c r="U1533" s="64">
        <f>Ringkasan!U1532</f>
        <v>1</v>
      </c>
      <c r="V1533" s="64">
        <f>Ringkasan!V1532</f>
        <v>0</v>
      </c>
      <c r="W1533" s="64" t="str">
        <f>Ringkasan!W1532</f>
        <v/>
      </c>
      <c r="X1533" s="64" t="str">
        <f>Ringkasan!X1532</f>
        <v/>
      </c>
      <c r="Y1533" s="64" t="str">
        <f>Ringkasan!Y1532</f>
        <v/>
      </c>
      <c r="Z1533" s="64">
        <f>Ringkasan!Z1532</f>
        <v>0</v>
      </c>
      <c r="AA1533" s="64" t="str">
        <f>Ringkasan!AA1532</f>
        <v>Apparel &amp; Luxury Goods</v>
      </c>
      <c r="AB1533" s="64" t="str">
        <f>Ringkasan!AB1532</f>
        <v>Consumer Cyclicals</v>
      </c>
    </row>
    <row r="1534" hidden="1">
      <c r="A1534" s="64" t="str">
        <f>Ringkasan!A1533</f>
        <v>SBMA</v>
      </c>
      <c r="B1534" s="64" t="str">
        <f>Ringkasan!B1533</f>
        <v>Surya Biru Murni Acetylene Tbk.</v>
      </c>
      <c r="C1534" s="65">
        <f>Ringkasan!C1533</f>
        <v>105</v>
      </c>
      <c r="D1534" s="64" t="str">
        <f>Ringkasan!D1533</f>
        <v>#N/A</v>
      </c>
      <c r="E1534" s="64" t="str">
        <f>Ringkasan!E1533</f>
        <v/>
      </c>
      <c r="F1534" s="64" t="str">
        <f>Ringkasan!F1533</f>
        <v/>
      </c>
      <c r="G1534" s="64">
        <f>Ringkasan!G1533</f>
        <v>0</v>
      </c>
      <c r="H1534" s="19">
        <f>Ringkasan!H1533</f>
        <v>10.3</v>
      </c>
      <c r="I1534" s="19">
        <f>Ringkasan!I1533</f>
        <v>0.43</v>
      </c>
      <c r="J1534" s="19">
        <f>Ringkasan!J1533</f>
        <v>4.2</v>
      </c>
      <c r="K1534" s="19">
        <f>Ringkasan!K1533</f>
        <v>3.5</v>
      </c>
      <c r="L1534" s="19">
        <f>Ringkasan!L1533</f>
        <v>0.21</v>
      </c>
      <c r="M1534" s="19">
        <f>Ringkasan!M1533</f>
        <v>32</v>
      </c>
      <c r="N1534" s="64" t="str">
        <f>Ringkasan!N1533</f>
        <v/>
      </c>
      <c r="O1534" s="64" t="str">
        <f>Ringkasan!O1533</f>
        <v/>
      </c>
      <c r="P1534" s="64" t="str">
        <f>Ringkasan!P1533</f>
        <v/>
      </c>
      <c r="Q1534" s="64" t="str">
        <f>Ringkasan!Q1533</f>
        <v/>
      </c>
      <c r="R1534" s="64" t="str">
        <f>Ringkasan!R1533</f>
        <v/>
      </c>
      <c r="S1534" s="64" t="str">
        <f>Ringkasan!S1533</f>
        <v/>
      </c>
      <c r="T1534" s="64" t="str">
        <f>Ringkasan!T1533</f>
        <v/>
      </c>
      <c r="U1534" s="64">
        <f>Ringkasan!U1533</f>
        <v>104</v>
      </c>
      <c r="V1534" s="64">
        <f>Ringkasan!V1533</f>
        <v>0.96</v>
      </c>
      <c r="W1534" s="64">
        <f>Ringkasan!W1533</f>
        <v>105</v>
      </c>
      <c r="X1534" s="64">
        <f>Ringkasan!X1533</f>
        <v>106</v>
      </c>
      <c r="Y1534" s="64">
        <f>Ringkasan!Y1533</f>
        <v>101</v>
      </c>
      <c r="Z1534" s="64">
        <f>Ringkasan!Z1533</f>
        <v>1017400</v>
      </c>
      <c r="AA1534" s="64" t="str">
        <f>Ringkasan!AA1533</f>
        <v>Chemicals</v>
      </c>
      <c r="AB1534" s="64" t="str">
        <f>Ringkasan!AB1533</f>
        <v>Basic Materials</v>
      </c>
    </row>
    <row r="1535" hidden="1">
      <c r="A1535" s="64" t="str">
        <f>Ringkasan!A1534</f>
        <v>SCCO</v>
      </c>
      <c r="B1535" s="64" t="str">
        <f>Ringkasan!B1534</f>
        <v>Supreme Cable Manufacturing &amp; Commerce Tbk.</v>
      </c>
      <c r="C1535" s="65">
        <f>Ringkasan!C1534</f>
        <v>2270</v>
      </c>
      <c r="D1535" s="64" t="str">
        <f>Ringkasan!D1534</f>
        <v>#N/A</v>
      </c>
      <c r="E1535" s="64" t="str">
        <f>Ringkasan!E1534</f>
        <v/>
      </c>
      <c r="F1535" s="64" t="str">
        <f>Ringkasan!F1534</f>
        <v/>
      </c>
      <c r="G1535" s="64">
        <f>Ringkasan!G1534</f>
        <v>0</v>
      </c>
      <c r="H1535" s="19">
        <f>Ringkasan!H1534</f>
        <v>6.3</v>
      </c>
      <c r="I1535" s="19">
        <f>Ringkasan!I1534</f>
        <v>0.35</v>
      </c>
      <c r="J1535" s="19">
        <f>Ringkasan!J1534</f>
        <v>5.5</v>
      </c>
      <c r="K1535" s="19">
        <f>Ringkasan!K1534</f>
        <v>5.2</v>
      </c>
      <c r="L1535" s="19">
        <f>Ringkasan!L1534</f>
        <v>0.06</v>
      </c>
      <c r="M1535" s="19">
        <f>Ringkasan!M1534</f>
        <v>16</v>
      </c>
      <c r="N1535" s="64" t="str">
        <f>Ringkasan!N1534</f>
        <v/>
      </c>
      <c r="O1535" s="64" t="str">
        <f>Ringkasan!O1534</f>
        <v/>
      </c>
      <c r="P1535" s="64" t="str">
        <f>Ringkasan!P1534</f>
        <v/>
      </c>
      <c r="Q1535" s="64" t="str">
        <f>Ringkasan!Q1534</f>
        <v/>
      </c>
      <c r="R1535" s="64" t="str">
        <f>Ringkasan!R1534</f>
        <v/>
      </c>
      <c r="S1535" s="64" t="str">
        <f>Ringkasan!S1534</f>
        <v/>
      </c>
      <c r="T1535" s="64" t="str">
        <f>Ringkasan!T1534</f>
        <v/>
      </c>
      <c r="U1535" s="64">
        <f>Ringkasan!U1534</f>
        <v>182.16</v>
      </c>
      <c r="V1535" s="64" t="str">
        <f>Ringkasan!V1534</f>
        <v/>
      </c>
      <c r="W1535" s="64">
        <f>Ringkasan!W1534</f>
        <v>185.49</v>
      </c>
      <c r="X1535" s="64">
        <f>Ringkasan!X1534</f>
        <v>190.47</v>
      </c>
      <c r="Y1535" s="64">
        <f>Ringkasan!Y1534</f>
        <v>184.69</v>
      </c>
      <c r="Z1535" s="64">
        <f>Ringkasan!Z1534</f>
        <v>1119421</v>
      </c>
      <c r="AA1535" s="64" t="str">
        <f>Ringkasan!AA1534</f>
        <v>Electrical</v>
      </c>
      <c r="AB1535" s="64" t="str">
        <f>Ringkasan!AB1534</f>
        <v>Industrials</v>
      </c>
    </row>
    <row r="1536" hidden="1">
      <c r="A1536" s="64" t="str">
        <f>Ringkasan!A1535</f>
        <v>SCMA</v>
      </c>
      <c r="B1536" s="64" t="str">
        <f>Ringkasan!B1535</f>
        <v>Surya Citra Media Tbk.</v>
      </c>
      <c r="C1536" s="65">
        <f>Ringkasan!C1535</f>
        <v>200</v>
      </c>
      <c r="D1536" s="64" t="str">
        <f>Ringkasan!D1535</f>
        <v>#N/A</v>
      </c>
      <c r="E1536" s="64" t="str">
        <f>Ringkasan!E1535</f>
        <v>ESGQKEHATI</v>
      </c>
      <c r="F1536" s="66">
        <f>Ringkasan!F1535</f>
        <v>46356</v>
      </c>
      <c r="G1536" s="64">
        <f>Ringkasan!G1535</f>
        <v>11</v>
      </c>
      <c r="H1536" s="19">
        <f>Ringkasan!H1535</f>
        <v>18.1</v>
      </c>
      <c r="I1536" s="19">
        <f>Ringkasan!I1535</f>
        <v>2.1</v>
      </c>
      <c r="J1536" s="19">
        <f>Ringkasan!J1535</f>
        <v>11.7</v>
      </c>
      <c r="K1536" s="19">
        <f>Ringkasan!K1535</f>
        <v>9</v>
      </c>
      <c r="L1536" s="19">
        <f>Ringkasan!L1535</f>
        <v>0.3</v>
      </c>
      <c r="M1536" s="19">
        <f>Ringkasan!M1535</f>
        <v>49.6</v>
      </c>
      <c r="N1536" s="64" t="str">
        <f>Ringkasan!N1535</f>
        <v/>
      </c>
      <c r="O1536" s="64" t="str">
        <f>Ringkasan!O1535</f>
        <v/>
      </c>
      <c r="P1536" s="64" t="str">
        <f>Ringkasan!P1535</f>
        <v/>
      </c>
      <c r="Q1536" s="64" t="str">
        <f>Ringkasan!Q1535</f>
        <v/>
      </c>
      <c r="R1536" s="64" t="str">
        <f>Ringkasan!R1535</f>
        <v/>
      </c>
      <c r="S1536" s="64" t="str">
        <f>Ringkasan!S1535</f>
        <v/>
      </c>
      <c r="T1536" s="64" t="str">
        <f>Ringkasan!T1535</f>
        <v/>
      </c>
      <c r="U1536" s="64">
        <f>Ringkasan!U1535</f>
        <v>194</v>
      </c>
      <c r="V1536" s="64">
        <f>Ringkasan!V1535</f>
        <v>3.09</v>
      </c>
      <c r="W1536" s="64">
        <f>Ringkasan!W1535</f>
        <v>198</v>
      </c>
      <c r="X1536" s="64">
        <f>Ringkasan!X1535</f>
        <v>206</v>
      </c>
      <c r="Y1536" s="64">
        <f>Ringkasan!Y1535</f>
        <v>196</v>
      </c>
      <c r="Z1536" s="64">
        <f>Ringkasan!Z1535</f>
        <v>35260000</v>
      </c>
      <c r="AA1536" s="64" t="str">
        <f>Ringkasan!AA1535</f>
        <v>Media</v>
      </c>
      <c r="AB1536" s="64" t="str">
        <f>Ringkasan!AB1535</f>
        <v>Consumer Cyclicals</v>
      </c>
    </row>
    <row r="1537" hidden="1">
      <c r="A1537" s="64" t="str">
        <f>Ringkasan!A1536</f>
        <v>SCMA</v>
      </c>
      <c r="B1537" s="64" t="str">
        <f>Ringkasan!B1536</f>
        <v>Surya Citra Media Tbk.</v>
      </c>
      <c r="C1537" s="65">
        <f>Ringkasan!C1536</f>
        <v>200</v>
      </c>
      <c r="D1537" s="64" t="str">
        <f>Ringkasan!D1536</f>
        <v>#N/A</v>
      </c>
      <c r="E1537" s="64" t="str">
        <f>Ringkasan!E1536</f>
        <v>ESGSKEHATI</v>
      </c>
      <c r="F1537" s="66">
        <f>Ringkasan!F1536</f>
        <v>46356</v>
      </c>
      <c r="G1537" s="64">
        <f>Ringkasan!G1536</f>
        <v>11</v>
      </c>
      <c r="H1537" s="19">
        <f>Ringkasan!H1536</f>
        <v>18.1</v>
      </c>
      <c r="I1537" s="19">
        <f>Ringkasan!I1536</f>
        <v>2.1</v>
      </c>
      <c r="J1537" s="19">
        <f>Ringkasan!J1536</f>
        <v>11.7</v>
      </c>
      <c r="K1537" s="19">
        <f>Ringkasan!K1536</f>
        <v>9</v>
      </c>
      <c r="L1537" s="19">
        <f>Ringkasan!L1536</f>
        <v>0.3</v>
      </c>
      <c r="M1537" s="19">
        <f>Ringkasan!M1536</f>
        <v>49.6</v>
      </c>
      <c r="N1537" s="64" t="str">
        <f>Ringkasan!N1536</f>
        <v/>
      </c>
      <c r="O1537" s="64" t="str">
        <f>Ringkasan!O1536</f>
        <v/>
      </c>
      <c r="P1537" s="64" t="str">
        <f>Ringkasan!P1536</f>
        <v/>
      </c>
      <c r="Q1537" s="64" t="str">
        <f>Ringkasan!Q1536</f>
        <v/>
      </c>
      <c r="R1537" s="64" t="str">
        <f>Ringkasan!R1536</f>
        <v/>
      </c>
      <c r="S1537" s="64" t="str">
        <f>Ringkasan!S1536</f>
        <v/>
      </c>
      <c r="T1537" s="64" t="str">
        <f>Ringkasan!T1536</f>
        <v/>
      </c>
      <c r="U1537" s="64">
        <f>Ringkasan!U1536</f>
        <v>194</v>
      </c>
      <c r="V1537" s="64">
        <f>Ringkasan!V1536</f>
        <v>3.09</v>
      </c>
      <c r="W1537" s="64">
        <f>Ringkasan!W1536</f>
        <v>198</v>
      </c>
      <c r="X1537" s="64">
        <f>Ringkasan!X1536</f>
        <v>206</v>
      </c>
      <c r="Y1537" s="64">
        <f>Ringkasan!Y1536</f>
        <v>196</v>
      </c>
      <c r="Z1537" s="64">
        <f>Ringkasan!Z1536</f>
        <v>35260000</v>
      </c>
      <c r="AA1537" s="64" t="str">
        <f>Ringkasan!AA1536</f>
        <v>Media</v>
      </c>
      <c r="AB1537" s="64" t="str">
        <f>Ringkasan!AB1536</f>
        <v>Consumer Cyclicals</v>
      </c>
    </row>
    <row r="1538" hidden="1">
      <c r="A1538" s="64" t="str">
        <f>Ringkasan!A1537</f>
        <v>SCMA</v>
      </c>
      <c r="B1538" s="64" t="str">
        <f>Ringkasan!B1537</f>
        <v>Surya Citra Media Tbk.</v>
      </c>
      <c r="C1538" s="65">
        <f>Ringkasan!C1537</f>
        <v>200</v>
      </c>
      <c r="D1538" s="64" t="str">
        <f>Ringkasan!D1537</f>
        <v>#N/A</v>
      </c>
      <c r="E1538" s="64" t="str">
        <f>Ringkasan!E1537</f>
        <v>IDXQ30</v>
      </c>
      <c r="F1538" s="64" t="str">
        <f>Ringkasan!F1537</f>
        <v>4 Agustus 2026</v>
      </c>
      <c r="G1538" s="64">
        <f>Ringkasan!G1537</f>
        <v>11</v>
      </c>
      <c r="H1538" s="19">
        <f>Ringkasan!H1537</f>
        <v>18.1</v>
      </c>
      <c r="I1538" s="19">
        <f>Ringkasan!I1537</f>
        <v>2.1</v>
      </c>
      <c r="J1538" s="19">
        <f>Ringkasan!J1537</f>
        <v>11.7</v>
      </c>
      <c r="K1538" s="19">
        <f>Ringkasan!K1537</f>
        <v>9</v>
      </c>
      <c r="L1538" s="19">
        <f>Ringkasan!L1537</f>
        <v>0.3</v>
      </c>
      <c r="M1538" s="19">
        <f>Ringkasan!M1537</f>
        <v>49.6</v>
      </c>
      <c r="N1538" s="64" t="str">
        <f>Ringkasan!N1537</f>
        <v/>
      </c>
      <c r="O1538" s="64" t="str">
        <f>Ringkasan!O1537</f>
        <v/>
      </c>
      <c r="P1538" s="64" t="str">
        <f>Ringkasan!P1537</f>
        <v/>
      </c>
      <c r="Q1538" s="64" t="str">
        <f>Ringkasan!Q1537</f>
        <v/>
      </c>
      <c r="R1538" s="64" t="str">
        <f>Ringkasan!R1537</f>
        <v/>
      </c>
      <c r="S1538" s="64" t="str">
        <f>Ringkasan!S1537</f>
        <v/>
      </c>
      <c r="T1538" s="64" t="str">
        <f>Ringkasan!T1537</f>
        <v/>
      </c>
      <c r="U1538" s="64">
        <f>Ringkasan!U1537</f>
        <v>194</v>
      </c>
      <c r="V1538" s="64">
        <f>Ringkasan!V1537</f>
        <v>3.09</v>
      </c>
      <c r="W1538" s="64">
        <f>Ringkasan!W1537</f>
        <v>198</v>
      </c>
      <c r="X1538" s="64">
        <f>Ringkasan!X1537</f>
        <v>206</v>
      </c>
      <c r="Y1538" s="64">
        <f>Ringkasan!Y1537</f>
        <v>196</v>
      </c>
      <c r="Z1538" s="64">
        <f>Ringkasan!Z1537</f>
        <v>35260000</v>
      </c>
      <c r="AA1538" s="64" t="str">
        <f>Ringkasan!AA1537</f>
        <v>Media</v>
      </c>
      <c r="AB1538" s="64" t="str">
        <f>Ringkasan!AB1537</f>
        <v>Consumer Cyclicals</v>
      </c>
    </row>
    <row r="1539" hidden="1">
      <c r="A1539" s="64" t="str">
        <f>Ringkasan!A1538</f>
        <v>SCMA</v>
      </c>
      <c r="B1539" s="64" t="str">
        <f>Ringkasan!B1538</f>
        <v>Surya Citra Media Tbk.</v>
      </c>
      <c r="C1539" s="65">
        <f>Ringkasan!C1538</f>
        <v>200</v>
      </c>
      <c r="D1539" s="64" t="str">
        <f>Ringkasan!D1538</f>
        <v>#N/A</v>
      </c>
      <c r="E1539" s="64" t="str">
        <f>Ringkasan!E1538</f>
        <v>IDXHIDIV20</v>
      </c>
      <c r="F1539" s="64" t="str">
        <f>Ringkasan!F1538</f>
        <v>2 Februari 2027</v>
      </c>
      <c r="G1539" s="64">
        <f>Ringkasan!G1538</f>
        <v>11</v>
      </c>
      <c r="H1539" s="19">
        <f>Ringkasan!H1538</f>
        <v>18.1</v>
      </c>
      <c r="I1539" s="19">
        <f>Ringkasan!I1538</f>
        <v>2.1</v>
      </c>
      <c r="J1539" s="19">
        <f>Ringkasan!J1538</f>
        <v>11.7</v>
      </c>
      <c r="K1539" s="19">
        <f>Ringkasan!K1538</f>
        <v>9</v>
      </c>
      <c r="L1539" s="19">
        <f>Ringkasan!L1538</f>
        <v>0.3</v>
      </c>
      <c r="M1539" s="19">
        <f>Ringkasan!M1538</f>
        <v>49.6</v>
      </c>
      <c r="N1539" s="64" t="str">
        <f>Ringkasan!N1538</f>
        <v/>
      </c>
      <c r="O1539" s="64" t="str">
        <f>Ringkasan!O1538</f>
        <v/>
      </c>
      <c r="P1539" s="64" t="str">
        <f>Ringkasan!P1538</f>
        <v/>
      </c>
      <c r="Q1539" s="64" t="str">
        <f>Ringkasan!Q1538</f>
        <v/>
      </c>
      <c r="R1539" s="64" t="str">
        <f>Ringkasan!R1538</f>
        <v/>
      </c>
      <c r="S1539" s="64" t="str">
        <f>Ringkasan!S1538</f>
        <v/>
      </c>
      <c r="T1539" s="64" t="str">
        <f>Ringkasan!T1538</f>
        <v/>
      </c>
      <c r="U1539" s="64">
        <f>Ringkasan!U1538</f>
        <v>194</v>
      </c>
      <c r="V1539" s="64">
        <f>Ringkasan!V1538</f>
        <v>3.09</v>
      </c>
      <c r="W1539" s="64">
        <f>Ringkasan!W1538</f>
        <v>198</v>
      </c>
      <c r="X1539" s="64">
        <f>Ringkasan!X1538</f>
        <v>206</v>
      </c>
      <c r="Y1539" s="64">
        <f>Ringkasan!Y1538</f>
        <v>196</v>
      </c>
      <c r="Z1539" s="64">
        <f>Ringkasan!Z1538</f>
        <v>35260000</v>
      </c>
      <c r="AA1539" s="64" t="str">
        <f>Ringkasan!AA1538</f>
        <v>Media</v>
      </c>
      <c r="AB1539" s="64" t="str">
        <f>Ringkasan!AB1538</f>
        <v>Consumer Cyclicals</v>
      </c>
    </row>
    <row r="1540" hidden="1">
      <c r="A1540" s="64" t="str">
        <f>Ringkasan!A1539</f>
        <v>SCMA</v>
      </c>
      <c r="B1540" s="64" t="str">
        <f>Ringkasan!B1539</f>
        <v>Surya Citra Media Tbk.</v>
      </c>
      <c r="C1540" s="65">
        <f>Ringkasan!C1539</f>
        <v>200</v>
      </c>
      <c r="D1540" s="64" t="str">
        <f>Ringkasan!D1539</f>
        <v>#N/A</v>
      </c>
      <c r="E1540" s="64" t="str">
        <f>Ringkasan!E1539</f>
        <v>IDXG30</v>
      </c>
      <c r="F1540" s="64" t="str">
        <f>Ringkasan!F1539</f>
        <v>4 Agustus 2026</v>
      </c>
      <c r="G1540" s="64">
        <f>Ringkasan!G1539</f>
        <v>11</v>
      </c>
      <c r="H1540" s="19">
        <f>Ringkasan!H1539</f>
        <v>18.1</v>
      </c>
      <c r="I1540" s="19">
        <f>Ringkasan!I1539</f>
        <v>2.1</v>
      </c>
      <c r="J1540" s="19">
        <f>Ringkasan!J1539</f>
        <v>11.7</v>
      </c>
      <c r="K1540" s="19">
        <f>Ringkasan!K1539</f>
        <v>9</v>
      </c>
      <c r="L1540" s="19">
        <f>Ringkasan!L1539</f>
        <v>0.3</v>
      </c>
      <c r="M1540" s="19">
        <f>Ringkasan!M1539</f>
        <v>49.6</v>
      </c>
      <c r="N1540" s="64" t="str">
        <f>Ringkasan!N1539</f>
        <v/>
      </c>
      <c r="O1540" s="64" t="str">
        <f>Ringkasan!O1539</f>
        <v/>
      </c>
      <c r="P1540" s="64" t="str">
        <f>Ringkasan!P1539</f>
        <v/>
      </c>
      <c r="Q1540" s="64" t="str">
        <f>Ringkasan!Q1539</f>
        <v/>
      </c>
      <c r="R1540" s="64" t="str">
        <f>Ringkasan!R1539</f>
        <v/>
      </c>
      <c r="S1540" s="64" t="str">
        <f>Ringkasan!S1539</f>
        <v/>
      </c>
      <c r="T1540" s="64" t="str">
        <f>Ringkasan!T1539</f>
        <v/>
      </c>
      <c r="U1540" s="64">
        <f>Ringkasan!U1539</f>
        <v>194</v>
      </c>
      <c r="V1540" s="64">
        <f>Ringkasan!V1539</f>
        <v>3.09</v>
      </c>
      <c r="W1540" s="64">
        <f>Ringkasan!W1539</f>
        <v>198</v>
      </c>
      <c r="X1540" s="64">
        <f>Ringkasan!X1539</f>
        <v>206</v>
      </c>
      <c r="Y1540" s="64">
        <f>Ringkasan!Y1539</f>
        <v>196</v>
      </c>
      <c r="Z1540" s="64">
        <f>Ringkasan!Z1539</f>
        <v>35260000</v>
      </c>
      <c r="AA1540" s="64" t="str">
        <f>Ringkasan!AA1539</f>
        <v>Media</v>
      </c>
      <c r="AB1540" s="64" t="str">
        <f>Ringkasan!AB1539</f>
        <v>Consumer Cyclicals</v>
      </c>
    </row>
    <row r="1541" hidden="1">
      <c r="A1541" s="64" t="str">
        <f>Ringkasan!A1540</f>
        <v>SCMA</v>
      </c>
      <c r="B1541" s="64" t="str">
        <f>Ringkasan!B1540</f>
        <v>Surya Citra Media Tbk.</v>
      </c>
      <c r="C1541" s="65">
        <f>Ringkasan!C1540</f>
        <v>200</v>
      </c>
      <c r="D1541" s="64" t="str">
        <f>Ringkasan!D1540</f>
        <v>#N/A</v>
      </c>
      <c r="E1541" s="64" t="str">
        <f>Ringkasan!E1540</f>
        <v>ECONOMIC30</v>
      </c>
      <c r="F1541" s="64" t="str">
        <f>Ringkasan!F1540</f>
        <v>31 Agustus 2026</v>
      </c>
      <c r="G1541" s="64">
        <f>Ringkasan!G1540</f>
        <v>11</v>
      </c>
      <c r="H1541" s="19">
        <f>Ringkasan!H1540</f>
        <v>18.1</v>
      </c>
      <c r="I1541" s="19">
        <f>Ringkasan!I1540</f>
        <v>2.1</v>
      </c>
      <c r="J1541" s="19">
        <f>Ringkasan!J1540</f>
        <v>11.7</v>
      </c>
      <c r="K1541" s="19">
        <f>Ringkasan!K1540</f>
        <v>9</v>
      </c>
      <c r="L1541" s="19">
        <f>Ringkasan!L1540</f>
        <v>0.3</v>
      </c>
      <c r="M1541" s="19">
        <f>Ringkasan!M1540</f>
        <v>49.6</v>
      </c>
      <c r="N1541" s="64" t="str">
        <f>Ringkasan!N1540</f>
        <v/>
      </c>
      <c r="O1541" s="64" t="str">
        <f>Ringkasan!O1540</f>
        <v/>
      </c>
      <c r="P1541" s="64" t="str">
        <f>Ringkasan!P1540</f>
        <v/>
      </c>
      <c r="Q1541" s="64" t="str">
        <f>Ringkasan!Q1540</f>
        <v/>
      </c>
      <c r="R1541" s="64" t="str">
        <f>Ringkasan!R1540</f>
        <v/>
      </c>
      <c r="S1541" s="64" t="str">
        <f>Ringkasan!S1540</f>
        <v/>
      </c>
      <c r="T1541" s="64" t="str">
        <f>Ringkasan!T1540</f>
        <v/>
      </c>
      <c r="U1541" s="64">
        <f>Ringkasan!U1540</f>
        <v>194</v>
      </c>
      <c r="V1541" s="64">
        <f>Ringkasan!V1540</f>
        <v>3.09</v>
      </c>
      <c r="W1541" s="64">
        <f>Ringkasan!W1540</f>
        <v>198</v>
      </c>
      <c r="X1541" s="64">
        <f>Ringkasan!X1540</f>
        <v>206</v>
      </c>
      <c r="Y1541" s="64">
        <f>Ringkasan!Y1540</f>
        <v>196</v>
      </c>
      <c r="Z1541" s="64">
        <f>Ringkasan!Z1540</f>
        <v>35260000</v>
      </c>
      <c r="AA1541" s="64" t="str">
        <f>Ringkasan!AA1540</f>
        <v>Media</v>
      </c>
      <c r="AB1541" s="64" t="str">
        <f>Ringkasan!AB1540</f>
        <v>Consumer Cyclicals</v>
      </c>
    </row>
    <row r="1542" hidden="1">
      <c r="A1542" s="64" t="str">
        <f>Ringkasan!A1541</f>
        <v>SCMA</v>
      </c>
      <c r="B1542" s="64" t="str">
        <f>Ringkasan!B1541</f>
        <v>Surya Citra Media Tbk.</v>
      </c>
      <c r="C1542" s="65">
        <f>Ringkasan!C1541</f>
        <v>200</v>
      </c>
      <c r="D1542" s="64" t="str">
        <f>Ringkasan!D1541</f>
        <v>#N/A</v>
      </c>
      <c r="E1542" s="64" t="str">
        <f>Ringkasan!E1541</f>
        <v>IDX80</v>
      </c>
      <c r="F1542" s="64" t="str">
        <f>Ringkasan!F1541</f>
        <v>31 Juli 2026</v>
      </c>
      <c r="G1542" s="64">
        <f>Ringkasan!G1541</f>
        <v>11</v>
      </c>
      <c r="H1542" s="19">
        <f>Ringkasan!H1541</f>
        <v>18.1</v>
      </c>
      <c r="I1542" s="19">
        <f>Ringkasan!I1541</f>
        <v>2.1</v>
      </c>
      <c r="J1542" s="19">
        <f>Ringkasan!J1541</f>
        <v>11.7</v>
      </c>
      <c r="K1542" s="19">
        <f>Ringkasan!K1541</f>
        <v>9</v>
      </c>
      <c r="L1542" s="19">
        <f>Ringkasan!L1541</f>
        <v>0.3</v>
      </c>
      <c r="M1542" s="19">
        <f>Ringkasan!M1541</f>
        <v>49.6</v>
      </c>
      <c r="N1542" s="64" t="str">
        <f>Ringkasan!N1541</f>
        <v/>
      </c>
      <c r="O1542" s="64" t="str">
        <f>Ringkasan!O1541</f>
        <v/>
      </c>
      <c r="P1542" s="64" t="str">
        <f>Ringkasan!P1541</f>
        <v/>
      </c>
      <c r="Q1542" s="64" t="str">
        <f>Ringkasan!Q1541</f>
        <v/>
      </c>
      <c r="R1542" s="64" t="str">
        <f>Ringkasan!R1541</f>
        <v/>
      </c>
      <c r="S1542" s="64" t="str">
        <f>Ringkasan!S1541</f>
        <v/>
      </c>
      <c r="T1542" s="64" t="str">
        <f>Ringkasan!T1541</f>
        <v/>
      </c>
      <c r="U1542" s="64">
        <f>Ringkasan!U1541</f>
        <v>194</v>
      </c>
      <c r="V1542" s="64">
        <f>Ringkasan!V1541</f>
        <v>3.09</v>
      </c>
      <c r="W1542" s="64">
        <f>Ringkasan!W1541</f>
        <v>198</v>
      </c>
      <c r="X1542" s="64">
        <f>Ringkasan!X1541</f>
        <v>206</v>
      </c>
      <c r="Y1542" s="64">
        <f>Ringkasan!Y1541</f>
        <v>196</v>
      </c>
      <c r="Z1542" s="64">
        <f>Ringkasan!Z1541</f>
        <v>35260000</v>
      </c>
      <c r="AA1542" s="64" t="str">
        <f>Ringkasan!AA1541</f>
        <v>Media</v>
      </c>
      <c r="AB1542" s="64" t="str">
        <f>Ringkasan!AB1541</f>
        <v>Consumer Cyclicals</v>
      </c>
    </row>
    <row r="1543" hidden="1">
      <c r="A1543" s="64" t="str">
        <f>Ringkasan!A1542</f>
        <v>SCMA</v>
      </c>
      <c r="B1543" s="64" t="str">
        <f>Ringkasan!B1542</f>
        <v>Surya Citra Media Tbk.</v>
      </c>
      <c r="C1543" s="65">
        <f>Ringkasan!C1542</f>
        <v>200</v>
      </c>
      <c r="D1543" s="64" t="str">
        <f>Ringkasan!D1542</f>
        <v>#N/A</v>
      </c>
      <c r="E1543" s="64" t="str">
        <f>Ringkasan!E1542</f>
        <v>Kompas100</v>
      </c>
      <c r="F1543" s="64" t="str">
        <f>Ringkasan!F1542</f>
        <v>31 Juli 2026</v>
      </c>
      <c r="G1543" s="64">
        <f>Ringkasan!G1542</f>
        <v>11</v>
      </c>
      <c r="H1543" s="19">
        <f>Ringkasan!H1542</f>
        <v>18.1</v>
      </c>
      <c r="I1543" s="19">
        <f>Ringkasan!I1542</f>
        <v>2.1</v>
      </c>
      <c r="J1543" s="19">
        <f>Ringkasan!J1542</f>
        <v>11.7</v>
      </c>
      <c r="K1543" s="19">
        <f>Ringkasan!K1542</f>
        <v>9</v>
      </c>
      <c r="L1543" s="19">
        <f>Ringkasan!L1542</f>
        <v>0.3</v>
      </c>
      <c r="M1543" s="19">
        <f>Ringkasan!M1542</f>
        <v>49.6</v>
      </c>
      <c r="N1543" s="64" t="str">
        <f>Ringkasan!N1542</f>
        <v/>
      </c>
      <c r="O1543" s="64" t="str">
        <f>Ringkasan!O1542</f>
        <v/>
      </c>
      <c r="P1543" s="64" t="str">
        <f>Ringkasan!P1542</f>
        <v/>
      </c>
      <c r="Q1543" s="64" t="str">
        <f>Ringkasan!Q1542</f>
        <v/>
      </c>
      <c r="R1543" s="64" t="str">
        <f>Ringkasan!R1542</f>
        <v/>
      </c>
      <c r="S1543" s="64" t="str">
        <f>Ringkasan!S1542</f>
        <v/>
      </c>
      <c r="T1543" s="64" t="str">
        <f>Ringkasan!T1542</f>
        <v/>
      </c>
      <c r="U1543" s="64">
        <f>Ringkasan!U1542</f>
        <v>194</v>
      </c>
      <c r="V1543" s="64">
        <f>Ringkasan!V1542</f>
        <v>3.09</v>
      </c>
      <c r="W1543" s="64">
        <f>Ringkasan!W1542</f>
        <v>198</v>
      </c>
      <c r="X1543" s="64">
        <f>Ringkasan!X1542</f>
        <v>206</v>
      </c>
      <c r="Y1543" s="64">
        <f>Ringkasan!Y1542</f>
        <v>196</v>
      </c>
      <c r="Z1543" s="64">
        <f>Ringkasan!Z1542</f>
        <v>35260000</v>
      </c>
      <c r="AA1543" s="64" t="str">
        <f>Ringkasan!AA1542</f>
        <v>Media</v>
      </c>
      <c r="AB1543" s="64" t="str">
        <f>Ringkasan!AB1542</f>
        <v>Consumer Cyclicals</v>
      </c>
    </row>
    <row r="1544" hidden="1">
      <c r="A1544" s="64" t="str">
        <f>Ringkasan!A1543</f>
        <v>SCMA</v>
      </c>
      <c r="B1544" s="64" t="str">
        <f>Ringkasan!B1543</f>
        <v>Surya Citra Media Tbk.</v>
      </c>
      <c r="C1544" s="65">
        <f>Ringkasan!C1543</f>
        <v>200</v>
      </c>
      <c r="D1544" s="64" t="str">
        <f>Ringkasan!D1543</f>
        <v>#N/A</v>
      </c>
      <c r="E1544" s="64" t="str">
        <f>Ringkasan!E1543</f>
        <v>LQ45</v>
      </c>
      <c r="F1544" s="64" t="str">
        <f>Ringkasan!F1543</f>
        <v>31 Juli 2026</v>
      </c>
      <c r="G1544" s="64">
        <f>Ringkasan!G1543</f>
        <v>11</v>
      </c>
      <c r="H1544" s="19">
        <f>Ringkasan!H1543</f>
        <v>18.1</v>
      </c>
      <c r="I1544" s="19">
        <f>Ringkasan!I1543</f>
        <v>2.1</v>
      </c>
      <c r="J1544" s="19">
        <f>Ringkasan!J1543</f>
        <v>11.7</v>
      </c>
      <c r="K1544" s="19">
        <f>Ringkasan!K1543</f>
        <v>9</v>
      </c>
      <c r="L1544" s="19">
        <f>Ringkasan!L1543</f>
        <v>0.3</v>
      </c>
      <c r="M1544" s="19">
        <f>Ringkasan!M1543</f>
        <v>49.6</v>
      </c>
      <c r="N1544" s="64" t="str">
        <f>Ringkasan!N1543</f>
        <v/>
      </c>
      <c r="O1544" s="64" t="str">
        <f>Ringkasan!O1543</f>
        <v/>
      </c>
      <c r="P1544" s="64" t="str">
        <f>Ringkasan!P1543</f>
        <v/>
      </c>
      <c r="Q1544" s="64" t="str">
        <f>Ringkasan!Q1543</f>
        <v/>
      </c>
      <c r="R1544" s="64" t="str">
        <f>Ringkasan!R1543</f>
        <v/>
      </c>
      <c r="S1544" s="64" t="str">
        <f>Ringkasan!S1543</f>
        <v/>
      </c>
      <c r="T1544" s="64" t="str">
        <f>Ringkasan!T1543</f>
        <v/>
      </c>
      <c r="U1544" s="64">
        <f>Ringkasan!U1543</f>
        <v>194</v>
      </c>
      <c r="V1544" s="64">
        <f>Ringkasan!V1543</f>
        <v>3.09</v>
      </c>
      <c r="W1544" s="64">
        <f>Ringkasan!W1543</f>
        <v>198</v>
      </c>
      <c r="X1544" s="64">
        <f>Ringkasan!X1543</f>
        <v>206</v>
      </c>
      <c r="Y1544" s="64">
        <f>Ringkasan!Y1543</f>
        <v>196</v>
      </c>
      <c r="Z1544" s="64">
        <f>Ringkasan!Z1543</f>
        <v>35260000</v>
      </c>
      <c r="AA1544" s="64" t="str">
        <f>Ringkasan!AA1543</f>
        <v>Media</v>
      </c>
      <c r="AB1544" s="64" t="str">
        <f>Ringkasan!AB1543</f>
        <v>Consumer Cyclicals</v>
      </c>
    </row>
    <row r="1545" hidden="1">
      <c r="A1545" s="64" t="str">
        <f>Ringkasan!A1544</f>
        <v>SCMA</v>
      </c>
      <c r="B1545" s="64" t="str">
        <f>Ringkasan!B1544</f>
        <v>Surya Citra Media Tbk.</v>
      </c>
      <c r="C1545" s="65">
        <f>Ringkasan!C1544</f>
        <v>200</v>
      </c>
      <c r="D1545" s="64" t="str">
        <f>Ringkasan!D1544</f>
        <v>#N/A</v>
      </c>
      <c r="E1545" s="64" t="str">
        <f>Ringkasan!E1544</f>
        <v>IDXESGL</v>
      </c>
      <c r="F1545" s="64" t="str">
        <f>Ringkasan!F1544</f>
        <v>30 Oktober 2026</v>
      </c>
      <c r="G1545" s="64">
        <f>Ringkasan!G1544</f>
        <v>11</v>
      </c>
      <c r="H1545" s="19">
        <f>Ringkasan!H1544</f>
        <v>18.1</v>
      </c>
      <c r="I1545" s="19">
        <f>Ringkasan!I1544</f>
        <v>2.1</v>
      </c>
      <c r="J1545" s="19">
        <f>Ringkasan!J1544</f>
        <v>11.7</v>
      </c>
      <c r="K1545" s="19">
        <f>Ringkasan!K1544</f>
        <v>9</v>
      </c>
      <c r="L1545" s="19">
        <f>Ringkasan!L1544</f>
        <v>0.3</v>
      </c>
      <c r="M1545" s="19">
        <f>Ringkasan!M1544</f>
        <v>49.6</v>
      </c>
      <c r="N1545" s="64" t="str">
        <f>Ringkasan!N1544</f>
        <v/>
      </c>
      <c r="O1545" s="64" t="str">
        <f>Ringkasan!O1544</f>
        <v/>
      </c>
      <c r="P1545" s="64" t="str">
        <f>Ringkasan!P1544</f>
        <v/>
      </c>
      <c r="Q1545" s="64" t="str">
        <f>Ringkasan!Q1544</f>
        <v/>
      </c>
      <c r="R1545" s="64" t="str">
        <f>Ringkasan!R1544</f>
        <v/>
      </c>
      <c r="S1545" s="64" t="str">
        <f>Ringkasan!S1544</f>
        <v/>
      </c>
      <c r="T1545" s="64" t="str">
        <f>Ringkasan!T1544</f>
        <v/>
      </c>
      <c r="U1545" s="64">
        <f>Ringkasan!U1544</f>
        <v>194</v>
      </c>
      <c r="V1545" s="64">
        <f>Ringkasan!V1544</f>
        <v>3.09</v>
      </c>
      <c r="W1545" s="64">
        <f>Ringkasan!W1544</f>
        <v>198</v>
      </c>
      <c r="X1545" s="64">
        <f>Ringkasan!X1544</f>
        <v>206</v>
      </c>
      <c r="Y1545" s="64">
        <f>Ringkasan!Y1544</f>
        <v>196</v>
      </c>
      <c r="Z1545" s="64">
        <f>Ringkasan!Z1544</f>
        <v>35260000</v>
      </c>
      <c r="AA1545" s="64" t="str">
        <f>Ringkasan!AA1544</f>
        <v>Media</v>
      </c>
      <c r="AB1545" s="64" t="str">
        <f>Ringkasan!AB1544</f>
        <v>Consumer Cyclicals</v>
      </c>
    </row>
    <row r="1546" hidden="1">
      <c r="A1546" s="64" t="str">
        <f>Ringkasan!A1545</f>
        <v>SCMA</v>
      </c>
      <c r="B1546" s="64" t="str">
        <f>Ringkasan!B1545</f>
        <v>Surya Citra Media Tbk.</v>
      </c>
      <c r="C1546" s="65">
        <f>Ringkasan!C1545</f>
        <v>200</v>
      </c>
      <c r="D1546" s="64" t="str">
        <f>Ringkasan!D1545</f>
        <v>#N/A</v>
      </c>
      <c r="E1546" s="64" t="str">
        <f>Ringkasan!E1545</f>
        <v>IDXSMC-LIQ</v>
      </c>
      <c r="F1546" s="64" t="str">
        <f>Ringkasan!F1545</f>
        <v>4 Agustus 2026</v>
      </c>
      <c r="G1546" s="64">
        <f>Ringkasan!G1545</f>
        <v>11</v>
      </c>
      <c r="H1546" s="19">
        <f>Ringkasan!H1545</f>
        <v>18.1</v>
      </c>
      <c r="I1546" s="19">
        <f>Ringkasan!I1545</f>
        <v>2.1</v>
      </c>
      <c r="J1546" s="19">
        <f>Ringkasan!J1545</f>
        <v>11.7</v>
      </c>
      <c r="K1546" s="19">
        <f>Ringkasan!K1545</f>
        <v>9</v>
      </c>
      <c r="L1546" s="19">
        <f>Ringkasan!L1545</f>
        <v>0.3</v>
      </c>
      <c r="M1546" s="19">
        <f>Ringkasan!M1545</f>
        <v>49.6</v>
      </c>
      <c r="N1546" s="64" t="str">
        <f>Ringkasan!N1545</f>
        <v/>
      </c>
      <c r="O1546" s="64" t="str">
        <f>Ringkasan!O1545</f>
        <v/>
      </c>
      <c r="P1546" s="64" t="str">
        <f>Ringkasan!P1545</f>
        <v/>
      </c>
      <c r="Q1546" s="64" t="str">
        <f>Ringkasan!Q1545</f>
        <v/>
      </c>
      <c r="R1546" s="64" t="str">
        <f>Ringkasan!R1545</f>
        <v/>
      </c>
      <c r="S1546" s="64" t="str">
        <f>Ringkasan!S1545</f>
        <v/>
      </c>
      <c r="T1546" s="64" t="str">
        <f>Ringkasan!T1545</f>
        <v/>
      </c>
      <c r="U1546" s="64">
        <f>Ringkasan!U1545</f>
        <v>194</v>
      </c>
      <c r="V1546" s="64">
        <f>Ringkasan!V1545</f>
        <v>3.09</v>
      </c>
      <c r="W1546" s="64">
        <f>Ringkasan!W1545</f>
        <v>198</v>
      </c>
      <c r="X1546" s="64">
        <f>Ringkasan!X1545</f>
        <v>206</v>
      </c>
      <c r="Y1546" s="64">
        <f>Ringkasan!Y1545</f>
        <v>196</v>
      </c>
      <c r="Z1546" s="64">
        <f>Ringkasan!Z1545</f>
        <v>35260000</v>
      </c>
      <c r="AA1546" s="64" t="str">
        <f>Ringkasan!AA1545</f>
        <v>Media</v>
      </c>
      <c r="AB1546" s="64" t="str">
        <f>Ringkasan!AB1545</f>
        <v>Consumer Cyclicals</v>
      </c>
    </row>
    <row r="1547" hidden="1">
      <c r="A1547" s="64" t="str">
        <f>Ringkasan!A1546</f>
        <v>SCNP</v>
      </c>
      <c r="B1547" s="64" t="str">
        <f>Ringkasan!B1546</f>
        <v>Selaras Citra Nusantara Perkasa Tbk.</v>
      </c>
      <c r="C1547" s="65">
        <f>Ringkasan!C1546</f>
        <v>142</v>
      </c>
      <c r="D1547" s="64" t="str">
        <f>Ringkasan!D1546</f>
        <v>#N/A</v>
      </c>
      <c r="E1547" s="64" t="str">
        <f>Ringkasan!E1546</f>
        <v/>
      </c>
      <c r="F1547" s="64" t="str">
        <f>Ringkasan!F1546</f>
        <v/>
      </c>
      <c r="G1547" s="64">
        <f>Ringkasan!G1546</f>
        <v>0</v>
      </c>
      <c r="H1547" s="19">
        <f>Ringkasan!H1546</f>
        <v>27.6</v>
      </c>
      <c r="I1547" s="19">
        <f>Ringkasan!I1546</f>
        <v>1.1</v>
      </c>
      <c r="J1547" s="19">
        <f>Ringkasan!J1546</f>
        <v>4</v>
      </c>
      <c r="K1547" s="19">
        <f>Ringkasan!K1546</f>
        <v>3.2</v>
      </c>
      <c r="L1547" s="19">
        <f>Ringkasan!L1546</f>
        <v>0.26</v>
      </c>
      <c r="M1547" s="19">
        <f>Ringkasan!M1546</f>
        <v>20.1</v>
      </c>
      <c r="N1547" s="64" t="str">
        <f>Ringkasan!N1546</f>
        <v/>
      </c>
      <c r="O1547" s="64" t="str">
        <f>Ringkasan!O1546</f>
        <v/>
      </c>
      <c r="P1547" s="64" t="str">
        <f>Ringkasan!P1546</f>
        <v/>
      </c>
      <c r="Q1547" s="64" t="str">
        <f>Ringkasan!Q1546</f>
        <v/>
      </c>
      <c r="R1547" s="64" t="str">
        <f>Ringkasan!R1546</f>
        <v/>
      </c>
      <c r="S1547" s="64" t="str">
        <f>Ringkasan!S1546</f>
        <v/>
      </c>
      <c r="T1547" s="64" t="str">
        <f>Ringkasan!T1546</f>
        <v/>
      </c>
      <c r="U1547" s="64">
        <f>Ringkasan!U1546</f>
        <v>140</v>
      </c>
      <c r="V1547" s="64">
        <f>Ringkasan!V1546</f>
        <v>1.43</v>
      </c>
      <c r="W1547" s="64">
        <f>Ringkasan!W1546</f>
        <v>140</v>
      </c>
      <c r="X1547" s="64" t="str">
        <f>Ringkasan!X1546</f>
        <v/>
      </c>
      <c r="Y1547" s="64">
        <f>Ringkasan!Y1546</f>
        <v>139</v>
      </c>
      <c r="Z1547" s="64">
        <f>Ringkasan!Z1546</f>
        <v>279600</v>
      </c>
      <c r="AA1547" s="64" t="str">
        <f>Ringkasan!AA1546</f>
        <v>Household Goods</v>
      </c>
      <c r="AB1547" s="64" t="str">
        <f>Ringkasan!AB1546</f>
        <v>Consumer Cyclicals</v>
      </c>
    </row>
    <row r="1548" hidden="1">
      <c r="A1548" s="64" t="str">
        <f>Ringkasan!A1547</f>
        <v>SCPI</v>
      </c>
      <c r="B1548" s="64" t="str">
        <f>Ringkasan!B1547</f>
        <v>Organon Pharma Indonesia Tbk.</v>
      </c>
      <c r="C1548" s="65">
        <f>Ringkasan!C1547</f>
        <v>0</v>
      </c>
      <c r="D1548" s="64" t="str">
        <f>Ringkasan!D1547</f>
        <v>#N/A</v>
      </c>
      <c r="E1548" s="64" t="str">
        <f>Ringkasan!E1547</f>
        <v/>
      </c>
      <c r="F1548" s="64" t="str">
        <f>Ringkasan!F1547</f>
        <v/>
      </c>
      <c r="G1548" s="65">
        <f>Ringkasan!G1547</f>
        <v>0</v>
      </c>
      <c r="H1548" s="19">
        <f>Ringkasan!H1547</f>
        <v>0.35</v>
      </c>
      <c r="I1548" s="19">
        <f>Ringkasan!I1547</f>
        <v>0.07</v>
      </c>
      <c r="J1548" s="19">
        <f>Ringkasan!J1547</f>
        <v>20.9</v>
      </c>
      <c r="K1548" s="19">
        <f>Ringkasan!K1547</f>
        <v>13.2</v>
      </c>
      <c r="L1548" s="19">
        <f>Ringkasan!L1547</f>
        <v>0.58</v>
      </c>
      <c r="M1548" s="19">
        <f>Ringkasan!M1547</f>
        <v>34.2</v>
      </c>
      <c r="N1548" s="64" t="str">
        <f>Ringkasan!N1547</f>
        <v/>
      </c>
      <c r="O1548" s="64" t="str">
        <f>Ringkasan!O1547</f>
        <v/>
      </c>
      <c r="P1548" s="64" t="str">
        <f>Ringkasan!P1547</f>
        <v/>
      </c>
      <c r="Q1548" s="64" t="str">
        <f>Ringkasan!Q1547</f>
        <v/>
      </c>
      <c r="R1548" s="64" t="str">
        <f>Ringkasan!R1547</f>
        <v/>
      </c>
      <c r="S1548" s="64" t="str">
        <f>Ringkasan!S1547</f>
        <v/>
      </c>
      <c r="T1548" s="64" t="str">
        <f>Ringkasan!T1547</f>
        <v/>
      </c>
      <c r="U1548" s="64">
        <f>Ringkasan!U1547</f>
        <v>29000</v>
      </c>
      <c r="V1548" s="64">
        <f>Ringkasan!V1547</f>
        <v>-100</v>
      </c>
      <c r="W1548" s="64" t="str">
        <f>Ringkasan!W1547</f>
        <v/>
      </c>
      <c r="X1548" s="64" t="str">
        <f>Ringkasan!X1547</f>
        <v/>
      </c>
      <c r="Y1548" s="64" t="str">
        <f>Ringkasan!Y1547</f>
        <v/>
      </c>
      <c r="Z1548" s="64">
        <f>Ringkasan!Z1547</f>
        <v>0</v>
      </c>
      <c r="AA1548" s="64" t="str">
        <f>Ringkasan!AA1547</f>
        <v>Pharmaceuticals</v>
      </c>
      <c r="AB1548" s="64" t="str">
        <f>Ringkasan!AB1547</f>
        <v>Healthcare</v>
      </c>
    </row>
    <row r="1549" hidden="1">
      <c r="A1549" s="64" t="str">
        <f>Ringkasan!A1548</f>
        <v>SDMU</v>
      </c>
      <c r="B1549" s="64" t="str">
        <f>Ringkasan!B1548</f>
        <v>Sidomulyo Selaras Tbk</v>
      </c>
      <c r="C1549" s="65">
        <f>Ringkasan!C1548</f>
        <v>64</v>
      </c>
      <c r="D1549" s="64" t="str">
        <f>Ringkasan!D1548</f>
        <v>#N/A</v>
      </c>
      <c r="E1549" s="64" t="str">
        <f>Ringkasan!E1548</f>
        <v/>
      </c>
      <c r="F1549" s="64" t="str">
        <f>Ringkasan!F1548</f>
        <v/>
      </c>
      <c r="G1549" s="64">
        <f>Ringkasan!G1548</f>
        <v>0</v>
      </c>
      <c r="H1549" s="19">
        <f>Ringkasan!H1548</f>
        <v>-13.8</v>
      </c>
      <c r="I1549" s="19">
        <f>Ringkasan!I1548</f>
        <v>2.2</v>
      </c>
      <c r="J1549" s="19">
        <f>Ringkasan!J1548</f>
        <v>-16</v>
      </c>
      <c r="K1549" s="19">
        <f>Ringkasan!K1548</f>
        <v>-9.6</v>
      </c>
      <c r="L1549" s="19">
        <f>Ringkasan!L1548</f>
        <v>0.66</v>
      </c>
      <c r="M1549" s="19">
        <f>Ringkasan!M1548</f>
        <v>-67.8</v>
      </c>
      <c r="N1549" s="64" t="str">
        <f>Ringkasan!N1548</f>
        <v/>
      </c>
      <c r="O1549" s="64" t="str">
        <f>Ringkasan!O1548</f>
        <v/>
      </c>
      <c r="P1549" s="64" t="str">
        <f>Ringkasan!P1548</f>
        <v/>
      </c>
      <c r="Q1549" s="64" t="str">
        <f>Ringkasan!Q1548</f>
        <v/>
      </c>
      <c r="R1549" s="64" t="str">
        <f>Ringkasan!R1548</f>
        <v/>
      </c>
      <c r="S1549" s="64" t="str">
        <f>Ringkasan!S1548</f>
        <v/>
      </c>
      <c r="T1549" s="64" t="str">
        <f>Ringkasan!T1548</f>
        <v/>
      </c>
      <c r="U1549" s="64">
        <f>Ringkasan!U1548</f>
        <v>63</v>
      </c>
      <c r="V1549" s="64">
        <f>Ringkasan!V1548</f>
        <v>1.59</v>
      </c>
      <c r="W1549" s="64">
        <f>Ringkasan!W1548</f>
        <v>63</v>
      </c>
      <c r="X1549" s="64">
        <f>Ringkasan!X1548</f>
        <v>69</v>
      </c>
      <c r="Y1549" s="64">
        <f>Ringkasan!Y1548</f>
        <v>63</v>
      </c>
      <c r="Z1549" s="64">
        <f>Ringkasan!Z1548</f>
        <v>10020800</v>
      </c>
      <c r="AA1549" s="64" t="str">
        <f>Ringkasan!AA1548</f>
        <v>Logistics &amp; Deliveries</v>
      </c>
      <c r="AB1549" s="64" t="str">
        <f>Ringkasan!AB1548</f>
        <v>Transportation &amp; Logistic</v>
      </c>
    </row>
    <row r="1550" hidden="1">
      <c r="A1550" s="64" t="str">
        <f>Ringkasan!A1549</f>
        <v>SDPC</v>
      </c>
      <c r="B1550" s="64" t="str">
        <f>Ringkasan!B1549</f>
        <v>Millennium Pharmacon International Tbk.</v>
      </c>
      <c r="C1550" s="65">
        <f>Ringkasan!C1549</f>
        <v>170</v>
      </c>
      <c r="D1550" s="64" t="str">
        <f>Ringkasan!D1549</f>
        <v>#N/A</v>
      </c>
      <c r="E1550" s="64" t="str">
        <f>Ringkasan!E1549</f>
        <v/>
      </c>
      <c r="F1550" s="64" t="str">
        <f>Ringkasan!F1549</f>
        <v/>
      </c>
      <c r="G1550" s="64">
        <f>Ringkasan!G1549</f>
        <v>0</v>
      </c>
      <c r="H1550" s="19">
        <f>Ringkasan!H1549</f>
        <v>6.3</v>
      </c>
      <c r="I1550" s="19">
        <f>Ringkasan!I1549</f>
        <v>0.74</v>
      </c>
      <c r="J1550" s="19">
        <f>Ringkasan!J1549</f>
        <v>11.8</v>
      </c>
      <c r="K1550" s="19">
        <f>Ringkasan!K1549</f>
        <v>1.9</v>
      </c>
      <c r="L1550" s="19">
        <f>Ringkasan!L1549</f>
        <v>5.2</v>
      </c>
      <c r="M1550" s="19">
        <f>Ringkasan!M1549</f>
        <v>3.8</v>
      </c>
      <c r="N1550" s="64" t="str">
        <f>Ringkasan!N1549</f>
        <v/>
      </c>
      <c r="O1550" s="64" t="str">
        <f>Ringkasan!O1549</f>
        <v/>
      </c>
      <c r="P1550" s="64" t="str">
        <f>Ringkasan!P1549</f>
        <v/>
      </c>
      <c r="Q1550" s="64" t="str">
        <f>Ringkasan!Q1549</f>
        <v/>
      </c>
      <c r="R1550" s="64" t="str">
        <f>Ringkasan!R1549</f>
        <v/>
      </c>
      <c r="S1550" s="64" t="str">
        <f>Ringkasan!S1549</f>
        <v/>
      </c>
      <c r="T1550" s="64" t="str">
        <f>Ringkasan!T1549</f>
        <v/>
      </c>
      <c r="U1550" s="64">
        <f>Ringkasan!U1549</f>
        <v>174</v>
      </c>
      <c r="V1550" s="64">
        <f>Ringkasan!V1549</f>
        <v>-2.3</v>
      </c>
      <c r="W1550" s="64">
        <f>Ringkasan!W1549</f>
        <v>174</v>
      </c>
      <c r="X1550" s="64">
        <f>Ringkasan!X1549</f>
        <v>178</v>
      </c>
      <c r="Y1550" s="64">
        <f>Ringkasan!Y1549</f>
        <v>170</v>
      </c>
      <c r="Z1550" s="64">
        <f>Ringkasan!Z1549</f>
        <v>69700</v>
      </c>
      <c r="AA1550" s="64" t="str">
        <f>Ringkasan!AA1549</f>
        <v>Food &amp; Staples Retailing</v>
      </c>
      <c r="AB1550" s="64" t="str">
        <f>Ringkasan!AB1549</f>
        <v>Consumer Non-Cyclicals</v>
      </c>
    </row>
    <row r="1551" hidden="1">
      <c r="A1551" s="64" t="str">
        <f>Ringkasan!A1550</f>
        <v>SDRA</v>
      </c>
      <c r="B1551" s="64" t="str">
        <f>Ringkasan!B1550</f>
        <v>PT Bank Woori Saudara Indonesia 1906 Tbk</v>
      </c>
      <c r="C1551" s="65">
        <f>Ringkasan!C1550</f>
        <v>208</v>
      </c>
      <c r="D1551" s="64" t="str">
        <f>Ringkasan!D1550</f>
        <v>#N/A</v>
      </c>
      <c r="E1551" s="64" t="str">
        <f>Ringkasan!E1550</f>
        <v/>
      </c>
      <c r="F1551" s="64" t="str">
        <f>Ringkasan!F1550</f>
        <v/>
      </c>
      <c r="G1551" s="64">
        <f>Ringkasan!G1550</f>
        <v>0</v>
      </c>
      <c r="H1551" s="19">
        <f>Ringkasan!H1550</f>
        <v>-3.1</v>
      </c>
      <c r="I1551" s="19">
        <f>Ringkasan!I1550</f>
        <v>0.27</v>
      </c>
      <c r="J1551" s="19">
        <f>Ringkasan!J1550</f>
        <v>-8.6</v>
      </c>
      <c r="K1551" s="19">
        <f>Ringkasan!K1550</f>
        <v>-2.1</v>
      </c>
      <c r="L1551" s="19">
        <f>Ringkasan!L1550</f>
        <v>3.2</v>
      </c>
      <c r="M1551" s="19">
        <f>Ringkasan!M1550</f>
        <v>-120</v>
      </c>
      <c r="N1551" s="64">
        <f>Ringkasan!N1550</f>
        <v>3.3</v>
      </c>
      <c r="O1551" s="64">
        <f>Ringkasan!O1550</f>
        <v>31.09</v>
      </c>
      <c r="P1551" s="64" t="str">
        <f>Ringkasan!P1550</f>
        <v/>
      </c>
      <c r="Q1551" s="64">
        <f>Ringkasan!Q1550</f>
        <v>1.85</v>
      </c>
      <c r="R1551" s="64" t="str">
        <f>Ringkasan!R1550</f>
        <v/>
      </c>
      <c r="S1551" s="64" t="str">
        <f>Ringkasan!S1550</f>
        <v/>
      </c>
      <c r="T1551" s="64" t="str">
        <f>Ringkasan!T1550</f>
        <v/>
      </c>
      <c r="U1551" s="64">
        <f>Ringkasan!U1550</f>
        <v>200</v>
      </c>
      <c r="V1551" s="64">
        <f>Ringkasan!V1550</f>
        <v>4</v>
      </c>
      <c r="W1551" s="64">
        <f>Ringkasan!W1550</f>
        <v>200</v>
      </c>
      <c r="X1551" s="64">
        <f>Ringkasan!X1550</f>
        <v>210</v>
      </c>
      <c r="Y1551" s="64">
        <f>Ringkasan!Y1550</f>
        <v>200</v>
      </c>
      <c r="Z1551" s="64">
        <f>Ringkasan!Z1550</f>
        <v>729400</v>
      </c>
      <c r="AA1551" s="64" t="str">
        <f>Ringkasan!AA1550</f>
        <v>Banks</v>
      </c>
      <c r="AB1551" s="64" t="str">
        <f>Ringkasan!AB1550</f>
        <v>Financials</v>
      </c>
    </row>
    <row r="1552" hidden="1">
      <c r="A1552" s="64" t="str">
        <f>Ringkasan!A1553</f>
        <v>SGER</v>
      </c>
      <c r="B1552" s="64" t="str">
        <f>Ringkasan!B1553</f>
        <v>Sumber Global Energy Tbk.</v>
      </c>
      <c r="C1552" s="65">
        <f>Ringkasan!C1553</f>
        <v>406</v>
      </c>
      <c r="D1552" s="64" t="str">
        <f>Ringkasan!D1553</f>
        <v>#N/A</v>
      </c>
      <c r="E1552" s="64" t="str">
        <f>Ringkasan!E1553</f>
        <v>Pefindo - iGrade</v>
      </c>
      <c r="F1552" s="64" t="str">
        <f>Ringkasan!F1553</f>
        <v>30 Juni 2026</v>
      </c>
      <c r="G1552" s="64">
        <f>Ringkasan!G1553</f>
        <v>2</v>
      </c>
      <c r="H1552" s="19">
        <f>Ringkasan!H1553</f>
        <v>22.3</v>
      </c>
      <c r="I1552" s="19">
        <f>Ringkasan!I1553</f>
        <v>1.9</v>
      </c>
      <c r="J1552" s="19">
        <f>Ringkasan!J1553</f>
        <v>8.6</v>
      </c>
      <c r="K1552" s="19">
        <f>Ringkasan!K1553</f>
        <v>3.4</v>
      </c>
      <c r="L1552" s="19">
        <f>Ringkasan!L1553</f>
        <v>1.5</v>
      </c>
      <c r="M1552" s="19">
        <f>Ringkasan!M1553</f>
        <v>8.4</v>
      </c>
      <c r="N1552" s="64" t="str">
        <f>Ringkasan!N1553</f>
        <v/>
      </c>
      <c r="O1552" s="64" t="str">
        <f>Ringkasan!O1553</f>
        <v/>
      </c>
      <c r="P1552" s="64" t="str">
        <f>Ringkasan!P1553</f>
        <v/>
      </c>
      <c r="Q1552" s="64" t="str">
        <f>Ringkasan!Q1553</f>
        <v/>
      </c>
      <c r="R1552" s="64" t="str">
        <f>Ringkasan!R1553</f>
        <v/>
      </c>
      <c r="S1552" s="64" t="str">
        <f>Ringkasan!S1553</f>
        <v/>
      </c>
      <c r="T1552" s="64" t="str">
        <f>Ringkasan!T1553</f>
        <v/>
      </c>
      <c r="U1552" s="64">
        <f>Ringkasan!U1553</f>
        <v>0</v>
      </c>
      <c r="V1552" s="64">
        <f>Ringkasan!V1553</f>
        <v>0</v>
      </c>
      <c r="W1552" s="64" t="str">
        <f>Ringkasan!W1553</f>
        <v/>
      </c>
      <c r="X1552" s="64" t="str">
        <f>Ringkasan!X1553</f>
        <v/>
      </c>
      <c r="Y1552" s="64" t="str">
        <f>Ringkasan!Y1553</f>
        <v/>
      </c>
      <c r="Z1552" s="64">
        <f>Ringkasan!Z1553</f>
        <v>0</v>
      </c>
      <c r="AA1552" s="64" t="str">
        <f>Ringkasan!AA1553</f>
        <v>Coal</v>
      </c>
      <c r="AB1552" s="64" t="str">
        <f>Ringkasan!AB1553</f>
        <v>Energy</v>
      </c>
    </row>
    <row r="1553" hidden="1">
      <c r="A1553" s="64" t="str">
        <f>Ringkasan!A1554</f>
        <v>SGER</v>
      </c>
      <c r="B1553" s="64" t="str">
        <f>Ringkasan!B1554</f>
        <v>Sumber Global Energy Tbk.</v>
      </c>
      <c r="C1553" s="65">
        <f>Ringkasan!C1554</f>
        <v>406</v>
      </c>
      <c r="D1553" s="64" t="str">
        <f>Ringkasan!D1554</f>
        <v>#N/A</v>
      </c>
      <c r="E1553" s="64" t="str">
        <f>Ringkasan!E1554</f>
        <v>Kompas100</v>
      </c>
      <c r="F1553" s="64" t="str">
        <f>Ringkasan!F1554</f>
        <v>31 Juli 2026</v>
      </c>
      <c r="G1553" s="64">
        <f>Ringkasan!G1554</f>
        <v>2</v>
      </c>
      <c r="H1553" s="19">
        <f>Ringkasan!H1554</f>
        <v>22.3</v>
      </c>
      <c r="I1553" s="19">
        <f>Ringkasan!I1554</f>
        <v>1.9</v>
      </c>
      <c r="J1553" s="19">
        <f>Ringkasan!J1554</f>
        <v>8.6</v>
      </c>
      <c r="K1553" s="19">
        <f>Ringkasan!K1554</f>
        <v>3.4</v>
      </c>
      <c r="L1553" s="19">
        <f>Ringkasan!L1554</f>
        <v>1.5</v>
      </c>
      <c r="M1553" s="19">
        <f>Ringkasan!M1554</f>
        <v>8.4</v>
      </c>
      <c r="N1553" s="64" t="str">
        <f>Ringkasan!N1554</f>
        <v/>
      </c>
      <c r="O1553" s="64" t="str">
        <f>Ringkasan!O1554</f>
        <v/>
      </c>
      <c r="P1553" s="64" t="str">
        <f>Ringkasan!P1554</f>
        <v/>
      </c>
      <c r="Q1553" s="64" t="str">
        <f>Ringkasan!Q1554</f>
        <v/>
      </c>
      <c r="R1553" s="64" t="str">
        <f>Ringkasan!R1554</f>
        <v/>
      </c>
      <c r="S1553" s="64" t="str">
        <f>Ringkasan!S1554</f>
        <v/>
      </c>
      <c r="T1553" s="64" t="str">
        <f>Ringkasan!T1554</f>
        <v/>
      </c>
      <c r="U1553" s="64">
        <f>Ringkasan!U1554</f>
        <v>0</v>
      </c>
      <c r="V1553" s="64">
        <f>Ringkasan!V1554</f>
        <v>0</v>
      </c>
      <c r="W1553" s="64" t="str">
        <f>Ringkasan!W1554</f>
        <v/>
      </c>
      <c r="X1553" s="64" t="str">
        <f>Ringkasan!X1554</f>
        <v/>
      </c>
      <c r="Y1553" s="64" t="str">
        <f>Ringkasan!Y1554</f>
        <v/>
      </c>
      <c r="Z1553" s="64">
        <f>Ringkasan!Z1554</f>
        <v>0</v>
      </c>
      <c r="AA1553" s="64" t="str">
        <f>Ringkasan!AA1554</f>
        <v>Coal</v>
      </c>
      <c r="AB1553" s="64" t="str">
        <f>Ringkasan!AB1554</f>
        <v>Energy</v>
      </c>
    </row>
    <row r="1554" hidden="1">
      <c r="A1554" s="64" t="str">
        <f>Ringkasan!A1555</f>
        <v>SGRO</v>
      </c>
      <c r="B1554" s="64" t="str">
        <f>Ringkasan!B1555</f>
        <v>Prime Agri Resources Tbk.</v>
      </c>
      <c r="C1554" s="65">
        <f>Ringkasan!C1555</f>
        <v>2840</v>
      </c>
      <c r="D1554" s="64" t="str">
        <f>Ringkasan!D1555</f>
        <v>#N/A</v>
      </c>
      <c r="E1554" s="64" t="str">
        <f>Ringkasan!E1555</f>
        <v>Pefindo - iGrade</v>
      </c>
      <c r="F1554" s="64" t="str">
        <f>Ringkasan!F1555</f>
        <v>30 Juni 2026</v>
      </c>
      <c r="G1554" s="65">
        <f>Ringkasan!G1555</f>
        <v>1</v>
      </c>
      <c r="H1554" s="19">
        <f>Ringkasan!H1555</f>
        <v>28.4</v>
      </c>
      <c r="I1554" s="19">
        <f>Ringkasan!I1555</f>
        <v>0.99</v>
      </c>
      <c r="J1554" s="19">
        <f>Ringkasan!J1555</f>
        <v>3.5</v>
      </c>
      <c r="K1554" s="19">
        <f>Ringkasan!K1555</f>
        <v>2.1</v>
      </c>
      <c r="L1554" s="19">
        <f>Ringkasan!L1555</f>
        <v>0.69</v>
      </c>
      <c r="M1554" s="19">
        <f>Ringkasan!M1555</f>
        <v>14.3</v>
      </c>
      <c r="N1554" s="64" t="str">
        <f>Ringkasan!N1555</f>
        <v/>
      </c>
      <c r="O1554" s="64" t="str">
        <f>Ringkasan!O1555</f>
        <v/>
      </c>
      <c r="P1554" s="64" t="str">
        <f>Ringkasan!P1555</f>
        <v/>
      </c>
      <c r="Q1554" s="64" t="str">
        <f>Ringkasan!Q1555</f>
        <v/>
      </c>
      <c r="R1554" s="64" t="str">
        <f>Ringkasan!R1555</f>
        <v/>
      </c>
      <c r="S1554" s="64" t="str">
        <f>Ringkasan!S1555</f>
        <v/>
      </c>
      <c r="T1554" s="64" t="str">
        <f>Ringkasan!T1555</f>
        <v/>
      </c>
      <c r="U1554" s="64">
        <f>Ringkasan!U1555</f>
        <v>0.06</v>
      </c>
      <c r="V1554" s="64">
        <f>Ringkasan!V1555</f>
        <v>-25</v>
      </c>
      <c r="W1554" s="64">
        <f>Ringkasan!W1555</f>
        <v>0.05</v>
      </c>
      <c r="X1554" s="64">
        <f>Ringkasan!X1555</f>
        <v>0.05</v>
      </c>
      <c r="Y1554" s="64">
        <f>Ringkasan!Y1555</f>
        <v>0.05</v>
      </c>
      <c r="Z1554" s="64">
        <f>Ringkasan!Z1555</f>
        <v>4000</v>
      </c>
      <c r="AA1554" s="64" t="str">
        <f>Ringkasan!AA1555</f>
        <v>Agricultural Products</v>
      </c>
      <c r="AB1554" s="64" t="str">
        <f>Ringkasan!AB1555</f>
        <v>Consumer Non-Cyclicals</v>
      </c>
    </row>
    <row r="1555" hidden="1">
      <c r="A1555" s="64" t="str">
        <f>Ringkasan!A1556</f>
        <v>SHID</v>
      </c>
      <c r="B1555" s="64" t="str">
        <f>Ringkasan!B1556</f>
        <v>Hotel Sahid Jaya International Tbk.</v>
      </c>
      <c r="C1555" s="65">
        <f>Ringkasan!C1556</f>
        <v>675</v>
      </c>
      <c r="D1555" s="64" t="str">
        <f>Ringkasan!D1556</f>
        <v>#N/A</v>
      </c>
      <c r="E1555" s="64" t="str">
        <f>Ringkasan!E1556</f>
        <v/>
      </c>
      <c r="F1555" s="64" t="str">
        <f>Ringkasan!F1556</f>
        <v/>
      </c>
      <c r="G1555" s="64">
        <f>Ringkasan!G1556</f>
        <v>0</v>
      </c>
      <c r="H1555" s="19">
        <f>Ringkasan!H1556</f>
        <v>-31.8</v>
      </c>
      <c r="I1555" s="19">
        <f>Ringkasan!I1556</f>
        <v>1.1</v>
      </c>
      <c r="J1555" s="19">
        <f>Ringkasan!J1556</f>
        <v>-3.5</v>
      </c>
      <c r="K1555" s="19">
        <f>Ringkasan!K1556</f>
        <v>-2</v>
      </c>
      <c r="L1555" s="19">
        <f>Ringkasan!L1556</f>
        <v>0.78</v>
      </c>
      <c r="M1555" s="19">
        <f>Ringkasan!M1556</f>
        <v>-140</v>
      </c>
      <c r="N1555" s="64" t="str">
        <f>Ringkasan!N1556</f>
        <v/>
      </c>
      <c r="O1555" s="64" t="str">
        <f>Ringkasan!O1556</f>
        <v/>
      </c>
      <c r="P1555" s="64" t="str">
        <f>Ringkasan!P1556</f>
        <v/>
      </c>
      <c r="Q1555" s="64" t="str">
        <f>Ringkasan!Q1556</f>
        <v/>
      </c>
      <c r="R1555" s="64" t="str">
        <f>Ringkasan!R1556</f>
        <v/>
      </c>
      <c r="S1555" s="64" t="str">
        <f>Ringkasan!S1556</f>
        <v/>
      </c>
      <c r="T1555" s="64" t="str">
        <f>Ringkasan!T1556</f>
        <v/>
      </c>
      <c r="U1555" s="64">
        <f>Ringkasan!U1556</f>
        <v>675</v>
      </c>
      <c r="V1555" s="64">
        <f>Ringkasan!V1556</f>
        <v>0</v>
      </c>
      <c r="W1555" s="64">
        <f>Ringkasan!W1556</f>
        <v>665</v>
      </c>
      <c r="X1555" s="64">
        <f>Ringkasan!X1556</f>
        <v>675</v>
      </c>
      <c r="Y1555" s="64">
        <f>Ringkasan!Y1556</f>
        <v>660</v>
      </c>
      <c r="Z1555" s="64">
        <f>Ringkasan!Z1556</f>
        <v>14700</v>
      </c>
      <c r="AA1555" s="64" t="str">
        <f>Ringkasan!AA1556</f>
        <v>Tourism &amp; Recreation</v>
      </c>
      <c r="AB1555" s="64" t="str">
        <f>Ringkasan!AB1556</f>
        <v>Consumer Cyclicals</v>
      </c>
    </row>
    <row r="1556" hidden="1">
      <c r="A1556" s="64" t="str">
        <f>Ringkasan!A1557</f>
        <v>SHIP</v>
      </c>
      <c r="B1556" s="64" t="str">
        <f>Ringkasan!B1557</f>
        <v>Sillo Maritime Perdana Tbk.</v>
      </c>
      <c r="C1556" s="65">
        <f>Ringkasan!C1557</f>
        <v>1395</v>
      </c>
      <c r="D1556" s="64" t="str">
        <f>Ringkasan!D1557</f>
        <v>#N/A</v>
      </c>
      <c r="E1556" s="64" t="str">
        <f>Ringkasan!E1557</f>
        <v/>
      </c>
      <c r="F1556" s="64" t="str">
        <f>Ringkasan!F1557</f>
        <v/>
      </c>
      <c r="G1556" s="64">
        <f>Ringkasan!G1557</f>
        <v>0</v>
      </c>
      <c r="H1556" s="19">
        <f>Ringkasan!H1557</f>
        <v>14.7</v>
      </c>
      <c r="I1556" s="19">
        <f>Ringkasan!I1557</f>
        <v>1.2</v>
      </c>
      <c r="J1556" s="19">
        <f>Ringkasan!J1557</f>
        <v>8.1</v>
      </c>
      <c r="K1556" s="19">
        <f>Ringkasan!K1557</f>
        <v>3.5</v>
      </c>
      <c r="L1556" s="19">
        <f>Ringkasan!L1557</f>
        <v>1.3</v>
      </c>
      <c r="M1556" s="19">
        <f>Ringkasan!M1557</f>
        <v>31.6</v>
      </c>
      <c r="N1556" s="64" t="str">
        <f>Ringkasan!N1557</f>
        <v/>
      </c>
      <c r="O1556" s="64" t="str">
        <f>Ringkasan!O1557</f>
        <v/>
      </c>
      <c r="P1556" s="64" t="str">
        <f>Ringkasan!P1557</f>
        <v/>
      </c>
      <c r="Q1556" s="64" t="str">
        <f>Ringkasan!Q1557</f>
        <v/>
      </c>
      <c r="R1556" s="64" t="str">
        <f>Ringkasan!R1557</f>
        <v/>
      </c>
      <c r="S1556" s="64" t="str">
        <f>Ringkasan!S1557</f>
        <v/>
      </c>
      <c r="T1556" s="64" t="str">
        <f>Ringkasan!T1557</f>
        <v/>
      </c>
      <c r="U1556" s="64">
        <f>Ringkasan!U1557</f>
        <v>15.6</v>
      </c>
      <c r="V1556" s="64">
        <f>Ringkasan!V1557</f>
        <v>6.03</v>
      </c>
      <c r="W1556" s="64">
        <f>Ringkasan!W1557</f>
        <v>15.64</v>
      </c>
      <c r="X1556" s="64">
        <f>Ringkasan!X1557</f>
        <v>16.66</v>
      </c>
      <c r="Y1556" s="64">
        <f>Ringkasan!Y1557</f>
        <v>15.61</v>
      </c>
      <c r="Z1556" s="64">
        <f>Ringkasan!Z1557</f>
        <v>253413</v>
      </c>
      <c r="AA1556" s="64" t="str">
        <f>Ringkasan!AA1557</f>
        <v>Oil &amp; Gas</v>
      </c>
      <c r="AB1556" s="64" t="str">
        <f>Ringkasan!AB1557</f>
        <v>Energy</v>
      </c>
    </row>
    <row r="1557" hidden="1">
      <c r="A1557" s="64" t="str">
        <f>Ringkasan!A1558</f>
        <v>SICO</v>
      </c>
      <c r="B1557" s="64" t="str">
        <f>Ringkasan!B1558</f>
        <v>Sigma Energy Compressindo Tbk.</v>
      </c>
      <c r="C1557" s="65">
        <f>Ringkasan!C1558</f>
        <v>103</v>
      </c>
      <c r="D1557" s="64" t="str">
        <f>Ringkasan!D1558</f>
        <v>#N/A</v>
      </c>
      <c r="E1557" s="64" t="str">
        <f>Ringkasan!E1558</f>
        <v/>
      </c>
      <c r="F1557" s="64" t="str">
        <f>Ringkasan!F1558</f>
        <v/>
      </c>
      <c r="G1557" s="64">
        <f>Ringkasan!G1558</f>
        <v>0</v>
      </c>
      <c r="H1557" s="19">
        <f>Ringkasan!H1558</f>
        <v>7.3</v>
      </c>
      <c r="I1557" s="19">
        <f>Ringkasan!I1558</f>
        <v>0.72</v>
      </c>
      <c r="J1557" s="19">
        <f>Ringkasan!J1558</f>
        <v>9.9</v>
      </c>
      <c r="K1557" s="19">
        <f>Ringkasan!K1558</f>
        <v>7.6</v>
      </c>
      <c r="L1557" s="19">
        <f>Ringkasan!L1558</f>
        <v>0.3</v>
      </c>
      <c r="M1557" s="19">
        <f>Ringkasan!M1558</f>
        <v>35.6</v>
      </c>
      <c r="N1557" s="64" t="str">
        <f>Ringkasan!N1558</f>
        <v/>
      </c>
      <c r="O1557" s="64" t="str">
        <f>Ringkasan!O1558</f>
        <v/>
      </c>
      <c r="P1557" s="64" t="str">
        <f>Ringkasan!P1558</f>
        <v/>
      </c>
      <c r="Q1557" s="64" t="str">
        <f>Ringkasan!Q1558</f>
        <v/>
      </c>
      <c r="R1557" s="64" t="str">
        <f>Ringkasan!R1558</f>
        <v/>
      </c>
      <c r="S1557" s="64" t="str">
        <f>Ringkasan!S1558</f>
        <v/>
      </c>
      <c r="T1557" s="64" t="str">
        <f>Ringkasan!T1558</f>
        <v/>
      </c>
      <c r="U1557" s="64">
        <f>Ringkasan!U1558</f>
        <v>7.8</v>
      </c>
      <c r="V1557" s="64">
        <f>Ringkasan!V1558</f>
        <v>1.92</v>
      </c>
      <c r="W1557" s="64">
        <f>Ringkasan!W1558</f>
        <v>7.86</v>
      </c>
      <c r="X1557" s="64">
        <f>Ringkasan!X1558</f>
        <v>8.2</v>
      </c>
      <c r="Y1557" s="64">
        <f>Ringkasan!Y1558</f>
        <v>7.29</v>
      </c>
      <c r="Z1557" s="64">
        <f>Ringkasan!Z1558</f>
        <v>242722</v>
      </c>
      <c r="AA1557" s="64" t="str">
        <f>Ringkasan!AA1558</f>
        <v>Oil, Gas &amp; Coal Supports</v>
      </c>
      <c r="AB1557" s="64" t="str">
        <f>Ringkasan!AB1558</f>
        <v>Energy</v>
      </c>
    </row>
    <row r="1558" hidden="1">
      <c r="A1558" s="64" t="str">
        <f>Ringkasan!A1559</f>
        <v>SIDO</v>
      </c>
      <c r="B1558" s="64" t="str">
        <f>Ringkasan!B1559</f>
        <v>Industri Jamu dan Farmasi Sido Muncul Tbk.</v>
      </c>
      <c r="C1558" s="65">
        <f>Ringkasan!C1559</f>
        <v>368</v>
      </c>
      <c r="D1558" s="64" t="str">
        <f>Ringkasan!D1559</f>
        <v>#N/A</v>
      </c>
      <c r="E1558" s="64" t="str">
        <f>Ringkasan!E1559</f>
        <v>ESGQKEHATI</v>
      </c>
      <c r="F1558" s="66">
        <f>Ringkasan!F1559</f>
        <v>46356</v>
      </c>
      <c r="G1558" s="64">
        <f>Ringkasan!G1559</f>
        <v>11</v>
      </c>
      <c r="H1558" s="19">
        <f>Ringkasan!H1559</f>
        <v>10.1</v>
      </c>
      <c r="I1558" s="19">
        <f>Ringkasan!I1559</f>
        <v>3.5</v>
      </c>
      <c r="J1558" s="19">
        <f>Ringkasan!J1559</f>
        <v>35.1</v>
      </c>
      <c r="K1558" s="19">
        <f>Ringkasan!K1559</f>
        <v>31.4</v>
      </c>
      <c r="L1558" s="19">
        <f>Ringkasan!L1559</f>
        <v>0.12</v>
      </c>
      <c r="M1558" s="19">
        <f>Ringkasan!M1559</f>
        <v>180</v>
      </c>
      <c r="N1558" s="64" t="str">
        <f>Ringkasan!N1559</f>
        <v/>
      </c>
      <c r="O1558" s="64" t="str">
        <f>Ringkasan!O1559</f>
        <v/>
      </c>
      <c r="P1558" s="64" t="str">
        <f>Ringkasan!P1559</f>
        <v/>
      </c>
      <c r="Q1558" s="64" t="str">
        <f>Ringkasan!Q1559</f>
        <v/>
      </c>
      <c r="R1558" s="64" t="str">
        <f>Ringkasan!R1559</f>
        <v/>
      </c>
      <c r="S1558" s="64" t="str">
        <f>Ringkasan!S1559</f>
        <v/>
      </c>
      <c r="T1558" s="64" t="str">
        <f>Ringkasan!T1559</f>
        <v/>
      </c>
      <c r="U1558" s="64">
        <f>Ringkasan!U1559</f>
        <v>370</v>
      </c>
      <c r="V1558" s="64" t="str">
        <f>Ringkasan!V1559</f>
        <v/>
      </c>
      <c r="W1558" s="64">
        <f>Ringkasan!W1559</f>
        <v>370</v>
      </c>
      <c r="X1558" s="64">
        <f>Ringkasan!X1559</f>
        <v>378</v>
      </c>
      <c r="Y1558" s="64">
        <f>Ringkasan!Y1559</f>
        <v>368</v>
      </c>
      <c r="Z1558" s="64">
        <f>Ringkasan!Z1559</f>
        <v>21742700</v>
      </c>
      <c r="AA1558" s="64" t="str">
        <f>Ringkasan!AA1559</f>
        <v>Pharmaceuticals</v>
      </c>
      <c r="AB1558" s="64" t="str">
        <f>Ringkasan!AB1559</f>
        <v>Healthcare</v>
      </c>
    </row>
    <row r="1559" hidden="1">
      <c r="A1559" s="64" t="str">
        <f>Ringkasan!A1560</f>
        <v>SIDO</v>
      </c>
      <c r="B1559" s="64" t="str">
        <f>Ringkasan!B1560</f>
        <v>Industri Jamu dan Farmasi Sido Muncul Tbk.</v>
      </c>
      <c r="C1559" s="65">
        <f>Ringkasan!C1560</f>
        <v>368</v>
      </c>
      <c r="D1559" s="64" t="str">
        <f>Ringkasan!D1560</f>
        <v>#N/A</v>
      </c>
      <c r="E1559" s="64" t="str">
        <f>Ringkasan!E1560</f>
        <v>Investor33</v>
      </c>
      <c r="F1559" s="66">
        <f>Ringkasan!F1560</f>
        <v>46356</v>
      </c>
      <c r="G1559" s="64">
        <f>Ringkasan!G1560</f>
        <v>11</v>
      </c>
      <c r="H1559" s="19">
        <f>Ringkasan!H1560</f>
        <v>10.1</v>
      </c>
      <c r="I1559" s="19">
        <f>Ringkasan!I1560</f>
        <v>3.5</v>
      </c>
      <c r="J1559" s="19">
        <f>Ringkasan!J1560</f>
        <v>35.1</v>
      </c>
      <c r="K1559" s="19">
        <f>Ringkasan!K1560</f>
        <v>31.4</v>
      </c>
      <c r="L1559" s="19">
        <f>Ringkasan!L1560</f>
        <v>0.12</v>
      </c>
      <c r="M1559" s="19">
        <f>Ringkasan!M1560</f>
        <v>180</v>
      </c>
      <c r="N1559" s="64" t="str">
        <f>Ringkasan!N1560</f>
        <v/>
      </c>
      <c r="O1559" s="64" t="str">
        <f>Ringkasan!O1560</f>
        <v/>
      </c>
      <c r="P1559" s="64" t="str">
        <f>Ringkasan!P1560</f>
        <v/>
      </c>
      <c r="Q1559" s="64" t="str">
        <f>Ringkasan!Q1560</f>
        <v/>
      </c>
      <c r="R1559" s="64" t="str">
        <f>Ringkasan!R1560</f>
        <v/>
      </c>
      <c r="S1559" s="64" t="str">
        <f>Ringkasan!S1560</f>
        <v/>
      </c>
      <c r="T1559" s="64" t="str">
        <f>Ringkasan!T1560</f>
        <v/>
      </c>
      <c r="U1559" s="64">
        <f>Ringkasan!U1560</f>
        <v>370</v>
      </c>
      <c r="V1559" s="64" t="str">
        <f>Ringkasan!V1560</f>
        <v/>
      </c>
      <c r="W1559" s="64">
        <f>Ringkasan!W1560</f>
        <v>370</v>
      </c>
      <c r="X1559" s="64">
        <f>Ringkasan!X1560</f>
        <v>378</v>
      </c>
      <c r="Y1559" s="64">
        <f>Ringkasan!Y1560</f>
        <v>368</v>
      </c>
      <c r="Z1559" s="64">
        <f>Ringkasan!Z1560</f>
        <v>21742700</v>
      </c>
      <c r="AA1559" s="64" t="str">
        <f>Ringkasan!AA1560</f>
        <v>Pharmaceuticals</v>
      </c>
      <c r="AB1559" s="64" t="str">
        <f>Ringkasan!AB1560</f>
        <v>Healthcare</v>
      </c>
    </row>
    <row r="1560" hidden="1">
      <c r="A1560" s="64" t="str">
        <f>Ringkasan!A1561</f>
        <v>SIDO</v>
      </c>
      <c r="B1560" s="64" t="str">
        <f>Ringkasan!B1561</f>
        <v>Industri Jamu dan Farmasi Sido Muncul Tbk.</v>
      </c>
      <c r="C1560" s="65">
        <f>Ringkasan!C1561</f>
        <v>368</v>
      </c>
      <c r="D1560" s="64" t="str">
        <f>Ringkasan!D1561</f>
        <v>#N/A</v>
      </c>
      <c r="E1560" s="64" t="str">
        <f>Ringkasan!E1561</f>
        <v>ESGSKEHATI</v>
      </c>
      <c r="F1560" s="66">
        <f>Ringkasan!F1561</f>
        <v>46356</v>
      </c>
      <c r="G1560" s="64">
        <f>Ringkasan!G1561</f>
        <v>11</v>
      </c>
      <c r="H1560" s="19">
        <f>Ringkasan!H1561</f>
        <v>10.1</v>
      </c>
      <c r="I1560" s="19">
        <f>Ringkasan!I1561</f>
        <v>3.5</v>
      </c>
      <c r="J1560" s="19">
        <f>Ringkasan!J1561</f>
        <v>35.1</v>
      </c>
      <c r="K1560" s="19">
        <f>Ringkasan!K1561</f>
        <v>31.4</v>
      </c>
      <c r="L1560" s="19">
        <f>Ringkasan!L1561</f>
        <v>0.12</v>
      </c>
      <c r="M1560" s="19">
        <f>Ringkasan!M1561</f>
        <v>180</v>
      </c>
      <c r="N1560" s="64" t="str">
        <f>Ringkasan!N1561</f>
        <v/>
      </c>
      <c r="O1560" s="64" t="str">
        <f>Ringkasan!O1561</f>
        <v/>
      </c>
      <c r="P1560" s="64" t="str">
        <f>Ringkasan!P1561</f>
        <v/>
      </c>
      <c r="Q1560" s="64" t="str">
        <f>Ringkasan!Q1561</f>
        <v/>
      </c>
      <c r="R1560" s="64" t="str">
        <f>Ringkasan!R1561</f>
        <v/>
      </c>
      <c r="S1560" s="64" t="str">
        <f>Ringkasan!S1561</f>
        <v/>
      </c>
      <c r="T1560" s="64" t="str">
        <f>Ringkasan!T1561</f>
        <v/>
      </c>
      <c r="U1560" s="64">
        <f>Ringkasan!U1561</f>
        <v>370</v>
      </c>
      <c r="V1560" s="64" t="str">
        <f>Ringkasan!V1561</f>
        <v/>
      </c>
      <c r="W1560" s="64">
        <f>Ringkasan!W1561</f>
        <v>370</v>
      </c>
      <c r="X1560" s="64">
        <f>Ringkasan!X1561</f>
        <v>378</v>
      </c>
      <c r="Y1560" s="64">
        <f>Ringkasan!Y1561</f>
        <v>368</v>
      </c>
      <c r="Z1560" s="64">
        <f>Ringkasan!Z1561</f>
        <v>21742700</v>
      </c>
      <c r="AA1560" s="64" t="str">
        <f>Ringkasan!AA1561</f>
        <v>Pharmaceuticals</v>
      </c>
      <c r="AB1560" s="64" t="str">
        <f>Ringkasan!AB1561</f>
        <v>Healthcare</v>
      </c>
    </row>
    <row r="1561" hidden="1">
      <c r="A1561" s="64" t="str">
        <f>Ringkasan!A1562</f>
        <v>SIDO</v>
      </c>
      <c r="B1561" s="64" t="str">
        <f>Ringkasan!B1562</f>
        <v>Industri Jamu dan Farmasi Sido Muncul Tbk.</v>
      </c>
      <c r="C1561" s="65">
        <f>Ringkasan!C1562</f>
        <v>368</v>
      </c>
      <c r="D1561" s="64" t="str">
        <f>Ringkasan!D1562</f>
        <v>#N/A</v>
      </c>
      <c r="E1561" s="64" t="str">
        <f>Ringkasan!E1562</f>
        <v>IDXQ30</v>
      </c>
      <c r="F1561" s="64" t="str">
        <f>Ringkasan!F1562</f>
        <v>4 Agustus 2026</v>
      </c>
      <c r="G1561" s="64">
        <f>Ringkasan!G1562</f>
        <v>11</v>
      </c>
      <c r="H1561" s="19">
        <f>Ringkasan!H1562</f>
        <v>10.1</v>
      </c>
      <c r="I1561" s="19">
        <f>Ringkasan!I1562</f>
        <v>3.5</v>
      </c>
      <c r="J1561" s="19">
        <f>Ringkasan!J1562</f>
        <v>35.1</v>
      </c>
      <c r="K1561" s="19">
        <f>Ringkasan!K1562</f>
        <v>31.4</v>
      </c>
      <c r="L1561" s="19">
        <f>Ringkasan!L1562</f>
        <v>0.12</v>
      </c>
      <c r="M1561" s="19">
        <f>Ringkasan!M1562</f>
        <v>180</v>
      </c>
      <c r="N1561" s="64" t="str">
        <f>Ringkasan!N1562</f>
        <v/>
      </c>
      <c r="O1561" s="64" t="str">
        <f>Ringkasan!O1562</f>
        <v/>
      </c>
      <c r="P1561" s="64" t="str">
        <f>Ringkasan!P1562</f>
        <v/>
      </c>
      <c r="Q1561" s="64" t="str">
        <f>Ringkasan!Q1562</f>
        <v/>
      </c>
      <c r="R1561" s="64" t="str">
        <f>Ringkasan!R1562</f>
        <v/>
      </c>
      <c r="S1561" s="64" t="str">
        <f>Ringkasan!S1562</f>
        <v/>
      </c>
      <c r="T1561" s="64" t="str">
        <f>Ringkasan!T1562</f>
        <v/>
      </c>
      <c r="U1561" s="64">
        <f>Ringkasan!U1562</f>
        <v>370</v>
      </c>
      <c r="V1561" s="64" t="str">
        <f>Ringkasan!V1562</f>
        <v/>
      </c>
      <c r="W1561" s="64">
        <f>Ringkasan!W1562</f>
        <v>370</v>
      </c>
      <c r="X1561" s="64">
        <f>Ringkasan!X1562</f>
        <v>378</v>
      </c>
      <c r="Y1561" s="64">
        <f>Ringkasan!Y1562</f>
        <v>368</v>
      </c>
      <c r="Z1561" s="64">
        <f>Ringkasan!Z1562</f>
        <v>21742700</v>
      </c>
      <c r="AA1561" s="64" t="str">
        <f>Ringkasan!AA1562</f>
        <v>Pharmaceuticals</v>
      </c>
      <c r="AB1561" s="64" t="str">
        <f>Ringkasan!AB1562</f>
        <v>Healthcare</v>
      </c>
    </row>
    <row r="1562" hidden="1">
      <c r="A1562" s="64" t="str">
        <f>Ringkasan!A1563</f>
        <v>SIDO</v>
      </c>
      <c r="B1562" s="64" t="str">
        <f>Ringkasan!B1563</f>
        <v>Industri Jamu dan Farmasi Sido Muncul Tbk.</v>
      </c>
      <c r="C1562" s="65">
        <f>Ringkasan!C1563</f>
        <v>368</v>
      </c>
      <c r="D1562" s="64" t="str">
        <f>Ringkasan!D1563</f>
        <v>#N/A</v>
      </c>
      <c r="E1562" s="64" t="str">
        <f>Ringkasan!E1563</f>
        <v>IDXVESTA28</v>
      </c>
      <c r="F1562" s="64" t="str">
        <f>Ringkasan!F1563</f>
        <v>31 Agustus 2026</v>
      </c>
      <c r="G1562" s="64">
        <f>Ringkasan!G1563</f>
        <v>11</v>
      </c>
      <c r="H1562" s="19">
        <f>Ringkasan!H1563</f>
        <v>10.1</v>
      </c>
      <c r="I1562" s="19">
        <f>Ringkasan!I1563</f>
        <v>3.5</v>
      </c>
      <c r="J1562" s="19">
        <f>Ringkasan!J1563</f>
        <v>35.1</v>
      </c>
      <c r="K1562" s="19">
        <f>Ringkasan!K1563</f>
        <v>31.4</v>
      </c>
      <c r="L1562" s="19">
        <f>Ringkasan!L1563</f>
        <v>0.12</v>
      </c>
      <c r="M1562" s="19">
        <f>Ringkasan!M1563</f>
        <v>180</v>
      </c>
      <c r="N1562" s="64" t="str">
        <f>Ringkasan!N1563</f>
        <v/>
      </c>
      <c r="O1562" s="64" t="str">
        <f>Ringkasan!O1563</f>
        <v/>
      </c>
      <c r="P1562" s="64" t="str">
        <f>Ringkasan!P1563</f>
        <v/>
      </c>
      <c r="Q1562" s="64" t="str">
        <f>Ringkasan!Q1563</f>
        <v/>
      </c>
      <c r="R1562" s="64" t="str">
        <f>Ringkasan!R1563</f>
        <v/>
      </c>
      <c r="S1562" s="64" t="str">
        <f>Ringkasan!S1563</f>
        <v/>
      </c>
      <c r="T1562" s="64" t="str">
        <f>Ringkasan!T1563</f>
        <v/>
      </c>
      <c r="U1562" s="64">
        <f>Ringkasan!U1563</f>
        <v>370</v>
      </c>
      <c r="V1562" s="64" t="str">
        <f>Ringkasan!V1563</f>
        <v/>
      </c>
      <c r="W1562" s="64">
        <f>Ringkasan!W1563</f>
        <v>370</v>
      </c>
      <c r="X1562" s="64">
        <f>Ringkasan!X1563</f>
        <v>378</v>
      </c>
      <c r="Y1562" s="64">
        <f>Ringkasan!Y1563</f>
        <v>368</v>
      </c>
      <c r="Z1562" s="64">
        <f>Ringkasan!Z1563</f>
        <v>21742700</v>
      </c>
      <c r="AA1562" s="64" t="str">
        <f>Ringkasan!AA1563</f>
        <v>Pharmaceuticals</v>
      </c>
      <c r="AB1562" s="64" t="str">
        <f>Ringkasan!AB1563</f>
        <v>Healthcare</v>
      </c>
    </row>
    <row r="1563" hidden="1">
      <c r="A1563" s="64" t="str">
        <f>Ringkasan!A1564</f>
        <v>SIDO</v>
      </c>
      <c r="B1563" s="64" t="str">
        <f>Ringkasan!B1564</f>
        <v>Industri Jamu dan Farmasi Sido Muncul Tbk.</v>
      </c>
      <c r="C1563" s="65">
        <f>Ringkasan!C1564</f>
        <v>368</v>
      </c>
      <c r="D1563" s="64" t="str">
        <f>Ringkasan!D1564</f>
        <v>#N/A</v>
      </c>
      <c r="E1563" s="64" t="str">
        <f>Ringkasan!E1564</f>
        <v>Kompas100</v>
      </c>
      <c r="F1563" s="64" t="str">
        <f>Ringkasan!F1564</f>
        <v>31 Juli 2026</v>
      </c>
      <c r="G1563" s="64">
        <f>Ringkasan!G1564</f>
        <v>11</v>
      </c>
      <c r="H1563" s="19">
        <f>Ringkasan!H1564</f>
        <v>10.1</v>
      </c>
      <c r="I1563" s="19">
        <f>Ringkasan!I1564</f>
        <v>3.5</v>
      </c>
      <c r="J1563" s="19">
        <f>Ringkasan!J1564</f>
        <v>35.1</v>
      </c>
      <c r="K1563" s="19">
        <f>Ringkasan!K1564</f>
        <v>31.4</v>
      </c>
      <c r="L1563" s="19">
        <f>Ringkasan!L1564</f>
        <v>0.12</v>
      </c>
      <c r="M1563" s="19">
        <f>Ringkasan!M1564</f>
        <v>180</v>
      </c>
      <c r="N1563" s="64" t="str">
        <f>Ringkasan!N1564</f>
        <v/>
      </c>
      <c r="O1563" s="64" t="str">
        <f>Ringkasan!O1564</f>
        <v/>
      </c>
      <c r="P1563" s="64" t="str">
        <f>Ringkasan!P1564</f>
        <v/>
      </c>
      <c r="Q1563" s="64" t="str">
        <f>Ringkasan!Q1564</f>
        <v/>
      </c>
      <c r="R1563" s="64" t="str">
        <f>Ringkasan!R1564</f>
        <v/>
      </c>
      <c r="S1563" s="64" t="str">
        <f>Ringkasan!S1564</f>
        <v/>
      </c>
      <c r="T1563" s="64" t="str">
        <f>Ringkasan!T1564</f>
        <v/>
      </c>
      <c r="U1563" s="64">
        <f>Ringkasan!U1564</f>
        <v>370</v>
      </c>
      <c r="V1563" s="64" t="str">
        <f>Ringkasan!V1564</f>
        <v/>
      </c>
      <c r="W1563" s="64">
        <f>Ringkasan!W1564</f>
        <v>370</v>
      </c>
      <c r="X1563" s="64">
        <f>Ringkasan!X1564</f>
        <v>378</v>
      </c>
      <c r="Y1563" s="64">
        <f>Ringkasan!Y1564</f>
        <v>368</v>
      </c>
      <c r="Z1563" s="64">
        <f>Ringkasan!Z1564</f>
        <v>21742700</v>
      </c>
      <c r="AA1563" s="64" t="str">
        <f>Ringkasan!AA1564</f>
        <v>Pharmaceuticals</v>
      </c>
      <c r="AB1563" s="64" t="str">
        <f>Ringkasan!AB1564</f>
        <v>Healthcare</v>
      </c>
    </row>
    <row r="1564" hidden="1">
      <c r="A1564" s="64" t="str">
        <f>Ringkasan!A1565</f>
        <v>SIDO</v>
      </c>
      <c r="B1564" s="64" t="str">
        <f>Ringkasan!B1565</f>
        <v>Industri Jamu dan Farmasi Sido Muncul Tbk.</v>
      </c>
      <c r="C1564" s="65">
        <f>Ringkasan!C1565</f>
        <v>368</v>
      </c>
      <c r="D1564" s="64" t="str">
        <f>Ringkasan!D1565</f>
        <v>#N/A</v>
      </c>
      <c r="E1564" s="64" t="str">
        <f>Ringkasan!E1565</f>
        <v>IDXESGL</v>
      </c>
      <c r="F1564" s="64" t="str">
        <f>Ringkasan!F1565</f>
        <v>30 Oktober 2026</v>
      </c>
      <c r="G1564" s="64">
        <f>Ringkasan!G1565</f>
        <v>11</v>
      </c>
      <c r="H1564" s="19">
        <f>Ringkasan!H1565</f>
        <v>10.1</v>
      </c>
      <c r="I1564" s="19">
        <f>Ringkasan!I1565</f>
        <v>3.5</v>
      </c>
      <c r="J1564" s="19">
        <f>Ringkasan!J1565</f>
        <v>35.1</v>
      </c>
      <c r="K1564" s="19">
        <f>Ringkasan!K1565</f>
        <v>31.4</v>
      </c>
      <c r="L1564" s="19">
        <f>Ringkasan!L1565</f>
        <v>0.12</v>
      </c>
      <c r="M1564" s="19">
        <f>Ringkasan!M1565</f>
        <v>180</v>
      </c>
      <c r="N1564" s="64" t="str">
        <f>Ringkasan!N1565</f>
        <v/>
      </c>
      <c r="O1564" s="64" t="str">
        <f>Ringkasan!O1565</f>
        <v/>
      </c>
      <c r="P1564" s="64" t="str">
        <f>Ringkasan!P1565</f>
        <v/>
      </c>
      <c r="Q1564" s="64" t="str">
        <f>Ringkasan!Q1565</f>
        <v/>
      </c>
      <c r="R1564" s="64" t="str">
        <f>Ringkasan!R1565</f>
        <v/>
      </c>
      <c r="S1564" s="64" t="str">
        <f>Ringkasan!S1565</f>
        <v/>
      </c>
      <c r="T1564" s="64" t="str">
        <f>Ringkasan!T1565</f>
        <v/>
      </c>
      <c r="U1564" s="64">
        <f>Ringkasan!U1565</f>
        <v>370</v>
      </c>
      <c r="V1564" s="64" t="str">
        <f>Ringkasan!V1565</f>
        <v/>
      </c>
      <c r="W1564" s="64">
        <f>Ringkasan!W1565</f>
        <v>370</v>
      </c>
      <c r="X1564" s="64">
        <f>Ringkasan!X1565</f>
        <v>378</v>
      </c>
      <c r="Y1564" s="64">
        <f>Ringkasan!Y1565</f>
        <v>368</v>
      </c>
      <c r="Z1564" s="64">
        <f>Ringkasan!Z1565</f>
        <v>21742700</v>
      </c>
      <c r="AA1564" s="64" t="str">
        <f>Ringkasan!AA1565</f>
        <v>Pharmaceuticals</v>
      </c>
      <c r="AB1564" s="64" t="str">
        <f>Ringkasan!AB1565</f>
        <v>Healthcare</v>
      </c>
    </row>
    <row r="1565" hidden="1">
      <c r="A1565" s="64" t="str">
        <f>Ringkasan!A1566</f>
        <v>SIDO</v>
      </c>
      <c r="B1565" s="64" t="str">
        <f>Ringkasan!B1566</f>
        <v>Industri Jamu dan Farmasi Sido Muncul Tbk.</v>
      </c>
      <c r="C1565" s="65">
        <f>Ringkasan!C1566</f>
        <v>368</v>
      </c>
      <c r="D1565" s="64" t="str">
        <f>Ringkasan!D1566</f>
        <v>#N/A</v>
      </c>
      <c r="E1565" s="64" t="str">
        <f>Ringkasan!E1566</f>
        <v>IDX80</v>
      </c>
      <c r="F1565" s="64" t="str">
        <f>Ringkasan!F1566</f>
        <v>31 Juli 2026</v>
      </c>
      <c r="G1565" s="64">
        <f>Ringkasan!G1566</f>
        <v>11</v>
      </c>
      <c r="H1565" s="19">
        <f>Ringkasan!H1566</f>
        <v>10.1</v>
      </c>
      <c r="I1565" s="19">
        <f>Ringkasan!I1566</f>
        <v>3.5</v>
      </c>
      <c r="J1565" s="19">
        <f>Ringkasan!J1566</f>
        <v>35.1</v>
      </c>
      <c r="K1565" s="19">
        <f>Ringkasan!K1566</f>
        <v>31.4</v>
      </c>
      <c r="L1565" s="19">
        <f>Ringkasan!L1566</f>
        <v>0.12</v>
      </c>
      <c r="M1565" s="19">
        <f>Ringkasan!M1566</f>
        <v>180</v>
      </c>
      <c r="N1565" s="64" t="str">
        <f>Ringkasan!N1566</f>
        <v/>
      </c>
      <c r="O1565" s="64" t="str">
        <f>Ringkasan!O1566</f>
        <v/>
      </c>
      <c r="P1565" s="64" t="str">
        <f>Ringkasan!P1566</f>
        <v/>
      </c>
      <c r="Q1565" s="64" t="str">
        <f>Ringkasan!Q1566</f>
        <v/>
      </c>
      <c r="R1565" s="64" t="str">
        <f>Ringkasan!R1566</f>
        <v/>
      </c>
      <c r="S1565" s="64" t="str">
        <f>Ringkasan!S1566</f>
        <v/>
      </c>
      <c r="T1565" s="64" t="str">
        <f>Ringkasan!T1566</f>
        <v/>
      </c>
      <c r="U1565" s="64">
        <f>Ringkasan!U1566</f>
        <v>370</v>
      </c>
      <c r="V1565" s="64" t="str">
        <f>Ringkasan!V1566</f>
        <v/>
      </c>
      <c r="W1565" s="64">
        <f>Ringkasan!W1566</f>
        <v>370</v>
      </c>
      <c r="X1565" s="64">
        <f>Ringkasan!X1566</f>
        <v>378</v>
      </c>
      <c r="Y1565" s="64">
        <f>Ringkasan!Y1566</f>
        <v>368</v>
      </c>
      <c r="Z1565" s="64">
        <f>Ringkasan!Z1566</f>
        <v>21742700</v>
      </c>
      <c r="AA1565" s="64" t="str">
        <f>Ringkasan!AA1566</f>
        <v>Pharmaceuticals</v>
      </c>
      <c r="AB1565" s="64" t="str">
        <f>Ringkasan!AB1566</f>
        <v>Healthcare</v>
      </c>
    </row>
    <row r="1566" hidden="1">
      <c r="A1566" s="64" t="str">
        <f>Ringkasan!A1567</f>
        <v>SIDO</v>
      </c>
      <c r="B1566" s="64" t="str">
        <f>Ringkasan!B1567</f>
        <v>Industri Jamu dan Farmasi Sido Muncul Tbk.</v>
      </c>
      <c r="C1566" s="65">
        <f>Ringkasan!C1567</f>
        <v>368</v>
      </c>
      <c r="D1566" s="64" t="str">
        <f>Ringkasan!D1567</f>
        <v>#N/A</v>
      </c>
      <c r="E1566" s="64" t="str">
        <f>Ringkasan!E1567</f>
        <v>IDXSMC-LIQ</v>
      </c>
      <c r="F1566" s="64" t="str">
        <f>Ringkasan!F1567</f>
        <v>4 Agustus 2026</v>
      </c>
      <c r="G1566" s="64">
        <f>Ringkasan!G1567</f>
        <v>11</v>
      </c>
      <c r="H1566" s="19">
        <f>Ringkasan!H1567</f>
        <v>10.1</v>
      </c>
      <c r="I1566" s="19">
        <f>Ringkasan!I1567</f>
        <v>3.5</v>
      </c>
      <c r="J1566" s="19">
        <f>Ringkasan!J1567</f>
        <v>35.1</v>
      </c>
      <c r="K1566" s="19">
        <f>Ringkasan!K1567</f>
        <v>31.4</v>
      </c>
      <c r="L1566" s="19">
        <f>Ringkasan!L1567</f>
        <v>0.12</v>
      </c>
      <c r="M1566" s="19">
        <f>Ringkasan!M1567</f>
        <v>180</v>
      </c>
      <c r="N1566" s="64" t="str">
        <f>Ringkasan!N1567</f>
        <v/>
      </c>
      <c r="O1566" s="64" t="str">
        <f>Ringkasan!O1567</f>
        <v/>
      </c>
      <c r="P1566" s="64" t="str">
        <f>Ringkasan!P1567</f>
        <v/>
      </c>
      <c r="Q1566" s="64" t="str">
        <f>Ringkasan!Q1567</f>
        <v/>
      </c>
      <c r="R1566" s="64" t="str">
        <f>Ringkasan!R1567</f>
        <v/>
      </c>
      <c r="S1566" s="64" t="str">
        <f>Ringkasan!S1567</f>
        <v/>
      </c>
      <c r="T1566" s="64" t="str">
        <f>Ringkasan!T1567</f>
        <v/>
      </c>
      <c r="U1566" s="64">
        <f>Ringkasan!U1567</f>
        <v>370</v>
      </c>
      <c r="V1566" s="64" t="str">
        <f>Ringkasan!V1567</f>
        <v/>
      </c>
      <c r="W1566" s="64">
        <f>Ringkasan!W1567</f>
        <v>370</v>
      </c>
      <c r="X1566" s="64">
        <f>Ringkasan!X1567</f>
        <v>378</v>
      </c>
      <c r="Y1566" s="64">
        <f>Ringkasan!Y1567</f>
        <v>368</v>
      </c>
      <c r="Z1566" s="64">
        <f>Ringkasan!Z1567</f>
        <v>21742700</v>
      </c>
      <c r="AA1566" s="64" t="str">
        <f>Ringkasan!AA1567</f>
        <v>Pharmaceuticals</v>
      </c>
      <c r="AB1566" s="64" t="str">
        <f>Ringkasan!AB1567</f>
        <v>Healthcare</v>
      </c>
    </row>
    <row r="1567" hidden="1">
      <c r="A1567" s="64" t="str">
        <f>Ringkasan!A1568</f>
        <v>SIDO</v>
      </c>
      <c r="B1567" s="64" t="str">
        <f>Ringkasan!B1568</f>
        <v>Industri Jamu dan Farmasi Sido Muncul Tbk.</v>
      </c>
      <c r="C1567" s="65">
        <f>Ringkasan!C1568</f>
        <v>368</v>
      </c>
      <c r="D1567" s="64" t="str">
        <f>Ringkasan!D1568</f>
        <v>#N/A</v>
      </c>
      <c r="E1567" s="64" t="str">
        <f>Ringkasan!E1568</f>
        <v>SRI-KEHATI</v>
      </c>
      <c r="F1567" s="66">
        <f>Ringkasan!F1568</f>
        <v>46356</v>
      </c>
      <c r="G1567" s="64">
        <f>Ringkasan!G1568</f>
        <v>11</v>
      </c>
      <c r="H1567" s="19">
        <f>Ringkasan!H1568</f>
        <v>10.1</v>
      </c>
      <c r="I1567" s="19">
        <f>Ringkasan!I1568</f>
        <v>3.5</v>
      </c>
      <c r="J1567" s="19">
        <f>Ringkasan!J1568</f>
        <v>35.1</v>
      </c>
      <c r="K1567" s="19">
        <f>Ringkasan!K1568</f>
        <v>31.4</v>
      </c>
      <c r="L1567" s="19">
        <f>Ringkasan!L1568</f>
        <v>0.12</v>
      </c>
      <c r="M1567" s="19">
        <f>Ringkasan!M1568</f>
        <v>180</v>
      </c>
      <c r="N1567" s="64" t="str">
        <f>Ringkasan!N1568</f>
        <v/>
      </c>
      <c r="O1567" s="64" t="str">
        <f>Ringkasan!O1568</f>
        <v/>
      </c>
      <c r="P1567" s="64" t="str">
        <f>Ringkasan!P1568</f>
        <v/>
      </c>
      <c r="Q1567" s="64" t="str">
        <f>Ringkasan!Q1568</f>
        <v/>
      </c>
      <c r="R1567" s="64" t="str">
        <f>Ringkasan!R1568</f>
        <v/>
      </c>
      <c r="S1567" s="64" t="str">
        <f>Ringkasan!S1568</f>
        <v/>
      </c>
      <c r="T1567" s="64" t="str">
        <f>Ringkasan!T1568</f>
        <v/>
      </c>
      <c r="U1567" s="64">
        <f>Ringkasan!U1568</f>
        <v>370</v>
      </c>
      <c r="V1567" s="64" t="str">
        <f>Ringkasan!V1568</f>
        <v/>
      </c>
      <c r="W1567" s="64">
        <f>Ringkasan!W1568</f>
        <v>370</v>
      </c>
      <c r="X1567" s="64">
        <f>Ringkasan!X1568</f>
        <v>378</v>
      </c>
      <c r="Y1567" s="64">
        <f>Ringkasan!Y1568</f>
        <v>368</v>
      </c>
      <c r="Z1567" s="64">
        <f>Ringkasan!Z1568</f>
        <v>21742700</v>
      </c>
      <c r="AA1567" s="64" t="str">
        <f>Ringkasan!AA1568</f>
        <v>Pharmaceuticals</v>
      </c>
      <c r="AB1567" s="64" t="str">
        <f>Ringkasan!AB1568</f>
        <v>Healthcare</v>
      </c>
    </row>
    <row r="1568" hidden="1">
      <c r="A1568" s="64" t="str">
        <f>Ringkasan!A1569</f>
        <v>SIDO</v>
      </c>
      <c r="B1568" s="64" t="str">
        <f>Ringkasan!B1569</f>
        <v>Industri Jamu dan Farmasi Sido Muncul Tbk.</v>
      </c>
      <c r="C1568" s="65">
        <f>Ringkasan!C1569</f>
        <v>368</v>
      </c>
      <c r="D1568" s="64" t="str">
        <f>Ringkasan!D1569</f>
        <v>#N/A</v>
      </c>
      <c r="E1568" s="64" t="str">
        <f>Ringkasan!E1569</f>
        <v>JII70</v>
      </c>
      <c r="F1568" s="66">
        <f>Ringkasan!F1569</f>
        <v>46356</v>
      </c>
      <c r="G1568" s="64">
        <f>Ringkasan!G1569</f>
        <v>11</v>
      </c>
      <c r="H1568" s="19">
        <f>Ringkasan!H1569</f>
        <v>10.1</v>
      </c>
      <c r="I1568" s="19">
        <f>Ringkasan!I1569</f>
        <v>3.5</v>
      </c>
      <c r="J1568" s="19">
        <f>Ringkasan!J1569</f>
        <v>35.1</v>
      </c>
      <c r="K1568" s="19">
        <f>Ringkasan!K1569</f>
        <v>31.4</v>
      </c>
      <c r="L1568" s="19">
        <f>Ringkasan!L1569</f>
        <v>0.12</v>
      </c>
      <c r="M1568" s="19">
        <f>Ringkasan!M1569</f>
        <v>180</v>
      </c>
      <c r="N1568" s="64" t="str">
        <f>Ringkasan!N1569</f>
        <v/>
      </c>
      <c r="O1568" s="64" t="str">
        <f>Ringkasan!O1569</f>
        <v/>
      </c>
      <c r="P1568" s="64" t="str">
        <f>Ringkasan!P1569</f>
        <v/>
      </c>
      <c r="Q1568" s="64" t="str">
        <f>Ringkasan!Q1569</f>
        <v/>
      </c>
      <c r="R1568" s="64" t="str">
        <f>Ringkasan!R1569</f>
        <v/>
      </c>
      <c r="S1568" s="64" t="str">
        <f>Ringkasan!S1569</f>
        <v/>
      </c>
      <c r="T1568" s="64" t="str">
        <f>Ringkasan!T1569</f>
        <v/>
      </c>
      <c r="U1568" s="64">
        <f>Ringkasan!U1569</f>
        <v>370</v>
      </c>
      <c r="V1568" s="64" t="str">
        <f>Ringkasan!V1569</f>
        <v/>
      </c>
      <c r="W1568" s="64">
        <f>Ringkasan!W1569</f>
        <v>370</v>
      </c>
      <c r="X1568" s="64">
        <f>Ringkasan!X1569</f>
        <v>378</v>
      </c>
      <c r="Y1568" s="64">
        <f>Ringkasan!Y1569</f>
        <v>368</v>
      </c>
      <c r="Z1568" s="64">
        <f>Ringkasan!Z1569</f>
        <v>21742700</v>
      </c>
      <c r="AA1568" s="64" t="str">
        <f>Ringkasan!AA1569</f>
        <v>Pharmaceuticals</v>
      </c>
      <c r="AB1568" s="64" t="str">
        <f>Ringkasan!AB1569</f>
        <v>Healthcare</v>
      </c>
    </row>
    <row r="1569" hidden="1">
      <c r="A1569" s="64" t="str">
        <f>Ringkasan!A1570</f>
        <v>SILO</v>
      </c>
      <c r="B1569" s="64" t="str">
        <f>Ringkasan!B1570</f>
        <v>PT Siloam International Hospitals Tbk.</v>
      </c>
      <c r="C1569" s="65">
        <f>Ringkasan!C1570</f>
        <v>2330</v>
      </c>
      <c r="D1569" s="64" t="str">
        <f>Ringkasan!D1570</f>
        <v>#N/A</v>
      </c>
      <c r="E1569" s="64" t="str">
        <f>Ringkasan!E1570</f>
        <v>MNC36</v>
      </c>
      <c r="F1569" s="64" t="str">
        <f>Ringkasan!F1570</f>
        <v>30 Oktober 2026</v>
      </c>
      <c r="G1569" s="64">
        <f>Ringkasan!G1570</f>
        <v>1</v>
      </c>
      <c r="H1569" s="19">
        <f>Ringkasan!H1570</f>
        <v>26.8</v>
      </c>
      <c r="I1569" s="19">
        <f>Ringkasan!I1570</f>
        <v>3</v>
      </c>
      <c r="J1569" s="19">
        <f>Ringkasan!J1570</f>
        <v>11.2</v>
      </c>
      <c r="K1569" s="19">
        <f>Ringkasan!K1570</f>
        <v>7.5</v>
      </c>
      <c r="L1569" s="19">
        <f>Ringkasan!L1570</f>
        <v>0.5</v>
      </c>
      <c r="M1569" s="19">
        <f>Ringkasan!M1570</f>
        <v>35</v>
      </c>
      <c r="N1569" s="64" t="str">
        <f>Ringkasan!N1570</f>
        <v/>
      </c>
      <c r="O1569" s="64" t="str">
        <f>Ringkasan!O1570</f>
        <v/>
      </c>
      <c r="P1569" s="64" t="str">
        <f>Ringkasan!P1570</f>
        <v/>
      </c>
      <c r="Q1569" s="64" t="str">
        <f>Ringkasan!Q1570</f>
        <v/>
      </c>
      <c r="R1569" s="64" t="str">
        <f>Ringkasan!R1570</f>
        <v/>
      </c>
      <c r="S1569" s="64" t="str">
        <f>Ringkasan!S1570</f>
        <v/>
      </c>
      <c r="T1569" s="64" t="str">
        <f>Ringkasan!T1570</f>
        <v/>
      </c>
      <c r="U1569" s="64">
        <f>Ringkasan!U1570</f>
        <v>6.44</v>
      </c>
      <c r="V1569" s="64">
        <f>Ringkasan!V1570</f>
        <v>2.95</v>
      </c>
      <c r="W1569" s="64">
        <f>Ringkasan!W1570</f>
        <v>6.53</v>
      </c>
      <c r="X1569" s="64">
        <f>Ringkasan!X1570</f>
        <v>6.75</v>
      </c>
      <c r="Y1569" s="64">
        <f>Ringkasan!Y1570</f>
        <v>6.49</v>
      </c>
      <c r="Z1569" s="64">
        <f>Ringkasan!Z1570</f>
        <v>19702</v>
      </c>
      <c r="AA1569" s="64" t="str">
        <f>Ringkasan!AA1570</f>
        <v>Healthcare Providers</v>
      </c>
      <c r="AB1569" s="64" t="str">
        <f>Ringkasan!AB1570</f>
        <v>Healthcare</v>
      </c>
    </row>
    <row r="1570" hidden="1">
      <c r="A1570" s="64" t="str">
        <f>Ringkasan!A1571</f>
        <v>SIMA</v>
      </c>
      <c r="B1570" s="64" t="str">
        <f>Ringkasan!B1571</f>
        <v>Siwani Makmur Tbk</v>
      </c>
      <c r="C1570" s="65">
        <f>Ringkasan!C1571</f>
        <v>50</v>
      </c>
      <c r="D1570" s="64" t="str">
        <f>Ringkasan!D1571</f>
        <v>#N/A</v>
      </c>
      <c r="E1570" s="64" t="str">
        <f>Ringkasan!E1571</f>
        <v/>
      </c>
      <c r="F1570" s="64" t="str">
        <f>Ringkasan!F1571</f>
        <v/>
      </c>
      <c r="G1570" s="64">
        <f>Ringkasan!G1571</f>
        <v>0</v>
      </c>
      <c r="H1570" s="19" t="str">
        <f>Ringkasan!H1571</f>
        <v/>
      </c>
      <c r="I1570" s="19">
        <f>Ringkasan!I1571</f>
        <v>-11</v>
      </c>
      <c r="J1570" s="19" t="str">
        <f>Ringkasan!J1571</f>
        <v/>
      </c>
      <c r="K1570" s="19">
        <f>Ringkasan!K1571</f>
        <v>-0.01</v>
      </c>
      <c r="L1570" s="19">
        <f>Ringkasan!L1571</f>
        <v>-130</v>
      </c>
      <c r="M1570" s="19">
        <f>Ringkasan!M1571</f>
        <v>-970</v>
      </c>
      <c r="N1570" s="64" t="str">
        <f>Ringkasan!N1571</f>
        <v/>
      </c>
      <c r="O1570" s="64" t="str">
        <f>Ringkasan!O1571</f>
        <v/>
      </c>
      <c r="P1570" s="64" t="str">
        <f>Ringkasan!P1571</f>
        <v/>
      </c>
      <c r="Q1570" s="64" t="str">
        <f>Ringkasan!Q1571</f>
        <v/>
      </c>
      <c r="R1570" s="64" t="str">
        <f>Ringkasan!R1571</f>
        <v/>
      </c>
      <c r="S1570" s="64" t="str">
        <f>Ringkasan!S1571</f>
        <v/>
      </c>
      <c r="T1570" s="64" t="str">
        <f>Ringkasan!T1571</f>
        <v/>
      </c>
      <c r="U1570" s="64">
        <f>Ringkasan!U1571</f>
        <v>10.89</v>
      </c>
      <c r="V1570" s="64">
        <f>Ringkasan!V1571</f>
        <v>0</v>
      </c>
      <c r="W1570" s="64">
        <f>Ringkasan!W1571</f>
        <v>10.89</v>
      </c>
      <c r="X1570" s="64" t="str">
        <f>Ringkasan!X1571</f>
        <v/>
      </c>
      <c r="Y1570" s="64">
        <f>Ringkasan!Y1571</f>
        <v>10.85</v>
      </c>
      <c r="Z1570" s="64">
        <f>Ringkasan!Z1571</f>
        <v>6200</v>
      </c>
      <c r="AA1570" s="64" t="str">
        <f>Ringkasan!AA1571</f>
        <v>Containers &amp; Packaging</v>
      </c>
      <c r="AB1570" s="64" t="str">
        <f>Ringkasan!AB1571</f>
        <v>Basic Materials</v>
      </c>
    </row>
    <row r="1571" hidden="1">
      <c r="A1571" s="64" t="str">
        <f>Ringkasan!A1572</f>
        <v>SIMP</v>
      </c>
      <c r="B1571" s="64" t="str">
        <f>Ringkasan!B1572</f>
        <v>Salim Ivomas Pratama Tbk</v>
      </c>
      <c r="C1571" s="65">
        <f>Ringkasan!C1572</f>
        <v>535</v>
      </c>
      <c r="D1571" s="64" t="str">
        <f>Ringkasan!D1572</f>
        <v>#N/A</v>
      </c>
      <c r="E1571" s="64" t="str">
        <f>Ringkasan!E1572</f>
        <v>ESGSKEHATI</v>
      </c>
      <c r="F1571" s="66">
        <f>Ringkasan!F1572</f>
        <v>46356</v>
      </c>
      <c r="G1571" s="64">
        <f>Ringkasan!G1572</f>
        <v>1</v>
      </c>
      <c r="H1571" s="19">
        <f>Ringkasan!H1572</f>
        <v>4.2</v>
      </c>
      <c r="I1571" s="19">
        <f>Ringkasan!I1572</f>
        <v>0.32</v>
      </c>
      <c r="J1571" s="19">
        <f>Ringkasan!J1572</f>
        <v>7.6</v>
      </c>
      <c r="K1571" s="19">
        <f>Ringkasan!K1572</f>
        <v>4.9</v>
      </c>
      <c r="L1571" s="19">
        <f>Ringkasan!L1572</f>
        <v>0.54</v>
      </c>
      <c r="M1571" s="19">
        <f>Ringkasan!M1572</f>
        <v>42.2</v>
      </c>
      <c r="N1571" s="64" t="str">
        <f>Ringkasan!N1572</f>
        <v/>
      </c>
      <c r="O1571" s="64" t="str">
        <f>Ringkasan!O1572</f>
        <v/>
      </c>
      <c r="P1571" s="64" t="str">
        <f>Ringkasan!P1572</f>
        <v/>
      </c>
      <c r="Q1571" s="64" t="str">
        <f>Ringkasan!Q1572</f>
        <v/>
      </c>
      <c r="R1571" s="64" t="str">
        <f>Ringkasan!R1572</f>
        <v/>
      </c>
      <c r="S1571" s="64" t="str">
        <f>Ringkasan!S1572</f>
        <v/>
      </c>
      <c r="T1571" s="64" t="str">
        <f>Ringkasan!T1572</f>
        <v/>
      </c>
      <c r="U1571" s="64">
        <f>Ringkasan!U1572</f>
        <v>510</v>
      </c>
      <c r="V1571" s="64">
        <f>Ringkasan!V1572</f>
        <v>4.9</v>
      </c>
      <c r="W1571" s="64">
        <f>Ringkasan!W1572</f>
        <v>510</v>
      </c>
      <c r="X1571" s="64">
        <f>Ringkasan!X1572</f>
        <v>545</v>
      </c>
      <c r="Y1571" s="64">
        <f>Ringkasan!Y1572</f>
        <v>510</v>
      </c>
      <c r="Z1571" s="64">
        <f>Ringkasan!Z1572</f>
        <v>15365600</v>
      </c>
      <c r="AA1571" s="64" t="str">
        <f>Ringkasan!AA1572</f>
        <v>Agricultural Products</v>
      </c>
      <c r="AB1571" s="64" t="str">
        <f>Ringkasan!AB1572</f>
        <v>Consumer Non-Cyclicals</v>
      </c>
    </row>
    <row r="1572" hidden="1">
      <c r="A1572" s="64" t="str">
        <f>Ringkasan!A1503</f>
        <v>RATU</v>
      </c>
      <c r="B1572" s="64" t="str">
        <f>Ringkasan!B1503</f>
        <v>Raharja Energi Cepu Tbk.</v>
      </c>
      <c r="C1572" s="65">
        <f>Ringkasan!C1503</f>
        <v>4710</v>
      </c>
      <c r="D1572" s="64" t="str">
        <f>Ringkasan!D1503</f>
        <v>#N/A</v>
      </c>
      <c r="E1572" s="64" t="str">
        <f>Ringkasan!E1503</f>
        <v>JII70</v>
      </c>
      <c r="F1572" s="66">
        <f>Ringkasan!F1503</f>
        <v>46356</v>
      </c>
      <c r="G1572" s="64">
        <f>Ringkasan!G1503</f>
        <v>6</v>
      </c>
      <c r="H1572" s="19">
        <f>Ringkasan!H1503</f>
        <v>63.4</v>
      </c>
      <c r="I1572" s="19">
        <f>Ringkasan!I1503</f>
        <v>14</v>
      </c>
      <c r="J1572" s="19">
        <f>Ringkasan!J1503</f>
        <v>22</v>
      </c>
      <c r="K1572" s="19">
        <f>Ringkasan!K1503</f>
        <v>10.2</v>
      </c>
      <c r="L1572" s="19">
        <f>Ringkasan!L1503</f>
        <v>1.2</v>
      </c>
      <c r="M1572" s="19">
        <f>Ringkasan!M1503</f>
        <v>120</v>
      </c>
      <c r="N1572" s="64" t="str">
        <f>Ringkasan!N1503</f>
        <v/>
      </c>
      <c r="O1572" s="64" t="str">
        <f>Ringkasan!O1503</f>
        <v/>
      </c>
      <c r="P1572" s="64" t="str">
        <f>Ringkasan!P1503</f>
        <v/>
      </c>
      <c r="Q1572" s="64" t="str">
        <f>Ringkasan!Q1503</f>
        <v/>
      </c>
      <c r="R1572" s="64" t="str">
        <f>Ringkasan!R1503</f>
        <v/>
      </c>
      <c r="S1572" s="64" t="str">
        <f>Ringkasan!S1503</f>
        <v/>
      </c>
      <c r="T1572" s="64" t="str">
        <f>Ringkasan!T1503</f>
        <v/>
      </c>
      <c r="U1572" s="64">
        <f>Ringkasan!U1503</f>
        <v>4540</v>
      </c>
      <c r="V1572" s="64">
        <f>Ringkasan!V1503</f>
        <v>3.74</v>
      </c>
      <c r="W1572" s="64">
        <f>Ringkasan!W1503</f>
        <v>4620</v>
      </c>
      <c r="X1572" s="64">
        <f>Ringkasan!X1503</f>
        <v>4850</v>
      </c>
      <c r="Y1572" s="64">
        <f>Ringkasan!Y1503</f>
        <v>4620</v>
      </c>
      <c r="Z1572" s="64">
        <f>Ringkasan!Z1503</f>
        <v>6294000</v>
      </c>
      <c r="AA1572" s="64" t="str">
        <f>Ringkasan!AA1503</f>
        <v>Oil &amp; Gas</v>
      </c>
      <c r="AB1572" s="64" t="str">
        <f>Ringkasan!AB1503</f>
        <v>Energy</v>
      </c>
    </row>
    <row r="1573" hidden="1">
      <c r="A1573" s="64" t="str">
        <f>Ringkasan!A1505</f>
        <v>RCCC</v>
      </c>
      <c r="B1573" s="64" t="str">
        <f>Ringkasan!B1505</f>
        <v>Utama Radar Cahaya Tbk.</v>
      </c>
      <c r="C1573" s="65">
        <f>Ringkasan!C1505</f>
        <v>80</v>
      </c>
      <c r="D1573" s="64" t="str">
        <f>Ringkasan!D1505</f>
        <v>#N/A</v>
      </c>
      <c r="E1573" s="64" t="str">
        <f>Ringkasan!E1505</f>
        <v/>
      </c>
      <c r="F1573" s="64" t="str">
        <f>Ringkasan!F1505</f>
        <v/>
      </c>
      <c r="G1573" s="64">
        <f>Ringkasan!G1505</f>
        <v>0</v>
      </c>
      <c r="H1573" s="19">
        <f>Ringkasan!H1505</f>
        <v>16.2</v>
      </c>
      <c r="I1573" s="19">
        <f>Ringkasan!I1505</f>
        <v>1.5</v>
      </c>
      <c r="J1573" s="19">
        <f>Ringkasan!J1505</f>
        <v>9.4</v>
      </c>
      <c r="K1573" s="19">
        <f>Ringkasan!K1505</f>
        <v>4.8</v>
      </c>
      <c r="L1573" s="19">
        <f>Ringkasan!L1505</f>
        <v>0.96</v>
      </c>
      <c r="M1573" s="19">
        <f>Ringkasan!M1505</f>
        <v>20.4</v>
      </c>
      <c r="N1573" s="64" t="str">
        <f>Ringkasan!N1505</f>
        <v/>
      </c>
      <c r="O1573" s="64" t="str">
        <f>Ringkasan!O1505</f>
        <v/>
      </c>
      <c r="P1573" s="64" t="str">
        <f>Ringkasan!P1505</f>
        <v/>
      </c>
      <c r="Q1573" s="64" t="str">
        <f>Ringkasan!Q1505</f>
        <v/>
      </c>
      <c r="R1573" s="64" t="str">
        <f>Ringkasan!R1505</f>
        <v/>
      </c>
      <c r="S1573" s="64" t="str">
        <f>Ringkasan!S1505</f>
        <v/>
      </c>
      <c r="T1573" s="64" t="str">
        <f>Ringkasan!T1505</f>
        <v/>
      </c>
      <c r="U1573" s="64">
        <f>Ringkasan!U1505</f>
        <v>81</v>
      </c>
      <c r="V1573" s="64">
        <f>Ringkasan!V1505</f>
        <v>-1.23</v>
      </c>
      <c r="W1573" s="64">
        <f>Ringkasan!W1505</f>
        <v>81</v>
      </c>
      <c r="X1573" s="64">
        <f>Ringkasan!X1505</f>
        <v>82</v>
      </c>
      <c r="Y1573" s="64">
        <f>Ringkasan!Y1505</f>
        <v>79</v>
      </c>
      <c r="Z1573" s="64">
        <f>Ringkasan!Z1505</f>
        <v>823200</v>
      </c>
      <c r="AA1573" s="64" t="str">
        <f>Ringkasan!AA1505</f>
        <v>Logistics &amp; Deliveries</v>
      </c>
      <c r="AB1573" s="64" t="str">
        <f>Ringkasan!AB1505</f>
        <v>Transportation &amp; Logistic</v>
      </c>
    </row>
    <row r="1574" hidden="1">
      <c r="A1574" s="64" t="str">
        <f>Ringkasan!A1573</f>
        <v>SINI</v>
      </c>
      <c r="B1574" s="64" t="str">
        <f>Ringkasan!B1573</f>
        <v>Singaraja Putra Tbk.</v>
      </c>
      <c r="C1574" s="65">
        <f>Ringkasan!C1573</f>
        <v>9725</v>
      </c>
      <c r="D1574" s="64" t="str">
        <f>Ringkasan!D1573</f>
        <v>#N/A</v>
      </c>
      <c r="E1574" s="64" t="str">
        <f>Ringkasan!E1573</f>
        <v/>
      </c>
      <c r="F1574" s="64" t="str">
        <f>Ringkasan!F1573</f>
        <v/>
      </c>
      <c r="G1574" s="64">
        <f>Ringkasan!G1573</f>
        <v>0</v>
      </c>
      <c r="H1574" s="19">
        <f>Ringkasan!H1573</f>
        <v>-78.9</v>
      </c>
      <c r="I1574" s="19">
        <f>Ringkasan!I1573</f>
        <v>-8.8</v>
      </c>
      <c r="J1574" s="19" t="str">
        <f>Ringkasan!J1573</f>
        <v/>
      </c>
      <c r="K1574" s="19">
        <f>Ringkasan!K1573</f>
        <v>-2.8</v>
      </c>
      <c r="L1574" s="19">
        <f>Ringkasan!L1573</f>
        <v>-3.4</v>
      </c>
      <c r="M1574" s="19">
        <f>Ringkasan!M1573</f>
        <v>-14.1</v>
      </c>
      <c r="N1574" s="64" t="str">
        <f>Ringkasan!N1573</f>
        <v/>
      </c>
      <c r="O1574" s="64" t="str">
        <f>Ringkasan!O1573</f>
        <v/>
      </c>
      <c r="P1574" s="64" t="str">
        <f>Ringkasan!P1573</f>
        <v/>
      </c>
      <c r="Q1574" s="64" t="str">
        <f>Ringkasan!Q1573</f>
        <v/>
      </c>
      <c r="R1574" s="64" t="str">
        <f>Ringkasan!R1573</f>
        <v/>
      </c>
      <c r="S1574" s="64" t="str">
        <f>Ringkasan!S1573</f>
        <v/>
      </c>
      <c r="T1574" s="64" t="str">
        <f>Ringkasan!T1573</f>
        <v/>
      </c>
      <c r="U1574" s="64">
        <f>Ringkasan!U1573</f>
        <v>9000</v>
      </c>
      <c r="V1574" s="64">
        <f>Ringkasan!V1573</f>
        <v>8.06</v>
      </c>
      <c r="W1574" s="64">
        <f>Ringkasan!W1573</f>
        <v>9250</v>
      </c>
      <c r="X1574" s="64">
        <f>Ringkasan!X1573</f>
        <v>9900</v>
      </c>
      <c r="Y1574" s="64">
        <f>Ringkasan!Y1573</f>
        <v>9250</v>
      </c>
      <c r="Z1574" s="64">
        <f>Ringkasan!Z1573</f>
        <v>521200</v>
      </c>
      <c r="AA1574" s="64" t="str">
        <f>Ringkasan!AA1573</f>
        <v>Building Products &amp; Fixtures</v>
      </c>
      <c r="AB1574" s="64" t="str">
        <f>Ringkasan!AB1573</f>
        <v>Industrials</v>
      </c>
    </row>
    <row r="1575" hidden="1">
      <c r="A1575" s="64" t="str">
        <f>Ringkasan!A1574</f>
        <v>SIPD</v>
      </c>
      <c r="B1575" s="64" t="str">
        <f>Ringkasan!B1574</f>
        <v>Sreeya Sewu Indonesia Tbk.</v>
      </c>
      <c r="C1575" s="65">
        <f>Ringkasan!C1574</f>
        <v>725</v>
      </c>
      <c r="D1575" s="64" t="str">
        <f>Ringkasan!D1574</f>
        <v>#N/A</v>
      </c>
      <c r="E1575" s="64" t="str">
        <f>Ringkasan!E1574</f>
        <v/>
      </c>
      <c r="F1575" s="64" t="str">
        <f>Ringkasan!F1574</f>
        <v/>
      </c>
      <c r="G1575" s="64">
        <f>Ringkasan!G1574</f>
        <v>0</v>
      </c>
      <c r="H1575" s="19">
        <f>Ringkasan!H1574</f>
        <v>44.9</v>
      </c>
      <c r="I1575" s="19">
        <f>Ringkasan!I1574</f>
        <v>1.2</v>
      </c>
      <c r="J1575" s="19">
        <f>Ringkasan!J1574</f>
        <v>2.8</v>
      </c>
      <c r="K1575" s="19">
        <f>Ringkasan!K1574</f>
        <v>1.1</v>
      </c>
      <c r="L1575" s="19">
        <f>Ringkasan!L1574</f>
        <v>1.4</v>
      </c>
      <c r="M1575" s="19">
        <f>Ringkasan!M1574</f>
        <v>2.4</v>
      </c>
      <c r="N1575" s="64" t="str">
        <f>Ringkasan!N1574</f>
        <v/>
      </c>
      <c r="O1575" s="64" t="str">
        <f>Ringkasan!O1574</f>
        <v/>
      </c>
      <c r="P1575" s="64" t="str">
        <f>Ringkasan!P1574</f>
        <v/>
      </c>
      <c r="Q1575" s="64" t="str">
        <f>Ringkasan!Q1574</f>
        <v/>
      </c>
      <c r="R1575" s="64" t="str">
        <f>Ringkasan!R1574</f>
        <v/>
      </c>
      <c r="S1575" s="64" t="str">
        <f>Ringkasan!S1574</f>
        <v/>
      </c>
      <c r="T1575" s="64" t="str">
        <f>Ringkasan!T1574</f>
        <v/>
      </c>
      <c r="U1575" s="64">
        <f>Ringkasan!U1574</f>
        <v>710</v>
      </c>
      <c r="V1575" s="64">
        <f>Ringkasan!V1574</f>
        <v>2.11</v>
      </c>
      <c r="W1575" s="64">
        <f>Ringkasan!W1574</f>
        <v>710</v>
      </c>
      <c r="X1575" s="64">
        <f>Ringkasan!X1574</f>
        <v>730</v>
      </c>
      <c r="Y1575" s="64">
        <f>Ringkasan!Y1574</f>
        <v>670</v>
      </c>
      <c r="Z1575" s="64" t="str">
        <f>Ringkasan!Z1574</f>
        <v/>
      </c>
      <c r="AA1575" s="64" t="str">
        <f>Ringkasan!AA1574</f>
        <v>Agricultural Products</v>
      </c>
      <c r="AB1575" s="64" t="str">
        <f>Ringkasan!AB1574</f>
        <v>Consumer Non-Cyclicals</v>
      </c>
    </row>
    <row r="1576" hidden="1">
      <c r="A1576" s="64" t="str">
        <f>Ringkasan!A1575</f>
        <v>SKBM</v>
      </c>
      <c r="B1576" s="64" t="str">
        <f>Ringkasan!B1575</f>
        <v>Sekar Bumi Tbk.</v>
      </c>
      <c r="C1576" s="65">
        <f>Ringkasan!C1575</f>
        <v>530</v>
      </c>
      <c r="D1576" s="64" t="str">
        <f>Ringkasan!D1575</f>
        <v>#N/A</v>
      </c>
      <c r="E1576" s="64" t="str">
        <f>Ringkasan!E1575</f>
        <v/>
      </c>
      <c r="F1576" s="64" t="str">
        <f>Ringkasan!F1575</f>
        <v/>
      </c>
      <c r="G1576" s="64">
        <f>Ringkasan!G1575</f>
        <v>0</v>
      </c>
      <c r="H1576" s="19">
        <f>Ringkasan!H1575</f>
        <v>7.7</v>
      </c>
      <c r="I1576" s="19">
        <f>Ringkasan!I1575</f>
        <v>0.8</v>
      </c>
      <c r="J1576" s="19">
        <f>Ringkasan!J1575</f>
        <v>10.5</v>
      </c>
      <c r="K1576" s="19">
        <f>Ringkasan!K1575</f>
        <v>5.4</v>
      </c>
      <c r="L1576" s="19">
        <f>Ringkasan!L1575</f>
        <v>0.95</v>
      </c>
      <c r="M1576" s="19">
        <f>Ringkasan!M1575</f>
        <v>11.6</v>
      </c>
      <c r="N1576" s="64" t="str">
        <f>Ringkasan!N1575</f>
        <v/>
      </c>
      <c r="O1576" s="64" t="str">
        <f>Ringkasan!O1575</f>
        <v/>
      </c>
      <c r="P1576" s="64" t="str">
        <f>Ringkasan!P1575</f>
        <v/>
      </c>
      <c r="Q1576" s="64" t="str">
        <f>Ringkasan!Q1575</f>
        <v/>
      </c>
      <c r="R1576" s="64" t="str">
        <f>Ringkasan!R1575</f>
        <v/>
      </c>
      <c r="S1576" s="64" t="str">
        <f>Ringkasan!S1575</f>
        <v/>
      </c>
      <c r="T1576" s="64" t="str">
        <f>Ringkasan!T1575</f>
        <v/>
      </c>
      <c r="U1576" s="64">
        <f>Ringkasan!U1575</f>
        <v>530</v>
      </c>
      <c r="V1576" s="64">
        <f>Ringkasan!V1575</f>
        <v>0</v>
      </c>
      <c r="W1576" s="64" t="str">
        <f>Ringkasan!W1575</f>
        <v/>
      </c>
      <c r="X1576" s="64">
        <f>Ringkasan!X1575</f>
        <v>545</v>
      </c>
      <c r="Y1576" s="64">
        <f>Ringkasan!Y1575</f>
        <v>520</v>
      </c>
      <c r="Z1576" s="64">
        <f>Ringkasan!Z1575</f>
        <v>176500</v>
      </c>
      <c r="AA1576" s="64" t="str">
        <f>Ringkasan!AA1575</f>
        <v>Processed Foods</v>
      </c>
      <c r="AB1576" s="64" t="str">
        <f>Ringkasan!AB1575</f>
        <v>Consumer Non-Cyclicals</v>
      </c>
    </row>
    <row r="1577" hidden="1">
      <c r="A1577" s="64" t="str">
        <f>Ringkasan!A1576</f>
        <v>SKLT</v>
      </c>
      <c r="B1577" s="64" t="str">
        <f>Ringkasan!B1576</f>
        <v>Sekar Laut Tbk.</v>
      </c>
      <c r="C1577" s="65">
        <f>Ringkasan!C1576</f>
        <v>178</v>
      </c>
      <c r="D1577" s="64" t="str">
        <f>Ringkasan!D1576</f>
        <v>#N/A</v>
      </c>
      <c r="E1577" s="64" t="str">
        <f>Ringkasan!E1576</f>
        <v/>
      </c>
      <c r="F1577" s="64" t="str">
        <f>Ringkasan!F1576</f>
        <v/>
      </c>
      <c r="G1577" s="64">
        <f>Ringkasan!G1576</f>
        <v>0</v>
      </c>
      <c r="H1577" s="19">
        <f>Ringkasan!H1576</f>
        <v>13.3</v>
      </c>
      <c r="I1577" s="19">
        <f>Ringkasan!I1576</f>
        <v>1.4</v>
      </c>
      <c r="J1577" s="19">
        <f>Ringkasan!J1576</f>
        <v>10.3</v>
      </c>
      <c r="K1577" s="19">
        <f>Ringkasan!K1576</f>
        <v>5.7</v>
      </c>
      <c r="L1577" s="19">
        <f>Ringkasan!L1576</f>
        <v>0.8</v>
      </c>
      <c r="M1577" s="19">
        <f>Ringkasan!M1576</f>
        <v>14.2</v>
      </c>
      <c r="N1577" s="64" t="str">
        <f>Ringkasan!N1576</f>
        <v/>
      </c>
      <c r="O1577" s="64" t="str">
        <f>Ringkasan!O1576</f>
        <v/>
      </c>
      <c r="P1577" s="64" t="str">
        <f>Ringkasan!P1576</f>
        <v/>
      </c>
      <c r="Q1577" s="64" t="str">
        <f>Ringkasan!Q1576</f>
        <v/>
      </c>
      <c r="R1577" s="64" t="str">
        <f>Ringkasan!R1576</f>
        <v/>
      </c>
      <c r="S1577" s="64" t="str">
        <f>Ringkasan!S1576</f>
        <v/>
      </c>
      <c r="T1577" s="64" t="str">
        <f>Ringkasan!T1576</f>
        <v/>
      </c>
      <c r="U1577" s="64">
        <f>Ringkasan!U1576</f>
        <v>177</v>
      </c>
      <c r="V1577" s="64">
        <f>Ringkasan!V1576</f>
        <v>0.56</v>
      </c>
      <c r="W1577" s="64">
        <f>Ringkasan!W1576</f>
        <v>180</v>
      </c>
      <c r="X1577" s="64">
        <f>Ringkasan!X1576</f>
        <v>182</v>
      </c>
      <c r="Y1577" s="64">
        <f>Ringkasan!Y1576</f>
        <v>176</v>
      </c>
      <c r="Z1577" s="64">
        <f>Ringkasan!Z1576</f>
        <v>29200</v>
      </c>
      <c r="AA1577" s="64" t="str">
        <f>Ringkasan!AA1576</f>
        <v>Processed Foods</v>
      </c>
      <c r="AB1577" s="64" t="str">
        <f>Ringkasan!AB1576</f>
        <v>Consumer Non-Cyclicals</v>
      </c>
    </row>
    <row r="1578" hidden="1">
      <c r="A1578" s="64" t="str">
        <f>Ringkasan!A1577</f>
        <v>SKRN</v>
      </c>
      <c r="B1578" s="64" t="str">
        <f>Ringkasan!B1577</f>
        <v>Superkrane Mitra Utama Tbk.</v>
      </c>
      <c r="C1578" s="65">
        <f>Ringkasan!C1577</f>
        <v>330</v>
      </c>
      <c r="D1578" s="64" t="str">
        <f>Ringkasan!D1577</f>
        <v>#N/A</v>
      </c>
      <c r="E1578" s="64" t="str">
        <f>Ringkasan!E1577</f>
        <v/>
      </c>
      <c r="F1578" s="64" t="str">
        <f>Ringkasan!F1577</f>
        <v/>
      </c>
      <c r="G1578" s="64">
        <f>Ringkasan!G1577</f>
        <v>0</v>
      </c>
      <c r="H1578" s="19">
        <f>Ringkasan!H1577</f>
        <v>17.3</v>
      </c>
      <c r="I1578" s="19">
        <f>Ringkasan!I1577</f>
        <v>4.5</v>
      </c>
      <c r="J1578" s="19">
        <f>Ringkasan!J1577</f>
        <v>26.1</v>
      </c>
      <c r="K1578" s="19">
        <f>Ringkasan!K1577</f>
        <v>12.2</v>
      </c>
      <c r="L1578" s="19">
        <f>Ringkasan!L1577</f>
        <v>1.1</v>
      </c>
      <c r="M1578" s="19">
        <f>Ringkasan!M1577</f>
        <v>81.5</v>
      </c>
      <c r="N1578" s="64" t="str">
        <f>Ringkasan!N1577</f>
        <v/>
      </c>
      <c r="O1578" s="64" t="str">
        <f>Ringkasan!O1577</f>
        <v/>
      </c>
      <c r="P1578" s="64" t="str">
        <f>Ringkasan!P1577</f>
        <v/>
      </c>
      <c r="Q1578" s="64" t="str">
        <f>Ringkasan!Q1577</f>
        <v/>
      </c>
      <c r="R1578" s="64" t="str">
        <f>Ringkasan!R1577</f>
        <v/>
      </c>
      <c r="S1578" s="64" t="str">
        <f>Ringkasan!S1577</f>
        <v/>
      </c>
      <c r="T1578" s="64" t="str">
        <f>Ringkasan!T1577</f>
        <v/>
      </c>
      <c r="U1578" s="64">
        <f>Ringkasan!U1577</f>
        <v>326</v>
      </c>
      <c r="V1578" s="64">
        <f>Ringkasan!V1577</f>
        <v>1.23</v>
      </c>
      <c r="W1578" s="64">
        <f>Ringkasan!W1577</f>
        <v>320</v>
      </c>
      <c r="X1578" s="64">
        <f>Ringkasan!X1577</f>
        <v>350</v>
      </c>
      <c r="Y1578" s="64">
        <f>Ringkasan!Y1577</f>
        <v>320</v>
      </c>
      <c r="Z1578" s="64">
        <f>Ringkasan!Z1577</f>
        <v>187900</v>
      </c>
      <c r="AA1578" s="64" t="str">
        <f>Ringkasan!AA1577</f>
        <v>Machinery</v>
      </c>
      <c r="AB1578" s="64" t="str">
        <f>Ringkasan!AB1577</f>
        <v>Industrials</v>
      </c>
    </row>
    <row r="1579" hidden="1">
      <c r="A1579" s="64" t="str">
        <f>Ringkasan!A1578</f>
        <v>SKYB</v>
      </c>
      <c r="B1579" s="64" t="str">
        <f>Ringkasan!B1578</f>
        <v>PT Northcliff Citranusa Indonesia Tbk.</v>
      </c>
      <c r="C1579" s="65">
        <f>Ringkasan!C1578</f>
        <v>51</v>
      </c>
      <c r="D1579" s="64" t="str">
        <f>Ringkasan!D1578</f>
        <v>#N/A</v>
      </c>
      <c r="E1579" s="64" t="str">
        <f>Ringkasan!E1578</f>
        <v/>
      </c>
      <c r="F1579" s="64" t="str">
        <f>Ringkasan!F1578</f>
        <v/>
      </c>
      <c r="G1579" s="64">
        <f>Ringkasan!G1578</f>
        <v>0</v>
      </c>
      <c r="H1579" s="19">
        <f>Ringkasan!H1578</f>
        <v>0</v>
      </c>
      <c r="I1579" s="19">
        <f>Ringkasan!I1578</f>
        <v>0.99</v>
      </c>
      <c r="J1579" s="19">
        <f>Ringkasan!J1578</f>
        <v>-2.8</v>
      </c>
      <c r="K1579" s="19">
        <f>Ringkasan!K1578</f>
        <v>-2.2</v>
      </c>
      <c r="L1579" s="19">
        <f>Ringkasan!L1578</f>
        <v>0.26</v>
      </c>
      <c r="M1579" s="19">
        <f>Ringkasan!M1578</f>
        <v>-23.4</v>
      </c>
      <c r="N1579" s="64" t="str">
        <f>Ringkasan!N1578</f>
        <v/>
      </c>
      <c r="O1579" s="64" t="str">
        <f>Ringkasan!O1578</f>
        <v/>
      </c>
      <c r="P1579" s="64" t="str">
        <f>Ringkasan!P1578</f>
        <v/>
      </c>
      <c r="Q1579" s="64" t="str">
        <f>Ringkasan!Q1578</f>
        <v/>
      </c>
      <c r="R1579" s="64" t="str">
        <f>Ringkasan!R1578</f>
        <v/>
      </c>
      <c r="S1579" s="64" t="str">
        <f>Ringkasan!S1578</f>
        <v/>
      </c>
      <c r="T1579" s="64" t="str">
        <f>Ringkasan!T1578</f>
        <v/>
      </c>
      <c r="U1579" s="64">
        <f>Ringkasan!U1578</f>
        <v>51</v>
      </c>
      <c r="V1579" s="64">
        <f>Ringkasan!V1578</f>
        <v>0</v>
      </c>
      <c r="W1579" s="64" t="str">
        <f>Ringkasan!W1578</f>
        <v/>
      </c>
      <c r="X1579" s="64" t="str">
        <f>Ringkasan!X1578</f>
        <v/>
      </c>
      <c r="Y1579" s="64" t="str">
        <f>Ringkasan!Y1578</f>
        <v/>
      </c>
      <c r="Z1579" s="64">
        <f>Ringkasan!Z1578</f>
        <v>0</v>
      </c>
      <c r="AA1579" s="64" t="str">
        <f>Ringkasan!AA1578</f>
        <v>Software</v>
      </c>
      <c r="AB1579" s="64" t="str">
        <f>Ringkasan!AB1578</f>
        <v>Technology</v>
      </c>
    </row>
    <row r="1580" hidden="1">
      <c r="A1580" s="64" t="str">
        <f>Ringkasan!A1579</f>
        <v>SLIS</v>
      </c>
      <c r="B1580" s="64" t="str">
        <f>Ringkasan!B1579</f>
        <v>Gaya Abadi Sempurna Tbk.</v>
      </c>
      <c r="C1580" s="65">
        <f>Ringkasan!C1579</f>
        <v>59</v>
      </c>
      <c r="D1580" s="64" t="str">
        <f>Ringkasan!D1579</f>
        <v>#N/A</v>
      </c>
      <c r="E1580" s="64" t="str">
        <f>Ringkasan!E1579</f>
        <v/>
      </c>
      <c r="F1580" s="64" t="str">
        <f>Ringkasan!F1579</f>
        <v/>
      </c>
      <c r="G1580" s="64">
        <f>Ringkasan!G1579</f>
        <v>0</v>
      </c>
      <c r="H1580" s="19">
        <f>Ringkasan!H1579</f>
        <v>-6.6</v>
      </c>
      <c r="I1580" s="19">
        <f>Ringkasan!I1579</f>
        <v>0.57</v>
      </c>
      <c r="J1580" s="19">
        <f>Ringkasan!J1579</f>
        <v>-8.7</v>
      </c>
      <c r="K1580" s="19">
        <f>Ringkasan!K1579</f>
        <v>-6.8</v>
      </c>
      <c r="L1580" s="19">
        <f>Ringkasan!L1579</f>
        <v>0.29</v>
      </c>
      <c r="M1580" s="19">
        <f>Ringkasan!M1579</f>
        <v>-57.9</v>
      </c>
      <c r="N1580" s="64" t="str">
        <f>Ringkasan!N1579</f>
        <v/>
      </c>
      <c r="O1580" s="64" t="str">
        <f>Ringkasan!O1579</f>
        <v/>
      </c>
      <c r="P1580" s="64" t="str">
        <f>Ringkasan!P1579</f>
        <v/>
      </c>
      <c r="Q1580" s="64" t="str">
        <f>Ringkasan!Q1579</f>
        <v/>
      </c>
      <c r="R1580" s="64" t="str">
        <f>Ringkasan!R1579</f>
        <v/>
      </c>
      <c r="S1580" s="64" t="str">
        <f>Ringkasan!S1579</f>
        <v/>
      </c>
      <c r="T1580" s="64" t="str">
        <f>Ringkasan!T1579</f>
        <v/>
      </c>
      <c r="U1580" s="64">
        <f>Ringkasan!U1579</f>
        <v>55</v>
      </c>
      <c r="V1580" s="64">
        <f>Ringkasan!V1579</f>
        <v>7.27</v>
      </c>
      <c r="W1580" s="64">
        <f>Ringkasan!W1579</f>
        <v>56</v>
      </c>
      <c r="X1580" s="64">
        <f>Ringkasan!X1579</f>
        <v>60</v>
      </c>
      <c r="Y1580" s="64">
        <f>Ringkasan!Y1579</f>
        <v>55</v>
      </c>
      <c r="Z1580" s="64">
        <f>Ringkasan!Z1579</f>
        <v>15473100</v>
      </c>
      <c r="AA1580" s="64" t="str">
        <f>Ringkasan!AA1579</f>
        <v>Specialty Retail</v>
      </c>
      <c r="AB1580" s="64" t="str">
        <f>Ringkasan!AB1579</f>
        <v>Consumer Cyclicals</v>
      </c>
    </row>
    <row r="1581" hidden="1">
      <c r="A1581" s="64" t="str">
        <f>Ringkasan!A1580</f>
        <v>SMAR</v>
      </c>
      <c r="B1581" s="64" t="str">
        <f>Ringkasan!B1580</f>
        <v>Sinar Mas Agro Resources and Technology Tbk.</v>
      </c>
      <c r="C1581" s="65">
        <f>Ringkasan!C1580</f>
        <v>4590</v>
      </c>
      <c r="D1581" s="64" t="str">
        <f>Ringkasan!D1580</f>
        <v>#N/A</v>
      </c>
      <c r="E1581" s="64" t="str">
        <f>Ringkasan!E1580</f>
        <v/>
      </c>
      <c r="F1581" s="64" t="str">
        <f>Ringkasan!F1580</f>
        <v/>
      </c>
      <c r="G1581" s="64">
        <f>Ringkasan!G1580</f>
        <v>0</v>
      </c>
      <c r="H1581" s="19">
        <f>Ringkasan!H1580</f>
        <v>4.3</v>
      </c>
      <c r="I1581" s="19">
        <f>Ringkasan!I1580</f>
        <v>0.61</v>
      </c>
      <c r="J1581" s="19">
        <f>Ringkasan!J1580</f>
        <v>14.1</v>
      </c>
      <c r="K1581" s="19">
        <f>Ringkasan!K1580</f>
        <v>7.2</v>
      </c>
      <c r="L1581" s="19">
        <f>Ringkasan!L1580</f>
        <v>0.97</v>
      </c>
      <c r="M1581" s="19">
        <f>Ringkasan!M1580</f>
        <v>15.8</v>
      </c>
      <c r="N1581" s="64" t="str">
        <f>Ringkasan!N1580</f>
        <v/>
      </c>
      <c r="O1581" s="64" t="str">
        <f>Ringkasan!O1580</f>
        <v/>
      </c>
      <c r="P1581" s="64" t="str">
        <f>Ringkasan!P1580</f>
        <v/>
      </c>
      <c r="Q1581" s="64" t="str">
        <f>Ringkasan!Q1580</f>
        <v/>
      </c>
      <c r="R1581" s="64" t="str">
        <f>Ringkasan!R1580</f>
        <v/>
      </c>
      <c r="S1581" s="64" t="str">
        <f>Ringkasan!S1580</f>
        <v/>
      </c>
      <c r="T1581" s="64" t="str">
        <f>Ringkasan!T1580</f>
        <v/>
      </c>
      <c r="U1581" s="64">
        <f>Ringkasan!U1580</f>
        <v>4440</v>
      </c>
      <c r="V1581" s="64">
        <f>Ringkasan!V1580</f>
        <v>3.38</v>
      </c>
      <c r="W1581" s="64">
        <f>Ringkasan!W1580</f>
        <v>4440</v>
      </c>
      <c r="X1581" s="64">
        <f>Ringkasan!X1580</f>
        <v>4700</v>
      </c>
      <c r="Y1581" s="64">
        <f>Ringkasan!Y1580</f>
        <v>4440</v>
      </c>
      <c r="Z1581" s="64">
        <f>Ringkasan!Z1580</f>
        <v>58100</v>
      </c>
      <c r="AA1581" s="64" t="str">
        <f>Ringkasan!AA1580</f>
        <v>Agricultural Products</v>
      </c>
      <c r="AB1581" s="64" t="str">
        <f>Ringkasan!AB1580</f>
        <v>Consumer Non-Cyclicals</v>
      </c>
    </row>
    <row r="1582" hidden="1">
      <c r="A1582" s="64" t="str">
        <f>Ringkasan!A1581</f>
        <v>SMBR</v>
      </c>
      <c r="B1582" s="64" t="str">
        <f>Ringkasan!B1581</f>
        <v>Semen Baturaja (Persero) Tbk.</v>
      </c>
      <c r="C1582" s="65">
        <f>Ringkasan!C1581</f>
        <v>146</v>
      </c>
      <c r="D1582" s="64" t="str">
        <f>Ringkasan!D1581</f>
        <v>#N/A</v>
      </c>
      <c r="E1582" s="64" t="str">
        <f>Ringkasan!E1581</f>
        <v>IDXMESBUMN</v>
      </c>
      <c r="F1582" s="66">
        <f>Ringkasan!F1581</f>
        <v>46356</v>
      </c>
      <c r="G1582" s="64">
        <f>Ringkasan!G1581</f>
        <v>2</v>
      </c>
      <c r="H1582" s="19">
        <f>Ringkasan!H1581</f>
        <v>11.8</v>
      </c>
      <c r="I1582" s="19">
        <f>Ringkasan!I1581</f>
        <v>0.48</v>
      </c>
      <c r="J1582" s="19">
        <f>Ringkasan!J1581</f>
        <v>4.1</v>
      </c>
      <c r="K1582" s="19">
        <f>Ringkasan!K1581</f>
        <v>3</v>
      </c>
      <c r="L1582" s="19">
        <f>Ringkasan!L1581</f>
        <v>0.38</v>
      </c>
      <c r="M1582" s="19">
        <f>Ringkasan!M1581</f>
        <v>31.9</v>
      </c>
      <c r="N1582" s="64" t="str">
        <f>Ringkasan!N1581</f>
        <v/>
      </c>
      <c r="O1582" s="64" t="str">
        <f>Ringkasan!O1581</f>
        <v/>
      </c>
      <c r="P1582" s="64" t="str">
        <f>Ringkasan!P1581</f>
        <v/>
      </c>
      <c r="Q1582" s="64" t="str">
        <f>Ringkasan!Q1581</f>
        <v/>
      </c>
      <c r="R1582" s="64" t="str">
        <f>Ringkasan!R1581</f>
        <v/>
      </c>
      <c r="S1582" s="64" t="str">
        <f>Ringkasan!S1581</f>
        <v/>
      </c>
      <c r="T1582" s="64" t="str">
        <f>Ringkasan!T1581</f>
        <v/>
      </c>
      <c r="U1582" s="64">
        <f>Ringkasan!U1581</f>
        <v>143</v>
      </c>
      <c r="V1582" s="64">
        <f>Ringkasan!V1581</f>
        <v>2.1</v>
      </c>
      <c r="W1582" s="64">
        <f>Ringkasan!W1581</f>
        <v>143</v>
      </c>
      <c r="X1582" s="64">
        <f>Ringkasan!X1581</f>
        <v>148</v>
      </c>
      <c r="Y1582" s="64">
        <f>Ringkasan!Y1581</f>
        <v>141</v>
      </c>
      <c r="Z1582" s="64">
        <f>Ringkasan!Z1581</f>
        <v>5707200</v>
      </c>
      <c r="AA1582" s="64" t="str">
        <f>Ringkasan!AA1581</f>
        <v>Construction Materials</v>
      </c>
      <c r="AB1582" s="64" t="str">
        <f>Ringkasan!AB1581</f>
        <v>Basic Materials</v>
      </c>
    </row>
    <row r="1583" hidden="1">
      <c r="A1583" s="64" t="str">
        <f>Ringkasan!A1582</f>
        <v>SMBR</v>
      </c>
      <c r="B1583" s="64" t="str">
        <f>Ringkasan!B1582</f>
        <v>Semen Baturaja (Persero) Tbk.</v>
      </c>
      <c r="C1583" s="65">
        <f>Ringkasan!C1582</f>
        <v>146</v>
      </c>
      <c r="D1583" s="64" t="str">
        <f>Ringkasan!D1582</f>
        <v>#N/A</v>
      </c>
      <c r="E1583" s="64" t="str">
        <f>Ringkasan!E1582</f>
        <v>IDXBUMN20</v>
      </c>
      <c r="F1583" s="64" t="str">
        <f>Ringkasan!F1582</f>
        <v>4 Agustus 2026</v>
      </c>
      <c r="G1583" s="64">
        <f>Ringkasan!G1582</f>
        <v>2</v>
      </c>
      <c r="H1583" s="19">
        <f>Ringkasan!H1582</f>
        <v>11.8</v>
      </c>
      <c r="I1583" s="19">
        <f>Ringkasan!I1582</f>
        <v>0.48</v>
      </c>
      <c r="J1583" s="19">
        <f>Ringkasan!J1582</f>
        <v>4.1</v>
      </c>
      <c r="K1583" s="19">
        <f>Ringkasan!K1582</f>
        <v>3</v>
      </c>
      <c r="L1583" s="19">
        <f>Ringkasan!L1582</f>
        <v>0.38</v>
      </c>
      <c r="M1583" s="19">
        <f>Ringkasan!M1582</f>
        <v>31.9</v>
      </c>
      <c r="N1583" s="64" t="str">
        <f>Ringkasan!N1582</f>
        <v/>
      </c>
      <c r="O1583" s="64" t="str">
        <f>Ringkasan!O1582</f>
        <v/>
      </c>
      <c r="P1583" s="64" t="str">
        <f>Ringkasan!P1582</f>
        <v/>
      </c>
      <c r="Q1583" s="64" t="str">
        <f>Ringkasan!Q1582</f>
        <v/>
      </c>
      <c r="R1583" s="64" t="str">
        <f>Ringkasan!R1582</f>
        <v/>
      </c>
      <c r="S1583" s="64" t="str">
        <f>Ringkasan!S1582</f>
        <v/>
      </c>
      <c r="T1583" s="64" t="str">
        <f>Ringkasan!T1582</f>
        <v/>
      </c>
      <c r="U1583" s="64">
        <f>Ringkasan!U1582</f>
        <v>143</v>
      </c>
      <c r="V1583" s="64">
        <f>Ringkasan!V1582</f>
        <v>2.1</v>
      </c>
      <c r="W1583" s="64">
        <f>Ringkasan!W1582</f>
        <v>143</v>
      </c>
      <c r="X1583" s="64">
        <f>Ringkasan!X1582</f>
        <v>148</v>
      </c>
      <c r="Y1583" s="64">
        <f>Ringkasan!Y1582</f>
        <v>141</v>
      </c>
      <c r="Z1583" s="64">
        <f>Ringkasan!Z1582</f>
        <v>5707200</v>
      </c>
      <c r="AA1583" s="64" t="str">
        <f>Ringkasan!AA1582</f>
        <v>Construction Materials</v>
      </c>
      <c r="AB1583" s="64" t="str">
        <f>Ringkasan!AB1582</f>
        <v>Basic Materials</v>
      </c>
    </row>
    <row r="1584" hidden="1">
      <c r="A1584" s="64" t="str">
        <f>Ringkasan!A1583</f>
        <v>SMCB</v>
      </c>
      <c r="B1584" s="64" t="str">
        <f>Ringkasan!B1583</f>
        <v>Solusi Bangun Indonesia Tbk.</v>
      </c>
      <c r="C1584" s="65">
        <f>Ringkasan!C1583</f>
        <v>775</v>
      </c>
      <c r="D1584" s="64" t="str">
        <f>Ringkasan!D1583</f>
        <v>#N/A</v>
      </c>
      <c r="E1584" s="64" t="str">
        <f>Ringkasan!E1583</f>
        <v/>
      </c>
      <c r="F1584" s="64" t="str">
        <f>Ringkasan!F1583</f>
        <v/>
      </c>
      <c r="G1584" s="64">
        <f>Ringkasan!G1583</f>
        <v>0</v>
      </c>
      <c r="H1584" s="19">
        <f>Ringkasan!H1583</f>
        <v>9.8</v>
      </c>
      <c r="I1584" s="19">
        <f>Ringkasan!I1583</f>
        <v>0.53</v>
      </c>
      <c r="J1584" s="19">
        <f>Ringkasan!J1583</f>
        <v>5.4</v>
      </c>
      <c r="K1584" s="19">
        <f>Ringkasan!K1583</f>
        <v>3.5</v>
      </c>
      <c r="L1584" s="19">
        <f>Ringkasan!L1583</f>
        <v>0.53</v>
      </c>
      <c r="M1584" s="19">
        <f>Ringkasan!M1583</f>
        <v>27.9</v>
      </c>
      <c r="N1584" s="64" t="str">
        <f>Ringkasan!N1583</f>
        <v/>
      </c>
      <c r="O1584" s="64" t="str">
        <f>Ringkasan!O1583</f>
        <v/>
      </c>
      <c r="P1584" s="64" t="str">
        <f>Ringkasan!P1583</f>
        <v/>
      </c>
      <c r="Q1584" s="64" t="str">
        <f>Ringkasan!Q1583</f>
        <v/>
      </c>
      <c r="R1584" s="64" t="str">
        <f>Ringkasan!R1583</f>
        <v/>
      </c>
      <c r="S1584" s="64" t="str">
        <f>Ringkasan!S1583</f>
        <v/>
      </c>
      <c r="T1584" s="64" t="str">
        <f>Ringkasan!T1583</f>
        <v/>
      </c>
      <c r="U1584" s="64">
        <f>Ringkasan!U1583</f>
        <v>775</v>
      </c>
      <c r="V1584" s="64">
        <f>Ringkasan!V1583</f>
        <v>0</v>
      </c>
      <c r="W1584" s="64" t="str">
        <f>Ringkasan!W1583</f>
        <v/>
      </c>
      <c r="X1584" s="64" t="str">
        <f>Ringkasan!X1583</f>
        <v/>
      </c>
      <c r="Y1584" s="64" t="str">
        <f>Ringkasan!Y1583</f>
        <v/>
      </c>
      <c r="Z1584" s="64">
        <f>Ringkasan!Z1583</f>
        <v>0</v>
      </c>
      <c r="AA1584" s="64" t="str">
        <f>Ringkasan!AA1583</f>
        <v>Construction Materials</v>
      </c>
      <c r="AB1584" s="64" t="str">
        <f>Ringkasan!AB1583</f>
        <v>Basic Materials</v>
      </c>
    </row>
    <row r="1585" hidden="1">
      <c r="A1585" s="64" t="str">
        <f>Ringkasan!A1584</f>
        <v>SMDM</v>
      </c>
      <c r="B1585" s="64" t="str">
        <f>Ringkasan!B1584</f>
        <v>Suryamas Dutamakmur Tbk.</v>
      </c>
      <c r="C1585" s="65">
        <f>Ringkasan!C1584</f>
        <v>505</v>
      </c>
      <c r="D1585" s="64" t="str">
        <f>Ringkasan!D1584</f>
        <v>#N/A</v>
      </c>
      <c r="E1585" s="64" t="str">
        <f>Ringkasan!E1584</f>
        <v/>
      </c>
      <c r="F1585" s="64" t="str">
        <f>Ringkasan!F1584</f>
        <v/>
      </c>
      <c r="G1585" s="64">
        <f>Ringkasan!G1584</f>
        <v>0</v>
      </c>
      <c r="H1585" s="19">
        <f>Ringkasan!H1584</f>
        <v>110</v>
      </c>
      <c r="I1585" s="19">
        <f>Ringkasan!I1584</f>
        <v>0.75</v>
      </c>
      <c r="J1585" s="19">
        <f>Ringkasan!J1584</f>
        <v>0.68</v>
      </c>
      <c r="K1585" s="19">
        <f>Ringkasan!K1584</f>
        <v>0.63</v>
      </c>
      <c r="L1585" s="19">
        <f>Ringkasan!L1584</f>
        <v>0.08</v>
      </c>
      <c r="M1585" s="19">
        <f>Ringkasan!M1584</f>
        <v>5.7</v>
      </c>
      <c r="N1585" s="64" t="str">
        <f>Ringkasan!N1584</f>
        <v/>
      </c>
      <c r="O1585" s="64" t="str">
        <f>Ringkasan!O1584</f>
        <v/>
      </c>
      <c r="P1585" s="64" t="str">
        <f>Ringkasan!P1584</f>
        <v/>
      </c>
      <c r="Q1585" s="64" t="str">
        <f>Ringkasan!Q1584</f>
        <v/>
      </c>
      <c r="R1585" s="64" t="str">
        <f>Ringkasan!R1584</f>
        <v/>
      </c>
      <c r="S1585" s="64" t="str">
        <f>Ringkasan!S1584</f>
        <v/>
      </c>
      <c r="T1585" s="64" t="str">
        <f>Ringkasan!T1584</f>
        <v/>
      </c>
      <c r="U1585" s="64" t="str">
        <f>Ringkasan!U1584</f>
        <v/>
      </c>
      <c r="V1585" s="64">
        <f>Ringkasan!V1584</f>
        <v>4.34</v>
      </c>
      <c r="W1585" s="64">
        <f>Ringkasan!W1584</f>
        <v>484</v>
      </c>
      <c r="X1585" s="64">
        <f>Ringkasan!X1584</f>
        <v>505</v>
      </c>
      <c r="Y1585" s="64">
        <f>Ringkasan!Y1584</f>
        <v>480</v>
      </c>
      <c r="Z1585" s="64">
        <f>Ringkasan!Z1584</f>
        <v>35500</v>
      </c>
      <c r="AA1585" s="64" t="str">
        <f>Ringkasan!AA1584</f>
        <v>Real Estate Management &amp; Development</v>
      </c>
      <c r="AB1585" s="64" t="str">
        <f>Ringkasan!AB1584</f>
        <v>Properties &amp; Real Estate</v>
      </c>
    </row>
    <row r="1586" hidden="1">
      <c r="A1586" s="64" t="str">
        <f>Ringkasan!A1585</f>
        <v>SMDR</v>
      </c>
      <c r="B1586" s="64" t="str">
        <f>Ringkasan!B1585</f>
        <v>Samudera Indonesia Tbk.</v>
      </c>
      <c r="C1586" s="65">
        <f>Ringkasan!C1585</f>
        <v>286</v>
      </c>
      <c r="D1586" s="64" t="str">
        <f>Ringkasan!D1585</f>
        <v>#N/A</v>
      </c>
      <c r="E1586" s="64" t="str">
        <f>Ringkasan!E1585</f>
        <v>IDXVESTA28</v>
      </c>
      <c r="F1586" s="64" t="str">
        <f>Ringkasan!F1585</f>
        <v>31 Agustus 2026</v>
      </c>
      <c r="G1586" s="64">
        <f>Ringkasan!G1585</f>
        <v>2</v>
      </c>
      <c r="H1586" s="19">
        <f>Ringkasan!H1585</f>
        <v>6.2</v>
      </c>
      <c r="I1586" s="19">
        <f>Ringkasan!I1585</f>
        <v>0.37</v>
      </c>
      <c r="J1586" s="19">
        <f>Ringkasan!J1585</f>
        <v>5.9</v>
      </c>
      <c r="K1586" s="19">
        <f>Ringkasan!K1585</f>
        <v>3.2</v>
      </c>
      <c r="L1586" s="19">
        <f>Ringkasan!L1585</f>
        <v>0.86</v>
      </c>
      <c r="M1586" s="19">
        <f>Ringkasan!M1585</f>
        <v>25.2</v>
      </c>
      <c r="N1586" s="64" t="str">
        <f>Ringkasan!N1585</f>
        <v/>
      </c>
      <c r="O1586" s="64" t="str">
        <f>Ringkasan!O1585</f>
        <v/>
      </c>
      <c r="P1586" s="64" t="str">
        <f>Ringkasan!P1585</f>
        <v/>
      </c>
      <c r="Q1586" s="64" t="str">
        <f>Ringkasan!Q1585</f>
        <v/>
      </c>
      <c r="R1586" s="64" t="str">
        <f>Ringkasan!R1585</f>
        <v/>
      </c>
      <c r="S1586" s="64" t="str">
        <f>Ringkasan!S1585</f>
        <v/>
      </c>
      <c r="T1586" s="64" t="str">
        <f>Ringkasan!T1585</f>
        <v/>
      </c>
      <c r="U1586" s="64">
        <f>Ringkasan!U1585</f>
        <v>274</v>
      </c>
      <c r="V1586" s="64">
        <f>Ringkasan!V1585</f>
        <v>4.38</v>
      </c>
      <c r="W1586" s="64">
        <f>Ringkasan!W1585</f>
        <v>274</v>
      </c>
      <c r="X1586" s="64">
        <f>Ringkasan!X1585</f>
        <v>290</v>
      </c>
      <c r="Y1586" s="64">
        <f>Ringkasan!Y1585</f>
        <v>274</v>
      </c>
      <c r="Z1586" s="64">
        <f>Ringkasan!Z1585</f>
        <v>10521900</v>
      </c>
      <c r="AA1586" s="64" t="str">
        <f>Ringkasan!AA1585</f>
        <v>Logistics &amp; Deliveries</v>
      </c>
      <c r="AB1586" s="64" t="str">
        <f>Ringkasan!AB1585</f>
        <v>Transportation &amp; Logistic</v>
      </c>
    </row>
    <row r="1587" hidden="1">
      <c r="A1587" s="64" t="str">
        <f>Ringkasan!A1586</f>
        <v>SMDR</v>
      </c>
      <c r="B1587" s="64" t="str">
        <f>Ringkasan!B1586</f>
        <v>Samudera Indonesia Tbk.</v>
      </c>
      <c r="C1587" s="65">
        <f>Ringkasan!C1586</f>
        <v>286</v>
      </c>
      <c r="D1587" s="64" t="str">
        <f>Ringkasan!D1586</f>
        <v>#N/A</v>
      </c>
      <c r="E1587" s="64" t="str">
        <f>Ringkasan!E1586</f>
        <v>Pefindo - iGrade</v>
      </c>
      <c r="F1587" s="64" t="str">
        <f>Ringkasan!F1586</f>
        <v>30 Juni 2026</v>
      </c>
      <c r="G1587" s="64">
        <f>Ringkasan!G1586</f>
        <v>2</v>
      </c>
      <c r="H1587" s="19">
        <f>Ringkasan!H1586</f>
        <v>6.2</v>
      </c>
      <c r="I1587" s="19">
        <f>Ringkasan!I1586</f>
        <v>0.37</v>
      </c>
      <c r="J1587" s="19">
        <f>Ringkasan!J1586</f>
        <v>5.9</v>
      </c>
      <c r="K1587" s="19">
        <f>Ringkasan!K1586</f>
        <v>3.2</v>
      </c>
      <c r="L1587" s="19">
        <f>Ringkasan!L1586</f>
        <v>0.86</v>
      </c>
      <c r="M1587" s="19">
        <f>Ringkasan!M1586</f>
        <v>25.2</v>
      </c>
      <c r="N1587" s="64" t="str">
        <f>Ringkasan!N1586</f>
        <v/>
      </c>
      <c r="O1587" s="64" t="str">
        <f>Ringkasan!O1586</f>
        <v/>
      </c>
      <c r="P1587" s="64" t="str">
        <f>Ringkasan!P1586</f>
        <v/>
      </c>
      <c r="Q1587" s="64" t="str">
        <f>Ringkasan!Q1586</f>
        <v/>
      </c>
      <c r="R1587" s="64" t="str">
        <f>Ringkasan!R1586</f>
        <v/>
      </c>
      <c r="S1587" s="64" t="str">
        <f>Ringkasan!S1586</f>
        <v/>
      </c>
      <c r="T1587" s="64" t="str">
        <f>Ringkasan!T1586</f>
        <v/>
      </c>
      <c r="U1587" s="64">
        <f>Ringkasan!U1586</f>
        <v>274</v>
      </c>
      <c r="V1587" s="64">
        <f>Ringkasan!V1586</f>
        <v>4.38</v>
      </c>
      <c r="W1587" s="64">
        <f>Ringkasan!W1586</f>
        <v>274</v>
      </c>
      <c r="X1587" s="64">
        <f>Ringkasan!X1586</f>
        <v>290</v>
      </c>
      <c r="Y1587" s="64">
        <f>Ringkasan!Y1586</f>
        <v>274</v>
      </c>
      <c r="Z1587" s="64">
        <f>Ringkasan!Z1586</f>
        <v>10521900</v>
      </c>
      <c r="AA1587" s="64" t="str">
        <f>Ringkasan!AA1586</f>
        <v>Logistics &amp; Deliveries</v>
      </c>
      <c r="AB1587" s="64" t="str">
        <f>Ringkasan!AB1586</f>
        <v>Transportation &amp; Logistic</v>
      </c>
    </row>
    <row r="1588" hidden="1">
      <c r="A1588" s="64" t="str">
        <f>Ringkasan!A1587</f>
        <v>SMGA</v>
      </c>
      <c r="B1588" s="64" t="str">
        <f>Ringkasan!B1587</f>
        <v>Sumber Mineral Global Abadi Tbk.</v>
      </c>
      <c r="C1588" s="65">
        <f>Ringkasan!C1587</f>
        <v>67</v>
      </c>
      <c r="D1588" s="64" t="str">
        <f>Ringkasan!D1587</f>
        <v>#N/A</v>
      </c>
      <c r="E1588" s="64" t="str">
        <f>Ringkasan!E1587</f>
        <v/>
      </c>
      <c r="F1588" s="64" t="str">
        <f>Ringkasan!F1587</f>
        <v/>
      </c>
      <c r="G1588" s="64">
        <f>Ringkasan!G1587</f>
        <v>0</v>
      </c>
      <c r="H1588" s="19">
        <f>Ringkasan!H1587</f>
        <v>11.7</v>
      </c>
      <c r="I1588" s="19">
        <f>Ringkasan!I1587</f>
        <v>1.5</v>
      </c>
      <c r="J1588" s="19">
        <f>Ringkasan!J1587</f>
        <v>13.1</v>
      </c>
      <c r="K1588" s="19">
        <f>Ringkasan!K1587</f>
        <v>4.4</v>
      </c>
      <c r="L1588" s="19">
        <f>Ringkasan!L1587</f>
        <v>2</v>
      </c>
      <c r="M1588" s="19">
        <f>Ringkasan!M1587</f>
        <v>7.6</v>
      </c>
      <c r="N1588" s="64" t="str">
        <f>Ringkasan!N1587</f>
        <v/>
      </c>
      <c r="O1588" s="64" t="str">
        <f>Ringkasan!O1587</f>
        <v/>
      </c>
      <c r="P1588" s="64" t="str">
        <f>Ringkasan!P1587</f>
        <v/>
      </c>
      <c r="Q1588" s="64" t="str">
        <f>Ringkasan!Q1587</f>
        <v/>
      </c>
      <c r="R1588" s="64" t="str">
        <f>Ringkasan!R1587</f>
        <v/>
      </c>
      <c r="S1588" s="64" t="str">
        <f>Ringkasan!S1587</f>
        <v/>
      </c>
      <c r="T1588" s="64" t="str">
        <f>Ringkasan!T1587</f>
        <v/>
      </c>
      <c r="U1588" s="64">
        <f>Ringkasan!U1587</f>
        <v>60</v>
      </c>
      <c r="V1588" s="64">
        <f>Ringkasan!V1587</f>
        <v>11.67</v>
      </c>
      <c r="W1588" s="64">
        <f>Ringkasan!W1587</f>
        <v>61</v>
      </c>
      <c r="X1588" s="64">
        <f>Ringkasan!X1587</f>
        <v>73</v>
      </c>
      <c r="Y1588" s="64">
        <f>Ringkasan!Y1587</f>
        <v>61</v>
      </c>
      <c r="Z1588" s="64">
        <f>Ringkasan!Z1587</f>
        <v>14508400</v>
      </c>
      <c r="AA1588" s="64" t="str">
        <f>Ringkasan!AA1587</f>
        <v>Metals &amp; Minerals</v>
      </c>
      <c r="AB1588" s="64" t="str">
        <f>Ringkasan!AB1587</f>
        <v>Basic Materials</v>
      </c>
    </row>
    <row r="1589" hidden="1">
      <c r="A1589" s="64" t="str">
        <f>Ringkasan!A1588</f>
        <v>SMGR</v>
      </c>
      <c r="B1589" s="64" t="str">
        <f>Ringkasan!B1588</f>
        <v>Semen Indonesia (Persero) Tbk.</v>
      </c>
      <c r="C1589" s="65">
        <f>Ringkasan!C1588</f>
        <v>1530</v>
      </c>
      <c r="D1589" s="64" t="str">
        <f>Ringkasan!D1588</f>
        <v>#N/A</v>
      </c>
      <c r="E1589" s="64" t="str">
        <f>Ringkasan!E1588</f>
        <v>ESGQKEHATI</v>
      </c>
      <c r="F1589" s="66">
        <f>Ringkasan!F1588</f>
        <v>46356</v>
      </c>
      <c r="G1589" s="64">
        <f>Ringkasan!G1588</f>
        <v>17</v>
      </c>
      <c r="H1589" s="19">
        <f>Ringkasan!H1588</f>
        <v>49.9</v>
      </c>
      <c r="I1589" s="19">
        <f>Ringkasan!I1588</f>
        <v>0.24</v>
      </c>
      <c r="J1589" s="19">
        <f>Ringkasan!J1588</f>
        <v>0.48</v>
      </c>
      <c r="K1589" s="19">
        <f>Ringkasan!K1588</f>
        <v>0.3</v>
      </c>
      <c r="L1589" s="19">
        <f>Ringkasan!L1588</f>
        <v>0.58</v>
      </c>
      <c r="M1589" s="19">
        <f>Ringkasan!M1588</f>
        <v>2.8</v>
      </c>
      <c r="N1589" s="64" t="str">
        <f>Ringkasan!N1588</f>
        <v/>
      </c>
      <c r="O1589" s="64" t="str">
        <f>Ringkasan!O1588</f>
        <v/>
      </c>
      <c r="P1589" s="64" t="str">
        <f>Ringkasan!P1588</f>
        <v/>
      </c>
      <c r="Q1589" s="64" t="str">
        <f>Ringkasan!Q1588</f>
        <v/>
      </c>
      <c r="R1589" s="64" t="str">
        <f>Ringkasan!R1588</f>
        <v/>
      </c>
      <c r="S1589" s="64" t="str">
        <f>Ringkasan!S1588</f>
        <v/>
      </c>
      <c r="T1589" s="64" t="str">
        <f>Ringkasan!T1588</f>
        <v/>
      </c>
      <c r="U1589" s="64">
        <f>Ringkasan!U1588</f>
        <v>1550</v>
      </c>
      <c r="V1589" s="64">
        <f>Ringkasan!V1588</f>
        <v>-1.29</v>
      </c>
      <c r="W1589" s="64">
        <f>Ringkasan!W1588</f>
        <v>1550</v>
      </c>
      <c r="X1589" s="64">
        <f>Ringkasan!X1588</f>
        <v>1585</v>
      </c>
      <c r="Y1589" s="64">
        <f>Ringkasan!Y1588</f>
        <v>1525</v>
      </c>
      <c r="Z1589" s="64">
        <f>Ringkasan!Z1588</f>
        <v>15467300</v>
      </c>
      <c r="AA1589" s="64" t="str">
        <f>Ringkasan!AA1588</f>
        <v>Construction Materials</v>
      </c>
      <c r="AB1589" s="64" t="str">
        <f>Ringkasan!AB1588</f>
        <v>Basic Materials</v>
      </c>
    </row>
    <row r="1590" hidden="1">
      <c r="A1590" s="64" t="str">
        <f>Ringkasan!A1589</f>
        <v>SMGR</v>
      </c>
      <c r="B1590" s="64" t="str">
        <f>Ringkasan!B1589</f>
        <v>Semen Indonesia (Persero) Tbk.</v>
      </c>
      <c r="C1590" s="65">
        <f>Ringkasan!C1589</f>
        <v>1530</v>
      </c>
      <c r="D1590" s="64" t="str">
        <f>Ringkasan!D1589</f>
        <v>#N/A</v>
      </c>
      <c r="E1590" s="64" t="str">
        <f>Ringkasan!E1589</f>
        <v>IDXMESBUMN</v>
      </c>
      <c r="F1590" s="66">
        <f>Ringkasan!F1589</f>
        <v>46356</v>
      </c>
      <c r="G1590" s="64">
        <f>Ringkasan!G1589</f>
        <v>17</v>
      </c>
      <c r="H1590" s="19">
        <f>Ringkasan!H1589</f>
        <v>49.9</v>
      </c>
      <c r="I1590" s="19">
        <f>Ringkasan!I1589</f>
        <v>0.24</v>
      </c>
      <c r="J1590" s="19">
        <f>Ringkasan!J1589</f>
        <v>0.48</v>
      </c>
      <c r="K1590" s="19">
        <f>Ringkasan!K1589</f>
        <v>0.3</v>
      </c>
      <c r="L1590" s="19">
        <f>Ringkasan!L1589</f>
        <v>0.58</v>
      </c>
      <c r="M1590" s="19">
        <f>Ringkasan!M1589</f>
        <v>2.8</v>
      </c>
      <c r="N1590" s="64" t="str">
        <f>Ringkasan!N1589</f>
        <v/>
      </c>
      <c r="O1590" s="64" t="str">
        <f>Ringkasan!O1589</f>
        <v/>
      </c>
      <c r="P1590" s="64" t="str">
        <f>Ringkasan!P1589</f>
        <v/>
      </c>
      <c r="Q1590" s="64" t="str">
        <f>Ringkasan!Q1589</f>
        <v/>
      </c>
      <c r="R1590" s="64" t="str">
        <f>Ringkasan!R1589</f>
        <v/>
      </c>
      <c r="S1590" s="64" t="str">
        <f>Ringkasan!S1589</f>
        <v/>
      </c>
      <c r="T1590" s="64" t="str">
        <f>Ringkasan!T1589</f>
        <v/>
      </c>
      <c r="U1590" s="64">
        <f>Ringkasan!U1589</f>
        <v>1550</v>
      </c>
      <c r="V1590" s="64">
        <f>Ringkasan!V1589</f>
        <v>-1.29</v>
      </c>
      <c r="W1590" s="64">
        <f>Ringkasan!W1589</f>
        <v>1550</v>
      </c>
      <c r="X1590" s="64">
        <f>Ringkasan!X1589</f>
        <v>1585</v>
      </c>
      <c r="Y1590" s="64">
        <f>Ringkasan!Y1589</f>
        <v>1525</v>
      </c>
      <c r="Z1590" s="64">
        <f>Ringkasan!Z1589</f>
        <v>15467300</v>
      </c>
      <c r="AA1590" s="64" t="str">
        <f>Ringkasan!AA1589</f>
        <v>Construction Materials</v>
      </c>
      <c r="AB1590" s="64" t="str">
        <f>Ringkasan!AB1589</f>
        <v>Basic Materials</v>
      </c>
    </row>
    <row r="1591" hidden="1">
      <c r="A1591" s="64" t="str">
        <f>Ringkasan!A1590</f>
        <v>SMGR</v>
      </c>
      <c r="B1591" s="64" t="str">
        <f>Ringkasan!B1590</f>
        <v>Semen Indonesia (Persero) Tbk.</v>
      </c>
      <c r="C1591" s="65">
        <f>Ringkasan!C1590</f>
        <v>1530</v>
      </c>
      <c r="D1591" s="64" t="str">
        <f>Ringkasan!D1590</f>
        <v>#N/A</v>
      </c>
      <c r="E1591" s="64" t="str">
        <f>Ringkasan!E1590</f>
        <v>Investor33</v>
      </c>
      <c r="F1591" s="66">
        <f>Ringkasan!F1590</f>
        <v>46356</v>
      </c>
      <c r="G1591" s="64">
        <f>Ringkasan!G1590</f>
        <v>17</v>
      </c>
      <c r="H1591" s="19">
        <f>Ringkasan!H1590</f>
        <v>49.9</v>
      </c>
      <c r="I1591" s="19">
        <f>Ringkasan!I1590</f>
        <v>0.24</v>
      </c>
      <c r="J1591" s="19">
        <f>Ringkasan!J1590</f>
        <v>0.48</v>
      </c>
      <c r="K1591" s="19">
        <f>Ringkasan!K1590</f>
        <v>0.3</v>
      </c>
      <c r="L1591" s="19">
        <f>Ringkasan!L1590</f>
        <v>0.58</v>
      </c>
      <c r="M1591" s="19">
        <f>Ringkasan!M1590</f>
        <v>2.8</v>
      </c>
      <c r="N1591" s="64" t="str">
        <f>Ringkasan!N1590</f>
        <v/>
      </c>
      <c r="O1591" s="64" t="str">
        <f>Ringkasan!O1590</f>
        <v/>
      </c>
      <c r="P1591" s="64" t="str">
        <f>Ringkasan!P1590</f>
        <v/>
      </c>
      <c r="Q1591" s="64" t="str">
        <f>Ringkasan!Q1590</f>
        <v/>
      </c>
      <c r="R1591" s="64" t="str">
        <f>Ringkasan!R1590</f>
        <v/>
      </c>
      <c r="S1591" s="64" t="str">
        <f>Ringkasan!S1590</f>
        <v/>
      </c>
      <c r="T1591" s="64" t="str">
        <f>Ringkasan!T1590</f>
        <v/>
      </c>
      <c r="U1591" s="64">
        <f>Ringkasan!U1590</f>
        <v>1550</v>
      </c>
      <c r="V1591" s="64">
        <f>Ringkasan!V1590</f>
        <v>-1.29</v>
      </c>
      <c r="W1591" s="64">
        <f>Ringkasan!W1590</f>
        <v>1550</v>
      </c>
      <c r="X1591" s="64">
        <f>Ringkasan!X1590</f>
        <v>1585</v>
      </c>
      <c r="Y1591" s="64">
        <f>Ringkasan!Y1590</f>
        <v>1525</v>
      </c>
      <c r="Z1591" s="64">
        <f>Ringkasan!Z1590</f>
        <v>15467300</v>
      </c>
      <c r="AA1591" s="64" t="str">
        <f>Ringkasan!AA1590</f>
        <v>Construction Materials</v>
      </c>
      <c r="AB1591" s="64" t="str">
        <f>Ringkasan!AB1590</f>
        <v>Basic Materials</v>
      </c>
    </row>
    <row r="1592" hidden="1">
      <c r="A1592" s="64" t="str">
        <f>Ringkasan!A1591</f>
        <v>SMGR</v>
      </c>
      <c r="B1592" s="64" t="str">
        <f>Ringkasan!B1591</f>
        <v>Semen Indonesia (Persero) Tbk.</v>
      </c>
      <c r="C1592" s="65">
        <f>Ringkasan!C1591</f>
        <v>1530</v>
      </c>
      <c r="D1592" s="64" t="str">
        <f>Ringkasan!D1591</f>
        <v>#N/A</v>
      </c>
      <c r="E1592" s="64" t="str">
        <f>Ringkasan!E1591</f>
        <v>ESGSKEHATI</v>
      </c>
      <c r="F1592" s="66">
        <f>Ringkasan!F1591</f>
        <v>46356</v>
      </c>
      <c r="G1592" s="64">
        <f>Ringkasan!G1591</f>
        <v>17</v>
      </c>
      <c r="H1592" s="19">
        <f>Ringkasan!H1591</f>
        <v>49.9</v>
      </c>
      <c r="I1592" s="19">
        <f>Ringkasan!I1591</f>
        <v>0.24</v>
      </c>
      <c r="J1592" s="19">
        <f>Ringkasan!J1591</f>
        <v>0.48</v>
      </c>
      <c r="K1592" s="19">
        <f>Ringkasan!K1591</f>
        <v>0.3</v>
      </c>
      <c r="L1592" s="19">
        <f>Ringkasan!L1591</f>
        <v>0.58</v>
      </c>
      <c r="M1592" s="19">
        <f>Ringkasan!M1591</f>
        <v>2.8</v>
      </c>
      <c r="N1592" s="64" t="str">
        <f>Ringkasan!N1591</f>
        <v/>
      </c>
      <c r="O1592" s="64" t="str">
        <f>Ringkasan!O1591</f>
        <v/>
      </c>
      <c r="P1592" s="64" t="str">
        <f>Ringkasan!P1591</f>
        <v/>
      </c>
      <c r="Q1592" s="64" t="str">
        <f>Ringkasan!Q1591</f>
        <v/>
      </c>
      <c r="R1592" s="64" t="str">
        <f>Ringkasan!R1591</f>
        <v/>
      </c>
      <c r="S1592" s="64" t="str">
        <f>Ringkasan!S1591</f>
        <v/>
      </c>
      <c r="T1592" s="64" t="str">
        <f>Ringkasan!T1591</f>
        <v/>
      </c>
      <c r="U1592" s="64">
        <f>Ringkasan!U1591</f>
        <v>1550</v>
      </c>
      <c r="V1592" s="64">
        <f>Ringkasan!V1591</f>
        <v>-1.29</v>
      </c>
      <c r="W1592" s="64">
        <f>Ringkasan!W1591</f>
        <v>1550</v>
      </c>
      <c r="X1592" s="64">
        <f>Ringkasan!X1591</f>
        <v>1585</v>
      </c>
      <c r="Y1592" s="64">
        <f>Ringkasan!Y1591</f>
        <v>1525</v>
      </c>
      <c r="Z1592" s="64">
        <f>Ringkasan!Z1591</f>
        <v>15467300</v>
      </c>
      <c r="AA1592" s="64" t="str">
        <f>Ringkasan!AA1591</f>
        <v>Construction Materials</v>
      </c>
      <c r="AB1592" s="64" t="str">
        <f>Ringkasan!AB1591</f>
        <v>Basic Materials</v>
      </c>
    </row>
    <row r="1593" hidden="1">
      <c r="A1593" s="64" t="str">
        <f>Ringkasan!A1592</f>
        <v>SMGR</v>
      </c>
      <c r="B1593" s="64" t="str">
        <f>Ringkasan!B1592</f>
        <v>Semen Indonesia (Persero) Tbk.</v>
      </c>
      <c r="C1593" s="65">
        <f>Ringkasan!C1592</f>
        <v>1530</v>
      </c>
      <c r="D1593" s="64" t="str">
        <f>Ringkasan!D1592</f>
        <v>#N/A</v>
      </c>
      <c r="E1593" s="64" t="str">
        <f>Ringkasan!E1592</f>
        <v>Pefindo - iGrade</v>
      </c>
      <c r="F1593" s="64" t="str">
        <f>Ringkasan!F1592</f>
        <v>30 Juni 2026</v>
      </c>
      <c r="G1593" s="64">
        <f>Ringkasan!G1592</f>
        <v>17</v>
      </c>
      <c r="H1593" s="19">
        <f>Ringkasan!H1592</f>
        <v>49.9</v>
      </c>
      <c r="I1593" s="19">
        <f>Ringkasan!I1592</f>
        <v>0.24</v>
      </c>
      <c r="J1593" s="19">
        <f>Ringkasan!J1592</f>
        <v>0.48</v>
      </c>
      <c r="K1593" s="19">
        <f>Ringkasan!K1592</f>
        <v>0.3</v>
      </c>
      <c r="L1593" s="19">
        <f>Ringkasan!L1592</f>
        <v>0.58</v>
      </c>
      <c r="M1593" s="19">
        <f>Ringkasan!M1592</f>
        <v>2.8</v>
      </c>
      <c r="N1593" s="64" t="str">
        <f>Ringkasan!N1592</f>
        <v/>
      </c>
      <c r="O1593" s="64" t="str">
        <f>Ringkasan!O1592</f>
        <v/>
      </c>
      <c r="P1593" s="64" t="str">
        <f>Ringkasan!P1592</f>
        <v/>
      </c>
      <c r="Q1593" s="64" t="str">
        <f>Ringkasan!Q1592</f>
        <v/>
      </c>
      <c r="R1593" s="64" t="str">
        <f>Ringkasan!R1592</f>
        <v/>
      </c>
      <c r="S1593" s="64" t="str">
        <f>Ringkasan!S1592</f>
        <v/>
      </c>
      <c r="T1593" s="64" t="str">
        <f>Ringkasan!T1592</f>
        <v/>
      </c>
      <c r="U1593" s="64">
        <f>Ringkasan!U1592</f>
        <v>1550</v>
      </c>
      <c r="V1593" s="64">
        <f>Ringkasan!V1592</f>
        <v>-1.29</v>
      </c>
      <c r="W1593" s="64">
        <f>Ringkasan!W1592</f>
        <v>1550</v>
      </c>
      <c r="X1593" s="64">
        <f>Ringkasan!X1592</f>
        <v>1585</v>
      </c>
      <c r="Y1593" s="64">
        <f>Ringkasan!Y1592</f>
        <v>1525</v>
      </c>
      <c r="Z1593" s="64">
        <f>Ringkasan!Z1592</f>
        <v>15467300</v>
      </c>
      <c r="AA1593" s="64" t="str">
        <f>Ringkasan!AA1592</f>
        <v>Construction Materials</v>
      </c>
      <c r="AB1593" s="64" t="str">
        <f>Ringkasan!AB1592</f>
        <v>Basic Materials</v>
      </c>
    </row>
    <row r="1594" hidden="1">
      <c r="A1594" s="64" t="str">
        <f>Ringkasan!A1593</f>
        <v>SMGR</v>
      </c>
      <c r="B1594" s="64" t="str">
        <f>Ringkasan!B1593</f>
        <v>Semen Indonesia (Persero) Tbk.</v>
      </c>
      <c r="C1594" s="65">
        <f>Ringkasan!C1593</f>
        <v>1530</v>
      </c>
      <c r="D1594" s="64" t="str">
        <f>Ringkasan!D1593</f>
        <v>#N/A</v>
      </c>
      <c r="E1594" s="64" t="str">
        <f>Ringkasan!E1593</f>
        <v>Kompas100</v>
      </c>
      <c r="F1594" s="64" t="str">
        <f>Ringkasan!F1593</f>
        <v>31 Juli 2026</v>
      </c>
      <c r="G1594" s="64">
        <f>Ringkasan!G1593</f>
        <v>17</v>
      </c>
      <c r="H1594" s="19">
        <f>Ringkasan!H1593</f>
        <v>49.9</v>
      </c>
      <c r="I1594" s="19">
        <f>Ringkasan!I1593</f>
        <v>0.24</v>
      </c>
      <c r="J1594" s="19">
        <f>Ringkasan!J1593</f>
        <v>0.48</v>
      </c>
      <c r="K1594" s="19">
        <f>Ringkasan!K1593</f>
        <v>0.3</v>
      </c>
      <c r="L1594" s="19">
        <f>Ringkasan!L1593</f>
        <v>0.58</v>
      </c>
      <c r="M1594" s="19">
        <f>Ringkasan!M1593</f>
        <v>2.8</v>
      </c>
      <c r="N1594" s="64" t="str">
        <f>Ringkasan!N1593</f>
        <v/>
      </c>
      <c r="O1594" s="64" t="str">
        <f>Ringkasan!O1593</f>
        <v/>
      </c>
      <c r="P1594" s="64" t="str">
        <f>Ringkasan!P1593</f>
        <v/>
      </c>
      <c r="Q1594" s="64" t="str">
        <f>Ringkasan!Q1593</f>
        <v/>
      </c>
      <c r="R1594" s="64" t="str">
        <f>Ringkasan!R1593</f>
        <v/>
      </c>
      <c r="S1594" s="64" t="str">
        <f>Ringkasan!S1593</f>
        <v/>
      </c>
      <c r="T1594" s="64" t="str">
        <f>Ringkasan!T1593</f>
        <v/>
      </c>
      <c r="U1594" s="64">
        <f>Ringkasan!U1593</f>
        <v>1550</v>
      </c>
      <c r="V1594" s="64">
        <f>Ringkasan!V1593</f>
        <v>-1.29</v>
      </c>
      <c r="W1594" s="64">
        <f>Ringkasan!W1593</f>
        <v>1550</v>
      </c>
      <c r="X1594" s="64">
        <f>Ringkasan!X1593</f>
        <v>1585</v>
      </c>
      <c r="Y1594" s="64">
        <f>Ringkasan!Y1593</f>
        <v>1525</v>
      </c>
      <c r="Z1594" s="64">
        <f>Ringkasan!Z1593</f>
        <v>15467300</v>
      </c>
      <c r="AA1594" s="64" t="str">
        <f>Ringkasan!AA1593</f>
        <v>Construction Materials</v>
      </c>
      <c r="AB1594" s="64" t="str">
        <f>Ringkasan!AB1593</f>
        <v>Basic Materials</v>
      </c>
    </row>
    <row r="1595" hidden="1">
      <c r="A1595" s="64" t="str">
        <f>Ringkasan!A1594</f>
        <v>SMGR</v>
      </c>
      <c r="B1595" s="64" t="str">
        <f>Ringkasan!B1594</f>
        <v>Semen Indonesia (Persero) Tbk.</v>
      </c>
      <c r="C1595" s="65">
        <f>Ringkasan!C1594</f>
        <v>1530</v>
      </c>
      <c r="D1595" s="64" t="str">
        <f>Ringkasan!D1594</f>
        <v>#N/A</v>
      </c>
      <c r="E1595" s="64" t="str">
        <f>Ringkasan!E1594</f>
        <v>ECONOMIC30</v>
      </c>
      <c r="F1595" s="64" t="str">
        <f>Ringkasan!F1594</f>
        <v>31 Agustus 2026</v>
      </c>
      <c r="G1595" s="64">
        <f>Ringkasan!G1594</f>
        <v>17</v>
      </c>
      <c r="H1595" s="19">
        <f>Ringkasan!H1594</f>
        <v>49.9</v>
      </c>
      <c r="I1595" s="19">
        <f>Ringkasan!I1594</f>
        <v>0.24</v>
      </c>
      <c r="J1595" s="19">
        <f>Ringkasan!J1594</f>
        <v>0.48</v>
      </c>
      <c r="K1595" s="19">
        <f>Ringkasan!K1594</f>
        <v>0.3</v>
      </c>
      <c r="L1595" s="19">
        <f>Ringkasan!L1594</f>
        <v>0.58</v>
      </c>
      <c r="M1595" s="19">
        <f>Ringkasan!M1594</f>
        <v>2.8</v>
      </c>
      <c r="N1595" s="64" t="str">
        <f>Ringkasan!N1594</f>
        <v/>
      </c>
      <c r="O1595" s="64" t="str">
        <f>Ringkasan!O1594</f>
        <v/>
      </c>
      <c r="P1595" s="64" t="str">
        <f>Ringkasan!P1594</f>
        <v/>
      </c>
      <c r="Q1595" s="64" t="str">
        <f>Ringkasan!Q1594</f>
        <v/>
      </c>
      <c r="R1595" s="64" t="str">
        <f>Ringkasan!R1594</f>
        <v/>
      </c>
      <c r="S1595" s="64" t="str">
        <f>Ringkasan!S1594</f>
        <v/>
      </c>
      <c r="T1595" s="64" t="str">
        <f>Ringkasan!T1594</f>
        <v/>
      </c>
      <c r="U1595" s="64">
        <f>Ringkasan!U1594</f>
        <v>1550</v>
      </c>
      <c r="V1595" s="64">
        <f>Ringkasan!V1594</f>
        <v>-1.29</v>
      </c>
      <c r="W1595" s="64">
        <f>Ringkasan!W1594</f>
        <v>1550</v>
      </c>
      <c r="X1595" s="64">
        <f>Ringkasan!X1594</f>
        <v>1585</v>
      </c>
      <c r="Y1595" s="64">
        <f>Ringkasan!Y1594</f>
        <v>1525</v>
      </c>
      <c r="Z1595" s="64">
        <f>Ringkasan!Z1594</f>
        <v>15467300</v>
      </c>
      <c r="AA1595" s="64" t="str">
        <f>Ringkasan!AA1594</f>
        <v>Construction Materials</v>
      </c>
      <c r="AB1595" s="64" t="str">
        <f>Ringkasan!AB1594</f>
        <v>Basic Materials</v>
      </c>
    </row>
    <row r="1596" hidden="1">
      <c r="A1596" s="64" t="str">
        <f>Ringkasan!A1595</f>
        <v>SMGR</v>
      </c>
      <c r="B1596" s="64" t="str">
        <f>Ringkasan!B1595</f>
        <v>Semen Indonesia (Persero) Tbk.</v>
      </c>
      <c r="C1596" s="65">
        <f>Ringkasan!C1595</f>
        <v>1530</v>
      </c>
      <c r="D1596" s="64" t="str">
        <f>Ringkasan!D1595</f>
        <v>#N/A</v>
      </c>
      <c r="E1596" s="64" t="str">
        <f>Ringkasan!E1595</f>
        <v>IDX80</v>
      </c>
      <c r="F1596" s="64" t="str">
        <f>Ringkasan!F1595</f>
        <v>31 Juli 2026</v>
      </c>
      <c r="G1596" s="64">
        <f>Ringkasan!G1595</f>
        <v>17</v>
      </c>
      <c r="H1596" s="19">
        <f>Ringkasan!H1595</f>
        <v>49.9</v>
      </c>
      <c r="I1596" s="19">
        <f>Ringkasan!I1595</f>
        <v>0.24</v>
      </c>
      <c r="J1596" s="19">
        <f>Ringkasan!J1595</f>
        <v>0.48</v>
      </c>
      <c r="K1596" s="19">
        <f>Ringkasan!K1595</f>
        <v>0.3</v>
      </c>
      <c r="L1596" s="19">
        <f>Ringkasan!L1595</f>
        <v>0.58</v>
      </c>
      <c r="M1596" s="19">
        <f>Ringkasan!M1595</f>
        <v>2.8</v>
      </c>
      <c r="N1596" s="64" t="str">
        <f>Ringkasan!N1595</f>
        <v/>
      </c>
      <c r="O1596" s="64" t="str">
        <f>Ringkasan!O1595</f>
        <v/>
      </c>
      <c r="P1596" s="64" t="str">
        <f>Ringkasan!P1595</f>
        <v/>
      </c>
      <c r="Q1596" s="64" t="str">
        <f>Ringkasan!Q1595</f>
        <v/>
      </c>
      <c r="R1596" s="64" t="str">
        <f>Ringkasan!R1595</f>
        <v/>
      </c>
      <c r="S1596" s="64" t="str">
        <f>Ringkasan!S1595</f>
        <v/>
      </c>
      <c r="T1596" s="64" t="str">
        <f>Ringkasan!T1595</f>
        <v/>
      </c>
      <c r="U1596" s="64">
        <f>Ringkasan!U1595</f>
        <v>1550</v>
      </c>
      <c r="V1596" s="64">
        <f>Ringkasan!V1595</f>
        <v>-1.29</v>
      </c>
      <c r="W1596" s="64">
        <f>Ringkasan!W1595</f>
        <v>1550</v>
      </c>
      <c r="X1596" s="64">
        <f>Ringkasan!X1595</f>
        <v>1585</v>
      </c>
      <c r="Y1596" s="64">
        <f>Ringkasan!Y1595</f>
        <v>1525</v>
      </c>
      <c r="Z1596" s="64">
        <f>Ringkasan!Z1595</f>
        <v>15467300</v>
      </c>
      <c r="AA1596" s="64" t="str">
        <f>Ringkasan!AA1595</f>
        <v>Construction Materials</v>
      </c>
      <c r="AB1596" s="64" t="str">
        <f>Ringkasan!AB1595</f>
        <v>Basic Materials</v>
      </c>
    </row>
    <row r="1597" hidden="1">
      <c r="A1597" s="64" t="str">
        <f>Ringkasan!A1596</f>
        <v>SMGR</v>
      </c>
      <c r="B1597" s="64" t="str">
        <f>Ringkasan!B1596</f>
        <v>Semen Indonesia (Persero) Tbk.</v>
      </c>
      <c r="C1597" s="65">
        <f>Ringkasan!C1596</f>
        <v>1530</v>
      </c>
      <c r="D1597" s="64" t="str">
        <f>Ringkasan!D1596</f>
        <v>#N/A</v>
      </c>
      <c r="E1597" s="64" t="str">
        <f>Ringkasan!E1596</f>
        <v>SMINFRA18</v>
      </c>
      <c r="F1597" s="64" t="str">
        <f>Ringkasan!F1596</f>
        <v>30 Oktober 2026</v>
      </c>
      <c r="G1597" s="64">
        <f>Ringkasan!G1596</f>
        <v>17</v>
      </c>
      <c r="H1597" s="19">
        <f>Ringkasan!H1596</f>
        <v>49.9</v>
      </c>
      <c r="I1597" s="19">
        <f>Ringkasan!I1596</f>
        <v>0.24</v>
      </c>
      <c r="J1597" s="19">
        <f>Ringkasan!J1596</f>
        <v>0.48</v>
      </c>
      <c r="K1597" s="19">
        <f>Ringkasan!K1596</f>
        <v>0.3</v>
      </c>
      <c r="L1597" s="19">
        <f>Ringkasan!L1596</f>
        <v>0.58</v>
      </c>
      <c r="M1597" s="19">
        <f>Ringkasan!M1596</f>
        <v>2.8</v>
      </c>
      <c r="N1597" s="64" t="str">
        <f>Ringkasan!N1596</f>
        <v/>
      </c>
      <c r="O1597" s="64" t="str">
        <f>Ringkasan!O1596</f>
        <v/>
      </c>
      <c r="P1597" s="64" t="str">
        <f>Ringkasan!P1596</f>
        <v/>
      </c>
      <c r="Q1597" s="64" t="str">
        <f>Ringkasan!Q1596</f>
        <v/>
      </c>
      <c r="R1597" s="64" t="str">
        <f>Ringkasan!R1596</f>
        <v/>
      </c>
      <c r="S1597" s="64" t="str">
        <f>Ringkasan!S1596</f>
        <v/>
      </c>
      <c r="T1597" s="64" t="str">
        <f>Ringkasan!T1596</f>
        <v/>
      </c>
      <c r="U1597" s="64">
        <f>Ringkasan!U1596</f>
        <v>1550</v>
      </c>
      <c r="V1597" s="64">
        <f>Ringkasan!V1596</f>
        <v>-1.29</v>
      </c>
      <c r="W1597" s="64">
        <f>Ringkasan!W1596</f>
        <v>1550</v>
      </c>
      <c r="X1597" s="64">
        <f>Ringkasan!X1596</f>
        <v>1585</v>
      </c>
      <c r="Y1597" s="64">
        <f>Ringkasan!Y1596</f>
        <v>1525</v>
      </c>
      <c r="Z1597" s="64">
        <f>Ringkasan!Z1596</f>
        <v>15467300</v>
      </c>
      <c r="AA1597" s="64" t="str">
        <f>Ringkasan!AA1596</f>
        <v>Construction Materials</v>
      </c>
      <c r="AB1597" s="64" t="str">
        <f>Ringkasan!AB1596</f>
        <v>Basic Materials</v>
      </c>
    </row>
    <row r="1598" hidden="1">
      <c r="A1598" s="64" t="str">
        <f>Ringkasan!A1597</f>
        <v>SMGR</v>
      </c>
      <c r="B1598" s="64" t="str">
        <f>Ringkasan!B1597</f>
        <v>Semen Indonesia (Persero) Tbk.</v>
      </c>
      <c r="C1598" s="65">
        <f>Ringkasan!C1597</f>
        <v>1530</v>
      </c>
      <c r="D1598" s="64" t="str">
        <f>Ringkasan!D1597</f>
        <v>#N/A</v>
      </c>
      <c r="E1598" s="64" t="str">
        <f>Ringkasan!E1597</f>
        <v>LQ45</v>
      </c>
      <c r="F1598" s="64" t="str">
        <f>Ringkasan!F1597</f>
        <v>31 Juli 2026</v>
      </c>
      <c r="G1598" s="64">
        <f>Ringkasan!G1597</f>
        <v>17</v>
      </c>
      <c r="H1598" s="19">
        <f>Ringkasan!H1597</f>
        <v>49.9</v>
      </c>
      <c r="I1598" s="19">
        <f>Ringkasan!I1597</f>
        <v>0.24</v>
      </c>
      <c r="J1598" s="19">
        <f>Ringkasan!J1597</f>
        <v>0.48</v>
      </c>
      <c r="K1598" s="19">
        <f>Ringkasan!K1597</f>
        <v>0.3</v>
      </c>
      <c r="L1598" s="19">
        <f>Ringkasan!L1597</f>
        <v>0.58</v>
      </c>
      <c r="M1598" s="19">
        <f>Ringkasan!M1597</f>
        <v>2.8</v>
      </c>
      <c r="N1598" s="64" t="str">
        <f>Ringkasan!N1597</f>
        <v/>
      </c>
      <c r="O1598" s="64" t="str">
        <f>Ringkasan!O1597</f>
        <v/>
      </c>
      <c r="P1598" s="64" t="str">
        <f>Ringkasan!P1597</f>
        <v/>
      </c>
      <c r="Q1598" s="64" t="str">
        <f>Ringkasan!Q1597</f>
        <v/>
      </c>
      <c r="R1598" s="64" t="str">
        <f>Ringkasan!R1597</f>
        <v/>
      </c>
      <c r="S1598" s="64" t="str">
        <f>Ringkasan!S1597</f>
        <v/>
      </c>
      <c r="T1598" s="64" t="str">
        <f>Ringkasan!T1597</f>
        <v/>
      </c>
      <c r="U1598" s="64">
        <f>Ringkasan!U1597</f>
        <v>1550</v>
      </c>
      <c r="V1598" s="64">
        <f>Ringkasan!V1597</f>
        <v>-1.29</v>
      </c>
      <c r="W1598" s="64">
        <f>Ringkasan!W1597</f>
        <v>1550</v>
      </c>
      <c r="X1598" s="64">
        <f>Ringkasan!X1597</f>
        <v>1585</v>
      </c>
      <c r="Y1598" s="64">
        <f>Ringkasan!Y1597</f>
        <v>1525</v>
      </c>
      <c r="Z1598" s="64">
        <f>Ringkasan!Z1597</f>
        <v>15467300</v>
      </c>
      <c r="AA1598" s="64" t="str">
        <f>Ringkasan!AA1597</f>
        <v>Construction Materials</v>
      </c>
      <c r="AB1598" s="64" t="str">
        <f>Ringkasan!AB1597</f>
        <v>Basic Materials</v>
      </c>
    </row>
    <row r="1599" hidden="1">
      <c r="A1599" s="64" t="str">
        <f>Ringkasan!A1598</f>
        <v>SMGR</v>
      </c>
      <c r="B1599" s="64" t="str">
        <f>Ringkasan!B1598</f>
        <v>Semen Indonesia (Persero) Tbk.</v>
      </c>
      <c r="C1599" s="65">
        <f>Ringkasan!C1598</f>
        <v>1530</v>
      </c>
      <c r="D1599" s="64" t="str">
        <f>Ringkasan!D1598</f>
        <v>#N/A</v>
      </c>
      <c r="E1599" s="64" t="str">
        <f>Ringkasan!E1598</f>
        <v>IDXESGL</v>
      </c>
      <c r="F1599" s="64" t="str">
        <f>Ringkasan!F1598</f>
        <v>30 Oktober 2026</v>
      </c>
      <c r="G1599" s="64">
        <f>Ringkasan!G1598</f>
        <v>17</v>
      </c>
      <c r="H1599" s="19">
        <f>Ringkasan!H1598</f>
        <v>49.9</v>
      </c>
      <c r="I1599" s="19">
        <f>Ringkasan!I1598</f>
        <v>0.24</v>
      </c>
      <c r="J1599" s="19">
        <f>Ringkasan!J1598</f>
        <v>0.48</v>
      </c>
      <c r="K1599" s="19">
        <f>Ringkasan!K1598</f>
        <v>0.3</v>
      </c>
      <c r="L1599" s="19">
        <f>Ringkasan!L1598</f>
        <v>0.58</v>
      </c>
      <c r="M1599" s="19">
        <f>Ringkasan!M1598</f>
        <v>2.8</v>
      </c>
      <c r="N1599" s="64" t="str">
        <f>Ringkasan!N1598</f>
        <v/>
      </c>
      <c r="O1599" s="64" t="str">
        <f>Ringkasan!O1598</f>
        <v/>
      </c>
      <c r="P1599" s="64" t="str">
        <f>Ringkasan!P1598</f>
        <v/>
      </c>
      <c r="Q1599" s="64" t="str">
        <f>Ringkasan!Q1598</f>
        <v/>
      </c>
      <c r="R1599" s="64" t="str">
        <f>Ringkasan!R1598</f>
        <v/>
      </c>
      <c r="S1599" s="64" t="str">
        <f>Ringkasan!S1598</f>
        <v/>
      </c>
      <c r="T1599" s="64" t="str">
        <f>Ringkasan!T1598</f>
        <v/>
      </c>
      <c r="U1599" s="64">
        <f>Ringkasan!U1598</f>
        <v>1550</v>
      </c>
      <c r="V1599" s="64">
        <f>Ringkasan!V1598</f>
        <v>-1.29</v>
      </c>
      <c r="W1599" s="64">
        <f>Ringkasan!W1598</f>
        <v>1550</v>
      </c>
      <c r="X1599" s="64">
        <f>Ringkasan!X1598</f>
        <v>1585</v>
      </c>
      <c r="Y1599" s="64">
        <f>Ringkasan!Y1598</f>
        <v>1525</v>
      </c>
      <c r="Z1599" s="64">
        <f>Ringkasan!Z1598</f>
        <v>15467300</v>
      </c>
      <c r="AA1599" s="64" t="str">
        <f>Ringkasan!AA1598</f>
        <v>Construction Materials</v>
      </c>
      <c r="AB1599" s="64" t="str">
        <f>Ringkasan!AB1598</f>
        <v>Basic Materials</v>
      </c>
    </row>
    <row r="1600" hidden="1">
      <c r="A1600" s="64" t="str">
        <f>Ringkasan!A1599</f>
        <v>SMGR</v>
      </c>
      <c r="B1600" s="64" t="str">
        <f>Ringkasan!B1599</f>
        <v>Semen Indonesia (Persero) Tbk.</v>
      </c>
      <c r="C1600" s="65">
        <f>Ringkasan!C1599</f>
        <v>1530</v>
      </c>
      <c r="D1600" s="64" t="str">
        <f>Ringkasan!D1599</f>
        <v>#N/A</v>
      </c>
      <c r="E1600" s="64" t="str">
        <f>Ringkasan!E1599</f>
        <v>IDXSMC-LIQ</v>
      </c>
      <c r="F1600" s="64" t="str">
        <f>Ringkasan!F1599</f>
        <v>4 Agustus 2026</v>
      </c>
      <c r="G1600" s="64">
        <f>Ringkasan!G1599</f>
        <v>17</v>
      </c>
      <c r="H1600" s="19">
        <f>Ringkasan!H1599</f>
        <v>49.9</v>
      </c>
      <c r="I1600" s="19">
        <f>Ringkasan!I1599</f>
        <v>0.24</v>
      </c>
      <c r="J1600" s="19">
        <f>Ringkasan!J1599</f>
        <v>0.48</v>
      </c>
      <c r="K1600" s="19">
        <f>Ringkasan!K1599</f>
        <v>0.3</v>
      </c>
      <c r="L1600" s="19">
        <f>Ringkasan!L1599</f>
        <v>0.58</v>
      </c>
      <c r="M1600" s="19">
        <f>Ringkasan!M1599</f>
        <v>2.8</v>
      </c>
      <c r="N1600" s="64" t="str">
        <f>Ringkasan!N1599</f>
        <v/>
      </c>
      <c r="O1600" s="64" t="str">
        <f>Ringkasan!O1599</f>
        <v/>
      </c>
      <c r="P1600" s="64" t="str">
        <f>Ringkasan!P1599</f>
        <v/>
      </c>
      <c r="Q1600" s="64" t="str">
        <f>Ringkasan!Q1599</f>
        <v/>
      </c>
      <c r="R1600" s="64" t="str">
        <f>Ringkasan!R1599</f>
        <v/>
      </c>
      <c r="S1600" s="64" t="str">
        <f>Ringkasan!S1599</f>
        <v/>
      </c>
      <c r="T1600" s="64" t="str">
        <f>Ringkasan!T1599</f>
        <v/>
      </c>
      <c r="U1600" s="64">
        <f>Ringkasan!U1599</f>
        <v>1550</v>
      </c>
      <c r="V1600" s="64">
        <f>Ringkasan!V1599</f>
        <v>-1.29</v>
      </c>
      <c r="W1600" s="64">
        <f>Ringkasan!W1599</f>
        <v>1550</v>
      </c>
      <c r="X1600" s="64">
        <f>Ringkasan!X1599</f>
        <v>1585</v>
      </c>
      <c r="Y1600" s="64">
        <f>Ringkasan!Y1599</f>
        <v>1525</v>
      </c>
      <c r="Z1600" s="64">
        <f>Ringkasan!Z1599</f>
        <v>15467300</v>
      </c>
      <c r="AA1600" s="64" t="str">
        <f>Ringkasan!AA1599</f>
        <v>Construction Materials</v>
      </c>
      <c r="AB1600" s="64" t="str">
        <f>Ringkasan!AB1599</f>
        <v>Basic Materials</v>
      </c>
    </row>
    <row r="1601" hidden="1">
      <c r="A1601" s="64" t="str">
        <f>Ringkasan!A1600</f>
        <v>SMGR</v>
      </c>
      <c r="B1601" s="64" t="str">
        <f>Ringkasan!B1600</f>
        <v>Semen Indonesia (Persero) Tbk.</v>
      </c>
      <c r="C1601" s="65">
        <f>Ringkasan!C1600</f>
        <v>1530</v>
      </c>
      <c r="D1601" s="64" t="str">
        <f>Ringkasan!D1600</f>
        <v>#N/A</v>
      </c>
      <c r="E1601" s="64" t="str">
        <f>Ringkasan!E1600</f>
        <v>IDXBUMN20</v>
      </c>
      <c r="F1601" s="64" t="str">
        <f>Ringkasan!F1600</f>
        <v>4 Agustus 2026</v>
      </c>
      <c r="G1601" s="64">
        <f>Ringkasan!G1600</f>
        <v>17</v>
      </c>
      <c r="H1601" s="19">
        <f>Ringkasan!H1600</f>
        <v>49.9</v>
      </c>
      <c r="I1601" s="19">
        <f>Ringkasan!I1600</f>
        <v>0.24</v>
      </c>
      <c r="J1601" s="19">
        <f>Ringkasan!J1600</f>
        <v>0.48</v>
      </c>
      <c r="K1601" s="19">
        <f>Ringkasan!K1600</f>
        <v>0.3</v>
      </c>
      <c r="L1601" s="19">
        <f>Ringkasan!L1600</f>
        <v>0.58</v>
      </c>
      <c r="M1601" s="19">
        <f>Ringkasan!M1600</f>
        <v>2.8</v>
      </c>
      <c r="N1601" s="64" t="str">
        <f>Ringkasan!N1600</f>
        <v/>
      </c>
      <c r="O1601" s="64" t="str">
        <f>Ringkasan!O1600</f>
        <v/>
      </c>
      <c r="P1601" s="64" t="str">
        <f>Ringkasan!P1600</f>
        <v/>
      </c>
      <c r="Q1601" s="64" t="str">
        <f>Ringkasan!Q1600</f>
        <v/>
      </c>
      <c r="R1601" s="64" t="str">
        <f>Ringkasan!R1600</f>
        <v/>
      </c>
      <c r="S1601" s="64" t="str">
        <f>Ringkasan!S1600</f>
        <v/>
      </c>
      <c r="T1601" s="64" t="str">
        <f>Ringkasan!T1600</f>
        <v/>
      </c>
      <c r="U1601" s="64">
        <f>Ringkasan!U1600</f>
        <v>1550</v>
      </c>
      <c r="V1601" s="64">
        <f>Ringkasan!V1600</f>
        <v>-1.29</v>
      </c>
      <c r="W1601" s="64">
        <f>Ringkasan!W1600</f>
        <v>1550</v>
      </c>
      <c r="X1601" s="64">
        <f>Ringkasan!X1600</f>
        <v>1585</v>
      </c>
      <c r="Y1601" s="64">
        <f>Ringkasan!Y1600</f>
        <v>1525</v>
      </c>
      <c r="Z1601" s="64">
        <f>Ringkasan!Z1600</f>
        <v>15467300</v>
      </c>
      <c r="AA1601" s="64" t="str">
        <f>Ringkasan!AA1600</f>
        <v>Construction Materials</v>
      </c>
      <c r="AB1601" s="64" t="str">
        <f>Ringkasan!AB1600</f>
        <v>Basic Materials</v>
      </c>
    </row>
    <row r="1602" hidden="1">
      <c r="A1602" s="64" t="str">
        <f>Ringkasan!A1601</f>
        <v>SMGR</v>
      </c>
      <c r="B1602" s="64" t="str">
        <f>Ringkasan!B1601</f>
        <v>Semen Indonesia (Persero) Tbk.</v>
      </c>
      <c r="C1602" s="65">
        <f>Ringkasan!C1601</f>
        <v>1530</v>
      </c>
      <c r="D1602" s="64" t="str">
        <f>Ringkasan!D1601</f>
        <v>#N/A</v>
      </c>
      <c r="E1602" s="64" t="str">
        <f>Ringkasan!E1601</f>
        <v>FTSE Large Cap</v>
      </c>
      <c r="F1602" s="64" t="str">
        <f>Ringkasan!F1601</f>
        <v>Juni 2026</v>
      </c>
      <c r="G1602" s="64">
        <f>Ringkasan!G1601</f>
        <v>17</v>
      </c>
      <c r="H1602" s="19">
        <f>Ringkasan!H1601</f>
        <v>49.9</v>
      </c>
      <c r="I1602" s="19">
        <f>Ringkasan!I1601</f>
        <v>0.24</v>
      </c>
      <c r="J1602" s="19">
        <f>Ringkasan!J1601</f>
        <v>0.48</v>
      </c>
      <c r="K1602" s="19">
        <f>Ringkasan!K1601</f>
        <v>0.3</v>
      </c>
      <c r="L1602" s="19">
        <f>Ringkasan!L1601</f>
        <v>0.58</v>
      </c>
      <c r="M1602" s="19">
        <f>Ringkasan!M1601</f>
        <v>2.8</v>
      </c>
      <c r="N1602" s="64" t="str">
        <f>Ringkasan!N1601</f>
        <v/>
      </c>
      <c r="O1602" s="64" t="str">
        <f>Ringkasan!O1601</f>
        <v/>
      </c>
      <c r="P1602" s="64" t="str">
        <f>Ringkasan!P1601</f>
        <v/>
      </c>
      <c r="Q1602" s="64" t="str">
        <f>Ringkasan!Q1601</f>
        <v/>
      </c>
      <c r="R1602" s="64" t="str">
        <f>Ringkasan!R1601</f>
        <v/>
      </c>
      <c r="S1602" s="64" t="str">
        <f>Ringkasan!S1601</f>
        <v/>
      </c>
      <c r="T1602" s="64" t="str">
        <f>Ringkasan!T1601</f>
        <v/>
      </c>
      <c r="U1602" s="64">
        <f>Ringkasan!U1601</f>
        <v>1550</v>
      </c>
      <c r="V1602" s="64">
        <f>Ringkasan!V1601</f>
        <v>-1.29</v>
      </c>
      <c r="W1602" s="64">
        <f>Ringkasan!W1601</f>
        <v>1550</v>
      </c>
      <c r="X1602" s="64">
        <f>Ringkasan!X1601</f>
        <v>1585</v>
      </c>
      <c r="Y1602" s="64">
        <f>Ringkasan!Y1601</f>
        <v>1525</v>
      </c>
      <c r="Z1602" s="64">
        <f>Ringkasan!Z1601</f>
        <v>15467300</v>
      </c>
      <c r="AA1602" s="64" t="str">
        <f>Ringkasan!AA1601</f>
        <v>Construction Materials</v>
      </c>
      <c r="AB1602" s="64" t="str">
        <f>Ringkasan!AB1601</f>
        <v>Basic Materials</v>
      </c>
    </row>
    <row r="1603" hidden="1">
      <c r="A1603" s="64" t="str">
        <f>Ringkasan!A1602</f>
        <v>SMGR</v>
      </c>
      <c r="B1603" s="64" t="str">
        <f>Ringkasan!B1602</f>
        <v>Semen Indonesia (Persero) Tbk.</v>
      </c>
      <c r="C1603" s="65">
        <f>Ringkasan!C1602</f>
        <v>1530</v>
      </c>
      <c r="D1603" s="64" t="str">
        <f>Ringkasan!D1602</f>
        <v>#N/A</v>
      </c>
      <c r="E1603" s="64" t="str">
        <f>Ringkasan!E1602</f>
        <v>MSCI Small Cap</v>
      </c>
      <c r="F1603" s="64" t="str">
        <f>Ringkasan!F1602</f>
        <v>12 Agustus 2026</v>
      </c>
      <c r="G1603" s="65">
        <f>Ringkasan!G1602</f>
        <v>17</v>
      </c>
      <c r="H1603" s="19">
        <f>Ringkasan!H1602</f>
        <v>49.9</v>
      </c>
      <c r="I1603" s="19">
        <f>Ringkasan!I1602</f>
        <v>0.24</v>
      </c>
      <c r="J1603" s="19">
        <f>Ringkasan!J1602</f>
        <v>0.48</v>
      </c>
      <c r="K1603" s="19">
        <f>Ringkasan!K1602</f>
        <v>0.3</v>
      </c>
      <c r="L1603" s="19">
        <f>Ringkasan!L1602</f>
        <v>0.58</v>
      </c>
      <c r="M1603" s="19">
        <f>Ringkasan!M1602</f>
        <v>2.8</v>
      </c>
      <c r="N1603" s="64" t="str">
        <f>Ringkasan!N1602</f>
        <v/>
      </c>
      <c r="O1603" s="64" t="str">
        <f>Ringkasan!O1602</f>
        <v/>
      </c>
      <c r="P1603" s="64" t="str">
        <f>Ringkasan!P1602</f>
        <v/>
      </c>
      <c r="Q1603" s="64" t="str">
        <f>Ringkasan!Q1602</f>
        <v/>
      </c>
      <c r="R1603" s="64" t="str">
        <f>Ringkasan!R1602</f>
        <v/>
      </c>
      <c r="S1603" s="64" t="str">
        <f>Ringkasan!S1602</f>
        <v/>
      </c>
      <c r="T1603" s="64" t="str">
        <f>Ringkasan!T1602</f>
        <v/>
      </c>
      <c r="U1603" s="64">
        <f>Ringkasan!U1602</f>
        <v>1550</v>
      </c>
      <c r="V1603" s="64">
        <f>Ringkasan!V1602</f>
        <v>-1.29</v>
      </c>
      <c r="W1603" s="64">
        <f>Ringkasan!W1602</f>
        <v>1550</v>
      </c>
      <c r="X1603" s="64">
        <f>Ringkasan!X1602</f>
        <v>1585</v>
      </c>
      <c r="Y1603" s="64">
        <f>Ringkasan!Y1602</f>
        <v>1525</v>
      </c>
      <c r="Z1603" s="64">
        <f>Ringkasan!Z1602</f>
        <v>15467300</v>
      </c>
      <c r="AA1603" s="64" t="str">
        <f>Ringkasan!AA1602</f>
        <v>Construction Materials</v>
      </c>
      <c r="AB1603" s="64" t="str">
        <f>Ringkasan!AB1602</f>
        <v>Basic Materials</v>
      </c>
    </row>
    <row r="1604" hidden="1">
      <c r="A1604" s="64" t="str">
        <f>Ringkasan!A1603</f>
        <v>SMGR</v>
      </c>
      <c r="B1604" s="64" t="str">
        <f>Ringkasan!B1603</f>
        <v>Semen Indonesia (Persero) Tbk.</v>
      </c>
      <c r="C1604" s="65">
        <f>Ringkasan!C1603</f>
        <v>1530</v>
      </c>
      <c r="D1604" s="64" t="str">
        <f>Ringkasan!D1603</f>
        <v>#N/A</v>
      </c>
      <c r="E1604" s="64" t="str">
        <f>Ringkasan!E1603</f>
        <v>SRI-KEHATI</v>
      </c>
      <c r="F1604" s="66">
        <f>Ringkasan!F1603</f>
        <v>46356</v>
      </c>
      <c r="G1604" s="64">
        <f>Ringkasan!G1603</f>
        <v>17</v>
      </c>
      <c r="H1604" s="19">
        <f>Ringkasan!H1603</f>
        <v>49.9</v>
      </c>
      <c r="I1604" s="19">
        <f>Ringkasan!I1603</f>
        <v>0.24</v>
      </c>
      <c r="J1604" s="19">
        <f>Ringkasan!J1603</f>
        <v>0.48</v>
      </c>
      <c r="K1604" s="19">
        <f>Ringkasan!K1603</f>
        <v>0.3</v>
      </c>
      <c r="L1604" s="19">
        <f>Ringkasan!L1603</f>
        <v>0.58</v>
      </c>
      <c r="M1604" s="19">
        <f>Ringkasan!M1603</f>
        <v>2.8</v>
      </c>
      <c r="N1604" s="64" t="str">
        <f>Ringkasan!N1603</f>
        <v/>
      </c>
      <c r="O1604" s="64" t="str">
        <f>Ringkasan!O1603</f>
        <v/>
      </c>
      <c r="P1604" s="64" t="str">
        <f>Ringkasan!P1603</f>
        <v/>
      </c>
      <c r="Q1604" s="64" t="str">
        <f>Ringkasan!Q1603</f>
        <v/>
      </c>
      <c r="R1604" s="64" t="str">
        <f>Ringkasan!R1603</f>
        <v/>
      </c>
      <c r="S1604" s="64" t="str">
        <f>Ringkasan!S1603</f>
        <v/>
      </c>
      <c r="T1604" s="64" t="str">
        <f>Ringkasan!T1603</f>
        <v/>
      </c>
      <c r="U1604" s="64">
        <f>Ringkasan!U1603</f>
        <v>1550</v>
      </c>
      <c r="V1604" s="64">
        <f>Ringkasan!V1603</f>
        <v>-1.29</v>
      </c>
      <c r="W1604" s="64">
        <f>Ringkasan!W1603</f>
        <v>1550</v>
      </c>
      <c r="X1604" s="64">
        <f>Ringkasan!X1603</f>
        <v>1585</v>
      </c>
      <c r="Y1604" s="64">
        <f>Ringkasan!Y1603</f>
        <v>1525</v>
      </c>
      <c r="Z1604" s="64">
        <f>Ringkasan!Z1603</f>
        <v>15467300</v>
      </c>
      <c r="AA1604" s="64" t="str">
        <f>Ringkasan!AA1603</f>
        <v>Construction Materials</v>
      </c>
      <c r="AB1604" s="64" t="str">
        <f>Ringkasan!AB1603</f>
        <v>Basic Materials</v>
      </c>
    </row>
    <row r="1605" hidden="1">
      <c r="A1605" s="64" t="str">
        <f>Ringkasan!A1604</f>
        <v>SMGR</v>
      </c>
      <c r="B1605" s="64" t="str">
        <f>Ringkasan!B1604</f>
        <v>Semen Indonesia (Persero) Tbk.</v>
      </c>
      <c r="C1605" s="65">
        <f>Ringkasan!C1604</f>
        <v>1530</v>
      </c>
      <c r="D1605" s="64" t="str">
        <f>Ringkasan!D1604</f>
        <v>#N/A</v>
      </c>
      <c r="E1605" s="64" t="str">
        <f>Ringkasan!E1604</f>
        <v>JII70</v>
      </c>
      <c r="F1605" s="66">
        <f>Ringkasan!F1604</f>
        <v>46356</v>
      </c>
      <c r="G1605" s="64">
        <f>Ringkasan!G1604</f>
        <v>17</v>
      </c>
      <c r="H1605" s="19">
        <f>Ringkasan!H1604</f>
        <v>49.9</v>
      </c>
      <c r="I1605" s="19">
        <f>Ringkasan!I1604</f>
        <v>0.24</v>
      </c>
      <c r="J1605" s="19">
        <f>Ringkasan!J1604</f>
        <v>0.48</v>
      </c>
      <c r="K1605" s="19">
        <f>Ringkasan!K1604</f>
        <v>0.3</v>
      </c>
      <c r="L1605" s="19">
        <f>Ringkasan!L1604</f>
        <v>0.58</v>
      </c>
      <c r="M1605" s="19">
        <f>Ringkasan!M1604</f>
        <v>2.8</v>
      </c>
      <c r="N1605" s="64" t="str">
        <f>Ringkasan!N1604</f>
        <v/>
      </c>
      <c r="O1605" s="64" t="str">
        <f>Ringkasan!O1604</f>
        <v/>
      </c>
      <c r="P1605" s="64" t="str">
        <f>Ringkasan!P1604</f>
        <v/>
      </c>
      <c r="Q1605" s="64" t="str">
        <f>Ringkasan!Q1604</f>
        <v/>
      </c>
      <c r="R1605" s="64" t="str">
        <f>Ringkasan!R1604</f>
        <v/>
      </c>
      <c r="S1605" s="64" t="str">
        <f>Ringkasan!S1604</f>
        <v/>
      </c>
      <c r="T1605" s="64" t="str">
        <f>Ringkasan!T1604</f>
        <v/>
      </c>
      <c r="U1605" s="64">
        <f>Ringkasan!U1604</f>
        <v>1550</v>
      </c>
      <c r="V1605" s="64">
        <f>Ringkasan!V1604</f>
        <v>-1.29</v>
      </c>
      <c r="W1605" s="64">
        <f>Ringkasan!W1604</f>
        <v>1550</v>
      </c>
      <c r="X1605" s="64">
        <f>Ringkasan!X1604</f>
        <v>1585</v>
      </c>
      <c r="Y1605" s="64">
        <f>Ringkasan!Y1604</f>
        <v>1525</v>
      </c>
      <c r="Z1605" s="64">
        <f>Ringkasan!Z1604</f>
        <v>15467300</v>
      </c>
      <c r="AA1605" s="64" t="str">
        <f>Ringkasan!AA1604</f>
        <v>Construction Materials</v>
      </c>
      <c r="AB1605" s="64" t="str">
        <f>Ringkasan!AB1604</f>
        <v>Basic Materials</v>
      </c>
    </row>
    <row r="1606" hidden="1">
      <c r="A1606" s="64" t="str">
        <f>Ringkasan!A1605</f>
        <v>SMIL</v>
      </c>
      <c r="B1606" s="64" t="str">
        <f>Ringkasan!B1605</f>
        <v>PT Sarana Mitra Luas Tbk</v>
      </c>
      <c r="C1606" s="65">
        <f>Ringkasan!C1605</f>
        <v>242</v>
      </c>
      <c r="D1606" s="64" t="str">
        <f>Ringkasan!D1605</f>
        <v>#N/A</v>
      </c>
      <c r="E1606" s="64" t="str">
        <f>Ringkasan!E1605</f>
        <v>Kompas100</v>
      </c>
      <c r="F1606" s="64" t="str">
        <f>Ringkasan!F1605</f>
        <v>31 Juli 2026</v>
      </c>
      <c r="G1606" s="64">
        <f>Ringkasan!G1605</f>
        <v>1</v>
      </c>
      <c r="H1606" s="19">
        <f>Ringkasan!H1605</f>
        <v>32.4</v>
      </c>
      <c r="I1606" s="19">
        <f>Ringkasan!I1605</f>
        <v>2.9</v>
      </c>
      <c r="J1606" s="19">
        <f>Ringkasan!J1605</f>
        <v>9.1</v>
      </c>
      <c r="K1606" s="19">
        <f>Ringkasan!K1605</f>
        <v>5.9</v>
      </c>
      <c r="L1606" s="19">
        <f>Ringkasan!L1605</f>
        <v>0.54</v>
      </c>
      <c r="M1606" s="19">
        <f>Ringkasan!M1605</f>
        <v>54.1</v>
      </c>
      <c r="N1606" s="64" t="str">
        <f>Ringkasan!N1605</f>
        <v/>
      </c>
      <c r="O1606" s="64" t="str">
        <f>Ringkasan!O1605</f>
        <v/>
      </c>
      <c r="P1606" s="64" t="str">
        <f>Ringkasan!P1605</f>
        <v/>
      </c>
      <c r="Q1606" s="64" t="str">
        <f>Ringkasan!Q1605</f>
        <v/>
      </c>
      <c r="R1606" s="64" t="str">
        <f>Ringkasan!R1605</f>
        <v/>
      </c>
      <c r="S1606" s="64" t="str">
        <f>Ringkasan!S1605</f>
        <v/>
      </c>
      <c r="T1606" s="64" t="str">
        <f>Ringkasan!T1605</f>
        <v/>
      </c>
      <c r="U1606" s="64">
        <f>Ringkasan!U1605</f>
        <v>240</v>
      </c>
      <c r="V1606" s="64">
        <f>Ringkasan!V1605</f>
        <v>0.83</v>
      </c>
      <c r="W1606" s="64">
        <f>Ringkasan!W1605</f>
        <v>240</v>
      </c>
      <c r="X1606" s="64">
        <f>Ringkasan!X1605</f>
        <v>244</v>
      </c>
      <c r="Y1606" s="64">
        <f>Ringkasan!Y1605</f>
        <v>238</v>
      </c>
      <c r="Z1606" s="64">
        <f>Ringkasan!Z1605</f>
        <v>3369900</v>
      </c>
      <c r="AA1606" s="64" t="str">
        <f>Ringkasan!AA1605</f>
        <v>Machinery</v>
      </c>
      <c r="AB1606" s="64" t="str">
        <f>Ringkasan!AB1605</f>
        <v>Industrials</v>
      </c>
    </row>
    <row r="1607" hidden="1">
      <c r="A1607" s="64" t="str">
        <f>Ringkasan!A1606</f>
        <v>SMKL</v>
      </c>
      <c r="B1607" s="64" t="str">
        <f>Ringkasan!B1606</f>
        <v>Satyamitra Kemas Lestari Tbk.</v>
      </c>
      <c r="C1607" s="65">
        <f>Ringkasan!C1606</f>
        <v>120</v>
      </c>
      <c r="D1607" s="64" t="str">
        <f>Ringkasan!D1606</f>
        <v>#N/A</v>
      </c>
      <c r="E1607" s="64" t="str">
        <f>Ringkasan!E1606</f>
        <v/>
      </c>
      <c r="F1607" s="64" t="str">
        <f>Ringkasan!F1606</f>
        <v/>
      </c>
      <c r="G1607" s="64">
        <f>Ringkasan!G1606</f>
        <v>0</v>
      </c>
      <c r="H1607" s="19">
        <f>Ringkasan!H1606</f>
        <v>13.6</v>
      </c>
      <c r="I1607" s="19">
        <f>Ringkasan!I1606</f>
        <v>0.48</v>
      </c>
      <c r="J1607" s="19">
        <f>Ringkasan!J1606</f>
        <v>3.5</v>
      </c>
      <c r="K1607" s="19">
        <f>Ringkasan!K1606</f>
        <v>1.3</v>
      </c>
      <c r="L1607" s="19">
        <f>Ringkasan!L1606</f>
        <v>1.6</v>
      </c>
      <c r="M1607" s="19">
        <f>Ringkasan!M1606</f>
        <v>8.6</v>
      </c>
      <c r="N1607" s="64" t="str">
        <f>Ringkasan!N1606</f>
        <v/>
      </c>
      <c r="O1607" s="64" t="str">
        <f>Ringkasan!O1606</f>
        <v/>
      </c>
      <c r="P1607" s="64" t="str">
        <f>Ringkasan!P1606</f>
        <v/>
      </c>
      <c r="Q1607" s="64" t="str">
        <f>Ringkasan!Q1606</f>
        <v/>
      </c>
      <c r="R1607" s="64" t="str">
        <f>Ringkasan!R1606</f>
        <v/>
      </c>
      <c r="S1607" s="64" t="str">
        <f>Ringkasan!S1606</f>
        <v/>
      </c>
      <c r="T1607" s="64" t="str">
        <f>Ringkasan!T1606</f>
        <v/>
      </c>
      <c r="U1607" s="64">
        <f>Ringkasan!U1606</f>
        <v>116</v>
      </c>
      <c r="V1607" s="64">
        <f>Ringkasan!V1606</f>
        <v>3.45</v>
      </c>
      <c r="W1607" s="64">
        <f>Ringkasan!W1606</f>
        <v>120</v>
      </c>
      <c r="X1607" s="64">
        <f>Ringkasan!X1606</f>
        <v>122</v>
      </c>
      <c r="Y1607" s="64">
        <f>Ringkasan!Y1606</f>
        <v>116</v>
      </c>
      <c r="Z1607" s="64">
        <f>Ringkasan!Z1606</f>
        <v>147700</v>
      </c>
      <c r="AA1607" s="64" t="str">
        <f>Ringkasan!AA1606</f>
        <v>Containers &amp; Packaging</v>
      </c>
      <c r="AB1607" s="64" t="str">
        <f>Ringkasan!AB1606</f>
        <v>Basic Materials</v>
      </c>
    </row>
    <row r="1608" hidden="1">
      <c r="A1608" s="64" t="str">
        <f>Ringkasan!A1607</f>
        <v>SMKM</v>
      </c>
      <c r="B1608" s="64" t="str">
        <f>Ringkasan!B1607</f>
        <v>Sumber Mas Konstruksi Tbk.</v>
      </c>
      <c r="C1608" s="65">
        <f>Ringkasan!C1607</f>
        <v>61</v>
      </c>
      <c r="D1608" s="64" t="str">
        <f>Ringkasan!D1607</f>
        <v>#N/A</v>
      </c>
      <c r="E1608" s="64" t="str">
        <f>Ringkasan!E1607</f>
        <v/>
      </c>
      <c r="F1608" s="64" t="str">
        <f>Ringkasan!F1607</f>
        <v/>
      </c>
      <c r="G1608" s="64">
        <f>Ringkasan!G1607</f>
        <v>0</v>
      </c>
      <c r="H1608" s="19">
        <f>Ringkasan!H1607</f>
        <v>-8970</v>
      </c>
      <c r="I1608" s="19">
        <f>Ringkasan!I1607</f>
        <v>0.48</v>
      </c>
      <c r="J1608" s="19">
        <f>Ringkasan!J1607</f>
        <v>-0.01</v>
      </c>
      <c r="K1608" s="19">
        <f>Ringkasan!K1607</f>
        <v>-0.01</v>
      </c>
      <c r="L1608" s="19">
        <f>Ringkasan!L1607</f>
        <v>0.02</v>
      </c>
      <c r="M1608" s="19">
        <f>Ringkasan!M1607</f>
        <v>-0.02</v>
      </c>
      <c r="N1608" s="64" t="str">
        <f>Ringkasan!N1607</f>
        <v/>
      </c>
      <c r="O1608" s="64" t="str">
        <f>Ringkasan!O1607</f>
        <v/>
      </c>
      <c r="P1608" s="64" t="str">
        <f>Ringkasan!P1607</f>
        <v/>
      </c>
      <c r="Q1608" s="64" t="str">
        <f>Ringkasan!Q1607</f>
        <v/>
      </c>
      <c r="R1608" s="64" t="str">
        <f>Ringkasan!R1607</f>
        <v/>
      </c>
      <c r="S1608" s="64" t="str">
        <f>Ringkasan!S1607</f>
        <v/>
      </c>
      <c r="T1608" s="64" t="str">
        <f>Ringkasan!T1607</f>
        <v/>
      </c>
      <c r="U1608" s="64">
        <f>Ringkasan!U1607</f>
        <v>59</v>
      </c>
      <c r="V1608" s="64">
        <f>Ringkasan!V1607</f>
        <v>3.39</v>
      </c>
      <c r="W1608" s="64">
        <f>Ringkasan!W1607</f>
        <v>59</v>
      </c>
      <c r="X1608" s="64">
        <f>Ringkasan!X1607</f>
        <v>64</v>
      </c>
      <c r="Y1608" s="64">
        <f>Ringkasan!Y1607</f>
        <v>57</v>
      </c>
      <c r="Z1608" s="64">
        <f>Ringkasan!Z1607</f>
        <v>13057300</v>
      </c>
      <c r="AA1608" s="64" t="str">
        <f>Ringkasan!AA1607</f>
        <v>Heavy Constructions &amp; Civil Engineering</v>
      </c>
      <c r="AB1608" s="64" t="str">
        <f>Ringkasan!AB1607</f>
        <v>Infrastructures</v>
      </c>
    </row>
    <row r="1609" hidden="1">
      <c r="A1609" s="64" t="str">
        <f>Ringkasan!A1608</f>
        <v>SMLE</v>
      </c>
      <c r="B1609" s="64" t="str">
        <f>Ringkasan!B1608</f>
        <v>Sinergi Multi Lestarindo Tbk.</v>
      </c>
      <c r="C1609" s="65">
        <f>Ringkasan!C1608</f>
        <v>92</v>
      </c>
      <c r="D1609" s="64" t="str">
        <f>Ringkasan!D1608</f>
        <v>#N/A</v>
      </c>
      <c r="E1609" s="64" t="str">
        <f>Ringkasan!E1608</f>
        <v/>
      </c>
      <c r="F1609" s="64" t="str">
        <f>Ringkasan!F1608</f>
        <v/>
      </c>
      <c r="G1609" s="64">
        <f>Ringkasan!G1608</f>
        <v>0</v>
      </c>
      <c r="H1609" s="19">
        <f>Ringkasan!H1608</f>
        <v>-66.1</v>
      </c>
      <c r="I1609" s="19">
        <f>Ringkasan!I1608</f>
        <v>2.3</v>
      </c>
      <c r="J1609" s="19">
        <f>Ringkasan!J1608</f>
        <v>-3.4</v>
      </c>
      <c r="K1609" s="19">
        <f>Ringkasan!K1608</f>
        <v>-1.7</v>
      </c>
      <c r="L1609" s="19">
        <f>Ringkasan!L1608</f>
        <v>0.97</v>
      </c>
      <c r="M1609" s="19">
        <f>Ringkasan!M1608</f>
        <v>-8.1</v>
      </c>
      <c r="N1609" s="64" t="str">
        <f>Ringkasan!N1608</f>
        <v/>
      </c>
      <c r="O1609" s="64" t="str">
        <f>Ringkasan!O1608</f>
        <v/>
      </c>
      <c r="P1609" s="64" t="str">
        <f>Ringkasan!P1608</f>
        <v/>
      </c>
      <c r="Q1609" s="64" t="str">
        <f>Ringkasan!Q1608</f>
        <v/>
      </c>
      <c r="R1609" s="64" t="str">
        <f>Ringkasan!R1608</f>
        <v/>
      </c>
      <c r="S1609" s="64" t="str">
        <f>Ringkasan!S1608</f>
        <v/>
      </c>
      <c r="T1609" s="64" t="str">
        <f>Ringkasan!T1608</f>
        <v/>
      </c>
      <c r="U1609" s="64">
        <f>Ringkasan!U1608</f>
        <v>91</v>
      </c>
      <c r="V1609" s="64">
        <f>Ringkasan!V1608</f>
        <v>1.1</v>
      </c>
      <c r="W1609" s="64">
        <f>Ringkasan!W1608</f>
        <v>90</v>
      </c>
      <c r="X1609" s="64">
        <f>Ringkasan!X1608</f>
        <v>93</v>
      </c>
      <c r="Y1609" s="64">
        <f>Ringkasan!Y1608</f>
        <v>88</v>
      </c>
      <c r="Z1609" s="64">
        <f>Ringkasan!Z1608</f>
        <v>1802700</v>
      </c>
      <c r="AA1609" s="64" t="str">
        <f>Ringkasan!AA1608</f>
        <v>Chemicals</v>
      </c>
      <c r="AB1609" s="64" t="str">
        <f>Ringkasan!AB1608</f>
        <v>Basic Materials</v>
      </c>
    </row>
    <row r="1610" hidden="1">
      <c r="A1610" s="64" t="str">
        <f>Ringkasan!A1609</f>
        <v>SMMA</v>
      </c>
      <c r="B1610" s="64" t="str">
        <f>Ringkasan!B1609</f>
        <v>Sinarmas Multiartha Tbk.</v>
      </c>
      <c r="C1610" s="65">
        <f>Ringkasan!C1609</f>
        <v>23500</v>
      </c>
      <c r="D1610" s="64" t="str">
        <f>Ringkasan!D1609</f>
        <v>#N/A</v>
      </c>
      <c r="E1610" s="64" t="str">
        <f>Ringkasan!E1609</f>
        <v/>
      </c>
      <c r="F1610" s="64" t="str">
        <f>Ringkasan!F1609</f>
        <v/>
      </c>
      <c r="G1610" s="64">
        <f>Ringkasan!G1609</f>
        <v>0</v>
      </c>
      <c r="H1610" s="19">
        <f>Ringkasan!H1609</f>
        <v>38.2</v>
      </c>
      <c r="I1610" s="19">
        <f>Ringkasan!I1609</f>
        <v>4</v>
      </c>
      <c r="J1610" s="19">
        <f>Ringkasan!J1609</f>
        <v>10.5</v>
      </c>
      <c r="K1610" s="19">
        <f>Ringkasan!K1609</f>
        <v>2.5</v>
      </c>
      <c r="L1610" s="19">
        <f>Ringkasan!L1609</f>
        <v>3.3</v>
      </c>
      <c r="M1610" s="19">
        <f>Ringkasan!M1609</f>
        <v>19.4</v>
      </c>
      <c r="N1610" s="64" t="str">
        <f>Ringkasan!N1609</f>
        <v/>
      </c>
      <c r="O1610" s="64" t="str">
        <f>Ringkasan!O1609</f>
        <v/>
      </c>
      <c r="P1610" s="64" t="str">
        <f>Ringkasan!P1609</f>
        <v/>
      </c>
      <c r="Q1610" s="64" t="str">
        <f>Ringkasan!Q1609</f>
        <v/>
      </c>
      <c r="R1610" s="64" t="str">
        <f>Ringkasan!R1609</f>
        <v/>
      </c>
      <c r="S1610" s="64" t="str">
        <f>Ringkasan!S1609</f>
        <v/>
      </c>
      <c r="T1610" s="64" t="str">
        <f>Ringkasan!T1609</f>
        <v/>
      </c>
      <c r="U1610" s="64">
        <f>Ringkasan!U1609</f>
        <v>23500</v>
      </c>
      <c r="V1610" s="64">
        <f>Ringkasan!V1609</f>
        <v>0</v>
      </c>
      <c r="W1610" s="64">
        <f>Ringkasan!W1609</f>
        <v>23500</v>
      </c>
      <c r="X1610" s="64">
        <f>Ringkasan!X1609</f>
        <v>23500</v>
      </c>
      <c r="Y1610" s="64">
        <f>Ringkasan!Y1609</f>
        <v>21500</v>
      </c>
      <c r="Z1610" s="64">
        <f>Ringkasan!Z1609</f>
        <v>15300</v>
      </c>
      <c r="AA1610" s="64" t="str">
        <f>Ringkasan!AA1609</f>
        <v>Holding &amp; Investment Companies</v>
      </c>
      <c r="AB1610" s="64" t="str">
        <f>Ringkasan!AB1609</f>
        <v>Financials</v>
      </c>
    </row>
    <row r="1611" hidden="1">
      <c r="A1611" s="64" t="str">
        <f>Ringkasan!A1610</f>
        <v>SMMT</v>
      </c>
      <c r="B1611" s="64" t="str">
        <f>Ringkasan!B1610</f>
        <v>Golden Eagle Energy Tbk.</v>
      </c>
      <c r="C1611" s="65">
        <f>Ringkasan!C1610</f>
        <v>1730</v>
      </c>
      <c r="D1611" s="64" t="str">
        <f>Ringkasan!D1610</f>
        <v>#N/A</v>
      </c>
      <c r="E1611" s="64" t="str">
        <f>Ringkasan!E1610</f>
        <v/>
      </c>
      <c r="F1611" s="64" t="str">
        <f>Ringkasan!F1610</f>
        <v/>
      </c>
      <c r="G1611" s="64">
        <f>Ringkasan!G1610</f>
        <v>0</v>
      </c>
      <c r="H1611" s="19">
        <f>Ringkasan!H1610</f>
        <v>140</v>
      </c>
      <c r="I1611" s="19">
        <f>Ringkasan!I1610</f>
        <v>11.6</v>
      </c>
      <c r="J1611" s="19">
        <f>Ringkasan!J1610</f>
        <v>8.6</v>
      </c>
      <c r="K1611" s="19">
        <f>Ringkasan!K1610</f>
        <v>2.4</v>
      </c>
      <c r="L1611" s="19">
        <f>Ringkasan!L1610</f>
        <v>2.7</v>
      </c>
      <c r="M1611" s="19">
        <f>Ringkasan!M1610</f>
        <v>12.3</v>
      </c>
      <c r="N1611" s="64" t="str">
        <f>Ringkasan!N1610</f>
        <v/>
      </c>
      <c r="O1611" s="64" t="str">
        <f>Ringkasan!O1610</f>
        <v/>
      </c>
      <c r="P1611" s="64" t="str">
        <f>Ringkasan!P1610</f>
        <v/>
      </c>
      <c r="Q1611" s="64" t="str">
        <f>Ringkasan!Q1610</f>
        <v/>
      </c>
      <c r="R1611" s="64" t="str">
        <f>Ringkasan!R1610</f>
        <v/>
      </c>
      <c r="S1611" s="64" t="str">
        <f>Ringkasan!S1610</f>
        <v/>
      </c>
      <c r="T1611" s="64" t="str">
        <f>Ringkasan!T1610</f>
        <v/>
      </c>
      <c r="U1611" s="64">
        <f>Ringkasan!U1610</f>
        <v>13.08</v>
      </c>
      <c r="V1611" s="64">
        <f>Ringkasan!V1610</f>
        <v>7.11</v>
      </c>
      <c r="W1611" s="64">
        <f>Ringkasan!W1610</f>
        <v>13</v>
      </c>
      <c r="X1611" s="64">
        <f>Ringkasan!X1610</f>
        <v>14.18</v>
      </c>
      <c r="Y1611" s="64">
        <f>Ringkasan!Y1610</f>
        <v>12.92</v>
      </c>
      <c r="Z1611" s="64">
        <f>Ringkasan!Z1610</f>
        <v>9878229</v>
      </c>
      <c r="AA1611" s="64" t="str">
        <f>Ringkasan!AA1610</f>
        <v>Coal</v>
      </c>
      <c r="AB1611" s="64" t="str">
        <f>Ringkasan!AB1610</f>
        <v>Energy</v>
      </c>
    </row>
    <row r="1612" hidden="1">
      <c r="A1612" s="64" t="str">
        <f>Ringkasan!A1611</f>
        <v>SMRA</v>
      </c>
      <c r="B1612" s="64" t="str">
        <f>Ringkasan!B1611</f>
        <v>Summarecon Agung Tbk.</v>
      </c>
      <c r="C1612" s="65">
        <f>Ringkasan!C1611</f>
        <v>302</v>
      </c>
      <c r="D1612" s="64" t="str">
        <f>Ringkasan!D1611</f>
        <v>#N/A</v>
      </c>
      <c r="E1612" s="64" t="str">
        <f>Ringkasan!E1611</f>
        <v>ESGSKEHATI</v>
      </c>
      <c r="F1612" s="66">
        <f>Ringkasan!F1611</f>
        <v>46356</v>
      </c>
      <c r="G1612" s="65">
        <f>Ringkasan!G1611</f>
        <v>8</v>
      </c>
      <c r="H1612" s="19">
        <f>Ringkasan!H1611</f>
        <v>6.6</v>
      </c>
      <c r="I1612" s="19">
        <f>Ringkasan!I1611</f>
        <v>0.29</v>
      </c>
      <c r="J1612" s="19">
        <f>Ringkasan!J1611</f>
        <v>4.4</v>
      </c>
      <c r="K1612" s="19">
        <f>Ringkasan!K1611</f>
        <v>1.8</v>
      </c>
      <c r="L1612" s="19">
        <f>Ringkasan!L1611</f>
        <v>1.4</v>
      </c>
      <c r="M1612" s="19">
        <f>Ringkasan!M1611</f>
        <v>32.2</v>
      </c>
      <c r="N1612" s="64" t="str">
        <f>Ringkasan!N1611</f>
        <v/>
      </c>
      <c r="O1612" s="64" t="str">
        <f>Ringkasan!O1611</f>
        <v/>
      </c>
      <c r="P1612" s="64" t="str">
        <f>Ringkasan!P1611</f>
        <v/>
      </c>
      <c r="Q1612" s="64" t="str">
        <f>Ringkasan!Q1611</f>
        <v/>
      </c>
      <c r="R1612" s="64" t="str">
        <f>Ringkasan!R1611</f>
        <v/>
      </c>
      <c r="S1612" s="64" t="str">
        <f>Ringkasan!S1611</f>
        <v/>
      </c>
      <c r="T1612" s="64" t="str">
        <f>Ringkasan!T1611</f>
        <v/>
      </c>
      <c r="U1612" s="64" t="str">
        <f>Ringkasan!U1611</f>
        <v/>
      </c>
      <c r="V1612" s="64">
        <f>Ringkasan!V1611</f>
        <v>4.14</v>
      </c>
      <c r="W1612" s="64">
        <f>Ringkasan!W1611</f>
        <v>296</v>
      </c>
      <c r="X1612" s="64">
        <f>Ringkasan!X1611</f>
        <v>304</v>
      </c>
      <c r="Y1612" s="64">
        <f>Ringkasan!Y1611</f>
        <v>292</v>
      </c>
      <c r="Z1612" s="64">
        <f>Ringkasan!Z1611</f>
        <v>29775700</v>
      </c>
      <c r="AA1612" s="64" t="str">
        <f>Ringkasan!AA1611</f>
        <v>Real Estate Management &amp; Development</v>
      </c>
      <c r="AB1612" s="64" t="str">
        <f>Ringkasan!AB1611</f>
        <v>Properties &amp; Real Estate</v>
      </c>
    </row>
    <row r="1613" hidden="1">
      <c r="A1613" s="64" t="str">
        <f>Ringkasan!A1612</f>
        <v>SMRA</v>
      </c>
      <c r="B1613" s="64" t="str">
        <f>Ringkasan!B1612</f>
        <v>Summarecon Agung Tbk.</v>
      </c>
      <c r="C1613" s="65">
        <f>Ringkasan!C1612</f>
        <v>302</v>
      </c>
      <c r="D1613" s="64" t="str">
        <f>Ringkasan!D1612</f>
        <v>#N/A</v>
      </c>
      <c r="E1613" s="64" t="str">
        <f>Ringkasan!E1612</f>
        <v>ECONOMIC30</v>
      </c>
      <c r="F1613" s="64" t="str">
        <f>Ringkasan!F1612</f>
        <v>31 Agustus 2026</v>
      </c>
      <c r="G1613" s="64">
        <f>Ringkasan!G1612</f>
        <v>8</v>
      </c>
      <c r="H1613" s="19">
        <f>Ringkasan!H1612</f>
        <v>6.6</v>
      </c>
      <c r="I1613" s="19">
        <f>Ringkasan!I1612</f>
        <v>0.29</v>
      </c>
      <c r="J1613" s="19">
        <f>Ringkasan!J1612</f>
        <v>4.4</v>
      </c>
      <c r="K1613" s="19">
        <f>Ringkasan!K1612</f>
        <v>1.8</v>
      </c>
      <c r="L1613" s="19">
        <f>Ringkasan!L1612</f>
        <v>1.4</v>
      </c>
      <c r="M1613" s="19">
        <f>Ringkasan!M1612</f>
        <v>32.2</v>
      </c>
      <c r="N1613" s="64" t="str">
        <f>Ringkasan!N1612</f>
        <v/>
      </c>
      <c r="O1613" s="64" t="str">
        <f>Ringkasan!O1612</f>
        <v/>
      </c>
      <c r="P1613" s="64" t="str">
        <f>Ringkasan!P1612</f>
        <v/>
      </c>
      <c r="Q1613" s="64" t="str">
        <f>Ringkasan!Q1612</f>
        <v/>
      </c>
      <c r="R1613" s="64" t="str">
        <f>Ringkasan!R1612</f>
        <v/>
      </c>
      <c r="S1613" s="64" t="str">
        <f>Ringkasan!S1612</f>
        <v/>
      </c>
      <c r="T1613" s="64" t="str">
        <f>Ringkasan!T1612</f>
        <v/>
      </c>
      <c r="U1613" s="64" t="str">
        <f>Ringkasan!U1612</f>
        <v/>
      </c>
      <c r="V1613" s="64">
        <f>Ringkasan!V1612</f>
        <v>4.14</v>
      </c>
      <c r="W1613" s="64">
        <f>Ringkasan!W1612</f>
        <v>296</v>
      </c>
      <c r="X1613" s="64">
        <f>Ringkasan!X1612</f>
        <v>304</v>
      </c>
      <c r="Y1613" s="64">
        <f>Ringkasan!Y1612</f>
        <v>292</v>
      </c>
      <c r="Z1613" s="64">
        <f>Ringkasan!Z1612</f>
        <v>29775700</v>
      </c>
      <c r="AA1613" s="64" t="str">
        <f>Ringkasan!AA1612</f>
        <v>Real Estate Management &amp; Development</v>
      </c>
      <c r="AB1613" s="64" t="str">
        <f>Ringkasan!AB1612</f>
        <v>Properties &amp; Real Estate</v>
      </c>
    </row>
    <row r="1614" hidden="1">
      <c r="A1614" s="64" t="str">
        <f>Ringkasan!A1613</f>
        <v>SMRA</v>
      </c>
      <c r="B1614" s="64" t="str">
        <f>Ringkasan!B1613</f>
        <v>Summarecon Agung Tbk.</v>
      </c>
      <c r="C1614" s="65">
        <f>Ringkasan!C1613</f>
        <v>302</v>
      </c>
      <c r="D1614" s="64" t="str">
        <f>Ringkasan!D1613</f>
        <v>#N/A</v>
      </c>
      <c r="E1614" s="64" t="str">
        <f>Ringkasan!E1613</f>
        <v>Pefindo - iGrade</v>
      </c>
      <c r="F1614" s="64" t="str">
        <f>Ringkasan!F1613</f>
        <v>30 Juni 2026</v>
      </c>
      <c r="G1614" s="64">
        <f>Ringkasan!G1613</f>
        <v>8</v>
      </c>
      <c r="H1614" s="19">
        <f>Ringkasan!H1613</f>
        <v>6.6</v>
      </c>
      <c r="I1614" s="19">
        <f>Ringkasan!I1613</f>
        <v>0.29</v>
      </c>
      <c r="J1614" s="19">
        <f>Ringkasan!J1613</f>
        <v>4.4</v>
      </c>
      <c r="K1614" s="19">
        <f>Ringkasan!K1613</f>
        <v>1.8</v>
      </c>
      <c r="L1614" s="19">
        <f>Ringkasan!L1613</f>
        <v>1.4</v>
      </c>
      <c r="M1614" s="19">
        <f>Ringkasan!M1613</f>
        <v>32.2</v>
      </c>
      <c r="N1614" s="64" t="str">
        <f>Ringkasan!N1613</f>
        <v/>
      </c>
      <c r="O1614" s="64" t="str">
        <f>Ringkasan!O1613</f>
        <v/>
      </c>
      <c r="P1614" s="64" t="str">
        <f>Ringkasan!P1613</f>
        <v/>
      </c>
      <c r="Q1614" s="64" t="str">
        <f>Ringkasan!Q1613</f>
        <v/>
      </c>
      <c r="R1614" s="64" t="str">
        <f>Ringkasan!R1613</f>
        <v/>
      </c>
      <c r="S1614" s="64" t="str">
        <f>Ringkasan!S1613</f>
        <v/>
      </c>
      <c r="T1614" s="64" t="str">
        <f>Ringkasan!T1613</f>
        <v/>
      </c>
      <c r="U1614" s="64" t="str">
        <f>Ringkasan!U1613</f>
        <v/>
      </c>
      <c r="V1614" s="64">
        <f>Ringkasan!V1613</f>
        <v>4.14</v>
      </c>
      <c r="W1614" s="64">
        <f>Ringkasan!W1613</f>
        <v>296</v>
      </c>
      <c r="X1614" s="64">
        <f>Ringkasan!X1613</f>
        <v>304</v>
      </c>
      <c r="Y1614" s="64">
        <f>Ringkasan!Y1613</f>
        <v>292</v>
      </c>
      <c r="Z1614" s="64">
        <f>Ringkasan!Z1613</f>
        <v>29775700</v>
      </c>
      <c r="AA1614" s="64" t="str">
        <f>Ringkasan!AA1613</f>
        <v>Real Estate Management &amp; Development</v>
      </c>
      <c r="AB1614" s="64" t="str">
        <f>Ringkasan!AB1613</f>
        <v>Properties &amp; Real Estate</v>
      </c>
    </row>
    <row r="1615" hidden="1">
      <c r="A1615" s="64" t="str">
        <f>Ringkasan!A1614</f>
        <v>SMRA</v>
      </c>
      <c r="B1615" s="64" t="str">
        <f>Ringkasan!B1614</f>
        <v>Summarecon Agung Tbk.</v>
      </c>
      <c r="C1615" s="65">
        <f>Ringkasan!C1614</f>
        <v>302</v>
      </c>
      <c r="D1615" s="64" t="str">
        <f>Ringkasan!D1614</f>
        <v>#N/A</v>
      </c>
      <c r="E1615" s="64" t="str">
        <f>Ringkasan!E1614</f>
        <v>IDXV30</v>
      </c>
      <c r="F1615" s="64" t="str">
        <f>Ringkasan!F1614</f>
        <v>4 Agustus 2026</v>
      </c>
      <c r="G1615" s="64">
        <f>Ringkasan!G1614</f>
        <v>8</v>
      </c>
      <c r="H1615" s="19">
        <f>Ringkasan!H1614</f>
        <v>6.6</v>
      </c>
      <c r="I1615" s="19">
        <f>Ringkasan!I1614</f>
        <v>0.29</v>
      </c>
      <c r="J1615" s="19">
        <f>Ringkasan!J1614</f>
        <v>4.4</v>
      </c>
      <c r="K1615" s="19">
        <f>Ringkasan!K1614</f>
        <v>1.8</v>
      </c>
      <c r="L1615" s="19">
        <f>Ringkasan!L1614</f>
        <v>1.4</v>
      </c>
      <c r="M1615" s="19">
        <f>Ringkasan!M1614</f>
        <v>32.2</v>
      </c>
      <c r="N1615" s="64" t="str">
        <f>Ringkasan!N1614</f>
        <v/>
      </c>
      <c r="O1615" s="64" t="str">
        <f>Ringkasan!O1614</f>
        <v/>
      </c>
      <c r="P1615" s="64" t="str">
        <f>Ringkasan!P1614</f>
        <v/>
      </c>
      <c r="Q1615" s="64" t="str">
        <f>Ringkasan!Q1614</f>
        <v/>
      </c>
      <c r="R1615" s="64" t="str">
        <f>Ringkasan!R1614</f>
        <v/>
      </c>
      <c r="S1615" s="64" t="str">
        <f>Ringkasan!S1614</f>
        <v/>
      </c>
      <c r="T1615" s="64" t="str">
        <f>Ringkasan!T1614</f>
        <v/>
      </c>
      <c r="U1615" s="64" t="str">
        <f>Ringkasan!U1614</f>
        <v/>
      </c>
      <c r="V1615" s="64">
        <f>Ringkasan!V1614</f>
        <v>4.14</v>
      </c>
      <c r="W1615" s="64">
        <f>Ringkasan!W1614</f>
        <v>296</v>
      </c>
      <c r="X1615" s="64">
        <f>Ringkasan!X1614</f>
        <v>304</v>
      </c>
      <c r="Y1615" s="64">
        <f>Ringkasan!Y1614</f>
        <v>292</v>
      </c>
      <c r="Z1615" s="64">
        <f>Ringkasan!Z1614</f>
        <v>29775700</v>
      </c>
      <c r="AA1615" s="64" t="str">
        <f>Ringkasan!AA1614</f>
        <v>Real Estate Management &amp; Development</v>
      </c>
      <c r="AB1615" s="64" t="str">
        <f>Ringkasan!AB1614</f>
        <v>Properties &amp; Real Estate</v>
      </c>
    </row>
    <row r="1616" hidden="1">
      <c r="A1616" s="64" t="str">
        <f>Ringkasan!A1615</f>
        <v>SMRA</v>
      </c>
      <c r="B1616" s="64" t="str">
        <f>Ringkasan!B1615</f>
        <v>Summarecon Agung Tbk.</v>
      </c>
      <c r="C1616" s="65">
        <f>Ringkasan!C1615</f>
        <v>302</v>
      </c>
      <c r="D1616" s="64" t="str">
        <f>Ringkasan!D1615</f>
        <v>#N/A</v>
      </c>
      <c r="E1616" s="64" t="str">
        <f>Ringkasan!E1615</f>
        <v>IDX80</v>
      </c>
      <c r="F1616" s="64" t="str">
        <f>Ringkasan!F1615</f>
        <v>31 Juli 2026</v>
      </c>
      <c r="G1616" s="64">
        <f>Ringkasan!G1615</f>
        <v>8</v>
      </c>
      <c r="H1616" s="19">
        <f>Ringkasan!H1615</f>
        <v>6.6</v>
      </c>
      <c r="I1616" s="19">
        <f>Ringkasan!I1615</f>
        <v>0.29</v>
      </c>
      <c r="J1616" s="19">
        <f>Ringkasan!J1615</f>
        <v>4.4</v>
      </c>
      <c r="K1616" s="19">
        <f>Ringkasan!K1615</f>
        <v>1.8</v>
      </c>
      <c r="L1616" s="19">
        <f>Ringkasan!L1615</f>
        <v>1.4</v>
      </c>
      <c r="M1616" s="19">
        <f>Ringkasan!M1615</f>
        <v>32.2</v>
      </c>
      <c r="N1616" s="64" t="str">
        <f>Ringkasan!N1615</f>
        <v/>
      </c>
      <c r="O1616" s="64" t="str">
        <f>Ringkasan!O1615</f>
        <v/>
      </c>
      <c r="P1616" s="64" t="str">
        <f>Ringkasan!P1615</f>
        <v/>
      </c>
      <c r="Q1616" s="64" t="str">
        <f>Ringkasan!Q1615</f>
        <v/>
      </c>
      <c r="R1616" s="64" t="str">
        <f>Ringkasan!R1615</f>
        <v/>
      </c>
      <c r="S1616" s="64" t="str">
        <f>Ringkasan!S1615</f>
        <v/>
      </c>
      <c r="T1616" s="64" t="str">
        <f>Ringkasan!T1615</f>
        <v/>
      </c>
      <c r="U1616" s="64" t="str">
        <f>Ringkasan!U1615</f>
        <v/>
      </c>
      <c r="V1616" s="64">
        <f>Ringkasan!V1615</f>
        <v>4.14</v>
      </c>
      <c r="W1616" s="64">
        <f>Ringkasan!W1615</f>
        <v>296</v>
      </c>
      <c r="X1616" s="64">
        <f>Ringkasan!X1615</f>
        <v>304</v>
      </c>
      <c r="Y1616" s="64">
        <f>Ringkasan!Y1615</f>
        <v>292</v>
      </c>
      <c r="Z1616" s="64">
        <f>Ringkasan!Z1615</f>
        <v>29775700</v>
      </c>
      <c r="AA1616" s="64" t="str">
        <f>Ringkasan!AA1615</f>
        <v>Real Estate Management &amp; Development</v>
      </c>
      <c r="AB1616" s="64" t="str">
        <f>Ringkasan!AB1615</f>
        <v>Properties &amp; Real Estate</v>
      </c>
    </row>
    <row r="1617" hidden="1">
      <c r="A1617" s="64" t="str">
        <f>Ringkasan!A1616</f>
        <v>SMRA</v>
      </c>
      <c r="B1617" s="64" t="str">
        <f>Ringkasan!B1616</f>
        <v>Summarecon Agung Tbk.</v>
      </c>
      <c r="C1617" s="65">
        <f>Ringkasan!C1616</f>
        <v>302</v>
      </c>
      <c r="D1617" s="64" t="str">
        <f>Ringkasan!D1616</f>
        <v>#N/A</v>
      </c>
      <c r="E1617" s="64" t="str">
        <f>Ringkasan!E1616</f>
        <v>Kompas100</v>
      </c>
      <c r="F1617" s="64" t="str">
        <f>Ringkasan!F1616</f>
        <v>31 Juli 2026</v>
      </c>
      <c r="G1617" s="64">
        <f>Ringkasan!G1616</f>
        <v>8</v>
      </c>
      <c r="H1617" s="19">
        <f>Ringkasan!H1616</f>
        <v>6.6</v>
      </c>
      <c r="I1617" s="19">
        <f>Ringkasan!I1616</f>
        <v>0.29</v>
      </c>
      <c r="J1617" s="19">
        <f>Ringkasan!J1616</f>
        <v>4.4</v>
      </c>
      <c r="K1617" s="19">
        <f>Ringkasan!K1616</f>
        <v>1.8</v>
      </c>
      <c r="L1617" s="19">
        <f>Ringkasan!L1616</f>
        <v>1.4</v>
      </c>
      <c r="M1617" s="19">
        <f>Ringkasan!M1616</f>
        <v>32.2</v>
      </c>
      <c r="N1617" s="64" t="str">
        <f>Ringkasan!N1616</f>
        <v/>
      </c>
      <c r="O1617" s="64" t="str">
        <f>Ringkasan!O1616</f>
        <v/>
      </c>
      <c r="P1617" s="64" t="str">
        <f>Ringkasan!P1616</f>
        <v/>
      </c>
      <c r="Q1617" s="64" t="str">
        <f>Ringkasan!Q1616</f>
        <v/>
      </c>
      <c r="R1617" s="64" t="str">
        <f>Ringkasan!R1616</f>
        <v/>
      </c>
      <c r="S1617" s="64" t="str">
        <f>Ringkasan!S1616</f>
        <v/>
      </c>
      <c r="T1617" s="64" t="str">
        <f>Ringkasan!T1616</f>
        <v/>
      </c>
      <c r="U1617" s="64" t="str">
        <f>Ringkasan!U1616</f>
        <v/>
      </c>
      <c r="V1617" s="64">
        <f>Ringkasan!V1616</f>
        <v>4.14</v>
      </c>
      <c r="W1617" s="64">
        <f>Ringkasan!W1616</f>
        <v>296</v>
      </c>
      <c r="X1617" s="64">
        <f>Ringkasan!X1616</f>
        <v>304</v>
      </c>
      <c r="Y1617" s="64">
        <f>Ringkasan!Y1616</f>
        <v>292</v>
      </c>
      <c r="Z1617" s="64">
        <f>Ringkasan!Z1616</f>
        <v>29775700</v>
      </c>
      <c r="AA1617" s="64" t="str">
        <f>Ringkasan!AA1616</f>
        <v>Real Estate Management &amp; Development</v>
      </c>
      <c r="AB1617" s="64" t="str">
        <f>Ringkasan!AB1616</f>
        <v>Properties &amp; Real Estate</v>
      </c>
    </row>
    <row r="1618" hidden="1">
      <c r="A1618" s="64" t="str">
        <f>Ringkasan!A1617</f>
        <v>SMRA</v>
      </c>
      <c r="B1618" s="64" t="str">
        <f>Ringkasan!B1617</f>
        <v>Summarecon Agung Tbk.</v>
      </c>
      <c r="C1618" s="65">
        <f>Ringkasan!C1617</f>
        <v>302</v>
      </c>
      <c r="D1618" s="64" t="str">
        <f>Ringkasan!D1617</f>
        <v>#N/A</v>
      </c>
      <c r="E1618" s="64" t="str">
        <f>Ringkasan!E1617</f>
        <v>IDXSMC-LIQ</v>
      </c>
      <c r="F1618" s="64" t="str">
        <f>Ringkasan!F1617</f>
        <v>4 Agustus 2026</v>
      </c>
      <c r="G1618" s="64">
        <f>Ringkasan!G1617</f>
        <v>8</v>
      </c>
      <c r="H1618" s="19">
        <f>Ringkasan!H1617</f>
        <v>6.6</v>
      </c>
      <c r="I1618" s="19">
        <f>Ringkasan!I1617</f>
        <v>0.29</v>
      </c>
      <c r="J1618" s="19">
        <f>Ringkasan!J1617</f>
        <v>4.4</v>
      </c>
      <c r="K1618" s="19">
        <f>Ringkasan!K1617</f>
        <v>1.8</v>
      </c>
      <c r="L1618" s="19">
        <f>Ringkasan!L1617</f>
        <v>1.4</v>
      </c>
      <c r="M1618" s="19">
        <f>Ringkasan!M1617</f>
        <v>32.2</v>
      </c>
      <c r="N1618" s="64" t="str">
        <f>Ringkasan!N1617</f>
        <v/>
      </c>
      <c r="O1618" s="64" t="str">
        <f>Ringkasan!O1617</f>
        <v/>
      </c>
      <c r="P1618" s="64" t="str">
        <f>Ringkasan!P1617</f>
        <v/>
      </c>
      <c r="Q1618" s="64" t="str">
        <f>Ringkasan!Q1617</f>
        <v/>
      </c>
      <c r="R1618" s="64" t="str">
        <f>Ringkasan!R1617</f>
        <v/>
      </c>
      <c r="S1618" s="64" t="str">
        <f>Ringkasan!S1617</f>
        <v/>
      </c>
      <c r="T1618" s="64" t="str">
        <f>Ringkasan!T1617</f>
        <v/>
      </c>
      <c r="U1618" s="64" t="str">
        <f>Ringkasan!U1617</f>
        <v/>
      </c>
      <c r="V1618" s="64">
        <f>Ringkasan!V1617</f>
        <v>4.14</v>
      </c>
      <c r="W1618" s="64">
        <f>Ringkasan!W1617</f>
        <v>296</v>
      </c>
      <c r="X1618" s="64">
        <f>Ringkasan!X1617</f>
        <v>304</v>
      </c>
      <c r="Y1618" s="64">
        <f>Ringkasan!Y1617</f>
        <v>292</v>
      </c>
      <c r="Z1618" s="64">
        <f>Ringkasan!Z1617</f>
        <v>29775700</v>
      </c>
      <c r="AA1618" s="64" t="str">
        <f>Ringkasan!AA1617</f>
        <v>Real Estate Management &amp; Development</v>
      </c>
      <c r="AB1618" s="64" t="str">
        <f>Ringkasan!AB1617</f>
        <v>Properties &amp; Real Estate</v>
      </c>
    </row>
    <row r="1619" hidden="1">
      <c r="A1619" s="64" t="str">
        <f>Ringkasan!A1618</f>
        <v>SMRA</v>
      </c>
      <c r="B1619" s="64" t="str">
        <f>Ringkasan!B1618</f>
        <v>Summarecon Agung Tbk.</v>
      </c>
      <c r="C1619" s="65">
        <f>Ringkasan!C1618</f>
        <v>302</v>
      </c>
      <c r="D1619" s="64" t="str">
        <f>Ringkasan!D1618</f>
        <v>#N/A</v>
      </c>
      <c r="E1619" s="64" t="str">
        <f>Ringkasan!E1618</f>
        <v>JII70</v>
      </c>
      <c r="F1619" s="66">
        <f>Ringkasan!F1618</f>
        <v>46356</v>
      </c>
      <c r="G1619" s="64">
        <f>Ringkasan!G1618</f>
        <v>8</v>
      </c>
      <c r="H1619" s="19">
        <f>Ringkasan!H1618</f>
        <v>6.6</v>
      </c>
      <c r="I1619" s="19">
        <f>Ringkasan!I1618</f>
        <v>0.29</v>
      </c>
      <c r="J1619" s="19">
        <f>Ringkasan!J1618</f>
        <v>4.4</v>
      </c>
      <c r="K1619" s="19">
        <f>Ringkasan!K1618</f>
        <v>1.8</v>
      </c>
      <c r="L1619" s="19">
        <f>Ringkasan!L1618</f>
        <v>1.4</v>
      </c>
      <c r="M1619" s="19">
        <f>Ringkasan!M1618</f>
        <v>32.2</v>
      </c>
      <c r="N1619" s="64" t="str">
        <f>Ringkasan!N1618</f>
        <v/>
      </c>
      <c r="O1619" s="64" t="str">
        <f>Ringkasan!O1618</f>
        <v/>
      </c>
      <c r="P1619" s="64" t="str">
        <f>Ringkasan!P1618</f>
        <v/>
      </c>
      <c r="Q1619" s="64" t="str">
        <f>Ringkasan!Q1618</f>
        <v/>
      </c>
      <c r="R1619" s="64" t="str">
        <f>Ringkasan!R1618</f>
        <v/>
      </c>
      <c r="S1619" s="64" t="str">
        <f>Ringkasan!S1618</f>
        <v/>
      </c>
      <c r="T1619" s="64" t="str">
        <f>Ringkasan!T1618</f>
        <v/>
      </c>
      <c r="U1619" s="64" t="str">
        <f>Ringkasan!U1618</f>
        <v/>
      </c>
      <c r="V1619" s="64">
        <f>Ringkasan!V1618</f>
        <v>4.14</v>
      </c>
      <c r="W1619" s="64">
        <f>Ringkasan!W1618</f>
        <v>296</v>
      </c>
      <c r="X1619" s="64">
        <f>Ringkasan!X1618</f>
        <v>304</v>
      </c>
      <c r="Y1619" s="64">
        <f>Ringkasan!Y1618</f>
        <v>292</v>
      </c>
      <c r="Z1619" s="64">
        <f>Ringkasan!Z1618</f>
        <v>29775700</v>
      </c>
      <c r="AA1619" s="64" t="str">
        <f>Ringkasan!AA1618</f>
        <v>Real Estate Management &amp; Development</v>
      </c>
      <c r="AB1619" s="64" t="str">
        <f>Ringkasan!AB1618</f>
        <v>Properties &amp; Real Estate</v>
      </c>
    </row>
    <row r="1620" hidden="1">
      <c r="A1620" s="64" t="str">
        <f>Ringkasan!A1619</f>
        <v>SMRU</v>
      </c>
      <c r="B1620" s="64" t="str">
        <f>Ringkasan!B1619</f>
        <v>SMR Utama Tbk</v>
      </c>
      <c r="C1620" s="65">
        <f>Ringkasan!C1619</f>
        <v>50</v>
      </c>
      <c r="D1620" s="64" t="str">
        <f>Ringkasan!D1619</f>
        <v>#N/A</v>
      </c>
      <c r="E1620" s="64" t="str">
        <f>Ringkasan!E1619</f>
        <v/>
      </c>
      <c r="F1620" s="64" t="str">
        <f>Ringkasan!F1619</f>
        <v/>
      </c>
      <c r="G1620" s="64">
        <f>Ringkasan!G1619</f>
        <v>0</v>
      </c>
      <c r="H1620" s="19">
        <f>Ringkasan!H1619</f>
        <v>-29.8</v>
      </c>
      <c r="I1620" s="19">
        <f>Ringkasan!I1619</f>
        <v>700</v>
      </c>
      <c r="J1620" s="19">
        <f>Ringkasan!J1619</f>
        <v>-2360</v>
      </c>
      <c r="K1620" s="19">
        <f>Ringkasan!K1619</f>
        <v>-3.2</v>
      </c>
      <c r="L1620" s="19">
        <f>Ringkasan!L1619</f>
        <v>730</v>
      </c>
      <c r="M1620" s="19">
        <f>Ringkasan!M1619</f>
        <v>-35.1</v>
      </c>
      <c r="N1620" s="64" t="str">
        <f>Ringkasan!N1619</f>
        <v/>
      </c>
      <c r="O1620" s="64" t="str">
        <f>Ringkasan!O1619</f>
        <v/>
      </c>
      <c r="P1620" s="64" t="str">
        <f>Ringkasan!P1619</f>
        <v/>
      </c>
      <c r="Q1620" s="64" t="str">
        <f>Ringkasan!Q1619</f>
        <v/>
      </c>
      <c r="R1620" s="64" t="str">
        <f>Ringkasan!R1619</f>
        <v/>
      </c>
      <c r="S1620" s="64" t="str">
        <f>Ringkasan!S1619</f>
        <v/>
      </c>
      <c r="T1620" s="64" t="str">
        <f>Ringkasan!T1619</f>
        <v/>
      </c>
      <c r="U1620" s="64">
        <f>Ringkasan!U1619</f>
        <v>50</v>
      </c>
      <c r="V1620" s="64">
        <f>Ringkasan!V1619</f>
        <v>0</v>
      </c>
      <c r="W1620" s="64" t="str">
        <f>Ringkasan!W1619</f>
        <v/>
      </c>
      <c r="X1620" s="64" t="str">
        <f>Ringkasan!X1619</f>
        <v/>
      </c>
      <c r="Y1620" s="64" t="str">
        <f>Ringkasan!Y1619</f>
        <v/>
      </c>
      <c r="Z1620" s="64">
        <f>Ringkasan!Z1619</f>
        <v>0</v>
      </c>
      <c r="AA1620" s="64" t="str">
        <f>Ringkasan!AA1619</f>
        <v>Oil, Gas &amp; Coal Supports</v>
      </c>
      <c r="AB1620" s="64" t="str">
        <f>Ringkasan!AB1619</f>
        <v>Energy</v>
      </c>
    </row>
    <row r="1621" hidden="1">
      <c r="A1621" s="64" t="str">
        <f>Ringkasan!A1620</f>
        <v>SMSM</v>
      </c>
      <c r="B1621" s="64" t="str">
        <f>Ringkasan!B1620</f>
        <v>Selamat Sempurna Tbk.</v>
      </c>
      <c r="C1621" s="65">
        <f>Ringkasan!C1620</f>
        <v>1640</v>
      </c>
      <c r="D1621" s="64" t="str">
        <f>Ringkasan!D1620</f>
        <v>#N/A</v>
      </c>
      <c r="E1621" s="64" t="str">
        <f>Ringkasan!E1620</f>
        <v>ESGQKEHATI</v>
      </c>
      <c r="F1621" s="66">
        <f>Ringkasan!F1620</f>
        <v>46356</v>
      </c>
      <c r="G1621" s="65">
        <f>Ringkasan!G1620</f>
        <v>2</v>
      </c>
      <c r="H1621" s="19">
        <f>Ringkasan!H1620</f>
        <v>8.9</v>
      </c>
      <c r="I1621" s="19">
        <f>Ringkasan!I1620</f>
        <v>2.1</v>
      </c>
      <c r="J1621" s="19">
        <f>Ringkasan!J1620</f>
        <v>24.2</v>
      </c>
      <c r="K1621" s="19">
        <f>Ringkasan!K1620</f>
        <v>20.2</v>
      </c>
      <c r="L1621" s="19">
        <f>Ringkasan!L1620</f>
        <v>0.2</v>
      </c>
      <c r="M1621" s="19">
        <f>Ringkasan!M1620</f>
        <v>90</v>
      </c>
      <c r="N1621" s="64" t="str">
        <f>Ringkasan!N1620</f>
        <v/>
      </c>
      <c r="O1621" s="64" t="str">
        <f>Ringkasan!O1620</f>
        <v/>
      </c>
      <c r="P1621" s="64" t="str">
        <f>Ringkasan!P1620</f>
        <v/>
      </c>
      <c r="Q1621" s="64" t="str">
        <f>Ringkasan!Q1620</f>
        <v/>
      </c>
      <c r="R1621" s="64" t="str">
        <f>Ringkasan!R1620</f>
        <v/>
      </c>
      <c r="S1621" s="64" t="str">
        <f>Ringkasan!S1620</f>
        <v/>
      </c>
      <c r="T1621" s="64" t="str">
        <f>Ringkasan!T1620</f>
        <v/>
      </c>
      <c r="U1621" s="64">
        <f>Ringkasan!U1620</f>
        <v>1615</v>
      </c>
      <c r="V1621" s="64">
        <f>Ringkasan!V1620</f>
        <v>1.55</v>
      </c>
      <c r="W1621" s="64">
        <f>Ringkasan!W1620</f>
        <v>1615</v>
      </c>
      <c r="X1621" s="64">
        <f>Ringkasan!X1620</f>
        <v>1655</v>
      </c>
      <c r="Y1621" s="64">
        <f>Ringkasan!Y1620</f>
        <v>1615</v>
      </c>
      <c r="Z1621" s="64">
        <f>Ringkasan!Z1620</f>
        <v>1756300</v>
      </c>
      <c r="AA1621" s="64" t="str">
        <f>Ringkasan!AA1620</f>
        <v>Auto Components</v>
      </c>
      <c r="AB1621" s="64" t="str">
        <f>Ringkasan!AB1620</f>
        <v>Consumer Cyclicals</v>
      </c>
    </row>
    <row r="1622" hidden="1">
      <c r="A1622" s="64" t="str">
        <f>Ringkasan!A1621</f>
        <v>SMSM</v>
      </c>
      <c r="B1622" s="64" t="str">
        <f>Ringkasan!B1621</f>
        <v>Selamat Sempurna Tbk.</v>
      </c>
      <c r="C1622" s="65">
        <f>Ringkasan!C1621</f>
        <v>1640</v>
      </c>
      <c r="D1622" s="64" t="str">
        <f>Ringkasan!D1621</f>
        <v>#N/A</v>
      </c>
      <c r="E1622" s="64" t="str">
        <f>Ringkasan!E1621</f>
        <v>ESGSKEHATI</v>
      </c>
      <c r="F1622" s="66">
        <f>Ringkasan!F1621</f>
        <v>46356</v>
      </c>
      <c r="G1622" s="65">
        <f>Ringkasan!G1621</f>
        <v>2</v>
      </c>
      <c r="H1622" s="19">
        <f>Ringkasan!H1621</f>
        <v>8.9</v>
      </c>
      <c r="I1622" s="19">
        <f>Ringkasan!I1621</f>
        <v>2.1</v>
      </c>
      <c r="J1622" s="19">
        <f>Ringkasan!J1621</f>
        <v>24.2</v>
      </c>
      <c r="K1622" s="19">
        <f>Ringkasan!K1621</f>
        <v>20.2</v>
      </c>
      <c r="L1622" s="19">
        <f>Ringkasan!L1621</f>
        <v>0.2</v>
      </c>
      <c r="M1622" s="19">
        <f>Ringkasan!M1621</f>
        <v>90</v>
      </c>
      <c r="N1622" s="64" t="str">
        <f>Ringkasan!N1621</f>
        <v/>
      </c>
      <c r="O1622" s="64" t="str">
        <f>Ringkasan!O1621</f>
        <v/>
      </c>
      <c r="P1622" s="64" t="str">
        <f>Ringkasan!P1621</f>
        <v/>
      </c>
      <c r="Q1622" s="64" t="str">
        <f>Ringkasan!Q1621</f>
        <v/>
      </c>
      <c r="R1622" s="64" t="str">
        <f>Ringkasan!R1621</f>
        <v/>
      </c>
      <c r="S1622" s="64" t="str">
        <f>Ringkasan!S1621</f>
        <v/>
      </c>
      <c r="T1622" s="64" t="str">
        <f>Ringkasan!T1621</f>
        <v/>
      </c>
      <c r="U1622" s="64">
        <f>Ringkasan!U1621</f>
        <v>1615</v>
      </c>
      <c r="V1622" s="64">
        <f>Ringkasan!V1621</f>
        <v>1.55</v>
      </c>
      <c r="W1622" s="64">
        <f>Ringkasan!W1621</f>
        <v>1615</v>
      </c>
      <c r="X1622" s="64">
        <f>Ringkasan!X1621</f>
        <v>1655</v>
      </c>
      <c r="Y1622" s="64">
        <f>Ringkasan!Y1621</f>
        <v>1615</v>
      </c>
      <c r="Z1622" s="64">
        <f>Ringkasan!Z1621</f>
        <v>1756300</v>
      </c>
      <c r="AA1622" s="64" t="str">
        <f>Ringkasan!AA1621</f>
        <v>Auto Components</v>
      </c>
      <c r="AB1622" s="64" t="str">
        <f>Ringkasan!AB1621</f>
        <v>Consumer Cyclicals</v>
      </c>
    </row>
    <row r="1623" hidden="1">
      <c r="A1623" s="64" t="str">
        <f>Ringkasan!A1622</f>
        <v>SNLK</v>
      </c>
      <c r="B1623" s="64" t="str">
        <f>Ringkasan!B1622</f>
        <v>Sunter Lakeside Hotel Tbk.</v>
      </c>
      <c r="C1623" s="65">
        <f>Ringkasan!C1622</f>
        <v>234</v>
      </c>
      <c r="D1623" s="64" t="str">
        <f>Ringkasan!D1622</f>
        <v>#N/A</v>
      </c>
      <c r="E1623" s="64" t="str">
        <f>Ringkasan!E1622</f>
        <v/>
      </c>
      <c r="F1623" s="64" t="str">
        <f>Ringkasan!F1622</f>
        <v/>
      </c>
      <c r="G1623" s="64">
        <f>Ringkasan!G1622</f>
        <v>0</v>
      </c>
      <c r="H1623" s="19">
        <f>Ringkasan!H1622</f>
        <v>-29.6</v>
      </c>
      <c r="I1623" s="19">
        <f>Ringkasan!I1622</f>
        <v>0.68</v>
      </c>
      <c r="J1623" s="19">
        <f>Ringkasan!J1622</f>
        <v>-2.3</v>
      </c>
      <c r="K1623" s="19">
        <f>Ringkasan!K1622</f>
        <v>-1.8</v>
      </c>
      <c r="L1623" s="19">
        <f>Ringkasan!L1622</f>
        <v>0.27</v>
      </c>
      <c r="M1623" s="19">
        <f>Ringkasan!M1622</f>
        <v>-40.5</v>
      </c>
      <c r="N1623" s="64" t="str">
        <f>Ringkasan!N1622</f>
        <v/>
      </c>
      <c r="O1623" s="64" t="str">
        <f>Ringkasan!O1622</f>
        <v/>
      </c>
      <c r="P1623" s="64" t="str">
        <f>Ringkasan!P1622</f>
        <v/>
      </c>
      <c r="Q1623" s="64" t="str">
        <f>Ringkasan!Q1622</f>
        <v/>
      </c>
      <c r="R1623" s="64" t="str">
        <f>Ringkasan!R1622</f>
        <v/>
      </c>
      <c r="S1623" s="64" t="str">
        <f>Ringkasan!S1622</f>
        <v/>
      </c>
      <c r="T1623" s="64" t="str">
        <f>Ringkasan!T1622</f>
        <v/>
      </c>
      <c r="U1623" s="64">
        <f>Ringkasan!U1622</f>
        <v>234</v>
      </c>
      <c r="V1623" s="64">
        <f>Ringkasan!V1622</f>
        <v>0</v>
      </c>
      <c r="W1623" s="64">
        <f>Ringkasan!W1622</f>
        <v>234</v>
      </c>
      <c r="X1623" s="64">
        <f>Ringkasan!X1622</f>
        <v>240</v>
      </c>
      <c r="Y1623" s="64">
        <f>Ringkasan!Y1622</f>
        <v>228</v>
      </c>
      <c r="Z1623" s="64">
        <f>Ringkasan!Z1622</f>
        <v>6689100</v>
      </c>
      <c r="AA1623" s="64" t="str">
        <f>Ringkasan!AA1622</f>
        <v>Tourism &amp; Recreation</v>
      </c>
      <c r="AB1623" s="64" t="str">
        <f>Ringkasan!AB1622</f>
        <v>Consumer Cyclicals</v>
      </c>
    </row>
    <row r="1624" hidden="1">
      <c r="A1624" s="64" t="str">
        <f>Ringkasan!A1623</f>
        <v>SOCI</v>
      </c>
      <c r="B1624" s="64" t="str">
        <f>Ringkasan!B1623</f>
        <v>Soechi Lines Tbk.</v>
      </c>
      <c r="C1624" s="65">
        <f>Ringkasan!C1623</f>
        <v>322</v>
      </c>
      <c r="D1624" s="64" t="str">
        <f>Ringkasan!D1623</f>
        <v>#N/A</v>
      </c>
      <c r="E1624" s="64" t="str">
        <f>Ringkasan!E1623</f>
        <v/>
      </c>
      <c r="F1624" s="64" t="str">
        <f>Ringkasan!F1623</f>
        <v/>
      </c>
      <c r="G1624" s="64">
        <f>Ringkasan!G1623</f>
        <v>0</v>
      </c>
      <c r="H1624" s="19">
        <f>Ringkasan!H1623</f>
        <v>16.5</v>
      </c>
      <c r="I1624" s="19">
        <f>Ringkasan!I1623</f>
        <v>0.4</v>
      </c>
      <c r="J1624" s="19">
        <f>Ringkasan!J1623</f>
        <v>2.4</v>
      </c>
      <c r="K1624" s="19">
        <f>Ringkasan!K1623</f>
        <v>1.7</v>
      </c>
      <c r="L1624" s="19">
        <f>Ringkasan!L1623</f>
        <v>0.45</v>
      </c>
      <c r="M1624" s="19">
        <f>Ringkasan!M1623</f>
        <v>28.4</v>
      </c>
      <c r="N1624" s="64" t="str">
        <f>Ringkasan!N1623</f>
        <v/>
      </c>
      <c r="O1624" s="64" t="str">
        <f>Ringkasan!O1623</f>
        <v/>
      </c>
      <c r="P1624" s="64" t="str">
        <f>Ringkasan!P1623</f>
        <v/>
      </c>
      <c r="Q1624" s="64" t="str">
        <f>Ringkasan!Q1623</f>
        <v/>
      </c>
      <c r="R1624" s="64" t="str">
        <f>Ringkasan!R1623</f>
        <v/>
      </c>
      <c r="S1624" s="64" t="str">
        <f>Ringkasan!S1623</f>
        <v/>
      </c>
      <c r="T1624" s="64" t="str">
        <f>Ringkasan!T1623</f>
        <v/>
      </c>
      <c r="U1624" s="64">
        <f>Ringkasan!U1623</f>
        <v>300</v>
      </c>
      <c r="V1624" s="64">
        <f>Ringkasan!V1623</f>
        <v>7.33</v>
      </c>
      <c r="W1624" s="64">
        <f>Ringkasan!W1623</f>
        <v>310</v>
      </c>
      <c r="X1624" s="64">
        <f>Ringkasan!X1623</f>
        <v>348</v>
      </c>
      <c r="Y1624" s="64">
        <f>Ringkasan!Y1623</f>
        <v>308</v>
      </c>
      <c r="Z1624" s="64">
        <f>Ringkasan!Z1623</f>
        <v>20102200</v>
      </c>
      <c r="AA1624" s="64" t="str">
        <f>Ringkasan!AA1623</f>
        <v>Oil &amp; Gas</v>
      </c>
      <c r="AB1624" s="64" t="str">
        <f>Ringkasan!AB1623</f>
        <v>Energy</v>
      </c>
    </row>
    <row r="1625" hidden="1">
      <c r="A1625" s="64" t="str">
        <f>Ringkasan!A1624</f>
        <v>SOFA</v>
      </c>
      <c r="B1625" s="64" t="str">
        <f>Ringkasan!B1624</f>
        <v>Solusi Environment Asia Tbk.</v>
      </c>
      <c r="C1625" s="65">
        <f>Ringkasan!C1624</f>
        <v>252</v>
      </c>
      <c r="D1625" s="64" t="str">
        <f>Ringkasan!D1624</f>
        <v>#N/A</v>
      </c>
      <c r="E1625" s="64" t="str">
        <f>Ringkasan!E1624</f>
        <v/>
      </c>
      <c r="F1625" s="64" t="str">
        <f>Ringkasan!F1624</f>
        <v/>
      </c>
      <c r="G1625" s="64">
        <f>Ringkasan!G1624</f>
        <v>0</v>
      </c>
      <c r="H1625" s="19">
        <f>Ringkasan!H1624</f>
        <v>-130</v>
      </c>
      <c r="I1625" s="19">
        <f>Ringkasan!I1624</f>
        <v>16.9</v>
      </c>
      <c r="J1625" s="19">
        <f>Ringkasan!J1624</f>
        <v>-13.3</v>
      </c>
      <c r="K1625" s="19">
        <f>Ringkasan!K1624</f>
        <v>-10</v>
      </c>
      <c r="L1625" s="19">
        <f>Ringkasan!L1624</f>
        <v>0.33</v>
      </c>
      <c r="M1625" s="19">
        <f>Ringkasan!M1624</f>
        <v>-11.5</v>
      </c>
      <c r="N1625" s="64" t="str">
        <f>Ringkasan!N1624</f>
        <v/>
      </c>
      <c r="O1625" s="64" t="str">
        <f>Ringkasan!O1624</f>
        <v/>
      </c>
      <c r="P1625" s="64" t="str">
        <f>Ringkasan!P1624</f>
        <v/>
      </c>
      <c r="Q1625" s="64" t="str">
        <f>Ringkasan!Q1624</f>
        <v/>
      </c>
      <c r="R1625" s="64" t="str">
        <f>Ringkasan!R1624</f>
        <v/>
      </c>
      <c r="S1625" s="64" t="str">
        <f>Ringkasan!S1624</f>
        <v/>
      </c>
      <c r="T1625" s="64" t="str">
        <f>Ringkasan!T1624</f>
        <v/>
      </c>
      <c r="U1625" s="64">
        <f>Ringkasan!U1624</f>
        <v>13.18</v>
      </c>
      <c r="V1625" s="64">
        <f>Ringkasan!V1624</f>
        <v>-1.21</v>
      </c>
      <c r="W1625" s="64">
        <f>Ringkasan!W1624</f>
        <v>13.59</v>
      </c>
      <c r="X1625" s="64">
        <f>Ringkasan!X1624</f>
        <v>13.59</v>
      </c>
      <c r="Y1625" s="64">
        <f>Ringkasan!Y1624</f>
        <v>12.62</v>
      </c>
      <c r="Z1625" s="64">
        <f>Ringkasan!Z1624</f>
        <v>105285</v>
      </c>
      <c r="AA1625" s="64" t="str">
        <f>Ringkasan!AA1624</f>
        <v>Household Goods</v>
      </c>
      <c r="AB1625" s="64" t="str">
        <f>Ringkasan!AB1624</f>
        <v>Consumer Cyclicals</v>
      </c>
    </row>
    <row r="1626" hidden="1">
      <c r="A1626" s="64" t="str">
        <f>Ringkasan!A1625</f>
        <v>SOHO</v>
      </c>
      <c r="B1626" s="64" t="str">
        <f>Ringkasan!B1625</f>
        <v>Soho Global Health Tbk.</v>
      </c>
      <c r="C1626" s="65">
        <f>Ringkasan!C1625</f>
        <v>1170</v>
      </c>
      <c r="D1626" s="64" t="str">
        <f>Ringkasan!D1625</f>
        <v>#N/A</v>
      </c>
      <c r="E1626" s="64" t="str">
        <f>Ringkasan!E1625</f>
        <v/>
      </c>
      <c r="F1626" s="64" t="str">
        <f>Ringkasan!F1625</f>
        <v/>
      </c>
      <c r="G1626" s="64">
        <f>Ringkasan!G1625</f>
        <v>0</v>
      </c>
      <c r="H1626" s="19">
        <f>Ringkasan!H1625</f>
        <v>29</v>
      </c>
      <c r="I1626" s="19">
        <f>Ringkasan!I1625</f>
        <v>6.9</v>
      </c>
      <c r="J1626" s="19">
        <f>Ringkasan!J1625</f>
        <v>23.7</v>
      </c>
      <c r="K1626" s="19">
        <f>Ringkasan!K1625</f>
        <v>11.3</v>
      </c>
      <c r="L1626" s="19">
        <f>Ringkasan!L1625</f>
        <v>1.1</v>
      </c>
      <c r="M1626" s="19">
        <f>Ringkasan!M1625</f>
        <v>24.9</v>
      </c>
      <c r="N1626" s="64" t="str">
        <f>Ringkasan!N1625</f>
        <v/>
      </c>
      <c r="O1626" s="64" t="str">
        <f>Ringkasan!O1625</f>
        <v/>
      </c>
      <c r="P1626" s="64" t="str">
        <f>Ringkasan!P1625</f>
        <v/>
      </c>
      <c r="Q1626" s="64" t="str">
        <f>Ringkasan!Q1625</f>
        <v/>
      </c>
      <c r="R1626" s="64" t="str">
        <f>Ringkasan!R1625</f>
        <v/>
      </c>
      <c r="S1626" s="64" t="str">
        <f>Ringkasan!S1625</f>
        <v/>
      </c>
      <c r="T1626" s="64" t="str">
        <f>Ringkasan!T1625</f>
        <v/>
      </c>
      <c r="U1626" s="64">
        <f>Ringkasan!U1625</f>
        <v>70.8</v>
      </c>
      <c r="V1626" s="64">
        <f>Ringkasan!V1625</f>
        <v>0.14</v>
      </c>
      <c r="W1626" s="64">
        <f>Ringkasan!W1625</f>
        <v>70.94</v>
      </c>
      <c r="X1626" s="64">
        <f>Ringkasan!X1625</f>
        <v>73</v>
      </c>
      <c r="Y1626" s="64">
        <f>Ringkasan!Y1625</f>
        <v>70.6</v>
      </c>
      <c r="Z1626" s="64">
        <f>Ringkasan!Z1625</f>
        <v>3694020</v>
      </c>
      <c r="AA1626" s="64" t="str">
        <f>Ringkasan!AA1625</f>
        <v>Pharmaceuticals</v>
      </c>
      <c r="AB1626" s="64" t="str">
        <f>Ringkasan!AB1625</f>
        <v>Healthcare</v>
      </c>
    </row>
    <row r="1627" hidden="1">
      <c r="A1627" s="64" t="str">
        <f>Ringkasan!A1626</f>
        <v>SOLA</v>
      </c>
      <c r="B1627" s="64" t="str">
        <f>Ringkasan!B1626</f>
        <v>Xolare RCR Energy Tbk.</v>
      </c>
      <c r="C1627" s="65">
        <f>Ringkasan!C1626</f>
        <v>91</v>
      </c>
      <c r="D1627" s="64" t="str">
        <f>Ringkasan!D1626</f>
        <v>#N/A</v>
      </c>
      <c r="E1627" s="64" t="str">
        <f>Ringkasan!E1626</f>
        <v/>
      </c>
      <c r="F1627" s="64" t="str">
        <f>Ringkasan!F1626</f>
        <v/>
      </c>
      <c r="G1627" s="64">
        <f>Ringkasan!G1626</f>
        <v>0</v>
      </c>
      <c r="H1627" s="19">
        <f>Ringkasan!H1626</f>
        <v>6.8</v>
      </c>
      <c r="I1627" s="19">
        <f>Ringkasan!I1626</f>
        <v>1.8</v>
      </c>
      <c r="J1627" s="19">
        <f>Ringkasan!J1626</f>
        <v>27.2</v>
      </c>
      <c r="K1627" s="19">
        <f>Ringkasan!K1626</f>
        <v>16.4</v>
      </c>
      <c r="L1627" s="19">
        <f>Ringkasan!L1626</f>
        <v>0.66</v>
      </c>
      <c r="M1627" s="19">
        <f>Ringkasan!M1626</f>
        <v>73.7</v>
      </c>
      <c r="N1627" s="64" t="str">
        <f>Ringkasan!N1626</f>
        <v/>
      </c>
      <c r="O1627" s="64" t="str">
        <f>Ringkasan!O1626</f>
        <v/>
      </c>
      <c r="P1627" s="64" t="str">
        <f>Ringkasan!P1626</f>
        <v/>
      </c>
      <c r="Q1627" s="64" t="str">
        <f>Ringkasan!Q1626</f>
        <v/>
      </c>
      <c r="R1627" s="64" t="str">
        <f>Ringkasan!R1626</f>
        <v/>
      </c>
      <c r="S1627" s="64" t="str">
        <f>Ringkasan!S1626</f>
        <v/>
      </c>
      <c r="T1627" s="64" t="str">
        <f>Ringkasan!T1626</f>
        <v/>
      </c>
      <c r="U1627" s="64">
        <f>Ringkasan!U1626</f>
        <v>4.91</v>
      </c>
      <c r="V1627" s="64">
        <f>Ringkasan!V1626</f>
        <v>0.41</v>
      </c>
      <c r="W1627" s="64">
        <f>Ringkasan!W1626</f>
        <v>4.92</v>
      </c>
      <c r="X1627" s="64">
        <f>Ringkasan!X1626</f>
        <v>5.04</v>
      </c>
      <c r="Y1627" s="64">
        <f>Ringkasan!Y1626</f>
        <v>4.92</v>
      </c>
      <c r="Z1627" s="64">
        <f>Ringkasan!Z1626</f>
        <v>3781</v>
      </c>
      <c r="AA1627" s="64" t="str">
        <f>Ringkasan!AA1626</f>
        <v>Construction Materials</v>
      </c>
      <c r="AB1627" s="64" t="str">
        <f>Ringkasan!AB1626</f>
        <v>Basic Materials</v>
      </c>
    </row>
    <row r="1628" hidden="1">
      <c r="A1628" s="64" t="str">
        <f>Ringkasan!A1627</f>
        <v>SONA</v>
      </c>
      <c r="B1628" s="64" t="str">
        <f>Ringkasan!B1627</f>
        <v>Sona Topas Tourism Industry Tbk.</v>
      </c>
      <c r="C1628" s="65">
        <f>Ringkasan!C1627</f>
        <v>2060</v>
      </c>
      <c r="D1628" s="64" t="str">
        <f>Ringkasan!D1627</f>
        <v>#N/A</v>
      </c>
      <c r="E1628" s="64" t="str">
        <f>Ringkasan!E1627</f>
        <v/>
      </c>
      <c r="F1628" s="64" t="str">
        <f>Ringkasan!F1627</f>
        <v/>
      </c>
      <c r="G1628" s="64">
        <f>Ringkasan!G1627</f>
        <v>0</v>
      </c>
      <c r="H1628" s="19">
        <f>Ringkasan!H1627</f>
        <v>16.5</v>
      </c>
      <c r="I1628" s="19">
        <f>Ringkasan!I1627</f>
        <v>1.9</v>
      </c>
      <c r="J1628" s="19">
        <f>Ringkasan!J1627</f>
        <v>11.7</v>
      </c>
      <c r="K1628" s="19">
        <f>Ringkasan!K1627</f>
        <v>8.8</v>
      </c>
      <c r="L1628" s="19">
        <f>Ringkasan!L1627</f>
        <v>0.33</v>
      </c>
      <c r="M1628" s="19">
        <f>Ringkasan!M1627</f>
        <v>43.2</v>
      </c>
      <c r="N1628" s="64" t="str">
        <f>Ringkasan!N1627</f>
        <v/>
      </c>
      <c r="O1628" s="64" t="str">
        <f>Ringkasan!O1627</f>
        <v/>
      </c>
      <c r="P1628" s="64" t="str">
        <f>Ringkasan!P1627</f>
        <v/>
      </c>
      <c r="Q1628" s="64" t="str">
        <f>Ringkasan!Q1627</f>
        <v/>
      </c>
      <c r="R1628" s="64" t="str">
        <f>Ringkasan!R1627</f>
        <v/>
      </c>
      <c r="S1628" s="64" t="str">
        <f>Ringkasan!S1627</f>
        <v/>
      </c>
      <c r="T1628" s="64" t="str">
        <f>Ringkasan!T1627</f>
        <v/>
      </c>
      <c r="U1628" s="64">
        <f>Ringkasan!U1627</f>
        <v>0.28</v>
      </c>
      <c r="V1628" s="64">
        <f>Ringkasan!V1627</f>
        <v>0</v>
      </c>
      <c r="W1628" s="64">
        <f>Ringkasan!W1627</f>
        <v>0.29</v>
      </c>
      <c r="X1628" s="64">
        <f>Ringkasan!X1627</f>
        <v>0.29</v>
      </c>
      <c r="Y1628" s="64">
        <f>Ringkasan!Y1627</f>
        <v>0.26</v>
      </c>
      <c r="Z1628" s="64">
        <f>Ringkasan!Z1627</f>
        <v>73781</v>
      </c>
      <c r="AA1628" s="64" t="str">
        <f>Ringkasan!AA1627</f>
        <v>Department Stores</v>
      </c>
      <c r="AB1628" s="64" t="str">
        <f>Ringkasan!AB1627</f>
        <v>Consumer Cyclicals</v>
      </c>
    </row>
    <row r="1629" hidden="1">
      <c r="A1629" s="64" t="str">
        <f>Ringkasan!A1628</f>
        <v>SOSS</v>
      </c>
      <c r="B1629" s="64" t="str">
        <f>Ringkasan!B1628</f>
        <v>Shield On Service Tbk.</v>
      </c>
      <c r="C1629" s="65">
        <f>Ringkasan!C1628</f>
        <v>775</v>
      </c>
      <c r="D1629" s="64" t="str">
        <f>Ringkasan!D1628</f>
        <v>#N/A</v>
      </c>
      <c r="E1629" s="64" t="str">
        <f>Ringkasan!E1628</f>
        <v/>
      </c>
      <c r="F1629" s="64" t="str">
        <f>Ringkasan!F1628</f>
        <v/>
      </c>
      <c r="G1629" s="64">
        <f>Ringkasan!G1628</f>
        <v>0</v>
      </c>
      <c r="H1629" s="19">
        <f>Ringkasan!H1628</f>
        <v>-42.9</v>
      </c>
      <c r="I1629" s="19">
        <f>Ringkasan!I1628</f>
        <v>2.9</v>
      </c>
      <c r="J1629" s="19">
        <f>Ringkasan!J1628</f>
        <v>-6.8</v>
      </c>
      <c r="K1629" s="19">
        <f>Ringkasan!K1628</f>
        <v>-3.1</v>
      </c>
      <c r="L1629" s="19">
        <f>Ringkasan!L1628</f>
        <v>1.2</v>
      </c>
      <c r="M1629" s="19">
        <f>Ringkasan!M1628</f>
        <v>-3.4</v>
      </c>
      <c r="N1629" s="64" t="str">
        <f>Ringkasan!N1628</f>
        <v/>
      </c>
      <c r="O1629" s="64" t="str">
        <f>Ringkasan!O1628</f>
        <v/>
      </c>
      <c r="P1629" s="64" t="str">
        <f>Ringkasan!P1628</f>
        <v/>
      </c>
      <c r="Q1629" s="64" t="str">
        <f>Ringkasan!Q1628</f>
        <v/>
      </c>
      <c r="R1629" s="64" t="str">
        <f>Ringkasan!R1628</f>
        <v/>
      </c>
      <c r="S1629" s="64" t="str">
        <f>Ringkasan!S1628</f>
        <v/>
      </c>
      <c r="T1629" s="64" t="str">
        <f>Ringkasan!T1628</f>
        <v/>
      </c>
      <c r="U1629" s="64">
        <f>Ringkasan!U1628</f>
        <v>775</v>
      </c>
      <c r="V1629" s="64">
        <f>Ringkasan!V1628</f>
        <v>0</v>
      </c>
      <c r="W1629" s="64">
        <f>Ringkasan!W1628</f>
        <v>775</v>
      </c>
      <c r="X1629" s="64">
        <f>Ringkasan!X1628</f>
        <v>775</v>
      </c>
      <c r="Y1629" s="64">
        <f>Ringkasan!Y1628</f>
        <v>775</v>
      </c>
      <c r="Z1629" s="64">
        <f>Ringkasan!Z1628</f>
        <v>200</v>
      </c>
      <c r="AA1629" s="64" t="str">
        <f>Ringkasan!AA1628</f>
        <v>Professional Services</v>
      </c>
      <c r="AB1629" s="64" t="str">
        <f>Ringkasan!AB1628</f>
        <v>Industrials</v>
      </c>
    </row>
    <row r="1630" hidden="1">
      <c r="A1630" s="64" t="str">
        <f>Ringkasan!A1506</f>
        <v>RDTX</v>
      </c>
      <c r="B1630" s="64" t="str">
        <f>Ringkasan!B1506</f>
        <v>Roda Vivatex Tbk</v>
      </c>
      <c r="C1630" s="65">
        <f>Ringkasan!C1506</f>
        <v>14300</v>
      </c>
      <c r="D1630" s="64" t="str">
        <f>Ringkasan!D1506</f>
        <v>#N/A</v>
      </c>
      <c r="E1630" s="64" t="str">
        <f>Ringkasan!E1506</f>
        <v/>
      </c>
      <c r="F1630" s="64" t="str">
        <f>Ringkasan!F1506</f>
        <v/>
      </c>
      <c r="G1630" s="64">
        <f>Ringkasan!G1506</f>
        <v>0</v>
      </c>
      <c r="H1630" s="19">
        <f>Ringkasan!H1506</f>
        <v>12.1</v>
      </c>
      <c r="I1630" s="19">
        <f>Ringkasan!I1506</f>
        <v>1.4</v>
      </c>
      <c r="J1630" s="19">
        <f>Ringkasan!J1506</f>
        <v>11.1</v>
      </c>
      <c r="K1630" s="19">
        <f>Ringkasan!K1506</f>
        <v>9.9</v>
      </c>
      <c r="L1630" s="19">
        <f>Ringkasan!L1506</f>
        <v>0.12</v>
      </c>
      <c r="M1630" s="19">
        <f>Ringkasan!M1506</f>
        <v>260</v>
      </c>
      <c r="N1630" s="64" t="str">
        <f>Ringkasan!N1506</f>
        <v/>
      </c>
      <c r="O1630" s="64" t="str">
        <f>Ringkasan!O1506</f>
        <v/>
      </c>
      <c r="P1630" s="64" t="str">
        <f>Ringkasan!P1506</f>
        <v/>
      </c>
      <c r="Q1630" s="64" t="str">
        <f>Ringkasan!Q1506</f>
        <v/>
      </c>
      <c r="R1630" s="64" t="str">
        <f>Ringkasan!R1506</f>
        <v/>
      </c>
      <c r="S1630" s="64" t="str">
        <f>Ringkasan!S1506</f>
        <v/>
      </c>
      <c r="T1630" s="64" t="str">
        <f>Ringkasan!T1506</f>
        <v/>
      </c>
      <c r="U1630" s="64">
        <f>Ringkasan!U1506</f>
        <v>14475</v>
      </c>
      <c r="V1630" s="64">
        <f>Ringkasan!V1506</f>
        <v>-1.21</v>
      </c>
      <c r="W1630" s="64">
        <f>Ringkasan!W1506</f>
        <v>14300</v>
      </c>
      <c r="X1630" s="64">
        <f>Ringkasan!X1506</f>
        <v>14300</v>
      </c>
      <c r="Y1630" s="64">
        <f>Ringkasan!Y1506</f>
        <v>14300</v>
      </c>
      <c r="Z1630" s="64">
        <f>Ringkasan!Z1506</f>
        <v>3100</v>
      </c>
      <c r="AA1630" s="64" t="str">
        <f>Ringkasan!AA1506</f>
        <v>Real Estate Management &amp; Development</v>
      </c>
      <c r="AB1630" s="64" t="str">
        <f>Ringkasan!AB1506</f>
        <v>Properties &amp; Real Estate</v>
      </c>
    </row>
    <row r="1631" hidden="1">
      <c r="A1631" s="64" t="str">
        <f>Ringkasan!A1507</f>
        <v>REAL</v>
      </c>
      <c r="B1631" s="64" t="str">
        <f>Ringkasan!B1507</f>
        <v>Repower Asia Indonesia Tbk.</v>
      </c>
      <c r="C1631" s="65">
        <f>Ringkasan!C1507</f>
        <v>50</v>
      </c>
      <c r="D1631" s="64" t="str">
        <f>Ringkasan!D1507</f>
        <v>#N/A</v>
      </c>
      <c r="E1631" s="64" t="str">
        <f>Ringkasan!E1507</f>
        <v/>
      </c>
      <c r="F1631" s="64" t="str">
        <f>Ringkasan!F1507</f>
        <v/>
      </c>
      <c r="G1631" s="64">
        <f>Ringkasan!G1507</f>
        <v>0</v>
      </c>
      <c r="H1631" s="19">
        <f>Ringkasan!H1507</f>
        <v>-130</v>
      </c>
      <c r="I1631" s="19">
        <f>Ringkasan!I1507</f>
        <v>0.91</v>
      </c>
      <c r="J1631" s="19">
        <f>Ringkasan!J1507</f>
        <v>-0.72</v>
      </c>
      <c r="K1631" s="19">
        <f>Ringkasan!K1507</f>
        <v>-0.71</v>
      </c>
      <c r="L1631" s="19">
        <f>Ringkasan!L1507</f>
        <v>0.01</v>
      </c>
      <c r="M1631" s="19">
        <f>Ringkasan!M1507</f>
        <v>-180</v>
      </c>
      <c r="N1631" s="64" t="str">
        <f>Ringkasan!N1507</f>
        <v/>
      </c>
      <c r="O1631" s="64" t="str">
        <f>Ringkasan!O1507</f>
        <v/>
      </c>
      <c r="P1631" s="64" t="str">
        <f>Ringkasan!P1507</f>
        <v/>
      </c>
      <c r="Q1631" s="64" t="str">
        <f>Ringkasan!Q1507</f>
        <v/>
      </c>
      <c r="R1631" s="64" t="str">
        <f>Ringkasan!R1507</f>
        <v/>
      </c>
      <c r="S1631" s="64" t="str">
        <f>Ringkasan!S1507</f>
        <v/>
      </c>
      <c r="T1631" s="64" t="str">
        <f>Ringkasan!T1507</f>
        <v/>
      </c>
      <c r="U1631" s="64">
        <f>Ringkasan!U1507</f>
        <v>9.84</v>
      </c>
      <c r="V1631" s="64">
        <f>Ringkasan!V1507</f>
        <v>4.47</v>
      </c>
      <c r="W1631" s="64">
        <f>Ringkasan!W1507</f>
        <v>9.95</v>
      </c>
      <c r="X1631" s="64">
        <f>Ringkasan!X1507</f>
        <v>10.3</v>
      </c>
      <c r="Y1631" s="64">
        <f>Ringkasan!Y1507</f>
        <v>9.77</v>
      </c>
      <c r="Z1631" s="64">
        <f>Ringkasan!Z1507</f>
        <v>2233652</v>
      </c>
      <c r="AA1631" s="64" t="str">
        <f>Ringkasan!AA1507</f>
        <v>Real Estate Management &amp; Development</v>
      </c>
      <c r="AB1631" s="64" t="str">
        <f>Ringkasan!AB1507</f>
        <v>Properties &amp; Real Estate</v>
      </c>
    </row>
    <row r="1632" hidden="1">
      <c r="A1632" s="64" t="str">
        <f>Ringkasan!A1631</f>
        <v>SPMA</v>
      </c>
      <c r="B1632" s="64" t="str">
        <f>Ringkasan!B1631</f>
        <v>Suparma Tbk.</v>
      </c>
      <c r="C1632" s="65">
        <f>Ringkasan!C1631</f>
        <v>206</v>
      </c>
      <c r="D1632" s="64" t="str">
        <f>Ringkasan!D1631</f>
        <v>#N/A</v>
      </c>
      <c r="E1632" s="64" t="str">
        <f>Ringkasan!E1631</f>
        <v/>
      </c>
      <c r="F1632" s="64" t="str">
        <f>Ringkasan!F1631</f>
        <v/>
      </c>
      <c r="G1632" s="64">
        <f>Ringkasan!G1631</f>
        <v>0</v>
      </c>
      <c r="H1632" s="19">
        <f>Ringkasan!H1631</f>
        <v>8.3</v>
      </c>
      <c r="I1632" s="19">
        <f>Ringkasan!I1631</f>
        <v>0.34</v>
      </c>
      <c r="J1632" s="19">
        <f>Ringkasan!J1631</f>
        <v>4.1</v>
      </c>
      <c r="K1632" s="19">
        <f>Ringkasan!K1631</f>
        <v>2.8</v>
      </c>
      <c r="L1632" s="19">
        <f>Ringkasan!L1631</f>
        <v>0.5</v>
      </c>
      <c r="M1632" s="19">
        <f>Ringkasan!M1631</f>
        <v>15.8</v>
      </c>
      <c r="N1632" s="64" t="str">
        <f>Ringkasan!N1631</f>
        <v/>
      </c>
      <c r="O1632" s="64" t="str">
        <f>Ringkasan!O1631</f>
        <v/>
      </c>
      <c r="P1632" s="64" t="str">
        <f>Ringkasan!P1631</f>
        <v/>
      </c>
      <c r="Q1632" s="64" t="str">
        <f>Ringkasan!Q1631</f>
        <v/>
      </c>
      <c r="R1632" s="64" t="str">
        <f>Ringkasan!R1631</f>
        <v/>
      </c>
      <c r="S1632" s="64" t="str">
        <f>Ringkasan!S1631</f>
        <v/>
      </c>
      <c r="T1632" s="64" t="str">
        <f>Ringkasan!T1631</f>
        <v/>
      </c>
      <c r="U1632" s="64">
        <f>Ringkasan!U1631</f>
        <v>25.13</v>
      </c>
      <c r="V1632" s="64">
        <f>Ringkasan!V1631</f>
        <v>-0.36</v>
      </c>
      <c r="W1632" s="64">
        <f>Ringkasan!W1631</f>
        <v>25.03</v>
      </c>
      <c r="X1632" s="64">
        <f>Ringkasan!X1631</f>
        <v>25.05</v>
      </c>
      <c r="Y1632" s="64">
        <f>Ringkasan!Y1631</f>
        <v>25.02</v>
      </c>
      <c r="Z1632" s="64">
        <f>Ringkasan!Z1631</f>
        <v>10411</v>
      </c>
      <c r="AA1632" s="64" t="str">
        <f>Ringkasan!AA1631</f>
        <v>Containers &amp; Packaging</v>
      </c>
      <c r="AB1632" s="64" t="str">
        <f>Ringkasan!AB1631</f>
        <v>Basic Materials</v>
      </c>
    </row>
    <row r="1633" hidden="1">
      <c r="A1633" s="64" t="str">
        <f>Ringkasan!A1508</f>
        <v>RELF</v>
      </c>
      <c r="B1633" s="64" t="str">
        <f>Ringkasan!B1508</f>
        <v>PT Graha Mitra Asia Tbk.</v>
      </c>
      <c r="C1633" s="65">
        <f>Ringkasan!C1508</f>
        <v>34</v>
      </c>
      <c r="D1633" s="64" t="str">
        <f>Ringkasan!D1508</f>
        <v>#N/A</v>
      </c>
      <c r="E1633" s="64" t="str">
        <f>Ringkasan!E1508</f>
        <v/>
      </c>
      <c r="F1633" s="64" t="str">
        <f>Ringkasan!F1508</f>
        <v/>
      </c>
      <c r="G1633" s="64">
        <f>Ringkasan!G1508</f>
        <v>0</v>
      </c>
      <c r="H1633" s="19">
        <f>Ringkasan!H1508</f>
        <v>24.8</v>
      </c>
      <c r="I1633" s="19">
        <f>Ringkasan!I1508</f>
        <v>0.87</v>
      </c>
      <c r="J1633" s="19">
        <f>Ringkasan!J1508</f>
        <v>3.5</v>
      </c>
      <c r="K1633" s="19">
        <f>Ringkasan!K1508</f>
        <v>3</v>
      </c>
      <c r="L1633" s="19">
        <f>Ringkasan!L1508</f>
        <v>0.18</v>
      </c>
      <c r="M1633" s="19">
        <f>Ringkasan!M1508</f>
        <v>21.6</v>
      </c>
      <c r="N1633" s="64" t="str">
        <f>Ringkasan!N1508</f>
        <v/>
      </c>
      <c r="O1633" s="64" t="str">
        <f>Ringkasan!O1508</f>
        <v/>
      </c>
      <c r="P1633" s="64" t="str">
        <f>Ringkasan!P1508</f>
        <v/>
      </c>
      <c r="Q1633" s="64" t="str">
        <f>Ringkasan!Q1508</f>
        <v/>
      </c>
      <c r="R1633" s="64" t="str">
        <f>Ringkasan!R1508</f>
        <v/>
      </c>
      <c r="S1633" s="64" t="str">
        <f>Ringkasan!S1508</f>
        <v/>
      </c>
      <c r="T1633" s="64" t="str">
        <f>Ringkasan!T1508</f>
        <v/>
      </c>
      <c r="U1633" s="64">
        <f>Ringkasan!U1508</f>
        <v>34</v>
      </c>
      <c r="V1633" s="64">
        <f>Ringkasan!V1508</f>
        <v>0</v>
      </c>
      <c r="W1633" s="64">
        <f>Ringkasan!W1508</f>
        <v>33</v>
      </c>
      <c r="X1633" s="64">
        <f>Ringkasan!X1508</f>
        <v>34</v>
      </c>
      <c r="Y1633" s="64">
        <f>Ringkasan!Y1508</f>
        <v>32</v>
      </c>
      <c r="Z1633" s="64">
        <f>Ringkasan!Z1508</f>
        <v>3292100</v>
      </c>
      <c r="AA1633" s="64" t="str">
        <f>Ringkasan!AA1508</f>
        <v>Real Estate Management &amp; Development</v>
      </c>
      <c r="AB1633" s="64" t="str">
        <f>Ringkasan!AB1508</f>
        <v>Properties &amp; Real Estate</v>
      </c>
    </row>
    <row r="1634" hidden="1">
      <c r="A1634" s="64" t="str">
        <f>Ringkasan!A1509</f>
        <v>RELI</v>
      </c>
      <c r="B1634" s="64" t="str">
        <f>Ringkasan!B1509</f>
        <v>Reliance Sekuritas Indonesia Tbk.</v>
      </c>
      <c r="C1634" s="65">
        <f>Ringkasan!C1509</f>
        <v>484</v>
      </c>
      <c r="D1634" s="64" t="str">
        <f>Ringkasan!D1509</f>
        <v>#N/A</v>
      </c>
      <c r="E1634" s="64" t="str">
        <f>Ringkasan!E1509</f>
        <v/>
      </c>
      <c r="F1634" s="64" t="str">
        <f>Ringkasan!F1509</f>
        <v/>
      </c>
      <c r="G1634" s="64">
        <f>Ringkasan!G1509</f>
        <v>0</v>
      </c>
      <c r="H1634" s="19">
        <f>Ringkasan!H1509</f>
        <v>74.4</v>
      </c>
      <c r="I1634" s="19">
        <f>Ringkasan!I1509</f>
        <v>1.7</v>
      </c>
      <c r="J1634" s="19">
        <f>Ringkasan!J1509</f>
        <v>2.3</v>
      </c>
      <c r="K1634" s="19">
        <f>Ringkasan!K1509</f>
        <v>1.7</v>
      </c>
      <c r="L1634" s="19">
        <f>Ringkasan!L1509</f>
        <v>0.33</v>
      </c>
      <c r="M1634" s="19">
        <f>Ringkasan!M1509</f>
        <v>210</v>
      </c>
      <c r="N1634" s="64" t="str">
        <f>Ringkasan!N1509</f>
        <v/>
      </c>
      <c r="O1634" s="64" t="str">
        <f>Ringkasan!O1509</f>
        <v/>
      </c>
      <c r="P1634" s="64" t="str">
        <f>Ringkasan!P1509</f>
        <v/>
      </c>
      <c r="Q1634" s="64" t="str">
        <f>Ringkasan!Q1509</f>
        <v/>
      </c>
      <c r="R1634" s="64" t="str">
        <f>Ringkasan!R1509</f>
        <v/>
      </c>
      <c r="S1634" s="64" t="str">
        <f>Ringkasan!S1509</f>
        <v/>
      </c>
      <c r="T1634" s="64" t="str">
        <f>Ringkasan!T1509</f>
        <v/>
      </c>
      <c r="U1634" s="64">
        <f>Ringkasan!U1509</f>
        <v>486</v>
      </c>
      <c r="V1634" s="64">
        <f>Ringkasan!V1509</f>
        <v>-0.41</v>
      </c>
      <c r="W1634" s="64">
        <f>Ringkasan!W1509</f>
        <v>486</v>
      </c>
      <c r="X1634" s="64">
        <f>Ringkasan!X1509</f>
        <v>488</v>
      </c>
      <c r="Y1634" s="64">
        <f>Ringkasan!Y1509</f>
        <v>472</v>
      </c>
      <c r="Z1634" s="64">
        <f>Ringkasan!Z1509</f>
        <v>3700</v>
      </c>
      <c r="AA1634" s="64" t="str">
        <f>Ringkasan!AA1509</f>
        <v>Investment Services</v>
      </c>
      <c r="AB1634" s="64" t="str">
        <f>Ringkasan!AB1509</f>
        <v>Financials</v>
      </c>
    </row>
    <row r="1635" hidden="1">
      <c r="A1635" s="64" t="str">
        <f>Ringkasan!A1510</f>
        <v>RGAS</v>
      </c>
      <c r="B1635" s="64" t="str">
        <f>Ringkasan!B1510</f>
        <v>Kian Santang Muliatama Tbk.</v>
      </c>
      <c r="C1635" s="65">
        <f>Ringkasan!C1510</f>
        <v>149</v>
      </c>
      <c r="D1635" s="64" t="str">
        <f>Ringkasan!D1510</f>
        <v>#N/A</v>
      </c>
      <c r="E1635" s="64" t="str">
        <f>Ringkasan!E1510</f>
        <v/>
      </c>
      <c r="F1635" s="64" t="str">
        <f>Ringkasan!F1510</f>
        <v/>
      </c>
      <c r="G1635" s="64">
        <f>Ringkasan!G1510</f>
        <v>0</v>
      </c>
      <c r="H1635" s="19">
        <f>Ringkasan!H1510</f>
        <v>9.7</v>
      </c>
      <c r="I1635" s="19">
        <f>Ringkasan!I1510</f>
        <v>1.4</v>
      </c>
      <c r="J1635" s="19">
        <f>Ringkasan!J1510</f>
        <v>14.7</v>
      </c>
      <c r="K1635" s="19">
        <f>Ringkasan!K1510</f>
        <v>12.2</v>
      </c>
      <c r="L1635" s="19">
        <f>Ringkasan!L1510</f>
        <v>0.2</v>
      </c>
      <c r="M1635" s="19">
        <f>Ringkasan!M1510</f>
        <v>51.7</v>
      </c>
      <c r="N1635" s="64" t="str">
        <f>Ringkasan!N1510</f>
        <v/>
      </c>
      <c r="O1635" s="64" t="str">
        <f>Ringkasan!O1510</f>
        <v/>
      </c>
      <c r="P1635" s="64" t="str">
        <f>Ringkasan!P1510</f>
        <v/>
      </c>
      <c r="Q1635" s="64" t="str">
        <f>Ringkasan!Q1510</f>
        <v/>
      </c>
      <c r="R1635" s="64" t="str">
        <f>Ringkasan!R1510</f>
        <v/>
      </c>
      <c r="S1635" s="64" t="str">
        <f>Ringkasan!S1510</f>
        <v/>
      </c>
      <c r="T1635" s="64" t="str">
        <f>Ringkasan!T1510</f>
        <v/>
      </c>
      <c r="U1635" s="64">
        <f>Ringkasan!U1510</f>
        <v>150</v>
      </c>
      <c r="V1635" s="64">
        <f>Ringkasan!V1510</f>
        <v>-0.67</v>
      </c>
      <c r="W1635" s="64">
        <f>Ringkasan!W1510</f>
        <v>154</v>
      </c>
      <c r="X1635" s="64">
        <f>Ringkasan!X1510</f>
        <v>165</v>
      </c>
      <c r="Y1635" s="64">
        <f>Ringkasan!Y1510</f>
        <v>144</v>
      </c>
      <c r="Z1635" s="64">
        <f>Ringkasan!Z1510</f>
        <v>112046700</v>
      </c>
      <c r="AA1635" s="64" t="str">
        <f>Ringkasan!AA1510</f>
        <v>Oil, Gas &amp; Coal Supports</v>
      </c>
      <c r="AB1635" s="64" t="str">
        <f>Ringkasan!AB1510</f>
        <v>Energy</v>
      </c>
    </row>
    <row r="1636" hidden="1">
      <c r="A1636" s="64" t="str">
        <f>Ringkasan!A1511</f>
        <v>RICY</v>
      </c>
      <c r="B1636" s="64" t="str">
        <f>Ringkasan!B1511</f>
        <v>Ricky Putra Globalindo Tbk</v>
      </c>
      <c r="C1636" s="65">
        <f>Ringkasan!C1511</f>
        <v>72</v>
      </c>
      <c r="D1636" s="64" t="str">
        <f>Ringkasan!D1511</f>
        <v>#N/A</v>
      </c>
      <c r="E1636" s="64" t="str">
        <f>Ringkasan!E1511</f>
        <v/>
      </c>
      <c r="F1636" s="64" t="str">
        <f>Ringkasan!F1511</f>
        <v/>
      </c>
      <c r="G1636" s="64">
        <f>Ringkasan!G1511</f>
        <v>0</v>
      </c>
      <c r="H1636" s="19">
        <f>Ringkasan!H1511</f>
        <v>-0.16</v>
      </c>
      <c r="I1636" s="19">
        <f>Ringkasan!I1511</f>
        <v>0.19</v>
      </c>
      <c r="J1636" s="19">
        <f>Ringkasan!J1511</f>
        <v>-120</v>
      </c>
      <c r="K1636" s="19">
        <f>Ringkasan!K1511</f>
        <v>-17.3</v>
      </c>
      <c r="L1636" s="19">
        <f>Ringkasan!L1511</f>
        <v>6.2</v>
      </c>
      <c r="M1636" s="19">
        <f>Ringkasan!M1511</f>
        <v>-270</v>
      </c>
      <c r="N1636" s="64" t="str">
        <f>Ringkasan!N1511</f>
        <v/>
      </c>
      <c r="O1636" s="64" t="str">
        <f>Ringkasan!O1511</f>
        <v/>
      </c>
      <c r="P1636" s="64" t="str">
        <f>Ringkasan!P1511</f>
        <v/>
      </c>
      <c r="Q1636" s="64" t="str">
        <f>Ringkasan!Q1511</f>
        <v/>
      </c>
      <c r="R1636" s="64" t="str">
        <f>Ringkasan!R1511</f>
        <v/>
      </c>
      <c r="S1636" s="64" t="str">
        <f>Ringkasan!S1511</f>
        <v/>
      </c>
      <c r="T1636" s="64" t="str">
        <f>Ringkasan!T1511</f>
        <v/>
      </c>
      <c r="U1636" s="64">
        <f>Ringkasan!U1511</f>
        <v>69</v>
      </c>
      <c r="V1636" s="64" t="str">
        <f>Ringkasan!V1511</f>
        <v/>
      </c>
      <c r="W1636" s="64">
        <f>Ringkasan!W1511</f>
        <v>73</v>
      </c>
      <c r="X1636" s="64">
        <f>Ringkasan!X1511</f>
        <v>73</v>
      </c>
      <c r="Y1636" s="64">
        <f>Ringkasan!Y1511</f>
        <v>70</v>
      </c>
      <c r="Z1636" s="64">
        <f>Ringkasan!Z1511</f>
        <v>449100</v>
      </c>
      <c r="AA1636" s="64" t="str">
        <f>Ringkasan!AA1511</f>
        <v>Apparel &amp; Luxury Goods</v>
      </c>
      <c r="AB1636" s="64" t="str">
        <f>Ringkasan!AB1511</f>
        <v>Consumer Cyclicals</v>
      </c>
    </row>
    <row r="1637" hidden="1">
      <c r="A1637" s="64" t="str">
        <f>Ringkasan!A1512</f>
        <v>RIGS</v>
      </c>
      <c r="B1637" s="64" t="str">
        <f>Ringkasan!B1512</f>
        <v>Rig Tenders Indonesia Tbk.</v>
      </c>
      <c r="C1637" s="65">
        <f>Ringkasan!C1512</f>
        <v>680</v>
      </c>
      <c r="D1637" s="64" t="str">
        <f>Ringkasan!D1512</f>
        <v>#N/A</v>
      </c>
      <c r="E1637" s="64" t="str">
        <f>Ringkasan!E1512</f>
        <v/>
      </c>
      <c r="F1637" s="64" t="str">
        <f>Ringkasan!F1512</f>
        <v/>
      </c>
      <c r="G1637" s="64">
        <f>Ringkasan!G1512</f>
        <v>0</v>
      </c>
      <c r="H1637" s="19">
        <f>Ringkasan!H1512</f>
        <v>4.7</v>
      </c>
      <c r="I1637" s="19">
        <f>Ringkasan!I1512</f>
        <v>0.44</v>
      </c>
      <c r="J1637" s="19">
        <f>Ringkasan!J1512</f>
        <v>9.5</v>
      </c>
      <c r="K1637" s="19">
        <f>Ringkasan!K1512</f>
        <v>9.4</v>
      </c>
      <c r="L1637" s="19">
        <f>Ringkasan!L1512</f>
        <v>0.01</v>
      </c>
      <c r="M1637" s="19">
        <f>Ringkasan!M1512</f>
        <v>37.7</v>
      </c>
      <c r="N1637" s="64" t="str">
        <f>Ringkasan!N1512</f>
        <v/>
      </c>
      <c r="O1637" s="64" t="str">
        <f>Ringkasan!O1512</f>
        <v/>
      </c>
      <c r="P1637" s="64" t="str">
        <f>Ringkasan!P1512</f>
        <v/>
      </c>
      <c r="Q1637" s="64" t="str">
        <f>Ringkasan!Q1512</f>
        <v/>
      </c>
      <c r="R1637" s="64" t="str">
        <f>Ringkasan!R1512</f>
        <v/>
      </c>
      <c r="S1637" s="64" t="str">
        <f>Ringkasan!S1512</f>
        <v/>
      </c>
      <c r="T1637" s="64" t="str">
        <f>Ringkasan!T1512</f>
        <v/>
      </c>
      <c r="U1637" s="64">
        <f>Ringkasan!U1512</f>
        <v>22.87</v>
      </c>
      <c r="V1637" s="64">
        <f>Ringkasan!V1512</f>
        <v>-0.11</v>
      </c>
      <c r="W1637" s="64">
        <f>Ringkasan!W1512</f>
        <v>22.8</v>
      </c>
      <c r="X1637" s="64">
        <f>Ringkasan!X1512</f>
        <v>22.84</v>
      </c>
      <c r="Y1637" s="64">
        <f>Ringkasan!Y1512</f>
        <v>22.8</v>
      </c>
      <c r="Z1637" s="64">
        <f>Ringkasan!Z1512</f>
        <v>3</v>
      </c>
      <c r="AA1637" s="64" t="str">
        <f>Ringkasan!AA1512</f>
        <v>Coal</v>
      </c>
      <c r="AB1637" s="64" t="str">
        <f>Ringkasan!AB1512</f>
        <v>Energy</v>
      </c>
    </row>
    <row r="1638" hidden="1">
      <c r="A1638" s="64" t="str">
        <f>Ringkasan!A1513</f>
        <v>RIMO</v>
      </c>
      <c r="B1638" s="64" t="str">
        <f>Ringkasan!B1513</f>
        <v>Rimo International Lestari Tbk</v>
      </c>
      <c r="C1638" s="65">
        <f>Ringkasan!C1513</f>
        <v>50</v>
      </c>
      <c r="D1638" s="64" t="str">
        <f>Ringkasan!D1513</f>
        <v>#N/A</v>
      </c>
      <c r="E1638" s="64" t="str">
        <f>Ringkasan!E1513</f>
        <v/>
      </c>
      <c r="F1638" s="64" t="str">
        <f>Ringkasan!F1513</f>
        <v/>
      </c>
      <c r="G1638" s="64">
        <f>Ringkasan!G1513</f>
        <v>0</v>
      </c>
      <c r="H1638" s="19">
        <f>Ringkasan!H1513</f>
        <v>0</v>
      </c>
      <c r="I1638" s="19">
        <f>Ringkasan!I1513</f>
        <v>0.37</v>
      </c>
      <c r="J1638" s="19">
        <f>Ringkasan!J1513</f>
        <v>1.2</v>
      </c>
      <c r="K1638" s="19">
        <f>Ringkasan!K1513</f>
        <v>1.1</v>
      </c>
      <c r="L1638" s="19">
        <f>Ringkasan!L1513</f>
        <v>0.09</v>
      </c>
      <c r="M1638" s="19">
        <f>Ringkasan!M1513</f>
        <v>14.2</v>
      </c>
      <c r="N1638" s="64" t="str">
        <f>Ringkasan!N1513</f>
        <v/>
      </c>
      <c r="O1638" s="64" t="str">
        <f>Ringkasan!O1513</f>
        <v/>
      </c>
      <c r="P1638" s="64" t="str">
        <f>Ringkasan!P1513</f>
        <v/>
      </c>
      <c r="Q1638" s="64" t="str">
        <f>Ringkasan!Q1513</f>
        <v/>
      </c>
      <c r="R1638" s="64" t="str">
        <f>Ringkasan!R1513</f>
        <v/>
      </c>
      <c r="S1638" s="64" t="str">
        <f>Ringkasan!S1513</f>
        <v/>
      </c>
      <c r="T1638" s="64" t="str">
        <f>Ringkasan!T1513</f>
        <v/>
      </c>
      <c r="U1638" s="64">
        <f>Ringkasan!U1513</f>
        <v>50</v>
      </c>
      <c r="V1638" s="64">
        <f>Ringkasan!V1513</f>
        <v>0</v>
      </c>
      <c r="W1638" s="64" t="str">
        <f>Ringkasan!W1513</f>
        <v/>
      </c>
      <c r="X1638" s="64" t="str">
        <f>Ringkasan!X1513</f>
        <v/>
      </c>
      <c r="Y1638" s="64" t="str">
        <f>Ringkasan!Y1513</f>
        <v/>
      </c>
      <c r="Z1638" s="64">
        <f>Ringkasan!Z1513</f>
        <v>0</v>
      </c>
      <c r="AA1638" s="64" t="str">
        <f>Ringkasan!AA1513</f>
        <v>Real Estate Management &amp; Development</v>
      </c>
      <c r="AB1638" s="64" t="str">
        <f>Ringkasan!AB1513</f>
        <v>Properties &amp; Real Estate</v>
      </c>
    </row>
    <row r="1639" hidden="1">
      <c r="A1639" s="64" t="str">
        <f>Ringkasan!A1514</f>
        <v>RISE</v>
      </c>
      <c r="B1639" s="64" t="str">
        <f>Ringkasan!B1514</f>
        <v>Jaya Sukses Makmur Sentosa Tbk.</v>
      </c>
      <c r="C1639" s="65">
        <f>Ringkasan!C1514</f>
        <v>1190</v>
      </c>
      <c r="D1639" s="64" t="str">
        <f>Ringkasan!D1514</f>
        <v>#N/A</v>
      </c>
      <c r="E1639" s="64" t="str">
        <f>Ringkasan!E1514</f>
        <v/>
      </c>
      <c r="F1639" s="64" t="str">
        <f>Ringkasan!F1514</f>
        <v/>
      </c>
      <c r="G1639" s="64">
        <f>Ringkasan!G1514</f>
        <v>0</v>
      </c>
      <c r="H1639" s="19">
        <f>Ringkasan!H1514</f>
        <v>110</v>
      </c>
      <c r="I1639" s="19">
        <f>Ringkasan!I1514</f>
        <v>5.4</v>
      </c>
      <c r="J1639" s="19">
        <f>Ringkasan!J1514</f>
        <v>5</v>
      </c>
      <c r="K1639" s="19">
        <f>Ringkasan!K1514</f>
        <v>4</v>
      </c>
      <c r="L1639" s="19">
        <f>Ringkasan!L1514</f>
        <v>0.23</v>
      </c>
      <c r="M1639" s="19">
        <f>Ringkasan!M1514</f>
        <v>97.1</v>
      </c>
      <c r="N1639" s="64" t="str">
        <f>Ringkasan!N1514</f>
        <v/>
      </c>
      <c r="O1639" s="64" t="str">
        <f>Ringkasan!O1514</f>
        <v/>
      </c>
      <c r="P1639" s="64" t="str">
        <f>Ringkasan!P1514</f>
        <v/>
      </c>
      <c r="Q1639" s="64" t="str">
        <f>Ringkasan!Q1514</f>
        <v/>
      </c>
      <c r="R1639" s="64" t="str">
        <f>Ringkasan!R1514</f>
        <v/>
      </c>
      <c r="S1639" s="64" t="str">
        <f>Ringkasan!S1514</f>
        <v/>
      </c>
      <c r="T1639" s="64" t="str">
        <f>Ringkasan!T1514</f>
        <v/>
      </c>
      <c r="U1639" s="64">
        <f>Ringkasan!U1514</f>
        <v>18.29</v>
      </c>
      <c r="V1639" s="64">
        <f>Ringkasan!V1514</f>
        <v>0.96</v>
      </c>
      <c r="W1639" s="64">
        <f>Ringkasan!W1514</f>
        <v>18.46</v>
      </c>
      <c r="X1639" s="64">
        <f>Ringkasan!X1514</f>
        <v>18.46</v>
      </c>
      <c r="Y1639" s="64">
        <f>Ringkasan!Y1514</f>
        <v>18.46</v>
      </c>
      <c r="Z1639" s="64">
        <f>Ringkasan!Z1514</f>
        <v>72</v>
      </c>
      <c r="AA1639" s="64" t="str">
        <f>Ringkasan!AA1514</f>
        <v>Real Estate Management &amp; Development</v>
      </c>
      <c r="AB1639" s="64" t="str">
        <f>Ringkasan!AB1514</f>
        <v>Properties &amp; Real Estate</v>
      </c>
    </row>
    <row r="1640" hidden="1">
      <c r="A1640" s="64" t="str">
        <f>Ringkasan!A1515</f>
        <v>RLCO</v>
      </c>
      <c r="B1640" s="64" t="str">
        <f>Ringkasan!B1515</f>
        <v>Abadi Lestari Indonesia Tbk.</v>
      </c>
      <c r="C1640" s="65">
        <f>Ringkasan!C1515</f>
        <v>3020</v>
      </c>
      <c r="D1640" s="64" t="str">
        <f>Ringkasan!D1515</f>
        <v>#N/A</v>
      </c>
      <c r="E1640" s="64" t="str">
        <f>Ringkasan!E1515</f>
        <v/>
      </c>
      <c r="F1640" s="64" t="str">
        <f>Ringkasan!F1515</f>
        <v/>
      </c>
      <c r="G1640" s="64">
        <f>Ringkasan!G1515</f>
        <v>0</v>
      </c>
      <c r="H1640" s="19">
        <f>Ringkasan!H1515</f>
        <v>210</v>
      </c>
      <c r="I1640" s="19">
        <f>Ringkasan!I1515</f>
        <v>28.6</v>
      </c>
      <c r="J1640" s="19">
        <f>Ringkasan!J1515</f>
        <v>13.9</v>
      </c>
      <c r="K1640" s="19">
        <f>Ringkasan!K1515</f>
        <v>5.3</v>
      </c>
      <c r="L1640" s="19">
        <f>Ringkasan!L1515</f>
        <v>1.6</v>
      </c>
      <c r="M1640" s="19">
        <f>Ringkasan!M1515</f>
        <v>46.4</v>
      </c>
      <c r="N1640" s="64" t="str">
        <f>Ringkasan!N1515</f>
        <v/>
      </c>
      <c r="O1640" s="64" t="str">
        <f>Ringkasan!O1515</f>
        <v/>
      </c>
      <c r="P1640" s="64" t="str">
        <f>Ringkasan!P1515</f>
        <v/>
      </c>
      <c r="Q1640" s="64" t="str">
        <f>Ringkasan!Q1515</f>
        <v/>
      </c>
      <c r="R1640" s="64" t="str">
        <f>Ringkasan!R1515</f>
        <v/>
      </c>
      <c r="S1640" s="64" t="str">
        <f>Ringkasan!S1515</f>
        <v/>
      </c>
      <c r="T1640" s="64" t="str">
        <f>Ringkasan!T1515</f>
        <v/>
      </c>
      <c r="U1640" s="64">
        <f>Ringkasan!U1515</f>
        <v>2420</v>
      </c>
      <c r="V1640" s="64">
        <f>Ringkasan!V1515</f>
        <v>24.79</v>
      </c>
      <c r="W1640" s="64">
        <f>Ringkasan!W1515</f>
        <v>2420</v>
      </c>
      <c r="X1640" s="64">
        <f>Ringkasan!X1515</f>
        <v>3020</v>
      </c>
      <c r="Y1640" s="64">
        <f>Ringkasan!Y1515</f>
        <v>2420</v>
      </c>
      <c r="Z1640" s="64">
        <f>Ringkasan!Z1515</f>
        <v>4123100</v>
      </c>
      <c r="AA1640" s="64" t="str">
        <f>Ringkasan!AA1515</f>
        <v>Agricultural Products</v>
      </c>
      <c r="AB1640" s="64" t="str">
        <f>Ringkasan!AB1515</f>
        <v>Consumer Non-Cyclicals</v>
      </c>
    </row>
    <row r="1641" hidden="1">
      <c r="A1641" s="64" t="str">
        <f>Ringkasan!A1516</f>
        <v>RMKE</v>
      </c>
      <c r="B1641" s="64" t="str">
        <f>Ringkasan!B1516</f>
        <v>RMK Energy Tbk.</v>
      </c>
      <c r="C1641" s="65">
        <f>Ringkasan!C1516</f>
        <v>2250</v>
      </c>
      <c r="D1641" s="64" t="str">
        <f>Ringkasan!D1516</f>
        <v>#N/A</v>
      </c>
      <c r="E1641" s="64" t="str">
        <f>Ringkasan!E1516</f>
        <v>IDXSMC-LIQ</v>
      </c>
      <c r="F1641" s="64" t="str">
        <f>Ringkasan!F1516</f>
        <v>4 Agustus 2026</v>
      </c>
      <c r="G1641" s="64">
        <f>Ringkasan!G1516</f>
        <v>1</v>
      </c>
      <c r="H1641" s="19">
        <f>Ringkasan!H1516</f>
        <v>53.6</v>
      </c>
      <c r="I1641" s="19">
        <f>Ringkasan!I1516</f>
        <v>6.7</v>
      </c>
      <c r="J1641" s="19">
        <f>Ringkasan!J1516</f>
        <v>12.4</v>
      </c>
      <c r="K1641" s="19">
        <f>Ringkasan!K1516</f>
        <v>7.2</v>
      </c>
      <c r="L1641" s="19">
        <f>Ringkasan!L1516</f>
        <v>0.73</v>
      </c>
      <c r="M1641" s="19">
        <f>Ringkasan!M1516</f>
        <v>30</v>
      </c>
      <c r="N1641" s="64" t="str">
        <f>Ringkasan!N1516</f>
        <v/>
      </c>
      <c r="O1641" s="64" t="str">
        <f>Ringkasan!O1516</f>
        <v/>
      </c>
      <c r="P1641" s="64" t="str">
        <f>Ringkasan!P1516</f>
        <v/>
      </c>
      <c r="Q1641" s="64" t="str">
        <f>Ringkasan!Q1516</f>
        <v/>
      </c>
      <c r="R1641" s="64" t="str">
        <f>Ringkasan!R1516</f>
        <v/>
      </c>
      <c r="S1641" s="64" t="str">
        <f>Ringkasan!S1516</f>
        <v/>
      </c>
      <c r="T1641" s="64" t="str">
        <f>Ringkasan!T1516</f>
        <v/>
      </c>
      <c r="U1641" s="64">
        <f>Ringkasan!U1516</f>
        <v>2060</v>
      </c>
      <c r="V1641" s="64">
        <f>Ringkasan!V1516</f>
        <v>9.22</v>
      </c>
      <c r="W1641" s="64">
        <f>Ringkasan!W1516</f>
        <v>2040</v>
      </c>
      <c r="X1641" s="64">
        <f>Ringkasan!X1516</f>
        <v>2400</v>
      </c>
      <c r="Y1641" s="64">
        <f>Ringkasan!Y1516</f>
        <v>2040</v>
      </c>
      <c r="Z1641" s="64">
        <f>Ringkasan!Z1516</f>
        <v>16175200</v>
      </c>
      <c r="AA1641" s="64" t="str">
        <f>Ringkasan!AA1516</f>
        <v>Coal</v>
      </c>
      <c r="AB1641" s="64" t="str">
        <f>Ringkasan!AB1516</f>
        <v>Energy</v>
      </c>
    </row>
    <row r="1642" hidden="1">
      <c r="A1642" s="64" t="str">
        <f>Ringkasan!A1517</f>
        <v>RMKO</v>
      </c>
      <c r="B1642" s="64" t="str">
        <f>Ringkasan!B1517</f>
        <v>PT Royaltama Mulia Kontraktorindo Tbk.</v>
      </c>
      <c r="C1642" s="65">
        <f>Ringkasan!C1517</f>
        <v>328</v>
      </c>
      <c r="D1642" s="64" t="str">
        <f>Ringkasan!D1517</f>
        <v>#N/A</v>
      </c>
      <c r="E1642" s="64" t="str">
        <f>Ringkasan!E1517</f>
        <v/>
      </c>
      <c r="F1642" s="64" t="str">
        <f>Ringkasan!F1517</f>
        <v/>
      </c>
      <c r="G1642" s="64">
        <f>Ringkasan!G1517</f>
        <v>0</v>
      </c>
      <c r="H1642" s="19">
        <f>Ringkasan!H1517</f>
        <v>-10</v>
      </c>
      <c r="I1642" s="19">
        <f>Ringkasan!I1517</f>
        <v>2.8</v>
      </c>
      <c r="J1642" s="19">
        <f>Ringkasan!J1517</f>
        <v>-27.7</v>
      </c>
      <c r="K1642" s="19">
        <f>Ringkasan!K1517</f>
        <v>-7.1</v>
      </c>
      <c r="L1642" s="19">
        <f>Ringkasan!L1517</f>
        <v>2.9</v>
      </c>
      <c r="M1642" s="19">
        <f>Ringkasan!M1517</f>
        <v>-62.7</v>
      </c>
      <c r="N1642" s="64" t="str">
        <f>Ringkasan!N1517</f>
        <v/>
      </c>
      <c r="O1642" s="64" t="str">
        <f>Ringkasan!O1517</f>
        <v/>
      </c>
      <c r="P1642" s="64" t="str">
        <f>Ringkasan!P1517</f>
        <v/>
      </c>
      <c r="Q1642" s="64" t="str">
        <f>Ringkasan!Q1517</f>
        <v/>
      </c>
      <c r="R1642" s="64" t="str">
        <f>Ringkasan!R1517</f>
        <v/>
      </c>
      <c r="S1642" s="64" t="str">
        <f>Ringkasan!S1517</f>
        <v/>
      </c>
      <c r="T1642" s="64" t="str">
        <f>Ringkasan!T1517</f>
        <v/>
      </c>
      <c r="U1642" s="64">
        <f>Ringkasan!U1517</f>
        <v>320</v>
      </c>
      <c r="V1642" s="64">
        <f>Ringkasan!V1517</f>
        <v>2.5</v>
      </c>
      <c r="W1642" s="64">
        <f>Ringkasan!W1517</f>
        <v>324</v>
      </c>
      <c r="X1642" s="64">
        <f>Ringkasan!X1517</f>
        <v>344</v>
      </c>
      <c r="Y1642" s="64">
        <f>Ringkasan!Y1517</f>
        <v>318</v>
      </c>
      <c r="Z1642" s="64">
        <f>Ringkasan!Z1517</f>
        <v>9570100</v>
      </c>
      <c r="AA1642" s="64" t="str">
        <f>Ringkasan!AA1517</f>
        <v>Oil, Gas &amp; Coal Supports</v>
      </c>
      <c r="AB1642" s="64" t="str">
        <f>Ringkasan!AB1517</f>
        <v>Energy</v>
      </c>
    </row>
    <row r="1643" hidden="1">
      <c r="A1643" s="64" t="str">
        <f>Ringkasan!A1518</f>
        <v>ROCK</v>
      </c>
      <c r="B1643" s="64" t="str">
        <f>Ringkasan!B1518</f>
        <v>Rockfields Properti Indonesia Tbk.</v>
      </c>
      <c r="C1643" s="65">
        <f>Ringkasan!C1518</f>
        <v>1490</v>
      </c>
      <c r="D1643" s="64" t="str">
        <f>Ringkasan!D1518</f>
        <v>#N/A</v>
      </c>
      <c r="E1643" s="64" t="str">
        <f>Ringkasan!E1518</f>
        <v/>
      </c>
      <c r="F1643" s="64" t="str">
        <f>Ringkasan!F1518</f>
        <v/>
      </c>
      <c r="G1643" s="64">
        <f>Ringkasan!G1518</f>
        <v>0</v>
      </c>
      <c r="H1643" s="19">
        <f>Ringkasan!H1518</f>
        <v>78.5</v>
      </c>
      <c r="I1643" s="19">
        <f>Ringkasan!I1518</f>
        <v>3</v>
      </c>
      <c r="J1643" s="19">
        <f>Ringkasan!J1518</f>
        <v>3.8</v>
      </c>
      <c r="K1643" s="19">
        <f>Ringkasan!K1518</f>
        <v>3.4</v>
      </c>
      <c r="L1643" s="19">
        <f>Ringkasan!L1518</f>
        <v>0.14</v>
      </c>
      <c r="M1643" s="19">
        <f>Ringkasan!M1518</f>
        <v>91.7</v>
      </c>
      <c r="N1643" s="64" t="str">
        <f>Ringkasan!N1518</f>
        <v/>
      </c>
      <c r="O1643" s="64" t="str">
        <f>Ringkasan!O1518</f>
        <v/>
      </c>
      <c r="P1643" s="64" t="str">
        <f>Ringkasan!P1518</f>
        <v/>
      </c>
      <c r="Q1643" s="64" t="str">
        <f>Ringkasan!Q1518</f>
        <v/>
      </c>
      <c r="R1643" s="64" t="str">
        <f>Ringkasan!R1518</f>
        <v/>
      </c>
      <c r="S1643" s="64" t="str">
        <f>Ringkasan!S1518</f>
        <v/>
      </c>
      <c r="T1643" s="64" t="str">
        <f>Ringkasan!T1518</f>
        <v/>
      </c>
      <c r="U1643" s="64">
        <f>Ringkasan!U1518</f>
        <v>39.41</v>
      </c>
      <c r="V1643" s="64">
        <f>Ringkasan!V1518</f>
        <v>2.26</v>
      </c>
      <c r="W1643" s="64">
        <f>Ringkasan!W1518</f>
        <v>39.66</v>
      </c>
      <c r="X1643" s="64">
        <f>Ringkasan!X1518</f>
        <v>41.25</v>
      </c>
      <c r="Y1643" s="64">
        <f>Ringkasan!Y1518</f>
        <v>39.33</v>
      </c>
      <c r="Z1643" s="64">
        <f>Ringkasan!Z1518</f>
        <v>321469</v>
      </c>
      <c r="AA1643" s="64" t="str">
        <f>Ringkasan!AA1518</f>
        <v>Real Estate Management &amp; Development</v>
      </c>
      <c r="AB1643" s="64" t="str">
        <f>Ringkasan!AB1518</f>
        <v>Properties &amp; Real Estate</v>
      </c>
    </row>
    <row r="1644" hidden="1">
      <c r="A1644" s="64" t="str">
        <f>Ringkasan!A1519</f>
        <v>RODA</v>
      </c>
      <c r="B1644" s="64" t="str">
        <f>Ringkasan!B1519</f>
        <v>Pikko Land Development Tbk.</v>
      </c>
      <c r="C1644" s="65">
        <f>Ringkasan!C1519</f>
        <v>56</v>
      </c>
      <c r="D1644" s="64" t="str">
        <f>Ringkasan!D1519</f>
        <v>#N/A</v>
      </c>
      <c r="E1644" s="64" t="str">
        <f>Ringkasan!E1519</f>
        <v/>
      </c>
      <c r="F1644" s="64" t="str">
        <f>Ringkasan!F1519</f>
        <v/>
      </c>
      <c r="G1644" s="64">
        <f>Ringkasan!G1519</f>
        <v>0</v>
      </c>
      <c r="H1644" s="19">
        <f>Ringkasan!H1519</f>
        <v>-12</v>
      </c>
      <c r="I1644" s="19">
        <f>Ringkasan!I1519</f>
        <v>0.41</v>
      </c>
      <c r="J1644" s="19">
        <f>Ringkasan!J1519</f>
        <v>-3.4</v>
      </c>
      <c r="K1644" s="19">
        <f>Ringkasan!K1519</f>
        <v>-2.2</v>
      </c>
      <c r="L1644" s="19">
        <f>Ringkasan!L1519</f>
        <v>0.57</v>
      </c>
      <c r="M1644" s="19">
        <f>Ringkasan!M1519</f>
        <v>-610</v>
      </c>
      <c r="N1644" s="64" t="str">
        <f>Ringkasan!N1519</f>
        <v/>
      </c>
      <c r="O1644" s="64" t="str">
        <f>Ringkasan!O1519</f>
        <v/>
      </c>
      <c r="P1644" s="64" t="str">
        <f>Ringkasan!P1519</f>
        <v/>
      </c>
      <c r="Q1644" s="64" t="str">
        <f>Ringkasan!Q1519</f>
        <v/>
      </c>
      <c r="R1644" s="64" t="str">
        <f>Ringkasan!R1519</f>
        <v/>
      </c>
      <c r="S1644" s="64" t="str">
        <f>Ringkasan!S1519</f>
        <v/>
      </c>
      <c r="T1644" s="64" t="str">
        <f>Ringkasan!T1519</f>
        <v/>
      </c>
      <c r="U1644" s="64">
        <f>Ringkasan!U1519</f>
        <v>54</v>
      </c>
      <c r="V1644" s="64">
        <f>Ringkasan!V1519</f>
        <v>3.7</v>
      </c>
      <c r="W1644" s="64">
        <f>Ringkasan!W1519</f>
        <v>55</v>
      </c>
      <c r="X1644" s="64">
        <f>Ringkasan!X1519</f>
        <v>58</v>
      </c>
      <c r="Y1644" s="64">
        <f>Ringkasan!Y1519</f>
        <v>54</v>
      </c>
      <c r="Z1644" s="64">
        <f>Ringkasan!Z1519</f>
        <v>10092100</v>
      </c>
      <c r="AA1644" s="64" t="str">
        <f>Ringkasan!AA1519</f>
        <v>Real Estate Management &amp; Development</v>
      </c>
      <c r="AB1644" s="64" t="str">
        <f>Ringkasan!AB1519</f>
        <v>Properties &amp; Real Estate</v>
      </c>
    </row>
    <row r="1645" hidden="1">
      <c r="A1645" s="64" t="str">
        <f>Ringkasan!A1520</f>
        <v>RONY</v>
      </c>
      <c r="B1645" s="64" t="str">
        <f>Ringkasan!B1520</f>
        <v>Aracord Nusantara Group Tbk.</v>
      </c>
      <c r="C1645" s="65">
        <f>Ringkasan!C1520</f>
        <v>825</v>
      </c>
      <c r="D1645" s="64" t="str">
        <f>Ringkasan!D1520</f>
        <v>#N/A</v>
      </c>
      <c r="E1645" s="64" t="str">
        <f>Ringkasan!E1520</f>
        <v/>
      </c>
      <c r="F1645" s="64" t="str">
        <f>Ringkasan!F1520</f>
        <v/>
      </c>
      <c r="G1645" s="64">
        <f>Ringkasan!G1520</f>
        <v>0</v>
      </c>
      <c r="H1645" s="19">
        <f>Ringkasan!H1520</f>
        <v>-3300</v>
      </c>
      <c r="I1645" s="19">
        <f>Ringkasan!I1520</f>
        <v>300</v>
      </c>
      <c r="J1645" s="19">
        <f>Ringkasan!J1520</f>
        <v>-9</v>
      </c>
      <c r="K1645" s="19">
        <f>Ringkasan!K1520</f>
        <v>-0.77</v>
      </c>
      <c r="L1645" s="19">
        <f>Ringkasan!L1520</f>
        <v>10.8</v>
      </c>
      <c r="M1645" s="19">
        <f>Ringkasan!M1520</f>
        <v>-5.3</v>
      </c>
      <c r="N1645" s="64" t="str">
        <f>Ringkasan!N1520</f>
        <v/>
      </c>
      <c r="O1645" s="64" t="str">
        <f>Ringkasan!O1520</f>
        <v/>
      </c>
      <c r="P1645" s="64" t="str">
        <f>Ringkasan!P1520</f>
        <v/>
      </c>
      <c r="Q1645" s="64" t="str">
        <f>Ringkasan!Q1520</f>
        <v/>
      </c>
      <c r="R1645" s="64" t="str">
        <f>Ringkasan!R1520</f>
        <v/>
      </c>
      <c r="S1645" s="64" t="str">
        <f>Ringkasan!S1520</f>
        <v/>
      </c>
      <c r="T1645" s="64" t="str">
        <f>Ringkasan!T1520</f>
        <v/>
      </c>
      <c r="U1645" s="64">
        <f>Ringkasan!U1520</f>
        <v>775</v>
      </c>
      <c r="V1645" s="64">
        <f>Ringkasan!V1520</f>
        <v>6.45</v>
      </c>
      <c r="W1645" s="64" t="str">
        <f>Ringkasan!W1520</f>
        <v/>
      </c>
      <c r="X1645" s="64">
        <f>Ringkasan!X1520</f>
        <v>890</v>
      </c>
      <c r="Y1645" s="64">
        <f>Ringkasan!Y1520</f>
        <v>800</v>
      </c>
      <c r="Z1645" s="64">
        <f>Ringkasan!Z1520</f>
        <v>68100</v>
      </c>
      <c r="AA1645" s="64" t="str">
        <f>Ringkasan!AA1520</f>
        <v>Heavy Constructions &amp; Civil Engineering</v>
      </c>
      <c r="AB1645" s="64" t="str">
        <f>Ringkasan!AB1520</f>
        <v>Infrastructures</v>
      </c>
    </row>
    <row r="1646" hidden="1">
      <c r="A1646" s="64" t="str">
        <f>Ringkasan!A1521</f>
        <v>ROTI</v>
      </c>
      <c r="B1646" s="64" t="str">
        <f>Ringkasan!B1521</f>
        <v>Nippon Indosari Corpindo Tbk.</v>
      </c>
      <c r="C1646" s="65">
        <f>Ringkasan!C1521</f>
        <v>575</v>
      </c>
      <c r="D1646" s="64" t="str">
        <f>Ringkasan!D1521</f>
        <v>#N/A</v>
      </c>
      <c r="E1646" s="64" t="str">
        <f>Ringkasan!E1521</f>
        <v/>
      </c>
      <c r="F1646" s="64" t="str">
        <f>Ringkasan!F1521</f>
        <v/>
      </c>
      <c r="G1646" s="64">
        <f>Ringkasan!G1521</f>
        <v>0</v>
      </c>
      <c r="H1646" s="19">
        <f>Ringkasan!H1521</f>
        <v>13.8</v>
      </c>
      <c r="I1646" s="19">
        <f>Ringkasan!I1521</f>
        <v>1.6</v>
      </c>
      <c r="J1646" s="19">
        <f>Ringkasan!J1521</f>
        <v>11.6</v>
      </c>
      <c r="K1646" s="19">
        <f>Ringkasan!K1521</f>
        <v>6.5</v>
      </c>
      <c r="L1646" s="19">
        <f>Ringkasan!L1521</f>
        <v>0.78</v>
      </c>
      <c r="M1646" s="19">
        <f>Ringkasan!M1521</f>
        <v>27.3</v>
      </c>
      <c r="N1646" s="64" t="str">
        <f>Ringkasan!N1521</f>
        <v/>
      </c>
      <c r="O1646" s="64" t="str">
        <f>Ringkasan!O1521</f>
        <v/>
      </c>
      <c r="P1646" s="64" t="str">
        <f>Ringkasan!P1521</f>
        <v/>
      </c>
      <c r="Q1646" s="64" t="str">
        <f>Ringkasan!Q1521</f>
        <v/>
      </c>
      <c r="R1646" s="64" t="str">
        <f>Ringkasan!R1521</f>
        <v/>
      </c>
      <c r="S1646" s="64" t="str">
        <f>Ringkasan!S1521</f>
        <v/>
      </c>
      <c r="T1646" s="64" t="str">
        <f>Ringkasan!T1521</f>
        <v/>
      </c>
      <c r="U1646" s="64">
        <f>Ringkasan!U1521</f>
        <v>570</v>
      </c>
      <c r="V1646" s="64">
        <f>Ringkasan!V1521</f>
        <v>0.88</v>
      </c>
      <c r="W1646" s="64">
        <f>Ringkasan!W1521</f>
        <v>570</v>
      </c>
      <c r="X1646" s="64">
        <f>Ringkasan!X1521</f>
        <v>590</v>
      </c>
      <c r="Y1646" s="64">
        <f>Ringkasan!Y1521</f>
        <v>560</v>
      </c>
      <c r="Z1646" s="64">
        <f>Ringkasan!Z1521</f>
        <v>1880300</v>
      </c>
      <c r="AA1646" s="64" t="str">
        <f>Ringkasan!AA1521</f>
        <v>Processed Foods</v>
      </c>
      <c r="AB1646" s="64" t="str">
        <f>Ringkasan!AB1521</f>
        <v>Consumer Non-Cyclicals</v>
      </c>
    </row>
    <row r="1647" hidden="1">
      <c r="A1647" s="64" t="str">
        <f>Ringkasan!A1522</f>
        <v>RSCH</v>
      </c>
      <c r="B1647" s="64" t="str">
        <f>Ringkasan!B1522</f>
        <v>PT Charlie Hospital Semarang Tbk.</v>
      </c>
      <c r="C1647" s="65">
        <f>Ringkasan!C1522</f>
        <v>316</v>
      </c>
      <c r="D1647" s="64" t="str">
        <f>Ringkasan!D1522</f>
        <v>#N/A</v>
      </c>
      <c r="E1647" s="64" t="str">
        <f>Ringkasan!E1522</f>
        <v/>
      </c>
      <c r="F1647" s="64" t="str">
        <f>Ringkasan!F1522</f>
        <v/>
      </c>
      <c r="G1647" s="64">
        <f>Ringkasan!G1522</f>
        <v>0</v>
      </c>
      <c r="H1647" s="19">
        <f>Ringkasan!H1522</f>
        <v>-48.8</v>
      </c>
      <c r="I1647" s="19">
        <f>Ringkasan!I1522</f>
        <v>5.6</v>
      </c>
      <c r="J1647" s="19">
        <f>Ringkasan!J1522</f>
        <v>-11.4</v>
      </c>
      <c r="K1647" s="19">
        <f>Ringkasan!K1522</f>
        <v>-7.3</v>
      </c>
      <c r="L1647" s="19">
        <f>Ringkasan!L1522</f>
        <v>0.57</v>
      </c>
      <c r="M1647" s="19">
        <f>Ringkasan!M1522</f>
        <v>-93.7</v>
      </c>
      <c r="N1647" s="64" t="str">
        <f>Ringkasan!N1522</f>
        <v/>
      </c>
      <c r="O1647" s="64" t="str">
        <f>Ringkasan!O1522</f>
        <v/>
      </c>
      <c r="P1647" s="64" t="str">
        <f>Ringkasan!P1522</f>
        <v/>
      </c>
      <c r="Q1647" s="64" t="str">
        <f>Ringkasan!Q1522</f>
        <v/>
      </c>
      <c r="R1647" s="64" t="str">
        <f>Ringkasan!R1522</f>
        <v/>
      </c>
      <c r="S1647" s="64" t="str">
        <f>Ringkasan!S1522</f>
        <v/>
      </c>
      <c r="T1647" s="64" t="str">
        <f>Ringkasan!T1522</f>
        <v/>
      </c>
      <c r="U1647" s="64">
        <f>Ringkasan!U1522</f>
        <v>318</v>
      </c>
      <c r="V1647" s="64">
        <f>Ringkasan!V1522</f>
        <v>-0.63</v>
      </c>
      <c r="W1647" s="64">
        <f>Ringkasan!W1522</f>
        <v>320</v>
      </c>
      <c r="X1647" s="64">
        <f>Ringkasan!X1522</f>
        <v>320</v>
      </c>
      <c r="Y1647" s="64">
        <f>Ringkasan!Y1522</f>
        <v>314</v>
      </c>
      <c r="Z1647" s="64">
        <f>Ringkasan!Z1522</f>
        <v>19744100</v>
      </c>
      <c r="AA1647" s="64" t="str">
        <f>Ringkasan!AA1522</f>
        <v>Healthcare Providers</v>
      </c>
      <c r="AB1647" s="64" t="str">
        <f>Ringkasan!AB1522</f>
        <v>Healthcare</v>
      </c>
    </row>
    <row r="1648" hidden="1">
      <c r="A1648" s="64" t="str">
        <f>Ringkasan!A1523</f>
        <v>RSGK</v>
      </c>
      <c r="B1648" s="64" t="str">
        <f>Ringkasan!B1523</f>
        <v>Kedoya Adyaraya Tbk.</v>
      </c>
      <c r="C1648" s="65">
        <f>Ringkasan!C1523</f>
        <v>735</v>
      </c>
      <c r="D1648" s="64" t="str">
        <f>Ringkasan!D1523</f>
        <v>#N/A</v>
      </c>
      <c r="E1648" s="64" t="str">
        <f>Ringkasan!E1523</f>
        <v/>
      </c>
      <c r="F1648" s="64" t="str">
        <f>Ringkasan!F1523</f>
        <v/>
      </c>
      <c r="G1648" s="64">
        <f>Ringkasan!G1523</f>
        <v>0</v>
      </c>
      <c r="H1648" s="19">
        <f>Ringkasan!H1523</f>
        <v>25.6</v>
      </c>
      <c r="I1648" s="19">
        <f>Ringkasan!I1523</f>
        <v>1.1</v>
      </c>
      <c r="J1648" s="19">
        <f>Ringkasan!J1523</f>
        <v>4.2</v>
      </c>
      <c r="K1648" s="19">
        <f>Ringkasan!K1523</f>
        <v>3.3</v>
      </c>
      <c r="L1648" s="19">
        <f>Ringkasan!L1523</f>
        <v>0.28</v>
      </c>
      <c r="M1648" s="19">
        <f>Ringkasan!M1523</f>
        <v>27.9</v>
      </c>
      <c r="N1648" s="64" t="str">
        <f>Ringkasan!N1523</f>
        <v/>
      </c>
      <c r="O1648" s="64" t="str">
        <f>Ringkasan!O1523</f>
        <v/>
      </c>
      <c r="P1648" s="64" t="str">
        <f>Ringkasan!P1523</f>
        <v/>
      </c>
      <c r="Q1648" s="64" t="str">
        <f>Ringkasan!Q1523</f>
        <v/>
      </c>
      <c r="R1648" s="64" t="str">
        <f>Ringkasan!R1523</f>
        <v/>
      </c>
      <c r="S1648" s="64" t="str">
        <f>Ringkasan!S1523</f>
        <v/>
      </c>
      <c r="T1648" s="64" t="str">
        <f>Ringkasan!T1523</f>
        <v/>
      </c>
      <c r="U1648" s="64">
        <f>Ringkasan!U1523</f>
        <v>725</v>
      </c>
      <c r="V1648" s="64">
        <f>Ringkasan!V1523</f>
        <v>1.38</v>
      </c>
      <c r="W1648" s="64">
        <f>Ringkasan!W1523</f>
        <v>715</v>
      </c>
      <c r="X1648" s="64">
        <f>Ringkasan!X1523</f>
        <v>775</v>
      </c>
      <c r="Y1648" s="64">
        <f>Ringkasan!Y1523</f>
        <v>700</v>
      </c>
      <c r="Z1648" s="64">
        <f>Ringkasan!Z1523</f>
        <v>52100</v>
      </c>
      <c r="AA1648" s="64" t="str">
        <f>Ringkasan!AA1523</f>
        <v>Healthcare Providers</v>
      </c>
      <c r="AB1648" s="64" t="str">
        <f>Ringkasan!AB1523</f>
        <v>Healthcare</v>
      </c>
    </row>
    <row r="1649" hidden="1">
      <c r="A1649" s="64" t="str">
        <f>Ringkasan!A1524</f>
        <v>RUIS</v>
      </c>
      <c r="B1649" s="64" t="str">
        <f>Ringkasan!B1524</f>
        <v>Radiant Utama Interinsco Tbk</v>
      </c>
      <c r="C1649" s="65">
        <f>Ringkasan!C1524</f>
        <v>186</v>
      </c>
      <c r="D1649" s="64" t="str">
        <f>Ringkasan!D1524</f>
        <v>#N/A</v>
      </c>
      <c r="E1649" s="64" t="str">
        <f>Ringkasan!E1524</f>
        <v/>
      </c>
      <c r="F1649" s="64" t="str">
        <f>Ringkasan!F1524</f>
        <v/>
      </c>
      <c r="G1649" s="64">
        <f>Ringkasan!G1524</f>
        <v>0</v>
      </c>
      <c r="H1649" s="19">
        <f>Ringkasan!H1524</f>
        <v>10.9</v>
      </c>
      <c r="I1649" s="19">
        <f>Ringkasan!I1524</f>
        <v>0.25</v>
      </c>
      <c r="J1649" s="19">
        <f>Ringkasan!J1524</f>
        <v>2.3</v>
      </c>
      <c r="K1649" s="19">
        <f>Ringkasan!K1524</f>
        <v>0.96</v>
      </c>
      <c r="L1649" s="19">
        <f>Ringkasan!L1524</f>
        <v>1.4</v>
      </c>
      <c r="M1649" s="19">
        <f>Ringkasan!M1524</f>
        <v>2.6</v>
      </c>
      <c r="N1649" s="64" t="str">
        <f>Ringkasan!N1524</f>
        <v/>
      </c>
      <c r="O1649" s="64" t="str">
        <f>Ringkasan!O1524</f>
        <v/>
      </c>
      <c r="P1649" s="64" t="str">
        <f>Ringkasan!P1524</f>
        <v/>
      </c>
      <c r="Q1649" s="64" t="str">
        <f>Ringkasan!Q1524</f>
        <v/>
      </c>
      <c r="R1649" s="64" t="str">
        <f>Ringkasan!R1524</f>
        <v/>
      </c>
      <c r="S1649" s="64" t="str">
        <f>Ringkasan!S1524</f>
        <v/>
      </c>
      <c r="T1649" s="64" t="str">
        <f>Ringkasan!T1524</f>
        <v/>
      </c>
      <c r="U1649" s="64">
        <f>Ringkasan!U1524</f>
        <v>186</v>
      </c>
      <c r="V1649" s="64">
        <f>Ringkasan!V1524</f>
        <v>0</v>
      </c>
      <c r="W1649" s="64" t="str">
        <f>Ringkasan!W1524</f>
        <v/>
      </c>
      <c r="X1649" s="64">
        <f>Ringkasan!X1524</f>
        <v>190</v>
      </c>
      <c r="Y1649" s="64">
        <f>Ringkasan!Y1524</f>
        <v>182</v>
      </c>
      <c r="Z1649" s="64">
        <f>Ringkasan!Z1524</f>
        <v>1105200</v>
      </c>
      <c r="AA1649" s="64" t="str">
        <f>Ringkasan!AA1524</f>
        <v>Oil, Gas &amp; Coal Supports</v>
      </c>
      <c r="AB1649" s="64" t="str">
        <f>Ringkasan!AB1524</f>
        <v>Energy</v>
      </c>
    </row>
    <row r="1650" hidden="1">
      <c r="A1650" s="64" t="str">
        <f>Ringkasan!A1525</f>
        <v>RUNS</v>
      </c>
      <c r="B1650" s="64" t="str">
        <f>Ringkasan!B1525</f>
        <v>Global Sukses Solusi Tbk.</v>
      </c>
      <c r="C1650" s="65">
        <f>Ringkasan!C1525</f>
        <v>74</v>
      </c>
      <c r="D1650" s="64" t="str">
        <f>Ringkasan!D1525</f>
        <v>#N/A</v>
      </c>
      <c r="E1650" s="64" t="str">
        <f>Ringkasan!E1525</f>
        <v/>
      </c>
      <c r="F1650" s="64" t="str">
        <f>Ringkasan!F1525</f>
        <v/>
      </c>
      <c r="G1650" s="64">
        <f>Ringkasan!G1525</f>
        <v>0</v>
      </c>
      <c r="H1650" s="19">
        <f>Ringkasan!H1525</f>
        <v>-10.6</v>
      </c>
      <c r="I1650" s="19">
        <f>Ringkasan!I1525</f>
        <v>1.4</v>
      </c>
      <c r="J1650" s="19">
        <f>Ringkasan!J1525</f>
        <v>-12.9</v>
      </c>
      <c r="K1650" s="19">
        <f>Ringkasan!K1525</f>
        <v>-9.1</v>
      </c>
      <c r="L1650" s="19">
        <f>Ringkasan!L1525</f>
        <v>0.41</v>
      </c>
      <c r="M1650" s="19">
        <f>Ringkasan!M1525</f>
        <v>-44.3</v>
      </c>
      <c r="N1650" s="64" t="str">
        <f>Ringkasan!N1525</f>
        <v/>
      </c>
      <c r="O1650" s="64" t="str">
        <f>Ringkasan!O1525</f>
        <v/>
      </c>
      <c r="P1650" s="64" t="str">
        <f>Ringkasan!P1525</f>
        <v/>
      </c>
      <c r="Q1650" s="64" t="str">
        <f>Ringkasan!Q1525</f>
        <v/>
      </c>
      <c r="R1650" s="64" t="str">
        <f>Ringkasan!R1525</f>
        <v/>
      </c>
      <c r="S1650" s="64" t="str">
        <f>Ringkasan!S1525</f>
        <v/>
      </c>
      <c r="T1650" s="64" t="str">
        <f>Ringkasan!T1525</f>
        <v/>
      </c>
      <c r="U1650" s="64">
        <f>Ringkasan!U1525</f>
        <v>69</v>
      </c>
      <c r="V1650" s="64">
        <f>Ringkasan!V1525</f>
        <v>7.25</v>
      </c>
      <c r="W1650" s="64">
        <f>Ringkasan!W1525</f>
        <v>75</v>
      </c>
      <c r="X1650" s="64">
        <f>Ringkasan!X1525</f>
        <v>75</v>
      </c>
      <c r="Y1650" s="64">
        <f>Ringkasan!Y1525</f>
        <v>69</v>
      </c>
      <c r="Z1650" s="64">
        <f>Ringkasan!Z1525</f>
        <v>451400</v>
      </c>
      <c r="AA1650" s="64" t="str">
        <f>Ringkasan!AA1525</f>
        <v>Software</v>
      </c>
      <c r="AB1650" s="64" t="str">
        <f>Ringkasan!AB1525</f>
        <v>Technology</v>
      </c>
    </row>
    <row r="1651" hidden="1">
      <c r="A1651" s="64" t="str">
        <f>Ringkasan!A1629</f>
        <v>SOTS</v>
      </c>
      <c r="B1651" s="64" t="str">
        <f>Ringkasan!B1629</f>
        <v>Satria Mega Kencana Tbk.</v>
      </c>
      <c r="C1651" s="65">
        <f>Ringkasan!C1629</f>
        <v>670</v>
      </c>
      <c r="D1651" s="64" t="str">
        <f>Ringkasan!D1629</f>
        <v>#N/A</v>
      </c>
      <c r="E1651" s="64" t="str">
        <f>Ringkasan!E1629</f>
        <v/>
      </c>
      <c r="F1651" s="64" t="str">
        <f>Ringkasan!F1629</f>
        <v/>
      </c>
      <c r="G1651" s="64">
        <f>Ringkasan!G1629</f>
        <v>0</v>
      </c>
      <c r="H1651" s="19">
        <f>Ringkasan!H1629</f>
        <v>-67.7</v>
      </c>
      <c r="I1651" s="19">
        <f>Ringkasan!I1629</f>
        <v>4</v>
      </c>
      <c r="J1651" s="19">
        <f>Ringkasan!J1629</f>
        <v>-5.9</v>
      </c>
      <c r="K1651" s="19">
        <f>Ringkasan!K1629</f>
        <v>-2.6</v>
      </c>
      <c r="L1651" s="19">
        <f>Ringkasan!L1629</f>
        <v>1.3</v>
      </c>
      <c r="M1651" s="19">
        <f>Ringkasan!M1629</f>
        <v>-220</v>
      </c>
      <c r="N1651" s="64" t="str">
        <f>Ringkasan!N1629</f>
        <v/>
      </c>
      <c r="O1651" s="64" t="str">
        <f>Ringkasan!O1629</f>
        <v/>
      </c>
      <c r="P1651" s="64" t="str">
        <f>Ringkasan!P1629</f>
        <v/>
      </c>
      <c r="Q1651" s="64" t="str">
        <f>Ringkasan!Q1629</f>
        <v/>
      </c>
      <c r="R1651" s="64" t="str">
        <f>Ringkasan!R1629</f>
        <v/>
      </c>
      <c r="S1651" s="64" t="str">
        <f>Ringkasan!S1629</f>
        <v/>
      </c>
      <c r="T1651" s="64" t="str">
        <f>Ringkasan!T1629</f>
        <v/>
      </c>
      <c r="U1651" s="64">
        <f>Ringkasan!U1629</f>
        <v>630</v>
      </c>
      <c r="V1651" s="64">
        <f>Ringkasan!V1629</f>
        <v>6.35</v>
      </c>
      <c r="W1651" s="64">
        <f>Ringkasan!W1629</f>
        <v>615</v>
      </c>
      <c r="X1651" s="64">
        <f>Ringkasan!X1629</f>
        <v>700</v>
      </c>
      <c r="Y1651" s="64">
        <f>Ringkasan!Y1629</f>
        <v>615</v>
      </c>
      <c r="Z1651" s="64">
        <f>Ringkasan!Z1629</f>
        <v>542300</v>
      </c>
      <c r="AA1651" s="64" t="str">
        <f>Ringkasan!AA1629</f>
        <v>Tourism &amp; Recreation</v>
      </c>
      <c r="AB1651" s="64" t="str">
        <f>Ringkasan!AB1629</f>
        <v>Consumer Cyclicals</v>
      </c>
    </row>
    <row r="1652" hidden="1">
      <c r="A1652" s="64" t="str">
        <f>Ringkasan!A1630</f>
        <v>SOUL</v>
      </c>
      <c r="B1652" s="64" t="str">
        <f>Ringkasan!B1630</f>
        <v>PT Mitra Tirta Buwana Tbk</v>
      </c>
      <c r="C1652" s="65">
        <f>Ringkasan!C1630</f>
        <v>35</v>
      </c>
      <c r="D1652" s="64" t="str">
        <f>Ringkasan!D1630</f>
        <v>#N/A</v>
      </c>
      <c r="E1652" s="64" t="str">
        <f>Ringkasan!E1630</f>
        <v/>
      </c>
      <c r="F1652" s="64" t="str">
        <f>Ringkasan!F1630</f>
        <v/>
      </c>
      <c r="G1652" s="64">
        <f>Ringkasan!G1630</f>
        <v>0</v>
      </c>
      <c r="H1652" s="19">
        <f>Ringkasan!H1630</f>
        <v>-11</v>
      </c>
      <c r="I1652" s="19">
        <f>Ringkasan!I1630</f>
        <v>1.2</v>
      </c>
      <c r="J1652" s="19">
        <f>Ringkasan!J1630</f>
        <v>-10.9</v>
      </c>
      <c r="K1652" s="19">
        <f>Ringkasan!K1630</f>
        <v>-10</v>
      </c>
      <c r="L1652" s="19">
        <f>Ringkasan!L1630</f>
        <v>0.08</v>
      </c>
      <c r="M1652" s="19">
        <f>Ringkasan!M1630</f>
        <v>-280</v>
      </c>
      <c r="N1652" s="64" t="str">
        <f>Ringkasan!N1630</f>
        <v/>
      </c>
      <c r="O1652" s="64" t="str">
        <f>Ringkasan!O1630</f>
        <v/>
      </c>
      <c r="P1652" s="64" t="str">
        <f>Ringkasan!P1630</f>
        <v/>
      </c>
      <c r="Q1652" s="64" t="str">
        <f>Ringkasan!Q1630</f>
        <v/>
      </c>
      <c r="R1652" s="64" t="str">
        <f>Ringkasan!R1630</f>
        <v/>
      </c>
      <c r="S1652" s="64" t="str">
        <f>Ringkasan!S1630</f>
        <v/>
      </c>
      <c r="T1652" s="64" t="str">
        <f>Ringkasan!T1630</f>
        <v/>
      </c>
      <c r="U1652" s="64">
        <f>Ringkasan!U1630</f>
        <v>10.35</v>
      </c>
      <c r="V1652" s="64">
        <f>Ringkasan!V1630</f>
        <v>0</v>
      </c>
      <c r="W1652" s="64">
        <f>Ringkasan!W1630</f>
        <v>10.35</v>
      </c>
      <c r="X1652" s="64">
        <f>Ringkasan!X1630</f>
        <v>10.35</v>
      </c>
      <c r="Y1652" s="64">
        <f>Ringkasan!Y1630</f>
        <v>10.35</v>
      </c>
      <c r="Z1652" s="64">
        <f>Ringkasan!Z1630</f>
        <v>50342</v>
      </c>
      <c r="AA1652" s="64" t="str">
        <f>Ringkasan!AA1630</f>
        <v>Beverages</v>
      </c>
      <c r="AB1652" s="64" t="str">
        <f>Ringkasan!AB1630</f>
        <v>Consumer Non-Cyclicals</v>
      </c>
    </row>
    <row r="1653" hidden="1">
      <c r="A1653" s="64" t="str">
        <f>Ringkasan!A1652</f>
        <v>SUGI</v>
      </c>
      <c r="B1653" s="64" t="str">
        <f>Ringkasan!B1652</f>
        <v>Sugih Energy Tbk.</v>
      </c>
      <c r="C1653" s="65">
        <f>Ringkasan!C1652</f>
        <v>50</v>
      </c>
      <c r="D1653" s="64" t="str">
        <f>Ringkasan!D1652</f>
        <v>#N/A</v>
      </c>
      <c r="E1653" s="64" t="str">
        <f>Ringkasan!E1652</f>
        <v/>
      </c>
      <c r="F1653" s="64" t="str">
        <f>Ringkasan!F1652</f>
        <v/>
      </c>
      <c r="G1653" s="64">
        <f>Ringkasan!G1652</f>
        <v>0</v>
      </c>
      <c r="H1653" s="19" t="str">
        <f>Ringkasan!H1652</f>
        <v/>
      </c>
      <c r="I1653" s="19">
        <f>Ringkasan!I1652</f>
        <v>0.54</v>
      </c>
      <c r="J1653" s="19">
        <f>Ringkasan!J1652</f>
        <v>-1.1</v>
      </c>
      <c r="K1653" s="19">
        <f>Ringkasan!K1652</f>
        <v>0</v>
      </c>
      <c r="L1653" s="19">
        <f>Ringkasan!L1652</f>
        <v>2.1</v>
      </c>
      <c r="M1653" s="19">
        <f>Ringkasan!M1652</f>
        <v>-210</v>
      </c>
      <c r="N1653" s="64" t="str">
        <f>Ringkasan!N1652</f>
        <v/>
      </c>
      <c r="O1653" s="64" t="str">
        <f>Ringkasan!O1652</f>
        <v/>
      </c>
      <c r="P1653" s="64" t="str">
        <f>Ringkasan!P1652</f>
        <v/>
      </c>
      <c r="Q1653" s="64" t="str">
        <f>Ringkasan!Q1652</f>
        <v/>
      </c>
      <c r="R1653" s="64" t="str">
        <f>Ringkasan!R1652</f>
        <v/>
      </c>
      <c r="S1653" s="64" t="str">
        <f>Ringkasan!S1652</f>
        <v/>
      </c>
      <c r="T1653" s="64" t="str">
        <f>Ringkasan!T1652</f>
        <v/>
      </c>
      <c r="U1653" s="64">
        <f>Ringkasan!U1652</f>
        <v>50</v>
      </c>
      <c r="V1653" s="64">
        <f>Ringkasan!V1652</f>
        <v>0</v>
      </c>
      <c r="W1653" s="64" t="str">
        <f>Ringkasan!W1652</f>
        <v/>
      </c>
      <c r="X1653" s="64" t="str">
        <f>Ringkasan!X1652</f>
        <v/>
      </c>
      <c r="Y1653" s="64" t="str">
        <f>Ringkasan!Y1652</f>
        <v/>
      </c>
      <c r="Z1653" s="64">
        <f>Ringkasan!Z1652</f>
        <v>0</v>
      </c>
      <c r="AA1653" s="64" t="str">
        <f>Ringkasan!AA1652</f>
        <v>Oil &amp; Gas</v>
      </c>
      <c r="AB1653" s="64" t="str">
        <f>Ringkasan!AB1652</f>
        <v>Energy</v>
      </c>
    </row>
    <row r="1654" hidden="1">
      <c r="A1654" s="64" t="str">
        <f>Ringkasan!A1653</f>
        <v>SULI</v>
      </c>
      <c r="B1654" s="64" t="str">
        <f>Ringkasan!B1653</f>
        <v>SLJ Global Tbk.</v>
      </c>
      <c r="C1654" s="65">
        <f>Ringkasan!C1653</f>
        <v>77</v>
      </c>
      <c r="D1654" s="64" t="str">
        <f>Ringkasan!D1653</f>
        <v>#N/A</v>
      </c>
      <c r="E1654" s="64" t="str">
        <f>Ringkasan!E1653</f>
        <v/>
      </c>
      <c r="F1654" s="64" t="str">
        <f>Ringkasan!F1653</f>
        <v/>
      </c>
      <c r="G1654" s="64">
        <f>Ringkasan!G1653</f>
        <v>0</v>
      </c>
      <c r="H1654" s="19">
        <f>Ringkasan!H1653</f>
        <v>-7.7</v>
      </c>
      <c r="I1654" s="19">
        <f>Ringkasan!I1653</f>
        <v>2.4</v>
      </c>
      <c r="J1654" s="19">
        <f>Ringkasan!J1653</f>
        <v>-31</v>
      </c>
      <c r="K1654" s="19">
        <f>Ringkasan!K1653</f>
        <v>-9.7</v>
      </c>
      <c r="L1654" s="19">
        <f>Ringkasan!L1653</f>
        <v>2.2</v>
      </c>
      <c r="M1654" s="19">
        <f>Ringkasan!M1653</f>
        <v>-130</v>
      </c>
      <c r="N1654" s="64" t="str">
        <f>Ringkasan!N1653</f>
        <v/>
      </c>
      <c r="O1654" s="64" t="str">
        <f>Ringkasan!O1653</f>
        <v/>
      </c>
      <c r="P1654" s="64" t="str">
        <f>Ringkasan!P1653</f>
        <v/>
      </c>
      <c r="Q1654" s="64" t="str">
        <f>Ringkasan!Q1653</f>
        <v/>
      </c>
      <c r="R1654" s="64" t="str">
        <f>Ringkasan!R1653</f>
        <v/>
      </c>
      <c r="S1654" s="64" t="str">
        <f>Ringkasan!S1653</f>
        <v/>
      </c>
      <c r="T1654" s="64" t="str">
        <f>Ringkasan!T1653</f>
        <v/>
      </c>
      <c r="U1654" s="64">
        <f>Ringkasan!U1653</f>
        <v>73</v>
      </c>
      <c r="V1654" s="64">
        <f>Ringkasan!V1653</f>
        <v>5.48</v>
      </c>
      <c r="W1654" s="64">
        <f>Ringkasan!W1653</f>
        <v>74</v>
      </c>
      <c r="X1654" s="64">
        <f>Ringkasan!X1653</f>
        <v>80</v>
      </c>
      <c r="Y1654" s="64">
        <f>Ringkasan!Y1653</f>
        <v>72</v>
      </c>
      <c r="Z1654" s="64">
        <f>Ringkasan!Z1653</f>
        <v>2488300</v>
      </c>
      <c r="AA1654" s="64" t="str">
        <f>Ringkasan!AA1653</f>
        <v>Forestry &amp; Paper</v>
      </c>
      <c r="AB1654" s="64" t="str">
        <f>Ringkasan!AB1653</f>
        <v>Basic Materials</v>
      </c>
    </row>
    <row r="1655" hidden="1">
      <c r="A1655" s="64" t="str">
        <f>Ringkasan!A1654</f>
        <v>SUNI</v>
      </c>
      <c r="B1655" s="64" t="str">
        <f>Ringkasan!B1654</f>
        <v>PT Sunindo Pratama Tbk</v>
      </c>
      <c r="C1655" s="65">
        <f>Ringkasan!C1654</f>
        <v>665</v>
      </c>
      <c r="D1655" s="64" t="str">
        <f>Ringkasan!D1654</f>
        <v>#N/A</v>
      </c>
      <c r="E1655" s="64" t="str">
        <f>Ringkasan!E1654</f>
        <v/>
      </c>
      <c r="F1655" s="64" t="str">
        <f>Ringkasan!F1654</f>
        <v/>
      </c>
      <c r="G1655" s="65">
        <f>Ringkasan!G1654</f>
        <v>0</v>
      </c>
      <c r="H1655" s="19">
        <f>Ringkasan!H1654</f>
        <v>11.8</v>
      </c>
      <c r="I1655" s="19">
        <f>Ringkasan!I1654</f>
        <v>1.9</v>
      </c>
      <c r="J1655" s="19">
        <f>Ringkasan!J1654</f>
        <v>16.5</v>
      </c>
      <c r="K1655" s="19">
        <f>Ringkasan!K1654</f>
        <v>12.9</v>
      </c>
      <c r="L1655" s="19">
        <f>Ringkasan!L1654</f>
        <v>0.28</v>
      </c>
      <c r="M1655" s="19">
        <f>Ringkasan!M1654</f>
        <v>93.9</v>
      </c>
      <c r="N1655" s="64" t="str">
        <f>Ringkasan!N1654</f>
        <v/>
      </c>
      <c r="O1655" s="64" t="str">
        <f>Ringkasan!O1654</f>
        <v/>
      </c>
      <c r="P1655" s="64" t="str">
        <f>Ringkasan!P1654</f>
        <v/>
      </c>
      <c r="Q1655" s="64" t="str">
        <f>Ringkasan!Q1654</f>
        <v/>
      </c>
      <c r="R1655" s="64" t="str">
        <f>Ringkasan!R1654</f>
        <v/>
      </c>
      <c r="S1655" s="64" t="str">
        <f>Ringkasan!S1654</f>
        <v/>
      </c>
      <c r="T1655" s="64" t="str">
        <f>Ringkasan!T1654</f>
        <v/>
      </c>
      <c r="U1655" s="64">
        <f>Ringkasan!U1654</f>
        <v>660</v>
      </c>
      <c r="V1655" s="64">
        <f>Ringkasan!V1654</f>
        <v>0.76</v>
      </c>
      <c r="W1655" s="64">
        <f>Ringkasan!W1654</f>
        <v>660</v>
      </c>
      <c r="X1655" s="64">
        <f>Ringkasan!X1654</f>
        <v>670</v>
      </c>
      <c r="Y1655" s="64">
        <f>Ringkasan!Y1654</f>
        <v>650</v>
      </c>
      <c r="Z1655" s="64">
        <f>Ringkasan!Z1654</f>
        <v>161500</v>
      </c>
      <c r="AA1655" s="64" t="str">
        <f>Ringkasan!AA1654</f>
        <v>Oil, Gas &amp; Coal Supports</v>
      </c>
      <c r="AB1655" s="64" t="str">
        <f>Ringkasan!AB1654</f>
        <v>Energy</v>
      </c>
    </row>
    <row r="1656" hidden="1">
      <c r="A1656" s="64" t="str">
        <f>Ringkasan!A1655</f>
        <v>SUPA</v>
      </c>
      <c r="B1656" s="64" t="str">
        <f>Ringkasan!B1655</f>
        <v>Super Bank Indonesia Tbk.</v>
      </c>
      <c r="C1656" s="65" t="str">
        <f>Ringkasan!C1655</f>
        <v>#N/A</v>
      </c>
      <c r="D1656" s="64" t="str">
        <f>Ringkasan!D1655</f>
        <v>#N/A</v>
      </c>
      <c r="E1656" s="64" t="str">
        <f>Ringkasan!E1655</f>
        <v/>
      </c>
      <c r="F1656" s="64" t="str">
        <f>Ringkasan!F1655</f>
        <v/>
      </c>
      <c r="G1656" s="64">
        <f>Ringkasan!G1655</f>
        <v>0</v>
      </c>
      <c r="H1656" s="19">
        <f>Ringkasan!H1655</f>
        <v>160</v>
      </c>
      <c r="I1656" s="19">
        <f>Ringkasan!I1655</f>
        <v>3.5</v>
      </c>
      <c r="J1656" s="19">
        <f>Ringkasan!J1655</f>
        <v>2.2</v>
      </c>
      <c r="K1656" s="19">
        <f>Ringkasan!K1655</f>
        <v>0.74</v>
      </c>
      <c r="L1656" s="19">
        <f>Ringkasan!L1655</f>
        <v>2</v>
      </c>
      <c r="M1656" s="19">
        <f>Ringkasan!M1655</f>
        <v>24.4</v>
      </c>
      <c r="N1656" s="64">
        <f>Ringkasan!N1655</f>
        <v>4.85</v>
      </c>
      <c r="O1656" s="64">
        <f>Ringkasan!O1655</f>
        <v>92.15</v>
      </c>
      <c r="P1656" s="64">
        <f>Ringkasan!P1655</f>
        <v>62.4</v>
      </c>
      <c r="Q1656" s="64">
        <f>Ringkasan!Q1655</f>
        <v>0.85</v>
      </c>
      <c r="R1656" s="64">
        <f>Ringkasan!R1655</f>
        <v>112.4</v>
      </c>
      <c r="S1656" s="64">
        <f>Ringkasan!S1655</f>
        <v>98.15</v>
      </c>
      <c r="T1656" s="64">
        <f>Ringkasan!T1655</f>
        <v>2.45</v>
      </c>
      <c r="U1656" s="64">
        <f>Ringkasan!U1655</f>
        <v>615</v>
      </c>
      <c r="V1656" s="64">
        <f>Ringkasan!V1655</f>
        <v>0</v>
      </c>
      <c r="W1656" s="64">
        <f>Ringkasan!W1655</f>
        <v>615</v>
      </c>
      <c r="X1656" s="64">
        <f>Ringkasan!X1655</f>
        <v>645</v>
      </c>
      <c r="Y1656" s="64">
        <f>Ringkasan!Y1655</f>
        <v>605</v>
      </c>
      <c r="Z1656" s="64">
        <f>Ringkasan!Z1655</f>
        <v>73444900</v>
      </c>
      <c r="AA1656" s="64" t="str">
        <f>Ringkasan!AA1655</f>
        <v>Banks</v>
      </c>
      <c r="AB1656" s="64" t="str">
        <f>Ringkasan!AB1655</f>
        <v>Financials</v>
      </c>
    </row>
    <row r="1657" hidden="1">
      <c r="A1657" s="64" t="str">
        <f>Ringkasan!A1656</f>
        <v>SUPR</v>
      </c>
      <c r="B1657" s="64" t="str">
        <f>Ringkasan!B1656</f>
        <v>Solusi Tunas Pratama Tbk</v>
      </c>
      <c r="C1657" s="65">
        <f>Ringkasan!C1656</f>
        <v>43850</v>
      </c>
      <c r="D1657" s="64" t="str">
        <f>Ringkasan!D1656</f>
        <v>#N/A</v>
      </c>
      <c r="E1657" s="64" t="str">
        <f>Ringkasan!E1656</f>
        <v/>
      </c>
      <c r="F1657" s="64" t="str">
        <f>Ringkasan!F1656</f>
        <v/>
      </c>
      <c r="G1657" s="64">
        <f>Ringkasan!G1656</f>
        <v>0</v>
      </c>
      <c r="H1657" s="19">
        <f>Ringkasan!H1656</f>
        <v>21.4</v>
      </c>
      <c r="I1657" s="19">
        <f>Ringkasan!I1656</f>
        <v>6</v>
      </c>
      <c r="J1657" s="19">
        <f>Ringkasan!J1656</f>
        <v>28.2</v>
      </c>
      <c r="K1657" s="19">
        <f>Ringkasan!K1656</f>
        <v>10.3</v>
      </c>
      <c r="L1657" s="19">
        <f>Ringkasan!L1656</f>
        <v>0.26</v>
      </c>
      <c r="M1657" s="19">
        <f>Ringkasan!M1656</f>
        <v>120</v>
      </c>
      <c r="N1657" s="64" t="str">
        <f>Ringkasan!N1656</f>
        <v/>
      </c>
      <c r="O1657" s="64" t="str">
        <f>Ringkasan!O1656</f>
        <v/>
      </c>
      <c r="P1657" s="64" t="str">
        <f>Ringkasan!P1656</f>
        <v/>
      </c>
      <c r="Q1657" s="64" t="str">
        <f>Ringkasan!Q1656</f>
        <v/>
      </c>
      <c r="R1657" s="64" t="str">
        <f>Ringkasan!R1656</f>
        <v/>
      </c>
      <c r="S1657" s="64" t="str">
        <f>Ringkasan!S1656</f>
        <v/>
      </c>
      <c r="T1657" s="64" t="str">
        <f>Ringkasan!T1656</f>
        <v/>
      </c>
      <c r="U1657" s="64">
        <f>Ringkasan!U1656</f>
        <v>84.9</v>
      </c>
      <c r="V1657" s="64">
        <f>Ringkasan!V1656</f>
        <v>0.47</v>
      </c>
      <c r="W1657" s="64">
        <f>Ringkasan!W1656</f>
        <v>85.7</v>
      </c>
      <c r="X1657" s="64">
        <f>Ringkasan!X1656</f>
        <v>85.95</v>
      </c>
      <c r="Y1657" s="64">
        <f>Ringkasan!Y1656</f>
        <v>84.7</v>
      </c>
      <c r="Z1657" s="64">
        <f>Ringkasan!Z1656</f>
        <v>3936769</v>
      </c>
      <c r="AA1657" s="64" t="str">
        <f>Ringkasan!AA1656</f>
        <v>Wireless Telecommunication Services</v>
      </c>
      <c r="AB1657" s="64" t="str">
        <f>Ringkasan!AB1656</f>
        <v>Infrastructures</v>
      </c>
    </row>
    <row r="1658" hidden="1">
      <c r="A1658" s="64" t="str">
        <f>Ringkasan!A1657</f>
        <v>SURE</v>
      </c>
      <c r="B1658" s="64" t="str">
        <f>Ringkasan!B1657</f>
        <v>Super Energy Tbk.</v>
      </c>
      <c r="C1658" s="65">
        <f>Ringkasan!C1657</f>
        <v>3090</v>
      </c>
      <c r="D1658" s="64" t="str">
        <f>Ringkasan!D1657</f>
        <v>#N/A</v>
      </c>
      <c r="E1658" s="64" t="str">
        <f>Ringkasan!E1657</f>
        <v/>
      </c>
      <c r="F1658" s="64" t="str">
        <f>Ringkasan!F1657</f>
        <v/>
      </c>
      <c r="G1658" s="64">
        <f>Ringkasan!G1657</f>
        <v>0</v>
      </c>
      <c r="H1658" s="19">
        <f>Ringkasan!H1657</f>
        <v>-200</v>
      </c>
      <c r="I1658" s="19">
        <f>Ringkasan!I1657</f>
        <v>17.2</v>
      </c>
      <c r="J1658" s="19">
        <f>Ringkasan!J1657</f>
        <v>-8.6</v>
      </c>
      <c r="K1658" s="19">
        <f>Ringkasan!K1657</f>
        <v>-1.2</v>
      </c>
      <c r="L1658" s="19">
        <f>Ringkasan!L1657</f>
        <v>6.2</v>
      </c>
      <c r="M1658" s="19">
        <f>Ringkasan!M1657</f>
        <v>-11.2</v>
      </c>
      <c r="N1658" s="64" t="str">
        <f>Ringkasan!N1657</f>
        <v/>
      </c>
      <c r="O1658" s="64" t="str">
        <f>Ringkasan!O1657</f>
        <v/>
      </c>
      <c r="P1658" s="64" t="str">
        <f>Ringkasan!P1657</f>
        <v/>
      </c>
      <c r="Q1658" s="64" t="str">
        <f>Ringkasan!Q1657</f>
        <v/>
      </c>
      <c r="R1658" s="64" t="str">
        <f>Ringkasan!R1657</f>
        <v/>
      </c>
      <c r="S1658" s="64" t="str">
        <f>Ringkasan!S1657</f>
        <v/>
      </c>
      <c r="T1658" s="64" t="str">
        <f>Ringkasan!T1657</f>
        <v/>
      </c>
      <c r="U1658" s="64">
        <f>Ringkasan!U1657</f>
        <v>144.15</v>
      </c>
      <c r="V1658" s="64">
        <f>Ringkasan!V1657</f>
        <v>0.42</v>
      </c>
      <c r="W1658" s="64" t="str">
        <f>Ringkasan!W1657</f>
        <v/>
      </c>
      <c r="X1658" s="64">
        <f>Ringkasan!X1657</f>
        <v>144.75</v>
      </c>
      <c r="Y1658" s="64">
        <f>Ringkasan!Y1657</f>
        <v>144.36</v>
      </c>
      <c r="Z1658" s="64">
        <f>Ringkasan!Z1657</f>
        <v>1</v>
      </c>
      <c r="AA1658" s="64" t="str">
        <f>Ringkasan!AA1657</f>
        <v>Oil &amp; Gas</v>
      </c>
      <c r="AB1658" s="64" t="str">
        <f>Ringkasan!AB1657</f>
        <v>Energy</v>
      </c>
    </row>
    <row r="1659" hidden="1">
      <c r="A1659" s="64" t="str">
        <f>Ringkasan!A1658</f>
        <v>SURI</v>
      </c>
      <c r="B1659" s="64" t="str">
        <f>Ringkasan!B1658</f>
        <v>PT Maja Agung Latexindo Tbk.</v>
      </c>
      <c r="C1659" s="65">
        <f>Ringkasan!C1658</f>
        <v>59</v>
      </c>
      <c r="D1659" s="64" t="str">
        <f>Ringkasan!D1658</f>
        <v>#N/A</v>
      </c>
      <c r="E1659" s="64" t="str">
        <f>Ringkasan!E1658</f>
        <v/>
      </c>
      <c r="F1659" s="64" t="str">
        <f>Ringkasan!F1658</f>
        <v/>
      </c>
      <c r="G1659" s="65">
        <f>Ringkasan!G1658</f>
        <v>0</v>
      </c>
      <c r="H1659" s="19">
        <f>Ringkasan!H1658</f>
        <v>-2430</v>
      </c>
      <c r="I1659" s="19">
        <f>Ringkasan!I1658</f>
        <v>1.3</v>
      </c>
      <c r="J1659" s="19">
        <f>Ringkasan!J1658</f>
        <v>-0.05</v>
      </c>
      <c r="K1659" s="19">
        <f>Ringkasan!K1658</f>
        <v>-0.05</v>
      </c>
      <c r="L1659" s="19">
        <f>Ringkasan!L1658</f>
        <v>0.13</v>
      </c>
      <c r="M1659" s="19">
        <f>Ringkasan!M1658</f>
        <v>-0.5</v>
      </c>
      <c r="N1659" s="64" t="str">
        <f>Ringkasan!N1658</f>
        <v/>
      </c>
      <c r="O1659" s="64" t="str">
        <f>Ringkasan!O1658</f>
        <v/>
      </c>
      <c r="P1659" s="64" t="str">
        <f>Ringkasan!P1658</f>
        <v/>
      </c>
      <c r="Q1659" s="64" t="str">
        <f>Ringkasan!Q1658</f>
        <v/>
      </c>
      <c r="R1659" s="64" t="str">
        <f>Ringkasan!R1658</f>
        <v/>
      </c>
      <c r="S1659" s="64" t="str">
        <f>Ringkasan!S1658</f>
        <v/>
      </c>
      <c r="T1659" s="64" t="str">
        <f>Ringkasan!T1658</f>
        <v/>
      </c>
      <c r="U1659" s="64">
        <f>Ringkasan!U1658</f>
        <v>17.59</v>
      </c>
      <c r="V1659" s="64">
        <f>Ringkasan!V1658</f>
        <v>-0.32</v>
      </c>
      <c r="W1659" s="64">
        <f>Ringkasan!W1658</f>
        <v>17.5</v>
      </c>
      <c r="X1659" s="64" t="str">
        <f>Ringkasan!X1658</f>
        <v/>
      </c>
      <c r="Y1659" s="64">
        <f>Ringkasan!Y1658</f>
        <v>17.5</v>
      </c>
      <c r="Z1659" s="64">
        <f>Ringkasan!Z1658</f>
        <v>354</v>
      </c>
      <c r="AA1659" s="64" t="str">
        <f>Ringkasan!AA1658</f>
        <v>Healthcare Equipment &amp; Supplies</v>
      </c>
      <c r="AB1659" s="64" t="str">
        <f>Ringkasan!AB1658</f>
        <v>Healthcare</v>
      </c>
    </row>
    <row r="1660" hidden="1">
      <c r="A1660" s="64" t="str">
        <f>Ringkasan!A1659</f>
        <v>SWAT</v>
      </c>
      <c r="B1660" s="64" t="str">
        <f>Ringkasan!B1659</f>
        <v>Sriwahana Adityakarta Tbk.</v>
      </c>
      <c r="C1660" s="65">
        <f>Ringkasan!C1659</f>
        <v>16</v>
      </c>
      <c r="D1660" s="64" t="str">
        <f>Ringkasan!D1659</f>
        <v>#N/A</v>
      </c>
      <c r="E1660" s="64" t="str">
        <f>Ringkasan!E1659</f>
        <v/>
      </c>
      <c r="F1660" s="64" t="str">
        <f>Ringkasan!F1659</f>
        <v/>
      </c>
      <c r="G1660" s="64">
        <f>Ringkasan!G1659</f>
        <v>0</v>
      </c>
      <c r="H1660" s="19">
        <f>Ringkasan!H1659</f>
        <v>0</v>
      </c>
      <c r="I1660" s="19">
        <f>Ringkasan!I1659</f>
        <v>0.79</v>
      </c>
      <c r="J1660" s="19">
        <f>Ringkasan!J1659</f>
        <v>-230</v>
      </c>
      <c r="K1660" s="19">
        <f>Ringkasan!K1659</f>
        <v>-29.6</v>
      </c>
      <c r="L1660" s="19">
        <f>Ringkasan!L1659</f>
        <v>6.9</v>
      </c>
      <c r="M1660" s="19">
        <f>Ringkasan!M1659</f>
        <v>-80.8</v>
      </c>
      <c r="N1660" s="64" t="str">
        <f>Ringkasan!N1659</f>
        <v/>
      </c>
      <c r="O1660" s="64" t="str">
        <f>Ringkasan!O1659</f>
        <v/>
      </c>
      <c r="P1660" s="64" t="str">
        <f>Ringkasan!P1659</f>
        <v/>
      </c>
      <c r="Q1660" s="64" t="str">
        <f>Ringkasan!Q1659</f>
        <v/>
      </c>
      <c r="R1660" s="64" t="str">
        <f>Ringkasan!R1659</f>
        <v/>
      </c>
      <c r="S1660" s="64" t="str">
        <f>Ringkasan!S1659</f>
        <v/>
      </c>
      <c r="T1660" s="64" t="str">
        <f>Ringkasan!T1659</f>
        <v/>
      </c>
      <c r="U1660" s="64">
        <f>Ringkasan!U1659</f>
        <v>16</v>
      </c>
      <c r="V1660" s="64">
        <f>Ringkasan!V1659</f>
        <v>0</v>
      </c>
      <c r="W1660" s="64" t="str">
        <f>Ringkasan!W1659</f>
        <v/>
      </c>
      <c r="X1660" s="64" t="str">
        <f>Ringkasan!X1659</f>
        <v/>
      </c>
      <c r="Y1660" s="64" t="str">
        <f>Ringkasan!Y1659</f>
        <v/>
      </c>
      <c r="Z1660" s="64">
        <f>Ringkasan!Z1659</f>
        <v>0</v>
      </c>
      <c r="AA1660" s="64" t="str">
        <f>Ringkasan!AA1659</f>
        <v>Forestry &amp; Paper</v>
      </c>
      <c r="AB1660" s="64" t="str">
        <f>Ringkasan!AB1659</f>
        <v>Basic Materials</v>
      </c>
    </row>
    <row r="1661" hidden="1">
      <c r="A1661" s="64" t="str">
        <f>Ringkasan!A1660</f>
        <v>SWID</v>
      </c>
      <c r="B1661" s="64" t="str">
        <f>Ringkasan!B1660</f>
        <v>Saraswanti Indoland Development Tbk.</v>
      </c>
      <c r="C1661" s="65">
        <f>Ringkasan!C1660</f>
        <v>88</v>
      </c>
      <c r="D1661" s="64" t="str">
        <f>Ringkasan!D1660</f>
        <v>#N/A</v>
      </c>
      <c r="E1661" s="64" t="str">
        <f>Ringkasan!E1660</f>
        <v/>
      </c>
      <c r="F1661" s="64" t="str">
        <f>Ringkasan!F1660</f>
        <v/>
      </c>
      <c r="G1661" s="64">
        <f>Ringkasan!G1660</f>
        <v>0</v>
      </c>
      <c r="H1661" s="19">
        <f>Ringkasan!H1660</f>
        <v>11.2</v>
      </c>
      <c r="I1661" s="19">
        <f>Ringkasan!I1660</f>
        <v>1.8</v>
      </c>
      <c r="J1661" s="19">
        <f>Ringkasan!J1660</f>
        <v>15.9</v>
      </c>
      <c r="K1661" s="19">
        <f>Ringkasan!K1660</f>
        <v>8.6</v>
      </c>
      <c r="L1661" s="19">
        <f>Ringkasan!L1660</f>
        <v>0.84</v>
      </c>
      <c r="M1661" s="19">
        <f>Ringkasan!M1660</f>
        <v>150</v>
      </c>
      <c r="N1661" s="64" t="str">
        <f>Ringkasan!N1660</f>
        <v/>
      </c>
      <c r="O1661" s="64" t="str">
        <f>Ringkasan!O1660</f>
        <v/>
      </c>
      <c r="P1661" s="64" t="str">
        <f>Ringkasan!P1660</f>
        <v/>
      </c>
      <c r="Q1661" s="64" t="str">
        <f>Ringkasan!Q1660</f>
        <v/>
      </c>
      <c r="R1661" s="64" t="str">
        <f>Ringkasan!R1660</f>
        <v/>
      </c>
      <c r="S1661" s="64" t="str">
        <f>Ringkasan!S1660</f>
        <v/>
      </c>
      <c r="T1661" s="64" t="str">
        <f>Ringkasan!T1660</f>
        <v/>
      </c>
      <c r="U1661" s="64" t="str">
        <f>Ringkasan!U1660</f>
        <v/>
      </c>
      <c r="V1661" s="64">
        <f>Ringkasan!V1660</f>
        <v>2.33</v>
      </c>
      <c r="W1661" s="64">
        <f>Ringkasan!W1660</f>
        <v>86</v>
      </c>
      <c r="X1661" s="64">
        <f>Ringkasan!X1660</f>
        <v>88</v>
      </c>
      <c r="Y1661" s="64">
        <f>Ringkasan!Y1660</f>
        <v>85</v>
      </c>
      <c r="Z1661" s="64">
        <f>Ringkasan!Z1660</f>
        <v>3671800</v>
      </c>
      <c r="AA1661" s="64" t="str">
        <f>Ringkasan!AA1660</f>
        <v>Tourism &amp; Recreation</v>
      </c>
      <c r="AB1661" s="64" t="str">
        <f>Ringkasan!AB1660</f>
        <v>Consumer Cyclicals</v>
      </c>
    </row>
    <row r="1662" hidden="1">
      <c r="A1662" s="64" t="str">
        <f>Ringkasan!A1661</f>
        <v>TALF</v>
      </c>
      <c r="B1662" s="64" t="str">
        <f>Ringkasan!B1661</f>
        <v>Tunas Alfin Tbk.</v>
      </c>
      <c r="C1662" s="65">
        <f>Ringkasan!C1661</f>
        <v>685</v>
      </c>
      <c r="D1662" s="64" t="str">
        <f>Ringkasan!D1661</f>
        <v>#N/A</v>
      </c>
      <c r="E1662" s="64" t="str">
        <f>Ringkasan!E1661</f>
        <v/>
      </c>
      <c r="F1662" s="64" t="str">
        <f>Ringkasan!F1661</f>
        <v/>
      </c>
      <c r="G1662" s="64">
        <f>Ringkasan!G1661</f>
        <v>0</v>
      </c>
      <c r="H1662" s="19">
        <f>Ringkasan!H1661</f>
        <v>23.9</v>
      </c>
      <c r="I1662" s="19">
        <f>Ringkasan!I1661</f>
        <v>0.72</v>
      </c>
      <c r="J1662" s="19">
        <f>Ringkasan!J1661</f>
        <v>3</v>
      </c>
      <c r="K1662" s="19">
        <f>Ringkasan!K1661</f>
        <v>2.2</v>
      </c>
      <c r="L1662" s="19">
        <f>Ringkasan!L1661</f>
        <v>0.38</v>
      </c>
      <c r="M1662" s="19">
        <f>Ringkasan!M1661</f>
        <v>13.7</v>
      </c>
      <c r="N1662" s="64" t="str">
        <f>Ringkasan!N1661</f>
        <v/>
      </c>
      <c r="O1662" s="64" t="str">
        <f>Ringkasan!O1661</f>
        <v/>
      </c>
      <c r="P1662" s="64" t="str">
        <f>Ringkasan!P1661</f>
        <v/>
      </c>
      <c r="Q1662" s="64" t="str">
        <f>Ringkasan!Q1661</f>
        <v/>
      </c>
      <c r="R1662" s="64" t="str">
        <f>Ringkasan!R1661</f>
        <v/>
      </c>
      <c r="S1662" s="64" t="str">
        <f>Ringkasan!S1661</f>
        <v/>
      </c>
      <c r="T1662" s="64" t="str">
        <f>Ringkasan!T1661</f>
        <v/>
      </c>
      <c r="U1662" s="64">
        <f>Ringkasan!U1661</f>
        <v>660</v>
      </c>
      <c r="V1662" s="64">
        <f>Ringkasan!V1661</f>
        <v>3.79</v>
      </c>
      <c r="W1662" s="64">
        <f>Ringkasan!W1661</f>
        <v>690</v>
      </c>
      <c r="X1662" s="64">
        <f>Ringkasan!X1661</f>
        <v>690</v>
      </c>
      <c r="Y1662" s="64">
        <f>Ringkasan!Y1661</f>
        <v>660</v>
      </c>
      <c r="Z1662" s="64">
        <f>Ringkasan!Z1661</f>
        <v>236300</v>
      </c>
      <c r="AA1662" s="64" t="str">
        <f>Ringkasan!AA1661</f>
        <v>Containers &amp; Packaging</v>
      </c>
      <c r="AB1662" s="64" t="str">
        <f>Ringkasan!AB1661</f>
        <v>Basic Materials</v>
      </c>
    </row>
    <row r="1663" hidden="1">
      <c r="A1663" s="64" t="str">
        <f>Ringkasan!A1662</f>
        <v>TAMA</v>
      </c>
      <c r="B1663" s="64" t="str">
        <f>Ringkasan!B1662</f>
        <v>Lancartama Sejati Tbk.</v>
      </c>
      <c r="C1663" s="65">
        <f>Ringkasan!C1662</f>
        <v>145</v>
      </c>
      <c r="D1663" s="64" t="str">
        <f>Ringkasan!D1662</f>
        <v>#N/A</v>
      </c>
      <c r="E1663" s="64" t="str">
        <f>Ringkasan!E1662</f>
        <v/>
      </c>
      <c r="F1663" s="64" t="str">
        <f>Ringkasan!F1662</f>
        <v/>
      </c>
      <c r="G1663" s="64">
        <f>Ringkasan!G1662</f>
        <v>0</v>
      </c>
      <c r="H1663" s="19">
        <f>Ringkasan!H1662</f>
        <v>-13.3</v>
      </c>
      <c r="I1663" s="19">
        <f>Ringkasan!I1662</f>
        <v>7.5</v>
      </c>
      <c r="J1663" s="19">
        <f>Ringkasan!J1662</f>
        <v>-56.3</v>
      </c>
      <c r="K1663" s="19">
        <f>Ringkasan!K1662</f>
        <v>-3.9</v>
      </c>
      <c r="L1663" s="19">
        <f>Ringkasan!L1662</f>
        <v>4.6</v>
      </c>
      <c r="M1663" s="19">
        <f>Ringkasan!M1662</f>
        <v>-89.6</v>
      </c>
      <c r="N1663" s="64" t="str">
        <f>Ringkasan!N1662</f>
        <v/>
      </c>
      <c r="O1663" s="64" t="str">
        <f>Ringkasan!O1662</f>
        <v/>
      </c>
      <c r="P1663" s="64" t="str">
        <f>Ringkasan!P1662</f>
        <v/>
      </c>
      <c r="Q1663" s="64" t="str">
        <f>Ringkasan!Q1662</f>
        <v/>
      </c>
      <c r="R1663" s="64" t="str">
        <f>Ringkasan!R1662</f>
        <v/>
      </c>
      <c r="S1663" s="64" t="str">
        <f>Ringkasan!S1662</f>
        <v/>
      </c>
      <c r="T1663" s="64" t="str">
        <f>Ringkasan!T1662</f>
        <v/>
      </c>
      <c r="U1663" s="64">
        <f>Ringkasan!U1662</f>
        <v>138</v>
      </c>
      <c r="V1663" s="64">
        <f>Ringkasan!V1662</f>
        <v>5.07</v>
      </c>
      <c r="W1663" s="64">
        <f>Ringkasan!W1662</f>
        <v>153</v>
      </c>
      <c r="X1663" s="64">
        <f>Ringkasan!X1662</f>
        <v>153</v>
      </c>
      <c r="Y1663" s="64">
        <f>Ringkasan!Y1662</f>
        <v>139</v>
      </c>
      <c r="Z1663" s="64">
        <f>Ringkasan!Z1662</f>
        <v>3187200</v>
      </c>
      <c r="AA1663" s="64" t="str">
        <f>Ringkasan!AA1662</f>
        <v>Heavy Constructions &amp; Civil Engineering</v>
      </c>
      <c r="AB1663" s="64" t="str">
        <f>Ringkasan!AB1662</f>
        <v>Infrastructures</v>
      </c>
    </row>
    <row r="1664" hidden="1">
      <c r="A1664" s="64" t="str">
        <f>Ringkasan!A1663</f>
        <v>TAMU</v>
      </c>
      <c r="B1664" s="64" t="str">
        <f>Ringkasan!B1663</f>
        <v>PT Pelayaran Tamarin Samudra Tbk.</v>
      </c>
      <c r="C1664" s="65">
        <f>Ringkasan!C1663</f>
        <v>20</v>
      </c>
      <c r="D1664" s="64" t="str">
        <f>Ringkasan!D1663</f>
        <v>#N/A</v>
      </c>
      <c r="E1664" s="64" t="str">
        <f>Ringkasan!E1663</f>
        <v/>
      </c>
      <c r="F1664" s="64" t="str">
        <f>Ringkasan!F1663</f>
        <v/>
      </c>
      <c r="G1664" s="64">
        <f>Ringkasan!G1663</f>
        <v>0</v>
      </c>
      <c r="H1664" s="19">
        <f>Ringkasan!H1663</f>
        <v>-3.7</v>
      </c>
      <c r="I1664" s="19">
        <f>Ringkasan!I1663</f>
        <v>2.5</v>
      </c>
      <c r="J1664" s="19">
        <f>Ringkasan!J1663</f>
        <v>-67</v>
      </c>
      <c r="K1664" s="19">
        <f>Ringkasan!K1663</f>
        <v>-38.1</v>
      </c>
      <c r="L1664" s="19">
        <f>Ringkasan!L1663</f>
        <v>0.76</v>
      </c>
      <c r="M1664" s="19">
        <f>Ringkasan!M1663</f>
        <v>-400</v>
      </c>
      <c r="N1664" s="64" t="str">
        <f>Ringkasan!N1663</f>
        <v/>
      </c>
      <c r="O1664" s="64" t="str">
        <f>Ringkasan!O1663</f>
        <v/>
      </c>
      <c r="P1664" s="64" t="str">
        <f>Ringkasan!P1663</f>
        <v/>
      </c>
      <c r="Q1664" s="64" t="str">
        <f>Ringkasan!Q1663</f>
        <v/>
      </c>
      <c r="R1664" s="64" t="str">
        <f>Ringkasan!R1663</f>
        <v/>
      </c>
      <c r="S1664" s="64" t="str">
        <f>Ringkasan!S1663</f>
        <v/>
      </c>
      <c r="T1664" s="64" t="str">
        <f>Ringkasan!T1663</f>
        <v/>
      </c>
      <c r="U1664" s="64">
        <f>Ringkasan!U1663</f>
        <v>19</v>
      </c>
      <c r="V1664" s="64">
        <f>Ringkasan!V1663</f>
        <v>5.26</v>
      </c>
      <c r="W1664" s="64">
        <f>Ringkasan!W1663</f>
        <v>20</v>
      </c>
      <c r="X1664" s="64">
        <f>Ringkasan!X1663</f>
        <v>20</v>
      </c>
      <c r="Y1664" s="64">
        <f>Ringkasan!Y1663</f>
        <v>20</v>
      </c>
      <c r="Z1664" s="64">
        <f>Ringkasan!Z1663</f>
        <v>3240000</v>
      </c>
      <c r="AA1664" s="64" t="str">
        <f>Ringkasan!AA1663</f>
        <v>Oil, Gas &amp; Coal Supports</v>
      </c>
      <c r="AB1664" s="64" t="str">
        <f>Ringkasan!AB1663</f>
        <v>Energy</v>
      </c>
    </row>
    <row r="1665" hidden="1">
      <c r="A1665" s="64" t="str">
        <f>Ringkasan!A1664</f>
        <v>TAPG</v>
      </c>
      <c r="B1665" s="64" t="str">
        <f>Ringkasan!B1664</f>
        <v>Triputra Agro Persada Tbk.</v>
      </c>
      <c r="C1665" s="65">
        <f>Ringkasan!C1664</f>
        <v>1490</v>
      </c>
      <c r="D1665" s="64" t="str">
        <f>Ringkasan!D1664</f>
        <v>#N/A</v>
      </c>
      <c r="E1665" s="64" t="str">
        <f>Ringkasan!E1664</f>
        <v>ESGQKEHATI</v>
      </c>
      <c r="F1665" s="66">
        <f>Ringkasan!F1664</f>
        <v>46356</v>
      </c>
      <c r="G1665" s="65">
        <f>Ringkasan!G1664</f>
        <v>12</v>
      </c>
      <c r="H1665" s="19">
        <f>Ringkasan!H1664</f>
        <v>8.3</v>
      </c>
      <c r="I1665" s="19">
        <f>Ringkasan!I1664</f>
        <v>2.4</v>
      </c>
      <c r="J1665" s="19">
        <f>Ringkasan!J1664</f>
        <v>29.2</v>
      </c>
      <c r="K1665" s="19">
        <f>Ringkasan!K1664</f>
        <v>23.6</v>
      </c>
      <c r="L1665" s="19">
        <f>Ringkasan!L1664</f>
        <v>0.24</v>
      </c>
      <c r="M1665" s="19">
        <f>Ringkasan!M1664</f>
        <v>150</v>
      </c>
      <c r="N1665" s="64" t="str">
        <f>Ringkasan!N1664</f>
        <v/>
      </c>
      <c r="O1665" s="64" t="str">
        <f>Ringkasan!O1664</f>
        <v/>
      </c>
      <c r="P1665" s="64" t="str">
        <f>Ringkasan!P1664</f>
        <v/>
      </c>
      <c r="Q1665" s="64" t="str">
        <f>Ringkasan!Q1664</f>
        <v/>
      </c>
      <c r="R1665" s="64" t="str">
        <f>Ringkasan!R1664</f>
        <v/>
      </c>
      <c r="S1665" s="64" t="str">
        <f>Ringkasan!S1664</f>
        <v/>
      </c>
      <c r="T1665" s="64" t="str">
        <f>Ringkasan!T1664</f>
        <v/>
      </c>
      <c r="U1665" s="64">
        <f>Ringkasan!U1664</f>
        <v>1370</v>
      </c>
      <c r="V1665" s="64">
        <f>Ringkasan!V1664</f>
        <v>8.76</v>
      </c>
      <c r="W1665" s="64">
        <f>Ringkasan!W1664</f>
        <v>1380</v>
      </c>
      <c r="X1665" s="64">
        <f>Ringkasan!X1664</f>
        <v>1550</v>
      </c>
      <c r="Y1665" s="64">
        <f>Ringkasan!Y1664</f>
        <v>1380</v>
      </c>
      <c r="Z1665" s="64">
        <f>Ringkasan!Z1664</f>
        <v>23782600</v>
      </c>
      <c r="AA1665" s="64" t="str">
        <f>Ringkasan!AA1664</f>
        <v>Agricultural Products</v>
      </c>
      <c r="AB1665" s="64" t="str">
        <f>Ringkasan!AB1664</f>
        <v>Consumer Non-Cyclicals</v>
      </c>
    </row>
    <row r="1666" hidden="1">
      <c r="A1666" s="64" t="str">
        <f>Ringkasan!A1665</f>
        <v>TAPG</v>
      </c>
      <c r="B1666" s="64" t="str">
        <f>Ringkasan!B1665</f>
        <v>Triputra Agro Persada Tbk.</v>
      </c>
      <c r="C1666" s="65">
        <f>Ringkasan!C1665</f>
        <v>1490</v>
      </c>
      <c r="D1666" s="64" t="str">
        <f>Ringkasan!D1665</f>
        <v>#N/A</v>
      </c>
      <c r="E1666" s="64" t="str">
        <f>Ringkasan!E1665</f>
        <v>IDXSHAGROW</v>
      </c>
      <c r="F1666" s="66">
        <f>Ringkasan!F1665</f>
        <v>46356</v>
      </c>
      <c r="G1666" s="65">
        <f>Ringkasan!G1665</f>
        <v>12</v>
      </c>
      <c r="H1666" s="19">
        <f>Ringkasan!H1665</f>
        <v>8.3</v>
      </c>
      <c r="I1666" s="19">
        <f>Ringkasan!I1665</f>
        <v>2.4</v>
      </c>
      <c r="J1666" s="19">
        <f>Ringkasan!J1665</f>
        <v>29.2</v>
      </c>
      <c r="K1666" s="19">
        <f>Ringkasan!K1665</f>
        <v>23.6</v>
      </c>
      <c r="L1666" s="19">
        <f>Ringkasan!L1665</f>
        <v>0.24</v>
      </c>
      <c r="M1666" s="19">
        <f>Ringkasan!M1665</f>
        <v>150</v>
      </c>
      <c r="N1666" s="64" t="str">
        <f>Ringkasan!N1665</f>
        <v/>
      </c>
      <c r="O1666" s="64" t="str">
        <f>Ringkasan!O1665</f>
        <v/>
      </c>
      <c r="P1666" s="64" t="str">
        <f>Ringkasan!P1665</f>
        <v/>
      </c>
      <c r="Q1666" s="64" t="str">
        <f>Ringkasan!Q1665</f>
        <v/>
      </c>
      <c r="R1666" s="64" t="str">
        <f>Ringkasan!R1665</f>
        <v/>
      </c>
      <c r="S1666" s="64" t="str">
        <f>Ringkasan!S1665</f>
        <v/>
      </c>
      <c r="T1666" s="64" t="str">
        <f>Ringkasan!T1665</f>
        <v/>
      </c>
      <c r="U1666" s="64">
        <f>Ringkasan!U1665</f>
        <v>1370</v>
      </c>
      <c r="V1666" s="64">
        <f>Ringkasan!V1665</f>
        <v>8.76</v>
      </c>
      <c r="W1666" s="64">
        <f>Ringkasan!W1665</f>
        <v>1380</v>
      </c>
      <c r="X1666" s="64">
        <f>Ringkasan!X1665</f>
        <v>1550</v>
      </c>
      <c r="Y1666" s="64">
        <f>Ringkasan!Y1665</f>
        <v>1380</v>
      </c>
      <c r="Z1666" s="64">
        <f>Ringkasan!Z1665</f>
        <v>23782600</v>
      </c>
      <c r="AA1666" s="64" t="str">
        <f>Ringkasan!AA1665</f>
        <v>Agricultural Products</v>
      </c>
      <c r="AB1666" s="64" t="str">
        <f>Ringkasan!AB1665</f>
        <v>Consumer Non-Cyclicals</v>
      </c>
    </row>
    <row r="1667" hidden="1">
      <c r="A1667" s="64" t="str">
        <f>Ringkasan!A1666</f>
        <v>TAPG</v>
      </c>
      <c r="B1667" s="64" t="str">
        <f>Ringkasan!B1666</f>
        <v>Triputra Agro Persada Tbk.</v>
      </c>
      <c r="C1667" s="65">
        <f>Ringkasan!C1666</f>
        <v>1490</v>
      </c>
      <c r="D1667" s="64" t="str">
        <f>Ringkasan!D1666</f>
        <v>#N/A</v>
      </c>
      <c r="E1667" s="64" t="str">
        <f>Ringkasan!E1666</f>
        <v>ESGSKEHATI</v>
      </c>
      <c r="F1667" s="66">
        <f>Ringkasan!F1666</f>
        <v>46356</v>
      </c>
      <c r="G1667" s="65">
        <f>Ringkasan!G1666</f>
        <v>12</v>
      </c>
      <c r="H1667" s="19">
        <f>Ringkasan!H1666</f>
        <v>8.3</v>
      </c>
      <c r="I1667" s="19">
        <f>Ringkasan!I1666</f>
        <v>2.4</v>
      </c>
      <c r="J1667" s="19">
        <f>Ringkasan!J1666</f>
        <v>29.2</v>
      </c>
      <c r="K1667" s="19">
        <f>Ringkasan!K1666</f>
        <v>23.6</v>
      </c>
      <c r="L1667" s="19">
        <f>Ringkasan!L1666</f>
        <v>0.24</v>
      </c>
      <c r="M1667" s="19">
        <f>Ringkasan!M1666</f>
        <v>150</v>
      </c>
      <c r="N1667" s="64" t="str">
        <f>Ringkasan!N1666</f>
        <v/>
      </c>
      <c r="O1667" s="64" t="str">
        <f>Ringkasan!O1666</f>
        <v/>
      </c>
      <c r="P1667" s="64" t="str">
        <f>Ringkasan!P1666</f>
        <v/>
      </c>
      <c r="Q1667" s="64" t="str">
        <f>Ringkasan!Q1666</f>
        <v/>
      </c>
      <c r="R1667" s="64" t="str">
        <f>Ringkasan!R1666</f>
        <v/>
      </c>
      <c r="S1667" s="64" t="str">
        <f>Ringkasan!S1666</f>
        <v/>
      </c>
      <c r="T1667" s="64" t="str">
        <f>Ringkasan!T1666</f>
        <v/>
      </c>
      <c r="U1667" s="64">
        <f>Ringkasan!U1666</f>
        <v>1370</v>
      </c>
      <c r="V1667" s="64">
        <f>Ringkasan!V1666</f>
        <v>8.76</v>
      </c>
      <c r="W1667" s="64">
        <f>Ringkasan!W1666</f>
        <v>1380</v>
      </c>
      <c r="X1667" s="64">
        <f>Ringkasan!X1666</f>
        <v>1550</v>
      </c>
      <c r="Y1667" s="64">
        <f>Ringkasan!Y1666</f>
        <v>1380</v>
      </c>
      <c r="Z1667" s="64">
        <f>Ringkasan!Z1666</f>
        <v>23782600</v>
      </c>
      <c r="AA1667" s="64" t="str">
        <f>Ringkasan!AA1666</f>
        <v>Agricultural Products</v>
      </c>
      <c r="AB1667" s="64" t="str">
        <f>Ringkasan!AB1666</f>
        <v>Consumer Non-Cyclicals</v>
      </c>
    </row>
    <row r="1668" hidden="1">
      <c r="A1668" s="64" t="str">
        <f>Ringkasan!A1667</f>
        <v>TAPG</v>
      </c>
      <c r="B1668" s="64" t="str">
        <f>Ringkasan!B1667</f>
        <v>Triputra Agro Persada Tbk.</v>
      </c>
      <c r="C1668" s="65">
        <f>Ringkasan!C1667</f>
        <v>1490</v>
      </c>
      <c r="D1668" s="64" t="str">
        <f>Ringkasan!D1667</f>
        <v>#N/A</v>
      </c>
      <c r="E1668" s="64" t="str">
        <f>Ringkasan!E1667</f>
        <v>IDXHIDIV20</v>
      </c>
      <c r="F1668" s="64" t="str">
        <f>Ringkasan!F1667</f>
        <v>2 Februari 2027</v>
      </c>
      <c r="G1668" s="65">
        <f>Ringkasan!G1667</f>
        <v>12</v>
      </c>
      <c r="H1668" s="19">
        <f>Ringkasan!H1667</f>
        <v>8.3</v>
      </c>
      <c r="I1668" s="19">
        <f>Ringkasan!I1667</f>
        <v>2.4</v>
      </c>
      <c r="J1668" s="19">
        <f>Ringkasan!J1667</f>
        <v>29.2</v>
      </c>
      <c r="K1668" s="19">
        <f>Ringkasan!K1667</f>
        <v>23.6</v>
      </c>
      <c r="L1668" s="19">
        <f>Ringkasan!L1667</f>
        <v>0.24</v>
      </c>
      <c r="M1668" s="19">
        <f>Ringkasan!M1667</f>
        <v>150</v>
      </c>
      <c r="N1668" s="64" t="str">
        <f>Ringkasan!N1667</f>
        <v/>
      </c>
      <c r="O1668" s="64" t="str">
        <f>Ringkasan!O1667</f>
        <v/>
      </c>
      <c r="P1668" s="64" t="str">
        <f>Ringkasan!P1667</f>
        <v/>
      </c>
      <c r="Q1668" s="64" t="str">
        <f>Ringkasan!Q1667</f>
        <v/>
      </c>
      <c r="R1668" s="64" t="str">
        <f>Ringkasan!R1667</f>
        <v/>
      </c>
      <c r="S1668" s="64" t="str">
        <f>Ringkasan!S1667</f>
        <v/>
      </c>
      <c r="T1668" s="64" t="str">
        <f>Ringkasan!T1667</f>
        <v/>
      </c>
      <c r="U1668" s="64">
        <f>Ringkasan!U1667</f>
        <v>1370</v>
      </c>
      <c r="V1668" s="64">
        <f>Ringkasan!V1667</f>
        <v>8.76</v>
      </c>
      <c r="W1668" s="64">
        <f>Ringkasan!W1667</f>
        <v>1380</v>
      </c>
      <c r="X1668" s="64">
        <f>Ringkasan!X1667</f>
        <v>1550</v>
      </c>
      <c r="Y1668" s="64">
        <f>Ringkasan!Y1667</f>
        <v>1380</v>
      </c>
      <c r="Z1668" s="64">
        <f>Ringkasan!Z1667</f>
        <v>23782600</v>
      </c>
      <c r="AA1668" s="64" t="str">
        <f>Ringkasan!AA1667</f>
        <v>Agricultural Products</v>
      </c>
      <c r="AB1668" s="64" t="str">
        <f>Ringkasan!AB1667</f>
        <v>Consumer Non-Cyclicals</v>
      </c>
    </row>
    <row r="1669" hidden="1">
      <c r="A1669" s="64" t="str">
        <f>Ringkasan!A1668</f>
        <v>TAPG</v>
      </c>
      <c r="B1669" s="64" t="str">
        <f>Ringkasan!B1668</f>
        <v>Triputra Agro Persada Tbk.</v>
      </c>
      <c r="C1669" s="65">
        <f>Ringkasan!C1668</f>
        <v>1490</v>
      </c>
      <c r="D1669" s="64" t="str">
        <f>Ringkasan!D1668</f>
        <v>#N/A</v>
      </c>
      <c r="E1669" s="64" t="str">
        <f>Ringkasan!E1668</f>
        <v>IDX80</v>
      </c>
      <c r="F1669" s="64" t="str">
        <f>Ringkasan!F1668</f>
        <v>31 Juli 2026</v>
      </c>
      <c r="G1669" s="65">
        <f>Ringkasan!G1668</f>
        <v>12</v>
      </c>
      <c r="H1669" s="19">
        <f>Ringkasan!H1668</f>
        <v>8.3</v>
      </c>
      <c r="I1669" s="19">
        <f>Ringkasan!I1668</f>
        <v>2.4</v>
      </c>
      <c r="J1669" s="19">
        <f>Ringkasan!J1668</f>
        <v>29.2</v>
      </c>
      <c r="K1669" s="19">
        <f>Ringkasan!K1668</f>
        <v>23.6</v>
      </c>
      <c r="L1669" s="19">
        <f>Ringkasan!L1668</f>
        <v>0.24</v>
      </c>
      <c r="M1669" s="19">
        <f>Ringkasan!M1668</f>
        <v>150</v>
      </c>
      <c r="N1669" s="64" t="str">
        <f>Ringkasan!N1668</f>
        <v/>
      </c>
      <c r="O1669" s="64" t="str">
        <f>Ringkasan!O1668</f>
        <v/>
      </c>
      <c r="P1669" s="64" t="str">
        <f>Ringkasan!P1668</f>
        <v/>
      </c>
      <c r="Q1669" s="64" t="str">
        <f>Ringkasan!Q1668</f>
        <v/>
      </c>
      <c r="R1669" s="64" t="str">
        <f>Ringkasan!R1668</f>
        <v/>
      </c>
      <c r="S1669" s="64" t="str">
        <f>Ringkasan!S1668</f>
        <v/>
      </c>
      <c r="T1669" s="64" t="str">
        <f>Ringkasan!T1668</f>
        <v/>
      </c>
      <c r="U1669" s="64">
        <f>Ringkasan!U1668</f>
        <v>1370</v>
      </c>
      <c r="V1669" s="64">
        <f>Ringkasan!V1668</f>
        <v>8.76</v>
      </c>
      <c r="W1669" s="64">
        <f>Ringkasan!W1668</f>
        <v>1380</v>
      </c>
      <c r="X1669" s="64">
        <f>Ringkasan!X1668</f>
        <v>1550</v>
      </c>
      <c r="Y1669" s="64">
        <f>Ringkasan!Y1668</f>
        <v>1380</v>
      </c>
      <c r="Z1669" s="64">
        <f>Ringkasan!Z1668</f>
        <v>23782600</v>
      </c>
      <c r="AA1669" s="64" t="str">
        <f>Ringkasan!AA1668</f>
        <v>Agricultural Products</v>
      </c>
      <c r="AB1669" s="64" t="str">
        <f>Ringkasan!AB1668</f>
        <v>Consumer Non-Cyclicals</v>
      </c>
    </row>
    <row r="1670" hidden="1">
      <c r="A1670" s="64" t="str">
        <f>Ringkasan!A1669</f>
        <v>TAPG</v>
      </c>
      <c r="B1670" s="64" t="str">
        <f>Ringkasan!B1669</f>
        <v>Triputra Agro Persada Tbk.</v>
      </c>
      <c r="C1670" s="65">
        <f>Ringkasan!C1669</f>
        <v>1490</v>
      </c>
      <c r="D1670" s="64" t="str">
        <f>Ringkasan!D1669</f>
        <v>#N/A</v>
      </c>
      <c r="E1670" s="64" t="str">
        <f>Ringkasan!E1669</f>
        <v>MNC36</v>
      </c>
      <c r="F1670" s="64" t="str">
        <f>Ringkasan!F1669</f>
        <v>30 Oktober 2026</v>
      </c>
      <c r="G1670" s="65">
        <f>Ringkasan!G1669</f>
        <v>12</v>
      </c>
      <c r="H1670" s="19">
        <f>Ringkasan!H1669</f>
        <v>8.3</v>
      </c>
      <c r="I1670" s="19">
        <f>Ringkasan!I1669</f>
        <v>2.4</v>
      </c>
      <c r="J1670" s="19">
        <f>Ringkasan!J1669</f>
        <v>29.2</v>
      </c>
      <c r="K1670" s="19">
        <f>Ringkasan!K1669</f>
        <v>23.6</v>
      </c>
      <c r="L1670" s="19">
        <f>Ringkasan!L1669</f>
        <v>0.24</v>
      </c>
      <c r="M1670" s="19">
        <f>Ringkasan!M1669</f>
        <v>150</v>
      </c>
      <c r="N1670" s="64" t="str">
        <f>Ringkasan!N1669</f>
        <v/>
      </c>
      <c r="O1670" s="64" t="str">
        <f>Ringkasan!O1669</f>
        <v/>
      </c>
      <c r="P1670" s="64" t="str">
        <f>Ringkasan!P1669</f>
        <v/>
      </c>
      <c r="Q1670" s="64" t="str">
        <f>Ringkasan!Q1669</f>
        <v/>
      </c>
      <c r="R1670" s="64" t="str">
        <f>Ringkasan!R1669</f>
        <v/>
      </c>
      <c r="S1670" s="64" t="str">
        <f>Ringkasan!S1669</f>
        <v/>
      </c>
      <c r="T1670" s="64" t="str">
        <f>Ringkasan!T1669</f>
        <v/>
      </c>
      <c r="U1670" s="64">
        <f>Ringkasan!U1669</f>
        <v>1370</v>
      </c>
      <c r="V1670" s="64">
        <f>Ringkasan!V1669</f>
        <v>8.76</v>
      </c>
      <c r="W1670" s="64">
        <f>Ringkasan!W1669</f>
        <v>1380</v>
      </c>
      <c r="X1670" s="64">
        <f>Ringkasan!X1669</f>
        <v>1550</v>
      </c>
      <c r="Y1670" s="64">
        <f>Ringkasan!Y1669</f>
        <v>1380</v>
      </c>
      <c r="Z1670" s="64">
        <f>Ringkasan!Z1669</f>
        <v>23782600</v>
      </c>
      <c r="AA1670" s="64" t="str">
        <f>Ringkasan!AA1669</f>
        <v>Agricultural Products</v>
      </c>
      <c r="AB1670" s="64" t="str">
        <f>Ringkasan!AB1669</f>
        <v>Consumer Non-Cyclicals</v>
      </c>
    </row>
    <row r="1671" hidden="1">
      <c r="A1671" s="64" t="str">
        <f>Ringkasan!A1670</f>
        <v>TAPG</v>
      </c>
      <c r="B1671" s="64" t="str">
        <f>Ringkasan!B1670</f>
        <v>Triputra Agro Persada Tbk.</v>
      </c>
      <c r="C1671" s="65">
        <f>Ringkasan!C1670</f>
        <v>1490</v>
      </c>
      <c r="D1671" s="64" t="str">
        <f>Ringkasan!D1670</f>
        <v>#N/A</v>
      </c>
      <c r="E1671" s="64" t="str">
        <f>Ringkasan!E1670</f>
        <v>Kompas100</v>
      </c>
      <c r="F1671" s="64" t="str">
        <f>Ringkasan!F1670</f>
        <v>31 Juli 2026</v>
      </c>
      <c r="G1671" s="65">
        <f>Ringkasan!G1670</f>
        <v>12</v>
      </c>
      <c r="H1671" s="19">
        <f>Ringkasan!H1670</f>
        <v>8.3</v>
      </c>
      <c r="I1671" s="19">
        <f>Ringkasan!I1670</f>
        <v>2.4</v>
      </c>
      <c r="J1671" s="19">
        <f>Ringkasan!J1670</f>
        <v>29.2</v>
      </c>
      <c r="K1671" s="19">
        <f>Ringkasan!K1670</f>
        <v>23.6</v>
      </c>
      <c r="L1671" s="19">
        <f>Ringkasan!L1670</f>
        <v>0.24</v>
      </c>
      <c r="M1671" s="19">
        <f>Ringkasan!M1670</f>
        <v>150</v>
      </c>
      <c r="N1671" s="64" t="str">
        <f>Ringkasan!N1670</f>
        <v/>
      </c>
      <c r="O1671" s="64" t="str">
        <f>Ringkasan!O1670</f>
        <v/>
      </c>
      <c r="P1671" s="64" t="str">
        <f>Ringkasan!P1670</f>
        <v/>
      </c>
      <c r="Q1671" s="64" t="str">
        <f>Ringkasan!Q1670</f>
        <v/>
      </c>
      <c r="R1671" s="64" t="str">
        <f>Ringkasan!R1670</f>
        <v/>
      </c>
      <c r="S1671" s="64" t="str">
        <f>Ringkasan!S1670</f>
        <v/>
      </c>
      <c r="T1671" s="64" t="str">
        <f>Ringkasan!T1670</f>
        <v/>
      </c>
      <c r="U1671" s="64">
        <f>Ringkasan!U1670</f>
        <v>1370</v>
      </c>
      <c r="V1671" s="64">
        <f>Ringkasan!V1670</f>
        <v>8.76</v>
      </c>
      <c r="W1671" s="64">
        <f>Ringkasan!W1670</f>
        <v>1380</v>
      </c>
      <c r="X1671" s="64">
        <f>Ringkasan!X1670</f>
        <v>1550</v>
      </c>
      <c r="Y1671" s="64">
        <f>Ringkasan!Y1670</f>
        <v>1380</v>
      </c>
      <c r="Z1671" s="64">
        <f>Ringkasan!Z1670</f>
        <v>23782600</v>
      </c>
      <c r="AA1671" s="64" t="str">
        <f>Ringkasan!AA1670</f>
        <v>Agricultural Products</v>
      </c>
      <c r="AB1671" s="64" t="str">
        <f>Ringkasan!AB1670</f>
        <v>Consumer Non-Cyclicals</v>
      </c>
    </row>
    <row r="1672" hidden="1">
      <c r="A1672" s="64" t="str">
        <f>Ringkasan!A1671</f>
        <v>TAPG</v>
      </c>
      <c r="B1672" s="64" t="str">
        <f>Ringkasan!B1671</f>
        <v>Triputra Agro Persada Tbk.</v>
      </c>
      <c r="C1672" s="65">
        <f>Ringkasan!C1671</f>
        <v>1490</v>
      </c>
      <c r="D1672" s="64" t="str">
        <f>Ringkasan!D1671</f>
        <v>#N/A</v>
      </c>
      <c r="E1672" s="64" t="str">
        <f>Ringkasan!E1671</f>
        <v>IDXQ30</v>
      </c>
      <c r="F1672" s="64" t="str">
        <f>Ringkasan!F1671</f>
        <v>4 Agustus 2026</v>
      </c>
      <c r="G1672" s="65">
        <f>Ringkasan!G1671</f>
        <v>12</v>
      </c>
      <c r="H1672" s="19">
        <f>Ringkasan!H1671</f>
        <v>8.3</v>
      </c>
      <c r="I1672" s="19">
        <f>Ringkasan!I1671</f>
        <v>2.4</v>
      </c>
      <c r="J1672" s="19">
        <f>Ringkasan!J1671</f>
        <v>29.2</v>
      </c>
      <c r="K1672" s="19">
        <f>Ringkasan!K1671</f>
        <v>23.6</v>
      </c>
      <c r="L1672" s="19">
        <f>Ringkasan!L1671</f>
        <v>0.24</v>
      </c>
      <c r="M1672" s="19">
        <f>Ringkasan!M1671</f>
        <v>150</v>
      </c>
      <c r="N1672" s="64" t="str">
        <f>Ringkasan!N1671</f>
        <v/>
      </c>
      <c r="O1672" s="64" t="str">
        <f>Ringkasan!O1671</f>
        <v/>
      </c>
      <c r="P1672" s="64" t="str">
        <f>Ringkasan!P1671</f>
        <v/>
      </c>
      <c r="Q1672" s="64" t="str">
        <f>Ringkasan!Q1671</f>
        <v/>
      </c>
      <c r="R1672" s="64" t="str">
        <f>Ringkasan!R1671</f>
        <v/>
      </c>
      <c r="S1672" s="64" t="str">
        <f>Ringkasan!S1671</f>
        <v/>
      </c>
      <c r="T1672" s="64" t="str">
        <f>Ringkasan!T1671</f>
        <v/>
      </c>
      <c r="U1672" s="64">
        <f>Ringkasan!U1671</f>
        <v>1370</v>
      </c>
      <c r="V1672" s="64">
        <f>Ringkasan!V1671</f>
        <v>8.76</v>
      </c>
      <c r="W1672" s="64">
        <f>Ringkasan!W1671</f>
        <v>1380</v>
      </c>
      <c r="X1672" s="64">
        <f>Ringkasan!X1671</f>
        <v>1550</v>
      </c>
      <c r="Y1672" s="64">
        <f>Ringkasan!Y1671</f>
        <v>1380</v>
      </c>
      <c r="Z1672" s="64">
        <f>Ringkasan!Z1671</f>
        <v>23782600</v>
      </c>
      <c r="AA1672" s="64" t="str">
        <f>Ringkasan!AA1671</f>
        <v>Agricultural Products</v>
      </c>
      <c r="AB1672" s="64" t="str">
        <f>Ringkasan!AB1671</f>
        <v>Consumer Non-Cyclicals</v>
      </c>
    </row>
    <row r="1673" hidden="1">
      <c r="A1673" s="64" t="str">
        <f>Ringkasan!A1672</f>
        <v>TAPG</v>
      </c>
      <c r="B1673" s="64" t="str">
        <f>Ringkasan!B1672</f>
        <v>Triputra Agro Persada Tbk.</v>
      </c>
      <c r="C1673" s="65">
        <f>Ringkasan!C1672</f>
        <v>1490</v>
      </c>
      <c r="D1673" s="64" t="str">
        <f>Ringkasan!D1672</f>
        <v>#N/A</v>
      </c>
      <c r="E1673" s="64" t="str">
        <f>Ringkasan!E1672</f>
        <v>IDXG30</v>
      </c>
      <c r="F1673" s="64" t="str">
        <f>Ringkasan!F1672</f>
        <v>4 Agustus 2026</v>
      </c>
      <c r="G1673" s="65">
        <f>Ringkasan!G1672</f>
        <v>12</v>
      </c>
      <c r="H1673" s="19">
        <f>Ringkasan!H1672</f>
        <v>8.3</v>
      </c>
      <c r="I1673" s="19">
        <f>Ringkasan!I1672</f>
        <v>2.4</v>
      </c>
      <c r="J1673" s="19">
        <f>Ringkasan!J1672</f>
        <v>29.2</v>
      </c>
      <c r="K1673" s="19">
        <f>Ringkasan!K1672</f>
        <v>23.6</v>
      </c>
      <c r="L1673" s="19">
        <f>Ringkasan!L1672</f>
        <v>0.24</v>
      </c>
      <c r="M1673" s="19">
        <f>Ringkasan!M1672</f>
        <v>150</v>
      </c>
      <c r="N1673" s="64" t="str">
        <f>Ringkasan!N1672</f>
        <v/>
      </c>
      <c r="O1673" s="64" t="str">
        <f>Ringkasan!O1672</f>
        <v/>
      </c>
      <c r="P1673" s="64" t="str">
        <f>Ringkasan!P1672</f>
        <v/>
      </c>
      <c r="Q1673" s="64" t="str">
        <f>Ringkasan!Q1672</f>
        <v/>
      </c>
      <c r="R1673" s="64" t="str">
        <f>Ringkasan!R1672</f>
        <v/>
      </c>
      <c r="S1673" s="64" t="str">
        <f>Ringkasan!S1672</f>
        <v/>
      </c>
      <c r="T1673" s="64" t="str">
        <f>Ringkasan!T1672</f>
        <v/>
      </c>
      <c r="U1673" s="64">
        <f>Ringkasan!U1672</f>
        <v>1370</v>
      </c>
      <c r="V1673" s="64">
        <f>Ringkasan!V1672</f>
        <v>8.76</v>
      </c>
      <c r="W1673" s="64">
        <f>Ringkasan!W1672</f>
        <v>1380</v>
      </c>
      <c r="X1673" s="64">
        <f>Ringkasan!X1672</f>
        <v>1550</v>
      </c>
      <c r="Y1673" s="64">
        <f>Ringkasan!Y1672</f>
        <v>1380</v>
      </c>
      <c r="Z1673" s="64">
        <f>Ringkasan!Z1672</f>
        <v>23782600</v>
      </c>
      <c r="AA1673" s="64" t="str">
        <f>Ringkasan!AA1672</f>
        <v>Agricultural Products</v>
      </c>
      <c r="AB1673" s="64" t="str">
        <f>Ringkasan!AB1672</f>
        <v>Consumer Non-Cyclicals</v>
      </c>
    </row>
    <row r="1674" hidden="1">
      <c r="A1674" s="64" t="str">
        <f>Ringkasan!A1673</f>
        <v>TAPG</v>
      </c>
      <c r="B1674" s="64" t="str">
        <f>Ringkasan!B1673</f>
        <v>Triputra Agro Persada Tbk.</v>
      </c>
      <c r="C1674" s="65">
        <f>Ringkasan!C1673</f>
        <v>1490</v>
      </c>
      <c r="D1674" s="64" t="str">
        <f>Ringkasan!D1673</f>
        <v>#N/A</v>
      </c>
      <c r="E1674" s="64" t="str">
        <f>Ringkasan!E1673</f>
        <v>IDXSMC-LIQ</v>
      </c>
      <c r="F1674" s="64" t="str">
        <f>Ringkasan!F1673</f>
        <v>4 Agustus 2026</v>
      </c>
      <c r="G1674" s="65">
        <f>Ringkasan!G1673</f>
        <v>12</v>
      </c>
      <c r="H1674" s="19">
        <f>Ringkasan!H1673</f>
        <v>8.3</v>
      </c>
      <c r="I1674" s="19">
        <f>Ringkasan!I1673</f>
        <v>2.4</v>
      </c>
      <c r="J1674" s="19">
        <f>Ringkasan!J1673</f>
        <v>29.2</v>
      </c>
      <c r="K1674" s="19">
        <f>Ringkasan!K1673</f>
        <v>23.6</v>
      </c>
      <c r="L1674" s="19">
        <f>Ringkasan!L1673</f>
        <v>0.24</v>
      </c>
      <c r="M1674" s="19">
        <f>Ringkasan!M1673</f>
        <v>150</v>
      </c>
      <c r="N1674" s="64" t="str">
        <f>Ringkasan!N1673</f>
        <v/>
      </c>
      <c r="O1674" s="64" t="str">
        <f>Ringkasan!O1673</f>
        <v/>
      </c>
      <c r="P1674" s="64" t="str">
        <f>Ringkasan!P1673</f>
        <v/>
      </c>
      <c r="Q1674" s="64" t="str">
        <f>Ringkasan!Q1673</f>
        <v/>
      </c>
      <c r="R1674" s="64" t="str">
        <f>Ringkasan!R1673</f>
        <v/>
      </c>
      <c r="S1674" s="64" t="str">
        <f>Ringkasan!S1673</f>
        <v/>
      </c>
      <c r="T1674" s="64" t="str">
        <f>Ringkasan!T1673</f>
        <v/>
      </c>
      <c r="U1674" s="64">
        <f>Ringkasan!U1673</f>
        <v>1370</v>
      </c>
      <c r="V1674" s="64">
        <f>Ringkasan!V1673</f>
        <v>8.76</v>
      </c>
      <c r="W1674" s="64">
        <f>Ringkasan!W1673</f>
        <v>1380</v>
      </c>
      <c r="X1674" s="64">
        <f>Ringkasan!X1673</f>
        <v>1550</v>
      </c>
      <c r="Y1674" s="64">
        <f>Ringkasan!Y1673</f>
        <v>1380</v>
      </c>
      <c r="Z1674" s="64">
        <f>Ringkasan!Z1673</f>
        <v>23782600</v>
      </c>
      <c r="AA1674" s="64" t="str">
        <f>Ringkasan!AA1673</f>
        <v>Agricultural Products</v>
      </c>
      <c r="AB1674" s="64" t="str">
        <f>Ringkasan!AB1673</f>
        <v>Consumer Non-Cyclicals</v>
      </c>
    </row>
    <row r="1675" hidden="1">
      <c r="A1675" s="64" t="str">
        <f>Ringkasan!A1674</f>
        <v>TAPG</v>
      </c>
      <c r="B1675" s="64" t="str">
        <f>Ringkasan!B1674</f>
        <v>Triputra Agro Persada Tbk.</v>
      </c>
      <c r="C1675" s="65">
        <f>Ringkasan!C1674</f>
        <v>1490</v>
      </c>
      <c r="D1675" s="64" t="str">
        <f>Ringkasan!D1674</f>
        <v>#N/A</v>
      </c>
      <c r="E1675" s="64" t="str">
        <f>Ringkasan!E1674</f>
        <v>BISNIS-27</v>
      </c>
      <c r="F1675" s="64" t="str">
        <f>Ringkasan!F1674</f>
        <v>30 Oktober 2026</v>
      </c>
      <c r="G1675" s="64">
        <f>Ringkasan!G1674</f>
        <v>12</v>
      </c>
      <c r="H1675" s="19">
        <f>Ringkasan!H1674</f>
        <v>8.3</v>
      </c>
      <c r="I1675" s="19">
        <f>Ringkasan!I1674</f>
        <v>2.4</v>
      </c>
      <c r="J1675" s="19">
        <f>Ringkasan!J1674</f>
        <v>29.2</v>
      </c>
      <c r="K1675" s="19">
        <f>Ringkasan!K1674</f>
        <v>23.6</v>
      </c>
      <c r="L1675" s="19">
        <f>Ringkasan!L1674</f>
        <v>0.24</v>
      </c>
      <c r="M1675" s="19">
        <f>Ringkasan!M1674</f>
        <v>150</v>
      </c>
      <c r="N1675" s="19" t="str">
        <f>Ringkasan!N1674</f>
        <v/>
      </c>
      <c r="O1675" s="19" t="str">
        <f>Ringkasan!O1674</f>
        <v/>
      </c>
      <c r="P1675" s="19" t="str">
        <f>Ringkasan!P1674</f>
        <v/>
      </c>
      <c r="Q1675" s="19" t="str">
        <f>Ringkasan!Q1674</f>
        <v/>
      </c>
      <c r="R1675" s="19" t="str">
        <f>Ringkasan!R1674</f>
        <v/>
      </c>
      <c r="S1675" s="19" t="str">
        <f>Ringkasan!S1674</f>
        <v/>
      </c>
      <c r="T1675" s="19" t="str">
        <f>Ringkasan!T1674</f>
        <v/>
      </c>
      <c r="U1675" s="64">
        <f>Ringkasan!U1674</f>
        <v>1370</v>
      </c>
      <c r="V1675" s="64">
        <f>Ringkasan!V1674</f>
        <v>8.76</v>
      </c>
      <c r="W1675" s="64">
        <f>Ringkasan!W1674</f>
        <v>1380</v>
      </c>
      <c r="X1675" s="64">
        <f>Ringkasan!X1674</f>
        <v>1550</v>
      </c>
      <c r="Y1675" s="64">
        <f>Ringkasan!Y1674</f>
        <v>1380</v>
      </c>
      <c r="Z1675" s="64">
        <f>Ringkasan!Z1674</f>
        <v>23782600</v>
      </c>
      <c r="AA1675" s="64" t="str">
        <f>Ringkasan!AA1674</f>
        <v>Agricultural Products</v>
      </c>
      <c r="AB1675" s="64" t="str">
        <f>Ringkasan!AB1674</f>
        <v>Consumer Non-Cyclicals</v>
      </c>
    </row>
    <row r="1676" hidden="1">
      <c r="A1676" s="64" t="str">
        <f>Ringkasan!A1675</f>
        <v>TAPG</v>
      </c>
      <c r="B1676" s="64" t="str">
        <f>Ringkasan!B1675</f>
        <v>Triputra Agro Persada Tbk.</v>
      </c>
      <c r="C1676" s="65">
        <f>Ringkasan!C1675</f>
        <v>1490</v>
      </c>
      <c r="D1676" s="64" t="str">
        <f>Ringkasan!D1675</f>
        <v>#N/A</v>
      </c>
      <c r="E1676" s="64" t="str">
        <f>Ringkasan!E1675</f>
        <v>JII70</v>
      </c>
      <c r="F1676" s="66">
        <f>Ringkasan!F1675</f>
        <v>46356</v>
      </c>
      <c r="G1676" s="65">
        <f>Ringkasan!G1675</f>
        <v>12</v>
      </c>
      <c r="H1676" s="19">
        <f>Ringkasan!H1675</f>
        <v>8.3</v>
      </c>
      <c r="I1676" s="19">
        <f>Ringkasan!I1675</f>
        <v>2.4</v>
      </c>
      <c r="J1676" s="19">
        <f>Ringkasan!J1675</f>
        <v>29.2</v>
      </c>
      <c r="K1676" s="19">
        <f>Ringkasan!K1675</f>
        <v>23.6</v>
      </c>
      <c r="L1676" s="19">
        <f>Ringkasan!L1675</f>
        <v>0.24</v>
      </c>
      <c r="M1676" s="19">
        <f>Ringkasan!M1675</f>
        <v>150</v>
      </c>
      <c r="N1676" s="64" t="str">
        <f>Ringkasan!N1675</f>
        <v/>
      </c>
      <c r="O1676" s="64" t="str">
        <f>Ringkasan!O1675</f>
        <v/>
      </c>
      <c r="P1676" s="64" t="str">
        <f>Ringkasan!P1675</f>
        <v/>
      </c>
      <c r="Q1676" s="64" t="str">
        <f>Ringkasan!Q1675</f>
        <v/>
      </c>
      <c r="R1676" s="64" t="str">
        <f>Ringkasan!R1675</f>
        <v/>
      </c>
      <c r="S1676" s="64" t="str">
        <f>Ringkasan!S1675</f>
        <v/>
      </c>
      <c r="T1676" s="64" t="str">
        <f>Ringkasan!T1675</f>
        <v/>
      </c>
      <c r="U1676" s="64">
        <f>Ringkasan!U1675</f>
        <v>1370</v>
      </c>
      <c r="V1676" s="64">
        <f>Ringkasan!V1675</f>
        <v>8.76</v>
      </c>
      <c r="W1676" s="64">
        <f>Ringkasan!W1675</f>
        <v>1380</v>
      </c>
      <c r="X1676" s="64">
        <f>Ringkasan!X1675</f>
        <v>1550</v>
      </c>
      <c r="Y1676" s="64">
        <f>Ringkasan!Y1675</f>
        <v>1380</v>
      </c>
      <c r="Z1676" s="64">
        <f>Ringkasan!Z1675</f>
        <v>23782600</v>
      </c>
      <c r="AA1676" s="64" t="str">
        <f>Ringkasan!AA1675</f>
        <v>Agricultural Products</v>
      </c>
      <c r="AB1676" s="64" t="str">
        <f>Ringkasan!AB1675</f>
        <v>Consumer Non-Cyclicals</v>
      </c>
    </row>
    <row r="1677" hidden="1">
      <c r="A1677" s="64" t="str">
        <f>Ringkasan!A1676</f>
        <v>TARA</v>
      </c>
      <c r="B1677" s="64" t="str">
        <f>Ringkasan!B1676</f>
        <v>Agung Semesta Sejahtera Tbk.</v>
      </c>
      <c r="C1677" s="65">
        <f>Ringkasan!C1676</f>
        <v>29</v>
      </c>
      <c r="D1677" s="64" t="str">
        <f>Ringkasan!D1676</f>
        <v>#N/A</v>
      </c>
      <c r="E1677" s="64" t="str">
        <f>Ringkasan!E1676</f>
        <v/>
      </c>
      <c r="F1677" s="64" t="str">
        <f>Ringkasan!F1676</f>
        <v/>
      </c>
      <c r="G1677" s="64">
        <f>Ringkasan!G1676</f>
        <v>0</v>
      </c>
      <c r="H1677" s="19">
        <f>Ringkasan!H1676</f>
        <v>-64.8</v>
      </c>
      <c r="I1677" s="19">
        <f>Ringkasan!I1676</f>
        <v>0.29</v>
      </c>
      <c r="J1677" s="19">
        <f>Ringkasan!J1676</f>
        <v>-0.44</v>
      </c>
      <c r="K1677" s="19">
        <f>Ringkasan!K1676</f>
        <v>-0.43</v>
      </c>
      <c r="L1677" s="19">
        <f>Ringkasan!L1676</f>
        <v>0.04</v>
      </c>
      <c r="M1677" s="19">
        <f>Ringkasan!M1676</f>
        <v>-230</v>
      </c>
      <c r="N1677" s="64" t="str">
        <f>Ringkasan!N1676</f>
        <v/>
      </c>
      <c r="O1677" s="64" t="str">
        <f>Ringkasan!O1676</f>
        <v/>
      </c>
      <c r="P1677" s="64" t="str">
        <f>Ringkasan!P1676</f>
        <v/>
      </c>
      <c r="Q1677" s="64" t="str">
        <f>Ringkasan!Q1676</f>
        <v/>
      </c>
      <c r="R1677" s="64" t="str">
        <f>Ringkasan!R1676</f>
        <v/>
      </c>
      <c r="S1677" s="64" t="str">
        <f>Ringkasan!S1676</f>
        <v/>
      </c>
      <c r="T1677" s="64" t="str">
        <f>Ringkasan!T1676</f>
        <v/>
      </c>
      <c r="U1677" s="64">
        <f>Ringkasan!U1676</f>
        <v>3.65</v>
      </c>
      <c r="V1677" s="64">
        <f>Ringkasan!V1676</f>
        <v>6.85</v>
      </c>
      <c r="W1677" s="64">
        <f>Ringkasan!W1676</f>
        <v>3.66</v>
      </c>
      <c r="X1677" s="64">
        <f>Ringkasan!X1676</f>
        <v>3.94</v>
      </c>
      <c r="Y1677" s="64">
        <f>Ringkasan!Y1676</f>
        <v>3.65</v>
      </c>
      <c r="Z1677" s="64">
        <f>Ringkasan!Z1676</f>
        <v>524547</v>
      </c>
      <c r="AA1677" s="64" t="str">
        <f>Ringkasan!AA1676</f>
        <v>Real Estate Management &amp; Development</v>
      </c>
      <c r="AB1677" s="64" t="str">
        <f>Ringkasan!AB1676</f>
        <v>Properties &amp; Real Estate</v>
      </c>
    </row>
    <row r="1678" hidden="1">
      <c r="A1678" s="64" t="str">
        <f>Ringkasan!A1677</f>
        <v>TAXI</v>
      </c>
      <c r="B1678" s="64" t="str">
        <f>Ringkasan!B1677</f>
        <v>Express Transindo Utama Tbk</v>
      </c>
      <c r="C1678" s="65">
        <f>Ringkasan!C1677</f>
        <v>14</v>
      </c>
      <c r="D1678" s="64" t="str">
        <f>Ringkasan!D1677</f>
        <v>#N/A</v>
      </c>
      <c r="E1678" s="64" t="str">
        <f>Ringkasan!E1677</f>
        <v/>
      </c>
      <c r="F1678" s="64" t="str">
        <f>Ringkasan!F1677</f>
        <v/>
      </c>
      <c r="G1678" s="64">
        <f>Ringkasan!G1677</f>
        <v>0</v>
      </c>
      <c r="H1678" s="19">
        <f>Ringkasan!H1677</f>
        <v>-7.5</v>
      </c>
      <c r="I1678" s="19">
        <f>Ringkasan!I1677</f>
        <v>4.6</v>
      </c>
      <c r="J1678" s="19">
        <f>Ringkasan!J1677</f>
        <v>-61.9</v>
      </c>
      <c r="K1678" s="19">
        <f>Ringkasan!K1677</f>
        <v>-10.1</v>
      </c>
      <c r="L1678" s="19">
        <f>Ringkasan!L1677</f>
        <v>0.1</v>
      </c>
      <c r="M1678" s="19">
        <f>Ringkasan!M1677</f>
        <v>-1000</v>
      </c>
      <c r="N1678" s="64" t="str">
        <f>Ringkasan!N1677</f>
        <v/>
      </c>
      <c r="O1678" s="64" t="str">
        <f>Ringkasan!O1677</f>
        <v/>
      </c>
      <c r="P1678" s="64" t="str">
        <f>Ringkasan!P1677</f>
        <v/>
      </c>
      <c r="Q1678" s="64" t="str">
        <f>Ringkasan!Q1677</f>
        <v/>
      </c>
      <c r="R1678" s="64" t="str">
        <f>Ringkasan!R1677</f>
        <v/>
      </c>
      <c r="S1678" s="64" t="str">
        <f>Ringkasan!S1677</f>
        <v/>
      </c>
      <c r="T1678" s="64" t="str">
        <f>Ringkasan!T1677</f>
        <v/>
      </c>
      <c r="U1678" s="64">
        <f>Ringkasan!U1677</f>
        <v>51.21</v>
      </c>
      <c r="V1678" s="64">
        <f>Ringkasan!V1677</f>
        <v>-0.12</v>
      </c>
      <c r="W1678" s="64">
        <f>Ringkasan!W1677</f>
        <v>51.13</v>
      </c>
      <c r="X1678" s="64">
        <f>Ringkasan!X1677</f>
        <v>51.16</v>
      </c>
      <c r="Y1678" s="64">
        <f>Ringkasan!Y1677</f>
        <v>51.12</v>
      </c>
      <c r="Z1678" s="64">
        <f>Ringkasan!Z1677</f>
        <v>381</v>
      </c>
      <c r="AA1678" s="64" t="str">
        <f>Ringkasan!AA1677</f>
        <v>Passenger Land Transportation</v>
      </c>
      <c r="AB1678" s="64" t="str">
        <f>Ringkasan!AB1677</f>
        <v>Transportation &amp; Logistic</v>
      </c>
    </row>
    <row r="1679" hidden="1">
      <c r="A1679" s="64" t="str">
        <f>Ringkasan!A1678</f>
        <v>TAYS</v>
      </c>
      <c r="B1679" s="64" t="str">
        <f>Ringkasan!B1678</f>
        <v>Jaya Swarasa Agung Tbk.</v>
      </c>
      <c r="C1679" s="65">
        <f>Ringkasan!C1678</f>
        <v>50</v>
      </c>
      <c r="D1679" s="64" t="str">
        <f>Ringkasan!D1678</f>
        <v>#N/A</v>
      </c>
      <c r="E1679" s="64" t="str">
        <f>Ringkasan!E1678</f>
        <v/>
      </c>
      <c r="F1679" s="64" t="str">
        <f>Ringkasan!F1678</f>
        <v/>
      </c>
      <c r="G1679" s="64">
        <f>Ringkasan!G1678</f>
        <v>0</v>
      </c>
      <c r="H1679" s="19">
        <f>Ringkasan!H1678</f>
        <v>-0.93</v>
      </c>
      <c r="I1679" s="19">
        <f>Ringkasan!I1678</f>
        <v>1.3</v>
      </c>
      <c r="J1679" s="19">
        <f>Ringkasan!J1678</f>
        <v>-140</v>
      </c>
      <c r="K1679" s="19">
        <f>Ringkasan!K1678</f>
        <v>-16.6</v>
      </c>
      <c r="L1679" s="19">
        <f>Ringkasan!L1678</f>
        <v>7.2</v>
      </c>
      <c r="M1679" s="19">
        <f>Ringkasan!M1678</f>
        <v>-77.8</v>
      </c>
      <c r="N1679" s="64" t="str">
        <f>Ringkasan!N1678</f>
        <v/>
      </c>
      <c r="O1679" s="64" t="str">
        <f>Ringkasan!O1678</f>
        <v/>
      </c>
      <c r="P1679" s="64" t="str">
        <f>Ringkasan!P1678</f>
        <v/>
      </c>
      <c r="Q1679" s="64" t="str">
        <f>Ringkasan!Q1678</f>
        <v/>
      </c>
      <c r="R1679" s="64" t="str">
        <f>Ringkasan!R1678</f>
        <v/>
      </c>
      <c r="S1679" s="64" t="str">
        <f>Ringkasan!S1678</f>
        <v/>
      </c>
      <c r="T1679" s="64" t="str">
        <f>Ringkasan!T1678</f>
        <v/>
      </c>
      <c r="U1679" s="64">
        <f>Ringkasan!U1678</f>
        <v>50</v>
      </c>
      <c r="V1679" s="64">
        <f>Ringkasan!V1678</f>
        <v>0</v>
      </c>
      <c r="W1679" s="64">
        <f>Ringkasan!W1678</f>
        <v>50</v>
      </c>
      <c r="X1679" s="64">
        <f>Ringkasan!X1678</f>
        <v>50</v>
      </c>
      <c r="Y1679" s="64">
        <f>Ringkasan!Y1678</f>
        <v>50</v>
      </c>
      <c r="Z1679" s="64">
        <f>Ringkasan!Z1678</f>
        <v>366000</v>
      </c>
      <c r="AA1679" s="64" t="str">
        <f>Ringkasan!AA1678</f>
        <v>Processed Foods</v>
      </c>
      <c r="AB1679" s="64" t="str">
        <f>Ringkasan!AB1678</f>
        <v>Consumer Non-Cyclicals</v>
      </c>
    </row>
    <row r="1680" hidden="1">
      <c r="A1680" s="64" t="str">
        <f>Ringkasan!A1679</f>
        <v>TBIG</v>
      </c>
      <c r="B1680" s="64" t="str">
        <f>Ringkasan!B1679</f>
        <v>PT Tower Bersama Infrastructure Tbk</v>
      </c>
      <c r="C1680" s="65">
        <f>Ringkasan!C1679</f>
        <v>1445</v>
      </c>
      <c r="D1680" s="64" t="str">
        <f>Ringkasan!D1679</f>
        <v>#N/A</v>
      </c>
      <c r="E1680" s="64" t="str">
        <f>Ringkasan!E1679</f>
        <v>Investor33</v>
      </c>
      <c r="F1680" s="66">
        <f>Ringkasan!F1679</f>
        <v>46356</v>
      </c>
      <c r="G1680" s="64">
        <f>Ringkasan!G1679</f>
        <v>2</v>
      </c>
      <c r="H1680" s="19">
        <f>Ringkasan!H1679</f>
        <v>24.6</v>
      </c>
      <c r="I1680" s="19">
        <f>Ringkasan!I1679</f>
        <v>2.6</v>
      </c>
      <c r="J1680" s="19">
        <f>Ringkasan!J1679</f>
        <v>10.6</v>
      </c>
      <c r="K1680" s="19">
        <f>Ringkasan!K1679</f>
        <v>3</v>
      </c>
      <c r="L1680" s="19">
        <f>Ringkasan!L1679</f>
        <v>2.5</v>
      </c>
      <c r="M1680" s="19">
        <f>Ringkasan!M1679</f>
        <v>81.7</v>
      </c>
      <c r="N1680" s="64" t="str">
        <f>Ringkasan!N1679</f>
        <v/>
      </c>
      <c r="O1680" s="64" t="str">
        <f>Ringkasan!O1679</f>
        <v/>
      </c>
      <c r="P1680" s="64" t="str">
        <f>Ringkasan!P1679</f>
        <v/>
      </c>
      <c r="Q1680" s="64" t="str">
        <f>Ringkasan!Q1679</f>
        <v/>
      </c>
      <c r="R1680" s="64" t="str">
        <f>Ringkasan!R1679</f>
        <v/>
      </c>
      <c r="S1680" s="64" t="str">
        <f>Ringkasan!S1679</f>
        <v/>
      </c>
      <c r="T1680" s="64" t="str">
        <f>Ringkasan!T1679</f>
        <v/>
      </c>
      <c r="U1680" s="64">
        <f>Ringkasan!U1679</f>
        <v>1470</v>
      </c>
      <c r="V1680" s="64">
        <f>Ringkasan!V1679</f>
        <v>-1.7</v>
      </c>
      <c r="W1680" s="64">
        <f>Ringkasan!W1679</f>
        <v>1470</v>
      </c>
      <c r="X1680" s="64">
        <f>Ringkasan!X1679</f>
        <v>1480</v>
      </c>
      <c r="Y1680" s="64">
        <f>Ringkasan!Y1679</f>
        <v>1425</v>
      </c>
      <c r="Z1680" s="64">
        <f>Ringkasan!Z1679</f>
        <v>3024900</v>
      </c>
      <c r="AA1680" s="64" t="str">
        <f>Ringkasan!AA1679</f>
        <v>Wireless Telecommunication Services</v>
      </c>
      <c r="AB1680" s="64" t="str">
        <f>Ringkasan!AB1679</f>
        <v>Infrastructures</v>
      </c>
    </row>
    <row r="1681" hidden="1">
      <c r="A1681" s="64" t="str">
        <f>Ringkasan!A1680</f>
        <v>TBIG</v>
      </c>
      <c r="B1681" s="64" t="str">
        <f>Ringkasan!B1680</f>
        <v>PT Tower Bersama Infrastructure Tbk</v>
      </c>
      <c r="C1681" s="65">
        <f>Ringkasan!C1680</f>
        <v>1445</v>
      </c>
      <c r="D1681" s="64" t="str">
        <f>Ringkasan!D1680</f>
        <v>#N/A</v>
      </c>
      <c r="E1681" s="64" t="str">
        <f>Ringkasan!E1680</f>
        <v>FTSE Large Cap</v>
      </c>
      <c r="F1681" s="64" t="str">
        <f>Ringkasan!F1680</f>
        <v>Juni 2026</v>
      </c>
      <c r="G1681" s="64">
        <f>Ringkasan!G1680</f>
        <v>2</v>
      </c>
      <c r="H1681" s="19">
        <f>Ringkasan!H1680</f>
        <v>24.6</v>
      </c>
      <c r="I1681" s="19">
        <f>Ringkasan!I1680</f>
        <v>2.6</v>
      </c>
      <c r="J1681" s="19">
        <f>Ringkasan!J1680</f>
        <v>10.6</v>
      </c>
      <c r="K1681" s="19">
        <f>Ringkasan!K1680</f>
        <v>3</v>
      </c>
      <c r="L1681" s="19">
        <f>Ringkasan!L1680</f>
        <v>2.5</v>
      </c>
      <c r="M1681" s="19">
        <f>Ringkasan!M1680</f>
        <v>81.7</v>
      </c>
      <c r="N1681" s="64" t="str">
        <f>Ringkasan!N1680</f>
        <v/>
      </c>
      <c r="O1681" s="64" t="str">
        <f>Ringkasan!O1680</f>
        <v/>
      </c>
      <c r="P1681" s="64" t="str">
        <f>Ringkasan!P1680</f>
        <v/>
      </c>
      <c r="Q1681" s="64" t="str">
        <f>Ringkasan!Q1680</f>
        <v/>
      </c>
      <c r="R1681" s="64" t="str">
        <f>Ringkasan!R1680</f>
        <v/>
      </c>
      <c r="S1681" s="64" t="str">
        <f>Ringkasan!S1680</f>
        <v/>
      </c>
      <c r="T1681" s="64" t="str">
        <f>Ringkasan!T1680</f>
        <v/>
      </c>
      <c r="U1681" s="64">
        <f>Ringkasan!U1680</f>
        <v>1470</v>
      </c>
      <c r="V1681" s="64">
        <f>Ringkasan!V1680</f>
        <v>-1.7</v>
      </c>
      <c r="W1681" s="64">
        <f>Ringkasan!W1680</f>
        <v>1470</v>
      </c>
      <c r="X1681" s="64">
        <f>Ringkasan!X1680</f>
        <v>1480</v>
      </c>
      <c r="Y1681" s="64">
        <f>Ringkasan!Y1680</f>
        <v>1425</v>
      </c>
      <c r="Z1681" s="64">
        <f>Ringkasan!Z1680</f>
        <v>3024900</v>
      </c>
      <c r="AA1681" s="64" t="str">
        <f>Ringkasan!AA1680</f>
        <v>Wireless Telecommunication Services</v>
      </c>
      <c r="AB1681" s="64" t="str">
        <f>Ringkasan!AB1680</f>
        <v>Infrastructures</v>
      </c>
    </row>
    <row r="1682" hidden="1">
      <c r="A1682" s="64" t="str">
        <f>Ringkasan!A1681</f>
        <v>TBLA</v>
      </c>
      <c r="B1682" s="64" t="str">
        <f>Ringkasan!B1681</f>
        <v>Tunas Baru Lampung Tbk.</v>
      </c>
      <c r="C1682" s="65">
        <f>Ringkasan!C1681</f>
        <v>605</v>
      </c>
      <c r="D1682" s="64" t="str">
        <f>Ringkasan!D1681</f>
        <v>#N/A</v>
      </c>
      <c r="E1682" s="64" t="str">
        <f>Ringkasan!E1681</f>
        <v/>
      </c>
      <c r="F1682" s="64" t="str">
        <f>Ringkasan!F1681</f>
        <v/>
      </c>
      <c r="G1682" s="64">
        <f>Ringkasan!G1681</f>
        <v>0</v>
      </c>
      <c r="H1682" s="19">
        <f>Ringkasan!H1681</f>
        <v>4.2</v>
      </c>
      <c r="I1682" s="19">
        <f>Ringkasan!I1681</f>
        <v>0.4</v>
      </c>
      <c r="J1682" s="19">
        <f>Ringkasan!J1681</f>
        <v>9.5</v>
      </c>
      <c r="K1682" s="19">
        <f>Ringkasan!K1681</f>
        <v>2.9</v>
      </c>
      <c r="L1682" s="19">
        <f>Ringkasan!L1681</f>
        <v>2.2</v>
      </c>
      <c r="M1682" s="19">
        <f>Ringkasan!M1681</f>
        <v>14.8</v>
      </c>
      <c r="N1682" s="64" t="str">
        <f>Ringkasan!N1681</f>
        <v/>
      </c>
      <c r="O1682" s="64" t="str">
        <f>Ringkasan!O1681</f>
        <v/>
      </c>
      <c r="P1682" s="64" t="str">
        <f>Ringkasan!P1681</f>
        <v/>
      </c>
      <c r="Q1682" s="64" t="str">
        <f>Ringkasan!Q1681</f>
        <v/>
      </c>
      <c r="R1682" s="64" t="str">
        <f>Ringkasan!R1681</f>
        <v/>
      </c>
      <c r="S1682" s="64" t="str">
        <f>Ringkasan!S1681</f>
        <v/>
      </c>
      <c r="T1682" s="64" t="str">
        <f>Ringkasan!T1681</f>
        <v/>
      </c>
      <c r="U1682" s="64">
        <f>Ringkasan!U1681</f>
        <v>4.73</v>
      </c>
      <c r="V1682" s="64">
        <f>Ringkasan!V1681</f>
        <v>0.21</v>
      </c>
      <c r="W1682" s="64">
        <f>Ringkasan!W1681</f>
        <v>4.73</v>
      </c>
      <c r="X1682" s="64">
        <f>Ringkasan!X1681</f>
        <v>4.8</v>
      </c>
      <c r="Y1682" s="64">
        <f>Ringkasan!Y1681</f>
        <v>4.72</v>
      </c>
      <c r="Z1682" s="64">
        <f>Ringkasan!Z1681</f>
        <v>2917619</v>
      </c>
      <c r="AA1682" s="64" t="str">
        <f>Ringkasan!AA1681</f>
        <v>Processed Foods</v>
      </c>
      <c r="AB1682" s="64" t="str">
        <f>Ringkasan!AB1681</f>
        <v>Consumer Non-Cyclicals</v>
      </c>
    </row>
    <row r="1683" hidden="1">
      <c r="A1683" s="64" t="str">
        <f>Ringkasan!A1682</f>
        <v>TBMS</v>
      </c>
      <c r="B1683" s="64" t="str">
        <f>Ringkasan!B1682</f>
        <v>Tembaga Mulia Semanan Tbk.</v>
      </c>
      <c r="C1683" s="65">
        <f>Ringkasan!C1682</f>
        <v>1255</v>
      </c>
      <c r="D1683" s="64" t="str">
        <f>Ringkasan!D1682</f>
        <v>#N/A</v>
      </c>
      <c r="E1683" s="64" t="str">
        <f>Ringkasan!E1682</f>
        <v/>
      </c>
      <c r="F1683" s="64" t="str">
        <f>Ringkasan!F1682</f>
        <v/>
      </c>
      <c r="G1683" s="64">
        <f>Ringkasan!G1682</f>
        <v>0</v>
      </c>
      <c r="H1683" s="19">
        <f>Ringkasan!H1682</f>
        <v>8.3</v>
      </c>
      <c r="I1683" s="19">
        <f>Ringkasan!I1682</f>
        <v>0.73</v>
      </c>
      <c r="J1683" s="19">
        <f>Ringkasan!J1682</f>
        <v>8.8</v>
      </c>
      <c r="K1683" s="19">
        <f>Ringkasan!K1682</f>
        <v>3.2</v>
      </c>
      <c r="L1683" s="19">
        <f>Ringkasan!L1682</f>
        <v>1.8</v>
      </c>
      <c r="M1683" s="19">
        <f>Ringkasan!M1682</f>
        <v>2.6</v>
      </c>
      <c r="N1683" s="64" t="str">
        <f>Ringkasan!N1682</f>
        <v/>
      </c>
      <c r="O1683" s="64" t="str">
        <f>Ringkasan!O1682</f>
        <v/>
      </c>
      <c r="P1683" s="64" t="str">
        <f>Ringkasan!P1682</f>
        <v/>
      </c>
      <c r="Q1683" s="64" t="str">
        <f>Ringkasan!Q1682</f>
        <v/>
      </c>
      <c r="R1683" s="64" t="str">
        <f>Ringkasan!R1682</f>
        <v/>
      </c>
      <c r="S1683" s="64" t="str">
        <f>Ringkasan!S1682</f>
        <v/>
      </c>
      <c r="T1683" s="64" t="str">
        <f>Ringkasan!T1682</f>
        <v/>
      </c>
      <c r="U1683" s="64">
        <f>Ringkasan!U1682</f>
        <v>1260</v>
      </c>
      <c r="V1683" s="64">
        <f>Ringkasan!V1682</f>
        <v>-0.4</v>
      </c>
      <c r="W1683" s="64">
        <f>Ringkasan!W1682</f>
        <v>1260</v>
      </c>
      <c r="X1683" s="64">
        <f>Ringkasan!X1682</f>
        <v>1305</v>
      </c>
      <c r="Y1683" s="64">
        <f>Ringkasan!Y1682</f>
        <v>1210</v>
      </c>
      <c r="Z1683" s="64">
        <f>Ringkasan!Z1682</f>
        <v>18400</v>
      </c>
      <c r="AA1683" s="64" t="str">
        <f>Ringkasan!AA1682</f>
        <v>Metals &amp; Minerals</v>
      </c>
      <c r="AB1683" s="64" t="str">
        <f>Ringkasan!AB1682</f>
        <v>Basic Materials</v>
      </c>
    </row>
    <row r="1684" hidden="1">
      <c r="A1684" s="64" t="str">
        <f>Ringkasan!A1683</f>
        <v>TCID</v>
      </c>
      <c r="B1684" s="64" t="str">
        <f>Ringkasan!B1683</f>
        <v>Mandom Indonesia Tbk</v>
      </c>
      <c r="C1684" s="65">
        <f>Ringkasan!C1683</f>
        <v>2850</v>
      </c>
      <c r="D1684" s="64" t="str">
        <f>Ringkasan!D1683</f>
        <v>#N/A</v>
      </c>
      <c r="E1684" s="64" t="str">
        <f>Ringkasan!E1683</f>
        <v/>
      </c>
      <c r="F1684" s="64" t="str">
        <f>Ringkasan!F1683</f>
        <v/>
      </c>
      <c r="G1684" s="64">
        <f>Ringkasan!G1683</f>
        <v>0</v>
      </c>
      <c r="H1684" s="19">
        <f>Ringkasan!H1683</f>
        <v>99.4</v>
      </c>
      <c r="I1684" s="19">
        <f>Ringkasan!I1683</f>
        <v>0.61</v>
      </c>
      <c r="J1684" s="19">
        <f>Ringkasan!J1683</f>
        <v>0.61</v>
      </c>
      <c r="K1684" s="19">
        <f>Ringkasan!K1683</f>
        <v>0.49</v>
      </c>
      <c r="L1684" s="19">
        <f>Ringkasan!L1683</f>
        <v>0.25</v>
      </c>
      <c r="M1684" s="19">
        <f>Ringkasan!M1683</f>
        <v>2.2</v>
      </c>
      <c r="N1684" s="64" t="str">
        <f>Ringkasan!N1683</f>
        <v/>
      </c>
      <c r="O1684" s="64" t="str">
        <f>Ringkasan!O1683</f>
        <v/>
      </c>
      <c r="P1684" s="64" t="str">
        <f>Ringkasan!P1683</f>
        <v/>
      </c>
      <c r="Q1684" s="64" t="str">
        <f>Ringkasan!Q1683</f>
        <v/>
      </c>
      <c r="R1684" s="64" t="str">
        <f>Ringkasan!R1683</f>
        <v/>
      </c>
      <c r="S1684" s="64" t="str">
        <f>Ringkasan!S1683</f>
        <v/>
      </c>
      <c r="T1684" s="64" t="str">
        <f>Ringkasan!T1683</f>
        <v/>
      </c>
      <c r="U1684" s="64">
        <f>Ringkasan!U1683</f>
        <v>0.13</v>
      </c>
      <c r="V1684" s="64" t="str">
        <f>Ringkasan!V1683</f>
        <v/>
      </c>
      <c r="W1684" s="64">
        <f>Ringkasan!W1683</f>
        <v>0.13</v>
      </c>
      <c r="X1684" s="64">
        <f>Ringkasan!X1683</f>
        <v>0.13</v>
      </c>
      <c r="Y1684" s="64">
        <f>Ringkasan!Y1683</f>
        <v>0.13</v>
      </c>
      <c r="Z1684" s="64">
        <f>Ringkasan!Z1683</f>
        <v>0</v>
      </c>
      <c r="AA1684" s="64" t="str">
        <f>Ringkasan!AA1683</f>
        <v>Personal Care Products</v>
      </c>
      <c r="AB1684" s="64" t="str">
        <f>Ringkasan!AB1683</f>
        <v>Consumer Non-Cyclicals</v>
      </c>
    </row>
    <row r="1685" hidden="1">
      <c r="A1685" s="64" t="str">
        <f>Ringkasan!A1684</f>
        <v>TCPI</v>
      </c>
      <c r="B1685" s="64" t="str">
        <f>Ringkasan!B1684</f>
        <v>Transcoal Pacific Tbk.</v>
      </c>
      <c r="C1685" s="65">
        <f>Ringkasan!C1684</f>
        <v>9300</v>
      </c>
      <c r="D1685" s="64" t="str">
        <f>Ringkasan!D1684</f>
        <v>#N/A</v>
      </c>
      <c r="E1685" s="64" t="str">
        <f>Ringkasan!E1684</f>
        <v>Kompas100</v>
      </c>
      <c r="F1685" s="64" t="str">
        <f>Ringkasan!F1684</f>
        <v>31 Juli 2026</v>
      </c>
      <c r="G1685" s="64">
        <f>Ringkasan!G1684</f>
        <v>3</v>
      </c>
      <c r="H1685" s="19">
        <f>Ringkasan!H1684</f>
        <v>410</v>
      </c>
      <c r="I1685" s="19">
        <f>Ringkasan!I1684</f>
        <v>23.8</v>
      </c>
      <c r="J1685" s="19">
        <f>Ringkasan!J1684</f>
        <v>5.8</v>
      </c>
      <c r="K1685" s="19">
        <f>Ringkasan!K1684</f>
        <v>3.3</v>
      </c>
      <c r="L1685" s="19">
        <f>Ringkasan!L1684</f>
        <v>0.76</v>
      </c>
      <c r="M1685" s="19">
        <f>Ringkasan!M1684</f>
        <v>25.7</v>
      </c>
      <c r="N1685" s="64" t="str">
        <f>Ringkasan!N1684</f>
        <v/>
      </c>
      <c r="O1685" s="64" t="str">
        <f>Ringkasan!O1684</f>
        <v/>
      </c>
      <c r="P1685" s="64" t="str">
        <f>Ringkasan!P1684</f>
        <v/>
      </c>
      <c r="Q1685" s="64" t="str">
        <f>Ringkasan!Q1684</f>
        <v/>
      </c>
      <c r="R1685" s="64" t="str">
        <f>Ringkasan!R1684</f>
        <v/>
      </c>
      <c r="S1685" s="64" t="str">
        <f>Ringkasan!S1684</f>
        <v/>
      </c>
      <c r="T1685" s="64" t="str">
        <f>Ringkasan!T1684</f>
        <v/>
      </c>
      <c r="U1685" s="64">
        <f>Ringkasan!U1684</f>
        <v>9600</v>
      </c>
      <c r="V1685" s="64">
        <f>Ringkasan!V1684</f>
        <v>-3.12</v>
      </c>
      <c r="W1685" s="64" t="str">
        <f>Ringkasan!W1684</f>
        <v/>
      </c>
      <c r="X1685" s="64">
        <f>Ringkasan!X1684</f>
        <v>9700</v>
      </c>
      <c r="Y1685" s="64">
        <f>Ringkasan!Y1684</f>
        <v>9300</v>
      </c>
      <c r="Z1685" s="64">
        <f>Ringkasan!Z1684</f>
        <v>5005100</v>
      </c>
      <c r="AA1685" s="64" t="str">
        <f>Ringkasan!AA1684</f>
        <v>Coal</v>
      </c>
      <c r="AB1685" s="64" t="str">
        <f>Ringkasan!AB1684</f>
        <v>Energy</v>
      </c>
    </row>
    <row r="1686" hidden="1">
      <c r="A1686" s="64" t="str">
        <f>Ringkasan!A1685</f>
        <v>TCPI</v>
      </c>
      <c r="B1686" s="64" t="str">
        <f>Ringkasan!B1685</f>
        <v>Transcoal Pacific Tbk.</v>
      </c>
      <c r="C1686" s="65">
        <f>Ringkasan!C1685</f>
        <v>9300</v>
      </c>
      <c r="D1686" s="64" t="str">
        <f>Ringkasan!D1685</f>
        <v>#N/A</v>
      </c>
      <c r="E1686" s="64" t="str">
        <f>Ringkasan!E1685</f>
        <v>MSCI Small Cap</v>
      </c>
      <c r="F1686" s="64" t="str">
        <f>Ringkasan!F1685</f>
        <v>12 Agustus 2026</v>
      </c>
      <c r="G1686" s="64">
        <f>Ringkasan!G1685</f>
        <v>3</v>
      </c>
      <c r="H1686" s="19">
        <f>Ringkasan!H1685</f>
        <v>410</v>
      </c>
      <c r="I1686" s="19">
        <f>Ringkasan!I1685</f>
        <v>23.8</v>
      </c>
      <c r="J1686" s="19">
        <f>Ringkasan!J1685</f>
        <v>5.8</v>
      </c>
      <c r="K1686" s="19">
        <f>Ringkasan!K1685</f>
        <v>3.3</v>
      </c>
      <c r="L1686" s="19">
        <f>Ringkasan!L1685</f>
        <v>0.76</v>
      </c>
      <c r="M1686" s="19">
        <f>Ringkasan!M1685</f>
        <v>25.7</v>
      </c>
      <c r="N1686" s="64" t="str">
        <f>Ringkasan!N1685</f>
        <v/>
      </c>
      <c r="O1686" s="64" t="str">
        <f>Ringkasan!O1685</f>
        <v/>
      </c>
      <c r="P1686" s="64" t="str">
        <f>Ringkasan!P1685</f>
        <v/>
      </c>
      <c r="Q1686" s="64" t="str">
        <f>Ringkasan!Q1685</f>
        <v/>
      </c>
      <c r="R1686" s="64" t="str">
        <f>Ringkasan!R1685</f>
        <v/>
      </c>
      <c r="S1686" s="64" t="str">
        <f>Ringkasan!S1685</f>
        <v/>
      </c>
      <c r="T1686" s="64" t="str">
        <f>Ringkasan!T1685</f>
        <v/>
      </c>
      <c r="U1686" s="64">
        <f>Ringkasan!U1685</f>
        <v>9600</v>
      </c>
      <c r="V1686" s="64">
        <f>Ringkasan!V1685</f>
        <v>-3.12</v>
      </c>
      <c r="W1686" s="64" t="str">
        <f>Ringkasan!W1685</f>
        <v/>
      </c>
      <c r="X1686" s="64">
        <f>Ringkasan!X1685</f>
        <v>9700</v>
      </c>
      <c r="Y1686" s="64">
        <f>Ringkasan!Y1685</f>
        <v>9300</v>
      </c>
      <c r="Z1686" s="64">
        <f>Ringkasan!Z1685</f>
        <v>5005100</v>
      </c>
      <c r="AA1686" s="64" t="str">
        <f>Ringkasan!AA1685</f>
        <v>Coal</v>
      </c>
      <c r="AB1686" s="64" t="str">
        <f>Ringkasan!AB1685</f>
        <v>Energy</v>
      </c>
    </row>
    <row r="1687" hidden="1">
      <c r="A1687" s="64" t="str">
        <f>Ringkasan!A1686</f>
        <v>TCPI</v>
      </c>
      <c r="B1687" s="64" t="str">
        <f>Ringkasan!B1686</f>
        <v>Transcoal Pacific Tbk.</v>
      </c>
      <c r="C1687" s="65">
        <f>Ringkasan!C1686</f>
        <v>9300</v>
      </c>
      <c r="D1687" s="64" t="str">
        <f>Ringkasan!D1686</f>
        <v>#N/A</v>
      </c>
      <c r="E1687" s="64" t="str">
        <f>Ringkasan!E1686</f>
        <v>JII70</v>
      </c>
      <c r="F1687" s="66">
        <f>Ringkasan!F1686</f>
        <v>46356</v>
      </c>
      <c r="G1687" s="64">
        <f>Ringkasan!G1686</f>
        <v>3</v>
      </c>
      <c r="H1687" s="19">
        <f>Ringkasan!H1686</f>
        <v>410</v>
      </c>
      <c r="I1687" s="19">
        <f>Ringkasan!I1686</f>
        <v>23.8</v>
      </c>
      <c r="J1687" s="19">
        <f>Ringkasan!J1686</f>
        <v>5.8</v>
      </c>
      <c r="K1687" s="19">
        <f>Ringkasan!K1686</f>
        <v>3.3</v>
      </c>
      <c r="L1687" s="19">
        <f>Ringkasan!L1686</f>
        <v>0.76</v>
      </c>
      <c r="M1687" s="19">
        <f>Ringkasan!M1686</f>
        <v>25.7</v>
      </c>
      <c r="N1687" s="64" t="str">
        <f>Ringkasan!N1686</f>
        <v/>
      </c>
      <c r="O1687" s="64" t="str">
        <f>Ringkasan!O1686</f>
        <v/>
      </c>
      <c r="P1687" s="64" t="str">
        <f>Ringkasan!P1686</f>
        <v/>
      </c>
      <c r="Q1687" s="64" t="str">
        <f>Ringkasan!Q1686</f>
        <v/>
      </c>
      <c r="R1687" s="64" t="str">
        <f>Ringkasan!R1686</f>
        <v/>
      </c>
      <c r="S1687" s="64" t="str">
        <f>Ringkasan!S1686</f>
        <v/>
      </c>
      <c r="T1687" s="64" t="str">
        <f>Ringkasan!T1686</f>
        <v/>
      </c>
      <c r="U1687" s="64">
        <f>Ringkasan!U1686</f>
        <v>9600</v>
      </c>
      <c r="V1687" s="64">
        <f>Ringkasan!V1686</f>
        <v>-3.12</v>
      </c>
      <c r="W1687" s="64" t="str">
        <f>Ringkasan!W1686</f>
        <v/>
      </c>
      <c r="X1687" s="64">
        <f>Ringkasan!X1686</f>
        <v>9700</v>
      </c>
      <c r="Y1687" s="64">
        <f>Ringkasan!Y1686</f>
        <v>9300</v>
      </c>
      <c r="Z1687" s="64">
        <f>Ringkasan!Z1686</f>
        <v>5005100</v>
      </c>
      <c r="AA1687" s="64" t="str">
        <f>Ringkasan!AA1686</f>
        <v>Coal</v>
      </c>
      <c r="AB1687" s="64" t="str">
        <f>Ringkasan!AB1686</f>
        <v>Energy</v>
      </c>
    </row>
    <row r="1688" hidden="1">
      <c r="A1688" s="64" t="str">
        <f>Ringkasan!A1687</f>
        <v>TDPM</v>
      </c>
      <c r="B1688" s="64" t="str">
        <f>Ringkasan!B1687</f>
        <v>Tianrong Chemicals Industry Tbk.</v>
      </c>
      <c r="C1688" s="65">
        <f>Ringkasan!C1687</f>
        <v>119</v>
      </c>
      <c r="D1688" s="64" t="str">
        <f>Ringkasan!D1687</f>
        <v>#N/A</v>
      </c>
      <c r="E1688" s="64" t="str">
        <f>Ringkasan!E1687</f>
        <v/>
      </c>
      <c r="F1688" s="64" t="str">
        <f>Ringkasan!F1687</f>
        <v/>
      </c>
      <c r="G1688" s="64">
        <f>Ringkasan!G1687</f>
        <v>0</v>
      </c>
      <c r="H1688" s="19">
        <f>Ringkasan!H1687</f>
        <v>0</v>
      </c>
      <c r="I1688" s="19">
        <f>Ringkasan!I1687</f>
        <v>5.4</v>
      </c>
      <c r="J1688" s="19">
        <f>Ringkasan!J1687</f>
        <v>-380</v>
      </c>
      <c r="K1688" s="19">
        <f>Ringkasan!K1687</f>
        <v>-39</v>
      </c>
      <c r="L1688" s="19">
        <f>Ringkasan!L1687</f>
        <v>8.6</v>
      </c>
      <c r="M1688" s="19">
        <f>Ringkasan!M1687</f>
        <v>-160</v>
      </c>
      <c r="N1688" s="64" t="str">
        <f>Ringkasan!N1687</f>
        <v/>
      </c>
      <c r="O1688" s="64" t="str">
        <f>Ringkasan!O1687</f>
        <v/>
      </c>
      <c r="P1688" s="64" t="str">
        <f>Ringkasan!P1687</f>
        <v/>
      </c>
      <c r="Q1688" s="64" t="str">
        <f>Ringkasan!Q1687</f>
        <v/>
      </c>
      <c r="R1688" s="64" t="str">
        <f>Ringkasan!R1687</f>
        <v/>
      </c>
      <c r="S1688" s="64" t="str">
        <f>Ringkasan!S1687</f>
        <v/>
      </c>
      <c r="T1688" s="64" t="str">
        <f>Ringkasan!T1687</f>
        <v/>
      </c>
      <c r="U1688" s="64">
        <f>Ringkasan!U1687</f>
        <v>119</v>
      </c>
      <c r="V1688" s="64">
        <f>Ringkasan!V1687</f>
        <v>0</v>
      </c>
      <c r="W1688" s="64" t="str">
        <f>Ringkasan!W1687</f>
        <v/>
      </c>
      <c r="X1688" s="64" t="str">
        <f>Ringkasan!X1687</f>
        <v/>
      </c>
      <c r="Y1688" s="64" t="str">
        <f>Ringkasan!Y1687</f>
        <v/>
      </c>
      <c r="Z1688" s="64">
        <f>Ringkasan!Z1687</f>
        <v>0</v>
      </c>
      <c r="AA1688" s="64" t="str">
        <f>Ringkasan!AA1687</f>
        <v>Chemicals</v>
      </c>
      <c r="AB1688" s="64" t="str">
        <f>Ringkasan!AB1687</f>
        <v>Basic Materials</v>
      </c>
    </row>
    <row r="1689" hidden="1">
      <c r="A1689" s="64" t="str">
        <f>Ringkasan!A1688</f>
        <v>TEBE</v>
      </c>
      <c r="B1689" s="64" t="str">
        <f>Ringkasan!B1688</f>
        <v>Dana Brata Luhur Tbk.</v>
      </c>
      <c r="C1689" s="65">
        <f>Ringkasan!C1688</f>
        <v>1045</v>
      </c>
      <c r="D1689" s="64" t="str">
        <f>Ringkasan!D1688</f>
        <v>#N/A</v>
      </c>
      <c r="E1689" s="64" t="str">
        <f>Ringkasan!E1688</f>
        <v/>
      </c>
      <c r="F1689" s="64" t="str">
        <f>Ringkasan!F1688</f>
        <v/>
      </c>
      <c r="G1689" s="64">
        <f>Ringkasan!G1688</f>
        <v>0</v>
      </c>
      <c r="H1689" s="19">
        <f>Ringkasan!H1688</f>
        <v>9</v>
      </c>
      <c r="I1689" s="19">
        <f>Ringkasan!I1688</f>
        <v>1</v>
      </c>
      <c r="J1689" s="19">
        <f>Ringkasan!J1688</f>
        <v>11.7</v>
      </c>
      <c r="K1689" s="19">
        <f>Ringkasan!K1688</f>
        <v>11.2</v>
      </c>
      <c r="L1689" s="19">
        <f>Ringkasan!L1688</f>
        <v>0.04</v>
      </c>
      <c r="M1689" s="19">
        <f>Ringkasan!M1688</f>
        <v>170</v>
      </c>
      <c r="N1689" s="64" t="str">
        <f>Ringkasan!N1688</f>
        <v/>
      </c>
      <c r="O1689" s="64" t="str">
        <f>Ringkasan!O1688</f>
        <v/>
      </c>
      <c r="P1689" s="64" t="str">
        <f>Ringkasan!P1688</f>
        <v/>
      </c>
      <c r="Q1689" s="64" t="str">
        <f>Ringkasan!Q1688</f>
        <v/>
      </c>
      <c r="R1689" s="64" t="str">
        <f>Ringkasan!R1688</f>
        <v/>
      </c>
      <c r="S1689" s="64" t="str">
        <f>Ringkasan!S1688</f>
        <v/>
      </c>
      <c r="T1689" s="64" t="str">
        <f>Ringkasan!T1688</f>
        <v/>
      </c>
      <c r="U1689" s="64">
        <f>Ringkasan!U1688</f>
        <v>970</v>
      </c>
      <c r="V1689" s="64">
        <f>Ringkasan!V1688</f>
        <v>7.73</v>
      </c>
      <c r="W1689" s="64">
        <f>Ringkasan!W1688</f>
        <v>975</v>
      </c>
      <c r="X1689" s="64" t="str">
        <f>Ringkasan!X1688</f>
        <v/>
      </c>
      <c r="Y1689" s="64">
        <f>Ringkasan!Y1688</f>
        <v>975</v>
      </c>
      <c r="Z1689" s="64">
        <f>Ringkasan!Z1688</f>
        <v>655800</v>
      </c>
      <c r="AA1689" s="64" t="str">
        <f>Ringkasan!AA1688</f>
        <v>Coal</v>
      </c>
      <c r="AB1689" s="64" t="str">
        <f>Ringkasan!AB1688</f>
        <v>Energy</v>
      </c>
    </row>
    <row r="1690" hidden="1">
      <c r="A1690" s="64" t="str">
        <f>Ringkasan!A1689</f>
        <v>TECH</v>
      </c>
      <c r="B1690" s="64" t="str">
        <f>Ringkasan!B1689</f>
        <v>Indosterling Technomedia Tbk.</v>
      </c>
      <c r="C1690" s="65">
        <f>Ringkasan!C1689</f>
        <v>50</v>
      </c>
      <c r="D1690" s="64" t="str">
        <f>Ringkasan!D1689</f>
        <v>#N/A</v>
      </c>
      <c r="E1690" s="64" t="str">
        <f>Ringkasan!E1689</f>
        <v/>
      </c>
      <c r="F1690" s="64" t="str">
        <f>Ringkasan!F1689</f>
        <v/>
      </c>
      <c r="G1690" s="64">
        <f>Ringkasan!G1689</f>
        <v>0</v>
      </c>
      <c r="H1690" s="19">
        <f>Ringkasan!H1689</f>
        <v>0</v>
      </c>
      <c r="I1690" s="19">
        <f>Ringkasan!I1689</f>
        <v>0.97</v>
      </c>
      <c r="J1690" s="19">
        <f>Ringkasan!J1689</f>
        <v>2</v>
      </c>
      <c r="K1690" s="19">
        <f>Ringkasan!K1689</f>
        <v>1.7</v>
      </c>
      <c r="L1690" s="19">
        <f>Ringkasan!L1689</f>
        <v>0.15</v>
      </c>
      <c r="M1690" s="19">
        <f>Ringkasan!M1689</f>
        <v>350</v>
      </c>
      <c r="N1690" s="64" t="str">
        <f>Ringkasan!N1689</f>
        <v/>
      </c>
      <c r="O1690" s="64" t="str">
        <f>Ringkasan!O1689</f>
        <v/>
      </c>
      <c r="P1690" s="64" t="str">
        <f>Ringkasan!P1689</f>
        <v/>
      </c>
      <c r="Q1690" s="64" t="str">
        <f>Ringkasan!Q1689</f>
        <v/>
      </c>
      <c r="R1690" s="64" t="str">
        <f>Ringkasan!R1689</f>
        <v/>
      </c>
      <c r="S1690" s="64" t="str">
        <f>Ringkasan!S1689</f>
        <v/>
      </c>
      <c r="T1690" s="64" t="str">
        <f>Ringkasan!T1689</f>
        <v/>
      </c>
      <c r="U1690" s="64">
        <f>Ringkasan!U1689</f>
        <v>54.02</v>
      </c>
      <c r="V1690" s="64">
        <f>Ringkasan!V1689</f>
        <v>-0.04</v>
      </c>
      <c r="W1690" s="64">
        <f>Ringkasan!W1689</f>
        <v>54.06</v>
      </c>
      <c r="X1690" s="64">
        <f>Ringkasan!X1689</f>
        <v>54.62</v>
      </c>
      <c r="Y1690" s="64">
        <f>Ringkasan!Y1689</f>
        <v>53.29</v>
      </c>
      <c r="Z1690" s="64">
        <f>Ringkasan!Z1689</f>
        <v>2558198</v>
      </c>
      <c r="AA1690" s="64" t="str">
        <f>Ringkasan!AA1689</f>
        <v>IT Services &amp; Consulting</v>
      </c>
      <c r="AB1690" s="64" t="str">
        <f>Ringkasan!AB1689</f>
        <v>Technology</v>
      </c>
    </row>
    <row r="1691" hidden="1">
      <c r="A1691" s="64" t="str">
        <f>Ringkasan!A1690</f>
        <v>TELE</v>
      </c>
      <c r="B1691" s="64" t="str">
        <f>Ringkasan!B1690</f>
        <v>Omni Inovasi Indonesia Tbk.</v>
      </c>
      <c r="C1691" s="65">
        <f>Ringkasan!C1690</f>
        <v>9</v>
      </c>
      <c r="D1691" s="64" t="str">
        <f>Ringkasan!D1690</f>
        <v>#N/A</v>
      </c>
      <c r="E1691" s="64" t="str">
        <f>Ringkasan!E1690</f>
        <v/>
      </c>
      <c r="F1691" s="64" t="str">
        <f>Ringkasan!F1690</f>
        <v/>
      </c>
      <c r="G1691" s="64">
        <f>Ringkasan!G1690</f>
        <v>0</v>
      </c>
      <c r="H1691" s="19">
        <f>Ringkasan!H1690</f>
        <v>-2.1</v>
      </c>
      <c r="I1691" s="19">
        <f>Ringkasan!I1690</f>
        <v>-0.01</v>
      </c>
      <c r="J1691" s="19">
        <f>Ringkasan!J1690</f>
        <v>0</v>
      </c>
      <c r="K1691" s="19">
        <f>Ringkasan!K1690</f>
        <v>-32.8</v>
      </c>
      <c r="L1691" s="19">
        <f>Ringkasan!L1690</f>
        <v>-1</v>
      </c>
      <c r="M1691" s="19">
        <f>Ringkasan!M1690</f>
        <v>-10.4</v>
      </c>
      <c r="N1691" s="64" t="str">
        <f>Ringkasan!N1690</f>
        <v/>
      </c>
      <c r="O1691" s="64" t="str">
        <f>Ringkasan!O1690</f>
        <v/>
      </c>
      <c r="P1691" s="64" t="str">
        <f>Ringkasan!P1690</f>
        <v/>
      </c>
      <c r="Q1691" s="64" t="str">
        <f>Ringkasan!Q1690</f>
        <v/>
      </c>
      <c r="R1691" s="64" t="str">
        <f>Ringkasan!R1690</f>
        <v/>
      </c>
      <c r="S1691" s="64" t="str">
        <f>Ringkasan!S1690</f>
        <v/>
      </c>
      <c r="T1691" s="64" t="str">
        <f>Ringkasan!T1690</f>
        <v/>
      </c>
      <c r="U1691" s="64">
        <f>Ringkasan!U1690</f>
        <v>75.63</v>
      </c>
      <c r="V1691" s="64">
        <f>Ringkasan!V1690</f>
        <v>0.07</v>
      </c>
      <c r="W1691" s="64" t="str">
        <f>Ringkasan!W1690</f>
        <v/>
      </c>
      <c r="X1691" s="64" t="str">
        <f>Ringkasan!X1690</f>
        <v/>
      </c>
      <c r="Y1691" s="64" t="str">
        <f>Ringkasan!Y1690</f>
        <v/>
      </c>
      <c r="Z1691" s="64">
        <f>Ringkasan!Z1690</f>
        <v>0</v>
      </c>
      <c r="AA1691" s="64" t="str">
        <f>Ringkasan!AA1690</f>
        <v>Consumer Distributors</v>
      </c>
      <c r="AB1691" s="64" t="str">
        <f>Ringkasan!AB1690</f>
        <v>Consumer Cyclicals</v>
      </c>
    </row>
    <row r="1692" hidden="1">
      <c r="A1692" s="64" t="str">
        <f>Ringkasan!A1691</f>
        <v>TFAS</v>
      </c>
      <c r="B1692" s="64" t="str">
        <f>Ringkasan!B1691</f>
        <v>Telefast Indonesia Tbk.</v>
      </c>
      <c r="C1692" s="65">
        <f>Ringkasan!C1691</f>
        <v>204</v>
      </c>
      <c r="D1692" s="64" t="str">
        <f>Ringkasan!D1691</f>
        <v>#N/A</v>
      </c>
      <c r="E1692" s="64" t="str">
        <f>Ringkasan!E1691</f>
        <v/>
      </c>
      <c r="F1692" s="64" t="str">
        <f>Ringkasan!F1691</f>
        <v/>
      </c>
      <c r="G1692" s="64">
        <f>Ringkasan!G1691</f>
        <v>0</v>
      </c>
      <c r="H1692" s="19">
        <f>Ringkasan!H1691</f>
        <v>-16.6</v>
      </c>
      <c r="I1692" s="19">
        <f>Ringkasan!I1691</f>
        <v>2.1</v>
      </c>
      <c r="J1692" s="19">
        <f>Ringkasan!J1691</f>
        <v>-12.7</v>
      </c>
      <c r="K1692" s="19">
        <f>Ringkasan!K1691</f>
        <v>-9.9</v>
      </c>
      <c r="L1692" s="19">
        <f>Ringkasan!L1691</f>
        <v>0.28</v>
      </c>
      <c r="M1692" s="19">
        <f>Ringkasan!M1691</f>
        <v>-19.6</v>
      </c>
      <c r="N1692" s="64" t="str">
        <f>Ringkasan!N1691</f>
        <v/>
      </c>
      <c r="O1692" s="64" t="str">
        <f>Ringkasan!O1691</f>
        <v/>
      </c>
      <c r="P1692" s="64" t="str">
        <f>Ringkasan!P1691</f>
        <v/>
      </c>
      <c r="Q1692" s="64" t="str">
        <f>Ringkasan!Q1691</f>
        <v/>
      </c>
      <c r="R1692" s="64" t="str">
        <f>Ringkasan!R1691</f>
        <v/>
      </c>
      <c r="S1692" s="64" t="str">
        <f>Ringkasan!S1691</f>
        <v/>
      </c>
      <c r="T1692" s="64" t="str">
        <f>Ringkasan!T1691</f>
        <v/>
      </c>
      <c r="U1692" s="64">
        <f>Ringkasan!U1691</f>
        <v>198</v>
      </c>
      <c r="V1692" s="64">
        <f>Ringkasan!V1691</f>
        <v>3.03</v>
      </c>
      <c r="W1692" s="64">
        <f>Ringkasan!W1691</f>
        <v>198</v>
      </c>
      <c r="X1692" s="64">
        <f>Ringkasan!X1691</f>
        <v>210</v>
      </c>
      <c r="Y1692" s="64" t="str">
        <f>Ringkasan!Y1691</f>
        <v/>
      </c>
      <c r="Z1692" s="64" t="str">
        <f>Ringkasan!Z1691</f>
        <v/>
      </c>
      <c r="AA1692" s="64" t="str">
        <f>Ringkasan!AA1691</f>
        <v>Online Applications &amp; Services</v>
      </c>
      <c r="AB1692" s="64" t="str">
        <f>Ringkasan!AB1691</f>
        <v>Technology</v>
      </c>
    </row>
    <row r="1693" hidden="1">
      <c r="A1693" s="64" t="str">
        <f>Ringkasan!A1692</f>
        <v>TFCO</v>
      </c>
      <c r="B1693" s="64" t="str">
        <f>Ringkasan!B1692</f>
        <v>Tifico Fiber Indonesia Tbk</v>
      </c>
      <c r="C1693" s="65">
        <f>Ringkasan!C1692</f>
        <v>595</v>
      </c>
      <c r="D1693" s="64" t="str">
        <f>Ringkasan!D1692</f>
        <v>#N/A</v>
      </c>
      <c r="E1693" s="64" t="str">
        <f>Ringkasan!E1692</f>
        <v/>
      </c>
      <c r="F1693" s="64" t="str">
        <f>Ringkasan!F1692</f>
        <v/>
      </c>
      <c r="G1693" s="64">
        <f>Ringkasan!G1692</f>
        <v>0</v>
      </c>
      <c r="H1693" s="19">
        <f>Ringkasan!H1692</f>
        <v>-33.5</v>
      </c>
      <c r="I1693" s="19">
        <f>Ringkasan!I1692</f>
        <v>0.55</v>
      </c>
      <c r="J1693" s="19">
        <f>Ringkasan!J1692</f>
        <v>-1.6</v>
      </c>
      <c r="K1693" s="19">
        <f>Ringkasan!K1692</f>
        <v>-1.5</v>
      </c>
      <c r="L1693" s="19">
        <f>Ringkasan!L1692</f>
        <v>0.1</v>
      </c>
      <c r="M1693" s="19">
        <f>Ringkasan!M1692</f>
        <v>-10.4</v>
      </c>
      <c r="N1693" s="64" t="str">
        <f>Ringkasan!N1692</f>
        <v/>
      </c>
      <c r="O1693" s="64" t="str">
        <f>Ringkasan!O1692</f>
        <v/>
      </c>
      <c r="P1693" s="64" t="str">
        <f>Ringkasan!P1692</f>
        <v/>
      </c>
      <c r="Q1693" s="64" t="str">
        <f>Ringkasan!Q1692</f>
        <v/>
      </c>
      <c r="R1693" s="64" t="str">
        <f>Ringkasan!R1692</f>
        <v/>
      </c>
      <c r="S1693" s="64" t="str">
        <f>Ringkasan!S1692</f>
        <v/>
      </c>
      <c r="T1693" s="64" t="str">
        <f>Ringkasan!T1692</f>
        <v/>
      </c>
      <c r="U1693" s="64">
        <f>Ringkasan!U1692</f>
        <v>605</v>
      </c>
      <c r="V1693" s="64">
        <f>Ringkasan!V1692</f>
        <v>-1.65</v>
      </c>
      <c r="W1693" s="64">
        <f>Ringkasan!W1692</f>
        <v>595</v>
      </c>
      <c r="X1693" s="64">
        <f>Ringkasan!X1692</f>
        <v>595</v>
      </c>
      <c r="Y1693" s="64">
        <f>Ringkasan!Y1692</f>
        <v>595</v>
      </c>
      <c r="Z1693" s="64">
        <f>Ringkasan!Z1692</f>
        <v>100</v>
      </c>
      <c r="AA1693" s="64" t="str">
        <f>Ringkasan!AA1692</f>
        <v>Apparel &amp; Luxury Goods</v>
      </c>
      <c r="AB1693" s="64" t="str">
        <f>Ringkasan!AB1692</f>
        <v>Consumer Cyclicals</v>
      </c>
    </row>
    <row r="1694" hidden="1">
      <c r="A1694" s="64" t="str">
        <f>Ringkasan!A1693</f>
        <v>TGKA</v>
      </c>
      <c r="B1694" s="64" t="str">
        <f>Ringkasan!B1693</f>
        <v>Tigaraksa Satria Tbk.</v>
      </c>
      <c r="C1694" s="65">
        <f>Ringkasan!C1693</f>
        <v>4580</v>
      </c>
      <c r="D1694" s="64" t="str">
        <f>Ringkasan!D1693</f>
        <v>#N/A</v>
      </c>
      <c r="E1694" s="64" t="str">
        <f>Ringkasan!E1693</f>
        <v/>
      </c>
      <c r="F1694" s="64" t="str">
        <f>Ringkasan!F1693</f>
        <v/>
      </c>
      <c r="G1694" s="64">
        <f>Ringkasan!G1693</f>
        <v>0</v>
      </c>
      <c r="H1694" s="19">
        <f>Ringkasan!H1693</f>
        <v>10.3</v>
      </c>
      <c r="I1694" s="19">
        <f>Ringkasan!I1693</f>
        <v>1.7</v>
      </c>
      <c r="J1694" s="19">
        <f>Ringkasan!J1693</f>
        <v>16.5</v>
      </c>
      <c r="K1694" s="19">
        <f>Ringkasan!K1693</f>
        <v>8.1</v>
      </c>
      <c r="L1694" s="19">
        <f>Ringkasan!L1693</f>
        <v>1</v>
      </c>
      <c r="M1694" s="19">
        <f>Ringkasan!M1693</f>
        <v>11.6</v>
      </c>
      <c r="N1694" s="64" t="str">
        <f>Ringkasan!N1693</f>
        <v/>
      </c>
      <c r="O1694" s="64" t="str">
        <f>Ringkasan!O1693</f>
        <v/>
      </c>
      <c r="P1694" s="64" t="str">
        <f>Ringkasan!P1693</f>
        <v/>
      </c>
      <c r="Q1694" s="64" t="str">
        <f>Ringkasan!Q1693</f>
        <v/>
      </c>
      <c r="R1694" s="64" t="str">
        <f>Ringkasan!R1693</f>
        <v/>
      </c>
      <c r="S1694" s="64" t="str">
        <f>Ringkasan!S1693</f>
        <v/>
      </c>
      <c r="T1694" s="64" t="str">
        <f>Ringkasan!T1693</f>
        <v/>
      </c>
      <c r="U1694" s="64">
        <f>Ringkasan!U1693</f>
        <v>4490</v>
      </c>
      <c r="V1694" s="64">
        <f>Ringkasan!V1693</f>
        <v>2</v>
      </c>
      <c r="W1694" s="64">
        <f>Ringkasan!W1693</f>
        <v>4470</v>
      </c>
      <c r="X1694" s="64">
        <f>Ringkasan!X1693</f>
        <v>4580</v>
      </c>
      <c r="Y1694" s="64">
        <f>Ringkasan!Y1693</f>
        <v>4460</v>
      </c>
      <c r="Z1694" s="64">
        <f>Ringkasan!Z1693</f>
        <v>800</v>
      </c>
      <c r="AA1694" s="64" t="str">
        <f>Ringkasan!AA1693</f>
        <v>Processed Foods</v>
      </c>
      <c r="AB1694" s="64" t="str">
        <f>Ringkasan!AB1693</f>
        <v>Consumer Non-Cyclicals</v>
      </c>
    </row>
    <row r="1695" hidden="1">
      <c r="A1695" s="64" t="str">
        <f>Ringkasan!A1694</f>
        <v>TGRA</v>
      </c>
      <c r="B1695" s="64" t="str">
        <f>Ringkasan!B1694</f>
        <v>Terregra Asia Energy Tbk.</v>
      </c>
      <c r="C1695" s="65">
        <f>Ringkasan!C1694</f>
        <v>27</v>
      </c>
      <c r="D1695" s="64" t="str">
        <f>Ringkasan!D1694</f>
        <v>#N/A</v>
      </c>
      <c r="E1695" s="64" t="str">
        <f>Ringkasan!E1694</f>
        <v/>
      </c>
      <c r="F1695" s="64" t="str">
        <f>Ringkasan!F1694</f>
        <v/>
      </c>
      <c r="G1695" s="64">
        <f>Ringkasan!G1694</f>
        <v>0</v>
      </c>
      <c r="H1695" s="19">
        <f>Ringkasan!H1694</f>
        <v>-2.8</v>
      </c>
      <c r="I1695" s="19">
        <f>Ringkasan!I1694</f>
        <v>0.25</v>
      </c>
      <c r="J1695" s="19">
        <f>Ringkasan!J1694</f>
        <v>-8.8</v>
      </c>
      <c r="K1695" s="19">
        <f>Ringkasan!K1694</f>
        <v>-5.8</v>
      </c>
      <c r="L1695" s="19">
        <f>Ringkasan!L1694</f>
        <v>0.52</v>
      </c>
      <c r="M1695" s="19">
        <f>Ringkasan!M1694</f>
        <v>0</v>
      </c>
      <c r="N1695" s="64" t="str">
        <f>Ringkasan!N1694</f>
        <v/>
      </c>
      <c r="O1695" s="64" t="str">
        <f>Ringkasan!O1694</f>
        <v/>
      </c>
      <c r="P1695" s="64" t="str">
        <f>Ringkasan!P1694</f>
        <v/>
      </c>
      <c r="Q1695" s="64" t="str">
        <f>Ringkasan!Q1694</f>
        <v/>
      </c>
      <c r="R1695" s="64" t="str">
        <f>Ringkasan!R1694</f>
        <v/>
      </c>
      <c r="S1695" s="64" t="str">
        <f>Ringkasan!S1694</f>
        <v/>
      </c>
      <c r="T1695" s="64" t="str">
        <f>Ringkasan!T1694</f>
        <v/>
      </c>
      <c r="U1695" s="64">
        <f>Ringkasan!U1694</f>
        <v>27</v>
      </c>
      <c r="V1695" s="64">
        <f>Ringkasan!V1694</f>
        <v>0</v>
      </c>
      <c r="W1695" s="64" t="str">
        <f>Ringkasan!W1694</f>
        <v/>
      </c>
      <c r="X1695" s="64" t="str">
        <f>Ringkasan!X1694</f>
        <v/>
      </c>
      <c r="Y1695" s="64" t="str">
        <f>Ringkasan!Y1694</f>
        <v/>
      </c>
      <c r="Z1695" s="64">
        <f>Ringkasan!Z1694</f>
        <v>0</v>
      </c>
      <c r="AA1695" s="64" t="str">
        <f>Ringkasan!AA1694</f>
        <v>Electric Utilities</v>
      </c>
      <c r="AB1695" s="64" t="str">
        <f>Ringkasan!AB1694</f>
        <v>Infrastructures</v>
      </c>
    </row>
    <row r="1696" hidden="1">
      <c r="A1696" s="64" t="str">
        <f>Ringkasan!A1695</f>
        <v>TGUK</v>
      </c>
      <c r="B1696" s="64" t="str">
        <f>Ringkasan!B1695</f>
        <v>PT Platinum Wahab Nusantara Tbk.</v>
      </c>
      <c r="C1696" s="65">
        <f>Ringkasan!C1695</f>
        <v>137</v>
      </c>
      <c r="D1696" s="64" t="str">
        <f>Ringkasan!D1695</f>
        <v>#N/A</v>
      </c>
      <c r="E1696" s="64" t="str">
        <f>Ringkasan!E1695</f>
        <v/>
      </c>
      <c r="F1696" s="64" t="str">
        <f>Ringkasan!F1695</f>
        <v/>
      </c>
      <c r="G1696" s="64">
        <f>Ringkasan!G1695</f>
        <v>0</v>
      </c>
      <c r="H1696" s="19">
        <f>Ringkasan!H1695</f>
        <v>-32.4</v>
      </c>
      <c r="I1696" s="19">
        <f>Ringkasan!I1695</f>
        <v>6.4</v>
      </c>
      <c r="J1696" s="19">
        <f>Ringkasan!J1695</f>
        <v>-19.8</v>
      </c>
      <c r="K1696" s="19">
        <f>Ringkasan!K1695</f>
        <v>-5.4</v>
      </c>
      <c r="L1696" s="19">
        <f>Ringkasan!L1695</f>
        <v>2.7</v>
      </c>
      <c r="M1696" s="19">
        <f>Ringkasan!M1695</f>
        <v>-7.5</v>
      </c>
      <c r="N1696" s="64" t="str">
        <f>Ringkasan!N1695</f>
        <v/>
      </c>
      <c r="O1696" s="64" t="str">
        <f>Ringkasan!O1695</f>
        <v/>
      </c>
      <c r="P1696" s="64" t="str">
        <f>Ringkasan!P1695</f>
        <v/>
      </c>
      <c r="Q1696" s="64" t="str">
        <f>Ringkasan!Q1695</f>
        <v/>
      </c>
      <c r="R1696" s="64" t="str">
        <f>Ringkasan!R1695</f>
        <v/>
      </c>
      <c r="S1696" s="64" t="str">
        <f>Ringkasan!S1695</f>
        <v/>
      </c>
      <c r="T1696" s="64" t="str">
        <f>Ringkasan!T1695</f>
        <v/>
      </c>
      <c r="U1696" s="64">
        <f>Ringkasan!U1695</f>
        <v>137</v>
      </c>
      <c r="V1696" s="64">
        <f>Ringkasan!V1695</f>
        <v>0</v>
      </c>
      <c r="W1696" s="64" t="str">
        <f>Ringkasan!W1695</f>
        <v/>
      </c>
      <c r="X1696" s="64" t="str">
        <f>Ringkasan!X1695</f>
        <v/>
      </c>
      <c r="Y1696" s="64" t="str">
        <f>Ringkasan!Y1695</f>
        <v/>
      </c>
      <c r="Z1696" s="64">
        <f>Ringkasan!Z1695</f>
        <v>0</v>
      </c>
      <c r="AA1696" s="64" t="str">
        <f>Ringkasan!AA1695</f>
        <v>Processed Foods</v>
      </c>
      <c r="AB1696" s="64" t="str">
        <f>Ringkasan!AB1695</f>
        <v>Consumer Non-Cyclicals</v>
      </c>
    </row>
    <row r="1697" hidden="1">
      <c r="A1697" s="64" t="str">
        <f>Ringkasan!A1696</f>
        <v>TIFA</v>
      </c>
      <c r="B1697" s="64" t="str">
        <f>Ringkasan!B1696</f>
        <v>KDB Tifa Finance Tbk.</v>
      </c>
      <c r="C1697" s="65">
        <f>Ringkasan!C1696</f>
        <v>274</v>
      </c>
      <c r="D1697" s="64" t="str">
        <f>Ringkasan!D1696</f>
        <v>#N/A</v>
      </c>
      <c r="E1697" s="64" t="str">
        <f>Ringkasan!E1696</f>
        <v/>
      </c>
      <c r="F1697" s="64" t="str">
        <f>Ringkasan!F1696</f>
        <v/>
      </c>
      <c r="G1697" s="64">
        <f>Ringkasan!G1696</f>
        <v>0</v>
      </c>
      <c r="H1697" s="19">
        <f>Ringkasan!H1696</f>
        <v>18.4</v>
      </c>
      <c r="I1697" s="19">
        <f>Ringkasan!I1696</f>
        <v>0.93</v>
      </c>
      <c r="J1697" s="19">
        <f>Ringkasan!J1696</f>
        <v>5.1</v>
      </c>
      <c r="K1697" s="19">
        <f>Ringkasan!K1696</f>
        <v>3.4</v>
      </c>
      <c r="L1697" s="19">
        <f>Ringkasan!L1696</f>
        <v>0.48</v>
      </c>
      <c r="M1697" s="19">
        <f>Ringkasan!M1696</f>
        <v>150</v>
      </c>
      <c r="N1697" s="64" t="str">
        <f>Ringkasan!N1696</f>
        <v/>
      </c>
      <c r="O1697" s="64" t="str">
        <f>Ringkasan!O1696</f>
        <v/>
      </c>
      <c r="P1697" s="64" t="str">
        <f>Ringkasan!P1696</f>
        <v/>
      </c>
      <c r="Q1697" s="64" t="str">
        <f>Ringkasan!Q1696</f>
        <v/>
      </c>
      <c r="R1697" s="64" t="str">
        <f>Ringkasan!R1696</f>
        <v/>
      </c>
      <c r="S1697" s="64" t="str">
        <f>Ringkasan!S1696</f>
        <v/>
      </c>
      <c r="T1697" s="64" t="str">
        <f>Ringkasan!T1696</f>
        <v/>
      </c>
      <c r="U1697" s="64">
        <f>Ringkasan!U1696</f>
        <v>278</v>
      </c>
      <c r="V1697" s="64">
        <f>Ringkasan!V1696</f>
        <v>-1.44</v>
      </c>
      <c r="W1697" s="64">
        <f>Ringkasan!W1696</f>
        <v>278</v>
      </c>
      <c r="X1697" s="64">
        <f>Ringkasan!X1696</f>
        <v>280</v>
      </c>
      <c r="Y1697" s="64">
        <f>Ringkasan!Y1696</f>
        <v>256</v>
      </c>
      <c r="Z1697" s="64">
        <f>Ringkasan!Z1696</f>
        <v>524300</v>
      </c>
      <c r="AA1697" s="64" t="str">
        <f>Ringkasan!AA1696</f>
        <v>Consumer Financing</v>
      </c>
      <c r="AB1697" s="64" t="str">
        <f>Ringkasan!AB1696</f>
        <v>Financials</v>
      </c>
    </row>
    <row r="1698" hidden="1">
      <c r="A1698" s="64" t="str">
        <f>Ringkasan!A1697</f>
        <v>TINS</v>
      </c>
      <c r="B1698" s="64" t="str">
        <f>Ringkasan!B1697</f>
        <v>Timah Tbk.</v>
      </c>
      <c r="C1698" s="65">
        <f>Ringkasan!C1697</f>
        <v>3300</v>
      </c>
      <c r="D1698" s="64" t="str">
        <f>Ringkasan!D1697</f>
        <v>#N/A</v>
      </c>
      <c r="E1698" s="64" t="str">
        <f>Ringkasan!E1697</f>
        <v>IDXMESBUMN</v>
      </c>
      <c r="F1698" s="66">
        <f>Ringkasan!F1697</f>
        <v>46356</v>
      </c>
      <c r="G1698" s="64">
        <f>Ringkasan!G1697</f>
        <v>5</v>
      </c>
      <c r="H1698" s="19">
        <f>Ringkasan!H1697</f>
        <v>8.9</v>
      </c>
      <c r="I1698" s="19">
        <f>Ringkasan!I1697</f>
        <v>2.4</v>
      </c>
      <c r="J1698" s="19">
        <f>Ringkasan!J1697</f>
        <v>27.1</v>
      </c>
      <c r="K1698" s="19">
        <f>Ringkasan!K1697</f>
        <v>17.7</v>
      </c>
      <c r="L1698" s="19">
        <f>Ringkasan!L1697</f>
        <v>0.53</v>
      </c>
      <c r="M1698" s="19">
        <f>Ringkasan!M1697</f>
        <v>49.4</v>
      </c>
      <c r="N1698" s="64" t="str">
        <f>Ringkasan!N1697</f>
        <v/>
      </c>
      <c r="O1698" s="64" t="str">
        <f>Ringkasan!O1697</f>
        <v/>
      </c>
      <c r="P1698" s="64" t="str">
        <f>Ringkasan!P1697</f>
        <v/>
      </c>
      <c r="Q1698" s="64" t="str">
        <f>Ringkasan!Q1697</f>
        <v/>
      </c>
      <c r="R1698" s="64" t="str">
        <f>Ringkasan!R1697</f>
        <v/>
      </c>
      <c r="S1698" s="64" t="str">
        <f>Ringkasan!S1697</f>
        <v/>
      </c>
      <c r="T1698" s="64" t="str">
        <f>Ringkasan!T1697</f>
        <v/>
      </c>
      <c r="U1698" s="64">
        <f>Ringkasan!U1697</f>
        <v>26.65</v>
      </c>
      <c r="V1698" s="64">
        <f>Ringkasan!V1697</f>
        <v>10.23</v>
      </c>
      <c r="W1698" s="64" t="str">
        <f>Ringkasan!W1697</f>
        <v/>
      </c>
      <c r="X1698" s="64">
        <f>Ringkasan!X1697</f>
        <v>29.38</v>
      </c>
      <c r="Y1698" s="64">
        <f>Ringkasan!Y1697</f>
        <v>29.38</v>
      </c>
      <c r="Z1698" s="64">
        <f>Ringkasan!Z1697</f>
        <v>0</v>
      </c>
      <c r="AA1698" s="64" t="str">
        <f>Ringkasan!AA1697</f>
        <v>Metals &amp; Minerals</v>
      </c>
      <c r="AB1698" s="64" t="str">
        <f>Ringkasan!AB1697</f>
        <v>Basic Materials</v>
      </c>
    </row>
    <row r="1699" hidden="1">
      <c r="A1699" s="64" t="str">
        <f>Ringkasan!A1698</f>
        <v>TINS</v>
      </c>
      <c r="B1699" s="64" t="str">
        <f>Ringkasan!B1698</f>
        <v>Timah Tbk.</v>
      </c>
      <c r="C1699" s="65">
        <f>Ringkasan!C1698</f>
        <v>3300</v>
      </c>
      <c r="D1699" s="64" t="str">
        <f>Ringkasan!D1698</f>
        <v>#N/A</v>
      </c>
      <c r="E1699" s="64" t="str">
        <f>Ringkasan!E1698</f>
        <v>IDXSHAGROW</v>
      </c>
      <c r="F1699" s="66">
        <f>Ringkasan!F1698</f>
        <v>46356</v>
      </c>
      <c r="G1699" s="64">
        <f>Ringkasan!G1698</f>
        <v>5</v>
      </c>
      <c r="H1699" s="19">
        <f>Ringkasan!H1698</f>
        <v>8.9</v>
      </c>
      <c r="I1699" s="19">
        <f>Ringkasan!I1698</f>
        <v>2.4</v>
      </c>
      <c r="J1699" s="19">
        <f>Ringkasan!J1698</f>
        <v>27.1</v>
      </c>
      <c r="K1699" s="19">
        <f>Ringkasan!K1698</f>
        <v>17.7</v>
      </c>
      <c r="L1699" s="19">
        <f>Ringkasan!L1698</f>
        <v>0.53</v>
      </c>
      <c r="M1699" s="19">
        <f>Ringkasan!M1698</f>
        <v>49.4</v>
      </c>
      <c r="N1699" s="64" t="str">
        <f>Ringkasan!N1698</f>
        <v/>
      </c>
      <c r="O1699" s="64" t="str">
        <f>Ringkasan!O1698</f>
        <v/>
      </c>
      <c r="P1699" s="64" t="str">
        <f>Ringkasan!P1698</f>
        <v/>
      </c>
      <c r="Q1699" s="64" t="str">
        <f>Ringkasan!Q1698</f>
        <v/>
      </c>
      <c r="R1699" s="64" t="str">
        <f>Ringkasan!R1698</f>
        <v/>
      </c>
      <c r="S1699" s="64" t="str">
        <f>Ringkasan!S1698</f>
        <v/>
      </c>
      <c r="T1699" s="64" t="str">
        <f>Ringkasan!T1698</f>
        <v/>
      </c>
      <c r="U1699" s="64">
        <f>Ringkasan!U1698</f>
        <v>26.65</v>
      </c>
      <c r="V1699" s="64">
        <f>Ringkasan!V1698</f>
        <v>10.23</v>
      </c>
      <c r="W1699" s="64" t="str">
        <f>Ringkasan!W1698</f>
        <v/>
      </c>
      <c r="X1699" s="64">
        <f>Ringkasan!X1698</f>
        <v>29.38</v>
      </c>
      <c r="Y1699" s="64">
        <f>Ringkasan!Y1698</f>
        <v>29.38</v>
      </c>
      <c r="Z1699" s="64">
        <f>Ringkasan!Z1698</f>
        <v>0</v>
      </c>
      <c r="AA1699" s="64" t="str">
        <f>Ringkasan!AA1698</f>
        <v>Metals &amp; Minerals</v>
      </c>
      <c r="AB1699" s="64" t="str">
        <f>Ringkasan!AB1698</f>
        <v>Basic Materials</v>
      </c>
    </row>
    <row r="1700" hidden="1">
      <c r="A1700" s="64" t="str">
        <f>Ringkasan!A1699</f>
        <v>TINS</v>
      </c>
      <c r="B1700" s="64" t="str">
        <f>Ringkasan!B1699</f>
        <v>Timah Tbk.</v>
      </c>
      <c r="C1700" s="65">
        <f>Ringkasan!C1699</f>
        <v>3300</v>
      </c>
      <c r="D1700" s="64" t="str">
        <f>Ringkasan!D1699</f>
        <v>#N/A</v>
      </c>
      <c r="E1700" s="64" t="str">
        <f>Ringkasan!E1699</f>
        <v>JII70</v>
      </c>
      <c r="F1700" s="66">
        <f>Ringkasan!F1699</f>
        <v>46356</v>
      </c>
      <c r="G1700" s="65">
        <f>Ringkasan!G1699</f>
        <v>5</v>
      </c>
      <c r="H1700" s="19">
        <f>Ringkasan!H1699</f>
        <v>8.9</v>
      </c>
      <c r="I1700" s="19">
        <f>Ringkasan!I1699</f>
        <v>2.4</v>
      </c>
      <c r="J1700" s="19">
        <f>Ringkasan!J1699</f>
        <v>27.1</v>
      </c>
      <c r="K1700" s="19">
        <f>Ringkasan!K1699</f>
        <v>17.7</v>
      </c>
      <c r="L1700" s="19">
        <f>Ringkasan!L1699</f>
        <v>0.53</v>
      </c>
      <c r="M1700" s="19">
        <f>Ringkasan!M1699</f>
        <v>49.4</v>
      </c>
      <c r="N1700" s="64" t="str">
        <f>Ringkasan!N1699</f>
        <v/>
      </c>
      <c r="O1700" s="64" t="str">
        <f>Ringkasan!O1699</f>
        <v/>
      </c>
      <c r="P1700" s="64" t="str">
        <f>Ringkasan!P1699</f>
        <v/>
      </c>
      <c r="Q1700" s="64" t="str">
        <f>Ringkasan!Q1699</f>
        <v/>
      </c>
      <c r="R1700" s="64" t="str">
        <f>Ringkasan!R1699</f>
        <v/>
      </c>
      <c r="S1700" s="64" t="str">
        <f>Ringkasan!S1699</f>
        <v/>
      </c>
      <c r="T1700" s="64" t="str">
        <f>Ringkasan!T1699</f>
        <v/>
      </c>
      <c r="U1700" s="64">
        <f>Ringkasan!U1699</f>
        <v>26.65</v>
      </c>
      <c r="V1700" s="64">
        <f>Ringkasan!V1699</f>
        <v>10.23</v>
      </c>
      <c r="W1700" s="64" t="str">
        <f>Ringkasan!W1699</f>
        <v/>
      </c>
      <c r="X1700" s="64">
        <f>Ringkasan!X1699</f>
        <v>29.38</v>
      </c>
      <c r="Y1700" s="64">
        <f>Ringkasan!Y1699</f>
        <v>29.38</v>
      </c>
      <c r="Z1700" s="64">
        <f>Ringkasan!Z1699</f>
        <v>0</v>
      </c>
      <c r="AA1700" s="64" t="str">
        <f>Ringkasan!AA1699</f>
        <v>Metals &amp; Minerals</v>
      </c>
      <c r="AB1700" s="64" t="str">
        <f>Ringkasan!AB1699</f>
        <v>Basic Materials</v>
      </c>
    </row>
    <row r="1701" hidden="1">
      <c r="A1701" s="64" t="str">
        <f>Ringkasan!A1700</f>
        <v>TINS</v>
      </c>
      <c r="B1701" s="64" t="str">
        <f>Ringkasan!B1700</f>
        <v>Timah Tbk.</v>
      </c>
      <c r="C1701" s="65">
        <f>Ringkasan!C1700</f>
        <v>3300</v>
      </c>
      <c r="D1701" s="64" t="str">
        <f>Ringkasan!D1700</f>
        <v>#N/A</v>
      </c>
      <c r="E1701" s="64" t="str">
        <f>Ringkasan!E1700</f>
        <v>Kompas100</v>
      </c>
      <c r="F1701" s="64" t="str">
        <f>Ringkasan!F1700</f>
        <v>31 Juli 2026</v>
      </c>
      <c r="G1701" s="64">
        <f>Ringkasan!G1700</f>
        <v>5</v>
      </c>
      <c r="H1701" s="19">
        <f>Ringkasan!H1700</f>
        <v>8.9</v>
      </c>
      <c r="I1701" s="19">
        <f>Ringkasan!I1700</f>
        <v>2.4</v>
      </c>
      <c r="J1701" s="19">
        <f>Ringkasan!J1700</f>
        <v>27.1</v>
      </c>
      <c r="K1701" s="19">
        <f>Ringkasan!K1700</f>
        <v>17.7</v>
      </c>
      <c r="L1701" s="19">
        <f>Ringkasan!L1700</f>
        <v>0.53</v>
      </c>
      <c r="M1701" s="19">
        <f>Ringkasan!M1700</f>
        <v>49.4</v>
      </c>
      <c r="N1701" s="64" t="str">
        <f>Ringkasan!N1700</f>
        <v/>
      </c>
      <c r="O1701" s="64" t="str">
        <f>Ringkasan!O1700</f>
        <v/>
      </c>
      <c r="P1701" s="64" t="str">
        <f>Ringkasan!P1700</f>
        <v/>
      </c>
      <c r="Q1701" s="64" t="str">
        <f>Ringkasan!Q1700</f>
        <v/>
      </c>
      <c r="R1701" s="64" t="str">
        <f>Ringkasan!R1700</f>
        <v/>
      </c>
      <c r="S1701" s="64" t="str">
        <f>Ringkasan!S1700</f>
        <v/>
      </c>
      <c r="T1701" s="64" t="str">
        <f>Ringkasan!T1700</f>
        <v/>
      </c>
      <c r="U1701" s="64">
        <f>Ringkasan!U1700</f>
        <v>26.65</v>
      </c>
      <c r="V1701" s="64">
        <f>Ringkasan!V1700</f>
        <v>10.23</v>
      </c>
      <c r="W1701" s="64" t="str">
        <f>Ringkasan!W1700</f>
        <v/>
      </c>
      <c r="X1701" s="64">
        <f>Ringkasan!X1700</f>
        <v>29.38</v>
      </c>
      <c r="Y1701" s="64">
        <f>Ringkasan!Y1700</f>
        <v>29.38</v>
      </c>
      <c r="Z1701" s="64">
        <f>Ringkasan!Z1700</f>
        <v>0</v>
      </c>
      <c r="AA1701" s="64" t="str">
        <f>Ringkasan!AA1700</f>
        <v>Metals &amp; Minerals</v>
      </c>
      <c r="AB1701" s="64" t="str">
        <f>Ringkasan!AB1700</f>
        <v>Basic Materials</v>
      </c>
    </row>
    <row r="1702" hidden="1">
      <c r="A1702" s="64" t="str">
        <f>Ringkasan!A1701</f>
        <v>TINS</v>
      </c>
      <c r="B1702" s="64" t="str">
        <f>Ringkasan!B1701</f>
        <v>Timah Tbk.</v>
      </c>
      <c r="C1702" s="65">
        <f>Ringkasan!C1701</f>
        <v>3300</v>
      </c>
      <c r="D1702" s="64" t="str">
        <f>Ringkasan!D1701</f>
        <v>#N/A</v>
      </c>
      <c r="E1702" s="64" t="str">
        <f>Ringkasan!E1701</f>
        <v>IDXSMC-LIQ</v>
      </c>
      <c r="F1702" s="64" t="str">
        <f>Ringkasan!F1701</f>
        <v>4 Agustus 2026</v>
      </c>
      <c r="G1702" s="64">
        <f>Ringkasan!G1701</f>
        <v>5</v>
      </c>
      <c r="H1702" s="19">
        <f>Ringkasan!H1701</f>
        <v>8.9</v>
      </c>
      <c r="I1702" s="19">
        <f>Ringkasan!I1701</f>
        <v>2.4</v>
      </c>
      <c r="J1702" s="19">
        <f>Ringkasan!J1701</f>
        <v>27.1</v>
      </c>
      <c r="K1702" s="19">
        <f>Ringkasan!K1701</f>
        <v>17.7</v>
      </c>
      <c r="L1702" s="19">
        <f>Ringkasan!L1701</f>
        <v>0.53</v>
      </c>
      <c r="M1702" s="19">
        <f>Ringkasan!M1701</f>
        <v>49.4</v>
      </c>
      <c r="N1702" s="64" t="str">
        <f>Ringkasan!N1701</f>
        <v/>
      </c>
      <c r="O1702" s="64" t="str">
        <f>Ringkasan!O1701</f>
        <v/>
      </c>
      <c r="P1702" s="64" t="str">
        <f>Ringkasan!P1701</f>
        <v/>
      </c>
      <c r="Q1702" s="64" t="str">
        <f>Ringkasan!Q1701</f>
        <v/>
      </c>
      <c r="R1702" s="64" t="str">
        <f>Ringkasan!R1701</f>
        <v/>
      </c>
      <c r="S1702" s="64" t="str">
        <f>Ringkasan!S1701</f>
        <v/>
      </c>
      <c r="T1702" s="64" t="str">
        <f>Ringkasan!T1701</f>
        <v/>
      </c>
      <c r="U1702" s="64">
        <f>Ringkasan!U1701</f>
        <v>26.65</v>
      </c>
      <c r="V1702" s="64">
        <f>Ringkasan!V1701</f>
        <v>10.23</v>
      </c>
      <c r="W1702" s="64" t="str">
        <f>Ringkasan!W1701</f>
        <v/>
      </c>
      <c r="X1702" s="64">
        <f>Ringkasan!X1701</f>
        <v>29.38</v>
      </c>
      <c r="Y1702" s="64">
        <f>Ringkasan!Y1701</f>
        <v>29.38</v>
      </c>
      <c r="Z1702" s="64">
        <f>Ringkasan!Z1701</f>
        <v>0</v>
      </c>
      <c r="AA1702" s="64" t="str">
        <f>Ringkasan!AA1701</f>
        <v>Metals &amp; Minerals</v>
      </c>
      <c r="AB1702" s="64" t="str">
        <f>Ringkasan!AB1701</f>
        <v>Basic Materials</v>
      </c>
    </row>
    <row r="1703" hidden="1">
      <c r="A1703" s="64" t="str">
        <f>Ringkasan!A1702</f>
        <v>TIRA</v>
      </c>
      <c r="B1703" s="64" t="str">
        <f>Ringkasan!B1702</f>
        <v>Tira Austenite Tbk</v>
      </c>
      <c r="C1703" s="65">
        <f>Ringkasan!C1702</f>
        <v>665</v>
      </c>
      <c r="D1703" s="64" t="str">
        <f>Ringkasan!D1702</f>
        <v>#N/A</v>
      </c>
      <c r="E1703" s="64" t="str">
        <f>Ringkasan!E1702</f>
        <v/>
      </c>
      <c r="F1703" s="64" t="str">
        <f>Ringkasan!F1702</f>
        <v/>
      </c>
      <c r="G1703" s="64">
        <f>Ringkasan!G1702</f>
        <v>0</v>
      </c>
      <c r="H1703" s="19">
        <f>Ringkasan!H1702</f>
        <v>42.7</v>
      </c>
      <c r="I1703" s="19">
        <f>Ringkasan!I1702</f>
        <v>2</v>
      </c>
      <c r="J1703" s="19">
        <f>Ringkasan!J1702</f>
        <v>4.8</v>
      </c>
      <c r="K1703" s="19">
        <f>Ringkasan!K1702</f>
        <v>2</v>
      </c>
      <c r="L1703" s="19">
        <f>Ringkasan!L1702</f>
        <v>1.4</v>
      </c>
      <c r="M1703" s="19">
        <f>Ringkasan!M1702</f>
        <v>12.3</v>
      </c>
      <c r="N1703" s="64" t="str">
        <f>Ringkasan!N1702</f>
        <v/>
      </c>
      <c r="O1703" s="64" t="str">
        <f>Ringkasan!O1702</f>
        <v/>
      </c>
      <c r="P1703" s="64" t="str">
        <f>Ringkasan!P1702</f>
        <v/>
      </c>
      <c r="Q1703" s="64" t="str">
        <f>Ringkasan!Q1702</f>
        <v/>
      </c>
      <c r="R1703" s="64" t="str">
        <f>Ringkasan!R1702</f>
        <v/>
      </c>
      <c r="S1703" s="64" t="str">
        <f>Ringkasan!S1702</f>
        <v/>
      </c>
      <c r="T1703" s="64" t="str">
        <f>Ringkasan!T1702</f>
        <v/>
      </c>
      <c r="U1703" s="64">
        <f>Ringkasan!U1702</f>
        <v>640</v>
      </c>
      <c r="V1703" s="64">
        <f>Ringkasan!V1702</f>
        <v>3.91</v>
      </c>
      <c r="W1703" s="64">
        <f>Ringkasan!W1702</f>
        <v>645</v>
      </c>
      <c r="X1703" s="64">
        <f>Ringkasan!X1702</f>
        <v>680</v>
      </c>
      <c r="Y1703" s="64">
        <f>Ringkasan!Y1702</f>
        <v>620</v>
      </c>
      <c r="Z1703" s="64">
        <f>Ringkasan!Z1702</f>
        <v>819400</v>
      </c>
      <c r="AA1703" s="64" t="str">
        <f>Ringkasan!AA1702</f>
        <v>Diversified Industrial Trading</v>
      </c>
      <c r="AB1703" s="64" t="str">
        <f>Ringkasan!AB1702</f>
        <v>Industrials</v>
      </c>
    </row>
    <row r="1704" hidden="1">
      <c r="A1704" s="64" t="str">
        <f>Ringkasan!A1703</f>
        <v>TIRT</v>
      </c>
      <c r="B1704" s="64" t="str">
        <f>Ringkasan!B1703</f>
        <v>Tirta Mahakam Resources Tbk</v>
      </c>
      <c r="C1704" s="65">
        <f>Ringkasan!C1703</f>
        <v>525</v>
      </c>
      <c r="D1704" s="64" t="str">
        <f>Ringkasan!D1703</f>
        <v>#N/A</v>
      </c>
      <c r="E1704" s="64" t="str">
        <f>Ringkasan!E1703</f>
        <v/>
      </c>
      <c r="F1704" s="64" t="str">
        <f>Ringkasan!F1703</f>
        <v/>
      </c>
      <c r="G1704" s="64">
        <f>Ringkasan!G1703</f>
        <v>0</v>
      </c>
      <c r="H1704" s="19">
        <f>Ringkasan!H1703</f>
        <v>-16.9</v>
      </c>
      <c r="I1704" s="19">
        <f>Ringkasan!I1703</f>
        <v>-0.77</v>
      </c>
      <c r="J1704" s="19">
        <f>Ringkasan!J1703</f>
        <v>0</v>
      </c>
      <c r="K1704" s="19">
        <f>Ringkasan!K1703</f>
        <v>-7.3</v>
      </c>
      <c r="L1704" s="19">
        <f>Ringkasan!L1703</f>
        <v>-1.6</v>
      </c>
      <c r="M1704" s="19">
        <f>Ringkasan!M1703</f>
        <v>-100</v>
      </c>
      <c r="N1704" s="64" t="str">
        <f>Ringkasan!N1703</f>
        <v/>
      </c>
      <c r="O1704" s="64" t="str">
        <f>Ringkasan!O1703</f>
        <v/>
      </c>
      <c r="P1704" s="64" t="str">
        <f>Ringkasan!P1703</f>
        <v/>
      </c>
      <c r="Q1704" s="64" t="str">
        <f>Ringkasan!Q1703</f>
        <v/>
      </c>
      <c r="R1704" s="64" t="str">
        <f>Ringkasan!R1703</f>
        <v/>
      </c>
      <c r="S1704" s="64" t="str">
        <f>Ringkasan!S1703</f>
        <v/>
      </c>
      <c r="T1704" s="64" t="str">
        <f>Ringkasan!T1703</f>
        <v/>
      </c>
      <c r="U1704" s="64">
        <f>Ringkasan!U1703</f>
        <v>478</v>
      </c>
      <c r="V1704" s="64">
        <f>Ringkasan!V1703</f>
        <v>9.83</v>
      </c>
      <c r="W1704" s="64">
        <f>Ringkasan!W1703</f>
        <v>484</v>
      </c>
      <c r="X1704" s="64">
        <f>Ringkasan!X1703</f>
        <v>525</v>
      </c>
      <c r="Y1704" s="64">
        <f>Ringkasan!Y1703</f>
        <v>484</v>
      </c>
      <c r="Z1704" s="64">
        <f>Ringkasan!Z1703</f>
        <v>784400</v>
      </c>
      <c r="AA1704" s="64" t="str">
        <f>Ringkasan!AA1703</f>
        <v>Forestry &amp; Paper</v>
      </c>
      <c r="AB1704" s="64" t="str">
        <f>Ringkasan!AB1703</f>
        <v>Basic Materials</v>
      </c>
    </row>
    <row r="1705" hidden="1">
      <c r="A1705" s="64" t="str">
        <f>Ringkasan!A1704</f>
        <v>TKIM</v>
      </c>
      <c r="B1705" s="64" t="str">
        <f>Ringkasan!B1704</f>
        <v>Pabrik Kertas Tjiwi Kimia Tbk.</v>
      </c>
      <c r="C1705" s="65">
        <f>Ringkasan!C1704</f>
        <v>5650</v>
      </c>
      <c r="D1705" s="64" t="str">
        <f>Ringkasan!D1704</f>
        <v>#N/A</v>
      </c>
      <c r="E1705" s="64" t="str">
        <f>Ringkasan!E1704</f>
        <v>ESGQKEHATI</v>
      </c>
      <c r="F1705" s="66">
        <f>Ringkasan!F1704</f>
        <v>46356</v>
      </c>
      <c r="G1705" s="65">
        <f>Ringkasan!G1704</f>
        <v>4</v>
      </c>
      <c r="H1705" s="19">
        <f>Ringkasan!H1704</f>
        <v>4</v>
      </c>
      <c r="I1705" s="19">
        <f>Ringkasan!I1704</f>
        <v>0.34</v>
      </c>
      <c r="J1705" s="19">
        <f>Ringkasan!J1704</f>
        <v>8.5</v>
      </c>
      <c r="K1705" s="19">
        <f>Ringkasan!K1704</f>
        <v>6.4</v>
      </c>
      <c r="L1705" s="19">
        <f>Ringkasan!L1704</f>
        <v>0.33</v>
      </c>
      <c r="M1705" s="19">
        <f>Ringkasan!M1704</f>
        <v>98.6</v>
      </c>
      <c r="N1705" s="64" t="str">
        <f>Ringkasan!N1704</f>
        <v/>
      </c>
      <c r="O1705" s="64" t="str">
        <f>Ringkasan!O1704</f>
        <v/>
      </c>
      <c r="P1705" s="64" t="str">
        <f>Ringkasan!P1704</f>
        <v/>
      </c>
      <c r="Q1705" s="64" t="str">
        <f>Ringkasan!Q1704</f>
        <v/>
      </c>
      <c r="R1705" s="64" t="str">
        <f>Ringkasan!R1704</f>
        <v/>
      </c>
      <c r="S1705" s="64" t="str">
        <f>Ringkasan!S1704</f>
        <v/>
      </c>
      <c r="T1705" s="64" t="str">
        <f>Ringkasan!T1704</f>
        <v/>
      </c>
      <c r="U1705" s="64">
        <f>Ringkasan!U1704</f>
        <v>5600</v>
      </c>
      <c r="V1705" s="64">
        <f>Ringkasan!V1704</f>
        <v>0.89</v>
      </c>
      <c r="W1705" s="64">
        <f>Ringkasan!W1704</f>
        <v>5650</v>
      </c>
      <c r="X1705" s="64">
        <f>Ringkasan!X1704</f>
        <v>5775</v>
      </c>
      <c r="Y1705" s="64">
        <f>Ringkasan!Y1704</f>
        <v>5600</v>
      </c>
      <c r="Z1705" s="64">
        <f>Ringkasan!Z1704</f>
        <v>2269800</v>
      </c>
      <c r="AA1705" s="64" t="str">
        <f>Ringkasan!AA1704</f>
        <v>Forestry &amp; Paper</v>
      </c>
      <c r="AB1705" s="64" t="str">
        <f>Ringkasan!AB1704</f>
        <v>Basic Materials</v>
      </c>
    </row>
    <row r="1706" hidden="1">
      <c r="A1706" s="64" t="str">
        <f>Ringkasan!A1705</f>
        <v>TKIM</v>
      </c>
      <c r="B1706" s="64" t="str">
        <f>Ringkasan!B1705</f>
        <v>Pabrik Kertas Tjiwi Kimia Tbk.</v>
      </c>
      <c r="C1706" s="65">
        <f>Ringkasan!C1705</f>
        <v>5650</v>
      </c>
      <c r="D1706" s="64" t="str">
        <f>Ringkasan!D1705</f>
        <v>#N/A</v>
      </c>
      <c r="E1706" s="64" t="str">
        <f>Ringkasan!E1705</f>
        <v>IDXSHAGROW</v>
      </c>
      <c r="F1706" s="66">
        <f>Ringkasan!F1705</f>
        <v>46356</v>
      </c>
      <c r="G1706" s="65">
        <f>Ringkasan!G1705</f>
        <v>4</v>
      </c>
      <c r="H1706" s="19">
        <f>Ringkasan!H1705</f>
        <v>4</v>
      </c>
      <c r="I1706" s="19">
        <f>Ringkasan!I1705</f>
        <v>0.34</v>
      </c>
      <c r="J1706" s="19">
        <f>Ringkasan!J1705</f>
        <v>8.5</v>
      </c>
      <c r="K1706" s="19">
        <f>Ringkasan!K1705</f>
        <v>6.4</v>
      </c>
      <c r="L1706" s="19">
        <f>Ringkasan!L1705</f>
        <v>0.33</v>
      </c>
      <c r="M1706" s="19">
        <f>Ringkasan!M1705</f>
        <v>98.6</v>
      </c>
      <c r="N1706" s="64" t="str">
        <f>Ringkasan!N1705</f>
        <v/>
      </c>
      <c r="O1706" s="64" t="str">
        <f>Ringkasan!O1705</f>
        <v/>
      </c>
      <c r="P1706" s="64" t="str">
        <f>Ringkasan!P1705</f>
        <v/>
      </c>
      <c r="Q1706" s="64" t="str">
        <f>Ringkasan!Q1705</f>
        <v/>
      </c>
      <c r="R1706" s="64" t="str">
        <f>Ringkasan!R1705</f>
        <v/>
      </c>
      <c r="S1706" s="64" t="str">
        <f>Ringkasan!S1705</f>
        <v/>
      </c>
      <c r="T1706" s="64" t="str">
        <f>Ringkasan!T1705</f>
        <v/>
      </c>
      <c r="U1706" s="64">
        <f>Ringkasan!U1705</f>
        <v>5600</v>
      </c>
      <c r="V1706" s="64">
        <f>Ringkasan!V1705</f>
        <v>0.89</v>
      </c>
      <c r="W1706" s="64">
        <f>Ringkasan!W1705</f>
        <v>5650</v>
      </c>
      <c r="X1706" s="64">
        <f>Ringkasan!X1705</f>
        <v>5775</v>
      </c>
      <c r="Y1706" s="64">
        <f>Ringkasan!Y1705</f>
        <v>5600</v>
      </c>
      <c r="Z1706" s="64">
        <f>Ringkasan!Z1705</f>
        <v>2269800</v>
      </c>
      <c r="AA1706" s="64" t="str">
        <f>Ringkasan!AA1705</f>
        <v>Forestry &amp; Paper</v>
      </c>
      <c r="AB1706" s="64" t="str">
        <f>Ringkasan!AB1705</f>
        <v>Basic Materials</v>
      </c>
    </row>
    <row r="1707" hidden="1">
      <c r="A1707" s="64" t="str">
        <f>Ringkasan!A1706</f>
        <v>TKIM</v>
      </c>
      <c r="B1707" s="64" t="str">
        <f>Ringkasan!B1706</f>
        <v>Pabrik Kertas Tjiwi Kimia Tbk.</v>
      </c>
      <c r="C1707" s="65">
        <f>Ringkasan!C1706</f>
        <v>5650</v>
      </c>
      <c r="D1707" s="64" t="str">
        <f>Ringkasan!D1706</f>
        <v>#N/A</v>
      </c>
      <c r="E1707" s="64" t="str">
        <f>Ringkasan!E1706</f>
        <v>ESGSKEHATI</v>
      </c>
      <c r="F1707" s="66">
        <f>Ringkasan!F1706</f>
        <v>46356</v>
      </c>
      <c r="G1707" s="65">
        <f>Ringkasan!G1706</f>
        <v>4</v>
      </c>
      <c r="H1707" s="19">
        <f>Ringkasan!H1706</f>
        <v>4</v>
      </c>
      <c r="I1707" s="19">
        <f>Ringkasan!I1706</f>
        <v>0.34</v>
      </c>
      <c r="J1707" s="19">
        <f>Ringkasan!J1706</f>
        <v>8.5</v>
      </c>
      <c r="K1707" s="19">
        <f>Ringkasan!K1706</f>
        <v>6.4</v>
      </c>
      <c r="L1707" s="19">
        <f>Ringkasan!L1706</f>
        <v>0.33</v>
      </c>
      <c r="M1707" s="19">
        <f>Ringkasan!M1706</f>
        <v>98.6</v>
      </c>
      <c r="N1707" s="64" t="str">
        <f>Ringkasan!N1706</f>
        <v/>
      </c>
      <c r="O1707" s="64" t="str">
        <f>Ringkasan!O1706</f>
        <v/>
      </c>
      <c r="P1707" s="64" t="str">
        <f>Ringkasan!P1706</f>
        <v/>
      </c>
      <c r="Q1707" s="64" t="str">
        <f>Ringkasan!Q1706</f>
        <v/>
      </c>
      <c r="R1707" s="64" t="str">
        <f>Ringkasan!R1706</f>
        <v/>
      </c>
      <c r="S1707" s="64" t="str">
        <f>Ringkasan!S1706</f>
        <v/>
      </c>
      <c r="T1707" s="64" t="str">
        <f>Ringkasan!T1706</f>
        <v/>
      </c>
      <c r="U1707" s="64">
        <f>Ringkasan!U1706</f>
        <v>5600</v>
      </c>
      <c r="V1707" s="64">
        <f>Ringkasan!V1706</f>
        <v>0.89</v>
      </c>
      <c r="W1707" s="64">
        <f>Ringkasan!W1706</f>
        <v>5650</v>
      </c>
      <c r="X1707" s="64">
        <f>Ringkasan!X1706</f>
        <v>5775</v>
      </c>
      <c r="Y1707" s="64">
        <f>Ringkasan!Y1706</f>
        <v>5600</v>
      </c>
      <c r="Z1707" s="64">
        <f>Ringkasan!Z1706</f>
        <v>2269800</v>
      </c>
      <c r="AA1707" s="64" t="str">
        <f>Ringkasan!AA1706</f>
        <v>Forestry &amp; Paper</v>
      </c>
      <c r="AB1707" s="64" t="str">
        <f>Ringkasan!AB1706</f>
        <v>Basic Materials</v>
      </c>
    </row>
    <row r="1708" hidden="1">
      <c r="A1708" s="64" t="str">
        <f>Ringkasan!A1707</f>
        <v>TKIM</v>
      </c>
      <c r="B1708" s="64" t="str">
        <f>Ringkasan!B1707</f>
        <v>Pabrik Kertas Tjiwi Kimia Tbk.</v>
      </c>
      <c r="C1708" s="65">
        <f>Ringkasan!C1707</f>
        <v>5650</v>
      </c>
      <c r="D1708" s="64" t="str">
        <f>Ringkasan!D1707</f>
        <v>#N/A</v>
      </c>
      <c r="E1708" s="64" t="str">
        <f>Ringkasan!E1707</f>
        <v>JII70</v>
      </c>
      <c r="F1708" s="66">
        <f>Ringkasan!F1707</f>
        <v>46356</v>
      </c>
      <c r="G1708" s="65">
        <f>Ringkasan!G1707</f>
        <v>4</v>
      </c>
      <c r="H1708" s="19">
        <f>Ringkasan!H1707</f>
        <v>4</v>
      </c>
      <c r="I1708" s="19">
        <f>Ringkasan!I1707</f>
        <v>0.34</v>
      </c>
      <c r="J1708" s="19">
        <f>Ringkasan!J1707</f>
        <v>8.5</v>
      </c>
      <c r="K1708" s="19">
        <f>Ringkasan!K1707</f>
        <v>6.4</v>
      </c>
      <c r="L1708" s="19">
        <f>Ringkasan!L1707</f>
        <v>0.33</v>
      </c>
      <c r="M1708" s="19">
        <f>Ringkasan!M1707</f>
        <v>98.6</v>
      </c>
      <c r="N1708" s="64" t="str">
        <f>Ringkasan!N1707</f>
        <v/>
      </c>
      <c r="O1708" s="64" t="str">
        <f>Ringkasan!O1707</f>
        <v/>
      </c>
      <c r="P1708" s="64" t="str">
        <f>Ringkasan!P1707</f>
        <v/>
      </c>
      <c r="Q1708" s="64" t="str">
        <f>Ringkasan!Q1707</f>
        <v/>
      </c>
      <c r="R1708" s="64" t="str">
        <f>Ringkasan!R1707</f>
        <v/>
      </c>
      <c r="S1708" s="64" t="str">
        <f>Ringkasan!S1707</f>
        <v/>
      </c>
      <c r="T1708" s="64" t="str">
        <f>Ringkasan!T1707</f>
        <v/>
      </c>
      <c r="U1708" s="64">
        <f>Ringkasan!U1707</f>
        <v>5600</v>
      </c>
      <c r="V1708" s="64">
        <f>Ringkasan!V1707</f>
        <v>0.89</v>
      </c>
      <c r="W1708" s="64">
        <f>Ringkasan!W1707</f>
        <v>5650</v>
      </c>
      <c r="X1708" s="64">
        <f>Ringkasan!X1707</f>
        <v>5775</v>
      </c>
      <c r="Y1708" s="64">
        <f>Ringkasan!Y1707</f>
        <v>5600</v>
      </c>
      <c r="Z1708" s="64">
        <f>Ringkasan!Z1707</f>
        <v>2269800</v>
      </c>
      <c r="AA1708" s="64" t="str">
        <f>Ringkasan!AA1707</f>
        <v>Forestry &amp; Paper</v>
      </c>
      <c r="AB1708" s="64" t="str">
        <f>Ringkasan!AB1707</f>
        <v>Basic Materials</v>
      </c>
    </row>
    <row r="1709" hidden="1">
      <c r="A1709" s="64" t="str">
        <f>Ringkasan!A1708</f>
        <v>TLDN</v>
      </c>
      <c r="B1709" s="64" t="str">
        <f>Ringkasan!B1708</f>
        <v>Teladan Prima Agro Tbk.</v>
      </c>
      <c r="C1709" s="65">
        <f>Ringkasan!C1708</f>
        <v>496</v>
      </c>
      <c r="D1709" s="64" t="str">
        <f>Ringkasan!D1708</f>
        <v>#N/A</v>
      </c>
      <c r="E1709" s="64" t="str">
        <f>Ringkasan!E1708</f>
        <v/>
      </c>
      <c r="F1709" s="64" t="str">
        <f>Ringkasan!F1708</f>
        <v/>
      </c>
      <c r="G1709" s="65">
        <f>Ringkasan!G1708</f>
        <v>0</v>
      </c>
      <c r="H1709" s="19">
        <f>Ringkasan!H1708</f>
        <v>6.5</v>
      </c>
      <c r="I1709" s="19">
        <f>Ringkasan!I1708</f>
        <v>1.8</v>
      </c>
      <c r="J1709" s="19">
        <f>Ringkasan!J1708</f>
        <v>28</v>
      </c>
      <c r="K1709" s="19">
        <f>Ringkasan!K1708</f>
        <v>17</v>
      </c>
      <c r="L1709" s="19">
        <f>Ringkasan!L1708</f>
        <v>0.64</v>
      </c>
      <c r="M1709" s="19">
        <f>Ringkasan!M1708</f>
        <v>78.2</v>
      </c>
      <c r="N1709" s="64" t="str">
        <f>Ringkasan!N1708</f>
        <v/>
      </c>
      <c r="O1709" s="64" t="str">
        <f>Ringkasan!O1708</f>
        <v/>
      </c>
      <c r="P1709" s="64" t="str">
        <f>Ringkasan!P1708</f>
        <v/>
      </c>
      <c r="Q1709" s="64" t="str">
        <f>Ringkasan!Q1708</f>
        <v/>
      </c>
      <c r="R1709" s="64" t="str">
        <f>Ringkasan!R1708</f>
        <v/>
      </c>
      <c r="S1709" s="64" t="str">
        <f>Ringkasan!S1708</f>
        <v/>
      </c>
      <c r="T1709" s="64" t="str">
        <f>Ringkasan!T1708</f>
        <v/>
      </c>
      <c r="U1709" s="64">
        <f>Ringkasan!U1708</f>
        <v>0</v>
      </c>
      <c r="V1709" s="64">
        <f>Ringkasan!V1708</f>
        <v>0</v>
      </c>
      <c r="W1709" s="64" t="str">
        <f>Ringkasan!W1708</f>
        <v/>
      </c>
      <c r="X1709" s="64" t="str">
        <f>Ringkasan!X1708</f>
        <v/>
      </c>
      <c r="Y1709" s="64" t="str">
        <f>Ringkasan!Y1708</f>
        <v/>
      </c>
      <c r="Z1709" s="64">
        <f>Ringkasan!Z1708</f>
        <v>0</v>
      </c>
      <c r="AA1709" s="64" t="str">
        <f>Ringkasan!AA1708</f>
        <v>Agricultural Products</v>
      </c>
      <c r="AB1709" s="64" t="str">
        <f>Ringkasan!AB1708</f>
        <v>Consumer Non-Cyclicals</v>
      </c>
    </row>
    <row r="1710" hidden="1">
      <c r="A1710" s="64" t="str">
        <f>Ringkasan!A1709</f>
        <v>TLKM</v>
      </c>
      <c r="B1710" s="64" t="str">
        <f>Ringkasan!B1709</f>
        <v>Telkom Indonesia (Persero) Tbk.</v>
      </c>
      <c r="C1710" s="65">
        <f>Ringkasan!C1709</f>
        <v>2860</v>
      </c>
      <c r="D1710" s="64" t="str">
        <f>Ringkasan!D1709</f>
        <v>#N/A</v>
      </c>
      <c r="E1710" s="64" t="str">
        <f>Ringkasan!E1709</f>
        <v>IDXMESBUMN</v>
      </c>
      <c r="F1710" s="66">
        <f>Ringkasan!F1709</f>
        <v>46356</v>
      </c>
      <c r="G1710" s="64">
        <f>Ringkasan!G1709</f>
        <v>19</v>
      </c>
      <c r="H1710" s="19">
        <f>Ringkasan!H1709</f>
        <v>10.1</v>
      </c>
      <c r="I1710" s="19">
        <f>Ringkasan!I1709</f>
        <v>1.9</v>
      </c>
      <c r="J1710" s="19">
        <f>Ringkasan!J1709</f>
        <v>19.1</v>
      </c>
      <c r="K1710" s="19">
        <f>Ringkasan!K1709</f>
        <v>4.7</v>
      </c>
      <c r="L1710" s="19">
        <f>Ringkasan!L1709</f>
        <v>0.86</v>
      </c>
      <c r="M1710" s="19">
        <f>Ringkasan!M1709</f>
        <v>20.3</v>
      </c>
      <c r="N1710" s="64" t="str">
        <f>Ringkasan!N1709</f>
        <v/>
      </c>
      <c r="O1710" s="64" t="str">
        <f>Ringkasan!O1709</f>
        <v/>
      </c>
      <c r="P1710" s="64" t="str">
        <f>Ringkasan!P1709</f>
        <v/>
      </c>
      <c r="Q1710" s="64" t="str">
        <f>Ringkasan!Q1709</f>
        <v/>
      </c>
      <c r="R1710" s="64" t="str">
        <f>Ringkasan!R1709</f>
        <v/>
      </c>
      <c r="S1710" s="64" t="str">
        <f>Ringkasan!S1709</f>
        <v/>
      </c>
      <c r="T1710" s="64" t="str">
        <f>Ringkasan!T1709</f>
        <v/>
      </c>
      <c r="U1710" s="64">
        <f>Ringkasan!U1709</f>
        <v>2870</v>
      </c>
      <c r="V1710" s="64">
        <f>Ringkasan!V1709</f>
        <v>-0.35</v>
      </c>
      <c r="W1710" s="64">
        <f>Ringkasan!W1709</f>
        <v>2910</v>
      </c>
      <c r="X1710" s="64">
        <f>Ringkasan!X1709</f>
        <v>2980</v>
      </c>
      <c r="Y1710" s="64">
        <f>Ringkasan!Y1709</f>
        <v>2860</v>
      </c>
      <c r="Z1710" s="64">
        <f>Ringkasan!Z1709</f>
        <v>181531900</v>
      </c>
      <c r="AA1710" s="64" t="str">
        <f>Ringkasan!AA1709</f>
        <v>Telecommunication Service</v>
      </c>
      <c r="AB1710" s="64" t="str">
        <f>Ringkasan!AB1709</f>
        <v>Infrastructures</v>
      </c>
    </row>
    <row r="1711" hidden="1">
      <c r="A1711" s="64" t="str">
        <f>Ringkasan!A1632</f>
        <v>SPRE</v>
      </c>
      <c r="B1711" s="64" t="str">
        <f>Ringkasan!B1632</f>
        <v>Soraya Berjaya Indonesia Tbk.</v>
      </c>
      <c r="C1711" s="65">
        <f>Ringkasan!C1632</f>
        <v>73</v>
      </c>
      <c r="D1711" s="64" t="str">
        <f>Ringkasan!D1632</f>
        <v>#N/A</v>
      </c>
      <c r="E1711" s="64" t="str">
        <f>Ringkasan!E1632</f>
        <v/>
      </c>
      <c r="F1711" s="64" t="str">
        <f>Ringkasan!F1632</f>
        <v/>
      </c>
      <c r="G1711" s="64">
        <f>Ringkasan!G1632</f>
        <v>0</v>
      </c>
      <c r="H1711" s="19">
        <f>Ringkasan!H1632</f>
        <v>39.7</v>
      </c>
      <c r="I1711" s="19">
        <f>Ringkasan!I1632</f>
        <v>1.2</v>
      </c>
      <c r="J1711" s="19">
        <f>Ringkasan!J1632</f>
        <v>3</v>
      </c>
      <c r="K1711" s="19">
        <f>Ringkasan!K1632</f>
        <v>2.7</v>
      </c>
      <c r="L1711" s="19">
        <f>Ringkasan!L1632</f>
        <v>0.12</v>
      </c>
      <c r="M1711" s="19">
        <f>Ringkasan!M1632</f>
        <v>13.8</v>
      </c>
      <c r="N1711" s="64" t="str">
        <f>Ringkasan!N1632</f>
        <v/>
      </c>
      <c r="O1711" s="64" t="str">
        <f>Ringkasan!O1632</f>
        <v/>
      </c>
      <c r="P1711" s="64" t="str">
        <f>Ringkasan!P1632</f>
        <v/>
      </c>
      <c r="Q1711" s="64" t="str">
        <f>Ringkasan!Q1632</f>
        <v/>
      </c>
      <c r="R1711" s="64" t="str">
        <f>Ringkasan!R1632</f>
        <v/>
      </c>
      <c r="S1711" s="64" t="str">
        <f>Ringkasan!S1632</f>
        <v/>
      </c>
      <c r="T1711" s="64" t="str">
        <f>Ringkasan!T1632</f>
        <v/>
      </c>
      <c r="U1711" s="64">
        <f>Ringkasan!U1632</f>
        <v>21.24</v>
      </c>
      <c r="V1711" s="64">
        <f>Ringkasan!V1632</f>
        <v>1.22</v>
      </c>
      <c r="W1711" s="64">
        <f>Ringkasan!W1632</f>
        <v>21.33</v>
      </c>
      <c r="X1711" s="64">
        <f>Ringkasan!X1632</f>
        <v>21.57</v>
      </c>
      <c r="Y1711" s="64">
        <f>Ringkasan!Y1632</f>
        <v>21.33</v>
      </c>
      <c r="Z1711" s="64">
        <f>Ringkasan!Z1632</f>
        <v>6386</v>
      </c>
      <c r="AA1711" s="64" t="str">
        <f>Ringkasan!AA1632</f>
        <v>Apparel &amp; Luxury Goods</v>
      </c>
      <c r="AB1711" s="64" t="str">
        <f>Ringkasan!AB1632</f>
        <v>Consumer Cyclicals</v>
      </c>
    </row>
    <row r="1712" hidden="1">
      <c r="A1712" s="64" t="str">
        <f>Ringkasan!A1633</f>
        <v>SPTO</v>
      </c>
      <c r="B1712" s="64" t="str">
        <f>Ringkasan!B1633</f>
        <v>Surya Pertiwi Tbk.</v>
      </c>
      <c r="C1712" s="65">
        <f>Ringkasan!C1633</f>
        <v>540</v>
      </c>
      <c r="D1712" s="64" t="str">
        <f>Ringkasan!D1633</f>
        <v>#N/A</v>
      </c>
      <c r="E1712" s="64" t="str">
        <f>Ringkasan!E1633</f>
        <v/>
      </c>
      <c r="F1712" s="64" t="str">
        <f>Ringkasan!F1633</f>
        <v/>
      </c>
      <c r="G1712" s="64">
        <f>Ringkasan!G1633</f>
        <v>0</v>
      </c>
      <c r="H1712" s="19">
        <f>Ringkasan!H1633</f>
        <v>6.3</v>
      </c>
      <c r="I1712" s="19">
        <f>Ringkasan!I1633</f>
        <v>0.62</v>
      </c>
      <c r="J1712" s="19">
        <f>Ringkasan!J1633</f>
        <v>9.7</v>
      </c>
      <c r="K1712" s="19">
        <f>Ringkasan!K1633</f>
        <v>7.3</v>
      </c>
      <c r="L1712" s="19">
        <f>Ringkasan!L1633</f>
        <v>0.33</v>
      </c>
      <c r="M1712" s="19">
        <f>Ringkasan!M1633</f>
        <v>38.6</v>
      </c>
      <c r="N1712" s="64" t="str">
        <f>Ringkasan!N1633</f>
        <v/>
      </c>
      <c r="O1712" s="64" t="str">
        <f>Ringkasan!O1633</f>
        <v/>
      </c>
      <c r="P1712" s="64" t="str">
        <f>Ringkasan!P1633</f>
        <v/>
      </c>
      <c r="Q1712" s="64" t="str">
        <f>Ringkasan!Q1633</f>
        <v/>
      </c>
      <c r="R1712" s="64" t="str">
        <f>Ringkasan!R1633</f>
        <v/>
      </c>
      <c r="S1712" s="64" t="str">
        <f>Ringkasan!S1633</f>
        <v/>
      </c>
      <c r="T1712" s="64" t="str">
        <f>Ringkasan!T1633</f>
        <v/>
      </c>
      <c r="U1712" s="64">
        <f>Ringkasan!U1633</f>
        <v>535</v>
      </c>
      <c r="V1712" s="64">
        <f>Ringkasan!V1633</f>
        <v>0.93</v>
      </c>
      <c r="W1712" s="64">
        <f>Ringkasan!W1633</f>
        <v>535</v>
      </c>
      <c r="X1712" s="64">
        <f>Ringkasan!X1633</f>
        <v>540</v>
      </c>
      <c r="Y1712" s="64">
        <f>Ringkasan!Y1633</f>
        <v>525</v>
      </c>
      <c r="Z1712" s="64">
        <f>Ringkasan!Z1633</f>
        <v>1037900</v>
      </c>
      <c r="AA1712" s="64" t="str">
        <f>Ringkasan!AA1633</f>
        <v>Building Products &amp; Fixtures</v>
      </c>
      <c r="AB1712" s="64" t="str">
        <f>Ringkasan!AB1633</f>
        <v>Industrials</v>
      </c>
    </row>
    <row r="1713" hidden="1">
      <c r="A1713" s="64" t="str">
        <f>Ringkasan!A1634</f>
        <v>SQMI</v>
      </c>
      <c r="B1713" s="64" t="str">
        <f>Ringkasan!B1634</f>
        <v>Wilton Makmur Indonesia Tbk.</v>
      </c>
      <c r="C1713" s="65">
        <f>Ringkasan!C1634</f>
        <v>44</v>
      </c>
      <c r="D1713" s="64" t="str">
        <f>Ringkasan!D1634</f>
        <v>#N/A</v>
      </c>
      <c r="E1713" s="64" t="str">
        <f>Ringkasan!E1634</f>
        <v/>
      </c>
      <c r="F1713" s="64" t="str">
        <f>Ringkasan!F1634</f>
        <v/>
      </c>
      <c r="G1713" s="64">
        <f>Ringkasan!G1634</f>
        <v>0</v>
      </c>
      <c r="H1713" s="19">
        <f>Ringkasan!H1634</f>
        <v>-8.1</v>
      </c>
      <c r="I1713" s="19">
        <f>Ringkasan!I1634</f>
        <v>-24.1</v>
      </c>
      <c r="J1713" s="19">
        <f>Ringkasan!J1634</f>
        <v>0</v>
      </c>
      <c r="K1713" s="19">
        <f>Ringkasan!K1634</f>
        <v>-16.5</v>
      </c>
      <c r="L1713" s="19">
        <f>Ringkasan!L1634</f>
        <v>-19</v>
      </c>
      <c r="M1713" s="19">
        <f>Ringkasan!M1634</f>
        <v>-5970</v>
      </c>
      <c r="N1713" s="64" t="str">
        <f>Ringkasan!N1634</f>
        <v/>
      </c>
      <c r="O1713" s="64" t="str">
        <f>Ringkasan!O1634</f>
        <v/>
      </c>
      <c r="P1713" s="64" t="str">
        <f>Ringkasan!P1634</f>
        <v/>
      </c>
      <c r="Q1713" s="64" t="str">
        <f>Ringkasan!Q1634</f>
        <v/>
      </c>
      <c r="R1713" s="64" t="str">
        <f>Ringkasan!R1634</f>
        <v/>
      </c>
      <c r="S1713" s="64" t="str">
        <f>Ringkasan!S1634</f>
        <v/>
      </c>
      <c r="T1713" s="64" t="str">
        <f>Ringkasan!T1634</f>
        <v/>
      </c>
      <c r="U1713" s="64">
        <f>Ringkasan!U1634</f>
        <v>43</v>
      </c>
      <c r="V1713" s="64">
        <f>Ringkasan!V1634</f>
        <v>2.33</v>
      </c>
      <c r="W1713" s="64">
        <f>Ringkasan!W1634</f>
        <v>44</v>
      </c>
      <c r="X1713" s="64">
        <f>Ringkasan!X1634</f>
        <v>44</v>
      </c>
      <c r="Y1713" s="64">
        <f>Ringkasan!Y1634</f>
        <v>44</v>
      </c>
      <c r="Z1713" s="64">
        <f>Ringkasan!Z1634</f>
        <v>4322400</v>
      </c>
      <c r="AA1713" s="64" t="str">
        <f>Ringkasan!AA1634</f>
        <v>Metals &amp; Minerals</v>
      </c>
      <c r="AB1713" s="64" t="str">
        <f>Ringkasan!AB1634</f>
        <v>Basic Materials</v>
      </c>
    </row>
    <row r="1714" hidden="1">
      <c r="A1714" s="64" t="str">
        <f>Ringkasan!A1635</f>
        <v>SRAJ</v>
      </c>
      <c r="B1714" s="64" t="str">
        <f>Ringkasan!B1635</f>
        <v>Sejahteraraya Anugrahjaya Tbk</v>
      </c>
      <c r="C1714" s="65">
        <f>Ringkasan!C1635</f>
        <v>11000</v>
      </c>
      <c r="D1714" s="64" t="str">
        <f>Ringkasan!D1635</f>
        <v>#N/A</v>
      </c>
      <c r="E1714" s="64" t="str">
        <f>Ringkasan!E1635</f>
        <v/>
      </c>
      <c r="F1714" s="64" t="str">
        <f>Ringkasan!F1635</f>
        <v/>
      </c>
      <c r="G1714" s="64">
        <f>Ringkasan!G1635</f>
        <v>0</v>
      </c>
      <c r="H1714" s="19">
        <f>Ringkasan!H1635</f>
        <v>-650</v>
      </c>
      <c r="I1714" s="19">
        <f>Ringkasan!I1635</f>
        <v>140</v>
      </c>
      <c r="J1714" s="19">
        <f>Ringkasan!J1635</f>
        <v>-21</v>
      </c>
      <c r="K1714" s="19">
        <f>Ringkasan!K1635</f>
        <v>-3.5</v>
      </c>
      <c r="L1714" s="19">
        <f>Ringkasan!L1635</f>
        <v>5.1</v>
      </c>
      <c r="M1714" s="19">
        <f>Ringkasan!M1635</f>
        <v>-40.5</v>
      </c>
      <c r="N1714" s="64" t="str">
        <f>Ringkasan!N1635</f>
        <v/>
      </c>
      <c r="O1714" s="64" t="str">
        <f>Ringkasan!O1635</f>
        <v/>
      </c>
      <c r="P1714" s="64" t="str">
        <f>Ringkasan!P1635</f>
        <v/>
      </c>
      <c r="Q1714" s="64" t="str">
        <f>Ringkasan!Q1635</f>
        <v/>
      </c>
      <c r="R1714" s="64" t="str">
        <f>Ringkasan!R1635</f>
        <v/>
      </c>
      <c r="S1714" s="64" t="str">
        <f>Ringkasan!S1635</f>
        <v/>
      </c>
      <c r="T1714" s="64" t="str">
        <f>Ringkasan!T1635</f>
        <v/>
      </c>
      <c r="U1714" s="64">
        <f>Ringkasan!U1635</f>
        <v>11675</v>
      </c>
      <c r="V1714" s="64">
        <f>Ringkasan!V1635</f>
        <v>-5.78</v>
      </c>
      <c r="W1714" s="64">
        <f>Ringkasan!W1635</f>
        <v>11675</v>
      </c>
      <c r="X1714" s="64">
        <f>Ringkasan!X1635</f>
        <v>11675</v>
      </c>
      <c r="Y1714" s="64">
        <f>Ringkasan!Y1635</f>
        <v>9925</v>
      </c>
      <c r="Z1714" s="64">
        <f>Ringkasan!Z1635</f>
        <v>613400</v>
      </c>
      <c r="AA1714" s="64" t="str">
        <f>Ringkasan!AA1635</f>
        <v>Healthcare Providers</v>
      </c>
      <c r="AB1714" s="64" t="str">
        <f>Ringkasan!AB1635</f>
        <v>Healthcare</v>
      </c>
    </row>
    <row r="1715" hidden="1">
      <c r="A1715" s="64" t="str">
        <f>Ringkasan!A1636</f>
        <v>SRIL</v>
      </c>
      <c r="B1715" s="64" t="str">
        <f>Ringkasan!B1636</f>
        <v>PT Sri Rejeki Isman Tbk</v>
      </c>
      <c r="C1715" s="65">
        <f>Ringkasan!C1636</f>
        <v>146</v>
      </c>
      <c r="D1715" s="64" t="str">
        <f>Ringkasan!D1636</f>
        <v>#N/A</v>
      </c>
      <c r="E1715" s="64" t="str">
        <f>Ringkasan!E1636</f>
        <v/>
      </c>
      <c r="F1715" s="64" t="str">
        <f>Ringkasan!F1636</f>
        <v/>
      </c>
      <c r="G1715" s="64">
        <f>Ringkasan!G1636</f>
        <v>0</v>
      </c>
      <c r="H1715" s="19">
        <f>Ringkasan!H1636</f>
        <v>0</v>
      </c>
      <c r="I1715" s="19">
        <f>Ringkasan!I1636</f>
        <v>-0.19</v>
      </c>
      <c r="J1715" s="19">
        <f>Ringkasan!J1636</f>
        <v>0</v>
      </c>
      <c r="K1715" s="19">
        <f>Ringkasan!K1636</f>
        <v>-21.3</v>
      </c>
      <c r="L1715" s="19">
        <f>Ringkasan!L1636</f>
        <v>-1.6</v>
      </c>
      <c r="M1715" s="19">
        <f>Ringkasan!M1636</f>
        <v>-63</v>
      </c>
      <c r="N1715" s="64" t="str">
        <f>Ringkasan!N1636</f>
        <v/>
      </c>
      <c r="O1715" s="64" t="str">
        <f>Ringkasan!O1636</f>
        <v/>
      </c>
      <c r="P1715" s="64" t="str">
        <f>Ringkasan!P1636</f>
        <v/>
      </c>
      <c r="Q1715" s="64" t="str">
        <f>Ringkasan!Q1636</f>
        <v/>
      </c>
      <c r="R1715" s="64" t="str">
        <f>Ringkasan!R1636</f>
        <v/>
      </c>
      <c r="S1715" s="64" t="str">
        <f>Ringkasan!S1636</f>
        <v/>
      </c>
      <c r="T1715" s="64" t="str">
        <f>Ringkasan!T1636</f>
        <v/>
      </c>
      <c r="U1715" s="64" t="str">
        <f>Ringkasan!U1636</f>
        <v/>
      </c>
      <c r="V1715" s="64">
        <f>Ringkasan!V1636</f>
        <v>1.6</v>
      </c>
      <c r="W1715" s="64">
        <f>Ringkasan!W1636</f>
        <v>13.41</v>
      </c>
      <c r="X1715" s="64">
        <f>Ringkasan!X1636</f>
        <v>13.53</v>
      </c>
      <c r="Y1715" s="64">
        <f>Ringkasan!Y1636</f>
        <v>13.41</v>
      </c>
      <c r="Z1715" s="64">
        <f>Ringkasan!Z1636</f>
        <v>3669</v>
      </c>
      <c r="AA1715" s="64" t="str">
        <f>Ringkasan!AA1636</f>
        <v>Apparel &amp; Luxury Goods</v>
      </c>
      <c r="AB1715" s="64" t="str">
        <f>Ringkasan!AB1636</f>
        <v>Consumer Cyclicals</v>
      </c>
    </row>
    <row r="1716" hidden="1">
      <c r="A1716" s="64" t="str">
        <f>Ringkasan!A1637</f>
        <v>SRSN</v>
      </c>
      <c r="B1716" s="64" t="str">
        <f>Ringkasan!B1637</f>
        <v>Indo Acidatama Tbk</v>
      </c>
      <c r="C1716" s="65">
        <f>Ringkasan!C1637</f>
        <v>66</v>
      </c>
      <c r="D1716" s="64" t="str">
        <f>Ringkasan!D1637</f>
        <v>#N/A</v>
      </c>
      <c r="E1716" s="64" t="str">
        <f>Ringkasan!E1637</f>
        <v/>
      </c>
      <c r="F1716" s="64" t="str">
        <f>Ringkasan!F1637</f>
        <v/>
      </c>
      <c r="G1716" s="64">
        <f>Ringkasan!G1637</f>
        <v>0</v>
      </c>
      <c r="H1716" s="19">
        <f>Ringkasan!H1637</f>
        <v>4.1</v>
      </c>
      <c r="I1716" s="19">
        <f>Ringkasan!I1637</f>
        <v>0.47</v>
      </c>
      <c r="J1716" s="19">
        <f>Ringkasan!J1637</f>
        <v>11.5</v>
      </c>
      <c r="K1716" s="19">
        <f>Ringkasan!K1637</f>
        <v>9.5</v>
      </c>
      <c r="L1716" s="19">
        <f>Ringkasan!L1637</f>
        <v>0.21</v>
      </c>
      <c r="M1716" s="19">
        <f>Ringkasan!M1637</f>
        <v>40.3</v>
      </c>
      <c r="N1716" s="64" t="str">
        <f>Ringkasan!N1637</f>
        <v/>
      </c>
      <c r="O1716" s="64" t="str">
        <f>Ringkasan!O1637</f>
        <v/>
      </c>
      <c r="P1716" s="64" t="str">
        <f>Ringkasan!P1637</f>
        <v/>
      </c>
      <c r="Q1716" s="64" t="str">
        <f>Ringkasan!Q1637</f>
        <v/>
      </c>
      <c r="R1716" s="64" t="str">
        <f>Ringkasan!R1637</f>
        <v/>
      </c>
      <c r="S1716" s="64" t="str">
        <f>Ringkasan!S1637</f>
        <v/>
      </c>
      <c r="T1716" s="64" t="str">
        <f>Ringkasan!T1637</f>
        <v/>
      </c>
      <c r="U1716" s="64">
        <f>Ringkasan!U1637</f>
        <v>0</v>
      </c>
      <c r="V1716" s="64">
        <f>Ringkasan!V1637</f>
        <v>0</v>
      </c>
      <c r="W1716" s="64" t="str">
        <f>Ringkasan!W1637</f>
        <v/>
      </c>
      <c r="X1716" s="64" t="str">
        <f>Ringkasan!X1637</f>
        <v/>
      </c>
      <c r="Y1716" s="64" t="str">
        <f>Ringkasan!Y1637</f>
        <v/>
      </c>
      <c r="Z1716" s="64">
        <f>Ringkasan!Z1637</f>
        <v>0</v>
      </c>
      <c r="AA1716" s="64" t="str">
        <f>Ringkasan!AA1637</f>
        <v>Chemicals</v>
      </c>
      <c r="AB1716" s="64" t="str">
        <f>Ringkasan!AB1637</f>
        <v>Basic Materials</v>
      </c>
    </row>
    <row r="1717" hidden="1">
      <c r="A1717" s="64" t="str">
        <f>Ringkasan!A1638</f>
        <v>SRTG</v>
      </c>
      <c r="B1717" s="64" t="str">
        <f>Ringkasan!B1638</f>
        <v>PT Saratoga Investama Sedaya Tbk.</v>
      </c>
      <c r="C1717" s="65">
        <f>Ringkasan!C1638</f>
        <v>1435</v>
      </c>
      <c r="D1717" s="64" t="str">
        <f>Ringkasan!D1638</f>
        <v>#N/A</v>
      </c>
      <c r="E1717" s="64" t="str">
        <f>Ringkasan!E1638</f>
        <v>ECONOMIC30</v>
      </c>
      <c r="F1717" s="64" t="str">
        <f>Ringkasan!F1638</f>
        <v>31 Agustus 2026</v>
      </c>
      <c r="G1717" s="64">
        <f>Ringkasan!G1638</f>
        <v>3</v>
      </c>
      <c r="H1717" s="19">
        <f>Ringkasan!H1638</f>
        <v>2.9</v>
      </c>
      <c r="I1717" s="19">
        <f>Ringkasan!I1638</f>
        <v>0.36</v>
      </c>
      <c r="J1717" s="19">
        <f>Ringkasan!J1638</f>
        <v>12.4</v>
      </c>
      <c r="K1717" s="19">
        <f>Ringkasan!K1638</f>
        <v>11.7</v>
      </c>
      <c r="L1717" s="19">
        <f>Ringkasan!L1638</f>
        <v>0.06</v>
      </c>
      <c r="M1717" s="19">
        <f>Ringkasan!M1638</f>
        <v>260</v>
      </c>
      <c r="N1717" s="64" t="str">
        <f>Ringkasan!N1638</f>
        <v/>
      </c>
      <c r="O1717" s="64" t="str">
        <f>Ringkasan!O1638</f>
        <v/>
      </c>
      <c r="P1717" s="64" t="str">
        <f>Ringkasan!P1638</f>
        <v/>
      </c>
      <c r="Q1717" s="64" t="str">
        <f>Ringkasan!Q1638</f>
        <v/>
      </c>
      <c r="R1717" s="64" t="str">
        <f>Ringkasan!R1638</f>
        <v/>
      </c>
      <c r="S1717" s="64" t="str">
        <f>Ringkasan!S1638</f>
        <v/>
      </c>
      <c r="T1717" s="64" t="str">
        <f>Ringkasan!T1638</f>
        <v/>
      </c>
      <c r="U1717" s="64">
        <f>Ringkasan!U1638</f>
        <v>1390</v>
      </c>
      <c r="V1717" s="64">
        <f>Ringkasan!V1638</f>
        <v>3.24</v>
      </c>
      <c r="W1717" s="64">
        <f>Ringkasan!W1638</f>
        <v>1400</v>
      </c>
      <c r="X1717" s="64">
        <f>Ringkasan!X1638</f>
        <v>1465</v>
      </c>
      <c r="Y1717" s="64">
        <f>Ringkasan!Y1638</f>
        <v>1400</v>
      </c>
      <c r="Z1717" s="64">
        <f>Ringkasan!Z1638</f>
        <v>5120600</v>
      </c>
      <c r="AA1717" s="64" t="str">
        <f>Ringkasan!AA1638</f>
        <v>Holding &amp; Investment Companies</v>
      </c>
      <c r="AB1717" s="64" t="str">
        <f>Ringkasan!AB1638</f>
        <v>Financials</v>
      </c>
    </row>
    <row r="1718" hidden="1">
      <c r="A1718" s="64" t="str">
        <f>Ringkasan!A1639</f>
        <v>SRTG</v>
      </c>
      <c r="B1718" s="64" t="str">
        <f>Ringkasan!B1639</f>
        <v>PT Saratoga Investama Sedaya Tbk.</v>
      </c>
      <c r="C1718" s="65">
        <f>Ringkasan!C1639</f>
        <v>1435</v>
      </c>
      <c r="D1718" s="64" t="str">
        <f>Ringkasan!D1639</f>
        <v>#N/A</v>
      </c>
      <c r="E1718" s="64" t="str">
        <f>Ringkasan!E1639</f>
        <v>IDXSMC-LIQ</v>
      </c>
      <c r="F1718" s="64" t="str">
        <f>Ringkasan!F1639</f>
        <v>4 Agustus 2026</v>
      </c>
      <c r="G1718" s="64">
        <f>Ringkasan!G1639</f>
        <v>3</v>
      </c>
      <c r="H1718" s="19">
        <f>Ringkasan!H1639</f>
        <v>2.9</v>
      </c>
      <c r="I1718" s="19">
        <f>Ringkasan!I1639</f>
        <v>0.36</v>
      </c>
      <c r="J1718" s="19">
        <f>Ringkasan!J1639</f>
        <v>12.4</v>
      </c>
      <c r="K1718" s="19">
        <f>Ringkasan!K1639</f>
        <v>11.7</v>
      </c>
      <c r="L1718" s="19">
        <f>Ringkasan!L1639</f>
        <v>0.06</v>
      </c>
      <c r="M1718" s="19">
        <f>Ringkasan!M1639</f>
        <v>260</v>
      </c>
      <c r="N1718" s="64" t="str">
        <f>Ringkasan!N1639</f>
        <v/>
      </c>
      <c r="O1718" s="64" t="str">
        <f>Ringkasan!O1639</f>
        <v/>
      </c>
      <c r="P1718" s="64" t="str">
        <f>Ringkasan!P1639</f>
        <v/>
      </c>
      <c r="Q1718" s="64" t="str">
        <f>Ringkasan!Q1639</f>
        <v/>
      </c>
      <c r="R1718" s="64" t="str">
        <f>Ringkasan!R1639</f>
        <v/>
      </c>
      <c r="S1718" s="64" t="str">
        <f>Ringkasan!S1639</f>
        <v/>
      </c>
      <c r="T1718" s="64" t="str">
        <f>Ringkasan!T1639</f>
        <v/>
      </c>
      <c r="U1718" s="64">
        <f>Ringkasan!U1639</f>
        <v>1390</v>
      </c>
      <c r="V1718" s="64">
        <f>Ringkasan!V1639</f>
        <v>3.24</v>
      </c>
      <c r="W1718" s="64">
        <f>Ringkasan!W1639</f>
        <v>1400</v>
      </c>
      <c r="X1718" s="64">
        <f>Ringkasan!X1639</f>
        <v>1465</v>
      </c>
      <c r="Y1718" s="64">
        <f>Ringkasan!Y1639</f>
        <v>1400</v>
      </c>
      <c r="Z1718" s="64">
        <f>Ringkasan!Z1639</f>
        <v>5120600</v>
      </c>
      <c r="AA1718" s="64" t="str">
        <f>Ringkasan!AA1639</f>
        <v>Holding &amp; Investment Companies</v>
      </c>
      <c r="AB1718" s="64" t="str">
        <f>Ringkasan!AB1639</f>
        <v>Financials</v>
      </c>
    </row>
    <row r="1719" hidden="1">
      <c r="A1719" s="64" t="str">
        <f>Ringkasan!A1640</f>
        <v>SRTG</v>
      </c>
      <c r="B1719" s="64" t="str">
        <f>Ringkasan!B1640</f>
        <v>PT Saratoga Investama Sedaya Tbk.</v>
      </c>
      <c r="C1719" s="65">
        <f>Ringkasan!C1640</f>
        <v>1435</v>
      </c>
      <c r="D1719" s="64" t="str">
        <f>Ringkasan!D1640</f>
        <v>#N/A</v>
      </c>
      <c r="E1719" s="64" t="str">
        <f>Ringkasan!E1640</f>
        <v>JII70</v>
      </c>
      <c r="F1719" s="66">
        <f>Ringkasan!F1640</f>
        <v>46356</v>
      </c>
      <c r="G1719" s="64">
        <f>Ringkasan!G1640</f>
        <v>3</v>
      </c>
      <c r="H1719" s="19">
        <f>Ringkasan!H1640</f>
        <v>2.9</v>
      </c>
      <c r="I1719" s="19">
        <f>Ringkasan!I1640</f>
        <v>0.36</v>
      </c>
      <c r="J1719" s="19">
        <f>Ringkasan!J1640</f>
        <v>12.4</v>
      </c>
      <c r="K1719" s="19">
        <f>Ringkasan!K1640</f>
        <v>11.7</v>
      </c>
      <c r="L1719" s="19">
        <f>Ringkasan!L1640</f>
        <v>0.06</v>
      </c>
      <c r="M1719" s="19">
        <f>Ringkasan!M1640</f>
        <v>260</v>
      </c>
      <c r="N1719" s="64" t="str">
        <f>Ringkasan!N1640</f>
        <v/>
      </c>
      <c r="O1719" s="64" t="str">
        <f>Ringkasan!O1640</f>
        <v/>
      </c>
      <c r="P1719" s="64" t="str">
        <f>Ringkasan!P1640</f>
        <v/>
      </c>
      <c r="Q1719" s="64" t="str">
        <f>Ringkasan!Q1640</f>
        <v/>
      </c>
      <c r="R1719" s="64" t="str">
        <f>Ringkasan!R1640</f>
        <v/>
      </c>
      <c r="S1719" s="64" t="str">
        <f>Ringkasan!S1640</f>
        <v/>
      </c>
      <c r="T1719" s="64" t="str">
        <f>Ringkasan!T1640</f>
        <v/>
      </c>
      <c r="U1719" s="64">
        <f>Ringkasan!U1640</f>
        <v>1390</v>
      </c>
      <c r="V1719" s="64">
        <f>Ringkasan!V1640</f>
        <v>3.24</v>
      </c>
      <c r="W1719" s="64">
        <f>Ringkasan!W1640</f>
        <v>1400</v>
      </c>
      <c r="X1719" s="64">
        <f>Ringkasan!X1640</f>
        <v>1465</v>
      </c>
      <c r="Y1719" s="64">
        <f>Ringkasan!Y1640</f>
        <v>1400</v>
      </c>
      <c r="Z1719" s="64">
        <f>Ringkasan!Z1640</f>
        <v>5120600</v>
      </c>
      <c r="AA1719" s="64" t="str">
        <f>Ringkasan!AA1640</f>
        <v>Holding &amp; Investment Companies</v>
      </c>
      <c r="AB1719" s="64" t="str">
        <f>Ringkasan!AB1640</f>
        <v>Financials</v>
      </c>
    </row>
    <row r="1720" hidden="1">
      <c r="A1720" s="64" t="str">
        <f>Ringkasan!A1641</f>
        <v>SSIA</v>
      </c>
      <c r="B1720" s="64" t="str">
        <f>Ringkasan!B1641</f>
        <v>PT Surya Semesta Internusa Tbk</v>
      </c>
      <c r="C1720" s="65">
        <f>Ringkasan!C1641</f>
        <v>1560</v>
      </c>
      <c r="D1720" s="64" t="str">
        <f>Ringkasan!D1641</f>
        <v>#N/A</v>
      </c>
      <c r="E1720" s="64" t="str">
        <f>Ringkasan!E1641</f>
        <v>Kompas100</v>
      </c>
      <c r="F1720" s="64" t="str">
        <f>Ringkasan!F1641</f>
        <v>31 Juli 2026</v>
      </c>
      <c r="G1720" s="64">
        <f>Ringkasan!G1641</f>
        <v>5</v>
      </c>
      <c r="H1720" s="19">
        <f>Ringkasan!H1641</f>
        <v>370</v>
      </c>
      <c r="I1720" s="19">
        <f>Ringkasan!I1641</f>
        <v>0.95</v>
      </c>
      <c r="J1720" s="19">
        <f>Ringkasan!J1641</f>
        <v>0.26</v>
      </c>
      <c r="K1720" s="19">
        <f>Ringkasan!K1641</f>
        <v>0.17</v>
      </c>
      <c r="L1720" s="19">
        <f>Ringkasan!L1641</f>
        <v>0.56</v>
      </c>
      <c r="M1720" s="19">
        <f>Ringkasan!M1641</f>
        <v>1.5</v>
      </c>
      <c r="N1720" s="64" t="str">
        <f>Ringkasan!N1641</f>
        <v/>
      </c>
      <c r="O1720" s="64" t="str">
        <f>Ringkasan!O1641</f>
        <v/>
      </c>
      <c r="P1720" s="64" t="str">
        <f>Ringkasan!P1641</f>
        <v/>
      </c>
      <c r="Q1720" s="64" t="str">
        <f>Ringkasan!Q1641</f>
        <v/>
      </c>
      <c r="R1720" s="64" t="str">
        <f>Ringkasan!R1641</f>
        <v/>
      </c>
      <c r="S1720" s="64" t="str">
        <f>Ringkasan!S1641</f>
        <v/>
      </c>
      <c r="T1720" s="64" t="str">
        <f>Ringkasan!T1641</f>
        <v/>
      </c>
      <c r="U1720" s="64">
        <f>Ringkasan!U1641</f>
        <v>1515</v>
      </c>
      <c r="V1720" s="64">
        <f>Ringkasan!V1641</f>
        <v>2.97</v>
      </c>
      <c r="W1720" s="64">
        <f>Ringkasan!W1641</f>
        <v>1530</v>
      </c>
      <c r="X1720" s="64">
        <f>Ringkasan!X1641</f>
        <v>1625</v>
      </c>
      <c r="Y1720" s="64">
        <f>Ringkasan!Y1641</f>
        <v>1515</v>
      </c>
      <c r="Z1720" s="64">
        <f>Ringkasan!Z1641</f>
        <v>18815000</v>
      </c>
      <c r="AA1720" s="64" t="str">
        <f>Ringkasan!AA1641</f>
        <v>Heavy Constructions &amp; Civil Engineering</v>
      </c>
      <c r="AB1720" s="64" t="str">
        <f>Ringkasan!AB1641</f>
        <v>Infrastructures</v>
      </c>
    </row>
    <row r="1721" hidden="1">
      <c r="A1721" s="64" t="str">
        <f>Ringkasan!A1642</f>
        <v>SSIA</v>
      </c>
      <c r="B1721" s="64" t="str">
        <f>Ringkasan!B1642</f>
        <v>PT Surya Semesta Internusa Tbk</v>
      </c>
      <c r="C1721" s="65">
        <f>Ringkasan!C1642</f>
        <v>1560</v>
      </c>
      <c r="D1721" s="64" t="str">
        <f>Ringkasan!D1642</f>
        <v>#N/A</v>
      </c>
      <c r="E1721" s="64" t="str">
        <f>Ringkasan!E1642</f>
        <v>IDX80</v>
      </c>
      <c r="F1721" s="64" t="str">
        <f>Ringkasan!F1642</f>
        <v>31 Juli 2026</v>
      </c>
      <c r="G1721" s="64">
        <f>Ringkasan!G1642</f>
        <v>5</v>
      </c>
      <c r="H1721" s="19">
        <f>Ringkasan!H1642</f>
        <v>370</v>
      </c>
      <c r="I1721" s="19">
        <f>Ringkasan!I1642</f>
        <v>0.95</v>
      </c>
      <c r="J1721" s="19">
        <f>Ringkasan!J1642</f>
        <v>0.26</v>
      </c>
      <c r="K1721" s="19">
        <f>Ringkasan!K1642</f>
        <v>0.17</v>
      </c>
      <c r="L1721" s="19">
        <f>Ringkasan!L1642</f>
        <v>0.56</v>
      </c>
      <c r="M1721" s="19">
        <f>Ringkasan!M1642</f>
        <v>1.5</v>
      </c>
      <c r="N1721" s="64" t="str">
        <f>Ringkasan!N1642</f>
        <v/>
      </c>
      <c r="O1721" s="64" t="str">
        <f>Ringkasan!O1642</f>
        <v/>
      </c>
      <c r="P1721" s="64" t="str">
        <f>Ringkasan!P1642</f>
        <v/>
      </c>
      <c r="Q1721" s="64" t="str">
        <f>Ringkasan!Q1642</f>
        <v/>
      </c>
      <c r="R1721" s="64" t="str">
        <f>Ringkasan!R1642</f>
        <v/>
      </c>
      <c r="S1721" s="64" t="str">
        <f>Ringkasan!S1642</f>
        <v/>
      </c>
      <c r="T1721" s="64" t="str">
        <f>Ringkasan!T1642</f>
        <v/>
      </c>
      <c r="U1721" s="64">
        <f>Ringkasan!U1642</f>
        <v>1515</v>
      </c>
      <c r="V1721" s="64">
        <f>Ringkasan!V1642</f>
        <v>2.97</v>
      </c>
      <c r="W1721" s="64">
        <f>Ringkasan!W1642</f>
        <v>1530</v>
      </c>
      <c r="X1721" s="64">
        <f>Ringkasan!X1642</f>
        <v>1625</v>
      </c>
      <c r="Y1721" s="64">
        <f>Ringkasan!Y1642</f>
        <v>1515</v>
      </c>
      <c r="Z1721" s="64">
        <f>Ringkasan!Z1642</f>
        <v>18815000</v>
      </c>
      <c r="AA1721" s="64" t="str">
        <f>Ringkasan!AA1642</f>
        <v>Heavy Constructions &amp; Civil Engineering</v>
      </c>
      <c r="AB1721" s="64" t="str">
        <f>Ringkasan!AB1642</f>
        <v>Infrastructures</v>
      </c>
    </row>
    <row r="1722" hidden="1">
      <c r="A1722" s="64" t="str">
        <f>Ringkasan!A1643</f>
        <v>SSIA</v>
      </c>
      <c r="B1722" s="64" t="str">
        <f>Ringkasan!B1643</f>
        <v>PT Surya Semesta Internusa Tbk</v>
      </c>
      <c r="C1722" s="65">
        <f>Ringkasan!C1643</f>
        <v>1560</v>
      </c>
      <c r="D1722" s="64" t="str">
        <f>Ringkasan!D1643</f>
        <v>#N/A</v>
      </c>
      <c r="E1722" s="64" t="str">
        <f>Ringkasan!E1643</f>
        <v>SMINFRA18</v>
      </c>
      <c r="F1722" s="64" t="str">
        <f>Ringkasan!F1643</f>
        <v>30 Oktober 2026</v>
      </c>
      <c r="G1722" s="64">
        <f>Ringkasan!G1643</f>
        <v>5</v>
      </c>
      <c r="H1722" s="19">
        <f>Ringkasan!H1643</f>
        <v>370</v>
      </c>
      <c r="I1722" s="19">
        <f>Ringkasan!I1643</f>
        <v>0.95</v>
      </c>
      <c r="J1722" s="19">
        <f>Ringkasan!J1643</f>
        <v>0.26</v>
      </c>
      <c r="K1722" s="19">
        <f>Ringkasan!K1643</f>
        <v>0.17</v>
      </c>
      <c r="L1722" s="19">
        <f>Ringkasan!L1643</f>
        <v>0.56</v>
      </c>
      <c r="M1722" s="19">
        <f>Ringkasan!M1643</f>
        <v>1.5</v>
      </c>
      <c r="N1722" s="64" t="str">
        <f>Ringkasan!N1643</f>
        <v/>
      </c>
      <c r="O1722" s="64" t="str">
        <f>Ringkasan!O1643</f>
        <v/>
      </c>
      <c r="P1722" s="64" t="str">
        <f>Ringkasan!P1643</f>
        <v/>
      </c>
      <c r="Q1722" s="64" t="str">
        <f>Ringkasan!Q1643</f>
        <v/>
      </c>
      <c r="R1722" s="64" t="str">
        <f>Ringkasan!R1643</f>
        <v/>
      </c>
      <c r="S1722" s="64" t="str">
        <f>Ringkasan!S1643</f>
        <v/>
      </c>
      <c r="T1722" s="64" t="str">
        <f>Ringkasan!T1643</f>
        <v/>
      </c>
      <c r="U1722" s="64">
        <f>Ringkasan!U1643</f>
        <v>1515</v>
      </c>
      <c r="V1722" s="64">
        <f>Ringkasan!V1643</f>
        <v>2.97</v>
      </c>
      <c r="W1722" s="64">
        <f>Ringkasan!W1643</f>
        <v>1530</v>
      </c>
      <c r="X1722" s="64">
        <f>Ringkasan!X1643</f>
        <v>1625</v>
      </c>
      <c r="Y1722" s="64">
        <f>Ringkasan!Y1643</f>
        <v>1515</v>
      </c>
      <c r="Z1722" s="64">
        <f>Ringkasan!Z1643</f>
        <v>18815000</v>
      </c>
      <c r="AA1722" s="64" t="str">
        <f>Ringkasan!AA1643</f>
        <v>Heavy Constructions &amp; Civil Engineering</v>
      </c>
      <c r="AB1722" s="64" t="str">
        <f>Ringkasan!AB1643</f>
        <v>Infrastructures</v>
      </c>
    </row>
    <row r="1723" hidden="1">
      <c r="A1723" s="64" t="str">
        <f>Ringkasan!A1644</f>
        <v>SSIA</v>
      </c>
      <c r="B1723" s="64" t="str">
        <f>Ringkasan!B1644</f>
        <v>PT Surya Semesta Internusa Tbk</v>
      </c>
      <c r="C1723" s="65">
        <f>Ringkasan!C1644</f>
        <v>1560</v>
      </c>
      <c r="D1723" s="64" t="str">
        <f>Ringkasan!D1644</f>
        <v>#N/A</v>
      </c>
      <c r="E1723" s="64" t="str">
        <f>Ringkasan!E1644</f>
        <v>IDXSMC-LIQ</v>
      </c>
      <c r="F1723" s="64" t="str">
        <f>Ringkasan!F1644</f>
        <v>4 Agustus 2026</v>
      </c>
      <c r="G1723" s="64">
        <f>Ringkasan!G1644</f>
        <v>5</v>
      </c>
      <c r="H1723" s="19">
        <f>Ringkasan!H1644</f>
        <v>370</v>
      </c>
      <c r="I1723" s="19">
        <f>Ringkasan!I1644</f>
        <v>0.95</v>
      </c>
      <c r="J1723" s="19">
        <f>Ringkasan!J1644</f>
        <v>0.26</v>
      </c>
      <c r="K1723" s="19">
        <f>Ringkasan!K1644</f>
        <v>0.17</v>
      </c>
      <c r="L1723" s="19">
        <f>Ringkasan!L1644</f>
        <v>0.56</v>
      </c>
      <c r="M1723" s="19">
        <f>Ringkasan!M1644</f>
        <v>1.5</v>
      </c>
      <c r="N1723" s="64" t="str">
        <f>Ringkasan!N1644</f>
        <v/>
      </c>
      <c r="O1723" s="64" t="str">
        <f>Ringkasan!O1644</f>
        <v/>
      </c>
      <c r="P1723" s="64" t="str">
        <f>Ringkasan!P1644</f>
        <v/>
      </c>
      <c r="Q1723" s="64" t="str">
        <f>Ringkasan!Q1644</f>
        <v/>
      </c>
      <c r="R1723" s="64" t="str">
        <f>Ringkasan!R1644</f>
        <v/>
      </c>
      <c r="S1723" s="64" t="str">
        <f>Ringkasan!S1644</f>
        <v/>
      </c>
      <c r="T1723" s="64" t="str">
        <f>Ringkasan!T1644</f>
        <v/>
      </c>
      <c r="U1723" s="64">
        <f>Ringkasan!U1644</f>
        <v>1515</v>
      </c>
      <c r="V1723" s="64">
        <f>Ringkasan!V1644</f>
        <v>2.97</v>
      </c>
      <c r="W1723" s="64">
        <f>Ringkasan!W1644</f>
        <v>1530</v>
      </c>
      <c r="X1723" s="64">
        <f>Ringkasan!X1644</f>
        <v>1625</v>
      </c>
      <c r="Y1723" s="64">
        <f>Ringkasan!Y1644</f>
        <v>1515</v>
      </c>
      <c r="Z1723" s="64">
        <f>Ringkasan!Z1644</f>
        <v>18815000</v>
      </c>
      <c r="AA1723" s="64" t="str">
        <f>Ringkasan!AA1644</f>
        <v>Heavy Constructions &amp; Civil Engineering</v>
      </c>
      <c r="AB1723" s="64" t="str">
        <f>Ringkasan!AB1644</f>
        <v>Infrastructures</v>
      </c>
    </row>
    <row r="1724" hidden="1">
      <c r="A1724" s="64" t="str">
        <f>Ringkasan!A1645</f>
        <v>SSIA</v>
      </c>
      <c r="B1724" s="64" t="str">
        <f>Ringkasan!B1645</f>
        <v>PT Surya Semesta Internusa Tbk</v>
      </c>
      <c r="C1724" s="65">
        <f>Ringkasan!C1645</f>
        <v>1560</v>
      </c>
      <c r="D1724" s="64" t="str">
        <f>Ringkasan!D1645</f>
        <v>#N/A</v>
      </c>
      <c r="E1724" s="64" t="str">
        <f>Ringkasan!E1645</f>
        <v>JII70</v>
      </c>
      <c r="F1724" s="66">
        <f>Ringkasan!F1645</f>
        <v>46356</v>
      </c>
      <c r="G1724" s="64">
        <f>Ringkasan!G1645</f>
        <v>5</v>
      </c>
      <c r="H1724" s="19">
        <f>Ringkasan!H1645</f>
        <v>370</v>
      </c>
      <c r="I1724" s="19">
        <f>Ringkasan!I1645</f>
        <v>0.95</v>
      </c>
      <c r="J1724" s="19">
        <f>Ringkasan!J1645</f>
        <v>0.26</v>
      </c>
      <c r="K1724" s="19">
        <f>Ringkasan!K1645</f>
        <v>0.17</v>
      </c>
      <c r="L1724" s="19">
        <f>Ringkasan!L1645</f>
        <v>0.56</v>
      </c>
      <c r="M1724" s="19">
        <f>Ringkasan!M1645</f>
        <v>1.5</v>
      </c>
      <c r="N1724" s="64" t="str">
        <f>Ringkasan!N1645</f>
        <v/>
      </c>
      <c r="O1724" s="64" t="str">
        <f>Ringkasan!O1645</f>
        <v/>
      </c>
      <c r="P1724" s="64" t="str">
        <f>Ringkasan!P1645</f>
        <v/>
      </c>
      <c r="Q1724" s="64" t="str">
        <f>Ringkasan!Q1645</f>
        <v/>
      </c>
      <c r="R1724" s="64" t="str">
        <f>Ringkasan!R1645</f>
        <v/>
      </c>
      <c r="S1724" s="64" t="str">
        <f>Ringkasan!S1645</f>
        <v/>
      </c>
      <c r="T1724" s="64" t="str">
        <f>Ringkasan!T1645</f>
        <v/>
      </c>
      <c r="U1724" s="64">
        <f>Ringkasan!U1645</f>
        <v>1515</v>
      </c>
      <c r="V1724" s="64">
        <f>Ringkasan!V1645</f>
        <v>2.97</v>
      </c>
      <c r="W1724" s="64">
        <f>Ringkasan!W1645</f>
        <v>1530</v>
      </c>
      <c r="X1724" s="64">
        <f>Ringkasan!X1645</f>
        <v>1625</v>
      </c>
      <c r="Y1724" s="64">
        <f>Ringkasan!Y1645</f>
        <v>1515</v>
      </c>
      <c r="Z1724" s="64">
        <f>Ringkasan!Z1645</f>
        <v>18815000</v>
      </c>
      <c r="AA1724" s="64" t="str">
        <f>Ringkasan!AA1645</f>
        <v>Heavy Constructions &amp; Civil Engineering</v>
      </c>
      <c r="AB1724" s="64" t="str">
        <f>Ringkasan!AB1645</f>
        <v>Infrastructures</v>
      </c>
    </row>
    <row r="1725" hidden="1">
      <c r="A1725" s="64" t="str">
        <f>Ringkasan!A1646</f>
        <v>SSMS</v>
      </c>
      <c r="B1725" s="64" t="str">
        <f>Ringkasan!B1646</f>
        <v>PT Sawit Sumbermas Sarana Tbk.</v>
      </c>
      <c r="C1725" s="65">
        <f>Ringkasan!C1646</f>
        <v>745</v>
      </c>
      <c r="D1725" s="64" t="str">
        <f>Ringkasan!D1646</f>
        <v>#N/A</v>
      </c>
      <c r="E1725" s="64" t="str">
        <f>Ringkasan!E1646</f>
        <v>IDXSMC-LIQ</v>
      </c>
      <c r="F1725" s="64" t="str">
        <f>Ringkasan!F1646</f>
        <v>4 Agustus 2026</v>
      </c>
      <c r="G1725" s="64">
        <f>Ringkasan!G1646</f>
        <v>1</v>
      </c>
      <c r="H1725" s="19">
        <f>Ringkasan!H1646</f>
        <v>5.9</v>
      </c>
      <c r="I1725" s="19">
        <f>Ringkasan!I1646</f>
        <v>2</v>
      </c>
      <c r="J1725" s="19">
        <f>Ringkasan!J1646</f>
        <v>34.3</v>
      </c>
      <c r="K1725" s="19">
        <f>Ringkasan!K1646</f>
        <v>8.3</v>
      </c>
      <c r="L1725" s="19">
        <f>Ringkasan!L1646</f>
        <v>3.2</v>
      </c>
      <c r="M1725" s="19">
        <f>Ringkasan!M1646</f>
        <v>32.3</v>
      </c>
      <c r="N1725" s="64" t="str">
        <f>Ringkasan!N1646</f>
        <v/>
      </c>
      <c r="O1725" s="64" t="str">
        <f>Ringkasan!O1646</f>
        <v/>
      </c>
      <c r="P1725" s="64" t="str">
        <f>Ringkasan!P1646</f>
        <v/>
      </c>
      <c r="Q1725" s="64" t="str">
        <f>Ringkasan!Q1646</f>
        <v/>
      </c>
      <c r="R1725" s="64" t="str">
        <f>Ringkasan!R1646</f>
        <v/>
      </c>
      <c r="S1725" s="64" t="str">
        <f>Ringkasan!S1646</f>
        <v/>
      </c>
      <c r="T1725" s="64" t="str">
        <f>Ringkasan!T1646</f>
        <v/>
      </c>
      <c r="U1725" s="64">
        <f>Ringkasan!U1646</f>
        <v>730</v>
      </c>
      <c r="V1725" s="64">
        <f>Ringkasan!V1646</f>
        <v>2.05</v>
      </c>
      <c r="W1725" s="64">
        <f>Ringkasan!W1646</f>
        <v>730</v>
      </c>
      <c r="X1725" s="64">
        <f>Ringkasan!X1646</f>
        <v>775</v>
      </c>
      <c r="Y1725" s="64">
        <f>Ringkasan!Y1646</f>
        <v>720</v>
      </c>
      <c r="Z1725" s="64">
        <f>Ringkasan!Z1646</f>
        <v>14982500</v>
      </c>
      <c r="AA1725" s="64" t="str">
        <f>Ringkasan!AA1646</f>
        <v>Agricultural Products</v>
      </c>
      <c r="AB1725" s="64" t="str">
        <f>Ringkasan!AB1646</f>
        <v>Consumer Non-Cyclicals</v>
      </c>
    </row>
    <row r="1726" hidden="1">
      <c r="A1726" s="64" t="str">
        <f>Ringkasan!A1647</f>
        <v>SSTM</v>
      </c>
      <c r="B1726" s="64" t="str">
        <f>Ringkasan!B1647</f>
        <v>Sunson Textile Manufacturer Tbk</v>
      </c>
      <c r="C1726" s="65">
        <f>Ringkasan!C1647</f>
        <v>400</v>
      </c>
      <c r="D1726" s="64" t="str">
        <f>Ringkasan!D1647</f>
        <v>#N/A</v>
      </c>
      <c r="E1726" s="64" t="str">
        <f>Ringkasan!E1647</f>
        <v/>
      </c>
      <c r="F1726" s="64" t="str">
        <f>Ringkasan!F1647</f>
        <v/>
      </c>
      <c r="G1726" s="64">
        <f>Ringkasan!G1647</f>
        <v>0</v>
      </c>
      <c r="H1726" s="19">
        <f>Ringkasan!H1647</f>
        <v>-36.1</v>
      </c>
      <c r="I1726" s="19">
        <f>Ringkasan!I1647</f>
        <v>2.8</v>
      </c>
      <c r="J1726" s="19">
        <f>Ringkasan!J1647</f>
        <v>-7.7</v>
      </c>
      <c r="K1726" s="19">
        <f>Ringkasan!K1647</f>
        <v>-4.5</v>
      </c>
      <c r="L1726" s="19">
        <f>Ringkasan!L1647</f>
        <v>0.72</v>
      </c>
      <c r="M1726" s="19">
        <f>Ringkasan!M1647</f>
        <v>-23.6</v>
      </c>
      <c r="N1726" s="64" t="str">
        <f>Ringkasan!N1647</f>
        <v/>
      </c>
      <c r="O1726" s="64" t="str">
        <f>Ringkasan!O1647</f>
        <v/>
      </c>
      <c r="P1726" s="64" t="str">
        <f>Ringkasan!P1647</f>
        <v/>
      </c>
      <c r="Q1726" s="64" t="str">
        <f>Ringkasan!Q1647</f>
        <v/>
      </c>
      <c r="R1726" s="64" t="str">
        <f>Ringkasan!R1647</f>
        <v/>
      </c>
      <c r="S1726" s="64" t="str">
        <f>Ringkasan!S1647</f>
        <v/>
      </c>
      <c r="T1726" s="64" t="str">
        <f>Ringkasan!T1647</f>
        <v/>
      </c>
      <c r="U1726" s="64">
        <f>Ringkasan!U1647</f>
        <v>406</v>
      </c>
      <c r="V1726" s="64">
        <f>Ringkasan!V1647</f>
        <v>-1.48</v>
      </c>
      <c r="W1726" s="64">
        <f>Ringkasan!W1647</f>
        <v>406</v>
      </c>
      <c r="X1726" s="64">
        <f>Ringkasan!X1647</f>
        <v>440</v>
      </c>
      <c r="Y1726" s="64">
        <f>Ringkasan!Y1647</f>
        <v>382</v>
      </c>
      <c r="Z1726" s="64">
        <f>Ringkasan!Z1647</f>
        <v>1263400</v>
      </c>
      <c r="AA1726" s="64" t="str">
        <f>Ringkasan!AA1647</f>
        <v>Apparel &amp; Luxury Goods</v>
      </c>
      <c r="AB1726" s="64" t="str">
        <f>Ringkasan!AB1647</f>
        <v>Consumer Cyclicals</v>
      </c>
    </row>
    <row r="1727" hidden="1">
      <c r="A1727" s="64" t="str">
        <f>Ringkasan!A1648</f>
        <v>STAA</v>
      </c>
      <c r="B1727" s="64" t="str">
        <f>Ringkasan!B1648</f>
        <v>Sumber Tani Agung Resources Tbk.</v>
      </c>
      <c r="C1727" s="65">
        <f>Ringkasan!C1648</f>
        <v>975</v>
      </c>
      <c r="D1727" s="64" t="str">
        <f>Ringkasan!D1648</f>
        <v>#N/A</v>
      </c>
      <c r="E1727" s="64" t="str">
        <f>Ringkasan!E1648</f>
        <v>IDXSMC-LIQ</v>
      </c>
      <c r="F1727" s="64" t="str">
        <f>Ringkasan!F1648</f>
        <v>4 Agustus 2026</v>
      </c>
      <c r="G1727" s="65">
        <f>Ringkasan!G1648</f>
        <v>1</v>
      </c>
      <c r="H1727" s="19">
        <f>Ringkasan!H1648</f>
        <v>6.8</v>
      </c>
      <c r="I1727" s="19">
        <f>Ringkasan!I1648</f>
        <v>1.5</v>
      </c>
      <c r="J1727" s="19">
        <f>Ringkasan!J1648</f>
        <v>21.7</v>
      </c>
      <c r="K1727" s="19">
        <f>Ringkasan!K1648</f>
        <v>15.8</v>
      </c>
      <c r="L1727" s="19">
        <f>Ringkasan!L1648</f>
        <v>0.37</v>
      </c>
      <c r="M1727" s="19">
        <f>Ringkasan!M1648</f>
        <v>64.2</v>
      </c>
      <c r="N1727" s="64" t="str">
        <f>Ringkasan!N1648</f>
        <v/>
      </c>
      <c r="O1727" s="64" t="str">
        <f>Ringkasan!O1648</f>
        <v/>
      </c>
      <c r="P1727" s="64" t="str">
        <f>Ringkasan!P1648</f>
        <v/>
      </c>
      <c r="Q1727" s="64" t="str">
        <f>Ringkasan!Q1648</f>
        <v/>
      </c>
      <c r="R1727" s="64" t="str">
        <f>Ringkasan!R1648</f>
        <v/>
      </c>
      <c r="S1727" s="64" t="str">
        <f>Ringkasan!S1648</f>
        <v/>
      </c>
      <c r="T1727" s="64" t="str">
        <f>Ringkasan!T1648</f>
        <v/>
      </c>
      <c r="U1727" s="64">
        <f>Ringkasan!U1648</f>
        <v>28.9</v>
      </c>
      <c r="V1727" s="64">
        <f>Ringkasan!V1648</f>
        <v>-1.83</v>
      </c>
      <c r="W1727" s="64">
        <f>Ringkasan!W1648</f>
        <v>28.84</v>
      </c>
      <c r="X1727" s="64">
        <f>Ringkasan!X1648</f>
        <v>28.98</v>
      </c>
      <c r="Y1727" s="64">
        <f>Ringkasan!Y1648</f>
        <v>28.17</v>
      </c>
      <c r="Z1727" s="64">
        <f>Ringkasan!Z1648</f>
        <v>384636</v>
      </c>
      <c r="AA1727" s="64" t="str">
        <f>Ringkasan!AA1648</f>
        <v>Agricultural Products</v>
      </c>
      <c r="AB1727" s="64" t="str">
        <f>Ringkasan!AB1648</f>
        <v>Consumer Non-Cyclicals</v>
      </c>
    </row>
    <row r="1728" hidden="1">
      <c r="A1728" s="64" t="str">
        <f>Ringkasan!A1727</f>
        <v>TLKM</v>
      </c>
      <c r="B1728" s="64" t="str">
        <f>Ringkasan!B1727</f>
        <v>Telkom Indonesia (Persero) Tbk.</v>
      </c>
      <c r="C1728" s="65">
        <f>Ringkasan!C1727</f>
        <v>2860</v>
      </c>
      <c r="D1728" s="64" t="str">
        <f>Ringkasan!D1727</f>
        <v>#N/A</v>
      </c>
      <c r="E1728" s="64" t="str">
        <f>Ringkasan!E1727</f>
        <v>JII70</v>
      </c>
      <c r="F1728" s="66">
        <f>Ringkasan!F1727</f>
        <v>46356</v>
      </c>
      <c r="G1728" s="64">
        <f>Ringkasan!G1727</f>
        <v>19</v>
      </c>
      <c r="H1728" s="19">
        <f>Ringkasan!H1727</f>
        <v>10.1</v>
      </c>
      <c r="I1728" s="19">
        <f>Ringkasan!I1727</f>
        <v>1.9</v>
      </c>
      <c r="J1728" s="19">
        <f>Ringkasan!J1727</f>
        <v>19.1</v>
      </c>
      <c r="K1728" s="19">
        <f>Ringkasan!K1727</f>
        <v>4.7</v>
      </c>
      <c r="L1728" s="19">
        <f>Ringkasan!L1727</f>
        <v>0.86</v>
      </c>
      <c r="M1728" s="19">
        <f>Ringkasan!M1727</f>
        <v>20.3</v>
      </c>
      <c r="N1728" s="64" t="str">
        <f>Ringkasan!N1727</f>
        <v/>
      </c>
      <c r="O1728" s="64" t="str">
        <f>Ringkasan!O1727</f>
        <v/>
      </c>
      <c r="P1728" s="64" t="str">
        <f>Ringkasan!P1727</f>
        <v/>
      </c>
      <c r="Q1728" s="64" t="str">
        <f>Ringkasan!Q1727</f>
        <v/>
      </c>
      <c r="R1728" s="64" t="str">
        <f>Ringkasan!R1727</f>
        <v/>
      </c>
      <c r="S1728" s="64" t="str">
        <f>Ringkasan!S1727</f>
        <v/>
      </c>
      <c r="T1728" s="64" t="str">
        <f>Ringkasan!T1727</f>
        <v/>
      </c>
      <c r="U1728" s="64">
        <f>Ringkasan!U1727</f>
        <v>2870</v>
      </c>
      <c r="V1728" s="64">
        <f>Ringkasan!V1727</f>
        <v>-0.35</v>
      </c>
      <c r="W1728" s="64">
        <f>Ringkasan!W1727</f>
        <v>2910</v>
      </c>
      <c r="X1728" s="64">
        <f>Ringkasan!X1727</f>
        <v>2980</v>
      </c>
      <c r="Y1728" s="64">
        <f>Ringkasan!Y1727</f>
        <v>2860</v>
      </c>
      <c r="Z1728" s="64">
        <f>Ringkasan!Z1727</f>
        <v>181531900</v>
      </c>
      <c r="AA1728" s="64" t="str">
        <f>Ringkasan!AA1727</f>
        <v>Telecommunication Service</v>
      </c>
      <c r="AB1728" s="64" t="str">
        <f>Ringkasan!AB1727</f>
        <v>Infrastructures</v>
      </c>
    </row>
    <row r="1729" hidden="1">
      <c r="A1729" s="64" t="str">
        <f>Ringkasan!A1649</f>
        <v>STAR</v>
      </c>
      <c r="B1729" s="64" t="str">
        <f>Ringkasan!B1649</f>
        <v>Calculus Global Ventures Tbk.</v>
      </c>
      <c r="C1729" s="65">
        <f>Ringkasan!C1649</f>
        <v>308</v>
      </c>
      <c r="D1729" s="64" t="str">
        <f>Ringkasan!D1649</f>
        <v>#N/A</v>
      </c>
      <c r="E1729" s="64" t="str">
        <f>Ringkasan!E1649</f>
        <v/>
      </c>
      <c r="F1729" s="64" t="str">
        <f>Ringkasan!F1649</f>
        <v/>
      </c>
      <c r="G1729" s="64">
        <f>Ringkasan!G1649</f>
        <v>0</v>
      </c>
      <c r="H1729" s="19">
        <f>Ringkasan!H1649</f>
        <v>86.6</v>
      </c>
      <c r="I1729" s="19">
        <f>Ringkasan!I1649</f>
        <v>3.9</v>
      </c>
      <c r="J1729" s="19">
        <f>Ringkasan!J1649</f>
        <v>4.5</v>
      </c>
      <c r="K1729" s="19">
        <f>Ringkasan!K1649</f>
        <v>4.5</v>
      </c>
      <c r="L1729" s="19">
        <f>Ringkasan!L1649</f>
        <v>0.01</v>
      </c>
      <c r="M1729" s="19">
        <f>Ringkasan!M1649</f>
        <v>970</v>
      </c>
      <c r="N1729" s="64" t="str">
        <f>Ringkasan!N1649</f>
        <v/>
      </c>
      <c r="O1729" s="64" t="str">
        <f>Ringkasan!O1649</f>
        <v/>
      </c>
      <c r="P1729" s="64" t="str">
        <f>Ringkasan!P1649</f>
        <v/>
      </c>
      <c r="Q1729" s="64" t="str">
        <f>Ringkasan!Q1649</f>
        <v/>
      </c>
      <c r="R1729" s="64" t="str">
        <f>Ringkasan!R1649</f>
        <v/>
      </c>
      <c r="S1729" s="64" t="str">
        <f>Ringkasan!S1649</f>
        <v/>
      </c>
      <c r="T1729" s="64" t="str">
        <f>Ringkasan!T1649</f>
        <v/>
      </c>
      <c r="U1729" s="64" t="str">
        <f>Ringkasan!U1649</f>
        <v/>
      </c>
      <c r="V1729" s="64">
        <f>Ringkasan!V1649</f>
        <v>0</v>
      </c>
      <c r="W1729" s="64" t="str">
        <f>Ringkasan!W1649</f>
        <v/>
      </c>
      <c r="X1729" s="64" t="str">
        <f>Ringkasan!X1649</f>
        <v/>
      </c>
      <c r="Y1729" s="64" t="str">
        <f>Ringkasan!Y1649</f>
        <v/>
      </c>
      <c r="Z1729" s="64">
        <f>Ringkasan!Z1649</f>
        <v>0</v>
      </c>
      <c r="AA1729" s="64" t="str">
        <f>Ringkasan!AA1649</f>
        <v>Holding &amp; Investment Companies</v>
      </c>
      <c r="AB1729" s="64" t="str">
        <f>Ringkasan!AB1649</f>
        <v>Financials</v>
      </c>
    </row>
    <row r="1730" hidden="1">
      <c r="A1730" s="64" t="str">
        <f>Ringkasan!A1650</f>
        <v>STRK</v>
      </c>
      <c r="B1730" s="64" t="str">
        <f>Ringkasan!B1650</f>
        <v>PT Lovina Beach Brewery Tbk.</v>
      </c>
      <c r="C1730" s="65">
        <f>Ringkasan!C1650</f>
        <v>69</v>
      </c>
      <c r="D1730" s="64" t="str">
        <f>Ringkasan!D1650</f>
        <v>#N/A</v>
      </c>
      <c r="E1730" s="64" t="str">
        <f>Ringkasan!E1650</f>
        <v/>
      </c>
      <c r="F1730" s="64" t="str">
        <f>Ringkasan!F1650</f>
        <v/>
      </c>
      <c r="G1730" s="64">
        <f>Ringkasan!G1650</f>
        <v>0</v>
      </c>
      <c r="H1730" s="19">
        <f>Ringkasan!H1650</f>
        <v>-51.9</v>
      </c>
      <c r="I1730" s="19">
        <f>Ringkasan!I1650</f>
        <v>8.1</v>
      </c>
      <c r="J1730" s="19">
        <f>Ringkasan!J1650</f>
        <v>-15.6</v>
      </c>
      <c r="K1730" s="19">
        <f>Ringkasan!K1650</f>
        <v>-13.8</v>
      </c>
      <c r="L1730" s="19">
        <f>Ringkasan!L1650</f>
        <v>0.13</v>
      </c>
      <c r="M1730" s="19">
        <f>Ringkasan!M1650</f>
        <v>-220</v>
      </c>
      <c r="N1730" s="64" t="str">
        <f>Ringkasan!N1650</f>
        <v/>
      </c>
      <c r="O1730" s="64" t="str">
        <f>Ringkasan!O1650</f>
        <v/>
      </c>
      <c r="P1730" s="64" t="str">
        <f>Ringkasan!P1650</f>
        <v/>
      </c>
      <c r="Q1730" s="64" t="str">
        <f>Ringkasan!Q1650</f>
        <v/>
      </c>
      <c r="R1730" s="64" t="str">
        <f>Ringkasan!R1650</f>
        <v/>
      </c>
      <c r="S1730" s="64" t="str">
        <f>Ringkasan!S1650</f>
        <v/>
      </c>
      <c r="T1730" s="64" t="str">
        <f>Ringkasan!T1650</f>
        <v/>
      </c>
      <c r="U1730" s="64">
        <f>Ringkasan!U1650</f>
        <v>68.2</v>
      </c>
      <c r="V1730" s="64">
        <f>Ringkasan!V1650</f>
        <v>2.02</v>
      </c>
      <c r="W1730" s="64">
        <f>Ringkasan!W1650</f>
        <v>68.97</v>
      </c>
      <c r="X1730" s="64">
        <f>Ringkasan!X1650</f>
        <v>69.8</v>
      </c>
      <c r="Y1730" s="64">
        <f>Ringkasan!Y1650</f>
        <v>68.5</v>
      </c>
      <c r="Z1730" s="64">
        <f>Ringkasan!Z1650</f>
        <v>114851</v>
      </c>
      <c r="AA1730" s="64" t="str">
        <f>Ringkasan!AA1650</f>
        <v>Beverages</v>
      </c>
      <c r="AB1730" s="64" t="str">
        <f>Ringkasan!AB1650</f>
        <v>Consumer Non-Cyclicals</v>
      </c>
    </row>
    <row r="1731" hidden="1">
      <c r="A1731" s="64" t="str">
        <f>Ringkasan!A1651</f>
        <v>STTP</v>
      </c>
      <c r="B1731" s="64" t="str">
        <f>Ringkasan!B1651</f>
        <v>Siantar Top Tbk.</v>
      </c>
      <c r="C1731" s="65">
        <f>Ringkasan!C1651</f>
        <v>9425</v>
      </c>
      <c r="D1731" s="64" t="str">
        <f>Ringkasan!D1651</f>
        <v>#N/A</v>
      </c>
      <c r="E1731" s="64" t="str">
        <f>Ringkasan!E1651</f>
        <v/>
      </c>
      <c r="F1731" s="64" t="str">
        <f>Ringkasan!F1651</f>
        <v/>
      </c>
      <c r="G1731" s="65">
        <f>Ringkasan!G1651</f>
        <v>0</v>
      </c>
      <c r="H1731" s="19">
        <f>Ringkasan!H1651</f>
        <v>11.9</v>
      </c>
      <c r="I1731" s="19">
        <f>Ringkasan!I1651</f>
        <v>1.8</v>
      </c>
      <c r="J1731" s="19">
        <f>Ringkasan!J1651</f>
        <v>14.8</v>
      </c>
      <c r="K1731" s="19">
        <f>Ringkasan!K1651</f>
        <v>13.7</v>
      </c>
      <c r="L1731" s="19">
        <f>Ringkasan!L1651</f>
        <v>0.08</v>
      </c>
      <c r="M1731" s="19">
        <f>Ringkasan!M1651</f>
        <v>92.2</v>
      </c>
      <c r="N1731" s="64" t="str">
        <f>Ringkasan!N1651</f>
        <v/>
      </c>
      <c r="O1731" s="64" t="str">
        <f>Ringkasan!O1651</f>
        <v/>
      </c>
      <c r="P1731" s="64" t="str">
        <f>Ringkasan!P1651</f>
        <v/>
      </c>
      <c r="Q1731" s="64" t="str">
        <f>Ringkasan!Q1651</f>
        <v/>
      </c>
      <c r="R1731" s="64" t="str">
        <f>Ringkasan!R1651</f>
        <v/>
      </c>
      <c r="S1731" s="64" t="str">
        <f>Ringkasan!S1651</f>
        <v/>
      </c>
      <c r="T1731" s="64" t="str">
        <f>Ringkasan!T1651</f>
        <v/>
      </c>
      <c r="U1731" s="64">
        <f>Ringkasan!U1651</f>
        <v>9500</v>
      </c>
      <c r="V1731" s="64">
        <f>Ringkasan!V1651</f>
        <v>-0.79</v>
      </c>
      <c r="W1731" s="64">
        <f>Ringkasan!W1651</f>
        <v>9575</v>
      </c>
      <c r="X1731" s="64">
        <f>Ringkasan!X1651</f>
        <v>9575</v>
      </c>
      <c r="Y1731" s="64">
        <f>Ringkasan!Y1651</f>
        <v>9375</v>
      </c>
      <c r="Z1731" s="64">
        <f>Ringkasan!Z1651</f>
        <v>300</v>
      </c>
      <c r="AA1731" s="64" t="str">
        <f>Ringkasan!AA1651</f>
        <v>Processed Foods</v>
      </c>
      <c r="AB1731" s="64" t="str">
        <f>Ringkasan!AB1651</f>
        <v>Consumer Non-Cyclicals</v>
      </c>
    </row>
    <row r="1732" hidden="1">
      <c r="A1732" s="64" t="str">
        <f>Ringkasan!A1731</f>
        <v>TOBA</v>
      </c>
      <c r="B1732" s="64" t="str">
        <f>Ringkasan!B1731</f>
        <v>TBS Energi Utama Tbk.</v>
      </c>
      <c r="C1732" s="65">
        <f>Ringkasan!C1731</f>
        <v>402</v>
      </c>
      <c r="D1732" s="64" t="str">
        <f>Ringkasan!D1731</f>
        <v>#N/A</v>
      </c>
      <c r="E1732" s="64" t="str">
        <f>Ringkasan!E1731</f>
        <v>JII70</v>
      </c>
      <c r="F1732" s="66">
        <f>Ringkasan!F1731</f>
        <v>46356</v>
      </c>
      <c r="G1732" s="65">
        <f>Ringkasan!G1731</f>
        <v>3</v>
      </c>
      <c r="H1732" s="19">
        <f>Ringkasan!H1731</f>
        <v>-1.9</v>
      </c>
      <c r="I1732" s="19">
        <f>Ringkasan!I1731</f>
        <v>1</v>
      </c>
      <c r="J1732" s="19">
        <f>Ringkasan!J1731</f>
        <v>-53.6</v>
      </c>
      <c r="K1732" s="19">
        <f>Ringkasan!K1731</f>
        <v>-14</v>
      </c>
      <c r="L1732" s="19">
        <f>Ringkasan!L1731</f>
        <v>2.8</v>
      </c>
      <c r="M1732" s="19">
        <f>Ringkasan!M1731</f>
        <v>-130</v>
      </c>
      <c r="N1732" s="64" t="str">
        <f>Ringkasan!N1731</f>
        <v/>
      </c>
      <c r="O1732" s="64" t="str">
        <f>Ringkasan!O1731</f>
        <v/>
      </c>
      <c r="P1732" s="64" t="str">
        <f>Ringkasan!P1731</f>
        <v/>
      </c>
      <c r="Q1732" s="64" t="str">
        <f>Ringkasan!Q1731</f>
        <v/>
      </c>
      <c r="R1732" s="64" t="str">
        <f>Ringkasan!R1731</f>
        <v/>
      </c>
      <c r="S1732" s="64" t="str">
        <f>Ringkasan!S1731</f>
        <v/>
      </c>
      <c r="T1732" s="64" t="str">
        <f>Ringkasan!T1731</f>
        <v/>
      </c>
      <c r="U1732" s="64">
        <f>Ringkasan!U1731</f>
        <v>378</v>
      </c>
      <c r="V1732" s="64">
        <f>Ringkasan!V1731</f>
        <v>6.35</v>
      </c>
      <c r="W1732" s="64">
        <f>Ringkasan!W1731</f>
        <v>378</v>
      </c>
      <c r="X1732" s="64">
        <f>Ringkasan!X1731</f>
        <v>408</v>
      </c>
      <c r="Y1732" s="64">
        <f>Ringkasan!Y1731</f>
        <v>378</v>
      </c>
      <c r="Z1732" s="64">
        <f>Ringkasan!Z1731</f>
        <v>10824100</v>
      </c>
      <c r="AA1732" s="64" t="str">
        <f>Ringkasan!AA1731</f>
        <v>Coal</v>
      </c>
      <c r="AB1732" s="64" t="str">
        <f>Ringkasan!AB1731</f>
        <v>Energy</v>
      </c>
    </row>
    <row r="1733" hidden="1">
      <c r="A1733" s="64" t="str">
        <f>Ringkasan!A1732</f>
        <v>TOBA</v>
      </c>
      <c r="B1733" s="64" t="str">
        <f>Ringkasan!B1732</f>
        <v>TBS Energi Utama Tbk.</v>
      </c>
      <c r="C1733" s="65">
        <f>Ringkasan!C1732</f>
        <v>402</v>
      </c>
      <c r="D1733" s="64" t="str">
        <f>Ringkasan!D1732</f>
        <v>#N/A</v>
      </c>
      <c r="E1733" s="64" t="str">
        <f>Ringkasan!E1732</f>
        <v>Pefindo - iGrade</v>
      </c>
      <c r="F1733" s="64" t="str">
        <f>Ringkasan!F1732</f>
        <v>30 Juni 2026</v>
      </c>
      <c r="G1733" s="64">
        <f>Ringkasan!G1732</f>
        <v>3</v>
      </c>
      <c r="H1733" s="19">
        <f>Ringkasan!H1732</f>
        <v>-1.9</v>
      </c>
      <c r="I1733" s="19">
        <f>Ringkasan!I1732</f>
        <v>1</v>
      </c>
      <c r="J1733" s="19">
        <f>Ringkasan!J1732</f>
        <v>-53.6</v>
      </c>
      <c r="K1733" s="19">
        <f>Ringkasan!K1732</f>
        <v>-14</v>
      </c>
      <c r="L1733" s="19">
        <f>Ringkasan!L1732</f>
        <v>2.8</v>
      </c>
      <c r="M1733" s="19">
        <f>Ringkasan!M1732</f>
        <v>-130</v>
      </c>
      <c r="N1733" s="64" t="str">
        <f>Ringkasan!N1732</f>
        <v/>
      </c>
      <c r="O1733" s="64" t="str">
        <f>Ringkasan!O1732</f>
        <v/>
      </c>
      <c r="P1733" s="64" t="str">
        <f>Ringkasan!P1732</f>
        <v/>
      </c>
      <c r="Q1733" s="64" t="str">
        <f>Ringkasan!Q1732</f>
        <v/>
      </c>
      <c r="R1733" s="64" t="str">
        <f>Ringkasan!R1732</f>
        <v/>
      </c>
      <c r="S1733" s="64" t="str">
        <f>Ringkasan!S1732</f>
        <v/>
      </c>
      <c r="T1733" s="64" t="str">
        <f>Ringkasan!T1732</f>
        <v/>
      </c>
      <c r="U1733" s="64">
        <f>Ringkasan!U1732</f>
        <v>378</v>
      </c>
      <c r="V1733" s="64">
        <f>Ringkasan!V1732</f>
        <v>6.35</v>
      </c>
      <c r="W1733" s="64">
        <f>Ringkasan!W1732</f>
        <v>378</v>
      </c>
      <c r="X1733" s="64">
        <f>Ringkasan!X1732</f>
        <v>408</v>
      </c>
      <c r="Y1733" s="64">
        <f>Ringkasan!Y1732</f>
        <v>378</v>
      </c>
      <c r="Z1733" s="64">
        <f>Ringkasan!Z1732</f>
        <v>10824100</v>
      </c>
      <c r="AA1733" s="64" t="str">
        <f>Ringkasan!AA1732</f>
        <v>Coal</v>
      </c>
      <c r="AB1733" s="64" t="str">
        <f>Ringkasan!AB1732</f>
        <v>Energy</v>
      </c>
    </row>
    <row r="1734" hidden="1">
      <c r="A1734" s="64" t="str">
        <f>Ringkasan!A1733</f>
        <v>TOBA</v>
      </c>
      <c r="B1734" s="64" t="str">
        <f>Ringkasan!B1733</f>
        <v>TBS Energi Utama Tbk.</v>
      </c>
      <c r="C1734" s="65">
        <f>Ringkasan!C1733</f>
        <v>402</v>
      </c>
      <c r="D1734" s="64" t="str">
        <f>Ringkasan!D1733</f>
        <v>#N/A</v>
      </c>
      <c r="E1734" s="64" t="str">
        <f>Ringkasan!E1733</f>
        <v>Kompas100</v>
      </c>
      <c r="F1734" s="64" t="str">
        <f>Ringkasan!F1733</f>
        <v>31 Juli 2026</v>
      </c>
      <c r="G1734" s="64">
        <f>Ringkasan!G1733</f>
        <v>3</v>
      </c>
      <c r="H1734" s="19">
        <f>Ringkasan!H1733</f>
        <v>-1.9</v>
      </c>
      <c r="I1734" s="19">
        <f>Ringkasan!I1733</f>
        <v>1</v>
      </c>
      <c r="J1734" s="19">
        <f>Ringkasan!J1733</f>
        <v>-53.6</v>
      </c>
      <c r="K1734" s="19">
        <f>Ringkasan!K1733</f>
        <v>-14</v>
      </c>
      <c r="L1734" s="19">
        <f>Ringkasan!L1733</f>
        <v>2.8</v>
      </c>
      <c r="M1734" s="19">
        <f>Ringkasan!M1733</f>
        <v>-130</v>
      </c>
      <c r="N1734" s="64" t="str">
        <f>Ringkasan!N1733</f>
        <v/>
      </c>
      <c r="O1734" s="64" t="str">
        <f>Ringkasan!O1733</f>
        <v/>
      </c>
      <c r="P1734" s="64" t="str">
        <f>Ringkasan!P1733</f>
        <v/>
      </c>
      <c r="Q1734" s="64" t="str">
        <f>Ringkasan!Q1733</f>
        <v/>
      </c>
      <c r="R1734" s="64" t="str">
        <f>Ringkasan!R1733</f>
        <v/>
      </c>
      <c r="S1734" s="64" t="str">
        <f>Ringkasan!S1733</f>
        <v/>
      </c>
      <c r="T1734" s="64" t="str">
        <f>Ringkasan!T1733</f>
        <v/>
      </c>
      <c r="U1734" s="64">
        <f>Ringkasan!U1733</f>
        <v>378</v>
      </c>
      <c r="V1734" s="64">
        <f>Ringkasan!V1733</f>
        <v>6.35</v>
      </c>
      <c r="W1734" s="64">
        <f>Ringkasan!W1733</f>
        <v>378</v>
      </c>
      <c r="X1734" s="64">
        <f>Ringkasan!X1733</f>
        <v>408</v>
      </c>
      <c r="Y1734" s="64">
        <f>Ringkasan!Y1733</f>
        <v>378</v>
      </c>
      <c r="Z1734" s="64">
        <f>Ringkasan!Z1733</f>
        <v>10824100</v>
      </c>
      <c r="AA1734" s="64" t="str">
        <f>Ringkasan!AA1733</f>
        <v>Coal</v>
      </c>
      <c r="AB1734" s="64" t="str">
        <f>Ringkasan!AB1733</f>
        <v>Energy</v>
      </c>
    </row>
    <row r="1735" hidden="1">
      <c r="A1735" s="64" t="str">
        <f>Ringkasan!A1734</f>
        <v>TOOL</v>
      </c>
      <c r="B1735" s="64" t="str">
        <f>Ringkasan!B1734</f>
        <v>Rohartindo Nusantara Luas Tbk.</v>
      </c>
      <c r="C1735" s="65">
        <f>Ringkasan!C1734</f>
        <v>57</v>
      </c>
      <c r="D1735" s="64" t="str">
        <f>Ringkasan!D1734</f>
        <v>#N/A</v>
      </c>
      <c r="E1735" s="64" t="str">
        <f>Ringkasan!E1734</f>
        <v/>
      </c>
      <c r="F1735" s="64" t="str">
        <f>Ringkasan!F1734</f>
        <v/>
      </c>
      <c r="G1735" s="64">
        <f>Ringkasan!G1734</f>
        <v>0</v>
      </c>
      <c r="H1735" s="19">
        <f>Ringkasan!H1734</f>
        <v>-15.8</v>
      </c>
      <c r="I1735" s="19">
        <f>Ringkasan!I1734</f>
        <v>0.8</v>
      </c>
      <c r="J1735" s="19">
        <f>Ringkasan!J1734</f>
        <v>-5.1</v>
      </c>
      <c r="K1735" s="19">
        <f>Ringkasan!K1734</f>
        <v>-4.6</v>
      </c>
      <c r="L1735" s="19">
        <f>Ringkasan!L1734</f>
        <v>0.11</v>
      </c>
      <c r="M1735" s="19">
        <f>Ringkasan!M1734</f>
        <v>-90.8</v>
      </c>
      <c r="N1735" s="64" t="str">
        <f>Ringkasan!N1734</f>
        <v/>
      </c>
      <c r="O1735" s="64" t="str">
        <f>Ringkasan!O1734</f>
        <v/>
      </c>
      <c r="P1735" s="64" t="str">
        <f>Ringkasan!P1734</f>
        <v/>
      </c>
      <c r="Q1735" s="64" t="str">
        <f>Ringkasan!Q1734</f>
        <v/>
      </c>
      <c r="R1735" s="64" t="str">
        <f>Ringkasan!R1734</f>
        <v/>
      </c>
      <c r="S1735" s="64" t="str">
        <f>Ringkasan!S1734</f>
        <v/>
      </c>
      <c r="T1735" s="64" t="str">
        <f>Ringkasan!T1734</f>
        <v/>
      </c>
      <c r="U1735" s="64">
        <f>Ringkasan!U1734</f>
        <v>54</v>
      </c>
      <c r="V1735" s="64">
        <f>Ringkasan!V1734</f>
        <v>5.56</v>
      </c>
      <c r="W1735" s="64">
        <f>Ringkasan!W1734</f>
        <v>55</v>
      </c>
      <c r="X1735" s="64">
        <f>Ringkasan!X1734</f>
        <v>66</v>
      </c>
      <c r="Y1735" s="64">
        <f>Ringkasan!Y1734</f>
        <v>55</v>
      </c>
      <c r="Z1735" s="64">
        <f>Ringkasan!Z1734</f>
        <v>238370900</v>
      </c>
      <c r="AA1735" s="64" t="str">
        <f>Ringkasan!AA1734</f>
        <v>Specialty Retail</v>
      </c>
      <c r="AB1735" s="64" t="str">
        <f>Ringkasan!AB1734</f>
        <v>Consumer Cyclicals</v>
      </c>
    </row>
    <row r="1736" hidden="1">
      <c r="A1736" s="64" t="str">
        <f>Ringkasan!A1735</f>
        <v>TOPS</v>
      </c>
      <c r="B1736" s="64" t="str">
        <f>Ringkasan!B1735</f>
        <v>PT Totalindo Eka Persada Tbk.</v>
      </c>
      <c r="C1736" s="65">
        <f>Ringkasan!C1735</f>
        <v>1</v>
      </c>
      <c r="D1736" s="64" t="str">
        <f>Ringkasan!D1735</f>
        <v>#N/A</v>
      </c>
      <c r="E1736" s="64" t="str">
        <f>Ringkasan!E1735</f>
        <v/>
      </c>
      <c r="F1736" s="64" t="str">
        <f>Ringkasan!F1735</f>
        <v/>
      </c>
      <c r="G1736" s="64">
        <f>Ringkasan!G1735</f>
        <v>0</v>
      </c>
      <c r="H1736" s="19">
        <f>Ringkasan!H1735</f>
        <v>0</v>
      </c>
      <c r="I1736" s="19">
        <f>Ringkasan!I1735</f>
        <v>0.08</v>
      </c>
      <c r="J1736" s="19">
        <f>Ringkasan!J1735</f>
        <v>-68.6</v>
      </c>
      <c r="K1736" s="19">
        <f>Ringkasan!K1735</f>
        <v>-17.6</v>
      </c>
      <c r="L1736" s="19">
        <f>Ringkasan!L1735</f>
        <v>2.9</v>
      </c>
      <c r="M1736" s="19">
        <f>Ringkasan!M1735</f>
        <v>-680</v>
      </c>
      <c r="N1736" s="64" t="str">
        <f>Ringkasan!N1735</f>
        <v/>
      </c>
      <c r="O1736" s="64" t="str">
        <f>Ringkasan!O1735</f>
        <v/>
      </c>
      <c r="P1736" s="64" t="str">
        <f>Ringkasan!P1735</f>
        <v/>
      </c>
      <c r="Q1736" s="64" t="str">
        <f>Ringkasan!Q1735</f>
        <v/>
      </c>
      <c r="R1736" s="64" t="str">
        <f>Ringkasan!R1735</f>
        <v/>
      </c>
      <c r="S1736" s="64" t="str">
        <f>Ringkasan!S1735</f>
        <v/>
      </c>
      <c r="T1736" s="64" t="str">
        <f>Ringkasan!T1735</f>
        <v/>
      </c>
      <c r="U1736" s="64">
        <f>Ringkasan!U1735</f>
        <v>0.95</v>
      </c>
      <c r="V1736" s="64">
        <f>Ringkasan!V1735</f>
        <v>-1.68</v>
      </c>
      <c r="W1736" s="64">
        <f>Ringkasan!W1735</f>
        <v>0.95</v>
      </c>
      <c r="X1736" s="64">
        <f>Ringkasan!X1735</f>
        <v>0.97</v>
      </c>
      <c r="Y1736" s="64">
        <f>Ringkasan!Y1735</f>
        <v>0.91</v>
      </c>
      <c r="Z1736" s="64">
        <f>Ringkasan!Z1735</f>
        <v>251878</v>
      </c>
      <c r="AA1736" s="64" t="str">
        <f>Ringkasan!AA1735</f>
        <v>Heavy Constructions &amp; Civil Engineering</v>
      </c>
      <c r="AB1736" s="64" t="str">
        <f>Ringkasan!AB1735</f>
        <v>Infrastructures</v>
      </c>
    </row>
    <row r="1737" hidden="1">
      <c r="A1737" s="64" t="str">
        <f>Ringkasan!A1736</f>
        <v>TOSK</v>
      </c>
      <c r="B1737" s="64" t="str">
        <f>Ringkasan!B1736</f>
        <v>Topindo Solusi Komunika Tbk.</v>
      </c>
      <c r="C1737" s="65">
        <f>Ringkasan!C1736</f>
        <v>56</v>
      </c>
      <c r="D1737" s="64" t="str">
        <f>Ringkasan!D1736</f>
        <v>#N/A</v>
      </c>
      <c r="E1737" s="64" t="str">
        <f>Ringkasan!E1736</f>
        <v/>
      </c>
      <c r="F1737" s="64" t="str">
        <f>Ringkasan!F1736</f>
        <v/>
      </c>
      <c r="G1737" s="64">
        <f>Ringkasan!G1736</f>
        <v>0</v>
      </c>
      <c r="H1737" s="19">
        <f>Ringkasan!H1736</f>
        <v>53.8</v>
      </c>
      <c r="I1737" s="19">
        <f>Ringkasan!I1736</f>
        <v>1.5</v>
      </c>
      <c r="J1737" s="19">
        <f>Ringkasan!J1736</f>
        <v>2.8</v>
      </c>
      <c r="K1737" s="19">
        <f>Ringkasan!K1736</f>
        <v>2.2</v>
      </c>
      <c r="L1737" s="19">
        <f>Ringkasan!L1736</f>
        <v>0.27</v>
      </c>
      <c r="M1737" s="19">
        <f>Ringkasan!M1736</f>
        <v>1.1</v>
      </c>
      <c r="N1737" s="64" t="str">
        <f>Ringkasan!N1736</f>
        <v/>
      </c>
      <c r="O1737" s="64" t="str">
        <f>Ringkasan!O1736</f>
        <v/>
      </c>
      <c r="P1737" s="64" t="str">
        <f>Ringkasan!P1736</f>
        <v/>
      </c>
      <c r="Q1737" s="64" t="str">
        <f>Ringkasan!Q1736</f>
        <v/>
      </c>
      <c r="R1737" s="64" t="str">
        <f>Ringkasan!R1736</f>
        <v/>
      </c>
      <c r="S1737" s="64" t="str">
        <f>Ringkasan!S1736</f>
        <v/>
      </c>
      <c r="T1737" s="64" t="str">
        <f>Ringkasan!T1736</f>
        <v/>
      </c>
      <c r="U1737" s="64">
        <f>Ringkasan!U1736</f>
        <v>54</v>
      </c>
      <c r="V1737" s="64">
        <f>Ringkasan!V1736</f>
        <v>3.7</v>
      </c>
      <c r="W1737" s="64">
        <f>Ringkasan!W1736</f>
        <v>54</v>
      </c>
      <c r="X1737" s="64">
        <f>Ringkasan!X1736</f>
        <v>57</v>
      </c>
      <c r="Y1737" s="64">
        <f>Ringkasan!Y1736</f>
        <v>54</v>
      </c>
      <c r="Z1737" s="64">
        <f>Ringkasan!Z1736</f>
        <v>5857500</v>
      </c>
      <c r="AA1737" s="64" t="str">
        <f>Ringkasan!AA1736</f>
        <v>Online Applications &amp; Services</v>
      </c>
      <c r="AB1737" s="64" t="str">
        <f>Ringkasan!AB1736</f>
        <v>Technology</v>
      </c>
    </row>
    <row r="1738" hidden="1">
      <c r="A1738" s="64" t="str">
        <f>Ringkasan!A1737</f>
        <v>TOTL</v>
      </c>
      <c r="B1738" s="64" t="str">
        <f>Ringkasan!B1737</f>
        <v>Total Bangun Persada Tbk</v>
      </c>
      <c r="C1738" s="65">
        <f>Ringkasan!C1737</f>
        <v>1065</v>
      </c>
      <c r="D1738" s="64" t="str">
        <f>Ringkasan!D1737</f>
        <v>#N/A</v>
      </c>
      <c r="E1738" s="64" t="str">
        <f>Ringkasan!E1737</f>
        <v/>
      </c>
      <c r="F1738" s="64" t="str">
        <f>Ringkasan!F1737</f>
        <v/>
      </c>
      <c r="G1738" s="65">
        <f>Ringkasan!G1737</f>
        <v>0</v>
      </c>
      <c r="H1738" s="19">
        <f>Ringkasan!H1737</f>
        <v>8</v>
      </c>
      <c r="I1738" s="19">
        <f>Ringkasan!I1737</f>
        <v>2.5</v>
      </c>
      <c r="J1738" s="19">
        <f>Ringkasan!J1737</f>
        <v>30.9</v>
      </c>
      <c r="K1738" s="19">
        <f>Ringkasan!K1737</f>
        <v>10.2</v>
      </c>
      <c r="L1738" s="19">
        <f>Ringkasan!L1737</f>
        <v>2</v>
      </c>
      <c r="M1738" s="19">
        <f>Ringkasan!M1737</f>
        <v>52.8</v>
      </c>
      <c r="N1738" s="64" t="str">
        <f>Ringkasan!N1737</f>
        <v/>
      </c>
      <c r="O1738" s="64" t="str">
        <f>Ringkasan!O1737</f>
        <v/>
      </c>
      <c r="P1738" s="64" t="str">
        <f>Ringkasan!P1737</f>
        <v/>
      </c>
      <c r="Q1738" s="64" t="str">
        <f>Ringkasan!Q1737</f>
        <v/>
      </c>
      <c r="R1738" s="64" t="str">
        <f>Ringkasan!R1737</f>
        <v/>
      </c>
      <c r="S1738" s="64" t="str">
        <f>Ringkasan!S1737</f>
        <v/>
      </c>
      <c r="T1738" s="64" t="str">
        <f>Ringkasan!T1737</f>
        <v/>
      </c>
      <c r="U1738" s="64">
        <f>Ringkasan!U1737</f>
        <v>39.32</v>
      </c>
      <c r="V1738" s="64">
        <f>Ringkasan!V1737</f>
        <v>0.18</v>
      </c>
      <c r="W1738" s="64">
        <f>Ringkasan!W1737</f>
        <v>39.35</v>
      </c>
      <c r="X1738" s="64">
        <f>Ringkasan!X1737</f>
        <v>39.39</v>
      </c>
      <c r="Y1738" s="64">
        <f>Ringkasan!Y1737</f>
        <v>39.29</v>
      </c>
      <c r="Z1738" s="64">
        <f>Ringkasan!Z1737</f>
        <v>38237</v>
      </c>
      <c r="AA1738" s="64" t="str">
        <f>Ringkasan!AA1737</f>
        <v>Heavy Constructions &amp; Civil Engineering</v>
      </c>
      <c r="AB1738" s="64" t="str">
        <f>Ringkasan!AB1737</f>
        <v>Infrastructures</v>
      </c>
    </row>
    <row r="1739" hidden="1">
      <c r="A1739" s="64" t="str">
        <f>Ringkasan!A1738</f>
        <v>TOTO</v>
      </c>
      <c r="B1739" s="64" t="str">
        <f>Ringkasan!B1738</f>
        <v>Surya Toto Indonesia Tbk.</v>
      </c>
      <c r="C1739" s="65">
        <f>Ringkasan!C1738</f>
        <v>232</v>
      </c>
      <c r="D1739" s="64" t="str">
        <f>Ringkasan!D1738</f>
        <v>#N/A</v>
      </c>
      <c r="E1739" s="64" t="str">
        <f>Ringkasan!E1738</f>
        <v/>
      </c>
      <c r="F1739" s="64" t="str">
        <f>Ringkasan!F1738</f>
        <v/>
      </c>
      <c r="G1739" s="65">
        <f>Ringkasan!G1738</f>
        <v>0</v>
      </c>
      <c r="H1739" s="19">
        <f>Ringkasan!H1738</f>
        <v>8.2</v>
      </c>
      <c r="I1739" s="19">
        <f>Ringkasan!I1738</f>
        <v>0.97</v>
      </c>
      <c r="J1739" s="19">
        <f>Ringkasan!J1738</f>
        <v>11.9</v>
      </c>
      <c r="K1739" s="19">
        <f>Ringkasan!K1738</f>
        <v>9.1</v>
      </c>
      <c r="L1739" s="19">
        <f>Ringkasan!L1738</f>
        <v>0.31</v>
      </c>
      <c r="M1739" s="19">
        <f>Ringkasan!M1738</f>
        <v>64.1</v>
      </c>
      <c r="N1739" s="64" t="str">
        <f>Ringkasan!N1738</f>
        <v/>
      </c>
      <c r="O1739" s="64" t="str">
        <f>Ringkasan!O1738</f>
        <v/>
      </c>
      <c r="P1739" s="64" t="str">
        <f>Ringkasan!P1738</f>
        <v/>
      </c>
      <c r="Q1739" s="64" t="str">
        <f>Ringkasan!Q1738</f>
        <v/>
      </c>
      <c r="R1739" s="64" t="str">
        <f>Ringkasan!R1738</f>
        <v/>
      </c>
      <c r="S1739" s="64" t="str">
        <f>Ringkasan!S1738</f>
        <v/>
      </c>
      <c r="T1739" s="64" t="str">
        <f>Ringkasan!T1738</f>
        <v/>
      </c>
      <c r="U1739" s="64">
        <f>Ringkasan!U1738</f>
        <v>223</v>
      </c>
      <c r="V1739" s="64">
        <f>Ringkasan!V1738</f>
        <v>4.04</v>
      </c>
      <c r="W1739" s="64">
        <f>Ringkasan!W1738</f>
        <v>226</v>
      </c>
      <c r="X1739" s="64">
        <f>Ringkasan!X1738</f>
        <v>234</v>
      </c>
      <c r="Y1739" s="64">
        <f>Ringkasan!Y1738</f>
        <v>202</v>
      </c>
      <c r="Z1739" s="64">
        <f>Ringkasan!Z1738</f>
        <v>2068600</v>
      </c>
      <c r="AA1739" s="64" t="str">
        <f>Ringkasan!AA1738</f>
        <v>Building Products &amp; Fixtures</v>
      </c>
      <c r="AB1739" s="64" t="str">
        <f>Ringkasan!AB1738</f>
        <v>Industrials</v>
      </c>
    </row>
    <row r="1740" hidden="1">
      <c r="A1740" s="64" t="str">
        <f>Ringkasan!A1739</f>
        <v>TOWR</v>
      </c>
      <c r="B1740" s="64" t="str">
        <f>Ringkasan!B1739</f>
        <v>Sarana Menara Nusantara Tbk</v>
      </c>
      <c r="C1740" s="65">
        <f>Ringkasan!C1739</f>
        <v>344</v>
      </c>
      <c r="D1740" s="64" t="str">
        <f>Ringkasan!D1739</f>
        <v>#N/A</v>
      </c>
      <c r="E1740" s="64" t="str">
        <f>Ringkasan!E1739</f>
        <v>ESGQKEHATI</v>
      </c>
      <c r="F1740" s="66">
        <f>Ringkasan!F1739</f>
        <v>46356</v>
      </c>
      <c r="G1740" s="64">
        <f>Ringkasan!G1739</f>
        <v>11</v>
      </c>
      <c r="H1740" s="19">
        <f>Ringkasan!H1739</f>
        <v>6.1</v>
      </c>
      <c r="I1740" s="19">
        <f>Ringkasan!I1739</f>
        <v>0.83</v>
      </c>
      <c r="J1740" s="19">
        <f>Ringkasan!J1739</f>
        <v>13.6</v>
      </c>
      <c r="K1740" s="19">
        <f>Ringkasan!K1739</f>
        <v>4.8</v>
      </c>
      <c r="L1740" s="19">
        <f>Ringkasan!L1739</f>
        <v>1.9</v>
      </c>
      <c r="M1740" s="19">
        <f>Ringkasan!M1739</f>
        <v>27.6</v>
      </c>
      <c r="N1740" s="64" t="str">
        <f>Ringkasan!N1739</f>
        <v/>
      </c>
      <c r="O1740" s="64" t="str">
        <f>Ringkasan!O1739</f>
        <v/>
      </c>
      <c r="P1740" s="64" t="str">
        <f>Ringkasan!P1739</f>
        <v/>
      </c>
      <c r="Q1740" s="64" t="str">
        <f>Ringkasan!Q1739</f>
        <v/>
      </c>
      <c r="R1740" s="64" t="str">
        <f>Ringkasan!R1739</f>
        <v/>
      </c>
      <c r="S1740" s="64" t="str">
        <f>Ringkasan!S1739</f>
        <v/>
      </c>
      <c r="T1740" s="64" t="str">
        <f>Ringkasan!T1739</f>
        <v/>
      </c>
      <c r="U1740" s="64">
        <f>Ringkasan!U1739</f>
        <v>332</v>
      </c>
      <c r="V1740" s="64">
        <f>Ringkasan!V1739</f>
        <v>3.61</v>
      </c>
      <c r="W1740" s="64">
        <f>Ringkasan!W1739</f>
        <v>334</v>
      </c>
      <c r="X1740" s="64">
        <f>Ringkasan!X1739</f>
        <v>354</v>
      </c>
      <c r="Y1740" s="64">
        <f>Ringkasan!Y1739</f>
        <v>332</v>
      </c>
      <c r="Z1740" s="64">
        <f>Ringkasan!Z1739</f>
        <v>229174400</v>
      </c>
      <c r="AA1740" s="64" t="str">
        <f>Ringkasan!AA1739</f>
        <v>Wireless Telecommunication Services</v>
      </c>
      <c r="AB1740" s="64" t="str">
        <f>Ringkasan!AB1739</f>
        <v>Infrastructures</v>
      </c>
    </row>
    <row r="1741" hidden="1">
      <c r="A1741" s="64" t="str">
        <f>Ringkasan!A1740</f>
        <v>TOWR</v>
      </c>
      <c r="B1741" s="64" t="str">
        <f>Ringkasan!B1740</f>
        <v>Sarana Menara Nusantara Tbk</v>
      </c>
      <c r="C1741" s="65">
        <f>Ringkasan!C1740</f>
        <v>344</v>
      </c>
      <c r="D1741" s="64" t="str">
        <f>Ringkasan!D1740</f>
        <v>#N/A</v>
      </c>
      <c r="E1741" s="64" t="str">
        <f>Ringkasan!E1740</f>
        <v>Investor33</v>
      </c>
      <c r="F1741" s="66">
        <f>Ringkasan!F1740</f>
        <v>46356</v>
      </c>
      <c r="G1741" s="64">
        <f>Ringkasan!G1740</f>
        <v>11</v>
      </c>
      <c r="H1741" s="19">
        <f>Ringkasan!H1740</f>
        <v>6.1</v>
      </c>
      <c r="I1741" s="19">
        <f>Ringkasan!I1740</f>
        <v>0.83</v>
      </c>
      <c r="J1741" s="19">
        <f>Ringkasan!J1740</f>
        <v>13.6</v>
      </c>
      <c r="K1741" s="19">
        <f>Ringkasan!K1740</f>
        <v>4.8</v>
      </c>
      <c r="L1741" s="19">
        <f>Ringkasan!L1740</f>
        <v>1.9</v>
      </c>
      <c r="M1741" s="19">
        <f>Ringkasan!M1740</f>
        <v>27.6</v>
      </c>
      <c r="N1741" s="64" t="str">
        <f>Ringkasan!N1740</f>
        <v/>
      </c>
      <c r="O1741" s="64" t="str">
        <f>Ringkasan!O1740</f>
        <v/>
      </c>
      <c r="P1741" s="64" t="str">
        <f>Ringkasan!P1740</f>
        <v/>
      </c>
      <c r="Q1741" s="64" t="str">
        <f>Ringkasan!Q1740</f>
        <v/>
      </c>
      <c r="R1741" s="64" t="str">
        <f>Ringkasan!R1740</f>
        <v/>
      </c>
      <c r="S1741" s="64" t="str">
        <f>Ringkasan!S1740</f>
        <v/>
      </c>
      <c r="T1741" s="64" t="str">
        <f>Ringkasan!T1740</f>
        <v/>
      </c>
      <c r="U1741" s="64">
        <f>Ringkasan!U1740</f>
        <v>332</v>
      </c>
      <c r="V1741" s="64">
        <f>Ringkasan!V1740</f>
        <v>3.61</v>
      </c>
      <c r="W1741" s="64">
        <f>Ringkasan!W1740</f>
        <v>334</v>
      </c>
      <c r="X1741" s="64">
        <f>Ringkasan!X1740</f>
        <v>354</v>
      </c>
      <c r="Y1741" s="64">
        <f>Ringkasan!Y1740</f>
        <v>332</v>
      </c>
      <c r="Z1741" s="64">
        <f>Ringkasan!Z1740</f>
        <v>229174400</v>
      </c>
      <c r="AA1741" s="64" t="str">
        <f>Ringkasan!AA1740</f>
        <v>Wireless Telecommunication Services</v>
      </c>
      <c r="AB1741" s="64" t="str">
        <f>Ringkasan!AB1740</f>
        <v>Infrastructures</v>
      </c>
    </row>
    <row r="1742" hidden="1">
      <c r="A1742" s="64" t="str">
        <f>Ringkasan!A1741</f>
        <v>TOWR</v>
      </c>
      <c r="B1742" s="64" t="str">
        <f>Ringkasan!B1741</f>
        <v>Sarana Menara Nusantara Tbk</v>
      </c>
      <c r="C1742" s="65">
        <f>Ringkasan!C1741</f>
        <v>344</v>
      </c>
      <c r="D1742" s="64" t="str">
        <f>Ringkasan!D1741</f>
        <v>#N/A</v>
      </c>
      <c r="E1742" s="64" t="str">
        <f>Ringkasan!E1741</f>
        <v>IDXV30</v>
      </c>
      <c r="F1742" s="64" t="str">
        <f>Ringkasan!F1741</f>
        <v>4 Agustus 2026</v>
      </c>
      <c r="G1742" s="64">
        <f>Ringkasan!G1741</f>
        <v>11</v>
      </c>
      <c r="H1742" s="19">
        <f>Ringkasan!H1741</f>
        <v>6.1</v>
      </c>
      <c r="I1742" s="19">
        <f>Ringkasan!I1741</f>
        <v>0.83</v>
      </c>
      <c r="J1742" s="19">
        <f>Ringkasan!J1741</f>
        <v>13.6</v>
      </c>
      <c r="K1742" s="19">
        <f>Ringkasan!K1741</f>
        <v>4.8</v>
      </c>
      <c r="L1742" s="19">
        <f>Ringkasan!L1741</f>
        <v>1.9</v>
      </c>
      <c r="M1742" s="19">
        <f>Ringkasan!M1741</f>
        <v>27.6</v>
      </c>
      <c r="N1742" s="64" t="str">
        <f>Ringkasan!N1741</f>
        <v/>
      </c>
      <c r="O1742" s="64" t="str">
        <f>Ringkasan!O1741</f>
        <v/>
      </c>
      <c r="P1742" s="64" t="str">
        <f>Ringkasan!P1741</f>
        <v/>
      </c>
      <c r="Q1742" s="64" t="str">
        <f>Ringkasan!Q1741</f>
        <v/>
      </c>
      <c r="R1742" s="64" t="str">
        <f>Ringkasan!R1741</f>
        <v/>
      </c>
      <c r="S1742" s="64" t="str">
        <f>Ringkasan!S1741</f>
        <v/>
      </c>
      <c r="T1742" s="64" t="str">
        <f>Ringkasan!T1741</f>
        <v/>
      </c>
      <c r="U1742" s="64">
        <f>Ringkasan!U1741</f>
        <v>332</v>
      </c>
      <c r="V1742" s="64">
        <f>Ringkasan!V1741</f>
        <v>3.61</v>
      </c>
      <c r="W1742" s="64">
        <f>Ringkasan!W1741</f>
        <v>334</v>
      </c>
      <c r="X1742" s="64">
        <f>Ringkasan!X1741</f>
        <v>354</v>
      </c>
      <c r="Y1742" s="64">
        <f>Ringkasan!Y1741</f>
        <v>332</v>
      </c>
      <c r="Z1742" s="64">
        <f>Ringkasan!Z1741</f>
        <v>229174400</v>
      </c>
      <c r="AA1742" s="64" t="str">
        <f>Ringkasan!AA1741</f>
        <v>Wireless Telecommunication Services</v>
      </c>
      <c r="AB1742" s="64" t="str">
        <f>Ringkasan!AB1741</f>
        <v>Infrastructures</v>
      </c>
    </row>
    <row r="1743" hidden="1">
      <c r="A1743" s="64" t="str">
        <f>Ringkasan!A1742</f>
        <v>TOWR</v>
      </c>
      <c r="B1743" s="64" t="str">
        <f>Ringkasan!B1742</f>
        <v>Sarana Menara Nusantara Tbk</v>
      </c>
      <c r="C1743" s="65">
        <f>Ringkasan!C1742</f>
        <v>344</v>
      </c>
      <c r="D1743" s="64" t="str">
        <f>Ringkasan!D1742</f>
        <v>#N/A</v>
      </c>
      <c r="E1743" s="64" t="str">
        <f>Ringkasan!E1742</f>
        <v>Kompas100</v>
      </c>
      <c r="F1743" s="64" t="str">
        <f>Ringkasan!F1742</f>
        <v>31 Juli 2026</v>
      </c>
      <c r="G1743" s="64">
        <f>Ringkasan!G1742</f>
        <v>11</v>
      </c>
      <c r="H1743" s="19">
        <f>Ringkasan!H1742</f>
        <v>6.1</v>
      </c>
      <c r="I1743" s="19">
        <f>Ringkasan!I1742</f>
        <v>0.83</v>
      </c>
      <c r="J1743" s="19">
        <f>Ringkasan!J1742</f>
        <v>13.6</v>
      </c>
      <c r="K1743" s="19">
        <f>Ringkasan!K1742</f>
        <v>4.8</v>
      </c>
      <c r="L1743" s="19">
        <f>Ringkasan!L1742</f>
        <v>1.9</v>
      </c>
      <c r="M1743" s="19">
        <f>Ringkasan!M1742</f>
        <v>27.6</v>
      </c>
      <c r="N1743" s="64" t="str">
        <f>Ringkasan!N1742</f>
        <v/>
      </c>
      <c r="O1743" s="64" t="str">
        <f>Ringkasan!O1742</f>
        <v/>
      </c>
      <c r="P1743" s="64" t="str">
        <f>Ringkasan!P1742</f>
        <v/>
      </c>
      <c r="Q1743" s="64" t="str">
        <f>Ringkasan!Q1742</f>
        <v/>
      </c>
      <c r="R1743" s="64" t="str">
        <f>Ringkasan!R1742</f>
        <v/>
      </c>
      <c r="S1743" s="64" t="str">
        <f>Ringkasan!S1742</f>
        <v/>
      </c>
      <c r="T1743" s="64" t="str">
        <f>Ringkasan!T1742</f>
        <v/>
      </c>
      <c r="U1743" s="64">
        <f>Ringkasan!U1742</f>
        <v>332</v>
      </c>
      <c r="V1743" s="64">
        <f>Ringkasan!V1742</f>
        <v>3.61</v>
      </c>
      <c r="W1743" s="64">
        <f>Ringkasan!W1742</f>
        <v>334</v>
      </c>
      <c r="X1743" s="64">
        <f>Ringkasan!X1742</f>
        <v>354</v>
      </c>
      <c r="Y1743" s="64">
        <f>Ringkasan!Y1742</f>
        <v>332</v>
      </c>
      <c r="Z1743" s="64">
        <f>Ringkasan!Z1742</f>
        <v>229174400</v>
      </c>
      <c r="AA1743" s="64" t="str">
        <f>Ringkasan!AA1742</f>
        <v>Wireless Telecommunication Services</v>
      </c>
      <c r="AB1743" s="64" t="str">
        <f>Ringkasan!AB1742</f>
        <v>Infrastructures</v>
      </c>
    </row>
    <row r="1744" hidden="1">
      <c r="A1744" s="64" t="str">
        <f>Ringkasan!A1743</f>
        <v>TOWR</v>
      </c>
      <c r="B1744" s="64" t="str">
        <f>Ringkasan!B1743</f>
        <v>Sarana Menara Nusantara Tbk</v>
      </c>
      <c r="C1744" s="65">
        <f>Ringkasan!C1743</f>
        <v>344</v>
      </c>
      <c r="D1744" s="64" t="str">
        <f>Ringkasan!D1743</f>
        <v>#N/A</v>
      </c>
      <c r="E1744" s="64" t="str">
        <f>Ringkasan!E1743</f>
        <v>IDX80</v>
      </c>
      <c r="F1744" s="64" t="str">
        <f>Ringkasan!F1743</f>
        <v>31 Juli 2026</v>
      </c>
      <c r="G1744" s="64">
        <f>Ringkasan!G1743</f>
        <v>11</v>
      </c>
      <c r="H1744" s="19">
        <f>Ringkasan!H1743</f>
        <v>6.1</v>
      </c>
      <c r="I1744" s="19">
        <f>Ringkasan!I1743</f>
        <v>0.83</v>
      </c>
      <c r="J1744" s="19">
        <f>Ringkasan!J1743</f>
        <v>13.6</v>
      </c>
      <c r="K1744" s="19">
        <f>Ringkasan!K1743</f>
        <v>4.8</v>
      </c>
      <c r="L1744" s="19">
        <f>Ringkasan!L1743</f>
        <v>1.9</v>
      </c>
      <c r="M1744" s="19">
        <f>Ringkasan!M1743</f>
        <v>27.6</v>
      </c>
      <c r="N1744" s="64" t="str">
        <f>Ringkasan!N1743</f>
        <v/>
      </c>
      <c r="O1744" s="64" t="str">
        <f>Ringkasan!O1743</f>
        <v/>
      </c>
      <c r="P1744" s="64" t="str">
        <f>Ringkasan!P1743</f>
        <v/>
      </c>
      <c r="Q1744" s="64" t="str">
        <f>Ringkasan!Q1743</f>
        <v/>
      </c>
      <c r="R1744" s="64" t="str">
        <f>Ringkasan!R1743</f>
        <v/>
      </c>
      <c r="S1744" s="64" t="str">
        <f>Ringkasan!S1743</f>
        <v/>
      </c>
      <c r="T1744" s="64" t="str">
        <f>Ringkasan!T1743</f>
        <v/>
      </c>
      <c r="U1744" s="64">
        <f>Ringkasan!U1743</f>
        <v>332</v>
      </c>
      <c r="V1744" s="64">
        <f>Ringkasan!V1743</f>
        <v>3.61</v>
      </c>
      <c r="W1744" s="64">
        <f>Ringkasan!W1743</f>
        <v>334</v>
      </c>
      <c r="X1744" s="64">
        <f>Ringkasan!X1743</f>
        <v>354</v>
      </c>
      <c r="Y1744" s="64">
        <f>Ringkasan!Y1743</f>
        <v>332</v>
      </c>
      <c r="Z1744" s="64">
        <f>Ringkasan!Z1743</f>
        <v>229174400</v>
      </c>
      <c r="AA1744" s="64" t="str">
        <f>Ringkasan!AA1743</f>
        <v>Wireless Telecommunication Services</v>
      </c>
      <c r="AB1744" s="64" t="str">
        <f>Ringkasan!AB1743</f>
        <v>Infrastructures</v>
      </c>
    </row>
    <row r="1745" hidden="1">
      <c r="A1745" s="64" t="str">
        <f>Ringkasan!A1744</f>
        <v>TOWR</v>
      </c>
      <c r="B1745" s="64" t="str">
        <f>Ringkasan!B1744</f>
        <v>Sarana Menara Nusantara Tbk</v>
      </c>
      <c r="C1745" s="65">
        <f>Ringkasan!C1744</f>
        <v>344</v>
      </c>
      <c r="D1745" s="64" t="str">
        <f>Ringkasan!D1744</f>
        <v>#N/A</v>
      </c>
      <c r="E1745" s="64" t="str">
        <f>Ringkasan!E1744</f>
        <v>SMINFRA18</v>
      </c>
      <c r="F1745" s="64" t="str">
        <f>Ringkasan!F1744</f>
        <v>30 Oktober 2026</v>
      </c>
      <c r="G1745" s="64">
        <f>Ringkasan!G1744</f>
        <v>11</v>
      </c>
      <c r="H1745" s="19">
        <f>Ringkasan!H1744</f>
        <v>6.1</v>
      </c>
      <c r="I1745" s="19">
        <f>Ringkasan!I1744</f>
        <v>0.83</v>
      </c>
      <c r="J1745" s="19">
        <f>Ringkasan!J1744</f>
        <v>13.6</v>
      </c>
      <c r="K1745" s="19">
        <f>Ringkasan!K1744</f>
        <v>4.8</v>
      </c>
      <c r="L1745" s="19">
        <f>Ringkasan!L1744</f>
        <v>1.9</v>
      </c>
      <c r="M1745" s="19">
        <f>Ringkasan!M1744</f>
        <v>27.6</v>
      </c>
      <c r="N1745" s="64" t="str">
        <f>Ringkasan!N1744</f>
        <v/>
      </c>
      <c r="O1745" s="64" t="str">
        <f>Ringkasan!O1744</f>
        <v/>
      </c>
      <c r="P1745" s="64" t="str">
        <f>Ringkasan!P1744</f>
        <v/>
      </c>
      <c r="Q1745" s="64" t="str">
        <f>Ringkasan!Q1744</f>
        <v/>
      </c>
      <c r="R1745" s="64" t="str">
        <f>Ringkasan!R1744</f>
        <v/>
      </c>
      <c r="S1745" s="64" t="str">
        <f>Ringkasan!S1744</f>
        <v/>
      </c>
      <c r="T1745" s="64" t="str">
        <f>Ringkasan!T1744</f>
        <v/>
      </c>
      <c r="U1745" s="64">
        <f>Ringkasan!U1744</f>
        <v>332</v>
      </c>
      <c r="V1745" s="64">
        <f>Ringkasan!V1744</f>
        <v>3.61</v>
      </c>
      <c r="W1745" s="64">
        <f>Ringkasan!W1744</f>
        <v>334</v>
      </c>
      <c r="X1745" s="64">
        <f>Ringkasan!X1744</f>
        <v>354</v>
      </c>
      <c r="Y1745" s="64">
        <f>Ringkasan!Y1744</f>
        <v>332</v>
      </c>
      <c r="Z1745" s="64">
        <f>Ringkasan!Z1744</f>
        <v>229174400</v>
      </c>
      <c r="AA1745" s="64" t="str">
        <f>Ringkasan!AA1744</f>
        <v>Wireless Telecommunication Services</v>
      </c>
      <c r="AB1745" s="64" t="str">
        <f>Ringkasan!AB1744</f>
        <v>Infrastructures</v>
      </c>
    </row>
    <row r="1746" hidden="1">
      <c r="A1746" s="64" t="str">
        <f>Ringkasan!A1745</f>
        <v>TOWR</v>
      </c>
      <c r="B1746" s="64" t="str">
        <f>Ringkasan!B1745</f>
        <v>Sarana Menara Nusantara Tbk</v>
      </c>
      <c r="C1746" s="65">
        <f>Ringkasan!C1745</f>
        <v>344</v>
      </c>
      <c r="D1746" s="64" t="str">
        <f>Ringkasan!D1745</f>
        <v>#N/A</v>
      </c>
      <c r="E1746" s="64" t="str">
        <f>Ringkasan!E1745</f>
        <v>LQ45</v>
      </c>
      <c r="F1746" s="64" t="str">
        <f>Ringkasan!F1745</f>
        <v>31 Juli 2026</v>
      </c>
      <c r="G1746" s="64">
        <f>Ringkasan!G1745</f>
        <v>11</v>
      </c>
      <c r="H1746" s="19">
        <f>Ringkasan!H1745</f>
        <v>6.1</v>
      </c>
      <c r="I1746" s="19">
        <f>Ringkasan!I1745</f>
        <v>0.83</v>
      </c>
      <c r="J1746" s="19">
        <f>Ringkasan!J1745</f>
        <v>13.6</v>
      </c>
      <c r="K1746" s="19">
        <f>Ringkasan!K1745</f>
        <v>4.8</v>
      </c>
      <c r="L1746" s="19">
        <f>Ringkasan!L1745</f>
        <v>1.9</v>
      </c>
      <c r="M1746" s="19">
        <f>Ringkasan!M1745</f>
        <v>27.6</v>
      </c>
      <c r="N1746" s="64" t="str">
        <f>Ringkasan!N1745</f>
        <v/>
      </c>
      <c r="O1746" s="64" t="str">
        <f>Ringkasan!O1745</f>
        <v/>
      </c>
      <c r="P1746" s="64" t="str">
        <f>Ringkasan!P1745</f>
        <v/>
      </c>
      <c r="Q1746" s="64" t="str">
        <f>Ringkasan!Q1745</f>
        <v/>
      </c>
      <c r="R1746" s="64" t="str">
        <f>Ringkasan!R1745</f>
        <v/>
      </c>
      <c r="S1746" s="64" t="str">
        <f>Ringkasan!S1745</f>
        <v/>
      </c>
      <c r="T1746" s="64" t="str">
        <f>Ringkasan!T1745</f>
        <v/>
      </c>
      <c r="U1746" s="64">
        <f>Ringkasan!U1745</f>
        <v>332</v>
      </c>
      <c r="V1746" s="64">
        <f>Ringkasan!V1745</f>
        <v>3.61</v>
      </c>
      <c r="W1746" s="64">
        <f>Ringkasan!W1745</f>
        <v>334</v>
      </c>
      <c r="X1746" s="64">
        <f>Ringkasan!X1745</f>
        <v>354</v>
      </c>
      <c r="Y1746" s="64">
        <f>Ringkasan!Y1745</f>
        <v>332</v>
      </c>
      <c r="Z1746" s="64">
        <f>Ringkasan!Z1745</f>
        <v>229174400</v>
      </c>
      <c r="AA1746" s="64" t="str">
        <f>Ringkasan!AA1745</f>
        <v>Wireless Telecommunication Services</v>
      </c>
      <c r="AB1746" s="64" t="str">
        <f>Ringkasan!AB1745</f>
        <v>Infrastructures</v>
      </c>
    </row>
    <row r="1747" hidden="1">
      <c r="A1747" s="64" t="str">
        <f>Ringkasan!A1746</f>
        <v>TOWR</v>
      </c>
      <c r="B1747" s="64" t="str">
        <f>Ringkasan!B1746</f>
        <v>Sarana Menara Nusantara Tbk</v>
      </c>
      <c r="C1747" s="65">
        <f>Ringkasan!C1746</f>
        <v>344</v>
      </c>
      <c r="D1747" s="64" t="str">
        <f>Ringkasan!D1746</f>
        <v>#N/A</v>
      </c>
      <c r="E1747" s="64" t="str">
        <f>Ringkasan!E1746</f>
        <v>IDXESGL</v>
      </c>
      <c r="F1747" s="64" t="str">
        <f>Ringkasan!F1746</f>
        <v>30 Oktober 2026</v>
      </c>
      <c r="G1747" s="64">
        <f>Ringkasan!G1746</f>
        <v>11</v>
      </c>
      <c r="H1747" s="19">
        <f>Ringkasan!H1746</f>
        <v>6.1</v>
      </c>
      <c r="I1747" s="19">
        <f>Ringkasan!I1746</f>
        <v>0.83</v>
      </c>
      <c r="J1747" s="19">
        <f>Ringkasan!J1746</f>
        <v>13.6</v>
      </c>
      <c r="K1747" s="19">
        <f>Ringkasan!K1746</f>
        <v>4.8</v>
      </c>
      <c r="L1747" s="19">
        <f>Ringkasan!L1746</f>
        <v>1.9</v>
      </c>
      <c r="M1747" s="19">
        <f>Ringkasan!M1746</f>
        <v>27.6</v>
      </c>
      <c r="N1747" s="64" t="str">
        <f>Ringkasan!N1746</f>
        <v/>
      </c>
      <c r="O1747" s="64" t="str">
        <f>Ringkasan!O1746</f>
        <v/>
      </c>
      <c r="P1747" s="64" t="str">
        <f>Ringkasan!P1746</f>
        <v/>
      </c>
      <c r="Q1747" s="64" t="str">
        <f>Ringkasan!Q1746</f>
        <v/>
      </c>
      <c r="R1747" s="64" t="str">
        <f>Ringkasan!R1746</f>
        <v/>
      </c>
      <c r="S1747" s="64" t="str">
        <f>Ringkasan!S1746</f>
        <v/>
      </c>
      <c r="T1747" s="64" t="str">
        <f>Ringkasan!T1746</f>
        <v/>
      </c>
      <c r="U1747" s="64">
        <f>Ringkasan!U1746</f>
        <v>332</v>
      </c>
      <c r="V1747" s="64">
        <f>Ringkasan!V1746</f>
        <v>3.61</v>
      </c>
      <c r="W1747" s="64">
        <f>Ringkasan!W1746</f>
        <v>334</v>
      </c>
      <c r="X1747" s="64">
        <f>Ringkasan!X1746</f>
        <v>354</v>
      </c>
      <c r="Y1747" s="64">
        <f>Ringkasan!Y1746</f>
        <v>332</v>
      </c>
      <c r="Z1747" s="64">
        <f>Ringkasan!Z1746</f>
        <v>229174400</v>
      </c>
      <c r="AA1747" s="64" t="str">
        <f>Ringkasan!AA1746</f>
        <v>Wireless Telecommunication Services</v>
      </c>
      <c r="AB1747" s="64" t="str">
        <f>Ringkasan!AB1746</f>
        <v>Infrastructures</v>
      </c>
    </row>
    <row r="1748" hidden="1">
      <c r="A1748" s="64" t="str">
        <f>Ringkasan!A1747</f>
        <v>TOWR</v>
      </c>
      <c r="B1748" s="64" t="str">
        <f>Ringkasan!B1747</f>
        <v>Sarana Menara Nusantara Tbk</v>
      </c>
      <c r="C1748" s="65">
        <f>Ringkasan!C1747</f>
        <v>344</v>
      </c>
      <c r="D1748" s="64" t="str">
        <f>Ringkasan!D1747</f>
        <v>#N/A</v>
      </c>
      <c r="E1748" s="64" t="str">
        <f>Ringkasan!E1747</f>
        <v>IDXSMC-LIQ</v>
      </c>
      <c r="F1748" s="64" t="str">
        <f>Ringkasan!F1747</f>
        <v>4 Agustus 2026</v>
      </c>
      <c r="G1748" s="64">
        <f>Ringkasan!G1747</f>
        <v>11</v>
      </c>
      <c r="H1748" s="19">
        <f>Ringkasan!H1747</f>
        <v>6.1</v>
      </c>
      <c r="I1748" s="19">
        <f>Ringkasan!I1747</f>
        <v>0.83</v>
      </c>
      <c r="J1748" s="19">
        <f>Ringkasan!J1747</f>
        <v>13.6</v>
      </c>
      <c r="K1748" s="19">
        <f>Ringkasan!K1747</f>
        <v>4.8</v>
      </c>
      <c r="L1748" s="19">
        <f>Ringkasan!L1747</f>
        <v>1.9</v>
      </c>
      <c r="M1748" s="19">
        <f>Ringkasan!M1747</f>
        <v>27.6</v>
      </c>
      <c r="N1748" s="64" t="str">
        <f>Ringkasan!N1747</f>
        <v/>
      </c>
      <c r="O1748" s="64" t="str">
        <f>Ringkasan!O1747</f>
        <v/>
      </c>
      <c r="P1748" s="64" t="str">
        <f>Ringkasan!P1747</f>
        <v/>
      </c>
      <c r="Q1748" s="64" t="str">
        <f>Ringkasan!Q1747</f>
        <v/>
      </c>
      <c r="R1748" s="64" t="str">
        <f>Ringkasan!R1747</f>
        <v/>
      </c>
      <c r="S1748" s="64" t="str">
        <f>Ringkasan!S1747</f>
        <v/>
      </c>
      <c r="T1748" s="64" t="str">
        <f>Ringkasan!T1747</f>
        <v/>
      </c>
      <c r="U1748" s="64">
        <f>Ringkasan!U1747</f>
        <v>332</v>
      </c>
      <c r="V1748" s="64">
        <f>Ringkasan!V1747</f>
        <v>3.61</v>
      </c>
      <c r="W1748" s="64">
        <f>Ringkasan!W1747</f>
        <v>334</v>
      </c>
      <c r="X1748" s="64">
        <f>Ringkasan!X1747</f>
        <v>354</v>
      </c>
      <c r="Y1748" s="64">
        <f>Ringkasan!Y1747</f>
        <v>332</v>
      </c>
      <c r="Z1748" s="64">
        <f>Ringkasan!Z1747</f>
        <v>229174400</v>
      </c>
      <c r="AA1748" s="64" t="str">
        <f>Ringkasan!AA1747</f>
        <v>Wireless Telecommunication Services</v>
      </c>
      <c r="AB1748" s="64" t="str">
        <f>Ringkasan!AB1747</f>
        <v>Infrastructures</v>
      </c>
    </row>
    <row r="1749" hidden="1">
      <c r="A1749" s="64" t="str">
        <f>Ringkasan!A1748</f>
        <v>TOWR</v>
      </c>
      <c r="B1749" s="64" t="str">
        <f>Ringkasan!B1748</f>
        <v>Sarana Menara Nusantara Tbk</v>
      </c>
      <c r="C1749" s="65">
        <f>Ringkasan!C1748</f>
        <v>344</v>
      </c>
      <c r="D1749" s="64" t="str">
        <f>Ringkasan!D1748</f>
        <v>#N/A</v>
      </c>
      <c r="E1749" s="64" t="str">
        <f>Ringkasan!E1748</f>
        <v>FTSE Large Cap</v>
      </c>
      <c r="F1749" s="64" t="str">
        <f>Ringkasan!F1748</f>
        <v>Juni 2026</v>
      </c>
      <c r="G1749" s="64">
        <f>Ringkasan!G1748</f>
        <v>11</v>
      </c>
      <c r="H1749" s="19">
        <f>Ringkasan!H1748</f>
        <v>6.1</v>
      </c>
      <c r="I1749" s="19">
        <f>Ringkasan!I1748</f>
        <v>0.83</v>
      </c>
      <c r="J1749" s="19">
        <f>Ringkasan!J1748</f>
        <v>13.6</v>
      </c>
      <c r="K1749" s="19">
        <f>Ringkasan!K1748</f>
        <v>4.8</v>
      </c>
      <c r="L1749" s="19">
        <f>Ringkasan!L1748</f>
        <v>1.9</v>
      </c>
      <c r="M1749" s="19">
        <f>Ringkasan!M1748</f>
        <v>27.6</v>
      </c>
      <c r="N1749" s="64" t="str">
        <f>Ringkasan!N1748</f>
        <v/>
      </c>
      <c r="O1749" s="64" t="str">
        <f>Ringkasan!O1748</f>
        <v/>
      </c>
      <c r="P1749" s="64" t="str">
        <f>Ringkasan!P1748</f>
        <v/>
      </c>
      <c r="Q1749" s="64" t="str">
        <f>Ringkasan!Q1748</f>
        <v/>
      </c>
      <c r="R1749" s="64" t="str">
        <f>Ringkasan!R1748</f>
        <v/>
      </c>
      <c r="S1749" s="64" t="str">
        <f>Ringkasan!S1748</f>
        <v/>
      </c>
      <c r="T1749" s="64" t="str">
        <f>Ringkasan!T1748</f>
        <v/>
      </c>
      <c r="U1749" s="64">
        <f>Ringkasan!U1748</f>
        <v>332</v>
      </c>
      <c r="V1749" s="64">
        <f>Ringkasan!V1748</f>
        <v>3.61</v>
      </c>
      <c r="W1749" s="64">
        <f>Ringkasan!W1748</f>
        <v>334</v>
      </c>
      <c r="X1749" s="64">
        <f>Ringkasan!X1748</f>
        <v>354</v>
      </c>
      <c r="Y1749" s="64">
        <f>Ringkasan!Y1748</f>
        <v>332</v>
      </c>
      <c r="Z1749" s="64">
        <f>Ringkasan!Z1748</f>
        <v>229174400</v>
      </c>
      <c r="AA1749" s="64" t="str">
        <f>Ringkasan!AA1748</f>
        <v>Wireless Telecommunication Services</v>
      </c>
      <c r="AB1749" s="64" t="str">
        <f>Ringkasan!AB1748</f>
        <v>Infrastructures</v>
      </c>
    </row>
    <row r="1750" hidden="1">
      <c r="A1750" s="64" t="str">
        <f>Ringkasan!A1749</f>
        <v>TOWR</v>
      </c>
      <c r="B1750" s="64" t="str">
        <f>Ringkasan!B1749</f>
        <v>Sarana Menara Nusantara Tbk</v>
      </c>
      <c r="C1750" s="65">
        <f>Ringkasan!C1749</f>
        <v>344</v>
      </c>
      <c r="D1750" s="64" t="str">
        <f>Ringkasan!D1749</f>
        <v>#N/A</v>
      </c>
      <c r="E1750" s="64" t="str">
        <f>Ringkasan!E1749</f>
        <v>MSCI Small Cap</v>
      </c>
      <c r="F1750" s="64" t="str">
        <f>Ringkasan!F1749</f>
        <v>12 Agustus 2026</v>
      </c>
      <c r="G1750" s="64">
        <f>Ringkasan!G1749</f>
        <v>11</v>
      </c>
      <c r="H1750" s="19">
        <f>Ringkasan!H1749</f>
        <v>6.1</v>
      </c>
      <c r="I1750" s="19">
        <f>Ringkasan!I1749</f>
        <v>0.83</v>
      </c>
      <c r="J1750" s="19">
        <f>Ringkasan!J1749</f>
        <v>13.6</v>
      </c>
      <c r="K1750" s="19">
        <f>Ringkasan!K1749</f>
        <v>4.8</v>
      </c>
      <c r="L1750" s="19">
        <f>Ringkasan!L1749</f>
        <v>1.9</v>
      </c>
      <c r="M1750" s="19">
        <f>Ringkasan!M1749</f>
        <v>27.6</v>
      </c>
      <c r="N1750" s="64" t="str">
        <f>Ringkasan!N1749</f>
        <v/>
      </c>
      <c r="O1750" s="64" t="str">
        <f>Ringkasan!O1749</f>
        <v/>
      </c>
      <c r="P1750" s="64" t="str">
        <f>Ringkasan!P1749</f>
        <v/>
      </c>
      <c r="Q1750" s="64" t="str">
        <f>Ringkasan!Q1749</f>
        <v/>
      </c>
      <c r="R1750" s="64" t="str">
        <f>Ringkasan!R1749</f>
        <v/>
      </c>
      <c r="S1750" s="64" t="str">
        <f>Ringkasan!S1749</f>
        <v/>
      </c>
      <c r="T1750" s="64" t="str">
        <f>Ringkasan!T1749</f>
        <v/>
      </c>
      <c r="U1750" s="64">
        <f>Ringkasan!U1749</f>
        <v>332</v>
      </c>
      <c r="V1750" s="64">
        <f>Ringkasan!V1749</f>
        <v>3.61</v>
      </c>
      <c r="W1750" s="64">
        <f>Ringkasan!W1749</f>
        <v>334</v>
      </c>
      <c r="X1750" s="64">
        <f>Ringkasan!X1749</f>
        <v>354</v>
      </c>
      <c r="Y1750" s="64">
        <f>Ringkasan!Y1749</f>
        <v>332</v>
      </c>
      <c r="Z1750" s="64">
        <f>Ringkasan!Z1749</f>
        <v>229174400</v>
      </c>
      <c r="AA1750" s="64" t="str">
        <f>Ringkasan!AA1749</f>
        <v>Wireless Telecommunication Services</v>
      </c>
      <c r="AB1750" s="64" t="str">
        <f>Ringkasan!AB1749</f>
        <v>Infrastructures</v>
      </c>
    </row>
    <row r="1751" hidden="1">
      <c r="A1751" s="64" t="str">
        <f>Ringkasan!A1750</f>
        <v>TOYS</v>
      </c>
      <c r="B1751" s="64" t="str">
        <f>Ringkasan!B1750</f>
        <v>Sunindo Adipersada Tbk.</v>
      </c>
      <c r="C1751" s="65">
        <f>Ringkasan!C1750</f>
        <v>8</v>
      </c>
      <c r="D1751" s="64" t="str">
        <f>Ringkasan!D1750</f>
        <v>#N/A</v>
      </c>
      <c r="E1751" s="64" t="str">
        <f>Ringkasan!E1750</f>
        <v/>
      </c>
      <c r="F1751" s="64" t="str">
        <f>Ringkasan!F1750</f>
        <v/>
      </c>
      <c r="G1751" s="64">
        <f>Ringkasan!G1750</f>
        <v>0</v>
      </c>
      <c r="H1751" s="19">
        <f>Ringkasan!H1750</f>
        <v>0</v>
      </c>
      <c r="I1751" s="19">
        <f>Ringkasan!I1750</f>
        <v>0.05</v>
      </c>
      <c r="J1751" s="19">
        <f>Ringkasan!J1750</f>
        <v>-5.5</v>
      </c>
      <c r="K1751" s="19">
        <f>Ringkasan!K1750</f>
        <v>-3.8</v>
      </c>
      <c r="L1751" s="19">
        <f>Ringkasan!L1750</f>
        <v>0.44</v>
      </c>
      <c r="M1751" s="19">
        <f>Ringkasan!M1750</f>
        <v>-22.5</v>
      </c>
      <c r="N1751" s="64" t="str">
        <f>Ringkasan!N1750</f>
        <v/>
      </c>
      <c r="O1751" s="64" t="str">
        <f>Ringkasan!O1750</f>
        <v/>
      </c>
      <c r="P1751" s="64" t="str">
        <f>Ringkasan!P1750</f>
        <v/>
      </c>
      <c r="Q1751" s="64" t="str">
        <f>Ringkasan!Q1750</f>
        <v/>
      </c>
      <c r="R1751" s="64" t="str">
        <f>Ringkasan!R1750</f>
        <v/>
      </c>
      <c r="S1751" s="64" t="str">
        <f>Ringkasan!S1750</f>
        <v/>
      </c>
      <c r="T1751" s="64" t="str">
        <f>Ringkasan!T1750</f>
        <v/>
      </c>
      <c r="U1751" s="64">
        <f>Ringkasan!U1750</f>
        <v>8</v>
      </c>
      <c r="V1751" s="64">
        <f>Ringkasan!V1750</f>
        <v>0</v>
      </c>
      <c r="W1751" s="64" t="str">
        <f>Ringkasan!W1750</f>
        <v/>
      </c>
      <c r="X1751" s="64" t="str">
        <f>Ringkasan!X1750</f>
        <v/>
      </c>
      <c r="Y1751" s="64" t="str">
        <f>Ringkasan!Y1750</f>
        <v/>
      </c>
      <c r="Z1751" s="64">
        <f>Ringkasan!Z1750</f>
        <v>0</v>
      </c>
      <c r="AA1751" s="64" t="str">
        <f>Ringkasan!AA1750</f>
        <v>Sport Equipment &amp; Hobbies Goods</v>
      </c>
      <c r="AB1751" s="64" t="str">
        <f>Ringkasan!AB1750</f>
        <v>Consumer Cyclicals</v>
      </c>
    </row>
    <row r="1752" hidden="1">
      <c r="A1752" s="64" t="str">
        <f>Ringkasan!A1751</f>
        <v>TPIA</v>
      </c>
      <c r="B1752" s="64" t="str">
        <f>Ringkasan!B1751</f>
        <v>Chandra Asri Pacific Tbk.</v>
      </c>
      <c r="C1752" s="65">
        <f>Ringkasan!C1751</f>
        <v>1850</v>
      </c>
      <c r="D1752" s="64" t="str">
        <f>Ringkasan!D1751</f>
        <v>#N/A</v>
      </c>
      <c r="E1752" s="64" t="str">
        <f>Ringkasan!E1751</f>
        <v>IDXSHAGROW</v>
      </c>
      <c r="F1752" s="66">
        <f>Ringkasan!F1751</f>
        <v>46356</v>
      </c>
      <c r="G1752" s="64">
        <f>Ringkasan!G1751</f>
        <v>8</v>
      </c>
      <c r="H1752" s="19">
        <f>Ringkasan!H1751</f>
        <v>7.3</v>
      </c>
      <c r="I1752" s="19">
        <f>Ringkasan!I1751</f>
        <v>1.9</v>
      </c>
      <c r="J1752" s="19">
        <f>Ringkasan!J1751</f>
        <v>25.7</v>
      </c>
      <c r="K1752" s="19">
        <f>Ringkasan!K1751</f>
        <v>10</v>
      </c>
      <c r="L1752" s="19">
        <f>Ringkasan!L1751</f>
        <v>1.6</v>
      </c>
      <c r="M1752" s="19">
        <f>Ringkasan!M1751</f>
        <v>51.9</v>
      </c>
      <c r="N1752" s="64" t="str">
        <f>Ringkasan!N1751</f>
        <v/>
      </c>
      <c r="O1752" s="64" t="str">
        <f>Ringkasan!O1751</f>
        <v/>
      </c>
      <c r="P1752" s="64" t="str">
        <f>Ringkasan!P1751</f>
        <v/>
      </c>
      <c r="Q1752" s="64" t="str">
        <f>Ringkasan!Q1751</f>
        <v/>
      </c>
      <c r="R1752" s="64" t="str">
        <f>Ringkasan!R1751</f>
        <v/>
      </c>
      <c r="S1752" s="64" t="str">
        <f>Ringkasan!S1751</f>
        <v/>
      </c>
      <c r="T1752" s="64" t="str">
        <f>Ringkasan!T1751</f>
        <v/>
      </c>
      <c r="U1752" s="64">
        <f>Ringkasan!U1751</f>
        <v>1785</v>
      </c>
      <c r="V1752" s="64" t="str">
        <f>Ringkasan!V1751</f>
        <v/>
      </c>
      <c r="W1752" s="64">
        <f>Ringkasan!W1751</f>
        <v>1835</v>
      </c>
      <c r="X1752" s="64" t="str">
        <f>Ringkasan!X1751</f>
        <v/>
      </c>
      <c r="Y1752" s="64">
        <f>Ringkasan!Y1751</f>
        <v>1820</v>
      </c>
      <c r="Z1752" s="64">
        <f>Ringkasan!Z1751</f>
        <v>1305429500</v>
      </c>
      <c r="AA1752" s="64" t="str">
        <f>Ringkasan!AA1751</f>
        <v>Chemicals</v>
      </c>
      <c r="AB1752" s="64" t="str">
        <f>Ringkasan!AB1751</f>
        <v>Basic Materials</v>
      </c>
    </row>
    <row r="1753" hidden="1">
      <c r="A1753" s="64" t="str">
        <f>Ringkasan!A1752</f>
        <v>TPIA</v>
      </c>
      <c r="B1753" s="64" t="str">
        <f>Ringkasan!B1752</f>
        <v>Chandra Asri Pacific Tbk.</v>
      </c>
      <c r="C1753" s="65">
        <f>Ringkasan!C1752</f>
        <v>1850</v>
      </c>
      <c r="D1753" s="64" t="str">
        <f>Ringkasan!D1752</f>
        <v>#N/A</v>
      </c>
      <c r="E1753" s="64" t="str">
        <f>Ringkasan!E1752</f>
        <v>JII30</v>
      </c>
      <c r="F1753" s="66">
        <f>Ringkasan!F1752</f>
        <v>46356</v>
      </c>
      <c r="G1753" s="64">
        <f>Ringkasan!G1752</f>
        <v>8</v>
      </c>
      <c r="H1753" s="19">
        <f>Ringkasan!H1752</f>
        <v>7.3</v>
      </c>
      <c r="I1753" s="19">
        <f>Ringkasan!I1752</f>
        <v>1.9</v>
      </c>
      <c r="J1753" s="19">
        <f>Ringkasan!J1752</f>
        <v>25.7</v>
      </c>
      <c r="K1753" s="19">
        <f>Ringkasan!K1752</f>
        <v>10</v>
      </c>
      <c r="L1753" s="19">
        <f>Ringkasan!L1752</f>
        <v>1.6</v>
      </c>
      <c r="M1753" s="19">
        <f>Ringkasan!M1752</f>
        <v>51.9</v>
      </c>
      <c r="N1753" s="64" t="str">
        <f>Ringkasan!N1752</f>
        <v/>
      </c>
      <c r="O1753" s="64" t="str">
        <f>Ringkasan!O1752</f>
        <v/>
      </c>
      <c r="P1753" s="64" t="str">
        <f>Ringkasan!P1752</f>
        <v/>
      </c>
      <c r="Q1753" s="64" t="str">
        <f>Ringkasan!Q1752</f>
        <v/>
      </c>
      <c r="R1753" s="64" t="str">
        <f>Ringkasan!R1752</f>
        <v/>
      </c>
      <c r="S1753" s="64" t="str">
        <f>Ringkasan!S1752</f>
        <v/>
      </c>
      <c r="T1753" s="64" t="str">
        <f>Ringkasan!T1752</f>
        <v/>
      </c>
      <c r="U1753" s="64">
        <f>Ringkasan!U1752</f>
        <v>1785</v>
      </c>
      <c r="V1753" s="64" t="str">
        <f>Ringkasan!V1752</f>
        <v/>
      </c>
      <c r="W1753" s="64">
        <f>Ringkasan!W1752</f>
        <v>1835</v>
      </c>
      <c r="X1753" s="64" t="str">
        <f>Ringkasan!X1752</f>
        <v/>
      </c>
      <c r="Y1753" s="64">
        <f>Ringkasan!Y1752</f>
        <v>1820</v>
      </c>
      <c r="Z1753" s="64">
        <f>Ringkasan!Z1752</f>
        <v>1305429500</v>
      </c>
      <c r="AA1753" s="64" t="str">
        <f>Ringkasan!AA1752</f>
        <v>Chemicals</v>
      </c>
      <c r="AB1753" s="64" t="str">
        <f>Ringkasan!AB1752</f>
        <v>Basic Materials</v>
      </c>
    </row>
    <row r="1754" hidden="1">
      <c r="A1754" s="64" t="str">
        <f>Ringkasan!A1753</f>
        <v>TPIA</v>
      </c>
      <c r="B1754" s="64" t="str">
        <f>Ringkasan!B1753</f>
        <v>Chandra Asri Pacific Tbk.</v>
      </c>
      <c r="C1754" s="65">
        <f>Ringkasan!C1753</f>
        <v>1850</v>
      </c>
      <c r="D1754" s="64" t="str">
        <f>Ringkasan!D1753</f>
        <v>#N/A</v>
      </c>
      <c r="E1754" s="64" t="str">
        <f>Ringkasan!E1753</f>
        <v>IDXESGL</v>
      </c>
      <c r="F1754" s="64" t="str">
        <f>Ringkasan!F1753</f>
        <v>30 Oktober 2026</v>
      </c>
      <c r="G1754" s="64">
        <f>Ringkasan!G1753</f>
        <v>8</v>
      </c>
      <c r="H1754" s="19">
        <f>Ringkasan!H1753</f>
        <v>7.3</v>
      </c>
      <c r="I1754" s="19">
        <f>Ringkasan!I1753</f>
        <v>1.9</v>
      </c>
      <c r="J1754" s="19">
        <f>Ringkasan!J1753</f>
        <v>25.7</v>
      </c>
      <c r="K1754" s="19">
        <f>Ringkasan!K1753</f>
        <v>10</v>
      </c>
      <c r="L1754" s="19">
        <f>Ringkasan!L1753</f>
        <v>1.6</v>
      </c>
      <c r="M1754" s="19">
        <f>Ringkasan!M1753</f>
        <v>51.9</v>
      </c>
      <c r="N1754" s="64" t="str">
        <f>Ringkasan!N1753</f>
        <v/>
      </c>
      <c r="O1754" s="64" t="str">
        <f>Ringkasan!O1753</f>
        <v/>
      </c>
      <c r="P1754" s="64" t="str">
        <f>Ringkasan!P1753</f>
        <v/>
      </c>
      <c r="Q1754" s="64" t="str">
        <f>Ringkasan!Q1753</f>
        <v/>
      </c>
      <c r="R1754" s="64" t="str">
        <f>Ringkasan!R1753</f>
        <v/>
      </c>
      <c r="S1754" s="64" t="str">
        <f>Ringkasan!S1753</f>
        <v/>
      </c>
      <c r="T1754" s="64" t="str">
        <f>Ringkasan!T1753</f>
        <v/>
      </c>
      <c r="U1754" s="64">
        <f>Ringkasan!U1753</f>
        <v>1785</v>
      </c>
      <c r="V1754" s="64" t="str">
        <f>Ringkasan!V1753</f>
        <v/>
      </c>
      <c r="W1754" s="64">
        <f>Ringkasan!W1753</f>
        <v>1835</v>
      </c>
      <c r="X1754" s="64" t="str">
        <f>Ringkasan!X1753</f>
        <v/>
      </c>
      <c r="Y1754" s="64">
        <f>Ringkasan!Y1753</f>
        <v>1820</v>
      </c>
      <c r="Z1754" s="64">
        <f>Ringkasan!Z1753</f>
        <v>1305429500</v>
      </c>
      <c r="AA1754" s="64" t="str">
        <f>Ringkasan!AA1753</f>
        <v>Chemicals</v>
      </c>
      <c r="AB1754" s="64" t="str">
        <f>Ringkasan!AB1753</f>
        <v>Basic Materials</v>
      </c>
    </row>
    <row r="1755" hidden="1">
      <c r="A1755" s="64" t="str">
        <f>Ringkasan!A1754</f>
        <v>TPIA</v>
      </c>
      <c r="B1755" s="64" t="str">
        <f>Ringkasan!B1754</f>
        <v>Chandra Asri Pacific Tbk.</v>
      </c>
      <c r="C1755" s="65">
        <f>Ringkasan!C1754</f>
        <v>1850</v>
      </c>
      <c r="D1755" s="64" t="str">
        <f>Ringkasan!D1754</f>
        <v>#N/A</v>
      </c>
      <c r="E1755" s="64" t="str">
        <f>Ringkasan!E1754</f>
        <v>IDX80</v>
      </c>
      <c r="F1755" s="64" t="str">
        <f>Ringkasan!F1754</f>
        <v>31 Juli 2026</v>
      </c>
      <c r="G1755" s="64">
        <f>Ringkasan!G1754</f>
        <v>8</v>
      </c>
      <c r="H1755" s="19">
        <f>Ringkasan!H1754</f>
        <v>7.3</v>
      </c>
      <c r="I1755" s="19">
        <f>Ringkasan!I1754</f>
        <v>1.9</v>
      </c>
      <c r="J1755" s="19">
        <f>Ringkasan!J1754</f>
        <v>25.7</v>
      </c>
      <c r="K1755" s="19">
        <f>Ringkasan!K1754</f>
        <v>10</v>
      </c>
      <c r="L1755" s="19">
        <f>Ringkasan!L1754</f>
        <v>1.6</v>
      </c>
      <c r="M1755" s="19">
        <f>Ringkasan!M1754</f>
        <v>51.9</v>
      </c>
      <c r="N1755" s="64" t="str">
        <f>Ringkasan!N1754</f>
        <v/>
      </c>
      <c r="O1755" s="64" t="str">
        <f>Ringkasan!O1754</f>
        <v/>
      </c>
      <c r="P1755" s="64" t="str">
        <f>Ringkasan!P1754</f>
        <v/>
      </c>
      <c r="Q1755" s="64" t="str">
        <f>Ringkasan!Q1754</f>
        <v/>
      </c>
      <c r="R1755" s="64" t="str">
        <f>Ringkasan!R1754</f>
        <v/>
      </c>
      <c r="S1755" s="64" t="str">
        <f>Ringkasan!S1754</f>
        <v/>
      </c>
      <c r="T1755" s="64" t="str">
        <f>Ringkasan!T1754</f>
        <v/>
      </c>
      <c r="U1755" s="64">
        <f>Ringkasan!U1754</f>
        <v>1785</v>
      </c>
      <c r="V1755" s="64" t="str">
        <f>Ringkasan!V1754</f>
        <v/>
      </c>
      <c r="W1755" s="64">
        <f>Ringkasan!W1754</f>
        <v>1835</v>
      </c>
      <c r="X1755" s="64" t="str">
        <f>Ringkasan!X1754</f>
        <v/>
      </c>
      <c r="Y1755" s="64">
        <f>Ringkasan!Y1754</f>
        <v>1820</v>
      </c>
      <c r="Z1755" s="64">
        <f>Ringkasan!Z1754</f>
        <v>1305429500</v>
      </c>
      <c r="AA1755" s="64" t="str">
        <f>Ringkasan!AA1754</f>
        <v>Chemicals</v>
      </c>
      <c r="AB1755" s="64" t="str">
        <f>Ringkasan!AB1754</f>
        <v>Basic Materials</v>
      </c>
    </row>
    <row r="1756" hidden="1">
      <c r="A1756" s="64" t="str">
        <f>Ringkasan!A1755</f>
        <v>TPIA</v>
      </c>
      <c r="B1756" s="64" t="str">
        <f>Ringkasan!B1755</f>
        <v>Chandra Asri Pacific Tbk.</v>
      </c>
      <c r="C1756" s="65">
        <f>Ringkasan!C1755</f>
        <v>1850</v>
      </c>
      <c r="D1756" s="64" t="str">
        <f>Ringkasan!D1755</f>
        <v>#N/A</v>
      </c>
      <c r="E1756" s="64" t="str">
        <f>Ringkasan!E1755</f>
        <v>ECONOMIC30</v>
      </c>
      <c r="F1756" s="64" t="str">
        <f>Ringkasan!F1755</f>
        <v>31 Agustus 2026</v>
      </c>
      <c r="G1756" s="64">
        <f>Ringkasan!G1755</f>
        <v>8</v>
      </c>
      <c r="H1756" s="19">
        <f>Ringkasan!H1755</f>
        <v>7.3</v>
      </c>
      <c r="I1756" s="19">
        <f>Ringkasan!I1755</f>
        <v>1.9</v>
      </c>
      <c r="J1756" s="19">
        <f>Ringkasan!J1755</f>
        <v>25.7</v>
      </c>
      <c r="K1756" s="19">
        <f>Ringkasan!K1755</f>
        <v>10</v>
      </c>
      <c r="L1756" s="19">
        <f>Ringkasan!L1755</f>
        <v>1.6</v>
      </c>
      <c r="M1756" s="19">
        <f>Ringkasan!M1755</f>
        <v>51.9</v>
      </c>
      <c r="N1756" s="64" t="str">
        <f>Ringkasan!N1755</f>
        <v/>
      </c>
      <c r="O1756" s="64" t="str">
        <f>Ringkasan!O1755</f>
        <v/>
      </c>
      <c r="P1756" s="64" t="str">
        <f>Ringkasan!P1755</f>
        <v/>
      </c>
      <c r="Q1756" s="64" t="str">
        <f>Ringkasan!Q1755</f>
        <v/>
      </c>
      <c r="R1756" s="64" t="str">
        <f>Ringkasan!R1755</f>
        <v/>
      </c>
      <c r="S1756" s="64" t="str">
        <f>Ringkasan!S1755</f>
        <v/>
      </c>
      <c r="T1756" s="64" t="str">
        <f>Ringkasan!T1755</f>
        <v/>
      </c>
      <c r="U1756" s="64">
        <f>Ringkasan!U1755</f>
        <v>1785</v>
      </c>
      <c r="V1756" s="64" t="str">
        <f>Ringkasan!V1755</f>
        <v/>
      </c>
      <c r="W1756" s="64">
        <f>Ringkasan!W1755</f>
        <v>1835</v>
      </c>
      <c r="X1756" s="64" t="str">
        <f>Ringkasan!X1755</f>
        <v/>
      </c>
      <c r="Y1756" s="64">
        <f>Ringkasan!Y1755</f>
        <v>1820</v>
      </c>
      <c r="Z1756" s="64">
        <f>Ringkasan!Z1755</f>
        <v>1305429500</v>
      </c>
      <c r="AA1756" s="64" t="str">
        <f>Ringkasan!AA1755</f>
        <v>Chemicals</v>
      </c>
      <c r="AB1756" s="64" t="str">
        <f>Ringkasan!AB1755</f>
        <v>Basic Materials</v>
      </c>
    </row>
    <row r="1757" hidden="1">
      <c r="A1757" s="64" t="str">
        <f>Ringkasan!A1756</f>
        <v>TPIA</v>
      </c>
      <c r="B1757" s="64" t="str">
        <f>Ringkasan!B1756</f>
        <v>Chandra Asri Pacific Tbk.</v>
      </c>
      <c r="C1757" s="65">
        <f>Ringkasan!C1756</f>
        <v>1850</v>
      </c>
      <c r="D1757" s="64" t="str">
        <f>Ringkasan!D1756</f>
        <v>#N/A</v>
      </c>
      <c r="E1757" s="64" t="str">
        <f>Ringkasan!E1756</f>
        <v>Kompas100</v>
      </c>
      <c r="F1757" s="64" t="str">
        <f>Ringkasan!F1756</f>
        <v>31 Juli 2026</v>
      </c>
      <c r="G1757" s="64">
        <f>Ringkasan!G1756</f>
        <v>8</v>
      </c>
      <c r="H1757" s="19">
        <f>Ringkasan!H1756</f>
        <v>7.3</v>
      </c>
      <c r="I1757" s="19">
        <f>Ringkasan!I1756</f>
        <v>1.9</v>
      </c>
      <c r="J1757" s="19">
        <f>Ringkasan!J1756</f>
        <v>25.7</v>
      </c>
      <c r="K1757" s="19">
        <f>Ringkasan!K1756</f>
        <v>10</v>
      </c>
      <c r="L1757" s="19">
        <f>Ringkasan!L1756</f>
        <v>1.6</v>
      </c>
      <c r="M1757" s="19">
        <f>Ringkasan!M1756</f>
        <v>51.9</v>
      </c>
      <c r="N1757" s="64" t="str">
        <f>Ringkasan!N1756</f>
        <v/>
      </c>
      <c r="O1757" s="64" t="str">
        <f>Ringkasan!O1756</f>
        <v/>
      </c>
      <c r="P1757" s="64" t="str">
        <f>Ringkasan!P1756</f>
        <v/>
      </c>
      <c r="Q1757" s="64" t="str">
        <f>Ringkasan!Q1756</f>
        <v/>
      </c>
      <c r="R1757" s="64" t="str">
        <f>Ringkasan!R1756</f>
        <v/>
      </c>
      <c r="S1757" s="64" t="str">
        <f>Ringkasan!S1756</f>
        <v/>
      </c>
      <c r="T1757" s="64" t="str">
        <f>Ringkasan!T1756</f>
        <v/>
      </c>
      <c r="U1757" s="64">
        <f>Ringkasan!U1756</f>
        <v>1785</v>
      </c>
      <c r="V1757" s="64" t="str">
        <f>Ringkasan!V1756</f>
        <v/>
      </c>
      <c r="W1757" s="64">
        <f>Ringkasan!W1756</f>
        <v>1835</v>
      </c>
      <c r="X1757" s="64" t="str">
        <f>Ringkasan!X1756</f>
        <v/>
      </c>
      <c r="Y1757" s="64">
        <f>Ringkasan!Y1756</f>
        <v>1820</v>
      </c>
      <c r="Z1757" s="64">
        <f>Ringkasan!Z1756</f>
        <v>1305429500</v>
      </c>
      <c r="AA1757" s="64" t="str">
        <f>Ringkasan!AA1756</f>
        <v>Chemicals</v>
      </c>
      <c r="AB1757" s="64" t="str">
        <f>Ringkasan!AB1756</f>
        <v>Basic Materials</v>
      </c>
    </row>
    <row r="1758" hidden="1">
      <c r="A1758" s="64" t="str">
        <f>Ringkasan!A1757</f>
        <v>TPIA</v>
      </c>
      <c r="B1758" s="64" t="str">
        <f>Ringkasan!B1757</f>
        <v>Chandra Asri Pacific Tbk.</v>
      </c>
      <c r="C1758" s="65">
        <f>Ringkasan!C1757</f>
        <v>1850</v>
      </c>
      <c r="D1758" s="64" t="str">
        <f>Ringkasan!D1757</f>
        <v>#N/A</v>
      </c>
      <c r="E1758" s="64" t="str">
        <f>Ringkasan!E1757</f>
        <v>Pefindo - iGrade</v>
      </c>
      <c r="F1758" s="64" t="str">
        <f>Ringkasan!F1757</f>
        <v>30 Juni 2026</v>
      </c>
      <c r="G1758" s="64">
        <f>Ringkasan!G1757</f>
        <v>8</v>
      </c>
      <c r="H1758" s="19">
        <f>Ringkasan!H1757</f>
        <v>7.3</v>
      </c>
      <c r="I1758" s="19">
        <f>Ringkasan!I1757</f>
        <v>1.9</v>
      </c>
      <c r="J1758" s="19">
        <f>Ringkasan!J1757</f>
        <v>25.7</v>
      </c>
      <c r="K1758" s="19">
        <f>Ringkasan!K1757</f>
        <v>10</v>
      </c>
      <c r="L1758" s="19">
        <f>Ringkasan!L1757</f>
        <v>1.6</v>
      </c>
      <c r="M1758" s="19">
        <f>Ringkasan!M1757</f>
        <v>51.9</v>
      </c>
      <c r="N1758" s="64" t="str">
        <f>Ringkasan!N1757</f>
        <v/>
      </c>
      <c r="O1758" s="64" t="str">
        <f>Ringkasan!O1757</f>
        <v/>
      </c>
      <c r="P1758" s="64" t="str">
        <f>Ringkasan!P1757</f>
        <v/>
      </c>
      <c r="Q1758" s="64" t="str">
        <f>Ringkasan!Q1757</f>
        <v/>
      </c>
      <c r="R1758" s="64" t="str">
        <f>Ringkasan!R1757</f>
        <v/>
      </c>
      <c r="S1758" s="64" t="str">
        <f>Ringkasan!S1757</f>
        <v/>
      </c>
      <c r="T1758" s="64" t="str">
        <f>Ringkasan!T1757</f>
        <v/>
      </c>
      <c r="U1758" s="64">
        <f>Ringkasan!U1757</f>
        <v>1785</v>
      </c>
      <c r="V1758" s="64" t="str">
        <f>Ringkasan!V1757</f>
        <v/>
      </c>
      <c r="W1758" s="64">
        <f>Ringkasan!W1757</f>
        <v>1835</v>
      </c>
      <c r="X1758" s="64" t="str">
        <f>Ringkasan!X1757</f>
        <v/>
      </c>
      <c r="Y1758" s="64">
        <f>Ringkasan!Y1757</f>
        <v>1820</v>
      </c>
      <c r="Z1758" s="64">
        <f>Ringkasan!Z1757</f>
        <v>1305429500</v>
      </c>
      <c r="AA1758" s="64" t="str">
        <f>Ringkasan!AA1757</f>
        <v>Chemicals</v>
      </c>
      <c r="AB1758" s="64" t="str">
        <f>Ringkasan!AB1757</f>
        <v>Basic Materials</v>
      </c>
    </row>
    <row r="1759" hidden="1">
      <c r="A1759" s="64" t="str">
        <f>Ringkasan!A1758</f>
        <v>TPIA</v>
      </c>
      <c r="B1759" s="64" t="str">
        <f>Ringkasan!B1758</f>
        <v>Chandra Asri Pacific Tbk.</v>
      </c>
      <c r="C1759" s="65">
        <f>Ringkasan!C1758</f>
        <v>1850</v>
      </c>
      <c r="D1759" s="64" t="str">
        <f>Ringkasan!D1758</f>
        <v>#N/A</v>
      </c>
      <c r="E1759" s="64" t="str">
        <f>Ringkasan!E1758</f>
        <v>JII70</v>
      </c>
      <c r="F1759" s="66">
        <f>Ringkasan!F1758</f>
        <v>46356</v>
      </c>
      <c r="G1759" s="64">
        <f>Ringkasan!G1758</f>
        <v>8</v>
      </c>
      <c r="H1759" s="19">
        <f>Ringkasan!H1758</f>
        <v>7.3</v>
      </c>
      <c r="I1759" s="19">
        <f>Ringkasan!I1758</f>
        <v>1.9</v>
      </c>
      <c r="J1759" s="19">
        <f>Ringkasan!J1758</f>
        <v>25.7</v>
      </c>
      <c r="K1759" s="19">
        <f>Ringkasan!K1758</f>
        <v>10</v>
      </c>
      <c r="L1759" s="19">
        <f>Ringkasan!L1758</f>
        <v>1.6</v>
      </c>
      <c r="M1759" s="19">
        <f>Ringkasan!M1758</f>
        <v>51.9</v>
      </c>
      <c r="N1759" s="64" t="str">
        <f>Ringkasan!N1758</f>
        <v/>
      </c>
      <c r="O1759" s="64" t="str">
        <f>Ringkasan!O1758</f>
        <v/>
      </c>
      <c r="P1759" s="64" t="str">
        <f>Ringkasan!P1758</f>
        <v/>
      </c>
      <c r="Q1759" s="64" t="str">
        <f>Ringkasan!Q1758</f>
        <v/>
      </c>
      <c r="R1759" s="64" t="str">
        <f>Ringkasan!R1758</f>
        <v/>
      </c>
      <c r="S1759" s="64" t="str">
        <f>Ringkasan!S1758</f>
        <v/>
      </c>
      <c r="T1759" s="64" t="str">
        <f>Ringkasan!T1758</f>
        <v/>
      </c>
      <c r="U1759" s="64">
        <f>Ringkasan!U1758</f>
        <v>1785</v>
      </c>
      <c r="V1759" s="64" t="str">
        <f>Ringkasan!V1758</f>
        <v/>
      </c>
      <c r="W1759" s="64">
        <f>Ringkasan!W1758</f>
        <v>1835</v>
      </c>
      <c r="X1759" s="64" t="str">
        <f>Ringkasan!X1758</f>
        <v/>
      </c>
      <c r="Y1759" s="64">
        <f>Ringkasan!Y1758</f>
        <v>1820</v>
      </c>
      <c r="Z1759" s="64">
        <f>Ringkasan!Z1758</f>
        <v>1305429500</v>
      </c>
      <c r="AA1759" s="64" t="str">
        <f>Ringkasan!AA1758</f>
        <v>Chemicals</v>
      </c>
      <c r="AB1759" s="64" t="str">
        <f>Ringkasan!AB1758</f>
        <v>Basic Materials</v>
      </c>
    </row>
    <row r="1760" hidden="1">
      <c r="A1760" s="64" t="str">
        <f>Ringkasan!A1759</f>
        <v>TPMA</v>
      </c>
      <c r="B1760" s="64" t="str">
        <f>Ringkasan!B1759</f>
        <v>Trans Power Marine Tbk.</v>
      </c>
      <c r="C1760" s="65">
        <f>Ringkasan!C1759</f>
        <v>382</v>
      </c>
      <c r="D1760" s="64" t="str">
        <f>Ringkasan!D1759</f>
        <v>#N/A</v>
      </c>
      <c r="E1760" s="64" t="str">
        <f>Ringkasan!E1759</f>
        <v/>
      </c>
      <c r="F1760" s="64" t="str">
        <f>Ringkasan!F1759</f>
        <v/>
      </c>
      <c r="G1760" s="65">
        <f>Ringkasan!G1759</f>
        <v>0</v>
      </c>
      <c r="H1760" s="19">
        <f>Ringkasan!H1759</f>
        <v>7.9</v>
      </c>
      <c r="I1760" s="19">
        <f>Ringkasan!I1759</f>
        <v>0.67</v>
      </c>
      <c r="J1760" s="19">
        <f>Ringkasan!J1759</f>
        <v>8.5</v>
      </c>
      <c r="K1760" s="19">
        <f>Ringkasan!K1759</f>
        <v>4.5</v>
      </c>
      <c r="L1760" s="19">
        <f>Ringkasan!L1759</f>
        <v>0.89</v>
      </c>
      <c r="M1760" s="19">
        <f>Ringkasan!M1759</f>
        <v>48.4</v>
      </c>
      <c r="N1760" s="64" t="str">
        <f>Ringkasan!N1759</f>
        <v/>
      </c>
      <c r="O1760" s="64" t="str">
        <f>Ringkasan!O1759</f>
        <v/>
      </c>
      <c r="P1760" s="64" t="str">
        <f>Ringkasan!P1759</f>
        <v/>
      </c>
      <c r="Q1760" s="64" t="str">
        <f>Ringkasan!Q1759</f>
        <v/>
      </c>
      <c r="R1760" s="64" t="str">
        <f>Ringkasan!R1759</f>
        <v/>
      </c>
      <c r="S1760" s="64" t="str">
        <f>Ringkasan!S1759</f>
        <v/>
      </c>
      <c r="T1760" s="64" t="str">
        <f>Ringkasan!T1759</f>
        <v/>
      </c>
      <c r="U1760" s="64">
        <f>Ringkasan!U1759</f>
        <v>362</v>
      </c>
      <c r="V1760" s="64">
        <f>Ringkasan!V1759</f>
        <v>5.52</v>
      </c>
      <c r="W1760" s="64">
        <f>Ringkasan!W1759</f>
        <v>364</v>
      </c>
      <c r="X1760" s="64">
        <f>Ringkasan!X1759</f>
        <v>386</v>
      </c>
      <c r="Y1760" s="64">
        <f>Ringkasan!Y1759</f>
        <v>364</v>
      </c>
      <c r="Z1760" s="64">
        <f>Ringkasan!Z1759</f>
        <v>3914600</v>
      </c>
      <c r="AA1760" s="64" t="str">
        <f>Ringkasan!AA1759</f>
        <v>Coal</v>
      </c>
      <c r="AB1760" s="64" t="str">
        <f>Ringkasan!AB1759</f>
        <v>Energy</v>
      </c>
    </row>
    <row r="1761" hidden="1">
      <c r="A1761" s="64" t="str">
        <f>Ringkasan!A1760</f>
        <v>TRAM</v>
      </c>
      <c r="B1761" s="64" t="str">
        <f>Ringkasan!B1760</f>
        <v>Trada Alam Minera Tbk.</v>
      </c>
      <c r="C1761" s="65">
        <f>Ringkasan!C1760</f>
        <v>50</v>
      </c>
      <c r="D1761" s="64" t="str">
        <f>Ringkasan!D1760</f>
        <v>#N/A</v>
      </c>
      <c r="E1761" s="64" t="str">
        <f>Ringkasan!E1760</f>
        <v/>
      </c>
      <c r="F1761" s="64" t="str">
        <f>Ringkasan!F1760</f>
        <v/>
      </c>
      <c r="G1761" s="64">
        <f>Ringkasan!G1760</f>
        <v>0</v>
      </c>
      <c r="H1761" s="19">
        <f>Ringkasan!H1760</f>
        <v>0</v>
      </c>
      <c r="I1761" s="19">
        <f>Ringkasan!I1760</f>
        <v>1.9</v>
      </c>
      <c r="J1761" s="19">
        <f>Ringkasan!J1760</f>
        <v>-62</v>
      </c>
      <c r="K1761" s="19">
        <f>Ringkasan!K1760</f>
        <v>-15.2</v>
      </c>
      <c r="L1761" s="19">
        <f>Ringkasan!L1760</f>
        <v>3.1</v>
      </c>
      <c r="M1761" s="19">
        <f>Ringkasan!M1760</f>
        <v>-23.1</v>
      </c>
      <c r="N1761" s="64" t="str">
        <f>Ringkasan!N1760</f>
        <v/>
      </c>
      <c r="O1761" s="64" t="str">
        <f>Ringkasan!O1760</f>
        <v/>
      </c>
      <c r="P1761" s="64" t="str">
        <f>Ringkasan!P1760</f>
        <v/>
      </c>
      <c r="Q1761" s="64" t="str">
        <f>Ringkasan!Q1760</f>
        <v/>
      </c>
      <c r="R1761" s="64" t="str">
        <f>Ringkasan!R1760</f>
        <v/>
      </c>
      <c r="S1761" s="64" t="str">
        <f>Ringkasan!S1760</f>
        <v/>
      </c>
      <c r="T1761" s="64" t="str">
        <f>Ringkasan!T1760</f>
        <v/>
      </c>
      <c r="U1761" s="64">
        <f>Ringkasan!U1760</f>
        <v>50</v>
      </c>
      <c r="V1761" s="64">
        <f>Ringkasan!V1760</f>
        <v>0</v>
      </c>
      <c r="W1761" s="64" t="str">
        <f>Ringkasan!W1760</f>
        <v/>
      </c>
      <c r="X1761" s="64" t="str">
        <f>Ringkasan!X1760</f>
        <v/>
      </c>
      <c r="Y1761" s="64" t="str">
        <f>Ringkasan!Y1760</f>
        <v/>
      </c>
      <c r="Z1761" s="64">
        <f>Ringkasan!Z1760</f>
        <v>0</v>
      </c>
      <c r="AA1761" s="64" t="str">
        <f>Ringkasan!AA1760</f>
        <v>Coal</v>
      </c>
      <c r="AB1761" s="64" t="str">
        <f>Ringkasan!AB1760</f>
        <v>Energy</v>
      </c>
    </row>
    <row r="1762" hidden="1">
      <c r="A1762" s="64" t="str">
        <f>Ringkasan!A1761</f>
        <v>TRGU</v>
      </c>
      <c r="B1762" s="64" t="str">
        <f>Ringkasan!B1761</f>
        <v>Cerestar Indonesia Tbk.</v>
      </c>
      <c r="C1762" s="65">
        <f>Ringkasan!C1761</f>
        <v>173</v>
      </c>
      <c r="D1762" s="64" t="str">
        <f>Ringkasan!D1761</f>
        <v>#N/A</v>
      </c>
      <c r="E1762" s="64" t="str">
        <f>Ringkasan!E1761</f>
        <v/>
      </c>
      <c r="F1762" s="64" t="str">
        <f>Ringkasan!F1761</f>
        <v/>
      </c>
      <c r="G1762" s="64">
        <f>Ringkasan!G1761</f>
        <v>0</v>
      </c>
      <c r="H1762" s="19">
        <f>Ringkasan!H1761</f>
        <v>42.3</v>
      </c>
      <c r="I1762" s="19">
        <f>Ringkasan!I1761</f>
        <v>1.5</v>
      </c>
      <c r="J1762" s="19">
        <f>Ringkasan!J1761</f>
        <v>3.5</v>
      </c>
      <c r="K1762" s="19">
        <f>Ringkasan!K1761</f>
        <v>0.94</v>
      </c>
      <c r="L1762" s="19">
        <f>Ringkasan!L1761</f>
        <v>2.7</v>
      </c>
      <c r="M1762" s="19">
        <f>Ringkasan!M1761</f>
        <v>3.9</v>
      </c>
      <c r="N1762" s="64" t="str">
        <f>Ringkasan!N1761</f>
        <v/>
      </c>
      <c r="O1762" s="64" t="str">
        <f>Ringkasan!O1761</f>
        <v/>
      </c>
      <c r="P1762" s="64" t="str">
        <f>Ringkasan!P1761</f>
        <v/>
      </c>
      <c r="Q1762" s="64" t="str">
        <f>Ringkasan!Q1761</f>
        <v/>
      </c>
      <c r="R1762" s="64" t="str">
        <f>Ringkasan!R1761</f>
        <v/>
      </c>
      <c r="S1762" s="64" t="str">
        <f>Ringkasan!S1761</f>
        <v/>
      </c>
      <c r="T1762" s="64" t="str">
        <f>Ringkasan!T1761</f>
        <v/>
      </c>
      <c r="U1762" s="64">
        <f>Ringkasan!U1761</f>
        <v>179</v>
      </c>
      <c r="V1762" s="64">
        <f>Ringkasan!V1761</f>
        <v>-3.35</v>
      </c>
      <c r="W1762" s="64" t="str">
        <f>Ringkasan!W1761</f>
        <v/>
      </c>
      <c r="X1762" s="64">
        <f>Ringkasan!X1761</f>
        <v>174</v>
      </c>
      <c r="Y1762" s="64">
        <f>Ringkasan!Y1761</f>
        <v>170</v>
      </c>
      <c r="Z1762" s="64">
        <f>Ringkasan!Z1761</f>
        <v>190900</v>
      </c>
      <c r="AA1762" s="64" t="str">
        <f>Ringkasan!AA1761</f>
        <v>Processed Foods</v>
      </c>
      <c r="AB1762" s="64" t="str">
        <f>Ringkasan!AB1761</f>
        <v>Consumer Non-Cyclicals</v>
      </c>
    </row>
    <row r="1763" hidden="1">
      <c r="A1763" s="64" t="str">
        <f>Ringkasan!A1762</f>
        <v>TRIL</v>
      </c>
      <c r="B1763" s="64" t="str">
        <f>Ringkasan!B1762</f>
        <v>Triwira Insanlestari Tbk.</v>
      </c>
      <c r="C1763" s="65">
        <f>Ringkasan!C1762</f>
        <v>50</v>
      </c>
      <c r="D1763" s="64" t="str">
        <f>Ringkasan!D1762</f>
        <v>#N/A</v>
      </c>
      <c r="E1763" s="64" t="str">
        <f>Ringkasan!E1762</f>
        <v/>
      </c>
      <c r="F1763" s="64" t="str">
        <f>Ringkasan!F1762</f>
        <v/>
      </c>
      <c r="G1763" s="64">
        <f>Ringkasan!G1762</f>
        <v>0</v>
      </c>
      <c r="H1763" s="19">
        <f>Ringkasan!H1762</f>
        <v>0</v>
      </c>
      <c r="I1763" s="19">
        <f>Ringkasan!I1762</f>
        <v>0.56</v>
      </c>
      <c r="J1763" s="19">
        <f>Ringkasan!J1762</f>
        <v>-3.1</v>
      </c>
      <c r="K1763" s="19">
        <f>Ringkasan!K1762</f>
        <v>-2.7</v>
      </c>
      <c r="L1763" s="19">
        <f>Ringkasan!L1762</f>
        <v>0.17</v>
      </c>
      <c r="M1763" s="19">
        <f>Ringkasan!M1762</f>
        <v>-16.9</v>
      </c>
      <c r="N1763" s="64" t="str">
        <f>Ringkasan!N1762</f>
        <v/>
      </c>
      <c r="O1763" s="64" t="str">
        <f>Ringkasan!O1762</f>
        <v/>
      </c>
      <c r="P1763" s="64" t="str">
        <f>Ringkasan!P1762</f>
        <v/>
      </c>
      <c r="Q1763" s="64" t="str">
        <f>Ringkasan!Q1762</f>
        <v/>
      </c>
      <c r="R1763" s="64" t="str">
        <f>Ringkasan!R1762</f>
        <v/>
      </c>
      <c r="S1763" s="64" t="str">
        <f>Ringkasan!S1762</f>
        <v/>
      </c>
      <c r="T1763" s="64" t="str">
        <f>Ringkasan!T1762</f>
        <v/>
      </c>
      <c r="U1763" s="64">
        <f>Ringkasan!U1762</f>
        <v>50</v>
      </c>
      <c r="V1763" s="64">
        <f>Ringkasan!V1762</f>
        <v>0</v>
      </c>
      <c r="W1763" s="64" t="str">
        <f>Ringkasan!W1762</f>
        <v/>
      </c>
      <c r="X1763" s="64" t="str">
        <f>Ringkasan!X1762</f>
        <v/>
      </c>
      <c r="Y1763" s="64" t="str">
        <f>Ringkasan!Y1762</f>
        <v/>
      </c>
      <c r="Z1763" s="64">
        <f>Ringkasan!Z1762</f>
        <v>0</v>
      </c>
      <c r="AA1763" s="64" t="str">
        <f>Ringkasan!AA1762</f>
        <v>Diversified Industrial Trading</v>
      </c>
      <c r="AB1763" s="64" t="str">
        <f>Ringkasan!AB1762</f>
        <v>Industrials</v>
      </c>
    </row>
    <row r="1764" hidden="1">
      <c r="A1764" s="64" t="str">
        <f>Ringkasan!A1763</f>
        <v>TRIM</v>
      </c>
      <c r="B1764" s="64" t="str">
        <f>Ringkasan!B1763</f>
        <v>Trimegah Sekuritas Indonesia Tbk.</v>
      </c>
      <c r="C1764" s="65">
        <f>Ringkasan!C1763</f>
        <v>515</v>
      </c>
      <c r="D1764" s="64" t="str">
        <f>Ringkasan!D1763</f>
        <v>#N/A</v>
      </c>
      <c r="E1764" s="64" t="str">
        <f>Ringkasan!E1763</f>
        <v/>
      </c>
      <c r="F1764" s="64" t="str">
        <f>Ringkasan!F1763</f>
        <v/>
      </c>
      <c r="G1764" s="64">
        <f>Ringkasan!G1763</f>
        <v>0</v>
      </c>
      <c r="H1764" s="19">
        <f>Ringkasan!H1763</f>
        <v>5.8</v>
      </c>
      <c r="I1764" s="19">
        <f>Ringkasan!I1763</f>
        <v>1.6</v>
      </c>
      <c r="J1764" s="19">
        <f>Ringkasan!J1763</f>
        <v>27.6</v>
      </c>
      <c r="K1764" s="19">
        <f>Ringkasan!K1763</f>
        <v>7</v>
      </c>
      <c r="L1764" s="19">
        <f>Ringkasan!L1763</f>
        <v>3</v>
      </c>
      <c r="M1764" s="19">
        <f>Ringkasan!M1763</f>
        <v>130</v>
      </c>
      <c r="N1764" s="64" t="str">
        <f>Ringkasan!N1763</f>
        <v/>
      </c>
      <c r="O1764" s="64" t="str">
        <f>Ringkasan!O1763</f>
        <v/>
      </c>
      <c r="P1764" s="64" t="str">
        <f>Ringkasan!P1763</f>
        <v/>
      </c>
      <c r="Q1764" s="64" t="str">
        <f>Ringkasan!Q1763</f>
        <v/>
      </c>
      <c r="R1764" s="64" t="str">
        <f>Ringkasan!R1763</f>
        <v/>
      </c>
      <c r="S1764" s="64" t="str">
        <f>Ringkasan!S1763</f>
        <v/>
      </c>
      <c r="T1764" s="64" t="str">
        <f>Ringkasan!T1763</f>
        <v/>
      </c>
      <c r="U1764" s="64">
        <f>Ringkasan!U1763</f>
        <v>505</v>
      </c>
      <c r="V1764" s="64">
        <f>Ringkasan!V1763</f>
        <v>1.98</v>
      </c>
      <c r="W1764" s="64">
        <f>Ringkasan!W1763</f>
        <v>515</v>
      </c>
      <c r="X1764" s="64">
        <f>Ringkasan!X1763</f>
        <v>530</v>
      </c>
      <c r="Y1764" s="64">
        <f>Ringkasan!Y1763</f>
        <v>498</v>
      </c>
      <c r="Z1764" s="64">
        <f>Ringkasan!Z1763</f>
        <v>55000</v>
      </c>
      <c r="AA1764" s="64" t="str">
        <f>Ringkasan!AA1763</f>
        <v>Investment Services</v>
      </c>
      <c r="AB1764" s="64" t="str">
        <f>Ringkasan!AB1763</f>
        <v>Financials</v>
      </c>
    </row>
    <row r="1765" hidden="1">
      <c r="A1765" s="64" t="str">
        <f>Ringkasan!A1764</f>
        <v>TRIN</v>
      </c>
      <c r="B1765" s="64" t="str">
        <f>Ringkasan!B1764</f>
        <v>Perintis Triniti Properti Tbk.</v>
      </c>
      <c r="C1765" s="65">
        <f>Ringkasan!C1764</f>
        <v>456</v>
      </c>
      <c r="D1765" s="64" t="str">
        <f>Ringkasan!D1764</f>
        <v>#N/A</v>
      </c>
      <c r="E1765" s="64" t="str">
        <f>Ringkasan!E1764</f>
        <v/>
      </c>
      <c r="F1765" s="64" t="str">
        <f>Ringkasan!F1764</f>
        <v/>
      </c>
      <c r="G1765" s="64">
        <f>Ringkasan!G1764</f>
        <v>0</v>
      </c>
      <c r="H1765" s="19">
        <f>Ringkasan!H1764</f>
        <v>160</v>
      </c>
      <c r="I1765" s="19">
        <f>Ringkasan!I1764</f>
        <v>4.1</v>
      </c>
      <c r="J1765" s="19">
        <f>Ringkasan!J1764</f>
        <v>2.5</v>
      </c>
      <c r="K1765" s="19">
        <f>Ringkasan!K1764</f>
        <v>0.61</v>
      </c>
      <c r="L1765" s="19">
        <f>Ringkasan!L1764</f>
        <v>3</v>
      </c>
      <c r="M1765" s="19">
        <f>Ringkasan!M1764</f>
        <v>240</v>
      </c>
      <c r="N1765" s="64" t="str">
        <f>Ringkasan!N1764</f>
        <v/>
      </c>
      <c r="O1765" s="64" t="str">
        <f>Ringkasan!O1764</f>
        <v/>
      </c>
      <c r="P1765" s="64" t="str">
        <f>Ringkasan!P1764</f>
        <v/>
      </c>
      <c r="Q1765" s="64" t="str">
        <f>Ringkasan!Q1764</f>
        <v/>
      </c>
      <c r="R1765" s="64" t="str">
        <f>Ringkasan!R1764</f>
        <v/>
      </c>
      <c r="S1765" s="64" t="str">
        <f>Ringkasan!S1764</f>
        <v/>
      </c>
      <c r="T1765" s="64" t="str">
        <f>Ringkasan!T1764</f>
        <v/>
      </c>
      <c r="U1765" s="64">
        <f>Ringkasan!U1764</f>
        <v>16.9</v>
      </c>
      <c r="V1765" s="64">
        <f>Ringkasan!V1764</f>
        <v>-0.06</v>
      </c>
      <c r="W1765" s="64">
        <f>Ringkasan!W1764</f>
        <v>16.96</v>
      </c>
      <c r="X1765" s="64">
        <f>Ringkasan!X1764</f>
        <v>16.96</v>
      </c>
      <c r="Y1765" s="64">
        <f>Ringkasan!Y1764</f>
        <v>16.72</v>
      </c>
      <c r="Z1765" s="64">
        <f>Ringkasan!Z1764</f>
        <v>741265</v>
      </c>
      <c r="AA1765" s="64" t="str">
        <f>Ringkasan!AA1764</f>
        <v>Real Estate Management &amp; Development</v>
      </c>
      <c r="AB1765" s="64" t="str">
        <f>Ringkasan!AB1764</f>
        <v>Properties &amp; Real Estate</v>
      </c>
    </row>
    <row r="1766" hidden="1">
      <c r="A1766" s="64" t="str">
        <f>Ringkasan!A1765</f>
        <v>TRIO</v>
      </c>
      <c r="B1766" s="64" t="str">
        <f>Ringkasan!B1765</f>
        <v>Trikomsel Oke Tbk.</v>
      </c>
      <c r="C1766" s="65">
        <f>Ringkasan!C1765</f>
        <v>426</v>
      </c>
      <c r="D1766" s="64" t="str">
        <f>Ringkasan!D1765</f>
        <v>#N/A</v>
      </c>
      <c r="E1766" s="64" t="str">
        <f>Ringkasan!E1765</f>
        <v/>
      </c>
      <c r="F1766" s="64" t="str">
        <f>Ringkasan!F1765</f>
        <v/>
      </c>
      <c r="G1766" s="64">
        <f>Ringkasan!G1765</f>
        <v>0</v>
      </c>
      <c r="H1766" s="19">
        <f>Ringkasan!H1765</f>
        <v>-74.4</v>
      </c>
      <c r="I1766" s="19">
        <f>Ringkasan!I1765</f>
        <v>-2.7</v>
      </c>
      <c r="J1766" s="19">
        <f>Ringkasan!J1765</f>
        <v>0</v>
      </c>
      <c r="K1766" s="19">
        <f>Ringkasan!K1765</f>
        <v>-190</v>
      </c>
      <c r="L1766" s="19">
        <f>Ringkasan!L1765</f>
        <v>-1</v>
      </c>
      <c r="M1766" s="19">
        <f>Ringkasan!M1765</f>
        <v>-220</v>
      </c>
      <c r="N1766" s="64" t="str">
        <f>Ringkasan!N1765</f>
        <v/>
      </c>
      <c r="O1766" s="64" t="str">
        <f>Ringkasan!O1765</f>
        <v/>
      </c>
      <c r="P1766" s="64" t="str">
        <f>Ringkasan!P1765</f>
        <v/>
      </c>
      <c r="Q1766" s="64" t="str">
        <f>Ringkasan!Q1765</f>
        <v/>
      </c>
      <c r="R1766" s="64" t="str">
        <f>Ringkasan!R1765</f>
        <v/>
      </c>
      <c r="S1766" s="64" t="str">
        <f>Ringkasan!S1765</f>
        <v/>
      </c>
      <c r="T1766" s="64" t="str">
        <f>Ringkasan!T1765</f>
        <v/>
      </c>
      <c r="U1766" s="64">
        <f>Ringkasan!U1765</f>
        <v>28.1</v>
      </c>
      <c r="V1766" s="64" t="str">
        <f>Ringkasan!V1765</f>
        <v/>
      </c>
      <c r="W1766" s="64">
        <f>Ringkasan!W1765</f>
        <v>27.9</v>
      </c>
      <c r="X1766" s="64">
        <f>Ringkasan!X1765</f>
        <v>28.25</v>
      </c>
      <c r="Y1766" s="64">
        <f>Ringkasan!Y1765</f>
        <v>27.9</v>
      </c>
      <c r="Z1766" s="64">
        <f>Ringkasan!Z1765</f>
        <v>10574</v>
      </c>
      <c r="AA1766" s="64" t="str">
        <f>Ringkasan!AA1765</f>
        <v>Specialty Retail</v>
      </c>
      <c r="AB1766" s="64" t="str">
        <f>Ringkasan!AB1765</f>
        <v>Consumer Cyclicals</v>
      </c>
    </row>
    <row r="1767" hidden="1">
      <c r="A1767" s="64" t="str">
        <f>Ringkasan!A1766</f>
        <v>TRIS</v>
      </c>
      <c r="B1767" s="64" t="str">
        <f>Ringkasan!B1766</f>
        <v>Trisula International Tbk.</v>
      </c>
      <c r="C1767" s="65">
        <f>Ringkasan!C1766</f>
        <v>156</v>
      </c>
      <c r="D1767" s="64" t="str">
        <f>Ringkasan!D1766</f>
        <v>#N/A</v>
      </c>
      <c r="E1767" s="64" t="str">
        <f>Ringkasan!E1766</f>
        <v/>
      </c>
      <c r="F1767" s="64" t="str">
        <f>Ringkasan!F1766</f>
        <v/>
      </c>
      <c r="G1767" s="64">
        <f>Ringkasan!G1766</f>
        <v>0</v>
      </c>
      <c r="H1767" s="19">
        <f>Ringkasan!H1766</f>
        <v>8.7</v>
      </c>
      <c r="I1767" s="19">
        <f>Ringkasan!I1766</f>
        <v>0.61</v>
      </c>
      <c r="J1767" s="19">
        <f>Ringkasan!J1766</f>
        <v>7</v>
      </c>
      <c r="K1767" s="19">
        <f>Ringkasan!K1766</f>
        <v>4.4</v>
      </c>
      <c r="L1767" s="19">
        <f>Ringkasan!L1766</f>
        <v>0.61</v>
      </c>
      <c r="M1767" s="19">
        <f>Ringkasan!M1766</f>
        <v>13.6</v>
      </c>
      <c r="N1767" s="64" t="str">
        <f>Ringkasan!N1766</f>
        <v/>
      </c>
      <c r="O1767" s="64" t="str">
        <f>Ringkasan!O1766</f>
        <v/>
      </c>
      <c r="P1767" s="64" t="str">
        <f>Ringkasan!P1766</f>
        <v/>
      </c>
      <c r="Q1767" s="64" t="str">
        <f>Ringkasan!Q1766</f>
        <v/>
      </c>
      <c r="R1767" s="64" t="str">
        <f>Ringkasan!R1766</f>
        <v/>
      </c>
      <c r="S1767" s="64" t="str">
        <f>Ringkasan!S1766</f>
        <v/>
      </c>
      <c r="T1767" s="64" t="str">
        <f>Ringkasan!T1766</f>
        <v/>
      </c>
      <c r="U1767" s="64">
        <f>Ringkasan!U1766</f>
        <v>3032.75</v>
      </c>
      <c r="V1767" s="64">
        <f>Ringkasan!V1766</f>
        <v>-0.44</v>
      </c>
      <c r="W1767" s="64">
        <f>Ringkasan!W1766</f>
        <v>3021</v>
      </c>
      <c r="X1767" s="64">
        <f>Ringkasan!X1766</f>
        <v>3021</v>
      </c>
      <c r="Y1767" s="64">
        <f>Ringkasan!Y1766</f>
        <v>3015.5</v>
      </c>
      <c r="Z1767" s="64">
        <f>Ringkasan!Z1766</f>
        <v>104</v>
      </c>
      <c r="AA1767" s="64" t="str">
        <f>Ringkasan!AA1766</f>
        <v>Apparel &amp; Luxury Goods</v>
      </c>
      <c r="AB1767" s="64" t="str">
        <f>Ringkasan!AB1766</f>
        <v>Consumer Cyclicals</v>
      </c>
    </row>
    <row r="1768" hidden="1">
      <c r="A1768" s="64" t="str">
        <f>Ringkasan!A1767</f>
        <v>TRJA</v>
      </c>
      <c r="B1768" s="64" t="str">
        <f>Ringkasan!B1767</f>
        <v>Transkon Jaya Tbk.</v>
      </c>
      <c r="C1768" s="65">
        <f>Ringkasan!C1767</f>
        <v>111</v>
      </c>
      <c r="D1768" s="64" t="str">
        <f>Ringkasan!D1767</f>
        <v>#N/A</v>
      </c>
      <c r="E1768" s="64" t="str">
        <f>Ringkasan!E1767</f>
        <v/>
      </c>
      <c r="F1768" s="64" t="str">
        <f>Ringkasan!F1767</f>
        <v/>
      </c>
      <c r="G1768" s="64">
        <f>Ringkasan!G1767</f>
        <v>0</v>
      </c>
      <c r="H1768" s="19">
        <f>Ringkasan!H1767</f>
        <v>-500</v>
      </c>
      <c r="I1768" s="19">
        <f>Ringkasan!I1767</f>
        <v>0.47</v>
      </c>
      <c r="J1768" s="19">
        <f>Ringkasan!J1767</f>
        <v>-0.09</v>
      </c>
      <c r="K1768" s="19">
        <f>Ringkasan!K1767</f>
        <v>-0.05</v>
      </c>
      <c r="L1768" s="19">
        <f>Ringkasan!L1767</f>
        <v>0.92</v>
      </c>
      <c r="M1768" s="19">
        <f>Ringkasan!M1767</f>
        <v>-0.33</v>
      </c>
      <c r="N1768" s="64" t="str">
        <f>Ringkasan!N1767</f>
        <v/>
      </c>
      <c r="O1768" s="64" t="str">
        <f>Ringkasan!O1767</f>
        <v/>
      </c>
      <c r="P1768" s="64" t="str">
        <f>Ringkasan!P1767</f>
        <v/>
      </c>
      <c r="Q1768" s="64" t="str">
        <f>Ringkasan!Q1767</f>
        <v/>
      </c>
      <c r="R1768" s="64" t="str">
        <f>Ringkasan!R1767</f>
        <v/>
      </c>
      <c r="S1768" s="64" t="str">
        <f>Ringkasan!S1767</f>
        <v/>
      </c>
      <c r="T1768" s="64" t="str">
        <f>Ringkasan!T1767</f>
        <v/>
      </c>
      <c r="U1768" s="64">
        <f>Ringkasan!U1767</f>
        <v>115</v>
      </c>
      <c r="V1768" s="64">
        <f>Ringkasan!V1767</f>
        <v>-3.48</v>
      </c>
      <c r="W1768" s="64">
        <f>Ringkasan!W1767</f>
        <v>115</v>
      </c>
      <c r="X1768" s="64">
        <f>Ringkasan!X1767</f>
        <v>115</v>
      </c>
      <c r="Y1768" s="64">
        <f>Ringkasan!Y1767</f>
        <v>110</v>
      </c>
      <c r="Z1768" s="64">
        <f>Ringkasan!Z1767</f>
        <v>177700</v>
      </c>
      <c r="AA1768" s="64" t="str">
        <f>Ringkasan!AA1767</f>
        <v>Passenger Land Transportation</v>
      </c>
      <c r="AB1768" s="64" t="str">
        <f>Ringkasan!AB1767</f>
        <v>Transportation &amp; Logistic</v>
      </c>
    </row>
    <row r="1769" hidden="1">
      <c r="A1769" s="64" t="str">
        <f>Ringkasan!A1768</f>
        <v>TRON</v>
      </c>
      <c r="B1769" s="64" t="str">
        <f>Ringkasan!B1768</f>
        <v>PT Teknologi Karya Digital Nusa Tbk.</v>
      </c>
      <c r="C1769" s="65">
        <f>Ringkasan!C1768</f>
        <v>74</v>
      </c>
      <c r="D1769" s="64" t="str">
        <f>Ringkasan!D1768</f>
        <v>#N/A</v>
      </c>
      <c r="E1769" s="64" t="str">
        <f>Ringkasan!E1768</f>
        <v/>
      </c>
      <c r="F1769" s="64" t="str">
        <f>Ringkasan!F1768</f>
        <v/>
      </c>
      <c r="G1769" s="64">
        <f>Ringkasan!G1768</f>
        <v>0</v>
      </c>
      <c r="H1769" s="19">
        <f>Ringkasan!H1768</f>
        <v>-7.5</v>
      </c>
      <c r="I1769" s="19">
        <f>Ringkasan!I1768</f>
        <v>1.6</v>
      </c>
      <c r="J1769" s="19">
        <f>Ringkasan!J1768</f>
        <v>-21.4</v>
      </c>
      <c r="K1769" s="19">
        <f>Ringkasan!K1768</f>
        <v>-15.6</v>
      </c>
      <c r="L1769" s="19">
        <f>Ringkasan!L1768</f>
        <v>0.37</v>
      </c>
      <c r="M1769" s="19">
        <f>Ringkasan!M1768</f>
        <v>-200</v>
      </c>
      <c r="N1769" s="64" t="str">
        <f>Ringkasan!N1768</f>
        <v/>
      </c>
      <c r="O1769" s="64" t="str">
        <f>Ringkasan!O1768</f>
        <v/>
      </c>
      <c r="P1769" s="64" t="str">
        <f>Ringkasan!P1768</f>
        <v/>
      </c>
      <c r="Q1769" s="64" t="str">
        <f>Ringkasan!Q1768</f>
        <v/>
      </c>
      <c r="R1769" s="64" t="str">
        <f>Ringkasan!R1768</f>
        <v/>
      </c>
      <c r="S1769" s="64" t="str">
        <f>Ringkasan!S1768</f>
        <v/>
      </c>
      <c r="T1769" s="64" t="str">
        <f>Ringkasan!T1768</f>
        <v/>
      </c>
      <c r="U1769" s="64" t="str">
        <f>Ringkasan!U1768</f>
        <v/>
      </c>
      <c r="V1769" s="64">
        <f>Ringkasan!V1768</f>
        <v>-1.68</v>
      </c>
      <c r="W1769" s="64">
        <f>Ringkasan!W1768</f>
        <v>1.79</v>
      </c>
      <c r="X1769" s="64">
        <f>Ringkasan!X1768</f>
        <v>1.85</v>
      </c>
      <c r="Y1769" s="64">
        <f>Ringkasan!Y1768</f>
        <v>1.74</v>
      </c>
      <c r="Z1769" s="64">
        <f>Ringkasan!Z1768</f>
        <v>481139</v>
      </c>
      <c r="AA1769" s="64" t="str">
        <f>Ringkasan!AA1768</f>
        <v>Software</v>
      </c>
      <c r="AB1769" s="64" t="str">
        <f>Ringkasan!AB1768</f>
        <v>Technology</v>
      </c>
    </row>
    <row r="1770" hidden="1">
      <c r="A1770" s="64" t="str">
        <f>Ringkasan!A1769</f>
        <v>TRST</v>
      </c>
      <c r="B1770" s="64" t="str">
        <f>Ringkasan!B1769</f>
        <v>Trias Sentosa Tbk.</v>
      </c>
      <c r="C1770" s="65">
        <f>Ringkasan!C1769</f>
        <v>490</v>
      </c>
      <c r="D1770" s="64" t="str">
        <f>Ringkasan!D1769</f>
        <v>#N/A</v>
      </c>
      <c r="E1770" s="64" t="str">
        <f>Ringkasan!E1769</f>
        <v/>
      </c>
      <c r="F1770" s="64" t="str">
        <f>Ringkasan!F1769</f>
        <v/>
      </c>
      <c r="G1770" s="64">
        <f>Ringkasan!G1769</f>
        <v>0</v>
      </c>
      <c r="H1770" s="19">
        <f>Ringkasan!H1769</f>
        <v>210</v>
      </c>
      <c r="I1770" s="19">
        <f>Ringkasan!I1769</f>
        <v>0.46</v>
      </c>
      <c r="J1770" s="19">
        <f>Ringkasan!J1769</f>
        <v>0.22</v>
      </c>
      <c r="K1770" s="19">
        <f>Ringkasan!K1769</f>
        <v>0.12</v>
      </c>
      <c r="L1770" s="19">
        <f>Ringkasan!L1769</f>
        <v>0.94</v>
      </c>
      <c r="M1770" s="19">
        <f>Ringkasan!M1769</f>
        <v>0.64</v>
      </c>
      <c r="N1770" s="64" t="str">
        <f>Ringkasan!N1769</f>
        <v/>
      </c>
      <c r="O1770" s="64" t="str">
        <f>Ringkasan!O1769</f>
        <v/>
      </c>
      <c r="P1770" s="64" t="str">
        <f>Ringkasan!P1769</f>
        <v/>
      </c>
      <c r="Q1770" s="64" t="str">
        <f>Ringkasan!Q1769</f>
        <v/>
      </c>
      <c r="R1770" s="64" t="str">
        <f>Ringkasan!R1769</f>
        <v/>
      </c>
      <c r="S1770" s="64" t="str">
        <f>Ringkasan!S1769</f>
        <v/>
      </c>
      <c r="T1770" s="64" t="str">
        <f>Ringkasan!T1769</f>
        <v/>
      </c>
      <c r="U1770" s="64">
        <f>Ringkasan!U1769</f>
        <v>54.89</v>
      </c>
      <c r="V1770" s="64">
        <f>Ringkasan!V1769</f>
        <v>0.66</v>
      </c>
      <c r="W1770" s="64">
        <f>Ringkasan!W1769</f>
        <v>55.19</v>
      </c>
      <c r="X1770" s="64">
        <f>Ringkasan!X1769</f>
        <v>55.6</v>
      </c>
      <c r="Y1770" s="64">
        <f>Ringkasan!Y1769</f>
        <v>55.1</v>
      </c>
      <c r="Z1770" s="64" t="str">
        <f>Ringkasan!Z1769</f>
        <v/>
      </c>
      <c r="AA1770" s="64" t="str">
        <f>Ringkasan!AA1769</f>
        <v>Containers &amp; Packaging</v>
      </c>
      <c r="AB1770" s="64" t="str">
        <f>Ringkasan!AB1769</f>
        <v>Basic Materials</v>
      </c>
    </row>
    <row r="1771" hidden="1">
      <c r="A1771" s="64" t="str">
        <f>Ringkasan!A1770</f>
        <v>TRUE</v>
      </c>
      <c r="B1771" s="64" t="str">
        <f>Ringkasan!B1770</f>
        <v>#N/A</v>
      </c>
      <c r="C1771" s="65">
        <f>Ringkasan!C1770</f>
        <v>65</v>
      </c>
      <c r="D1771" s="64" t="str">
        <f>Ringkasan!D1770</f>
        <v>#N/A</v>
      </c>
      <c r="E1771" s="64" t="str">
        <f>Ringkasan!E1770</f>
        <v/>
      </c>
      <c r="F1771" s="64" t="str">
        <f>Ringkasan!F1770</f>
        <v/>
      </c>
      <c r="G1771" s="64">
        <f>Ringkasan!G1770</f>
        <v>0</v>
      </c>
      <c r="H1771" s="19" t="str">
        <f>Ringkasan!H1770</f>
        <v>#N/A</v>
      </c>
      <c r="I1771" s="19" t="str">
        <f>Ringkasan!I1770</f>
        <v>#N/A</v>
      </c>
      <c r="J1771" s="19" t="str">
        <f>Ringkasan!J1770</f>
        <v>#N/A</v>
      </c>
      <c r="K1771" s="19" t="str">
        <f>Ringkasan!K1770</f>
        <v>#N/A</v>
      </c>
      <c r="L1771" s="19" t="str">
        <f>Ringkasan!L1770</f>
        <v>#N/A</v>
      </c>
      <c r="M1771" s="19" t="str">
        <f>Ringkasan!M1770</f>
        <v>#N/A</v>
      </c>
      <c r="N1771" s="64" t="str">
        <f>Ringkasan!N1770</f>
        <v/>
      </c>
      <c r="O1771" s="64" t="str">
        <f>Ringkasan!O1770</f>
        <v/>
      </c>
      <c r="P1771" s="64" t="str">
        <f>Ringkasan!P1770</f>
        <v/>
      </c>
      <c r="Q1771" s="64" t="str">
        <f>Ringkasan!Q1770</f>
        <v/>
      </c>
      <c r="R1771" s="64" t="str">
        <f>Ringkasan!R1770</f>
        <v/>
      </c>
      <c r="S1771" s="64" t="str">
        <f>Ringkasan!S1770</f>
        <v/>
      </c>
      <c r="T1771" s="64" t="str">
        <f>Ringkasan!T1770</f>
        <v/>
      </c>
      <c r="U1771" s="64">
        <f>Ringkasan!U1770</f>
        <v>3.1</v>
      </c>
      <c r="V1771" s="64">
        <f>Ringkasan!V1770</f>
        <v>-3.23</v>
      </c>
      <c r="W1771" s="64">
        <f>Ringkasan!W1770</f>
        <v>3.13</v>
      </c>
      <c r="X1771" s="64">
        <f>Ringkasan!X1770</f>
        <v>3.13</v>
      </c>
      <c r="Y1771" s="64">
        <f>Ringkasan!Y1770</f>
        <v>3</v>
      </c>
      <c r="Z1771" s="64">
        <f>Ringkasan!Z1770</f>
        <v>105809</v>
      </c>
      <c r="AA1771" s="64" t="str">
        <f>Ringkasan!AA1770</f>
        <v>#N/A</v>
      </c>
      <c r="AB1771" s="64" t="str">
        <f>Ringkasan!AB1770</f>
        <v>#N/A</v>
      </c>
    </row>
    <row r="1772" hidden="1">
      <c r="A1772" s="64" t="str">
        <f>Ringkasan!A1771</f>
        <v>TRUK</v>
      </c>
      <c r="B1772" s="64" t="str">
        <f>Ringkasan!B1771</f>
        <v>Guna Timur Raya Tbk.</v>
      </c>
      <c r="C1772" s="65">
        <f>Ringkasan!C1771</f>
        <v>362</v>
      </c>
      <c r="D1772" s="64" t="str">
        <f>Ringkasan!D1771</f>
        <v>#N/A</v>
      </c>
      <c r="E1772" s="64" t="str">
        <f>Ringkasan!E1771</f>
        <v/>
      </c>
      <c r="F1772" s="64" t="str">
        <f>Ringkasan!F1771</f>
        <v/>
      </c>
      <c r="G1772" s="64">
        <f>Ringkasan!G1771</f>
        <v>0</v>
      </c>
      <c r="H1772" s="19">
        <f>Ringkasan!H1771</f>
        <v>-29.7</v>
      </c>
      <c r="I1772" s="19">
        <f>Ringkasan!I1771</f>
        <v>4.9</v>
      </c>
      <c r="J1772" s="19">
        <f>Ringkasan!J1771</f>
        <v>-16.3</v>
      </c>
      <c r="K1772" s="19">
        <f>Ringkasan!K1771</f>
        <v>-11.7</v>
      </c>
      <c r="L1772" s="19">
        <f>Ringkasan!L1771</f>
        <v>0.4</v>
      </c>
      <c r="M1772" s="19">
        <f>Ringkasan!M1771</f>
        <v>-63.7</v>
      </c>
      <c r="N1772" s="64" t="str">
        <f>Ringkasan!N1771</f>
        <v/>
      </c>
      <c r="O1772" s="64" t="str">
        <f>Ringkasan!O1771</f>
        <v/>
      </c>
      <c r="P1772" s="64" t="str">
        <f>Ringkasan!P1771</f>
        <v/>
      </c>
      <c r="Q1772" s="64" t="str">
        <f>Ringkasan!Q1771</f>
        <v/>
      </c>
      <c r="R1772" s="64" t="str">
        <f>Ringkasan!R1771</f>
        <v/>
      </c>
      <c r="S1772" s="64" t="str">
        <f>Ringkasan!S1771</f>
        <v/>
      </c>
      <c r="T1772" s="64" t="str">
        <f>Ringkasan!T1771</f>
        <v/>
      </c>
      <c r="U1772" s="64">
        <f>Ringkasan!U1771</f>
        <v>322</v>
      </c>
      <c r="V1772" s="64">
        <f>Ringkasan!V1771</f>
        <v>12.42</v>
      </c>
      <c r="W1772" s="64">
        <f>Ringkasan!W1771</f>
        <v>340</v>
      </c>
      <c r="X1772" s="64">
        <f>Ringkasan!X1771</f>
        <v>380</v>
      </c>
      <c r="Y1772" s="64">
        <f>Ringkasan!Y1771</f>
        <v>316</v>
      </c>
      <c r="Z1772" s="64">
        <f>Ringkasan!Z1771</f>
        <v>390200</v>
      </c>
      <c r="AA1772" s="64" t="str">
        <f>Ringkasan!AA1771</f>
        <v>Logistics &amp; Deliveries</v>
      </c>
      <c r="AB1772" s="64" t="str">
        <f>Ringkasan!AB1771</f>
        <v>Transportation &amp; Logistic</v>
      </c>
    </row>
    <row r="1773" hidden="1">
      <c r="A1773" s="64" t="str">
        <f>Ringkasan!A1772</f>
        <v>TRUS</v>
      </c>
      <c r="B1773" s="64" t="str">
        <f>Ringkasan!B1772</f>
        <v>Trust Finance Indonesia Tbk</v>
      </c>
      <c r="C1773" s="65">
        <f>Ringkasan!C1772</f>
        <v>266</v>
      </c>
      <c r="D1773" s="64" t="str">
        <f>Ringkasan!D1772</f>
        <v>#N/A</v>
      </c>
      <c r="E1773" s="64" t="str">
        <f>Ringkasan!E1772</f>
        <v/>
      </c>
      <c r="F1773" s="64" t="str">
        <f>Ringkasan!F1772</f>
        <v/>
      </c>
      <c r="G1773" s="64">
        <f>Ringkasan!G1772</f>
        <v>0</v>
      </c>
      <c r="H1773" s="19">
        <f>Ringkasan!H1772</f>
        <v>13.8</v>
      </c>
      <c r="I1773" s="19">
        <f>Ringkasan!I1772</f>
        <v>0.54</v>
      </c>
      <c r="J1773" s="19">
        <f>Ringkasan!J1772</f>
        <v>3.9</v>
      </c>
      <c r="K1773" s="19">
        <f>Ringkasan!K1772</f>
        <v>3.8</v>
      </c>
      <c r="L1773" s="19">
        <f>Ringkasan!L1772</f>
        <v>0.04</v>
      </c>
      <c r="M1773" s="19">
        <f>Ringkasan!M1772</f>
        <v>230</v>
      </c>
      <c r="N1773" s="64" t="str">
        <f>Ringkasan!N1772</f>
        <v/>
      </c>
      <c r="O1773" s="64" t="str">
        <f>Ringkasan!O1772</f>
        <v/>
      </c>
      <c r="P1773" s="64" t="str">
        <f>Ringkasan!P1772</f>
        <v/>
      </c>
      <c r="Q1773" s="64" t="str">
        <f>Ringkasan!Q1772</f>
        <v/>
      </c>
      <c r="R1773" s="64" t="str">
        <f>Ringkasan!R1772</f>
        <v/>
      </c>
      <c r="S1773" s="64" t="str">
        <f>Ringkasan!S1772</f>
        <v/>
      </c>
      <c r="T1773" s="64" t="str">
        <f>Ringkasan!T1772</f>
        <v/>
      </c>
      <c r="U1773" s="64">
        <f>Ringkasan!U1772</f>
        <v>264</v>
      </c>
      <c r="V1773" s="64">
        <f>Ringkasan!V1772</f>
        <v>0.76</v>
      </c>
      <c r="W1773" s="64">
        <f>Ringkasan!W1772</f>
        <v>264</v>
      </c>
      <c r="X1773" s="64">
        <f>Ringkasan!X1772</f>
        <v>276</v>
      </c>
      <c r="Y1773" s="64">
        <f>Ringkasan!Y1772</f>
        <v>264</v>
      </c>
      <c r="Z1773" s="64">
        <f>Ringkasan!Z1772</f>
        <v>28000</v>
      </c>
      <c r="AA1773" s="64" t="str">
        <f>Ringkasan!AA1772</f>
        <v>Consumer Financing</v>
      </c>
      <c r="AB1773" s="64" t="str">
        <f>Ringkasan!AB1772</f>
        <v>Financials</v>
      </c>
    </row>
    <row r="1774" hidden="1">
      <c r="A1774" s="64" t="str">
        <f>Ringkasan!A1773</f>
        <v>TSPC</v>
      </c>
      <c r="B1774" s="64" t="str">
        <f>Ringkasan!B1773</f>
        <v>Tempo Scan Pacific Tbk.</v>
      </c>
      <c r="C1774" s="65">
        <f>Ringkasan!C1773</f>
        <v>2440</v>
      </c>
      <c r="D1774" s="64" t="str">
        <f>Ringkasan!D1773</f>
        <v>#N/A</v>
      </c>
      <c r="E1774" s="64" t="str">
        <f>Ringkasan!E1773</f>
        <v/>
      </c>
      <c r="F1774" s="64" t="str">
        <f>Ringkasan!F1773</f>
        <v/>
      </c>
      <c r="G1774" s="65">
        <f>Ringkasan!G1773</f>
        <v>0</v>
      </c>
      <c r="H1774" s="19">
        <f>Ringkasan!H1773</f>
        <v>7.9</v>
      </c>
      <c r="I1774" s="19">
        <f>Ringkasan!I1773</f>
        <v>1.1</v>
      </c>
      <c r="J1774" s="19">
        <f>Ringkasan!J1773</f>
        <v>13.5</v>
      </c>
      <c r="K1774" s="19">
        <f>Ringkasan!K1773</f>
        <v>10.1</v>
      </c>
      <c r="L1774" s="19">
        <f>Ringkasan!L1773</f>
        <v>0.33</v>
      </c>
      <c r="M1774" s="19">
        <f>Ringkasan!M1773</f>
        <v>39.5</v>
      </c>
      <c r="N1774" s="64" t="str">
        <f>Ringkasan!N1773</f>
        <v/>
      </c>
      <c r="O1774" s="64" t="str">
        <f>Ringkasan!O1773</f>
        <v/>
      </c>
      <c r="P1774" s="64" t="str">
        <f>Ringkasan!P1773</f>
        <v/>
      </c>
      <c r="Q1774" s="64" t="str">
        <f>Ringkasan!Q1773</f>
        <v/>
      </c>
      <c r="R1774" s="64" t="str">
        <f>Ringkasan!R1773</f>
        <v/>
      </c>
      <c r="S1774" s="64" t="str">
        <f>Ringkasan!S1773</f>
        <v/>
      </c>
      <c r="T1774" s="64" t="str">
        <f>Ringkasan!T1773</f>
        <v/>
      </c>
      <c r="U1774" s="64">
        <f>Ringkasan!U1773</f>
        <v>2400</v>
      </c>
      <c r="V1774" s="64" t="str">
        <f>Ringkasan!V1773</f>
        <v/>
      </c>
      <c r="W1774" s="64">
        <f>Ringkasan!W1773</f>
        <v>2410</v>
      </c>
      <c r="X1774" s="64">
        <f>Ringkasan!X1773</f>
        <v>2460</v>
      </c>
      <c r="Y1774" s="64">
        <f>Ringkasan!Y1773</f>
        <v>2400</v>
      </c>
      <c r="Z1774" s="64">
        <f>Ringkasan!Z1773</f>
        <v>1201100</v>
      </c>
      <c r="AA1774" s="64" t="str">
        <f>Ringkasan!AA1773</f>
        <v>Pharmaceuticals</v>
      </c>
      <c r="AB1774" s="64" t="str">
        <f>Ringkasan!AB1773</f>
        <v>Healthcare</v>
      </c>
    </row>
    <row r="1775" hidden="1">
      <c r="A1775" s="64" t="str">
        <f>Ringkasan!A1774</f>
        <v>TUGU</v>
      </c>
      <c r="B1775" s="64" t="str">
        <f>Ringkasan!B1774</f>
        <v>Asuransi Tugu Pratama Indonesia Tbk.</v>
      </c>
      <c r="C1775" s="65">
        <f>Ringkasan!C1774</f>
        <v>1090</v>
      </c>
      <c r="D1775" s="64" t="str">
        <f>Ringkasan!D1774</f>
        <v>#N/A</v>
      </c>
      <c r="E1775" s="64" t="str">
        <f>Ringkasan!E1774</f>
        <v/>
      </c>
      <c r="F1775" s="64" t="str">
        <f>Ringkasan!F1774</f>
        <v/>
      </c>
      <c r="G1775" s="64">
        <f>Ringkasan!G1774</f>
        <v>0</v>
      </c>
      <c r="H1775" s="19">
        <f>Ringkasan!H1774</f>
        <v>5.5</v>
      </c>
      <c r="I1775" s="19">
        <f>Ringkasan!I1774</f>
        <v>0.39</v>
      </c>
      <c r="J1775" s="19">
        <f>Ringkasan!J1774</f>
        <v>7.2</v>
      </c>
      <c r="K1775" s="19">
        <f>Ringkasan!K1774</f>
        <v>2.5</v>
      </c>
      <c r="L1775" s="19">
        <f>Ringkasan!L1774</f>
        <v>1.9</v>
      </c>
      <c r="M1775" s="19">
        <f>Ringkasan!M1774</f>
        <v>25.9</v>
      </c>
      <c r="N1775" s="64" t="str">
        <f>Ringkasan!N1774</f>
        <v/>
      </c>
      <c r="O1775" s="64" t="str">
        <f>Ringkasan!O1774</f>
        <v/>
      </c>
      <c r="P1775" s="64" t="str">
        <f>Ringkasan!P1774</f>
        <v/>
      </c>
      <c r="Q1775" s="64" t="str">
        <f>Ringkasan!Q1774</f>
        <v/>
      </c>
      <c r="R1775" s="64" t="str">
        <f>Ringkasan!R1774</f>
        <v/>
      </c>
      <c r="S1775" s="64" t="str">
        <f>Ringkasan!S1774</f>
        <v/>
      </c>
      <c r="T1775" s="64" t="str">
        <f>Ringkasan!T1774</f>
        <v/>
      </c>
      <c r="U1775" s="64">
        <f>Ringkasan!U1774</f>
        <v>1095</v>
      </c>
      <c r="V1775" s="64">
        <f>Ringkasan!V1774</f>
        <v>-0.46</v>
      </c>
      <c r="W1775" s="64">
        <f>Ringkasan!W1774</f>
        <v>1090</v>
      </c>
      <c r="X1775" s="64">
        <f>Ringkasan!X1774</f>
        <v>1105</v>
      </c>
      <c r="Y1775" s="64">
        <f>Ringkasan!Y1774</f>
        <v>1075</v>
      </c>
      <c r="Z1775" s="64">
        <f>Ringkasan!Z1774</f>
        <v>2245200</v>
      </c>
      <c r="AA1775" s="64" t="str">
        <f>Ringkasan!AA1774</f>
        <v>Insurance</v>
      </c>
      <c r="AB1775" s="64" t="str">
        <f>Ringkasan!AB1774</f>
        <v>Financials</v>
      </c>
    </row>
    <row r="1776" hidden="1">
      <c r="A1776" s="64" t="str">
        <f>Ringkasan!A1775</f>
        <v>TYRE</v>
      </c>
      <c r="B1776" s="64" t="str">
        <f>Ringkasan!B1775</f>
        <v>PT King Tire Indonesia Tbk.</v>
      </c>
      <c r="C1776" s="65">
        <f>Ringkasan!C1775</f>
        <v>103</v>
      </c>
      <c r="D1776" s="64" t="str">
        <f>Ringkasan!D1775</f>
        <v>#N/A</v>
      </c>
      <c r="E1776" s="64" t="str">
        <f>Ringkasan!E1775</f>
        <v/>
      </c>
      <c r="F1776" s="64" t="str">
        <f>Ringkasan!F1775</f>
        <v/>
      </c>
      <c r="G1776" s="64">
        <f>Ringkasan!G1775</f>
        <v>0</v>
      </c>
      <c r="H1776" s="19">
        <f>Ringkasan!H1775</f>
        <v>18.7</v>
      </c>
      <c r="I1776" s="19">
        <f>Ringkasan!I1775</f>
        <v>1.1</v>
      </c>
      <c r="J1776" s="19">
        <f>Ringkasan!J1775</f>
        <v>5.8</v>
      </c>
      <c r="K1776" s="19">
        <f>Ringkasan!K1775</f>
        <v>3.3</v>
      </c>
      <c r="L1776" s="19">
        <f>Ringkasan!L1775</f>
        <v>0.77</v>
      </c>
      <c r="M1776" s="19">
        <f>Ringkasan!M1775</f>
        <v>15.4</v>
      </c>
      <c r="N1776" s="64" t="str">
        <f>Ringkasan!N1775</f>
        <v/>
      </c>
      <c r="O1776" s="64" t="str">
        <f>Ringkasan!O1775</f>
        <v/>
      </c>
      <c r="P1776" s="64" t="str">
        <f>Ringkasan!P1775</f>
        <v/>
      </c>
      <c r="Q1776" s="64" t="str">
        <f>Ringkasan!Q1775</f>
        <v/>
      </c>
      <c r="R1776" s="64" t="str">
        <f>Ringkasan!R1775</f>
        <v/>
      </c>
      <c r="S1776" s="64" t="str">
        <f>Ringkasan!S1775</f>
        <v/>
      </c>
      <c r="T1776" s="64" t="str">
        <f>Ringkasan!T1775</f>
        <v/>
      </c>
      <c r="U1776" s="64">
        <f>Ringkasan!U1775</f>
        <v>104</v>
      </c>
      <c r="V1776" s="64">
        <f>Ringkasan!V1775</f>
        <v>-0.96</v>
      </c>
      <c r="W1776" s="64">
        <f>Ringkasan!W1775</f>
        <v>102</v>
      </c>
      <c r="X1776" s="64">
        <f>Ringkasan!X1775</f>
        <v>104</v>
      </c>
      <c r="Y1776" s="64">
        <f>Ringkasan!Y1775</f>
        <v>100</v>
      </c>
      <c r="Z1776" s="64">
        <f>Ringkasan!Z1775</f>
        <v>130800</v>
      </c>
      <c r="AA1776" s="64" t="str">
        <f>Ringkasan!AA1775</f>
        <v>Auto Components</v>
      </c>
      <c r="AB1776" s="64" t="str">
        <f>Ringkasan!AB1775</f>
        <v>Consumer Cyclicals</v>
      </c>
    </row>
    <row r="1777" hidden="1">
      <c r="A1777" s="64" t="str">
        <f>Ringkasan!A1776</f>
        <v>UANG</v>
      </c>
      <c r="B1777" s="64" t="str">
        <f>Ringkasan!B1776</f>
        <v>Pakuan Tbk.</v>
      </c>
      <c r="C1777" s="65">
        <f>Ringkasan!C1776</f>
        <v>2210</v>
      </c>
      <c r="D1777" s="64" t="str">
        <f>Ringkasan!D1776</f>
        <v>#N/A</v>
      </c>
      <c r="E1777" s="64" t="str">
        <f>Ringkasan!E1776</f>
        <v/>
      </c>
      <c r="F1777" s="64" t="str">
        <f>Ringkasan!F1776</f>
        <v/>
      </c>
      <c r="G1777" s="64">
        <f>Ringkasan!G1776</f>
        <v>0</v>
      </c>
      <c r="H1777" s="19">
        <f>Ringkasan!H1776</f>
        <v>38.6</v>
      </c>
      <c r="I1777" s="19">
        <f>Ringkasan!I1776</f>
        <v>5.3</v>
      </c>
      <c r="J1777" s="19">
        <f>Ringkasan!J1776</f>
        <v>13.8</v>
      </c>
      <c r="K1777" s="19">
        <f>Ringkasan!K1776</f>
        <v>4.6</v>
      </c>
      <c r="L1777" s="19">
        <f>Ringkasan!L1776</f>
        <v>2</v>
      </c>
      <c r="M1777" s="19">
        <f>Ringkasan!M1776</f>
        <v>24.2</v>
      </c>
      <c r="N1777" s="64" t="str">
        <f>Ringkasan!N1776</f>
        <v/>
      </c>
      <c r="O1777" s="64" t="str">
        <f>Ringkasan!O1776</f>
        <v/>
      </c>
      <c r="P1777" s="64" t="str">
        <f>Ringkasan!P1776</f>
        <v/>
      </c>
      <c r="Q1777" s="64" t="str">
        <f>Ringkasan!Q1776</f>
        <v/>
      </c>
      <c r="R1777" s="64" t="str">
        <f>Ringkasan!R1776</f>
        <v/>
      </c>
      <c r="S1777" s="64" t="str">
        <f>Ringkasan!S1776</f>
        <v/>
      </c>
      <c r="T1777" s="64" t="str">
        <f>Ringkasan!T1776</f>
        <v/>
      </c>
      <c r="U1777" s="64">
        <f>Ringkasan!U1776</f>
        <v>2150</v>
      </c>
      <c r="V1777" s="64">
        <f>Ringkasan!V1776</f>
        <v>2.79</v>
      </c>
      <c r="W1777" s="64">
        <f>Ringkasan!W1776</f>
        <v>2070</v>
      </c>
      <c r="X1777" s="64">
        <f>Ringkasan!X1776</f>
        <v>2310</v>
      </c>
      <c r="Y1777" s="64">
        <f>Ringkasan!Y1776</f>
        <v>2070</v>
      </c>
      <c r="Z1777" s="64">
        <f>Ringkasan!Z1776</f>
        <v>134400</v>
      </c>
      <c r="AA1777" s="64" t="str">
        <f>Ringkasan!AA1776</f>
        <v>Real Estate Management &amp; Development</v>
      </c>
      <c r="AB1777" s="64" t="str">
        <f>Ringkasan!AB1776</f>
        <v>Properties &amp; Real Estate</v>
      </c>
    </row>
    <row r="1778" hidden="1">
      <c r="A1778" s="64" t="str">
        <f>Ringkasan!A1777</f>
        <v>UCID</v>
      </c>
      <c r="B1778" s="64" t="str">
        <f>Ringkasan!B1777</f>
        <v>Uni-Charm Indonesia Tbk.</v>
      </c>
      <c r="C1778" s="65">
        <f>Ringkasan!C1777</f>
        <v>384</v>
      </c>
      <c r="D1778" s="64" t="str">
        <f>Ringkasan!D1777</f>
        <v>#N/A</v>
      </c>
      <c r="E1778" s="64" t="str">
        <f>Ringkasan!E1777</f>
        <v/>
      </c>
      <c r="F1778" s="64" t="str">
        <f>Ringkasan!F1777</f>
        <v/>
      </c>
      <c r="G1778" s="64">
        <f>Ringkasan!G1777</f>
        <v>0</v>
      </c>
      <c r="H1778" s="19">
        <f>Ringkasan!H1777</f>
        <v>-1.4</v>
      </c>
      <c r="I1778" s="19">
        <f>Ringkasan!I1777</f>
        <v>0.35</v>
      </c>
      <c r="J1778" s="19">
        <f>Ringkasan!J1777</f>
        <v>-24.9</v>
      </c>
      <c r="K1778" s="19">
        <f>Ringkasan!K1777</f>
        <v>-16.5</v>
      </c>
      <c r="L1778" s="19">
        <f>Ringkasan!L1777</f>
        <v>0.51</v>
      </c>
      <c r="M1778" s="19">
        <f>Ringkasan!M1777</f>
        <v>-57.4</v>
      </c>
      <c r="N1778" s="64" t="str">
        <f>Ringkasan!N1777</f>
        <v/>
      </c>
      <c r="O1778" s="64" t="str">
        <f>Ringkasan!O1777</f>
        <v/>
      </c>
      <c r="P1778" s="64" t="str">
        <f>Ringkasan!P1777</f>
        <v/>
      </c>
      <c r="Q1778" s="64" t="str">
        <f>Ringkasan!Q1777</f>
        <v/>
      </c>
      <c r="R1778" s="64" t="str">
        <f>Ringkasan!R1777</f>
        <v/>
      </c>
      <c r="S1778" s="64" t="str">
        <f>Ringkasan!S1777</f>
        <v/>
      </c>
      <c r="T1778" s="64" t="str">
        <f>Ringkasan!T1777</f>
        <v/>
      </c>
      <c r="U1778" s="64">
        <f>Ringkasan!U1777</f>
        <v>372</v>
      </c>
      <c r="V1778" s="64">
        <f>Ringkasan!V1777</f>
        <v>3.23</v>
      </c>
      <c r="W1778" s="64">
        <f>Ringkasan!W1777</f>
        <v>374</v>
      </c>
      <c r="X1778" s="64">
        <f>Ringkasan!X1777</f>
        <v>388</v>
      </c>
      <c r="Y1778" s="64">
        <f>Ringkasan!Y1777</f>
        <v>368</v>
      </c>
      <c r="Z1778" s="64">
        <f>Ringkasan!Z1777</f>
        <v>1366500</v>
      </c>
      <c r="AA1778" s="64" t="str">
        <f>Ringkasan!AA1777</f>
        <v>Personal Care Products</v>
      </c>
      <c r="AB1778" s="64" t="str">
        <f>Ringkasan!AB1777</f>
        <v>Consumer Non-Cyclicals</v>
      </c>
    </row>
    <row r="1779" hidden="1">
      <c r="A1779" s="64" t="str">
        <f>Ringkasan!A1778</f>
        <v>UDNG</v>
      </c>
      <c r="B1779" s="64" t="str">
        <f>Ringkasan!B1778</f>
        <v>Agro Bahari Nusantara Tbk.</v>
      </c>
      <c r="C1779" s="65">
        <f>Ringkasan!C1778</f>
        <v>1400</v>
      </c>
      <c r="D1779" s="64" t="str">
        <f>Ringkasan!D1778</f>
        <v>#N/A</v>
      </c>
      <c r="E1779" s="64" t="str">
        <f>Ringkasan!E1778</f>
        <v/>
      </c>
      <c r="F1779" s="64" t="str">
        <f>Ringkasan!F1778</f>
        <v/>
      </c>
      <c r="G1779" s="64">
        <f>Ringkasan!G1778</f>
        <v>0</v>
      </c>
      <c r="H1779" s="19">
        <f>Ringkasan!H1778</f>
        <v>-670</v>
      </c>
      <c r="I1779" s="19">
        <f>Ringkasan!I1778</f>
        <v>44.3</v>
      </c>
      <c r="J1779" s="19">
        <f>Ringkasan!J1778</f>
        <v>-6.6</v>
      </c>
      <c r="K1779" s="19">
        <f>Ringkasan!K1778</f>
        <v>-6.1</v>
      </c>
      <c r="L1779" s="19">
        <f>Ringkasan!L1778</f>
        <v>0.08</v>
      </c>
      <c r="M1779" s="19">
        <f>Ringkasan!M1778</f>
        <v>-15.9</v>
      </c>
      <c r="N1779" s="64" t="str">
        <f>Ringkasan!N1778</f>
        <v/>
      </c>
      <c r="O1779" s="64" t="str">
        <f>Ringkasan!O1778</f>
        <v/>
      </c>
      <c r="P1779" s="64" t="str">
        <f>Ringkasan!P1778</f>
        <v/>
      </c>
      <c r="Q1779" s="64" t="str">
        <f>Ringkasan!Q1778</f>
        <v/>
      </c>
      <c r="R1779" s="64" t="str">
        <f>Ringkasan!R1778</f>
        <v/>
      </c>
      <c r="S1779" s="64" t="str">
        <f>Ringkasan!S1778</f>
        <v/>
      </c>
      <c r="T1779" s="64" t="str">
        <f>Ringkasan!T1778</f>
        <v/>
      </c>
      <c r="U1779" s="64" t="str">
        <f>Ringkasan!U1778</f>
        <v/>
      </c>
      <c r="V1779" s="64">
        <f>Ringkasan!V1778</f>
        <v>6.46</v>
      </c>
      <c r="W1779" s="64">
        <f>Ringkasan!W1778</f>
        <v>1315</v>
      </c>
      <c r="X1779" s="64">
        <f>Ringkasan!X1778</f>
        <v>1435</v>
      </c>
      <c r="Y1779" s="64">
        <f>Ringkasan!Y1778</f>
        <v>1315</v>
      </c>
      <c r="Z1779" s="64">
        <f>Ringkasan!Z1778</f>
        <v>1364000</v>
      </c>
      <c r="AA1779" s="64" t="str">
        <f>Ringkasan!AA1778</f>
        <v>Agricultural Products</v>
      </c>
      <c r="AB1779" s="64" t="str">
        <f>Ringkasan!AB1778</f>
        <v>Consumer Non-Cyclicals</v>
      </c>
    </row>
    <row r="1780" hidden="1">
      <c r="A1780" s="64" t="str">
        <f>Ringkasan!A1779</f>
        <v>UFOE</v>
      </c>
      <c r="B1780" s="64" t="str">
        <f>Ringkasan!B1779</f>
        <v>Damai Sejahtera Abadi Tbk.</v>
      </c>
      <c r="C1780" s="65">
        <f>Ringkasan!C1779</f>
        <v>135</v>
      </c>
      <c r="D1780" s="64" t="str">
        <f>Ringkasan!D1779</f>
        <v>#N/A</v>
      </c>
      <c r="E1780" s="64" t="str">
        <f>Ringkasan!E1779</f>
        <v/>
      </c>
      <c r="F1780" s="64" t="str">
        <f>Ringkasan!F1779</f>
        <v/>
      </c>
      <c r="G1780" s="64">
        <f>Ringkasan!G1779</f>
        <v>0</v>
      </c>
      <c r="H1780" s="19">
        <f>Ringkasan!H1779</f>
        <v>21</v>
      </c>
      <c r="I1780" s="19">
        <f>Ringkasan!I1779</f>
        <v>1.7</v>
      </c>
      <c r="J1780" s="19">
        <f>Ringkasan!J1779</f>
        <v>8</v>
      </c>
      <c r="K1780" s="19">
        <f>Ringkasan!K1779</f>
        <v>3.5</v>
      </c>
      <c r="L1780" s="19">
        <f>Ringkasan!L1779</f>
        <v>1.3</v>
      </c>
      <c r="M1780" s="19">
        <f>Ringkasan!M1779</f>
        <v>6.2</v>
      </c>
      <c r="N1780" s="64" t="str">
        <f>Ringkasan!N1779</f>
        <v/>
      </c>
      <c r="O1780" s="64" t="str">
        <f>Ringkasan!O1779</f>
        <v/>
      </c>
      <c r="P1780" s="64" t="str">
        <f>Ringkasan!P1779</f>
        <v/>
      </c>
      <c r="Q1780" s="64" t="str">
        <f>Ringkasan!Q1779</f>
        <v/>
      </c>
      <c r="R1780" s="64" t="str">
        <f>Ringkasan!R1779</f>
        <v/>
      </c>
      <c r="S1780" s="64" t="str">
        <f>Ringkasan!S1779</f>
        <v/>
      </c>
      <c r="T1780" s="64" t="str">
        <f>Ringkasan!T1779</f>
        <v/>
      </c>
      <c r="U1780" s="64">
        <f>Ringkasan!U1779</f>
        <v>133</v>
      </c>
      <c r="V1780" s="64">
        <f>Ringkasan!V1779</f>
        <v>1.5</v>
      </c>
      <c r="W1780" s="64">
        <f>Ringkasan!W1779</f>
        <v>129</v>
      </c>
      <c r="X1780" s="64">
        <f>Ringkasan!X1779</f>
        <v>138</v>
      </c>
      <c r="Y1780" s="64" t="str">
        <f>Ringkasan!Y1779</f>
        <v/>
      </c>
      <c r="Z1780" s="64">
        <f>Ringkasan!Z1779</f>
        <v>191800</v>
      </c>
      <c r="AA1780" s="64" t="str">
        <f>Ringkasan!AA1779</f>
        <v>Specialty Retail</v>
      </c>
      <c r="AB1780" s="64" t="str">
        <f>Ringkasan!AB1779</f>
        <v>Consumer Cyclicals</v>
      </c>
    </row>
    <row r="1781" hidden="1">
      <c r="A1781" s="64" t="str">
        <f>Ringkasan!A1780</f>
        <v>ULTJ</v>
      </c>
      <c r="B1781" s="64" t="str">
        <f>Ringkasan!B1780</f>
        <v>Ultrajaya Milk Industry &amp; Trading Company Tbk.</v>
      </c>
      <c r="C1781" s="65">
        <f>Ringkasan!C1780</f>
        <v>1325</v>
      </c>
      <c r="D1781" s="64" t="str">
        <f>Ringkasan!D1780</f>
        <v>#N/A</v>
      </c>
      <c r="E1781" s="64" t="str">
        <f>Ringkasan!E1780</f>
        <v>ESGQKEHATI</v>
      </c>
      <c r="F1781" s="66">
        <f>Ringkasan!F1780</f>
        <v>46356</v>
      </c>
      <c r="G1781" s="65">
        <f>Ringkasan!G1780</f>
        <v>3</v>
      </c>
      <c r="H1781" s="19">
        <f>Ringkasan!H1780</f>
        <v>10.7</v>
      </c>
      <c r="I1781" s="19">
        <f>Ringkasan!I1780</f>
        <v>1.8</v>
      </c>
      <c r="J1781" s="19">
        <f>Ringkasan!J1780</f>
        <v>16.8</v>
      </c>
      <c r="K1781" s="19">
        <f>Ringkasan!K1780</f>
        <v>14.8</v>
      </c>
      <c r="L1781" s="19">
        <f>Ringkasan!L1780</f>
        <v>0.13</v>
      </c>
      <c r="M1781" s="19">
        <f>Ringkasan!M1780</f>
        <v>53.3</v>
      </c>
      <c r="N1781" s="64" t="str">
        <f>Ringkasan!N1780</f>
        <v/>
      </c>
      <c r="O1781" s="64" t="str">
        <f>Ringkasan!O1780</f>
        <v/>
      </c>
      <c r="P1781" s="64" t="str">
        <f>Ringkasan!P1780</f>
        <v/>
      </c>
      <c r="Q1781" s="64" t="str">
        <f>Ringkasan!Q1780</f>
        <v/>
      </c>
      <c r="R1781" s="64" t="str">
        <f>Ringkasan!R1780</f>
        <v/>
      </c>
      <c r="S1781" s="64" t="str">
        <f>Ringkasan!S1780</f>
        <v/>
      </c>
      <c r="T1781" s="64" t="str">
        <f>Ringkasan!T1780</f>
        <v/>
      </c>
      <c r="U1781" s="64">
        <f>Ringkasan!U1780</f>
        <v>1320</v>
      </c>
      <c r="V1781" s="64">
        <f>Ringkasan!V1780</f>
        <v>0.38</v>
      </c>
      <c r="W1781" s="64">
        <f>Ringkasan!W1780</f>
        <v>1320</v>
      </c>
      <c r="X1781" s="64">
        <f>Ringkasan!X1780</f>
        <v>1345</v>
      </c>
      <c r="Y1781" s="64">
        <f>Ringkasan!Y1780</f>
        <v>1315</v>
      </c>
      <c r="Z1781" s="64">
        <f>Ringkasan!Z1780</f>
        <v>2093400</v>
      </c>
      <c r="AA1781" s="64" t="str">
        <f>Ringkasan!AA1780</f>
        <v>Processed Foods</v>
      </c>
      <c r="AB1781" s="64" t="str">
        <f>Ringkasan!AB1780</f>
        <v>Consumer Non-Cyclicals</v>
      </c>
    </row>
    <row r="1782" hidden="1">
      <c r="A1782" s="64" t="str">
        <f>Ringkasan!A1781</f>
        <v>ULTJ</v>
      </c>
      <c r="B1782" s="64" t="str">
        <f>Ringkasan!B1781</f>
        <v>Ultrajaya Milk Industry &amp; Trading Company Tbk.</v>
      </c>
      <c r="C1782" s="65">
        <f>Ringkasan!C1781</f>
        <v>1325</v>
      </c>
      <c r="D1782" s="64" t="str">
        <f>Ringkasan!D1781</f>
        <v>#N/A</v>
      </c>
      <c r="E1782" s="64" t="str">
        <f>Ringkasan!E1781</f>
        <v>FTSE Micro Cap</v>
      </c>
      <c r="F1782" s="64" t="str">
        <f>Ringkasan!F1781</f>
        <v>4 Agustus 2026</v>
      </c>
      <c r="G1782" s="65">
        <f>Ringkasan!G1781</f>
        <v>3</v>
      </c>
      <c r="H1782" s="19">
        <f>Ringkasan!H1781</f>
        <v>10.7</v>
      </c>
      <c r="I1782" s="19">
        <f>Ringkasan!I1781</f>
        <v>1.8</v>
      </c>
      <c r="J1782" s="19">
        <f>Ringkasan!J1781</f>
        <v>16.8</v>
      </c>
      <c r="K1782" s="19">
        <f>Ringkasan!K1781</f>
        <v>14.8</v>
      </c>
      <c r="L1782" s="19">
        <f>Ringkasan!L1781</f>
        <v>0.13</v>
      </c>
      <c r="M1782" s="19">
        <f>Ringkasan!M1781</f>
        <v>53.3</v>
      </c>
      <c r="N1782" s="64" t="str">
        <f>Ringkasan!N1781</f>
        <v/>
      </c>
      <c r="O1782" s="64" t="str">
        <f>Ringkasan!O1781</f>
        <v/>
      </c>
      <c r="P1782" s="64" t="str">
        <f>Ringkasan!P1781</f>
        <v/>
      </c>
      <c r="Q1782" s="64" t="str">
        <f>Ringkasan!Q1781</f>
        <v/>
      </c>
      <c r="R1782" s="64" t="str">
        <f>Ringkasan!R1781</f>
        <v/>
      </c>
      <c r="S1782" s="64" t="str">
        <f>Ringkasan!S1781</f>
        <v/>
      </c>
      <c r="T1782" s="64" t="str">
        <f>Ringkasan!T1781</f>
        <v/>
      </c>
      <c r="U1782" s="64">
        <f>Ringkasan!U1781</f>
        <v>1320</v>
      </c>
      <c r="V1782" s="64">
        <f>Ringkasan!V1781</f>
        <v>0.38</v>
      </c>
      <c r="W1782" s="64">
        <f>Ringkasan!W1781</f>
        <v>1320</v>
      </c>
      <c r="X1782" s="64">
        <f>Ringkasan!X1781</f>
        <v>1345</v>
      </c>
      <c r="Y1782" s="64">
        <f>Ringkasan!Y1781</f>
        <v>1315</v>
      </c>
      <c r="Z1782" s="64">
        <f>Ringkasan!Z1781</f>
        <v>2093400</v>
      </c>
      <c r="AA1782" s="64" t="str">
        <f>Ringkasan!AA1781</f>
        <v>Processed Foods</v>
      </c>
      <c r="AB1782" s="64" t="str">
        <f>Ringkasan!AB1781</f>
        <v>Consumer Non-Cyclicals</v>
      </c>
    </row>
    <row r="1783" hidden="1">
      <c r="A1783" s="64" t="str">
        <f>Ringkasan!A1782</f>
        <v>ULTJ</v>
      </c>
      <c r="B1783" s="64" t="str">
        <f>Ringkasan!B1782</f>
        <v>Ultrajaya Milk Industry &amp; Trading Company Tbk.</v>
      </c>
      <c r="C1783" s="65">
        <f>Ringkasan!C1782</f>
        <v>1325</v>
      </c>
      <c r="D1783" s="64" t="str">
        <f>Ringkasan!D1782</f>
        <v>#N/A</v>
      </c>
      <c r="E1783" s="64" t="str">
        <f>Ringkasan!E1782</f>
        <v>MNC36</v>
      </c>
      <c r="F1783" s="64" t="str">
        <f>Ringkasan!F1782</f>
        <v>30 Oktober 2026</v>
      </c>
      <c r="G1783" s="65">
        <f>Ringkasan!G1782</f>
        <v>3</v>
      </c>
      <c r="H1783" s="19">
        <f>Ringkasan!H1782</f>
        <v>10.7</v>
      </c>
      <c r="I1783" s="19">
        <f>Ringkasan!I1782</f>
        <v>1.8</v>
      </c>
      <c r="J1783" s="19">
        <f>Ringkasan!J1782</f>
        <v>16.8</v>
      </c>
      <c r="K1783" s="19">
        <f>Ringkasan!K1782</f>
        <v>14.8</v>
      </c>
      <c r="L1783" s="19">
        <f>Ringkasan!L1782</f>
        <v>0.13</v>
      </c>
      <c r="M1783" s="19">
        <f>Ringkasan!M1782</f>
        <v>53.3</v>
      </c>
      <c r="N1783" s="64" t="str">
        <f>Ringkasan!N1782</f>
        <v/>
      </c>
      <c r="O1783" s="64" t="str">
        <f>Ringkasan!O1782</f>
        <v/>
      </c>
      <c r="P1783" s="64" t="str">
        <f>Ringkasan!P1782</f>
        <v/>
      </c>
      <c r="Q1783" s="64" t="str">
        <f>Ringkasan!Q1782</f>
        <v/>
      </c>
      <c r="R1783" s="64" t="str">
        <f>Ringkasan!R1782</f>
        <v/>
      </c>
      <c r="S1783" s="64" t="str">
        <f>Ringkasan!S1782</f>
        <v/>
      </c>
      <c r="T1783" s="64" t="str">
        <f>Ringkasan!T1782</f>
        <v/>
      </c>
      <c r="U1783" s="64">
        <f>Ringkasan!U1782</f>
        <v>1320</v>
      </c>
      <c r="V1783" s="64">
        <f>Ringkasan!V1782</f>
        <v>0.38</v>
      </c>
      <c r="W1783" s="64">
        <f>Ringkasan!W1782</f>
        <v>1320</v>
      </c>
      <c r="X1783" s="64">
        <f>Ringkasan!X1782</f>
        <v>1345</v>
      </c>
      <c r="Y1783" s="64">
        <f>Ringkasan!Y1782</f>
        <v>1315</v>
      </c>
      <c r="Z1783" s="64">
        <f>Ringkasan!Z1782</f>
        <v>2093400</v>
      </c>
      <c r="AA1783" s="64" t="str">
        <f>Ringkasan!AA1782</f>
        <v>Processed Foods</v>
      </c>
      <c r="AB1783" s="64" t="str">
        <f>Ringkasan!AB1782</f>
        <v>Consumer Non-Cyclicals</v>
      </c>
    </row>
    <row r="1784" hidden="1">
      <c r="A1784" s="64" t="str">
        <f>Ringkasan!A1783</f>
        <v>UNIC</v>
      </c>
      <c r="B1784" s="64" t="str">
        <f>Ringkasan!B1783</f>
        <v>Unggul Indah Cahaya Tbk.</v>
      </c>
      <c r="C1784" s="65">
        <f>Ringkasan!C1783</f>
        <v>12450</v>
      </c>
      <c r="D1784" s="64" t="str">
        <f>Ringkasan!D1783</f>
        <v>#N/A</v>
      </c>
      <c r="E1784" s="64" t="str">
        <f>Ringkasan!E1783</f>
        <v/>
      </c>
      <c r="F1784" s="64" t="str">
        <f>Ringkasan!F1783</f>
        <v/>
      </c>
      <c r="G1784" s="64">
        <f>Ringkasan!G1783</f>
        <v>0</v>
      </c>
      <c r="H1784" s="19">
        <f>Ringkasan!H1783</f>
        <v>7.3</v>
      </c>
      <c r="I1784" s="19">
        <f>Ringkasan!I1783</f>
        <v>0.91</v>
      </c>
      <c r="J1784" s="19">
        <f>Ringkasan!J1783</f>
        <v>12.6</v>
      </c>
      <c r="K1784" s="19">
        <f>Ringkasan!K1783</f>
        <v>10.9</v>
      </c>
      <c r="L1784" s="19">
        <f>Ringkasan!L1783</f>
        <v>0.15</v>
      </c>
      <c r="M1784" s="19">
        <f>Ringkasan!M1783</f>
        <v>42.1</v>
      </c>
      <c r="N1784" s="64" t="str">
        <f>Ringkasan!N1783</f>
        <v/>
      </c>
      <c r="O1784" s="64" t="str">
        <f>Ringkasan!O1783</f>
        <v/>
      </c>
      <c r="P1784" s="64" t="str">
        <f>Ringkasan!P1783</f>
        <v/>
      </c>
      <c r="Q1784" s="64" t="str">
        <f>Ringkasan!Q1783</f>
        <v/>
      </c>
      <c r="R1784" s="64" t="str">
        <f>Ringkasan!R1783</f>
        <v/>
      </c>
      <c r="S1784" s="64" t="str">
        <f>Ringkasan!S1783</f>
        <v/>
      </c>
      <c r="T1784" s="64" t="str">
        <f>Ringkasan!T1783</f>
        <v/>
      </c>
      <c r="U1784" s="64">
        <f>Ringkasan!U1783</f>
        <v>21.26</v>
      </c>
      <c r="V1784" s="64">
        <f>Ringkasan!V1783</f>
        <v>2.05</v>
      </c>
      <c r="W1784" s="64">
        <f>Ringkasan!W1783</f>
        <v>21.69</v>
      </c>
      <c r="X1784" s="64">
        <f>Ringkasan!X1783</f>
        <v>21.69</v>
      </c>
      <c r="Y1784" s="64">
        <f>Ringkasan!Y1783</f>
        <v>21.69</v>
      </c>
      <c r="Z1784" s="64">
        <f>Ringkasan!Z1783</f>
        <v>77</v>
      </c>
      <c r="AA1784" s="64" t="str">
        <f>Ringkasan!AA1783</f>
        <v>Chemicals</v>
      </c>
      <c r="AB1784" s="64" t="str">
        <f>Ringkasan!AB1783</f>
        <v>Basic Materials</v>
      </c>
    </row>
    <row r="1785" hidden="1">
      <c r="A1785" s="64" t="str">
        <f>Ringkasan!A1784</f>
        <v>UNIQ</v>
      </c>
      <c r="B1785" s="64" t="str">
        <f>Ringkasan!B1784</f>
        <v>Ulima Nitra Tbk.</v>
      </c>
      <c r="C1785" s="65">
        <f>Ringkasan!C1784</f>
        <v>100</v>
      </c>
      <c r="D1785" s="64" t="str">
        <f>Ringkasan!D1784</f>
        <v>#N/A</v>
      </c>
      <c r="E1785" s="64" t="str">
        <f>Ringkasan!E1784</f>
        <v/>
      </c>
      <c r="F1785" s="64" t="str">
        <f>Ringkasan!F1784</f>
        <v/>
      </c>
      <c r="G1785" s="64">
        <f>Ringkasan!G1784</f>
        <v>0</v>
      </c>
      <c r="H1785" s="19">
        <f>Ringkasan!H1784</f>
        <v>45.6</v>
      </c>
      <c r="I1785" s="19">
        <f>Ringkasan!I1784</f>
        <v>0.73</v>
      </c>
      <c r="J1785" s="19">
        <f>Ringkasan!J1784</f>
        <v>1.6</v>
      </c>
      <c r="K1785" s="19">
        <f>Ringkasan!K1784</f>
        <v>1</v>
      </c>
      <c r="L1785" s="19">
        <f>Ringkasan!L1784</f>
        <v>0.6</v>
      </c>
      <c r="M1785" s="19">
        <f>Ringkasan!M1784</f>
        <v>12.7</v>
      </c>
      <c r="N1785" s="64" t="str">
        <f>Ringkasan!N1784</f>
        <v/>
      </c>
      <c r="O1785" s="64" t="str">
        <f>Ringkasan!O1784</f>
        <v/>
      </c>
      <c r="P1785" s="64" t="str">
        <f>Ringkasan!P1784</f>
        <v/>
      </c>
      <c r="Q1785" s="64" t="str">
        <f>Ringkasan!Q1784</f>
        <v/>
      </c>
      <c r="R1785" s="64" t="str">
        <f>Ringkasan!R1784</f>
        <v/>
      </c>
      <c r="S1785" s="64" t="str">
        <f>Ringkasan!S1784</f>
        <v/>
      </c>
      <c r="T1785" s="64" t="str">
        <f>Ringkasan!T1784</f>
        <v/>
      </c>
      <c r="U1785" s="64" t="str">
        <f>Ringkasan!U1784</f>
        <v/>
      </c>
      <c r="V1785" s="64" t="str">
        <f>Ringkasan!V1784</f>
        <v/>
      </c>
      <c r="W1785" s="64" t="str">
        <f>Ringkasan!W1784</f>
        <v/>
      </c>
      <c r="X1785" s="64" t="str">
        <f>Ringkasan!X1784</f>
        <v/>
      </c>
      <c r="Y1785" s="64" t="str">
        <f>Ringkasan!Y1784</f>
        <v/>
      </c>
      <c r="Z1785" s="64" t="str">
        <f>Ringkasan!Z1784</f>
        <v/>
      </c>
      <c r="AA1785" s="64" t="str">
        <f>Ringkasan!AA1784</f>
        <v>Oil, Gas &amp; Coal Supports</v>
      </c>
      <c r="AB1785" s="64" t="str">
        <f>Ringkasan!AB1784</f>
        <v>Energy</v>
      </c>
    </row>
    <row r="1786" hidden="1">
      <c r="A1786" s="64" t="str">
        <f>Ringkasan!A1785</f>
        <v>UNIT</v>
      </c>
      <c r="B1786" s="64" t="str">
        <f>Ringkasan!B1785</f>
        <v>Nusantara Inti Corpora Tbk</v>
      </c>
      <c r="C1786" s="65">
        <f>Ringkasan!C1785</f>
        <v>316</v>
      </c>
      <c r="D1786" s="64" t="str">
        <f>Ringkasan!D1785</f>
        <v>#N/A</v>
      </c>
      <c r="E1786" s="64" t="str">
        <f>Ringkasan!E1785</f>
        <v/>
      </c>
      <c r="F1786" s="64" t="str">
        <f>Ringkasan!F1785</f>
        <v/>
      </c>
      <c r="G1786" s="64">
        <f>Ringkasan!G1785</f>
        <v>0</v>
      </c>
      <c r="H1786" s="19">
        <f>Ringkasan!H1785</f>
        <v>0</v>
      </c>
      <c r="I1786" s="19">
        <f>Ringkasan!I1785</f>
        <v>0.1</v>
      </c>
      <c r="J1786" s="19">
        <f>Ringkasan!J1785</f>
        <v>0.14</v>
      </c>
      <c r="K1786" s="19">
        <f>Ringkasan!K1785</f>
        <v>0.09</v>
      </c>
      <c r="L1786" s="19">
        <f>Ringkasan!L1785</f>
        <v>0.47</v>
      </c>
      <c r="M1786" s="19">
        <f>Ringkasan!M1785</f>
        <v>0.65</v>
      </c>
      <c r="N1786" s="64" t="str">
        <f>Ringkasan!N1785</f>
        <v/>
      </c>
      <c r="O1786" s="64" t="str">
        <f>Ringkasan!O1785</f>
        <v/>
      </c>
      <c r="P1786" s="64" t="str">
        <f>Ringkasan!P1785</f>
        <v/>
      </c>
      <c r="Q1786" s="64" t="str">
        <f>Ringkasan!Q1785</f>
        <v/>
      </c>
      <c r="R1786" s="64" t="str">
        <f>Ringkasan!R1785</f>
        <v/>
      </c>
      <c r="S1786" s="64" t="str">
        <f>Ringkasan!S1785</f>
        <v/>
      </c>
      <c r="T1786" s="64" t="str">
        <f>Ringkasan!T1785</f>
        <v/>
      </c>
      <c r="U1786" s="64">
        <f>Ringkasan!U1785</f>
        <v>12.52</v>
      </c>
      <c r="V1786" s="64">
        <f>Ringkasan!V1785</f>
        <v>1.84</v>
      </c>
      <c r="W1786" s="64">
        <f>Ringkasan!W1785</f>
        <v>12.63</v>
      </c>
      <c r="X1786" s="64">
        <f>Ringkasan!X1785</f>
        <v>12.77</v>
      </c>
      <c r="Y1786" s="64">
        <f>Ringkasan!Y1785</f>
        <v>12.35</v>
      </c>
      <c r="Z1786" s="64">
        <f>Ringkasan!Z1785</f>
        <v>2328750</v>
      </c>
      <c r="AA1786" s="64" t="str">
        <f>Ringkasan!AA1785</f>
        <v>Apparel &amp; Luxury Goods</v>
      </c>
      <c r="AB1786" s="64" t="str">
        <f>Ringkasan!AB1785</f>
        <v>Consumer Cyclicals</v>
      </c>
    </row>
    <row r="1787" hidden="1">
      <c r="A1787" s="64" t="str">
        <f>Ringkasan!A1786</f>
        <v>UNSP</v>
      </c>
      <c r="B1787" s="64" t="str">
        <f>Ringkasan!B1786</f>
        <v>Bakrie Sumatera Plantations Tbk</v>
      </c>
      <c r="C1787" s="65">
        <f>Ringkasan!C1786</f>
        <v>200</v>
      </c>
      <c r="D1787" s="64" t="str">
        <f>Ringkasan!D1786</f>
        <v>#N/A</v>
      </c>
      <c r="E1787" s="64" t="str">
        <f>Ringkasan!E1786</f>
        <v/>
      </c>
      <c r="F1787" s="64" t="str">
        <f>Ringkasan!F1786</f>
        <v/>
      </c>
      <c r="G1787" s="64">
        <f>Ringkasan!G1786</f>
        <v>0</v>
      </c>
      <c r="H1787" s="19">
        <f>Ringkasan!H1786</f>
        <v>3.3</v>
      </c>
      <c r="I1787" s="19">
        <f>Ringkasan!I1786</f>
        <v>-0.15</v>
      </c>
      <c r="J1787" s="19">
        <f>Ringkasan!J1786</f>
        <v>0</v>
      </c>
      <c r="K1787" s="19">
        <f>Ringkasan!K1786</f>
        <v>6.8</v>
      </c>
      <c r="L1787" s="19">
        <f>Ringkasan!L1786</f>
        <v>-1.7</v>
      </c>
      <c r="M1787" s="19">
        <f>Ringkasan!M1786</f>
        <v>43.3</v>
      </c>
      <c r="N1787" s="64" t="str">
        <f>Ringkasan!N1786</f>
        <v/>
      </c>
      <c r="O1787" s="64" t="str">
        <f>Ringkasan!O1786</f>
        <v/>
      </c>
      <c r="P1787" s="64" t="str">
        <f>Ringkasan!P1786</f>
        <v/>
      </c>
      <c r="Q1787" s="64" t="str">
        <f>Ringkasan!Q1786</f>
        <v/>
      </c>
      <c r="R1787" s="64" t="str">
        <f>Ringkasan!R1786</f>
        <v/>
      </c>
      <c r="S1787" s="64" t="str">
        <f>Ringkasan!S1786</f>
        <v/>
      </c>
      <c r="T1787" s="64" t="str">
        <f>Ringkasan!T1786</f>
        <v/>
      </c>
      <c r="U1787" s="64">
        <f>Ringkasan!U1786</f>
        <v>195</v>
      </c>
      <c r="V1787" s="64">
        <f>Ringkasan!V1786</f>
        <v>2.56</v>
      </c>
      <c r="W1787" s="64">
        <f>Ringkasan!W1786</f>
        <v>200</v>
      </c>
      <c r="X1787" s="64">
        <f>Ringkasan!X1786</f>
        <v>202</v>
      </c>
      <c r="Y1787" s="64">
        <f>Ringkasan!Y1786</f>
        <v>200</v>
      </c>
      <c r="Z1787" s="64">
        <f>Ringkasan!Z1786</f>
        <v>6680300</v>
      </c>
      <c r="AA1787" s="64" t="str">
        <f>Ringkasan!AA1786</f>
        <v>Agricultural Products</v>
      </c>
      <c r="AB1787" s="64" t="str">
        <f>Ringkasan!AB1786</f>
        <v>Consumer Non-Cyclicals</v>
      </c>
    </row>
    <row r="1788" hidden="1">
      <c r="A1788" s="64" t="str">
        <f>Ringkasan!A1787</f>
        <v>UNTD</v>
      </c>
      <c r="B1788" s="64" t="str">
        <f>Ringkasan!B1787</f>
        <v>Terang Dunia Internusa Tbk.</v>
      </c>
      <c r="C1788" s="65">
        <f>Ringkasan!C1787</f>
        <v>71</v>
      </c>
      <c r="D1788" s="64" t="str">
        <f>Ringkasan!D1787</f>
        <v>#N/A</v>
      </c>
      <c r="E1788" s="64" t="str">
        <f>Ringkasan!E1787</f>
        <v/>
      </c>
      <c r="F1788" s="64" t="str">
        <f>Ringkasan!F1787</f>
        <v/>
      </c>
      <c r="G1788" s="64">
        <f>Ringkasan!G1787</f>
        <v>0</v>
      </c>
      <c r="H1788" s="19">
        <f>Ringkasan!H1787</f>
        <v>-10.9</v>
      </c>
      <c r="I1788" s="19">
        <f>Ringkasan!I1787</f>
        <v>0.92</v>
      </c>
      <c r="J1788" s="19">
        <f>Ringkasan!J1787</f>
        <v>-8.5</v>
      </c>
      <c r="K1788" s="19">
        <f>Ringkasan!K1787</f>
        <v>-3.9</v>
      </c>
      <c r="L1788" s="19">
        <f>Ringkasan!L1787</f>
        <v>1.2</v>
      </c>
      <c r="M1788" s="19">
        <f>Ringkasan!M1787</f>
        <v>-45.6</v>
      </c>
      <c r="N1788" s="64" t="str">
        <f>Ringkasan!N1787</f>
        <v/>
      </c>
      <c r="O1788" s="64" t="str">
        <f>Ringkasan!O1787</f>
        <v/>
      </c>
      <c r="P1788" s="64" t="str">
        <f>Ringkasan!P1787</f>
        <v/>
      </c>
      <c r="Q1788" s="64" t="str">
        <f>Ringkasan!Q1787</f>
        <v/>
      </c>
      <c r="R1788" s="64" t="str">
        <f>Ringkasan!R1787</f>
        <v/>
      </c>
      <c r="S1788" s="64" t="str">
        <f>Ringkasan!S1787</f>
        <v/>
      </c>
      <c r="T1788" s="64" t="str">
        <f>Ringkasan!T1787</f>
        <v/>
      </c>
      <c r="U1788" s="64">
        <f>Ringkasan!U1787</f>
        <v>67</v>
      </c>
      <c r="V1788" s="64">
        <f>Ringkasan!V1787</f>
        <v>5.97</v>
      </c>
      <c r="W1788" s="64">
        <f>Ringkasan!W1787</f>
        <v>68</v>
      </c>
      <c r="X1788" s="64">
        <f>Ringkasan!X1787</f>
        <v>77</v>
      </c>
      <c r="Y1788" s="64">
        <f>Ringkasan!Y1787</f>
        <v>67</v>
      </c>
      <c r="Z1788" s="64">
        <f>Ringkasan!Z1787</f>
        <v>18176900</v>
      </c>
      <c r="AA1788" s="64" t="str">
        <f>Ringkasan!AA1787</f>
        <v>Sport Equipment &amp; Hobbies Goods</v>
      </c>
      <c r="AB1788" s="64" t="str">
        <f>Ringkasan!AB1787</f>
        <v>Consumer Cyclicals</v>
      </c>
    </row>
    <row r="1789" hidden="1">
      <c r="A1789" s="64" t="str">
        <f>Ringkasan!A1788</f>
        <v>UNTR</v>
      </c>
      <c r="B1789" s="64" t="str">
        <f>Ringkasan!B1788</f>
        <v>United Tractors Tbk.</v>
      </c>
      <c r="C1789" s="65">
        <f>Ringkasan!C1788</f>
        <v>22500</v>
      </c>
      <c r="D1789" s="64" t="str">
        <f>Ringkasan!D1788</f>
        <v>#N/A</v>
      </c>
      <c r="E1789" s="64" t="str">
        <f>Ringkasan!E1788</f>
        <v>ESGQKEHATI</v>
      </c>
      <c r="F1789" s="66">
        <f>Ringkasan!F1788</f>
        <v>46356</v>
      </c>
      <c r="G1789" s="65">
        <f>Ringkasan!G1788</f>
        <v>20</v>
      </c>
      <c r="H1789" s="19">
        <f>Ringkasan!H1788</f>
        <v>7</v>
      </c>
      <c r="I1789" s="19">
        <f>Ringkasan!I1788</f>
        <v>0.84</v>
      </c>
      <c r="J1789" s="19">
        <f>Ringkasan!J1788</f>
        <v>12.1</v>
      </c>
      <c r="K1789" s="19">
        <f>Ringkasan!K1788</f>
        <v>6.7</v>
      </c>
      <c r="L1789" s="19">
        <f>Ringkasan!L1788</f>
        <v>0.8</v>
      </c>
      <c r="M1789" s="19">
        <f>Ringkasan!M1788</f>
        <v>43</v>
      </c>
      <c r="N1789" s="64" t="str">
        <f>Ringkasan!N1788</f>
        <v/>
      </c>
      <c r="O1789" s="64" t="str">
        <f>Ringkasan!O1788</f>
        <v/>
      </c>
      <c r="P1789" s="64" t="str">
        <f>Ringkasan!P1788</f>
        <v/>
      </c>
      <c r="Q1789" s="64" t="str">
        <f>Ringkasan!Q1788</f>
        <v/>
      </c>
      <c r="R1789" s="64" t="str">
        <f>Ringkasan!R1788</f>
        <v/>
      </c>
      <c r="S1789" s="64" t="str">
        <f>Ringkasan!S1788</f>
        <v/>
      </c>
      <c r="T1789" s="64" t="str">
        <f>Ringkasan!T1788</f>
        <v/>
      </c>
      <c r="U1789" s="64">
        <f>Ringkasan!U1788</f>
        <v>21750</v>
      </c>
      <c r="V1789" s="64">
        <f>Ringkasan!V1788</f>
        <v>3.45</v>
      </c>
      <c r="W1789" s="64">
        <f>Ringkasan!W1788</f>
        <v>21900</v>
      </c>
      <c r="X1789" s="64">
        <f>Ringkasan!X1788</f>
        <v>22825</v>
      </c>
      <c r="Y1789" s="64">
        <f>Ringkasan!Y1788</f>
        <v>21900</v>
      </c>
      <c r="Z1789" s="64">
        <f>Ringkasan!Z1788</f>
        <v>5608900</v>
      </c>
      <c r="AA1789" s="64" t="str">
        <f>Ringkasan!AA1788</f>
        <v>Machinery</v>
      </c>
      <c r="AB1789" s="64" t="str">
        <f>Ringkasan!AB1788</f>
        <v>Industrials</v>
      </c>
    </row>
    <row r="1790" hidden="1">
      <c r="A1790" s="64" t="str">
        <f>Ringkasan!A1789</f>
        <v>UNTR</v>
      </c>
      <c r="B1790" s="64" t="str">
        <f>Ringkasan!B1789</f>
        <v>United Tractors Tbk.</v>
      </c>
      <c r="C1790" s="65">
        <f>Ringkasan!C1789</f>
        <v>22500</v>
      </c>
      <c r="D1790" s="64" t="str">
        <f>Ringkasan!D1789</f>
        <v>#N/A</v>
      </c>
      <c r="E1790" s="64" t="str">
        <f>Ringkasan!E1789</f>
        <v>IDXSHAGROW</v>
      </c>
      <c r="F1790" s="66">
        <f>Ringkasan!F1789</f>
        <v>46356</v>
      </c>
      <c r="G1790" s="65">
        <f>Ringkasan!G1789</f>
        <v>20</v>
      </c>
      <c r="H1790" s="19">
        <f>Ringkasan!H1789</f>
        <v>7</v>
      </c>
      <c r="I1790" s="19">
        <f>Ringkasan!I1789</f>
        <v>0.84</v>
      </c>
      <c r="J1790" s="19">
        <f>Ringkasan!J1789</f>
        <v>12.1</v>
      </c>
      <c r="K1790" s="19">
        <f>Ringkasan!K1789</f>
        <v>6.7</v>
      </c>
      <c r="L1790" s="19">
        <f>Ringkasan!L1789</f>
        <v>0.8</v>
      </c>
      <c r="M1790" s="19">
        <f>Ringkasan!M1789</f>
        <v>43</v>
      </c>
      <c r="N1790" s="64" t="str">
        <f>Ringkasan!N1789</f>
        <v/>
      </c>
      <c r="O1790" s="64" t="str">
        <f>Ringkasan!O1789</f>
        <v/>
      </c>
      <c r="P1790" s="64" t="str">
        <f>Ringkasan!P1789</f>
        <v/>
      </c>
      <c r="Q1790" s="64" t="str">
        <f>Ringkasan!Q1789</f>
        <v/>
      </c>
      <c r="R1790" s="64" t="str">
        <f>Ringkasan!R1789</f>
        <v/>
      </c>
      <c r="S1790" s="64" t="str">
        <f>Ringkasan!S1789</f>
        <v/>
      </c>
      <c r="T1790" s="64" t="str">
        <f>Ringkasan!T1789</f>
        <v/>
      </c>
      <c r="U1790" s="64">
        <f>Ringkasan!U1789</f>
        <v>21750</v>
      </c>
      <c r="V1790" s="64">
        <f>Ringkasan!V1789</f>
        <v>3.45</v>
      </c>
      <c r="W1790" s="64">
        <f>Ringkasan!W1789</f>
        <v>21900</v>
      </c>
      <c r="X1790" s="64">
        <f>Ringkasan!X1789</f>
        <v>22825</v>
      </c>
      <c r="Y1790" s="64">
        <f>Ringkasan!Y1789</f>
        <v>21900</v>
      </c>
      <c r="Z1790" s="64">
        <f>Ringkasan!Z1789</f>
        <v>5608900</v>
      </c>
      <c r="AA1790" s="64" t="str">
        <f>Ringkasan!AA1789</f>
        <v>Machinery</v>
      </c>
      <c r="AB1790" s="64" t="str">
        <f>Ringkasan!AB1789</f>
        <v>Industrials</v>
      </c>
    </row>
    <row r="1791" hidden="1">
      <c r="A1791" s="64" t="str">
        <f>Ringkasan!A1790</f>
        <v>UNTR</v>
      </c>
      <c r="B1791" s="64" t="str">
        <f>Ringkasan!B1790</f>
        <v>United Tractors Tbk.</v>
      </c>
      <c r="C1791" s="65">
        <f>Ringkasan!C1790</f>
        <v>22500</v>
      </c>
      <c r="D1791" s="64" t="str">
        <f>Ringkasan!D1790</f>
        <v>#N/A</v>
      </c>
      <c r="E1791" s="64" t="str">
        <f>Ringkasan!E1790</f>
        <v>Investor33</v>
      </c>
      <c r="F1791" s="66">
        <f>Ringkasan!F1790</f>
        <v>46356</v>
      </c>
      <c r="G1791" s="65">
        <f>Ringkasan!G1790</f>
        <v>20</v>
      </c>
      <c r="H1791" s="19">
        <f>Ringkasan!H1790</f>
        <v>7</v>
      </c>
      <c r="I1791" s="19">
        <f>Ringkasan!I1790</f>
        <v>0.84</v>
      </c>
      <c r="J1791" s="19">
        <f>Ringkasan!J1790</f>
        <v>12.1</v>
      </c>
      <c r="K1791" s="19">
        <f>Ringkasan!K1790</f>
        <v>6.7</v>
      </c>
      <c r="L1791" s="19">
        <f>Ringkasan!L1790</f>
        <v>0.8</v>
      </c>
      <c r="M1791" s="19">
        <f>Ringkasan!M1790</f>
        <v>43</v>
      </c>
      <c r="N1791" s="64" t="str">
        <f>Ringkasan!N1790</f>
        <v/>
      </c>
      <c r="O1791" s="64" t="str">
        <f>Ringkasan!O1790</f>
        <v/>
      </c>
      <c r="P1791" s="64" t="str">
        <f>Ringkasan!P1790</f>
        <v/>
      </c>
      <c r="Q1791" s="64" t="str">
        <f>Ringkasan!Q1790</f>
        <v/>
      </c>
      <c r="R1791" s="64" t="str">
        <f>Ringkasan!R1790</f>
        <v/>
      </c>
      <c r="S1791" s="64" t="str">
        <f>Ringkasan!S1790</f>
        <v/>
      </c>
      <c r="T1791" s="64" t="str">
        <f>Ringkasan!T1790</f>
        <v/>
      </c>
      <c r="U1791" s="64">
        <f>Ringkasan!U1790</f>
        <v>21750</v>
      </c>
      <c r="V1791" s="64">
        <f>Ringkasan!V1790</f>
        <v>3.45</v>
      </c>
      <c r="W1791" s="64">
        <f>Ringkasan!W1790</f>
        <v>21900</v>
      </c>
      <c r="X1791" s="64">
        <f>Ringkasan!X1790</f>
        <v>22825</v>
      </c>
      <c r="Y1791" s="64">
        <f>Ringkasan!Y1790</f>
        <v>21900</v>
      </c>
      <c r="Z1791" s="64">
        <f>Ringkasan!Z1790</f>
        <v>5608900</v>
      </c>
      <c r="AA1791" s="64" t="str">
        <f>Ringkasan!AA1790</f>
        <v>Machinery</v>
      </c>
      <c r="AB1791" s="64" t="str">
        <f>Ringkasan!AB1790</f>
        <v>Industrials</v>
      </c>
    </row>
    <row r="1792" hidden="1">
      <c r="A1792" s="64" t="str">
        <f>Ringkasan!A1791</f>
        <v>UNTR</v>
      </c>
      <c r="B1792" s="64" t="str">
        <f>Ringkasan!B1791</f>
        <v>United Tractors Tbk.</v>
      </c>
      <c r="C1792" s="65">
        <f>Ringkasan!C1791</f>
        <v>22500</v>
      </c>
      <c r="D1792" s="64" t="str">
        <f>Ringkasan!D1791</f>
        <v>#N/A</v>
      </c>
      <c r="E1792" s="64" t="str">
        <f>Ringkasan!E1791</f>
        <v>JII30</v>
      </c>
      <c r="F1792" s="66">
        <f>Ringkasan!F1791</f>
        <v>46356</v>
      </c>
      <c r="G1792" s="65">
        <f>Ringkasan!G1791</f>
        <v>20</v>
      </c>
      <c r="H1792" s="19">
        <f>Ringkasan!H1791</f>
        <v>7</v>
      </c>
      <c r="I1792" s="19">
        <f>Ringkasan!I1791</f>
        <v>0.84</v>
      </c>
      <c r="J1792" s="19">
        <f>Ringkasan!J1791</f>
        <v>12.1</v>
      </c>
      <c r="K1792" s="19">
        <f>Ringkasan!K1791</f>
        <v>6.7</v>
      </c>
      <c r="L1792" s="19">
        <f>Ringkasan!L1791</f>
        <v>0.8</v>
      </c>
      <c r="M1792" s="19">
        <f>Ringkasan!M1791</f>
        <v>43</v>
      </c>
      <c r="N1792" s="64" t="str">
        <f>Ringkasan!N1791</f>
        <v/>
      </c>
      <c r="O1792" s="64" t="str">
        <f>Ringkasan!O1791</f>
        <v/>
      </c>
      <c r="P1792" s="64" t="str">
        <f>Ringkasan!P1791</f>
        <v/>
      </c>
      <c r="Q1792" s="64" t="str">
        <f>Ringkasan!Q1791</f>
        <v/>
      </c>
      <c r="R1792" s="64" t="str">
        <f>Ringkasan!R1791</f>
        <v/>
      </c>
      <c r="S1792" s="64" t="str">
        <f>Ringkasan!S1791</f>
        <v/>
      </c>
      <c r="T1792" s="64" t="str">
        <f>Ringkasan!T1791</f>
        <v/>
      </c>
      <c r="U1792" s="64">
        <f>Ringkasan!U1791</f>
        <v>21750</v>
      </c>
      <c r="V1792" s="64">
        <f>Ringkasan!V1791</f>
        <v>3.45</v>
      </c>
      <c r="W1792" s="64">
        <f>Ringkasan!W1791</f>
        <v>21900</v>
      </c>
      <c r="X1792" s="64">
        <f>Ringkasan!X1791</f>
        <v>22825</v>
      </c>
      <c r="Y1792" s="64">
        <f>Ringkasan!Y1791</f>
        <v>21900</v>
      </c>
      <c r="Z1792" s="64">
        <f>Ringkasan!Z1791</f>
        <v>5608900</v>
      </c>
      <c r="AA1792" s="64" t="str">
        <f>Ringkasan!AA1791</f>
        <v>Machinery</v>
      </c>
      <c r="AB1792" s="64" t="str">
        <f>Ringkasan!AB1791</f>
        <v>Industrials</v>
      </c>
    </row>
    <row r="1793" hidden="1">
      <c r="A1793" s="64" t="str">
        <f>Ringkasan!A1792</f>
        <v>UNTR</v>
      </c>
      <c r="B1793" s="64" t="str">
        <f>Ringkasan!B1792</f>
        <v>United Tractors Tbk.</v>
      </c>
      <c r="C1793" s="65">
        <f>Ringkasan!C1792</f>
        <v>22500</v>
      </c>
      <c r="D1793" s="64" t="str">
        <f>Ringkasan!D1792</f>
        <v>#N/A</v>
      </c>
      <c r="E1793" s="64" t="str">
        <f>Ringkasan!E1792</f>
        <v>ESGSKEHATI</v>
      </c>
      <c r="F1793" s="66">
        <f>Ringkasan!F1792</f>
        <v>46356</v>
      </c>
      <c r="G1793" s="65">
        <f>Ringkasan!G1792</f>
        <v>20</v>
      </c>
      <c r="H1793" s="19">
        <f>Ringkasan!H1792</f>
        <v>7</v>
      </c>
      <c r="I1793" s="19">
        <f>Ringkasan!I1792</f>
        <v>0.84</v>
      </c>
      <c r="J1793" s="19">
        <f>Ringkasan!J1792</f>
        <v>12.1</v>
      </c>
      <c r="K1793" s="19">
        <f>Ringkasan!K1792</f>
        <v>6.7</v>
      </c>
      <c r="L1793" s="19">
        <f>Ringkasan!L1792</f>
        <v>0.8</v>
      </c>
      <c r="M1793" s="19">
        <f>Ringkasan!M1792</f>
        <v>43</v>
      </c>
      <c r="N1793" s="64" t="str">
        <f>Ringkasan!N1792</f>
        <v/>
      </c>
      <c r="O1793" s="64" t="str">
        <f>Ringkasan!O1792</f>
        <v/>
      </c>
      <c r="P1793" s="64" t="str">
        <f>Ringkasan!P1792</f>
        <v/>
      </c>
      <c r="Q1793" s="64" t="str">
        <f>Ringkasan!Q1792</f>
        <v/>
      </c>
      <c r="R1793" s="64" t="str">
        <f>Ringkasan!R1792</f>
        <v/>
      </c>
      <c r="S1793" s="64" t="str">
        <f>Ringkasan!S1792</f>
        <v/>
      </c>
      <c r="T1793" s="64" t="str">
        <f>Ringkasan!T1792</f>
        <v/>
      </c>
      <c r="U1793" s="64">
        <f>Ringkasan!U1792</f>
        <v>21750</v>
      </c>
      <c r="V1793" s="64">
        <f>Ringkasan!V1792</f>
        <v>3.45</v>
      </c>
      <c r="W1793" s="64">
        <f>Ringkasan!W1792</f>
        <v>21900</v>
      </c>
      <c r="X1793" s="64">
        <f>Ringkasan!X1792</f>
        <v>22825</v>
      </c>
      <c r="Y1793" s="64">
        <f>Ringkasan!Y1792</f>
        <v>21900</v>
      </c>
      <c r="Z1793" s="64">
        <f>Ringkasan!Z1792</f>
        <v>5608900</v>
      </c>
      <c r="AA1793" s="64" t="str">
        <f>Ringkasan!AA1792</f>
        <v>Machinery</v>
      </c>
      <c r="AB1793" s="64" t="str">
        <f>Ringkasan!AB1792</f>
        <v>Industrials</v>
      </c>
    </row>
    <row r="1794" hidden="1">
      <c r="A1794" s="64" t="str">
        <f>Ringkasan!A1793</f>
        <v>UNTR</v>
      </c>
      <c r="B1794" s="64" t="str">
        <f>Ringkasan!B1793</f>
        <v>United Tractors Tbk.</v>
      </c>
      <c r="C1794" s="65">
        <f>Ringkasan!C1793</f>
        <v>22500</v>
      </c>
      <c r="D1794" s="64" t="str">
        <f>Ringkasan!D1793</f>
        <v>#N/A</v>
      </c>
      <c r="E1794" s="64" t="str">
        <f>Ringkasan!E1793</f>
        <v>MSCI Global Standard</v>
      </c>
      <c r="F1794" s="64" t="str">
        <f>Ringkasan!F1793</f>
        <v>12 Agustus 2026</v>
      </c>
      <c r="G1794" s="65">
        <f>Ringkasan!G1793</f>
        <v>20</v>
      </c>
      <c r="H1794" s="19">
        <f>Ringkasan!H1793</f>
        <v>7</v>
      </c>
      <c r="I1794" s="19">
        <f>Ringkasan!I1793</f>
        <v>0.84</v>
      </c>
      <c r="J1794" s="19">
        <f>Ringkasan!J1793</f>
        <v>12.1</v>
      </c>
      <c r="K1794" s="19">
        <f>Ringkasan!K1793</f>
        <v>6.7</v>
      </c>
      <c r="L1794" s="19">
        <f>Ringkasan!L1793</f>
        <v>0.8</v>
      </c>
      <c r="M1794" s="19">
        <f>Ringkasan!M1793</f>
        <v>43</v>
      </c>
      <c r="N1794" s="64" t="str">
        <f>Ringkasan!N1793</f>
        <v/>
      </c>
      <c r="O1794" s="64" t="str">
        <f>Ringkasan!O1793</f>
        <v/>
      </c>
      <c r="P1794" s="64" t="str">
        <f>Ringkasan!P1793</f>
        <v/>
      </c>
      <c r="Q1794" s="64" t="str">
        <f>Ringkasan!Q1793</f>
        <v/>
      </c>
      <c r="R1794" s="64" t="str">
        <f>Ringkasan!R1793</f>
        <v/>
      </c>
      <c r="S1794" s="64" t="str">
        <f>Ringkasan!S1793</f>
        <v/>
      </c>
      <c r="T1794" s="64" t="str">
        <f>Ringkasan!T1793</f>
        <v/>
      </c>
      <c r="U1794" s="64">
        <f>Ringkasan!U1793</f>
        <v>21750</v>
      </c>
      <c r="V1794" s="64">
        <f>Ringkasan!V1793</f>
        <v>3.45</v>
      </c>
      <c r="W1794" s="64">
        <f>Ringkasan!W1793</f>
        <v>21900</v>
      </c>
      <c r="X1794" s="64">
        <f>Ringkasan!X1793</f>
        <v>22825</v>
      </c>
      <c r="Y1794" s="64">
        <f>Ringkasan!Y1793</f>
        <v>21900</v>
      </c>
      <c r="Z1794" s="64">
        <f>Ringkasan!Z1793</f>
        <v>5608900</v>
      </c>
      <c r="AA1794" s="64" t="str">
        <f>Ringkasan!AA1793</f>
        <v>Machinery</v>
      </c>
      <c r="AB1794" s="64" t="str">
        <f>Ringkasan!AB1793</f>
        <v>Industrials</v>
      </c>
    </row>
    <row r="1795" hidden="1">
      <c r="A1795" s="64" t="str">
        <f>Ringkasan!A1794</f>
        <v>UNTR</v>
      </c>
      <c r="B1795" s="64" t="str">
        <f>Ringkasan!B1794</f>
        <v>United Tractors Tbk.</v>
      </c>
      <c r="C1795" s="65">
        <f>Ringkasan!C1794</f>
        <v>22500</v>
      </c>
      <c r="D1795" s="64" t="str">
        <f>Ringkasan!D1794</f>
        <v>#N/A</v>
      </c>
      <c r="E1795" s="64" t="str">
        <f>Ringkasan!E1794</f>
        <v>IDXHIDIV20</v>
      </c>
      <c r="F1795" s="64" t="str">
        <f>Ringkasan!F1794</f>
        <v>2 Februari 2027</v>
      </c>
      <c r="G1795" s="65">
        <f>Ringkasan!G1794</f>
        <v>20</v>
      </c>
      <c r="H1795" s="19">
        <f>Ringkasan!H1794</f>
        <v>7</v>
      </c>
      <c r="I1795" s="19">
        <f>Ringkasan!I1794</f>
        <v>0.84</v>
      </c>
      <c r="J1795" s="19">
        <f>Ringkasan!J1794</f>
        <v>12.1</v>
      </c>
      <c r="K1795" s="19">
        <f>Ringkasan!K1794</f>
        <v>6.7</v>
      </c>
      <c r="L1795" s="19">
        <f>Ringkasan!L1794</f>
        <v>0.8</v>
      </c>
      <c r="M1795" s="19">
        <f>Ringkasan!M1794</f>
        <v>43</v>
      </c>
      <c r="N1795" s="64" t="str">
        <f>Ringkasan!N1794</f>
        <v/>
      </c>
      <c r="O1795" s="64" t="str">
        <f>Ringkasan!O1794</f>
        <v/>
      </c>
      <c r="P1795" s="64" t="str">
        <f>Ringkasan!P1794</f>
        <v/>
      </c>
      <c r="Q1795" s="64" t="str">
        <f>Ringkasan!Q1794</f>
        <v/>
      </c>
      <c r="R1795" s="64" t="str">
        <f>Ringkasan!R1794</f>
        <v/>
      </c>
      <c r="S1795" s="64" t="str">
        <f>Ringkasan!S1794</f>
        <v/>
      </c>
      <c r="T1795" s="64" t="str">
        <f>Ringkasan!T1794</f>
        <v/>
      </c>
      <c r="U1795" s="64">
        <f>Ringkasan!U1794</f>
        <v>21750</v>
      </c>
      <c r="V1795" s="64">
        <f>Ringkasan!V1794</f>
        <v>3.45</v>
      </c>
      <c r="W1795" s="64">
        <f>Ringkasan!W1794</f>
        <v>21900</v>
      </c>
      <c r="X1795" s="64">
        <f>Ringkasan!X1794</f>
        <v>22825</v>
      </c>
      <c r="Y1795" s="64">
        <f>Ringkasan!Y1794</f>
        <v>21900</v>
      </c>
      <c r="Z1795" s="64">
        <f>Ringkasan!Z1794</f>
        <v>5608900</v>
      </c>
      <c r="AA1795" s="64" t="str">
        <f>Ringkasan!AA1794</f>
        <v>Machinery</v>
      </c>
      <c r="AB1795" s="64" t="str">
        <f>Ringkasan!AB1794</f>
        <v>Industrials</v>
      </c>
    </row>
    <row r="1796" hidden="1">
      <c r="A1796" s="64" t="str">
        <f>Ringkasan!A1795</f>
        <v>UNTR</v>
      </c>
      <c r="B1796" s="64" t="str">
        <f>Ringkasan!B1795</f>
        <v>United Tractors Tbk.</v>
      </c>
      <c r="C1796" s="65">
        <f>Ringkasan!C1795</f>
        <v>22500</v>
      </c>
      <c r="D1796" s="64" t="str">
        <f>Ringkasan!D1795</f>
        <v>#N/A</v>
      </c>
      <c r="E1796" s="64" t="str">
        <f>Ringkasan!E1795</f>
        <v>BISNIS-27</v>
      </c>
      <c r="F1796" s="64" t="str">
        <f>Ringkasan!F1795</f>
        <v>30 Oktober 2026</v>
      </c>
      <c r="G1796" s="65">
        <f>Ringkasan!G1795</f>
        <v>20</v>
      </c>
      <c r="H1796" s="19">
        <f>Ringkasan!H1795</f>
        <v>7</v>
      </c>
      <c r="I1796" s="19">
        <f>Ringkasan!I1795</f>
        <v>0.84</v>
      </c>
      <c r="J1796" s="19">
        <f>Ringkasan!J1795</f>
        <v>12.1</v>
      </c>
      <c r="K1796" s="19">
        <f>Ringkasan!K1795</f>
        <v>6.7</v>
      </c>
      <c r="L1796" s="19">
        <f>Ringkasan!L1795</f>
        <v>0.8</v>
      </c>
      <c r="M1796" s="19">
        <f>Ringkasan!M1795</f>
        <v>43</v>
      </c>
      <c r="N1796" s="64" t="str">
        <f>Ringkasan!N1795</f>
        <v/>
      </c>
      <c r="O1796" s="64" t="str">
        <f>Ringkasan!O1795</f>
        <v/>
      </c>
      <c r="P1796" s="64" t="str">
        <f>Ringkasan!P1795</f>
        <v/>
      </c>
      <c r="Q1796" s="64" t="str">
        <f>Ringkasan!Q1795</f>
        <v/>
      </c>
      <c r="R1796" s="64" t="str">
        <f>Ringkasan!R1795</f>
        <v/>
      </c>
      <c r="S1796" s="64" t="str">
        <f>Ringkasan!S1795</f>
        <v/>
      </c>
      <c r="T1796" s="64" t="str">
        <f>Ringkasan!T1795</f>
        <v/>
      </c>
      <c r="U1796" s="64">
        <f>Ringkasan!U1795</f>
        <v>21750</v>
      </c>
      <c r="V1796" s="64">
        <f>Ringkasan!V1795</f>
        <v>3.45</v>
      </c>
      <c r="W1796" s="64">
        <f>Ringkasan!W1795</f>
        <v>21900</v>
      </c>
      <c r="X1796" s="64">
        <f>Ringkasan!X1795</f>
        <v>22825</v>
      </c>
      <c r="Y1796" s="64">
        <f>Ringkasan!Y1795</f>
        <v>21900</v>
      </c>
      <c r="Z1796" s="64">
        <f>Ringkasan!Z1795</f>
        <v>5608900</v>
      </c>
      <c r="AA1796" s="64" t="str">
        <f>Ringkasan!AA1795</f>
        <v>Machinery</v>
      </c>
      <c r="AB1796" s="64" t="str">
        <f>Ringkasan!AB1795</f>
        <v>Industrials</v>
      </c>
    </row>
    <row r="1797" hidden="1">
      <c r="A1797" s="64" t="str">
        <f>Ringkasan!A1796</f>
        <v>UNTR</v>
      </c>
      <c r="B1797" s="64" t="str">
        <f>Ringkasan!B1796</f>
        <v>United Tractors Tbk.</v>
      </c>
      <c r="C1797" s="65">
        <f>Ringkasan!C1796</f>
        <v>22500</v>
      </c>
      <c r="D1797" s="64" t="str">
        <f>Ringkasan!D1796</f>
        <v>#N/A</v>
      </c>
      <c r="E1797" s="64" t="str">
        <f>Ringkasan!E1796</f>
        <v>LQ45</v>
      </c>
      <c r="F1797" s="64" t="str">
        <f>Ringkasan!F1796</f>
        <v>31 Juli 2026</v>
      </c>
      <c r="G1797" s="65">
        <f>Ringkasan!G1796</f>
        <v>20</v>
      </c>
      <c r="H1797" s="19">
        <f>Ringkasan!H1796</f>
        <v>7</v>
      </c>
      <c r="I1797" s="19">
        <f>Ringkasan!I1796</f>
        <v>0.84</v>
      </c>
      <c r="J1797" s="19">
        <f>Ringkasan!J1796</f>
        <v>12.1</v>
      </c>
      <c r="K1797" s="19">
        <f>Ringkasan!K1796</f>
        <v>6.7</v>
      </c>
      <c r="L1797" s="19">
        <f>Ringkasan!L1796</f>
        <v>0.8</v>
      </c>
      <c r="M1797" s="19">
        <f>Ringkasan!M1796</f>
        <v>43</v>
      </c>
      <c r="N1797" s="64" t="str">
        <f>Ringkasan!N1796</f>
        <v/>
      </c>
      <c r="O1797" s="64" t="str">
        <f>Ringkasan!O1796</f>
        <v/>
      </c>
      <c r="P1797" s="64" t="str">
        <f>Ringkasan!P1796</f>
        <v/>
      </c>
      <c r="Q1797" s="64" t="str">
        <f>Ringkasan!Q1796</f>
        <v/>
      </c>
      <c r="R1797" s="64" t="str">
        <f>Ringkasan!R1796</f>
        <v/>
      </c>
      <c r="S1797" s="64" t="str">
        <f>Ringkasan!S1796</f>
        <v/>
      </c>
      <c r="T1797" s="64" t="str">
        <f>Ringkasan!T1796</f>
        <v/>
      </c>
      <c r="U1797" s="64">
        <f>Ringkasan!U1796</f>
        <v>21750</v>
      </c>
      <c r="V1797" s="64">
        <f>Ringkasan!V1796</f>
        <v>3.45</v>
      </c>
      <c r="W1797" s="64">
        <f>Ringkasan!W1796</f>
        <v>21900</v>
      </c>
      <c r="X1797" s="64">
        <f>Ringkasan!X1796</f>
        <v>22825</v>
      </c>
      <c r="Y1797" s="64">
        <f>Ringkasan!Y1796</f>
        <v>21900</v>
      </c>
      <c r="Z1797" s="64">
        <f>Ringkasan!Z1796</f>
        <v>5608900</v>
      </c>
      <c r="AA1797" s="64" t="str">
        <f>Ringkasan!AA1796</f>
        <v>Machinery</v>
      </c>
      <c r="AB1797" s="64" t="str">
        <f>Ringkasan!AB1796</f>
        <v>Industrials</v>
      </c>
    </row>
    <row r="1798" hidden="1">
      <c r="A1798" s="64" t="str">
        <f>Ringkasan!A1797</f>
        <v>UNTR</v>
      </c>
      <c r="B1798" s="64" t="str">
        <f>Ringkasan!B1797</f>
        <v>United Tractors Tbk.</v>
      </c>
      <c r="C1798" s="65">
        <f>Ringkasan!C1797</f>
        <v>22500</v>
      </c>
      <c r="D1798" s="64" t="str">
        <f>Ringkasan!D1797</f>
        <v>#N/A</v>
      </c>
      <c r="E1798" s="64" t="str">
        <f>Ringkasan!E1797</f>
        <v>IDX80</v>
      </c>
      <c r="F1798" s="64" t="str">
        <f>Ringkasan!F1797</f>
        <v>31 Juli 2026</v>
      </c>
      <c r="G1798" s="65">
        <f>Ringkasan!G1797</f>
        <v>20</v>
      </c>
      <c r="H1798" s="19">
        <f>Ringkasan!H1797</f>
        <v>7</v>
      </c>
      <c r="I1798" s="19">
        <f>Ringkasan!I1797</f>
        <v>0.84</v>
      </c>
      <c r="J1798" s="19">
        <f>Ringkasan!J1797</f>
        <v>12.1</v>
      </c>
      <c r="K1798" s="19">
        <f>Ringkasan!K1797</f>
        <v>6.7</v>
      </c>
      <c r="L1798" s="19">
        <f>Ringkasan!L1797</f>
        <v>0.8</v>
      </c>
      <c r="M1798" s="19">
        <f>Ringkasan!M1797</f>
        <v>43</v>
      </c>
      <c r="N1798" s="64" t="str">
        <f>Ringkasan!N1797</f>
        <v/>
      </c>
      <c r="O1798" s="64" t="str">
        <f>Ringkasan!O1797</f>
        <v/>
      </c>
      <c r="P1798" s="64" t="str">
        <f>Ringkasan!P1797</f>
        <v/>
      </c>
      <c r="Q1798" s="64" t="str">
        <f>Ringkasan!Q1797</f>
        <v/>
      </c>
      <c r="R1798" s="64" t="str">
        <f>Ringkasan!R1797</f>
        <v/>
      </c>
      <c r="S1798" s="64" t="str">
        <f>Ringkasan!S1797</f>
        <v/>
      </c>
      <c r="T1798" s="64" t="str">
        <f>Ringkasan!T1797</f>
        <v/>
      </c>
      <c r="U1798" s="64">
        <f>Ringkasan!U1797</f>
        <v>21750</v>
      </c>
      <c r="V1798" s="64">
        <f>Ringkasan!V1797</f>
        <v>3.45</v>
      </c>
      <c r="W1798" s="64">
        <f>Ringkasan!W1797</f>
        <v>21900</v>
      </c>
      <c r="X1798" s="64">
        <f>Ringkasan!X1797</f>
        <v>22825</v>
      </c>
      <c r="Y1798" s="64">
        <f>Ringkasan!Y1797</f>
        <v>21900</v>
      </c>
      <c r="Z1798" s="64">
        <f>Ringkasan!Z1797</f>
        <v>5608900</v>
      </c>
      <c r="AA1798" s="64" t="str">
        <f>Ringkasan!AA1797</f>
        <v>Machinery</v>
      </c>
      <c r="AB1798" s="64" t="str">
        <f>Ringkasan!AB1797</f>
        <v>Industrials</v>
      </c>
    </row>
    <row r="1799" hidden="1">
      <c r="A1799" s="64" t="str">
        <f>Ringkasan!A1798</f>
        <v>UNTR</v>
      </c>
      <c r="B1799" s="64" t="str">
        <f>Ringkasan!B1798</f>
        <v>United Tractors Tbk.</v>
      </c>
      <c r="C1799" s="65">
        <f>Ringkasan!C1798</f>
        <v>22500</v>
      </c>
      <c r="D1799" s="64" t="str">
        <f>Ringkasan!D1798</f>
        <v>#N/A</v>
      </c>
      <c r="E1799" s="64" t="str">
        <f>Ringkasan!E1798</f>
        <v>SMINFRA18</v>
      </c>
      <c r="F1799" s="64" t="str">
        <f>Ringkasan!F1798</f>
        <v>30 Oktober 2026</v>
      </c>
      <c r="G1799" s="65">
        <f>Ringkasan!G1798</f>
        <v>20</v>
      </c>
      <c r="H1799" s="19">
        <f>Ringkasan!H1798</f>
        <v>7</v>
      </c>
      <c r="I1799" s="19">
        <f>Ringkasan!I1798</f>
        <v>0.84</v>
      </c>
      <c r="J1799" s="19">
        <f>Ringkasan!J1798</f>
        <v>12.1</v>
      </c>
      <c r="K1799" s="19">
        <f>Ringkasan!K1798</f>
        <v>6.7</v>
      </c>
      <c r="L1799" s="19">
        <f>Ringkasan!L1798</f>
        <v>0.8</v>
      </c>
      <c r="M1799" s="19">
        <f>Ringkasan!M1798</f>
        <v>43</v>
      </c>
      <c r="N1799" s="64" t="str">
        <f>Ringkasan!N1798</f>
        <v/>
      </c>
      <c r="O1799" s="64" t="str">
        <f>Ringkasan!O1798</f>
        <v/>
      </c>
      <c r="P1799" s="64" t="str">
        <f>Ringkasan!P1798</f>
        <v/>
      </c>
      <c r="Q1799" s="64" t="str">
        <f>Ringkasan!Q1798</f>
        <v/>
      </c>
      <c r="R1799" s="64" t="str">
        <f>Ringkasan!R1798</f>
        <v/>
      </c>
      <c r="S1799" s="64" t="str">
        <f>Ringkasan!S1798</f>
        <v/>
      </c>
      <c r="T1799" s="64" t="str">
        <f>Ringkasan!T1798</f>
        <v/>
      </c>
      <c r="U1799" s="64">
        <f>Ringkasan!U1798</f>
        <v>21750</v>
      </c>
      <c r="V1799" s="64">
        <f>Ringkasan!V1798</f>
        <v>3.45</v>
      </c>
      <c r="W1799" s="64">
        <f>Ringkasan!W1798</f>
        <v>21900</v>
      </c>
      <c r="X1799" s="64">
        <f>Ringkasan!X1798</f>
        <v>22825</v>
      </c>
      <c r="Y1799" s="64">
        <f>Ringkasan!Y1798</f>
        <v>21900</v>
      </c>
      <c r="Z1799" s="64">
        <f>Ringkasan!Z1798</f>
        <v>5608900</v>
      </c>
      <c r="AA1799" s="64" t="str">
        <f>Ringkasan!AA1798</f>
        <v>Machinery</v>
      </c>
      <c r="AB1799" s="64" t="str">
        <f>Ringkasan!AB1798</f>
        <v>Industrials</v>
      </c>
    </row>
    <row r="1800" hidden="1">
      <c r="A1800" s="64" t="str">
        <f>Ringkasan!A1799</f>
        <v>UNTR</v>
      </c>
      <c r="B1800" s="64" t="str">
        <f>Ringkasan!B1799</f>
        <v>United Tractors Tbk.</v>
      </c>
      <c r="C1800" s="65">
        <f>Ringkasan!C1799</f>
        <v>22500</v>
      </c>
      <c r="D1800" s="64" t="str">
        <f>Ringkasan!D1799</f>
        <v>#N/A</v>
      </c>
      <c r="E1800" s="64" t="str">
        <f>Ringkasan!E1799</f>
        <v>IDX30</v>
      </c>
      <c r="F1800" s="64" t="str">
        <f>Ringkasan!F1799</f>
        <v>31 Juli 2026</v>
      </c>
      <c r="G1800" s="65">
        <f>Ringkasan!G1799</f>
        <v>20</v>
      </c>
      <c r="H1800" s="19">
        <f>Ringkasan!H1799</f>
        <v>7</v>
      </c>
      <c r="I1800" s="19">
        <f>Ringkasan!I1799</f>
        <v>0.84</v>
      </c>
      <c r="J1800" s="19">
        <f>Ringkasan!J1799</f>
        <v>12.1</v>
      </c>
      <c r="K1800" s="19">
        <f>Ringkasan!K1799</f>
        <v>6.7</v>
      </c>
      <c r="L1800" s="19">
        <f>Ringkasan!L1799</f>
        <v>0.8</v>
      </c>
      <c r="M1800" s="19">
        <f>Ringkasan!M1799</f>
        <v>43</v>
      </c>
      <c r="N1800" s="64" t="str">
        <f>Ringkasan!N1799</f>
        <v/>
      </c>
      <c r="O1800" s="64" t="str">
        <f>Ringkasan!O1799</f>
        <v/>
      </c>
      <c r="P1800" s="64" t="str">
        <f>Ringkasan!P1799</f>
        <v/>
      </c>
      <c r="Q1800" s="64" t="str">
        <f>Ringkasan!Q1799</f>
        <v/>
      </c>
      <c r="R1800" s="64" t="str">
        <f>Ringkasan!R1799</f>
        <v/>
      </c>
      <c r="S1800" s="64" t="str">
        <f>Ringkasan!S1799</f>
        <v/>
      </c>
      <c r="T1800" s="64" t="str">
        <f>Ringkasan!T1799</f>
        <v/>
      </c>
      <c r="U1800" s="64">
        <f>Ringkasan!U1799</f>
        <v>21750</v>
      </c>
      <c r="V1800" s="64">
        <f>Ringkasan!V1799</f>
        <v>3.45</v>
      </c>
      <c r="W1800" s="64">
        <f>Ringkasan!W1799</f>
        <v>21900</v>
      </c>
      <c r="X1800" s="64">
        <f>Ringkasan!X1799</f>
        <v>22825</v>
      </c>
      <c r="Y1800" s="64">
        <f>Ringkasan!Y1799</f>
        <v>21900</v>
      </c>
      <c r="Z1800" s="64">
        <f>Ringkasan!Z1799</f>
        <v>5608900</v>
      </c>
      <c r="AA1800" s="64" t="str">
        <f>Ringkasan!AA1799</f>
        <v>Machinery</v>
      </c>
      <c r="AB1800" s="64" t="str">
        <f>Ringkasan!AB1799</f>
        <v>Industrials</v>
      </c>
    </row>
    <row r="1801" hidden="1">
      <c r="A1801" s="64" t="str">
        <f>Ringkasan!A1800</f>
        <v>UNTR</v>
      </c>
      <c r="B1801" s="64" t="str">
        <f>Ringkasan!B1800</f>
        <v>United Tractors Tbk.</v>
      </c>
      <c r="C1801" s="65">
        <f>Ringkasan!C1800</f>
        <v>22500</v>
      </c>
      <c r="D1801" s="64" t="str">
        <f>Ringkasan!D1800</f>
        <v>#N/A</v>
      </c>
      <c r="E1801" s="64" t="str">
        <f>Ringkasan!E1800</f>
        <v>MNC36</v>
      </c>
      <c r="F1801" s="64" t="str">
        <f>Ringkasan!F1800</f>
        <v>30 Oktober 2026</v>
      </c>
      <c r="G1801" s="65">
        <f>Ringkasan!G1800</f>
        <v>20</v>
      </c>
      <c r="H1801" s="19">
        <f>Ringkasan!H1800</f>
        <v>7</v>
      </c>
      <c r="I1801" s="19">
        <f>Ringkasan!I1800</f>
        <v>0.84</v>
      </c>
      <c r="J1801" s="19">
        <f>Ringkasan!J1800</f>
        <v>12.1</v>
      </c>
      <c r="K1801" s="19">
        <f>Ringkasan!K1800</f>
        <v>6.7</v>
      </c>
      <c r="L1801" s="19">
        <f>Ringkasan!L1800</f>
        <v>0.8</v>
      </c>
      <c r="M1801" s="19">
        <f>Ringkasan!M1800</f>
        <v>43</v>
      </c>
      <c r="N1801" s="64" t="str">
        <f>Ringkasan!N1800</f>
        <v/>
      </c>
      <c r="O1801" s="64" t="str">
        <f>Ringkasan!O1800</f>
        <v/>
      </c>
      <c r="P1801" s="64" t="str">
        <f>Ringkasan!P1800</f>
        <v/>
      </c>
      <c r="Q1801" s="64" t="str">
        <f>Ringkasan!Q1800</f>
        <v/>
      </c>
      <c r="R1801" s="64" t="str">
        <f>Ringkasan!R1800</f>
        <v/>
      </c>
      <c r="S1801" s="64" t="str">
        <f>Ringkasan!S1800</f>
        <v/>
      </c>
      <c r="T1801" s="64" t="str">
        <f>Ringkasan!T1800</f>
        <v/>
      </c>
      <c r="U1801" s="64">
        <f>Ringkasan!U1800</f>
        <v>21750</v>
      </c>
      <c r="V1801" s="64">
        <f>Ringkasan!V1800</f>
        <v>3.45</v>
      </c>
      <c r="W1801" s="64">
        <f>Ringkasan!W1800</f>
        <v>21900</v>
      </c>
      <c r="X1801" s="64">
        <f>Ringkasan!X1800</f>
        <v>22825</v>
      </c>
      <c r="Y1801" s="64">
        <f>Ringkasan!Y1800</f>
        <v>21900</v>
      </c>
      <c r="Z1801" s="64">
        <f>Ringkasan!Z1800</f>
        <v>5608900</v>
      </c>
      <c r="AA1801" s="64" t="str">
        <f>Ringkasan!AA1800</f>
        <v>Machinery</v>
      </c>
      <c r="AB1801" s="64" t="str">
        <f>Ringkasan!AB1800</f>
        <v>Industrials</v>
      </c>
    </row>
    <row r="1802" hidden="1">
      <c r="A1802" s="64" t="str">
        <f>Ringkasan!A1801</f>
        <v>UNTR</v>
      </c>
      <c r="B1802" s="64" t="str">
        <f>Ringkasan!B1801</f>
        <v>United Tractors Tbk.</v>
      </c>
      <c r="C1802" s="65">
        <f>Ringkasan!C1801</f>
        <v>22500</v>
      </c>
      <c r="D1802" s="64" t="str">
        <f>Ringkasan!D1801</f>
        <v>#N/A</v>
      </c>
      <c r="E1802" s="64" t="str">
        <f>Ringkasan!E1801</f>
        <v>IDXVESTA28</v>
      </c>
      <c r="F1802" s="64" t="str">
        <f>Ringkasan!F1801</f>
        <v>31 Agustus 2026</v>
      </c>
      <c r="G1802" s="65">
        <f>Ringkasan!G1801</f>
        <v>20</v>
      </c>
      <c r="H1802" s="19">
        <f>Ringkasan!H1801</f>
        <v>7</v>
      </c>
      <c r="I1802" s="19">
        <f>Ringkasan!I1801</f>
        <v>0.84</v>
      </c>
      <c r="J1802" s="19">
        <f>Ringkasan!J1801</f>
        <v>12.1</v>
      </c>
      <c r="K1802" s="19">
        <f>Ringkasan!K1801</f>
        <v>6.7</v>
      </c>
      <c r="L1802" s="19">
        <f>Ringkasan!L1801</f>
        <v>0.8</v>
      </c>
      <c r="M1802" s="19">
        <f>Ringkasan!M1801</f>
        <v>43</v>
      </c>
      <c r="N1802" s="64" t="str">
        <f>Ringkasan!N1801</f>
        <v/>
      </c>
      <c r="O1802" s="64" t="str">
        <f>Ringkasan!O1801</f>
        <v/>
      </c>
      <c r="P1802" s="64" t="str">
        <f>Ringkasan!P1801</f>
        <v/>
      </c>
      <c r="Q1802" s="64" t="str">
        <f>Ringkasan!Q1801</f>
        <v/>
      </c>
      <c r="R1802" s="64" t="str">
        <f>Ringkasan!R1801</f>
        <v/>
      </c>
      <c r="S1802" s="64" t="str">
        <f>Ringkasan!S1801</f>
        <v/>
      </c>
      <c r="T1802" s="64" t="str">
        <f>Ringkasan!T1801</f>
        <v/>
      </c>
      <c r="U1802" s="64">
        <f>Ringkasan!U1801</f>
        <v>21750</v>
      </c>
      <c r="V1802" s="64">
        <f>Ringkasan!V1801</f>
        <v>3.45</v>
      </c>
      <c r="W1802" s="64">
        <f>Ringkasan!W1801</f>
        <v>21900</v>
      </c>
      <c r="X1802" s="64">
        <f>Ringkasan!X1801</f>
        <v>22825</v>
      </c>
      <c r="Y1802" s="64">
        <f>Ringkasan!Y1801</f>
        <v>21900</v>
      </c>
      <c r="Z1802" s="64">
        <f>Ringkasan!Z1801</f>
        <v>5608900</v>
      </c>
      <c r="AA1802" s="64" t="str">
        <f>Ringkasan!AA1801</f>
        <v>Machinery</v>
      </c>
      <c r="AB1802" s="64" t="str">
        <f>Ringkasan!AB1801</f>
        <v>Industrials</v>
      </c>
    </row>
    <row r="1803" hidden="1">
      <c r="A1803" s="64" t="str">
        <f>Ringkasan!A1802</f>
        <v>UNTR</v>
      </c>
      <c r="B1803" s="64" t="str">
        <f>Ringkasan!B1802</f>
        <v>United Tractors Tbk.</v>
      </c>
      <c r="C1803" s="65">
        <f>Ringkasan!C1802</f>
        <v>22500</v>
      </c>
      <c r="D1803" s="64" t="str">
        <f>Ringkasan!D1802</f>
        <v>#N/A</v>
      </c>
      <c r="E1803" s="64" t="str">
        <f>Ringkasan!E1802</f>
        <v>Kompas100</v>
      </c>
      <c r="F1803" s="64" t="str">
        <f>Ringkasan!F1802</f>
        <v>31 Juli 2026</v>
      </c>
      <c r="G1803" s="65">
        <f>Ringkasan!G1802</f>
        <v>20</v>
      </c>
      <c r="H1803" s="19">
        <f>Ringkasan!H1802</f>
        <v>7</v>
      </c>
      <c r="I1803" s="19">
        <f>Ringkasan!I1802</f>
        <v>0.84</v>
      </c>
      <c r="J1803" s="19">
        <f>Ringkasan!J1802</f>
        <v>12.1</v>
      </c>
      <c r="K1803" s="19">
        <f>Ringkasan!K1802</f>
        <v>6.7</v>
      </c>
      <c r="L1803" s="19">
        <f>Ringkasan!L1802</f>
        <v>0.8</v>
      </c>
      <c r="M1803" s="19">
        <f>Ringkasan!M1802</f>
        <v>43</v>
      </c>
      <c r="N1803" s="64" t="str">
        <f>Ringkasan!N1802</f>
        <v/>
      </c>
      <c r="O1803" s="64" t="str">
        <f>Ringkasan!O1802</f>
        <v/>
      </c>
      <c r="P1803" s="64" t="str">
        <f>Ringkasan!P1802</f>
        <v/>
      </c>
      <c r="Q1803" s="64" t="str">
        <f>Ringkasan!Q1802</f>
        <v/>
      </c>
      <c r="R1803" s="64" t="str">
        <f>Ringkasan!R1802</f>
        <v/>
      </c>
      <c r="S1803" s="64" t="str">
        <f>Ringkasan!S1802</f>
        <v/>
      </c>
      <c r="T1803" s="64" t="str">
        <f>Ringkasan!T1802</f>
        <v/>
      </c>
      <c r="U1803" s="64">
        <f>Ringkasan!U1802</f>
        <v>21750</v>
      </c>
      <c r="V1803" s="64">
        <f>Ringkasan!V1802</f>
        <v>3.45</v>
      </c>
      <c r="W1803" s="64">
        <f>Ringkasan!W1802</f>
        <v>21900</v>
      </c>
      <c r="X1803" s="64">
        <f>Ringkasan!X1802</f>
        <v>22825</v>
      </c>
      <c r="Y1803" s="64">
        <f>Ringkasan!Y1802</f>
        <v>21900</v>
      </c>
      <c r="Z1803" s="64">
        <f>Ringkasan!Z1802</f>
        <v>5608900</v>
      </c>
      <c r="AA1803" s="64" t="str">
        <f>Ringkasan!AA1802</f>
        <v>Machinery</v>
      </c>
      <c r="AB1803" s="64" t="str">
        <f>Ringkasan!AB1802</f>
        <v>Industrials</v>
      </c>
    </row>
    <row r="1804" hidden="1">
      <c r="A1804" s="64" t="str">
        <f>Ringkasan!A1803</f>
        <v>UNTR</v>
      </c>
      <c r="B1804" s="64" t="str">
        <f>Ringkasan!B1803</f>
        <v>United Tractors Tbk.</v>
      </c>
      <c r="C1804" s="65">
        <f>Ringkasan!C1803</f>
        <v>22500</v>
      </c>
      <c r="D1804" s="64" t="str">
        <f>Ringkasan!D1803</f>
        <v>#N/A</v>
      </c>
      <c r="E1804" s="64" t="str">
        <f>Ringkasan!E1803</f>
        <v>IDXG30</v>
      </c>
      <c r="F1804" s="64" t="str">
        <f>Ringkasan!F1803</f>
        <v>4 Agustus 2026</v>
      </c>
      <c r="G1804" s="65">
        <f>Ringkasan!G1803</f>
        <v>20</v>
      </c>
      <c r="H1804" s="19">
        <f>Ringkasan!H1803</f>
        <v>7</v>
      </c>
      <c r="I1804" s="19">
        <f>Ringkasan!I1803</f>
        <v>0.84</v>
      </c>
      <c r="J1804" s="19">
        <f>Ringkasan!J1803</f>
        <v>12.1</v>
      </c>
      <c r="K1804" s="19">
        <f>Ringkasan!K1803</f>
        <v>6.7</v>
      </c>
      <c r="L1804" s="19">
        <f>Ringkasan!L1803</f>
        <v>0.8</v>
      </c>
      <c r="M1804" s="19">
        <f>Ringkasan!M1803</f>
        <v>43</v>
      </c>
      <c r="N1804" s="64" t="str">
        <f>Ringkasan!N1803</f>
        <v/>
      </c>
      <c r="O1804" s="64" t="str">
        <f>Ringkasan!O1803</f>
        <v/>
      </c>
      <c r="P1804" s="64" t="str">
        <f>Ringkasan!P1803</f>
        <v/>
      </c>
      <c r="Q1804" s="64" t="str">
        <f>Ringkasan!Q1803</f>
        <v/>
      </c>
      <c r="R1804" s="64" t="str">
        <f>Ringkasan!R1803</f>
        <v/>
      </c>
      <c r="S1804" s="64" t="str">
        <f>Ringkasan!S1803</f>
        <v/>
      </c>
      <c r="T1804" s="64" t="str">
        <f>Ringkasan!T1803</f>
        <v/>
      </c>
      <c r="U1804" s="64">
        <f>Ringkasan!U1803</f>
        <v>21750</v>
      </c>
      <c r="V1804" s="64">
        <f>Ringkasan!V1803</f>
        <v>3.45</v>
      </c>
      <c r="W1804" s="64">
        <f>Ringkasan!W1803</f>
        <v>21900</v>
      </c>
      <c r="X1804" s="64">
        <f>Ringkasan!X1803</f>
        <v>22825</v>
      </c>
      <c r="Y1804" s="64">
        <f>Ringkasan!Y1803</f>
        <v>21900</v>
      </c>
      <c r="Z1804" s="64">
        <f>Ringkasan!Z1803</f>
        <v>5608900</v>
      </c>
      <c r="AA1804" s="64" t="str">
        <f>Ringkasan!AA1803</f>
        <v>Machinery</v>
      </c>
      <c r="AB1804" s="64" t="str">
        <f>Ringkasan!AB1803</f>
        <v>Industrials</v>
      </c>
    </row>
    <row r="1805" hidden="1">
      <c r="A1805" s="64" t="str">
        <f>Ringkasan!A1804</f>
        <v>UNTR</v>
      </c>
      <c r="B1805" s="64" t="str">
        <f>Ringkasan!B1804</f>
        <v>United Tractors Tbk.</v>
      </c>
      <c r="C1805" s="65">
        <f>Ringkasan!C1804</f>
        <v>22500</v>
      </c>
      <c r="D1805" s="64" t="str">
        <f>Ringkasan!D1804</f>
        <v>#N/A</v>
      </c>
      <c r="E1805" s="64" t="str">
        <f>Ringkasan!E1804</f>
        <v>IDXQ30</v>
      </c>
      <c r="F1805" s="64" t="str">
        <f>Ringkasan!F1804</f>
        <v>4 Agustus 2026</v>
      </c>
      <c r="G1805" s="65">
        <f>Ringkasan!G1804</f>
        <v>20</v>
      </c>
      <c r="H1805" s="19">
        <f>Ringkasan!H1804</f>
        <v>7</v>
      </c>
      <c r="I1805" s="19">
        <f>Ringkasan!I1804</f>
        <v>0.84</v>
      </c>
      <c r="J1805" s="19">
        <f>Ringkasan!J1804</f>
        <v>12.1</v>
      </c>
      <c r="K1805" s="19">
        <f>Ringkasan!K1804</f>
        <v>6.7</v>
      </c>
      <c r="L1805" s="19">
        <f>Ringkasan!L1804</f>
        <v>0.8</v>
      </c>
      <c r="M1805" s="19">
        <f>Ringkasan!M1804</f>
        <v>43</v>
      </c>
      <c r="N1805" s="64" t="str">
        <f>Ringkasan!N1804</f>
        <v/>
      </c>
      <c r="O1805" s="64" t="str">
        <f>Ringkasan!O1804</f>
        <v/>
      </c>
      <c r="P1805" s="64" t="str">
        <f>Ringkasan!P1804</f>
        <v/>
      </c>
      <c r="Q1805" s="64" t="str">
        <f>Ringkasan!Q1804</f>
        <v/>
      </c>
      <c r="R1805" s="64" t="str">
        <f>Ringkasan!R1804</f>
        <v/>
      </c>
      <c r="S1805" s="64" t="str">
        <f>Ringkasan!S1804</f>
        <v/>
      </c>
      <c r="T1805" s="64" t="str">
        <f>Ringkasan!T1804</f>
        <v/>
      </c>
      <c r="U1805" s="64">
        <f>Ringkasan!U1804</f>
        <v>21750</v>
      </c>
      <c r="V1805" s="64">
        <f>Ringkasan!V1804</f>
        <v>3.45</v>
      </c>
      <c r="W1805" s="64">
        <f>Ringkasan!W1804</f>
        <v>21900</v>
      </c>
      <c r="X1805" s="64">
        <f>Ringkasan!X1804</f>
        <v>22825</v>
      </c>
      <c r="Y1805" s="64">
        <f>Ringkasan!Y1804</f>
        <v>21900</v>
      </c>
      <c r="Z1805" s="64">
        <f>Ringkasan!Z1804</f>
        <v>5608900</v>
      </c>
      <c r="AA1805" s="64" t="str">
        <f>Ringkasan!AA1804</f>
        <v>Machinery</v>
      </c>
      <c r="AB1805" s="64" t="str">
        <f>Ringkasan!AB1804</f>
        <v>Industrials</v>
      </c>
    </row>
    <row r="1806" hidden="1">
      <c r="A1806" s="64" t="str">
        <f>Ringkasan!A1805</f>
        <v>UNTR</v>
      </c>
      <c r="B1806" s="64" t="str">
        <f>Ringkasan!B1805</f>
        <v>United Tractors Tbk.</v>
      </c>
      <c r="C1806" s="65">
        <f>Ringkasan!C1805</f>
        <v>22500</v>
      </c>
      <c r="D1806" s="64" t="str">
        <f>Ringkasan!D1805</f>
        <v>#N/A</v>
      </c>
      <c r="E1806" s="64" t="str">
        <f>Ringkasan!E1805</f>
        <v>IDXV30</v>
      </c>
      <c r="F1806" s="64" t="str">
        <f>Ringkasan!F1805</f>
        <v>4 Agustus 2026</v>
      </c>
      <c r="G1806" s="65">
        <f>Ringkasan!G1805</f>
        <v>20</v>
      </c>
      <c r="H1806" s="19">
        <f>Ringkasan!H1805</f>
        <v>7</v>
      </c>
      <c r="I1806" s="19">
        <f>Ringkasan!I1805</f>
        <v>0.84</v>
      </c>
      <c r="J1806" s="19">
        <f>Ringkasan!J1805</f>
        <v>12.1</v>
      </c>
      <c r="K1806" s="19">
        <f>Ringkasan!K1805</f>
        <v>6.7</v>
      </c>
      <c r="L1806" s="19">
        <f>Ringkasan!L1805</f>
        <v>0.8</v>
      </c>
      <c r="M1806" s="19">
        <f>Ringkasan!M1805</f>
        <v>43</v>
      </c>
      <c r="N1806" s="64" t="str">
        <f>Ringkasan!N1805</f>
        <v/>
      </c>
      <c r="O1806" s="64" t="str">
        <f>Ringkasan!O1805</f>
        <v/>
      </c>
      <c r="P1806" s="64" t="str">
        <f>Ringkasan!P1805</f>
        <v/>
      </c>
      <c r="Q1806" s="64" t="str">
        <f>Ringkasan!Q1805</f>
        <v/>
      </c>
      <c r="R1806" s="64" t="str">
        <f>Ringkasan!R1805</f>
        <v/>
      </c>
      <c r="S1806" s="64" t="str">
        <f>Ringkasan!S1805</f>
        <v/>
      </c>
      <c r="T1806" s="64" t="str">
        <f>Ringkasan!T1805</f>
        <v/>
      </c>
      <c r="U1806" s="64">
        <f>Ringkasan!U1805</f>
        <v>21750</v>
      </c>
      <c r="V1806" s="64">
        <f>Ringkasan!V1805</f>
        <v>3.45</v>
      </c>
      <c r="W1806" s="64">
        <f>Ringkasan!W1805</f>
        <v>21900</v>
      </c>
      <c r="X1806" s="64">
        <f>Ringkasan!X1805</f>
        <v>22825</v>
      </c>
      <c r="Y1806" s="64">
        <f>Ringkasan!Y1805</f>
        <v>21900</v>
      </c>
      <c r="Z1806" s="64">
        <f>Ringkasan!Z1805</f>
        <v>5608900</v>
      </c>
      <c r="AA1806" s="64" t="str">
        <f>Ringkasan!AA1805</f>
        <v>Machinery</v>
      </c>
      <c r="AB1806" s="64" t="str">
        <f>Ringkasan!AB1805</f>
        <v>Industrials</v>
      </c>
    </row>
    <row r="1807">
      <c r="A1807" s="60" t="str">
        <f>Ringkasan!A1878</f>
        <v/>
      </c>
      <c r="B1807" s="60" t="str">
        <f>Ringkasan!B1878</f>
        <v/>
      </c>
      <c r="C1807" s="64" t="str">
        <f>Ringkasan!C1878</f>
        <v/>
      </c>
      <c r="D1807" s="64" t="str">
        <f>Ringkasan!D1878</f>
        <v/>
      </c>
      <c r="E1807" s="60" t="str">
        <f>Ringkasan!E1878</f>
        <v/>
      </c>
      <c r="F1807" s="60" t="str">
        <f>Ringkasan!F1878</f>
        <v/>
      </c>
      <c r="G1807" s="60" t="str">
        <f>Ringkasan!G1878</f>
        <v/>
      </c>
      <c r="H1807" s="60" t="str">
        <f>Ringkasan!H1878</f>
        <v/>
      </c>
      <c r="I1807" s="60" t="str">
        <f>Ringkasan!I1878</f>
        <v/>
      </c>
      <c r="J1807" s="60" t="str">
        <f>Ringkasan!J1878</f>
        <v/>
      </c>
      <c r="K1807" s="60" t="str">
        <f>Ringkasan!K1878</f>
        <v/>
      </c>
      <c r="L1807" s="60" t="str">
        <f>Ringkasan!L1878</f>
        <v/>
      </c>
      <c r="M1807" s="60" t="str">
        <f>Ringkasan!M1878</f>
        <v/>
      </c>
      <c r="N1807" s="60" t="str">
        <f>Ringkasan!N1878</f>
        <v/>
      </c>
      <c r="O1807" s="60" t="str">
        <f>Ringkasan!O1878</f>
        <v/>
      </c>
      <c r="P1807" s="60" t="str">
        <f>Ringkasan!P1878</f>
        <v/>
      </c>
      <c r="Q1807" s="60" t="str">
        <f>Ringkasan!Q1878</f>
        <v/>
      </c>
      <c r="R1807" s="60" t="str">
        <f>Ringkasan!R1878</f>
        <v/>
      </c>
      <c r="S1807" s="60" t="str">
        <f>Ringkasan!S1878</f>
        <v/>
      </c>
      <c r="T1807" s="60" t="str">
        <f>Ringkasan!T1878</f>
        <v/>
      </c>
      <c r="U1807" s="64" t="str">
        <f>Ringkasan!U1878</f>
        <v/>
      </c>
      <c r="V1807" s="64" t="str">
        <f>Ringkasan!V1878</f>
        <v/>
      </c>
      <c r="W1807" s="64" t="str">
        <f>Ringkasan!W1878</f>
        <v/>
      </c>
      <c r="X1807" s="64" t="str">
        <f>Ringkasan!X1878</f>
        <v/>
      </c>
      <c r="Y1807" s="64" t="str">
        <f>Ringkasan!Y1878</f>
        <v/>
      </c>
      <c r="Z1807" s="64" t="str">
        <f>Ringkasan!Z1878</f>
        <v/>
      </c>
      <c r="AA1807" s="64" t="str">
        <f>Ringkasan!AA1878</f>
        <v/>
      </c>
      <c r="AB1807" s="64" t="str">
        <f>Ringkasan!AB1878</f>
        <v/>
      </c>
    </row>
    <row r="1808">
      <c r="A1808" s="60" t="str">
        <f>Ringkasan!A1879</f>
        <v/>
      </c>
      <c r="B1808" s="60" t="str">
        <f>Ringkasan!B1879</f>
        <v/>
      </c>
      <c r="C1808" s="64" t="str">
        <f>Ringkasan!C1879</f>
        <v/>
      </c>
      <c r="D1808" s="64" t="str">
        <f>Ringkasan!D1879</f>
        <v/>
      </c>
      <c r="E1808" s="60" t="str">
        <f>Ringkasan!E1879</f>
        <v/>
      </c>
      <c r="F1808" s="60" t="str">
        <f>Ringkasan!F1879</f>
        <v/>
      </c>
      <c r="G1808" s="60" t="str">
        <f>Ringkasan!G1879</f>
        <v/>
      </c>
      <c r="H1808" s="60" t="str">
        <f>Ringkasan!H1879</f>
        <v/>
      </c>
      <c r="I1808" s="60" t="str">
        <f>Ringkasan!I1879</f>
        <v/>
      </c>
      <c r="J1808" s="60" t="str">
        <f>Ringkasan!J1879</f>
        <v/>
      </c>
      <c r="K1808" s="60" t="str">
        <f>Ringkasan!K1879</f>
        <v/>
      </c>
      <c r="L1808" s="60" t="str">
        <f>Ringkasan!L1879</f>
        <v/>
      </c>
      <c r="M1808" s="60" t="str">
        <f>Ringkasan!M1879</f>
        <v/>
      </c>
      <c r="N1808" s="60" t="str">
        <f>Ringkasan!N1879</f>
        <v/>
      </c>
      <c r="O1808" s="60" t="str">
        <f>Ringkasan!O1879</f>
        <v/>
      </c>
      <c r="P1808" s="60" t="str">
        <f>Ringkasan!P1879</f>
        <v/>
      </c>
      <c r="Q1808" s="60" t="str">
        <f>Ringkasan!Q1879</f>
        <v/>
      </c>
      <c r="R1808" s="60" t="str">
        <f>Ringkasan!R1879</f>
        <v/>
      </c>
      <c r="S1808" s="60" t="str">
        <f>Ringkasan!S1879</f>
        <v/>
      </c>
      <c r="T1808" s="60" t="str">
        <f>Ringkasan!T1879</f>
        <v/>
      </c>
      <c r="U1808" s="64" t="str">
        <f>Ringkasan!U1879</f>
        <v/>
      </c>
      <c r="V1808" s="64" t="str">
        <f>Ringkasan!V1879</f>
        <v/>
      </c>
      <c r="W1808" s="64" t="str">
        <f>Ringkasan!W1879</f>
        <v/>
      </c>
      <c r="X1808" s="64" t="str">
        <f>Ringkasan!X1879</f>
        <v/>
      </c>
      <c r="Y1808" s="64" t="str">
        <f>Ringkasan!Y1879</f>
        <v/>
      </c>
      <c r="Z1808" s="64" t="str">
        <f>Ringkasan!Z1879</f>
        <v/>
      </c>
      <c r="AA1808" s="64" t="str">
        <f>Ringkasan!AA1879</f>
        <v/>
      </c>
      <c r="AB1808" s="64" t="str">
        <f>Ringkasan!AB1879</f>
        <v/>
      </c>
    </row>
    <row r="1809">
      <c r="A1809" s="60" t="str">
        <f>Ringkasan!A1880</f>
        <v/>
      </c>
      <c r="B1809" s="60" t="str">
        <f>Ringkasan!B1880</f>
        <v/>
      </c>
      <c r="C1809" s="64" t="str">
        <f>Ringkasan!C1880</f>
        <v/>
      </c>
      <c r="D1809" s="64" t="str">
        <f>Ringkasan!D1880</f>
        <v/>
      </c>
      <c r="E1809" s="60" t="str">
        <f>Ringkasan!E1880</f>
        <v/>
      </c>
      <c r="F1809" s="60" t="str">
        <f>Ringkasan!F1880</f>
        <v/>
      </c>
      <c r="G1809" s="60" t="str">
        <f>Ringkasan!G1880</f>
        <v/>
      </c>
      <c r="H1809" s="60" t="str">
        <f>Ringkasan!H1880</f>
        <v/>
      </c>
      <c r="I1809" s="60" t="str">
        <f>Ringkasan!I1880</f>
        <v/>
      </c>
      <c r="J1809" s="60" t="str">
        <f>Ringkasan!J1880</f>
        <v/>
      </c>
      <c r="K1809" s="60" t="str">
        <f>Ringkasan!K1880</f>
        <v/>
      </c>
      <c r="L1809" s="60" t="str">
        <f>Ringkasan!L1880</f>
        <v/>
      </c>
      <c r="M1809" s="60" t="str">
        <f>Ringkasan!M1880</f>
        <v/>
      </c>
      <c r="N1809" s="60" t="str">
        <f>Ringkasan!N1880</f>
        <v/>
      </c>
      <c r="O1809" s="60" t="str">
        <f>Ringkasan!O1880</f>
        <v/>
      </c>
      <c r="P1809" s="60" t="str">
        <f>Ringkasan!P1880</f>
        <v/>
      </c>
      <c r="Q1809" s="60" t="str">
        <f>Ringkasan!Q1880</f>
        <v/>
      </c>
      <c r="R1809" s="60" t="str">
        <f>Ringkasan!R1880</f>
        <v/>
      </c>
      <c r="S1809" s="60" t="str">
        <f>Ringkasan!S1880</f>
        <v/>
      </c>
      <c r="T1809" s="60" t="str">
        <f>Ringkasan!T1880</f>
        <v/>
      </c>
      <c r="U1809" s="64" t="str">
        <f>Ringkasan!U1880</f>
        <v/>
      </c>
      <c r="V1809" s="64" t="str">
        <f>Ringkasan!V1880</f>
        <v/>
      </c>
      <c r="W1809" s="64" t="str">
        <f>Ringkasan!W1880</f>
        <v/>
      </c>
      <c r="X1809" s="64" t="str">
        <f>Ringkasan!X1880</f>
        <v/>
      </c>
      <c r="Y1809" s="64" t="str">
        <f>Ringkasan!Y1880</f>
        <v/>
      </c>
      <c r="Z1809" s="64" t="str">
        <f>Ringkasan!Z1880</f>
        <v/>
      </c>
      <c r="AA1809" s="64" t="str">
        <f>Ringkasan!AA1880</f>
        <v/>
      </c>
      <c r="AB1809" s="64" t="str">
        <f>Ringkasan!AB1880</f>
        <v/>
      </c>
    </row>
    <row r="1810">
      <c r="A1810" s="60" t="str">
        <f>Ringkasan!A1881</f>
        <v/>
      </c>
      <c r="B1810" s="60" t="str">
        <f>Ringkasan!B1881</f>
        <v/>
      </c>
      <c r="C1810" s="64" t="str">
        <f>Ringkasan!C1881</f>
        <v/>
      </c>
      <c r="D1810" s="64" t="str">
        <f>Ringkasan!D1881</f>
        <v/>
      </c>
      <c r="E1810" s="60" t="str">
        <f>Ringkasan!E1881</f>
        <v/>
      </c>
      <c r="F1810" s="60" t="str">
        <f>Ringkasan!F1881</f>
        <v/>
      </c>
      <c r="G1810" s="60" t="str">
        <f>Ringkasan!G1881</f>
        <v/>
      </c>
      <c r="H1810" s="60" t="str">
        <f>Ringkasan!H1881</f>
        <v/>
      </c>
      <c r="I1810" s="60" t="str">
        <f>Ringkasan!I1881</f>
        <v/>
      </c>
      <c r="J1810" s="60" t="str">
        <f>Ringkasan!J1881</f>
        <v/>
      </c>
      <c r="K1810" s="60" t="str">
        <f>Ringkasan!K1881</f>
        <v/>
      </c>
      <c r="L1810" s="60" t="str">
        <f>Ringkasan!L1881</f>
        <v/>
      </c>
      <c r="M1810" s="60" t="str">
        <f>Ringkasan!M1881</f>
        <v/>
      </c>
      <c r="N1810" s="60" t="str">
        <f>Ringkasan!N1881</f>
        <v/>
      </c>
      <c r="O1810" s="60" t="str">
        <f>Ringkasan!O1881</f>
        <v/>
      </c>
      <c r="P1810" s="60" t="str">
        <f>Ringkasan!P1881</f>
        <v/>
      </c>
      <c r="Q1810" s="60" t="str">
        <f>Ringkasan!Q1881</f>
        <v/>
      </c>
      <c r="R1810" s="60" t="str">
        <f>Ringkasan!R1881</f>
        <v/>
      </c>
      <c r="S1810" s="60" t="str">
        <f>Ringkasan!S1881</f>
        <v/>
      </c>
      <c r="T1810" s="60" t="str">
        <f>Ringkasan!T1881</f>
        <v/>
      </c>
      <c r="U1810" s="64" t="str">
        <f>Ringkasan!U1881</f>
        <v/>
      </c>
      <c r="V1810" s="64" t="str">
        <f>Ringkasan!V1881</f>
        <v/>
      </c>
      <c r="W1810" s="64" t="str">
        <f>Ringkasan!W1881</f>
        <v/>
      </c>
      <c r="X1810" s="64" t="str">
        <f>Ringkasan!X1881</f>
        <v/>
      </c>
      <c r="Y1810" s="64" t="str">
        <f>Ringkasan!Y1881</f>
        <v/>
      </c>
      <c r="Z1810" s="64" t="str">
        <f>Ringkasan!Z1881</f>
        <v/>
      </c>
      <c r="AA1810" s="64" t="str">
        <f>Ringkasan!AA1881</f>
        <v/>
      </c>
      <c r="AB1810" s="64" t="str">
        <f>Ringkasan!AB1881</f>
        <v/>
      </c>
    </row>
    <row r="1811">
      <c r="A1811" s="60" t="str">
        <f>Ringkasan!A1882</f>
        <v/>
      </c>
      <c r="B1811" s="60" t="str">
        <f>Ringkasan!B1882</f>
        <v/>
      </c>
      <c r="C1811" s="64" t="str">
        <f>Ringkasan!C1882</f>
        <v/>
      </c>
      <c r="D1811" s="64" t="str">
        <f>Ringkasan!D1882</f>
        <v/>
      </c>
      <c r="E1811" s="60" t="str">
        <f>Ringkasan!E1882</f>
        <v/>
      </c>
      <c r="F1811" s="60" t="str">
        <f>Ringkasan!F1882</f>
        <v/>
      </c>
      <c r="G1811" s="60" t="str">
        <f>Ringkasan!G1882</f>
        <v/>
      </c>
      <c r="H1811" s="60" t="str">
        <f>Ringkasan!H1882</f>
        <v/>
      </c>
      <c r="I1811" s="60" t="str">
        <f>Ringkasan!I1882</f>
        <v/>
      </c>
      <c r="J1811" s="60" t="str">
        <f>Ringkasan!J1882</f>
        <v/>
      </c>
      <c r="K1811" s="60" t="str">
        <f>Ringkasan!K1882</f>
        <v/>
      </c>
      <c r="L1811" s="60" t="str">
        <f>Ringkasan!L1882</f>
        <v/>
      </c>
      <c r="M1811" s="60" t="str">
        <f>Ringkasan!M1882</f>
        <v/>
      </c>
      <c r="N1811" s="60" t="str">
        <f>Ringkasan!N1882</f>
        <v/>
      </c>
      <c r="O1811" s="60" t="str">
        <f>Ringkasan!O1882</f>
        <v/>
      </c>
      <c r="P1811" s="60" t="str">
        <f>Ringkasan!P1882</f>
        <v/>
      </c>
      <c r="Q1811" s="60" t="str">
        <f>Ringkasan!Q1882</f>
        <v/>
      </c>
      <c r="R1811" s="60" t="str">
        <f>Ringkasan!R1882</f>
        <v/>
      </c>
      <c r="S1811" s="60" t="str">
        <f>Ringkasan!S1882</f>
        <v/>
      </c>
      <c r="T1811" s="60" t="str">
        <f>Ringkasan!T1882</f>
        <v/>
      </c>
      <c r="U1811" s="64" t="str">
        <f>Ringkasan!U1882</f>
        <v/>
      </c>
      <c r="V1811" s="64" t="str">
        <f>Ringkasan!V1882</f>
        <v/>
      </c>
      <c r="W1811" s="64" t="str">
        <f>Ringkasan!W1882</f>
        <v/>
      </c>
      <c r="X1811" s="64" t="str">
        <f>Ringkasan!X1882</f>
        <v/>
      </c>
      <c r="Y1811" s="64" t="str">
        <f>Ringkasan!Y1882</f>
        <v/>
      </c>
      <c r="Z1811" s="64" t="str">
        <f>Ringkasan!Z1882</f>
        <v/>
      </c>
      <c r="AA1811" s="64" t="str">
        <f>Ringkasan!AA1882</f>
        <v/>
      </c>
      <c r="AB1811" s="64" t="str">
        <f>Ringkasan!AB1882</f>
        <v/>
      </c>
    </row>
    <row r="1812">
      <c r="A1812" s="60" t="str">
        <f>Ringkasan!A1883</f>
        <v/>
      </c>
      <c r="B1812" s="60" t="str">
        <f>Ringkasan!B1883</f>
        <v/>
      </c>
      <c r="C1812" s="64" t="str">
        <f>Ringkasan!C1883</f>
        <v/>
      </c>
      <c r="D1812" s="64" t="str">
        <f>Ringkasan!D1883</f>
        <v/>
      </c>
      <c r="E1812" s="60" t="str">
        <f>Ringkasan!E1883</f>
        <v/>
      </c>
      <c r="F1812" s="60" t="str">
        <f>Ringkasan!F1883</f>
        <v/>
      </c>
      <c r="G1812" s="60" t="str">
        <f>Ringkasan!G1883</f>
        <v/>
      </c>
      <c r="H1812" s="60" t="str">
        <f>Ringkasan!H1883</f>
        <v/>
      </c>
      <c r="I1812" s="60" t="str">
        <f>Ringkasan!I1883</f>
        <v/>
      </c>
      <c r="J1812" s="60" t="str">
        <f>Ringkasan!J1883</f>
        <v/>
      </c>
      <c r="K1812" s="60" t="str">
        <f>Ringkasan!K1883</f>
        <v/>
      </c>
      <c r="L1812" s="60" t="str">
        <f>Ringkasan!L1883</f>
        <v/>
      </c>
      <c r="M1812" s="60" t="str">
        <f>Ringkasan!M1883</f>
        <v/>
      </c>
      <c r="N1812" s="60" t="str">
        <f>Ringkasan!N1883</f>
        <v/>
      </c>
      <c r="O1812" s="60" t="str">
        <f>Ringkasan!O1883</f>
        <v/>
      </c>
      <c r="P1812" s="60" t="str">
        <f>Ringkasan!P1883</f>
        <v/>
      </c>
      <c r="Q1812" s="60" t="str">
        <f>Ringkasan!Q1883</f>
        <v/>
      </c>
      <c r="R1812" s="60" t="str">
        <f>Ringkasan!R1883</f>
        <v/>
      </c>
      <c r="S1812" s="60" t="str">
        <f>Ringkasan!S1883</f>
        <v/>
      </c>
      <c r="T1812" s="60" t="str">
        <f>Ringkasan!T1883</f>
        <v/>
      </c>
      <c r="U1812" s="64" t="str">
        <f>Ringkasan!U1883</f>
        <v/>
      </c>
      <c r="V1812" s="64" t="str">
        <f>Ringkasan!V1883</f>
        <v/>
      </c>
      <c r="W1812" s="64" t="str">
        <f>Ringkasan!W1883</f>
        <v/>
      </c>
      <c r="X1812" s="64" t="str">
        <f>Ringkasan!X1883</f>
        <v/>
      </c>
      <c r="Y1812" s="64" t="str">
        <f>Ringkasan!Y1883</f>
        <v/>
      </c>
      <c r="Z1812" s="64" t="str">
        <f>Ringkasan!Z1883</f>
        <v/>
      </c>
      <c r="AA1812" s="64" t="str">
        <f>Ringkasan!AA1883</f>
        <v/>
      </c>
      <c r="AB1812" s="64" t="str">
        <f>Ringkasan!AB1883</f>
        <v/>
      </c>
    </row>
    <row r="1813">
      <c r="A1813" s="60" t="str">
        <f>Ringkasan!A1884</f>
        <v/>
      </c>
      <c r="B1813" s="60" t="str">
        <f>Ringkasan!B1884</f>
        <v/>
      </c>
      <c r="C1813" s="64" t="str">
        <f>Ringkasan!C1884</f>
        <v/>
      </c>
      <c r="D1813" s="64" t="str">
        <f>Ringkasan!D1884</f>
        <v/>
      </c>
      <c r="E1813" s="60" t="str">
        <f>Ringkasan!E1884</f>
        <v/>
      </c>
      <c r="F1813" s="60" t="str">
        <f>Ringkasan!F1884</f>
        <v/>
      </c>
      <c r="G1813" s="60" t="str">
        <f>Ringkasan!G1884</f>
        <v/>
      </c>
      <c r="H1813" s="60" t="str">
        <f>Ringkasan!H1884</f>
        <v/>
      </c>
      <c r="I1813" s="60" t="str">
        <f>Ringkasan!I1884</f>
        <v/>
      </c>
      <c r="J1813" s="60" t="str">
        <f>Ringkasan!J1884</f>
        <v/>
      </c>
      <c r="K1813" s="60" t="str">
        <f>Ringkasan!K1884</f>
        <v/>
      </c>
      <c r="L1813" s="60" t="str">
        <f>Ringkasan!L1884</f>
        <v/>
      </c>
      <c r="M1813" s="60" t="str">
        <f>Ringkasan!M1884</f>
        <v/>
      </c>
      <c r="N1813" s="60" t="str">
        <f>Ringkasan!N1884</f>
        <v/>
      </c>
      <c r="O1813" s="60" t="str">
        <f>Ringkasan!O1884</f>
        <v/>
      </c>
      <c r="P1813" s="60" t="str">
        <f>Ringkasan!P1884</f>
        <v/>
      </c>
      <c r="Q1813" s="60" t="str">
        <f>Ringkasan!Q1884</f>
        <v/>
      </c>
      <c r="R1813" s="60" t="str">
        <f>Ringkasan!R1884</f>
        <v/>
      </c>
      <c r="S1813" s="60" t="str">
        <f>Ringkasan!S1884</f>
        <v/>
      </c>
      <c r="T1813" s="60" t="str">
        <f>Ringkasan!T1884</f>
        <v/>
      </c>
      <c r="U1813" s="64" t="str">
        <f>Ringkasan!U1884</f>
        <v/>
      </c>
      <c r="V1813" s="64" t="str">
        <f>Ringkasan!V1884</f>
        <v/>
      </c>
      <c r="W1813" s="64" t="str">
        <f>Ringkasan!W1884</f>
        <v/>
      </c>
      <c r="X1813" s="64" t="str">
        <f>Ringkasan!X1884</f>
        <v/>
      </c>
      <c r="Y1813" s="64" t="str">
        <f>Ringkasan!Y1884</f>
        <v/>
      </c>
      <c r="Z1813" s="64" t="str">
        <f>Ringkasan!Z1884</f>
        <v/>
      </c>
      <c r="AA1813" s="64" t="str">
        <f>Ringkasan!AA1884</f>
        <v/>
      </c>
      <c r="AB1813" s="64" t="str">
        <f>Ringkasan!AB1884</f>
        <v/>
      </c>
    </row>
    <row r="1814">
      <c r="A1814" s="60" t="str">
        <f>Ringkasan!A1885</f>
        <v/>
      </c>
      <c r="B1814" s="60" t="str">
        <f>Ringkasan!B1885</f>
        <v/>
      </c>
      <c r="C1814" s="64" t="str">
        <f>Ringkasan!C1885</f>
        <v/>
      </c>
      <c r="D1814" s="64" t="str">
        <f>Ringkasan!D1885</f>
        <v/>
      </c>
      <c r="E1814" s="60" t="str">
        <f>Ringkasan!E1885</f>
        <v/>
      </c>
      <c r="F1814" s="60" t="str">
        <f>Ringkasan!F1885</f>
        <v/>
      </c>
      <c r="G1814" s="60" t="str">
        <f>Ringkasan!G1885</f>
        <v/>
      </c>
      <c r="H1814" s="60" t="str">
        <f>Ringkasan!H1885</f>
        <v/>
      </c>
      <c r="I1814" s="60" t="str">
        <f>Ringkasan!I1885</f>
        <v/>
      </c>
      <c r="J1814" s="60" t="str">
        <f>Ringkasan!J1885</f>
        <v/>
      </c>
      <c r="K1814" s="60" t="str">
        <f>Ringkasan!K1885</f>
        <v/>
      </c>
      <c r="L1814" s="60" t="str">
        <f>Ringkasan!L1885</f>
        <v/>
      </c>
      <c r="M1814" s="60" t="str">
        <f>Ringkasan!M1885</f>
        <v/>
      </c>
      <c r="N1814" s="60" t="str">
        <f>Ringkasan!N1885</f>
        <v/>
      </c>
      <c r="O1814" s="60" t="str">
        <f>Ringkasan!O1885</f>
        <v/>
      </c>
      <c r="P1814" s="60" t="str">
        <f>Ringkasan!P1885</f>
        <v/>
      </c>
      <c r="Q1814" s="60" t="str">
        <f>Ringkasan!Q1885</f>
        <v/>
      </c>
      <c r="R1814" s="60" t="str">
        <f>Ringkasan!R1885</f>
        <v/>
      </c>
      <c r="S1814" s="60" t="str">
        <f>Ringkasan!S1885</f>
        <v/>
      </c>
      <c r="T1814" s="60" t="str">
        <f>Ringkasan!T1885</f>
        <v/>
      </c>
      <c r="U1814" s="64" t="str">
        <f>Ringkasan!U1885</f>
        <v/>
      </c>
      <c r="V1814" s="64" t="str">
        <f>Ringkasan!V1885</f>
        <v/>
      </c>
      <c r="W1814" s="64" t="str">
        <f>Ringkasan!W1885</f>
        <v/>
      </c>
      <c r="X1814" s="64" t="str">
        <f>Ringkasan!X1885</f>
        <v/>
      </c>
      <c r="Y1814" s="64" t="str">
        <f>Ringkasan!Y1885</f>
        <v/>
      </c>
      <c r="Z1814" s="64" t="str">
        <f>Ringkasan!Z1885</f>
        <v/>
      </c>
      <c r="AA1814" s="64" t="str">
        <f>Ringkasan!AA1885</f>
        <v/>
      </c>
      <c r="AB1814" s="64" t="str">
        <f>Ringkasan!AB1885</f>
        <v/>
      </c>
    </row>
    <row r="1815">
      <c r="A1815" s="60" t="str">
        <f>Ringkasan!A1886</f>
        <v/>
      </c>
      <c r="B1815" s="60" t="str">
        <f>Ringkasan!B1886</f>
        <v/>
      </c>
      <c r="C1815" s="64" t="str">
        <f>Ringkasan!C1886</f>
        <v/>
      </c>
      <c r="D1815" s="64" t="str">
        <f>Ringkasan!D1886</f>
        <v/>
      </c>
      <c r="E1815" s="60" t="str">
        <f>Ringkasan!E1886</f>
        <v/>
      </c>
      <c r="F1815" s="60" t="str">
        <f>Ringkasan!F1886</f>
        <v/>
      </c>
      <c r="G1815" s="60" t="str">
        <f>Ringkasan!G1886</f>
        <v/>
      </c>
      <c r="H1815" s="60" t="str">
        <f>Ringkasan!H1886</f>
        <v/>
      </c>
      <c r="I1815" s="60" t="str">
        <f>Ringkasan!I1886</f>
        <v/>
      </c>
      <c r="J1815" s="60" t="str">
        <f>Ringkasan!J1886</f>
        <v/>
      </c>
      <c r="K1815" s="60" t="str">
        <f>Ringkasan!K1886</f>
        <v/>
      </c>
      <c r="L1815" s="60" t="str">
        <f>Ringkasan!L1886</f>
        <v/>
      </c>
      <c r="M1815" s="60" t="str">
        <f>Ringkasan!M1886</f>
        <v/>
      </c>
      <c r="N1815" s="60" t="str">
        <f>Ringkasan!N1886</f>
        <v/>
      </c>
      <c r="O1815" s="60" t="str">
        <f>Ringkasan!O1886</f>
        <v/>
      </c>
      <c r="P1815" s="60" t="str">
        <f>Ringkasan!P1886</f>
        <v/>
      </c>
      <c r="Q1815" s="60" t="str">
        <f>Ringkasan!Q1886</f>
        <v/>
      </c>
      <c r="R1815" s="60" t="str">
        <f>Ringkasan!R1886</f>
        <v/>
      </c>
      <c r="S1815" s="60" t="str">
        <f>Ringkasan!S1886</f>
        <v/>
      </c>
      <c r="T1815" s="60" t="str">
        <f>Ringkasan!T1886</f>
        <v/>
      </c>
      <c r="U1815" s="64" t="str">
        <f>Ringkasan!U1886</f>
        <v/>
      </c>
      <c r="V1815" s="64" t="str">
        <f>Ringkasan!V1886</f>
        <v/>
      </c>
      <c r="W1815" s="64" t="str">
        <f>Ringkasan!W1886</f>
        <v/>
      </c>
      <c r="X1815" s="64" t="str">
        <f>Ringkasan!X1886</f>
        <v/>
      </c>
      <c r="Y1815" s="64" t="str">
        <f>Ringkasan!Y1886</f>
        <v/>
      </c>
      <c r="Z1815" s="64" t="str">
        <f>Ringkasan!Z1886</f>
        <v/>
      </c>
      <c r="AA1815" s="64" t="str">
        <f>Ringkasan!AA1886</f>
        <v/>
      </c>
      <c r="AB1815" s="64" t="str">
        <f>Ringkasan!AB1886</f>
        <v/>
      </c>
    </row>
    <row r="1816">
      <c r="A1816" s="60" t="str">
        <f>Ringkasan!A1887</f>
        <v/>
      </c>
      <c r="B1816" s="60" t="str">
        <f>Ringkasan!B1887</f>
        <v/>
      </c>
      <c r="C1816" s="64" t="str">
        <f>Ringkasan!C1887</f>
        <v/>
      </c>
      <c r="D1816" s="64" t="str">
        <f>Ringkasan!D1887</f>
        <v/>
      </c>
      <c r="E1816" s="60" t="str">
        <f>Ringkasan!E1887</f>
        <v/>
      </c>
      <c r="F1816" s="60" t="str">
        <f>Ringkasan!F1887</f>
        <v/>
      </c>
      <c r="G1816" s="60" t="str">
        <f>Ringkasan!G1887</f>
        <v/>
      </c>
      <c r="H1816" s="60" t="str">
        <f>Ringkasan!H1887</f>
        <v/>
      </c>
      <c r="I1816" s="60" t="str">
        <f>Ringkasan!I1887</f>
        <v/>
      </c>
      <c r="J1816" s="60" t="str">
        <f>Ringkasan!J1887</f>
        <v/>
      </c>
      <c r="K1816" s="60" t="str">
        <f>Ringkasan!K1887</f>
        <v/>
      </c>
      <c r="L1816" s="60" t="str">
        <f>Ringkasan!L1887</f>
        <v/>
      </c>
      <c r="M1816" s="60" t="str">
        <f>Ringkasan!M1887</f>
        <v/>
      </c>
      <c r="N1816" s="60" t="str">
        <f>Ringkasan!N1887</f>
        <v/>
      </c>
      <c r="O1816" s="60" t="str">
        <f>Ringkasan!O1887</f>
        <v/>
      </c>
      <c r="P1816" s="60" t="str">
        <f>Ringkasan!P1887</f>
        <v/>
      </c>
      <c r="Q1816" s="60" t="str">
        <f>Ringkasan!Q1887</f>
        <v/>
      </c>
      <c r="R1816" s="60" t="str">
        <f>Ringkasan!R1887</f>
        <v/>
      </c>
      <c r="S1816" s="60" t="str">
        <f>Ringkasan!S1887</f>
        <v/>
      </c>
      <c r="T1816" s="60" t="str">
        <f>Ringkasan!T1887</f>
        <v/>
      </c>
      <c r="U1816" s="64" t="str">
        <f>Ringkasan!U1887</f>
        <v/>
      </c>
      <c r="V1816" s="64" t="str">
        <f>Ringkasan!V1887</f>
        <v/>
      </c>
      <c r="W1816" s="64" t="str">
        <f>Ringkasan!W1887</f>
        <v/>
      </c>
      <c r="X1816" s="64" t="str">
        <f>Ringkasan!X1887</f>
        <v/>
      </c>
      <c r="Y1816" s="64" t="str">
        <f>Ringkasan!Y1887</f>
        <v/>
      </c>
      <c r="Z1816" s="64" t="str">
        <f>Ringkasan!Z1887</f>
        <v/>
      </c>
      <c r="AA1816" s="64" t="str">
        <f>Ringkasan!AA1887</f>
        <v/>
      </c>
      <c r="AB1816" s="64" t="str">
        <f>Ringkasan!AB1887</f>
        <v/>
      </c>
    </row>
    <row r="1817">
      <c r="A1817" s="60" t="str">
        <f>Ringkasan!A1888</f>
        <v/>
      </c>
      <c r="B1817" s="60" t="str">
        <f>Ringkasan!B1888</f>
        <v/>
      </c>
      <c r="C1817" s="64" t="str">
        <f>Ringkasan!C1888</f>
        <v/>
      </c>
      <c r="D1817" s="64" t="str">
        <f>Ringkasan!D1888</f>
        <v/>
      </c>
      <c r="E1817" s="60" t="str">
        <f>Ringkasan!E1888</f>
        <v/>
      </c>
      <c r="F1817" s="60" t="str">
        <f>Ringkasan!F1888</f>
        <v/>
      </c>
      <c r="G1817" s="60" t="str">
        <f>Ringkasan!G1888</f>
        <v/>
      </c>
      <c r="H1817" s="60" t="str">
        <f>Ringkasan!H1888</f>
        <v/>
      </c>
      <c r="I1817" s="60" t="str">
        <f>Ringkasan!I1888</f>
        <v/>
      </c>
      <c r="J1817" s="60" t="str">
        <f>Ringkasan!J1888</f>
        <v/>
      </c>
      <c r="K1817" s="60" t="str">
        <f>Ringkasan!K1888</f>
        <v/>
      </c>
      <c r="L1817" s="60" t="str">
        <f>Ringkasan!L1888</f>
        <v/>
      </c>
      <c r="M1817" s="60" t="str">
        <f>Ringkasan!M1888</f>
        <v/>
      </c>
      <c r="N1817" s="60" t="str">
        <f>Ringkasan!N1888</f>
        <v/>
      </c>
      <c r="O1817" s="60" t="str">
        <f>Ringkasan!O1888</f>
        <v/>
      </c>
      <c r="P1817" s="60" t="str">
        <f>Ringkasan!P1888</f>
        <v/>
      </c>
      <c r="Q1817" s="60" t="str">
        <f>Ringkasan!Q1888</f>
        <v/>
      </c>
      <c r="R1817" s="60" t="str">
        <f>Ringkasan!R1888</f>
        <v/>
      </c>
      <c r="S1817" s="60" t="str">
        <f>Ringkasan!S1888</f>
        <v/>
      </c>
      <c r="T1817" s="60" t="str">
        <f>Ringkasan!T1888</f>
        <v/>
      </c>
      <c r="U1817" s="64" t="str">
        <f>Ringkasan!U1888</f>
        <v/>
      </c>
      <c r="V1817" s="64" t="str">
        <f>Ringkasan!V1888</f>
        <v/>
      </c>
      <c r="W1817" s="64" t="str">
        <f>Ringkasan!W1888</f>
        <v/>
      </c>
      <c r="X1817" s="64" t="str">
        <f>Ringkasan!X1888</f>
        <v/>
      </c>
      <c r="Y1817" s="64" t="str">
        <f>Ringkasan!Y1888</f>
        <v/>
      </c>
      <c r="Z1817" s="64" t="str">
        <f>Ringkasan!Z1888</f>
        <v/>
      </c>
      <c r="AA1817" s="64" t="str">
        <f>Ringkasan!AA1888</f>
        <v/>
      </c>
      <c r="AB1817" s="64" t="str">
        <f>Ringkasan!AB1888</f>
        <v/>
      </c>
    </row>
    <row r="1818">
      <c r="A1818" s="60" t="str">
        <f>Ringkasan!A1889</f>
        <v/>
      </c>
      <c r="B1818" s="60" t="str">
        <f>Ringkasan!B1889</f>
        <v/>
      </c>
      <c r="C1818" s="64" t="str">
        <f>Ringkasan!C1889</f>
        <v/>
      </c>
      <c r="D1818" s="64" t="str">
        <f>Ringkasan!D1889</f>
        <v/>
      </c>
      <c r="E1818" s="60" t="str">
        <f>Ringkasan!E1889</f>
        <v/>
      </c>
      <c r="F1818" s="60" t="str">
        <f>Ringkasan!F1889</f>
        <v/>
      </c>
      <c r="G1818" s="60" t="str">
        <f>Ringkasan!G1889</f>
        <v/>
      </c>
      <c r="H1818" s="60" t="str">
        <f>Ringkasan!H1889</f>
        <v/>
      </c>
      <c r="I1818" s="60" t="str">
        <f>Ringkasan!I1889</f>
        <v/>
      </c>
      <c r="J1818" s="60" t="str">
        <f>Ringkasan!J1889</f>
        <v/>
      </c>
      <c r="K1818" s="60" t="str">
        <f>Ringkasan!K1889</f>
        <v/>
      </c>
      <c r="L1818" s="60" t="str">
        <f>Ringkasan!L1889</f>
        <v/>
      </c>
      <c r="M1818" s="60" t="str">
        <f>Ringkasan!M1889</f>
        <v/>
      </c>
      <c r="N1818" s="60" t="str">
        <f>Ringkasan!N1889</f>
        <v/>
      </c>
      <c r="O1818" s="60" t="str">
        <f>Ringkasan!O1889</f>
        <v/>
      </c>
      <c r="P1818" s="60" t="str">
        <f>Ringkasan!P1889</f>
        <v/>
      </c>
      <c r="Q1818" s="60" t="str">
        <f>Ringkasan!Q1889</f>
        <v/>
      </c>
      <c r="R1818" s="60" t="str">
        <f>Ringkasan!R1889</f>
        <v/>
      </c>
      <c r="S1818" s="60" t="str">
        <f>Ringkasan!S1889</f>
        <v/>
      </c>
      <c r="T1818" s="60" t="str">
        <f>Ringkasan!T1889</f>
        <v/>
      </c>
      <c r="U1818" s="64" t="str">
        <f>Ringkasan!U1889</f>
        <v/>
      </c>
      <c r="V1818" s="64" t="str">
        <f>Ringkasan!V1889</f>
        <v/>
      </c>
      <c r="W1818" s="64" t="str">
        <f>Ringkasan!W1889</f>
        <v/>
      </c>
      <c r="X1818" s="64" t="str">
        <f>Ringkasan!X1889</f>
        <v/>
      </c>
      <c r="Y1818" s="64" t="str">
        <f>Ringkasan!Y1889</f>
        <v/>
      </c>
      <c r="Z1818" s="64" t="str">
        <f>Ringkasan!Z1889</f>
        <v/>
      </c>
      <c r="AA1818" s="64" t="str">
        <f>Ringkasan!AA1889</f>
        <v/>
      </c>
      <c r="AB1818" s="64" t="str">
        <f>Ringkasan!AB1889</f>
        <v/>
      </c>
    </row>
    <row r="1819">
      <c r="A1819" s="60" t="str">
        <f>Ringkasan!A1890</f>
        <v/>
      </c>
      <c r="B1819" s="60" t="str">
        <f>Ringkasan!B1890</f>
        <v/>
      </c>
      <c r="C1819" s="64" t="str">
        <f>Ringkasan!C1890</f>
        <v/>
      </c>
      <c r="D1819" s="64" t="str">
        <f>Ringkasan!D1890</f>
        <v/>
      </c>
      <c r="E1819" s="60" t="str">
        <f>Ringkasan!E1890</f>
        <v/>
      </c>
      <c r="F1819" s="60" t="str">
        <f>Ringkasan!F1890</f>
        <v/>
      </c>
      <c r="G1819" s="60" t="str">
        <f>Ringkasan!G1890</f>
        <v/>
      </c>
      <c r="H1819" s="60" t="str">
        <f>Ringkasan!H1890</f>
        <v/>
      </c>
      <c r="I1819" s="60" t="str">
        <f>Ringkasan!I1890</f>
        <v/>
      </c>
      <c r="J1819" s="60" t="str">
        <f>Ringkasan!J1890</f>
        <v/>
      </c>
      <c r="K1819" s="60" t="str">
        <f>Ringkasan!K1890</f>
        <v/>
      </c>
      <c r="L1819" s="60" t="str">
        <f>Ringkasan!L1890</f>
        <v/>
      </c>
      <c r="M1819" s="60" t="str">
        <f>Ringkasan!M1890</f>
        <v/>
      </c>
      <c r="N1819" s="60" t="str">
        <f>Ringkasan!N1890</f>
        <v/>
      </c>
      <c r="O1819" s="60" t="str">
        <f>Ringkasan!O1890</f>
        <v/>
      </c>
      <c r="P1819" s="60" t="str">
        <f>Ringkasan!P1890</f>
        <v/>
      </c>
      <c r="Q1819" s="60" t="str">
        <f>Ringkasan!Q1890</f>
        <v/>
      </c>
      <c r="R1819" s="60" t="str">
        <f>Ringkasan!R1890</f>
        <v/>
      </c>
      <c r="S1819" s="60" t="str">
        <f>Ringkasan!S1890</f>
        <v/>
      </c>
      <c r="T1819" s="60" t="str">
        <f>Ringkasan!T1890</f>
        <v/>
      </c>
      <c r="U1819" s="64" t="str">
        <f>Ringkasan!U1890</f>
        <v/>
      </c>
      <c r="V1819" s="64" t="str">
        <f>Ringkasan!V1890</f>
        <v/>
      </c>
      <c r="W1819" s="64" t="str">
        <f>Ringkasan!W1890</f>
        <v/>
      </c>
      <c r="X1819" s="64" t="str">
        <f>Ringkasan!X1890</f>
        <v/>
      </c>
      <c r="Y1819" s="64" t="str">
        <f>Ringkasan!Y1890</f>
        <v/>
      </c>
      <c r="Z1819" s="64" t="str">
        <f>Ringkasan!Z1890</f>
        <v/>
      </c>
      <c r="AA1819" s="64" t="str">
        <f>Ringkasan!AA1890</f>
        <v/>
      </c>
      <c r="AB1819" s="64" t="str">
        <f>Ringkasan!AB1890</f>
        <v/>
      </c>
    </row>
    <row r="1820">
      <c r="A1820" s="60" t="str">
        <f>Ringkasan!A1891</f>
        <v/>
      </c>
      <c r="B1820" s="60" t="str">
        <f>Ringkasan!B1891</f>
        <v/>
      </c>
      <c r="C1820" s="64" t="str">
        <f>Ringkasan!C1891</f>
        <v/>
      </c>
      <c r="D1820" s="64" t="str">
        <f>Ringkasan!D1891</f>
        <v/>
      </c>
      <c r="E1820" s="60" t="str">
        <f>Ringkasan!E1891</f>
        <v/>
      </c>
      <c r="F1820" s="60" t="str">
        <f>Ringkasan!F1891</f>
        <v/>
      </c>
      <c r="G1820" s="60" t="str">
        <f>Ringkasan!G1891</f>
        <v/>
      </c>
      <c r="H1820" s="60" t="str">
        <f>Ringkasan!H1891</f>
        <v/>
      </c>
      <c r="I1820" s="60" t="str">
        <f>Ringkasan!I1891</f>
        <v/>
      </c>
      <c r="J1820" s="60" t="str">
        <f>Ringkasan!J1891</f>
        <v/>
      </c>
      <c r="K1820" s="60" t="str">
        <f>Ringkasan!K1891</f>
        <v/>
      </c>
      <c r="L1820" s="60" t="str">
        <f>Ringkasan!L1891</f>
        <v/>
      </c>
      <c r="M1820" s="60" t="str">
        <f>Ringkasan!M1891</f>
        <v/>
      </c>
      <c r="N1820" s="60" t="str">
        <f>Ringkasan!N1891</f>
        <v/>
      </c>
      <c r="O1820" s="60" t="str">
        <f>Ringkasan!O1891</f>
        <v/>
      </c>
      <c r="P1820" s="60" t="str">
        <f>Ringkasan!P1891</f>
        <v/>
      </c>
      <c r="Q1820" s="60" t="str">
        <f>Ringkasan!Q1891</f>
        <v/>
      </c>
      <c r="R1820" s="60" t="str">
        <f>Ringkasan!R1891</f>
        <v/>
      </c>
      <c r="S1820" s="60" t="str">
        <f>Ringkasan!S1891</f>
        <v/>
      </c>
      <c r="T1820" s="60" t="str">
        <f>Ringkasan!T1891</f>
        <v/>
      </c>
      <c r="U1820" s="64" t="str">
        <f>Ringkasan!U1891</f>
        <v/>
      </c>
      <c r="V1820" s="64" t="str">
        <f>Ringkasan!V1891</f>
        <v/>
      </c>
      <c r="W1820" s="64" t="str">
        <f>Ringkasan!W1891</f>
        <v/>
      </c>
      <c r="X1820" s="64" t="str">
        <f>Ringkasan!X1891</f>
        <v/>
      </c>
      <c r="Y1820" s="64" t="str">
        <f>Ringkasan!Y1891</f>
        <v/>
      </c>
      <c r="Z1820" s="64" t="str">
        <f>Ringkasan!Z1891</f>
        <v/>
      </c>
      <c r="AA1820" s="64" t="str">
        <f>Ringkasan!AA1891</f>
        <v/>
      </c>
      <c r="AB1820" s="64" t="str">
        <f>Ringkasan!AB1891</f>
        <v/>
      </c>
    </row>
    <row r="1821">
      <c r="A1821" s="60" t="str">
        <f>Ringkasan!A1892</f>
        <v/>
      </c>
      <c r="B1821" s="60" t="str">
        <f>Ringkasan!B1892</f>
        <v/>
      </c>
      <c r="C1821" s="64" t="str">
        <f>Ringkasan!C1892</f>
        <v/>
      </c>
      <c r="D1821" s="64" t="str">
        <f>Ringkasan!D1892</f>
        <v/>
      </c>
      <c r="E1821" s="60" t="str">
        <f>Ringkasan!E1892</f>
        <v/>
      </c>
      <c r="F1821" s="60" t="str">
        <f>Ringkasan!F1892</f>
        <v/>
      </c>
      <c r="G1821" s="60" t="str">
        <f>Ringkasan!G1892</f>
        <v/>
      </c>
      <c r="H1821" s="60" t="str">
        <f>Ringkasan!H1892</f>
        <v/>
      </c>
      <c r="I1821" s="60" t="str">
        <f>Ringkasan!I1892</f>
        <v/>
      </c>
      <c r="J1821" s="60" t="str">
        <f>Ringkasan!J1892</f>
        <v/>
      </c>
      <c r="K1821" s="60" t="str">
        <f>Ringkasan!K1892</f>
        <v/>
      </c>
      <c r="L1821" s="60" t="str">
        <f>Ringkasan!L1892</f>
        <v/>
      </c>
      <c r="M1821" s="60" t="str">
        <f>Ringkasan!M1892</f>
        <v/>
      </c>
      <c r="N1821" s="60" t="str">
        <f>Ringkasan!N1892</f>
        <v/>
      </c>
      <c r="O1821" s="60" t="str">
        <f>Ringkasan!O1892</f>
        <v/>
      </c>
      <c r="P1821" s="60" t="str">
        <f>Ringkasan!P1892</f>
        <v/>
      </c>
      <c r="Q1821" s="60" t="str">
        <f>Ringkasan!Q1892</f>
        <v/>
      </c>
      <c r="R1821" s="60" t="str">
        <f>Ringkasan!R1892</f>
        <v/>
      </c>
      <c r="S1821" s="60" t="str">
        <f>Ringkasan!S1892</f>
        <v/>
      </c>
      <c r="T1821" s="60" t="str">
        <f>Ringkasan!T1892</f>
        <v/>
      </c>
      <c r="U1821" s="64" t="str">
        <f>Ringkasan!U1892</f>
        <v/>
      </c>
      <c r="V1821" s="64" t="str">
        <f>Ringkasan!V1892</f>
        <v/>
      </c>
      <c r="W1821" s="64" t="str">
        <f>Ringkasan!W1892</f>
        <v/>
      </c>
      <c r="X1821" s="64" t="str">
        <f>Ringkasan!X1892</f>
        <v/>
      </c>
      <c r="Y1821" s="64" t="str">
        <f>Ringkasan!Y1892</f>
        <v/>
      </c>
      <c r="Z1821" s="64" t="str">
        <f>Ringkasan!Z1892</f>
        <v/>
      </c>
      <c r="AA1821" s="64" t="str">
        <f>Ringkasan!AA1892</f>
        <v/>
      </c>
      <c r="AB1821" s="64" t="str">
        <f>Ringkasan!AB1892</f>
        <v/>
      </c>
    </row>
    <row r="1822">
      <c r="A1822" s="60" t="str">
        <f>Ringkasan!A1893</f>
        <v/>
      </c>
      <c r="B1822" s="60" t="str">
        <f>Ringkasan!B1893</f>
        <v/>
      </c>
      <c r="C1822" s="64" t="str">
        <f>Ringkasan!C1893</f>
        <v/>
      </c>
      <c r="D1822" s="64" t="str">
        <f>Ringkasan!D1893</f>
        <v/>
      </c>
      <c r="E1822" s="60" t="str">
        <f>Ringkasan!E1893</f>
        <v/>
      </c>
      <c r="F1822" s="60" t="str">
        <f>Ringkasan!F1893</f>
        <v/>
      </c>
      <c r="G1822" s="60" t="str">
        <f>Ringkasan!G1893</f>
        <v/>
      </c>
      <c r="H1822" s="60" t="str">
        <f>Ringkasan!H1893</f>
        <v/>
      </c>
      <c r="I1822" s="60" t="str">
        <f>Ringkasan!I1893</f>
        <v/>
      </c>
      <c r="J1822" s="60" t="str">
        <f>Ringkasan!J1893</f>
        <v/>
      </c>
      <c r="K1822" s="60" t="str">
        <f>Ringkasan!K1893</f>
        <v/>
      </c>
      <c r="L1822" s="60" t="str">
        <f>Ringkasan!L1893</f>
        <v/>
      </c>
      <c r="M1822" s="60" t="str">
        <f>Ringkasan!M1893</f>
        <v/>
      </c>
      <c r="N1822" s="60" t="str">
        <f>Ringkasan!N1893</f>
        <v/>
      </c>
      <c r="O1822" s="60" t="str">
        <f>Ringkasan!O1893</f>
        <v/>
      </c>
      <c r="P1822" s="60" t="str">
        <f>Ringkasan!P1893</f>
        <v/>
      </c>
      <c r="Q1822" s="60" t="str">
        <f>Ringkasan!Q1893</f>
        <v/>
      </c>
      <c r="R1822" s="60" t="str">
        <f>Ringkasan!R1893</f>
        <v/>
      </c>
      <c r="S1822" s="60" t="str">
        <f>Ringkasan!S1893</f>
        <v/>
      </c>
      <c r="T1822" s="60" t="str">
        <f>Ringkasan!T1893</f>
        <v/>
      </c>
      <c r="U1822" s="64" t="str">
        <f>Ringkasan!U1893</f>
        <v/>
      </c>
      <c r="V1822" s="64" t="str">
        <f>Ringkasan!V1893</f>
        <v/>
      </c>
      <c r="W1822" s="64" t="str">
        <f>Ringkasan!W1893</f>
        <v/>
      </c>
      <c r="X1822" s="64" t="str">
        <f>Ringkasan!X1893</f>
        <v/>
      </c>
      <c r="Y1822" s="64" t="str">
        <f>Ringkasan!Y1893</f>
        <v/>
      </c>
      <c r="Z1822" s="64" t="str">
        <f>Ringkasan!Z1893</f>
        <v/>
      </c>
      <c r="AA1822" s="64" t="str">
        <f>Ringkasan!AA1893</f>
        <v/>
      </c>
      <c r="AB1822" s="64" t="str">
        <f>Ringkasan!AB1893</f>
        <v/>
      </c>
    </row>
    <row r="1823">
      <c r="A1823" s="60" t="str">
        <f>Ringkasan!A1894</f>
        <v/>
      </c>
      <c r="B1823" s="60" t="str">
        <f>Ringkasan!B1894</f>
        <v/>
      </c>
      <c r="C1823" s="64" t="str">
        <f>Ringkasan!C1894</f>
        <v/>
      </c>
      <c r="D1823" s="64" t="str">
        <f>Ringkasan!D1894</f>
        <v/>
      </c>
      <c r="E1823" s="60" t="str">
        <f>Ringkasan!E1894</f>
        <v/>
      </c>
      <c r="F1823" s="60" t="str">
        <f>Ringkasan!F1894</f>
        <v/>
      </c>
      <c r="G1823" s="60" t="str">
        <f>Ringkasan!G1894</f>
        <v/>
      </c>
      <c r="H1823" s="60" t="str">
        <f>Ringkasan!H1894</f>
        <v/>
      </c>
      <c r="I1823" s="60" t="str">
        <f>Ringkasan!I1894</f>
        <v/>
      </c>
      <c r="J1823" s="60" t="str">
        <f>Ringkasan!J1894</f>
        <v/>
      </c>
      <c r="K1823" s="60" t="str">
        <f>Ringkasan!K1894</f>
        <v/>
      </c>
      <c r="L1823" s="60" t="str">
        <f>Ringkasan!L1894</f>
        <v/>
      </c>
      <c r="M1823" s="60" t="str">
        <f>Ringkasan!M1894</f>
        <v/>
      </c>
      <c r="N1823" s="60" t="str">
        <f>Ringkasan!N1894</f>
        <v/>
      </c>
      <c r="O1823" s="60" t="str">
        <f>Ringkasan!O1894</f>
        <v/>
      </c>
      <c r="P1823" s="60" t="str">
        <f>Ringkasan!P1894</f>
        <v/>
      </c>
      <c r="Q1823" s="60" t="str">
        <f>Ringkasan!Q1894</f>
        <v/>
      </c>
      <c r="R1823" s="60" t="str">
        <f>Ringkasan!R1894</f>
        <v/>
      </c>
      <c r="S1823" s="60" t="str">
        <f>Ringkasan!S1894</f>
        <v/>
      </c>
      <c r="T1823" s="60" t="str">
        <f>Ringkasan!T1894</f>
        <v/>
      </c>
      <c r="U1823" s="64" t="str">
        <f>Ringkasan!U1894</f>
        <v/>
      </c>
      <c r="V1823" s="64" t="str">
        <f>Ringkasan!V1894</f>
        <v/>
      </c>
      <c r="W1823" s="64" t="str">
        <f>Ringkasan!W1894</f>
        <v/>
      </c>
      <c r="X1823" s="64" t="str">
        <f>Ringkasan!X1894</f>
        <v/>
      </c>
      <c r="Y1823" s="64" t="str">
        <f>Ringkasan!Y1894</f>
        <v/>
      </c>
      <c r="Z1823" s="64" t="str">
        <f>Ringkasan!Z1894</f>
        <v/>
      </c>
      <c r="AA1823" s="64" t="str">
        <f>Ringkasan!AA1894</f>
        <v/>
      </c>
      <c r="AB1823" s="64" t="str">
        <f>Ringkasan!AB1894</f>
        <v/>
      </c>
    </row>
    <row r="1824">
      <c r="A1824" s="60" t="str">
        <f>Ringkasan!A1895</f>
        <v/>
      </c>
      <c r="B1824" s="60" t="str">
        <f>Ringkasan!B1895</f>
        <v/>
      </c>
      <c r="C1824" s="64" t="str">
        <f>Ringkasan!C1895</f>
        <v/>
      </c>
      <c r="D1824" s="64" t="str">
        <f>Ringkasan!D1895</f>
        <v/>
      </c>
      <c r="E1824" s="60" t="str">
        <f>Ringkasan!E1895</f>
        <v/>
      </c>
      <c r="F1824" s="60" t="str">
        <f>Ringkasan!F1895</f>
        <v/>
      </c>
      <c r="G1824" s="60" t="str">
        <f>Ringkasan!G1895</f>
        <v/>
      </c>
      <c r="H1824" s="60" t="str">
        <f>Ringkasan!H1895</f>
        <v/>
      </c>
      <c r="I1824" s="60" t="str">
        <f>Ringkasan!I1895</f>
        <v/>
      </c>
      <c r="J1824" s="60" t="str">
        <f>Ringkasan!J1895</f>
        <v/>
      </c>
      <c r="K1824" s="60" t="str">
        <f>Ringkasan!K1895</f>
        <v/>
      </c>
      <c r="L1824" s="60" t="str">
        <f>Ringkasan!L1895</f>
        <v/>
      </c>
      <c r="M1824" s="60" t="str">
        <f>Ringkasan!M1895</f>
        <v/>
      </c>
      <c r="N1824" s="60" t="str">
        <f>Ringkasan!N1895</f>
        <v/>
      </c>
      <c r="O1824" s="60" t="str">
        <f>Ringkasan!O1895</f>
        <v/>
      </c>
      <c r="P1824" s="60" t="str">
        <f>Ringkasan!P1895</f>
        <v/>
      </c>
      <c r="Q1824" s="60" t="str">
        <f>Ringkasan!Q1895</f>
        <v/>
      </c>
      <c r="R1824" s="60" t="str">
        <f>Ringkasan!R1895</f>
        <v/>
      </c>
      <c r="S1824" s="60" t="str">
        <f>Ringkasan!S1895</f>
        <v/>
      </c>
      <c r="T1824" s="60" t="str">
        <f>Ringkasan!T1895</f>
        <v/>
      </c>
      <c r="U1824" s="64" t="str">
        <f>Ringkasan!U1895</f>
        <v/>
      </c>
      <c r="V1824" s="64" t="str">
        <f>Ringkasan!V1895</f>
        <v/>
      </c>
      <c r="W1824" s="64" t="str">
        <f>Ringkasan!W1895</f>
        <v/>
      </c>
      <c r="X1824" s="64" t="str">
        <f>Ringkasan!X1895</f>
        <v/>
      </c>
      <c r="Y1824" s="64" t="str">
        <f>Ringkasan!Y1895</f>
        <v/>
      </c>
      <c r="Z1824" s="64" t="str">
        <f>Ringkasan!Z1895</f>
        <v/>
      </c>
      <c r="AA1824" s="64" t="str">
        <f>Ringkasan!AA1895</f>
        <v/>
      </c>
      <c r="AB1824" s="64" t="str">
        <f>Ringkasan!AB1895</f>
        <v/>
      </c>
    </row>
    <row r="1825">
      <c r="A1825" s="60" t="str">
        <f>Ringkasan!A1896</f>
        <v/>
      </c>
      <c r="B1825" s="60" t="str">
        <f>Ringkasan!B1896</f>
        <v/>
      </c>
      <c r="C1825" s="64" t="str">
        <f>Ringkasan!C1896</f>
        <v/>
      </c>
      <c r="D1825" s="64" t="str">
        <f>Ringkasan!D1896</f>
        <v/>
      </c>
      <c r="E1825" s="60" t="str">
        <f>Ringkasan!E1896</f>
        <v/>
      </c>
      <c r="F1825" s="60" t="str">
        <f>Ringkasan!F1896</f>
        <v/>
      </c>
      <c r="G1825" s="60" t="str">
        <f>Ringkasan!G1896</f>
        <v/>
      </c>
      <c r="H1825" s="60" t="str">
        <f>Ringkasan!H1896</f>
        <v/>
      </c>
      <c r="I1825" s="60" t="str">
        <f>Ringkasan!I1896</f>
        <v/>
      </c>
      <c r="J1825" s="60" t="str">
        <f>Ringkasan!J1896</f>
        <v/>
      </c>
      <c r="K1825" s="60" t="str">
        <f>Ringkasan!K1896</f>
        <v/>
      </c>
      <c r="L1825" s="60" t="str">
        <f>Ringkasan!L1896</f>
        <v/>
      </c>
      <c r="M1825" s="60" t="str">
        <f>Ringkasan!M1896</f>
        <v/>
      </c>
      <c r="N1825" s="60" t="str">
        <f>Ringkasan!N1896</f>
        <v/>
      </c>
      <c r="O1825" s="60" t="str">
        <f>Ringkasan!O1896</f>
        <v/>
      </c>
      <c r="P1825" s="60" t="str">
        <f>Ringkasan!P1896</f>
        <v/>
      </c>
      <c r="Q1825" s="60" t="str">
        <f>Ringkasan!Q1896</f>
        <v/>
      </c>
      <c r="R1825" s="60" t="str">
        <f>Ringkasan!R1896</f>
        <v/>
      </c>
      <c r="S1825" s="60" t="str">
        <f>Ringkasan!S1896</f>
        <v/>
      </c>
      <c r="T1825" s="60" t="str">
        <f>Ringkasan!T1896</f>
        <v/>
      </c>
      <c r="U1825" s="64" t="str">
        <f>Ringkasan!U1896</f>
        <v/>
      </c>
      <c r="V1825" s="64" t="str">
        <f>Ringkasan!V1896</f>
        <v/>
      </c>
      <c r="W1825" s="64" t="str">
        <f>Ringkasan!W1896</f>
        <v/>
      </c>
      <c r="X1825" s="64" t="str">
        <f>Ringkasan!X1896</f>
        <v/>
      </c>
      <c r="Y1825" s="64" t="str">
        <f>Ringkasan!Y1896</f>
        <v/>
      </c>
      <c r="Z1825" s="64" t="str">
        <f>Ringkasan!Z1896</f>
        <v/>
      </c>
      <c r="AA1825" s="64" t="str">
        <f>Ringkasan!AA1896</f>
        <v/>
      </c>
      <c r="AB1825" s="64" t="str">
        <f>Ringkasan!AB1896</f>
        <v/>
      </c>
    </row>
    <row r="1826">
      <c r="A1826" s="60" t="str">
        <f>Ringkasan!A1897</f>
        <v/>
      </c>
      <c r="B1826" s="60" t="str">
        <f>Ringkasan!B1897</f>
        <v/>
      </c>
      <c r="C1826" s="64" t="str">
        <f>Ringkasan!C1897</f>
        <v/>
      </c>
      <c r="D1826" s="64" t="str">
        <f>Ringkasan!D1897</f>
        <v/>
      </c>
      <c r="E1826" s="60" t="str">
        <f>Ringkasan!E1897</f>
        <v/>
      </c>
      <c r="F1826" s="60" t="str">
        <f>Ringkasan!F1897</f>
        <v/>
      </c>
      <c r="G1826" s="60" t="str">
        <f>Ringkasan!G1897</f>
        <v/>
      </c>
      <c r="H1826" s="60" t="str">
        <f>Ringkasan!H1897</f>
        <v/>
      </c>
      <c r="I1826" s="60" t="str">
        <f>Ringkasan!I1897</f>
        <v/>
      </c>
      <c r="J1826" s="60" t="str">
        <f>Ringkasan!J1897</f>
        <v/>
      </c>
      <c r="K1826" s="60" t="str">
        <f>Ringkasan!K1897</f>
        <v/>
      </c>
      <c r="L1826" s="60" t="str">
        <f>Ringkasan!L1897</f>
        <v/>
      </c>
      <c r="M1826" s="60" t="str">
        <f>Ringkasan!M1897</f>
        <v/>
      </c>
      <c r="N1826" s="60" t="str">
        <f>Ringkasan!N1897</f>
        <v/>
      </c>
      <c r="O1826" s="60" t="str">
        <f>Ringkasan!O1897</f>
        <v/>
      </c>
      <c r="P1826" s="60" t="str">
        <f>Ringkasan!P1897</f>
        <v/>
      </c>
      <c r="Q1826" s="60" t="str">
        <f>Ringkasan!Q1897</f>
        <v/>
      </c>
      <c r="R1826" s="60" t="str">
        <f>Ringkasan!R1897</f>
        <v/>
      </c>
      <c r="S1826" s="60" t="str">
        <f>Ringkasan!S1897</f>
        <v/>
      </c>
      <c r="T1826" s="60" t="str">
        <f>Ringkasan!T1897</f>
        <v/>
      </c>
      <c r="U1826" s="64" t="str">
        <f>Ringkasan!U1897</f>
        <v/>
      </c>
      <c r="V1826" s="64" t="str">
        <f>Ringkasan!V1897</f>
        <v/>
      </c>
      <c r="W1826" s="64" t="str">
        <f>Ringkasan!W1897</f>
        <v/>
      </c>
      <c r="X1826" s="64" t="str">
        <f>Ringkasan!X1897</f>
        <v/>
      </c>
      <c r="Y1826" s="64" t="str">
        <f>Ringkasan!Y1897</f>
        <v/>
      </c>
      <c r="Z1826" s="64" t="str">
        <f>Ringkasan!Z1897</f>
        <v/>
      </c>
      <c r="AA1826" s="64" t="str">
        <f>Ringkasan!AA1897</f>
        <v/>
      </c>
      <c r="AB1826" s="64" t="str">
        <f>Ringkasan!AB1897</f>
        <v/>
      </c>
    </row>
    <row r="1827">
      <c r="A1827" s="60" t="str">
        <f>Ringkasan!A1898</f>
        <v/>
      </c>
      <c r="B1827" s="60" t="str">
        <f>Ringkasan!B1898</f>
        <v/>
      </c>
      <c r="C1827" s="64" t="str">
        <f>Ringkasan!C1898</f>
        <v/>
      </c>
      <c r="D1827" s="64" t="str">
        <f>Ringkasan!D1898</f>
        <v/>
      </c>
      <c r="E1827" s="60" t="str">
        <f>Ringkasan!E1898</f>
        <v/>
      </c>
      <c r="F1827" s="60" t="str">
        <f>Ringkasan!F1898</f>
        <v/>
      </c>
      <c r="G1827" s="60" t="str">
        <f>Ringkasan!G1898</f>
        <v/>
      </c>
      <c r="H1827" s="60" t="str">
        <f>Ringkasan!H1898</f>
        <v/>
      </c>
      <c r="I1827" s="60" t="str">
        <f>Ringkasan!I1898</f>
        <v/>
      </c>
      <c r="J1827" s="60" t="str">
        <f>Ringkasan!J1898</f>
        <v/>
      </c>
      <c r="K1827" s="60" t="str">
        <f>Ringkasan!K1898</f>
        <v/>
      </c>
      <c r="L1827" s="60" t="str">
        <f>Ringkasan!L1898</f>
        <v/>
      </c>
      <c r="M1827" s="60" t="str">
        <f>Ringkasan!M1898</f>
        <v/>
      </c>
      <c r="N1827" s="60" t="str">
        <f>Ringkasan!N1898</f>
        <v/>
      </c>
      <c r="O1827" s="60" t="str">
        <f>Ringkasan!O1898</f>
        <v/>
      </c>
      <c r="P1827" s="60" t="str">
        <f>Ringkasan!P1898</f>
        <v/>
      </c>
      <c r="Q1827" s="60" t="str">
        <f>Ringkasan!Q1898</f>
        <v/>
      </c>
      <c r="R1827" s="60" t="str">
        <f>Ringkasan!R1898</f>
        <v/>
      </c>
      <c r="S1827" s="60" t="str">
        <f>Ringkasan!S1898</f>
        <v/>
      </c>
      <c r="T1827" s="60" t="str">
        <f>Ringkasan!T1898</f>
        <v/>
      </c>
      <c r="U1827" s="64" t="str">
        <f>Ringkasan!U1898</f>
        <v/>
      </c>
      <c r="V1827" s="64" t="str">
        <f>Ringkasan!V1898</f>
        <v/>
      </c>
      <c r="W1827" s="64" t="str">
        <f>Ringkasan!W1898</f>
        <v/>
      </c>
      <c r="X1827" s="64" t="str">
        <f>Ringkasan!X1898</f>
        <v/>
      </c>
      <c r="Y1827" s="64" t="str">
        <f>Ringkasan!Y1898</f>
        <v/>
      </c>
      <c r="Z1827" s="64" t="str">
        <f>Ringkasan!Z1898</f>
        <v/>
      </c>
      <c r="AA1827" s="64" t="str">
        <f>Ringkasan!AA1898</f>
        <v/>
      </c>
      <c r="AB1827" s="64" t="str">
        <f>Ringkasan!AB1898</f>
        <v/>
      </c>
    </row>
    <row r="1828">
      <c r="A1828" s="60" t="str">
        <f>Ringkasan!A1899</f>
        <v/>
      </c>
      <c r="B1828" s="60" t="str">
        <f>Ringkasan!B1899</f>
        <v/>
      </c>
      <c r="C1828" s="64" t="str">
        <f>Ringkasan!C1899</f>
        <v/>
      </c>
      <c r="D1828" s="64" t="str">
        <f>Ringkasan!D1899</f>
        <v/>
      </c>
      <c r="E1828" s="60" t="str">
        <f>Ringkasan!E1899</f>
        <v/>
      </c>
      <c r="F1828" s="60" t="str">
        <f>Ringkasan!F1899</f>
        <v/>
      </c>
      <c r="G1828" s="60" t="str">
        <f>Ringkasan!G1899</f>
        <v/>
      </c>
      <c r="H1828" s="60" t="str">
        <f>Ringkasan!H1899</f>
        <v/>
      </c>
      <c r="I1828" s="60" t="str">
        <f>Ringkasan!I1899</f>
        <v/>
      </c>
      <c r="J1828" s="60" t="str">
        <f>Ringkasan!J1899</f>
        <v/>
      </c>
      <c r="K1828" s="60" t="str">
        <f>Ringkasan!K1899</f>
        <v/>
      </c>
      <c r="L1828" s="60" t="str">
        <f>Ringkasan!L1899</f>
        <v/>
      </c>
      <c r="M1828" s="60" t="str">
        <f>Ringkasan!M1899</f>
        <v/>
      </c>
      <c r="N1828" s="60" t="str">
        <f>Ringkasan!N1899</f>
        <v/>
      </c>
      <c r="O1828" s="60" t="str">
        <f>Ringkasan!O1899</f>
        <v/>
      </c>
      <c r="P1828" s="60" t="str">
        <f>Ringkasan!P1899</f>
        <v/>
      </c>
      <c r="Q1828" s="60" t="str">
        <f>Ringkasan!Q1899</f>
        <v/>
      </c>
      <c r="R1828" s="60" t="str">
        <f>Ringkasan!R1899</f>
        <v/>
      </c>
      <c r="S1828" s="60" t="str">
        <f>Ringkasan!S1899</f>
        <v/>
      </c>
      <c r="T1828" s="60" t="str">
        <f>Ringkasan!T1899</f>
        <v/>
      </c>
      <c r="U1828" s="64" t="str">
        <f>Ringkasan!U1899</f>
        <v/>
      </c>
      <c r="V1828" s="64" t="str">
        <f>Ringkasan!V1899</f>
        <v/>
      </c>
      <c r="W1828" s="64" t="str">
        <f>Ringkasan!W1899</f>
        <v/>
      </c>
      <c r="X1828" s="64" t="str">
        <f>Ringkasan!X1899</f>
        <v/>
      </c>
      <c r="Y1828" s="64" t="str">
        <f>Ringkasan!Y1899</f>
        <v/>
      </c>
      <c r="Z1828" s="64" t="str">
        <f>Ringkasan!Z1899</f>
        <v/>
      </c>
      <c r="AA1828" s="64" t="str">
        <f>Ringkasan!AA1899</f>
        <v/>
      </c>
      <c r="AB1828" s="64" t="str">
        <f>Ringkasan!AB1899</f>
        <v/>
      </c>
    </row>
    <row r="1829">
      <c r="A1829" s="60" t="str">
        <f>Ringkasan!A1900</f>
        <v/>
      </c>
      <c r="B1829" s="60" t="str">
        <f>Ringkasan!B1900</f>
        <v/>
      </c>
      <c r="C1829" s="64" t="str">
        <f>Ringkasan!C1900</f>
        <v/>
      </c>
      <c r="D1829" s="64" t="str">
        <f>Ringkasan!D1900</f>
        <v/>
      </c>
      <c r="E1829" s="60" t="str">
        <f>Ringkasan!E1900</f>
        <v/>
      </c>
      <c r="F1829" s="60" t="str">
        <f>Ringkasan!F1900</f>
        <v/>
      </c>
      <c r="G1829" s="60" t="str">
        <f>Ringkasan!G1900</f>
        <v/>
      </c>
      <c r="H1829" s="60" t="str">
        <f>Ringkasan!H1900</f>
        <v/>
      </c>
      <c r="I1829" s="60" t="str">
        <f>Ringkasan!I1900</f>
        <v/>
      </c>
      <c r="J1829" s="60" t="str">
        <f>Ringkasan!J1900</f>
        <v/>
      </c>
      <c r="K1829" s="60" t="str">
        <f>Ringkasan!K1900</f>
        <v/>
      </c>
      <c r="L1829" s="60" t="str">
        <f>Ringkasan!L1900</f>
        <v/>
      </c>
      <c r="M1829" s="60" t="str">
        <f>Ringkasan!M1900</f>
        <v/>
      </c>
      <c r="N1829" s="60" t="str">
        <f>Ringkasan!N1900</f>
        <v/>
      </c>
      <c r="O1829" s="60" t="str">
        <f>Ringkasan!O1900</f>
        <v/>
      </c>
      <c r="P1829" s="60" t="str">
        <f>Ringkasan!P1900</f>
        <v/>
      </c>
      <c r="Q1829" s="60" t="str">
        <f>Ringkasan!Q1900</f>
        <v/>
      </c>
      <c r="R1829" s="60" t="str">
        <f>Ringkasan!R1900</f>
        <v/>
      </c>
      <c r="S1829" s="60" t="str">
        <f>Ringkasan!S1900</f>
        <v/>
      </c>
      <c r="T1829" s="60" t="str">
        <f>Ringkasan!T1900</f>
        <v/>
      </c>
      <c r="U1829" s="64" t="str">
        <f>Ringkasan!U1900</f>
        <v/>
      </c>
      <c r="V1829" s="64" t="str">
        <f>Ringkasan!V1900</f>
        <v/>
      </c>
      <c r="W1829" s="64" t="str">
        <f>Ringkasan!W1900</f>
        <v/>
      </c>
      <c r="X1829" s="64" t="str">
        <f>Ringkasan!X1900</f>
        <v/>
      </c>
      <c r="Y1829" s="64" t="str">
        <f>Ringkasan!Y1900</f>
        <v/>
      </c>
      <c r="Z1829" s="64" t="str">
        <f>Ringkasan!Z1900</f>
        <v/>
      </c>
      <c r="AA1829" s="64" t="str">
        <f>Ringkasan!AA1900</f>
        <v/>
      </c>
      <c r="AB1829" s="64" t="str">
        <f>Ringkasan!AB1900</f>
        <v/>
      </c>
    </row>
    <row r="1830">
      <c r="A1830" s="60" t="str">
        <f>Ringkasan!A1901</f>
        <v/>
      </c>
      <c r="B1830" s="60" t="str">
        <f>Ringkasan!B1901</f>
        <v/>
      </c>
      <c r="C1830" s="64" t="str">
        <f>Ringkasan!C1901</f>
        <v/>
      </c>
      <c r="D1830" s="64" t="str">
        <f>Ringkasan!D1901</f>
        <v/>
      </c>
      <c r="E1830" s="60" t="str">
        <f>Ringkasan!E1901</f>
        <v/>
      </c>
      <c r="F1830" s="60" t="str">
        <f>Ringkasan!F1901</f>
        <v/>
      </c>
      <c r="G1830" s="60" t="str">
        <f>Ringkasan!G1901</f>
        <v/>
      </c>
      <c r="H1830" s="60" t="str">
        <f>Ringkasan!H1901</f>
        <v/>
      </c>
      <c r="I1830" s="60" t="str">
        <f>Ringkasan!I1901</f>
        <v/>
      </c>
      <c r="J1830" s="60" t="str">
        <f>Ringkasan!J1901</f>
        <v/>
      </c>
      <c r="K1830" s="60" t="str">
        <f>Ringkasan!K1901</f>
        <v/>
      </c>
      <c r="L1830" s="60" t="str">
        <f>Ringkasan!L1901</f>
        <v/>
      </c>
      <c r="M1830" s="60" t="str">
        <f>Ringkasan!M1901</f>
        <v/>
      </c>
      <c r="N1830" s="60" t="str">
        <f>Ringkasan!N1901</f>
        <v/>
      </c>
      <c r="O1830" s="60" t="str">
        <f>Ringkasan!O1901</f>
        <v/>
      </c>
      <c r="P1830" s="60" t="str">
        <f>Ringkasan!P1901</f>
        <v/>
      </c>
      <c r="Q1830" s="60" t="str">
        <f>Ringkasan!Q1901</f>
        <v/>
      </c>
      <c r="R1830" s="60" t="str">
        <f>Ringkasan!R1901</f>
        <v/>
      </c>
      <c r="S1830" s="60" t="str">
        <f>Ringkasan!S1901</f>
        <v/>
      </c>
      <c r="T1830" s="60" t="str">
        <f>Ringkasan!T1901</f>
        <v/>
      </c>
      <c r="U1830" s="64" t="str">
        <f>Ringkasan!U1901</f>
        <v/>
      </c>
      <c r="V1830" s="64" t="str">
        <f>Ringkasan!V1901</f>
        <v/>
      </c>
      <c r="W1830" s="64" t="str">
        <f>Ringkasan!W1901</f>
        <v/>
      </c>
      <c r="X1830" s="64" t="str">
        <f>Ringkasan!X1901</f>
        <v/>
      </c>
      <c r="Y1830" s="64" t="str">
        <f>Ringkasan!Y1901</f>
        <v/>
      </c>
      <c r="Z1830" s="64" t="str">
        <f>Ringkasan!Z1901</f>
        <v/>
      </c>
      <c r="AA1830" s="64" t="str">
        <f>Ringkasan!AA1901</f>
        <v/>
      </c>
      <c r="AB1830" s="64" t="str">
        <f>Ringkasan!AB1901</f>
        <v/>
      </c>
    </row>
    <row r="1831">
      <c r="A1831" s="60" t="str">
        <f>Ringkasan!A1902</f>
        <v/>
      </c>
      <c r="B1831" s="60" t="str">
        <f>Ringkasan!B1902</f>
        <v/>
      </c>
      <c r="C1831" s="64" t="str">
        <f>Ringkasan!C1902</f>
        <v/>
      </c>
      <c r="D1831" s="64" t="str">
        <f>Ringkasan!D1902</f>
        <v/>
      </c>
      <c r="E1831" s="60" t="str">
        <f>Ringkasan!E1902</f>
        <v/>
      </c>
      <c r="F1831" s="60" t="str">
        <f>Ringkasan!F1902</f>
        <v/>
      </c>
      <c r="G1831" s="60" t="str">
        <f>Ringkasan!G1902</f>
        <v/>
      </c>
      <c r="H1831" s="60" t="str">
        <f>Ringkasan!H1902</f>
        <v/>
      </c>
      <c r="I1831" s="60" t="str">
        <f>Ringkasan!I1902</f>
        <v/>
      </c>
      <c r="J1831" s="60" t="str">
        <f>Ringkasan!J1902</f>
        <v/>
      </c>
      <c r="K1831" s="60" t="str">
        <f>Ringkasan!K1902</f>
        <v/>
      </c>
      <c r="L1831" s="60" t="str">
        <f>Ringkasan!L1902</f>
        <v/>
      </c>
      <c r="M1831" s="60" t="str">
        <f>Ringkasan!M1902</f>
        <v/>
      </c>
      <c r="N1831" s="60" t="str">
        <f>Ringkasan!N1902</f>
        <v/>
      </c>
      <c r="O1831" s="60" t="str">
        <f>Ringkasan!O1902</f>
        <v/>
      </c>
      <c r="P1831" s="60" t="str">
        <f>Ringkasan!P1902</f>
        <v/>
      </c>
      <c r="Q1831" s="60" t="str">
        <f>Ringkasan!Q1902</f>
        <v/>
      </c>
      <c r="R1831" s="60" t="str">
        <f>Ringkasan!R1902</f>
        <v/>
      </c>
      <c r="S1831" s="60" t="str">
        <f>Ringkasan!S1902</f>
        <v/>
      </c>
      <c r="T1831" s="60" t="str">
        <f>Ringkasan!T1902</f>
        <v/>
      </c>
      <c r="U1831" s="64" t="str">
        <f>Ringkasan!U1902</f>
        <v/>
      </c>
      <c r="V1831" s="64" t="str">
        <f>Ringkasan!V1902</f>
        <v/>
      </c>
      <c r="W1831" s="64" t="str">
        <f>Ringkasan!W1902</f>
        <v/>
      </c>
      <c r="X1831" s="64" t="str">
        <f>Ringkasan!X1902</f>
        <v/>
      </c>
      <c r="Y1831" s="64" t="str">
        <f>Ringkasan!Y1902</f>
        <v/>
      </c>
      <c r="Z1831" s="64" t="str">
        <f>Ringkasan!Z1902</f>
        <v/>
      </c>
      <c r="AA1831" s="64" t="str">
        <f>Ringkasan!AA1902</f>
        <v/>
      </c>
      <c r="AB1831" s="64" t="str">
        <f>Ringkasan!AB1902</f>
        <v/>
      </c>
    </row>
    <row r="1832">
      <c r="A1832" s="60" t="str">
        <f>Ringkasan!A1903</f>
        <v/>
      </c>
      <c r="B1832" s="60" t="str">
        <f>Ringkasan!B1903</f>
        <v/>
      </c>
      <c r="C1832" s="64" t="str">
        <f>Ringkasan!C1903</f>
        <v/>
      </c>
      <c r="D1832" s="64" t="str">
        <f>Ringkasan!D1903</f>
        <v/>
      </c>
      <c r="E1832" s="60" t="str">
        <f>Ringkasan!E1903</f>
        <v/>
      </c>
      <c r="F1832" s="60" t="str">
        <f>Ringkasan!F1903</f>
        <v/>
      </c>
      <c r="G1832" s="60" t="str">
        <f>Ringkasan!G1903</f>
        <v/>
      </c>
      <c r="H1832" s="60" t="str">
        <f>Ringkasan!H1903</f>
        <v/>
      </c>
      <c r="I1832" s="60" t="str">
        <f>Ringkasan!I1903</f>
        <v/>
      </c>
      <c r="J1832" s="60" t="str">
        <f>Ringkasan!J1903</f>
        <v/>
      </c>
      <c r="K1832" s="60" t="str">
        <f>Ringkasan!K1903</f>
        <v/>
      </c>
      <c r="L1832" s="60" t="str">
        <f>Ringkasan!L1903</f>
        <v/>
      </c>
      <c r="M1832" s="60" t="str">
        <f>Ringkasan!M1903</f>
        <v/>
      </c>
      <c r="N1832" s="60" t="str">
        <f>Ringkasan!N1903</f>
        <v/>
      </c>
      <c r="O1832" s="60" t="str">
        <f>Ringkasan!O1903</f>
        <v/>
      </c>
      <c r="P1832" s="60" t="str">
        <f>Ringkasan!P1903</f>
        <v/>
      </c>
      <c r="Q1832" s="60" t="str">
        <f>Ringkasan!Q1903</f>
        <v/>
      </c>
      <c r="R1832" s="60" t="str">
        <f>Ringkasan!R1903</f>
        <v/>
      </c>
      <c r="S1832" s="60" t="str">
        <f>Ringkasan!S1903</f>
        <v/>
      </c>
      <c r="T1832" s="60" t="str">
        <f>Ringkasan!T1903</f>
        <v/>
      </c>
      <c r="U1832" s="64" t="str">
        <f>Ringkasan!U1903</f>
        <v/>
      </c>
      <c r="V1832" s="64" t="str">
        <f>Ringkasan!V1903</f>
        <v/>
      </c>
      <c r="W1832" s="64" t="str">
        <f>Ringkasan!W1903</f>
        <v/>
      </c>
      <c r="X1832" s="64" t="str">
        <f>Ringkasan!X1903</f>
        <v/>
      </c>
      <c r="Y1832" s="64" t="str">
        <f>Ringkasan!Y1903</f>
        <v/>
      </c>
      <c r="Z1832" s="64" t="str">
        <f>Ringkasan!Z1903</f>
        <v/>
      </c>
      <c r="AA1832" s="64" t="str">
        <f>Ringkasan!AA1903</f>
        <v/>
      </c>
      <c r="AB1832" s="64" t="str">
        <f>Ringkasan!AB1903</f>
        <v/>
      </c>
    </row>
    <row r="1833">
      <c r="A1833" s="60" t="str">
        <f>Ringkasan!A1904</f>
        <v/>
      </c>
      <c r="B1833" s="60" t="str">
        <f>Ringkasan!B1904</f>
        <v/>
      </c>
      <c r="C1833" s="64" t="str">
        <f>Ringkasan!C1904</f>
        <v/>
      </c>
      <c r="D1833" s="64" t="str">
        <f>Ringkasan!D1904</f>
        <v/>
      </c>
      <c r="E1833" s="60" t="str">
        <f>Ringkasan!E1904</f>
        <v/>
      </c>
      <c r="F1833" s="60" t="str">
        <f>Ringkasan!F1904</f>
        <v/>
      </c>
      <c r="G1833" s="60" t="str">
        <f>Ringkasan!G1904</f>
        <v/>
      </c>
      <c r="H1833" s="60" t="str">
        <f>Ringkasan!H1904</f>
        <v/>
      </c>
      <c r="I1833" s="60" t="str">
        <f>Ringkasan!I1904</f>
        <v/>
      </c>
      <c r="J1833" s="60" t="str">
        <f>Ringkasan!J1904</f>
        <v/>
      </c>
      <c r="K1833" s="60" t="str">
        <f>Ringkasan!K1904</f>
        <v/>
      </c>
      <c r="L1833" s="60" t="str">
        <f>Ringkasan!L1904</f>
        <v/>
      </c>
      <c r="M1833" s="60" t="str">
        <f>Ringkasan!M1904</f>
        <v/>
      </c>
      <c r="N1833" s="60" t="str">
        <f>Ringkasan!N1904</f>
        <v/>
      </c>
      <c r="O1833" s="60" t="str">
        <f>Ringkasan!O1904</f>
        <v/>
      </c>
      <c r="P1833" s="60" t="str">
        <f>Ringkasan!P1904</f>
        <v/>
      </c>
      <c r="Q1833" s="60" t="str">
        <f>Ringkasan!Q1904</f>
        <v/>
      </c>
      <c r="R1833" s="60" t="str">
        <f>Ringkasan!R1904</f>
        <v/>
      </c>
      <c r="S1833" s="60" t="str">
        <f>Ringkasan!S1904</f>
        <v/>
      </c>
      <c r="T1833" s="60" t="str">
        <f>Ringkasan!T1904</f>
        <v/>
      </c>
      <c r="U1833" s="64" t="str">
        <f>Ringkasan!U1904</f>
        <v/>
      </c>
      <c r="V1833" s="64" t="str">
        <f>Ringkasan!V1904</f>
        <v/>
      </c>
      <c r="W1833" s="64" t="str">
        <f>Ringkasan!W1904</f>
        <v/>
      </c>
      <c r="X1833" s="64" t="str">
        <f>Ringkasan!X1904</f>
        <v/>
      </c>
      <c r="Y1833" s="64" t="str">
        <f>Ringkasan!Y1904</f>
        <v/>
      </c>
      <c r="Z1833" s="64" t="str">
        <f>Ringkasan!Z1904</f>
        <v/>
      </c>
      <c r="AA1833" s="64" t="str">
        <f>Ringkasan!AA1904</f>
        <v/>
      </c>
      <c r="AB1833" s="64" t="str">
        <f>Ringkasan!AB1904</f>
        <v/>
      </c>
    </row>
    <row r="1834">
      <c r="A1834" s="60" t="str">
        <f>Ringkasan!A1905</f>
        <v/>
      </c>
      <c r="B1834" s="60" t="str">
        <f>Ringkasan!B1905</f>
        <v/>
      </c>
      <c r="C1834" s="64" t="str">
        <f>Ringkasan!C1905</f>
        <v/>
      </c>
      <c r="D1834" s="64" t="str">
        <f>Ringkasan!D1905</f>
        <v/>
      </c>
      <c r="E1834" s="60" t="str">
        <f>Ringkasan!E1905</f>
        <v/>
      </c>
      <c r="F1834" s="60" t="str">
        <f>Ringkasan!F1905</f>
        <v/>
      </c>
      <c r="G1834" s="60" t="str">
        <f>Ringkasan!G1905</f>
        <v/>
      </c>
      <c r="H1834" s="60" t="str">
        <f>Ringkasan!H1905</f>
        <v/>
      </c>
      <c r="I1834" s="60" t="str">
        <f>Ringkasan!I1905</f>
        <v/>
      </c>
      <c r="J1834" s="60" t="str">
        <f>Ringkasan!J1905</f>
        <v/>
      </c>
      <c r="K1834" s="60" t="str">
        <f>Ringkasan!K1905</f>
        <v/>
      </c>
      <c r="L1834" s="60" t="str">
        <f>Ringkasan!L1905</f>
        <v/>
      </c>
      <c r="M1834" s="60" t="str">
        <f>Ringkasan!M1905</f>
        <v/>
      </c>
      <c r="N1834" s="60" t="str">
        <f>Ringkasan!N1905</f>
        <v/>
      </c>
      <c r="O1834" s="60" t="str">
        <f>Ringkasan!O1905</f>
        <v/>
      </c>
      <c r="P1834" s="60" t="str">
        <f>Ringkasan!P1905</f>
        <v/>
      </c>
      <c r="Q1834" s="60" t="str">
        <f>Ringkasan!Q1905</f>
        <v/>
      </c>
      <c r="R1834" s="60" t="str">
        <f>Ringkasan!R1905</f>
        <v/>
      </c>
      <c r="S1834" s="60" t="str">
        <f>Ringkasan!S1905</f>
        <v/>
      </c>
      <c r="T1834" s="60" t="str">
        <f>Ringkasan!T1905</f>
        <v/>
      </c>
      <c r="U1834" s="64" t="str">
        <f>Ringkasan!U1905</f>
        <v/>
      </c>
      <c r="V1834" s="64" t="str">
        <f>Ringkasan!V1905</f>
        <v/>
      </c>
      <c r="W1834" s="64" t="str">
        <f>Ringkasan!W1905</f>
        <v/>
      </c>
      <c r="X1834" s="64" t="str">
        <f>Ringkasan!X1905</f>
        <v/>
      </c>
      <c r="Y1834" s="64" t="str">
        <f>Ringkasan!Y1905</f>
        <v/>
      </c>
      <c r="Z1834" s="64" t="str">
        <f>Ringkasan!Z1905</f>
        <v/>
      </c>
      <c r="AA1834" s="64" t="str">
        <f>Ringkasan!AA1905</f>
        <v/>
      </c>
      <c r="AB1834" s="64" t="str">
        <f>Ringkasan!AB1905</f>
        <v/>
      </c>
    </row>
    <row r="1835">
      <c r="A1835" s="60" t="str">
        <f>Ringkasan!A1906</f>
        <v/>
      </c>
      <c r="B1835" s="60" t="str">
        <f>Ringkasan!B1906</f>
        <v/>
      </c>
      <c r="C1835" s="64" t="str">
        <f>Ringkasan!C1906</f>
        <v/>
      </c>
      <c r="D1835" s="64" t="str">
        <f>Ringkasan!D1906</f>
        <v/>
      </c>
      <c r="E1835" s="60" t="str">
        <f>Ringkasan!E1906</f>
        <v/>
      </c>
      <c r="F1835" s="60" t="str">
        <f>Ringkasan!F1906</f>
        <v/>
      </c>
      <c r="G1835" s="60" t="str">
        <f>Ringkasan!G1906</f>
        <v/>
      </c>
      <c r="H1835" s="60" t="str">
        <f>Ringkasan!H1906</f>
        <v/>
      </c>
      <c r="I1835" s="60" t="str">
        <f>Ringkasan!I1906</f>
        <v/>
      </c>
      <c r="J1835" s="60" t="str">
        <f>Ringkasan!J1906</f>
        <v/>
      </c>
      <c r="K1835" s="60" t="str">
        <f>Ringkasan!K1906</f>
        <v/>
      </c>
      <c r="L1835" s="60" t="str">
        <f>Ringkasan!L1906</f>
        <v/>
      </c>
      <c r="M1835" s="60" t="str">
        <f>Ringkasan!M1906</f>
        <v/>
      </c>
      <c r="N1835" s="60" t="str">
        <f>Ringkasan!N1906</f>
        <v/>
      </c>
      <c r="O1835" s="60" t="str">
        <f>Ringkasan!O1906</f>
        <v/>
      </c>
      <c r="P1835" s="60" t="str">
        <f>Ringkasan!P1906</f>
        <v/>
      </c>
      <c r="Q1835" s="60" t="str">
        <f>Ringkasan!Q1906</f>
        <v/>
      </c>
      <c r="R1835" s="60" t="str">
        <f>Ringkasan!R1906</f>
        <v/>
      </c>
      <c r="S1835" s="60" t="str">
        <f>Ringkasan!S1906</f>
        <v/>
      </c>
      <c r="T1835" s="60" t="str">
        <f>Ringkasan!T1906</f>
        <v/>
      </c>
      <c r="U1835" s="64" t="str">
        <f>Ringkasan!U1906</f>
        <v/>
      </c>
      <c r="V1835" s="64" t="str">
        <f>Ringkasan!V1906</f>
        <v/>
      </c>
      <c r="W1835" s="64" t="str">
        <f>Ringkasan!W1906</f>
        <v/>
      </c>
      <c r="X1835" s="64" t="str">
        <f>Ringkasan!X1906</f>
        <v/>
      </c>
      <c r="Y1835" s="64" t="str">
        <f>Ringkasan!Y1906</f>
        <v/>
      </c>
      <c r="Z1835" s="64" t="str">
        <f>Ringkasan!Z1906</f>
        <v/>
      </c>
      <c r="AA1835" s="64" t="str">
        <f>Ringkasan!AA1906</f>
        <v/>
      </c>
      <c r="AB1835" s="64" t="str">
        <f>Ringkasan!AB1906</f>
        <v/>
      </c>
    </row>
    <row r="1836">
      <c r="A1836" s="60" t="str">
        <f>Ringkasan!A1907</f>
        <v/>
      </c>
      <c r="B1836" s="60" t="str">
        <f>Ringkasan!B1907</f>
        <v/>
      </c>
      <c r="C1836" s="64" t="str">
        <f>Ringkasan!C1907</f>
        <v/>
      </c>
      <c r="D1836" s="64" t="str">
        <f>Ringkasan!D1907</f>
        <v/>
      </c>
      <c r="E1836" s="60" t="str">
        <f>Ringkasan!E1907</f>
        <v/>
      </c>
      <c r="F1836" s="60" t="str">
        <f>Ringkasan!F1907</f>
        <v/>
      </c>
      <c r="G1836" s="60" t="str">
        <f>Ringkasan!G1907</f>
        <v/>
      </c>
      <c r="H1836" s="60" t="str">
        <f>Ringkasan!H1907</f>
        <v/>
      </c>
      <c r="I1836" s="60" t="str">
        <f>Ringkasan!I1907</f>
        <v/>
      </c>
      <c r="J1836" s="60" t="str">
        <f>Ringkasan!J1907</f>
        <v/>
      </c>
      <c r="K1836" s="60" t="str">
        <f>Ringkasan!K1907</f>
        <v/>
      </c>
      <c r="L1836" s="60" t="str">
        <f>Ringkasan!L1907</f>
        <v/>
      </c>
      <c r="M1836" s="60" t="str">
        <f>Ringkasan!M1907</f>
        <v/>
      </c>
      <c r="N1836" s="60" t="str">
        <f>Ringkasan!N1907</f>
        <v/>
      </c>
      <c r="O1836" s="60" t="str">
        <f>Ringkasan!O1907</f>
        <v/>
      </c>
      <c r="P1836" s="60" t="str">
        <f>Ringkasan!P1907</f>
        <v/>
      </c>
      <c r="Q1836" s="60" t="str">
        <f>Ringkasan!Q1907</f>
        <v/>
      </c>
      <c r="R1836" s="60" t="str">
        <f>Ringkasan!R1907</f>
        <v/>
      </c>
      <c r="S1836" s="60" t="str">
        <f>Ringkasan!S1907</f>
        <v/>
      </c>
      <c r="T1836" s="60" t="str">
        <f>Ringkasan!T1907</f>
        <v/>
      </c>
      <c r="U1836" s="64" t="str">
        <f>Ringkasan!U1907</f>
        <v/>
      </c>
      <c r="V1836" s="64" t="str">
        <f>Ringkasan!V1907</f>
        <v/>
      </c>
      <c r="W1836" s="64" t="str">
        <f>Ringkasan!W1907</f>
        <v/>
      </c>
      <c r="X1836" s="64" t="str">
        <f>Ringkasan!X1907</f>
        <v/>
      </c>
      <c r="Y1836" s="64" t="str">
        <f>Ringkasan!Y1907</f>
        <v/>
      </c>
      <c r="Z1836" s="64" t="str">
        <f>Ringkasan!Z1907</f>
        <v/>
      </c>
      <c r="AA1836" s="64" t="str">
        <f>Ringkasan!AA1907</f>
        <v/>
      </c>
      <c r="AB1836" s="64" t="str">
        <f>Ringkasan!AB1907</f>
        <v/>
      </c>
    </row>
    <row r="1837">
      <c r="A1837" s="60" t="str">
        <f>Ringkasan!A1908</f>
        <v/>
      </c>
      <c r="B1837" s="60" t="str">
        <f>Ringkasan!B1908</f>
        <v/>
      </c>
      <c r="C1837" s="64" t="str">
        <f>Ringkasan!C1908</f>
        <v/>
      </c>
      <c r="D1837" s="64" t="str">
        <f>Ringkasan!D1908</f>
        <v/>
      </c>
      <c r="E1837" s="60" t="str">
        <f>Ringkasan!E1908</f>
        <v/>
      </c>
      <c r="F1837" s="60" t="str">
        <f>Ringkasan!F1908</f>
        <v/>
      </c>
      <c r="G1837" s="60" t="str">
        <f>Ringkasan!G1908</f>
        <v/>
      </c>
      <c r="H1837" s="60" t="str">
        <f>Ringkasan!H1908</f>
        <v/>
      </c>
      <c r="I1837" s="60" t="str">
        <f>Ringkasan!I1908</f>
        <v/>
      </c>
      <c r="J1837" s="60" t="str">
        <f>Ringkasan!J1908</f>
        <v/>
      </c>
      <c r="K1837" s="60" t="str">
        <f>Ringkasan!K1908</f>
        <v/>
      </c>
      <c r="L1837" s="60" t="str">
        <f>Ringkasan!L1908</f>
        <v/>
      </c>
      <c r="M1837" s="60" t="str">
        <f>Ringkasan!M1908</f>
        <v/>
      </c>
      <c r="N1837" s="60" t="str">
        <f>Ringkasan!N1908</f>
        <v/>
      </c>
      <c r="O1837" s="60" t="str">
        <f>Ringkasan!O1908</f>
        <v/>
      </c>
      <c r="P1837" s="60" t="str">
        <f>Ringkasan!P1908</f>
        <v/>
      </c>
      <c r="Q1837" s="60" t="str">
        <f>Ringkasan!Q1908</f>
        <v/>
      </c>
      <c r="R1837" s="60" t="str">
        <f>Ringkasan!R1908</f>
        <v/>
      </c>
      <c r="S1837" s="60" t="str">
        <f>Ringkasan!S1908</f>
        <v/>
      </c>
      <c r="T1837" s="60" t="str">
        <f>Ringkasan!T1908</f>
        <v/>
      </c>
      <c r="U1837" s="64" t="str">
        <f>Ringkasan!U1908</f>
        <v/>
      </c>
      <c r="V1837" s="64" t="str">
        <f>Ringkasan!V1908</f>
        <v/>
      </c>
      <c r="W1837" s="64" t="str">
        <f>Ringkasan!W1908</f>
        <v/>
      </c>
      <c r="X1837" s="64" t="str">
        <f>Ringkasan!X1908</f>
        <v/>
      </c>
      <c r="Y1837" s="64" t="str">
        <f>Ringkasan!Y1908</f>
        <v/>
      </c>
      <c r="Z1837" s="64" t="str">
        <f>Ringkasan!Z1908</f>
        <v/>
      </c>
      <c r="AA1837" s="64" t="str">
        <f>Ringkasan!AA1908</f>
        <v/>
      </c>
      <c r="AB1837" s="64" t="str">
        <f>Ringkasan!AB1908</f>
        <v/>
      </c>
    </row>
    <row r="1838">
      <c r="A1838" s="60" t="str">
        <f>Ringkasan!A1909</f>
        <v/>
      </c>
      <c r="B1838" s="60" t="str">
        <f>Ringkasan!B1909</f>
        <v/>
      </c>
      <c r="C1838" s="64" t="str">
        <f>Ringkasan!C1909</f>
        <v/>
      </c>
      <c r="D1838" s="64" t="str">
        <f>Ringkasan!D1909</f>
        <v/>
      </c>
      <c r="E1838" s="60" t="str">
        <f>Ringkasan!E1909</f>
        <v/>
      </c>
      <c r="F1838" s="60" t="str">
        <f>Ringkasan!F1909</f>
        <v/>
      </c>
      <c r="G1838" s="60" t="str">
        <f>Ringkasan!G1909</f>
        <v/>
      </c>
      <c r="H1838" s="60" t="str">
        <f>Ringkasan!H1909</f>
        <v/>
      </c>
      <c r="I1838" s="60" t="str">
        <f>Ringkasan!I1909</f>
        <v/>
      </c>
      <c r="J1838" s="60" t="str">
        <f>Ringkasan!J1909</f>
        <v/>
      </c>
      <c r="K1838" s="60" t="str">
        <f>Ringkasan!K1909</f>
        <v/>
      </c>
      <c r="L1838" s="60" t="str">
        <f>Ringkasan!L1909</f>
        <v/>
      </c>
      <c r="M1838" s="60" t="str">
        <f>Ringkasan!M1909</f>
        <v/>
      </c>
      <c r="N1838" s="60" t="str">
        <f>Ringkasan!N1909</f>
        <v/>
      </c>
      <c r="O1838" s="60" t="str">
        <f>Ringkasan!O1909</f>
        <v/>
      </c>
      <c r="P1838" s="60" t="str">
        <f>Ringkasan!P1909</f>
        <v/>
      </c>
      <c r="Q1838" s="60" t="str">
        <f>Ringkasan!Q1909</f>
        <v/>
      </c>
      <c r="R1838" s="60" t="str">
        <f>Ringkasan!R1909</f>
        <v/>
      </c>
      <c r="S1838" s="60" t="str">
        <f>Ringkasan!S1909</f>
        <v/>
      </c>
      <c r="T1838" s="60" t="str">
        <f>Ringkasan!T1909</f>
        <v/>
      </c>
      <c r="U1838" s="64" t="str">
        <f>Ringkasan!U1909</f>
        <v/>
      </c>
      <c r="V1838" s="64" t="str">
        <f>Ringkasan!V1909</f>
        <v/>
      </c>
      <c r="W1838" s="64" t="str">
        <f>Ringkasan!W1909</f>
        <v/>
      </c>
      <c r="X1838" s="64" t="str">
        <f>Ringkasan!X1909</f>
        <v/>
      </c>
      <c r="Y1838" s="64" t="str">
        <f>Ringkasan!Y1909</f>
        <v/>
      </c>
      <c r="Z1838" s="64" t="str">
        <f>Ringkasan!Z1909</f>
        <v/>
      </c>
      <c r="AA1838" s="64" t="str">
        <f>Ringkasan!AA1909</f>
        <v/>
      </c>
      <c r="AB1838" s="64" t="str">
        <f>Ringkasan!AB1909</f>
        <v/>
      </c>
    </row>
    <row r="1839">
      <c r="A1839" s="60" t="str">
        <f>Ringkasan!A1910</f>
        <v/>
      </c>
      <c r="B1839" s="60" t="str">
        <f>Ringkasan!B1910</f>
        <v/>
      </c>
      <c r="C1839" s="64" t="str">
        <f>Ringkasan!C1910</f>
        <v/>
      </c>
      <c r="D1839" s="64" t="str">
        <f>Ringkasan!D1910</f>
        <v/>
      </c>
      <c r="E1839" s="60" t="str">
        <f>Ringkasan!E1910</f>
        <v/>
      </c>
      <c r="F1839" s="60" t="str">
        <f>Ringkasan!F1910</f>
        <v/>
      </c>
      <c r="G1839" s="60" t="str">
        <f>Ringkasan!G1910</f>
        <v/>
      </c>
      <c r="H1839" s="60" t="str">
        <f>Ringkasan!H1910</f>
        <v/>
      </c>
      <c r="I1839" s="60" t="str">
        <f>Ringkasan!I1910</f>
        <v/>
      </c>
      <c r="J1839" s="60" t="str">
        <f>Ringkasan!J1910</f>
        <v/>
      </c>
      <c r="K1839" s="60" t="str">
        <f>Ringkasan!K1910</f>
        <v/>
      </c>
      <c r="L1839" s="60" t="str">
        <f>Ringkasan!L1910</f>
        <v/>
      </c>
      <c r="M1839" s="60" t="str">
        <f>Ringkasan!M1910</f>
        <v/>
      </c>
      <c r="N1839" s="60" t="str">
        <f>Ringkasan!N1910</f>
        <v/>
      </c>
      <c r="O1839" s="60" t="str">
        <f>Ringkasan!O1910</f>
        <v/>
      </c>
      <c r="P1839" s="60" t="str">
        <f>Ringkasan!P1910</f>
        <v/>
      </c>
      <c r="Q1839" s="60" t="str">
        <f>Ringkasan!Q1910</f>
        <v/>
      </c>
      <c r="R1839" s="60" t="str">
        <f>Ringkasan!R1910</f>
        <v/>
      </c>
      <c r="S1839" s="60" t="str">
        <f>Ringkasan!S1910</f>
        <v/>
      </c>
      <c r="T1839" s="60" t="str">
        <f>Ringkasan!T1910</f>
        <v/>
      </c>
      <c r="U1839" s="64" t="str">
        <f>Ringkasan!U1910</f>
        <v/>
      </c>
      <c r="V1839" s="64" t="str">
        <f>Ringkasan!V1910</f>
        <v/>
      </c>
      <c r="W1839" s="64" t="str">
        <f>Ringkasan!W1910</f>
        <v/>
      </c>
      <c r="X1839" s="64" t="str">
        <f>Ringkasan!X1910</f>
        <v/>
      </c>
      <c r="Y1839" s="64" t="str">
        <f>Ringkasan!Y1910</f>
        <v/>
      </c>
      <c r="Z1839" s="64" t="str">
        <f>Ringkasan!Z1910</f>
        <v/>
      </c>
      <c r="AA1839" s="64" t="str">
        <f>Ringkasan!AA1910</f>
        <v/>
      </c>
      <c r="AB1839" s="64" t="str">
        <f>Ringkasan!AB1910</f>
        <v/>
      </c>
    </row>
    <row r="1840">
      <c r="A1840" s="60" t="str">
        <f>Ringkasan!A1911</f>
        <v/>
      </c>
      <c r="B1840" s="60" t="str">
        <f>Ringkasan!B1911</f>
        <v/>
      </c>
      <c r="C1840" s="64" t="str">
        <f>Ringkasan!C1911</f>
        <v/>
      </c>
      <c r="D1840" s="64" t="str">
        <f>Ringkasan!D1911</f>
        <v/>
      </c>
      <c r="E1840" s="60" t="str">
        <f>Ringkasan!E1911</f>
        <v/>
      </c>
      <c r="F1840" s="60" t="str">
        <f>Ringkasan!F1911</f>
        <v/>
      </c>
      <c r="G1840" s="60" t="str">
        <f>Ringkasan!G1911</f>
        <v/>
      </c>
      <c r="H1840" s="60" t="str">
        <f>Ringkasan!H1911</f>
        <v/>
      </c>
      <c r="I1840" s="60" t="str">
        <f>Ringkasan!I1911</f>
        <v/>
      </c>
      <c r="J1840" s="60" t="str">
        <f>Ringkasan!J1911</f>
        <v/>
      </c>
      <c r="K1840" s="60" t="str">
        <f>Ringkasan!K1911</f>
        <v/>
      </c>
      <c r="L1840" s="60" t="str">
        <f>Ringkasan!L1911</f>
        <v/>
      </c>
      <c r="M1840" s="60" t="str">
        <f>Ringkasan!M1911</f>
        <v/>
      </c>
      <c r="N1840" s="60" t="str">
        <f>Ringkasan!N1911</f>
        <v/>
      </c>
      <c r="O1840" s="60" t="str">
        <f>Ringkasan!O1911</f>
        <v/>
      </c>
      <c r="P1840" s="60" t="str">
        <f>Ringkasan!P1911</f>
        <v/>
      </c>
      <c r="Q1840" s="60" t="str">
        <f>Ringkasan!Q1911</f>
        <v/>
      </c>
      <c r="R1840" s="60" t="str">
        <f>Ringkasan!R1911</f>
        <v/>
      </c>
      <c r="S1840" s="60" t="str">
        <f>Ringkasan!S1911</f>
        <v/>
      </c>
      <c r="T1840" s="60" t="str">
        <f>Ringkasan!T1911</f>
        <v/>
      </c>
      <c r="U1840" s="64" t="str">
        <f>Ringkasan!U1911</f>
        <v/>
      </c>
      <c r="V1840" s="64" t="str">
        <f>Ringkasan!V1911</f>
        <v/>
      </c>
      <c r="W1840" s="64" t="str">
        <f>Ringkasan!W1911</f>
        <v/>
      </c>
      <c r="X1840" s="64" t="str">
        <f>Ringkasan!X1911</f>
        <v/>
      </c>
      <c r="Y1840" s="64" t="str">
        <f>Ringkasan!Y1911</f>
        <v/>
      </c>
      <c r="Z1840" s="64" t="str">
        <f>Ringkasan!Z1911</f>
        <v/>
      </c>
      <c r="AA1840" s="64" t="str">
        <f>Ringkasan!AA1911</f>
        <v/>
      </c>
      <c r="AB1840" s="64" t="str">
        <f>Ringkasan!AB1911</f>
        <v/>
      </c>
    </row>
    <row r="1841">
      <c r="A1841" s="60" t="str">
        <f>Ringkasan!A1912</f>
        <v/>
      </c>
      <c r="B1841" s="60" t="str">
        <f>Ringkasan!B1912</f>
        <v/>
      </c>
      <c r="C1841" s="64" t="str">
        <f>Ringkasan!C1912</f>
        <v/>
      </c>
      <c r="D1841" s="64" t="str">
        <f>Ringkasan!D1912</f>
        <v/>
      </c>
      <c r="E1841" s="60" t="str">
        <f>Ringkasan!E1912</f>
        <v/>
      </c>
      <c r="F1841" s="60" t="str">
        <f>Ringkasan!F1912</f>
        <v/>
      </c>
      <c r="G1841" s="60" t="str">
        <f>Ringkasan!G1912</f>
        <v/>
      </c>
      <c r="H1841" s="60" t="str">
        <f>Ringkasan!H1912</f>
        <v/>
      </c>
      <c r="I1841" s="60" t="str">
        <f>Ringkasan!I1912</f>
        <v/>
      </c>
      <c r="J1841" s="60" t="str">
        <f>Ringkasan!J1912</f>
        <v/>
      </c>
      <c r="K1841" s="60" t="str">
        <f>Ringkasan!K1912</f>
        <v/>
      </c>
      <c r="L1841" s="60" t="str">
        <f>Ringkasan!L1912</f>
        <v/>
      </c>
      <c r="M1841" s="60" t="str">
        <f>Ringkasan!M1912</f>
        <v/>
      </c>
      <c r="N1841" s="60" t="str">
        <f>Ringkasan!N1912</f>
        <v/>
      </c>
      <c r="O1841" s="60" t="str">
        <f>Ringkasan!O1912</f>
        <v/>
      </c>
      <c r="P1841" s="60" t="str">
        <f>Ringkasan!P1912</f>
        <v/>
      </c>
      <c r="Q1841" s="60" t="str">
        <f>Ringkasan!Q1912</f>
        <v/>
      </c>
      <c r="R1841" s="60" t="str">
        <f>Ringkasan!R1912</f>
        <v/>
      </c>
      <c r="S1841" s="60" t="str">
        <f>Ringkasan!S1912</f>
        <v/>
      </c>
      <c r="T1841" s="60" t="str">
        <f>Ringkasan!T1912</f>
        <v/>
      </c>
      <c r="U1841" s="64" t="str">
        <f>Ringkasan!U1912</f>
        <v/>
      </c>
      <c r="V1841" s="64" t="str">
        <f>Ringkasan!V1912</f>
        <v/>
      </c>
      <c r="W1841" s="64" t="str">
        <f>Ringkasan!W1912</f>
        <v/>
      </c>
      <c r="X1841" s="64" t="str">
        <f>Ringkasan!X1912</f>
        <v/>
      </c>
      <c r="Y1841" s="64" t="str">
        <f>Ringkasan!Y1912</f>
        <v/>
      </c>
      <c r="Z1841" s="64" t="str">
        <f>Ringkasan!Z1912</f>
        <v/>
      </c>
      <c r="AA1841" s="64" t="str">
        <f>Ringkasan!AA1912</f>
        <v/>
      </c>
      <c r="AB1841" s="64" t="str">
        <f>Ringkasan!AB1912</f>
        <v/>
      </c>
    </row>
    <row r="1842">
      <c r="A1842" s="60" t="str">
        <f>Ringkasan!A1913</f>
        <v/>
      </c>
      <c r="B1842" s="60" t="str">
        <f>Ringkasan!B1913</f>
        <v/>
      </c>
      <c r="C1842" s="64" t="str">
        <f>Ringkasan!C1913</f>
        <v/>
      </c>
      <c r="D1842" s="64" t="str">
        <f>Ringkasan!D1913</f>
        <v/>
      </c>
      <c r="E1842" s="60" t="str">
        <f>Ringkasan!E1913</f>
        <v/>
      </c>
      <c r="F1842" s="60" t="str">
        <f>Ringkasan!F1913</f>
        <v/>
      </c>
      <c r="G1842" s="60" t="str">
        <f>Ringkasan!G1913</f>
        <v/>
      </c>
      <c r="H1842" s="60" t="str">
        <f>Ringkasan!H1913</f>
        <v/>
      </c>
      <c r="I1842" s="60" t="str">
        <f>Ringkasan!I1913</f>
        <v/>
      </c>
      <c r="J1842" s="60" t="str">
        <f>Ringkasan!J1913</f>
        <v/>
      </c>
      <c r="K1842" s="60" t="str">
        <f>Ringkasan!K1913</f>
        <v/>
      </c>
      <c r="L1842" s="60" t="str">
        <f>Ringkasan!L1913</f>
        <v/>
      </c>
      <c r="M1842" s="60" t="str">
        <f>Ringkasan!M1913</f>
        <v/>
      </c>
      <c r="N1842" s="60" t="str">
        <f>Ringkasan!N1913</f>
        <v/>
      </c>
      <c r="O1842" s="60" t="str">
        <f>Ringkasan!O1913</f>
        <v/>
      </c>
      <c r="P1842" s="60" t="str">
        <f>Ringkasan!P1913</f>
        <v/>
      </c>
      <c r="Q1842" s="60" t="str">
        <f>Ringkasan!Q1913</f>
        <v/>
      </c>
      <c r="R1842" s="60" t="str">
        <f>Ringkasan!R1913</f>
        <v/>
      </c>
      <c r="S1842" s="60" t="str">
        <f>Ringkasan!S1913</f>
        <v/>
      </c>
      <c r="T1842" s="60" t="str">
        <f>Ringkasan!T1913</f>
        <v/>
      </c>
      <c r="U1842" s="64" t="str">
        <f>Ringkasan!U1913</f>
        <v/>
      </c>
      <c r="V1842" s="64" t="str">
        <f>Ringkasan!V1913</f>
        <v/>
      </c>
      <c r="W1842" s="64" t="str">
        <f>Ringkasan!W1913</f>
        <v/>
      </c>
      <c r="X1842" s="64" t="str">
        <f>Ringkasan!X1913</f>
        <v/>
      </c>
      <c r="Y1842" s="64" t="str">
        <f>Ringkasan!Y1913</f>
        <v/>
      </c>
      <c r="Z1842" s="64" t="str">
        <f>Ringkasan!Z1913</f>
        <v/>
      </c>
      <c r="AA1842" s="64" t="str">
        <f>Ringkasan!AA1913</f>
        <v/>
      </c>
      <c r="AB1842" s="64" t="str">
        <f>Ringkasan!AB1913</f>
        <v/>
      </c>
    </row>
    <row r="1843">
      <c r="A1843" s="60" t="str">
        <f>Ringkasan!A1914</f>
        <v/>
      </c>
      <c r="B1843" s="60" t="str">
        <f>Ringkasan!B1914</f>
        <v/>
      </c>
      <c r="C1843" s="64" t="str">
        <f>Ringkasan!C1914</f>
        <v/>
      </c>
      <c r="D1843" s="64" t="str">
        <f>Ringkasan!D1914</f>
        <v/>
      </c>
      <c r="E1843" s="60" t="str">
        <f>Ringkasan!E1914</f>
        <v/>
      </c>
      <c r="F1843" s="60" t="str">
        <f>Ringkasan!F1914</f>
        <v/>
      </c>
      <c r="G1843" s="60" t="str">
        <f>Ringkasan!G1914</f>
        <v/>
      </c>
      <c r="H1843" s="60" t="str">
        <f>Ringkasan!H1914</f>
        <v/>
      </c>
      <c r="I1843" s="60" t="str">
        <f>Ringkasan!I1914</f>
        <v/>
      </c>
      <c r="J1843" s="60" t="str">
        <f>Ringkasan!J1914</f>
        <v/>
      </c>
      <c r="K1843" s="60" t="str">
        <f>Ringkasan!K1914</f>
        <v/>
      </c>
      <c r="L1843" s="60" t="str">
        <f>Ringkasan!L1914</f>
        <v/>
      </c>
      <c r="M1843" s="60" t="str">
        <f>Ringkasan!M1914</f>
        <v/>
      </c>
      <c r="N1843" s="60" t="str">
        <f>Ringkasan!N1914</f>
        <v/>
      </c>
      <c r="O1843" s="60" t="str">
        <f>Ringkasan!O1914</f>
        <v/>
      </c>
      <c r="P1843" s="60" t="str">
        <f>Ringkasan!P1914</f>
        <v/>
      </c>
      <c r="Q1843" s="60" t="str">
        <f>Ringkasan!Q1914</f>
        <v/>
      </c>
      <c r="R1843" s="60" t="str">
        <f>Ringkasan!R1914</f>
        <v/>
      </c>
      <c r="S1843" s="60" t="str">
        <f>Ringkasan!S1914</f>
        <v/>
      </c>
      <c r="T1843" s="60" t="str">
        <f>Ringkasan!T1914</f>
        <v/>
      </c>
      <c r="U1843" s="64" t="str">
        <f>Ringkasan!U1914</f>
        <v/>
      </c>
      <c r="V1843" s="64" t="str">
        <f>Ringkasan!V1914</f>
        <v/>
      </c>
      <c r="W1843" s="64" t="str">
        <f>Ringkasan!W1914</f>
        <v/>
      </c>
      <c r="X1843" s="64" t="str">
        <f>Ringkasan!X1914</f>
        <v/>
      </c>
      <c r="Y1843" s="64" t="str">
        <f>Ringkasan!Y1914</f>
        <v/>
      </c>
      <c r="Z1843" s="64" t="str">
        <f>Ringkasan!Z1914</f>
        <v/>
      </c>
      <c r="AA1843" s="64" t="str">
        <f>Ringkasan!AA1914</f>
        <v/>
      </c>
      <c r="AB1843" s="64" t="str">
        <f>Ringkasan!AB1914</f>
        <v/>
      </c>
    </row>
    <row r="1844">
      <c r="A1844" s="60" t="str">
        <f>Ringkasan!A1915</f>
        <v/>
      </c>
      <c r="B1844" s="60" t="str">
        <f>Ringkasan!B1915</f>
        <v/>
      </c>
      <c r="C1844" s="64" t="str">
        <f>Ringkasan!C1915</f>
        <v/>
      </c>
      <c r="D1844" s="64" t="str">
        <f>Ringkasan!D1915</f>
        <v/>
      </c>
      <c r="E1844" s="60" t="str">
        <f>Ringkasan!E1915</f>
        <v/>
      </c>
      <c r="F1844" s="60" t="str">
        <f>Ringkasan!F1915</f>
        <v/>
      </c>
      <c r="G1844" s="60" t="str">
        <f>Ringkasan!G1915</f>
        <v/>
      </c>
      <c r="H1844" s="60" t="str">
        <f>Ringkasan!H1915</f>
        <v/>
      </c>
      <c r="I1844" s="60" t="str">
        <f>Ringkasan!I1915</f>
        <v/>
      </c>
      <c r="J1844" s="60" t="str">
        <f>Ringkasan!J1915</f>
        <v/>
      </c>
      <c r="K1844" s="60" t="str">
        <f>Ringkasan!K1915</f>
        <v/>
      </c>
      <c r="L1844" s="60" t="str">
        <f>Ringkasan!L1915</f>
        <v/>
      </c>
      <c r="M1844" s="60" t="str">
        <f>Ringkasan!M1915</f>
        <v/>
      </c>
      <c r="N1844" s="60" t="str">
        <f>Ringkasan!N1915</f>
        <v/>
      </c>
      <c r="O1844" s="60" t="str">
        <f>Ringkasan!O1915</f>
        <v/>
      </c>
      <c r="P1844" s="60" t="str">
        <f>Ringkasan!P1915</f>
        <v/>
      </c>
      <c r="Q1844" s="60" t="str">
        <f>Ringkasan!Q1915</f>
        <v/>
      </c>
      <c r="R1844" s="60" t="str">
        <f>Ringkasan!R1915</f>
        <v/>
      </c>
      <c r="S1844" s="60" t="str">
        <f>Ringkasan!S1915</f>
        <v/>
      </c>
      <c r="T1844" s="60" t="str">
        <f>Ringkasan!T1915</f>
        <v/>
      </c>
      <c r="U1844" s="64" t="str">
        <f>Ringkasan!U1915</f>
        <v/>
      </c>
      <c r="V1844" s="64" t="str">
        <f>Ringkasan!V1915</f>
        <v/>
      </c>
      <c r="W1844" s="64" t="str">
        <f>Ringkasan!W1915</f>
        <v/>
      </c>
      <c r="X1844" s="64" t="str">
        <f>Ringkasan!X1915</f>
        <v/>
      </c>
      <c r="Y1844" s="64" t="str">
        <f>Ringkasan!Y1915</f>
        <v/>
      </c>
      <c r="Z1844" s="64" t="str">
        <f>Ringkasan!Z1915</f>
        <v/>
      </c>
      <c r="AA1844" s="64" t="str">
        <f>Ringkasan!AA1915</f>
        <v/>
      </c>
      <c r="AB1844" s="64" t="str">
        <f>Ringkasan!AB1915</f>
        <v/>
      </c>
    </row>
    <row r="1845">
      <c r="A1845" s="60" t="str">
        <f>Ringkasan!A1916</f>
        <v/>
      </c>
      <c r="B1845" s="60" t="str">
        <f>Ringkasan!B1916</f>
        <v/>
      </c>
      <c r="C1845" s="64" t="str">
        <f>Ringkasan!C1916</f>
        <v/>
      </c>
      <c r="D1845" s="64" t="str">
        <f>Ringkasan!D1916</f>
        <v/>
      </c>
      <c r="E1845" s="60" t="str">
        <f>Ringkasan!E1916</f>
        <v/>
      </c>
      <c r="F1845" s="60" t="str">
        <f>Ringkasan!F1916</f>
        <v/>
      </c>
      <c r="G1845" s="60" t="str">
        <f>Ringkasan!G1916</f>
        <v/>
      </c>
      <c r="H1845" s="60" t="str">
        <f>Ringkasan!H1916</f>
        <v/>
      </c>
      <c r="I1845" s="60" t="str">
        <f>Ringkasan!I1916</f>
        <v/>
      </c>
      <c r="J1845" s="60" t="str">
        <f>Ringkasan!J1916</f>
        <v/>
      </c>
      <c r="K1845" s="60" t="str">
        <f>Ringkasan!K1916</f>
        <v/>
      </c>
      <c r="L1845" s="60" t="str">
        <f>Ringkasan!L1916</f>
        <v/>
      </c>
      <c r="M1845" s="60" t="str">
        <f>Ringkasan!M1916</f>
        <v/>
      </c>
      <c r="N1845" s="60" t="str">
        <f>Ringkasan!N1916</f>
        <v/>
      </c>
      <c r="O1845" s="60" t="str">
        <f>Ringkasan!O1916</f>
        <v/>
      </c>
      <c r="P1845" s="60" t="str">
        <f>Ringkasan!P1916</f>
        <v/>
      </c>
      <c r="Q1845" s="60" t="str">
        <f>Ringkasan!Q1916</f>
        <v/>
      </c>
      <c r="R1845" s="60" t="str">
        <f>Ringkasan!R1916</f>
        <v/>
      </c>
      <c r="S1845" s="60" t="str">
        <f>Ringkasan!S1916</f>
        <v/>
      </c>
      <c r="T1845" s="60" t="str">
        <f>Ringkasan!T1916</f>
        <v/>
      </c>
      <c r="U1845" s="64" t="str">
        <f>Ringkasan!U1916</f>
        <v/>
      </c>
      <c r="V1845" s="64" t="str">
        <f>Ringkasan!V1916</f>
        <v/>
      </c>
      <c r="W1845" s="64" t="str">
        <f>Ringkasan!W1916</f>
        <v/>
      </c>
      <c r="X1845" s="64" t="str">
        <f>Ringkasan!X1916</f>
        <v/>
      </c>
      <c r="Y1845" s="64" t="str">
        <f>Ringkasan!Y1916</f>
        <v/>
      </c>
      <c r="Z1845" s="64" t="str">
        <f>Ringkasan!Z1916</f>
        <v/>
      </c>
      <c r="AA1845" s="64" t="str">
        <f>Ringkasan!AA1916</f>
        <v/>
      </c>
      <c r="AB1845" s="64" t="str">
        <f>Ringkasan!AB1916</f>
        <v/>
      </c>
    </row>
    <row r="1846">
      <c r="A1846" s="60" t="str">
        <f>Ringkasan!A1917</f>
        <v/>
      </c>
      <c r="B1846" s="60" t="str">
        <f>Ringkasan!B1917</f>
        <v/>
      </c>
      <c r="C1846" s="64" t="str">
        <f>Ringkasan!C1917</f>
        <v/>
      </c>
      <c r="D1846" s="64" t="str">
        <f>Ringkasan!D1917</f>
        <v/>
      </c>
      <c r="E1846" s="60" t="str">
        <f>Ringkasan!E1917</f>
        <v/>
      </c>
      <c r="F1846" s="60" t="str">
        <f>Ringkasan!F1917</f>
        <v/>
      </c>
      <c r="G1846" s="60" t="str">
        <f>Ringkasan!G1917</f>
        <v/>
      </c>
      <c r="H1846" s="60" t="str">
        <f>Ringkasan!H1917</f>
        <v/>
      </c>
      <c r="I1846" s="60" t="str">
        <f>Ringkasan!I1917</f>
        <v/>
      </c>
      <c r="J1846" s="60" t="str">
        <f>Ringkasan!J1917</f>
        <v/>
      </c>
      <c r="K1846" s="60" t="str">
        <f>Ringkasan!K1917</f>
        <v/>
      </c>
      <c r="L1846" s="60" t="str">
        <f>Ringkasan!L1917</f>
        <v/>
      </c>
      <c r="M1846" s="60" t="str">
        <f>Ringkasan!M1917</f>
        <v/>
      </c>
      <c r="N1846" s="60" t="str">
        <f>Ringkasan!N1917</f>
        <v/>
      </c>
      <c r="O1846" s="60" t="str">
        <f>Ringkasan!O1917</f>
        <v/>
      </c>
      <c r="P1846" s="60" t="str">
        <f>Ringkasan!P1917</f>
        <v/>
      </c>
      <c r="Q1846" s="60" t="str">
        <f>Ringkasan!Q1917</f>
        <v/>
      </c>
      <c r="R1846" s="60" t="str">
        <f>Ringkasan!R1917</f>
        <v/>
      </c>
      <c r="S1846" s="60" t="str">
        <f>Ringkasan!S1917</f>
        <v/>
      </c>
      <c r="T1846" s="60" t="str">
        <f>Ringkasan!T1917</f>
        <v/>
      </c>
      <c r="U1846" s="64" t="str">
        <f>Ringkasan!U1917</f>
        <v/>
      </c>
      <c r="V1846" s="64" t="str">
        <f>Ringkasan!V1917</f>
        <v/>
      </c>
      <c r="W1846" s="64" t="str">
        <f>Ringkasan!W1917</f>
        <v/>
      </c>
      <c r="X1846" s="64" t="str">
        <f>Ringkasan!X1917</f>
        <v/>
      </c>
      <c r="Y1846" s="64" t="str">
        <f>Ringkasan!Y1917</f>
        <v/>
      </c>
      <c r="Z1846" s="64" t="str">
        <f>Ringkasan!Z1917</f>
        <v/>
      </c>
      <c r="AA1846" s="64" t="str">
        <f>Ringkasan!AA1917</f>
        <v/>
      </c>
      <c r="AB1846" s="64" t="str">
        <f>Ringkasan!AB1917</f>
        <v/>
      </c>
    </row>
    <row r="1847">
      <c r="A1847" s="60" t="str">
        <f>Ringkasan!A1918</f>
        <v/>
      </c>
      <c r="B1847" s="60" t="str">
        <f>Ringkasan!B1918</f>
        <v/>
      </c>
      <c r="C1847" s="64" t="str">
        <f>Ringkasan!C1918</f>
        <v/>
      </c>
      <c r="D1847" s="64" t="str">
        <f>Ringkasan!D1918</f>
        <v/>
      </c>
      <c r="E1847" s="60" t="str">
        <f>Ringkasan!E1918</f>
        <v/>
      </c>
      <c r="F1847" s="60" t="str">
        <f>Ringkasan!F1918</f>
        <v/>
      </c>
      <c r="G1847" s="60" t="str">
        <f>Ringkasan!G1918</f>
        <v/>
      </c>
      <c r="H1847" s="60" t="str">
        <f>Ringkasan!H1918</f>
        <v/>
      </c>
      <c r="I1847" s="60" t="str">
        <f>Ringkasan!I1918</f>
        <v/>
      </c>
      <c r="J1847" s="60" t="str">
        <f>Ringkasan!J1918</f>
        <v/>
      </c>
      <c r="K1847" s="60" t="str">
        <f>Ringkasan!K1918</f>
        <v/>
      </c>
      <c r="L1847" s="60" t="str">
        <f>Ringkasan!L1918</f>
        <v/>
      </c>
      <c r="M1847" s="60" t="str">
        <f>Ringkasan!M1918</f>
        <v/>
      </c>
      <c r="N1847" s="60" t="str">
        <f>Ringkasan!N1918</f>
        <v/>
      </c>
      <c r="O1847" s="60" t="str">
        <f>Ringkasan!O1918</f>
        <v/>
      </c>
      <c r="P1847" s="60" t="str">
        <f>Ringkasan!P1918</f>
        <v/>
      </c>
      <c r="Q1847" s="60" t="str">
        <f>Ringkasan!Q1918</f>
        <v/>
      </c>
      <c r="R1847" s="60" t="str">
        <f>Ringkasan!R1918</f>
        <v/>
      </c>
      <c r="S1847" s="60" t="str">
        <f>Ringkasan!S1918</f>
        <v/>
      </c>
      <c r="T1847" s="60" t="str">
        <f>Ringkasan!T1918</f>
        <v/>
      </c>
      <c r="U1847" s="64" t="str">
        <f>Ringkasan!U1918</f>
        <v/>
      </c>
      <c r="V1847" s="64" t="str">
        <f>Ringkasan!V1918</f>
        <v/>
      </c>
      <c r="W1847" s="64" t="str">
        <f>Ringkasan!W1918</f>
        <v/>
      </c>
      <c r="X1847" s="64" t="str">
        <f>Ringkasan!X1918</f>
        <v/>
      </c>
      <c r="Y1847" s="64" t="str">
        <f>Ringkasan!Y1918</f>
        <v/>
      </c>
      <c r="Z1847" s="64" t="str">
        <f>Ringkasan!Z1918</f>
        <v/>
      </c>
      <c r="AA1847" s="64" t="str">
        <f>Ringkasan!AA1918</f>
        <v/>
      </c>
      <c r="AB1847" s="64" t="str">
        <f>Ringkasan!AB1918</f>
        <v/>
      </c>
    </row>
    <row r="1848">
      <c r="A1848" s="60" t="str">
        <f>Ringkasan!A1919</f>
        <v/>
      </c>
      <c r="B1848" s="60" t="str">
        <f>Ringkasan!B1919</f>
        <v/>
      </c>
      <c r="C1848" s="64" t="str">
        <f>Ringkasan!C1919</f>
        <v/>
      </c>
      <c r="D1848" s="64" t="str">
        <f>Ringkasan!D1919</f>
        <v/>
      </c>
      <c r="E1848" s="60" t="str">
        <f>Ringkasan!E1919</f>
        <v/>
      </c>
      <c r="F1848" s="60" t="str">
        <f>Ringkasan!F1919</f>
        <v/>
      </c>
      <c r="G1848" s="60" t="str">
        <f>Ringkasan!G1919</f>
        <v/>
      </c>
      <c r="H1848" s="60" t="str">
        <f>Ringkasan!H1919</f>
        <v/>
      </c>
      <c r="I1848" s="60" t="str">
        <f>Ringkasan!I1919</f>
        <v/>
      </c>
      <c r="J1848" s="60" t="str">
        <f>Ringkasan!J1919</f>
        <v/>
      </c>
      <c r="K1848" s="60" t="str">
        <f>Ringkasan!K1919</f>
        <v/>
      </c>
      <c r="L1848" s="60" t="str">
        <f>Ringkasan!L1919</f>
        <v/>
      </c>
      <c r="M1848" s="60" t="str">
        <f>Ringkasan!M1919</f>
        <v/>
      </c>
      <c r="N1848" s="60" t="str">
        <f>Ringkasan!N1919</f>
        <v/>
      </c>
      <c r="O1848" s="60" t="str">
        <f>Ringkasan!O1919</f>
        <v/>
      </c>
      <c r="P1848" s="60" t="str">
        <f>Ringkasan!P1919</f>
        <v/>
      </c>
      <c r="Q1848" s="60" t="str">
        <f>Ringkasan!Q1919</f>
        <v/>
      </c>
      <c r="R1848" s="60" t="str">
        <f>Ringkasan!R1919</f>
        <v/>
      </c>
      <c r="S1848" s="60" t="str">
        <f>Ringkasan!S1919</f>
        <v/>
      </c>
      <c r="T1848" s="60" t="str">
        <f>Ringkasan!T1919</f>
        <v/>
      </c>
      <c r="U1848" s="64" t="str">
        <f>Ringkasan!U1919</f>
        <v/>
      </c>
      <c r="V1848" s="64" t="str">
        <f>Ringkasan!V1919</f>
        <v/>
      </c>
      <c r="W1848" s="64" t="str">
        <f>Ringkasan!W1919</f>
        <v/>
      </c>
      <c r="X1848" s="64" t="str">
        <f>Ringkasan!X1919</f>
        <v/>
      </c>
      <c r="Y1848" s="64" t="str">
        <f>Ringkasan!Y1919</f>
        <v/>
      </c>
      <c r="Z1848" s="64" t="str">
        <f>Ringkasan!Z1919</f>
        <v/>
      </c>
      <c r="AA1848" s="64" t="str">
        <f>Ringkasan!AA1919</f>
        <v/>
      </c>
      <c r="AB1848" s="64" t="str">
        <f>Ringkasan!AB1919</f>
        <v/>
      </c>
    </row>
    <row r="1849">
      <c r="A1849" s="60" t="str">
        <f>Ringkasan!A1920</f>
        <v/>
      </c>
      <c r="B1849" s="60" t="str">
        <f>Ringkasan!B1920</f>
        <v/>
      </c>
      <c r="C1849" s="64" t="str">
        <f>Ringkasan!C1920</f>
        <v/>
      </c>
      <c r="D1849" s="64" t="str">
        <f>Ringkasan!D1920</f>
        <v/>
      </c>
      <c r="E1849" s="60" t="str">
        <f>Ringkasan!E1920</f>
        <v/>
      </c>
      <c r="F1849" s="60" t="str">
        <f>Ringkasan!F1920</f>
        <v/>
      </c>
      <c r="G1849" s="60" t="str">
        <f>Ringkasan!G1920</f>
        <v/>
      </c>
      <c r="H1849" s="60" t="str">
        <f>Ringkasan!H1920</f>
        <v/>
      </c>
      <c r="I1849" s="60" t="str">
        <f>Ringkasan!I1920</f>
        <v/>
      </c>
      <c r="J1849" s="60" t="str">
        <f>Ringkasan!J1920</f>
        <v/>
      </c>
      <c r="K1849" s="60" t="str">
        <f>Ringkasan!K1920</f>
        <v/>
      </c>
      <c r="L1849" s="60" t="str">
        <f>Ringkasan!L1920</f>
        <v/>
      </c>
      <c r="M1849" s="60" t="str">
        <f>Ringkasan!M1920</f>
        <v/>
      </c>
      <c r="N1849" s="60" t="str">
        <f>Ringkasan!N1920</f>
        <v/>
      </c>
      <c r="O1849" s="60" t="str">
        <f>Ringkasan!O1920</f>
        <v/>
      </c>
      <c r="P1849" s="60" t="str">
        <f>Ringkasan!P1920</f>
        <v/>
      </c>
      <c r="Q1849" s="60" t="str">
        <f>Ringkasan!Q1920</f>
        <v/>
      </c>
      <c r="R1849" s="60" t="str">
        <f>Ringkasan!R1920</f>
        <v/>
      </c>
      <c r="S1849" s="60" t="str">
        <f>Ringkasan!S1920</f>
        <v/>
      </c>
      <c r="T1849" s="60" t="str">
        <f>Ringkasan!T1920</f>
        <v/>
      </c>
      <c r="U1849" s="64" t="str">
        <f>Ringkasan!U1920</f>
        <v/>
      </c>
      <c r="V1849" s="64" t="str">
        <f>Ringkasan!V1920</f>
        <v/>
      </c>
      <c r="W1849" s="64" t="str">
        <f>Ringkasan!W1920</f>
        <v/>
      </c>
      <c r="X1849" s="64" t="str">
        <f>Ringkasan!X1920</f>
        <v/>
      </c>
      <c r="Y1849" s="64" t="str">
        <f>Ringkasan!Y1920</f>
        <v/>
      </c>
      <c r="Z1849" s="64" t="str">
        <f>Ringkasan!Z1920</f>
        <v/>
      </c>
      <c r="AA1849" s="64" t="str">
        <f>Ringkasan!AA1920</f>
        <v/>
      </c>
      <c r="AB1849" s="64" t="str">
        <f>Ringkasan!AB1920</f>
        <v/>
      </c>
    </row>
    <row r="1850">
      <c r="A1850" s="60" t="str">
        <f>Ringkasan!A1921</f>
        <v/>
      </c>
      <c r="B1850" s="60" t="str">
        <f>Ringkasan!B1921</f>
        <v/>
      </c>
      <c r="C1850" s="64" t="str">
        <f>Ringkasan!C1921</f>
        <v/>
      </c>
      <c r="D1850" s="64" t="str">
        <f>Ringkasan!D1921</f>
        <v/>
      </c>
      <c r="E1850" s="60" t="str">
        <f>Ringkasan!E1921</f>
        <v/>
      </c>
      <c r="F1850" s="60" t="str">
        <f>Ringkasan!F1921</f>
        <v/>
      </c>
      <c r="G1850" s="60" t="str">
        <f>Ringkasan!G1921</f>
        <v/>
      </c>
      <c r="H1850" s="60" t="str">
        <f>Ringkasan!H1921</f>
        <v/>
      </c>
      <c r="I1850" s="60" t="str">
        <f>Ringkasan!I1921</f>
        <v/>
      </c>
      <c r="J1850" s="60" t="str">
        <f>Ringkasan!J1921</f>
        <v/>
      </c>
      <c r="K1850" s="60" t="str">
        <f>Ringkasan!K1921</f>
        <v/>
      </c>
      <c r="L1850" s="60" t="str">
        <f>Ringkasan!L1921</f>
        <v/>
      </c>
      <c r="M1850" s="60" t="str">
        <f>Ringkasan!M1921</f>
        <v/>
      </c>
      <c r="N1850" s="60" t="str">
        <f>Ringkasan!N1921</f>
        <v/>
      </c>
      <c r="O1850" s="60" t="str">
        <f>Ringkasan!O1921</f>
        <v/>
      </c>
      <c r="P1850" s="60" t="str">
        <f>Ringkasan!P1921</f>
        <v/>
      </c>
      <c r="Q1850" s="60" t="str">
        <f>Ringkasan!Q1921</f>
        <v/>
      </c>
      <c r="R1850" s="60" t="str">
        <f>Ringkasan!R1921</f>
        <v/>
      </c>
      <c r="S1850" s="60" t="str">
        <f>Ringkasan!S1921</f>
        <v/>
      </c>
      <c r="T1850" s="60" t="str">
        <f>Ringkasan!T1921</f>
        <v/>
      </c>
      <c r="U1850" s="64" t="str">
        <f>Ringkasan!U1921</f>
        <v/>
      </c>
      <c r="V1850" s="64" t="str">
        <f>Ringkasan!V1921</f>
        <v/>
      </c>
      <c r="W1850" s="64" t="str">
        <f>Ringkasan!W1921</f>
        <v/>
      </c>
      <c r="X1850" s="64" t="str">
        <f>Ringkasan!X1921</f>
        <v/>
      </c>
      <c r="Y1850" s="64" t="str">
        <f>Ringkasan!Y1921</f>
        <v/>
      </c>
      <c r="Z1850" s="64" t="str">
        <f>Ringkasan!Z1921</f>
        <v/>
      </c>
      <c r="AA1850" s="64" t="str">
        <f>Ringkasan!AA1921</f>
        <v/>
      </c>
      <c r="AB1850" s="64" t="str">
        <f>Ringkasan!AB1921</f>
        <v/>
      </c>
    </row>
    <row r="1851">
      <c r="A1851" s="60" t="str">
        <f>Ringkasan!A1922</f>
        <v/>
      </c>
      <c r="B1851" s="60" t="str">
        <f>Ringkasan!B1922</f>
        <v/>
      </c>
      <c r="C1851" s="64" t="str">
        <f>Ringkasan!C1922</f>
        <v/>
      </c>
      <c r="D1851" s="64" t="str">
        <f>Ringkasan!D1922</f>
        <v/>
      </c>
      <c r="E1851" s="60" t="str">
        <f>Ringkasan!E1922</f>
        <v/>
      </c>
      <c r="F1851" s="60" t="str">
        <f>Ringkasan!F1922</f>
        <v/>
      </c>
      <c r="G1851" s="60" t="str">
        <f>Ringkasan!G1922</f>
        <v/>
      </c>
      <c r="H1851" s="60" t="str">
        <f>Ringkasan!H1922</f>
        <v/>
      </c>
      <c r="I1851" s="60" t="str">
        <f>Ringkasan!I1922</f>
        <v/>
      </c>
      <c r="J1851" s="60" t="str">
        <f>Ringkasan!J1922</f>
        <v/>
      </c>
      <c r="K1851" s="60" t="str">
        <f>Ringkasan!K1922</f>
        <v/>
      </c>
      <c r="L1851" s="60" t="str">
        <f>Ringkasan!L1922</f>
        <v/>
      </c>
      <c r="M1851" s="60" t="str">
        <f>Ringkasan!M1922</f>
        <v/>
      </c>
      <c r="N1851" s="60" t="str">
        <f>Ringkasan!N1922</f>
        <v/>
      </c>
      <c r="O1851" s="60" t="str">
        <f>Ringkasan!O1922</f>
        <v/>
      </c>
      <c r="P1851" s="60" t="str">
        <f>Ringkasan!P1922</f>
        <v/>
      </c>
      <c r="Q1851" s="60" t="str">
        <f>Ringkasan!Q1922</f>
        <v/>
      </c>
      <c r="R1851" s="60" t="str">
        <f>Ringkasan!R1922</f>
        <v/>
      </c>
      <c r="S1851" s="60" t="str">
        <f>Ringkasan!S1922</f>
        <v/>
      </c>
      <c r="T1851" s="60" t="str">
        <f>Ringkasan!T1922</f>
        <v/>
      </c>
      <c r="U1851" s="64" t="str">
        <f>Ringkasan!U1922</f>
        <v/>
      </c>
      <c r="V1851" s="64" t="str">
        <f>Ringkasan!V1922</f>
        <v/>
      </c>
      <c r="W1851" s="64" t="str">
        <f>Ringkasan!W1922</f>
        <v/>
      </c>
      <c r="X1851" s="64" t="str">
        <f>Ringkasan!X1922</f>
        <v/>
      </c>
      <c r="Y1851" s="64" t="str">
        <f>Ringkasan!Y1922</f>
        <v/>
      </c>
      <c r="Z1851" s="64" t="str">
        <f>Ringkasan!Z1922</f>
        <v/>
      </c>
      <c r="AA1851" s="64" t="str">
        <f>Ringkasan!AA1922</f>
        <v/>
      </c>
      <c r="AB1851" s="64" t="str">
        <f>Ringkasan!AB1922</f>
        <v/>
      </c>
    </row>
    <row r="1852">
      <c r="A1852" s="60" t="str">
        <f>Ringkasan!A1923</f>
        <v/>
      </c>
      <c r="B1852" s="60" t="str">
        <f>Ringkasan!B1923</f>
        <v/>
      </c>
      <c r="C1852" s="64" t="str">
        <f>Ringkasan!C1923</f>
        <v/>
      </c>
      <c r="D1852" s="64" t="str">
        <f>Ringkasan!D1923</f>
        <v/>
      </c>
      <c r="E1852" s="60" t="str">
        <f>Ringkasan!E1923</f>
        <v/>
      </c>
      <c r="F1852" s="60" t="str">
        <f>Ringkasan!F1923</f>
        <v/>
      </c>
      <c r="G1852" s="60" t="str">
        <f>Ringkasan!G1923</f>
        <v/>
      </c>
      <c r="H1852" s="60" t="str">
        <f>Ringkasan!H1923</f>
        <v/>
      </c>
      <c r="I1852" s="60" t="str">
        <f>Ringkasan!I1923</f>
        <v/>
      </c>
      <c r="J1852" s="60" t="str">
        <f>Ringkasan!J1923</f>
        <v/>
      </c>
      <c r="K1852" s="60" t="str">
        <f>Ringkasan!K1923</f>
        <v/>
      </c>
      <c r="L1852" s="60" t="str">
        <f>Ringkasan!L1923</f>
        <v/>
      </c>
      <c r="M1852" s="60" t="str">
        <f>Ringkasan!M1923</f>
        <v/>
      </c>
      <c r="N1852" s="60" t="str">
        <f>Ringkasan!N1923</f>
        <v/>
      </c>
      <c r="O1852" s="60" t="str">
        <f>Ringkasan!O1923</f>
        <v/>
      </c>
      <c r="P1852" s="60" t="str">
        <f>Ringkasan!P1923</f>
        <v/>
      </c>
      <c r="Q1852" s="60" t="str">
        <f>Ringkasan!Q1923</f>
        <v/>
      </c>
      <c r="R1852" s="60" t="str">
        <f>Ringkasan!R1923</f>
        <v/>
      </c>
      <c r="S1852" s="60" t="str">
        <f>Ringkasan!S1923</f>
        <v/>
      </c>
      <c r="T1852" s="60" t="str">
        <f>Ringkasan!T1923</f>
        <v/>
      </c>
      <c r="U1852" s="64" t="str">
        <f>Ringkasan!U1923</f>
        <v/>
      </c>
      <c r="V1852" s="64" t="str">
        <f>Ringkasan!V1923</f>
        <v/>
      </c>
      <c r="W1852" s="64" t="str">
        <f>Ringkasan!W1923</f>
        <v/>
      </c>
      <c r="X1852" s="64" t="str">
        <f>Ringkasan!X1923</f>
        <v/>
      </c>
      <c r="Y1852" s="64" t="str">
        <f>Ringkasan!Y1923</f>
        <v/>
      </c>
      <c r="Z1852" s="64" t="str">
        <f>Ringkasan!Z1923</f>
        <v/>
      </c>
      <c r="AA1852" s="64" t="str">
        <f>Ringkasan!AA1923</f>
        <v/>
      </c>
      <c r="AB1852" s="64" t="str">
        <f>Ringkasan!AB1923</f>
        <v/>
      </c>
    </row>
    <row r="1853">
      <c r="A1853" s="60" t="str">
        <f>Ringkasan!A1924</f>
        <v/>
      </c>
      <c r="B1853" s="60" t="str">
        <f>Ringkasan!B1924</f>
        <v/>
      </c>
      <c r="C1853" s="64" t="str">
        <f>Ringkasan!C1924</f>
        <v/>
      </c>
      <c r="D1853" s="64" t="str">
        <f>Ringkasan!D1924</f>
        <v/>
      </c>
      <c r="E1853" s="60" t="str">
        <f>Ringkasan!E1924</f>
        <v/>
      </c>
      <c r="F1853" s="60" t="str">
        <f>Ringkasan!F1924</f>
        <v/>
      </c>
      <c r="G1853" s="60" t="str">
        <f>Ringkasan!G1924</f>
        <v/>
      </c>
      <c r="H1853" s="60" t="str">
        <f>Ringkasan!H1924</f>
        <v/>
      </c>
      <c r="I1853" s="60" t="str">
        <f>Ringkasan!I1924</f>
        <v/>
      </c>
      <c r="J1853" s="60" t="str">
        <f>Ringkasan!J1924</f>
        <v/>
      </c>
      <c r="K1853" s="60" t="str">
        <f>Ringkasan!K1924</f>
        <v/>
      </c>
      <c r="L1853" s="60" t="str">
        <f>Ringkasan!L1924</f>
        <v/>
      </c>
      <c r="M1853" s="60" t="str">
        <f>Ringkasan!M1924</f>
        <v/>
      </c>
      <c r="N1853" s="60" t="str">
        <f>Ringkasan!N1924</f>
        <v/>
      </c>
      <c r="O1853" s="60" t="str">
        <f>Ringkasan!O1924</f>
        <v/>
      </c>
      <c r="P1853" s="60" t="str">
        <f>Ringkasan!P1924</f>
        <v/>
      </c>
      <c r="Q1853" s="60" t="str">
        <f>Ringkasan!Q1924</f>
        <v/>
      </c>
      <c r="R1853" s="60" t="str">
        <f>Ringkasan!R1924</f>
        <v/>
      </c>
      <c r="S1853" s="60" t="str">
        <f>Ringkasan!S1924</f>
        <v/>
      </c>
      <c r="T1853" s="60" t="str">
        <f>Ringkasan!T1924</f>
        <v/>
      </c>
      <c r="U1853" s="64" t="str">
        <f>Ringkasan!U1924</f>
        <v/>
      </c>
      <c r="V1853" s="64" t="str">
        <f>Ringkasan!V1924</f>
        <v/>
      </c>
      <c r="W1853" s="64" t="str">
        <f>Ringkasan!W1924</f>
        <v/>
      </c>
      <c r="X1853" s="64" t="str">
        <f>Ringkasan!X1924</f>
        <v/>
      </c>
      <c r="Y1853" s="64" t="str">
        <f>Ringkasan!Y1924</f>
        <v/>
      </c>
      <c r="Z1853" s="64" t="str">
        <f>Ringkasan!Z1924</f>
        <v/>
      </c>
      <c r="AA1853" s="64" t="str">
        <f>Ringkasan!AA1924</f>
        <v/>
      </c>
      <c r="AB1853" s="64" t="str">
        <f>Ringkasan!AB1924</f>
        <v/>
      </c>
    </row>
    <row r="1854">
      <c r="A1854" s="60" t="str">
        <f>Ringkasan!A1925</f>
        <v/>
      </c>
      <c r="B1854" s="60" t="str">
        <f>Ringkasan!B1925</f>
        <v/>
      </c>
      <c r="C1854" s="64" t="str">
        <f>Ringkasan!C1925</f>
        <v/>
      </c>
      <c r="D1854" s="64" t="str">
        <f>Ringkasan!D1925</f>
        <v/>
      </c>
      <c r="E1854" s="60" t="str">
        <f>Ringkasan!E1925</f>
        <v/>
      </c>
      <c r="F1854" s="60" t="str">
        <f>Ringkasan!F1925</f>
        <v/>
      </c>
      <c r="G1854" s="60" t="str">
        <f>Ringkasan!G1925</f>
        <v/>
      </c>
      <c r="H1854" s="60" t="str">
        <f>Ringkasan!H1925</f>
        <v/>
      </c>
      <c r="I1854" s="60" t="str">
        <f>Ringkasan!I1925</f>
        <v/>
      </c>
      <c r="J1854" s="60" t="str">
        <f>Ringkasan!J1925</f>
        <v/>
      </c>
      <c r="K1854" s="60" t="str">
        <f>Ringkasan!K1925</f>
        <v/>
      </c>
      <c r="L1854" s="60" t="str">
        <f>Ringkasan!L1925</f>
        <v/>
      </c>
      <c r="M1854" s="60" t="str">
        <f>Ringkasan!M1925</f>
        <v/>
      </c>
      <c r="N1854" s="60" t="str">
        <f>Ringkasan!N1925</f>
        <v/>
      </c>
      <c r="O1854" s="60" t="str">
        <f>Ringkasan!O1925</f>
        <v/>
      </c>
      <c r="P1854" s="60" t="str">
        <f>Ringkasan!P1925</f>
        <v/>
      </c>
      <c r="Q1854" s="60" t="str">
        <f>Ringkasan!Q1925</f>
        <v/>
      </c>
      <c r="R1854" s="60" t="str">
        <f>Ringkasan!R1925</f>
        <v/>
      </c>
      <c r="S1854" s="60" t="str">
        <f>Ringkasan!S1925</f>
        <v/>
      </c>
      <c r="T1854" s="60" t="str">
        <f>Ringkasan!T1925</f>
        <v/>
      </c>
      <c r="U1854" s="64" t="str">
        <f>Ringkasan!U1925</f>
        <v/>
      </c>
      <c r="V1854" s="64" t="str">
        <f>Ringkasan!V1925</f>
        <v/>
      </c>
      <c r="W1854" s="64" t="str">
        <f>Ringkasan!W1925</f>
        <v/>
      </c>
      <c r="X1854" s="64" t="str">
        <f>Ringkasan!X1925</f>
        <v/>
      </c>
      <c r="Y1854" s="64" t="str">
        <f>Ringkasan!Y1925</f>
        <v/>
      </c>
      <c r="Z1854" s="64" t="str">
        <f>Ringkasan!Z1925</f>
        <v/>
      </c>
      <c r="AA1854" s="64" t="str">
        <f>Ringkasan!AA1925</f>
        <v/>
      </c>
      <c r="AB1854" s="64" t="str">
        <f>Ringkasan!AB1925</f>
        <v/>
      </c>
    </row>
    <row r="1855">
      <c r="A1855" s="60" t="str">
        <f>Ringkasan!A1926</f>
        <v/>
      </c>
      <c r="B1855" s="60" t="str">
        <f>Ringkasan!B1926</f>
        <v/>
      </c>
      <c r="C1855" s="64" t="str">
        <f>Ringkasan!C1926</f>
        <v/>
      </c>
      <c r="D1855" s="64" t="str">
        <f>Ringkasan!D1926</f>
        <v/>
      </c>
      <c r="E1855" s="60" t="str">
        <f>Ringkasan!E1926</f>
        <v/>
      </c>
      <c r="F1855" s="60" t="str">
        <f>Ringkasan!F1926</f>
        <v/>
      </c>
      <c r="G1855" s="60" t="str">
        <f>Ringkasan!G1926</f>
        <v/>
      </c>
      <c r="H1855" s="60" t="str">
        <f>Ringkasan!H1926</f>
        <v/>
      </c>
      <c r="I1855" s="60" t="str">
        <f>Ringkasan!I1926</f>
        <v/>
      </c>
      <c r="J1855" s="60" t="str">
        <f>Ringkasan!J1926</f>
        <v/>
      </c>
      <c r="K1855" s="60" t="str">
        <f>Ringkasan!K1926</f>
        <v/>
      </c>
      <c r="L1855" s="60" t="str">
        <f>Ringkasan!L1926</f>
        <v/>
      </c>
      <c r="M1855" s="60" t="str">
        <f>Ringkasan!M1926</f>
        <v/>
      </c>
      <c r="N1855" s="60" t="str">
        <f>Ringkasan!N1926</f>
        <v/>
      </c>
      <c r="O1855" s="60" t="str">
        <f>Ringkasan!O1926</f>
        <v/>
      </c>
      <c r="P1855" s="60" t="str">
        <f>Ringkasan!P1926</f>
        <v/>
      </c>
      <c r="Q1855" s="60" t="str">
        <f>Ringkasan!Q1926</f>
        <v/>
      </c>
      <c r="R1855" s="60" t="str">
        <f>Ringkasan!R1926</f>
        <v/>
      </c>
      <c r="S1855" s="60" t="str">
        <f>Ringkasan!S1926</f>
        <v/>
      </c>
      <c r="T1855" s="60" t="str">
        <f>Ringkasan!T1926</f>
        <v/>
      </c>
      <c r="U1855" s="64" t="str">
        <f>Ringkasan!U1926</f>
        <v/>
      </c>
      <c r="V1855" s="64" t="str">
        <f>Ringkasan!V1926</f>
        <v/>
      </c>
      <c r="W1855" s="64" t="str">
        <f>Ringkasan!W1926</f>
        <v/>
      </c>
      <c r="X1855" s="64" t="str">
        <f>Ringkasan!X1926</f>
        <v/>
      </c>
      <c r="Y1855" s="64" t="str">
        <f>Ringkasan!Y1926</f>
        <v/>
      </c>
      <c r="Z1855" s="64" t="str">
        <f>Ringkasan!Z1926</f>
        <v/>
      </c>
      <c r="AA1855" s="64" t="str">
        <f>Ringkasan!AA1926</f>
        <v/>
      </c>
      <c r="AB1855" s="64" t="str">
        <f>Ringkasan!AB1926</f>
        <v/>
      </c>
    </row>
    <row r="1856">
      <c r="A1856" s="60" t="str">
        <f>Ringkasan!A1927</f>
        <v/>
      </c>
      <c r="B1856" s="60" t="str">
        <f>Ringkasan!B1927</f>
        <v/>
      </c>
      <c r="C1856" s="64" t="str">
        <f>Ringkasan!C1927</f>
        <v/>
      </c>
      <c r="D1856" s="64" t="str">
        <f>Ringkasan!D1927</f>
        <v/>
      </c>
      <c r="E1856" s="60" t="str">
        <f>Ringkasan!E1927</f>
        <v/>
      </c>
      <c r="F1856" s="60" t="str">
        <f>Ringkasan!F1927</f>
        <v/>
      </c>
      <c r="G1856" s="60" t="str">
        <f>Ringkasan!G1927</f>
        <v/>
      </c>
      <c r="H1856" s="60" t="str">
        <f>Ringkasan!H1927</f>
        <v/>
      </c>
      <c r="I1856" s="60" t="str">
        <f>Ringkasan!I1927</f>
        <v/>
      </c>
      <c r="J1856" s="60" t="str">
        <f>Ringkasan!J1927</f>
        <v/>
      </c>
      <c r="K1856" s="60" t="str">
        <f>Ringkasan!K1927</f>
        <v/>
      </c>
      <c r="L1856" s="60" t="str">
        <f>Ringkasan!L1927</f>
        <v/>
      </c>
      <c r="M1856" s="60" t="str">
        <f>Ringkasan!M1927</f>
        <v/>
      </c>
      <c r="N1856" s="60" t="str">
        <f>Ringkasan!N1927</f>
        <v/>
      </c>
      <c r="O1856" s="60" t="str">
        <f>Ringkasan!O1927</f>
        <v/>
      </c>
      <c r="P1856" s="60" t="str">
        <f>Ringkasan!P1927</f>
        <v/>
      </c>
      <c r="Q1856" s="60" t="str">
        <f>Ringkasan!Q1927</f>
        <v/>
      </c>
      <c r="R1856" s="60" t="str">
        <f>Ringkasan!R1927</f>
        <v/>
      </c>
      <c r="S1856" s="60" t="str">
        <f>Ringkasan!S1927</f>
        <v/>
      </c>
      <c r="T1856" s="60" t="str">
        <f>Ringkasan!T1927</f>
        <v/>
      </c>
      <c r="U1856" s="64" t="str">
        <f>Ringkasan!U1927</f>
        <v/>
      </c>
      <c r="V1856" s="64" t="str">
        <f>Ringkasan!V1927</f>
        <v/>
      </c>
      <c r="W1856" s="64" t="str">
        <f>Ringkasan!W1927</f>
        <v/>
      </c>
      <c r="X1856" s="64" t="str">
        <f>Ringkasan!X1927</f>
        <v/>
      </c>
      <c r="Y1856" s="64" t="str">
        <f>Ringkasan!Y1927</f>
        <v/>
      </c>
      <c r="Z1856" s="64" t="str">
        <f>Ringkasan!Z1927</f>
        <v/>
      </c>
      <c r="AA1856" s="64" t="str">
        <f>Ringkasan!AA1927</f>
        <v/>
      </c>
      <c r="AB1856" s="64" t="str">
        <f>Ringkasan!AB1927</f>
        <v/>
      </c>
    </row>
    <row r="1857">
      <c r="A1857" s="60" t="str">
        <f>Ringkasan!A1928</f>
        <v/>
      </c>
      <c r="B1857" s="60" t="str">
        <f>Ringkasan!B1928</f>
        <v/>
      </c>
      <c r="C1857" s="64" t="str">
        <f>Ringkasan!C1928</f>
        <v/>
      </c>
      <c r="D1857" s="64" t="str">
        <f>Ringkasan!D1928</f>
        <v/>
      </c>
      <c r="E1857" s="60" t="str">
        <f>Ringkasan!E1928</f>
        <v/>
      </c>
      <c r="F1857" s="60" t="str">
        <f>Ringkasan!F1928</f>
        <v/>
      </c>
      <c r="G1857" s="60" t="str">
        <f>Ringkasan!G1928</f>
        <v/>
      </c>
      <c r="H1857" s="60" t="str">
        <f>Ringkasan!H1928</f>
        <v/>
      </c>
      <c r="I1857" s="60" t="str">
        <f>Ringkasan!I1928</f>
        <v/>
      </c>
      <c r="J1857" s="60" t="str">
        <f>Ringkasan!J1928</f>
        <v/>
      </c>
      <c r="K1857" s="60" t="str">
        <f>Ringkasan!K1928</f>
        <v/>
      </c>
      <c r="L1857" s="60" t="str">
        <f>Ringkasan!L1928</f>
        <v/>
      </c>
      <c r="M1857" s="60" t="str">
        <f>Ringkasan!M1928</f>
        <v/>
      </c>
      <c r="N1857" s="60" t="str">
        <f>Ringkasan!N1928</f>
        <v/>
      </c>
      <c r="O1857" s="60" t="str">
        <f>Ringkasan!O1928</f>
        <v/>
      </c>
      <c r="P1857" s="60" t="str">
        <f>Ringkasan!P1928</f>
        <v/>
      </c>
      <c r="Q1857" s="60" t="str">
        <f>Ringkasan!Q1928</f>
        <v/>
      </c>
      <c r="R1857" s="60" t="str">
        <f>Ringkasan!R1928</f>
        <v/>
      </c>
      <c r="S1857" s="60" t="str">
        <f>Ringkasan!S1928</f>
        <v/>
      </c>
      <c r="T1857" s="60" t="str">
        <f>Ringkasan!T1928</f>
        <v/>
      </c>
      <c r="U1857" s="64" t="str">
        <f>Ringkasan!U1928</f>
        <v/>
      </c>
      <c r="V1857" s="64" t="str">
        <f>Ringkasan!V1928</f>
        <v/>
      </c>
      <c r="W1857" s="64" t="str">
        <f>Ringkasan!W1928</f>
        <v/>
      </c>
      <c r="X1857" s="64" t="str">
        <f>Ringkasan!X1928</f>
        <v/>
      </c>
      <c r="Y1857" s="64" t="str">
        <f>Ringkasan!Y1928</f>
        <v/>
      </c>
      <c r="Z1857" s="64" t="str">
        <f>Ringkasan!Z1928</f>
        <v/>
      </c>
      <c r="AA1857" s="64" t="str">
        <f>Ringkasan!AA1928</f>
        <v/>
      </c>
      <c r="AB1857" s="64" t="str">
        <f>Ringkasan!AB1928</f>
        <v/>
      </c>
    </row>
    <row r="1858">
      <c r="A1858" s="60" t="str">
        <f>Ringkasan!A1929</f>
        <v/>
      </c>
      <c r="B1858" s="60" t="str">
        <f>Ringkasan!B1929</f>
        <v/>
      </c>
      <c r="C1858" s="64" t="str">
        <f>Ringkasan!C1929</f>
        <v/>
      </c>
      <c r="D1858" s="64" t="str">
        <f>Ringkasan!D1929</f>
        <v/>
      </c>
      <c r="E1858" s="60" t="str">
        <f>Ringkasan!E1929</f>
        <v/>
      </c>
      <c r="F1858" s="60" t="str">
        <f>Ringkasan!F1929</f>
        <v/>
      </c>
      <c r="G1858" s="60" t="str">
        <f>Ringkasan!G1929</f>
        <v/>
      </c>
      <c r="H1858" s="60" t="str">
        <f>Ringkasan!H1929</f>
        <v/>
      </c>
      <c r="I1858" s="60" t="str">
        <f>Ringkasan!I1929</f>
        <v/>
      </c>
      <c r="J1858" s="60" t="str">
        <f>Ringkasan!J1929</f>
        <v/>
      </c>
      <c r="K1858" s="60" t="str">
        <f>Ringkasan!K1929</f>
        <v/>
      </c>
      <c r="L1858" s="60" t="str">
        <f>Ringkasan!L1929</f>
        <v/>
      </c>
      <c r="M1858" s="60" t="str">
        <f>Ringkasan!M1929</f>
        <v/>
      </c>
      <c r="N1858" s="60" t="str">
        <f>Ringkasan!N1929</f>
        <v/>
      </c>
      <c r="O1858" s="60" t="str">
        <f>Ringkasan!O1929</f>
        <v/>
      </c>
      <c r="P1858" s="60" t="str">
        <f>Ringkasan!P1929</f>
        <v/>
      </c>
      <c r="Q1858" s="60" t="str">
        <f>Ringkasan!Q1929</f>
        <v/>
      </c>
      <c r="R1858" s="60" t="str">
        <f>Ringkasan!R1929</f>
        <v/>
      </c>
      <c r="S1858" s="60" t="str">
        <f>Ringkasan!S1929</f>
        <v/>
      </c>
      <c r="T1858" s="60" t="str">
        <f>Ringkasan!T1929</f>
        <v/>
      </c>
      <c r="U1858" s="64" t="str">
        <f>Ringkasan!U1929</f>
        <v/>
      </c>
      <c r="V1858" s="64" t="str">
        <f>Ringkasan!V1929</f>
        <v/>
      </c>
      <c r="W1858" s="64" t="str">
        <f>Ringkasan!W1929</f>
        <v/>
      </c>
      <c r="X1858" s="64" t="str">
        <f>Ringkasan!X1929</f>
        <v/>
      </c>
      <c r="Y1858" s="64" t="str">
        <f>Ringkasan!Y1929</f>
        <v/>
      </c>
      <c r="Z1858" s="64" t="str">
        <f>Ringkasan!Z1929</f>
        <v/>
      </c>
      <c r="AA1858" s="64" t="str">
        <f>Ringkasan!AA1929</f>
        <v/>
      </c>
      <c r="AB1858" s="64" t="str">
        <f>Ringkasan!AB1929</f>
        <v/>
      </c>
    </row>
    <row r="1859">
      <c r="A1859" s="60" t="str">
        <f>Ringkasan!A1930</f>
        <v/>
      </c>
      <c r="B1859" s="60" t="str">
        <f>Ringkasan!B1930</f>
        <v/>
      </c>
      <c r="C1859" s="64" t="str">
        <f>Ringkasan!C1930</f>
        <v/>
      </c>
      <c r="D1859" s="64" t="str">
        <f>Ringkasan!D1930</f>
        <v/>
      </c>
      <c r="E1859" s="60" t="str">
        <f>Ringkasan!E1930</f>
        <v/>
      </c>
      <c r="F1859" s="60" t="str">
        <f>Ringkasan!F1930</f>
        <v/>
      </c>
      <c r="G1859" s="60" t="str">
        <f>Ringkasan!G1930</f>
        <v/>
      </c>
      <c r="H1859" s="60" t="str">
        <f>Ringkasan!H1930</f>
        <v/>
      </c>
      <c r="I1859" s="60" t="str">
        <f>Ringkasan!I1930</f>
        <v/>
      </c>
      <c r="J1859" s="60" t="str">
        <f>Ringkasan!J1930</f>
        <v/>
      </c>
      <c r="K1859" s="60" t="str">
        <f>Ringkasan!K1930</f>
        <v/>
      </c>
      <c r="L1859" s="60" t="str">
        <f>Ringkasan!L1930</f>
        <v/>
      </c>
      <c r="M1859" s="60" t="str">
        <f>Ringkasan!M1930</f>
        <v/>
      </c>
      <c r="N1859" s="60" t="str">
        <f>Ringkasan!N1930</f>
        <v/>
      </c>
      <c r="O1859" s="60" t="str">
        <f>Ringkasan!O1930</f>
        <v/>
      </c>
      <c r="P1859" s="60" t="str">
        <f>Ringkasan!P1930</f>
        <v/>
      </c>
      <c r="Q1859" s="60" t="str">
        <f>Ringkasan!Q1930</f>
        <v/>
      </c>
      <c r="R1859" s="60" t="str">
        <f>Ringkasan!R1930</f>
        <v/>
      </c>
      <c r="S1859" s="60" t="str">
        <f>Ringkasan!S1930</f>
        <v/>
      </c>
      <c r="T1859" s="60" t="str">
        <f>Ringkasan!T1930</f>
        <v/>
      </c>
      <c r="U1859" s="64" t="str">
        <f>Ringkasan!U1930</f>
        <v/>
      </c>
      <c r="V1859" s="64" t="str">
        <f>Ringkasan!V1930</f>
        <v/>
      </c>
      <c r="W1859" s="64" t="str">
        <f>Ringkasan!W1930</f>
        <v/>
      </c>
      <c r="X1859" s="64" t="str">
        <f>Ringkasan!X1930</f>
        <v/>
      </c>
      <c r="Y1859" s="64" t="str">
        <f>Ringkasan!Y1930</f>
        <v/>
      </c>
      <c r="Z1859" s="64" t="str">
        <f>Ringkasan!Z1930</f>
        <v/>
      </c>
      <c r="AA1859" s="64" t="str">
        <f>Ringkasan!AA1930</f>
        <v/>
      </c>
      <c r="AB1859" s="64" t="str">
        <f>Ringkasan!AB1930</f>
        <v/>
      </c>
    </row>
    <row r="1860">
      <c r="A1860" s="60" t="str">
        <f>Ringkasan!A1931</f>
        <v/>
      </c>
      <c r="B1860" s="60" t="str">
        <f>Ringkasan!B1931</f>
        <v/>
      </c>
      <c r="C1860" s="64" t="str">
        <f>Ringkasan!C1931</f>
        <v/>
      </c>
      <c r="D1860" s="64" t="str">
        <f>Ringkasan!D1931</f>
        <v/>
      </c>
      <c r="E1860" s="60" t="str">
        <f>Ringkasan!E1931</f>
        <v/>
      </c>
      <c r="F1860" s="60" t="str">
        <f>Ringkasan!F1931</f>
        <v/>
      </c>
      <c r="G1860" s="60" t="str">
        <f>Ringkasan!G1931</f>
        <v/>
      </c>
      <c r="H1860" s="60" t="str">
        <f>Ringkasan!H1931</f>
        <v/>
      </c>
      <c r="I1860" s="60" t="str">
        <f>Ringkasan!I1931</f>
        <v/>
      </c>
      <c r="J1860" s="60" t="str">
        <f>Ringkasan!J1931</f>
        <v/>
      </c>
      <c r="K1860" s="60" t="str">
        <f>Ringkasan!K1931</f>
        <v/>
      </c>
      <c r="L1860" s="60" t="str">
        <f>Ringkasan!L1931</f>
        <v/>
      </c>
      <c r="M1860" s="60" t="str">
        <f>Ringkasan!M1931</f>
        <v/>
      </c>
      <c r="N1860" s="60" t="str">
        <f>Ringkasan!N1931</f>
        <v/>
      </c>
      <c r="O1860" s="60" t="str">
        <f>Ringkasan!O1931</f>
        <v/>
      </c>
      <c r="P1860" s="60" t="str">
        <f>Ringkasan!P1931</f>
        <v/>
      </c>
      <c r="Q1860" s="60" t="str">
        <f>Ringkasan!Q1931</f>
        <v/>
      </c>
      <c r="R1860" s="60" t="str">
        <f>Ringkasan!R1931</f>
        <v/>
      </c>
      <c r="S1860" s="60" t="str">
        <f>Ringkasan!S1931</f>
        <v/>
      </c>
      <c r="T1860" s="60" t="str">
        <f>Ringkasan!T1931</f>
        <v/>
      </c>
      <c r="U1860" s="64" t="str">
        <f>Ringkasan!U1931</f>
        <v/>
      </c>
      <c r="V1860" s="64" t="str">
        <f>Ringkasan!V1931</f>
        <v/>
      </c>
      <c r="W1860" s="64" t="str">
        <f>Ringkasan!W1931</f>
        <v/>
      </c>
      <c r="X1860" s="64" t="str">
        <f>Ringkasan!X1931</f>
        <v/>
      </c>
      <c r="Y1860" s="64" t="str">
        <f>Ringkasan!Y1931</f>
        <v/>
      </c>
      <c r="Z1860" s="64" t="str">
        <f>Ringkasan!Z1931</f>
        <v/>
      </c>
      <c r="AA1860" s="64" t="str">
        <f>Ringkasan!AA1931</f>
        <v/>
      </c>
      <c r="AB1860" s="64" t="str">
        <f>Ringkasan!AB1931</f>
        <v/>
      </c>
    </row>
    <row r="1861">
      <c r="A1861" s="60" t="str">
        <f>Ringkasan!A1932</f>
        <v/>
      </c>
      <c r="B1861" s="60" t="str">
        <f>Ringkasan!B1932</f>
        <v/>
      </c>
      <c r="C1861" s="64" t="str">
        <f>Ringkasan!C1932</f>
        <v/>
      </c>
      <c r="D1861" s="64" t="str">
        <f>Ringkasan!D1932</f>
        <v/>
      </c>
      <c r="E1861" s="60" t="str">
        <f>Ringkasan!E1932</f>
        <v/>
      </c>
      <c r="F1861" s="60" t="str">
        <f>Ringkasan!F1932</f>
        <v/>
      </c>
      <c r="G1861" s="60" t="str">
        <f>Ringkasan!G1932</f>
        <v/>
      </c>
      <c r="H1861" s="60" t="str">
        <f>Ringkasan!H1932</f>
        <v/>
      </c>
      <c r="I1861" s="60" t="str">
        <f>Ringkasan!I1932</f>
        <v/>
      </c>
      <c r="J1861" s="60" t="str">
        <f>Ringkasan!J1932</f>
        <v/>
      </c>
      <c r="K1861" s="60" t="str">
        <f>Ringkasan!K1932</f>
        <v/>
      </c>
      <c r="L1861" s="60" t="str">
        <f>Ringkasan!L1932</f>
        <v/>
      </c>
      <c r="M1861" s="60" t="str">
        <f>Ringkasan!M1932</f>
        <v/>
      </c>
      <c r="N1861" s="60" t="str">
        <f>Ringkasan!N1932</f>
        <v/>
      </c>
      <c r="O1861" s="60" t="str">
        <f>Ringkasan!O1932</f>
        <v/>
      </c>
      <c r="P1861" s="60" t="str">
        <f>Ringkasan!P1932</f>
        <v/>
      </c>
      <c r="Q1861" s="60" t="str">
        <f>Ringkasan!Q1932</f>
        <v/>
      </c>
      <c r="R1861" s="60" t="str">
        <f>Ringkasan!R1932</f>
        <v/>
      </c>
      <c r="S1861" s="60" t="str">
        <f>Ringkasan!S1932</f>
        <v/>
      </c>
      <c r="T1861" s="60" t="str">
        <f>Ringkasan!T1932</f>
        <v/>
      </c>
      <c r="U1861" s="64" t="str">
        <f>Ringkasan!U1932</f>
        <v/>
      </c>
      <c r="V1861" s="64" t="str">
        <f>Ringkasan!V1932</f>
        <v/>
      </c>
      <c r="W1861" s="64" t="str">
        <f>Ringkasan!W1932</f>
        <v/>
      </c>
      <c r="X1861" s="64" t="str">
        <f>Ringkasan!X1932</f>
        <v/>
      </c>
      <c r="Y1861" s="64" t="str">
        <f>Ringkasan!Y1932</f>
        <v/>
      </c>
      <c r="Z1861" s="64" t="str">
        <f>Ringkasan!Z1932</f>
        <v/>
      </c>
      <c r="AA1861" s="64" t="str">
        <f>Ringkasan!AA1932</f>
        <v/>
      </c>
      <c r="AB1861" s="64" t="str">
        <f>Ringkasan!AB1932</f>
        <v/>
      </c>
    </row>
    <row r="1862">
      <c r="A1862" s="60" t="str">
        <f>Ringkasan!A1933</f>
        <v/>
      </c>
      <c r="B1862" s="60" t="str">
        <f>Ringkasan!B1933</f>
        <v/>
      </c>
      <c r="C1862" s="64" t="str">
        <f>Ringkasan!C1933</f>
        <v/>
      </c>
      <c r="D1862" s="64" t="str">
        <f>Ringkasan!D1933</f>
        <v/>
      </c>
      <c r="E1862" s="60" t="str">
        <f>Ringkasan!E1933</f>
        <v/>
      </c>
      <c r="F1862" s="60" t="str">
        <f>Ringkasan!F1933</f>
        <v/>
      </c>
      <c r="G1862" s="60" t="str">
        <f>Ringkasan!G1933</f>
        <v/>
      </c>
      <c r="H1862" s="60" t="str">
        <f>Ringkasan!H1933</f>
        <v/>
      </c>
      <c r="I1862" s="60" t="str">
        <f>Ringkasan!I1933</f>
        <v/>
      </c>
      <c r="J1862" s="60" t="str">
        <f>Ringkasan!J1933</f>
        <v/>
      </c>
      <c r="K1862" s="60" t="str">
        <f>Ringkasan!K1933</f>
        <v/>
      </c>
      <c r="L1862" s="60" t="str">
        <f>Ringkasan!L1933</f>
        <v/>
      </c>
      <c r="M1862" s="60" t="str">
        <f>Ringkasan!M1933</f>
        <v/>
      </c>
      <c r="N1862" s="60" t="str">
        <f>Ringkasan!N1933</f>
        <v/>
      </c>
      <c r="O1862" s="60" t="str">
        <f>Ringkasan!O1933</f>
        <v/>
      </c>
      <c r="P1862" s="60" t="str">
        <f>Ringkasan!P1933</f>
        <v/>
      </c>
      <c r="Q1862" s="60" t="str">
        <f>Ringkasan!Q1933</f>
        <v/>
      </c>
      <c r="R1862" s="60" t="str">
        <f>Ringkasan!R1933</f>
        <v/>
      </c>
      <c r="S1862" s="60" t="str">
        <f>Ringkasan!S1933</f>
        <v/>
      </c>
      <c r="T1862" s="60" t="str">
        <f>Ringkasan!T1933</f>
        <v/>
      </c>
      <c r="U1862" s="64" t="str">
        <f>Ringkasan!U1933</f>
        <v/>
      </c>
      <c r="V1862" s="64" t="str">
        <f>Ringkasan!V1933</f>
        <v/>
      </c>
      <c r="W1862" s="64" t="str">
        <f>Ringkasan!W1933</f>
        <v/>
      </c>
      <c r="X1862" s="64" t="str">
        <f>Ringkasan!X1933</f>
        <v/>
      </c>
      <c r="Y1862" s="64" t="str">
        <f>Ringkasan!Y1933</f>
        <v/>
      </c>
      <c r="Z1862" s="64" t="str">
        <f>Ringkasan!Z1933</f>
        <v/>
      </c>
      <c r="AA1862" s="64" t="str">
        <f>Ringkasan!AA1933</f>
        <v/>
      </c>
      <c r="AB1862" s="64" t="str">
        <f>Ringkasan!AB1933</f>
        <v/>
      </c>
    </row>
    <row r="1863">
      <c r="A1863" s="60" t="str">
        <f>Ringkasan!A1934</f>
        <v/>
      </c>
      <c r="B1863" s="60" t="str">
        <f>Ringkasan!B1934</f>
        <v/>
      </c>
      <c r="C1863" s="64" t="str">
        <f>Ringkasan!C1934</f>
        <v/>
      </c>
      <c r="D1863" s="64" t="str">
        <f>Ringkasan!D1934</f>
        <v/>
      </c>
      <c r="E1863" s="60" t="str">
        <f>Ringkasan!E1934</f>
        <v/>
      </c>
      <c r="F1863" s="60" t="str">
        <f>Ringkasan!F1934</f>
        <v/>
      </c>
      <c r="G1863" s="60" t="str">
        <f>Ringkasan!G1934</f>
        <v/>
      </c>
      <c r="H1863" s="60" t="str">
        <f>Ringkasan!H1934</f>
        <v/>
      </c>
      <c r="I1863" s="60" t="str">
        <f>Ringkasan!I1934</f>
        <v/>
      </c>
      <c r="J1863" s="60" t="str">
        <f>Ringkasan!J1934</f>
        <v/>
      </c>
      <c r="K1863" s="60" t="str">
        <f>Ringkasan!K1934</f>
        <v/>
      </c>
      <c r="L1863" s="60" t="str">
        <f>Ringkasan!L1934</f>
        <v/>
      </c>
      <c r="M1863" s="60" t="str">
        <f>Ringkasan!M1934</f>
        <v/>
      </c>
      <c r="N1863" s="60" t="str">
        <f>Ringkasan!N1934</f>
        <v/>
      </c>
      <c r="O1863" s="60" t="str">
        <f>Ringkasan!O1934</f>
        <v/>
      </c>
      <c r="P1863" s="60" t="str">
        <f>Ringkasan!P1934</f>
        <v/>
      </c>
      <c r="Q1863" s="60" t="str">
        <f>Ringkasan!Q1934</f>
        <v/>
      </c>
      <c r="R1863" s="60" t="str">
        <f>Ringkasan!R1934</f>
        <v/>
      </c>
      <c r="S1863" s="60" t="str">
        <f>Ringkasan!S1934</f>
        <v/>
      </c>
      <c r="T1863" s="60" t="str">
        <f>Ringkasan!T1934</f>
        <v/>
      </c>
      <c r="U1863" s="64" t="str">
        <f>Ringkasan!U1934</f>
        <v/>
      </c>
      <c r="V1863" s="64" t="str">
        <f>Ringkasan!V1934</f>
        <v/>
      </c>
      <c r="W1863" s="64" t="str">
        <f>Ringkasan!W1934</f>
        <v/>
      </c>
      <c r="X1863" s="64" t="str">
        <f>Ringkasan!X1934</f>
        <v/>
      </c>
      <c r="Y1863" s="64" t="str">
        <f>Ringkasan!Y1934</f>
        <v/>
      </c>
      <c r="Z1863" s="64" t="str">
        <f>Ringkasan!Z1934</f>
        <v/>
      </c>
      <c r="AA1863" s="64" t="str">
        <f>Ringkasan!AA1934</f>
        <v/>
      </c>
      <c r="AB1863" s="64" t="str">
        <f>Ringkasan!AB1934</f>
        <v/>
      </c>
    </row>
    <row r="1864">
      <c r="A1864" s="60" t="str">
        <f>Ringkasan!A1935</f>
        <v/>
      </c>
      <c r="B1864" s="60" t="str">
        <f>Ringkasan!B1935</f>
        <v/>
      </c>
      <c r="C1864" s="64" t="str">
        <f>Ringkasan!C1935</f>
        <v/>
      </c>
      <c r="D1864" s="64" t="str">
        <f>Ringkasan!D1935</f>
        <v/>
      </c>
      <c r="E1864" s="60" t="str">
        <f>Ringkasan!E1935</f>
        <v/>
      </c>
      <c r="F1864" s="60" t="str">
        <f>Ringkasan!F1935</f>
        <v/>
      </c>
      <c r="G1864" s="60" t="str">
        <f>Ringkasan!G1935</f>
        <v/>
      </c>
      <c r="H1864" s="60" t="str">
        <f>Ringkasan!H1935</f>
        <v/>
      </c>
      <c r="I1864" s="60" t="str">
        <f>Ringkasan!I1935</f>
        <v/>
      </c>
      <c r="J1864" s="60" t="str">
        <f>Ringkasan!J1935</f>
        <v/>
      </c>
      <c r="K1864" s="60" t="str">
        <f>Ringkasan!K1935</f>
        <v/>
      </c>
      <c r="L1864" s="60" t="str">
        <f>Ringkasan!L1935</f>
        <v/>
      </c>
      <c r="M1864" s="60" t="str">
        <f>Ringkasan!M1935</f>
        <v/>
      </c>
      <c r="N1864" s="60" t="str">
        <f>Ringkasan!N1935</f>
        <v/>
      </c>
      <c r="O1864" s="60" t="str">
        <f>Ringkasan!O1935</f>
        <v/>
      </c>
      <c r="P1864" s="60" t="str">
        <f>Ringkasan!P1935</f>
        <v/>
      </c>
      <c r="Q1864" s="60" t="str">
        <f>Ringkasan!Q1935</f>
        <v/>
      </c>
      <c r="R1864" s="60" t="str">
        <f>Ringkasan!R1935</f>
        <v/>
      </c>
      <c r="S1864" s="60" t="str">
        <f>Ringkasan!S1935</f>
        <v/>
      </c>
      <c r="T1864" s="60" t="str">
        <f>Ringkasan!T1935</f>
        <v/>
      </c>
      <c r="U1864" s="64" t="str">
        <f>Ringkasan!U1935</f>
        <v/>
      </c>
      <c r="V1864" s="64" t="str">
        <f>Ringkasan!V1935</f>
        <v/>
      </c>
      <c r="W1864" s="64" t="str">
        <f>Ringkasan!W1935</f>
        <v/>
      </c>
      <c r="X1864" s="64" t="str">
        <f>Ringkasan!X1935</f>
        <v/>
      </c>
      <c r="Y1864" s="64" t="str">
        <f>Ringkasan!Y1935</f>
        <v/>
      </c>
      <c r="Z1864" s="64" t="str">
        <f>Ringkasan!Z1935</f>
        <v/>
      </c>
      <c r="AA1864" s="64" t="str">
        <f>Ringkasan!AA1935</f>
        <v/>
      </c>
      <c r="AB1864" s="64" t="str">
        <f>Ringkasan!AB1935</f>
        <v/>
      </c>
    </row>
    <row r="1865">
      <c r="A1865" s="60" t="str">
        <f>Ringkasan!A1936</f>
        <v/>
      </c>
      <c r="B1865" s="60" t="str">
        <f>Ringkasan!B1936</f>
        <v/>
      </c>
      <c r="C1865" s="64" t="str">
        <f>Ringkasan!C1936</f>
        <v/>
      </c>
      <c r="D1865" s="64" t="str">
        <f>Ringkasan!D1936</f>
        <v/>
      </c>
      <c r="E1865" s="60" t="str">
        <f>Ringkasan!E1936</f>
        <v/>
      </c>
      <c r="F1865" s="60" t="str">
        <f>Ringkasan!F1936</f>
        <v/>
      </c>
      <c r="G1865" s="60" t="str">
        <f>Ringkasan!G1936</f>
        <v/>
      </c>
      <c r="H1865" s="60" t="str">
        <f>Ringkasan!H1936</f>
        <v/>
      </c>
      <c r="I1865" s="60" t="str">
        <f>Ringkasan!I1936</f>
        <v/>
      </c>
      <c r="J1865" s="60" t="str">
        <f>Ringkasan!J1936</f>
        <v/>
      </c>
      <c r="K1865" s="60" t="str">
        <f>Ringkasan!K1936</f>
        <v/>
      </c>
      <c r="L1865" s="60" t="str">
        <f>Ringkasan!L1936</f>
        <v/>
      </c>
      <c r="M1865" s="60" t="str">
        <f>Ringkasan!M1936</f>
        <v/>
      </c>
      <c r="N1865" s="60" t="str">
        <f>Ringkasan!N1936</f>
        <v/>
      </c>
      <c r="O1865" s="60" t="str">
        <f>Ringkasan!O1936</f>
        <v/>
      </c>
      <c r="P1865" s="60" t="str">
        <f>Ringkasan!P1936</f>
        <v/>
      </c>
      <c r="Q1865" s="60" t="str">
        <f>Ringkasan!Q1936</f>
        <v/>
      </c>
      <c r="R1865" s="60" t="str">
        <f>Ringkasan!R1936</f>
        <v/>
      </c>
      <c r="S1865" s="60" t="str">
        <f>Ringkasan!S1936</f>
        <v/>
      </c>
      <c r="T1865" s="60" t="str">
        <f>Ringkasan!T1936</f>
        <v/>
      </c>
      <c r="U1865" s="64" t="str">
        <f>Ringkasan!U1936</f>
        <v/>
      </c>
      <c r="V1865" s="64" t="str">
        <f>Ringkasan!V1936</f>
        <v/>
      </c>
      <c r="W1865" s="64" t="str">
        <f>Ringkasan!W1936</f>
        <v/>
      </c>
      <c r="X1865" s="64" t="str">
        <f>Ringkasan!X1936</f>
        <v/>
      </c>
      <c r="Y1865" s="64" t="str">
        <f>Ringkasan!Y1936</f>
        <v/>
      </c>
      <c r="Z1865" s="64" t="str">
        <f>Ringkasan!Z1936</f>
        <v/>
      </c>
      <c r="AA1865" s="64" t="str">
        <f>Ringkasan!AA1936</f>
        <v/>
      </c>
      <c r="AB1865" s="64" t="str">
        <f>Ringkasan!AB1936</f>
        <v/>
      </c>
    </row>
    <row r="1866">
      <c r="A1866" s="60" t="str">
        <f>Ringkasan!A1937</f>
        <v/>
      </c>
      <c r="B1866" s="60" t="str">
        <f>Ringkasan!B1937</f>
        <v/>
      </c>
      <c r="C1866" s="64" t="str">
        <f>Ringkasan!C1937</f>
        <v/>
      </c>
      <c r="D1866" s="64" t="str">
        <f>Ringkasan!D1937</f>
        <v/>
      </c>
      <c r="E1866" s="60" t="str">
        <f>Ringkasan!E1937</f>
        <v/>
      </c>
      <c r="F1866" s="60" t="str">
        <f>Ringkasan!F1937</f>
        <v/>
      </c>
      <c r="G1866" s="60" t="str">
        <f>Ringkasan!G1937</f>
        <v/>
      </c>
      <c r="H1866" s="60" t="str">
        <f>Ringkasan!H1937</f>
        <v/>
      </c>
      <c r="I1866" s="60" t="str">
        <f>Ringkasan!I1937</f>
        <v/>
      </c>
      <c r="J1866" s="60" t="str">
        <f>Ringkasan!J1937</f>
        <v/>
      </c>
      <c r="K1866" s="60" t="str">
        <f>Ringkasan!K1937</f>
        <v/>
      </c>
      <c r="L1866" s="60" t="str">
        <f>Ringkasan!L1937</f>
        <v/>
      </c>
      <c r="M1866" s="60" t="str">
        <f>Ringkasan!M1937</f>
        <v/>
      </c>
      <c r="N1866" s="60" t="str">
        <f>Ringkasan!N1937</f>
        <v/>
      </c>
      <c r="O1866" s="60" t="str">
        <f>Ringkasan!O1937</f>
        <v/>
      </c>
      <c r="P1866" s="60" t="str">
        <f>Ringkasan!P1937</f>
        <v/>
      </c>
      <c r="Q1866" s="60" t="str">
        <f>Ringkasan!Q1937</f>
        <v/>
      </c>
      <c r="R1866" s="60" t="str">
        <f>Ringkasan!R1937</f>
        <v/>
      </c>
      <c r="S1866" s="60" t="str">
        <f>Ringkasan!S1937</f>
        <v/>
      </c>
      <c r="T1866" s="60" t="str">
        <f>Ringkasan!T1937</f>
        <v/>
      </c>
      <c r="U1866" s="64" t="str">
        <f>Ringkasan!U1937</f>
        <v/>
      </c>
      <c r="V1866" s="64" t="str">
        <f>Ringkasan!V1937</f>
        <v/>
      </c>
      <c r="W1866" s="64" t="str">
        <f>Ringkasan!W1937</f>
        <v/>
      </c>
      <c r="X1866" s="64" t="str">
        <f>Ringkasan!X1937</f>
        <v/>
      </c>
      <c r="Y1866" s="64" t="str">
        <f>Ringkasan!Y1937</f>
        <v/>
      </c>
      <c r="Z1866" s="64" t="str">
        <f>Ringkasan!Z1937</f>
        <v/>
      </c>
      <c r="AA1866" s="64" t="str">
        <f>Ringkasan!AA1937</f>
        <v/>
      </c>
      <c r="AB1866" s="64" t="str">
        <f>Ringkasan!AB1937</f>
        <v/>
      </c>
    </row>
    <row r="1867">
      <c r="A1867" s="60" t="str">
        <f>Ringkasan!A1938</f>
        <v/>
      </c>
      <c r="B1867" s="60" t="str">
        <f>Ringkasan!B1938</f>
        <v/>
      </c>
      <c r="C1867" s="64" t="str">
        <f>Ringkasan!C1938</f>
        <v/>
      </c>
      <c r="D1867" s="64" t="str">
        <f>Ringkasan!D1938</f>
        <v/>
      </c>
      <c r="E1867" s="60" t="str">
        <f>Ringkasan!E1938</f>
        <v/>
      </c>
      <c r="F1867" s="60" t="str">
        <f>Ringkasan!F1938</f>
        <v/>
      </c>
      <c r="G1867" s="60" t="str">
        <f>Ringkasan!G1938</f>
        <v/>
      </c>
      <c r="H1867" s="60" t="str">
        <f>Ringkasan!H1938</f>
        <v/>
      </c>
      <c r="I1867" s="60" t="str">
        <f>Ringkasan!I1938</f>
        <v/>
      </c>
      <c r="J1867" s="60" t="str">
        <f>Ringkasan!J1938</f>
        <v/>
      </c>
      <c r="K1867" s="60" t="str">
        <f>Ringkasan!K1938</f>
        <v/>
      </c>
      <c r="L1867" s="60" t="str">
        <f>Ringkasan!L1938</f>
        <v/>
      </c>
      <c r="M1867" s="60" t="str">
        <f>Ringkasan!M1938</f>
        <v/>
      </c>
      <c r="N1867" s="60" t="str">
        <f>Ringkasan!N1938</f>
        <v/>
      </c>
      <c r="O1867" s="60" t="str">
        <f>Ringkasan!O1938</f>
        <v/>
      </c>
      <c r="P1867" s="60" t="str">
        <f>Ringkasan!P1938</f>
        <v/>
      </c>
      <c r="Q1867" s="60" t="str">
        <f>Ringkasan!Q1938</f>
        <v/>
      </c>
      <c r="R1867" s="60" t="str">
        <f>Ringkasan!R1938</f>
        <v/>
      </c>
      <c r="S1867" s="60" t="str">
        <f>Ringkasan!S1938</f>
        <v/>
      </c>
      <c r="T1867" s="60" t="str">
        <f>Ringkasan!T1938</f>
        <v/>
      </c>
      <c r="U1867" s="64" t="str">
        <f>Ringkasan!U1938</f>
        <v/>
      </c>
      <c r="V1867" s="64" t="str">
        <f>Ringkasan!V1938</f>
        <v/>
      </c>
      <c r="W1867" s="64" t="str">
        <f>Ringkasan!W1938</f>
        <v/>
      </c>
      <c r="X1867" s="64" t="str">
        <f>Ringkasan!X1938</f>
        <v/>
      </c>
      <c r="Y1867" s="64" t="str">
        <f>Ringkasan!Y1938</f>
        <v/>
      </c>
      <c r="Z1867" s="64" t="str">
        <f>Ringkasan!Z1938</f>
        <v/>
      </c>
      <c r="AA1867" s="64" t="str">
        <f>Ringkasan!AA1938</f>
        <v/>
      </c>
      <c r="AB1867" s="64" t="str">
        <f>Ringkasan!AB1938</f>
        <v/>
      </c>
    </row>
    <row r="1868">
      <c r="A1868" s="60" t="str">
        <f>Ringkasan!A1939</f>
        <v/>
      </c>
      <c r="B1868" s="60" t="str">
        <f>Ringkasan!B1939</f>
        <v/>
      </c>
      <c r="C1868" s="64" t="str">
        <f>Ringkasan!C1939</f>
        <v/>
      </c>
      <c r="D1868" s="64" t="str">
        <f>Ringkasan!D1939</f>
        <v/>
      </c>
      <c r="E1868" s="60" t="str">
        <f>Ringkasan!E1939</f>
        <v/>
      </c>
      <c r="F1868" s="60" t="str">
        <f>Ringkasan!F1939</f>
        <v/>
      </c>
      <c r="G1868" s="60" t="str">
        <f>Ringkasan!G1939</f>
        <v/>
      </c>
      <c r="H1868" s="60" t="str">
        <f>Ringkasan!H1939</f>
        <v/>
      </c>
      <c r="I1868" s="60" t="str">
        <f>Ringkasan!I1939</f>
        <v/>
      </c>
      <c r="J1868" s="60" t="str">
        <f>Ringkasan!J1939</f>
        <v/>
      </c>
      <c r="K1868" s="60" t="str">
        <f>Ringkasan!K1939</f>
        <v/>
      </c>
      <c r="L1868" s="60" t="str">
        <f>Ringkasan!L1939</f>
        <v/>
      </c>
      <c r="M1868" s="60" t="str">
        <f>Ringkasan!M1939</f>
        <v/>
      </c>
      <c r="N1868" s="60" t="str">
        <f>Ringkasan!N1939</f>
        <v/>
      </c>
      <c r="O1868" s="60" t="str">
        <f>Ringkasan!O1939</f>
        <v/>
      </c>
      <c r="P1868" s="60" t="str">
        <f>Ringkasan!P1939</f>
        <v/>
      </c>
      <c r="Q1868" s="60" t="str">
        <f>Ringkasan!Q1939</f>
        <v/>
      </c>
      <c r="R1868" s="60" t="str">
        <f>Ringkasan!R1939</f>
        <v/>
      </c>
      <c r="S1868" s="60" t="str">
        <f>Ringkasan!S1939</f>
        <v/>
      </c>
      <c r="T1868" s="60" t="str">
        <f>Ringkasan!T1939</f>
        <v/>
      </c>
      <c r="U1868" s="64" t="str">
        <f>Ringkasan!U1939</f>
        <v/>
      </c>
      <c r="V1868" s="64" t="str">
        <f>Ringkasan!V1939</f>
        <v/>
      </c>
      <c r="W1868" s="64" t="str">
        <f>Ringkasan!W1939</f>
        <v/>
      </c>
      <c r="X1868" s="64" t="str">
        <f>Ringkasan!X1939</f>
        <v/>
      </c>
      <c r="Y1868" s="64" t="str">
        <f>Ringkasan!Y1939</f>
        <v/>
      </c>
      <c r="Z1868" s="64" t="str">
        <f>Ringkasan!Z1939</f>
        <v/>
      </c>
      <c r="AA1868" s="64" t="str">
        <f>Ringkasan!AA1939</f>
        <v/>
      </c>
      <c r="AB1868" s="64" t="str">
        <f>Ringkasan!AB1939</f>
        <v/>
      </c>
    </row>
    <row r="1869">
      <c r="A1869" s="60" t="str">
        <f>Ringkasan!A1940</f>
        <v/>
      </c>
      <c r="B1869" s="60" t="str">
        <f>Ringkasan!B1940</f>
        <v/>
      </c>
      <c r="C1869" s="64" t="str">
        <f>Ringkasan!C1940</f>
        <v/>
      </c>
      <c r="D1869" s="64" t="str">
        <f>Ringkasan!D1940</f>
        <v/>
      </c>
      <c r="E1869" s="60" t="str">
        <f>Ringkasan!E1940</f>
        <v/>
      </c>
      <c r="F1869" s="60" t="str">
        <f>Ringkasan!F1940</f>
        <v/>
      </c>
      <c r="G1869" s="60" t="str">
        <f>Ringkasan!G1940</f>
        <v/>
      </c>
      <c r="H1869" s="60" t="str">
        <f>Ringkasan!H1940</f>
        <v/>
      </c>
      <c r="I1869" s="60" t="str">
        <f>Ringkasan!I1940</f>
        <v/>
      </c>
      <c r="J1869" s="60" t="str">
        <f>Ringkasan!J1940</f>
        <v/>
      </c>
      <c r="K1869" s="60" t="str">
        <f>Ringkasan!K1940</f>
        <v/>
      </c>
      <c r="L1869" s="60" t="str">
        <f>Ringkasan!L1940</f>
        <v/>
      </c>
      <c r="M1869" s="60" t="str">
        <f>Ringkasan!M1940</f>
        <v/>
      </c>
      <c r="N1869" s="60" t="str">
        <f>Ringkasan!N1940</f>
        <v/>
      </c>
      <c r="O1869" s="60" t="str">
        <f>Ringkasan!O1940</f>
        <v/>
      </c>
      <c r="P1869" s="60" t="str">
        <f>Ringkasan!P1940</f>
        <v/>
      </c>
      <c r="Q1869" s="60" t="str">
        <f>Ringkasan!Q1940</f>
        <v/>
      </c>
      <c r="R1869" s="60" t="str">
        <f>Ringkasan!R1940</f>
        <v/>
      </c>
      <c r="S1869" s="60" t="str">
        <f>Ringkasan!S1940</f>
        <v/>
      </c>
      <c r="T1869" s="60" t="str">
        <f>Ringkasan!T1940</f>
        <v/>
      </c>
      <c r="U1869" s="64" t="str">
        <f>Ringkasan!U1940</f>
        <v/>
      </c>
      <c r="V1869" s="64" t="str">
        <f>Ringkasan!V1940</f>
        <v/>
      </c>
      <c r="W1869" s="64" t="str">
        <f>Ringkasan!W1940</f>
        <v/>
      </c>
      <c r="X1869" s="64" t="str">
        <f>Ringkasan!X1940</f>
        <v/>
      </c>
      <c r="Y1869" s="64" t="str">
        <f>Ringkasan!Y1940</f>
        <v/>
      </c>
      <c r="Z1869" s="64" t="str">
        <f>Ringkasan!Z1940</f>
        <v/>
      </c>
      <c r="AA1869" s="64" t="str">
        <f>Ringkasan!AA1940</f>
        <v/>
      </c>
      <c r="AB1869" s="64" t="str">
        <f>Ringkasan!AB1940</f>
        <v/>
      </c>
    </row>
    <row r="1870">
      <c r="A1870" s="60" t="str">
        <f>Ringkasan!A1941</f>
        <v/>
      </c>
      <c r="B1870" s="60" t="str">
        <f>Ringkasan!B1941</f>
        <v/>
      </c>
      <c r="C1870" s="64" t="str">
        <f>Ringkasan!C1941</f>
        <v/>
      </c>
      <c r="D1870" s="64" t="str">
        <f>Ringkasan!D1941</f>
        <v/>
      </c>
      <c r="E1870" s="60" t="str">
        <f>Ringkasan!E1941</f>
        <v/>
      </c>
      <c r="F1870" s="60" t="str">
        <f>Ringkasan!F1941</f>
        <v/>
      </c>
      <c r="G1870" s="60" t="str">
        <f>Ringkasan!G1941</f>
        <v/>
      </c>
      <c r="H1870" s="60" t="str">
        <f>Ringkasan!H1941</f>
        <v/>
      </c>
      <c r="I1870" s="60" t="str">
        <f>Ringkasan!I1941</f>
        <v/>
      </c>
      <c r="J1870" s="60" t="str">
        <f>Ringkasan!J1941</f>
        <v/>
      </c>
      <c r="K1870" s="60" t="str">
        <f>Ringkasan!K1941</f>
        <v/>
      </c>
      <c r="L1870" s="60" t="str">
        <f>Ringkasan!L1941</f>
        <v/>
      </c>
      <c r="M1870" s="60" t="str">
        <f>Ringkasan!M1941</f>
        <v/>
      </c>
      <c r="N1870" s="60" t="str">
        <f>Ringkasan!N1941</f>
        <v/>
      </c>
      <c r="O1870" s="60" t="str">
        <f>Ringkasan!O1941</f>
        <v/>
      </c>
      <c r="P1870" s="60" t="str">
        <f>Ringkasan!P1941</f>
        <v/>
      </c>
      <c r="Q1870" s="60" t="str">
        <f>Ringkasan!Q1941</f>
        <v/>
      </c>
      <c r="R1870" s="60" t="str">
        <f>Ringkasan!R1941</f>
        <v/>
      </c>
      <c r="S1870" s="60" t="str">
        <f>Ringkasan!S1941</f>
        <v/>
      </c>
      <c r="T1870" s="60" t="str">
        <f>Ringkasan!T1941</f>
        <v/>
      </c>
      <c r="U1870" s="64" t="str">
        <f>Ringkasan!U1941</f>
        <v/>
      </c>
      <c r="V1870" s="64" t="str">
        <f>Ringkasan!V1941</f>
        <v/>
      </c>
      <c r="W1870" s="64" t="str">
        <f>Ringkasan!W1941</f>
        <v/>
      </c>
      <c r="X1870" s="64" t="str">
        <f>Ringkasan!X1941</f>
        <v/>
      </c>
      <c r="Y1870" s="64" t="str">
        <f>Ringkasan!Y1941</f>
        <v/>
      </c>
      <c r="Z1870" s="64" t="str">
        <f>Ringkasan!Z1941</f>
        <v/>
      </c>
      <c r="AA1870" s="64" t="str">
        <f>Ringkasan!AA1941</f>
        <v/>
      </c>
      <c r="AB1870" s="64" t="str">
        <f>Ringkasan!AB1941</f>
        <v/>
      </c>
    </row>
    <row r="1871">
      <c r="A1871" s="60" t="str">
        <f>Ringkasan!A1942</f>
        <v/>
      </c>
      <c r="B1871" s="60" t="str">
        <f>Ringkasan!B1942</f>
        <v/>
      </c>
      <c r="C1871" s="64" t="str">
        <f>Ringkasan!C1942</f>
        <v/>
      </c>
      <c r="D1871" s="64" t="str">
        <f>Ringkasan!D1942</f>
        <v/>
      </c>
      <c r="E1871" s="60" t="str">
        <f>Ringkasan!E1942</f>
        <v/>
      </c>
      <c r="F1871" s="60" t="str">
        <f>Ringkasan!F1942</f>
        <v/>
      </c>
      <c r="G1871" s="60" t="str">
        <f>Ringkasan!G1942</f>
        <v/>
      </c>
      <c r="H1871" s="60" t="str">
        <f>Ringkasan!H1942</f>
        <v/>
      </c>
      <c r="I1871" s="60" t="str">
        <f>Ringkasan!I1942</f>
        <v/>
      </c>
      <c r="J1871" s="60" t="str">
        <f>Ringkasan!J1942</f>
        <v/>
      </c>
      <c r="K1871" s="60" t="str">
        <f>Ringkasan!K1942</f>
        <v/>
      </c>
      <c r="L1871" s="60" t="str">
        <f>Ringkasan!L1942</f>
        <v/>
      </c>
      <c r="M1871" s="60" t="str">
        <f>Ringkasan!M1942</f>
        <v/>
      </c>
      <c r="N1871" s="60" t="str">
        <f>Ringkasan!N1942</f>
        <v/>
      </c>
      <c r="O1871" s="60" t="str">
        <f>Ringkasan!O1942</f>
        <v/>
      </c>
      <c r="P1871" s="60" t="str">
        <f>Ringkasan!P1942</f>
        <v/>
      </c>
      <c r="Q1871" s="60" t="str">
        <f>Ringkasan!Q1942</f>
        <v/>
      </c>
      <c r="R1871" s="60" t="str">
        <f>Ringkasan!R1942</f>
        <v/>
      </c>
      <c r="S1871" s="60" t="str">
        <f>Ringkasan!S1942</f>
        <v/>
      </c>
      <c r="T1871" s="60" t="str">
        <f>Ringkasan!T1942</f>
        <v/>
      </c>
      <c r="U1871" s="64" t="str">
        <f>Ringkasan!U1942</f>
        <v/>
      </c>
      <c r="V1871" s="64" t="str">
        <f>Ringkasan!V1942</f>
        <v/>
      </c>
      <c r="W1871" s="64" t="str">
        <f>Ringkasan!W1942</f>
        <v/>
      </c>
      <c r="X1871" s="64" t="str">
        <f>Ringkasan!X1942</f>
        <v/>
      </c>
      <c r="Y1871" s="64" t="str">
        <f>Ringkasan!Y1942</f>
        <v/>
      </c>
      <c r="Z1871" s="64" t="str">
        <f>Ringkasan!Z1942</f>
        <v/>
      </c>
      <c r="AA1871" s="64" t="str">
        <f>Ringkasan!AA1942</f>
        <v/>
      </c>
      <c r="AB1871" s="64" t="str">
        <f>Ringkasan!AB1942</f>
        <v/>
      </c>
    </row>
    <row r="1872">
      <c r="A1872" s="60" t="str">
        <f>Ringkasan!A1943</f>
        <v/>
      </c>
      <c r="B1872" s="60" t="str">
        <f>Ringkasan!B1943</f>
        <v/>
      </c>
      <c r="C1872" s="64" t="str">
        <f>Ringkasan!C1943</f>
        <v/>
      </c>
      <c r="D1872" s="64" t="str">
        <f>Ringkasan!D1943</f>
        <v/>
      </c>
      <c r="E1872" s="60" t="str">
        <f>Ringkasan!E1943</f>
        <v/>
      </c>
      <c r="F1872" s="60" t="str">
        <f>Ringkasan!F1943</f>
        <v/>
      </c>
      <c r="G1872" s="60" t="str">
        <f>Ringkasan!G1943</f>
        <v/>
      </c>
      <c r="H1872" s="60" t="str">
        <f>Ringkasan!H1943</f>
        <v/>
      </c>
      <c r="I1872" s="60" t="str">
        <f>Ringkasan!I1943</f>
        <v/>
      </c>
      <c r="J1872" s="60" t="str">
        <f>Ringkasan!J1943</f>
        <v/>
      </c>
      <c r="K1872" s="60" t="str">
        <f>Ringkasan!K1943</f>
        <v/>
      </c>
      <c r="L1872" s="60" t="str">
        <f>Ringkasan!L1943</f>
        <v/>
      </c>
      <c r="M1872" s="60" t="str">
        <f>Ringkasan!M1943</f>
        <v/>
      </c>
      <c r="N1872" s="60" t="str">
        <f>Ringkasan!N1943</f>
        <v/>
      </c>
      <c r="O1872" s="60" t="str">
        <f>Ringkasan!O1943</f>
        <v/>
      </c>
      <c r="P1872" s="60" t="str">
        <f>Ringkasan!P1943</f>
        <v/>
      </c>
      <c r="Q1872" s="60" t="str">
        <f>Ringkasan!Q1943</f>
        <v/>
      </c>
      <c r="R1872" s="60" t="str">
        <f>Ringkasan!R1943</f>
        <v/>
      </c>
      <c r="S1872" s="60" t="str">
        <f>Ringkasan!S1943</f>
        <v/>
      </c>
      <c r="T1872" s="60" t="str">
        <f>Ringkasan!T1943</f>
        <v/>
      </c>
      <c r="U1872" s="64" t="str">
        <f>Ringkasan!U1943</f>
        <v/>
      </c>
      <c r="V1872" s="64" t="str">
        <f>Ringkasan!V1943</f>
        <v/>
      </c>
      <c r="W1872" s="64" t="str">
        <f>Ringkasan!W1943</f>
        <v/>
      </c>
      <c r="X1872" s="64" t="str">
        <f>Ringkasan!X1943</f>
        <v/>
      </c>
      <c r="Y1872" s="64" t="str">
        <f>Ringkasan!Y1943</f>
        <v/>
      </c>
      <c r="Z1872" s="64" t="str">
        <f>Ringkasan!Z1943</f>
        <v/>
      </c>
      <c r="AA1872" s="64" t="str">
        <f>Ringkasan!AA1943</f>
        <v/>
      </c>
      <c r="AB1872" s="64" t="str">
        <f>Ringkasan!AB1943</f>
        <v/>
      </c>
    </row>
    <row r="1873">
      <c r="A1873" s="60" t="str">
        <f>Ringkasan!A1944</f>
        <v/>
      </c>
      <c r="B1873" s="60" t="str">
        <f>Ringkasan!B1944</f>
        <v/>
      </c>
      <c r="C1873" s="64" t="str">
        <f>Ringkasan!C1944</f>
        <v/>
      </c>
      <c r="D1873" s="64" t="str">
        <f>Ringkasan!D1944</f>
        <v/>
      </c>
      <c r="E1873" s="60" t="str">
        <f>Ringkasan!E1944</f>
        <v/>
      </c>
      <c r="F1873" s="60" t="str">
        <f>Ringkasan!F1944</f>
        <v/>
      </c>
      <c r="G1873" s="60" t="str">
        <f>Ringkasan!G1944</f>
        <v/>
      </c>
      <c r="H1873" s="60" t="str">
        <f>Ringkasan!H1944</f>
        <v/>
      </c>
      <c r="I1873" s="60" t="str">
        <f>Ringkasan!I1944</f>
        <v/>
      </c>
      <c r="J1873" s="60" t="str">
        <f>Ringkasan!J1944</f>
        <v/>
      </c>
      <c r="K1873" s="60" t="str">
        <f>Ringkasan!K1944</f>
        <v/>
      </c>
      <c r="L1873" s="60" t="str">
        <f>Ringkasan!L1944</f>
        <v/>
      </c>
      <c r="M1873" s="60" t="str">
        <f>Ringkasan!M1944</f>
        <v/>
      </c>
      <c r="N1873" s="60" t="str">
        <f>Ringkasan!N1944</f>
        <v/>
      </c>
      <c r="O1873" s="60" t="str">
        <f>Ringkasan!O1944</f>
        <v/>
      </c>
      <c r="P1873" s="60" t="str">
        <f>Ringkasan!P1944</f>
        <v/>
      </c>
      <c r="Q1873" s="60" t="str">
        <f>Ringkasan!Q1944</f>
        <v/>
      </c>
      <c r="R1873" s="60" t="str">
        <f>Ringkasan!R1944</f>
        <v/>
      </c>
      <c r="S1873" s="60" t="str">
        <f>Ringkasan!S1944</f>
        <v/>
      </c>
      <c r="T1873" s="60" t="str">
        <f>Ringkasan!T1944</f>
        <v/>
      </c>
      <c r="U1873" s="64" t="str">
        <f>Ringkasan!U1944</f>
        <v/>
      </c>
      <c r="V1873" s="64" t="str">
        <f>Ringkasan!V1944</f>
        <v/>
      </c>
      <c r="W1873" s="64" t="str">
        <f>Ringkasan!W1944</f>
        <v/>
      </c>
      <c r="X1873" s="64" t="str">
        <f>Ringkasan!X1944</f>
        <v/>
      </c>
      <c r="Y1873" s="64" t="str">
        <f>Ringkasan!Y1944</f>
        <v/>
      </c>
      <c r="Z1873" s="64" t="str">
        <f>Ringkasan!Z1944</f>
        <v/>
      </c>
      <c r="AA1873" s="64" t="str">
        <f>Ringkasan!AA1944</f>
        <v/>
      </c>
      <c r="AB1873" s="64" t="str">
        <f>Ringkasan!AB1944</f>
        <v/>
      </c>
    </row>
    <row r="1874">
      <c r="A1874" s="60" t="str">
        <f>Ringkasan!A1945</f>
        <v/>
      </c>
      <c r="B1874" s="60" t="str">
        <f>Ringkasan!B1945</f>
        <v/>
      </c>
      <c r="C1874" s="64" t="str">
        <f>Ringkasan!C1945</f>
        <v/>
      </c>
      <c r="D1874" s="64" t="str">
        <f>Ringkasan!D1945</f>
        <v/>
      </c>
      <c r="E1874" s="60" t="str">
        <f>Ringkasan!E1945</f>
        <v/>
      </c>
      <c r="F1874" s="60" t="str">
        <f>Ringkasan!F1945</f>
        <v/>
      </c>
      <c r="G1874" s="60" t="str">
        <f>Ringkasan!G1945</f>
        <v/>
      </c>
      <c r="H1874" s="60" t="str">
        <f>Ringkasan!H1945</f>
        <v/>
      </c>
      <c r="I1874" s="60" t="str">
        <f>Ringkasan!I1945</f>
        <v/>
      </c>
      <c r="J1874" s="60" t="str">
        <f>Ringkasan!J1945</f>
        <v/>
      </c>
      <c r="K1874" s="60" t="str">
        <f>Ringkasan!K1945</f>
        <v/>
      </c>
      <c r="L1874" s="60" t="str">
        <f>Ringkasan!L1945</f>
        <v/>
      </c>
      <c r="M1874" s="60" t="str">
        <f>Ringkasan!M1945</f>
        <v/>
      </c>
      <c r="N1874" s="60" t="str">
        <f>Ringkasan!N1945</f>
        <v/>
      </c>
      <c r="O1874" s="60" t="str">
        <f>Ringkasan!O1945</f>
        <v/>
      </c>
      <c r="P1874" s="60" t="str">
        <f>Ringkasan!P1945</f>
        <v/>
      </c>
      <c r="Q1874" s="60" t="str">
        <f>Ringkasan!Q1945</f>
        <v/>
      </c>
      <c r="R1874" s="60" t="str">
        <f>Ringkasan!R1945</f>
        <v/>
      </c>
      <c r="S1874" s="60" t="str">
        <f>Ringkasan!S1945</f>
        <v/>
      </c>
      <c r="T1874" s="60" t="str">
        <f>Ringkasan!T1945</f>
        <v/>
      </c>
      <c r="U1874" s="64" t="str">
        <f>Ringkasan!U1945</f>
        <v/>
      </c>
      <c r="V1874" s="64" t="str">
        <f>Ringkasan!V1945</f>
        <v/>
      </c>
      <c r="W1874" s="64" t="str">
        <f>Ringkasan!W1945</f>
        <v/>
      </c>
      <c r="X1874" s="64" t="str">
        <f>Ringkasan!X1945</f>
        <v/>
      </c>
      <c r="Y1874" s="64" t="str">
        <f>Ringkasan!Y1945</f>
        <v/>
      </c>
      <c r="Z1874" s="64" t="str">
        <f>Ringkasan!Z1945</f>
        <v/>
      </c>
      <c r="AA1874" s="64" t="str">
        <f>Ringkasan!AA1945</f>
        <v/>
      </c>
      <c r="AB1874" s="64" t="str">
        <f>Ringkasan!AB1945</f>
        <v/>
      </c>
    </row>
    <row r="1875">
      <c r="A1875" s="60" t="str">
        <f>Ringkasan!A1946</f>
        <v/>
      </c>
      <c r="B1875" s="60" t="str">
        <f>Ringkasan!B1946</f>
        <v/>
      </c>
      <c r="C1875" s="64" t="str">
        <f>Ringkasan!C1946</f>
        <v/>
      </c>
      <c r="D1875" s="64" t="str">
        <f>Ringkasan!D1946</f>
        <v/>
      </c>
      <c r="E1875" s="60" t="str">
        <f>Ringkasan!E1946</f>
        <v/>
      </c>
      <c r="F1875" s="60" t="str">
        <f>Ringkasan!F1946</f>
        <v/>
      </c>
      <c r="G1875" s="60" t="str">
        <f>Ringkasan!G1946</f>
        <v/>
      </c>
      <c r="H1875" s="60" t="str">
        <f>Ringkasan!H1946</f>
        <v/>
      </c>
      <c r="I1875" s="60" t="str">
        <f>Ringkasan!I1946</f>
        <v/>
      </c>
      <c r="J1875" s="60" t="str">
        <f>Ringkasan!J1946</f>
        <v/>
      </c>
      <c r="K1875" s="60" t="str">
        <f>Ringkasan!K1946</f>
        <v/>
      </c>
      <c r="L1875" s="60" t="str">
        <f>Ringkasan!L1946</f>
        <v/>
      </c>
      <c r="M1875" s="60" t="str">
        <f>Ringkasan!M1946</f>
        <v/>
      </c>
      <c r="N1875" s="60" t="str">
        <f>Ringkasan!N1946</f>
        <v/>
      </c>
      <c r="O1875" s="60" t="str">
        <f>Ringkasan!O1946</f>
        <v/>
      </c>
      <c r="P1875" s="60" t="str">
        <f>Ringkasan!P1946</f>
        <v/>
      </c>
      <c r="Q1875" s="60" t="str">
        <f>Ringkasan!Q1946</f>
        <v/>
      </c>
      <c r="R1875" s="60" t="str">
        <f>Ringkasan!R1946</f>
        <v/>
      </c>
      <c r="S1875" s="60" t="str">
        <f>Ringkasan!S1946</f>
        <v/>
      </c>
      <c r="T1875" s="60" t="str">
        <f>Ringkasan!T1946</f>
        <v/>
      </c>
      <c r="U1875" s="64" t="str">
        <f>Ringkasan!U1946</f>
        <v/>
      </c>
      <c r="V1875" s="64" t="str">
        <f>Ringkasan!V1946</f>
        <v/>
      </c>
      <c r="W1875" s="64" t="str">
        <f>Ringkasan!W1946</f>
        <v/>
      </c>
      <c r="X1875" s="64" t="str">
        <f>Ringkasan!X1946</f>
        <v/>
      </c>
      <c r="Y1875" s="64" t="str">
        <f>Ringkasan!Y1946</f>
        <v/>
      </c>
      <c r="Z1875" s="64" t="str">
        <f>Ringkasan!Z1946</f>
        <v/>
      </c>
      <c r="AA1875" s="64" t="str">
        <f>Ringkasan!AA1946</f>
        <v/>
      </c>
      <c r="AB1875" s="64" t="str">
        <f>Ringkasan!AB1946</f>
        <v/>
      </c>
    </row>
    <row r="1876">
      <c r="A1876" s="60" t="str">
        <f>Ringkasan!A1947</f>
        <v/>
      </c>
      <c r="B1876" s="60" t="str">
        <f>Ringkasan!B1947</f>
        <v/>
      </c>
      <c r="C1876" s="64" t="str">
        <f>Ringkasan!C1947</f>
        <v/>
      </c>
      <c r="D1876" s="64" t="str">
        <f>Ringkasan!D1947</f>
        <v/>
      </c>
      <c r="E1876" s="60" t="str">
        <f>Ringkasan!E1947</f>
        <v/>
      </c>
      <c r="F1876" s="60" t="str">
        <f>Ringkasan!F1947</f>
        <v/>
      </c>
      <c r="G1876" s="60" t="str">
        <f>Ringkasan!G1947</f>
        <v/>
      </c>
      <c r="H1876" s="60" t="str">
        <f>Ringkasan!H1947</f>
        <v/>
      </c>
      <c r="I1876" s="60" t="str">
        <f>Ringkasan!I1947</f>
        <v/>
      </c>
      <c r="J1876" s="60" t="str">
        <f>Ringkasan!J1947</f>
        <v/>
      </c>
      <c r="K1876" s="60" t="str">
        <f>Ringkasan!K1947</f>
        <v/>
      </c>
      <c r="L1876" s="60" t="str">
        <f>Ringkasan!L1947</f>
        <v/>
      </c>
      <c r="M1876" s="60" t="str">
        <f>Ringkasan!M1947</f>
        <v/>
      </c>
      <c r="N1876" s="60" t="str">
        <f>Ringkasan!N1947</f>
        <v/>
      </c>
      <c r="O1876" s="60" t="str">
        <f>Ringkasan!O1947</f>
        <v/>
      </c>
      <c r="P1876" s="60" t="str">
        <f>Ringkasan!P1947</f>
        <v/>
      </c>
      <c r="Q1876" s="60" t="str">
        <f>Ringkasan!Q1947</f>
        <v/>
      </c>
      <c r="R1876" s="60" t="str">
        <f>Ringkasan!R1947</f>
        <v/>
      </c>
      <c r="S1876" s="60" t="str">
        <f>Ringkasan!S1947</f>
        <v/>
      </c>
      <c r="T1876" s="60" t="str">
        <f>Ringkasan!T1947</f>
        <v/>
      </c>
      <c r="U1876" s="64" t="str">
        <f>Ringkasan!U1947</f>
        <v/>
      </c>
      <c r="V1876" s="64" t="str">
        <f>Ringkasan!V1947</f>
        <v/>
      </c>
      <c r="W1876" s="64" t="str">
        <f>Ringkasan!W1947</f>
        <v/>
      </c>
      <c r="X1876" s="64" t="str">
        <f>Ringkasan!X1947</f>
        <v/>
      </c>
      <c r="Y1876" s="64" t="str">
        <f>Ringkasan!Y1947</f>
        <v/>
      </c>
      <c r="Z1876" s="64" t="str">
        <f>Ringkasan!Z1947</f>
        <v/>
      </c>
      <c r="AA1876" s="64" t="str">
        <f>Ringkasan!AA1947</f>
        <v/>
      </c>
      <c r="AB1876" s="64" t="str">
        <f>Ringkasan!AB1947</f>
        <v/>
      </c>
    </row>
    <row r="1877">
      <c r="A1877" s="60" t="str">
        <f>Ringkasan!A1948</f>
        <v/>
      </c>
      <c r="B1877" s="60" t="str">
        <f>Ringkasan!B1948</f>
        <v/>
      </c>
      <c r="C1877" s="64" t="str">
        <f>Ringkasan!C1948</f>
        <v/>
      </c>
      <c r="D1877" s="64" t="str">
        <f>Ringkasan!D1948</f>
        <v/>
      </c>
      <c r="E1877" s="60" t="str">
        <f>Ringkasan!E1948</f>
        <v/>
      </c>
      <c r="F1877" s="60" t="str">
        <f>Ringkasan!F1948</f>
        <v/>
      </c>
      <c r="G1877" s="60" t="str">
        <f>Ringkasan!G1948</f>
        <v/>
      </c>
      <c r="H1877" s="60" t="str">
        <f>Ringkasan!H1948</f>
        <v/>
      </c>
      <c r="I1877" s="60" t="str">
        <f>Ringkasan!I1948</f>
        <v/>
      </c>
      <c r="J1877" s="60" t="str">
        <f>Ringkasan!J1948</f>
        <v/>
      </c>
      <c r="K1877" s="60" t="str">
        <f>Ringkasan!K1948</f>
        <v/>
      </c>
      <c r="L1877" s="60" t="str">
        <f>Ringkasan!L1948</f>
        <v/>
      </c>
      <c r="M1877" s="60" t="str">
        <f>Ringkasan!M1948</f>
        <v/>
      </c>
      <c r="N1877" s="60" t="str">
        <f>Ringkasan!N1948</f>
        <v/>
      </c>
      <c r="O1877" s="60" t="str">
        <f>Ringkasan!O1948</f>
        <v/>
      </c>
      <c r="P1877" s="60" t="str">
        <f>Ringkasan!P1948</f>
        <v/>
      </c>
      <c r="Q1877" s="60" t="str">
        <f>Ringkasan!Q1948</f>
        <v/>
      </c>
      <c r="R1877" s="60" t="str">
        <f>Ringkasan!R1948</f>
        <v/>
      </c>
      <c r="S1877" s="60" t="str">
        <f>Ringkasan!S1948</f>
        <v/>
      </c>
      <c r="T1877" s="60" t="str">
        <f>Ringkasan!T1948</f>
        <v/>
      </c>
      <c r="U1877" s="64" t="str">
        <f>Ringkasan!U1948</f>
        <v/>
      </c>
      <c r="V1877" s="64" t="str">
        <f>Ringkasan!V1948</f>
        <v/>
      </c>
      <c r="W1877" s="64" t="str">
        <f>Ringkasan!W1948</f>
        <v/>
      </c>
      <c r="X1877" s="64" t="str">
        <f>Ringkasan!X1948</f>
        <v/>
      </c>
      <c r="Y1877" s="64" t="str">
        <f>Ringkasan!Y1948</f>
        <v/>
      </c>
      <c r="Z1877" s="64" t="str">
        <f>Ringkasan!Z1948</f>
        <v/>
      </c>
      <c r="AA1877" s="64" t="str">
        <f>Ringkasan!AA1948</f>
        <v/>
      </c>
      <c r="AB1877" s="64" t="str">
        <f>Ringkasan!AB1948</f>
        <v/>
      </c>
    </row>
    <row r="1878">
      <c r="A1878" s="60" t="str">
        <f>Ringkasan!A1949</f>
        <v/>
      </c>
      <c r="B1878" s="60" t="str">
        <f>Ringkasan!B1949</f>
        <v/>
      </c>
      <c r="C1878" s="64" t="str">
        <f>Ringkasan!C1949</f>
        <v/>
      </c>
      <c r="D1878" s="64" t="str">
        <f>Ringkasan!D1949</f>
        <v/>
      </c>
      <c r="E1878" s="60" t="str">
        <f>Ringkasan!E1949</f>
        <v/>
      </c>
      <c r="F1878" s="60" t="str">
        <f>Ringkasan!F1949</f>
        <v/>
      </c>
      <c r="G1878" s="60" t="str">
        <f>Ringkasan!G1949</f>
        <v/>
      </c>
      <c r="H1878" s="60" t="str">
        <f>Ringkasan!H1949</f>
        <v/>
      </c>
      <c r="I1878" s="60" t="str">
        <f>Ringkasan!I1949</f>
        <v/>
      </c>
      <c r="J1878" s="60" t="str">
        <f>Ringkasan!J1949</f>
        <v/>
      </c>
      <c r="K1878" s="60" t="str">
        <f>Ringkasan!K1949</f>
        <v/>
      </c>
      <c r="L1878" s="60" t="str">
        <f>Ringkasan!L1949</f>
        <v/>
      </c>
      <c r="M1878" s="60" t="str">
        <f>Ringkasan!M1949</f>
        <v/>
      </c>
      <c r="N1878" s="60" t="str">
        <f>Ringkasan!N1949</f>
        <v/>
      </c>
      <c r="O1878" s="60" t="str">
        <f>Ringkasan!O1949</f>
        <v/>
      </c>
      <c r="P1878" s="60" t="str">
        <f>Ringkasan!P1949</f>
        <v/>
      </c>
      <c r="Q1878" s="60" t="str">
        <f>Ringkasan!Q1949</f>
        <v/>
      </c>
      <c r="R1878" s="60" t="str">
        <f>Ringkasan!R1949</f>
        <v/>
      </c>
      <c r="S1878" s="60" t="str">
        <f>Ringkasan!S1949</f>
        <v/>
      </c>
      <c r="T1878" s="60" t="str">
        <f>Ringkasan!T1949</f>
        <v/>
      </c>
      <c r="U1878" s="64" t="str">
        <f>Ringkasan!U1949</f>
        <v/>
      </c>
      <c r="V1878" s="64" t="str">
        <f>Ringkasan!V1949</f>
        <v/>
      </c>
      <c r="W1878" s="64" t="str">
        <f>Ringkasan!W1949</f>
        <v/>
      </c>
      <c r="X1878" s="64" t="str">
        <f>Ringkasan!X1949</f>
        <v/>
      </c>
      <c r="Y1878" s="64" t="str">
        <f>Ringkasan!Y1949</f>
        <v/>
      </c>
      <c r="Z1878" s="64" t="str">
        <f>Ringkasan!Z1949</f>
        <v/>
      </c>
      <c r="AA1878" s="64" t="str">
        <f>Ringkasan!AA1949</f>
        <v/>
      </c>
      <c r="AB1878" s="64" t="str">
        <f>Ringkasan!AB1949</f>
        <v/>
      </c>
    </row>
    <row r="1879">
      <c r="A1879" s="60" t="str">
        <f>Ringkasan!A1950</f>
        <v/>
      </c>
      <c r="B1879" s="60" t="str">
        <f>Ringkasan!B1950</f>
        <v/>
      </c>
      <c r="C1879" s="64" t="str">
        <f>Ringkasan!C1950</f>
        <v/>
      </c>
      <c r="D1879" s="64" t="str">
        <f>Ringkasan!D1950</f>
        <v/>
      </c>
      <c r="E1879" s="60" t="str">
        <f>Ringkasan!E1950</f>
        <v/>
      </c>
      <c r="F1879" s="60" t="str">
        <f>Ringkasan!F1950</f>
        <v/>
      </c>
      <c r="G1879" s="60" t="str">
        <f>Ringkasan!G1950</f>
        <v/>
      </c>
      <c r="H1879" s="60" t="str">
        <f>Ringkasan!H1950</f>
        <v/>
      </c>
      <c r="I1879" s="60" t="str">
        <f>Ringkasan!I1950</f>
        <v/>
      </c>
      <c r="J1879" s="60" t="str">
        <f>Ringkasan!J1950</f>
        <v/>
      </c>
      <c r="K1879" s="60" t="str">
        <f>Ringkasan!K1950</f>
        <v/>
      </c>
      <c r="L1879" s="60" t="str">
        <f>Ringkasan!L1950</f>
        <v/>
      </c>
      <c r="M1879" s="60" t="str">
        <f>Ringkasan!M1950</f>
        <v/>
      </c>
      <c r="N1879" s="60" t="str">
        <f>Ringkasan!N1950</f>
        <v/>
      </c>
      <c r="O1879" s="60" t="str">
        <f>Ringkasan!O1950</f>
        <v/>
      </c>
      <c r="P1879" s="60" t="str">
        <f>Ringkasan!P1950</f>
        <v/>
      </c>
      <c r="Q1879" s="60" t="str">
        <f>Ringkasan!Q1950</f>
        <v/>
      </c>
      <c r="R1879" s="60" t="str">
        <f>Ringkasan!R1950</f>
        <v/>
      </c>
      <c r="S1879" s="60" t="str">
        <f>Ringkasan!S1950</f>
        <v/>
      </c>
      <c r="T1879" s="60" t="str">
        <f>Ringkasan!T1950</f>
        <v/>
      </c>
      <c r="U1879" s="64" t="str">
        <f>Ringkasan!U1950</f>
        <v/>
      </c>
      <c r="V1879" s="64" t="str">
        <f>Ringkasan!V1950</f>
        <v/>
      </c>
      <c r="W1879" s="64" t="str">
        <f>Ringkasan!W1950</f>
        <v/>
      </c>
      <c r="X1879" s="64" t="str">
        <f>Ringkasan!X1950</f>
        <v/>
      </c>
      <c r="Y1879" s="64" t="str">
        <f>Ringkasan!Y1950</f>
        <v/>
      </c>
      <c r="Z1879" s="64" t="str">
        <f>Ringkasan!Z1950</f>
        <v/>
      </c>
      <c r="AA1879" s="64" t="str">
        <f>Ringkasan!AA1950</f>
        <v/>
      </c>
      <c r="AB1879" s="64" t="str">
        <f>Ringkasan!AB1950</f>
        <v/>
      </c>
    </row>
    <row r="1880">
      <c r="A1880" s="60" t="str">
        <f>Ringkasan!A1951</f>
        <v/>
      </c>
      <c r="B1880" s="60" t="str">
        <f>Ringkasan!B1951</f>
        <v/>
      </c>
      <c r="C1880" s="64" t="str">
        <f>Ringkasan!C1951</f>
        <v/>
      </c>
      <c r="D1880" s="64" t="str">
        <f>Ringkasan!D1951</f>
        <v/>
      </c>
      <c r="E1880" s="60" t="str">
        <f>Ringkasan!E1951</f>
        <v/>
      </c>
      <c r="F1880" s="60" t="str">
        <f>Ringkasan!F1951</f>
        <v/>
      </c>
      <c r="G1880" s="60" t="str">
        <f>Ringkasan!G1951</f>
        <v/>
      </c>
      <c r="H1880" s="60" t="str">
        <f>Ringkasan!H1951</f>
        <v/>
      </c>
      <c r="I1880" s="60" t="str">
        <f>Ringkasan!I1951</f>
        <v/>
      </c>
      <c r="J1880" s="60" t="str">
        <f>Ringkasan!J1951</f>
        <v/>
      </c>
      <c r="K1880" s="60" t="str">
        <f>Ringkasan!K1951</f>
        <v/>
      </c>
      <c r="L1880" s="60" t="str">
        <f>Ringkasan!L1951</f>
        <v/>
      </c>
      <c r="M1880" s="60" t="str">
        <f>Ringkasan!M1951</f>
        <v/>
      </c>
      <c r="N1880" s="60" t="str">
        <f>Ringkasan!N1951</f>
        <v/>
      </c>
      <c r="O1880" s="60" t="str">
        <f>Ringkasan!O1951</f>
        <v/>
      </c>
      <c r="P1880" s="60" t="str">
        <f>Ringkasan!P1951</f>
        <v/>
      </c>
      <c r="Q1880" s="60" t="str">
        <f>Ringkasan!Q1951</f>
        <v/>
      </c>
      <c r="R1880" s="60" t="str">
        <f>Ringkasan!R1951</f>
        <v/>
      </c>
      <c r="S1880" s="60" t="str">
        <f>Ringkasan!S1951</f>
        <v/>
      </c>
      <c r="T1880" s="60" t="str">
        <f>Ringkasan!T1951</f>
        <v/>
      </c>
      <c r="U1880" s="64" t="str">
        <f>Ringkasan!U1951</f>
        <v/>
      </c>
      <c r="V1880" s="64" t="str">
        <f>Ringkasan!V1951</f>
        <v/>
      </c>
      <c r="W1880" s="64" t="str">
        <f>Ringkasan!W1951</f>
        <v/>
      </c>
      <c r="X1880" s="64" t="str">
        <f>Ringkasan!X1951</f>
        <v/>
      </c>
      <c r="Y1880" s="64" t="str">
        <f>Ringkasan!Y1951</f>
        <v/>
      </c>
      <c r="Z1880" s="64" t="str">
        <f>Ringkasan!Z1951</f>
        <v/>
      </c>
      <c r="AA1880" s="64" t="str">
        <f>Ringkasan!AA1951</f>
        <v/>
      </c>
      <c r="AB1880" s="64" t="str">
        <f>Ringkasan!AB1951</f>
        <v/>
      </c>
    </row>
    <row r="1881">
      <c r="A1881" s="60" t="str">
        <f>Ringkasan!A1952</f>
        <v/>
      </c>
      <c r="B1881" s="60" t="str">
        <f>Ringkasan!B1952</f>
        <v/>
      </c>
      <c r="C1881" s="64" t="str">
        <f>Ringkasan!C1952</f>
        <v/>
      </c>
      <c r="D1881" s="64" t="str">
        <f>Ringkasan!D1952</f>
        <v/>
      </c>
      <c r="E1881" s="60" t="str">
        <f>Ringkasan!E1952</f>
        <v/>
      </c>
      <c r="F1881" s="60" t="str">
        <f>Ringkasan!F1952</f>
        <v/>
      </c>
      <c r="G1881" s="60" t="str">
        <f>Ringkasan!G1952</f>
        <v/>
      </c>
      <c r="H1881" s="60" t="str">
        <f>Ringkasan!H1952</f>
        <v/>
      </c>
      <c r="I1881" s="60" t="str">
        <f>Ringkasan!I1952</f>
        <v/>
      </c>
      <c r="J1881" s="60" t="str">
        <f>Ringkasan!J1952</f>
        <v/>
      </c>
      <c r="K1881" s="60" t="str">
        <f>Ringkasan!K1952</f>
        <v/>
      </c>
      <c r="L1881" s="60" t="str">
        <f>Ringkasan!L1952</f>
        <v/>
      </c>
      <c r="M1881" s="60" t="str">
        <f>Ringkasan!M1952</f>
        <v/>
      </c>
      <c r="N1881" s="60" t="str">
        <f>Ringkasan!N1952</f>
        <v/>
      </c>
      <c r="O1881" s="60" t="str">
        <f>Ringkasan!O1952</f>
        <v/>
      </c>
      <c r="P1881" s="60" t="str">
        <f>Ringkasan!P1952</f>
        <v/>
      </c>
      <c r="Q1881" s="60" t="str">
        <f>Ringkasan!Q1952</f>
        <v/>
      </c>
      <c r="R1881" s="60" t="str">
        <f>Ringkasan!R1952</f>
        <v/>
      </c>
      <c r="S1881" s="60" t="str">
        <f>Ringkasan!S1952</f>
        <v/>
      </c>
      <c r="T1881" s="60" t="str">
        <f>Ringkasan!T1952</f>
        <v/>
      </c>
      <c r="U1881" s="64" t="str">
        <f>Ringkasan!U1952</f>
        <v/>
      </c>
      <c r="V1881" s="64" t="str">
        <f>Ringkasan!V1952</f>
        <v/>
      </c>
      <c r="W1881" s="64" t="str">
        <f>Ringkasan!W1952</f>
        <v/>
      </c>
      <c r="X1881" s="64" t="str">
        <f>Ringkasan!X1952</f>
        <v/>
      </c>
      <c r="Y1881" s="64" t="str">
        <f>Ringkasan!Y1952</f>
        <v/>
      </c>
      <c r="Z1881" s="64" t="str">
        <f>Ringkasan!Z1952</f>
        <v/>
      </c>
      <c r="AA1881" s="64" t="str">
        <f>Ringkasan!AA1952</f>
        <v/>
      </c>
      <c r="AB1881" s="64" t="str">
        <f>Ringkasan!AB1952</f>
        <v/>
      </c>
    </row>
    <row r="1882">
      <c r="A1882" s="60" t="str">
        <f>Ringkasan!A1953</f>
        <v/>
      </c>
      <c r="B1882" s="60" t="str">
        <f>Ringkasan!B1953</f>
        <v/>
      </c>
      <c r="C1882" s="64" t="str">
        <f>Ringkasan!C1953</f>
        <v/>
      </c>
      <c r="D1882" s="64" t="str">
        <f>Ringkasan!D1953</f>
        <v/>
      </c>
      <c r="E1882" s="60" t="str">
        <f>Ringkasan!E1953</f>
        <v/>
      </c>
      <c r="F1882" s="60" t="str">
        <f>Ringkasan!F1953</f>
        <v/>
      </c>
      <c r="G1882" s="60" t="str">
        <f>Ringkasan!G1953</f>
        <v/>
      </c>
      <c r="H1882" s="60" t="str">
        <f>Ringkasan!H1953</f>
        <v/>
      </c>
      <c r="I1882" s="60" t="str">
        <f>Ringkasan!I1953</f>
        <v/>
      </c>
      <c r="J1882" s="60" t="str">
        <f>Ringkasan!J1953</f>
        <v/>
      </c>
      <c r="K1882" s="60" t="str">
        <f>Ringkasan!K1953</f>
        <v/>
      </c>
      <c r="L1882" s="60" t="str">
        <f>Ringkasan!L1953</f>
        <v/>
      </c>
      <c r="M1882" s="60" t="str">
        <f>Ringkasan!M1953</f>
        <v/>
      </c>
      <c r="N1882" s="60" t="str">
        <f>Ringkasan!N1953</f>
        <v/>
      </c>
      <c r="O1882" s="60" t="str">
        <f>Ringkasan!O1953</f>
        <v/>
      </c>
      <c r="P1882" s="60" t="str">
        <f>Ringkasan!P1953</f>
        <v/>
      </c>
      <c r="Q1882" s="60" t="str">
        <f>Ringkasan!Q1953</f>
        <v/>
      </c>
      <c r="R1882" s="60" t="str">
        <f>Ringkasan!R1953</f>
        <v/>
      </c>
      <c r="S1882" s="60" t="str">
        <f>Ringkasan!S1953</f>
        <v/>
      </c>
      <c r="T1882" s="60" t="str">
        <f>Ringkasan!T1953</f>
        <v/>
      </c>
      <c r="U1882" s="64" t="str">
        <f>Ringkasan!U1953</f>
        <v/>
      </c>
      <c r="V1882" s="64" t="str">
        <f>Ringkasan!V1953</f>
        <v/>
      </c>
      <c r="W1882" s="64" t="str">
        <f>Ringkasan!W1953</f>
        <v/>
      </c>
      <c r="X1882" s="64" t="str">
        <f>Ringkasan!X1953</f>
        <v/>
      </c>
      <c r="Y1882" s="64" t="str">
        <f>Ringkasan!Y1953</f>
        <v/>
      </c>
      <c r="Z1882" s="64" t="str">
        <f>Ringkasan!Z1953</f>
        <v/>
      </c>
      <c r="AA1882" s="64" t="str">
        <f>Ringkasan!AA1953</f>
        <v/>
      </c>
      <c r="AB1882" s="64" t="str">
        <f>Ringkasan!AB1953</f>
        <v/>
      </c>
    </row>
    <row r="1883">
      <c r="A1883" s="60" t="str">
        <f>Ringkasan!A1954</f>
        <v/>
      </c>
      <c r="B1883" s="60" t="str">
        <f>Ringkasan!B1954</f>
        <v/>
      </c>
      <c r="C1883" s="64" t="str">
        <f>Ringkasan!C1954</f>
        <v/>
      </c>
      <c r="D1883" s="64" t="str">
        <f>Ringkasan!D1954</f>
        <v/>
      </c>
      <c r="E1883" s="60" t="str">
        <f>Ringkasan!E1954</f>
        <v/>
      </c>
      <c r="F1883" s="60" t="str">
        <f>Ringkasan!F1954</f>
        <v/>
      </c>
      <c r="G1883" s="60" t="str">
        <f>Ringkasan!G1954</f>
        <v/>
      </c>
      <c r="H1883" s="60" t="str">
        <f>Ringkasan!H1954</f>
        <v/>
      </c>
      <c r="I1883" s="60" t="str">
        <f>Ringkasan!I1954</f>
        <v/>
      </c>
      <c r="J1883" s="60" t="str">
        <f>Ringkasan!J1954</f>
        <v/>
      </c>
      <c r="K1883" s="60" t="str">
        <f>Ringkasan!K1954</f>
        <v/>
      </c>
      <c r="L1883" s="60" t="str">
        <f>Ringkasan!L1954</f>
        <v/>
      </c>
      <c r="M1883" s="60" t="str">
        <f>Ringkasan!M1954</f>
        <v/>
      </c>
      <c r="N1883" s="60" t="str">
        <f>Ringkasan!N1954</f>
        <v/>
      </c>
      <c r="O1883" s="60" t="str">
        <f>Ringkasan!O1954</f>
        <v/>
      </c>
      <c r="P1883" s="60" t="str">
        <f>Ringkasan!P1954</f>
        <v/>
      </c>
      <c r="Q1883" s="60" t="str">
        <f>Ringkasan!Q1954</f>
        <v/>
      </c>
      <c r="R1883" s="60" t="str">
        <f>Ringkasan!R1954</f>
        <v/>
      </c>
      <c r="S1883" s="60" t="str">
        <f>Ringkasan!S1954</f>
        <v/>
      </c>
      <c r="T1883" s="60" t="str">
        <f>Ringkasan!T1954</f>
        <v/>
      </c>
      <c r="U1883" s="64" t="str">
        <f>Ringkasan!U1954</f>
        <v/>
      </c>
      <c r="V1883" s="64" t="str">
        <f>Ringkasan!V1954</f>
        <v/>
      </c>
      <c r="W1883" s="64" t="str">
        <f>Ringkasan!W1954</f>
        <v/>
      </c>
      <c r="X1883" s="64" t="str">
        <f>Ringkasan!X1954</f>
        <v/>
      </c>
      <c r="Y1883" s="64" t="str">
        <f>Ringkasan!Y1954</f>
        <v/>
      </c>
      <c r="Z1883" s="64" t="str">
        <f>Ringkasan!Z1954</f>
        <v/>
      </c>
      <c r="AA1883" s="64" t="str">
        <f>Ringkasan!AA1954</f>
        <v/>
      </c>
      <c r="AB1883" s="64" t="str">
        <f>Ringkasan!AB1954</f>
        <v/>
      </c>
    </row>
    <row r="1884">
      <c r="A1884" s="60" t="str">
        <f>Ringkasan!A1955</f>
        <v/>
      </c>
      <c r="B1884" s="60" t="str">
        <f>Ringkasan!B1955</f>
        <v/>
      </c>
      <c r="C1884" s="64" t="str">
        <f>Ringkasan!C1955</f>
        <v/>
      </c>
      <c r="D1884" s="64" t="str">
        <f>Ringkasan!D1955</f>
        <v/>
      </c>
      <c r="E1884" s="60" t="str">
        <f>Ringkasan!E1955</f>
        <v/>
      </c>
      <c r="F1884" s="60" t="str">
        <f>Ringkasan!F1955</f>
        <v/>
      </c>
      <c r="G1884" s="60" t="str">
        <f>Ringkasan!G1955</f>
        <v/>
      </c>
      <c r="H1884" s="60" t="str">
        <f>Ringkasan!H1955</f>
        <v/>
      </c>
      <c r="I1884" s="60" t="str">
        <f>Ringkasan!I1955</f>
        <v/>
      </c>
      <c r="J1884" s="60" t="str">
        <f>Ringkasan!J1955</f>
        <v/>
      </c>
      <c r="K1884" s="60" t="str">
        <f>Ringkasan!K1955</f>
        <v/>
      </c>
      <c r="L1884" s="60" t="str">
        <f>Ringkasan!L1955</f>
        <v/>
      </c>
      <c r="M1884" s="60" t="str">
        <f>Ringkasan!M1955</f>
        <v/>
      </c>
      <c r="N1884" s="60" t="str">
        <f>Ringkasan!N1955</f>
        <v/>
      </c>
      <c r="O1884" s="60" t="str">
        <f>Ringkasan!O1955</f>
        <v/>
      </c>
      <c r="P1884" s="60" t="str">
        <f>Ringkasan!P1955</f>
        <v/>
      </c>
      <c r="Q1884" s="60" t="str">
        <f>Ringkasan!Q1955</f>
        <v/>
      </c>
      <c r="R1884" s="60" t="str">
        <f>Ringkasan!R1955</f>
        <v/>
      </c>
      <c r="S1884" s="60" t="str">
        <f>Ringkasan!S1955</f>
        <v/>
      </c>
      <c r="T1884" s="60" t="str">
        <f>Ringkasan!T1955</f>
        <v/>
      </c>
      <c r="U1884" s="64" t="str">
        <f>Ringkasan!U1955</f>
        <v/>
      </c>
      <c r="V1884" s="64" t="str">
        <f>Ringkasan!V1955</f>
        <v/>
      </c>
      <c r="W1884" s="64" t="str">
        <f>Ringkasan!W1955</f>
        <v/>
      </c>
      <c r="X1884" s="64" t="str">
        <f>Ringkasan!X1955</f>
        <v/>
      </c>
      <c r="Y1884" s="64" t="str">
        <f>Ringkasan!Y1955</f>
        <v/>
      </c>
      <c r="Z1884" s="64" t="str">
        <f>Ringkasan!Z1955</f>
        <v/>
      </c>
      <c r="AA1884" s="64" t="str">
        <f>Ringkasan!AA1955</f>
        <v/>
      </c>
      <c r="AB1884" s="64" t="str">
        <f>Ringkasan!AB1955</f>
        <v/>
      </c>
    </row>
    <row r="1885">
      <c r="A1885" s="60" t="str">
        <f>Ringkasan!A1956</f>
        <v/>
      </c>
      <c r="B1885" s="60" t="str">
        <f>Ringkasan!B1956</f>
        <v/>
      </c>
      <c r="C1885" s="64" t="str">
        <f>Ringkasan!C1956</f>
        <v/>
      </c>
      <c r="D1885" s="64" t="str">
        <f>Ringkasan!D1956</f>
        <v/>
      </c>
      <c r="E1885" s="60" t="str">
        <f>Ringkasan!E1956</f>
        <v/>
      </c>
      <c r="F1885" s="60" t="str">
        <f>Ringkasan!F1956</f>
        <v/>
      </c>
      <c r="G1885" s="60" t="str">
        <f>Ringkasan!G1956</f>
        <v/>
      </c>
      <c r="H1885" s="60" t="str">
        <f>Ringkasan!H1956</f>
        <v/>
      </c>
      <c r="I1885" s="60" t="str">
        <f>Ringkasan!I1956</f>
        <v/>
      </c>
      <c r="J1885" s="60" t="str">
        <f>Ringkasan!J1956</f>
        <v/>
      </c>
      <c r="K1885" s="60" t="str">
        <f>Ringkasan!K1956</f>
        <v/>
      </c>
      <c r="L1885" s="60" t="str">
        <f>Ringkasan!L1956</f>
        <v/>
      </c>
      <c r="M1885" s="60" t="str">
        <f>Ringkasan!M1956</f>
        <v/>
      </c>
      <c r="N1885" s="60" t="str">
        <f>Ringkasan!N1956</f>
        <v/>
      </c>
      <c r="O1885" s="60" t="str">
        <f>Ringkasan!O1956</f>
        <v/>
      </c>
      <c r="P1885" s="60" t="str">
        <f>Ringkasan!P1956</f>
        <v/>
      </c>
      <c r="Q1885" s="60" t="str">
        <f>Ringkasan!Q1956</f>
        <v/>
      </c>
      <c r="R1885" s="60" t="str">
        <f>Ringkasan!R1956</f>
        <v/>
      </c>
      <c r="S1885" s="60" t="str">
        <f>Ringkasan!S1956</f>
        <v/>
      </c>
      <c r="T1885" s="60" t="str">
        <f>Ringkasan!T1956</f>
        <v/>
      </c>
      <c r="U1885" s="64" t="str">
        <f>Ringkasan!U1956</f>
        <v/>
      </c>
      <c r="V1885" s="64" t="str">
        <f>Ringkasan!V1956</f>
        <v/>
      </c>
      <c r="W1885" s="64" t="str">
        <f>Ringkasan!W1956</f>
        <v/>
      </c>
      <c r="X1885" s="64" t="str">
        <f>Ringkasan!X1956</f>
        <v/>
      </c>
      <c r="Y1885" s="64" t="str">
        <f>Ringkasan!Y1956</f>
        <v/>
      </c>
      <c r="Z1885" s="64" t="str">
        <f>Ringkasan!Z1956</f>
        <v/>
      </c>
      <c r="AA1885" s="64" t="str">
        <f>Ringkasan!AA1956</f>
        <v/>
      </c>
      <c r="AB1885" s="64" t="str">
        <f>Ringkasan!AB1956</f>
        <v/>
      </c>
    </row>
    <row r="1886">
      <c r="A1886" s="60" t="str">
        <f>Ringkasan!A1957</f>
        <v/>
      </c>
      <c r="B1886" s="60" t="str">
        <f>Ringkasan!B1957</f>
        <v/>
      </c>
      <c r="C1886" s="64" t="str">
        <f>Ringkasan!C1957</f>
        <v/>
      </c>
      <c r="D1886" s="64" t="str">
        <f>Ringkasan!D1957</f>
        <v/>
      </c>
      <c r="E1886" s="60" t="str">
        <f>Ringkasan!E1957</f>
        <v/>
      </c>
      <c r="F1886" s="60" t="str">
        <f>Ringkasan!F1957</f>
        <v/>
      </c>
      <c r="G1886" s="60" t="str">
        <f>Ringkasan!G1957</f>
        <v/>
      </c>
      <c r="H1886" s="60" t="str">
        <f>Ringkasan!H1957</f>
        <v/>
      </c>
      <c r="I1886" s="60" t="str">
        <f>Ringkasan!I1957</f>
        <v/>
      </c>
      <c r="J1886" s="60" t="str">
        <f>Ringkasan!J1957</f>
        <v/>
      </c>
      <c r="K1886" s="60" t="str">
        <f>Ringkasan!K1957</f>
        <v/>
      </c>
      <c r="L1886" s="60" t="str">
        <f>Ringkasan!L1957</f>
        <v/>
      </c>
      <c r="M1886" s="60" t="str">
        <f>Ringkasan!M1957</f>
        <v/>
      </c>
      <c r="N1886" s="60" t="str">
        <f>Ringkasan!N1957</f>
        <v/>
      </c>
      <c r="O1886" s="60" t="str">
        <f>Ringkasan!O1957</f>
        <v/>
      </c>
      <c r="P1886" s="60" t="str">
        <f>Ringkasan!P1957</f>
        <v/>
      </c>
      <c r="Q1886" s="60" t="str">
        <f>Ringkasan!Q1957</f>
        <v/>
      </c>
      <c r="R1886" s="60" t="str">
        <f>Ringkasan!R1957</f>
        <v/>
      </c>
      <c r="S1886" s="60" t="str">
        <f>Ringkasan!S1957</f>
        <v/>
      </c>
      <c r="T1886" s="60" t="str">
        <f>Ringkasan!T1957</f>
        <v/>
      </c>
      <c r="U1886" s="64" t="str">
        <f>Ringkasan!U1957</f>
        <v/>
      </c>
      <c r="V1886" s="64" t="str">
        <f>Ringkasan!V1957</f>
        <v/>
      </c>
      <c r="W1886" s="64" t="str">
        <f>Ringkasan!W1957</f>
        <v/>
      </c>
      <c r="X1886" s="64" t="str">
        <f>Ringkasan!X1957</f>
        <v/>
      </c>
      <c r="Y1886" s="64" t="str">
        <f>Ringkasan!Y1957</f>
        <v/>
      </c>
      <c r="Z1886" s="64" t="str">
        <f>Ringkasan!Z1957</f>
        <v/>
      </c>
      <c r="AA1886" s="64" t="str">
        <f>Ringkasan!AA1957</f>
        <v/>
      </c>
      <c r="AB1886" s="64" t="str">
        <f>Ringkasan!AB1957</f>
        <v/>
      </c>
    </row>
    <row r="1887">
      <c r="A1887" s="60" t="str">
        <f>Ringkasan!A1958</f>
        <v/>
      </c>
      <c r="B1887" s="60" t="str">
        <f>Ringkasan!B1958</f>
        <v/>
      </c>
      <c r="C1887" s="64" t="str">
        <f>Ringkasan!C1958</f>
        <v/>
      </c>
      <c r="D1887" s="64" t="str">
        <f>Ringkasan!D1958</f>
        <v/>
      </c>
      <c r="E1887" s="60" t="str">
        <f>Ringkasan!E1958</f>
        <v/>
      </c>
      <c r="F1887" s="60" t="str">
        <f>Ringkasan!F1958</f>
        <v/>
      </c>
      <c r="G1887" s="60" t="str">
        <f>Ringkasan!G1958</f>
        <v/>
      </c>
      <c r="H1887" s="60" t="str">
        <f>Ringkasan!H1958</f>
        <v/>
      </c>
      <c r="I1887" s="60" t="str">
        <f>Ringkasan!I1958</f>
        <v/>
      </c>
      <c r="J1887" s="60" t="str">
        <f>Ringkasan!J1958</f>
        <v/>
      </c>
      <c r="K1887" s="60" t="str">
        <f>Ringkasan!K1958</f>
        <v/>
      </c>
      <c r="L1887" s="60" t="str">
        <f>Ringkasan!L1958</f>
        <v/>
      </c>
      <c r="M1887" s="60" t="str">
        <f>Ringkasan!M1958</f>
        <v/>
      </c>
      <c r="N1887" s="60" t="str">
        <f>Ringkasan!N1958</f>
        <v/>
      </c>
      <c r="O1887" s="60" t="str">
        <f>Ringkasan!O1958</f>
        <v/>
      </c>
      <c r="P1887" s="60" t="str">
        <f>Ringkasan!P1958</f>
        <v/>
      </c>
      <c r="Q1887" s="60" t="str">
        <f>Ringkasan!Q1958</f>
        <v/>
      </c>
      <c r="R1887" s="60" t="str">
        <f>Ringkasan!R1958</f>
        <v/>
      </c>
      <c r="S1887" s="60" t="str">
        <f>Ringkasan!S1958</f>
        <v/>
      </c>
      <c r="T1887" s="60" t="str">
        <f>Ringkasan!T1958</f>
        <v/>
      </c>
      <c r="U1887" s="64" t="str">
        <f>Ringkasan!U1958</f>
        <v/>
      </c>
      <c r="V1887" s="64" t="str">
        <f>Ringkasan!V1958</f>
        <v/>
      </c>
      <c r="W1887" s="64" t="str">
        <f>Ringkasan!W1958</f>
        <v/>
      </c>
      <c r="X1887" s="64" t="str">
        <f>Ringkasan!X1958</f>
        <v/>
      </c>
      <c r="Y1887" s="64" t="str">
        <f>Ringkasan!Y1958</f>
        <v/>
      </c>
      <c r="Z1887" s="64" t="str">
        <f>Ringkasan!Z1958</f>
        <v/>
      </c>
      <c r="AA1887" s="64" t="str">
        <f>Ringkasan!AA1958</f>
        <v/>
      </c>
      <c r="AB1887" s="64" t="str">
        <f>Ringkasan!AB1958</f>
        <v/>
      </c>
    </row>
    <row r="1888">
      <c r="A1888" s="60" t="str">
        <f>Ringkasan!A1959</f>
        <v/>
      </c>
      <c r="B1888" s="60" t="str">
        <f>Ringkasan!B1959</f>
        <v/>
      </c>
      <c r="C1888" s="64" t="str">
        <f>Ringkasan!C1959</f>
        <v/>
      </c>
      <c r="D1888" s="64" t="str">
        <f>Ringkasan!D1959</f>
        <v/>
      </c>
      <c r="E1888" s="60" t="str">
        <f>Ringkasan!E1959</f>
        <v/>
      </c>
      <c r="F1888" s="60" t="str">
        <f>Ringkasan!F1959</f>
        <v/>
      </c>
      <c r="G1888" s="60" t="str">
        <f>Ringkasan!G1959</f>
        <v/>
      </c>
      <c r="H1888" s="60" t="str">
        <f>Ringkasan!H1959</f>
        <v/>
      </c>
      <c r="I1888" s="60" t="str">
        <f>Ringkasan!I1959</f>
        <v/>
      </c>
      <c r="J1888" s="60" t="str">
        <f>Ringkasan!J1959</f>
        <v/>
      </c>
      <c r="K1888" s="60" t="str">
        <f>Ringkasan!K1959</f>
        <v/>
      </c>
      <c r="L1888" s="60" t="str">
        <f>Ringkasan!L1959</f>
        <v/>
      </c>
      <c r="M1888" s="60" t="str">
        <f>Ringkasan!M1959</f>
        <v/>
      </c>
      <c r="N1888" s="60" t="str">
        <f>Ringkasan!N1959</f>
        <v/>
      </c>
      <c r="O1888" s="60" t="str">
        <f>Ringkasan!O1959</f>
        <v/>
      </c>
      <c r="P1888" s="60" t="str">
        <f>Ringkasan!P1959</f>
        <v/>
      </c>
      <c r="Q1888" s="60" t="str">
        <f>Ringkasan!Q1959</f>
        <v/>
      </c>
      <c r="R1888" s="60" t="str">
        <f>Ringkasan!R1959</f>
        <v/>
      </c>
      <c r="S1888" s="60" t="str">
        <f>Ringkasan!S1959</f>
        <v/>
      </c>
      <c r="T1888" s="60" t="str">
        <f>Ringkasan!T1959</f>
        <v/>
      </c>
      <c r="U1888" s="64" t="str">
        <f>Ringkasan!U1959</f>
        <v/>
      </c>
      <c r="V1888" s="64" t="str">
        <f>Ringkasan!V1959</f>
        <v/>
      </c>
      <c r="W1888" s="64" t="str">
        <f>Ringkasan!W1959</f>
        <v/>
      </c>
      <c r="X1888" s="64" t="str">
        <f>Ringkasan!X1959</f>
        <v/>
      </c>
      <c r="Y1888" s="64" t="str">
        <f>Ringkasan!Y1959</f>
        <v/>
      </c>
      <c r="Z1888" s="64" t="str">
        <f>Ringkasan!Z1959</f>
        <v/>
      </c>
      <c r="AA1888" s="64" t="str">
        <f>Ringkasan!AA1959</f>
        <v/>
      </c>
      <c r="AB1888" s="64" t="str">
        <f>Ringkasan!AB1959</f>
        <v/>
      </c>
    </row>
    <row r="1889">
      <c r="A1889" s="60" t="str">
        <f>Ringkasan!A1960</f>
        <v/>
      </c>
      <c r="B1889" s="60" t="str">
        <f>Ringkasan!B1960</f>
        <v/>
      </c>
      <c r="C1889" s="64" t="str">
        <f>Ringkasan!C1960</f>
        <v/>
      </c>
      <c r="D1889" s="64" t="str">
        <f>Ringkasan!D1960</f>
        <v/>
      </c>
      <c r="E1889" s="60" t="str">
        <f>Ringkasan!E1960</f>
        <v/>
      </c>
      <c r="F1889" s="60" t="str">
        <f>Ringkasan!F1960</f>
        <v/>
      </c>
      <c r="G1889" s="60" t="str">
        <f>Ringkasan!G1960</f>
        <v/>
      </c>
      <c r="H1889" s="60" t="str">
        <f>Ringkasan!H1960</f>
        <v/>
      </c>
      <c r="I1889" s="60" t="str">
        <f>Ringkasan!I1960</f>
        <v/>
      </c>
      <c r="J1889" s="60" t="str">
        <f>Ringkasan!J1960</f>
        <v/>
      </c>
      <c r="K1889" s="60" t="str">
        <f>Ringkasan!K1960</f>
        <v/>
      </c>
      <c r="L1889" s="60" t="str">
        <f>Ringkasan!L1960</f>
        <v/>
      </c>
      <c r="M1889" s="60" t="str">
        <f>Ringkasan!M1960</f>
        <v/>
      </c>
      <c r="N1889" s="60" t="str">
        <f>Ringkasan!N1960</f>
        <v/>
      </c>
      <c r="O1889" s="60" t="str">
        <f>Ringkasan!O1960</f>
        <v/>
      </c>
      <c r="P1889" s="60" t="str">
        <f>Ringkasan!P1960</f>
        <v/>
      </c>
      <c r="Q1889" s="60" t="str">
        <f>Ringkasan!Q1960</f>
        <v/>
      </c>
      <c r="R1889" s="60" t="str">
        <f>Ringkasan!R1960</f>
        <v/>
      </c>
      <c r="S1889" s="60" t="str">
        <f>Ringkasan!S1960</f>
        <v/>
      </c>
      <c r="T1889" s="60" t="str">
        <f>Ringkasan!T1960</f>
        <v/>
      </c>
      <c r="U1889" s="64" t="str">
        <f>Ringkasan!U1960</f>
        <v/>
      </c>
      <c r="V1889" s="64" t="str">
        <f>Ringkasan!V1960</f>
        <v/>
      </c>
      <c r="W1889" s="64" t="str">
        <f>Ringkasan!W1960</f>
        <v/>
      </c>
      <c r="X1889" s="64" t="str">
        <f>Ringkasan!X1960</f>
        <v/>
      </c>
      <c r="Y1889" s="64" t="str">
        <f>Ringkasan!Y1960</f>
        <v/>
      </c>
      <c r="Z1889" s="64" t="str">
        <f>Ringkasan!Z1960</f>
        <v/>
      </c>
      <c r="AA1889" s="64" t="str">
        <f>Ringkasan!AA1960</f>
        <v/>
      </c>
      <c r="AB1889" s="64" t="str">
        <f>Ringkasan!AB1960</f>
        <v/>
      </c>
    </row>
    <row r="1890">
      <c r="A1890" s="60" t="str">
        <f>Ringkasan!A1961</f>
        <v/>
      </c>
      <c r="B1890" s="60" t="str">
        <f>Ringkasan!B1961</f>
        <v/>
      </c>
      <c r="C1890" s="64" t="str">
        <f>Ringkasan!C1961</f>
        <v/>
      </c>
      <c r="D1890" s="64" t="str">
        <f>Ringkasan!D1961</f>
        <v/>
      </c>
      <c r="E1890" s="60" t="str">
        <f>Ringkasan!E1961</f>
        <v/>
      </c>
      <c r="F1890" s="60" t="str">
        <f>Ringkasan!F1961</f>
        <v/>
      </c>
      <c r="G1890" s="60" t="str">
        <f>Ringkasan!G1961</f>
        <v/>
      </c>
      <c r="H1890" s="60" t="str">
        <f>Ringkasan!H1961</f>
        <v/>
      </c>
      <c r="I1890" s="60" t="str">
        <f>Ringkasan!I1961</f>
        <v/>
      </c>
      <c r="J1890" s="60" t="str">
        <f>Ringkasan!J1961</f>
        <v/>
      </c>
      <c r="K1890" s="60" t="str">
        <f>Ringkasan!K1961</f>
        <v/>
      </c>
      <c r="L1890" s="60" t="str">
        <f>Ringkasan!L1961</f>
        <v/>
      </c>
      <c r="M1890" s="60" t="str">
        <f>Ringkasan!M1961</f>
        <v/>
      </c>
      <c r="N1890" s="60" t="str">
        <f>Ringkasan!N1961</f>
        <v/>
      </c>
      <c r="O1890" s="60" t="str">
        <f>Ringkasan!O1961</f>
        <v/>
      </c>
      <c r="P1890" s="60" t="str">
        <f>Ringkasan!P1961</f>
        <v/>
      </c>
      <c r="Q1890" s="60" t="str">
        <f>Ringkasan!Q1961</f>
        <v/>
      </c>
      <c r="R1890" s="60" t="str">
        <f>Ringkasan!R1961</f>
        <v/>
      </c>
      <c r="S1890" s="60" t="str">
        <f>Ringkasan!S1961</f>
        <v/>
      </c>
      <c r="T1890" s="60" t="str">
        <f>Ringkasan!T1961</f>
        <v/>
      </c>
      <c r="U1890" s="64" t="str">
        <f>Ringkasan!U1961</f>
        <v/>
      </c>
      <c r="V1890" s="64" t="str">
        <f>Ringkasan!V1961</f>
        <v/>
      </c>
      <c r="W1890" s="64" t="str">
        <f>Ringkasan!W1961</f>
        <v/>
      </c>
      <c r="X1890" s="64" t="str">
        <f>Ringkasan!X1961</f>
        <v/>
      </c>
      <c r="Y1890" s="64" t="str">
        <f>Ringkasan!Y1961</f>
        <v/>
      </c>
      <c r="Z1890" s="64" t="str">
        <f>Ringkasan!Z1961</f>
        <v/>
      </c>
      <c r="AA1890" s="64" t="str">
        <f>Ringkasan!AA1961</f>
        <v/>
      </c>
      <c r="AB1890" s="64" t="str">
        <f>Ringkasan!AB1961</f>
        <v/>
      </c>
    </row>
    <row r="1891">
      <c r="A1891" s="60" t="str">
        <f>Ringkasan!A1962</f>
        <v/>
      </c>
      <c r="B1891" s="60" t="str">
        <f>Ringkasan!B1962</f>
        <v/>
      </c>
      <c r="C1891" s="64" t="str">
        <f>Ringkasan!C1962</f>
        <v/>
      </c>
      <c r="D1891" s="64" t="str">
        <f>Ringkasan!D1962</f>
        <v/>
      </c>
      <c r="E1891" s="60" t="str">
        <f>Ringkasan!E1962</f>
        <v/>
      </c>
      <c r="F1891" s="60" t="str">
        <f>Ringkasan!F1962</f>
        <v/>
      </c>
      <c r="G1891" s="60" t="str">
        <f>Ringkasan!G1962</f>
        <v/>
      </c>
      <c r="H1891" s="60" t="str">
        <f>Ringkasan!H1962</f>
        <v/>
      </c>
      <c r="I1891" s="60" t="str">
        <f>Ringkasan!I1962</f>
        <v/>
      </c>
      <c r="J1891" s="60" t="str">
        <f>Ringkasan!J1962</f>
        <v/>
      </c>
      <c r="K1891" s="60" t="str">
        <f>Ringkasan!K1962</f>
        <v/>
      </c>
      <c r="L1891" s="60" t="str">
        <f>Ringkasan!L1962</f>
        <v/>
      </c>
      <c r="M1891" s="60" t="str">
        <f>Ringkasan!M1962</f>
        <v/>
      </c>
      <c r="N1891" s="60" t="str">
        <f>Ringkasan!N1962</f>
        <v/>
      </c>
      <c r="O1891" s="60" t="str">
        <f>Ringkasan!O1962</f>
        <v/>
      </c>
      <c r="P1891" s="60" t="str">
        <f>Ringkasan!P1962</f>
        <v/>
      </c>
      <c r="Q1891" s="60" t="str">
        <f>Ringkasan!Q1962</f>
        <v/>
      </c>
      <c r="R1891" s="60" t="str">
        <f>Ringkasan!R1962</f>
        <v/>
      </c>
      <c r="S1891" s="60" t="str">
        <f>Ringkasan!S1962</f>
        <v/>
      </c>
      <c r="T1891" s="60" t="str">
        <f>Ringkasan!T1962</f>
        <v/>
      </c>
      <c r="U1891" s="64" t="str">
        <f>Ringkasan!U1962</f>
        <v/>
      </c>
      <c r="V1891" s="64" t="str">
        <f>Ringkasan!V1962</f>
        <v/>
      </c>
      <c r="W1891" s="64" t="str">
        <f>Ringkasan!W1962</f>
        <v/>
      </c>
      <c r="X1891" s="64" t="str">
        <f>Ringkasan!X1962</f>
        <v/>
      </c>
      <c r="Y1891" s="64" t="str">
        <f>Ringkasan!Y1962</f>
        <v/>
      </c>
      <c r="Z1891" s="64" t="str">
        <f>Ringkasan!Z1962</f>
        <v/>
      </c>
      <c r="AA1891" s="64" t="str">
        <f>Ringkasan!AA1962</f>
        <v/>
      </c>
      <c r="AB1891" s="64" t="str">
        <f>Ringkasan!AB1962</f>
        <v/>
      </c>
    </row>
    <row r="1892">
      <c r="A1892" s="60" t="str">
        <f>Ringkasan!A1963</f>
        <v/>
      </c>
      <c r="B1892" s="60" t="str">
        <f>Ringkasan!B1963</f>
        <v/>
      </c>
      <c r="C1892" s="64" t="str">
        <f>Ringkasan!C1963</f>
        <v/>
      </c>
      <c r="D1892" s="64" t="str">
        <f>Ringkasan!D1963</f>
        <v/>
      </c>
      <c r="E1892" s="60" t="str">
        <f>Ringkasan!E1963</f>
        <v/>
      </c>
      <c r="F1892" s="60" t="str">
        <f>Ringkasan!F1963</f>
        <v/>
      </c>
      <c r="G1892" s="60" t="str">
        <f>Ringkasan!G1963</f>
        <v/>
      </c>
      <c r="H1892" s="60" t="str">
        <f>Ringkasan!H1963</f>
        <v/>
      </c>
      <c r="I1892" s="60" t="str">
        <f>Ringkasan!I1963</f>
        <v/>
      </c>
      <c r="J1892" s="60" t="str">
        <f>Ringkasan!J1963</f>
        <v/>
      </c>
      <c r="K1892" s="60" t="str">
        <f>Ringkasan!K1963</f>
        <v/>
      </c>
      <c r="L1892" s="60" t="str">
        <f>Ringkasan!L1963</f>
        <v/>
      </c>
      <c r="M1892" s="60" t="str">
        <f>Ringkasan!M1963</f>
        <v/>
      </c>
      <c r="N1892" s="60" t="str">
        <f>Ringkasan!N1963</f>
        <v/>
      </c>
      <c r="O1892" s="60" t="str">
        <f>Ringkasan!O1963</f>
        <v/>
      </c>
      <c r="P1892" s="60" t="str">
        <f>Ringkasan!P1963</f>
        <v/>
      </c>
      <c r="Q1892" s="60" t="str">
        <f>Ringkasan!Q1963</f>
        <v/>
      </c>
      <c r="R1892" s="60" t="str">
        <f>Ringkasan!R1963</f>
        <v/>
      </c>
      <c r="S1892" s="60" t="str">
        <f>Ringkasan!S1963</f>
        <v/>
      </c>
      <c r="T1892" s="60" t="str">
        <f>Ringkasan!T1963</f>
        <v/>
      </c>
      <c r="U1892" s="64" t="str">
        <f>Ringkasan!U1963</f>
        <v/>
      </c>
      <c r="V1892" s="64" t="str">
        <f>Ringkasan!V1963</f>
        <v/>
      </c>
      <c r="W1892" s="64" t="str">
        <f>Ringkasan!W1963</f>
        <v/>
      </c>
      <c r="X1892" s="64" t="str">
        <f>Ringkasan!X1963</f>
        <v/>
      </c>
      <c r="Y1892" s="64" t="str">
        <f>Ringkasan!Y1963</f>
        <v/>
      </c>
      <c r="Z1892" s="64" t="str">
        <f>Ringkasan!Z1963</f>
        <v/>
      </c>
      <c r="AA1892" s="64" t="str">
        <f>Ringkasan!AA1963</f>
        <v/>
      </c>
      <c r="AB1892" s="64" t="str">
        <f>Ringkasan!AB1963</f>
        <v/>
      </c>
    </row>
    <row r="1893">
      <c r="A1893" s="60" t="str">
        <f>Ringkasan!A1964</f>
        <v/>
      </c>
      <c r="B1893" s="60" t="str">
        <f>Ringkasan!B1964</f>
        <v/>
      </c>
      <c r="C1893" s="64" t="str">
        <f>Ringkasan!C1964</f>
        <v/>
      </c>
      <c r="D1893" s="64" t="str">
        <f>Ringkasan!D1964</f>
        <v/>
      </c>
      <c r="E1893" s="60" t="str">
        <f>Ringkasan!E1964</f>
        <v/>
      </c>
      <c r="F1893" s="60" t="str">
        <f>Ringkasan!F1964</f>
        <v/>
      </c>
      <c r="G1893" s="60" t="str">
        <f>Ringkasan!G1964</f>
        <v/>
      </c>
      <c r="H1893" s="60" t="str">
        <f>Ringkasan!H1964</f>
        <v/>
      </c>
      <c r="I1893" s="60" t="str">
        <f>Ringkasan!I1964</f>
        <v/>
      </c>
      <c r="J1893" s="60" t="str">
        <f>Ringkasan!J1964</f>
        <v/>
      </c>
      <c r="K1893" s="60" t="str">
        <f>Ringkasan!K1964</f>
        <v/>
      </c>
      <c r="L1893" s="60" t="str">
        <f>Ringkasan!L1964</f>
        <v/>
      </c>
      <c r="M1893" s="60" t="str">
        <f>Ringkasan!M1964</f>
        <v/>
      </c>
      <c r="N1893" s="60" t="str">
        <f>Ringkasan!N1964</f>
        <v/>
      </c>
      <c r="O1893" s="60" t="str">
        <f>Ringkasan!O1964</f>
        <v/>
      </c>
      <c r="P1893" s="60" t="str">
        <f>Ringkasan!P1964</f>
        <v/>
      </c>
      <c r="Q1893" s="60" t="str">
        <f>Ringkasan!Q1964</f>
        <v/>
      </c>
      <c r="R1893" s="60" t="str">
        <f>Ringkasan!R1964</f>
        <v/>
      </c>
      <c r="S1893" s="60" t="str">
        <f>Ringkasan!S1964</f>
        <v/>
      </c>
      <c r="T1893" s="60" t="str">
        <f>Ringkasan!T1964</f>
        <v/>
      </c>
      <c r="U1893" s="64" t="str">
        <f>Ringkasan!U1964</f>
        <v/>
      </c>
      <c r="V1893" s="64" t="str">
        <f>Ringkasan!V1964</f>
        <v/>
      </c>
      <c r="W1893" s="64" t="str">
        <f>Ringkasan!W1964</f>
        <v/>
      </c>
      <c r="X1893" s="64" t="str">
        <f>Ringkasan!X1964</f>
        <v/>
      </c>
      <c r="Y1893" s="64" t="str">
        <f>Ringkasan!Y1964</f>
        <v/>
      </c>
      <c r="Z1893" s="64" t="str">
        <f>Ringkasan!Z1964</f>
        <v/>
      </c>
      <c r="AA1893" s="64" t="str">
        <f>Ringkasan!AA1964</f>
        <v/>
      </c>
      <c r="AB1893" s="64" t="str">
        <f>Ringkasan!AB1964</f>
        <v/>
      </c>
    </row>
    <row r="1894">
      <c r="A1894" s="60" t="str">
        <f>Ringkasan!A1965</f>
        <v/>
      </c>
      <c r="B1894" s="60" t="str">
        <f>Ringkasan!B1965</f>
        <v/>
      </c>
      <c r="C1894" s="64" t="str">
        <f>Ringkasan!C1965</f>
        <v/>
      </c>
      <c r="D1894" s="64" t="str">
        <f>Ringkasan!D1965</f>
        <v/>
      </c>
      <c r="E1894" s="60" t="str">
        <f>Ringkasan!E1965</f>
        <v/>
      </c>
      <c r="F1894" s="60" t="str">
        <f>Ringkasan!F1965</f>
        <v/>
      </c>
      <c r="G1894" s="60" t="str">
        <f>Ringkasan!G1965</f>
        <v/>
      </c>
      <c r="H1894" s="60" t="str">
        <f>Ringkasan!H1965</f>
        <v/>
      </c>
      <c r="I1894" s="60" t="str">
        <f>Ringkasan!I1965</f>
        <v/>
      </c>
      <c r="J1894" s="60" t="str">
        <f>Ringkasan!J1965</f>
        <v/>
      </c>
      <c r="K1894" s="60" t="str">
        <f>Ringkasan!K1965</f>
        <v/>
      </c>
      <c r="L1894" s="60" t="str">
        <f>Ringkasan!L1965</f>
        <v/>
      </c>
      <c r="M1894" s="60" t="str">
        <f>Ringkasan!M1965</f>
        <v/>
      </c>
      <c r="N1894" s="60" t="str">
        <f>Ringkasan!N1965</f>
        <v/>
      </c>
      <c r="O1894" s="60" t="str">
        <f>Ringkasan!O1965</f>
        <v/>
      </c>
      <c r="P1894" s="60" t="str">
        <f>Ringkasan!P1965</f>
        <v/>
      </c>
      <c r="Q1894" s="60" t="str">
        <f>Ringkasan!Q1965</f>
        <v/>
      </c>
      <c r="R1894" s="60" t="str">
        <f>Ringkasan!R1965</f>
        <v/>
      </c>
      <c r="S1894" s="60" t="str">
        <f>Ringkasan!S1965</f>
        <v/>
      </c>
      <c r="T1894" s="60" t="str">
        <f>Ringkasan!T1965</f>
        <v/>
      </c>
      <c r="U1894" s="64" t="str">
        <f>Ringkasan!U1965</f>
        <v/>
      </c>
      <c r="V1894" s="64" t="str">
        <f>Ringkasan!V1965</f>
        <v/>
      </c>
      <c r="W1894" s="64" t="str">
        <f>Ringkasan!W1965</f>
        <v/>
      </c>
      <c r="X1894" s="64" t="str">
        <f>Ringkasan!X1965</f>
        <v/>
      </c>
      <c r="Y1894" s="64" t="str">
        <f>Ringkasan!Y1965</f>
        <v/>
      </c>
      <c r="Z1894" s="64" t="str">
        <f>Ringkasan!Z1965</f>
        <v/>
      </c>
      <c r="AA1894" s="64" t="str">
        <f>Ringkasan!AA1965</f>
        <v/>
      </c>
      <c r="AB1894" s="64" t="str">
        <f>Ringkasan!AB1965</f>
        <v/>
      </c>
    </row>
    <row r="1895">
      <c r="A1895" s="60" t="str">
        <f>Ringkasan!A1966</f>
        <v/>
      </c>
      <c r="B1895" s="60" t="str">
        <f>Ringkasan!B1966</f>
        <v/>
      </c>
      <c r="C1895" s="64" t="str">
        <f>Ringkasan!C1966</f>
        <v/>
      </c>
      <c r="D1895" s="64" t="str">
        <f>Ringkasan!D1966</f>
        <v/>
      </c>
      <c r="E1895" s="60" t="str">
        <f>Ringkasan!E1966</f>
        <v/>
      </c>
      <c r="F1895" s="60" t="str">
        <f>Ringkasan!F1966</f>
        <v/>
      </c>
      <c r="G1895" s="60" t="str">
        <f>Ringkasan!G1966</f>
        <v/>
      </c>
      <c r="H1895" s="60" t="str">
        <f>Ringkasan!H1966</f>
        <v/>
      </c>
      <c r="I1895" s="60" t="str">
        <f>Ringkasan!I1966</f>
        <v/>
      </c>
      <c r="J1895" s="60" t="str">
        <f>Ringkasan!J1966</f>
        <v/>
      </c>
      <c r="K1895" s="60" t="str">
        <f>Ringkasan!K1966</f>
        <v/>
      </c>
      <c r="L1895" s="60" t="str">
        <f>Ringkasan!L1966</f>
        <v/>
      </c>
      <c r="M1895" s="60" t="str">
        <f>Ringkasan!M1966</f>
        <v/>
      </c>
      <c r="N1895" s="60" t="str">
        <f>Ringkasan!N1966</f>
        <v/>
      </c>
      <c r="O1895" s="60" t="str">
        <f>Ringkasan!O1966</f>
        <v/>
      </c>
      <c r="P1895" s="60" t="str">
        <f>Ringkasan!P1966</f>
        <v/>
      </c>
      <c r="Q1895" s="60" t="str">
        <f>Ringkasan!Q1966</f>
        <v/>
      </c>
      <c r="R1895" s="60" t="str">
        <f>Ringkasan!R1966</f>
        <v/>
      </c>
      <c r="S1895" s="60" t="str">
        <f>Ringkasan!S1966</f>
        <v/>
      </c>
      <c r="T1895" s="60" t="str">
        <f>Ringkasan!T1966</f>
        <v/>
      </c>
      <c r="U1895" s="64" t="str">
        <f>Ringkasan!U1966</f>
        <v/>
      </c>
      <c r="V1895" s="64" t="str">
        <f>Ringkasan!V1966</f>
        <v/>
      </c>
      <c r="W1895" s="64" t="str">
        <f>Ringkasan!W1966</f>
        <v/>
      </c>
      <c r="X1895" s="64" t="str">
        <f>Ringkasan!X1966</f>
        <v/>
      </c>
      <c r="Y1895" s="64" t="str">
        <f>Ringkasan!Y1966</f>
        <v/>
      </c>
      <c r="Z1895" s="64" t="str">
        <f>Ringkasan!Z1966</f>
        <v/>
      </c>
      <c r="AA1895" s="64" t="str">
        <f>Ringkasan!AA1966</f>
        <v/>
      </c>
      <c r="AB1895" s="64" t="str">
        <f>Ringkasan!AB1966</f>
        <v/>
      </c>
    </row>
    <row r="1896">
      <c r="A1896" s="60" t="str">
        <f>Ringkasan!A1967</f>
        <v/>
      </c>
      <c r="B1896" s="60" t="str">
        <f>Ringkasan!B1967</f>
        <v/>
      </c>
      <c r="C1896" s="64" t="str">
        <f>Ringkasan!C1967</f>
        <v/>
      </c>
      <c r="D1896" s="64" t="str">
        <f>Ringkasan!D1967</f>
        <v/>
      </c>
      <c r="E1896" s="60" t="str">
        <f>Ringkasan!E1967</f>
        <v/>
      </c>
      <c r="F1896" s="60" t="str">
        <f>Ringkasan!F1967</f>
        <v/>
      </c>
      <c r="G1896" s="60" t="str">
        <f>Ringkasan!G1967</f>
        <v/>
      </c>
      <c r="H1896" s="60" t="str">
        <f>Ringkasan!H1967</f>
        <v/>
      </c>
      <c r="I1896" s="60" t="str">
        <f>Ringkasan!I1967</f>
        <v/>
      </c>
      <c r="J1896" s="60" t="str">
        <f>Ringkasan!J1967</f>
        <v/>
      </c>
      <c r="K1896" s="60" t="str">
        <f>Ringkasan!K1967</f>
        <v/>
      </c>
      <c r="L1896" s="60" t="str">
        <f>Ringkasan!L1967</f>
        <v/>
      </c>
      <c r="M1896" s="60" t="str">
        <f>Ringkasan!M1967</f>
        <v/>
      </c>
      <c r="N1896" s="60" t="str">
        <f>Ringkasan!N1967</f>
        <v/>
      </c>
      <c r="O1896" s="60" t="str">
        <f>Ringkasan!O1967</f>
        <v/>
      </c>
      <c r="P1896" s="60" t="str">
        <f>Ringkasan!P1967</f>
        <v/>
      </c>
      <c r="Q1896" s="60" t="str">
        <f>Ringkasan!Q1967</f>
        <v/>
      </c>
      <c r="R1896" s="60" t="str">
        <f>Ringkasan!R1967</f>
        <v/>
      </c>
      <c r="S1896" s="60" t="str">
        <f>Ringkasan!S1967</f>
        <v/>
      </c>
      <c r="T1896" s="60" t="str">
        <f>Ringkasan!T1967</f>
        <v/>
      </c>
      <c r="U1896" s="64" t="str">
        <f>Ringkasan!U1967</f>
        <v/>
      </c>
      <c r="V1896" s="64" t="str">
        <f>Ringkasan!V1967</f>
        <v/>
      </c>
      <c r="W1896" s="64" t="str">
        <f>Ringkasan!W1967</f>
        <v/>
      </c>
      <c r="X1896" s="64" t="str">
        <f>Ringkasan!X1967</f>
        <v/>
      </c>
      <c r="Y1896" s="64" t="str">
        <f>Ringkasan!Y1967</f>
        <v/>
      </c>
      <c r="Z1896" s="64" t="str">
        <f>Ringkasan!Z1967</f>
        <v/>
      </c>
      <c r="AA1896" s="64" t="str">
        <f>Ringkasan!AA1967</f>
        <v/>
      </c>
      <c r="AB1896" s="64" t="str">
        <f>Ringkasan!AB1967</f>
        <v/>
      </c>
    </row>
    <row r="1897">
      <c r="A1897" s="60" t="str">
        <f>Ringkasan!A1968</f>
        <v/>
      </c>
      <c r="B1897" s="60" t="str">
        <f>Ringkasan!B1968</f>
        <v/>
      </c>
      <c r="C1897" s="64" t="str">
        <f>Ringkasan!C1968</f>
        <v/>
      </c>
      <c r="D1897" s="64" t="str">
        <f>Ringkasan!D1968</f>
        <v/>
      </c>
      <c r="E1897" s="60" t="str">
        <f>Ringkasan!E1968</f>
        <v/>
      </c>
      <c r="F1897" s="60" t="str">
        <f>Ringkasan!F1968</f>
        <v/>
      </c>
      <c r="G1897" s="60" t="str">
        <f>Ringkasan!G1968</f>
        <v/>
      </c>
      <c r="H1897" s="60" t="str">
        <f>Ringkasan!H1968</f>
        <v/>
      </c>
      <c r="I1897" s="60" t="str">
        <f>Ringkasan!I1968</f>
        <v/>
      </c>
      <c r="J1897" s="60" t="str">
        <f>Ringkasan!J1968</f>
        <v/>
      </c>
      <c r="K1897" s="60" t="str">
        <f>Ringkasan!K1968</f>
        <v/>
      </c>
      <c r="L1897" s="60" t="str">
        <f>Ringkasan!L1968</f>
        <v/>
      </c>
      <c r="M1897" s="60" t="str">
        <f>Ringkasan!M1968</f>
        <v/>
      </c>
      <c r="N1897" s="60" t="str">
        <f>Ringkasan!N1968</f>
        <v/>
      </c>
      <c r="O1897" s="60" t="str">
        <f>Ringkasan!O1968</f>
        <v/>
      </c>
      <c r="P1897" s="60" t="str">
        <f>Ringkasan!P1968</f>
        <v/>
      </c>
      <c r="Q1897" s="60" t="str">
        <f>Ringkasan!Q1968</f>
        <v/>
      </c>
      <c r="R1897" s="60" t="str">
        <f>Ringkasan!R1968</f>
        <v/>
      </c>
      <c r="S1897" s="60" t="str">
        <f>Ringkasan!S1968</f>
        <v/>
      </c>
      <c r="T1897" s="60" t="str">
        <f>Ringkasan!T1968</f>
        <v/>
      </c>
      <c r="U1897" s="64" t="str">
        <f>Ringkasan!U1968</f>
        <v/>
      </c>
      <c r="V1897" s="64" t="str">
        <f>Ringkasan!V1968</f>
        <v/>
      </c>
      <c r="W1897" s="64" t="str">
        <f>Ringkasan!W1968</f>
        <v/>
      </c>
      <c r="X1897" s="64" t="str">
        <f>Ringkasan!X1968</f>
        <v/>
      </c>
      <c r="Y1897" s="64" t="str">
        <f>Ringkasan!Y1968</f>
        <v/>
      </c>
      <c r="Z1897" s="64" t="str">
        <f>Ringkasan!Z1968</f>
        <v/>
      </c>
      <c r="AA1897" s="64" t="str">
        <f>Ringkasan!AA1968</f>
        <v/>
      </c>
      <c r="AB1897" s="64" t="str">
        <f>Ringkasan!AB1968</f>
        <v/>
      </c>
    </row>
    <row r="1898">
      <c r="A1898" s="60" t="str">
        <f>Ringkasan!A1969</f>
        <v/>
      </c>
      <c r="B1898" s="60" t="str">
        <f>Ringkasan!B1969</f>
        <v/>
      </c>
      <c r="C1898" s="64" t="str">
        <f>Ringkasan!C1969</f>
        <v/>
      </c>
      <c r="D1898" s="64" t="str">
        <f>Ringkasan!D1969</f>
        <v/>
      </c>
      <c r="E1898" s="60" t="str">
        <f>Ringkasan!E1969</f>
        <v/>
      </c>
      <c r="F1898" s="60" t="str">
        <f>Ringkasan!F1969</f>
        <v/>
      </c>
      <c r="G1898" s="60" t="str">
        <f>Ringkasan!G1969</f>
        <v/>
      </c>
      <c r="H1898" s="60" t="str">
        <f>Ringkasan!H1969</f>
        <v/>
      </c>
      <c r="I1898" s="60" t="str">
        <f>Ringkasan!I1969</f>
        <v/>
      </c>
      <c r="J1898" s="60" t="str">
        <f>Ringkasan!J1969</f>
        <v/>
      </c>
      <c r="K1898" s="60" t="str">
        <f>Ringkasan!K1969</f>
        <v/>
      </c>
      <c r="L1898" s="60" t="str">
        <f>Ringkasan!L1969</f>
        <v/>
      </c>
      <c r="M1898" s="60" t="str">
        <f>Ringkasan!M1969</f>
        <v/>
      </c>
      <c r="N1898" s="60" t="str">
        <f>Ringkasan!N1969</f>
        <v/>
      </c>
      <c r="O1898" s="60" t="str">
        <f>Ringkasan!O1969</f>
        <v/>
      </c>
      <c r="P1898" s="60" t="str">
        <f>Ringkasan!P1969</f>
        <v/>
      </c>
      <c r="Q1898" s="60" t="str">
        <f>Ringkasan!Q1969</f>
        <v/>
      </c>
      <c r="R1898" s="60" t="str">
        <f>Ringkasan!R1969</f>
        <v/>
      </c>
      <c r="S1898" s="60" t="str">
        <f>Ringkasan!S1969</f>
        <v/>
      </c>
      <c r="T1898" s="60" t="str">
        <f>Ringkasan!T1969</f>
        <v/>
      </c>
      <c r="U1898" s="64" t="str">
        <f>Ringkasan!U1969</f>
        <v/>
      </c>
      <c r="V1898" s="64" t="str">
        <f>Ringkasan!V1969</f>
        <v/>
      </c>
      <c r="W1898" s="64" t="str">
        <f>Ringkasan!W1969</f>
        <v/>
      </c>
      <c r="X1898" s="64" t="str">
        <f>Ringkasan!X1969</f>
        <v/>
      </c>
      <c r="Y1898" s="64" t="str">
        <f>Ringkasan!Y1969</f>
        <v/>
      </c>
      <c r="Z1898" s="64" t="str">
        <f>Ringkasan!Z1969</f>
        <v/>
      </c>
      <c r="AA1898" s="64" t="str">
        <f>Ringkasan!AA1969</f>
        <v/>
      </c>
      <c r="AB1898" s="64" t="str">
        <f>Ringkasan!AB1969</f>
        <v/>
      </c>
    </row>
    <row r="1899">
      <c r="A1899" s="60" t="str">
        <f>Ringkasan!A1970</f>
        <v/>
      </c>
      <c r="B1899" s="60" t="str">
        <f>Ringkasan!B1970</f>
        <v/>
      </c>
      <c r="C1899" s="64" t="str">
        <f>Ringkasan!C1970</f>
        <v/>
      </c>
      <c r="D1899" s="64" t="str">
        <f>Ringkasan!D1970</f>
        <v/>
      </c>
      <c r="E1899" s="60" t="str">
        <f>Ringkasan!E1970</f>
        <v/>
      </c>
      <c r="F1899" s="60" t="str">
        <f>Ringkasan!F1970</f>
        <v/>
      </c>
      <c r="G1899" s="60" t="str">
        <f>Ringkasan!G1970</f>
        <v/>
      </c>
      <c r="H1899" s="60" t="str">
        <f>Ringkasan!H1970</f>
        <v/>
      </c>
      <c r="I1899" s="60" t="str">
        <f>Ringkasan!I1970</f>
        <v/>
      </c>
      <c r="J1899" s="60" t="str">
        <f>Ringkasan!J1970</f>
        <v/>
      </c>
      <c r="K1899" s="60" t="str">
        <f>Ringkasan!K1970</f>
        <v/>
      </c>
      <c r="L1899" s="60" t="str">
        <f>Ringkasan!L1970</f>
        <v/>
      </c>
      <c r="M1899" s="60" t="str">
        <f>Ringkasan!M1970</f>
        <v/>
      </c>
      <c r="N1899" s="60" t="str">
        <f>Ringkasan!N1970</f>
        <v/>
      </c>
      <c r="O1899" s="60" t="str">
        <f>Ringkasan!O1970</f>
        <v/>
      </c>
      <c r="P1899" s="60" t="str">
        <f>Ringkasan!P1970</f>
        <v/>
      </c>
      <c r="Q1899" s="60" t="str">
        <f>Ringkasan!Q1970</f>
        <v/>
      </c>
      <c r="R1899" s="60" t="str">
        <f>Ringkasan!R1970</f>
        <v/>
      </c>
      <c r="S1899" s="60" t="str">
        <f>Ringkasan!S1970</f>
        <v/>
      </c>
      <c r="T1899" s="60" t="str">
        <f>Ringkasan!T1970</f>
        <v/>
      </c>
      <c r="U1899" s="64" t="str">
        <f>Ringkasan!U1970</f>
        <v/>
      </c>
      <c r="V1899" s="64" t="str">
        <f>Ringkasan!V1970</f>
        <v/>
      </c>
      <c r="W1899" s="64" t="str">
        <f>Ringkasan!W1970</f>
        <v/>
      </c>
      <c r="X1899" s="64" t="str">
        <f>Ringkasan!X1970</f>
        <v/>
      </c>
      <c r="Y1899" s="64" t="str">
        <f>Ringkasan!Y1970</f>
        <v/>
      </c>
      <c r="Z1899" s="64" t="str">
        <f>Ringkasan!Z1970</f>
        <v/>
      </c>
      <c r="AA1899" s="64" t="str">
        <f>Ringkasan!AA1970</f>
        <v/>
      </c>
      <c r="AB1899" s="64" t="str">
        <f>Ringkasan!AB1970</f>
        <v/>
      </c>
    </row>
    <row r="1900">
      <c r="A1900" s="60" t="str">
        <f>Ringkasan!A1971</f>
        <v/>
      </c>
      <c r="B1900" s="60" t="str">
        <f>Ringkasan!B1971</f>
        <v/>
      </c>
      <c r="C1900" s="64" t="str">
        <f>Ringkasan!C1971</f>
        <v/>
      </c>
      <c r="D1900" s="64" t="str">
        <f>Ringkasan!D1971</f>
        <v/>
      </c>
      <c r="E1900" s="60" t="str">
        <f>Ringkasan!E1971</f>
        <v/>
      </c>
      <c r="F1900" s="60" t="str">
        <f>Ringkasan!F1971</f>
        <v/>
      </c>
      <c r="G1900" s="60" t="str">
        <f>Ringkasan!G1971</f>
        <v/>
      </c>
      <c r="H1900" s="60" t="str">
        <f>Ringkasan!H1971</f>
        <v/>
      </c>
      <c r="I1900" s="60" t="str">
        <f>Ringkasan!I1971</f>
        <v/>
      </c>
      <c r="J1900" s="60" t="str">
        <f>Ringkasan!J1971</f>
        <v/>
      </c>
      <c r="K1900" s="60" t="str">
        <f>Ringkasan!K1971</f>
        <v/>
      </c>
      <c r="L1900" s="60" t="str">
        <f>Ringkasan!L1971</f>
        <v/>
      </c>
      <c r="M1900" s="60" t="str">
        <f>Ringkasan!M1971</f>
        <v/>
      </c>
      <c r="N1900" s="60" t="str">
        <f>Ringkasan!N1971</f>
        <v/>
      </c>
      <c r="O1900" s="60" t="str">
        <f>Ringkasan!O1971</f>
        <v/>
      </c>
      <c r="P1900" s="60" t="str">
        <f>Ringkasan!P1971</f>
        <v/>
      </c>
      <c r="Q1900" s="60" t="str">
        <f>Ringkasan!Q1971</f>
        <v/>
      </c>
      <c r="R1900" s="60" t="str">
        <f>Ringkasan!R1971</f>
        <v/>
      </c>
      <c r="S1900" s="60" t="str">
        <f>Ringkasan!S1971</f>
        <v/>
      </c>
      <c r="T1900" s="60" t="str">
        <f>Ringkasan!T1971</f>
        <v/>
      </c>
      <c r="U1900" s="64" t="str">
        <f>Ringkasan!U1971</f>
        <v/>
      </c>
      <c r="V1900" s="64" t="str">
        <f>Ringkasan!V1971</f>
        <v/>
      </c>
      <c r="W1900" s="64" t="str">
        <f>Ringkasan!W1971</f>
        <v/>
      </c>
      <c r="X1900" s="64" t="str">
        <f>Ringkasan!X1971</f>
        <v/>
      </c>
      <c r="Y1900" s="64" t="str">
        <f>Ringkasan!Y1971</f>
        <v/>
      </c>
      <c r="Z1900" s="64" t="str">
        <f>Ringkasan!Z1971</f>
        <v/>
      </c>
      <c r="AA1900" s="64" t="str">
        <f>Ringkasan!AA1971</f>
        <v/>
      </c>
      <c r="AB1900" s="64" t="str">
        <f>Ringkasan!AB1971</f>
        <v/>
      </c>
    </row>
    <row r="1901">
      <c r="A1901" s="60" t="str">
        <f>Ringkasan!A1972</f>
        <v/>
      </c>
      <c r="B1901" s="60" t="str">
        <f>Ringkasan!B1972</f>
        <v/>
      </c>
      <c r="C1901" s="64" t="str">
        <f>Ringkasan!C1972</f>
        <v/>
      </c>
      <c r="D1901" s="64" t="str">
        <f>Ringkasan!D1972</f>
        <v/>
      </c>
      <c r="E1901" s="60" t="str">
        <f>Ringkasan!E1972</f>
        <v/>
      </c>
      <c r="F1901" s="60" t="str">
        <f>Ringkasan!F1972</f>
        <v/>
      </c>
      <c r="G1901" s="60" t="str">
        <f>Ringkasan!G1972</f>
        <v/>
      </c>
      <c r="H1901" s="60" t="str">
        <f>Ringkasan!H1972</f>
        <v/>
      </c>
      <c r="I1901" s="60" t="str">
        <f>Ringkasan!I1972</f>
        <v/>
      </c>
      <c r="J1901" s="60" t="str">
        <f>Ringkasan!J1972</f>
        <v/>
      </c>
      <c r="K1901" s="60" t="str">
        <f>Ringkasan!K1972</f>
        <v/>
      </c>
      <c r="L1901" s="60" t="str">
        <f>Ringkasan!L1972</f>
        <v/>
      </c>
      <c r="M1901" s="60" t="str">
        <f>Ringkasan!M1972</f>
        <v/>
      </c>
      <c r="N1901" s="60" t="str">
        <f>Ringkasan!N1972</f>
        <v/>
      </c>
      <c r="O1901" s="60" t="str">
        <f>Ringkasan!O1972</f>
        <v/>
      </c>
      <c r="P1901" s="60" t="str">
        <f>Ringkasan!P1972</f>
        <v/>
      </c>
      <c r="Q1901" s="60" t="str">
        <f>Ringkasan!Q1972</f>
        <v/>
      </c>
      <c r="R1901" s="60" t="str">
        <f>Ringkasan!R1972</f>
        <v/>
      </c>
      <c r="S1901" s="60" t="str">
        <f>Ringkasan!S1972</f>
        <v/>
      </c>
      <c r="T1901" s="60" t="str">
        <f>Ringkasan!T1972</f>
        <v/>
      </c>
      <c r="U1901" s="64" t="str">
        <f>Ringkasan!U1972</f>
        <v/>
      </c>
      <c r="V1901" s="64" t="str">
        <f>Ringkasan!V1972</f>
        <v/>
      </c>
      <c r="W1901" s="64" t="str">
        <f>Ringkasan!W1972</f>
        <v/>
      </c>
      <c r="X1901" s="64" t="str">
        <f>Ringkasan!X1972</f>
        <v/>
      </c>
      <c r="Y1901" s="64" t="str">
        <f>Ringkasan!Y1972</f>
        <v/>
      </c>
      <c r="Z1901" s="64" t="str">
        <f>Ringkasan!Z1972</f>
        <v/>
      </c>
      <c r="AA1901" s="64" t="str">
        <f>Ringkasan!AA1972</f>
        <v/>
      </c>
      <c r="AB1901" s="64" t="str">
        <f>Ringkasan!AB1972</f>
        <v/>
      </c>
    </row>
    <row r="1902">
      <c r="A1902" s="60" t="str">
        <f>Ringkasan!A1973</f>
        <v/>
      </c>
      <c r="B1902" s="60" t="str">
        <f>Ringkasan!B1973</f>
        <v/>
      </c>
      <c r="C1902" s="64" t="str">
        <f>Ringkasan!C1973</f>
        <v/>
      </c>
      <c r="D1902" s="64" t="str">
        <f>Ringkasan!D1973</f>
        <v/>
      </c>
      <c r="E1902" s="60" t="str">
        <f>Ringkasan!E1973</f>
        <v/>
      </c>
      <c r="F1902" s="60" t="str">
        <f>Ringkasan!F1973</f>
        <v/>
      </c>
      <c r="G1902" s="60" t="str">
        <f>Ringkasan!G1973</f>
        <v/>
      </c>
      <c r="H1902" s="60" t="str">
        <f>Ringkasan!H1973</f>
        <v/>
      </c>
      <c r="I1902" s="60" t="str">
        <f>Ringkasan!I1973</f>
        <v/>
      </c>
      <c r="J1902" s="60" t="str">
        <f>Ringkasan!J1973</f>
        <v/>
      </c>
      <c r="K1902" s="60" t="str">
        <f>Ringkasan!K1973</f>
        <v/>
      </c>
      <c r="L1902" s="60" t="str">
        <f>Ringkasan!L1973</f>
        <v/>
      </c>
      <c r="M1902" s="60" t="str">
        <f>Ringkasan!M1973</f>
        <v/>
      </c>
      <c r="N1902" s="60" t="str">
        <f>Ringkasan!N1973</f>
        <v/>
      </c>
      <c r="O1902" s="60" t="str">
        <f>Ringkasan!O1973</f>
        <v/>
      </c>
      <c r="P1902" s="60" t="str">
        <f>Ringkasan!P1973</f>
        <v/>
      </c>
      <c r="Q1902" s="60" t="str">
        <f>Ringkasan!Q1973</f>
        <v/>
      </c>
      <c r="R1902" s="60" t="str">
        <f>Ringkasan!R1973</f>
        <v/>
      </c>
      <c r="S1902" s="60" t="str">
        <f>Ringkasan!S1973</f>
        <v/>
      </c>
      <c r="T1902" s="60" t="str">
        <f>Ringkasan!T1973</f>
        <v/>
      </c>
      <c r="U1902" s="64" t="str">
        <f>Ringkasan!U1973</f>
        <v/>
      </c>
      <c r="V1902" s="64" t="str">
        <f>Ringkasan!V1973</f>
        <v/>
      </c>
      <c r="W1902" s="64" t="str">
        <f>Ringkasan!W1973</f>
        <v/>
      </c>
      <c r="X1902" s="64" t="str">
        <f>Ringkasan!X1973</f>
        <v/>
      </c>
      <c r="Y1902" s="64" t="str">
        <f>Ringkasan!Y1973</f>
        <v/>
      </c>
      <c r="Z1902" s="64" t="str">
        <f>Ringkasan!Z1973</f>
        <v/>
      </c>
      <c r="AA1902" s="64" t="str">
        <f>Ringkasan!AA1973</f>
        <v/>
      </c>
      <c r="AB1902" s="64" t="str">
        <f>Ringkasan!AB1973</f>
        <v/>
      </c>
    </row>
    <row r="1903">
      <c r="A1903" s="60" t="str">
        <f>Ringkasan!A1974</f>
        <v/>
      </c>
      <c r="B1903" s="60" t="str">
        <f>Ringkasan!B1974</f>
        <v/>
      </c>
      <c r="C1903" s="64" t="str">
        <f>Ringkasan!C1974</f>
        <v/>
      </c>
      <c r="D1903" s="64" t="str">
        <f>Ringkasan!D1974</f>
        <v/>
      </c>
      <c r="E1903" s="60" t="str">
        <f>Ringkasan!E1974</f>
        <v/>
      </c>
      <c r="F1903" s="60" t="str">
        <f>Ringkasan!F1974</f>
        <v/>
      </c>
      <c r="G1903" s="60" t="str">
        <f>Ringkasan!G1974</f>
        <v/>
      </c>
      <c r="H1903" s="60" t="str">
        <f>Ringkasan!H1974</f>
        <v/>
      </c>
      <c r="I1903" s="60" t="str">
        <f>Ringkasan!I1974</f>
        <v/>
      </c>
      <c r="J1903" s="60" t="str">
        <f>Ringkasan!J1974</f>
        <v/>
      </c>
      <c r="K1903" s="60" t="str">
        <f>Ringkasan!K1974</f>
        <v/>
      </c>
      <c r="L1903" s="60" t="str">
        <f>Ringkasan!L1974</f>
        <v/>
      </c>
      <c r="M1903" s="60" t="str">
        <f>Ringkasan!M1974</f>
        <v/>
      </c>
      <c r="N1903" s="60" t="str">
        <f>Ringkasan!N1974</f>
        <v/>
      </c>
      <c r="O1903" s="60" t="str">
        <f>Ringkasan!O1974</f>
        <v/>
      </c>
      <c r="P1903" s="60" t="str">
        <f>Ringkasan!P1974</f>
        <v/>
      </c>
      <c r="Q1903" s="60" t="str">
        <f>Ringkasan!Q1974</f>
        <v/>
      </c>
      <c r="R1903" s="60" t="str">
        <f>Ringkasan!R1974</f>
        <v/>
      </c>
      <c r="S1903" s="60" t="str">
        <f>Ringkasan!S1974</f>
        <v/>
      </c>
      <c r="T1903" s="60" t="str">
        <f>Ringkasan!T1974</f>
        <v/>
      </c>
      <c r="U1903" s="64" t="str">
        <f>Ringkasan!U1974</f>
        <v/>
      </c>
      <c r="V1903" s="64" t="str">
        <f>Ringkasan!V1974</f>
        <v/>
      </c>
      <c r="W1903" s="64" t="str">
        <f>Ringkasan!W1974</f>
        <v/>
      </c>
      <c r="X1903" s="64" t="str">
        <f>Ringkasan!X1974</f>
        <v/>
      </c>
      <c r="Y1903" s="64" t="str">
        <f>Ringkasan!Y1974</f>
        <v/>
      </c>
      <c r="Z1903" s="64" t="str">
        <f>Ringkasan!Z1974</f>
        <v/>
      </c>
      <c r="AA1903" s="64" t="str">
        <f>Ringkasan!AA1974</f>
        <v/>
      </c>
      <c r="AB1903" s="64" t="str">
        <f>Ringkasan!AB1974</f>
        <v/>
      </c>
    </row>
    <row r="1904">
      <c r="A1904" s="60" t="str">
        <f>Ringkasan!A1975</f>
        <v/>
      </c>
      <c r="B1904" s="60" t="str">
        <f>Ringkasan!B1975</f>
        <v/>
      </c>
      <c r="C1904" s="64" t="str">
        <f>Ringkasan!C1975</f>
        <v/>
      </c>
      <c r="D1904" s="64" t="str">
        <f>Ringkasan!D1975</f>
        <v/>
      </c>
      <c r="E1904" s="60" t="str">
        <f>Ringkasan!E1975</f>
        <v/>
      </c>
      <c r="F1904" s="60" t="str">
        <f>Ringkasan!F1975</f>
        <v/>
      </c>
      <c r="G1904" s="60" t="str">
        <f>Ringkasan!G1975</f>
        <v/>
      </c>
      <c r="H1904" s="60" t="str">
        <f>Ringkasan!H1975</f>
        <v/>
      </c>
      <c r="I1904" s="60" t="str">
        <f>Ringkasan!I1975</f>
        <v/>
      </c>
      <c r="J1904" s="60" t="str">
        <f>Ringkasan!J1975</f>
        <v/>
      </c>
      <c r="K1904" s="60" t="str">
        <f>Ringkasan!K1975</f>
        <v/>
      </c>
      <c r="L1904" s="60" t="str">
        <f>Ringkasan!L1975</f>
        <v/>
      </c>
      <c r="M1904" s="60" t="str">
        <f>Ringkasan!M1975</f>
        <v/>
      </c>
      <c r="N1904" s="60" t="str">
        <f>Ringkasan!N1975</f>
        <v/>
      </c>
      <c r="O1904" s="60" t="str">
        <f>Ringkasan!O1975</f>
        <v/>
      </c>
      <c r="P1904" s="60" t="str">
        <f>Ringkasan!P1975</f>
        <v/>
      </c>
      <c r="Q1904" s="60" t="str">
        <f>Ringkasan!Q1975</f>
        <v/>
      </c>
      <c r="R1904" s="60" t="str">
        <f>Ringkasan!R1975</f>
        <v/>
      </c>
      <c r="S1904" s="60" t="str">
        <f>Ringkasan!S1975</f>
        <v/>
      </c>
      <c r="T1904" s="60" t="str">
        <f>Ringkasan!T1975</f>
        <v/>
      </c>
      <c r="U1904" s="64" t="str">
        <f>Ringkasan!U1975</f>
        <v/>
      </c>
      <c r="V1904" s="64" t="str">
        <f>Ringkasan!V1975</f>
        <v/>
      </c>
      <c r="W1904" s="64" t="str">
        <f>Ringkasan!W1975</f>
        <v/>
      </c>
      <c r="X1904" s="64" t="str">
        <f>Ringkasan!X1975</f>
        <v/>
      </c>
      <c r="Y1904" s="64" t="str">
        <f>Ringkasan!Y1975</f>
        <v/>
      </c>
      <c r="Z1904" s="64" t="str">
        <f>Ringkasan!Z1975</f>
        <v/>
      </c>
      <c r="AA1904" s="64" t="str">
        <f>Ringkasan!AA1975</f>
        <v/>
      </c>
      <c r="AB1904" s="64" t="str">
        <f>Ringkasan!AB1975</f>
        <v/>
      </c>
    </row>
    <row r="1905">
      <c r="A1905" s="60" t="str">
        <f>Ringkasan!A1976</f>
        <v/>
      </c>
      <c r="B1905" s="60" t="str">
        <f>Ringkasan!B1976</f>
        <v/>
      </c>
      <c r="C1905" s="64" t="str">
        <f>Ringkasan!C1976</f>
        <v/>
      </c>
      <c r="D1905" s="64" t="str">
        <f>Ringkasan!D1976</f>
        <v/>
      </c>
      <c r="E1905" s="60" t="str">
        <f>Ringkasan!E1976</f>
        <v/>
      </c>
      <c r="F1905" s="60" t="str">
        <f>Ringkasan!F1976</f>
        <v/>
      </c>
      <c r="G1905" s="60" t="str">
        <f>Ringkasan!G1976</f>
        <v/>
      </c>
      <c r="H1905" s="60" t="str">
        <f>Ringkasan!H1976</f>
        <v/>
      </c>
      <c r="I1905" s="60" t="str">
        <f>Ringkasan!I1976</f>
        <v/>
      </c>
      <c r="J1905" s="60" t="str">
        <f>Ringkasan!J1976</f>
        <v/>
      </c>
      <c r="K1905" s="60" t="str">
        <f>Ringkasan!K1976</f>
        <v/>
      </c>
      <c r="L1905" s="60" t="str">
        <f>Ringkasan!L1976</f>
        <v/>
      </c>
      <c r="M1905" s="60" t="str">
        <f>Ringkasan!M1976</f>
        <v/>
      </c>
      <c r="N1905" s="60" t="str">
        <f>Ringkasan!N1976</f>
        <v/>
      </c>
      <c r="O1905" s="60" t="str">
        <f>Ringkasan!O1976</f>
        <v/>
      </c>
      <c r="P1905" s="60" t="str">
        <f>Ringkasan!P1976</f>
        <v/>
      </c>
      <c r="Q1905" s="60" t="str">
        <f>Ringkasan!Q1976</f>
        <v/>
      </c>
      <c r="R1905" s="60" t="str">
        <f>Ringkasan!R1976</f>
        <v/>
      </c>
      <c r="S1905" s="60" t="str">
        <f>Ringkasan!S1976</f>
        <v/>
      </c>
      <c r="T1905" s="60" t="str">
        <f>Ringkasan!T1976</f>
        <v/>
      </c>
      <c r="U1905" s="64" t="str">
        <f>Ringkasan!U1976</f>
        <v/>
      </c>
      <c r="V1905" s="64" t="str">
        <f>Ringkasan!V1976</f>
        <v/>
      </c>
      <c r="W1905" s="64" t="str">
        <f>Ringkasan!W1976</f>
        <v/>
      </c>
      <c r="X1905" s="64" t="str">
        <f>Ringkasan!X1976</f>
        <v/>
      </c>
      <c r="Y1905" s="64" t="str">
        <f>Ringkasan!Y1976</f>
        <v/>
      </c>
      <c r="Z1905" s="64" t="str">
        <f>Ringkasan!Z1976</f>
        <v/>
      </c>
      <c r="AA1905" s="64" t="str">
        <f>Ringkasan!AA1976</f>
        <v/>
      </c>
      <c r="AB1905" s="64" t="str">
        <f>Ringkasan!AB1976</f>
        <v/>
      </c>
    </row>
    <row r="1906">
      <c r="A1906" s="60" t="str">
        <f>Ringkasan!A1977</f>
        <v/>
      </c>
      <c r="B1906" s="60" t="str">
        <f>Ringkasan!B1977</f>
        <v/>
      </c>
      <c r="C1906" s="64" t="str">
        <f>Ringkasan!C1977</f>
        <v/>
      </c>
      <c r="D1906" s="64" t="str">
        <f>Ringkasan!D1977</f>
        <v/>
      </c>
      <c r="E1906" s="60" t="str">
        <f>Ringkasan!E1977</f>
        <v/>
      </c>
      <c r="F1906" s="60" t="str">
        <f>Ringkasan!F1977</f>
        <v/>
      </c>
      <c r="G1906" s="60" t="str">
        <f>Ringkasan!G1977</f>
        <v/>
      </c>
      <c r="H1906" s="60" t="str">
        <f>Ringkasan!H1977</f>
        <v/>
      </c>
      <c r="I1906" s="60" t="str">
        <f>Ringkasan!I1977</f>
        <v/>
      </c>
      <c r="J1906" s="60" t="str">
        <f>Ringkasan!J1977</f>
        <v/>
      </c>
      <c r="K1906" s="60" t="str">
        <f>Ringkasan!K1977</f>
        <v/>
      </c>
      <c r="L1906" s="60" t="str">
        <f>Ringkasan!L1977</f>
        <v/>
      </c>
      <c r="M1906" s="60" t="str">
        <f>Ringkasan!M1977</f>
        <v/>
      </c>
      <c r="N1906" s="60" t="str">
        <f>Ringkasan!N1977</f>
        <v/>
      </c>
      <c r="O1906" s="60" t="str">
        <f>Ringkasan!O1977</f>
        <v/>
      </c>
      <c r="P1906" s="60" t="str">
        <f>Ringkasan!P1977</f>
        <v/>
      </c>
      <c r="Q1906" s="60" t="str">
        <f>Ringkasan!Q1977</f>
        <v/>
      </c>
      <c r="R1906" s="60" t="str">
        <f>Ringkasan!R1977</f>
        <v/>
      </c>
      <c r="S1906" s="60" t="str">
        <f>Ringkasan!S1977</f>
        <v/>
      </c>
      <c r="T1906" s="60" t="str">
        <f>Ringkasan!T1977</f>
        <v/>
      </c>
      <c r="U1906" s="64" t="str">
        <f>Ringkasan!U1977</f>
        <v/>
      </c>
      <c r="V1906" s="64" t="str">
        <f>Ringkasan!V1977</f>
        <v/>
      </c>
      <c r="W1906" s="64" t="str">
        <f>Ringkasan!W1977</f>
        <v/>
      </c>
      <c r="X1906" s="64" t="str">
        <f>Ringkasan!X1977</f>
        <v/>
      </c>
      <c r="Y1906" s="64" t="str">
        <f>Ringkasan!Y1977</f>
        <v/>
      </c>
      <c r="Z1906" s="64" t="str">
        <f>Ringkasan!Z1977</f>
        <v/>
      </c>
      <c r="AA1906" s="64" t="str">
        <f>Ringkasan!AA1977</f>
        <v/>
      </c>
      <c r="AB1906" s="64" t="str">
        <f>Ringkasan!AB1977</f>
        <v/>
      </c>
    </row>
    <row r="1907">
      <c r="A1907" s="60" t="str">
        <f>Ringkasan!A1978</f>
        <v/>
      </c>
      <c r="B1907" s="60" t="str">
        <f>Ringkasan!B1978</f>
        <v/>
      </c>
      <c r="C1907" s="64" t="str">
        <f>Ringkasan!C1978</f>
        <v/>
      </c>
      <c r="D1907" s="64" t="str">
        <f>Ringkasan!D1978</f>
        <v/>
      </c>
      <c r="E1907" s="60" t="str">
        <f>Ringkasan!E1978</f>
        <v/>
      </c>
      <c r="F1907" s="60" t="str">
        <f>Ringkasan!F1978</f>
        <v/>
      </c>
      <c r="G1907" s="60" t="str">
        <f>Ringkasan!G1978</f>
        <v/>
      </c>
      <c r="H1907" s="60" t="str">
        <f>Ringkasan!H1978</f>
        <v/>
      </c>
      <c r="I1907" s="60" t="str">
        <f>Ringkasan!I1978</f>
        <v/>
      </c>
      <c r="J1907" s="60" t="str">
        <f>Ringkasan!J1978</f>
        <v/>
      </c>
      <c r="K1907" s="60" t="str">
        <f>Ringkasan!K1978</f>
        <v/>
      </c>
      <c r="L1907" s="60" t="str">
        <f>Ringkasan!L1978</f>
        <v/>
      </c>
      <c r="M1907" s="60" t="str">
        <f>Ringkasan!M1978</f>
        <v/>
      </c>
      <c r="N1907" s="60" t="str">
        <f>Ringkasan!N1978</f>
        <v/>
      </c>
      <c r="O1907" s="60" t="str">
        <f>Ringkasan!O1978</f>
        <v/>
      </c>
      <c r="P1907" s="60" t="str">
        <f>Ringkasan!P1978</f>
        <v/>
      </c>
      <c r="Q1907" s="60" t="str">
        <f>Ringkasan!Q1978</f>
        <v/>
      </c>
      <c r="R1907" s="60" t="str">
        <f>Ringkasan!R1978</f>
        <v/>
      </c>
      <c r="S1907" s="60" t="str">
        <f>Ringkasan!S1978</f>
        <v/>
      </c>
      <c r="T1907" s="60" t="str">
        <f>Ringkasan!T1978</f>
        <v/>
      </c>
      <c r="U1907" s="64" t="str">
        <f>Ringkasan!U1978</f>
        <v/>
      </c>
      <c r="V1907" s="64" t="str">
        <f>Ringkasan!V1978</f>
        <v/>
      </c>
      <c r="W1907" s="64" t="str">
        <f>Ringkasan!W1978</f>
        <v/>
      </c>
      <c r="X1907" s="64" t="str">
        <f>Ringkasan!X1978</f>
        <v/>
      </c>
      <c r="Y1907" s="64" t="str">
        <f>Ringkasan!Y1978</f>
        <v/>
      </c>
      <c r="Z1907" s="64" t="str">
        <f>Ringkasan!Z1978</f>
        <v/>
      </c>
      <c r="AA1907" s="64" t="str">
        <f>Ringkasan!AA1978</f>
        <v/>
      </c>
      <c r="AB1907" s="64" t="str">
        <f>Ringkasan!AB1978</f>
        <v/>
      </c>
    </row>
    <row r="1908">
      <c r="A1908" s="60" t="str">
        <f>Ringkasan!A1979</f>
        <v/>
      </c>
      <c r="B1908" s="60" t="str">
        <f>Ringkasan!B1979</f>
        <v/>
      </c>
      <c r="C1908" s="64" t="str">
        <f>Ringkasan!C1979</f>
        <v/>
      </c>
      <c r="D1908" s="64" t="str">
        <f>Ringkasan!D1979</f>
        <v/>
      </c>
      <c r="E1908" s="60" t="str">
        <f>Ringkasan!E1979</f>
        <v/>
      </c>
      <c r="F1908" s="60" t="str">
        <f>Ringkasan!F1979</f>
        <v/>
      </c>
      <c r="G1908" s="60" t="str">
        <f>Ringkasan!G1979</f>
        <v/>
      </c>
      <c r="H1908" s="60" t="str">
        <f>Ringkasan!H1979</f>
        <v/>
      </c>
      <c r="I1908" s="60" t="str">
        <f>Ringkasan!I1979</f>
        <v/>
      </c>
      <c r="J1908" s="60" t="str">
        <f>Ringkasan!J1979</f>
        <v/>
      </c>
      <c r="K1908" s="60" t="str">
        <f>Ringkasan!K1979</f>
        <v/>
      </c>
      <c r="L1908" s="60" t="str">
        <f>Ringkasan!L1979</f>
        <v/>
      </c>
      <c r="M1908" s="60" t="str">
        <f>Ringkasan!M1979</f>
        <v/>
      </c>
      <c r="N1908" s="60" t="str">
        <f>Ringkasan!N1979</f>
        <v/>
      </c>
      <c r="O1908" s="60" t="str">
        <f>Ringkasan!O1979</f>
        <v/>
      </c>
      <c r="P1908" s="60" t="str">
        <f>Ringkasan!P1979</f>
        <v/>
      </c>
      <c r="Q1908" s="60" t="str">
        <f>Ringkasan!Q1979</f>
        <v/>
      </c>
      <c r="R1908" s="60" t="str">
        <f>Ringkasan!R1979</f>
        <v/>
      </c>
      <c r="S1908" s="60" t="str">
        <f>Ringkasan!S1979</f>
        <v/>
      </c>
      <c r="T1908" s="60" t="str">
        <f>Ringkasan!T1979</f>
        <v/>
      </c>
      <c r="U1908" s="64" t="str">
        <f>Ringkasan!U1979</f>
        <v/>
      </c>
      <c r="V1908" s="64" t="str">
        <f>Ringkasan!V1979</f>
        <v/>
      </c>
      <c r="W1908" s="64" t="str">
        <f>Ringkasan!W1979</f>
        <v/>
      </c>
      <c r="X1908" s="64" t="str">
        <f>Ringkasan!X1979</f>
        <v/>
      </c>
      <c r="Y1908" s="64" t="str">
        <f>Ringkasan!Y1979</f>
        <v/>
      </c>
      <c r="Z1908" s="64" t="str">
        <f>Ringkasan!Z1979</f>
        <v/>
      </c>
      <c r="AA1908" s="64" t="str">
        <f>Ringkasan!AA1979</f>
        <v/>
      </c>
      <c r="AB1908" s="64" t="str">
        <f>Ringkasan!AB1979</f>
        <v/>
      </c>
    </row>
    <row r="1909">
      <c r="A1909" s="60" t="str">
        <f>Ringkasan!A1980</f>
        <v/>
      </c>
      <c r="B1909" s="60" t="str">
        <f>Ringkasan!B1980</f>
        <v/>
      </c>
      <c r="C1909" s="64" t="str">
        <f>Ringkasan!C1980</f>
        <v/>
      </c>
      <c r="D1909" s="64" t="str">
        <f>Ringkasan!D1980</f>
        <v/>
      </c>
      <c r="E1909" s="60" t="str">
        <f>Ringkasan!E1980</f>
        <v/>
      </c>
      <c r="F1909" s="60" t="str">
        <f>Ringkasan!F1980</f>
        <v/>
      </c>
      <c r="G1909" s="60" t="str">
        <f>Ringkasan!G1980</f>
        <v/>
      </c>
      <c r="H1909" s="60" t="str">
        <f>Ringkasan!H1980</f>
        <v/>
      </c>
      <c r="I1909" s="60" t="str">
        <f>Ringkasan!I1980</f>
        <v/>
      </c>
      <c r="J1909" s="60" t="str">
        <f>Ringkasan!J1980</f>
        <v/>
      </c>
      <c r="K1909" s="60" t="str">
        <f>Ringkasan!K1980</f>
        <v/>
      </c>
      <c r="L1909" s="60" t="str">
        <f>Ringkasan!L1980</f>
        <v/>
      </c>
      <c r="M1909" s="60" t="str">
        <f>Ringkasan!M1980</f>
        <v/>
      </c>
      <c r="N1909" s="60" t="str">
        <f>Ringkasan!N1980</f>
        <v/>
      </c>
      <c r="O1909" s="60" t="str">
        <f>Ringkasan!O1980</f>
        <v/>
      </c>
      <c r="P1909" s="60" t="str">
        <f>Ringkasan!P1980</f>
        <v/>
      </c>
      <c r="Q1909" s="60" t="str">
        <f>Ringkasan!Q1980</f>
        <v/>
      </c>
      <c r="R1909" s="60" t="str">
        <f>Ringkasan!R1980</f>
        <v/>
      </c>
      <c r="S1909" s="60" t="str">
        <f>Ringkasan!S1980</f>
        <v/>
      </c>
      <c r="T1909" s="60" t="str">
        <f>Ringkasan!T1980</f>
        <v/>
      </c>
      <c r="U1909" s="64" t="str">
        <f>Ringkasan!U1980</f>
        <v/>
      </c>
      <c r="V1909" s="64" t="str">
        <f>Ringkasan!V1980</f>
        <v/>
      </c>
      <c r="W1909" s="64" t="str">
        <f>Ringkasan!W1980</f>
        <v/>
      </c>
      <c r="X1909" s="64" t="str">
        <f>Ringkasan!X1980</f>
        <v/>
      </c>
      <c r="Y1909" s="64" t="str">
        <f>Ringkasan!Y1980</f>
        <v/>
      </c>
      <c r="Z1909" s="64" t="str">
        <f>Ringkasan!Z1980</f>
        <v/>
      </c>
      <c r="AA1909" s="64" t="str">
        <f>Ringkasan!AA1980</f>
        <v/>
      </c>
      <c r="AB1909" s="64" t="str">
        <f>Ringkasan!AB1980</f>
        <v/>
      </c>
    </row>
    <row r="1910">
      <c r="A1910" s="60" t="str">
        <f>Ringkasan!A1981</f>
        <v/>
      </c>
      <c r="B1910" s="60" t="str">
        <f>Ringkasan!B1981</f>
        <v/>
      </c>
      <c r="C1910" s="64" t="str">
        <f>Ringkasan!C1981</f>
        <v/>
      </c>
      <c r="D1910" s="64" t="str">
        <f>Ringkasan!D1981</f>
        <v/>
      </c>
      <c r="E1910" s="60" t="str">
        <f>Ringkasan!E1981</f>
        <v/>
      </c>
      <c r="F1910" s="60" t="str">
        <f>Ringkasan!F1981</f>
        <v/>
      </c>
      <c r="G1910" s="60" t="str">
        <f>Ringkasan!G1981</f>
        <v/>
      </c>
      <c r="H1910" s="60" t="str">
        <f>Ringkasan!H1981</f>
        <v/>
      </c>
      <c r="I1910" s="60" t="str">
        <f>Ringkasan!I1981</f>
        <v/>
      </c>
      <c r="J1910" s="60" t="str">
        <f>Ringkasan!J1981</f>
        <v/>
      </c>
      <c r="K1910" s="60" t="str">
        <f>Ringkasan!K1981</f>
        <v/>
      </c>
      <c r="L1910" s="60" t="str">
        <f>Ringkasan!L1981</f>
        <v/>
      </c>
      <c r="M1910" s="60" t="str">
        <f>Ringkasan!M1981</f>
        <v/>
      </c>
      <c r="N1910" s="60" t="str">
        <f>Ringkasan!N1981</f>
        <v/>
      </c>
      <c r="O1910" s="60" t="str">
        <f>Ringkasan!O1981</f>
        <v/>
      </c>
      <c r="P1910" s="60" t="str">
        <f>Ringkasan!P1981</f>
        <v/>
      </c>
      <c r="Q1910" s="60" t="str">
        <f>Ringkasan!Q1981</f>
        <v/>
      </c>
      <c r="R1910" s="60" t="str">
        <f>Ringkasan!R1981</f>
        <v/>
      </c>
      <c r="S1910" s="60" t="str">
        <f>Ringkasan!S1981</f>
        <v/>
      </c>
      <c r="T1910" s="60" t="str">
        <f>Ringkasan!T1981</f>
        <v/>
      </c>
      <c r="U1910" s="64" t="str">
        <f>Ringkasan!U1981</f>
        <v/>
      </c>
      <c r="V1910" s="64" t="str">
        <f>Ringkasan!V1981</f>
        <v/>
      </c>
      <c r="W1910" s="64" t="str">
        <f>Ringkasan!W1981</f>
        <v/>
      </c>
      <c r="X1910" s="64" t="str">
        <f>Ringkasan!X1981</f>
        <v/>
      </c>
      <c r="Y1910" s="64" t="str">
        <f>Ringkasan!Y1981</f>
        <v/>
      </c>
      <c r="Z1910" s="64" t="str">
        <f>Ringkasan!Z1981</f>
        <v/>
      </c>
      <c r="AA1910" s="64" t="str">
        <f>Ringkasan!AA1981</f>
        <v/>
      </c>
      <c r="AB1910" s="64" t="str">
        <f>Ringkasan!AB1981</f>
        <v/>
      </c>
    </row>
    <row r="1911">
      <c r="A1911" s="60" t="str">
        <f>Ringkasan!A1982</f>
        <v/>
      </c>
      <c r="B1911" s="60" t="str">
        <f>Ringkasan!B1982</f>
        <v/>
      </c>
      <c r="C1911" s="64" t="str">
        <f>Ringkasan!C1982</f>
        <v/>
      </c>
      <c r="D1911" s="64" t="str">
        <f>Ringkasan!D1982</f>
        <v/>
      </c>
      <c r="E1911" s="60" t="str">
        <f>Ringkasan!E1982</f>
        <v/>
      </c>
      <c r="F1911" s="60" t="str">
        <f>Ringkasan!F1982</f>
        <v/>
      </c>
      <c r="G1911" s="60" t="str">
        <f>Ringkasan!G1982</f>
        <v/>
      </c>
      <c r="H1911" s="60" t="str">
        <f>Ringkasan!H1982</f>
        <v/>
      </c>
      <c r="I1911" s="60" t="str">
        <f>Ringkasan!I1982</f>
        <v/>
      </c>
      <c r="J1911" s="60" t="str">
        <f>Ringkasan!J1982</f>
        <v/>
      </c>
      <c r="K1911" s="60" t="str">
        <f>Ringkasan!K1982</f>
        <v/>
      </c>
      <c r="L1911" s="60" t="str">
        <f>Ringkasan!L1982</f>
        <v/>
      </c>
      <c r="M1911" s="60" t="str">
        <f>Ringkasan!M1982</f>
        <v/>
      </c>
      <c r="N1911" s="60" t="str">
        <f>Ringkasan!N1982</f>
        <v/>
      </c>
      <c r="O1911" s="60" t="str">
        <f>Ringkasan!O1982</f>
        <v/>
      </c>
      <c r="P1911" s="60" t="str">
        <f>Ringkasan!P1982</f>
        <v/>
      </c>
      <c r="Q1911" s="60" t="str">
        <f>Ringkasan!Q1982</f>
        <v/>
      </c>
      <c r="R1911" s="60" t="str">
        <f>Ringkasan!R1982</f>
        <v/>
      </c>
      <c r="S1911" s="60" t="str">
        <f>Ringkasan!S1982</f>
        <v/>
      </c>
      <c r="T1911" s="60" t="str">
        <f>Ringkasan!T1982</f>
        <v/>
      </c>
      <c r="U1911" s="64" t="str">
        <f>Ringkasan!U1982</f>
        <v/>
      </c>
      <c r="V1911" s="64" t="str">
        <f>Ringkasan!V1982</f>
        <v/>
      </c>
      <c r="W1911" s="64" t="str">
        <f>Ringkasan!W1982</f>
        <v/>
      </c>
      <c r="X1911" s="64" t="str">
        <f>Ringkasan!X1982</f>
        <v/>
      </c>
      <c r="Y1911" s="64" t="str">
        <f>Ringkasan!Y1982</f>
        <v/>
      </c>
      <c r="Z1911" s="64" t="str">
        <f>Ringkasan!Z1982</f>
        <v/>
      </c>
      <c r="AA1911" s="64" t="str">
        <f>Ringkasan!AA1982</f>
        <v/>
      </c>
      <c r="AB1911" s="64" t="str">
        <f>Ringkasan!AB1982</f>
        <v/>
      </c>
    </row>
    <row r="1912">
      <c r="A1912" s="60" t="str">
        <f>Ringkasan!A1983</f>
        <v/>
      </c>
      <c r="B1912" s="60" t="str">
        <f>Ringkasan!B1983</f>
        <v/>
      </c>
      <c r="C1912" s="64" t="str">
        <f>Ringkasan!C1983</f>
        <v/>
      </c>
      <c r="D1912" s="64" t="str">
        <f>Ringkasan!D1983</f>
        <v/>
      </c>
      <c r="E1912" s="60" t="str">
        <f>Ringkasan!E1983</f>
        <v/>
      </c>
      <c r="F1912" s="60" t="str">
        <f>Ringkasan!F1983</f>
        <v/>
      </c>
      <c r="G1912" s="60" t="str">
        <f>Ringkasan!G1983</f>
        <v/>
      </c>
      <c r="H1912" s="60" t="str">
        <f>Ringkasan!H1983</f>
        <v/>
      </c>
      <c r="I1912" s="60" t="str">
        <f>Ringkasan!I1983</f>
        <v/>
      </c>
      <c r="J1912" s="60" t="str">
        <f>Ringkasan!J1983</f>
        <v/>
      </c>
      <c r="K1912" s="60" t="str">
        <f>Ringkasan!K1983</f>
        <v/>
      </c>
      <c r="L1912" s="60" t="str">
        <f>Ringkasan!L1983</f>
        <v/>
      </c>
      <c r="M1912" s="60" t="str">
        <f>Ringkasan!M1983</f>
        <v/>
      </c>
      <c r="N1912" s="60" t="str">
        <f>Ringkasan!N1983</f>
        <v/>
      </c>
      <c r="O1912" s="60" t="str">
        <f>Ringkasan!O1983</f>
        <v/>
      </c>
      <c r="P1912" s="60" t="str">
        <f>Ringkasan!P1983</f>
        <v/>
      </c>
      <c r="Q1912" s="60" t="str">
        <f>Ringkasan!Q1983</f>
        <v/>
      </c>
      <c r="R1912" s="60" t="str">
        <f>Ringkasan!R1983</f>
        <v/>
      </c>
      <c r="S1912" s="60" t="str">
        <f>Ringkasan!S1983</f>
        <v/>
      </c>
      <c r="T1912" s="60" t="str">
        <f>Ringkasan!T1983</f>
        <v/>
      </c>
      <c r="U1912" s="64" t="str">
        <f>Ringkasan!U1983</f>
        <v/>
      </c>
      <c r="V1912" s="64" t="str">
        <f>Ringkasan!V1983</f>
        <v/>
      </c>
      <c r="W1912" s="64" t="str">
        <f>Ringkasan!W1983</f>
        <v/>
      </c>
      <c r="X1912" s="64" t="str">
        <f>Ringkasan!X1983</f>
        <v/>
      </c>
      <c r="Y1912" s="64" t="str">
        <f>Ringkasan!Y1983</f>
        <v/>
      </c>
      <c r="Z1912" s="64" t="str">
        <f>Ringkasan!Z1983</f>
        <v/>
      </c>
      <c r="AA1912" s="64" t="str">
        <f>Ringkasan!AA1983</f>
        <v/>
      </c>
      <c r="AB1912" s="64" t="str">
        <f>Ringkasan!AB1983</f>
        <v/>
      </c>
    </row>
    <row r="1913">
      <c r="A1913" s="60" t="str">
        <f>Ringkasan!A1984</f>
        <v/>
      </c>
      <c r="B1913" s="60" t="str">
        <f>Ringkasan!B1984</f>
        <v/>
      </c>
      <c r="C1913" s="64" t="str">
        <f>Ringkasan!C1984</f>
        <v/>
      </c>
      <c r="D1913" s="64" t="str">
        <f>Ringkasan!D1984</f>
        <v/>
      </c>
      <c r="E1913" s="60" t="str">
        <f>Ringkasan!E1984</f>
        <v/>
      </c>
      <c r="F1913" s="60" t="str">
        <f>Ringkasan!F1984</f>
        <v/>
      </c>
      <c r="G1913" s="60" t="str">
        <f>Ringkasan!G1984</f>
        <v/>
      </c>
      <c r="H1913" s="60" t="str">
        <f>Ringkasan!H1984</f>
        <v/>
      </c>
      <c r="I1913" s="60" t="str">
        <f>Ringkasan!I1984</f>
        <v/>
      </c>
      <c r="J1913" s="60" t="str">
        <f>Ringkasan!J1984</f>
        <v/>
      </c>
      <c r="K1913" s="60" t="str">
        <f>Ringkasan!K1984</f>
        <v/>
      </c>
      <c r="L1913" s="60" t="str">
        <f>Ringkasan!L1984</f>
        <v/>
      </c>
      <c r="M1913" s="60" t="str">
        <f>Ringkasan!M1984</f>
        <v/>
      </c>
      <c r="N1913" s="60" t="str">
        <f>Ringkasan!N1984</f>
        <v/>
      </c>
      <c r="O1913" s="60" t="str">
        <f>Ringkasan!O1984</f>
        <v/>
      </c>
      <c r="P1913" s="60" t="str">
        <f>Ringkasan!P1984</f>
        <v/>
      </c>
      <c r="Q1913" s="60" t="str">
        <f>Ringkasan!Q1984</f>
        <v/>
      </c>
      <c r="R1913" s="60" t="str">
        <f>Ringkasan!R1984</f>
        <v/>
      </c>
      <c r="S1913" s="60" t="str">
        <f>Ringkasan!S1984</f>
        <v/>
      </c>
      <c r="T1913" s="60" t="str">
        <f>Ringkasan!T1984</f>
        <v/>
      </c>
      <c r="U1913" s="64" t="str">
        <f>Ringkasan!U1984</f>
        <v/>
      </c>
      <c r="V1913" s="64" t="str">
        <f>Ringkasan!V1984</f>
        <v/>
      </c>
      <c r="W1913" s="64" t="str">
        <f>Ringkasan!W1984</f>
        <v/>
      </c>
      <c r="X1913" s="64" t="str">
        <f>Ringkasan!X1984</f>
        <v/>
      </c>
      <c r="Y1913" s="64" t="str">
        <f>Ringkasan!Y1984</f>
        <v/>
      </c>
      <c r="Z1913" s="64" t="str">
        <f>Ringkasan!Z1984</f>
        <v/>
      </c>
      <c r="AA1913" s="64" t="str">
        <f>Ringkasan!AA1984</f>
        <v/>
      </c>
      <c r="AB1913" s="64" t="str">
        <f>Ringkasan!AB1984</f>
        <v/>
      </c>
    </row>
    <row r="1914">
      <c r="A1914" s="60" t="str">
        <f>Ringkasan!A1985</f>
        <v/>
      </c>
      <c r="B1914" s="60" t="str">
        <f>Ringkasan!B1985</f>
        <v/>
      </c>
      <c r="C1914" s="64" t="str">
        <f>Ringkasan!C1985</f>
        <v/>
      </c>
      <c r="D1914" s="64" t="str">
        <f>Ringkasan!D1985</f>
        <v/>
      </c>
      <c r="E1914" s="60" t="str">
        <f>Ringkasan!E1985</f>
        <v/>
      </c>
      <c r="F1914" s="60" t="str">
        <f>Ringkasan!F1985</f>
        <v/>
      </c>
      <c r="G1914" s="60" t="str">
        <f>Ringkasan!G1985</f>
        <v/>
      </c>
      <c r="H1914" s="60" t="str">
        <f>Ringkasan!H1985</f>
        <v/>
      </c>
      <c r="I1914" s="60" t="str">
        <f>Ringkasan!I1985</f>
        <v/>
      </c>
      <c r="J1914" s="60" t="str">
        <f>Ringkasan!J1985</f>
        <v/>
      </c>
      <c r="K1914" s="60" t="str">
        <f>Ringkasan!K1985</f>
        <v/>
      </c>
      <c r="L1914" s="60" t="str">
        <f>Ringkasan!L1985</f>
        <v/>
      </c>
      <c r="M1914" s="60" t="str">
        <f>Ringkasan!M1985</f>
        <v/>
      </c>
      <c r="N1914" s="60" t="str">
        <f>Ringkasan!N1985</f>
        <v/>
      </c>
      <c r="O1914" s="60" t="str">
        <f>Ringkasan!O1985</f>
        <v/>
      </c>
      <c r="P1914" s="60" t="str">
        <f>Ringkasan!P1985</f>
        <v/>
      </c>
      <c r="Q1914" s="60" t="str">
        <f>Ringkasan!Q1985</f>
        <v/>
      </c>
      <c r="R1914" s="60" t="str">
        <f>Ringkasan!R1985</f>
        <v/>
      </c>
      <c r="S1914" s="60" t="str">
        <f>Ringkasan!S1985</f>
        <v/>
      </c>
      <c r="T1914" s="60" t="str">
        <f>Ringkasan!T1985</f>
        <v/>
      </c>
      <c r="U1914" s="64" t="str">
        <f>Ringkasan!U1985</f>
        <v/>
      </c>
      <c r="V1914" s="64" t="str">
        <f>Ringkasan!V1985</f>
        <v/>
      </c>
      <c r="W1914" s="64" t="str">
        <f>Ringkasan!W1985</f>
        <v/>
      </c>
      <c r="X1914" s="64" t="str">
        <f>Ringkasan!X1985</f>
        <v/>
      </c>
      <c r="Y1914" s="64" t="str">
        <f>Ringkasan!Y1985</f>
        <v/>
      </c>
      <c r="Z1914" s="64" t="str">
        <f>Ringkasan!Z1985</f>
        <v/>
      </c>
      <c r="AA1914" s="64" t="str">
        <f>Ringkasan!AA1985</f>
        <v/>
      </c>
      <c r="AB1914" s="64" t="str">
        <f>Ringkasan!AB1985</f>
        <v/>
      </c>
    </row>
    <row r="1915">
      <c r="A1915" s="60" t="str">
        <f>Ringkasan!A1986</f>
        <v/>
      </c>
      <c r="B1915" s="60" t="str">
        <f>Ringkasan!B1986</f>
        <v/>
      </c>
      <c r="C1915" s="64" t="str">
        <f>Ringkasan!C1986</f>
        <v/>
      </c>
      <c r="D1915" s="64" t="str">
        <f>Ringkasan!D1986</f>
        <v/>
      </c>
      <c r="E1915" s="60" t="str">
        <f>Ringkasan!E1986</f>
        <v/>
      </c>
      <c r="F1915" s="60" t="str">
        <f>Ringkasan!F1986</f>
        <v/>
      </c>
      <c r="G1915" s="60" t="str">
        <f>Ringkasan!G1986</f>
        <v/>
      </c>
      <c r="H1915" s="60" t="str">
        <f>Ringkasan!H1986</f>
        <v/>
      </c>
      <c r="I1915" s="60" t="str">
        <f>Ringkasan!I1986</f>
        <v/>
      </c>
      <c r="J1915" s="60" t="str">
        <f>Ringkasan!J1986</f>
        <v/>
      </c>
      <c r="K1915" s="60" t="str">
        <f>Ringkasan!K1986</f>
        <v/>
      </c>
      <c r="L1915" s="60" t="str">
        <f>Ringkasan!L1986</f>
        <v/>
      </c>
      <c r="M1915" s="60" t="str">
        <f>Ringkasan!M1986</f>
        <v/>
      </c>
      <c r="N1915" s="60" t="str">
        <f>Ringkasan!N1986</f>
        <v/>
      </c>
      <c r="O1915" s="60" t="str">
        <f>Ringkasan!O1986</f>
        <v/>
      </c>
      <c r="P1915" s="60" t="str">
        <f>Ringkasan!P1986</f>
        <v/>
      </c>
      <c r="Q1915" s="60" t="str">
        <f>Ringkasan!Q1986</f>
        <v/>
      </c>
      <c r="R1915" s="60" t="str">
        <f>Ringkasan!R1986</f>
        <v/>
      </c>
      <c r="S1915" s="60" t="str">
        <f>Ringkasan!S1986</f>
        <v/>
      </c>
      <c r="T1915" s="60" t="str">
        <f>Ringkasan!T1986</f>
        <v/>
      </c>
      <c r="U1915" s="64" t="str">
        <f>Ringkasan!U1986</f>
        <v/>
      </c>
      <c r="V1915" s="64" t="str">
        <f>Ringkasan!V1986</f>
        <v/>
      </c>
      <c r="W1915" s="64" t="str">
        <f>Ringkasan!W1986</f>
        <v/>
      </c>
      <c r="X1915" s="64" t="str">
        <f>Ringkasan!X1986</f>
        <v/>
      </c>
      <c r="Y1915" s="64" t="str">
        <f>Ringkasan!Y1986</f>
        <v/>
      </c>
      <c r="Z1915" s="64" t="str">
        <f>Ringkasan!Z1986</f>
        <v/>
      </c>
      <c r="AA1915" s="64" t="str">
        <f>Ringkasan!AA1986</f>
        <v/>
      </c>
      <c r="AB1915" s="64" t="str">
        <f>Ringkasan!AB1986</f>
        <v/>
      </c>
    </row>
    <row r="1916">
      <c r="A1916" s="60" t="str">
        <f>Ringkasan!A1987</f>
        <v/>
      </c>
      <c r="B1916" s="60" t="str">
        <f>Ringkasan!B1987</f>
        <v/>
      </c>
      <c r="C1916" s="64" t="str">
        <f>Ringkasan!C1987</f>
        <v/>
      </c>
      <c r="D1916" s="64" t="str">
        <f>Ringkasan!D1987</f>
        <v/>
      </c>
      <c r="E1916" s="60" t="str">
        <f>Ringkasan!E1987</f>
        <v/>
      </c>
      <c r="F1916" s="60" t="str">
        <f>Ringkasan!F1987</f>
        <v/>
      </c>
      <c r="G1916" s="60" t="str">
        <f>Ringkasan!G1987</f>
        <v/>
      </c>
      <c r="H1916" s="60" t="str">
        <f>Ringkasan!H1987</f>
        <v/>
      </c>
      <c r="I1916" s="60" t="str">
        <f>Ringkasan!I1987</f>
        <v/>
      </c>
      <c r="J1916" s="60" t="str">
        <f>Ringkasan!J1987</f>
        <v/>
      </c>
      <c r="K1916" s="60" t="str">
        <f>Ringkasan!K1987</f>
        <v/>
      </c>
      <c r="L1916" s="60" t="str">
        <f>Ringkasan!L1987</f>
        <v/>
      </c>
      <c r="M1916" s="60" t="str">
        <f>Ringkasan!M1987</f>
        <v/>
      </c>
      <c r="N1916" s="60" t="str">
        <f>Ringkasan!N1987</f>
        <v/>
      </c>
      <c r="O1916" s="60" t="str">
        <f>Ringkasan!O1987</f>
        <v/>
      </c>
      <c r="P1916" s="60" t="str">
        <f>Ringkasan!P1987</f>
        <v/>
      </c>
      <c r="Q1916" s="60" t="str">
        <f>Ringkasan!Q1987</f>
        <v/>
      </c>
      <c r="R1916" s="60" t="str">
        <f>Ringkasan!R1987</f>
        <v/>
      </c>
      <c r="S1916" s="60" t="str">
        <f>Ringkasan!S1987</f>
        <v/>
      </c>
      <c r="T1916" s="60" t="str">
        <f>Ringkasan!T1987</f>
        <v/>
      </c>
      <c r="U1916" s="64" t="str">
        <f>Ringkasan!U1987</f>
        <v/>
      </c>
      <c r="V1916" s="64" t="str">
        <f>Ringkasan!V1987</f>
        <v/>
      </c>
      <c r="W1916" s="64" t="str">
        <f>Ringkasan!W1987</f>
        <v/>
      </c>
      <c r="X1916" s="64" t="str">
        <f>Ringkasan!X1987</f>
        <v/>
      </c>
      <c r="Y1916" s="64" t="str">
        <f>Ringkasan!Y1987</f>
        <v/>
      </c>
      <c r="Z1916" s="64" t="str">
        <f>Ringkasan!Z1987</f>
        <v/>
      </c>
      <c r="AA1916" s="64" t="str">
        <f>Ringkasan!AA1987</f>
        <v/>
      </c>
      <c r="AB1916" s="64" t="str">
        <f>Ringkasan!AB1987</f>
        <v/>
      </c>
    </row>
    <row r="1917">
      <c r="A1917" s="60" t="str">
        <f>Ringkasan!A1988</f>
        <v/>
      </c>
      <c r="B1917" s="60" t="str">
        <f>Ringkasan!B1988</f>
        <v/>
      </c>
      <c r="C1917" s="64" t="str">
        <f>Ringkasan!C1988</f>
        <v/>
      </c>
      <c r="D1917" s="64" t="str">
        <f>Ringkasan!D1988</f>
        <v/>
      </c>
      <c r="E1917" s="60" t="str">
        <f>Ringkasan!E1988</f>
        <v/>
      </c>
      <c r="F1917" s="60" t="str">
        <f>Ringkasan!F1988</f>
        <v/>
      </c>
      <c r="G1917" s="60" t="str">
        <f>Ringkasan!G1988</f>
        <v/>
      </c>
      <c r="H1917" s="60" t="str">
        <f>Ringkasan!H1988</f>
        <v/>
      </c>
      <c r="I1917" s="60" t="str">
        <f>Ringkasan!I1988</f>
        <v/>
      </c>
      <c r="J1917" s="60" t="str">
        <f>Ringkasan!J1988</f>
        <v/>
      </c>
      <c r="K1917" s="60" t="str">
        <f>Ringkasan!K1988</f>
        <v/>
      </c>
      <c r="L1917" s="60" t="str">
        <f>Ringkasan!L1988</f>
        <v/>
      </c>
      <c r="M1917" s="60" t="str">
        <f>Ringkasan!M1988</f>
        <v/>
      </c>
      <c r="N1917" s="60" t="str">
        <f>Ringkasan!N1988</f>
        <v/>
      </c>
      <c r="O1917" s="60" t="str">
        <f>Ringkasan!O1988</f>
        <v/>
      </c>
      <c r="P1917" s="60" t="str">
        <f>Ringkasan!P1988</f>
        <v/>
      </c>
      <c r="Q1917" s="60" t="str">
        <f>Ringkasan!Q1988</f>
        <v/>
      </c>
      <c r="R1917" s="60" t="str">
        <f>Ringkasan!R1988</f>
        <v/>
      </c>
      <c r="S1917" s="60" t="str">
        <f>Ringkasan!S1988</f>
        <v/>
      </c>
      <c r="T1917" s="60" t="str">
        <f>Ringkasan!T1988</f>
        <v/>
      </c>
      <c r="U1917" s="64" t="str">
        <f>Ringkasan!U1988</f>
        <v/>
      </c>
      <c r="V1917" s="64" t="str">
        <f>Ringkasan!V1988</f>
        <v/>
      </c>
      <c r="W1917" s="64" t="str">
        <f>Ringkasan!W1988</f>
        <v/>
      </c>
      <c r="X1917" s="64" t="str">
        <f>Ringkasan!X1988</f>
        <v/>
      </c>
      <c r="Y1917" s="64" t="str">
        <f>Ringkasan!Y1988</f>
        <v/>
      </c>
      <c r="Z1917" s="64" t="str">
        <f>Ringkasan!Z1988</f>
        <v/>
      </c>
      <c r="AA1917" s="64" t="str">
        <f>Ringkasan!AA1988</f>
        <v/>
      </c>
      <c r="AB1917" s="64" t="str">
        <f>Ringkasan!AB1988</f>
        <v/>
      </c>
    </row>
    <row r="1918">
      <c r="A1918" s="60" t="str">
        <f>Ringkasan!A1989</f>
        <v/>
      </c>
      <c r="B1918" s="60" t="str">
        <f>Ringkasan!B1989</f>
        <v/>
      </c>
      <c r="C1918" s="64" t="str">
        <f>Ringkasan!C1989</f>
        <v/>
      </c>
      <c r="D1918" s="64" t="str">
        <f>Ringkasan!D1989</f>
        <v/>
      </c>
      <c r="E1918" s="60" t="str">
        <f>Ringkasan!E1989</f>
        <v/>
      </c>
      <c r="F1918" s="60" t="str">
        <f>Ringkasan!F1989</f>
        <v/>
      </c>
      <c r="G1918" s="60" t="str">
        <f>Ringkasan!G1989</f>
        <v/>
      </c>
      <c r="H1918" s="60" t="str">
        <f>Ringkasan!H1989</f>
        <v/>
      </c>
      <c r="I1918" s="60" t="str">
        <f>Ringkasan!I1989</f>
        <v/>
      </c>
      <c r="J1918" s="60" t="str">
        <f>Ringkasan!J1989</f>
        <v/>
      </c>
      <c r="K1918" s="60" t="str">
        <f>Ringkasan!K1989</f>
        <v/>
      </c>
      <c r="L1918" s="60" t="str">
        <f>Ringkasan!L1989</f>
        <v/>
      </c>
      <c r="M1918" s="60" t="str">
        <f>Ringkasan!M1989</f>
        <v/>
      </c>
      <c r="N1918" s="60" t="str">
        <f>Ringkasan!N1989</f>
        <v/>
      </c>
      <c r="O1918" s="60" t="str">
        <f>Ringkasan!O1989</f>
        <v/>
      </c>
      <c r="P1918" s="60" t="str">
        <f>Ringkasan!P1989</f>
        <v/>
      </c>
      <c r="Q1918" s="60" t="str">
        <f>Ringkasan!Q1989</f>
        <v/>
      </c>
      <c r="R1918" s="60" t="str">
        <f>Ringkasan!R1989</f>
        <v/>
      </c>
      <c r="S1918" s="60" t="str">
        <f>Ringkasan!S1989</f>
        <v/>
      </c>
      <c r="T1918" s="60" t="str">
        <f>Ringkasan!T1989</f>
        <v/>
      </c>
      <c r="U1918" s="64" t="str">
        <f>Ringkasan!U1989</f>
        <v/>
      </c>
      <c r="V1918" s="64" t="str">
        <f>Ringkasan!V1989</f>
        <v/>
      </c>
      <c r="W1918" s="64" t="str">
        <f>Ringkasan!W1989</f>
        <v/>
      </c>
      <c r="X1918" s="64" t="str">
        <f>Ringkasan!X1989</f>
        <v/>
      </c>
      <c r="Y1918" s="64" t="str">
        <f>Ringkasan!Y1989</f>
        <v/>
      </c>
      <c r="Z1918" s="64" t="str">
        <f>Ringkasan!Z1989</f>
        <v/>
      </c>
      <c r="AA1918" s="64" t="str">
        <f>Ringkasan!AA1989</f>
        <v/>
      </c>
      <c r="AB1918" s="64" t="str">
        <f>Ringkasan!AB1989</f>
        <v/>
      </c>
    </row>
    <row r="1919">
      <c r="A1919" s="60" t="str">
        <f>Ringkasan!A1990</f>
        <v/>
      </c>
      <c r="B1919" s="60" t="str">
        <f>Ringkasan!B1990</f>
        <v/>
      </c>
      <c r="C1919" s="64" t="str">
        <f>Ringkasan!C1990</f>
        <v/>
      </c>
      <c r="D1919" s="64" t="str">
        <f>Ringkasan!D1990</f>
        <v/>
      </c>
      <c r="E1919" s="60" t="str">
        <f>Ringkasan!E1990</f>
        <v/>
      </c>
      <c r="F1919" s="60" t="str">
        <f>Ringkasan!F1990</f>
        <v/>
      </c>
      <c r="G1919" s="60" t="str">
        <f>Ringkasan!G1990</f>
        <v/>
      </c>
      <c r="H1919" s="60" t="str">
        <f>Ringkasan!H1990</f>
        <v/>
      </c>
      <c r="I1919" s="60" t="str">
        <f>Ringkasan!I1990</f>
        <v/>
      </c>
      <c r="J1919" s="60" t="str">
        <f>Ringkasan!J1990</f>
        <v/>
      </c>
      <c r="K1919" s="60" t="str">
        <f>Ringkasan!K1990</f>
        <v/>
      </c>
      <c r="L1919" s="60" t="str">
        <f>Ringkasan!L1990</f>
        <v/>
      </c>
      <c r="M1919" s="60" t="str">
        <f>Ringkasan!M1990</f>
        <v/>
      </c>
      <c r="N1919" s="60" t="str">
        <f>Ringkasan!N1990</f>
        <v/>
      </c>
      <c r="O1919" s="60" t="str">
        <f>Ringkasan!O1990</f>
        <v/>
      </c>
      <c r="P1919" s="60" t="str">
        <f>Ringkasan!P1990</f>
        <v/>
      </c>
      <c r="Q1919" s="60" t="str">
        <f>Ringkasan!Q1990</f>
        <v/>
      </c>
      <c r="R1919" s="60" t="str">
        <f>Ringkasan!R1990</f>
        <v/>
      </c>
      <c r="S1919" s="60" t="str">
        <f>Ringkasan!S1990</f>
        <v/>
      </c>
      <c r="T1919" s="60" t="str">
        <f>Ringkasan!T1990</f>
        <v/>
      </c>
      <c r="U1919" s="64" t="str">
        <f>Ringkasan!U1990</f>
        <v/>
      </c>
      <c r="V1919" s="64" t="str">
        <f>Ringkasan!V1990</f>
        <v/>
      </c>
      <c r="W1919" s="64" t="str">
        <f>Ringkasan!W1990</f>
        <v/>
      </c>
      <c r="X1919" s="64" t="str">
        <f>Ringkasan!X1990</f>
        <v/>
      </c>
      <c r="Y1919" s="64" t="str">
        <f>Ringkasan!Y1990</f>
        <v/>
      </c>
      <c r="Z1919" s="64" t="str">
        <f>Ringkasan!Z1990</f>
        <v/>
      </c>
      <c r="AA1919" s="64" t="str">
        <f>Ringkasan!AA1990</f>
        <v/>
      </c>
      <c r="AB1919" s="64" t="str">
        <f>Ringkasan!AB1990</f>
        <v/>
      </c>
    </row>
    <row r="1920">
      <c r="A1920" s="60" t="str">
        <f>Ringkasan!A1991</f>
        <v/>
      </c>
      <c r="B1920" s="60" t="str">
        <f>Ringkasan!B1991</f>
        <v/>
      </c>
      <c r="C1920" s="64" t="str">
        <f>Ringkasan!C1991</f>
        <v/>
      </c>
      <c r="D1920" s="64" t="str">
        <f>Ringkasan!D1991</f>
        <v/>
      </c>
      <c r="E1920" s="60" t="str">
        <f>Ringkasan!E1991</f>
        <v/>
      </c>
      <c r="F1920" s="60" t="str">
        <f>Ringkasan!F1991</f>
        <v/>
      </c>
      <c r="G1920" s="60" t="str">
        <f>Ringkasan!G1991</f>
        <v/>
      </c>
      <c r="H1920" s="60" t="str">
        <f>Ringkasan!H1991</f>
        <v/>
      </c>
      <c r="I1920" s="60" t="str">
        <f>Ringkasan!I1991</f>
        <v/>
      </c>
      <c r="J1920" s="60" t="str">
        <f>Ringkasan!J1991</f>
        <v/>
      </c>
      <c r="K1920" s="60" t="str">
        <f>Ringkasan!K1991</f>
        <v/>
      </c>
      <c r="L1920" s="60" t="str">
        <f>Ringkasan!L1991</f>
        <v/>
      </c>
      <c r="M1920" s="60" t="str">
        <f>Ringkasan!M1991</f>
        <v/>
      </c>
      <c r="N1920" s="60" t="str">
        <f>Ringkasan!N1991</f>
        <v/>
      </c>
      <c r="O1920" s="60" t="str">
        <f>Ringkasan!O1991</f>
        <v/>
      </c>
      <c r="P1920" s="60" t="str">
        <f>Ringkasan!P1991</f>
        <v/>
      </c>
      <c r="Q1920" s="60" t="str">
        <f>Ringkasan!Q1991</f>
        <v/>
      </c>
      <c r="R1920" s="60" t="str">
        <f>Ringkasan!R1991</f>
        <v/>
      </c>
      <c r="S1920" s="60" t="str">
        <f>Ringkasan!S1991</f>
        <v/>
      </c>
      <c r="T1920" s="60" t="str">
        <f>Ringkasan!T1991</f>
        <v/>
      </c>
      <c r="U1920" s="64" t="str">
        <f>Ringkasan!U1991</f>
        <v/>
      </c>
      <c r="V1920" s="64" t="str">
        <f>Ringkasan!V1991</f>
        <v/>
      </c>
      <c r="W1920" s="64" t="str">
        <f>Ringkasan!W1991</f>
        <v/>
      </c>
      <c r="X1920" s="64" t="str">
        <f>Ringkasan!X1991</f>
        <v/>
      </c>
      <c r="Y1920" s="64" t="str">
        <f>Ringkasan!Y1991</f>
        <v/>
      </c>
      <c r="Z1920" s="64" t="str">
        <f>Ringkasan!Z1991</f>
        <v/>
      </c>
      <c r="AA1920" s="64" t="str">
        <f>Ringkasan!AA1991</f>
        <v/>
      </c>
      <c r="AB1920" s="64" t="str">
        <f>Ringkasan!AB1991</f>
        <v/>
      </c>
    </row>
    <row r="1921">
      <c r="A1921" s="60" t="str">
        <f>Ringkasan!A1992</f>
        <v/>
      </c>
      <c r="B1921" s="60" t="str">
        <f>Ringkasan!B1992</f>
        <v/>
      </c>
      <c r="C1921" s="64" t="str">
        <f>Ringkasan!C1992</f>
        <v/>
      </c>
      <c r="D1921" s="64" t="str">
        <f>Ringkasan!D1992</f>
        <v/>
      </c>
      <c r="E1921" s="60" t="str">
        <f>Ringkasan!E1992</f>
        <v/>
      </c>
      <c r="F1921" s="60" t="str">
        <f>Ringkasan!F1992</f>
        <v/>
      </c>
      <c r="G1921" s="60" t="str">
        <f>Ringkasan!G1992</f>
        <v/>
      </c>
      <c r="H1921" s="60" t="str">
        <f>Ringkasan!H1992</f>
        <v/>
      </c>
      <c r="I1921" s="60" t="str">
        <f>Ringkasan!I1992</f>
        <v/>
      </c>
      <c r="J1921" s="60" t="str">
        <f>Ringkasan!J1992</f>
        <v/>
      </c>
      <c r="K1921" s="60" t="str">
        <f>Ringkasan!K1992</f>
        <v/>
      </c>
      <c r="L1921" s="60" t="str">
        <f>Ringkasan!L1992</f>
        <v/>
      </c>
      <c r="M1921" s="60" t="str">
        <f>Ringkasan!M1992</f>
        <v/>
      </c>
      <c r="N1921" s="60" t="str">
        <f>Ringkasan!N1992</f>
        <v/>
      </c>
      <c r="O1921" s="60" t="str">
        <f>Ringkasan!O1992</f>
        <v/>
      </c>
      <c r="P1921" s="60" t="str">
        <f>Ringkasan!P1992</f>
        <v/>
      </c>
      <c r="Q1921" s="60" t="str">
        <f>Ringkasan!Q1992</f>
        <v/>
      </c>
      <c r="R1921" s="60" t="str">
        <f>Ringkasan!R1992</f>
        <v/>
      </c>
      <c r="S1921" s="60" t="str">
        <f>Ringkasan!S1992</f>
        <v/>
      </c>
      <c r="T1921" s="60" t="str">
        <f>Ringkasan!T1992</f>
        <v/>
      </c>
      <c r="U1921" s="64" t="str">
        <f>Ringkasan!U1992</f>
        <v/>
      </c>
      <c r="V1921" s="64" t="str">
        <f>Ringkasan!V1992</f>
        <v/>
      </c>
      <c r="W1921" s="64" t="str">
        <f>Ringkasan!W1992</f>
        <v/>
      </c>
      <c r="X1921" s="64" t="str">
        <f>Ringkasan!X1992</f>
        <v/>
      </c>
      <c r="Y1921" s="64" t="str">
        <f>Ringkasan!Y1992</f>
        <v/>
      </c>
      <c r="Z1921" s="64" t="str">
        <f>Ringkasan!Z1992</f>
        <v/>
      </c>
      <c r="AA1921" s="64" t="str">
        <f>Ringkasan!AA1992</f>
        <v/>
      </c>
      <c r="AB1921" s="64" t="str">
        <f>Ringkasan!AB1992</f>
        <v/>
      </c>
    </row>
    <row r="1922">
      <c r="A1922" s="60" t="str">
        <f>Ringkasan!A1993</f>
        <v/>
      </c>
      <c r="B1922" s="60" t="str">
        <f>Ringkasan!B1993</f>
        <v/>
      </c>
      <c r="C1922" s="64" t="str">
        <f>Ringkasan!C1993</f>
        <v/>
      </c>
      <c r="D1922" s="64" t="str">
        <f>Ringkasan!D1993</f>
        <v/>
      </c>
      <c r="E1922" s="60" t="str">
        <f>Ringkasan!E1993</f>
        <v/>
      </c>
      <c r="F1922" s="60" t="str">
        <f>Ringkasan!F1993</f>
        <v/>
      </c>
      <c r="G1922" s="60" t="str">
        <f>Ringkasan!G1993</f>
        <v/>
      </c>
      <c r="H1922" s="60" t="str">
        <f>Ringkasan!H1993</f>
        <v/>
      </c>
      <c r="I1922" s="60" t="str">
        <f>Ringkasan!I1993</f>
        <v/>
      </c>
      <c r="J1922" s="60" t="str">
        <f>Ringkasan!J1993</f>
        <v/>
      </c>
      <c r="K1922" s="60" t="str">
        <f>Ringkasan!K1993</f>
        <v/>
      </c>
      <c r="L1922" s="60" t="str">
        <f>Ringkasan!L1993</f>
        <v/>
      </c>
      <c r="M1922" s="60" t="str">
        <f>Ringkasan!M1993</f>
        <v/>
      </c>
      <c r="N1922" s="60" t="str">
        <f>Ringkasan!N1993</f>
        <v/>
      </c>
      <c r="O1922" s="60" t="str">
        <f>Ringkasan!O1993</f>
        <v/>
      </c>
      <c r="P1922" s="60" t="str">
        <f>Ringkasan!P1993</f>
        <v/>
      </c>
      <c r="Q1922" s="60" t="str">
        <f>Ringkasan!Q1993</f>
        <v/>
      </c>
      <c r="R1922" s="60" t="str">
        <f>Ringkasan!R1993</f>
        <v/>
      </c>
      <c r="S1922" s="60" t="str">
        <f>Ringkasan!S1993</f>
        <v/>
      </c>
      <c r="T1922" s="60" t="str">
        <f>Ringkasan!T1993</f>
        <v/>
      </c>
      <c r="U1922" s="64" t="str">
        <f>Ringkasan!U1993</f>
        <v/>
      </c>
      <c r="V1922" s="64" t="str">
        <f>Ringkasan!V1993</f>
        <v/>
      </c>
      <c r="W1922" s="64" t="str">
        <f>Ringkasan!W1993</f>
        <v/>
      </c>
      <c r="X1922" s="64" t="str">
        <f>Ringkasan!X1993</f>
        <v/>
      </c>
      <c r="Y1922" s="64" t="str">
        <f>Ringkasan!Y1993</f>
        <v/>
      </c>
      <c r="Z1922" s="64" t="str">
        <f>Ringkasan!Z1993</f>
        <v/>
      </c>
      <c r="AA1922" s="64" t="str">
        <f>Ringkasan!AA1993</f>
        <v/>
      </c>
      <c r="AB1922" s="64" t="str">
        <f>Ringkasan!AB1993</f>
        <v/>
      </c>
    </row>
    <row r="1923">
      <c r="A1923" s="60" t="str">
        <f>Ringkasan!A1994</f>
        <v/>
      </c>
      <c r="B1923" s="60" t="str">
        <f>Ringkasan!B1994</f>
        <v/>
      </c>
      <c r="C1923" s="64" t="str">
        <f>Ringkasan!C1994</f>
        <v/>
      </c>
      <c r="D1923" s="64" t="str">
        <f>Ringkasan!D1994</f>
        <v/>
      </c>
      <c r="E1923" s="60" t="str">
        <f>Ringkasan!E1994</f>
        <v/>
      </c>
      <c r="F1923" s="60" t="str">
        <f>Ringkasan!F1994</f>
        <v/>
      </c>
      <c r="G1923" s="60" t="str">
        <f>Ringkasan!G1994</f>
        <v/>
      </c>
      <c r="H1923" s="60" t="str">
        <f>Ringkasan!H1994</f>
        <v/>
      </c>
      <c r="I1923" s="60" t="str">
        <f>Ringkasan!I1994</f>
        <v/>
      </c>
      <c r="J1923" s="60" t="str">
        <f>Ringkasan!J1994</f>
        <v/>
      </c>
      <c r="K1923" s="60" t="str">
        <f>Ringkasan!K1994</f>
        <v/>
      </c>
      <c r="L1923" s="60" t="str">
        <f>Ringkasan!L1994</f>
        <v/>
      </c>
      <c r="M1923" s="60" t="str">
        <f>Ringkasan!M1994</f>
        <v/>
      </c>
      <c r="N1923" s="60" t="str">
        <f>Ringkasan!N1994</f>
        <v/>
      </c>
      <c r="O1923" s="60" t="str">
        <f>Ringkasan!O1994</f>
        <v/>
      </c>
      <c r="P1923" s="60" t="str">
        <f>Ringkasan!P1994</f>
        <v/>
      </c>
      <c r="Q1923" s="60" t="str">
        <f>Ringkasan!Q1994</f>
        <v/>
      </c>
      <c r="R1923" s="60" t="str">
        <f>Ringkasan!R1994</f>
        <v/>
      </c>
      <c r="S1923" s="60" t="str">
        <f>Ringkasan!S1994</f>
        <v/>
      </c>
      <c r="T1923" s="60" t="str">
        <f>Ringkasan!T1994</f>
        <v/>
      </c>
      <c r="U1923" s="64" t="str">
        <f>Ringkasan!U1994</f>
        <v/>
      </c>
      <c r="V1923" s="64" t="str">
        <f>Ringkasan!V1994</f>
        <v/>
      </c>
      <c r="W1923" s="64" t="str">
        <f>Ringkasan!W1994</f>
        <v/>
      </c>
      <c r="X1923" s="64" t="str">
        <f>Ringkasan!X1994</f>
        <v/>
      </c>
      <c r="Y1923" s="64" t="str">
        <f>Ringkasan!Y1994</f>
        <v/>
      </c>
      <c r="Z1923" s="64" t="str">
        <f>Ringkasan!Z1994</f>
        <v/>
      </c>
      <c r="AA1923" s="64" t="str">
        <f>Ringkasan!AA1994</f>
        <v/>
      </c>
      <c r="AB1923" s="64" t="str">
        <f>Ringkasan!AB1994</f>
        <v/>
      </c>
    </row>
    <row r="1924">
      <c r="A1924" s="60" t="str">
        <f>Ringkasan!A1995</f>
        <v/>
      </c>
      <c r="B1924" s="60" t="str">
        <f>Ringkasan!B1995</f>
        <v/>
      </c>
      <c r="C1924" s="64" t="str">
        <f>Ringkasan!C1995</f>
        <v/>
      </c>
      <c r="D1924" s="64" t="str">
        <f>Ringkasan!D1995</f>
        <v/>
      </c>
      <c r="E1924" s="60" t="str">
        <f>Ringkasan!E1995</f>
        <v/>
      </c>
      <c r="F1924" s="60" t="str">
        <f>Ringkasan!F1995</f>
        <v/>
      </c>
      <c r="G1924" s="60" t="str">
        <f>Ringkasan!G1995</f>
        <v/>
      </c>
      <c r="H1924" s="60" t="str">
        <f>Ringkasan!H1995</f>
        <v/>
      </c>
      <c r="I1924" s="60" t="str">
        <f>Ringkasan!I1995</f>
        <v/>
      </c>
      <c r="J1924" s="60" t="str">
        <f>Ringkasan!J1995</f>
        <v/>
      </c>
      <c r="K1924" s="60" t="str">
        <f>Ringkasan!K1995</f>
        <v/>
      </c>
      <c r="L1924" s="60" t="str">
        <f>Ringkasan!L1995</f>
        <v/>
      </c>
      <c r="M1924" s="60" t="str">
        <f>Ringkasan!M1995</f>
        <v/>
      </c>
      <c r="N1924" s="60" t="str">
        <f>Ringkasan!N1995</f>
        <v/>
      </c>
      <c r="O1924" s="60" t="str">
        <f>Ringkasan!O1995</f>
        <v/>
      </c>
      <c r="P1924" s="60" t="str">
        <f>Ringkasan!P1995</f>
        <v/>
      </c>
      <c r="Q1924" s="60" t="str">
        <f>Ringkasan!Q1995</f>
        <v/>
      </c>
      <c r="R1924" s="60" t="str">
        <f>Ringkasan!R1995</f>
        <v/>
      </c>
      <c r="S1924" s="60" t="str">
        <f>Ringkasan!S1995</f>
        <v/>
      </c>
      <c r="T1924" s="60" t="str">
        <f>Ringkasan!T1995</f>
        <v/>
      </c>
      <c r="U1924" s="64" t="str">
        <f>Ringkasan!U1995</f>
        <v/>
      </c>
      <c r="V1924" s="64" t="str">
        <f>Ringkasan!V1995</f>
        <v/>
      </c>
      <c r="W1924" s="64" t="str">
        <f>Ringkasan!W1995</f>
        <v/>
      </c>
      <c r="X1924" s="64" t="str">
        <f>Ringkasan!X1995</f>
        <v/>
      </c>
      <c r="Y1924" s="64" t="str">
        <f>Ringkasan!Y1995</f>
        <v/>
      </c>
      <c r="Z1924" s="64" t="str">
        <f>Ringkasan!Z1995</f>
        <v/>
      </c>
      <c r="AA1924" s="64" t="str">
        <f>Ringkasan!AA1995</f>
        <v/>
      </c>
      <c r="AB1924" s="64" t="str">
        <f>Ringkasan!AB1995</f>
        <v/>
      </c>
    </row>
    <row r="1925">
      <c r="A1925" s="60" t="str">
        <f>Ringkasan!A1996</f>
        <v/>
      </c>
      <c r="B1925" s="60" t="str">
        <f>Ringkasan!B1996</f>
        <v/>
      </c>
      <c r="C1925" s="64" t="str">
        <f>Ringkasan!C1996</f>
        <v/>
      </c>
      <c r="D1925" s="64" t="str">
        <f>Ringkasan!D1996</f>
        <v/>
      </c>
      <c r="E1925" s="60" t="str">
        <f>Ringkasan!E1996</f>
        <v/>
      </c>
      <c r="F1925" s="60" t="str">
        <f>Ringkasan!F1996</f>
        <v/>
      </c>
      <c r="G1925" s="60" t="str">
        <f>Ringkasan!G1996</f>
        <v/>
      </c>
      <c r="H1925" s="60" t="str">
        <f>Ringkasan!H1996</f>
        <v/>
      </c>
      <c r="I1925" s="60" t="str">
        <f>Ringkasan!I1996</f>
        <v/>
      </c>
      <c r="J1925" s="60" t="str">
        <f>Ringkasan!J1996</f>
        <v/>
      </c>
      <c r="K1925" s="60" t="str">
        <f>Ringkasan!K1996</f>
        <v/>
      </c>
      <c r="L1925" s="60" t="str">
        <f>Ringkasan!L1996</f>
        <v/>
      </c>
      <c r="M1925" s="60" t="str">
        <f>Ringkasan!M1996</f>
        <v/>
      </c>
      <c r="N1925" s="60" t="str">
        <f>Ringkasan!N1996</f>
        <v/>
      </c>
      <c r="O1925" s="60" t="str">
        <f>Ringkasan!O1996</f>
        <v/>
      </c>
      <c r="P1925" s="60" t="str">
        <f>Ringkasan!P1996</f>
        <v/>
      </c>
      <c r="Q1925" s="60" t="str">
        <f>Ringkasan!Q1996</f>
        <v/>
      </c>
      <c r="R1925" s="60" t="str">
        <f>Ringkasan!R1996</f>
        <v/>
      </c>
      <c r="S1925" s="60" t="str">
        <f>Ringkasan!S1996</f>
        <v/>
      </c>
      <c r="T1925" s="60" t="str">
        <f>Ringkasan!T1996</f>
        <v/>
      </c>
      <c r="U1925" s="64" t="str">
        <f>Ringkasan!U1996</f>
        <v/>
      </c>
      <c r="V1925" s="64" t="str">
        <f>Ringkasan!V1996</f>
        <v/>
      </c>
      <c r="W1925" s="64" t="str">
        <f>Ringkasan!W1996</f>
        <v/>
      </c>
      <c r="X1925" s="64" t="str">
        <f>Ringkasan!X1996</f>
        <v/>
      </c>
      <c r="Y1925" s="64" t="str">
        <f>Ringkasan!Y1996</f>
        <v/>
      </c>
      <c r="Z1925" s="64" t="str">
        <f>Ringkasan!Z1996</f>
        <v/>
      </c>
      <c r="AA1925" s="64" t="str">
        <f>Ringkasan!AA1996</f>
        <v/>
      </c>
      <c r="AB1925" s="64" t="str">
        <f>Ringkasan!AB1996</f>
        <v/>
      </c>
    </row>
    <row r="1926">
      <c r="A1926" s="60" t="str">
        <f>Ringkasan!A1997</f>
        <v/>
      </c>
      <c r="B1926" s="60" t="str">
        <f>Ringkasan!B1997</f>
        <v/>
      </c>
      <c r="C1926" s="64" t="str">
        <f>Ringkasan!C1997</f>
        <v/>
      </c>
      <c r="D1926" s="64" t="str">
        <f>Ringkasan!D1997</f>
        <v/>
      </c>
      <c r="E1926" s="60" t="str">
        <f>Ringkasan!E1997</f>
        <v/>
      </c>
      <c r="F1926" s="60" t="str">
        <f>Ringkasan!F1997</f>
        <v/>
      </c>
      <c r="G1926" s="60" t="str">
        <f>Ringkasan!G1997</f>
        <v/>
      </c>
      <c r="H1926" s="60" t="str">
        <f>Ringkasan!H1997</f>
        <v/>
      </c>
      <c r="I1926" s="60" t="str">
        <f>Ringkasan!I1997</f>
        <v/>
      </c>
      <c r="J1926" s="60" t="str">
        <f>Ringkasan!J1997</f>
        <v/>
      </c>
      <c r="K1926" s="60" t="str">
        <f>Ringkasan!K1997</f>
        <v/>
      </c>
      <c r="L1926" s="60" t="str">
        <f>Ringkasan!L1997</f>
        <v/>
      </c>
      <c r="M1926" s="60" t="str">
        <f>Ringkasan!M1997</f>
        <v/>
      </c>
      <c r="N1926" s="60" t="str">
        <f>Ringkasan!N1997</f>
        <v/>
      </c>
      <c r="O1926" s="60" t="str">
        <f>Ringkasan!O1997</f>
        <v/>
      </c>
      <c r="P1926" s="60" t="str">
        <f>Ringkasan!P1997</f>
        <v/>
      </c>
      <c r="Q1926" s="60" t="str">
        <f>Ringkasan!Q1997</f>
        <v/>
      </c>
      <c r="R1926" s="60" t="str">
        <f>Ringkasan!R1997</f>
        <v/>
      </c>
      <c r="S1926" s="60" t="str">
        <f>Ringkasan!S1997</f>
        <v/>
      </c>
      <c r="T1926" s="60" t="str">
        <f>Ringkasan!T1997</f>
        <v/>
      </c>
      <c r="U1926" s="64" t="str">
        <f>Ringkasan!U1997</f>
        <v/>
      </c>
      <c r="V1926" s="64" t="str">
        <f>Ringkasan!V1997</f>
        <v/>
      </c>
      <c r="W1926" s="64" t="str">
        <f>Ringkasan!W1997</f>
        <v/>
      </c>
      <c r="X1926" s="64" t="str">
        <f>Ringkasan!X1997</f>
        <v/>
      </c>
      <c r="Y1926" s="64" t="str">
        <f>Ringkasan!Y1997</f>
        <v/>
      </c>
      <c r="Z1926" s="64" t="str">
        <f>Ringkasan!Z1997</f>
        <v/>
      </c>
      <c r="AA1926" s="64" t="str">
        <f>Ringkasan!AA1997</f>
        <v/>
      </c>
      <c r="AB1926" s="64" t="str">
        <f>Ringkasan!AB1997</f>
        <v/>
      </c>
    </row>
    <row r="1927">
      <c r="A1927" s="60" t="str">
        <f>Ringkasan!A1998</f>
        <v/>
      </c>
      <c r="B1927" s="60" t="str">
        <f>Ringkasan!B1998</f>
        <v/>
      </c>
      <c r="C1927" s="64" t="str">
        <f>Ringkasan!C1998</f>
        <v/>
      </c>
      <c r="D1927" s="64" t="str">
        <f>Ringkasan!D1998</f>
        <v/>
      </c>
      <c r="E1927" s="60" t="str">
        <f>Ringkasan!E1998</f>
        <v/>
      </c>
      <c r="F1927" s="60" t="str">
        <f>Ringkasan!F1998</f>
        <v/>
      </c>
      <c r="G1927" s="60" t="str">
        <f>Ringkasan!G1998</f>
        <v/>
      </c>
      <c r="H1927" s="60" t="str">
        <f>Ringkasan!H1998</f>
        <v/>
      </c>
      <c r="I1927" s="60" t="str">
        <f>Ringkasan!I1998</f>
        <v/>
      </c>
      <c r="J1927" s="60" t="str">
        <f>Ringkasan!J1998</f>
        <v/>
      </c>
      <c r="K1927" s="60" t="str">
        <f>Ringkasan!K1998</f>
        <v/>
      </c>
      <c r="L1927" s="60" t="str">
        <f>Ringkasan!L1998</f>
        <v/>
      </c>
      <c r="M1927" s="60" t="str">
        <f>Ringkasan!M1998</f>
        <v/>
      </c>
      <c r="N1927" s="60" t="str">
        <f>Ringkasan!N1998</f>
        <v/>
      </c>
      <c r="O1927" s="60" t="str">
        <f>Ringkasan!O1998</f>
        <v/>
      </c>
      <c r="P1927" s="60" t="str">
        <f>Ringkasan!P1998</f>
        <v/>
      </c>
      <c r="Q1927" s="60" t="str">
        <f>Ringkasan!Q1998</f>
        <v/>
      </c>
      <c r="R1927" s="60" t="str">
        <f>Ringkasan!R1998</f>
        <v/>
      </c>
      <c r="S1927" s="60" t="str">
        <f>Ringkasan!S1998</f>
        <v/>
      </c>
      <c r="T1927" s="60" t="str">
        <f>Ringkasan!T1998</f>
        <v/>
      </c>
      <c r="U1927" s="64" t="str">
        <f>Ringkasan!U1998</f>
        <v/>
      </c>
      <c r="V1927" s="64" t="str">
        <f>Ringkasan!V1998</f>
        <v/>
      </c>
      <c r="W1927" s="64" t="str">
        <f>Ringkasan!W1998</f>
        <v/>
      </c>
      <c r="X1927" s="64" t="str">
        <f>Ringkasan!X1998</f>
        <v/>
      </c>
      <c r="Y1927" s="64" t="str">
        <f>Ringkasan!Y1998</f>
        <v/>
      </c>
      <c r="Z1927" s="64" t="str">
        <f>Ringkasan!Z1998</f>
        <v/>
      </c>
      <c r="AA1927" s="64" t="str">
        <f>Ringkasan!AA1998</f>
        <v/>
      </c>
      <c r="AB1927" s="64" t="str">
        <f>Ringkasan!AB1998</f>
        <v/>
      </c>
    </row>
    <row r="1928">
      <c r="A1928" s="60" t="str">
        <f>Ringkasan!A1999</f>
        <v/>
      </c>
      <c r="B1928" s="60" t="str">
        <f>Ringkasan!B1999</f>
        <v/>
      </c>
      <c r="C1928" s="64" t="str">
        <f>Ringkasan!C1999</f>
        <v/>
      </c>
      <c r="D1928" s="64" t="str">
        <f>Ringkasan!D1999</f>
        <v/>
      </c>
      <c r="E1928" s="60" t="str">
        <f>Ringkasan!E1999</f>
        <v/>
      </c>
      <c r="F1928" s="60" t="str">
        <f>Ringkasan!F1999</f>
        <v/>
      </c>
      <c r="G1928" s="60" t="str">
        <f>Ringkasan!G1999</f>
        <v/>
      </c>
      <c r="H1928" s="60" t="str">
        <f>Ringkasan!H1999</f>
        <v/>
      </c>
      <c r="I1928" s="60" t="str">
        <f>Ringkasan!I1999</f>
        <v/>
      </c>
      <c r="J1928" s="60" t="str">
        <f>Ringkasan!J1999</f>
        <v/>
      </c>
      <c r="K1928" s="60" t="str">
        <f>Ringkasan!K1999</f>
        <v/>
      </c>
      <c r="L1928" s="60" t="str">
        <f>Ringkasan!L1999</f>
        <v/>
      </c>
      <c r="M1928" s="60" t="str">
        <f>Ringkasan!M1999</f>
        <v/>
      </c>
      <c r="N1928" s="60" t="str">
        <f>Ringkasan!N1999</f>
        <v/>
      </c>
      <c r="O1928" s="60" t="str">
        <f>Ringkasan!O1999</f>
        <v/>
      </c>
      <c r="P1928" s="60" t="str">
        <f>Ringkasan!P1999</f>
        <v/>
      </c>
      <c r="Q1928" s="60" t="str">
        <f>Ringkasan!Q1999</f>
        <v/>
      </c>
      <c r="R1928" s="60" t="str">
        <f>Ringkasan!R1999</f>
        <v/>
      </c>
      <c r="S1928" s="60" t="str">
        <f>Ringkasan!S1999</f>
        <v/>
      </c>
      <c r="T1928" s="60" t="str">
        <f>Ringkasan!T1999</f>
        <v/>
      </c>
      <c r="U1928" s="64" t="str">
        <f>Ringkasan!U1999</f>
        <v/>
      </c>
      <c r="V1928" s="64" t="str">
        <f>Ringkasan!V1999</f>
        <v/>
      </c>
      <c r="W1928" s="64" t="str">
        <f>Ringkasan!W1999</f>
        <v/>
      </c>
      <c r="X1928" s="64" t="str">
        <f>Ringkasan!X1999</f>
        <v/>
      </c>
      <c r="Y1928" s="64" t="str">
        <f>Ringkasan!Y1999</f>
        <v/>
      </c>
      <c r="Z1928" s="64" t="str">
        <f>Ringkasan!Z1999</f>
        <v/>
      </c>
      <c r="AA1928" s="64" t="str">
        <f>Ringkasan!AA1999</f>
        <v/>
      </c>
      <c r="AB1928" s="64" t="str">
        <f>Ringkasan!AB1999</f>
        <v/>
      </c>
    </row>
    <row r="1929">
      <c r="A1929" s="60" t="str">
        <f>Ringkasan!A2000</f>
        <v/>
      </c>
      <c r="B1929" s="60" t="str">
        <f>Ringkasan!B2000</f>
        <v/>
      </c>
      <c r="C1929" s="64" t="str">
        <f>Ringkasan!C2000</f>
        <v/>
      </c>
      <c r="D1929" s="64" t="str">
        <f>Ringkasan!D2000</f>
        <v/>
      </c>
      <c r="E1929" s="60" t="str">
        <f>Ringkasan!E2000</f>
        <v/>
      </c>
      <c r="F1929" s="60" t="str">
        <f>Ringkasan!F2000</f>
        <v/>
      </c>
      <c r="G1929" s="60" t="str">
        <f>Ringkasan!G2000</f>
        <v/>
      </c>
      <c r="H1929" s="60" t="str">
        <f>Ringkasan!H2000</f>
        <v/>
      </c>
      <c r="I1929" s="60" t="str">
        <f>Ringkasan!I2000</f>
        <v/>
      </c>
      <c r="J1929" s="60" t="str">
        <f>Ringkasan!J2000</f>
        <v/>
      </c>
      <c r="K1929" s="60" t="str">
        <f>Ringkasan!K2000</f>
        <v/>
      </c>
      <c r="L1929" s="60" t="str">
        <f>Ringkasan!L2000</f>
        <v/>
      </c>
      <c r="M1929" s="60" t="str">
        <f>Ringkasan!M2000</f>
        <v/>
      </c>
      <c r="N1929" s="60" t="str">
        <f>Ringkasan!N2000</f>
        <v/>
      </c>
      <c r="O1929" s="60" t="str">
        <f>Ringkasan!O2000</f>
        <v/>
      </c>
      <c r="P1929" s="60" t="str">
        <f>Ringkasan!P2000</f>
        <v/>
      </c>
      <c r="Q1929" s="60" t="str">
        <f>Ringkasan!Q2000</f>
        <v/>
      </c>
      <c r="R1929" s="60" t="str">
        <f>Ringkasan!R2000</f>
        <v/>
      </c>
      <c r="S1929" s="60" t="str">
        <f>Ringkasan!S2000</f>
        <v/>
      </c>
      <c r="T1929" s="60" t="str">
        <f>Ringkasan!T2000</f>
        <v/>
      </c>
      <c r="U1929" s="64" t="str">
        <f>Ringkasan!U2000</f>
        <v/>
      </c>
      <c r="V1929" s="64" t="str">
        <f>Ringkasan!V2000</f>
        <v/>
      </c>
      <c r="W1929" s="64" t="str">
        <f>Ringkasan!W2000</f>
        <v/>
      </c>
      <c r="X1929" s="64" t="str">
        <f>Ringkasan!X2000</f>
        <v/>
      </c>
      <c r="Y1929" s="64" t="str">
        <f>Ringkasan!Y2000</f>
        <v/>
      </c>
      <c r="Z1929" s="64" t="str">
        <f>Ringkasan!Z2000</f>
        <v/>
      </c>
      <c r="AA1929" s="64" t="str">
        <f>Ringkasan!AA2000</f>
        <v/>
      </c>
      <c r="AB1929" s="64" t="str">
        <f>Ringkasan!AB2000</f>
        <v/>
      </c>
    </row>
    <row r="1930">
      <c r="A1930" s="60" t="str">
        <f>Ringkasan!A2001</f>
        <v/>
      </c>
      <c r="B1930" s="60" t="str">
        <f>Ringkasan!B2001</f>
        <v/>
      </c>
      <c r="C1930" s="64" t="str">
        <f>Ringkasan!C2001</f>
        <v/>
      </c>
      <c r="D1930" s="64" t="str">
        <f>Ringkasan!D2001</f>
        <v/>
      </c>
      <c r="E1930" s="60" t="str">
        <f>Ringkasan!E2001</f>
        <v/>
      </c>
      <c r="F1930" s="60" t="str">
        <f>Ringkasan!F2001</f>
        <v/>
      </c>
      <c r="G1930" s="60" t="str">
        <f>Ringkasan!G2001</f>
        <v/>
      </c>
      <c r="H1930" s="60" t="str">
        <f>Ringkasan!H2001</f>
        <v/>
      </c>
      <c r="I1930" s="60" t="str">
        <f>Ringkasan!I2001</f>
        <v/>
      </c>
      <c r="J1930" s="60" t="str">
        <f>Ringkasan!J2001</f>
        <v/>
      </c>
      <c r="K1930" s="60" t="str">
        <f>Ringkasan!K2001</f>
        <v/>
      </c>
      <c r="L1930" s="60" t="str">
        <f>Ringkasan!L2001</f>
        <v/>
      </c>
      <c r="M1930" s="60" t="str">
        <f>Ringkasan!M2001</f>
        <v/>
      </c>
      <c r="N1930" s="60" t="str">
        <f>Ringkasan!N2001</f>
        <v/>
      </c>
      <c r="O1930" s="60" t="str">
        <f>Ringkasan!O2001</f>
        <v/>
      </c>
      <c r="P1930" s="60" t="str">
        <f>Ringkasan!P2001</f>
        <v/>
      </c>
      <c r="Q1930" s="60" t="str">
        <f>Ringkasan!Q2001</f>
        <v/>
      </c>
      <c r="R1930" s="60" t="str">
        <f>Ringkasan!R2001</f>
        <v/>
      </c>
      <c r="S1930" s="60" t="str">
        <f>Ringkasan!S2001</f>
        <v/>
      </c>
      <c r="T1930" s="60" t="str">
        <f>Ringkasan!T2001</f>
        <v/>
      </c>
      <c r="U1930" s="64" t="str">
        <f>Ringkasan!U2001</f>
        <v/>
      </c>
      <c r="V1930" s="64" t="str">
        <f>Ringkasan!V2001</f>
        <v/>
      </c>
      <c r="W1930" s="64" t="str">
        <f>Ringkasan!W2001</f>
        <v/>
      </c>
      <c r="X1930" s="64" t="str">
        <f>Ringkasan!X2001</f>
        <v/>
      </c>
      <c r="Y1930" s="64" t="str">
        <f>Ringkasan!Y2001</f>
        <v/>
      </c>
      <c r="Z1930" s="64" t="str">
        <f>Ringkasan!Z2001</f>
        <v/>
      </c>
      <c r="AA1930" s="64" t="str">
        <f>Ringkasan!AA2001</f>
        <v/>
      </c>
      <c r="AB1930" s="64" t="str">
        <f>Ringkasan!AB2001</f>
        <v/>
      </c>
    </row>
    <row r="1931">
      <c r="A1931" s="60" t="str">
        <f>Ringkasan!A2002</f>
        <v/>
      </c>
      <c r="B1931" s="60" t="str">
        <f>Ringkasan!B2002</f>
        <v/>
      </c>
      <c r="C1931" s="64" t="str">
        <f>Ringkasan!C2002</f>
        <v/>
      </c>
      <c r="D1931" s="64" t="str">
        <f>Ringkasan!D2002</f>
        <v/>
      </c>
      <c r="E1931" s="60" t="str">
        <f>Ringkasan!E2002</f>
        <v/>
      </c>
      <c r="F1931" s="60" t="str">
        <f>Ringkasan!F2002</f>
        <v/>
      </c>
      <c r="G1931" s="60" t="str">
        <f>Ringkasan!G2002</f>
        <v/>
      </c>
      <c r="H1931" s="60" t="str">
        <f>Ringkasan!H2002</f>
        <v/>
      </c>
      <c r="I1931" s="60" t="str">
        <f>Ringkasan!I2002</f>
        <v/>
      </c>
      <c r="J1931" s="60" t="str">
        <f>Ringkasan!J2002</f>
        <v/>
      </c>
      <c r="K1931" s="60" t="str">
        <f>Ringkasan!K2002</f>
        <v/>
      </c>
      <c r="L1931" s="60" t="str">
        <f>Ringkasan!L2002</f>
        <v/>
      </c>
      <c r="M1931" s="60" t="str">
        <f>Ringkasan!M2002</f>
        <v/>
      </c>
      <c r="N1931" s="60" t="str">
        <f>Ringkasan!N2002</f>
        <v/>
      </c>
      <c r="O1931" s="60" t="str">
        <f>Ringkasan!O2002</f>
        <v/>
      </c>
      <c r="P1931" s="60" t="str">
        <f>Ringkasan!P2002</f>
        <v/>
      </c>
      <c r="Q1931" s="60" t="str">
        <f>Ringkasan!Q2002</f>
        <v/>
      </c>
      <c r="R1931" s="60" t="str">
        <f>Ringkasan!R2002</f>
        <v/>
      </c>
      <c r="S1931" s="60" t="str">
        <f>Ringkasan!S2002</f>
        <v/>
      </c>
      <c r="T1931" s="60" t="str">
        <f>Ringkasan!T2002</f>
        <v/>
      </c>
      <c r="U1931" s="64" t="str">
        <f>Ringkasan!U2002</f>
        <v/>
      </c>
      <c r="V1931" s="64" t="str">
        <f>Ringkasan!V2002</f>
        <v/>
      </c>
      <c r="W1931" s="64" t="str">
        <f>Ringkasan!W2002</f>
        <v/>
      </c>
      <c r="X1931" s="64" t="str">
        <f>Ringkasan!X2002</f>
        <v/>
      </c>
      <c r="Y1931" s="64" t="str">
        <f>Ringkasan!Y2002</f>
        <v/>
      </c>
      <c r="Z1931" s="64" t="str">
        <f>Ringkasan!Z2002</f>
        <v/>
      </c>
      <c r="AA1931" s="64" t="str">
        <f>Ringkasan!AA2002</f>
        <v/>
      </c>
      <c r="AB1931" s="64" t="str">
        <f>Ringkasan!AB2002</f>
        <v/>
      </c>
    </row>
    <row r="1932">
      <c r="A1932" s="60" t="str">
        <f>Ringkasan!A2003</f>
        <v/>
      </c>
      <c r="B1932" s="60" t="str">
        <f>Ringkasan!B2003</f>
        <v/>
      </c>
      <c r="C1932" s="64" t="str">
        <f>Ringkasan!C2003</f>
        <v/>
      </c>
      <c r="D1932" s="64" t="str">
        <f>Ringkasan!D2003</f>
        <v/>
      </c>
      <c r="E1932" s="60" t="str">
        <f>Ringkasan!E2003</f>
        <v/>
      </c>
      <c r="F1932" s="60" t="str">
        <f>Ringkasan!F2003</f>
        <v/>
      </c>
      <c r="G1932" s="60" t="str">
        <f>Ringkasan!G2003</f>
        <v/>
      </c>
      <c r="H1932" s="60" t="str">
        <f>Ringkasan!H2003</f>
        <v/>
      </c>
      <c r="I1932" s="60" t="str">
        <f>Ringkasan!I2003</f>
        <v/>
      </c>
      <c r="J1932" s="60" t="str">
        <f>Ringkasan!J2003</f>
        <v/>
      </c>
      <c r="K1932" s="60" t="str">
        <f>Ringkasan!K2003</f>
        <v/>
      </c>
      <c r="L1932" s="60" t="str">
        <f>Ringkasan!L2003</f>
        <v/>
      </c>
      <c r="M1932" s="60" t="str">
        <f>Ringkasan!M2003</f>
        <v/>
      </c>
      <c r="N1932" s="60" t="str">
        <f>Ringkasan!N2003</f>
        <v/>
      </c>
      <c r="O1932" s="60" t="str">
        <f>Ringkasan!O2003</f>
        <v/>
      </c>
      <c r="P1932" s="60" t="str">
        <f>Ringkasan!P2003</f>
        <v/>
      </c>
      <c r="Q1932" s="60" t="str">
        <f>Ringkasan!Q2003</f>
        <v/>
      </c>
      <c r="R1932" s="60" t="str">
        <f>Ringkasan!R2003</f>
        <v/>
      </c>
      <c r="S1932" s="60" t="str">
        <f>Ringkasan!S2003</f>
        <v/>
      </c>
      <c r="T1932" s="60" t="str">
        <f>Ringkasan!T2003</f>
        <v/>
      </c>
      <c r="U1932" s="64" t="str">
        <f>Ringkasan!U2003</f>
        <v/>
      </c>
      <c r="V1932" s="64" t="str">
        <f>Ringkasan!V2003</f>
        <v/>
      </c>
      <c r="W1932" s="64" t="str">
        <f>Ringkasan!W2003</f>
        <v/>
      </c>
      <c r="X1932" s="64" t="str">
        <f>Ringkasan!X2003</f>
        <v/>
      </c>
      <c r="Y1932" s="64" t="str">
        <f>Ringkasan!Y2003</f>
        <v/>
      </c>
      <c r="Z1932" s="64" t="str">
        <f>Ringkasan!Z2003</f>
        <v/>
      </c>
      <c r="AA1932" s="64" t="str">
        <f>Ringkasan!AA2003</f>
        <v/>
      </c>
      <c r="AB1932" s="64" t="str">
        <f>Ringkasan!AB2003</f>
        <v/>
      </c>
    </row>
    <row r="1933">
      <c r="A1933" s="60" t="str">
        <f>Ringkasan!A2004</f>
        <v/>
      </c>
      <c r="B1933" s="60" t="str">
        <f>Ringkasan!B2004</f>
        <v/>
      </c>
      <c r="C1933" s="64" t="str">
        <f>Ringkasan!C2004</f>
        <v/>
      </c>
      <c r="D1933" s="64" t="str">
        <f>Ringkasan!D2004</f>
        <v/>
      </c>
      <c r="E1933" s="60" t="str">
        <f>Ringkasan!E2004</f>
        <v/>
      </c>
      <c r="F1933" s="60" t="str">
        <f>Ringkasan!F2004</f>
        <v/>
      </c>
      <c r="G1933" s="60" t="str">
        <f>Ringkasan!G2004</f>
        <v/>
      </c>
      <c r="H1933" s="60" t="str">
        <f>Ringkasan!H2004</f>
        <v/>
      </c>
      <c r="I1933" s="60" t="str">
        <f>Ringkasan!I2004</f>
        <v/>
      </c>
      <c r="J1933" s="60" t="str">
        <f>Ringkasan!J2004</f>
        <v/>
      </c>
      <c r="K1933" s="60" t="str">
        <f>Ringkasan!K2004</f>
        <v/>
      </c>
      <c r="L1933" s="60" t="str">
        <f>Ringkasan!L2004</f>
        <v/>
      </c>
      <c r="M1933" s="60" t="str">
        <f>Ringkasan!M2004</f>
        <v/>
      </c>
      <c r="N1933" s="60" t="str">
        <f>Ringkasan!N2004</f>
        <v/>
      </c>
      <c r="O1933" s="60" t="str">
        <f>Ringkasan!O2004</f>
        <v/>
      </c>
      <c r="P1933" s="60" t="str">
        <f>Ringkasan!P2004</f>
        <v/>
      </c>
      <c r="Q1933" s="60" t="str">
        <f>Ringkasan!Q2004</f>
        <v/>
      </c>
      <c r="R1933" s="60" t="str">
        <f>Ringkasan!R2004</f>
        <v/>
      </c>
      <c r="S1933" s="60" t="str">
        <f>Ringkasan!S2004</f>
        <v/>
      </c>
      <c r="T1933" s="60" t="str">
        <f>Ringkasan!T2004</f>
        <v/>
      </c>
      <c r="U1933" s="64" t="str">
        <f>Ringkasan!U2004</f>
        <v/>
      </c>
      <c r="V1933" s="64" t="str">
        <f>Ringkasan!V2004</f>
        <v/>
      </c>
      <c r="W1933" s="64" t="str">
        <f>Ringkasan!W2004</f>
        <v/>
      </c>
      <c r="X1933" s="64" t="str">
        <f>Ringkasan!X2004</f>
        <v/>
      </c>
      <c r="Y1933" s="64" t="str">
        <f>Ringkasan!Y2004</f>
        <v/>
      </c>
      <c r="Z1933" s="64" t="str">
        <f>Ringkasan!Z2004</f>
        <v/>
      </c>
      <c r="AA1933" s="64" t="str">
        <f>Ringkasan!AA2004</f>
        <v/>
      </c>
      <c r="AB1933" s="64" t="str">
        <f>Ringkasan!AB2004</f>
        <v/>
      </c>
    </row>
    <row r="1934">
      <c r="A1934" s="60" t="str">
        <f>Ringkasan!A2005</f>
        <v/>
      </c>
      <c r="B1934" s="60" t="str">
        <f>Ringkasan!B2005</f>
        <v/>
      </c>
      <c r="C1934" s="64" t="str">
        <f>Ringkasan!C2005</f>
        <v/>
      </c>
      <c r="D1934" s="64" t="str">
        <f>Ringkasan!D2005</f>
        <v/>
      </c>
      <c r="E1934" s="60" t="str">
        <f>Ringkasan!E2005</f>
        <v/>
      </c>
      <c r="F1934" s="60" t="str">
        <f>Ringkasan!F2005</f>
        <v/>
      </c>
      <c r="G1934" s="60" t="str">
        <f>Ringkasan!G2005</f>
        <v/>
      </c>
      <c r="H1934" s="60" t="str">
        <f>Ringkasan!H2005</f>
        <v/>
      </c>
      <c r="I1934" s="60" t="str">
        <f>Ringkasan!I2005</f>
        <v/>
      </c>
      <c r="J1934" s="60" t="str">
        <f>Ringkasan!J2005</f>
        <v/>
      </c>
      <c r="K1934" s="60" t="str">
        <f>Ringkasan!K2005</f>
        <v/>
      </c>
      <c r="L1934" s="60" t="str">
        <f>Ringkasan!L2005</f>
        <v/>
      </c>
      <c r="M1934" s="60" t="str">
        <f>Ringkasan!M2005</f>
        <v/>
      </c>
      <c r="N1934" s="60" t="str">
        <f>Ringkasan!N2005</f>
        <v/>
      </c>
      <c r="O1934" s="60" t="str">
        <f>Ringkasan!O2005</f>
        <v/>
      </c>
      <c r="P1934" s="60" t="str">
        <f>Ringkasan!P2005</f>
        <v/>
      </c>
      <c r="Q1934" s="60" t="str">
        <f>Ringkasan!Q2005</f>
        <v/>
      </c>
      <c r="R1934" s="60" t="str">
        <f>Ringkasan!R2005</f>
        <v/>
      </c>
      <c r="S1934" s="60" t="str">
        <f>Ringkasan!S2005</f>
        <v/>
      </c>
      <c r="T1934" s="60" t="str">
        <f>Ringkasan!T2005</f>
        <v/>
      </c>
      <c r="U1934" s="64" t="str">
        <f>Ringkasan!U2005</f>
        <v/>
      </c>
      <c r="V1934" s="64" t="str">
        <f>Ringkasan!V2005</f>
        <v/>
      </c>
      <c r="W1934" s="64" t="str">
        <f>Ringkasan!W2005</f>
        <v/>
      </c>
      <c r="X1934" s="64" t="str">
        <f>Ringkasan!X2005</f>
        <v/>
      </c>
      <c r="Y1934" s="64" t="str">
        <f>Ringkasan!Y2005</f>
        <v/>
      </c>
      <c r="Z1934" s="64" t="str">
        <f>Ringkasan!Z2005</f>
        <v/>
      </c>
      <c r="AA1934" s="64" t="str">
        <f>Ringkasan!AA2005</f>
        <v/>
      </c>
      <c r="AB1934" s="64" t="str">
        <f>Ringkasan!AB2005</f>
        <v/>
      </c>
    </row>
    <row r="1935">
      <c r="A1935" s="60" t="str">
        <f>Ringkasan!A2006</f>
        <v/>
      </c>
      <c r="B1935" s="60" t="str">
        <f>Ringkasan!B2006</f>
        <v/>
      </c>
      <c r="C1935" s="64" t="str">
        <f>Ringkasan!C2006</f>
        <v/>
      </c>
      <c r="D1935" s="64" t="str">
        <f>Ringkasan!D2006</f>
        <v/>
      </c>
      <c r="E1935" s="60" t="str">
        <f>Ringkasan!E2006</f>
        <v/>
      </c>
      <c r="F1935" s="60" t="str">
        <f>Ringkasan!F2006</f>
        <v/>
      </c>
      <c r="G1935" s="60" t="str">
        <f>Ringkasan!G2006</f>
        <v/>
      </c>
      <c r="H1935" s="60" t="str">
        <f>Ringkasan!H2006</f>
        <v/>
      </c>
      <c r="I1935" s="60" t="str">
        <f>Ringkasan!I2006</f>
        <v/>
      </c>
      <c r="J1935" s="60" t="str">
        <f>Ringkasan!J2006</f>
        <v/>
      </c>
      <c r="K1935" s="60" t="str">
        <f>Ringkasan!K2006</f>
        <v/>
      </c>
      <c r="L1935" s="60" t="str">
        <f>Ringkasan!L2006</f>
        <v/>
      </c>
      <c r="M1935" s="60" t="str">
        <f>Ringkasan!M2006</f>
        <v/>
      </c>
      <c r="N1935" s="60" t="str">
        <f>Ringkasan!N2006</f>
        <v/>
      </c>
      <c r="O1935" s="60" t="str">
        <f>Ringkasan!O2006</f>
        <v/>
      </c>
      <c r="P1935" s="60" t="str">
        <f>Ringkasan!P2006</f>
        <v/>
      </c>
      <c r="Q1935" s="60" t="str">
        <f>Ringkasan!Q2006</f>
        <v/>
      </c>
      <c r="R1935" s="60" t="str">
        <f>Ringkasan!R2006</f>
        <v/>
      </c>
      <c r="S1935" s="60" t="str">
        <f>Ringkasan!S2006</f>
        <v/>
      </c>
      <c r="T1935" s="60" t="str">
        <f>Ringkasan!T2006</f>
        <v/>
      </c>
      <c r="U1935" s="64" t="str">
        <f>Ringkasan!U2006</f>
        <v/>
      </c>
      <c r="V1935" s="64" t="str">
        <f>Ringkasan!V2006</f>
        <v/>
      </c>
      <c r="W1935" s="64" t="str">
        <f>Ringkasan!W2006</f>
        <v/>
      </c>
      <c r="X1935" s="64" t="str">
        <f>Ringkasan!X2006</f>
        <v/>
      </c>
      <c r="Y1935" s="64" t="str">
        <f>Ringkasan!Y2006</f>
        <v/>
      </c>
      <c r="Z1935" s="64" t="str">
        <f>Ringkasan!Z2006</f>
        <v/>
      </c>
      <c r="AA1935" s="64" t="str">
        <f>Ringkasan!AA2006</f>
        <v/>
      </c>
      <c r="AB1935" s="64" t="str">
        <f>Ringkasan!AB2006</f>
        <v/>
      </c>
    </row>
    <row r="1936">
      <c r="A1936" s="60" t="str">
        <f>Ringkasan!A2007</f>
        <v/>
      </c>
      <c r="B1936" s="60" t="str">
        <f>Ringkasan!B2007</f>
        <v/>
      </c>
      <c r="C1936" s="64" t="str">
        <f>Ringkasan!C2007</f>
        <v/>
      </c>
      <c r="D1936" s="64" t="str">
        <f>Ringkasan!D2007</f>
        <v/>
      </c>
      <c r="E1936" s="60" t="str">
        <f>Ringkasan!E2007</f>
        <v/>
      </c>
      <c r="F1936" s="60" t="str">
        <f>Ringkasan!F2007</f>
        <v/>
      </c>
      <c r="G1936" s="60" t="str">
        <f>Ringkasan!G2007</f>
        <v/>
      </c>
      <c r="H1936" s="60" t="str">
        <f>Ringkasan!H2007</f>
        <v/>
      </c>
      <c r="I1936" s="60" t="str">
        <f>Ringkasan!I2007</f>
        <v/>
      </c>
      <c r="J1936" s="60" t="str">
        <f>Ringkasan!J2007</f>
        <v/>
      </c>
      <c r="K1936" s="60" t="str">
        <f>Ringkasan!K2007</f>
        <v/>
      </c>
      <c r="L1936" s="60" t="str">
        <f>Ringkasan!L2007</f>
        <v/>
      </c>
      <c r="M1936" s="60" t="str">
        <f>Ringkasan!M2007</f>
        <v/>
      </c>
      <c r="N1936" s="60" t="str">
        <f>Ringkasan!N2007</f>
        <v/>
      </c>
      <c r="O1936" s="60" t="str">
        <f>Ringkasan!O2007</f>
        <v/>
      </c>
      <c r="P1936" s="60" t="str">
        <f>Ringkasan!P2007</f>
        <v/>
      </c>
      <c r="Q1936" s="60" t="str">
        <f>Ringkasan!Q2007</f>
        <v/>
      </c>
      <c r="R1936" s="60" t="str">
        <f>Ringkasan!R2007</f>
        <v/>
      </c>
      <c r="S1936" s="60" t="str">
        <f>Ringkasan!S2007</f>
        <v/>
      </c>
      <c r="T1936" s="60" t="str">
        <f>Ringkasan!T2007</f>
        <v/>
      </c>
      <c r="U1936" s="64" t="str">
        <f>Ringkasan!U2007</f>
        <v/>
      </c>
      <c r="V1936" s="64" t="str">
        <f>Ringkasan!V2007</f>
        <v/>
      </c>
      <c r="W1936" s="64" t="str">
        <f>Ringkasan!W2007</f>
        <v/>
      </c>
      <c r="X1936" s="64" t="str">
        <f>Ringkasan!X2007</f>
        <v/>
      </c>
      <c r="Y1936" s="64" t="str">
        <f>Ringkasan!Y2007</f>
        <v/>
      </c>
      <c r="Z1936" s="64" t="str">
        <f>Ringkasan!Z2007</f>
        <v/>
      </c>
      <c r="AA1936" s="64" t="str">
        <f>Ringkasan!AA2007</f>
        <v/>
      </c>
      <c r="AB1936" s="64" t="str">
        <f>Ringkasan!AB2007</f>
        <v/>
      </c>
    </row>
    <row r="1937">
      <c r="A1937" s="60" t="str">
        <f>Ringkasan!A2008</f>
        <v/>
      </c>
      <c r="B1937" s="60" t="str">
        <f>Ringkasan!B2008</f>
        <v/>
      </c>
      <c r="C1937" s="64" t="str">
        <f>Ringkasan!C2008</f>
        <v/>
      </c>
      <c r="D1937" s="64" t="str">
        <f>Ringkasan!D2008</f>
        <v/>
      </c>
      <c r="E1937" s="60" t="str">
        <f>Ringkasan!E2008</f>
        <v/>
      </c>
      <c r="F1937" s="60" t="str">
        <f>Ringkasan!F2008</f>
        <v/>
      </c>
      <c r="G1937" s="60" t="str">
        <f>Ringkasan!G2008</f>
        <v/>
      </c>
      <c r="H1937" s="60" t="str">
        <f>Ringkasan!H2008</f>
        <v/>
      </c>
      <c r="I1937" s="60" t="str">
        <f>Ringkasan!I2008</f>
        <v/>
      </c>
      <c r="J1937" s="60" t="str">
        <f>Ringkasan!J2008</f>
        <v/>
      </c>
      <c r="K1937" s="60" t="str">
        <f>Ringkasan!K2008</f>
        <v/>
      </c>
      <c r="L1937" s="60" t="str">
        <f>Ringkasan!L2008</f>
        <v/>
      </c>
      <c r="M1937" s="60" t="str">
        <f>Ringkasan!M2008</f>
        <v/>
      </c>
      <c r="N1937" s="60" t="str">
        <f>Ringkasan!N2008</f>
        <v/>
      </c>
      <c r="O1937" s="60" t="str">
        <f>Ringkasan!O2008</f>
        <v/>
      </c>
      <c r="P1937" s="60" t="str">
        <f>Ringkasan!P2008</f>
        <v/>
      </c>
      <c r="Q1937" s="60" t="str">
        <f>Ringkasan!Q2008</f>
        <v/>
      </c>
      <c r="R1937" s="60" t="str">
        <f>Ringkasan!R2008</f>
        <v/>
      </c>
      <c r="S1937" s="60" t="str">
        <f>Ringkasan!S2008</f>
        <v/>
      </c>
      <c r="T1937" s="60" t="str">
        <f>Ringkasan!T2008</f>
        <v/>
      </c>
      <c r="U1937" s="64" t="str">
        <f>Ringkasan!U2008</f>
        <v/>
      </c>
      <c r="V1937" s="64" t="str">
        <f>Ringkasan!V2008</f>
        <v/>
      </c>
      <c r="W1937" s="64" t="str">
        <f>Ringkasan!W2008</f>
        <v/>
      </c>
      <c r="X1937" s="64" t="str">
        <f>Ringkasan!X2008</f>
        <v/>
      </c>
      <c r="Y1937" s="64" t="str">
        <f>Ringkasan!Y2008</f>
        <v/>
      </c>
      <c r="Z1937" s="64" t="str">
        <f>Ringkasan!Z2008</f>
        <v/>
      </c>
      <c r="AA1937" s="64" t="str">
        <f>Ringkasan!AA2008</f>
        <v/>
      </c>
      <c r="AB1937" s="64" t="str">
        <f>Ringkasan!AB2008</f>
        <v/>
      </c>
    </row>
    <row r="1938">
      <c r="A1938" s="60" t="str">
        <f>Ringkasan!A2009</f>
        <v/>
      </c>
      <c r="B1938" s="60" t="str">
        <f>Ringkasan!B2009</f>
        <v/>
      </c>
      <c r="C1938" s="64" t="str">
        <f>Ringkasan!C2009</f>
        <v/>
      </c>
      <c r="D1938" s="64" t="str">
        <f>Ringkasan!D2009</f>
        <v/>
      </c>
      <c r="E1938" s="60" t="str">
        <f>Ringkasan!E2009</f>
        <v/>
      </c>
      <c r="F1938" s="60" t="str">
        <f>Ringkasan!F2009</f>
        <v/>
      </c>
      <c r="G1938" s="60" t="str">
        <f>Ringkasan!G2009</f>
        <v/>
      </c>
      <c r="H1938" s="60" t="str">
        <f>Ringkasan!H2009</f>
        <v/>
      </c>
      <c r="I1938" s="60" t="str">
        <f>Ringkasan!I2009</f>
        <v/>
      </c>
      <c r="J1938" s="60" t="str">
        <f>Ringkasan!J2009</f>
        <v/>
      </c>
      <c r="K1938" s="60" t="str">
        <f>Ringkasan!K2009</f>
        <v/>
      </c>
      <c r="L1938" s="60" t="str">
        <f>Ringkasan!L2009</f>
        <v/>
      </c>
      <c r="M1938" s="60" t="str">
        <f>Ringkasan!M2009</f>
        <v/>
      </c>
      <c r="N1938" s="60" t="str">
        <f>Ringkasan!N2009</f>
        <v/>
      </c>
      <c r="O1938" s="60" t="str">
        <f>Ringkasan!O2009</f>
        <v/>
      </c>
      <c r="P1938" s="60" t="str">
        <f>Ringkasan!P2009</f>
        <v/>
      </c>
      <c r="Q1938" s="60" t="str">
        <f>Ringkasan!Q2009</f>
        <v/>
      </c>
      <c r="R1938" s="60" t="str">
        <f>Ringkasan!R2009</f>
        <v/>
      </c>
      <c r="S1938" s="60" t="str">
        <f>Ringkasan!S2009</f>
        <v/>
      </c>
      <c r="T1938" s="60" t="str">
        <f>Ringkasan!T2009</f>
        <v/>
      </c>
      <c r="U1938" s="64" t="str">
        <f>Ringkasan!U2009</f>
        <v/>
      </c>
      <c r="V1938" s="64" t="str">
        <f>Ringkasan!V2009</f>
        <v/>
      </c>
      <c r="W1938" s="64" t="str">
        <f>Ringkasan!W2009</f>
        <v/>
      </c>
      <c r="X1938" s="64" t="str">
        <f>Ringkasan!X2009</f>
        <v/>
      </c>
      <c r="Y1938" s="64" t="str">
        <f>Ringkasan!Y2009</f>
        <v/>
      </c>
      <c r="Z1938" s="64" t="str">
        <f>Ringkasan!Z2009</f>
        <v/>
      </c>
      <c r="AA1938" s="64" t="str">
        <f>Ringkasan!AA2009</f>
        <v/>
      </c>
      <c r="AB1938" s="64" t="str">
        <f>Ringkasan!AB2009</f>
        <v/>
      </c>
    </row>
    <row r="1939">
      <c r="A1939" s="60" t="str">
        <f>Ringkasan!A2010</f>
        <v/>
      </c>
      <c r="B1939" s="60" t="str">
        <f>Ringkasan!B2010</f>
        <v/>
      </c>
      <c r="C1939" s="64" t="str">
        <f>Ringkasan!C2010</f>
        <v/>
      </c>
      <c r="D1939" s="64" t="str">
        <f>Ringkasan!D2010</f>
        <v/>
      </c>
      <c r="E1939" s="60" t="str">
        <f>Ringkasan!E2010</f>
        <v/>
      </c>
      <c r="F1939" s="60" t="str">
        <f>Ringkasan!F2010</f>
        <v/>
      </c>
      <c r="G1939" s="60" t="str">
        <f>Ringkasan!G2010</f>
        <v/>
      </c>
      <c r="H1939" s="60" t="str">
        <f>Ringkasan!H2010</f>
        <v/>
      </c>
      <c r="I1939" s="60" t="str">
        <f>Ringkasan!I2010</f>
        <v/>
      </c>
      <c r="J1939" s="60" t="str">
        <f>Ringkasan!J2010</f>
        <v/>
      </c>
      <c r="K1939" s="60" t="str">
        <f>Ringkasan!K2010</f>
        <v/>
      </c>
      <c r="L1939" s="60" t="str">
        <f>Ringkasan!L2010</f>
        <v/>
      </c>
      <c r="M1939" s="60" t="str">
        <f>Ringkasan!M2010</f>
        <v/>
      </c>
      <c r="N1939" s="60" t="str">
        <f>Ringkasan!N2010</f>
        <v/>
      </c>
      <c r="O1939" s="60" t="str">
        <f>Ringkasan!O2010</f>
        <v/>
      </c>
      <c r="P1939" s="60" t="str">
        <f>Ringkasan!P2010</f>
        <v/>
      </c>
      <c r="Q1939" s="60" t="str">
        <f>Ringkasan!Q2010</f>
        <v/>
      </c>
      <c r="R1939" s="60" t="str">
        <f>Ringkasan!R2010</f>
        <v/>
      </c>
      <c r="S1939" s="60" t="str">
        <f>Ringkasan!S2010</f>
        <v/>
      </c>
      <c r="T1939" s="60" t="str">
        <f>Ringkasan!T2010</f>
        <v/>
      </c>
      <c r="U1939" s="64" t="str">
        <f>Ringkasan!U2010</f>
        <v/>
      </c>
      <c r="V1939" s="64" t="str">
        <f>Ringkasan!V2010</f>
        <v/>
      </c>
      <c r="W1939" s="64" t="str">
        <f>Ringkasan!W2010</f>
        <v/>
      </c>
      <c r="X1939" s="64" t="str">
        <f>Ringkasan!X2010</f>
        <v/>
      </c>
      <c r="Y1939" s="64" t="str">
        <f>Ringkasan!Y2010</f>
        <v/>
      </c>
      <c r="Z1939" s="64" t="str">
        <f>Ringkasan!Z2010</f>
        <v/>
      </c>
      <c r="AA1939" s="64" t="str">
        <f>Ringkasan!AA2010</f>
        <v/>
      </c>
      <c r="AB1939" s="64" t="str">
        <f>Ringkasan!AB2010</f>
        <v/>
      </c>
    </row>
    <row r="1940">
      <c r="A1940" s="60" t="str">
        <f>Ringkasan!A2011</f>
        <v/>
      </c>
      <c r="B1940" s="60" t="str">
        <f>Ringkasan!B2011</f>
        <v/>
      </c>
      <c r="C1940" s="64" t="str">
        <f>Ringkasan!C2011</f>
        <v/>
      </c>
      <c r="D1940" s="64" t="str">
        <f>Ringkasan!D2011</f>
        <v/>
      </c>
      <c r="E1940" s="60" t="str">
        <f>Ringkasan!E2011</f>
        <v/>
      </c>
      <c r="F1940" s="60" t="str">
        <f>Ringkasan!F2011</f>
        <v/>
      </c>
      <c r="G1940" s="60" t="str">
        <f>Ringkasan!G2011</f>
        <v/>
      </c>
      <c r="H1940" s="60" t="str">
        <f>Ringkasan!H2011</f>
        <v/>
      </c>
      <c r="I1940" s="60" t="str">
        <f>Ringkasan!I2011</f>
        <v/>
      </c>
      <c r="J1940" s="60" t="str">
        <f>Ringkasan!J2011</f>
        <v/>
      </c>
      <c r="K1940" s="60" t="str">
        <f>Ringkasan!K2011</f>
        <v/>
      </c>
      <c r="L1940" s="60" t="str">
        <f>Ringkasan!L2011</f>
        <v/>
      </c>
      <c r="M1940" s="60" t="str">
        <f>Ringkasan!M2011</f>
        <v/>
      </c>
      <c r="N1940" s="60" t="str">
        <f>Ringkasan!N2011</f>
        <v/>
      </c>
      <c r="O1940" s="60" t="str">
        <f>Ringkasan!O2011</f>
        <v/>
      </c>
      <c r="P1940" s="60" t="str">
        <f>Ringkasan!P2011</f>
        <v/>
      </c>
      <c r="Q1940" s="60" t="str">
        <f>Ringkasan!Q2011</f>
        <v/>
      </c>
      <c r="R1940" s="60" t="str">
        <f>Ringkasan!R2011</f>
        <v/>
      </c>
      <c r="S1940" s="60" t="str">
        <f>Ringkasan!S2011</f>
        <v/>
      </c>
      <c r="T1940" s="60" t="str">
        <f>Ringkasan!T2011</f>
        <v/>
      </c>
      <c r="U1940" s="64" t="str">
        <f>Ringkasan!U2011</f>
        <v/>
      </c>
      <c r="V1940" s="64" t="str">
        <f>Ringkasan!V2011</f>
        <v/>
      </c>
      <c r="W1940" s="64" t="str">
        <f>Ringkasan!W2011</f>
        <v/>
      </c>
      <c r="X1940" s="64" t="str">
        <f>Ringkasan!X2011</f>
        <v/>
      </c>
      <c r="Y1940" s="64" t="str">
        <f>Ringkasan!Y2011</f>
        <v/>
      </c>
      <c r="Z1940" s="64" t="str">
        <f>Ringkasan!Z2011</f>
        <v/>
      </c>
      <c r="AA1940" s="64" t="str">
        <f>Ringkasan!AA2011</f>
        <v/>
      </c>
      <c r="AB1940" s="64" t="str">
        <f>Ringkasan!AB2011</f>
        <v/>
      </c>
    </row>
    <row r="1941">
      <c r="A1941" s="60" t="str">
        <f>Ringkasan!A2012</f>
        <v/>
      </c>
      <c r="B1941" s="60" t="str">
        <f>Ringkasan!B2012</f>
        <v/>
      </c>
      <c r="C1941" s="64" t="str">
        <f>Ringkasan!C2012</f>
        <v/>
      </c>
      <c r="D1941" s="64" t="str">
        <f>Ringkasan!D2012</f>
        <v/>
      </c>
      <c r="E1941" s="60" t="str">
        <f>Ringkasan!E2012</f>
        <v/>
      </c>
      <c r="F1941" s="60" t="str">
        <f>Ringkasan!F2012</f>
        <v/>
      </c>
      <c r="G1941" s="60" t="str">
        <f>Ringkasan!G2012</f>
        <v/>
      </c>
      <c r="H1941" s="60" t="str">
        <f>Ringkasan!H2012</f>
        <v/>
      </c>
      <c r="I1941" s="60" t="str">
        <f>Ringkasan!I2012</f>
        <v/>
      </c>
      <c r="J1941" s="60" t="str">
        <f>Ringkasan!J2012</f>
        <v/>
      </c>
      <c r="K1941" s="60" t="str">
        <f>Ringkasan!K2012</f>
        <v/>
      </c>
      <c r="L1941" s="60" t="str">
        <f>Ringkasan!L2012</f>
        <v/>
      </c>
      <c r="M1941" s="60" t="str">
        <f>Ringkasan!M2012</f>
        <v/>
      </c>
      <c r="N1941" s="60" t="str">
        <f>Ringkasan!N2012</f>
        <v/>
      </c>
      <c r="O1941" s="60" t="str">
        <f>Ringkasan!O2012</f>
        <v/>
      </c>
      <c r="P1941" s="60" t="str">
        <f>Ringkasan!P2012</f>
        <v/>
      </c>
      <c r="Q1941" s="60" t="str">
        <f>Ringkasan!Q2012</f>
        <v/>
      </c>
      <c r="R1941" s="60" t="str">
        <f>Ringkasan!R2012</f>
        <v/>
      </c>
      <c r="S1941" s="60" t="str">
        <f>Ringkasan!S2012</f>
        <v/>
      </c>
      <c r="T1941" s="60" t="str">
        <f>Ringkasan!T2012</f>
        <v/>
      </c>
      <c r="U1941" s="64" t="str">
        <f>Ringkasan!U2012</f>
        <v/>
      </c>
      <c r="V1941" s="64" t="str">
        <f>Ringkasan!V2012</f>
        <v/>
      </c>
      <c r="W1941" s="64" t="str">
        <f>Ringkasan!W2012</f>
        <v/>
      </c>
      <c r="X1941" s="64" t="str">
        <f>Ringkasan!X2012</f>
        <v/>
      </c>
      <c r="Y1941" s="64" t="str">
        <f>Ringkasan!Y2012</f>
        <v/>
      </c>
      <c r="Z1941" s="64" t="str">
        <f>Ringkasan!Z2012</f>
        <v/>
      </c>
      <c r="AA1941" s="64" t="str">
        <f>Ringkasan!AA2012</f>
        <v/>
      </c>
      <c r="AB1941" s="64" t="str">
        <f>Ringkasan!AB2012</f>
        <v/>
      </c>
    </row>
    <row r="1942">
      <c r="A1942" s="60" t="str">
        <f>Ringkasan!A2013</f>
        <v/>
      </c>
      <c r="B1942" s="60" t="str">
        <f>Ringkasan!B2013</f>
        <v/>
      </c>
      <c r="C1942" s="64" t="str">
        <f>Ringkasan!C2013</f>
        <v/>
      </c>
      <c r="D1942" s="64" t="str">
        <f>Ringkasan!D2013</f>
        <v/>
      </c>
      <c r="E1942" s="60" t="str">
        <f>Ringkasan!E2013</f>
        <v/>
      </c>
      <c r="F1942" s="60" t="str">
        <f>Ringkasan!F2013</f>
        <v/>
      </c>
      <c r="G1942" s="60" t="str">
        <f>Ringkasan!G2013</f>
        <v/>
      </c>
      <c r="H1942" s="60" t="str">
        <f>Ringkasan!H2013</f>
        <v/>
      </c>
      <c r="I1942" s="60" t="str">
        <f>Ringkasan!I2013</f>
        <v/>
      </c>
      <c r="J1942" s="60" t="str">
        <f>Ringkasan!J2013</f>
        <v/>
      </c>
      <c r="K1942" s="60" t="str">
        <f>Ringkasan!K2013</f>
        <v/>
      </c>
      <c r="L1942" s="60" t="str">
        <f>Ringkasan!L2013</f>
        <v/>
      </c>
      <c r="M1942" s="60" t="str">
        <f>Ringkasan!M2013</f>
        <v/>
      </c>
      <c r="N1942" s="60" t="str">
        <f>Ringkasan!N2013</f>
        <v/>
      </c>
      <c r="O1942" s="60" t="str">
        <f>Ringkasan!O2013</f>
        <v/>
      </c>
      <c r="P1942" s="60" t="str">
        <f>Ringkasan!P2013</f>
        <v/>
      </c>
      <c r="Q1942" s="60" t="str">
        <f>Ringkasan!Q2013</f>
        <v/>
      </c>
      <c r="R1942" s="60" t="str">
        <f>Ringkasan!R2013</f>
        <v/>
      </c>
      <c r="S1942" s="60" t="str">
        <f>Ringkasan!S2013</f>
        <v/>
      </c>
      <c r="T1942" s="60" t="str">
        <f>Ringkasan!T2013</f>
        <v/>
      </c>
      <c r="U1942" s="64" t="str">
        <f>Ringkasan!U2013</f>
        <v/>
      </c>
      <c r="V1942" s="64" t="str">
        <f>Ringkasan!V2013</f>
        <v/>
      </c>
      <c r="W1942" s="64" t="str">
        <f>Ringkasan!W2013</f>
        <v/>
      </c>
      <c r="X1942" s="64" t="str">
        <f>Ringkasan!X2013</f>
        <v/>
      </c>
      <c r="Y1942" s="64" t="str">
        <f>Ringkasan!Y2013</f>
        <v/>
      </c>
      <c r="Z1942" s="64" t="str">
        <f>Ringkasan!Z2013</f>
        <v/>
      </c>
      <c r="AA1942" s="64" t="str">
        <f>Ringkasan!AA2013</f>
        <v/>
      </c>
      <c r="AB1942" s="64" t="str">
        <f>Ringkasan!AB2013</f>
        <v/>
      </c>
    </row>
    <row r="1943">
      <c r="A1943" s="60" t="str">
        <f>Ringkasan!A2014</f>
        <v/>
      </c>
      <c r="B1943" s="60" t="str">
        <f>Ringkasan!B2014</f>
        <v/>
      </c>
      <c r="C1943" s="64" t="str">
        <f>Ringkasan!C2014</f>
        <v/>
      </c>
      <c r="D1943" s="64" t="str">
        <f>Ringkasan!D2014</f>
        <v/>
      </c>
      <c r="E1943" s="60" t="str">
        <f>Ringkasan!E2014</f>
        <v/>
      </c>
      <c r="F1943" s="60" t="str">
        <f>Ringkasan!F2014</f>
        <v/>
      </c>
      <c r="G1943" s="60" t="str">
        <f>Ringkasan!G2014</f>
        <v/>
      </c>
      <c r="H1943" s="60" t="str">
        <f>Ringkasan!H2014</f>
        <v/>
      </c>
      <c r="I1943" s="60" t="str">
        <f>Ringkasan!I2014</f>
        <v/>
      </c>
      <c r="J1943" s="60" t="str">
        <f>Ringkasan!J2014</f>
        <v/>
      </c>
      <c r="K1943" s="60" t="str">
        <f>Ringkasan!K2014</f>
        <v/>
      </c>
      <c r="L1943" s="60" t="str">
        <f>Ringkasan!L2014</f>
        <v/>
      </c>
      <c r="M1943" s="60" t="str">
        <f>Ringkasan!M2014</f>
        <v/>
      </c>
      <c r="N1943" s="60" t="str">
        <f>Ringkasan!N2014</f>
        <v/>
      </c>
      <c r="O1943" s="60" t="str">
        <f>Ringkasan!O2014</f>
        <v/>
      </c>
      <c r="P1943" s="60" t="str">
        <f>Ringkasan!P2014</f>
        <v/>
      </c>
      <c r="Q1943" s="60" t="str">
        <f>Ringkasan!Q2014</f>
        <v/>
      </c>
      <c r="R1943" s="60" t="str">
        <f>Ringkasan!R2014</f>
        <v/>
      </c>
      <c r="S1943" s="60" t="str">
        <f>Ringkasan!S2014</f>
        <v/>
      </c>
      <c r="T1943" s="60" t="str">
        <f>Ringkasan!T2014</f>
        <v/>
      </c>
      <c r="U1943" s="64" t="str">
        <f>Ringkasan!U2014</f>
        <v/>
      </c>
      <c r="V1943" s="64" t="str">
        <f>Ringkasan!V2014</f>
        <v/>
      </c>
      <c r="W1943" s="64" t="str">
        <f>Ringkasan!W2014</f>
        <v/>
      </c>
      <c r="X1943" s="64" t="str">
        <f>Ringkasan!X2014</f>
        <v/>
      </c>
      <c r="Y1943" s="64" t="str">
        <f>Ringkasan!Y2014</f>
        <v/>
      </c>
      <c r="Z1943" s="64" t="str">
        <f>Ringkasan!Z2014</f>
        <v/>
      </c>
      <c r="AA1943" s="64" t="str">
        <f>Ringkasan!AA2014</f>
        <v/>
      </c>
      <c r="AB1943" s="64" t="str">
        <f>Ringkasan!AB2014</f>
        <v/>
      </c>
    </row>
    <row r="1944">
      <c r="A1944" s="60" t="str">
        <f>Ringkasan!A2015</f>
        <v/>
      </c>
      <c r="B1944" s="60" t="str">
        <f>Ringkasan!B2015</f>
        <v/>
      </c>
      <c r="C1944" s="64" t="str">
        <f>Ringkasan!C2015</f>
        <v/>
      </c>
      <c r="D1944" s="64" t="str">
        <f>Ringkasan!D2015</f>
        <v/>
      </c>
      <c r="E1944" s="60" t="str">
        <f>Ringkasan!E2015</f>
        <v/>
      </c>
      <c r="F1944" s="60" t="str">
        <f>Ringkasan!F2015</f>
        <v/>
      </c>
      <c r="G1944" s="60" t="str">
        <f>Ringkasan!G2015</f>
        <v/>
      </c>
      <c r="H1944" s="60" t="str">
        <f>Ringkasan!H2015</f>
        <v/>
      </c>
      <c r="I1944" s="60" t="str">
        <f>Ringkasan!I2015</f>
        <v/>
      </c>
      <c r="J1944" s="60" t="str">
        <f>Ringkasan!J2015</f>
        <v/>
      </c>
      <c r="K1944" s="60" t="str">
        <f>Ringkasan!K2015</f>
        <v/>
      </c>
      <c r="L1944" s="60" t="str">
        <f>Ringkasan!L2015</f>
        <v/>
      </c>
      <c r="M1944" s="60" t="str">
        <f>Ringkasan!M2015</f>
        <v/>
      </c>
      <c r="N1944" s="60" t="str">
        <f>Ringkasan!N2015</f>
        <v/>
      </c>
      <c r="O1944" s="60" t="str">
        <f>Ringkasan!O2015</f>
        <v/>
      </c>
      <c r="P1944" s="60" t="str">
        <f>Ringkasan!P2015</f>
        <v/>
      </c>
      <c r="Q1944" s="60" t="str">
        <f>Ringkasan!Q2015</f>
        <v/>
      </c>
      <c r="R1944" s="60" t="str">
        <f>Ringkasan!R2015</f>
        <v/>
      </c>
      <c r="S1944" s="60" t="str">
        <f>Ringkasan!S2015</f>
        <v/>
      </c>
      <c r="T1944" s="60" t="str">
        <f>Ringkasan!T2015</f>
        <v/>
      </c>
      <c r="U1944" s="64" t="str">
        <f>Ringkasan!U2015</f>
        <v/>
      </c>
      <c r="V1944" s="64" t="str">
        <f>Ringkasan!V2015</f>
        <v/>
      </c>
      <c r="W1944" s="64" t="str">
        <f>Ringkasan!W2015</f>
        <v/>
      </c>
      <c r="X1944" s="64" t="str">
        <f>Ringkasan!X2015</f>
        <v/>
      </c>
      <c r="Y1944" s="64" t="str">
        <f>Ringkasan!Y2015</f>
        <v/>
      </c>
      <c r="Z1944" s="64" t="str">
        <f>Ringkasan!Z2015</f>
        <v/>
      </c>
      <c r="AA1944" s="64" t="str">
        <f>Ringkasan!AA2015</f>
        <v/>
      </c>
      <c r="AB1944" s="64" t="str">
        <f>Ringkasan!AB2015</f>
        <v/>
      </c>
    </row>
    <row r="1945">
      <c r="A1945" s="60" t="str">
        <f>Ringkasan!A2016</f>
        <v/>
      </c>
      <c r="B1945" s="60" t="str">
        <f>Ringkasan!B2016</f>
        <v/>
      </c>
      <c r="C1945" s="64" t="str">
        <f>Ringkasan!C2016</f>
        <v/>
      </c>
      <c r="D1945" s="64" t="str">
        <f>Ringkasan!D2016</f>
        <v/>
      </c>
      <c r="E1945" s="60" t="str">
        <f>Ringkasan!E2016</f>
        <v/>
      </c>
      <c r="F1945" s="60" t="str">
        <f>Ringkasan!F2016</f>
        <v/>
      </c>
      <c r="G1945" s="60" t="str">
        <f>Ringkasan!G2016</f>
        <v/>
      </c>
      <c r="H1945" s="60" t="str">
        <f>Ringkasan!H2016</f>
        <v/>
      </c>
      <c r="I1945" s="60" t="str">
        <f>Ringkasan!I2016</f>
        <v/>
      </c>
      <c r="J1945" s="60" t="str">
        <f>Ringkasan!J2016</f>
        <v/>
      </c>
      <c r="K1945" s="60" t="str">
        <f>Ringkasan!K2016</f>
        <v/>
      </c>
      <c r="L1945" s="60" t="str">
        <f>Ringkasan!L2016</f>
        <v/>
      </c>
      <c r="M1945" s="60" t="str">
        <f>Ringkasan!M2016</f>
        <v/>
      </c>
      <c r="N1945" s="60" t="str">
        <f>Ringkasan!N2016</f>
        <v/>
      </c>
      <c r="O1945" s="60" t="str">
        <f>Ringkasan!O2016</f>
        <v/>
      </c>
      <c r="P1945" s="60" t="str">
        <f>Ringkasan!P2016</f>
        <v/>
      </c>
      <c r="Q1945" s="60" t="str">
        <f>Ringkasan!Q2016</f>
        <v/>
      </c>
      <c r="R1945" s="60" t="str">
        <f>Ringkasan!R2016</f>
        <v/>
      </c>
      <c r="S1945" s="60" t="str">
        <f>Ringkasan!S2016</f>
        <v/>
      </c>
      <c r="T1945" s="60" t="str">
        <f>Ringkasan!T2016</f>
        <v/>
      </c>
      <c r="U1945" s="64" t="str">
        <f>Ringkasan!U2016</f>
        <v/>
      </c>
      <c r="V1945" s="64" t="str">
        <f>Ringkasan!V2016</f>
        <v/>
      </c>
      <c r="W1945" s="64" t="str">
        <f>Ringkasan!W2016</f>
        <v/>
      </c>
      <c r="X1945" s="64" t="str">
        <f>Ringkasan!X2016</f>
        <v/>
      </c>
      <c r="Y1945" s="64" t="str">
        <f>Ringkasan!Y2016</f>
        <v/>
      </c>
      <c r="Z1945" s="64" t="str">
        <f>Ringkasan!Z2016</f>
        <v/>
      </c>
      <c r="AA1945" s="64" t="str">
        <f>Ringkasan!AA2016</f>
        <v/>
      </c>
      <c r="AB1945" s="64" t="str">
        <f>Ringkasan!AB2016</f>
        <v/>
      </c>
    </row>
    <row r="1946">
      <c r="A1946" s="60" t="str">
        <f>Ringkasan!A2017</f>
        <v/>
      </c>
      <c r="B1946" s="60" t="str">
        <f>Ringkasan!B2017</f>
        <v/>
      </c>
      <c r="C1946" s="64" t="str">
        <f>Ringkasan!C2017</f>
        <v/>
      </c>
      <c r="D1946" s="64" t="str">
        <f>Ringkasan!D2017</f>
        <v/>
      </c>
      <c r="E1946" s="60" t="str">
        <f>Ringkasan!E2017</f>
        <v/>
      </c>
      <c r="F1946" s="60" t="str">
        <f>Ringkasan!F2017</f>
        <v/>
      </c>
      <c r="G1946" s="60" t="str">
        <f>Ringkasan!G2017</f>
        <v/>
      </c>
      <c r="H1946" s="60" t="str">
        <f>Ringkasan!H2017</f>
        <v/>
      </c>
      <c r="I1946" s="60" t="str">
        <f>Ringkasan!I2017</f>
        <v/>
      </c>
      <c r="J1946" s="60" t="str">
        <f>Ringkasan!J2017</f>
        <v/>
      </c>
      <c r="K1946" s="60" t="str">
        <f>Ringkasan!K2017</f>
        <v/>
      </c>
      <c r="L1946" s="60" t="str">
        <f>Ringkasan!L2017</f>
        <v/>
      </c>
      <c r="M1946" s="60" t="str">
        <f>Ringkasan!M2017</f>
        <v/>
      </c>
      <c r="N1946" s="60" t="str">
        <f>Ringkasan!N2017</f>
        <v/>
      </c>
      <c r="O1946" s="60" t="str">
        <f>Ringkasan!O2017</f>
        <v/>
      </c>
      <c r="P1946" s="60" t="str">
        <f>Ringkasan!P2017</f>
        <v/>
      </c>
      <c r="Q1946" s="60" t="str">
        <f>Ringkasan!Q2017</f>
        <v/>
      </c>
      <c r="R1946" s="60" t="str">
        <f>Ringkasan!R2017</f>
        <v/>
      </c>
      <c r="S1946" s="60" t="str">
        <f>Ringkasan!S2017</f>
        <v/>
      </c>
      <c r="T1946" s="60" t="str">
        <f>Ringkasan!T2017</f>
        <v/>
      </c>
      <c r="U1946" s="64" t="str">
        <f>Ringkasan!U2017</f>
        <v/>
      </c>
      <c r="V1946" s="64" t="str">
        <f>Ringkasan!V2017</f>
        <v/>
      </c>
      <c r="W1946" s="64" t="str">
        <f>Ringkasan!W2017</f>
        <v/>
      </c>
      <c r="X1946" s="64" t="str">
        <f>Ringkasan!X2017</f>
        <v/>
      </c>
      <c r="Y1946" s="64" t="str">
        <f>Ringkasan!Y2017</f>
        <v/>
      </c>
      <c r="Z1946" s="64" t="str">
        <f>Ringkasan!Z2017</f>
        <v/>
      </c>
      <c r="AA1946" s="64" t="str">
        <f>Ringkasan!AA2017</f>
        <v/>
      </c>
      <c r="AB1946" s="64" t="str">
        <f>Ringkasan!AB2017</f>
        <v/>
      </c>
    </row>
    <row r="1947">
      <c r="A1947" s="60" t="str">
        <f>Ringkasan!A2018</f>
        <v/>
      </c>
      <c r="B1947" s="60" t="str">
        <f>Ringkasan!B2018</f>
        <v/>
      </c>
      <c r="C1947" s="64" t="str">
        <f>Ringkasan!C2018</f>
        <v/>
      </c>
      <c r="D1947" s="64" t="str">
        <f>Ringkasan!D2018</f>
        <v/>
      </c>
      <c r="E1947" s="60" t="str">
        <f>Ringkasan!E2018</f>
        <v/>
      </c>
      <c r="F1947" s="60" t="str">
        <f>Ringkasan!F2018</f>
        <v/>
      </c>
      <c r="G1947" s="60" t="str">
        <f>Ringkasan!G2018</f>
        <v/>
      </c>
      <c r="H1947" s="60" t="str">
        <f>Ringkasan!H2018</f>
        <v/>
      </c>
      <c r="I1947" s="60" t="str">
        <f>Ringkasan!I2018</f>
        <v/>
      </c>
      <c r="J1947" s="60" t="str">
        <f>Ringkasan!J2018</f>
        <v/>
      </c>
      <c r="K1947" s="60" t="str">
        <f>Ringkasan!K2018</f>
        <v/>
      </c>
      <c r="L1947" s="60" t="str">
        <f>Ringkasan!L2018</f>
        <v/>
      </c>
      <c r="M1947" s="60" t="str">
        <f>Ringkasan!M2018</f>
        <v/>
      </c>
      <c r="N1947" s="60" t="str">
        <f>Ringkasan!N2018</f>
        <v/>
      </c>
      <c r="O1947" s="60" t="str">
        <f>Ringkasan!O2018</f>
        <v/>
      </c>
      <c r="P1947" s="60" t="str">
        <f>Ringkasan!P2018</f>
        <v/>
      </c>
      <c r="Q1947" s="60" t="str">
        <f>Ringkasan!Q2018</f>
        <v/>
      </c>
      <c r="R1947" s="60" t="str">
        <f>Ringkasan!R2018</f>
        <v/>
      </c>
      <c r="S1947" s="60" t="str">
        <f>Ringkasan!S2018</f>
        <v/>
      </c>
      <c r="T1947" s="60" t="str">
        <f>Ringkasan!T2018</f>
        <v/>
      </c>
      <c r="U1947" s="64" t="str">
        <f>Ringkasan!U2018</f>
        <v/>
      </c>
      <c r="V1947" s="64" t="str">
        <f>Ringkasan!V2018</f>
        <v/>
      </c>
      <c r="W1947" s="64" t="str">
        <f>Ringkasan!W2018</f>
        <v/>
      </c>
      <c r="X1947" s="64" t="str">
        <f>Ringkasan!X2018</f>
        <v/>
      </c>
      <c r="Y1947" s="64" t="str">
        <f>Ringkasan!Y2018</f>
        <v/>
      </c>
      <c r="Z1947" s="64" t="str">
        <f>Ringkasan!Z2018</f>
        <v/>
      </c>
      <c r="AA1947" s="64" t="str">
        <f>Ringkasan!AA2018</f>
        <v/>
      </c>
      <c r="AB1947" s="64" t="str">
        <f>Ringkasan!AB2018</f>
        <v/>
      </c>
    </row>
    <row r="1948">
      <c r="A1948" s="60" t="str">
        <f>Ringkasan!A2019</f>
        <v/>
      </c>
      <c r="B1948" s="60" t="str">
        <f>Ringkasan!B2019</f>
        <v/>
      </c>
      <c r="C1948" s="64" t="str">
        <f>Ringkasan!C2019</f>
        <v/>
      </c>
      <c r="D1948" s="64" t="str">
        <f>Ringkasan!D2019</f>
        <v/>
      </c>
      <c r="E1948" s="60" t="str">
        <f>Ringkasan!E2019</f>
        <v/>
      </c>
      <c r="F1948" s="60" t="str">
        <f>Ringkasan!F2019</f>
        <v/>
      </c>
      <c r="G1948" s="60" t="str">
        <f>Ringkasan!G2019</f>
        <v/>
      </c>
      <c r="H1948" s="60" t="str">
        <f>Ringkasan!H2019</f>
        <v/>
      </c>
      <c r="I1948" s="60" t="str">
        <f>Ringkasan!I2019</f>
        <v/>
      </c>
      <c r="J1948" s="60" t="str">
        <f>Ringkasan!J2019</f>
        <v/>
      </c>
      <c r="K1948" s="60" t="str">
        <f>Ringkasan!K2019</f>
        <v/>
      </c>
      <c r="L1948" s="60" t="str">
        <f>Ringkasan!L2019</f>
        <v/>
      </c>
      <c r="M1948" s="60" t="str">
        <f>Ringkasan!M2019</f>
        <v/>
      </c>
      <c r="N1948" s="60" t="str">
        <f>Ringkasan!N2019</f>
        <v/>
      </c>
      <c r="O1948" s="60" t="str">
        <f>Ringkasan!O2019</f>
        <v/>
      </c>
      <c r="P1948" s="60" t="str">
        <f>Ringkasan!P2019</f>
        <v/>
      </c>
      <c r="Q1948" s="60" t="str">
        <f>Ringkasan!Q2019</f>
        <v/>
      </c>
      <c r="R1948" s="60" t="str">
        <f>Ringkasan!R2019</f>
        <v/>
      </c>
      <c r="S1948" s="60" t="str">
        <f>Ringkasan!S2019</f>
        <v/>
      </c>
      <c r="T1948" s="60" t="str">
        <f>Ringkasan!T2019</f>
        <v/>
      </c>
      <c r="U1948" s="64" t="str">
        <f>Ringkasan!U2019</f>
        <v/>
      </c>
      <c r="V1948" s="64" t="str">
        <f>Ringkasan!V2019</f>
        <v/>
      </c>
      <c r="W1948" s="64" t="str">
        <f>Ringkasan!W2019</f>
        <v/>
      </c>
      <c r="X1948" s="64" t="str">
        <f>Ringkasan!X2019</f>
        <v/>
      </c>
      <c r="Y1948" s="64" t="str">
        <f>Ringkasan!Y2019</f>
        <v/>
      </c>
      <c r="Z1948" s="64" t="str">
        <f>Ringkasan!Z2019</f>
        <v/>
      </c>
      <c r="AA1948" s="64" t="str">
        <f>Ringkasan!AA2019</f>
        <v/>
      </c>
      <c r="AB1948" s="64" t="str">
        <f>Ringkasan!AB2019</f>
        <v/>
      </c>
    </row>
    <row r="1949">
      <c r="A1949" s="60" t="str">
        <f>Ringkasan!A2020</f>
        <v/>
      </c>
      <c r="B1949" s="60" t="str">
        <f>Ringkasan!B2020</f>
        <v/>
      </c>
      <c r="C1949" s="64" t="str">
        <f>Ringkasan!C2020</f>
        <v/>
      </c>
      <c r="D1949" s="64" t="str">
        <f>Ringkasan!D2020</f>
        <v/>
      </c>
      <c r="E1949" s="60" t="str">
        <f>Ringkasan!E2020</f>
        <v/>
      </c>
      <c r="F1949" s="60" t="str">
        <f>Ringkasan!F2020</f>
        <v/>
      </c>
      <c r="G1949" s="60" t="str">
        <f>Ringkasan!G2020</f>
        <v/>
      </c>
      <c r="H1949" s="60" t="str">
        <f>Ringkasan!H2020</f>
        <v/>
      </c>
      <c r="I1949" s="60" t="str">
        <f>Ringkasan!I2020</f>
        <v/>
      </c>
      <c r="J1949" s="60" t="str">
        <f>Ringkasan!J2020</f>
        <v/>
      </c>
      <c r="K1949" s="60" t="str">
        <f>Ringkasan!K2020</f>
        <v/>
      </c>
      <c r="L1949" s="60" t="str">
        <f>Ringkasan!L2020</f>
        <v/>
      </c>
      <c r="M1949" s="60" t="str">
        <f>Ringkasan!M2020</f>
        <v/>
      </c>
      <c r="N1949" s="60" t="str">
        <f>Ringkasan!N2020</f>
        <v/>
      </c>
      <c r="O1949" s="60" t="str">
        <f>Ringkasan!O2020</f>
        <v/>
      </c>
      <c r="P1949" s="60" t="str">
        <f>Ringkasan!P2020</f>
        <v/>
      </c>
      <c r="Q1949" s="60" t="str">
        <f>Ringkasan!Q2020</f>
        <v/>
      </c>
      <c r="R1949" s="60" t="str">
        <f>Ringkasan!R2020</f>
        <v/>
      </c>
      <c r="S1949" s="60" t="str">
        <f>Ringkasan!S2020</f>
        <v/>
      </c>
      <c r="T1949" s="60" t="str">
        <f>Ringkasan!T2020</f>
        <v/>
      </c>
      <c r="U1949" s="64" t="str">
        <f>Ringkasan!U2020</f>
        <v/>
      </c>
      <c r="V1949" s="64" t="str">
        <f>Ringkasan!V2020</f>
        <v/>
      </c>
      <c r="W1949" s="64" t="str">
        <f>Ringkasan!W2020</f>
        <v/>
      </c>
      <c r="X1949" s="64" t="str">
        <f>Ringkasan!X2020</f>
        <v/>
      </c>
      <c r="Y1949" s="64" t="str">
        <f>Ringkasan!Y2020</f>
        <v/>
      </c>
      <c r="Z1949" s="64" t="str">
        <f>Ringkasan!Z2020</f>
        <v/>
      </c>
      <c r="AA1949" s="64" t="str">
        <f>Ringkasan!AA2020</f>
        <v/>
      </c>
      <c r="AB1949" s="64" t="str">
        <f>Ringkasan!AB2020</f>
        <v/>
      </c>
    </row>
    <row r="1950">
      <c r="A1950" s="60" t="str">
        <f>Ringkasan!A2021</f>
        <v/>
      </c>
      <c r="B1950" s="60" t="str">
        <f>Ringkasan!B2021</f>
        <v/>
      </c>
      <c r="C1950" s="64" t="str">
        <f>Ringkasan!C2021</f>
        <v/>
      </c>
      <c r="D1950" s="64" t="str">
        <f>Ringkasan!D2021</f>
        <v/>
      </c>
      <c r="E1950" s="60" t="str">
        <f>Ringkasan!E2021</f>
        <v/>
      </c>
      <c r="F1950" s="60" t="str">
        <f>Ringkasan!F2021</f>
        <v/>
      </c>
      <c r="G1950" s="60" t="str">
        <f>Ringkasan!G2021</f>
        <v/>
      </c>
      <c r="H1950" s="60" t="str">
        <f>Ringkasan!H2021</f>
        <v/>
      </c>
      <c r="I1950" s="60" t="str">
        <f>Ringkasan!I2021</f>
        <v/>
      </c>
      <c r="J1950" s="60" t="str">
        <f>Ringkasan!J2021</f>
        <v/>
      </c>
      <c r="K1950" s="60" t="str">
        <f>Ringkasan!K2021</f>
        <v/>
      </c>
      <c r="L1950" s="60" t="str">
        <f>Ringkasan!L2021</f>
        <v/>
      </c>
      <c r="M1950" s="60" t="str">
        <f>Ringkasan!M2021</f>
        <v/>
      </c>
      <c r="N1950" s="60" t="str">
        <f>Ringkasan!N2021</f>
        <v/>
      </c>
      <c r="O1950" s="60" t="str">
        <f>Ringkasan!O2021</f>
        <v/>
      </c>
      <c r="P1950" s="60" t="str">
        <f>Ringkasan!P2021</f>
        <v/>
      </c>
      <c r="Q1950" s="60" t="str">
        <f>Ringkasan!Q2021</f>
        <v/>
      </c>
      <c r="R1950" s="60" t="str">
        <f>Ringkasan!R2021</f>
        <v/>
      </c>
      <c r="S1950" s="60" t="str">
        <f>Ringkasan!S2021</f>
        <v/>
      </c>
      <c r="T1950" s="60" t="str">
        <f>Ringkasan!T2021</f>
        <v/>
      </c>
      <c r="U1950" s="64" t="str">
        <f>Ringkasan!U2021</f>
        <v/>
      </c>
      <c r="V1950" s="64" t="str">
        <f>Ringkasan!V2021</f>
        <v/>
      </c>
      <c r="W1950" s="64" t="str">
        <f>Ringkasan!W2021</f>
        <v/>
      </c>
      <c r="X1950" s="64" t="str">
        <f>Ringkasan!X2021</f>
        <v/>
      </c>
      <c r="Y1950" s="64" t="str">
        <f>Ringkasan!Y2021</f>
        <v/>
      </c>
      <c r="Z1950" s="64" t="str">
        <f>Ringkasan!Z2021</f>
        <v/>
      </c>
      <c r="AA1950" s="64" t="str">
        <f>Ringkasan!AA2021</f>
        <v/>
      </c>
      <c r="AB1950" s="64" t="str">
        <f>Ringkasan!AB2021</f>
        <v/>
      </c>
    </row>
    <row r="1951">
      <c r="A1951" s="60" t="str">
        <f>Ringkasan!A2022</f>
        <v/>
      </c>
      <c r="B1951" s="60" t="str">
        <f>Ringkasan!B2022</f>
        <v/>
      </c>
      <c r="C1951" s="64" t="str">
        <f>Ringkasan!C2022</f>
        <v/>
      </c>
      <c r="D1951" s="64" t="str">
        <f>Ringkasan!D2022</f>
        <v/>
      </c>
      <c r="E1951" s="60" t="str">
        <f>Ringkasan!E2022</f>
        <v/>
      </c>
      <c r="F1951" s="60" t="str">
        <f>Ringkasan!F2022</f>
        <v/>
      </c>
      <c r="G1951" s="60" t="str">
        <f>Ringkasan!G2022</f>
        <v/>
      </c>
      <c r="H1951" s="60" t="str">
        <f>Ringkasan!H2022</f>
        <v/>
      </c>
      <c r="I1951" s="60" t="str">
        <f>Ringkasan!I2022</f>
        <v/>
      </c>
      <c r="J1951" s="60" t="str">
        <f>Ringkasan!J2022</f>
        <v/>
      </c>
      <c r="K1951" s="60" t="str">
        <f>Ringkasan!K2022</f>
        <v/>
      </c>
      <c r="L1951" s="60" t="str">
        <f>Ringkasan!L2022</f>
        <v/>
      </c>
      <c r="M1951" s="60" t="str">
        <f>Ringkasan!M2022</f>
        <v/>
      </c>
      <c r="N1951" s="60" t="str">
        <f>Ringkasan!N2022</f>
        <v/>
      </c>
      <c r="O1951" s="60" t="str">
        <f>Ringkasan!O2022</f>
        <v/>
      </c>
      <c r="P1951" s="60" t="str">
        <f>Ringkasan!P2022</f>
        <v/>
      </c>
      <c r="Q1951" s="60" t="str">
        <f>Ringkasan!Q2022</f>
        <v/>
      </c>
      <c r="R1951" s="60" t="str">
        <f>Ringkasan!R2022</f>
        <v/>
      </c>
      <c r="S1951" s="60" t="str">
        <f>Ringkasan!S2022</f>
        <v/>
      </c>
      <c r="T1951" s="60" t="str">
        <f>Ringkasan!T2022</f>
        <v/>
      </c>
      <c r="U1951" s="64" t="str">
        <f>Ringkasan!U2022</f>
        <v/>
      </c>
      <c r="V1951" s="64" t="str">
        <f>Ringkasan!V2022</f>
        <v/>
      </c>
      <c r="W1951" s="64" t="str">
        <f>Ringkasan!W2022</f>
        <v/>
      </c>
      <c r="X1951" s="64" t="str">
        <f>Ringkasan!X2022</f>
        <v/>
      </c>
      <c r="Y1951" s="64" t="str">
        <f>Ringkasan!Y2022</f>
        <v/>
      </c>
      <c r="Z1951" s="64" t="str">
        <f>Ringkasan!Z2022</f>
        <v/>
      </c>
      <c r="AA1951" s="64" t="str">
        <f>Ringkasan!AA2022</f>
        <v/>
      </c>
      <c r="AB1951" s="64" t="str">
        <f>Ringkasan!AB2022</f>
        <v/>
      </c>
    </row>
    <row r="1952">
      <c r="A1952" s="60" t="str">
        <f>Ringkasan!A2023</f>
        <v/>
      </c>
      <c r="B1952" s="60" t="str">
        <f>Ringkasan!B2023</f>
        <v/>
      </c>
      <c r="C1952" s="64" t="str">
        <f>Ringkasan!C2023</f>
        <v/>
      </c>
      <c r="D1952" s="64" t="str">
        <f>Ringkasan!D2023</f>
        <v/>
      </c>
      <c r="E1952" s="60" t="str">
        <f>Ringkasan!E2023</f>
        <v/>
      </c>
      <c r="F1952" s="60" t="str">
        <f>Ringkasan!F2023</f>
        <v/>
      </c>
      <c r="G1952" s="60" t="str">
        <f>Ringkasan!G2023</f>
        <v/>
      </c>
      <c r="H1952" s="60" t="str">
        <f>Ringkasan!H2023</f>
        <v/>
      </c>
      <c r="I1952" s="60" t="str">
        <f>Ringkasan!I2023</f>
        <v/>
      </c>
      <c r="J1952" s="60" t="str">
        <f>Ringkasan!J2023</f>
        <v/>
      </c>
      <c r="K1952" s="60" t="str">
        <f>Ringkasan!K2023</f>
        <v/>
      </c>
      <c r="L1952" s="60" t="str">
        <f>Ringkasan!L2023</f>
        <v/>
      </c>
      <c r="M1952" s="60" t="str">
        <f>Ringkasan!M2023</f>
        <v/>
      </c>
      <c r="N1952" s="60" t="str">
        <f>Ringkasan!N2023</f>
        <v/>
      </c>
      <c r="O1952" s="60" t="str">
        <f>Ringkasan!O2023</f>
        <v/>
      </c>
      <c r="P1952" s="60" t="str">
        <f>Ringkasan!P2023</f>
        <v/>
      </c>
      <c r="Q1952" s="60" t="str">
        <f>Ringkasan!Q2023</f>
        <v/>
      </c>
      <c r="R1952" s="60" t="str">
        <f>Ringkasan!R2023</f>
        <v/>
      </c>
      <c r="S1952" s="60" t="str">
        <f>Ringkasan!S2023</f>
        <v/>
      </c>
      <c r="T1952" s="60" t="str">
        <f>Ringkasan!T2023</f>
        <v/>
      </c>
      <c r="U1952" s="64" t="str">
        <f>Ringkasan!U2023</f>
        <v/>
      </c>
      <c r="V1952" s="64" t="str">
        <f>Ringkasan!V2023</f>
        <v/>
      </c>
      <c r="W1952" s="64" t="str">
        <f>Ringkasan!W2023</f>
        <v/>
      </c>
      <c r="X1952" s="64" t="str">
        <f>Ringkasan!X2023</f>
        <v/>
      </c>
      <c r="Y1952" s="64" t="str">
        <f>Ringkasan!Y2023</f>
        <v/>
      </c>
      <c r="Z1952" s="64" t="str">
        <f>Ringkasan!Z2023</f>
        <v/>
      </c>
      <c r="AA1952" s="64" t="str">
        <f>Ringkasan!AA2023</f>
        <v/>
      </c>
      <c r="AB1952" s="64" t="str">
        <f>Ringkasan!AB2023</f>
        <v/>
      </c>
    </row>
    <row r="1953">
      <c r="A1953" s="60" t="str">
        <f>Ringkasan!A2024</f>
        <v/>
      </c>
      <c r="B1953" s="60" t="str">
        <f>Ringkasan!B2024</f>
        <v/>
      </c>
      <c r="C1953" s="64" t="str">
        <f>Ringkasan!C2024</f>
        <v/>
      </c>
      <c r="D1953" s="64" t="str">
        <f>Ringkasan!D2024</f>
        <v/>
      </c>
      <c r="E1953" s="60" t="str">
        <f>Ringkasan!E2024</f>
        <v/>
      </c>
      <c r="F1953" s="60" t="str">
        <f>Ringkasan!F2024</f>
        <v/>
      </c>
      <c r="G1953" s="60" t="str">
        <f>Ringkasan!G2024</f>
        <v/>
      </c>
      <c r="H1953" s="60" t="str">
        <f>Ringkasan!H2024</f>
        <v/>
      </c>
      <c r="I1953" s="60" t="str">
        <f>Ringkasan!I2024</f>
        <v/>
      </c>
      <c r="J1953" s="60" t="str">
        <f>Ringkasan!J2024</f>
        <v/>
      </c>
      <c r="K1953" s="60" t="str">
        <f>Ringkasan!K2024</f>
        <v/>
      </c>
      <c r="L1953" s="60" t="str">
        <f>Ringkasan!L2024</f>
        <v/>
      </c>
      <c r="M1953" s="60" t="str">
        <f>Ringkasan!M2024</f>
        <v/>
      </c>
      <c r="N1953" s="60" t="str">
        <f>Ringkasan!N2024</f>
        <v/>
      </c>
      <c r="O1953" s="60" t="str">
        <f>Ringkasan!O2024</f>
        <v/>
      </c>
      <c r="P1953" s="60" t="str">
        <f>Ringkasan!P2024</f>
        <v/>
      </c>
      <c r="Q1953" s="60" t="str">
        <f>Ringkasan!Q2024</f>
        <v/>
      </c>
      <c r="R1953" s="60" t="str">
        <f>Ringkasan!R2024</f>
        <v/>
      </c>
      <c r="S1953" s="60" t="str">
        <f>Ringkasan!S2024</f>
        <v/>
      </c>
      <c r="T1953" s="60" t="str">
        <f>Ringkasan!T2024</f>
        <v/>
      </c>
      <c r="U1953" s="64" t="str">
        <f>Ringkasan!U2024</f>
        <v/>
      </c>
      <c r="V1953" s="64" t="str">
        <f>Ringkasan!V2024</f>
        <v/>
      </c>
      <c r="W1953" s="64" t="str">
        <f>Ringkasan!W2024</f>
        <v/>
      </c>
      <c r="X1953" s="64" t="str">
        <f>Ringkasan!X2024</f>
        <v/>
      </c>
      <c r="Y1953" s="64" t="str">
        <f>Ringkasan!Y2024</f>
        <v/>
      </c>
      <c r="Z1953" s="64" t="str">
        <f>Ringkasan!Z2024</f>
        <v/>
      </c>
      <c r="AA1953" s="64" t="str">
        <f>Ringkasan!AA2024</f>
        <v/>
      </c>
      <c r="AB1953" s="64" t="str">
        <f>Ringkasan!AB2024</f>
        <v/>
      </c>
    </row>
    <row r="1954">
      <c r="A1954" s="60" t="str">
        <f>Ringkasan!A2025</f>
        <v/>
      </c>
      <c r="B1954" s="60" t="str">
        <f>Ringkasan!B2025</f>
        <v/>
      </c>
      <c r="C1954" s="64" t="str">
        <f>Ringkasan!C2025</f>
        <v/>
      </c>
      <c r="D1954" s="64" t="str">
        <f>Ringkasan!D2025</f>
        <v/>
      </c>
      <c r="E1954" s="60" t="str">
        <f>Ringkasan!E2025</f>
        <v/>
      </c>
      <c r="F1954" s="60" t="str">
        <f>Ringkasan!F2025</f>
        <v/>
      </c>
      <c r="G1954" s="60" t="str">
        <f>Ringkasan!G2025</f>
        <v/>
      </c>
      <c r="H1954" s="60" t="str">
        <f>Ringkasan!H2025</f>
        <v/>
      </c>
      <c r="I1954" s="60" t="str">
        <f>Ringkasan!I2025</f>
        <v/>
      </c>
      <c r="J1954" s="60" t="str">
        <f>Ringkasan!J2025</f>
        <v/>
      </c>
      <c r="K1954" s="60" t="str">
        <f>Ringkasan!K2025</f>
        <v/>
      </c>
      <c r="L1954" s="60" t="str">
        <f>Ringkasan!L2025</f>
        <v/>
      </c>
      <c r="M1954" s="60" t="str">
        <f>Ringkasan!M2025</f>
        <v/>
      </c>
      <c r="N1954" s="60" t="str">
        <f>Ringkasan!N2025</f>
        <v/>
      </c>
      <c r="O1954" s="60" t="str">
        <f>Ringkasan!O2025</f>
        <v/>
      </c>
      <c r="P1954" s="60" t="str">
        <f>Ringkasan!P2025</f>
        <v/>
      </c>
      <c r="Q1954" s="60" t="str">
        <f>Ringkasan!Q2025</f>
        <v/>
      </c>
      <c r="R1954" s="60" t="str">
        <f>Ringkasan!R2025</f>
        <v/>
      </c>
      <c r="S1954" s="60" t="str">
        <f>Ringkasan!S2025</f>
        <v/>
      </c>
      <c r="T1954" s="60" t="str">
        <f>Ringkasan!T2025</f>
        <v/>
      </c>
      <c r="U1954" s="64" t="str">
        <f>Ringkasan!U2025</f>
        <v/>
      </c>
      <c r="V1954" s="64" t="str">
        <f>Ringkasan!V2025</f>
        <v/>
      </c>
      <c r="W1954" s="64" t="str">
        <f>Ringkasan!W2025</f>
        <v/>
      </c>
      <c r="X1954" s="64" t="str">
        <f>Ringkasan!X2025</f>
        <v/>
      </c>
      <c r="Y1954" s="64" t="str">
        <f>Ringkasan!Y2025</f>
        <v/>
      </c>
      <c r="Z1954" s="64" t="str">
        <f>Ringkasan!Z2025</f>
        <v/>
      </c>
      <c r="AA1954" s="64" t="str">
        <f>Ringkasan!AA2025</f>
        <v/>
      </c>
      <c r="AB1954" s="64" t="str">
        <f>Ringkasan!AB2025</f>
        <v/>
      </c>
    </row>
    <row r="1955">
      <c r="A1955" s="60" t="str">
        <f>Ringkasan!A2026</f>
        <v/>
      </c>
      <c r="B1955" s="60" t="str">
        <f>Ringkasan!B2026</f>
        <v/>
      </c>
      <c r="C1955" s="64" t="str">
        <f>Ringkasan!C2026</f>
        <v/>
      </c>
      <c r="D1955" s="64" t="str">
        <f>Ringkasan!D2026</f>
        <v/>
      </c>
      <c r="E1955" s="60" t="str">
        <f>Ringkasan!E2026</f>
        <v/>
      </c>
      <c r="F1955" s="60" t="str">
        <f>Ringkasan!F2026</f>
        <v/>
      </c>
      <c r="G1955" s="60" t="str">
        <f>Ringkasan!G2026</f>
        <v/>
      </c>
      <c r="H1955" s="60" t="str">
        <f>Ringkasan!H2026</f>
        <v/>
      </c>
      <c r="I1955" s="60" t="str">
        <f>Ringkasan!I2026</f>
        <v/>
      </c>
      <c r="J1955" s="60" t="str">
        <f>Ringkasan!J2026</f>
        <v/>
      </c>
      <c r="K1955" s="60" t="str">
        <f>Ringkasan!K2026</f>
        <v/>
      </c>
      <c r="L1955" s="60" t="str">
        <f>Ringkasan!L2026</f>
        <v/>
      </c>
      <c r="M1955" s="60" t="str">
        <f>Ringkasan!M2026</f>
        <v/>
      </c>
      <c r="N1955" s="60" t="str">
        <f>Ringkasan!N2026</f>
        <v/>
      </c>
      <c r="O1955" s="60" t="str">
        <f>Ringkasan!O2026</f>
        <v/>
      </c>
      <c r="P1955" s="60" t="str">
        <f>Ringkasan!P2026</f>
        <v/>
      </c>
      <c r="Q1955" s="60" t="str">
        <f>Ringkasan!Q2026</f>
        <v/>
      </c>
      <c r="R1955" s="60" t="str">
        <f>Ringkasan!R2026</f>
        <v/>
      </c>
      <c r="S1955" s="60" t="str">
        <f>Ringkasan!S2026</f>
        <v/>
      </c>
      <c r="T1955" s="60" t="str">
        <f>Ringkasan!T2026</f>
        <v/>
      </c>
      <c r="U1955" s="64" t="str">
        <f>Ringkasan!U2026</f>
        <v/>
      </c>
      <c r="V1955" s="64" t="str">
        <f>Ringkasan!V2026</f>
        <v/>
      </c>
      <c r="W1955" s="64" t="str">
        <f>Ringkasan!W2026</f>
        <v/>
      </c>
      <c r="X1955" s="64" t="str">
        <f>Ringkasan!X2026</f>
        <v/>
      </c>
      <c r="Y1955" s="64" t="str">
        <f>Ringkasan!Y2026</f>
        <v/>
      </c>
      <c r="Z1955" s="64" t="str">
        <f>Ringkasan!Z2026</f>
        <v/>
      </c>
      <c r="AA1955" s="64" t="str">
        <f>Ringkasan!AA2026</f>
        <v/>
      </c>
      <c r="AB1955" s="64" t="str">
        <f>Ringkasan!AB2026</f>
        <v/>
      </c>
    </row>
    <row r="1956">
      <c r="A1956" s="60" t="str">
        <f>Ringkasan!A2027</f>
        <v/>
      </c>
      <c r="B1956" s="60" t="str">
        <f>Ringkasan!B2027</f>
        <v/>
      </c>
      <c r="C1956" s="64" t="str">
        <f>Ringkasan!C2027</f>
        <v/>
      </c>
      <c r="D1956" s="64" t="str">
        <f>Ringkasan!D2027</f>
        <v/>
      </c>
      <c r="E1956" s="60" t="str">
        <f>Ringkasan!E2027</f>
        <v/>
      </c>
      <c r="F1956" s="60" t="str">
        <f>Ringkasan!F2027</f>
        <v/>
      </c>
      <c r="G1956" s="60" t="str">
        <f>Ringkasan!G2027</f>
        <v/>
      </c>
      <c r="H1956" s="60" t="str">
        <f>Ringkasan!H2027</f>
        <v/>
      </c>
      <c r="I1956" s="60" t="str">
        <f>Ringkasan!I2027</f>
        <v/>
      </c>
      <c r="J1956" s="60" t="str">
        <f>Ringkasan!J2027</f>
        <v/>
      </c>
      <c r="K1956" s="60" t="str">
        <f>Ringkasan!K2027</f>
        <v/>
      </c>
      <c r="L1956" s="60" t="str">
        <f>Ringkasan!L2027</f>
        <v/>
      </c>
      <c r="M1956" s="60" t="str">
        <f>Ringkasan!M2027</f>
        <v/>
      </c>
      <c r="N1956" s="60" t="str">
        <f>Ringkasan!N2027</f>
        <v/>
      </c>
      <c r="O1956" s="60" t="str">
        <f>Ringkasan!O2027</f>
        <v/>
      </c>
      <c r="P1956" s="60" t="str">
        <f>Ringkasan!P2027</f>
        <v/>
      </c>
      <c r="Q1956" s="60" t="str">
        <f>Ringkasan!Q2027</f>
        <v/>
      </c>
      <c r="R1956" s="60" t="str">
        <f>Ringkasan!R2027</f>
        <v/>
      </c>
      <c r="S1956" s="60" t="str">
        <f>Ringkasan!S2027</f>
        <v/>
      </c>
      <c r="T1956" s="60" t="str">
        <f>Ringkasan!T2027</f>
        <v/>
      </c>
      <c r="U1956" s="64" t="str">
        <f>Ringkasan!U2027</f>
        <v/>
      </c>
      <c r="V1956" s="64" t="str">
        <f>Ringkasan!V2027</f>
        <v/>
      </c>
      <c r="W1956" s="64" t="str">
        <f>Ringkasan!W2027</f>
        <v/>
      </c>
      <c r="X1956" s="64" t="str">
        <f>Ringkasan!X2027</f>
        <v/>
      </c>
      <c r="Y1956" s="64" t="str">
        <f>Ringkasan!Y2027</f>
        <v/>
      </c>
      <c r="Z1956" s="64" t="str">
        <f>Ringkasan!Z2027</f>
        <v/>
      </c>
      <c r="AA1956" s="64" t="str">
        <f>Ringkasan!AA2027</f>
        <v/>
      </c>
      <c r="AB1956" s="64" t="str">
        <f>Ringkasan!AB2027</f>
        <v/>
      </c>
    </row>
    <row r="1957">
      <c r="A1957" s="60" t="str">
        <f>Ringkasan!A2028</f>
        <v/>
      </c>
      <c r="B1957" s="60" t="str">
        <f>Ringkasan!B2028</f>
        <v/>
      </c>
      <c r="C1957" s="64" t="str">
        <f>Ringkasan!C2028</f>
        <v/>
      </c>
      <c r="D1957" s="64" t="str">
        <f>Ringkasan!D2028</f>
        <v/>
      </c>
      <c r="E1957" s="60" t="str">
        <f>Ringkasan!E2028</f>
        <v/>
      </c>
      <c r="F1957" s="60" t="str">
        <f>Ringkasan!F2028</f>
        <v/>
      </c>
      <c r="G1957" s="60" t="str">
        <f>Ringkasan!G2028</f>
        <v/>
      </c>
      <c r="H1957" s="60" t="str">
        <f>Ringkasan!H2028</f>
        <v/>
      </c>
      <c r="I1957" s="60" t="str">
        <f>Ringkasan!I2028</f>
        <v/>
      </c>
      <c r="J1957" s="60" t="str">
        <f>Ringkasan!J2028</f>
        <v/>
      </c>
      <c r="K1957" s="60" t="str">
        <f>Ringkasan!K2028</f>
        <v/>
      </c>
      <c r="L1957" s="60" t="str">
        <f>Ringkasan!L2028</f>
        <v/>
      </c>
      <c r="M1957" s="60" t="str">
        <f>Ringkasan!M2028</f>
        <v/>
      </c>
      <c r="N1957" s="60" t="str">
        <f>Ringkasan!N2028</f>
        <v/>
      </c>
      <c r="O1957" s="60" t="str">
        <f>Ringkasan!O2028</f>
        <v/>
      </c>
      <c r="P1957" s="60" t="str">
        <f>Ringkasan!P2028</f>
        <v/>
      </c>
      <c r="Q1957" s="60" t="str">
        <f>Ringkasan!Q2028</f>
        <v/>
      </c>
      <c r="R1957" s="60" t="str">
        <f>Ringkasan!R2028</f>
        <v/>
      </c>
      <c r="S1957" s="60" t="str">
        <f>Ringkasan!S2028</f>
        <v/>
      </c>
      <c r="T1957" s="60" t="str">
        <f>Ringkasan!T2028</f>
        <v/>
      </c>
      <c r="U1957" s="64" t="str">
        <f>Ringkasan!U2028</f>
        <v/>
      </c>
      <c r="V1957" s="64" t="str">
        <f>Ringkasan!V2028</f>
        <v/>
      </c>
      <c r="W1957" s="64" t="str">
        <f>Ringkasan!W2028</f>
        <v/>
      </c>
      <c r="X1957" s="64" t="str">
        <f>Ringkasan!X2028</f>
        <v/>
      </c>
      <c r="Y1957" s="64" t="str">
        <f>Ringkasan!Y2028</f>
        <v/>
      </c>
      <c r="Z1957" s="64" t="str">
        <f>Ringkasan!Z2028</f>
        <v/>
      </c>
      <c r="AA1957" s="64" t="str">
        <f>Ringkasan!AA2028</f>
        <v/>
      </c>
      <c r="AB1957" s="64" t="str">
        <f>Ringkasan!AB2028</f>
        <v/>
      </c>
    </row>
    <row r="1958">
      <c r="A1958" s="60" t="str">
        <f>Ringkasan!A2029</f>
        <v/>
      </c>
      <c r="B1958" s="60" t="str">
        <f>Ringkasan!B2029</f>
        <v/>
      </c>
      <c r="C1958" s="64" t="str">
        <f>Ringkasan!C2029</f>
        <v/>
      </c>
      <c r="D1958" s="64" t="str">
        <f>Ringkasan!D2029</f>
        <v/>
      </c>
      <c r="E1958" s="60" t="str">
        <f>Ringkasan!E2029</f>
        <v/>
      </c>
      <c r="F1958" s="60" t="str">
        <f>Ringkasan!F2029</f>
        <v/>
      </c>
      <c r="G1958" s="60" t="str">
        <f>Ringkasan!G2029</f>
        <v/>
      </c>
      <c r="H1958" s="60" t="str">
        <f>Ringkasan!H2029</f>
        <v/>
      </c>
      <c r="I1958" s="60" t="str">
        <f>Ringkasan!I2029</f>
        <v/>
      </c>
      <c r="J1958" s="60" t="str">
        <f>Ringkasan!J2029</f>
        <v/>
      </c>
      <c r="K1958" s="60" t="str">
        <f>Ringkasan!K2029</f>
        <v/>
      </c>
      <c r="L1958" s="60" t="str">
        <f>Ringkasan!L2029</f>
        <v/>
      </c>
      <c r="M1958" s="60" t="str">
        <f>Ringkasan!M2029</f>
        <v/>
      </c>
      <c r="N1958" s="60" t="str">
        <f>Ringkasan!N2029</f>
        <v/>
      </c>
      <c r="O1958" s="60" t="str">
        <f>Ringkasan!O2029</f>
        <v/>
      </c>
      <c r="P1958" s="60" t="str">
        <f>Ringkasan!P2029</f>
        <v/>
      </c>
      <c r="Q1958" s="60" t="str">
        <f>Ringkasan!Q2029</f>
        <v/>
      </c>
      <c r="R1958" s="60" t="str">
        <f>Ringkasan!R2029</f>
        <v/>
      </c>
      <c r="S1958" s="60" t="str">
        <f>Ringkasan!S2029</f>
        <v/>
      </c>
      <c r="T1958" s="60" t="str">
        <f>Ringkasan!T2029</f>
        <v/>
      </c>
      <c r="U1958" s="64" t="str">
        <f>Ringkasan!U2029</f>
        <v/>
      </c>
      <c r="V1958" s="64" t="str">
        <f>Ringkasan!V2029</f>
        <v/>
      </c>
      <c r="W1958" s="64" t="str">
        <f>Ringkasan!W2029</f>
        <v/>
      </c>
      <c r="X1958" s="64" t="str">
        <f>Ringkasan!X2029</f>
        <v/>
      </c>
      <c r="Y1958" s="64" t="str">
        <f>Ringkasan!Y2029</f>
        <v/>
      </c>
      <c r="Z1958" s="64" t="str">
        <f>Ringkasan!Z2029</f>
        <v/>
      </c>
      <c r="AA1958" s="64" t="str">
        <f>Ringkasan!AA2029</f>
        <v/>
      </c>
      <c r="AB1958" s="64" t="str">
        <f>Ringkasan!AB2029</f>
        <v/>
      </c>
    </row>
    <row r="1959">
      <c r="A1959" s="60" t="str">
        <f>Ringkasan!A2030</f>
        <v/>
      </c>
      <c r="B1959" s="60" t="str">
        <f>Ringkasan!B2030</f>
        <v/>
      </c>
      <c r="C1959" s="64" t="str">
        <f>Ringkasan!C2030</f>
        <v/>
      </c>
      <c r="D1959" s="64" t="str">
        <f>Ringkasan!D2030</f>
        <v/>
      </c>
      <c r="E1959" s="60" t="str">
        <f>Ringkasan!E2030</f>
        <v/>
      </c>
      <c r="F1959" s="60" t="str">
        <f>Ringkasan!F2030</f>
        <v/>
      </c>
      <c r="G1959" s="60" t="str">
        <f>Ringkasan!G2030</f>
        <v/>
      </c>
      <c r="H1959" s="60" t="str">
        <f>Ringkasan!H2030</f>
        <v/>
      </c>
      <c r="I1959" s="60" t="str">
        <f>Ringkasan!I2030</f>
        <v/>
      </c>
      <c r="J1959" s="60" t="str">
        <f>Ringkasan!J2030</f>
        <v/>
      </c>
      <c r="K1959" s="60" t="str">
        <f>Ringkasan!K2030</f>
        <v/>
      </c>
      <c r="L1959" s="60" t="str">
        <f>Ringkasan!L2030</f>
        <v/>
      </c>
      <c r="M1959" s="60" t="str">
        <f>Ringkasan!M2030</f>
        <v/>
      </c>
      <c r="N1959" s="60" t="str">
        <f>Ringkasan!N2030</f>
        <v/>
      </c>
      <c r="O1959" s="60" t="str">
        <f>Ringkasan!O2030</f>
        <v/>
      </c>
      <c r="P1959" s="60" t="str">
        <f>Ringkasan!P2030</f>
        <v/>
      </c>
      <c r="Q1959" s="60" t="str">
        <f>Ringkasan!Q2030</f>
        <v/>
      </c>
      <c r="R1959" s="60" t="str">
        <f>Ringkasan!R2030</f>
        <v/>
      </c>
      <c r="S1959" s="60" t="str">
        <f>Ringkasan!S2030</f>
        <v/>
      </c>
      <c r="T1959" s="60" t="str">
        <f>Ringkasan!T2030</f>
        <v/>
      </c>
      <c r="U1959" s="64" t="str">
        <f>Ringkasan!U2030</f>
        <v/>
      </c>
      <c r="V1959" s="64" t="str">
        <f>Ringkasan!V2030</f>
        <v/>
      </c>
      <c r="W1959" s="64" t="str">
        <f>Ringkasan!W2030</f>
        <v/>
      </c>
      <c r="X1959" s="64" t="str">
        <f>Ringkasan!X2030</f>
        <v/>
      </c>
      <c r="Y1959" s="64" t="str">
        <f>Ringkasan!Y2030</f>
        <v/>
      </c>
      <c r="Z1959" s="64" t="str">
        <f>Ringkasan!Z2030</f>
        <v/>
      </c>
      <c r="AA1959" s="64" t="str">
        <f>Ringkasan!AA2030</f>
        <v/>
      </c>
      <c r="AB1959" s="64" t="str">
        <f>Ringkasan!AB2030</f>
        <v/>
      </c>
    </row>
    <row r="1960">
      <c r="A1960" s="60" t="str">
        <f>Ringkasan!A2031</f>
        <v/>
      </c>
      <c r="B1960" s="60" t="str">
        <f>Ringkasan!B2031</f>
        <v/>
      </c>
      <c r="C1960" s="64" t="str">
        <f>Ringkasan!C2031</f>
        <v/>
      </c>
      <c r="D1960" s="64" t="str">
        <f>Ringkasan!D2031</f>
        <v/>
      </c>
      <c r="E1960" s="60" t="str">
        <f>Ringkasan!E2031</f>
        <v/>
      </c>
      <c r="F1960" s="60" t="str">
        <f>Ringkasan!F2031</f>
        <v/>
      </c>
      <c r="G1960" s="60" t="str">
        <f>Ringkasan!G2031</f>
        <v/>
      </c>
      <c r="H1960" s="60" t="str">
        <f>Ringkasan!H2031</f>
        <v/>
      </c>
      <c r="I1960" s="60" t="str">
        <f>Ringkasan!I2031</f>
        <v/>
      </c>
      <c r="J1960" s="60" t="str">
        <f>Ringkasan!J2031</f>
        <v/>
      </c>
      <c r="K1960" s="60" t="str">
        <f>Ringkasan!K2031</f>
        <v/>
      </c>
      <c r="L1960" s="60" t="str">
        <f>Ringkasan!L2031</f>
        <v/>
      </c>
      <c r="M1960" s="60" t="str">
        <f>Ringkasan!M2031</f>
        <v/>
      </c>
      <c r="N1960" s="60" t="str">
        <f>Ringkasan!N2031</f>
        <v/>
      </c>
      <c r="O1960" s="60" t="str">
        <f>Ringkasan!O2031</f>
        <v/>
      </c>
      <c r="P1960" s="60" t="str">
        <f>Ringkasan!P2031</f>
        <v/>
      </c>
      <c r="Q1960" s="60" t="str">
        <f>Ringkasan!Q2031</f>
        <v/>
      </c>
      <c r="R1960" s="60" t="str">
        <f>Ringkasan!R2031</f>
        <v/>
      </c>
      <c r="S1960" s="60" t="str">
        <f>Ringkasan!S2031</f>
        <v/>
      </c>
      <c r="T1960" s="60" t="str">
        <f>Ringkasan!T2031</f>
        <v/>
      </c>
      <c r="U1960" s="64" t="str">
        <f>Ringkasan!U2031</f>
        <v/>
      </c>
      <c r="V1960" s="64" t="str">
        <f>Ringkasan!V2031</f>
        <v/>
      </c>
      <c r="W1960" s="64" t="str">
        <f>Ringkasan!W2031</f>
        <v/>
      </c>
      <c r="X1960" s="64" t="str">
        <f>Ringkasan!X2031</f>
        <v/>
      </c>
      <c r="Y1960" s="64" t="str">
        <f>Ringkasan!Y2031</f>
        <v/>
      </c>
      <c r="Z1960" s="64" t="str">
        <f>Ringkasan!Z2031</f>
        <v/>
      </c>
      <c r="AA1960" s="64" t="str">
        <f>Ringkasan!AA2031</f>
        <v/>
      </c>
      <c r="AB1960" s="64" t="str">
        <f>Ringkasan!AB2031</f>
        <v/>
      </c>
    </row>
    <row r="1961">
      <c r="A1961" s="60" t="str">
        <f>Ringkasan!A2032</f>
        <v/>
      </c>
      <c r="B1961" s="60" t="str">
        <f>Ringkasan!B2032</f>
        <v/>
      </c>
      <c r="C1961" s="64" t="str">
        <f>Ringkasan!C2032</f>
        <v/>
      </c>
      <c r="D1961" s="64" t="str">
        <f>Ringkasan!D2032</f>
        <v/>
      </c>
      <c r="E1961" s="60" t="str">
        <f>Ringkasan!E2032</f>
        <v/>
      </c>
      <c r="F1961" s="60" t="str">
        <f>Ringkasan!F2032</f>
        <v/>
      </c>
      <c r="G1961" s="60" t="str">
        <f>Ringkasan!G2032</f>
        <v/>
      </c>
      <c r="H1961" s="60" t="str">
        <f>Ringkasan!H2032</f>
        <v/>
      </c>
      <c r="I1961" s="60" t="str">
        <f>Ringkasan!I2032</f>
        <v/>
      </c>
      <c r="J1961" s="60" t="str">
        <f>Ringkasan!J2032</f>
        <v/>
      </c>
      <c r="K1961" s="60" t="str">
        <f>Ringkasan!K2032</f>
        <v/>
      </c>
      <c r="L1961" s="60" t="str">
        <f>Ringkasan!L2032</f>
        <v/>
      </c>
      <c r="M1961" s="60" t="str">
        <f>Ringkasan!M2032</f>
        <v/>
      </c>
      <c r="N1961" s="60" t="str">
        <f>Ringkasan!N2032</f>
        <v/>
      </c>
      <c r="O1961" s="60" t="str">
        <f>Ringkasan!O2032</f>
        <v/>
      </c>
      <c r="P1961" s="60" t="str">
        <f>Ringkasan!P2032</f>
        <v/>
      </c>
      <c r="Q1961" s="60" t="str">
        <f>Ringkasan!Q2032</f>
        <v/>
      </c>
      <c r="R1961" s="60" t="str">
        <f>Ringkasan!R2032</f>
        <v/>
      </c>
      <c r="S1961" s="60" t="str">
        <f>Ringkasan!S2032</f>
        <v/>
      </c>
      <c r="T1961" s="60" t="str">
        <f>Ringkasan!T2032</f>
        <v/>
      </c>
      <c r="U1961" s="64" t="str">
        <f>Ringkasan!U2032</f>
        <v/>
      </c>
      <c r="V1961" s="64" t="str">
        <f>Ringkasan!V2032</f>
        <v/>
      </c>
      <c r="W1961" s="64" t="str">
        <f>Ringkasan!W2032</f>
        <v/>
      </c>
      <c r="X1961" s="64" t="str">
        <f>Ringkasan!X2032</f>
        <v/>
      </c>
      <c r="Y1961" s="64" t="str">
        <f>Ringkasan!Y2032</f>
        <v/>
      </c>
      <c r="Z1961" s="64" t="str">
        <f>Ringkasan!Z2032</f>
        <v/>
      </c>
      <c r="AA1961" s="64" t="str">
        <f>Ringkasan!AA2032</f>
        <v/>
      </c>
      <c r="AB1961" s="64" t="str">
        <f>Ringkasan!AB2032</f>
        <v/>
      </c>
    </row>
    <row r="1962">
      <c r="A1962" s="60" t="str">
        <f>Ringkasan!A2033</f>
        <v/>
      </c>
      <c r="B1962" s="60" t="str">
        <f>Ringkasan!B2033</f>
        <v/>
      </c>
      <c r="C1962" s="64" t="str">
        <f>Ringkasan!C2033</f>
        <v/>
      </c>
      <c r="D1962" s="64" t="str">
        <f>Ringkasan!D2033</f>
        <v/>
      </c>
      <c r="E1962" s="60" t="str">
        <f>Ringkasan!E2033</f>
        <v/>
      </c>
      <c r="F1962" s="60" t="str">
        <f>Ringkasan!F2033</f>
        <v/>
      </c>
      <c r="G1962" s="60" t="str">
        <f>Ringkasan!G2033</f>
        <v/>
      </c>
      <c r="H1962" s="60" t="str">
        <f>Ringkasan!H2033</f>
        <v/>
      </c>
      <c r="I1962" s="60" t="str">
        <f>Ringkasan!I2033</f>
        <v/>
      </c>
      <c r="J1962" s="60" t="str">
        <f>Ringkasan!J2033</f>
        <v/>
      </c>
      <c r="K1962" s="60" t="str">
        <f>Ringkasan!K2033</f>
        <v/>
      </c>
      <c r="L1962" s="60" t="str">
        <f>Ringkasan!L2033</f>
        <v/>
      </c>
      <c r="M1962" s="60" t="str">
        <f>Ringkasan!M2033</f>
        <v/>
      </c>
      <c r="N1962" s="60" t="str">
        <f>Ringkasan!N2033</f>
        <v/>
      </c>
      <c r="O1962" s="60" t="str">
        <f>Ringkasan!O2033</f>
        <v/>
      </c>
      <c r="P1962" s="60" t="str">
        <f>Ringkasan!P2033</f>
        <v/>
      </c>
      <c r="Q1962" s="60" t="str">
        <f>Ringkasan!Q2033</f>
        <v/>
      </c>
      <c r="R1962" s="60" t="str">
        <f>Ringkasan!R2033</f>
        <v/>
      </c>
      <c r="S1962" s="60" t="str">
        <f>Ringkasan!S2033</f>
        <v/>
      </c>
      <c r="T1962" s="60" t="str">
        <f>Ringkasan!T2033</f>
        <v/>
      </c>
      <c r="U1962" s="64" t="str">
        <f>Ringkasan!U2033</f>
        <v/>
      </c>
      <c r="V1962" s="64" t="str">
        <f>Ringkasan!V2033</f>
        <v/>
      </c>
      <c r="W1962" s="64" t="str">
        <f>Ringkasan!W2033</f>
        <v/>
      </c>
      <c r="X1962" s="64" t="str">
        <f>Ringkasan!X2033</f>
        <v/>
      </c>
      <c r="Y1962" s="64" t="str">
        <f>Ringkasan!Y2033</f>
        <v/>
      </c>
      <c r="Z1962" s="64" t="str">
        <f>Ringkasan!Z2033</f>
        <v/>
      </c>
      <c r="AA1962" s="64" t="str">
        <f>Ringkasan!AA2033</f>
        <v/>
      </c>
      <c r="AB1962" s="64" t="str">
        <f>Ringkasan!AB2033</f>
        <v/>
      </c>
    </row>
    <row r="1963">
      <c r="A1963" s="60" t="str">
        <f>Ringkasan!A2034</f>
        <v/>
      </c>
      <c r="B1963" s="60" t="str">
        <f>Ringkasan!B2034</f>
        <v/>
      </c>
      <c r="C1963" s="64" t="str">
        <f>Ringkasan!C2034</f>
        <v/>
      </c>
      <c r="D1963" s="64" t="str">
        <f>Ringkasan!D2034</f>
        <v/>
      </c>
      <c r="E1963" s="60" t="str">
        <f>Ringkasan!E2034</f>
        <v/>
      </c>
      <c r="F1963" s="60" t="str">
        <f>Ringkasan!F2034</f>
        <v/>
      </c>
      <c r="G1963" s="60" t="str">
        <f>Ringkasan!G2034</f>
        <v/>
      </c>
      <c r="H1963" s="60" t="str">
        <f>Ringkasan!H2034</f>
        <v/>
      </c>
      <c r="I1963" s="60" t="str">
        <f>Ringkasan!I2034</f>
        <v/>
      </c>
      <c r="J1963" s="60" t="str">
        <f>Ringkasan!J2034</f>
        <v/>
      </c>
      <c r="K1963" s="60" t="str">
        <f>Ringkasan!K2034</f>
        <v/>
      </c>
      <c r="L1963" s="60" t="str">
        <f>Ringkasan!L2034</f>
        <v/>
      </c>
      <c r="M1963" s="60" t="str">
        <f>Ringkasan!M2034</f>
        <v/>
      </c>
      <c r="N1963" s="60" t="str">
        <f>Ringkasan!N2034</f>
        <v/>
      </c>
      <c r="O1963" s="60" t="str">
        <f>Ringkasan!O2034</f>
        <v/>
      </c>
      <c r="P1963" s="60" t="str">
        <f>Ringkasan!P2034</f>
        <v/>
      </c>
      <c r="Q1963" s="60" t="str">
        <f>Ringkasan!Q2034</f>
        <v/>
      </c>
      <c r="R1963" s="60" t="str">
        <f>Ringkasan!R2034</f>
        <v/>
      </c>
      <c r="S1963" s="60" t="str">
        <f>Ringkasan!S2034</f>
        <v/>
      </c>
      <c r="T1963" s="60" t="str">
        <f>Ringkasan!T2034</f>
        <v/>
      </c>
      <c r="U1963" s="64" t="str">
        <f>Ringkasan!U2034</f>
        <v/>
      </c>
      <c r="V1963" s="64" t="str">
        <f>Ringkasan!V2034</f>
        <v/>
      </c>
      <c r="W1963" s="64" t="str">
        <f>Ringkasan!W2034</f>
        <v/>
      </c>
      <c r="X1963" s="64" t="str">
        <f>Ringkasan!X2034</f>
        <v/>
      </c>
      <c r="Y1963" s="64" t="str">
        <f>Ringkasan!Y2034</f>
        <v/>
      </c>
      <c r="Z1963" s="64" t="str">
        <f>Ringkasan!Z2034</f>
        <v/>
      </c>
      <c r="AA1963" s="64" t="str">
        <f>Ringkasan!AA2034</f>
        <v/>
      </c>
      <c r="AB1963" s="64" t="str">
        <f>Ringkasan!AB2034</f>
        <v/>
      </c>
    </row>
    <row r="1964">
      <c r="A1964" s="60" t="str">
        <f>Ringkasan!A2035</f>
        <v/>
      </c>
      <c r="B1964" s="60" t="str">
        <f>Ringkasan!B2035</f>
        <v/>
      </c>
      <c r="C1964" s="64" t="str">
        <f>Ringkasan!C2035</f>
        <v/>
      </c>
      <c r="D1964" s="64" t="str">
        <f>Ringkasan!D2035</f>
        <v/>
      </c>
      <c r="E1964" s="60" t="str">
        <f>Ringkasan!E2035</f>
        <v/>
      </c>
      <c r="F1964" s="60" t="str">
        <f>Ringkasan!F2035</f>
        <v/>
      </c>
      <c r="G1964" s="60" t="str">
        <f>Ringkasan!G2035</f>
        <v/>
      </c>
      <c r="H1964" s="60" t="str">
        <f>Ringkasan!H2035</f>
        <v/>
      </c>
      <c r="I1964" s="60" t="str">
        <f>Ringkasan!I2035</f>
        <v/>
      </c>
      <c r="J1964" s="60" t="str">
        <f>Ringkasan!J2035</f>
        <v/>
      </c>
      <c r="K1964" s="60" t="str">
        <f>Ringkasan!K2035</f>
        <v/>
      </c>
      <c r="L1964" s="60" t="str">
        <f>Ringkasan!L2035</f>
        <v/>
      </c>
      <c r="M1964" s="60" t="str">
        <f>Ringkasan!M2035</f>
        <v/>
      </c>
      <c r="N1964" s="60" t="str">
        <f>Ringkasan!N2035</f>
        <v/>
      </c>
      <c r="O1964" s="60" t="str">
        <f>Ringkasan!O2035</f>
        <v/>
      </c>
      <c r="P1964" s="60" t="str">
        <f>Ringkasan!P2035</f>
        <v/>
      </c>
      <c r="Q1964" s="60" t="str">
        <f>Ringkasan!Q2035</f>
        <v/>
      </c>
      <c r="R1964" s="60" t="str">
        <f>Ringkasan!R2035</f>
        <v/>
      </c>
      <c r="S1964" s="60" t="str">
        <f>Ringkasan!S2035</f>
        <v/>
      </c>
      <c r="T1964" s="60" t="str">
        <f>Ringkasan!T2035</f>
        <v/>
      </c>
      <c r="U1964" s="64" t="str">
        <f>Ringkasan!U2035</f>
        <v/>
      </c>
      <c r="V1964" s="64" t="str">
        <f>Ringkasan!V2035</f>
        <v/>
      </c>
      <c r="W1964" s="64" t="str">
        <f>Ringkasan!W2035</f>
        <v/>
      </c>
      <c r="X1964" s="64" t="str">
        <f>Ringkasan!X2035</f>
        <v/>
      </c>
      <c r="Y1964" s="64" t="str">
        <f>Ringkasan!Y2035</f>
        <v/>
      </c>
      <c r="Z1964" s="64" t="str">
        <f>Ringkasan!Z2035</f>
        <v/>
      </c>
      <c r="AA1964" s="64" t="str">
        <f>Ringkasan!AA2035</f>
        <v/>
      </c>
      <c r="AB1964" s="64" t="str">
        <f>Ringkasan!AB2035</f>
        <v/>
      </c>
    </row>
    <row r="1965">
      <c r="A1965" s="60" t="str">
        <f>Ringkasan!A2036</f>
        <v/>
      </c>
      <c r="B1965" s="60" t="str">
        <f>Ringkasan!B2036</f>
        <v/>
      </c>
      <c r="C1965" s="64" t="str">
        <f>Ringkasan!C2036</f>
        <v/>
      </c>
      <c r="D1965" s="64" t="str">
        <f>Ringkasan!D2036</f>
        <v/>
      </c>
      <c r="E1965" s="60" t="str">
        <f>Ringkasan!E2036</f>
        <v/>
      </c>
      <c r="F1965" s="60" t="str">
        <f>Ringkasan!F2036</f>
        <v/>
      </c>
      <c r="G1965" s="60" t="str">
        <f>Ringkasan!G2036</f>
        <v/>
      </c>
      <c r="H1965" s="60" t="str">
        <f>Ringkasan!H2036</f>
        <v/>
      </c>
      <c r="I1965" s="60" t="str">
        <f>Ringkasan!I2036</f>
        <v/>
      </c>
      <c r="J1965" s="60" t="str">
        <f>Ringkasan!J2036</f>
        <v/>
      </c>
      <c r="K1965" s="60" t="str">
        <f>Ringkasan!K2036</f>
        <v/>
      </c>
      <c r="L1965" s="60" t="str">
        <f>Ringkasan!L2036</f>
        <v/>
      </c>
      <c r="M1965" s="60" t="str">
        <f>Ringkasan!M2036</f>
        <v/>
      </c>
      <c r="N1965" s="60" t="str">
        <f>Ringkasan!N2036</f>
        <v/>
      </c>
      <c r="O1965" s="60" t="str">
        <f>Ringkasan!O2036</f>
        <v/>
      </c>
      <c r="P1965" s="60" t="str">
        <f>Ringkasan!P2036</f>
        <v/>
      </c>
      <c r="Q1965" s="60" t="str">
        <f>Ringkasan!Q2036</f>
        <v/>
      </c>
      <c r="R1965" s="60" t="str">
        <f>Ringkasan!R2036</f>
        <v/>
      </c>
      <c r="S1965" s="60" t="str">
        <f>Ringkasan!S2036</f>
        <v/>
      </c>
      <c r="T1965" s="60" t="str">
        <f>Ringkasan!T2036</f>
        <v/>
      </c>
      <c r="U1965" s="64" t="str">
        <f>Ringkasan!U2036</f>
        <v/>
      </c>
      <c r="V1965" s="64" t="str">
        <f>Ringkasan!V2036</f>
        <v/>
      </c>
      <c r="W1965" s="64" t="str">
        <f>Ringkasan!W2036</f>
        <v/>
      </c>
      <c r="X1965" s="64" t="str">
        <f>Ringkasan!X2036</f>
        <v/>
      </c>
      <c r="Y1965" s="64" t="str">
        <f>Ringkasan!Y2036</f>
        <v/>
      </c>
      <c r="Z1965" s="64" t="str">
        <f>Ringkasan!Z2036</f>
        <v/>
      </c>
      <c r="AA1965" s="64" t="str">
        <f>Ringkasan!AA2036</f>
        <v/>
      </c>
      <c r="AB1965" s="64" t="str">
        <f>Ringkasan!AB2036</f>
        <v/>
      </c>
    </row>
    <row r="1966">
      <c r="A1966" s="60" t="str">
        <f>Ringkasan!A2037</f>
        <v/>
      </c>
      <c r="B1966" s="60" t="str">
        <f>Ringkasan!B2037</f>
        <v/>
      </c>
      <c r="C1966" s="64" t="str">
        <f>Ringkasan!C2037</f>
        <v/>
      </c>
      <c r="D1966" s="64" t="str">
        <f>Ringkasan!D2037</f>
        <v/>
      </c>
      <c r="E1966" s="60" t="str">
        <f>Ringkasan!E2037</f>
        <v/>
      </c>
      <c r="F1966" s="60" t="str">
        <f>Ringkasan!F2037</f>
        <v/>
      </c>
      <c r="G1966" s="60" t="str">
        <f>Ringkasan!G2037</f>
        <v/>
      </c>
      <c r="H1966" s="60" t="str">
        <f>Ringkasan!H2037</f>
        <v/>
      </c>
      <c r="I1966" s="60" t="str">
        <f>Ringkasan!I2037</f>
        <v/>
      </c>
      <c r="J1966" s="60" t="str">
        <f>Ringkasan!J2037</f>
        <v/>
      </c>
      <c r="K1966" s="60" t="str">
        <f>Ringkasan!K2037</f>
        <v/>
      </c>
      <c r="L1966" s="60" t="str">
        <f>Ringkasan!L2037</f>
        <v/>
      </c>
      <c r="M1966" s="60" t="str">
        <f>Ringkasan!M2037</f>
        <v/>
      </c>
      <c r="N1966" s="60" t="str">
        <f>Ringkasan!N2037</f>
        <v/>
      </c>
      <c r="O1966" s="60" t="str">
        <f>Ringkasan!O2037</f>
        <v/>
      </c>
      <c r="P1966" s="60" t="str">
        <f>Ringkasan!P2037</f>
        <v/>
      </c>
      <c r="Q1966" s="60" t="str">
        <f>Ringkasan!Q2037</f>
        <v/>
      </c>
      <c r="R1966" s="60" t="str">
        <f>Ringkasan!R2037</f>
        <v/>
      </c>
      <c r="S1966" s="60" t="str">
        <f>Ringkasan!S2037</f>
        <v/>
      </c>
      <c r="T1966" s="60" t="str">
        <f>Ringkasan!T2037</f>
        <v/>
      </c>
      <c r="U1966" s="64" t="str">
        <f>Ringkasan!U2037</f>
        <v/>
      </c>
      <c r="V1966" s="64" t="str">
        <f>Ringkasan!V2037</f>
        <v/>
      </c>
      <c r="W1966" s="64" t="str">
        <f>Ringkasan!W2037</f>
        <v/>
      </c>
      <c r="X1966" s="64" t="str">
        <f>Ringkasan!X2037</f>
        <v/>
      </c>
      <c r="Y1966" s="64" t="str">
        <f>Ringkasan!Y2037</f>
        <v/>
      </c>
      <c r="Z1966" s="64" t="str">
        <f>Ringkasan!Z2037</f>
        <v/>
      </c>
      <c r="AA1966" s="64" t="str">
        <f>Ringkasan!AA2037</f>
        <v/>
      </c>
      <c r="AB1966" s="64" t="str">
        <f>Ringkasan!AB2037</f>
        <v/>
      </c>
    </row>
    <row r="1967">
      <c r="A1967" s="60" t="str">
        <f>Ringkasan!A2038</f>
        <v/>
      </c>
      <c r="B1967" s="60" t="str">
        <f>Ringkasan!B2038</f>
        <v/>
      </c>
      <c r="C1967" s="64" t="str">
        <f>Ringkasan!C2038</f>
        <v/>
      </c>
      <c r="D1967" s="64" t="str">
        <f>Ringkasan!D2038</f>
        <v/>
      </c>
      <c r="E1967" s="60" t="str">
        <f>Ringkasan!E2038</f>
        <v/>
      </c>
      <c r="F1967" s="60" t="str">
        <f>Ringkasan!F2038</f>
        <v/>
      </c>
      <c r="G1967" s="60" t="str">
        <f>Ringkasan!G2038</f>
        <v/>
      </c>
      <c r="H1967" s="60" t="str">
        <f>Ringkasan!H2038</f>
        <v/>
      </c>
      <c r="I1967" s="60" t="str">
        <f>Ringkasan!I2038</f>
        <v/>
      </c>
      <c r="J1967" s="60" t="str">
        <f>Ringkasan!J2038</f>
        <v/>
      </c>
      <c r="K1967" s="60" t="str">
        <f>Ringkasan!K2038</f>
        <v/>
      </c>
      <c r="L1967" s="60" t="str">
        <f>Ringkasan!L2038</f>
        <v/>
      </c>
      <c r="M1967" s="60" t="str">
        <f>Ringkasan!M2038</f>
        <v/>
      </c>
      <c r="N1967" s="60" t="str">
        <f>Ringkasan!N2038</f>
        <v/>
      </c>
      <c r="O1967" s="60" t="str">
        <f>Ringkasan!O2038</f>
        <v/>
      </c>
      <c r="P1967" s="60" t="str">
        <f>Ringkasan!P2038</f>
        <v/>
      </c>
      <c r="Q1967" s="60" t="str">
        <f>Ringkasan!Q2038</f>
        <v/>
      </c>
      <c r="R1967" s="60" t="str">
        <f>Ringkasan!R2038</f>
        <v/>
      </c>
      <c r="S1967" s="60" t="str">
        <f>Ringkasan!S2038</f>
        <v/>
      </c>
      <c r="T1967" s="60" t="str">
        <f>Ringkasan!T2038</f>
        <v/>
      </c>
      <c r="U1967" s="64" t="str">
        <f>Ringkasan!U2038</f>
        <v/>
      </c>
      <c r="V1967" s="64" t="str">
        <f>Ringkasan!V2038</f>
        <v/>
      </c>
      <c r="W1967" s="64" t="str">
        <f>Ringkasan!W2038</f>
        <v/>
      </c>
      <c r="X1967" s="64" t="str">
        <f>Ringkasan!X2038</f>
        <v/>
      </c>
      <c r="Y1967" s="64" t="str">
        <f>Ringkasan!Y2038</f>
        <v/>
      </c>
      <c r="Z1967" s="64" t="str">
        <f>Ringkasan!Z2038</f>
        <v/>
      </c>
      <c r="AA1967" s="64" t="str">
        <f>Ringkasan!AA2038</f>
        <v/>
      </c>
      <c r="AB1967" s="64" t="str">
        <f>Ringkasan!AB2038</f>
        <v/>
      </c>
    </row>
    <row r="1968">
      <c r="A1968" s="60" t="str">
        <f>Ringkasan!A2039</f>
        <v/>
      </c>
      <c r="B1968" s="60" t="str">
        <f>Ringkasan!B2039</f>
        <v/>
      </c>
      <c r="C1968" s="64" t="str">
        <f>Ringkasan!C2039</f>
        <v/>
      </c>
      <c r="D1968" s="64" t="str">
        <f>Ringkasan!D2039</f>
        <v/>
      </c>
      <c r="E1968" s="60" t="str">
        <f>Ringkasan!E2039</f>
        <v/>
      </c>
      <c r="F1968" s="60" t="str">
        <f>Ringkasan!F2039</f>
        <v/>
      </c>
      <c r="G1968" s="60" t="str">
        <f>Ringkasan!G2039</f>
        <v/>
      </c>
      <c r="H1968" s="60" t="str">
        <f>Ringkasan!H2039</f>
        <v/>
      </c>
      <c r="I1968" s="60" t="str">
        <f>Ringkasan!I2039</f>
        <v/>
      </c>
      <c r="J1968" s="60" t="str">
        <f>Ringkasan!J2039</f>
        <v/>
      </c>
      <c r="K1968" s="60" t="str">
        <f>Ringkasan!K2039</f>
        <v/>
      </c>
      <c r="L1968" s="60" t="str">
        <f>Ringkasan!L2039</f>
        <v/>
      </c>
      <c r="M1968" s="60" t="str">
        <f>Ringkasan!M2039</f>
        <v/>
      </c>
      <c r="N1968" s="60" t="str">
        <f>Ringkasan!N2039</f>
        <v/>
      </c>
      <c r="O1968" s="60" t="str">
        <f>Ringkasan!O2039</f>
        <v/>
      </c>
      <c r="P1968" s="60" t="str">
        <f>Ringkasan!P2039</f>
        <v/>
      </c>
      <c r="Q1968" s="60" t="str">
        <f>Ringkasan!Q2039</f>
        <v/>
      </c>
      <c r="R1968" s="60" t="str">
        <f>Ringkasan!R2039</f>
        <v/>
      </c>
      <c r="S1968" s="60" t="str">
        <f>Ringkasan!S2039</f>
        <v/>
      </c>
      <c r="T1968" s="60" t="str">
        <f>Ringkasan!T2039</f>
        <v/>
      </c>
      <c r="U1968" s="64" t="str">
        <f>Ringkasan!U2039</f>
        <v/>
      </c>
      <c r="V1968" s="64" t="str">
        <f>Ringkasan!V2039</f>
        <v/>
      </c>
      <c r="W1968" s="64" t="str">
        <f>Ringkasan!W2039</f>
        <v/>
      </c>
      <c r="X1968" s="64" t="str">
        <f>Ringkasan!X2039</f>
        <v/>
      </c>
      <c r="Y1968" s="64" t="str">
        <f>Ringkasan!Y2039</f>
        <v/>
      </c>
      <c r="Z1968" s="64" t="str">
        <f>Ringkasan!Z2039</f>
        <v/>
      </c>
      <c r="AA1968" s="64" t="str">
        <f>Ringkasan!AA2039</f>
        <v/>
      </c>
      <c r="AB1968" s="64" t="str">
        <f>Ringkasan!AB2039</f>
        <v/>
      </c>
    </row>
    <row r="1969">
      <c r="A1969" s="60" t="str">
        <f>Ringkasan!A2040</f>
        <v/>
      </c>
      <c r="B1969" s="60" t="str">
        <f>Ringkasan!B2040</f>
        <v/>
      </c>
      <c r="C1969" s="64" t="str">
        <f>Ringkasan!C2040</f>
        <v/>
      </c>
      <c r="D1969" s="64" t="str">
        <f>Ringkasan!D2040</f>
        <v/>
      </c>
      <c r="E1969" s="60" t="str">
        <f>Ringkasan!E2040</f>
        <v/>
      </c>
      <c r="F1969" s="60" t="str">
        <f>Ringkasan!F2040</f>
        <v/>
      </c>
      <c r="G1969" s="60" t="str">
        <f>Ringkasan!G2040</f>
        <v/>
      </c>
      <c r="H1969" s="60" t="str">
        <f>Ringkasan!H2040</f>
        <v/>
      </c>
      <c r="I1969" s="60" t="str">
        <f>Ringkasan!I2040</f>
        <v/>
      </c>
      <c r="J1969" s="60" t="str">
        <f>Ringkasan!J2040</f>
        <v/>
      </c>
      <c r="K1969" s="60" t="str">
        <f>Ringkasan!K2040</f>
        <v/>
      </c>
      <c r="L1969" s="60" t="str">
        <f>Ringkasan!L2040</f>
        <v/>
      </c>
      <c r="M1969" s="60" t="str">
        <f>Ringkasan!M2040</f>
        <v/>
      </c>
      <c r="N1969" s="60" t="str">
        <f>Ringkasan!N2040</f>
        <v/>
      </c>
      <c r="O1969" s="60" t="str">
        <f>Ringkasan!O2040</f>
        <v/>
      </c>
      <c r="P1969" s="60" t="str">
        <f>Ringkasan!P2040</f>
        <v/>
      </c>
      <c r="Q1969" s="60" t="str">
        <f>Ringkasan!Q2040</f>
        <v/>
      </c>
      <c r="R1969" s="60" t="str">
        <f>Ringkasan!R2040</f>
        <v/>
      </c>
      <c r="S1969" s="60" t="str">
        <f>Ringkasan!S2040</f>
        <v/>
      </c>
      <c r="T1969" s="60" t="str">
        <f>Ringkasan!T2040</f>
        <v/>
      </c>
      <c r="U1969" s="64" t="str">
        <f>Ringkasan!U2040</f>
        <v/>
      </c>
      <c r="V1969" s="64" t="str">
        <f>Ringkasan!V2040</f>
        <v/>
      </c>
      <c r="W1969" s="64" t="str">
        <f>Ringkasan!W2040</f>
        <v/>
      </c>
      <c r="X1969" s="64" t="str">
        <f>Ringkasan!X2040</f>
        <v/>
      </c>
      <c r="Y1969" s="64" t="str">
        <f>Ringkasan!Y2040</f>
        <v/>
      </c>
      <c r="Z1969" s="64" t="str">
        <f>Ringkasan!Z2040</f>
        <v/>
      </c>
      <c r="AA1969" s="64" t="str">
        <f>Ringkasan!AA2040</f>
        <v/>
      </c>
      <c r="AB1969" s="64" t="str">
        <f>Ringkasan!AB2040</f>
        <v/>
      </c>
    </row>
    <row r="1970">
      <c r="A1970" s="60" t="str">
        <f>Ringkasan!A2041</f>
        <v/>
      </c>
      <c r="B1970" s="60" t="str">
        <f>Ringkasan!B2041</f>
        <v/>
      </c>
      <c r="C1970" s="64" t="str">
        <f>Ringkasan!C2041</f>
        <v/>
      </c>
      <c r="D1970" s="64" t="str">
        <f>Ringkasan!D2041</f>
        <v/>
      </c>
      <c r="E1970" s="60" t="str">
        <f>Ringkasan!E2041</f>
        <v/>
      </c>
      <c r="F1970" s="60" t="str">
        <f>Ringkasan!F2041</f>
        <v/>
      </c>
      <c r="G1970" s="60" t="str">
        <f>Ringkasan!G2041</f>
        <v/>
      </c>
      <c r="H1970" s="60" t="str">
        <f>Ringkasan!H2041</f>
        <v/>
      </c>
      <c r="I1970" s="60" t="str">
        <f>Ringkasan!I2041</f>
        <v/>
      </c>
      <c r="J1970" s="60" t="str">
        <f>Ringkasan!J2041</f>
        <v/>
      </c>
      <c r="K1970" s="60" t="str">
        <f>Ringkasan!K2041</f>
        <v/>
      </c>
      <c r="L1970" s="60" t="str">
        <f>Ringkasan!L2041</f>
        <v/>
      </c>
      <c r="M1970" s="60" t="str">
        <f>Ringkasan!M2041</f>
        <v/>
      </c>
      <c r="N1970" s="60" t="str">
        <f>Ringkasan!N2041</f>
        <v/>
      </c>
      <c r="O1970" s="60" t="str">
        <f>Ringkasan!O2041</f>
        <v/>
      </c>
      <c r="P1970" s="60" t="str">
        <f>Ringkasan!P2041</f>
        <v/>
      </c>
      <c r="Q1970" s="60" t="str">
        <f>Ringkasan!Q2041</f>
        <v/>
      </c>
      <c r="R1970" s="60" t="str">
        <f>Ringkasan!R2041</f>
        <v/>
      </c>
      <c r="S1970" s="60" t="str">
        <f>Ringkasan!S2041</f>
        <v/>
      </c>
      <c r="T1970" s="60" t="str">
        <f>Ringkasan!T2041</f>
        <v/>
      </c>
      <c r="U1970" s="64" t="str">
        <f>Ringkasan!U2041</f>
        <v/>
      </c>
      <c r="V1970" s="64" t="str">
        <f>Ringkasan!V2041</f>
        <v/>
      </c>
      <c r="W1970" s="64" t="str">
        <f>Ringkasan!W2041</f>
        <v/>
      </c>
      <c r="X1970" s="64" t="str">
        <f>Ringkasan!X2041</f>
        <v/>
      </c>
      <c r="Y1970" s="64" t="str">
        <f>Ringkasan!Y2041</f>
        <v/>
      </c>
      <c r="Z1970" s="64" t="str">
        <f>Ringkasan!Z2041</f>
        <v/>
      </c>
      <c r="AA1970" s="64" t="str">
        <f>Ringkasan!AA2041</f>
        <v/>
      </c>
      <c r="AB1970" s="64" t="str">
        <f>Ringkasan!AB2041</f>
        <v/>
      </c>
    </row>
    <row r="1971">
      <c r="A1971" s="60" t="str">
        <f>Ringkasan!A2042</f>
        <v/>
      </c>
      <c r="B1971" s="60" t="str">
        <f>Ringkasan!B2042</f>
        <v/>
      </c>
      <c r="C1971" s="64" t="str">
        <f>Ringkasan!C2042</f>
        <v/>
      </c>
      <c r="D1971" s="64" t="str">
        <f>Ringkasan!D2042</f>
        <v/>
      </c>
      <c r="E1971" s="60" t="str">
        <f>Ringkasan!E2042</f>
        <v/>
      </c>
      <c r="F1971" s="60" t="str">
        <f>Ringkasan!F2042</f>
        <v/>
      </c>
      <c r="G1971" s="60" t="str">
        <f>Ringkasan!G2042</f>
        <v/>
      </c>
      <c r="H1971" s="60" t="str">
        <f>Ringkasan!H2042</f>
        <v/>
      </c>
      <c r="I1971" s="60" t="str">
        <f>Ringkasan!I2042</f>
        <v/>
      </c>
      <c r="J1971" s="60" t="str">
        <f>Ringkasan!J2042</f>
        <v/>
      </c>
      <c r="K1971" s="60" t="str">
        <f>Ringkasan!K2042</f>
        <v/>
      </c>
      <c r="L1971" s="60" t="str">
        <f>Ringkasan!L2042</f>
        <v/>
      </c>
      <c r="M1971" s="60" t="str">
        <f>Ringkasan!M2042</f>
        <v/>
      </c>
      <c r="N1971" s="60" t="str">
        <f>Ringkasan!N2042</f>
        <v/>
      </c>
      <c r="O1971" s="60" t="str">
        <f>Ringkasan!O2042</f>
        <v/>
      </c>
      <c r="P1971" s="60" t="str">
        <f>Ringkasan!P2042</f>
        <v/>
      </c>
      <c r="Q1971" s="60" t="str">
        <f>Ringkasan!Q2042</f>
        <v/>
      </c>
      <c r="R1971" s="60" t="str">
        <f>Ringkasan!R2042</f>
        <v/>
      </c>
      <c r="S1971" s="60" t="str">
        <f>Ringkasan!S2042</f>
        <v/>
      </c>
      <c r="T1971" s="60" t="str">
        <f>Ringkasan!T2042</f>
        <v/>
      </c>
      <c r="U1971" s="64" t="str">
        <f>Ringkasan!U2042</f>
        <v/>
      </c>
      <c r="V1971" s="64" t="str">
        <f>Ringkasan!V2042</f>
        <v/>
      </c>
      <c r="W1971" s="64" t="str">
        <f>Ringkasan!W2042</f>
        <v/>
      </c>
      <c r="X1971" s="64" t="str">
        <f>Ringkasan!X2042</f>
        <v/>
      </c>
      <c r="Y1971" s="64" t="str">
        <f>Ringkasan!Y2042</f>
        <v/>
      </c>
      <c r="Z1971" s="64" t="str">
        <f>Ringkasan!Z2042</f>
        <v/>
      </c>
      <c r="AA1971" s="64" t="str">
        <f>Ringkasan!AA2042</f>
        <v/>
      </c>
      <c r="AB1971" s="64" t="str">
        <f>Ringkasan!AB2042</f>
        <v/>
      </c>
    </row>
    <row r="1972">
      <c r="A1972" s="60" t="str">
        <f>Ringkasan!A2043</f>
        <v/>
      </c>
      <c r="B1972" s="60" t="str">
        <f>Ringkasan!B2043</f>
        <v/>
      </c>
      <c r="C1972" s="64" t="str">
        <f>Ringkasan!C2043</f>
        <v/>
      </c>
      <c r="D1972" s="64" t="str">
        <f>Ringkasan!D2043</f>
        <v/>
      </c>
      <c r="E1972" s="60" t="str">
        <f>Ringkasan!E2043</f>
        <v/>
      </c>
      <c r="F1972" s="60" t="str">
        <f>Ringkasan!F2043</f>
        <v/>
      </c>
      <c r="G1972" s="60" t="str">
        <f>Ringkasan!G2043</f>
        <v/>
      </c>
      <c r="H1972" s="60" t="str">
        <f>Ringkasan!H2043</f>
        <v/>
      </c>
      <c r="I1972" s="60" t="str">
        <f>Ringkasan!I2043</f>
        <v/>
      </c>
      <c r="J1972" s="60" t="str">
        <f>Ringkasan!J2043</f>
        <v/>
      </c>
      <c r="K1972" s="60" t="str">
        <f>Ringkasan!K2043</f>
        <v/>
      </c>
      <c r="L1972" s="60" t="str">
        <f>Ringkasan!L2043</f>
        <v/>
      </c>
      <c r="M1972" s="60" t="str">
        <f>Ringkasan!M2043</f>
        <v/>
      </c>
      <c r="N1972" s="60" t="str">
        <f>Ringkasan!N2043</f>
        <v/>
      </c>
      <c r="O1972" s="60" t="str">
        <f>Ringkasan!O2043</f>
        <v/>
      </c>
      <c r="P1972" s="60" t="str">
        <f>Ringkasan!P2043</f>
        <v/>
      </c>
      <c r="Q1972" s="60" t="str">
        <f>Ringkasan!Q2043</f>
        <v/>
      </c>
      <c r="R1972" s="60" t="str">
        <f>Ringkasan!R2043</f>
        <v/>
      </c>
      <c r="S1972" s="60" t="str">
        <f>Ringkasan!S2043</f>
        <v/>
      </c>
      <c r="T1972" s="60" t="str">
        <f>Ringkasan!T2043</f>
        <v/>
      </c>
      <c r="U1972" s="64" t="str">
        <f>Ringkasan!U2043</f>
        <v/>
      </c>
      <c r="V1972" s="64" t="str">
        <f>Ringkasan!V2043</f>
        <v/>
      </c>
      <c r="W1972" s="64" t="str">
        <f>Ringkasan!W2043</f>
        <v/>
      </c>
      <c r="X1972" s="64" t="str">
        <f>Ringkasan!X2043</f>
        <v/>
      </c>
      <c r="Y1972" s="64" t="str">
        <f>Ringkasan!Y2043</f>
        <v/>
      </c>
      <c r="Z1972" s="64" t="str">
        <f>Ringkasan!Z2043</f>
        <v/>
      </c>
      <c r="AA1972" s="64" t="str">
        <f>Ringkasan!AA2043</f>
        <v/>
      </c>
      <c r="AB1972" s="64" t="str">
        <f>Ringkasan!AB2043</f>
        <v/>
      </c>
    </row>
    <row r="1973">
      <c r="A1973" s="60" t="str">
        <f>Ringkasan!A2044</f>
        <v/>
      </c>
      <c r="B1973" s="60" t="str">
        <f>Ringkasan!B2044</f>
        <v/>
      </c>
      <c r="C1973" s="64" t="str">
        <f>Ringkasan!C2044</f>
        <v/>
      </c>
      <c r="D1973" s="64" t="str">
        <f>Ringkasan!D2044</f>
        <v/>
      </c>
      <c r="E1973" s="60" t="str">
        <f>Ringkasan!E2044</f>
        <v/>
      </c>
      <c r="F1973" s="60" t="str">
        <f>Ringkasan!F2044</f>
        <v/>
      </c>
      <c r="G1973" s="60" t="str">
        <f>Ringkasan!G2044</f>
        <v/>
      </c>
      <c r="H1973" s="60" t="str">
        <f>Ringkasan!H2044</f>
        <v/>
      </c>
      <c r="I1973" s="60" t="str">
        <f>Ringkasan!I2044</f>
        <v/>
      </c>
      <c r="J1973" s="60" t="str">
        <f>Ringkasan!J2044</f>
        <v/>
      </c>
      <c r="K1973" s="60" t="str">
        <f>Ringkasan!K2044</f>
        <v/>
      </c>
      <c r="L1973" s="60" t="str">
        <f>Ringkasan!L2044</f>
        <v/>
      </c>
      <c r="M1973" s="60" t="str">
        <f>Ringkasan!M2044</f>
        <v/>
      </c>
      <c r="N1973" s="60" t="str">
        <f>Ringkasan!N2044</f>
        <v/>
      </c>
      <c r="O1973" s="60" t="str">
        <f>Ringkasan!O2044</f>
        <v/>
      </c>
      <c r="P1973" s="60" t="str">
        <f>Ringkasan!P2044</f>
        <v/>
      </c>
      <c r="Q1973" s="60" t="str">
        <f>Ringkasan!Q2044</f>
        <v/>
      </c>
      <c r="R1973" s="60" t="str">
        <f>Ringkasan!R2044</f>
        <v/>
      </c>
      <c r="S1973" s="60" t="str">
        <f>Ringkasan!S2044</f>
        <v/>
      </c>
      <c r="T1973" s="60" t="str">
        <f>Ringkasan!T2044</f>
        <v/>
      </c>
      <c r="U1973" s="64" t="str">
        <f>Ringkasan!U2044</f>
        <v/>
      </c>
      <c r="V1973" s="64" t="str">
        <f>Ringkasan!V2044</f>
        <v/>
      </c>
      <c r="W1973" s="64" t="str">
        <f>Ringkasan!W2044</f>
        <v/>
      </c>
      <c r="X1973" s="64" t="str">
        <f>Ringkasan!X2044</f>
        <v/>
      </c>
      <c r="Y1973" s="64" t="str">
        <f>Ringkasan!Y2044</f>
        <v/>
      </c>
      <c r="Z1973" s="64" t="str">
        <f>Ringkasan!Z2044</f>
        <v/>
      </c>
      <c r="AA1973" s="64" t="str">
        <f>Ringkasan!AA2044</f>
        <v/>
      </c>
      <c r="AB1973" s="64" t="str">
        <f>Ringkasan!AB2044</f>
        <v/>
      </c>
    </row>
    <row r="1974">
      <c r="A1974" s="60" t="str">
        <f>Ringkasan!A2045</f>
        <v/>
      </c>
      <c r="B1974" s="60" t="str">
        <f>Ringkasan!B2045</f>
        <v/>
      </c>
      <c r="C1974" s="64" t="str">
        <f>Ringkasan!C2045</f>
        <v/>
      </c>
      <c r="D1974" s="64" t="str">
        <f>Ringkasan!D2045</f>
        <v/>
      </c>
      <c r="E1974" s="60" t="str">
        <f>Ringkasan!E2045</f>
        <v/>
      </c>
      <c r="F1974" s="60" t="str">
        <f>Ringkasan!F2045</f>
        <v/>
      </c>
      <c r="G1974" s="60" t="str">
        <f>Ringkasan!G2045</f>
        <v/>
      </c>
      <c r="H1974" s="60" t="str">
        <f>Ringkasan!H2045</f>
        <v/>
      </c>
      <c r="I1974" s="60" t="str">
        <f>Ringkasan!I2045</f>
        <v/>
      </c>
      <c r="J1974" s="60" t="str">
        <f>Ringkasan!J2045</f>
        <v/>
      </c>
      <c r="K1974" s="60" t="str">
        <f>Ringkasan!K2045</f>
        <v/>
      </c>
      <c r="L1974" s="60" t="str">
        <f>Ringkasan!L2045</f>
        <v/>
      </c>
      <c r="M1974" s="60" t="str">
        <f>Ringkasan!M2045</f>
        <v/>
      </c>
      <c r="N1974" s="60" t="str">
        <f>Ringkasan!N2045</f>
        <v/>
      </c>
      <c r="O1974" s="60" t="str">
        <f>Ringkasan!O2045</f>
        <v/>
      </c>
      <c r="P1974" s="60" t="str">
        <f>Ringkasan!P2045</f>
        <v/>
      </c>
      <c r="Q1974" s="60" t="str">
        <f>Ringkasan!Q2045</f>
        <v/>
      </c>
      <c r="R1974" s="60" t="str">
        <f>Ringkasan!R2045</f>
        <v/>
      </c>
      <c r="S1974" s="60" t="str">
        <f>Ringkasan!S2045</f>
        <v/>
      </c>
      <c r="T1974" s="60" t="str">
        <f>Ringkasan!T2045</f>
        <v/>
      </c>
      <c r="U1974" s="64" t="str">
        <f>Ringkasan!U2045</f>
        <v/>
      </c>
      <c r="V1974" s="64" t="str">
        <f>Ringkasan!V2045</f>
        <v/>
      </c>
      <c r="W1974" s="64" t="str">
        <f>Ringkasan!W2045</f>
        <v/>
      </c>
      <c r="X1974" s="64" t="str">
        <f>Ringkasan!X2045</f>
        <v/>
      </c>
      <c r="Y1974" s="64" t="str">
        <f>Ringkasan!Y2045</f>
        <v/>
      </c>
      <c r="Z1974" s="64" t="str">
        <f>Ringkasan!Z2045</f>
        <v/>
      </c>
      <c r="AA1974" s="64" t="str">
        <f>Ringkasan!AA2045</f>
        <v/>
      </c>
      <c r="AB1974" s="64" t="str">
        <f>Ringkasan!AB2045</f>
        <v/>
      </c>
    </row>
    <row r="1975">
      <c r="A1975" s="60" t="str">
        <f>Ringkasan!A2046</f>
        <v/>
      </c>
      <c r="B1975" s="60" t="str">
        <f>Ringkasan!B2046</f>
        <v/>
      </c>
      <c r="C1975" s="64" t="str">
        <f>Ringkasan!C2046</f>
        <v/>
      </c>
      <c r="D1975" s="64" t="str">
        <f>Ringkasan!D2046</f>
        <v/>
      </c>
      <c r="E1975" s="60" t="str">
        <f>Ringkasan!E2046</f>
        <v/>
      </c>
      <c r="F1975" s="60" t="str">
        <f>Ringkasan!F2046</f>
        <v/>
      </c>
      <c r="G1975" s="60" t="str">
        <f>Ringkasan!G2046</f>
        <v/>
      </c>
      <c r="H1975" s="60" t="str">
        <f>Ringkasan!H2046</f>
        <v/>
      </c>
      <c r="I1975" s="60" t="str">
        <f>Ringkasan!I2046</f>
        <v/>
      </c>
      <c r="J1975" s="60" t="str">
        <f>Ringkasan!J2046</f>
        <v/>
      </c>
      <c r="K1975" s="60" t="str">
        <f>Ringkasan!K2046</f>
        <v/>
      </c>
      <c r="L1975" s="60" t="str">
        <f>Ringkasan!L2046</f>
        <v/>
      </c>
      <c r="M1975" s="60" t="str">
        <f>Ringkasan!M2046</f>
        <v/>
      </c>
      <c r="N1975" s="60" t="str">
        <f>Ringkasan!N2046</f>
        <v/>
      </c>
      <c r="O1975" s="60" t="str">
        <f>Ringkasan!O2046</f>
        <v/>
      </c>
      <c r="P1975" s="60" t="str">
        <f>Ringkasan!P2046</f>
        <v/>
      </c>
      <c r="Q1975" s="60" t="str">
        <f>Ringkasan!Q2046</f>
        <v/>
      </c>
      <c r="R1975" s="60" t="str">
        <f>Ringkasan!R2046</f>
        <v/>
      </c>
      <c r="S1975" s="60" t="str">
        <f>Ringkasan!S2046</f>
        <v/>
      </c>
      <c r="T1975" s="60" t="str">
        <f>Ringkasan!T2046</f>
        <v/>
      </c>
      <c r="U1975" s="64" t="str">
        <f>Ringkasan!U2046</f>
        <v/>
      </c>
      <c r="V1975" s="64" t="str">
        <f>Ringkasan!V2046</f>
        <v/>
      </c>
      <c r="W1975" s="64" t="str">
        <f>Ringkasan!W2046</f>
        <v/>
      </c>
      <c r="X1975" s="64" t="str">
        <f>Ringkasan!X2046</f>
        <v/>
      </c>
      <c r="Y1975" s="64" t="str">
        <f>Ringkasan!Y2046</f>
        <v/>
      </c>
      <c r="Z1975" s="64" t="str">
        <f>Ringkasan!Z2046</f>
        <v/>
      </c>
      <c r="AA1975" s="64" t="str">
        <f>Ringkasan!AA2046</f>
        <v/>
      </c>
      <c r="AB1975" s="64" t="str">
        <f>Ringkasan!AB2046</f>
        <v/>
      </c>
    </row>
    <row r="1976">
      <c r="A1976" s="60" t="str">
        <f>Ringkasan!A2047</f>
        <v/>
      </c>
      <c r="B1976" s="60" t="str">
        <f>Ringkasan!B2047</f>
        <v/>
      </c>
      <c r="C1976" s="64" t="str">
        <f>Ringkasan!C2047</f>
        <v/>
      </c>
      <c r="D1976" s="64" t="str">
        <f>Ringkasan!D2047</f>
        <v/>
      </c>
      <c r="E1976" s="60" t="str">
        <f>Ringkasan!E2047</f>
        <v/>
      </c>
      <c r="F1976" s="60" t="str">
        <f>Ringkasan!F2047</f>
        <v/>
      </c>
      <c r="G1976" s="60" t="str">
        <f>Ringkasan!G2047</f>
        <v/>
      </c>
      <c r="H1976" s="60" t="str">
        <f>Ringkasan!H2047</f>
        <v/>
      </c>
      <c r="I1976" s="60" t="str">
        <f>Ringkasan!I2047</f>
        <v/>
      </c>
      <c r="J1976" s="60" t="str">
        <f>Ringkasan!J2047</f>
        <v/>
      </c>
      <c r="K1976" s="60" t="str">
        <f>Ringkasan!K2047</f>
        <v/>
      </c>
      <c r="L1976" s="60" t="str">
        <f>Ringkasan!L2047</f>
        <v/>
      </c>
      <c r="M1976" s="60" t="str">
        <f>Ringkasan!M2047</f>
        <v/>
      </c>
      <c r="N1976" s="60" t="str">
        <f>Ringkasan!N2047</f>
        <v/>
      </c>
      <c r="O1976" s="60" t="str">
        <f>Ringkasan!O2047</f>
        <v/>
      </c>
      <c r="P1976" s="60" t="str">
        <f>Ringkasan!P2047</f>
        <v/>
      </c>
      <c r="Q1976" s="60" t="str">
        <f>Ringkasan!Q2047</f>
        <v/>
      </c>
      <c r="R1976" s="60" t="str">
        <f>Ringkasan!R2047</f>
        <v/>
      </c>
      <c r="S1976" s="60" t="str">
        <f>Ringkasan!S2047</f>
        <v/>
      </c>
      <c r="T1976" s="60" t="str">
        <f>Ringkasan!T2047</f>
        <v/>
      </c>
      <c r="U1976" s="64" t="str">
        <f>Ringkasan!U2047</f>
        <v/>
      </c>
      <c r="V1976" s="64" t="str">
        <f>Ringkasan!V2047</f>
        <v/>
      </c>
      <c r="W1976" s="64" t="str">
        <f>Ringkasan!W2047</f>
        <v/>
      </c>
      <c r="X1976" s="64" t="str">
        <f>Ringkasan!X2047</f>
        <v/>
      </c>
      <c r="Y1976" s="64" t="str">
        <f>Ringkasan!Y2047</f>
        <v/>
      </c>
      <c r="Z1976" s="64" t="str">
        <f>Ringkasan!Z2047</f>
        <v/>
      </c>
      <c r="AA1976" s="64" t="str">
        <f>Ringkasan!AA2047</f>
        <v/>
      </c>
      <c r="AB1976" s="64" t="str">
        <f>Ringkasan!AB2047</f>
        <v/>
      </c>
    </row>
    <row r="1977">
      <c r="A1977" s="60" t="str">
        <f>Ringkasan!A2048</f>
        <v/>
      </c>
      <c r="B1977" s="60" t="str">
        <f>Ringkasan!B2048</f>
        <v/>
      </c>
      <c r="C1977" s="64" t="str">
        <f>Ringkasan!C2048</f>
        <v/>
      </c>
      <c r="D1977" s="64" t="str">
        <f>Ringkasan!D2048</f>
        <v/>
      </c>
      <c r="E1977" s="60" t="str">
        <f>Ringkasan!E2048</f>
        <v/>
      </c>
      <c r="F1977" s="60" t="str">
        <f>Ringkasan!F2048</f>
        <v/>
      </c>
      <c r="G1977" s="60" t="str">
        <f>Ringkasan!G2048</f>
        <v/>
      </c>
      <c r="H1977" s="60" t="str">
        <f>Ringkasan!H2048</f>
        <v/>
      </c>
      <c r="I1977" s="60" t="str">
        <f>Ringkasan!I2048</f>
        <v/>
      </c>
      <c r="J1977" s="60" t="str">
        <f>Ringkasan!J2048</f>
        <v/>
      </c>
      <c r="K1977" s="60" t="str">
        <f>Ringkasan!K2048</f>
        <v/>
      </c>
      <c r="L1977" s="60" t="str">
        <f>Ringkasan!L2048</f>
        <v/>
      </c>
      <c r="M1977" s="60" t="str">
        <f>Ringkasan!M2048</f>
        <v/>
      </c>
      <c r="N1977" s="60" t="str">
        <f>Ringkasan!N2048</f>
        <v/>
      </c>
      <c r="O1977" s="60" t="str">
        <f>Ringkasan!O2048</f>
        <v/>
      </c>
      <c r="P1977" s="60" t="str">
        <f>Ringkasan!P2048</f>
        <v/>
      </c>
      <c r="Q1977" s="60" t="str">
        <f>Ringkasan!Q2048</f>
        <v/>
      </c>
      <c r="R1977" s="60" t="str">
        <f>Ringkasan!R2048</f>
        <v/>
      </c>
      <c r="S1977" s="60" t="str">
        <f>Ringkasan!S2048</f>
        <v/>
      </c>
      <c r="T1977" s="60" t="str">
        <f>Ringkasan!T2048</f>
        <v/>
      </c>
      <c r="U1977" s="64" t="str">
        <f>Ringkasan!U2048</f>
        <v/>
      </c>
      <c r="V1977" s="64" t="str">
        <f>Ringkasan!V2048</f>
        <v/>
      </c>
      <c r="W1977" s="64" t="str">
        <f>Ringkasan!W2048</f>
        <v/>
      </c>
      <c r="X1977" s="64" t="str">
        <f>Ringkasan!X2048</f>
        <v/>
      </c>
      <c r="Y1977" s="64" t="str">
        <f>Ringkasan!Y2048</f>
        <v/>
      </c>
      <c r="Z1977" s="64" t="str">
        <f>Ringkasan!Z2048</f>
        <v/>
      </c>
      <c r="AA1977" s="64" t="str">
        <f>Ringkasan!AA2048</f>
        <v/>
      </c>
      <c r="AB1977" s="64" t="str">
        <f>Ringkasan!AB2048</f>
        <v/>
      </c>
    </row>
    <row r="1978">
      <c r="A1978" s="60" t="str">
        <f>Ringkasan!A2049</f>
        <v/>
      </c>
      <c r="B1978" s="60" t="str">
        <f>Ringkasan!B2049</f>
        <v/>
      </c>
      <c r="C1978" s="64" t="str">
        <f>Ringkasan!C2049</f>
        <v/>
      </c>
      <c r="D1978" s="64" t="str">
        <f>Ringkasan!D2049</f>
        <v/>
      </c>
      <c r="E1978" s="60" t="str">
        <f>Ringkasan!E2049</f>
        <v/>
      </c>
      <c r="F1978" s="60" t="str">
        <f>Ringkasan!F2049</f>
        <v/>
      </c>
      <c r="G1978" s="60" t="str">
        <f>Ringkasan!G2049</f>
        <v/>
      </c>
      <c r="H1978" s="60" t="str">
        <f>Ringkasan!H2049</f>
        <v/>
      </c>
      <c r="I1978" s="60" t="str">
        <f>Ringkasan!I2049</f>
        <v/>
      </c>
      <c r="J1978" s="60" t="str">
        <f>Ringkasan!J2049</f>
        <v/>
      </c>
      <c r="K1978" s="60" t="str">
        <f>Ringkasan!K2049</f>
        <v/>
      </c>
      <c r="L1978" s="60" t="str">
        <f>Ringkasan!L2049</f>
        <v/>
      </c>
      <c r="M1978" s="60" t="str">
        <f>Ringkasan!M2049</f>
        <v/>
      </c>
      <c r="N1978" s="60" t="str">
        <f>Ringkasan!N2049</f>
        <v/>
      </c>
      <c r="O1978" s="60" t="str">
        <f>Ringkasan!O2049</f>
        <v/>
      </c>
      <c r="P1978" s="60" t="str">
        <f>Ringkasan!P2049</f>
        <v/>
      </c>
      <c r="Q1978" s="60" t="str">
        <f>Ringkasan!Q2049</f>
        <v/>
      </c>
      <c r="R1978" s="60" t="str">
        <f>Ringkasan!R2049</f>
        <v/>
      </c>
      <c r="S1978" s="60" t="str">
        <f>Ringkasan!S2049</f>
        <v/>
      </c>
      <c r="T1978" s="60" t="str">
        <f>Ringkasan!T2049</f>
        <v/>
      </c>
      <c r="U1978" s="64" t="str">
        <f>Ringkasan!U2049</f>
        <v/>
      </c>
      <c r="V1978" s="64" t="str">
        <f>Ringkasan!V2049</f>
        <v/>
      </c>
      <c r="W1978" s="64" t="str">
        <f>Ringkasan!W2049</f>
        <v/>
      </c>
      <c r="X1978" s="64" t="str">
        <f>Ringkasan!X2049</f>
        <v/>
      </c>
      <c r="Y1978" s="64" t="str">
        <f>Ringkasan!Y2049</f>
        <v/>
      </c>
      <c r="Z1978" s="64" t="str">
        <f>Ringkasan!Z2049</f>
        <v/>
      </c>
      <c r="AA1978" s="64" t="str">
        <f>Ringkasan!AA2049</f>
        <v/>
      </c>
      <c r="AB1978" s="64" t="str">
        <f>Ringkasan!AB2049</f>
        <v/>
      </c>
    </row>
    <row r="1979">
      <c r="A1979" s="60" t="str">
        <f>Ringkasan!A2050</f>
        <v/>
      </c>
      <c r="B1979" s="60" t="str">
        <f>Ringkasan!B2050</f>
        <v/>
      </c>
      <c r="C1979" s="64" t="str">
        <f>Ringkasan!C2050</f>
        <v/>
      </c>
      <c r="D1979" s="64" t="str">
        <f>Ringkasan!D2050</f>
        <v/>
      </c>
      <c r="E1979" s="60" t="str">
        <f>Ringkasan!E2050</f>
        <v/>
      </c>
      <c r="F1979" s="60" t="str">
        <f>Ringkasan!F2050</f>
        <v/>
      </c>
      <c r="G1979" s="60" t="str">
        <f>Ringkasan!G2050</f>
        <v/>
      </c>
      <c r="H1979" s="60" t="str">
        <f>Ringkasan!H2050</f>
        <v/>
      </c>
      <c r="I1979" s="60" t="str">
        <f>Ringkasan!I2050</f>
        <v/>
      </c>
      <c r="J1979" s="60" t="str">
        <f>Ringkasan!J2050</f>
        <v/>
      </c>
      <c r="K1979" s="60" t="str">
        <f>Ringkasan!K2050</f>
        <v/>
      </c>
      <c r="L1979" s="60" t="str">
        <f>Ringkasan!L2050</f>
        <v/>
      </c>
      <c r="M1979" s="60" t="str">
        <f>Ringkasan!M2050</f>
        <v/>
      </c>
      <c r="N1979" s="60" t="str">
        <f>Ringkasan!N2050</f>
        <v/>
      </c>
      <c r="O1979" s="60" t="str">
        <f>Ringkasan!O2050</f>
        <v/>
      </c>
      <c r="P1979" s="60" t="str">
        <f>Ringkasan!P2050</f>
        <v/>
      </c>
      <c r="Q1979" s="60" t="str">
        <f>Ringkasan!Q2050</f>
        <v/>
      </c>
      <c r="R1979" s="60" t="str">
        <f>Ringkasan!R2050</f>
        <v/>
      </c>
      <c r="S1979" s="60" t="str">
        <f>Ringkasan!S2050</f>
        <v/>
      </c>
      <c r="T1979" s="60" t="str">
        <f>Ringkasan!T2050</f>
        <v/>
      </c>
      <c r="U1979" s="64" t="str">
        <f>Ringkasan!U2050</f>
        <v/>
      </c>
      <c r="V1979" s="64" t="str">
        <f>Ringkasan!V2050</f>
        <v/>
      </c>
      <c r="W1979" s="64" t="str">
        <f>Ringkasan!W2050</f>
        <v/>
      </c>
      <c r="X1979" s="64" t="str">
        <f>Ringkasan!X2050</f>
        <v/>
      </c>
      <c r="Y1979" s="64" t="str">
        <f>Ringkasan!Y2050</f>
        <v/>
      </c>
      <c r="Z1979" s="64" t="str">
        <f>Ringkasan!Z2050</f>
        <v/>
      </c>
      <c r="AA1979" s="64" t="str">
        <f>Ringkasan!AA2050</f>
        <v/>
      </c>
      <c r="AB1979" s="64" t="str">
        <f>Ringkasan!AB2050</f>
        <v/>
      </c>
    </row>
    <row r="1980">
      <c r="A1980" s="60" t="str">
        <f>Ringkasan!A2051</f>
        <v/>
      </c>
      <c r="B1980" s="60" t="str">
        <f>Ringkasan!B2051</f>
        <v/>
      </c>
      <c r="C1980" s="64" t="str">
        <f>Ringkasan!C2051</f>
        <v/>
      </c>
      <c r="D1980" s="64" t="str">
        <f>Ringkasan!D2051</f>
        <v/>
      </c>
      <c r="E1980" s="60" t="str">
        <f>Ringkasan!E2051</f>
        <v/>
      </c>
      <c r="F1980" s="60" t="str">
        <f>Ringkasan!F2051</f>
        <v/>
      </c>
      <c r="G1980" s="60" t="str">
        <f>Ringkasan!G2051</f>
        <v/>
      </c>
      <c r="H1980" s="60" t="str">
        <f>Ringkasan!H2051</f>
        <v/>
      </c>
      <c r="I1980" s="60" t="str">
        <f>Ringkasan!I2051</f>
        <v/>
      </c>
      <c r="J1980" s="60" t="str">
        <f>Ringkasan!J2051</f>
        <v/>
      </c>
      <c r="K1980" s="60" t="str">
        <f>Ringkasan!K2051</f>
        <v/>
      </c>
      <c r="L1980" s="60" t="str">
        <f>Ringkasan!L2051</f>
        <v/>
      </c>
      <c r="M1980" s="60" t="str">
        <f>Ringkasan!M2051</f>
        <v/>
      </c>
      <c r="N1980" s="60" t="str">
        <f>Ringkasan!N2051</f>
        <v/>
      </c>
      <c r="O1980" s="60" t="str">
        <f>Ringkasan!O2051</f>
        <v/>
      </c>
      <c r="P1980" s="60" t="str">
        <f>Ringkasan!P2051</f>
        <v/>
      </c>
      <c r="Q1980" s="60" t="str">
        <f>Ringkasan!Q2051</f>
        <v/>
      </c>
      <c r="R1980" s="60" t="str">
        <f>Ringkasan!R2051</f>
        <v/>
      </c>
      <c r="S1980" s="60" t="str">
        <f>Ringkasan!S2051</f>
        <v/>
      </c>
      <c r="T1980" s="60" t="str">
        <f>Ringkasan!T2051</f>
        <v/>
      </c>
      <c r="U1980" s="64" t="str">
        <f>Ringkasan!U2051</f>
        <v/>
      </c>
      <c r="V1980" s="64" t="str">
        <f>Ringkasan!V2051</f>
        <v/>
      </c>
      <c r="W1980" s="64" t="str">
        <f>Ringkasan!W2051</f>
        <v/>
      </c>
      <c r="X1980" s="64" t="str">
        <f>Ringkasan!X2051</f>
        <v/>
      </c>
      <c r="Y1980" s="64" t="str">
        <f>Ringkasan!Y2051</f>
        <v/>
      </c>
      <c r="Z1980" s="64" t="str">
        <f>Ringkasan!Z2051</f>
        <v/>
      </c>
      <c r="AA1980" s="64" t="str">
        <f>Ringkasan!AA2051</f>
        <v/>
      </c>
      <c r="AB1980" s="64" t="str">
        <f>Ringkasan!AB2051</f>
        <v/>
      </c>
    </row>
    <row r="1981">
      <c r="A1981" s="60" t="str">
        <f>Ringkasan!A2052</f>
        <v/>
      </c>
      <c r="B1981" s="60" t="str">
        <f>Ringkasan!B2052</f>
        <v/>
      </c>
      <c r="C1981" s="64" t="str">
        <f>Ringkasan!C2052</f>
        <v/>
      </c>
      <c r="D1981" s="64" t="str">
        <f>Ringkasan!D2052</f>
        <v/>
      </c>
      <c r="E1981" s="60" t="str">
        <f>Ringkasan!E2052</f>
        <v/>
      </c>
      <c r="F1981" s="60" t="str">
        <f>Ringkasan!F2052</f>
        <v/>
      </c>
      <c r="G1981" s="60" t="str">
        <f>Ringkasan!G2052</f>
        <v/>
      </c>
      <c r="H1981" s="60" t="str">
        <f>Ringkasan!H2052</f>
        <v/>
      </c>
      <c r="I1981" s="60" t="str">
        <f>Ringkasan!I2052</f>
        <v/>
      </c>
      <c r="J1981" s="60" t="str">
        <f>Ringkasan!J2052</f>
        <v/>
      </c>
      <c r="K1981" s="60" t="str">
        <f>Ringkasan!K2052</f>
        <v/>
      </c>
      <c r="L1981" s="60" t="str">
        <f>Ringkasan!L2052</f>
        <v/>
      </c>
      <c r="M1981" s="60" t="str">
        <f>Ringkasan!M2052</f>
        <v/>
      </c>
      <c r="N1981" s="60" t="str">
        <f>Ringkasan!N2052</f>
        <v/>
      </c>
      <c r="O1981" s="60" t="str">
        <f>Ringkasan!O2052</f>
        <v/>
      </c>
      <c r="P1981" s="60" t="str">
        <f>Ringkasan!P2052</f>
        <v/>
      </c>
      <c r="Q1981" s="60" t="str">
        <f>Ringkasan!Q2052</f>
        <v/>
      </c>
      <c r="R1981" s="60" t="str">
        <f>Ringkasan!R2052</f>
        <v/>
      </c>
      <c r="S1981" s="60" t="str">
        <f>Ringkasan!S2052</f>
        <v/>
      </c>
      <c r="T1981" s="60" t="str">
        <f>Ringkasan!T2052</f>
        <v/>
      </c>
      <c r="U1981" s="64" t="str">
        <f>Ringkasan!U2052</f>
        <v/>
      </c>
      <c r="V1981" s="64" t="str">
        <f>Ringkasan!V2052</f>
        <v/>
      </c>
      <c r="W1981" s="64" t="str">
        <f>Ringkasan!W2052</f>
        <v/>
      </c>
      <c r="X1981" s="64" t="str">
        <f>Ringkasan!X2052</f>
        <v/>
      </c>
      <c r="Y1981" s="64" t="str">
        <f>Ringkasan!Y2052</f>
        <v/>
      </c>
      <c r="Z1981" s="64" t="str">
        <f>Ringkasan!Z2052</f>
        <v/>
      </c>
      <c r="AA1981" s="64" t="str">
        <f>Ringkasan!AA2052</f>
        <v/>
      </c>
      <c r="AB1981" s="64" t="str">
        <f>Ringkasan!AB2052</f>
        <v/>
      </c>
    </row>
    <row r="1982">
      <c r="A1982" s="60" t="str">
        <f>Ringkasan!A2053</f>
        <v/>
      </c>
      <c r="B1982" s="60" t="str">
        <f>Ringkasan!B2053</f>
        <v/>
      </c>
      <c r="C1982" s="64" t="str">
        <f>Ringkasan!C2053</f>
        <v/>
      </c>
      <c r="D1982" s="64" t="str">
        <f>Ringkasan!D2053</f>
        <v/>
      </c>
      <c r="E1982" s="60" t="str">
        <f>Ringkasan!E2053</f>
        <v/>
      </c>
      <c r="F1982" s="60" t="str">
        <f>Ringkasan!F2053</f>
        <v/>
      </c>
      <c r="G1982" s="60" t="str">
        <f>Ringkasan!G2053</f>
        <v/>
      </c>
      <c r="H1982" s="60" t="str">
        <f>Ringkasan!H2053</f>
        <v/>
      </c>
      <c r="I1982" s="60" t="str">
        <f>Ringkasan!I2053</f>
        <v/>
      </c>
      <c r="J1982" s="60" t="str">
        <f>Ringkasan!J2053</f>
        <v/>
      </c>
      <c r="K1982" s="60" t="str">
        <f>Ringkasan!K2053</f>
        <v/>
      </c>
      <c r="L1982" s="60" t="str">
        <f>Ringkasan!L2053</f>
        <v/>
      </c>
      <c r="M1982" s="60" t="str">
        <f>Ringkasan!M2053</f>
        <v/>
      </c>
      <c r="N1982" s="60" t="str">
        <f>Ringkasan!N2053</f>
        <v/>
      </c>
      <c r="O1982" s="60" t="str">
        <f>Ringkasan!O2053</f>
        <v/>
      </c>
      <c r="P1982" s="60" t="str">
        <f>Ringkasan!P2053</f>
        <v/>
      </c>
      <c r="Q1982" s="60" t="str">
        <f>Ringkasan!Q2053</f>
        <v/>
      </c>
      <c r="R1982" s="60" t="str">
        <f>Ringkasan!R2053</f>
        <v/>
      </c>
      <c r="S1982" s="60" t="str">
        <f>Ringkasan!S2053</f>
        <v/>
      </c>
      <c r="T1982" s="60" t="str">
        <f>Ringkasan!T2053</f>
        <v/>
      </c>
      <c r="U1982" s="64" t="str">
        <f>Ringkasan!U2053</f>
        <v/>
      </c>
      <c r="V1982" s="64" t="str">
        <f>Ringkasan!V2053</f>
        <v/>
      </c>
      <c r="W1982" s="64" t="str">
        <f>Ringkasan!W2053</f>
        <v/>
      </c>
      <c r="X1982" s="64" t="str">
        <f>Ringkasan!X2053</f>
        <v/>
      </c>
      <c r="Y1982" s="64" t="str">
        <f>Ringkasan!Y2053</f>
        <v/>
      </c>
      <c r="Z1982" s="64" t="str">
        <f>Ringkasan!Z2053</f>
        <v/>
      </c>
      <c r="AA1982" s="64" t="str">
        <f>Ringkasan!AA2053</f>
        <v/>
      </c>
      <c r="AB1982" s="64" t="str">
        <f>Ringkasan!AB2053</f>
        <v/>
      </c>
    </row>
    <row r="1983">
      <c r="A1983" s="60" t="str">
        <f>Ringkasan!A2054</f>
        <v/>
      </c>
      <c r="B1983" s="60" t="str">
        <f>Ringkasan!B2054</f>
        <v/>
      </c>
      <c r="C1983" s="64" t="str">
        <f>Ringkasan!C2054</f>
        <v/>
      </c>
      <c r="D1983" s="64" t="str">
        <f>Ringkasan!D2054</f>
        <v/>
      </c>
      <c r="E1983" s="60" t="str">
        <f>Ringkasan!E2054</f>
        <v/>
      </c>
      <c r="F1983" s="60" t="str">
        <f>Ringkasan!F2054</f>
        <v/>
      </c>
      <c r="G1983" s="60" t="str">
        <f>Ringkasan!G2054</f>
        <v/>
      </c>
      <c r="H1983" s="60" t="str">
        <f>Ringkasan!H2054</f>
        <v/>
      </c>
      <c r="I1983" s="60" t="str">
        <f>Ringkasan!I2054</f>
        <v/>
      </c>
      <c r="J1983" s="60" t="str">
        <f>Ringkasan!J2054</f>
        <v/>
      </c>
      <c r="K1983" s="60" t="str">
        <f>Ringkasan!K2054</f>
        <v/>
      </c>
      <c r="L1983" s="60" t="str">
        <f>Ringkasan!L2054</f>
        <v/>
      </c>
      <c r="M1983" s="60" t="str">
        <f>Ringkasan!M2054</f>
        <v/>
      </c>
      <c r="N1983" s="60" t="str">
        <f>Ringkasan!N2054</f>
        <v/>
      </c>
      <c r="O1983" s="60" t="str">
        <f>Ringkasan!O2054</f>
        <v/>
      </c>
      <c r="P1983" s="60" t="str">
        <f>Ringkasan!P2054</f>
        <v/>
      </c>
      <c r="Q1983" s="60" t="str">
        <f>Ringkasan!Q2054</f>
        <v/>
      </c>
      <c r="R1983" s="60" t="str">
        <f>Ringkasan!R2054</f>
        <v/>
      </c>
      <c r="S1983" s="60" t="str">
        <f>Ringkasan!S2054</f>
        <v/>
      </c>
      <c r="T1983" s="60" t="str">
        <f>Ringkasan!T2054</f>
        <v/>
      </c>
      <c r="U1983" s="64" t="str">
        <f>Ringkasan!U2054</f>
        <v/>
      </c>
      <c r="V1983" s="64" t="str">
        <f>Ringkasan!V2054</f>
        <v/>
      </c>
      <c r="W1983" s="64" t="str">
        <f>Ringkasan!W2054</f>
        <v/>
      </c>
      <c r="X1983" s="64" t="str">
        <f>Ringkasan!X2054</f>
        <v/>
      </c>
      <c r="Y1983" s="64" t="str">
        <f>Ringkasan!Y2054</f>
        <v/>
      </c>
      <c r="Z1983" s="64" t="str">
        <f>Ringkasan!Z2054</f>
        <v/>
      </c>
      <c r="AA1983" s="64" t="str">
        <f>Ringkasan!AA2054</f>
        <v/>
      </c>
      <c r="AB1983" s="64" t="str">
        <f>Ringkasan!AB2054</f>
        <v/>
      </c>
    </row>
    <row r="1984">
      <c r="A1984" s="60" t="str">
        <f>Ringkasan!A2055</f>
        <v/>
      </c>
      <c r="B1984" s="60" t="str">
        <f>Ringkasan!B2055</f>
        <v/>
      </c>
      <c r="C1984" s="64" t="str">
        <f>Ringkasan!C2055</f>
        <v/>
      </c>
      <c r="D1984" s="64" t="str">
        <f>Ringkasan!D2055</f>
        <v/>
      </c>
      <c r="E1984" s="60" t="str">
        <f>Ringkasan!E2055</f>
        <v/>
      </c>
      <c r="F1984" s="60" t="str">
        <f>Ringkasan!F2055</f>
        <v/>
      </c>
      <c r="G1984" s="60" t="str">
        <f>Ringkasan!G2055</f>
        <v/>
      </c>
      <c r="H1984" s="60" t="str">
        <f>Ringkasan!H2055</f>
        <v/>
      </c>
      <c r="I1984" s="60" t="str">
        <f>Ringkasan!I2055</f>
        <v/>
      </c>
      <c r="J1984" s="60" t="str">
        <f>Ringkasan!J2055</f>
        <v/>
      </c>
      <c r="K1984" s="60" t="str">
        <f>Ringkasan!K2055</f>
        <v/>
      </c>
      <c r="L1984" s="60" t="str">
        <f>Ringkasan!L2055</f>
        <v/>
      </c>
      <c r="M1984" s="60" t="str">
        <f>Ringkasan!M2055</f>
        <v/>
      </c>
      <c r="N1984" s="60" t="str">
        <f>Ringkasan!N2055</f>
        <v/>
      </c>
      <c r="O1984" s="60" t="str">
        <f>Ringkasan!O2055</f>
        <v/>
      </c>
      <c r="P1984" s="60" t="str">
        <f>Ringkasan!P2055</f>
        <v/>
      </c>
      <c r="Q1984" s="60" t="str">
        <f>Ringkasan!Q2055</f>
        <v/>
      </c>
      <c r="R1984" s="60" t="str">
        <f>Ringkasan!R2055</f>
        <v/>
      </c>
      <c r="S1984" s="60" t="str">
        <f>Ringkasan!S2055</f>
        <v/>
      </c>
      <c r="T1984" s="60" t="str">
        <f>Ringkasan!T2055</f>
        <v/>
      </c>
      <c r="U1984" s="64" t="str">
        <f>Ringkasan!U2055</f>
        <v/>
      </c>
      <c r="V1984" s="64" t="str">
        <f>Ringkasan!V2055</f>
        <v/>
      </c>
      <c r="W1984" s="64" t="str">
        <f>Ringkasan!W2055</f>
        <v/>
      </c>
      <c r="X1984" s="64" t="str">
        <f>Ringkasan!X2055</f>
        <v/>
      </c>
      <c r="Y1984" s="64" t="str">
        <f>Ringkasan!Y2055</f>
        <v/>
      </c>
      <c r="Z1984" s="64" t="str">
        <f>Ringkasan!Z2055</f>
        <v/>
      </c>
      <c r="AA1984" s="64" t="str">
        <f>Ringkasan!AA2055</f>
        <v/>
      </c>
      <c r="AB1984" s="64" t="str">
        <f>Ringkasan!AB2055</f>
        <v/>
      </c>
    </row>
    <row r="1985">
      <c r="A1985" s="60" t="str">
        <f>Ringkasan!A2056</f>
        <v/>
      </c>
      <c r="B1985" s="60" t="str">
        <f>Ringkasan!B2056</f>
        <v/>
      </c>
      <c r="C1985" s="64" t="str">
        <f>Ringkasan!C2056</f>
        <v/>
      </c>
      <c r="D1985" s="64" t="str">
        <f>Ringkasan!D2056</f>
        <v/>
      </c>
      <c r="E1985" s="60" t="str">
        <f>Ringkasan!E2056</f>
        <v/>
      </c>
      <c r="F1985" s="60" t="str">
        <f>Ringkasan!F2056</f>
        <v/>
      </c>
      <c r="G1985" s="60" t="str">
        <f>Ringkasan!G2056</f>
        <v/>
      </c>
      <c r="H1985" s="60" t="str">
        <f>Ringkasan!H2056</f>
        <v/>
      </c>
      <c r="I1985" s="60" t="str">
        <f>Ringkasan!I2056</f>
        <v/>
      </c>
      <c r="J1985" s="60" t="str">
        <f>Ringkasan!J2056</f>
        <v/>
      </c>
      <c r="K1985" s="60" t="str">
        <f>Ringkasan!K2056</f>
        <v/>
      </c>
      <c r="L1985" s="60" t="str">
        <f>Ringkasan!L2056</f>
        <v/>
      </c>
      <c r="M1985" s="60" t="str">
        <f>Ringkasan!M2056</f>
        <v/>
      </c>
      <c r="N1985" s="60" t="str">
        <f>Ringkasan!N2056</f>
        <v/>
      </c>
      <c r="O1985" s="60" t="str">
        <f>Ringkasan!O2056</f>
        <v/>
      </c>
      <c r="P1985" s="60" t="str">
        <f>Ringkasan!P2056</f>
        <v/>
      </c>
      <c r="Q1985" s="60" t="str">
        <f>Ringkasan!Q2056</f>
        <v/>
      </c>
      <c r="R1985" s="60" t="str">
        <f>Ringkasan!R2056</f>
        <v/>
      </c>
      <c r="S1985" s="60" t="str">
        <f>Ringkasan!S2056</f>
        <v/>
      </c>
      <c r="T1985" s="60" t="str">
        <f>Ringkasan!T2056</f>
        <v/>
      </c>
      <c r="U1985" s="64" t="str">
        <f>Ringkasan!U2056</f>
        <v/>
      </c>
      <c r="V1985" s="64" t="str">
        <f>Ringkasan!V2056</f>
        <v/>
      </c>
      <c r="W1985" s="64" t="str">
        <f>Ringkasan!W2056</f>
        <v/>
      </c>
      <c r="X1985" s="64" t="str">
        <f>Ringkasan!X2056</f>
        <v/>
      </c>
      <c r="Y1985" s="64" t="str">
        <f>Ringkasan!Y2056</f>
        <v/>
      </c>
      <c r="Z1985" s="64" t="str">
        <f>Ringkasan!Z2056</f>
        <v/>
      </c>
      <c r="AA1985" s="64" t="str">
        <f>Ringkasan!AA2056</f>
        <v/>
      </c>
      <c r="AB1985" s="64" t="str">
        <f>Ringkasan!AB2056</f>
        <v/>
      </c>
    </row>
    <row r="1986">
      <c r="A1986" s="60" t="str">
        <f>Ringkasan!A2057</f>
        <v/>
      </c>
      <c r="B1986" s="60" t="str">
        <f>Ringkasan!B2057</f>
        <v/>
      </c>
      <c r="C1986" s="64" t="str">
        <f>Ringkasan!C2057</f>
        <v/>
      </c>
      <c r="D1986" s="64" t="str">
        <f>Ringkasan!D2057</f>
        <v/>
      </c>
      <c r="E1986" s="60" t="str">
        <f>Ringkasan!E2057</f>
        <v/>
      </c>
      <c r="F1986" s="60" t="str">
        <f>Ringkasan!F2057</f>
        <v/>
      </c>
      <c r="G1986" s="60" t="str">
        <f>Ringkasan!G2057</f>
        <v/>
      </c>
      <c r="H1986" s="60" t="str">
        <f>Ringkasan!H2057</f>
        <v/>
      </c>
      <c r="I1986" s="60" t="str">
        <f>Ringkasan!I2057</f>
        <v/>
      </c>
      <c r="J1986" s="60" t="str">
        <f>Ringkasan!J2057</f>
        <v/>
      </c>
      <c r="K1986" s="60" t="str">
        <f>Ringkasan!K2057</f>
        <v/>
      </c>
      <c r="L1986" s="60" t="str">
        <f>Ringkasan!L2057</f>
        <v/>
      </c>
      <c r="M1986" s="60" t="str">
        <f>Ringkasan!M2057</f>
        <v/>
      </c>
      <c r="N1986" s="60" t="str">
        <f>Ringkasan!N2057</f>
        <v/>
      </c>
      <c r="O1986" s="60" t="str">
        <f>Ringkasan!O2057</f>
        <v/>
      </c>
      <c r="P1986" s="60" t="str">
        <f>Ringkasan!P2057</f>
        <v/>
      </c>
      <c r="Q1986" s="60" t="str">
        <f>Ringkasan!Q2057</f>
        <v/>
      </c>
      <c r="R1986" s="60" t="str">
        <f>Ringkasan!R2057</f>
        <v/>
      </c>
      <c r="S1986" s="60" t="str">
        <f>Ringkasan!S2057</f>
        <v/>
      </c>
      <c r="T1986" s="60" t="str">
        <f>Ringkasan!T2057</f>
        <v/>
      </c>
      <c r="U1986" s="64" t="str">
        <f>Ringkasan!U2057</f>
        <v/>
      </c>
      <c r="V1986" s="64" t="str">
        <f>Ringkasan!V2057</f>
        <v/>
      </c>
      <c r="W1986" s="64" t="str">
        <f>Ringkasan!W2057</f>
        <v/>
      </c>
      <c r="X1986" s="64" t="str">
        <f>Ringkasan!X2057</f>
        <v/>
      </c>
      <c r="Y1986" s="64" t="str">
        <f>Ringkasan!Y2057</f>
        <v/>
      </c>
      <c r="Z1986" s="64" t="str">
        <f>Ringkasan!Z2057</f>
        <v/>
      </c>
      <c r="AA1986" s="64" t="str">
        <f>Ringkasan!AA2057</f>
        <v/>
      </c>
      <c r="AB1986" s="64" t="str">
        <f>Ringkasan!AB2057</f>
        <v/>
      </c>
    </row>
    <row r="1987">
      <c r="A1987" s="60" t="str">
        <f>Ringkasan!A2058</f>
        <v/>
      </c>
      <c r="B1987" s="60" t="str">
        <f>Ringkasan!B2058</f>
        <v/>
      </c>
      <c r="C1987" s="64" t="str">
        <f>Ringkasan!C2058</f>
        <v/>
      </c>
      <c r="D1987" s="64" t="str">
        <f>Ringkasan!D2058</f>
        <v/>
      </c>
      <c r="E1987" s="60" t="str">
        <f>Ringkasan!E2058</f>
        <v/>
      </c>
      <c r="F1987" s="60" t="str">
        <f>Ringkasan!F2058</f>
        <v/>
      </c>
      <c r="G1987" s="60" t="str">
        <f>Ringkasan!G2058</f>
        <v/>
      </c>
      <c r="H1987" s="60" t="str">
        <f>Ringkasan!H2058</f>
        <v/>
      </c>
      <c r="I1987" s="60" t="str">
        <f>Ringkasan!I2058</f>
        <v/>
      </c>
      <c r="J1987" s="60" t="str">
        <f>Ringkasan!J2058</f>
        <v/>
      </c>
      <c r="K1987" s="60" t="str">
        <f>Ringkasan!K2058</f>
        <v/>
      </c>
      <c r="L1987" s="60" t="str">
        <f>Ringkasan!L2058</f>
        <v/>
      </c>
      <c r="M1987" s="60" t="str">
        <f>Ringkasan!M2058</f>
        <v/>
      </c>
      <c r="N1987" s="60" t="str">
        <f>Ringkasan!N2058</f>
        <v/>
      </c>
      <c r="O1987" s="60" t="str">
        <f>Ringkasan!O2058</f>
        <v/>
      </c>
      <c r="P1987" s="60" t="str">
        <f>Ringkasan!P2058</f>
        <v/>
      </c>
      <c r="Q1987" s="60" t="str">
        <f>Ringkasan!Q2058</f>
        <v/>
      </c>
      <c r="R1987" s="60" t="str">
        <f>Ringkasan!R2058</f>
        <v/>
      </c>
      <c r="S1987" s="60" t="str">
        <f>Ringkasan!S2058</f>
        <v/>
      </c>
      <c r="T1987" s="60" t="str">
        <f>Ringkasan!T2058</f>
        <v/>
      </c>
      <c r="U1987" s="64" t="str">
        <f>Ringkasan!U2058</f>
        <v/>
      </c>
      <c r="V1987" s="64" t="str">
        <f>Ringkasan!V2058</f>
        <v/>
      </c>
      <c r="W1987" s="64" t="str">
        <f>Ringkasan!W2058</f>
        <v/>
      </c>
      <c r="X1987" s="64" t="str">
        <f>Ringkasan!X2058</f>
        <v/>
      </c>
      <c r="Y1987" s="64" t="str">
        <f>Ringkasan!Y2058</f>
        <v/>
      </c>
      <c r="Z1987" s="64" t="str">
        <f>Ringkasan!Z2058</f>
        <v/>
      </c>
      <c r="AA1987" s="64" t="str">
        <f>Ringkasan!AA2058</f>
        <v/>
      </c>
      <c r="AB1987" s="64" t="str">
        <f>Ringkasan!AB2058</f>
        <v/>
      </c>
    </row>
    <row r="1988">
      <c r="A1988" s="60" t="str">
        <f>Ringkasan!A2059</f>
        <v/>
      </c>
      <c r="B1988" s="60" t="str">
        <f>Ringkasan!B2059</f>
        <v/>
      </c>
      <c r="C1988" s="64" t="str">
        <f>Ringkasan!C2059</f>
        <v/>
      </c>
      <c r="D1988" s="64" t="str">
        <f>Ringkasan!D2059</f>
        <v/>
      </c>
      <c r="E1988" s="60" t="str">
        <f>Ringkasan!E2059</f>
        <v/>
      </c>
      <c r="F1988" s="60" t="str">
        <f>Ringkasan!F2059</f>
        <v/>
      </c>
      <c r="G1988" s="60" t="str">
        <f>Ringkasan!G2059</f>
        <v/>
      </c>
      <c r="H1988" s="60" t="str">
        <f>Ringkasan!H2059</f>
        <v/>
      </c>
      <c r="I1988" s="60" t="str">
        <f>Ringkasan!I2059</f>
        <v/>
      </c>
      <c r="J1988" s="60" t="str">
        <f>Ringkasan!J2059</f>
        <v/>
      </c>
      <c r="K1988" s="60" t="str">
        <f>Ringkasan!K2059</f>
        <v/>
      </c>
      <c r="L1988" s="60" t="str">
        <f>Ringkasan!L2059</f>
        <v/>
      </c>
      <c r="M1988" s="60" t="str">
        <f>Ringkasan!M2059</f>
        <v/>
      </c>
      <c r="N1988" s="60" t="str">
        <f>Ringkasan!N2059</f>
        <v/>
      </c>
      <c r="O1988" s="60" t="str">
        <f>Ringkasan!O2059</f>
        <v/>
      </c>
      <c r="P1988" s="60" t="str">
        <f>Ringkasan!P2059</f>
        <v/>
      </c>
      <c r="Q1988" s="60" t="str">
        <f>Ringkasan!Q2059</f>
        <v/>
      </c>
      <c r="R1988" s="60" t="str">
        <f>Ringkasan!R2059</f>
        <v/>
      </c>
      <c r="S1988" s="60" t="str">
        <f>Ringkasan!S2059</f>
        <v/>
      </c>
      <c r="T1988" s="60" t="str">
        <f>Ringkasan!T2059</f>
        <v/>
      </c>
      <c r="U1988" s="64" t="str">
        <f>Ringkasan!U2059</f>
        <v/>
      </c>
      <c r="V1988" s="64" t="str">
        <f>Ringkasan!V2059</f>
        <v/>
      </c>
      <c r="W1988" s="64" t="str">
        <f>Ringkasan!W2059</f>
        <v/>
      </c>
      <c r="X1988" s="64" t="str">
        <f>Ringkasan!X2059</f>
        <v/>
      </c>
      <c r="Y1988" s="64" t="str">
        <f>Ringkasan!Y2059</f>
        <v/>
      </c>
      <c r="Z1988" s="64" t="str">
        <f>Ringkasan!Z2059</f>
        <v/>
      </c>
      <c r="AA1988" s="64" t="str">
        <f>Ringkasan!AA2059</f>
        <v/>
      </c>
      <c r="AB1988" s="64" t="str">
        <f>Ringkasan!AB2059</f>
        <v/>
      </c>
    </row>
    <row r="1989">
      <c r="A1989" s="60" t="str">
        <f>Ringkasan!A2060</f>
        <v/>
      </c>
      <c r="B1989" s="60" t="str">
        <f>Ringkasan!B2060</f>
        <v/>
      </c>
      <c r="C1989" s="64" t="str">
        <f>Ringkasan!C2060</f>
        <v/>
      </c>
      <c r="D1989" s="64" t="str">
        <f>Ringkasan!D2060</f>
        <v/>
      </c>
      <c r="E1989" s="60" t="str">
        <f>Ringkasan!E2060</f>
        <v/>
      </c>
      <c r="F1989" s="60" t="str">
        <f>Ringkasan!F2060</f>
        <v/>
      </c>
      <c r="G1989" s="60" t="str">
        <f>Ringkasan!G2060</f>
        <v/>
      </c>
      <c r="H1989" s="60" t="str">
        <f>Ringkasan!H2060</f>
        <v/>
      </c>
      <c r="I1989" s="60" t="str">
        <f>Ringkasan!I2060</f>
        <v/>
      </c>
      <c r="J1989" s="60" t="str">
        <f>Ringkasan!J2060</f>
        <v/>
      </c>
      <c r="K1989" s="60" t="str">
        <f>Ringkasan!K2060</f>
        <v/>
      </c>
      <c r="L1989" s="60" t="str">
        <f>Ringkasan!L2060</f>
        <v/>
      </c>
      <c r="M1989" s="60" t="str">
        <f>Ringkasan!M2060</f>
        <v/>
      </c>
      <c r="N1989" s="60" t="str">
        <f>Ringkasan!N2060</f>
        <v/>
      </c>
      <c r="O1989" s="60" t="str">
        <f>Ringkasan!O2060</f>
        <v/>
      </c>
      <c r="P1989" s="60" t="str">
        <f>Ringkasan!P2060</f>
        <v/>
      </c>
      <c r="Q1989" s="60" t="str">
        <f>Ringkasan!Q2060</f>
        <v/>
      </c>
      <c r="R1989" s="60" t="str">
        <f>Ringkasan!R2060</f>
        <v/>
      </c>
      <c r="S1989" s="60" t="str">
        <f>Ringkasan!S2060</f>
        <v/>
      </c>
      <c r="T1989" s="60" t="str">
        <f>Ringkasan!T2060</f>
        <v/>
      </c>
      <c r="U1989" s="64" t="str">
        <f>Ringkasan!U2060</f>
        <v/>
      </c>
      <c r="V1989" s="64" t="str">
        <f>Ringkasan!V2060</f>
        <v/>
      </c>
      <c r="W1989" s="64" t="str">
        <f>Ringkasan!W2060</f>
        <v/>
      </c>
      <c r="X1989" s="64" t="str">
        <f>Ringkasan!X2060</f>
        <v/>
      </c>
      <c r="Y1989" s="64" t="str">
        <f>Ringkasan!Y2060</f>
        <v/>
      </c>
      <c r="Z1989" s="64" t="str">
        <f>Ringkasan!Z2060</f>
        <v/>
      </c>
      <c r="AA1989" s="64" t="str">
        <f>Ringkasan!AA2060</f>
        <v/>
      </c>
      <c r="AB1989" s="64" t="str">
        <f>Ringkasan!AB2060</f>
        <v/>
      </c>
    </row>
    <row r="1990">
      <c r="A1990" s="60" t="str">
        <f>Ringkasan!A2061</f>
        <v/>
      </c>
      <c r="B1990" s="60" t="str">
        <f>Ringkasan!B2061</f>
        <v/>
      </c>
      <c r="C1990" s="64" t="str">
        <f>Ringkasan!C2061</f>
        <v/>
      </c>
      <c r="D1990" s="64" t="str">
        <f>Ringkasan!D2061</f>
        <v/>
      </c>
      <c r="E1990" s="60" t="str">
        <f>Ringkasan!E2061</f>
        <v/>
      </c>
      <c r="F1990" s="60" t="str">
        <f>Ringkasan!F2061</f>
        <v/>
      </c>
      <c r="G1990" s="60" t="str">
        <f>Ringkasan!G2061</f>
        <v/>
      </c>
      <c r="H1990" s="60" t="str">
        <f>Ringkasan!H2061</f>
        <v/>
      </c>
      <c r="I1990" s="60" t="str">
        <f>Ringkasan!I2061</f>
        <v/>
      </c>
      <c r="J1990" s="60" t="str">
        <f>Ringkasan!J2061</f>
        <v/>
      </c>
      <c r="K1990" s="60" t="str">
        <f>Ringkasan!K2061</f>
        <v/>
      </c>
      <c r="L1990" s="60" t="str">
        <f>Ringkasan!L2061</f>
        <v/>
      </c>
      <c r="M1990" s="60" t="str">
        <f>Ringkasan!M2061</f>
        <v/>
      </c>
      <c r="N1990" s="60" t="str">
        <f>Ringkasan!N2061</f>
        <v/>
      </c>
      <c r="O1990" s="60" t="str">
        <f>Ringkasan!O2061</f>
        <v/>
      </c>
      <c r="P1990" s="60" t="str">
        <f>Ringkasan!P2061</f>
        <v/>
      </c>
      <c r="Q1990" s="60" t="str">
        <f>Ringkasan!Q2061</f>
        <v/>
      </c>
      <c r="R1990" s="60" t="str">
        <f>Ringkasan!R2061</f>
        <v/>
      </c>
      <c r="S1990" s="60" t="str">
        <f>Ringkasan!S2061</f>
        <v/>
      </c>
      <c r="T1990" s="60" t="str">
        <f>Ringkasan!T2061</f>
        <v/>
      </c>
      <c r="U1990" s="64" t="str">
        <f>Ringkasan!U2061</f>
        <v/>
      </c>
      <c r="V1990" s="64" t="str">
        <f>Ringkasan!V2061</f>
        <v/>
      </c>
      <c r="W1990" s="64" t="str">
        <f>Ringkasan!W2061</f>
        <v/>
      </c>
      <c r="X1990" s="64" t="str">
        <f>Ringkasan!X2061</f>
        <v/>
      </c>
      <c r="Y1990" s="64" t="str">
        <f>Ringkasan!Y2061</f>
        <v/>
      </c>
      <c r="Z1990" s="64" t="str">
        <f>Ringkasan!Z2061</f>
        <v/>
      </c>
      <c r="AA1990" s="64" t="str">
        <f>Ringkasan!AA2061</f>
        <v/>
      </c>
      <c r="AB1990" s="64" t="str">
        <f>Ringkasan!AB2061</f>
        <v/>
      </c>
    </row>
    <row r="1991">
      <c r="A1991" s="60" t="str">
        <f>Ringkasan!A2062</f>
        <v/>
      </c>
      <c r="B1991" s="60" t="str">
        <f>Ringkasan!B2062</f>
        <v/>
      </c>
      <c r="C1991" s="64" t="str">
        <f>Ringkasan!C2062</f>
        <v/>
      </c>
      <c r="D1991" s="64" t="str">
        <f>Ringkasan!D2062</f>
        <v/>
      </c>
      <c r="E1991" s="60" t="str">
        <f>Ringkasan!E2062</f>
        <v/>
      </c>
      <c r="F1991" s="60" t="str">
        <f>Ringkasan!F2062</f>
        <v/>
      </c>
      <c r="G1991" s="60" t="str">
        <f>Ringkasan!G2062</f>
        <v/>
      </c>
      <c r="H1991" s="60" t="str">
        <f>Ringkasan!H2062</f>
        <v/>
      </c>
      <c r="I1991" s="60" t="str">
        <f>Ringkasan!I2062</f>
        <v/>
      </c>
      <c r="J1991" s="60" t="str">
        <f>Ringkasan!J2062</f>
        <v/>
      </c>
      <c r="K1991" s="60" t="str">
        <f>Ringkasan!K2062</f>
        <v/>
      </c>
      <c r="L1991" s="60" t="str">
        <f>Ringkasan!L2062</f>
        <v/>
      </c>
      <c r="M1991" s="60" t="str">
        <f>Ringkasan!M2062</f>
        <v/>
      </c>
      <c r="N1991" s="60" t="str">
        <f>Ringkasan!N2062</f>
        <v/>
      </c>
      <c r="O1991" s="60" t="str">
        <f>Ringkasan!O2062</f>
        <v/>
      </c>
      <c r="P1991" s="60" t="str">
        <f>Ringkasan!P2062</f>
        <v/>
      </c>
      <c r="Q1991" s="60" t="str">
        <f>Ringkasan!Q2062</f>
        <v/>
      </c>
      <c r="R1991" s="60" t="str">
        <f>Ringkasan!R2062</f>
        <v/>
      </c>
      <c r="S1991" s="60" t="str">
        <f>Ringkasan!S2062</f>
        <v/>
      </c>
      <c r="T1991" s="60" t="str">
        <f>Ringkasan!T2062</f>
        <v/>
      </c>
      <c r="U1991" s="64" t="str">
        <f>Ringkasan!U2062</f>
        <v/>
      </c>
      <c r="V1991" s="64" t="str">
        <f>Ringkasan!V2062</f>
        <v/>
      </c>
      <c r="W1991" s="64" t="str">
        <f>Ringkasan!W2062</f>
        <v/>
      </c>
      <c r="X1991" s="64" t="str">
        <f>Ringkasan!X2062</f>
        <v/>
      </c>
      <c r="Y1991" s="64" t="str">
        <f>Ringkasan!Y2062</f>
        <v/>
      </c>
      <c r="Z1991" s="64" t="str">
        <f>Ringkasan!Z2062</f>
        <v/>
      </c>
      <c r="AA1991" s="64" t="str">
        <f>Ringkasan!AA2062</f>
        <v/>
      </c>
      <c r="AB1991" s="64" t="str">
        <f>Ringkasan!AB2062</f>
        <v/>
      </c>
    </row>
    <row r="1992">
      <c r="A1992" s="60" t="str">
        <f>Ringkasan!A2063</f>
        <v/>
      </c>
      <c r="B1992" s="60" t="str">
        <f>Ringkasan!B2063</f>
        <v/>
      </c>
      <c r="C1992" s="64" t="str">
        <f>Ringkasan!C2063</f>
        <v/>
      </c>
      <c r="D1992" s="64" t="str">
        <f>Ringkasan!D2063</f>
        <v/>
      </c>
      <c r="E1992" s="60" t="str">
        <f>Ringkasan!E2063</f>
        <v/>
      </c>
      <c r="F1992" s="60" t="str">
        <f>Ringkasan!F2063</f>
        <v/>
      </c>
      <c r="G1992" s="60" t="str">
        <f>Ringkasan!G2063</f>
        <v/>
      </c>
      <c r="H1992" s="60" t="str">
        <f>Ringkasan!H2063</f>
        <v/>
      </c>
      <c r="I1992" s="60" t="str">
        <f>Ringkasan!I2063</f>
        <v/>
      </c>
      <c r="J1992" s="60" t="str">
        <f>Ringkasan!J2063</f>
        <v/>
      </c>
      <c r="K1992" s="60" t="str">
        <f>Ringkasan!K2063</f>
        <v/>
      </c>
      <c r="L1992" s="60" t="str">
        <f>Ringkasan!L2063</f>
        <v/>
      </c>
      <c r="M1992" s="60" t="str">
        <f>Ringkasan!M2063</f>
        <v/>
      </c>
      <c r="N1992" s="60" t="str">
        <f>Ringkasan!N2063</f>
        <v/>
      </c>
      <c r="O1992" s="60" t="str">
        <f>Ringkasan!O2063</f>
        <v/>
      </c>
      <c r="P1992" s="60" t="str">
        <f>Ringkasan!P2063</f>
        <v/>
      </c>
      <c r="Q1992" s="60" t="str">
        <f>Ringkasan!Q2063</f>
        <v/>
      </c>
      <c r="R1992" s="60" t="str">
        <f>Ringkasan!R2063</f>
        <v/>
      </c>
      <c r="S1992" s="60" t="str">
        <f>Ringkasan!S2063</f>
        <v/>
      </c>
      <c r="T1992" s="60" t="str">
        <f>Ringkasan!T2063</f>
        <v/>
      </c>
      <c r="U1992" s="64" t="str">
        <f>Ringkasan!U2063</f>
        <v/>
      </c>
      <c r="V1992" s="64" t="str">
        <f>Ringkasan!V2063</f>
        <v/>
      </c>
      <c r="W1992" s="64" t="str">
        <f>Ringkasan!W2063</f>
        <v/>
      </c>
      <c r="X1992" s="64" t="str">
        <f>Ringkasan!X2063</f>
        <v/>
      </c>
      <c r="Y1992" s="64" t="str">
        <f>Ringkasan!Y2063</f>
        <v/>
      </c>
      <c r="Z1992" s="64" t="str">
        <f>Ringkasan!Z2063</f>
        <v/>
      </c>
      <c r="AA1992" s="64" t="str">
        <f>Ringkasan!AA2063</f>
        <v/>
      </c>
      <c r="AB1992" s="64" t="str">
        <f>Ringkasan!AB2063</f>
        <v/>
      </c>
    </row>
    <row r="1993">
      <c r="A1993" s="60" t="str">
        <f>Ringkasan!A2064</f>
        <v/>
      </c>
      <c r="B1993" s="60" t="str">
        <f>Ringkasan!B2064</f>
        <v/>
      </c>
      <c r="C1993" s="64" t="str">
        <f>Ringkasan!C2064</f>
        <v/>
      </c>
      <c r="D1993" s="64" t="str">
        <f>Ringkasan!D2064</f>
        <v/>
      </c>
      <c r="E1993" s="60" t="str">
        <f>Ringkasan!E2064</f>
        <v/>
      </c>
      <c r="F1993" s="60" t="str">
        <f>Ringkasan!F2064</f>
        <v/>
      </c>
      <c r="G1993" s="60" t="str">
        <f>Ringkasan!G2064</f>
        <v/>
      </c>
      <c r="H1993" s="60" t="str">
        <f>Ringkasan!H2064</f>
        <v/>
      </c>
      <c r="I1993" s="60" t="str">
        <f>Ringkasan!I2064</f>
        <v/>
      </c>
      <c r="J1993" s="60" t="str">
        <f>Ringkasan!J2064</f>
        <v/>
      </c>
      <c r="K1993" s="60" t="str">
        <f>Ringkasan!K2064</f>
        <v/>
      </c>
      <c r="L1993" s="60" t="str">
        <f>Ringkasan!L2064</f>
        <v/>
      </c>
      <c r="M1993" s="60" t="str">
        <f>Ringkasan!M2064</f>
        <v/>
      </c>
      <c r="N1993" s="60" t="str">
        <f>Ringkasan!N2064</f>
        <v/>
      </c>
      <c r="O1993" s="60" t="str">
        <f>Ringkasan!O2064</f>
        <v/>
      </c>
      <c r="P1993" s="60" t="str">
        <f>Ringkasan!P2064</f>
        <v/>
      </c>
      <c r="Q1993" s="60" t="str">
        <f>Ringkasan!Q2064</f>
        <v/>
      </c>
      <c r="R1993" s="60" t="str">
        <f>Ringkasan!R2064</f>
        <v/>
      </c>
      <c r="S1993" s="60" t="str">
        <f>Ringkasan!S2064</f>
        <v/>
      </c>
      <c r="T1993" s="60" t="str">
        <f>Ringkasan!T2064</f>
        <v/>
      </c>
      <c r="U1993" s="64" t="str">
        <f>Ringkasan!U2064</f>
        <v/>
      </c>
      <c r="V1993" s="64" t="str">
        <f>Ringkasan!V2064</f>
        <v/>
      </c>
      <c r="W1993" s="64" t="str">
        <f>Ringkasan!W2064</f>
        <v/>
      </c>
      <c r="X1993" s="64" t="str">
        <f>Ringkasan!X2064</f>
        <v/>
      </c>
      <c r="Y1993" s="64" t="str">
        <f>Ringkasan!Y2064</f>
        <v/>
      </c>
      <c r="Z1993" s="64" t="str">
        <f>Ringkasan!Z2064</f>
        <v/>
      </c>
      <c r="AA1993" s="64" t="str">
        <f>Ringkasan!AA2064</f>
        <v/>
      </c>
      <c r="AB1993" s="64" t="str">
        <f>Ringkasan!AB2064</f>
        <v/>
      </c>
    </row>
    <row r="1994">
      <c r="A1994" s="60" t="str">
        <f>Ringkasan!A2065</f>
        <v/>
      </c>
      <c r="B1994" s="60" t="str">
        <f>Ringkasan!B2065</f>
        <v/>
      </c>
      <c r="C1994" s="64" t="str">
        <f>Ringkasan!C2065</f>
        <v/>
      </c>
      <c r="D1994" s="64" t="str">
        <f>Ringkasan!D2065</f>
        <v/>
      </c>
      <c r="E1994" s="60" t="str">
        <f>Ringkasan!E2065</f>
        <v/>
      </c>
      <c r="F1994" s="60" t="str">
        <f>Ringkasan!F2065</f>
        <v/>
      </c>
      <c r="G1994" s="60" t="str">
        <f>Ringkasan!G2065</f>
        <v/>
      </c>
      <c r="H1994" s="60" t="str">
        <f>Ringkasan!H2065</f>
        <v/>
      </c>
      <c r="I1994" s="60" t="str">
        <f>Ringkasan!I2065</f>
        <v/>
      </c>
      <c r="J1994" s="60" t="str">
        <f>Ringkasan!J2065</f>
        <v/>
      </c>
      <c r="K1994" s="60" t="str">
        <f>Ringkasan!K2065</f>
        <v/>
      </c>
      <c r="L1994" s="60" t="str">
        <f>Ringkasan!L2065</f>
        <v/>
      </c>
      <c r="M1994" s="60" t="str">
        <f>Ringkasan!M2065</f>
        <v/>
      </c>
      <c r="N1994" s="60" t="str">
        <f>Ringkasan!N2065</f>
        <v/>
      </c>
      <c r="O1994" s="60" t="str">
        <f>Ringkasan!O2065</f>
        <v/>
      </c>
      <c r="P1994" s="60" t="str">
        <f>Ringkasan!P2065</f>
        <v/>
      </c>
      <c r="Q1994" s="60" t="str">
        <f>Ringkasan!Q2065</f>
        <v/>
      </c>
      <c r="R1994" s="60" t="str">
        <f>Ringkasan!R2065</f>
        <v/>
      </c>
      <c r="S1994" s="60" t="str">
        <f>Ringkasan!S2065</f>
        <v/>
      </c>
      <c r="T1994" s="60" t="str">
        <f>Ringkasan!T2065</f>
        <v/>
      </c>
      <c r="U1994" s="64" t="str">
        <f>Ringkasan!U2065</f>
        <v/>
      </c>
      <c r="V1994" s="64" t="str">
        <f>Ringkasan!V2065</f>
        <v/>
      </c>
      <c r="W1994" s="64" t="str">
        <f>Ringkasan!W2065</f>
        <v/>
      </c>
      <c r="X1994" s="64" t="str">
        <f>Ringkasan!X2065</f>
        <v/>
      </c>
      <c r="Y1994" s="64" t="str">
        <f>Ringkasan!Y2065</f>
        <v/>
      </c>
      <c r="Z1994" s="64" t="str">
        <f>Ringkasan!Z2065</f>
        <v/>
      </c>
      <c r="AA1994" s="64" t="str">
        <f>Ringkasan!AA2065</f>
        <v/>
      </c>
      <c r="AB1994" s="64" t="str">
        <f>Ringkasan!AB2065</f>
        <v/>
      </c>
    </row>
    <row r="1995">
      <c r="A1995" s="60" t="str">
        <f>Ringkasan!A2066</f>
        <v/>
      </c>
      <c r="B1995" s="60" t="str">
        <f>Ringkasan!B2066</f>
        <v/>
      </c>
      <c r="C1995" s="64" t="str">
        <f>Ringkasan!C2066</f>
        <v/>
      </c>
      <c r="D1995" s="64" t="str">
        <f>Ringkasan!D2066</f>
        <v/>
      </c>
      <c r="E1995" s="60" t="str">
        <f>Ringkasan!E2066</f>
        <v/>
      </c>
      <c r="F1995" s="60" t="str">
        <f>Ringkasan!F2066</f>
        <v/>
      </c>
      <c r="G1995" s="60" t="str">
        <f>Ringkasan!G2066</f>
        <v/>
      </c>
      <c r="H1995" s="60" t="str">
        <f>Ringkasan!H2066</f>
        <v/>
      </c>
      <c r="I1995" s="60" t="str">
        <f>Ringkasan!I2066</f>
        <v/>
      </c>
      <c r="J1995" s="60" t="str">
        <f>Ringkasan!J2066</f>
        <v/>
      </c>
      <c r="K1995" s="60" t="str">
        <f>Ringkasan!K2066</f>
        <v/>
      </c>
      <c r="L1995" s="60" t="str">
        <f>Ringkasan!L2066</f>
        <v/>
      </c>
      <c r="M1995" s="60" t="str">
        <f>Ringkasan!M2066</f>
        <v/>
      </c>
      <c r="N1995" s="60" t="str">
        <f>Ringkasan!N2066</f>
        <v/>
      </c>
      <c r="O1995" s="60" t="str">
        <f>Ringkasan!O2066</f>
        <v/>
      </c>
      <c r="P1995" s="60" t="str">
        <f>Ringkasan!P2066</f>
        <v/>
      </c>
      <c r="Q1995" s="60" t="str">
        <f>Ringkasan!Q2066</f>
        <v/>
      </c>
      <c r="R1995" s="60" t="str">
        <f>Ringkasan!R2066</f>
        <v/>
      </c>
      <c r="S1995" s="60" t="str">
        <f>Ringkasan!S2066</f>
        <v/>
      </c>
      <c r="T1995" s="60" t="str">
        <f>Ringkasan!T2066</f>
        <v/>
      </c>
      <c r="U1995" s="64" t="str">
        <f>Ringkasan!U2066</f>
        <v/>
      </c>
      <c r="V1995" s="64" t="str">
        <f>Ringkasan!V2066</f>
        <v/>
      </c>
      <c r="W1995" s="64" t="str">
        <f>Ringkasan!W2066</f>
        <v/>
      </c>
      <c r="X1995" s="64" t="str">
        <f>Ringkasan!X2066</f>
        <v/>
      </c>
      <c r="Y1995" s="64" t="str">
        <f>Ringkasan!Y2066</f>
        <v/>
      </c>
      <c r="Z1995" s="64" t="str">
        <f>Ringkasan!Z2066</f>
        <v/>
      </c>
      <c r="AA1995" s="64" t="str">
        <f>Ringkasan!AA2066</f>
        <v/>
      </c>
      <c r="AB1995" s="64" t="str">
        <f>Ringkasan!AB2066</f>
        <v/>
      </c>
    </row>
    <row r="1996">
      <c r="A1996" s="60" t="str">
        <f>Ringkasan!A2067</f>
        <v/>
      </c>
      <c r="B1996" s="60" t="str">
        <f>Ringkasan!B2067</f>
        <v/>
      </c>
      <c r="C1996" s="64" t="str">
        <f>Ringkasan!C2067</f>
        <v/>
      </c>
      <c r="D1996" s="64" t="str">
        <f>Ringkasan!D2067</f>
        <v/>
      </c>
      <c r="E1996" s="60" t="str">
        <f>Ringkasan!E2067</f>
        <v/>
      </c>
      <c r="F1996" s="60" t="str">
        <f>Ringkasan!F2067</f>
        <v/>
      </c>
      <c r="G1996" s="60" t="str">
        <f>Ringkasan!G2067</f>
        <v/>
      </c>
      <c r="H1996" s="60" t="str">
        <f>Ringkasan!H2067</f>
        <v/>
      </c>
      <c r="I1996" s="60" t="str">
        <f>Ringkasan!I2067</f>
        <v/>
      </c>
      <c r="J1996" s="60" t="str">
        <f>Ringkasan!J2067</f>
        <v/>
      </c>
      <c r="K1996" s="60" t="str">
        <f>Ringkasan!K2067</f>
        <v/>
      </c>
      <c r="L1996" s="60" t="str">
        <f>Ringkasan!L2067</f>
        <v/>
      </c>
      <c r="M1996" s="60" t="str">
        <f>Ringkasan!M2067</f>
        <v/>
      </c>
      <c r="N1996" s="60" t="str">
        <f>Ringkasan!N2067</f>
        <v/>
      </c>
      <c r="O1996" s="60" t="str">
        <f>Ringkasan!O2067</f>
        <v/>
      </c>
      <c r="P1996" s="60" t="str">
        <f>Ringkasan!P2067</f>
        <v/>
      </c>
      <c r="Q1996" s="60" t="str">
        <f>Ringkasan!Q2067</f>
        <v/>
      </c>
      <c r="R1996" s="60" t="str">
        <f>Ringkasan!R2067</f>
        <v/>
      </c>
      <c r="S1996" s="60" t="str">
        <f>Ringkasan!S2067</f>
        <v/>
      </c>
      <c r="T1996" s="60" t="str">
        <f>Ringkasan!T2067</f>
        <v/>
      </c>
      <c r="U1996" s="64" t="str">
        <f>Ringkasan!U2067</f>
        <v/>
      </c>
      <c r="V1996" s="64" t="str">
        <f>Ringkasan!V2067</f>
        <v/>
      </c>
      <c r="W1996" s="64" t="str">
        <f>Ringkasan!W2067</f>
        <v/>
      </c>
      <c r="X1996" s="64" t="str">
        <f>Ringkasan!X2067</f>
        <v/>
      </c>
      <c r="Y1996" s="64" t="str">
        <f>Ringkasan!Y2067</f>
        <v/>
      </c>
      <c r="Z1996" s="64" t="str">
        <f>Ringkasan!Z2067</f>
        <v/>
      </c>
      <c r="AA1996" s="64" t="str">
        <f>Ringkasan!AA2067</f>
        <v/>
      </c>
      <c r="AB1996" s="64" t="str">
        <f>Ringkasan!AB2067</f>
        <v/>
      </c>
    </row>
    <row r="1997">
      <c r="A1997" s="60" t="str">
        <f>Ringkasan!A2068</f>
        <v/>
      </c>
      <c r="B1997" s="60" t="str">
        <f>Ringkasan!B2068</f>
        <v/>
      </c>
      <c r="C1997" s="64" t="str">
        <f>Ringkasan!C2068</f>
        <v/>
      </c>
      <c r="D1997" s="64" t="str">
        <f>Ringkasan!D2068</f>
        <v/>
      </c>
      <c r="E1997" s="60" t="str">
        <f>Ringkasan!E2068</f>
        <v/>
      </c>
      <c r="F1997" s="60" t="str">
        <f>Ringkasan!F2068</f>
        <v/>
      </c>
      <c r="G1997" s="60" t="str">
        <f>Ringkasan!G2068</f>
        <v/>
      </c>
      <c r="H1997" s="60" t="str">
        <f>Ringkasan!H2068</f>
        <v/>
      </c>
      <c r="I1997" s="60" t="str">
        <f>Ringkasan!I2068</f>
        <v/>
      </c>
      <c r="J1997" s="60" t="str">
        <f>Ringkasan!J2068</f>
        <v/>
      </c>
      <c r="K1997" s="60" t="str">
        <f>Ringkasan!K2068</f>
        <v/>
      </c>
      <c r="L1997" s="60" t="str">
        <f>Ringkasan!L2068</f>
        <v/>
      </c>
      <c r="M1997" s="60" t="str">
        <f>Ringkasan!M2068</f>
        <v/>
      </c>
      <c r="N1997" s="60" t="str">
        <f>Ringkasan!N2068</f>
        <v/>
      </c>
      <c r="O1997" s="60" t="str">
        <f>Ringkasan!O2068</f>
        <v/>
      </c>
      <c r="P1997" s="60" t="str">
        <f>Ringkasan!P2068</f>
        <v/>
      </c>
      <c r="Q1997" s="60" t="str">
        <f>Ringkasan!Q2068</f>
        <v/>
      </c>
      <c r="R1997" s="60" t="str">
        <f>Ringkasan!R2068</f>
        <v/>
      </c>
      <c r="S1997" s="60" t="str">
        <f>Ringkasan!S2068</f>
        <v/>
      </c>
      <c r="T1997" s="60" t="str">
        <f>Ringkasan!T2068</f>
        <v/>
      </c>
      <c r="U1997" s="64" t="str">
        <f>Ringkasan!U2068</f>
        <v/>
      </c>
      <c r="V1997" s="64" t="str">
        <f>Ringkasan!V2068</f>
        <v/>
      </c>
      <c r="W1997" s="64" t="str">
        <f>Ringkasan!W2068</f>
        <v/>
      </c>
      <c r="X1997" s="64" t="str">
        <f>Ringkasan!X2068</f>
        <v/>
      </c>
      <c r="Y1997" s="64" t="str">
        <f>Ringkasan!Y2068</f>
        <v/>
      </c>
      <c r="Z1997" s="64" t="str">
        <f>Ringkasan!Z2068</f>
        <v/>
      </c>
      <c r="AA1997" s="64" t="str">
        <f>Ringkasan!AA2068</f>
        <v/>
      </c>
      <c r="AB1997" s="64" t="str">
        <f>Ringkasan!AB2068</f>
        <v/>
      </c>
    </row>
    <row r="1998">
      <c r="A1998" s="60" t="str">
        <f>Ringkasan!A2069</f>
        <v/>
      </c>
      <c r="B1998" s="60" t="str">
        <f>Ringkasan!B2069</f>
        <v/>
      </c>
      <c r="C1998" s="64" t="str">
        <f>Ringkasan!C2069</f>
        <v/>
      </c>
      <c r="D1998" s="64" t="str">
        <f>Ringkasan!D2069</f>
        <v/>
      </c>
      <c r="E1998" s="60" t="str">
        <f>Ringkasan!E2069</f>
        <v/>
      </c>
      <c r="F1998" s="60" t="str">
        <f>Ringkasan!F2069</f>
        <v/>
      </c>
      <c r="G1998" s="60" t="str">
        <f>Ringkasan!G2069</f>
        <v/>
      </c>
      <c r="H1998" s="60" t="str">
        <f>Ringkasan!H2069</f>
        <v/>
      </c>
      <c r="I1998" s="60" t="str">
        <f>Ringkasan!I2069</f>
        <v/>
      </c>
      <c r="J1998" s="60" t="str">
        <f>Ringkasan!J2069</f>
        <v/>
      </c>
      <c r="K1998" s="60" t="str">
        <f>Ringkasan!K2069</f>
        <v/>
      </c>
      <c r="L1998" s="60" t="str">
        <f>Ringkasan!L2069</f>
        <v/>
      </c>
      <c r="M1998" s="60" t="str">
        <f>Ringkasan!M2069</f>
        <v/>
      </c>
      <c r="N1998" s="60" t="str">
        <f>Ringkasan!N2069</f>
        <v/>
      </c>
      <c r="O1998" s="60" t="str">
        <f>Ringkasan!O2069</f>
        <v/>
      </c>
      <c r="P1998" s="60" t="str">
        <f>Ringkasan!P2069</f>
        <v/>
      </c>
      <c r="Q1998" s="60" t="str">
        <f>Ringkasan!Q2069</f>
        <v/>
      </c>
      <c r="R1998" s="60" t="str">
        <f>Ringkasan!R2069</f>
        <v/>
      </c>
      <c r="S1998" s="60" t="str">
        <f>Ringkasan!S2069</f>
        <v/>
      </c>
      <c r="T1998" s="60" t="str">
        <f>Ringkasan!T2069</f>
        <v/>
      </c>
      <c r="U1998" s="64" t="str">
        <f>Ringkasan!U2069</f>
        <v/>
      </c>
      <c r="V1998" s="64" t="str">
        <f>Ringkasan!V2069</f>
        <v/>
      </c>
      <c r="W1998" s="64" t="str">
        <f>Ringkasan!W2069</f>
        <v/>
      </c>
      <c r="X1998" s="64" t="str">
        <f>Ringkasan!X2069</f>
        <v/>
      </c>
      <c r="Y1998" s="64" t="str">
        <f>Ringkasan!Y2069</f>
        <v/>
      </c>
      <c r="Z1998" s="64" t="str">
        <f>Ringkasan!Z2069</f>
        <v/>
      </c>
      <c r="AA1998" s="64" t="str">
        <f>Ringkasan!AA2069</f>
        <v/>
      </c>
      <c r="AB1998" s="64" t="str">
        <f>Ringkasan!AB2069</f>
        <v/>
      </c>
    </row>
    <row r="1999">
      <c r="A1999" s="60" t="str">
        <f>Ringkasan!A2070</f>
        <v/>
      </c>
      <c r="B1999" s="60" t="str">
        <f>Ringkasan!B2070</f>
        <v/>
      </c>
      <c r="C1999" s="64" t="str">
        <f>Ringkasan!C2070</f>
        <v/>
      </c>
      <c r="D1999" s="64" t="str">
        <f>Ringkasan!D2070</f>
        <v/>
      </c>
      <c r="E1999" s="60" t="str">
        <f>Ringkasan!E2070</f>
        <v/>
      </c>
      <c r="F1999" s="60" t="str">
        <f>Ringkasan!F2070</f>
        <v/>
      </c>
      <c r="G1999" s="60" t="str">
        <f>Ringkasan!G2070</f>
        <v/>
      </c>
      <c r="H1999" s="60" t="str">
        <f>Ringkasan!H2070</f>
        <v/>
      </c>
      <c r="I1999" s="60" t="str">
        <f>Ringkasan!I2070</f>
        <v/>
      </c>
      <c r="J1999" s="60" t="str">
        <f>Ringkasan!J2070</f>
        <v/>
      </c>
      <c r="K1999" s="60" t="str">
        <f>Ringkasan!K2070</f>
        <v/>
      </c>
      <c r="L1999" s="60" t="str">
        <f>Ringkasan!L2070</f>
        <v/>
      </c>
      <c r="M1999" s="60" t="str">
        <f>Ringkasan!M2070</f>
        <v/>
      </c>
      <c r="N1999" s="60" t="str">
        <f>Ringkasan!N2070</f>
        <v/>
      </c>
      <c r="O1999" s="60" t="str">
        <f>Ringkasan!O2070</f>
        <v/>
      </c>
      <c r="P1999" s="60" t="str">
        <f>Ringkasan!P2070</f>
        <v/>
      </c>
      <c r="Q1999" s="60" t="str">
        <f>Ringkasan!Q2070</f>
        <v/>
      </c>
      <c r="R1999" s="60" t="str">
        <f>Ringkasan!R2070</f>
        <v/>
      </c>
      <c r="S1999" s="60" t="str">
        <f>Ringkasan!S2070</f>
        <v/>
      </c>
      <c r="T1999" s="60" t="str">
        <f>Ringkasan!T2070</f>
        <v/>
      </c>
      <c r="U1999" s="64" t="str">
        <f>Ringkasan!U2070</f>
        <v/>
      </c>
      <c r="V1999" s="64" t="str">
        <f>Ringkasan!V2070</f>
        <v/>
      </c>
      <c r="W1999" s="64" t="str">
        <f>Ringkasan!W2070</f>
        <v/>
      </c>
      <c r="X1999" s="64" t="str">
        <f>Ringkasan!X2070</f>
        <v/>
      </c>
      <c r="Y1999" s="64" t="str">
        <f>Ringkasan!Y2070</f>
        <v/>
      </c>
      <c r="Z1999" s="64" t="str">
        <f>Ringkasan!Z2070</f>
        <v/>
      </c>
      <c r="AA1999" s="64" t="str">
        <f>Ringkasan!AA2070</f>
        <v/>
      </c>
      <c r="AB1999" s="64" t="str">
        <f>Ringkasan!AB2070</f>
        <v/>
      </c>
    </row>
    <row r="2000">
      <c r="A2000" s="60" t="str">
        <f>Ringkasan!A2071</f>
        <v/>
      </c>
      <c r="B2000" s="60" t="str">
        <f>Ringkasan!B2071</f>
        <v/>
      </c>
      <c r="C2000" s="64" t="str">
        <f>Ringkasan!C2071</f>
        <v/>
      </c>
      <c r="D2000" s="64" t="str">
        <f>Ringkasan!D2071</f>
        <v/>
      </c>
      <c r="E2000" s="60" t="str">
        <f>Ringkasan!E2071</f>
        <v/>
      </c>
      <c r="F2000" s="60" t="str">
        <f>Ringkasan!F2071</f>
        <v/>
      </c>
      <c r="G2000" s="60" t="str">
        <f>Ringkasan!G2071</f>
        <v/>
      </c>
      <c r="H2000" s="60" t="str">
        <f>Ringkasan!H2071</f>
        <v/>
      </c>
      <c r="I2000" s="60" t="str">
        <f>Ringkasan!I2071</f>
        <v/>
      </c>
      <c r="J2000" s="60" t="str">
        <f>Ringkasan!J2071</f>
        <v/>
      </c>
      <c r="K2000" s="60" t="str">
        <f>Ringkasan!K2071</f>
        <v/>
      </c>
      <c r="L2000" s="60" t="str">
        <f>Ringkasan!L2071</f>
        <v/>
      </c>
      <c r="M2000" s="60" t="str">
        <f>Ringkasan!M2071</f>
        <v/>
      </c>
      <c r="N2000" s="60" t="str">
        <f>Ringkasan!N2071</f>
        <v/>
      </c>
      <c r="O2000" s="60" t="str">
        <f>Ringkasan!O2071</f>
        <v/>
      </c>
      <c r="P2000" s="60" t="str">
        <f>Ringkasan!P2071</f>
        <v/>
      </c>
      <c r="Q2000" s="60" t="str">
        <f>Ringkasan!Q2071</f>
        <v/>
      </c>
      <c r="R2000" s="60" t="str">
        <f>Ringkasan!R2071</f>
        <v/>
      </c>
      <c r="S2000" s="60" t="str">
        <f>Ringkasan!S2071</f>
        <v/>
      </c>
      <c r="T2000" s="60" t="str">
        <f>Ringkasan!T2071</f>
        <v/>
      </c>
      <c r="U2000" s="64" t="str">
        <f>Ringkasan!U2071</f>
        <v/>
      </c>
      <c r="V2000" s="64" t="str">
        <f>Ringkasan!V2071</f>
        <v/>
      </c>
      <c r="W2000" s="64" t="str">
        <f>Ringkasan!W2071</f>
        <v/>
      </c>
      <c r="X2000" s="64" t="str">
        <f>Ringkasan!X2071</f>
        <v/>
      </c>
      <c r="Y2000" s="64" t="str">
        <f>Ringkasan!Y2071</f>
        <v/>
      </c>
      <c r="Z2000" s="64" t="str">
        <f>Ringkasan!Z2071</f>
        <v/>
      </c>
      <c r="AA2000" s="64" t="str">
        <f>Ringkasan!AA2071</f>
        <v/>
      </c>
      <c r="AB2000" s="64" t="str">
        <f>Ringkasan!AB2071</f>
        <v/>
      </c>
    </row>
  </sheetData>
  <autoFilter ref="$A$1:$AB$1806">
    <filterColumn colId="26">
      <filters>
        <filter val="#REF!"/>
        <filter val="#N/A"/>
        <filter val="Banks"/>
      </filters>
    </filterColumn>
    <filterColumn colId="7">
      <customFilters>
        <customFilter operator="lessThanOrEqual" val="15"/>
      </customFilters>
    </filterColumn>
    <filterColumn colId="8">
      <customFilters>
        <customFilter operator="lessThanOrEqual" val="3"/>
      </customFilters>
    </filterColumn>
    <filterColumn colId="9">
      <customFilters>
        <customFilter operator="greaterThanOrEqual" val="12"/>
      </customFilters>
    </filterColumn>
    <filterColumn colId="10">
      <customFilters>
        <customFilter operator="greaterThanOrEqual" val="1"/>
      </customFilters>
    </filterColumn>
    <filterColumn colId="13">
      <customFilters>
        <customFilter operator="greaterThanOrEqual" val="3.5"/>
      </customFilters>
    </filterColumn>
    <filterColumn colId="14">
      <customFilters>
        <customFilter operator="greaterThanOrEqual" val="15"/>
      </customFilters>
    </filterColumn>
    <filterColumn colId="15">
      <customFilters>
        <customFilter operator="greaterThanOrEqual" val="75"/>
      </customFilters>
    </filterColumn>
    <filterColumn colId="16">
      <customFilters>
        <customFilter operator="lessThanOrEqual" val="3.5"/>
      </customFilters>
    </filterColumn>
    <filterColumn colId="17">
      <customFilters>
        <customFilter operator="lessThanOrEqual" val="80"/>
      </customFilters>
    </filterColumn>
    <filterColumn colId="18">
      <customFilters>
        <customFilter operator="lessThanOrEqual" val="65"/>
      </customFilters>
    </filterColumn>
    <filterColumn colId="19">
      <customFilters>
        <customFilter operator="lessThanOrEqual" val="11"/>
      </customFilters>
    </filterColumn>
    <filterColumn colId="6">
      <filters>
        <filter val="11"/>
        <filter val="22"/>
        <filter val="12"/>
        <filter val="23"/>
        <filter val="#REF!"/>
        <filter val="13"/>
        <filter val="14"/>
        <filter val="16"/>
        <filter val="17"/>
        <filter val="18"/>
        <filter val="19"/>
        <filter val="1"/>
        <filter val="2"/>
        <filter val="3"/>
        <filter val="4"/>
        <filter val="5"/>
        <filter val="6"/>
        <filter val="7"/>
        <filter val="8"/>
        <filter val="9"/>
        <filter val="20"/>
        <filter val="21"/>
        <filter val="10"/>
      </filters>
    </filterColumn>
    <sortState ref="A1:AB1806">
      <sortCondition ref="G1:G1806"/>
      <sortCondition ref="A1:A1806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48.29"/>
    <col customWidth="1" min="3" max="3" width="35.71"/>
    <col customWidth="1" min="4" max="4" width="63.86"/>
    <col customWidth="1" min="5" max="5" width="17.0"/>
    <col customWidth="1" min="6" max="6" width="13.86"/>
    <col customWidth="1" min="7" max="7" width="17.43"/>
    <col customWidth="1" min="8" max="8" width="16.71"/>
    <col customWidth="1" min="9" max="26" width="8.71"/>
  </cols>
  <sheetData>
    <row r="1" ht="14.25" customHeight="1">
      <c r="A1" s="74" t="s">
        <v>0</v>
      </c>
      <c r="B1" s="74" t="s">
        <v>1046</v>
      </c>
      <c r="C1" s="74" t="s">
        <v>1047</v>
      </c>
      <c r="D1" s="74" t="s">
        <v>1048</v>
      </c>
      <c r="E1" s="74" t="s">
        <v>1049</v>
      </c>
      <c r="F1" s="75" t="s">
        <v>1050</v>
      </c>
      <c r="G1" s="75" t="s">
        <v>1051</v>
      </c>
      <c r="H1" s="75" t="s">
        <v>1052</v>
      </c>
      <c r="I1" s="76"/>
    </row>
    <row r="2" ht="14.25" customHeight="1">
      <c r="A2" s="77" t="s">
        <v>1053</v>
      </c>
      <c r="B2" s="77" t="s">
        <v>1054</v>
      </c>
      <c r="C2" s="77" t="s">
        <v>1055</v>
      </c>
      <c r="D2" s="77" t="s">
        <v>1056</v>
      </c>
      <c r="E2" s="78">
        <v>46020.0</v>
      </c>
      <c r="F2" s="79">
        <v>100.0</v>
      </c>
      <c r="G2" s="79">
        <v>99.0</v>
      </c>
      <c r="H2" s="79">
        <v>0.0</v>
      </c>
    </row>
    <row r="3" ht="14.25" customHeight="1">
      <c r="A3" s="77" t="s">
        <v>1057</v>
      </c>
      <c r="B3" s="77" t="s">
        <v>1058</v>
      </c>
      <c r="C3" s="77" t="s">
        <v>1059</v>
      </c>
      <c r="D3" s="77" t="s">
        <v>1060</v>
      </c>
      <c r="E3" s="80">
        <v>45721.0</v>
      </c>
      <c r="F3" s="79">
        <v>500.0</v>
      </c>
      <c r="G3" s="79">
        <v>469.0</v>
      </c>
      <c r="H3" s="79">
        <v>0.0</v>
      </c>
    </row>
    <row r="4" ht="14.25" customHeight="1">
      <c r="A4" s="77" t="s">
        <v>1061</v>
      </c>
      <c r="B4" s="77" t="s">
        <v>1062</v>
      </c>
      <c r="C4" s="77" t="s">
        <v>1055</v>
      </c>
      <c r="D4" s="77" t="s">
        <v>1056</v>
      </c>
      <c r="E4" s="78">
        <v>45716.0</v>
      </c>
      <c r="F4" s="79">
        <v>195.0</v>
      </c>
      <c r="G4" s="79">
        <v>167.0</v>
      </c>
      <c r="H4" s="79">
        <v>0.0</v>
      </c>
    </row>
    <row r="5" ht="14.25" customHeight="1">
      <c r="A5" s="77" t="s">
        <v>1063</v>
      </c>
      <c r="B5" s="77" t="s">
        <v>1064</v>
      </c>
      <c r="C5" s="77" t="s">
        <v>1065</v>
      </c>
      <c r="D5" s="77" t="s">
        <v>1060</v>
      </c>
      <c r="E5" s="78">
        <v>45491.0</v>
      </c>
      <c r="F5" s="79">
        <v>405.0</v>
      </c>
      <c r="G5" s="79">
        <v>340.0</v>
      </c>
      <c r="H5" s="79">
        <v>0.0</v>
      </c>
    </row>
    <row r="6" ht="14.25" customHeight="1">
      <c r="A6" s="77" t="s">
        <v>1066</v>
      </c>
      <c r="B6" s="77" t="s">
        <v>1067</v>
      </c>
      <c r="C6" s="77" t="s">
        <v>1068</v>
      </c>
      <c r="D6" s="77" t="s">
        <v>1069</v>
      </c>
      <c r="E6" s="78">
        <v>45254.0</v>
      </c>
      <c r="F6" s="81">
        <v>1000.0</v>
      </c>
      <c r="G6" s="81">
        <v>843.0</v>
      </c>
      <c r="H6" s="79">
        <v>0.0</v>
      </c>
    </row>
    <row r="7" ht="14.25" customHeight="1">
      <c r="A7" s="77" t="s">
        <v>1070</v>
      </c>
      <c r="B7" s="77" t="s">
        <v>1071</v>
      </c>
      <c r="C7" s="77" t="s">
        <v>1072</v>
      </c>
      <c r="D7" s="77" t="s">
        <v>1073</v>
      </c>
      <c r="E7" s="78">
        <v>45092.0</v>
      </c>
      <c r="F7" s="81">
        <v>1000.0</v>
      </c>
      <c r="G7" s="81">
        <v>1129.0</v>
      </c>
      <c r="H7" s="79">
        <v>0.0</v>
      </c>
    </row>
    <row r="8" ht="14.25" customHeight="1">
      <c r="A8" s="77" t="s">
        <v>1074</v>
      </c>
      <c r="B8" s="77" t="s">
        <v>1075</v>
      </c>
      <c r="C8" s="77" t="s">
        <v>1065</v>
      </c>
      <c r="D8" s="77" t="s">
        <v>1076</v>
      </c>
      <c r="E8" s="80">
        <v>44991.0</v>
      </c>
      <c r="F8" s="79">
        <v>946.0</v>
      </c>
      <c r="G8" s="79">
        <v>718.0</v>
      </c>
      <c r="H8" s="79">
        <v>0.0</v>
      </c>
    </row>
    <row r="9" ht="14.25" customHeight="1">
      <c r="A9" s="77" t="s">
        <v>1077</v>
      </c>
      <c r="B9" s="77" t="s">
        <v>1078</v>
      </c>
      <c r="C9" s="77" t="s">
        <v>1079</v>
      </c>
      <c r="D9" s="77" t="s">
        <v>1060</v>
      </c>
      <c r="E9" s="78">
        <v>44679.0</v>
      </c>
      <c r="F9" s="79">
        <v>100.0</v>
      </c>
      <c r="G9" s="81">
        <v>85.0</v>
      </c>
      <c r="H9" s="79">
        <v>0.0</v>
      </c>
    </row>
    <row r="10" ht="14.25" customHeight="1">
      <c r="A10" s="77" t="s">
        <v>1080</v>
      </c>
      <c r="B10" s="77" t="s">
        <v>1081</v>
      </c>
      <c r="C10" s="77" t="s">
        <v>1082</v>
      </c>
      <c r="D10" s="77" t="s">
        <v>1056</v>
      </c>
      <c r="E10" s="78">
        <v>44460.0</v>
      </c>
      <c r="F10" s="79">
        <v>500.0</v>
      </c>
      <c r="G10" s="79">
        <v>600.0</v>
      </c>
      <c r="H10" s="79">
        <v>0.0</v>
      </c>
    </row>
    <row r="11" ht="14.25" customHeight="1">
      <c r="A11" s="77" t="s">
        <v>1083</v>
      </c>
      <c r="B11" s="77" t="s">
        <v>1084</v>
      </c>
      <c r="C11" s="77" t="s">
        <v>1055</v>
      </c>
      <c r="D11" s="77" t="s">
        <v>1056</v>
      </c>
      <c r="E11" s="78">
        <v>44280.0</v>
      </c>
      <c r="F11" s="79">
        <v>101.0</v>
      </c>
      <c r="G11" s="81">
        <v>94.0</v>
      </c>
      <c r="H11" s="79">
        <v>0.0</v>
      </c>
    </row>
    <row r="12" ht="14.25" customHeight="1">
      <c r="A12" s="77" t="s">
        <v>1085</v>
      </c>
      <c r="B12" s="77" t="s">
        <v>1086</v>
      </c>
      <c r="C12" s="77" t="s">
        <v>1068</v>
      </c>
      <c r="D12" s="77" t="s">
        <v>1069</v>
      </c>
      <c r="E12" s="78">
        <v>44158.0</v>
      </c>
      <c r="F12" s="81">
        <v>1000.0</v>
      </c>
      <c r="G12" s="81">
        <v>864.0</v>
      </c>
      <c r="H12" s="79">
        <v>0.0</v>
      </c>
    </row>
    <row r="13" ht="14.25" customHeight="1">
      <c r="A13" s="77" t="s">
        <v>1087</v>
      </c>
      <c r="B13" s="77" t="s">
        <v>1088</v>
      </c>
      <c r="C13" s="77" t="s">
        <v>1055</v>
      </c>
      <c r="D13" s="77" t="s">
        <v>1056</v>
      </c>
      <c r="E13" s="78">
        <v>44005.0</v>
      </c>
      <c r="F13" s="79">
        <v>423.0</v>
      </c>
      <c r="G13" s="79">
        <v>432.0</v>
      </c>
      <c r="H13" s="79">
        <v>0.0</v>
      </c>
    </row>
    <row r="14" ht="14.25" customHeight="1">
      <c r="A14" s="77" t="s">
        <v>1089</v>
      </c>
      <c r="B14" s="77" t="s">
        <v>1090</v>
      </c>
      <c r="C14" s="77" t="s">
        <v>1091</v>
      </c>
      <c r="D14" s="77" t="s">
        <v>1056</v>
      </c>
      <c r="E14" s="78">
        <v>43993.0</v>
      </c>
      <c r="F14" s="79">
        <v>100.0</v>
      </c>
      <c r="G14" s="79">
        <v>100.0</v>
      </c>
      <c r="H14" s="79">
        <v>0.0</v>
      </c>
    </row>
    <row r="15" ht="14.25" customHeight="1">
      <c r="A15" s="77" t="s">
        <v>1092</v>
      </c>
      <c r="B15" s="77" t="s">
        <v>1093</v>
      </c>
      <c r="C15" s="77" t="s">
        <v>1094</v>
      </c>
      <c r="D15" s="77" t="s">
        <v>1076</v>
      </c>
      <c r="E15" s="82">
        <v>43965.0</v>
      </c>
      <c r="F15" s="79">
        <v>500.0</v>
      </c>
      <c r="G15" s="79">
        <v>666.0</v>
      </c>
      <c r="H15" s="79">
        <v>0.0</v>
      </c>
    </row>
    <row r="16" ht="14.25" customHeight="1">
      <c r="A16" s="77" t="s">
        <v>1095</v>
      </c>
      <c r="B16" s="77" t="s">
        <v>1096</v>
      </c>
      <c r="C16" s="77" t="s">
        <v>1055</v>
      </c>
      <c r="D16" s="77" t="s">
        <v>1056</v>
      </c>
      <c r="E16" s="80">
        <v>43894.0</v>
      </c>
      <c r="F16" s="79">
        <v>247.0</v>
      </c>
      <c r="G16" s="79">
        <v>187.0</v>
      </c>
      <c r="H16" s="79">
        <v>0.0</v>
      </c>
    </row>
    <row r="17" ht="14.25" customHeight="1">
      <c r="A17" s="77" t="s">
        <v>1097</v>
      </c>
      <c r="B17" s="77" t="s">
        <v>1098</v>
      </c>
      <c r="C17" s="77" t="s">
        <v>1099</v>
      </c>
      <c r="D17" s="77" t="s">
        <v>1100</v>
      </c>
      <c r="E17" s="80">
        <v>43804.0</v>
      </c>
      <c r="F17" s="79">
        <v>151.0</v>
      </c>
      <c r="G17" s="79">
        <v>178.0</v>
      </c>
      <c r="H17" s="79">
        <v>0.0</v>
      </c>
    </row>
    <row r="18" ht="14.25" customHeight="1">
      <c r="A18" s="77" t="s">
        <v>1101</v>
      </c>
      <c r="B18" s="77" t="s">
        <v>1102</v>
      </c>
      <c r="C18" s="77" t="s">
        <v>1103</v>
      </c>
      <c r="D18" s="77" t="s">
        <v>1056</v>
      </c>
      <c r="E18" s="78">
        <v>43796.0</v>
      </c>
      <c r="F18" s="79">
        <v>100.0</v>
      </c>
      <c r="G18" s="79">
        <v>67.0</v>
      </c>
      <c r="H18" s="79">
        <v>5.11</v>
      </c>
    </row>
    <row r="19" ht="14.25" customHeight="1">
      <c r="A19" s="77" t="s">
        <v>1104</v>
      </c>
      <c r="B19" s="77" t="s">
        <v>1105</v>
      </c>
      <c r="C19" s="77" t="s">
        <v>1068</v>
      </c>
      <c r="D19" s="77" t="s">
        <v>1076</v>
      </c>
      <c r="E19" s="78">
        <v>43781.0</v>
      </c>
      <c r="F19" s="79">
        <v>500.0</v>
      </c>
      <c r="G19" s="79">
        <v>549.0</v>
      </c>
      <c r="H19" s="79">
        <v>0.0</v>
      </c>
    </row>
    <row r="20" ht="14.25" customHeight="1">
      <c r="A20" s="77" t="s">
        <v>1106</v>
      </c>
      <c r="B20" s="77" t="s">
        <v>1107</v>
      </c>
      <c r="C20" s="77" t="s">
        <v>1059</v>
      </c>
      <c r="D20" s="77" t="s">
        <v>1076</v>
      </c>
      <c r="E20" s="80">
        <v>43739.0</v>
      </c>
      <c r="F20" s="79">
        <v>500.0</v>
      </c>
      <c r="G20" s="79">
        <v>539.0</v>
      </c>
      <c r="H20" s="79">
        <v>0.0</v>
      </c>
    </row>
    <row r="21" ht="14.25" customHeight="1">
      <c r="A21" s="77" t="s">
        <v>1108</v>
      </c>
      <c r="B21" s="77" t="s">
        <v>1109</v>
      </c>
      <c r="C21" s="77" t="s">
        <v>1110</v>
      </c>
      <c r="D21" s="77" t="s">
        <v>1111</v>
      </c>
      <c r="E21" s="78">
        <v>43725.0</v>
      </c>
      <c r="F21" s="79">
        <v>100.0</v>
      </c>
      <c r="G21" s="79">
        <v>65.0</v>
      </c>
      <c r="H21" s="79">
        <v>0.0</v>
      </c>
    </row>
    <row r="22" ht="14.25" customHeight="1">
      <c r="A22" s="77" t="s">
        <v>1112</v>
      </c>
      <c r="B22" s="77" t="s">
        <v>1113</v>
      </c>
      <c r="C22" s="77" t="s">
        <v>1072</v>
      </c>
      <c r="D22" s="77" t="s">
        <v>1076</v>
      </c>
      <c r="E22" s="78">
        <v>43671.0</v>
      </c>
      <c r="F22" s="79">
        <v>179.0</v>
      </c>
      <c r="G22" s="79">
        <v>155.0</v>
      </c>
      <c r="H22" s="79">
        <v>0.0</v>
      </c>
    </row>
    <row r="23" ht="14.25" customHeight="1">
      <c r="A23" s="77" t="s">
        <v>1114</v>
      </c>
      <c r="B23" s="77" t="s">
        <v>1115</v>
      </c>
      <c r="C23" s="77" t="s">
        <v>1116</v>
      </c>
      <c r="D23" s="77" t="s">
        <v>1117</v>
      </c>
      <c r="E23" s="82">
        <v>43612.0</v>
      </c>
      <c r="F23" s="79">
        <v>500.0</v>
      </c>
      <c r="G23" s="79">
        <v>530.0</v>
      </c>
      <c r="H23" s="79">
        <v>0.0</v>
      </c>
    </row>
    <row r="24" ht="14.25" customHeight="1">
      <c r="A24" s="77" t="s">
        <v>1118</v>
      </c>
      <c r="B24" s="77" t="s">
        <v>1119</v>
      </c>
      <c r="C24" s="77" t="s">
        <v>1120</v>
      </c>
      <c r="D24" s="77" t="s">
        <v>1076</v>
      </c>
      <c r="E24" s="78">
        <v>43546.0</v>
      </c>
      <c r="F24" s="79">
        <v>395.0</v>
      </c>
      <c r="G24" s="79">
        <v>400.0</v>
      </c>
      <c r="H24" s="79">
        <v>0.0</v>
      </c>
    </row>
    <row r="25" ht="14.25" customHeight="1">
      <c r="A25" s="77" t="s">
        <v>1121</v>
      </c>
      <c r="B25" s="77" t="s">
        <v>1122</v>
      </c>
      <c r="C25" s="77" t="s">
        <v>1120</v>
      </c>
      <c r="D25" s="77" t="s">
        <v>1076</v>
      </c>
      <c r="E25" s="78">
        <v>43515.0</v>
      </c>
      <c r="F25" s="79">
        <v>554.0</v>
      </c>
      <c r="G25" s="79">
        <v>450.0</v>
      </c>
      <c r="H25" s="79">
        <v>0.0</v>
      </c>
    </row>
    <row r="26" ht="14.25" customHeight="1">
      <c r="A26" s="77" t="s">
        <v>1123</v>
      </c>
      <c r="B26" s="77" t="s">
        <v>1124</v>
      </c>
      <c r="C26" s="77" t="s">
        <v>1055</v>
      </c>
      <c r="D26" s="77" t="s">
        <v>1056</v>
      </c>
      <c r="E26" s="78">
        <v>43455.0</v>
      </c>
      <c r="F26" s="79">
        <v>160.0</v>
      </c>
      <c r="G26" s="79">
        <v>174.0</v>
      </c>
      <c r="H26" s="79">
        <v>0.0</v>
      </c>
    </row>
    <row r="27" ht="14.25" customHeight="1">
      <c r="A27" s="77" t="s">
        <v>1125</v>
      </c>
      <c r="B27" s="77" t="s">
        <v>1126</v>
      </c>
      <c r="C27" s="77" t="s">
        <v>1055</v>
      </c>
      <c r="D27" s="77" t="s">
        <v>1056</v>
      </c>
      <c r="E27" s="78">
        <v>43452.0</v>
      </c>
      <c r="F27" s="79">
        <v>518.0</v>
      </c>
      <c r="G27" s="79">
        <v>602.0</v>
      </c>
      <c r="H27" s="79">
        <v>0.0</v>
      </c>
    </row>
    <row r="28" ht="14.25" customHeight="1">
      <c r="A28" s="77" t="s">
        <v>1127</v>
      </c>
      <c r="B28" s="77" t="s">
        <v>1128</v>
      </c>
      <c r="C28" s="77" t="s">
        <v>1110</v>
      </c>
      <c r="D28" s="77" t="s">
        <v>1111</v>
      </c>
      <c r="E28" s="78">
        <v>43355.0</v>
      </c>
      <c r="F28" s="79">
        <v>100.0</v>
      </c>
      <c r="G28" s="81">
        <v>91.0</v>
      </c>
      <c r="H28" s="79">
        <v>0.0</v>
      </c>
    </row>
    <row r="29" ht="14.25" customHeight="1">
      <c r="A29" s="77" t="s">
        <v>1129</v>
      </c>
      <c r="B29" s="77" t="s">
        <v>1130</v>
      </c>
      <c r="C29" s="77" t="s">
        <v>1131</v>
      </c>
      <c r="D29" s="77" t="s">
        <v>1056</v>
      </c>
      <c r="E29" s="78">
        <v>43353.0</v>
      </c>
      <c r="F29" s="79">
        <v>500.0</v>
      </c>
      <c r="G29" s="79">
        <v>477.0</v>
      </c>
      <c r="H29" s="79">
        <v>0.0</v>
      </c>
    </row>
    <row r="30" ht="14.25" customHeight="1">
      <c r="A30" s="77" t="s">
        <v>1132</v>
      </c>
      <c r="B30" s="77" t="s">
        <v>1133</v>
      </c>
      <c r="C30" s="77" t="s">
        <v>1134</v>
      </c>
      <c r="D30" s="77" t="s">
        <v>1056</v>
      </c>
      <c r="E30" s="78">
        <v>43213.0</v>
      </c>
      <c r="F30" s="79">
        <v>500.0</v>
      </c>
      <c r="G30" s="79">
        <v>414.0</v>
      </c>
      <c r="H30" s="79">
        <v>0.0</v>
      </c>
    </row>
    <row r="31" ht="14.25" customHeight="1">
      <c r="A31" s="77" t="s">
        <v>1135</v>
      </c>
      <c r="B31" s="77" t="s">
        <v>1136</v>
      </c>
      <c r="C31" s="77" t="s">
        <v>1120</v>
      </c>
      <c r="D31" s="77" t="s">
        <v>1056</v>
      </c>
      <c r="E31" s="78">
        <v>43200.0</v>
      </c>
      <c r="F31" s="79">
        <v>500.0</v>
      </c>
      <c r="G31" s="79">
        <v>433.0</v>
      </c>
      <c r="H31" s="79">
        <v>0.0</v>
      </c>
    </row>
    <row r="32" ht="14.25" customHeight="1">
      <c r="A32" s="77" t="s">
        <v>1137</v>
      </c>
      <c r="B32" s="77" t="s">
        <v>1138</v>
      </c>
      <c r="C32" s="77" t="s">
        <v>1131</v>
      </c>
      <c r="D32" s="77" t="s">
        <v>1056</v>
      </c>
      <c r="E32" s="80">
        <v>43133.0</v>
      </c>
      <c r="F32" s="79">
        <v>500.0</v>
      </c>
      <c r="G32" s="79">
        <v>334.0</v>
      </c>
      <c r="H32" s="79">
        <v>0.0</v>
      </c>
    </row>
    <row r="33" ht="14.25" customHeight="1">
      <c r="A33" s="77" t="s">
        <v>1139</v>
      </c>
      <c r="B33" s="77" t="s">
        <v>1140</v>
      </c>
      <c r="C33" s="77" t="s">
        <v>1131</v>
      </c>
      <c r="D33" s="77" t="s">
        <v>1056</v>
      </c>
      <c r="E33" s="80">
        <v>42895.0</v>
      </c>
      <c r="F33" s="79">
        <v>500.0</v>
      </c>
      <c r="G33" s="79">
        <v>605.0</v>
      </c>
      <c r="H33" s="79">
        <v>0.0</v>
      </c>
    </row>
    <row r="34" ht="14.25" customHeight="1">
      <c r="A34" s="77" t="s">
        <v>1141</v>
      </c>
      <c r="B34" s="77" t="s">
        <v>1142</v>
      </c>
      <c r="C34" s="77" t="s">
        <v>1055</v>
      </c>
      <c r="D34" s="77" t="s">
        <v>1056</v>
      </c>
      <c r="E34" s="80">
        <v>42768.0</v>
      </c>
      <c r="F34" s="79">
        <v>398.0</v>
      </c>
      <c r="G34" s="79">
        <v>565.0</v>
      </c>
      <c r="H34" s="79">
        <v>2.01</v>
      </c>
    </row>
    <row r="35" ht="14.25" customHeight="1">
      <c r="A35" s="77" t="s">
        <v>1143</v>
      </c>
      <c r="B35" s="77" t="s">
        <v>1144</v>
      </c>
      <c r="C35" s="77" t="s">
        <v>1131</v>
      </c>
      <c r="D35" s="77" t="s">
        <v>1056</v>
      </c>
      <c r="E35" s="83" t="s">
        <v>1145</v>
      </c>
      <c r="F35" s="79">
        <v>500.0</v>
      </c>
      <c r="G35" s="79">
        <v>440.0</v>
      </c>
      <c r="H35" s="79">
        <v>0.0</v>
      </c>
    </row>
    <row r="36" ht="14.25" customHeight="1">
      <c r="A36" s="77" t="s">
        <v>1146</v>
      </c>
      <c r="B36" s="77" t="s">
        <v>1147</v>
      </c>
      <c r="C36" s="77" t="s">
        <v>1055</v>
      </c>
      <c r="D36" s="77" t="s">
        <v>1056</v>
      </c>
      <c r="E36" s="80">
        <v>42278.0</v>
      </c>
      <c r="F36" s="79">
        <v>498.93</v>
      </c>
      <c r="G36" s="79">
        <v>791.0</v>
      </c>
      <c r="H36" s="79">
        <v>6.03</v>
      </c>
    </row>
    <row r="37" ht="14.25" customHeight="1">
      <c r="A37" s="77" t="s">
        <v>1148</v>
      </c>
      <c r="B37" s="77" t="s">
        <v>1149</v>
      </c>
      <c r="C37" s="77" t="s">
        <v>1055</v>
      </c>
      <c r="D37" s="77" t="s">
        <v>1056</v>
      </c>
      <c r="E37" s="78">
        <v>41962.0</v>
      </c>
      <c r="F37" s="79">
        <v>499.0</v>
      </c>
      <c r="G37" s="84">
        <v>402.0</v>
      </c>
      <c r="H37" s="79">
        <v>4.55</v>
      </c>
    </row>
    <row r="38" ht="14.25" customHeight="1">
      <c r="A38" s="77" t="s">
        <v>1150</v>
      </c>
      <c r="B38" s="77" t="s">
        <v>1151</v>
      </c>
      <c r="C38" s="77" t="s">
        <v>1055</v>
      </c>
      <c r="D38" s="77" t="s">
        <v>1056</v>
      </c>
      <c r="E38" s="78">
        <v>41908.0</v>
      </c>
      <c r="F38" s="79">
        <v>295.0</v>
      </c>
      <c r="G38" s="79">
        <v>384.0</v>
      </c>
      <c r="H38" s="79">
        <v>0.0</v>
      </c>
    </row>
    <row r="39" ht="14.25" customHeight="1">
      <c r="A39" s="77" t="s">
        <v>1152</v>
      </c>
      <c r="B39" s="77" t="s">
        <v>1153</v>
      </c>
      <c r="C39" s="77" t="s">
        <v>1055</v>
      </c>
      <c r="D39" s="77" t="s">
        <v>1056</v>
      </c>
      <c r="E39" s="80">
        <v>41704.0</v>
      </c>
      <c r="F39" s="79">
        <v>308.0</v>
      </c>
      <c r="G39" s="79">
        <v>309.0</v>
      </c>
      <c r="H39" s="79">
        <v>0.0</v>
      </c>
    </row>
    <row r="40" ht="14.25" customHeight="1">
      <c r="A40" s="77" t="s">
        <v>1154</v>
      </c>
      <c r="B40" s="77" t="s">
        <v>1155</v>
      </c>
      <c r="C40" s="77" t="s">
        <v>1055</v>
      </c>
      <c r="D40" s="77" t="s">
        <v>1056</v>
      </c>
      <c r="E40" s="78">
        <v>41394.0</v>
      </c>
      <c r="F40" s="81">
        <v>1000.0</v>
      </c>
      <c r="G40" s="79">
        <v>772.0</v>
      </c>
      <c r="H40" s="79">
        <v>0.0</v>
      </c>
    </row>
    <row r="41" ht="14.25" customHeight="1">
      <c r="A41" s="77" t="s">
        <v>1156</v>
      </c>
      <c r="B41" s="77" t="s">
        <v>1157</v>
      </c>
      <c r="C41" s="77" t="s">
        <v>1055</v>
      </c>
      <c r="D41" s="77" t="s">
        <v>1056</v>
      </c>
      <c r="E41" s="78">
        <v>41394.0</v>
      </c>
      <c r="F41" s="81">
        <v>677.0</v>
      </c>
      <c r="G41" s="79">
        <v>534.0</v>
      </c>
      <c r="H41" s="79">
        <v>0.0</v>
      </c>
    </row>
    <row r="42" ht="14.25" customHeight="1">
      <c r="A42" s="77" t="s">
        <v>1158</v>
      </c>
      <c r="B42" s="77" t="s">
        <v>1159</v>
      </c>
      <c r="C42" s="77" t="s">
        <v>1055</v>
      </c>
      <c r="D42" s="77" t="s">
        <v>1056</v>
      </c>
      <c r="E42" s="78">
        <v>41212.0</v>
      </c>
      <c r="F42" s="79">
        <v>380.0</v>
      </c>
      <c r="G42" s="79">
        <v>454.0</v>
      </c>
      <c r="H42" s="79">
        <v>4.37</v>
      </c>
    </row>
    <row r="43" ht="14.25" customHeight="1">
      <c r="A43" s="77" t="s">
        <v>1160</v>
      </c>
      <c r="B43" s="77" t="s">
        <v>1161</v>
      </c>
      <c r="C43" s="77" t="s">
        <v>1059</v>
      </c>
      <c r="D43" s="77" t="s">
        <v>1162</v>
      </c>
      <c r="E43" s="78">
        <v>39434.0</v>
      </c>
      <c r="F43" s="81">
        <v>13803.0</v>
      </c>
      <c r="G43" s="81">
        <v>28600.0</v>
      </c>
      <c r="H43" s="79">
        <v>0.0</v>
      </c>
    </row>
    <row r="44" ht="14.25" customHeight="1">
      <c r="A44" s="77" t="s">
        <v>1163</v>
      </c>
      <c r="B44" s="77" t="s">
        <v>1164</v>
      </c>
      <c r="C44" s="77" t="s">
        <v>1055</v>
      </c>
      <c r="D44" s="77" t="s">
        <v>1056</v>
      </c>
      <c r="E44" s="78">
        <v>39434.0</v>
      </c>
      <c r="F44" s="79">
        <v>584.0</v>
      </c>
      <c r="G44" s="81">
        <v>900.0</v>
      </c>
      <c r="H44" s="79">
        <v>11.53</v>
      </c>
    </row>
    <row r="45" ht="14.25" customHeight="1">
      <c r="A45" s="77"/>
      <c r="B45" s="77"/>
      <c r="C45" s="77"/>
      <c r="D45" s="77"/>
      <c r="E45" s="74"/>
      <c r="F45" s="74"/>
      <c r="G45" s="74"/>
      <c r="H45" s="74"/>
    </row>
    <row r="46" ht="14.25" customHeight="1">
      <c r="A46" s="77"/>
      <c r="B46" s="77"/>
      <c r="C46" s="77"/>
      <c r="D46" s="77"/>
      <c r="E46" s="74"/>
      <c r="F46" s="74"/>
      <c r="G46" s="74"/>
      <c r="H46" s="74"/>
    </row>
    <row r="47" ht="14.25" customHeight="1">
      <c r="A47" s="77"/>
      <c r="B47" s="77"/>
      <c r="C47" s="77"/>
      <c r="D47" s="77"/>
      <c r="E47" s="74"/>
      <c r="F47" s="74"/>
      <c r="G47" s="74"/>
      <c r="H47" s="74"/>
    </row>
    <row r="48" ht="14.25" customHeight="1">
      <c r="A48" s="77"/>
      <c r="B48" s="77"/>
      <c r="C48" s="77"/>
      <c r="D48" s="77"/>
      <c r="E48" s="74"/>
      <c r="F48" s="74"/>
      <c r="G48" s="74"/>
      <c r="H48" s="74"/>
    </row>
    <row r="49" ht="14.25" customHeight="1">
      <c r="A49" s="77"/>
      <c r="B49" s="77"/>
      <c r="C49" s="77"/>
      <c r="D49" s="77"/>
      <c r="E49" s="74"/>
      <c r="F49" s="74"/>
      <c r="G49" s="74"/>
      <c r="H49" s="74"/>
    </row>
    <row r="50" ht="14.25" customHeight="1">
      <c r="A50" s="77"/>
      <c r="B50" s="77"/>
      <c r="C50" s="77"/>
      <c r="D50" s="77"/>
      <c r="E50" s="74"/>
      <c r="F50" s="74"/>
      <c r="G50" s="74"/>
      <c r="H50" s="74"/>
    </row>
    <row r="51" ht="14.25" customHeight="1">
      <c r="A51" s="77"/>
      <c r="B51" s="77"/>
      <c r="C51" s="77"/>
      <c r="D51" s="77"/>
      <c r="E51" s="74"/>
      <c r="F51" s="74"/>
      <c r="G51" s="74"/>
      <c r="H51" s="74"/>
    </row>
    <row r="52" ht="14.25" customHeight="1">
      <c r="A52" s="77"/>
      <c r="B52" s="77"/>
      <c r="C52" s="77"/>
      <c r="D52" s="77"/>
      <c r="E52" s="74"/>
      <c r="F52" s="74"/>
      <c r="G52" s="74"/>
      <c r="H52" s="74"/>
    </row>
    <row r="53" ht="14.25" customHeight="1">
      <c r="A53" s="77"/>
      <c r="B53" s="77"/>
      <c r="C53" s="77"/>
      <c r="D53" s="77"/>
      <c r="E53" s="74"/>
      <c r="F53" s="74"/>
      <c r="G53" s="74"/>
      <c r="H53" s="74"/>
    </row>
    <row r="54" ht="14.25" customHeight="1">
      <c r="A54" s="77"/>
      <c r="B54" s="77"/>
      <c r="C54" s="77"/>
      <c r="D54" s="77"/>
      <c r="E54" s="74"/>
      <c r="F54" s="74"/>
      <c r="G54" s="74"/>
      <c r="H54" s="74"/>
    </row>
    <row r="55" ht="14.25" customHeight="1">
      <c r="A55" s="77"/>
      <c r="B55" s="77"/>
      <c r="C55" s="77"/>
      <c r="D55" s="77"/>
      <c r="E55" s="74"/>
      <c r="F55" s="74"/>
      <c r="G55" s="74"/>
      <c r="H55" s="74"/>
    </row>
    <row r="56" ht="14.25" customHeight="1">
      <c r="A56" s="77"/>
      <c r="B56" s="77"/>
      <c r="C56" s="77"/>
      <c r="D56" s="77"/>
      <c r="E56" s="74"/>
      <c r="F56" s="74"/>
      <c r="G56" s="74"/>
      <c r="H56" s="74"/>
    </row>
    <row r="57" ht="14.25" customHeight="1">
      <c r="A57" s="77"/>
      <c r="B57" s="77"/>
      <c r="C57" s="77"/>
      <c r="D57" s="77"/>
      <c r="E57" s="74"/>
      <c r="F57" s="74"/>
      <c r="G57" s="74"/>
      <c r="H57" s="74"/>
    </row>
    <row r="58" ht="14.25" customHeight="1">
      <c r="A58" s="77"/>
      <c r="B58" s="77"/>
      <c r="C58" s="77"/>
      <c r="D58" s="77"/>
      <c r="E58" s="74"/>
      <c r="F58" s="74"/>
      <c r="G58" s="74"/>
      <c r="H58" s="74"/>
    </row>
    <row r="59" ht="14.25" customHeight="1">
      <c r="A59" s="77"/>
      <c r="B59" s="77"/>
      <c r="C59" s="77"/>
      <c r="D59" s="77"/>
      <c r="E59" s="74"/>
      <c r="F59" s="74"/>
      <c r="G59" s="74"/>
      <c r="H59" s="74"/>
    </row>
    <row r="60" ht="14.25" customHeight="1">
      <c r="A60" s="77"/>
      <c r="B60" s="77"/>
      <c r="C60" s="77"/>
      <c r="D60" s="77"/>
      <c r="E60" s="74"/>
      <c r="F60" s="74"/>
      <c r="G60" s="74"/>
      <c r="H60" s="74"/>
    </row>
    <row r="61" ht="14.25" customHeight="1">
      <c r="A61" s="77"/>
      <c r="B61" s="77"/>
      <c r="C61" s="77"/>
      <c r="D61" s="77"/>
      <c r="E61" s="74"/>
      <c r="F61" s="74"/>
      <c r="G61" s="74"/>
      <c r="H61" s="74"/>
    </row>
    <row r="62" ht="14.25" customHeight="1">
      <c r="A62" s="77"/>
      <c r="B62" s="77"/>
      <c r="C62" s="77"/>
      <c r="D62" s="77"/>
      <c r="E62" s="74"/>
      <c r="F62" s="74"/>
      <c r="G62" s="74"/>
      <c r="H62" s="74"/>
    </row>
    <row r="63" ht="14.25" customHeight="1">
      <c r="A63" s="77"/>
      <c r="B63" s="77"/>
      <c r="C63" s="77"/>
      <c r="D63" s="77"/>
      <c r="E63" s="74"/>
      <c r="F63" s="74"/>
      <c r="G63" s="74"/>
      <c r="H63" s="74"/>
    </row>
    <row r="64" ht="14.25" customHeight="1">
      <c r="A64" s="77"/>
      <c r="B64" s="77"/>
      <c r="C64" s="77"/>
      <c r="D64" s="77"/>
      <c r="E64" s="74"/>
      <c r="F64" s="74"/>
      <c r="G64" s="74"/>
      <c r="H64" s="74"/>
    </row>
    <row r="65" ht="14.25" customHeight="1">
      <c r="A65" s="77"/>
      <c r="B65" s="77"/>
      <c r="C65" s="77"/>
      <c r="D65" s="77"/>
      <c r="E65" s="74"/>
      <c r="F65" s="74"/>
      <c r="G65" s="74"/>
      <c r="H65" s="74"/>
    </row>
    <row r="66" ht="14.25" customHeight="1">
      <c r="A66" s="77"/>
      <c r="B66" s="77"/>
      <c r="C66" s="77"/>
      <c r="D66" s="77"/>
      <c r="E66" s="74"/>
      <c r="F66" s="74"/>
      <c r="G66" s="74"/>
      <c r="H66" s="74"/>
    </row>
    <row r="67" ht="14.25" customHeight="1">
      <c r="A67" s="77"/>
      <c r="B67" s="77"/>
      <c r="C67" s="77"/>
      <c r="D67" s="77"/>
      <c r="E67" s="74"/>
      <c r="F67" s="74"/>
      <c r="G67" s="74"/>
      <c r="H67" s="74"/>
    </row>
    <row r="68" ht="14.25" customHeight="1">
      <c r="A68" s="77"/>
      <c r="B68" s="77"/>
      <c r="C68" s="77"/>
      <c r="D68" s="77"/>
      <c r="E68" s="74"/>
      <c r="F68" s="74"/>
      <c r="G68" s="74"/>
      <c r="H68" s="74"/>
    </row>
    <row r="69" ht="14.25" customHeight="1">
      <c r="A69" s="77"/>
      <c r="B69" s="77"/>
      <c r="C69" s="77"/>
      <c r="D69" s="77"/>
      <c r="E69" s="74"/>
      <c r="F69" s="74"/>
      <c r="G69" s="74"/>
      <c r="H69" s="74"/>
    </row>
    <row r="70" ht="14.25" customHeight="1">
      <c r="A70" s="77"/>
      <c r="B70" s="77"/>
      <c r="C70" s="77"/>
      <c r="D70" s="77"/>
      <c r="E70" s="74"/>
      <c r="F70" s="74"/>
      <c r="G70" s="74"/>
      <c r="H70" s="74"/>
    </row>
    <row r="71" ht="14.25" customHeight="1">
      <c r="A71" s="77"/>
      <c r="B71" s="77"/>
      <c r="C71" s="77"/>
      <c r="D71" s="77"/>
      <c r="E71" s="74"/>
      <c r="F71" s="74"/>
      <c r="G71" s="74"/>
      <c r="H71" s="74"/>
    </row>
    <row r="72" ht="14.25" customHeight="1">
      <c r="A72" s="77"/>
      <c r="B72" s="77"/>
      <c r="C72" s="77"/>
      <c r="D72" s="77"/>
      <c r="E72" s="74"/>
      <c r="F72" s="74"/>
      <c r="G72" s="74"/>
      <c r="H72" s="74"/>
    </row>
    <row r="73" ht="14.25" customHeight="1">
      <c r="A73" s="77"/>
      <c r="B73" s="77"/>
      <c r="C73" s="77"/>
      <c r="D73" s="77"/>
      <c r="E73" s="74"/>
      <c r="F73" s="74"/>
      <c r="G73" s="74"/>
      <c r="H73" s="74"/>
    </row>
    <row r="74" ht="14.25" customHeight="1">
      <c r="A74" s="77"/>
      <c r="B74" s="77"/>
      <c r="C74" s="77"/>
      <c r="D74" s="77"/>
      <c r="E74" s="74"/>
      <c r="F74" s="74"/>
      <c r="G74" s="74"/>
      <c r="H74" s="74"/>
    </row>
    <row r="75" ht="14.25" customHeight="1">
      <c r="A75" s="77"/>
      <c r="B75" s="77"/>
      <c r="C75" s="77"/>
      <c r="D75" s="77"/>
      <c r="E75" s="74"/>
      <c r="F75" s="74"/>
      <c r="G75" s="74"/>
      <c r="H75" s="74"/>
    </row>
    <row r="76" ht="14.25" customHeight="1">
      <c r="A76" s="77"/>
      <c r="B76" s="77"/>
      <c r="C76" s="77"/>
      <c r="D76" s="77"/>
      <c r="E76" s="74"/>
      <c r="F76" s="74"/>
      <c r="G76" s="74"/>
      <c r="H76" s="74"/>
    </row>
    <row r="77" ht="14.25" customHeight="1">
      <c r="A77" s="77"/>
      <c r="B77" s="77"/>
      <c r="C77" s="77"/>
      <c r="D77" s="77"/>
      <c r="E77" s="74"/>
      <c r="F77" s="74"/>
      <c r="G77" s="74"/>
      <c r="H77" s="74"/>
    </row>
    <row r="78" ht="14.25" customHeight="1">
      <c r="A78" s="77"/>
      <c r="B78" s="77"/>
      <c r="C78" s="77"/>
      <c r="D78" s="77"/>
      <c r="E78" s="74"/>
      <c r="F78" s="74"/>
      <c r="G78" s="74"/>
      <c r="H78" s="74"/>
    </row>
    <row r="79" ht="14.25" customHeight="1">
      <c r="A79" s="77"/>
      <c r="B79" s="77"/>
      <c r="C79" s="77"/>
      <c r="D79" s="77"/>
      <c r="E79" s="74"/>
      <c r="F79" s="74"/>
      <c r="G79" s="74"/>
      <c r="H79" s="74"/>
    </row>
    <row r="80" ht="14.25" customHeight="1">
      <c r="A80" s="77"/>
      <c r="B80" s="77"/>
      <c r="C80" s="77"/>
      <c r="D80" s="77"/>
      <c r="E80" s="74"/>
      <c r="F80" s="74"/>
      <c r="G80" s="74"/>
      <c r="H80" s="74"/>
    </row>
    <row r="81" ht="14.25" customHeight="1">
      <c r="A81" s="77"/>
      <c r="B81" s="77"/>
      <c r="C81" s="77"/>
      <c r="D81" s="77"/>
      <c r="E81" s="74"/>
      <c r="F81" s="74"/>
      <c r="G81" s="74"/>
      <c r="H81" s="74"/>
    </row>
    <row r="82" ht="14.25" customHeight="1">
      <c r="A82" s="77"/>
      <c r="B82" s="77"/>
      <c r="C82" s="77"/>
      <c r="D82" s="77"/>
      <c r="E82" s="74"/>
      <c r="F82" s="74"/>
      <c r="G82" s="74"/>
      <c r="H82" s="74"/>
    </row>
    <row r="83" ht="14.25" customHeight="1">
      <c r="A83" s="77"/>
      <c r="B83" s="77"/>
      <c r="C83" s="77"/>
      <c r="D83" s="77"/>
      <c r="E83" s="74"/>
      <c r="F83" s="74"/>
      <c r="G83" s="74"/>
      <c r="H83" s="74"/>
    </row>
    <row r="84" ht="14.25" customHeight="1">
      <c r="A84" s="77"/>
      <c r="B84" s="77"/>
      <c r="C84" s="77"/>
      <c r="D84" s="77"/>
      <c r="E84" s="74"/>
      <c r="F84" s="74"/>
      <c r="G84" s="74"/>
      <c r="H84" s="74"/>
    </row>
    <row r="85" ht="14.25" customHeight="1">
      <c r="A85" s="77"/>
      <c r="B85" s="77"/>
      <c r="C85" s="77"/>
      <c r="D85" s="77"/>
      <c r="E85" s="74"/>
      <c r="F85" s="74"/>
      <c r="G85" s="74"/>
      <c r="H85" s="74"/>
    </row>
    <row r="86" ht="14.25" customHeight="1">
      <c r="A86" s="77"/>
      <c r="B86" s="77"/>
      <c r="C86" s="77"/>
      <c r="D86" s="77"/>
      <c r="E86" s="74"/>
      <c r="F86" s="74"/>
      <c r="G86" s="74"/>
      <c r="H86" s="74"/>
    </row>
    <row r="87" ht="14.25" customHeight="1">
      <c r="A87" s="77"/>
      <c r="B87" s="77"/>
      <c r="C87" s="77"/>
      <c r="D87" s="77"/>
      <c r="E87" s="74"/>
      <c r="F87" s="74"/>
      <c r="G87" s="74"/>
      <c r="H87" s="74"/>
    </row>
    <row r="88" ht="14.25" customHeight="1">
      <c r="A88" s="77"/>
      <c r="B88" s="77"/>
      <c r="C88" s="77"/>
      <c r="D88" s="77"/>
      <c r="E88" s="74"/>
      <c r="F88" s="74"/>
      <c r="G88" s="74"/>
      <c r="H88" s="74"/>
    </row>
    <row r="89" ht="14.25" customHeight="1">
      <c r="A89" s="77"/>
      <c r="B89" s="77"/>
      <c r="C89" s="77"/>
      <c r="D89" s="77"/>
      <c r="E89" s="74"/>
      <c r="F89" s="74"/>
      <c r="G89" s="74"/>
      <c r="H89" s="74"/>
    </row>
    <row r="90" ht="14.25" customHeight="1">
      <c r="A90" s="77"/>
      <c r="B90" s="77"/>
      <c r="C90" s="77"/>
      <c r="D90" s="77"/>
      <c r="E90" s="74"/>
      <c r="F90" s="74"/>
      <c r="G90" s="74"/>
      <c r="H90" s="74"/>
    </row>
    <row r="91" ht="14.25" customHeight="1">
      <c r="A91" s="77"/>
      <c r="B91" s="77"/>
      <c r="C91" s="77"/>
      <c r="D91" s="77"/>
      <c r="E91" s="74"/>
      <c r="F91" s="74"/>
      <c r="G91" s="74"/>
      <c r="H91" s="74"/>
    </row>
    <row r="92" ht="14.25" customHeight="1">
      <c r="A92" s="77"/>
      <c r="B92" s="77"/>
      <c r="C92" s="77"/>
      <c r="D92" s="77"/>
      <c r="E92" s="74"/>
      <c r="F92" s="74"/>
      <c r="G92" s="74"/>
      <c r="H92" s="74"/>
    </row>
    <row r="93" ht="14.25" customHeight="1">
      <c r="A93" s="77"/>
      <c r="B93" s="77"/>
      <c r="C93" s="77"/>
      <c r="D93" s="77"/>
      <c r="E93" s="74"/>
      <c r="F93" s="74"/>
      <c r="G93" s="74"/>
      <c r="H93" s="74"/>
    </row>
    <row r="94" ht="14.25" customHeight="1">
      <c r="A94" s="77"/>
      <c r="B94" s="77"/>
      <c r="C94" s="77"/>
      <c r="D94" s="77"/>
      <c r="E94" s="74"/>
      <c r="F94" s="74"/>
      <c r="G94" s="74"/>
      <c r="H94" s="74"/>
    </row>
    <row r="95" ht="14.25" customHeight="1">
      <c r="A95" s="77"/>
      <c r="B95" s="77"/>
      <c r="C95" s="77"/>
      <c r="D95" s="77"/>
      <c r="E95" s="74"/>
      <c r="F95" s="74"/>
      <c r="G95" s="74"/>
      <c r="H95" s="74"/>
    </row>
    <row r="96" ht="14.25" customHeight="1">
      <c r="A96" s="77"/>
      <c r="B96" s="77"/>
      <c r="C96" s="77"/>
      <c r="D96" s="77"/>
      <c r="E96" s="74"/>
      <c r="F96" s="74"/>
      <c r="G96" s="74"/>
      <c r="H96" s="74"/>
    </row>
    <row r="97" ht="14.25" customHeight="1">
      <c r="A97" s="77"/>
      <c r="B97" s="77"/>
      <c r="C97" s="77"/>
      <c r="D97" s="77"/>
      <c r="E97" s="74"/>
      <c r="F97" s="74"/>
      <c r="G97" s="74"/>
      <c r="H97" s="74"/>
    </row>
    <row r="98" ht="14.25" customHeight="1">
      <c r="A98" s="77"/>
      <c r="B98" s="77"/>
      <c r="C98" s="77"/>
      <c r="D98" s="77"/>
      <c r="E98" s="74"/>
      <c r="F98" s="74"/>
      <c r="G98" s="74"/>
      <c r="H98" s="74"/>
    </row>
    <row r="99" ht="14.25" customHeight="1">
      <c r="A99" s="77"/>
      <c r="B99" s="77"/>
      <c r="C99" s="77"/>
      <c r="D99" s="77"/>
      <c r="E99" s="74"/>
      <c r="F99" s="74"/>
      <c r="G99" s="74"/>
      <c r="H99" s="74"/>
    </row>
    <row r="100" ht="14.25" customHeight="1">
      <c r="A100" s="77"/>
      <c r="B100" s="77"/>
      <c r="C100" s="77"/>
      <c r="D100" s="77"/>
      <c r="E100" s="74"/>
      <c r="F100" s="74"/>
      <c r="G100" s="74"/>
      <c r="H100" s="74"/>
    </row>
    <row r="101" ht="14.25" customHeight="1">
      <c r="A101" s="77"/>
      <c r="B101" s="77"/>
      <c r="C101" s="77"/>
      <c r="D101" s="77"/>
      <c r="E101" s="74"/>
      <c r="F101" s="74"/>
      <c r="G101" s="74"/>
      <c r="H101" s="74"/>
    </row>
    <row r="102" ht="14.25" customHeight="1">
      <c r="A102" s="77"/>
      <c r="B102" s="77"/>
      <c r="C102" s="77"/>
      <c r="D102" s="77"/>
      <c r="E102" s="74"/>
      <c r="F102" s="74"/>
      <c r="G102" s="74"/>
      <c r="H102" s="74"/>
    </row>
    <row r="103" ht="14.25" customHeight="1">
      <c r="A103" s="77"/>
      <c r="B103" s="77"/>
      <c r="C103" s="77"/>
      <c r="D103" s="77"/>
      <c r="E103" s="74"/>
      <c r="F103" s="74"/>
      <c r="G103" s="74"/>
      <c r="H103" s="74"/>
    </row>
    <row r="104" ht="14.25" customHeight="1">
      <c r="A104" s="77"/>
      <c r="B104" s="77"/>
      <c r="C104" s="77"/>
      <c r="D104" s="77"/>
      <c r="E104" s="74"/>
      <c r="F104" s="74"/>
      <c r="G104" s="74"/>
      <c r="H104" s="74"/>
    </row>
    <row r="105" ht="14.25" customHeight="1">
      <c r="A105" s="77"/>
      <c r="B105" s="77"/>
      <c r="C105" s="77"/>
      <c r="D105" s="77"/>
      <c r="E105" s="74"/>
      <c r="F105" s="74"/>
      <c r="G105" s="74"/>
      <c r="H105" s="74"/>
    </row>
    <row r="106" ht="14.25" customHeight="1">
      <c r="A106" s="77"/>
      <c r="B106" s="77"/>
      <c r="C106" s="77"/>
      <c r="D106" s="77"/>
      <c r="E106" s="74"/>
      <c r="F106" s="74"/>
      <c r="G106" s="74"/>
      <c r="H106" s="74"/>
    </row>
    <row r="107" ht="14.25" customHeight="1">
      <c r="A107" s="77"/>
      <c r="B107" s="77"/>
      <c r="C107" s="77"/>
      <c r="D107" s="77"/>
      <c r="E107" s="74"/>
      <c r="F107" s="74"/>
      <c r="G107" s="74"/>
      <c r="H107" s="74"/>
    </row>
    <row r="108" ht="14.25" customHeight="1">
      <c r="A108" s="77"/>
      <c r="B108" s="77"/>
      <c r="C108" s="77"/>
      <c r="D108" s="77"/>
      <c r="E108" s="74"/>
      <c r="F108" s="74"/>
      <c r="G108" s="74"/>
      <c r="H108" s="74"/>
    </row>
    <row r="109" ht="14.25" customHeight="1">
      <c r="A109" s="77"/>
      <c r="B109" s="77"/>
      <c r="C109" s="77"/>
      <c r="D109" s="77"/>
      <c r="E109" s="74"/>
      <c r="F109" s="74"/>
      <c r="G109" s="74"/>
      <c r="H109" s="74"/>
    </row>
    <row r="110" ht="14.25" customHeight="1">
      <c r="A110" s="77"/>
      <c r="B110" s="77"/>
      <c r="C110" s="77"/>
      <c r="D110" s="77"/>
      <c r="E110" s="74"/>
      <c r="F110" s="74"/>
      <c r="G110" s="74"/>
      <c r="H110" s="74"/>
    </row>
    <row r="111" ht="14.25" customHeight="1">
      <c r="A111" s="77"/>
      <c r="B111" s="77"/>
      <c r="C111" s="77"/>
      <c r="D111" s="77"/>
      <c r="E111" s="74"/>
      <c r="F111" s="74"/>
      <c r="G111" s="74"/>
      <c r="H111" s="74"/>
    </row>
    <row r="112" ht="14.25" customHeight="1">
      <c r="A112" s="77"/>
      <c r="B112" s="77"/>
      <c r="C112" s="77"/>
      <c r="D112" s="77"/>
      <c r="E112" s="74"/>
      <c r="F112" s="74"/>
      <c r="G112" s="74"/>
      <c r="H112" s="74"/>
    </row>
    <row r="113" ht="14.25" customHeight="1">
      <c r="A113" s="77"/>
      <c r="B113" s="77"/>
      <c r="C113" s="77"/>
      <c r="D113" s="77"/>
      <c r="E113" s="74"/>
      <c r="F113" s="74"/>
      <c r="G113" s="74"/>
      <c r="H113" s="74"/>
    </row>
    <row r="114" ht="14.25" customHeight="1">
      <c r="A114" s="77"/>
      <c r="B114" s="77"/>
      <c r="C114" s="77"/>
      <c r="D114" s="77"/>
      <c r="E114" s="74"/>
      <c r="F114" s="74"/>
      <c r="G114" s="74"/>
      <c r="H114" s="74"/>
    </row>
    <row r="115" ht="14.25" customHeight="1">
      <c r="A115" s="77"/>
      <c r="B115" s="77"/>
      <c r="C115" s="77"/>
      <c r="D115" s="77"/>
      <c r="E115" s="74"/>
      <c r="F115" s="74"/>
      <c r="G115" s="74"/>
      <c r="H115" s="74"/>
    </row>
    <row r="116" ht="14.25" customHeight="1">
      <c r="A116" s="77"/>
      <c r="B116" s="77"/>
      <c r="C116" s="77"/>
      <c r="D116" s="77"/>
      <c r="E116" s="74"/>
      <c r="F116" s="74"/>
      <c r="G116" s="74"/>
      <c r="H116" s="74"/>
    </row>
    <row r="117" ht="14.25" customHeight="1">
      <c r="A117" s="77"/>
      <c r="B117" s="77"/>
      <c r="C117" s="77"/>
      <c r="D117" s="77"/>
      <c r="E117" s="74"/>
      <c r="F117" s="74"/>
      <c r="G117" s="74"/>
      <c r="H117" s="74"/>
    </row>
    <row r="118" ht="14.25" customHeight="1">
      <c r="A118" s="77"/>
      <c r="B118" s="77"/>
      <c r="C118" s="77"/>
      <c r="D118" s="77"/>
      <c r="E118" s="74"/>
      <c r="F118" s="74"/>
      <c r="G118" s="74"/>
      <c r="H118" s="74"/>
    </row>
    <row r="119" ht="14.25" customHeight="1">
      <c r="A119" s="77"/>
      <c r="B119" s="77"/>
      <c r="C119" s="77"/>
      <c r="D119" s="77"/>
      <c r="E119" s="74"/>
      <c r="F119" s="74"/>
      <c r="G119" s="74"/>
      <c r="H119" s="74"/>
    </row>
    <row r="120" ht="14.25" customHeight="1">
      <c r="A120" s="77"/>
      <c r="B120" s="77"/>
      <c r="C120" s="77"/>
      <c r="D120" s="77"/>
      <c r="E120" s="74"/>
      <c r="F120" s="74"/>
      <c r="G120" s="74"/>
      <c r="H120" s="74"/>
    </row>
    <row r="121" ht="14.25" customHeight="1">
      <c r="A121" s="77"/>
      <c r="B121" s="77"/>
      <c r="C121" s="77"/>
      <c r="D121" s="77"/>
      <c r="E121" s="74"/>
      <c r="F121" s="74"/>
      <c r="G121" s="74"/>
      <c r="H121" s="74"/>
    </row>
    <row r="122" ht="14.25" customHeight="1">
      <c r="A122" s="77"/>
      <c r="B122" s="77"/>
      <c r="C122" s="77"/>
      <c r="D122" s="77"/>
      <c r="E122" s="74"/>
      <c r="F122" s="74"/>
      <c r="G122" s="74"/>
      <c r="H122" s="74"/>
    </row>
    <row r="123" ht="14.25" customHeight="1">
      <c r="A123" s="77"/>
      <c r="B123" s="77"/>
      <c r="C123" s="77"/>
      <c r="D123" s="77"/>
      <c r="E123" s="74"/>
      <c r="F123" s="74"/>
      <c r="G123" s="74"/>
      <c r="H123" s="74"/>
    </row>
    <row r="124" ht="14.25" customHeight="1">
      <c r="A124" s="77"/>
      <c r="B124" s="77"/>
      <c r="C124" s="77"/>
      <c r="D124" s="77"/>
      <c r="E124" s="74"/>
      <c r="F124" s="74"/>
      <c r="G124" s="74"/>
      <c r="H124" s="74"/>
    </row>
    <row r="125" ht="14.25" customHeight="1">
      <c r="A125" s="77"/>
      <c r="B125" s="77"/>
      <c r="C125" s="77"/>
      <c r="D125" s="77"/>
      <c r="E125" s="74"/>
      <c r="F125" s="74"/>
      <c r="G125" s="74"/>
      <c r="H125" s="74"/>
    </row>
    <row r="126" ht="14.25" customHeight="1">
      <c r="A126" s="77"/>
      <c r="B126" s="77"/>
      <c r="C126" s="77"/>
      <c r="D126" s="77"/>
      <c r="E126" s="74"/>
      <c r="F126" s="74"/>
      <c r="G126" s="74"/>
      <c r="H126" s="74"/>
    </row>
    <row r="127" ht="14.25" customHeight="1">
      <c r="A127" s="77"/>
      <c r="B127" s="77"/>
      <c r="C127" s="77"/>
      <c r="D127" s="77"/>
      <c r="E127" s="74"/>
      <c r="F127" s="74"/>
      <c r="G127" s="74"/>
      <c r="H127" s="74"/>
    </row>
    <row r="128" ht="14.25" customHeight="1">
      <c r="A128" s="77"/>
      <c r="B128" s="77"/>
      <c r="C128" s="77"/>
      <c r="D128" s="77"/>
      <c r="E128" s="74"/>
      <c r="F128" s="74"/>
      <c r="G128" s="74"/>
      <c r="H128" s="74"/>
    </row>
    <row r="129" ht="14.25" customHeight="1">
      <c r="A129" s="77"/>
      <c r="B129" s="77"/>
      <c r="C129" s="77"/>
      <c r="D129" s="77"/>
      <c r="E129" s="74"/>
      <c r="F129" s="74"/>
      <c r="G129" s="74"/>
      <c r="H129" s="74"/>
    </row>
    <row r="130" ht="14.25" customHeight="1">
      <c r="A130" s="77"/>
      <c r="B130" s="77"/>
      <c r="C130" s="77"/>
      <c r="D130" s="77"/>
      <c r="E130" s="74"/>
      <c r="F130" s="74"/>
      <c r="G130" s="74"/>
      <c r="H130" s="74"/>
    </row>
    <row r="131" ht="14.25" customHeight="1">
      <c r="A131" s="77"/>
      <c r="B131" s="77"/>
      <c r="C131" s="77"/>
      <c r="D131" s="77"/>
      <c r="E131" s="74"/>
      <c r="F131" s="74"/>
      <c r="G131" s="74"/>
      <c r="H131" s="74"/>
    </row>
    <row r="132" ht="14.25" customHeight="1">
      <c r="A132" s="77"/>
      <c r="B132" s="77"/>
      <c r="C132" s="77"/>
      <c r="D132" s="77"/>
      <c r="E132" s="74"/>
      <c r="F132" s="74"/>
      <c r="G132" s="74"/>
      <c r="H132" s="74"/>
    </row>
    <row r="133" ht="14.25" customHeight="1">
      <c r="A133" s="77"/>
      <c r="B133" s="77"/>
      <c r="C133" s="77"/>
      <c r="D133" s="77"/>
      <c r="E133" s="74"/>
      <c r="F133" s="74"/>
      <c r="G133" s="74"/>
      <c r="H133" s="74"/>
    </row>
    <row r="134" ht="14.25" customHeight="1">
      <c r="A134" s="77"/>
      <c r="B134" s="77"/>
      <c r="C134" s="77"/>
      <c r="D134" s="77"/>
      <c r="E134" s="74"/>
      <c r="F134" s="74"/>
      <c r="G134" s="74"/>
      <c r="H134" s="74"/>
    </row>
    <row r="135" ht="14.25" customHeight="1">
      <c r="A135" s="77"/>
      <c r="B135" s="77"/>
      <c r="C135" s="77"/>
      <c r="D135" s="77"/>
      <c r="E135" s="74"/>
      <c r="F135" s="74"/>
      <c r="G135" s="74"/>
      <c r="H135" s="74"/>
    </row>
    <row r="136" ht="14.25" customHeight="1">
      <c r="A136" s="77"/>
      <c r="B136" s="77"/>
      <c r="C136" s="77"/>
      <c r="D136" s="77"/>
      <c r="E136" s="74"/>
      <c r="F136" s="74"/>
      <c r="G136" s="74"/>
      <c r="H136" s="74"/>
    </row>
    <row r="137" ht="14.25" customHeight="1">
      <c r="A137" s="77"/>
      <c r="B137" s="77"/>
      <c r="C137" s="77"/>
      <c r="D137" s="77"/>
      <c r="E137" s="74"/>
      <c r="F137" s="74"/>
      <c r="G137" s="74"/>
      <c r="H137" s="74"/>
    </row>
    <row r="138" ht="14.25" customHeight="1">
      <c r="A138" s="77"/>
      <c r="B138" s="77"/>
      <c r="C138" s="77"/>
      <c r="D138" s="77"/>
      <c r="E138" s="74"/>
      <c r="F138" s="74"/>
      <c r="G138" s="74"/>
      <c r="H138" s="74"/>
    </row>
    <row r="139" ht="14.25" customHeight="1">
      <c r="A139" s="77"/>
      <c r="B139" s="77"/>
      <c r="C139" s="77"/>
      <c r="D139" s="77"/>
      <c r="E139" s="74"/>
      <c r="F139" s="74"/>
      <c r="G139" s="74"/>
      <c r="H139" s="74"/>
    </row>
    <row r="140" ht="14.25" customHeight="1">
      <c r="A140" s="77"/>
      <c r="B140" s="77"/>
      <c r="C140" s="77"/>
      <c r="D140" s="77"/>
      <c r="E140" s="74"/>
      <c r="F140" s="74"/>
      <c r="G140" s="74"/>
      <c r="H140" s="74"/>
    </row>
    <row r="141" ht="14.25" customHeight="1">
      <c r="A141" s="77"/>
      <c r="B141" s="77"/>
      <c r="C141" s="77"/>
      <c r="D141" s="77"/>
      <c r="E141" s="74"/>
      <c r="F141" s="74"/>
      <c r="G141" s="74"/>
      <c r="H141" s="74"/>
    </row>
    <row r="142" ht="14.25" customHeight="1">
      <c r="A142" s="77"/>
      <c r="B142" s="77"/>
      <c r="C142" s="77"/>
      <c r="D142" s="77"/>
      <c r="E142" s="74"/>
      <c r="F142" s="74"/>
      <c r="G142" s="74"/>
      <c r="H142" s="74"/>
    </row>
    <row r="143" ht="14.25" customHeight="1">
      <c r="A143" s="77"/>
      <c r="B143" s="77"/>
      <c r="C143" s="77"/>
      <c r="D143" s="77"/>
      <c r="E143" s="74"/>
      <c r="F143" s="74"/>
      <c r="G143" s="74"/>
      <c r="H143" s="74"/>
    </row>
    <row r="144" ht="14.25" customHeight="1">
      <c r="A144" s="77"/>
      <c r="B144" s="77"/>
      <c r="C144" s="77"/>
      <c r="D144" s="77"/>
      <c r="E144" s="74"/>
      <c r="F144" s="74"/>
      <c r="G144" s="74"/>
      <c r="H144" s="74"/>
    </row>
    <row r="145" ht="14.25" customHeight="1">
      <c r="A145" s="77"/>
      <c r="B145" s="77"/>
      <c r="C145" s="77"/>
      <c r="D145" s="77"/>
      <c r="E145" s="74"/>
      <c r="F145" s="74"/>
      <c r="G145" s="74"/>
      <c r="H145" s="74"/>
    </row>
    <row r="146" ht="14.25" customHeight="1">
      <c r="A146" s="77"/>
      <c r="B146" s="77"/>
      <c r="C146" s="77"/>
      <c r="D146" s="77"/>
      <c r="E146" s="74"/>
      <c r="F146" s="74"/>
      <c r="G146" s="74"/>
      <c r="H146" s="74"/>
    </row>
    <row r="147" ht="14.25" customHeight="1">
      <c r="A147" s="77"/>
      <c r="B147" s="77"/>
      <c r="C147" s="77"/>
      <c r="D147" s="77"/>
      <c r="E147" s="74"/>
      <c r="F147" s="74"/>
      <c r="G147" s="74"/>
      <c r="H147" s="74"/>
    </row>
    <row r="148" ht="14.25" customHeight="1">
      <c r="A148" s="77"/>
      <c r="B148" s="77"/>
      <c r="C148" s="77"/>
      <c r="D148" s="77"/>
      <c r="E148" s="74"/>
      <c r="F148" s="74"/>
      <c r="G148" s="74"/>
      <c r="H148" s="74"/>
    </row>
    <row r="149" ht="14.25" customHeight="1">
      <c r="A149" s="77"/>
      <c r="B149" s="77"/>
      <c r="C149" s="77"/>
      <c r="D149" s="77"/>
      <c r="E149" s="74"/>
      <c r="F149" s="74"/>
      <c r="G149" s="74"/>
      <c r="H149" s="74"/>
    </row>
    <row r="150" ht="14.25" customHeight="1">
      <c r="A150" s="77"/>
      <c r="B150" s="77"/>
      <c r="C150" s="77"/>
      <c r="D150" s="77"/>
      <c r="E150" s="74"/>
      <c r="F150" s="74"/>
      <c r="G150" s="74"/>
      <c r="H150" s="74"/>
    </row>
    <row r="151" ht="14.25" customHeight="1">
      <c r="A151" s="77"/>
      <c r="B151" s="77"/>
      <c r="C151" s="77"/>
      <c r="D151" s="77"/>
      <c r="E151" s="74"/>
      <c r="F151" s="74"/>
      <c r="G151" s="74"/>
      <c r="H151" s="74"/>
    </row>
    <row r="152" ht="14.25" customHeight="1">
      <c r="A152" s="77"/>
      <c r="B152" s="77"/>
      <c r="C152" s="77"/>
      <c r="D152" s="77"/>
      <c r="E152" s="74"/>
      <c r="F152" s="74"/>
      <c r="G152" s="74"/>
      <c r="H152" s="74"/>
    </row>
    <row r="153" ht="14.25" customHeight="1">
      <c r="A153" s="77"/>
      <c r="B153" s="77"/>
      <c r="C153" s="77"/>
      <c r="D153" s="77"/>
      <c r="E153" s="74"/>
      <c r="F153" s="74"/>
      <c r="G153" s="74"/>
      <c r="H153" s="74"/>
    </row>
    <row r="154" ht="14.25" customHeight="1">
      <c r="A154" s="77"/>
      <c r="B154" s="77"/>
      <c r="C154" s="77"/>
      <c r="D154" s="77"/>
      <c r="E154" s="74"/>
      <c r="F154" s="74"/>
      <c r="G154" s="74"/>
      <c r="H154" s="74"/>
    </row>
    <row r="155" ht="14.25" customHeight="1">
      <c r="A155" s="77"/>
      <c r="B155" s="77"/>
      <c r="C155" s="77"/>
      <c r="D155" s="77"/>
      <c r="E155" s="74"/>
      <c r="F155" s="74"/>
      <c r="G155" s="74"/>
      <c r="H155" s="74"/>
    </row>
    <row r="156" ht="14.25" customHeight="1">
      <c r="A156" s="77"/>
      <c r="B156" s="77"/>
      <c r="C156" s="77"/>
      <c r="D156" s="77"/>
      <c r="E156" s="74"/>
      <c r="F156" s="74"/>
      <c r="G156" s="74"/>
      <c r="H156" s="74"/>
    </row>
    <row r="157" ht="14.25" customHeight="1">
      <c r="A157" s="77"/>
      <c r="B157" s="77"/>
      <c r="C157" s="77"/>
      <c r="D157" s="77"/>
      <c r="E157" s="74"/>
      <c r="F157" s="74"/>
      <c r="G157" s="74"/>
      <c r="H157" s="74"/>
    </row>
    <row r="158" ht="14.25" customHeight="1">
      <c r="A158" s="77"/>
      <c r="B158" s="77"/>
      <c r="C158" s="77"/>
      <c r="D158" s="77"/>
      <c r="E158" s="74"/>
      <c r="F158" s="74"/>
      <c r="G158" s="74"/>
      <c r="H158" s="74"/>
    </row>
    <row r="159" ht="14.25" customHeight="1">
      <c r="A159" s="77"/>
      <c r="B159" s="77"/>
      <c r="C159" s="77"/>
      <c r="D159" s="77"/>
      <c r="E159" s="74"/>
      <c r="F159" s="74"/>
      <c r="G159" s="74"/>
      <c r="H159" s="74"/>
    </row>
    <row r="160" ht="14.25" customHeight="1">
      <c r="A160" s="77"/>
      <c r="B160" s="77"/>
      <c r="C160" s="77"/>
      <c r="D160" s="77"/>
      <c r="E160" s="74"/>
      <c r="F160" s="74"/>
      <c r="G160" s="74"/>
      <c r="H160" s="74"/>
    </row>
    <row r="161" ht="14.25" customHeight="1">
      <c r="A161" s="77"/>
      <c r="B161" s="77"/>
      <c r="C161" s="77"/>
      <c r="D161" s="77"/>
      <c r="E161" s="74"/>
      <c r="F161" s="74"/>
      <c r="G161" s="74"/>
      <c r="H161" s="74"/>
    </row>
    <row r="162" ht="14.25" customHeight="1">
      <c r="A162" s="77"/>
      <c r="B162" s="77"/>
      <c r="C162" s="77"/>
      <c r="D162" s="77"/>
      <c r="E162" s="74"/>
      <c r="F162" s="74"/>
      <c r="G162" s="74"/>
      <c r="H162" s="74"/>
    </row>
    <row r="163" ht="14.25" customHeight="1">
      <c r="A163" s="77"/>
      <c r="B163" s="77"/>
      <c r="C163" s="77"/>
      <c r="D163" s="77"/>
      <c r="E163" s="74"/>
      <c r="F163" s="74"/>
      <c r="G163" s="74"/>
      <c r="H163" s="74"/>
    </row>
    <row r="164" ht="14.25" customHeight="1">
      <c r="A164" s="77"/>
      <c r="B164" s="77"/>
      <c r="C164" s="77"/>
      <c r="D164" s="77"/>
      <c r="E164" s="74"/>
      <c r="F164" s="74"/>
      <c r="G164" s="74"/>
      <c r="H164" s="74"/>
    </row>
    <row r="165" ht="14.25" customHeight="1">
      <c r="A165" s="77"/>
      <c r="B165" s="77"/>
      <c r="C165" s="77"/>
      <c r="D165" s="77"/>
      <c r="E165" s="74"/>
      <c r="F165" s="74"/>
      <c r="G165" s="74"/>
      <c r="H165" s="74"/>
    </row>
    <row r="166" ht="14.25" customHeight="1">
      <c r="A166" s="77"/>
      <c r="B166" s="77"/>
      <c r="C166" s="77"/>
      <c r="D166" s="77"/>
      <c r="E166" s="74"/>
      <c r="F166" s="74"/>
      <c r="G166" s="74"/>
      <c r="H166" s="74"/>
    </row>
    <row r="167" ht="14.25" customHeight="1">
      <c r="A167" s="77"/>
      <c r="B167" s="77"/>
      <c r="C167" s="77"/>
      <c r="D167" s="77"/>
      <c r="E167" s="74"/>
      <c r="F167" s="74"/>
      <c r="G167" s="74"/>
      <c r="H167" s="74"/>
    </row>
    <row r="168" ht="14.25" customHeight="1">
      <c r="A168" s="77"/>
      <c r="B168" s="77"/>
      <c r="C168" s="77"/>
      <c r="D168" s="77"/>
      <c r="E168" s="74"/>
      <c r="F168" s="74"/>
      <c r="G168" s="74"/>
      <c r="H168" s="74"/>
    </row>
    <row r="169" ht="14.25" customHeight="1">
      <c r="A169" s="77"/>
      <c r="B169" s="77"/>
      <c r="C169" s="77"/>
      <c r="D169" s="77"/>
      <c r="E169" s="74"/>
      <c r="F169" s="74"/>
      <c r="G169" s="74"/>
      <c r="H169" s="74"/>
    </row>
    <row r="170" ht="14.25" customHeight="1">
      <c r="A170" s="77"/>
      <c r="B170" s="77"/>
      <c r="C170" s="77"/>
      <c r="D170" s="77"/>
      <c r="E170" s="74"/>
      <c r="F170" s="74"/>
      <c r="G170" s="74"/>
      <c r="H170" s="74"/>
    </row>
    <row r="171" ht="14.25" customHeight="1">
      <c r="A171" s="77"/>
      <c r="B171" s="77"/>
      <c r="C171" s="77"/>
      <c r="D171" s="77"/>
      <c r="E171" s="74"/>
      <c r="F171" s="74"/>
      <c r="G171" s="74"/>
      <c r="H171" s="74"/>
    </row>
    <row r="172" ht="14.25" customHeight="1">
      <c r="A172" s="77"/>
      <c r="B172" s="77"/>
      <c r="C172" s="77"/>
      <c r="D172" s="77"/>
      <c r="E172" s="74"/>
      <c r="F172" s="74"/>
      <c r="G172" s="74"/>
      <c r="H172" s="74"/>
    </row>
    <row r="173" ht="14.25" customHeight="1">
      <c r="A173" s="77"/>
      <c r="B173" s="77"/>
      <c r="C173" s="77"/>
      <c r="D173" s="77"/>
      <c r="E173" s="74"/>
      <c r="F173" s="74"/>
      <c r="G173" s="74"/>
      <c r="H173" s="74"/>
    </row>
    <row r="174" ht="14.25" customHeight="1">
      <c r="A174" s="77"/>
      <c r="B174" s="77"/>
      <c r="C174" s="77"/>
      <c r="D174" s="77"/>
      <c r="E174" s="74"/>
      <c r="F174" s="74"/>
      <c r="G174" s="74"/>
      <c r="H174" s="74"/>
    </row>
    <row r="175" ht="14.25" customHeight="1">
      <c r="A175" s="77"/>
      <c r="B175" s="77"/>
      <c r="C175" s="77"/>
      <c r="D175" s="77"/>
      <c r="E175" s="74"/>
      <c r="F175" s="74"/>
      <c r="G175" s="74"/>
      <c r="H175" s="74"/>
    </row>
    <row r="176" ht="14.25" customHeight="1">
      <c r="A176" s="77"/>
      <c r="B176" s="77"/>
      <c r="C176" s="77"/>
      <c r="D176" s="77"/>
      <c r="E176" s="74"/>
      <c r="F176" s="74"/>
      <c r="G176" s="74"/>
      <c r="H176" s="74"/>
    </row>
    <row r="177" ht="14.25" customHeight="1">
      <c r="A177" s="77"/>
      <c r="B177" s="77"/>
      <c r="C177" s="77"/>
      <c r="D177" s="77"/>
      <c r="E177" s="74"/>
      <c r="F177" s="74"/>
      <c r="G177" s="74"/>
      <c r="H177" s="74"/>
    </row>
    <row r="178" ht="14.25" customHeight="1">
      <c r="A178" s="77"/>
      <c r="B178" s="77"/>
      <c r="C178" s="77"/>
      <c r="D178" s="77"/>
      <c r="E178" s="74"/>
      <c r="F178" s="74"/>
      <c r="G178" s="74"/>
      <c r="H178" s="74"/>
    </row>
    <row r="179" ht="14.25" customHeight="1">
      <c r="A179" s="77"/>
      <c r="B179" s="77"/>
      <c r="C179" s="77"/>
      <c r="D179" s="77"/>
      <c r="E179" s="74"/>
      <c r="F179" s="74"/>
      <c r="G179" s="74"/>
      <c r="H179" s="74"/>
    </row>
    <row r="180" ht="14.25" customHeight="1">
      <c r="A180" s="77"/>
      <c r="B180" s="77"/>
      <c r="C180" s="77"/>
      <c r="D180" s="77"/>
      <c r="E180" s="74"/>
      <c r="F180" s="74"/>
      <c r="G180" s="74"/>
      <c r="H180" s="74"/>
    </row>
    <row r="181" ht="14.25" customHeight="1">
      <c r="A181" s="77"/>
      <c r="B181" s="77"/>
      <c r="C181" s="77"/>
      <c r="D181" s="77"/>
      <c r="E181" s="74"/>
      <c r="F181" s="74"/>
      <c r="G181" s="74"/>
      <c r="H181" s="74"/>
    </row>
    <row r="182" ht="14.25" customHeight="1">
      <c r="A182" s="77"/>
      <c r="B182" s="77"/>
      <c r="C182" s="77"/>
      <c r="D182" s="77"/>
      <c r="E182" s="74"/>
      <c r="F182" s="74"/>
      <c r="G182" s="74"/>
      <c r="H182" s="74"/>
    </row>
    <row r="183" ht="14.25" customHeight="1">
      <c r="A183" s="77"/>
      <c r="B183" s="77"/>
      <c r="C183" s="77"/>
      <c r="D183" s="77"/>
      <c r="E183" s="74"/>
      <c r="F183" s="74"/>
      <c r="G183" s="74"/>
      <c r="H183" s="74"/>
    </row>
    <row r="184" ht="14.25" customHeight="1">
      <c r="A184" s="77"/>
      <c r="B184" s="77"/>
      <c r="C184" s="77"/>
      <c r="D184" s="77"/>
      <c r="E184" s="74"/>
      <c r="F184" s="74"/>
      <c r="G184" s="74"/>
      <c r="H184" s="74"/>
    </row>
    <row r="185" ht="14.25" customHeight="1">
      <c r="A185" s="77"/>
      <c r="B185" s="77"/>
      <c r="C185" s="77"/>
      <c r="D185" s="77"/>
      <c r="E185" s="74"/>
      <c r="F185" s="74"/>
      <c r="G185" s="74"/>
      <c r="H185" s="74"/>
    </row>
    <row r="186" ht="14.25" customHeight="1">
      <c r="A186" s="77"/>
      <c r="B186" s="77"/>
      <c r="C186" s="77"/>
      <c r="D186" s="77"/>
      <c r="E186" s="74"/>
      <c r="F186" s="74"/>
      <c r="G186" s="74"/>
      <c r="H186" s="74"/>
    </row>
    <row r="187" ht="14.25" customHeight="1">
      <c r="A187" s="77"/>
      <c r="B187" s="77"/>
      <c r="C187" s="77"/>
      <c r="D187" s="77"/>
      <c r="E187" s="74"/>
      <c r="F187" s="74"/>
      <c r="G187" s="74"/>
      <c r="H187" s="74"/>
    </row>
    <row r="188" ht="14.25" customHeight="1">
      <c r="A188" s="77"/>
      <c r="B188" s="77"/>
      <c r="C188" s="77"/>
      <c r="D188" s="77"/>
      <c r="E188" s="74"/>
      <c r="F188" s="74"/>
      <c r="G188" s="74"/>
      <c r="H188" s="74"/>
    </row>
    <row r="189" ht="14.25" customHeight="1">
      <c r="A189" s="77"/>
      <c r="B189" s="77"/>
      <c r="C189" s="77"/>
      <c r="D189" s="77"/>
      <c r="E189" s="74"/>
      <c r="F189" s="74"/>
      <c r="G189" s="74"/>
      <c r="H189" s="74"/>
    </row>
    <row r="190" ht="14.25" customHeight="1">
      <c r="A190" s="77"/>
      <c r="B190" s="77"/>
      <c r="C190" s="77"/>
      <c r="D190" s="77"/>
      <c r="E190" s="74"/>
      <c r="F190" s="74"/>
      <c r="G190" s="74"/>
      <c r="H190" s="74"/>
    </row>
    <row r="191" ht="14.25" customHeight="1">
      <c r="A191" s="77"/>
      <c r="B191" s="77"/>
      <c r="C191" s="77"/>
      <c r="D191" s="77"/>
      <c r="E191" s="74"/>
      <c r="F191" s="74"/>
      <c r="G191" s="74"/>
      <c r="H191" s="74"/>
    </row>
    <row r="192" ht="14.25" customHeight="1">
      <c r="A192" s="77"/>
      <c r="B192" s="77"/>
      <c r="C192" s="77"/>
      <c r="D192" s="77"/>
      <c r="E192" s="74"/>
      <c r="F192" s="74"/>
      <c r="G192" s="74"/>
      <c r="H192" s="74"/>
    </row>
    <row r="193" ht="14.25" customHeight="1">
      <c r="A193" s="77"/>
      <c r="B193" s="77"/>
      <c r="C193" s="77"/>
      <c r="D193" s="77"/>
      <c r="E193" s="74"/>
      <c r="F193" s="74"/>
      <c r="G193" s="74"/>
      <c r="H193" s="74"/>
    </row>
    <row r="194" ht="14.25" customHeight="1">
      <c r="A194" s="77"/>
      <c r="B194" s="77"/>
      <c r="C194" s="77"/>
      <c r="D194" s="77"/>
      <c r="E194" s="74"/>
      <c r="F194" s="74"/>
      <c r="G194" s="74"/>
      <c r="H194" s="74"/>
    </row>
    <row r="195" ht="14.25" customHeight="1">
      <c r="A195" s="77"/>
      <c r="B195" s="77"/>
      <c r="C195" s="77"/>
      <c r="D195" s="77"/>
      <c r="E195" s="74"/>
      <c r="F195" s="74"/>
      <c r="G195" s="74"/>
      <c r="H195" s="74"/>
    </row>
    <row r="196" ht="14.25" customHeight="1">
      <c r="A196" s="77"/>
      <c r="B196" s="77"/>
      <c r="C196" s="77"/>
      <c r="D196" s="77"/>
      <c r="E196" s="74"/>
      <c r="F196" s="74"/>
      <c r="G196" s="74"/>
      <c r="H196" s="74"/>
    </row>
    <row r="197" ht="14.25" customHeight="1">
      <c r="A197" s="77"/>
      <c r="B197" s="77"/>
      <c r="C197" s="77"/>
      <c r="D197" s="77"/>
      <c r="E197" s="74"/>
      <c r="F197" s="74"/>
      <c r="G197" s="74"/>
      <c r="H197" s="74"/>
    </row>
    <row r="198" ht="14.25" customHeight="1">
      <c r="A198" s="77"/>
      <c r="B198" s="77"/>
      <c r="C198" s="77"/>
      <c r="D198" s="77"/>
      <c r="E198" s="74"/>
      <c r="F198" s="74"/>
      <c r="G198" s="74"/>
      <c r="H198" s="74"/>
    </row>
    <row r="199" ht="14.25" customHeight="1">
      <c r="A199" s="77"/>
      <c r="B199" s="77"/>
      <c r="C199" s="77"/>
      <c r="D199" s="77"/>
      <c r="E199" s="74"/>
      <c r="F199" s="74"/>
      <c r="G199" s="74"/>
      <c r="H199" s="74"/>
    </row>
    <row r="200" ht="14.25" customHeight="1">
      <c r="A200" s="77"/>
      <c r="B200" s="77"/>
      <c r="C200" s="77"/>
      <c r="D200" s="77"/>
      <c r="E200" s="74"/>
      <c r="F200" s="74"/>
      <c r="G200" s="74"/>
      <c r="H200" s="74"/>
    </row>
    <row r="201" ht="14.25" customHeight="1">
      <c r="A201" s="77"/>
      <c r="B201" s="77"/>
      <c r="C201" s="77"/>
      <c r="D201" s="77"/>
      <c r="E201" s="74"/>
      <c r="F201" s="74"/>
      <c r="G201" s="74"/>
      <c r="H201" s="74"/>
    </row>
    <row r="202" ht="14.25" customHeight="1">
      <c r="A202" s="77"/>
      <c r="B202" s="77"/>
      <c r="C202" s="77"/>
      <c r="D202" s="77"/>
      <c r="E202" s="74"/>
      <c r="F202" s="74"/>
      <c r="G202" s="74"/>
      <c r="H202" s="74"/>
    </row>
    <row r="203" ht="14.25" customHeight="1">
      <c r="A203" s="77"/>
      <c r="B203" s="77"/>
      <c r="C203" s="77"/>
      <c r="D203" s="77"/>
      <c r="E203" s="74"/>
      <c r="F203" s="74"/>
      <c r="G203" s="74"/>
      <c r="H203" s="74"/>
    </row>
    <row r="204" ht="14.25" customHeight="1">
      <c r="A204" s="77"/>
      <c r="B204" s="77"/>
      <c r="C204" s="77"/>
      <c r="D204" s="77"/>
      <c r="E204" s="74"/>
      <c r="F204" s="74"/>
      <c r="G204" s="74"/>
      <c r="H204" s="74"/>
    </row>
    <row r="205" ht="14.25" customHeight="1">
      <c r="A205" s="77"/>
      <c r="B205" s="77"/>
      <c r="C205" s="77"/>
      <c r="D205" s="77"/>
      <c r="E205" s="74"/>
      <c r="F205" s="74"/>
      <c r="G205" s="74"/>
      <c r="H205" s="74"/>
    </row>
    <row r="206" ht="14.25" customHeight="1">
      <c r="A206" s="77"/>
      <c r="B206" s="77"/>
      <c r="C206" s="77"/>
      <c r="D206" s="77"/>
      <c r="E206" s="74"/>
      <c r="F206" s="74"/>
      <c r="G206" s="74"/>
      <c r="H206" s="74"/>
    </row>
    <row r="207" ht="14.25" customHeight="1">
      <c r="A207" s="77"/>
      <c r="B207" s="77"/>
      <c r="C207" s="77"/>
      <c r="D207" s="77"/>
      <c r="E207" s="74"/>
      <c r="F207" s="74"/>
      <c r="G207" s="74"/>
      <c r="H207" s="74"/>
    </row>
    <row r="208" ht="14.25" customHeight="1">
      <c r="A208" s="77"/>
      <c r="B208" s="77"/>
      <c r="C208" s="77"/>
      <c r="D208" s="77"/>
      <c r="E208" s="74"/>
      <c r="F208" s="74"/>
      <c r="G208" s="74"/>
      <c r="H208" s="74"/>
    </row>
    <row r="209" ht="14.25" customHeight="1">
      <c r="A209" s="77"/>
      <c r="B209" s="77"/>
      <c r="C209" s="77"/>
      <c r="D209" s="77"/>
      <c r="E209" s="74"/>
      <c r="F209" s="74"/>
      <c r="G209" s="74"/>
      <c r="H209" s="74"/>
    </row>
    <row r="210" ht="14.25" customHeight="1">
      <c r="A210" s="77"/>
      <c r="B210" s="77"/>
      <c r="C210" s="77"/>
      <c r="D210" s="77"/>
      <c r="E210" s="74"/>
      <c r="F210" s="74"/>
      <c r="G210" s="74"/>
      <c r="H210" s="74"/>
    </row>
    <row r="211" ht="14.25" customHeight="1">
      <c r="A211" s="77"/>
      <c r="B211" s="77"/>
      <c r="C211" s="77"/>
      <c r="D211" s="77"/>
      <c r="E211" s="74"/>
      <c r="F211" s="74"/>
      <c r="G211" s="74"/>
      <c r="H211" s="74"/>
    </row>
    <row r="212" ht="14.25" customHeight="1">
      <c r="A212" s="77"/>
      <c r="B212" s="77"/>
      <c r="C212" s="77"/>
      <c r="D212" s="77"/>
      <c r="E212" s="74"/>
      <c r="F212" s="74"/>
      <c r="G212" s="74"/>
      <c r="H212" s="74"/>
    </row>
    <row r="213" ht="14.25" customHeight="1">
      <c r="A213" s="77"/>
      <c r="B213" s="77"/>
      <c r="C213" s="77"/>
      <c r="D213" s="77"/>
      <c r="E213" s="74"/>
      <c r="F213" s="74"/>
      <c r="G213" s="74"/>
      <c r="H213" s="74"/>
    </row>
    <row r="214" ht="14.25" customHeight="1">
      <c r="A214" s="77"/>
      <c r="B214" s="77"/>
      <c r="C214" s="77"/>
      <c r="D214" s="77"/>
      <c r="E214" s="74"/>
      <c r="F214" s="74"/>
      <c r="G214" s="74"/>
      <c r="H214" s="74"/>
    </row>
    <row r="215" ht="14.25" customHeight="1">
      <c r="A215" s="77"/>
      <c r="B215" s="77"/>
      <c r="C215" s="77"/>
      <c r="D215" s="77"/>
      <c r="E215" s="74"/>
      <c r="F215" s="74"/>
      <c r="G215" s="74"/>
      <c r="H215" s="74"/>
    </row>
    <row r="216" ht="14.25" customHeight="1">
      <c r="A216" s="77"/>
      <c r="B216" s="77"/>
      <c r="C216" s="77"/>
      <c r="D216" s="77"/>
      <c r="E216" s="74"/>
      <c r="F216" s="74"/>
      <c r="G216" s="74"/>
      <c r="H216" s="74"/>
    </row>
    <row r="217" ht="14.25" customHeight="1">
      <c r="A217" s="77"/>
      <c r="B217" s="77"/>
      <c r="C217" s="77"/>
      <c r="D217" s="77"/>
      <c r="E217" s="74"/>
      <c r="F217" s="74"/>
      <c r="G217" s="74"/>
      <c r="H217" s="74"/>
    </row>
    <row r="218" ht="14.25" customHeight="1">
      <c r="A218" s="77"/>
      <c r="B218" s="77"/>
      <c r="C218" s="77"/>
      <c r="D218" s="77"/>
      <c r="E218" s="74"/>
      <c r="F218" s="74"/>
      <c r="G218" s="74"/>
      <c r="H218" s="74"/>
    </row>
    <row r="219" ht="14.25" customHeight="1">
      <c r="A219" s="77"/>
      <c r="B219" s="77"/>
      <c r="C219" s="77"/>
      <c r="D219" s="77"/>
      <c r="E219" s="74"/>
      <c r="F219" s="74"/>
      <c r="G219" s="74"/>
      <c r="H219" s="74"/>
    </row>
    <row r="220" ht="14.25" customHeight="1">
      <c r="A220" s="77"/>
      <c r="B220" s="77"/>
      <c r="C220" s="77"/>
      <c r="D220" s="77"/>
      <c r="E220" s="74"/>
      <c r="F220" s="74"/>
      <c r="G220" s="74"/>
      <c r="H220" s="74"/>
    </row>
    <row r="221" ht="14.25" customHeight="1">
      <c r="A221" s="77"/>
      <c r="B221" s="77"/>
      <c r="C221" s="77"/>
      <c r="D221" s="77"/>
      <c r="E221" s="74"/>
      <c r="F221" s="74"/>
      <c r="G221" s="74"/>
      <c r="H221" s="74"/>
    </row>
    <row r="222" ht="14.25" customHeight="1">
      <c r="A222" s="77"/>
      <c r="B222" s="77"/>
      <c r="C222" s="77"/>
      <c r="D222" s="77"/>
      <c r="E222" s="74"/>
      <c r="F222" s="74"/>
      <c r="G222" s="74"/>
      <c r="H222" s="74"/>
    </row>
    <row r="223" ht="14.25" customHeight="1">
      <c r="A223" s="77"/>
      <c r="B223" s="77"/>
      <c r="C223" s="77"/>
      <c r="D223" s="77"/>
      <c r="E223" s="74"/>
      <c r="F223" s="74"/>
      <c r="G223" s="74"/>
      <c r="H223" s="74"/>
    </row>
    <row r="224" ht="14.25" customHeight="1">
      <c r="A224" s="77"/>
      <c r="B224" s="77"/>
      <c r="C224" s="77"/>
      <c r="D224" s="77"/>
      <c r="E224" s="74"/>
      <c r="F224" s="74"/>
      <c r="G224" s="74"/>
      <c r="H224" s="74"/>
    </row>
    <row r="225" ht="14.25" customHeight="1">
      <c r="A225" s="77"/>
      <c r="B225" s="77"/>
      <c r="C225" s="77"/>
      <c r="D225" s="77"/>
      <c r="E225" s="74"/>
      <c r="F225" s="74"/>
      <c r="G225" s="74"/>
      <c r="H225" s="74"/>
    </row>
    <row r="226" ht="14.25" customHeight="1">
      <c r="A226" s="77"/>
      <c r="B226" s="77"/>
      <c r="C226" s="77"/>
      <c r="D226" s="77"/>
      <c r="E226" s="74"/>
      <c r="F226" s="74"/>
      <c r="G226" s="74"/>
      <c r="H226" s="74"/>
    </row>
    <row r="227" ht="14.25" customHeight="1">
      <c r="A227" s="77"/>
      <c r="B227" s="77"/>
      <c r="C227" s="77"/>
      <c r="D227" s="77"/>
      <c r="E227" s="74"/>
      <c r="F227" s="74"/>
      <c r="G227" s="74"/>
      <c r="H227" s="74"/>
    </row>
    <row r="228" ht="14.25" customHeight="1">
      <c r="A228" s="77"/>
      <c r="B228" s="77"/>
      <c r="C228" s="77"/>
      <c r="D228" s="77"/>
      <c r="E228" s="74"/>
      <c r="F228" s="74"/>
      <c r="G228" s="74"/>
      <c r="H228" s="74"/>
    </row>
    <row r="229" ht="14.25" customHeight="1">
      <c r="A229" s="77"/>
      <c r="B229" s="77"/>
      <c r="C229" s="77"/>
      <c r="D229" s="77"/>
      <c r="E229" s="74"/>
      <c r="F229" s="74"/>
      <c r="G229" s="74"/>
      <c r="H229" s="74"/>
    </row>
    <row r="230" ht="14.25" customHeight="1">
      <c r="A230" s="77"/>
      <c r="B230" s="77"/>
      <c r="C230" s="77"/>
      <c r="D230" s="77"/>
      <c r="E230" s="74"/>
      <c r="F230" s="74"/>
      <c r="G230" s="74"/>
      <c r="H230" s="74"/>
    </row>
    <row r="231" ht="14.25" customHeight="1">
      <c r="A231" s="77"/>
      <c r="B231" s="77"/>
      <c r="C231" s="77"/>
      <c r="D231" s="77"/>
      <c r="E231" s="74"/>
      <c r="F231" s="74"/>
      <c r="G231" s="74"/>
      <c r="H231" s="74"/>
    </row>
    <row r="232" ht="14.25" customHeight="1">
      <c r="A232" s="77"/>
      <c r="B232" s="77"/>
      <c r="C232" s="77"/>
      <c r="D232" s="77"/>
      <c r="E232" s="74"/>
      <c r="F232" s="74"/>
      <c r="G232" s="74"/>
      <c r="H232" s="74"/>
    </row>
    <row r="233" ht="14.25" customHeight="1">
      <c r="A233" s="77"/>
      <c r="B233" s="77"/>
      <c r="C233" s="77"/>
      <c r="D233" s="77"/>
      <c r="E233" s="74"/>
      <c r="F233" s="74"/>
      <c r="G233" s="74"/>
      <c r="H233" s="74"/>
    </row>
    <row r="234" ht="14.25" customHeight="1">
      <c r="A234" s="77"/>
      <c r="B234" s="77"/>
      <c r="C234" s="77"/>
      <c r="D234" s="77"/>
      <c r="E234" s="74"/>
      <c r="F234" s="74"/>
      <c r="G234" s="74"/>
      <c r="H234" s="74"/>
    </row>
    <row r="235" ht="14.25" customHeight="1">
      <c r="A235" s="77"/>
      <c r="B235" s="77"/>
      <c r="C235" s="77"/>
      <c r="D235" s="77"/>
      <c r="E235" s="74"/>
      <c r="F235" s="74"/>
      <c r="G235" s="74"/>
      <c r="H235" s="74"/>
    </row>
    <row r="236" ht="14.25" customHeight="1">
      <c r="A236" s="77"/>
      <c r="B236" s="77"/>
      <c r="C236" s="77"/>
      <c r="D236" s="77"/>
      <c r="E236" s="74"/>
      <c r="F236" s="74"/>
      <c r="G236" s="74"/>
      <c r="H236" s="74"/>
    </row>
    <row r="237" ht="14.25" customHeight="1">
      <c r="A237" s="77"/>
      <c r="B237" s="77"/>
      <c r="C237" s="77"/>
      <c r="D237" s="77"/>
      <c r="E237" s="74"/>
      <c r="F237" s="74"/>
      <c r="G237" s="74"/>
      <c r="H237" s="74"/>
    </row>
    <row r="238" ht="14.25" customHeight="1">
      <c r="A238" s="77"/>
      <c r="B238" s="77"/>
      <c r="C238" s="77"/>
      <c r="D238" s="77"/>
      <c r="E238" s="74"/>
      <c r="F238" s="74"/>
      <c r="G238" s="74"/>
      <c r="H238" s="74"/>
    </row>
    <row r="239" ht="14.25" customHeight="1">
      <c r="A239" s="77"/>
      <c r="B239" s="77"/>
      <c r="C239" s="77"/>
      <c r="D239" s="77"/>
      <c r="E239" s="74"/>
      <c r="F239" s="74"/>
      <c r="G239" s="74"/>
      <c r="H239" s="74"/>
    </row>
    <row r="240" ht="14.25" customHeight="1">
      <c r="A240" s="77"/>
      <c r="B240" s="77"/>
      <c r="C240" s="77"/>
      <c r="D240" s="77"/>
      <c r="E240" s="74"/>
      <c r="F240" s="74"/>
      <c r="G240" s="74"/>
      <c r="H240" s="74"/>
    </row>
    <row r="241" ht="14.25" customHeight="1">
      <c r="A241" s="77"/>
      <c r="B241" s="77"/>
      <c r="C241" s="77"/>
      <c r="D241" s="77"/>
      <c r="E241" s="74"/>
      <c r="F241" s="74"/>
      <c r="G241" s="74"/>
      <c r="H241" s="74"/>
    </row>
    <row r="242" ht="14.25" customHeight="1">
      <c r="A242" s="77"/>
      <c r="B242" s="77"/>
      <c r="C242" s="77"/>
      <c r="D242" s="77"/>
      <c r="E242" s="74"/>
      <c r="F242" s="74"/>
      <c r="G242" s="74"/>
      <c r="H242" s="74"/>
    </row>
    <row r="243" ht="14.25" customHeight="1">
      <c r="A243" s="77"/>
      <c r="B243" s="77"/>
      <c r="C243" s="77"/>
      <c r="D243" s="77"/>
      <c r="E243" s="74"/>
      <c r="F243" s="74"/>
      <c r="G243" s="74"/>
      <c r="H243" s="74"/>
    </row>
    <row r="244" ht="14.25" customHeight="1">
      <c r="A244" s="77"/>
      <c r="B244" s="77"/>
      <c r="C244" s="77"/>
      <c r="D244" s="77"/>
      <c r="E244" s="74"/>
      <c r="F244" s="74"/>
      <c r="G244" s="74"/>
      <c r="H244" s="74"/>
    </row>
    <row r="245" ht="14.25" customHeight="1">
      <c r="A245" s="77"/>
      <c r="B245" s="77"/>
      <c r="C245" s="77"/>
      <c r="D245" s="77"/>
      <c r="E245" s="74"/>
      <c r="F245" s="74"/>
      <c r="G245" s="74"/>
      <c r="H245" s="74"/>
    </row>
    <row r="246" ht="14.25" customHeight="1">
      <c r="A246" s="77"/>
      <c r="B246" s="77"/>
      <c r="C246" s="77"/>
      <c r="D246" s="77"/>
      <c r="E246" s="74"/>
      <c r="F246" s="74"/>
      <c r="G246" s="74"/>
      <c r="H246" s="74"/>
    </row>
    <row r="247" ht="14.25" customHeight="1">
      <c r="A247" s="77"/>
      <c r="B247" s="77"/>
      <c r="C247" s="77"/>
      <c r="D247" s="77"/>
      <c r="E247" s="74"/>
      <c r="F247" s="74"/>
      <c r="G247" s="74"/>
      <c r="H247" s="74"/>
    </row>
    <row r="248" ht="14.25" customHeight="1">
      <c r="A248" s="77"/>
      <c r="B248" s="77"/>
      <c r="C248" s="77"/>
      <c r="D248" s="77"/>
      <c r="E248" s="74"/>
      <c r="F248" s="74"/>
      <c r="G248" s="74"/>
      <c r="H248" s="74"/>
    </row>
    <row r="249" ht="14.25" customHeight="1">
      <c r="A249" s="77"/>
      <c r="B249" s="77"/>
      <c r="C249" s="77"/>
      <c r="D249" s="77"/>
      <c r="E249" s="74"/>
      <c r="F249" s="74"/>
      <c r="G249" s="74"/>
      <c r="H249" s="74"/>
    </row>
    <row r="250" ht="14.25" customHeight="1">
      <c r="A250" s="77"/>
      <c r="B250" s="77"/>
      <c r="C250" s="77"/>
      <c r="D250" s="77"/>
      <c r="E250" s="74"/>
      <c r="F250" s="74"/>
      <c r="G250" s="74"/>
      <c r="H250" s="74"/>
    </row>
    <row r="251" ht="14.25" customHeight="1">
      <c r="A251" s="77"/>
      <c r="B251" s="77"/>
      <c r="C251" s="77"/>
      <c r="D251" s="77"/>
      <c r="E251" s="74"/>
      <c r="F251" s="74"/>
      <c r="G251" s="74"/>
      <c r="H251" s="74"/>
    </row>
    <row r="252" ht="14.25" customHeight="1">
      <c r="A252" s="77"/>
      <c r="B252" s="77"/>
      <c r="C252" s="77"/>
      <c r="D252" s="77"/>
      <c r="E252" s="74"/>
      <c r="F252" s="74"/>
      <c r="G252" s="74"/>
      <c r="H252" s="74"/>
    </row>
    <row r="253" ht="14.25" customHeight="1">
      <c r="A253" s="77"/>
      <c r="B253" s="77"/>
      <c r="C253" s="77"/>
      <c r="D253" s="77"/>
      <c r="E253" s="74"/>
      <c r="F253" s="74"/>
      <c r="G253" s="74"/>
      <c r="H253" s="74"/>
    </row>
    <row r="254" ht="14.25" customHeight="1">
      <c r="A254" s="77"/>
      <c r="B254" s="77"/>
      <c r="C254" s="77"/>
      <c r="D254" s="77"/>
      <c r="E254" s="74"/>
      <c r="F254" s="74"/>
      <c r="G254" s="74"/>
      <c r="H254" s="74"/>
    </row>
    <row r="255" ht="14.25" customHeight="1">
      <c r="A255" s="77"/>
      <c r="B255" s="77"/>
      <c r="C255" s="77"/>
      <c r="D255" s="77"/>
      <c r="E255" s="74"/>
      <c r="F255" s="74"/>
      <c r="G255" s="74"/>
      <c r="H255" s="74"/>
    </row>
    <row r="256" ht="14.25" customHeight="1">
      <c r="A256" s="77"/>
      <c r="B256" s="77"/>
      <c r="C256" s="77"/>
      <c r="D256" s="77"/>
      <c r="E256" s="74"/>
      <c r="F256" s="74"/>
      <c r="G256" s="74"/>
      <c r="H256" s="74"/>
    </row>
    <row r="257" ht="14.25" customHeight="1">
      <c r="A257" s="77"/>
      <c r="B257" s="77"/>
      <c r="C257" s="77"/>
      <c r="D257" s="77"/>
      <c r="E257" s="74"/>
      <c r="F257" s="74"/>
      <c r="G257" s="74"/>
      <c r="H257" s="74"/>
    </row>
    <row r="258" ht="14.25" customHeight="1">
      <c r="A258" s="77"/>
      <c r="B258" s="77"/>
      <c r="C258" s="77"/>
      <c r="D258" s="77"/>
      <c r="E258" s="74"/>
      <c r="F258" s="74"/>
      <c r="G258" s="74"/>
      <c r="H258" s="74"/>
    </row>
    <row r="259" ht="14.25" customHeight="1">
      <c r="A259" s="77"/>
      <c r="B259" s="77"/>
      <c r="C259" s="77"/>
      <c r="D259" s="77"/>
      <c r="E259" s="74"/>
      <c r="F259" s="74"/>
      <c r="G259" s="74"/>
      <c r="H259" s="74"/>
    </row>
    <row r="260" ht="14.25" customHeight="1">
      <c r="A260" s="77"/>
      <c r="B260" s="77"/>
      <c r="C260" s="77"/>
      <c r="D260" s="77"/>
      <c r="E260" s="74"/>
      <c r="F260" s="74"/>
      <c r="G260" s="74"/>
      <c r="H260" s="74"/>
    </row>
    <row r="261" ht="14.25" customHeight="1">
      <c r="A261" s="77"/>
      <c r="B261" s="77"/>
      <c r="C261" s="77"/>
      <c r="D261" s="77"/>
      <c r="E261" s="74"/>
      <c r="F261" s="74"/>
      <c r="G261" s="74"/>
      <c r="H261" s="74"/>
    </row>
    <row r="262" ht="14.25" customHeight="1">
      <c r="A262" s="77"/>
      <c r="B262" s="77"/>
      <c r="C262" s="77"/>
      <c r="D262" s="77"/>
      <c r="E262" s="74"/>
      <c r="F262" s="74"/>
      <c r="G262" s="74"/>
      <c r="H262" s="74"/>
    </row>
    <row r="263" ht="14.25" customHeight="1">
      <c r="A263" s="77"/>
      <c r="B263" s="77"/>
      <c r="C263" s="77"/>
      <c r="D263" s="77"/>
      <c r="E263" s="74"/>
      <c r="F263" s="74"/>
      <c r="G263" s="74"/>
      <c r="H263" s="74"/>
    </row>
    <row r="264" ht="14.25" customHeight="1">
      <c r="A264" s="77"/>
      <c r="B264" s="77"/>
      <c r="C264" s="77"/>
      <c r="D264" s="77"/>
      <c r="E264" s="74"/>
      <c r="F264" s="74"/>
      <c r="G264" s="74"/>
      <c r="H264" s="74"/>
    </row>
    <row r="265" ht="14.25" customHeight="1">
      <c r="A265" s="77"/>
      <c r="B265" s="77"/>
      <c r="C265" s="77"/>
      <c r="D265" s="77"/>
      <c r="E265" s="74"/>
      <c r="F265" s="74"/>
      <c r="G265" s="74"/>
      <c r="H265" s="74"/>
    </row>
    <row r="266" ht="14.25" customHeight="1">
      <c r="A266" s="77"/>
      <c r="B266" s="77"/>
      <c r="C266" s="77"/>
      <c r="D266" s="77"/>
      <c r="E266" s="74"/>
      <c r="F266" s="74"/>
      <c r="G266" s="74"/>
      <c r="H266" s="74"/>
    </row>
    <row r="267" ht="14.25" customHeight="1">
      <c r="A267" s="77"/>
      <c r="B267" s="77"/>
      <c r="C267" s="77"/>
      <c r="D267" s="77"/>
      <c r="E267" s="74"/>
      <c r="F267" s="74"/>
      <c r="G267" s="74"/>
      <c r="H267" s="74"/>
    </row>
    <row r="268" ht="14.25" customHeight="1">
      <c r="A268" s="77"/>
      <c r="B268" s="77"/>
      <c r="C268" s="77"/>
      <c r="D268" s="77"/>
      <c r="E268" s="74"/>
      <c r="F268" s="74"/>
      <c r="G268" s="74"/>
      <c r="H268" s="74"/>
    </row>
    <row r="269" ht="14.25" customHeight="1">
      <c r="A269" s="77"/>
      <c r="B269" s="77"/>
      <c r="C269" s="77"/>
      <c r="D269" s="77"/>
      <c r="E269" s="74"/>
      <c r="F269" s="74"/>
      <c r="G269" s="74"/>
      <c r="H269" s="74"/>
    </row>
    <row r="270" ht="14.25" customHeight="1">
      <c r="A270" s="77"/>
      <c r="B270" s="77"/>
      <c r="C270" s="77"/>
      <c r="D270" s="77"/>
      <c r="E270" s="74"/>
      <c r="F270" s="74"/>
      <c r="G270" s="74"/>
      <c r="H270" s="74"/>
    </row>
    <row r="271" ht="14.25" customHeight="1">
      <c r="A271" s="77"/>
      <c r="B271" s="77"/>
      <c r="C271" s="77"/>
      <c r="D271" s="77"/>
      <c r="E271" s="74"/>
      <c r="F271" s="74"/>
      <c r="G271" s="74"/>
      <c r="H271" s="74"/>
    </row>
    <row r="272" ht="14.25" customHeight="1">
      <c r="A272" s="77"/>
      <c r="B272" s="77"/>
      <c r="C272" s="77"/>
      <c r="D272" s="77"/>
      <c r="E272" s="74"/>
      <c r="F272" s="74"/>
      <c r="G272" s="74"/>
      <c r="H272" s="74"/>
    </row>
    <row r="273" ht="14.25" customHeight="1">
      <c r="A273" s="77"/>
      <c r="B273" s="77"/>
      <c r="C273" s="77"/>
      <c r="D273" s="77"/>
      <c r="E273" s="74"/>
      <c r="F273" s="74"/>
      <c r="G273" s="74"/>
      <c r="H273" s="74"/>
    </row>
    <row r="274" ht="14.25" customHeight="1">
      <c r="A274" s="77"/>
      <c r="B274" s="77"/>
      <c r="C274" s="77"/>
      <c r="D274" s="77"/>
      <c r="E274" s="74"/>
      <c r="F274" s="74"/>
      <c r="G274" s="74"/>
      <c r="H274" s="74"/>
    </row>
    <row r="275" ht="14.25" customHeight="1">
      <c r="A275" s="77"/>
      <c r="B275" s="77"/>
      <c r="C275" s="77"/>
      <c r="D275" s="77"/>
      <c r="E275" s="74"/>
      <c r="F275" s="74"/>
      <c r="G275" s="74"/>
      <c r="H275" s="74"/>
    </row>
    <row r="276" ht="14.25" customHeight="1">
      <c r="A276" s="77"/>
      <c r="B276" s="77"/>
      <c r="C276" s="77"/>
      <c r="D276" s="77"/>
      <c r="E276" s="74"/>
      <c r="F276" s="74"/>
      <c r="G276" s="74"/>
      <c r="H276" s="74"/>
    </row>
    <row r="277" ht="14.25" customHeight="1">
      <c r="A277" s="77"/>
      <c r="B277" s="77"/>
      <c r="C277" s="77"/>
      <c r="D277" s="77"/>
      <c r="E277" s="74"/>
      <c r="F277" s="74"/>
      <c r="G277" s="74"/>
      <c r="H277" s="74"/>
    </row>
    <row r="278" ht="14.25" customHeight="1">
      <c r="A278" s="77"/>
      <c r="B278" s="77"/>
      <c r="C278" s="77"/>
      <c r="D278" s="77"/>
      <c r="E278" s="74"/>
      <c r="F278" s="74"/>
      <c r="G278" s="74"/>
      <c r="H278" s="74"/>
    </row>
    <row r="279" ht="14.25" customHeight="1">
      <c r="A279" s="77"/>
      <c r="B279" s="77"/>
      <c r="C279" s="77"/>
      <c r="D279" s="77"/>
      <c r="E279" s="74"/>
      <c r="F279" s="74"/>
      <c r="G279" s="74"/>
      <c r="H279" s="74"/>
    </row>
    <row r="280" ht="14.25" customHeight="1">
      <c r="A280" s="77"/>
      <c r="B280" s="77"/>
      <c r="C280" s="77"/>
      <c r="D280" s="77"/>
      <c r="E280" s="74"/>
      <c r="F280" s="74"/>
      <c r="G280" s="74"/>
      <c r="H280" s="74"/>
    </row>
    <row r="281" ht="14.25" customHeight="1">
      <c r="A281" s="77"/>
      <c r="B281" s="77"/>
      <c r="C281" s="77"/>
      <c r="D281" s="77"/>
      <c r="E281" s="74"/>
      <c r="F281" s="74"/>
      <c r="G281" s="74"/>
      <c r="H281" s="74"/>
    </row>
    <row r="282" ht="14.25" customHeight="1">
      <c r="A282" s="77"/>
      <c r="B282" s="77"/>
      <c r="C282" s="77"/>
      <c r="D282" s="77"/>
      <c r="E282" s="74"/>
      <c r="F282" s="74"/>
      <c r="G282" s="74"/>
      <c r="H282" s="74"/>
    </row>
    <row r="283" ht="14.25" customHeight="1">
      <c r="A283" s="77"/>
      <c r="B283" s="77"/>
      <c r="C283" s="77"/>
      <c r="D283" s="77"/>
      <c r="E283" s="74"/>
      <c r="F283" s="74"/>
      <c r="G283" s="74"/>
      <c r="H283" s="74"/>
    </row>
    <row r="284" ht="14.25" customHeight="1">
      <c r="A284" s="77"/>
      <c r="B284" s="77"/>
      <c r="C284" s="77"/>
      <c r="D284" s="77"/>
      <c r="E284" s="74"/>
      <c r="F284" s="74"/>
      <c r="G284" s="74"/>
      <c r="H284" s="74"/>
    </row>
    <row r="285" ht="14.25" customHeight="1">
      <c r="A285" s="77"/>
      <c r="B285" s="77"/>
      <c r="C285" s="77"/>
      <c r="D285" s="77"/>
      <c r="E285" s="74"/>
      <c r="F285" s="74"/>
      <c r="G285" s="74"/>
      <c r="H285" s="74"/>
    </row>
    <row r="286" ht="14.25" customHeight="1">
      <c r="A286" s="77"/>
      <c r="B286" s="77"/>
      <c r="C286" s="77"/>
      <c r="D286" s="77"/>
      <c r="E286" s="74"/>
      <c r="F286" s="74"/>
      <c r="G286" s="74"/>
      <c r="H286" s="74"/>
    </row>
    <row r="287" ht="14.25" customHeight="1">
      <c r="A287" s="77"/>
      <c r="B287" s="77"/>
      <c r="C287" s="77"/>
      <c r="D287" s="77"/>
      <c r="E287" s="74"/>
      <c r="F287" s="74"/>
      <c r="G287" s="74"/>
      <c r="H287" s="74"/>
    </row>
    <row r="288" ht="14.25" customHeight="1">
      <c r="A288" s="77"/>
      <c r="B288" s="77"/>
      <c r="C288" s="77"/>
      <c r="D288" s="77"/>
      <c r="E288" s="74"/>
      <c r="F288" s="74"/>
      <c r="G288" s="74"/>
      <c r="H288" s="74"/>
    </row>
    <row r="289" ht="14.25" customHeight="1">
      <c r="A289" s="77"/>
      <c r="B289" s="77"/>
      <c r="C289" s="77"/>
      <c r="D289" s="77"/>
      <c r="E289" s="74"/>
      <c r="F289" s="74"/>
      <c r="G289" s="74"/>
      <c r="H289" s="74"/>
    </row>
    <row r="290" ht="14.25" customHeight="1">
      <c r="A290" s="77"/>
      <c r="B290" s="77"/>
      <c r="C290" s="77"/>
      <c r="D290" s="77"/>
      <c r="E290" s="74"/>
      <c r="F290" s="74"/>
      <c r="G290" s="74"/>
      <c r="H290" s="74"/>
    </row>
    <row r="291" ht="14.25" customHeight="1">
      <c r="A291" s="77"/>
      <c r="B291" s="77"/>
      <c r="C291" s="77"/>
      <c r="D291" s="77"/>
      <c r="E291" s="74"/>
      <c r="F291" s="74"/>
      <c r="G291" s="74"/>
      <c r="H291" s="74"/>
    </row>
    <row r="292" ht="14.25" customHeight="1">
      <c r="A292" s="77"/>
      <c r="B292" s="77"/>
      <c r="C292" s="77"/>
      <c r="D292" s="77"/>
      <c r="E292" s="74"/>
      <c r="F292" s="74"/>
      <c r="G292" s="74"/>
      <c r="H292" s="74"/>
    </row>
    <row r="293" ht="14.25" customHeight="1">
      <c r="A293" s="77"/>
      <c r="B293" s="77"/>
      <c r="C293" s="77"/>
      <c r="D293" s="77"/>
      <c r="E293" s="74"/>
      <c r="F293" s="74"/>
      <c r="G293" s="74"/>
      <c r="H293" s="74"/>
    </row>
    <row r="294" ht="14.25" customHeight="1">
      <c r="A294" s="77"/>
      <c r="B294" s="77"/>
      <c r="C294" s="77"/>
      <c r="D294" s="77"/>
      <c r="E294" s="74"/>
      <c r="F294" s="74"/>
      <c r="G294" s="74"/>
      <c r="H294" s="74"/>
    </row>
    <row r="295" ht="14.25" customHeight="1">
      <c r="A295" s="77"/>
      <c r="B295" s="77"/>
      <c r="C295" s="77"/>
      <c r="D295" s="77"/>
      <c r="E295" s="74"/>
      <c r="F295" s="74"/>
      <c r="G295" s="74"/>
      <c r="H295" s="74"/>
    </row>
    <row r="296" ht="14.25" customHeight="1">
      <c r="A296" s="77"/>
      <c r="B296" s="77"/>
      <c r="C296" s="77"/>
      <c r="D296" s="77"/>
      <c r="E296" s="74"/>
      <c r="F296" s="74"/>
      <c r="G296" s="74"/>
      <c r="H296" s="74"/>
    </row>
    <row r="297" ht="14.25" customHeight="1">
      <c r="A297" s="77"/>
      <c r="B297" s="77"/>
      <c r="C297" s="77"/>
      <c r="D297" s="77"/>
      <c r="E297" s="74"/>
      <c r="F297" s="74"/>
      <c r="G297" s="74"/>
      <c r="H297" s="74"/>
    </row>
    <row r="298" ht="14.25" customHeight="1">
      <c r="A298" s="77"/>
      <c r="B298" s="77"/>
      <c r="C298" s="77"/>
      <c r="D298" s="77"/>
      <c r="E298" s="74"/>
      <c r="F298" s="74"/>
      <c r="G298" s="74"/>
      <c r="H298" s="74"/>
    </row>
    <row r="299" ht="14.25" customHeight="1">
      <c r="A299" s="77"/>
      <c r="B299" s="77"/>
      <c r="C299" s="77"/>
      <c r="D299" s="77"/>
      <c r="E299" s="74"/>
      <c r="F299" s="74"/>
      <c r="G299" s="74"/>
      <c r="H299" s="74"/>
    </row>
    <row r="300" ht="14.25" customHeight="1">
      <c r="A300" s="77"/>
      <c r="B300" s="77"/>
      <c r="C300" s="77"/>
      <c r="D300" s="77"/>
      <c r="E300" s="74"/>
      <c r="F300" s="74"/>
      <c r="G300" s="74"/>
      <c r="H300" s="74"/>
    </row>
    <row r="301" ht="14.25" customHeight="1">
      <c r="A301" s="77"/>
      <c r="B301" s="77"/>
      <c r="C301" s="77"/>
      <c r="D301" s="77"/>
      <c r="E301" s="74"/>
      <c r="F301" s="74"/>
      <c r="G301" s="74"/>
      <c r="H301" s="74"/>
    </row>
    <row r="302" ht="14.25" customHeight="1">
      <c r="A302" s="77"/>
      <c r="B302" s="77"/>
      <c r="C302" s="77"/>
      <c r="D302" s="77"/>
      <c r="E302" s="74"/>
      <c r="F302" s="74"/>
      <c r="G302" s="74"/>
      <c r="H302" s="74"/>
    </row>
    <row r="303" ht="14.25" customHeight="1">
      <c r="A303" s="77"/>
      <c r="B303" s="77"/>
      <c r="C303" s="77"/>
      <c r="D303" s="77"/>
      <c r="E303" s="74"/>
      <c r="F303" s="74"/>
      <c r="G303" s="74"/>
      <c r="H303" s="74"/>
    </row>
    <row r="304" ht="14.25" customHeight="1">
      <c r="A304" s="77"/>
      <c r="B304" s="77"/>
      <c r="C304" s="77"/>
      <c r="D304" s="77"/>
      <c r="E304" s="74"/>
      <c r="F304" s="74"/>
      <c r="G304" s="74"/>
      <c r="H304" s="74"/>
    </row>
    <row r="305" ht="14.25" customHeight="1">
      <c r="A305" s="77"/>
      <c r="B305" s="77"/>
      <c r="C305" s="77"/>
      <c r="D305" s="77"/>
      <c r="E305" s="74"/>
      <c r="F305" s="74"/>
      <c r="G305" s="74"/>
      <c r="H305" s="74"/>
    </row>
    <row r="306" ht="14.25" customHeight="1">
      <c r="A306" s="77"/>
      <c r="B306" s="77"/>
      <c r="C306" s="77"/>
      <c r="D306" s="77"/>
      <c r="E306" s="74"/>
      <c r="F306" s="74"/>
      <c r="G306" s="74"/>
      <c r="H306" s="74"/>
    </row>
    <row r="307" ht="14.25" customHeight="1">
      <c r="A307" s="77"/>
      <c r="B307" s="77"/>
      <c r="C307" s="77"/>
      <c r="D307" s="77"/>
      <c r="E307" s="74"/>
      <c r="F307" s="74"/>
      <c r="G307" s="74"/>
      <c r="H307" s="74"/>
    </row>
    <row r="308" ht="14.25" customHeight="1">
      <c r="A308" s="77"/>
      <c r="B308" s="77"/>
      <c r="C308" s="77"/>
      <c r="D308" s="77"/>
      <c r="E308" s="74"/>
      <c r="F308" s="74"/>
      <c r="G308" s="74"/>
      <c r="H308" s="74"/>
    </row>
    <row r="309" ht="14.25" customHeight="1">
      <c r="A309" s="77"/>
      <c r="B309" s="77"/>
      <c r="C309" s="77"/>
      <c r="D309" s="77"/>
      <c r="E309" s="74"/>
      <c r="F309" s="74"/>
      <c r="G309" s="74"/>
      <c r="H309" s="74"/>
    </row>
    <row r="310" ht="14.25" customHeight="1">
      <c r="A310" s="77"/>
      <c r="B310" s="77"/>
      <c r="C310" s="77"/>
      <c r="D310" s="77"/>
      <c r="E310" s="74"/>
      <c r="F310" s="74"/>
      <c r="G310" s="74"/>
      <c r="H310" s="74"/>
    </row>
    <row r="311" ht="14.25" customHeight="1">
      <c r="A311" s="77"/>
      <c r="B311" s="77"/>
      <c r="C311" s="77"/>
      <c r="D311" s="77"/>
      <c r="E311" s="74"/>
      <c r="F311" s="74"/>
      <c r="G311" s="74"/>
      <c r="H311" s="74"/>
    </row>
    <row r="312" ht="14.25" customHeight="1">
      <c r="A312" s="77"/>
      <c r="B312" s="77"/>
      <c r="C312" s="77"/>
      <c r="D312" s="77"/>
      <c r="E312" s="74"/>
      <c r="F312" s="74"/>
      <c r="G312" s="74"/>
      <c r="H312" s="74"/>
    </row>
    <row r="313" ht="14.25" customHeight="1">
      <c r="A313" s="77"/>
      <c r="B313" s="77"/>
      <c r="C313" s="77"/>
      <c r="D313" s="77"/>
      <c r="E313" s="74"/>
      <c r="F313" s="74"/>
      <c r="G313" s="74"/>
      <c r="H313" s="74"/>
    </row>
    <row r="314" ht="14.25" customHeight="1">
      <c r="A314" s="77"/>
      <c r="B314" s="77"/>
      <c r="C314" s="77"/>
      <c r="D314" s="77"/>
      <c r="E314" s="74"/>
      <c r="F314" s="74"/>
      <c r="G314" s="74"/>
      <c r="H314" s="74"/>
    </row>
    <row r="315" ht="14.25" customHeight="1">
      <c r="A315" s="77"/>
      <c r="B315" s="77"/>
      <c r="C315" s="77"/>
      <c r="D315" s="77"/>
      <c r="E315" s="74"/>
      <c r="F315" s="74"/>
      <c r="G315" s="74"/>
      <c r="H315" s="74"/>
    </row>
    <row r="316" ht="14.25" customHeight="1">
      <c r="A316" s="77"/>
      <c r="B316" s="77"/>
      <c r="C316" s="77"/>
      <c r="D316" s="77"/>
      <c r="E316" s="74"/>
      <c r="F316" s="74"/>
      <c r="G316" s="74"/>
      <c r="H316" s="74"/>
    </row>
    <row r="317" ht="14.25" customHeight="1">
      <c r="A317" s="77"/>
      <c r="B317" s="77"/>
      <c r="C317" s="77"/>
      <c r="D317" s="77"/>
      <c r="E317" s="74"/>
      <c r="F317" s="74"/>
      <c r="G317" s="74"/>
      <c r="H317" s="74"/>
    </row>
    <row r="318" ht="14.25" customHeight="1">
      <c r="A318" s="77"/>
      <c r="B318" s="77"/>
      <c r="C318" s="77"/>
      <c r="D318" s="77"/>
      <c r="E318" s="74"/>
      <c r="F318" s="74"/>
      <c r="G318" s="74"/>
      <c r="H318" s="74"/>
    </row>
    <row r="319" ht="14.25" customHeight="1">
      <c r="A319" s="77"/>
      <c r="B319" s="77"/>
      <c r="C319" s="77"/>
      <c r="D319" s="77"/>
      <c r="E319" s="74"/>
      <c r="F319" s="74"/>
      <c r="G319" s="74"/>
      <c r="H319" s="74"/>
    </row>
    <row r="320" ht="14.25" customHeight="1">
      <c r="A320" s="77"/>
      <c r="B320" s="77"/>
      <c r="C320" s="77"/>
      <c r="D320" s="77"/>
      <c r="E320" s="74"/>
      <c r="F320" s="74"/>
      <c r="G320" s="74"/>
      <c r="H320" s="74"/>
    </row>
    <row r="321" ht="14.25" customHeight="1">
      <c r="A321" s="77"/>
      <c r="B321" s="77"/>
      <c r="C321" s="77"/>
      <c r="D321" s="77"/>
      <c r="E321" s="74"/>
      <c r="F321" s="74"/>
      <c r="G321" s="74"/>
      <c r="H321" s="74"/>
    </row>
    <row r="322" ht="14.25" customHeight="1">
      <c r="A322" s="77"/>
      <c r="B322" s="77"/>
      <c r="C322" s="77"/>
      <c r="D322" s="77"/>
      <c r="E322" s="74"/>
      <c r="F322" s="74"/>
      <c r="G322" s="74"/>
      <c r="H322" s="74"/>
    </row>
    <row r="323" ht="14.25" customHeight="1">
      <c r="A323" s="77"/>
      <c r="B323" s="77"/>
      <c r="C323" s="77"/>
      <c r="D323" s="77"/>
      <c r="E323" s="74"/>
      <c r="F323" s="74"/>
      <c r="G323" s="74"/>
      <c r="H323" s="74"/>
    </row>
    <row r="324" ht="14.25" customHeight="1">
      <c r="A324" s="77"/>
      <c r="B324" s="77"/>
      <c r="C324" s="77"/>
      <c r="D324" s="77"/>
      <c r="E324" s="74"/>
      <c r="F324" s="74"/>
      <c r="G324" s="74"/>
      <c r="H324" s="74"/>
    </row>
    <row r="325" ht="14.25" customHeight="1">
      <c r="A325" s="77"/>
      <c r="B325" s="77"/>
      <c r="C325" s="77"/>
      <c r="D325" s="77"/>
      <c r="E325" s="74"/>
      <c r="F325" s="74"/>
      <c r="G325" s="74"/>
      <c r="H325" s="74"/>
    </row>
    <row r="326" ht="14.25" customHeight="1">
      <c r="A326" s="77"/>
      <c r="B326" s="77"/>
      <c r="C326" s="77"/>
      <c r="D326" s="77"/>
      <c r="E326" s="74"/>
      <c r="F326" s="74"/>
      <c r="G326" s="74"/>
      <c r="H326" s="74"/>
    </row>
    <row r="327" ht="14.25" customHeight="1">
      <c r="A327" s="77"/>
      <c r="B327" s="77"/>
      <c r="C327" s="77"/>
      <c r="D327" s="77"/>
      <c r="E327" s="74"/>
      <c r="F327" s="74"/>
      <c r="G327" s="74"/>
      <c r="H327" s="74"/>
    </row>
    <row r="328" ht="14.25" customHeight="1">
      <c r="A328" s="77"/>
      <c r="B328" s="77"/>
      <c r="C328" s="77"/>
      <c r="D328" s="77"/>
      <c r="E328" s="74"/>
      <c r="F328" s="74"/>
      <c r="G328" s="74"/>
      <c r="H328" s="74"/>
    </row>
    <row r="329" ht="14.25" customHeight="1">
      <c r="A329" s="77"/>
      <c r="B329" s="77"/>
      <c r="C329" s="77"/>
      <c r="D329" s="77"/>
      <c r="E329" s="74"/>
      <c r="F329" s="74"/>
      <c r="G329" s="74"/>
      <c r="H329" s="74"/>
    </row>
    <row r="330" ht="14.25" customHeight="1">
      <c r="A330" s="77"/>
      <c r="B330" s="77"/>
      <c r="C330" s="77"/>
      <c r="D330" s="77"/>
      <c r="E330" s="74"/>
      <c r="F330" s="74"/>
      <c r="G330" s="74"/>
      <c r="H330" s="74"/>
    </row>
    <row r="331" ht="14.25" customHeight="1">
      <c r="A331" s="77"/>
      <c r="B331" s="77"/>
      <c r="C331" s="77"/>
      <c r="D331" s="77"/>
      <c r="E331" s="74"/>
      <c r="F331" s="74"/>
      <c r="G331" s="74"/>
      <c r="H331" s="74"/>
    </row>
    <row r="332" ht="14.25" customHeight="1">
      <c r="A332" s="77"/>
      <c r="B332" s="77"/>
      <c r="C332" s="77"/>
      <c r="D332" s="77"/>
      <c r="E332" s="74"/>
      <c r="F332" s="74"/>
      <c r="G332" s="74"/>
      <c r="H332" s="74"/>
    </row>
    <row r="333" ht="14.25" customHeight="1">
      <c r="A333" s="77"/>
      <c r="B333" s="77"/>
      <c r="C333" s="77"/>
      <c r="D333" s="77"/>
      <c r="E333" s="74"/>
      <c r="F333" s="74"/>
      <c r="G333" s="74"/>
      <c r="H333" s="74"/>
    </row>
    <row r="334" ht="14.25" customHeight="1">
      <c r="A334" s="77"/>
      <c r="B334" s="77"/>
      <c r="C334" s="77"/>
      <c r="D334" s="77"/>
      <c r="E334" s="74"/>
      <c r="F334" s="74"/>
      <c r="G334" s="74"/>
      <c r="H334" s="74"/>
    </row>
    <row r="335" ht="14.25" customHeight="1">
      <c r="A335" s="77"/>
      <c r="B335" s="77"/>
      <c r="C335" s="77"/>
      <c r="D335" s="77"/>
      <c r="E335" s="74"/>
      <c r="F335" s="74"/>
      <c r="G335" s="74"/>
      <c r="H335" s="74"/>
    </row>
    <row r="336" ht="14.25" customHeight="1">
      <c r="A336" s="77"/>
      <c r="B336" s="77"/>
      <c r="C336" s="77"/>
      <c r="D336" s="77"/>
      <c r="E336" s="74"/>
      <c r="F336" s="74"/>
      <c r="G336" s="74"/>
      <c r="H336" s="74"/>
    </row>
    <row r="337" ht="14.25" customHeight="1">
      <c r="A337" s="77"/>
      <c r="B337" s="77"/>
      <c r="C337" s="77"/>
      <c r="D337" s="77"/>
      <c r="E337" s="74"/>
      <c r="F337" s="74"/>
      <c r="G337" s="74"/>
      <c r="H337" s="74"/>
    </row>
    <row r="338" ht="14.25" customHeight="1">
      <c r="A338" s="77"/>
      <c r="B338" s="77"/>
      <c r="C338" s="77"/>
      <c r="D338" s="77"/>
      <c r="E338" s="74"/>
      <c r="F338" s="74"/>
      <c r="G338" s="74"/>
      <c r="H338" s="74"/>
    </row>
    <row r="339" ht="14.25" customHeight="1">
      <c r="A339" s="77"/>
      <c r="B339" s="77"/>
      <c r="C339" s="77"/>
      <c r="D339" s="77"/>
      <c r="E339" s="74"/>
      <c r="F339" s="74"/>
      <c r="G339" s="74"/>
      <c r="H339" s="74"/>
    </row>
    <row r="340" ht="14.25" customHeight="1">
      <c r="A340" s="77"/>
      <c r="B340" s="77"/>
      <c r="C340" s="77"/>
      <c r="D340" s="77"/>
      <c r="E340" s="74"/>
      <c r="F340" s="74"/>
      <c r="G340" s="74"/>
      <c r="H340" s="74"/>
    </row>
    <row r="341" ht="14.25" customHeight="1">
      <c r="A341" s="77"/>
      <c r="B341" s="77"/>
      <c r="C341" s="77"/>
      <c r="D341" s="77"/>
      <c r="E341" s="74"/>
      <c r="F341" s="74"/>
      <c r="G341" s="74"/>
      <c r="H341" s="74"/>
    </row>
    <row r="342" ht="14.25" customHeight="1">
      <c r="A342" s="77"/>
      <c r="B342" s="77"/>
      <c r="C342" s="77"/>
      <c r="D342" s="77"/>
      <c r="E342" s="74"/>
      <c r="F342" s="74"/>
      <c r="G342" s="74"/>
      <c r="H342" s="74"/>
    </row>
    <row r="343" ht="14.25" customHeight="1">
      <c r="A343" s="77"/>
      <c r="B343" s="77"/>
      <c r="C343" s="77"/>
      <c r="D343" s="77"/>
      <c r="E343" s="74"/>
      <c r="F343" s="74"/>
      <c r="G343" s="74"/>
      <c r="H343" s="74"/>
    </row>
    <row r="344" ht="14.25" customHeight="1">
      <c r="A344" s="77"/>
      <c r="B344" s="77"/>
      <c r="C344" s="77"/>
      <c r="D344" s="77"/>
      <c r="E344" s="74"/>
      <c r="F344" s="74"/>
      <c r="G344" s="74"/>
      <c r="H344" s="74"/>
    </row>
    <row r="345" ht="14.25" customHeight="1">
      <c r="A345" s="77"/>
      <c r="B345" s="77"/>
      <c r="C345" s="77"/>
      <c r="D345" s="77"/>
      <c r="E345" s="74"/>
      <c r="F345" s="74"/>
      <c r="G345" s="74"/>
      <c r="H345" s="74"/>
    </row>
    <row r="346" ht="14.25" customHeight="1">
      <c r="A346" s="77"/>
      <c r="B346" s="77"/>
      <c r="C346" s="77"/>
      <c r="D346" s="77"/>
      <c r="E346" s="74"/>
      <c r="F346" s="74"/>
      <c r="G346" s="74"/>
      <c r="H346" s="74"/>
    </row>
    <row r="347" ht="14.25" customHeight="1">
      <c r="A347" s="77"/>
      <c r="B347" s="77"/>
      <c r="C347" s="77"/>
      <c r="D347" s="77"/>
      <c r="E347" s="74"/>
      <c r="F347" s="74"/>
      <c r="G347" s="74"/>
      <c r="H347" s="74"/>
    </row>
    <row r="348" ht="14.25" customHeight="1">
      <c r="A348" s="77"/>
      <c r="B348" s="77"/>
      <c r="C348" s="77"/>
      <c r="D348" s="77"/>
      <c r="E348" s="74"/>
      <c r="F348" s="74"/>
      <c r="G348" s="74"/>
      <c r="H348" s="74"/>
    </row>
    <row r="349" ht="14.25" customHeight="1">
      <c r="A349" s="77"/>
      <c r="B349" s="77"/>
      <c r="C349" s="77"/>
      <c r="D349" s="77"/>
      <c r="E349" s="74"/>
      <c r="F349" s="74"/>
      <c r="G349" s="74"/>
      <c r="H349" s="74"/>
    </row>
    <row r="350" ht="14.25" customHeight="1">
      <c r="A350" s="77"/>
      <c r="B350" s="77"/>
      <c r="C350" s="77"/>
      <c r="D350" s="77"/>
      <c r="E350" s="74"/>
      <c r="F350" s="74"/>
      <c r="G350" s="74"/>
      <c r="H350" s="74"/>
    </row>
    <row r="351" ht="14.25" customHeight="1">
      <c r="A351" s="77"/>
      <c r="B351" s="77"/>
      <c r="C351" s="77"/>
      <c r="D351" s="77"/>
      <c r="E351" s="74"/>
      <c r="F351" s="74"/>
      <c r="G351" s="74"/>
      <c r="H351" s="74"/>
    </row>
    <row r="352" ht="14.25" customHeight="1">
      <c r="A352" s="77"/>
      <c r="B352" s="77"/>
      <c r="C352" s="77"/>
      <c r="D352" s="77"/>
      <c r="E352" s="74"/>
      <c r="F352" s="74"/>
      <c r="G352" s="74"/>
      <c r="H352" s="74"/>
    </row>
    <row r="353" ht="14.25" customHeight="1">
      <c r="A353" s="77"/>
      <c r="B353" s="77"/>
      <c r="C353" s="77"/>
      <c r="D353" s="77"/>
      <c r="E353" s="74"/>
      <c r="F353" s="74"/>
      <c r="G353" s="74"/>
      <c r="H353" s="74"/>
    </row>
    <row r="354" ht="14.25" customHeight="1">
      <c r="A354" s="77"/>
      <c r="B354" s="77"/>
      <c r="C354" s="77"/>
      <c r="D354" s="77"/>
      <c r="E354" s="74"/>
      <c r="F354" s="74"/>
      <c r="G354" s="74"/>
      <c r="H354" s="74"/>
    </row>
    <row r="355" ht="14.25" customHeight="1">
      <c r="A355" s="77"/>
      <c r="B355" s="77"/>
      <c r="C355" s="77"/>
      <c r="D355" s="77"/>
      <c r="E355" s="74"/>
      <c r="F355" s="74"/>
      <c r="G355" s="74"/>
      <c r="H355" s="74"/>
    </row>
    <row r="356" ht="14.25" customHeight="1">
      <c r="A356" s="77"/>
      <c r="B356" s="77"/>
      <c r="C356" s="77"/>
      <c r="D356" s="77"/>
      <c r="E356" s="74"/>
      <c r="F356" s="74"/>
      <c r="G356" s="74"/>
      <c r="H356" s="74"/>
    </row>
    <row r="357" ht="14.25" customHeight="1">
      <c r="A357" s="77"/>
      <c r="B357" s="77"/>
      <c r="C357" s="77"/>
      <c r="D357" s="77"/>
      <c r="E357" s="74"/>
      <c r="F357" s="74"/>
      <c r="G357" s="74"/>
      <c r="H357" s="74"/>
    </row>
    <row r="358" ht="14.25" customHeight="1">
      <c r="A358" s="77"/>
      <c r="B358" s="77"/>
      <c r="C358" s="77"/>
      <c r="D358" s="77"/>
      <c r="E358" s="74"/>
      <c r="F358" s="74"/>
      <c r="G358" s="74"/>
      <c r="H358" s="74"/>
    </row>
    <row r="359" ht="14.25" customHeight="1">
      <c r="A359" s="77"/>
      <c r="B359" s="77"/>
      <c r="C359" s="77"/>
      <c r="D359" s="77"/>
      <c r="E359" s="74"/>
      <c r="F359" s="74"/>
      <c r="G359" s="74"/>
      <c r="H359" s="74"/>
    </row>
    <row r="360" ht="14.25" customHeight="1">
      <c r="A360" s="77"/>
      <c r="B360" s="77"/>
      <c r="C360" s="77"/>
      <c r="D360" s="77"/>
      <c r="E360" s="74"/>
      <c r="F360" s="74"/>
      <c r="G360" s="74"/>
      <c r="H360" s="74"/>
    </row>
    <row r="361" ht="14.25" customHeight="1">
      <c r="A361" s="77"/>
      <c r="B361" s="77"/>
      <c r="C361" s="77"/>
      <c r="D361" s="77"/>
      <c r="E361" s="74"/>
      <c r="F361" s="74"/>
      <c r="G361" s="74"/>
      <c r="H361" s="74"/>
    </row>
    <row r="362" ht="14.25" customHeight="1">
      <c r="A362" s="77"/>
      <c r="B362" s="77"/>
      <c r="C362" s="77"/>
      <c r="D362" s="77"/>
      <c r="E362" s="74"/>
      <c r="F362" s="74"/>
      <c r="G362" s="74"/>
      <c r="H362" s="74"/>
    </row>
    <row r="363" ht="14.25" customHeight="1">
      <c r="A363" s="77"/>
      <c r="B363" s="77"/>
      <c r="C363" s="77"/>
      <c r="D363" s="77"/>
      <c r="E363" s="74"/>
      <c r="F363" s="74"/>
      <c r="G363" s="74"/>
      <c r="H363" s="74"/>
    </row>
    <row r="364" ht="14.25" customHeight="1">
      <c r="A364" s="77"/>
      <c r="B364" s="77"/>
      <c r="C364" s="77"/>
      <c r="D364" s="77"/>
      <c r="E364" s="74"/>
      <c r="F364" s="74"/>
      <c r="G364" s="74"/>
      <c r="H364" s="74"/>
    </row>
    <row r="365" ht="14.25" customHeight="1">
      <c r="A365" s="77"/>
      <c r="B365" s="77"/>
      <c r="C365" s="77"/>
      <c r="D365" s="77"/>
      <c r="E365" s="74"/>
      <c r="F365" s="74"/>
      <c r="G365" s="74"/>
      <c r="H365" s="74"/>
    </row>
    <row r="366" ht="14.25" customHeight="1">
      <c r="A366" s="77"/>
      <c r="B366" s="77"/>
      <c r="C366" s="77"/>
      <c r="D366" s="77"/>
      <c r="E366" s="74"/>
      <c r="F366" s="74"/>
      <c r="G366" s="74"/>
      <c r="H366" s="74"/>
    </row>
    <row r="367" ht="14.25" customHeight="1">
      <c r="A367" s="77"/>
      <c r="B367" s="77"/>
      <c r="C367" s="77"/>
      <c r="D367" s="77"/>
      <c r="E367" s="74"/>
      <c r="F367" s="74"/>
      <c r="G367" s="74"/>
      <c r="H367" s="74"/>
    </row>
    <row r="368" ht="14.25" customHeight="1">
      <c r="A368" s="77"/>
      <c r="B368" s="77"/>
      <c r="C368" s="77"/>
      <c r="D368" s="77"/>
      <c r="E368" s="74"/>
      <c r="F368" s="74"/>
      <c r="G368" s="74"/>
      <c r="H368" s="74"/>
    </row>
    <row r="369" ht="14.25" customHeight="1">
      <c r="A369" s="77"/>
      <c r="B369" s="77"/>
      <c r="C369" s="77"/>
      <c r="D369" s="77"/>
      <c r="E369" s="74"/>
      <c r="F369" s="74"/>
      <c r="G369" s="74"/>
      <c r="H369" s="74"/>
    </row>
    <row r="370" ht="14.25" customHeight="1">
      <c r="A370" s="77"/>
      <c r="B370" s="77"/>
      <c r="C370" s="77"/>
      <c r="D370" s="77"/>
      <c r="E370" s="74"/>
      <c r="F370" s="74"/>
      <c r="G370" s="74"/>
      <c r="H370" s="74"/>
    </row>
    <row r="371" ht="14.25" customHeight="1">
      <c r="A371" s="77"/>
      <c r="B371" s="77"/>
      <c r="C371" s="77"/>
      <c r="D371" s="77"/>
      <c r="E371" s="74"/>
      <c r="F371" s="74"/>
      <c r="G371" s="74"/>
      <c r="H371" s="74"/>
    </row>
    <row r="372" ht="14.25" customHeight="1">
      <c r="A372" s="77"/>
      <c r="B372" s="77"/>
      <c r="C372" s="77"/>
      <c r="D372" s="77"/>
      <c r="E372" s="74"/>
      <c r="F372" s="74"/>
      <c r="G372" s="74"/>
      <c r="H372" s="74"/>
    </row>
    <row r="373" ht="14.25" customHeight="1">
      <c r="A373" s="77"/>
      <c r="B373" s="77"/>
      <c r="C373" s="77"/>
      <c r="D373" s="77"/>
      <c r="E373" s="74"/>
      <c r="F373" s="74"/>
      <c r="G373" s="74"/>
      <c r="H373" s="74"/>
    </row>
    <row r="374" ht="14.25" customHeight="1">
      <c r="A374" s="77"/>
      <c r="B374" s="77"/>
      <c r="C374" s="77"/>
      <c r="D374" s="77"/>
      <c r="E374" s="74"/>
      <c r="F374" s="74"/>
      <c r="G374" s="74"/>
      <c r="H374" s="74"/>
    </row>
    <row r="375" ht="14.25" customHeight="1">
      <c r="A375" s="77"/>
      <c r="B375" s="77"/>
      <c r="C375" s="77"/>
      <c r="D375" s="77"/>
      <c r="E375" s="74"/>
      <c r="F375" s="74"/>
      <c r="G375" s="74"/>
      <c r="H375" s="74"/>
    </row>
    <row r="376" ht="14.25" customHeight="1">
      <c r="A376" s="77"/>
      <c r="B376" s="77"/>
      <c r="C376" s="77"/>
      <c r="D376" s="77"/>
      <c r="E376" s="74"/>
      <c r="F376" s="74"/>
      <c r="G376" s="74"/>
      <c r="H376" s="74"/>
    </row>
    <row r="377" ht="14.25" customHeight="1">
      <c r="A377" s="77"/>
      <c r="B377" s="77"/>
      <c r="C377" s="77"/>
      <c r="D377" s="77"/>
      <c r="E377" s="74"/>
      <c r="F377" s="74"/>
      <c r="G377" s="74"/>
      <c r="H377" s="74"/>
    </row>
    <row r="378" ht="14.25" customHeight="1">
      <c r="A378" s="77"/>
      <c r="B378" s="77"/>
      <c r="C378" s="77"/>
      <c r="D378" s="77"/>
      <c r="E378" s="74"/>
      <c r="F378" s="74"/>
      <c r="G378" s="74"/>
      <c r="H378" s="74"/>
    </row>
    <row r="379" ht="14.25" customHeight="1">
      <c r="A379" s="77"/>
      <c r="B379" s="77"/>
      <c r="C379" s="77"/>
      <c r="D379" s="77"/>
      <c r="E379" s="74"/>
      <c r="F379" s="74"/>
      <c r="G379" s="74"/>
      <c r="H379" s="74"/>
    </row>
    <row r="380" ht="14.25" customHeight="1">
      <c r="A380" s="77"/>
      <c r="B380" s="77"/>
      <c r="C380" s="77"/>
      <c r="D380" s="77"/>
      <c r="E380" s="74"/>
      <c r="F380" s="74"/>
      <c r="G380" s="74"/>
      <c r="H380" s="74"/>
    </row>
    <row r="381" ht="14.25" customHeight="1">
      <c r="A381" s="77"/>
      <c r="B381" s="77"/>
      <c r="C381" s="77"/>
      <c r="D381" s="77"/>
      <c r="E381" s="74"/>
      <c r="F381" s="74"/>
      <c r="G381" s="74"/>
      <c r="H381" s="74"/>
    </row>
    <row r="382" ht="14.25" customHeight="1">
      <c r="A382" s="77"/>
      <c r="B382" s="77"/>
      <c r="C382" s="77"/>
      <c r="D382" s="77"/>
      <c r="E382" s="74"/>
      <c r="F382" s="74"/>
      <c r="G382" s="74"/>
      <c r="H382" s="74"/>
    </row>
    <row r="383" ht="14.25" customHeight="1">
      <c r="A383" s="77"/>
      <c r="B383" s="77"/>
      <c r="C383" s="77"/>
      <c r="D383" s="77"/>
      <c r="E383" s="74"/>
      <c r="F383" s="74"/>
      <c r="G383" s="74"/>
      <c r="H383" s="74"/>
    </row>
    <row r="384" ht="14.25" customHeight="1">
      <c r="A384" s="77"/>
      <c r="B384" s="77"/>
      <c r="C384" s="77"/>
      <c r="D384" s="77"/>
      <c r="E384" s="74"/>
      <c r="F384" s="74"/>
      <c r="G384" s="74"/>
      <c r="H384" s="74"/>
    </row>
    <row r="385" ht="14.25" customHeight="1">
      <c r="A385" s="77"/>
      <c r="B385" s="77"/>
      <c r="C385" s="77"/>
      <c r="D385" s="77"/>
      <c r="E385" s="74"/>
      <c r="F385" s="74"/>
      <c r="G385" s="74"/>
      <c r="H385" s="74"/>
    </row>
    <row r="386" ht="14.25" customHeight="1">
      <c r="A386" s="77"/>
      <c r="B386" s="77"/>
      <c r="C386" s="77"/>
      <c r="D386" s="77"/>
      <c r="E386" s="74"/>
      <c r="F386" s="74"/>
      <c r="G386" s="74"/>
      <c r="H386" s="74"/>
    </row>
    <row r="387" ht="14.25" customHeight="1">
      <c r="A387" s="77"/>
      <c r="B387" s="77"/>
      <c r="C387" s="77"/>
      <c r="D387" s="77"/>
      <c r="E387" s="74"/>
      <c r="F387" s="74"/>
      <c r="G387" s="74"/>
      <c r="H387" s="74"/>
    </row>
    <row r="388" ht="14.25" customHeight="1">
      <c r="A388" s="77"/>
      <c r="B388" s="77"/>
      <c r="C388" s="77"/>
      <c r="D388" s="77"/>
      <c r="E388" s="74"/>
      <c r="F388" s="74"/>
      <c r="G388" s="74"/>
      <c r="H388" s="74"/>
    </row>
    <row r="389" ht="14.25" customHeight="1">
      <c r="A389" s="77"/>
      <c r="B389" s="77"/>
      <c r="C389" s="77"/>
      <c r="D389" s="77"/>
      <c r="E389" s="74"/>
      <c r="F389" s="74"/>
      <c r="G389" s="74"/>
      <c r="H389" s="74"/>
    </row>
    <row r="390" ht="14.25" customHeight="1">
      <c r="A390" s="77"/>
      <c r="B390" s="77"/>
      <c r="C390" s="77"/>
      <c r="D390" s="77"/>
      <c r="E390" s="74"/>
      <c r="F390" s="74"/>
      <c r="G390" s="74"/>
      <c r="H390" s="74"/>
    </row>
    <row r="391" ht="14.25" customHeight="1">
      <c r="A391" s="77"/>
      <c r="B391" s="77"/>
      <c r="C391" s="77"/>
      <c r="D391" s="77"/>
      <c r="E391" s="74"/>
      <c r="F391" s="74"/>
      <c r="G391" s="74"/>
      <c r="H391" s="74"/>
    </row>
    <row r="392" ht="14.25" customHeight="1">
      <c r="A392" s="77"/>
      <c r="B392" s="77"/>
      <c r="C392" s="77"/>
      <c r="D392" s="77"/>
      <c r="E392" s="74"/>
      <c r="F392" s="74"/>
      <c r="G392" s="74"/>
      <c r="H392" s="74"/>
    </row>
    <row r="393" ht="14.25" customHeight="1">
      <c r="A393" s="77"/>
      <c r="B393" s="77"/>
      <c r="C393" s="77"/>
      <c r="D393" s="77"/>
      <c r="E393" s="74"/>
      <c r="F393" s="74"/>
      <c r="G393" s="74"/>
      <c r="H393" s="74"/>
    </row>
    <row r="394" ht="14.25" customHeight="1">
      <c r="A394" s="77"/>
      <c r="B394" s="77"/>
      <c r="C394" s="77"/>
      <c r="D394" s="77"/>
      <c r="E394" s="74"/>
      <c r="F394" s="74"/>
      <c r="G394" s="74"/>
      <c r="H394" s="74"/>
    </row>
    <row r="395" ht="14.25" customHeight="1">
      <c r="A395" s="77"/>
      <c r="B395" s="77"/>
      <c r="C395" s="77"/>
      <c r="D395" s="77"/>
      <c r="E395" s="74"/>
      <c r="F395" s="74"/>
      <c r="G395" s="74"/>
      <c r="H395" s="74"/>
    </row>
    <row r="396" ht="14.25" customHeight="1">
      <c r="A396" s="77"/>
      <c r="B396" s="77"/>
      <c r="C396" s="77"/>
      <c r="D396" s="77"/>
      <c r="E396" s="74"/>
      <c r="F396" s="74"/>
      <c r="G396" s="74"/>
      <c r="H396" s="74"/>
    </row>
    <row r="397" ht="14.25" customHeight="1">
      <c r="A397" s="77"/>
      <c r="B397" s="77"/>
      <c r="C397" s="77"/>
      <c r="D397" s="77"/>
      <c r="E397" s="74"/>
      <c r="F397" s="74"/>
      <c r="G397" s="74"/>
      <c r="H397" s="74"/>
    </row>
    <row r="398" ht="14.25" customHeight="1">
      <c r="A398" s="77"/>
      <c r="B398" s="77"/>
      <c r="C398" s="77"/>
      <c r="D398" s="77"/>
      <c r="E398" s="74"/>
      <c r="F398" s="74"/>
      <c r="G398" s="74"/>
      <c r="H398" s="74"/>
    </row>
    <row r="399" ht="14.25" customHeight="1">
      <c r="A399" s="77"/>
      <c r="B399" s="77"/>
      <c r="C399" s="77"/>
      <c r="D399" s="77"/>
      <c r="E399" s="74"/>
      <c r="F399" s="74"/>
      <c r="G399" s="74"/>
      <c r="H399" s="74"/>
    </row>
    <row r="400" ht="14.25" customHeight="1">
      <c r="A400" s="77"/>
      <c r="B400" s="77"/>
      <c r="C400" s="77"/>
      <c r="D400" s="77"/>
      <c r="E400" s="74"/>
      <c r="F400" s="74"/>
      <c r="G400" s="74"/>
      <c r="H400" s="74"/>
    </row>
    <row r="401" ht="14.25" customHeight="1">
      <c r="A401" s="77"/>
      <c r="B401" s="77"/>
      <c r="C401" s="77"/>
      <c r="D401" s="77"/>
      <c r="E401" s="74"/>
      <c r="F401" s="74"/>
      <c r="G401" s="74"/>
      <c r="H401" s="74"/>
    </row>
    <row r="402" ht="14.25" customHeight="1">
      <c r="A402" s="77"/>
      <c r="B402" s="77"/>
      <c r="C402" s="77"/>
      <c r="D402" s="77"/>
      <c r="E402" s="74"/>
      <c r="F402" s="74"/>
      <c r="G402" s="74"/>
      <c r="H402" s="74"/>
    </row>
    <row r="403" ht="14.25" customHeight="1">
      <c r="A403" s="77"/>
      <c r="B403" s="77"/>
      <c r="C403" s="77"/>
      <c r="D403" s="77"/>
      <c r="E403" s="74"/>
      <c r="F403" s="74"/>
      <c r="G403" s="74"/>
      <c r="H403" s="74"/>
    </row>
    <row r="404" ht="14.25" customHeight="1">
      <c r="A404" s="77"/>
      <c r="B404" s="77"/>
      <c r="C404" s="77"/>
      <c r="D404" s="77"/>
      <c r="E404" s="74"/>
      <c r="F404" s="74"/>
      <c r="G404" s="74"/>
      <c r="H404" s="74"/>
    </row>
    <row r="405" ht="14.25" customHeight="1">
      <c r="A405" s="77"/>
      <c r="B405" s="77"/>
      <c r="C405" s="77"/>
      <c r="D405" s="77"/>
      <c r="E405" s="74"/>
      <c r="F405" s="74"/>
      <c r="G405" s="74"/>
      <c r="H405" s="74"/>
    </row>
    <row r="406" ht="14.25" customHeight="1">
      <c r="A406" s="77"/>
      <c r="B406" s="77"/>
      <c r="C406" s="77"/>
      <c r="D406" s="77"/>
      <c r="E406" s="74"/>
      <c r="F406" s="74"/>
      <c r="G406" s="74"/>
      <c r="H406" s="74"/>
    </row>
    <row r="407" ht="14.25" customHeight="1">
      <c r="A407" s="77"/>
      <c r="B407" s="77"/>
      <c r="C407" s="77"/>
      <c r="D407" s="77"/>
      <c r="E407" s="74"/>
      <c r="F407" s="74"/>
      <c r="G407" s="74"/>
      <c r="H407" s="74"/>
    </row>
    <row r="408" ht="14.25" customHeight="1">
      <c r="A408" s="77"/>
      <c r="B408" s="77"/>
      <c r="C408" s="77"/>
      <c r="D408" s="77"/>
      <c r="E408" s="74"/>
      <c r="F408" s="74"/>
      <c r="G408" s="74"/>
      <c r="H408" s="74"/>
    </row>
    <row r="409" ht="14.25" customHeight="1">
      <c r="A409" s="77"/>
      <c r="B409" s="77"/>
      <c r="C409" s="77"/>
      <c r="D409" s="77"/>
      <c r="E409" s="74"/>
      <c r="F409" s="74"/>
      <c r="G409" s="74"/>
      <c r="H409" s="74"/>
    </row>
    <row r="410" ht="14.25" customHeight="1">
      <c r="A410" s="77"/>
      <c r="B410" s="77"/>
      <c r="C410" s="77"/>
      <c r="D410" s="77"/>
      <c r="E410" s="74"/>
      <c r="F410" s="74"/>
      <c r="G410" s="74"/>
      <c r="H410" s="74"/>
    </row>
    <row r="411" ht="14.25" customHeight="1">
      <c r="A411" s="77"/>
      <c r="B411" s="77"/>
      <c r="C411" s="77"/>
      <c r="D411" s="77"/>
      <c r="E411" s="74"/>
      <c r="F411" s="74"/>
      <c r="G411" s="74"/>
      <c r="H411" s="74"/>
    </row>
    <row r="412" ht="14.25" customHeight="1">
      <c r="A412" s="77"/>
      <c r="B412" s="77"/>
      <c r="C412" s="77"/>
      <c r="D412" s="77"/>
      <c r="E412" s="74"/>
      <c r="F412" s="74"/>
      <c r="G412" s="74"/>
      <c r="H412" s="74"/>
    </row>
    <row r="413" ht="14.25" customHeight="1">
      <c r="A413" s="77"/>
      <c r="B413" s="77"/>
      <c r="C413" s="77"/>
      <c r="D413" s="77"/>
      <c r="E413" s="74"/>
      <c r="F413" s="74"/>
      <c r="G413" s="74"/>
      <c r="H413" s="74"/>
    </row>
    <row r="414" ht="14.25" customHeight="1">
      <c r="A414" s="77"/>
      <c r="B414" s="77"/>
      <c r="C414" s="77"/>
      <c r="D414" s="77"/>
      <c r="E414" s="74"/>
      <c r="F414" s="74"/>
      <c r="G414" s="74"/>
      <c r="H414" s="74"/>
    </row>
    <row r="415" ht="14.25" customHeight="1">
      <c r="A415" s="77"/>
      <c r="B415" s="77"/>
      <c r="C415" s="77"/>
      <c r="D415" s="77"/>
      <c r="E415" s="74"/>
      <c r="F415" s="74"/>
      <c r="G415" s="74"/>
      <c r="H415" s="74"/>
    </row>
    <row r="416" ht="14.25" customHeight="1">
      <c r="A416" s="77"/>
      <c r="B416" s="77"/>
      <c r="C416" s="77"/>
      <c r="D416" s="77"/>
      <c r="E416" s="74"/>
      <c r="F416" s="74"/>
      <c r="G416" s="74"/>
      <c r="H416" s="74"/>
    </row>
    <row r="417" ht="14.25" customHeight="1">
      <c r="A417" s="77"/>
      <c r="B417" s="77"/>
      <c r="C417" s="77"/>
      <c r="D417" s="77"/>
      <c r="E417" s="74"/>
      <c r="F417" s="74"/>
      <c r="G417" s="74"/>
      <c r="H417" s="74"/>
    </row>
    <row r="418" ht="14.25" customHeight="1">
      <c r="A418" s="77"/>
      <c r="B418" s="77"/>
      <c r="C418" s="77"/>
      <c r="D418" s="77"/>
      <c r="E418" s="74"/>
      <c r="F418" s="74"/>
      <c r="G418" s="74"/>
      <c r="H418" s="74"/>
    </row>
    <row r="419" ht="14.25" customHeight="1">
      <c r="A419" s="77"/>
      <c r="B419" s="77"/>
      <c r="C419" s="77"/>
      <c r="D419" s="77"/>
      <c r="E419" s="74"/>
      <c r="F419" s="74"/>
      <c r="G419" s="74"/>
      <c r="H419" s="74"/>
    </row>
    <row r="420" ht="14.25" customHeight="1">
      <c r="A420" s="77"/>
      <c r="B420" s="77"/>
      <c r="C420" s="77"/>
      <c r="D420" s="77"/>
      <c r="E420" s="74"/>
      <c r="F420" s="74"/>
      <c r="G420" s="74"/>
      <c r="H420" s="74"/>
    </row>
    <row r="421" ht="14.25" customHeight="1">
      <c r="A421" s="77"/>
      <c r="B421" s="77"/>
      <c r="C421" s="77"/>
      <c r="D421" s="77"/>
      <c r="E421" s="74"/>
      <c r="F421" s="74"/>
      <c r="G421" s="74"/>
      <c r="H421" s="74"/>
    </row>
    <row r="422" ht="14.25" customHeight="1">
      <c r="A422" s="77"/>
      <c r="B422" s="77"/>
      <c r="C422" s="77"/>
      <c r="D422" s="77"/>
      <c r="E422" s="74"/>
      <c r="F422" s="74"/>
      <c r="G422" s="74"/>
      <c r="H422" s="74"/>
    </row>
    <row r="423" ht="14.25" customHeight="1">
      <c r="A423" s="77"/>
      <c r="B423" s="77"/>
      <c r="C423" s="77"/>
      <c r="D423" s="77"/>
      <c r="E423" s="74"/>
      <c r="F423" s="74"/>
      <c r="G423" s="74"/>
      <c r="H423" s="74"/>
    </row>
    <row r="424" ht="14.25" customHeight="1">
      <c r="A424" s="77"/>
      <c r="B424" s="77"/>
      <c r="C424" s="77"/>
      <c r="D424" s="77"/>
      <c r="E424" s="74"/>
      <c r="F424" s="74"/>
      <c r="G424" s="74"/>
      <c r="H424" s="74"/>
    </row>
    <row r="425" ht="14.25" customHeight="1">
      <c r="A425" s="77"/>
      <c r="B425" s="77"/>
      <c r="C425" s="77"/>
      <c r="D425" s="77"/>
      <c r="E425" s="74"/>
      <c r="F425" s="74"/>
      <c r="G425" s="74"/>
      <c r="H425" s="74"/>
    </row>
    <row r="426" ht="14.25" customHeight="1">
      <c r="A426" s="77"/>
      <c r="B426" s="77"/>
      <c r="C426" s="77"/>
      <c r="D426" s="77"/>
      <c r="E426" s="74"/>
      <c r="F426" s="74"/>
      <c r="G426" s="74"/>
      <c r="H426" s="74"/>
    </row>
    <row r="427" ht="14.25" customHeight="1">
      <c r="A427" s="77"/>
      <c r="B427" s="77"/>
      <c r="C427" s="77"/>
      <c r="D427" s="77"/>
      <c r="E427" s="74"/>
      <c r="F427" s="74"/>
      <c r="G427" s="74"/>
      <c r="H427" s="74"/>
    </row>
    <row r="428" ht="14.25" customHeight="1">
      <c r="A428" s="77"/>
      <c r="B428" s="77"/>
      <c r="C428" s="77"/>
      <c r="D428" s="77"/>
      <c r="E428" s="74"/>
      <c r="F428" s="74"/>
      <c r="G428" s="74"/>
      <c r="H428" s="74"/>
    </row>
    <row r="429" ht="14.25" customHeight="1">
      <c r="A429" s="77"/>
      <c r="B429" s="77"/>
      <c r="C429" s="77"/>
      <c r="D429" s="77"/>
      <c r="E429" s="74"/>
      <c r="F429" s="74"/>
      <c r="G429" s="74"/>
      <c r="H429" s="74"/>
    </row>
    <row r="430" ht="14.25" customHeight="1">
      <c r="A430" s="77"/>
      <c r="B430" s="77"/>
      <c r="C430" s="77"/>
      <c r="D430" s="77"/>
      <c r="E430" s="74"/>
      <c r="F430" s="74"/>
      <c r="G430" s="74"/>
      <c r="H430" s="74"/>
    </row>
    <row r="431" ht="14.25" customHeight="1">
      <c r="A431" s="77"/>
      <c r="B431" s="77"/>
      <c r="C431" s="77"/>
      <c r="D431" s="77"/>
      <c r="E431" s="74"/>
      <c r="F431" s="74"/>
      <c r="G431" s="74"/>
      <c r="H431" s="74"/>
    </row>
    <row r="432" ht="14.25" customHeight="1">
      <c r="A432" s="77"/>
      <c r="B432" s="77"/>
      <c r="C432" s="77"/>
      <c r="D432" s="77"/>
      <c r="E432" s="74"/>
      <c r="F432" s="74"/>
      <c r="G432" s="74"/>
      <c r="H432" s="74"/>
    </row>
    <row r="433" ht="14.25" customHeight="1">
      <c r="A433" s="77"/>
      <c r="B433" s="77"/>
      <c r="C433" s="77"/>
      <c r="D433" s="77"/>
      <c r="E433" s="74"/>
      <c r="F433" s="74"/>
      <c r="G433" s="74"/>
      <c r="H433" s="74"/>
    </row>
    <row r="434" ht="14.25" customHeight="1">
      <c r="A434" s="77"/>
      <c r="B434" s="77"/>
      <c r="C434" s="77"/>
      <c r="D434" s="77"/>
      <c r="E434" s="74"/>
      <c r="F434" s="74"/>
      <c r="G434" s="74"/>
      <c r="H434" s="74"/>
    </row>
    <row r="435" ht="14.25" customHeight="1">
      <c r="A435" s="77"/>
      <c r="B435" s="77"/>
      <c r="C435" s="77"/>
      <c r="D435" s="77"/>
      <c r="E435" s="74"/>
      <c r="F435" s="74"/>
      <c r="G435" s="74"/>
      <c r="H435" s="74"/>
    </row>
    <row r="436" ht="14.25" customHeight="1">
      <c r="A436" s="77"/>
      <c r="B436" s="77"/>
      <c r="C436" s="77"/>
      <c r="D436" s="77"/>
      <c r="E436" s="74"/>
      <c r="F436" s="74"/>
      <c r="G436" s="74"/>
      <c r="H436" s="74"/>
    </row>
    <row r="437" ht="14.25" customHeight="1">
      <c r="A437" s="77"/>
      <c r="B437" s="77"/>
      <c r="C437" s="77"/>
      <c r="D437" s="77"/>
      <c r="E437" s="74"/>
      <c r="F437" s="74"/>
      <c r="G437" s="74"/>
      <c r="H437" s="74"/>
    </row>
    <row r="438" ht="14.25" customHeight="1">
      <c r="A438" s="77"/>
      <c r="B438" s="77"/>
      <c r="C438" s="77"/>
      <c r="D438" s="77"/>
      <c r="E438" s="74"/>
      <c r="F438" s="74"/>
      <c r="G438" s="74"/>
      <c r="H438" s="74"/>
    </row>
    <row r="439" ht="14.25" customHeight="1">
      <c r="A439" s="77"/>
      <c r="B439" s="77"/>
      <c r="C439" s="77"/>
      <c r="D439" s="77"/>
      <c r="E439" s="74"/>
      <c r="F439" s="74"/>
      <c r="G439" s="74"/>
      <c r="H439" s="74"/>
    </row>
    <row r="440" ht="14.25" customHeight="1">
      <c r="A440" s="77"/>
      <c r="B440" s="77"/>
      <c r="C440" s="77"/>
      <c r="D440" s="77"/>
      <c r="E440" s="74"/>
      <c r="F440" s="74"/>
      <c r="G440" s="74"/>
      <c r="H440" s="74"/>
    </row>
    <row r="441" ht="14.25" customHeight="1">
      <c r="A441" s="77"/>
      <c r="B441" s="77"/>
      <c r="C441" s="77"/>
      <c r="D441" s="77"/>
      <c r="E441" s="74"/>
      <c r="F441" s="74"/>
      <c r="G441" s="74"/>
      <c r="H441" s="74"/>
    </row>
    <row r="442" ht="14.25" customHeight="1">
      <c r="A442" s="77"/>
      <c r="B442" s="77"/>
      <c r="C442" s="77"/>
      <c r="D442" s="77"/>
      <c r="E442" s="74"/>
      <c r="F442" s="74"/>
      <c r="G442" s="74"/>
      <c r="H442" s="74"/>
    </row>
    <row r="443" ht="14.25" customHeight="1">
      <c r="A443" s="77"/>
      <c r="B443" s="77"/>
      <c r="C443" s="77"/>
      <c r="D443" s="77"/>
      <c r="E443" s="74"/>
      <c r="F443" s="74"/>
      <c r="G443" s="74"/>
      <c r="H443" s="74"/>
    </row>
    <row r="444" ht="14.25" customHeight="1">
      <c r="A444" s="77"/>
      <c r="B444" s="77"/>
      <c r="C444" s="77"/>
      <c r="D444" s="77"/>
      <c r="E444" s="74"/>
      <c r="F444" s="74"/>
      <c r="G444" s="74"/>
      <c r="H444" s="74"/>
    </row>
    <row r="445" ht="14.25" customHeight="1">
      <c r="A445" s="77"/>
      <c r="B445" s="77"/>
      <c r="C445" s="77"/>
      <c r="D445" s="77"/>
      <c r="E445" s="74"/>
      <c r="F445" s="74"/>
      <c r="G445" s="74"/>
      <c r="H445" s="74"/>
    </row>
    <row r="446" ht="14.25" customHeight="1">
      <c r="A446" s="77"/>
      <c r="B446" s="77"/>
      <c r="C446" s="77"/>
      <c r="D446" s="77"/>
      <c r="E446" s="74"/>
      <c r="F446" s="74"/>
      <c r="G446" s="74"/>
      <c r="H446" s="74"/>
    </row>
    <row r="447" ht="14.25" customHeight="1">
      <c r="A447" s="77"/>
      <c r="B447" s="77"/>
      <c r="C447" s="77"/>
      <c r="D447" s="77"/>
      <c r="E447" s="74"/>
      <c r="F447" s="74"/>
      <c r="G447" s="74"/>
      <c r="H447" s="74"/>
    </row>
    <row r="448" ht="14.25" customHeight="1">
      <c r="A448" s="77"/>
      <c r="B448" s="77"/>
      <c r="C448" s="77"/>
      <c r="D448" s="77"/>
      <c r="E448" s="74"/>
      <c r="F448" s="74"/>
      <c r="G448" s="74"/>
      <c r="H448" s="74"/>
    </row>
    <row r="449" ht="14.25" customHeight="1">
      <c r="A449" s="77"/>
      <c r="B449" s="77"/>
      <c r="C449" s="77"/>
      <c r="D449" s="77"/>
      <c r="E449" s="74"/>
      <c r="F449" s="74"/>
      <c r="G449" s="74"/>
      <c r="H449" s="74"/>
    </row>
    <row r="450" ht="14.25" customHeight="1">
      <c r="A450" s="77"/>
      <c r="B450" s="77"/>
      <c r="C450" s="77"/>
      <c r="D450" s="77"/>
      <c r="E450" s="74"/>
      <c r="F450" s="74"/>
      <c r="G450" s="74"/>
      <c r="H450" s="74"/>
    </row>
    <row r="451" ht="14.25" customHeight="1">
      <c r="A451" s="77"/>
      <c r="B451" s="77"/>
      <c r="C451" s="77"/>
      <c r="D451" s="77"/>
      <c r="E451" s="74"/>
      <c r="F451" s="74"/>
      <c r="G451" s="74"/>
      <c r="H451" s="74"/>
    </row>
    <row r="452" ht="14.25" customHeight="1">
      <c r="A452" s="77"/>
      <c r="B452" s="77"/>
      <c r="C452" s="77"/>
      <c r="D452" s="77"/>
      <c r="E452" s="74"/>
      <c r="F452" s="74"/>
      <c r="G452" s="74"/>
      <c r="H452" s="74"/>
    </row>
    <row r="453" ht="14.25" customHeight="1">
      <c r="A453" s="77"/>
      <c r="B453" s="77"/>
      <c r="C453" s="77"/>
      <c r="D453" s="77"/>
      <c r="E453" s="74"/>
      <c r="F453" s="74"/>
      <c r="G453" s="74"/>
      <c r="H453" s="74"/>
    </row>
    <row r="454" ht="14.25" customHeight="1">
      <c r="A454" s="77"/>
      <c r="B454" s="77"/>
      <c r="C454" s="77"/>
      <c r="D454" s="77"/>
      <c r="E454" s="74"/>
      <c r="F454" s="74"/>
      <c r="G454" s="74"/>
      <c r="H454" s="74"/>
    </row>
    <row r="455" ht="14.25" customHeight="1">
      <c r="A455" s="77"/>
      <c r="B455" s="77"/>
      <c r="C455" s="77"/>
      <c r="D455" s="77"/>
      <c r="E455" s="74"/>
      <c r="F455" s="74"/>
      <c r="G455" s="74"/>
      <c r="H455" s="74"/>
    </row>
    <row r="456" ht="14.25" customHeight="1">
      <c r="A456" s="77"/>
      <c r="B456" s="77"/>
      <c r="C456" s="77"/>
      <c r="D456" s="77"/>
      <c r="E456" s="74"/>
      <c r="F456" s="74"/>
      <c r="G456" s="74"/>
      <c r="H456" s="74"/>
    </row>
    <row r="457" ht="14.25" customHeight="1">
      <c r="A457" s="77"/>
      <c r="B457" s="77"/>
      <c r="C457" s="77"/>
      <c r="D457" s="77"/>
      <c r="E457" s="74"/>
      <c r="F457" s="74"/>
      <c r="G457" s="74"/>
      <c r="H457" s="74"/>
    </row>
    <row r="458" ht="14.25" customHeight="1">
      <c r="A458" s="77"/>
      <c r="B458" s="77"/>
      <c r="C458" s="77"/>
      <c r="D458" s="77"/>
      <c r="E458" s="74"/>
      <c r="F458" s="74"/>
      <c r="G458" s="74"/>
      <c r="H458" s="74"/>
    </row>
    <row r="459" ht="14.25" customHeight="1">
      <c r="A459" s="77"/>
      <c r="B459" s="77"/>
      <c r="C459" s="77"/>
      <c r="D459" s="77"/>
      <c r="E459" s="74"/>
      <c r="F459" s="74"/>
      <c r="G459" s="74"/>
      <c r="H459" s="74"/>
    </row>
    <row r="460" ht="14.25" customHeight="1">
      <c r="A460" s="77"/>
      <c r="B460" s="77"/>
      <c r="C460" s="77"/>
      <c r="D460" s="77"/>
      <c r="E460" s="74"/>
      <c r="F460" s="74"/>
      <c r="G460" s="74"/>
      <c r="H460" s="74"/>
    </row>
    <row r="461" ht="14.25" customHeight="1">
      <c r="A461" s="77"/>
      <c r="B461" s="77"/>
      <c r="C461" s="77"/>
      <c r="D461" s="77"/>
      <c r="E461" s="74"/>
      <c r="F461" s="74"/>
      <c r="G461" s="74"/>
      <c r="H461" s="74"/>
    </row>
    <row r="462" ht="14.25" customHeight="1">
      <c r="A462" s="77"/>
      <c r="B462" s="77"/>
      <c r="C462" s="77"/>
      <c r="D462" s="77"/>
      <c r="E462" s="74"/>
      <c r="F462" s="74"/>
      <c r="G462" s="74"/>
      <c r="H462" s="74"/>
    </row>
    <row r="463" ht="14.25" customHeight="1">
      <c r="A463" s="77"/>
      <c r="B463" s="77"/>
      <c r="C463" s="77"/>
      <c r="D463" s="77"/>
      <c r="E463" s="74"/>
      <c r="F463" s="74"/>
      <c r="G463" s="74"/>
      <c r="H463" s="74"/>
    </row>
    <row r="464" ht="14.25" customHeight="1">
      <c r="A464" s="77"/>
      <c r="B464" s="77"/>
      <c r="C464" s="77"/>
      <c r="D464" s="77"/>
      <c r="E464" s="74"/>
      <c r="F464" s="74"/>
      <c r="G464" s="74"/>
      <c r="H464" s="74"/>
    </row>
    <row r="465" ht="14.25" customHeight="1">
      <c r="A465" s="77"/>
      <c r="B465" s="77"/>
      <c r="C465" s="77"/>
      <c r="D465" s="77"/>
      <c r="E465" s="74"/>
      <c r="F465" s="74"/>
      <c r="G465" s="74"/>
      <c r="H465" s="74"/>
    </row>
    <row r="466" ht="14.25" customHeight="1">
      <c r="A466" s="77"/>
      <c r="B466" s="77"/>
      <c r="C466" s="77"/>
      <c r="D466" s="77"/>
      <c r="E466" s="74"/>
      <c r="F466" s="74"/>
      <c r="G466" s="74"/>
      <c r="H466" s="74"/>
    </row>
    <row r="467" ht="14.25" customHeight="1">
      <c r="A467" s="77"/>
      <c r="B467" s="77"/>
      <c r="C467" s="77"/>
      <c r="D467" s="77"/>
      <c r="E467" s="74"/>
      <c r="F467" s="74"/>
      <c r="G467" s="74"/>
      <c r="H467" s="74"/>
    </row>
    <row r="468" ht="14.25" customHeight="1">
      <c r="A468" s="77"/>
      <c r="B468" s="77"/>
      <c r="C468" s="77"/>
      <c r="D468" s="77"/>
      <c r="E468" s="74"/>
      <c r="F468" s="74"/>
      <c r="G468" s="74"/>
      <c r="H468" s="74"/>
    </row>
    <row r="469" ht="14.25" customHeight="1">
      <c r="A469" s="77"/>
      <c r="B469" s="77"/>
      <c r="C469" s="77"/>
      <c r="D469" s="77"/>
      <c r="E469" s="74"/>
      <c r="F469" s="74"/>
      <c r="G469" s="74"/>
      <c r="H469" s="74"/>
    </row>
    <row r="470" ht="14.25" customHeight="1">
      <c r="A470" s="77"/>
      <c r="B470" s="77"/>
      <c r="C470" s="77"/>
      <c r="D470" s="77"/>
      <c r="E470" s="74"/>
      <c r="F470" s="74"/>
      <c r="G470" s="74"/>
      <c r="H470" s="74"/>
    </row>
    <row r="471" ht="14.25" customHeight="1">
      <c r="A471" s="77"/>
      <c r="B471" s="77"/>
      <c r="C471" s="77"/>
      <c r="D471" s="77"/>
      <c r="E471" s="74"/>
      <c r="F471" s="74"/>
      <c r="G471" s="74"/>
      <c r="H471" s="74"/>
    </row>
    <row r="472" ht="14.25" customHeight="1">
      <c r="A472" s="77"/>
      <c r="B472" s="77"/>
      <c r="C472" s="77"/>
      <c r="D472" s="77"/>
      <c r="E472" s="74"/>
      <c r="F472" s="74"/>
      <c r="G472" s="74"/>
      <c r="H472" s="74"/>
    </row>
    <row r="473" ht="14.25" customHeight="1">
      <c r="A473" s="77"/>
      <c r="B473" s="77"/>
      <c r="C473" s="77"/>
      <c r="D473" s="77"/>
      <c r="E473" s="74"/>
      <c r="F473" s="74"/>
      <c r="G473" s="74"/>
      <c r="H473" s="74"/>
    </row>
    <row r="474" ht="14.25" customHeight="1">
      <c r="A474" s="77"/>
      <c r="B474" s="77"/>
      <c r="C474" s="77"/>
      <c r="D474" s="77"/>
      <c r="E474" s="74"/>
      <c r="F474" s="74"/>
      <c r="G474" s="74"/>
      <c r="H474" s="74"/>
    </row>
    <row r="475" ht="14.25" customHeight="1">
      <c r="A475" s="77"/>
      <c r="B475" s="77"/>
      <c r="C475" s="77"/>
      <c r="D475" s="77"/>
      <c r="E475" s="74"/>
      <c r="F475" s="74"/>
      <c r="G475" s="74"/>
      <c r="H475" s="74"/>
    </row>
    <row r="476" ht="14.25" customHeight="1">
      <c r="A476" s="77"/>
      <c r="B476" s="77"/>
      <c r="C476" s="77"/>
      <c r="D476" s="77"/>
      <c r="E476" s="74"/>
      <c r="F476" s="74"/>
      <c r="G476" s="74"/>
      <c r="H476" s="74"/>
    </row>
    <row r="477" ht="14.25" customHeight="1">
      <c r="A477" s="77"/>
      <c r="B477" s="77"/>
      <c r="C477" s="77"/>
      <c r="D477" s="77"/>
      <c r="E477" s="74"/>
      <c r="F477" s="74"/>
      <c r="G477" s="74"/>
      <c r="H477" s="74"/>
    </row>
    <row r="478" ht="14.25" customHeight="1">
      <c r="A478" s="77"/>
      <c r="B478" s="77"/>
      <c r="C478" s="77"/>
      <c r="D478" s="77"/>
      <c r="E478" s="74"/>
      <c r="F478" s="74"/>
      <c r="G478" s="74"/>
      <c r="H478" s="74"/>
    </row>
    <row r="479" ht="14.25" customHeight="1">
      <c r="A479" s="77"/>
      <c r="B479" s="77"/>
      <c r="C479" s="77"/>
      <c r="D479" s="77"/>
      <c r="E479" s="74"/>
      <c r="F479" s="74"/>
      <c r="G479" s="74"/>
      <c r="H479" s="74"/>
    </row>
    <row r="480" ht="14.25" customHeight="1">
      <c r="A480" s="77"/>
      <c r="B480" s="77"/>
      <c r="C480" s="77"/>
      <c r="D480" s="77"/>
      <c r="E480" s="74"/>
      <c r="F480" s="74"/>
      <c r="G480" s="74"/>
      <c r="H480" s="74"/>
    </row>
    <row r="481" ht="14.25" customHeight="1">
      <c r="A481" s="77"/>
      <c r="B481" s="77"/>
      <c r="C481" s="77"/>
      <c r="D481" s="77"/>
      <c r="E481" s="74"/>
      <c r="F481" s="74"/>
      <c r="G481" s="74"/>
      <c r="H481" s="74"/>
    </row>
    <row r="482" ht="14.25" customHeight="1">
      <c r="A482" s="77"/>
      <c r="B482" s="77"/>
      <c r="C482" s="77"/>
      <c r="D482" s="77"/>
      <c r="E482" s="74"/>
      <c r="F482" s="74"/>
      <c r="G482" s="74"/>
      <c r="H482" s="74"/>
    </row>
    <row r="483" ht="14.25" customHeight="1">
      <c r="A483" s="77"/>
      <c r="B483" s="77"/>
      <c r="C483" s="77"/>
      <c r="D483" s="77"/>
      <c r="E483" s="74"/>
      <c r="F483" s="74"/>
      <c r="G483" s="74"/>
      <c r="H483" s="74"/>
    </row>
    <row r="484" ht="14.25" customHeight="1">
      <c r="A484" s="77"/>
      <c r="B484" s="77"/>
      <c r="C484" s="77"/>
      <c r="D484" s="77"/>
      <c r="E484" s="74"/>
      <c r="F484" s="74"/>
      <c r="G484" s="74"/>
      <c r="H484" s="74"/>
    </row>
    <row r="485" ht="14.25" customHeight="1">
      <c r="A485" s="77"/>
      <c r="B485" s="77"/>
      <c r="C485" s="77"/>
      <c r="D485" s="77"/>
      <c r="E485" s="74"/>
      <c r="F485" s="74"/>
      <c r="G485" s="74"/>
      <c r="H485" s="74"/>
    </row>
    <row r="486" ht="14.25" customHeight="1">
      <c r="A486" s="77"/>
      <c r="B486" s="77"/>
      <c r="C486" s="77"/>
      <c r="D486" s="77"/>
      <c r="E486" s="74"/>
      <c r="F486" s="74"/>
      <c r="G486" s="74"/>
      <c r="H486" s="74"/>
    </row>
    <row r="487" ht="14.25" customHeight="1">
      <c r="A487" s="77"/>
      <c r="B487" s="77"/>
      <c r="C487" s="77"/>
      <c r="D487" s="77"/>
      <c r="E487" s="74"/>
      <c r="F487" s="74"/>
      <c r="G487" s="74"/>
      <c r="H487" s="74"/>
    </row>
    <row r="488" ht="14.25" customHeight="1">
      <c r="A488" s="77"/>
      <c r="B488" s="77"/>
      <c r="C488" s="77"/>
      <c r="D488" s="77"/>
      <c r="E488" s="74"/>
      <c r="F488" s="74"/>
      <c r="G488" s="74"/>
      <c r="H488" s="74"/>
    </row>
    <row r="489" ht="14.25" customHeight="1">
      <c r="A489" s="77"/>
      <c r="B489" s="77"/>
      <c r="C489" s="77"/>
      <c r="D489" s="77"/>
      <c r="E489" s="74"/>
      <c r="F489" s="74"/>
      <c r="G489" s="74"/>
      <c r="H489" s="74"/>
    </row>
    <row r="490" ht="14.25" customHeight="1">
      <c r="A490" s="77"/>
      <c r="B490" s="77"/>
      <c r="C490" s="77"/>
      <c r="D490" s="77"/>
      <c r="E490" s="74"/>
      <c r="F490" s="74"/>
      <c r="G490" s="74"/>
      <c r="H490" s="74"/>
    </row>
    <row r="491" ht="14.25" customHeight="1">
      <c r="A491" s="77"/>
      <c r="B491" s="77"/>
      <c r="C491" s="77"/>
      <c r="D491" s="77"/>
      <c r="E491" s="74"/>
      <c r="F491" s="74"/>
      <c r="G491" s="74"/>
      <c r="H491" s="74"/>
    </row>
    <row r="492" ht="14.25" customHeight="1">
      <c r="A492" s="77"/>
      <c r="B492" s="77"/>
      <c r="C492" s="77"/>
      <c r="D492" s="77"/>
      <c r="E492" s="74"/>
      <c r="F492" s="74"/>
      <c r="G492" s="74"/>
      <c r="H492" s="74"/>
    </row>
    <row r="493" ht="14.25" customHeight="1">
      <c r="A493" s="77"/>
      <c r="B493" s="77"/>
      <c r="C493" s="77"/>
      <c r="D493" s="77"/>
      <c r="E493" s="74"/>
      <c r="F493" s="74"/>
      <c r="G493" s="74"/>
      <c r="H493" s="74"/>
    </row>
    <row r="494" ht="14.25" customHeight="1">
      <c r="A494" s="77"/>
      <c r="B494" s="77"/>
      <c r="C494" s="77"/>
      <c r="D494" s="77"/>
      <c r="E494" s="74"/>
      <c r="F494" s="74"/>
      <c r="G494" s="74"/>
      <c r="H494" s="74"/>
    </row>
    <row r="495" ht="14.25" customHeight="1">
      <c r="A495" s="77"/>
      <c r="B495" s="77"/>
      <c r="C495" s="77"/>
      <c r="D495" s="77"/>
      <c r="E495" s="74"/>
      <c r="F495" s="74"/>
      <c r="G495" s="74"/>
      <c r="H495" s="74"/>
    </row>
    <row r="496" ht="14.25" customHeight="1">
      <c r="A496" s="77"/>
      <c r="B496" s="77"/>
      <c r="C496" s="77"/>
      <c r="D496" s="77"/>
      <c r="E496" s="74"/>
      <c r="F496" s="74"/>
      <c r="G496" s="74"/>
      <c r="H496" s="74"/>
    </row>
    <row r="497" ht="14.25" customHeight="1">
      <c r="A497" s="77"/>
      <c r="B497" s="77"/>
      <c r="C497" s="77"/>
      <c r="D497" s="77"/>
      <c r="E497" s="74"/>
      <c r="F497" s="74"/>
      <c r="G497" s="74"/>
      <c r="H497" s="74"/>
    </row>
    <row r="498" ht="14.25" customHeight="1">
      <c r="A498" s="77"/>
      <c r="B498" s="77"/>
      <c r="C498" s="77"/>
      <c r="D498" s="77"/>
      <c r="E498" s="74"/>
      <c r="F498" s="74"/>
      <c r="G498" s="74"/>
      <c r="H498" s="74"/>
    </row>
    <row r="499" ht="14.25" customHeight="1">
      <c r="A499" s="77"/>
      <c r="B499" s="77"/>
      <c r="C499" s="77"/>
      <c r="D499" s="77"/>
      <c r="E499" s="74"/>
      <c r="F499" s="74"/>
      <c r="G499" s="74"/>
      <c r="H499" s="74"/>
    </row>
    <row r="500" ht="14.25" customHeight="1">
      <c r="A500" s="77"/>
      <c r="B500" s="77"/>
      <c r="C500" s="77"/>
      <c r="D500" s="77"/>
      <c r="E500" s="74"/>
      <c r="F500" s="74"/>
      <c r="G500" s="74"/>
      <c r="H500" s="74"/>
    </row>
    <row r="501" ht="14.25" customHeight="1">
      <c r="A501" s="77"/>
      <c r="B501" s="77"/>
      <c r="C501" s="77"/>
      <c r="D501" s="77"/>
      <c r="E501" s="74"/>
      <c r="F501" s="74"/>
      <c r="G501" s="74"/>
      <c r="H501" s="74"/>
    </row>
    <row r="502" ht="14.25" customHeight="1">
      <c r="A502" s="77"/>
      <c r="B502" s="77"/>
      <c r="C502" s="77"/>
      <c r="D502" s="77"/>
      <c r="E502" s="74"/>
      <c r="F502" s="74"/>
      <c r="G502" s="74"/>
      <c r="H502" s="74"/>
    </row>
    <row r="503" ht="14.25" customHeight="1">
      <c r="A503" s="77"/>
      <c r="B503" s="77"/>
      <c r="C503" s="77"/>
      <c r="D503" s="77"/>
      <c r="E503" s="74"/>
      <c r="F503" s="74"/>
      <c r="G503" s="74"/>
      <c r="H503" s="74"/>
    </row>
    <row r="504" ht="14.25" customHeight="1">
      <c r="A504" s="77"/>
      <c r="B504" s="77"/>
      <c r="C504" s="77"/>
      <c r="D504" s="77"/>
      <c r="E504" s="74"/>
      <c r="F504" s="74"/>
      <c r="G504" s="74"/>
      <c r="H504" s="74"/>
    </row>
    <row r="505" ht="14.25" customHeight="1">
      <c r="A505" s="77"/>
      <c r="B505" s="77"/>
      <c r="C505" s="77"/>
      <c r="D505" s="77"/>
      <c r="E505" s="74"/>
      <c r="F505" s="74"/>
      <c r="G505" s="74"/>
      <c r="H505" s="74"/>
    </row>
    <row r="506" ht="14.25" customHeight="1">
      <c r="A506" s="77"/>
      <c r="B506" s="77"/>
      <c r="C506" s="77"/>
      <c r="D506" s="77"/>
      <c r="E506" s="74"/>
      <c r="F506" s="74"/>
      <c r="G506" s="74"/>
      <c r="H506" s="74"/>
    </row>
    <row r="507" ht="14.25" customHeight="1">
      <c r="A507" s="77"/>
      <c r="B507" s="77"/>
      <c r="C507" s="77"/>
      <c r="D507" s="77"/>
      <c r="E507" s="74"/>
      <c r="F507" s="74"/>
      <c r="G507" s="74"/>
      <c r="H507" s="74"/>
    </row>
    <row r="508" ht="14.25" customHeight="1">
      <c r="A508" s="77"/>
      <c r="B508" s="77"/>
      <c r="C508" s="77"/>
      <c r="D508" s="77"/>
      <c r="E508" s="74"/>
      <c r="F508" s="74"/>
      <c r="G508" s="74"/>
      <c r="H508" s="74"/>
    </row>
    <row r="509" ht="14.25" customHeight="1">
      <c r="A509" s="77"/>
      <c r="B509" s="77"/>
      <c r="C509" s="77"/>
      <c r="D509" s="77"/>
      <c r="E509" s="74"/>
      <c r="F509" s="74"/>
      <c r="G509" s="74"/>
      <c r="H509" s="74"/>
    </row>
    <row r="510" ht="14.25" customHeight="1">
      <c r="A510" s="77"/>
      <c r="B510" s="77"/>
      <c r="C510" s="77"/>
      <c r="D510" s="77"/>
      <c r="E510" s="74"/>
      <c r="F510" s="74"/>
      <c r="G510" s="74"/>
      <c r="H510" s="74"/>
    </row>
    <row r="511" ht="14.25" customHeight="1">
      <c r="A511" s="77"/>
      <c r="B511" s="77"/>
      <c r="C511" s="77"/>
      <c r="D511" s="77"/>
      <c r="E511" s="74"/>
      <c r="F511" s="74"/>
      <c r="G511" s="74"/>
      <c r="H511" s="74"/>
    </row>
    <row r="512" ht="14.25" customHeight="1">
      <c r="A512" s="77"/>
      <c r="B512" s="77"/>
      <c r="C512" s="77"/>
      <c r="D512" s="77"/>
      <c r="E512" s="74"/>
      <c r="F512" s="74"/>
      <c r="G512" s="74"/>
      <c r="H512" s="74"/>
    </row>
    <row r="513" ht="14.25" customHeight="1">
      <c r="A513" s="77"/>
      <c r="B513" s="77"/>
      <c r="C513" s="77"/>
      <c r="D513" s="77"/>
      <c r="E513" s="74"/>
      <c r="F513" s="74"/>
      <c r="G513" s="74"/>
      <c r="H513" s="74"/>
    </row>
    <row r="514" ht="14.25" customHeight="1">
      <c r="A514" s="77"/>
      <c r="B514" s="77"/>
      <c r="C514" s="77"/>
      <c r="D514" s="77"/>
      <c r="E514" s="74"/>
      <c r="F514" s="74"/>
      <c r="G514" s="74"/>
      <c r="H514" s="74"/>
    </row>
    <row r="515" ht="14.25" customHeight="1">
      <c r="A515" s="77"/>
      <c r="B515" s="77"/>
      <c r="C515" s="77"/>
      <c r="D515" s="77"/>
      <c r="E515" s="74"/>
      <c r="F515" s="74"/>
      <c r="G515" s="74"/>
      <c r="H515" s="74"/>
    </row>
    <row r="516" ht="14.25" customHeight="1">
      <c r="A516" s="77"/>
      <c r="B516" s="77"/>
      <c r="C516" s="77"/>
      <c r="D516" s="77"/>
      <c r="E516" s="74"/>
      <c r="F516" s="74"/>
      <c r="G516" s="74"/>
      <c r="H516" s="74"/>
    </row>
    <row r="517" ht="14.25" customHeight="1">
      <c r="A517" s="77"/>
      <c r="B517" s="77"/>
      <c r="C517" s="77"/>
      <c r="D517" s="77"/>
      <c r="E517" s="74"/>
      <c r="F517" s="74"/>
      <c r="G517" s="74"/>
      <c r="H517" s="74"/>
    </row>
    <row r="518" ht="14.25" customHeight="1">
      <c r="A518" s="77"/>
      <c r="B518" s="77"/>
      <c r="C518" s="77"/>
      <c r="D518" s="77"/>
      <c r="E518" s="74"/>
      <c r="F518" s="74"/>
      <c r="G518" s="74"/>
      <c r="H518" s="74"/>
    </row>
    <row r="519" ht="14.25" customHeight="1">
      <c r="A519" s="77"/>
      <c r="B519" s="77"/>
      <c r="C519" s="77"/>
      <c r="D519" s="77"/>
      <c r="E519" s="74"/>
      <c r="F519" s="74"/>
      <c r="G519" s="74"/>
      <c r="H519" s="74"/>
    </row>
    <row r="520" ht="14.25" customHeight="1">
      <c r="A520" s="77"/>
      <c r="B520" s="77"/>
      <c r="C520" s="77"/>
      <c r="D520" s="77"/>
      <c r="E520" s="74"/>
      <c r="F520" s="74"/>
      <c r="G520" s="74"/>
      <c r="H520" s="74"/>
    </row>
    <row r="521" ht="14.25" customHeight="1">
      <c r="A521" s="77"/>
      <c r="B521" s="77"/>
      <c r="C521" s="77"/>
      <c r="D521" s="77"/>
      <c r="E521" s="74"/>
      <c r="F521" s="74"/>
      <c r="G521" s="74"/>
      <c r="H521" s="74"/>
    </row>
    <row r="522" ht="14.25" customHeight="1">
      <c r="A522" s="77"/>
      <c r="B522" s="77"/>
      <c r="C522" s="77"/>
      <c r="D522" s="77"/>
      <c r="E522" s="74"/>
      <c r="F522" s="74"/>
      <c r="G522" s="74"/>
      <c r="H522" s="74"/>
    </row>
    <row r="523" ht="14.25" customHeight="1">
      <c r="A523" s="77"/>
      <c r="B523" s="77"/>
      <c r="C523" s="77"/>
      <c r="D523" s="77"/>
      <c r="E523" s="74"/>
      <c r="F523" s="74"/>
      <c r="G523" s="74"/>
      <c r="H523" s="74"/>
    </row>
    <row r="524" ht="14.25" customHeight="1">
      <c r="A524" s="77"/>
      <c r="B524" s="77"/>
      <c r="C524" s="77"/>
      <c r="D524" s="77"/>
      <c r="E524" s="74"/>
      <c r="F524" s="74"/>
      <c r="G524" s="74"/>
      <c r="H524" s="74"/>
    </row>
    <row r="525" ht="14.25" customHeight="1">
      <c r="A525" s="77"/>
      <c r="B525" s="77"/>
      <c r="C525" s="77"/>
      <c r="D525" s="77"/>
      <c r="E525" s="74"/>
      <c r="F525" s="74"/>
      <c r="G525" s="74"/>
      <c r="H525" s="74"/>
    </row>
    <row r="526" ht="14.25" customHeight="1">
      <c r="A526" s="77"/>
      <c r="B526" s="77"/>
      <c r="C526" s="77"/>
      <c r="D526" s="77"/>
      <c r="E526" s="74"/>
      <c r="F526" s="74"/>
      <c r="G526" s="74"/>
      <c r="H526" s="74"/>
    </row>
    <row r="527" ht="14.25" customHeight="1">
      <c r="A527" s="77"/>
      <c r="B527" s="77"/>
      <c r="C527" s="77"/>
      <c r="D527" s="77"/>
      <c r="E527" s="74"/>
      <c r="F527" s="74"/>
      <c r="G527" s="74"/>
      <c r="H527" s="74"/>
    </row>
    <row r="528" ht="14.25" customHeight="1">
      <c r="A528" s="77"/>
      <c r="B528" s="77"/>
      <c r="C528" s="77"/>
      <c r="D528" s="77"/>
      <c r="E528" s="74"/>
      <c r="F528" s="74"/>
      <c r="G528" s="74"/>
      <c r="H528" s="74"/>
    </row>
    <row r="529" ht="14.25" customHeight="1">
      <c r="A529" s="77"/>
      <c r="B529" s="77"/>
      <c r="C529" s="77"/>
      <c r="D529" s="77"/>
      <c r="E529" s="74"/>
      <c r="F529" s="74"/>
      <c r="G529" s="74"/>
      <c r="H529" s="74"/>
    </row>
    <row r="530" ht="14.25" customHeight="1">
      <c r="A530" s="77"/>
      <c r="B530" s="77"/>
      <c r="C530" s="77"/>
      <c r="D530" s="77"/>
      <c r="E530" s="74"/>
      <c r="F530" s="74"/>
      <c r="G530" s="74"/>
      <c r="H530" s="74"/>
    </row>
    <row r="531" ht="14.25" customHeight="1">
      <c r="A531" s="77"/>
      <c r="B531" s="77"/>
      <c r="C531" s="77"/>
      <c r="D531" s="77"/>
      <c r="E531" s="74"/>
      <c r="F531" s="74"/>
      <c r="G531" s="74"/>
      <c r="H531" s="74"/>
    </row>
    <row r="532" ht="14.25" customHeight="1">
      <c r="A532" s="77"/>
      <c r="B532" s="77"/>
      <c r="C532" s="77"/>
      <c r="D532" s="77"/>
      <c r="E532" s="74"/>
      <c r="F532" s="74"/>
      <c r="G532" s="74"/>
      <c r="H532" s="74"/>
    </row>
    <row r="533" ht="14.25" customHeight="1">
      <c r="A533" s="77"/>
      <c r="B533" s="77"/>
      <c r="C533" s="77"/>
      <c r="D533" s="77"/>
      <c r="E533" s="74"/>
      <c r="F533" s="74"/>
      <c r="G533" s="74"/>
      <c r="H533" s="74"/>
    </row>
    <row r="534" ht="14.25" customHeight="1">
      <c r="A534" s="77"/>
      <c r="B534" s="77"/>
      <c r="C534" s="77"/>
      <c r="D534" s="77"/>
      <c r="E534" s="74"/>
      <c r="F534" s="74"/>
      <c r="G534" s="74"/>
      <c r="H534" s="74"/>
    </row>
    <row r="535" ht="14.25" customHeight="1">
      <c r="A535" s="77"/>
      <c r="B535" s="77"/>
      <c r="C535" s="77"/>
      <c r="D535" s="77"/>
      <c r="E535" s="74"/>
      <c r="F535" s="74"/>
      <c r="G535" s="74"/>
      <c r="H535" s="74"/>
    </row>
    <row r="536" ht="14.25" customHeight="1">
      <c r="A536" s="77"/>
      <c r="B536" s="77"/>
      <c r="C536" s="77"/>
      <c r="D536" s="77"/>
      <c r="E536" s="74"/>
      <c r="F536" s="74"/>
      <c r="G536" s="74"/>
      <c r="H536" s="74"/>
    </row>
    <row r="537" ht="14.25" customHeight="1">
      <c r="A537" s="77"/>
      <c r="B537" s="77"/>
      <c r="C537" s="77"/>
      <c r="D537" s="77"/>
      <c r="E537" s="74"/>
      <c r="F537" s="74"/>
      <c r="G537" s="74"/>
      <c r="H537" s="74"/>
    </row>
    <row r="538" ht="14.25" customHeight="1">
      <c r="A538" s="77"/>
      <c r="B538" s="77"/>
      <c r="C538" s="77"/>
      <c r="D538" s="77"/>
      <c r="E538" s="74"/>
      <c r="F538" s="74"/>
      <c r="G538" s="74"/>
      <c r="H538" s="74"/>
    </row>
    <row r="539" ht="14.25" customHeight="1">
      <c r="A539" s="77"/>
      <c r="B539" s="77"/>
      <c r="C539" s="77"/>
      <c r="D539" s="77"/>
      <c r="E539" s="74"/>
      <c r="F539" s="74"/>
      <c r="G539" s="74"/>
      <c r="H539" s="74"/>
    </row>
    <row r="540" ht="14.25" customHeight="1">
      <c r="A540" s="77"/>
      <c r="B540" s="77"/>
      <c r="C540" s="77"/>
      <c r="D540" s="77"/>
      <c r="E540" s="74"/>
      <c r="F540" s="74"/>
      <c r="G540" s="74"/>
      <c r="H540" s="74"/>
    </row>
    <row r="541" ht="14.25" customHeight="1">
      <c r="A541" s="77"/>
      <c r="B541" s="77"/>
      <c r="C541" s="77"/>
      <c r="D541" s="77"/>
      <c r="E541" s="74"/>
      <c r="F541" s="74"/>
      <c r="G541" s="74"/>
      <c r="H541" s="74"/>
    </row>
    <row r="542" ht="14.25" customHeight="1">
      <c r="A542" s="77"/>
      <c r="B542" s="77"/>
      <c r="C542" s="77"/>
      <c r="D542" s="77"/>
      <c r="E542" s="74"/>
      <c r="F542" s="74"/>
      <c r="G542" s="74"/>
      <c r="H542" s="74"/>
    </row>
    <row r="543" ht="14.25" customHeight="1">
      <c r="A543" s="77"/>
      <c r="B543" s="77"/>
      <c r="C543" s="77"/>
      <c r="D543" s="77"/>
      <c r="E543" s="74"/>
      <c r="F543" s="74"/>
      <c r="G543" s="74"/>
      <c r="H543" s="74"/>
    </row>
    <row r="544" ht="14.25" customHeight="1">
      <c r="A544" s="77"/>
      <c r="B544" s="77"/>
      <c r="C544" s="77"/>
      <c r="D544" s="77"/>
      <c r="E544" s="74"/>
      <c r="F544" s="74"/>
      <c r="G544" s="74"/>
      <c r="H544" s="74"/>
    </row>
    <row r="545" ht="14.25" customHeight="1">
      <c r="A545" s="77"/>
      <c r="B545" s="77"/>
      <c r="C545" s="77"/>
      <c r="D545" s="77"/>
      <c r="E545" s="74"/>
      <c r="F545" s="74"/>
      <c r="G545" s="74"/>
      <c r="H545" s="74"/>
    </row>
    <row r="546" ht="14.25" customHeight="1">
      <c r="A546" s="77"/>
      <c r="B546" s="77"/>
      <c r="C546" s="77"/>
      <c r="D546" s="77"/>
      <c r="E546" s="74"/>
      <c r="F546" s="74"/>
      <c r="G546" s="74"/>
      <c r="H546" s="74"/>
    </row>
    <row r="547" ht="14.25" customHeight="1">
      <c r="A547" s="77"/>
      <c r="B547" s="77"/>
      <c r="C547" s="77"/>
      <c r="D547" s="77"/>
      <c r="E547" s="74"/>
      <c r="F547" s="74"/>
      <c r="G547" s="74"/>
      <c r="H547" s="74"/>
    </row>
    <row r="548" ht="14.25" customHeight="1">
      <c r="A548" s="77"/>
      <c r="B548" s="77"/>
      <c r="C548" s="77"/>
      <c r="D548" s="77"/>
      <c r="E548" s="74"/>
      <c r="F548" s="74"/>
      <c r="G548" s="74"/>
      <c r="H548" s="74"/>
    </row>
    <row r="549" ht="14.25" customHeight="1">
      <c r="A549" s="77"/>
      <c r="B549" s="77"/>
      <c r="C549" s="77"/>
      <c r="D549" s="77"/>
      <c r="E549" s="74"/>
      <c r="F549" s="74"/>
      <c r="G549" s="74"/>
      <c r="H549" s="74"/>
    </row>
    <row r="550" ht="14.25" customHeight="1">
      <c r="A550" s="77"/>
      <c r="B550" s="77"/>
      <c r="C550" s="77"/>
      <c r="D550" s="77"/>
      <c r="E550" s="74"/>
      <c r="F550" s="74"/>
      <c r="G550" s="74"/>
      <c r="H550" s="74"/>
    </row>
    <row r="551" ht="14.25" customHeight="1">
      <c r="A551" s="77"/>
      <c r="B551" s="77"/>
      <c r="C551" s="77"/>
      <c r="D551" s="77"/>
      <c r="E551" s="74"/>
      <c r="F551" s="74"/>
      <c r="G551" s="74"/>
      <c r="H551" s="74"/>
    </row>
    <row r="552" ht="14.25" customHeight="1">
      <c r="A552" s="77"/>
      <c r="B552" s="77"/>
      <c r="C552" s="77"/>
      <c r="D552" s="77"/>
      <c r="E552" s="74"/>
      <c r="F552" s="74"/>
      <c r="G552" s="74"/>
      <c r="H552" s="74"/>
    </row>
    <row r="553" ht="14.25" customHeight="1">
      <c r="A553" s="77"/>
      <c r="B553" s="77"/>
      <c r="C553" s="77"/>
      <c r="D553" s="77"/>
      <c r="E553" s="74"/>
      <c r="F553" s="74"/>
      <c r="G553" s="74"/>
      <c r="H553" s="74"/>
    </row>
    <row r="554" ht="14.25" customHeight="1">
      <c r="A554" s="77"/>
      <c r="B554" s="77"/>
      <c r="C554" s="77"/>
      <c r="D554" s="77"/>
      <c r="E554" s="74"/>
      <c r="F554" s="74"/>
      <c r="G554" s="74"/>
      <c r="H554" s="74"/>
    </row>
    <row r="555" ht="14.25" customHeight="1">
      <c r="A555" s="77"/>
      <c r="B555" s="77"/>
      <c r="C555" s="77"/>
      <c r="D555" s="77"/>
      <c r="E555" s="74"/>
      <c r="F555" s="74"/>
      <c r="G555" s="74"/>
      <c r="H555" s="74"/>
    </row>
    <row r="556" ht="14.25" customHeight="1">
      <c r="A556" s="77"/>
      <c r="B556" s="77"/>
      <c r="C556" s="77"/>
      <c r="D556" s="77"/>
      <c r="E556" s="74"/>
      <c r="F556" s="74"/>
      <c r="G556" s="74"/>
      <c r="H556" s="74"/>
    </row>
    <row r="557" ht="14.25" customHeight="1">
      <c r="A557" s="77"/>
      <c r="B557" s="77"/>
      <c r="C557" s="77"/>
      <c r="D557" s="77"/>
      <c r="E557" s="74"/>
      <c r="F557" s="74"/>
      <c r="G557" s="74"/>
      <c r="H557" s="74"/>
    </row>
    <row r="558" ht="14.25" customHeight="1">
      <c r="A558" s="77"/>
      <c r="B558" s="77"/>
      <c r="C558" s="77"/>
      <c r="D558" s="77"/>
      <c r="E558" s="74"/>
      <c r="F558" s="74"/>
      <c r="G558" s="74"/>
      <c r="H558" s="74"/>
    </row>
    <row r="559" ht="14.25" customHeight="1">
      <c r="A559" s="77"/>
      <c r="B559" s="77"/>
      <c r="C559" s="77"/>
      <c r="D559" s="77"/>
      <c r="E559" s="74"/>
      <c r="F559" s="74"/>
      <c r="G559" s="74"/>
      <c r="H559" s="74"/>
    </row>
    <row r="560" ht="14.25" customHeight="1">
      <c r="A560" s="77"/>
      <c r="B560" s="77"/>
      <c r="C560" s="77"/>
      <c r="D560" s="77"/>
      <c r="E560" s="74"/>
      <c r="F560" s="74"/>
      <c r="G560" s="74"/>
      <c r="H560" s="74"/>
    </row>
    <row r="561" ht="14.25" customHeight="1">
      <c r="A561" s="77"/>
      <c r="B561" s="77"/>
      <c r="C561" s="77"/>
      <c r="D561" s="77"/>
      <c r="E561" s="74"/>
      <c r="F561" s="74"/>
      <c r="G561" s="74"/>
      <c r="H561" s="74"/>
    </row>
    <row r="562" ht="14.25" customHeight="1">
      <c r="A562" s="77"/>
      <c r="B562" s="77"/>
      <c r="C562" s="77"/>
      <c r="D562" s="77"/>
      <c r="E562" s="74"/>
      <c r="F562" s="74"/>
      <c r="G562" s="74"/>
      <c r="H562" s="74"/>
    </row>
    <row r="563" ht="14.25" customHeight="1">
      <c r="A563" s="77"/>
      <c r="B563" s="77"/>
      <c r="C563" s="77"/>
      <c r="D563" s="77"/>
      <c r="E563" s="74"/>
      <c r="F563" s="74"/>
      <c r="G563" s="74"/>
      <c r="H563" s="74"/>
    </row>
    <row r="564" ht="14.25" customHeight="1">
      <c r="A564" s="77"/>
      <c r="B564" s="77"/>
      <c r="C564" s="77"/>
      <c r="D564" s="77"/>
      <c r="E564" s="74"/>
      <c r="F564" s="74"/>
      <c r="G564" s="74"/>
      <c r="H564" s="74"/>
    </row>
    <row r="565" ht="14.25" customHeight="1">
      <c r="A565" s="77"/>
      <c r="B565" s="77"/>
      <c r="C565" s="77"/>
      <c r="D565" s="77"/>
      <c r="E565" s="74"/>
      <c r="F565" s="74"/>
      <c r="G565" s="74"/>
      <c r="H565" s="74"/>
    </row>
    <row r="566" ht="14.25" customHeight="1">
      <c r="A566" s="77"/>
      <c r="B566" s="77"/>
      <c r="C566" s="77"/>
      <c r="D566" s="77"/>
      <c r="E566" s="74"/>
      <c r="F566" s="74"/>
      <c r="G566" s="74"/>
      <c r="H566" s="74"/>
    </row>
    <row r="567" ht="14.25" customHeight="1">
      <c r="A567" s="77"/>
      <c r="B567" s="77"/>
      <c r="C567" s="77"/>
      <c r="D567" s="77"/>
      <c r="E567" s="74"/>
      <c r="F567" s="74"/>
      <c r="G567" s="74"/>
      <c r="H567" s="74"/>
    </row>
    <row r="568" ht="14.25" customHeight="1">
      <c r="A568" s="77"/>
      <c r="B568" s="77"/>
      <c r="C568" s="77"/>
      <c r="D568" s="77"/>
      <c r="E568" s="74"/>
      <c r="F568" s="74"/>
      <c r="G568" s="74"/>
      <c r="H568" s="74"/>
    </row>
    <row r="569" ht="14.25" customHeight="1">
      <c r="A569" s="77"/>
      <c r="B569" s="77"/>
      <c r="C569" s="77"/>
      <c r="D569" s="77"/>
      <c r="E569" s="74"/>
      <c r="F569" s="74"/>
      <c r="G569" s="74"/>
      <c r="H569" s="74"/>
    </row>
    <row r="570" ht="14.25" customHeight="1">
      <c r="A570" s="77"/>
      <c r="B570" s="77"/>
      <c r="C570" s="77"/>
      <c r="D570" s="77"/>
      <c r="E570" s="74"/>
      <c r="F570" s="74"/>
      <c r="G570" s="74"/>
      <c r="H570" s="74"/>
    </row>
    <row r="571" ht="14.25" customHeight="1">
      <c r="A571" s="77"/>
      <c r="B571" s="77"/>
      <c r="C571" s="77"/>
      <c r="D571" s="77"/>
      <c r="E571" s="74"/>
      <c r="F571" s="74"/>
      <c r="G571" s="74"/>
      <c r="H571" s="74"/>
    </row>
    <row r="572" ht="14.25" customHeight="1">
      <c r="A572" s="77"/>
      <c r="B572" s="77"/>
      <c r="C572" s="77"/>
      <c r="D572" s="77"/>
      <c r="E572" s="74"/>
      <c r="F572" s="74"/>
      <c r="G572" s="74"/>
      <c r="H572" s="74"/>
    </row>
    <row r="573" ht="14.25" customHeight="1">
      <c r="A573" s="77"/>
      <c r="B573" s="77"/>
      <c r="C573" s="77"/>
      <c r="D573" s="77"/>
      <c r="E573" s="74"/>
      <c r="F573" s="74"/>
      <c r="G573" s="74"/>
      <c r="H573" s="74"/>
    </row>
    <row r="574" ht="14.25" customHeight="1">
      <c r="A574" s="77"/>
      <c r="B574" s="77"/>
      <c r="C574" s="77"/>
      <c r="D574" s="77"/>
      <c r="E574" s="74"/>
      <c r="F574" s="74"/>
      <c r="G574" s="74"/>
      <c r="H574" s="74"/>
    </row>
    <row r="575" ht="14.25" customHeight="1">
      <c r="A575" s="77"/>
      <c r="B575" s="77"/>
      <c r="C575" s="77"/>
      <c r="D575" s="77"/>
      <c r="E575" s="74"/>
      <c r="F575" s="74"/>
      <c r="G575" s="74"/>
      <c r="H575" s="74"/>
    </row>
    <row r="576" ht="14.25" customHeight="1">
      <c r="A576" s="77"/>
      <c r="B576" s="77"/>
      <c r="C576" s="77"/>
      <c r="D576" s="77"/>
      <c r="E576" s="74"/>
      <c r="F576" s="74"/>
      <c r="G576" s="74"/>
      <c r="H576" s="74"/>
    </row>
    <row r="577" ht="14.25" customHeight="1">
      <c r="A577" s="77"/>
      <c r="B577" s="77"/>
      <c r="C577" s="77"/>
      <c r="D577" s="77"/>
      <c r="E577" s="74"/>
      <c r="F577" s="74"/>
      <c r="G577" s="74"/>
      <c r="H577" s="74"/>
    </row>
    <row r="578" ht="14.25" customHeight="1">
      <c r="A578" s="77"/>
      <c r="B578" s="77"/>
      <c r="C578" s="77"/>
      <c r="D578" s="77"/>
      <c r="E578" s="74"/>
      <c r="F578" s="74"/>
      <c r="G578" s="74"/>
      <c r="H578" s="74"/>
    </row>
    <row r="579" ht="14.25" customHeight="1">
      <c r="A579" s="77"/>
      <c r="B579" s="77"/>
      <c r="C579" s="77"/>
      <c r="D579" s="77"/>
      <c r="E579" s="74"/>
      <c r="F579" s="74"/>
      <c r="G579" s="74"/>
      <c r="H579" s="74"/>
    </row>
    <row r="580" ht="14.25" customHeight="1">
      <c r="A580" s="77"/>
      <c r="B580" s="77"/>
      <c r="C580" s="77"/>
      <c r="D580" s="77"/>
      <c r="E580" s="74"/>
      <c r="F580" s="74"/>
      <c r="G580" s="74"/>
      <c r="H580" s="74"/>
    </row>
    <row r="581" ht="14.25" customHeight="1">
      <c r="A581" s="77"/>
      <c r="B581" s="77"/>
      <c r="C581" s="77"/>
      <c r="D581" s="77"/>
      <c r="E581" s="74"/>
      <c r="F581" s="74"/>
      <c r="G581" s="74"/>
      <c r="H581" s="74"/>
    </row>
    <row r="582" ht="14.25" customHeight="1">
      <c r="A582" s="77"/>
      <c r="B582" s="77"/>
      <c r="C582" s="77"/>
      <c r="D582" s="77"/>
      <c r="E582" s="74"/>
      <c r="F582" s="74"/>
      <c r="G582" s="74"/>
      <c r="H582" s="74"/>
    </row>
    <row r="583" ht="14.25" customHeight="1">
      <c r="A583" s="77"/>
      <c r="B583" s="77"/>
      <c r="C583" s="77"/>
      <c r="D583" s="77"/>
      <c r="E583" s="74"/>
      <c r="F583" s="74"/>
      <c r="G583" s="74"/>
      <c r="H583" s="74"/>
    </row>
    <row r="584" ht="14.25" customHeight="1">
      <c r="A584" s="77"/>
      <c r="B584" s="77"/>
      <c r="C584" s="77"/>
      <c r="D584" s="77"/>
      <c r="E584" s="74"/>
      <c r="F584" s="74"/>
      <c r="G584" s="74"/>
      <c r="H584" s="74"/>
    </row>
    <row r="585" ht="14.25" customHeight="1">
      <c r="A585" s="77"/>
      <c r="B585" s="77"/>
      <c r="C585" s="77"/>
      <c r="D585" s="77"/>
      <c r="E585" s="74"/>
      <c r="F585" s="74"/>
      <c r="G585" s="74"/>
      <c r="H585" s="74"/>
    </row>
    <row r="586" ht="14.25" customHeight="1">
      <c r="A586" s="77"/>
      <c r="B586" s="77"/>
      <c r="C586" s="77"/>
      <c r="D586" s="77"/>
      <c r="E586" s="74"/>
      <c r="F586" s="74"/>
      <c r="G586" s="74"/>
      <c r="H586" s="74"/>
    </row>
    <row r="587" ht="14.25" customHeight="1">
      <c r="A587" s="77"/>
      <c r="B587" s="77"/>
      <c r="C587" s="77"/>
      <c r="D587" s="77"/>
      <c r="E587" s="74"/>
      <c r="F587" s="74"/>
      <c r="G587" s="74"/>
      <c r="H587" s="74"/>
    </row>
    <row r="588" ht="14.25" customHeight="1">
      <c r="A588" s="77"/>
      <c r="B588" s="77"/>
      <c r="C588" s="77"/>
      <c r="D588" s="77"/>
      <c r="E588" s="74"/>
      <c r="F588" s="74"/>
      <c r="G588" s="74"/>
      <c r="H588" s="74"/>
    </row>
    <row r="589" ht="14.25" customHeight="1">
      <c r="A589" s="77"/>
      <c r="B589" s="77"/>
      <c r="C589" s="77"/>
      <c r="D589" s="77"/>
      <c r="E589" s="74"/>
      <c r="F589" s="74"/>
      <c r="G589" s="74"/>
      <c r="H589" s="74"/>
    </row>
    <row r="590" ht="14.25" customHeight="1">
      <c r="A590" s="77"/>
      <c r="B590" s="77"/>
      <c r="C590" s="77"/>
      <c r="D590" s="77"/>
      <c r="E590" s="74"/>
      <c r="F590" s="74"/>
      <c r="G590" s="74"/>
      <c r="H590" s="74"/>
    </row>
    <row r="591" ht="14.25" customHeight="1">
      <c r="A591" s="77"/>
      <c r="B591" s="77"/>
      <c r="C591" s="77"/>
      <c r="D591" s="77"/>
      <c r="E591" s="74"/>
      <c r="F591" s="74"/>
      <c r="G591" s="74"/>
      <c r="H591" s="74"/>
    </row>
    <row r="592" ht="14.25" customHeight="1">
      <c r="A592" s="77"/>
      <c r="B592" s="77"/>
      <c r="C592" s="77"/>
      <c r="D592" s="77"/>
      <c r="E592" s="74"/>
      <c r="F592" s="74"/>
      <c r="G592" s="74"/>
      <c r="H592" s="74"/>
    </row>
    <row r="593" ht="14.25" customHeight="1">
      <c r="A593" s="77"/>
      <c r="B593" s="77"/>
      <c r="C593" s="77"/>
      <c r="D593" s="77"/>
      <c r="E593" s="74"/>
      <c r="F593" s="74"/>
      <c r="G593" s="74"/>
      <c r="H593" s="74"/>
    </row>
    <row r="594" ht="14.25" customHeight="1">
      <c r="A594" s="77"/>
      <c r="B594" s="77"/>
      <c r="C594" s="77"/>
      <c r="D594" s="77"/>
      <c r="E594" s="74"/>
      <c r="F594" s="74"/>
      <c r="G594" s="74"/>
      <c r="H594" s="74"/>
    </row>
    <row r="595" ht="14.25" customHeight="1">
      <c r="A595" s="77"/>
      <c r="B595" s="77"/>
      <c r="C595" s="77"/>
      <c r="D595" s="77"/>
      <c r="E595" s="74"/>
      <c r="F595" s="74"/>
      <c r="G595" s="74"/>
      <c r="H595" s="74"/>
    </row>
    <row r="596" ht="14.25" customHeight="1">
      <c r="A596" s="77"/>
      <c r="B596" s="77"/>
      <c r="C596" s="77"/>
      <c r="D596" s="77"/>
      <c r="E596" s="74"/>
      <c r="F596" s="74"/>
      <c r="G596" s="74"/>
      <c r="H596" s="74"/>
    </row>
    <row r="597" ht="14.25" customHeight="1">
      <c r="A597" s="77"/>
      <c r="B597" s="77"/>
      <c r="C597" s="77"/>
      <c r="D597" s="77"/>
      <c r="E597" s="74"/>
      <c r="F597" s="74"/>
      <c r="G597" s="74"/>
      <c r="H597" s="74"/>
    </row>
    <row r="598" ht="14.25" customHeight="1">
      <c r="A598" s="77"/>
      <c r="B598" s="77"/>
      <c r="C598" s="77"/>
      <c r="D598" s="77"/>
      <c r="E598" s="74"/>
      <c r="F598" s="74"/>
      <c r="G598" s="74"/>
      <c r="H598" s="74"/>
    </row>
    <row r="599" ht="14.25" customHeight="1">
      <c r="A599" s="77"/>
      <c r="B599" s="77"/>
      <c r="C599" s="77"/>
      <c r="D599" s="77"/>
      <c r="E599" s="74"/>
      <c r="F599" s="74"/>
      <c r="G599" s="74"/>
      <c r="H599" s="74"/>
    </row>
    <row r="600" ht="14.25" customHeight="1">
      <c r="A600" s="77"/>
      <c r="B600" s="77"/>
      <c r="C600" s="77"/>
      <c r="D600" s="77"/>
      <c r="E600" s="74"/>
      <c r="F600" s="74"/>
      <c r="G600" s="74"/>
      <c r="H600" s="74"/>
    </row>
    <row r="601" ht="14.25" customHeight="1">
      <c r="A601" s="77"/>
      <c r="B601" s="77"/>
      <c r="C601" s="77"/>
      <c r="D601" s="77"/>
      <c r="E601" s="74"/>
      <c r="F601" s="74"/>
      <c r="G601" s="74"/>
      <c r="H601" s="74"/>
    </row>
    <row r="602" ht="14.25" customHeight="1">
      <c r="A602" s="77"/>
      <c r="B602" s="77"/>
      <c r="C602" s="77"/>
      <c r="D602" s="77"/>
      <c r="E602" s="74"/>
      <c r="F602" s="74"/>
      <c r="G602" s="74"/>
      <c r="H602" s="74"/>
    </row>
    <row r="603" ht="14.25" customHeight="1">
      <c r="A603" s="77"/>
      <c r="B603" s="77"/>
      <c r="C603" s="77"/>
      <c r="D603" s="77"/>
      <c r="E603" s="74"/>
      <c r="F603" s="74"/>
      <c r="G603" s="74"/>
      <c r="H603" s="74"/>
    </row>
    <row r="604" ht="14.25" customHeight="1">
      <c r="A604" s="77"/>
      <c r="B604" s="77"/>
      <c r="C604" s="77"/>
      <c r="D604" s="77"/>
      <c r="E604" s="74"/>
      <c r="F604" s="74"/>
      <c r="G604" s="74"/>
      <c r="H604" s="74"/>
    </row>
    <row r="605" ht="14.25" customHeight="1">
      <c r="A605" s="77"/>
      <c r="B605" s="77"/>
      <c r="C605" s="77"/>
      <c r="D605" s="77"/>
      <c r="E605" s="74"/>
      <c r="F605" s="74"/>
      <c r="G605" s="74"/>
      <c r="H605" s="74"/>
    </row>
    <row r="606" ht="14.25" customHeight="1">
      <c r="A606" s="77"/>
      <c r="B606" s="77"/>
      <c r="C606" s="77"/>
      <c r="D606" s="77"/>
      <c r="E606" s="74"/>
      <c r="F606" s="74"/>
      <c r="G606" s="74"/>
      <c r="H606" s="74"/>
    </row>
    <row r="607" ht="14.25" customHeight="1">
      <c r="A607" s="77"/>
      <c r="B607" s="77"/>
      <c r="C607" s="77"/>
      <c r="D607" s="77"/>
      <c r="E607" s="74"/>
      <c r="F607" s="74"/>
      <c r="G607" s="74"/>
      <c r="H607" s="74"/>
    </row>
    <row r="608" ht="14.25" customHeight="1">
      <c r="A608" s="77"/>
      <c r="B608" s="77"/>
      <c r="C608" s="77"/>
      <c r="D608" s="77"/>
      <c r="E608" s="74"/>
      <c r="F608" s="74"/>
      <c r="G608" s="74"/>
      <c r="H608" s="74"/>
    </row>
    <row r="609" ht="14.25" customHeight="1">
      <c r="A609" s="77"/>
      <c r="B609" s="77"/>
      <c r="C609" s="77"/>
      <c r="D609" s="77"/>
      <c r="E609" s="74"/>
      <c r="F609" s="74"/>
      <c r="G609" s="74"/>
      <c r="H609" s="74"/>
    </row>
    <row r="610" ht="14.25" customHeight="1">
      <c r="A610" s="77"/>
      <c r="B610" s="77"/>
      <c r="C610" s="77"/>
      <c r="D610" s="77"/>
      <c r="E610" s="74"/>
      <c r="F610" s="74"/>
      <c r="G610" s="74"/>
      <c r="H610" s="74"/>
    </row>
    <row r="611" ht="14.25" customHeight="1">
      <c r="A611" s="77"/>
      <c r="B611" s="77"/>
      <c r="C611" s="77"/>
      <c r="D611" s="77"/>
      <c r="E611" s="74"/>
      <c r="F611" s="74"/>
      <c r="G611" s="74"/>
      <c r="H611" s="74"/>
    </row>
    <row r="612" ht="14.25" customHeight="1">
      <c r="A612" s="77"/>
      <c r="B612" s="77"/>
      <c r="C612" s="77"/>
      <c r="D612" s="77"/>
      <c r="E612" s="74"/>
      <c r="F612" s="74"/>
      <c r="G612" s="74"/>
      <c r="H612" s="74"/>
    </row>
    <row r="613" ht="14.25" customHeight="1">
      <c r="A613" s="77"/>
      <c r="B613" s="77"/>
      <c r="C613" s="77"/>
      <c r="D613" s="77"/>
      <c r="E613" s="74"/>
      <c r="F613" s="74"/>
      <c r="G613" s="74"/>
      <c r="H613" s="74"/>
    </row>
    <row r="614" ht="14.25" customHeight="1">
      <c r="A614" s="77"/>
      <c r="B614" s="77"/>
      <c r="C614" s="77"/>
      <c r="D614" s="77"/>
      <c r="E614" s="74"/>
      <c r="F614" s="74"/>
      <c r="G614" s="74"/>
      <c r="H614" s="74"/>
    </row>
    <row r="615" ht="14.25" customHeight="1">
      <c r="A615" s="77"/>
      <c r="B615" s="77"/>
      <c r="C615" s="77"/>
      <c r="D615" s="77"/>
      <c r="E615" s="74"/>
      <c r="F615" s="74"/>
      <c r="G615" s="74"/>
      <c r="H615" s="74"/>
    </row>
    <row r="616" ht="14.25" customHeight="1">
      <c r="A616" s="77"/>
      <c r="B616" s="77"/>
      <c r="C616" s="77"/>
      <c r="D616" s="77"/>
      <c r="E616" s="74"/>
      <c r="F616" s="74"/>
      <c r="G616" s="74"/>
      <c r="H616" s="74"/>
    </row>
    <row r="617" ht="14.25" customHeight="1">
      <c r="A617" s="77"/>
      <c r="B617" s="77"/>
      <c r="C617" s="77"/>
      <c r="D617" s="77"/>
      <c r="E617" s="74"/>
      <c r="F617" s="74"/>
      <c r="G617" s="74"/>
      <c r="H617" s="74"/>
    </row>
    <row r="618" ht="14.25" customHeight="1">
      <c r="A618" s="77"/>
      <c r="B618" s="77"/>
      <c r="C618" s="77"/>
      <c r="D618" s="77"/>
      <c r="E618" s="74"/>
      <c r="F618" s="74"/>
      <c r="G618" s="74"/>
      <c r="H618" s="74"/>
    </row>
    <row r="619" ht="14.25" customHeight="1">
      <c r="A619" s="77"/>
      <c r="B619" s="77"/>
      <c r="C619" s="77"/>
      <c r="D619" s="77"/>
      <c r="E619" s="74"/>
      <c r="F619" s="74"/>
      <c r="G619" s="74"/>
      <c r="H619" s="74"/>
    </row>
    <row r="620" ht="14.25" customHeight="1">
      <c r="A620" s="77"/>
      <c r="B620" s="77"/>
      <c r="C620" s="77"/>
      <c r="D620" s="77"/>
      <c r="E620" s="74"/>
      <c r="F620" s="74"/>
      <c r="G620" s="74"/>
      <c r="H620" s="74"/>
    </row>
    <row r="621" ht="14.25" customHeight="1">
      <c r="A621" s="77"/>
      <c r="B621" s="77"/>
      <c r="C621" s="77"/>
      <c r="D621" s="77"/>
      <c r="E621" s="74"/>
      <c r="F621" s="74"/>
      <c r="G621" s="74"/>
      <c r="H621" s="74"/>
    </row>
    <row r="622" ht="14.25" customHeight="1">
      <c r="A622" s="77"/>
      <c r="B622" s="77"/>
      <c r="C622" s="77"/>
      <c r="D622" s="77"/>
      <c r="E622" s="74"/>
      <c r="F622" s="74"/>
      <c r="G622" s="74"/>
      <c r="H622" s="74"/>
    </row>
    <row r="623" ht="14.25" customHeight="1">
      <c r="A623" s="77"/>
      <c r="B623" s="77"/>
      <c r="C623" s="77"/>
      <c r="D623" s="77"/>
      <c r="E623" s="74"/>
      <c r="F623" s="74"/>
      <c r="G623" s="74"/>
      <c r="H623" s="74"/>
    </row>
    <row r="624" ht="14.25" customHeight="1">
      <c r="A624" s="77"/>
      <c r="B624" s="77"/>
      <c r="C624" s="77"/>
      <c r="D624" s="77"/>
      <c r="E624" s="74"/>
      <c r="F624" s="74"/>
      <c r="G624" s="74"/>
      <c r="H624" s="74"/>
    </row>
    <row r="625" ht="14.25" customHeight="1">
      <c r="A625" s="77"/>
      <c r="B625" s="77"/>
      <c r="C625" s="77"/>
      <c r="D625" s="77"/>
      <c r="E625" s="74"/>
      <c r="F625" s="74"/>
      <c r="G625" s="74"/>
      <c r="H625" s="74"/>
    </row>
    <row r="626" ht="14.25" customHeight="1">
      <c r="A626" s="77"/>
      <c r="B626" s="77"/>
      <c r="C626" s="77"/>
      <c r="D626" s="77"/>
      <c r="E626" s="74"/>
      <c r="F626" s="74"/>
      <c r="G626" s="74"/>
      <c r="H626" s="74"/>
    </row>
    <row r="627" ht="14.25" customHeight="1">
      <c r="A627" s="77"/>
      <c r="B627" s="77"/>
      <c r="C627" s="77"/>
      <c r="D627" s="77"/>
      <c r="E627" s="74"/>
      <c r="F627" s="74"/>
      <c r="G627" s="74"/>
      <c r="H627" s="74"/>
    </row>
    <row r="628" ht="14.25" customHeight="1">
      <c r="A628" s="77"/>
      <c r="B628" s="77"/>
      <c r="C628" s="77"/>
      <c r="D628" s="77"/>
      <c r="E628" s="74"/>
      <c r="F628" s="74"/>
      <c r="G628" s="74"/>
      <c r="H628" s="74"/>
    </row>
    <row r="629" ht="14.25" customHeight="1">
      <c r="A629" s="77"/>
      <c r="B629" s="77"/>
      <c r="C629" s="77"/>
      <c r="D629" s="77"/>
      <c r="E629" s="74"/>
      <c r="F629" s="74"/>
      <c r="G629" s="74"/>
      <c r="H629" s="74"/>
    </row>
    <row r="630" ht="14.25" customHeight="1">
      <c r="A630" s="77"/>
      <c r="B630" s="77"/>
      <c r="C630" s="77"/>
      <c r="D630" s="77"/>
      <c r="E630" s="74"/>
      <c r="F630" s="74"/>
      <c r="G630" s="74"/>
      <c r="H630" s="74"/>
    </row>
    <row r="631" ht="14.25" customHeight="1">
      <c r="A631" s="77"/>
      <c r="B631" s="77"/>
      <c r="C631" s="77"/>
      <c r="D631" s="77"/>
      <c r="E631" s="74"/>
      <c r="F631" s="74"/>
      <c r="G631" s="74"/>
      <c r="H631" s="74"/>
    </row>
    <row r="632" ht="14.25" customHeight="1">
      <c r="A632" s="77"/>
      <c r="B632" s="77"/>
      <c r="C632" s="77"/>
      <c r="D632" s="77"/>
      <c r="E632" s="74"/>
      <c r="F632" s="74"/>
      <c r="G632" s="74"/>
      <c r="H632" s="74"/>
    </row>
    <row r="633" ht="14.25" customHeight="1">
      <c r="A633" s="77"/>
      <c r="B633" s="77"/>
      <c r="C633" s="77"/>
      <c r="D633" s="77"/>
      <c r="E633" s="74"/>
      <c r="F633" s="74"/>
      <c r="G633" s="74"/>
      <c r="H633" s="74"/>
    </row>
    <row r="634" ht="14.25" customHeight="1">
      <c r="A634" s="77"/>
      <c r="B634" s="77"/>
      <c r="C634" s="77"/>
      <c r="D634" s="77"/>
      <c r="E634" s="74"/>
      <c r="F634" s="74"/>
      <c r="G634" s="74"/>
      <c r="H634" s="74"/>
    </row>
    <row r="635" ht="14.25" customHeight="1">
      <c r="A635" s="77"/>
      <c r="B635" s="77"/>
      <c r="C635" s="77"/>
      <c r="D635" s="77"/>
      <c r="E635" s="74"/>
      <c r="F635" s="74"/>
      <c r="G635" s="74"/>
      <c r="H635" s="74"/>
    </row>
    <row r="636" ht="14.25" customHeight="1">
      <c r="A636" s="77"/>
      <c r="B636" s="77"/>
      <c r="C636" s="77"/>
      <c r="D636" s="77"/>
      <c r="E636" s="74"/>
      <c r="F636" s="74"/>
      <c r="G636" s="74"/>
      <c r="H636" s="74"/>
    </row>
    <row r="637" ht="14.25" customHeight="1">
      <c r="A637" s="77"/>
      <c r="B637" s="77"/>
      <c r="C637" s="77"/>
      <c r="D637" s="77"/>
      <c r="E637" s="74"/>
      <c r="F637" s="74"/>
      <c r="G637" s="74"/>
      <c r="H637" s="74"/>
    </row>
    <row r="638" ht="14.25" customHeight="1">
      <c r="A638" s="77"/>
      <c r="B638" s="77"/>
      <c r="C638" s="77"/>
      <c r="D638" s="77"/>
      <c r="E638" s="74"/>
      <c r="F638" s="74"/>
      <c r="G638" s="74"/>
      <c r="H638" s="74"/>
    </row>
    <row r="639" ht="14.25" customHeight="1">
      <c r="A639" s="77"/>
      <c r="B639" s="77"/>
      <c r="C639" s="77"/>
      <c r="D639" s="77"/>
      <c r="E639" s="74"/>
      <c r="F639" s="74"/>
      <c r="G639" s="74"/>
      <c r="H639" s="74"/>
    </row>
    <row r="640" ht="14.25" customHeight="1">
      <c r="A640" s="77"/>
      <c r="B640" s="77"/>
      <c r="C640" s="77"/>
      <c r="D640" s="77"/>
      <c r="E640" s="74"/>
      <c r="F640" s="74"/>
      <c r="G640" s="74"/>
      <c r="H640" s="74"/>
    </row>
    <row r="641" ht="14.25" customHeight="1">
      <c r="A641" s="77"/>
      <c r="B641" s="77"/>
      <c r="C641" s="77"/>
      <c r="D641" s="77"/>
      <c r="E641" s="74"/>
      <c r="F641" s="74"/>
      <c r="G641" s="74"/>
      <c r="H641" s="74"/>
    </row>
    <row r="642" ht="14.25" customHeight="1">
      <c r="A642" s="77"/>
      <c r="B642" s="77"/>
      <c r="C642" s="77"/>
      <c r="D642" s="77"/>
      <c r="E642" s="74"/>
      <c r="F642" s="74"/>
      <c r="G642" s="74"/>
      <c r="H642" s="74"/>
    </row>
    <row r="643" ht="14.25" customHeight="1">
      <c r="A643" s="77"/>
      <c r="B643" s="77"/>
      <c r="C643" s="77"/>
      <c r="D643" s="77"/>
      <c r="E643" s="74"/>
      <c r="F643" s="74"/>
      <c r="G643" s="74"/>
      <c r="H643" s="74"/>
    </row>
    <row r="644" ht="14.25" customHeight="1">
      <c r="A644" s="77"/>
      <c r="B644" s="77"/>
      <c r="C644" s="77"/>
      <c r="D644" s="77"/>
      <c r="E644" s="74"/>
      <c r="F644" s="74"/>
      <c r="G644" s="74"/>
      <c r="H644" s="74"/>
    </row>
    <row r="645" ht="14.25" customHeight="1">
      <c r="A645" s="77"/>
      <c r="B645" s="77"/>
      <c r="C645" s="77"/>
      <c r="D645" s="77"/>
      <c r="E645" s="74"/>
      <c r="F645" s="74"/>
      <c r="G645" s="74"/>
      <c r="H645" s="74"/>
    </row>
    <row r="646" ht="14.25" customHeight="1">
      <c r="A646" s="77"/>
      <c r="B646" s="77"/>
      <c r="C646" s="77"/>
      <c r="D646" s="77"/>
      <c r="E646" s="74"/>
      <c r="F646" s="74"/>
      <c r="G646" s="74"/>
      <c r="H646" s="74"/>
    </row>
    <row r="647" ht="14.25" customHeight="1">
      <c r="A647" s="77"/>
      <c r="B647" s="77"/>
      <c r="C647" s="77"/>
      <c r="D647" s="77"/>
      <c r="E647" s="74"/>
      <c r="F647" s="74"/>
      <c r="G647" s="74"/>
      <c r="H647" s="74"/>
    </row>
    <row r="648" ht="14.25" customHeight="1">
      <c r="A648" s="77"/>
      <c r="B648" s="77"/>
      <c r="C648" s="77"/>
      <c r="D648" s="77"/>
      <c r="E648" s="74"/>
      <c r="F648" s="74"/>
      <c r="G648" s="74"/>
      <c r="H648" s="74"/>
    </row>
    <row r="649" ht="14.25" customHeight="1">
      <c r="A649" s="77"/>
      <c r="B649" s="77"/>
      <c r="C649" s="77"/>
      <c r="D649" s="77"/>
      <c r="E649" s="74"/>
      <c r="F649" s="74"/>
      <c r="G649" s="74"/>
      <c r="H649" s="74"/>
    </row>
    <row r="650" ht="14.25" customHeight="1">
      <c r="A650" s="77"/>
      <c r="B650" s="77"/>
      <c r="C650" s="77"/>
      <c r="D650" s="77"/>
      <c r="E650" s="74"/>
      <c r="F650" s="74"/>
      <c r="G650" s="74"/>
      <c r="H650" s="74"/>
    </row>
    <row r="651" ht="14.25" customHeight="1">
      <c r="A651" s="77"/>
      <c r="B651" s="77"/>
      <c r="C651" s="77"/>
      <c r="D651" s="77"/>
      <c r="E651" s="74"/>
      <c r="F651" s="74"/>
      <c r="G651" s="74"/>
      <c r="H651" s="74"/>
    </row>
    <row r="652" ht="14.25" customHeight="1">
      <c r="A652" s="77"/>
      <c r="B652" s="77"/>
      <c r="C652" s="77"/>
      <c r="D652" s="77"/>
      <c r="E652" s="74"/>
      <c r="F652" s="74"/>
      <c r="G652" s="74"/>
      <c r="H652" s="74"/>
    </row>
    <row r="653" ht="14.25" customHeight="1">
      <c r="A653" s="77"/>
      <c r="B653" s="77"/>
      <c r="C653" s="77"/>
      <c r="D653" s="77"/>
      <c r="E653" s="74"/>
      <c r="F653" s="74"/>
      <c r="G653" s="74"/>
      <c r="H653" s="74"/>
    </row>
    <row r="654" ht="14.25" customHeight="1">
      <c r="A654" s="77"/>
      <c r="B654" s="77"/>
      <c r="C654" s="77"/>
      <c r="D654" s="77"/>
      <c r="E654" s="74"/>
      <c r="F654" s="74"/>
      <c r="G654" s="74"/>
      <c r="H654" s="74"/>
    </row>
    <row r="655" ht="14.25" customHeight="1">
      <c r="A655" s="77"/>
      <c r="B655" s="77"/>
      <c r="C655" s="77"/>
      <c r="D655" s="77"/>
      <c r="E655" s="74"/>
      <c r="F655" s="74"/>
      <c r="G655" s="74"/>
      <c r="H655" s="74"/>
    </row>
    <row r="656" ht="14.25" customHeight="1">
      <c r="A656" s="77"/>
      <c r="B656" s="77"/>
      <c r="C656" s="77"/>
      <c r="D656" s="77"/>
      <c r="E656" s="74"/>
      <c r="F656" s="74"/>
      <c r="G656" s="74"/>
      <c r="H656" s="74"/>
    </row>
    <row r="657" ht="14.25" customHeight="1">
      <c r="A657" s="77"/>
      <c r="B657" s="77"/>
      <c r="C657" s="77"/>
      <c r="D657" s="77"/>
      <c r="E657" s="74"/>
      <c r="F657" s="74"/>
      <c r="G657" s="74"/>
      <c r="H657" s="74"/>
    </row>
    <row r="658" ht="14.25" customHeight="1">
      <c r="A658" s="77"/>
      <c r="B658" s="77"/>
      <c r="C658" s="77"/>
      <c r="D658" s="77"/>
      <c r="E658" s="74"/>
      <c r="F658" s="74"/>
      <c r="G658" s="74"/>
      <c r="H658" s="74"/>
    </row>
    <row r="659" ht="14.25" customHeight="1">
      <c r="A659" s="77"/>
      <c r="B659" s="77"/>
      <c r="C659" s="77"/>
      <c r="D659" s="77"/>
      <c r="E659" s="74"/>
      <c r="F659" s="74"/>
      <c r="G659" s="74"/>
      <c r="H659" s="74"/>
    </row>
    <row r="660" ht="14.25" customHeight="1">
      <c r="A660" s="77"/>
      <c r="B660" s="77"/>
      <c r="C660" s="77"/>
      <c r="D660" s="77"/>
      <c r="E660" s="74"/>
      <c r="F660" s="74"/>
      <c r="G660" s="74"/>
      <c r="H660" s="74"/>
    </row>
    <row r="661" ht="14.25" customHeight="1">
      <c r="A661" s="77"/>
      <c r="B661" s="77"/>
      <c r="C661" s="77"/>
      <c r="D661" s="77"/>
      <c r="E661" s="74"/>
      <c r="F661" s="74"/>
      <c r="G661" s="74"/>
      <c r="H661" s="74"/>
    </row>
    <row r="662" ht="14.25" customHeight="1">
      <c r="A662" s="77"/>
      <c r="B662" s="77"/>
      <c r="C662" s="77"/>
      <c r="D662" s="77"/>
      <c r="E662" s="74"/>
      <c r="F662" s="74"/>
      <c r="G662" s="74"/>
      <c r="H662" s="74"/>
    </row>
    <row r="663" ht="14.25" customHeight="1">
      <c r="A663" s="77"/>
      <c r="B663" s="77"/>
      <c r="C663" s="77"/>
      <c r="D663" s="77"/>
      <c r="E663" s="74"/>
      <c r="F663" s="74"/>
      <c r="G663" s="74"/>
      <c r="H663" s="74"/>
    </row>
    <row r="664" ht="14.25" customHeight="1">
      <c r="A664" s="77"/>
      <c r="B664" s="77"/>
      <c r="C664" s="77"/>
      <c r="D664" s="77"/>
      <c r="E664" s="74"/>
      <c r="F664" s="74"/>
      <c r="G664" s="74"/>
      <c r="H664" s="74"/>
    </row>
    <row r="665" ht="14.25" customHeight="1">
      <c r="A665" s="77"/>
      <c r="B665" s="77"/>
      <c r="C665" s="77"/>
      <c r="D665" s="77"/>
      <c r="E665" s="74"/>
      <c r="F665" s="74"/>
      <c r="G665" s="74"/>
      <c r="H665" s="74"/>
    </row>
    <row r="666" ht="14.25" customHeight="1">
      <c r="A666" s="77"/>
      <c r="B666" s="77"/>
      <c r="C666" s="77"/>
      <c r="D666" s="77"/>
      <c r="E666" s="74"/>
      <c r="F666" s="74"/>
      <c r="G666" s="74"/>
      <c r="H666" s="74"/>
    </row>
    <row r="667" ht="14.25" customHeight="1">
      <c r="A667" s="77"/>
      <c r="B667" s="77"/>
      <c r="C667" s="77"/>
      <c r="D667" s="77"/>
      <c r="E667" s="74"/>
      <c r="F667" s="74"/>
      <c r="G667" s="74"/>
      <c r="H667" s="74"/>
    </row>
    <row r="668" ht="14.25" customHeight="1">
      <c r="A668" s="77"/>
      <c r="B668" s="77"/>
      <c r="C668" s="77"/>
      <c r="D668" s="77"/>
      <c r="E668" s="74"/>
      <c r="F668" s="74"/>
      <c r="G668" s="74"/>
      <c r="H668" s="74"/>
    </row>
    <row r="669" ht="14.25" customHeight="1">
      <c r="A669" s="77"/>
      <c r="B669" s="77"/>
      <c r="C669" s="77"/>
      <c r="D669" s="77"/>
      <c r="E669" s="74"/>
      <c r="F669" s="74"/>
      <c r="G669" s="74"/>
      <c r="H669" s="74"/>
    </row>
    <row r="670" ht="14.25" customHeight="1">
      <c r="A670" s="77"/>
      <c r="B670" s="77"/>
      <c r="C670" s="77"/>
      <c r="D670" s="77"/>
      <c r="E670" s="74"/>
      <c r="F670" s="74"/>
      <c r="G670" s="74"/>
      <c r="H670" s="74"/>
    </row>
    <row r="671" ht="14.25" customHeight="1">
      <c r="A671" s="77"/>
      <c r="B671" s="77"/>
      <c r="C671" s="77"/>
      <c r="D671" s="77"/>
      <c r="E671" s="74"/>
      <c r="F671" s="74"/>
      <c r="G671" s="74"/>
      <c r="H671" s="74"/>
    </row>
    <row r="672" ht="14.25" customHeight="1">
      <c r="A672" s="77"/>
      <c r="B672" s="77"/>
      <c r="C672" s="77"/>
      <c r="D672" s="77"/>
      <c r="E672" s="74"/>
      <c r="F672" s="74"/>
      <c r="G672" s="74"/>
      <c r="H672" s="74"/>
    </row>
    <row r="673" ht="14.25" customHeight="1">
      <c r="A673" s="77"/>
      <c r="B673" s="77"/>
      <c r="C673" s="77"/>
      <c r="D673" s="77"/>
      <c r="E673" s="74"/>
      <c r="F673" s="74"/>
      <c r="G673" s="74"/>
      <c r="H673" s="74"/>
    </row>
    <row r="674" ht="14.25" customHeight="1">
      <c r="A674" s="77"/>
      <c r="B674" s="77"/>
      <c r="C674" s="77"/>
      <c r="D674" s="77"/>
      <c r="E674" s="74"/>
      <c r="F674" s="74"/>
      <c r="G674" s="74"/>
      <c r="H674" s="74"/>
    </row>
    <row r="675" ht="14.25" customHeight="1">
      <c r="A675" s="77"/>
      <c r="B675" s="77"/>
      <c r="C675" s="77"/>
      <c r="D675" s="77"/>
      <c r="E675" s="74"/>
      <c r="F675" s="74"/>
      <c r="G675" s="74"/>
      <c r="H675" s="74"/>
    </row>
    <row r="676" ht="14.25" customHeight="1">
      <c r="A676" s="77"/>
      <c r="B676" s="77"/>
      <c r="C676" s="77"/>
      <c r="D676" s="77"/>
      <c r="E676" s="74"/>
      <c r="F676" s="74"/>
      <c r="G676" s="74"/>
      <c r="H676" s="74"/>
    </row>
    <row r="677" ht="14.25" customHeight="1">
      <c r="A677" s="77"/>
      <c r="B677" s="77"/>
      <c r="C677" s="77"/>
      <c r="D677" s="77"/>
      <c r="E677" s="74"/>
      <c r="F677" s="74"/>
      <c r="G677" s="74"/>
      <c r="H677" s="74"/>
    </row>
    <row r="678" ht="14.25" customHeight="1">
      <c r="A678" s="77"/>
      <c r="B678" s="77"/>
      <c r="C678" s="77"/>
      <c r="D678" s="77"/>
      <c r="E678" s="74"/>
      <c r="F678" s="74"/>
      <c r="G678" s="74"/>
      <c r="H678" s="74"/>
    </row>
    <row r="679" ht="14.25" customHeight="1">
      <c r="A679" s="77"/>
      <c r="B679" s="77"/>
      <c r="C679" s="77"/>
      <c r="D679" s="77"/>
      <c r="E679" s="74"/>
      <c r="F679" s="74"/>
      <c r="G679" s="74"/>
      <c r="H679" s="74"/>
    </row>
    <row r="680" ht="14.25" customHeight="1">
      <c r="A680" s="77"/>
      <c r="B680" s="77"/>
      <c r="C680" s="77"/>
      <c r="D680" s="77"/>
      <c r="E680" s="74"/>
      <c r="F680" s="74"/>
      <c r="G680" s="74"/>
      <c r="H680" s="74"/>
    </row>
    <row r="681" ht="14.25" customHeight="1">
      <c r="A681" s="77"/>
      <c r="B681" s="77"/>
      <c r="C681" s="77"/>
      <c r="D681" s="77"/>
      <c r="E681" s="74"/>
      <c r="F681" s="74"/>
      <c r="G681" s="74"/>
      <c r="H681" s="74"/>
    </row>
    <row r="682" ht="14.25" customHeight="1">
      <c r="A682" s="77"/>
      <c r="B682" s="77"/>
      <c r="C682" s="77"/>
      <c r="D682" s="77"/>
      <c r="E682" s="74"/>
      <c r="F682" s="74"/>
      <c r="G682" s="74"/>
      <c r="H682" s="74"/>
    </row>
    <row r="683" ht="14.25" customHeight="1">
      <c r="A683" s="77"/>
      <c r="B683" s="77"/>
      <c r="C683" s="77"/>
      <c r="D683" s="77"/>
      <c r="E683" s="74"/>
      <c r="F683" s="74"/>
      <c r="G683" s="74"/>
      <c r="H683" s="74"/>
    </row>
    <row r="684" ht="14.25" customHeight="1">
      <c r="A684" s="77"/>
      <c r="B684" s="77"/>
      <c r="C684" s="77"/>
      <c r="D684" s="77"/>
      <c r="E684" s="74"/>
      <c r="F684" s="74"/>
      <c r="G684" s="74"/>
      <c r="H684" s="74"/>
    </row>
    <row r="685" ht="14.25" customHeight="1">
      <c r="A685" s="77"/>
      <c r="B685" s="77"/>
      <c r="C685" s="77"/>
      <c r="D685" s="77"/>
      <c r="E685" s="74"/>
      <c r="F685" s="74"/>
      <c r="G685" s="74"/>
      <c r="H685" s="74"/>
    </row>
    <row r="686" ht="14.25" customHeight="1">
      <c r="A686" s="77"/>
      <c r="B686" s="77"/>
      <c r="C686" s="77"/>
      <c r="D686" s="77"/>
      <c r="E686" s="74"/>
      <c r="F686" s="74"/>
      <c r="G686" s="74"/>
      <c r="H686" s="74"/>
    </row>
    <row r="687" ht="14.25" customHeight="1">
      <c r="A687" s="77"/>
      <c r="B687" s="77"/>
      <c r="C687" s="77"/>
      <c r="D687" s="77"/>
      <c r="E687" s="74"/>
      <c r="F687" s="74"/>
      <c r="G687" s="74"/>
      <c r="H687" s="74"/>
    </row>
    <row r="688" ht="14.25" customHeight="1">
      <c r="A688" s="77"/>
      <c r="B688" s="77"/>
      <c r="C688" s="77"/>
      <c r="D688" s="77"/>
      <c r="E688" s="74"/>
      <c r="F688" s="74"/>
      <c r="G688" s="74"/>
      <c r="H688" s="74"/>
    </row>
    <row r="689" ht="14.25" customHeight="1">
      <c r="A689" s="77"/>
      <c r="B689" s="77"/>
      <c r="C689" s="77"/>
      <c r="D689" s="77"/>
      <c r="E689" s="74"/>
      <c r="F689" s="74"/>
      <c r="G689" s="74"/>
      <c r="H689" s="74"/>
    </row>
    <row r="690" ht="14.25" customHeight="1">
      <c r="A690" s="77"/>
      <c r="B690" s="77"/>
      <c r="C690" s="77"/>
      <c r="D690" s="77"/>
      <c r="E690" s="74"/>
      <c r="F690" s="74"/>
      <c r="G690" s="74"/>
      <c r="H690" s="74"/>
    </row>
    <row r="691" ht="14.25" customHeight="1">
      <c r="A691" s="77"/>
      <c r="B691" s="77"/>
      <c r="C691" s="77"/>
      <c r="D691" s="77"/>
      <c r="E691" s="74"/>
      <c r="F691" s="74"/>
      <c r="G691" s="74"/>
      <c r="H691" s="74"/>
    </row>
    <row r="692" ht="14.25" customHeight="1">
      <c r="A692" s="77"/>
      <c r="B692" s="77"/>
      <c r="C692" s="77"/>
      <c r="D692" s="77"/>
      <c r="E692" s="74"/>
      <c r="F692" s="74"/>
      <c r="G692" s="74"/>
      <c r="H692" s="74"/>
    </row>
    <row r="693" ht="14.25" customHeight="1">
      <c r="A693" s="77"/>
      <c r="B693" s="77"/>
      <c r="C693" s="77"/>
      <c r="D693" s="77"/>
      <c r="E693" s="74"/>
      <c r="F693" s="74"/>
      <c r="G693" s="74"/>
      <c r="H693" s="74"/>
    </row>
    <row r="694" ht="14.25" customHeight="1">
      <c r="A694" s="77"/>
      <c r="B694" s="77"/>
      <c r="C694" s="77"/>
      <c r="D694" s="77"/>
      <c r="E694" s="74"/>
      <c r="F694" s="74"/>
      <c r="G694" s="74"/>
      <c r="H694" s="74"/>
    </row>
    <row r="695" ht="14.25" customHeight="1">
      <c r="A695" s="77"/>
      <c r="B695" s="77"/>
      <c r="C695" s="77"/>
      <c r="D695" s="77"/>
      <c r="E695" s="74"/>
      <c r="F695" s="74"/>
      <c r="G695" s="74"/>
      <c r="H695" s="74"/>
    </row>
    <row r="696" ht="14.25" customHeight="1">
      <c r="A696" s="77"/>
      <c r="B696" s="77"/>
      <c r="C696" s="77"/>
      <c r="D696" s="77"/>
      <c r="E696" s="74"/>
      <c r="F696" s="74"/>
      <c r="G696" s="74"/>
      <c r="H696" s="74"/>
    </row>
    <row r="697" ht="14.25" customHeight="1">
      <c r="A697" s="77"/>
      <c r="B697" s="77"/>
      <c r="C697" s="77"/>
      <c r="D697" s="77"/>
      <c r="E697" s="74"/>
      <c r="F697" s="74"/>
      <c r="G697" s="74"/>
      <c r="H697" s="74"/>
    </row>
    <row r="698" ht="14.25" customHeight="1">
      <c r="A698" s="77"/>
      <c r="B698" s="77"/>
      <c r="C698" s="77"/>
      <c r="D698" s="77"/>
      <c r="E698" s="74"/>
      <c r="F698" s="74"/>
      <c r="G698" s="74"/>
      <c r="H698" s="74"/>
    </row>
    <row r="699" ht="14.25" customHeight="1">
      <c r="A699" s="77"/>
      <c r="B699" s="77"/>
      <c r="C699" s="77"/>
      <c r="D699" s="77"/>
      <c r="E699" s="74"/>
      <c r="F699" s="74"/>
      <c r="G699" s="74"/>
      <c r="H699" s="74"/>
    </row>
    <row r="700" ht="14.25" customHeight="1">
      <c r="A700" s="77"/>
      <c r="B700" s="77"/>
      <c r="C700" s="77"/>
      <c r="D700" s="77"/>
      <c r="E700" s="74"/>
      <c r="F700" s="74"/>
      <c r="G700" s="74"/>
      <c r="H700" s="74"/>
    </row>
    <row r="701" ht="14.25" customHeight="1">
      <c r="A701" s="77"/>
      <c r="B701" s="77"/>
      <c r="C701" s="77"/>
      <c r="D701" s="77"/>
      <c r="E701" s="74"/>
      <c r="F701" s="74"/>
      <c r="G701" s="74"/>
      <c r="H701" s="74"/>
    </row>
    <row r="702" ht="14.25" customHeight="1">
      <c r="A702" s="77"/>
      <c r="B702" s="77"/>
      <c r="C702" s="77"/>
      <c r="D702" s="77"/>
      <c r="E702" s="74"/>
      <c r="F702" s="74"/>
      <c r="G702" s="74"/>
      <c r="H702" s="74"/>
    </row>
    <row r="703" ht="14.25" customHeight="1">
      <c r="A703" s="77"/>
      <c r="B703" s="77"/>
      <c r="C703" s="77"/>
      <c r="D703" s="77"/>
      <c r="E703" s="74"/>
      <c r="F703" s="74"/>
      <c r="G703" s="74"/>
      <c r="H703" s="74"/>
    </row>
    <row r="704" ht="14.25" customHeight="1">
      <c r="A704" s="77"/>
      <c r="B704" s="77"/>
      <c r="C704" s="77"/>
      <c r="D704" s="77"/>
      <c r="E704" s="74"/>
      <c r="F704" s="74"/>
      <c r="G704" s="74"/>
      <c r="H704" s="74"/>
    </row>
    <row r="705" ht="14.25" customHeight="1">
      <c r="A705" s="77"/>
      <c r="B705" s="77"/>
      <c r="C705" s="77"/>
      <c r="D705" s="77"/>
      <c r="E705" s="74"/>
      <c r="F705" s="74"/>
      <c r="G705" s="74"/>
      <c r="H705" s="74"/>
    </row>
    <row r="706" ht="14.25" customHeight="1">
      <c r="A706" s="77"/>
      <c r="B706" s="77"/>
      <c r="C706" s="77"/>
      <c r="D706" s="77"/>
      <c r="E706" s="74"/>
      <c r="F706" s="74"/>
      <c r="G706" s="74"/>
      <c r="H706" s="74"/>
    </row>
    <row r="707" ht="14.25" customHeight="1">
      <c r="A707" s="77"/>
      <c r="B707" s="77"/>
      <c r="C707" s="77"/>
      <c r="D707" s="77"/>
      <c r="E707" s="74"/>
      <c r="F707" s="74"/>
      <c r="G707" s="74"/>
      <c r="H707" s="74"/>
    </row>
    <row r="708" ht="14.25" customHeight="1">
      <c r="A708" s="77"/>
      <c r="B708" s="77"/>
      <c r="C708" s="77"/>
      <c r="D708" s="77"/>
      <c r="E708" s="74"/>
      <c r="F708" s="74"/>
      <c r="G708" s="74"/>
      <c r="H708" s="74"/>
    </row>
    <row r="709" ht="14.25" customHeight="1">
      <c r="A709" s="77"/>
      <c r="B709" s="77"/>
      <c r="C709" s="77"/>
      <c r="D709" s="77"/>
      <c r="E709" s="74"/>
      <c r="F709" s="74"/>
      <c r="G709" s="74"/>
      <c r="H709" s="74"/>
    </row>
    <row r="710" ht="14.25" customHeight="1">
      <c r="A710" s="77"/>
      <c r="B710" s="77"/>
      <c r="C710" s="77"/>
      <c r="D710" s="77"/>
      <c r="E710" s="74"/>
      <c r="F710" s="74"/>
      <c r="G710" s="74"/>
      <c r="H710" s="74"/>
    </row>
    <row r="711" ht="14.25" customHeight="1">
      <c r="A711" s="77"/>
      <c r="B711" s="77"/>
      <c r="C711" s="77"/>
      <c r="D711" s="77"/>
      <c r="E711" s="74"/>
      <c r="F711" s="74"/>
      <c r="G711" s="74"/>
      <c r="H711" s="74"/>
    </row>
    <row r="712" ht="14.25" customHeight="1">
      <c r="A712" s="77"/>
      <c r="B712" s="77"/>
      <c r="C712" s="77"/>
      <c r="D712" s="77"/>
      <c r="E712" s="74"/>
      <c r="F712" s="74"/>
      <c r="G712" s="74"/>
      <c r="H712" s="74"/>
    </row>
    <row r="713" ht="14.25" customHeight="1">
      <c r="A713" s="77"/>
      <c r="B713" s="77"/>
      <c r="C713" s="77"/>
      <c r="D713" s="77"/>
      <c r="E713" s="74"/>
      <c r="F713" s="74"/>
      <c r="G713" s="74"/>
      <c r="H713" s="74"/>
    </row>
    <row r="714" ht="14.25" customHeight="1">
      <c r="A714" s="77"/>
      <c r="B714" s="77"/>
      <c r="C714" s="77"/>
      <c r="D714" s="77"/>
      <c r="E714" s="74"/>
      <c r="F714" s="74"/>
      <c r="G714" s="74"/>
      <c r="H714" s="74"/>
    </row>
    <row r="715" ht="14.25" customHeight="1">
      <c r="A715" s="77"/>
      <c r="B715" s="77"/>
      <c r="C715" s="77"/>
      <c r="D715" s="77"/>
      <c r="E715" s="74"/>
      <c r="F715" s="74"/>
      <c r="G715" s="74"/>
      <c r="H715" s="74"/>
    </row>
    <row r="716" ht="14.25" customHeight="1">
      <c r="A716" s="77"/>
      <c r="B716" s="77"/>
      <c r="C716" s="77"/>
      <c r="D716" s="77"/>
      <c r="E716" s="74"/>
      <c r="F716" s="74"/>
      <c r="G716" s="74"/>
      <c r="H716" s="74"/>
    </row>
    <row r="717" ht="14.25" customHeight="1">
      <c r="A717" s="77"/>
      <c r="B717" s="77"/>
      <c r="C717" s="77"/>
      <c r="D717" s="77"/>
      <c r="E717" s="74"/>
      <c r="F717" s="74"/>
      <c r="G717" s="74"/>
      <c r="H717" s="74"/>
    </row>
    <row r="718" ht="14.25" customHeight="1">
      <c r="A718" s="77"/>
      <c r="B718" s="77"/>
      <c r="C718" s="77"/>
      <c r="D718" s="77"/>
      <c r="E718" s="74"/>
      <c r="F718" s="74"/>
      <c r="G718" s="74"/>
      <c r="H718" s="74"/>
    </row>
    <row r="719" ht="14.25" customHeight="1">
      <c r="A719" s="77"/>
      <c r="B719" s="77"/>
      <c r="C719" s="77"/>
      <c r="D719" s="77"/>
      <c r="E719" s="74"/>
      <c r="F719" s="74"/>
      <c r="G719" s="74"/>
      <c r="H719" s="74"/>
    </row>
    <row r="720" ht="14.25" customHeight="1">
      <c r="A720" s="77"/>
      <c r="B720" s="77"/>
      <c r="C720" s="77"/>
      <c r="D720" s="77"/>
      <c r="E720" s="74"/>
      <c r="F720" s="74"/>
      <c r="G720" s="74"/>
      <c r="H720" s="74"/>
    </row>
    <row r="721" ht="14.25" customHeight="1">
      <c r="A721" s="77"/>
      <c r="B721" s="77"/>
      <c r="C721" s="77"/>
      <c r="D721" s="77"/>
      <c r="E721" s="74"/>
      <c r="F721" s="74"/>
      <c r="G721" s="74"/>
      <c r="H721" s="74"/>
    </row>
    <row r="722" ht="14.25" customHeight="1">
      <c r="A722" s="77"/>
      <c r="B722" s="77"/>
      <c r="C722" s="77"/>
      <c r="D722" s="77"/>
      <c r="E722" s="74"/>
      <c r="F722" s="74"/>
      <c r="G722" s="74"/>
      <c r="H722" s="74"/>
    </row>
    <row r="723" ht="14.25" customHeight="1">
      <c r="A723" s="77"/>
      <c r="B723" s="77"/>
      <c r="C723" s="77"/>
      <c r="D723" s="77"/>
      <c r="E723" s="74"/>
      <c r="F723" s="74"/>
      <c r="G723" s="74"/>
      <c r="H723" s="74"/>
    </row>
    <row r="724" ht="14.25" customHeight="1">
      <c r="A724" s="77"/>
      <c r="B724" s="77"/>
      <c r="C724" s="77"/>
      <c r="D724" s="77"/>
      <c r="E724" s="74"/>
      <c r="F724" s="74"/>
      <c r="G724" s="74"/>
      <c r="H724" s="74"/>
    </row>
    <row r="725" ht="14.25" customHeight="1">
      <c r="A725" s="77"/>
      <c r="B725" s="77"/>
      <c r="C725" s="77"/>
      <c r="D725" s="77"/>
      <c r="E725" s="74"/>
      <c r="F725" s="74"/>
      <c r="G725" s="74"/>
      <c r="H725" s="74"/>
    </row>
    <row r="726" ht="14.25" customHeight="1">
      <c r="A726" s="77"/>
      <c r="B726" s="77"/>
      <c r="C726" s="77"/>
      <c r="D726" s="77"/>
      <c r="E726" s="74"/>
      <c r="F726" s="74"/>
      <c r="G726" s="74"/>
      <c r="H726" s="74"/>
    </row>
    <row r="727" ht="14.25" customHeight="1">
      <c r="A727" s="77"/>
      <c r="B727" s="77"/>
      <c r="C727" s="77"/>
      <c r="D727" s="77"/>
      <c r="E727" s="74"/>
      <c r="F727" s="74"/>
      <c r="G727" s="74"/>
      <c r="H727" s="74"/>
    </row>
    <row r="728" ht="14.25" customHeight="1">
      <c r="A728" s="77"/>
      <c r="B728" s="77"/>
      <c r="C728" s="77"/>
      <c r="D728" s="77"/>
      <c r="E728" s="74"/>
      <c r="F728" s="74"/>
      <c r="G728" s="74"/>
      <c r="H728" s="74"/>
    </row>
    <row r="729" ht="14.25" customHeight="1">
      <c r="A729" s="77"/>
      <c r="B729" s="77"/>
      <c r="C729" s="77"/>
      <c r="D729" s="77"/>
      <c r="E729" s="74"/>
      <c r="F729" s="74"/>
      <c r="G729" s="74"/>
      <c r="H729" s="74"/>
    </row>
    <row r="730" ht="14.25" customHeight="1">
      <c r="A730" s="77"/>
      <c r="B730" s="77"/>
      <c r="C730" s="77"/>
      <c r="D730" s="77"/>
      <c r="E730" s="74"/>
      <c r="F730" s="74"/>
      <c r="G730" s="74"/>
      <c r="H730" s="74"/>
    </row>
    <row r="731" ht="14.25" customHeight="1">
      <c r="A731" s="77"/>
      <c r="B731" s="77"/>
      <c r="C731" s="77"/>
      <c r="D731" s="77"/>
      <c r="E731" s="74"/>
      <c r="F731" s="74"/>
      <c r="G731" s="74"/>
      <c r="H731" s="74"/>
    </row>
    <row r="732" ht="14.25" customHeight="1">
      <c r="A732" s="77"/>
      <c r="B732" s="77"/>
      <c r="C732" s="77"/>
      <c r="D732" s="77"/>
      <c r="E732" s="74"/>
      <c r="F732" s="74"/>
      <c r="G732" s="74"/>
      <c r="H732" s="74"/>
    </row>
    <row r="733" ht="14.25" customHeight="1">
      <c r="A733" s="77"/>
      <c r="B733" s="77"/>
      <c r="C733" s="77"/>
      <c r="D733" s="77"/>
      <c r="E733" s="74"/>
      <c r="F733" s="74"/>
      <c r="G733" s="74"/>
      <c r="H733" s="74"/>
    </row>
    <row r="734" ht="14.25" customHeight="1">
      <c r="A734" s="77"/>
      <c r="B734" s="77"/>
      <c r="C734" s="77"/>
      <c r="D734" s="77"/>
      <c r="E734" s="74"/>
      <c r="F734" s="74"/>
      <c r="G734" s="74"/>
      <c r="H734" s="74"/>
    </row>
    <row r="735" ht="14.25" customHeight="1">
      <c r="A735" s="77"/>
      <c r="B735" s="77"/>
      <c r="C735" s="77"/>
      <c r="D735" s="77"/>
      <c r="E735" s="74"/>
      <c r="F735" s="74"/>
      <c r="G735" s="74"/>
      <c r="H735" s="74"/>
    </row>
    <row r="736" ht="14.25" customHeight="1">
      <c r="A736" s="77"/>
      <c r="B736" s="77"/>
      <c r="C736" s="77"/>
      <c r="D736" s="77"/>
      <c r="E736" s="74"/>
      <c r="F736" s="74"/>
      <c r="G736" s="74"/>
      <c r="H736" s="74"/>
    </row>
    <row r="737" ht="14.25" customHeight="1">
      <c r="A737" s="77"/>
      <c r="B737" s="77"/>
      <c r="C737" s="77"/>
      <c r="D737" s="77"/>
      <c r="E737" s="74"/>
      <c r="F737" s="74"/>
      <c r="G737" s="74"/>
      <c r="H737" s="74"/>
    </row>
    <row r="738" ht="14.25" customHeight="1">
      <c r="A738" s="77"/>
      <c r="B738" s="77"/>
      <c r="C738" s="77"/>
      <c r="D738" s="77"/>
      <c r="E738" s="74"/>
      <c r="F738" s="74"/>
      <c r="G738" s="74"/>
      <c r="H738" s="74"/>
    </row>
    <row r="739" ht="14.25" customHeight="1">
      <c r="A739" s="77"/>
      <c r="B739" s="77"/>
      <c r="C739" s="77"/>
      <c r="D739" s="77"/>
      <c r="E739" s="74"/>
      <c r="F739" s="74"/>
      <c r="G739" s="74"/>
      <c r="H739" s="74"/>
    </row>
    <row r="740" ht="14.25" customHeight="1">
      <c r="A740" s="77"/>
      <c r="B740" s="77"/>
      <c r="C740" s="77"/>
      <c r="D740" s="77"/>
      <c r="E740" s="74"/>
      <c r="F740" s="74"/>
      <c r="G740" s="74"/>
      <c r="H740" s="74"/>
    </row>
    <row r="741" ht="14.25" customHeight="1">
      <c r="A741" s="77"/>
      <c r="B741" s="77"/>
      <c r="C741" s="77"/>
      <c r="D741" s="77"/>
      <c r="E741" s="74"/>
      <c r="F741" s="74"/>
      <c r="G741" s="74"/>
      <c r="H741" s="74"/>
    </row>
    <row r="742" ht="14.25" customHeight="1">
      <c r="A742" s="77"/>
      <c r="B742" s="77"/>
      <c r="C742" s="77"/>
      <c r="D742" s="77"/>
      <c r="E742" s="74"/>
      <c r="F742" s="74"/>
      <c r="G742" s="74"/>
      <c r="H742" s="74"/>
    </row>
    <row r="743" ht="14.25" customHeight="1">
      <c r="A743" s="77"/>
      <c r="B743" s="77"/>
      <c r="C743" s="77"/>
      <c r="D743" s="77"/>
      <c r="E743" s="74"/>
      <c r="F743" s="74"/>
      <c r="G743" s="74"/>
      <c r="H743" s="74"/>
    </row>
    <row r="744" ht="14.25" customHeight="1">
      <c r="A744" s="77"/>
      <c r="B744" s="77"/>
      <c r="C744" s="77"/>
      <c r="D744" s="77"/>
      <c r="E744" s="74"/>
      <c r="F744" s="74"/>
      <c r="G744" s="74"/>
      <c r="H744" s="74"/>
    </row>
    <row r="745" ht="14.25" customHeight="1">
      <c r="A745" s="77"/>
      <c r="B745" s="77"/>
      <c r="C745" s="77"/>
      <c r="D745" s="77"/>
      <c r="E745" s="74"/>
      <c r="F745" s="74"/>
      <c r="G745" s="74"/>
      <c r="H745" s="74"/>
    </row>
    <row r="746" ht="14.25" customHeight="1">
      <c r="A746" s="77"/>
      <c r="B746" s="77"/>
      <c r="C746" s="77"/>
      <c r="D746" s="77"/>
      <c r="E746" s="74"/>
      <c r="F746" s="74"/>
      <c r="G746" s="74"/>
      <c r="H746" s="74"/>
    </row>
    <row r="747" ht="14.25" customHeight="1">
      <c r="A747" s="77"/>
      <c r="B747" s="77"/>
      <c r="C747" s="77"/>
      <c r="D747" s="77"/>
      <c r="E747" s="74"/>
      <c r="F747" s="74"/>
      <c r="G747" s="74"/>
      <c r="H747" s="74"/>
    </row>
    <row r="748" ht="14.25" customHeight="1">
      <c r="A748" s="77"/>
      <c r="B748" s="77"/>
      <c r="C748" s="77"/>
      <c r="D748" s="77"/>
      <c r="E748" s="74"/>
      <c r="F748" s="74"/>
      <c r="G748" s="74"/>
      <c r="H748" s="74"/>
    </row>
    <row r="749" ht="14.25" customHeight="1">
      <c r="A749" s="77"/>
      <c r="B749" s="77"/>
      <c r="C749" s="77"/>
      <c r="D749" s="77"/>
      <c r="E749" s="74"/>
      <c r="F749" s="74"/>
      <c r="G749" s="74"/>
      <c r="H749" s="74"/>
    </row>
    <row r="750" ht="14.25" customHeight="1">
      <c r="A750" s="77"/>
      <c r="B750" s="77"/>
      <c r="C750" s="77"/>
      <c r="D750" s="77"/>
      <c r="E750" s="74"/>
      <c r="F750" s="74"/>
      <c r="G750" s="74"/>
      <c r="H750" s="74"/>
    </row>
    <row r="751" ht="14.25" customHeight="1">
      <c r="A751" s="77"/>
      <c r="B751" s="77"/>
      <c r="C751" s="77"/>
      <c r="D751" s="77"/>
      <c r="E751" s="74"/>
      <c r="F751" s="74"/>
      <c r="G751" s="74"/>
      <c r="H751" s="74"/>
    </row>
    <row r="752" ht="14.25" customHeight="1">
      <c r="A752" s="77"/>
      <c r="B752" s="77"/>
      <c r="C752" s="77"/>
      <c r="D752" s="77"/>
      <c r="E752" s="74"/>
      <c r="F752" s="74"/>
      <c r="G752" s="74"/>
      <c r="H752" s="74"/>
    </row>
    <row r="753" ht="14.25" customHeight="1">
      <c r="A753" s="77"/>
      <c r="B753" s="77"/>
      <c r="C753" s="77"/>
      <c r="D753" s="77"/>
      <c r="E753" s="74"/>
      <c r="F753" s="74"/>
      <c r="G753" s="74"/>
      <c r="H753" s="74"/>
    </row>
    <row r="754" ht="14.25" customHeight="1">
      <c r="A754" s="77"/>
      <c r="B754" s="77"/>
      <c r="C754" s="77"/>
      <c r="D754" s="77"/>
      <c r="E754" s="74"/>
      <c r="F754" s="74"/>
      <c r="G754" s="74"/>
      <c r="H754" s="74"/>
    </row>
    <row r="755" ht="14.25" customHeight="1">
      <c r="A755" s="77"/>
      <c r="B755" s="77"/>
      <c r="C755" s="77"/>
      <c r="D755" s="77"/>
      <c r="E755" s="74"/>
      <c r="F755" s="74"/>
      <c r="G755" s="74"/>
      <c r="H755" s="74"/>
    </row>
    <row r="756" ht="14.25" customHeight="1">
      <c r="A756" s="77"/>
      <c r="B756" s="77"/>
      <c r="C756" s="77"/>
      <c r="D756" s="77"/>
      <c r="E756" s="74"/>
      <c r="F756" s="74"/>
      <c r="G756" s="74"/>
      <c r="H756" s="74"/>
    </row>
    <row r="757" ht="14.25" customHeight="1">
      <c r="A757" s="77"/>
      <c r="B757" s="77"/>
      <c r="C757" s="77"/>
      <c r="D757" s="77"/>
      <c r="E757" s="74"/>
      <c r="F757" s="74"/>
      <c r="G757" s="74"/>
      <c r="H757" s="74"/>
    </row>
    <row r="758" ht="14.25" customHeight="1">
      <c r="A758" s="77"/>
      <c r="B758" s="77"/>
      <c r="C758" s="77"/>
      <c r="D758" s="77"/>
      <c r="E758" s="74"/>
      <c r="F758" s="74"/>
      <c r="G758" s="74"/>
      <c r="H758" s="74"/>
    </row>
    <row r="759" ht="14.25" customHeight="1">
      <c r="A759" s="77"/>
      <c r="B759" s="77"/>
      <c r="C759" s="77"/>
      <c r="D759" s="77"/>
      <c r="E759" s="74"/>
      <c r="F759" s="74"/>
      <c r="G759" s="74"/>
      <c r="H759" s="74"/>
    </row>
    <row r="760" ht="14.25" customHeight="1">
      <c r="A760" s="77"/>
      <c r="B760" s="77"/>
      <c r="C760" s="77"/>
      <c r="D760" s="77"/>
      <c r="E760" s="74"/>
      <c r="F760" s="74"/>
      <c r="G760" s="74"/>
      <c r="H760" s="74"/>
    </row>
    <row r="761" ht="14.25" customHeight="1">
      <c r="A761" s="77"/>
      <c r="B761" s="77"/>
      <c r="C761" s="77"/>
      <c r="D761" s="77"/>
      <c r="E761" s="74"/>
      <c r="F761" s="74"/>
      <c r="G761" s="74"/>
      <c r="H761" s="74"/>
    </row>
    <row r="762" ht="14.25" customHeight="1">
      <c r="A762" s="77"/>
      <c r="B762" s="77"/>
      <c r="C762" s="77"/>
      <c r="D762" s="77"/>
      <c r="E762" s="74"/>
      <c r="F762" s="74"/>
      <c r="G762" s="74"/>
      <c r="H762" s="74"/>
    </row>
    <row r="763" ht="14.25" customHeight="1">
      <c r="A763" s="77"/>
      <c r="B763" s="77"/>
      <c r="C763" s="77"/>
      <c r="D763" s="77"/>
      <c r="E763" s="74"/>
      <c r="F763" s="74"/>
      <c r="G763" s="74"/>
      <c r="H763" s="74"/>
    </row>
    <row r="764" ht="14.25" customHeight="1">
      <c r="A764" s="77"/>
      <c r="B764" s="77"/>
      <c r="C764" s="77"/>
      <c r="D764" s="77"/>
      <c r="E764" s="74"/>
      <c r="F764" s="74"/>
      <c r="G764" s="74"/>
      <c r="H764" s="74"/>
    </row>
    <row r="765" ht="14.25" customHeight="1">
      <c r="A765" s="77"/>
      <c r="B765" s="77"/>
      <c r="C765" s="77"/>
      <c r="D765" s="77"/>
      <c r="E765" s="74"/>
      <c r="F765" s="74"/>
      <c r="G765" s="74"/>
      <c r="H765" s="74"/>
    </row>
    <row r="766" ht="14.25" customHeight="1">
      <c r="A766" s="77"/>
      <c r="B766" s="77"/>
      <c r="C766" s="77"/>
      <c r="D766" s="77"/>
      <c r="E766" s="74"/>
      <c r="F766" s="74"/>
      <c r="G766" s="74"/>
      <c r="H766" s="74"/>
    </row>
    <row r="767" ht="14.25" customHeight="1">
      <c r="A767" s="77"/>
      <c r="B767" s="77"/>
      <c r="C767" s="77"/>
      <c r="D767" s="77"/>
      <c r="E767" s="74"/>
      <c r="F767" s="74"/>
      <c r="G767" s="74"/>
      <c r="H767" s="74"/>
    </row>
    <row r="768" ht="14.25" customHeight="1">
      <c r="A768" s="77"/>
      <c r="B768" s="77"/>
      <c r="C768" s="77"/>
      <c r="D768" s="77"/>
      <c r="E768" s="74"/>
      <c r="F768" s="74"/>
      <c r="G768" s="74"/>
      <c r="H768" s="74"/>
    </row>
    <row r="769" ht="14.25" customHeight="1">
      <c r="A769" s="77"/>
      <c r="B769" s="77"/>
      <c r="C769" s="77"/>
      <c r="D769" s="77"/>
      <c r="E769" s="74"/>
      <c r="F769" s="74"/>
      <c r="G769" s="74"/>
      <c r="H769" s="74"/>
    </row>
    <row r="770" ht="14.25" customHeight="1">
      <c r="A770" s="77"/>
      <c r="B770" s="77"/>
      <c r="C770" s="77"/>
      <c r="D770" s="77"/>
      <c r="E770" s="74"/>
      <c r="F770" s="74"/>
      <c r="G770" s="74"/>
      <c r="H770" s="74"/>
    </row>
    <row r="771" ht="14.25" customHeight="1">
      <c r="A771" s="77"/>
      <c r="B771" s="77"/>
      <c r="C771" s="77"/>
      <c r="D771" s="77"/>
      <c r="E771" s="74"/>
      <c r="F771" s="74"/>
      <c r="G771" s="74"/>
      <c r="H771" s="74"/>
    </row>
    <row r="772" ht="14.25" customHeight="1">
      <c r="A772" s="77"/>
      <c r="B772" s="77"/>
      <c r="C772" s="77"/>
      <c r="D772" s="77"/>
      <c r="E772" s="74"/>
      <c r="F772" s="74"/>
      <c r="G772" s="74"/>
      <c r="H772" s="74"/>
    </row>
    <row r="773" ht="14.25" customHeight="1">
      <c r="A773" s="77"/>
      <c r="B773" s="77"/>
      <c r="C773" s="77"/>
      <c r="D773" s="77"/>
      <c r="E773" s="74"/>
      <c r="F773" s="74"/>
      <c r="G773" s="74"/>
      <c r="H773" s="74"/>
    </row>
    <row r="774" ht="14.25" customHeight="1">
      <c r="A774" s="77"/>
      <c r="B774" s="77"/>
      <c r="C774" s="77"/>
      <c r="D774" s="77"/>
      <c r="E774" s="74"/>
      <c r="F774" s="74"/>
      <c r="G774" s="74"/>
      <c r="H774" s="74"/>
    </row>
    <row r="775" ht="14.25" customHeight="1">
      <c r="A775" s="77"/>
      <c r="B775" s="77"/>
      <c r="C775" s="77"/>
      <c r="D775" s="77"/>
      <c r="E775" s="74"/>
      <c r="F775" s="74"/>
      <c r="G775" s="74"/>
      <c r="H775" s="74"/>
    </row>
    <row r="776" ht="14.25" customHeight="1">
      <c r="A776" s="77"/>
      <c r="B776" s="77"/>
      <c r="C776" s="77"/>
      <c r="D776" s="77"/>
      <c r="E776" s="74"/>
      <c r="F776" s="74"/>
      <c r="G776" s="74"/>
      <c r="H776" s="74"/>
    </row>
    <row r="777" ht="14.25" customHeight="1">
      <c r="A777" s="77"/>
      <c r="B777" s="77"/>
      <c r="C777" s="77"/>
      <c r="D777" s="77"/>
      <c r="E777" s="74"/>
      <c r="F777" s="74"/>
      <c r="G777" s="74"/>
      <c r="H777" s="74"/>
    </row>
    <row r="778" ht="14.25" customHeight="1">
      <c r="A778" s="77"/>
      <c r="B778" s="77"/>
      <c r="C778" s="77"/>
      <c r="D778" s="77"/>
      <c r="E778" s="74"/>
      <c r="F778" s="74"/>
      <c r="G778" s="74"/>
      <c r="H778" s="74"/>
    </row>
    <row r="779" ht="14.25" customHeight="1">
      <c r="A779" s="77"/>
      <c r="B779" s="77"/>
      <c r="C779" s="77"/>
      <c r="D779" s="77"/>
      <c r="E779" s="74"/>
      <c r="F779" s="74"/>
      <c r="G779" s="74"/>
      <c r="H779" s="74"/>
    </row>
    <row r="780" ht="14.25" customHeight="1">
      <c r="A780" s="77"/>
      <c r="B780" s="77"/>
      <c r="C780" s="77"/>
      <c r="D780" s="77"/>
      <c r="E780" s="74"/>
      <c r="F780" s="74"/>
      <c r="G780" s="74"/>
      <c r="H780" s="74"/>
    </row>
    <row r="781" ht="14.25" customHeight="1">
      <c r="A781" s="77"/>
      <c r="B781" s="77"/>
      <c r="C781" s="77"/>
      <c r="D781" s="77"/>
      <c r="E781" s="74"/>
      <c r="F781" s="74"/>
      <c r="G781" s="74"/>
      <c r="H781" s="74"/>
    </row>
    <row r="782" ht="14.25" customHeight="1">
      <c r="A782" s="77"/>
      <c r="B782" s="77"/>
      <c r="C782" s="77"/>
      <c r="D782" s="77"/>
      <c r="E782" s="74"/>
      <c r="F782" s="74"/>
      <c r="G782" s="74"/>
      <c r="H782" s="74"/>
    </row>
    <row r="783" ht="14.25" customHeight="1">
      <c r="A783" s="77"/>
      <c r="B783" s="77"/>
      <c r="C783" s="77"/>
      <c r="D783" s="77"/>
      <c r="E783" s="74"/>
      <c r="F783" s="74"/>
      <c r="G783" s="74"/>
      <c r="H783" s="74"/>
    </row>
    <row r="784" ht="14.25" customHeight="1">
      <c r="A784" s="77"/>
      <c r="B784" s="77"/>
      <c r="C784" s="77"/>
      <c r="D784" s="77"/>
      <c r="E784" s="74"/>
      <c r="F784" s="74"/>
      <c r="G784" s="74"/>
      <c r="H784" s="74"/>
    </row>
    <row r="785" ht="14.25" customHeight="1">
      <c r="A785" s="77"/>
      <c r="B785" s="77"/>
      <c r="C785" s="77"/>
      <c r="D785" s="77"/>
      <c r="E785" s="74"/>
      <c r="F785" s="74"/>
      <c r="G785" s="74"/>
      <c r="H785" s="74"/>
    </row>
    <row r="786" ht="14.25" customHeight="1">
      <c r="A786" s="77"/>
      <c r="B786" s="77"/>
      <c r="C786" s="77"/>
      <c r="D786" s="77"/>
      <c r="E786" s="74"/>
      <c r="F786" s="74"/>
      <c r="G786" s="74"/>
      <c r="H786" s="74"/>
    </row>
    <row r="787" ht="14.25" customHeight="1">
      <c r="A787" s="77"/>
      <c r="B787" s="77"/>
      <c r="C787" s="77"/>
      <c r="D787" s="77"/>
      <c r="E787" s="74"/>
      <c r="F787" s="74"/>
      <c r="G787" s="74"/>
      <c r="H787" s="74"/>
    </row>
    <row r="788" ht="14.25" customHeight="1">
      <c r="A788" s="77"/>
      <c r="B788" s="77"/>
      <c r="C788" s="77"/>
      <c r="D788" s="77"/>
      <c r="E788" s="74"/>
      <c r="F788" s="74"/>
      <c r="G788" s="74"/>
      <c r="H788" s="74"/>
    </row>
    <row r="789" ht="14.25" customHeight="1">
      <c r="A789" s="77"/>
      <c r="B789" s="77"/>
      <c r="C789" s="77"/>
      <c r="D789" s="77"/>
      <c r="E789" s="74"/>
      <c r="F789" s="74"/>
      <c r="G789" s="74"/>
      <c r="H789" s="74"/>
    </row>
    <row r="790" ht="14.25" customHeight="1">
      <c r="A790" s="77"/>
      <c r="B790" s="77"/>
      <c r="C790" s="77"/>
      <c r="D790" s="77"/>
      <c r="E790" s="74"/>
      <c r="F790" s="74"/>
      <c r="G790" s="74"/>
      <c r="H790" s="74"/>
    </row>
    <row r="791" ht="14.25" customHeight="1">
      <c r="A791" s="77"/>
      <c r="B791" s="77"/>
      <c r="C791" s="77"/>
      <c r="D791" s="77"/>
      <c r="E791" s="74"/>
      <c r="F791" s="74"/>
      <c r="G791" s="74"/>
      <c r="H791" s="74"/>
    </row>
    <row r="792" ht="14.25" customHeight="1">
      <c r="A792" s="77"/>
      <c r="B792" s="77"/>
      <c r="C792" s="77"/>
      <c r="D792" s="77"/>
      <c r="E792" s="74"/>
      <c r="F792" s="74"/>
      <c r="G792" s="74"/>
      <c r="H792" s="74"/>
    </row>
    <row r="793" ht="14.25" customHeight="1">
      <c r="A793" s="77"/>
      <c r="B793" s="77"/>
      <c r="C793" s="77"/>
      <c r="D793" s="77"/>
      <c r="E793" s="74"/>
      <c r="F793" s="74"/>
      <c r="G793" s="74"/>
      <c r="H793" s="74"/>
    </row>
    <row r="794" ht="14.25" customHeight="1">
      <c r="A794" s="77"/>
      <c r="B794" s="77"/>
      <c r="C794" s="77"/>
      <c r="D794" s="77"/>
      <c r="E794" s="74"/>
      <c r="F794" s="74"/>
      <c r="G794" s="74"/>
      <c r="H794" s="74"/>
    </row>
    <row r="795" ht="14.25" customHeight="1">
      <c r="A795" s="77"/>
      <c r="B795" s="77"/>
      <c r="C795" s="77"/>
      <c r="D795" s="77"/>
      <c r="E795" s="74"/>
      <c r="F795" s="74"/>
      <c r="G795" s="74"/>
      <c r="H795" s="74"/>
    </row>
    <row r="796" ht="14.25" customHeight="1">
      <c r="A796" s="77"/>
      <c r="B796" s="77"/>
      <c r="C796" s="77"/>
      <c r="D796" s="77"/>
      <c r="E796" s="74"/>
      <c r="F796" s="74"/>
      <c r="G796" s="74"/>
      <c r="H796" s="74"/>
    </row>
    <row r="797" ht="14.25" customHeight="1">
      <c r="A797" s="77"/>
      <c r="B797" s="77"/>
      <c r="C797" s="77"/>
      <c r="D797" s="77"/>
      <c r="E797" s="74"/>
      <c r="F797" s="74"/>
      <c r="G797" s="74"/>
      <c r="H797" s="74"/>
    </row>
    <row r="798" ht="14.25" customHeight="1">
      <c r="A798" s="77"/>
      <c r="B798" s="77"/>
      <c r="C798" s="77"/>
      <c r="D798" s="77"/>
      <c r="E798" s="74"/>
      <c r="F798" s="74"/>
      <c r="G798" s="74"/>
      <c r="H798" s="74"/>
    </row>
    <row r="799" ht="14.25" customHeight="1">
      <c r="A799" s="77"/>
      <c r="B799" s="77"/>
      <c r="C799" s="77"/>
      <c r="D799" s="77"/>
      <c r="E799" s="74"/>
      <c r="F799" s="74"/>
      <c r="G799" s="74"/>
      <c r="H799" s="74"/>
    </row>
    <row r="800" ht="14.25" customHeight="1">
      <c r="A800" s="77"/>
      <c r="B800" s="77"/>
      <c r="C800" s="77"/>
      <c r="D800" s="77"/>
      <c r="E800" s="74"/>
      <c r="F800" s="74"/>
      <c r="G800" s="74"/>
      <c r="H800" s="74"/>
    </row>
    <row r="801" ht="14.25" customHeight="1">
      <c r="A801" s="77"/>
      <c r="B801" s="77"/>
      <c r="C801" s="77"/>
      <c r="D801" s="77"/>
      <c r="E801" s="74"/>
      <c r="F801" s="74"/>
      <c r="G801" s="74"/>
      <c r="H801" s="74"/>
    </row>
    <row r="802" ht="14.25" customHeight="1">
      <c r="A802" s="77"/>
      <c r="B802" s="77"/>
      <c r="C802" s="77"/>
      <c r="D802" s="77"/>
      <c r="E802" s="74"/>
      <c r="F802" s="74"/>
      <c r="G802" s="74"/>
      <c r="H802" s="74"/>
    </row>
    <row r="803" ht="14.25" customHeight="1">
      <c r="A803" s="77"/>
      <c r="B803" s="77"/>
      <c r="C803" s="77"/>
      <c r="D803" s="77"/>
      <c r="E803" s="74"/>
      <c r="F803" s="74"/>
      <c r="G803" s="74"/>
      <c r="H803" s="74"/>
    </row>
    <row r="804" ht="14.25" customHeight="1">
      <c r="A804" s="77"/>
      <c r="B804" s="77"/>
      <c r="C804" s="77"/>
      <c r="D804" s="77"/>
      <c r="E804" s="74"/>
      <c r="F804" s="74"/>
      <c r="G804" s="74"/>
      <c r="H804" s="74"/>
    </row>
    <row r="805" ht="14.25" customHeight="1">
      <c r="A805" s="77"/>
      <c r="B805" s="77"/>
      <c r="C805" s="77"/>
      <c r="D805" s="77"/>
      <c r="E805" s="74"/>
      <c r="F805" s="74"/>
      <c r="G805" s="74"/>
      <c r="H805" s="74"/>
    </row>
    <row r="806" ht="14.25" customHeight="1">
      <c r="A806" s="77"/>
      <c r="B806" s="77"/>
      <c r="C806" s="77"/>
      <c r="D806" s="77"/>
      <c r="E806" s="74"/>
      <c r="F806" s="74"/>
      <c r="G806" s="74"/>
      <c r="H806" s="74"/>
    </row>
    <row r="807" ht="14.25" customHeight="1">
      <c r="A807" s="77"/>
      <c r="B807" s="77"/>
      <c r="C807" s="77"/>
      <c r="D807" s="77"/>
      <c r="E807" s="74"/>
      <c r="F807" s="74"/>
      <c r="G807" s="74"/>
      <c r="H807" s="74"/>
    </row>
    <row r="808" ht="14.25" customHeight="1">
      <c r="A808" s="77"/>
      <c r="B808" s="77"/>
      <c r="C808" s="77"/>
      <c r="D808" s="77"/>
      <c r="E808" s="74"/>
      <c r="F808" s="74"/>
      <c r="G808" s="74"/>
      <c r="H808" s="74"/>
    </row>
    <row r="809" ht="14.25" customHeight="1">
      <c r="A809" s="77"/>
      <c r="B809" s="77"/>
      <c r="C809" s="77"/>
      <c r="D809" s="77"/>
      <c r="E809" s="74"/>
      <c r="F809" s="74"/>
      <c r="G809" s="74"/>
      <c r="H809" s="74"/>
    </row>
    <row r="810" ht="14.25" customHeight="1">
      <c r="A810" s="77"/>
      <c r="B810" s="77"/>
      <c r="C810" s="77"/>
      <c r="D810" s="77"/>
      <c r="E810" s="74"/>
      <c r="F810" s="74"/>
      <c r="G810" s="74"/>
      <c r="H810" s="74"/>
    </row>
    <row r="811" ht="14.25" customHeight="1">
      <c r="A811" s="77"/>
      <c r="B811" s="77"/>
      <c r="C811" s="77"/>
      <c r="D811" s="77"/>
      <c r="E811" s="74"/>
      <c r="F811" s="74"/>
      <c r="G811" s="74"/>
      <c r="H811" s="74"/>
    </row>
    <row r="812" ht="14.25" customHeight="1">
      <c r="A812" s="77"/>
      <c r="B812" s="77"/>
      <c r="C812" s="77"/>
      <c r="D812" s="77"/>
      <c r="E812" s="74"/>
      <c r="F812" s="74"/>
      <c r="G812" s="74"/>
      <c r="H812" s="74"/>
    </row>
    <row r="813" ht="14.25" customHeight="1">
      <c r="A813" s="77"/>
      <c r="B813" s="77"/>
      <c r="C813" s="77"/>
      <c r="D813" s="77"/>
      <c r="E813" s="74"/>
      <c r="F813" s="74"/>
      <c r="G813" s="74"/>
      <c r="H813" s="74"/>
    </row>
    <row r="814" ht="14.25" customHeight="1">
      <c r="A814" s="77"/>
      <c r="B814" s="77"/>
      <c r="C814" s="77"/>
      <c r="D814" s="77"/>
      <c r="E814" s="74"/>
      <c r="F814" s="74"/>
      <c r="G814" s="74"/>
      <c r="H814" s="74"/>
    </row>
    <row r="815" ht="14.25" customHeight="1">
      <c r="A815" s="77"/>
      <c r="B815" s="77"/>
      <c r="C815" s="77"/>
      <c r="D815" s="77"/>
      <c r="E815" s="74"/>
      <c r="F815" s="74"/>
      <c r="G815" s="74"/>
      <c r="H815" s="74"/>
    </row>
    <row r="816" ht="14.25" customHeight="1">
      <c r="A816" s="77"/>
      <c r="B816" s="77"/>
      <c r="C816" s="77"/>
      <c r="D816" s="77"/>
      <c r="E816" s="74"/>
      <c r="F816" s="74"/>
      <c r="G816" s="74"/>
      <c r="H816" s="74"/>
    </row>
    <row r="817" ht="14.25" customHeight="1">
      <c r="A817" s="77"/>
      <c r="B817" s="77"/>
      <c r="C817" s="77"/>
      <c r="D817" s="77"/>
      <c r="E817" s="74"/>
      <c r="F817" s="74"/>
      <c r="G817" s="74"/>
      <c r="H817" s="74"/>
    </row>
    <row r="818" ht="14.25" customHeight="1">
      <c r="A818" s="77"/>
      <c r="B818" s="77"/>
      <c r="C818" s="77"/>
      <c r="D818" s="77"/>
      <c r="E818" s="74"/>
      <c r="F818" s="74"/>
      <c r="G818" s="74"/>
      <c r="H818" s="74"/>
    </row>
    <row r="819" ht="14.25" customHeight="1">
      <c r="A819" s="77"/>
      <c r="B819" s="77"/>
      <c r="C819" s="77"/>
      <c r="D819" s="77"/>
      <c r="E819" s="74"/>
      <c r="F819" s="74"/>
      <c r="G819" s="74"/>
      <c r="H819" s="74"/>
    </row>
    <row r="820" ht="14.25" customHeight="1">
      <c r="A820" s="77"/>
      <c r="B820" s="77"/>
      <c r="C820" s="77"/>
      <c r="D820" s="77"/>
      <c r="E820" s="74"/>
      <c r="F820" s="74"/>
      <c r="G820" s="74"/>
      <c r="H820" s="74"/>
    </row>
    <row r="821" ht="14.25" customHeight="1">
      <c r="A821" s="77"/>
      <c r="B821" s="77"/>
      <c r="C821" s="77"/>
      <c r="D821" s="77"/>
      <c r="E821" s="74"/>
      <c r="F821" s="74"/>
      <c r="G821" s="74"/>
      <c r="H821" s="74"/>
    </row>
    <row r="822" ht="14.25" customHeight="1">
      <c r="A822" s="77"/>
      <c r="B822" s="77"/>
      <c r="C822" s="77"/>
      <c r="D822" s="77"/>
      <c r="E822" s="74"/>
      <c r="F822" s="74"/>
      <c r="G822" s="74"/>
      <c r="H822" s="74"/>
    </row>
    <row r="823" ht="14.25" customHeight="1">
      <c r="A823" s="77"/>
      <c r="B823" s="77"/>
      <c r="C823" s="77"/>
      <c r="D823" s="77"/>
      <c r="E823" s="74"/>
      <c r="F823" s="74"/>
      <c r="G823" s="74"/>
      <c r="H823" s="74"/>
    </row>
    <row r="824" ht="14.25" customHeight="1">
      <c r="A824" s="77"/>
      <c r="B824" s="77"/>
      <c r="C824" s="77"/>
      <c r="D824" s="77"/>
      <c r="E824" s="74"/>
      <c r="F824" s="74"/>
      <c r="G824" s="74"/>
      <c r="H824" s="74"/>
    </row>
    <row r="825" ht="14.25" customHeight="1">
      <c r="A825" s="77"/>
      <c r="B825" s="77"/>
      <c r="C825" s="77"/>
      <c r="D825" s="77"/>
      <c r="E825" s="74"/>
      <c r="F825" s="74"/>
      <c r="G825" s="74"/>
      <c r="H825" s="74"/>
    </row>
    <row r="826" ht="14.25" customHeight="1">
      <c r="A826" s="77"/>
      <c r="B826" s="77"/>
      <c r="C826" s="77"/>
      <c r="D826" s="77"/>
      <c r="E826" s="74"/>
      <c r="F826" s="74"/>
      <c r="G826" s="74"/>
      <c r="H826" s="74"/>
    </row>
    <row r="827" ht="14.25" customHeight="1">
      <c r="A827" s="77"/>
      <c r="B827" s="77"/>
      <c r="C827" s="77"/>
      <c r="D827" s="77"/>
      <c r="E827" s="74"/>
      <c r="F827" s="74"/>
      <c r="G827" s="74"/>
      <c r="H827" s="74"/>
    </row>
    <row r="828" ht="14.25" customHeight="1">
      <c r="A828" s="77"/>
      <c r="B828" s="77"/>
      <c r="C828" s="77"/>
      <c r="D828" s="77"/>
      <c r="E828" s="74"/>
      <c r="F828" s="74"/>
      <c r="G828" s="74"/>
      <c r="H828" s="74"/>
    </row>
    <row r="829" ht="14.25" customHeight="1">
      <c r="A829" s="77"/>
      <c r="B829" s="77"/>
      <c r="C829" s="77"/>
      <c r="D829" s="77"/>
      <c r="E829" s="74"/>
      <c r="F829" s="74"/>
      <c r="G829" s="74"/>
      <c r="H829" s="74"/>
    </row>
    <row r="830" ht="14.25" customHeight="1">
      <c r="A830" s="77"/>
      <c r="B830" s="77"/>
      <c r="C830" s="77"/>
      <c r="D830" s="77"/>
      <c r="E830" s="74"/>
      <c r="F830" s="74"/>
      <c r="G830" s="74"/>
      <c r="H830" s="74"/>
    </row>
    <row r="831" ht="14.25" customHeight="1">
      <c r="A831" s="77"/>
      <c r="B831" s="77"/>
      <c r="C831" s="77"/>
      <c r="D831" s="77"/>
      <c r="E831" s="74"/>
      <c r="F831" s="74"/>
      <c r="G831" s="74"/>
      <c r="H831" s="74"/>
    </row>
    <row r="832" ht="14.25" customHeight="1">
      <c r="A832" s="77"/>
      <c r="B832" s="77"/>
      <c r="C832" s="77"/>
      <c r="D832" s="77"/>
      <c r="E832" s="74"/>
      <c r="F832" s="74"/>
      <c r="G832" s="74"/>
      <c r="H832" s="74"/>
    </row>
    <row r="833" ht="14.25" customHeight="1">
      <c r="A833" s="77"/>
      <c r="B833" s="77"/>
      <c r="C833" s="77"/>
      <c r="D833" s="77"/>
      <c r="E833" s="74"/>
      <c r="F833" s="74"/>
      <c r="G833" s="74"/>
      <c r="H833" s="74"/>
    </row>
    <row r="834" ht="14.25" customHeight="1">
      <c r="A834" s="77"/>
      <c r="B834" s="77"/>
      <c r="C834" s="77"/>
      <c r="D834" s="77"/>
      <c r="E834" s="74"/>
      <c r="F834" s="74"/>
      <c r="G834" s="74"/>
      <c r="H834" s="74"/>
    </row>
    <row r="835" ht="14.25" customHeight="1">
      <c r="A835" s="77"/>
      <c r="B835" s="77"/>
      <c r="C835" s="77"/>
      <c r="D835" s="77"/>
      <c r="E835" s="74"/>
      <c r="F835" s="74"/>
      <c r="G835" s="74"/>
      <c r="H835" s="74"/>
    </row>
    <row r="836" ht="14.25" customHeight="1">
      <c r="A836" s="77"/>
      <c r="B836" s="77"/>
      <c r="C836" s="77"/>
      <c r="D836" s="77"/>
      <c r="E836" s="74"/>
      <c r="F836" s="74"/>
      <c r="G836" s="74"/>
      <c r="H836" s="74"/>
    </row>
    <row r="837" ht="14.25" customHeight="1">
      <c r="A837" s="77"/>
      <c r="B837" s="77"/>
      <c r="C837" s="77"/>
      <c r="D837" s="77"/>
      <c r="E837" s="74"/>
      <c r="F837" s="74"/>
      <c r="G837" s="74"/>
      <c r="H837" s="74"/>
    </row>
    <row r="838" ht="14.25" customHeight="1">
      <c r="A838" s="77"/>
      <c r="B838" s="77"/>
      <c r="C838" s="77"/>
      <c r="D838" s="77"/>
      <c r="E838" s="74"/>
      <c r="F838" s="74"/>
      <c r="G838" s="74"/>
      <c r="H838" s="74"/>
    </row>
    <row r="839" ht="14.25" customHeight="1">
      <c r="A839" s="77"/>
      <c r="B839" s="77"/>
      <c r="C839" s="77"/>
      <c r="D839" s="77"/>
      <c r="E839" s="74"/>
      <c r="F839" s="74"/>
      <c r="G839" s="74"/>
      <c r="H839" s="74"/>
    </row>
    <row r="840" ht="14.25" customHeight="1">
      <c r="A840" s="77"/>
      <c r="B840" s="77"/>
      <c r="C840" s="77"/>
      <c r="D840" s="77"/>
      <c r="E840" s="74"/>
      <c r="F840" s="74"/>
      <c r="G840" s="74"/>
      <c r="H840" s="74"/>
    </row>
    <row r="841" ht="14.25" customHeight="1">
      <c r="A841" s="77"/>
      <c r="B841" s="77"/>
      <c r="C841" s="77"/>
      <c r="D841" s="77"/>
      <c r="E841" s="74"/>
      <c r="F841" s="74"/>
      <c r="G841" s="74"/>
      <c r="H841" s="74"/>
    </row>
    <row r="842" ht="14.25" customHeight="1">
      <c r="A842" s="77"/>
      <c r="B842" s="77"/>
      <c r="C842" s="77"/>
      <c r="D842" s="77"/>
      <c r="E842" s="74"/>
      <c r="F842" s="74"/>
      <c r="G842" s="74"/>
      <c r="H842" s="74"/>
    </row>
    <row r="843" ht="14.25" customHeight="1">
      <c r="A843" s="77"/>
      <c r="B843" s="77"/>
      <c r="C843" s="77"/>
      <c r="D843" s="77"/>
      <c r="E843" s="74"/>
      <c r="F843" s="74"/>
      <c r="G843" s="74"/>
      <c r="H843" s="74"/>
    </row>
    <row r="844" ht="14.25" customHeight="1">
      <c r="A844" s="77"/>
      <c r="B844" s="77"/>
      <c r="C844" s="77"/>
      <c r="D844" s="77"/>
      <c r="E844" s="74"/>
      <c r="F844" s="74"/>
      <c r="G844" s="74"/>
      <c r="H844" s="74"/>
    </row>
    <row r="845" ht="14.25" customHeight="1">
      <c r="A845" s="77"/>
      <c r="B845" s="77"/>
      <c r="C845" s="77"/>
      <c r="D845" s="77"/>
      <c r="E845" s="74"/>
      <c r="F845" s="74"/>
      <c r="G845" s="74"/>
      <c r="H845" s="74"/>
    </row>
    <row r="846" ht="14.25" customHeight="1">
      <c r="A846" s="77"/>
      <c r="B846" s="77"/>
      <c r="C846" s="77"/>
      <c r="D846" s="77"/>
      <c r="E846" s="74"/>
      <c r="F846" s="74"/>
      <c r="G846" s="74"/>
      <c r="H846" s="74"/>
    </row>
    <row r="847" ht="14.25" customHeight="1">
      <c r="A847" s="77"/>
      <c r="B847" s="77"/>
      <c r="C847" s="77"/>
      <c r="D847" s="77"/>
      <c r="E847" s="74"/>
      <c r="F847" s="74"/>
      <c r="G847" s="74"/>
      <c r="H847" s="74"/>
    </row>
    <row r="848" ht="14.25" customHeight="1">
      <c r="A848" s="77"/>
      <c r="B848" s="77"/>
      <c r="C848" s="77"/>
      <c r="D848" s="77"/>
      <c r="E848" s="74"/>
      <c r="F848" s="74"/>
      <c r="G848" s="74"/>
      <c r="H848" s="74"/>
    </row>
    <row r="849" ht="14.25" customHeight="1">
      <c r="A849" s="77"/>
      <c r="B849" s="77"/>
      <c r="C849" s="77"/>
      <c r="D849" s="77"/>
      <c r="E849" s="74"/>
      <c r="F849" s="74"/>
      <c r="G849" s="74"/>
      <c r="H849" s="74"/>
    </row>
    <row r="850" ht="14.25" customHeight="1">
      <c r="A850" s="77"/>
      <c r="B850" s="77"/>
      <c r="C850" s="77"/>
      <c r="D850" s="77"/>
      <c r="E850" s="74"/>
      <c r="F850" s="74"/>
      <c r="G850" s="74"/>
      <c r="H850" s="74"/>
    </row>
    <row r="851" ht="14.25" customHeight="1">
      <c r="A851" s="77"/>
      <c r="B851" s="77"/>
      <c r="C851" s="77"/>
      <c r="D851" s="77"/>
      <c r="E851" s="74"/>
      <c r="F851" s="74"/>
      <c r="G851" s="74"/>
      <c r="H851" s="74"/>
    </row>
    <row r="852" ht="14.25" customHeight="1">
      <c r="A852" s="77"/>
      <c r="B852" s="77"/>
      <c r="C852" s="77"/>
      <c r="D852" s="77"/>
      <c r="E852" s="74"/>
      <c r="F852" s="74"/>
      <c r="G852" s="74"/>
      <c r="H852" s="74"/>
    </row>
    <row r="853" ht="14.25" customHeight="1">
      <c r="A853" s="77"/>
      <c r="B853" s="77"/>
      <c r="C853" s="77"/>
      <c r="D853" s="77"/>
      <c r="E853" s="74"/>
      <c r="F853" s="74"/>
      <c r="G853" s="74"/>
      <c r="H853" s="74"/>
    </row>
    <row r="854" ht="14.25" customHeight="1">
      <c r="A854" s="77"/>
      <c r="B854" s="77"/>
      <c r="C854" s="77"/>
      <c r="D854" s="77"/>
      <c r="E854" s="74"/>
      <c r="F854" s="74"/>
      <c r="G854" s="74"/>
      <c r="H854" s="74"/>
    </row>
    <row r="855" ht="14.25" customHeight="1">
      <c r="A855" s="77"/>
      <c r="B855" s="77"/>
      <c r="C855" s="77"/>
      <c r="D855" s="77"/>
      <c r="E855" s="74"/>
      <c r="F855" s="74"/>
      <c r="G855" s="74"/>
      <c r="H855" s="74"/>
    </row>
    <row r="856" ht="14.25" customHeight="1">
      <c r="A856" s="77"/>
      <c r="B856" s="77"/>
      <c r="C856" s="77"/>
      <c r="D856" s="77"/>
      <c r="E856" s="74"/>
      <c r="F856" s="74"/>
      <c r="G856" s="74"/>
      <c r="H856" s="74"/>
    </row>
    <row r="857" ht="14.25" customHeight="1">
      <c r="A857" s="77"/>
      <c r="B857" s="77"/>
      <c r="C857" s="77"/>
      <c r="D857" s="77"/>
      <c r="E857" s="74"/>
      <c r="F857" s="74"/>
      <c r="G857" s="74"/>
      <c r="H857" s="74"/>
    </row>
    <row r="858" ht="14.25" customHeight="1">
      <c r="A858" s="77"/>
      <c r="B858" s="77"/>
      <c r="C858" s="77"/>
      <c r="D858" s="77"/>
      <c r="E858" s="74"/>
      <c r="F858" s="74"/>
      <c r="G858" s="74"/>
      <c r="H858" s="74"/>
    </row>
    <row r="859" ht="14.25" customHeight="1">
      <c r="A859" s="77"/>
      <c r="B859" s="77"/>
      <c r="C859" s="77"/>
      <c r="D859" s="77"/>
      <c r="E859" s="74"/>
      <c r="F859" s="74"/>
      <c r="G859" s="74"/>
      <c r="H859" s="74"/>
    </row>
    <row r="860" ht="14.25" customHeight="1">
      <c r="A860" s="77"/>
      <c r="B860" s="77"/>
      <c r="C860" s="77"/>
      <c r="D860" s="77"/>
      <c r="E860" s="74"/>
      <c r="F860" s="74"/>
      <c r="G860" s="74"/>
      <c r="H860" s="74"/>
    </row>
    <row r="861" ht="14.25" customHeight="1">
      <c r="A861" s="77"/>
      <c r="B861" s="77"/>
      <c r="C861" s="77"/>
      <c r="D861" s="77"/>
      <c r="E861" s="74"/>
      <c r="F861" s="74"/>
      <c r="G861" s="74"/>
      <c r="H861" s="74"/>
    </row>
    <row r="862" ht="14.25" customHeight="1">
      <c r="A862" s="77"/>
      <c r="B862" s="77"/>
      <c r="C862" s="77"/>
      <c r="D862" s="77"/>
      <c r="E862" s="74"/>
      <c r="F862" s="74"/>
      <c r="G862" s="74"/>
      <c r="H862" s="74"/>
    </row>
    <row r="863" ht="14.25" customHeight="1">
      <c r="A863" s="77"/>
      <c r="B863" s="77"/>
      <c r="C863" s="77"/>
      <c r="D863" s="77"/>
      <c r="E863" s="74"/>
      <c r="F863" s="74"/>
      <c r="G863" s="74"/>
      <c r="H863" s="74"/>
    </row>
    <row r="864" ht="14.25" customHeight="1">
      <c r="A864" s="77"/>
      <c r="B864" s="77"/>
      <c r="C864" s="77"/>
      <c r="D864" s="77"/>
      <c r="E864" s="74"/>
      <c r="F864" s="74"/>
      <c r="G864" s="74"/>
      <c r="H864" s="74"/>
    </row>
    <row r="865" ht="14.25" customHeight="1">
      <c r="A865" s="77"/>
      <c r="B865" s="77"/>
      <c r="C865" s="77"/>
      <c r="D865" s="77"/>
      <c r="E865" s="74"/>
      <c r="F865" s="74"/>
      <c r="G865" s="74"/>
      <c r="H865" s="74"/>
    </row>
    <row r="866" ht="14.25" customHeight="1">
      <c r="A866" s="77"/>
      <c r="B866" s="77"/>
      <c r="C866" s="77"/>
      <c r="D866" s="77"/>
      <c r="E866" s="74"/>
      <c r="F866" s="74"/>
      <c r="G866" s="74"/>
      <c r="H866" s="74"/>
    </row>
    <row r="867" ht="14.25" customHeight="1">
      <c r="A867" s="77"/>
      <c r="B867" s="77"/>
      <c r="C867" s="77"/>
      <c r="D867" s="77"/>
      <c r="E867" s="74"/>
      <c r="F867" s="74"/>
      <c r="G867" s="74"/>
      <c r="H867" s="74"/>
    </row>
    <row r="868" ht="14.25" customHeight="1">
      <c r="A868" s="77"/>
      <c r="B868" s="77"/>
      <c r="C868" s="77"/>
      <c r="D868" s="77"/>
      <c r="E868" s="74"/>
      <c r="F868" s="74"/>
      <c r="G868" s="74"/>
      <c r="H868" s="74"/>
    </row>
    <row r="869" ht="14.25" customHeight="1">
      <c r="A869" s="77"/>
      <c r="B869" s="77"/>
      <c r="C869" s="77"/>
      <c r="D869" s="77"/>
      <c r="E869" s="74"/>
      <c r="F869" s="74"/>
      <c r="G869" s="74"/>
      <c r="H869" s="74"/>
    </row>
    <row r="870" ht="14.25" customHeight="1">
      <c r="A870" s="77"/>
      <c r="B870" s="77"/>
      <c r="C870" s="77"/>
      <c r="D870" s="77"/>
      <c r="E870" s="74"/>
      <c r="F870" s="74"/>
      <c r="G870" s="74"/>
      <c r="H870" s="74"/>
    </row>
    <row r="871" ht="14.25" customHeight="1">
      <c r="A871" s="77"/>
      <c r="B871" s="77"/>
      <c r="C871" s="77"/>
      <c r="D871" s="77"/>
      <c r="E871" s="74"/>
      <c r="F871" s="74"/>
      <c r="G871" s="74"/>
      <c r="H871" s="74"/>
    </row>
    <row r="872" ht="14.25" customHeight="1">
      <c r="A872" s="77"/>
      <c r="B872" s="77"/>
      <c r="C872" s="77"/>
      <c r="D872" s="77"/>
      <c r="E872" s="74"/>
      <c r="F872" s="74"/>
      <c r="G872" s="74"/>
      <c r="H872" s="74"/>
    </row>
    <row r="873" ht="14.25" customHeight="1">
      <c r="A873" s="77"/>
      <c r="B873" s="77"/>
      <c r="C873" s="77"/>
      <c r="D873" s="77"/>
      <c r="E873" s="74"/>
      <c r="F873" s="74"/>
      <c r="G873" s="74"/>
      <c r="H873" s="74"/>
    </row>
    <row r="874" ht="14.25" customHeight="1">
      <c r="A874" s="77"/>
      <c r="B874" s="77"/>
      <c r="C874" s="77"/>
      <c r="D874" s="77"/>
      <c r="E874" s="74"/>
      <c r="F874" s="74"/>
      <c r="G874" s="74"/>
      <c r="H874" s="74"/>
    </row>
    <row r="875" ht="14.25" customHeight="1">
      <c r="A875" s="77"/>
      <c r="B875" s="77"/>
      <c r="C875" s="77"/>
      <c r="D875" s="77"/>
      <c r="E875" s="74"/>
      <c r="F875" s="74"/>
      <c r="G875" s="74"/>
      <c r="H875" s="74"/>
    </row>
    <row r="876" ht="14.25" customHeight="1">
      <c r="A876" s="77"/>
      <c r="B876" s="77"/>
      <c r="C876" s="77"/>
      <c r="D876" s="77"/>
      <c r="E876" s="74"/>
      <c r="F876" s="74"/>
      <c r="G876" s="74"/>
      <c r="H876" s="74"/>
    </row>
    <row r="877" ht="14.25" customHeight="1">
      <c r="A877" s="77"/>
      <c r="B877" s="77"/>
      <c r="C877" s="77"/>
      <c r="D877" s="77"/>
      <c r="E877" s="74"/>
      <c r="F877" s="74"/>
      <c r="G877" s="74"/>
      <c r="H877" s="74"/>
    </row>
    <row r="878" ht="14.25" customHeight="1">
      <c r="A878" s="77"/>
      <c r="B878" s="77"/>
      <c r="C878" s="77"/>
      <c r="D878" s="77"/>
      <c r="E878" s="74"/>
      <c r="F878" s="74"/>
      <c r="G878" s="74"/>
      <c r="H878" s="74"/>
    </row>
    <row r="879" ht="14.25" customHeight="1">
      <c r="A879" s="77"/>
      <c r="B879" s="77"/>
      <c r="C879" s="77"/>
      <c r="D879" s="77"/>
      <c r="E879" s="74"/>
      <c r="F879" s="74"/>
      <c r="G879" s="74"/>
      <c r="H879" s="74"/>
    </row>
    <row r="880" ht="14.25" customHeight="1">
      <c r="A880" s="77"/>
      <c r="B880" s="77"/>
      <c r="C880" s="77"/>
      <c r="D880" s="77"/>
      <c r="E880" s="74"/>
      <c r="F880" s="74"/>
      <c r="G880" s="74"/>
      <c r="H880" s="74"/>
    </row>
    <row r="881" ht="14.25" customHeight="1">
      <c r="A881" s="77"/>
      <c r="B881" s="77"/>
      <c r="C881" s="77"/>
      <c r="D881" s="77"/>
      <c r="E881" s="74"/>
      <c r="F881" s="74"/>
      <c r="G881" s="74"/>
      <c r="H881" s="74"/>
    </row>
    <row r="882" ht="14.25" customHeight="1">
      <c r="A882" s="77"/>
      <c r="B882" s="77"/>
      <c r="C882" s="77"/>
      <c r="D882" s="77"/>
      <c r="E882" s="74"/>
      <c r="F882" s="74"/>
      <c r="G882" s="74"/>
      <c r="H882" s="74"/>
    </row>
    <row r="883" ht="14.25" customHeight="1">
      <c r="A883" s="77"/>
      <c r="B883" s="77"/>
      <c r="C883" s="77"/>
      <c r="D883" s="77"/>
      <c r="E883" s="74"/>
      <c r="F883" s="74"/>
      <c r="G883" s="74"/>
      <c r="H883" s="74"/>
    </row>
    <row r="884" ht="14.25" customHeight="1">
      <c r="A884" s="77"/>
      <c r="B884" s="77"/>
      <c r="C884" s="77"/>
      <c r="D884" s="77"/>
      <c r="E884" s="74"/>
      <c r="F884" s="74"/>
      <c r="G884" s="74"/>
      <c r="H884" s="74"/>
    </row>
    <row r="885" ht="14.25" customHeight="1">
      <c r="A885" s="77"/>
      <c r="B885" s="77"/>
      <c r="C885" s="77"/>
      <c r="D885" s="77"/>
      <c r="E885" s="74"/>
      <c r="F885" s="74"/>
      <c r="G885" s="74"/>
      <c r="H885" s="74"/>
    </row>
    <row r="886" ht="14.25" customHeight="1">
      <c r="A886" s="77"/>
      <c r="B886" s="77"/>
      <c r="C886" s="77"/>
      <c r="D886" s="77"/>
      <c r="E886" s="74"/>
      <c r="F886" s="74"/>
      <c r="G886" s="74"/>
      <c r="H886" s="74"/>
    </row>
    <row r="887" ht="14.25" customHeight="1">
      <c r="A887" s="77"/>
      <c r="B887" s="77"/>
      <c r="C887" s="77"/>
      <c r="D887" s="77"/>
      <c r="E887" s="74"/>
      <c r="F887" s="74"/>
      <c r="G887" s="74"/>
      <c r="H887" s="74"/>
    </row>
    <row r="888" ht="14.25" customHeight="1">
      <c r="A888" s="77"/>
      <c r="B888" s="77"/>
      <c r="C888" s="77"/>
      <c r="D888" s="77"/>
      <c r="E888" s="74"/>
      <c r="F888" s="74"/>
      <c r="G888" s="74"/>
      <c r="H888" s="74"/>
    </row>
    <row r="889" ht="14.25" customHeight="1">
      <c r="A889" s="77"/>
      <c r="B889" s="77"/>
      <c r="C889" s="77"/>
      <c r="D889" s="77"/>
      <c r="E889" s="74"/>
      <c r="F889" s="74"/>
      <c r="G889" s="74"/>
      <c r="H889" s="74"/>
    </row>
    <row r="890" ht="14.25" customHeight="1">
      <c r="A890" s="77"/>
      <c r="B890" s="77"/>
      <c r="C890" s="77"/>
      <c r="D890" s="77"/>
      <c r="E890" s="74"/>
      <c r="F890" s="74"/>
      <c r="G890" s="74"/>
      <c r="H890" s="74"/>
    </row>
    <row r="891" ht="14.25" customHeight="1">
      <c r="A891" s="77"/>
      <c r="B891" s="77"/>
      <c r="C891" s="77"/>
      <c r="D891" s="77"/>
      <c r="E891" s="74"/>
      <c r="F891" s="74"/>
      <c r="G891" s="74"/>
      <c r="H891" s="74"/>
    </row>
    <row r="892" ht="14.25" customHeight="1">
      <c r="A892" s="77"/>
      <c r="B892" s="77"/>
      <c r="C892" s="77"/>
      <c r="D892" s="77"/>
      <c r="E892" s="74"/>
      <c r="F892" s="74"/>
      <c r="G892" s="74"/>
      <c r="H892" s="74"/>
    </row>
    <row r="893" ht="14.25" customHeight="1">
      <c r="A893" s="77"/>
      <c r="B893" s="77"/>
      <c r="C893" s="77"/>
      <c r="D893" s="77"/>
      <c r="E893" s="74"/>
      <c r="F893" s="74"/>
      <c r="G893" s="74"/>
      <c r="H893" s="74"/>
    </row>
    <row r="894" ht="14.25" customHeight="1">
      <c r="A894" s="77"/>
      <c r="B894" s="77"/>
      <c r="C894" s="77"/>
      <c r="D894" s="77"/>
      <c r="E894" s="74"/>
      <c r="F894" s="74"/>
      <c r="G894" s="74"/>
      <c r="H894" s="74"/>
    </row>
    <row r="895" ht="14.25" customHeight="1">
      <c r="A895" s="77"/>
      <c r="B895" s="77"/>
      <c r="C895" s="77"/>
      <c r="D895" s="77"/>
      <c r="E895" s="74"/>
      <c r="F895" s="74"/>
      <c r="G895" s="74"/>
      <c r="H895" s="74"/>
    </row>
    <row r="896" ht="14.25" customHeight="1">
      <c r="A896" s="77"/>
      <c r="B896" s="77"/>
      <c r="C896" s="77"/>
      <c r="D896" s="77"/>
      <c r="E896" s="74"/>
      <c r="F896" s="74"/>
      <c r="G896" s="74"/>
      <c r="H896" s="74"/>
    </row>
    <row r="897" ht="14.25" customHeight="1">
      <c r="A897" s="77"/>
      <c r="B897" s="77"/>
      <c r="C897" s="77"/>
      <c r="D897" s="77"/>
      <c r="E897" s="74"/>
      <c r="F897" s="74"/>
      <c r="G897" s="74"/>
      <c r="H897" s="74"/>
    </row>
    <row r="898" ht="14.25" customHeight="1">
      <c r="A898" s="77"/>
      <c r="B898" s="77"/>
      <c r="C898" s="77"/>
      <c r="D898" s="77"/>
      <c r="E898" s="74"/>
      <c r="F898" s="74"/>
      <c r="G898" s="74"/>
      <c r="H898" s="74"/>
    </row>
    <row r="899" ht="14.25" customHeight="1">
      <c r="A899" s="77"/>
      <c r="B899" s="77"/>
      <c r="C899" s="77"/>
      <c r="D899" s="77"/>
      <c r="E899" s="74"/>
      <c r="F899" s="74"/>
      <c r="G899" s="74"/>
      <c r="H899" s="74"/>
    </row>
    <row r="900" ht="14.25" customHeight="1">
      <c r="A900" s="77"/>
      <c r="B900" s="77"/>
      <c r="C900" s="77"/>
      <c r="D900" s="77"/>
      <c r="E900" s="74"/>
      <c r="F900" s="74"/>
      <c r="G900" s="74"/>
      <c r="H900" s="74"/>
    </row>
    <row r="901" ht="14.25" customHeight="1">
      <c r="A901" s="77"/>
      <c r="B901" s="77"/>
      <c r="C901" s="77"/>
      <c r="D901" s="77"/>
      <c r="E901" s="74"/>
      <c r="F901" s="74"/>
      <c r="G901" s="74"/>
      <c r="H901" s="74"/>
    </row>
    <row r="902" ht="14.25" customHeight="1">
      <c r="A902" s="77"/>
      <c r="B902" s="77"/>
      <c r="C902" s="77"/>
      <c r="D902" s="77"/>
      <c r="E902" s="74"/>
      <c r="F902" s="74"/>
      <c r="G902" s="74"/>
      <c r="H902" s="74"/>
    </row>
    <row r="903" ht="14.25" customHeight="1">
      <c r="A903" s="77"/>
      <c r="B903" s="77"/>
      <c r="C903" s="77"/>
      <c r="D903" s="77"/>
      <c r="E903" s="74"/>
      <c r="F903" s="74"/>
      <c r="G903" s="74"/>
      <c r="H903" s="74"/>
    </row>
    <row r="904" ht="14.25" customHeight="1">
      <c r="A904" s="77"/>
      <c r="B904" s="77"/>
      <c r="C904" s="77"/>
      <c r="D904" s="77"/>
      <c r="E904" s="74"/>
      <c r="F904" s="74"/>
      <c r="G904" s="74"/>
      <c r="H904" s="74"/>
    </row>
    <row r="905" ht="14.25" customHeight="1">
      <c r="A905" s="77"/>
      <c r="B905" s="77"/>
      <c r="C905" s="77"/>
      <c r="D905" s="77"/>
      <c r="E905" s="74"/>
      <c r="F905" s="74"/>
      <c r="G905" s="74"/>
      <c r="H905" s="74"/>
    </row>
    <row r="906" ht="14.25" customHeight="1">
      <c r="A906" s="77"/>
      <c r="B906" s="77"/>
      <c r="C906" s="77"/>
      <c r="D906" s="77"/>
      <c r="E906" s="74"/>
      <c r="F906" s="74"/>
      <c r="G906" s="74"/>
      <c r="H906" s="74"/>
    </row>
    <row r="907" ht="14.25" customHeight="1">
      <c r="A907" s="77"/>
      <c r="B907" s="77"/>
      <c r="C907" s="77"/>
      <c r="D907" s="77"/>
      <c r="E907" s="74"/>
      <c r="F907" s="74"/>
      <c r="G907" s="74"/>
      <c r="H907" s="74"/>
    </row>
    <row r="908" ht="14.25" customHeight="1">
      <c r="A908" s="77"/>
      <c r="B908" s="77"/>
      <c r="C908" s="77"/>
      <c r="D908" s="77"/>
      <c r="E908" s="74"/>
      <c r="F908" s="74"/>
      <c r="G908" s="74"/>
      <c r="H908" s="74"/>
    </row>
    <row r="909" ht="14.25" customHeight="1">
      <c r="A909" s="77"/>
      <c r="B909" s="77"/>
      <c r="C909" s="77"/>
      <c r="D909" s="77"/>
      <c r="E909" s="74"/>
      <c r="F909" s="74"/>
      <c r="G909" s="74"/>
      <c r="H909" s="74"/>
    </row>
    <row r="910" ht="14.25" customHeight="1">
      <c r="A910" s="77"/>
      <c r="B910" s="77"/>
      <c r="C910" s="77"/>
      <c r="D910" s="77"/>
      <c r="E910" s="74"/>
      <c r="F910" s="74"/>
      <c r="G910" s="74"/>
      <c r="H910" s="74"/>
    </row>
    <row r="911" ht="14.25" customHeight="1">
      <c r="A911" s="77"/>
      <c r="B911" s="77"/>
      <c r="C911" s="77"/>
      <c r="D911" s="77"/>
      <c r="E911" s="74"/>
      <c r="F911" s="74"/>
      <c r="G911" s="74"/>
      <c r="H911" s="74"/>
    </row>
    <row r="912" ht="14.25" customHeight="1">
      <c r="A912" s="77"/>
      <c r="B912" s="77"/>
      <c r="C912" s="77"/>
      <c r="D912" s="77"/>
      <c r="E912" s="74"/>
      <c r="F912" s="74"/>
      <c r="G912" s="74"/>
      <c r="H912" s="74"/>
    </row>
    <row r="913" ht="14.25" customHeight="1">
      <c r="A913" s="77"/>
      <c r="B913" s="77"/>
      <c r="C913" s="77"/>
      <c r="D913" s="77"/>
      <c r="E913" s="74"/>
      <c r="F913" s="74"/>
      <c r="G913" s="74"/>
      <c r="H913" s="74"/>
    </row>
    <row r="914" ht="14.25" customHeight="1">
      <c r="A914" s="77"/>
      <c r="B914" s="77"/>
      <c r="C914" s="77"/>
      <c r="D914" s="77"/>
      <c r="E914" s="74"/>
      <c r="F914" s="74"/>
      <c r="G914" s="74"/>
      <c r="H914" s="74"/>
    </row>
    <row r="915" ht="14.25" customHeight="1">
      <c r="A915" s="77"/>
      <c r="B915" s="77"/>
      <c r="C915" s="77"/>
      <c r="D915" s="77"/>
      <c r="E915" s="74"/>
      <c r="F915" s="74"/>
      <c r="G915" s="74"/>
      <c r="H915" s="74"/>
    </row>
    <row r="916" ht="14.25" customHeight="1">
      <c r="A916" s="77"/>
      <c r="B916" s="77"/>
      <c r="C916" s="77"/>
      <c r="D916" s="77"/>
      <c r="E916" s="74"/>
      <c r="F916" s="74"/>
      <c r="G916" s="74"/>
      <c r="H916" s="74"/>
    </row>
    <row r="917" ht="14.25" customHeight="1">
      <c r="A917" s="77"/>
      <c r="B917" s="77"/>
      <c r="C917" s="77"/>
      <c r="D917" s="77"/>
      <c r="E917" s="74"/>
      <c r="F917" s="74"/>
      <c r="G917" s="74"/>
      <c r="H917" s="74"/>
    </row>
    <row r="918" ht="14.25" customHeight="1">
      <c r="A918" s="77"/>
      <c r="B918" s="77"/>
      <c r="C918" s="77"/>
      <c r="D918" s="77"/>
      <c r="E918" s="74"/>
      <c r="F918" s="74"/>
      <c r="G918" s="74"/>
      <c r="H918" s="74"/>
    </row>
    <row r="919" ht="14.25" customHeight="1">
      <c r="A919" s="77"/>
      <c r="B919" s="77"/>
      <c r="C919" s="77"/>
      <c r="D919" s="77"/>
      <c r="E919" s="74"/>
      <c r="F919" s="74"/>
      <c r="G919" s="74"/>
      <c r="H919" s="74"/>
    </row>
    <row r="920" ht="14.25" customHeight="1">
      <c r="A920" s="77"/>
      <c r="B920" s="77"/>
      <c r="C920" s="77"/>
      <c r="D920" s="77"/>
      <c r="E920" s="74"/>
      <c r="F920" s="74"/>
      <c r="G920" s="74"/>
      <c r="H920" s="74"/>
    </row>
    <row r="921" ht="14.25" customHeight="1">
      <c r="A921" s="77"/>
      <c r="B921" s="77"/>
      <c r="C921" s="77"/>
      <c r="D921" s="77"/>
      <c r="E921" s="74"/>
      <c r="F921" s="74"/>
      <c r="G921" s="74"/>
      <c r="H921" s="74"/>
    </row>
    <row r="922" ht="14.25" customHeight="1">
      <c r="A922" s="77"/>
      <c r="B922" s="77"/>
      <c r="C922" s="77"/>
      <c r="D922" s="77"/>
      <c r="E922" s="74"/>
      <c r="F922" s="74"/>
      <c r="G922" s="74"/>
      <c r="H922" s="74"/>
    </row>
    <row r="923" ht="14.25" customHeight="1">
      <c r="A923" s="77"/>
      <c r="B923" s="77"/>
      <c r="C923" s="77"/>
      <c r="D923" s="77"/>
      <c r="E923" s="74"/>
      <c r="F923" s="74"/>
      <c r="G923" s="74"/>
      <c r="H923" s="74"/>
    </row>
    <row r="924" ht="14.25" customHeight="1">
      <c r="A924" s="77"/>
      <c r="B924" s="77"/>
      <c r="C924" s="77"/>
      <c r="D924" s="77"/>
      <c r="E924" s="74"/>
      <c r="F924" s="74"/>
      <c r="G924" s="74"/>
      <c r="H924" s="74"/>
    </row>
    <row r="925" ht="14.25" customHeight="1">
      <c r="A925" s="77"/>
      <c r="B925" s="77"/>
      <c r="C925" s="77"/>
      <c r="D925" s="77"/>
      <c r="E925" s="74"/>
      <c r="F925" s="74"/>
      <c r="G925" s="74"/>
      <c r="H925" s="74"/>
    </row>
    <row r="926" ht="14.25" customHeight="1">
      <c r="A926" s="77"/>
      <c r="B926" s="77"/>
      <c r="C926" s="77"/>
      <c r="D926" s="77"/>
      <c r="E926" s="74"/>
      <c r="F926" s="74"/>
      <c r="G926" s="74"/>
      <c r="H926" s="74"/>
    </row>
    <row r="927" ht="14.25" customHeight="1">
      <c r="A927" s="77"/>
      <c r="B927" s="77"/>
      <c r="C927" s="77"/>
      <c r="D927" s="77"/>
      <c r="E927" s="74"/>
      <c r="F927" s="74"/>
      <c r="G927" s="74"/>
      <c r="H927" s="74"/>
    </row>
    <row r="928" ht="14.25" customHeight="1">
      <c r="A928" s="77"/>
      <c r="B928" s="77"/>
      <c r="C928" s="77"/>
      <c r="D928" s="77"/>
      <c r="E928" s="74"/>
      <c r="F928" s="74"/>
      <c r="G928" s="74"/>
      <c r="H928" s="74"/>
    </row>
    <row r="929" ht="14.25" customHeight="1">
      <c r="A929" s="77"/>
      <c r="B929" s="77"/>
      <c r="C929" s="77"/>
      <c r="D929" s="77"/>
      <c r="E929" s="74"/>
      <c r="F929" s="74"/>
      <c r="G929" s="74"/>
      <c r="H929" s="74"/>
    </row>
    <row r="930" ht="14.25" customHeight="1">
      <c r="A930" s="77"/>
      <c r="B930" s="77"/>
      <c r="C930" s="77"/>
      <c r="D930" s="77"/>
      <c r="E930" s="74"/>
      <c r="F930" s="74"/>
      <c r="G930" s="74"/>
      <c r="H930" s="74"/>
    </row>
    <row r="931" ht="14.25" customHeight="1">
      <c r="A931" s="77"/>
      <c r="B931" s="77"/>
      <c r="C931" s="77"/>
      <c r="D931" s="77"/>
      <c r="E931" s="74"/>
      <c r="F931" s="74"/>
      <c r="G931" s="74"/>
      <c r="H931" s="74"/>
    </row>
    <row r="932" ht="14.25" customHeight="1">
      <c r="A932" s="77"/>
      <c r="B932" s="77"/>
      <c r="C932" s="77"/>
      <c r="D932" s="77"/>
      <c r="E932" s="74"/>
      <c r="F932" s="74"/>
      <c r="G932" s="74"/>
      <c r="H932" s="74"/>
    </row>
    <row r="933" ht="14.25" customHeight="1">
      <c r="A933" s="77"/>
      <c r="B933" s="77"/>
      <c r="C933" s="77"/>
      <c r="D933" s="77"/>
      <c r="E933" s="74"/>
      <c r="F933" s="74"/>
      <c r="G933" s="74"/>
      <c r="H933" s="74"/>
    </row>
    <row r="934" ht="14.25" customHeight="1">
      <c r="A934" s="77"/>
      <c r="B934" s="77"/>
      <c r="C934" s="77"/>
      <c r="D934" s="77"/>
      <c r="E934" s="74"/>
      <c r="F934" s="74"/>
      <c r="G934" s="74"/>
      <c r="H934" s="74"/>
    </row>
    <row r="935" ht="14.25" customHeight="1">
      <c r="A935" s="77"/>
      <c r="B935" s="77"/>
      <c r="C935" s="77"/>
      <c r="D935" s="77"/>
      <c r="E935" s="74"/>
      <c r="F935" s="74"/>
      <c r="G935" s="74"/>
      <c r="H935" s="74"/>
    </row>
    <row r="936" ht="14.25" customHeight="1">
      <c r="A936" s="77"/>
      <c r="B936" s="77"/>
      <c r="C936" s="77"/>
      <c r="D936" s="77"/>
      <c r="E936" s="74"/>
      <c r="F936" s="74"/>
      <c r="G936" s="74"/>
      <c r="H936" s="74"/>
    </row>
    <row r="937" ht="14.25" customHeight="1">
      <c r="A937" s="77"/>
      <c r="B937" s="77"/>
      <c r="C937" s="77"/>
      <c r="D937" s="77"/>
      <c r="E937" s="74"/>
      <c r="F937" s="74"/>
      <c r="G937" s="74"/>
      <c r="H937" s="74"/>
    </row>
    <row r="938" ht="14.25" customHeight="1">
      <c r="A938" s="77"/>
      <c r="B938" s="77"/>
      <c r="C938" s="77"/>
      <c r="D938" s="77"/>
      <c r="E938" s="74"/>
      <c r="F938" s="74"/>
      <c r="G938" s="74"/>
      <c r="H938" s="74"/>
    </row>
    <row r="939" ht="14.25" customHeight="1">
      <c r="A939" s="77"/>
      <c r="B939" s="77"/>
      <c r="C939" s="77"/>
      <c r="D939" s="77"/>
      <c r="E939" s="74"/>
      <c r="F939" s="74"/>
      <c r="G939" s="74"/>
      <c r="H939" s="74"/>
    </row>
    <row r="940" ht="14.25" customHeight="1">
      <c r="A940" s="77"/>
      <c r="B940" s="77"/>
      <c r="C940" s="77"/>
      <c r="D940" s="77"/>
      <c r="E940" s="74"/>
      <c r="F940" s="74"/>
      <c r="G940" s="74"/>
      <c r="H940" s="74"/>
    </row>
    <row r="941" ht="14.25" customHeight="1">
      <c r="A941" s="77"/>
      <c r="B941" s="77"/>
      <c r="C941" s="77"/>
      <c r="D941" s="77"/>
      <c r="E941" s="74"/>
      <c r="F941" s="74"/>
      <c r="G941" s="74"/>
      <c r="H941" s="74"/>
    </row>
    <row r="942" ht="14.25" customHeight="1">
      <c r="A942" s="77"/>
      <c r="B942" s="77"/>
      <c r="C942" s="77"/>
      <c r="D942" s="77"/>
      <c r="E942" s="74"/>
      <c r="F942" s="74"/>
      <c r="G942" s="74"/>
      <c r="H942" s="74"/>
    </row>
    <row r="943" ht="14.25" customHeight="1">
      <c r="A943" s="77"/>
      <c r="B943" s="77"/>
      <c r="C943" s="77"/>
      <c r="D943" s="77"/>
      <c r="E943" s="74"/>
      <c r="F943" s="74"/>
      <c r="G943" s="74"/>
      <c r="H943" s="74"/>
    </row>
    <row r="944" ht="14.25" customHeight="1">
      <c r="A944" s="77"/>
      <c r="B944" s="77"/>
      <c r="C944" s="77"/>
      <c r="D944" s="77"/>
      <c r="E944" s="74"/>
      <c r="F944" s="74"/>
      <c r="G944" s="74"/>
      <c r="H944" s="74"/>
    </row>
    <row r="945" ht="14.25" customHeight="1">
      <c r="A945" s="77"/>
      <c r="B945" s="77"/>
      <c r="C945" s="77"/>
      <c r="D945" s="77"/>
      <c r="E945" s="74"/>
      <c r="F945" s="74"/>
      <c r="G945" s="74"/>
      <c r="H945" s="74"/>
    </row>
    <row r="946" ht="14.25" customHeight="1">
      <c r="A946" s="77"/>
      <c r="B946" s="77"/>
      <c r="C946" s="77"/>
      <c r="D946" s="77"/>
      <c r="E946" s="74"/>
      <c r="F946" s="74"/>
      <c r="G946" s="74"/>
      <c r="H946" s="74"/>
    </row>
    <row r="947" ht="14.25" customHeight="1">
      <c r="A947" s="77"/>
      <c r="B947" s="77"/>
      <c r="C947" s="77"/>
      <c r="D947" s="77"/>
      <c r="E947" s="74"/>
      <c r="F947" s="74"/>
      <c r="G947" s="74"/>
      <c r="H947" s="74"/>
    </row>
    <row r="948" ht="14.25" customHeight="1">
      <c r="A948" s="77"/>
      <c r="B948" s="77"/>
      <c r="C948" s="77"/>
      <c r="D948" s="77"/>
      <c r="E948" s="74"/>
      <c r="F948" s="74"/>
      <c r="G948" s="74"/>
      <c r="H948" s="74"/>
    </row>
    <row r="949" ht="14.25" customHeight="1">
      <c r="A949" s="77"/>
      <c r="B949" s="77"/>
      <c r="C949" s="77"/>
      <c r="D949" s="77"/>
      <c r="E949" s="74"/>
      <c r="F949" s="74"/>
      <c r="G949" s="74"/>
      <c r="H949" s="74"/>
    </row>
    <row r="950" ht="14.25" customHeight="1">
      <c r="A950" s="77"/>
      <c r="B950" s="77"/>
      <c r="C950" s="77"/>
      <c r="D950" s="77"/>
      <c r="E950" s="74"/>
      <c r="F950" s="74"/>
      <c r="G950" s="74"/>
      <c r="H950" s="74"/>
    </row>
    <row r="951" ht="14.25" customHeight="1">
      <c r="A951" s="77"/>
      <c r="B951" s="77"/>
      <c r="C951" s="77"/>
      <c r="D951" s="77"/>
      <c r="E951" s="74"/>
      <c r="F951" s="74"/>
      <c r="G951" s="74"/>
      <c r="H951" s="74"/>
    </row>
    <row r="952" ht="14.25" customHeight="1">
      <c r="A952" s="77"/>
      <c r="B952" s="77"/>
      <c r="C952" s="77"/>
      <c r="D952" s="77"/>
      <c r="E952" s="74"/>
      <c r="F952" s="74"/>
      <c r="G952" s="74"/>
      <c r="H952" s="74"/>
    </row>
    <row r="953" ht="14.25" customHeight="1">
      <c r="A953" s="77"/>
      <c r="B953" s="77"/>
      <c r="C953" s="77"/>
      <c r="D953" s="77"/>
      <c r="E953" s="74"/>
      <c r="F953" s="74"/>
      <c r="G953" s="74"/>
      <c r="H953" s="74"/>
    </row>
    <row r="954" ht="14.25" customHeight="1">
      <c r="A954" s="77"/>
      <c r="B954" s="77"/>
      <c r="C954" s="77"/>
      <c r="D954" s="77"/>
      <c r="E954" s="74"/>
      <c r="F954" s="74"/>
      <c r="G954" s="74"/>
      <c r="H954" s="74"/>
    </row>
    <row r="955" ht="14.25" customHeight="1">
      <c r="A955" s="77"/>
      <c r="B955" s="77"/>
      <c r="C955" s="77"/>
      <c r="D955" s="77"/>
      <c r="E955" s="74"/>
      <c r="F955" s="74"/>
      <c r="G955" s="74"/>
      <c r="H955" s="74"/>
    </row>
    <row r="956" ht="14.25" customHeight="1">
      <c r="A956" s="77"/>
      <c r="B956" s="77"/>
      <c r="C956" s="77"/>
      <c r="D956" s="77"/>
      <c r="E956" s="74"/>
      <c r="F956" s="74"/>
      <c r="G956" s="74"/>
      <c r="H956" s="74"/>
    </row>
    <row r="957" ht="14.25" customHeight="1">
      <c r="A957" s="77"/>
      <c r="B957" s="77"/>
      <c r="C957" s="77"/>
      <c r="D957" s="77"/>
      <c r="E957" s="74"/>
      <c r="F957" s="74"/>
      <c r="G957" s="74"/>
      <c r="H957" s="74"/>
    </row>
    <row r="958" ht="14.25" customHeight="1">
      <c r="A958" s="77"/>
      <c r="B958" s="77"/>
      <c r="C958" s="77"/>
      <c r="D958" s="77"/>
      <c r="E958" s="74"/>
      <c r="F958" s="74"/>
      <c r="G958" s="74"/>
      <c r="H958" s="74"/>
    </row>
    <row r="959" ht="14.25" customHeight="1">
      <c r="A959" s="77"/>
      <c r="B959" s="77"/>
      <c r="C959" s="77"/>
      <c r="D959" s="77"/>
      <c r="E959" s="74"/>
      <c r="F959" s="74"/>
      <c r="G959" s="74"/>
      <c r="H959" s="74"/>
    </row>
    <row r="960" ht="14.25" customHeight="1">
      <c r="A960" s="77"/>
      <c r="B960" s="77"/>
      <c r="C960" s="77"/>
      <c r="D960" s="77"/>
      <c r="E960" s="74"/>
      <c r="F960" s="74"/>
      <c r="G960" s="74"/>
      <c r="H960" s="74"/>
    </row>
    <row r="961" ht="14.25" customHeight="1">
      <c r="A961" s="77"/>
      <c r="B961" s="77"/>
      <c r="C961" s="77"/>
      <c r="D961" s="77"/>
      <c r="E961" s="74"/>
      <c r="F961" s="74"/>
      <c r="G961" s="74"/>
      <c r="H961" s="74"/>
    </row>
    <row r="962" ht="14.25" customHeight="1">
      <c r="A962" s="77"/>
      <c r="B962" s="77"/>
      <c r="C962" s="77"/>
      <c r="D962" s="77"/>
      <c r="E962" s="74"/>
      <c r="F962" s="74"/>
      <c r="G962" s="74"/>
      <c r="H962" s="74"/>
    </row>
    <row r="963" ht="14.25" customHeight="1">
      <c r="A963" s="77"/>
      <c r="B963" s="77"/>
      <c r="C963" s="77"/>
      <c r="D963" s="77"/>
      <c r="E963" s="74"/>
      <c r="F963" s="74"/>
      <c r="G963" s="74"/>
      <c r="H963" s="74"/>
    </row>
    <row r="964" ht="14.25" customHeight="1">
      <c r="A964" s="77"/>
      <c r="B964" s="77"/>
      <c r="C964" s="77"/>
      <c r="D964" s="77"/>
      <c r="E964" s="74"/>
      <c r="F964" s="74"/>
      <c r="G964" s="74"/>
      <c r="H964" s="74"/>
    </row>
    <row r="965" ht="14.25" customHeight="1">
      <c r="A965" s="77"/>
      <c r="B965" s="77"/>
      <c r="C965" s="77"/>
      <c r="D965" s="77"/>
      <c r="E965" s="74"/>
      <c r="F965" s="74"/>
      <c r="G965" s="74"/>
      <c r="H965" s="74"/>
    </row>
    <row r="966" ht="14.25" customHeight="1">
      <c r="A966" s="77"/>
      <c r="B966" s="77"/>
      <c r="C966" s="77"/>
      <c r="D966" s="77"/>
      <c r="E966" s="74"/>
      <c r="F966" s="74"/>
      <c r="G966" s="74"/>
      <c r="H966" s="74"/>
    </row>
    <row r="967" ht="14.25" customHeight="1">
      <c r="A967" s="77"/>
      <c r="B967" s="77"/>
      <c r="C967" s="77"/>
      <c r="D967" s="77"/>
      <c r="E967" s="74"/>
      <c r="F967" s="74"/>
      <c r="G967" s="74"/>
      <c r="H967" s="74"/>
    </row>
    <row r="968" ht="14.25" customHeight="1">
      <c r="A968" s="77"/>
      <c r="B968" s="77"/>
      <c r="C968" s="77"/>
      <c r="D968" s="77"/>
      <c r="E968" s="74"/>
      <c r="F968" s="74"/>
      <c r="G968" s="74"/>
      <c r="H968" s="74"/>
    </row>
    <row r="969" ht="14.25" customHeight="1">
      <c r="A969" s="77"/>
      <c r="B969" s="77"/>
      <c r="C969" s="77"/>
      <c r="D969" s="77"/>
      <c r="E969" s="74"/>
      <c r="F969" s="74"/>
      <c r="G969" s="74"/>
      <c r="H969" s="74"/>
    </row>
    <row r="970" ht="14.25" customHeight="1">
      <c r="A970" s="77"/>
      <c r="B970" s="77"/>
      <c r="C970" s="77"/>
      <c r="D970" s="77"/>
      <c r="E970" s="74"/>
      <c r="F970" s="74"/>
      <c r="G970" s="74"/>
      <c r="H970" s="74"/>
    </row>
    <row r="971" ht="14.25" customHeight="1">
      <c r="A971" s="77"/>
      <c r="B971" s="77"/>
      <c r="C971" s="77"/>
      <c r="D971" s="77"/>
      <c r="E971" s="74"/>
      <c r="F971" s="74"/>
      <c r="G971" s="74"/>
      <c r="H971" s="74"/>
    </row>
    <row r="972" ht="14.25" customHeight="1">
      <c r="A972" s="77"/>
      <c r="B972" s="77"/>
      <c r="C972" s="77"/>
      <c r="D972" s="77"/>
      <c r="E972" s="74"/>
      <c r="F972" s="74"/>
      <c r="G972" s="74"/>
      <c r="H972" s="74"/>
    </row>
    <row r="973" ht="14.25" customHeight="1">
      <c r="A973" s="77"/>
      <c r="B973" s="77"/>
      <c r="C973" s="77"/>
      <c r="D973" s="77"/>
      <c r="E973" s="74"/>
      <c r="F973" s="74"/>
      <c r="G973" s="74"/>
      <c r="H973" s="74"/>
    </row>
    <row r="974" ht="14.25" customHeight="1">
      <c r="A974" s="77"/>
      <c r="B974" s="77"/>
      <c r="C974" s="77"/>
      <c r="D974" s="77"/>
      <c r="E974" s="74"/>
      <c r="F974" s="74"/>
      <c r="G974" s="74"/>
      <c r="H974" s="74"/>
    </row>
    <row r="975" ht="14.25" customHeight="1">
      <c r="A975" s="77"/>
      <c r="B975" s="77"/>
      <c r="C975" s="77"/>
      <c r="D975" s="77"/>
      <c r="E975" s="74"/>
      <c r="F975" s="74"/>
      <c r="G975" s="74"/>
      <c r="H975" s="74"/>
    </row>
    <row r="976" ht="14.25" customHeight="1">
      <c r="A976" s="77"/>
      <c r="B976" s="77"/>
      <c r="C976" s="77"/>
      <c r="D976" s="77"/>
      <c r="E976" s="74"/>
      <c r="F976" s="74"/>
      <c r="G976" s="74"/>
      <c r="H976" s="74"/>
    </row>
    <row r="977" ht="14.25" customHeight="1">
      <c r="A977" s="77"/>
      <c r="B977" s="77"/>
      <c r="C977" s="77"/>
      <c r="D977" s="77"/>
      <c r="E977" s="74"/>
      <c r="F977" s="74"/>
      <c r="G977" s="74"/>
      <c r="H977" s="74"/>
    </row>
    <row r="978" ht="14.25" customHeight="1">
      <c r="A978" s="77"/>
      <c r="B978" s="77"/>
      <c r="C978" s="77"/>
      <c r="D978" s="77"/>
      <c r="E978" s="74"/>
      <c r="F978" s="74"/>
      <c r="G978" s="74"/>
      <c r="H978" s="74"/>
    </row>
    <row r="979" ht="14.25" customHeight="1">
      <c r="A979" s="77"/>
      <c r="B979" s="77"/>
      <c r="C979" s="77"/>
      <c r="D979" s="77"/>
      <c r="E979" s="74"/>
      <c r="F979" s="74"/>
      <c r="G979" s="74"/>
      <c r="H979" s="74"/>
    </row>
    <row r="980" ht="14.25" customHeight="1">
      <c r="A980" s="77"/>
      <c r="B980" s="77"/>
      <c r="C980" s="77"/>
      <c r="D980" s="77"/>
      <c r="E980" s="74"/>
      <c r="F980" s="74"/>
      <c r="G980" s="74"/>
      <c r="H980" s="74"/>
    </row>
    <row r="981" ht="14.25" customHeight="1">
      <c r="A981" s="77"/>
      <c r="B981" s="77"/>
      <c r="C981" s="77"/>
      <c r="D981" s="77"/>
      <c r="E981" s="74"/>
      <c r="F981" s="74"/>
      <c r="G981" s="74"/>
      <c r="H981" s="74"/>
    </row>
    <row r="982" ht="14.25" customHeight="1">
      <c r="A982" s="77"/>
      <c r="B982" s="77"/>
      <c r="C982" s="77"/>
      <c r="D982" s="77"/>
      <c r="E982" s="74"/>
      <c r="F982" s="74"/>
      <c r="G982" s="74"/>
      <c r="H982" s="74"/>
    </row>
    <row r="983" ht="14.25" customHeight="1">
      <c r="A983" s="77"/>
      <c r="B983" s="77"/>
      <c r="C983" s="77"/>
      <c r="D983" s="77"/>
      <c r="E983" s="74"/>
      <c r="F983" s="74"/>
      <c r="G983" s="74"/>
      <c r="H983" s="74"/>
    </row>
    <row r="984" ht="14.25" customHeight="1">
      <c r="A984" s="77"/>
      <c r="B984" s="77"/>
      <c r="C984" s="77"/>
      <c r="D984" s="77"/>
      <c r="E984" s="74"/>
      <c r="F984" s="74"/>
      <c r="G984" s="74"/>
      <c r="H984" s="74"/>
    </row>
    <row r="985" ht="14.25" customHeight="1">
      <c r="A985" s="77"/>
      <c r="B985" s="77"/>
      <c r="C985" s="77"/>
      <c r="D985" s="77"/>
      <c r="E985" s="74"/>
      <c r="F985" s="74"/>
      <c r="G985" s="74"/>
      <c r="H985" s="74"/>
    </row>
    <row r="986" ht="14.25" customHeight="1">
      <c r="A986" s="77"/>
      <c r="B986" s="77"/>
      <c r="C986" s="77"/>
      <c r="D986" s="77"/>
      <c r="E986" s="74"/>
      <c r="F986" s="74"/>
      <c r="G986" s="74"/>
      <c r="H986" s="74"/>
    </row>
    <row r="987" ht="14.25" customHeight="1">
      <c r="A987" s="77"/>
      <c r="B987" s="77"/>
      <c r="C987" s="77"/>
      <c r="D987" s="77"/>
      <c r="E987" s="74"/>
      <c r="F987" s="74"/>
      <c r="G987" s="74"/>
      <c r="H987" s="74"/>
    </row>
    <row r="988" ht="14.25" customHeight="1">
      <c r="A988" s="77"/>
      <c r="B988" s="77"/>
      <c r="C988" s="77"/>
      <c r="D988" s="77"/>
      <c r="E988" s="74"/>
      <c r="F988" s="74"/>
      <c r="G988" s="74"/>
      <c r="H988" s="74"/>
    </row>
    <row r="989" ht="14.25" customHeight="1">
      <c r="A989" s="77"/>
      <c r="B989" s="77"/>
      <c r="C989" s="77"/>
      <c r="D989" s="77"/>
      <c r="E989" s="74"/>
      <c r="F989" s="74"/>
      <c r="G989" s="74"/>
      <c r="H989" s="74"/>
    </row>
    <row r="990" ht="14.25" customHeight="1">
      <c r="A990" s="77"/>
      <c r="B990" s="77"/>
      <c r="C990" s="77"/>
      <c r="D990" s="77"/>
      <c r="E990" s="74"/>
      <c r="F990" s="74"/>
      <c r="G990" s="74"/>
      <c r="H990" s="74"/>
    </row>
    <row r="991" ht="14.25" customHeight="1">
      <c r="A991" s="77"/>
      <c r="B991" s="77"/>
      <c r="C991" s="77"/>
      <c r="D991" s="77"/>
      <c r="E991" s="74"/>
      <c r="F991" s="74"/>
      <c r="G991" s="74"/>
      <c r="H991" s="74"/>
    </row>
    <row r="992" ht="14.25" customHeight="1">
      <c r="A992" s="77"/>
      <c r="B992" s="77"/>
      <c r="C992" s="77"/>
      <c r="D992" s="77"/>
      <c r="E992" s="74"/>
      <c r="F992" s="74"/>
      <c r="G992" s="74"/>
      <c r="H992" s="74"/>
    </row>
    <row r="993" ht="14.25" customHeight="1">
      <c r="A993" s="77"/>
      <c r="B993" s="77"/>
      <c r="C993" s="77"/>
      <c r="D993" s="77"/>
      <c r="E993" s="74"/>
      <c r="F993" s="74"/>
      <c r="G993" s="74"/>
      <c r="H993" s="74"/>
    </row>
    <row r="994" ht="14.25" customHeight="1">
      <c r="A994" s="77"/>
      <c r="B994" s="77"/>
      <c r="C994" s="77"/>
      <c r="D994" s="77"/>
      <c r="E994" s="74"/>
      <c r="F994" s="74"/>
      <c r="G994" s="74"/>
      <c r="H994" s="74"/>
    </row>
    <row r="995" ht="14.25" customHeight="1">
      <c r="A995" s="77"/>
      <c r="B995" s="77"/>
      <c r="C995" s="77"/>
      <c r="D995" s="77"/>
      <c r="E995" s="74"/>
      <c r="F995" s="74"/>
      <c r="G995" s="74"/>
      <c r="H995" s="74"/>
    </row>
    <row r="996" ht="14.25" customHeight="1">
      <c r="A996" s="77"/>
      <c r="B996" s="77"/>
      <c r="C996" s="77"/>
      <c r="D996" s="77"/>
      <c r="E996" s="74"/>
      <c r="F996" s="74"/>
      <c r="G996" s="74"/>
      <c r="H996" s="74"/>
    </row>
    <row r="997" ht="14.25" customHeight="1">
      <c r="A997" s="77"/>
      <c r="B997" s="77"/>
      <c r="C997" s="77"/>
      <c r="D997" s="77"/>
      <c r="E997" s="74"/>
      <c r="F997" s="74"/>
      <c r="G997" s="74"/>
      <c r="H997" s="74"/>
    </row>
    <row r="998" ht="14.25" customHeight="1">
      <c r="A998" s="77"/>
      <c r="B998" s="77"/>
      <c r="C998" s="77"/>
      <c r="D998" s="77"/>
      <c r="E998" s="74"/>
      <c r="F998" s="74"/>
      <c r="G998" s="74"/>
      <c r="H998" s="74"/>
    </row>
    <row r="999" ht="14.25" customHeight="1">
      <c r="A999" s="77"/>
      <c r="B999" s="77"/>
      <c r="C999" s="77"/>
      <c r="D999" s="77"/>
      <c r="E999" s="74"/>
      <c r="F999" s="74"/>
      <c r="G999" s="74"/>
      <c r="H999" s="74"/>
    </row>
    <row r="1000" ht="14.25" customHeight="1">
      <c r="A1000" s="77"/>
      <c r="B1000" s="77"/>
      <c r="C1000" s="77"/>
      <c r="D1000" s="77"/>
      <c r="E1000" s="74"/>
      <c r="F1000" s="74"/>
      <c r="G1000" s="74"/>
      <c r="H1000" s="74"/>
    </row>
  </sheetData>
  <autoFilter ref="$F$1:$H$1"/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52.29"/>
    <col customWidth="1" min="5" max="5" width="16.14"/>
    <col customWidth="1" min="15" max="16" width="23.71"/>
  </cols>
  <sheetData>
    <row r="1">
      <c r="A1" s="85" t="s">
        <v>1165</v>
      </c>
      <c r="B1" s="85" t="s">
        <v>1</v>
      </c>
      <c r="C1" s="85" t="s">
        <v>1166</v>
      </c>
      <c r="D1" s="85" t="s">
        <v>1167</v>
      </c>
      <c r="E1" s="85" t="s">
        <v>26</v>
      </c>
      <c r="F1" s="85" t="s">
        <v>1168</v>
      </c>
      <c r="G1" s="85" t="s">
        <v>1169</v>
      </c>
      <c r="H1" s="85" t="s">
        <v>1170</v>
      </c>
      <c r="I1" s="85" t="s">
        <v>3</v>
      </c>
      <c r="J1" s="86" t="s">
        <v>1171</v>
      </c>
      <c r="K1" s="86" t="s">
        <v>1172</v>
      </c>
      <c r="L1" s="86" t="s">
        <v>1173</v>
      </c>
      <c r="M1" s="86" t="s">
        <v>1174</v>
      </c>
      <c r="N1" s="86" t="s">
        <v>1175</v>
      </c>
      <c r="O1" s="86" t="s">
        <v>1176</v>
      </c>
      <c r="P1" s="86" t="s">
        <v>1177</v>
      </c>
      <c r="Q1" s="86" t="s">
        <v>1178</v>
      </c>
      <c r="R1" s="86" t="s">
        <v>1179</v>
      </c>
      <c r="S1" s="86" t="s">
        <v>1180</v>
      </c>
      <c r="T1" s="86" t="s">
        <v>1181</v>
      </c>
      <c r="U1" s="86" t="s">
        <v>1182</v>
      </c>
      <c r="V1" s="86" t="s">
        <v>1183</v>
      </c>
      <c r="W1" s="86" t="s">
        <v>1184</v>
      </c>
    </row>
    <row r="2">
      <c r="A2" s="87">
        <v>1.0</v>
      </c>
      <c r="B2" s="85" t="s">
        <v>1185</v>
      </c>
      <c r="C2" s="85" t="s">
        <v>27</v>
      </c>
      <c r="D2" s="85" t="s">
        <v>1186</v>
      </c>
      <c r="E2" s="85" t="s">
        <v>1187</v>
      </c>
      <c r="F2" s="85" t="s">
        <v>1188</v>
      </c>
      <c r="G2" s="85" t="s">
        <v>1189</v>
      </c>
      <c r="H2" s="85" t="s">
        <v>1190</v>
      </c>
      <c r="I2" s="85" t="s">
        <v>1191</v>
      </c>
      <c r="J2" s="42">
        <v>5.5</v>
      </c>
      <c r="K2" s="42">
        <v>1.0</v>
      </c>
      <c r="L2" s="42">
        <v>18.6</v>
      </c>
      <c r="M2" s="42">
        <v>12.2</v>
      </c>
      <c r="N2" s="42">
        <v>0.53</v>
      </c>
      <c r="O2" s="42">
        <v>6.54E13</v>
      </c>
      <c r="P2" s="42">
        <v>1.78E13</v>
      </c>
      <c r="Q2" s="42">
        <v>-18.6</v>
      </c>
      <c r="R2" s="42">
        <v>-28.7</v>
      </c>
      <c r="S2" s="42">
        <v>-1.7</v>
      </c>
      <c r="T2" s="42">
        <v>8.8</v>
      </c>
      <c r="U2" s="42">
        <v>67.3</v>
      </c>
      <c r="V2" s="42">
        <v>-10.5</v>
      </c>
      <c r="W2" s="42">
        <v>5.7</v>
      </c>
    </row>
    <row r="3">
      <c r="A3" s="87">
        <v>2.0</v>
      </c>
      <c r="B3" s="85" t="s">
        <v>1192</v>
      </c>
      <c r="C3" s="85" t="s">
        <v>40</v>
      </c>
      <c r="D3" s="85" t="s">
        <v>1193</v>
      </c>
      <c r="E3" s="85" t="s">
        <v>1194</v>
      </c>
      <c r="F3" s="85" t="s">
        <v>1195</v>
      </c>
      <c r="G3" s="85" t="s">
        <v>1196</v>
      </c>
      <c r="H3" s="85" t="s">
        <v>1197</v>
      </c>
      <c r="I3" s="85" t="s">
        <v>1198</v>
      </c>
      <c r="J3" s="42">
        <v>8.0</v>
      </c>
      <c r="K3" s="42">
        <v>0.51</v>
      </c>
      <c r="L3" s="42">
        <v>6.4</v>
      </c>
      <c r="M3" s="42">
        <v>5.6</v>
      </c>
      <c r="N3" s="42">
        <v>0.14</v>
      </c>
      <c r="O3" s="42">
        <v>1.25E13</v>
      </c>
      <c r="P3" s="42">
        <v>7.5E12</v>
      </c>
      <c r="Q3" s="42">
        <v>-28.0</v>
      </c>
      <c r="R3" s="42">
        <v>-19.2</v>
      </c>
      <c r="S3" s="42">
        <v>-25.8</v>
      </c>
      <c r="T3" s="42">
        <v>0.0</v>
      </c>
      <c r="U3" s="42">
        <v>20.9</v>
      </c>
      <c r="V3" s="42">
        <v>-13.6</v>
      </c>
      <c r="W3" s="42">
        <v>-20.0</v>
      </c>
    </row>
    <row r="4">
      <c r="A4" s="87">
        <v>3.0</v>
      </c>
      <c r="B4" s="85" t="s">
        <v>1199</v>
      </c>
      <c r="C4" s="85" t="s">
        <v>43</v>
      </c>
      <c r="D4" s="85" t="s">
        <v>1200</v>
      </c>
      <c r="E4" s="85" t="s">
        <v>1201</v>
      </c>
      <c r="F4" s="85" t="s">
        <v>1202</v>
      </c>
      <c r="G4" s="85" t="s">
        <v>1203</v>
      </c>
      <c r="H4" s="85" t="s">
        <v>1204</v>
      </c>
      <c r="I4" s="85" t="s">
        <v>1205</v>
      </c>
      <c r="J4" s="42">
        <v>-5.5</v>
      </c>
      <c r="K4" s="42">
        <v>-1.3</v>
      </c>
      <c r="L4" s="42">
        <v>0.0</v>
      </c>
      <c r="M4" s="42">
        <v>-11.1</v>
      </c>
      <c r="N4" s="42">
        <v>-3.1</v>
      </c>
      <c r="O4" s="42">
        <v>1.42E11</v>
      </c>
      <c r="P4" s="42">
        <v>2.8E10</v>
      </c>
      <c r="Q4" s="42">
        <v>-17.9</v>
      </c>
      <c r="R4" s="42">
        <v>-20.0</v>
      </c>
      <c r="S4" s="42">
        <v>-43.9</v>
      </c>
      <c r="T4" s="42">
        <v>-17.9</v>
      </c>
      <c r="U4" s="42">
        <v>-91.1</v>
      </c>
      <c r="V4" s="42">
        <v>-13.5</v>
      </c>
      <c r="W4" s="42">
        <v>-45.8</v>
      </c>
    </row>
    <row r="5">
      <c r="A5" s="87">
        <v>4.0</v>
      </c>
      <c r="B5" s="85" t="s">
        <v>1206</v>
      </c>
      <c r="C5" s="85" t="s">
        <v>44</v>
      </c>
      <c r="D5" s="85" t="s">
        <v>1207</v>
      </c>
      <c r="E5" s="85" t="s">
        <v>1208</v>
      </c>
      <c r="F5" s="85" t="s">
        <v>1209</v>
      </c>
      <c r="G5" s="85" t="s">
        <v>1209</v>
      </c>
      <c r="H5" s="85" t="s">
        <v>1210</v>
      </c>
      <c r="I5" s="85" t="s">
        <v>1211</v>
      </c>
      <c r="J5" s="42">
        <v>19.6</v>
      </c>
      <c r="K5" s="42">
        <v>1.2</v>
      </c>
      <c r="L5" s="42">
        <v>6.3</v>
      </c>
      <c r="M5" s="42">
        <v>3.9</v>
      </c>
      <c r="N5" s="42">
        <v>0.59</v>
      </c>
      <c r="O5" s="42">
        <v>2.2E12</v>
      </c>
      <c r="P5" s="42">
        <v>3.57E11</v>
      </c>
      <c r="Q5" s="42">
        <v>1.8</v>
      </c>
      <c r="R5" s="42">
        <v>26.9</v>
      </c>
      <c r="S5" s="42">
        <v>26.4</v>
      </c>
      <c r="T5" s="42">
        <v>0.0</v>
      </c>
      <c r="U5" s="42">
        <v>31.1</v>
      </c>
      <c r="V5" s="42">
        <v>-2.9</v>
      </c>
      <c r="W5" s="42">
        <v>-5.8</v>
      </c>
    </row>
    <row r="6">
      <c r="A6" s="87">
        <v>5.0</v>
      </c>
      <c r="B6" s="85" t="s">
        <v>1212</v>
      </c>
      <c r="C6" s="85" t="s">
        <v>45</v>
      </c>
      <c r="D6" s="85" t="s">
        <v>1213</v>
      </c>
      <c r="E6" s="85" t="s">
        <v>1214</v>
      </c>
      <c r="F6" s="85" t="s">
        <v>1215</v>
      </c>
      <c r="G6" s="85" t="s">
        <v>1215</v>
      </c>
      <c r="H6" s="85" t="s">
        <v>1215</v>
      </c>
      <c r="I6" s="85" t="s">
        <v>1216</v>
      </c>
      <c r="J6" s="42">
        <v>6.2</v>
      </c>
      <c r="K6" s="42">
        <v>0.43</v>
      </c>
      <c r="L6" s="42">
        <v>7.1</v>
      </c>
      <c r="M6" s="42">
        <v>3.1</v>
      </c>
      <c r="N6" s="42">
        <v>1.3</v>
      </c>
      <c r="O6" s="42">
        <v>6.6E12</v>
      </c>
      <c r="P6" s="42">
        <v>3.8E12</v>
      </c>
      <c r="Q6" s="42">
        <v>-23.9</v>
      </c>
      <c r="R6" s="42">
        <v>-26.9</v>
      </c>
      <c r="S6" s="42">
        <v>-25.2</v>
      </c>
      <c r="T6" s="42">
        <v>-29.8</v>
      </c>
      <c r="U6" s="42">
        <v>28.4</v>
      </c>
      <c r="V6" s="42">
        <v>-9.2</v>
      </c>
      <c r="W6" s="42">
        <v>-21.4</v>
      </c>
    </row>
    <row r="7">
      <c r="A7" s="87">
        <v>6.0</v>
      </c>
      <c r="B7" s="85" t="s">
        <v>1217</v>
      </c>
      <c r="C7" s="85" t="s">
        <v>46</v>
      </c>
      <c r="D7" s="85" t="s">
        <v>1218</v>
      </c>
      <c r="E7" s="85" t="s">
        <v>1201</v>
      </c>
      <c r="F7" s="85" t="s">
        <v>1219</v>
      </c>
      <c r="G7" s="85" t="s">
        <v>1220</v>
      </c>
      <c r="H7" s="85" t="s">
        <v>1221</v>
      </c>
      <c r="I7" s="85" t="s">
        <v>1222</v>
      </c>
      <c r="J7" s="42">
        <v>8.6</v>
      </c>
      <c r="K7" s="42">
        <v>0.88</v>
      </c>
      <c r="L7" s="42">
        <v>10.2</v>
      </c>
      <c r="M7" s="42">
        <v>8.0</v>
      </c>
      <c r="N7" s="42">
        <v>0.28</v>
      </c>
      <c r="O7" s="42">
        <v>6.0E12</v>
      </c>
      <c r="P7" s="42">
        <v>2.4E12</v>
      </c>
      <c r="Q7" s="42">
        <v>-17.4</v>
      </c>
      <c r="R7" s="42">
        <v>-16.5</v>
      </c>
      <c r="S7" s="42">
        <v>-25.6</v>
      </c>
      <c r="T7" s="42">
        <v>-41.3</v>
      </c>
      <c r="U7" s="42">
        <v>29.4</v>
      </c>
      <c r="V7" s="42">
        <v>-9.8</v>
      </c>
      <c r="W7" s="42">
        <v>-23.4</v>
      </c>
    </row>
    <row r="8">
      <c r="A8" s="87">
        <v>7.0</v>
      </c>
      <c r="B8" s="85" t="s">
        <v>1223</v>
      </c>
      <c r="C8" s="85" t="s">
        <v>56</v>
      </c>
      <c r="D8" s="85" t="s">
        <v>1224</v>
      </c>
      <c r="E8" s="85" t="s">
        <v>1201</v>
      </c>
      <c r="F8" s="85" t="s">
        <v>1225</v>
      </c>
      <c r="G8" s="85" t="s">
        <v>1225</v>
      </c>
      <c r="H8" s="85" t="s">
        <v>1226</v>
      </c>
      <c r="I8" s="85" t="s">
        <v>1227</v>
      </c>
      <c r="J8" s="42">
        <v>26.8</v>
      </c>
      <c r="K8" s="42">
        <v>1.2</v>
      </c>
      <c r="L8" s="42">
        <v>4.6</v>
      </c>
      <c r="M8" s="42">
        <v>3.5</v>
      </c>
      <c r="N8" s="42">
        <v>0.29</v>
      </c>
      <c r="O8" s="42">
        <v>2.22E11</v>
      </c>
      <c r="P8" s="42">
        <v>1.2E10</v>
      </c>
      <c r="Q8" s="42">
        <v>-26.0</v>
      </c>
      <c r="R8" s="42">
        <v>-22.9</v>
      </c>
      <c r="S8" s="42">
        <v>-38.6</v>
      </c>
      <c r="T8" s="42">
        <v>-15.6</v>
      </c>
      <c r="U8" s="42">
        <v>70.6</v>
      </c>
      <c r="V8" s="42">
        <v>-16.9</v>
      </c>
      <c r="W8" s="42">
        <v>-39.3</v>
      </c>
    </row>
    <row r="9">
      <c r="A9" s="87">
        <v>8.0</v>
      </c>
      <c r="B9" s="85" t="s">
        <v>1228</v>
      </c>
      <c r="C9" s="85" t="s">
        <v>57</v>
      </c>
      <c r="D9" s="85" t="s">
        <v>1229</v>
      </c>
      <c r="E9" s="85" t="s">
        <v>1230</v>
      </c>
      <c r="F9" s="85" t="s">
        <v>1231</v>
      </c>
      <c r="G9" s="85" t="s">
        <v>1231</v>
      </c>
      <c r="H9" s="85" t="s">
        <v>1231</v>
      </c>
      <c r="I9" s="85" t="s">
        <v>1232</v>
      </c>
      <c r="J9" s="42">
        <v>-2.1</v>
      </c>
      <c r="K9" s="42">
        <v>-4.4</v>
      </c>
      <c r="L9" s="42">
        <v>0.0</v>
      </c>
      <c r="M9" s="42">
        <v>-23.3</v>
      </c>
      <c r="N9" s="42">
        <v>-9.9</v>
      </c>
      <c r="O9" s="42">
        <v>1.5E12</v>
      </c>
      <c r="P9" s="42">
        <v>4.66E11</v>
      </c>
      <c r="Q9" s="42">
        <v>-25.5</v>
      </c>
      <c r="R9" s="42">
        <v>-35.2</v>
      </c>
      <c r="S9" s="42">
        <v>-48.1</v>
      </c>
      <c r="T9" s="42">
        <v>-23.1</v>
      </c>
      <c r="U9" s="42">
        <v>-150.0</v>
      </c>
      <c r="V9" s="42">
        <v>-15.7</v>
      </c>
      <c r="W9" s="42">
        <v>-48.9</v>
      </c>
    </row>
    <row r="10">
      <c r="A10" s="87">
        <v>9.0</v>
      </c>
      <c r="B10" s="85" t="s">
        <v>1233</v>
      </c>
      <c r="C10" s="85" t="s">
        <v>58</v>
      </c>
      <c r="D10" s="85" t="s">
        <v>1234</v>
      </c>
      <c r="E10" s="85" t="s">
        <v>1235</v>
      </c>
      <c r="F10" s="85" t="s">
        <v>1235</v>
      </c>
      <c r="G10" s="85" t="s">
        <v>1236</v>
      </c>
      <c r="H10" s="85" t="s">
        <v>1237</v>
      </c>
      <c r="I10" s="85" t="s">
        <v>1238</v>
      </c>
      <c r="J10" s="42">
        <v>-0.52</v>
      </c>
      <c r="K10" s="42">
        <v>2.8</v>
      </c>
      <c r="L10" s="42">
        <v>-540.0</v>
      </c>
      <c r="M10" s="42">
        <v>-42.2</v>
      </c>
      <c r="N10" s="42">
        <v>11.9</v>
      </c>
      <c r="O10" s="42">
        <v>1.1E12</v>
      </c>
      <c r="P10" s="42">
        <v>3.8E10</v>
      </c>
      <c r="Q10" s="42">
        <v>0.0</v>
      </c>
      <c r="R10" s="42">
        <v>0.0</v>
      </c>
      <c r="S10" s="42">
        <v>-13.8</v>
      </c>
      <c r="T10" s="42">
        <v>0.0</v>
      </c>
      <c r="U10" s="42">
        <v>-5640.0</v>
      </c>
      <c r="V10" s="42">
        <v>0.0</v>
      </c>
      <c r="W10" s="42">
        <v>-10.7</v>
      </c>
    </row>
    <row r="11">
      <c r="A11" s="87">
        <v>10.0</v>
      </c>
      <c r="B11" s="85" t="s">
        <v>1239</v>
      </c>
      <c r="C11" s="85" t="s">
        <v>59</v>
      </c>
      <c r="D11" s="85" t="s">
        <v>1240</v>
      </c>
      <c r="E11" s="85" t="s">
        <v>1194</v>
      </c>
      <c r="F11" s="85" t="s">
        <v>1195</v>
      </c>
      <c r="G11" s="85" t="s">
        <v>1241</v>
      </c>
      <c r="H11" s="85" t="s">
        <v>1242</v>
      </c>
      <c r="I11" s="85" t="s">
        <v>1243</v>
      </c>
      <c r="J11" s="42">
        <v>14.6</v>
      </c>
      <c r="K11" s="42">
        <v>3.8</v>
      </c>
      <c r="L11" s="42">
        <v>26.1</v>
      </c>
      <c r="M11" s="42">
        <v>21.6</v>
      </c>
      <c r="N11" s="42">
        <v>0.21</v>
      </c>
      <c r="O11" s="42">
        <v>1.24E13</v>
      </c>
      <c r="P11" s="42">
        <v>9.42E11</v>
      </c>
      <c r="Q11" s="42">
        <v>-8.1</v>
      </c>
      <c r="R11" s="42">
        <v>42.0</v>
      </c>
      <c r="S11" s="42">
        <v>31.8</v>
      </c>
      <c r="T11" s="42">
        <v>99.5</v>
      </c>
      <c r="U11" s="42">
        <v>90.3</v>
      </c>
      <c r="V11" s="42">
        <v>-5.7</v>
      </c>
      <c r="W11" s="42">
        <v>37.2</v>
      </c>
    </row>
    <row r="12">
      <c r="A12" s="87">
        <v>11.0</v>
      </c>
      <c r="B12" s="85" t="s">
        <v>1244</v>
      </c>
      <c r="C12" s="85" t="s">
        <v>60</v>
      </c>
      <c r="D12" s="85" t="s">
        <v>1229</v>
      </c>
      <c r="E12" s="85" t="s">
        <v>1230</v>
      </c>
      <c r="F12" s="85" t="s">
        <v>1231</v>
      </c>
      <c r="G12" s="85" t="s">
        <v>1231</v>
      </c>
      <c r="H12" s="85" t="s">
        <v>1231</v>
      </c>
      <c r="I12" s="85" t="s">
        <v>1245</v>
      </c>
      <c r="J12" s="42">
        <v>-0.27</v>
      </c>
      <c r="K12" s="42">
        <v>0.41</v>
      </c>
      <c r="L12" s="42">
        <v>-150.0</v>
      </c>
      <c r="M12" s="42">
        <v>-18.7</v>
      </c>
      <c r="N12" s="42">
        <v>7.1</v>
      </c>
      <c r="O12" s="42">
        <v>1.4E12</v>
      </c>
      <c r="P12" s="42">
        <v>1.7E12</v>
      </c>
      <c r="Q12" s="42">
        <v>-32.5</v>
      </c>
      <c r="R12" s="42">
        <v>-35.7</v>
      </c>
      <c r="S12" s="42">
        <v>-46.0</v>
      </c>
      <c r="T12" s="42">
        <v>-48.5</v>
      </c>
      <c r="U12" s="42">
        <v>-320.0</v>
      </c>
      <c r="V12" s="42">
        <v>-18.7</v>
      </c>
      <c r="W12" s="42">
        <v>-50.4</v>
      </c>
    </row>
    <row r="13">
      <c r="A13" s="87">
        <v>12.0</v>
      </c>
      <c r="B13" s="85" t="s">
        <v>1246</v>
      </c>
      <c r="C13" s="85" t="s">
        <v>62</v>
      </c>
      <c r="D13" s="85" t="s">
        <v>1247</v>
      </c>
      <c r="E13" s="85" t="s">
        <v>1208</v>
      </c>
      <c r="F13" s="85" t="s">
        <v>1248</v>
      </c>
      <c r="G13" s="85" t="s">
        <v>1249</v>
      </c>
      <c r="H13" s="85" t="s">
        <v>1249</v>
      </c>
      <c r="I13" s="85" t="s">
        <v>1211</v>
      </c>
      <c r="J13" s="42">
        <v>5.9</v>
      </c>
      <c r="K13" s="42">
        <v>0.66</v>
      </c>
      <c r="L13" s="42">
        <v>11.2</v>
      </c>
      <c r="M13" s="42">
        <v>4.4</v>
      </c>
      <c r="N13" s="42">
        <v>1.6</v>
      </c>
      <c r="O13" s="42">
        <v>1.03E13</v>
      </c>
      <c r="P13" s="42">
        <v>2.7E12</v>
      </c>
      <c r="Q13" s="42">
        <v>-10.1</v>
      </c>
      <c r="R13" s="42">
        <v>-7.4</v>
      </c>
      <c r="S13" s="42">
        <v>-8.2</v>
      </c>
      <c r="T13" s="42">
        <v>-13.3</v>
      </c>
      <c r="U13" s="42">
        <v>64.1</v>
      </c>
      <c r="V13" s="42">
        <v>-6.3</v>
      </c>
      <c r="W13" s="42">
        <v>-8.0</v>
      </c>
    </row>
    <row r="14">
      <c r="A14" s="87">
        <v>13.0</v>
      </c>
      <c r="B14" s="85" t="s">
        <v>1250</v>
      </c>
      <c r="C14" s="85" t="s">
        <v>63</v>
      </c>
      <c r="D14" s="85" t="s">
        <v>1251</v>
      </c>
      <c r="E14" s="85" t="s">
        <v>1252</v>
      </c>
      <c r="F14" s="85" t="s">
        <v>1252</v>
      </c>
      <c r="G14" s="85" t="s">
        <v>1253</v>
      </c>
      <c r="H14" s="85" t="s">
        <v>1254</v>
      </c>
      <c r="I14" s="85" t="s">
        <v>1255</v>
      </c>
      <c r="J14" s="42">
        <v>-250.0</v>
      </c>
      <c r="K14" s="42">
        <v>0.43</v>
      </c>
      <c r="L14" s="42">
        <v>-0.17</v>
      </c>
      <c r="M14" s="42">
        <v>-0.13</v>
      </c>
      <c r="N14" s="42">
        <v>0.37</v>
      </c>
      <c r="O14" s="42">
        <v>8.32E11</v>
      </c>
      <c r="P14" s="42">
        <v>5.51E11</v>
      </c>
      <c r="Q14" s="42">
        <v>-3.4</v>
      </c>
      <c r="R14" s="42">
        <v>-5.2</v>
      </c>
      <c r="S14" s="42">
        <v>17.1</v>
      </c>
      <c r="T14" s="42">
        <v>79.3</v>
      </c>
      <c r="U14" s="42">
        <v>-0.61</v>
      </c>
      <c r="V14" s="42">
        <v>-7.0</v>
      </c>
      <c r="W14" s="42">
        <v>-12.7</v>
      </c>
    </row>
    <row r="15">
      <c r="A15" s="87">
        <v>14.0</v>
      </c>
      <c r="B15" s="85" t="s">
        <v>1256</v>
      </c>
      <c r="C15" s="85" t="s">
        <v>64</v>
      </c>
      <c r="D15" s="85" t="s">
        <v>1186</v>
      </c>
      <c r="E15" s="85" t="s">
        <v>1187</v>
      </c>
      <c r="F15" s="85" t="s">
        <v>1188</v>
      </c>
      <c r="G15" s="85" t="s">
        <v>1189</v>
      </c>
      <c r="H15" s="85" t="s">
        <v>1190</v>
      </c>
      <c r="I15" s="85" t="s">
        <v>1257</v>
      </c>
      <c r="J15" s="42">
        <v>12.6</v>
      </c>
      <c r="K15" s="42">
        <v>2.0</v>
      </c>
      <c r="L15" s="42">
        <v>16.2</v>
      </c>
      <c r="M15" s="42">
        <v>9.1</v>
      </c>
      <c r="N15" s="42">
        <v>0.78</v>
      </c>
      <c r="O15" s="42">
        <v>6.25E13</v>
      </c>
      <c r="P15" s="42">
        <v>4.5E12</v>
      </c>
      <c r="Q15" s="42">
        <v>-18.8</v>
      </c>
      <c r="R15" s="42">
        <v>-25.4</v>
      </c>
      <c r="S15" s="42">
        <v>0.346</v>
      </c>
      <c r="T15" s="42">
        <v>40.8</v>
      </c>
      <c r="U15" s="42">
        <v>110.0</v>
      </c>
      <c r="V15" s="42">
        <v>0.0</v>
      </c>
      <c r="W15" s="42">
        <v>-11.9</v>
      </c>
    </row>
    <row r="16">
      <c r="A16" s="87">
        <v>15.0</v>
      </c>
      <c r="B16" s="85" t="s">
        <v>1258</v>
      </c>
      <c r="C16" s="85" t="s">
        <v>66</v>
      </c>
      <c r="D16" s="85" t="s">
        <v>1186</v>
      </c>
      <c r="E16" s="85" t="s">
        <v>1187</v>
      </c>
      <c r="F16" s="85" t="s">
        <v>1188</v>
      </c>
      <c r="G16" s="85" t="s">
        <v>1189</v>
      </c>
      <c r="H16" s="85" t="s">
        <v>1190</v>
      </c>
      <c r="I16" s="85" t="s">
        <v>1259</v>
      </c>
      <c r="J16" s="42">
        <v>8.0</v>
      </c>
      <c r="K16" s="42">
        <v>0.73</v>
      </c>
      <c r="L16" s="42">
        <v>9.1</v>
      </c>
      <c r="M16" s="42">
        <v>6.9</v>
      </c>
      <c r="N16" s="42">
        <v>0.32</v>
      </c>
      <c r="O16" s="42">
        <v>6.76E13</v>
      </c>
      <c r="P16" s="42">
        <v>8.0E12</v>
      </c>
      <c r="Q16" s="42">
        <v>-11.4</v>
      </c>
      <c r="R16" s="42">
        <v>-7.7</v>
      </c>
      <c r="S16" s="42">
        <v>14.2</v>
      </c>
      <c r="T16" s="42">
        <v>2.4</v>
      </c>
      <c r="U16" s="42">
        <v>110.0</v>
      </c>
      <c r="V16" s="42">
        <v>-4.8</v>
      </c>
      <c r="W16" s="42">
        <v>19.2</v>
      </c>
    </row>
    <row r="17">
      <c r="A17" s="87">
        <v>16.0</v>
      </c>
      <c r="B17" s="85" t="s">
        <v>1260</v>
      </c>
      <c r="C17" s="85" t="s">
        <v>71</v>
      </c>
      <c r="D17" s="85" t="s">
        <v>1261</v>
      </c>
      <c r="E17" s="85" t="s">
        <v>1201</v>
      </c>
      <c r="F17" s="85" t="s">
        <v>1262</v>
      </c>
      <c r="G17" s="85" t="s">
        <v>1263</v>
      </c>
      <c r="H17" s="85" t="s">
        <v>1264</v>
      </c>
      <c r="I17" s="85" t="s">
        <v>1265</v>
      </c>
      <c r="J17" s="42">
        <v>190.0</v>
      </c>
      <c r="K17" s="42">
        <v>0.7</v>
      </c>
      <c r="L17" s="42">
        <v>0.37</v>
      </c>
      <c r="M17" s="42">
        <v>0.35</v>
      </c>
      <c r="N17" s="42">
        <v>0.06</v>
      </c>
      <c r="O17" s="42">
        <v>4.8E10</v>
      </c>
      <c r="P17" s="42">
        <v>2.6E10</v>
      </c>
      <c r="Q17" s="42">
        <v>-24.5</v>
      </c>
      <c r="R17" s="42">
        <v>-24.5</v>
      </c>
      <c r="S17" s="42">
        <v>-53.8</v>
      </c>
      <c r="T17" s="42">
        <v>12.1</v>
      </c>
      <c r="U17" s="42">
        <v>1.0</v>
      </c>
      <c r="V17" s="42">
        <v>-19.6</v>
      </c>
      <c r="W17" s="42">
        <v>-39.3</v>
      </c>
    </row>
    <row r="18">
      <c r="A18" s="87">
        <v>17.0</v>
      </c>
      <c r="B18" s="85" t="s">
        <v>1266</v>
      </c>
      <c r="C18" s="85" t="s">
        <v>72</v>
      </c>
      <c r="D18" s="85" t="s">
        <v>1267</v>
      </c>
      <c r="E18" s="85" t="s">
        <v>1194</v>
      </c>
      <c r="F18" s="85" t="s">
        <v>1195</v>
      </c>
      <c r="G18" s="85" t="s">
        <v>1196</v>
      </c>
      <c r="H18" s="85" t="s">
        <v>1268</v>
      </c>
      <c r="I18" s="85" t="s">
        <v>1269</v>
      </c>
      <c r="J18" s="42">
        <v>48.2</v>
      </c>
      <c r="K18" s="42">
        <v>2.1</v>
      </c>
      <c r="L18" s="42">
        <v>4.4</v>
      </c>
      <c r="M18" s="42">
        <v>2.6</v>
      </c>
      <c r="N18" s="42">
        <v>0.65</v>
      </c>
      <c r="O18" s="42">
        <v>2.38E11</v>
      </c>
      <c r="P18" s="42">
        <v>4.6E10</v>
      </c>
      <c r="Q18" s="42">
        <v>-10.9</v>
      </c>
      <c r="R18" s="42">
        <v>-5.4</v>
      </c>
      <c r="S18" s="42">
        <v>-11.7</v>
      </c>
      <c r="T18" s="42">
        <v>-14.5</v>
      </c>
      <c r="U18" s="42">
        <v>10.7</v>
      </c>
      <c r="V18" s="42">
        <v>-7.8</v>
      </c>
      <c r="W18" s="42">
        <v>-10.9</v>
      </c>
    </row>
    <row r="19">
      <c r="A19" s="87">
        <v>18.0</v>
      </c>
      <c r="B19" s="85" t="s">
        <v>1270</v>
      </c>
      <c r="C19" s="85" t="s">
        <v>73</v>
      </c>
      <c r="D19" s="85" t="s">
        <v>1251</v>
      </c>
      <c r="E19" s="85" t="s">
        <v>1252</v>
      </c>
      <c r="F19" s="85" t="s">
        <v>1252</v>
      </c>
      <c r="G19" s="85" t="s">
        <v>1253</v>
      </c>
      <c r="H19" s="85" t="s">
        <v>1254</v>
      </c>
      <c r="I19" s="85" t="s">
        <v>1271</v>
      </c>
      <c r="J19" s="42">
        <v>97.9</v>
      </c>
      <c r="K19" s="42">
        <v>2.2</v>
      </c>
      <c r="L19" s="42">
        <v>2.2</v>
      </c>
      <c r="M19" s="42">
        <v>1.0</v>
      </c>
      <c r="N19" s="42">
        <v>1.2</v>
      </c>
      <c r="O19" s="42">
        <v>8.4E12</v>
      </c>
      <c r="P19" s="42">
        <v>7.62E11</v>
      </c>
      <c r="Q19" s="42">
        <v>-17.7</v>
      </c>
      <c r="R19" s="42">
        <v>-27.6</v>
      </c>
      <c r="S19" s="42">
        <v>40.5</v>
      </c>
      <c r="T19" s="42">
        <v>110.0</v>
      </c>
      <c r="U19" s="42">
        <v>11.3</v>
      </c>
      <c r="V19" s="42">
        <v>-14.2</v>
      </c>
      <c r="W19" s="42">
        <v>51.6</v>
      </c>
    </row>
    <row r="20">
      <c r="A20" s="87">
        <v>19.0</v>
      </c>
      <c r="B20" s="85" t="s">
        <v>1272</v>
      </c>
      <c r="C20" s="85" t="s">
        <v>74</v>
      </c>
      <c r="D20" s="85" t="s">
        <v>1273</v>
      </c>
      <c r="E20" s="85" t="s">
        <v>1208</v>
      </c>
      <c r="F20" s="85" t="s">
        <v>1274</v>
      </c>
      <c r="G20" s="85" t="s">
        <v>1274</v>
      </c>
      <c r="H20" s="85" t="s">
        <v>1274</v>
      </c>
      <c r="I20" s="85" t="s">
        <v>1275</v>
      </c>
      <c r="J20" s="42">
        <v>-8.0</v>
      </c>
      <c r="K20" s="42">
        <v>1.4</v>
      </c>
      <c r="L20" s="42">
        <v>-17.3</v>
      </c>
      <c r="M20" s="42">
        <v>-4.0</v>
      </c>
      <c r="N20" s="42">
        <v>3.4</v>
      </c>
      <c r="O20" s="42">
        <v>4.0E12</v>
      </c>
      <c r="P20" s="42">
        <v>3.11E11</v>
      </c>
      <c r="Q20" s="42">
        <v>-31.9</v>
      </c>
      <c r="R20" s="42">
        <v>-29.9</v>
      </c>
      <c r="S20" s="42">
        <v>-46.6</v>
      </c>
      <c r="T20" s="42">
        <v>-43.6</v>
      </c>
      <c r="U20" s="42">
        <v>-160.0</v>
      </c>
      <c r="V20" s="42">
        <v>-24.4</v>
      </c>
      <c r="W20" s="42">
        <v>-46.6</v>
      </c>
    </row>
    <row r="21">
      <c r="A21" s="87">
        <v>20.0</v>
      </c>
      <c r="B21" s="85" t="s">
        <v>1276</v>
      </c>
      <c r="C21" s="85" t="s">
        <v>77</v>
      </c>
      <c r="D21" s="85" t="s">
        <v>1273</v>
      </c>
      <c r="E21" s="85" t="s">
        <v>1208</v>
      </c>
      <c r="F21" s="85" t="s">
        <v>1274</v>
      </c>
      <c r="G21" s="85" t="s">
        <v>1274</v>
      </c>
      <c r="H21" s="85" t="s">
        <v>1274</v>
      </c>
      <c r="I21" s="85" t="s">
        <v>1211</v>
      </c>
      <c r="J21" s="42">
        <v>17.3</v>
      </c>
      <c r="K21" s="42">
        <v>0.53</v>
      </c>
      <c r="L21" s="42">
        <v>3.1</v>
      </c>
      <c r="M21" s="42">
        <v>0.76</v>
      </c>
      <c r="N21" s="42">
        <v>3.0</v>
      </c>
      <c r="O21" s="42">
        <v>3.1E12</v>
      </c>
      <c r="P21" s="42">
        <v>3.7E11</v>
      </c>
      <c r="Q21" s="42">
        <v>-20.6</v>
      </c>
      <c r="R21" s="42">
        <v>-21.7</v>
      </c>
      <c r="S21" s="42">
        <v>-30.8</v>
      </c>
      <c r="T21" s="42">
        <v>-18.2</v>
      </c>
      <c r="U21" s="42">
        <v>48.6</v>
      </c>
      <c r="V21" s="42">
        <v>-15.6</v>
      </c>
      <c r="W21" s="42">
        <v>-32.5</v>
      </c>
    </row>
    <row r="22">
      <c r="A22" s="87">
        <v>21.0</v>
      </c>
      <c r="B22" s="85" t="s">
        <v>1277</v>
      </c>
      <c r="C22" s="85" t="s">
        <v>78</v>
      </c>
      <c r="D22" s="85" t="s">
        <v>1207</v>
      </c>
      <c r="E22" s="85" t="s">
        <v>1208</v>
      </c>
      <c r="F22" s="85" t="s">
        <v>1209</v>
      </c>
      <c r="G22" s="85" t="s">
        <v>1209</v>
      </c>
      <c r="H22" s="85" t="s">
        <v>1210</v>
      </c>
      <c r="I22" s="85" t="s">
        <v>1278</v>
      </c>
      <c r="J22" s="42">
        <v>-18.0</v>
      </c>
      <c r="K22" s="42">
        <v>2.4</v>
      </c>
      <c r="L22" s="42">
        <v>-13.5</v>
      </c>
      <c r="M22" s="42">
        <v>-2.7</v>
      </c>
      <c r="N22" s="42">
        <v>4.0</v>
      </c>
      <c r="O22" s="42">
        <v>4.17E11</v>
      </c>
      <c r="P22" s="42">
        <v>2.0E11</v>
      </c>
      <c r="Q22" s="42">
        <v>-45.8</v>
      </c>
      <c r="R22" s="42">
        <v>-46.3</v>
      </c>
      <c r="S22" s="42">
        <v>-39.6</v>
      </c>
      <c r="T22" s="42">
        <v>-22.7</v>
      </c>
      <c r="U22" s="42">
        <v>-11.6</v>
      </c>
      <c r="V22" s="42">
        <v>-34.8</v>
      </c>
      <c r="W22" s="42">
        <v>-52.8</v>
      </c>
    </row>
    <row r="23">
      <c r="A23" s="87">
        <v>22.0</v>
      </c>
      <c r="B23" s="85" t="s">
        <v>1279</v>
      </c>
      <c r="C23" s="85" t="s">
        <v>79</v>
      </c>
      <c r="D23" s="85" t="s">
        <v>1186</v>
      </c>
      <c r="E23" s="85" t="s">
        <v>1187</v>
      </c>
      <c r="F23" s="85" t="s">
        <v>1188</v>
      </c>
      <c r="G23" s="85" t="s">
        <v>1189</v>
      </c>
      <c r="H23" s="85" t="s">
        <v>1190</v>
      </c>
      <c r="I23" s="85" t="s">
        <v>1280</v>
      </c>
      <c r="J23" s="42">
        <v>-110.0</v>
      </c>
      <c r="K23" s="42">
        <v>510.0</v>
      </c>
      <c r="L23" s="42">
        <v>-480.0</v>
      </c>
      <c r="M23" s="42">
        <v>-18.2</v>
      </c>
      <c r="N23" s="42">
        <v>25.3</v>
      </c>
      <c r="O23" s="42">
        <v>8.4E10</v>
      </c>
      <c r="P23" s="42">
        <v>1.28E9</v>
      </c>
      <c r="Q23" s="42">
        <v>-23.6</v>
      </c>
      <c r="R23" s="42">
        <v>-21.1</v>
      </c>
      <c r="S23" s="42">
        <v>-19.5</v>
      </c>
      <c r="T23" s="42">
        <v>-3.5</v>
      </c>
      <c r="U23" s="42">
        <v>-62.2</v>
      </c>
      <c r="V23" s="42">
        <v>-15.4</v>
      </c>
      <c r="W23" s="42">
        <v>-14.1</v>
      </c>
    </row>
    <row r="24">
      <c r="A24" s="87">
        <v>23.0</v>
      </c>
      <c r="B24" s="85" t="s">
        <v>1281</v>
      </c>
      <c r="C24" s="85" t="s">
        <v>80</v>
      </c>
      <c r="D24" s="85" t="s">
        <v>1282</v>
      </c>
      <c r="E24" s="85" t="s">
        <v>1194</v>
      </c>
      <c r="F24" s="85" t="s">
        <v>1195</v>
      </c>
      <c r="G24" s="85" t="s">
        <v>1283</v>
      </c>
      <c r="H24" s="85" t="s">
        <v>1283</v>
      </c>
      <c r="I24" s="85" t="s">
        <v>1243</v>
      </c>
      <c r="J24" s="42">
        <v>15.2</v>
      </c>
      <c r="K24" s="42">
        <v>0.86</v>
      </c>
      <c r="L24" s="42">
        <v>5.7</v>
      </c>
      <c r="M24" s="42">
        <v>3.0</v>
      </c>
      <c r="N24" s="42">
        <v>0.87</v>
      </c>
      <c r="O24" s="42">
        <v>9.96E11</v>
      </c>
      <c r="P24" s="42">
        <v>5.05E11</v>
      </c>
      <c r="Q24" s="42">
        <v>-25.0</v>
      </c>
      <c r="R24" s="42">
        <v>-25.0</v>
      </c>
      <c r="S24" s="42">
        <v>-39.6</v>
      </c>
      <c r="T24" s="42">
        <v>-40.0</v>
      </c>
      <c r="U24" s="42">
        <v>13.0</v>
      </c>
      <c r="V24" s="42">
        <v>-15.1</v>
      </c>
      <c r="W24" s="42">
        <v>-33.3</v>
      </c>
    </row>
    <row r="25">
      <c r="A25" s="87">
        <v>24.0</v>
      </c>
      <c r="B25" s="85" t="s">
        <v>1284</v>
      </c>
      <c r="C25" s="85" t="s">
        <v>81</v>
      </c>
      <c r="D25" s="85" t="s">
        <v>1285</v>
      </c>
      <c r="E25" s="85" t="s">
        <v>1201</v>
      </c>
      <c r="F25" s="85" t="s">
        <v>1286</v>
      </c>
      <c r="G25" s="85" t="s">
        <v>1287</v>
      </c>
      <c r="H25" s="85" t="s">
        <v>1288</v>
      </c>
      <c r="I25" s="85" t="s">
        <v>1289</v>
      </c>
      <c r="J25" s="42">
        <v>-9.4</v>
      </c>
      <c r="K25" s="42">
        <v>0.62</v>
      </c>
      <c r="L25" s="42">
        <v>-6.6</v>
      </c>
      <c r="M25" s="42">
        <v>-3.7</v>
      </c>
      <c r="N25" s="42">
        <v>0.77</v>
      </c>
      <c r="O25" s="42">
        <v>2.45E11</v>
      </c>
      <c r="P25" s="42">
        <v>2.04E9</v>
      </c>
      <c r="Q25" s="42">
        <v>0.0</v>
      </c>
      <c r="R25" s="42">
        <v>-2.6</v>
      </c>
      <c r="S25" s="42">
        <v>2.7</v>
      </c>
      <c r="T25" s="42">
        <v>18.8</v>
      </c>
      <c r="U25" s="42">
        <v>-1280.0</v>
      </c>
      <c r="V25" s="42">
        <v>0.0</v>
      </c>
      <c r="W25" s="42">
        <v>18.8</v>
      </c>
    </row>
    <row r="26">
      <c r="A26" s="87">
        <v>25.0</v>
      </c>
      <c r="B26" s="85" t="s">
        <v>1290</v>
      </c>
      <c r="C26" s="85" t="s">
        <v>82</v>
      </c>
      <c r="D26" s="85" t="s">
        <v>1291</v>
      </c>
      <c r="E26" s="85" t="s">
        <v>1252</v>
      </c>
      <c r="F26" s="85" t="s">
        <v>1252</v>
      </c>
      <c r="G26" s="85" t="s">
        <v>1253</v>
      </c>
      <c r="H26" s="85" t="s">
        <v>1292</v>
      </c>
      <c r="I26" s="85" t="s">
        <v>1255</v>
      </c>
      <c r="J26" s="42">
        <v>10.1</v>
      </c>
      <c r="K26" s="42">
        <v>0.17</v>
      </c>
      <c r="L26" s="42">
        <v>1.7</v>
      </c>
      <c r="M26" s="42">
        <v>0.86</v>
      </c>
      <c r="N26" s="42">
        <v>1.0</v>
      </c>
      <c r="O26" s="42">
        <v>3.18E11</v>
      </c>
      <c r="P26" s="42">
        <v>7.21E11</v>
      </c>
      <c r="Q26" s="42">
        <v>-14.8</v>
      </c>
      <c r="R26" s="42">
        <v>-7.6</v>
      </c>
      <c r="S26" s="42">
        <v>-19.3</v>
      </c>
      <c r="T26" s="42">
        <v>-24.0</v>
      </c>
      <c r="U26" s="42">
        <v>4.4</v>
      </c>
      <c r="V26" s="42">
        <v>-10.7</v>
      </c>
      <c r="W26" s="42">
        <v>-20.7</v>
      </c>
    </row>
    <row r="27">
      <c r="A27" s="87">
        <v>26.0</v>
      </c>
      <c r="B27" s="85" t="s">
        <v>1293</v>
      </c>
      <c r="C27" s="85" t="s">
        <v>83</v>
      </c>
      <c r="D27" s="85" t="s">
        <v>1294</v>
      </c>
      <c r="E27" s="85" t="s">
        <v>1187</v>
      </c>
      <c r="F27" s="85" t="s">
        <v>1188</v>
      </c>
      <c r="G27" s="85" t="s">
        <v>1295</v>
      </c>
      <c r="H27" s="85" t="s">
        <v>1296</v>
      </c>
      <c r="I27" s="85" t="s">
        <v>1297</v>
      </c>
      <c r="J27" s="42">
        <v>9.7</v>
      </c>
      <c r="K27" s="42">
        <v>1.5</v>
      </c>
      <c r="L27" s="42">
        <v>15.8</v>
      </c>
      <c r="M27" s="42">
        <v>6.9</v>
      </c>
      <c r="N27" s="42">
        <v>1.3</v>
      </c>
      <c r="O27" s="42">
        <v>2.48E13</v>
      </c>
      <c r="P27" s="42">
        <v>1.29E13</v>
      </c>
      <c r="Q27" s="42">
        <v>-21.0</v>
      </c>
      <c r="R27" s="42">
        <v>-7.5</v>
      </c>
      <c r="S27" s="42">
        <v>-9.3</v>
      </c>
      <c r="T27" s="42">
        <v>-3.7</v>
      </c>
      <c r="U27" s="42">
        <v>19.8</v>
      </c>
      <c r="V27" s="42">
        <v>-9.0</v>
      </c>
      <c r="W27" s="42">
        <v>-9.0</v>
      </c>
    </row>
    <row r="28">
      <c r="A28" s="87">
        <v>27.0</v>
      </c>
      <c r="B28" s="85" t="s">
        <v>1298</v>
      </c>
      <c r="C28" s="85" t="s">
        <v>87</v>
      </c>
      <c r="D28" s="85" t="s">
        <v>1299</v>
      </c>
      <c r="E28" s="85" t="s">
        <v>1300</v>
      </c>
      <c r="F28" s="85" t="s">
        <v>1301</v>
      </c>
      <c r="G28" s="85" t="s">
        <v>1301</v>
      </c>
      <c r="H28" s="85" t="s">
        <v>1301</v>
      </c>
      <c r="I28" s="85" t="s">
        <v>1302</v>
      </c>
      <c r="J28" s="42">
        <v>-16.7</v>
      </c>
      <c r="K28" s="42">
        <v>1.0</v>
      </c>
      <c r="L28" s="42">
        <v>-6.2</v>
      </c>
      <c r="M28" s="42">
        <v>-3.2</v>
      </c>
      <c r="N28" s="42">
        <v>0.97</v>
      </c>
      <c r="O28" s="42">
        <v>1.74E11</v>
      </c>
      <c r="P28" s="42">
        <v>8.2E10</v>
      </c>
      <c r="Q28" s="42">
        <v>-41.6</v>
      </c>
      <c r="R28" s="42">
        <v>-43.8</v>
      </c>
      <c r="S28" s="42">
        <v>-66.7</v>
      </c>
      <c r="T28" s="42">
        <v>-36.9</v>
      </c>
      <c r="U28" s="42">
        <v>-12.7</v>
      </c>
      <c r="V28" s="42">
        <v>-29.7</v>
      </c>
      <c r="W28" s="42">
        <v>-65.1</v>
      </c>
    </row>
    <row r="29">
      <c r="A29" s="87">
        <v>28.0</v>
      </c>
      <c r="B29" s="85" t="s">
        <v>1303</v>
      </c>
      <c r="C29" s="85" t="s">
        <v>88</v>
      </c>
      <c r="D29" s="85" t="s">
        <v>1304</v>
      </c>
      <c r="E29" s="85" t="s">
        <v>1252</v>
      </c>
      <c r="F29" s="85" t="s">
        <v>1252</v>
      </c>
      <c r="G29" s="85" t="s">
        <v>1305</v>
      </c>
      <c r="H29" s="85" t="s">
        <v>1305</v>
      </c>
      <c r="I29" s="85" t="s">
        <v>1306</v>
      </c>
      <c r="J29" s="42">
        <v>44.4</v>
      </c>
      <c r="K29" s="42">
        <v>1.7</v>
      </c>
      <c r="L29" s="42">
        <v>3.9</v>
      </c>
      <c r="M29" s="42">
        <v>2.0</v>
      </c>
      <c r="N29" s="42">
        <v>0.97</v>
      </c>
      <c r="O29" s="42">
        <v>1.8E12</v>
      </c>
      <c r="P29" s="42">
        <v>5.34E11</v>
      </c>
      <c r="Q29" s="42">
        <v>-3.0</v>
      </c>
      <c r="R29" s="42">
        <v>19.1</v>
      </c>
      <c r="S29" s="42">
        <v>4.8</v>
      </c>
      <c r="T29" s="42">
        <v>32.1</v>
      </c>
      <c r="U29" s="42">
        <v>7.8</v>
      </c>
      <c r="V29" s="42">
        <v>-5.8</v>
      </c>
      <c r="W29" s="42">
        <v>-16.0</v>
      </c>
    </row>
    <row r="30">
      <c r="A30" s="87">
        <v>29.0</v>
      </c>
      <c r="B30" s="85" t="s">
        <v>1307</v>
      </c>
      <c r="C30" s="85" t="s">
        <v>89</v>
      </c>
      <c r="D30" s="85" t="s">
        <v>1308</v>
      </c>
      <c r="E30" s="85" t="s">
        <v>1187</v>
      </c>
      <c r="F30" s="85" t="s">
        <v>1188</v>
      </c>
      <c r="G30" s="85" t="s">
        <v>1189</v>
      </c>
      <c r="H30" s="85" t="s">
        <v>1309</v>
      </c>
      <c r="I30" s="85" t="s">
        <v>1310</v>
      </c>
      <c r="J30" s="42">
        <v>35.1</v>
      </c>
      <c r="K30" s="42">
        <v>5.8</v>
      </c>
      <c r="L30" s="42">
        <v>16.4</v>
      </c>
      <c r="M30" s="42">
        <v>12.8</v>
      </c>
      <c r="N30" s="42">
        <v>0.28</v>
      </c>
      <c r="O30" s="42">
        <v>1.32E13</v>
      </c>
      <c r="P30" s="42">
        <v>2.62E11</v>
      </c>
      <c r="Q30" s="42">
        <v>-17.2</v>
      </c>
      <c r="R30" s="42">
        <v>-4.6</v>
      </c>
      <c r="S30" s="42">
        <v>5.1</v>
      </c>
      <c r="T30" s="42">
        <v>23.1</v>
      </c>
      <c r="U30" s="42">
        <v>140.0</v>
      </c>
      <c r="V30" s="42">
        <v>-19.1</v>
      </c>
      <c r="W30" s="42">
        <v>-45.0</v>
      </c>
    </row>
    <row r="31">
      <c r="A31" s="87">
        <v>30.0</v>
      </c>
      <c r="B31" s="85" t="s">
        <v>1311</v>
      </c>
      <c r="C31" s="85" t="s">
        <v>90</v>
      </c>
      <c r="D31" s="85" t="s">
        <v>1312</v>
      </c>
      <c r="E31" s="85" t="s">
        <v>1252</v>
      </c>
      <c r="F31" s="85" t="s">
        <v>1252</v>
      </c>
      <c r="G31" s="85" t="s">
        <v>1313</v>
      </c>
      <c r="H31" s="85" t="s">
        <v>1314</v>
      </c>
      <c r="I31" s="85" t="s">
        <v>1255</v>
      </c>
      <c r="J31" s="42">
        <v>16.7</v>
      </c>
      <c r="K31" s="42">
        <v>1.2</v>
      </c>
      <c r="L31" s="42">
        <v>7.3</v>
      </c>
      <c r="M31" s="42">
        <v>6.4</v>
      </c>
      <c r="N31" s="42">
        <v>0.13</v>
      </c>
      <c r="O31" s="42">
        <v>2.79E11</v>
      </c>
      <c r="P31" s="42">
        <v>1.9E10</v>
      </c>
      <c r="Q31" s="42">
        <v>-8.8</v>
      </c>
      <c r="R31" s="42">
        <v>-8.0</v>
      </c>
      <c r="S31" s="42">
        <v>44.4</v>
      </c>
      <c r="T31" s="42">
        <v>52.0</v>
      </c>
      <c r="U31" s="42">
        <v>90.1</v>
      </c>
      <c r="V31" s="42">
        <v>-24.1</v>
      </c>
      <c r="W31" s="42">
        <v>42.9</v>
      </c>
    </row>
    <row r="32">
      <c r="A32" s="87">
        <v>31.0</v>
      </c>
      <c r="B32" s="85" t="s">
        <v>1315</v>
      </c>
      <c r="C32" s="85" t="s">
        <v>91</v>
      </c>
      <c r="D32" s="85" t="s">
        <v>1312</v>
      </c>
      <c r="E32" s="85" t="s">
        <v>1252</v>
      </c>
      <c r="F32" s="85" t="s">
        <v>1252</v>
      </c>
      <c r="G32" s="85" t="s">
        <v>1313</v>
      </c>
      <c r="H32" s="85" t="s">
        <v>1314</v>
      </c>
      <c r="I32" s="85" t="s">
        <v>1316</v>
      </c>
      <c r="J32" s="42">
        <v>-5.3</v>
      </c>
      <c r="K32" s="42">
        <v>3.6</v>
      </c>
      <c r="L32" s="42">
        <v>-67.6</v>
      </c>
      <c r="M32" s="42">
        <v>-11.9</v>
      </c>
      <c r="N32" s="42">
        <v>4.7</v>
      </c>
      <c r="O32" s="42">
        <v>2.82E11</v>
      </c>
      <c r="P32" s="42">
        <v>0.0</v>
      </c>
      <c r="Q32" s="42">
        <v>0.0</v>
      </c>
      <c r="R32" s="42">
        <v>0.0</v>
      </c>
      <c r="S32" s="42">
        <v>0.0</v>
      </c>
      <c r="T32" s="42">
        <v>0.0</v>
      </c>
      <c r="U32" s="42">
        <v>0.0</v>
      </c>
      <c r="V32" s="42">
        <v>0.0</v>
      </c>
      <c r="W32" s="42">
        <v>0.0</v>
      </c>
    </row>
    <row r="33">
      <c r="A33" s="87">
        <v>32.0</v>
      </c>
      <c r="B33" s="85" t="s">
        <v>1317</v>
      </c>
      <c r="C33" s="85" t="s">
        <v>92</v>
      </c>
      <c r="D33" s="85" t="s">
        <v>1240</v>
      </c>
      <c r="E33" s="85" t="s">
        <v>1194</v>
      </c>
      <c r="F33" s="85" t="s">
        <v>1195</v>
      </c>
      <c r="G33" s="85" t="s">
        <v>1241</v>
      </c>
      <c r="H33" s="85" t="s">
        <v>1242</v>
      </c>
      <c r="I33" s="85" t="s">
        <v>1318</v>
      </c>
      <c r="J33" s="42">
        <v>0.0</v>
      </c>
      <c r="K33" s="42">
        <v>0.13</v>
      </c>
      <c r="L33" s="42">
        <v>-14.3</v>
      </c>
      <c r="M33" s="42">
        <v>-4.6</v>
      </c>
      <c r="N33" s="42">
        <v>2.1</v>
      </c>
      <c r="O33" s="42">
        <v>3.9E10</v>
      </c>
      <c r="P33" s="42">
        <v>5.9E10</v>
      </c>
      <c r="Q33" s="42">
        <v>0.0</v>
      </c>
      <c r="R33" s="42">
        <v>0.0</v>
      </c>
      <c r="S33" s="42">
        <v>0.0</v>
      </c>
      <c r="T33" s="42">
        <v>-18.2</v>
      </c>
      <c r="U33" s="42">
        <v>-71.9</v>
      </c>
      <c r="V33" s="42">
        <v>0.0</v>
      </c>
      <c r="W33" s="42">
        <v>0.0</v>
      </c>
    </row>
    <row r="34">
      <c r="A34" s="87">
        <v>33.0</v>
      </c>
      <c r="B34" s="85" t="s">
        <v>1319</v>
      </c>
      <c r="C34" s="85" t="s">
        <v>93</v>
      </c>
      <c r="D34" s="85" t="s">
        <v>1207</v>
      </c>
      <c r="E34" s="85" t="s">
        <v>1208</v>
      </c>
      <c r="F34" s="85" t="s">
        <v>1209</v>
      </c>
      <c r="G34" s="85" t="s">
        <v>1209</v>
      </c>
      <c r="H34" s="85" t="s">
        <v>1210</v>
      </c>
      <c r="I34" s="85" t="s">
        <v>1320</v>
      </c>
      <c r="J34" s="42">
        <v>9.6</v>
      </c>
      <c r="K34" s="42">
        <v>0.91</v>
      </c>
      <c r="L34" s="42">
        <v>9.4</v>
      </c>
      <c r="M34" s="42">
        <v>3.6</v>
      </c>
      <c r="N34" s="42">
        <v>1.7</v>
      </c>
      <c r="O34" s="42">
        <v>2.0E12</v>
      </c>
      <c r="P34" s="42">
        <v>7.92E11</v>
      </c>
      <c r="Q34" s="42">
        <v>-12.7</v>
      </c>
      <c r="R34" s="42">
        <v>-14.4</v>
      </c>
      <c r="S34" s="42">
        <v>-6.8</v>
      </c>
      <c r="T34" s="42">
        <v>-3.3</v>
      </c>
      <c r="U34" s="42">
        <v>26.1</v>
      </c>
      <c r="V34" s="42">
        <v>-9.6</v>
      </c>
      <c r="W34" s="42">
        <v>-10.1</v>
      </c>
    </row>
    <row r="35">
      <c r="A35" s="87">
        <v>34.0</v>
      </c>
      <c r="B35" s="85" t="s">
        <v>1321</v>
      </c>
      <c r="C35" s="85" t="s">
        <v>94</v>
      </c>
      <c r="D35" s="85" t="s">
        <v>1234</v>
      </c>
      <c r="E35" s="85" t="s">
        <v>1235</v>
      </c>
      <c r="F35" s="85" t="s">
        <v>1235</v>
      </c>
      <c r="G35" s="85" t="s">
        <v>1236</v>
      </c>
      <c r="H35" s="85" t="s">
        <v>1237</v>
      </c>
      <c r="I35" s="85" t="s">
        <v>1322</v>
      </c>
      <c r="J35" s="42">
        <v>22.2</v>
      </c>
      <c r="K35" s="42">
        <v>1.2</v>
      </c>
      <c r="L35" s="42">
        <v>5.3</v>
      </c>
      <c r="M35" s="42">
        <v>3.0</v>
      </c>
      <c r="N35" s="42">
        <v>0.76</v>
      </c>
      <c r="O35" s="42">
        <v>9.92E11</v>
      </c>
      <c r="P35" s="42">
        <v>7.4E10</v>
      </c>
      <c r="Q35" s="42">
        <v>-24.3</v>
      </c>
      <c r="R35" s="42">
        <v>-18.0</v>
      </c>
      <c r="S35" s="42">
        <v>19.1</v>
      </c>
      <c r="T35" s="42">
        <v>92.9</v>
      </c>
      <c r="U35" s="42">
        <v>60.7</v>
      </c>
      <c r="V35" s="42">
        <v>-15.5</v>
      </c>
      <c r="W35" s="42">
        <v>7.9</v>
      </c>
    </row>
    <row r="36">
      <c r="A36" s="87">
        <v>35.0</v>
      </c>
      <c r="B36" s="85" t="s">
        <v>1323</v>
      </c>
      <c r="C36" s="85" t="s">
        <v>95</v>
      </c>
      <c r="D36" s="85" t="s">
        <v>1273</v>
      </c>
      <c r="E36" s="85" t="s">
        <v>1208</v>
      </c>
      <c r="F36" s="85" t="s">
        <v>1274</v>
      </c>
      <c r="G36" s="85" t="s">
        <v>1274</v>
      </c>
      <c r="H36" s="85" t="s">
        <v>1274</v>
      </c>
      <c r="I36" s="85" t="s">
        <v>1320</v>
      </c>
      <c r="J36" s="42">
        <v>14.1</v>
      </c>
      <c r="K36" s="42">
        <v>1.0</v>
      </c>
      <c r="L36" s="42">
        <v>7.3</v>
      </c>
      <c r="M36" s="42">
        <v>3.7</v>
      </c>
      <c r="N36" s="42">
        <v>0.99</v>
      </c>
      <c r="O36" s="42">
        <v>3.5E12</v>
      </c>
      <c r="P36" s="42">
        <v>4.17E11</v>
      </c>
      <c r="Q36" s="42">
        <v>-7.5</v>
      </c>
      <c r="R36" s="42">
        <v>-4.2</v>
      </c>
      <c r="S36" s="42">
        <v>-21.4</v>
      </c>
      <c r="T36" s="42">
        <v>13.6</v>
      </c>
      <c r="U36" s="42">
        <v>60.8</v>
      </c>
      <c r="V36" s="42">
        <v>-6.1</v>
      </c>
      <c r="W36" s="42">
        <v>-16.4</v>
      </c>
    </row>
    <row r="37">
      <c r="A37" s="87">
        <v>36.0</v>
      </c>
      <c r="B37" s="85" t="s">
        <v>1324</v>
      </c>
      <c r="C37" s="85" t="s">
        <v>96</v>
      </c>
      <c r="D37" s="85" t="s">
        <v>1325</v>
      </c>
      <c r="E37" s="85" t="s">
        <v>1214</v>
      </c>
      <c r="F37" s="85" t="s">
        <v>1326</v>
      </c>
      <c r="G37" s="85" t="s">
        <v>1327</v>
      </c>
      <c r="H37" s="85" t="s">
        <v>1327</v>
      </c>
      <c r="I37" s="85" t="s">
        <v>1328</v>
      </c>
      <c r="J37" s="42">
        <v>53.1</v>
      </c>
      <c r="K37" s="42">
        <v>0.29</v>
      </c>
      <c r="L37" s="42">
        <v>0.55</v>
      </c>
      <c r="M37" s="42">
        <v>0.36</v>
      </c>
      <c r="N37" s="42">
        <v>0.53</v>
      </c>
      <c r="O37" s="42">
        <v>1.4E12</v>
      </c>
      <c r="P37" s="42">
        <v>1.2E12</v>
      </c>
      <c r="Q37" s="42">
        <v>-14.1</v>
      </c>
      <c r="R37" s="42">
        <v>-13.8</v>
      </c>
      <c r="S37" s="42">
        <v>-10.5</v>
      </c>
      <c r="T37" s="42">
        <v>-31.7</v>
      </c>
      <c r="U37" s="42">
        <v>2.1</v>
      </c>
      <c r="V37" s="42">
        <v>-9.1</v>
      </c>
      <c r="W37" s="42">
        <v>-18.1</v>
      </c>
    </row>
    <row r="38">
      <c r="A38" s="87">
        <v>37.0</v>
      </c>
      <c r="B38" s="85" t="s">
        <v>1329</v>
      </c>
      <c r="C38" s="85" t="s">
        <v>97</v>
      </c>
      <c r="D38" s="85" t="s">
        <v>1330</v>
      </c>
      <c r="E38" s="85" t="s">
        <v>1214</v>
      </c>
      <c r="F38" s="85" t="s">
        <v>1326</v>
      </c>
      <c r="G38" s="85" t="s">
        <v>1331</v>
      </c>
      <c r="H38" s="85" t="s">
        <v>1332</v>
      </c>
      <c r="I38" s="85" t="s">
        <v>1333</v>
      </c>
      <c r="J38" s="42">
        <v>11.5</v>
      </c>
      <c r="K38" s="42">
        <v>1.4</v>
      </c>
      <c r="L38" s="42">
        <v>12.3</v>
      </c>
      <c r="M38" s="42">
        <v>8.1</v>
      </c>
      <c r="N38" s="42">
        <v>0.52</v>
      </c>
      <c r="O38" s="42">
        <v>2.87E11</v>
      </c>
      <c r="P38" s="42">
        <v>5.5E10</v>
      </c>
      <c r="Q38" s="42">
        <v>-3.9</v>
      </c>
      <c r="R38" s="42">
        <v>6.9</v>
      </c>
      <c r="S38" s="42">
        <v>-2.4</v>
      </c>
      <c r="T38" s="42">
        <v>52.1</v>
      </c>
      <c r="U38" s="42">
        <v>44.9</v>
      </c>
      <c r="V38" s="42">
        <v>-9.5</v>
      </c>
      <c r="W38" s="42">
        <v>-0.8</v>
      </c>
    </row>
    <row r="39">
      <c r="A39" s="87">
        <v>38.0</v>
      </c>
      <c r="B39" s="85" t="s">
        <v>1334</v>
      </c>
      <c r="C39" s="85" t="s">
        <v>98</v>
      </c>
      <c r="D39" s="85" t="s">
        <v>1335</v>
      </c>
      <c r="E39" s="85" t="s">
        <v>1252</v>
      </c>
      <c r="F39" s="85" t="s">
        <v>1252</v>
      </c>
      <c r="G39" s="85" t="s">
        <v>1313</v>
      </c>
      <c r="H39" s="85" t="s">
        <v>1336</v>
      </c>
      <c r="I39" s="85" t="s">
        <v>1337</v>
      </c>
      <c r="J39" s="42">
        <v>26.0</v>
      </c>
      <c r="K39" s="42">
        <v>2.5</v>
      </c>
      <c r="L39" s="42">
        <v>9.7</v>
      </c>
      <c r="M39" s="42">
        <v>3.9</v>
      </c>
      <c r="N39" s="42">
        <v>1.5</v>
      </c>
      <c r="O39" s="42">
        <v>2.4E14</v>
      </c>
      <c r="P39" s="42">
        <v>1.37E13</v>
      </c>
      <c r="Q39" s="42">
        <v>-23.7</v>
      </c>
      <c r="R39" s="42">
        <v>-44.7</v>
      </c>
      <c r="S39" s="42">
        <v>-50.0</v>
      </c>
      <c r="T39" s="42">
        <v>-60.1</v>
      </c>
      <c r="U39" s="42">
        <v>67.0</v>
      </c>
      <c r="V39" s="42">
        <v>-19.0</v>
      </c>
      <c r="W39" s="42">
        <v>-53.7</v>
      </c>
    </row>
    <row r="40">
      <c r="A40" s="87">
        <v>39.0</v>
      </c>
      <c r="B40" s="85" t="s">
        <v>1338</v>
      </c>
      <c r="C40" s="85" t="s">
        <v>99</v>
      </c>
      <c r="D40" s="85" t="s">
        <v>1267</v>
      </c>
      <c r="E40" s="85" t="s">
        <v>1194</v>
      </c>
      <c r="F40" s="85" t="s">
        <v>1195</v>
      </c>
      <c r="G40" s="85" t="s">
        <v>1196</v>
      </c>
      <c r="H40" s="85" t="s">
        <v>1268</v>
      </c>
      <c r="I40" s="85" t="s">
        <v>1265</v>
      </c>
      <c r="J40" s="42">
        <v>-1020.0</v>
      </c>
      <c r="K40" s="42">
        <v>6.5</v>
      </c>
      <c r="L40" s="42">
        <v>-0.63</v>
      </c>
      <c r="M40" s="42">
        <v>-0.63</v>
      </c>
      <c r="N40" s="42">
        <v>0.01</v>
      </c>
      <c r="O40" s="42">
        <v>4.64E11</v>
      </c>
      <c r="P40" s="42">
        <v>1.6E10</v>
      </c>
      <c r="Q40" s="42">
        <v>-16.6</v>
      </c>
      <c r="R40" s="42">
        <v>-25.7</v>
      </c>
      <c r="S40" s="42">
        <v>-22.8</v>
      </c>
      <c r="T40" s="42">
        <v>320.0</v>
      </c>
      <c r="U40" s="42">
        <v>-2.9</v>
      </c>
      <c r="V40" s="42">
        <v>-15.7</v>
      </c>
      <c r="W40" s="42">
        <v>-38.2</v>
      </c>
    </row>
    <row r="41">
      <c r="A41" s="87">
        <v>40.0</v>
      </c>
      <c r="B41" s="85" t="s">
        <v>1339</v>
      </c>
      <c r="C41" s="85" t="s">
        <v>100</v>
      </c>
      <c r="D41" s="85" t="s">
        <v>1340</v>
      </c>
      <c r="E41" s="85" t="s">
        <v>1208</v>
      </c>
      <c r="F41" s="85" t="s">
        <v>1341</v>
      </c>
      <c r="G41" s="85" t="s">
        <v>1342</v>
      </c>
      <c r="H41" s="85" t="s">
        <v>1343</v>
      </c>
      <c r="I41" s="85" t="s">
        <v>1278</v>
      </c>
      <c r="J41" s="42">
        <v>11.1</v>
      </c>
      <c r="K41" s="42">
        <v>2.8</v>
      </c>
      <c r="L41" s="42">
        <v>25.3</v>
      </c>
      <c r="M41" s="42">
        <v>19.1</v>
      </c>
      <c r="N41" s="42">
        <v>0.32</v>
      </c>
      <c r="O41" s="42">
        <v>7.69E11</v>
      </c>
      <c r="P41" s="42">
        <v>1.4E11</v>
      </c>
      <c r="Q41" s="42">
        <v>-16.6</v>
      </c>
      <c r="R41" s="42">
        <v>-7.6</v>
      </c>
      <c r="S41" s="42">
        <v>-25.1</v>
      </c>
      <c r="T41" s="42">
        <v>-43.8</v>
      </c>
      <c r="U41" s="42">
        <v>49.5</v>
      </c>
      <c r="V41" s="42">
        <v>-15.6</v>
      </c>
      <c r="W41" s="42">
        <v>-24.7</v>
      </c>
    </row>
    <row r="42">
      <c r="A42" s="87">
        <v>41.0</v>
      </c>
      <c r="B42" s="85" t="s">
        <v>1344</v>
      </c>
      <c r="C42" s="85" t="s">
        <v>101</v>
      </c>
      <c r="D42" s="85" t="s">
        <v>1345</v>
      </c>
      <c r="E42" s="85" t="s">
        <v>1194</v>
      </c>
      <c r="F42" s="85" t="s">
        <v>1346</v>
      </c>
      <c r="G42" s="85" t="s">
        <v>1346</v>
      </c>
      <c r="H42" s="85" t="s">
        <v>1347</v>
      </c>
      <c r="I42" s="85" t="s">
        <v>1348</v>
      </c>
      <c r="J42" s="42">
        <v>13.6</v>
      </c>
      <c r="K42" s="42">
        <v>2.4</v>
      </c>
      <c r="L42" s="42">
        <v>17.6</v>
      </c>
      <c r="M42" s="42">
        <v>7.7</v>
      </c>
      <c r="N42" s="42">
        <v>1.3</v>
      </c>
      <c r="O42" s="42">
        <v>4.78E13</v>
      </c>
      <c r="P42" s="42">
        <v>3.52E13</v>
      </c>
      <c r="Q42" s="42">
        <v>-19.5</v>
      </c>
      <c r="R42" s="42">
        <v>-16.7</v>
      </c>
      <c r="S42" s="42">
        <v>-38.2</v>
      </c>
      <c r="T42" s="42">
        <v>-53.0</v>
      </c>
      <c r="U42" s="42">
        <v>10.0</v>
      </c>
      <c r="V42" s="42">
        <v>-13.4</v>
      </c>
      <c r="W42" s="42">
        <v>-39.8</v>
      </c>
    </row>
    <row r="43">
      <c r="A43" s="87">
        <v>42.0</v>
      </c>
      <c r="B43" s="85" t="s">
        <v>1349</v>
      </c>
      <c r="C43" s="85" t="s">
        <v>103</v>
      </c>
      <c r="D43" s="85" t="s">
        <v>1193</v>
      </c>
      <c r="E43" s="85" t="s">
        <v>1194</v>
      </c>
      <c r="F43" s="85" t="s">
        <v>1195</v>
      </c>
      <c r="G43" s="85" t="s">
        <v>1196</v>
      </c>
      <c r="H43" s="85" t="s">
        <v>1197</v>
      </c>
      <c r="I43" s="85" t="s">
        <v>1350</v>
      </c>
      <c r="J43" s="42">
        <v>-3.7</v>
      </c>
      <c r="K43" s="42">
        <v>1.7</v>
      </c>
      <c r="L43" s="42">
        <v>-45.6</v>
      </c>
      <c r="M43" s="42">
        <v>-18.6</v>
      </c>
      <c r="N43" s="42">
        <v>1.5</v>
      </c>
      <c r="O43" s="42">
        <v>1.87E11</v>
      </c>
      <c r="P43" s="42">
        <v>2.5E10</v>
      </c>
      <c r="Q43" s="42">
        <v>-39.1</v>
      </c>
      <c r="R43" s="42">
        <v>-46.2</v>
      </c>
      <c r="S43" s="42">
        <v>-57.6</v>
      </c>
      <c r="T43" s="42">
        <v>-22.2</v>
      </c>
      <c r="U43" s="42">
        <v>-210.0</v>
      </c>
      <c r="V43" s="42">
        <v>-22.2</v>
      </c>
      <c r="W43" s="42">
        <v>-48.1</v>
      </c>
    </row>
    <row r="44">
      <c r="A44" s="87">
        <v>43.0</v>
      </c>
      <c r="B44" s="85" t="s">
        <v>1351</v>
      </c>
      <c r="C44" s="85" t="s">
        <v>104</v>
      </c>
      <c r="D44" s="85" t="s">
        <v>1193</v>
      </c>
      <c r="E44" s="85" t="s">
        <v>1194</v>
      </c>
      <c r="F44" s="85" t="s">
        <v>1195</v>
      </c>
      <c r="G44" s="85" t="s">
        <v>1196</v>
      </c>
      <c r="H44" s="85" t="s">
        <v>1197</v>
      </c>
      <c r="I44" s="85" t="s">
        <v>1352</v>
      </c>
      <c r="J44" s="42">
        <v>10.5</v>
      </c>
      <c r="K44" s="42">
        <v>0.82</v>
      </c>
      <c r="L44" s="42">
        <v>7.9</v>
      </c>
      <c r="M44" s="42">
        <v>5.4</v>
      </c>
      <c r="N44" s="42">
        <v>0.45</v>
      </c>
      <c r="O44" s="42">
        <v>5.7E12</v>
      </c>
      <c r="P44" s="42">
        <v>3.1E12</v>
      </c>
      <c r="Q44" s="42">
        <v>-33.4</v>
      </c>
      <c r="R44" s="42">
        <v>-21.9</v>
      </c>
      <c r="S44" s="42">
        <v>-33.8</v>
      </c>
      <c r="T44" s="42">
        <v>-31.3</v>
      </c>
      <c r="U44" s="42">
        <v>17.2</v>
      </c>
      <c r="V44" s="42">
        <v>-27.1</v>
      </c>
      <c r="W44" s="42">
        <v>-33.2</v>
      </c>
    </row>
    <row r="45">
      <c r="A45" s="87">
        <v>44.0</v>
      </c>
      <c r="B45" s="85" t="s">
        <v>1353</v>
      </c>
      <c r="C45" s="85" t="s">
        <v>105</v>
      </c>
      <c r="D45" s="85" t="s">
        <v>1354</v>
      </c>
      <c r="E45" s="85" t="s">
        <v>1252</v>
      </c>
      <c r="F45" s="85" t="s">
        <v>1252</v>
      </c>
      <c r="G45" s="85" t="s">
        <v>1313</v>
      </c>
      <c r="H45" s="85" t="s">
        <v>1355</v>
      </c>
      <c r="I45" s="85" t="s">
        <v>1356</v>
      </c>
      <c r="J45" s="42">
        <v>8.2</v>
      </c>
      <c r="K45" s="42">
        <v>1.7</v>
      </c>
      <c r="L45" s="42">
        <v>21.0</v>
      </c>
      <c r="M45" s="42">
        <v>13.4</v>
      </c>
      <c r="N45" s="42">
        <v>0.57</v>
      </c>
      <c r="O45" s="42">
        <v>6.97E13</v>
      </c>
      <c r="P45" s="42">
        <v>2.93E13</v>
      </c>
      <c r="Q45" s="42">
        <v>-31.6</v>
      </c>
      <c r="R45" s="42">
        <v>-33.8</v>
      </c>
      <c r="S45" s="42">
        <v>-14.8</v>
      </c>
      <c r="T45" s="42">
        <v>-26.7</v>
      </c>
      <c r="U45" s="42">
        <v>28.9</v>
      </c>
      <c r="V45" s="42">
        <v>-14.5</v>
      </c>
      <c r="W45" s="42">
        <v>-21.2</v>
      </c>
    </row>
    <row r="46">
      <c r="A46" s="87">
        <v>45.0</v>
      </c>
      <c r="B46" s="85" t="s">
        <v>1357</v>
      </c>
      <c r="C46" s="85" t="s">
        <v>107</v>
      </c>
      <c r="D46" s="85" t="s">
        <v>1358</v>
      </c>
      <c r="E46" s="85" t="s">
        <v>1187</v>
      </c>
      <c r="F46" s="85" t="s">
        <v>1188</v>
      </c>
      <c r="G46" s="85" t="s">
        <v>1359</v>
      </c>
      <c r="H46" s="85" t="s">
        <v>1360</v>
      </c>
      <c r="I46" s="85" t="s">
        <v>1361</v>
      </c>
      <c r="J46" s="42">
        <v>6.2</v>
      </c>
      <c r="K46" s="42">
        <v>0.42</v>
      </c>
      <c r="L46" s="42">
        <v>6.7</v>
      </c>
      <c r="M46" s="42">
        <v>1.8</v>
      </c>
      <c r="N46" s="42">
        <v>2.7</v>
      </c>
      <c r="O46" s="42">
        <v>4.97E11</v>
      </c>
      <c r="P46" s="42">
        <v>3.38E11</v>
      </c>
      <c r="Q46" s="42">
        <v>-36.2</v>
      </c>
      <c r="R46" s="42">
        <v>-50.9</v>
      </c>
      <c r="S46" s="42">
        <v>-61.7</v>
      </c>
      <c r="T46" s="42">
        <v>18.1</v>
      </c>
      <c r="U46" s="42">
        <v>23.5</v>
      </c>
      <c r="V46" s="42">
        <v>-21.3</v>
      </c>
      <c r="W46" s="42">
        <v>-55.2</v>
      </c>
    </row>
    <row r="47">
      <c r="A47" s="87">
        <v>46.0</v>
      </c>
      <c r="B47" s="85" t="s">
        <v>1362</v>
      </c>
      <c r="C47" s="85" t="s">
        <v>108</v>
      </c>
      <c r="D47" s="85" t="s">
        <v>1363</v>
      </c>
      <c r="E47" s="85" t="s">
        <v>1208</v>
      </c>
      <c r="F47" s="85" t="s">
        <v>1364</v>
      </c>
      <c r="G47" s="85" t="s">
        <v>1364</v>
      </c>
      <c r="H47" s="85" t="s">
        <v>1365</v>
      </c>
      <c r="I47" s="85" t="s">
        <v>1211</v>
      </c>
      <c r="J47" s="42">
        <v>110.0</v>
      </c>
      <c r="K47" s="42">
        <v>3.5</v>
      </c>
      <c r="L47" s="42">
        <v>3.1</v>
      </c>
      <c r="M47" s="42">
        <v>1.3</v>
      </c>
      <c r="N47" s="42">
        <v>1.5</v>
      </c>
      <c r="O47" s="42">
        <v>1.15E13</v>
      </c>
      <c r="P47" s="42">
        <v>6.14E11</v>
      </c>
      <c r="Q47" s="42">
        <v>-67.0</v>
      </c>
      <c r="R47" s="42">
        <v>-56.3</v>
      </c>
      <c r="S47" s="42">
        <v>-66.7</v>
      </c>
      <c r="T47" s="42">
        <v>-57.3</v>
      </c>
      <c r="U47" s="42">
        <v>16.9</v>
      </c>
      <c r="V47" s="42">
        <v>-37.1</v>
      </c>
      <c r="W47" s="42">
        <v>-62.6</v>
      </c>
    </row>
    <row r="48">
      <c r="A48" s="87">
        <v>47.0</v>
      </c>
      <c r="B48" s="85" t="s">
        <v>1366</v>
      </c>
      <c r="C48" s="85" t="s">
        <v>109</v>
      </c>
      <c r="D48" s="85" t="s">
        <v>1330</v>
      </c>
      <c r="E48" s="85" t="s">
        <v>1214</v>
      </c>
      <c r="F48" s="85" t="s">
        <v>1326</v>
      </c>
      <c r="G48" s="85" t="s">
        <v>1331</v>
      </c>
      <c r="H48" s="85" t="s">
        <v>1332</v>
      </c>
      <c r="I48" s="85" t="s">
        <v>1333</v>
      </c>
      <c r="J48" s="42">
        <v>17.3</v>
      </c>
      <c r="K48" s="42">
        <v>0.45</v>
      </c>
      <c r="L48" s="42">
        <v>2.6</v>
      </c>
      <c r="M48" s="42">
        <v>1.8</v>
      </c>
      <c r="N48" s="42">
        <v>0.49</v>
      </c>
      <c r="O48" s="42">
        <v>1.99E11</v>
      </c>
      <c r="P48" s="42">
        <v>8.6E10</v>
      </c>
      <c r="Q48" s="42">
        <v>-10.6</v>
      </c>
      <c r="R48" s="42">
        <v>-12.4</v>
      </c>
      <c r="S48" s="42">
        <v>-12.4</v>
      </c>
      <c r="T48" s="42">
        <v>1.8</v>
      </c>
      <c r="U48" s="42">
        <v>13.4</v>
      </c>
      <c r="V48" s="42">
        <v>-7.7</v>
      </c>
      <c r="W48" s="42">
        <v>-19.5</v>
      </c>
    </row>
    <row r="49">
      <c r="A49" s="87">
        <v>48.0</v>
      </c>
      <c r="B49" s="85" t="s">
        <v>1367</v>
      </c>
      <c r="C49" s="85" t="s">
        <v>110</v>
      </c>
      <c r="D49" s="85" t="s">
        <v>1291</v>
      </c>
      <c r="E49" s="85" t="s">
        <v>1252</v>
      </c>
      <c r="F49" s="85" t="s">
        <v>1252</v>
      </c>
      <c r="G49" s="85" t="s">
        <v>1253</v>
      </c>
      <c r="H49" s="85" t="s">
        <v>1292</v>
      </c>
      <c r="I49" s="85" t="s">
        <v>1255</v>
      </c>
      <c r="J49" s="42">
        <v>61.6</v>
      </c>
      <c r="K49" s="42">
        <v>1.0</v>
      </c>
      <c r="L49" s="42">
        <v>1.7</v>
      </c>
      <c r="M49" s="42">
        <v>1.2</v>
      </c>
      <c r="N49" s="42">
        <v>0.37</v>
      </c>
      <c r="O49" s="42">
        <v>3.57E11</v>
      </c>
      <c r="P49" s="42">
        <v>7.3E10</v>
      </c>
      <c r="Q49" s="42">
        <v>27.4</v>
      </c>
      <c r="R49" s="42">
        <v>4.3</v>
      </c>
      <c r="S49" s="42">
        <v>-33.6</v>
      </c>
      <c r="T49" s="42">
        <v>-42.4</v>
      </c>
      <c r="U49" s="42">
        <v>7.9</v>
      </c>
      <c r="V49" s="42">
        <v>-11.7</v>
      </c>
      <c r="W49" s="42">
        <v>-25.4</v>
      </c>
    </row>
    <row r="50">
      <c r="A50" s="87">
        <v>49.0</v>
      </c>
      <c r="B50" s="85" t="s">
        <v>1368</v>
      </c>
      <c r="C50" s="85" t="s">
        <v>111</v>
      </c>
      <c r="D50" s="85" t="s">
        <v>1234</v>
      </c>
      <c r="E50" s="85" t="s">
        <v>1235</v>
      </c>
      <c r="F50" s="85" t="s">
        <v>1235</v>
      </c>
      <c r="G50" s="85" t="s">
        <v>1236</v>
      </c>
      <c r="H50" s="85" t="s">
        <v>1237</v>
      </c>
      <c r="I50" s="85" t="s">
        <v>1369</v>
      </c>
      <c r="J50" s="42">
        <v>8.6</v>
      </c>
      <c r="K50" s="42">
        <v>0.25</v>
      </c>
      <c r="L50" s="42">
        <v>2.9</v>
      </c>
      <c r="M50" s="42">
        <v>1.6</v>
      </c>
      <c r="N50" s="42">
        <v>0.76</v>
      </c>
      <c r="O50" s="42">
        <v>3.4E12</v>
      </c>
      <c r="P50" s="42">
        <v>2.9E12</v>
      </c>
      <c r="Q50" s="42">
        <v>-33.9</v>
      </c>
      <c r="R50" s="42">
        <v>-1.7</v>
      </c>
      <c r="S50" s="42">
        <v>15.5</v>
      </c>
      <c r="T50" s="42">
        <v>28.0</v>
      </c>
      <c r="U50" s="42">
        <v>13.5</v>
      </c>
      <c r="V50" s="42">
        <v>-20.1</v>
      </c>
      <c r="W50" s="42">
        <v>11.2</v>
      </c>
    </row>
    <row r="51">
      <c r="A51" s="87">
        <v>50.0</v>
      </c>
      <c r="B51" s="85" t="s">
        <v>1370</v>
      </c>
      <c r="C51" s="85" t="s">
        <v>112</v>
      </c>
      <c r="D51" s="85" t="s">
        <v>1371</v>
      </c>
      <c r="E51" s="85" t="s">
        <v>1252</v>
      </c>
      <c r="F51" s="85" t="s">
        <v>1252</v>
      </c>
      <c r="G51" s="85" t="s">
        <v>1313</v>
      </c>
      <c r="H51" s="85" t="s">
        <v>1372</v>
      </c>
      <c r="I51" s="85" t="s">
        <v>1373</v>
      </c>
      <c r="J51" s="42">
        <v>15.0</v>
      </c>
      <c r="K51" s="42">
        <v>4.6</v>
      </c>
      <c r="L51" s="42">
        <v>30.6</v>
      </c>
      <c r="M51" s="42">
        <v>11.3</v>
      </c>
      <c r="N51" s="42">
        <v>1.7</v>
      </c>
      <c r="O51" s="42">
        <v>3.07E13</v>
      </c>
      <c r="P51" s="42">
        <v>2.3E12</v>
      </c>
      <c r="Q51" s="42">
        <v>-33.0</v>
      </c>
      <c r="R51" s="42">
        <v>-40.6</v>
      </c>
      <c r="S51" s="42">
        <v>-32.5</v>
      </c>
      <c r="T51" s="42">
        <v>140.0</v>
      </c>
      <c r="U51" s="42">
        <v>87.9</v>
      </c>
      <c r="V51" s="42">
        <v>-19.6</v>
      </c>
      <c r="W51" s="42">
        <v>-42.6</v>
      </c>
    </row>
    <row r="52">
      <c r="A52" s="87">
        <v>51.0</v>
      </c>
      <c r="B52" s="85" t="s">
        <v>1374</v>
      </c>
      <c r="C52" s="85" t="s">
        <v>113</v>
      </c>
      <c r="D52" s="85" t="s">
        <v>1375</v>
      </c>
      <c r="E52" s="85" t="s">
        <v>1376</v>
      </c>
      <c r="F52" s="85" t="s">
        <v>1377</v>
      </c>
      <c r="G52" s="85" t="s">
        <v>1378</v>
      </c>
      <c r="H52" s="85" t="s">
        <v>1378</v>
      </c>
      <c r="I52" s="85" t="s">
        <v>1379</v>
      </c>
      <c r="J52" s="42">
        <v>62.1</v>
      </c>
      <c r="K52" s="42">
        <v>2.2</v>
      </c>
      <c r="L52" s="42">
        <v>3.6</v>
      </c>
      <c r="M52" s="42">
        <v>3.2</v>
      </c>
      <c r="N52" s="42">
        <v>0.11</v>
      </c>
      <c r="O52" s="42">
        <v>5.38E11</v>
      </c>
      <c r="P52" s="42">
        <v>1.9E10</v>
      </c>
      <c r="Q52" s="42">
        <v>-30.3</v>
      </c>
      <c r="R52" s="42">
        <v>-32.9</v>
      </c>
      <c r="S52" s="42">
        <v>-62.4</v>
      </c>
      <c r="T52" s="42">
        <v>-50.5</v>
      </c>
      <c r="U52" s="42">
        <v>45.4</v>
      </c>
      <c r="V52" s="42">
        <v>-4.4</v>
      </c>
      <c r="W52" s="42">
        <v>-60.4</v>
      </c>
    </row>
    <row r="53">
      <c r="A53" s="87">
        <v>52.0</v>
      </c>
      <c r="B53" s="85" t="s">
        <v>1380</v>
      </c>
      <c r="C53" s="85" t="s">
        <v>114</v>
      </c>
      <c r="D53" s="85" t="s">
        <v>1224</v>
      </c>
      <c r="E53" s="85" t="s">
        <v>1201</v>
      </c>
      <c r="F53" s="85" t="s">
        <v>1225</v>
      </c>
      <c r="G53" s="85" t="s">
        <v>1225</v>
      </c>
      <c r="H53" s="85" t="s">
        <v>1226</v>
      </c>
      <c r="I53" s="85" t="s">
        <v>1381</v>
      </c>
      <c r="J53" s="42">
        <v>39.0</v>
      </c>
      <c r="K53" s="42">
        <v>14.4</v>
      </c>
      <c r="L53" s="42">
        <v>36.9</v>
      </c>
      <c r="M53" s="42">
        <v>6.3</v>
      </c>
      <c r="N53" s="42">
        <v>4.8</v>
      </c>
      <c r="O53" s="42">
        <v>2.8E12</v>
      </c>
      <c r="P53" s="42">
        <v>1.12E11</v>
      </c>
      <c r="Q53" s="42">
        <v>-26.3</v>
      </c>
      <c r="R53" s="42">
        <v>-24.7</v>
      </c>
      <c r="S53" s="42">
        <v>-30.0</v>
      </c>
      <c r="T53" s="42">
        <v>12.0</v>
      </c>
      <c r="U53" s="42">
        <v>63.4</v>
      </c>
      <c r="V53" s="42">
        <v>-19.5</v>
      </c>
      <c r="W53" s="42">
        <v>-30.3</v>
      </c>
    </row>
    <row r="54">
      <c r="A54" s="87">
        <v>53.0</v>
      </c>
      <c r="B54" s="85" t="s">
        <v>1382</v>
      </c>
      <c r="C54" s="85" t="s">
        <v>115</v>
      </c>
      <c r="D54" s="85" t="s">
        <v>1186</v>
      </c>
      <c r="E54" s="85" t="s">
        <v>1187</v>
      </c>
      <c r="F54" s="85" t="s">
        <v>1188</v>
      </c>
      <c r="G54" s="85" t="s">
        <v>1189</v>
      </c>
      <c r="H54" s="85" t="s">
        <v>1190</v>
      </c>
      <c r="I54" s="85" t="s">
        <v>1383</v>
      </c>
      <c r="J54" s="42">
        <v>-20.8</v>
      </c>
      <c r="K54" s="42">
        <v>0.67</v>
      </c>
      <c r="L54" s="42">
        <v>-3.2</v>
      </c>
      <c r="M54" s="42">
        <v>-0.47</v>
      </c>
      <c r="N54" s="42">
        <v>5.9</v>
      </c>
      <c r="O54" s="42">
        <v>1.0E12</v>
      </c>
      <c r="P54" s="42">
        <v>1.8E12</v>
      </c>
      <c r="Q54" s="42">
        <v>-14.1</v>
      </c>
      <c r="R54" s="42">
        <v>-9.9</v>
      </c>
      <c r="S54" s="42">
        <v>-5.2</v>
      </c>
      <c r="T54" s="42">
        <v>-11.7</v>
      </c>
      <c r="U54" s="42">
        <v>-2.7</v>
      </c>
      <c r="V54" s="42">
        <v>-7.9</v>
      </c>
      <c r="W54" s="42">
        <v>-22.0</v>
      </c>
    </row>
    <row r="55">
      <c r="A55" s="87">
        <v>54.0</v>
      </c>
      <c r="B55" s="85" t="s">
        <v>1384</v>
      </c>
      <c r="C55" s="85" t="s">
        <v>116</v>
      </c>
      <c r="D55" s="85" t="s">
        <v>1330</v>
      </c>
      <c r="E55" s="85" t="s">
        <v>1214</v>
      </c>
      <c r="F55" s="85" t="s">
        <v>1326</v>
      </c>
      <c r="G55" s="85" t="s">
        <v>1331</v>
      </c>
      <c r="H55" s="85" t="s">
        <v>1332</v>
      </c>
      <c r="I55" s="85" t="s">
        <v>1385</v>
      </c>
      <c r="J55" s="42">
        <v>18.0</v>
      </c>
      <c r="K55" s="42">
        <v>0.54</v>
      </c>
      <c r="L55" s="42">
        <v>3.0</v>
      </c>
      <c r="M55" s="42">
        <v>0.8</v>
      </c>
      <c r="N55" s="42">
        <v>2.8</v>
      </c>
      <c r="O55" s="42">
        <v>6.4E10</v>
      </c>
      <c r="P55" s="42">
        <v>1.03E11</v>
      </c>
      <c r="Q55" s="42">
        <v>-28.1</v>
      </c>
      <c r="R55" s="42">
        <v>-34.3</v>
      </c>
      <c r="S55" s="42">
        <v>-34.3</v>
      </c>
      <c r="T55" s="42">
        <v>4.5</v>
      </c>
      <c r="U55" s="42">
        <v>3.5</v>
      </c>
      <c r="V55" s="42">
        <v>-23.3</v>
      </c>
      <c r="W55" s="42">
        <v>-32.4</v>
      </c>
    </row>
    <row r="56">
      <c r="A56" s="87">
        <v>55.0</v>
      </c>
      <c r="B56" s="85" t="s">
        <v>1386</v>
      </c>
      <c r="C56" s="85" t="s">
        <v>117</v>
      </c>
      <c r="D56" s="85" t="s">
        <v>1387</v>
      </c>
      <c r="E56" s="85" t="s">
        <v>1230</v>
      </c>
      <c r="F56" s="85" t="s">
        <v>1388</v>
      </c>
      <c r="G56" s="85" t="s">
        <v>1389</v>
      </c>
      <c r="H56" s="85" t="s">
        <v>1389</v>
      </c>
      <c r="I56" s="85" t="s">
        <v>1390</v>
      </c>
      <c r="J56" s="42">
        <v>300.0</v>
      </c>
      <c r="K56" s="42">
        <v>33.6</v>
      </c>
      <c r="L56" s="42">
        <v>11.3</v>
      </c>
      <c r="M56" s="42">
        <v>3.5</v>
      </c>
      <c r="N56" s="42">
        <v>2.2</v>
      </c>
      <c r="O56" s="42">
        <v>1.79E13</v>
      </c>
      <c r="P56" s="42">
        <v>6.8E10</v>
      </c>
      <c r="Q56" s="42">
        <v>-57.6</v>
      </c>
      <c r="R56" s="42">
        <v>-42.9</v>
      </c>
      <c r="S56" s="42">
        <v>-21.1</v>
      </c>
      <c r="T56" s="42">
        <v>350.0</v>
      </c>
      <c r="U56" s="42">
        <v>88.3</v>
      </c>
      <c r="V56" s="42">
        <v>-38.4</v>
      </c>
      <c r="W56" s="42">
        <v>-47.9</v>
      </c>
    </row>
    <row r="57">
      <c r="A57" s="87">
        <v>56.0</v>
      </c>
      <c r="B57" s="85" t="s">
        <v>1391</v>
      </c>
      <c r="C57" s="85" t="s">
        <v>118</v>
      </c>
      <c r="D57" s="85" t="s">
        <v>1234</v>
      </c>
      <c r="E57" s="85" t="s">
        <v>1235</v>
      </c>
      <c r="F57" s="85" t="s">
        <v>1235</v>
      </c>
      <c r="G57" s="85" t="s">
        <v>1236</v>
      </c>
      <c r="H57" s="85" t="s">
        <v>1237</v>
      </c>
      <c r="I57" s="85" t="s">
        <v>1392</v>
      </c>
      <c r="J57" s="42">
        <v>0.0</v>
      </c>
      <c r="K57" s="42">
        <v>0.31</v>
      </c>
      <c r="L57" s="42">
        <v>0.37</v>
      </c>
      <c r="M57" s="42">
        <v>0.32</v>
      </c>
      <c r="N57" s="42">
        <v>0.16</v>
      </c>
      <c r="O57" s="42">
        <v>4.5E11</v>
      </c>
      <c r="P57" s="42">
        <v>4.1E10</v>
      </c>
      <c r="Q57" s="42">
        <v>0.0</v>
      </c>
      <c r="R57" s="42">
        <v>0.0</v>
      </c>
      <c r="S57" s="42">
        <v>0.0</v>
      </c>
      <c r="T57" s="42">
        <v>0.0</v>
      </c>
      <c r="U57" s="42">
        <v>13.3</v>
      </c>
      <c r="V57" s="42">
        <v>0.0</v>
      </c>
      <c r="W57" s="42">
        <v>0.0</v>
      </c>
    </row>
    <row r="58">
      <c r="A58" s="87">
        <v>57.0</v>
      </c>
      <c r="B58" s="85" t="s">
        <v>1393</v>
      </c>
      <c r="C58" s="85" t="s">
        <v>119</v>
      </c>
      <c r="D58" s="85" t="s">
        <v>1325</v>
      </c>
      <c r="E58" s="85" t="s">
        <v>1214</v>
      </c>
      <c r="F58" s="85" t="s">
        <v>1326</v>
      </c>
      <c r="G58" s="85" t="s">
        <v>1327</v>
      </c>
      <c r="H58" s="85" t="s">
        <v>1327</v>
      </c>
      <c r="I58" s="85" t="s">
        <v>1394</v>
      </c>
      <c r="J58" s="42">
        <v>8.7</v>
      </c>
      <c r="K58" s="42">
        <v>1.6</v>
      </c>
      <c r="L58" s="42">
        <v>18.8</v>
      </c>
      <c r="M58" s="42">
        <v>12.9</v>
      </c>
      <c r="N58" s="42">
        <v>0.46</v>
      </c>
      <c r="O58" s="42">
        <v>3.3E12</v>
      </c>
      <c r="P58" s="42">
        <v>6.32E11</v>
      </c>
      <c r="Q58" s="42">
        <v>-17.1</v>
      </c>
      <c r="R58" s="42">
        <v>-20.8</v>
      </c>
      <c r="S58" s="42">
        <v>-24.4</v>
      </c>
      <c r="T58" s="42">
        <v>-32.0</v>
      </c>
      <c r="U58" s="42">
        <v>59.9</v>
      </c>
      <c r="V58" s="42">
        <v>-6.8</v>
      </c>
      <c r="W58" s="42">
        <v>-23.7</v>
      </c>
    </row>
    <row r="59">
      <c r="A59" s="87">
        <v>58.0</v>
      </c>
      <c r="B59" s="85" t="s">
        <v>1395</v>
      </c>
      <c r="C59" s="85" t="s">
        <v>120</v>
      </c>
      <c r="D59" s="85" t="s">
        <v>1285</v>
      </c>
      <c r="E59" s="85" t="s">
        <v>1201</v>
      </c>
      <c r="F59" s="85" t="s">
        <v>1286</v>
      </c>
      <c r="G59" s="85" t="s">
        <v>1287</v>
      </c>
      <c r="H59" s="85" t="s">
        <v>1288</v>
      </c>
      <c r="I59" s="85" t="s">
        <v>1381</v>
      </c>
      <c r="J59" s="42">
        <v>-300.0</v>
      </c>
      <c r="K59" s="42">
        <v>4.1</v>
      </c>
      <c r="L59" s="42">
        <v>-1.4</v>
      </c>
      <c r="M59" s="42">
        <v>-1.3</v>
      </c>
      <c r="N59" s="42">
        <v>0.03</v>
      </c>
      <c r="O59" s="42">
        <v>1.0E12</v>
      </c>
      <c r="P59" s="42">
        <v>1.1E10</v>
      </c>
      <c r="Q59" s="42">
        <v>-20.6</v>
      </c>
      <c r="R59" s="42">
        <v>-26.6</v>
      </c>
      <c r="S59" s="42">
        <v>-29.3</v>
      </c>
      <c r="T59" s="42">
        <v>-1.8</v>
      </c>
      <c r="U59" s="42">
        <v>-30.6</v>
      </c>
      <c r="V59" s="42">
        <v>-29.5</v>
      </c>
      <c r="W59" s="42">
        <v>-39.2</v>
      </c>
    </row>
    <row r="60">
      <c r="A60" s="87">
        <v>59.0</v>
      </c>
      <c r="B60" s="85" t="s">
        <v>1396</v>
      </c>
      <c r="C60" s="85" t="s">
        <v>121</v>
      </c>
      <c r="D60" s="85" t="s">
        <v>1397</v>
      </c>
      <c r="E60" s="85" t="s">
        <v>1187</v>
      </c>
      <c r="F60" s="85" t="s">
        <v>1188</v>
      </c>
      <c r="G60" s="85" t="s">
        <v>1359</v>
      </c>
      <c r="H60" s="85" t="s">
        <v>1398</v>
      </c>
      <c r="I60" s="85" t="s">
        <v>1399</v>
      </c>
      <c r="J60" s="42">
        <v>5.7</v>
      </c>
      <c r="K60" s="42">
        <v>-0.07</v>
      </c>
      <c r="L60" s="42">
        <v>0.0</v>
      </c>
      <c r="M60" s="42">
        <v>0.51</v>
      </c>
      <c r="N60" s="42">
        <v>-3.5</v>
      </c>
      <c r="O60" s="42">
        <v>1.6E10</v>
      </c>
      <c r="P60" s="42">
        <v>8.18E9</v>
      </c>
      <c r="Q60" s="42">
        <v>0.0</v>
      </c>
      <c r="R60" s="42">
        <v>0.0</v>
      </c>
      <c r="S60" s="42">
        <v>0.0</v>
      </c>
      <c r="T60" s="42">
        <v>0.0</v>
      </c>
      <c r="U60" s="42">
        <v>33.5</v>
      </c>
      <c r="V60" s="42">
        <v>0.0</v>
      </c>
      <c r="W60" s="42">
        <v>0.0</v>
      </c>
    </row>
    <row r="61">
      <c r="A61" s="87">
        <v>60.0</v>
      </c>
      <c r="B61" s="85" t="s">
        <v>1400</v>
      </c>
      <c r="C61" s="85" t="s">
        <v>122</v>
      </c>
      <c r="D61" s="85" t="s">
        <v>1273</v>
      </c>
      <c r="E61" s="85" t="s">
        <v>1208</v>
      </c>
      <c r="F61" s="85" t="s">
        <v>1274</v>
      </c>
      <c r="G61" s="85" t="s">
        <v>1274</v>
      </c>
      <c r="H61" s="85" t="s">
        <v>1274</v>
      </c>
      <c r="I61" s="85" t="s">
        <v>1401</v>
      </c>
      <c r="J61" s="42">
        <v>54.2</v>
      </c>
      <c r="K61" s="42">
        <v>1.8</v>
      </c>
      <c r="L61" s="42">
        <v>3.4</v>
      </c>
      <c r="M61" s="42">
        <v>0.76</v>
      </c>
      <c r="N61" s="42">
        <v>3.4</v>
      </c>
      <c r="O61" s="42">
        <v>1.62E13</v>
      </c>
      <c r="P61" s="42">
        <v>1.0E12</v>
      </c>
      <c r="Q61" s="42">
        <v>-33.7</v>
      </c>
      <c r="R61" s="42">
        <v>-39.5</v>
      </c>
      <c r="S61" s="42">
        <v>-61.7</v>
      </c>
      <c r="T61" s="42">
        <v>-51.7</v>
      </c>
      <c r="U61" s="42">
        <v>30.0</v>
      </c>
      <c r="V61" s="42">
        <v>-30.6</v>
      </c>
      <c r="W61" s="42">
        <v>-59.1</v>
      </c>
    </row>
    <row r="62">
      <c r="A62" s="87">
        <v>61.0</v>
      </c>
      <c r="B62" s="85" t="s">
        <v>1402</v>
      </c>
      <c r="C62" s="85" t="s">
        <v>123</v>
      </c>
      <c r="D62" s="85" t="s">
        <v>1207</v>
      </c>
      <c r="E62" s="85" t="s">
        <v>1208</v>
      </c>
      <c r="F62" s="85" t="s">
        <v>1209</v>
      </c>
      <c r="G62" s="85" t="s">
        <v>1209</v>
      </c>
      <c r="H62" s="85" t="s">
        <v>1210</v>
      </c>
      <c r="I62" s="85" t="s">
        <v>1278</v>
      </c>
      <c r="J62" s="42">
        <v>6.4</v>
      </c>
      <c r="K62" s="42">
        <v>0.3</v>
      </c>
      <c r="L62" s="42">
        <v>4.7</v>
      </c>
      <c r="M62" s="42">
        <v>2.6</v>
      </c>
      <c r="N62" s="42">
        <v>0.84</v>
      </c>
      <c r="O62" s="42">
        <v>1.39E11</v>
      </c>
      <c r="P62" s="42">
        <v>7.2E10</v>
      </c>
      <c r="Q62" s="42">
        <v>-2.0</v>
      </c>
      <c r="R62" s="42">
        <v>-7.1</v>
      </c>
      <c r="S62" s="42">
        <v>-18.1</v>
      </c>
      <c r="T62" s="42">
        <v>-10.6</v>
      </c>
      <c r="U62" s="42">
        <v>30.3</v>
      </c>
      <c r="V62" s="42">
        <v>-5.8</v>
      </c>
      <c r="W62" s="42">
        <v>-8.0</v>
      </c>
    </row>
    <row r="63">
      <c r="A63" s="87">
        <v>62.0</v>
      </c>
      <c r="B63" s="85" t="s">
        <v>1403</v>
      </c>
      <c r="C63" s="85" t="s">
        <v>124</v>
      </c>
      <c r="D63" s="85" t="s">
        <v>1207</v>
      </c>
      <c r="E63" s="85" t="s">
        <v>1208</v>
      </c>
      <c r="F63" s="85" t="s">
        <v>1209</v>
      </c>
      <c r="G63" s="85" t="s">
        <v>1209</v>
      </c>
      <c r="H63" s="85" t="s">
        <v>1210</v>
      </c>
      <c r="I63" s="85" t="s">
        <v>1278</v>
      </c>
      <c r="J63" s="42">
        <v>12.1</v>
      </c>
      <c r="K63" s="42">
        <v>0.54</v>
      </c>
      <c r="L63" s="42">
        <v>4.5</v>
      </c>
      <c r="M63" s="42">
        <v>1.9</v>
      </c>
      <c r="N63" s="42">
        <v>1.3</v>
      </c>
      <c r="O63" s="42">
        <v>1.98E11</v>
      </c>
      <c r="P63" s="42">
        <v>2.0E11</v>
      </c>
      <c r="Q63" s="42">
        <v>0.0</v>
      </c>
      <c r="R63" s="42">
        <v>-19.2</v>
      </c>
      <c r="S63" s="42">
        <v>-15.1</v>
      </c>
      <c r="T63" s="42">
        <v>-18.5</v>
      </c>
      <c r="U63" s="42">
        <v>8.2</v>
      </c>
      <c r="V63" s="42">
        <v>-7.3</v>
      </c>
      <c r="W63" s="42">
        <v>-16.5</v>
      </c>
    </row>
    <row r="64">
      <c r="A64" s="87">
        <v>63.0</v>
      </c>
      <c r="B64" s="85" t="s">
        <v>1404</v>
      </c>
      <c r="C64" s="85" t="s">
        <v>125</v>
      </c>
      <c r="D64" s="85" t="s">
        <v>1405</v>
      </c>
      <c r="E64" s="85" t="s">
        <v>1214</v>
      </c>
      <c r="F64" s="85" t="s">
        <v>1406</v>
      </c>
      <c r="G64" s="85" t="s">
        <v>1407</v>
      </c>
      <c r="H64" s="85" t="s">
        <v>1408</v>
      </c>
      <c r="I64" s="85" t="s">
        <v>1394</v>
      </c>
      <c r="J64" s="42">
        <v>6.7</v>
      </c>
      <c r="K64" s="42">
        <v>0.91</v>
      </c>
      <c r="L64" s="42">
        <v>13.6</v>
      </c>
      <c r="M64" s="42">
        <v>9.6</v>
      </c>
      <c r="N64" s="42">
        <v>0.41</v>
      </c>
      <c r="O64" s="42">
        <v>2.0E12</v>
      </c>
      <c r="P64" s="42">
        <v>7.6E11</v>
      </c>
      <c r="Q64" s="42">
        <v>-16.9</v>
      </c>
      <c r="R64" s="42">
        <v>-13.9</v>
      </c>
      <c r="S64" s="42">
        <v>8.1</v>
      </c>
      <c r="T64" s="42">
        <v>47.0</v>
      </c>
      <c r="U64" s="42">
        <v>38.6</v>
      </c>
      <c r="V64" s="42">
        <v>-6.7</v>
      </c>
      <c r="W64" s="42">
        <v>13.2</v>
      </c>
    </row>
    <row r="65">
      <c r="A65" s="87">
        <v>64.0</v>
      </c>
      <c r="B65" s="85" t="s">
        <v>1409</v>
      </c>
      <c r="C65" s="85" t="s">
        <v>126</v>
      </c>
      <c r="D65" s="85" t="s">
        <v>1267</v>
      </c>
      <c r="E65" s="85" t="s">
        <v>1194</v>
      </c>
      <c r="F65" s="85" t="s">
        <v>1195</v>
      </c>
      <c r="G65" s="85" t="s">
        <v>1196</v>
      </c>
      <c r="H65" s="85" t="s">
        <v>1268</v>
      </c>
      <c r="I65" s="85" t="s">
        <v>1269</v>
      </c>
      <c r="J65" s="42">
        <v>-16.4</v>
      </c>
      <c r="K65" s="42">
        <v>3.0</v>
      </c>
      <c r="L65" s="42">
        <v>-18.5</v>
      </c>
      <c r="M65" s="42">
        <v>-15.3</v>
      </c>
      <c r="N65" s="42">
        <v>0.21</v>
      </c>
      <c r="O65" s="42">
        <v>3.15E11</v>
      </c>
      <c r="P65" s="42">
        <v>4.1E10</v>
      </c>
      <c r="Q65" s="42">
        <v>-32.9</v>
      </c>
      <c r="R65" s="42">
        <v>-29.2</v>
      </c>
      <c r="S65" s="42">
        <v>-37.0</v>
      </c>
      <c r="T65" s="42">
        <v>110.0</v>
      </c>
      <c r="U65" s="42">
        <v>-46.7</v>
      </c>
      <c r="V65" s="42">
        <v>-17.7</v>
      </c>
      <c r="W65" s="42">
        <v>-32.0</v>
      </c>
    </row>
    <row r="66">
      <c r="A66" s="87">
        <v>65.0</v>
      </c>
      <c r="B66" s="85" t="s">
        <v>1410</v>
      </c>
      <c r="C66" s="85" t="s">
        <v>127</v>
      </c>
      <c r="D66" s="85" t="s">
        <v>1213</v>
      </c>
      <c r="E66" s="85" t="s">
        <v>1214</v>
      </c>
      <c r="F66" s="85" t="s">
        <v>1215</v>
      </c>
      <c r="G66" s="85" t="s">
        <v>1215</v>
      </c>
      <c r="H66" s="85" t="s">
        <v>1215</v>
      </c>
      <c r="I66" s="85" t="s">
        <v>1411</v>
      </c>
      <c r="J66" s="42">
        <v>6.4</v>
      </c>
      <c r="K66" s="42">
        <v>0.69</v>
      </c>
      <c r="L66" s="42">
        <v>10.8</v>
      </c>
      <c r="M66" s="42">
        <v>6.1</v>
      </c>
      <c r="N66" s="42">
        <v>0.77</v>
      </c>
      <c r="O66" s="42">
        <v>2.0E14</v>
      </c>
      <c r="P66" s="42">
        <v>7.87E13</v>
      </c>
      <c r="Q66" s="42">
        <v>-27.9</v>
      </c>
      <c r="R66" s="42">
        <v>-25.5</v>
      </c>
      <c r="S66" s="42">
        <v>-35.2</v>
      </c>
      <c r="T66" s="42">
        <v>-5.4</v>
      </c>
      <c r="U66" s="42">
        <v>40.3</v>
      </c>
      <c r="V66" s="42">
        <v>-11.0</v>
      </c>
      <c r="W66" s="42">
        <v>-35.9</v>
      </c>
    </row>
    <row r="67">
      <c r="A67" s="87">
        <v>66.0</v>
      </c>
      <c r="B67" s="85" t="s">
        <v>1412</v>
      </c>
      <c r="C67" s="85" t="s">
        <v>129</v>
      </c>
      <c r="D67" s="85" t="s">
        <v>1207</v>
      </c>
      <c r="E67" s="85" t="s">
        <v>1208</v>
      </c>
      <c r="F67" s="85" t="s">
        <v>1209</v>
      </c>
      <c r="G67" s="85" t="s">
        <v>1209</v>
      </c>
      <c r="H67" s="85" t="s">
        <v>1210</v>
      </c>
      <c r="I67" s="85" t="s">
        <v>1278</v>
      </c>
      <c r="J67" s="42">
        <v>-54.6</v>
      </c>
      <c r="K67" s="42">
        <v>0.77</v>
      </c>
      <c r="L67" s="42">
        <v>-1.4</v>
      </c>
      <c r="M67" s="42">
        <v>-0.8</v>
      </c>
      <c r="N67" s="42">
        <v>0.76</v>
      </c>
      <c r="O67" s="42">
        <v>2.38E11</v>
      </c>
      <c r="P67" s="42">
        <v>5.6E10</v>
      </c>
      <c r="Q67" s="42">
        <v>-25.9</v>
      </c>
      <c r="R67" s="42">
        <v>-23.5</v>
      </c>
      <c r="S67" s="42">
        <v>-4.1</v>
      </c>
      <c r="T67" s="42">
        <v>32.1</v>
      </c>
      <c r="U67" s="42">
        <v>-7.8</v>
      </c>
      <c r="V67" s="42">
        <v>-19.5</v>
      </c>
      <c r="W67" s="42">
        <v>-25.9</v>
      </c>
    </row>
    <row r="68">
      <c r="A68" s="87">
        <v>67.0</v>
      </c>
      <c r="B68" s="85" t="s">
        <v>1413</v>
      </c>
      <c r="C68" s="85" t="s">
        <v>130</v>
      </c>
      <c r="D68" s="85" t="s">
        <v>1414</v>
      </c>
      <c r="E68" s="85" t="s">
        <v>1201</v>
      </c>
      <c r="F68" s="85" t="s">
        <v>1219</v>
      </c>
      <c r="G68" s="85" t="s">
        <v>1220</v>
      </c>
      <c r="H68" s="85" t="s">
        <v>1415</v>
      </c>
      <c r="I68" s="85" t="s">
        <v>1381</v>
      </c>
      <c r="J68" s="42">
        <v>22.8</v>
      </c>
      <c r="K68" s="42">
        <v>1.1</v>
      </c>
      <c r="L68" s="42">
        <v>4.7</v>
      </c>
      <c r="M68" s="42">
        <v>4.0</v>
      </c>
      <c r="N68" s="42">
        <v>0.16</v>
      </c>
      <c r="O68" s="42">
        <v>8.41E11</v>
      </c>
      <c r="P68" s="42">
        <v>2.84E11</v>
      </c>
      <c r="Q68" s="42">
        <v>-28.9</v>
      </c>
      <c r="R68" s="42">
        <v>-27.0</v>
      </c>
      <c r="S68" s="42">
        <v>-41.9</v>
      </c>
      <c r="T68" s="42">
        <v>-19.4</v>
      </c>
      <c r="U68" s="42">
        <v>13.0</v>
      </c>
      <c r="V68" s="42">
        <v>-19.4</v>
      </c>
      <c r="W68" s="42">
        <v>-40.7</v>
      </c>
    </row>
    <row r="69">
      <c r="A69" s="87">
        <v>68.0</v>
      </c>
      <c r="B69" s="85" t="s">
        <v>1416</v>
      </c>
      <c r="C69" s="85" t="s">
        <v>131</v>
      </c>
      <c r="D69" s="85" t="s">
        <v>1229</v>
      </c>
      <c r="E69" s="85" t="s">
        <v>1230</v>
      </c>
      <c r="F69" s="85" t="s">
        <v>1231</v>
      </c>
      <c r="G69" s="85" t="s">
        <v>1231</v>
      </c>
      <c r="H69" s="85" t="s">
        <v>1231</v>
      </c>
      <c r="I69" s="85" t="s">
        <v>1417</v>
      </c>
      <c r="J69" s="42">
        <v>-13.6</v>
      </c>
      <c r="K69" s="42">
        <v>4.0</v>
      </c>
      <c r="L69" s="42">
        <v>-29.3</v>
      </c>
      <c r="M69" s="42">
        <v>-26.8</v>
      </c>
      <c r="N69" s="42">
        <v>0.1</v>
      </c>
      <c r="O69" s="42">
        <v>1.5E12</v>
      </c>
      <c r="P69" s="42">
        <v>2.0E10</v>
      </c>
      <c r="Q69" s="42">
        <v>-48.6</v>
      </c>
      <c r="R69" s="42">
        <v>-53.4</v>
      </c>
      <c r="S69" s="42">
        <v>-69.3</v>
      </c>
      <c r="T69" s="42">
        <v>200.0</v>
      </c>
      <c r="U69" s="42">
        <v>-550.0</v>
      </c>
      <c r="V69" s="42">
        <v>-36.6</v>
      </c>
      <c r="W69" s="42">
        <v>-71.8</v>
      </c>
    </row>
    <row r="70">
      <c r="A70" s="87">
        <v>69.0</v>
      </c>
      <c r="B70" s="85" t="s">
        <v>1418</v>
      </c>
      <c r="C70" s="85" t="s">
        <v>132</v>
      </c>
      <c r="D70" s="85" t="s">
        <v>1207</v>
      </c>
      <c r="E70" s="85" t="s">
        <v>1208</v>
      </c>
      <c r="F70" s="85" t="s">
        <v>1209</v>
      </c>
      <c r="G70" s="85" t="s">
        <v>1209</v>
      </c>
      <c r="H70" s="85" t="s">
        <v>1210</v>
      </c>
      <c r="I70" s="85" t="s">
        <v>1419</v>
      </c>
      <c r="J70" s="42">
        <v>5.8</v>
      </c>
      <c r="K70" s="42">
        <v>0.39</v>
      </c>
      <c r="L70" s="42">
        <v>6.7</v>
      </c>
      <c r="M70" s="42">
        <v>1.8</v>
      </c>
      <c r="N70" s="42">
        <v>2.7</v>
      </c>
      <c r="O70" s="42">
        <v>1.52E11</v>
      </c>
      <c r="P70" s="42">
        <v>1.5E12</v>
      </c>
      <c r="Q70" s="42">
        <v>-26.3</v>
      </c>
      <c r="R70" s="42">
        <v>-33.3</v>
      </c>
      <c r="S70" s="42">
        <v>-53.3</v>
      </c>
      <c r="T70" s="42">
        <v>-22.2</v>
      </c>
      <c r="U70" s="42">
        <v>1.8</v>
      </c>
      <c r="V70" s="42">
        <v>-17.6</v>
      </c>
      <c r="W70" s="42">
        <v>-53.3</v>
      </c>
    </row>
    <row r="71">
      <c r="A71" s="87">
        <v>70.0</v>
      </c>
      <c r="B71" s="85" t="s">
        <v>1420</v>
      </c>
      <c r="C71" s="85" t="s">
        <v>133</v>
      </c>
      <c r="D71" s="85" t="s">
        <v>1234</v>
      </c>
      <c r="E71" s="85" t="s">
        <v>1235</v>
      </c>
      <c r="F71" s="85" t="s">
        <v>1235</v>
      </c>
      <c r="G71" s="85" t="s">
        <v>1236</v>
      </c>
      <c r="H71" s="85" t="s">
        <v>1237</v>
      </c>
      <c r="I71" s="85" t="s">
        <v>1322</v>
      </c>
      <c r="J71" s="42">
        <v>-21.5</v>
      </c>
      <c r="K71" s="42">
        <v>4.3</v>
      </c>
      <c r="L71" s="42">
        <v>-20.2</v>
      </c>
      <c r="M71" s="42">
        <v>-13.1</v>
      </c>
      <c r="N71" s="42">
        <v>0.53</v>
      </c>
      <c r="O71" s="42">
        <v>2.62E11</v>
      </c>
      <c r="P71" s="42">
        <v>2.64E9</v>
      </c>
      <c r="Q71" s="42">
        <v>-37.8</v>
      </c>
      <c r="R71" s="42">
        <v>16.5</v>
      </c>
      <c r="S71" s="42">
        <v>-65.2</v>
      </c>
      <c r="T71" s="42">
        <v>120.0</v>
      </c>
      <c r="U71" s="42">
        <v>-460.0</v>
      </c>
      <c r="V71" s="42">
        <v>-30.2</v>
      </c>
      <c r="W71" s="42">
        <v>-56.9</v>
      </c>
    </row>
    <row r="72">
      <c r="A72" s="87">
        <v>71.0</v>
      </c>
      <c r="B72" s="85" t="s">
        <v>1421</v>
      </c>
      <c r="C72" s="85" t="s">
        <v>134</v>
      </c>
      <c r="D72" s="85" t="s">
        <v>1304</v>
      </c>
      <c r="E72" s="85" t="s">
        <v>1252</v>
      </c>
      <c r="F72" s="85" t="s">
        <v>1252</v>
      </c>
      <c r="G72" s="85" t="s">
        <v>1305</v>
      </c>
      <c r="H72" s="85" t="s">
        <v>1305</v>
      </c>
      <c r="I72" s="85" t="s">
        <v>1422</v>
      </c>
      <c r="J72" s="42">
        <v>56.4</v>
      </c>
      <c r="K72" s="42">
        <v>2.7</v>
      </c>
      <c r="L72" s="42">
        <v>4.7</v>
      </c>
      <c r="M72" s="42">
        <v>2.5</v>
      </c>
      <c r="N72" s="42">
        <v>0.92</v>
      </c>
      <c r="O72" s="42">
        <v>4.85E11</v>
      </c>
      <c r="P72" s="42">
        <v>7.8E10</v>
      </c>
      <c r="Q72" s="42">
        <v>-57.0</v>
      </c>
      <c r="R72" s="42">
        <v>22.8</v>
      </c>
      <c r="S72" s="42">
        <v>70.4</v>
      </c>
      <c r="T72" s="88"/>
      <c r="U72" s="42">
        <v>11.0</v>
      </c>
      <c r="V72" s="42">
        <v>-22.7</v>
      </c>
      <c r="W72" s="42">
        <v>68.7</v>
      </c>
    </row>
    <row r="73">
      <c r="A73" s="87">
        <v>72.0</v>
      </c>
      <c r="B73" s="85" t="s">
        <v>1423</v>
      </c>
      <c r="C73" s="85" t="s">
        <v>135</v>
      </c>
      <c r="D73" s="85" t="s">
        <v>1234</v>
      </c>
      <c r="E73" s="85" t="s">
        <v>1235</v>
      </c>
      <c r="F73" s="85" t="s">
        <v>1235</v>
      </c>
      <c r="G73" s="85" t="s">
        <v>1236</v>
      </c>
      <c r="H73" s="85" t="s">
        <v>1237</v>
      </c>
      <c r="I73" s="85" t="s">
        <v>1369</v>
      </c>
      <c r="J73" s="42">
        <v>7.6</v>
      </c>
      <c r="K73" s="42">
        <v>0.2</v>
      </c>
      <c r="L73" s="42">
        <v>2.6</v>
      </c>
      <c r="M73" s="42">
        <v>1.3</v>
      </c>
      <c r="N73" s="42">
        <v>0.98</v>
      </c>
      <c r="O73" s="42">
        <v>2.3E12</v>
      </c>
      <c r="P73" s="42">
        <v>6.51E11</v>
      </c>
      <c r="Q73" s="42">
        <v>-24.8</v>
      </c>
      <c r="R73" s="42">
        <v>-23.6</v>
      </c>
      <c r="S73" s="42">
        <v>-41.6</v>
      </c>
      <c r="T73" s="42">
        <v>-28.1</v>
      </c>
      <c r="U73" s="42">
        <v>46.1</v>
      </c>
      <c r="V73" s="42">
        <v>-15.7</v>
      </c>
      <c r="W73" s="42">
        <v>-40.5</v>
      </c>
    </row>
    <row r="74">
      <c r="A74" s="87">
        <v>73.0</v>
      </c>
      <c r="B74" s="85" t="s">
        <v>1424</v>
      </c>
      <c r="C74" s="85" t="s">
        <v>136</v>
      </c>
      <c r="D74" s="85" t="s">
        <v>1207</v>
      </c>
      <c r="E74" s="85" t="s">
        <v>1208</v>
      </c>
      <c r="F74" s="85" t="s">
        <v>1209</v>
      </c>
      <c r="G74" s="85" t="s">
        <v>1209</v>
      </c>
      <c r="H74" s="85" t="s">
        <v>1210</v>
      </c>
      <c r="I74" s="85" t="s">
        <v>1278</v>
      </c>
      <c r="J74" s="42">
        <v>22.0</v>
      </c>
      <c r="K74" s="42">
        <v>0.48</v>
      </c>
      <c r="L74" s="42">
        <v>2.2</v>
      </c>
      <c r="M74" s="42">
        <v>0.95</v>
      </c>
      <c r="N74" s="42">
        <v>1.3</v>
      </c>
      <c r="O74" s="42">
        <v>3.48E11</v>
      </c>
      <c r="P74" s="42">
        <v>4.12E11</v>
      </c>
      <c r="Q74" s="42">
        <v>-17.9</v>
      </c>
      <c r="R74" s="42">
        <v>-15.0</v>
      </c>
      <c r="S74" s="42">
        <v>-27.9</v>
      </c>
      <c r="T74" s="42">
        <v>-19.0</v>
      </c>
      <c r="U74" s="42">
        <v>3.8</v>
      </c>
      <c r="V74" s="42">
        <v>-10.5</v>
      </c>
      <c r="W74" s="42">
        <v>-26.1</v>
      </c>
    </row>
    <row r="75">
      <c r="A75" s="87">
        <v>74.0</v>
      </c>
      <c r="B75" s="85" t="s">
        <v>1425</v>
      </c>
      <c r="C75" s="85" t="s">
        <v>137</v>
      </c>
      <c r="D75" s="85" t="s">
        <v>1426</v>
      </c>
      <c r="E75" s="85" t="s">
        <v>1300</v>
      </c>
      <c r="F75" s="85" t="s">
        <v>1427</v>
      </c>
      <c r="G75" s="85" t="s">
        <v>1428</v>
      </c>
      <c r="H75" s="85" t="s">
        <v>1429</v>
      </c>
      <c r="I75" s="85" t="s">
        <v>1430</v>
      </c>
      <c r="J75" s="42">
        <v>5.7</v>
      </c>
      <c r="K75" s="42">
        <v>0.7</v>
      </c>
      <c r="L75" s="42">
        <v>12.2</v>
      </c>
      <c r="M75" s="42">
        <v>4.7</v>
      </c>
      <c r="N75" s="42">
        <v>1.6</v>
      </c>
      <c r="O75" s="42">
        <v>2.4E12</v>
      </c>
      <c r="P75" s="42">
        <v>1.5E12</v>
      </c>
      <c r="Q75" s="42">
        <v>-33.8</v>
      </c>
      <c r="R75" s="42">
        <v>-49.3</v>
      </c>
      <c r="S75" s="42">
        <v>-56.3</v>
      </c>
      <c r="T75" s="42">
        <v>-27.3</v>
      </c>
      <c r="U75" s="42">
        <v>26.9</v>
      </c>
      <c r="V75" s="42">
        <v>-16.8</v>
      </c>
      <c r="W75" s="42">
        <v>-55.4</v>
      </c>
    </row>
    <row r="76">
      <c r="A76" s="87">
        <v>75.0</v>
      </c>
      <c r="B76" s="85" t="s">
        <v>1431</v>
      </c>
      <c r="C76" s="85" t="s">
        <v>138</v>
      </c>
      <c r="D76" s="85" t="s">
        <v>1234</v>
      </c>
      <c r="E76" s="85" t="s">
        <v>1235</v>
      </c>
      <c r="F76" s="85" t="s">
        <v>1235</v>
      </c>
      <c r="G76" s="85" t="s">
        <v>1236</v>
      </c>
      <c r="H76" s="85" t="s">
        <v>1237</v>
      </c>
      <c r="I76" s="85" t="s">
        <v>1322</v>
      </c>
      <c r="J76" s="42">
        <v>-11000.0</v>
      </c>
      <c r="K76" s="42">
        <v>6.9</v>
      </c>
      <c r="L76" s="42">
        <v>-0.06</v>
      </c>
      <c r="M76" s="42">
        <v>-0.04</v>
      </c>
      <c r="N76" s="42">
        <v>0.38</v>
      </c>
      <c r="O76" s="42">
        <v>5.25E11</v>
      </c>
      <c r="P76" s="42">
        <v>3.2E9</v>
      </c>
      <c r="Q76" s="42">
        <v>-44.8</v>
      </c>
      <c r="R76" s="42">
        <v>-63.6</v>
      </c>
      <c r="S76" s="42">
        <v>49.2</v>
      </c>
      <c r="T76" s="42">
        <v>780.0</v>
      </c>
      <c r="U76" s="42">
        <v>-1.5</v>
      </c>
      <c r="V76" s="42">
        <v>-38.0</v>
      </c>
      <c r="W76" s="42">
        <v>-60.9</v>
      </c>
    </row>
    <row r="77">
      <c r="A77" s="87">
        <v>76.0</v>
      </c>
      <c r="B77" s="85" t="s">
        <v>1432</v>
      </c>
      <c r="C77" s="85" t="s">
        <v>139</v>
      </c>
      <c r="D77" s="85" t="s">
        <v>1375</v>
      </c>
      <c r="E77" s="85" t="s">
        <v>1376</v>
      </c>
      <c r="F77" s="85" t="s">
        <v>1377</v>
      </c>
      <c r="G77" s="85" t="s">
        <v>1378</v>
      </c>
      <c r="H77" s="85" t="s">
        <v>1378</v>
      </c>
      <c r="I77" s="85" t="s">
        <v>1379</v>
      </c>
      <c r="J77" s="42">
        <v>5.5</v>
      </c>
      <c r="K77" s="42">
        <v>1.4</v>
      </c>
      <c r="L77" s="42">
        <v>25.9</v>
      </c>
      <c r="M77" s="42">
        <v>4.0</v>
      </c>
      <c r="N77" s="42">
        <v>5.5</v>
      </c>
      <c r="O77" s="42">
        <v>1.2E12</v>
      </c>
      <c r="P77" s="42">
        <v>8.5E12</v>
      </c>
      <c r="Q77" s="42">
        <v>-11.2</v>
      </c>
      <c r="R77" s="42">
        <v>-10.4</v>
      </c>
      <c r="S77" s="42">
        <v>-23.6</v>
      </c>
      <c r="T77" s="42">
        <v>18.3</v>
      </c>
      <c r="U77" s="42">
        <v>2.5</v>
      </c>
      <c r="V77" s="42">
        <v>-6.4</v>
      </c>
      <c r="W77" s="42">
        <v>-27.8</v>
      </c>
    </row>
    <row r="78">
      <c r="A78" s="87">
        <v>77.0</v>
      </c>
      <c r="B78" s="85" t="s">
        <v>1433</v>
      </c>
      <c r="C78" s="85" t="s">
        <v>140</v>
      </c>
      <c r="D78" s="85" t="s">
        <v>1397</v>
      </c>
      <c r="E78" s="85" t="s">
        <v>1187</v>
      </c>
      <c r="F78" s="85" t="s">
        <v>1188</v>
      </c>
      <c r="G78" s="85" t="s">
        <v>1359</v>
      </c>
      <c r="H78" s="85" t="s">
        <v>1398</v>
      </c>
      <c r="I78" s="85" t="s">
        <v>1280</v>
      </c>
      <c r="J78" s="42">
        <v>94.0</v>
      </c>
      <c r="K78" s="42">
        <v>1.8</v>
      </c>
      <c r="L78" s="42">
        <v>1.9</v>
      </c>
      <c r="M78" s="42">
        <v>1.9</v>
      </c>
      <c r="N78" s="42">
        <v>0.04</v>
      </c>
      <c r="O78" s="42">
        <v>3.1E11</v>
      </c>
      <c r="P78" s="42">
        <v>1.6E10</v>
      </c>
      <c r="Q78" s="42">
        <v>-2.0</v>
      </c>
      <c r="R78" s="42">
        <v>0.0</v>
      </c>
      <c r="S78" s="42">
        <v>-26.5</v>
      </c>
      <c r="T78" s="42">
        <v>0.0</v>
      </c>
      <c r="U78" s="42">
        <v>20.1</v>
      </c>
      <c r="V78" s="42">
        <v>0.0</v>
      </c>
      <c r="W78" s="42">
        <v>-19.4</v>
      </c>
    </row>
    <row r="79">
      <c r="A79" s="87">
        <v>78.0</v>
      </c>
      <c r="B79" s="85" t="s">
        <v>1434</v>
      </c>
      <c r="C79" s="85" t="s">
        <v>141</v>
      </c>
      <c r="D79" s="85" t="s">
        <v>1261</v>
      </c>
      <c r="E79" s="85" t="s">
        <v>1201</v>
      </c>
      <c r="F79" s="85" t="s">
        <v>1262</v>
      </c>
      <c r="G79" s="85" t="s">
        <v>1263</v>
      </c>
      <c r="H79" s="85" t="s">
        <v>1264</v>
      </c>
      <c r="I79" s="85" t="s">
        <v>1435</v>
      </c>
      <c r="J79" s="42">
        <v>5.4</v>
      </c>
      <c r="K79" s="42">
        <v>0.7</v>
      </c>
      <c r="L79" s="42">
        <v>12.9</v>
      </c>
      <c r="M79" s="42">
        <v>9.6</v>
      </c>
      <c r="N79" s="42">
        <v>0.35</v>
      </c>
      <c r="O79" s="42">
        <v>1.22E13</v>
      </c>
      <c r="P79" s="42">
        <v>5.3E12</v>
      </c>
      <c r="Q79" s="42">
        <v>-11.6</v>
      </c>
      <c r="R79" s="42">
        <v>-11.9</v>
      </c>
      <c r="S79" s="42">
        <v>-20.8</v>
      </c>
      <c r="T79" s="42">
        <v>10.6</v>
      </c>
      <c r="U79" s="42">
        <v>43.0</v>
      </c>
      <c r="V79" s="42">
        <v>-8.8</v>
      </c>
      <c r="W79" s="42">
        <v>-15.8</v>
      </c>
    </row>
    <row r="80">
      <c r="A80" s="87">
        <v>79.0</v>
      </c>
      <c r="B80" s="85" t="s">
        <v>1436</v>
      </c>
      <c r="C80" s="85" t="s">
        <v>142</v>
      </c>
      <c r="D80" s="85" t="s">
        <v>1291</v>
      </c>
      <c r="E80" s="85" t="s">
        <v>1252</v>
      </c>
      <c r="F80" s="85" t="s">
        <v>1252</v>
      </c>
      <c r="G80" s="85" t="s">
        <v>1253</v>
      </c>
      <c r="H80" s="85" t="s">
        <v>1292</v>
      </c>
      <c r="I80" s="85" t="s">
        <v>1437</v>
      </c>
      <c r="J80" s="42">
        <v>12.0</v>
      </c>
      <c r="K80" s="42">
        <v>2.2</v>
      </c>
      <c r="L80" s="42">
        <v>18.2</v>
      </c>
      <c r="M80" s="42">
        <v>15.5</v>
      </c>
      <c r="N80" s="42">
        <v>0.17</v>
      </c>
      <c r="O80" s="42">
        <v>2.16E13</v>
      </c>
      <c r="P80" s="42">
        <v>2.4E12</v>
      </c>
      <c r="Q80" s="42">
        <v>-23.4</v>
      </c>
      <c r="R80" s="42">
        <v>-29.1</v>
      </c>
      <c r="S80" s="42">
        <v>-39.0</v>
      </c>
      <c r="T80" s="42">
        <v>-36.3</v>
      </c>
      <c r="U80" s="42">
        <v>76.5</v>
      </c>
      <c r="V80" s="42">
        <v>-14.3</v>
      </c>
      <c r="W80" s="42">
        <v>-44.6</v>
      </c>
    </row>
    <row r="81">
      <c r="A81" s="87">
        <v>80.0</v>
      </c>
      <c r="B81" s="85" t="s">
        <v>1438</v>
      </c>
      <c r="C81" s="85" t="s">
        <v>143</v>
      </c>
      <c r="D81" s="85" t="s">
        <v>1439</v>
      </c>
      <c r="E81" s="85" t="s">
        <v>1376</v>
      </c>
      <c r="F81" s="85" t="s">
        <v>1377</v>
      </c>
      <c r="G81" s="85" t="s">
        <v>1440</v>
      </c>
      <c r="H81" s="85" t="s">
        <v>1440</v>
      </c>
      <c r="I81" s="85" t="s">
        <v>1441</v>
      </c>
      <c r="J81" s="42">
        <v>-59.7</v>
      </c>
      <c r="K81" s="42">
        <v>7.6</v>
      </c>
      <c r="L81" s="42">
        <v>-12.7</v>
      </c>
      <c r="M81" s="42">
        <v>-10.3</v>
      </c>
      <c r="N81" s="42">
        <v>0.22</v>
      </c>
      <c r="O81" s="42">
        <v>5.67E11</v>
      </c>
      <c r="P81" s="42">
        <v>1.6E10</v>
      </c>
      <c r="Q81" s="42">
        <v>-6.2</v>
      </c>
      <c r="R81" s="42">
        <v>-10.5</v>
      </c>
      <c r="S81" s="42">
        <v>-38.2</v>
      </c>
      <c r="T81" s="42">
        <v>-47.7</v>
      </c>
      <c r="U81" s="42">
        <v>-60.2</v>
      </c>
      <c r="V81" s="42">
        <v>-11.7</v>
      </c>
      <c r="W81" s="42">
        <v>-32.0</v>
      </c>
    </row>
    <row r="82">
      <c r="A82" s="87">
        <v>81.0</v>
      </c>
      <c r="B82" s="85" t="s">
        <v>1442</v>
      </c>
      <c r="C82" s="85" t="s">
        <v>144</v>
      </c>
      <c r="D82" s="85" t="s">
        <v>1443</v>
      </c>
      <c r="E82" s="85" t="s">
        <v>1376</v>
      </c>
      <c r="F82" s="85" t="s">
        <v>1444</v>
      </c>
      <c r="G82" s="85" t="s">
        <v>1445</v>
      </c>
      <c r="H82" s="85" t="s">
        <v>1445</v>
      </c>
      <c r="I82" s="85" t="s">
        <v>1441</v>
      </c>
      <c r="J82" s="42">
        <v>9.3</v>
      </c>
      <c r="K82" s="42">
        <v>1.2</v>
      </c>
      <c r="L82" s="42">
        <v>12.8</v>
      </c>
      <c r="M82" s="42">
        <v>5.3</v>
      </c>
      <c r="N82" s="42">
        <v>1.4</v>
      </c>
      <c r="O82" s="42">
        <v>6.48E11</v>
      </c>
      <c r="P82" s="42">
        <v>3.51E11</v>
      </c>
      <c r="Q82" s="42">
        <v>-13.7</v>
      </c>
      <c r="R82" s="42">
        <v>-10.6</v>
      </c>
      <c r="S82" s="42">
        <v>-25.7</v>
      </c>
      <c r="T82" s="42">
        <v>-27.9</v>
      </c>
      <c r="U82" s="42">
        <v>19.8</v>
      </c>
      <c r="V82" s="42">
        <v>-10.6</v>
      </c>
      <c r="W82" s="42">
        <v>-22.3</v>
      </c>
    </row>
    <row r="83">
      <c r="A83" s="87">
        <v>82.0</v>
      </c>
      <c r="B83" s="85" t="s">
        <v>1446</v>
      </c>
      <c r="C83" s="85" t="s">
        <v>145</v>
      </c>
      <c r="D83" s="85" t="s">
        <v>1267</v>
      </c>
      <c r="E83" s="85" t="s">
        <v>1194</v>
      </c>
      <c r="F83" s="85" t="s">
        <v>1195</v>
      </c>
      <c r="G83" s="85" t="s">
        <v>1196</v>
      </c>
      <c r="H83" s="85" t="s">
        <v>1268</v>
      </c>
      <c r="I83" s="85" t="s">
        <v>1352</v>
      </c>
      <c r="J83" s="42">
        <v>640.0</v>
      </c>
      <c r="K83" s="42">
        <v>5.8</v>
      </c>
      <c r="L83" s="42">
        <v>0.9</v>
      </c>
      <c r="M83" s="42">
        <v>0.37</v>
      </c>
      <c r="N83" s="42">
        <v>1.4</v>
      </c>
      <c r="O83" s="42">
        <v>1.2E12</v>
      </c>
      <c r="P83" s="42">
        <v>5.6E10</v>
      </c>
      <c r="Q83" s="42">
        <v>-10.7</v>
      </c>
      <c r="R83" s="42">
        <v>-1.3</v>
      </c>
      <c r="S83" s="42">
        <v>-23.1</v>
      </c>
      <c r="T83" s="42">
        <v>94.8</v>
      </c>
      <c r="U83" s="42">
        <v>3.4</v>
      </c>
      <c r="V83" s="42">
        <v>-2.6</v>
      </c>
      <c r="W83" s="42">
        <v>-30.9</v>
      </c>
    </row>
    <row r="84">
      <c r="A84" s="87">
        <v>83.0</v>
      </c>
      <c r="B84" s="85" t="s">
        <v>1447</v>
      </c>
      <c r="C84" s="85" t="s">
        <v>146</v>
      </c>
      <c r="D84" s="85" t="s">
        <v>1448</v>
      </c>
      <c r="E84" s="85" t="s">
        <v>1252</v>
      </c>
      <c r="F84" s="85" t="s">
        <v>1252</v>
      </c>
      <c r="G84" s="85" t="s">
        <v>1449</v>
      </c>
      <c r="H84" s="85" t="s">
        <v>1449</v>
      </c>
      <c r="I84" s="85" t="s">
        <v>1255</v>
      </c>
      <c r="J84" s="42">
        <v>-15.0</v>
      </c>
      <c r="K84" s="42">
        <v>3.6</v>
      </c>
      <c r="L84" s="42">
        <v>-24.3</v>
      </c>
      <c r="M84" s="42">
        <v>-24.0</v>
      </c>
      <c r="N84" s="42">
        <v>0.01</v>
      </c>
      <c r="O84" s="42">
        <v>1.2E11</v>
      </c>
      <c r="P84" s="42">
        <v>3.2E8</v>
      </c>
      <c r="Q84" s="42">
        <v>-45.0</v>
      </c>
      <c r="R84" s="42">
        <v>-51.0</v>
      </c>
      <c r="S84" s="42">
        <v>-60.4</v>
      </c>
      <c r="T84" s="42">
        <v>-16.1</v>
      </c>
      <c r="U84" s="42">
        <v>-2540.0</v>
      </c>
      <c r="V84" s="42">
        <v>-29.3</v>
      </c>
      <c r="W84" s="42">
        <v>-59.8</v>
      </c>
    </row>
    <row r="85">
      <c r="A85" s="87">
        <v>84.0</v>
      </c>
      <c r="B85" s="85" t="s">
        <v>1450</v>
      </c>
      <c r="C85" s="85" t="s">
        <v>147</v>
      </c>
      <c r="D85" s="85" t="s">
        <v>1273</v>
      </c>
      <c r="E85" s="85" t="s">
        <v>1208</v>
      </c>
      <c r="F85" s="85" t="s">
        <v>1274</v>
      </c>
      <c r="G85" s="85" t="s">
        <v>1274</v>
      </c>
      <c r="H85" s="85" t="s">
        <v>1274</v>
      </c>
      <c r="I85" s="85" t="s">
        <v>1211</v>
      </c>
      <c r="J85" s="42">
        <v>27.7</v>
      </c>
      <c r="K85" s="42">
        <v>0.59</v>
      </c>
      <c r="L85" s="42">
        <v>2.1</v>
      </c>
      <c r="M85" s="42">
        <v>0.38</v>
      </c>
      <c r="N85" s="42">
        <v>4.7</v>
      </c>
      <c r="O85" s="42">
        <v>2.2E12</v>
      </c>
      <c r="P85" s="42">
        <v>3.94E11</v>
      </c>
      <c r="Q85" s="42">
        <v>-2.0</v>
      </c>
      <c r="R85" s="42">
        <v>-2.0</v>
      </c>
      <c r="S85" s="42">
        <v>-9.1</v>
      </c>
      <c r="T85" s="42">
        <v>-3.8</v>
      </c>
      <c r="U85" s="42">
        <v>20.4</v>
      </c>
      <c r="V85" s="42">
        <v>-2.0</v>
      </c>
      <c r="W85" s="42">
        <v>-13.8</v>
      </c>
    </row>
    <row r="86">
      <c r="A86" s="87">
        <v>85.0</v>
      </c>
      <c r="B86" s="85" t="s">
        <v>1451</v>
      </c>
      <c r="C86" s="85" t="s">
        <v>148</v>
      </c>
      <c r="D86" s="85" t="s">
        <v>1452</v>
      </c>
      <c r="E86" s="85" t="s">
        <v>1201</v>
      </c>
      <c r="F86" s="85" t="s">
        <v>1219</v>
      </c>
      <c r="G86" s="85" t="s">
        <v>1220</v>
      </c>
      <c r="H86" s="85" t="s">
        <v>1453</v>
      </c>
      <c r="I86" s="85" t="s">
        <v>1289</v>
      </c>
      <c r="J86" s="42">
        <v>60.0</v>
      </c>
      <c r="K86" s="42">
        <v>0.97</v>
      </c>
      <c r="L86" s="42">
        <v>1.6</v>
      </c>
      <c r="M86" s="42">
        <v>1.0</v>
      </c>
      <c r="N86" s="42">
        <v>0.59</v>
      </c>
      <c r="O86" s="42">
        <v>4.37E11</v>
      </c>
      <c r="P86" s="42">
        <v>3.05E11</v>
      </c>
      <c r="Q86" s="42">
        <v>-54.0</v>
      </c>
      <c r="R86" s="42">
        <v>-48.0</v>
      </c>
      <c r="S86" s="42">
        <v>-62.3</v>
      </c>
      <c r="T86" s="42">
        <v>-71.1</v>
      </c>
      <c r="U86" s="42">
        <v>2.4</v>
      </c>
      <c r="V86" s="42">
        <v>-28.8</v>
      </c>
      <c r="W86" s="42">
        <v>-68.7</v>
      </c>
    </row>
    <row r="87">
      <c r="A87" s="87">
        <v>86.0</v>
      </c>
      <c r="B87" s="85" t="s">
        <v>1454</v>
      </c>
      <c r="C87" s="85" t="s">
        <v>149</v>
      </c>
      <c r="D87" s="85" t="s">
        <v>1273</v>
      </c>
      <c r="E87" s="85" t="s">
        <v>1208</v>
      </c>
      <c r="F87" s="85" t="s">
        <v>1274</v>
      </c>
      <c r="G87" s="85" t="s">
        <v>1274</v>
      </c>
      <c r="H87" s="85" t="s">
        <v>1274</v>
      </c>
      <c r="I87" s="85" t="s">
        <v>1320</v>
      </c>
      <c r="J87" s="42">
        <v>18.5</v>
      </c>
      <c r="K87" s="42">
        <v>0.36</v>
      </c>
      <c r="L87" s="42">
        <v>1.9</v>
      </c>
      <c r="M87" s="42">
        <v>0.5</v>
      </c>
      <c r="N87" s="42">
        <v>2.9</v>
      </c>
      <c r="O87" s="42">
        <v>2.4E12</v>
      </c>
      <c r="P87" s="42">
        <v>4.42E11</v>
      </c>
      <c r="Q87" s="42">
        <v>-23.3</v>
      </c>
      <c r="R87" s="42">
        <v>-24.4</v>
      </c>
      <c r="S87" s="42">
        <v>-37.4</v>
      </c>
      <c r="T87" s="42">
        <v>-21.5</v>
      </c>
      <c r="U87" s="42">
        <v>29.7</v>
      </c>
      <c r="V87" s="42">
        <v>-15.7</v>
      </c>
      <c r="W87" s="42">
        <v>-54.9</v>
      </c>
    </row>
    <row r="88">
      <c r="A88" s="87">
        <v>87.0</v>
      </c>
      <c r="B88" s="85" t="s">
        <v>1455</v>
      </c>
      <c r="C88" s="85" t="s">
        <v>150</v>
      </c>
      <c r="D88" s="85" t="s">
        <v>1456</v>
      </c>
      <c r="E88" s="85" t="s">
        <v>1201</v>
      </c>
      <c r="F88" s="85" t="s">
        <v>1286</v>
      </c>
      <c r="G88" s="85" t="s">
        <v>1287</v>
      </c>
      <c r="H88" s="85" t="s">
        <v>1457</v>
      </c>
      <c r="I88" s="85" t="s">
        <v>1458</v>
      </c>
      <c r="J88" s="42">
        <v>110.0</v>
      </c>
      <c r="K88" s="42">
        <v>4.4</v>
      </c>
      <c r="L88" s="42">
        <v>3.9</v>
      </c>
      <c r="M88" s="42">
        <v>3.5</v>
      </c>
      <c r="N88" s="42">
        <v>0.09</v>
      </c>
      <c r="O88" s="42">
        <v>5.98E11</v>
      </c>
      <c r="P88" s="42">
        <v>5.6E10</v>
      </c>
      <c r="Q88" s="42">
        <v>-19.0</v>
      </c>
      <c r="R88" s="42">
        <v>58.8</v>
      </c>
      <c r="S88" s="42">
        <v>310.0</v>
      </c>
      <c r="T88" s="42">
        <v>410.0</v>
      </c>
      <c r="U88" s="42">
        <v>9.4</v>
      </c>
      <c r="V88" s="42">
        <v>-5.6</v>
      </c>
      <c r="W88" s="42">
        <v>270.0</v>
      </c>
    </row>
    <row r="89">
      <c r="A89" s="87">
        <v>88.0</v>
      </c>
      <c r="B89" s="85" t="s">
        <v>1459</v>
      </c>
      <c r="C89" s="85" t="s">
        <v>151</v>
      </c>
      <c r="D89" s="85" t="s">
        <v>1460</v>
      </c>
      <c r="E89" s="85" t="s">
        <v>1252</v>
      </c>
      <c r="F89" s="85" t="s">
        <v>1252</v>
      </c>
      <c r="G89" s="85" t="s">
        <v>1313</v>
      </c>
      <c r="H89" s="85" t="s">
        <v>1461</v>
      </c>
      <c r="I89" s="85" t="s">
        <v>1422</v>
      </c>
      <c r="J89" s="42">
        <v>-7.3</v>
      </c>
      <c r="K89" s="42">
        <v>12.4</v>
      </c>
      <c r="L89" s="42">
        <v>-170.0</v>
      </c>
      <c r="M89" s="42">
        <v>-5.3</v>
      </c>
      <c r="N89" s="42">
        <v>31.2</v>
      </c>
      <c r="O89" s="42">
        <v>2.65E11</v>
      </c>
      <c r="P89" s="42">
        <v>8.24E11</v>
      </c>
      <c r="Q89" s="42">
        <v>-23.5</v>
      </c>
      <c r="R89" s="42">
        <v>-16.4</v>
      </c>
      <c r="S89" s="42">
        <v>-35.0</v>
      </c>
      <c r="T89" s="42">
        <v>-7.1</v>
      </c>
      <c r="U89" s="42">
        <v>-4.4</v>
      </c>
      <c r="V89" s="42">
        <v>-19.3</v>
      </c>
      <c r="W89" s="42">
        <v>-29.1</v>
      </c>
    </row>
    <row r="90">
      <c r="A90" s="87">
        <v>89.0</v>
      </c>
      <c r="B90" s="85" t="s">
        <v>1462</v>
      </c>
      <c r="C90" s="85" t="s">
        <v>152</v>
      </c>
      <c r="D90" s="85" t="s">
        <v>1463</v>
      </c>
      <c r="E90" s="85" t="s">
        <v>1230</v>
      </c>
      <c r="F90" s="85" t="s">
        <v>1464</v>
      </c>
      <c r="G90" s="85" t="s">
        <v>1465</v>
      </c>
      <c r="H90" s="85" t="s">
        <v>1465</v>
      </c>
      <c r="I90" s="85" t="s">
        <v>1466</v>
      </c>
      <c r="J90" s="42">
        <v>26.0</v>
      </c>
      <c r="K90" s="42">
        <v>1.9</v>
      </c>
      <c r="L90" s="42">
        <v>7.4</v>
      </c>
      <c r="M90" s="42">
        <v>3.0</v>
      </c>
      <c r="N90" s="42">
        <v>1.5</v>
      </c>
      <c r="O90" s="42">
        <v>4.8E12</v>
      </c>
      <c r="P90" s="42">
        <v>3.08E11</v>
      </c>
      <c r="Q90" s="42">
        <v>-5.8</v>
      </c>
      <c r="R90" s="42">
        <v>-2.4</v>
      </c>
      <c r="S90" s="42">
        <v>-14.8</v>
      </c>
      <c r="T90" s="42">
        <v>-18.0</v>
      </c>
      <c r="U90" s="42">
        <v>60.1</v>
      </c>
      <c r="V90" s="42">
        <v>-1.2</v>
      </c>
      <c r="W90" s="42">
        <v>-28.8</v>
      </c>
    </row>
    <row r="91">
      <c r="A91" s="87">
        <v>90.0</v>
      </c>
      <c r="B91" s="85" t="s">
        <v>1467</v>
      </c>
      <c r="C91" s="85" t="s">
        <v>153</v>
      </c>
      <c r="D91" s="85" t="s">
        <v>1468</v>
      </c>
      <c r="E91" s="85" t="s">
        <v>1252</v>
      </c>
      <c r="F91" s="85" t="s">
        <v>1252</v>
      </c>
      <c r="G91" s="85" t="s">
        <v>1469</v>
      </c>
      <c r="H91" s="85" t="s">
        <v>1470</v>
      </c>
      <c r="I91" s="85" t="s">
        <v>1471</v>
      </c>
      <c r="J91" s="42">
        <v>25.3</v>
      </c>
      <c r="K91" s="42">
        <v>1.1</v>
      </c>
      <c r="L91" s="42">
        <v>4.2</v>
      </c>
      <c r="M91" s="42">
        <v>0.93</v>
      </c>
      <c r="N91" s="42">
        <v>0.39</v>
      </c>
      <c r="O91" s="42">
        <v>3.5E12</v>
      </c>
      <c r="P91" s="42">
        <v>4.2E10</v>
      </c>
      <c r="Q91" s="42">
        <v>-57.1</v>
      </c>
      <c r="R91" s="42">
        <v>-50.2</v>
      </c>
      <c r="S91" s="42">
        <v>-74.2</v>
      </c>
      <c r="T91" s="42">
        <v>-71.6</v>
      </c>
      <c r="U91" s="42">
        <v>340.0</v>
      </c>
      <c r="V91" s="42">
        <v>0.84</v>
      </c>
      <c r="W91" s="42">
        <v>-75.3</v>
      </c>
    </row>
    <row r="92">
      <c r="A92" s="87">
        <v>91.0</v>
      </c>
      <c r="B92" s="85" t="s">
        <v>1472</v>
      </c>
      <c r="C92" s="85" t="s">
        <v>154</v>
      </c>
      <c r="D92" s="85" t="s">
        <v>1234</v>
      </c>
      <c r="E92" s="85" t="s">
        <v>1235</v>
      </c>
      <c r="F92" s="85" t="s">
        <v>1235</v>
      </c>
      <c r="G92" s="85" t="s">
        <v>1236</v>
      </c>
      <c r="H92" s="85" t="s">
        <v>1237</v>
      </c>
      <c r="I92" s="85" t="s">
        <v>1473</v>
      </c>
      <c r="J92" s="42">
        <v>-28.0</v>
      </c>
      <c r="K92" s="42">
        <v>1.4</v>
      </c>
      <c r="L92" s="42">
        <v>-5.0</v>
      </c>
      <c r="M92" s="42">
        <v>-4.4</v>
      </c>
      <c r="N92" s="42">
        <v>0.14</v>
      </c>
      <c r="O92" s="42">
        <v>1.58E11</v>
      </c>
      <c r="P92" s="42">
        <v>9.54E7</v>
      </c>
      <c r="Q92" s="42">
        <v>0.0</v>
      </c>
      <c r="R92" s="42">
        <v>220.0</v>
      </c>
      <c r="S92" s="42">
        <v>150.0</v>
      </c>
      <c r="T92" s="42">
        <v>380.0</v>
      </c>
      <c r="U92" s="42">
        <v>-5900.0</v>
      </c>
      <c r="V92" s="42">
        <v>0.0</v>
      </c>
      <c r="W92" s="42">
        <v>150.0</v>
      </c>
    </row>
    <row r="93">
      <c r="A93" s="87">
        <v>92.0</v>
      </c>
      <c r="B93" s="85" t="s">
        <v>1474</v>
      </c>
      <c r="C93" s="85" t="s">
        <v>155</v>
      </c>
      <c r="D93" s="85" t="s">
        <v>1234</v>
      </c>
      <c r="E93" s="85" t="s">
        <v>1235</v>
      </c>
      <c r="F93" s="85" t="s">
        <v>1235</v>
      </c>
      <c r="G93" s="85" t="s">
        <v>1236</v>
      </c>
      <c r="H93" s="85" t="s">
        <v>1237</v>
      </c>
      <c r="I93" s="85" t="s">
        <v>1475</v>
      </c>
      <c r="J93" s="42">
        <v>-0.7</v>
      </c>
      <c r="K93" s="42">
        <v>0.32</v>
      </c>
      <c r="L93" s="42">
        <v>-46.4</v>
      </c>
      <c r="M93" s="42">
        <v>-27.0</v>
      </c>
      <c r="N93" s="42">
        <v>0.72</v>
      </c>
      <c r="O93" s="42">
        <v>1.29E11</v>
      </c>
      <c r="P93" s="42">
        <v>4.0E8</v>
      </c>
      <c r="Q93" s="42">
        <v>-30.4</v>
      </c>
      <c r="R93" s="42">
        <v>-46.7</v>
      </c>
      <c r="S93" s="42">
        <v>-48.4</v>
      </c>
      <c r="T93" s="42">
        <v>77.8</v>
      </c>
      <c r="U93" s="42">
        <v>-47000.0</v>
      </c>
      <c r="V93" s="42">
        <v>-27.3</v>
      </c>
      <c r="W93" s="42">
        <v>-44.8</v>
      </c>
    </row>
    <row r="94">
      <c r="A94" s="87">
        <v>93.0</v>
      </c>
      <c r="B94" s="85" t="s">
        <v>1476</v>
      </c>
      <c r="C94" s="85" t="s">
        <v>156</v>
      </c>
      <c r="D94" s="85" t="s">
        <v>1477</v>
      </c>
      <c r="E94" s="85" t="s">
        <v>1201</v>
      </c>
      <c r="F94" s="85" t="s">
        <v>1225</v>
      </c>
      <c r="G94" s="85" t="s">
        <v>1225</v>
      </c>
      <c r="H94" s="85" t="s">
        <v>1478</v>
      </c>
      <c r="I94" s="85" t="s">
        <v>1289</v>
      </c>
      <c r="J94" s="42">
        <v>-1.1</v>
      </c>
      <c r="K94" s="42">
        <v>-1.1</v>
      </c>
      <c r="L94" s="42">
        <v>0.0</v>
      </c>
      <c r="M94" s="42">
        <v>-21.6</v>
      </c>
      <c r="N94" s="42">
        <v>-5.3</v>
      </c>
      <c r="O94" s="42">
        <v>7.9E10</v>
      </c>
      <c r="P94" s="42">
        <v>2.37E11</v>
      </c>
      <c r="Q94" s="42">
        <v>1.6</v>
      </c>
      <c r="R94" s="42">
        <v>10.3</v>
      </c>
      <c r="S94" s="42">
        <v>-3.0</v>
      </c>
      <c r="T94" s="42">
        <v>23.1</v>
      </c>
      <c r="U94" s="42">
        <v>-29.7</v>
      </c>
      <c r="V94" s="42">
        <v>1.6</v>
      </c>
      <c r="W94" s="42">
        <v>-8.6</v>
      </c>
    </row>
    <row r="95">
      <c r="A95" s="87">
        <v>94.0</v>
      </c>
      <c r="B95" s="85" t="s">
        <v>1479</v>
      </c>
      <c r="C95" s="85" t="s">
        <v>157</v>
      </c>
      <c r="D95" s="85" t="s">
        <v>1448</v>
      </c>
      <c r="E95" s="85" t="s">
        <v>1252</v>
      </c>
      <c r="F95" s="85" t="s">
        <v>1252</v>
      </c>
      <c r="G95" s="85" t="s">
        <v>1449</v>
      </c>
      <c r="H95" s="85" t="s">
        <v>1449</v>
      </c>
      <c r="I95" s="85" t="s">
        <v>1255</v>
      </c>
      <c r="J95" s="42">
        <v>18.9</v>
      </c>
      <c r="K95" s="42">
        <v>1.6</v>
      </c>
      <c r="L95" s="42">
        <v>8.5</v>
      </c>
      <c r="M95" s="42">
        <v>5.9</v>
      </c>
      <c r="N95" s="42">
        <v>0.45</v>
      </c>
      <c r="O95" s="42">
        <v>2.54E11</v>
      </c>
      <c r="P95" s="42">
        <v>2.9E10</v>
      </c>
      <c r="Q95" s="42">
        <v>-18.7</v>
      </c>
      <c r="R95" s="42">
        <v>-20.4</v>
      </c>
      <c r="S95" s="42">
        <v>-36.8</v>
      </c>
      <c r="T95" s="42">
        <v>-9.8</v>
      </c>
      <c r="U95" s="42">
        <v>46.5</v>
      </c>
      <c r="V95" s="42">
        <v>-14.9</v>
      </c>
      <c r="W95" s="42">
        <v>-35.1</v>
      </c>
    </row>
    <row r="96">
      <c r="A96" s="87">
        <v>95.0</v>
      </c>
      <c r="B96" s="85" t="s">
        <v>1480</v>
      </c>
      <c r="C96" s="85" t="s">
        <v>158</v>
      </c>
      <c r="D96" s="85" t="s">
        <v>1218</v>
      </c>
      <c r="E96" s="85" t="s">
        <v>1201</v>
      </c>
      <c r="F96" s="85" t="s">
        <v>1219</v>
      </c>
      <c r="G96" s="85" t="s">
        <v>1220</v>
      </c>
      <c r="H96" s="85" t="s">
        <v>1221</v>
      </c>
      <c r="I96" s="85" t="s">
        <v>1289</v>
      </c>
      <c r="J96" s="42">
        <v>-16.8</v>
      </c>
      <c r="K96" s="42">
        <v>0.83</v>
      </c>
      <c r="L96" s="42">
        <v>-4.9</v>
      </c>
      <c r="M96" s="42">
        <v>-3.8</v>
      </c>
      <c r="N96" s="42">
        <v>0.31</v>
      </c>
      <c r="O96" s="42">
        <v>1.39E11</v>
      </c>
      <c r="P96" s="42">
        <v>2.9E10</v>
      </c>
      <c r="Q96" s="42">
        <v>-31.0</v>
      </c>
      <c r="R96" s="42">
        <v>-39.4</v>
      </c>
      <c r="S96" s="42">
        <v>-48.7</v>
      </c>
      <c r="T96" s="42">
        <v>-16.7</v>
      </c>
      <c r="U96" s="42">
        <v>-28.7</v>
      </c>
      <c r="V96" s="42">
        <v>-28.6</v>
      </c>
      <c r="W96" s="42">
        <v>-44.4</v>
      </c>
    </row>
    <row r="97">
      <c r="A97" s="87">
        <v>96.0</v>
      </c>
      <c r="B97" s="85" t="s">
        <v>1481</v>
      </c>
      <c r="C97" s="85" t="s">
        <v>159</v>
      </c>
      <c r="D97" s="85" t="s">
        <v>1482</v>
      </c>
      <c r="E97" s="85" t="s">
        <v>1201</v>
      </c>
      <c r="F97" s="85" t="s">
        <v>1286</v>
      </c>
      <c r="G97" s="85" t="s">
        <v>1287</v>
      </c>
      <c r="H97" s="85" t="s">
        <v>1483</v>
      </c>
      <c r="I97" s="85" t="s">
        <v>1484</v>
      </c>
      <c r="J97" s="42">
        <v>4.1</v>
      </c>
      <c r="K97" s="42">
        <v>0.7</v>
      </c>
      <c r="L97" s="42">
        <v>17.1</v>
      </c>
      <c r="M97" s="42">
        <v>10.1</v>
      </c>
      <c r="N97" s="42">
        <v>0.7</v>
      </c>
      <c r="O97" s="42">
        <v>3.99E11</v>
      </c>
      <c r="P97" s="42">
        <v>5.55E11</v>
      </c>
      <c r="Q97" s="42">
        <v>-23.5</v>
      </c>
      <c r="R97" s="42">
        <v>-27.3</v>
      </c>
      <c r="S97" s="42">
        <v>-26.3</v>
      </c>
      <c r="T97" s="42">
        <v>-25.2</v>
      </c>
      <c r="U97" s="42">
        <v>17.6</v>
      </c>
      <c r="V97" s="42">
        <v>-9.4</v>
      </c>
      <c r="W97" s="42">
        <v>-25.7</v>
      </c>
    </row>
    <row r="98">
      <c r="A98" s="87">
        <v>97.0</v>
      </c>
      <c r="B98" s="85" t="s">
        <v>1485</v>
      </c>
      <c r="C98" s="85" t="s">
        <v>160</v>
      </c>
      <c r="D98" s="85" t="s">
        <v>1273</v>
      </c>
      <c r="E98" s="85" t="s">
        <v>1208</v>
      </c>
      <c r="F98" s="85" t="s">
        <v>1274</v>
      </c>
      <c r="G98" s="85" t="s">
        <v>1274</v>
      </c>
      <c r="H98" s="85" t="s">
        <v>1274</v>
      </c>
      <c r="I98" s="85" t="s">
        <v>1486</v>
      </c>
      <c r="J98" s="42">
        <v>12.1</v>
      </c>
      <c r="K98" s="42">
        <v>2.7</v>
      </c>
      <c r="L98" s="42">
        <v>22.4</v>
      </c>
      <c r="M98" s="42">
        <v>3.5</v>
      </c>
      <c r="N98" s="42">
        <v>5.3</v>
      </c>
      <c r="O98" s="42">
        <v>7.0E14</v>
      </c>
      <c r="P98" s="42">
        <v>2.62E13</v>
      </c>
      <c r="Q98" s="42">
        <v>-21.1</v>
      </c>
      <c r="R98" s="42">
        <v>-29.5</v>
      </c>
      <c r="S98" s="42">
        <v>-41.6</v>
      </c>
      <c r="T98" s="42">
        <v>-45.7</v>
      </c>
      <c r="U98" s="42">
        <v>220.0</v>
      </c>
      <c r="V98" s="42">
        <v>-16.7</v>
      </c>
      <c r="W98" s="42">
        <v>-39.6</v>
      </c>
    </row>
    <row r="99">
      <c r="A99" s="87">
        <v>98.0</v>
      </c>
      <c r="B99" s="85" t="s">
        <v>1487</v>
      </c>
      <c r="C99" s="85" t="s">
        <v>163</v>
      </c>
      <c r="D99" s="85" t="s">
        <v>1273</v>
      </c>
      <c r="E99" s="85" t="s">
        <v>1208</v>
      </c>
      <c r="F99" s="85" t="s">
        <v>1274</v>
      </c>
      <c r="G99" s="85" t="s">
        <v>1274</v>
      </c>
      <c r="H99" s="85" t="s">
        <v>1274</v>
      </c>
      <c r="I99" s="85" t="s">
        <v>1320</v>
      </c>
      <c r="J99" s="42">
        <v>38.2</v>
      </c>
      <c r="K99" s="42">
        <v>2.9</v>
      </c>
      <c r="L99" s="42">
        <v>7.5</v>
      </c>
      <c r="M99" s="42">
        <v>3.8</v>
      </c>
      <c r="N99" s="42">
        <v>0.96</v>
      </c>
      <c r="O99" s="42">
        <v>2.14E13</v>
      </c>
      <c r="P99" s="42">
        <v>4.87E11</v>
      </c>
      <c r="Q99" s="42">
        <v>-21.9</v>
      </c>
      <c r="R99" s="42">
        <v>-38.3</v>
      </c>
      <c r="S99" s="42">
        <v>-45.0</v>
      </c>
      <c r="T99" s="42">
        <v>12.3</v>
      </c>
      <c r="U99" s="42">
        <v>120.0</v>
      </c>
      <c r="V99" s="42">
        <v>-22.3</v>
      </c>
      <c r="W99" s="42">
        <v>-44.8</v>
      </c>
    </row>
    <row r="100">
      <c r="A100" s="87">
        <v>99.0</v>
      </c>
      <c r="B100" s="85" t="s">
        <v>1488</v>
      </c>
      <c r="C100" s="85" t="s">
        <v>164</v>
      </c>
      <c r="D100" s="85" t="s">
        <v>1273</v>
      </c>
      <c r="E100" s="85" t="s">
        <v>1208</v>
      </c>
      <c r="F100" s="85" t="s">
        <v>1274</v>
      </c>
      <c r="G100" s="85" t="s">
        <v>1274</v>
      </c>
      <c r="H100" s="85" t="s">
        <v>1274</v>
      </c>
      <c r="I100" s="85" t="s">
        <v>1211</v>
      </c>
      <c r="J100" s="42">
        <v>-37.5</v>
      </c>
      <c r="K100" s="42">
        <v>1.3</v>
      </c>
      <c r="L100" s="42">
        <v>-3.4</v>
      </c>
      <c r="M100" s="42">
        <v>-0.32</v>
      </c>
      <c r="N100" s="42">
        <v>9.8</v>
      </c>
      <c r="O100" s="42">
        <v>1.02E13</v>
      </c>
      <c r="P100" s="42">
        <v>1.5E12</v>
      </c>
      <c r="Q100" s="42">
        <v>-16.4</v>
      </c>
      <c r="R100" s="42">
        <v>-17.7</v>
      </c>
      <c r="S100" s="42">
        <v>-32.0</v>
      </c>
      <c r="T100" s="42">
        <v>-15.0</v>
      </c>
      <c r="U100" s="42">
        <v>-18.8</v>
      </c>
      <c r="V100" s="42">
        <v>-7.3</v>
      </c>
      <c r="W100" s="42">
        <v>-34.6</v>
      </c>
    </row>
    <row r="101">
      <c r="A101" s="87">
        <v>100.0</v>
      </c>
      <c r="B101" s="85" t="s">
        <v>1489</v>
      </c>
      <c r="C101" s="85" t="s">
        <v>165</v>
      </c>
      <c r="D101" s="85" t="s">
        <v>1247</v>
      </c>
      <c r="E101" s="85" t="s">
        <v>1208</v>
      </c>
      <c r="F101" s="85" t="s">
        <v>1248</v>
      </c>
      <c r="G101" s="85" t="s">
        <v>1249</v>
      </c>
      <c r="H101" s="85" t="s">
        <v>1249</v>
      </c>
      <c r="I101" s="85" t="s">
        <v>1211</v>
      </c>
      <c r="J101" s="42">
        <v>190.0</v>
      </c>
      <c r="K101" s="42">
        <v>0.74</v>
      </c>
      <c r="L101" s="42">
        <v>0.38</v>
      </c>
      <c r="M101" s="42">
        <v>0.08</v>
      </c>
      <c r="N101" s="42">
        <v>4.1</v>
      </c>
      <c r="O101" s="42">
        <v>1.0E12</v>
      </c>
      <c r="P101" s="42">
        <v>2.12E11</v>
      </c>
      <c r="Q101" s="42">
        <v>-12.1</v>
      </c>
      <c r="R101" s="42">
        <v>-28.4</v>
      </c>
      <c r="S101" s="42">
        <v>-38.3</v>
      </c>
      <c r="T101" s="42">
        <v>-17.1</v>
      </c>
      <c r="U101" s="42">
        <v>2.6</v>
      </c>
      <c r="V101" s="42">
        <v>-7.9</v>
      </c>
      <c r="W101" s="42">
        <v>-37.3</v>
      </c>
    </row>
    <row r="102">
      <c r="A102" s="87">
        <v>101.0</v>
      </c>
      <c r="B102" s="85" t="s">
        <v>1490</v>
      </c>
      <c r="C102" s="85" t="s">
        <v>166</v>
      </c>
      <c r="D102" s="85" t="s">
        <v>1273</v>
      </c>
      <c r="E102" s="85" t="s">
        <v>1208</v>
      </c>
      <c r="F102" s="85" t="s">
        <v>1274</v>
      </c>
      <c r="G102" s="85" t="s">
        <v>1274</v>
      </c>
      <c r="H102" s="85" t="s">
        <v>1274</v>
      </c>
      <c r="I102" s="85" t="s">
        <v>1320</v>
      </c>
      <c r="J102" s="42">
        <v>24.9</v>
      </c>
      <c r="K102" s="42">
        <v>1.5</v>
      </c>
      <c r="L102" s="42">
        <v>5.9</v>
      </c>
      <c r="M102" s="42">
        <v>1.9</v>
      </c>
      <c r="N102" s="42">
        <v>2.1</v>
      </c>
      <c r="O102" s="42">
        <v>7.8E12</v>
      </c>
      <c r="P102" s="42">
        <v>3.06E11</v>
      </c>
      <c r="Q102" s="42">
        <v>-2.3</v>
      </c>
      <c r="R102" s="42">
        <v>-2.3</v>
      </c>
      <c r="S102" s="42">
        <v>-1.3</v>
      </c>
      <c r="T102" s="42">
        <v>-9.9</v>
      </c>
      <c r="U102" s="42">
        <v>100.0</v>
      </c>
      <c r="V102" s="42">
        <v>0.0</v>
      </c>
      <c r="W102" s="42">
        <v>-4.6</v>
      </c>
    </row>
    <row r="103">
      <c r="A103" s="87">
        <v>102.0</v>
      </c>
      <c r="B103" s="85" t="s">
        <v>1491</v>
      </c>
      <c r="C103" s="85" t="s">
        <v>167</v>
      </c>
      <c r="D103" s="85" t="s">
        <v>1273</v>
      </c>
      <c r="E103" s="85" t="s">
        <v>1208</v>
      </c>
      <c r="F103" s="85" t="s">
        <v>1274</v>
      </c>
      <c r="G103" s="85" t="s">
        <v>1274</v>
      </c>
      <c r="H103" s="85" t="s">
        <v>1274</v>
      </c>
      <c r="I103" s="85" t="s">
        <v>1492</v>
      </c>
      <c r="J103" s="42">
        <v>6.8</v>
      </c>
      <c r="K103" s="42">
        <v>0.83</v>
      </c>
      <c r="L103" s="42">
        <v>12.3</v>
      </c>
      <c r="M103" s="42">
        <v>1.4</v>
      </c>
      <c r="N103" s="42">
        <v>7.6</v>
      </c>
      <c r="O103" s="42">
        <v>1.4E14</v>
      </c>
      <c r="P103" s="42">
        <v>2.26E13</v>
      </c>
      <c r="Q103" s="42">
        <v>-21.2</v>
      </c>
      <c r="R103" s="42">
        <v>-29.8</v>
      </c>
      <c r="S103" s="42">
        <v>-30.2</v>
      </c>
      <c r="T103" s="42">
        <v>-31.9</v>
      </c>
      <c r="U103" s="42">
        <v>89.9</v>
      </c>
      <c r="V103" s="42">
        <v>-19.9</v>
      </c>
      <c r="W103" s="42">
        <v>-29.3</v>
      </c>
    </row>
    <row r="104">
      <c r="A104" s="87">
        <v>103.0</v>
      </c>
      <c r="B104" s="85" t="s">
        <v>1493</v>
      </c>
      <c r="C104" s="85" t="s">
        <v>168</v>
      </c>
      <c r="D104" s="85" t="s">
        <v>1273</v>
      </c>
      <c r="E104" s="85" t="s">
        <v>1208</v>
      </c>
      <c r="F104" s="85" t="s">
        <v>1274</v>
      </c>
      <c r="G104" s="85" t="s">
        <v>1274</v>
      </c>
      <c r="H104" s="85" t="s">
        <v>1274</v>
      </c>
      <c r="I104" s="85" t="s">
        <v>1494</v>
      </c>
      <c r="J104" s="42">
        <v>7.7</v>
      </c>
      <c r="K104" s="42">
        <v>1.3</v>
      </c>
      <c r="L104" s="42">
        <v>17.0</v>
      </c>
      <c r="M104" s="42">
        <v>2.6</v>
      </c>
      <c r="N104" s="42">
        <v>5.5</v>
      </c>
      <c r="O104" s="42">
        <v>4.4E14</v>
      </c>
      <c r="P104" s="42">
        <v>6.04E13</v>
      </c>
      <c r="Q104" s="42">
        <v>-19.1</v>
      </c>
      <c r="R104" s="42">
        <v>-27.5</v>
      </c>
      <c r="S104" s="42">
        <v>-29.4</v>
      </c>
      <c r="T104" s="42">
        <v>-36.8</v>
      </c>
      <c r="U104" s="42">
        <v>96.8</v>
      </c>
      <c r="V104" s="42">
        <v>-14.8</v>
      </c>
      <c r="W104" s="42">
        <v>-28.8</v>
      </c>
    </row>
    <row r="105">
      <c r="A105" s="87">
        <v>104.0</v>
      </c>
      <c r="B105" s="85" t="s">
        <v>1495</v>
      </c>
      <c r="C105" s="85" t="s">
        <v>169</v>
      </c>
      <c r="D105" s="85" t="s">
        <v>1308</v>
      </c>
      <c r="E105" s="85" t="s">
        <v>1187</v>
      </c>
      <c r="F105" s="85" t="s">
        <v>1188</v>
      </c>
      <c r="G105" s="85" t="s">
        <v>1189</v>
      </c>
      <c r="H105" s="85" t="s">
        <v>1309</v>
      </c>
      <c r="I105" s="85" t="s">
        <v>1383</v>
      </c>
      <c r="J105" s="42">
        <v>9.6</v>
      </c>
      <c r="K105" s="42">
        <v>1.3</v>
      </c>
      <c r="L105" s="42">
        <v>13.7</v>
      </c>
      <c r="M105" s="42">
        <v>12.7</v>
      </c>
      <c r="N105" s="42">
        <v>0.08</v>
      </c>
      <c r="O105" s="42">
        <v>1.0E12</v>
      </c>
      <c r="P105" s="42">
        <v>5.2E10</v>
      </c>
      <c r="Q105" s="42">
        <v>-41.0</v>
      </c>
      <c r="R105" s="42">
        <v>-35.1</v>
      </c>
      <c r="S105" s="42">
        <v>-27.4</v>
      </c>
      <c r="T105" s="42">
        <v>6.3</v>
      </c>
      <c r="U105" s="42">
        <v>200.0</v>
      </c>
      <c r="V105" s="42">
        <v>-30.3</v>
      </c>
      <c r="W105" s="42">
        <v>-65.2</v>
      </c>
    </row>
    <row r="106">
      <c r="A106" s="87">
        <v>105.0</v>
      </c>
      <c r="B106" s="85" t="s">
        <v>1496</v>
      </c>
      <c r="C106" s="85" t="s">
        <v>170</v>
      </c>
      <c r="D106" s="85" t="s">
        <v>1273</v>
      </c>
      <c r="E106" s="85" t="s">
        <v>1208</v>
      </c>
      <c r="F106" s="85" t="s">
        <v>1274</v>
      </c>
      <c r="G106" s="85" t="s">
        <v>1274</v>
      </c>
      <c r="H106" s="85" t="s">
        <v>1274</v>
      </c>
      <c r="I106" s="85" t="s">
        <v>1320</v>
      </c>
      <c r="J106" s="42">
        <v>91.2</v>
      </c>
      <c r="K106" s="42">
        <v>4.6</v>
      </c>
      <c r="L106" s="42">
        <v>5.1</v>
      </c>
      <c r="M106" s="42">
        <v>1.2</v>
      </c>
      <c r="N106" s="42">
        <v>3.2</v>
      </c>
      <c r="O106" s="42">
        <v>1.61E13</v>
      </c>
      <c r="P106" s="42">
        <v>8.15E11</v>
      </c>
      <c r="Q106" s="42">
        <v>-17.9</v>
      </c>
      <c r="R106" s="42">
        <v>-18.6</v>
      </c>
      <c r="S106" s="42">
        <v>-0.512</v>
      </c>
      <c r="T106" s="42">
        <v>-3.0</v>
      </c>
      <c r="U106" s="42">
        <v>21.9</v>
      </c>
      <c r="V106" s="42">
        <v>-11.6</v>
      </c>
      <c r="W106" s="42">
        <v>-3.0</v>
      </c>
    </row>
    <row r="107">
      <c r="A107" s="87">
        <v>106.0</v>
      </c>
      <c r="B107" s="85" t="s">
        <v>1497</v>
      </c>
      <c r="C107" s="85" t="s">
        <v>171</v>
      </c>
      <c r="D107" s="85" t="s">
        <v>1234</v>
      </c>
      <c r="E107" s="85" t="s">
        <v>1235</v>
      </c>
      <c r="F107" s="85" t="s">
        <v>1235</v>
      </c>
      <c r="G107" s="85" t="s">
        <v>1236</v>
      </c>
      <c r="H107" s="85" t="s">
        <v>1237</v>
      </c>
      <c r="I107" s="85" t="s">
        <v>1238</v>
      </c>
      <c r="J107" s="42">
        <v>-1130.0</v>
      </c>
      <c r="K107" s="42">
        <v>2.5</v>
      </c>
      <c r="L107" s="42">
        <v>-0.22</v>
      </c>
      <c r="M107" s="42">
        <v>-0.22</v>
      </c>
      <c r="N107" s="42">
        <v>0.01</v>
      </c>
      <c r="O107" s="42">
        <v>6.19E11</v>
      </c>
      <c r="P107" s="42">
        <v>1.5E8</v>
      </c>
      <c r="Q107" s="42">
        <v>-45.1</v>
      </c>
      <c r="R107" s="42">
        <v>-48.9</v>
      </c>
      <c r="S107" s="42">
        <v>-77.7</v>
      </c>
      <c r="T107" s="42">
        <v>-70.0</v>
      </c>
      <c r="U107" s="42">
        <v>-360.0</v>
      </c>
      <c r="V107" s="42">
        <v>-26.2</v>
      </c>
      <c r="W107" s="42">
        <v>-77.5</v>
      </c>
    </row>
    <row r="108">
      <c r="A108" s="87">
        <v>107.0</v>
      </c>
      <c r="B108" s="85" t="s">
        <v>1498</v>
      </c>
      <c r="C108" s="85" t="s">
        <v>172</v>
      </c>
      <c r="D108" s="85" t="s">
        <v>1273</v>
      </c>
      <c r="E108" s="85" t="s">
        <v>1208</v>
      </c>
      <c r="F108" s="85" t="s">
        <v>1274</v>
      </c>
      <c r="G108" s="85" t="s">
        <v>1274</v>
      </c>
      <c r="H108" s="85" t="s">
        <v>1274</v>
      </c>
      <c r="I108" s="85" t="s">
        <v>1499</v>
      </c>
      <c r="J108" s="42">
        <v>4.8</v>
      </c>
      <c r="K108" s="42">
        <v>0.48</v>
      </c>
      <c r="L108" s="42">
        <v>10.1</v>
      </c>
      <c r="M108" s="42">
        <v>0.72</v>
      </c>
      <c r="N108" s="42">
        <v>12.3</v>
      </c>
      <c r="O108" s="42">
        <v>1.76E13</v>
      </c>
      <c r="P108" s="42">
        <v>7.6E12</v>
      </c>
      <c r="Q108" s="42">
        <v>-22.8</v>
      </c>
      <c r="R108" s="42">
        <v>-17.6</v>
      </c>
      <c r="S108" s="42">
        <v>-8.7</v>
      </c>
      <c r="T108" s="42">
        <v>-8.3</v>
      </c>
      <c r="U108" s="42">
        <v>48.5</v>
      </c>
      <c r="V108" s="42">
        <v>-18.0</v>
      </c>
      <c r="W108" s="42">
        <v>-9.5</v>
      </c>
    </row>
    <row r="109">
      <c r="A109" s="87">
        <v>108.0</v>
      </c>
      <c r="B109" s="85" t="s">
        <v>1500</v>
      </c>
      <c r="C109" s="85" t="s">
        <v>173</v>
      </c>
      <c r="D109" s="85" t="s">
        <v>1273</v>
      </c>
      <c r="E109" s="85" t="s">
        <v>1208</v>
      </c>
      <c r="F109" s="85" t="s">
        <v>1274</v>
      </c>
      <c r="G109" s="85" t="s">
        <v>1274</v>
      </c>
      <c r="H109" s="85" t="s">
        <v>1274</v>
      </c>
      <c r="I109" s="85" t="s">
        <v>1501</v>
      </c>
      <c r="J109" s="42">
        <v>6.4</v>
      </c>
      <c r="K109" s="42">
        <v>0.81</v>
      </c>
      <c r="L109" s="42">
        <v>12.6</v>
      </c>
      <c r="M109" s="42">
        <v>3.0</v>
      </c>
      <c r="N109" s="42">
        <v>3.3</v>
      </c>
      <c r="O109" s="42">
        <v>3.4E12</v>
      </c>
      <c r="P109" s="42">
        <v>7.65E11</v>
      </c>
      <c r="Q109" s="42">
        <v>-37.3</v>
      </c>
      <c r="R109" s="42">
        <v>-33.8</v>
      </c>
      <c r="S109" s="42">
        <v>-56.2</v>
      </c>
      <c r="T109" s="42">
        <v>-15.8</v>
      </c>
      <c r="U109" s="42">
        <v>70.9</v>
      </c>
      <c r="V109" s="42">
        <v>-26.7</v>
      </c>
      <c r="W109" s="42">
        <v>-60.0</v>
      </c>
    </row>
    <row r="110">
      <c r="A110" s="87">
        <v>109.0</v>
      </c>
      <c r="B110" s="85" t="s">
        <v>1502</v>
      </c>
      <c r="C110" s="85" t="s">
        <v>174</v>
      </c>
      <c r="D110" s="85" t="s">
        <v>1363</v>
      </c>
      <c r="E110" s="85" t="s">
        <v>1208</v>
      </c>
      <c r="F110" s="85" t="s">
        <v>1364</v>
      </c>
      <c r="G110" s="85" t="s">
        <v>1364</v>
      </c>
      <c r="H110" s="85" t="s">
        <v>1365</v>
      </c>
      <c r="I110" s="85" t="s">
        <v>1320</v>
      </c>
      <c r="J110" s="42">
        <v>7.9</v>
      </c>
      <c r="K110" s="42">
        <v>0.39</v>
      </c>
      <c r="L110" s="42">
        <v>5.0</v>
      </c>
      <c r="M110" s="42">
        <v>0.87</v>
      </c>
      <c r="N110" s="42">
        <v>4.7</v>
      </c>
      <c r="O110" s="42">
        <v>2.1E12</v>
      </c>
      <c r="P110" s="42">
        <v>8.5E11</v>
      </c>
      <c r="Q110" s="42">
        <v>-2.0</v>
      </c>
      <c r="R110" s="42">
        <v>0.0</v>
      </c>
      <c r="S110" s="42">
        <v>-10.7</v>
      </c>
      <c r="T110" s="42">
        <v>-12.3</v>
      </c>
      <c r="U110" s="42">
        <v>31.8</v>
      </c>
      <c r="V110" s="42">
        <v>0.0</v>
      </c>
      <c r="W110" s="42">
        <v>-13.8</v>
      </c>
    </row>
    <row r="111">
      <c r="A111" s="87">
        <v>110.0</v>
      </c>
      <c r="B111" s="85" t="s">
        <v>1503</v>
      </c>
      <c r="C111" s="85" t="s">
        <v>176</v>
      </c>
      <c r="D111" s="85" t="s">
        <v>1273</v>
      </c>
      <c r="E111" s="85" t="s">
        <v>1208</v>
      </c>
      <c r="F111" s="85" t="s">
        <v>1274</v>
      </c>
      <c r="G111" s="85" t="s">
        <v>1274</v>
      </c>
      <c r="H111" s="85" t="s">
        <v>1274</v>
      </c>
      <c r="I111" s="85" t="s">
        <v>1211</v>
      </c>
      <c r="J111" s="42">
        <v>-4.3</v>
      </c>
      <c r="K111" s="42">
        <v>0.6</v>
      </c>
      <c r="L111" s="42">
        <v>-14.1</v>
      </c>
      <c r="M111" s="42">
        <v>-1.3</v>
      </c>
      <c r="N111" s="42">
        <v>9.9</v>
      </c>
      <c r="O111" s="42">
        <v>2.1E12</v>
      </c>
      <c r="P111" s="42">
        <v>6.31E11</v>
      </c>
      <c r="Q111" s="42">
        <v>-39.1</v>
      </c>
      <c r="R111" s="42">
        <v>-41.4</v>
      </c>
      <c r="S111" s="42">
        <v>-51.9</v>
      </c>
      <c r="T111" s="42">
        <v>-54.1</v>
      </c>
      <c r="U111" s="42">
        <v>-77.8</v>
      </c>
      <c r="V111" s="42">
        <v>-36.1</v>
      </c>
      <c r="W111" s="42">
        <v>-50.9</v>
      </c>
    </row>
    <row r="112">
      <c r="A112" s="87">
        <v>111.0</v>
      </c>
      <c r="B112" s="85" t="s">
        <v>1504</v>
      </c>
      <c r="C112" s="85" t="s">
        <v>177</v>
      </c>
      <c r="D112" s="85" t="s">
        <v>1234</v>
      </c>
      <c r="E112" s="85" t="s">
        <v>1235</v>
      </c>
      <c r="F112" s="85" t="s">
        <v>1235</v>
      </c>
      <c r="G112" s="85" t="s">
        <v>1236</v>
      </c>
      <c r="H112" s="85" t="s">
        <v>1237</v>
      </c>
      <c r="I112" s="85" t="s">
        <v>1322</v>
      </c>
      <c r="J112" s="42">
        <v>3.5</v>
      </c>
      <c r="K112" s="42">
        <v>0.17</v>
      </c>
      <c r="L112" s="42">
        <v>4.9</v>
      </c>
      <c r="M112" s="42">
        <v>2.8</v>
      </c>
      <c r="N112" s="42">
        <v>0.73</v>
      </c>
      <c r="O112" s="42">
        <v>9.0E10</v>
      </c>
      <c r="P112" s="42">
        <v>5.0E10</v>
      </c>
      <c r="Q112" s="42">
        <v>-28.9</v>
      </c>
      <c r="R112" s="42">
        <v>-25.0</v>
      </c>
      <c r="S112" s="42">
        <v>-41.9</v>
      </c>
      <c r="T112" s="42">
        <v>-43.2</v>
      </c>
      <c r="U112" s="42">
        <v>51.5</v>
      </c>
      <c r="V112" s="42">
        <v>-12.9</v>
      </c>
      <c r="W112" s="42">
        <v>-34.9</v>
      </c>
    </row>
    <row r="113">
      <c r="A113" s="87">
        <v>112.0</v>
      </c>
      <c r="B113" s="85" t="s">
        <v>1505</v>
      </c>
      <c r="C113" s="85" t="s">
        <v>178</v>
      </c>
      <c r="D113" s="85" t="s">
        <v>1229</v>
      </c>
      <c r="E113" s="85" t="s">
        <v>1230</v>
      </c>
      <c r="F113" s="85" t="s">
        <v>1231</v>
      </c>
      <c r="G113" s="85" t="s">
        <v>1231</v>
      </c>
      <c r="H113" s="85" t="s">
        <v>1231</v>
      </c>
      <c r="I113" s="85" t="s">
        <v>1506</v>
      </c>
      <c r="J113" s="42">
        <v>26.7</v>
      </c>
      <c r="K113" s="42">
        <v>0.88</v>
      </c>
      <c r="L113" s="42">
        <v>3.3</v>
      </c>
      <c r="M113" s="42">
        <v>2.3</v>
      </c>
      <c r="N113" s="42">
        <v>0.41</v>
      </c>
      <c r="O113" s="42">
        <v>6.8E11</v>
      </c>
      <c r="P113" s="42">
        <v>9.8E10</v>
      </c>
      <c r="Q113" s="42">
        <v>-22.2</v>
      </c>
      <c r="R113" s="42">
        <v>-14.9</v>
      </c>
      <c r="S113" s="42">
        <v>-26.3</v>
      </c>
      <c r="T113" s="42">
        <v>-14.3</v>
      </c>
      <c r="U113" s="42">
        <v>26.1</v>
      </c>
      <c r="V113" s="42">
        <v>-13.1</v>
      </c>
      <c r="W113" s="42">
        <v>-27.6</v>
      </c>
    </row>
    <row r="114">
      <c r="A114" s="87">
        <v>113.0</v>
      </c>
      <c r="B114" s="85" t="s">
        <v>1507</v>
      </c>
      <c r="C114" s="85" t="s">
        <v>179</v>
      </c>
      <c r="D114" s="85" t="s">
        <v>1273</v>
      </c>
      <c r="E114" s="85" t="s">
        <v>1208</v>
      </c>
      <c r="F114" s="85" t="s">
        <v>1274</v>
      </c>
      <c r="G114" s="85" t="s">
        <v>1274</v>
      </c>
      <c r="H114" s="85" t="s">
        <v>1274</v>
      </c>
      <c r="I114" s="85" t="s">
        <v>1508</v>
      </c>
      <c r="J114" s="42">
        <v>10.5</v>
      </c>
      <c r="K114" s="42">
        <v>0.8</v>
      </c>
      <c r="L114" s="42">
        <v>7.6</v>
      </c>
      <c r="M114" s="42">
        <v>1.6</v>
      </c>
      <c r="N114" s="42">
        <v>3.9</v>
      </c>
      <c r="O114" s="42">
        <v>4.51E13</v>
      </c>
      <c r="P114" s="42">
        <v>7.2E12</v>
      </c>
      <c r="Q114" s="42">
        <v>-20.0</v>
      </c>
      <c r="R114" s="42">
        <v>48.0</v>
      </c>
      <c r="S114" s="42">
        <v>51.0</v>
      </c>
      <c r="T114" s="42">
        <v>53.5</v>
      </c>
      <c r="U114" s="42">
        <v>60.7</v>
      </c>
      <c r="V114" s="42">
        <v>-18.4</v>
      </c>
      <c r="W114" s="42">
        <v>51.6</v>
      </c>
    </row>
    <row r="115">
      <c r="A115" s="87">
        <v>114.0</v>
      </c>
      <c r="B115" s="85" t="s">
        <v>1509</v>
      </c>
      <c r="C115" s="85" t="s">
        <v>180</v>
      </c>
      <c r="D115" s="85" t="s">
        <v>1448</v>
      </c>
      <c r="E115" s="85" t="s">
        <v>1252</v>
      </c>
      <c r="F115" s="85" t="s">
        <v>1252</v>
      </c>
      <c r="G115" s="85" t="s">
        <v>1449</v>
      </c>
      <c r="H115" s="85" t="s">
        <v>1449</v>
      </c>
      <c r="I115" s="85" t="s">
        <v>1316</v>
      </c>
      <c r="J115" s="42">
        <v>0.0</v>
      </c>
      <c r="K115" s="42">
        <v>0.28</v>
      </c>
      <c r="L115" s="42">
        <v>-4.6</v>
      </c>
      <c r="M115" s="42">
        <v>-4.2</v>
      </c>
      <c r="N115" s="42">
        <v>0.11</v>
      </c>
      <c r="O115" s="42">
        <v>2.25E11</v>
      </c>
      <c r="P115" s="42">
        <v>5.3E10</v>
      </c>
      <c r="Q115" s="42">
        <v>0.0</v>
      </c>
      <c r="R115" s="42">
        <v>0.0</v>
      </c>
      <c r="S115" s="42">
        <v>0.0</v>
      </c>
      <c r="T115" s="42">
        <v>0.0</v>
      </c>
      <c r="U115" s="42">
        <v>-71.4</v>
      </c>
      <c r="V115" s="42">
        <v>0.0</v>
      </c>
      <c r="W115" s="42">
        <v>0.0</v>
      </c>
    </row>
    <row r="116">
      <c r="A116" s="87">
        <v>115.0</v>
      </c>
      <c r="B116" s="85" t="s">
        <v>1510</v>
      </c>
      <c r="C116" s="85" t="s">
        <v>181</v>
      </c>
      <c r="D116" s="85" t="s">
        <v>1282</v>
      </c>
      <c r="E116" s="85" t="s">
        <v>1194</v>
      </c>
      <c r="F116" s="85" t="s">
        <v>1195</v>
      </c>
      <c r="G116" s="85" t="s">
        <v>1283</v>
      </c>
      <c r="H116" s="85" t="s">
        <v>1283</v>
      </c>
      <c r="I116" s="85" t="s">
        <v>1352</v>
      </c>
      <c r="J116" s="42">
        <v>12.8</v>
      </c>
      <c r="K116" s="42">
        <v>3.3</v>
      </c>
      <c r="L116" s="42">
        <v>25.9</v>
      </c>
      <c r="M116" s="42">
        <v>4.9</v>
      </c>
      <c r="N116" s="42">
        <v>4.4</v>
      </c>
      <c r="O116" s="42">
        <v>1.4E12</v>
      </c>
      <c r="P116" s="42">
        <v>1.3E12</v>
      </c>
      <c r="Q116" s="42">
        <v>-26.3</v>
      </c>
      <c r="R116" s="42">
        <v>-45.0</v>
      </c>
      <c r="S116" s="42">
        <v>-77.6</v>
      </c>
      <c r="T116" s="42">
        <v>-48.8</v>
      </c>
      <c r="U116" s="42">
        <v>8.4</v>
      </c>
      <c r="V116" s="42">
        <v>-17.0</v>
      </c>
      <c r="W116" s="42">
        <v>-71.8</v>
      </c>
    </row>
    <row r="117">
      <c r="A117" s="87">
        <v>116.0</v>
      </c>
      <c r="B117" s="85" t="s">
        <v>1511</v>
      </c>
      <c r="C117" s="85" t="s">
        <v>182</v>
      </c>
      <c r="D117" s="85" t="s">
        <v>1512</v>
      </c>
      <c r="E117" s="85" t="s">
        <v>1194</v>
      </c>
      <c r="F117" s="85" t="s">
        <v>1195</v>
      </c>
      <c r="G117" s="85" t="s">
        <v>1241</v>
      </c>
      <c r="H117" s="85" t="s">
        <v>1513</v>
      </c>
      <c r="I117" s="85" t="s">
        <v>1514</v>
      </c>
      <c r="J117" s="42">
        <v>410.0</v>
      </c>
      <c r="K117" s="42">
        <v>1.4</v>
      </c>
      <c r="L117" s="42">
        <v>0.35</v>
      </c>
      <c r="M117" s="42">
        <v>0.32</v>
      </c>
      <c r="N117" s="42">
        <v>0.08</v>
      </c>
      <c r="O117" s="42">
        <v>3.32E11</v>
      </c>
      <c r="P117" s="42">
        <v>7.17E9</v>
      </c>
      <c r="Q117" s="42">
        <v>-33.6</v>
      </c>
      <c r="R117" s="42">
        <v>-38.1</v>
      </c>
      <c r="S117" s="42">
        <v>-60.1</v>
      </c>
      <c r="T117" s="42">
        <v>10.7</v>
      </c>
      <c r="U117" s="42">
        <v>11.4</v>
      </c>
      <c r="V117" s="42">
        <v>-25.9</v>
      </c>
      <c r="W117" s="42">
        <v>-64.5</v>
      </c>
    </row>
    <row r="118">
      <c r="A118" s="87">
        <v>117.0</v>
      </c>
      <c r="B118" s="85" t="s">
        <v>1515</v>
      </c>
      <c r="C118" s="85" t="s">
        <v>183</v>
      </c>
      <c r="D118" s="85" t="s">
        <v>1273</v>
      </c>
      <c r="E118" s="85" t="s">
        <v>1208</v>
      </c>
      <c r="F118" s="85" t="s">
        <v>1274</v>
      </c>
      <c r="G118" s="85" t="s">
        <v>1274</v>
      </c>
      <c r="H118" s="85" t="s">
        <v>1274</v>
      </c>
      <c r="I118" s="85" t="s">
        <v>1516</v>
      </c>
      <c r="J118" s="42">
        <v>21.4</v>
      </c>
      <c r="K118" s="42">
        <v>0.6</v>
      </c>
      <c r="L118" s="42">
        <v>2.8</v>
      </c>
      <c r="M118" s="42">
        <v>0.53</v>
      </c>
      <c r="N118" s="42">
        <v>4.3</v>
      </c>
      <c r="O118" s="42">
        <v>1.1E12</v>
      </c>
      <c r="P118" s="42">
        <v>1.96E11</v>
      </c>
      <c r="Q118" s="42">
        <v>-24.0</v>
      </c>
      <c r="R118" s="42">
        <v>-29.6</v>
      </c>
      <c r="S118" s="42">
        <v>-42.4</v>
      </c>
      <c r="T118" s="42">
        <v>-40.6</v>
      </c>
      <c r="U118" s="42">
        <v>27.3</v>
      </c>
      <c r="V118" s="42">
        <v>-17.4</v>
      </c>
      <c r="W118" s="42">
        <v>-34.5</v>
      </c>
    </row>
    <row r="119">
      <c r="A119" s="87">
        <v>118.0</v>
      </c>
      <c r="B119" s="85" t="s">
        <v>1517</v>
      </c>
      <c r="C119" s="85" t="s">
        <v>184</v>
      </c>
      <c r="D119" s="85" t="s">
        <v>1439</v>
      </c>
      <c r="E119" s="85" t="s">
        <v>1376</v>
      </c>
      <c r="F119" s="85" t="s">
        <v>1377</v>
      </c>
      <c r="G119" s="85" t="s">
        <v>1440</v>
      </c>
      <c r="H119" s="85" t="s">
        <v>1440</v>
      </c>
      <c r="I119" s="85" t="s">
        <v>1441</v>
      </c>
      <c r="J119" s="42">
        <v>-23.9</v>
      </c>
      <c r="K119" s="42">
        <v>5.1</v>
      </c>
      <c r="L119" s="42">
        <v>-21.2</v>
      </c>
      <c r="M119" s="42">
        <v>-10.4</v>
      </c>
      <c r="N119" s="42">
        <v>1.0</v>
      </c>
      <c r="O119" s="42">
        <v>4.64E13</v>
      </c>
      <c r="P119" s="42">
        <v>7.8E12</v>
      </c>
      <c r="Q119" s="42">
        <v>-23.7</v>
      </c>
      <c r="R119" s="42">
        <v>-36.6</v>
      </c>
      <c r="S119" s="42">
        <v>-41.0</v>
      </c>
      <c r="T119" s="42">
        <v>-32.5</v>
      </c>
      <c r="U119" s="42">
        <v>-24.8</v>
      </c>
      <c r="V119" s="42">
        <v>-17.7</v>
      </c>
      <c r="W119" s="42">
        <v>-44.2</v>
      </c>
    </row>
    <row r="120">
      <c r="A120" s="87">
        <v>119.0</v>
      </c>
      <c r="B120" s="85" t="s">
        <v>1518</v>
      </c>
      <c r="C120" s="85" t="s">
        <v>185</v>
      </c>
      <c r="D120" s="85" t="s">
        <v>1224</v>
      </c>
      <c r="E120" s="85" t="s">
        <v>1201</v>
      </c>
      <c r="F120" s="85" t="s">
        <v>1225</v>
      </c>
      <c r="G120" s="85" t="s">
        <v>1225</v>
      </c>
      <c r="H120" s="85" t="s">
        <v>1226</v>
      </c>
      <c r="I120" s="85" t="s">
        <v>1458</v>
      </c>
      <c r="J120" s="42">
        <v>120.0</v>
      </c>
      <c r="K120" s="42">
        <v>2.7</v>
      </c>
      <c r="L120" s="42">
        <v>2.4</v>
      </c>
      <c r="M120" s="42">
        <v>1.1</v>
      </c>
      <c r="N120" s="42">
        <v>1.2</v>
      </c>
      <c r="O120" s="42">
        <v>7.76E11</v>
      </c>
      <c r="P120" s="42">
        <v>1.53E11</v>
      </c>
      <c r="Q120" s="42">
        <v>-36.1</v>
      </c>
      <c r="R120" s="42">
        <v>-41.8</v>
      </c>
      <c r="S120" s="42">
        <v>13.3</v>
      </c>
      <c r="T120" s="42">
        <v>66.7</v>
      </c>
      <c r="U120" s="42">
        <v>4.4</v>
      </c>
      <c r="V120" s="42">
        <v>-18.3</v>
      </c>
      <c r="W120" s="42">
        <v>23.2</v>
      </c>
    </row>
    <row r="121">
      <c r="A121" s="87">
        <v>120.0</v>
      </c>
      <c r="B121" s="85" t="s">
        <v>1519</v>
      </c>
      <c r="C121" s="85" t="s">
        <v>186</v>
      </c>
      <c r="D121" s="85" t="s">
        <v>1308</v>
      </c>
      <c r="E121" s="85" t="s">
        <v>1187</v>
      </c>
      <c r="F121" s="85" t="s">
        <v>1188</v>
      </c>
      <c r="G121" s="85" t="s">
        <v>1189</v>
      </c>
      <c r="H121" s="85" t="s">
        <v>1309</v>
      </c>
      <c r="I121" s="85" t="s">
        <v>1383</v>
      </c>
      <c r="J121" s="42">
        <v>120.0</v>
      </c>
      <c r="K121" s="42">
        <v>5.2</v>
      </c>
      <c r="L121" s="42">
        <v>4.3</v>
      </c>
      <c r="M121" s="42">
        <v>3.9</v>
      </c>
      <c r="N121" s="42">
        <v>0.09</v>
      </c>
      <c r="O121" s="42">
        <v>3.5E12</v>
      </c>
      <c r="P121" s="42">
        <v>5.5E10</v>
      </c>
      <c r="Q121" s="42">
        <v>-23.0</v>
      </c>
      <c r="R121" s="42">
        <v>-25.3</v>
      </c>
      <c r="S121" s="42">
        <v>-52.8</v>
      </c>
      <c r="T121" s="42">
        <v>-28.8</v>
      </c>
      <c r="U121" s="42">
        <v>51.8</v>
      </c>
      <c r="V121" s="42">
        <v>-14.1</v>
      </c>
      <c r="W121" s="42">
        <v>-45.9</v>
      </c>
    </row>
    <row r="122">
      <c r="A122" s="87">
        <v>121.0</v>
      </c>
      <c r="B122" s="85" t="s">
        <v>1520</v>
      </c>
      <c r="C122" s="85" t="s">
        <v>187</v>
      </c>
      <c r="D122" s="85" t="s">
        <v>1234</v>
      </c>
      <c r="E122" s="85" t="s">
        <v>1235</v>
      </c>
      <c r="F122" s="85" t="s">
        <v>1235</v>
      </c>
      <c r="G122" s="85" t="s">
        <v>1236</v>
      </c>
      <c r="H122" s="85" t="s">
        <v>1237</v>
      </c>
      <c r="I122" s="85" t="s">
        <v>1369</v>
      </c>
      <c r="J122" s="42">
        <v>13.4</v>
      </c>
      <c r="K122" s="42">
        <v>0.22</v>
      </c>
      <c r="L122" s="42">
        <v>1.6</v>
      </c>
      <c r="M122" s="42">
        <v>1.3</v>
      </c>
      <c r="N122" s="42">
        <v>0.3</v>
      </c>
      <c r="O122" s="42">
        <v>9.74E11</v>
      </c>
      <c r="P122" s="42">
        <v>9.0E10</v>
      </c>
      <c r="Q122" s="42">
        <v>-22.0</v>
      </c>
      <c r="R122" s="42">
        <v>-16.7</v>
      </c>
      <c r="S122" s="42">
        <v>-18.3</v>
      </c>
      <c r="T122" s="42">
        <v>-12.4</v>
      </c>
      <c r="U122" s="42">
        <v>81.0</v>
      </c>
      <c r="V122" s="42">
        <v>-15.8</v>
      </c>
      <c r="W122" s="42">
        <v>-23.4</v>
      </c>
    </row>
    <row r="123">
      <c r="A123" s="87">
        <v>122.0</v>
      </c>
      <c r="B123" s="85" t="s">
        <v>1521</v>
      </c>
      <c r="C123" s="85" t="s">
        <v>188</v>
      </c>
      <c r="D123" s="85" t="s">
        <v>1247</v>
      </c>
      <c r="E123" s="85" t="s">
        <v>1208</v>
      </c>
      <c r="F123" s="85" t="s">
        <v>1248</v>
      </c>
      <c r="G123" s="85" t="s">
        <v>1249</v>
      </c>
      <c r="H123" s="85" t="s">
        <v>1249</v>
      </c>
      <c r="I123" s="85" t="s">
        <v>1522</v>
      </c>
      <c r="J123" s="42">
        <v>6.8</v>
      </c>
      <c r="K123" s="42">
        <v>0.95</v>
      </c>
      <c r="L123" s="42">
        <v>14.0</v>
      </c>
      <c r="M123" s="42">
        <v>6.1</v>
      </c>
      <c r="N123" s="42">
        <v>1.3</v>
      </c>
      <c r="O123" s="42">
        <v>1.04E13</v>
      </c>
      <c r="P123" s="42">
        <v>1.4E12</v>
      </c>
      <c r="Q123" s="42">
        <v>-24.0</v>
      </c>
      <c r="R123" s="42">
        <v>-19.3</v>
      </c>
      <c r="S123" s="42">
        <v>-22.5</v>
      </c>
      <c r="T123" s="42">
        <v>-33.9</v>
      </c>
      <c r="U123" s="42">
        <v>110.0</v>
      </c>
      <c r="V123" s="42">
        <v>-17.0</v>
      </c>
      <c r="W123" s="42">
        <v>-17.6</v>
      </c>
    </row>
    <row r="124">
      <c r="A124" s="87">
        <v>123.0</v>
      </c>
      <c r="B124" s="85" t="s">
        <v>1523</v>
      </c>
      <c r="C124" s="85" t="s">
        <v>189</v>
      </c>
      <c r="D124" s="85" t="s">
        <v>1273</v>
      </c>
      <c r="E124" s="85" t="s">
        <v>1208</v>
      </c>
      <c r="F124" s="85" t="s">
        <v>1274</v>
      </c>
      <c r="G124" s="85" t="s">
        <v>1274</v>
      </c>
      <c r="H124" s="85" t="s">
        <v>1274</v>
      </c>
      <c r="I124" s="85" t="s">
        <v>1320</v>
      </c>
      <c r="J124" s="42">
        <v>12.0</v>
      </c>
      <c r="K124" s="42">
        <v>0.75</v>
      </c>
      <c r="L124" s="42">
        <v>6.2</v>
      </c>
      <c r="M124" s="42">
        <v>2.2</v>
      </c>
      <c r="N124" s="42">
        <v>1.8</v>
      </c>
      <c r="O124" s="42">
        <v>2.8E12</v>
      </c>
      <c r="P124" s="42">
        <v>1.82E11</v>
      </c>
      <c r="Q124" s="42">
        <v>-25.4</v>
      </c>
      <c r="R124" s="42">
        <v>-24.2</v>
      </c>
      <c r="S124" s="42">
        <v>-26.6</v>
      </c>
      <c r="T124" s="42">
        <v>12.3</v>
      </c>
      <c r="U124" s="42">
        <v>130.0</v>
      </c>
      <c r="V124" s="42">
        <v>-19.5</v>
      </c>
      <c r="W124" s="42">
        <v>-24.2</v>
      </c>
    </row>
    <row r="125">
      <c r="A125" s="87">
        <v>124.0</v>
      </c>
      <c r="B125" s="85" t="s">
        <v>1524</v>
      </c>
      <c r="C125" s="85" t="s">
        <v>190</v>
      </c>
      <c r="D125" s="85" t="s">
        <v>1525</v>
      </c>
      <c r="E125" s="85" t="s">
        <v>1208</v>
      </c>
      <c r="F125" s="85" t="s">
        <v>1209</v>
      </c>
      <c r="G125" s="85" t="s">
        <v>1209</v>
      </c>
      <c r="H125" s="85" t="s">
        <v>1526</v>
      </c>
      <c r="I125" s="85" t="s">
        <v>1211</v>
      </c>
      <c r="J125" s="42">
        <v>-14000.0</v>
      </c>
      <c r="K125" s="42">
        <v>8.1</v>
      </c>
      <c r="L125" s="42">
        <v>-0.06</v>
      </c>
      <c r="M125" s="42">
        <v>-0.03</v>
      </c>
      <c r="N125" s="42">
        <v>1.0</v>
      </c>
      <c r="O125" s="42">
        <v>5.1E12</v>
      </c>
      <c r="P125" s="42">
        <v>1.1E11</v>
      </c>
      <c r="Q125" s="42">
        <v>-25.7</v>
      </c>
      <c r="R125" s="42">
        <v>-24.6</v>
      </c>
      <c r="S125" s="42">
        <v>-31.6</v>
      </c>
      <c r="T125" s="42">
        <v>67.7</v>
      </c>
      <c r="U125" s="42">
        <v>-0.32</v>
      </c>
      <c r="V125" s="42">
        <v>2.0</v>
      </c>
      <c r="W125" s="42">
        <v>-19.4</v>
      </c>
    </row>
    <row r="126">
      <c r="A126" s="87">
        <v>125.0</v>
      </c>
      <c r="B126" s="85" t="s">
        <v>1527</v>
      </c>
      <c r="C126" s="85" t="s">
        <v>191</v>
      </c>
      <c r="D126" s="85" t="s">
        <v>1213</v>
      </c>
      <c r="E126" s="85" t="s">
        <v>1214</v>
      </c>
      <c r="F126" s="85" t="s">
        <v>1215</v>
      </c>
      <c r="G126" s="85" t="s">
        <v>1215</v>
      </c>
      <c r="H126" s="85" t="s">
        <v>1215</v>
      </c>
      <c r="I126" s="85" t="s">
        <v>1528</v>
      </c>
      <c r="J126" s="42">
        <v>5.3</v>
      </c>
      <c r="K126" s="42">
        <v>0.06</v>
      </c>
      <c r="L126" s="42">
        <v>1.2</v>
      </c>
      <c r="M126" s="42">
        <v>0.65</v>
      </c>
      <c r="N126" s="42">
        <v>0.85</v>
      </c>
      <c r="O126" s="42">
        <v>2.6E12</v>
      </c>
      <c r="P126" s="42">
        <v>3.7E12</v>
      </c>
      <c r="Q126" s="42">
        <v>-28.1</v>
      </c>
      <c r="R126" s="42">
        <v>-32.4</v>
      </c>
      <c r="S126" s="42">
        <v>-39.5</v>
      </c>
      <c r="T126" s="42">
        <v>-17.9</v>
      </c>
      <c r="U126" s="42">
        <v>13.2</v>
      </c>
      <c r="V126" s="42">
        <v>-14.8</v>
      </c>
      <c r="W126" s="42">
        <v>-41.0</v>
      </c>
    </row>
    <row r="127">
      <c r="A127" s="87">
        <v>126.0</v>
      </c>
      <c r="B127" s="85" t="s">
        <v>1529</v>
      </c>
      <c r="C127" s="85" t="s">
        <v>192</v>
      </c>
      <c r="D127" s="85" t="s">
        <v>1234</v>
      </c>
      <c r="E127" s="85" t="s">
        <v>1235</v>
      </c>
      <c r="F127" s="85" t="s">
        <v>1235</v>
      </c>
      <c r="G127" s="85" t="s">
        <v>1236</v>
      </c>
      <c r="H127" s="85" t="s">
        <v>1237</v>
      </c>
      <c r="I127" s="85" t="s">
        <v>1392</v>
      </c>
      <c r="J127" s="42">
        <v>0.0</v>
      </c>
      <c r="K127" s="42">
        <v>-0.07</v>
      </c>
      <c r="L127" s="42">
        <v>0.0</v>
      </c>
      <c r="M127" s="42">
        <v>-1.7</v>
      </c>
      <c r="N127" s="42">
        <v>-7.7</v>
      </c>
      <c r="O127" s="42">
        <v>3.3E10</v>
      </c>
      <c r="P127" s="42">
        <v>9.0E10</v>
      </c>
      <c r="Q127" s="42">
        <v>0.0</v>
      </c>
      <c r="R127" s="42">
        <v>0.0</v>
      </c>
      <c r="S127" s="42">
        <v>0.0</v>
      </c>
      <c r="T127" s="42">
        <v>0.0</v>
      </c>
      <c r="U127" s="42">
        <v>-54.4</v>
      </c>
      <c r="V127" s="42">
        <v>0.0</v>
      </c>
      <c r="W127" s="42">
        <v>0.0</v>
      </c>
    </row>
    <row r="128">
      <c r="A128" s="87">
        <v>127.0</v>
      </c>
      <c r="B128" s="85" t="s">
        <v>1530</v>
      </c>
      <c r="C128" s="85" t="s">
        <v>193</v>
      </c>
      <c r="D128" s="85" t="s">
        <v>1531</v>
      </c>
      <c r="E128" s="85" t="s">
        <v>1201</v>
      </c>
      <c r="F128" s="85" t="s">
        <v>1532</v>
      </c>
      <c r="G128" s="85" t="s">
        <v>1533</v>
      </c>
      <c r="H128" s="85" t="s">
        <v>1533</v>
      </c>
      <c r="I128" s="85" t="s">
        <v>1458</v>
      </c>
      <c r="J128" s="42">
        <v>-27.0</v>
      </c>
      <c r="K128" s="42">
        <v>7.8</v>
      </c>
      <c r="L128" s="42">
        <v>-28.9</v>
      </c>
      <c r="M128" s="42">
        <v>-8.0</v>
      </c>
      <c r="N128" s="42">
        <v>2.6</v>
      </c>
      <c r="O128" s="42">
        <v>6.6E11</v>
      </c>
      <c r="P128" s="42">
        <v>3.48E11</v>
      </c>
      <c r="Q128" s="42">
        <v>0.0</v>
      </c>
      <c r="R128" s="42">
        <v>30.1</v>
      </c>
      <c r="S128" s="42">
        <v>-32.0</v>
      </c>
      <c r="T128" s="42">
        <v>-15.0</v>
      </c>
      <c r="U128" s="42">
        <v>-7.0</v>
      </c>
      <c r="V128" s="42">
        <v>0.0</v>
      </c>
      <c r="W128" s="42">
        <v>-31.1</v>
      </c>
    </row>
    <row r="129">
      <c r="A129" s="87">
        <v>128.0</v>
      </c>
      <c r="B129" s="85" t="s">
        <v>1534</v>
      </c>
      <c r="C129" s="85" t="s">
        <v>194</v>
      </c>
      <c r="D129" s="85" t="s">
        <v>1477</v>
      </c>
      <c r="E129" s="85" t="s">
        <v>1201</v>
      </c>
      <c r="F129" s="85" t="s">
        <v>1225</v>
      </c>
      <c r="G129" s="85" t="s">
        <v>1225</v>
      </c>
      <c r="H129" s="85" t="s">
        <v>1478</v>
      </c>
      <c r="I129" s="85" t="s">
        <v>1205</v>
      </c>
      <c r="J129" s="42">
        <v>-2.2</v>
      </c>
      <c r="K129" s="42">
        <v>1.6</v>
      </c>
      <c r="L129" s="42">
        <v>-71.2</v>
      </c>
      <c r="M129" s="42">
        <v>-7.6</v>
      </c>
      <c r="N129" s="42">
        <v>8.4</v>
      </c>
      <c r="O129" s="42">
        <v>5.0E10</v>
      </c>
      <c r="P129" s="42">
        <v>1.4E10</v>
      </c>
      <c r="Q129" s="42">
        <v>0.0</v>
      </c>
      <c r="R129" s="42">
        <v>0.0</v>
      </c>
      <c r="S129" s="42">
        <v>0.0</v>
      </c>
      <c r="T129" s="42">
        <v>78.3</v>
      </c>
      <c r="U129" s="42">
        <v>-160.0</v>
      </c>
      <c r="V129" s="42">
        <v>0.0</v>
      </c>
      <c r="W129" s="42">
        <v>0.0</v>
      </c>
    </row>
    <row r="130">
      <c r="A130" s="87">
        <v>129.0</v>
      </c>
      <c r="B130" s="85" t="s">
        <v>1535</v>
      </c>
      <c r="C130" s="85" t="s">
        <v>195</v>
      </c>
      <c r="D130" s="85" t="s">
        <v>1273</v>
      </c>
      <c r="E130" s="85" t="s">
        <v>1208</v>
      </c>
      <c r="F130" s="85" t="s">
        <v>1274</v>
      </c>
      <c r="G130" s="85" t="s">
        <v>1274</v>
      </c>
      <c r="H130" s="85" t="s">
        <v>1274</v>
      </c>
      <c r="I130" s="85" t="s">
        <v>1320</v>
      </c>
      <c r="J130" s="42">
        <v>-81.5</v>
      </c>
      <c r="K130" s="42">
        <v>8.7</v>
      </c>
      <c r="L130" s="42">
        <v>-10.7</v>
      </c>
      <c r="M130" s="42">
        <v>-1.1</v>
      </c>
      <c r="N130" s="42">
        <v>9.1</v>
      </c>
      <c r="O130" s="42">
        <v>2.67E13</v>
      </c>
      <c r="P130" s="42">
        <v>5.03E11</v>
      </c>
      <c r="Q130" s="42">
        <v>-2.5</v>
      </c>
      <c r="R130" s="42">
        <v>-14.1</v>
      </c>
      <c r="S130" s="42">
        <v>-13.1</v>
      </c>
      <c r="T130" s="42">
        <v>-9.7</v>
      </c>
      <c r="U130" s="42">
        <v>-65.7</v>
      </c>
      <c r="V130" s="42">
        <v>-1.3</v>
      </c>
      <c r="W130" s="42">
        <v>-13.1</v>
      </c>
    </row>
    <row r="131">
      <c r="A131" s="87">
        <v>130.0</v>
      </c>
      <c r="B131" s="85" t="s">
        <v>1536</v>
      </c>
      <c r="C131" s="85" t="s">
        <v>196</v>
      </c>
      <c r="D131" s="85" t="s">
        <v>1537</v>
      </c>
      <c r="E131" s="85" t="s">
        <v>1214</v>
      </c>
      <c r="F131" s="85" t="s">
        <v>1406</v>
      </c>
      <c r="G131" s="85" t="s">
        <v>1407</v>
      </c>
      <c r="H131" s="85" t="s">
        <v>1538</v>
      </c>
      <c r="I131" s="85" t="s">
        <v>1333</v>
      </c>
      <c r="J131" s="42">
        <v>-13.5</v>
      </c>
      <c r="K131" s="42">
        <v>0.61</v>
      </c>
      <c r="L131" s="42">
        <v>-4.5</v>
      </c>
      <c r="M131" s="42">
        <v>-3.2</v>
      </c>
      <c r="N131" s="42">
        <v>0.41</v>
      </c>
      <c r="O131" s="42">
        <v>2.46E11</v>
      </c>
      <c r="P131" s="42">
        <v>1.07E11</v>
      </c>
      <c r="Q131" s="42">
        <v>-31.7</v>
      </c>
      <c r="R131" s="42">
        <v>-32.2</v>
      </c>
      <c r="S131" s="42">
        <v>-45.7</v>
      </c>
      <c r="T131" s="42">
        <v>-24.1</v>
      </c>
      <c r="U131" s="42">
        <v>-17.1</v>
      </c>
      <c r="V131" s="42">
        <v>-21.9</v>
      </c>
      <c r="W131" s="42">
        <v>-40.1</v>
      </c>
    </row>
    <row r="132">
      <c r="A132" s="87">
        <v>131.0</v>
      </c>
      <c r="B132" s="85" t="s">
        <v>1539</v>
      </c>
      <c r="C132" s="85" t="s">
        <v>197</v>
      </c>
      <c r="D132" s="85" t="s">
        <v>1308</v>
      </c>
      <c r="E132" s="85" t="s">
        <v>1187</v>
      </c>
      <c r="F132" s="85" t="s">
        <v>1188</v>
      </c>
      <c r="G132" s="85" t="s">
        <v>1189</v>
      </c>
      <c r="H132" s="85" t="s">
        <v>1309</v>
      </c>
      <c r="I132" s="85" t="s">
        <v>1540</v>
      </c>
      <c r="J132" s="42">
        <v>610.0</v>
      </c>
      <c r="K132" s="42">
        <v>1.1</v>
      </c>
      <c r="L132" s="42">
        <v>0.18</v>
      </c>
      <c r="M132" s="42">
        <v>0.07</v>
      </c>
      <c r="N132" s="42">
        <v>1.7</v>
      </c>
      <c r="O132" s="42">
        <v>1.12E13</v>
      </c>
      <c r="P132" s="42">
        <v>3.9E12</v>
      </c>
      <c r="Q132" s="42">
        <v>-37.3</v>
      </c>
      <c r="R132" s="42">
        <v>-47.5</v>
      </c>
      <c r="S132" s="42">
        <v>42.2</v>
      </c>
      <c r="T132" s="42">
        <v>60.0</v>
      </c>
      <c r="U132" s="42">
        <v>0.46</v>
      </c>
      <c r="V132" s="42">
        <v>-28.1</v>
      </c>
      <c r="W132" s="42">
        <v>39.1</v>
      </c>
    </row>
    <row r="133">
      <c r="A133" s="87">
        <v>132.0</v>
      </c>
      <c r="B133" s="85" t="s">
        <v>1541</v>
      </c>
      <c r="C133" s="85" t="s">
        <v>198</v>
      </c>
      <c r="D133" s="85" t="s">
        <v>1234</v>
      </c>
      <c r="E133" s="85" t="s">
        <v>1235</v>
      </c>
      <c r="F133" s="85" t="s">
        <v>1235</v>
      </c>
      <c r="G133" s="85" t="s">
        <v>1236</v>
      </c>
      <c r="H133" s="85" t="s">
        <v>1237</v>
      </c>
      <c r="I133" s="85" t="s">
        <v>1322</v>
      </c>
      <c r="J133" s="42">
        <v>-7.0</v>
      </c>
      <c r="K133" s="42">
        <v>0.32</v>
      </c>
      <c r="L133" s="42">
        <v>-4.5</v>
      </c>
      <c r="M133" s="42">
        <v>-2.4</v>
      </c>
      <c r="N133" s="42">
        <v>0.87</v>
      </c>
      <c r="O133" s="42">
        <v>3.07E11</v>
      </c>
      <c r="P133" s="42">
        <v>3.7E10</v>
      </c>
      <c r="Q133" s="42">
        <v>-36.7</v>
      </c>
      <c r="R133" s="42">
        <v>-16.7</v>
      </c>
      <c r="S133" s="42">
        <v>-12.3</v>
      </c>
      <c r="T133" s="42">
        <v>38.9</v>
      </c>
      <c r="U133" s="42">
        <v>-120.0</v>
      </c>
      <c r="V133" s="42">
        <v>-18.0</v>
      </c>
      <c r="W133" s="42">
        <v>-28.6</v>
      </c>
    </row>
    <row r="134">
      <c r="A134" s="87">
        <v>133.0</v>
      </c>
      <c r="B134" s="85" t="s">
        <v>1542</v>
      </c>
      <c r="C134" s="85" t="s">
        <v>199</v>
      </c>
      <c r="D134" s="85" t="s">
        <v>1426</v>
      </c>
      <c r="E134" s="85" t="s">
        <v>1300</v>
      </c>
      <c r="F134" s="85" t="s">
        <v>1427</v>
      </c>
      <c r="G134" s="85" t="s">
        <v>1428</v>
      </c>
      <c r="H134" s="85" t="s">
        <v>1429</v>
      </c>
      <c r="I134" s="85" t="s">
        <v>1543</v>
      </c>
      <c r="J134" s="42">
        <v>6.2</v>
      </c>
      <c r="K134" s="42">
        <v>0.6</v>
      </c>
      <c r="L134" s="42">
        <v>9.7</v>
      </c>
      <c r="M134" s="42">
        <v>6.3</v>
      </c>
      <c r="N134" s="42">
        <v>0.52</v>
      </c>
      <c r="O134" s="42">
        <v>3.9E12</v>
      </c>
      <c r="P134" s="42">
        <v>1.5E12</v>
      </c>
      <c r="Q134" s="42">
        <v>-12.1</v>
      </c>
      <c r="R134" s="42">
        <v>-16.9</v>
      </c>
      <c r="S134" s="42">
        <v>-20.0</v>
      </c>
      <c r="T134" s="42">
        <v>-28.1</v>
      </c>
      <c r="U134" s="42">
        <v>43.1</v>
      </c>
      <c r="V134" s="42">
        <v>-12.1</v>
      </c>
      <c r="W134" s="42">
        <v>-19.1</v>
      </c>
    </row>
    <row r="135">
      <c r="A135" s="87">
        <v>134.0</v>
      </c>
      <c r="B135" s="85" t="s">
        <v>1544</v>
      </c>
      <c r="C135" s="85" t="s">
        <v>200</v>
      </c>
      <c r="D135" s="85" t="s">
        <v>1193</v>
      </c>
      <c r="E135" s="85" t="s">
        <v>1194</v>
      </c>
      <c r="F135" s="85" t="s">
        <v>1195</v>
      </c>
      <c r="G135" s="85" t="s">
        <v>1196</v>
      </c>
      <c r="H135" s="85" t="s">
        <v>1197</v>
      </c>
      <c r="I135" s="85" t="s">
        <v>1243</v>
      </c>
      <c r="J135" s="42">
        <v>10.7</v>
      </c>
      <c r="K135" s="42">
        <v>0.63</v>
      </c>
      <c r="L135" s="42">
        <v>5.9</v>
      </c>
      <c r="M135" s="42">
        <v>5.5</v>
      </c>
      <c r="N135" s="42">
        <v>0.06</v>
      </c>
      <c r="O135" s="42">
        <v>2.2E12</v>
      </c>
      <c r="P135" s="42">
        <v>3.87E11</v>
      </c>
      <c r="Q135" s="42">
        <v>-17.9</v>
      </c>
      <c r="R135" s="42">
        <v>-26.4</v>
      </c>
      <c r="S135" s="42">
        <v>-26.4</v>
      </c>
      <c r="T135" s="42">
        <v>-33.7</v>
      </c>
      <c r="U135" s="42">
        <v>53.6</v>
      </c>
      <c r="V135" s="42">
        <v>-12.9</v>
      </c>
      <c r="W135" s="42">
        <v>-27.3</v>
      </c>
    </row>
    <row r="136">
      <c r="A136" s="87">
        <v>135.0</v>
      </c>
      <c r="B136" s="85" t="s">
        <v>1545</v>
      </c>
      <c r="C136" s="85" t="s">
        <v>201</v>
      </c>
      <c r="D136" s="85" t="s">
        <v>1273</v>
      </c>
      <c r="E136" s="85" t="s">
        <v>1208</v>
      </c>
      <c r="F136" s="85" t="s">
        <v>1274</v>
      </c>
      <c r="G136" s="85" t="s">
        <v>1274</v>
      </c>
      <c r="H136" s="85" t="s">
        <v>1274</v>
      </c>
      <c r="I136" s="85" t="s">
        <v>1546</v>
      </c>
      <c r="J136" s="42">
        <v>6.9</v>
      </c>
      <c r="K136" s="42">
        <v>0.39</v>
      </c>
      <c r="L136" s="42">
        <v>5.6</v>
      </c>
      <c r="M136" s="42">
        <v>0.53</v>
      </c>
      <c r="N136" s="42">
        <v>9.2</v>
      </c>
      <c r="O136" s="42">
        <v>8.0E12</v>
      </c>
      <c r="P136" s="42">
        <v>4.4E12</v>
      </c>
      <c r="Q136" s="42">
        <v>-11.9</v>
      </c>
      <c r="R136" s="42">
        <v>-11.9</v>
      </c>
      <c r="S136" s="42">
        <v>-14.0</v>
      </c>
      <c r="T136" s="42">
        <v>-15.6</v>
      </c>
      <c r="U136" s="42">
        <v>26.3</v>
      </c>
      <c r="V136" s="42">
        <v>-9.6</v>
      </c>
      <c r="W136" s="42">
        <v>-13.5</v>
      </c>
    </row>
    <row r="137">
      <c r="A137" s="87">
        <v>136.0</v>
      </c>
      <c r="B137" s="85" t="s">
        <v>1547</v>
      </c>
      <c r="C137" s="85" t="s">
        <v>202</v>
      </c>
      <c r="D137" s="85" t="s">
        <v>1273</v>
      </c>
      <c r="E137" s="85" t="s">
        <v>1208</v>
      </c>
      <c r="F137" s="85" t="s">
        <v>1274</v>
      </c>
      <c r="G137" s="85" t="s">
        <v>1274</v>
      </c>
      <c r="H137" s="85" t="s">
        <v>1274</v>
      </c>
      <c r="I137" s="85" t="s">
        <v>1548</v>
      </c>
      <c r="J137" s="42">
        <v>4.9</v>
      </c>
      <c r="K137" s="42">
        <v>0.35</v>
      </c>
      <c r="L137" s="42">
        <v>7.1</v>
      </c>
      <c r="M137" s="42">
        <v>0.97</v>
      </c>
      <c r="N137" s="42">
        <v>5.6</v>
      </c>
      <c r="O137" s="42">
        <v>7.7E12</v>
      </c>
      <c r="P137" s="42">
        <v>2.9E12</v>
      </c>
      <c r="Q137" s="42">
        <v>-17.3</v>
      </c>
      <c r="R137" s="42">
        <v>-11.4</v>
      </c>
      <c r="S137" s="42">
        <v>-9.7</v>
      </c>
      <c r="T137" s="42">
        <v>-1.6</v>
      </c>
      <c r="U137" s="42">
        <v>55.3</v>
      </c>
      <c r="V137" s="42">
        <v>-6.3</v>
      </c>
      <c r="W137" s="42">
        <v>-9.7</v>
      </c>
    </row>
    <row r="138">
      <c r="A138" s="87">
        <v>137.0</v>
      </c>
      <c r="B138" s="85" t="s">
        <v>1549</v>
      </c>
      <c r="C138" s="85" t="s">
        <v>203</v>
      </c>
      <c r="D138" s="85" t="s">
        <v>1234</v>
      </c>
      <c r="E138" s="85" t="s">
        <v>1235</v>
      </c>
      <c r="F138" s="85" t="s">
        <v>1235</v>
      </c>
      <c r="G138" s="85" t="s">
        <v>1236</v>
      </c>
      <c r="H138" s="85" t="s">
        <v>1237</v>
      </c>
      <c r="I138" s="85" t="s">
        <v>1322</v>
      </c>
      <c r="J138" s="42">
        <v>-25.8</v>
      </c>
      <c r="K138" s="42">
        <v>3.1</v>
      </c>
      <c r="L138" s="42">
        <v>-12.1</v>
      </c>
      <c r="M138" s="42">
        <v>-5.0</v>
      </c>
      <c r="N138" s="42">
        <v>1.4</v>
      </c>
      <c r="O138" s="42">
        <v>9.39E11</v>
      </c>
      <c r="P138" s="42">
        <v>9.22E9</v>
      </c>
      <c r="Q138" s="42">
        <v>33.0</v>
      </c>
      <c r="R138" s="42">
        <v>150.0</v>
      </c>
      <c r="S138" s="42">
        <v>200.0</v>
      </c>
      <c r="T138" s="42">
        <v>290.0</v>
      </c>
      <c r="U138" s="42">
        <v>-390.0</v>
      </c>
      <c r="V138" s="42">
        <v>0.0</v>
      </c>
      <c r="W138" s="42">
        <v>200.0</v>
      </c>
    </row>
    <row r="139">
      <c r="A139" s="87">
        <v>138.0</v>
      </c>
      <c r="B139" s="85" t="s">
        <v>1550</v>
      </c>
      <c r="C139" s="85" t="s">
        <v>204</v>
      </c>
      <c r="D139" s="85" t="s">
        <v>1234</v>
      </c>
      <c r="E139" s="85" t="s">
        <v>1235</v>
      </c>
      <c r="F139" s="85" t="s">
        <v>1235</v>
      </c>
      <c r="G139" s="85" t="s">
        <v>1236</v>
      </c>
      <c r="H139" s="85" t="s">
        <v>1237</v>
      </c>
      <c r="I139" s="85" t="s">
        <v>1551</v>
      </c>
      <c r="J139" s="42">
        <v>14.6</v>
      </c>
      <c r="K139" s="42">
        <v>0.78</v>
      </c>
      <c r="L139" s="42">
        <v>5.4</v>
      </c>
      <c r="M139" s="42">
        <v>3.8</v>
      </c>
      <c r="N139" s="42">
        <v>0.42</v>
      </c>
      <c r="O139" s="42">
        <v>1.26E13</v>
      </c>
      <c r="P139" s="42">
        <v>3.6E11</v>
      </c>
      <c r="Q139" s="42">
        <v>-46.1</v>
      </c>
      <c r="R139" s="42">
        <v>-48.1</v>
      </c>
      <c r="S139" s="42">
        <v>-69.1</v>
      </c>
      <c r="T139" s="42">
        <v>-45.5</v>
      </c>
      <c r="U139" s="42">
        <v>240.0</v>
      </c>
      <c r="V139" s="42">
        <v>-24.7</v>
      </c>
      <c r="W139" s="42">
        <v>-63.1</v>
      </c>
    </row>
    <row r="140">
      <c r="A140" s="87">
        <v>139.0</v>
      </c>
      <c r="B140" s="85" t="s">
        <v>1552</v>
      </c>
      <c r="C140" s="85" t="s">
        <v>205</v>
      </c>
      <c r="D140" s="85" t="s">
        <v>1273</v>
      </c>
      <c r="E140" s="85" t="s">
        <v>1208</v>
      </c>
      <c r="F140" s="85" t="s">
        <v>1274</v>
      </c>
      <c r="G140" s="85" t="s">
        <v>1274</v>
      </c>
      <c r="H140" s="85" t="s">
        <v>1274</v>
      </c>
      <c r="I140" s="85" t="s">
        <v>1211</v>
      </c>
      <c r="J140" s="42">
        <v>-42.8</v>
      </c>
      <c r="K140" s="42">
        <v>0.4</v>
      </c>
      <c r="L140" s="42">
        <v>-0.94</v>
      </c>
      <c r="M140" s="42">
        <v>-0.34</v>
      </c>
      <c r="N140" s="42">
        <v>1.8</v>
      </c>
      <c r="O140" s="42">
        <v>1.9E12</v>
      </c>
      <c r="P140" s="42">
        <v>1.64E11</v>
      </c>
      <c r="Q140" s="42">
        <v>-13.8</v>
      </c>
      <c r="R140" s="42">
        <v>-15.3</v>
      </c>
      <c r="S140" s="42">
        <v>-25.4</v>
      </c>
      <c r="T140" s="42">
        <v>-18.0</v>
      </c>
      <c r="U140" s="42">
        <v>-27.0</v>
      </c>
      <c r="V140" s="42">
        <v>-7.4</v>
      </c>
      <c r="W140" s="42">
        <v>-21.9</v>
      </c>
    </row>
    <row r="141">
      <c r="A141" s="87">
        <v>140.0</v>
      </c>
      <c r="B141" s="85" t="s">
        <v>1553</v>
      </c>
      <c r="C141" s="85" t="s">
        <v>207</v>
      </c>
      <c r="D141" s="85" t="s">
        <v>1448</v>
      </c>
      <c r="E141" s="85" t="s">
        <v>1252</v>
      </c>
      <c r="F141" s="85" t="s">
        <v>1252</v>
      </c>
      <c r="G141" s="85" t="s">
        <v>1449</v>
      </c>
      <c r="H141" s="85" t="s">
        <v>1449</v>
      </c>
      <c r="I141" s="85" t="s">
        <v>1271</v>
      </c>
      <c r="J141" s="42">
        <v>9.2</v>
      </c>
      <c r="K141" s="42">
        <v>1.0</v>
      </c>
      <c r="L141" s="42">
        <v>11.1</v>
      </c>
      <c r="M141" s="42">
        <v>6.5</v>
      </c>
      <c r="N141" s="42">
        <v>0.72</v>
      </c>
      <c r="O141" s="42">
        <v>1.2E12</v>
      </c>
      <c r="P141" s="42">
        <v>3.34E11</v>
      </c>
      <c r="Q141" s="42">
        <v>-28.1</v>
      </c>
      <c r="R141" s="42">
        <v>-11.5</v>
      </c>
      <c r="S141" s="42">
        <v>-28.6</v>
      </c>
      <c r="T141" s="42">
        <v>-37.5</v>
      </c>
      <c r="U141" s="42">
        <v>38.8</v>
      </c>
      <c r="V141" s="42">
        <v>-16.7</v>
      </c>
      <c r="W141" s="42">
        <v>-29.4</v>
      </c>
    </row>
    <row r="142">
      <c r="A142" s="87">
        <v>141.0</v>
      </c>
      <c r="B142" s="85" t="s">
        <v>1554</v>
      </c>
      <c r="C142" s="85" t="s">
        <v>208</v>
      </c>
      <c r="D142" s="85" t="s">
        <v>1299</v>
      </c>
      <c r="E142" s="85" t="s">
        <v>1300</v>
      </c>
      <c r="F142" s="85" t="s">
        <v>1301</v>
      </c>
      <c r="G142" s="85" t="s">
        <v>1301</v>
      </c>
      <c r="H142" s="85" t="s">
        <v>1301</v>
      </c>
      <c r="I142" s="85" t="s">
        <v>1555</v>
      </c>
      <c r="J142" s="42">
        <v>7.7</v>
      </c>
      <c r="K142" s="42">
        <v>1.8</v>
      </c>
      <c r="L142" s="42">
        <v>23.1</v>
      </c>
      <c r="M142" s="42">
        <v>14.1</v>
      </c>
      <c r="N142" s="42">
        <v>0.64</v>
      </c>
      <c r="O142" s="42">
        <v>1.2E12</v>
      </c>
      <c r="P142" s="42">
        <v>3.58E11</v>
      </c>
      <c r="Q142" s="42">
        <v>-15.7</v>
      </c>
      <c r="R142" s="42">
        <v>-10.2</v>
      </c>
      <c r="S142" s="42">
        <v>-28.9</v>
      </c>
      <c r="T142" s="88"/>
      <c r="U142" s="42">
        <v>42.5</v>
      </c>
      <c r="V142" s="42">
        <v>-2.9</v>
      </c>
      <c r="W142" s="42">
        <v>-26.1</v>
      </c>
    </row>
    <row r="143">
      <c r="A143" s="87">
        <v>142.0</v>
      </c>
      <c r="B143" s="85" t="s">
        <v>1556</v>
      </c>
      <c r="C143" s="85" t="s">
        <v>209</v>
      </c>
      <c r="D143" s="85" t="s">
        <v>1299</v>
      </c>
      <c r="E143" s="85" t="s">
        <v>1300</v>
      </c>
      <c r="F143" s="85" t="s">
        <v>1301</v>
      </c>
      <c r="G143" s="85" t="s">
        <v>1301</v>
      </c>
      <c r="H143" s="85" t="s">
        <v>1301</v>
      </c>
      <c r="I143" s="85" t="s">
        <v>1557</v>
      </c>
      <c r="J143" s="42">
        <v>15.9</v>
      </c>
      <c r="K143" s="42">
        <v>0.83</v>
      </c>
      <c r="L143" s="42">
        <v>5.2</v>
      </c>
      <c r="M143" s="42">
        <v>2.4</v>
      </c>
      <c r="N143" s="42">
        <v>1.2</v>
      </c>
      <c r="O143" s="42">
        <v>9.6E11</v>
      </c>
      <c r="P143" s="42">
        <v>2.05E11</v>
      </c>
      <c r="Q143" s="42">
        <v>-33.3</v>
      </c>
      <c r="R143" s="42">
        <v>-34.9</v>
      </c>
      <c r="S143" s="42">
        <v>-36.4</v>
      </c>
      <c r="T143" s="42">
        <v>40.0</v>
      </c>
      <c r="U143" s="42">
        <v>29.5</v>
      </c>
      <c r="V143" s="42">
        <v>-22.2</v>
      </c>
      <c r="W143" s="42">
        <v>-33.3</v>
      </c>
    </row>
    <row r="144">
      <c r="A144" s="87">
        <v>143.0</v>
      </c>
      <c r="B144" s="85" t="s">
        <v>1558</v>
      </c>
      <c r="C144" s="85" t="s">
        <v>210</v>
      </c>
      <c r="D144" s="85" t="s">
        <v>1559</v>
      </c>
      <c r="E144" s="85" t="s">
        <v>1201</v>
      </c>
      <c r="F144" s="85" t="s">
        <v>1286</v>
      </c>
      <c r="G144" s="85" t="s">
        <v>1287</v>
      </c>
      <c r="H144" s="85" t="s">
        <v>1560</v>
      </c>
      <c r="I144" s="85" t="s">
        <v>1561</v>
      </c>
      <c r="J144" s="42">
        <v>36.8</v>
      </c>
      <c r="K144" s="42">
        <v>5.9</v>
      </c>
      <c r="L144" s="42">
        <v>16.1</v>
      </c>
      <c r="M144" s="42">
        <v>3.9</v>
      </c>
      <c r="N144" s="42">
        <v>3.2</v>
      </c>
      <c r="O144" s="42">
        <v>2.5E12</v>
      </c>
      <c r="P144" s="42">
        <v>2.14E11</v>
      </c>
      <c r="Q144" s="42">
        <v>7.4</v>
      </c>
      <c r="R144" s="42">
        <v>7.0</v>
      </c>
      <c r="S144" s="42">
        <v>-3.0</v>
      </c>
      <c r="T144" s="42">
        <v>60.6</v>
      </c>
      <c r="U144" s="42">
        <v>32.0</v>
      </c>
      <c r="V144" s="42">
        <v>0.0</v>
      </c>
      <c r="W144" s="42">
        <v>-0.345</v>
      </c>
    </row>
    <row r="145">
      <c r="A145" s="87">
        <v>144.0</v>
      </c>
      <c r="B145" s="85" t="s">
        <v>1562</v>
      </c>
      <c r="C145" s="85" t="s">
        <v>211</v>
      </c>
      <c r="D145" s="85" t="s">
        <v>1537</v>
      </c>
      <c r="E145" s="85" t="s">
        <v>1214</v>
      </c>
      <c r="F145" s="85" t="s">
        <v>1406</v>
      </c>
      <c r="G145" s="85" t="s">
        <v>1407</v>
      </c>
      <c r="H145" s="85" t="s">
        <v>1538</v>
      </c>
      <c r="I145" s="85" t="s">
        <v>1328</v>
      </c>
      <c r="J145" s="42">
        <v>89.6</v>
      </c>
      <c r="K145" s="42">
        <v>13.1</v>
      </c>
      <c r="L145" s="42">
        <v>14.6</v>
      </c>
      <c r="M145" s="42">
        <v>13.8</v>
      </c>
      <c r="N145" s="42">
        <v>0.06</v>
      </c>
      <c r="O145" s="42">
        <v>1.4E12</v>
      </c>
      <c r="P145" s="42">
        <v>3.5E10</v>
      </c>
      <c r="Q145" s="42">
        <v>-1.7</v>
      </c>
      <c r="R145" s="42">
        <v>-16.9</v>
      </c>
      <c r="S145" s="42">
        <v>-19.6</v>
      </c>
      <c r="T145" s="42">
        <v>780.0</v>
      </c>
      <c r="U145" s="42">
        <v>43.9</v>
      </c>
      <c r="V145" s="42">
        <v>-12.2</v>
      </c>
      <c r="W145" s="42">
        <v>-7.8</v>
      </c>
    </row>
    <row r="146">
      <c r="A146" s="87">
        <v>145.0</v>
      </c>
      <c r="B146" s="85" t="s">
        <v>1563</v>
      </c>
      <c r="C146" s="85" t="s">
        <v>212</v>
      </c>
      <c r="D146" s="85" t="s">
        <v>1273</v>
      </c>
      <c r="E146" s="85" t="s">
        <v>1208</v>
      </c>
      <c r="F146" s="85" t="s">
        <v>1274</v>
      </c>
      <c r="G146" s="85" t="s">
        <v>1274</v>
      </c>
      <c r="H146" s="85" t="s">
        <v>1274</v>
      </c>
      <c r="I146" s="85" t="s">
        <v>1211</v>
      </c>
      <c r="J146" s="42">
        <v>2430.0</v>
      </c>
      <c r="K146" s="42">
        <v>1.4</v>
      </c>
      <c r="L146" s="42">
        <v>0.06</v>
      </c>
      <c r="M146" s="42">
        <v>0.01</v>
      </c>
      <c r="N146" s="42">
        <v>2.9</v>
      </c>
      <c r="O146" s="42">
        <v>8.9E12</v>
      </c>
      <c r="P146" s="42">
        <v>3.28E11</v>
      </c>
      <c r="Q146" s="42">
        <v>-4.8</v>
      </c>
      <c r="R146" s="42">
        <v>-4.8</v>
      </c>
      <c r="S146" s="42">
        <v>-28.5</v>
      </c>
      <c r="T146" s="42">
        <v>-36.6</v>
      </c>
      <c r="U146" s="42">
        <v>1.1</v>
      </c>
      <c r="V146" s="42">
        <v>-5.2</v>
      </c>
      <c r="W146" s="42">
        <v>-26.8</v>
      </c>
    </row>
    <row r="147">
      <c r="A147" s="87">
        <v>146.0</v>
      </c>
      <c r="B147" s="85" t="s">
        <v>1564</v>
      </c>
      <c r="C147" s="85" t="s">
        <v>213</v>
      </c>
      <c r="D147" s="85" t="s">
        <v>1565</v>
      </c>
      <c r="E147" s="85" t="s">
        <v>1201</v>
      </c>
      <c r="F147" s="85" t="s">
        <v>1286</v>
      </c>
      <c r="G147" s="85" t="s">
        <v>1566</v>
      </c>
      <c r="H147" s="85" t="s">
        <v>1567</v>
      </c>
      <c r="I147" s="85" t="s">
        <v>1265</v>
      </c>
      <c r="J147" s="42">
        <v>-15.5</v>
      </c>
      <c r="K147" s="42">
        <v>0.5</v>
      </c>
      <c r="L147" s="42">
        <v>-3.2</v>
      </c>
      <c r="M147" s="42">
        <v>-3.0</v>
      </c>
      <c r="N147" s="42">
        <v>0.07</v>
      </c>
      <c r="O147" s="42">
        <v>3.4E10</v>
      </c>
      <c r="P147" s="42">
        <v>1.5E10</v>
      </c>
      <c r="Q147" s="42">
        <v>-32.4</v>
      </c>
      <c r="R147" s="42">
        <v>-32.4</v>
      </c>
      <c r="S147" s="42">
        <v>-63.8</v>
      </c>
      <c r="T147" s="42">
        <v>47.1</v>
      </c>
      <c r="U147" s="42">
        <v>-14.8</v>
      </c>
      <c r="V147" s="42">
        <v>-24.2</v>
      </c>
      <c r="W147" s="42">
        <v>-56.1</v>
      </c>
    </row>
    <row r="148">
      <c r="A148" s="87">
        <v>147.0</v>
      </c>
      <c r="B148" s="85" t="s">
        <v>1568</v>
      </c>
      <c r="C148" s="85" t="s">
        <v>214</v>
      </c>
      <c r="D148" s="85" t="s">
        <v>1569</v>
      </c>
      <c r="E148" s="85" t="s">
        <v>1570</v>
      </c>
      <c r="F148" s="85" t="s">
        <v>1571</v>
      </c>
      <c r="G148" s="85" t="s">
        <v>1572</v>
      </c>
      <c r="H148" s="85" t="s">
        <v>1572</v>
      </c>
      <c r="I148" s="85" t="s">
        <v>1573</v>
      </c>
      <c r="J148" s="42">
        <v>170.0</v>
      </c>
      <c r="K148" s="42">
        <v>0.66</v>
      </c>
      <c r="L148" s="42">
        <v>0.38</v>
      </c>
      <c r="M148" s="42">
        <v>0.23</v>
      </c>
      <c r="N148" s="42">
        <v>0.69</v>
      </c>
      <c r="O148" s="42">
        <v>1.6E12</v>
      </c>
      <c r="P148" s="42">
        <v>3.71E11</v>
      </c>
      <c r="Q148" s="42">
        <v>-12.6</v>
      </c>
      <c r="R148" s="42">
        <v>-6.5</v>
      </c>
      <c r="S148" s="42">
        <v>-18.7</v>
      </c>
      <c r="T148" s="42">
        <v>-17.9</v>
      </c>
      <c r="U148" s="42">
        <v>2.5</v>
      </c>
      <c r="V148" s="42">
        <v>-5.4</v>
      </c>
      <c r="W148" s="42">
        <v>-9.4</v>
      </c>
    </row>
    <row r="149">
      <c r="A149" s="87">
        <v>148.0</v>
      </c>
      <c r="B149" s="85" t="s">
        <v>1574</v>
      </c>
      <c r="C149" s="85" t="s">
        <v>215</v>
      </c>
      <c r="D149" s="85" t="s">
        <v>1273</v>
      </c>
      <c r="E149" s="85" t="s">
        <v>1208</v>
      </c>
      <c r="F149" s="85" t="s">
        <v>1274</v>
      </c>
      <c r="G149" s="85" t="s">
        <v>1274</v>
      </c>
      <c r="H149" s="85" t="s">
        <v>1274</v>
      </c>
      <c r="I149" s="85" t="s">
        <v>1575</v>
      </c>
      <c r="J149" s="42">
        <v>6.5</v>
      </c>
      <c r="K149" s="42">
        <v>1.2</v>
      </c>
      <c r="L149" s="42">
        <v>18.6</v>
      </c>
      <c r="M149" s="42">
        <v>2.4</v>
      </c>
      <c r="N149" s="42">
        <v>6.8</v>
      </c>
      <c r="O149" s="42">
        <v>3.8E14</v>
      </c>
      <c r="P149" s="42">
        <v>4.55E13</v>
      </c>
      <c r="Q149" s="42">
        <v>-12.7</v>
      </c>
      <c r="R149" s="42">
        <v>-23.0</v>
      </c>
      <c r="S149" s="42">
        <v>-25.1</v>
      </c>
      <c r="T149" s="42">
        <v>-26.9</v>
      </c>
      <c r="U149" s="42">
        <v>130.0</v>
      </c>
      <c r="V149" s="42">
        <v>-11.0</v>
      </c>
      <c r="W149" s="42">
        <v>-26.9</v>
      </c>
    </row>
    <row r="150">
      <c r="A150" s="87">
        <v>149.0</v>
      </c>
      <c r="B150" s="85" t="s">
        <v>1576</v>
      </c>
      <c r="C150" s="85" t="s">
        <v>216</v>
      </c>
      <c r="D150" s="85" t="s">
        <v>1251</v>
      </c>
      <c r="E150" s="85" t="s">
        <v>1252</v>
      </c>
      <c r="F150" s="85" t="s">
        <v>1252</v>
      </c>
      <c r="G150" s="85" t="s">
        <v>1253</v>
      </c>
      <c r="H150" s="85" t="s">
        <v>1254</v>
      </c>
      <c r="I150" s="85" t="s">
        <v>1255</v>
      </c>
      <c r="J150" s="42">
        <v>3.5</v>
      </c>
      <c r="K150" s="42">
        <v>0.38</v>
      </c>
      <c r="L150" s="42">
        <v>10.8</v>
      </c>
      <c r="M150" s="42">
        <v>6.1</v>
      </c>
      <c r="N150" s="42">
        <v>0.78</v>
      </c>
      <c r="O150" s="42">
        <v>3.43E11</v>
      </c>
      <c r="P150" s="42">
        <v>7.34E11</v>
      </c>
      <c r="Q150" s="42">
        <v>-15.4</v>
      </c>
      <c r="R150" s="42">
        <v>-12.6</v>
      </c>
      <c r="S150" s="42">
        <v>-12.6</v>
      </c>
      <c r="T150" s="42">
        <v>7.3</v>
      </c>
      <c r="U150" s="42">
        <v>13.4</v>
      </c>
      <c r="V150" s="42">
        <v>-10.2</v>
      </c>
      <c r="W150" s="42">
        <v>-19.0</v>
      </c>
    </row>
    <row r="151">
      <c r="A151" s="87">
        <v>150.0</v>
      </c>
      <c r="B151" s="85" t="s">
        <v>1577</v>
      </c>
      <c r="C151" s="85" t="s">
        <v>217</v>
      </c>
      <c r="D151" s="85" t="s">
        <v>1213</v>
      </c>
      <c r="E151" s="85" t="s">
        <v>1214</v>
      </c>
      <c r="F151" s="85" t="s">
        <v>1215</v>
      </c>
      <c r="G151" s="85" t="s">
        <v>1215</v>
      </c>
      <c r="H151" s="85" t="s">
        <v>1215</v>
      </c>
      <c r="I151" s="85" t="s">
        <v>1578</v>
      </c>
      <c r="J151" s="42">
        <v>2.5</v>
      </c>
      <c r="K151" s="42">
        <v>0.07</v>
      </c>
      <c r="L151" s="42">
        <v>2.9</v>
      </c>
      <c r="M151" s="42">
        <v>2.4</v>
      </c>
      <c r="N151" s="42">
        <v>0.23</v>
      </c>
      <c r="O151" s="42">
        <v>2.1E12</v>
      </c>
      <c r="P151" s="42">
        <v>2.4E12</v>
      </c>
      <c r="Q151" s="42">
        <v>-31.1</v>
      </c>
      <c r="R151" s="42">
        <v>-18.4</v>
      </c>
      <c r="S151" s="42">
        <v>-28.2</v>
      </c>
      <c r="T151" s="42">
        <v>-24.4</v>
      </c>
      <c r="U151" s="42">
        <v>35.3</v>
      </c>
      <c r="V151" s="42">
        <v>-18.4</v>
      </c>
      <c r="W151" s="42">
        <v>-27.7</v>
      </c>
    </row>
    <row r="152">
      <c r="A152" s="87">
        <v>151.0</v>
      </c>
      <c r="B152" s="85" t="s">
        <v>1579</v>
      </c>
      <c r="C152" s="85" t="s">
        <v>218</v>
      </c>
      <c r="D152" s="85" t="s">
        <v>1273</v>
      </c>
      <c r="E152" s="85" t="s">
        <v>1208</v>
      </c>
      <c r="F152" s="85" t="s">
        <v>1274</v>
      </c>
      <c r="G152" s="85" t="s">
        <v>1274</v>
      </c>
      <c r="H152" s="85" t="s">
        <v>1274</v>
      </c>
      <c r="I152" s="85" t="s">
        <v>1211</v>
      </c>
      <c r="J152" s="42">
        <v>1000.0</v>
      </c>
      <c r="K152" s="42">
        <v>0.7</v>
      </c>
      <c r="L152" s="42">
        <v>0.07</v>
      </c>
      <c r="M152" s="42">
        <v>0.03</v>
      </c>
      <c r="N152" s="42">
        <v>1.6</v>
      </c>
      <c r="O152" s="42">
        <v>2.2E12</v>
      </c>
      <c r="P152" s="42">
        <v>1.28E11</v>
      </c>
      <c r="Q152" s="42">
        <v>-26.4</v>
      </c>
      <c r="R152" s="42">
        <v>-19.3</v>
      </c>
      <c r="S152" s="42">
        <v>-9.3</v>
      </c>
      <c r="T152" s="42">
        <v>-30.4</v>
      </c>
      <c r="U152" s="42">
        <v>1.8</v>
      </c>
      <c r="V152" s="42">
        <v>-17.0</v>
      </c>
      <c r="W152" s="42">
        <v>-25.9</v>
      </c>
    </row>
    <row r="153">
      <c r="A153" s="87">
        <v>152.0</v>
      </c>
      <c r="B153" s="85" t="s">
        <v>1580</v>
      </c>
      <c r="C153" s="85" t="s">
        <v>219</v>
      </c>
      <c r="D153" s="85" t="s">
        <v>1213</v>
      </c>
      <c r="E153" s="85" t="s">
        <v>1214</v>
      </c>
      <c r="F153" s="85" t="s">
        <v>1215</v>
      </c>
      <c r="G153" s="85" t="s">
        <v>1215</v>
      </c>
      <c r="H153" s="85" t="s">
        <v>1215</v>
      </c>
      <c r="I153" s="85" t="s">
        <v>1328</v>
      </c>
      <c r="J153" s="42">
        <v>50.3</v>
      </c>
      <c r="K153" s="42">
        <v>4.6</v>
      </c>
      <c r="L153" s="42">
        <v>9.2</v>
      </c>
      <c r="M153" s="42">
        <v>1.8</v>
      </c>
      <c r="N153" s="42">
        <v>4.0</v>
      </c>
      <c r="O153" s="42">
        <v>2.24E13</v>
      </c>
      <c r="P153" s="42">
        <v>1.1E12</v>
      </c>
      <c r="Q153" s="42">
        <v>-48.5</v>
      </c>
      <c r="R153" s="42">
        <v>-40.6</v>
      </c>
      <c r="S153" s="42">
        <v>4.9</v>
      </c>
      <c r="T153" s="42">
        <v>190.0</v>
      </c>
      <c r="U153" s="42">
        <v>39.2</v>
      </c>
      <c r="V153" s="42">
        <v>-33.1</v>
      </c>
      <c r="W153" s="42">
        <v>-38.8</v>
      </c>
    </row>
    <row r="154">
      <c r="A154" s="87">
        <v>153.0</v>
      </c>
      <c r="B154" s="85" t="s">
        <v>1581</v>
      </c>
      <c r="C154" s="85" t="s">
        <v>220</v>
      </c>
      <c r="D154" s="85" t="s">
        <v>1273</v>
      </c>
      <c r="E154" s="85" t="s">
        <v>1208</v>
      </c>
      <c r="F154" s="85" t="s">
        <v>1274</v>
      </c>
      <c r="G154" s="85" t="s">
        <v>1274</v>
      </c>
      <c r="H154" s="85" t="s">
        <v>1274</v>
      </c>
      <c r="I154" s="85" t="s">
        <v>1582</v>
      </c>
      <c r="J154" s="42">
        <v>5.9</v>
      </c>
      <c r="K154" s="42">
        <v>0.69</v>
      </c>
      <c r="L154" s="42">
        <v>11.6</v>
      </c>
      <c r="M154" s="42">
        <v>1.9</v>
      </c>
      <c r="N154" s="42">
        <v>5.2</v>
      </c>
      <c r="O154" s="42">
        <v>4.02E13</v>
      </c>
      <c r="P154" s="42">
        <v>6.5E12</v>
      </c>
      <c r="Q154" s="42">
        <v>-11.4</v>
      </c>
      <c r="R154" s="42">
        <v>-15.3</v>
      </c>
      <c r="S154" s="42">
        <v>-16.9</v>
      </c>
      <c r="T154" s="42">
        <v>-14.3</v>
      </c>
      <c r="U154" s="42">
        <v>110.0</v>
      </c>
      <c r="V154" s="42">
        <v>-9.0</v>
      </c>
      <c r="W154" s="42">
        <v>-16.9</v>
      </c>
    </row>
    <row r="155">
      <c r="A155" s="87">
        <v>154.0</v>
      </c>
      <c r="B155" s="85" t="s">
        <v>1583</v>
      </c>
      <c r="C155" s="85" t="s">
        <v>221</v>
      </c>
      <c r="D155" s="85" t="s">
        <v>1273</v>
      </c>
      <c r="E155" s="85" t="s">
        <v>1208</v>
      </c>
      <c r="F155" s="85" t="s">
        <v>1274</v>
      </c>
      <c r="G155" s="85" t="s">
        <v>1274</v>
      </c>
      <c r="H155" s="85" t="s">
        <v>1274</v>
      </c>
      <c r="I155" s="85" t="s">
        <v>1320</v>
      </c>
      <c r="J155" s="42">
        <v>9.3</v>
      </c>
      <c r="K155" s="42">
        <v>0.45</v>
      </c>
      <c r="L155" s="42">
        <v>4.8</v>
      </c>
      <c r="M155" s="42">
        <v>0.82</v>
      </c>
      <c r="N155" s="42">
        <v>4.9</v>
      </c>
      <c r="O155" s="42">
        <v>1.45E13</v>
      </c>
      <c r="P155" s="42">
        <v>3.2E12</v>
      </c>
      <c r="Q155" s="42">
        <v>-13.9</v>
      </c>
      <c r="R155" s="42">
        <v>-13.9</v>
      </c>
      <c r="S155" s="42">
        <v>-15.5</v>
      </c>
      <c r="T155" s="42">
        <v>-12.1</v>
      </c>
      <c r="U155" s="42">
        <v>49.0</v>
      </c>
      <c r="V155" s="42">
        <v>-10.8</v>
      </c>
      <c r="W155" s="42">
        <v>-17.1</v>
      </c>
    </row>
    <row r="156">
      <c r="A156" s="87">
        <v>155.0</v>
      </c>
      <c r="B156" s="85" t="s">
        <v>1584</v>
      </c>
      <c r="C156" s="85" t="s">
        <v>222</v>
      </c>
      <c r="D156" s="85" t="s">
        <v>1273</v>
      </c>
      <c r="E156" s="85" t="s">
        <v>1208</v>
      </c>
      <c r="F156" s="85" t="s">
        <v>1274</v>
      </c>
      <c r="G156" s="85" t="s">
        <v>1274</v>
      </c>
      <c r="H156" s="85" t="s">
        <v>1274</v>
      </c>
      <c r="I156" s="85" t="s">
        <v>1585</v>
      </c>
      <c r="J156" s="42">
        <v>30.3</v>
      </c>
      <c r="K156" s="42">
        <v>2.4</v>
      </c>
      <c r="L156" s="42">
        <v>8.1</v>
      </c>
      <c r="M156" s="42">
        <v>1.4</v>
      </c>
      <c r="N156" s="42">
        <v>4.7</v>
      </c>
      <c r="O156" s="42">
        <v>1.1E14</v>
      </c>
      <c r="P156" s="42">
        <v>4.4E12</v>
      </c>
      <c r="Q156" s="42">
        <v>-22.1</v>
      </c>
      <c r="R156" s="42">
        <v>-18.5</v>
      </c>
      <c r="S156" s="42">
        <v>-44.7</v>
      </c>
      <c r="T156" s="42">
        <v>11.2</v>
      </c>
      <c r="U156" s="42">
        <v>84.2</v>
      </c>
      <c r="V156" s="42">
        <v>-13.0</v>
      </c>
      <c r="W156" s="42">
        <v>-46.7</v>
      </c>
    </row>
    <row r="157">
      <c r="A157" s="87">
        <v>156.0</v>
      </c>
      <c r="B157" s="85" t="s">
        <v>1586</v>
      </c>
      <c r="C157" s="85" t="s">
        <v>223</v>
      </c>
      <c r="D157" s="85" t="s">
        <v>1397</v>
      </c>
      <c r="E157" s="85" t="s">
        <v>1187</v>
      </c>
      <c r="F157" s="85" t="s">
        <v>1188</v>
      </c>
      <c r="G157" s="85" t="s">
        <v>1359</v>
      </c>
      <c r="H157" s="85" t="s">
        <v>1398</v>
      </c>
      <c r="I157" s="85" t="s">
        <v>1280</v>
      </c>
      <c r="J157" s="42">
        <v>12.2</v>
      </c>
      <c r="K157" s="42">
        <v>1.0</v>
      </c>
      <c r="L157" s="42">
        <v>8.5</v>
      </c>
      <c r="M157" s="42">
        <v>5.9</v>
      </c>
      <c r="N157" s="42">
        <v>0.45</v>
      </c>
      <c r="O157" s="42">
        <v>4.17E11</v>
      </c>
      <c r="P157" s="42">
        <v>5.4E10</v>
      </c>
      <c r="Q157" s="42">
        <v>-40.9</v>
      </c>
      <c r="R157" s="42">
        <v>-40.9</v>
      </c>
      <c r="S157" s="42">
        <v>-63.2</v>
      </c>
      <c r="T157" s="42">
        <v>-21.4</v>
      </c>
      <c r="U157" s="42">
        <v>63.6</v>
      </c>
      <c r="V157" s="42">
        <v>-31.4</v>
      </c>
      <c r="W157" s="42">
        <v>-67.1</v>
      </c>
    </row>
    <row r="158">
      <c r="A158" s="87">
        <v>157.0</v>
      </c>
      <c r="B158" s="85" t="s">
        <v>1587</v>
      </c>
      <c r="C158" s="85" t="s">
        <v>224</v>
      </c>
      <c r="D158" s="85" t="s">
        <v>1282</v>
      </c>
      <c r="E158" s="85" t="s">
        <v>1194</v>
      </c>
      <c r="F158" s="85" t="s">
        <v>1195</v>
      </c>
      <c r="G158" s="85" t="s">
        <v>1283</v>
      </c>
      <c r="H158" s="85" t="s">
        <v>1283</v>
      </c>
      <c r="I158" s="85" t="s">
        <v>1269</v>
      </c>
      <c r="J158" s="42">
        <v>17.4</v>
      </c>
      <c r="K158" s="42">
        <v>2.0</v>
      </c>
      <c r="L158" s="42">
        <v>11.5</v>
      </c>
      <c r="M158" s="42">
        <v>10.0</v>
      </c>
      <c r="N158" s="42">
        <v>0.15</v>
      </c>
      <c r="O158" s="42">
        <v>3.47E11</v>
      </c>
      <c r="P158" s="42">
        <v>4.9E10</v>
      </c>
      <c r="Q158" s="42">
        <v>-4.1</v>
      </c>
      <c r="R158" s="42">
        <v>60.7</v>
      </c>
      <c r="S158" s="42">
        <v>41.1</v>
      </c>
      <c r="T158" s="42">
        <v>75.9</v>
      </c>
      <c r="U158" s="42">
        <v>41.1</v>
      </c>
      <c r="V158" s="42">
        <v>-1.4</v>
      </c>
      <c r="W158" s="42">
        <v>52.7</v>
      </c>
    </row>
    <row r="159">
      <c r="A159" s="87">
        <v>158.0</v>
      </c>
      <c r="B159" s="85" t="s">
        <v>1588</v>
      </c>
      <c r="C159" s="85" t="s">
        <v>225</v>
      </c>
      <c r="D159" s="85" t="s">
        <v>1414</v>
      </c>
      <c r="E159" s="85" t="s">
        <v>1201</v>
      </c>
      <c r="F159" s="85" t="s">
        <v>1219</v>
      </c>
      <c r="G159" s="85" t="s">
        <v>1220</v>
      </c>
      <c r="H159" s="85" t="s">
        <v>1415</v>
      </c>
      <c r="I159" s="85" t="s">
        <v>1381</v>
      </c>
      <c r="J159" s="42">
        <v>1200.0</v>
      </c>
      <c r="K159" s="42">
        <v>11.2</v>
      </c>
      <c r="L159" s="42">
        <v>0.94</v>
      </c>
      <c r="M159" s="42">
        <v>0.54</v>
      </c>
      <c r="N159" s="42">
        <v>0.73</v>
      </c>
      <c r="O159" s="42">
        <v>5.1E12</v>
      </c>
      <c r="P159" s="42">
        <v>8.9E10</v>
      </c>
      <c r="Q159" s="42">
        <v>-38.1</v>
      </c>
      <c r="R159" s="42">
        <v>-37.9</v>
      </c>
      <c r="S159" s="42">
        <v>-19.2</v>
      </c>
      <c r="T159" s="42">
        <v>60.9</v>
      </c>
      <c r="U159" s="42">
        <v>4.8</v>
      </c>
      <c r="V159" s="42">
        <v>-33.7</v>
      </c>
      <c r="W159" s="42">
        <v>-19.5</v>
      </c>
    </row>
    <row r="160">
      <c r="A160" s="87">
        <v>159.0</v>
      </c>
      <c r="B160" s="85" t="s">
        <v>1589</v>
      </c>
      <c r="C160" s="85" t="s">
        <v>226</v>
      </c>
      <c r="D160" s="85" t="s">
        <v>1559</v>
      </c>
      <c r="E160" s="85" t="s">
        <v>1201</v>
      </c>
      <c r="F160" s="85" t="s">
        <v>1286</v>
      </c>
      <c r="G160" s="85" t="s">
        <v>1287</v>
      </c>
      <c r="H160" s="85" t="s">
        <v>1560</v>
      </c>
      <c r="I160" s="85" t="s">
        <v>1578</v>
      </c>
      <c r="J160" s="42">
        <v>21.8</v>
      </c>
      <c r="K160" s="42">
        <v>1.3</v>
      </c>
      <c r="L160" s="42">
        <v>6.1</v>
      </c>
      <c r="M160" s="42">
        <v>5.4</v>
      </c>
      <c r="N160" s="42">
        <v>0.14</v>
      </c>
      <c r="O160" s="42">
        <v>9.36E11</v>
      </c>
      <c r="P160" s="42">
        <v>7.8E10</v>
      </c>
      <c r="Q160" s="42">
        <v>-32.0</v>
      </c>
      <c r="R160" s="42">
        <v>-28.6</v>
      </c>
      <c r="S160" s="42">
        <v>-29.9</v>
      </c>
      <c r="T160" s="42">
        <v>17.3</v>
      </c>
      <c r="U160" s="42">
        <v>55.2</v>
      </c>
      <c r="V160" s="42">
        <v>-26.8</v>
      </c>
      <c r="W160" s="42">
        <v>-35.0</v>
      </c>
    </row>
    <row r="161">
      <c r="A161" s="87">
        <v>160.0</v>
      </c>
      <c r="B161" s="85" t="s">
        <v>1590</v>
      </c>
      <c r="C161" s="85" t="s">
        <v>227</v>
      </c>
      <c r="D161" s="85" t="s">
        <v>1261</v>
      </c>
      <c r="E161" s="85" t="s">
        <v>1201</v>
      </c>
      <c r="F161" s="85" t="s">
        <v>1262</v>
      </c>
      <c r="G161" s="85" t="s">
        <v>1263</v>
      </c>
      <c r="H161" s="85" t="s">
        <v>1264</v>
      </c>
      <c r="I161" s="85" t="s">
        <v>1381</v>
      </c>
      <c r="J161" s="42">
        <v>13.4</v>
      </c>
      <c r="K161" s="42">
        <v>1.7</v>
      </c>
      <c r="L161" s="42">
        <v>12.9</v>
      </c>
      <c r="M161" s="42">
        <v>8.2</v>
      </c>
      <c r="N161" s="42">
        <v>0.57</v>
      </c>
      <c r="O161" s="42">
        <v>1.9E12</v>
      </c>
      <c r="P161" s="42">
        <v>4.23E11</v>
      </c>
      <c r="Q161" s="42">
        <v>-11.6</v>
      </c>
      <c r="R161" s="42">
        <v>-19.0</v>
      </c>
      <c r="S161" s="42">
        <v>-26.8</v>
      </c>
      <c r="T161" s="42">
        <v>-34.9</v>
      </c>
      <c r="U161" s="42">
        <v>33.3</v>
      </c>
      <c r="V161" s="42">
        <v>-3.8</v>
      </c>
      <c r="W161" s="42">
        <v>-25.0</v>
      </c>
    </row>
    <row r="162">
      <c r="A162" s="87">
        <v>161.0</v>
      </c>
      <c r="B162" s="85" t="s">
        <v>1591</v>
      </c>
      <c r="C162" s="85" t="s">
        <v>228</v>
      </c>
      <c r="D162" s="85" t="s">
        <v>1186</v>
      </c>
      <c r="E162" s="85" t="s">
        <v>1187</v>
      </c>
      <c r="F162" s="85" t="s">
        <v>1188</v>
      </c>
      <c r="G162" s="85" t="s">
        <v>1189</v>
      </c>
      <c r="H162" s="85" t="s">
        <v>1190</v>
      </c>
      <c r="I162" s="85" t="s">
        <v>1399</v>
      </c>
      <c r="J162" s="42">
        <v>0.0</v>
      </c>
      <c r="K162" s="42">
        <v>-0.42</v>
      </c>
      <c r="L162" s="42">
        <v>0.0</v>
      </c>
      <c r="M162" s="42">
        <v>-28.9</v>
      </c>
      <c r="N162" s="42">
        <v>-4.8</v>
      </c>
      <c r="O162" s="42">
        <v>7.0E10</v>
      </c>
      <c r="P162" s="42">
        <v>1.42E11</v>
      </c>
      <c r="Q162" s="42">
        <v>0.0</v>
      </c>
      <c r="R162" s="42">
        <v>0.0</v>
      </c>
      <c r="S162" s="42">
        <v>0.0</v>
      </c>
      <c r="T162" s="42">
        <v>0.0</v>
      </c>
      <c r="U162" s="42">
        <v>-130.0</v>
      </c>
      <c r="V162" s="42">
        <v>0.0</v>
      </c>
      <c r="W162" s="42">
        <v>0.0</v>
      </c>
    </row>
    <row r="163">
      <c r="A163" s="87">
        <v>162.0</v>
      </c>
      <c r="B163" s="85" t="s">
        <v>1592</v>
      </c>
      <c r="C163" s="85" t="s">
        <v>229</v>
      </c>
      <c r="D163" s="85" t="s">
        <v>1247</v>
      </c>
      <c r="E163" s="85" t="s">
        <v>1208</v>
      </c>
      <c r="F163" s="85" t="s">
        <v>1248</v>
      </c>
      <c r="G163" s="85" t="s">
        <v>1249</v>
      </c>
      <c r="H163" s="85" t="s">
        <v>1249</v>
      </c>
      <c r="I163" s="85" t="s">
        <v>1278</v>
      </c>
      <c r="J163" s="42">
        <v>8.6</v>
      </c>
      <c r="K163" s="42">
        <v>0.6</v>
      </c>
      <c r="L163" s="42">
        <v>6.9</v>
      </c>
      <c r="M163" s="42">
        <v>2.8</v>
      </c>
      <c r="N163" s="42">
        <v>1.5</v>
      </c>
      <c r="O163" s="42">
        <v>7.17E11</v>
      </c>
      <c r="P163" s="42">
        <v>1.03E11</v>
      </c>
      <c r="Q163" s="42">
        <v>-6.8</v>
      </c>
      <c r="R163" s="42">
        <v>-8.1</v>
      </c>
      <c r="S163" s="42">
        <v>-22.0</v>
      </c>
      <c r="T163" s="42">
        <v>-29.5</v>
      </c>
      <c r="U163" s="42">
        <v>81.0</v>
      </c>
      <c r="V163" s="42">
        <v>-4.6</v>
      </c>
      <c r="W163" s="42">
        <v>-22.0</v>
      </c>
    </row>
    <row r="164">
      <c r="A164" s="87">
        <v>163.0</v>
      </c>
      <c r="B164" s="85" t="s">
        <v>1593</v>
      </c>
      <c r="C164" s="85" t="s">
        <v>230</v>
      </c>
      <c r="D164" s="85" t="s">
        <v>1363</v>
      </c>
      <c r="E164" s="85" t="s">
        <v>1208</v>
      </c>
      <c r="F164" s="85" t="s">
        <v>1364</v>
      </c>
      <c r="G164" s="85" t="s">
        <v>1364</v>
      </c>
      <c r="H164" s="85" t="s">
        <v>1365</v>
      </c>
      <c r="I164" s="85" t="s">
        <v>1211</v>
      </c>
      <c r="J164" s="42">
        <v>39.1</v>
      </c>
      <c r="K164" s="42">
        <v>2.5</v>
      </c>
      <c r="L164" s="42">
        <v>6.3</v>
      </c>
      <c r="M164" s="42">
        <v>1.8</v>
      </c>
      <c r="N164" s="42">
        <v>2.5</v>
      </c>
      <c r="O164" s="42">
        <v>4.5E12</v>
      </c>
      <c r="P164" s="42">
        <v>3.13E11</v>
      </c>
      <c r="Q164" s="42">
        <v>0.0</v>
      </c>
      <c r="R164" s="42">
        <v>-2.5</v>
      </c>
      <c r="S164" s="42">
        <v>-9.8</v>
      </c>
      <c r="T164" s="42">
        <v>-22.7</v>
      </c>
      <c r="U164" s="42">
        <v>37.2</v>
      </c>
      <c r="V164" s="42">
        <v>-1.3</v>
      </c>
      <c r="W164" s="42">
        <v>-9.8</v>
      </c>
    </row>
    <row r="165">
      <c r="A165" s="87">
        <v>164.0</v>
      </c>
      <c r="B165" s="85" t="s">
        <v>1594</v>
      </c>
      <c r="C165" s="85" t="s">
        <v>231</v>
      </c>
      <c r="D165" s="85" t="s">
        <v>1426</v>
      </c>
      <c r="E165" s="85" t="s">
        <v>1300</v>
      </c>
      <c r="F165" s="85" t="s">
        <v>1427</v>
      </c>
      <c r="G165" s="85" t="s">
        <v>1428</v>
      </c>
      <c r="H165" s="85" t="s">
        <v>1429</v>
      </c>
      <c r="I165" s="85" t="s">
        <v>1595</v>
      </c>
      <c r="J165" s="42">
        <v>6.7</v>
      </c>
      <c r="K165" s="42">
        <v>0.41</v>
      </c>
      <c r="L165" s="42">
        <v>6.1</v>
      </c>
      <c r="M165" s="42">
        <v>1.7</v>
      </c>
      <c r="N165" s="42">
        <v>2.6</v>
      </c>
      <c r="O165" s="42">
        <v>2.54E11</v>
      </c>
      <c r="P165" s="42">
        <v>1.7E11</v>
      </c>
      <c r="Q165" s="42">
        <v>-18.1</v>
      </c>
      <c r="R165" s="42">
        <v>-10.5</v>
      </c>
      <c r="S165" s="42">
        <v>-26.9</v>
      </c>
      <c r="T165" s="42">
        <v>-12.8</v>
      </c>
      <c r="U165" s="42">
        <v>22.4</v>
      </c>
      <c r="V165" s="42">
        <v>-5.6</v>
      </c>
      <c r="W165" s="42">
        <v>-25.3</v>
      </c>
    </row>
    <row r="166">
      <c r="A166" s="87">
        <v>165.0</v>
      </c>
      <c r="B166" s="85" t="s">
        <v>1596</v>
      </c>
      <c r="C166" s="85" t="s">
        <v>232</v>
      </c>
      <c r="D166" s="85" t="s">
        <v>1597</v>
      </c>
      <c r="E166" s="85" t="s">
        <v>1201</v>
      </c>
      <c r="F166" s="85" t="s">
        <v>1262</v>
      </c>
      <c r="G166" s="85" t="s">
        <v>1263</v>
      </c>
      <c r="H166" s="85" t="s">
        <v>1598</v>
      </c>
      <c r="I166" s="85" t="s">
        <v>1381</v>
      </c>
      <c r="J166" s="42">
        <v>120.0</v>
      </c>
      <c r="K166" s="42">
        <v>0.52</v>
      </c>
      <c r="L166" s="42">
        <v>0.42</v>
      </c>
      <c r="M166" s="42">
        <v>0.34</v>
      </c>
      <c r="N166" s="42">
        <v>0.24</v>
      </c>
      <c r="O166" s="42">
        <v>2.0E12</v>
      </c>
      <c r="P166" s="42">
        <v>6.31E11</v>
      </c>
      <c r="Q166" s="42">
        <v>-9.2</v>
      </c>
      <c r="R166" s="42">
        <v>-6.0</v>
      </c>
      <c r="S166" s="42">
        <v>-11.5</v>
      </c>
      <c r="T166" s="42">
        <v>-26.4</v>
      </c>
      <c r="U166" s="42">
        <v>2.6</v>
      </c>
      <c r="V166" s="42">
        <v>-7.2</v>
      </c>
      <c r="W166" s="42">
        <v>-7.2</v>
      </c>
    </row>
    <row r="167">
      <c r="A167" s="87">
        <v>166.0</v>
      </c>
      <c r="B167" s="85" t="s">
        <v>1599</v>
      </c>
      <c r="C167" s="85" t="s">
        <v>233</v>
      </c>
      <c r="D167" s="85" t="s">
        <v>1387</v>
      </c>
      <c r="E167" s="85" t="s">
        <v>1230</v>
      </c>
      <c r="F167" s="85" t="s">
        <v>1388</v>
      </c>
      <c r="G167" s="85" t="s">
        <v>1389</v>
      </c>
      <c r="H167" s="85" t="s">
        <v>1389</v>
      </c>
      <c r="I167" s="85" t="s">
        <v>1600</v>
      </c>
      <c r="J167" s="42">
        <v>190.0</v>
      </c>
      <c r="K167" s="42">
        <v>27.7</v>
      </c>
      <c r="L167" s="42">
        <v>15.0</v>
      </c>
      <c r="M167" s="42">
        <v>3.6</v>
      </c>
      <c r="N167" s="42">
        <v>3.2</v>
      </c>
      <c r="O167" s="42">
        <v>4.4E14</v>
      </c>
      <c r="P167" s="42">
        <v>2.8E12</v>
      </c>
      <c r="Q167" s="42">
        <v>-5.3</v>
      </c>
      <c r="R167" s="42">
        <v>-51.2</v>
      </c>
      <c r="S167" s="42">
        <v>-62.8</v>
      </c>
      <c r="T167" s="42">
        <v>-43.5</v>
      </c>
      <c r="U167" s="42">
        <v>84.9</v>
      </c>
      <c r="V167" s="42">
        <v>-12.9</v>
      </c>
      <c r="W167" s="42">
        <v>-62.9</v>
      </c>
    </row>
    <row r="168">
      <c r="A168" s="87">
        <v>167.0</v>
      </c>
      <c r="B168" s="85" t="s">
        <v>1601</v>
      </c>
      <c r="C168" s="85" t="s">
        <v>234</v>
      </c>
      <c r="D168" s="85" t="s">
        <v>1273</v>
      </c>
      <c r="E168" s="85" t="s">
        <v>1208</v>
      </c>
      <c r="F168" s="85" t="s">
        <v>1274</v>
      </c>
      <c r="G168" s="85" t="s">
        <v>1274</v>
      </c>
      <c r="H168" s="85" t="s">
        <v>1274</v>
      </c>
      <c r="I168" s="85" t="s">
        <v>1602</v>
      </c>
      <c r="J168" s="42">
        <v>11.6</v>
      </c>
      <c r="K168" s="42">
        <v>1.8</v>
      </c>
      <c r="L168" s="42">
        <v>15.5</v>
      </c>
      <c r="M168" s="42">
        <v>1.7</v>
      </c>
      <c r="N168" s="42">
        <v>2.2</v>
      </c>
      <c r="O168" s="42">
        <v>9.04E13</v>
      </c>
      <c r="P168" s="42">
        <v>5.0E12</v>
      </c>
      <c r="Q168" s="42">
        <v>-12.0</v>
      </c>
      <c r="R168" s="42">
        <v>-26.3</v>
      </c>
      <c r="S168" s="42">
        <v>-30.7</v>
      </c>
      <c r="T168" s="42">
        <v>-37.2</v>
      </c>
      <c r="U168" s="42">
        <v>160.0</v>
      </c>
      <c r="V168" s="42">
        <v>-17.0</v>
      </c>
      <c r="W168" s="42">
        <v>-25.2</v>
      </c>
    </row>
    <row r="169">
      <c r="A169" s="87">
        <v>168.0</v>
      </c>
      <c r="B169" s="85" t="s">
        <v>1603</v>
      </c>
      <c r="C169" s="85" t="s">
        <v>235</v>
      </c>
      <c r="D169" s="85" t="s">
        <v>1354</v>
      </c>
      <c r="E169" s="85" t="s">
        <v>1252</v>
      </c>
      <c r="F169" s="85" t="s">
        <v>1252</v>
      </c>
      <c r="G169" s="85" t="s">
        <v>1313</v>
      </c>
      <c r="H169" s="85" t="s">
        <v>1355</v>
      </c>
      <c r="I169" s="85" t="s">
        <v>1604</v>
      </c>
      <c r="J169" s="42">
        <v>94.0</v>
      </c>
      <c r="K169" s="42">
        <v>4.7</v>
      </c>
      <c r="L169" s="42">
        <v>5.0</v>
      </c>
      <c r="M169" s="42">
        <v>3.8</v>
      </c>
      <c r="N169" s="42">
        <v>0.32</v>
      </c>
      <c r="O169" s="42">
        <v>8.44E13</v>
      </c>
      <c r="P169" s="42">
        <v>1.2E12</v>
      </c>
      <c r="Q169" s="42">
        <v>-35.7</v>
      </c>
      <c r="R169" s="42">
        <v>-36.2</v>
      </c>
      <c r="S169" s="42">
        <v>-50.3</v>
      </c>
      <c r="T169" s="42">
        <v>15.9</v>
      </c>
      <c r="U169" s="42">
        <v>76.0</v>
      </c>
      <c r="V169" s="42">
        <v>-16.9</v>
      </c>
      <c r="W169" s="42">
        <v>-59.2</v>
      </c>
    </row>
    <row r="170">
      <c r="A170" s="87">
        <v>169.0</v>
      </c>
      <c r="B170" s="85" t="s">
        <v>1605</v>
      </c>
      <c r="C170" s="85" t="s">
        <v>236</v>
      </c>
      <c r="D170" s="85" t="s">
        <v>1304</v>
      </c>
      <c r="E170" s="85" t="s">
        <v>1252</v>
      </c>
      <c r="F170" s="85" t="s">
        <v>1252</v>
      </c>
      <c r="G170" s="85" t="s">
        <v>1305</v>
      </c>
      <c r="H170" s="85" t="s">
        <v>1305</v>
      </c>
      <c r="I170" s="85" t="s">
        <v>1255</v>
      </c>
      <c r="J170" s="42">
        <v>97.9</v>
      </c>
      <c r="K170" s="42">
        <v>0.6</v>
      </c>
      <c r="L170" s="42">
        <v>0.61</v>
      </c>
      <c r="M170" s="42">
        <v>0.28</v>
      </c>
      <c r="N170" s="42">
        <v>1.2</v>
      </c>
      <c r="O170" s="42">
        <v>6.07E11</v>
      </c>
      <c r="P170" s="42">
        <v>2.78E11</v>
      </c>
      <c r="Q170" s="42">
        <v>-11.1</v>
      </c>
      <c r="R170" s="42">
        <v>-10.4</v>
      </c>
      <c r="S170" s="42">
        <v>-16.7</v>
      </c>
      <c r="T170" s="42">
        <v>-8.4</v>
      </c>
      <c r="U170" s="42">
        <v>2.2</v>
      </c>
      <c r="V170" s="42">
        <v>-3.2</v>
      </c>
      <c r="W170" s="42">
        <v>-14.3</v>
      </c>
    </row>
    <row r="171">
      <c r="A171" s="87">
        <v>170.0</v>
      </c>
      <c r="B171" s="85" t="s">
        <v>1606</v>
      </c>
      <c r="C171" s="85" t="s">
        <v>237</v>
      </c>
      <c r="D171" s="85" t="s">
        <v>1251</v>
      </c>
      <c r="E171" s="85" t="s">
        <v>1252</v>
      </c>
      <c r="F171" s="85" t="s">
        <v>1252</v>
      </c>
      <c r="G171" s="85" t="s">
        <v>1253</v>
      </c>
      <c r="H171" s="85" t="s">
        <v>1254</v>
      </c>
      <c r="I171" s="85" t="s">
        <v>1607</v>
      </c>
      <c r="J171" s="42">
        <v>19.2</v>
      </c>
      <c r="K171" s="42">
        <v>1.7</v>
      </c>
      <c r="L171" s="42">
        <v>8.9</v>
      </c>
      <c r="M171" s="42">
        <v>3.2</v>
      </c>
      <c r="N171" s="42">
        <v>1.8</v>
      </c>
      <c r="O171" s="42">
        <v>1.8E14</v>
      </c>
      <c r="P171" s="42">
        <v>4.37E13</v>
      </c>
      <c r="Q171" s="42">
        <v>-30.2</v>
      </c>
      <c r="R171" s="42">
        <v>-7.7</v>
      </c>
      <c r="S171" s="42">
        <v>-59.3</v>
      </c>
      <c r="T171" s="42">
        <v>-8.3</v>
      </c>
      <c r="U171" s="42">
        <v>21.7</v>
      </c>
      <c r="V171" s="42">
        <v>-28.2</v>
      </c>
      <c r="W171" s="42">
        <v>-56.6</v>
      </c>
    </row>
    <row r="172">
      <c r="A172" s="87">
        <v>171.0</v>
      </c>
      <c r="B172" s="85" t="s">
        <v>1608</v>
      </c>
      <c r="C172" s="85" t="s">
        <v>238</v>
      </c>
      <c r="D172" s="85" t="s">
        <v>1282</v>
      </c>
      <c r="E172" s="85" t="s">
        <v>1194</v>
      </c>
      <c r="F172" s="85" t="s">
        <v>1195</v>
      </c>
      <c r="G172" s="85" t="s">
        <v>1283</v>
      </c>
      <c r="H172" s="85" t="s">
        <v>1283</v>
      </c>
      <c r="I172" s="85" t="s">
        <v>1269</v>
      </c>
      <c r="J172" s="42">
        <v>33.5</v>
      </c>
      <c r="K172" s="42">
        <v>0.69</v>
      </c>
      <c r="L172" s="42">
        <v>2.1</v>
      </c>
      <c r="M172" s="42">
        <v>1.4</v>
      </c>
      <c r="N172" s="42">
        <v>0.46</v>
      </c>
      <c r="O172" s="42">
        <v>6.0E10</v>
      </c>
      <c r="P172" s="42">
        <v>3.1E10</v>
      </c>
      <c r="Q172" s="42">
        <v>-32.0</v>
      </c>
      <c r="R172" s="42">
        <v>-37.0</v>
      </c>
      <c r="S172" s="42">
        <v>-62.5</v>
      </c>
      <c r="T172" s="42">
        <v>0.0</v>
      </c>
      <c r="U172" s="42">
        <v>5.7</v>
      </c>
      <c r="V172" s="42">
        <v>-16.4</v>
      </c>
      <c r="W172" s="42">
        <v>-54.1</v>
      </c>
    </row>
    <row r="173">
      <c r="A173" s="87">
        <v>172.0</v>
      </c>
      <c r="B173" s="85" t="s">
        <v>1609</v>
      </c>
      <c r="C173" s="85" t="s">
        <v>239</v>
      </c>
      <c r="D173" s="85" t="s">
        <v>1234</v>
      </c>
      <c r="E173" s="85" t="s">
        <v>1235</v>
      </c>
      <c r="F173" s="85" t="s">
        <v>1235</v>
      </c>
      <c r="G173" s="85" t="s">
        <v>1236</v>
      </c>
      <c r="H173" s="85" t="s">
        <v>1237</v>
      </c>
      <c r="I173" s="85" t="s">
        <v>1238</v>
      </c>
      <c r="J173" s="42">
        <v>18.2</v>
      </c>
      <c r="K173" s="42">
        <v>0.6</v>
      </c>
      <c r="L173" s="42">
        <v>3.3</v>
      </c>
      <c r="M173" s="42">
        <v>2.5</v>
      </c>
      <c r="N173" s="42">
        <v>0.34</v>
      </c>
      <c r="O173" s="42">
        <v>1.3E12</v>
      </c>
      <c r="P173" s="42">
        <v>9.2E10</v>
      </c>
      <c r="Q173" s="42">
        <v>-13.8</v>
      </c>
      <c r="R173" s="42">
        <v>-12.3</v>
      </c>
      <c r="S173" s="42">
        <v>-37.5</v>
      </c>
      <c r="T173" s="42">
        <v>0.0</v>
      </c>
      <c r="U173" s="42">
        <v>78.0</v>
      </c>
      <c r="V173" s="42">
        <v>-5.7</v>
      </c>
      <c r="W173" s="42">
        <v>-29.6</v>
      </c>
    </row>
    <row r="174">
      <c r="A174" s="87">
        <v>173.0</v>
      </c>
      <c r="B174" s="85" t="s">
        <v>1610</v>
      </c>
      <c r="C174" s="85" t="s">
        <v>240</v>
      </c>
      <c r="D174" s="85" t="s">
        <v>1234</v>
      </c>
      <c r="E174" s="85" t="s">
        <v>1235</v>
      </c>
      <c r="F174" s="85" t="s">
        <v>1235</v>
      </c>
      <c r="G174" s="85" t="s">
        <v>1236</v>
      </c>
      <c r="H174" s="85" t="s">
        <v>1237</v>
      </c>
      <c r="I174" s="85" t="s">
        <v>1611</v>
      </c>
      <c r="J174" s="42">
        <v>5.2</v>
      </c>
      <c r="K174" s="42">
        <v>0.25</v>
      </c>
      <c r="L174" s="42">
        <v>4.8</v>
      </c>
      <c r="M174" s="42">
        <v>3.2</v>
      </c>
      <c r="N174" s="42">
        <v>0.51</v>
      </c>
      <c r="O174" s="42">
        <v>1.33E13</v>
      </c>
      <c r="P174" s="42">
        <v>1.28E13</v>
      </c>
      <c r="Q174" s="42">
        <v>-28.9</v>
      </c>
      <c r="R174" s="42">
        <v>-25.0</v>
      </c>
      <c r="S174" s="42">
        <v>-42.9</v>
      </c>
      <c r="T174" s="42">
        <v>-39.7</v>
      </c>
      <c r="U174" s="42">
        <v>19.9</v>
      </c>
      <c r="V174" s="42">
        <v>-14.3</v>
      </c>
      <c r="W174" s="42">
        <v>-40.7</v>
      </c>
    </row>
    <row r="175">
      <c r="A175" s="87">
        <v>174.0</v>
      </c>
      <c r="B175" s="85" t="s">
        <v>1612</v>
      </c>
      <c r="C175" s="85" t="s">
        <v>241</v>
      </c>
      <c r="D175" s="85" t="s">
        <v>1273</v>
      </c>
      <c r="E175" s="85" t="s">
        <v>1208</v>
      </c>
      <c r="F175" s="85" t="s">
        <v>1274</v>
      </c>
      <c r="G175" s="85" t="s">
        <v>1274</v>
      </c>
      <c r="H175" s="85" t="s">
        <v>1274</v>
      </c>
      <c r="I175" s="85" t="s">
        <v>1320</v>
      </c>
      <c r="J175" s="42">
        <v>55.2</v>
      </c>
      <c r="K175" s="42">
        <v>1.8</v>
      </c>
      <c r="L175" s="42">
        <v>3.2</v>
      </c>
      <c r="M175" s="42">
        <v>0.51</v>
      </c>
      <c r="N175" s="42">
        <v>4.8</v>
      </c>
      <c r="O175" s="42">
        <v>1.57E13</v>
      </c>
      <c r="P175" s="42">
        <v>8.03E11</v>
      </c>
      <c r="Q175" s="42">
        <v>-18.2</v>
      </c>
      <c r="R175" s="42">
        <v>-33.2</v>
      </c>
      <c r="S175" s="42">
        <v>-20.6</v>
      </c>
      <c r="T175" s="42">
        <v>-30.5</v>
      </c>
      <c r="U175" s="42">
        <v>35.8</v>
      </c>
      <c r="V175" s="42">
        <v>-10.9</v>
      </c>
      <c r="W175" s="42">
        <v>-21.0</v>
      </c>
    </row>
    <row r="176">
      <c r="A176" s="87">
        <v>175.0</v>
      </c>
      <c r="B176" s="85" t="s">
        <v>1613</v>
      </c>
      <c r="C176" s="85" t="s">
        <v>242</v>
      </c>
      <c r="D176" s="85" t="s">
        <v>1308</v>
      </c>
      <c r="E176" s="85" t="s">
        <v>1187</v>
      </c>
      <c r="F176" s="85" t="s">
        <v>1188</v>
      </c>
      <c r="G176" s="85" t="s">
        <v>1189</v>
      </c>
      <c r="H176" s="85" t="s">
        <v>1309</v>
      </c>
      <c r="I176" s="85" t="s">
        <v>1280</v>
      </c>
      <c r="J176" s="42">
        <v>350.0</v>
      </c>
      <c r="K176" s="42">
        <v>5.7</v>
      </c>
      <c r="L176" s="42">
        <v>1.7</v>
      </c>
      <c r="M176" s="42">
        <v>1.1</v>
      </c>
      <c r="N176" s="42">
        <v>0.5</v>
      </c>
      <c r="O176" s="42">
        <v>7.59E11</v>
      </c>
      <c r="P176" s="42">
        <v>1.1E10</v>
      </c>
      <c r="Q176" s="42">
        <v>-9.8</v>
      </c>
      <c r="R176" s="42">
        <v>19.4</v>
      </c>
      <c r="S176" s="42">
        <v>63.7</v>
      </c>
      <c r="T176" s="42">
        <v>390.0</v>
      </c>
      <c r="U176" s="42">
        <v>20.6</v>
      </c>
      <c r="V176" s="42">
        <v>-10.2</v>
      </c>
      <c r="W176" s="42">
        <v>43.4</v>
      </c>
    </row>
    <row r="177">
      <c r="A177" s="87">
        <v>176.0</v>
      </c>
      <c r="B177" s="85" t="s">
        <v>1614</v>
      </c>
      <c r="C177" s="85" t="s">
        <v>243</v>
      </c>
      <c r="D177" s="85" t="s">
        <v>1186</v>
      </c>
      <c r="E177" s="85" t="s">
        <v>1187</v>
      </c>
      <c r="F177" s="85" t="s">
        <v>1188</v>
      </c>
      <c r="G177" s="85" t="s">
        <v>1189</v>
      </c>
      <c r="H177" s="85" t="s">
        <v>1190</v>
      </c>
      <c r="I177" s="85" t="s">
        <v>1216</v>
      </c>
      <c r="J177" s="42">
        <v>6.8</v>
      </c>
      <c r="K177" s="42">
        <v>2.0</v>
      </c>
      <c r="L177" s="42">
        <v>29.9</v>
      </c>
      <c r="M177" s="42">
        <v>22.7</v>
      </c>
      <c r="N177" s="42">
        <v>0.32</v>
      </c>
      <c r="O177" s="42">
        <v>1.04E13</v>
      </c>
      <c r="P177" s="42">
        <v>2.9E12</v>
      </c>
      <c r="Q177" s="42">
        <v>-3.0</v>
      </c>
      <c r="R177" s="42">
        <v>-1.8</v>
      </c>
      <c r="S177" s="42">
        <v>-0.257</v>
      </c>
      <c r="T177" s="42">
        <v>-5.4</v>
      </c>
      <c r="U177" s="42">
        <v>53.3</v>
      </c>
      <c r="V177" s="42">
        <v>-3.0</v>
      </c>
      <c r="W177" s="42">
        <v>-3.2</v>
      </c>
    </row>
    <row r="178">
      <c r="A178" s="87">
        <v>177.0</v>
      </c>
      <c r="B178" s="85" t="s">
        <v>1615</v>
      </c>
      <c r="C178" s="85" t="s">
        <v>244</v>
      </c>
      <c r="D178" s="85" t="s">
        <v>1273</v>
      </c>
      <c r="E178" s="85" t="s">
        <v>1208</v>
      </c>
      <c r="F178" s="85" t="s">
        <v>1274</v>
      </c>
      <c r="G178" s="85" t="s">
        <v>1274</v>
      </c>
      <c r="H178" s="85" t="s">
        <v>1274</v>
      </c>
      <c r="I178" s="85" t="s">
        <v>1516</v>
      </c>
      <c r="J178" s="42">
        <v>84.5</v>
      </c>
      <c r="K178" s="42">
        <v>1.5</v>
      </c>
      <c r="L178" s="42">
        <v>1.7</v>
      </c>
      <c r="M178" s="42">
        <v>0.85</v>
      </c>
      <c r="N178" s="42">
        <v>1.0</v>
      </c>
      <c r="O178" s="42">
        <v>5.1E12</v>
      </c>
      <c r="P178" s="42">
        <v>1.04E11</v>
      </c>
      <c r="Q178" s="42">
        <v>3.7</v>
      </c>
      <c r="R178" s="42">
        <v>3.7</v>
      </c>
      <c r="S178" s="42">
        <v>73.9</v>
      </c>
      <c r="T178" s="42">
        <v>-2.8</v>
      </c>
      <c r="U178" s="42">
        <v>58.7</v>
      </c>
      <c r="V178" s="42">
        <v>0.0</v>
      </c>
      <c r="W178" s="42">
        <v>49.7</v>
      </c>
    </row>
    <row r="179">
      <c r="A179" s="87">
        <v>178.0</v>
      </c>
      <c r="B179" s="85" t="s">
        <v>1616</v>
      </c>
      <c r="C179" s="85" t="s">
        <v>245</v>
      </c>
      <c r="D179" s="85" t="s">
        <v>1193</v>
      </c>
      <c r="E179" s="85" t="s">
        <v>1194</v>
      </c>
      <c r="F179" s="85" t="s">
        <v>1195</v>
      </c>
      <c r="G179" s="85" t="s">
        <v>1196</v>
      </c>
      <c r="H179" s="85" t="s">
        <v>1197</v>
      </c>
      <c r="I179" s="85" t="s">
        <v>1617</v>
      </c>
      <c r="J179" s="42">
        <v>-1.4</v>
      </c>
      <c r="K179" s="42">
        <v>2.1</v>
      </c>
      <c r="L179" s="42">
        <v>-150.0</v>
      </c>
      <c r="M179" s="42">
        <v>-11.5</v>
      </c>
      <c r="N179" s="42">
        <v>12.4</v>
      </c>
      <c r="O179" s="42">
        <v>5.55E11</v>
      </c>
      <c r="P179" s="42">
        <v>4.65E9</v>
      </c>
      <c r="Q179" s="42">
        <v>-25.0</v>
      </c>
      <c r="R179" s="42">
        <v>-47.1</v>
      </c>
      <c r="S179" s="42">
        <v>-52.6</v>
      </c>
      <c r="T179" s="42">
        <v>50.0</v>
      </c>
      <c r="U179" s="42">
        <v>-8730.0</v>
      </c>
      <c r="V179" s="42">
        <v>-25.0</v>
      </c>
      <c r="W179" s="42">
        <v>-50.0</v>
      </c>
    </row>
    <row r="180">
      <c r="A180" s="87">
        <v>179.0</v>
      </c>
      <c r="B180" s="85" t="s">
        <v>1618</v>
      </c>
      <c r="C180" s="85" t="s">
        <v>246</v>
      </c>
      <c r="D180" s="85" t="s">
        <v>1463</v>
      </c>
      <c r="E180" s="85" t="s">
        <v>1230</v>
      </c>
      <c r="F180" s="85" t="s">
        <v>1464</v>
      </c>
      <c r="G180" s="85" t="s">
        <v>1465</v>
      </c>
      <c r="H180" s="85" t="s">
        <v>1465</v>
      </c>
      <c r="I180" s="85" t="s">
        <v>1619</v>
      </c>
      <c r="J180" s="42">
        <v>-41.6</v>
      </c>
      <c r="K180" s="42">
        <v>-0.31</v>
      </c>
      <c r="L180" s="42">
        <v>0.0</v>
      </c>
      <c r="M180" s="42">
        <v>-76.7</v>
      </c>
      <c r="N180" s="42">
        <v>-1.0</v>
      </c>
      <c r="O180" s="42">
        <v>1.8E12</v>
      </c>
      <c r="P180" s="42">
        <v>8.6E10</v>
      </c>
      <c r="Q180" s="42">
        <v>0.0</v>
      </c>
      <c r="R180" s="42">
        <v>0.0</v>
      </c>
      <c r="S180" s="42">
        <v>0.0</v>
      </c>
      <c r="T180" s="42">
        <v>0.0</v>
      </c>
      <c r="U180" s="42">
        <v>-51.6</v>
      </c>
      <c r="V180" s="42">
        <v>0.0</v>
      </c>
      <c r="W180" s="42">
        <v>0.0</v>
      </c>
    </row>
    <row r="181">
      <c r="A181" s="87">
        <v>180.0</v>
      </c>
      <c r="B181" s="85" t="s">
        <v>1620</v>
      </c>
      <c r="C181" s="85" t="s">
        <v>247</v>
      </c>
      <c r="D181" s="85" t="s">
        <v>1460</v>
      </c>
      <c r="E181" s="85" t="s">
        <v>1252</v>
      </c>
      <c r="F181" s="85" t="s">
        <v>1252</v>
      </c>
      <c r="G181" s="85" t="s">
        <v>1313</v>
      </c>
      <c r="H181" s="85" t="s">
        <v>1461</v>
      </c>
      <c r="I181" s="85" t="s">
        <v>1422</v>
      </c>
      <c r="J181" s="42">
        <v>12.6</v>
      </c>
      <c r="K181" s="42">
        <v>0.87</v>
      </c>
      <c r="L181" s="42">
        <v>6.9</v>
      </c>
      <c r="M181" s="42">
        <v>4.7</v>
      </c>
      <c r="N181" s="42">
        <v>0.48</v>
      </c>
      <c r="O181" s="42">
        <v>2.69E11</v>
      </c>
      <c r="P181" s="42">
        <v>3.1E10</v>
      </c>
      <c r="Q181" s="42">
        <v>-10.4</v>
      </c>
      <c r="R181" s="42">
        <v>-7.5</v>
      </c>
      <c r="S181" s="42">
        <v>-10.9</v>
      </c>
      <c r="T181" s="42">
        <v>-13.1</v>
      </c>
      <c r="U181" s="42">
        <v>69.6</v>
      </c>
      <c r="V181" s="42">
        <v>-9.0</v>
      </c>
      <c r="W181" s="42">
        <v>-10.4</v>
      </c>
    </row>
    <row r="182">
      <c r="A182" s="87">
        <v>181.0</v>
      </c>
      <c r="B182" s="85" t="s">
        <v>1621</v>
      </c>
      <c r="C182" s="85" t="s">
        <v>248</v>
      </c>
      <c r="D182" s="85" t="s">
        <v>1273</v>
      </c>
      <c r="E182" s="85" t="s">
        <v>1208</v>
      </c>
      <c r="F182" s="85" t="s">
        <v>1274</v>
      </c>
      <c r="G182" s="85" t="s">
        <v>1274</v>
      </c>
      <c r="H182" s="85" t="s">
        <v>1274</v>
      </c>
      <c r="I182" s="85" t="s">
        <v>1622</v>
      </c>
      <c r="J182" s="42">
        <v>55.1</v>
      </c>
      <c r="K182" s="42">
        <v>0.46</v>
      </c>
      <c r="L182" s="42">
        <v>0.84</v>
      </c>
      <c r="M182" s="42">
        <v>0.18</v>
      </c>
      <c r="N182" s="42">
        <v>3.4</v>
      </c>
      <c r="O182" s="42">
        <v>2.47E13</v>
      </c>
      <c r="P182" s="42">
        <v>6.4E12</v>
      </c>
      <c r="Q182" s="42">
        <v>-9.3</v>
      </c>
      <c r="R182" s="42">
        <v>-2.2</v>
      </c>
      <c r="S182" s="42">
        <v>-4.5</v>
      </c>
      <c r="T182" s="42">
        <v>-4.5</v>
      </c>
      <c r="U182" s="42">
        <v>7.0</v>
      </c>
      <c r="V182" s="42">
        <v>-15.1</v>
      </c>
      <c r="W182" s="42">
        <v>-6.3</v>
      </c>
    </row>
    <row r="183">
      <c r="A183" s="87">
        <v>182.0</v>
      </c>
      <c r="B183" s="85" t="s">
        <v>1623</v>
      </c>
      <c r="C183" s="85" t="s">
        <v>249</v>
      </c>
      <c r="D183" s="85" t="s">
        <v>1273</v>
      </c>
      <c r="E183" s="85" t="s">
        <v>1208</v>
      </c>
      <c r="F183" s="85" t="s">
        <v>1274</v>
      </c>
      <c r="G183" s="85" t="s">
        <v>1274</v>
      </c>
      <c r="H183" s="85" t="s">
        <v>1274</v>
      </c>
      <c r="I183" s="85" t="s">
        <v>1624</v>
      </c>
      <c r="J183" s="42">
        <v>5.9</v>
      </c>
      <c r="K183" s="42">
        <v>0.7</v>
      </c>
      <c r="L183" s="42">
        <v>11.8</v>
      </c>
      <c r="M183" s="42">
        <v>5.2</v>
      </c>
      <c r="N183" s="42">
        <v>0.28</v>
      </c>
      <c r="O183" s="42">
        <v>7.1E12</v>
      </c>
      <c r="P183" s="42">
        <v>1.1E12</v>
      </c>
      <c r="Q183" s="42">
        <v>-14.0</v>
      </c>
      <c r="R183" s="42">
        <v>-18.5</v>
      </c>
      <c r="S183" s="42">
        <v>-33.8</v>
      </c>
      <c r="T183" s="42">
        <v>-29.2</v>
      </c>
      <c r="U183" s="42">
        <v>110.0</v>
      </c>
      <c r="V183" s="42">
        <v>-7.0</v>
      </c>
      <c r="W183" s="42">
        <v>-28.9</v>
      </c>
    </row>
    <row r="184">
      <c r="A184" s="87">
        <v>183.0</v>
      </c>
      <c r="B184" s="85" t="s">
        <v>1625</v>
      </c>
      <c r="C184" s="85" t="s">
        <v>250</v>
      </c>
      <c r="D184" s="85" t="s">
        <v>1626</v>
      </c>
      <c r="E184" s="85" t="s">
        <v>1194</v>
      </c>
      <c r="F184" s="85" t="s">
        <v>1346</v>
      </c>
      <c r="G184" s="85" t="s">
        <v>1346</v>
      </c>
      <c r="H184" s="85" t="s">
        <v>1627</v>
      </c>
      <c r="I184" s="85" t="s">
        <v>1352</v>
      </c>
      <c r="J184" s="42">
        <v>17.7</v>
      </c>
      <c r="K184" s="42">
        <v>4.9</v>
      </c>
      <c r="L184" s="42">
        <v>27.7</v>
      </c>
      <c r="M184" s="42">
        <v>10.8</v>
      </c>
      <c r="N184" s="42">
        <v>1.6</v>
      </c>
      <c r="O184" s="42">
        <v>1.0E12</v>
      </c>
      <c r="P184" s="42">
        <v>8.7E11</v>
      </c>
      <c r="Q184" s="42">
        <v>-4.7</v>
      </c>
      <c r="R184" s="42">
        <v>-1.9</v>
      </c>
      <c r="S184" s="42">
        <v>-25.7</v>
      </c>
      <c r="T184" s="42">
        <v>-70.3</v>
      </c>
      <c r="U184" s="42">
        <v>6.7</v>
      </c>
      <c r="V184" s="42">
        <v>-2.9</v>
      </c>
      <c r="W184" s="42">
        <v>-22.9</v>
      </c>
    </row>
    <row r="185">
      <c r="A185" s="87">
        <v>184.0</v>
      </c>
      <c r="B185" s="85" t="s">
        <v>1628</v>
      </c>
      <c r="C185" s="85" t="s">
        <v>251</v>
      </c>
      <c r="D185" s="85" t="s">
        <v>1282</v>
      </c>
      <c r="E185" s="85" t="s">
        <v>1194</v>
      </c>
      <c r="F185" s="85" t="s">
        <v>1195</v>
      </c>
      <c r="G185" s="85" t="s">
        <v>1283</v>
      </c>
      <c r="H185" s="85" t="s">
        <v>1283</v>
      </c>
      <c r="I185" s="85" t="s">
        <v>1629</v>
      </c>
      <c r="J185" s="42">
        <v>7.5</v>
      </c>
      <c r="K185" s="42">
        <v>0.53</v>
      </c>
      <c r="L185" s="42">
        <v>7.1</v>
      </c>
      <c r="M185" s="42">
        <v>3.0</v>
      </c>
      <c r="N185" s="42">
        <v>1.4</v>
      </c>
      <c r="O185" s="42">
        <v>9.18E11</v>
      </c>
      <c r="P185" s="42">
        <v>1.0E12</v>
      </c>
      <c r="Q185" s="42">
        <v>-4.7</v>
      </c>
      <c r="R185" s="42">
        <v>-5.6</v>
      </c>
      <c r="S185" s="42">
        <v>-10.6</v>
      </c>
      <c r="T185" s="42">
        <v>-14.4</v>
      </c>
      <c r="U185" s="42">
        <v>11.8</v>
      </c>
      <c r="V185" s="42">
        <v>-1.9</v>
      </c>
      <c r="W185" s="42">
        <v>-6.5</v>
      </c>
    </row>
    <row r="186">
      <c r="A186" s="87">
        <v>185.0</v>
      </c>
      <c r="B186" s="85" t="s">
        <v>1630</v>
      </c>
      <c r="C186" s="85" t="s">
        <v>252</v>
      </c>
      <c r="D186" s="85" t="s">
        <v>1439</v>
      </c>
      <c r="E186" s="85" t="s">
        <v>1376</v>
      </c>
      <c r="F186" s="85" t="s">
        <v>1377</v>
      </c>
      <c r="G186" s="85" t="s">
        <v>1440</v>
      </c>
      <c r="H186" s="85" t="s">
        <v>1440</v>
      </c>
      <c r="I186" s="85" t="s">
        <v>1631</v>
      </c>
      <c r="J186" s="42">
        <v>4.8</v>
      </c>
      <c r="K186" s="42">
        <v>0.51</v>
      </c>
      <c r="L186" s="42">
        <v>10.5</v>
      </c>
      <c r="M186" s="42">
        <v>10.3</v>
      </c>
      <c r="N186" s="42">
        <v>0.03</v>
      </c>
      <c r="O186" s="42">
        <v>1.26E13</v>
      </c>
      <c r="P186" s="42">
        <v>2.4E12</v>
      </c>
      <c r="Q186" s="42">
        <v>-29.4</v>
      </c>
      <c r="R186" s="42">
        <v>-21.7</v>
      </c>
      <c r="S186" s="42">
        <v>-38.4</v>
      </c>
      <c r="T186" s="42">
        <v>-26.3</v>
      </c>
      <c r="U186" s="42">
        <v>110.0</v>
      </c>
      <c r="V186" s="42">
        <v>-19.2</v>
      </c>
      <c r="W186" s="42">
        <v>-35.3</v>
      </c>
    </row>
    <row r="187">
      <c r="A187" s="87">
        <v>186.0</v>
      </c>
      <c r="B187" s="85" t="s">
        <v>1632</v>
      </c>
      <c r="C187" s="85" t="s">
        <v>253</v>
      </c>
      <c r="D187" s="85" t="s">
        <v>1229</v>
      </c>
      <c r="E187" s="85" t="s">
        <v>1230</v>
      </c>
      <c r="F187" s="85" t="s">
        <v>1231</v>
      </c>
      <c r="G187" s="85" t="s">
        <v>1231</v>
      </c>
      <c r="H187" s="85" t="s">
        <v>1231</v>
      </c>
      <c r="I187" s="85" t="s">
        <v>1417</v>
      </c>
      <c r="J187" s="42">
        <v>6.7</v>
      </c>
      <c r="K187" s="42">
        <v>0.24</v>
      </c>
      <c r="L187" s="42">
        <v>3.6</v>
      </c>
      <c r="M187" s="42">
        <v>1.2</v>
      </c>
      <c r="N187" s="42">
        <v>1.9</v>
      </c>
      <c r="O187" s="42">
        <v>2.1E12</v>
      </c>
      <c r="P187" s="42">
        <v>8.68E11</v>
      </c>
      <c r="Q187" s="42">
        <v>-39.5</v>
      </c>
      <c r="R187" s="42">
        <v>-52.7</v>
      </c>
      <c r="S187" s="42">
        <v>-67.1</v>
      </c>
      <c r="T187" s="42">
        <v>-15.3</v>
      </c>
      <c r="U187" s="42">
        <v>36.1</v>
      </c>
      <c r="V187" s="42">
        <v>-13.8</v>
      </c>
      <c r="W187" s="42">
        <v>-63.1</v>
      </c>
    </row>
    <row r="188">
      <c r="A188" s="87">
        <v>187.0</v>
      </c>
      <c r="B188" s="85" t="s">
        <v>1633</v>
      </c>
      <c r="C188" s="85" t="s">
        <v>254</v>
      </c>
      <c r="D188" s="85" t="s">
        <v>1294</v>
      </c>
      <c r="E188" s="85" t="s">
        <v>1187</v>
      </c>
      <c r="F188" s="85" t="s">
        <v>1188</v>
      </c>
      <c r="G188" s="85" t="s">
        <v>1295</v>
      </c>
      <c r="H188" s="85" t="s">
        <v>1296</v>
      </c>
      <c r="I188" s="85" t="s">
        <v>1634</v>
      </c>
      <c r="J188" s="42">
        <v>14.6</v>
      </c>
      <c r="K188" s="42">
        <v>1.8</v>
      </c>
      <c r="L188" s="42">
        <v>12.0</v>
      </c>
      <c r="M188" s="42">
        <v>6.6</v>
      </c>
      <c r="N188" s="42">
        <v>0.82</v>
      </c>
      <c r="O188" s="42">
        <v>6.0E12</v>
      </c>
      <c r="P188" s="42">
        <v>2.4E12</v>
      </c>
      <c r="Q188" s="42">
        <v>-40.9</v>
      </c>
      <c r="R188" s="42">
        <v>-28.4</v>
      </c>
      <c r="S188" s="42">
        <v>-15.5</v>
      </c>
      <c r="T188" s="42">
        <v>140.0</v>
      </c>
      <c r="U188" s="42">
        <v>16.8</v>
      </c>
      <c r="V188" s="42">
        <v>-28.4</v>
      </c>
      <c r="W188" s="42">
        <v>-46.1</v>
      </c>
    </row>
    <row r="189">
      <c r="A189" s="87">
        <v>188.0</v>
      </c>
      <c r="B189" s="85" t="s">
        <v>1635</v>
      </c>
      <c r="C189" s="85" t="s">
        <v>255</v>
      </c>
      <c r="D189" s="85" t="s">
        <v>1186</v>
      </c>
      <c r="E189" s="85" t="s">
        <v>1187</v>
      </c>
      <c r="F189" s="85" t="s">
        <v>1188</v>
      </c>
      <c r="G189" s="85" t="s">
        <v>1189</v>
      </c>
      <c r="H189" s="85" t="s">
        <v>1190</v>
      </c>
      <c r="I189" s="85" t="s">
        <v>1636</v>
      </c>
      <c r="J189" s="42">
        <v>42.3</v>
      </c>
      <c r="K189" s="42">
        <v>1.3</v>
      </c>
      <c r="L189" s="42">
        <v>3.0</v>
      </c>
      <c r="M189" s="42">
        <v>1.9</v>
      </c>
      <c r="N189" s="42">
        <v>0.53</v>
      </c>
      <c r="O189" s="42">
        <v>6.24E13</v>
      </c>
      <c r="P189" s="42">
        <v>7.1E12</v>
      </c>
      <c r="Q189" s="42">
        <v>-38.7</v>
      </c>
      <c r="R189" s="42">
        <v>-40.9</v>
      </c>
      <c r="S189" s="42">
        <v>-48.4</v>
      </c>
      <c r="T189" s="42">
        <v>5.7</v>
      </c>
      <c r="U189" s="42">
        <v>20.8</v>
      </c>
      <c r="V189" s="42">
        <v>-19.3</v>
      </c>
      <c r="W189" s="42">
        <v>-69.0</v>
      </c>
    </row>
    <row r="190">
      <c r="A190" s="87">
        <v>189.0</v>
      </c>
      <c r="B190" s="85" t="s">
        <v>1637</v>
      </c>
      <c r="C190" s="85" t="s">
        <v>256</v>
      </c>
      <c r="D190" s="85" t="s">
        <v>1285</v>
      </c>
      <c r="E190" s="85" t="s">
        <v>1201</v>
      </c>
      <c r="F190" s="85" t="s">
        <v>1286</v>
      </c>
      <c r="G190" s="85" t="s">
        <v>1287</v>
      </c>
      <c r="H190" s="85" t="s">
        <v>1288</v>
      </c>
      <c r="I190" s="85" t="s">
        <v>1638</v>
      </c>
      <c r="J190" s="42">
        <v>940.0</v>
      </c>
      <c r="K190" s="42">
        <v>9.2</v>
      </c>
      <c r="L190" s="42">
        <v>0.97</v>
      </c>
      <c r="M190" s="42">
        <v>0.77</v>
      </c>
      <c r="N190" s="42">
        <v>0.27</v>
      </c>
      <c r="O190" s="42">
        <v>1.87E13</v>
      </c>
      <c r="P190" s="42">
        <v>6.4E10</v>
      </c>
      <c r="Q190" s="42">
        <v>-45.3</v>
      </c>
      <c r="R190" s="42">
        <v>-47.6</v>
      </c>
      <c r="S190" s="42">
        <v>-64.7</v>
      </c>
      <c r="T190" s="42">
        <v>770.0</v>
      </c>
      <c r="U190" s="42">
        <v>31.0</v>
      </c>
      <c r="V190" s="42">
        <v>-34.1</v>
      </c>
      <c r="W190" s="42">
        <v>-63.2</v>
      </c>
    </row>
    <row r="191">
      <c r="A191" s="87">
        <v>190.0</v>
      </c>
      <c r="B191" s="85" t="s">
        <v>1639</v>
      </c>
      <c r="C191" s="85" t="s">
        <v>257</v>
      </c>
      <c r="D191" s="85" t="s">
        <v>1273</v>
      </c>
      <c r="E191" s="85" t="s">
        <v>1208</v>
      </c>
      <c r="F191" s="85" t="s">
        <v>1274</v>
      </c>
      <c r="G191" s="85" t="s">
        <v>1274</v>
      </c>
      <c r="H191" s="85" t="s">
        <v>1274</v>
      </c>
      <c r="I191" s="85" t="s">
        <v>1320</v>
      </c>
      <c r="J191" s="42">
        <v>13.5</v>
      </c>
      <c r="K191" s="42">
        <v>0.42</v>
      </c>
      <c r="L191" s="42">
        <v>3.2</v>
      </c>
      <c r="M191" s="42">
        <v>0.4</v>
      </c>
      <c r="N191" s="42">
        <v>6.9</v>
      </c>
      <c r="O191" s="42">
        <v>1.8E12</v>
      </c>
      <c r="P191" s="42">
        <v>5.98E11</v>
      </c>
      <c r="Q191" s="42">
        <v>-30.1</v>
      </c>
      <c r="R191" s="42">
        <v>-30.1</v>
      </c>
      <c r="S191" s="42">
        <v>-36.8</v>
      </c>
      <c r="T191" s="42">
        <v>-15.3</v>
      </c>
      <c r="U191" s="42">
        <v>22.6</v>
      </c>
      <c r="V191" s="42">
        <v>-28.0</v>
      </c>
      <c r="W191" s="42">
        <v>-41.5</v>
      </c>
    </row>
    <row r="192">
      <c r="A192" s="87">
        <v>191.0</v>
      </c>
      <c r="B192" s="85" t="s">
        <v>1640</v>
      </c>
      <c r="C192" s="85" t="s">
        <v>258</v>
      </c>
      <c r="D192" s="85" t="s">
        <v>1193</v>
      </c>
      <c r="E192" s="85" t="s">
        <v>1194</v>
      </c>
      <c r="F192" s="85" t="s">
        <v>1195</v>
      </c>
      <c r="G192" s="85" t="s">
        <v>1196</v>
      </c>
      <c r="H192" s="85" t="s">
        <v>1197</v>
      </c>
      <c r="I192" s="85" t="s">
        <v>1641</v>
      </c>
      <c r="J192" s="42">
        <v>7.1</v>
      </c>
      <c r="K192" s="42">
        <v>0.9</v>
      </c>
      <c r="L192" s="42">
        <v>12.7</v>
      </c>
      <c r="M192" s="42">
        <v>3.6</v>
      </c>
      <c r="N192" s="42">
        <v>2.5</v>
      </c>
      <c r="O192" s="42">
        <v>2.6E12</v>
      </c>
      <c r="P192" s="42">
        <v>1.4E12</v>
      </c>
      <c r="Q192" s="42">
        <v>-45.8</v>
      </c>
      <c r="R192" s="42">
        <v>-47.2</v>
      </c>
      <c r="S192" s="42">
        <v>-62.6</v>
      </c>
      <c r="T192" s="42">
        <v>14.0</v>
      </c>
      <c r="U192" s="42">
        <v>26.8</v>
      </c>
      <c r="V192" s="42">
        <v>-20.7</v>
      </c>
      <c r="W192" s="42">
        <v>-55.2</v>
      </c>
    </row>
    <row r="193">
      <c r="A193" s="87">
        <v>192.0</v>
      </c>
      <c r="B193" s="85" t="s">
        <v>1642</v>
      </c>
      <c r="C193" s="85" t="s">
        <v>259</v>
      </c>
      <c r="D193" s="85" t="s">
        <v>1186</v>
      </c>
      <c r="E193" s="85" t="s">
        <v>1187</v>
      </c>
      <c r="F193" s="85" t="s">
        <v>1188</v>
      </c>
      <c r="G193" s="85" t="s">
        <v>1189</v>
      </c>
      <c r="H193" s="85" t="s">
        <v>1190</v>
      </c>
      <c r="I193" s="85" t="s">
        <v>1643</v>
      </c>
      <c r="J193" s="42">
        <v>26.2</v>
      </c>
      <c r="K193" s="42">
        <v>6.7</v>
      </c>
      <c r="L193" s="42">
        <v>25.5</v>
      </c>
      <c r="M193" s="42">
        <v>21.0</v>
      </c>
      <c r="N193" s="42">
        <v>0.21</v>
      </c>
      <c r="O193" s="42">
        <v>3.3E14</v>
      </c>
      <c r="P193" s="42">
        <v>1.4E13</v>
      </c>
      <c r="Q193" s="42">
        <v>-19.0</v>
      </c>
      <c r="R193" s="42">
        <v>-19.0</v>
      </c>
      <c r="S193" s="42">
        <v>-45.8</v>
      </c>
      <c r="T193" s="42">
        <v>-51.5</v>
      </c>
      <c r="U193" s="42">
        <v>89.6</v>
      </c>
      <c r="V193" s="42">
        <v>-2.5</v>
      </c>
      <c r="W193" s="42">
        <v>-41.3</v>
      </c>
    </row>
    <row r="194">
      <c r="A194" s="87">
        <v>193.0</v>
      </c>
      <c r="B194" s="85" t="s">
        <v>1644</v>
      </c>
      <c r="C194" s="85" t="s">
        <v>260</v>
      </c>
      <c r="D194" s="85" t="s">
        <v>1325</v>
      </c>
      <c r="E194" s="85" t="s">
        <v>1214</v>
      </c>
      <c r="F194" s="85" t="s">
        <v>1326</v>
      </c>
      <c r="G194" s="85" t="s">
        <v>1327</v>
      </c>
      <c r="H194" s="85" t="s">
        <v>1327</v>
      </c>
      <c r="I194" s="85" t="s">
        <v>1333</v>
      </c>
      <c r="J194" s="42">
        <v>-4.3</v>
      </c>
      <c r="K194" s="42">
        <v>1.4</v>
      </c>
      <c r="L194" s="42">
        <v>-31.6</v>
      </c>
      <c r="M194" s="42">
        <v>-8.5</v>
      </c>
      <c r="N194" s="42">
        <v>2.7</v>
      </c>
      <c r="O194" s="42">
        <v>1.84E11</v>
      </c>
      <c r="P194" s="42">
        <v>1.08E11</v>
      </c>
      <c r="Q194" s="42">
        <v>-26.1</v>
      </c>
      <c r="R194" s="42">
        <v>-24.7</v>
      </c>
      <c r="S194" s="42">
        <v>-35.3</v>
      </c>
      <c r="T194" s="42">
        <v>-15.0</v>
      </c>
      <c r="U194" s="42">
        <v>-40.0</v>
      </c>
      <c r="V194" s="42">
        <v>-22.2</v>
      </c>
      <c r="W194" s="42">
        <v>-32.8</v>
      </c>
    </row>
    <row r="195">
      <c r="A195" s="87">
        <v>194.0</v>
      </c>
      <c r="B195" s="85" t="s">
        <v>1645</v>
      </c>
      <c r="C195" s="85" t="s">
        <v>261</v>
      </c>
      <c r="D195" s="85" t="s">
        <v>1646</v>
      </c>
      <c r="E195" s="85" t="s">
        <v>1194</v>
      </c>
      <c r="F195" s="85" t="s">
        <v>1195</v>
      </c>
      <c r="G195" s="85" t="s">
        <v>1283</v>
      </c>
      <c r="H195" s="85" t="s">
        <v>1647</v>
      </c>
      <c r="I195" s="85" t="s">
        <v>1352</v>
      </c>
      <c r="J195" s="42">
        <v>14.6</v>
      </c>
      <c r="K195" s="42">
        <v>1.1</v>
      </c>
      <c r="L195" s="42">
        <v>7.5</v>
      </c>
      <c r="M195" s="42">
        <v>6.4</v>
      </c>
      <c r="N195" s="42">
        <v>0.18</v>
      </c>
      <c r="O195" s="42">
        <v>1.1E12</v>
      </c>
      <c r="P195" s="42">
        <v>2.75E11</v>
      </c>
      <c r="Q195" s="42">
        <v>-24.7</v>
      </c>
      <c r="R195" s="42">
        <v>-27.0</v>
      </c>
      <c r="S195" s="42">
        <v>-32.3</v>
      </c>
      <c r="T195" s="42">
        <v>-21.6</v>
      </c>
      <c r="U195" s="42">
        <v>27.7</v>
      </c>
      <c r="V195" s="42">
        <v>-21.2</v>
      </c>
      <c r="W195" s="42">
        <v>-30.4</v>
      </c>
    </row>
    <row r="196">
      <c r="A196" s="87">
        <v>195.0</v>
      </c>
      <c r="B196" s="85" t="s">
        <v>1648</v>
      </c>
      <c r="C196" s="85" t="s">
        <v>262</v>
      </c>
      <c r="D196" s="85" t="s">
        <v>1308</v>
      </c>
      <c r="E196" s="85" t="s">
        <v>1187</v>
      </c>
      <c r="F196" s="85" t="s">
        <v>1188</v>
      </c>
      <c r="G196" s="85" t="s">
        <v>1189</v>
      </c>
      <c r="H196" s="85" t="s">
        <v>1309</v>
      </c>
      <c r="I196" s="85" t="s">
        <v>1649</v>
      </c>
      <c r="J196" s="42">
        <v>-4.1</v>
      </c>
      <c r="K196" s="42">
        <v>-0.2</v>
      </c>
      <c r="L196" s="42">
        <v>0.0</v>
      </c>
      <c r="M196" s="42">
        <v>-23.7</v>
      </c>
      <c r="N196" s="42">
        <v>-1.2</v>
      </c>
      <c r="O196" s="42">
        <v>1.19E11</v>
      </c>
      <c r="P196" s="42">
        <v>3.4E10</v>
      </c>
      <c r="Q196" s="42">
        <v>-26.1</v>
      </c>
      <c r="R196" s="42">
        <v>-21.5</v>
      </c>
      <c r="S196" s="42">
        <v>39.5</v>
      </c>
      <c r="T196" s="42">
        <v>130.0</v>
      </c>
      <c r="U196" s="42">
        <v>-84.4</v>
      </c>
      <c r="V196" s="42">
        <v>-16.3</v>
      </c>
      <c r="W196" s="42">
        <v>-2.6</v>
      </c>
    </row>
    <row r="197">
      <c r="A197" s="87">
        <v>196.0</v>
      </c>
      <c r="B197" s="85" t="s">
        <v>1650</v>
      </c>
      <c r="C197" s="85" t="s">
        <v>263</v>
      </c>
      <c r="D197" s="85" t="s">
        <v>1569</v>
      </c>
      <c r="E197" s="85" t="s">
        <v>1570</v>
      </c>
      <c r="F197" s="85" t="s">
        <v>1571</v>
      </c>
      <c r="G197" s="85" t="s">
        <v>1572</v>
      </c>
      <c r="H197" s="85" t="s">
        <v>1572</v>
      </c>
      <c r="I197" s="85" t="s">
        <v>1651</v>
      </c>
      <c r="J197" s="42">
        <v>400.0</v>
      </c>
      <c r="K197" s="42">
        <v>4.5</v>
      </c>
      <c r="L197" s="42">
        <v>1.1</v>
      </c>
      <c r="M197" s="42">
        <v>0.82</v>
      </c>
      <c r="N197" s="42">
        <v>0.38</v>
      </c>
      <c r="O197" s="42">
        <v>1.36E13</v>
      </c>
      <c r="P197" s="42">
        <v>1.2E11</v>
      </c>
      <c r="Q197" s="42">
        <v>-4.4</v>
      </c>
      <c r="R197" s="42">
        <v>-2.5</v>
      </c>
      <c r="S197" s="42">
        <v>-22.7</v>
      </c>
      <c r="T197" s="42">
        <v>65.5</v>
      </c>
      <c r="U197" s="42">
        <v>28.4</v>
      </c>
      <c r="V197" s="42">
        <v>-3.9</v>
      </c>
      <c r="W197" s="42">
        <v>-35.9</v>
      </c>
    </row>
    <row r="198">
      <c r="A198" s="87">
        <v>197.0</v>
      </c>
      <c r="B198" s="85" t="s">
        <v>1652</v>
      </c>
      <c r="C198" s="85" t="s">
        <v>264</v>
      </c>
      <c r="D198" s="85" t="s">
        <v>1414</v>
      </c>
      <c r="E198" s="85" t="s">
        <v>1201</v>
      </c>
      <c r="F198" s="85" t="s">
        <v>1219</v>
      </c>
      <c r="G198" s="85" t="s">
        <v>1220</v>
      </c>
      <c r="H198" s="85" t="s">
        <v>1415</v>
      </c>
      <c r="I198" s="85" t="s">
        <v>1653</v>
      </c>
      <c r="J198" s="42">
        <v>9.3</v>
      </c>
      <c r="K198" s="42">
        <v>1.0</v>
      </c>
      <c r="L198" s="42">
        <v>10.8</v>
      </c>
      <c r="M198" s="42">
        <v>5.0</v>
      </c>
      <c r="N198" s="42">
        <v>1.1</v>
      </c>
      <c r="O198" s="42">
        <v>1.4E12</v>
      </c>
      <c r="P198" s="42">
        <v>1.1E12</v>
      </c>
      <c r="Q198" s="42">
        <v>-15.8</v>
      </c>
      <c r="R198" s="42">
        <v>-21.6</v>
      </c>
      <c r="S198" s="42">
        <v>-35.0</v>
      </c>
      <c r="T198" s="42">
        <v>-8.0</v>
      </c>
      <c r="U198" s="42">
        <v>13.2</v>
      </c>
      <c r="V198" s="42">
        <v>-14.0</v>
      </c>
      <c r="W198" s="42">
        <v>-34.4</v>
      </c>
    </row>
    <row r="199">
      <c r="A199" s="87">
        <v>198.0</v>
      </c>
      <c r="B199" s="85" t="s">
        <v>1654</v>
      </c>
      <c r="C199" s="85" t="s">
        <v>265</v>
      </c>
      <c r="D199" s="85" t="s">
        <v>1363</v>
      </c>
      <c r="E199" s="85" t="s">
        <v>1208</v>
      </c>
      <c r="F199" s="85" t="s">
        <v>1364</v>
      </c>
      <c r="G199" s="85" t="s">
        <v>1364</v>
      </c>
      <c r="H199" s="85" t="s">
        <v>1365</v>
      </c>
      <c r="I199" s="85" t="s">
        <v>1278</v>
      </c>
      <c r="J199" s="42">
        <v>590.0</v>
      </c>
      <c r="K199" s="42">
        <v>7.1</v>
      </c>
      <c r="L199" s="42">
        <v>1.2</v>
      </c>
      <c r="M199" s="42">
        <v>0.36</v>
      </c>
      <c r="N199" s="42">
        <v>2.2</v>
      </c>
      <c r="O199" s="42">
        <v>7.35E13</v>
      </c>
      <c r="P199" s="42">
        <v>1.1E12</v>
      </c>
      <c r="Q199" s="42">
        <v>0.0</v>
      </c>
      <c r="R199" s="42">
        <v>0.746</v>
      </c>
      <c r="S199" s="42">
        <v>-18.9</v>
      </c>
      <c r="T199" s="42">
        <v>41.4</v>
      </c>
      <c r="U199" s="42">
        <v>11.1</v>
      </c>
      <c r="V199" s="42">
        <v>0.0</v>
      </c>
      <c r="W199" s="42">
        <v>-15.6</v>
      </c>
    </row>
    <row r="200">
      <c r="A200" s="87">
        <v>199.0</v>
      </c>
      <c r="B200" s="85" t="s">
        <v>1655</v>
      </c>
      <c r="C200" s="85" t="s">
        <v>266</v>
      </c>
      <c r="D200" s="85" t="s">
        <v>1439</v>
      </c>
      <c r="E200" s="85" t="s">
        <v>1376</v>
      </c>
      <c r="F200" s="85" t="s">
        <v>1377</v>
      </c>
      <c r="G200" s="85" t="s">
        <v>1440</v>
      </c>
      <c r="H200" s="85" t="s">
        <v>1440</v>
      </c>
      <c r="I200" s="85" t="s">
        <v>1265</v>
      </c>
      <c r="J200" s="42">
        <v>-4.5</v>
      </c>
      <c r="K200" s="42">
        <v>4.9</v>
      </c>
      <c r="L200" s="42">
        <v>-110.0</v>
      </c>
      <c r="M200" s="42">
        <v>-25.1</v>
      </c>
      <c r="N200" s="42">
        <v>3.4</v>
      </c>
      <c r="O200" s="42">
        <v>3.03E11</v>
      </c>
      <c r="P200" s="42">
        <v>1.1E11</v>
      </c>
      <c r="Q200" s="42">
        <v>-37.7</v>
      </c>
      <c r="R200" s="42">
        <v>-16.5</v>
      </c>
      <c r="S200" s="42">
        <v>18.9</v>
      </c>
      <c r="T200" s="42">
        <v>160.0</v>
      </c>
      <c r="U200" s="42">
        <v>-61.8</v>
      </c>
      <c r="V200" s="42">
        <v>-26.6</v>
      </c>
      <c r="W200" s="42">
        <v>51.0</v>
      </c>
    </row>
    <row r="201">
      <c r="A201" s="87">
        <v>200.0</v>
      </c>
      <c r="B201" s="85" t="s">
        <v>1656</v>
      </c>
      <c r="C201" s="85" t="s">
        <v>267</v>
      </c>
      <c r="D201" s="85" t="s">
        <v>1657</v>
      </c>
      <c r="E201" s="85" t="s">
        <v>1230</v>
      </c>
      <c r="F201" s="85" t="s">
        <v>1658</v>
      </c>
      <c r="G201" s="85" t="s">
        <v>1659</v>
      </c>
      <c r="H201" s="85" t="s">
        <v>1660</v>
      </c>
      <c r="I201" s="85" t="s">
        <v>1661</v>
      </c>
      <c r="J201" s="42">
        <v>8.1</v>
      </c>
      <c r="K201" s="42">
        <v>1.5</v>
      </c>
      <c r="L201" s="42">
        <v>18.7</v>
      </c>
      <c r="M201" s="42">
        <v>13.8</v>
      </c>
      <c r="N201" s="42">
        <v>0.35</v>
      </c>
      <c r="O201" s="42">
        <v>3.7E12</v>
      </c>
      <c r="P201" s="42">
        <v>7.8E11</v>
      </c>
      <c r="Q201" s="42">
        <v>-5.0</v>
      </c>
      <c r="R201" s="42">
        <v>-23.1</v>
      </c>
      <c r="S201" s="42">
        <v>-40.4</v>
      </c>
      <c r="T201" s="42">
        <v>-18.7</v>
      </c>
      <c r="U201" s="42">
        <v>58.1</v>
      </c>
      <c r="V201" s="42">
        <v>-4.5</v>
      </c>
      <c r="W201" s="42">
        <v>-32.8</v>
      </c>
    </row>
    <row r="202">
      <c r="A202" s="87">
        <v>201.0</v>
      </c>
      <c r="B202" s="85" t="s">
        <v>1662</v>
      </c>
      <c r="C202" s="85" t="s">
        <v>268</v>
      </c>
      <c r="D202" s="85" t="s">
        <v>1234</v>
      </c>
      <c r="E202" s="85" t="s">
        <v>1235</v>
      </c>
      <c r="F202" s="85" t="s">
        <v>1235</v>
      </c>
      <c r="G202" s="85" t="s">
        <v>1236</v>
      </c>
      <c r="H202" s="85" t="s">
        <v>1237</v>
      </c>
      <c r="I202" s="85" t="s">
        <v>1663</v>
      </c>
      <c r="J202" s="42">
        <v>12.3</v>
      </c>
      <c r="K202" s="42">
        <v>1.8</v>
      </c>
      <c r="L202" s="42">
        <v>14.2</v>
      </c>
      <c r="M202" s="42">
        <v>7.9</v>
      </c>
      <c r="N202" s="42">
        <v>0.8</v>
      </c>
      <c r="O202" s="42">
        <v>2.18E13</v>
      </c>
      <c r="P202" s="42">
        <v>7.43E11</v>
      </c>
      <c r="Q202" s="42">
        <v>-31.0</v>
      </c>
      <c r="R202" s="42">
        <v>-33.6</v>
      </c>
      <c r="S202" s="42">
        <v>-66.7</v>
      </c>
      <c r="T202" s="42">
        <v>-51.3</v>
      </c>
      <c r="U202" s="42">
        <v>240.0</v>
      </c>
      <c r="V202" s="42">
        <v>-19.5</v>
      </c>
      <c r="W202" s="42">
        <v>-63.1</v>
      </c>
    </row>
    <row r="203">
      <c r="A203" s="87">
        <v>202.0</v>
      </c>
      <c r="B203" s="85" t="s">
        <v>1664</v>
      </c>
      <c r="C203" s="85" t="s">
        <v>269</v>
      </c>
      <c r="D203" s="85" t="s">
        <v>1665</v>
      </c>
      <c r="E203" s="85" t="s">
        <v>1201</v>
      </c>
      <c r="F203" s="85" t="s">
        <v>1666</v>
      </c>
      <c r="G203" s="85" t="s">
        <v>1666</v>
      </c>
      <c r="H203" s="85" t="s">
        <v>1667</v>
      </c>
      <c r="I203" s="85" t="s">
        <v>1205</v>
      </c>
      <c r="J203" s="42">
        <v>0.0</v>
      </c>
      <c r="K203" s="42">
        <v>0.39</v>
      </c>
      <c r="L203" s="42">
        <v>-5.8</v>
      </c>
      <c r="M203" s="42">
        <v>-3.9</v>
      </c>
      <c r="N203" s="42">
        <v>0.5</v>
      </c>
      <c r="O203" s="42">
        <v>9.4E10</v>
      </c>
      <c r="P203" s="42">
        <v>3.07E9</v>
      </c>
      <c r="Q203" s="42">
        <v>0.0</v>
      </c>
      <c r="R203" s="42">
        <v>0.0</v>
      </c>
      <c r="S203" s="42">
        <v>0.0</v>
      </c>
      <c r="T203" s="42">
        <v>0.0</v>
      </c>
      <c r="U203" s="42">
        <v>-450.0</v>
      </c>
      <c r="V203" s="42">
        <v>0.0</v>
      </c>
      <c r="W203" s="42">
        <v>0.0</v>
      </c>
    </row>
    <row r="204">
      <c r="A204" s="87">
        <v>203.0</v>
      </c>
      <c r="B204" s="85" t="s">
        <v>1668</v>
      </c>
      <c r="C204" s="85" t="s">
        <v>270</v>
      </c>
      <c r="D204" s="85" t="s">
        <v>1234</v>
      </c>
      <c r="E204" s="85" t="s">
        <v>1235</v>
      </c>
      <c r="F204" s="85" t="s">
        <v>1235</v>
      </c>
      <c r="G204" s="85" t="s">
        <v>1236</v>
      </c>
      <c r="H204" s="85" t="s">
        <v>1237</v>
      </c>
      <c r="I204" s="85" t="s">
        <v>1322</v>
      </c>
      <c r="J204" s="42">
        <v>6.7</v>
      </c>
      <c r="K204" s="42">
        <v>1.2</v>
      </c>
      <c r="L204" s="42">
        <v>17.5</v>
      </c>
      <c r="M204" s="42">
        <v>15.3</v>
      </c>
      <c r="N204" s="42">
        <v>0.15</v>
      </c>
      <c r="O204" s="42">
        <v>4.07E11</v>
      </c>
      <c r="P204" s="42">
        <v>3.1E10</v>
      </c>
      <c r="Q204" s="42">
        <v>-10.8</v>
      </c>
      <c r="R204" s="42">
        <v>0.719</v>
      </c>
      <c r="S204" s="42">
        <v>-15.7</v>
      </c>
      <c r="T204" s="42">
        <v>42.9</v>
      </c>
      <c r="U204" s="42">
        <v>190.0</v>
      </c>
      <c r="V204" s="42">
        <v>-6.7</v>
      </c>
      <c r="W204" s="42">
        <v>-9.1</v>
      </c>
    </row>
    <row r="205">
      <c r="A205" s="87">
        <v>204.0</v>
      </c>
      <c r="B205" s="85" t="s">
        <v>1669</v>
      </c>
      <c r="C205" s="85" t="s">
        <v>271</v>
      </c>
      <c r="D205" s="85" t="s">
        <v>1308</v>
      </c>
      <c r="E205" s="85" t="s">
        <v>1187</v>
      </c>
      <c r="F205" s="85" t="s">
        <v>1188</v>
      </c>
      <c r="G205" s="85" t="s">
        <v>1189</v>
      </c>
      <c r="H205" s="85" t="s">
        <v>1309</v>
      </c>
      <c r="I205" s="85" t="s">
        <v>1383</v>
      </c>
      <c r="J205" s="42">
        <v>-57.9</v>
      </c>
      <c r="K205" s="42">
        <v>70.4</v>
      </c>
      <c r="L205" s="42">
        <v>-120.0</v>
      </c>
      <c r="M205" s="42">
        <v>-3.2</v>
      </c>
      <c r="N205" s="42">
        <v>36.8</v>
      </c>
      <c r="O205" s="42">
        <v>3.8E12</v>
      </c>
      <c r="P205" s="42">
        <v>6.7E10</v>
      </c>
      <c r="Q205" s="42">
        <v>-42.9</v>
      </c>
      <c r="R205" s="42">
        <v>-27.5</v>
      </c>
      <c r="S205" s="42">
        <v>-49.8</v>
      </c>
      <c r="T205" s="42">
        <v>870.0</v>
      </c>
      <c r="U205" s="42">
        <v>-96.7</v>
      </c>
      <c r="V205" s="42">
        <v>-27.5</v>
      </c>
      <c r="W205" s="42">
        <v>-42.3</v>
      </c>
    </row>
    <row r="206">
      <c r="A206" s="87">
        <v>205.0</v>
      </c>
      <c r="B206" s="85" t="s">
        <v>1670</v>
      </c>
      <c r="C206" s="85" t="s">
        <v>272</v>
      </c>
      <c r="D206" s="85" t="s">
        <v>1193</v>
      </c>
      <c r="E206" s="85" t="s">
        <v>1194</v>
      </c>
      <c r="F206" s="85" t="s">
        <v>1195</v>
      </c>
      <c r="G206" s="85" t="s">
        <v>1196</v>
      </c>
      <c r="H206" s="85" t="s">
        <v>1197</v>
      </c>
      <c r="I206" s="85" t="s">
        <v>1641</v>
      </c>
      <c r="J206" s="42">
        <v>17.0</v>
      </c>
      <c r="K206" s="42">
        <v>1.6</v>
      </c>
      <c r="L206" s="42">
        <v>9.5</v>
      </c>
      <c r="M206" s="42">
        <v>2.8</v>
      </c>
      <c r="N206" s="42">
        <v>2.5</v>
      </c>
      <c r="O206" s="42">
        <v>1.9E12</v>
      </c>
      <c r="P206" s="42">
        <v>3.4E12</v>
      </c>
      <c r="Q206" s="42">
        <v>-46.7</v>
      </c>
      <c r="R206" s="42">
        <v>-56.1</v>
      </c>
      <c r="S206" s="42">
        <v>-65.6</v>
      </c>
      <c r="T206" s="42">
        <v>-62.5</v>
      </c>
      <c r="U206" s="42">
        <v>3.3</v>
      </c>
      <c r="V206" s="42">
        <v>-24.4</v>
      </c>
      <c r="W206" s="42">
        <v>-57.5</v>
      </c>
    </row>
    <row r="207">
      <c r="A207" s="87">
        <v>206.0</v>
      </c>
      <c r="B207" s="85" t="s">
        <v>1671</v>
      </c>
      <c r="C207" s="85" t="s">
        <v>273</v>
      </c>
      <c r="D207" s="85" t="s">
        <v>1672</v>
      </c>
      <c r="E207" s="85" t="s">
        <v>1214</v>
      </c>
      <c r="F207" s="85" t="s">
        <v>1326</v>
      </c>
      <c r="G207" s="85" t="s">
        <v>1673</v>
      </c>
      <c r="H207" s="85" t="s">
        <v>1674</v>
      </c>
      <c r="I207" s="85" t="s">
        <v>1333</v>
      </c>
      <c r="J207" s="42">
        <v>40.4</v>
      </c>
      <c r="K207" s="42">
        <v>0.6</v>
      </c>
      <c r="L207" s="42">
        <v>1.5</v>
      </c>
      <c r="M207" s="42">
        <v>1.1</v>
      </c>
      <c r="N207" s="42">
        <v>0.37</v>
      </c>
      <c r="O207" s="42">
        <v>3.36E11</v>
      </c>
      <c r="P207" s="42">
        <v>7.7E10</v>
      </c>
      <c r="Q207" s="42">
        <v>-14.2</v>
      </c>
      <c r="R207" s="42">
        <v>-9.6</v>
      </c>
      <c r="S207" s="42">
        <v>-40.5</v>
      </c>
      <c r="T207" s="42">
        <v>-39.8</v>
      </c>
      <c r="U207" s="42">
        <v>10.8</v>
      </c>
      <c r="V207" s="42">
        <v>-16.9</v>
      </c>
      <c r="W207" s="42">
        <v>-39.8</v>
      </c>
    </row>
    <row r="208">
      <c r="A208" s="87">
        <v>207.0</v>
      </c>
      <c r="B208" s="85" t="s">
        <v>1675</v>
      </c>
      <c r="C208" s="85" t="s">
        <v>274</v>
      </c>
      <c r="D208" s="85" t="s">
        <v>1387</v>
      </c>
      <c r="E208" s="85" t="s">
        <v>1230</v>
      </c>
      <c r="F208" s="85" t="s">
        <v>1388</v>
      </c>
      <c r="G208" s="85" t="s">
        <v>1389</v>
      </c>
      <c r="H208" s="85" t="s">
        <v>1389</v>
      </c>
      <c r="I208" s="85" t="s">
        <v>1676</v>
      </c>
      <c r="J208" s="42">
        <v>62.6</v>
      </c>
      <c r="K208" s="42">
        <v>5.5</v>
      </c>
      <c r="L208" s="42">
        <v>8.8</v>
      </c>
      <c r="M208" s="42">
        <v>5.2</v>
      </c>
      <c r="N208" s="42">
        <v>0.68</v>
      </c>
      <c r="O208" s="42">
        <v>1.1E14</v>
      </c>
      <c r="P208" s="42">
        <v>7.01E11</v>
      </c>
      <c r="Q208" s="42">
        <v>-41.3</v>
      </c>
      <c r="R208" s="42">
        <v>-30.2</v>
      </c>
      <c r="S208" s="42">
        <v>-69.5</v>
      </c>
      <c r="T208" s="88"/>
      <c r="U208" s="42">
        <v>240.0</v>
      </c>
      <c r="V208" s="42">
        <v>-32.2</v>
      </c>
      <c r="W208" s="42">
        <v>-65.6</v>
      </c>
    </row>
    <row r="209">
      <c r="A209" s="87">
        <v>208.0</v>
      </c>
      <c r="B209" s="85" t="s">
        <v>1677</v>
      </c>
      <c r="C209" s="85" t="s">
        <v>275</v>
      </c>
      <c r="D209" s="85" t="s">
        <v>1282</v>
      </c>
      <c r="E209" s="85" t="s">
        <v>1194</v>
      </c>
      <c r="F209" s="85" t="s">
        <v>1195</v>
      </c>
      <c r="G209" s="85" t="s">
        <v>1283</v>
      </c>
      <c r="H209" s="85" t="s">
        <v>1283</v>
      </c>
      <c r="I209" s="85" t="s">
        <v>1352</v>
      </c>
      <c r="J209" s="42">
        <v>8.0</v>
      </c>
      <c r="K209" s="42">
        <v>0.64</v>
      </c>
      <c r="L209" s="42">
        <v>8.1</v>
      </c>
      <c r="M209" s="42">
        <v>6.3</v>
      </c>
      <c r="N209" s="42">
        <v>0.28</v>
      </c>
      <c r="O209" s="42">
        <v>1.3E12</v>
      </c>
      <c r="P209" s="42">
        <v>2.4E12</v>
      </c>
      <c r="Q209" s="42">
        <v>-13.2</v>
      </c>
      <c r="R209" s="42">
        <v>-14.3</v>
      </c>
      <c r="S209" s="42">
        <v>-17.1</v>
      </c>
      <c r="T209" s="42">
        <v>-33.1</v>
      </c>
      <c r="U209" s="42">
        <v>7.0</v>
      </c>
      <c r="V209" s="42">
        <v>-8.5</v>
      </c>
      <c r="W209" s="42">
        <v>-15.4</v>
      </c>
    </row>
    <row r="210">
      <c r="A210" s="87">
        <v>209.0</v>
      </c>
      <c r="B210" s="85" t="s">
        <v>1678</v>
      </c>
      <c r="C210" s="85" t="s">
        <v>276</v>
      </c>
      <c r="D210" s="85" t="s">
        <v>1463</v>
      </c>
      <c r="E210" s="85" t="s">
        <v>1230</v>
      </c>
      <c r="F210" s="85" t="s">
        <v>1464</v>
      </c>
      <c r="G210" s="85" t="s">
        <v>1465</v>
      </c>
      <c r="H210" s="85" t="s">
        <v>1465</v>
      </c>
      <c r="I210" s="85" t="s">
        <v>1390</v>
      </c>
      <c r="J210" s="42">
        <v>-1.3</v>
      </c>
      <c r="K210" s="42">
        <v>0.68</v>
      </c>
      <c r="L210" s="42">
        <v>-51.3</v>
      </c>
      <c r="M210" s="42">
        <v>-6.7</v>
      </c>
      <c r="N210" s="42">
        <v>6.6</v>
      </c>
      <c r="O210" s="42">
        <v>2.5E12</v>
      </c>
      <c r="P210" s="42">
        <v>2.5E12</v>
      </c>
      <c r="Q210" s="42">
        <v>-41.7</v>
      </c>
      <c r="R210" s="42">
        <v>-39.4</v>
      </c>
      <c r="S210" s="42">
        <v>-65.1</v>
      </c>
      <c r="T210" s="42">
        <v>-34.8</v>
      </c>
      <c r="U210" s="42">
        <v>-74.9</v>
      </c>
      <c r="V210" s="42">
        <v>-24.1</v>
      </c>
      <c r="W210" s="42">
        <v>-61.5</v>
      </c>
    </row>
    <row r="211">
      <c r="A211" s="87">
        <v>210.0</v>
      </c>
      <c r="B211" s="85" t="s">
        <v>1679</v>
      </c>
      <c r="C211" s="85" t="s">
        <v>277</v>
      </c>
      <c r="D211" s="85" t="s">
        <v>1247</v>
      </c>
      <c r="E211" s="85" t="s">
        <v>1208</v>
      </c>
      <c r="F211" s="85" t="s">
        <v>1248</v>
      </c>
      <c r="G211" s="85" t="s">
        <v>1249</v>
      </c>
      <c r="H211" s="85" t="s">
        <v>1249</v>
      </c>
      <c r="I211" s="85" t="s">
        <v>1320</v>
      </c>
      <c r="J211" s="42">
        <v>5.7</v>
      </c>
      <c r="K211" s="42">
        <v>0.23</v>
      </c>
      <c r="L211" s="42">
        <v>4.1</v>
      </c>
      <c r="M211" s="42">
        <v>2.5</v>
      </c>
      <c r="N211" s="42">
        <v>0.64</v>
      </c>
      <c r="O211" s="42">
        <v>1.3E12</v>
      </c>
      <c r="P211" s="42">
        <v>3.11E11</v>
      </c>
      <c r="Q211" s="42">
        <v>-13.7</v>
      </c>
      <c r="R211" s="42">
        <v>-5.0</v>
      </c>
      <c r="S211" s="42">
        <v>-7.4</v>
      </c>
      <c r="T211" s="42">
        <v>-23.0</v>
      </c>
      <c r="U211" s="42">
        <v>76.1</v>
      </c>
      <c r="V211" s="42">
        <v>-11.7</v>
      </c>
      <c r="W211" s="42">
        <v>-9.0</v>
      </c>
    </row>
    <row r="212">
      <c r="A212" s="87">
        <v>211.0</v>
      </c>
      <c r="B212" s="85" t="s">
        <v>1680</v>
      </c>
      <c r="C212" s="85" t="s">
        <v>278</v>
      </c>
      <c r="D212" s="85" t="s">
        <v>1294</v>
      </c>
      <c r="E212" s="85" t="s">
        <v>1187</v>
      </c>
      <c r="F212" s="85" t="s">
        <v>1188</v>
      </c>
      <c r="G212" s="85" t="s">
        <v>1295</v>
      </c>
      <c r="H212" s="85" t="s">
        <v>1296</v>
      </c>
      <c r="I212" s="85" t="s">
        <v>1280</v>
      </c>
      <c r="J212" s="42">
        <v>17.2</v>
      </c>
      <c r="K212" s="42">
        <v>1.1</v>
      </c>
      <c r="L212" s="42">
        <v>6.2</v>
      </c>
      <c r="M212" s="42">
        <v>4.2</v>
      </c>
      <c r="N212" s="42">
        <v>0.48</v>
      </c>
      <c r="O212" s="42">
        <v>3.05E11</v>
      </c>
      <c r="P212" s="42">
        <v>1.73E11</v>
      </c>
      <c r="Q212" s="42">
        <v>-24.3</v>
      </c>
      <c r="R212" s="42">
        <v>-16.8</v>
      </c>
      <c r="S212" s="42">
        <v>-35.0</v>
      </c>
      <c r="T212" s="42">
        <v>45.7</v>
      </c>
      <c r="U212" s="42">
        <v>10.3</v>
      </c>
      <c r="V212" s="42">
        <v>-22.5</v>
      </c>
      <c r="W212" s="42">
        <v>-26.4</v>
      </c>
    </row>
    <row r="213">
      <c r="A213" s="87">
        <v>212.0</v>
      </c>
      <c r="B213" s="85" t="s">
        <v>1681</v>
      </c>
      <c r="C213" s="85" t="s">
        <v>279</v>
      </c>
      <c r="D213" s="85" t="s">
        <v>1682</v>
      </c>
      <c r="E213" s="85" t="s">
        <v>1570</v>
      </c>
      <c r="F213" s="85" t="s">
        <v>1571</v>
      </c>
      <c r="G213" s="85" t="s">
        <v>1683</v>
      </c>
      <c r="H213" s="85" t="s">
        <v>1684</v>
      </c>
      <c r="I213" s="85" t="s">
        <v>1685</v>
      </c>
      <c r="J213" s="42">
        <v>39.7</v>
      </c>
      <c r="K213" s="42">
        <v>2.4</v>
      </c>
      <c r="L213" s="42">
        <v>6.0</v>
      </c>
      <c r="M213" s="42">
        <v>5.1</v>
      </c>
      <c r="N213" s="42">
        <v>0.17</v>
      </c>
      <c r="O213" s="42">
        <v>5.02E11</v>
      </c>
      <c r="P213" s="42">
        <v>3.7E10</v>
      </c>
      <c r="Q213" s="42">
        <v>-26.5</v>
      </c>
      <c r="R213" s="42">
        <v>-18.4</v>
      </c>
      <c r="S213" s="42">
        <v>-37.3</v>
      </c>
      <c r="T213" s="88"/>
      <c r="U213" s="42">
        <v>34.0</v>
      </c>
      <c r="V213" s="42">
        <v>-7.5</v>
      </c>
      <c r="W213" s="42">
        <v>-30.6</v>
      </c>
    </row>
    <row r="214">
      <c r="A214" s="87">
        <v>213.0</v>
      </c>
      <c r="B214" s="85" t="s">
        <v>1686</v>
      </c>
      <c r="C214" s="85" t="s">
        <v>280</v>
      </c>
      <c r="D214" s="85" t="s">
        <v>1251</v>
      </c>
      <c r="E214" s="85" t="s">
        <v>1252</v>
      </c>
      <c r="F214" s="85" t="s">
        <v>1252</v>
      </c>
      <c r="G214" s="85" t="s">
        <v>1253</v>
      </c>
      <c r="H214" s="85" t="s">
        <v>1254</v>
      </c>
      <c r="I214" s="85" t="s">
        <v>1255</v>
      </c>
      <c r="J214" s="42">
        <v>-93.7</v>
      </c>
      <c r="K214" s="42">
        <v>1.0</v>
      </c>
      <c r="L214" s="42">
        <v>-1.1</v>
      </c>
      <c r="M214" s="42">
        <v>-0.67</v>
      </c>
      <c r="N214" s="42">
        <v>0.65</v>
      </c>
      <c r="O214" s="42">
        <v>1.17E11</v>
      </c>
      <c r="P214" s="42">
        <v>4.4E10</v>
      </c>
      <c r="Q214" s="42">
        <v>-39.8</v>
      </c>
      <c r="R214" s="42">
        <v>-37.6</v>
      </c>
      <c r="S214" s="42">
        <v>-52.7</v>
      </c>
      <c r="T214" s="42">
        <v>-1.9</v>
      </c>
      <c r="U214" s="42">
        <v>-2.8</v>
      </c>
      <c r="V214" s="42">
        <v>-22.1</v>
      </c>
      <c r="W214" s="42">
        <v>-47.5</v>
      </c>
    </row>
    <row r="215">
      <c r="A215" s="87">
        <v>214.0</v>
      </c>
      <c r="B215" s="85" t="s">
        <v>1687</v>
      </c>
      <c r="C215" s="85" t="s">
        <v>281</v>
      </c>
      <c r="D215" s="85" t="s">
        <v>1688</v>
      </c>
      <c r="E215" s="85" t="s">
        <v>1376</v>
      </c>
      <c r="F215" s="85" t="s">
        <v>1444</v>
      </c>
      <c r="G215" s="85" t="s">
        <v>1689</v>
      </c>
      <c r="H215" s="85" t="s">
        <v>1690</v>
      </c>
      <c r="I215" s="85" t="s">
        <v>1265</v>
      </c>
      <c r="J215" s="42">
        <v>170.0</v>
      </c>
      <c r="K215" s="42">
        <v>11.4</v>
      </c>
      <c r="L215" s="42">
        <v>6.8</v>
      </c>
      <c r="M215" s="42">
        <v>4.0</v>
      </c>
      <c r="N215" s="42">
        <v>0.69</v>
      </c>
      <c r="O215" s="42">
        <v>7.82E11</v>
      </c>
      <c r="P215" s="42">
        <v>1.37E11</v>
      </c>
      <c r="Q215" s="42">
        <v>-12.2</v>
      </c>
      <c r="R215" s="42">
        <v>-23.7</v>
      </c>
      <c r="S215" s="42">
        <v>-35.0</v>
      </c>
      <c r="T215" s="42">
        <v>-32.6</v>
      </c>
      <c r="U215" s="42">
        <v>3.4</v>
      </c>
      <c r="V215" s="42">
        <v>-7.7</v>
      </c>
      <c r="W215" s="42">
        <v>-33.1</v>
      </c>
    </row>
    <row r="216">
      <c r="A216" s="87">
        <v>215.0</v>
      </c>
      <c r="B216" s="85" t="s">
        <v>1691</v>
      </c>
      <c r="C216" s="85" t="s">
        <v>282</v>
      </c>
      <c r="D216" s="85" t="s">
        <v>1665</v>
      </c>
      <c r="E216" s="85" t="s">
        <v>1201</v>
      </c>
      <c r="F216" s="85" t="s">
        <v>1666</v>
      </c>
      <c r="G216" s="85" t="s">
        <v>1666</v>
      </c>
      <c r="H216" s="85" t="s">
        <v>1667</v>
      </c>
      <c r="I216" s="85" t="s">
        <v>1458</v>
      </c>
      <c r="J216" s="42">
        <v>5.7</v>
      </c>
      <c r="K216" s="42">
        <v>0.53</v>
      </c>
      <c r="L216" s="42">
        <v>9.3</v>
      </c>
      <c r="M216" s="42">
        <v>6.5</v>
      </c>
      <c r="N216" s="42">
        <v>0.42</v>
      </c>
      <c r="O216" s="42">
        <v>1.72E11</v>
      </c>
      <c r="P216" s="42">
        <v>1.14E11</v>
      </c>
      <c r="Q216" s="42">
        <v>-15.7</v>
      </c>
      <c r="R216" s="42">
        <v>-11.0</v>
      </c>
      <c r="S216" s="42">
        <v>-19.5</v>
      </c>
      <c r="T216" s="42">
        <v>-3.6</v>
      </c>
      <c r="U216" s="42">
        <v>26.4</v>
      </c>
      <c r="V216" s="42">
        <v>-4.7</v>
      </c>
      <c r="W216" s="42">
        <v>-28.1</v>
      </c>
    </row>
    <row r="217">
      <c r="A217" s="87">
        <v>216.0</v>
      </c>
      <c r="B217" s="85" t="s">
        <v>1692</v>
      </c>
      <c r="C217" s="85" t="s">
        <v>283</v>
      </c>
      <c r="D217" s="85" t="s">
        <v>1312</v>
      </c>
      <c r="E217" s="85" t="s">
        <v>1252</v>
      </c>
      <c r="F217" s="85" t="s">
        <v>1252</v>
      </c>
      <c r="G217" s="85" t="s">
        <v>1313</v>
      </c>
      <c r="H217" s="85" t="s">
        <v>1314</v>
      </c>
      <c r="I217" s="85" t="s">
        <v>1306</v>
      </c>
      <c r="J217" s="42">
        <v>7.5</v>
      </c>
      <c r="K217" s="42">
        <v>1.4</v>
      </c>
      <c r="L217" s="42">
        <v>18.3</v>
      </c>
      <c r="M217" s="42">
        <v>17.5</v>
      </c>
      <c r="N217" s="42">
        <v>0.04</v>
      </c>
      <c r="O217" s="42">
        <v>1.24E13</v>
      </c>
      <c r="P217" s="42">
        <v>8.48E11</v>
      </c>
      <c r="Q217" s="42">
        <v>-23.3</v>
      </c>
      <c r="R217" s="42">
        <v>-35.7</v>
      </c>
      <c r="S217" s="42">
        <v>-36.7</v>
      </c>
      <c r="T217" s="42">
        <v>-33.9</v>
      </c>
      <c r="U217" s="42">
        <v>200.0</v>
      </c>
      <c r="V217" s="42">
        <v>-13.9</v>
      </c>
      <c r="W217" s="42">
        <v>-39.7</v>
      </c>
    </row>
    <row r="218">
      <c r="A218" s="87">
        <v>217.0</v>
      </c>
      <c r="B218" s="85" t="s">
        <v>1693</v>
      </c>
      <c r="C218" s="85" t="s">
        <v>284</v>
      </c>
      <c r="D218" s="85" t="s">
        <v>1234</v>
      </c>
      <c r="E218" s="85" t="s">
        <v>1235</v>
      </c>
      <c r="F218" s="85" t="s">
        <v>1235</v>
      </c>
      <c r="G218" s="85" t="s">
        <v>1236</v>
      </c>
      <c r="H218" s="85" t="s">
        <v>1237</v>
      </c>
      <c r="I218" s="85" t="s">
        <v>1238</v>
      </c>
      <c r="J218" s="42">
        <v>41.8</v>
      </c>
      <c r="K218" s="42">
        <v>0.98</v>
      </c>
      <c r="L218" s="42">
        <v>2.4</v>
      </c>
      <c r="M218" s="42">
        <v>1.8</v>
      </c>
      <c r="N218" s="42">
        <v>0.28</v>
      </c>
      <c r="O218" s="42">
        <v>8.76E11</v>
      </c>
      <c r="P218" s="42">
        <v>4.2E10</v>
      </c>
      <c r="Q218" s="42">
        <v>-40.3</v>
      </c>
      <c r="R218" s="42">
        <v>-24.0</v>
      </c>
      <c r="S218" s="42">
        <v>-70.0</v>
      </c>
      <c r="T218" s="42">
        <v>19.4</v>
      </c>
      <c r="U218" s="42">
        <v>49.4</v>
      </c>
      <c r="V218" s="42">
        <v>-30.6</v>
      </c>
      <c r="W218" s="42">
        <v>-70.9</v>
      </c>
    </row>
    <row r="219">
      <c r="A219" s="87">
        <v>218.0</v>
      </c>
      <c r="B219" s="85" t="s">
        <v>1694</v>
      </c>
      <c r="C219" s="85" t="s">
        <v>285</v>
      </c>
      <c r="D219" s="85" t="s">
        <v>1285</v>
      </c>
      <c r="E219" s="85" t="s">
        <v>1201</v>
      </c>
      <c r="F219" s="85" t="s">
        <v>1286</v>
      </c>
      <c r="G219" s="85" t="s">
        <v>1287</v>
      </c>
      <c r="H219" s="85" t="s">
        <v>1288</v>
      </c>
      <c r="I219" s="85" t="s">
        <v>1695</v>
      </c>
      <c r="J219" s="42">
        <v>580.0</v>
      </c>
      <c r="K219" s="42">
        <v>400.0</v>
      </c>
      <c r="L219" s="42">
        <v>69.7</v>
      </c>
      <c r="M219" s="42">
        <v>2.5</v>
      </c>
      <c r="N219" s="42">
        <v>27.2</v>
      </c>
      <c r="O219" s="42">
        <v>7.5E12</v>
      </c>
      <c r="P219" s="42">
        <v>3.4E10</v>
      </c>
      <c r="Q219" s="42">
        <v>-3.1</v>
      </c>
      <c r="R219" s="42">
        <v>0.361</v>
      </c>
      <c r="S219" s="42">
        <v>11.2</v>
      </c>
      <c r="T219" s="42">
        <v>190.0</v>
      </c>
      <c r="U219" s="42">
        <v>37.8</v>
      </c>
      <c r="V219" s="42">
        <v>-3.8</v>
      </c>
      <c r="W219" s="42">
        <v>21.4</v>
      </c>
    </row>
    <row r="220">
      <c r="A220" s="87">
        <v>219.0</v>
      </c>
      <c r="B220" s="85" t="s">
        <v>1696</v>
      </c>
      <c r="C220" s="85" t="s">
        <v>286</v>
      </c>
      <c r="D220" s="85" t="s">
        <v>1240</v>
      </c>
      <c r="E220" s="85" t="s">
        <v>1194</v>
      </c>
      <c r="F220" s="85" t="s">
        <v>1195</v>
      </c>
      <c r="G220" s="85" t="s">
        <v>1241</v>
      </c>
      <c r="H220" s="85" t="s">
        <v>1242</v>
      </c>
      <c r="I220" s="85" t="s">
        <v>1243</v>
      </c>
      <c r="J220" s="42">
        <v>24.2</v>
      </c>
      <c r="K220" s="42">
        <v>3.8</v>
      </c>
      <c r="L220" s="42">
        <v>15.8</v>
      </c>
      <c r="M220" s="42">
        <v>11.8</v>
      </c>
      <c r="N220" s="42">
        <v>0.34</v>
      </c>
      <c r="O220" s="42">
        <v>9.3E12</v>
      </c>
      <c r="P220" s="42">
        <v>7.74E11</v>
      </c>
      <c r="Q220" s="42">
        <v>-19.1</v>
      </c>
      <c r="R220" s="42">
        <v>-19.1</v>
      </c>
      <c r="S220" s="42">
        <v>-36.2</v>
      </c>
      <c r="T220" s="42">
        <v>-78.1</v>
      </c>
      <c r="U220" s="42">
        <v>49.7</v>
      </c>
      <c r="V220" s="42">
        <v>-17.4</v>
      </c>
      <c r="W220" s="42">
        <v>-30.9</v>
      </c>
    </row>
    <row r="221">
      <c r="A221" s="87">
        <v>220.0</v>
      </c>
      <c r="B221" s="85" t="s">
        <v>1697</v>
      </c>
      <c r="C221" s="85" t="s">
        <v>287</v>
      </c>
      <c r="D221" s="85" t="s">
        <v>1291</v>
      </c>
      <c r="E221" s="85" t="s">
        <v>1252</v>
      </c>
      <c r="F221" s="85" t="s">
        <v>1252</v>
      </c>
      <c r="G221" s="85" t="s">
        <v>1253</v>
      </c>
      <c r="H221" s="85" t="s">
        <v>1292</v>
      </c>
      <c r="I221" s="85" t="s">
        <v>1255</v>
      </c>
      <c r="J221" s="42">
        <v>7.1</v>
      </c>
      <c r="K221" s="42">
        <v>0.79</v>
      </c>
      <c r="L221" s="42">
        <v>11.2</v>
      </c>
      <c r="M221" s="42">
        <v>7.8</v>
      </c>
      <c r="N221" s="42">
        <v>0.44</v>
      </c>
      <c r="O221" s="42">
        <v>4.86E11</v>
      </c>
      <c r="P221" s="42">
        <v>2.51E11</v>
      </c>
      <c r="Q221" s="42">
        <v>-11.1</v>
      </c>
      <c r="R221" s="42">
        <v>-6.5</v>
      </c>
      <c r="S221" s="42">
        <v>-6.2</v>
      </c>
      <c r="T221" s="42">
        <v>12.5</v>
      </c>
      <c r="U221" s="42">
        <v>27.4</v>
      </c>
      <c r="V221" s="42">
        <v>-9.7</v>
      </c>
      <c r="W221" s="42">
        <v>-4.3</v>
      </c>
    </row>
    <row r="222">
      <c r="A222" s="87">
        <v>221.0</v>
      </c>
      <c r="B222" s="85" t="s">
        <v>1698</v>
      </c>
      <c r="C222" s="85" t="s">
        <v>288</v>
      </c>
      <c r="D222" s="85" t="s">
        <v>1699</v>
      </c>
      <c r="E222" s="85" t="s">
        <v>1230</v>
      </c>
      <c r="F222" s="85" t="s">
        <v>1658</v>
      </c>
      <c r="G222" s="85" t="s">
        <v>1659</v>
      </c>
      <c r="H222" s="85" t="s">
        <v>1700</v>
      </c>
      <c r="I222" s="85" t="s">
        <v>1661</v>
      </c>
      <c r="J222" s="42">
        <v>8.7</v>
      </c>
      <c r="K222" s="42">
        <v>0.56</v>
      </c>
      <c r="L222" s="42">
        <v>6.4</v>
      </c>
      <c r="M222" s="42">
        <v>4.1</v>
      </c>
      <c r="N222" s="42">
        <v>0.58</v>
      </c>
      <c r="O222" s="42">
        <v>9.4E12</v>
      </c>
      <c r="P222" s="42">
        <v>1.0E12</v>
      </c>
      <c r="Q222" s="42">
        <v>-14.3</v>
      </c>
      <c r="R222" s="42">
        <v>-7.9</v>
      </c>
      <c r="S222" s="42">
        <v>-3.0</v>
      </c>
      <c r="T222" s="42">
        <v>-4.4</v>
      </c>
      <c r="U222" s="42">
        <v>110.0</v>
      </c>
      <c r="V222" s="42">
        <v>-7.5</v>
      </c>
      <c r="W222" s="42">
        <v>-33.8</v>
      </c>
    </row>
    <row r="223">
      <c r="A223" s="87">
        <v>222.0</v>
      </c>
      <c r="B223" s="85" t="s">
        <v>1701</v>
      </c>
      <c r="C223" s="85" t="s">
        <v>289</v>
      </c>
      <c r="D223" s="85" t="s">
        <v>1448</v>
      </c>
      <c r="E223" s="85" t="s">
        <v>1252</v>
      </c>
      <c r="F223" s="85" t="s">
        <v>1252</v>
      </c>
      <c r="G223" s="85" t="s">
        <v>1449</v>
      </c>
      <c r="H223" s="85" t="s">
        <v>1449</v>
      </c>
      <c r="I223" s="85" t="s">
        <v>1702</v>
      </c>
      <c r="J223" s="42">
        <v>270.0</v>
      </c>
      <c r="K223" s="42">
        <v>5.0</v>
      </c>
      <c r="L223" s="42">
        <v>1.8</v>
      </c>
      <c r="M223" s="42">
        <v>0.31</v>
      </c>
      <c r="N223" s="42">
        <v>4.8</v>
      </c>
      <c r="O223" s="42">
        <v>1.4E13</v>
      </c>
      <c r="P223" s="42">
        <v>2.1E12</v>
      </c>
      <c r="Q223" s="42">
        <v>-4.3</v>
      </c>
      <c r="R223" s="42">
        <v>18.3</v>
      </c>
      <c r="S223" s="42">
        <v>0.649</v>
      </c>
      <c r="T223" s="42">
        <v>-10.4</v>
      </c>
      <c r="U223" s="42">
        <v>2.5</v>
      </c>
      <c r="V223" s="42">
        <v>-3.1</v>
      </c>
      <c r="W223" s="42">
        <v>-8.8</v>
      </c>
    </row>
    <row r="224">
      <c r="A224" s="87">
        <v>223.0</v>
      </c>
      <c r="B224" s="85" t="s">
        <v>1703</v>
      </c>
      <c r="C224" s="85" t="s">
        <v>290</v>
      </c>
      <c r="D224" s="85" t="s">
        <v>1704</v>
      </c>
      <c r="E224" s="85" t="s">
        <v>1300</v>
      </c>
      <c r="F224" s="85" t="s">
        <v>1427</v>
      </c>
      <c r="G224" s="85" t="s">
        <v>1705</v>
      </c>
      <c r="H224" s="85" t="s">
        <v>1705</v>
      </c>
      <c r="I224" s="85" t="s">
        <v>1706</v>
      </c>
      <c r="J224" s="42">
        <v>-0.81</v>
      </c>
      <c r="K224" s="42">
        <v>-0.07</v>
      </c>
      <c r="L224" s="42">
        <v>0.0</v>
      </c>
      <c r="M224" s="42">
        <v>-19.2</v>
      </c>
      <c r="N224" s="42">
        <v>-1.4</v>
      </c>
      <c r="O224" s="42">
        <v>7.48E11</v>
      </c>
      <c r="P224" s="42">
        <v>2.1E12</v>
      </c>
      <c r="Q224" s="42">
        <v>-6.4</v>
      </c>
      <c r="R224" s="42">
        <v>-14.1</v>
      </c>
      <c r="S224" s="42">
        <v>-28.4</v>
      </c>
      <c r="T224" s="42">
        <v>-8.8</v>
      </c>
      <c r="U224" s="42">
        <v>-43.7</v>
      </c>
      <c r="V224" s="42">
        <v>9.0</v>
      </c>
      <c r="W224" s="42">
        <v>-22.3</v>
      </c>
    </row>
    <row r="225">
      <c r="A225" s="87">
        <v>224.0</v>
      </c>
      <c r="B225" s="85" t="s">
        <v>1707</v>
      </c>
      <c r="C225" s="85" t="s">
        <v>291</v>
      </c>
      <c r="D225" s="85" t="s">
        <v>1646</v>
      </c>
      <c r="E225" s="85" t="s">
        <v>1194</v>
      </c>
      <c r="F225" s="85" t="s">
        <v>1195</v>
      </c>
      <c r="G225" s="85" t="s">
        <v>1283</v>
      </c>
      <c r="H225" s="85" t="s">
        <v>1647</v>
      </c>
      <c r="I225" s="85" t="s">
        <v>1708</v>
      </c>
      <c r="J225" s="42">
        <v>18.2</v>
      </c>
      <c r="K225" s="42">
        <v>5.2</v>
      </c>
      <c r="L225" s="42">
        <v>28.7</v>
      </c>
      <c r="M225" s="42">
        <v>22.3</v>
      </c>
      <c r="N225" s="42">
        <v>0.29</v>
      </c>
      <c r="O225" s="42">
        <v>3.83E13</v>
      </c>
      <c r="P225" s="42">
        <v>3.1E12</v>
      </c>
      <c r="Q225" s="42">
        <v>-12.5</v>
      </c>
      <c r="R225" s="42">
        <v>-7.8</v>
      </c>
      <c r="S225" s="42">
        <v>-29.6</v>
      </c>
      <c r="T225" s="42">
        <v>-14.2</v>
      </c>
      <c r="U225" s="42">
        <v>67.6</v>
      </c>
      <c r="V225" s="42">
        <v>-14.0</v>
      </c>
      <c r="W225" s="42">
        <v>-25.8</v>
      </c>
    </row>
    <row r="226">
      <c r="A226" s="87">
        <v>225.0</v>
      </c>
      <c r="B226" s="85" t="s">
        <v>1709</v>
      </c>
      <c r="C226" s="85" t="s">
        <v>292</v>
      </c>
      <c r="D226" s="85" t="s">
        <v>1308</v>
      </c>
      <c r="E226" s="85" t="s">
        <v>1187</v>
      </c>
      <c r="F226" s="85" t="s">
        <v>1188</v>
      </c>
      <c r="G226" s="85" t="s">
        <v>1189</v>
      </c>
      <c r="H226" s="85" t="s">
        <v>1309</v>
      </c>
      <c r="I226" s="85" t="s">
        <v>1649</v>
      </c>
      <c r="J226" s="42">
        <v>2.1</v>
      </c>
      <c r="K226" s="42">
        <v>-0.39</v>
      </c>
      <c r="L226" s="42">
        <v>0.0</v>
      </c>
      <c r="M226" s="42">
        <v>19.2</v>
      </c>
      <c r="N226" s="42">
        <v>-2.0</v>
      </c>
      <c r="O226" s="42">
        <v>4.03E11</v>
      </c>
      <c r="P226" s="42">
        <v>4.63E11</v>
      </c>
      <c r="Q226" s="42">
        <v>-31.8</v>
      </c>
      <c r="R226" s="42">
        <v>-53.8</v>
      </c>
      <c r="S226" s="42">
        <v>-51.6</v>
      </c>
      <c r="T226" s="42">
        <v>-14.3</v>
      </c>
      <c r="U226" s="42">
        <v>41.0</v>
      </c>
      <c r="V226" s="42">
        <v>-31.8</v>
      </c>
      <c r="W226" s="42">
        <v>-52.4</v>
      </c>
    </row>
    <row r="227">
      <c r="A227" s="87">
        <v>226.0</v>
      </c>
      <c r="B227" s="85" t="s">
        <v>1710</v>
      </c>
      <c r="C227" s="85" t="s">
        <v>293</v>
      </c>
      <c r="D227" s="85" t="s">
        <v>1559</v>
      </c>
      <c r="E227" s="85" t="s">
        <v>1201</v>
      </c>
      <c r="F227" s="85" t="s">
        <v>1286</v>
      </c>
      <c r="G227" s="85" t="s">
        <v>1287</v>
      </c>
      <c r="H227" s="85" t="s">
        <v>1560</v>
      </c>
      <c r="I227" s="85" t="s">
        <v>1711</v>
      </c>
      <c r="J227" s="42">
        <v>11.0</v>
      </c>
      <c r="K227" s="42">
        <v>1.9</v>
      </c>
      <c r="L227" s="42">
        <v>17.7</v>
      </c>
      <c r="M227" s="42">
        <v>11.4</v>
      </c>
      <c r="N227" s="42">
        <v>0.55</v>
      </c>
      <c r="O227" s="42">
        <v>8.4E12</v>
      </c>
      <c r="P227" s="42">
        <v>1.1E12</v>
      </c>
      <c r="Q227" s="42">
        <v>-18.8</v>
      </c>
      <c r="R227" s="42">
        <v>-20.4</v>
      </c>
      <c r="S227" s="42">
        <v>-32.2</v>
      </c>
      <c r="T227" s="42">
        <v>-44.6</v>
      </c>
      <c r="U227" s="42">
        <v>69.8</v>
      </c>
      <c r="V227" s="42">
        <v>-12.8</v>
      </c>
      <c r="W227" s="42">
        <v>-32.2</v>
      </c>
    </row>
    <row r="228">
      <c r="A228" s="87">
        <v>227.0</v>
      </c>
      <c r="B228" s="85" t="s">
        <v>1712</v>
      </c>
      <c r="C228" s="85" t="s">
        <v>294</v>
      </c>
      <c r="D228" s="89"/>
      <c r="E228" s="85" t="s">
        <v>1713</v>
      </c>
      <c r="F228" s="85" t="s">
        <v>1714</v>
      </c>
      <c r="G228" s="89"/>
      <c r="H228" s="89"/>
      <c r="I228" s="89"/>
      <c r="J228" s="42">
        <v>-0.22</v>
      </c>
      <c r="K228" s="42">
        <v>-0.06</v>
      </c>
      <c r="L228" s="42">
        <v>0.0</v>
      </c>
      <c r="M228" s="42">
        <v>-31.8</v>
      </c>
      <c r="N228" s="42">
        <v>-1.8</v>
      </c>
      <c r="O228" s="42">
        <v>3.3E10</v>
      </c>
      <c r="P228" s="42">
        <v>3.07E11</v>
      </c>
      <c r="Q228" s="42">
        <v>0.0</v>
      </c>
      <c r="R228" s="42">
        <v>0.0</v>
      </c>
      <c r="S228" s="42">
        <v>0.0</v>
      </c>
      <c r="T228" s="42">
        <v>0.0</v>
      </c>
      <c r="U228" s="42">
        <v>-47.6</v>
      </c>
      <c r="V228" s="42">
        <v>0.0</v>
      </c>
      <c r="W228" s="42">
        <v>0.0</v>
      </c>
    </row>
    <row r="229">
      <c r="A229" s="87">
        <v>228.0</v>
      </c>
      <c r="B229" s="85" t="s">
        <v>1715</v>
      </c>
      <c r="C229" s="85" t="s">
        <v>295</v>
      </c>
      <c r="D229" s="85" t="s">
        <v>1224</v>
      </c>
      <c r="E229" s="85" t="s">
        <v>1201</v>
      </c>
      <c r="F229" s="85" t="s">
        <v>1225</v>
      </c>
      <c r="G229" s="85" t="s">
        <v>1225</v>
      </c>
      <c r="H229" s="85" t="s">
        <v>1226</v>
      </c>
      <c r="I229" s="85" t="s">
        <v>1205</v>
      </c>
      <c r="J229" s="42">
        <v>-0.07</v>
      </c>
      <c r="K229" s="42">
        <v>-0.02</v>
      </c>
      <c r="L229" s="42">
        <v>0.0</v>
      </c>
      <c r="M229" s="42">
        <v>-31.8</v>
      </c>
      <c r="N229" s="42">
        <v>-1.8</v>
      </c>
      <c r="O229" s="42">
        <v>9.94E9</v>
      </c>
      <c r="P229" s="42">
        <v>3.07E11</v>
      </c>
      <c r="Q229" s="42">
        <v>0.0</v>
      </c>
      <c r="R229" s="42">
        <v>0.0</v>
      </c>
      <c r="S229" s="42">
        <v>0.0</v>
      </c>
      <c r="T229" s="42">
        <v>0.0</v>
      </c>
      <c r="U229" s="42">
        <v>-47.6</v>
      </c>
      <c r="V229" s="42">
        <v>0.0</v>
      </c>
      <c r="W229" s="42">
        <v>0.0</v>
      </c>
    </row>
    <row r="230">
      <c r="A230" s="87">
        <v>229.0</v>
      </c>
      <c r="B230" s="85" t="s">
        <v>1716</v>
      </c>
      <c r="C230" s="85" t="s">
        <v>296</v>
      </c>
      <c r="D230" s="85" t="s">
        <v>1186</v>
      </c>
      <c r="E230" s="85" t="s">
        <v>1187</v>
      </c>
      <c r="F230" s="85" t="s">
        <v>1188</v>
      </c>
      <c r="G230" s="85" t="s">
        <v>1189</v>
      </c>
      <c r="H230" s="85" t="s">
        <v>1190</v>
      </c>
      <c r="I230" s="85" t="s">
        <v>1280</v>
      </c>
      <c r="J230" s="42">
        <v>73.0</v>
      </c>
      <c r="K230" s="42">
        <v>0.85</v>
      </c>
      <c r="L230" s="42">
        <v>1.2</v>
      </c>
      <c r="M230" s="42">
        <v>0.53</v>
      </c>
      <c r="N230" s="42">
        <v>1.2</v>
      </c>
      <c r="O230" s="42">
        <v>3.13E11</v>
      </c>
      <c r="P230" s="42">
        <v>2.43E11</v>
      </c>
      <c r="Q230" s="42">
        <v>-12.3</v>
      </c>
      <c r="R230" s="42">
        <v>-25.4</v>
      </c>
      <c r="S230" s="42">
        <v>-59.7</v>
      </c>
      <c r="T230" s="42">
        <v>25.0</v>
      </c>
      <c r="U230" s="42">
        <v>1.8</v>
      </c>
      <c r="V230" s="42">
        <v>0.0</v>
      </c>
      <c r="W230" s="42">
        <v>-43.8</v>
      </c>
    </row>
    <row r="231">
      <c r="A231" s="87">
        <v>230.0</v>
      </c>
      <c r="B231" s="85" t="s">
        <v>1717</v>
      </c>
      <c r="C231" s="85" t="s">
        <v>297</v>
      </c>
      <c r="D231" s="85" t="s">
        <v>1282</v>
      </c>
      <c r="E231" s="85" t="s">
        <v>1194</v>
      </c>
      <c r="F231" s="85" t="s">
        <v>1195</v>
      </c>
      <c r="G231" s="85" t="s">
        <v>1283</v>
      </c>
      <c r="H231" s="85" t="s">
        <v>1283</v>
      </c>
      <c r="I231" s="85" t="s">
        <v>1718</v>
      </c>
      <c r="J231" s="42">
        <v>-3.5</v>
      </c>
      <c r="K231" s="42">
        <v>7.8</v>
      </c>
      <c r="L231" s="42">
        <v>-220.0</v>
      </c>
      <c r="M231" s="42">
        <v>-46.3</v>
      </c>
      <c r="N231" s="42">
        <v>3.8</v>
      </c>
      <c r="O231" s="42">
        <v>8.83E11</v>
      </c>
      <c r="P231" s="42">
        <v>1.65E11</v>
      </c>
      <c r="Q231" s="42">
        <v>-53.8</v>
      </c>
      <c r="R231" s="42">
        <v>-47.0</v>
      </c>
      <c r="S231" s="42">
        <v>-58.9</v>
      </c>
      <c r="T231" s="42">
        <v>-33.1</v>
      </c>
      <c r="U231" s="42">
        <v>-150.0</v>
      </c>
      <c r="V231" s="42">
        <v>-34.7</v>
      </c>
      <c r="W231" s="42">
        <v>-57.8</v>
      </c>
    </row>
    <row r="232">
      <c r="A232" s="87">
        <v>231.0</v>
      </c>
      <c r="B232" s="85" t="s">
        <v>1719</v>
      </c>
      <c r="C232" s="85" t="s">
        <v>298</v>
      </c>
      <c r="D232" s="85" t="s">
        <v>1363</v>
      </c>
      <c r="E232" s="85" t="s">
        <v>1208</v>
      </c>
      <c r="F232" s="85" t="s">
        <v>1364</v>
      </c>
      <c r="G232" s="85" t="s">
        <v>1364</v>
      </c>
      <c r="H232" s="85" t="s">
        <v>1365</v>
      </c>
      <c r="I232" s="85" t="s">
        <v>1278</v>
      </c>
      <c r="J232" s="42">
        <v>430.0</v>
      </c>
      <c r="K232" s="42">
        <v>7.8</v>
      </c>
      <c r="L232" s="42">
        <v>1.8</v>
      </c>
      <c r="M232" s="42">
        <v>1.8</v>
      </c>
      <c r="N232" s="42">
        <v>0.03</v>
      </c>
      <c r="O232" s="42">
        <v>1.19E13</v>
      </c>
      <c r="P232" s="42">
        <v>4.1E10</v>
      </c>
      <c r="Q232" s="42">
        <v>-45.1</v>
      </c>
      <c r="R232" s="42">
        <v>-52.6</v>
      </c>
      <c r="S232" s="42">
        <v>-86.4</v>
      </c>
      <c r="T232" s="88"/>
      <c r="U232" s="42">
        <v>66.9</v>
      </c>
      <c r="V232" s="42">
        <v>-28.5</v>
      </c>
      <c r="W232" s="42">
        <v>-85.0</v>
      </c>
    </row>
    <row r="233">
      <c r="A233" s="87">
        <v>232.0</v>
      </c>
      <c r="B233" s="85" t="s">
        <v>1720</v>
      </c>
      <c r="C233" s="85" t="s">
        <v>299</v>
      </c>
      <c r="D233" s="85" t="s">
        <v>1234</v>
      </c>
      <c r="E233" s="85" t="s">
        <v>1235</v>
      </c>
      <c r="F233" s="85" t="s">
        <v>1235</v>
      </c>
      <c r="G233" s="85" t="s">
        <v>1236</v>
      </c>
      <c r="H233" s="85" t="s">
        <v>1237</v>
      </c>
      <c r="I233" s="85" t="s">
        <v>1392</v>
      </c>
      <c r="J233" s="88"/>
      <c r="K233" s="42">
        <v>-12.6</v>
      </c>
      <c r="L233" s="88"/>
      <c r="M233" s="42">
        <v>0.0</v>
      </c>
      <c r="N233" s="42">
        <v>-130.0</v>
      </c>
      <c r="O233" s="42">
        <v>2.44E11</v>
      </c>
      <c r="P233" s="42">
        <v>4.61E11</v>
      </c>
      <c r="Q233" s="42">
        <v>0.0</v>
      </c>
      <c r="R233" s="42">
        <v>0.0</v>
      </c>
      <c r="S233" s="42">
        <v>0.0</v>
      </c>
      <c r="T233" s="42">
        <v>0.0</v>
      </c>
      <c r="U233" s="42">
        <v>-210.0</v>
      </c>
      <c r="V233" s="42">
        <v>0.0</v>
      </c>
      <c r="W233" s="42">
        <v>0.0</v>
      </c>
    </row>
    <row r="234">
      <c r="A234" s="87">
        <v>233.0</v>
      </c>
      <c r="B234" s="85" t="s">
        <v>1721</v>
      </c>
      <c r="C234" s="85" t="s">
        <v>300</v>
      </c>
      <c r="D234" s="85" t="s">
        <v>1267</v>
      </c>
      <c r="E234" s="85" t="s">
        <v>1194</v>
      </c>
      <c r="F234" s="85" t="s">
        <v>1195</v>
      </c>
      <c r="G234" s="85" t="s">
        <v>1196</v>
      </c>
      <c r="H234" s="85" t="s">
        <v>1268</v>
      </c>
      <c r="I234" s="85" t="s">
        <v>1722</v>
      </c>
      <c r="J234" s="42">
        <v>10.5</v>
      </c>
      <c r="K234" s="42">
        <v>1.9</v>
      </c>
      <c r="L234" s="42">
        <v>18.2</v>
      </c>
      <c r="M234" s="42">
        <v>13.8</v>
      </c>
      <c r="N234" s="42">
        <v>0.32</v>
      </c>
      <c r="O234" s="42">
        <v>7.0E13</v>
      </c>
      <c r="P234" s="42">
        <v>2.0E13</v>
      </c>
      <c r="Q234" s="42">
        <v>-21.8</v>
      </c>
      <c r="R234" s="42">
        <v>-10.3</v>
      </c>
      <c r="S234" s="42">
        <v>-34.4</v>
      </c>
      <c r="T234" s="42">
        <v>-35.2</v>
      </c>
      <c r="U234" s="42">
        <v>33.5</v>
      </c>
      <c r="V234" s="42">
        <v>-22.4</v>
      </c>
      <c r="W234" s="42">
        <v>-30.6</v>
      </c>
    </row>
    <row r="235">
      <c r="A235" s="87">
        <v>234.0</v>
      </c>
      <c r="B235" s="85" t="s">
        <v>1723</v>
      </c>
      <c r="C235" s="85" t="s">
        <v>301</v>
      </c>
      <c r="D235" s="85" t="s">
        <v>1234</v>
      </c>
      <c r="E235" s="85" t="s">
        <v>1235</v>
      </c>
      <c r="F235" s="85" t="s">
        <v>1235</v>
      </c>
      <c r="G235" s="85" t="s">
        <v>1236</v>
      </c>
      <c r="H235" s="85" t="s">
        <v>1237</v>
      </c>
      <c r="I235" s="85" t="s">
        <v>1392</v>
      </c>
      <c r="J235" s="42">
        <v>0.0</v>
      </c>
      <c r="K235" s="42">
        <v>0.66</v>
      </c>
      <c r="L235" s="42">
        <v>-2.0</v>
      </c>
      <c r="M235" s="42">
        <v>-1.8</v>
      </c>
      <c r="N235" s="42">
        <v>0.14</v>
      </c>
      <c r="O235" s="42">
        <v>1.22E11</v>
      </c>
      <c r="P235" s="42">
        <v>2.89E9</v>
      </c>
      <c r="Q235" s="42">
        <v>0.0</v>
      </c>
      <c r="R235" s="42">
        <v>0.0</v>
      </c>
      <c r="S235" s="42">
        <v>0.0</v>
      </c>
      <c r="T235" s="42">
        <v>0.0</v>
      </c>
      <c r="U235" s="42">
        <v>-130.0</v>
      </c>
      <c r="V235" s="42">
        <v>0.0</v>
      </c>
      <c r="W235" s="42">
        <v>0.0</v>
      </c>
    </row>
    <row r="236">
      <c r="A236" s="87">
        <v>235.0</v>
      </c>
      <c r="B236" s="85" t="s">
        <v>1724</v>
      </c>
      <c r="C236" s="85" t="s">
        <v>302</v>
      </c>
      <c r="D236" s="85" t="s">
        <v>1267</v>
      </c>
      <c r="E236" s="85" t="s">
        <v>1194</v>
      </c>
      <c r="F236" s="85" t="s">
        <v>1195</v>
      </c>
      <c r="G236" s="85" t="s">
        <v>1196</v>
      </c>
      <c r="H236" s="85" t="s">
        <v>1268</v>
      </c>
      <c r="I236" s="85" t="s">
        <v>1352</v>
      </c>
      <c r="J236" s="42">
        <v>8.2</v>
      </c>
      <c r="K236" s="42">
        <v>0.77</v>
      </c>
      <c r="L236" s="42">
        <v>9.4</v>
      </c>
      <c r="M236" s="42">
        <v>5.1</v>
      </c>
      <c r="N236" s="42">
        <v>0.82</v>
      </c>
      <c r="O236" s="42">
        <v>3.0E12</v>
      </c>
      <c r="P236" s="42">
        <v>2.5E12</v>
      </c>
      <c r="Q236" s="42">
        <v>-9.1</v>
      </c>
      <c r="R236" s="42">
        <v>-7.4</v>
      </c>
      <c r="S236" s="42">
        <v>-20.6</v>
      </c>
      <c r="T236" s="42">
        <v>-2.0</v>
      </c>
      <c r="U236" s="42">
        <v>14.7</v>
      </c>
      <c r="V236" s="42">
        <v>0.0</v>
      </c>
      <c r="W236" s="42">
        <v>-24.2</v>
      </c>
    </row>
    <row r="237">
      <c r="A237" s="87">
        <v>236.0</v>
      </c>
      <c r="B237" s="85" t="s">
        <v>1725</v>
      </c>
      <c r="C237" s="85" t="s">
        <v>303</v>
      </c>
      <c r="D237" s="85" t="s">
        <v>1267</v>
      </c>
      <c r="E237" s="85" t="s">
        <v>1194</v>
      </c>
      <c r="F237" s="85" t="s">
        <v>1195</v>
      </c>
      <c r="G237" s="85" t="s">
        <v>1196</v>
      </c>
      <c r="H237" s="85" t="s">
        <v>1268</v>
      </c>
      <c r="I237" s="85" t="s">
        <v>1269</v>
      </c>
      <c r="J237" s="42">
        <v>13.8</v>
      </c>
      <c r="K237" s="42">
        <v>1.8</v>
      </c>
      <c r="L237" s="42">
        <v>12.9</v>
      </c>
      <c r="M237" s="42">
        <v>8.9</v>
      </c>
      <c r="N237" s="42">
        <v>0.45</v>
      </c>
      <c r="O237" s="42">
        <v>4.1E11</v>
      </c>
      <c r="P237" s="42">
        <v>4.55E11</v>
      </c>
      <c r="Q237" s="42">
        <v>-3.8</v>
      </c>
      <c r="R237" s="42">
        <v>-16.7</v>
      </c>
      <c r="S237" s="42">
        <v>-25.9</v>
      </c>
      <c r="T237" s="42">
        <v>-16.7</v>
      </c>
      <c r="U237" s="42">
        <v>6.5</v>
      </c>
      <c r="V237" s="42">
        <v>-6.5</v>
      </c>
      <c r="W237" s="42">
        <v>-28.6</v>
      </c>
    </row>
    <row r="238">
      <c r="A238" s="87">
        <v>237.0</v>
      </c>
      <c r="B238" s="85" t="s">
        <v>1726</v>
      </c>
      <c r="C238" s="85" t="s">
        <v>304</v>
      </c>
      <c r="D238" s="85" t="s">
        <v>1727</v>
      </c>
      <c r="E238" s="85" t="s">
        <v>1214</v>
      </c>
      <c r="F238" s="85" t="s">
        <v>1406</v>
      </c>
      <c r="G238" s="85" t="s">
        <v>1728</v>
      </c>
      <c r="H238" s="85" t="s">
        <v>1729</v>
      </c>
      <c r="I238" s="85" t="s">
        <v>1333</v>
      </c>
      <c r="J238" s="42">
        <v>49.4</v>
      </c>
      <c r="K238" s="42">
        <v>1.3</v>
      </c>
      <c r="L238" s="42">
        <v>2.6</v>
      </c>
      <c r="M238" s="42">
        <v>1.6</v>
      </c>
      <c r="N238" s="42">
        <v>0.66</v>
      </c>
      <c r="O238" s="42">
        <v>3.01E11</v>
      </c>
      <c r="P238" s="42">
        <v>1.14E11</v>
      </c>
      <c r="Q238" s="42">
        <v>-19.5</v>
      </c>
      <c r="R238" s="42">
        <v>-10.8</v>
      </c>
      <c r="S238" s="42">
        <v>-31.1</v>
      </c>
      <c r="T238" s="42">
        <v>-16.5</v>
      </c>
      <c r="U238" s="42">
        <v>5.3</v>
      </c>
      <c r="V238" s="42">
        <v>-11.7</v>
      </c>
      <c r="W238" s="42">
        <v>-26.6</v>
      </c>
    </row>
    <row r="239">
      <c r="A239" s="87">
        <v>238.0</v>
      </c>
      <c r="B239" s="85" t="s">
        <v>1730</v>
      </c>
      <c r="C239" s="85" t="s">
        <v>305</v>
      </c>
      <c r="D239" s="85" t="s">
        <v>1218</v>
      </c>
      <c r="E239" s="85" t="s">
        <v>1201</v>
      </c>
      <c r="F239" s="85" t="s">
        <v>1219</v>
      </c>
      <c r="G239" s="85" t="s">
        <v>1220</v>
      </c>
      <c r="H239" s="85" t="s">
        <v>1221</v>
      </c>
      <c r="I239" s="85" t="s">
        <v>1561</v>
      </c>
      <c r="J239" s="42">
        <v>11.8</v>
      </c>
      <c r="K239" s="42">
        <v>0.4</v>
      </c>
      <c r="L239" s="42">
        <v>3.4</v>
      </c>
      <c r="M239" s="42">
        <v>1.1</v>
      </c>
      <c r="N239" s="42">
        <v>2.2</v>
      </c>
      <c r="O239" s="42">
        <v>1.5E12</v>
      </c>
      <c r="P239" s="42">
        <v>4.2E12</v>
      </c>
      <c r="Q239" s="42">
        <v>-5.6</v>
      </c>
      <c r="R239" s="42">
        <v>-5.0</v>
      </c>
      <c r="S239" s="42">
        <v>-18.8</v>
      </c>
      <c r="T239" s="42">
        <v>-3.6</v>
      </c>
      <c r="U239" s="42">
        <v>3.1</v>
      </c>
      <c r="V239" s="42">
        <v>-0.741</v>
      </c>
      <c r="W239" s="42">
        <v>-15.7</v>
      </c>
    </row>
    <row r="240">
      <c r="A240" s="87">
        <v>239.0</v>
      </c>
      <c r="B240" s="85" t="s">
        <v>1731</v>
      </c>
      <c r="C240" s="85" t="s">
        <v>306</v>
      </c>
      <c r="D240" s="85" t="s">
        <v>1234</v>
      </c>
      <c r="E240" s="85" t="s">
        <v>1235</v>
      </c>
      <c r="F240" s="85" t="s">
        <v>1235</v>
      </c>
      <c r="G240" s="85" t="s">
        <v>1236</v>
      </c>
      <c r="H240" s="85" t="s">
        <v>1237</v>
      </c>
      <c r="I240" s="85" t="s">
        <v>1322</v>
      </c>
      <c r="J240" s="42">
        <v>9.7</v>
      </c>
      <c r="K240" s="42">
        <v>0.47</v>
      </c>
      <c r="L240" s="42">
        <v>4.9</v>
      </c>
      <c r="M240" s="42">
        <v>3.8</v>
      </c>
      <c r="N240" s="42">
        <v>0.29</v>
      </c>
      <c r="O240" s="42">
        <v>2.73E11</v>
      </c>
      <c r="P240" s="42">
        <v>3.8E10</v>
      </c>
      <c r="Q240" s="42">
        <v>-25.4</v>
      </c>
      <c r="R240" s="42">
        <v>-20.1</v>
      </c>
      <c r="S240" s="42">
        <v>-68.0</v>
      </c>
      <c r="T240" s="42">
        <v>110.0</v>
      </c>
      <c r="U240" s="42">
        <v>73.2</v>
      </c>
      <c r="V240" s="42">
        <v>-10.6</v>
      </c>
      <c r="W240" s="42">
        <v>-57.8</v>
      </c>
    </row>
    <row r="241">
      <c r="A241" s="87">
        <v>240.0</v>
      </c>
      <c r="B241" s="85" t="s">
        <v>1732</v>
      </c>
      <c r="C241" s="85" t="s">
        <v>307</v>
      </c>
      <c r="D241" s="85" t="s">
        <v>1456</v>
      </c>
      <c r="E241" s="85" t="s">
        <v>1201</v>
      </c>
      <c r="F241" s="85" t="s">
        <v>1286</v>
      </c>
      <c r="G241" s="85" t="s">
        <v>1287</v>
      </c>
      <c r="H241" s="85" t="s">
        <v>1457</v>
      </c>
      <c r="I241" s="85" t="s">
        <v>1458</v>
      </c>
      <c r="J241" s="42">
        <v>-75.9</v>
      </c>
      <c r="K241" s="42">
        <v>17.2</v>
      </c>
      <c r="L241" s="42">
        <v>-22.7</v>
      </c>
      <c r="M241" s="42">
        <v>-2.2</v>
      </c>
      <c r="N241" s="42">
        <v>9.5</v>
      </c>
      <c r="O241" s="42">
        <v>7.2E10</v>
      </c>
      <c r="P241" s="42">
        <v>6.2E8</v>
      </c>
      <c r="Q241" s="42">
        <v>-36.4</v>
      </c>
      <c r="R241" s="42">
        <v>-17.1</v>
      </c>
      <c r="S241" s="42">
        <v>-70.2</v>
      </c>
      <c r="T241" s="42">
        <v>-96.6</v>
      </c>
      <c r="U241" s="42">
        <v>-150.0</v>
      </c>
      <c r="V241" s="42">
        <v>-25.3</v>
      </c>
      <c r="W241" s="42">
        <v>-67.9</v>
      </c>
    </row>
    <row r="242">
      <c r="A242" s="87">
        <v>241.0</v>
      </c>
      <c r="B242" s="85" t="s">
        <v>1733</v>
      </c>
      <c r="C242" s="85" t="s">
        <v>308</v>
      </c>
      <c r="D242" s="85" t="s">
        <v>1193</v>
      </c>
      <c r="E242" s="85" t="s">
        <v>1194</v>
      </c>
      <c r="F242" s="85" t="s">
        <v>1195</v>
      </c>
      <c r="G242" s="85" t="s">
        <v>1196</v>
      </c>
      <c r="H242" s="85" t="s">
        <v>1197</v>
      </c>
      <c r="I242" s="85" t="s">
        <v>1352</v>
      </c>
      <c r="J242" s="42">
        <v>6.3</v>
      </c>
      <c r="K242" s="42">
        <v>1.1</v>
      </c>
      <c r="L242" s="42">
        <v>17.6</v>
      </c>
      <c r="M242" s="42">
        <v>10.4</v>
      </c>
      <c r="N242" s="42">
        <v>0.7</v>
      </c>
      <c r="O242" s="42">
        <v>1.7E12</v>
      </c>
      <c r="P242" s="42">
        <v>5.41E11</v>
      </c>
      <c r="Q242" s="42">
        <v>-26.1</v>
      </c>
      <c r="R242" s="42">
        <v>-27.3</v>
      </c>
      <c r="S242" s="42">
        <v>-26.9</v>
      </c>
      <c r="T242" s="42">
        <v>5.6</v>
      </c>
      <c r="U242" s="42">
        <v>50.5</v>
      </c>
      <c r="V242" s="42">
        <v>-17.4</v>
      </c>
      <c r="W242" s="42">
        <v>-28.1</v>
      </c>
    </row>
    <row r="243">
      <c r="A243" s="87">
        <v>242.0</v>
      </c>
      <c r="B243" s="85" t="s">
        <v>1734</v>
      </c>
      <c r="C243" s="85" t="s">
        <v>309</v>
      </c>
      <c r="D243" s="85" t="s">
        <v>1460</v>
      </c>
      <c r="E243" s="85" t="s">
        <v>1252</v>
      </c>
      <c r="F243" s="85" t="s">
        <v>1252</v>
      </c>
      <c r="G243" s="85" t="s">
        <v>1313</v>
      </c>
      <c r="H243" s="85" t="s">
        <v>1461</v>
      </c>
      <c r="I243" s="85" t="s">
        <v>1271</v>
      </c>
      <c r="J243" s="42">
        <v>49.0</v>
      </c>
      <c r="K243" s="42">
        <v>2.2</v>
      </c>
      <c r="L243" s="42">
        <v>4.6</v>
      </c>
      <c r="M243" s="42">
        <v>3.8</v>
      </c>
      <c r="N243" s="42">
        <v>0.2</v>
      </c>
      <c r="O243" s="42">
        <v>4.7E12</v>
      </c>
      <c r="P243" s="42">
        <v>3.27E11</v>
      </c>
      <c r="Q243" s="42">
        <v>44.7</v>
      </c>
      <c r="R243" s="42">
        <v>27.4</v>
      </c>
      <c r="S243" s="42">
        <v>6.0</v>
      </c>
      <c r="T243" s="42">
        <v>54.2</v>
      </c>
      <c r="U243" s="42">
        <v>29.3</v>
      </c>
      <c r="V243" s="42">
        <v>24.2</v>
      </c>
      <c r="W243" s="42">
        <v>26.3</v>
      </c>
    </row>
    <row r="244">
      <c r="A244" s="87">
        <v>243.0</v>
      </c>
      <c r="B244" s="85" t="s">
        <v>1735</v>
      </c>
      <c r="C244" s="85" t="s">
        <v>310</v>
      </c>
      <c r="D244" s="85" t="s">
        <v>1234</v>
      </c>
      <c r="E244" s="85" t="s">
        <v>1235</v>
      </c>
      <c r="F244" s="85" t="s">
        <v>1235</v>
      </c>
      <c r="G244" s="85" t="s">
        <v>1236</v>
      </c>
      <c r="H244" s="85" t="s">
        <v>1237</v>
      </c>
      <c r="I244" s="85" t="s">
        <v>1736</v>
      </c>
      <c r="J244" s="42">
        <v>4.7</v>
      </c>
      <c r="K244" s="42">
        <v>0.44</v>
      </c>
      <c r="L244" s="42">
        <v>9.2</v>
      </c>
      <c r="M244" s="42">
        <v>5.5</v>
      </c>
      <c r="N244" s="42">
        <v>0.67</v>
      </c>
      <c r="O244" s="42">
        <v>1.2E13</v>
      </c>
      <c r="P244" s="42">
        <v>2.6E12</v>
      </c>
      <c r="Q244" s="42">
        <v>-22.6</v>
      </c>
      <c r="R244" s="42">
        <v>-22.1</v>
      </c>
      <c r="S244" s="42">
        <v>-39.1</v>
      </c>
      <c r="T244" s="42">
        <v>-46.2</v>
      </c>
      <c r="U244" s="42">
        <v>98.6</v>
      </c>
      <c r="V244" s="42">
        <v>-17.2</v>
      </c>
      <c r="W244" s="42">
        <v>-35.8</v>
      </c>
    </row>
    <row r="245">
      <c r="A245" s="87">
        <v>244.0</v>
      </c>
      <c r="B245" s="85" t="s">
        <v>1737</v>
      </c>
      <c r="C245" s="85" t="s">
        <v>311</v>
      </c>
      <c r="D245" s="85" t="s">
        <v>1325</v>
      </c>
      <c r="E245" s="85" t="s">
        <v>1214</v>
      </c>
      <c r="F245" s="85" t="s">
        <v>1326</v>
      </c>
      <c r="G245" s="85" t="s">
        <v>1327</v>
      </c>
      <c r="H245" s="85" t="s">
        <v>1327</v>
      </c>
      <c r="I245" s="85" t="s">
        <v>1385</v>
      </c>
      <c r="J245" s="42">
        <v>-7.9</v>
      </c>
      <c r="K245" s="42">
        <v>1.3</v>
      </c>
      <c r="L245" s="42">
        <v>-16.7</v>
      </c>
      <c r="M245" s="42">
        <v>-4.0</v>
      </c>
      <c r="N245" s="42">
        <v>3.2</v>
      </c>
      <c r="O245" s="42">
        <v>2.09E11</v>
      </c>
      <c r="P245" s="42">
        <v>1.7E10</v>
      </c>
      <c r="Q245" s="42">
        <v>-52.5</v>
      </c>
      <c r="R245" s="42">
        <v>37.1</v>
      </c>
      <c r="S245" s="42">
        <v>7.9</v>
      </c>
      <c r="T245" s="42">
        <v>270.0</v>
      </c>
      <c r="U245" s="42">
        <v>-160.0</v>
      </c>
      <c r="V245" s="42">
        <v>-40.4</v>
      </c>
      <c r="W245" s="42">
        <v>-28.4</v>
      </c>
    </row>
    <row r="246">
      <c r="A246" s="87">
        <v>245.0</v>
      </c>
      <c r="B246" s="85" t="s">
        <v>1738</v>
      </c>
      <c r="C246" s="85" t="s">
        <v>312</v>
      </c>
      <c r="D246" s="85" t="s">
        <v>1186</v>
      </c>
      <c r="E246" s="85" t="s">
        <v>1187</v>
      </c>
      <c r="F246" s="85" t="s">
        <v>1188</v>
      </c>
      <c r="G246" s="85" t="s">
        <v>1189</v>
      </c>
      <c r="H246" s="85" t="s">
        <v>1190</v>
      </c>
      <c r="I246" s="85" t="s">
        <v>1739</v>
      </c>
      <c r="J246" s="42">
        <v>30.4</v>
      </c>
      <c r="K246" s="42">
        <v>6.6</v>
      </c>
      <c r="L246" s="42">
        <v>21.8</v>
      </c>
      <c r="M246" s="42">
        <v>5.0</v>
      </c>
      <c r="N246" s="42">
        <v>3.4</v>
      </c>
      <c r="O246" s="42">
        <v>7.08E13</v>
      </c>
      <c r="P246" s="42">
        <v>6.3E12</v>
      </c>
      <c r="Q246" s="42">
        <v>-37.9</v>
      </c>
      <c r="R246" s="42">
        <v>-50.0</v>
      </c>
      <c r="S246" s="42">
        <v>-75.8</v>
      </c>
      <c r="T246" s="42">
        <v>-94.6</v>
      </c>
      <c r="U246" s="42">
        <v>36.9</v>
      </c>
      <c r="V246" s="42">
        <v>-18.5</v>
      </c>
      <c r="W246" s="42">
        <v>-72.1</v>
      </c>
    </row>
    <row r="247">
      <c r="A247" s="87">
        <v>246.0</v>
      </c>
      <c r="B247" s="85" t="s">
        <v>1740</v>
      </c>
      <c r="C247" s="85" t="s">
        <v>313</v>
      </c>
      <c r="D247" s="85" t="s">
        <v>1375</v>
      </c>
      <c r="E247" s="85" t="s">
        <v>1376</v>
      </c>
      <c r="F247" s="85" t="s">
        <v>1377</v>
      </c>
      <c r="G247" s="85" t="s">
        <v>1378</v>
      </c>
      <c r="H247" s="85" t="s">
        <v>1378</v>
      </c>
      <c r="I247" s="85" t="s">
        <v>1379</v>
      </c>
      <c r="J247" s="42">
        <v>570.0</v>
      </c>
      <c r="K247" s="42">
        <v>30.8</v>
      </c>
      <c r="L247" s="42">
        <v>5.4</v>
      </c>
      <c r="M247" s="42">
        <v>3.0</v>
      </c>
      <c r="N247" s="42">
        <v>0.81</v>
      </c>
      <c r="O247" s="42">
        <v>7.9E12</v>
      </c>
      <c r="P247" s="42">
        <v>8.6E10</v>
      </c>
      <c r="Q247" s="42">
        <v>-58.2</v>
      </c>
      <c r="R247" s="42">
        <v>-60.5</v>
      </c>
      <c r="S247" s="42">
        <v>-62.5</v>
      </c>
      <c r="T247" s="42">
        <v>-51.4</v>
      </c>
      <c r="U247" s="42">
        <v>15.9</v>
      </c>
      <c r="V247" s="42">
        <v>-11.6</v>
      </c>
      <c r="W247" s="42">
        <v>-71.0</v>
      </c>
    </row>
    <row r="248">
      <c r="A248" s="87">
        <v>247.0</v>
      </c>
      <c r="B248" s="85" t="s">
        <v>1741</v>
      </c>
      <c r="C248" s="85" t="s">
        <v>314</v>
      </c>
      <c r="D248" s="85" t="s">
        <v>1354</v>
      </c>
      <c r="E248" s="85" t="s">
        <v>1252</v>
      </c>
      <c r="F248" s="85" t="s">
        <v>1252</v>
      </c>
      <c r="G248" s="85" t="s">
        <v>1313</v>
      </c>
      <c r="H248" s="85" t="s">
        <v>1355</v>
      </c>
      <c r="I248" s="85" t="s">
        <v>1306</v>
      </c>
      <c r="J248" s="42">
        <v>12.1</v>
      </c>
      <c r="K248" s="42">
        <v>1.3</v>
      </c>
      <c r="L248" s="42">
        <v>11.1</v>
      </c>
      <c r="M248" s="42">
        <v>3.8</v>
      </c>
      <c r="N248" s="42">
        <v>1.9</v>
      </c>
      <c r="O248" s="42">
        <v>3.0E12</v>
      </c>
      <c r="P248" s="42">
        <v>3.6E12</v>
      </c>
      <c r="Q248" s="42">
        <v>-26.3</v>
      </c>
      <c r="R248" s="42">
        <v>-54.3</v>
      </c>
      <c r="S248" s="42">
        <v>-28.9</v>
      </c>
      <c r="T248" s="42">
        <v>-62.0</v>
      </c>
      <c r="U248" s="42">
        <v>7.1</v>
      </c>
      <c r="V248" s="42">
        <v>3.6</v>
      </c>
      <c r="W248" s="42">
        <v>-35.2</v>
      </c>
    </row>
    <row r="249">
      <c r="A249" s="87">
        <v>248.0</v>
      </c>
      <c r="B249" s="85" t="s">
        <v>1742</v>
      </c>
      <c r="C249" s="85" t="s">
        <v>315</v>
      </c>
      <c r="D249" s="85" t="s">
        <v>1234</v>
      </c>
      <c r="E249" s="85" t="s">
        <v>1235</v>
      </c>
      <c r="F249" s="85" t="s">
        <v>1235</v>
      </c>
      <c r="G249" s="85" t="s">
        <v>1236</v>
      </c>
      <c r="H249" s="85" t="s">
        <v>1237</v>
      </c>
      <c r="I249" s="85" t="s">
        <v>1322</v>
      </c>
      <c r="J249" s="42">
        <v>69.6</v>
      </c>
      <c r="K249" s="42">
        <v>1.0</v>
      </c>
      <c r="L249" s="42">
        <v>1.5</v>
      </c>
      <c r="M249" s="42">
        <v>0.83</v>
      </c>
      <c r="N249" s="42">
        <v>0.8</v>
      </c>
      <c r="O249" s="42">
        <v>3.72E11</v>
      </c>
      <c r="P249" s="42">
        <v>6.76E9</v>
      </c>
      <c r="Q249" s="42">
        <v>0.0</v>
      </c>
      <c r="R249" s="42">
        <v>0.0</v>
      </c>
      <c r="S249" s="42">
        <v>0.0</v>
      </c>
      <c r="T249" s="42">
        <v>610.0</v>
      </c>
      <c r="U249" s="42">
        <v>79.0</v>
      </c>
      <c r="V249" s="42">
        <v>0.0</v>
      </c>
      <c r="W249" s="42">
        <v>0.0</v>
      </c>
    </row>
    <row r="250">
      <c r="A250" s="87">
        <v>249.0</v>
      </c>
      <c r="B250" s="85" t="s">
        <v>1743</v>
      </c>
      <c r="C250" s="85" t="s">
        <v>316</v>
      </c>
      <c r="D250" s="85" t="s">
        <v>1234</v>
      </c>
      <c r="E250" s="85" t="s">
        <v>1235</v>
      </c>
      <c r="F250" s="85" t="s">
        <v>1235</v>
      </c>
      <c r="G250" s="85" t="s">
        <v>1236</v>
      </c>
      <c r="H250" s="85" t="s">
        <v>1237</v>
      </c>
      <c r="I250" s="85" t="s">
        <v>1473</v>
      </c>
      <c r="J250" s="42">
        <v>-1.6</v>
      </c>
      <c r="K250" s="42">
        <v>0.35</v>
      </c>
      <c r="L250" s="42">
        <v>-22.7</v>
      </c>
      <c r="M250" s="42">
        <v>-4.2</v>
      </c>
      <c r="N250" s="42">
        <v>4.4</v>
      </c>
      <c r="O250" s="42">
        <v>3.96E11</v>
      </c>
      <c r="P250" s="42">
        <v>1.19E11</v>
      </c>
      <c r="Q250" s="42">
        <v>-25.5</v>
      </c>
      <c r="R250" s="42">
        <v>-25.0</v>
      </c>
      <c r="S250" s="42">
        <v>-38.0</v>
      </c>
      <c r="T250" s="42">
        <v>-24.5</v>
      </c>
      <c r="U250" s="42">
        <v>-210.0</v>
      </c>
      <c r="V250" s="42">
        <v>-15.9</v>
      </c>
      <c r="W250" s="42">
        <v>-41.6</v>
      </c>
    </row>
    <row r="251">
      <c r="A251" s="87">
        <v>250.0</v>
      </c>
      <c r="B251" s="85" t="s">
        <v>1744</v>
      </c>
      <c r="C251" s="85" t="s">
        <v>317</v>
      </c>
      <c r="D251" s="85" t="s">
        <v>1745</v>
      </c>
      <c r="E251" s="85" t="s">
        <v>1230</v>
      </c>
      <c r="F251" s="85" t="s">
        <v>1464</v>
      </c>
      <c r="G251" s="85" t="s">
        <v>1746</v>
      </c>
      <c r="H251" s="85" t="s">
        <v>1747</v>
      </c>
      <c r="I251" s="85" t="s">
        <v>1417</v>
      </c>
      <c r="J251" s="42">
        <v>20.3</v>
      </c>
      <c r="K251" s="42">
        <v>5.5</v>
      </c>
      <c r="L251" s="42">
        <v>27.1</v>
      </c>
      <c r="M251" s="42">
        <v>10.6</v>
      </c>
      <c r="N251" s="42">
        <v>1.6</v>
      </c>
      <c r="O251" s="42">
        <v>2.3E12</v>
      </c>
      <c r="P251" s="42">
        <v>1.18E11</v>
      </c>
      <c r="Q251" s="42">
        <v>-36.5</v>
      </c>
      <c r="R251" s="42">
        <v>-65.0</v>
      </c>
      <c r="S251" s="42">
        <v>-70.6</v>
      </c>
      <c r="T251" s="42">
        <v>-8.4</v>
      </c>
      <c r="U251" s="42">
        <v>96.8</v>
      </c>
      <c r="V251" s="42">
        <v>-25.4</v>
      </c>
      <c r="W251" s="42">
        <v>-71.6</v>
      </c>
    </row>
    <row r="252">
      <c r="A252" s="87">
        <v>251.0</v>
      </c>
      <c r="B252" s="85" t="s">
        <v>1748</v>
      </c>
      <c r="C252" s="85" t="s">
        <v>318</v>
      </c>
      <c r="D252" s="85" t="s">
        <v>1749</v>
      </c>
      <c r="E252" s="85" t="s">
        <v>1194</v>
      </c>
      <c r="F252" s="85" t="s">
        <v>1346</v>
      </c>
      <c r="G252" s="85" t="s">
        <v>1346</v>
      </c>
      <c r="H252" s="85" t="s">
        <v>1750</v>
      </c>
      <c r="I252" s="85" t="s">
        <v>1352</v>
      </c>
      <c r="J252" s="42">
        <v>30.1</v>
      </c>
      <c r="K252" s="42">
        <v>16.2</v>
      </c>
      <c r="L252" s="42">
        <v>53.8</v>
      </c>
      <c r="M252" s="42">
        <v>7.1</v>
      </c>
      <c r="N252" s="42">
        <v>6.6</v>
      </c>
      <c r="O252" s="42">
        <v>2.6E12</v>
      </c>
      <c r="P252" s="42">
        <v>8.01E11</v>
      </c>
      <c r="Q252" s="42">
        <v>-9.7</v>
      </c>
      <c r="R252" s="42">
        <v>4.8</v>
      </c>
      <c r="S252" s="42">
        <v>-22.6</v>
      </c>
      <c r="T252" s="42">
        <v>3.7</v>
      </c>
      <c r="U252" s="42">
        <v>10.8</v>
      </c>
      <c r="V252" s="42">
        <v>-9.7</v>
      </c>
      <c r="W252" s="42">
        <v>-25.0</v>
      </c>
    </row>
    <row r="253">
      <c r="A253" s="87">
        <v>252.0</v>
      </c>
      <c r="B253" s="85" t="s">
        <v>1751</v>
      </c>
      <c r="C253" s="85" t="s">
        <v>319</v>
      </c>
      <c r="D253" s="85" t="s">
        <v>1375</v>
      </c>
      <c r="E253" s="85" t="s">
        <v>1376</v>
      </c>
      <c r="F253" s="85" t="s">
        <v>1377</v>
      </c>
      <c r="G253" s="85" t="s">
        <v>1378</v>
      </c>
      <c r="H253" s="85" t="s">
        <v>1378</v>
      </c>
      <c r="I253" s="85" t="s">
        <v>1441</v>
      </c>
      <c r="J253" s="42">
        <v>480.0</v>
      </c>
      <c r="K253" s="42">
        <v>110.0</v>
      </c>
      <c r="L253" s="42">
        <v>21.9</v>
      </c>
      <c r="M253" s="42">
        <v>13.2</v>
      </c>
      <c r="N253" s="42">
        <v>0.66</v>
      </c>
      <c r="O253" s="42">
        <v>4.6E14</v>
      </c>
      <c r="P253" s="42">
        <v>8.58E11</v>
      </c>
      <c r="Q253" s="42">
        <v>-18.7</v>
      </c>
      <c r="R253" s="42">
        <v>-19.0</v>
      </c>
      <c r="S253" s="42">
        <v>-29.5</v>
      </c>
      <c r="T253" s="42">
        <v>12.3</v>
      </c>
      <c r="U253" s="42">
        <v>110.0</v>
      </c>
      <c r="V253" s="42">
        <v>-10.5</v>
      </c>
      <c r="W253" s="42">
        <v>-22.7</v>
      </c>
    </row>
    <row r="254">
      <c r="A254" s="87">
        <v>253.0</v>
      </c>
      <c r="B254" s="85" t="s">
        <v>1752</v>
      </c>
      <c r="C254" s="85" t="s">
        <v>320</v>
      </c>
      <c r="D254" s="85" t="s">
        <v>1299</v>
      </c>
      <c r="E254" s="85" t="s">
        <v>1300</v>
      </c>
      <c r="F254" s="85" t="s">
        <v>1301</v>
      </c>
      <c r="G254" s="85" t="s">
        <v>1301</v>
      </c>
      <c r="H254" s="85" t="s">
        <v>1301</v>
      </c>
      <c r="I254" s="85" t="s">
        <v>1753</v>
      </c>
      <c r="J254" s="42">
        <v>0.0</v>
      </c>
      <c r="K254" s="42">
        <v>-0.12</v>
      </c>
      <c r="L254" s="42">
        <v>0.0</v>
      </c>
      <c r="M254" s="42">
        <v>-11.9</v>
      </c>
      <c r="N254" s="42">
        <v>-3.6</v>
      </c>
      <c r="O254" s="42">
        <v>6.88E9</v>
      </c>
      <c r="P254" s="42">
        <v>3.3E10</v>
      </c>
      <c r="Q254" s="42">
        <v>0.0</v>
      </c>
      <c r="R254" s="42">
        <v>0.0</v>
      </c>
      <c r="S254" s="42">
        <v>0.0</v>
      </c>
      <c r="T254" s="42">
        <v>0.0</v>
      </c>
      <c r="U254" s="42">
        <v>-53.8</v>
      </c>
      <c r="V254" s="42">
        <v>0.0</v>
      </c>
      <c r="W254" s="42">
        <v>0.0</v>
      </c>
    </row>
    <row r="255">
      <c r="A255" s="87">
        <v>254.0</v>
      </c>
      <c r="B255" s="85" t="s">
        <v>1754</v>
      </c>
      <c r="C255" s="85" t="s">
        <v>321</v>
      </c>
      <c r="D255" s="85" t="s">
        <v>1755</v>
      </c>
      <c r="E255" s="85" t="s">
        <v>1208</v>
      </c>
      <c r="F255" s="85" t="s">
        <v>1364</v>
      </c>
      <c r="G255" s="85" t="s">
        <v>1364</v>
      </c>
      <c r="H255" s="85" t="s">
        <v>1756</v>
      </c>
      <c r="I255" s="85" t="s">
        <v>1757</v>
      </c>
      <c r="J255" s="42">
        <v>-8.3</v>
      </c>
      <c r="K255" s="42">
        <v>3.4</v>
      </c>
      <c r="L255" s="42">
        <v>-40.4</v>
      </c>
      <c r="M255" s="42">
        <v>-36.1</v>
      </c>
      <c r="N255" s="42">
        <v>0.12</v>
      </c>
      <c r="O255" s="42">
        <v>9.0E10</v>
      </c>
      <c r="P255" s="42">
        <v>1.33E9</v>
      </c>
      <c r="Q255" s="42">
        <v>-48.0</v>
      </c>
      <c r="R255" s="42">
        <v>16.5</v>
      </c>
      <c r="S255" s="42">
        <v>-46.2</v>
      </c>
      <c r="T255" s="42">
        <v>-93.7</v>
      </c>
      <c r="U255" s="42">
        <v>-810.0</v>
      </c>
      <c r="V255" s="42">
        <v>-28.7</v>
      </c>
      <c r="W255" s="42">
        <v>-71.8</v>
      </c>
    </row>
    <row r="256">
      <c r="A256" s="87">
        <v>255.0</v>
      </c>
      <c r="B256" s="85" t="s">
        <v>1758</v>
      </c>
      <c r="C256" s="85" t="s">
        <v>322</v>
      </c>
      <c r="D256" s="85" t="s">
        <v>1218</v>
      </c>
      <c r="E256" s="85" t="s">
        <v>1201</v>
      </c>
      <c r="F256" s="85" t="s">
        <v>1219</v>
      </c>
      <c r="G256" s="85" t="s">
        <v>1220</v>
      </c>
      <c r="H256" s="85" t="s">
        <v>1221</v>
      </c>
      <c r="I256" s="85" t="s">
        <v>1381</v>
      </c>
      <c r="J256" s="42">
        <v>22.7</v>
      </c>
      <c r="K256" s="42">
        <v>1.2</v>
      </c>
      <c r="L256" s="42">
        <v>5.5</v>
      </c>
      <c r="M256" s="42">
        <v>3.3</v>
      </c>
      <c r="N256" s="42">
        <v>0.67</v>
      </c>
      <c r="O256" s="42">
        <v>1.7E12</v>
      </c>
      <c r="P256" s="42">
        <v>6.4E11</v>
      </c>
      <c r="Q256" s="42">
        <v>-20.4</v>
      </c>
      <c r="R256" s="42">
        <v>11.4</v>
      </c>
      <c r="S256" s="42">
        <v>-10.0</v>
      </c>
      <c r="T256" s="42">
        <v>1.7</v>
      </c>
      <c r="U256" s="42">
        <v>11.7</v>
      </c>
      <c r="V256" s="42">
        <v>-5.6</v>
      </c>
      <c r="W256" s="42">
        <v>-11.4</v>
      </c>
    </row>
    <row r="257">
      <c r="A257" s="87">
        <v>256.0</v>
      </c>
      <c r="B257" s="85" t="s">
        <v>1759</v>
      </c>
      <c r="C257" s="85" t="s">
        <v>323</v>
      </c>
      <c r="D257" s="85" t="s">
        <v>1397</v>
      </c>
      <c r="E257" s="85" t="s">
        <v>1187</v>
      </c>
      <c r="F257" s="85" t="s">
        <v>1188</v>
      </c>
      <c r="G257" s="85" t="s">
        <v>1359</v>
      </c>
      <c r="H257" s="85" t="s">
        <v>1398</v>
      </c>
      <c r="I257" s="85" t="s">
        <v>1760</v>
      </c>
      <c r="J257" s="42">
        <v>3.1</v>
      </c>
      <c r="K257" s="42">
        <v>1.7</v>
      </c>
      <c r="L257" s="42">
        <v>54.9</v>
      </c>
      <c r="M257" s="42">
        <v>27.2</v>
      </c>
      <c r="N257" s="42">
        <v>1.0</v>
      </c>
      <c r="O257" s="42">
        <v>1.36E13</v>
      </c>
      <c r="P257" s="42">
        <v>1.5E12</v>
      </c>
      <c r="Q257" s="42">
        <v>-46.6</v>
      </c>
      <c r="R257" s="42">
        <v>-39.0</v>
      </c>
      <c r="S257" s="42">
        <v>-45.4</v>
      </c>
      <c r="T257" s="42">
        <v>35.9</v>
      </c>
      <c r="U257" s="42">
        <v>280.0</v>
      </c>
      <c r="V257" s="42">
        <v>-25.1</v>
      </c>
      <c r="W257" s="42">
        <v>-66.7</v>
      </c>
    </row>
    <row r="258">
      <c r="A258" s="87">
        <v>257.0</v>
      </c>
      <c r="B258" s="85" t="s">
        <v>1761</v>
      </c>
      <c r="C258" s="85" t="s">
        <v>324</v>
      </c>
      <c r="D258" s="85" t="s">
        <v>1267</v>
      </c>
      <c r="E258" s="85" t="s">
        <v>1194</v>
      </c>
      <c r="F258" s="85" t="s">
        <v>1195</v>
      </c>
      <c r="G258" s="85" t="s">
        <v>1196</v>
      </c>
      <c r="H258" s="85" t="s">
        <v>1268</v>
      </c>
      <c r="I258" s="85" t="s">
        <v>1269</v>
      </c>
      <c r="J258" s="42">
        <v>28.3</v>
      </c>
      <c r="K258" s="42">
        <v>1.4</v>
      </c>
      <c r="L258" s="42">
        <v>5.0</v>
      </c>
      <c r="M258" s="42">
        <v>4.2</v>
      </c>
      <c r="N258" s="42">
        <v>0.19</v>
      </c>
      <c r="O258" s="42">
        <v>2.34E11</v>
      </c>
      <c r="P258" s="42">
        <v>2.4E10</v>
      </c>
      <c r="Q258" s="42">
        <v>-14.3</v>
      </c>
      <c r="R258" s="42">
        <v>-12.2</v>
      </c>
      <c r="S258" s="42">
        <v>-26.0</v>
      </c>
      <c r="T258" s="42">
        <v>14.9</v>
      </c>
      <c r="U258" s="42">
        <v>33.8</v>
      </c>
      <c r="V258" s="42">
        <v>-7.7</v>
      </c>
      <c r="W258" s="42">
        <v>-27.5</v>
      </c>
    </row>
    <row r="259">
      <c r="A259" s="87">
        <v>258.0</v>
      </c>
      <c r="B259" s="85" t="s">
        <v>1762</v>
      </c>
      <c r="C259" s="85" t="s">
        <v>325</v>
      </c>
      <c r="D259" s="85" t="s">
        <v>1285</v>
      </c>
      <c r="E259" s="85" t="s">
        <v>1201</v>
      </c>
      <c r="F259" s="85" t="s">
        <v>1286</v>
      </c>
      <c r="G259" s="85" t="s">
        <v>1287</v>
      </c>
      <c r="H259" s="85" t="s">
        <v>1288</v>
      </c>
      <c r="I259" s="85" t="s">
        <v>1227</v>
      </c>
      <c r="J259" s="42">
        <v>-28.4</v>
      </c>
      <c r="K259" s="42">
        <v>27.2</v>
      </c>
      <c r="L259" s="42">
        <v>-95.8</v>
      </c>
      <c r="M259" s="42">
        <v>-3.2</v>
      </c>
      <c r="N259" s="42">
        <v>29.0</v>
      </c>
      <c r="O259" s="42">
        <v>2.03E11</v>
      </c>
      <c r="P259" s="42">
        <v>1.4E10</v>
      </c>
      <c r="Q259" s="42">
        <v>-32.1</v>
      </c>
      <c r="R259" s="42">
        <v>13.1</v>
      </c>
      <c r="S259" s="42">
        <v>2.2</v>
      </c>
      <c r="T259" s="42">
        <v>90.0</v>
      </c>
      <c r="U259" s="42">
        <v>-52.9</v>
      </c>
      <c r="V259" s="42">
        <v>-11.2</v>
      </c>
      <c r="W259" s="42">
        <v>-17.4</v>
      </c>
    </row>
    <row r="260">
      <c r="A260" s="87">
        <v>259.0</v>
      </c>
      <c r="B260" s="85" t="s">
        <v>1763</v>
      </c>
      <c r="C260" s="85" t="s">
        <v>326</v>
      </c>
      <c r="D260" s="85" t="s">
        <v>1229</v>
      </c>
      <c r="E260" s="85" t="s">
        <v>1230</v>
      </c>
      <c r="F260" s="85" t="s">
        <v>1231</v>
      </c>
      <c r="G260" s="85" t="s">
        <v>1231</v>
      </c>
      <c r="H260" s="85" t="s">
        <v>1231</v>
      </c>
      <c r="I260" s="85" t="s">
        <v>1764</v>
      </c>
      <c r="J260" s="42">
        <v>13.7</v>
      </c>
      <c r="K260" s="42">
        <v>0.98</v>
      </c>
      <c r="L260" s="42">
        <v>7.2</v>
      </c>
      <c r="M260" s="42">
        <v>3.4</v>
      </c>
      <c r="N260" s="42">
        <v>1.1</v>
      </c>
      <c r="O260" s="42">
        <v>7.31E11</v>
      </c>
      <c r="P260" s="42">
        <v>2.3E11</v>
      </c>
      <c r="Q260" s="42">
        <v>-15.8</v>
      </c>
      <c r="R260" s="42">
        <v>-1.7</v>
      </c>
      <c r="S260" s="42">
        <v>-9.3</v>
      </c>
      <c r="T260" s="42">
        <v>64.8</v>
      </c>
      <c r="U260" s="42">
        <v>23.2</v>
      </c>
      <c r="V260" s="42">
        <v>-11.4</v>
      </c>
      <c r="W260" s="42">
        <v>-38.1</v>
      </c>
    </row>
    <row r="261">
      <c r="A261" s="87">
        <v>260.0</v>
      </c>
      <c r="B261" s="85" t="s">
        <v>1765</v>
      </c>
      <c r="C261" s="85" t="s">
        <v>327</v>
      </c>
      <c r="D261" s="85" t="s">
        <v>1569</v>
      </c>
      <c r="E261" s="85" t="s">
        <v>1570</v>
      </c>
      <c r="F261" s="85" t="s">
        <v>1571</v>
      </c>
      <c r="G261" s="85" t="s">
        <v>1572</v>
      </c>
      <c r="H261" s="85" t="s">
        <v>1572</v>
      </c>
      <c r="I261" s="85" t="s">
        <v>1685</v>
      </c>
      <c r="J261" s="42">
        <v>89.5</v>
      </c>
      <c r="K261" s="42">
        <v>1.5</v>
      </c>
      <c r="L261" s="42">
        <v>1.7</v>
      </c>
      <c r="M261" s="42">
        <v>1.1</v>
      </c>
      <c r="N261" s="42">
        <v>0.57</v>
      </c>
      <c r="O261" s="42">
        <v>2.99E11</v>
      </c>
      <c r="P261" s="42">
        <v>4.2E10</v>
      </c>
      <c r="Q261" s="42">
        <v>-23.4</v>
      </c>
      <c r="R261" s="42">
        <v>-35.2</v>
      </c>
      <c r="S261" s="42">
        <v>11.1</v>
      </c>
      <c r="T261" s="42">
        <v>31.3</v>
      </c>
      <c r="U261" s="42">
        <v>8.0</v>
      </c>
      <c r="V261" s="42">
        <v>-6.3</v>
      </c>
      <c r="W261" s="42">
        <v>12.9</v>
      </c>
    </row>
    <row r="262">
      <c r="A262" s="87">
        <v>261.0</v>
      </c>
      <c r="B262" s="85" t="s">
        <v>1766</v>
      </c>
      <c r="C262" s="85" t="s">
        <v>328</v>
      </c>
      <c r="D262" s="85" t="s">
        <v>1767</v>
      </c>
      <c r="E262" s="85" t="s">
        <v>1252</v>
      </c>
      <c r="F262" s="85" t="s">
        <v>1252</v>
      </c>
      <c r="G262" s="85" t="s">
        <v>1253</v>
      </c>
      <c r="H262" s="85" t="s">
        <v>1768</v>
      </c>
      <c r="I262" s="85" t="s">
        <v>1306</v>
      </c>
      <c r="J262" s="42">
        <v>8.1</v>
      </c>
      <c r="K262" s="42">
        <v>1.7</v>
      </c>
      <c r="L262" s="42">
        <v>21.2</v>
      </c>
      <c r="M262" s="42">
        <v>6.1</v>
      </c>
      <c r="N262" s="42">
        <v>2.5</v>
      </c>
      <c r="O262" s="42">
        <v>2.0E12</v>
      </c>
      <c r="P262" s="42">
        <v>1.1E12</v>
      </c>
      <c r="Q262" s="42">
        <v>-20.5</v>
      </c>
      <c r="R262" s="42">
        <v>-25.5</v>
      </c>
      <c r="S262" s="42">
        <v>-28.2</v>
      </c>
      <c r="T262" s="42">
        <v>-40.9</v>
      </c>
      <c r="U262" s="42">
        <v>22.0</v>
      </c>
      <c r="V262" s="42">
        <v>-8.5</v>
      </c>
      <c r="W262" s="42">
        <v>-25.9</v>
      </c>
    </row>
    <row r="263">
      <c r="A263" s="87">
        <v>262.0</v>
      </c>
      <c r="B263" s="85" t="s">
        <v>1769</v>
      </c>
      <c r="C263" s="85" t="s">
        <v>329</v>
      </c>
      <c r="D263" s="85" t="s">
        <v>1200</v>
      </c>
      <c r="E263" s="85" t="s">
        <v>1201</v>
      </c>
      <c r="F263" s="85" t="s">
        <v>1202</v>
      </c>
      <c r="G263" s="85" t="s">
        <v>1203</v>
      </c>
      <c r="H263" s="85" t="s">
        <v>1204</v>
      </c>
      <c r="I263" s="85" t="s">
        <v>1205</v>
      </c>
      <c r="J263" s="42">
        <v>22.1</v>
      </c>
      <c r="K263" s="42">
        <v>-8.2</v>
      </c>
      <c r="L263" s="42">
        <v>0.0</v>
      </c>
      <c r="M263" s="42">
        <v>17.5</v>
      </c>
      <c r="N263" s="42">
        <v>-3.1</v>
      </c>
      <c r="O263" s="42">
        <v>5.9E10</v>
      </c>
      <c r="P263" s="42">
        <v>7.79E9</v>
      </c>
      <c r="Q263" s="42">
        <v>-25.0</v>
      </c>
      <c r="R263" s="42">
        <v>-6.3</v>
      </c>
      <c r="S263" s="42">
        <v>-23.1</v>
      </c>
      <c r="T263" s="42">
        <v>57.9</v>
      </c>
      <c r="U263" s="42">
        <v>34.0</v>
      </c>
      <c r="V263" s="42">
        <v>-16.7</v>
      </c>
      <c r="W263" s="42">
        <v>-11.8</v>
      </c>
    </row>
    <row r="264">
      <c r="A264" s="87">
        <v>263.0</v>
      </c>
      <c r="B264" s="85" t="s">
        <v>1770</v>
      </c>
      <c r="C264" s="85" t="s">
        <v>330</v>
      </c>
      <c r="D264" s="85" t="s">
        <v>1234</v>
      </c>
      <c r="E264" s="85" t="s">
        <v>1235</v>
      </c>
      <c r="F264" s="85" t="s">
        <v>1235</v>
      </c>
      <c r="G264" s="85" t="s">
        <v>1236</v>
      </c>
      <c r="H264" s="85" t="s">
        <v>1237</v>
      </c>
      <c r="I264" s="85" t="s">
        <v>1369</v>
      </c>
      <c r="J264" s="42">
        <v>22.2</v>
      </c>
      <c r="K264" s="42">
        <v>0.18</v>
      </c>
      <c r="L264" s="42">
        <v>0.83</v>
      </c>
      <c r="M264" s="42">
        <v>0.43</v>
      </c>
      <c r="N264" s="42">
        <v>0.91</v>
      </c>
      <c r="O264" s="42">
        <v>1.2E12</v>
      </c>
      <c r="P264" s="42">
        <v>6.2E11</v>
      </c>
      <c r="Q264" s="42">
        <v>-14.3</v>
      </c>
      <c r="R264" s="42">
        <v>-12.9</v>
      </c>
      <c r="S264" s="42">
        <v>-21.2</v>
      </c>
      <c r="T264" s="42">
        <v>-21.2</v>
      </c>
      <c r="U264" s="42">
        <v>9.1</v>
      </c>
      <c r="V264" s="42">
        <v>-9.2</v>
      </c>
      <c r="W264" s="42">
        <v>-23.4</v>
      </c>
    </row>
    <row r="265">
      <c r="A265" s="87">
        <v>264.0</v>
      </c>
      <c r="B265" s="85" t="s">
        <v>1771</v>
      </c>
      <c r="C265" s="85" t="s">
        <v>331</v>
      </c>
      <c r="D265" s="85" t="s">
        <v>1439</v>
      </c>
      <c r="E265" s="85" t="s">
        <v>1376</v>
      </c>
      <c r="F265" s="85" t="s">
        <v>1377</v>
      </c>
      <c r="G265" s="85" t="s">
        <v>1440</v>
      </c>
      <c r="H265" s="85" t="s">
        <v>1440</v>
      </c>
      <c r="I265" s="85" t="s">
        <v>1441</v>
      </c>
      <c r="J265" s="42">
        <v>130.0</v>
      </c>
      <c r="K265" s="42">
        <v>0.27</v>
      </c>
      <c r="L265" s="42">
        <v>0.2</v>
      </c>
      <c r="M265" s="42">
        <v>0.18</v>
      </c>
      <c r="N265" s="42">
        <v>0.13</v>
      </c>
      <c r="O265" s="42">
        <v>1.84E11</v>
      </c>
      <c r="P265" s="42">
        <v>7.16E11</v>
      </c>
      <c r="Q265" s="42">
        <v>-43.8</v>
      </c>
      <c r="R265" s="42">
        <v>-33.1</v>
      </c>
      <c r="S265" s="42">
        <v>-51.9</v>
      </c>
      <c r="T265" s="42">
        <v>-16.5</v>
      </c>
      <c r="U265" s="42">
        <v>0.19</v>
      </c>
      <c r="V265" s="42">
        <v>-28.9</v>
      </c>
      <c r="W265" s="42">
        <v>-47.1</v>
      </c>
    </row>
    <row r="266">
      <c r="A266" s="87">
        <v>265.0</v>
      </c>
      <c r="B266" s="85" t="s">
        <v>1772</v>
      </c>
      <c r="C266" s="85" t="s">
        <v>332</v>
      </c>
      <c r="D266" s="85" t="s">
        <v>1354</v>
      </c>
      <c r="E266" s="85" t="s">
        <v>1252</v>
      </c>
      <c r="F266" s="85" t="s">
        <v>1252</v>
      </c>
      <c r="G266" s="85" t="s">
        <v>1313</v>
      </c>
      <c r="H266" s="85" t="s">
        <v>1355</v>
      </c>
      <c r="I266" s="85" t="s">
        <v>1306</v>
      </c>
      <c r="J266" s="42">
        <v>5.9</v>
      </c>
      <c r="K266" s="42">
        <v>2.7</v>
      </c>
      <c r="L266" s="42">
        <v>46.0</v>
      </c>
      <c r="M266" s="42">
        <v>21.9</v>
      </c>
      <c r="N266" s="42">
        <v>1.1</v>
      </c>
      <c r="O266" s="42">
        <v>4.0E12</v>
      </c>
      <c r="P266" s="42">
        <v>5.06E11</v>
      </c>
      <c r="Q266" s="42">
        <v>-29.2</v>
      </c>
      <c r="R266" s="42">
        <v>-24.3</v>
      </c>
      <c r="S266" s="42">
        <v>-22.7</v>
      </c>
      <c r="T266" s="42">
        <v>31.6</v>
      </c>
      <c r="U266" s="42">
        <v>130.0</v>
      </c>
      <c r="V266" s="42">
        <v>-19.9</v>
      </c>
      <c r="W266" s="42">
        <v>-29.7</v>
      </c>
    </row>
    <row r="267">
      <c r="A267" s="87">
        <v>266.0</v>
      </c>
      <c r="B267" s="85" t="s">
        <v>1773</v>
      </c>
      <c r="C267" s="85" t="s">
        <v>333</v>
      </c>
      <c r="D267" s="85" t="s">
        <v>1569</v>
      </c>
      <c r="E267" s="85" t="s">
        <v>1570</v>
      </c>
      <c r="F267" s="85" t="s">
        <v>1571</v>
      </c>
      <c r="G267" s="85" t="s">
        <v>1572</v>
      </c>
      <c r="H267" s="85" t="s">
        <v>1572</v>
      </c>
      <c r="I267" s="85" t="s">
        <v>1685</v>
      </c>
      <c r="J267" s="42">
        <v>31.1</v>
      </c>
      <c r="K267" s="42">
        <v>0.77</v>
      </c>
      <c r="L267" s="42">
        <v>2.5</v>
      </c>
      <c r="M267" s="42">
        <v>1.6</v>
      </c>
      <c r="N267" s="42">
        <v>0.52</v>
      </c>
      <c r="O267" s="42">
        <v>1.61E11</v>
      </c>
      <c r="P267" s="42">
        <v>3.8E10</v>
      </c>
      <c r="Q267" s="42">
        <v>-42.7</v>
      </c>
      <c r="R267" s="42">
        <v>-17.7</v>
      </c>
      <c r="S267" s="42">
        <v>-45.7</v>
      </c>
      <c r="T267" s="42">
        <v>-29.2</v>
      </c>
      <c r="U267" s="42">
        <v>13.8</v>
      </c>
      <c r="V267" s="42">
        <v>-19.0</v>
      </c>
      <c r="W267" s="42">
        <v>-36.3</v>
      </c>
    </row>
    <row r="268">
      <c r="A268" s="87">
        <v>267.0</v>
      </c>
      <c r="B268" s="85" t="s">
        <v>1774</v>
      </c>
      <c r="C268" s="85" t="s">
        <v>334</v>
      </c>
      <c r="D268" s="85" t="s">
        <v>1512</v>
      </c>
      <c r="E268" s="85" t="s">
        <v>1194</v>
      </c>
      <c r="F268" s="85" t="s">
        <v>1195</v>
      </c>
      <c r="G268" s="85" t="s">
        <v>1241</v>
      </c>
      <c r="H268" s="85" t="s">
        <v>1513</v>
      </c>
      <c r="I268" s="85" t="s">
        <v>1641</v>
      </c>
      <c r="J268" s="42">
        <v>10.3</v>
      </c>
      <c r="K268" s="42">
        <v>2.0</v>
      </c>
      <c r="L268" s="42">
        <v>19.2</v>
      </c>
      <c r="M268" s="42">
        <v>13.0</v>
      </c>
      <c r="N268" s="42">
        <v>0.48</v>
      </c>
      <c r="O268" s="42">
        <v>1.6E12</v>
      </c>
      <c r="P268" s="42">
        <v>1.69E11</v>
      </c>
      <c r="Q268" s="42">
        <v>-8.5</v>
      </c>
      <c r="R268" s="42">
        <v>-5.2</v>
      </c>
      <c r="S268" s="42">
        <v>-11.2</v>
      </c>
      <c r="T268" s="42">
        <v>-17.2</v>
      </c>
      <c r="U268" s="42">
        <v>90.0</v>
      </c>
      <c r="V268" s="42">
        <v>-5.9</v>
      </c>
      <c r="W268" s="42">
        <v>-9.0</v>
      </c>
    </row>
    <row r="269">
      <c r="A269" s="87">
        <v>268.0</v>
      </c>
      <c r="B269" s="85" t="s">
        <v>1775</v>
      </c>
      <c r="C269" s="85" t="s">
        <v>335</v>
      </c>
      <c r="D269" s="85" t="s">
        <v>1234</v>
      </c>
      <c r="E269" s="85" t="s">
        <v>1235</v>
      </c>
      <c r="F269" s="85" t="s">
        <v>1235</v>
      </c>
      <c r="G269" s="85" t="s">
        <v>1236</v>
      </c>
      <c r="H269" s="85" t="s">
        <v>1237</v>
      </c>
      <c r="I269" s="85" t="s">
        <v>1369</v>
      </c>
      <c r="J269" s="42">
        <v>6.0</v>
      </c>
      <c r="K269" s="42">
        <v>1.0</v>
      </c>
      <c r="L269" s="42">
        <v>17.0</v>
      </c>
      <c r="M269" s="42">
        <v>15.6</v>
      </c>
      <c r="N269" s="42">
        <v>0.09</v>
      </c>
      <c r="O269" s="42">
        <v>7.5E12</v>
      </c>
      <c r="P269" s="42">
        <v>1.1E12</v>
      </c>
      <c r="Q269" s="42">
        <v>-5.3</v>
      </c>
      <c r="R269" s="42">
        <v>8.4</v>
      </c>
      <c r="S269" s="42">
        <v>7.6</v>
      </c>
      <c r="T269" s="42">
        <v>2.2</v>
      </c>
      <c r="U269" s="42">
        <v>120.0</v>
      </c>
      <c r="V269" s="42">
        <v>-10.7</v>
      </c>
      <c r="W269" s="42">
        <v>10.1</v>
      </c>
    </row>
    <row r="270">
      <c r="A270" s="87">
        <v>269.0</v>
      </c>
      <c r="B270" s="85" t="s">
        <v>1776</v>
      </c>
      <c r="C270" s="85" t="s">
        <v>336</v>
      </c>
      <c r="D270" s="85" t="s">
        <v>1375</v>
      </c>
      <c r="E270" s="85" t="s">
        <v>1376</v>
      </c>
      <c r="F270" s="85" t="s">
        <v>1377</v>
      </c>
      <c r="G270" s="85" t="s">
        <v>1378</v>
      </c>
      <c r="H270" s="85" t="s">
        <v>1378</v>
      </c>
      <c r="I270" s="85" t="s">
        <v>1379</v>
      </c>
      <c r="J270" s="42">
        <v>22.4</v>
      </c>
      <c r="K270" s="42">
        <v>2.0</v>
      </c>
      <c r="L270" s="42">
        <v>8.7</v>
      </c>
      <c r="M270" s="42">
        <v>7.0</v>
      </c>
      <c r="N270" s="42">
        <v>0.25</v>
      </c>
      <c r="O270" s="42">
        <v>1.3E12</v>
      </c>
      <c r="P270" s="42">
        <v>7.5E10</v>
      </c>
      <c r="Q270" s="42">
        <v>-38.6</v>
      </c>
      <c r="R270" s="42">
        <v>-39.2</v>
      </c>
      <c r="S270" s="42">
        <v>-63.5</v>
      </c>
      <c r="T270" s="42">
        <v>-65.6</v>
      </c>
      <c r="U270" s="42">
        <v>79.9</v>
      </c>
      <c r="V270" s="42">
        <v>-22.9</v>
      </c>
      <c r="W270" s="42">
        <v>-64.3</v>
      </c>
    </row>
    <row r="271">
      <c r="A271" s="87">
        <v>270.0</v>
      </c>
      <c r="B271" s="85" t="s">
        <v>1777</v>
      </c>
      <c r="C271" s="85" t="s">
        <v>337</v>
      </c>
      <c r="D271" s="85" t="s">
        <v>1626</v>
      </c>
      <c r="E271" s="85" t="s">
        <v>1194</v>
      </c>
      <c r="F271" s="85" t="s">
        <v>1346</v>
      </c>
      <c r="G271" s="85" t="s">
        <v>1346</v>
      </c>
      <c r="H271" s="85" t="s">
        <v>1627</v>
      </c>
      <c r="I271" s="85" t="s">
        <v>1243</v>
      </c>
      <c r="J271" s="42">
        <v>12.8</v>
      </c>
      <c r="K271" s="42">
        <v>0.87</v>
      </c>
      <c r="L271" s="42">
        <v>6.8</v>
      </c>
      <c r="M271" s="42">
        <v>5.4</v>
      </c>
      <c r="N271" s="42">
        <v>0.25</v>
      </c>
      <c r="O271" s="42">
        <v>5.8E12</v>
      </c>
      <c r="P271" s="42">
        <v>3.1E12</v>
      </c>
      <c r="Q271" s="42">
        <v>-12.7</v>
      </c>
      <c r="R271" s="42">
        <v>-14.7</v>
      </c>
      <c r="S271" s="42">
        <v>-12.7</v>
      </c>
      <c r="T271" s="42">
        <v>-27.6</v>
      </c>
      <c r="U271" s="42">
        <v>14.3</v>
      </c>
      <c r="V271" s="42">
        <v>-8.3</v>
      </c>
      <c r="W271" s="42">
        <v>-25.2</v>
      </c>
    </row>
    <row r="272">
      <c r="A272" s="87">
        <v>271.0</v>
      </c>
      <c r="B272" s="85" t="s">
        <v>1778</v>
      </c>
      <c r="C272" s="85" t="s">
        <v>338</v>
      </c>
      <c r="D272" s="85" t="s">
        <v>1273</v>
      </c>
      <c r="E272" s="85" t="s">
        <v>1208</v>
      </c>
      <c r="F272" s="85" t="s">
        <v>1274</v>
      </c>
      <c r="G272" s="85" t="s">
        <v>1274</v>
      </c>
      <c r="H272" s="85" t="s">
        <v>1274</v>
      </c>
      <c r="I272" s="85" t="s">
        <v>1211</v>
      </c>
      <c r="J272" s="42">
        <v>10.4</v>
      </c>
      <c r="K272" s="42">
        <v>0.53</v>
      </c>
      <c r="L272" s="42">
        <v>5.0</v>
      </c>
      <c r="M272" s="42">
        <v>1.4</v>
      </c>
      <c r="N272" s="42">
        <v>2.6</v>
      </c>
      <c r="O272" s="42">
        <v>2.0E12</v>
      </c>
      <c r="P272" s="42">
        <v>3.26E11</v>
      </c>
      <c r="Q272" s="42">
        <v>-35.7</v>
      </c>
      <c r="R272" s="42">
        <v>-31.8</v>
      </c>
      <c r="S272" s="42">
        <v>-60.2</v>
      </c>
      <c r="T272" s="42">
        <v>-16.7</v>
      </c>
      <c r="U272" s="42">
        <v>59.5</v>
      </c>
      <c r="V272" s="42">
        <v>-25.0</v>
      </c>
      <c r="W272" s="42">
        <v>-51.6</v>
      </c>
    </row>
    <row r="273">
      <c r="A273" s="87">
        <v>272.0</v>
      </c>
      <c r="B273" s="85" t="s">
        <v>1779</v>
      </c>
      <c r="C273" s="85" t="s">
        <v>339</v>
      </c>
      <c r="D273" s="85" t="s">
        <v>1755</v>
      </c>
      <c r="E273" s="85" t="s">
        <v>1208</v>
      </c>
      <c r="F273" s="85" t="s">
        <v>1364</v>
      </c>
      <c r="G273" s="85" t="s">
        <v>1364</v>
      </c>
      <c r="H273" s="85" t="s">
        <v>1756</v>
      </c>
      <c r="I273" s="85" t="s">
        <v>1585</v>
      </c>
      <c r="J273" s="42">
        <v>120.0</v>
      </c>
      <c r="K273" s="42">
        <v>9.9</v>
      </c>
      <c r="L273" s="42">
        <v>8.2</v>
      </c>
      <c r="M273" s="42">
        <v>5.4</v>
      </c>
      <c r="N273" s="42">
        <v>0.51</v>
      </c>
      <c r="O273" s="42">
        <v>1.6E14</v>
      </c>
      <c r="P273" s="42">
        <v>4.25E11</v>
      </c>
      <c r="Q273" s="42">
        <v>5.9</v>
      </c>
      <c r="R273" s="42">
        <v>12.7</v>
      </c>
      <c r="S273" s="42">
        <v>10.6</v>
      </c>
      <c r="T273" s="42">
        <v>2.6</v>
      </c>
      <c r="U273" s="42">
        <v>300.0</v>
      </c>
      <c r="V273" s="42">
        <v>0.505</v>
      </c>
      <c r="W273" s="42">
        <v>10.6</v>
      </c>
    </row>
    <row r="274">
      <c r="A274" s="87">
        <v>273.0</v>
      </c>
      <c r="B274" s="85" t="s">
        <v>1780</v>
      </c>
      <c r="C274" s="85" t="s">
        <v>340</v>
      </c>
      <c r="D274" s="85" t="s">
        <v>1397</v>
      </c>
      <c r="E274" s="85" t="s">
        <v>1187</v>
      </c>
      <c r="F274" s="85" t="s">
        <v>1188</v>
      </c>
      <c r="G274" s="85" t="s">
        <v>1359</v>
      </c>
      <c r="H274" s="85" t="s">
        <v>1398</v>
      </c>
      <c r="I274" s="85" t="s">
        <v>1540</v>
      </c>
      <c r="J274" s="42">
        <v>-1.3</v>
      </c>
      <c r="K274" s="42">
        <v>3.7</v>
      </c>
      <c r="L274" s="42">
        <v>-300.0</v>
      </c>
      <c r="M274" s="42">
        <v>-5.1</v>
      </c>
      <c r="N274" s="42">
        <v>57.8</v>
      </c>
      <c r="O274" s="42">
        <v>1.6E12</v>
      </c>
      <c r="P274" s="42">
        <v>5.4E12</v>
      </c>
      <c r="Q274" s="42">
        <v>-19.1</v>
      </c>
      <c r="R274" s="42">
        <v>-31.3</v>
      </c>
      <c r="S274" s="42">
        <v>-39.2</v>
      </c>
      <c r="T274" s="42">
        <v>-60.2</v>
      </c>
      <c r="U274" s="42">
        <v>-23.6</v>
      </c>
      <c r="V274" s="42">
        <v>-8.2</v>
      </c>
      <c r="W274" s="42">
        <v>-40.3</v>
      </c>
    </row>
    <row r="275">
      <c r="A275" s="87">
        <v>274.0</v>
      </c>
      <c r="B275" s="85" t="s">
        <v>1781</v>
      </c>
      <c r="C275" s="85" t="s">
        <v>341</v>
      </c>
      <c r="D275" s="85" t="s">
        <v>1782</v>
      </c>
      <c r="E275" s="85" t="s">
        <v>1201</v>
      </c>
      <c r="F275" s="85" t="s">
        <v>1202</v>
      </c>
      <c r="G275" s="85" t="s">
        <v>1203</v>
      </c>
      <c r="H275" s="85" t="s">
        <v>1783</v>
      </c>
      <c r="I275" s="85" t="s">
        <v>1381</v>
      </c>
      <c r="J275" s="42">
        <v>43.1</v>
      </c>
      <c r="K275" s="42">
        <v>4.3</v>
      </c>
      <c r="L275" s="42">
        <v>10.1</v>
      </c>
      <c r="M275" s="42">
        <v>8.3</v>
      </c>
      <c r="N275" s="42">
        <v>0.22</v>
      </c>
      <c r="O275" s="42">
        <v>1.1E12</v>
      </c>
      <c r="P275" s="42">
        <v>3.1E10</v>
      </c>
      <c r="Q275" s="42">
        <v>-37.6</v>
      </c>
      <c r="R275" s="42">
        <v>-26.9</v>
      </c>
      <c r="S275" s="42">
        <v>-64.5</v>
      </c>
      <c r="T275" s="42">
        <v>-2.0</v>
      </c>
      <c r="U275" s="42">
        <v>83.6</v>
      </c>
      <c r="V275" s="42">
        <v>-31.0</v>
      </c>
      <c r="W275" s="42">
        <v>-66.4</v>
      </c>
    </row>
    <row r="276">
      <c r="A276" s="87">
        <v>275.0</v>
      </c>
      <c r="B276" s="85" t="s">
        <v>1784</v>
      </c>
      <c r="C276" s="85" t="s">
        <v>342</v>
      </c>
      <c r="D276" s="85" t="s">
        <v>1785</v>
      </c>
      <c r="E276" s="85" t="s">
        <v>1201</v>
      </c>
      <c r="F276" s="85" t="s">
        <v>1532</v>
      </c>
      <c r="G276" s="85" t="s">
        <v>1786</v>
      </c>
      <c r="H276" s="85" t="s">
        <v>1786</v>
      </c>
      <c r="I276" s="85" t="s">
        <v>1458</v>
      </c>
      <c r="J276" s="42">
        <v>5.5</v>
      </c>
      <c r="K276" s="42">
        <v>1.1</v>
      </c>
      <c r="L276" s="42">
        <v>19.2</v>
      </c>
      <c r="M276" s="42">
        <v>13.1</v>
      </c>
      <c r="N276" s="42">
        <v>0.46</v>
      </c>
      <c r="O276" s="42">
        <v>2.19E11</v>
      </c>
      <c r="P276" s="42">
        <v>2.86E11</v>
      </c>
      <c r="Q276" s="42">
        <v>-19.9</v>
      </c>
      <c r="R276" s="42">
        <v>-18.8</v>
      </c>
      <c r="S276" s="42">
        <v>-55.8</v>
      </c>
      <c r="T276" s="42">
        <v>-21.4</v>
      </c>
      <c r="U276" s="42">
        <v>14.0</v>
      </c>
      <c r="V276" s="42">
        <v>-12.3</v>
      </c>
      <c r="W276" s="42">
        <v>-49.2</v>
      </c>
    </row>
    <row r="277">
      <c r="A277" s="87">
        <v>276.0</v>
      </c>
      <c r="B277" s="85" t="s">
        <v>1787</v>
      </c>
      <c r="C277" s="85" t="s">
        <v>343</v>
      </c>
      <c r="D277" s="85" t="s">
        <v>1291</v>
      </c>
      <c r="E277" s="85" t="s">
        <v>1252</v>
      </c>
      <c r="F277" s="85" t="s">
        <v>1252</v>
      </c>
      <c r="G277" s="85" t="s">
        <v>1253</v>
      </c>
      <c r="H277" s="85" t="s">
        <v>1292</v>
      </c>
      <c r="I277" s="85" t="s">
        <v>1422</v>
      </c>
      <c r="J277" s="42">
        <v>170.0</v>
      </c>
      <c r="K277" s="42">
        <v>0.3</v>
      </c>
      <c r="L277" s="42">
        <v>0.18</v>
      </c>
      <c r="M277" s="42">
        <v>0.17</v>
      </c>
      <c r="N277" s="42">
        <v>0.02</v>
      </c>
      <c r="O277" s="42">
        <v>1.03E11</v>
      </c>
      <c r="P277" s="42">
        <v>1.3E10</v>
      </c>
      <c r="Q277" s="42">
        <v>0.0</v>
      </c>
      <c r="R277" s="42">
        <v>0.0</v>
      </c>
      <c r="S277" s="42">
        <v>0.0</v>
      </c>
      <c r="T277" s="42">
        <v>19.2</v>
      </c>
      <c r="U277" s="42">
        <v>4.6</v>
      </c>
      <c r="V277" s="42">
        <v>0.0</v>
      </c>
      <c r="W277" s="42">
        <v>0.0</v>
      </c>
    </row>
    <row r="278">
      <c r="A278" s="87">
        <v>277.0</v>
      </c>
      <c r="B278" s="85" t="s">
        <v>1788</v>
      </c>
      <c r="C278" s="85" t="s">
        <v>344</v>
      </c>
      <c r="D278" s="85" t="s">
        <v>1267</v>
      </c>
      <c r="E278" s="85" t="s">
        <v>1194</v>
      </c>
      <c r="F278" s="85" t="s">
        <v>1195</v>
      </c>
      <c r="G278" s="85" t="s">
        <v>1196</v>
      </c>
      <c r="H278" s="85" t="s">
        <v>1268</v>
      </c>
      <c r="I278" s="85" t="s">
        <v>1718</v>
      </c>
      <c r="J278" s="42">
        <v>-19.0</v>
      </c>
      <c r="K278" s="42">
        <v>2.4</v>
      </c>
      <c r="L278" s="42">
        <v>-12.5</v>
      </c>
      <c r="M278" s="42">
        <v>-3.9</v>
      </c>
      <c r="N278" s="42">
        <v>2.2</v>
      </c>
      <c r="O278" s="42">
        <v>8.35E11</v>
      </c>
      <c r="P278" s="42">
        <v>2.2E11</v>
      </c>
      <c r="Q278" s="42">
        <v>-25.7</v>
      </c>
      <c r="R278" s="42">
        <v>-5.7</v>
      </c>
      <c r="S278" s="42">
        <v>64.8</v>
      </c>
      <c r="T278" s="42">
        <v>200.0</v>
      </c>
      <c r="U278" s="42">
        <v>-20.0</v>
      </c>
      <c r="V278" s="42">
        <v>-23.1</v>
      </c>
      <c r="W278" s="42">
        <v>-45.7</v>
      </c>
    </row>
    <row r="279">
      <c r="A279" s="87">
        <v>278.0</v>
      </c>
      <c r="B279" s="85" t="s">
        <v>1789</v>
      </c>
      <c r="C279" s="85" t="s">
        <v>345</v>
      </c>
      <c r="D279" s="85" t="s">
        <v>1261</v>
      </c>
      <c r="E279" s="85" t="s">
        <v>1201</v>
      </c>
      <c r="F279" s="85" t="s">
        <v>1262</v>
      </c>
      <c r="G279" s="85" t="s">
        <v>1263</v>
      </c>
      <c r="H279" s="85" t="s">
        <v>1264</v>
      </c>
      <c r="I279" s="85" t="s">
        <v>1578</v>
      </c>
      <c r="J279" s="42">
        <v>7.0</v>
      </c>
      <c r="K279" s="42">
        <v>1.5</v>
      </c>
      <c r="L279" s="42">
        <v>21.3</v>
      </c>
      <c r="M279" s="42">
        <v>14.6</v>
      </c>
      <c r="N279" s="42">
        <v>0.46</v>
      </c>
      <c r="O279" s="42">
        <v>4.6E12</v>
      </c>
      <c r="P279" s="42">
        <v>1.5E12</v>
      </c>
      <c r="Q279" s="42">
        <v>-8.7</v>
      </c>
      <c r="R279" s="42">
        <v>-3.8</v>
      </c>
      <c r="S279" s="42">
        <v>-15.6</v>
      </c>
      <c r="T279" s="42">
        <v>-10.1</v>
      </c>
      <c r="U279" s="42">
        <v>42.3</v>
      </c>
      <c r="V279" s="42">
        <v>-8.2</v>
      </c>
      <c r="W279" s="42">
        <v>-14.8</v>
      </c>
    </row>
    <row r="280">
      <c r="A280" s="87">
        <v>279.0</v>
      </c>
      <c r="B280" s="85" t="s">
        <v>1790</v>
      </c>
      <c r="C280" s="85" t="s">
        <v>346</v>
      </c>
      <c r="D280" s="85" t="s">
        <v>1267</v>
      </c>
      <c r="E280" s="85" t="s">
        <v>1194</v>
      </c>
      <c r="F280" s="85" t="s">
        <v>1195</v>
      </c>
      <c r="G280" s="85" t="s">
        <v>1196</v>
      </c>
      <c r="H280" s="85" t="s">
        <v>1268</v>
      </c>
      <c r="I280" s="85" t="s">
        <v>1269</v>
      </c>
      <c r="J280" s="42">
        <v>7.1</v>
      </c>
      <c r="K280" s="42">
        <v>0.5</v>
      </c>
      <c r="L280" s="42">
        <v>7.0</v>
      </c>
      <c r="M280" s="42">
        <v>4.2</v>
      </c>
      <c r="N280" s="42">
        <v>0.68</v>
      </c>
      <c r="O280" s="42">
        <v>1.45E11</v>
      </c>
      <c r="P280" s="42">
        <v>1.83E11</v>
      </c>
      <c r="Q280" s="42">
        <v>-44.4</v>
      </c>
      <c r="R280" s="42">
        <v>-38.2</v>
      </c>
      <c r="S280" s="42">
        <v>-36.8</v>
      </c>
      <c r="T280" s="42">
        <v>-3.5</v>
      </c>
      <c r="U280" s="42">
        <v>11.2</v>
      </c>
      <c r="V280" s="42">
        <v>-26.7</v>
      </c>
      <c r="W280" s="42">
        <v>-45.5</v>
      </c>
    </row>
    <row r="281">
      <c r="A281" s="87">
        <v>280.0</v>
      </c>
      <c r="B281" s="85" t="s">
        <v>1791</v>
      </c>
      <c r="C281" s="85" t="s">
        <v>347</v>
      </c>
      <c r="D281" s="85" t="s">
        <v>1193</v>
      </c>
      <c r="E281" s="85" t="s">
        <v>1194</v>
      </c>
      <c r="F281" s="85" t="s">
        <v>1195</v>
      </c>
      <c r="G281" s="85" t="s">
        <v>1196</v>
      </c>
      <c r="H281" s="85" t="s">
        <v>1197</v>
      </c>
      <c r="I281" s="85" t="s">
        <v>1792</v>
      </c>
      <c r="J281" s="42">
        <v>6.6</v>
      </c>
      <c r="K281" s="42">
        <v>1.1</v>
      </c>
      <c r="L281" s="42">
        <v>15.8</v>
      </c>
      <c r="M281" s="42">
        <v>10.7</v>
      </c>
      <c r="N281" s="42">
        <v>0.47</v>
      </c>
      <c r="O281" s="42">
        <v>1.26E13</v>
      </c>
      <c r="P281" s="42">
        <v>2.9E12</v>
      </c>
      <c r="Q281" s="42">
        <v>-35.4</v>
      </c>
      <c r="R281" s="42">
        <v>-21.8</v>
      </c>
      <c r="S281" s="42">
        <v>-34.5</v>
      </c>
      <c r="T281" s="42">
        <v>36.1</v>
      </c>
      <c r="U281" s="42">
        <v>65.9</v>
      </c>
      <c r="V281" s="42">
        <v>-11.2</v>
      </c>
      <c r="W281" s="42">
        <v>-28.6</v>
      </c>
    </row>
    <row r="282">
      <c r="A282" s="87">
        <v>281.0</v>
      </c>
      <c r="B282" s="85" t="s">
        <v>1793</v>
      </c>
      <c r="C282" s="85" t="s">
        <v>348</v>
      </c>
      <c r="D282" s="85" t="s">
        <v>1186</v>
      </c>
      <c r="E282" s="85" t="s">
        <v>1187</v>
      </c>
      <c r="F282" s="85" t="s">
        <v>1188</v>
      </c>
      <c r="G282" s="85" t="s">
        <v>1189</v>
      </c>
      <c r="H282" s="85" t="s">
        <v>1190</v>
      </c>
      <c r="I282" s="85" t="s">
        <v>1794</v>
      </c>
      <c r="J282" s="42">
        <v>24.5</v>
      </c>
      <c r="K282" s="42">
        <v>2.5</v>
      </c>
      <c r="L282" s="42">
        <v>10.2</v>
      </c>
      <c r="M282" s="42">
        <v>5.2</v>
      </c>
      <c r="N282" s="42">
        <v>0.95</v>
      </c>
      <c r="O282" s="42">
        <v>9.48E13</v>
      </c>
      <c r="P282" s="42">
        <v>4.68E13</v>
      </c>
      <c r="Q282" s="42">
        <v>-47.6</v>
      </c>
      <c r="R282" s="42">
        <v>-99.2</v>
      </c>
      <c r="S282" s="42">
        <v>-99.5</v>
      </c>
      <c r="T282" s="42">
        <v>-99.0</v>
      </c>
      <c r="U282" s="42">
        <v>8.3</v>
      </c>
      <c r="V282" s="42">
        <v>-3.3</v>
      </c>
      <c r="W282" s="42">
        <v>-99.4</v>
      </c>
    </row>
    <row r="283">
      <c r="A283" s="87">
        <v>282.0</v>
      </c>
      <c r="B283" s="85" t="s">
        <v>1795</v>
      </c>
      <c r="C283" s="85" t="s">
        <v>349</v>
      </c>
      <c r="D283" s="85" t="s">
        <v>1456</v>
      </c>
      <c r="E283" s="85" t="s">
        <v>1201</v>
      </c>
      <c r="F283" s="85" t="s">
        <v>1286</v>
      </c>
      <c r="G283" s="85" t="s">
        <v>1287</v>
      </c>
      <c r="H283" s="85" t="s">
        <v>1457</v>
      </c>
      <c r="I283" s="85" t="s">
        <v>1205</v>
      </c>
      <c r="J283" s="42">
        <v>0.0</v>
      </c>
      <c r="K283" s="42">
        <v>0.24</v>
      </c>
      <c r="L283" s="42">
        <v>4.5</v>
      </c>
      <c r="M283" s="42">
        <v>3.1</v>
      </c>
      <c r="N283" s="42">
        <v>0.46</v>
      </c>
      <c r="O283" s="42">
        <v>2.26E11</v>
      </c>
      <c r="P283" s="42">
        <v>1.8E11</v>
      </c>
      <c r="Q283" s="42">
        <v>0.0</v>
      </c>
      <c r="R283" s="42">
        <v>0.0</v>
      </c>
      <c r="S283" s="42">
        <v>0.0</v>
      </c>
      <c r="T283" s="42">
        <v>0.0</v>
      </c>
      <c r="U283" s="42">
        <v>22.9</v>
      </c>
      <c r="V283" s="42">
        <v>0.0</v>
      </c>
      <c r="W283" s="42">
        <v>0.0</v>
      </c>
    </row>
    <row r="284">
      <c r="A284" s="87">
        <v>283.0</v>
      </c>
      <c r="B284" s="85" t="s">
        <v>1796</v>
      </c>
      <c r="C284" s="85" t="s">
        <v>350</v>
      </c>
      <c r="D284" s="85" t="s">
        <v>1234</v>
      </c>
      <c r="E284" s="85" t="s">
        <v>1235</v>
      </c>
      <c r="F284" s="85" t="s">
        <v>1235</v>
      </c>
      <c r="G284" s="85" t="s">
        <v>1236</v>
      </c>
      <c r="H284" s="85" t="s">
        <v>1237</v>
      </c>
      <c r="I284" s="85" t="s">
        <v>1797</v>
      </c>
      <c r="J284" s="42">
        <v>18.0</v>
      </c>
      <c r="K284" s="42">
        <v>0.55</v>
      </c>
      <c r="L284" s="42">
        <v>3.1</v>
      </c>
      <c r="M284" s="42">
        <v>2.6</v>
      </c>
      <c r="N284" s="42">
        <v>0.18</v>
      </c>
      <c r="O284" s="42">
        <v>7.6E12</v>
      </c>
      <c r="P284" s="42">
        <v>2.7E12</v>
      </c>
      <c r="Q284" s="42">
        <v>-1.2</v>
      </c>
      <c r="R284" s="42">
        <v>4.9</v>
      </c>
      <c r="S284" s="42">
        <v>-0.978</v>
      </c>
      <c r="T284" s="42">
        <v>6.9</v>
      </c>
      <c r="U284" s="42">
        <v>15.4</v>
      </c>
      <c r="V284" s="42">
        <v>-1.2</v>
      </c>
      <c r="W284" s="42">
        <v>-5.8</v>
      </c>
    </row>
    <row r="285">
      <c r="A285" s="87">
        <v>284.0</v>
      </c>
      <c r="B285" s="85" t="s">
        <v>1798</v>
      </c>
      <c r="C285" s="85" t="s">
        <v>351</v>
      </c>
      <c r="D285" s="85" t="s">
        <v>1799</v>
      </c>
      <c r="E285" s="85" t="s">
        <v>1570</v>
      </c>
      <c r="F285" s="85" t="s">
        <v>1800</v>
      </c>
      <c r="G285" s="85" t="s">
        <v>1801</v>
      </c>
      <c r="H285" s="85" t="s">
        <v>1801</v>
      </c>
      <c r="I285" s="85" t="s">
        <v>1651</v>
      </c>
      <c r="J285" s="42">
        <v>12.6</v>
      </c>
      <c r="K285" s="42">
        <v>1.2</v>
      </c>
      <c r="L285" s="42">
        <v>9.2</v>
      </c>
      <c r="M285" s="42">
        <v>5.6</v>
      </c>
      <c r="N285" s="42">
        <v>0.64</v>
      </c>
      <c r="O285" s="42">
        <v>1.8E12</v>
      </c>
      <c r="P285" s="42">
        <v>5.95E11</v>
      </c>
      <c r="Q285" s="42">
        <v>-9.0</v>
      </c>
      <c r="R285" s="42">
        <v>-8.5</v>
      </c>
      <c r="S285" s="42">
        <v>-12.0</v>
      </c>
      <c r="T285" s="42">
        <v>-13.9</v>
      </c>
      <c r="U285" s="42">
        <v>23.6</v>
      </c>
      <c r="V285" s="42">
        <v>-7.6</v>
      </c>
      <c r="W285" s="42">
        <v>-11.8</v>
      </c>
    </row>
    <row r="286">
      <c r="A286" s="87">
        <v>285.0</v>
      </c>
      <c r="B286" s="85" t="s">
        <v>1802</v>
      </c>
      <c r="C286" s="85" t="s">
        <v>352</v>
      </c>
      <c r="D286" s="85" t="s">
        <v>1308</v>
      </c>
      <c r="E286" s="85" t="s">
        <v>1187</v>
      </c>
      <c r="F286" s="85" t="s">
        <v>1188</v>
      </c>
      <c r="G286" s="85" t="s">
        <v>1189</v>
      </c>
      <c r="H286" s="85" t="s">
        <v>1309</v>
      </c>
      <c r="I286" s="85" t="s">
        <v>1383</v>
      </c>
      <c r="J286" s="42">
        <v>10.4</v>
      </c>
      <c r="K286" s="42">
        <v>4.3</v>
      </c>
      <c r="L286" s="42">
        <v>41.4</v>
      </c>
      <c r="M286" s="42">
        <v>14.1</v>
      </c>
      <c r="N286" s="42">
        <v>1.9</v>
      </c>
      <c r="O286" s="42">
        <v>2.3E12</v>
      </c>
      <c r="P286" s="42">
        <v>7.28E11</v>
      </c>
      <c r="Q286" s="42">
        <v>-3.6</v>
      </c>
      <c r="R286" s="42">
        <v>15.5</v>
      </c>
      <c r="S286" s="42">
        <v>-20.2</v>
      </c>
      <c r="T286" s="42">
        <v>3.1</v>
      </c>
      <c r="U286" s="42">
        <v>30.6</v>
      </c>
      <c r="V286" s="42">
        <v>11.7</v>
      </c>
      <c r="W286" s="42">
        <v>-17.3</v>
      </c>
    </row>
    <row r="287">
      <c r="A287" s="87">
        <v>286.0</v>
      </c>
      <c r="B287" s="85" t="s">
        <v>1803</v>
      </c>
      <c r="C287" s="85" t="s">
        <v>353</v>
      </c>
      <c r="D287" s="85" t="s">
        <v>1405</v>
      </c>
      <c r="E287" s="85" t="s">
        <v>1214</v>
      </c>
      <c r="F287" s="85" t="s">
        <v>1406</v>
      </c>
      <c r="G287" s="85" t="s">
        <v>1407</v>
      </c>
      <c r="H287" s="85" t="s">
        <v>1408</v>
      </c>
      <c r="I287" s="85" t="s">
        <v>1333</v>
      </c>
      <c r="J287" s="42">
        <v>7.3</v>
      </c>
      <c r="K287" s="42">
        <v>0.44</v>
      </c>
      <c r="L287" s="42">
        <v>6.1</v>
      </c>
      <c r="M287" s="42">
        <v>3.3</v>
      </c>
      <c r="N287" s="42">
        <v>0.86</v>
      </c>
      <c r="O287" s="42">
        <v>3.33E11</v>
      </c>
      <c r="P287" s="42">
        <v>4.11E11</v>
      </c>
      <c r="Q287" s="42">
        <v>-16.9</v>
      </c>
      <c r="R287" s="42">
        <v>-16.9</v>
      </c>
      <c r="S287" s="42">
        <v>-20.7</v>
      </c>
      <c r="T287" s="42">
        <v>-21.6</v>
      </c>
      <c r="U287" s="42">
        <v>11.2</v>
      </c>
      <c r="V287" s="42">
        <v>-9.2</v>
      </c>
      <c r="W287" s="42">
        <v>-26.6</v>
      </c>
    </row>
    <row r="288">
      <c r="A288" s="87">
        <v>287.0</v>
      </c>
      <c r="B288" s="85" t="s">
        <v>1804</v>
      </c>
      <c r="C288" s="85" t="s">
        <v>354</v>
      </c>
      <c r="D288" s="85" t="s">
        <v>1285</v>
      </c>
      <c r="E288" s="85" t="s">
        <v>1201</v>
      </c>
      <c r="F288" s="85" t="s">
        <v>1286</v>
      </c>
      <c r="G288" s="85" t="s">
        <v>1287</v>
      </c>
      <c r="H288" s="85" t="s">
        <v>1288</v>
      </c>
      <c r="I288" s="85" t="s">
        <v>1458</v>
      </c>
      <c r="J288" s="42">
        <v>11.5</v>
      </c>
      <c r="K288" s="42">
        <v>0.79</v>
      </c>
      <c r="L288" s="42">
        <v>6.9</v>
      </c>
      <c r="M288" s="42">
        <v>6.5</v>
      </c>
      <c r="N288" s="42">
        <v>0.05</v>
      </c>
      <c r="O288" s="42">
        <v>3.67E11</v>
      </c>
      <c r="P288" s="42">
        <v>2.2E10</v>
      </c>
      <c r="Q288" s="42">
        <v>-5.5</v>
      </c>
      <c r="R288" s="42">
        <v>-4.4</v>
      </c>
      <c r="S288" s="42">
        <v>-10.4</v>
      </c>
      <c r="T288" s="42">
        <v>-13.1</v>
      </c>
      <c r="U288" s="42">
        <v>150.0</v>
      </c>
      <c r="V288" s="42">
        <v>-3.4</v>
      </c>
      <c r="W288" s="42">
        <v>-20.4</v>
      </c>
    </row>
    <row r="289">
      <c r="A289" s="87">
        <v>288.0</v>
      </c>
      <c r="B289" s="85" t="s">
        <v>1805</v>
      </c>
      <c r="C289" s="85" t="s">
        <v>355</v>
      </c>
      <c r="D289" s="85" t="s">
        <v>1806</v>
      </c>
      <c r="E289" s="85" t="s">
        <v>1201</v>
      </c>
      <c r="F289" s="85" t="s">
        <v>1219</v>
      </c>
      <c r="G289" s="85" t="s">
        <v>1220</v>
      </c>
      <c r="H289" s="85" t="s">
        <v>1807</v>
      </c>
      <c r="I289" s="85" t="s">
        <v>1458</v>
      </c>
      <c r="J289" s="42">
        <v>-1.4</v>
      </c>
      <c r="K289" s="42">
        <v>0.21</v>
      </c>
      <c r="L289" s="42">
        <v>-14.6</v>
      </c>
      <c r="M289" s="42">
        <v>-9.3</v>
      </c>
      <c r="N289" s="42">
        <v>0.58</v>
      </c>
      <c r="O289" s="42">
        <v>2.04E11</v>
      </c>
      <c r="P289" s="42">
        <v>6.0E11</v>
      </c>
      <c r="Q289" s="42">
        <v>-36.9</v>
      </c>
      <c r="R289" s="42">
        <v>-50.4</v>
      </c>
      <c r="S289" s="42">
        <v>-41.6</v>
      </c>
      <c r="T289" s="42">
        <v>-36.9</v>
      </c>
      <c r="U289" s="42">
        <v>-24.1</v>
      </c>
      <c r="V289" s="42">
        <v>-27.0</v>
      </c>
      <c r="W289" s="42">
        <v>-38.3</v>
      </c>
    </row>
    <row r="290">
      <c r="A290" s="87">
        <v>289.0</v>
      </c>
      <c r="B290" s="85" t="s">
        <v>1808</v>
      </c>
      <c r="C290" s="85" t="s">
        <v>356</v>
      </c>
      <c r="D290" s="85" t="s">
        <v>1375</v>
      </c>
      <c r="E290" s="85" t="s">
        <v>1376</v>
      </c>
      <c r="F290" s="85" t="s">
        <v>1377</v>
      </c>
      <c r="G290" s="85" t="s">
        <v>1378</v>
      </c>
      <c r="H290" s="85" t="s">
        <v>1378</v>
      </c>
      <c r="I290" s="85" t="s">
        <v>1379</v>
      </c>
      <c r="J290" s="42">
        <v>80.9</v>
      </c>
      <c r="K290" s="42">
        <v>5.2</v>
      </c>
      <c r="L290" s="42">
        <v>6.4</v>
      </c>
      <c r="M290" s="42">
        <v>1.6</v>
      </c>
      <c r="N290" s="42">
        <v>3.0</v>
      </c>
      <c r="O290" s="42">
        <v>9.7E12</v>
      </c>
      <c r="P290" s="42">
        <v>2.43E11</v>
      </c>
      <c r="Q290" s="42">
        <v>0.0</v>
      </c>
      <c r="R290" s="42">
        <v>0.0</v>
      </c>
      <c r="S290" s="42">
        <v>0.842</v>
      </c>
      <c r="T290" s="42">
        <v>23.1</v>
      </c>
      <c r="U290" s="42">
        <v>49.2</v>
      </c>
      <c r="V290" s="42">
        <v>0.0</v>
      </c>
      <c r="W290" s="42">
        <v>7.9</v>
      </c>
    </row>
    <row r="291">
      <c r="A291" s="87">
        <v>290.0</v>
      </c>
      <c r="B291" s="85" t="s">
        <v>1809</v>
      </c>
      <c r="C291" s="85" t="s">
        <v>357</v>
      </c>
      <c r="D291" s="85" t="s">
        <v>1291</v>
      </c>
      <c r="E291" s="85" t="s">
        <v>1252</v>
      </c>
      <c r="F291" s="85" t="s">
        <v>1252</v>
      </c>
      <c r="G291" s="85" t="s">
        <v>1253</v>
      </c>
      <c r="H291" s="85" t="s">
        <v>1292</v>
      </c>
      <c r="I291" s="85" t="s">
        <v>1255</v>
      </c>
      <c r="J291" s="42">
        <v>12.0</v>
      </c>
      <c r="K291" s="42">
        <v>0.47</v>
      </c>
      <c r="L291" s="42">
        <v>4.0</v>
      </c>
      <c r="M291" s="42">
        <v>3.7</v>
      </c>
      <c r="N291" s="42">
        <v>0.08</v>
      </c>
      <c r="O291" s="42">
        <v>6.01E11</v>
      </c>
      <c r="P291" s="42">
        <v>1.42E11</v>
      </c>
      <c r="Q291" s="42">
        <v>-12.4</v>
      </c>
      <c r="R291" s="42">
        <v>-14.4</v>
      </c>
      <c r="S291" s="42">
        <v>-19.3</v>
      </c>
      <c r="T291" s="42">
        <v>-17.6</v>
      </c>
      <c r="U291" s="42">
        <v>35.2</v>
      </c>
      <c r="V291" s="42">
        <v>-10.9</v>
      </c>
      <c r="W291" s="42">
        <v>-15.8</v>
      </c>
    </row>
    <row r="292">
      <c r="A292" s="87">
        <v>291.0</v>
      </c>
      <c r="B292" s="85" t="s">
        <v>1810</v>
      </c>
      <c r="C292" s="85" t="s">
        <v>358</v>
      </c>
      <c r="D292" s="85" t="s">
        <v>1375</v>
      </c>
      <c r="E292" s="85" t="s">
        <v>1376</v>
      </c>
      <c r="F292" s="85" t="s">
        <v>1377</v>
      </c>
      <c r="G292" s="85" t="s">
        <v>1378</v>
      </c>
      <c r="H292" s="85" t="s">
        <v>1378</v>
      </c>
      <c r="I292" s="85" t="s">
        <v>1441</v>
      </c>
      <c r="J292" s="42">
        <v>11.1</v>
      </c>
      <c r="K292" s="42">
        <v>2.3</v>
      </c>
      <c r="L292" s="42">
        <v>20.7</v>
      </c>
      <c r="M292" s="42">
        <v>11.1</v>
      </c>
      <c r="N292" s="42">
        <v>0.86</v>
      </c>
      <c r="O292" s="42">
        <v>3.82E11</v>
      </c>
      <c r="P292" s="42">
        <v>8.5E10</v>
      </c>
      <c r="Q292" s="42">
        <v>-29.4</v>
      </c>
      <c r="R292" s="42">
        <v>-23.0</v>
      </c>
      <c r="S292" s="42">
        <v>-22.2</v>
      </c>
      <c r="T292" s="42">
        <v>-15.8</v>
      </c>
      <c r="U292" s="42">
        <v>40.5</v>
      </c>
      <c r="V292" s="42">
        <v>-24.2</v>
      </c>
      <c r="W292" s="42">
        <v>-33.3</v>
      </c>
    </row>
    <row r="293">
      <c r="A293" s="87">
        <v>292.0</v>
      </c>
      <c r="B293" s="85" t="s">
        <v>1811</v>
      </c>
      <c r="C293" s="85" t="s">
        <v>359</v>
      </c>
      <c r="D293" s="85" t="s">
        <v>1299</v>
      </c>
      <c r="E293" s="85" t="s">
        <v>1300</v>
      </c>
      <c r="F293" s="85" t="s">
        <v>1301</v>
      </c>
      <c r="G293" s="85" t="s">
        <v>1301</v>
      </c>
      <c r="H293" s="85" t="s">
        <v>1301</v>
      </c>
      <c r="I293" s="85" t="s">
        <v>1812</v>
      </c>
      <c r="J293" s="42">
        <v>68.1</v>
      </c>
      <c r="K293" s="42">
        <v>4.8</v>
      </c>
      <c r="L293" s="42">
        <v>7.0</v>
      </c>
      <c r="M293" s="42">
        <v>5.3</v>
      </c>
      <c r="N293" s="42">
        <v>0.31</v>
      </c>
      <c r="O293" s="42">
        <v>1.3E13</v>
      </c>
      <c r="P293" s="42">
        <v>1.96E11</v>
      </c>
      <c r="Q293" s="42">
        <v>-26.4</v>
      </c>
      <c r="R293" s="42">
        <v>-22.9</v>
      </c>
      <c r="S293" s="42">
        <v>41.2</v>
      </c>
      <c r="T293" s="42">
        <v>170.0</v>
      </c>
      <c r="U293" s="42">
        <v>97.5</v>
      </c>
      <c r="V293" s="42">
        <v>-35.8</v>
      </c>
      <c r="W293" s="42">
        <v>2.1</v>
      </c>
    </row>
    <row r="294">
      <c r="A294" s="87">
        <v>293.0</v>
      </c>
      <c r="B294" s="85" t="s">
        <v>1813</v>
      </c>
      <c r="C294" s="85" t="s">
        <v>360</v>
      </c>
      <c r="D294" s="85" t="s">
        <v>1358</v>
      </c>
      <c r="E294" s="85" t="s">
        <v>1187</v>
      </c>
      <c r="F294" s="85" t="s">
        <v>1188</v>
      </c>
      <c r="G294" s="85" t="s">
        <v>1359</v>
      </c>
      <c r="H294" s="85" t="s">
        <v>1360</v>
      </c>
      <c r="I294" s="85" t="s">
        <v>1814</v>
      </c>
      <c r="J294" s="42">
        <v>6.2</v>
      </c>
      <c r="K294" s="42">
        <v>0.81</v>
      </c>
      <c r="L294" s="42">
        <v>13.1</v>
      </c>
      <c r="M294" s="42">
        <v>6.6</v>
      </c>
      <c r="N294" s="42">
        <v>1.0</v>
      </c>
      <c r="O294" s="42">
        <v>4.5E12</v>
      </c>
      <c r="P294" s="42">
        <v>3.6E12</v>
      </c>
      <c r="Q294" s="42">
        <v>-19.6</v>
      </c>
      <c r="R294" s="42">
        <v>-33.9</v>
      </c>
      <c r="S294" s="42">
        <v>9.9</v>
      </c>
      <c r="T294" s="42">
        <v>24.4</v>
      </c>
      <c r="U294" s="42">
        <v>19.9</v>
      </c>
      <c r="V294" s="42">
        <v>-11.9</v>
      </c>
      <c r="W294" s="42">
        <v>8.8</v>
      </c>
    </row>
    <row r="295">
      <c r="A295" s="87">
        <v>294.0</v>
      </c>
      <c r="B295" s="85" t="s">
        <v>1815</v>
      </c>
      <c r="C295" s="85" t="s">
        <v>361</v>
      </c>
      <c r="D295" s="85" t="s">
        <v>1234</v>
      </c>
      <c r="E295" s="85" t="s">
        <v>1235</v>
      </c>
      <c r="F295" s="85" t="s">
        <v>1235</v>
      </c>
      <c r="G295" s="85" t="s">
        <v>1236</v>
      </c>
      <c r="H295" s="85" t="s">
        <v>1237</v>
      </c>
      <c r="I295" s="85" t="s">
        <v>1797</v>
      </c>
      <c r="J295" s="42">
        <v>220.0</v>
      </c>
      <c r="K295" s="42">
        <v>0.23</v>
      </c>
      <c r="L295" s="42">
        <v>0.1</v>
      </c>
      <c r="M295" s="42">
        <v>0.07</v>
      </c>
      <c r="N295" s="42">
        <v>0.44</v>
      </c>
      <c r="O295" s="42">
        <v>1.4E12</v>
      </c>
      <c r="P295" s="42">
        <v>3.56E11</v>
      </c>
      <c r="Q295" s="42">
        <v>-42.5</v>
      </c>
      <c r="R295" s="42">
        <v>-42.5</v>
      </c>
      <c r="S295" s="42">
        <v>-23.3</v>
      </c>
      <c r="T295" s="42">
        <v>130.0</v>
      </c>
      <c r="U295" s="42">
        <v>1.8</v>
      </c>
      <c r="V295" s="42">
        <v>-28.1</v>
      </c>
      <c r="W295" s="42">
        <v>-53.1</v>
      </c>
    </row>
    <row r="296">
      <c r="A296" s="87">
        <v>295.0</v>
      </c>
      <c r="B296" s="85" t="s">
        <v>1816</v>
      </c>
      <c r="C296" s="85" t="s">
        <v>362</v>
      </c>
      <c r="D296" s="85" t="s">
        <v>1371</v>
      </c>
      <c r="E296" s="85" t="s">
        <v>1252</v>
      </c>
      <c r="F296" s="85" t="s">
        <v>1252</v>
      </c>
      <c r="G296" s="85" t="s">
        <v>1313</v>
      </c>
      <c r="H296" s="85" t="s">
        <v>1372</v>
      </c>
      <c r="I296" s="85" t="s">
        <v>1422</v>
      </c>
      <c r="J296" s="42">
        <v>-250.0</v>
      </c>
      <c r="K296" s="42">
        <v>18.0</v>
      </c>
      <c r="L296" s="42">
        <v>-7.2</v>
      </c>
      <c r="M296" s="42">
        <v>-3.7</v>
      </c>
      <c r="N296" s="42">
        <v>0.94</v>
      </c>
      <c r="O296" s="42">
        <v>1.1E14</v>
      </c>
      <c r="P296" s="42">
        <v>2.21E9</v>
      </c>
      <c r="Q296" s="42">
        <v>-10.8</v>
      </c>
      <c r="R296" s="42">
        <v>-11.9</v>
      </c>
      <c r="S296" s="42">
        <v>86.0</v>
      </c>
      <c r="T296" s="88"/>
      <c r="U296" s="42">
        <v>-21000.0</v>
      </c>
      <c r="V296" s="42">
        <v>-6.0</v>
      </c>
      <c r="W296" s="42">
        <v>25.3</v>
      </c>
    </row>
    <row r="297">
      <c r="A297" s="87">
        <v>296.0</v>
      </c>
      <c r="B297" s="85" t="s">
        <v>1817</v>
      </c>
      <c r="C297" s="85" t="s">
        <v>363</v>
      </c>
      <c r="D297" s="85" t="s">
        <v>1234</v>
      </c>
      <c r="E297" s="85" t="s">
        <v>1235</v>
      </c>
      <c r="F297" s="85" t="s">
        <v>1235</v>
      </c>
      <c r="G297" s="85" t="s">
        <v>1236</v>
      </c>
      <c r="H297" s="85" t="s">
        <v>1237</v>
      </c>
      <c r="I297" s="85" t="s">
        <v>1322</v>
      </c>
      <c r="J297" s="42">
        <v>-2.6</v>
      </c>
      <c r="K297" s="42">
        <v>0.1</v>
      </c>
      <c r="L297" s="42">
        <v>-3.8</v>
      </c>
      <c r="M297" s="42">
        <v>-2.5</v>
      </c>
      <c r="N297" s="42">
        <v>0.53</v>
      </c>
      <c r="O297" s="42">
        <v>2.14E11</v>
      </c>
      <c r="P297" s="42">
        <v>4.5E10</v>
      </c>
      <c r="Q297" s="42">
        <v>-26.4</v>
      </c>
      <c r="R297" s="42">
        <v>-32.1</v>
      </c>
      <c r="S297" s="42">
        <v>-44.8</v>
      </c>
      <c r="T297" s="42">
        <v>-42.4</v>
      </c>
      <c r="U297" s="42">
        <v>-180.0</v>
      </c>
      <c r="V297" s="42">
        <v>-17.2</v>
      </c>
      <c r="W297" s="42">
        <v>-51.8</v>
      </c>
    </row>
    <row r="298">
      <c r="A298" s="87">
        <v>297.0</v>
      </c>
      <c r="B298" s="85" t="s">
        <v>1818</v>
      </c>
      <c r="C298" s="85" t="s">
        <v>364</v>
      </c>
      <c r="D298" s="85" t="s">
        <v>1439</v>
      </c>
      <c r="E298" s="85" t="s">
        <v>1376</v>
      </c>
      <c r="F298" s="85" t="s">
        <v>1377</v>
      </c>
      <c r="G298" s="85" t="s">
        <v>1440</v>
      </c>
      <c r="H298" s="85" t="s">
        <v>1440</v>
      </c>
      <c r="I298" s="85" t="s">
        <v>1819</v>
      </c>
      <c r="J298" s="42">
        <v>13.4</v>
      </c>
      <c r="K298" s="42">
        <v>0.72</v>
      </c>
      <c r="L298" s="42">
        <v>5.4</v>
      </c>
      <c r="M298" s="42">
        <v>4.7</v>
      </c>
      <c r="N298" s="42">
        <v>0.14</v>
      </c>
      <c r="O298" s="42">
        <v>3.78E13</v>
      </c>
      <c r="P298" s="42">
        <v>5.8E12</v>
      </c>
      <c r="Q298" s="42">
        <v>-33.3</v>
      </c>
      <c r="R298" s="42">
        <v>-30.5</v>
      </c>
      <c r="S298" s="42">
        <v>-62.7</v>
      </c>
      <c r="T298" s="42">
        <v>-13.3</v>
      </c>
      <c r="U298" s="42">
        <v>48.5</v>
      </c>
      <c r="V298" s="42">
        <v>-19.0</v>
      </c>
      <c r="W298" s="42">
        <v>-55.5</v>
      </c>
    </row>
    <row r="299">
      <c r="A299" s="87">
        <v>298.0</v>
      </c>
      <c r="B299" s="85" t="s">
        <v>1820</v>
      </c>
      <c r="C299" s="85" t="s">
        <v>365</v>
      </c>
      <c r="D299" s="85" t="s">
        <v>1456</v>
      </c>
      <c r="E299" s="85" t="s">
        <v>1201</v>
      </c>
      <c r="F299" s="85" t="s">
        <v>1286</v>
      </c>
      <c r="G299" s="85" t="s">
        <v>1287</v>
      </c>
      <c r="H299" s="85" t="s">
        <v>1457</v>
      </c>
      <c r="I299" s="85" t="s">
        <v>1381</v>
      </c>
      <c r="J299" s="42">
        <v>-7.9</v>
      </c>
      <c r="K299" s="42">
        <v>2.9</v>
      </c>
      <c r="L299" s="42">
        <v>-36.0</v>
      </c>
      <c r="M299" s="42">
        <v>-8.0</v>
      </c>
      <c r="N299" s="42">
        <v>3.5</v>
      </c>
      <c r="O299" s="42">
        <v>6.5E11</v>
      </c>
      <c r="P299" s="42">
        <v>3.42E11</v>
      </c>
      <c r="Q299" s="42">
        <v>-41.0</v>
      </c>
      <c r="R299" s="42">
        <v>-53.2</v>
      </c>
      <c r="S299" s="42">
        <v>-69.8</v>
      </c>
      <c r="T299" s="42">
        <v>-71.7</v>
      </c>
      <c r="U299" s="42">
        <v>-24.0</v>
      </c>
      <c r="V299" s="42">
        <v>-28.7</v>
      </c>
      <c r="W299" s="42">
        <v>-66.8</v>
      </c>
    </row>
    <row r="300">
      <c r="A300" s="87">
        <v>299.0</v>
      </c>
      <c r="B300" s="85" t="s">
        <v>1821</v>
      </c>
      <c r="C300" s="85" t="s">
        <v>366</v>
      </c>
      <c r="D300" s="85" t="s">
        <v>1822</v>
      </c>
      <c r="E300" s="85" t="s">
        <v>1187</v>
      </c>
      <c r="F300" s="85" t="s">
        <v>1188</v>
      </c>
      <c r="G300" s="85" t="s">
        <v>1295</v>
      </c>
      <c r="H300" s="85" t="s">
        <v>1823</v>
      </c>
      <c r="I300" s="85" t="s">
        <v>1824</v>
      </c>
      <c r="J300" s="42">
        <v>23.2</v>
      </c>
      <c r="K300" s="42">
        <v>2.6</v>
      </c>
      <c r="L300" s="42">
        <v>11.1</v>
      </c>
      <c r="M300" s="42">
        <v>5.0</v>
      </c>
      <c r="N300" s="42">
        <v>1.2</v>
      </c>
      <c r="O300" s="42">
        <v>3.56E13</v>
      </c>
      <c r="P300" s="42">
        <v>8.4E12</v>
      </c>
      <c r="Q300" s="42">
        <v>-31.0</v>
      </c>
      <c r="R300" s="42">
        <v>-32.2</v>
      </c>
      <c r="S300" s="42">
        <v>-21.3</v>
      </c>
      <c r="T300" s="42">
        <v>400.0</v>
      </c>
      <c r="U300" s="42">
        <v>18.4</v>
      </c>
      <c r="V300" s="42">
        <v>-21.3</v>
      </c>
      <c r="W300" s="42">
        <v>-31.4</v>
      </c>
    </row>
    <row r="301">
      <c r="A301" s="87">
        <v>300.0</v>
      </c>
      <c r="B301" s="85" t="s">
        <v>1825</v>
      </c>
      <c r="C301" s="85" t="s">
        <v>367</v>
      </c>
      <c r="D301" s="85" t="s">
        <v>1375</v>
      </c>
      <c r="E301" s="85" t="s">
        <v>1376</v>
      </c>
      <c r="F301" s="85" t="s">
        <v>1377</v>
      </c>
      <c r="G301" s="85" t="s">
        <v>1378</v>
      </c>
      <c r="H301" s="85" t="s">
        <v>1378</v>
      </c>
      <c r="I301" s="85" t="s">
        <v>1826</v>
      </c>
      <c r="J301" s="42">
        <v>-9.4</v>
      </c>
      <c r="K301" s="42">
        <v>-1.7</v>
      </c>
      <c r="L301" s="42">
        <v>0.0</v>
      </c>
      <c r="M301" s="42">
        <v>-64.6</v>
      </c>
      <c r="N301" s="42">
        <v>-1.3</v>
      </c>
      <c r="O301" s="42">
        <v>9.0E10</v>
      </c>
      <c r="P301" s="42">
        <v>5.7E8</v>
      </c>
      <c r="Q301" s="42">
        <v>0.0</v>
      </c>
      <c r="R301" s="42">
        <v>0.0</v>
      </c>
      <c r="S301" s="42">
        <v>0.0</v>
      </c>
      <c r="T301" s="42">
        <v>0.0</v>
      </c>
      <c r="U301" s="42">
        <v>-1690.0</v>
      </c>
      <c r="V301" s="42">
        <v>0.0</v>
      </c>
      <c r="W301" s="42">
        <v>0.0</v>
      </c>
    </row>
    <row r="302">
      <c r="A302" s="87">
        <v>301.0</v>
      </c>
      <c r="B302" s="85" t="s">
        <v>1827</v>
      </c>
      <c r="C302" s="85" t="s">
        <v>368</v>
      </c>
      <c r="D302" s="85" t="s">
        <v>1267</v>
      </c>
      <c r="E302" s="85" t="s">
        <v>1194</v>
      </c>
      <c r="F302" s="85" t="s">
        <v>1195</v>
      </c>
      <c r="G302" s="85" t="s">
        <v>1196</v>
      </c>
      <c r="H302" s="85" t="s">
        <v>1268</v>
      </c>
      <c r="I302" s="85" t="s">
        <v>1514</v>
      </c>
      <c r="J302" s="42">
        <v>33.7</v>
      </c>
      <c r="K302" s="42">
        <v>0.94</v>
      </c>
      <c r="L302" s="42">
        <v>2.8</v>
      </c>
      <c r="M302" s="42">
        <v>1.1</v>
      </c>
      <c r="N302" s="42">
        <v>1.6</v>
      </c>
      <c r="O302" s="42">
        <v>1.58E11</v>
      </c>
      <c r="P302" s="42">
        <v>9.3E10</v>
      </c>
      <c r="Q302" s="42">
        <v>-37.5</v>
      </c>
      <c r="R302" s="42">
        <v>-19.1</v>
      </c>
      <c r="S302" s="42">
        <v>12.2</v>
      </c>
      <c r="T302" s="42">
        <v>44.7</v>
      </c>
      <c r="U302" s="42">
        <v>5.1</v>
      </c>
      <c r="V302" s="42">
        <v>-21.4</v>
      </c>
      <c r="W302" s="42">
        <v>22.2</v>
      </c>
    </row>
    <row r="303">
      <c r="A303" s="87">
        <v>302.0</v>
      </c>
      <c r="B303" s="85" t="s">
        <v>1828</v>
      </c>
      <c r="C303" s="85" t="s">
        <v>369</v>
      </c>
      <c r="D303" s="85" t="s">
        <v>1304</v>
      </c>
      <c r="E303" s="85" t="s">
        <v>1252</v>
      </c>
      <c r="F303" s="85" t="s">
        <v>1252</v>
      </c>
      <c r="G303" s="85" t="s">
        <v>1305</v>
      </c>
      <c r="H303" s="85" t="s">
        <v>1305</v>
      </c>
      <c r="I303" s="85" t="s">
        <v>1255</v>
      </c>
      <c r="J303" s="42">
        <v>-56.4</v>
      </c>
      <c r="K303" s="42">
        <v>3.2</v>
      </c>
      <c r="L303" s="42">
        <v>-5.7</v>
      </c>
      <c r="M303" s="42">
        <v>-1.6</v>
      </c>
      <c r="N303" s="42">
        <v>2.5</v>
      </c>
      <c r="O303" s="42">
        <v>2.35E11</v>
      </c>
      <c r="P303" s="42">
        <v>4.0E10</v>
      </c>
      <c r="Q303" s="42">
        <v>-37.0</v>
      </c>
      <c r="R303" s="42">
        <v>13.3</v>
      </c>
      <c r="S303" s="42">
        <v>41.7</v>
      </c>
      <c r="T303" s="42">
        <v>410.0</v>
      </c>
      <c r="U303" s="42">
        <v>-10.3</v>
      </c>
      <c r="V303" s="42">
        <v>-17.7</v>
      </c>
      <c r="W303" s="42">
        <v>24.4</v>
      </c>
    </row>
    <row r="304">
      <c r="A304" s="87">
        <v>303.0</v>
      </c>
      <c r="B304" s="85" t="s">
        <v>1829</v>
      </c>
      <c r="C304" s="85" t="s">
        <v>370</v>
      </c>
      <c r="D304" s="85" t="s">
        <v>1749</v>
      </c>
      <c r="E304" s="85" t="s">
        <v>1194</v>
      </c>
      <c r="F304" s="85" t="s">
        <v>1346</v>
      </c>
      <c r="G304" s="85" t="s">
        <v>1346</v>
      </c>
      <c r="H304" s="85" t="s">
        <v>1750</v>
      </c>
      <c r="I304" s="85" t="s">
        <v>1243</v>
      </c>
      <c r="J304" s="42">
        <v>8.0</v>
      </c>
      <c r="K304" s="42">
        <v>0.76</v>
      </c>
      <c r="L304" s="42">
        <v>9.5</v>
      </c>
      <c r="M304" s="42">
        <v>5.5</v>
      </c>
      <c r="N304" s="42">
        <v>0.73</v>
      </c>
      <c r="O304" s="42">
        <v>6.2E12</v>
      </c>
      <c r="P304" s="42">
        <v>9.1E12</v>
      </c>
      <c r="Q304" s="42">
        <v>-4.6</v>
      </c>
      <c r="R304" s="42">
        <v>0.0</v>
      </c>
      <c r="S304" s="42">
        <v>-3.0</v>
      </c>
      <c r="T304" s="42">
        <v>-1.3</v>
      </c>
      <c r="U304" s="42">
        <v>8.6</v>
      </c>
      <c r="V304" s="42">
        <v>0.441</v>
      </c>
      <c r="W304" s="42">
        <v>-0.437</v>
      </c>
    </row>
    <row r="305">
      <c r="A305" s="87">
        <v>304.0</v>
      </c>
      <c r="B305" s="85" t="s">
        <v>1830</v>
      </c>
      <c r="C305" s="85" t="s">
        <v>371</v>
      </c>
      <c r="D305" s="85" t="s">
        <v>1806</v>
      </c>
      <c r="E305" s="85" t="s">
        <v>1201</v>
      </c>
      <c r="F305" s="85" t="s">
        <v>1219</v>
      </c>
      <c r="G305" s="85" t="s">
        <v>1220</v>
      </c>
      <c r="H305" s="85" t="s">
        <v>1807</v>
      </c>
      <c r="I305" s="85" t="s">
        <v>1831</v>
      </c>
      <c r="J305" s="42">
        <v>4.1</v>
      </c>
      <c r="K305" s="42">
        <v>0.54</v>
      </c>
      <c r="L305" s="42">
        <v>13.2</v>
      </c>
      <c r="M305" s="42">
        <v>4.6</v>
      </c>
      <c r="N305" s="42">
        <v>1.9</v>
      </c>
      <c r="O305" s="42">
        <v>6.0E12</v>
      </c>
      <c r="P305" s="42">
        <v>2.24E13</v>
      </c>
      <c r="Q305" s="42">
        <v>-19.1</v>
      </c>
      <c r="R305" s="42">
        <v>-15.7</v>
      </c>
      <c r="S305" s="42">
        <v>-25.1</v>
      </c>
      <c r="T305" s="42">
        <v>-41.5</v>
      </c>
      <c r="U305" s="42">
        <v>6.5</v>
      </c>
      <c r="V305" s="42">
        <v>-14.8</v>
      </c>
      <c r="W305" s="42">
        <v>-21.8</v>
      </c>
    </row>
    <row r="306">
      <c r="A306" s="87">
        <v>305.0</v>
      </c>
      <c r="B306" s="85" t="s">
        <v>1832</v>
      </c>
      <c r="C306" s="85" t="s">
        <v>372</v>
      </c>
      <c r="D306" s="85" t="s">
        <v>1806</v>
      </c>
      <c r="E306" s="85" t="s">
        <v>1201</v>
      </c>
      <c r="F306" s="85" t="s">
        <v>1219</v>
      </c>
      <c r="G306" s="85" t="s">
        <v>1220</v>
      </c>
      <c r="H306" s="85" t="s">
        <v>1807</v>
      </c>
      <c r="I306" s="85" t="s">
        <v>1578</v>
      </c>
      <c r="J306" s="42">
        <v>8.7</v>
      </c>
      <c r="K306" s="42">
        <v>0.83</v>
      </c>
      <c r="L306" s="42">
        <v>9.5</v>
      </c>
      <c r="M306" s="42">
        <v>5.2</v>
      </c>
      <c r="N306" s="42">
        <v>0.83</v>
      </c>
      <c r="O306" s="42">
        <v>1.5E12</v>
      </c>
      <c r="P306" s="42">
        <v>1.7E12</v>
      </c>
      <c r="Q306" s="42">
        <v>-25.5</v>
      </c>
      <c r="R306" s="42">
        <v>-32.5</v>
      </c>
      <c r="S306" s="42">
        <v>-26.5</v>
      </c>
      <c r="T306" s="42">
        <v>-22.4</v>
      </c>
      <c r="U306" s="42">
        <v>10.0</v>
      </c>
      <c r="V306" s="42">
        <v>-21.4</v>
      </c>
      <c r="W306" s="42">
        <v>-29.2</v>
      </c>
    </row>
    <row r="307">
      <c r="A307" s="87">
        <v>306.0</v>
      </c>
      <c r="B307" s="85" t="s">
        <v>1833</v>
      </c>
      <c r="C307" s="85" t="s">
        <v>373</v>
      </c>
      <c r="D307" s="85" t="s">
        <v>1834</v>
      </c>
      <c r="E307" s="85" t="s">
        <v>1201</v>
      </c>
      <c r="F307" s="85" t="s">
        <v>1225</v>
      </c>
      <c r="G307" s="85" t="s">
        <v>1225</v>
      </c>
      <c r="H307" s="85" t="s">
        <v>1835</v>
      </c>
      <c r="I307" s="85" t="s">
        <v>1227</v>
      </c>
      <c r="J307" s="42">
        <v>7.1</v>
      </c>
      <c r="K307" s="42">
        <v>0.41</v>
      </c>
      <c r="L307" s="42">
        <v>5.8</v>
      </c>
      <c r="M307" s="42">
        <v>2.2</v>
      </c>
      <c r="N307" s="42">
        <v>1.6</v>
      </c>
      <c r="O307" s="42">
        <v>2.05E11</v>
      </c>
      <c r="P307" s="42">
        <v>4.81E11</v>
      </c>
      <c r="Q307" s="42">
        <v>-45.0</v>
      </c>
      <c r="R307" s="42">
        <v>-50.0</v>
      </c>
      <c r="S307" s="42">
        <v>-38.9</v>
      </c>
      <c r="T307" s="42">
        <v>0.0</v>
      </c>
      <c r="U307" s="42">
        <v>6.0</v>
      </c>
      <c r="V307" s="42">
        <v>-29.9</v>
      </c>
      <c r="W307" s="42">
        <v>-50.5</v>
      </c>
    </row>
    <row r="308">
      <c r="A308" s="87">
        <v>307.0</v>
      </c>
      <c r="B308" s="85" t="s">
        <v>1836</v>
      </c>
      <c r="C308" s="85" t="s">
        <v>374</v>
      </c>
      <c r="D308" s="85" t="s">
        <v>1304</v>
      </c>
      <c r="E308" s="85" t="s">
        <v>1252</v>
      </c>
      <c r="F308" s="85" t="s">
        <v>1252</v>
      </c>
      <c r="G308" s="85" t="s">
        <v>1305</v>
      </c>
      <c r="H308" s="85" t="s">
        <v>1305</v>
      </c>
      <c r="I308" s="85" t="s">
        <v>1255</v>
      </c>
      <c r="J308" s="42">
        <v>54.4</v>
      </c>
      <c r="K308" s="42">
        <v>1.5</v>
      </c>
      <c r="L308" s="42">
        <v>2.7</v>
      </c>
      <c r="M308" s="42">
        <v>2.6</v>
      </c>
      <c r="N308" s="42">
        <v>0.03</v>
      </c>
      <c r="O308" s="42">
        <v>1.44E11</v>
      </c>
      <c r="P308" s="42">
        <v>1.5E10</v>
      </c>
      <c r="Q308" s="42">
        <v>-52.1</v>
      </c>
      <c r="R308" s="42">
        <v>46.0</v>
      </c>
      <c r="S308" s="42">
        <v>-1.1</v>
      </c>
      <c r="T308" s="42">
        <v>210.0</v>
      </c>
      <c r="U308" s="42">
        <v>18.0</v>
      </c>
      <c r="V308" s="42">
        <v>-28.7</v>
      </c>
      <c r="W308" s="42">
        <v>8.2</v>
      </c>
    </row>
    <row r="309">
      <c r="A309" s="87">
        <v>308.0</v>
      </c>
      <c r="B309" s="85" t="s">
        <v>1837</v>
      </c>
      <c r="C309" s="85" t="s">
        <v>375</v>
      </c>
      <c r="D309" s="85" t="s">
        <v>1251</v>
      </c>
      <c r="E309" s="85" t="s">
        <v>1252</v>
      </c>
      <c r="F309" s="85" t="s">
        <v>1252</v>
      </c>
      <c r="G309" s="85" t="s">
        <v>1253</v>
      </c>
      <c r="H309" s="85" t="s">
        <v>1254</v>
      </c>
      <c r="I309" s="85" t="s">
        <v>1838</v>
      </c>
      <c r="J309" s="42">
        <v>13.4</v>
      </c>
      <c r="K309" s="42">
        <v>1.1</v>
      </c>
      <c r="L309" s="42">
        <v>8.3</v>
      </c>
      <c r="M309" s="42">
        <v>7.4</v>
      </c>
      <c r="N309" s="42">
        <v>0.12</v>
      </c>
      <c r="O309" s="42">
        <v>1.15E13</v>
      </c>
      <c r="P309" s="42">
        <v>1.6E12</v>
      </c>
      <c r="Q309" s="42">
        <v>-29.8</v>
      </c>
      <c r="R309" s="42">
        <v>-25.2</v>
      </c>
      <c r="S309" s="42">
        <v>-11.7</v>
      </c>
      <c r="T309" s="42">
        <v>-5.0</v>
      </c>
      <c r="U309" s="42">
        <v>53.2</v>
      </c>
      <c r="V309" s="42">
        <v>-15.0</v>
      </c>
      <c r="W309" s="42">
        <v>-8.1</v>
      </c>
    </row>
    <row r="310">
      <c r="A310" s="87">
        <v>309.0</v>
      </c>
      <c r="B310" s="85" t="s">
        <v>1839</v>
      </c>
      <c r="C310" s="85" t="s">
        <v>376</v>
      </c>
      <c r="D310" s="85" t="s">
        <v>1285</v>
      </c>
      <c r="E310" s="85" t="s">
        <v>1201</v>
      </c>
      <c r="F310" s="85" t="s">
        <v>1286</v>
      </c>
      <c r="G310" s="85" t="s">
        <v>1287</v>
      </c>
      <c r="H310" s="85" t="s">
        <v>1288</v>
      </c>
      <c r="I310" s="85" t="s">
        <v>1458</v>
      </c>
      <c r="J310" s="42">
        <v>-65.8</v>
      </c>
      <c r="K310" s="42">
        <v>2.8</v>
      </c>
      <c r="L310" s="42">
        <v>-4.3</v>
      </c>
      <c r="M310" s="42">
        <v>-2.3</v>
      </c>
      <c r="N310" s="42">
        <v>0.87</v>
      </c>
      <c r="O310" s="42">
        <v>5.0E11</v>
      </c>
      <c r="P310" s="42">
        <v>1.1E10</v>
      </c>
      <c r="Q310" s="42">
        <v>-22.4</v>
      </c>
      <c r="R310" s="42">
        <v>-4.1</v>
      </c>
      <c r="S310" s="42">
        <v>-33.2</v>
      </c>
      <c r="T310" s="42">
        <v>140.0</v>
      </c>
      <c r="U310" s="42">
        <v>-66.9</v>
      </c>
      <c r="V310" s="42">
        <v>-22.4</v>
      </c>
      <c r="W310" s="42">
        <v>-59.7</v>
      </c>
    </row>
    <row r="311">
      <c r="A311" s="87">
        <v>310.0</v>
      </c>
      <c r="B311" s="85" t="s">
        <v>1840</v>
      </c>
      <c r="C311" s="85" t="s">
        <v>377</v>
      </c>
      <c r="D311" s="85" t="s">
        <v>1224</v>
      </c>
      <c r="E311" s="85" t="s">
        <v>1201</v>
      </c>
      <c r="F311" s="85" t="s">
        <v>1225</v>
      </c>
      <c r="G311" s="85" t="s">
        <v>1225</v>
      </c>
      <c r="H311" s="85" t="s">
        <v>1226</v>
      </c>
      <c r="I311" s="85" t="s">
        <v>1227</v>
      </c>
      <c r="J311" s="42">
        <v>16.8</v>
      </c>
      <c r="K311" s="42">
        <v>1.4</v>
      </c>
      <c r="L311" s="42">
        <v>8.4</v>
      </c>
      <c r="M311" s="42">
        <v>2.2</v>
      </c>
      <c r="N311" s="42">
        <v>2.8</v>
      </c>
      <c r="O311" s="42">
        <v>2.54E11</v>
      </c>
      <c r="P311" s="42">
        <v>1.01E11</v>
      </c>
      <c r="Q311" s="42">
        <v>-34.4</v>
      </c>
      <c r="R311" s="42">
        <v>-32.7</v>
      </c>
      <c r="S311" s="42">
        <v>-15.3</v>
      </c>
      <c r="T311" s="42">
        <v>170.0</v>
      </c>
      <c r="U311" s="42">
        <v>14.9</v>
      </c>
      <c r="V311" s="42">
        <v>-16.0</v>
      </c>
      <c r="W311" s="42">
        <v>0.0</v>
      </c>
    </row>
    <row r="312">
      <c r="A312" s="87">
        <v>311.0</v>
      </c>
      <c r="B312" s="85" t="s">
        <v>1841</v>
      </c>
      <c r="C312" s="85" t="s">
        <v>378</v>
      </c>
      <c r="D312" s="85" t="s">
        <v>1842</v>
      </c>
      <c r="E312" s="85" t="s">
        <v>1187</v>
      </c>
      <c r="F312" s="85" t="s">
        <v>1843</v>
      </c>
      <c r="G312" s="85" t="s">
        <v>1844</v>
      </c>
      <c r="H312" s="85" t="s">
        <v>1844</v>
      </c>
      <c r="I312" s="85" t="s">
        <v>1316</v>
      </c>
      <c r="J312" s="42">
        <v>0.0</v>
      </c>
      <c r="K312" s="42">
        <v>-0.76</v>
      </c>
      <c r="L312" s="42">
        <v>0.0</v>
      </c>
      <c r="M312" s="42">
        <v>-8.8</v>
      </c>
      <c r="N312" s="42">
        <v>-3.1</v>
      </c>
      <c r="O312" s="42">
        <v>3.27E11</v>
      </c>
      <c r="P312" s="42">
        <v>6000000.0</v>
      </c>
      <c r="Q312" s="42">
        <v>0.0</v>
      </c>
      <c r="R312" s="42">
        <v>0.0</v>
      </c>
      <c r="S312" s="42">
        <v>0.0</v>
      </c>
      <c r="T312" s="42">
        <v>0.0</v>
      </c>
      <c r="U312" s="42">
        <v>-1300000.0</v>
      </c>
      <c r="V312" s="42">
        <v>0.0</v>
      </c>
      <c r="W312" s="42">
        <v>0.0</v>
      </c>
    </row>
    <row r="313">
      <c r="A313" s="87">
        <v>312.0</v>
      </c>
      <c r="B313" s="85" t="s">
        <v>1845</v>
      </c>
      <c r="C313" s="85" t="s">
        <v>379</v>
      </c>
      <c r="D313" s="85" t="s">
        <v>1846</v>
      </c>
      <c r="E313" s="85" t="s">
        <v>1194</v>
      </c>
      <c r="F313" s="85" t="s">
        <v>1847</v>
      </c>
      <c r="G313" s="85" t="s">
        <v>1848</v>
      </c>
      <c r="H313" s="85" t="s">
        <v>1848</v>
      </c>
      <c r="I313" s="85" t="s">
        <v>1265</v>
      </c>
      <c r="J313" s="42">
        <v>2040.0</v>
      </c>
      <c r="K313" s="42">
        <v>76.5</v>
      </c>
      <c r="L313" s="42">
        <v>3.8</v>
      </c>
      <c r="M313" s="42">
        <v>3.4</v>
      </c>
      <c r="N313" s="42">
        <v>0.12</v>
      </c>
      <c r="O313" s="42">
        <v>4.1E12</v>
      </c>
      <c r="P313" s="42">
        <v>2.3E10</v>
      </c>
      <c r="Q313" s="42">
        <v>-50.4</v>
      </c>
      <c r="R313" s="42">
        <v>-34.0</v>
      </c>
      <c r="S313" s="42">
        <v>290.0</v>
      </c>
      <c r="T313" s="42">
        <v>510.0</v>
      </c>
      <c r="U313" s="42">
        <v>8.7</v>
      </c>
      <c r="V313" s="42">
        <v>-33.8</v>
      </c>
      <c r="W313" s="42">
        <v>300.0</v>
      </c>
    </row>
    <row r="314">
      <c r="A314" s="87">
        <v>313.0</v>
      </c>
      <c r="B314" s="85" t="s">
        <v>1849</v>
      </c>
      <c r="C314" s="85" t="s">
        <v>380</v>
      </c>
      <c r="D314" s="85" t="s">
        <v>1463</v>
      </c>
      <c r="E314" s="85" t="s">
        <v>1230</v>
      </c>
      <c r="F314" s="85" t="s">
        <v>1464</v>
      </c>
      <c r="G314" s="85" t="s">
        <v>1465</v>
      </c>
      <c r="H314" s="85" t="s">
        <v>1465</v>
      </c>
      <c r="I314" s="85" t="s">
        <v>1850</v>
      </c>
      <c r="J314" s="42">
        <v>-9.3</v>
      </c>
      <c r="K314" s="42">
        <v>1.8</v>
      </c>
      <c r="L314" s="42">
        <v>-18.9</v>
      </c>
      <c r="M314" s="42">
        <v>-4.9</v>
      </c>
      <c r="N314" s="42">
        <v>2.8</v>
      </c>
      <c r="O314" s="42">
        <v>5.15E13</v>
      </c>
      <c r="P314" s="42">
        <v>1.18E13</v>
      </c>
      <c r="Q314" s="42">
        <v>-19.2</v>
      </c>
      <c r="R314" s="42">
        <v>-5.4</v>
      </c>
      <c r="S314" s="42">
        <v>-26.1</v>
      </c>
      <c r="T314" s="42">
        <v>10.9</v>
      </c>
      <c r="U314" s="42">
        <v>-46.8</v>
      </c>
      <c r="V314" s="42">
        <v>-15.3</v>
      </c>
      <c r="W314" s="42">
        <v>-34.9</v>
      </c>
    </row>
    <row r="315">
      <c r="A315" s="87">
        <v>314.0</v>
      </c>
      <c r="B315" s="85" t="s">
        <v>1851</v>
      </c>
      <c r="C315" s="85" t="s">
        <v>381</v>
      </c>
      <c r="D315" s="85" t="s">
        <v>1193</v>
      </c>
      <c r="E315" s="85" t="s">
        <v>1194</v>
      </c>
      <c r="F315" s="85" t="s">
        <v>1195</v>
      </c>
      <c r="G315" s="85" t="s">
        <v>1196</v>
      </c>
      <c r="H315" s="85" t="s">
        <v>1197</v>
      </c>
      <c r="I315" s="85" t="s">
        <v>1718</v>
      </c>
      <c r="J315" s="42">
        <v>24.4</v>
      </c>
      <c r="K315" s="42">
        <v>6.3</v>
      </c>
      <c r="L315" s="42">
        <v>25.8</v>
      </c>
      <c r="M315" s="42">
        <v>10.4</v>
      </c>
      <c r="N315" s="42">
        <v>1.5</v>
      </c>
      <c r="O315" s="42">
        <v>2.61E13</v>
      </c>
      <c r="P315" s="42">
        <v>2.0E12</v>
      </c>
      <c r="Q315" s="42">
        <v>1.8</v>
      </c>
      <c r="R315" s="42">
        <v>14.7</v>
      </c>
      <c r="S315" s="42">
        <v>14.7</v>
      </c>
      <c r="T315" s="42">
        <v>34.4</v>
      </c>
      <c r="U315" s="42">
        <v>53.5</v>
      </c>
      <c r="V315" s="42">
        <v>0.347</v>
      </c>
      <c r="W315" s="42">
        <v>12.9</v>
      </c>
    </row>
    <row r="316">
      <c r="A316" s="87">
        <v>315.0</v>
      </c>
      <c r="B316" s="85" t="s">
        <v>1852</v>
      </c>
      <c r="C316" s="85" t="s">
        <v>382</v>
      </c>
      <c r="D316" s="85" t="s">
        <v>1456</v>
      </c>
      <c r="E316" s="85" t="s">
        <v>1201</v>
      </c>
      <c r="F316" s="85" t="s">
        <v>1286</v>
      </c>
      <c r="G316" s="85" t="s">
        <v>1287</v>
      </c>
      <c r="H316" s="85" t="s">
        <v>1457</v>
      </c>
      <c r="I316" s="85" t="s">
        <v>1381</v>
      </c>
      <c r="J316" s="42">
        <v>-3.6</v>
      </c>
      <c r="K316" s="42">
        <v>2.4</v>
      </c>
      <c r="L316" s="42">
        <v>-68.0</v>
      </c>
      <c r="M316" s="42">
        <v>-6.1</v>
      </c>
      <c r="N316" s="42">
        <v>10.2</v>
      </c>
      <c r="O316" s="42">
        <v>1.1E12</v>
      </c>
      <c r="P316" s="42">
        <v>1.4E12</v>
      </c>
      <c r="Q316" s="42">
        <v>-29.9</v>
      </c>
      <c r="R316" s="42">
        <v>-42.3</v>
      </c>
      <c r="S316" s="42">
        <v>-67.2</v>
      </c>
      <c r="T316" s="42">
        <v>-35.3</v>
      </c>
      <c r="U316" s="42">
        <v>-22.2</v>
      </c>
      <c r="V316" s="42">
        <v>-21.1</v>
      </c>
      <c r="W316" s="42">
        <v>-67.2</v>
      </c>
    </row>
    <row r="317">
      <c r="A317" s="87">
        <v>316.0</v>
      </c>
      <c r="B317" s="85" t="s">
        <v>1853</v>
      </c>
      <c r="C317" s="85" t="s">
        <v>383</v>
      </c>
      <c r="D317" s="85" t="s">
        <v>1304</v>
      </c>
      <c r="E317" s="85" t="s">
        <v>1252</v>
      </c>
      <c r="F317" s="85" t="s">
        <v>1252</v>
      </c>
      <c r="G317" s="85" t="s">
        <v>1305</v>
      </c>
      <c r="H317" s="85" t="s">
        <v>1305</v>
      </c>
      <c r="I317" s="85" t="s">
        <v>1854</v>
      </c>
      <c r="J317" s="42">
        <v>-20.0</v>
      </c>
      <c r="K317" s="42">
        <v>3.0</v>
      </c>
      <c r="L317" s="42">
        <v>-14.8</v>
      </c>
      <c r="M317" s="42">
        <v>-6.9</v>
      </c>
      <c r="N317" s="42">
        <v>1.2</v>
      </c>
      <c r="O317" s="42">
        <v>1.7E13</v>
      </c>
      <c r="P317" s="42">
        <v>2.0E12</v>
      </c>
      <c r="Q317" s="42">
        <v>0.0</v>
      </c>
      <c r="R317" s="42">
        <v>0.0</v>
      </c>
      <c r="S317" s="42">
        <v>0.0</v>
      </c>
      <c r="T317" s="42">
        <v>-3.2</v>
      </c>
      <c r="U317" s="42">
        <v>-43.5</v>
      </c>
      <c r="V317" s="42">
        <v>0.0</v>
      </c>
      <c r="W317" s="42">
        <v>0.0</v>
      </c>
    </row>
    <row r="318">
      <c r="A318" s="87">
        <v>317.0</v>
      </c>
      <c r="B318" s="85" t="s">
        <v>1855</v>
      </c>
      <c r="C318" s="85" t="s">
        <v>384</v>
      </c>
      <c r="D318" s="85" t="s">
        <v>1856</v>
      </c>
      <c r="E318" s="85" t="s">
        <v>1201</v>
      </c>
      <c r="F318" s="85" t="s">
        <v>1202</v>
      </c>
      <c r="G318" s="85" t="s">
        <v>1857</v>
      </c>
      <c r="H318" s="85" t="s">
        <v>1857</v>
      </c>
      <c r="I318" s="85" t="s">
        <v>1858</v>
      </c>
      <c r="J318" s="42">
        <v>-99.5</v>
      </c>
      <c r="K318" s="42">
        <v>7.3</v>
      </c>
      <c r="L318" s="42">
        <v>-7.4</v>
      </c>
      <c r="M318" s="42">
        <v>-6.3</v>
      </c>
      <c r="N318" s="42">
        <v>0.18</v>
      </c>
      <c r="O318" s="42">
        <v>2.34E13</v>
      </c>
      <c r="P318" s="42">
        <v>1.51E11</v>
      </c>
      <c r="Q318" s="42">
        <v>-36.9</v>
      </c>
      <c r="R318" s="42">
        <v>-59.7</v>
      </c>
      <c r="S318" s="42">
        <v>-86.2</v>
      </c>
      <c r="T318" s="42">
        <v>-40.6</v>
      </c>
      <c r="U318" s="42">
        <v>-160.0</v>
      </c>
      <c r="V318" s="42">
        <v>-30.2</v>
      </c>
      <c r="W318" s="42">
        <v>-89.6</v>
      </c>
    </row>
    <row r="319">
      <c r="A319" s="87">
        <v>318.0</v>
      </c>
      <c r="B319" s="85" t="s">
        <v>1859</v>
      </c>
      <c r="C319" s="85" t="s">
        <v>385</v>
      </c>
      <c r="D319" s="85" t="s">
        <v>1229</v>
      </c>
      <c r="E319" s="85" t="s">
        <v>1230</v>
      </c>
      <c r="F319" s="85" t="s">
        <v>1231</v>
      </c>
      <c r="G319" s="85" t="s">
        <v>1231</v>
      </c>
      <c r="H319" s="85" t="s">
        <v>1231</v>
      </c>
      <c r="I319" s="89"/>
      <c r="J319" s="42">
        <v>-2.8</v>
      </c>
      <c r="K319" s="42">
        <v>1.3</v>
      </c>
      <c r="L319" s="42">
        <v>-46.2</v>
      </c>
      <c r="M319" s="42">
        <v>-36.8</v>
      </c>
      <c r="N319" s="42">
        <v>0.25</v>
      </c>
      <c r="O319" s="42">
        <v>2.8E10</v>
      </c>
      <c r="P319" s="42">
        <v>4.0E9</v>
      </c>
      <c r="Q319" s="42">
        <v>0.0</v>
      </c>
      <c r="R319" s="42">
        <v>0.0</v>
      </c>
      <c r="S319" s="42">
        <v>0.0</v>
      </c>
      <c r="T319" s="42">
        <v>-28.1</v>
      </c>
      <c r="U319" s="42">
        <v>-250.0</v>
      </c>
      <c r="V319" s="42">
        <v>0.0</v>
      </c>
      <c r="W319" s="42">
        <v>0.0</v>
      </c>
    </row>
    <row r="320">
      <c r="A320" s="87">
        <v>319.0</v>
      </c>
      <c r="B320" s="85" t="s">
        <v>1860</v>
      </c>
      <c r="C320" s="85" t="s">
        <v>386</v>
      </c>
      <c r="D320" s="85" t="s">
        <v>1308</v>
      </c>
      <c r="E320" s="85" t="s">
        <v>1187</v>
      </c>
      <c r="F320" s="85" t="s">
        <v>1188</v>
      </c>
      <c r="G320" s="85" t="s">
        <v>1189</v>
      </c>
      <c r="H320" s="85" t="s">
        <v>1309</v>
      </c>
      <c r="I320" s="85" t="s">
        <v>1280</v>
      </c>
      <c r="J320" s="42">
        <v>-40.1</v>
      </c>
      <c r="K320" s="42">
        <v>0.66</v>
      </c>
      <c r="L320" s="42">
        <v>-1.6</v>
      </c>
      <c r="M320" s="42">
        <v>-1.2</v>
      </c>
      <c r="N320" s="42">
        <v>0.41</v>
      </c>
      <c r="O320" s="42">
        <v>1.58E11</v>
      </c>
      <c r="P320" s="42">
        <v>4.8E10</v>
      </c>
      <c r="Q320" s="42">
        <v>-37.7</v>
      </c>
      <c r="R320" s="42">
        <v>-40.3</v>
      </c>
      <c r="S320" s="42">
        <v>-11.3</v>
      </c>
      <c r="T320" s="42">
        <v>13.2</v>
      </c>
      <c r="U320" s="42">
        <v>-8.1</v>
      </c>
      <c r="V320" s="42">
        <v>-21.1</v>
      </c>
      <c r="W320" s="42">
        <v>-50.6</v>
      </c>
    </row>
    <row r="321">
      <c r="A321" s="87">
        <v>320.0</v>
      </c>
      <c r="B321" s="85" t="s">
        <v>1861</v>
      </c>
      <c r="C321" s="85" t="s">
        <v>387</v>
      </c>
      <c r="D321" s="85" t="s">
        <v>1193</v>
      </c>
      <c r="E321" s="85" t="s">
        <v>1194</v>
      </c>
      <c r="F321" s="85" t="s">
        <v>1195</v>
      </c>
      <c r="G321" s="85" t="s">
        <v>1196</v>
      </c>
      <c r="H321" s="85" t="s">
        <v>1197</v>
      </c>
      <c r="I321" s="85" t="s">
        <v>1243</v>
      </c>
      <c r="J321" s="42">
        <v>16.8</v>
      </c>
      <c r="K321" s="42">
        <v>1.1</v>
      </c>
      <c r="L321" s="42">
        <v>6.3</v>
      </c>
      <c r="M321" s="42">
        <v>2.4</v>
      </c>
      <c r="N321" s="42">
        <v>1.6</v>
      </c>
      <c r="O321" s="42">
        <v>3.3E12</v>
      </c>
      <c r="P321" s="42">
        <v>4.7E12</v>
      </c>
      <c r="Q321" s="42">
        <v>-29.6</v>
      </c>
      <c r="R321" s="42">
        <v>-13.8</v>
      </c>
      <c r="S321" s="42">
        <v>-54.5</v>
      </c>
      <c r="T321" s="42">
        <v>-94.6</v>
      </c>
      <c r="U321" s="42">
        <v>4.3</v>
      </c>
      <c r="V321" s="42">
        <v>-19.4</v>
      </c>
      <c r="W321" s="42">
        <v>-44.0</v>
      </c>
    </row>
    <row r="322">
      <c r="A322" s="87">
        <v>321.0</v>
      </c>
      <c r="B322" s="85" t="s">
        <v>1862</v>
      </c>
      <c r="C322" s="85" t="s">
        <v>388</v>
      </c>
      <c r="D322" s="85" t="s">
        <v>1285</v>
      </c>
      <c r="E322" s="85" t="s">
        <v>1201</v>
      </c>
      <c r="F322" s="85" t="s">
        <v>1286</v>
      </c>
      <c r="G322" s="85" t="s">
        <v>1287</v>
      </c>
      <c r="H322" s="85" t="s">
        <v>1288</v>
      </c>
      <c r="I322" s="85" t="s">
        <v>1458</v>
      </c>
      <c r="J322" s="42">
        <v>-88.6</v>
      </c>
      <c r="K322" s="42">
        <v>6.3</v>
      </c>
      <c r="L322" s="42">
        <v>-7.1</v>
      </c>
      <c r="M322" s="42">
        <v>-4.3</v>
      </c>
      <c r="N322" s="42">
        <v>0.65</v>
      </c>
      <c r="O322" s="42">
        <v>4.9E11</v>
      </c>
      <c r="P322" s="42">
        <v>8.94E9</v>
      </c>
      <c r="Q322" s="42">
        <v>-28.4</v>
      </c>
      <c r="R322" s="42">
        <v>-57.1</v>
      </c>
      <c r="S322" s="42">
        <v>-55.5</v>
      </c>
      <c r="T322" s="42">
        <v>-8.6</v>
      </c>
      <c r="U322" s="42">
        <v>-61.9</v>
      </c>
      <c r="V322" s="42">
        <v>-15.3</v>
      </c>
      <c r="W322" s="42">
        <v>-46.8</v>
      </c>
    </row>
    <row r="323">
      <c r="A323" s="87">
        <v>322.0</v>
      </c>
      <c r="B323" s="85" t="s">
        <v>1863</v>
      </c>
      <c r="C323" s="85" t="s">
        <v>389</v>
      </c>
      <c r="D323" s="85" t="s">
        <v>1846</v>
      </c>
      <c r="E323" s="85" t="s">
        <v>1194</v>
      </c>
      <c r="F323" s="85" t="s">
        <v>1847</v>
      </c>
      <c r="G323" s="85" t="s">
        <v>1848</v>
      </c>
      <c r="H323" s="85" t="s">
        <v>1848</v>
      </c>
      <c r="I323" s="85" t="s">
        <v>1265</v>
      </c>
      <c r="J323" s="42">
        <v>-5.2</v>
      </c>
      <c r="K323" s="42">
        <v>5.8</v>
      </c>
      <c r="L323" s="42">
        <v>-110.0</v>
      </c>
      <c r="M323" s="42">
        <v>-41.7</v>
      </c>
      <c r="N323" s="42">
        <v>1.7</v>
      </c>
      <c r="O323" s="42">
        <v>1.2E11</v>
      </c>
      <c r="P323" s="42">
        <v>1.4E10</v>
      </c>
      <c r="Q323" s="42">
        <v>-19.6</v>
      </c>
      <c r="R323" s="42">
        <v>0.0</v>
      </c>
      <c r="S323" s="42">
        <v>-28.9</v>
      </c>
      <c r="T323" s="42">
        <v>150.0</v>
      </c>
      <c r="U323" s="42">
        <v>-160.0</v>
      </c>
      <c r="V323" s="42">
        <v>-17.7</v>
      </c>
      <c r="W323" s="42">
        <v>-11.2</v>
      </c>
    </row>
    <row r="324">
      <c r="A324" s="87">
        <v>323.0</v>
      </c>
      <c r="B324" s="85" t="s">
        <v>1864</v>
      </c>
      <c r="C324" s="85" t="s">
        <v>390</v>
      </c>
      <c r="D324" s="85" t="s">
        <v>1234</v>
      </c>
      <c r="E324" s="85" t="s">
        <v>1235</v>
      </c>
      <c r="F324" s="85" t="s">
        <v>1235</v>
      </c>
      <c r="G324" s="85" t="s">
        <v>1236</v>
      </c>
      <c r="H324" s="85" t="s">
        <v>1237</v>
      </c>
      <c r="I324" s="85" t="s">
        <v>1238</v>
      </c>
      <c r="J324" s="42">
        <v>-200.0</v>
      </c>
      <c r="K324" s="42">
        <v>2.1</v>
      </c>
      <c r="L324" s="42">
        <v>-1.1</v>
      </c>
      <c r="M324" s="42">
        <v>-0.96</v>
      </c>
      <c r="N324" s="42">
        <v>0.09</v>
      </c>
      <c r="O324" s="42">
        <v>1.4E12</v>
      </c>
      <c r="P324" s="42">
        <v>0.0</v>
      </c>
      <c r="Q324" s="42">
        <v>-14.4</v>
      </c>
      <c r="R324" s="42">
        <v>3.7</v>
      </c>
      <c r="S324" s="42">
        <v>-29.4</v>
      </c>
      <c r="T324" s="42">
        <v>-43.2</v>
      </c>
      <c r="U324" s="42">
        <v>0.0</v>
      </c>
      <c r="V324" s="42">
        <v>5.6</v>
      </c>
      <c r="W324" s="42">
        <v>-23.1</v>
      </c>
    </row>
    <row r="325">
      <c r="A325" s="87">
        <v>324.0</v>
      </c>
      <c r="B325" s="85" t="s">
        <v>1865</v>
      </c>
      <c r="C325" s="85" t="s">
        <v>391</v>
      </c>
      <c r="D325" s="85" t="s">
        <v>1213</v>
      </c>
      <c r="E325" s="85" t="s">
        <v>1214</v>
      </c>
      <c r="F325" s="85" t="s">
        <v>1215</v>
      </c>
      <c r="G325" s="85" t="s">
        <v>1215</v>
      </c>
      <c r="H325" s="85" t="s">
        <v>1215</v>
      </c>
      <c r="I325" s="85" t="s">
        <v>1328</v>
      </c>
      <c r="J325" s="42">
        <v>200.0</v>
      </c>
      <c r="K325" s="42">
        <v>6.4</v>
      </c>
      <c r="L325" s="42">
        <v>3.2</v>
      </c>
      <c r="M325" s="42">
        <v>3.0</v>
      </c>
      <c r="N325" s="42">
        <v>0.07</v>
      </c>
      <c r="O325" s="42">
        <v>8.76E11</v>
      </c>
      <c r="P325" s="42">
        <v>4.1E9</v>
      </c>
      <c r="Q325" s="42">
        <v>-58.2</v>
      </c>
      <c r="R325" s="42">
        <v>-66.0</v>
      </c>
      <c r="S325" s="42">
        <v>-67.1</v>
      </c>
      <c r="T325" s="42">
        <v>140.0</v>
      </c>
      <c r="U325" s="42">
        <v>110.0</v>
      </c>
      <c r="V325" s="42">
        <v>-29.7</v>
      </c>
      <c r="W325" s="42">
        <v>-67.7</v>
      </c>
    </row>
    <row r="326">
      <c r="A326" s="87">
        <v>325.0</v>
      </c>
      <c r="B326" s="85" t="s">
        <v>1866</v>
      </c>
      <c r="C326" s="85" t="s">
        <v>392</v>
      </c>
      <c r="D326" s="85" t="s">
        <v>1282</v>
      </c>
      <c r="E326" s="85" t="s">
        <v>1194</v>
      </c>
      <c r="F326" s="85" t="s">
        <v>1195</v>
      </c>
      <c r="G326" s="85" t="s">
        <v>1283</v>
      </c>
      <c r="H326" s="85" t="s">
        <v>1283</v>
      </c>
      <c r="I326" s="85" t="s">
        <v>1350</v>
      </c>
      <c r="J326" s="42">
        <v>-7.6</v>
      </c>
      <c r="K326" s="42">
        <v>-3.8</v>
      </c>
      <c r="L326" s="42">
        <v>0.0</v>
      </c>
      <c r="M326" s="42">
        <v>-34.5</v>
      </c>
      <c r="N326" s="42">
        <v>-2.4</v>
      </c>
      <c r="O326" s="42">
        <v>1.17E11</v>
      </c>
      <c r="P326" s="42">
        <v>2.4E10</v>
      </c>
      <c r="Q326" s="42">
        <v>-1.1</v>
      </c>
      <c r="R326" s="42">
        <v>-37.3</v>
      </c>
      <c r="S326" s="42">
        <v>-59.2</v>
      </c>
      <c r="T326" s="42">
        <v>72.8</v>
      </c>
      <c r="U326" s="42">
        <v>-64.3</v>
      </c>
      <c r="V326" s="42">
        <v>7.9</v>
      </c>
      <c r="W326" s="42">
        <v>-53.6</v>
      </c>
    </row>
    <row r="327">
      <c r="A327" s="87">
        <v>326.0</v>
      </c>
      <c r="B327" s="85" t="s">
        <v>1867</v>
      </c>
      <c r="C327" s="85" t="s">
        <v>393</v>
      </c>
      <c r="D327" s="85" t="s">
        <v>1240</v>
      </c>
      <c r="E327" s="85" t="s">
        <v>1194</v>
      </c>
      <c r="F327" s="85" t="s">
        <v>1195</v>
      </c>
      <c r="G327" s="85" t="s">
        <v>1241</v>
      </c>
      <c r="H327" s="85" t="s">
        <v>1242</v>
      </c>
      <c r="I327" s="85" t="s">
        <v>1352</v>
      </c>
      <c r="J327" s="42">
        <v>67.1</v>
      </c>
      <c r="K327" s="42">
        <v>9.1</v>
      </c>
      <c r="L327" s="42">
        <v>13.6</v>
      </c>
      <c r="M327" s="42">
        <v>8.1</v>
      </c>
      <c r="N327" s="42">
        <v>0.69</v>
      </c>
      <c r="O327" s="42">
        <v>6.3E12</v>
      </c>
      <c r="P327" s="42">
        <v>4.44E11</v>
      </c>
      <c r="Q327" s="42">
        <v>-36.1</v>
      </c>
      <c r="R327" s="42">
        <v>30.3</v>
      </c>
      <c r="S327" s="42">
        <v>15.9</v>
      </c>
      <c r="T327" s="42">
        <v>9.7</v>
      </c>
      <c r="U327" s="42">
        <v>21.1</v>
      </c>
      <c r="V327" s="42">
        <v>-15.1</v>
      </c>
      <c r="W327" s="42">
        <v>10.7</v>
      </c>
    </row>
    <row r="328">
      <c r="A328" s="87">
        <v>327.0</v>
      </c>
      <c r="B328" s="85" t="s">
        <v>1868</v>
      </c>
      <c r="C328" s="85" t="s">
        <v>394</v>
      </c>
      <c r="D328" s="85" t="s">
        <v>1782</v>
      </c>
      <c r="E328" s="85" t="s">
        <v>1201</v>
      </c>
      <c r="F328" s="85" t="s">
        <v>1202</v>
      </c>
      <c r="G328" s="85" t="s">
        <v>1203</v>
      </c>
      <c r="H328" s="85" t="s">
        <v>1783</v>
      </c>
      <c r="I328" s="85" t="s">
        <v>1227</v>
      </c>
      <c r="J328" s="42">
        <v>-94.1</v>
      </c>
      <c r="K328" s="42">
        <v>36.3</v>
      </c>
      <c r="L328" s="42">
        <v>-38.6</v>
      </c>
      <c r="M328" s="42">
        <v>-22.1</v>
      </c>
      <c r="N328" s="42">
        <v>0.74</v>
      </c>
      <c r="O328" s="42">
        <v>6.98E11</v>
      </c>
      <c r="P328" s="42">
        <v>5.41E9</v>
      </c>
      <c r="Q328" s="42">
        <v>28.3</v>
      </c>
      <c r="R328" s="42">
        <v>43.8</v>
      </c>
      <c r="S328" s="42">
        <v>97.1</v>
      </c>
      <c r="T328" s="42">
        <v>31.6</v>
      </c>
      <c r="U328" s="42">
        <v>-140.0</v>
      </c>
      <c r="V328" s="42">
        <v>21.3</v>
      </c>
      <c r="W328" s="42">
        <v>21.0</v>
      </c>
    </row>
    <row r="329">
      <c r="A329" s="87">
        <v>328.0</v>
      </c>
      <c r="B329" s="85" t="s">
        <v>1869</v>
      </c>
      <c r="C329" s="85" t="s">
        <v>395</v>
      </c>
      <c r="D329" s="85" t="s">
        <v>1251</v>
      </c>
      <c r="E329" s="85" t="s">
        <v>1252</v>
      </c>
      <c r="F329" s="85" t="s">
        <v>1252</v>
      </c>
      <c r="G329" s="85" t="s">
        <v>1253</v>
      </c>
      <c r="H329" s="85" t="s">
        <v>1254</v>
      </c>
      <c r="I329" s="85" t="s">
        <v>1271</v>
      </c>
      <c r="J329" s="42">
        <v>16.4</v>
      </c>
      <c r="K329" s="42">
        <v>1.2</v>
      </c>
      <c r="L329" s="42">
        <v>7.0</v>
      </c>
      <c r="M329" s="42">
        <v>4.5</v>
      </c>
      <c r="N329" s="42">
        <v>0.56</v>
      </c>
      <c r="O329" s="42">
        <v>2.0E12</v>
      </c>
      <c r="P329" s="42">
        <v>1.4E12</v>
      </c>
      <c r="Q329" s="42">
        <v>-43.7</v>
      </c>
      <c r="R329" s="42">
        <v>-30.1</v>
      </c>
      <c r="S329" s="42">
        <v>-81.2</v>
      </c>
      <c r="T329" s="42">
        <v>27.5</v>
      </c>
      <c r="U329" s="42">
        <v>9.1</v>
      </c>
      <c r="V329" s="42">
        <v>-27.8</v>
      </c>
      <c r="W329" s="42">
        <v>-71.9</v>
      </c>
    </row>
    <row r="330">
      <c r="A330" s="87">
        <v>329.0</v>
      </c>
      <c r="B330" s="85" t="s">
        <v>1870</v>
      </c>
      <c r="C330" s="85" t="s">
        <v>396</v>
      </c>
      <c r="D330" s="85" t="s">
        <v>1463</v>
      </c>
      <c r="E330" s="85" t="s">
        <v>1230</v>
      </c>
      <c r="F330" s="85" t="s">
        <v>1464</v>
      </c>
      <c r="G330" s="85" t="s">
        <v>1465</v>
      </c>
      <c r="H330" s="85" t="s">
        <v>1465</v>
      </c>
      <c r="I330" s="89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</row>
    <row r="331">
      <c r="A331" s="87">
        <v>330.0</v>
      </c>
      <c r="B331" s="85" t="s">
        <v>1871</v>
      </c>
      <c r="C331" s="85" t="s">
        <v>397</v>
      </c>
      <c r="D331" s="85" t="s">
        <v>1247</v>
      </c>
      <c r="E331" s="85" t="s">
        <v>1208</v>
      </c>
      <c r="F331" s="85" t="s">
        <v>1248</v>
      </c>
      <c r="G331" s="85" t="s">
        <v>1249</v>
      </c>
      <c r="H331" s="85" t="s">
        <v>1249</v>
      </c>
      <c r="I331" s="85" t="s">
        <v>1278</v>
      </c>
      <c r="J331" s="42">
        <v>61.2</v>
      </c>
      <c r="K331" s="42">
        <v>2.0</v>
      </c>
      <c r="L331" s="42">
        <v>3.2</v>
      </c>
      <c r="M331" s="42">
        <v>3.1</v>
      </c>
      <c r="N331" s="42">
        <v>0.03</v>
      </c>
      <c r="O331" s="42">
        <v>3.56E11</v>
      </c>
      <c r="P331" s="42">
        <v>8.4E8</v>
      </c>
      <c r="Q331" s="42">
        <v>-20.1</v>
      </c>
      <c r="R331" s="42">
        <v>-27.0</v>
      </c>
      <c r="S331" s="42">
        <v>-68.4</v>
      </c>
      <c r="T331" s="42">
        <v>-25.7</v>
      </c>
      <c r="U331" s="42">
        <v>690.0</v>
      </c>
      <c r="V331" s="42">
        <v>-11.8</v>
      </c>
      <c r="W331" s="42">
        <v>-63.5</v>
      </c>
    </row>
    <row r="332">
      <c r="A332" s="87">
        <v>331.0</v>
      </c>
      <c r="B332" s="85" t="s">
        <v>1872</v>
      </c>
      <c r="C332" s="85" t="s">
        <v>398</v>
      </c>
      <c r="D332" s="85" t="s">
        <v>1782</v>
      </c>
      <c r="E332" s="85" t="s">
        <v>1201</v>
      </c>
      <c r="F332" s="85" t="s">
        <v>1202</v>
      </c>
      <c r="G332" s="85" t="s">
        <v>1203</v>
      </c>
      <c r="H332" s="85" t="s">
        <v>1783</v>
      </c>
      <c r="I332" s="85" t="s">
        <v>1381</v>
      </c>
      <c r="J332" s="42">
        <v>150.0</v>
      </c>
      <c r="K332" s="42">
        <v>5.4</v>
      </c>
      <c r="L332" s="42">
        <v>3.5</v>
      </c>
      <c r="M332" s="42">
        <v>3.2</v>
      </c>
      <c r="N332" s="42">
        <v>0.09</v>
      </c>
      <c r="O332" s="42">
        <v>1.2E12</v>
      </c>
      <c r="P332" s="42">
        <v>3.4E10</v>
      </c>
      <c r="Q332" s="42">
        <v>-52.7</v>
      </c>
      <c r="R332" s="42">
        <v>-57.3</v>
      </c>
      <c r="S332" s="42">
        <v>-85.0</v>
      </c>
      <c r="T332" s="42">
        <v>31.3</v>
      </c>
      <c r="U332" s="42">
        <v>22.9</v>
      </c>
      <c r="V332" s="42">
        <v>-38.6</v>
      </c>
      <c r="W332" s="42">
        <v>-84.0</v>
      </c>
    </row>
    <row r="333">
      <c r="A333" s="87">
        <v>332.0</v>
      </c>
      <c r="B333" s="85" t="s">
        <v>1873</v>
      </c>
      <c r="C333" s="85" t="s">
        <v>399</v>
      </c>
      <c r="D333" s="85" t="s">
        <v>1822</v>
      </c>
      <c r="E333" s="85" t="s">
        <v>1187</v>
      </c>
      <c r="F333" s="85" t="s">
        <v>1188</v>
      </c>
      <c r="G333" s="85" t="s">
        <v>1295</v>
      </c>
      <c r="H333" s="85" t="s">
        <v>1823</v>
      </c>
      <c r="I333" s="85" t="s">
        <v>1255</v>
      </c>
      <c r="J333" s="42">
        <v>-7.6</v>
      </c>
      <c r="K333" s="42">
        <v>0.49</v>
      </c>
      <c r="L333" s="42">
        <v>-6.4</v>
      </c>
      <c r="M333" s="42">
        <v>-2.5</v>
      </c>
      <c r="N333" s="42">
        <v>1.6</v>
      </c>
      <c r="O333" s="42">
        <v>1.59E11</v>
      </c>
      <c r="P333" s="42">
        <v>1.21E11</v>
      </c>
      <c r="Q333" s="42">
        <v>-35.1</v>
      </c>
      <c r="R333" s="42">
        <v>-51.6</v>
      </c>
      <c r="S333" s="42">
        <v>-59.3</v>
      </c>
      <c r="T333" s="42">
        <v>-61.1</v>
      </c>
      <c r="U333" s="42">
        <v>-17.2</v>
      </c>
      <c r="V333" s="42">
        <v>-25.6</v>
      </c>
      <c r="W333" s="42">
        <v>-58.5</v>
      </c>
    </row>
    <row r="334">
      <c r="A334" s="87">
        <v>333.0</v>
      </c>
      <c r="B334" s="85" t="s">
        <v>1874</v>
      </c>
      <c r="C334" s="85" t="s">
        <v>400</v>
      </c>
      <c r="D334" s="85" t="s">
        <v>1234</v>
      </c>
      <c r="E334" s="85" t="s">
        <v>1235</v>
      </c>
      <c r="F334" s="85" t="s">
        <v>1235</v>
      </c>
      <c r="G334" s="85" t="s">
        <v>1236</v>
      </c>
      <c r="H334" s="85" t="s">
        <v>1237</v>
      </c>
      <c r="I334" s="85" t="s">
        <v>1392</v>
      </c>
      <c r="J334" s="42">
        <v>0.0</v>
      </c>
      <c r="K334" s="42">
        <v>0.17</v>
      </c>
      <c r="L334" s="42">
        <v>-3.3</v>
      </c>
      <c r="M334" s="42">
        <v>-2.5</v>
      </c>
      <c r="N334" s="42">
        <v>0.31</v>
      </c>
      <c r="O334" s="42">
        <v>1.8E11</v>
      </c>
      <c r="P334" s="42">
        <v>1.1E10</v>
      </c>
      <c r="Q334" s="42">
        <v>0.0</v>
      </c>
      <c r="R334" s="42">
        <v>0.0</v>
      </c>
      <c r="S334" s="42">
        <v>0.0</v>
      </c>
      <c r="T334" s="42">
        <v>0.0</v>
      </c>
      <c r="U334" s="42">
        <v>-300.0</v>
      </c>
      <c r="V334" s="42">
        <v>0.0</v>
      </c>
      <c r="W334" s="42">
        <v>0.0</v>
      </c>
    </row>
    <row r="335">
      <c r="A335" s="87">
        <v>334.0</v>
      </c>
      <c r="B335" s="85" t="s">
        <v>1875</v>
      </c>
      <c r="C335" s="85" t="s">
        <v>401</v>
      </c>
      <c r="D335" s="85" t="s">
        <v>1460</v>
      </c>
      <c r="E335" s="85" t="s">
        <v>1252</v>
      </c>
      <c r="F335" s="85" t="s">
        <v>1252</v>
      </c>
      <c r="G335" s="85" t="s">
        <v>1313</v>
      </c>
      <c r="H335" s="85" t="s">
        <v>1461</v>
      </c>
      <c r="I335" s="85" t="s">
        <v>1271</v>
      </c>
      <c r="J335" s="42">
        <v>17.5</v>
      </c>
      <c r="K335" s="42">
        <v>0.58</v>
      </c>
      <c r="L335" s="42">
        <v>3.3</v>
      </c>
      <c r="M335" s="42">
        <v>1.4</v>
      </c>
      <c r="N335" s="42">
        <v>1.4</v>
      </c>
      <c r="O335" s="42">
        <v>8.32E11</v>
      </c>
      <c r="P335" s="42">
        <v>4.69E11</v>
      </c>
      <c r="Q335" s="42">
        <v>-29.6</v>
      </c>
      <c r="R335" s="42">
        <v>-33.0</v>
      </c>
      <c r="S335" s="42">
        <v>-43.4</v>
      </c>
      <c r="T335" s="42">
        <v>-42.5</v>
      </c>
      <c r="U335" s="42">
        <v>10.1</v>
      </c>
      <c r="V335" s="42">
        <v>-23.3</v>
      </c>
      <c r="W335" s="42">
        <v>-45.2</v>
      </c>
    </row>
    <row r="336">
      <c r="A336" s="87">
        <v>335.0</v>
      </c>
      <c r="B336" s="85" t="s">
        <v>1876</v>
      </c>
      <c r="C336" s="85" t="s">
        <v>402</v>
      </c>
      <c r="D336" s="85" t="s">
        <v>1597</v>
      </c>
      <c r="E336" s="85" t="s">
        <v>1201</v>
      </c>
      <c r="F336" s="85" t="s">
        <v>1262</v>
      </c>
      <c r="G336" s="85" t="s">
        <v>1263</v>
      </c>
      <c r="H336" s="85" t="s">
        <v>1598</v>
      </c>
      <c r="I336" s="85" t="s">
        <v>1458</v>
      </c>
      <c r="J336" s="42">
        <v>12.2</v>
      </c>
      <c r="K336" s="42">
        <v>0.43</v>
      </c>
      <c r="L336" s="42">
        <v>3.5</v>
      </c>
      <c r="M336" s="42">
        <v>2.1</v>
      </c>
      <c r="N336" s="42">
        <v>0.71</v>
      </c>
      <c r="O336" s="42">
        <v>4.43E11</v>
      </c>
      <c r="P336" s="42">
        <v>5.97E11</v>
      </c>
      <c r="Q336" s="42">
        <v>0.0</v>
      </c>
      <c r="R336" s="42">
        <v>0.0</v>
      </c>
      <c r="S336" s="42">
        <v>-0.448</v>
      </c>
      <c r="T336" s="42">
        <v>-8.3</v>
      </c>
      <c r="U336" s="42">
        <v>6.1</v>
      </c>
      <c r="V336" s="42">
        <v>3.7</v>
      </c>
      <c r="W336" s="42">
        <v>18.7</v>
      </c>
    </row>
    <row r="337">
      <c r="A337" s="87">
        <v>336.0</v>
      </c>
      <c r="B337" s="85" t="s">
        <v>1877</v>
      </c>
      <c r="C337" s="85" t="s">
        <v>403</v>
      </c>
      <c r="D337" s="85" t="s">
        <v>1665</v>
      </c>
      <c r="E337" s="85" t="s">
        <v>1201</v>
      </c>
      <c r="F337" s="85" t="s">
        <v>1666</v>
      </c>
      <c r="G337" s="85" t="s">
        <v>1666</v>
      </c>
      <c r="H337" s="85" t="s">
        <v>1667</v>
      </c>
      <c r="I337" s="85" t="s">
        <v>1458</v>
      </c>
      <c r="J337" s="42">
        <v>11.9</v>
      </c>
      <c r="K337" s="42">
        <v>0.32</v>
      </c>
      <c r="L337" s="42">
        <v>2.7</v>
      </c>
      <c r="M337" s="42">
        <v>0.93</v>
      </c>
      <c r="N337" s="42">
        <v>1.8</v>
      </c>
      <c r="O337" s="42">
        <v>1.36E11</v>
      </c>
      <c r="P337" s="42">
        <v>3.37E11</v>
      </c>
      <c r="Q337" s="42">
        <v>-15.9</v>
      </c>
      <c r="R337" s="42">
        <v>-8.6</v>
      </c>
      <c r="S337" s="42">
        <v>-21.3</v>
      </c>
      <c r="T337" s="42">
        <v>-25.3</v>
      </c>
      <c r="U337" s="42">
        <v>3.4</v>
      </c>
      <c r="V337" s="42">
        <v>-11.9</v>
      </c>
      <c r="W337" s="42">
        <v>-22.9</v>
      </c>
    </row>
    <row r="338">
      <c r="A338" s="87">
        <v>337.0</v>
      </c>
      <c r="B338" s="85" t="s">
        <v>1878</v>
      </c>
      <c r="C338" s="85" t="s">
        <v>404</v>
      </c>
      <c r="D338" s="85" t="s">
        <v>1186</v>
      </c>
      <c r="E338" s="85" t="s">
        <v>1187</v>
      </c>
      <c r="F338" s="85" t="s">
        <v>1188</v>
      </c>
      <c r="G338" s="85" t="s">
        <v>1189</v>
      </c>
      <c r="H338" s="85" t="s">
        <v>1190</v>
      </c>
      <c r="I338" s="85" t="s">
        <v>1216</v>
      </c>
      <c r="J338" s="42">
        <v>10.2</v>
      </c>
      <c r="K338" s="42">
        <v>3.7</v>
      </c>
      <c r="L338" s="42">
        <v>36.4</v>
      </c>
      <c r="M338" s="42">
        <v>21.6</v>
      </c>
      <c r="N338" s="42">
        <v>0.69</v>
      </c>
      <c r="O338" s="42">
        <v>4.43E13</v>
      </c>
      <c r="P338" s="42">
        <v>4.05E13</v>
      </c>
      <c r="Q338" s="42">
        <v>-28.0</v>
      </c>
      <c r="R338" s="42">
        <v>-32.3</v>
      </c>
      <c r="S338" s="42">
        <v>-36.0</v>
      </c>
      <c r="T338" s="42">
        <v>-39.6</v>
      </c>
      <c r="U338" s="42">
        <v>10.7</v>
      </c>
      <c r="V338" s="42">
        <v>-20.7</v>
      </c>
      <c r="W338" s="42">
        <v>-30.7</v>
      </c>
    </row>
    <row r="339">
      <c r="A339" s="87">
        <v>338.0</v>
      </c>
      <c r="B339" s="85" t="s">
        <v>1879</v>
      </c>
      <c r="C339" s="85" t="s">
        <v>405</v>
      </c>
      <c r="D339" s="85" t="s">
        <v>1880</v>
      </c>
      <c r="E339" s="85" t="s">
        <v>1194</v>
      </c>
      <c r="F339" s="85" t="s">
        <v>1881</v>
      </c>
      <c r="G339" s="85" t="s">
        <v>1881</v>
      </c>
      <c r="H339" s="85" t="s">
        <v>1881</v>
      </c>
      <c r="I339" s="85" t="s">
        <v>1882</v>
      </c>
      <c r="J339" s="42">
        <v>10.9</v>
      </c>
      <c r="K339" s="42">
        <v>0.51</v>
      </c>
      <c r="L339" s="42">
        <v>4.7</v>
      </c>
      <c r="M339" s="42">
        <v>3.9</v>
      </c>
      <c r="N339" s="42">
        <v>0.2</v>
      </c>
      <c r="O339" s="42">
        <v>3.27E13</v>
      </c>
      <c r="P339" s="42">
        <v>2.01E13</v>
      </c>
      <c r="Q339" s="42">
        <v>-13.1</v>
      </c>
      <c r="R339" s="42">
        <v>1.1</v>
      </c>
      <c r="S339" s="42">
        <v>-2.7</v>
      </c>
      <c r="T339" s="42">
        <v>48.8</v>
      </c>
      <c r="U339" s="42">
        <v>14.9</v>
      </c>
      <c r="V339" s="42">
        <v>-15.0</v>
      </c>
      <c r="W339" s="42">
        <v>5.5</v>
      </c>
    </row>
    <row r="340">
      <c r="A340" s="87">
        <v>339.0</v>
      </c>
      <c r="B340" s="85" t="s">
        <v>1883</v>
      </c>
      <c r="C340" s="85" t="s">
        <v>406</v>
      </c>
      <c r="D340" s="85" t="s">
        <v>1460</v>
      </c>
      <c r="E340" s="85" t="s">
        <v>1252</v>
      </c>
      <c r="F340" s="85" t="s">
        <v>1252</v>
      </c>
      <c r="G340" s="85" t="s">
        <v>1313</v>
      </c>
      <c r="H340" s="85" t="s">
        <v>1461</v>
      </c>
      <c r="I340" s="85" t="s">
        <v>1271</v>
      </c>
      <c r="J340" s="42">
        <v>-6.9</v>
      </c>
      <c r="K340" s="42">
        <v>0.32</v>
      </c>
      <c r="L340" s="42">
        <v>-4.6</v>
      </c>
      <c r="M340" s="42">
        <v>-3.9</v>
      </c>
      <c r="N340" s="42">
        <v>0.18</v>
      </c>
      <c r="O340" s="42">
        <v>3.5E12</v>
      </c>
      <c r="P340" s="42">
        <v>7.86E11</v>
      </c>
      <c r="Q340" s="42">
        <v>-9.3</v>
      </c>
      <c r="R340" s="42">
        <v>-7.5</v>
      </c>
      <c r="S340" s="42">
        <v>-2.2</v>
      </c>
      <c r="T340" s="42">
        <v>40.2</v>
      </c>
      <c r="U340" s="42">
        <v>-65.3</v>
      </c>
      <c r="V340" s="42">
        <v>-6.8</v>
      </c>
      <c r="W340" s="42">
        <v>-6.2</v>
      </c>
    </row>
    <row r="341">
      <c r="A341" s="87">
        <v>340.0</v>
      </c>
      <c r="B341" s="85" t="s">
        <v>1884</v>
      </c>
      <c r="C341" s="85" t="s">
        <v>407</v>
      </c>
      <c r="D341" s="85" t="s">
        <v>1463</v>
      </c>
      <c r="E341" s="85" t="s">
        <v>1230</v>
      </c>
      <c r="F341" s="85" t="s">
        <v>1464</v>
      </c>
      <c r="G341" s="85" t="s">
        <v>1465</v>
      </c>
      <c r="H341" s="85" t="s">
        <v>1465</v>
      </c>
      <c r="I341" s="85" t="s">
        <v>1764</v>
      </c>
      <c r="J341" s="42">
        <v>13.5</v>
      </c>
      <c r="K341" s="42">
        <v>1.3</v>
      </c>
      <c r="L341" s="42">
        <v>9.3</v>
      </c>
      <c r="M341" s="42">
        <v>5.2</v>
      </c>
      <c r="N341" s="42">
        <v>0.79</v>
      </c>
      <c r="O341" s="42">
        <v>9.93E11</v>
      </c>
      <c r="P341" s="42">
        <v>5.1E10</v>
      </c>
      <c r="Q341" s="42">
        <v>-6.6</v>
      </c>
      <c r="R341" s="42">
        <v>-5.8</v>
      </c>
      <c r="S341" s="42">
        <v>-0.295</v>
      </c>
      <c r="T341" s="42">
        <v>-7.1</v>
      </c>
      <c r="U341" s="42">
        <v>140.0</v>
      </c>
      <c r="V341" s="42">
        <v>-6.9</v>
      </c>
      <c r="W341" s="42">
        <v>3.0</v>
      </c>
    </row>
    <row r="342">
      <c r="A342" s="87">
        <v>341.0</v>
      </c>
      <c r="B342" s="85" t="s">
        <v>1885</v>
      </c>
      <c r="C342" s="85" t="s">
        <v>408</v>
      </c>
      <c r="D342" s="85" t="s">
        <v>1704</v>
      </c>
      <c r="E342" s="85" t="s">
        <v>1300</v>
      </c>
      <c r="F342" s="85" t="s">
        <v>1427</v>
      </c>
      <c r="G342" s="85" t="s">
        <v>1705</v>
      </c>
      <c r="H342" s="85" t="s">
        <v>1705</v>
      </c>
      <c r="I342" s="85" t="s">
        <v>1886</v>
      </c>
      <c r="J342" s="42">
        <v>-4.8</v>
      </c>
      <c r="K342" s="42">
        <v>20.4</v>
      </c>
      <c r="L342" s="42">
        <v>-430.0</v>
      </c>
      <c r="M342" s="42">
        <v>-3.9</v>
      </c>
      <c r="N342" s="42">
        <v>110.0</v>
      </c>
      <c r="O342" s="42">
        <v>2.36E13</v>
      </c>
      <c r="P342" s="42">
        <v>1.3E13</v>
      </c>
      <c r="Q342" s="42">
        <v>-24.2</v>
      </c>
      <c r="R342" s="42">
        <v>-29.6</v>
      </c>
      <c r="S342" s="42">
        <v>-56.9</v>
      </c>
      <c r="T342" s="42">
        <v>-23.1</v>
      </c>
      <c r="U342" s="42">
        <v>-38.0</v>
      </c>
      <c r="V342" s="42">
        <v>-10.7</v>
      </c>
      <c r="W342" s="42">
        <v>-47.9</v>
      </c>
    </row>
    <row r="343">
      <c r="A343" s="87">
        <v>342.0</v>
      </c>
      <c r="B343" s="85" t="s">
        <v>1887</v>
      </c>
      <c r="C343" s="85" t="s">
        <v>409</v>
      </c>
      <c r="D343" s="85" t="s">
        <v>1597</v>
      </c>
      <c r="E343" s="85" t="s">
        <v>1201</v>
      </c>
      <c r="F343" s="85" t="s">
        <v>1262</v>
      </c>
      <c r="G343" s="85" t="s">
        <v>1263</v>
      </c>
      <c r="H343" s="85" t="s">
        <v>1598</v>
      </c>
      <c r="I343" s="85" t="s">
        <v>1888</v>
      </c>
      <c r="J343" s="42">
        <v>3.3</v>
      </c>
      <c r="K343" s="42">
        <v>0.39</v>
      </c>
      <c r="L343" s="42">
        <v>11.7</v>
      </c>
      <c r="M343" s="42">
        <v>5.7</v>
      </c>
      <c r="N343" s="42">
        <v>1.1</v>
      </c>
      <c r="O343" s="42">
        <v>4.2E12</v>
      </c>
      <c r="P343" s="42">
        <v>4.2E12</v>
      </c>
      <c r="Q343" s="42">
        <v>-18.5</v>
      </c>
      <c r="R343" s="42">
        <v>-1.5</v>
      </c>
      <c r="S343" s="42">
        <v>-3.3</v>
      </c>
      <c r="T343" s="42">
        <v>-9.4</v>
      </c>
      <c r="U343" s="42">
        <v>30.3</v>
      </c>
      <c r="V343" s="42">
        <v>-16.2</v>
      </c>
      <c r="W343" s="42">
        <v>-4.7</v>
      </c>
    </row>
    <row r="344">
      <c r="A344" s="87">
        <v>343.0</v>
      </c>
      <c r="B344" s="85" t="s">
        <v>1889</v>
      </c>
      <c r="C344" s="85" t="s">
        <v>410</v>
      </c>
      <c r="D344" s="85" t="s">
        <v>1806</v>
      </c>
      <c r="E344" s="85" t="s">
        <v>1201</v>
      </c>
      <c r="F344" s="85" t="s">
        <v>1219</v>
      </c>
      <c r="G344" s="85" t="s">
        <v>1220</v>
      </c>
      <c r="H344" s="85" t="s">
        <v>1807</v>
      </c>
      <c r="I344" s="85" t="s">
        <v>1205</v>
      </c>
      <c r="J344" s="42">
        <v>-1.6</v>
      </c>
      <c r="K344" s="42">
        <v>-0.14</v>
      </c>
      <c r="L344" s="42">
        <v>0.0</v>
      </c>
      <c r="M344" s="42">
        <v>-3380.0</v>
      </c>
      <c r="N344" s="42">
        <v>-1.0</v>
      </c>
      <c r="O344" s="42">
        <v>1.72E11</v>
      </c>
      <c r="P344" s="42">
        <v>6.36E9</v>
      </c>
      <c r="Q344" s="42">
        <v>0.0</v>
      </c>
      <c r="R344" s="42">
        <v>0.0</v>
      </c>
      <c r="S344" s="42">
        <v>0.0</v>
      </c>
      <c r="T344" s="42">
        <v>160.0</v>
      </c>
      <c r="U344" s="42">
        <v>-1710.0</v>
      </c>
      <c r="V344" s="42">
        <v>0.0</v>
      </c>
      <c r="W344" s="42">
        <v>0.0</v>
      </c>
    </row>
    <row r="345">
      <c r="A345" s="87">
        <v>344.0</v>
      </c>
      <c r="B345" s="85" t="s">
        <v>1890</v>
      </c>
      <c r="C345" s="85" t="s">
        <v>411</v>
      </c>
      <c r="D345" s="85" t="s">
        <v>1688</v>
      </c>
      <c r="E345" s="85" t="s">
        <v>1376</v>
      </c>
      <c r="F345" s="85" t="s">
        <v>1444</v>
      </c>
      <c r="G345" s="85" t="s">
        <v>1689</v>
      </c>
      <c r="H345" s="85" t="s">
        <v>1690</v>
      </c>
      <c r="I345" s="85" t="s">
        <v>1891</v>
      </c>
      <c r="J345" s="42">
        <v>17.3</v>
      </c>
      <c r="K345" s="42">
        <v>1.1</v>
      </c>
      <c r="L345" s="42">
        <v>6.1</v>
      </c>
      <c r="M345" s="42">
        <v>2.8</v>
      </c>
      <c r="N345" s="42">
        <v>1.2</v>
      </c>
      <c r="O345" s="42">
        <v>4.98E11</v>
      </c>
      <c r="P345" s="42">
        <v>3.72E11</v>
      </c>
      <c r="Q345" s="42">
        <v>-7.0</v>
      </c>
      <c r="R345" s="42">
        <v>-10.1</v>
      </c>
      <c r="S345" s="42">
        <v>-22.3</v>
      </c>
      <c r="T345" s="42">
        <v>-1.8</v>
      </c>
      <c r="U345" s="42">
        <v>7.7</v>
      </c>
      <c r="V345" s="42">
        <v>-4.8</v>
      </c>
      <c r="W345" s="42">
        <v>-23.4</v>
      </c>
    </row>
    <row r="346">
      <c r="A346" s="87">
        <v>345.0</v>
      </c>
      <c r="B346" s="85" t="s">
        <v>1892</v>
      </c>
      <c r="C346" s="85" t="s">
        <v>412</v>
      </c>
      <c r="D346" s="85" t="s">
        <v>1657</v>
      </c>
      <c r="E346" s="85" t="s">
        <v>1230</v>
      </c>
      <c r="F346" s="85" t="s">
        <v>1658</v>
      </c>
      <c r="G346" s="85" t="s">
        <v>1659</v>
      </c>
      <c r="H346" s="85" t="s">
        <v>1660</v>
      </c>
      <c r="I346" s="85" t="s">
        <v>1390</v>
      </c>
      <c r="J346" s="42">
        <v>10.6</v>
      </c>
      <c r="K346" s="42">
        <v>2.8</v>
      </c>
      <c r="L346" s="42">
        <v>26.0</v>
      </c>
      <c r="M346" s="42">
        <v>4.0</v>
      </c>
      <c r="N346" s="42">
        <v>5.5</v>
      </c>
      <c r="O346" s="42">
        <v>6.6E12</v>
      </c>
      <c r="P346" s="42">
        <v>2.0E12</v>
      </c>
      <c r="Q346" s="42">
        <v>-13.8</v>
      </c>
      <c r="R346" s="42">
        <v>-9.1</v>
      </c>
      <c r="S346" s="42">
        <v>-64.0</v>
      </c>
      <c r="T346" s="42">
        <v>-20.6</v>
      </c>
      <c r="U346" s="42">
        <v>31.8</v>
      </c>
      <c r="V346" s="42">
        <v>-5.7</v>
      </c>
      <c r="W346" s="42">
        <v>-32.4</v>
      </c>
    </row>
    <row r="347">
      <c r="A347" s="87">
        <v>346.0</v>
      </c>
      <c r="B347" s="85" t="s">
        <v>1893</v>
      </c>
      <c r="C347" s="85" t="s">
        <v>413</v>
      </c>
      <c r="D347" s="85" t="s">
        <v>1234</v>
      </c>
      <c r="E347" s="85" t="s">
        <v>1235</v>
      </c>
      <c r="F347" s="85" t="s">
        <v>1235</v>
      </c>
      <c r="G347" s="85" t="s">
        <v>1236</v>
      </c>
      <c r="H347" s="85" t="s">
        <v>1237</v>
      </c>
      <c r="I347" s="85" t="s">
        <v>1238</v>
      </c>
      <c r="J347" s="42">
        <v>54.6</v>
      </c>
      <c r="K347" s="42">
        <v>2.0</v>
      </c>
      <c r="L347" s="42">
        <v>3.7</v>
      </c>
      <c r="M347" s="42">
        <v>2.3</v>
      </c>
      <c r="N347" s="42">
        <v>0.63</v>
      </c>
      <c r="O347" s="42">
        <v>1.8E12</v>
      </c>
      <c r="P347" s="42">
        <v>2.89E11</v>
      </c>
      <c r="Q347" s="42">
        <v>3.2</v>
      </c>
      <c r="R347" s="42">
        <v>5.6</v>
      </c>
      <c r="S347" s="42">
        <v>-24.8</v>
      </c>
      <c r="T347" s="42">
        <v>-39.0</v>
      </c>
      <c r="U347" s="42">
        <v>11.2</v>
      </c>
      <c r="V347" s="42">
        <v>-9.3</v>
      </c>
      <c r="W347" s="42">
        <v>-44.9</v>
      </c>
    </row>
    <row r="348">
      <c r="A348" s="87">
        <v>347.0</v>
      </c>
      <c r="B348" s="85" t="s">
        <v>1894</v>
      </c>
      <c r="C348" s="85" t="s">
        <v>414</v>
      </c>
      <c r="D348" s="85" t="s">
        <v>1463</v>
      </c>
      <c r="E348" s="85" t="s">
        <v>1230</v>
      </c>
      <c r="F348" s="85" t="s">
        <v>1464</v>
      </c>
      <c r="G348" s="85" t="s">
        <v>1465</v>
      </c>
      <c r="H348" s="85" t="s">
        <v>1465</v>
      </c>
      <c r="I348" s="85" t="s">
        <v>1764</v>
      </c>
      <c r="J348" s="42">
        <v>17.3</v>
      </c>
      <c r="K348" s="42">
        <v>0.76</v>
      </c>
      <c r="L348" s="42">
        <v>4.4</v>
      </c>
      <c r="M348" s="42">
        <v>4.1</v>
      </c>
      <c r="N348" s="42">
        <v>0.08</v>
      </c>
      <c r="O348" s="42">
        <v>3.32E11</v>
      </c>
      <c r="P348" s="42">
        <v>1.5E10</v>
      </c>
      <c r="Q348" s="42">
        <v>-14.8</v>
      </c>
      <c r="R348" s="42">
        <v>-16.0</v>
      </c>
      <c r="S348" s="42">
        <v>-25.3</v>
      </c>
      <c r="T348" s="42">
        <v>-3.2</v>
      </c>
      <c r="U348" s="42">
        <v>130.0</v>
      </c>
      <c r="V348" s="42">
        <v>-12.9</v>
      </c>
      <c r="W348" s="42">
        <v>-29.2</v>
      </c>
    </row>
    <row r="349">
      <c r="A349" s="87">
        <v>348.0</v>
      </c>
      <c r="B349" s="85" t="s">
        <v>1895</v>
      </c>
      <c r="C349" s="85" t="s">
        <v>415</v>
      </c>
      <c r="D349" s="85" t="s">
        <v>1559</v>
      </c>
      <c r="E349" s="85" t="s">
        <v>1201</v>
      </c>
      <c r="F349" s="85" t="s">
        <v>1286</v>
      </c>
      <c r="G349" s="85" t="s">
        <v>1287</v>
      </c>
      <c r="H349" s="85" t="s">
        <v>1560</v>
      </c>
      <c r="I349" s="85" t="s">
        <v>1578</v>
      </c>
      <c r="J349" s="42">
        <v>59.9</v>
      </c>
      <c r="K349" s="42">
        <v>0.39</v>
      </c>
      <c r="L349" s="42">
        <v>0.65</v>
      </c>
      <c r="M349" s="42">
        <v>0.6</v>
      </c>
      <c r="N349" s="42">
        <v>0.08</v>
      </c>
      <c r="O349" s="42">
        <v>3.1E12</v>
      </c>
      <c r="P349" s="42">
        <v>2.9E10</v>
      </c>
      <c r="Q349" s="42">
        <v>-25.4</v>
      </c>
      <c r="R349" s="42">
        <v>-23.8</v>
      </c>
      <c r="S349" s="42">
        <v>-46.1</v>
      </c>
      <c r="T349" s="42">
        <v>-43.0</v>
      </c>
      <c r="U349" s="42">
        <v>180.0</v>
      </c>
      <c r="V349" s="42">
        <v>-13.8</v>
      </c>
      <c r="W349" s="42">
        <v>-47.7</v>
      </c>
    </row>
    <row r="350">
      <c r="A350" s="87">
        <v>349.0</v>
      </c>
      <c r="B350" s="85" t="s">
        <v>1896</v>
      </c>
      <c r="C350" s="85" t="s">
        <v>416</v>
      </c>
      <c r="D350" s="85" t="s">
        <v>1193</v>
      </c>
      <c r="E350" s="85" t="s">
        <v>1194</v>
      </c>
      <c r="F350" s="85" t="s">
        <v>1195</v>
      </c>
      <c r="G350" s="85" t="s">
        <v>1196</v>
      </c>
      <c r="H350" s="85" t="s">
        <v>1197</v>
      </c>
      <c r="I350" s="85" t="s">
        <v>1318</v>
      </c>
      <c r="J350" s="42">
        <v>0.0</v>
      </c>
      <c r="K350" s="42">
        <v>2.3</v>
      </c>
      <c r="L350" s="42">
        <v>-21.3</v>
      </c>
      <c r="M350" s="42">
        <v>-3.5</v>
      </c>
      <c r="N350" s="42">
        <v>5.0</v>
      </c>
      <c r="O350" s="42">
        <v>1.83E11</v>
      </c>
      <c r="P350" s="42">
        <v>3.75E9</v>
      </c>
      <c r="Q350" s="42">
        <v>0.0</v>
      </c>
      <c r="R350" s="42">
        <v>0.0</v>
      </c>
      <c r="S350" s="42">
        <v>0.0</v>
      </c>
      <c r="T350" s="42">
        <v>0.0</v>
      </c>
      <c r="U350" s="42">
        <v>-450.0</v>
      </c>
      <c r="V350" s="42">
        <v>0.0</v>
      </c>
      <c r="W350" s="42">
        <v>0.0</v>
      </c>
    </row>
    <row r="351">
      <c r="A351" s="87">
        <v>350.0</v>
      </c>
      <c r="B351" s="85" t="s">
        <v>1897</v>
      </c>
      <c r="C351" s="85" t="s">
        <v>417</v>
      </c>
      <c r="D351" s="85" t="s">
        <v>1282</v>
      </c>
      <c r="E351" s="85" t="s">
        <v>1194</v>
      </c>
      <c r="F351" s="85" t="s">
        <v>1195</v>
      </c>
      <c r="G351" s="85" t="s">
        <v>1283</v>
      </c>
      <c r="H351" s="85" t="s">
        <v>1283</v>
      </c>
      <c r="I351" s="85" t="s">
        <v>1243</v>
      </c>
      <c r="J351" s="42">
        <v>17.8</v>
      </c>
      <c r="K351" s="42">
        <v>2.7</v>
      </c>
      <c r="L351" s="42">
        <v>15.3</v>
      </c>
      <c r="M351" s="42">
        <v>7.2</v>
      </c>
      <c r="N351" s="42">
        <v>1.1</v>
      </c>
      <c r="O351" s="42">
        <v>1.23E13</v>
      </c>
      <c r="P351" s="42">
        <v>3.5E12</v>
      </c>
      <c r="Q351" s="42">
        <v>-11.1</v>
      </c>
      <c r="R351" s="42">
        <v>-12.1</v>
      </c>
      <c r="S351" s="42">
        <v>-16.5</v>
      </c>
      <c r="T351" s="42">
        <v>-16.0</v>
      </c>
      <c r="U351" s="42">
        <v>19.6</v>
      </c>
      <c r="V351" s="42">
        <v>-7.3</v>
      </c>
      <c r="W351" s="42">
        <v>-16.0</v>
      </c>
    </row>
    <row r="352">
      <c r="A352" s="87">
        <v>351.0</v>
      </c>
      <c r="B352" s="85" t="s">
        <v>1898</v>
      </c>
      <c r="C352" s="85" t="s">
        <v>418</v>
      </c>
      <c r="D352" s="85" t="s">
        <v>1899</v>
      </c>
      <c r="E352" s="85" t="s">
        <v>1376</v>
      </c>
      <c r="F352" s="85" t="s">
        <v>1377</v>
      </c>
      <c r="G352" s="85" t="s">
        <v>1900</v>
      </c>
      <c r="H352" s="85" t="s">
        <v>1900</v>
      </c>
      <c r="I352" s="85" t="s">
        <v>1901</v>
      </c>
      <c r="J352" s="42">
        <v>-88.5</v>
      </c>
      <c r="K352" s="42">
        <v>2.0</v>
      </c>
      <c r="L352" s="42">
        <v>-2.2</v>
      </c>
      <c r="M352" s="42">
        <v>-1.4</v>
      </c>
      <c r="N352" s="42">
        <v>0.62</v>
      </c>
      <c r="O352" s="42">
        <v>5.7E13</v>
      </c>
      <c r="P352" s="42">
        <v>5.3E12</v>
      </c>
      <c r="Q352" s="42">
        <v>0.0</v>
      </c>
      <c r="R352" s="42">
        <v>-9.1</v>
      </c>
      <c r="S352" s="42">
        <v>-28.6</v>
      </c>
      <c r="T352" s="42">
        <v>-18.0</v>
      </c>
      <c r="U352" s="42">
        <v>-12.1</v>
      </c>
      <c r="V352" s="42">
        <v>0.0</v>
      </c>
      <c r="W352" s="42">
        <v>-27.5</v>
      </c>
    </row>
    <row r="353">
      <c r="A353" s="87">
        <v>352.0</v>
      </c>
      <c r="B353" s="85" t="s">
        <v>1902</v>
      </c>
      <c r="C353" s="85" t="s">
        <v>419</v>
      </c>
      <c r="D353" s="85" t="s">
        <v>1439</v>
      </c>
      <c r="E353" s="85" t="s">
        <v>1376</v>
      </c>
      <c r="F353" s="85" t="s">
        <v>1377</v>
      </c>
      <c r="G353" s="85" t="s">
        <v>1440</v>
      </c>
      <c r="H353" s="85" t="s">
        <v>1440</v>
      </c>
      <c r="I353" s="89"/>
      <c r="J353" s="42">
        <v>-5.3</v>
      </c>
      <c r="K353" s="42">
        <v>0.12</v>
      </c>
      <c r="L353" s="42">
        <v>-2.2</v>
      </c>
      <c r="M353" s="42">
        <v>-1.4</v>
      </c>
      <c r="N353" s="42">
        <v>0.62</v>
      </c>
      <c r="O353" s="42">
        <v>3.4E12</v>
      </c>
      <c r="P353" s="42">
        <v>5.3E12</v>
      </c>
      <c r="Q353" s="42">
        <v>0.0</v>
      </c>
      <c r="R353" s="42">
        <v>0.0</v>
      </c>
      <c r="S353" s="42">
        <v>0.0</v>
      </c>
      <c r="T353" s="42">
        <v>0.0</v>
      </c>
      <c r="U353" s="42">
        <v>-12.1</v>
      </c>
      <c r="V353" s="42">
        <v>0.0</v>
      </c>
      <c r="W353" s="42">
        <v>0.0</v>
      </c>
    </row>
    <row r="354">
      <c r="A354" s="87">
        <v>353.0</v>
      </c>
      <c r="B354" s="85" t="s">
        <v>1903</v>
      </c>
      <c r="C354" s="85" t="s">
        <v>420</v>
      </c>
      <c r="D354" s="85" t="s">
        <v>1234</v>
      </c>
      <c r="E354" s="85" t="s">
        <v>1235</v>
      </c>
      <c r="F354" s="85" t="s">
        <v>1235</v>
      </c>
      <c r="G354" s="85" t="s">
        <v>1236</v>
      </c>
      <c r="H354" s="85" t="s">
        <v>1237</v>
      </c>
      <c r="I354" s="85" t="s">
        <v>1322</v>
      </c>
      <c r="J354" s="42">
        <v>8.5</v>
      </c>
      <c r="K354" s="42">
        <v>0.3</v>
      </c>
      <c r="L354" s="42">
        <v>3.5</v>
      </c>
      <c r="M354" s="42">
        <v>2.6</v>
      </c>
      <c r="N354" s="42">
        <v>0.37</v>
      </c>
      <c r="O354" s="42">
        <v>4.32E11</v>
      </c>
      <c r="P354" s="42">
        <v>8.1E10</v>
      </c>
      <c r="Q354" s="42">
        <v>-14.5</v>
      </c>
      <c r="R354" s="42">
        <v>-0.99</v>
      </c>
      <c r="S354" s="42">
        <v>-27.5</v>
      </c>
      <c r="T354" s="42">
        <v>-30.6</v>
      </c>
      <c r="U354" s="42">
        <v>62.9</v>
      </c>
      <c r="V354" s="42">
        <v>-8.3</v>
      </c>
      <c r="W354" s="42">
        <v>-30.6</v>
      </c>
    </row>
    <row r="355">
      <c r="A355" s="87">
        <v>354.0</v>
      </c>
      <c r="B355" s="85" t="s">
        <v>1904</v>
      </c>
      <c r="C355" s="85" t="s">
        <v>421</v>
      </c>
      <c r="D355" s="85" t="s">
        <v>1330</v>
      </c>
      <c r="E355" s="85" t="s">
        <v>1214</v>
      </c>
      <c r="F355" s="85" t="s">
        <v>1326</v>
      </c>
      <c r="G355" s="85" t="s">
        <v>1331</v>
      </c>
      <c r="H355" s="85" t="s">
        <v>1332</v>
      </c>
      <c r="I355" s="85" t="s">
        <v>1333</v>
      </c>
      <c r="J355" s="42">
        <v>-190.0</v>
      </c>
      <c r="K355" s="42">
        <v>8.0</v>
      </c>
      <c r="L355" s="42">
        <v>-4.2</v>
      </c>
      <c r="M355" s="42">
        <v>-3.8</v>
      </c>
      <c r="N355" s="42">
        <v>0.13</v>
      </c>
      <c r="O355" s="42">
        <v>3.37E11</v>
      </c>
      <c r="P355" s="42">
        <v>4.7E8</v>
      </c>
      <c r="Q355" s="42">
        <v>-26.1</v>
      </c>
      <c r="R355" s="42">
        <v>4.1</v>
      </c>
      <c r="S355" s="42">
        <v>-47.5</v>
      </c>
      <c r="T355" s="42">
        <v>-4.9</v>
      </c>
      <c r="U355" s="42">
        <v>-380.0</v>
      </c>
      <c r="V355" s="42">
        <v>-31.7</v>
      </c>
      <c r="W355" s="42">
        <v>-50.4</v>
      </c>
    </row>
    <row r="356">
      <c r="A356" s="87">
        <v>355.0</v>
      </c>
      <c r="B356" s="85" t="s">
        <v>1905</v>
      </c>
      <c r="C356" s="85" t="s">
        <v>422</v>
      </c>
      <c r="D356" s="85" t="s">
        <v>1234</v>
      </c>
      <c r="E356" s="85" t="s">
        <v>1235</v>
      </c>
      <c r="F356" s="85" t="s">
        <v>1235</v>
      </c>
      <c r="G356" s="85" t="s">
        <v>1236</v>
      </c>
      <c r="H356" s="85" t="s">
        <v>1237</v>
      </c>
      <c r="I356" s="85" t="s">
        <v>1322</v>
      </c>
      <c r="J356" s="42">
        <v>140.0</v>
      </c>
      <c r="K356" s="42">
        <v>2.6</v>
      </c>
      <c r="L356" s="42">
        <v>1.8</v>
      </c>
      <c r="M356" s="42">
        <v>1.6</v>
      </c>
      <c r="N356" s="42">
        <v>0.18</v>
      </c>
      <c r="O356" s="42">
        <v>1.0E12</v>
      </c>
      <c r="P356" s="42">
        <v>4.67E9</v>
      </c>
      <c r="Q356" s="42">
        <v>68.0</v>
      </c>
      <c r="R356" s="42">
        <v>71.4</v>
      </c>
      <c r="S356" s="42">
        <v>66.3</v>
      </c>
      <c r="T356" s="42">
        <v>90.9</v>
      </c>
      <c r="U356" s="42">
        <v>160.0</v>
      </c>
      <c r="V356" s="42">
        <v>20.9</v>
      </c>
      <c r="W356" s="42">
        <v>55.6</v>
      </c>
    </row>
    <row r="357">
      <c r="A357" s="87">
        <v>356.0</v>
      </c>
      <c r="B357" s="85" t="s">
        <v>1906</v>
      </c>
      <c r="C357" s="85" t="s">
        <v>423</v>
      </c>
      <c r="D357" s="85" t="s">
        <v>1285</v>
      </c>
      <c r="E357" s="85" t="s">
        <v>1201</v>
      </c>
      <c r="F357" s="85" t="s">
        <v>1286</v>
      </c>
      <c r="G357" s="85" t="s">
        <v>1287</v>
      </c>
      <c r="H357" s="85" t="s">
        <v>1288</v>
      </c>
      <c r="I357" s="85" t="s">
        <v>1458</v>
      </c>
      <c r="J357" s="42">
        <v>19.8</v>
      </c>
      <c r="K357" s="42">
        <v>0.81</v>
      </c>
      <c r="L357" s="42">
        <v>4.1</v>
      </c>
      <c r="M357" s="42">
        <v>3.2</v>
      </c>
      <c r="N357" s="42">
        <v>0.28</v>
      </c>
      <c r="O357" s="42">
        <v>6.3E10</v>
      </c>
      <c r="P357" s="42">
        <v>7.43E9</v>
      </c>
      <c r="Q357" s="42">
        <v>-20.9</v>
      </c>
      <c r="R357" s="42">
        <v>3.9</v>
      </c>
      <c r="S357" s="42">
        <v>-22.1</v>
      </c>
      <c r="T357" s="42">
        <v>6.0</v>
      </c>
      <c r="U357" s="42">
        <v>42.8</v>
      </c>
      <c r="V357" s="42">
        <v>-14.5</v>
      </c>
      <c r="W357" s="42">
        <v>-15.9</v>
      </c>
    </row>
    <row r="358">
      <c r="A358" s="87">
        <v>357.0</v>
      </c>
      <c r="B358" s="85" t="s">
        <v>1907</v>
      </c>
      <c r="C358" s="85" t="s">
        <v>424</v>
      </c>
      <c r="D358" s="85" t="s">
        <v>1240</v>
      </c>
      <c r="E358" s="85" t="s">
        <v>1194</v>
      </c>
      <c r="F358" s="85" t="s">
        <v>1195</v>
      </c>
      <c r="G358" s="85" t="s">
        <v>1241</v>
      </c>
      <c r="H358" s="85" t="s">
        <v>1242</v>
      </c>
      <c r="I358" s="85" t="s">
        <v>1265</v>
      </c>
      <c r="J358" s="42">
        <v>130.0</v>
      </c>
      <c r="K358" s="42">
        <v>4.5</v>
      </c>
      <c r="L358" s="42">
        <v>3.4</v>
      </c>
      <c r="M358" s="42">
        <v>1.6</v>
      </c>
      <c r="N358" s="42">
        <v>1.1</v>
      </c>
      <c r="O358" s="42">
        <v>4.03E11</v>
      </c>
      <c r="P358" s="42">
        <v>7.54E11</v>
      </c>
      <c r="Q358" s="42">
        <v>-45.3</v>
      </c>
      <c r="R358" s="42">
        <v>-45.0</v>
      </c>
      <c r="S358" s="42">
        <v>180.0</v>
      </c>
      <c r="T358" s="42">
        <v>230.0</v>
      </c>
      <c r="U358" s="42">
        <v>0.4</v>
      </c>
      <c r="V358" s="42">
        <v>-32.7</v>
      </c>
      <c r="W358" s="42">
        <v>90.2</v>
      </c>
    </row>
    <row r="359">
      <c r="A359" s="87">
        <v>358.0</v>
      </c>
      <c r="B359" s="85" t="s">
        <v>1908</v>
      </c>
      <c r="C359" s="85" t="s">
        <v>425</v>
      </c>
      <c r="D359" s="85" t="s">
        <v>1363</v>
      </c>
      <c r="E359" s="85" t="s">
        <v>1208</v>
      </c>
      <c r="F359" s="85" t="s">
        <v>1364</v>
      </c>
      <c r="G359" s="85" t="s">
        <v>1364</v>
      </c>
      <c r="H359" s="85" t="s">
        <v>1365</v>
      </c>
      <c r="I359" s="85" t="s">
        <v>1211</v>
      </c>
      <c r="J359" s="42">
        <v>23.7</v>
      </c>
      <c r="K359" s="42">
        <v>0.55</v>
      </c>
      <c r="L359" s="42">
        <v>2.3</v>
      </c>
      <c r="M359" s="42">
        <v>1.1</v>
      </c>
      <c r="N359" s="42">
        <v>1.2</v>
      </c>
      <c r="O359" s="42">
        <v>1.4E12</v>
      </c>
      <c r="P359" s="42">
        <v>3.32E11</v>
      </c>
      <c r="Q359" s="42">
        <v>-54.3</v>
      </c>
      <c r="R359" s="42">
        <v>-25.6</v>
      </c>
      <c r="S359" s="42">
        <v>-47.5</v>
      </c>
      <c r="T359" s="42">
        <v>20.8</v>
      </c>
      <c r="U359" s="42">
        <v>18.1</v>
      </c>
      <c r="V359" s="42">
        <v>-36.6</v>
      </c>
      <c r="W359" s="42">
        <v>-42.9</v>
      </c>
    </row>
    <row r="360">
      <c r="A360" s="87">
        <v>359.0</v>
      </c>
      <c r="B360" s="85" t="s">
        <v>1909</v>
      </c>
      <c r="C360" s="85" t="s">
        <v>426</v>
      </c>
      <c r="D360" s="85" t="s">
        <v>1186</v>
      </c>
      <c r="E360" s="85" t="s">
        <v>1187</v>
      </c>
      <c r="F360" s="85" t="s">
        <v>1188</v>
      </c>
      <c r="G360" s="85" t="s">
        <v>1189</v>
      </c>
      <c r="H360" s="85" t="s">
        <v>1190</v>
      </c>
      <c r="I360" s="85" t="s">
        <v>1280</v>
      </c>
      <c r="J360" s="42">
        <v>-6.4</v>
      </c>
      <c r="K360" s="42">
        <v>0.62</v>
      </c>
      <c r="L360" s="42">
        <v>-9.6</v>
      </c>
      <c r="M360" s="42">
        <v>-8.2</v>
      </c>
      <c r="N360" s="42">
        <v>0.18</v>
      </c>
      <c r="O360" s="42">
        <v>4.65E11</v>
      </c>
      <c r="P360" s="42">
        <v>1.67E11</v>
      </c>
      <c r="Q360" s="42">
        <v>-15.6</v>
      </c>
      <c r="R360" s="42">
        <v>-13.1</v>
      </c>
      <c r="S360" s="42">
        <v>-19.4</v>
      </c>
      <c r="T360" s="42">
        <v>-0.556</v>
      </c>
      <c r="U360" s="42">
        <v>-43.4</v>
      </c>
      <c r="V360" s="42">
        <v>-6.8</v>
      </c>
      <c r="W360" s="42">
        <v>-27.2</v>
      </c>
    </row>
    <row r="361">
      <c r="A361" s="87">
        <v>360.0</v>
      </c>
      <c r="B361" s="85" t="s">
        <v>1910</v>
      </c>
      <c r="C361" s="85" t="s">
        <v>427</v>
      </c>
      <c r="D361" s="85" t="s">
        <v>1299</v>
      </c>
      <c r="E361" s="85" t="s">
        <v>1300</v>
      </c>
      <c r="F361" s="85" t="s">
        <v>1301</v>
      </c>
      <c r="G361" s="85" t="s">
        <v>1301</v>
      </c>
      <c r="H361" s="85" t="s">
        <v>1301</v>
      </c>
      <c r="I361" s="85" t="s">
        <v>1302</v>
      </c>
      <c r="J361" s="42">
        <v>5.5</v>
      </c>
      <c r="K361" s="42">
        <v>0.97</v>
      </c>
      <c r="L361" s="42">
        <v>17.5</v>
      </c>
      <c r="M361" s="42">
        <v>5.0</v>
      </c>
      <c r="N361" s="42">
        <v>2.5</v>
      </c>
      <c r="O361" s="42">
        <v>3.94E11</v>
      </c>
      <c r="P361" s="42">
        <v>1.98E11</v>
      </c>
      <c r="Q361" s="42">
        <v>-31.8</v>
      </c>
      <c r="R361" s="42">
        <v>-26.1</v>
      </c>
      <c r="S361" s="42">
        <v>-48.4</v>
      </c>
      <c r="T361" s="42">
        <v>22.9</v>
      </c>
      <c r="U361" s="42">
        <v>36.0</v>
      </c>
      <c r="V361" s="42">
        <v>-22.6</v>
      </c>
      <c r="W361" s="42">
        <v>-48.1</v>
      </c>
    </row>
    <row r="362">
      <c r="A362" s="87">
        <v>361.0</v>
      </c>
      <c r="B362" s="85" t="s">
        <v>1911</v>
      </c>
      <c r="C362" s="85" t="s">
        <v>428</v>
      </c>
      <c r="D362" s="85" t="s">
        <v>1294</v>
      </c>
      <c r="E362" s="85" t="s">
        <v>1187</v>
      </c>
      <c r="F362" s="85" t="s">
        <v>1188</v>
      </c>
      <c r="G362" s="85" t="s">
        <v>1295</v>
      </c>
      <c r="H362" s="85" t="s">
        <v>1296</v>
      </c>
      <c r="I362" s="85" t="s">
        <v>1383</v>
      </c>
      <c r="J362" s="42">
        <v>84.9</v>
      </c>
      <c r="K362" s="42">
        <v>2.3</v>
      </c>
      <c r="L362" s="42">
        <v>2.7</v>
      </c>
      <c r="M362" s="42">
        <v>1.2</v>
      </c>
      <c r="N362" s="42">
        <v>1.3</v>
      </c>
      <c r="O362" s="42">
        <v>2.5E12</v>
      </c>
      <c r="P362" s="42">
        <v>5.82E11</v>
      </c>
      <c r="Q362" s="42">
        <v>-50.0</v>
      </c>
      <c r="R362" s="42">
        <v>-56.8</v>
      </c>
      <c r="S362" s="42">
        <v>-58.6</v>
      </c>
      <c r="T362" s="42">
        <v>150.0</v>
      </c>
      <c r="U362" s="42">
        <v>5.1</v>
      </c>
      <c r="V362" s="42">
        <v>-27.9</v>
      </c>
      <c r="W362" s="42">
        <v>-68.4</v>
      </c>
    </row>
    <row r="363">
      <c r="A363" s="87">
        <v>362.0</v>
      </c>
      <c r="B363" s="85" t="s">
        <v>1912</v>
      </c>
      <c r="C363" s="85" t="s">
        <v>429</v>
      </c>
      <c r="D363" s="85" t="s">
        <v>1282</v>
      </c>
      <c r="E363" s="85" t="s">
        <v>1194</v>
      </c>
      <c r="F363" s="85" t="s">
        <v>1195</v>
      </c>
      <c r="G363" s="85" t="s">
        <v>1283</v>
      </c>
      <c r="H363" s="85" t="s">
        <v>1283</v>
      </c>
      <c r="I363" s="85" t="s">
        <v>1269</v>
      </c>
      <c r="J363" s="42">
        <v>-100.0</v>
      </c>
      <c r="K363" s="42">
        <v>4.1</v>
      </c>
      <c r="L363" s="42">
        <v>-4.0</v>
      </c>
      <c r="M363" s="42">
        <v>-2.6</v>
      </c>
      <c r="N363" s="42">
        <v>0.53</v>
      </c>
      <c r="O363" s="42">
        <v>5.83E11</v>
      </c>
      <c r="P363" s="42">
        <v>4.1E10</v>
      </c>
      <c r="Q363" s="42">
        <v>16.9</v>
      </c>
      <c r="R363" s="42">
        <v>68.2</v>
      </c>
      <c r="S363" s="42">
        <v>55.6</v>
      </c>
      <c r="T363" s="42">
        <v>74.1</v>
      </c>
      <c r="U363" s="42">
        <v>-14.1</v>
      </c>
      <c r="V363" s="42">
        <v>-8.6</v>
      </c>
      <c r="W363" s="42">
        <v>90.1</v>
      </c>
    </row>
    <row r="364">
      <c r="A364" s="87">
        <v>363.0</v>
      </c>
      <c r="B364" s="85" t="s">
        <v>1913</v>
      </c>
      <c r="C364" s="85" t="s">
        <v>430</v>
      </c>
      <c r="D364" s="85" t="s">
        <v>1193</v>
      </c>
      <c r="E364" s="85" t="s">
        <v>1194</v>
      </c>
      <c r="F364" s="85" t="s">
        <v>1195</v>
      </c>
      <c r="G364" s="85" t="s">
        <v>1196</v>
      </c>
      <c r="H364" s="85" t="s">
        <v>1197</v>
      </c>
      <c r="I364" s="85" t="s">
        <v>1269</v>
      </c>
      <c r="J364" s="42">
        <v>8.0</v>
      </c>
      <c r="K364" s="42">
        <v>0.61</v>
      </c>
      <c r="L364" s="42">
        <v>7.7</v>
      </c>
      <c r="M364" s="42">
        <v>4.8</v>
      </c>
      <c r="N364" s="42">
        <v>0.61</v>
      </c>
      <c r="O364" s="42">
        <v>4.55E11</v>
      </c>
      <c r="P364" s="42">
        <v>4.46E11</v>
      </c>
      <c r="Q364" s="42">
        <v>-34.9</v>
      </c>
      <c r="R364" s="42">
        <v>-31.7</v>
      </c>
      <c r="S364" s="42">
        <v>-51.0</v>
      </c>
      <c r="T364" s="42">
        <v>-49.3</v>
      </c>
      <c r="U364" s="42">
        <v>12.8</v>
      </c>
      <c r="V364" s="42">
        <v>-23.2</v>
      </c>
      <c r="W364" s="42">
        <v>-53.3</v>
      </c>
    </row>
    <row r="365">
      <c r="A365" s="87">
        <v>364.0</v>
      </c>
      <c r="B365" s="85" t="s">
        <v>1914</v>
      </c>
      <c r="C365" s="85" t="s">
        <v>431</v>
      </c>
      <c r="D365" s="85" t="s">
        <v>1285</v>
      </c>
      <c r="E365" s="85" t="s">
        <v>1201</v>
      </c>
      <c r="F365" s="85" t="s">
        <v>1286</v>
      </c>
      <c r="G365" s="85" t="s">
        <v>1287</v>
      </c>
      <c r="H365" s="85" t="s">
        <v>1288</v>
      </c>
      <c r="I365" s="85" t="s">
        <v>1381</v>
      </c>
      <c r="J365" s="42">
        <v>7.6</v>
      </c>
      <c r="K365" s="42">
        <v>0.14</v>
      </c>
      <c r="L365" s="42">
        <v>1.8</v>
      </c>
      <c r="M365" s="42">
        <v>1.7</v>
      </c>
      <c r="N365" s="42">
        <v>0.05</v>
      </c>
      <c r="O365" s="42">
        <v>9.98E11</v>
      </c>
      <c r="P365" s="42">
        <v>1.2E10</v>
      </c>
      <c r="Q365" s="42">
        <v>-28.7</v>
      </c>
      <c r="R365" s="42">
        <v>-29.6</v>
      </c>
      <c r="S365" s="42">
        <v>-29.1</v>
      </c>
      <c r="T365" s="42">
        <v>-13.7</v>
      </c>
      <c r="U365" s="42">
        <v>1070.0</v>
      </c>
      <c r="V365" s="42">
        <v>-13.0</v>
      </c>
      <c r="W365" s="42">
        <v>-31.0</v>
      </c>
    </row>
    <row r="366">
      <c r="A366" s="87">
        <v>365.0</v>
      </c>
      <c r="B366" s="85" t="s">
        <v>1915</v>
      </c>
      <c r="C366" s="85" t="s">
        <v>432</v>
      </c>
      <c r="D366" s="85" t="s">
        <v>1193</v>
      </c>
      <c r="E366" s="85" t="s">
        <v>1194</v>
      </c>
      <c r="F366" s="85" t="s">
        <v>1195</v>
      </c>
      <c r="G366" s="85" t="s">
        <v>1196</v>
      </c>
      <c r="H366" s="85" t="s">
        <v>1197</v>
      </c>
      <c r="I366" s="85" t="s">
        <v>1243</v>
      </c>
      <c r="J366" s="42">
        <v>9.9</v>
      </c>
      <c r="K366" s="42">
        <v>0.76</v>
      </c>
      <c r="L366" s="42">
        <v>7.7</v>
      </c>
      <c r="M366" s="42">
        <v>4.3</v>
      </c>
      <c r="N366" s="42">
        <v>0.77</v>
      </c>
      <c r="O366" s="42">
        <v>9.3E11</v>
      </c>
      <c r="P366" s="42">
        <v>1.39E11</v>
      </c>
      <c r="Q366" s="42">
        <v>-40.7</v>
      </c>
      <c r="R366" s="42">
        <v>-35.4</v>
      </c>
      <c r="S366" s="42">
        <v>-61.9</v>
      </c>
      <c r="T366" s="42">
        <v>21.1</v>
      </c>
      <c r="U366" s="42">
        <v>67.3</v>
      </c>
      <c r="V366" s="42">
        <v>-25.3</v>
      </c>
      <c r="W366" s="42">
        <v>-57.7</v>
      </c>
    </row>
    <row r="367">
      <c r="A367" s="87">
        <v>366.0</v>
      </c>
      <c r="B367" s="85" t="s">
        <v>1916</v>
      </c>
      <c r="C367" s="85" t="s">
        <v>433</v>
      </c>
      <c r="D367" s="85" t="s">
        <v>1917</v>
      </c>
      <c r="E367" s="85" t="s">
        <v>1230</v>
      </c>
      <c r="F367" s="85" t="s">
        <v>1388</v>
      </c>
      <c r="G367" s="85" t="s">
        <v>1918</v>
      </c>
      <c r="H367" s="85" t="s">
        <v>1918</v>
      </c>
      <c r="I367" s="85" t="s">
        <v>1919</v>
      </c>
      <c r="J367" s="42">
        <v>-12.9</v>
      </c>
      <c r="K367" s="42">
        <v>4.3</v>
      </c>
      <c r="L367" s="42">
        <v>-33.3</v>
      </c>
      <c r="M367" s="42">
        <v>-28.3</v>
      </c>
      <c r="N367" s="42">
        <v>0.18</v>
      </c>
      <c r="O367" s="42">
        <v>3.6E10</v>
      </c>
      <c r="P367" s="42">
        <v>1.12E9</v>
      </c>
      <c r="Q367" s="42">
        <v>-22.2</v>
      </c>
      <c r="R367" s="42">
        <v>-39.1</v>
      </c>
      <c r="S367" s="42">
        <v>-48.1</v>
      </c>
      <c r="T367" s="42">
        <v>40.0</v>
      </c>
      <c r="U367" s="42">
        <v>-250.0</v>
      </c>
      <c r="V367" s="42">
        <v>-17.6</v>
      </c>
      <c r="W367" s="42">
        <v>-46.2</v>
      </c>
    </row>
    <row r="368">
      <c r="A368" s="87">
        <v>367.0</v>
      </c>
      <c r="B368" s="85" t="s">
        <v>1920</v>
      </c>
      <c r="C368" s="85" t="s">
        <v>434</v>
      </c>
      <c r="D368" s="85" t="s">
        <v>1299</v>
      </c>
      <c r="E368" s="85" t="s">
        <v>1300</v>
      </c>
      <c r="F368" s="85" t="s">
        <v>1301</v>
      </c>
      <c r="G368" s="85" t="s">
        <v>1301</v>
      </c>
      <c r="H368" s="85" t="s">
        <v>1301</v>
      </c>
      <c r="I368" s="85" t="s">
        <v>1302</v>
      </c>
      <c r="J368" s="42">
        <v>6.2</v>
      </c>
      <c r="K368" s="42">
        <v>0.54</v>
      </c>
      <c r="L368" s="42">
        <v>8.7</v>
      </c>
      <c r="M368" s="42">
        <v>4.7</v>
      </c>
      <c r="N368" s="42">
        <v>0.85</v>
      </c>
      <c r="O368" s="42">
        <v>4.57E11</v>
      </c>
      <c r="P368" s="42">
        <v>1.63E11</v>
      </c>
      <c r="Q368" s="42">
        <v>-22.5</v>
      </c>
      <c r="R368" s="42">
        <v>-30.3</v>
      </c>
      <c r="S368" s="42">
        <v>-35.3</v>
      </c>
      <c r="T368" s="42">
        <v>-25.3</v>
      </c>
      <c r="U368" s="42">
        <v>44.9</v>
      </c>
      <c r="V368" s="42">
        <v>-16.2</v>
      </c>
      <c r="W368" s="42">
        <v>-45.9</v>
      </c>
    </row>
    <row r="369">
      <c r="A369" s="87">
        <v>368.0</v>
      </c>
      <c r="B369" s="85" t="s">
        <v>1921</v>
      </c>
      <c r="C369" s="85" t="s">
        <v>435</v>
      </c>
      <c r="D369" s="85" t="s">
        <v>1482</v>
      </c>
      <c r="E369" s="85" t="s">
        <v>1201</v>
      </c>
      <c r="F369" s="85" t="s">
        <v>1286</v>
      </c>
      <c r="G369" s="85" t="s">
        <v>1287</v>
      </c>
      <c r="H369" s="85" t="s">
        <v>1483</v>
      </c>
      <c r="I369" s="85" t="s">
        <v>1265</v>
      </c>
      <c r="J369" s="42">
        <v>210.0</v>
      </c>
      <c r="K369" s="42">
        <v>1.2</v>
      </c>
      <c r="L369" s="42">
        <v>0.58</v>
      </c>
      <c r="M369" s="42">
        <v>0.29</v>
      </c>
      <c r="N369" s="42">
        <v>1.0</v>
      </c>
      <c r="O369" s="42">
        <v>2.76E11</v>
      </c>
      <c r="P369" s="42">
        <v>2.88E11</v>
      </c>
      <c r="Q369" s="42">
        <v>-33.6</v>
      </c>
      <c r="R369" s="42">
        <v>-29.3</v>
      </c>
      <c r="S369" s="42">
        <v>-32.6</v>
      </c>
      <c r="T369" s="42">
        <v>-40.8</v>
      </c>
      <c r="U369" s="42">
        <v>0.45</v>
      </c>
      <c r="V369" s="42">
        <v>-19.4</v>
      </c>
      <c r="W369" s="42">
        <v>-32.6</v>
      </c>
    </row>
    <row r="370">
      <c r="A370" s="87">
        <v>369.0</v>
      </c>
      <c r="B370" s="85" t="s">
        <v>1922</v>
      </c>
      <c r="C370" s="85" t="s">
        <v>436</v>
      </c>
      <c r="D370" s="85" t="s">
        <v>1682</v>
      </c>
      <c r="E370" s="85" t="s">
        <v>1570</v>
      </c>
      <c r="F370" s="85" t="s">
        <v>1571</v>
      </c>
      <c r="G370" s="85" t="s">
        <v>1683</v>
      </c>
      <c r="H370" s="85" t="s">
        <v>1684</v>
      </c>
      <c r="I370" s="85" t="s">
        <v>1685</v>
      </c>
      <c r="J370" s="42">
        <v>71.9</v>
      </c>
      <c r="K370" s="42">
        <v>1.8</v>
      </c>
      <c r="L370" s="42">
        <v>2.5</v>
      </c>
      <c r="M370" s="42">
        <v>1.8</v>
      </c>
      <c r="N370" s="42">
        <v>0.37</v>
      </c>
      <c r="O370" s="42">
        <v>4.26E11</v>
      </c>
      <c r="P370" s="42">
        <v>4.1E10</v>
      </c>
      <c r="Q370" s="42">
        <v>-44.3</v>
      </c>
      <c r="R370" s="42">
        <v>-21.7</v>
      </c>
      <c r="S370" s="42">
        <v>-44.9</v>
      </c>
      <c r="T370" s="42">
        <v>5.9</v>
      </c>
      <c r="U370" s="42">
        <v>14.3</v>
      </c>
      <c r="V370" s="42">
        <v>-19.4</v>
      </c>
      <c r="W370" s="42">
        <v>-39.3</v>
      </c>
    </row>
    <row r="371">
      <c r="A371" s="87">
        <v>370.0</v>
      </c>
      <c r="B371" s="85" t="s">
        <v>1923</v>
      </c>
      <c r="C371" s="85" t="s">
        <v>437</v>
      </c>
      <c r="D371" s="85" t="s">
        <v>1299</v>
      </c>
      <c r="E371" s="85" t="s">
        <v>1300</v>
      </c>
      <c r="F371" s="85" t="s">
        <v>1301</v>
      </c>
      <c r="G371" s="85" t="s">
        <v>1301</v>
      </c>
      <c r="H371" s="85" t="s">
        <v>1301</v>
      </c>
      <c r="I371" s="85" t="s">
        <v>1812</v>
      </c>
      <c r="J371" s="42">
        <v>53.0</v>
      </c>
      <c r="K371" s="42">
        <v>1.8</v>
      </c>
      <c r="L371" s="42">
        <v>3.4</v>
      </c>
      <c r="M371" s="42">
        <v>2.9</v>
      </c>
      <c r="N371" s="42">
        <v>0.17</v>
      </c>
      <c r="O371" s="42">
        <v>2.9E12</v>
      </c>
      <c r="P371" s="42">
        <v>2.28E11</v>
      </c>
      <c r="Q371" s="42">
        <v>-8.1</v>
      </c>
      <c r="R371" s="42">
        <v>1.4</v>
      </c>
      <c r="S371" s="42">
        <v>-26.9</v>
      </c>
      <c r="T371" s="42">
        <v>14.8</v>
      </c>
      <c r="U371" s="42">
        <v>24.2</v>
      </c>
      <c r="V371" s="42">
        <v>-23.0</v>
      </c>
      <c r="W371" s="42">
        <v>-30.0</v>
      </c>
    </row>
    <row r="372">
      <c r="A372" s="87">
        <v>371.0</v>
      </c>
      <c r="B372" s="85" t="s">
        <v>1924</v>
      </c>
      <c r="C372" s="85" t="s">
        <v>438</v>
      </c>
      <c r="D372" s="85" t="s">
        <v>1234</v>
      </c>
      <c r="E372" s="85" t="s">
        <v>1235</v>
      </c>
      <c r="F372" s="85" t="s">
        <v>1235</v>
      </c>
      <c r="G372" s="85" t="s">
        <v>1236</v>
      </c>
      <c r="H372" s="85" t="s">
        <v>1237</v>
      </c>
      <c r="I372" s="85" t="s">
        <v>1265</v>
      </c>
      <c r="J372" s="42">
        <v>190.0</v>
      </c>
      <c r="K372" s="42">
        <v>6.4</v>
      </c>
      <c r="L372" s="42">
        <v>3.4</v>
      </c>
      <c r="M372" s="42">
        <v>3.2</v>
      </c>
      <c r="N372" s="42">
        <v>0.04</v>
      </c>
      <c r="O372" s="42">
        <v>5.2E11</v>
      </c>
      <c r="P372" s="42">
        <v>2.5E10</v>
      </c>
      <c r="Q372" s="42">
        <v>-7.6</v>
      </c>
      <c r="R372" s="42">
        <v>-1.6</v>
      </c>
      <c r="S372" s="42">
        <v>35.6</v>
      </c>
      <c r="T372" s="42">
        <v>450.0</v>
      </c>
      <c r="U372" s="42">
        <v>11.2</v>
      </c>
      <c r="V372" s="42">
        <v>-18.7</v>
      </c>
      <c r="W372" s="42">
        <v>-10.7</v>
      </c>
    </row>
    <row r="373">
      <c r="A373" s="87">
        <v>372.0</v>
      </c>
      <c r="B373" s="85" t="s">
        <v>1925</v>
      </c>
      <c r="C373" s="85" t="s">
        <v>439</v>
      </c>
      <c r="D373" s="85" t="s">
        <v>1247</v>
      </c>
      <c r="E373" s="85" t="s">
        <v>1208</v>
      </c>
      <c r="F373" s="85" t="s">
        <v>1248</v>
      </c>
      <c r="G373" s="85" t="s">
        <v>1249</v>
      </c>
      <c r="H373" s="85" t="s">
        <v>1249</v>
      </c>
      <c r="I373" s="85" t="s">
        <v>1278</v>
      </c>
      <c r="J373" s="42">
        <v>-7.1</v>
      </c>
      <c r="K373" s="42">
        <v>1.2</v>
      </c>
      <c r="L373" s="42">
        <v>-16.9</v>
      </c>
      <c r="M373" s="42">
        <v>-2.7</v>
      </c>
      <c r="N373" s="42">
        <v>5.4</v>
      </c>
      <c r="O373" s="42">
        <v>5.89E11</v>
      </c>
      <c r="P373" s="42">
        <v>9.2E10</v>
      </c>
      <c r="Q373" s="42">
        <v>-26.4</v>
      </c>
      <c r="R373" s="42">
        <v>-11.4</v>
      </c>
      <c r="S373" s="42">
        <v>-45.8</v>
      </c>
      <c r="T373" s="42">
        <v>-27.8</v>
      </c>
      <c r="U373" s="42">
        <v>-90.3</v>
      </c>
      <c r="V373" s="42">
        <v>-9.3</v>
      </c>
      <c r="W373" s="42">
        <v>-35.0</v>
      </c>
    </row>
    <row r="374">
      <c r="A374" s="87">
        <v>373.0</v>
      </c>
      <c r="B374" s="85" t="s">
        <v>1926</v>
      </c>
      <c r="C374" s="85" t="s">
        <v>440</v>
      </c>
      <c r="D374" s="85" t="s">
        <v>1439</v>
      </c>
      <c r="E374" s="85" t="s">
        <v>1376</v>
      </c>
      <c r="F374" s="85" t="s">
        <v>1377</v>
      </c>
      <c r="G374" s="85" t="s">
        <v>1440</v>
      </c>
      <c r="H374" s="85" t="s">
        <v>1440</v>
      </c>
      <c r="I374" s="85" t="s">
        <v>1441</v>
      </c>
      <c r="J374" s="42">
        <v>-12.5</v>
      </c>
      <c r="K374" s="42">
        <v>0.33</v>
      </c>
      <c r="L374" s="42">
        <v>-2.7</v>
      </c>
      <c r="M374" s="42">
        <v>-2.2</v>
      </c>
      <c r="N374" s="42">
        <v>0.2</v>
      </c>
      <c r="O374" s="42">
        <v>7.9E10</v>
      </c>
      <c r="P374" s="42">
        <v>2.6E8</v>
      </c>
      <c r="Q374" s="42">
        <v>-19.4</v>
      </c>
      <c r="R374" s="42">
        <v>-10.7</v>
      </c>
      <c r="S374" s="42">
        <v>-45.1</v>
      </c>
      <c r="T374" s="42">
        <v>180.0</v>
      </c>
      <c r="U374" s="42">
        <v>-2470.0</v>
      </c>
      <c r="V374" s="42">
        <v>-3.8</v>
      </c>
      <c r="W374" s="42">
        <v>-33.3</v>
      </c>
    </row>
    <row r="375">
      <c r="A375" s="87">
        <v>374.0</v>
      </c>
      <c r="B375" s="85" t="s">
        <v>1927</v>
      </c>
      <c r="C375" s="85" t="s">
        <v>441</v>
      </c>
      <c r="D375" s="85" t="s">
        <v>1569</v>
      </c>
      <c r="E375" s="85" t="s">
        <v>1570</v>
      </c>
      <c r="F375" s="85" t="s">
        <v>1571</v>
      </c>
      <c r="G375" s="85" t="s">
        <v>1572</v>
      </c>
      <c r="H375" s="85" t="s">
        <v>1572</v>
      </c>
      <c r="I375" s="85" t="s">
        <v>1928</v>
      </c>
      <c r="J375" s="42">
        <v>35.8</v>
      </c>
      <c r="K375" s="42">
        <v>2.0</v>
      </c>
      <c r="L375" s="42">
        <v>5.6</v>
      </c>
      <c r="M375" s="42">
        <v>3.4</v>
      </c>
      <c r="N375" s="42">
        <v>0.66</v>
      </c>
      <c r="O375" s="42">
        <v>1.45E13</v>
      </c>
      <c r="P375" s="42">
        <v>1.8E12</v>
      </c>
      <c r="Q375" s="42">
        <v>-23.4</v>
      </c>
      <c r="R375" s="42">
        <v>-39.8</v>
      </c>
      <c r="S375" s="42">
        <v>-46.5</v>
      </c>
      <c r="T375" s="42">
        <v>-47.6</v>
      </c>
      <c r="U375" s="42">
        <v>22.8</v>
      </c>
      <c r="V375" s="42">
        <v>-15.4</v>
      </c>
      <c r="W375" s="42">
        <v>-44.2</v>
      </c>
    </row>
    <row r="376">
      <c r="A376" s="87">
        <v>375.0</v>
      </c>
      <c r="B376" s="85" t="s">
        <v>1929</v>
      </c>
      <c r="C376" s="85" t="s">
        <v>442</v>
      </c>
      <c r="D376" s="85" t="s">
        <v>1704</v>
      </c>
      <c r="E376" s="85" t="s">
        <v>1300</v>
      </c>
      <c r="F376" s="85" t="s">
        <v>1427</v>
      </c>
      <c r="G376" s="85" t="s">
        <v>1705</v>
      </c>
      <c r="H376" s="85" t="s">
        <v>1705</v>
      </c>
      <c r="I376" s="85" t="s">
        <v>1595</v>
      </c>
      <c r="J376" s="42">
        <v>5.3</v>
      </c>
      <c r="K376" s="42">
        <v>1.5</v>
      </c>
      <c r="L376" s="42">
        <v>29.1</v>
      </c>
      <c r="M376" s="42">
        <v>14.1</v>
      </c>
      <c r="N376" s="42">
        <v>1.1</v>
      </c>
      <c r="O376" s="42">
        <v>1.4E11</v>
      </c>
      <c r="P376" s="42">
        <v>3.0E10</v>
      </c>
      <c r="Q376" s="42">
        <v>-30.6</v>
      </c>
      <c r="R376" s="42">
        <v>-31.7</v>
      </c>
      <c r="S376" s="42">
        <v>-43.3</v>
      </c>
      <c r="T376" s="42">
        <v>-51.1</v>
      </c>
      <c r="U376" s="42">
        <v>89.0</v>
      </c>
      <c r="V376" s="42">
        <v>-19.0</v>
      </c>
      <c r="W376" s="42">
        <v>-40.4</v>
      </c>
    </row>
    <row r="377">
      <c r="A377" s="87">
        <v>376.0</v>
      </c>
      <c r="B377" s="85" t="s">
        <v>1930</v>
      </c>
      <c r="C377" s="85" t="s">
        <v>443</v>
      </c>
      <c r="D377" s="85" t="s">
        <v>1345</v>
      </c>
      <c r="E377" s="85" t="s">
        <v>1194</v>
      </c>
      <c r="F377" s="85" t="s">
        <v>1346</v>
      </c>
      <c r="G377" s="85" t="s">
        <v>1346</v>
      </c>
      <c r="H377" s="85" t="s">
        <v>1347</v>
      </c>
      <c r="I377" s="85" t="s">
        <v>1243</v>
      </c>
      <c r="J377" s="42">
        <v>7.4</v>
      </c>
      <c r="K377" s="42">
        <v>0.93</v>
      </c>
      <c r="L377" s="42">
        <v>12.6</v>
      </c>
      <c r="M377" s="42">
        <v>5.1</v>
      </c>
      <c r="N377" s="42">
        <v>1.5</v>
      </c>
      <c r="O377" s="42">
        <v>1.6E12</v>
      </c>
      <c r="P377" s="42">
        <v>1.4E12</v>
      </c>
      <c r="Q377" s="42">
        <v>-30.0</v>
      </c>
      <c r="R377" s="42">
        <v>-17.0</v>
      </c>
      <c r="S377" s="42">
        <v>-32.6</v>
      </c>
      <c r="T377" s="42">
        <v>-27.5</v>
      </c>
      <c r="U377" s="42">
        <v>15.6</v>
      </c>
      <c r="V377" s="42">
        <v>-13.0</v>
      </c>
      <c r="W377" s="42">
        <v>-27.5</v>
      </c>
    </row>
    <row r="378">
      <c r="A378" s="87">
        <v>377.0</v>
      </c>
      <c r="B378" s="85" t="s">
        <v>1931</v>
      </c>
      <c r="C378" s="85" t="s">
        <v>444</v>
      </c>
      <c r="D378" s="85" t="s">
        <v>1932</v>
      </c>
      <c r="E378" s="85" t="s">
        <v>1214</v>
      </c>
      <c r="F378" s="85" t="s">
        <v>1326</v>
      </c>
      <c r="G378" s="85" t="s">
        <v>1331</v>
      </c>
      <c r="H378" s="85" t="s">
        <v>1933</v>
      </c>
      <c r="I378" s="85" t="s">
        <v>1394</v>
      </c>
      <c r="J378" s="42">
        <v>7.6</v>
      </c>
      <c r="K378" s="42">
        <v>1.3</v>
      </c>
      <c r="L378" s="42">
        <v>17.2</v>
      </c>
      <c r="M378" s="42">
        <v>6.7</v>
      </c>
      <c r="N378" s="42">
        <v>1.6</v>
      </c>
      <c r="O378" s="42">
        <v>3.7E12</v>
      </c>
      <c r="P378" s="42">
        <v>6.7E12</v>
      </c>
      <c r="Q378" s="42">
        <v>-10.9</v>
      </c>
      <c r="R378" s="42">
        <v>-7.2</v>
      </c>
      <c r="S378" s="42">
        <v>-11.3</v>
      </c>
      <c r="T378" s="42">
        <v>-19.4</v>
      </c>
      <c r="U378" s="42">
        <v>7.2</v>
      </c>
      <c r="V378" s="42">
        <v>-8.2</v>
      </c>
      <c r="W378" s="42">
        <v>-7.6</v>
      </c>
    </row>
    <row r="379">
      <c r="A379" s="87">
        <v>378.0</v>
      </c>
      <c r="B379" s="85" t="s">
        <v>1934</v>
      </c>
      <c r="C379" s="85" t="s">
        <v>445</v>
      </c>
      <c r="D379" s="85" t="s">
        <v>1387</v>
      </c>
      <c r="E379" s="85" t="s">
        <v>1230</v>
      </c>
      <c r="F379" s="85" t="s">
        <v>1388</v>
      </c>
      <c r="G379" s="85" t="s">
        <v>1389</v>
      </c>
      <c r="H379" s="85" t="s">
        <v>1389</v>
      </c>
      <c r="I379" s="85" t="s">
        <v>1417</v>
      </c>
      <c r="J379" s="42">
        <v>53.6</v>
      </c>
      <c r="K379" s="42">
        <v>1.1</v>
      </c>
      <c r="L379" s="42">
        <v>2.1</v>
      </c>
      <c r="M379" s="42">
        <v>1.7</v>
      </c>
      <c r="N379" s="42">
        <v>0.26</v>
      </c>
      <c r="O379" s="42">
        <v>8.58E11</v>
      </c>
      <c r="P379" s="42">
        <v>1.8E10</v>
      </c>
      <c r="Q379" s="42">
        <v>-19.4</v>
      </c>
      <c r="R379" s="42">
        <v>-20.6</v>
      </c>
      <c r="S379" s="42">
        <v>-28.2</v>
      </c>
      <c r="T379" s="42">
        <v>-35.6</v>
      </c>
      <c r="U379" s="42">
        <v>89.2</v>
      </c>
      <c r="V379" s="42">
        <v>-12.5</v>
      </c>
      <c r="W379" s="42">
        <v>-27.3</v>
      </c>
    </row>
    <row r="380">
      <c r="A380" s="87">
        <v>379.0</v>
      </c>
      <c r="B380" s="85" t="s">
        <v>1935</v>
      </c>
      <c r="C380" s="85" t="s">
        <v>446</v>
      </c>
      <c r="D380" s="85" t="s">
        <v>1397</v>
      </c>
      <c r="E380" s="85" t="s">
        <v>1187</v>
      </c>
      <c r="F380" s="85" t="s">
        <v>1188</v>
      </c>
      <c r="G380" s="85" t="s">
        <v>1359</v>
      </c>
      <c r="H380" s="85" t="s">
        <v>1398</v>
      </c>
      <c r="I380" s="85" t="s">
        <v>1936</v>
      </c>
      <c r="J380" s="42">
        <v>-0.23</v>
      </c>
      <c r="K380" s="42">
        <v>0.56</v>
      </c>
      <c r="L380" s="42">
        <v>-250.0</v>
      </c>
      <c r="M380" s="42">
        <v>-19.5</v>
      </c>
      <c r="N380" s="42">
        <v>11.6</v>
      </c>
      <c r="O380" s="42">
        <v>2.36E11</v>
      </c>
      <c r="P380" s="42">
        <v>3.5E12</v>
      </c>
      <c r="Q380" s="42">
        <v>-31.6</v>
      </c>
      <c r="R380" s="42">
        <v>-35.0</v>
      </c>
      <c r="S380" s="42">
        <v>-91.6</v>
      </c>
      <c r="T380" s="42">
        <v>-95.3</v>
      </c>
      <c r="U380" s="42">
        <v>-29.8</v>
      </c>
      <c r="V380" s="42">
        <v>-23.5</v>
      </c>
      <c r="W380" s="42">
        <v>-91.5</v>
      </c>
    </row>
    <row r="381">
      <c r="A381" s="87">
        <v>380.0</v>
      </c>
      <c r="B381" s="85" t="s">
        <v>1937</v>
      </c>
      <c r="C381" s="85" t="s">
        <v>447</v>
      </c>
      <c r="D381" s="85" t="s">
        <v>1294</v>
      </c>
      <c r="E381" s="85" t="s">
        <v>1187</v>
      </c>
      <c r="F381" s="85" t="s">
        <v>1188</v>
      </c>
      <c r="G381" s="85" t="s">
        <v>1295</v>
      </c>
      <c r="H381" s="85" t="s">
        <v>1296</v>
      </c>
      <c r="I381" s="85" t="s">
        <v>1649</v>
      </c>
      <c r="J381" s="42">
        <v>-11.5</v>
      </c>
      <c r="K381" s="42">
        <v>0.42</v>
      </c>
      <c r="L381" s="42">
        <v>-3.6</v>
      </c>
      <c r="M381" s="42">
        <v>-1.3</v>
      </c>
      <c r="N381" s="42">
        <v>1.8</v>
      </c>
      <c r="O381" s="42">
        <v>8.24E11</v>
      </c>
      <c r="P381" s="42">
        <v>1.7E12</v>
      </c>
      <c r="Q381" s="42">
        <v>0.0</v>
      </c>
      <c r="R381" s="42">
        <v>0.0</v>
      </c>
      <c r="S381" s="42">
        <v>0.0</v>
      </c>
      <c r="T381" s="42">
        <v>0.0</v>
      </c>
      <c r="U381" s="42">
        <v>-4.3</v>
      </c>
      <c r="V381" s="42">
        <v>0.0</v>
      </c>
      <c r="W381" s="42">
        <v>0.0</v>
      </c>
    </row>
    <row r="382">
      <c r="A382" s="87">
        <v>381.0</v>
      </c>
      <c r="B382" s="85" t="s">
        <v>1938</v>
      </c>
      <c r="C382" s="85" t="s">
        <v>448</v>
      </c>
      <c r="D382" s="85" t="s">
        <v>1312</v>
      </c>
      <c r="E382" s="85" t="s">
        <v>1252</v>
      </c>
      <c r="F382" s="85" t="s">
        <v>1252</v>
      </c>
      <c r="G382" s="85" t="s">
        <v>1313</v>
      </c>
      <c r="H382" s="85" t="s">
        <v>1314</v>
      </c>
      <c r="I382" s="85" t="s">
        <v>1316</v>
      </c>
      <c r="J382" s="42">
        <v>0.0</v>
      </c>
      <c r="K382" s="42">
        <v>-2.3</v>
      </c>
      <c r="L382" s="42">
        <v>0.0</v>
      </c>
      <c r="M382" s="42">
        <v>-71.0</v>
      </c>
      <c r="N382" s="42">
        <v>-6.7</v>
      </c>
      <c r="O382" s="42">
        <v>1.61E11</v>
      </c>
      <c r="P382" s="42">
        <v>4.21E9</v>
      </c>
      <c r="Q382" s="42">
        <v>0.0</v>
      </c>
      <c r="R382" s="42">
        <v>0.0</v>
      </c>
      <c r="S382" s="42">
        <v>0.0</v>
      </c>
      <c r="T382" s="42">
        <v>0.0</v>
      </c>
      <c r="U382" s="42">
        <v>-6710.0</v>
      </c>
      <c r="V382" s="42">
        <v>0.0</v>
      </c>
      <c r="W382" s="42">
        <v>0.0</v>
      </c>
    </row>
    <row r="383">
      <c r="A383" s="87">
        <v>382.0</v>
      </c>
      <c r="B383" s="85" t="s">
        <v>1939</v>
      </c>
      <c r="C383" s="85" t="s">
        <v>449</v>
      </c>
      <c r="D383" s="85" t="s">
        <v>1880</v>
      </c>
      <c r="E383" s="85" t="s">
        <v>1194</v>
      </c>
      <c r="F383" s="85" t="s">
        <v>1881</v>
      </c>
      <c r="G383" s="85" t="s">
        <v>1881</v>
      </c>
      <c r="H383" s="85" t="s">
        <v>1881</v>
      </c>
      <c r="I383" s="85" t="s">
        <v>1940</v>
      </c>
      <c r="J383" s="42">
        <v>12.0</v>
      </c>
      <c r="K383" s="42">
        <v>2.7</v>
      </c>
      <c r="L383" s="42">
        <v>22.2</v>
      </c>
      <c r="M383" s="42">
        <v>13.0</v>
      </c>
      <c r="N383" s="42">
        <v>0.71</v>
      </c>
      <c r="O383" s="42">
        <v>8.08E13</v>
      </c>
      <c r="P383" s="42">
        <v>2.72E13</v>
      </c>
      <c r="Q383" s="42">
        <v>-19.5</v>
      </c>
      <c r="R383" s="42">
        <v>-23.1</v>
      </c>
      <c r="S383" s="42">
        <v>-24.5</v>
      </c>
      <c r="T383" s="42">
        <v>-9.1</v>
      </c>
      <c r="U383" s="42">
        <v>24.8</v>
      </c>
      <c r="V383" s="42">
        <v>-13.0</v>
      </c>
      <c r="W383" s="42">
        <v>-18.9</v>
      </c>
    </row>
    <row r="384">
      <c r="A384" s="87">
        <v>383.0</v>
      </c>
      <c r="B384" s="85" t="s">
        <v>1941</v>
      </c>
      <c r="C384" s="85" t="s">
        <v>450</v>
      </c>
      <c r="D384" s="85" t="s">
        <v>1282</v>
      </c>
      <c r="E384" s="85" t="s">
        <v>1194</v>
      </c>
      <c r="F384" s="85" t="s">
        <v>1195</v>
      </c>
      <c r="G384" s="85" t="s">
        <v>1283</v>
      </c>
      <c r="H384" s="85" t="s">
        <v>1283</v>
      </c>
      <c r="I384" s="85" t="s">
        <v>1269</v>
      </c>
      <c r="J384" s="42">
        <v>-15.3</v>
      </c>
      <c r="K384" s="42">
        <v>1.1</v>
      </c>
      <c r="L384" s="42">
        <v>-6.9</v>
      </c>
      <c r="M384" s="42">
        <v>-4.2</v>
      </c>
      <c r="N384" s="42">
        <v>0.64</v>
      </c>
      <c r="O384" s="42">
        <v>6.0E11</v>
      </c>
      <c r="P384" s="42">
        <v>5.36E11</v>
      </c>
      <c r="Q384" s="42">
        <v>-25.4</v>
      </c>
      <c r="R384" s="42">
        <v>-25.4</v>
      </c>
      <c r="S384" s="42">
        <v>-35.1</v>
      </c>
      <c r="T384" s="42">
        <v>-45.7</v>
      </c>
      <c r="U384" s="42">
        <v>-7.3</v>
      </c>
      <c r="V384" s="42">
        <v>-18.0</v>
      </c>
      <c r="W384" s="42">
        <v>-32.4</v>
      </c>
    </row>
    <row r="385">
      <c r="A385" s="87">
        <v>384.0</v>
      </c>
      <c r="B385" s="85" t="s">
        <v>1942</v>
      </c>
      <c r="C385" s="85" t="s">
        <v>451</v>
      </c>
      <c r="D385" s="85" t="s">
        <v>1285</v>
      </c>
      <c r="E385" s="85" t="s">
        <v>1201</v>
      </c>
      <c r="F385" s="85" t="s">
        <v>1286</v>
      </c>
      <c r="G385" s="85" t="s">
        <v>1287</v>
      </c>
      <c r="H385" s="85" t="s">
        <v>1288</v>
      </c>
      <c r="I385" s="85" t="s">
        <v>1943</v>
      </c>
      <c r="J385" s="42">
        <v>0.0</v>
      </c>
      <c r="K385" s="42">
        <v>0.52</v>
      </c>
      <c r="L385" s="42">
        <v>-1.7</v>
      </c>
      <c r="M385" s="42">
        <v>-1.4</v>
      </c>
      <c r="N385" s="42">
        <v>0.16</v>
      </c>
      <c r="O385" s="42">
        <v>1.1E12</v>
      </c>
      <c r="P385" s="42">
        <v>1.0E10</v>
      </c>
      <c r="Q385" s="42">
        <v>0.0</v>
      </c>
      <c r="R385" s="42">
        <v>0.0</v>
      </c>
      <c r="S385" s="42">
        <v>0.0</v>
      </c>
      <c r="T385" s="42">
        <v>0.0</v>
      </c>
      <c r="U385" s="42">
        <v>-340.0</v>
      </c>
      <c r="V385" s="42">
        <v>0.0</v>
      </c>
      <c r="W385" s="42">
        <v>0.0</v>
      </c>
    </row>
    <row r="386">
      <c r="A386" s="87">
        <v>385.0</v>
      </c>
      <c r="B386" s="85" t="s">
        <v>1944</v>
      </c>
      <c r="C386" s="85" t="s">
        <v>452</v>
      </c>
      <c r="D386" s="85" t="s">
        <v>1234</v>
      </c>
      <c r="E386" s="85" t="s">
        <v>1235</v>
      </c>
      <c r="F386" s="85" t="s">
        <v>1235</v>
      </c>
      <c r="G386" s="85" t="s">
        <v>1236</v>
      </c>
      <c r="H386" s="85" t="s">
        <v>1237</v>
      </c>
      <c r="I386" s="85" t="s">
        <v>1322</v>
      </c>
      <c r="J386" s="42">
        <v>360.0</v>
      </c>
      <c r="K386" s="42">
        <v>2.4</v>
      </c>
      <c r="L386" s="42">
        <v>0.67</v>
      </c>
      <c r="M386" s="42">
        <v>0.49</v>
      </c>
      <c r="N386" s="42">
        <v>0.36</v>
      </c>
      <c r="O386" s="42">
        <v>3.21E11</v>
      </c>
      <c r="P386" s="42">
        <v>5.37E9</v>
      </c>
      <c r="Q386" s="42">
        <v>-18.5</v>
      </c>
      <c r="R386" s="42">
        <v>-36.2</v>
      </c>
      <c r="S386" s="42">
        <v>-66.2</v>
      </c>
      <c r="T386" s="42">
        <v>-16.2</v>
      </c>
      <c r="U386" s="42">
        <v>16.5</v>
      </c>
      <c r="V386" s="42">
        <v>-14.6</v>
      </c>
      <c r="W386" s="42">
        <v>-72.3</v>
      </c>
    </row>
    <row r="387">
      <c r="A387" s="87">
        <v>386.0</v>
      </c>
      <c r="B387" s="85" t="s">
        <v>1945</v>
      </c>
      <c r="C387" s="85" t="s">
        <v>453</v>
      </c>
      <c r="D387" s="85" t="s">
        <v>1932</v>
      </c>
      <c r="E387" s="85" t="s">
        <v>1214</v>
      </c>
      <c r="F387" s="85" t="s">
        <v>1326</v>
      </c>
      <c r="G387" s="85" t="s">
        <v>1331</v>
      </c>
      <c r="H387" s="85" t="s">
        <v>1933</v>
      </c>
      <c r="I387" s="85" t="s">
        <v>1333</v>
      </c>
      <c r="J387" s="42">
        <v>-16.4</v>
      </c>
      <c r="K387" s="42">
        <v>2.0</v>
      </c>
      <c r="L387" s="42">
        <v>-12.1</v>
      </c>
      <c r="M387" s="42">
        <v>-4.2</v>
      </c>
      <c r="N387" s="42">
        <v>1.9</v>
      </c>
      <c r="O387" s="42">
        <v>2.68E11</v>
      </c>
      <c r="P387" s="42">
        <v>3.8E10</v>
      </c>
      <c r="Q387" s="42">
        <v>-25.2</v>
      </c>
      <c r="R387" s="42">
        <v>-54.7</v>
      </c>
      <c r="S387" s="42">
        <v>-54.7</v>
      </c>
      <c r="T387" s="42">
        <v>280.0</v>
      </c>
      <c r="U387" s="42">
        <v>-43.6</v>
      </c>
      <c r="V387" s="42">
        <v>-16.4</v>
      </c>
      <c r="W387" s="42">
        <v>-24.6</v>
      </c>
    </row>
    <row r="388">
      <c r="A388" s="87">
        <v>387.0</v>
      </c>
      <c r="B388" s="85" t="s">
        <v>1946</v>
      </c>
      <c r="C388" s="85" t="s">
        <v>454</v>
      </c>
      <c r="D388" s="85" t="s">
        <v>1285</v>
      </c>
      <c r="E388" s="85" t="s">
        <v>1201</v>
      </c>
      <c r="F388" s="85" t="s">
        <v>1286</v>
      </c>
      <c r="G388" s="85" t="s">
        <v>1287</v>
      </c>
      <c r="H388" s="85" t="s">
        <v>1288</v>
      </c>
      <c r="I388" s="85" t="s">
        <v>1205</v>
      </c>
      <c r="J388" s="42">
        <v>0.0</v>
      </c>
      <c r="K388" s="42">
        <v>0.49</v>
      </c>
      <c r="L388" s="42">
        <v>19.1</v>
      </c>
      <c r="M388" s="42">
        <v>15.8</v>
      </c>
      <c r="N388" s="42">
        <v>0.21</v>
      </c>
      <c r="O388" s="42">
        <v>1.78E11</v>
      </c>
      <c r="P388" s="42">
        <v>2.12E9</v>
      </c>
      <c r="Q388" s="42">
        <v>0.0</v>
      </c>
      <c r="R388" s="42">
        <v>0.0</v>
      </c>
      <c r="S388" s="42">
        <v>0.0</v>
      </c>
      <c r="T388" s="42">
        <v>0.0</v>
      </c>
      <c r="U388" s="42">
        <v>3300.0</v>
      </c>
      <c r="V388" s="42">
        <v>0.0</v>
      </c>
      <c r="W388" s="42">
        <v>0.0</v>
      </c>
    </row>
    <row r="389">
      <c r="A389" s="87">
        <v>388.0</v>
      </c>
      <c r="B389" s="85" t="s">
        <v>1947</v>
      </c>
      <c r="C389" s="85" t="s">
        <v>455</v>
      </c>
      <c r="D389" s="85" t="s">
        <v>1285</v>
      </c>
      <c r="E389" s="85" t="s">
        <v>1201</v>
      </c>
      <c r="F389" s="85" t="s">
        <v>1286</v>
      </c>
      <c r="G389" s="85" t="s">
        <v>1287</v>
      </c>
      <c r="H389" s="85" t="s">
        <v>1288</v>
      </c>
      <c r="I389" s="85" t="s">
        <v>1289</v>
      </c>
      <c r="J389" s="42">
        <v>-51.9</v>
      </c>
      <c r="K389" s="42">
        <v>0.53</v>
      </c>
      <c r="L389" s="42">
        <v>-1.0</v>
      </c>
      <c r="M389" s="42">
        <v>-0.64</v>
      </c>
      <c r="N389" s="42">
        <v>0.6</v>
      </c>
      <c r="O389" s="42">
        <v>2.86E11</v>
      </c>
      <c r="P389" s="42">
        <v>2.4E10</v>
      </c>
      <c r="Q389" s="42">
        <v>-20.4</v>
      </c>
      <c r="R389" s="42">
        <v>0.0</v>
      </c>
      <c r="S389" s="42">
        <v>-2.3</v>
      </c>
      <c r="T389" s="42">
        <v>72.0</v>
      </c>
      <c r="U389" s="42">
        <v>-23.1</v>
      </c>
      <c r="V389" s="42">
        <v>-14.0</v>
      </c>
      <c r="W389" s="42">
        <v>-14.0</v>
      </c>
    </row>
    <row r="390">
      <c r="A390" s="87">
        <v>389.0</v>
      </c>
      <c r="B390" s="85" t="s">
        <v>1948</v>
      </c>
      <c r="C390" s="85" t="s">
        <v>456</v>
      </c>
      <c r="D390" s="85" t="s">
        <v>1834</v>
      </c>
      <c r="E390" s="85" t="s">
        <v>1201</v>
      </c>
      <c r="F390" s="85" t="s">
        <v>1225</v>
      </c>
      <c r="G390" s="85" t="s">
        <v>1225</v>
      </c>
      <c r="H390" s="85" t="s">
        <v>1835</v>
      </c>
      <c r="I390" s="85" t="s">
        <v>1949</v>
      </c>
      <c r="J390" s="42">
        <v>9.1</v>
      </c>
      <c r="K390" s="42">
        <v>3.1</v>
      </c>
      <c r="L390" s="42">
        <v>34.5</v>
      </c>
      <c r="M390" s="42">
        <v>9.2</v>
      </c>
      <c r="N390" s="42">
        <v>2.8</v>
      </c>
      <c r="O390" s="42">
        <v>1.15E13</v>
      </c>
      <c r="P390" s="42">
        <v>2.02E13</v>
      </c>
      <c r="Q390" s="42">
        <v>-27.5</v>
      </c>
      <c r="R390" s="42">
        <v>-25.6</v>
      </c>
      <c r="S390" s="42">
        <v>22.5</v>
      </c>
      <c r="T390" s="42">
        <v>210.0</v>
      </c>
      <c r="U390" s="42">
        <v>6.3</v>
      </c>
      <c r="V390" s="42">
        <v>-21.3</v>
      </c>
      <c r="W390" s="42">
        <v>-10.0</v>
      </c>
    </row>
    <row r="391">
      <c r="A391" s="87">
        <v>390.0</v>
      </c>
      <c r="B391" s="85" t="s">
        <v>1950</v>
      </c>
      <c r="C391" s="85" t="s">
        <v>457</v>
      </c>
      <c r="D391" s="85" t="s">
        <v>1186</v>
      </c>
      <c r="E391" s="85" t="s">
        <v>1187</v>
      </c>
      <c r="F391" s="85" t="s">
        <v>1188</v>
      </c>
      <c r="G391" s="85" t="s">
        <v>1189</v>
      </c>
      <c r="H391" s="85" t="s">
        <v>1190</v>
      </c>
      <c r="I391" s="85" t="s">
        <v>1951</v>
      </c>
      <c r="J391" s="42">
        <v>15.5</v>
      </c>
      <c r="K391" s="42">
        <v>0.34</v>
      </c>
      <c r="L391" s="42">
        <v>2.2</v>
      </c>
      <c r="M391" s="42">
        <v>1.1</v>
      </c>
      <c r="N391" s="42">
        <v>1.0</v>
      </c>
      <c r="O391" s="42">
        <v>1.07E13</v>
      </c>
      <c r="P391" s="42">
        <v>5.9E12</v>
      </c>
      <c r="Q391" s="42">
        <v>-30.1</v>
      </c>
      <c r="R391" s="42">
        <v>-36.0</v>
      </c>
      <c r="S391" s="42">
        <v>-38.5</v>
      </c>
      <c r="T391" s="42">
        <v>-26.4</v>
      </c>
      <c r="U391" s="42">
        <v>11.7</v>
      </c>
      <c r="V391" s="42">
        <v>-20.5</v>
      </c>
      <c r="W391" s="42">
        <v>-41.6</v>
      </c>
    </row>
    <row r="392">
      <c r="A392" s="87">
        <v>391.0</v>
      </c>
      <c r="B392" s="85" t="s">
        <v>1952</v>
      </c>
      <c r="C392" s="85" t="s">
        <v>458</v>
      </c>
      <c r="D392" s="85" t="s">
        <v>1294</v>
      </c>
      <c r="E392" s="85" t="s">
        <v>1187</v>
      </c>
      <c r="F392" s="85" t="s">
        <v>1188</v>
      </c>
      <c r="G392" s="85" t="s">
        <v>1295</v>
      </c>
      <c r="H392" s="85" t="s">
        <v>1296</v>
      </c>
      <c r="I392" s="85" t="s">
        <v>1383</v>
      </c>
      <c r="J392" s="42">
        <v>14.4</v>
      </c>
      <c r="K392" s="42">
        <v>0.9</v>
      </c>
      <c r="L392" s="42">
        <v>6.2</v>
      </c>
      <c r="M392" s="42">
        <v>3.4</v>
      </c>
      <c r="N392" s="42">
        <v>0.83</v>
      </c>
      <c r="O392" s="42">
        <v>2.6E12</v>
      </c>
      <c r="P392" s="42">
        <v>1.6E12</v>
      </c>
      <c r="Q392" s="42">
        <v>-44.7</v>
      </c>
      <c r="R392" s="42">
        <v>-51.0</v>
      </c>
      <c r="S392" s="42">
        <v>-52.8</v>
      </c>
      <c r="T392" s="42">
        <v>74.1</v>
      </c>
      <c r="U392" s="42">
        <v>11.4</v>
      </c>
      <c r="V392" s="42">
        <v>-30.9</v>
      </c>
      <c r="W392" s="42">
        <v>-70.8</v>
      </c>
    </row>
    <row r="393">
      <c r="A393" s="87">
        <v>392.0</v>
      </c>
      <c r="B393" s="85" t="s">
        <v>1953</v>
      </c>
      <c r="C393" s="85" t="s">
        <v>459</v>
      </c>
      <c r="D393" s="85" t="s">
        <v>1954</v>
      </c>
      <c r="E393" s="85" t="s">
        <v>1214</v>
      </c>
      <c r="F393" s="85" t="s">
        <v>1406</v>
      </c>
      <c r="G393" s="85" t="s">
        <v>1407</v>
      </c>
      <c r="H393" s="85" t="s">
        <v>1955</v>
      </c>
      <c r="I393" s="85" t="s">
        <v>1333</v>
      </c>
      <c r="J393" s="42">
        <v>17.4</v>
      </c>
      <c r="K393" s="42">
        <v>2.1</v>
      </c>
      <c r="L393" s="42">
        <v>12.3</v>
      </c>
      <c r="M393" s="42">
        <v>8.7</v>
      </c>
      <c r="N393" s="42">
        <v>0.41</v>
      </c>
      <c r="O393" s="42">
        <v>3.66E11</v>
      </c>
      <c r="P393" s="42">
        <v>1.0E11</v>
      </c>
      <c r="Q393" s="42">
        <v>-20.3</v>
      </c>
      <c r="R393" s="42">
        <v>-13.1</v>
      </c>
      <c r="S393" s="42">
        <v>-21.7</v>
      </c>
      <c r="T393" s="42">
        <v>-13.1</v>
      </c>
      <c r="U393" s="42">
        <v>21.0</v>
      </c>
      <c r="V393" s="42">
        <v>-9.4</v>
      </c>
      <c r="W393" s="42">
        <v>-24.6</v>
      </c>
    </row>
    <row r="394">
      <c r="A394" s="87">
        <v>393.0</v>
      </c>
      <c r="B394" s="85" t="s">
        <v>1956</v>
      </c>
      <c r="C394" s="85" t="s">
        <v>460</v>
      </c>
      <c r="D394" s="85" t="s">
        <v>1186</v>
      </c>
      <c r="E394" s="85" t="s">
        <v>1187</v>
      </c>
      <c r="F394" s="85" t="s">
        <v>1188</v>
      </c>
      <c r="G394" s="85" t="s">
        <v>1189</v>
      </c>
      <c r="H394" s="85" t="s">
        <v>1190</v>
      </c>
      <c r="I394" s="85" t="s">
        <v>1383</v>
      </c>
      <c r="J394" s="42">
        <v>19.6</v>
      </c>
      <c r="K394" s="42">
        <v>0.93</v>
      </c>
      <c r="L394" s="42">
        <v>4.7</v>
      </c>
      <c r="M394" s="42">
        <v>2.6</v>
      </c>
      <c r="N394" s="42">
        <v>0.81</v>
      </c>
      <c r="O394" s="42">
        <v>2.1E12</v>
      </c>
      <c r="P394" s="42">
        <v>3.68E11</v>
      </c>
      <c r="Q394" s="42">
        <v>-28.0</v>
      </c>
      <c r="R394" s="42">
        <v>-22.9</v>
      </c>
      <c r="S394" s="42">
        <v>-48.6</v>
      </c>
      <c r="T394" s="42">
        <v>12.5</v>
      </c>
      <c r="U394" s="42">
        <v>29.5</v>
      </c>
      <c r="V394" s="42">
        <v>-21.7</v>
      </c>
      <c r="W394" s="42">
        <v>-67.9</v>
      </c>
    </row>
    <row r="395">
      <c r="A395" s="87">
        <v>394.0</v>
      </c>
      <c r="B395" s="85" t="s">
        <v>1957</v>
      </c>
      <c r="C395" s="85" t="s">
        <v>461</v>
      </c>
      <c r="D395" s="85" t="s">
        <v>1932</v>
      </c>
      <c r="E395" s="85" t="s">
        <v>1214</v>
      </c>
      <c r="F395" s="85" t="s">
        <v>1326</v>
      </c>
      <c r="G395" s="85" t="s">
        <v>1331</v>
      </c>
      <c r="H395" s="85" t="s">
        <v>1933</v>
      </c>
      <c r="I395" s="85" t="s">
        <v>1385</v>
      </c>
      <c r="J395" s="42">
        <v>-4.2</v>
      </c>
      <c r="K395" s="42">
        <v>-0.14</v>
      </c>
      <c r="L395" s="42">
        <v>0.0</v>
      </c>
      <c r="M395" s="42">
        <v>-5.2</v>
      </c>
      <c r="N395" s="42">
        <v>-1.6</v>
      </c>
      <c r="O395" s="42">
        <v>1.06E11</v>
      </c>
      <c r="P395" s="42">
        <v>5.4E10</v>
      </c>
      <c r="Q395" s="42">
        <v>-35.7</v>
      </c>
      <c r="R395" s="42">
        <v>-39.3</v>
      </c>
      <c r="S395" s="42">
        <v>-57.1</v>
      </c>
      <c r="T395" s="42">
        <v>290.0</v>
      </c>
      <c r="U395" s="42">
        <v>-47.2</v>
      </c>
      <c r="V395" s="42">
        <v>-21.7</v>
      </c>
      <c r="W395" s="42">
        <v>-75.2</v>
      </c>
    </row>
    <row r="396">
      <c r="A396" s="87">
        <v>395.0</v>
      </c>
      <c r="B396" s="85" t="s">
        <v>1958</v>
      </c>
      <c r="C396" s="85" t="s">
        <v>462</v>
      </c>
      <c r="D396" s="85" t="s">
        <v>1193</v>
      </c>
      <c r="E396" s="85" t="s">
        <v>1194</v>
      </c>
      <c r="F396" s="85" t="s">
        <v>1195</v>
      </c>
      <c r="G396" s="85" t="s">
        <v>1196</v>
      </c>
      <c r="H396" s="85" t="s">
        <v>1197</v>
      </c>
      <c r="I396" s="85" t="s">
        <v>1265</v>
      </c>
      <c r="J396" s="42">
        <v>350.0</v>
      </c>
      <c r="K396" s="42">
        <v>2.2</v>
      </c>
      <c r="L396" s="42">
        <v>0.62</v>
      </c>
      <c r="M396" s="42">
        <v>0.58</v>
      </c>
      <c r="N396" s="42">
        <v>0.07</v>
      </c>
      <c r="O396" s="42">
        <v>7.5E11</v>
      </c>
      <c r="P396" s="42">
        <v>4.3E10</v>
      </c>
      <c r="Q396" s="42">
        <v>-29.6</v>
      </c>
      <c r="R396" s="42">
        <v>-39.2</v>
      </c>
      <c r="S396" s="42">
        <v>2.7</v>
      </c>
      <c r="T396" s="42">
        <v>170.0</v>
      </c>
      <c r="U396" s="42">
        <v>5.0</v>
      </c>
      <c r="V396" s="42">
        <v>-24.8</v>
      </c>
      <c r="W396" s="42">
        <v>-2.6</v>
      </c>
    </row>
    <row r="397">
      <c r="A397" s="87">
        <v>396.0</v>
      </c>
      <c r="B397" s="85" t="s">
        <v>1959</v>
      </c>
      <c r="C397" s="85" t="s">
        <v>463</v>
      </c>
      <c r="D397" s="85" t="s">
        <v>1463</v>
      </c>
      <c r="E397" s="85" t="s">
        <v>1230</v>
      </c>
      <c r="F397" s="85" t="s">
        <v>1464</v>
      </c>
      <c r="G397" s="85" t="s">
        <v>1465</v>
      </c>
      <c r="H397" s="85" t="s">
        <v>1465</v>
      </c>
      <c r="I397" s="85" t="s">
        <v>1232</v>
      </c>
      <c r="J397" s="42">
        <v>27.8</v>
      </c>
      <c r="K397" s="42">
        <v>4.4</v>
      </c>
      <c r="L397" s="42">
        <v>16.0</v>
      </c>
      <c r="M397" s="42">
        <v>10.4</v>
      </c>
      <c r="N397" s="42">
        <v>0.53</v>
      </c>
      <c r="O397" s="42">
        <v>1.14E13</v>
      </c>
      <c r="P397" s="42">
        <v>8.72E11</v>
      </c>
      <c r="Q397" s="42">
        <v>0.0</v>
      </c>
      <c r="R397" s="42">
        <v>69.5</v>
      </c>
      <c r="S397" s="42">
        <v>63.8</v>
      </c>
      <c r="T397" s="42">
        <v>69.5</v>
      </c>
      <c r="U397" s="42">
        <v>47.2</v>
      </c>
      <c r="V397" s="42">
        <v>0.0</v>
      </c>
      <c r="W397" s="42">
        <v>71.2</v>
      </c>
    </row>
    <row r="398">
      <c r="A398" s="87">
        <v>397.0</v>
      </c>
      <c r="B398" s="85" t="s">
        <v>1960</v>
      </c>
      <c r="C398" s="85" t="s">
        <v>464</v>
      </c>
      <c r="D398" s="85" t="s">
        <v>1282</v>
      </c>
      <c r="E398" s="85" t="s">
        <v>1194</v>
      </c>
      <c r="F398" s="85" t="s">
        <v>1195</v>
      </c>
      <c r="G398" s="85" t="s">
        <v>1283</v>
      </c>
      <c r="H398" s="85" t="s">
        <v>1283</v>
      </c>
      <c r="I398" s="85" t="s">
        <v>1961</v>
      </c>
      <c r="J398" s="42">
        <v>9.1</v>
      </c>
      <c r="K398" s="42">
        <v>1.1</v>
      </c>
      <c r="L398" s="42">
        <v>11.9</v>
      </c>
      <c r="M398" s="42">
        <v>6.5</v>
      </c>
      <c r="N398" s="42">
        <v>0.82</v>
      </c>
      <c r="O398" s="42">
        <v>8.28E13</v>
      </c>
      <c r="P398" s="42">
        <v>2.17E13</v>
      </c>
      <c r="Q398" s="42">
        <v>-15.5</v>
      </c>
      <c r="R398" s="42">
        <v>-15.8</v>
      </c>
      <c r="S398" s="42">
        <v>-25.7</v>
      </c>
      <c r="T398" s="42">
        <v>-43.9</v>
      </c>
      <c r="U398" s="42">
        <v>42.1</v>
      </c>
      <c r="V398" s="42">
        <v>-11.8</v>
      </c>
      <c r="W398" s="42">
        <v>-25.7</v>
      </c>
    </row>
    <row r="399">
      <c r="A399" s="87">
        <v>398.0</v>
      </c>
      <c r="B399" s="85" t="s">
        <v>1962</v>
      </c>
      <c r="C399" s="85" t="s">
        <v>465</v>
      </c>
      <c r="D399" s="85" t="s">
        <v>1405</v>
      </c>
      <c r="E399" s="85" t="s">
        <v>1214</v>
      </c>
      <c r="F399" s="85" t="s">
        <v>1406</v>
      </c>
      <c r="G399" s="85" t="s">
        <v>1407</v>
      </c>
      <c r="H399" s="85" t="s">
        <v>1408</v>
      </c>
      <c r="I399" s="85" t="s">
        <v>1333</v>
      </c>
      <c r="J399" s="42">
        <v>30.0</v>
      </c>
      <c r="K399" s="42">
        <v>0.51</v>
      </c>
      <c r="L399" s="42">
        <v>1.7</v>
      </c>
      <c r="M399" s="42">
        <v>1.0</v>
      </c>
      <c r="N399" s="42">
        <v>0.65</v>
      </c>
      <c r="O399" s="42">
        <v>1.13E11</v>
      </c>
      <c r="P399" s="42">
        <v>5.9E10</v>
      </c>
      <c r="Q399" s="42">
        <v>-10.4</v>
      </c>
      <c r="R399" s="42">
        <v>0.833</v>
      </c>
      <c r="S399" s="42">
        <v>49.4</v>
      </c>
      <c r="T399" s="42">
        <v>210.0</v>
      </c>
      <c r="U399" s="42">
        <v>6.4</v>
      </c>
      <c r="V399" s="42">
        <v>16.3</v>
      </c>
      <c r="W399" s="42">
        <v>59.2</v>
      </c>
    </row>
    <row r="400">
      <c r="A400" s="87">
        <v>399.0</v>
      </c>
      <c r="B400" s="85" t="s">
        <v>1963</v>
      </c>
      <c r="C400" s="85" t="s">
        <v>466</v>
      </c>
      <c r="D400" s="85" t="s">
        <v>1565</v>
      </c>
      <c r="E400" s="85" t="s">
        <v>1201</v>
      </c>
      <c r="F400" s="85" t="s">
        <v>1286</v>
      </c>
      <c r="G400" s="85" t="s">
        <v>1566</v>
      </c>
      <c r="H400" s="85" t="s">
        <v>1567</v>
      </c>
      <c r="I400" s="85" t="s">
        <v>1265</v>
      </c>
      <c r="J400" s="42">
        <v>25.3</v>
      </c>
      <c r="K400" s="42">
        <v>1.1</v>
      </c>
      <c r="L400" s="42">
        <v>4.4</v>
      </c>
      <c r="M400" s="42">
        <v>3.6</v>
      </c>
      <c r="N400" s="42">
        <v>0.21</v>
      </c>
      <c r="O400" s="42">
        <v>7.0E10</v>
      </c>
      <c r="P400" s="42">
        <v>2.5E10</v>
      </c>
      <c r="Q400" s="42">
        <v>-39.5</v>
      </c>
      <c r="R400" s="42">
        <v>-59.6</v>
      </c>
      <c r="S400" s="42">
        <v>-42.5</v>
      </c>
      <c r="T400" s="42">
        <v>7.0</v>
      </c>
      <c r="U400" s="42">
        <v>10.9</v>
      </c>
      <c r="V400" s="42">
        <v>-27.0</v>
      </c>
      <c r="W400" s="42">
        <v>-52.6</v>
      </c>
    </row>
    <row r="401">
      <c r="A401" s="87">
        <v>400.0</v>
      </c>
      <c r="B401" s="85" t="s">
        <v>1964</v>
      </c>
      <c r="C401" s="85" t="s">
        <v>467</v>
      </c>
      <c r="D401" s="85" t="s">
        <v>1229</v>
      </c>
      <c r="E401" s="85" t="s">
        <v>1230</v>
      </c>
      <c r="F401" s="85" t="s">
        <v>1231</v>
      </c>
      <c r="G401" s="85" t="s">
        <v>1231</v>
      </c>
      <c r="H401" s="85" t="s">
        <v>1231</v>
      </c>
      <c r="I401" s="85" t="s">
        <v>1764</v>
      </c>
      <c r="J401" s="42">
        <v>20.2</v>
      </c>
      <c r="K401" s="42">
        <v>0.86</v>
      </c>
      <c r="L401" s="42">
        <v>4.2</v>
      </c>
      <c r="M401" s="42">
        <v>1.7</v>
      </c>
      <c r="N401" s="42">
        <v>1.5</v>
      </c>
      <c r="O401" s="42">
        <v>6.01E11</v>
      </c>
      <c r="P401" s="42">
        <v>4.01E11</v>
      </c>
      <c r="Q401" s="42">
        <v>-1.3</v>
      </c>
      <c r="R401" s="42">
        <v>-2.0</v>
      </c>
      <c r="S401" s="42">
        <v>1.4</v>
      </c>
      <c r="T401" s="42">
        <v>54.7</v>
      </c>
      <c r="U401" s="42">
        <v>7.4</v>
      </c>
      <c r="V401" s="42">
        <v>-2.6</v>
      </c>
      <c r="W401" s="42">
        <v>9.7</v>
      </c>
    </row>
    <row r="402">
      <c r="A402" s="87">
        <v>401.0</v>
      </c>
      <c r="B402" s="85" t="s">
        <v>1965</v>
      </c>
      <c r="C402" s="85" t="s">
        <v>468</v>
      </c>
      <c r="D402" s="85" t="s">
        <v>1966</v>
      </c>
      <c r="E402" s="85" t="s">
        <v>1252</v>
      </c>
      <c r="F402" s="85" t="s">
        <v>1252</v>
      </c>
      <c r="G402" s="85" t="s">
        <v>1469</v>
      </c>
      <c r="H402" s="85" t="s">
        <v>1967</v>
      </c>
      <c r="I402" s="85" t="s">
        <v>1271</v>
      </c>
      <c r="J402" s="42">
        <v>14.1</v>
      </c>
      <c r="K402" s="42">
        <v>1.5</v>
      </c>
      <c r="L402" s="42">
        <v>10.6</v>
      </c>
      <c r="M402" s="42">
        <v>8.5</v>
      </c>
      <c r="N402" s="42">
        <v>0.24</v>
      </c>
      <c r="O402" s="42">
        <v>2.1E12</v>
      </c>
      <c r="P402" s="42">
        <v>3.31E11</v>
      </c>
      <c r="Q402" s="42">
        <v>-5.4</v>
      </c>
      <c r="R402" s="42">
        <v>-5.4</v>
      </c>
      <c r="S402" s="42">
        <v>-6.3</v>
      </c>
      <c r="T402" s="42">
        <v>-23.4</v>
      </c>
      <c r="U402" s="42">
        <v>45.6</v>
      </c>
      <c r="V402" s="42">
        <v>-7.1</v>
      </c>
      <c r="W402" s="42">
        <v>-6.3</v>
      </c>
    </row>
    <row r="403">
      <c r="A403" s="87">
        <v>402.0</v>
      </c>
      <c r="B403" s="85" t="s">
        <v>1968</v>
      </c>
      <c r="C403" s="85" t="s">
        <v>469</v>
      </c>
      <c r="D403" s="85" t="s">
        <v>1354</v>
      </c>
      <c r="E403" s="85" t="s">
        <v>1252</v>
      </c>
      <c r="F403" s="85" t="s">
        <v>1252</v>
      </c>
      <c r="G403" s="85" t="s">
        <v>1313</v>
      </c>
      <c r="H403" s="85" t="s">
        <v>1355</v>
      </c>
      <c r="I403" s="85" t="s">
        <v>1271</v>
      </c>
      <c r="J403" s="42">
        <v>51.9</v>
      </c>
      <c r="K403" s="42">
        <v>3.4</v>
      </c>
      <c r="L403" s="42">
        <v>6.6</v>
      </c>
      <c r="M403" s="42">
        <v>5.5</v>
      </c>
      <c r="N403" s="42">
        <v>0.19</v>
      </c>
      <c r="O403" s="42">
        <v>3.1E12</v>
      </c>
      <c r="P403" s="42">
        <v>2.97E11</v>
      </c>
      <c r="Q403" s="42">
        <v>-51.5</v>
      </c>
      <c r="R403" s="42">
        <v>-70.9</v>
      </c>
      <c r="S403" s="42">
        <v>15.2</v>
      </c>
      <c r="T403" s="42">
        <v>15.2</v>
      </c>
      <c r="U403" s="42">
        <v>20.0</v>
      </c>
      <c r="V403" s="42">
        <v>-32.3</v>
      </c>
      <c r="W403" s="42">
        <v>16.0</v>
      </c>
    </row>
    <row r="404">
      <c r="A404" s="87">
        <v>403.0</v>
      </c>
      <c r="B404" s="85" t="s">
        <v>1969</v>
      </c>
      <c r="C404" s="85" t="s">
        <v>470</v>
      </c>
      <c r="D404" s="85" t="s">
        <v>1304</v>
      </c>
      <c r="E404" s="85" t="s">
        <v>1252</v>
      </c>
      <c r="F404" s="85" t="s">
        <v>1252</v>
      </c>
      <c r="G404" s="85" t="s">
        <v>1305</v>
      </c>
      <c r="H404" s="85" t="s">
        <v>1305</v>
      </c>
      <c r="I404" s="85" t="s">
        <v>1255</v>
      </c>
      <c r="J404" s="42">
        <v>7.3</v>
      </c>
      <c r="K404" s="42">
        <v>0.45</v>
      </c>
      <c r="L404" s="42">
        <v>6.2</v>
      </c>
      <c r="M404" s="42">
        <v>5.4</v>
      </c>
      <c r="N404" s="42">
        <v>0.15</v>
      </c>
      <c r="O404" s="42">
        <v>4.12E11</v>
      </c>
      <c r="P404" s="42">
        <v>2.1E11</v>
      </c>
      <c r="Q404" s="42">
        <v>-12.4</v>
      </c>
      <c r="R404" s="42">
        <v>-15.6</v>
      </c>
      <c r="S404" s="42">
        <v>-36.9</v>
      </c>
      <c r="T404" s="42">
        <v>-31.7</v>
      </c>
      <c r="U404" s="42">
        <v>26.9</v>
      </c>
      <c r="V404" s="42">
        <v>-6.4</v>
      </c>
      <c r="W404" s="42">
        <v>-18.0</v>
      </c>
    </row>
    <row r="405">
      <c r="A405" s="87">
        <v>404.0</v>
      </c>
      <c r="B405" s="85" t="s">
        <v>1970</v>
      </c>
      <c r="C405" s="85" t="s">
        <v>471</v>
      </c>
      <c r="D405" s="85" t="s">
        <v>1531</v>
      </c>
      <c r="E405" s="85" t="s">
        <v>1201</v>
      </c>
      <c r="F405" s="85" t="s">
        <v>1532</v>
      </c>
      <c r="G405" s="85" t="s">
        <v>1533</v>
      </c>
      <c r="H405" s="85" t="s">
        <v>1533</v>
      </c>
      <c r="I405" s="85" t="s">
        <v>1561</v>
      </c>
      <c r="J405" s="42">
        <v>-150.0</v>
      </c>
      <c r="K405" s="42">
        <v>10.7</v>
      </c>
      <c r="L405" s="42">
        <v>-7.4</v>
      </c>
      <c r="M405" s="42">
        <v>-6.4</v>
      </c>
      <c r="N405" s="42">
        <v>0.14</v>
      </c>
      <c r="O405" s="42">
        <v>1.7E12</v>
      </c>
      <c r="P405" s="42">
        <v>2.51E7</v>
      </c>
      <c r="Q405" s="42">
        <v>0.0</v>
      </c>
      <c r="R405" s="42">
        <v>0.0</v>
      </c>
      <c r="S405" s="42">
        <v>0.0</v>
      </c>
      <c r="T405" s="42">
        <v>0.0</v>
      </c>
      <c r="U405" s="42">
        <v>-46000.0</v>
      </c>
      <c r="V405" s="42">
        <v>0.0</v>
      </c>
      <c r="W405" s="42">
        <v>0.0</v>
      </c>
    </row>
    <row r="406">
      <c r="A406" s="87">
        <v>405.0</v>
      </c>
      <c r="B406" s="85" t="s">
        <v>1971</v>
      </c>
      <c r="C406" s="85" t="s">
        <v>472</v>
      </c>
      <c r="D406" s="85" t="s">
        <v>1325</v>
      </c>
      <c r="E406" s="85" t="s">
        <v>1214</v>
      </c>
      <c r="F406" s="85" t="s">
        <v>1326</v>
      </c>
      <c r="G406" s="85" t="s">
        <v>1327</v>
      </c>
      <c r="H406" s="85" t="s">
        <v>1327</v>
      </c>
      <c r="I406" s="85" t="s">
        <v>1972</v>
      </c>
      <c r="J406" s="42">
        <v>-5.2</v>
      </c>
      <c r="K406" s="42">
        <v>0.46</v>
      </c>
      <c r="L406" s="42">
        <v>-8.9</v>
      </c>
      <c r="M406" s="42">
        <v>-5.0</v>
      </c>
      <c r="N406" s="42">
        <v>0.78</v>
      </c>
      <c r="O406" s="42">
        <v>2.79E11</v>
      </c>
      <c r="P406" s="42">
        <v>2.9E10</v>
      </c>
      <c r="Q406" s="42">
        <v>-25.0</v>
      </c>
      <c r="R406" s="42">
        <v>-14.3</v>
      </c>
      <c r="S406" s="42">
        <v>5.9</v>
      </c>
      <c r="T406" s="42">
        <v>100.0</v>
      </c>
      <c r="U406" s="42">
        <v>-180.0</v>
      </c>
      <c r="V406" s="42">
        <v>-14.3</v>
      </c>
      <c r="W406" s="42">
        <v>-14.3</v>
      </c>
    </row>
    <row r="407">
      <c r="A407" s="87">
        <v>406.0</v>
      </c>
      <c r="B407" s="85" t="s">
        <v>1973</v>
      </c>
      <c r="C407" s="85" t="s">
        <v>473</v>
      </c>
      <c r="D407" s="85" t="s">
        <v>1267</v>
      </c>
      <c r="E407" s="85" t="s">
        <v>1194</v>
      </c>
      <c r="F407" s="85" t="s">
        <v>1195</v>
      </c>
      <c r="G407" s="85" t="s">
        <v>1196</v>
      </c>
      <c r="H407" s="85" t="s">
        <v>1268</v>
      </c>
      <c r="I407" s="85" t="s">
        <v>1269</v>
      </c>
      <c r="J407" s="42">
        <v>-170.0</v>
      </c>
      <c r="K407" s="42">
        <v>0.93</v>
      </c>
      <c r="L407" s="42">
        <v>-0.55</v>
      </c>
      <c r="M407" s="42">
        <v>-0.32</v>
      </c>
      <c r="N407" s="42">
        <v>0.74</v>
      </c>
      <c r="O407" s="42">
        <v>6.9E10</v>
      </c>
      <c r="P407" s="42">
        <v>2.9E10</v>
      </c>
      <c r="Q407" s="42">
        <v>-35.1</v>
      </c>
      <c r="R407" s="42">
        <v>-31.5</v>
      </c>
      <c r="S407" s="42">
        <v>-44.7</v>
      </c>
      <c r="T407" s="42">
        <v>12.5</v>
      </c>
      <c r="U407" s="42">
        <v>-1.4</v>
      </c>
      <c r="V407" s="42">
        <v>-23.2</v>
      </c>
      <c r="W407" s="42">
        <v>-43.8</v>
      </c>
    </row>
    <row r="408">
      <c r="A408" s="87">
        <v>407.0</v>
      </c>
      <c r="B408" s="85" t="s">
        <v>1974</v>
      </c>
      <c r="C408" s="85" t="s">
        <v>474</v>
      </c>
      <c r="D408" s="85" t="s">
        <v>1672</v>
      </c>
      <c r="E408" s="85" t="s">
        <v>1214</v>
      </c>
      <c r="F408" s="85" t="s">
        <v>1326</v>
      </c>
      <c r="G408" s="85" t="s">
        <v>1673</v>
      </c>
      <c r="H408" s="85" t="s">
        <v>1674</v>
      </c>
      <c r="I408" s="85" t="s">
        <v>1333</v>
      </c>
      <c r="J408" s="42">
        <v>4.1</v>
      </c>
      <c r="K408" s="42">
        <v>0.43</v>
      </c>
      <c r="L408" s="42">
        <v>10.6</v>
      </c>
      <c r="M408" s="42">
        <v>8.2</v>
      </c>
      <c r="N408" s="42">
        <v>0.3</v>
      </c>
      <c r="O408" s="42">
        <v>6.12E11</v>
      </c>
      <c r="P408" s="42">
        <v>3.0E12</v>
      </c>
      <c r="Q408" s="42">
        <v>-12.3</v>
      </c>
      <c r="R408" s="42">
        <v>-12.3</v>
      </c>
      <c r="S408" s="42">
        <v>-9.8</v>
      </c>
      <c r="T408" s="42">
        <v>22.6</v>
      </c>
      <c r="U408" s="42">
        <v>5.0</v>
      </c>
      <c r="V408" s="42">
        <v>-5.3</v>
      </c>
      <c r="W408" s="42">
        <v>-9.0</v>
      </c>
    </row>
    <row r="409">
      <c r="A409" s="87">
        <v>408.0</v>
      </c>
      <c r="B409" s="85" t="s">
        <v>1975</v>
      </c>
      <c r="C409" s="85" t="s">
        <v>475</v>
      </c>
      <c r="D409" s="85" t="s">
        <v>1799</v>
      </c>
      <c r="E409" s="85" t="s">
        <v>1570</v>
      </c>
      <c r="F409" s="85" t="s">
        <v>1800</v>
      </c>
      <c r="G409" s="85" t="s">
        <v>1801</v>
      </c>
      <c r="H409" s="85" t="s">
        <v>1801</v>
      </c>
      <c r="I409" s="85" t="s">
        <v>1685</v>
      </c>
      <c r="J409" s="42">
        <v>-11.8</v>
      </c>
      <c r="K409" s="42">
        <v>1.4</v>
      </c>
      <c r="L409" s="42">
        <v>-12.1</v>
      </c>
      <c r="M409" s="42">
        <v>-5.6</v>
      </c>
      <c r="N409" s="42">
        <v>1.2</v>
      </c>
      <c r="O409" s="42">
        <v>3.12E11</v>
      </c>
      <c r="P409" s="42">
        <v>1.04E11</v>
      </c>
      <c r="Q409" s="42">
        <v>-22.3</v>
      </c>
      <c r="R409" s="42">
        <v>-23.0</v>
      </c>
      <c r="S409" s="42">
        <v>-28.8</v>
      </c>
      <c r="T409" s="42">
        <v>-24.3</v>
      </c>
      <c r="U409" s="42">
        <v>-25.5</v>
      </c>
      <c r="V409" s="42">
        <v>-12.3</v>
      </c>
      <c r="W409" s="42">
        <v>-21.6</v>
      </c>
    </row>
    <row r="410">
      <c r="A410" s="87">
        <v>409.0</v>
      </c>
      <c r="B410" s="85" t="s">
        <v>1976</v>
      </c>
      <c r="C410" s="85" t="s">
        <v>476</v>
      </c>
      <c r="D410" s="85" t="s">
        <v>1414</v>
      </c>
      <c r="E410" s="85" t="s">
        <v>1201</v>
      </c>
      <c r="F410" s="85" t="s">
        <v>1219</v>
      </c>
      <c r="G410" s="85" t="s">
        <v>1220</v>
      </c>
      <c r="H410" s="85" t="s">
        <v>1415</v>
      </c>
      <c r="I410" s="85" t="s">
        <v>1653</v>
      </c>
      <c r="J410" s="42">
        <v>28.7</v>
      </c>
      <c r="K410" s="42">
        <v>0.23</v>
      </c>
      <c r="L410" s="42">
        <v>0.79</v>
      </c>
      <c r="M410" s="42">
        <v>0.16</v>
      </c>
      <c r="N410" s="42">
        <v>4.0</v>
      </c>
      <c r="O410" s="42">
        <v>3.7E12</v>
      </c>
      <c r="P410" s="42">
        <v>8.5E12</v>
      </c>
      <c r="Q410" s="42">
        <v>-25.5</v>
      </c>
      <c r="R410" s="42">
        <v>-24.8</v>
      </c>
      <c r="S410" s="42">
        <v>-42.8</v>
      </c>
      <c r="T410" s="42">
        <v>-11.9</v>
      </c>
      <c r="U410" s="42">
        <v>1.5</v>
      </c>
      <c r="V410" s="42">
        <v>-17.6</v>
      </c>
      <c r="W410" s="42">
        <v>-32.0</v>
      </c>
    </row>
    <row r="411">
      <c r="A411" s="87">
        <v>410.0</v>
      </c>
      <c r="B411" s="85" t="s">
        <v>1977</v>
      </c>
      <c r="C411" s="85" t="s">
        <v>477</v>
      </c>
      <c r="D411" s="85" t="s">
        <v>1426</v>
      </c>
      <c r="E411" s="85" t="s">
        <v>1300</v>
      </c>
      <c r="F411" s="85" t="s">
        <v>1427</v>
      </c>
      <c r="G411" s="85" t="s">
        <v>1428</v>
      </c>
      <c r="H411" s="85" t="s">
        <v>1429</v>
      </c>
      <c r="I411" s="85" t="s">
        <v>1978</v>
      </c>
      <c r="J411" s="42">
        <v>10.4</v>
      </c>
      <c r="K411" s="42">
        <v>0.31</v>
      </c>
      <c r="L411" s="42">
        <v>3.0</v>
      </c>
      <c r="M411" s="42">
        <v>0.48</v>
      </c>
      <c r="N411" s="42">
        <v>5.3</v>
      </c>
      <c r="O411" s="42">
        <v>1.7E12</v>
      </c>
      <c r="P411" s="42">
        <v>1.6E12</v>
      </c>
      <c r="Q411" s="42">
        <v>-36.2</v>
      </c>
      <c r="R411" s="42">
        <v>-25.0</v>
      </c>
      <c r="S411" s="42">
        <v>-75.5</v>
      </c>
      <c r="T411" s="42">
        <v>-36.2</v>
      </c>
      <c r="U411" s="42">
        <v>9.8</v>
      </c>
      <c r="V411" s="42">
        <v>-22.1</v>
      </c>
      <c r="W411" s="42">
        <v>-57.4</v>
      </c>
    </row>
    <row r="412">
      <c r="A412" s="87">
        <v>411.0</v>
      </c>
      <c r="B412" s="85" t="s">
        <v>1979</v>
      </c>
      <c r="C412" s="85" t="s">
        <v>478</v>
      </c>
      <c r="D412" s="85" t="s">
        <v>1325</v>
      </c>
      <c r="E412" s="85" t="s">
        <v>1214</v>
      </c>
      <c r="F412" s="85" t="s">
        <v>1326</v>
      </c>
      <c r="G412" s="85" t="s">
        <v>1327</v>
      </c>
      <c r="H412" s="85" t="s">
        <v>1327</v>
      </c>
      <c r="I412" s="85" t="s">
        <v>1980</v>
      </c>
      <c r="J412" s="42">
        <v>150.0</v>
      </c>
      <c r="K412" s="42">
        <v>30.9</v>
      </c>
      <c r="L412" s="42">
        <v>20.7</v>
      </c>
      <c r="M412" s="42">
        <v>13.0</v>
      </c>
      <c r="N412" s="42">
        <v>0.6</v>
      </c>
      <c r="O412" s="42">
        <v>1.0E14</v>
      </c>
      <c r="P412" s="42">
        <v>1.2E12</v>
      </c>
      <c r="Q412" s="42">
        <v>-42.0</v>
      </c>
      <c r="R412" s="42">
        <v>-25.4</v>
      </c>
      <c r="S412" s="42">
        <v>-65.7</v>
      </c>
      <c r="T412" s="42">
        <v>320.0</v>
      </c>
      <c r="U412" s="42">
        <v>57.0</v>
      </c>
      <c r="V412" s="42">
        <v>-30.6</v>
      </c>
      <c r="W412" s="42">
        <v>-66.8</v>
      </c>
    </row>
    <row r="413">
      <c r="A413" s="87">
        <v>412.0</v>
      </c>
      <c r="B413" s="85" t="s">
        <v>1981</v>
      </c>
      <c r="C413" s="85" t="s">
        <v>479</v>
      </c>
      <c r="D413" s="85" t="s">
        <v>1799</v>
      </c>
      <c r="E413" s="85" t="s">
        <v>1570</v>
      </c>
      <c r="F413" s="85" t="s">
        <v>1800</v>
      </c>
      <c r="G413" s="85" t="s">
        <v>1801</v>
      </c>
      <c r="H413" s="85" t="s">
        <v>1801</v>
      </c>
      <c r="I413" s="85" t="s">
        <v>1982</v>
      </c>
      <c r="J413" s="42">
        <v>-5.0</v>
      </c>
      <c r="K413" s="42">
        <v>-0.55</v>
      </c>
      <c r="L413" s="42">
        <v>0.0</v>
      </c>
      <c r="M413" s="42">
        <v>-14.6</v>
      </c>
      <c r="N413" s="42">
        <v>-1.8</v>
      </c>
      <c r="O413" s="42">
        <v>3.91E11</v>
      </c>
      <c r="P413" s="42">
        <v>1.52E11</v>
      </c>
      <c r="Q413" s="42">
        <v>0.0</v>
      </c>
      <c r="R413" s="42">
        <v>0.0</v>
      </c>
      <c r="S413" s="42">
        <v>0.0</v>
      </c>
      <c r="T413" s="42">
        <v>0.0</v>
      </c>
      <c r="U413" s="42">
        <v>-51.5</v>
      </c>
      <c r="V413" s="42">
        <v>0.0</v>
      </c>
      <c r="W413" s="42">
        <v>0.0</v>
      </c>
    </row>
    <row r="414">
      <c r="A414" s="87">
        <v>413.0</v>
      </c>
      <c r="B414" s="85" t="s">
        <v>1983</v>
      </c>
      <c r="C414" s="85" t="s">
        <v>480</v>
      </c>
      <c r="D414" s="85" t="s">
        <v>1312</v>
      </c>
      <c r="E414" s="85" t="s">
        <v>1252</v>
      </c>
      <c r="F414" s="85" t="s">
        <v>1252</v>
      </c>
      <c r="G414" s="85" t="s">
        <v>1313</v>
      </c>
      <c r="H414" s="85" t="s">
        <v>1314</v>
      </c>
      <c r="I414" s="85" t="s">
        <v>1422</v>
      </c>
      <c r="J414" s="42">
        <v>-1.0</v>
      </c>
      <c r="K414" s="42">
        <v>1.5</v>
      </c>
      <c r="L414" s="42">
        <v>-150.0</v>
      </c>
      <c r="M414" s="42">
        <v>-9.0</v>
      </c>
      <c r="N414" s="42">
        <v>15.7</v>
      </c>
      <c r="O414" s="42">
        <v>1.08E11</v>
      </c>
      <c r="P414" s="42">
        <v>1.78E11</v>
      </c>
      <c r="Q414" s="42">
        <v>-25.7</v>
      </c>
      <c r="R414" s="42">
        <v>-30.3</v>
      </c>
      <c r="S414" s="42">
        <v>-9.9</v>
      </c>
      <c r="T414" s="42">
        <v>-20.9</v>
      </c>
      <c r="U414" s="42">
        <v>-59.4</v>
      </c>
      <c r="V414" s="42">
        <v>-20.0</v>
      </c>
      <c r="W414" s="42">
        <v>-9.3</v>
      </c>
    </row>
    <row r="415">
      <c r="A415" s="87">
        <v>414.0</v>
      </c>
      <c r="B415" s="85" t="s">
        <v>1984</v>
      </c>
      <c r="C415" s="85" t="s">
        <v>481</v>
      </c>
      <c r="D415" s="89"/>
      <c r="E415" s="85" t="s">
        <v>1985</v>
      </c>
      <c r="F415" s="85" t="s">
        <v>1986</v>
      </c>
      <c r="G415" s="89"/>
      <c r="H415" s="89"/>
      <c r="I415" s="85" t="s">
        <v>1422</v>
      </c>
      <c r="J415" s="42">
        <v>-85.2</v>
      </c>
      <c r="K415" s="42">
        <v>0.48</v>
      </c>
      <c r="L415" s="42">
        <v>-0.56</v>
      </c>
      <c r="M415" s="42">
        <v>-0.2</v>
      </c>
      <c r="N415" s="42">
        <v>1.8</v>
      </c>
      <c r="O415" s="42">
        <v>7.2E10</v>
      </c>
      <c r="P415" s="42">
        <v>1.07E11</v>
      </c>
      <c r="Q415" s="42">
        <v>-13.8</v>
      </c>
      <c r="R415" s="42">
        <v>-12.3</v>
      </c>
      <c r="S415" s="42">
        <v>-24.2</v>
      </c>
      <c r="T415" s="42">
        <v>100.0</v>
      </c>
      <c r="U415" s="42">
        <v>-0.79</v>
      </c>
      <c r="V415" s="42">
        <v>0.0</v>
      </c>
      <c r="W415" s="42">
        <v>-21.9</v>
      </c>
    </row>
    <row r="416">
      <c r="A416" s="87">
        <v>415.0</v>
      </c>
      <c r="B416" s="85" t="s">
        <v>1987</v>
      </c>
      <c r="C416" s="85" t="s">
        <v>482</v>
      </c>
      <c r="D416" s="85" t="s">
        <v>1251</v>
      </c>
      <c r="E416" s="85" t="s">
        <v>1252</v>
      </c>
      <c r="F416" s="85" t="s">
        <v>1252</v>
      </c>
      <c r="G416" s="85" t="s">
        <v>1253</v>
      </c>
      <c r="H416" s="85" t="s">
        <v>1254</v>
      </c>
      <c r="I416" s="85" t="s">
        <v>1255</v>
      </c>
      <c r="J416" s="42">
        <v>5.1</v>
      </c>
      <c r="K416" s="42">
        <v>0.28</v>
      </c>
      <c r="L416" s="42">
        <v>5.6</v>
      </c>
      <c r="M416" s="42">
        <v>4.8</v>
      </c>
      <c r="N416" s="42">
        <v>0.17</v>
      </c>
      <c r="O416" s="42">
        <v>1.38E11</v>
      </c>
      <c r="P416" s="42">
        <v>9.1E10</v>
      </c>
      <c r="Q416" s="42">
        <v>-16.7</v>
      </c>
      <c r="R416" s="42">
        <v>-9.8</v>
      </c>
      <c r="S416" s="42">
        <v>-10.4</v>
      </c>
      <c r="T416" s="42">
        <v>-3.2</v>
      </c>
      <c r="U416" s="42">
        <v>30.0</v>
      </c>
      <c r="V416" s="42">
        <v>-9.8</v>
      </c>
      <c r="W416" s="42">
        <v>-19.5</v>
      </c>
    </row>
    <row r="417">
      <c r="A417" s="87">
        <v>416.0</v>
      </c>
      <c r="B417" s="85" t="s">
        <v>1988</v>
      </c>
      <c r="C417" s="85" t="s">
        <v>483</v>
      </c>
      <c r="D417" s="85" t="s">
        <v>1354</v>
      </c>
      <c r="E417" s="85" t="s">
        <v>1252</v>
      </c>
      <c r="F417" s="85" t="s">
        <v>1252</v>
      </c>
      <c r="G417" s="85" t="s">
        <v>1313</v>
      </c>
      <c r="H417" s="85" t="s">
        <v>1355</v>
      </c>
      <c r="I417" s="85" t="s">
        <v>1989</v>
      </c>
      <c r="J417" s="42">
        <v>30.1</v>
      </c>
      <c r="K417" s="42">
        <v>1.0</v>
      </c>
      <c r="L417" s="42">
        <v>3.5</v>
      </c>
      <c r="M417" s="42">
        <v>2.9</v>
      </c>
      <c r="N417" s="42">
        <v>0.19</v>
      </c>
      <c r="O417" s="42">
        <v>4.99E13</v>
      </c>
      <c r="P417" s="42">
        <v>4.3E12</v>
      </c>
      <c r="Q417" s="42">
        <v>-29.6</v>
      </c>
      <c r="R417" s="42">
        <v>-30.2</v>
      </c>
      <c r="S417" s="42">
        <v>6.3</v>
      </c>
      <c r="T417" s="42">
        <v>14.3</v>
      </c>
      <c r="U417" s="42">
        <v>38.6</v>
      </c>
      <c r="V417" s="42">
        <v>-10.4</v>
      </c>
      <c r="W417" s="42">
        <v>-20.0</v>
      </c>
    </row>
    <row r="418">
      <c r="A418" s="87">
        <v>417.0</v>
      </c>
      <c r="B418" s="85" t="s">
        <v>1990</v>
      </c>
      <c r="C418" s="85" t="s">
        <v>484</v>
      </c>
      <c r="D418" s="85" t="s">
        <v>1282</v>
      </c>
      <c r="E418" s="85" t="s">
        <v>1194</v>
      </c>
      <c r="F418" s="85" t="s">
        <v>1195</v>
      </c>
      <c r="G418" s="85" t="s">
        <v>1283</v>
      </c>
      <c r="H418" s="85" t="s">
        <v>1283</v>
      </c>
      <c r="I418" s="85" t="s">
        <v>1991</v>
      </c>
      <c r="J418" s="42">
        <v>5.6</v>
      </c>
      <c r="K418" s="42">
        <v>0.48</v>
      </c>
      <c r="L418" s="42">
        <v>8.7</v>
      </c>
      <c r="M418" s="42">
        <v>4.8</v>
      </c>
      <c r="N418" s="42">
        <v>0.8</v>
      </c>
      <c r="O418" s="42">
        <v>6.08E13</v>
      </c>
      <c r="P418" s="42">
        <v>3.39E13</v>
      </c>
      <c r="Q418" s="42">
        <v>-14.4</v>
      </c>
      <c r="R418" s="42">
        <v>-2.1</v>
      </c>
      <c r="S418" s="42">
        <v>-15.1</v>
      </c>
      <c r="T418" s="42">
        <v>-27.3</v>
      </c>
      <c r="U418" s="42">
        <v>32.2</v>
      </c>
      <c r="V418" s="42">
        <v>-9.9</v>
      </c>
      <c r="W418" s="42">
        <v>-11.2</v>
      </c>
    </row>
    <row r="419">
      <c r="A419" s="87">
        <v>418.0</v>
      </c>
      <c r="B419" s="85" t="s">
        <v>1992</v>
      </c>
      <c r="C419" s="85" t="s">
        <v>485</v>
      </c>
      <c r="D419" s="85" t="s">
        <v>1993</v>
      </c>
      <c r="E419" s="85" t="s">
        <v>1235</v>
      </c>
      <c r="F419" s="85" t="s">
        <v>1235</v>
      </c>
      <c r="G419" s="85" t="s">
        <v>1236</v>
      </c>
      <c r="H419" s="85" t="s">
        <v>1994</v>
      </c>
      <c r="I419" s="85" t="s">
        <v>1995</v>
      </c>
      <c r="J419" s="42">
        <v>22.1</v>
      </c>
      <c r="K419" s="42">
        <v>0.63</v>
      </c>
      <c r="L419" s="42">
        <v>2.9</v>
      </c>
      <c r="M419" s="42">
        <v>2.8</v>
      </c>
      <c r="N419" s="42">
        <v>0.01</v>
      </c>
      <c r="O419" s="42">
        <v>7.21E11</v>
      </c>
      <c r="P419" s="42">
        <v>6.75E9</v>
      </c>
      <c r="Q419" s="42">
        <v>-7.8</v>
      </c>
      <c r="R419" s="42">
        <v>7.7</v>
      </c>
      <c r="S419" s="42">
        <v>-53.4</v>
      </c>
      <c r="T419" s="42">
        <v>-6.1</v>
      </c>
      <c r="U419" s="42">
        <v>480.0</v>
      </c>
      <c r="V419" s="42">
        <v>-5.0</v>
      </c>
      <c r="W419" s="42">
        <v>-55.3</v>
      </c>
    </row>
    <row r="420">
      <c r="A420" s="87">
        <v>419.0</v>
      </c>
      <c r="B420" s="85" t="s">
        <v>1996</v>
      </c>
      <c r="C420" s="85" t="s">
        <v>486</v>
      </c>
      <c r="D420" s="85" t="s">
        <v>1224</v>
      </c>
      <c r="E420" s="85" t="s">
        <v>1201</v>
      </c>
      <c r="F420" s="85" t="s">
        <v>1225</v>
      </c>
      <c r="G420" s="85" t="s">
        <v>1225</v>
      </c>
      <c r="H420" s="85" t="s">
        <v>1226</v>
      </c>
      <c r="I420" s="85" t="s">
        <v>1381</v>
      </c>
      <c r="J420" s="42">
        <v>-4.6</v>
      </c>
      <c r="K420" s="42">
        <v>0.22</v>
      </c>
      <c r="L420" s="42">
        <v>-4.9</v>
      </c>
      <c r="M420" s="42">
        <v>-2.4</v>
      </c>
      <c r="N420" s="42">
        <v>1.1</v>
      </c>
      <c r="O420" s="42">
        <v>1.4E12</v>
      </c>
      <c r="P420" s="42">
        <v>3.3E12</v>
      </c>
      <c r="Q420" s="42">
        <v>-28.5</v>
      </c>
      <c r="R420" s="42">
        <v>-41.5</v>
      </c>
      <c r="S420" s="42">
        <v>-38.5</v>
      </c>
      <c r="T420" s="42">
        <v>-26.6</v>
      </c>
      <c r="U420" s="42">
        <v>-9.5</v>
      </c>
      <c r="V420" s="42">
        <v>-18.0</v>
      </c>
      <c r="W420" s="42">
        <v>-40.0</v>
      </c>
    </row>
    <row r="421">
      <c r="A421" s="87">
        <v>420.0</v>
      </c>
      <c r="B421" s="85" t="s">
        <v>1997</v>
      </c>
      <c r="C421" s="85" t="s">
        <v>487</v>
      </c>
      <c r="D421" s="85" t="s">
        <v>1261</v>
      </c>
      <c r="E421" s="85" t="s">
        <v>1201</v>
      </c>
      <c r="F421" s="85" t="s">
        <v>1262</v>
      </c>
      <c r="G421" s="85" t="s">
        <v>1263</v>
      </c>
      <c r="H421" s="85" t="s">
        <v>1264</v>
      </c>
      <c r="I421" s="85" t="s">
        <v>1381</v>
      </c>
      <c r="J421" s="42">
        <v>34.5</v>
      </c>
      <c r="K421" s="42">
        <v>0.53</v>
      </c>
      <c r="L421" s="42">
        <v>1.5</v>
      </c>
      <c r="M421" s="42">
        <v>1.2</v>
      </c>
      <c r="N421" s="42">
        <v>0.25</v>
      </c>
      <c r="O421" s="42">
        <v>1.9E12</v>
      </c>
      <c r="P421" s="42">
        <v>8.49E11</v>
      </c>
      <c r="Q421" s="42">
        <v>-39.5</v>
      </c>
      <c r="R421" s="42">
        <v>-73.1</v>
      </c>
      <c r="S421" s="42">
        <v>1.8</v>
      </c>
      <c r="T421" s="42">
        <v>-9.4</v>
      </c>
      <c r="U421" s="42">
        <v>6.5</v>
      </c>
      <c r="V421" s="42">
        <v>-21.8</v>
      </c>
      <c r="W421" s="42">
        <v>1.8</v>
      </c>
    </row>
    <row r="422">
      <c r="A422" s="87">
        <v>421.0</v>
      </c>
      <c r="B422" s="85" t="s">
        <v>1998</v>
      </c>
      <c r="C422" s="85" t="s">
        <v>488</v>
      </c>
      <c r="D422" s="85" t="s">
        <v>1727</v>
      </c>
      <c r="E422" s="85" t="s">
        <v>1214</v>
      </c>
      <c r="F422" s="85" t="s">
        <v>1406</v>
      </c>
      <c r="G422" s="85" t="s">
        <v>1728</v>
      </c>
      <c r="H422" s="85" t="s">
        <v>1729</v>
      </c>
      <c r="I422" s="85" t="s">
        <v>1333</v>
      </c>
      <c r="J422" s="42">
        <v>-4.2</v>
      </c>
      <c r="K422" s="42">
        <v>1.6</v>
      </c>
      <c r="L422" s="42">
        <v>-37.4</v>
      </c>
      <c r="M422" s="42">
        <v>-18.7</v>
      </c>
      <c r="N422" s="42">
        <v>1.0</v>
      </c>
      <c r="O422" s="42">
        <v>3.6E10</v>
      </c>
      <c r="P422" s="42">
        <v>1.9E8</v>
      </c>
      <c r="Q422" s="42">
        <v>-44.1</v>
      </c>
      <c r="R422" s="42">
        <v>-51.3</v>
      </c>
      <c r="S422" s="42">
        <v>-66.5</v>
      </c>
      <c r="T422" s="42">
        <v>-28.8</v>
      </c>
      <c r="U422" s="42">
        <v>-4500.0</v>
      </c>
      <c r="V422" s="42">
        <v>-31.3</v>
      </c>
      <c r="W422" s="42">
        <v>-66.7</v>
      </c>
    </row>
    <row r="423">
      <c r="A423" s="87">
        <v>422.0</v>
      </c>
      <c r="B423" s="85" t="s">
        <v>1999</v>
      </c>
      <c r="C423" s="85" t="s">
        <v>489</v>
      </c>
      <c r="D423" s="85" t="s">
        <v>1186</v>
      </c>
      <c r="E423" s="85" t="s">
        <v>1187</v>
      </c>
      <c r="F423" s="85" t="s">
        <v>1188</v>
      </c>
      <c r="G423" s="85" t="s">
        <v>1189</v>
      </c>
      <c r="H423" s="85" t="s">
        <v>1190</v>
      </c>
      <c r="I423" s="85" t="s">
        <v>2000</v>
      </c>
      <c r="J423" s="42">
        <v>68.9</v>
      </c>
      <c r="K423" s="42">
        <v>0.52</v>
      </c>
      <c r="L423" s="42">
        <v>0.75</v>
      </c>
      <c r="M423" s="42">
        <v>0.34</v>
      </c>
      <c r="N423" s="42">
        <v>1.2</v>
      </c>
      <c r="O423" s="42">
        <v>1.19E13</v>
      </c>
      <c r="P423" s="42">
        <v>8.4E12</v>
      </c>
      <c r="Q423" s="42">
        <v>-38.3</v>
      </c>
      <c r="R423" s="42">
        <v>-47.2</v>
      </c>
      <c r="S423" s="42">
        <v>-1.8</v>
      </c>
      <c r="T423" s="42">
        <v>36.8</v>
      </c>
      <c r="U423" s="42">
        <v>2.1</v>
      </c>
      <c r="V423" s="42">
        <v>-12.6</v>
      </c>
      <c r="W423" s="42">
        <v>-13.7</v>
      </c>
    </row>
    <row r="424">
      <c r="A424" s="87">
        <v>423.0</v>
      </c>
      <c r="B424" s="85" t="s">
        <v>2001</v>
      </c>
      <c r="C424" s="85" t="s">
        <v>490</v>
      </c>
      <c r="D424" s="85" t="s">
        <v>1745</v>
      </c>
      <c r="E424" s="85" t="s">
        <v>1230</v>
      </c>
      <c r="F424" s="85" t="s">
        <v>1464</v>
      </c>
      <c r="G424" s="85" t="s">
        <v>1746</v>
      </c>
      <c r="H424" s="85" t="s">
        <v>1747</v>
      </c>
      <c r="I424" s="85" t="s">
        <v>2002</v>
      </c>
      <c r="J424" s="42">
        <v>140.0</v>
      </c>
      <c r="K424" s="42">
        <v>1.4</v>
      </c>
      <c r="L424" s="42">
        <v>0.98</v>
      </c>
      <c r="M424" s="42">
        <v>0.64</v>
      </c>
      <c r="N424" s="42">
        <v>0.52</v>
      </c>
      <c r="O424" s="42">
        <v>5.2E12</v>
      </c>
      <c r="P424" s="42">
        <v>3.84E11</v>
      </c>
      <c r="Q424" s="42">
        <v>-45.5</v>
      </c>
      <c r="R424" s="42">
        <v>-42.3</v>
      </c>
      <c r="S424" s="42">
        <v>-79.7</v>
      </c>
      <c r="T424" s="42">
        <v>-7.1</v>
      </c>
      <c r="U424" s="42">
        <v>9.5</v>
      </c>
      <c r="V424" s="42">
        <v>-29.9</v>
      </c>
      <c r="W424" s="42">
        <v>-79.6</v>
      </c>
    </row>
    <row r="425">
      <c r="A425" s="87">
        <v>424.0</v>
      </c>
      <c r="B425" s="85" t="s">
        <v>2003</v>
      </c>
      <c r="C425" s="85" t="s">
        <v>491</v>
      </c>
      <c r="D425" s="85" t="s">
        <v>2004</v>
      </c>
      <c r="E425" s="85" t="s">
        <v>1252</v>
      </c>
      <c r="F425" s="85" t="s">
        <v>1252</v>
      </c>
      <c r="G425" s="85" t="s">
        <v>1469</v>
      </c>
      <c r="H425" s="85" t="s">
        <v>2005</v>
      </c>
      <c r="I425" s="85" t="s">
        <v>2006</v>
      </c>
      <c r="J425" s="42">
        <v>5.3</v>
      </c>
      <c r="K425" s="42">
        <v>0.35</v>
      </c>
      <c r="L425" s="42">
        <v>6.7</v>
      </c>
      <c r="M425" s="42">
        <v>3.7</v>
      </c>
      <c r="N425" s="42">
        <v>0.81</v>
      </c>
      <c r="O425" s="42">
        <v>4.2E13</v>
      </c>
      <c r="P425" s="42">
        <v>1.39E13</v>
      </c>
      <c r="Q425" s="42">
        <v>-27.8</v>
      </c>
      <c r="R425" s="42">
        <v>-26.8</v>
      </c>
      <c r="S425" s="42">
        <v>-26.1</v>
      </c>
      <c r="T425" s="42">
        <v>1.2</v>
      </c>
      <c r="U425" s="42">
        <v>57.2</v>
      </c>
      <c r="V425" s="42">
        <v>-16.1</v>
      </c>
      <c r="W425" s="42">
        <v>-25.9</v>
      </c>
    </row>
    <row r="426">
      <c r="A426" s="87">
        <v>425.0</v>
      </c>
      <c r="B426" s="85" t="s">
        <v>2007</v>
      </c>
      <c r="C426" s="85" t="s">
        <v>492</v>
      </c>
      <c r="D426" s="85" t="s">
        <v>1224</v>
      </c>
      <c r="E426" s="85" t="s">
        <v>1201</v>
      </c>
      <c r="F426" s="85" t="s">
        <v>1225</v>
      </c>
      <c r="G426" s="85" t="s">
        <v>1225</v>
      </c>
      <c r="H426" s="85" t="s">
        <v>1226</v>
      </c>
      <c r="I426" s="85" t="s">
        <v>1227</v>
      </c>
      <c r="J426" s="42">
        <v>4.9</v>
      </c>
      <c r="K426" s="42">
        <v>0.66</v>
      </c>
      <c r="L426" s="42">
        <v>13.6</v>
      </c>
      <c r="M426" s="42">
        <v>4.6</v>
      </c>
      <c r="N426" s="42">
        <v>2.0</v>
      </c>
      <c r="O426" s="42">
        <v>2.26E11</v>
      </c>
      <c r="P426" s="42">
        <v>1.77E11</v>
      </c>
      <c r="Q426" s="42">
        <v>-30.1</v>
      </c>
      <c r="R426" s="42">
        <v>-24.2</v>
      </c>
      <c r="S426" s="42">
        <v>-26.5</v>
      </c>
      <c r="T426" s="42">
        <v>9.9</v>
      </c>
      <c r="U426" s="42">
        <v>26.2</v>
      </c>
      <c r="V426" s="42">
        <v>-19.4</v>
      </c>
      <c r="W426" s="42">
        <v>-22.5</v>
      </c>
    </row>
    <row r="427">
      <c r="A427" s="87">
        <v>426.0</v>
      </c>
      <c r="B427" s="85" t="s">
        <v>2008</v>
      </c>
      <c r="C427" s="85" t="s">
        <v>493</v>
      </c>
      <c r="D427" s="85" t="s">
        <v>1273</v>
      </c>
      <c r="E427" s="85" t="s">
        <v>1208</v>
      </c>
      <c r="F427" s="85" t="s">
        <v>1274</v>
      </c>
      <c r="G427" s="85" t="s">
        <v>1274</v>
      </c>
      <c r="H427" s="85" t="s">
        <v>1274</v>
      </c>
      <c r="I427" s="85" t="s">
        <v>1320</v>
      </c>
      <c r="J427" s="42">
        <v>-5.3</v>
      </c>
      <c r="K427" s="42">
        <v>0.73</v>
      </c>
      <c r="L427" s="42">
        <v>-13.8</v>
      </c>
      <c r="M427" s="42">
        <v>-1.7</v>
      </c>
      <c r="N427" s="42">
        <v>6.9</v>
      </c>
      <c r="O427" s="42">
        <v>2.8E12</v>
      </c>
      <c r="P427" s="42">
        <v>3.99E11</v>
      </c>
      <c r="Q427" s="42">
        <v>-31.6</v>
      </c>
      <c r="R427" s="42">
        <v>-28.0</v>
      </c>
      <c r="S427" s="42">
        <v>-32.1</v>
      </c>
      <c r="T427" s="42">
        <v>-32.9</v>
      </c>
      <c r="U427" s="42">
        <v>-130.0</v>
      </c>
      <c r="V427" s="42">
        <v>-21.7</v>
      </c>
      <c r="W427" s="42">
        <v>-29.4</v>
      </c>
    </row>
    <row r="428">
      <c r="A428" s="87">
        <v>427.0</v>
      </c>
      <c r="B428" s="85" t="s">
        <v>2009</v>
      </c>
      <c r="C428" s="85" t="s">
        <v>494</v>
      </c>
      <c r="D428" s="85" t="s">
        <v>1234</v>
      </c>
      <c r="E428" s="85" t="s">
        <v>1235</v>
      </c>
      <c r="F428" s="85" t="s">
        <v>1235</v>
      </c>
      <c r="G428" s="85" t="s">
        <v>1236</v>
      </c>
      <c r="H428" s="85" t="s">
        <v>1237</v>
      </c>
      <c r="I428" s="85" t="s">
        <v>1238</v>
      </c>
      <c r="J428" s="42">
        <v>-19.7</v>
      </c>
      <c r="K428" s="42">
        <v>1.3</v>
      </c>
      <c r="L428" s="42">
        <v>-6.6</v>
      </c>
      <c r="M428" s="42">
        <v>-4.4</v>
      </c>
      <c r="N428" s="42">
        <v>0.51</v>
      </c>
      <c r="O428" s="42">
        <v>8.8E12</v>
      </c>
      <c r="P428" s="42">
        <v>3.27E11</v>
      </c>
      <c r="Q428" s="42">
        <v>-6.3</v>
      </c>
      <c r="R428" s="42">
        <v>-5.7</v>
      </c>
      <c r="S428" s="42">
        <v>6.4</v>
      </c>
      <c r="T428" s="42">
        <v>-15.3</v>
      </c>
      <c r="U428" s="42">
        <v>-140.0</v>
      </c>
      <c r="V428" s="42">
        <v>-5.1</v>
      </c>
      <c r="W428" s="42">
        <v>-2.0</v>
      </c>
    </row>
    <row r="429">
      <c r="A429" s="87">
        <v>428.0</v>
      </c>
      <c r="B429" s="85" t="s">
        <v>2010</v>
      </c>
      <c r="C429" s="85" t="s">
        <v>495</v>
      </c>
      <c r="D429" s="85" t="s">
        <v>1294</v>
      </c>
      <c r="E429" s="85" t="s">
        <v>1187</v>
      </c>
      <c r="F429" s="85" t="s">
        <v>1188</v>
      </c>
      <c r="G429" s="85" t="s">
        <v>1295</v>
      </c>
      <c r="H429" s="85" t="s">
        <v>1296</v>
      </c>
      <c r="I429" s="85" t="s">
        <v>1399</v>
      </c>
      <c r="J429" s="42">
        <v>-20.3</v>
      </c>
      <c r="K429" s="42">
        <v>-9.1</v>
      </c>
      <c r="L429" s="42">
        <v>0.0</v>
      </c>
      <c r="M429" s="42">
        <v>-14.0</v>
      </c>
      <c r="N429" s="42">
        <v>-4.2</v>
      </c>
      <c r="O429" s="42">
        <v>4.88E11</v>
      </c>
      <c r="P429" s="42">
        <v>7.3E10</v>
      </c>
      <c r="Q429" s="42">
        <v>-10.6</v>
      </c>
      <c r="R429" s="42">
        <v>-9.9</v>
      </c>
      <c r="S429" s="42">
        <v>200.0</v>
      </c>
      <c r="T429" s="42">
        <v>460.0</v>
      </c>
      <c r="U429" s="42">
        <v>-32.8</v>
      </c>
      <c r="V429" s="42">
        <v>-21.3</v>
      </c>
      <c r="W429" s="42">
        <v>59.5</v>
      </c>
    </row>
    <row r="430">
      <c r="A430" s="87">
        <v>429.0</v>
      </c>
      <c r="B430" s="85" t="s">
        <v>2011</v>
      </c>
      <c r="C430" s="85" t="s">
        <v>496</v>
      </c>
      <c r="D430" s="85" t="s">
        <v>1932</v>
      </c>
      <c r="E430" s="85" t="s">
        <v>1214</v>
      </c>
      <c r="F430" s="85" t="s">
        <v>1326</v>
      </c>
      <c r="G430" s="85" t="s">
        <v>1331</v>
      </c>
      <c r="H430" s="85" t="s">
        <v>1933</v>
      </c>
      <c r="I430" s="85" t="s">
        <v>1385</v>
      </c>
      <c r="J430" s="42">
        <v>-3.0</v>
      </c>
      <c r="K430" s="42">
        <v>-0.11</v>
      </c>
      <c r="L430" s="42">
        <v>0.0</v>
      </c>
      <c r="M430" s="42">
        <v>-3.6</v>
      </c>
      <c r="N430" s="42">
        <v>-2.1</v>
      </c>
      <c r="O430" s="42">
        <v>2.47E11</v>
      </c>
      <c r="P430" s="42">
        <v>2.17E11</v>
      </c>
      <c r="Q430" s="42">
        <v>-24.4</v>
      </c>
      <c r="R430" s="42">
        <v>-26.3</v>
      </c>
      <c r="S430" s="42">
        <v>-38.5</v>
      </c>
      <c r="T430" s="42">
        <v>350.0</v>
      </c>
      <c r="U430" s="42">
        <v>-38.3</v>
      </c>
      <c r="V430" s="42">
        <v>-15.7</v>
      </c>
      <c r="W430" s="42">
        <v>-48.7</v>
      </c>
    </row>
    <row r="431">
      <c r="A431" s="87">
        <v>430.0</v>
      </c>
      <c r="B431" s="85" t="s">
        <v>2012</v>
      </c>
      <c r="C431" s="85" t="s">
        <v>497</v>
      </c>
      <c r="D431" s="85" t="s">
        <v>2004</v>
      </c>
      <c r="E431" s="85" t="s">
        <v>1252</v>
      </c>
      <c r="F431" s="85" t="s">
        <v>1252</v>
      </c>
      <c r="G431" s="85" t="s">
        <v>1469</v>
      </c>
      <c r="H431" s="85" t="s">
        <v>2005</v>
      </c>
      <c r="I431" s="85" t="s">
        <v>1255</v>
      </c>
      <c r="J431" s="42">
        <v>-51.9</v>
      </c>
      <c r="K431" s="42">
        <v>4.2</v>
      </c>
      <c r="L431" s="42">
        <v>-8.1</v>
      </c>
      <c r="M431" s="42">
        <v>-7.5</v>
      </c>
      <c r="N431" s="42">
        <v>0.07</v>
      </c>
      <c r="O431" s="42">
        <v>1.44E11</v>
      </c>
      <c r="P431" s="42">
        <v>8.68E9</v>
      </c>
      <c r="Q431" s="42">
        <v>-8.4</v>
      </c>
      <c r="R431" s="42">
        <v>2.8</v>
      </c>
      <c r="S431" s="42">
        <v>0.926</v>
      </c>
      <c r="T431" s="42">
        <v>10.7</v>
      </c>
      <c r="U431" s="42">
        <v>-32.1</v>
      </c>
      <c r="V431" s="42">
        <v>-10.7</v>
      </c>
      <c r="W431" s="42">
        <v>-0.909</v>
      </c>
    </row>
    <row r="432">
      <c r="A432" s="87">
        <v>431.0</v>
      </c>
      <c r="B432" s="85" t="s">
        <v>2013</v>
      </c>
      <c r="C432" s="85" t="s">
        <v>498</v>
      </c>
      <c r="D432" s="85" t="s">
        <v>1448</v>
      </c>
      <c r="E432" s="85" t="s">
        <v>1252</v>
      </c>
      <c r="F432" s="85" t="s">
        <v>1252</v>
      </c>
      <c r="G432" s="85" t="s">
        <v>1449</v>
      </c>
      <c r="H432" s="85" t="s">
        <v>1449</v>
      </c>
      <c r="I432" s="85" t="s">
        <v>2014</v>
      </c>
      <c r="J432" s="42">
        <v>7.6</v>
      </c>
      <c r="K432" s="42">
        <v>0.74</v>
      </c>
      <c r="L432" s="42">
        <v>9.7</v>
      </c>
      <c r="M432" s="42">
        <v>7.2</v>
      </c>
      <c r="N432" s="42">
        <v>0.34</v>
      </c>
      <c r="O432" s="42">
        <v>1.72E13</v>
      </c>
      <c r="P432" s="42">
        <v>3.8E12</v>
      </c>
      <c r="Q432" s="42">
        <v>-23.4</v>
      </c>
      <c r="R432" s="42">
        <v>-27.9</v>
      </c>
      <c r="S432" s="42">
        <v>-41.6</v>
      </c>
      <c r="T432" s="42">
        <v>-22.3</v>
      </c>
      <c r="U432" s="42">
        <v>58.6</v>
      </c>
      <c r="V432" s="42">
        <v>-19.5</v>
      </c>
      <c r="W432" s="42">
        <v>-45.9</v>
      </c>
    </row>
    <row r="433">
      <c r="A433" s="87">
        <v>432.0</v>
      </c>
      <c r="B433" s="85" t="s">
        <v>2015</v>
      </c>
      <c r="C433" s="85" t="s">
        <v>499</v>
      </c>
      <c r="D433" s="85" t="s">
        <v>1688</v>
      </c>
      <c r="E433" s="85" t="s">
        <v>1376</v>
      </c>
      <c r="F433" s="85" t="s">
        <v>1444</v>
      </c>
      <c r="G433" s="85" t="s">
        <v>1689</v>
      </c>
      <c r="H433" s="85" t="s">
        <v>1690</v>
      </c>
      <c r="I433" s="85" t="s">
        <v>1441</v>
      </c>
      <c r="J433" s="42">
        <v>770.0</v>
      </c>
      <c r="K433" s="42">
        <v>1.9</v>
      </c>
      <c r="L433" s="42">
        <v>0.25</v>
      </c>
      <c r="M433" s="42">
        <v>0.22</v>
      </c>
      <c r="N433" s="42">
        <v>0.11</v>
      </c>
      <c r="O433" s="42">
        <v>3.02E11</v>
      </c>
      <c r="P433" s="42">
        <v>1.6E10</v>
      </c>
      <c r="Q433" s="42">
        <v>-18.0</v>
      </c>
      <c r="R433" s="42">
        <v>-16.7</v>
      </c>
      <c r="S433" s="42">
        <v>-44.4</v>
      </c>
      <c r="T433" s="42">
        <v>-70.4</v>
      </c>
      <c r="U433" s="42">
        <v>2.4</v>
      </c>
      <c r="V433" s="42">
        <v>-12.3</v>
      </c>
      <c r="W433" s="42">
        <v>-40.5</v>
      </c>
    </row>
    <row r="434">
      <c r="A434" s="87">
        <v>433.0</v>
      </c>
      <c r="B434" s="85" t="s">
        <v>2016</v>
      </c>
      <c r="C434" s="85" t="s">
        <v>500</v>
      </c>
      <c r="D434" s="85" t="s">
        <v>1234</v>
      </c>
      <c r="E434" s="85" t="s">
        <v>1235</v>
      </c>
      <c r="F434" s="85" t="s">
        <v>1235</v>
      </c>
      <c r="G434" s="85" t="s">
        <v>1236</v>
      </c>
      <c r="H434" s="85" t="s">
        <v>1237</v>
      </c>
      <c r="I434" s="85" t="s">
        <v>1265</v>
      </c>
      <c r="J434" s="42">
        <v>110.0</v>
      </c>
      <c r="K434" s="42">
        <v>3.4</v>
      </c>
      <c r="L434" s="42">
        <v>3.0</v>
      </c>
      <c r="M434" s="42">
        <v>2.2</v>
      </c>
      <c r="N434" s="42">
        <v>0.37</v>
      </c>
      <c r="O434" s="42">
        <v>1.31E11</v>
      </c>
      <c r="P434" s="42">
        <v>1.3E10</v>
      </c>
      <c r="Q434" s="42">
        <v>-12.8</v>
      </c>
      <c r="R434" s="42">
        <v>-15.6</v>
      </c>
      <c r="S434" s="42">
        <v>-31.6</v>
      </c>
      <c r="T434" s="42">
        <v>-35.0</v>
      </c>
      <c r="U434" s="42">
        <v>9.1</v>
      </c>
      <c r="V434" s="42">
        <v>-2.3</v>
      </c>
      <c r="W434" s="42">
        <v>-17.7</v>
      </c>
    </row>
    <row r="435">
      <c r="A435" s="87">
        <v>434.0</v>
      </c>
      <c r="B435" s="85" t="s">
        <v>2017</v>
      </c>
      <c r="C435" s="85" t="s">
        <v>501</v>
      </c>
      <c r="D435" s="85" t="s">
        <v>2018</v>
      </c>
      <c r="E435" s="85" t="s">
        <v>1230</v>
      </c>
      <c r="F435" s="85" t="s">
        <v>1658</v>
      </c>
      <c r="G435" s="85" t="s">
        <v>1659</v>
      </c>
      <c r="H435" s="85" t="s">
        <v>2019</v>
      </c>
      <c r="I435" s="85" t="s">
        <v>2020</v>
      </c>
      <c r="J435" s="42">
        <v>8.5</v>
      </c>
      <c r="K435" s="42">
        <v>1.6</v>
      </c>
      <c r="L435" s="42">
        <v>18.3</v>
      </c>
      <c r="M435" s="42">
        <v>12.7</v>
      </c>
      <c r="N435" s="42">
        <v>0.44</v>
      </c>
      <c r="O435" s="42">
        <v>2.2E12</v>
      </c>
      <c r="P435" s="42">
        <v>2.02E11</v>
      </c>
      <c r="Q435" s="42">
        <v>-19.4</v>
      </c>
      <c r="R435" s="42">
        <v>-11.5</v>
      </c>
      <c r="S435" s="42">
        <v>-23.8</v>
      </c>
      <c r="T435" s="42">
        <v>2.5</v>
      </c>
      <c r="U435" s="42">
        <v>130.0</v>
      </c>
      <c r="V435" s="42">
        <v>-13.3</v>
      </c>
      <c r="W435" s="42">
        <v>-25.7</v>
      </c>
    </row>
    <row r="436">
      <c r="A436" s="87">
        <v>435.0</v>
      </c>
      <c r="B436" s="85" t="s">
        <v>2021</v>
      </c>
      <c r="C436" s="85" t="s">
        <v>502</v>
      </c>
      <c r="D436" s="85" t="s">
        <v>2018</v>
      </c>
      <c r="E436" s="85" t="s">
        <v>1230</v>
      </c>
      <c r="F436" s="85" t="s">
        <v>1658</v>
      </c>
      <c r="G436" s="85" t="s">
        <v>1659</v>
      </c>
      <c r="H436" s="85" t="s">
        <v>2019</v>
      </c>
      <c r="I436" s="85" t="s">
        <v>1661</v>
      </c>
      <c r="J436" s="42">
        <v>8.7</v>
      </c>
      <c r="K436" s="42">
        <v>1.2</v>
      </c>
      <c r="L436" s="42">
        <v>14.1</v>
      </c>
      <c r="M436" s="42">
        <v>11.1</v>
      </c>
      <c r="N436" s="42">
        <v>0.27</v>
      </c>
      <c r="O436" s="42">
        <v>1.7E12</v>
      </c>
      <c r="P436" s="42">
        <v>3.47E11</v>
      </c>
      <c r="Q436" s="42">
        <v>-11.5</v>
      </c>
      <c r="R436" s="42">
        <v>-9.9</v>
      </c>
      <c r="S436" s="42">
        <v>-14.6</v>
      </c>
      <c r="T436" s="42">
        <v>0.69</v>
      </c>
      <c r="U436" s="42">
        <v>57.0</v>
      </c>
      <c r="V436" s="42">
        <v>-11.5</v>
      </c>
      <c r="W436" s="42">
        <v>-18.9</v>
      </c>
    </row>
    <row r="437">
      <c r="A437" s="87">
        <v>436.0</v>
      </c>
      <c r="B437" s="85" t="s">
        <v>2022</v>
      </c>
      <c r="C437" s="85" t="s">
        <v>503</v>
      </c>
      <c r="D437" s="85" t="s">
        <v>1304</v>
      </c>
      <c r="E437" s="85" t="s">
        <v>1252</v>
      </c>
      <c r="F437" s="85" t="s">
        <v>1252</v>
      </c>
      <c r="G437" s="85" t="s">
        <v>1305</v>
      </c>
      <c r="H437" s="85" t="s">
        <v>1305</v>
      </c>
      <c r="I437" s="85" t="s">
        <v>1255</v>
      </c>
      <c r="J437" s="42">
        <v>42.2</v>
      </c>
      <c r="K437" s="42">
        <v>0.25</v>
      </c>
      <c r="L437" s="42">
        <v>0.58</v>
      </c>
      <c r="M437" s="42">
        <v>0.28</v>
      </c>
      <c r="N437" s="42">
        <v>1.1</v>
      </c>
      <c r="O437" s="42">
        <v>7.6E11</v>
      </c>
      <c r="P437" s="42">
        <v>1.1E12</v>
      </c>
      <c r="Q437" s="42">
        <v>-20.0</v>
      </c>
      <c r="R437" s="42">
        <v>-12.3</v>
      </c>
      <c r="S437" s="42">
        <v>-25.4</v>
      </c>
      <c r="T437" s="42">
        <v>-24.8</v>
      </c>
      <c r="U437" s="42">
        <v>1.7</v>
      </c>
      <c r="V437" s="42">
        <v>-14.5</v>
      </c>
      <c r="W437" s="42">
        <v>-19.4</v>
      </c>
    </row>
    <row r="438">
      <c r="A438" s="87">
        <v>437.0</v>
      </c>
      <c r="B438" s="85" t="s">
        <v>2023</v>
      </c>
      <c r="C438" s="85" t="s">
        <v>504</v>
      </c>
      <c r="D438" s="85" t="s">
        <v>1193</v>
      </c>
      <c r="E438" s="85" t="s">
        <v>1194</v>
      </c>
      <c r="F438" s="85" t="s">
        <v>1195</v>
      </c>
      <c r="G438" s="85" t="s">
        <v>1196</v>
      </c>
      <c r="H438" s="85" t="s">
        <v>1197</v>
      </c>
      <c r="I438" s="85" t="s">
        <v>1318</v>
      </c>
      <c r="J438" s="42">
        <v>0.0</v>
      </c>
      <c r="K438" s="42">
        <v>0.22</v>
      </c>
      <c r="L438" s="42">
        <v>0.64</v>
      </c>
      <c r="M438" s="42">
        <v>0.61</v>
      </c>
      <c r="N438" s="42">
        <v>0.05</v>
      </c>
      <c r="O438" s="42">
        <v>6.4E10</v>
      </c>
      <c r="P438" s="42">
        <v>2.1E10</v>
      </c>
      <c r="Q438" s="42">
        <v>0.0</v>
      </c>
      <c r="R438" s="42">
        <v>0.0</v>
      </c>
      <c r="S438" s="42">
        <v>0.0</v>
      </c>
      <c r="T438" s="42">
        <v>0.0</v>
      </c>
      <c r="U438" s="42">
        <v>9.0</v>
      </c>
      <c r="V438" s="42">
        <v>0.0</v>
      </c>
      <c r="W438" s="42">
        <v>0.0</v>
      </c>
    </row>
    <row r="439">
      <c r="A439" s="87">
        <v>438.0</v>
      </c>
      <c r="B439" s="85" t="s">
        <v>2024</v>
      </c>
      <c r="C439" s="85" t="s">
        <v>505</v>
      </c>
      <c r="D439" s="85" t="s">
        <v>2025</v>
      </c>
      <c r="E439" s="85" t="s">
        <v>1201</v>
      </c>
      <c r="F439" s="85" t="s">
        <v>1202</v>
      </c>
      <c r="G439" s="85" t="s">
        <v>1203</v>
      </c>
      <c r="H439" s="85" t="s">
        <v>2026</v>
      </c>
      <c r="I439" s="85" t="s">
        <v>1561</v>
      </c>
      <c r="J439" s="42">
        <v>-8.6</v>
      </c>
      <c r="K439" s="42">
        <v>0.24</v>
      </c>
      <c r="L439" s="42">
        <v>-2.9</v>
      </c>
      <c r="M439" s="42">
        <v>-2.5</v>
      </c>
      <c r="N439" s="42">
        <v>0.16</v>
      </c>
      <c r="O439" s="42">
        <v>1.5E12</v>
      </c>
      <c r="P439" s="42">
        <v>3.94E11</v>
      </c>
      <c r="Q439" s="42">
        <v>-30.2</v>
      </c>
      <c r="R439" s="42">
        <v>-26.8</v>
      </c>
      <c r="S439" s="42">
        <v>-31.8</v>
      </c>
      <c r="T439" s="42">
        <v>11.1</v>
      </c>
      <c r="U439" s="42">
        <v>-43.8</v>
      </c>
      <c r="V439" s="42">
        <v>-11.8</v>
      </c>
      <c r="W439" s="42">
        <v>-43.4</v>
      </c>
    </row>
    <row r="440">
      <c r="A440" s="87">
        <v>439.0</v>
      </c>
      <c r="B440" s="85" t="s">
        <v>2027</v>
      </c>
      <c r="C440" s="85" t="s">
        <v>506</v>
      </c>
      <c r="D440" s="85" t="s">
        <v>2028</v>
      </c>
      <c r="E440" s="85" t="s">
        <v>1570</v>
      </c>
      <c r="F440" s="85" t="s">
        <v>1571</v>
      </c>
      <c r="G440" s="85" t="s">
        <v>1683</v>
      </c>
      <c r="H440" s="85" t="s">
        <v>2029</v>
      </c>
      <c r="I440" s="85" t="s">
        <v>1685</v>
      </c>
      <c r="J440" s="42">
        <v>9.2</v>
      </c>
      <c r="K440" s="42">
        <v>1.0</v>
      </c>
      <c r="L440" s="42">
        <v>11.2</v>
      </c>
      <c r="M440" s="42">
        <v>2.6</v>
      </c>
      <c r="N440" s="42">
        <v>3.4</v>
      </c>
      <c r="O440" s="42">
        <v>6.02E11</v>
      </c>
      <c r="P440" s="42">
        <v>2.43E11</v>
      </c>
      <c r="Q440" s="42">
        <v>-31.5</v>
      </c>
      <c r="R440" s="42">
        <v>-12.2</v>
      </c>
      <c r="S440" s="42">
        <v>-24.0</v>
      </c>
      <c r="T440" s="42">
        <v>-31.3</v>
      </c>
      <c r="U440" s="42">
        <v>27.1</v>
      </c>
      <c r="V440" s="42">
        <v>-12.2</v>
      </c>
      <c r="W440" s="42">
        <v>-22.9</v>
      </c>
    </row>
    <row r="441">
      <c r="A441" s="87">
        <v>440.0</v>
      </c>
      <c r="B441" s="85" t="s">
        <v>2030</v>
      </c>
      <c r="C441" s="85" t="s">
        <v>507</v>
      </c>
      <c r="D441" s="85" t="s">
        <v>1899</v>
      </c>
      <c r="E441" s="85" t="s">
        <v>1376</v>
      </c>
      <c r="F441" s="85" t="s">
        <v>1377</v>
      </c>
      <c r="G441" s="85" t="s">
        <v>1900</v>
      </c>
      <c r="H441" s="85" t="s">
        <v>1900</v>
      </c>
      <c r="I441" s="85" t="s">
        <v>1379</v>
      </c>
      <c r="J441" s="42">
        <v>79.4</v>
      </c>
      <c r="K441" s="42">
        <v>7.3</v>
      </c>
      <c r="L441" s="42">
        <v>9.2</v>
      </c>
      <c r="M441" s="42">
        <v>7.9</v>
      </c>
      <c r="N441" s="42">
        <v>0.17</v>
      </c>
      <c r="O441" s="42">
        <v>2.3E12</v>
      </c>
      <c r="P441" s="42">
        <v>1.71E11</v>
      </c>
      <c r="Q441" s="42">
        <v>-42.1</v>
      </c>
      <c r="R441" s="42">
        <v>-46.2</v>
      </c>
      <c r="S441" s="42">
        <v>-52.1</v>
      </c>
      <c r="T441" s="42">
        <v>710.0</v>
      </c>
      <c r="U441" s="42">
        <v>17.1</v>
      </c>
      <c r="V441" s="42">
        <v>-35.3</v>
      </c>
      <c r="W441" s="42">
        <v>-64.4</v>
      </c>
    </row>
    <row r="442">
      <c r="A442" s="87">
        <v>441.0</v>
      </c>
      <c r="B442" s="85" t="s">
        <v>2031</v>
      </c>
      <c r="C442" s="85" t="s">
        <v>508</v>
      </c>
      <c r="D442" s="85" t="s">
        <v>1261</v>
      </c>
      <c r="E442" s="85" t="s">
        <v>1201</v>
      </c>
      <c r="F442" s="85" t="s">
        <v>1262</v>
      </c>
      <c r="G442" s="85" t="s">
        <v>1263</v>
      </c>
      <c r="H442" s="85" t="s">
        <v>1264</v>
      </c>
      <c r="I442" s="85" t="s">
        <v>1265</v>
      </c>
      <c r="J442" s="42">
        <v>64.5</v>
      </c>
      <c r="K442" s="42">
        <v>0.61</v>
      </c>
      <c r="L442" s="42">
        <v>0.94</v>
      </c>
      <c r="M442" s="42">
        <v>0.89</v>
      </c>
      <c r="N442" s="42">
        <v>0.05</v>
      </c>
      <c r="O442" s="42">
        <v>1.05E11</v>
      </c>
      <c r="P442" s="42">
        <v>2.4E10</v>
      </c>
      <c r="Q442" s="42">
        <v>-40.6</v>
      </c>
      <c r="R442" s="42">
        <v>-34.5</v>
      </c>
      <c r="S442" s="42">
        <v>-36.7</v>
      </c>
      <c r="T442" s="42">
        <v>72.7</v>
      </c>
      <c r="U442" s="42">
        <v>6.7</v>
      </c>
      <c r="V442" s="42">
        <v>-24.0</v>
      </c>
      <c r="W442" s="42">
        <v>-34.5</v>
      </c>
    </row>
    <row r="443">
      <c r="A443" s="87">
        <v>442.0</v>
      </c>
      <c r="B443" s="85" t="s">
        <v>2032</v>
      </c>
      <c r="C443" s="85" t="s">
        <v>509</v>
      </c>
      <c r="D443" s="85" t="s">
        <v>1463</v>
      </c>
      <c r="E443" s="85" t="s">
        <v>1230</v>
      </c>
      <c r="F443" s="85" t="s">
        <v>1464</v>
      </c>
      <c r="G443" s="85" t="s">
        <v>1465</v>
      </c>
      <c r="H443" s="85" t="s">
        <v>1465</v>
      </c>
      <c r="I443" s="85" t="s">
        <v>2033</v>
      </c>
      <c r="J443" s="42">
        <v>12.2</v>
      </c>
      <c r="K443" s="42">
        <v>1.7</v>
      </c>
      <c r="L443" s="42">
        <v>13.9</v>
      </c>
      <c r="M443" s="42">
        <v>4.7</v>
      </c>
      <c r="N443" s="42">
        <v>2.0</v>
      </c>
      <c r="O443" s="42">
        <v>6.97E13</v>
      </c>
      <c r="P443" s="42">
        <v>1.52E13</v>
      </c>
      <c r="Q443" s="42">
        <v>-21.3</v>
      </c>
      <c r="R443" s="42">
        <v>-14.3</v>
      </c>
      <c r="S443" s="42">
        <v>-29.7</v>
      </c>
      <c r="T443" s="42">
        <v>-17.5</v>
      </c>
      <c r="U443" s="42">
        <v>37.4</v>
      </c>
      <c r="V443" s="42">
        <v>-19.5</v>
      </c>
      <c r="W443" s="42">
        <v>-27.3</v>
      </c>
    </row>
    <row r="444">
      <c r="A444" s="87">
        <v>443.0</v>
      </c>
      <c r="B444" s="85" t="s">
        <v>2034</v>
      </c>
      <c r="C444" s="85" t="s">
        <v>510</v>
      </c>
      <c r="D444" s="85" t="s">
        <v>1267</v>
      </c>
      <c r="E444" s="85" t="s">
        <v>1194</v>
      </c>
      <c r="F444" s="85" t="s">
        <v>1195</v>
      </c>
      <c r="G444" s="85" t="s">
        <v>1196</v>
      </c>
      <c r="H444" s="85" t="s">
        <v>1268</v>
      </c>
      <c r="I444" s="85" t="s">
        <v>1514</v>
      </c>
      <c r="J444" s="42">
        <v>7.6</v>
      </c>
      <c r="K444" s="42">
        <v>0.52</v>
      </c>
      <c r="L444" s="42">
        <v>6.9</v>
      </c>
      <c r="M444" s="42">
        <v>2.9</v>
      </c>
      <c r="N444" s="42">
        <v>1.3</v>
      </c>
      <c r="O444" s="42">
        <v>9.7E10</v>
      </c>
      <c r="P444" s="42">
        <v>1.81E11</v>
      </c>
      <c r="Q444" s="42">
        <v>-35.6</v>
      </c>
      <c r="R444" s="42">
        <v>-25.6</v>
      </c>
      <c r="S444" s="42">
        <v>-43.1</v>
      </c>
      <c r="T444" s="42">
        <v>-13.4</v>
      </c>
      <c r="U444" s="42">
        <v>7.1</v>
      </c>
      <c r="V444" s="42">
        <v>-17.1</v>
      </c>
      <c r="W444" s="42">
        <v>-42.0</v>
      </c>
    </row>
    <row r="445">
      <c r="A445" s="87">
        <v>444.0</v>
      </c>
      <c r="B445" s="85" t="s">
        <v>2035</v>
      </c>
      <c r="C445" s="85" t="s">
        <v>511</v>
      </c>
      <c r="D445" s="85" t="s">
        <v>1460</v>
      </c>
      <c r="E445" s="85" t="s">
        <v>1252</v>
      </c>
      <c r="F445" s="85" t="s">
        <v>1252</v>
      </c>
      <c r="G445" s="85" t="s">
        <v>1313</v>
      </c>
      <c r="H445" s="85" t="s">
        <v>1461</v>
      </c>
      <c r="I445" s="85" t="s">
        <v>1306</v>
      </c>
      <c r="J445" s="42">
        <v>5.8</v>
      </c>
      <c r="K445" s="42">
        <v>0.53</v>
      </c>
      <c r="L445" s="42">
        <v>9.2</v>
      </c>
      <c r="M445" s="42">
        <v>5.9</v>
      </c>
      <c r="N445" s="42">
        <v>0.56</v>
      </c>
      <c r="O445" s="42">
        <v>3.0E12</v>
      </c>
      <c r="P445" s="42">
        <v>1.2E12</v>
      </c>
      <c r="Q445" s="42">
        <v>-10.8</v>
      </c>
      <c r="R445" s="42">
        <v>-19.8</v>
      </c>
      <c r="S445" s="42">
        <v>-16.7</v>
      </c>
      <c r="T445" s="42">
        <v>21.8</v>
      </c>
      <c r="U445" s="42">
        <v>43.1</v>
      </c>
      <c r="V445" s="42">
        <v>-10.0</v>
      </c>
      <c r="W445" s="42">
        <v>-10.8</v>
      </c>
    </row>
    <row r="446">
      <c r="A446" s="87">
        <v>445.0</v>
      </c>
      <c r="B446" s="85" t="s">
        <v>2036</v>
      </c>
      <c r="C446" s="85" t="s">
        <v>512</v>
      </c>
      <c r="D446" s="85" t="s">
        <v>1880</v>
      </c>
      <c r="E446" s="85" t="s">
        <v>1194</v>
      </c>
      <c r="F446" s="85" t="s">
        <v>1881</v>
      </c>
      <c r="G446" s="85" t="s">
        <v>1881</v>
      </c>
      <c r="H446" s="85" t="s">
        <v>1881</v>
      </c>
      <c r="I446" s="85" t="s">
        <v>1514</v>
      </c>
      <c r="J446" s="42">
        <v>9.9</v>
      </c>
      <c r="K446" s="42">
        <v>0.42</v>
      </c>
      <c r="L446" s="42">
        <v>4.3</v>
      </c>
      <c r="M446" s="42">
        <v>3.2</v>
      </c>
      <c r="N446" s="42">
        <v>0.34</v>
      </c>
      <c r="O446" s="42">
        <v>2.01E11</v>
      </c>
      <c r="P446" s="42">
        <v>6.7E10</v>
      </c>
      <c r="Q446" s="42">
        <v>-26.6</v>
      </c>
      <c r="R446" s="42">
        <v>-28.9</v>
      </c>
      <c r="S446" s="42">
        <v>-55.2</v>
      </c>
      <c r="T446" s="42">
        <v>-20.2</v>
      </c>
      <c r="U446" s="42">
        <v>30.4</v>
      </c>
      <c r="V446" s="42">
        <v>-17.3</v>
      </c>
      <c r="W446" s="42">
        <v>-49.7</v>
      </c>
    </row>
    <row r="447">
      <c r="A447" s="87">
        <v>446.0</v>
      </c>
      <c r="B447" s="85" t="s">
        <v>2037</v>
      </c>
      <c r="C447" s="85" t="s">
        <v>513</v>
      </c>
      <c r="D447" s="85" t="s">
        <v>1397</v>
      </c>
      <c r="E447" s="85" t="s">
        <v>1187</v>
      </c>
      <c r="F447" s="85" t="s">
        <v>1188</v>
      </c>
      <c r="G447" s="85" t="s">
        <v>1359</v>
      </c>
      <c r="H447" s="85" t="s">
        <v>1398</v>
      </c>
      <c r="I447" s="85" t="s">
        <v>1383</v>
      </c>
      <c r="J447" s="42">
        <v>45.6</v>
      </c>
      <c r="K447" s="42">
        <v>0.47</v>
      </c>
      <c r="L447" s="42">
        <v>1.0</v>
      </c>
      <c r="M447" s="42">
        <v>0.86</v>
      </c>
      <c r="N447" s="42">
        <v>0.2</v>
      </c>
      <c r="O447" s="42">
        <v>1.7E12</v>
      </c>
      <c r="P447" s="42">
        <v>1.3E10</v>
      </c>
      <c r="Q447" s="42">
        <v>-39.0</v>
      </c>
      <c r="R447" s="42">
        <v>-48.8</v>
      </c>
      <c r="S447" s="42">
        <v>-20.0</v>
      </c>
      <c r="T447" s="42">
        <v>55.7</v>
      </c>
      <c r="U447" s="42">
        <v>300.0</v>
      </c>
      <c r="V447" s="42">
        <v>-25.7</v>
      </c>
      <c r="W447" s="42">
        <v>-26.1</v>
      </c>
    </row>
    <row r="448">
      <c r="A448" s="87">
        <v>447.0</v>
      </c>
      <c r="B448" s="85" t="s">
        <v>2038</v>
      </c>
      <c r="C448" s="85" t="s">
        <v>514</v>
      </c>
      <c r="D448" s="85" t="s">
        <v>1186</v>
      </c>
      <c r="E448" s="85" t="s">
        <v>1187</v>
      </c>
      <c r="F448" s="85" t="s">
        <v>1188</v>
      </c>
      <c r="G448" s="85" t="s">
        <v>1189</v>
      </c>
      <c r="H448" s="85" t="s">
        <v>1190</v>
      </c>
      <c r="I448" s="85" t="s">
        <v>2039</v>
      </c>
      <c r="J448" s="42">
        <v>8.2</v>
      </c>
      <c r="K448" s="42">
        <v>0.76</v>
      </c>
      <c r="L448" s="42">
        <v>9.3</v>
      </c>
      <c r="M448" s="42">
        <v>7.5</v>
      </c>
      <c r="N448" s="42">
        <v>0.25</v>
      </c>
      <c r="O448" s="42">
        <v>2.5E13</v>
      </c>
      <c r="P448" s="42">
        <v>8.5E12</v>
      </c>
      <c r="Q448" s="42">
        <v>-9.4</v>
      </c>
      <c r="R448" s="42">
        <v>-22.7</v>
      </c>
      <c r="S448" s="42">
        <v>-0.568</v>
      </c>
      <c r="T448" s="42">
        <v>-1.5</v>
      </c>
      <c r="U448" s="42">
        <v>36.2</v>
      </c>
      <c r="V448" s="42">
        <v>-0.568</v>
      </c>
      <c r="W448" s="42">
        <v>-0.681</v>
      </c>
    </row>
    <row r="449">
      <c r="A449" s="87">
        <v>448.0</v>
      </c>
      <c r="B449" s="85" t="s">
        <v>2040</v>
      </c>
      <c r="C449" s="85" t="s">
        <v>515</v>
      </c>
      <c r="D449" s="85" t="s">
        <v>1193</v>
      </c>
      <c r="E449" s="85" t="s">
        <v>1194</v>
      </c>
      <c r="F449" s="85" t="s">
        <v>1195</v>
      </c>
      <c r="G449" s="85" t="s">
        <v>1196</v>
      </c>
      <c r="H449" s="85" t="s">
        <v>1197</v>
      </c>
      <c r="I449" s="85" t="s">
        <v>1641</v>
      </c>
      <c r="J449" s="42">
        <v>59.6</v>
      </c>
      <c r="K449" s="42">
        <v>7.6</v>
      </c>
      <c r="L449" s="42">
        <v>12.8</v>
      </c>
      <c r="M449" s="42">
        <v>6.3</v>
      </c>
      <c r="N449" s="42">
        <v>1.0</v>
      </c>
      <c r="O449" s="42">
        <v>1.49E13</v>
      </c>
      <c r="P449" s="42">
        <v>7.77E11</v>
      </c>
      <c r="Q449" s="42">
        <v>-42.6</v>
      </c>
      <c r="R449" s="42">
        <v>-38.8</v>
      </c>
      <c r="S449" s="42">
        <v>-67.3</v>
      </c>
      <c r="T449" s="42">
        <v>210.0</v>
      </c>
      <c r="U449" s="42">
        <v>32.2</v>
      </c>
      <c r="V449" s="42">
        <v>-25.2</v>
      </c>
      <c r="W449" s="42">
        <v>-62.4</v>
      </c>
    </row>
    <row r="450">
      <c r="A450" s="87">
        <v>449.0</v>
      </c>
      <c r="B450" s="85" t="s">
        <v>2041</v>
      </c>
      <c r="C450" s="85" t="s">
        <v>516</v>
      </c>
      <c r="D450" s="85" t="s">
        <v>1745</v>
      </c>
      <c r="E450" s="85" t="s">
        <v>1230</v>
      </c>
      <c r="F450" s="85" t="s">
        <v>1464</v>
      </c>
      <c r="G450" s="85" t="s">
        <v>1746</v>
      </c>
      <c r="H450" s="85" t="s">
        <v>1747</v>
      </c>
      <c r="I450" s="85" t="s">
        <v>1764</v>
      </c>
      <c r="J450" s="42">
        <v>-26.2</v>
      </c>
      <c r="K450" s="42">
        <v>1.0</v>
      </c>
      <c r="L450" s="42">
        <v>-3.8</v>
      </c>
      <c r="M450" s="42">
        <v>-2.0</v>
      </c>
      <c r="N450" s="42">
        <v>0.9</v>
      </c>
      <c r="O450" s="42">
        <v>9.5E10</v>
      </c>
      <c r="P450" s="42">
        <v>5.8E10</v>
      </c>
      <c r="Q450" s="42">
        <v>-27.8</v>
      </c>
      <c r="R450" s="42">
        <v>-28.6</v>
      </c>
      <c r="S450" s="42">
        <v>-32.7</v>
      </c>
      <c r="T450" s="42">
        <v>18.6</v>
      </c>
      <c r="U450" s="42">
        <v>-6.3</v>
      </c>
      <c r="V450" s="42">
        <v>-18.6</v>
      </c>
      <c r="W450" s="42">
        <v>-32.7</v>
      </c>
    </row>
    <row r="451">
      <c r="A451" s="87">
        <v>450.0</v>
      </c>
      <c r="B451" s="85" t="s">
        <v>2042</v>
      </c>
      <c r="C451" s="85" t="s">
        <v>517</v>
      </c>
      <c r="D451" s="85" t="s">
        <v>1439</v>
      </c>
      <c r="E451" s="85" t="s">
        <v>1376</v>
      </c>
      <c r="F451" s="85" t="s">
        <v>1377</v>
      </c>
      <c r="G451" s="85" t="s">
        <v>1440</v>
      </c>
      <c r="H451" s="85" t="s">
        <v>1440</v>
      </c>
      <c r="I451" s="85" t="s">
        <v>1441</v>
      </c>
      <c r="J451" s="42">
        <v>18.2</v>
      </c>
      <c r="K451" s="42">
        <v>1.9</v>
      </c>
      <c r="L451" s="42">
        <v>10.2</v>
      </c>
      <c r="M451" s="42">
        <v>3.8</v>
      </c>
      <c r="N451" s="42">
        <v>1.7</v>
      </c>
      <c r="O451" s="42">
        <v>3.52E11</v>
      </c>
      <c r="P451" s="42">
        <v>1.84E11</v>
      </c>
      <c r="Q451" s="42">
        <v>-15.5</v>
      </c>
      <c r="R451" s="42">
        <v>-21.6</v>
      </c>
      <c r="S451" s="42">
        <v>-41.2</v>
      </c>
      <c r="T451" s="42">
        <v>-19.4</v>
      </c>
      <c r="U451" s="42">
        <v>10.5</v>
      </c>
      <c r="V451" s="42">
        <v>-14.7</v>
      </c>
      <c r="W451" s="42">
        <v>-32.6</v>
      </c>
    </row>
    <row r="452">
      <c r="A452" s="87">
        <v>451.0</v>
      </c>
      <c r="B452" s="85" t="s">
        <v>2043</v>
      </c>
      <c r="C452" s="85" t="s">
        <v>518</v>
      </c>
      <c r="D452" s="85" t="s">
        <v>1193</v>
      </c>
      <c r="E452" s="85" t="s">
        <v>1194</v>
      </c>
      <c r="F452" s="85" t="s">
        <v>1195</v>
      </c>
      <c r="G452" s="85" t="s">
        <v>1196</v>
      </c>
      <c r="H452" s="85" t="s">
        <v>1197</v>
      </c>
      <c r="I452" s="85" t="s">
        <v>1352</v>
      </c>
      <c r="J452" s="42">
        <v>-28.7</v>
      </c>
      <c r="K452" s="42">
        <v>1.6</v>
      </c>
      <c r="L452" s="42">
        <v>-5.6</v>
      </c>
      <c r="M452" s="42">
        <v>-1.9</v>
      </c>
      <c r="N452" s="42">
        <v>2.0</v>
      </c>
      <c r="O452" s="42">
        <v>2.1E12</v>
      </c>
      <c r="P452" s="42">
        <v>3.55E11</v>
      </c>
      <c r="Q452" s="42">
        <v>-36.3</v>
      </c>
      <c r="R452" s="42">
        <v>-27.7</v>
      </c>
      <c r="S452" s="42">
        <v>-46.0</v>
      </c>
      <c r="T452" s="42">
        <v>-21.5</v>
      </c>
      <c r="U452" s="42">
        <v>-21.1</v>
      </c>
      <c r="V452" s="42">
        <v>-23.9</v>
      </c>
      <c r="W452" s="42">
        <v>-48.7</v>
      </c>
    </row>
    <row r="453">
      <c r="A453" s="87">
        <v>452.0</v>
      </c>
      <c r="B453" s="85" t="s">
        <v>2044</v>
      </c>
      <c r="C453" s="85" t="s">
        <v>519</v>
      </c>
      <c r="D453" s="85" t="s">
        <v>1299</v>
      </c>
      <c r="E453" s="85" t="s">
        <v>1300</v>
      </c>
      <c r="F453" s="85" t="s">
        <v>1301</v>
      </c>
      <c r="G453" s="85" t="s">
        <v>1301</v>
      </c>
      <c r="H453" s="85" t="s">
        <v>1301</v>
      </c>
      <c r="I453" s="85" t="s">
        <v>1302</v>
      </c>
      <c r="J453" s="42">
        <v>15.7</v>
      </c>
      <c r="K453" s="42">
        <v>0.81</v>
      </c>
      <c r="L453" s="42">
        <v>5.2</v>
      </c>
      <c r="M453" s="42">
        <v>1.6</v>
      </c>
      <c r="N453" s="42">
        <v>2.3</v>
      </c>
      <c r="O453" s="42">
        <v>1.02E11</v>
      </c>
      <c r="P453" s="42">
        <v>2.7E10</v>
      </c>
      <c r="Q453" s="42">
        <v>-23.7</v>
      </c>
      <c r="R453" s="42">
        <v>-7.8</v>
      </c>
      <c r="S453" s="42">
        <v>0.952</v>
      </c>
      <c r="T453" s="42">
        <v>14.0</v>
      </c>
      <c r="U453" s="42">
        <v>24.3</v>
      </c>
      <c r="V453" s="42">
        <v>-17.2</v>
      </c>
      <c r="W453" s="42">
        <v>-15.2</v>
      </c>
    </row>
    <row r="454">
      <c r="A454" s="87">
        <v>453.0</v>
      </c>
      <c r="B454" s="85" t="s">
        <v>2045</v>
      </c>
      <c r="C454" s="85" t="s">
        <v>520</v>
      </c>
      <c r="D454" s="85" t="s">
        <v>1672</v>
      </c>
      <c r="E454" s="85" t="s">
        <v>1214</v>
      </c>
      <c r="F454" s="85" t="s">
        <v>1326</v>
      </c>
      <c r="G454" s="85" t="s">
        <v>1673</v>
      </c>
      <c r="H454" s="85" t="s">
        <v>1674</v>
      </c>
      <c r="I454" s="85" t="s">
        <v>1972</v>
      </c>
      <c r="J454" s="42">
        <v>5.9</v>
      </c>
      <c r="K454" s="42">
        <v>0.44</v>
      </c>
      <c r="L454" s="42">
        <v>7.4</v>
      </c>
      <c r="M454" s="42">
        <v>2.7</v>
      </c>
      <c r="N454" s="42">
        <v>1.8</v>
      </c>
      <c r="O454" s="42">
        <v>3.93E11</v>
      </c>
      <c r="P454" s="42">
        <v>8.57E11</v>
      </c>
      <c r="Q454" s="42">
        <v>-36.2</v>
      </c>
      <c r="R454" s="42">
        <v>-44.1</v>
      </c>
      <c r="S454" s="42">
        <v>-54.2</v>
      </c>
      <c r="T454" s="42">
        <v>-52.1</v>
      </c>
      <c r="U454" s="42">
        <v>7.8</v>
      </c>
      <c r="V454" s="42">
        <v>-0.952</v>
      </c>
      <c r="W454" s="42">
        <v>-54.6</v>
      </c>
    </row>
    <row r="455">
      <c r="A455" s="87">
        <v>454.0</v>
      </c>
      <c r="B455" s="85" t="s">
        <v>2046</v>
      </c>
      <c r="C455" s="85" t="s">
        <v>521</v>
      </c>
      <c r="D455" s="85" t="s">
        <v>1285</v>
      </c>
      <c r="E455" s="85" t="s">
        <v>1201</v>
      </c>
      <c r="F455" s="85" t="s">
        <v>1286</v>
      </c>
      <c r="G455" s="85" t="s">
        <v>1287</v>
      </c>
      <c r="H455" s="85" t="s">
        <v>1288</v>
      </c>
      <c r="I455" s="85" t="s">
        <v>1381</v>
      </c>
      <c r="J455" s="42">
        <v>-35.4</v>
      </c>
      <c r="K455" s="42">
        <v>1.3</v>
      </c>
      <c r="L455" s="42">
        <v>-3.6</v>
      </c>
      <c r="M455" s="42">
        <v>-2.6</v>
      </c>
      <c r="N455" s="42">
        <v>0.4</v>
      </c>
      <c r="O455" s="42">
        <v>1.4E12</v>
      </c>
      <c r="P455" s="42">
        <v>2.9E10</v>
      </c>
      <c r="Q455" s="42">
        <v>-39.3</v>
      </c>
      <c r="R455" s="42">
        <v>-3.8</v>
      </c>
      <c r="S455" s="42">
        <v>110.0</v>
      </c>
      <c r="T455" s="42">
        <v>470.0</v>
      </c>
      <c r="U455" s="42">
        <v>-140.0</v>
      </c>
      <c r="V455" s="42">
        <v>-12.1</v>
      </c>
      <c r="W455" s="42">
        <v>13.3</v>
      </c>
    </row>
    <row r="456">
      <c r="A456" s="87">
        <v>455.0</v>
      </c>
      <c r="B456" s="85" t="s">
        <v>2047</v>
      </c>
      <c r="C456" s="85" t="s">
        <v>522</v>
      </c>
      <c r="D456" s="85" t="s">
        <v>1285</v>
      </c>
      <c r="E456" s="85" t="s">
        <v>1201</v>
      </c>
      <c r="F456" s="85" t="s">
        <v>1286</v>
      </c>
      <c r="G456" s="85" t="s">
        <v>1287</v>
      </c>
      <c r="H456" s="85" t="s">
        <v>1288</v>
      </c>
      <c r="I456" s="85" t="s">
        <v>1578</v>
      </c>
      <c r="J456" s="42">
        <v>-5.0</v>
      </c>
      <c r="K456" s="42">
        <v>0.22</v>
      </c>
      <c r="L456" s="42">
        <v>-4.5</v>
      </c>
      <c r="M456" s="42">
        <v>-2.9</v>
      </c>
      <c r="N456" s="42">
        <v>0.53</v>
      </c>
      <c r="O456" s="42">
        <v>1.0E12</v>
      </c>
      <c r="P456" s="42">
        <v>3.87E11</v>
      </c>
      <c r="Q456" s="42">
        <v>-26.8</v>
      </c>
      <c r="R456" s="42">
        <v>-31.4</v>
      </c>
      <c r="S456" s="42">
        <v>-41.5</v>
      </c>
      <c r="T456" s="42">
        <v>-42.9</v>
      </c>
      <c r="U456" s="42">
        <v>-52.7</v>
      </c>
      <c r="V456" s="42">
        <v>-15.5</v>
      </c>
      <c r="W456" s="42">
        <v>-36.8</v>
      </c>
    </row>
    <row r="457">
      <c r="A457" s="87">
        <v>456.0</v>
      </c>
      <c r="B457" s="85" t="s">
        <v>2048</v>
      </c>
      <c r="C457" s="85" t="s">
        <v>523</v>
      </c>
      <c r="D457" s="85" t="s">
        <v>1229</v>
      </c>
      <c r="E457" s="85" t="s">
        <v>1230</v>
      </c>
      <c r="F457" s="85" t="s">
        <v>1231</v>
      </c>
      <c r="G457" s="85" t="s">
        <v>1231</v>
      </c>
      <c r="H457" s="85" t="s">
        <v>1231</v>
      </c>
      <c r="I457" s="85" t="s">
        <v>2020</v>
      </c>
      <c r="J457" s="42">
        <v>8.0</v>
      </c>
      <c r="K457" s="42">
        <v>0.35</v>
      </c>
      <c r="L457" s="42">
        <v>4.4</v>
      </c>
      <c r="M457" s="42">
        <v>3.3</v>
      </c>
      <c r="N457" s="42">
        <v>0.34</v>
      </c>
      <c r="O457" s="42">
        <v>1.1E12</v>
      </c>
      <c r="P457" s="42">
        <v>9.16E11</v>
      </c>
      <c r="Q457" s="42">
        <v>-18.7</v>
      </c>
      <c r="R457" s="42">
        <v>-11.6</v>
      </c>
      <c r="S457" s="42">
        <v>-30.7</v>
      </c>
      <c r="T457" s="42">
        <v>-19.7</v>
      </c>
      <c r="U457" s="42">
        <v>15.6</v>
      </c>
      <c r="V457" s="42">
        <v>-14.1</v>
      </c>
      <c r="W457" s="42">
        <v>-29.9</v>
      </c>
    </row>
    <row r="458">
      <c r="A458" s="87">
        <v>457.0</v>
      </c>
      <c r="B458" s="85" t="s">
        <v>2049</v>
      </c>
      <c r="C458" s="85" t="s">
        <v>524</v>
      </c>
      <c r="D458" s="85" t="s">
        <v>1525</v>
      </c>
      <c r="E458" s="85" t="s">
        <v>1208</v>
      </c>
      <c r="F458" s="85" t="s">
        <v>1209</v>
      </c>
      <c r="G458" s="85" t="s">
        <v>1209</v>
      </c>
      <c r="H458" s="85" t="s">
        <v>1526</v>
      </c>
      <c r="I458" s="85" t="s">
        <v>1757</v>
      </c>
      <c r="J458" s="42">
        <v>57.8</v>
      </c>
      <c r="K458" s="42">
        <v>2.2</v>
      </c>
      <c r="L458" s="42">
        <v>3.8</v>
      </c>
      <c r="M458" s="42">
        <v>1.2</v>
      </c>
      <c r="N458" s="42">
        <v>2.6</v>
      </c>
      <c r="O458" s="42">
        <v>2.82E11</v>
      </c>
      <c r="P458" s="42">
        <v>6.1E10</v>
      </c>
      <c r="Q458" s="42">
        <v>-5.3</v>
      </c>
      <c r="R458" s="42">
        <v>35.1</v>
      </c>
      <c r="S458" s="42">
        <v>60.3</v>
      </c>
      <c r="T458" s="42">
        <v>79.9</v>
      </c>
      <c r="U458" s="42">
        <v>8.0</v>
      </c>
      <c r="V458" s="42">
        <v>-13.2</v>
      </c>
      <c r="W458" s="42">
        <v>12.6</v>
      </c>
    </row>
    <row r="459">
      <c r="A459" s="87">
        <v>458.0</v>
      </c>
      <c r="B459" s="85" t="s">
        <v>2050</v>
      </c>
      <c r="C459" s="85" t="s">
        <v>525</v>
      </c>
      <c r="D459" s="85" t="s">
        <v>1267</v>
      </c>
      <c r="E459" s="85" t="s">
        <v>1194</v>
      </c>
      <c r="F459" s="85" t="s">
        <v>1195</v>
      </c>
      <c r="G459" s="85" t="s">
        <v>1196</v>
      </c>
      <c r="H459" s="85" t="s">
        <v>1268</v>
      </c>
      <c r="I459" s="85" t="s">
        <v>2051</v>
      </c>
      <c r="J459" s="42">
        <v>5.6</v>
      </c>
      <c r="K459" s="42">
        <v>1.3</v>
      </c>
      <c r="L459" s="42">
        <v>23.3</v>
      </c>
      <c r="M459" s="42">
        <v>13.1</v>
      </c>
      <c r="N459" s="42">
        <v>0.79</v>
      </c>
      <c r="O459" s="42">
        <v>2.87E13</v>
      </c>
      <c r="P459" s="42">
        <v>1.77E13</v>
      </c>
      <c r="Q459" s="42">
        <v>-29.6</v>
      </c>
      <c r="R459" s="42">
        <v>-18.0</v>
      </c>
      <c r="S459" s="42">
        <v>-31.5</v>
      </c>
      <c r="T459" s="42">
        <v>14.8</v>
      </c>
      <c r="U459" s="42">
        <v>29.0</v>
      </c>
      <c r="V459" s="42">
        <v>-25.5</v>
      </c>
      <c r="W459" s="42">
        <v>-38.6</v>
      </c>
    </row>
    <row r="460">
      <c r="A460" s="87">
        <v>459.0</v>
      </c>
      <c r="B460" s="85" t="s">
        <v>2052</v>
      </c>
      <c r="C460" s="85" t="s">
        <v>526</v>
      </c>
      <c r="D460" s="85" t="s">
        <v>1234</v>
      </c>
      <c r="E460" s="85" t="s">
        <v>1235</v>
      </c>
      <c r="F460" s="85" t="s">
        <v>1235</v>
      </c>
      <c r="G460" s="85" t="s">
        <v>1236</v>
      </c>
      <c r="H460" s="85" t="s">
        <v>1237</v>
      </c>
      <c r="I460" s="85" t="s">
        <v>2053</v>
      </c>
      <c r="J460" s="42">
        <v>10.6</v>
      </c>
      <c r="K460" s="42">
        <v>1.3</v>
      </c>
      <c r="L460" s="42">
        <v>11.9</v>
      </c>
      <c r="M460" s="42">
        <v>8.7</v>
      </c>
      <c r="N460" s="42">
        <v>0.36</v>
      </c>
      <c r="O460" s="42">
        <v>1.43E13</v>
      </c>
      <c r="P460" s="42">
        <v>7.34E11</v>
      </c>
      <c r="Q460" s="42">
        <v>-1.4</v>
      </c>
      <c r="R460" s="42">
        <v>-2.3</v>
      </c>
      <c r="S460" s="42">
        <v>0.935</v>
      </c>
      <c r="T460" s="42">
        <v>52.1</v>
      </c>
      <c r="U460" s="42">
        <v>180.0</v>
      </c>
      <c r="V460" s="42">
        <v>-2.3</v>
      </c>
      <c r="W460" s="42">
        <v>-0.461</v>
      </c>
    </row>
    <row r="461">
      <c r="A461" s="87">
        <v>460.0</v>
      </c>
      <c r="B461" s="85" t="s">
        <v>2054</v>
      </c>
      <c r="C461" s="85" t="s">
        <v>527</v>
      </c>
      <c r="D461" s="85" t="s">
        <v>2055</v>
      </c>
      <c r="E461" s="85" t="s">
        <v>1187</v>
      </c>
      <c r="F461" s="85" t="s">
        <v>1843</v>
      </c>
      <c r="G461" s="85" t="s">
        <v>2056</v>
      </c>
      <c r="H461" s="85" t="s">
        <v>2056</v>
      </c>
      <c r="I461" s="85" t="s">
        <v>1399</v>
      </c>
      <c r="J461" s="42">
        <v>0.0</v>
      </c>
      <c r="K461" s="42">
        <v>-7.8</v>
      </c>
      <c r="L461" s="42">
        <v>0.0</v>
      </c>
      <c r="M461" s="42">
        <v>-50.3</v>
      </c>
      <c r="N461" s="42">
        <v>-19.1</v>
      </c>
      <c r="O461" s="42">
        <v>1.06E11</v>
      </c>
      <c r="P461" s="42">
        <v>8.2E10</v>
      </c>
      <c r="Q461" s="42">
        <v>0.0</v>
      </c>
      <c r="R461" s="42">
        <v>0.0</v>
      </c>
      <c r="S461" s="42">
        <v>0.0</v>
      </c>
      <c r="T461" s="42">
        <v>0.0</v>
      </c>
      <c r="U461" s="42">
        <v>-150.0</v>
      </c>
      <c r="V461" s="42">
        <v>0.0</v>
      </c>
      <c r="W461" s="42">
        <v>0.0</v>
      </c>
    </row>
    <row r="462">
      <c r="A462" s="87">
        <v>461.0</v>
      </c>
      <c r="B462" s="85" t="s">
        <v>2057</v>
      </c>
      <c r="C462" s="85" t="s">
        <v>528</v>
      </c>
      <c r="D462" s="85" t="s">
        <v>1699</v>
      </c>
      <c r="E462" s="85" t="s">
        <v>1230</v>
      </c>
      <c r="F462" s="85" t="s">
        <v>1658</v>
      </c>
      <c r="G462" s="85" t="s">
        <v>1659</v>
      </c>
      <c r="H462" s="85" t="s">
        <v>1700</v>
      </c>
      <c r="I462" s="85" t="s">
        <v>2058</v>
      </c>
      <c r="J462" s="42">
        <v>6.2</v>
      </c>
      <c r="K462" s="42">
        <v>0.34</v>
      </c>
      <c r="L462" s="42">
        <v>5.5</v>
      </c>
      <c r="M462" s="42">
        <v>2.2</v>
      </c>
      <c r="N462" s="42">
        <v>1.5</v>
      </c>
      <c r="O462" s="42">
        <v>2.18E13</v>
      </c>
      <c r="P462" s="42">
        <v>6.4E12</v>
      </c>
      <c r="Q462" s="42">
        <v>-10.3</v>
      </c>
      <c r="R462" s="42">
        <v>-12.6</v>
      </c>
      <c r="S462" s="42">
        <v>-21.3</v>
      </c>
      <c r="T462" s="42">
        <v>-27.8</v>
      </c>
      <c r="U462" s="42">
        <v>54.4</v>
      </c>
      <c r="V462" s="42">
        <v>-11.2</v>
      </c>
      <c r="W462" s="42">
        <v>-21.3</v>
      </c>
    </row>
    <row r="463">
      <c r="A463" s="87">
        <v>462.0</v>
      </c>
      <c r="B463" s="85" t="s">
        <v>2059</v>
      </c>
      <c r="C463" s="85" t="s">
        <v>529</v>
      </c>
      <c r="D463" s="85" t="s">
        <v>1285</v>
      </c>
      <c r="E463" s="85" t="s">
        <v>1201</v>
      </c>
      <c r="F463" s="85" t="s">
        <v>1286</v>
      </c>
      <c r="G463" s="85" t="s">
        <v>1287</v>
      </c>
      <c r="H463" s="85" t="s">
        <v>1288</v>
      </c>
      <c r="I463" s="85" t="s">
        <v>1578</v>
      </c>
      <c r="J463" s="42">
        <v>7.7</v>
      </c>
      <c r="K463" s="42">
        <v>0.88</v>
      </c>
      <c r="L463" s="42">
        <v>11.4</v>
      </c>
      <c r="M463" s="42">
        <v>5.8</v>
      </c>
      <c r="N463" s="42">
        <v>0.98</v>
      </c>
      <c r="O463" s="42">
        <v>2.9E12</v>
      </c>
      <c r="P463" s="42">
        <v>6.8E11</v>
      </c>
      <c r="Q463" s="42">
        <v>-22.4</v>
      </c>
      <c r="R463" s="42">
        <v>-21.6</v>
      </c>
      <c r="S463" s="42">
        <v>-65.8</v>
      </c>
      <c r="T463" s="42">
        <v>-77.5</v>
      </c>
      <c r="U463" s="42">
        <v>55.8</v>
      </c>
      <c r="V463" s="42">
        <v>-6.9</v>
      </c>
      <c r="W463" s="42">
        <v>-63.3</v>
      </c>
    </row>
    <row r="464">
      <c r="A464" s="87">
        <v>463.0</v>
      </c>
      <c r="B464" s="85" t="s">
        <v>2060</v>
      </c>
      <c r="C464" s="85" t="s">
        <v>530</v>
      </c>
      <c r="D464" s="85" t="s">
        <v>2061</v>
      </c>
      <c r="E464" s="85" t="s">
        <v>1214</v>
      </c>
      <c r="F464" s="85" t="s">
        <v>1406</v>
      </c>
      <c r="G464" s="85" t="s">
        <v>1407</v>
      </c>
      <c r="H464" s="85" t="s">
        <v>2062</v>
      </c>
      <c r="I464" s="85" t="s">
        <v>1394</v>
      </c>
      <c r="J464" s="42">
        <v>13.5</v>
      </c>
      <c r="K464" s="42">
        <v>2.9</v>
      </c>
      <c r="L464" s="42">
        <v>21.6</v>
      </c>
      <c r="M464" s="42">
        <v>12.4</v>
      </c>
      <c r="N464" s="42">
        <v>0.74</v>
      </c>
      <c r="O464" s="42">
        <v>4.4E12</v>
      </c>
      <c r="P464" s="42">
        <v>2.65E11</v>
      </c>
      <c r="Q464" s="42">
        <v>-6.3</v>
      </c>
      <c r="R464" s="42">
        <v>4.4</v>
      </c>
      <c r="S464" s="42">
        <v>36.5</v>
      </c>
      <c r="T464" s="42">
        <v>150.0</v>
      </c>
      <c r="U464" s="42">
        <v>120.0</v>
      </c>
      <c r="V464" s="42">
        <v>-4.0</v>
      </c>
      <c r="W464" s="42">
        <v>0.0</v>
      </c>
    </row>
    <row r="465">
      <c r="A465" s="87">
        <v>464.0</v>
      </c>
      <c r="B465" s="85" t="s">
        <v>2063</v>
      </c>
      <c r="C465" s="85" t="s">
        <v>531</v>
      </c>
      <c r="D465" s="85" t="s">
        <v>1799</v>
      </c>
      <c r="E465" s="85" t="s">
        <v>1570</v>
      </c>
      <c r="F465" s="85" t="s">
        <v>1800</v>
      </c>
      <c r="G465" s="85" t="s">
        <v>1801</v>
      </c>
      <c r="H465" s="85" t="s">
        <v>1801</v>
      </c>
      <c r="I465" s="85" t="s">
        <v>2064</v>
      </c>
      <c r="J465" s="42">
        <v>-16.9</v>
      </c>
      <c r="K465" s="42">
        <v>0.93</v>
      </c>
      <c r="L465" s="42">
        <v>-5.5</v>
      </c>
      <c r="M465" s="42">
        <v>-1.1</v>
      </c>
      <c r="N465" s="42">
        <v>4.0</v>
      </c>
      <c r="O465" s="42">
        <v>2.7E12</v>
      </c>
      <c r="P465" s="42">
        <v>2.0E12</v>
      </c>
      <c r="Q465" s="42">
        <v>-45.5</v>
      </c>
      <c r="R465" s="42">
        <v>-15.2</v>
      </c>
      <c r="S465" s="42">
        <v>-29.7</v>
      </c>
      <c r="T465" s="42">
        <v>-35.5</v>
      </c>
      <c r="U465" s="42">
        <v>-7.8</v>
      </c>
      <c r="V465" s="42">
        <v>-17.0</v>
      </c>
      <c r="W465" s="42">
        <v>-25.0</v>
      </c>
    </row>
    <row r="466">
      <c r="A466" s="87">
        <v>465.0</v>
      </c>
      <c r="B466" s="85" t="s">
        <v>2065</v>
      </c>
      <c r="C466" s="85" t="s">
        <v>532</v>
      </c>
      <c r="D466" s="85" t="s">
        <v>1261</v>
      </c>
      <c r="E466" s="85" t="s">
        <v>1201</v>
      </c>
      <c r="F466" s="85" t="s">
        <v>1262</v>
      </c>
      <c r="G466" s="85" t="s">
        <v>1263</v>
      </c>
      <c r="H466" s="85" t="s">
        <v>1264</v>
      </c>
      <c r="I466" s="85" t="s">
        <v>1458</v>
      </c>
      <c r="J466" s="42">
        <v>15.9</v>
      </c>
      <c r="K466" s="42">
        <v>1.6</v>
      </c>
      <c r="L466" s="42">
        <v>9.9</v>
      </c>
      <c r="M466" s="42">
        <v>8.6</v>
      </c>
      <c r="N466" s="42">
        <v>0.15</v>
      </c>
      <c r="O466" s="42">
        <v>1.95E11</v>
      </c>
      <c r="P466" s="42">
        <v>1.9E10</v>
      </c>
      <c r="Q466" s="42">
        <v>-34.7</v>
      </c>
      <c r="R466" s="42">
        <v>-30.1</v>
      </c>
      <c r="S466" s="42">
        <v>11.3</v>
      </c>
      <c r="T466" s="42">
        <v>58.0</v>
      </c>
      <c r="U466" s="42">
        <v>66.4</v>
      </c>
      <c r="V466" s="42">
        <v>-21.0</v>
      </c>
      <c r="W466" s="42">
        <v>12.9</v>
      </c>
    </row>
    <row r="467">
      <c r="A467" s="87">
        <v>466.0</v>
      </c>
      <c r="B467" s="85" t="s">
        <v>2066</v>
      </c>
      <c r="C467" s="85" t="s">
        <v>533</v>
      </c>
      <c r="D467" s="85" t="s">
        <v>2018</v>
      </c>
      <c r="E467" s="85" t="s">
        <v>1230</v>
      </c>
      <c r="F467" s="85" t="s">
        <v>1658</v>
      </c>
      <c r="G467" s="85" t="s">
        <v>1659</v>
      </c>
      <c r="H467" s="85" t="s">
        <v>2019</v>
      </c>
      <c r="I467" s="85" t="s">
        <v>1919</v>
      </c>
      <c r="J467" s="42">
        <v>-64.5</v>
      </c>
      <c r="K467" s="42">
        <v>-0.29</v>
      </c>
      <c r="L467" s="42">
        <v>0.0</v>
      </c>
      <c r="M467" s="42">
        <v>-1.1</v>
      </c>
      <c r="N467" s="42">
        <v>-1.4</v>
      </c>
      <c r="O467" s="42">
        <v>1.59E11</v>
      </c>
      <c r="P467" s="42">
        <v>2.2E10</v>
      </c>
      <c r="Q467" s="42">
        <v>-27.3</v>
      </c>
      <c r="R467" s="42">
        <v>-23.2</v>
      </c>
      <c r="S467" s="42">
        <v>-54.8</v>
      </c>
      <c r="T467" s="42">
        <v>-86.8</v>
      </c>
      <c r="U467" s="42">
        <v>-10.9</v>
      </c>
      <c r="V467" s="42">
        <v>-18.0</v>
      </c>
      <c r="W467" s="42">
        <v>-42.6</v>
      </c>
    </row>
    <row r="468">
      <c r="A468" s="87">
        <v>467.0</v>
      </c>
      <c r="B468" s="85" t="s">
        <v>2067</v>
      </c>
      <c r="C468" s="85" t="s">
        <v>534</v>
      </c>
      <c r="D468" s="85" t="s">
        <v>1966</v>
      </c>
      <c r="E468" s="85" t="s">
        <v>1252</v>
      </c>
      <c r="F468" s="85" t="s">
        <v>1252</v>
      </c>
      <c r="G468" s="85" t="s">
        <v>1469</v>
      </c>
      <c r="H468" s="85" t="s">
        <v>1967</v>
      </c>
      <c r="I468" s="85" t="s">
        <v>1316</v>
      </c>
      <c r="J468" s="42">
        <v>0.0</v>
      </c>
      <c r="K468" s="42">
        <v>0.15</v>
      </c>
      <c r="L468" s="42">
        <v>0.99</v>
      </c>
      <c r="M468" s="42">
        <v>0.82</v>
      </c>
      <c r="N468" s="42">
        <v>0.22</v>
      </c>
      <c r="O468" s="42">
        <v>1.2E10</v>
      </c>
      <c r="P468" s="42">
        <v>6.74E9</v>
      </c>
      <c r="Q468" s="42">
        <v>0.0</v>
      </c>
      <c r="R468" s="42">
        <v>0.0</v>
      </c>
      <c r="S468" s="42">
        <v>0.0</v>
      </c>
      <c r="T468" s="42">
        <v>0.0</v>
      </c>
      <c r="U468" s="42">
        <v>12.0</v>
      </c>
      <c r="V468" s="42">
        <v>0.0</v>
      </c>
      <c r="W468" s="42">
        <v>0.0</v>
      </c>
    </row>
    <row r="469">
      <c r="A469" s="87">
        <v>468.0</v>
      </c>
      <c r="B469" s="85" t="s">
        <v>2068</v>
      </c>
      <c r="C469" s="85" t="s">
        <v>535</v>
      </c>
      <c r="D469" s="85" t="s">
        <v>1234</v>
      </c>
      <c r="E469" s="85" t="s">
        <v>1235</v>
      </c>
      <c r="F469" s="85" t="s">
        <v>1235</v>
      </c>
      <c r="G469" s="85" t="s">
        <v>1236</v>
      </c>
      <c r="H469" s="85" t="s">
        <v>1237</v>
      </c>
      <c r="I469" s="85" t="s">
        <v>1475</v>
      </c>
      <c r="J469" s="42">
        <v>-36.9</v>
      </c>
      <c r="K469" s="42">
        <v>0.85</v>
      </c>
      <c r="L469" s="42">
        <v>-2.3</v>
      </c>
      <c r="M469" s="42">
        <v>-2.0</v>
      </c>
      <c r="N469" s="42">
        <v>0.17</v>
      </c>
      <c r="O469" s="42">
        <v>2.93E11</v>
      </c>
      <c r="P469" s="42">
        <v>2.11E9</v>
      </c>
      <c r="Q469" s="42">
        <v>-40.0</v>
      </c>
      <c r="R469" s="42">
        <v>-34.8</v>
      </c>
      <c r="S469" s="42">
        <v>-37.5</v>
      </c>
      <c r="T469" s="42">
        <v>-9.1</v>
      </c>
      <c r="U469" s="42">
        <v>-380.0</v>
      </c>
      <c r="V469" s="42">
        <v>-31.8</v>
      </c>
      <c r="W469" s="42">
        <v>-38.8</v>
      </c>
    </row>
    <row r="470">
      <c r="A470" s="87">
        <v>469.0</v>
      </c>
      <c r="B470" s="85" t="s">
        <v>2069</v>
      </c>
      <c r="C470" s="85" t="s">
        <v>536</v>
      </c>
      <c r="D470" s="85" t="s">
        <v>1672</v>
      </c>
      <c r="E470" s="85" t="s">
        <v>1214</v>
      </c>
      <c r="F470" s="85" t="s">
        <v>1326</v>
      </c>
      <c r="G470" s="85" t="s">
        <v>1673</v>
      </c>
      <c r="H470" s="85" t="s">
        <v>1674</v>
      </c>
      <c r="I470" s="85" t="s">
        <v>1394</v>
      </c>
      <c r="J470" s="42">
        <v>6.5</v>
      </c>
      <c r="K470" s="42">
        <v>0.43</v>
      </c>
      <c r="L470" s="42">
        <v>6.6</v>
      </c>
      <c r="M470" s="42">
        <v>5.7</v>
      </c>
      <c r="N470" s="42">
        <v>0.17</v>
      </c>
      <c r="O470" s="42">
        <v>1.3E12</v>
      </c>
      <c r="P470" s="42">
        <v>8.7E11</v>
      </c>
      <c r="Q470" s="42">
        <v>-4.3</v>
      </c>
      <c r="R470" s="42">
        <v>-4.3</v>
      </c>
      <c r="S470" s="42">
        <v>-6.7</v>
      </c>
      <c r="T470" s="42">
        <v>-22.6</v>
      </c>
      <c r="U470" s="42">
        <v>22.7</v>
      </c>
      <c r="V470" s="42">
        <v>-4.9</v>
      </c>
      <c r="W470" s="42">
        <v>-5.5</v>
      </c>
    </row>
    <row r="471">
      <c r="A471" s="87">
        <v>470.0</v>
      </c>
      <c r="B471" s="85" t="s">
        <v>2070</v>
      </c>
      <c r="C471" s="85" t="s">
        <v>537</v>
      </c>
      <c r="D471" s="85" t="s">
        <v>1672</v>
      </c>
      <c r="E471" s="85" t="s">
        <v>1214</v>
      </c>
      <c r="F471" s="85" t="s">
        <v>1326</v>
      </c>
      <c r="G471" s="85" t="s">
        <v>1673</v>
      </c>
      <c r="H471" s="85" t="s">
        <v>1674</v>
      </c>
      <c r="I471" s="85" t="s">
        <v>1333</v>
      </c>
      <c r="J471" s="42">
        <v>18.0</v>
      </c>
      <c r="K471" s="42">
        <v>0.23</v>
      </c>
      <c r="L471" s="42">
        <v>1.3</v>
      </c>
      <c r="M471" s="42">
        <v>0.95</v>
      </c>
      <c r="N471" s="42">
        <v>0.36</v>
      </c>
      <c r="O471" s="42">
        <v>3.34E11</v>
      </c>
      <c r="P471" s="42">
        <v>6.8E11</v>
      </c>
      <c r="Q471" s="42">
        <v>-15.2</v>
      </c>
      <c r="R471" s="42">
        <v>-12.5</v>
      </c>
      <c r="S471" s="42">
        <v>-21.8</v>
      </c>
      <c r="T471" s="42">
        <v>-6.7</v>
      </c>
      <c r="U471" s="42">
        <v>2.7</v>
      </c>
      <c r="V471" s="42">
        <v>-7.3</v>
      </c>
      <c r="W471" s="42">
        <v>-17.2</v>
      </c>
    </row>
    <row r="472">
      <c r="A472" s="87">
        <v>471.0</v>
      </c>
      <c r="B472" s="85" t="s">
        <v>2071</v>
      </c>
      <c r="C472" s="85" t="s">
        <v>538</v>
      </c>
      <c r="D472" s="85" t="s">
        <v>1745</v>
      </c>
      <c r="E472" s="85" t="s">
        <v>1230</v>
      </c>
      <c r="F472" s="85" t="s">
        <v>1464</v>
      </c>
      <c r="G472" s="85" t="s">
        <v>1746</v>
      </c>
      <c r="H472" s="85" t="s">
        <v>1747</v>
      </c>
      <c r="I472" s="85" t="s">
        <v>1676</v>
      </c>
      <c r="J472" s="42">
        <v>61.7</v>
      </c>
      <c r="K472" s="42">
        <v>0.33</v>
      </c>
      <c r="L472" s="42">
        <v>0.54</v>
      </c>
      <c r="M472" s="42">
        <v>0.14</v>
      </c>
      <c r="N472" s="42">
        <v>3.0</v>
      </c>
      <c r="O472" s="42">
        <v>1.57E11</v>
      </c>
      <c r="P472" s="42">
        <v>1.9E8</v>
      </c>
      <c r="Q472" s="42">
        <v>-48.2</v>
      </c>
      <c r="R472" s="42">
        <v>-40.6</v>
      </c>
      <c r="S472" s="42">
        <v>-73.9</v>
      </c>
      <c r="T472" s="42">
        <v>-5.0</v>
      </c>
      <c r="U472" s="42">
        <v>1370.0</v>
      </c>
      <c r="V472" s="42">
        <v>-35.2</v>
      </c>
      <c r="W472" s="42">
        <v>-70.3</v>
      </c>
    </row>
    <row r="473">
      <c r="A473" s="87">
        <v>472.0</v>
      </c>
      <c r="B473" s="85" t="s">
        <v>2072</v>
      </c>
      <c r="C473" s="85" t="s">
        <v>539</v>
      </c>
      <c r="D473" s="85" t="s">
        <v>2004</v>
      </c>
      <c r="E473" s="85" t="s">
        <v>1252</v>
      </c>
      <c r="F473" s="85" t="s">
        <v>1252</v>
      </c>
      <c r="G473" s="85" t="s">
        <v>1469</v>
      </c>
      <c r="H473" s="85" t="s">
        <v>2005</v>
      </c>
      <c r="I473" s="85" t="s">
        <v>1316</v>
      </c>
      <c r="J473" s="42">
        <v>0.0</v>
      </c>
      <c r="K473" s="42">
        <v>3.2</v>
      </c>
      <c r="L473" s="42">
        <v>-25.2</v>
      </c>
      <c r="M473" s="42">
        <v>-3.4</v>
      </c>
      <c r="N473" s="42">
        <v>6.5</v>
      </c>
      <c r="O473" s="42">
        <v>4.34E11</v>
      </c>
      <c r="P473" s="42">
        <v>3.8E8</v>
      </c>
      <c r="Q473" s="42">
        <v>0.0</v>
      </c>
      <c r="R473" s="42">
        <v>0.0</v>
      </c>
      <c r="S473" s="42">
        <v>0.0</v>
      </c>
      <c r="T473" s="42">
        <v>0.0</v>
      </c>
      <c r="U473" s="42">
        <v>-8950.0</v>
      </c>
      <c r="V473" s="42">
        <v>0.0</v>
      </c>
      <c r="W473" s="42">
        <v>0.0</v>
      </c>
    </row>
    <row r="474">
      <c r="A474" s="87">
        <v>473.0</v>
      </c>
      <c r="B474" s="85" t="s">
        <v>2073</v>
      </c>
      <c r="C474" s="85" t="s">
        <v>540</v>
      </c>
      <c r="D474" s="85" t="s">
        <v>1304</v>
      </c>
      <c r="E474" s="85" t="s">
        <v>1252</v>
      </c>
      <c r="F474" s="85" t="s">
        <v>1252</v>
      </c>
      <c r="G474" s="85" t="s">
        <v>1305</v>
      </c>
      <c r="H474" s="85" t="s">
        <v>1305</v>
      </c>
      <c r="I474" s="85" t="s">
        <v>1255</v>
      </c>
      <c r="J474" s="42">
        <v>24.6</v>
      </c>
      <c r="K474" s="42">
        <v>0.91</v>
      </c>
      <c r="L474" s="42">
        <v>3.7</v>
      </c>
      <c r="M474" s="42">
        <v>2.5</v>
      </c>
      <c r="N474" s="42">
        <v>0.49</v>
      </c>
      <c r="O474" s="42">
        <v>7.26E11</v>
      </c>
      <c r="P474" s="42">
        <v>4.8E11</v>
      </c>
      <c r="Q474" s="42">
        <v>-3.6</v>
      </c>
      <c r="R474" s="42">
        <v>0.939</v>
      </c>
      <c r="S474" s="42">
        <v>-6.1</v>
      </c>
      <c r="T474" s="42">
        <v>-2.7</v>
      </c>
      <c r="U474" s="42">
        <v>6.2</v>
      </c>
      <c r="V474" s="42">
        <v>-4.0</v>
      </c>
      <c r="W474" s="42">
        <v>-6.5</v>
      </c>
    </row>
    <row r="475">
      <c r="A475" s="87">
        <v>474.0</v>
      </c>
      <c r="B475" s="85" t="s">
        <v>2074</v>
      </c>
      <c r="C475" s="85" t="s">
        <v>541</v>
      </c>
      <c r="D475" s="85" t="s">
        <v>1285</v>
      </c>
      <c r="E475" s="85" t="s">
        <v>1201</v>
      </c>
      <c r="F475" s="85" t="s">
        <v>1286</v>
      </c>
      <c r="G475" s="85" t="s">
        <v>1287</v>
      </c>
      <c r="H475" s="85" t="s">
        <v>1288</v>
      </c>
      <c r="I475" s="85" t="s">
        <v>1381</v>
      </c>
      <c r="J475" s="42">
        <v>420.0</v>
      </c>
      <c r="K475" s="42">
        <v>15.5</v>
      </c>
      <c r="L475" s="42">
        <v>3.7</v>
      </c>
      <c r="M475" s="42">
        <v>3.1</v>
      </c>
      <c r="N475" s="42">
        <v>0.19</v>
      </c>
      <c r="O475" s="42">
        <v>1.1E12</v>
      </c>
      <c r="P475" s="42">
        <v>9.29E9</v>
      </c>
      <c r="Q475" s="42">
        <v>-23.0</v>
      </c>
      <c r="R475" s="42">
        <v>-25.0</v>
      </c>
      <c r="S475" s="42">
        <v>71.7</v>
      </c>
      <c r="T475" s="42">
        <v>480.0</v>
      </c>
      <c r="U475" s="42">
        <v>27.6</v>
      </c>
      <c r="V475" s="42">
        <v>-10.4</v>
      </c>
      <c r="W475" s="42">
        <v>-10.9</v>
      </c>
    </row>
    <row r="476">
      <c r="A476" s="87">
        <v>475.0</v>
      </c>
      <c r="B476" s="85" t="s">
        <v>2075</v>
      </c>
      <c r="C476" s="85" t="s">
        <v>542</v>
      </c>
      <c r="D476" s="85" t="s">
        <v>1387</v>
      </c>
      <c r="E476" s="85" t="s">
        <v>1230</v>
      </c>
      <c r="F476" s="85" t="s">
        <v>1388</v>
      </c>
      <c r="G476" s="85" t="s">
        <v>1389</v>
      </c>
      <c r="H476" s="85" t="s">
        <v>1389</v>
      </c>
      <c r="I476" s="85" t="s">
        <v>1661</v>
      </c>
      <c r="J476" s="42">
        <v>25.1</v>
      </c>
      <c r="K476" s="42">
        <v>0.91</v>
      </c>
      <c r="L476" s="42">
        <v>3.6</v>
      </c>
      <c r="M476" s="42">
        <v>2.0</v>
      </c>
      <c r="N476" s="42">
        <v>0.77</v>
      </c>
      <c r="O476" s="42">
        <v>3.1E12</v>
      </c>
      <c r="P476" s="42">
        <v>1.52E11</v>
      </c>
      <c r="Q476" s="42">
        <v>-19.6</v>
      </c>
      <c r="R476" s="42">
        <v>-15.9</v>
      </c>
      <c r="S476" s="42">
        <v>-31.8</v>
      </c>
      <c r="T476" s="42">
        <v>-11.4</v>
      </c>
      <c r="U476" s="42">
        <v>82.1</v>
      </c>
      <c r="V476" s="42">
        <v>-14.5</v>
      </c>
      <c r="W476" s="42">
        <v>-27.8</v>
      </c>
    </row>
    <row r="477">
      <c r="A477" s="87">
        <v>476.0</v>
      </c>
      <c r="B477" s="85" t="s">
        <v>2076</v>
      </c>
      <c r="C477" s="85" t="s">
        <v>543</v>
      </c>
      <c r="D477" s="85" t="s">
        <v>1646</v>
      </c>
      <c r="E477" s="85" t="s">
        <v>1194</v>
      </c>
      <c r="F477" s="85" t="s">
        <v>1195</v>
      </c>
      <c r="G477" s="85" t="s">
        <v>1283</v>
      </c>
      <c r="H477" s="85" t="s">
        <v>1647</v>
      </c>
      <c r="I477" s="85" t="s">
        <v>1243</v>
      </c>
      <c r="J477" s="42">
        <v>18.8</v>
      </c>
      <c r="K477" s="42">
        <v>3.8</v>
      </c>
      <c r="L477" s="42">
        <v>20.0</v>
      </c>
      <c r="M477" s="42">
        <v>13.5</v>
      </c>
      <c r="N477" s="42">
        <v>0.48</v>
      </c>
      <c r="O477" s="42">
        <v>3.4E12</v>
      </c>
      <c r="P477" s="42">
        <v>4.76E11</v>
      </c>
      <c r="Q477" s="42">
        <v>4.5</v>
      </c>
      <c r="R477" s="42">
        <v>8.4</v>
      </c>
      <c r="S477" s="42">
        <v>-14.1</v>
      </c>
      <c r="T477" s="42">
        <v>-0.855</v>
      </c>
      <c r="U477" s="42">
        <v>37.8</v>
      </c>
      <c r="V477" s="42">
        <v>-7.2</v>
      </c>
      <c r="W477" s="42">
        <v>-12.1</v>
      </c>
    </row>
    <row r="478">
      <c r="A478" s="87">
        <v>477.0</v>
      </c>
      <c r="B478" s="85" t="s">
        <v>2077</v>
      </c>
      <c r="C478" s="85" t="s">
        <v>544</v>
      </c>
      <c r="D478" s="85" t="s">
        <v>2078</v>
      </c>
      <c r="E478" s="85" t="s">
        <v>1201</v>
      </c>
      <c r="F478" s="85" t="s">
        <v>1666</v>
      </c>
      <c r="G478" s="85" t="s">
        <v>1666</v>
      </c>
      <c r="H478" s="85" t="s">
        <v>2079</v>
      </c>
      <c r="I478" s="85" t="s">
        <v>1458</v>
      </c>
      <c r="J478" s="42">
        <v>-9.1</v>
      </c>
      <c r="K478" s="42">
        <v>0.5</v>
      </c>
      <c r="L478" s="42">
        <v>-5.5</v>
      </c>
      <c r="M478" s="42">
        <v>-2.8</v>
      </c>
      <c r="N478" s="42">
        <v>0.93</v>
      </c>
      <c r="O478" s="42">
        <v>5.5E10</v>
      </c>
      <c r="P478" s="42">
        <v>2.1E10</v>
      </c>
      <c r="Q478" s="42">
        <v>-22.3</v>
      </c>
      <c r="R478" s="42">
        <v>-3.6</v>
      </c>
      <c r="S478" s="42">
        <v>-34.4</v>
      </c>
      <c r="T478" s="42">
        <v>45.5</v>
      </c>
      <c r="U478" s="42">
        <v>-28.7</v>
      </c>
      <c r="V478" s="42">
        <v>-20.8</v>
      </c>
      <c r="W478" s="42">
        <v>-19.6</v>
      </c>
    </row>
    <row r="479">
      <c r="A479" s="87">
        <v>478.0</v>
      </c>
      <c r="B479" s="85" t="s">
        <v>2080</v>
      </c>
      <c r="C479" s="85" t="s">
        <v>545</v>
      </c>
      <c r="D479" s="85" t="s">
        <v>1234</v>
      </c>
      <c r="E479" s="85" t="s">
        <v>1235</v>
      </c>
      <c r="F479" s="85" t="s">
        <v>1235</v>
      </c>
      <c r="G479" s="85" t="s">
        <v>1236</v>
      </c>
      <c r="H479" s="85" t="s">
        <v>1237</v>
      </c>
      <c r="I479" s="85" t="s">
        <v>2081</v>
      </c>
      <c r="J479" s="42">
        <v>5.9</v>
      </c>
      <c r="K479" s="42">
        <v>0.31</v>
      </c>
      <c r="L479" s="42">
        <v>5.3</v>
      </c>
      <c r="M479" s="42">
        <v>2.9</v>
      </c>
      <c r="N479" s="42">
        <v>0.85</v>
      </c>
      <c r="O479" s="42">
        <v>2.6E12</v>
      </c>
      <c r="P479" s="42">
        <v>1.2E12</v>
      </c>
      <c r="Q479" s="42">
        <v>-36.6</v>
      </c>
      <c r="R479" s="42">
        <v>-34.7</v>
      </c>
      <c r="S479" s="42">
        <v>-35.1</v>
      </c>
      <c r="T479" s="42">
        <v>-38.3</v>
      </c>
      <c r="U479" s="42">
        <v>36.7</v>
      </c>
      <c r="V479" s="42">
        <v>-9.0</v>
      </c>
      <c r="W479" s="42">
        <v>-46.6</v>
      </c>
    </row>
    <row r="480">
      <c r="A480" s="87">
        <v>479.0</v>
      </c>
      <c r="B480" s="85" t="s">
        <v>2082</v>
      </c>
      <c r="C480" s="85" t="s">
        <v>546</v>
      </c>
      <c r="D480" s="85" t="s">
        <v>2083</v>
      </c>
      <c r="E480" s="85" t="s">
        <v>1214</v>
      </c>
      <c r="F480" s="85" t="s">
        <v>1406</v>
      </c>
      <c r="G480" s="85" t="s">
        <v>1728</v>
      </c>
      <c r="H480" s="85" t="s">
        <v>2084</v>
      </c>
      <c r="I480" s="85" t="s">
        <v>1265</v>
      </c>
      <c r="J480" s="42">
        <v>260.0</v>
      </c>
      <c r="K480" s="42">
        <v>21.4</v>
      </c>
      <c r="L480" s="42">
        <v>8.2</v>
      </c>
      <c r="M480" s="42">
        <v>4.0</v>
      </c>
      <c r="N480" s="42">
        <v>1.0</v>
      </c>
      <c r="O480" s="42">
        <v>1.5E12</v>
      </c>
      <c r="P480" s="42">
        <v>1.22E11</v>
      </c>
      <c r="Q480" s="42">
        <v>26.1</v>
      </c>
      <c r="R480" s="42">
        <v>130.0</v>
      </c>
      <c r="S480" s="42">
        <v>180.0</v>
      </c>
      <c r="T480" s="42">
        <v>170.0</v>
      </c>
      <c r="U480" s="42">
        <v>4.6</v>
      </c>
      <c r="V480" s="42">
        <v>0.0</v>
      </c>
      <c r="W480" s="42">
        <v>150.0</v>
      </c>
    </row>
    <row r="481">
      <c r="A481" s="87">
        <v>480.0</v>
      </c>
      <c r="B481" s="85" t="s">
        <v>2085</v>
      </c>
      <c r="C481" s="85" t="s">
        <v>547</v>
      </c>
      <c r="D481" s="85" t="s">
        <v>1846</v>
      </c>
      <c r="E481" s="85" t="s">
        <v>1194</v>
      </c>
      <c r="F481" s="85" t="s">
        <v>1847</v>
      </c>
      <c r="G481" s="85" t="s">
        <v>1848</v>
      </c>
      <c r="H481" s="85" t="s">
        <v>1848</v>
      </c>
      <c r="I481" s="85" t="s">
        <v>1352</v>
      </c>
      <c r="J481" s="42">
        <v>11.1</v>
      </c>
      <c r="K481" s="42">
        <v>0.91</v>
      </c>
      <c r="L481" s="42">
        <v>8.2</v>
      </c>
      <c r="M481" s="42">
        <v>3.2</v>
      </c>
      <c r="N481" s="42">
        <v>1.6</v>
      </c>
      <c r="O481" s="42">
        <v>1.6E12</v>
      </c>
      <c r="P481" s="42">
        <v>1.3E12</v>
      </c>
      <c r="Q481" s="42">
        <v>-4.1</v>
      </c>
      <c r="R481" s="42">
        <v>-0.93</v>
      </c>
      <c r="S481" s="42">
        <v>-18.1</v>
      </c>
      <c r="T481" s="42">
        <v>-8.6</v>
      </c>
      <c r="U481" s="42">
        <v>11.8</v>
      </c>
      <c r="V481" s="42">
        <v>-6.2</v>
      </c>
      <c r="W481" s="42">
        <v>-23.1</v>
      </c>
    </row>
    <row r="482">
      <c r="A482" s="87">
        <v>481.0</v>
      </c>
      <c r="B482" s="85" t="s">
        <v>2086</v>
      </c>
      <c r="C482" s="85" t="s">
        <v>548</v>
      </c>
      <c r="D482" s="85" t="s">
        <v>1439</v>
      </c>
      <c r="E482" s="85" t="s">
        <v>1376</v>
      </c>
      <c r="F482" s="85" t="s">
        <v>1377</v>
      </c>
      <c r="G482" s="85" t="s">
        <v>1440</v>
      </c>
      <c r="H482" s="85" t="s">
        <v>1440</v>
      </c>
      <c r="I482" s="85" t="s">
        <v>1441</v>
      </c>
      <c r="J482" s="42">
        <v>74.3</v>
      </c>
      <c r="K482" s="42">
        <v>0.66</v>
      </c>
      <c r="L482" s="42">
        <v>0.89</v>
      </c>
      <c r="M482" s="42">
        <v>0.82</v>
      </c>
      <c r="N482" s="42">
        <v>0.08</v>
      </c>
      <c r="O482" s="42">
        <v>9.1E10</v>
      </c>
      <c r="P482" s="42">
        <v>1.86E9</v>
      </c>
      <c r="Q482" s="42">
        <v>-43.0</v>
      </c>
      <c r="R482" s="42">
        <v>-46.2</v>
      </c>
      <c r="S482" s="42">
        <v>-56.8</v>
      </c>
      <c r="T482" s="42">
        <v>14.0</v>
      </c>
      <c r="U482" s="42">
        <v>66.1</v>
      </c>
      <c r="V482" s="42">
        <v>-32.9</v>
      </c>
      <c r="W482" s="42">
        <v>-78.6</v>
      </c>
    </row>
    <row r="483">
      <c r="A483" s="87">
        <v>482.0</v>
      </c>
      <c r="B483" s="85" t="s">
        <v>2087</v>
      </c>
      <c r="C483" s="85" t="s">
        <v>549</v>
      </c>
      <c r="D483" s="85" t="s">
        <v>1299</v>
      </c>
      <c r="E483" s="85" t="s">
        <v>1300</v>
      </c>
      <c r="F483" s="85" t="s">
        <v>1301</v>
      </c>
      <c r="G483" s="85" t="s">
        <v>1301</v>
      </c>
      <c r="H483" s="85" t="s">
        <v>1301</v>
      </c>
      <c r="I483" s="85" t="s">
        <v>1302</v>
      </c>
      <c r="J483" s="42">
        <v>5920.0</v>
      </c>
      <c r="K483" s="42">
        <v>1.7</v>
      </c>
      <c r="L483" s="42">
        <v>0.03</v>
      </c>
      <c r="M483" s="42">
        <v>0.03</v>
      </c>
      <c r="N483" s="42">
        <v>0.07</v>
      </c>
      <c r="O483" s="42">
        <v>1.06E11</v>
      </c>
      <c r="P483" s="42">
        <v>9.8E8</v>
      </c>
      <c r="Q483" s="42">
        <v>-22.4</v>
      </c>
      <c r="R483" s="42">
        <v>-21.1</v>
      </c>
      <c r="S483" s="42">
        <v>-59.6</v>
      </c>
      <c r="T483" s="42">
        <v>-4.9</v>
      </c>
      <c r="U483" s="42">
        <v>1.8</v>
      </c>
      <c r="V483" s="42">
        <v>-46.4</v>
      </c>
      <c r="W483" s="42">
        <v>-53.4</v>
      </c>
    </row>
    <row r="484">
      <c r="A484" s="87">
        <v>483.0</v>
      </c>
      <c r="B484" s="85" t="s">
        <v>2088</v>
      </c>
      <c r="C484" s="85" t="s">
        <v>550</v>
      </c>
      <c r="D484" s="85" t="s">
        <v>1251</v>
      </c>
      <c r="E484" s="85" t="s">
        <v>1252</v>
      </c>
      <c r="F484" s="85" t="s">
        <v>1252</v>
      </c>
      <c r="G484" s="85" t="s">
        <v>1253</v>
      </c>
      <c r="H484" s="85" t="s">
        <v>1254</v>
      </c>
      <c r="I484" s="85" t="s">
        <v>2089</v>
      </c>
      <c r="J484" s="42">
        <v>-42.5</v>
      </c>
      <c r="K484" s="42">
        <v>1.1</v>
      </c>
      <c r="L484" s="42">
        <v>-2.6</v>
      </c>
      <c r="M484" s="42">
        <v>-1.2</v>
      </c>
      <c r="N484" s="42">
        <v>1.2</v>
      </c>
      <c r="O484" s="42">
        <v>6.9E10</v>
      </c>
      <c r="P484" s="42">
        <v>5.2E10</v>
      </c>
      <c r="Q484" s="42">
        <v>-29.2</v>
      </c>
      <c r="R484" s="42">
        <v>3.0</v>
      </c>
      <c r="S484" s="42">
        <v>9.7</v>
      </c>
      <c r="T484" s="42">
        <v>41.7</v>
      </c>
      <c r="U484" s="42">
        <v>-3.1</v>
      </c>
      <c r="V484" s="42">
        <v>-32.0</v>
      </c>
      <c r="W484" s="42">
        <v>13.3</v>
      </c>
    </row>
    <row r="485">
      <c r="A485" s="87">
        <v>484.0</v>
      </c>
      <c r="B485" s="85" t="s">
        <v>2090</v>
      </c>
      <c r="C485" s="85" t="s">
        <v>551</v>
      </c>
      <c r="D485" s="85" t="s">
        <v>1186</v>
      </c>
      <c r="E485" s="85" t="s">
        <v>1187</v>
      </c>
      <c r="F485" s="85" t="s">
        <v>1188</v>
      </c>
      <c r="G485" s="85" t="s">
        <v>1189</v>
      </c>
      <c r="H485" s="85" t="s">
        <v>1190</v>
      </c>
      <c r="I485" s="85" t="s">
        <v>1216</v>
      </c>
      <c r="J485" s="42">
        <v>31.1</v>
      </c>
      <c r="K485" s="42">
        <v>0.56</v>
      </c>
      <c r="L485" s="42">
        <v>1.8</v>
      </c>
      <c r="M485" s="42">
        <v>1.5</v>
      </c>
      <c r="N485" s="42">
        <v>0.17</v>
      </c>
      <c r="O485" s="42">
        <v>1.4E12</v>
      </c>
      <c r="P485" s="42">
        <v>5.36E11</v>
      </c>
      <c r="Q485" s="42">
        <v>-29.9</v>
      </c>
      <c r="R485" s="42">
        <v>-42.7</v>
      </c>
      <c r="S485" s="42">
        <v>-32.9</v>
      </c>
      <c r="T485" s="42">
        <v>-44.2</v>
      </c>
      <c r="U485" s="42">
        <v>8.6</v>
      </c>
      <c r="V485" s="42">
        <v>-23.6</v>
      </c>
      <c r="W485" s="42">
        <v>-34.5</v>
      </c>
    </row>
    <row r="486">
      <c r="A486" s="87">
        <v>485.0</v>
      </c>
      <c r="B486" s="85" t="s">
        <v>2091</v>
      </c>
      <c r="C486" s="85" t="s">
        <v>552</v>
      </c>
      <c r="D486" s="85" t="s">
        <v>1299</v>
      </c>
      <c r="E486" s="85" t="s">
        <v>1300</v>
      </c>
      <c r="F486" s="85" t="s">
        <v>1301</v>
      </c>
      <c r="G486" s="85" t="s">
        <v>1301</v>
      </c>
      <c r="H486" s="85" t="s">
        <v>1301</v>
      </c>
      <c r="I486" s="85" t="s">
        <v>1302</v>
      </c>
      <c r="J486" s="42">
        <v>12.4</v>
      </c>
      <c r="K486" s="42">
        <v>0.96</v>
      </c>
      <c r="L486" s="42">
        <v>7.7</v>
      </c>
      <c r="M486" s="42">
        <v>4.6</v>
      </c>
      <c r="N486" s="42">
        <v>0.7</v>
      </c>
      <c r="O486" s="42">
        <v>2.59E11</v>
      </c>
      <c r="P486" s="42">
        <v>4.5E10</v>
      </c>
      <c r="Q486" s="42">
        <v>-39.5</v>
      </c>
      <c r="R486" s="42">
        <v>-30.7</v>
      </c>
      <c r="S486" s="42">
        <v>-62.9</v>
      </c>
      <c r="T486" s="42">
        <v>-61.8</v>
      </c>
      <c r="U486" s="42">
        <v>46.7</v>
      </c>
      <c r="V486" s="42">
        <v>-26.8</v>
      </c>
      <c r="W486" s="42">
        <v>-62.9</v>
      </c>
    </row>
    <row r="487">
      <c r="A487" s="87">
        <v>486.0</v>
      </c>
      <c r="B487" s="85" t="s">
        <v>2092</v>
      </c>
      <c r="C487" s="85" t="s">
        <v>553</v>
      </c>
      <c r="D487" s="85" t="s">
        <v>1799</v>
      </c>
      <c r="E487" s="85" t="s">
        <v>1570</v>
      </c>
      <c r="F487" s="85" t="s">
        <v>1800</v>
      </c>
      <c r="G487" s="85" t="s">
        <v>1801</v>
      </c>
      <c r="H487" s="85" t="s">
        <v>1801</v>
      </c>
      <c r="I487" s="85" t="s">
        <v>2093</v>
      </c>
      <c r="J487" s="42">
        <v>10.0</v>
      </c>
      <c r="K487" s="42">
        <v>1.4</v>
      </c>
      <c r="L487" s="42">
        <v>14.1</v>
      </c>
      <c r="M487" s="42">
        <v>11.3</v>
      </c>
      <c r="N487" s="42">
        <v>0.24</v>
      </c>
      <c r="O487" s="42">
        <v>3.6E13</v>
      </c>
      <c r="P487" s="42">
        <v>9.7E12</v>
      </c>
      <c r="Q487" s="42">
        <v>-25.3</v>
      </c>
      <c r="R487" s="42">
        <v>-33.2</v>
      </c>
      <c r="S487" s="42">
        <v>-44.1</v>
      </c>
      <c r="T487" s="42">
        <v>-58.4</v>
      </c>
      <c r="U487" s="42">
        <v>37.4</v>
      </c>
      <c r="V487" s="42">
        <v>-10.7</v>
      </c>
      <c r="W487" s="42">
        <v>-44.8</v>
      </c>
    </row>
    <row r="488">
      <c r="A488" s="87">
        <v>487.0</v>
      </c>
      <c r="B488" s="85" t="s">
        <v>2094</v>
      </c>
      <c r="C488" s="85" t="s">
        <v>554</v>
      </c>
      <c r="D488" s="85" t="s">
        <v>1218</v>
      </c>
      <c r="E488" s="85" t="s">
        <v>1201</v>
      </c>
      <c r="F488" s="85" t="s">
        <v>1219</v>
      </c>
      <c r="G488" s="85" t="s">
        <v>1220</v>
      </c>
      <c r="H488" s="85" t="s">
        <v>1221</v>
      </c>
      <c r="I488" s="85" t="s">
        <v>1265</v>
      </c>
      <c r="J488" s="42">
        <v>-35.0</v>
      </c>
      <c r="K488" s="42">
        <v>5.2</v>
      </c>
      <c r="L488" s="42">
        <v>-15.0</v>
      </c>
      <c r="M488" s="42">
        <v>-14.2</v>
      </c>
      <c r="N488" s="42">
        <v>0.05</v>
      </c>
      <c r="O488" s="42">
        <v>1.52E11</v>
      </c>
      <c r="P488" s="42">
        <v>7.92E9</v>
      </c>
      <c r="Q488" s="42">
        <v>-29.9</v>
      </c>
      <c r="R488" s="42">
        <v>-39.9</v>
      </c>
      <c r="S488" s="42">
        <v>-44.5</v>
      </c>
      <c r="T488" s="42">
        <v>-29.9</v>
      </c>
      <c r="U488" s="42">
        <v>-54.8</v>
      </c>
      <c r="V488" s="42">
        <v>-20.5</v>
      </c>
      <c r="W488" s="42">
        <v>-45.4</v>
      </c>
    </row>
    <row r="489">
      <c r="A489" s="87">
        <v>488.0</v>
      </c>
      <c r="B489" s="85" t="s">
        <v>2095</v>
      </c>
      <c r="C489" s="85" t="s">
        <v>555</v>
      </c>
      <c r="D489" s="85" t="s">
        <v>1626</v>
      </c>
      <c r="E489" s="85" t="s">
        <v>1194</v>
      </c>
      <c r="F489" s="85" t="s">
        <v>1346</v>
      </c>
      <c r="G489" s="85" t="s">
        <v>1346</v>
      </c>
      <c r="H489" s="85" t="s">
        <v>1627</v>
      </c>
      <c r="I489" s="85" t="s">
        <v>1269</v>
      </c>
      <c r="J489" s="42">
        <v>8.2</v>
      </c>
      <c r="K489" s="42">
        <v>1.7</v>
      </c>
      <c r="L489" s="42">
        <v>20.3</v>
      </c>
      <c r="M489" s="42">
        <v>16.6</v>
      </c>
      <c r="N489" s="42">
        <v>0.22</v>
      </c>
      <c r="O489" s="42">
        <v>4.48E11</v>
      </c>
      <c r="P489" s="42">
        <v>1.1E11</v>
      </c>
      <c r="Q489" s="42">
        <v>-10.5</v>
      </c>
      <c r="R489" s="42">
        <v>-15.7</v>
      </c>
      <c r="S489" s="42">
        <v>-27.7</v>
      </c>
      <c r="T489" s="42">
        <v>-16.4</v>
      </c>
      <c r="U489" s="42">
        <v>50.0</v>
      </c>
      <c r="V489" s="42">
        <v>-8.9</v>
      </c>
      <c r="W489" s="42">
        <v>-25.0</v>
      </c>
    </row>
    <row r="490">
      <c r="A490" s="87">
        <v>489.0</v>
      </c>
      <c r="B490" s="85" t="s">
        <v>2096</v>
      </c>
      <c r="C490" s="85" t="s">
        <v>556</v>
      </c>
      <c r="D490" s="85" t="s">
        <v>1468</v>
      </c>
      <c r="E490" s="85" t="s">
        <v>1252</v>
      </c>
      <c r="F490" s="85" t="s">
        <v>1252</v>
      </c>
      <c r="G490" s="85" t="s">
        <v>1469</v>
      </c>
      <c r="H490" s="85" t="s">
        <v>1470</v>
      </c>
      <c r="I490" s="85" t="s">
        <v>1702</v>
      </c>
      <c r="J490" s="42">
        <v>30.8</v>
      </c>
      <c r="K490" s="42">
        <v>0.83</v>
      </c>
      <c r="L490" s="42">
        <v>2.7</v>
      </c>
      <c r="M490" s="42">
        <v>1.1</v>
      </c>
      <c r="N490" s="42">
        <v>1.4</v>
      </c>
      <c r="O490" s="42">
        <v>1.8E12</v>
      </c>
      <c r="P490" s="42">
        <v>2.8E12</v>
      </c>
      <c r="Q490" s="42">
        <v>-13.4</v>
      </c>
      <c r="R490" s="42">
        <v>-17.9</v>
      </c>
      <c r="S490" s="42">
        <v>-19.7</v>
      </c>
      <c r="T490" s="42">
        <v>-26.2</v>
      </c>
      <c r="U490" s="42">
        <v>2.1</v>
      </c>
      <c r="V490" s="42">
        <v>-11.3</v>
      </c>
      <c r="W490" s="42">
        <v>-20.9</v>
      </c>
    </row>
    <row r="491">
      <c r="A491" s="87">
        <v>490.0</v>
      </c>
      <c r="B491" s="85" t="s">
        <v>2097</v>
      </c>
      <c r="C491" s="85" t="s">
        <v>557</v>
      </c>
      <c r="D491" s="85" t="s">
        <v>1932</v>
      </c>
      <c r="E491" s="85" t="s">
        <v>1214</v>
      </c>
      <c r="F491" s="85" t="s">
        <v>1326</v>
      </c>
      <c r="G491" s="85" t="s">
        <v>1331</v>
      </c>
      <c r="H491" s="85" t="s">
        <v>1933</v>
      </c>
      <c r="I491" s="85" t="s">
        <v>1333</v>
      </c>
      <c r="J491" s="42">
        <v>-2.8</v>
      </c>
      <c r="K491" s="42">
        <v>0.67</v>
      </c>
      <c r="L491" s="42">
        <v>-23.9</v>
      </c>
      <c r="M491" s="42">
        <v>-3.8</v>
      </c>
      <c r="N491" s="42">
        <v>5.3</v>
      </c>
      <c r="O491" s="42">
        <v>3.64E11</v>
      </c>
      <c r="P491" s="42">
        <v>4.59E11</v>
      </c>
      <c r="Q491" s="42">
        <v>-18.9</v>
      </c>
      <c r="R491" s="42">
        <v>-3.3</v>
      </c>
      <c r="S491" s="42">
        <v>-20.2</v>
      </c>
      <c r="T491" s="42">
        <v>-3.3</v>
      </c>
      <c r="U491" s="42">
        <v>-28.3</v>
      </c>
      <c r="V491" s="42">
        <v>-8.2</v>
      </c>
      <c r="W491" s="42">
        <v>-28.4</v>
      </c>
    </row>
    <row r="492">
      <c r="A492" s="87">
        <v>491.0</v>
      </c>
      <c r="B492" s="85" t="s">
        <v>2098</v>
      </c>
      <c r="C492" s="85" t="s">
        <v>558</v>
      </c>
      <c r="D492" s="85" t="s">
        <v>1234</v>
      </c>
      <c r="E492" s="85" t="s">
        <v>1235</v>
      </c>
      <c r="F492" s="85" t="s">
        <v>1235</v>
      </c>
      <c r="G492" s="85" t="s">
        <v>1236</v>
      </c>
      <c r="H492" s="85" t="s">
        <v>1237</v>
      </c>
      <c r="I492" s="85" t="s">
        <v>1322</v>
      </c>
      <c r="J492" s="42">
        <v>30.6</v>
      </c>
      <c r="K492" s="42">
        <v>3.1</v>
      </c>
      <c r="L492" s="42">
        <v>10.0</v>
      </c>
      <c r="M492" s="42">
        <v>9.3</v>
      </c>
      <c r="N492" s="42">
        <v>0.07</v>
      </c>
      <c r="O492" s="42">
        <v>4.38E11</v>
      </c>
      <c r="P492" s="42">
        <v>9.66E9</v>
      </c>
      <c r="Q492" s="42">
        <v>-36.1</v>
      </c>
      <c r="R492" s="42">
        <v>-36.1</v>
      </c>
      <c r="S492" s="42">
        <v>-17.4</v>
      </c>
      <c r="T492" s="42">
        <v>46.2</v>
      </c>
      <c r="U492" s="42">
        <v>150.0</v>
      </c>
      <c r="V492" s="42">
        <v>-24.0</v>
      </c>
      <c r="W492" s="42">
        <v>-11.6</v>
      </c>
    </row>
    <row r="493">
      <c r="A493" s="87">
        <v>492.0</v>
      </c>
      <c r="B493" s="85" t="s">
        <v>2099</v>
      </c>
      <c r="C493" s="85" t="s">
        <v>559</v>
      </c>
      <c r="D493" s="85" t="s">
        <v>1325</v>
      </c>
      <c r="E493" s="85" t="s">
        <v>1214</v>
      </c>
      <c r="F493" s="85" t="s">
        <v>1326</v>
      </c>
      <c r="G493" s="85" t="s">
        <v>1327</v>
      </c>
      <c r="H493" s="85" t="s">
        <v>1327</v>
      </c>
      <c r="I493" s="85" t="s">
        <v>1972</v>
      </c>
      <c r="J493" s="42">
        <v>-14.0</v>
      </c>
      <c r="K493" s="42">
        <v>-0.8</v>
      </c>
      <c r="L493" s="42">
        <v>0.0</v>
      </c>
      <c r="M493" s="42">
        <v>-0.72</v>
      </c>
      <c r="N493" s="42">
        <v>-8.9</v>
      </c>
      <c r="O493" s="42">
        <v>7.5E10</v>
      </c>
      <c r="P493" s="42">
        <v>6.78E11</v>
      </c>
      <c r="Q493" s="42">
        <v>-13.4</v>
      </c>
      <c r="R493" s="42">
        <v>-11.3</v>
      </c>
      <c r="S493" s="42">
        <v>-5.3</v>
      </c>
      <c r="T493" s="42">
        <v>9.2</v>
      </c>
      <c r="U493" s="42">
        <v>-0.79</v>
      </c>
      <c r="V493" s="42">
        <v>-9.0</v>
      </c>
      <c r="W493" s="42">
        <v>-17.4</v>
      </c>
    </row>
    <row r="494">
      <c r="A494" s="87">
        <v>493.0</v>
      </c>
      <c r="B494" s="85" t="s">
        <v>2100</v>
      </c>
      <c r="C494" s="85" t="s">
        <v>560</v>
      </c>
      <c r="D494" s="85" t="s">
        <v>1229</v>
      </c>
      <c r="E494" s="85" t="s">
        <v>1230</v>
      </c>
      <c r="F494" s="85" t="s">
        <v>1231</v>
      </c>
      <c r="G494" s="85" t="s">
        <v>1231</v>
      </c>
      <c r="H494" s="85" t="s">
        <v>1231</v>
      </c>
      <c r="I494" s="85" t="s">
        <v>1764</v>
      </c>
      <c r="J494" s="42">
        <v>-11.6</v>
      </c>
      <c r="K494" s="42">
        <v>2.2</v>
      </c>
      <c r="L494" s="42">
        <v>-18.6</v>
      </c>
      <c r="M494" s="42">
        <v>-15.7</v>
      </c>
      <c r="N494" s="42">
        <v>0.19</v>
      </c>
      <c r="O494" s="42">
        <v>3.2E11</v>
      </c>
      <c r="P494" s="42">
        <v>2.89E9</v>
      </c>
      <c r="Q494" s="42">
        <v>-43.5</v>
      </c>
      <c r="R494" s="42">
        <v>-65.7</v>
      </c>
      <c r="S494" s="42">
        <v>-64.6</v>
      </c>
      <c r="T494" s="42">
        <v>19.2</v>
      </c>
      <c r="U494" s="42">
        <v>-960.0</v>
      </c>
      <c r="V494" s="42">
        <v>-26.9</v>
      </c>
      <c r="W494" s="42">
        <v>-66.5</v>
      </c>
    </row>
    <row r="495">
      <c r="A495" s="87">
        <v>494.0</v>
      </c>
      <c r="B495" s="85" t="s">
        <v>2101</v>
      </c>
      <c r="C495" s="85" t="s">
        <v>561</v>
      </c>
      <c r="D495" s="85" t="s">
        <v>1537</v>
      </c>
      <c r="E495" s="85" t="s">
        <v>1214</v>
      </c>
      <c r="F495" s="85" t="s">
        <v>1406</v>
      </c>
      <c r="G495" s="85" t="s">
        <v>1407</v>
      </c>
      <c r="H495" s="85" t="s">
        <v>1538</v>
      </c>
      <c r="I495" s="85" t="s">
        <v>1333</v>
      </c>
      <c r="J495" s="42">
        <v>37.7</v>
      </c>
      <c r="K495" s="42">
        <v>4.2</v>
      </c>
      <c r="L495" s="42">
        <v>11.3</v>
      </c>
      <c r="M495" s="42">
        <v>10.3</v>
      </c>
      <c r="N495" s="42">
        <v>0.09</v>
      </c>
      <c r="O495" s="42">
        <v>7.55E11</v>
      </c>
      <c r="P495" s="42">
        <v>6.6E10</v>
      </c>
      <c r="Q495" s="42">
        <v>-0.394</v>
      </c>
      <c r="R495" s="42">
        <v>67.5</v>
      </c>
      <c r="S495" s="42">
        <v>15.0</v>
      </c>
      <c r="T495" s="42">
        <v>87.4</v>
      </c>
      <c r="U495" s="42">
        <v>30.2</v>
      </c>
      <c r="V495" s="42">
        <v>-8.0</v>
      </c>
      <c r="W495" s="42">
        <v>21.1</v>
      </c>
    </row>
    <row r="496">
      <c r="A496" s="87">
        <v>495.0</v>
      </c>
      <c r="B496" s="85" t="s">
        <v>2102</v>
      </c>
      <c r="C496" s="85" t="s">
        <v>562</v>
      </c>
      <c r="D496" s="85" t="s">
        <v>1294</v>
      </c>
      <c r="E496" s="85" t="s">
        <v>1187</v>
      </c>
      <c r="F496" s="85" t="s">
        <v>1188</v>
      </c>
      <c r="G496" s="85" t="s">
        <v>1295</v>
      </c>
      <c r="H496" s="85" t="s">
        <v>1296</v>
      </c>
      <c r="I496" s="85" t="s">
        <v>1280</v>
      </c>
      <c r="J496" s="42">
        <v>120.0</v>
      </c>
      <c r="K496" s="42">
        <v>1.8</v>
      </c>
      <c r="L496" s="42">
        <v>1.5</v>
      </c>
      <c r="M496" s="42">
        <v>0.4</v>
      </c>
      <c r="N496" s="42">
        <v>2.8</v>
      </c>
      <c r="O496" s="42">
        <v>1.28E11</v>
      </c>
      <c r="P496" s="42">
        <v>6.9E10</v>
      </c>
      <c r="Q496" s="42">
        <v>-43.6</v>
      </c>
      <c r="R496" s="42">
        <v>-48.8</v>
      </c>
      <c r="S496" s="42">
        <v>-57.1</v>
      </c>
      <c r="T496" s="42">
        <v>-76.2</v>
      </c>
      <c r="U496" s="42">
        <v>1.6</v>
      </c>
      <c r="V496" s="42">
        <v>-26.7</v>
      </c>
      <c r="W496" s="42">
        <v>-55.4</v>
      </c>
    </row>
    <row r="497">
      <c r="A497" s="87">
        <v>496.0</v>
      </c>
      <c r="B497" s="85" t="s">
        <v>2103</v>
      </c>
      <c r="C497" s="85" t="s">
        <v>563</v>
      </c>
      <c r="D497" s="85" t="s">
        <v>1285</v>
      </c>
      <c r="E497" s="85" t="s">
        <v>1201</v>
      </c>
      <c r="F497" s="85" t="s">
        <v>1286</v>
      </c>
      <c r="G497" s="85" t="s">
        <v>1287</v>
      </c>
      <c r="H497" s="85" t="s">
        <v>1288</v>
      </c>
      <c r="I497" s="85" t="s">
        <v>1484</v>
      </c>
      <c r="J497" s="42">
        <v>22.0</v>
      </c>
      <c r="K497" s="42">
        <v>0.93</v>
      </c>
      <c r="L497" s="42">
        <v>4.3</v>
      </c>
      <c r="M497" s="42">
        <v>2.8</v>
      </c>
      <c r="N497" s="42">
        <v>0.52</v>
      </c>
      <c r="O497" s="42">
        <v>1.2E12</v>
      </c>
      <c r="P497" s="42">
        <v>3.4E10</v>
      </c>
      <c r="Q497" s="42">
        <v>-43.3</v>
      </c>
      <c r="R497" s="42">
        <v>28.8</v>
      </c>
      <c r="S497" s="42">
        <v>81.0</v>
      </c>
      <c r="T497" s="42">
        <v>480.0</v>
      </c>
      <c r="U497" s="42">
        <v>160.0</v>
      </c>
      <c r="V497" s="42">
        <v>-31.5</v>
      </c>
      <c r="W497" s="42">
        <v>24.6</v>
      </c>
    </row>
    <row r="498">
      <c r="A498" s="87">
        <v>497.0</v>
      </c>
      <c r="B498" s="85" t="s">
        <v>2104</v>
      </c>
      <c r="C498" s="85" t="s">
        <v>564</v>
      </c>
      <c r="D498" s="85" t="s">
        <v>1285</v>
      </c>
      <c r="E498" s="85" t="s">
        <v>1201</v>
      </c>
      <c r="F498" s="85" t="s">
        <v>1286</v>
      </c>
      <c r="G498" s="85" t="s">
        <v>1287</v>
      </c>
      <c r="H498" s="85" t="s">
        <v>1288</v>
      </c>
      <c r="I498" s="85" t="s">
        <v>2105</v>
      </c>
      <c r="J498" s="42">
        <v>12.4</v>
      </c>
      <c r="K498" s="42">
        <v>0.32</v>
      </c>
      <c r="L498" s="42">
        <v>2.6</v>
      </c>
      <c r="M498" s="42">
        <v>2.1</v>
      </c>
      <c r="N498" s="42">
        <v>0.24</v>
      </c>
      <c r="O498" s="42">
        <v>9.4E12</v>
      </c>
      <c r="P498" s="42">
        <v>5.89E11</v>
      </c>
      <c r="Q498" s="42">
        <v>-24.8</v>
      </c>
      <c r="R498" s="42">
        <v>-26.9</v>
      </c>
      <c r="S498" s="42">
        <v>-43.3</v>
      </c>
      <c r="T498" s="42">
        <v>-50.6</v>
      </c>
      <c r="U498" s="42">
        <v>130.0</v>
      </c>
      <c r="V498" s="42">
        <v>-16.5</v>
      </c>
      <c r="W498" s="42">
        <v>-51.6</v>
      </c>
    </row>
    <row r="499">
      <c r="A499" s="87">
        <v>498.0</v>
      </c>
      <c r="B499" s="85" t="s">
        <v>2106</v>
      </c>
      <c r="C499" s="85" t="s">
        <v>565</v>
      </c>
      <c r="D499" s="85" t="s">
        <v>1460</v>
      </c>
      <c r="E499" s="85" t="s">
        <v>1252</v>
      </c>
      <c r="F499" s="85" t="s">
        <v>1252</v>
      </c>
      <c r="G499" s="85" t="s">
        <v>1313</v>
      </c>
      <c r="H499" s="85" t="s">
        <v>1461</v>
      </c>
      <c r="I499" s="85" t="s">
        <v>1702</v>
      </c>
      <c r="J499" s="42">
        <v>0.66</v>
      </c>
      <c r="K499" s="42">
        <v>0.33</v>
      </c>
      <c r="L499" s="42">
        <v>49.6</v>
      </c>
      <c r="M499" s="42">
        <v>12.7</v>
      </c>
      <c r="N499" s="42">
        <v>2.9</v>
      </c>
      <c r="O499" s="42">
        <v>4.1E12</v>
      </c>
      <c r="P499" s="42">
        <v>4.5E12</v>
      </c>
      <c r="Q499" s="42">
        <v>-39.4</v>
      </c>
      <c r="R499" s="42">
        <v>-43.5</v>
      </c>
      <c r="S499" s="42">
        <v>-60.1</v>
      </c>
      <c r="T499" s="42">
        <v>16.9</v>
      </c>
      <c r="U499" s="42">
        <v>140.0</v>
      </c>
      <c r="V499" s="42">
        <v>-21.0</v>
      </c>
      <c r="W499" s="42">
        <v>-51.2</v>
      </c>
    </row>
    <row r="500">
      <c r="A500" s="87">
        <v>499.0</v>
      </c>
      <c r="B500" s="85" t="s">
        <v>2107</v>
      </c>
      <c r="C500" s="85" t="s">
        <v>566</v>
      </c>
      <c r="D500" s="85" t="s">
        <v>1439</v>
      </c>
      <c r="E500" s="85" t="s">
        <v>1376</v>
      </c>
      <c r="F500" s="85" t="s">
        <v>1377</v>
      </c>
      <c r="G500" s="85" t="s">
        <v>1440</v>
      </c>
      <c r="H500" s="85" t="s">
        <v>1440</v>
      </c>
      <c r="I500" s="85" t="s">
        <v>2108</v>
      </c>
      <c r="J500" s="42">
        <v>-1.9</v>
      </c>
      <c r="K500" s="42">
        <v>0.16</v>
      </c>
      <c r="L500" s="42">
        <v>-8.7</v>
      </c>
      <c r="M500" s="42">
        <v>-6.0</v>
      </c>
      <c r="N500" s="42">
        <v>0.45</v>
      </c>
      <c r="O500" s="42">
        <v>2.91E11</v>
      </c>
      <c r="P500" s="42">
        <v>8.14E11</v>
      </c>
      <c r="Q500" s="42">
        <v>-31.3</v>
      </c>
      <c r="R500" s="42">
        <v>-35.3</v>
      </c>
      <c r="S500" s="42">
        <v>-45.0</v>
      </c>
      <c r="T500" s="42">
        <v>10.0</v>
      </c>
      <c r="U500" s="42">
        <v>-19.4</v>
      </c>
      <c r="V500" s="42">
        <v>-26.7</v>
      </c>
      <c r="W500" s="42">
        <v>-45.0</v>
      </c>
    </row>
    <row r="501">
      <c r="A501" s="87">
        <v>500.0</v>
      </c>
      <c r="B501" s="85" t="s">
        <v>2109</v>
      </c>
      <c r="C501" s="85" t="s">
        <v>567</v>
      </c>
      <c r="D501" s="85" t="s">
        <v>1229</v>
      </c>
      <c r="E501" s="85" t="s">
        <v>1230</v>
      </c>
      <c r="F501" s="85" t="s">
        <v>1231</v>
      </c>
      <c r="G501" s="85" t="s">
        <v>1231</v>
      </c>
      <c r="H501" s="85" t="s">
        <v>1231</v>
      </c>
      <c r="I501" s="85" t="s">
        <v>1764</v>
      </c>
      <c r="J501" s="42">
        <v>-1.4</v>
      </c>
      <c r="K501" s="42">
        <v>3.1</v>
      </c>
      <c r="L501" s="42">
        <v>-220.0</v>
      </c>
      <c r="M501" s="42">
        <v>-55.1</v>
      </c>
      <c r="N501" s="42">
        <v>3.0</v>
      </c>
      <c r="O501" s="42">
        <v>1.03E11</v>
      </c>
      <c r="P501" s="42">
        <v>8.2E10</v>
      </c>
      <c r="Q501" s="42">
        <v>-37.8</v>
      </c>
      <c r="R501" s="42">
        <v>-20.3</v>
      </c>
      <c r="S501" s="42">
        <v>-73.2</v>
      </c>
      <c r="T501" s="42">
        <v>-59.5</v>
      </c>
      <c r="U501" s="42">
        <v>-89.1</v>
      </c>
      <c r="V501" s="42">
        <v>-15.0</v>
      </c>
      <c r="W501" s="42">
        <v>-67.1</v>
      </c>
    </row>
    <row r="502">
      <c r="A502" s="87">
        <v>501.0</v>
      </c>
      <c r="B502" s="85" t="s">
        <v>2110</v>
      </c>
      <c r="C502" s="85" t="s">
        <v>568</v>
      </c>
      <c r="D502" s="85" t="s">
        <v>1234</v>
      </c>
      <c r="E502" s="85" t="s">
        <v>1235</v>
      </c>
      <c r="F502" s="85" t="s">
        <v>1235</v>
      </c>
      <c r="G502" s="85" t="s">
        <v>1236</v>
      </c>
      <c r="H502" s="85" t="s">
        <v>1237</v>
      </c>
      <c r="I502" s="85" t="s">
        <v>1322</v>
      </c>
      <c r="J502" s="42">
        <v>61.0</v>
      </c>
      <c r="K502" s="42">
        <v>0.53</v>
      </c>
      <c r="L502" s="42">
        <v>0.87</v>
      </c>
      <c r="M502" s="42">
        <v>0.86</v>
      </c>
      <c r="N502" s="42">
        <v>0.01</v>
      </c>
      <c r="O502" s="42">
        <v>7.14E11</v>
      </c>
      <c r="P502" s="42">
        <v>1.1E10</v>
      </c>
      <c r="Q502" s="42">
        <v>-2.3</v>
      </c>
      <c r="R502" s="42">
        <v>9.7</v>
      </c>
      <c r="S502" s="42">
        <v>-12.9</v>
      </c>
      <c r="T502" s="42">
        <v>75.1</v>
      </c>
      <c r="U502" s="42">
        <v>110.0</v>
      </c>
      <c r="V502" s="42">
        <v>1.2</v>
      </c>
      <c r="W502" s="42">
        <v>-23.5</v>
      </c>
    </row>
    <row r="503">
      <c r="A503" s="87">
        <v>502.0</v>
      </c>
      <c r="B503" s="85" t="s">
        <v>2111</v>
      </c>
      <c r="C503" s="85" t="s">
        <v>569</v>
      </c>
      <c r="D503" s="85" t="s">
        <v>1325</v>
      </c>
      <c r="E503" s="85" t="s">
        <v>1214</v>
      </c>
      <c r="F503" s="85" t="s">
        <v>1326</v>
      </c>
      <c r="G503" s="85" t="s">
        <v>1327</v>
      </c>
      <c r="H503" s="85" t="s">
        <v>1327</v>
      </c>
      <c r="I503" s="85" t="s">
        <v>1333</v>
      </c>
      <c r="J503" s="42">
        <v>12.1</v>
      </c>
      <c r="K503" s="42">
        <v>0.69</v>
      </c>
      <c r="L503" s="42">
        <v>5.7</v>
      </c>
      <c r="M503" s="42">
        <v>3.2</v>
      </c>
      <c r="N503" s="42">
        <v>0.81</v>
      </c>
      <c r="O503" s="42">
        <v>1.18E11</v>
      </c>
      <c r="P503" s="42">
        <v>2.6E10</v>
      </c>
      <c r="Q503" s="42">
        <v>-28.4</v>
      </c>
      <c r="R503" s="42">
        <v>9.9</v>
      </c>
      <c r="S503" s="42">
        <v>0.0</v>
      </c>
      <c r="T503" s="42">
        <v>50.0</v>
      </c>
      <c r="U503" s="42">
        <v>37.4</v>
      </c>
      <c r="V503" s="42">
        <v>-36.1</v>
      </c>
      <c r="W503" s="42">
        <v>-2.5</v>
      </c>
    </row>
    <row r="504">
      <c r="A504" s="87">
        <v>503.0</v>
      </c>
      <c r="B504" s="85" t="s">
        <v>2112</v>
      </c>
      <c r="C504" s="85" t="s">
        <v>570</v>
      </c>
      <c r="D504" s="85" t="s">
        <v>1330</v>
      </c>
      <c r="E504" s="85" t="s">
        <v>1214</v>
      </c>
      <c r="F504" s="85" t="s">
        <v>1326</v>
      </c>
      <c r="G504" s="85" t="s">
        <v>1331</v>
      </c>
      <c r="H504" s="85" t="s">
        <v>1332</v>
      </c>
      <c r="I504" s="85" t="s">
        <v>1333</v>
      </c>
      <c r="J504" s="42">
        <v>450.0</v>
      </c>
      <c r="K504" s="42">
        <v>0.88</v>
      </c>
      <c r="L504" s="42">
        <v>0.2</v>
      </c>
      <c r="M504" s="42">
        <v>0.15</v>
      </c>
      <c r="N504" s="42">
        <v>0.34</v>
      </c>
      <c r="O504" s="42">
        <v>1.04E11</v>
      </c>
      <c r="P504" s="42">
        <v>3.1E10</v>
      </c>
      <c r="Q504" s="42">
        <v>-43.8</v>
      </c>
      <c r="R504" s="42">
        <v>-38.2</v>
      </c>
      <c r="S504" s="42">
        <v>-62.4</v>
      </c>
      <c r="T504" s="42">
        <v>-53.1</v>
      </c>
      <c r="U504" s="42">
        <v>0.74</v>
      </c>
      <c r="V504" s="42">
        <v>-25.3</v>
      </c>
      <c r="W504" s="42">
        <v>-58.0</v>
      </c>
    </row>
    <row r="505">
      <c r="A505" s="87">
        <v>504.0</v>
      </c>
      <c r="B505" s="85" t="s">
        <v>2113</v>
      </c>
      <c r="C505" s="85" t="s">
        <v>571</v>
      </c>
      <c r="D505" s="85" t="s">
        <v>1682</v>
      </c>
      <c r="E505" s="85" t="s">
        <v>1570</v>
      </c>
      <c r="F505" s="85" t="s">
        <v>1571</v>
      </c>
      <c r="G505" s="85" t="s">
        <v>1683</v>
      </c>
      <c r="H505" s="85" t="s">
        <v>1684</v>
      </c>
      <c r="I505" s="85" t="s">
        <v>1685</v>
      </c>
      <c r="J505" s="42">
        <v>44.8</v>
      </c>
      <c r="K505" s="42">
        <v>3.5</v>
      </c>
      <c r="L505" s="42">
        <v>7.9</v>
      </c>
      <c r="M505" s="42">
        <v>5.5</v>
      </c>
      <c r="N505" s="42">
        <v>0.43</v>
      </c>
      <c r="O505" s="42">
        <v>5.41E11</v>
      </c>
      <c r="P505" s="42">
        <v>4.0E10</v>
      </c>
      <c r="Q505" s="42">
        <v>-38.9</v>
      </c>
      <c r="R505" s="42">
        <v>-10.2</v>
      </c>
      <c r="S505" s="42">
        <v>-7.7</v>
      </c>
      <c r="T505" s="42">
        <v>-7.0</v>
      </c>
      <c r="U505" s="42">
        <v>30.2</v>
      </c>
      <c r="V505" s="42">
        <v>-3.6</v>
      </c>
      <c r="W505" s="42">
        <v>-2.9</v>
      </c>
    </row>
    <row r="506">
      <c r="A506" s="87">
        <v>505.0</v>
      </c>
      <c r="B506" s="85" t="s">
        <v>2114</v>
      </c>
      <c r="C506" s="85" t="s">
        <v>572</v>
      </c>
      <c r="D506" s="85" t="s">
        <v>1299</v>
      </c>
      <c r="E506" s="85" t="s">
        <v>1300</v>
      </c>
      <c r="F506" s="85" t="s">
        <v>1301</v>
      </c>
      <c r="G506" s="85" t="s">
        <v>1301</v>
      </c>
      <c r="H506" s="85" t="s">
        <v>1301</v>
      </c>
      <c r="I506" s="85" t="s">
        <v>1302</v>
      </c>
      <c r="J506" s="42">
        <v>16.9</v>
      </c>
      <c r="K506" s="42">
        <v>1.1</v>
      </c>
      <c r="L506" s="42">
        <v>6.5</v>
      </c>
      <c r="M506" s="42">
        <v>3.6</v>
      </c>
      <c r="N506" s="42">
        <v>0.78</v>
      </c>
      <c r="O506" s="42">
        <v>1.48E11</v>
      </c>
      <c r="P506" s="42">
        <v>4.8E10</v>
      </c>
      <c r="Q506" s="42">
        <v>-37.5</v>
      </c>
      <c r="R506" s="42">
        <v>-30.6</v>
      </c>
      <c r="S506" s="42">
        <v>-35.9</v>
      </c>
      <c r="T506" s="42">
        <v>0.0</v>
      </c>
      <c r="U506" s="42">
        <v>18.2</v>
      </c>
      <c r="V506" s="42">
        <v>-27.5</v>
      </c>
      <c r="W506" s="42">
        <v>-35.1</v>
      </c>
    </row>
    <row r="507">
      <c r="A507" s="87">
        <v>506.0</v>
      </c>
      <c r="B507" s="85" t="s">
        <v>2115</v>
      </c>
      <c r="C507" s="85" t="s">
        <v>573</v>
      </c>
      <c r="D507" s="85" t="s">
        <v>1234</v>
      </c>
      <c r="E507" s="85" t="s">
        <v>1235</v>
      </c>
      <c r="F507" s="85" t="s">
        <v>1235</v>
      </c>
      <c r="G507" s="85" t="s">
        <v>1236</v>
      </c>
      <c r="H507" s="85" t="s">
        <v>1237</v>
      </c>
      <c r="I507" s="85" t="s">
        <v>1322</v>
      </c>
      <c r="J507" s="42">
        <v>83.8</v>
      </c>
      <c r="K507" s="42">
        <v>0.38</v>
      </c>
      <c r="L507" s="42">
        <v>0.45</v>
      </c>
      <c r="M507" s="42">
        <v>0.25</v>
      </c>
      <c r="N507" s="42">
        <v>0.77</v>
      </c>
      <c r="O507" s="42">
        <v>1.73E11</v>
      </c>
      <c r="P507" s="42">
        <v>9.77E9</v>
      </c>
      <c r="Q507" s="42">
        <v>-43.8</v>
      </c>
      <c r="R507" s="42">
        <v>-15.3</v>
      </c>
      <c r="S507" s="42">
        <v>25.0</v>
      </c>
      <c r="T507" s="42">
        <v>130.0</v>
      </c>
      <c r="U507" s="42">
        <v>21.1</v>
      </c>
      <c r="V507" s="42">
        <v>-18.0</v>
      </c>
      <c r="W507" s="42">
        <v>-9.1</v>
      </c>
    </row>
    <row r="508">
      <c r="A508" s="87">
        <v>507.0</v>
      </c>
      <c r="B508" s="85" t="s">
        <v>2116</v>
      </c>
      <c r="C508" s="85" t="s">
        <v>574</v>
      </c>
      <c r="D508" s="85" t="s">
        <v>1345</v>
      </c>
      <c r="E508" s="85" t="s">
        <v>1194</v>
      </c>
      <c r="F508" s="85" t="s">
        <v>1346</v>
      </c>
      <c r="G508" s="85" t="s">
        <v>1346</v>
      </c>
      <c r="H508" s="85" t="s">
        <v>1347</v>
      </c>
      <c r="I508" s="85" t="s">
        <v>1514</v>
      </c>
      <c r="J508" s="42">
        <v>-40.8</v>
      </c>
      <c r="K508" s="42">
        <v>15.1</v>
      </c>
      <c r="L508" s="42">
        <v>-37.1</v>
      </c>
      <c r="M508" s="42">
        <v>-5.0</v>
      </c>
      <c r="N508" s="42">
        <v>6.4</v>
      </c>
      <c r="O508" s="42">
        <v>2.7E11</v>
      </c>
      <c r="P508" s="42">
        <v>1.52E9</v>
      </c>
      <c r="Q508" s="42">
        <v>-37.9</v>
      </c>
      <c r="R508" s="42">
        <v>-38.6</v>
      </c>
      <c r="S508" s="42">
        <v>-69.8</v>
      </c>
      <c r="T508" s="42">
        <v>50.0</v>
      </c>
      <c r="U508" s="42">
        <v>-430.0</v>
      </c>
      <c r="V508" s="42">
        <v>-20.6</v>
      </c>
      <c r="W508" s="42">
        <v>-65.2</v>
      </c>
    </row>
    <row r="509">
      <c r="A509" s="87">
        <v>508.0</v>
      </c>
      <c r="B509" s="85" t="s">
        <v>2117</v>
      </c>
      <c r="C509" s="85" t="s">
        <v>575</v>
      </c>
      <c r="D509" s="85" t="s">
        <v>1234</v>
      </c>
      <c r="E509" s="85" t="s">
        <v>1235</v>
      </c>
      <c r="F509" s="85" t="s">
        <v>1235</v>
      </c>
      <c r="G509" s="85" t="s">
        <v>1236</v>
      </c>
      <c r="H509" s="85" t="s">
        <v>1237</v>
      </c>
      <c r="I509" s="85" t="s">
        <v>1392</v>
      </c>
      <c r="J509" s="42">
        <v>0.0</v>
      </c>
      <c r="K509" s="42">
        <v>0.4</v>
      </c>
      <c r="L509" s="42">
        <v>0.02</v>
      </c>
      <c r="M509" s="42">
        <v>0.02</v>
      </c>
      <c r="N509" s="42">
        <v>0.03</v>
      </c>
      <c r="O509" s="42">
        <v>6.42E11</v>
      </c>
      <c r="P509" s="42">
        <v>1.64E9</v>
      </c>
      <c r="Q509" s="42">
        <v>0.0</v>
      </c>
      <c r="R509" s="42">
        <v>0.0</v>
      </c>
      <c r="S509" s="42">
        <v>0.0</v>
      </c>
      <c r="T509" s="42">
        <v>0.0</v>
      </c>
      <c r="U509" s="42">
        <v>19.5</v>
      </c>
      <c r="V509" s="42">
        <v>0.0</v>
      </c>
      <c r="W509" s="42">
        <v>0.0</v>
      </c>
    </row>
    <row r="510">
      <c r="A510" s="87">
        <v>509.0</v>
      </c>
      <c r="B510" s="85" t="s">
        <v>2118</v>
      </c>
      <c r="C510" s="85" t="s">
        <v>576</v>
      </c>
      <c r="D510" s="85" t="s">
        <v>1463</v>
      </c>
      <c r="E510" s="85" t="s">
        <v>1230</v>
      </c>
      <c r="F510" s="85" t="s">
        <v>1464</v>
      </c>
      <c r="G510" s="85" t="s">
        <v>1465</v>
      </c>
      <c r="H510" s="85" t="s">
        <v>1465</v>
      </c>
      <c r="I510" s="85" t="s">
        <v>1764</v>
      </c>
      <c r="J510" s="42">
        <v>48.0</v>
      </c>
      <c r="K510" s="42">
        <v>0.79</v>
      </c>
      <c r="L510" s="42">
        <v>1.7</v>
      </c>
      <c r="M510" s="42">
        <v>1.6</v>
      </c>
      <c r="N510" s="42">
        <v>0.05</v>
      </c>
      <c r="O510" s="42">
        <v>1.06E11</v>
      </c>
      <c r="P510" s="42">
        <v>3.1E8</v>
      </c>
      <c r="Q510" s="42">
        <v>-17.3</v>
      </c>
      <c r="R510" s="42">
        <v>-51.9</v>
      </c>
      <c r="S510" s="42">
        <v>-74.1</v>
      </c>
      <c r="T510" s="42">
        <v>-52.6</v>
      </c>
      <c r="U510" s="42">
        <v>720.0</v>
      </c>
      <c r="V510" s="42">
        <v>-22.9</v>
      </c>
      <c r="W510" s="42">
        <v>-66.0</v>
      </c>
    </row>
    <row r="511">
      <c r="A511" s="87">
        <v>510.0</v>
      </c>
      <c r="B511" s="85" t="s">
        <v>2119</v>
      </c>
      <c r="C511" s="85" t="s">
        <v>577</v>
      </c>
      <c r="D511" s="85" t="s">
        <v>1294</v>
      </c>
      <c r="E511" s="85" t="s">
        <v>1187</v>
      </c>
      <c r="F511" s="85" t="s">
        <v>1188</v>
      </c>
      <c r="G511" s="85" t="s">
        <v>1295</v>
      </c>
      <c r="H511" s="85" t="s">
        <v>1296</v>
      </c>
      <c r="I511" s="85" t="s">
        <v>1540</v>
      </c>
      <c r="J511" s="42">
        <v>3.1</v>
      </c>
      <c r="K511" s="42">
        <v>0.62</v>
      </c>
      <c r="L511" s="42">
        <v>20.1</v>
      </c>
      <c r="M511" s="42">
        <v>10.8</v>
      </c>
      <c r="N511" s="42">
        <v>0.87</v>
      </c>
      <c r="O511" s="42">
        <v>5.97E11</v>
      </c>
      <c r="P511" s="42">
        <v>1.27E11</v>
      </c>
      <c r="Q511" s="42">
        <v>-38.2</v>
      </c>
      <c r="R511" s="42">
        <v>-43.3</v>
      </c>
      <c r="S511" s="42">
        <v>-16.5</v>
      </c>
      <c r="T511" s="42">
        <v>-1.3</v>
      </c>
      <c r="U511" s="42">
        <v>150.0</v>
      </c>
      <c r="V511" s="42">
        <v>-26.2</v>
      </c>
      <c r="W511" s="42">
        <v>-63.1</v>
      </c>
    </row>
    <row r="512">
      <c r="A512" s="87">
        <v>511.0</v>
      </c>
      <c r="B512" s="85" t="s">
        <v>2120</v>
      </c>
      <c r="C512" s="85" t="s">
        <v>578</v>
      </c>
      <c r="D512" s="85" t="s">
        <v>1665</v>
      </c>
      <c r="E512" s="85" t="s">
        <v>1201</v>
      </c>
      <c r="F512" s="85" t="s">
        <v>1666</v>
      </c>
      <c r="G512" s="85" t="s">
        <v>1666</v>
      </c>
      <c r="H512" s="85" t="s">
        <v>1667</v>
      </c>
      <c r="I512" s="85" t="s">
        <v>1265</v>
      </c>
      <c r="J512" s="42">
        <v>31.6</v>
      </c>
      <c r="K512" s="42">
        <v>7.7</v>
      </c>
      <c r="L512" s="42">
        <v>24.3</v>
      </c>
      <c r="M512" s="42">
        <v>11.5</v>
      </c>
      <c r="N512" s="42">
        <v>1.1</v>
      </c>
      <c r="O512" s="42">
        <v>6.46E11</v>
      </c>
      <c r="P512" s="42">
        <v>1.68E11</v>
      </c>
      <c r="Q512" s="42">
        <v>-10.6</v>
      </c>
      <c r="R512" s="42">
        <v>-9.8</v>
      </c>
      <c r="S512" s="42">
        <v>-28.4</v>
      </c>
      <c r="T512" s="42">
        <v>98.8</v>
      </c>
      <c r="U512" s="42">
        <v>12.2</v>
      </c>
      <c r="V512" s="42">
        <v>13.2</v>
      </c>
      <c r="W512" s="42">
        <v>-24.1</v>
      </c>
    </row>
    <row r="513">
      <c r="A513" s="87">
        <v>512.0</v>
      </c>
      <c r="B513" s="85" t="s">
        <v>2121</v>
      </c>
      <c r="C513" s="85" t="s">
        <v>579</v>
      </c>
      <c r="D513" s="85" t="s">
        <v>1525</v>
      </c>
      <c r="E513" s="85" t="s">
        <v>1208</v>
      </c>
      <c r="F513" s="85" t="s">
        <v>1209</v>
      </c>
      <c r="G513" s="85" t="s">
        <v>1209</v>
      </c>
      <c r="H513" s="85" t="s">
        <v>1526</v>
      </c>
      <c r="I513" s="85" t="s">
        <v>1211</v>
      </c>
      <c r="J513" s="42">
        <v>47.0</v>
      </c>
      <c r="K513" s="42">
        <v>1.5</v>
      </c>
      <c r="L513" s="42">
        <v>3.2</v>
      </c>
      <c r="M513" s="42">
        <v>1.7</v>
      </c>
      <c r="N513" s="42">
        <v>0.86</v>
      </c>
      <c r="O513" s="42">
        <v>1.26E13</v>
      </c>
      <c r="P513" s="42">
        <v>5.59E11</v>
      </c>
      <c r="Q513" s="42">
        <v>-13.8</v>
      </c>
      <c r="R513" s="42">
        <v>-11.6</v>
      </c>
      <c r="S513" s="42">
        <v>-26.9</v>
      </c>
      <c r="T513" s="42">
        <v>0.412</v>
      </c>
      <c r="U513" s="42">
        <v>47.9</v>
      </c>
      <c r="V513" s="42">
        <v>-1.6</v>
      </c>
      <c r="W513" s="42">
        <v>-22.3</v>
      </c>
    </row>
    <row r="514">
      <c r="A514" s="87">
        <v>513.0</v>
      </c>
      <c r="B514" s="85" t="s">
        <v>2122</v>
      </c>
      <c r="C514" s="85" t="s">
        <v>580</v>
      </c>
      <c r="D514" s="85" t="s">
        <v>1745</v>
      </c>
      <c r="E514" s="85" t="s">
        <v>1230</v>
      </c>
      <c r="F514" s="85" t="s">
        <v>1464</v>
      </c>
      <c r="G514" s="85" t="s">
        <v>1746</v>
      </c>
      <c r="H514" s="85" t="s">
        <v>1747</v>
      </c>
      <c r="I514" s="85" t="s">
        <v>1390</v>
      </c>
      <c r="J514" s="42">
        <v>-2.1</v>
      </c>
      <c r="K514" s="42">
        <v>1.0</v>
      </c>
      <c r="L514" s="42">
        <v>-48.8</v>
      </c>
      <c r="M514" s="42">
        <v>-11.2</v>
      </c>
      <c r="N514" s="42">
        <v>3.4</v>
      </c>
      <c r="O514" s="42">
        <v>3.2E12</v>
      </c>
      <c r="P514" s="42">
        <v>6.61E11</v>
      </c>
      <c r="Q514" s="42">
        <v>-35.6</v>
      </c>
      <c r="R514" s="42">
        <v>-43.5</v>
      </c>
      <c r="S514" s="42">
        <v>-76.1</v>
      </c>
      <c r="T514" s="42">
        <v>-30.7</v>
      </c>
      <c r="U514" s="42">
        <v>-230.0</v>
      </c>
      <c r="V514" s="42">
        <v>-10.3</v>
      </c>
      <c r="W514" s="42">
        <v>-72.0</v>
      </c>
    </row>
    <row r="515">
      <c r="A515" s="87">
        <v>514.0</v>
      </c>
      <c r="B515" s="85" t="s">
        <v>2123</v>
      </c>
      <c r="C515" s="85" t="s">
        <v>581</v>
      </c>
      <c r="D515" s="85" t="s">
        <v>1537</v>
      </c>
      <c r="E515" s="85" t="s">
        <v>1214</v>
      </c>
      <c r="F515" s="85" t="s">
        <v>1406</v>
      </c>
      <c r="G515" s="85" t="s">
        <v>1407</v>
      </c>
      <c r="H515" s="85" t="s">
        <v>1538</v>
      </c>
      <c r="I515" s="85" t="s">
        <v>1333</v>
      </c>
      <c r="J515" s="42">
        <v>-8.6</v>
      </c>
      <c r="K515" s="42">
        <v>0.43</v>
      </c>
      <c r="L515" s="42">
        <v>-5.0</v>
      </c>
      <c r="M515" s="42">
        <v>-3.8</v>
      </c>
      <c r="N515" s="42">
        <v>0.31</v>
      </c>
      <c r="O515" s="42">
        <v>1.97E11</v>
      </c>
      <c r="P515" s="42">
        <v>6.7E10</v>
      </c>
      <c r="Q515" s="42">
        <v>-21.9</v>
      </c>
      <c r="R515" s="42">
        <v>-16.0</v>
      </c>
      <c r="S515" s="42">
        <v>-28.6</v>
      </c>
      <c r="T515" s="42">
        <v>-19.9</v>
      </c>
      <c r="U515" s="42">
        <v>-34.4</v>
      </c>
      <c r="V515" s="42">
        <v>-16.0</v>
      </c>
      <c r="W515" s="42">
        <v>-41.3</v>
      </c>
    </row>
    <row r="516">
      <c r="A516" s="87">
        <v>515.0</v>
      </c>
      <c r="B516" s="85" t="s">
        <v>2124</v>
      </c>
      <c r="C516" s="85" t="s">
        <v>582</v>
      </c>
      <c r="D516" s="85" t="s">
        <v>2078</v>
      </c>
      <c r="E516" s="85" t="s">
        <v>1201</v>
      </c>
      <c r="F516" s="85" t="s">
        <v>1666</v>
      </c>
      <c r="G516" s="85" t="s">
        <v>1666</v>
      </c>
      <c r="H516" s="85" t="s">
        <v>2079</v>
      </c>
      <c r="I516" s="85" t="s">
        <v>1381</v>
      </c>
      <c r="J516" s="42">
        <v>630.0</v>
      </c>
      <c r="K516" s="42">
        <v>2.8</v>
      </c>
      <c r="L516" s="42">
        <v>0.45</v>
      </c>
      <c r="M516" s="42">
        <v>0.29</v>
      </c>
      <c r="N516" s="42">
        <v>0.56</v>
      </c>
      <c r="O516" s="42">
        <v>9.46E11</v>
      </c>
      <c r="P516" s="42">
        <v>4.5E10</v>
      </c>
      <c r="Q516" s="42">
        <v>-12.3</v>
      </c>
      <c r="R516" s="42">
        <v>-3.5</v>
      </c>
      <c r="S516" s="42">
        <v>-8.1</v>
      </c>
      <c r="T516" s="42">
        <v>33.1</v>
      </c>
      <c r="U516" s="42">
        <v>3.3</v>
      </c>
      <c r="V516" s="42">
        <v>-4.5</v>
      </c>
      <c r="W516" s="42">
        <v>-15.4</v>
      </c>
    </row>
    <row r="517">
      <c r="A517" s="87">
        <v>516.0</v>
      </c>
      <c r="B517" s="85" t="s">
        <v>2125</v>
      </c>
      <c r="C517" s="85" t="s">
        <v>583</v>
      </c>
      <c r="D517" s="85" t="s">
        <v>1375</v>
      </c>
      <c r="E517" s="85" t="s">
        <v>1376</v>
      </c>
      <c r="F517" s="85" t="s">
        <v>1377</v>
      </c>
      <c r="G517" s="85" t="s">
        <v>1378</v>
      </c>
      <c r="H517" s="85" t="s">
        <v>1378</v>
      </c>
      <c r="I517" s="85" t="s">
        <v>1826</v>
      </c>
      <c r="J517" s="42">
        <v>0.0</v>
      </c>
      <c r="K517" s="42">
        <v>0.32</v>
      </c>
      <c r="L517" s="42">
        <v>1.6</v>
      </c>
      <c r="M517" s="42">
        <v>0.59</v>
      </c>
      <c r="N517" s="42">
        <v>1.8</v>
      </c>
      <c r="O517" s="42">
        <v>3.9E10</v>
      </c>
      <c r="P517" s="42">
        <v>3.1E10</v>
      </c>
      <c r="Q517" s="42">
        <v>0.0</v>
      </c>
      <c r="R517" s="42">
        <v>0.0</v>
      </c>
      <c r="S517" s="42">
        <v>0.0</v>
      </c>
      <c r="T517" s="42">
        <v>0.0</v>
      </c>
      <c r="U517" s="42">
        <v>6.4</v>
      </c>
      <c r="V517" s="42">
        <v>0.0</v>
      </c>
      <c r="W517" s="42">
        <v>0.0</v>
      </c>
    </row>
    <row r="518">
      <c r="A518" s="87">
        <v>517.0</v>
      </c>
      <c r="B518" s="85" t="s">
        <v>2126</v>
      </c>
      <c r="C518" s="85" t="s">
        <v>584</v>
      </c>
      <c r="D518" s="85" t="s">
        <v>1261</v>
      </c>
      <c r="E518" s="85" t="s">
        <v>1201</v>
      </c>
      <c r="F518" s="85" t="s">
        <v>1262</v>
      </c>
      <c r="G518" s="85" t="s">
        <v>1263</v>
      </c>
      <c r="H518" s="85" t="s">
        <v>1264</v>
      </c>
      <c r="I518" s="85" t="s">
        <v>1265</v>
      </c>
      <c r="J518" s="42">
        <v>100.0</v>
      </c>
      <c r="K518" s="42">
        <v>1.5</v>
      </c>
      <c r="L518" s="42">
        <v>1.4</v>
      </c>
      <c r="M518" s="42">
        <v>1.0</v>
      </c>
      <c r="N518" s="42">
        <v>0.38</v>
      </c>
      <c r="O518" s="42">
        <v>7.5E10</v>
      </c>
      <c r="P518" s="42">
        <v>6.8E10</v>
      </c>
      <c r="Q518" s="42">
        <v>-51.9</v>
      </c>
      <c r="R518" s="42">
        <v>-50.3</v>
      </c>
      <c r="S518" s="42">
        <v>-31.8</v>
      </c>
      <c r="T518" s="42">
        <v>78.6</v>
      </c>
      <c r="U518" s="42">
        <v>1.1</v>
      </c>
      <c r="V518" s="42">
        <v>-33.6</v>
      </c>
      <c r="W518" s="42">
        <v>-58.8</v>
      </c>
    </row>
    <row r="519">
      <c r="A519" s="87">
        <v>518.0</v>
      </c>
      <c r="B519" s="85" t="s">
        <v>2127</v>
      </c>
      <c r="C519" s="85" t="s">
        <v>585</v>
      </c>
      <c r="D519" s="85" t="s">
        <v>2078</v>
      </c>
      <c r="E519" s="85" t="s">
        <v>1201</v>
      </c>
      <c r="F519" s="85" t="s">
        <v>1666</v>
      </c>
      <c r="G519" s="85" t="s">
        <v>1666</v>
      </c>
      <c r="H519" s="85" t="s">
        <v>2079</v>
      </c>
      <c r="I519" s="85" t="s">
        <v>1458</v>
      </c>
      <c r="J519" s="42">
        <v>-1.7</v>
      </c>
      <c r="K519" s="42">
        <v>4.1</v>
      </c>
      <c r="L519" s="42">
        <v>-250.0</v>
      </c>
      <c r="M519" s="42">
        <v>-15.1</v>
      </c>
      <c r="N519" s="42">
        <v>15.4</v>
      </c>
      <c r="O519" s="42">
        <v>1.55E11</v>
      </c>
      <c r="P519" s="42">
        <v>6.9E10</v>
      </c>
      <c r="Q519" s="42">
        <v>-24.4</v>
      </c>
      <c r="R519" s="42">
        <v>-16.6</v>
      </c>
      <c r="S519" s="42">
        <v>-14.2</v>
      </c>
      <c r="T519" s="42">
        <v>-18.2</v>
      </c>
      <c r="U519" s="42">
        <v>-130.0</v>
      </c>
      <c r="V519" s="42">
        <v>-20.4</v>
      </c>
      <c r="W519" s="42">
        <v>-12.9</v>
      </c>
    </row>
    <row r="520">
      <c r="A520" s="87">
        <v>519.0</v>
      </c>
      <c r="B520" s="85" t="s">
        <v>2128</v>
      </c>
      <c r="C520" s="85" t="s">
        <v>586</v>
      </c>
      <c r="D520" s="85" t="s">
        <v>1460</v>
      </c>
      <c r="E520" s="85" t="s">
        <v>1252</v>
      </c>
      <c r="F520" s="85" t="s">
        <v>1252</v>
      </c>
      <c r="G520" s="85" t="s">
        <v>1313</v>
      </c>
      <c r="H520" s="85" t="s">
        <v>1461</v>
      </c>
      <c r="I520" s="85" t="s">
        <v>2089</v>
      </c>
      <c r="J520" s="42">
        <v>-5.1</v>
      </c>
      <c r="K520" s="42">
        <v>0.27</v>
      </c>
      <c r="L520" s="42">
        <v>-5.3</v>
      </c>
      <c r="M520" s="42">
        <v>-4.4</v>
      </c>
      <c r="N520" s="42">
        <v>0.18</v>
      </c>
      <c r="O520" s="42">
        <v>2.5E10</v>
      </c>
      <c r="P520" s="42">
        <v>1.7E10</v>
      </c>
      <c r="Q520" s="42">
        <v>0.0</v>
      </c>
      <c r="R520" s="42">
        <v>0.0</v>
      </c>
      <c r="S520" s="42">
        <v>0.0</v>
      </c>
      <c r="T520" s="42">
        <v>0.0</v>
      </c>
      <c r="U520" s="42">
        <v>-27.9</v>
      </c>
      <c r="V520" s="42">
        <v>0.0</v>
      </c>
      <c r="W520" s="42">
        <v>0.0</v>
      </c>
    </row>
    <row r="521">
      <c r="A521" s="87">
        <v>520.0</v>
      </c>
      <c r="B521" s="85" t="s">
        <v>2129</v>
      </c>
      <c r="C521" s="85" t="s">
        <v>587</v>
      </c>
      <c r="D521" s="85" t="s">
        <v>1299</v>
      </c>
      <c r="E521" s="85" t="s">
        <v>1300</v>
      </c>
      <c r="F521" s="85" t="s">
        <v>1301</v>
      </c>
      <c r="G521" s="85" t="s">
        <v>1301</v>
      </c>
      <c r="H521" s="85" t="s">
        <v>1301</v>
      </c>
      <c r="I521" s="85" t="s">
        <v>1265</v>
      </c>
      <c r="J521" s="42">
        <v>31.3</v>
      </c>
      <c r="K521" s="42">
        <v>1.8</v>
      </c>
      <c r="L521" s="42">
        <v>5.6</v>
      </c>
      <c r="M521" s="42">
        <v>3.3</v>
      </c>
      <c r="N521" s="42">
        <v>0.73</v>
      </c>
      <c r="O521" s="42">
        <v>1.09E11</v>
      </c>
      <c r="P521" s="42">
        <v>1.3E11</v>
      </c>
      <c r="Q521" s="42">
        <v>-51.2</v>
      </c>
      <c r="R521" s="42">
        <v>-41.2</v>
      </c>
      <c r="S521" s="42">
        <v>-67.2</v>
      </c>
      <c r="T521" s="42">
        <v>57.9</v>
      </c>
      <c r="U521" s="42">
        <v>2.7</v>
      </c>
      <c r="V521" s="42">
        <v>-33.3</v>
      </c>
      <c r="W521" s="42">
        <v>-66.5</v>
      </c>
    </row>
    <row r="522">
      <c r="A522" s="87">
        <v>521.0</v>
      </c>
      <c r="B522" s="85" t="s">
        <v>2130</v>
      </c>
      <c r="C522" s="85" t="s">
        <v>588</v>
      </c>
      <c r="D522" s="85" t="s">
        <v>1234</v>
      </c>
      <c r="E522" s="85" t="s">
        <v>1235</v>
      </c>
      <c r="F522" s="85" t="s">
        <v>1235</v>
      </c>
      <c r="G522" s="85" t="s">
        <v>1236</v>
      </c>
      <c r="H522" s="85" t="s">
        <v>1237</v>
      </c>
      <c r="I522" s="85" t="s">
        <v>1369</v>
      </c>
      <c r="J522" s="42">
        <v>16.9</v>
      </c>
      <c r="K522" s="42">
        <v>0.38</v>
      </c>
      <c r="L522" s="42">
        <v>2.3</v>
      </c>
      <c r="M522" s="42">
        <v>1.4</v>
      </c>
      <c r="N522" s="42">
        <v>0.65</v>
      </c>
      <c r="O522" s="42">
        <v>2.6E12</v>
      </c>
      <c r="P522" s="42">
        <v>7.6E11</v>
      </c>
      <c r="Q522" s="42">
        <v>-21.3</v>
      </c>
      <c r="R522" s="42">
        <v>-31.5</v>
      </c>
      <c r="S522" s="42">
        <v>-17.9</v>
      </c>
      <c r="T522" s="42">
        <v>-1.2</v>
      </c>
      <c r="U522" s="42">
        <v>20.0</v>
      </c>
      <c r="V522" s="42">
        <v>-8.5</v>
      </c>
      <c r="W522" s="42">
        <v>-20.0</v>
      </c>
    </row>
    <row r="523">
      <c r="A523" s="87">
        <v>522.0</v>
      </c>
      <c r="B523" s="85" t="s">
        <v>2131</v>
      </c>
      <c r="C523" s="85" t="s">
        <v>589</v>
      </c>
      <c r="D523" s="85" t="s">
        <v>1207</v>
      </c>
      <c r="E523" s="85" t="s">
        <v>1208</v>
      </c>
      <c r="F523" s="85" t="s">
        <v>1209</v>
      </c>
      <c r="G523" s="85" t="s">
        <v>1209</v>
      </c>
      <c r="H523" s="85" t="s">
        <v>1210</v>
      </c>
      <c r="I523" s="85" t="s">
        <v>1211</v>
      </c>
      <c r="J523" s="42">
        <v>14.0</v>
      </c>
      <c r="K523" s="42">
        <v>2.0</v>
      </c>
      <c r="L523" s="42">
        <v>14.0</v>
      </c>
      <c r="M523" s="42">
        <v>4.2</v>
      </c>
      <c r="N523" s="42">
        <v>2.3</v>
      </c>
      <c r="O523" s="42">
        <v>2.1E12</v>
      </c>
      <c r="P523" s="42">
        <v>1.2E12</v>
      </c>
      <c r="Q523" s="42">
        <v>-10.8</v>
      </c>
      <c r="R523" s="42">
        <v>-0.8</v>
      </c>
      <c r="S523" s="42">
        <v>-13.9</v>
      </c>
      <c r="T523" s="42">
        <v>38.4</v>
      </c>
      <c r="U523" s="42">
        <v>13.0</v>
      </c>
      <c r="V523" s="42">
        <v>-11.4</v>
      </c>
      <c r="W523" s="42">
        <v>-12.7</v>
      </c>
    </row>
    <row r="524">
      <c r="A524" s="87">
        <v>523.0</v>
      </c>
      <c r="B524" s="85" t="s">
        <v>2132</v>
      </c>
      <c r="C524" s="85" t="s">
        <v>590</v>
      </c>
      <c r="D524" s="85" t="s">
        <v>1261</v>
      </c>
      <c r="E524" s="85" t="s">
        <v>1201</v>
      </c>
      <c r="F524" s="85" t="s">
        <v>1262</v>
      </c>
      <c r="G524" s="85" t="s">
        <v>1263</v>
      </c>
      <c r="H524" s="85" t="s">
        <v>1264</v>
      </c>
      <c r="I524" s="85" t="s">
        <v>1458</v>
      </c>
      <c r="J524" s="42">
        <v>5.3</v>
      </c>
      <c r="K524" s="42">
        <v>0.47</v>
      </c>
      <c r="L524" s="42">
        <v>9.0</v>
      </c>
      <c r="M524" s="42">
        <v>8.3</v>
      </c>
      <c r="N524" s="42">
        <v>0.09</v>
      </c>
      <c r="O524" s="42">
        <v>1.71E11</v>
      </c>
      <c r="P524" s="42">
        <v>4.2E10</v>
      </c>
      <c r="Q524" s="42">
        <v>-15.2</v>
      </c>
      <c r="R524" s="42">
        <v>-16.7</v>
      </c>
      <c r="S524" s="42">
        <v>-18.6</v>
      </c>
      <c r="T524" s="42">
        <v>-5.6</v>
      </c>
      <c r="U524" s="42">
        <v>77.0</v>
      </c>
      <c r="V524" s="42">
        <v>-8.5</v>
      </c>
      <c r="W524" s="42">
        <v>-17.5</v>
      </c>
    </row>
    <row r="525">
      <c r="A525" s="87">
        <v>524.0</v>
      </c>
      <c r="B525" s="85" t="s">
        <v>2133</v>
      </c>
      <c r="C525" s="85" t="s">
        <v>591</v>
      </c>
      <c r="D525" s="85" t="s">
        <v>1234</v>
      </c>
      <c r="E525" s="85" t="s">
        <v>1235</v>
      </c>
      <c r="F525" s="85" t="s">
        <v>1235</v>
      </c>
      <c r="G525" s="85" t="s">
        <v>1236</v>
      </c>
      <c r="H525" s="85" t="s">
        <v>1237</v>
      </c>
      <c r="I525" s="85" t="s">
        <v>1369</v>
      </c>
      <c r="J525" s="42">
        <v>12.0</v>
      </c>
      <c r="K525" s="42">
        <v>0.16</v>
      </c>
      <c r="L525" s="42">
        <v>1.3</v>
      </c>
      <c r="M525" s="42">
        <v>0.84</v>
      </c>
      <c r="N525" s="42">
        <v>0.59</v>
      </c>
      <c r="O525" s="42">
        <v>4.9E12</v>
      </c>
      <c r="P525" s="42">
        <v>1.8E12</v>
      </c>
      <c r="Q525" s="42">
        <v>-27.2</v>
      </c>
      <c r="R525" s="42">
        <v>-31.4</v>
      </c>
      <c r="S525" s="42">
        <v>-33.7</v>
      </c>
      <c r="T525" s="42">
        <v>-32.2</v>
      </c>
      <c r="U525" s="42">
        <v>22.6</v>
      </c>
      <c r="V525" s="42">
        <v>-9.2</v>
      </c>
      <c r="W525" s="42">
        <v>-30.6</v>
      </c>
    </row>
    <row r="526">
      <c r="A526" s="87">
        <v>525.0</v>
      </c>
      <c r="B526" s="85" t="s">
        <v>2134</v>
      </c>
      <c r="C526" s="85" t="s">
        <v>592</v>
      </c>
      <c r="D526" s="85" t="s">
        <v>1234</v>
      </c>
      <c r="E526" s="85" t="s">
        <v>1235</v>
      </c>
      <c r="F526" s="85" t="s">
        <v>1235</v>
      </c>
      <c r="G526" s="85" t="s">
        <v>1236</v>
      </c>
      <c r="H526" s="85" t="s">
        <v>1237</v>
      </c>
      <c r="I526" s="85" t="s">
        <v>1322</v>
      </c>
      <c r="J526" s="42">
        <v>0.34</v>
      </c>
      <c r="K526" s="42">
        <v>0.15</v>
      </c>
      <c r="L526" s="42">
        <v>44.1</v>
      </c>
      <c r="M526" s="42">
        <v>43.6</v>
      </c>
      <c r="N526" s="42">
        <v>0.01</v>
      </c>
      <c r="O526" s="42">
        <v>2.81E11</v>
      </c>
      <c r="P526" s="42">
        <v>2.46E9</v>
      </c>
      <c r="Q526" s="42">
        <v>-20.8</v>
      </c>
      <c r="R526" s="42">
        <v>-23.5</v>
      </c>
      <c r="S526" s="42">
        <v>-50.0</v>
      </c>
      <c r="T526" s="42">
        <v>-7.3</v>
      </c>
      <c r="U526" s="42">
        <v>34000.0</v>
      </c>
      <c r="V526" s="42">
        <v>-5.8</v>
      </c>
      <c r="W526" s="42">
        <v>-39.4</v>
      </c>
    </row>
    <row r="527">
      <c r="A527" s="87">
        <v>526.0</v>
      </c>
      <c r="B527" s="85" t="s">
        <v>2135</v>
      </c>
      <c r="C527" s="85" t="s">
        <v>593</v>
      </c>
      <c r="D527" s="85" t="s">
        <v>2136</v>
      </c>
      <c r="E527" s="85" t="s">
        <v>1201</v>
      </c>
      <c r="F527" s="85" t="s">
        <v>1219</v>
      </c>
      <c r="G527" s="85" t="s">
        <v>2137</v>
      </c>
      <c r="H527" s="85" t="s">
        <v>2137</v>
      </c>
      <c r="I527" s="85" t="s">
        <v>1578</v>
      </c>
      <c r="J527" s="42">
        <v>4.7</v>
      </c>
      <c r="K527" s="42">
        <v>3.6</v>
      </c>
      <c r="L527" s="42">
        <v>76.8</v>
      </c>
      <c r="M527" s="42">
        <v>11.3</v>
      </c>
      <c r="N527" s="42">
        <v>5.8</v>
      </c>
      <c r="O527" s="42">
        <v>3.6E12</v>
      </c>
      <c r="P527" s="42">
        <v>2.5E12</v>
      </c>
      <c r="Q527" s="42">
        <v>-9.9</v>
      </c>
      <c r="R527" s="42">
        <v>-19.8</v>
      </c>
      <c r="S527" s="42">
        <v>-12.3</v>
      </c>
      <c r="T527" s="42">
        <v>-16.1</v>
      </c>
      <c r="U527" s="42">
        <v>31.1</v>
      </c>
      <c r="V527" s="42">
        <v>-9.0</v>
      </c>
      <c r="W527" s="42">
        <v>-16.8</v>
      </c>
    </row>
    <row r="528">
      <c r="A528" s="87">
        <v>527.0</v>
      </c>
      <c r="B528" s="85" t="s">
        <v>2138</v>
      </c>
      <c r="C528" s="85" t="s">
        <v>594</v>
      </c>
      <c r="D528" s="85" t="s">
        <v>1755</v>
      </c>
      <c r="E528" s="85" t="s">
        <v>1208</v>
      </c>
      <c r="F528" s="85" t="s">
        <v>1364</v>
      </c>
      <c r="G528" s="85" t="s">
        <v>1364</v>
      </c>
      <c r="H528" s="85" t="s">
        <v>1756</v>
      </c>
      <c r="I528" s="85" t="s">
        <v>1278</v>
      </c>
      <c r="J528" s="42">
        <v>13.1</v>
      </c>
      <c r="K528" s="42">
        <v>0.26</v>
      </c>
      <c r="L528" s="42">
        <v>2.0</v>
      </c>
      <c r="M528" s="42">
        <v>2.0</v>
      </c>
      <c r="N528" s="42">
        <v>0.0</v>
      </c>
      <c r="O528" s="42">
        <v>1.79E11</v>
      </c>
      <c r="P528" s="42">
        <v>8.5E7</v>
      </c>
      <c r="Q528" s="42">
        <v>-32.1</v>
      </c>
      <c r="R528" s="42">
        <v>-25.0</v>
      </c>
      <c r="S528" s="42">
        <v>-53.3</v>
      </c>
      <c r="T528" s="42">
        <v>0.0</v>
      </c>
      <c r="U528" s="42">
        <v>16000.0</v>
      </c>
      <c r="V528" s="42">
        <v>-18.6</v>
      </c>
      <c r="W528" s="42">
        <v>-48.6</v>
      </c>
    </row>
    <row r="529">
      <c r="A529" s="87">
        <v>528.0</v>
      </c>
      <c r="B529" s="85" t="s">
        <v>2139</v>
      </c>
      <c r="C529" s="85" t="s">
        <v>595</v>
      </c>
      <c r="D529" s="85" t="s">
        <v>1426</v>
      </c>
      <c r="E529" s="85" t="s">
        <v>1300</v>
      </c>
      <c r="F529" s="85" t="s">
        <v>1427</v>
      </c>
      <c r="G529" s="85" t="s">
        <v>1428</v>
      </c>
      <c r="H529" s="85" t="s">
        <v>1429</v>
      </c>
      <c r="I529" s="85" t="s">
        <v>1302</v>
      </c>
      <c r="J529" s="42">
        <v>-2.9</v>
      </c>
      <c r="K529" s="42">
        <v>0.26</v>
      </c>
      <c r="L529" s="42">
        <v>-8.8</v>
      </c>
      <c r="M529" s="42">
        <v>-7.7</v>
      </c>
      <c r="N529" s="42">
        <v>0.14</v>
      </c>
      <c r="O529" s="42">
        <v>6.7E10</v>
      </c>
      <c r="P529" s="42">
        <v>1.4E10</v>
      </c>
      <c r="Q529" s="42">
        <v>-20.6</v>
      </c>
      <c r="R529" s="42">
        <v>-7.4</v>
      </c>
      <c r="S529" s="42">
        <v>-23.6</v>
      </c>
      <c r="T529" s="42">
        <v>16.5</v>
      </c>
      <c r="U529" s="42">
        <v>-160.0</v>
      </c>
      <c r="V529" s="42">
        <v>-14.7</v>
      </c>
      <c r="W529" s="42">
        <v>-45.3</v>
      </c>
    </row>
    <row r="530">
      <c r="A530" s="87">
        <v>529.0</v>
      </c>
      <c r="B530" s="85" t="s">
        <v>2140</v>
      </c>
      <c r="C530" s="85" t="s">
        <v>596</v>
      </c>
      <c r="D530" s="85" t="s">
        <v>1193</v>
      </c>
      <c r="E530" s="85" t="s">
        <v>1194</v>
      </c>
      <c r="F530" s="85" t="s">
        <v>1195</v>
      </c>
      <c r="G530" s="85" t="s">
        <v>1196</v>
      </c>
      <c r="H530" s="85" t="s">
        <v>1197</v>
      </c>
      <c r="I530" s="85" t="s">
        <v>2141</v>
      </c>
      <c r="J530" s="42">
        <v>4.7</v>
      </c>
      <c r="K530" s="42">
        <v>0.61</v>
      </c>
      <c r="L530" s="42">
        <v>13.1</v>
      </c>
      <c r="M530" s="42">
        <v>12.0</v>
      </c>
      <c r="N530" s="42">
        <v>0.1</v>
      </c>
      <c r="O530" s="42">
        <v>8.8E12</v>
      </c>
      <c r="P530" s="42">
        <v>1.3E12</v>
      </c>
      <c r="Q530" s="42">
        <v>-28.1</v>
      </c>
      <c r="R530" s="42">
        <v>-16.7</v>
      </c>
      <c r="S530" s="42">
        <v>-14.7</v>
      </c>
      <c r="T530" s="42">
        <v>-11.6</v>
      </c>
      <c r="U530" s="42">
        <v>140.0</v>
      </c>
      <c r="V530" s="42">
        <v>-13.4</v>
      </c>
      <c r="W530" s="42">
        <v>-7.9</v>
      </c>
    </row>
    <row r="531">
      <c r="A531" s="87">
        <v>530.0</v>
      </c>
      <c r="B531" s="85" t="s">
        <v>2142</v>
      </c>
      <c r="C531" s="85" t="s">
        <v>597</v>
      </c>
      <c r="D531" s="85" t="s">
        <v>1251</v>
      </c>
      <c r="E531" s="85" t="s">
        <v>1252</v>
      </c>
      <c r="F531" s="85" t="s">
        <v>1252</v>
      </c>
      <c r="G531" s="85" t="s">
        <v>1253</v>
      </c>
      <c r="H531" s="85" t="s">
        <v>1254</v>
      </c>
      <c r="I531" s="85" t="s">
        <v>1306</v>
      </c>
      <c r="J531" s="42">
        <v>8.1</v>
      </c>
      <c r="K531" s="42">
        <v>0.35</v>
      </c>
      <c r="L531" s="42">
        <v>4.3</v>
      </c>
      <c r="M531" s="42">
        <v>2.1</v>
      </c>
      <c r="N531" s="42">
        <v>1.0</v>
      </c>
      <c r="O531" s="42">
        <v>1.2E12</v>
      </c>
      <c r="P531" s="42">
        <v>2.3E12</v>
      </c>
      <c r="Q531" s="42">
        <v>-16.3</v>
      </c>
      <c r="R531" s="42">
        <v>-11.5</v>
      </c>
      <c r="S531" s="42">
        <v>-19.7</v>
      </c>
      <c r="T531" s="42">
        <v>-22.3</v>
      </c>
      <c r="U531" s="42">
        <v>6.6</v>
      </c>
      <c r="V531" s="42">
        <v>-9.2</v>
      </c>
      <c r="W531" s="42">
        <v>-19.7</v>
      </c>
    </row>
    <row r="532">
      <c r="A532" s="87">
        <v>531.0</v>
      </c>
      <c r="B532" s="85" t="s">
        <v>2143</v>
      </c>
      <c r="C532" s="85" t="s">
        <v>598</v>
      </c>
      <c r="D532" s="85" t="s">
        <v>1443</v>
      </c>
      <c r="E532" s="85" t="s">
        <v>1376</v>
      </c>
      <c r="F532" s="85" t="s">
        <v>1444</v>
      </c>
      <c r="G532" s="85" t="s">
        <v>1445</v>
      </c>
      <c r="H532" s="85" t="s">
        <v>1445</v>
      </c>
      <c r="I532" s="85" t="s">
        <v>1441</v>
      </c>
      <c r="J532" s="42">
        <v>-5.9</v>
      </c>
      <c r="K532" s="42">
        <v>0.69</v>
      </c>
      <c r="L532" s="42">
        <v>-11.7</v>
      </c>
      <c r="M532" s="42">
        <v>-9.2</v>
      </c>
      <c r="N532" s="42">
        <v>0.27</v>
      </c>
      <c r="O532" s="42">
        <v>8.0E10</v>
      </c>
      <c r="P532" s="42">
        <v>5.7E10</v>
      </c>
      <c r="Q532" s="42">
        <v>-13.8</v>
      </c>
      <c r="R532" s="42">
        <v>-3.8</v>
      </c>
      <c r="S532" s="42">
        <v>-20.6</v>
      </c>
      <c r="T532" s="42">
        <v>49.3</v>
      </c>
      <c r="U532" s="42">
        <v>-24.0</v>
      </c>
      <c r="V532" s="42">
        <v>-9.1</v>
      </c>
      <c r="W532" s="42">
        <v>-28.6</v>
      </c>
    </row>
    <row r="533">
      <c r="A533" s="87">
        <v>532.0</v>
      </c>
      <c r="B533" s="85" t="s">
        <v>2144</v>
      </c>
      <c r="C533" s="85" t="s">
        <v>599</v>
      </c>
      <c r="D533" s="85" t="s">
        <v>1456</v>
      </c>
      <c r="E533" s="85" t="s">
        <v>1201</v>
      </c>
      <c r="F533" s="85" t="s">
        <v>1286</v>
      </c>
      <c r="G533" s="85" t="s">
        <v>1287</v>
      </c>
      <c r="H533" s="85" t="s">
        <v>1457</v>
      </c>
      <c r="I533" s="85" t="s">
        <v>1265</v>
      </c>
      <c r="J533" s="42">
        <v>-35.8</v>
      </c>
      <c r="K533" s="42">
        <v>60.1</v>
      </c>
      <c r="L533" s="42">
        <v>-170.0</v>
      </c>
      <c r="M533" s="42">
        <v>-51.8</v>
      </c>
      <c r="N533" s="42">
        <v>2.2</v>
      </c>
      <c r="O533" s="42">
        <v>1.5E12</v>
      </c>
      <c r="P533" s="42">
        <v>8.3E10</v>
      </c>
      <c r="Q533" s="42">
        <v>-31.0</v>
      </c>
      <c r="R533" s="42">
        <v>-53.9</v>
      </c>
      <c r="S533" s="42">
        <v>350.0</v>
      </c>
      <c r="T533" s="42">
        <v>970.0</v>
      </c>
      <c r="U533" s="42">
        <v>-52.4</v>
      </c>
      <c r="V533" s="42">
        <v>-5.8</v>
      </c>
      <c r="W533" s="42">
        <v>81.9</v>
      </c>
    </row>
    <row r="534">
      <c r="A534" s="87">
        <v>533.0</v>
      </c>
      <c r="B534" s="85" t="s">
        <v>2145</v>
      </c>
      <c r="C534" s="85" t="s">
        <v>600</v>
      </c>
      <c r="D534" s="85" t="s">
        <v>1285</v>
      </c>
      <c r="E534" s="85" t="s">
        <v>1201</v>
      </c>
      <c r="F534" s="85" t="s">
        <v>1286</v>
      </c>
      <c r="G534" s="85" t="s">
        <v>1287</v>
      </c>
      <c r="H534" s="85" t="s">
        <v>1288</v>
      </c>
      <c r="I534" s="85" t="s">
        <v>1205</v>
      </c>
      <c r="J534" s="42">
        <v>0.0</v>
      </c>
      <c r="K534" s="42">
        <v>2.7</v>
      </c>
      <c r="L534" s="42">
        <v>-92.1</v>
      </c>
      <c r="M534" s="42">
        <v>-11.8</v>
      </c>
      <c r="N534" s="42">
        <v>6.8</v>
      </c>
      <c r="O534" s="42">
        <v>7.68E11</v>
      </c>
      <c r="P534" s="42">
        <v>4.5E10</v>
      </c>
      <c r="Q534" s="42">
        <v>0.0</v>
      </c>
      <c r="R534" s="42">
        <v>0.0</v>
      </c>
      <c r="S534" s="42">
        <v>0.0</v>
      </c>
      <c r="T534" s="42">
        <v>0.0</v>
      </c>
      <c r="U534" s="42">
        <v>-580.0</v>
      </c>
      <c r="V534" s="42">
        <v>0.0</v>
      </c>
      <c r="W534" s="42">
        <v>0.0</v>
      </c>
    </row>
    <row r="535">
      <c r="A535" s="87">
        <v>534.0</v>
      </c>
      <c r="B535" s="85" t="s">
        <v>2146</v>
      </c>
      <c r="C535" s="85" t="s">
        <v>601</v>
      </c>
      <c r="D535" s="85" t="s">
        <v>1193</v>
      </c>
      <c r="E535" s="85" t="s">
        <v>1194</v>
      </c>
      <c r="F535" s="85" t="s">
        <v>1195</v>
      </c>
      <c r="G535" s="85" t="s">
        <v>1196</v>
      </c>
      <c r="H535" s="85" t="s">
        <v>1197</v>
      </c>
      <c r="I535" s="85" t="s">
        <v>1318</v>
      </c>
      <c r="J535" s="42">
        <v>0.0</v>
      </c>
      <c r="K535" s="42">
        <v>5.9</v>
      </c>
      <c r="L535" s="42">
        <v>-83.7</v>
      </c>
      <c r="M535" s="42">
        <v>-7.6</v>
      </c>
      <c r="N535" s="42">
        <v>10.1</v>
      </c>
      <c r="O535" s="42">
        <v>4.5E11</v>
      </c>
      <c r="P535" s="42">
        <v>3.2E10</v>
      </c>
      <c r="Q535" s="42">
        <v>0.0</v>
      </c>
      <c r="R535" s="42">
        <v>0.0</v>
      </c>
      <c r="S535" s="42">
        <v>0.0</v>
      </c>
      <c r="T535" s="42">
        <v>0.0</v>
      </c>
      <c r="U535" s="42">
        <v>-200.0</v>
      </c>
      <c r="V535" s="42">
        <v>0.0</v>
      </c>
      <c r="W535" s="42">
        <v>0.0</v>
      </c>
    </row>
    <row r="536">
      <c r="A536" s="87">
        <v>535.0</v>
      </c>
      <c r="B536" s="85" t="s">
        <v>2147</v>
      </c>
      <c r="C536" s="85" t="s">
        <v>602</v>
      </c>
      <c r="D536" s="85" t="s">
        <v>1308</v>
      </c>
      <c r="E536" s="85" t="s">
        <v>1187</v>
      </c>
      <c r="F536" s="85" t="s">
        <v>1188</v>
      </c>
      <c r="G536" s="85" t="s">
        <v>1189</v>
      </c>
      <c r="H536" s="85" t="s">
        <v>1309</v>
      </c>
      <c r="I536" s="85" t="s">
        <v>1216</v>
      </c>
      <c r="J536" s="42">
        <v>7.6</v>
      </c>
      <c r="K536" s="42">
        <v>1.2</v>
      </c>
      <c r="L536" s="42">
        <v>16.0</v>
      </c>
      <c r="M536" s="42">
        <v>10.6</v>
      </c>
      <c r="N536" s="42">
        <v>0.52</v>
      </c>
      <c r="O536" s="42">
        <v>2.4E12</v>
      </c>
      <c r="P536" s="42">
        <v>7.24E11</v>
      </c>
      <c r="Q536" s="42">
        <v>-16.7</v>
      </c>
      <c r="R536" s="42">
        <v>-5.3</v>
      </c>
      <c r="S536" s="42">
        <v>-12.6</v>
      </c>
      <c r="T536" s="42">
        <v>-26.5</v>
      </c>
      <c r="U536" s="42">
        <v>44.0</v>
      </c>
      <c r="V536" s="42">
        <v>-16.1</v>
      </c>
      <c r="W536" s="42">
        <v>-30.6</v>
      </c>
    </row>
    <row r="537">
      <c r="A537" s="87">
        <v>536.0</v>
      </c>
      <c r="B537" s="85" t="s">
        <v>2148</v>
      </c>
      <c r="C537" s="85" t="s">
        <v>603</v>
      </c>
      <c r="D537" s="85" t="s">
        <v>1267</v>
      </c>
      <c r="E537" s="85" t="s">
        <v>1194</v>
      </c>
      <c r="F537" s="85" t="s">
        <v>1195</v>
      </c>
      <c r="G537" s="85" t="s">
        <v>1196</v>
      </c>
      <c r="H537" s="85" t="s">
        <v>1268</v>
      </c>
      <c r="I537" s="85" t="s">
        <v>1243</v>
      </c>
      <c r="J537" s="42">
        <v>4.1</v>
      </c>
      <c r="K537" s="42">
        <v>0.62</v>
      </c>
      <c r="L537" s="42">
        <v>15.1</v>
      </c>
      <c r="M537" s="42">
        <v>7.4</v>
      </c>
      <c r="N537" s="42">
        <v>1.0</v>
      </c>
      <c r="O537" s="42">
        <v>1.9E12</v>
      </c>
      <c r="P537" s="42">
        <v>3.7E12</v>
      </c>
      <c r="Q537" s="42">
        <v>-25.3</v>
      </c>
      <c r="R537" s="42">
        <v>-26.2</v>
      </c>
      <c r="S537" s="42">
        <v>-19.0</v>
      </c>
      <c r="T537" s="42">
        <v>-10.1</v>
      </c>
      <c r="U537" s="42">
        <v>12.3</v>
      </c>
      <c r="V537" s="42">
        <v>-23.5</v>
      </c>
      <c r="W537" s="42">
        <v>-30.7</v>
      </c>
    </row>
    <row r="538">
      <c r="A538" s="87">
        <v>537.0</v>
      </c>
      <c r="B538" s="85" t="s">
        <v>2149</v>
      </c>
      <c r="C538" s="85" t="s">
        <v>604</v>
      </c>
      <c r="D538" s="85" t="s">
        <v>1229</v>
      </c>
      <c r="E538" s="85" t="s">
        <v>1230</v>
      </c>
      <c r="F538" s="85" t="s">
        <v>1231</v>
      </c>
      <c r="G538" s="85" t="s">
        <v>1231</v>
      </c>
      <c r="H538" s="85" t="s">
        <v>1231</v>
      </c>
      <c r="I538" s="85" t="s">
        <v>1265</v>
      </c>
      <c r="J538" s="42">
        <v>-14.3</v>
      </c>
      <c r="K538" s="42">
        <v>1.4</v>
      </c>
      <c r="L538" s="42">
        <v>-9.5</v>
      </c>
      <c r="M538" s="42">
        <v>-7.8</v>
      </c>
      <c r="N538" s="42">
        <v>0.22</v>
      </c>
      <c r="O538" s="42">
        <v>1.83E11</v>
      </c>
      <c r="P538" s="42">
        <v>3.26E9</v>
      </c>
      <c r="Q538" s="42">
        <v>-13.5</v>
      </c>
      <c r="R538" s="42">
        <v>-11.8</v>
      </c>
      <c r="S538" s="42">
        <v>-35.7</v>
      </c>
      <c r="T538" s="42">
        <v>32.4</v>
      </c>
      <c r="U538" s="42">
        <v>-390.0</v>
      </c>
      <c r="V538" s="42">
        <v>-6.3</v>
      </c>
      <c r="W538" s="42">
        <v>-26.2</v>
      </c>
    </row>
    <row r="539">
      <c r="A539" s="87">
        <v>538.0</v>
      </c>
      <c r="B539" s="85" t="s">
        <v>2150</v>
      </c>
      <c r="C539" s="85" t="s">
        <v>605</v>
      </c>
      <c r="D539" s="85" t="s">
        <v>1452</v>
      </c>
      <c r="E539" s="85" t="s">
        <v>1201</v>
      </c>
      <c r="F539" s="85" t="s">
        <v>1219</v>
      </c>
      <c r="G539" s="85" t="s">
        <v>1220</v>
      </c>
      <c r="H539" s="85" t="s">
        <v>1453</v>
      </c>
      <c r="I539" s="85" t="s">
        <v>2151</v>
      </c>
      <c r="J539" s="42">
        <v>9.9</v>
      </c>
      <c r="K539" s="42">
        <v>2.0</v>
      </c>
      <c r="L539" s="42">
        <v>20.0</v>
      </c>
      <c r="M539" s="42">
        <v>12.7</v>
      </c>
      <c r="N539" s="42">
        <v>0.57</v>
      </c>
      <c r="O539" s="42">
        <v>1.82E13</v>
      </c>
      <c r="P539" s="42">
        <v>5.0E12</v>
      </c>
      <c r="Q539" s="42">
        <v>-18.5</v>
      </c>
      <c r="R539" s="42">
        <v>-9.4</v>
      </c>
      <c r="S539" s="42">
        <v>-25.9</v>
      </c>
      <c r="T539" s="42">
        <v>-24.3</v>
      </c>
      <c r="U539" s="42">
        <v>37.4</v>
      </c>
      <c r="V539" s="42">
        <v>-15.2</v>
      </c>
      <c r="W539" s="42">
        <v>-23.2</v>
      </c>
    </row>
    <row r="540">
      <c r="A540" s="87">
        <v>539.0</v>
      </c>
      <c r="B540" s="85" t="s">
        <v>2152</v>
      </c>
      <c r="C540" s="85" t="s">
        <v>606</v>
      </c>
      <c r="D540" s="85" t="s">
        <v>1456</v>
      </c>
      <c r="E540" s="85" t="s">
        <v>1201</v>
      </c>
      <c r="F540" s="85" t="s">
        <v>1286</v>
      </c>
      <c r="G540" s="85" t="s">
        <v>1287</v>
      </c>
      <c r="H540" s="85" t="s">
        <v>1457</v>
      </c>
      <c r="I540" s="85" t="s">
        <v>1561</v>
      </c>
      <c r="J540" s="42">
        <v>-23.6</v>
      </c>
      <c r="K540" s="42">
        <v>2.6</v>
      </c>
      <c r="L540" s="42">
        <v>-11.1</v>
      </c>
      <c r="M540" s="42">
        <v>-5.5</v>
      </c>
      <c r="N540" s="42">
        <v>1.0</v>
      </c>
      <c r="O540" s="42">
        <v>3.5E12</v>
      </c>
      <c r="P540" s="42">
        <v>8.06E11</v>
      </c>
      <c r="Q540" s="42">
        <v>-14.5</v>
      </c>
      <c r="R540" s="42">
        <v>-14.5</v>
      </c>
      <c r="S540" s="42">
        <v>-15.9</v>
      </c>
      <c r="T540" s="42">
        <v>4.0</v>
      </c>
      <c r="U540" s="42">
        <v>-18.5</v>
      </c>
      <c r="V540" s="42">
        <v>-11.9</v>
      </c>
      <c r="W540" s="42">
        <v>-14.5</v>
      </c>
    </row>
    <row r="541">
      <c r="A541" s="87">
        <v>540.0</v>
      </c>
      <c r="B541" s="85" t="s">
        <v>2153</v>
      </c>
      <c r="C541" s="85" t="s">
        <v>607</v>
      </c>
      <c r="D541" s="85" t="s">
        <v>1452</v>
      </c>
      <c r="E541" s="85" t="s">
        <v>1201</v>
      </c>
      <c r="F541" s="85" t="s">
        <v>1219</v>
      </c>
      <c r="G541" s="85" t="s">
        <v>1220</v>
      </c>
      <c r="H541" s="85" t="s">
        <v>1453</v>
      </c>
      <c r="I541" s="85" t="s">
        <v>2154</v>
      </c>
      <c r="J541" s="42">
        <v>10.4</v>
      </c>
      <c r="K541" s="42">
        <v>1.4</v>
      </c>
      <c r="L541" s="42">
        <v>13.3</v>
      </c>
      <c r="M541" s="42">
        <v>7.0</v>
      </c>
      <c r="N541" s="42">
        <v>0.9</v>
      </c>
      <c r="O541" s="42">
        <v>2.48E13</v>
      </c>
      <c r="P541" s="42">
        <v>1.23E13</v>
      </c>
      <c r="Q541" s="42">
        <v>-1.3</v>
      </c>
      <c r="R541" s="42">
        <v>32.0</v>
      </c>
      <c r="S541" s="42">
        <v>22.2</v>
      </c>
      <c r="T541" s="42">
        <v>17.9</v>
      </c>
      <c r="U541" s="42">
        <v>19.4</v>
      </c>
      <c r="V541" s="42">
        <v>0.0</v>
      </c>
      <c r="W541" s="42">
        <v>25.8</v>
      </c>
    </row>
    <row r="542">
      <c r="A542" s="87">
        <v>541.0</v>
      </c>
      <c r="B542" s="85" t="s">
        <v>2155</v>
      </c>
      <c r="C542" s="85" t="s">
        <v>608</v>
      </c>
      <c r="D542" s="85" t="s">
        <v>2156</v>
      </c>
      <c r="E542" s="85" t="s">
        <v>1201</v>
      </c>
      <c r="F542" s="85" t="s">
        <v>1202</v>
      </c>
      <c r="G542" s="85" t="s">
        <v>1203</v>
      </c>
      <c r="H542" s="85" t="s">
        <v>2157</v>
      </c>
      <c r="I542" s="85" t="s">
        <v>1205</v>
      </c>
      <c r="J542" s="42">
        <v>-4.7</v>
      </c>
      <c r="K542" s="42">
        <v>-1.3</v>
      </c>
      <c r="L542" s="42">
        <v>0.0</v>
      </c>
      <c r="M542" s="42">
        <v>-9.3</v>
      </c>
      <c r="N542" s="42">
        <v>-3.9</v>
      </c>
      <c r="O542" s="42">
        <v>1.47E11</v>
      </c>
      <c r="P542" s="42">
        <v>3.7E10</v>
      </c>
      <c r="Q542" s="42">
        <v>-26.7</v>
      </c>
      <c r="R542" s="42">
        <v>-24.1</v>
      </c>
      <c r="S542" s="42">
        <v>-33.3</v>
      </c>
      <c r="T542" s="42">
        <v>-56.0</v>
      </c>
      <c r="U542" s="42">
        <v>-83.0</v>
      </c>
      <c r="V542" s="42">
        <v>-21.4</v>
      </c>
      <c r="W542" s="42">
        <v>-29.0</v>
      </c>
    </row>
    <row r="543">
      <c r="A543" s="87">
        <v>542.0</v>
      </c>
      <c r="B543" s="85" t="s">
        <v>2158</v>
      </c>
      <c r="C543" s="85" t="s">
        <v>609</v>
      </c>
      <c r="D543" s="85" t="s">
        <v>1330</v>
      </c>
      <c r="E543" s="85" t="s">
        <v>1214</v>
      </c>
      <c r="F543" s="85" t="s">
        <v>1326</v>
      </c>
      <c r="G543" s="85" t="s">
        <v>1331</v>
      </c>
      <c r="H543" s="85" t="s">
        <v>1332</v>
      </c>
      <c r="I543" s="85" t="s">
        <v>2159</v>
      </c>
      <c r="J543" s="42">
        <v>10.2</v>
      </c>
      <c r="K543" s="42">
        <v>3.1</v>
      </c>
      <c r="L543" s="42">
        <v>30.2</v>
      </c>
      <c r="M543" s="42">
        <v>27.6</v>
      </c>
      <c r="N543" s="42">
        <v>0.1</v>
      </c>
      <c r="O543" s="42">
        <v>3.0E12</v>
      </c>
      <c r="P543" s="42">
        <v>2.51E11</v>
      </c>
      <c r="Q543" s="42">
        <v>-12.4</v>
      </c>
      <c r="R543" s="42">
        <v>-0.667</v>
      </c>
      <c r="S543" s="42">
        <v>-10.8</v>
      </c>
      <c r="T543" s="42">
        <v>4.9</v>
      </c>
      <c r="U543" s="42">
        <v>120.0</v>
      </c>
      <c r="V543" s="42">
        <v>-6.9</v>
      </c>
      <c r="W543" s="42">
        <v>-9.1</v>
      </c>
    </row>
    <row r="544">
      <c r="A544" s="87">
        <v>543.0</v>
      </c>
      <c r="B544" s="85" t="s">
        <v>2160</v>
      </c>
      <c r="C544" s="85" t="s">
        <v>610</v>
      </c>
      <c r="D544" s="85" t="s">
        <v>1273</v>
      </c>
      <c r="E544" s="85" t="s">
        <v>1208</v>
      </c>
      <c r="F544" s="85" t="s">
        <v>1274</v>
      </c>
      <c r="G544" s="85" t="s">
        <v>1274</v>
      </c>
      <c r="H544" s="85" t="s">
        <v>1274</v>
      </c>
      <c r="I544" s="85" t="s">
        <v>1320</v>
      </c>
      <c r="J544" s="42">
        <v>22.6</v>
      </c>
      <c r="K544" s="42">
        <v>1.1</v>
      </c>
      <c r="L544" s="42">
        <v>5.1</v>
      </c>
      <c r="M544" s="42">
        <v>0.61</v>
      </c>
      <c r="N544" s="42">
        <v>7.3</v>
      </c>
      <c r="O544" s="42">
        <v>4.7E12</v>
      </c>
      <c r="P544" s="42">
        <v>5.05E11</v>
      </c>
      <c r="Q544" s="42">
        <v>4.4</v>
      </c>
      <c r="R544" s="42">
        <v>5.4</v>
      </c>
      <c r="S544" s="42">
        <v>9.9</v>
      </c>
      <c r="T544" s="42">
        <v>-2.9</v>
      </c>
      <c r="U544" s="42">
        <v>41.3</v>
      </c>
      <c r="V544" s="42">
        <v>-0.595</v>
      </c>
      <c r="W544" s="42">
        <v>-8.5</v>
      </c>
    </row>
    <row r="545">
      <c r="A545" s="87">
        <v>544.0</v>
      </c>
      <c r="B545" s="85" t="s">
        <v>2161</v>
      </c>
      <c r="C545" s="85" t="s">
        <v>611</v>
      </c>
      <c r="D545" s="85" t="s">
        <v>1282</v>
      </c>
      <c r="E545" s="85" t="s">
        <v>1194</v>
      </c>
      <c r="F545" s="85" t="s">
        <v>1195</v>
      </c>
      <c r="G545" s="85" t="s">
        <v>1283</v>
      </c>
      <c r="H545" s="85" t="s">
        <v>1283</v>
      </c>
      <c r="I545" s="85" t="s">
        <v>1269</v>
      </c>
      <c r="J545" s="42">
        <v>-49.6</v>
      </c>
      <c r="K545" s="42">
        <v>3.5</v>
      </c>
      <c r="L545" s="42">
        <v>-7.0</v>
      </c>
      <c r="M545" s="42">
        <v>-3.3</v>
      </c>
      <c r="N545" s="42">
        <v>1.2</v>
      </c>
      <c r="O545" s="42">
        <v>4.81E11</v>
      </c>
      <c r="P545" s="42">
        <v>3.7E10</v>
      </c>
      <c r="Q545" s="42">
        <v>0.0</v>
      </c>
      <c r="R545" s="42">
        <v>0.0</v>
      </c>
      <c r="S545" s="42">
        <v>-7.4</v>
      </c>
      <c r="T545" s="42">
        <v>0.0</v>
      </c>
      <c r="U545" s="42">
        <v>-26.5</v>
      </c>
      <c r="V545" s="42">
        <v>0.0</v>
      </c>
      <c r="W545" s="42">
        <v>-3.8</v>
      </c>
    </row>
    <row r="546">
      <c r="A546" s="87">
        <v>545.0</v>
      </c>
      <c r="B546" s="85" t="s">
        <v>2162</v>
      </c>
      <c r="C546" s="85" t="s">
        <v>612</v>
      </c>
      <c r="D546" s="85" t="s">
        <v>1273</v>
      </c>
      <c r="E546" s="85" t="s">
        <v>1208</v>
      </c>
      <c r="F546" s="85" t="s">
        <v>1274</v>
      </c>
      <c r="G546" s="85" t="s">
        <v>1274</v>
      </c>
      <c r="H546" s="85" t="s">
        <v>1274</v>
      </c>
      <c r="I546" s="85" t="s">
        <v>1320</v>
      </c>
      <c r="J546" s="42">
        <v>87.6</v>
      </c>
      <c r="K546" s="42">
        <v>0.26</v>
      </c>
      <c r="L546" s="42">
        <v>0.29</v>
      </c>
      <c r="M546" s="42">
        <v>0.03</v>
      </c>
      <c r="N546" s="42">
        <v>7.9</v>
      </c>
      <c r="O546" s="42">
        <v>4.8E12</v>
      </c>
      <c r="P546" s="42">
        <v>3.1E12</v>
      </c>
      <c r="Q546" s="42">
        <v>-15.4</v>
      </c>
      <c r="R546" s="42">
        <v>-13.2</v>
      </c>
      <c r="S546" s="42">
        <v>-30.7</v>
      </c>
      <c r="T546" s="42">
        <v>-10.3</v>
      </c>
      <c r="U546" s="42">
        <v>1.8</v>
      </c>
      <c r="V546" s="42">
        <v>-11.3</v>
      </c>
      <c r="W546" s="42">
        <v>-28.9</v>
      </c>
    </row>
    <row r="547">
      <c r="A547" s="87">
        <v>546.0</v>
      </c>
      <c r="B547" s="85" t="s">
        <v>2163</v>
      </c>
      <c r="C547" s="85" t="s">
        <v>613</v>
      </c>
      <c r="D547" s="85" t="s">
        <v>1186</v>
      </c>
      <c r="E547" s="85" t="s">
        <v>1187</v>
      </c>
      <c r="F547" s="85" t="s">
        <v>1188</v>
      </c>
      <c r="G547" s="85" t="s">
        <v>1189</v>
      </c>
      <c r="H547" s="85" t="s">
        <v>1190</v>
      </c>
      <c r="I547" s="85" t="s">
        <v>1383</v>
      </c>
      <c r="J547" s="42">
        <v>63.5</v>
      </c>
      <c r="K547" s="42">
        <v>0.59</v>
      </c>
      <c r="L547" s="42">
        <v>0.92</v>
      </c>
      <c r="M547" s="42">
        <v>0.67</v>
      </c>
      <c r="N547" s="42">
        <v>0.37</v>
      </c>
      <c r="O547" s="42">
        <v>1.8E12</v>
      </c>
      <c r="P547" s="42">
        <v>7.86E11</v>
      </c>
      <c r="Q547" s="42">
        <v>-26.9</v>
      </c>
      <c r="R547" s="42">
        <v>-33.0</v>
      </c>
      <c r="S547" s="42">
        <v>-26.3</v>
      </c>
      <c r="T547" s="42">
        <v>-33.3</v>
      </c>
      <c r="U547" s="42">
        <v>3.7</v>
      </c>
      <c r="V547" s="42">
        <v>-20.8</v>
      </c>
      <c r="W547" s="42">
        <v>-26.0</v>
      </c>
    </row>
    <row r="548">
      <c r="A548" s="87">
        <v>547.0</v>
      </c>
      <c r="B548" s="85" t="s">
        <v>2164</v>
      </c>
      <c r="C548" s="85" t="s">
        <v>614</v>
      </c>
      <c r="D548" s="85" t="s">
        <v>1354</v>
      </c>
      <c r="E548" s="85" t="s">
        <v>1252</v>
      </c>
      <c r="F548" s="85" t="s">
        <v>1252</v>
      </c>
      <c r="G548" s="85" t="s">
        <v>1313</v>
      </c>
      <c r="H548" s="85" t="s">
        <v>1355</v>
      </c>
      <c r="I548" s="85" t="s">
        <v>2165</v>
      </c>
      <c r="J548" s="42">
        <v>100.0</v>
      </c>
      <c r="K548" s="42">
        <v>1.3</v>
      </c>
      <c r="L548" s="42">
        <v>1.3</v>
      </c>
      <c r="M548" s="42">
        <v>0.79</v>
      </c>
      <c r="N548" s="42">
        <v>0.59</v>
      </c>
      <c r="O548" s="42">
        <v>5.16E13</v>
      </c>
      <c r="P548" s="42">
        <v>2.41E13</v>
      </c>
      <c r="Q548" s="42">
        <v>-28.5</v>
      </c>
      <c r="R548" s="42">
        <v>-33.3</v>
      </c>
      <c r="S548" s="42">
        <v>-20.7</v>
      </c>
      <c r="T548" s="42">
        <v>-2.2</v>
      </c>
      <c r="U548" s="42">
        <v>2.1</v>
      </c>
      <c r="V548" s="42">
        <v>-7.2</v>
      </c>
      <c r="W548" s="42">
        <v>-29.0</v>
      </c>
    </row>
    <row r="549">
      <c r="A549" s="87">
        <v>548.0</v>
      </c>
      <c r="B549" s="85" t="s">
        <v>2166</v>
      </c>
      <c r="C549" s="85" t="s">
        <v>615</v>
      </c>
      <c r="D549" s="85" t="s">
        <v>1308</v>
      </c>
      <c r="E549" s="85" t="s">
        <v>1187</v>
      </c>
      <c r="F549" s="85" t="s">
        <v>1188</v>
      </c>
      <c r="G549" s="85" t="s">
        <v>1189</v>
      </c>
      <c r="H549" s="85" t="s">
        <v>1309</v>
      </c>
      <c r="I549" s="85" t="s">
        <v>1310</v>
      </c>
      <c r="J549" s="42">
        <v>17.0</v>
      </c>
      <c r="K549" s="42">
        <v>1.1</v>
      </c>
      <c r="L549" s="42">
        <v>6.4</v>
      </c>
      <c r="M549" s="42">
        <v>5.9</v>
      </c>
      <c r="N549" s="42">
        <v>0.09</v>
      </c>
      <c r="O549" s="42">
        <v>4.3E12</v>
      </c>
      <c r="P549" s="42">
        <v>1.79E11</v>
      </c>
      <c r="Q549" s="42">
        <v>-6.5</v>
      </c>
      <c r="R549" s="42">
        <v>43.6</v>
      </c>
      <c r="S549" s="42">
        <v>57.9</v>
      </c>
      <c r="T549" s="42">
        <v>64.2</v>
      </c>
      <c r="U549" s="42">
        <v>140.0</v>
      </c>
      <c r="V549" s="42">
        <v>-1.7</v>
      </c>
      <c r="W549" s="42">
        <v>-37.3</v>
      </c>
    </row>
    <row r="550">
      <c r="A550" s="87">
        <v>549.0</v>
      </c>
      <c r="B550" s="85" t="s">
        <v>2167</v>
      </c>
      <c r="C550" s="85" t="s">
        <v>616</v>
      </c>
      <c r="D550" s="85" t="s">
        <v>1846</v>
      </c>
      <c r="E550" s="85" t="s">
        <v>1194</v>
      </c>
      <c r="F550" s="85" t="s">
        <v>1847</v>
      </c>
      <c r="G550" s="85" t="s">
        <v>1848</v>
      </c>
      <c r="H550" s="85" t="s">
        <v>1848</v>
      </c>
      <c r="I550" s="85" t="s">
        <v>1269</v>
      </c>
      <c r="J550" s="42">
        <v>-9.1</v>
      </c>
      <c r="K550" s="42">
        <v>0.35</v>
      </c>
      <c r="L550" s="42">
        <v>-3.8</v>
      </c>
      <c r="M550" s="42">
        <v>-2.0</v>
      </c>
      <c r="N550" s="42">
        <v>0.9</v>
      </c>
      <c r="O550" s="42">
        <v>1.21E11</v>
      </c>
      <c r="P550" s="42">
        <v>1.13E11</v>
      </c>
      <c r="Q550" s="42">
        <v>-19.8</v>
      </c>
      <c r="R550" s="42">
        <v>-15.7</v>
      </c>
      <c r="S550" s="42">
        <v>-47.6</v>
      </c>
      <c r="T550" s="42">
        <v>4.3</v>
      </c>
      <c r="U550" s="42">
        <v>-11.7</v>
      </c>
      <c r="V550" s="42">
        <v>-11.8</v>
      </c>
      <c r="W550" s="42">
        <v>-47.3</v>
      </c>
    </row>
    <row r="551">
      <c r="A551" s="87">
        <v>550.0</v>
      </c>
      <c r="B551" s="85" t="s">
        <v>2168</v>
      </c>
      <c r="C551" s="85" t="s">
        <v>617</v>
      </c>
      <c r="D551" s="85" t="s">
        <v>1439</v>
      </c>
      <c r="E551" s="85" t="s">
        <v>1376</v>
      </c>
      <c r="F551" s="85" t="s">
        <v>1377</v>
      </c>
      <c r="G551" s="85" t="s">
        <v>1440</v>
      </c>
      <c r="H551" s="85" t="s">
        <v>1440</v>
      </c>
      <c r="I551" s="85" t="s">
        <v>1441</v>
      </c>
      <c r="J551" s="42">
        <v>-4.9</v>
      </c>
      <c r="K551" s="42">
        <v>0.2</v>
      </c>
      <c r="L551" s="42">
        <v>-4.2</v>
      </c>
      <c r="M551" s="42">
        <v>-2.4</v>
      </c>
      <c r="N551" s="42">
        <v>0.75</v>
      </c>
      <c r="O551" s="42">
        <v>2.19E11</v>
      </c>
      <c r="P551" s="42">
        <v>8.45E11</v>
      </c>
      <c r="Q551" s="42">
        <v>-44.4</v>
      </c>
      <c r="R551" s="42">
        <v>-60.9</v>
      </c>
      <c r="S551" s="42">
        <v>-73.1</v>
      </c>
      <c r="T551" s="42">
        <v>-87.4</v>
      </c>
      <c r="U551" s="42">
        <v>-5.3</v>
      </c>
      <c r="V551" s="42">
        <v>-29.1</v>
      </c>
      <c r="W551" s="42">
        <v>-68.7</v>
      </c>
    </row>
    <row r="552">
      <c r="A552" s="87">
        <v>551.0</v>
      </c>
      <c r="B552" s="85" t="s">
        <v>2169</v>
      </c>
      <c r="C552" s="85" t="s">
        <v>618</v>
      </c>
      <c r="D552" s="85" t="s">
        <v>1186</v>
      </c>
      <c r="E552" s="85" t="s">
        <v>1187</v>
      </c>
      <c r="F552" s="85" t="s">
        <v>1188</v>
      </c>
      <c r="G552" s="85" t="s">
        <v>1189</v>
      </c>
      <c r="H552" s="85" t="s">
        <v>1190</v>
      </c>
      <c r="I552" s="85" t="s">
        <v>1216</v>
      </c>
      <c r="J552" s="42">
        <v>10.0</v>
      </c>
      <c r="K552" s="42">
        <v>1.3</v>
      </c>
      <c r="L552" s="42">
        <v>12.6</v>
      </c>
      <c r="M552" s="42">
        <v>10.1</v>
      </c>
      <c r="N552" s="42">
        <v>0.25</v>
      </c>
      <c r="O552" s="42">
        <v>1.3E13</v>
      </c>
      <c r="P552" s="42">
        <v>2.8E12</v>
      </c>
      <c r="Q552" s="42">
        <v>-12.5</v>
      </c>
      <c r="R552" s="42">
        <v>-12.9</v>
      </c>
      <c r="S552" s="42">
        <v>-7.2</v>
      </c>
      <c r="T552" s="42">
        <v>-25.2</v>
      </c>
      <c r="U552" s="42">
        <v>46.6</v>
      </c>
      <c r="V552" s="42">
        <v>-2.0</v>
      </c>
      <c r="W552" s="42">
        <v>-5.4</v>
      </c>
    </row>
    <row r="553">
      <c r="A553" s="87">
        <v>552.0</v>
      </c>
      <c r="B553" s="85" t="s">
        <v>2170</v>
      </c>
      <c r="C553" s="85" t="s">
        <v>619</v>
      </c>
      <c r="D553" s="85" t="s">
        <v>1273</v>
      </c>
      <c r="E553" s="85" t="s">
        <v>1208</v>
      </c>
      <c r="F553" s="85" t="s">
        <v>1274</v>
      </c>
      <c r="G553" s="85" t="s">
        <v>1274</v>
      </c>
      <c r="H553" s="85" t="s">
        <v>1274</v>
      </c>
      <c r="I553" s="85" t="s">
        <v>1320</v>
      </c>
      <c r="J553" s="42">
        <v>8.7</v>
      </c>
      <c r="K553" s="42">
        <v>0.36</v>
      </c>
      <c r="L553" s="42">
        <v>4.2</v>
      </c>
      <c r="M553" s="42">
        <v>0.81</v>
      </c>
      <c r="N553" s="42">
        <v>4.1</v>
      </c>
      <c r="O553" s="42">
        <v>2.6E12</v>
      </c>
      <c r="P553" s="42">
        <v>5.57E11</v>
      </c>
      <c r="Q553" s="42">
        <v>-11.4</v>
      </c>
      <c r="R553" s="42">
        <v>-8.8</v>
      </c>
      <c r="S553" s="42">
        <v>-16.2</v>
      </c>
      <c r="T553" s="42">
        <v>-10.1</v>
      </c>
      <c r="U553" s="42">
        <v>54.2</v>
      </c>
      <c r="V553" s="42">
        <v>-8.8</v>
      </c>
      <c r="W553" s="42">
        <v>-17.3</v>
      </c>
    </row>
    <row r="554">
      <c r="A554" s="87">
        <v>553.0</v>
      </c>
      <c r="B554" s="85" t="s">
        <v>2171</v>
      </c>
      <c r="C554" s="85" t="s">
        <v>620</v>
      </c>
      <c r="D554" s="85" t="s">
        <v>2156</v>
      </c>
      <c r="E554" s="85" t="s">
        <v>1201</v>
      </c>
      <c r="F554" s="85" t="s">
        <v>1202</v>
      </c>
      <c r="G554" s="85" t="s">
        <v>1203</v>
      </c>
      <c r="H554" s="85" t="s">
        <v>2157</v>
      </c>
      <c r="I554" s="85" t="s">
        <v>1695</v>
      </c>
      <c r="J554" s="42">
        <v>-72.0</v>
      </c>
      <c r="K554" s="42">
        <v>3.6</v>
      </c>
      <c r="L554" s="42">
        <v>-5.0</v>
      </c>
      <c r="M554" s="42">
        <v>-1.4</v>
      </c>
      <c r="N554" s="42">
        <v>2.5</v>
      </c>
      <c r="O554" s="42">
        <v>3.4E12</v>
      </c>
      <c r="P554" s="42">
        <v>6.05E11</v>
      </c>
      <c r="Q554" s="42">
        <v>-49.2</v>
      </c>
      <c r="R554" s="42">
        <v>9.1</v>
      </c>
      <c r="S554" s="42">
        <v>27.7</v>
      </c>
      <c r="T554" s="42">
        <v>150.0</v>
      </c>
      <c r="U554" s="42">
        <v>-7.8</v>
      </c>
      <c r="V554" s="42">
        <v>-25.0</v>
      </c>
      <c r="W554" s="42">
        <v>-36.8</v>
      </c>
    </row>
    <row r="555">
      <c r="A555" s="87">
        <v>554.0</v>
      </c>
      <c r="B555" s="85" t="s">
        <v>2172</v>
      </c>
      <c r="C555" s="85" t="s">
        <v>621</v>
      </c>
      <c r="D555" s="85" t="s">
        <v>1218</v>
      </c>
      <c r="E555" s="85" t="s">
        <v>1201</v>
      </c>
      <c r="F555" s="85" t="s">
        <v>1219</v>
      </c>
      <c r="G555" s="85" t="s">
        <v>1220</v>
      </c>
      <c r="H555" s="85" t="s">
        <v>1221</v>
      </c>
      <c r="I555" s="85" t="s">
        <v>1578</v>
      </c>
      <c r="J555" s="42">
        <v>18.7</v>
      </c>
      <c r="K555" s="42">
        <v>4.9</v>
      </c>
      <c r="L555" s="42">
        <v>26.3</v>
      </c>
      <c r="M555" s="42">
        <v>15.4</v>
      </c>
      <c r="N555" s="42">
        <v>0.7</v>
      </c>
      <c r="O555" s="42">
        <v>2.23E13</v>
      </c>
      <c r="P555" s="42">
        <v>2.4E12</v>
      </c>
      <c r="Q555" s="42">
        <v>-2.9</v>
      </c>
      <c r="R555" s="42">
        <v>-7.3</v>
      </c>
      <c r="S555" s="42">
        <v>-22.2</v>
      </c>
      <c r="T555" s="42">
        <v>-48.1</v>
      </c>
      <c r="U555" s="42">
        <v>50.3</v>
      </c>
      <c r="V555" s="42">
        <v>-5.7</v>
      </c>
      <c r="W555" s="42">
        <v>-17.5</v>
      </c>
    </row>
    <row r="556">
      <c r="A556" s="87">
        <v>555.0</v>
      </c>
      <c r="B556" s="85" t="s">
        <v>2173</v>
      </c>
      <c r="C556" s="85" t="s">
        <v>622</v>
      </c>
      <c r="D556" s="85" t="s">
        <v>1354</v>
      </c>
      <c r="E556" s="85" t="s">
        <v>1252</v>
      </c>
      <c r="F556" s="85" t="s">
        <v>1252</v>
      </c>
      <c r="G556" s="85" t="s">
        <v>1313</v>
      </c>
      <c r="H556" s="85" t="s">
        <v>1355</v>
      </c>
      <c r="I556" s="85" t="s">
        <v>2174</v>
      </c>
      <c r="J556" s="42">
        <v>-60.9</v>
      </c>
      <c r="K556" s="42">
        <v>1.3</v>
      </c>
      <c r="L556" s="42">
        <v>-2.1</v>
      </c>
      <c r="M556" s="42">
        <v>-1.1</v>
      </c>
      <c r="N556" s="42">
        <v>0.95</v>
      </c>
      <c r="O556" s="42">
        <v>6.34E13</v>
      </c>
      <c r="P556" s="42">
        <v>3.18E13</v>
      </c>
      <c r="Q556" s="42">
        <v>-15.7</v>
      </c>
      <c r="R556" s="42">
        <v>-27.3</v>
      </c>
      <c r="S556" s="42">
        <v>3.9</v>
      </c>
      <c r="T556" s="42">
        <v>12.0</v>
      </c>
      <c r="U556" s="42">
        <v>-3.3</v>
      </c>
      <c r="V556" s="42">
        <v>-8.3</v>
      </c>
      <c r="W556" s="42">
        <v>3.9</v>
      </c>
    </row>
    <row r="557">
      <c r="A557" s="87">
        <v>556.0</v>
      </c>
      <c r="B557" s="85" t="s">
        <v>2175</v>
      </c>
      <c r="C557" s="85" t="s">
        <v>623</v>
      </c>
      <c r="D557" s="85" t="s">
        <v>1251</v>
      </c>
      <c r="E557" s="85" t="s">
        <v>1252</v>
      </c>
      <c r="F557" s="85" t="s">
        <v>1252</v>
      </c>
      <c r="G557" s="85" t="s">
        <v>1253</v>
      </c>
      <c r="H557" s="85" t="s">
        <v>1254</v>
      </c>
      <c r="I557" s="85" t="s">
        <v>1255</v>
      </c>
      <c r="J557" s="42">
        <v>15.4</v>
      </c>
      <c r="K557" s="42">
        <v>0.47</v>
      </c>
      <c r="L557" s="42">
        <v>3.1</v>
      </c>
      <c r="M557" s="42">
        <v>2.9</v>
      </c>
      <c r="N557" s="42">
        <v>0.07</v>
      </c>
      <c r="O557" s="42">
        <v>4.73E11</v>
      </c>
      <c r="P557" s="42">
        <v>7.2E10</v>
      </c>
      <c r="Q557" s="42">
        <v>-10.5</v>
      </c>
      <c r="R557" s="42">
        <v>-10.1</v>
      </c>
      <c r="S557" s="42">
        <v>-26.1</v>
      </c>
      <c r="T557" s="42">
        <v>7.6</v>
      </c>
      <c r="U557" s="42">
        <v>42.9</v>
      </c>
      <c r="V557" s="42">
        <v>-10.5</v>
      </c>
      <c r="W557" s="42">
        <v>-20.6</v>
      </c>
    </row>
    <row r="558">
      <c r="A558" s="87">
        <v>557.0</v>
      </c>
      <c r="B558" s="85" t="s">
        <v>2176</v>
      </c>
      <c r="C558" s="85" t="s">
        <v>624</v>
      </c>
      <c r="D558" s="85" t="s">
        <v>1799</v>
      </c>
      <c r="E558" s="85" t="s">
        <v>1570</v>
      </c>
      <c r="F558" s="85" t="s">
        <v>1800</v>
      </c>
      <c r="G558" s="85" t="s">
        <v>1801</v>
      </c>
      <c r="H558" s="85" t="s">
        <v>1801</v>
      </c>
      <c r="I558" s="85" t="s">
        <v>1573</v>
      </c>
      <c r="J558" s="42">
        <v>7.2</v>
      </c>
      <c r="K558" s="42">
        <v>0.89</v>
      </c>
      <c r="L558" s="42">
        <v>12.4</v>
      </c>
      <c r="M558" s="42">
        <v>5.8</v>
      </c>
      <c r="N558" s="42">
        <v>1.1</v>
      </c>
      <c r="O558" s="42">
        <v>2.9E12</v>
      </c>
      <c r="P558" s="42">
        <v>4.0E12</v>
      </c>
      <c r="Q558" s="42">
        <v>-26.7</v>
      </c>
      <c r="R558" s="42">
        <v>-17.0</v>
      </c>
      <c r="S558" s="42">
        <v>-38.0</v>
      </c>
      <c r="T558" s="42">
        <v>-12.9</v>
      </c>
      <c r="U558" s="42">
        <v>9.9</v>
      </c>
      <c r="V558" s="42">
        <v>-12.9</v>
      </c>
      <c r="W558" s="42">
        <v>-33.3</v>
      </c>
    </row>
    <row r="559">
      <c r="A559" s="87">
        <v>558.0</v>
      </c>
      <c r="B559" s="85" t="s">
        <v>2177</v>
      </c>
      <c r="C559" s="85" t="s">
        <v>625</v>
      </c>
      <c r="D559" s="85" t="s">
        <v>1234</v>
      </c>
      <c r="E559" s="85" t="s">
        <v>1235</v>
      </c>
      <c r="F559" s="85" t="s">
        <v>1235</v>
      </c>
      <c r="G559" s="85" t="s">
        <v>1236</v>
      </c>
      <c r="H559" s="85" t="s">
        <v>1237</v>
      </c>
      <c r="I559" s="85" t="s">
        <v>1473</v>
      </c>
      <c r="J559" s="42">
        <v>-0.84</v>
      </c>
      <c r="K559" s="42">
        <v>0.18</v>
      </c>
      <c r="L559" s="42">
        <v>-21.6</v>
      </c>
      <c r="M559" s="42">
        <v>-5.7</v>
      </c>
      <c r="N559" s="42">
        <v>2.8</v>
      </c>
      <c r="O559" s="42">
        <v>6.39E11</v>
      </c>
      <c r="P559" s="42">
        <v>1.42E11</v>
      </c>
      <c r="Q559" s="42">
        <v>-5.7</v>
      </c>
      <c r="R559" s="42">
        <v>-5.7</v>
      </c>
      <c r="S559" s="42">
        <v>-19.4</v>
      </c>
      <c r="T559" s="42">
        <v>-3.8</v>
      </c>
      <c r="U559" s="42">
        <v>-530.0</v>
      </c>
      <c r="V559" s="42">
        <v>0.0</v>
      </c>
      <c r="W559" s="42">
        <v>-19.4</v>
      </c>
    </row>
    <row r="560">
      <c r="A560" s="87">
        <v>559.0</v>
      </c>
      <c r="B560" s="85" t="s">
        <v>2178</v>
      </c>
      <c r="C560" s="85" t="s">
        <v>626</v>
      </c>
      <c r="D560" s="85" t="s">
        <v>1537</v>
      </c>
      <c r="E560" s="85" t="s">
        <v>1214</v>
      </c>
      <c r="F560" s="85" t="s">
        <v>1406</v>
      </c>
      <c r="G560" s="85" t="s">
        <v>1407</v>
      </c>
      <c r="H560" s="85" t="s">
        <v>1538</v>
      </c>
      <c r="I560" s="85" t="s">
        <v>1385</v>
      </c>
      <c r="J560" s="42">
        <v>2.4</v>
      </c>
      <c r="K560" s="42">
        <v>-1.2</v>
      </c>
      <c r="L560" s="42">
        <v>0.0</v>
      </c>
      <c r="M560" s="42">
        <v>59.1</v>
      </c>
      <c r="N560" s="42">
        <v>-1.9</v>
      </c>
      <c r="O560" s="42">
        <v>2.52E11</v>
      </c>
      <c r="P560" s="42">
        <v>7.92E9</v>
      </c>
      <c r="Q560" s="42">
        <v>-39.1</v>
      </c>
      <c r="R560" s="42">
        <v>-45.1</v>
      </c>
      <c r="S560" s="42">
        <v>-34.9</v>
      </c>
      <c r="T560" s="42">
        <v>250.0</v>
      </c>
      <c r="U560" s="42">
        <v>1330.0</v>
      </c>
      <c r="V560" s="42">
        <v>-9.7</v>
      </c>
      <c r="W560" s="42">
        <v>-41.7</v>
      </c>
    </row>
    <row r="561">
      <c r="A561" s="87">
        <v>560.0</v>
      </c>
      <c r="B561" s="85" t="s">
        <v>2179</v>
      </c>
      <c r="C561" s="85" t="s">
        <v>627</v>
      </c>
      <c r="D561" s="85" t="s">
        <v>1822</v>
      </c>
      <c r="E561" s="85" t="s">
        <v>1187</v>
      </c>
      <c r="F561" s="85" t="s">
        <v>1188</v>
      </c>
      <c r="G561" s="85" t="s">
        <v>1295</v>
      </c>
      <c r="H561" s="85" t="s">
        <v>1823</v>
      </c>
      <c r="I561" s="85" t="s">
        <v>2180</v>
      </c>
      <c r="J561" s="42">
        <v>11.9</v>
      </c>
      <c r="K561" s="42">
        <v>0.74</v>
      </c>
      <c r="L561" s="42">
        <v>6.2</v>
      </c>
      <c r="M561" s="42">
        <v>1.8</v>
      </c>
      <c r="N561" s="42">
        <v>2.4</v>
      </c>
      <c r="O561" s="42">
        <v>3.03E13</v>
      </c>
      <c r="P561" s="42">
        <v>1.14E13</v>
      </c>
      <c r="Q561" s="42">
        <v>-25.0</v>
      </c>
      <c r="R561" s="42">
        <v>-30.8</v>
      </c>
      <c r="S561" s="42">
        <v>-11.4</v>
      </c>
      <c r="T561" s="42">
        <v>-6.4</v>
      </c>
      <c r="U561" s="42">
        <v>22.4</v>
      </c>
      <c r="V561" s="42">
        <v>-10.3</v>
      </c>
      <c r="W561" s="42">
        <v>-19.3</v>
      </c>
    </row>
    <row r="562">
      <c r="A562" s="87">
        <v>561.0</v>
      </c>
      <c r="B562" s="85" t="s">
        <v>2181</v>
      </c>
      <c r="C562" s="85" t="s">
        <v>628</v>
      </c>
      <c r="D562" s="85" t="s">
        <v>1682</v>
      </c>
      <c r="E562" s="85" t="s">
        <v>1570</v>
      </c>
      <c r="F562" s="85" t="s">
        <v>1571</v>
      </c>
      <c r="G562" s="85" t="s">
        <v>1683</v>
      </c>
      <c r="H562" s="85" t="s">
        <v>1684</v>
      </c>
      <c r="I562" s="85" t="s">
        <v>1685</v>
      </c>
      <c r="J562" s="42">
        <v>-22.5</v>
      </c>
      <c r="K562" s="42">
        <v>2.9</v>
      </c>
      <c r="L562" s="42">
        <v>-12.8</v>
      </c>
      <c r="M562" s="42">
        <v>-9.8</v>
      </c>
      <c r="N562" s="42">
        <v>0.31</v>
      </c>
      <c r="O562" s="42">
        <v>1.41E11</v>
      </c>
      <c r="P562" s="42">
        <v>4.77E9</v>
      </c>
      <c r="Q562" s="42">
        <v>-51.4</v>
      </c>
      <c r="R562" s="42">
        <v>17.5</v>
      </c>
      <c r="S562" s="42">
        <v>-31.6</v>
      </c>
      <c r="T562" s="42">
        <v>34.0</v>
      </c>
      <c r="U562" s="42">
        <v>-130.0</v>
      </c>
      <c r="V562" s="42">
        <v>-22.1</v>
      </c>
      <c r="W562" s="42">
        <v>-6.9</v>
      </c>
    </row>
    <row r="563">
      <c r="A563" s="87">
        <v>562.0</v>
      </c>
      <c r="B563" s="85" t="s">
        <v>2182</v>
      </c>
      <c r="C563" s="85" t="s">
        <v>629</v>
      </c>
      <c r="D563" s="85" t="s">
        <v>1273</v>
      </c>
      <c r="E563" s="85" t="s">
        <v>1208</v>
      </c>
      <c r="F563" s="85" t="s">
        <v>1274</v>
      </c>
      <c r="G563" s="85" t="s">
        <v>1274</v>
      </c>
      <c r="H563" s="85" t="s">
        <v>1274</v>
      </c>
      <c r="I563" s="85" t="s">
        <v>1320</v>
      </c>
      <c r="J563" s="42">
        <v>12.1</v>
      </c>
      <c r="K563" s="42">
        <v>1.7</v>
      </c>
      <c r="L563" s="42">
        <v>14.3</v>
      </c>
      <c r="M563" s="42">
        <v>2.6</v>
      </c>
      <c r="N563" s="42">
        <v>4.5</v>
      </c>
      <c r="O563" s="42">
        <v>4.18E13</v>
      </c>
      <c r="P563" s="42">
        <v>2.7E12</v>
      </c>
      <c r="Q563" s="42">
        <v>-10.9</v>
      </c>
      <c r="R563" s="42">
        <v>-53.6</v>
      </c>
      <c r="S563" s="42">
        <v>-46.6</v>
      </c>
      <c r="T563" s="42">
        <v>-48.4</v>
      </c>
      <c r="U563" s="42">
        <v>130.0</v>
      </c>
      <c r="V563" s="42">
        <v>-6.0</v>
      </c>
      <c r="W563" s="42">
        <v>-45.3</v>
      </c>
    </row>
    <row r="564">
      <c r="A564" s="87">
        <v>563.0</v>
      </c>
      <c r="B564" s="85" t="s">
        <v>2183</v>
      </c>
      <c r="C564" s="85" t="s">
        <v>630</v>
      </c>
      <c r="D564" s="85" t="s">
        <v>1665</v>
      </c>
      <c r="E564" s="85" t="s">
        <v>1201</v>
      </c>
      <c r="F564" s="85" t="s">
        <v>1666</v>
      </c>
      <c r="G564" s="85" t="s">
        <v>1666</v>
      </c>
      <c r="H564" s="85" t="s">
        <v>1667</v>
      </c>
      <c r="I564" s="85" t="s">
        <v>1265</v>
      </c>
      <c r="J564" s="42">
        <v>-11.3</v>
      </c>
      <c r="K564" s="42">
        <v>3.9</v>
      </c>
      <c r="L564" s="42">
        <v>-34.0</v>
      </c>
      <c r="M564" s="42">
        <v>-24.4</v>
      </c>
      <c r="N564" s="42">
        <v>0.4</v>
      </c>
      <c r="O564" s="42">
        <v>2.45E11</v>
      </c>
      <c r="P564" s="42">
        <v>2.8E10</v>
      </c>
      <c r="Q564" s="42">
        <v>-28.2</v>
      </c>
      <c r="R564" s="42">
        <v>-23.7</v>
      </c>
      <c r="S564" s="42">
        <v>-24.5</v>
      </c>
      <c r="T564" s="42">
        <v>1.4</v>
      </c>
      <c r="U564" s="42">
        <v>-77.0</v>
      </c>
      <c r="V564" s="42">
        <v>-18.7</v>
      </c>
      <c r="W564" s="42">
        <v>-44.8</v>
      </c>
    </row>
    <row r="565">
      <c r="A565" s="87">
        <v>564.0</v>
      </c>
      <c r="B565" s="85" t="s">
        <v>2184</v>
      </c>
      <c r="C565" s="85" t="s">
        <v>631</v>
      </c>
      <c r="D565" s="85" t="s">
        <v>1688</v>
      </c>
      <c r="E565" s="85" t="s">
        <v>1376</v>
      </c>
      <c r="F565" s="85" t="s">
        <v>1444</v>
      </c>
      <c r="G565" s="85" t="s">
        <v>1689</v>
      </c>
      <c r="H565" s="85" t="s">
        <v>1690</v>
      </c>
      <c r="I565" s="90"/>
      <c r="J565" s="42">
        <v>-20.2</v>
      </c>
      <c r="K565" s="42">
        <v>1.9</v>
      </c>
      <c r="L565" s="42">
        <v>-9.6</v>
      </c>
      <c r="M565" s="42">
        <v>-9.6</v>
      </c>
      <c r="N565" s="42">
        <v>0.0</v>
      </c>
      <c r="O565" s="42">
        <v>7.6E10</v>
      </c>
      <c r="P565" s="42">
        <v>7.3E8</v>
      </c>
      <c r="Q565" s="42">
        <v>0.0</v>
      </c>
      <c r="R565" s="42">
        <v>0.0</v>
      </c>
      <c r="S565" s="42">
        <v>0.0</v>
      </c>
      <c r="T565" s="42">
        <v>12.8</v>
      </c>
      <c r="U565" s="42">
        <v>-520.0</v>
      </c>
      <c r="V565" s="42">
        <v>0.0</v>
      </c>
      <c r="W565" s="42">
        <v>0.0</v>
      </c>
    </row>
    <row r="566">
      <c r="A566" s="87">
        <v>565.0</v>
      </c>
      <c r="B566" s="85" t="s">
        <v>2185</v>
      </c>
      <c r="C566" s="85" t="s">
        <v>632</v>
      </c>
      <c r="D566" s="85" t="s">
        <v>1565</v>
      </c>
      <c r="E566" s="85" t="s">
        <v>1201</v>
      </c>
      <c r="F566" s="85" t="s">
        <v>1286</v>
      </c>
      <c r="G566" s="85" t="s">
        <v>1566</v>
      </c>
      <c r="H566" s="85" t="s">
        <v>1567</v>
      </c>
      <c r="I566" s="85" t="s">
        <v>1458</v>
      </c>
      <c r="J566" s="42">
        <v>44.2</v>
      </c>
      <c r="K566" s="42">
        <v>2.9</v>
      </c>
      <c r="L566" s="42">
        <v>6.5</v>
      </c>
      <c r="M566" s="42">
        <v>5.2</v>
      </c>
      <c r="N566" s="42">
        <v>0.25</v>
      </c>
      <c r="O566" s="42">
        <v>1.28E11</v>
      </c>
      <c r="P566" s="42">
        <v>1.0E10</v>
      </c>
      <c r="Q566" s="42">
        <v>-34.1</v>
      </c>
      <c r="R566" s="42">
        <v>-37.2</v>
      </c>
      <c r="S566" s="42">
        <v>-53.3</v>
      </c>
      <c r="T566" s="88"/>
      <c r="U566" s="42">
        <v>29.0</v>
      </c>
      <c r="V566" s="42">
        <v>-24.8</v>
      </c>
      <c r="W566" s="42">
        <v>-49.7</v>
      </c>
    </row>
    <row r="567">
      <c r="A567" s="87">
        <v>566.0</v>
      </c>
      <c r="B567" s="85" t="s">
        <v>2186</v>
      </c>
      <c r="C567" s="85" t="s">
        <v>633</v>
      </c>
      <c r="D567" s="85" t="s">
        <v>1799</v>
      </c>
      <c r="E567" s="85" t="s">
        <v>1570</v>
      </c>
      <c r="F567" s="85" t="s">
        <v>1800</v>
      </c>
      <c r="G567" s="85" t="s">
        <v>1801</v>
      </c>
      <c r="H567" s="85" t="s">
        <v>1801</v>
      </c>
      <c r="I567" s="85" t="s">
        <v>1573</v>
      </c>
      <c r="J567" s="42">
        <v>5.9</v>
      </c>
      <c r="K567" s="42">
        <v>1.7</v>
      </c>
      <c r="L567" s="42">
        <v>28.4</v>
      </c>
      <c r="M567" s="42">
        <v>22.4</v>
      </c>
      <c r="N567" s="42">
        <v>0.27</v>
      </c>
      <c r="O567" s="42">
        <v>1.7E12</v>
      </c>
      <c r="P567" s="42">
        <v>2.83E11</v>
      </c>
      <c r="Q567" s="42">
        <v>-16.4</v>
      </c>
      <c r="R567" s="42">
        <v>16.2</v>
      </c>
      <c r="S567" s="42">
        <v>10.8</v>
      </c>
      <c r="T567" s="42">
        <v>-1.6</v>
      </c>
      <c r="U567" s="42">
        <v>100.0</v>
      </c>
      <c r="V567" s="42">
        <v>-10.1</v>
      </c>
      <c r="W567" s="42">
        <v>8.8</v>
      </c>
    </row>
    <row r="568">
      <c r="A568" s="87">
        <v>567.0</v>
      </c>
      <c r="B568" s="85" t="s">
        <v>2187</v>
      </c>
      <c r="C568" s="85" t="s">
        <v>634</v>
      </c>
      <c r="D568" s="85" t="s">
        <v>1699</v>
      </c>
      <c r="E568" s="85" t="s">
        <v>1230</v>
      </c>
      <c r="F568" s="85" t="s">
        <v>1658</v>
      </c>
      <c r="G568" s="85" t="s">
        <v>1659</v>
      </c>
      <c r="H568" s="85" t="s">
        <v>1700</v>
      </c>
      <c r="I568" s="85" t="s">
        <v>1417</v>
      </c>
      <c r="J568" s="42">
        <v>44.7</v>
      </c>
      <c r="K568" s="42">
        <v>1.0</v>
      </c>
      <c r="L568" s="42">
        <v>2.3</v>
      </c>
      <c r="M568" s="42">
        <v>2.1</v>
      </c>
      <c r="N568" s="42">
        <v>0.12</v>
      </c>
      <c r="O568" s="42">
        <v>4.2E12</v>
      </c>
      <c r="P568" s="42">
        <v>6.2E10</v>
      </c>
      <c r="Q568" s="42">
        <v>0.0</v>
      </c>
      <c r="R568" s="42">
        <v>0.0</v>
      </c>
      <c r="S568" s="42">
        <v>0.0</v>
      </c>
      <c r="T568" s="42">
        <v>0.0</v>
      </c>
      <c r="U568" s="42">
        <v>150.0</v>
      </c>
      <c r="V568" s="42">
        <v>0.0</v>
      </c>
      <c r="W568" s="42">
        <v>0.0</v>
      </c>
    </row>
    <row r="569">
      <c r="A569" s="87">
        <v>568.0</v>
      </c>
      <c r="B569" s="85" t="s">
        <v>2188</v>
      </c>
      <c r="C569" s="85" t="s">
        <v>635</v>
      </c>
      <c r="D569" s="85" t="s">
        <v>1405</v>
      </c>
      <c r="E569" s="85" t="s">
        <v>1214</v>
      </c>
      <c r="F569" s="85" t="s">
        <v>1406</v>
      </c>
      <c r="G569" s="85" t="s">
        <v>1407</v>
      </c>
      <c r="H569" s="85" t="s">
        <v>1408</v>
      </c>
      <c r="I569" s="85" t="s">
        <v>1972</v>
      </c>
      <c r="J569" s="42">
        <v>48.2</v>
      </c>
      <c r="K569" s="42">
        <v>7.7</v>
      </c>
      <c r="L569" s="42">
        <v>15.9</v>
      </c>
      <c r="M569" s="42">
        <v>4.6</v>
      </c>
      <c r="N569" s="42">
        <v>2.5</v>
      </c>
      <c r="O569" s="42">
        <v>9.85E11</v>
      </c>
      <c r="P569" s="42">
        <v>4.3E10</v>
      </c>
      <c r="Q569" s="42">
        <v>0.0</v>
      </c>
      <c r="R569" s="42">
        <v>0.0</v>
      </c>
      <c r="S569" s="42">
        <v>0.0</v>
      </c>
      <c r="T569" s="42">
        <v>0.0</v>
      </c>
      <c r="U569" s="42">
        <v>47.1</v>
      </c>
      <c r="V569" s="42">
        <v>0.0</v>
      </c>
      <c r="W569" s="42">
        <v>0.0</v>
      </c>
    </row>
    <row r="570">
      <c r="A570" s="87">
        <v>569.0</v>
      </c>
      <c r="B570" s="85" t="s">
        <v>2189</v>
      </c>
      <c r="C570" s="85" t="s">
        <v>636</v>
      </c>
      <c r="D570" s="85" t="s">
        <v>1665</v>
      </c>
      <c r="E570" s="85" t="s">
        <v>1201</v>
      </c>
      <c r="F570" s="85" t="s">
        <v>1666</v>
      </c>
      <c r="G570" s="85" t="s">
        <v>1666</v>
      </c>
      <c r="H570" s="85" t="s">
        <v>1667</v>
      </c>
      <c r="I570" s="85" t="s">
        <v>1265</v>
      </c>
      <c r="J570" s="42">
        <v>-1420.0</v>
      </c>
      <c r="K570" s="42">
        <v>100.0</v>
      </c>
      <c r="L570" s="42">
        <v>-7.0</v>
      </c>
      <c r="M570" s="42">
        <v>-4.8</v>
      </c>
      <c r="N570" s="42">
        <v>0.47</v>
      </c>
      <c r="O570" s="42">
        <v>1.28E13</v>
      </c>
      <c r="P570" s="42">
        <v>1.28E11</v>
      </c>
      <c r="Q570" s="42">
        <v>-2.4</v>
      </c>
      <c r="R570" s="42">
        <v>130.0</v>
      </c>
      <c r="S570" s="42">
        <v>350.0</v>
      </c>
      <c r="T570" s="42">
        <v>3990.0</v>
      </c>
      <c r="U570" s="42">
        <v>-7.1</v>
      </c>
      <c r="V570" s="42">
        <v>9.2</v>
      </c>
      <c r="W570" s="42">
        <v>270.0</v>
      </c>
    </row>
    <row r="571">
      <c r="A571" s="87">
        <v>570.0</v>
      </c>
      <c r="B571" s="85" t="s">
        <v>2190</v>
      </c>
      <c r="C571" s="85" t="s">
        <v>637</v>
      </c>
      <c r="D571" s="85" t="s">
        <v>1755</v>
      </c>
      <c r="E571" s="85" t="s">
        <v>1208</v>
      </c>
      <c r="F571" s="85" t="s">
        <v>1364</v>
      </c>
      <c r="G571" s="85" t="s">
        <v>1364</v>
      </c>
      <c r="H571" s="85" t="s">
        <v>1756</v>
      </c>
      <c r="I571" s="85" t="s">
        <v>1458</v>
      </c>
      <c r="J571" s="42">
        <v>240.0</v>
      </c>
      <c r="K571" s="42">
        <v>8.2</v>
      </c>
      <c r="L571" s="42">
        <v>3.5</v>
      </c>
      <c r="M571" s="42">
        <v>1.2</v>
      </c>
      <c r="N571" s="42">
        <v>2.0</v>
      </c>
      <c r="O571" s="42">
        <v>3.45E11</v>
      </c>
      <c r="P571" s="42">
        <v>5.0E10</v>
      </c>
      <c r="Q571" s="42">
        <v>-57.7</v>
      </c>
      <c r="R571" s="42">
        <v>-65.9</v>
      </c>
      <c r="S571" s="42">
        <v>-55.3</v>
      </c>
      <c r="T571" s="42">
        <v>120.0</v>
      </c>
      <c r="U571" s="42">
        <v>2.9</v>
      </c>
      <c r="V571" s="42">
        <v>-33.0</v>
      </c>
      <c r="W571" s="42">
        <v>-74.4</v>
      </c>
    </row>
    <row r="572">
      <c r="A572" s="87">
        <v>571.0</v>
      </c>
      <c r="B572" s="85" t="s">
        <v>2191</v>
      </c>
      <c r="C572" s="85" t="s">
        <v>638</v>
      </c>
      <c r="D572" s="85" t="s">
        <v>1193</v>
      </c>
      <c r="E572" s="85" t="s">
        <v>1194</v>
      </c>
      <c r="F572" s="85" t="s">
        <v>1195</v>
      </c>
      <c r="G572" s="85" t="s">
        <v>1196</v>
      </c>
      <c r="H572" s="85" t="s">
        <v>1197</v>
      </c>
      <c r="I572" s="85" t="s">
        <v>1718</v>
      </c>
      <c r="J572" s="42">
        <v>-47.3</v>
      </c>
      <c r="K572" s="42">
        <v>5.8</v>
      </c>
      <c r="L572" s="42">
        <v>-12.2</v>
      </c>
      <c r="M572" s="42">
        <v>-1.8</v>
      </c>
      <c r="N572" s="42">
        <v>5.8</v>
      </c>
      <c r="O572" s="42">
        <v>2.2E12</v>
      </c>
      <c r="P572" s="42">
        <v>1.5E12</v>
      </c>
      <c r="Q572" s="42">
        <v>-4.4</v>
      </c>
      <c r="R572" s="42">
        <v>-7.1</v>
      </c>
      <c r="S572" s="42">
        <v>-16.1</v>
      </c>
      <c r="T572" s="42">
        <v>-7.8</v>
      </c>
      <c r="U572" s="42">
        <v>-3.1</v>
      </c>
      <c r="V572" s="42">
        <v>0.775</v>
      </c>
      <c r="W572" s="42">
        <v>-12.8</v>
      </c>
    </row>
    <row r="573">
      <c r="A573" s="87">
        <v>572.0</v>
      </c>
      <c r="B573" s="85" t="s">
        <v>2192</v>
      </c>
      <c r="C573" s="85" t="s">
        <v>639</v>
      </c>
      <c r="D573" s="85" t="s">
        <v>1954</v>
      </c>
      <c r="E573" s="85" t="s">
        <v>1214</v>
      </c>
      <c r="F573" s="85" t="s">
        <v>1406</v>
      </c>
      <c r="G573" s="85" t="s">
        <v>1407</v>
      </c>
      <c r="H573" s="85" t="s">
        <v>1955</v>
      </c>
      <c r="I573" s="85" t="s">
        <v>1333</v>
      </c>
      <c r="J573" s="42">
        <v>15.0</v>
      </c>
      <c r="K573" s="42">
        <v>1.0</v>
      </c>
      <c r="L573" s="42">
        <v>6.7</v>
      </c>
      <c r="M573" s="42">
        <v>6.4</v>
      </c>
      <c r="N573" s="42">
        <v>0.05</v>
      </c>
      <c r="O573" s="42">
        <v>4.88E11</v>
      </c>
      <c r="P573" s="42">
        <v>3.5E10</v>
      </c>
      <c r="Q573" s="42">
        <v>-47.2</v>
      </c>
      <c r="R573" s="42">
        <v>-49.5</v>
      </c>
      <c r="S573" s="42">
        <v>-56.1</v>
      </c>
      <c r="T573" s="42">
        <v>-29.3</v>
      </c>
      <c r="U573" s="42">
        <v>93.6</v>
      </c>
      <c r="V573" s="42">
        <v>-26.6</v>
      </c>
      <c r="W573" s="42">
        <v>-54.8</v>
      </c>
    </row>
    <row r="574">
      <c r="A574" s="87">
        <v>573.0</v>
      </c>
      <c r="B574" s="85" t="s">
        <v>2193</v>
      </c>
      <c r="C574" s="85" t="s">
        <v>640</v>
      </c>
      <c r="D574" s="85" t="s">
        <v>2078</v>
      </c>
      <c r="E574" s="85" t="s">
        <v>1201</v>
      </c>
      <c r="F574" s="85" t="s">
        <v>1666</v>
      </c>
      <c r="G574" s="85" t="s">
        <v>1666</v>
      </c>
      <c r="H574" s="85" t="s">
        <v>2079</v>
      </c>
      <c r="I574" s="85" t="s">
        <v>1458</v>
      </c>
      <c r="J574" s="42">
        <v>7.5</v>
      </c>
      <c r="K574" s="42">
        <v>0.31</v>
      </c>
      <c r="L574" s="42">
        <v>4.2</v>
      </c>
      <c r="M574" s="42">
        <v>2.7</v>
      </c>
      <c r="N574" s="42">
        <v>0.53</v>
      </c>
      <c r="O574" s="42">
        <v>3.03E11</v>
      </c>
      <c r="P574" s="42">
        <v>3.3E11</v>
      </c>
      <c r="Q574" s="42">
        <v>-5.6</v>
      </c>
      <c r="R574" s="42">
        <v>-2.8</v>
      </c>
      <c r="S574" s="42">
        <v>-19.7</v>
      </c>
      <c r="T574" s="42">
        <v>-0.816</v>
      </c>
      <c r="U574" s="42">
        <v>12.3</v>
      </c>
      <c r="V574" s="42">
        <v>-2.8</v>
      </c>
      <c r="W574" s="42">
        <v>-15.5</v>
      </c>
    </row>
    <row r="575">
      <c r="A575" s="87">
        <v>574.0</v>
      </c>
      <c r="B575" s="85" t="s">
        <v>2194</v>
      </c>
      <c r="C575" s="85" t="s">
        <v>641</v>
      </c>
      <c r="D575" s="85" t="s">
        <v>1345</v>
      </c>
      <c r="E575" s="85" t="s">
        <v>1194</v>
      </c>
      <c r="F575" s="85" t="s">
        <v>1346</v>
      </c>
      <c r="G575" s="85" t="s">
        <v>1346</v>
      </c>
      <c r="H575" s="85" t="s">
        <v>1347</v>
      </c>
      <c r="I575" s="85" t="s">
        <v>2195</v>
      </c>
      <c r="J575" s="42">
        <v>10.6</v>
      </c>
      <c r="K575" s="42">
        <v>1.9</v>
      </c>
      <c r="L575" s="42">
        <v>18.1</v>
      </c>
      <c r="M575" s="42">
        <v>9.0</v>
      </c>
      <c r="N575" s="42">
        <v>1.0</v>
      </c>
      <c r="O575" s="42">
        <v>9.2E12</v>
      </c>
      <c r="P575" s="42">
        <v>5.9E12</v>
      </c>
      <c r="Q575" s="42">
        <v>-19.2</v>
      </c>
      <c r="R575" s="42">
        <v>6.1</v>
      </c>
      <c r="S575" s="42">
        <v>-26.5</v>
      </c>
      <c r="T575" s="42">
        <v>-35.9</v>
      </c>
      <c r="U575" s="42">
        <v>14.8</v>
      </c>
      <c r="V575" s="42">
        <v>-8.6</v>
      </c>
      <c r="W575" s="42">
        <v>-26.1</v>
      </c>
    </row>
    <row r="576">
      <c r="A576" s="87">
        <v>575.0</v>
      </c>
      <c r="B576" s="85" t="s">
        <v>2196</v>
      </c>
      <c r="C576" s="85" t="s">
        <v>642</v>
      </c>
      <c r="D576" s="85" t="s">
        <v>1569</v>
      </c>
      <c r="E576" s="85" t="s">
        <v>1570</v>
      </c>
      <c r="F576" s="85" t="s">
        <v>1571</v>
      </c>
      <c r="G576" s="85" t="s">
        <v>1572</v>
      </c>
      <c r="H576" s="85" t="s">
        <v>1572</v>
      </c>
      <c r="I576" s="85" t="s">
        <v>2197</v>
      </c>
      <c r="J576" s="42">
        <v>16.3</v>
      </c>
      <c r="K576" s="42">
        <v>2.7</v>
      </c>
      <c r="L576" s="42">
        <v>16.2</v>
      </c>
      <c r="M576" s="42">
        <v>14.3</v>
      </c>
      <c r="N576" s="42">
        <v>0.13</v>
      </c>
      <c r="O576" s="42">
        <v>2.25E13</v>
      </c>
      <c r="P576" s="42">
        <v>1.4E12</v>
      </c>
      <c r="Q576" s="42">
        <v>-26.4</v>
      </c>
      <c r="R576" s="42">
        <v>-30.7</v>
      </c>
      <c r="S576" s="42">
        <v>-43.3</v>
      </c>
      <c r="T576" s="42">
        <v>-42.6</v>
      </c>
      <c r="U576" s="42">
        <v>100.0</v>
      </c>
      <c r="V576" s="42">
        <v>-15.6</v>
      </c>
      <c r="W576" s="42">
        <v>-40.5</v>
      </c>
    </row>
    <row r="577">
      <c r="A577" s="87">
        <v>576.0</v>
      </c>
      <c r="B577" s="85" t="s">
        <v>2198</v>
      </c>
      <c r="C577" s="85" t="s">
        <v>643</v>
      </c>
      <c r="D577" s="85" t="s">
        <v>1285</v>
      </c>
      <c r="E577" s="85" t="s">
        <v>1201</v>
      </c>
      <c r="F577" s="85" t="s">
        <v>1286</v>
      </c>
      <c r="G577" s="85" t="s">
        <v>1287</v>
      </c>
      <c r="H577" s="85" t="s">
        <v>1288</v>
      </c>
      <c r="I577" s="85" t="s">
        <v>1381</v>
      </c>
      <c r="J577" s="42">
        <v>-2030.0</v>
      </c>
      <c r="K577" s="42">
        <v>13.2</v>
      </c>
      <c r="L577" s="42">
        <v>-0.65</v>
      </c>
      <c r="M577" s="42">
        <v>-0.64</v>
      </c>
      <c r="N577" s="42">
        <v>0.01</v>
      </c>
      <c r="O577" s="42">
        <v>3.3E12</v>
      </c>
      <c r="P577" s="42">
        <v>1.87E9</v>
      </c>
      <c r="Q577" s="42">
        <v>-36.0</v>
      </c>
      <c r="R577" s="42">
        <v>-15.6</v>
      </c>
      <c r="S577" s="42">
        <v>-51.2</v>
      </c>
      <c r="T577" s="42">
        <v>190.0</v>
      </c>
      <c r="U577" s="42">
        <v>-86.9</v>
      </c>
      <c r="V577" s="42">
        <v>-28.7</v>
      </c>
      <c r="W577" s="42">
        <v>-47.8</v>
      </c>
    </row>
    <row r="578">
      <c r="A578" s="87">
        <v>577.0</v>
      </c>
      <c r="B578" s="85" t="s">
        <v>2199</v>
      </c>
      <c r="C578" s="85" t="s">
        <v>644</v>
      </c>
      <c r="D578" s="85" t="s">
        <v>1354</v>
      </c>
      <c r="E578" s="85" t="s">
        <v>1252</v>
      </c>
      <c r="F578" s="85" t="s">
        <v>1252</v>
      </c>
      <c r="G578" s="85" t="s">
        <v>1313</v>
      </c>
      <c r="H578" s="85" t="s">
        <v>1355</v>
      </c>
      <c r="I578" s="85" t="s">
        <v>1271</v>
      </c>
      <c r="J578" s="42">
        <v>4.9</v>
      </c>
      <c r="K578" s="42">
        <v>0.99</v>
      </c>
      <c r="L578" s="42">
        <v>20.2</v>
      </c>
      <c r="M578" s="42">
        <v>10.2</v>
      </c>
      <c r="N578" s="42">
        <v>0.99</v>
      </c>
      <c r="O578" s="42">
        <v>9.88E11</v>
      </c>
      <c r="P578" s="42">
        <v>6.76E11</v>
      </c>
      <c r="Q578" s="42">
        <v>-37.5</v>
      </c>
      <c r="R578" s="42">
        <v>-39.4</v>
      </c>
      <c r="S578" s="42">
        <v>-56.9</v>
      </c>
      <c r="T578" s="42">
        <v>-61.9</v>
      </c>
      <c r="U578" s="42">
        <v>29.8</v>
      </c>
      <c r="V578" s="42">
        <v>-16.7</v>
      </c>
      <c r="W578" s="42">
        <v>-57.1</v>
      </c>
    </row>
    <row r="579">
      <c r="A579" s="87">
        <v>578.0</v>
      </c>
      <c r="B579" s="85" t="s">
        <v>2200</v>
      </c>
      <c r="C579" s="85" t="s">
        <v>645</v>
      </c>
      <c r="D579" s="85" t="s">
        <v>1299</v>
      </c>
      <c r="E579" s="85" t="s">
        <v>1300</v>
      </c>
      <c r="F579" s="85" t="s">
        <v>1301</v>
      </c>
      <c r="G579" s="85" t="s">
        <v>1301</v>
      </c>
      <c r="H579" s="85" t="s">
        <v>1301</v>
      </c>
      <c r="I579" s="85" t="s">
        <v>1706</v>
      </c>
      <c r="J579" s="42">
        <v>-10.5</v>
      </c>
      <c r="K579" s="42">
        <v>0.55</v>
      </c>
      <c r="L579" s="42">
        <v>-5.3</v>
      </c>
      <c r="M579" s="42">
        <v>-3.3</v>
      </c>
      <c r="N579" s="42">
        <v>0.6</v>
      </c>
      <c r="O579" s="42">
        <v>7.9E10</v>
      </c>
      <c r="P579" s="42">
        <v>1.3E10</v>
      </c>
      <c r="Q579" s="42">
        <v>-19.0</v>
      </c>
      <c r="R579" s="42">
        <v>-37.0</v>
      </c>
      <c r="S579" s="42">
        <v>-43.3</v>
      </c>
      <c r="T579" s="42">
        <v>70.0</v>
      </c>
      <c r="U579" s="42">
        <v>-56.3</v>
      </c>
      <c r="V579" s="42">
        <v>-15.0</v>
      </c>
      <c r="W579" s="42">
        <v>-50.0</v>
      </c>
    </row>
    <row r="580">
      <c r="A580" s="87">
        <v>579.0</v>
      </c>
      <c r="B580" s="85" t="s">
        <v>2201</v>
      </c>
      <c r="C580" s="85" t="s">
        <v>646</v>
      </c>
      <c r="D580" s="85" t="s">
        <v>1299</v>
      </c>
      <c r="E580" s="85" t="s">
        <v>1300</v>
      </c>
      <c r="F580" s="85" t="s">
        <v>1301</v>
      </c>
      <c r="G580" s="85" t="s">
        <v>1301</v>
      </c>
      <c r="H580" s="85" t="s">
        <v>1301</v>
      </c>
      <c r="I580" s="85" t="s">
        <v>1886</v>
      </c>
      <c r="J580" s="42">
        <v>55.1</v>
      </c>
      <c r="K580" s="42">
        <v>1.4</v>
      </c>
      <c r="L580" s="42">
        <v>2.5</v>
      </c>
      <c r="M580" s="42">
        <v>2.2</v>
      </c>
      <c r="N580" s="42">
        <v>0.16</v>
      </c>
      <c r="O580" s="42">
        <v>7.05E11</v>
      </c>
      <c r="P580" s="42">
        <v>4.2E10</v>
      </c>
      <c r="Q580" s="42">
        <v>-43.4</v>
      </c>
      <c r="R580" s="42">
        <v>-50.0</v>
      </c>
      <c r="S580" s="42">
        <v>-53.4</v>
      </c>
      <c r="T580" s="42">
        <v>-27.5</v>
      </c>
      <c r="U580" s="42">
        <v>30.6</v>
      </c>
      <c r="V580" s="42">
        <v>-28.3</v>
      </c>
      <c r="W580" s="42">
        <v>-69.1</v>
      </c>
    </row>
    <row r="581">
      <c r="A581" s="87">
        <v>580.0</v>
      </c>
      <c r="B581" s="85" t="s">
        <v>2202</v>
      </c>
      <c r="C581" s="85" t="s">
        <v>647</v>
      </c>
      <c r="D581" s="85" t="s">
        <v>1397</v>
      </c>
      <c r="E581" s="85" t="s">
        <v>1187</v>
      </c>
      <c r="F581" s="85" t="s">
        <v>1188</v>
      </c>
      <c r="G581" s="85" t="s">
        <v>1359</v>
      </c>
      <c r="H581" s="85" t="s">
        <v>1398</v>
      </c>
      <c r="I581" s="85" t="s">
        <v>1383</v>
      </c>
      <c r="J581" s="42">
        <v>81.1</v>
      </c>
      <c r="K581" s="42">
        <v>10.6</v>
      </c>
      <c r="L581" s="42">
        <v>13.0</v>
      </c>
      <c r="M581" s="42">
        <v>8.0</v>
      </c>
      <c r="N581" s="42">
        <v>0.62</v>
      </c>
      <c r="O581" s="42">
        <v>3.5E12</v>
      </c>
      <c r="P581" s="42">
        <v>9.0E10</v>
      </c>
      <c r="Q581" s="42">
        <v>-1.8</v>
      </c>
      <c r="R581" s="42">
        <v>-7.4</v>
      </c>
      <c r="S581" s="42">
        <v>210.0</v>
      </c>
      <c r="T581" s="42">
        <v>350.0</v>
      </c>
      <c r="U581" s="42">
        <v>47.7</v>
      </c>
      <c r="V581" s="42">
        <v>-0.93</v>
      </c>
      <c r="W581" s="42">
        <v>200.0</v>
      </c>
    </row>
    <row r="582">
      <c r="A582" s="87">
        <v>581.0</v>
      </c>
      <c r="B582" s="85" t="s">
        <v>2203</v>
      </c>
      <c r="C582" s="85" t="s">
        <v>648</v>
      </c>
      <c r="D582" s="85" t="s">
        <v>2204</v>
      </c>
      <c r="E582" s="85" t="s">
        <v>1201</v>
      </c>
      <c r="F582" s="85" t="s">
        <v>1219</v>
      </c>
      <c r="G582" s="85" t="s">
        <v>2205</v>
      </c>
      <c r="H582" s="85" t="s">
        <v>2205</v>
      </c>
      <c r="I582" s="85" t="s">
        <v>1205</v>
      </c>
      <c r="J582" s="42">
        <v>-3.6</v>
      </c>
      <c r="K582" s="42">
        <v>-0.75</v>
      </c>
      <c r="L582" s="42">
        <v>0.0</v>
      </c>
      <c r="M582" s="42">
        <v>-0.19</v>
      </c>
      <c r="N582" s="42">
        <v>-110.0</v>
      </c>
      <c r="O582" s="42">
        <v>5.5E9</v>
      </c>
      <c r="P582" s="42">
        <v>3.69E9</v>
      </c>
      <c r="Q582" s="42">
        <v>0.0</v>
      </c>
      <c r="R582" s="42">
        <v>0.0</v>
      </c>
      <c r="S582" s="42">
        <v>0.0</v>
      </c>
      <c r="T582" s="42">
        <v>0.0</v>
      </c>
      <c r="U582" s="42">
        <v>-41.6</v>
      </c>
      <c r="V582" s="42">
        <v>0.0</v>
      </c>
      <c r="W582" s="42">
        <v>0.0</v>
      </c>
    </row>
    <row r="583">
      <c r="A583" s="87">
        <v>582.0</v>
      </c>
      <c r="B583" s="85" t="s">
        <v>2206</v>
      </c>
      <c r="C583" s="85" t="s">
        <v>649</v>
      </c>
      <c r="D583" s="85" t="s">
        <v>1234</v>
      </c>
      <c r="E583" s="85" t="s">
        <v>1235</v>
      </c>
      <c r="F583" s="85" t="s">
        <v>1235</v>
      </c>
      <c r="G583" s="85" t="s">
        <v>1236</v>
      </c>
      <c r="H583" s="85" t="s">
        <v>1237</v>
      </c>
      <c r="I583" s="85" t="s">
        <v>1238</v>
      </c>
      <c r="J583" s="42">
        <v>17.8</v>
      </c>
      <c r="K583" s="42">
        <v>2.6</v>
      </c>
      <c r="L583" s="42">
        <v>14.5</v>
      </c>
      <c r="M583" s="42">
        <v>11.8</v>
      </c>
      <c r="N583" s="42">
        <v>0.23</v>
      </c>
      <c r="O583" s="42">
        <v>2.08E13</v>
      </c>
      <c r="P583" s="42">
        <v>6.73E11</v>
      </c>
      <c r="Q583" s="42">
        <v>0.694</v>
      </c>
      <c r="R583" s="42">
        <v>-7.2</v>
      </c>
      <c r="S583" s="42">
        <v>-10.0</v>
      </c>
      <c r="T583" s="42">
        <v>-11.1</v>
      </c>
      <c r="U583" s="42">
        <v>170.0</v>
      </c>
      <c r="V583" s="42">
        <v>-0.343</v>
      </c>
      <c r="W583" s="42">
        <v>-7.4</v>
      </c>
    </row>
    <row r="584">
      <c r="A584" s="87">
        <v>583.0</v>
      </c>
      <c r="B584" s="85" t="s">
        <v>2207</v>
      </c>
      <c r="C584" s="85" t="s">
        <v>650</v>
      </c>
      <c r="D584" s="85" t="s">
        <v>1193</v>
      </c>
      <c r="E584" s="85" t="s">
        <v>1194</v>
      </c>
      <c r="F584" s="85" t="s">
        <v>1195</v>
      </c>
      <c r="G584" s="85" t="s">
        <v>1196</v>
      </c>
      <c r="H584" s="85" t="s">
        <v>1197</v>
      </c>
      <c r="I584" s="85" t="s">
        <v>1243</v>
      </c>
      <c r="J584" s="42">
        <v>26.3</v>
      </c>
      <c r="K584" s="42">
        <v>2.2</v>
      </c>
      <c r="L584" s="42">
        <v>8.5</v>
      </c>
      <c r="M584" s="42">
        <v>3.8</v>
      </c>
      <c r="N584" s="42">
        <v>1.3</v>
      </c>
      <c r="O584" s="42">
        <v>1.5E12</v>
      </c>
      <c r="P584" s="42">
        <v>3.23E11</v>
      </c>
      <c r="Q584" s="42">
        <v>-7.6</v>
      </c>
      <c r="R584" s="42">
        <v>2.5</v>
      </c>
      <c r="S584" s="42">
        <v>-18.8</v>
      </c>
      <c r="T584" s="42">
        <v>11.0</v>
      </c>
      <c r="U584" s="42">
        <v>17.8</v>
      </c>
      <c r="V584" s="42">
        <v>-4.0</v>
      </c>
      <c r="W584" s="42">
        <v>-19.3</v>
      </c>
    </row>
    <row r="585">
      <c r="A585" s="87">
        <v>584.0</v>
      </c>
      <c r="B585" s="85" t="s">
        <v>2208</v>
      </c>
      <c r="C585" s="85" t="s">
        <v>651</v>
      </c>
      <c r="D585" s="85" t="s">
        <v>1512</v>
      </c>
      <c r="E585" s="85" t="s">
        <v>1194</v>
      </c>
      <c r="F585" s="85" t="s">
        <v>1195</v>
      </c>
      <c r="G585" s="85" t="s">
        <v>1241</v>
      </c>
      <c r="H585" s="85" t="s">
        <v>1513</v>
      </c>
      <c r="I585" s="85" t="s">
        <v>1641</v>
      </c>
      <c r="J585" s="42">
        <v>10.4</v>
      </c>
      <c r="K585" s="42">
        <v>8.0</v>
      </c>
      <c r="L585" s="42">
        <v>76.7</v>
      </c>
      <c r="M585" s="42">
        <v>33.6</v>
      </c>
      <c r="N585" s="42">
        <v>1.3</v>
      </c>
      <c r="O585" s="42">
        <v>1.26E13</v>
      </c>
      <c r="P585" s="42">
        <v>7.59E11</v>
      </c>
      <c r="Q585" s="42">
        <v>-2.1</v>
      </c>
      <c r="R585" s="42">
        <v>8.7</v>
      </c>
      <c r="S585" s="42">
        <v>4.4</v>
      </c>
      <c r="T585" s="42">
        <v>2.6</v>
      </c>
      <c r="U585" s="42">
        <v>160.0</v>
      </c>
      <c r="V585" s="42">
        <v>-0.837</v>
      </c>
      <c r="W585" s="42">
        <v>4.4</v>
      </c>
    </row>
    <row r="586">
      <c r="A586" s="87">
        <v>585.0</v>
      </c>
      <c r="B586" s="85" t="s">
        <v>2209</v>
      </c>
      <c r="C586" s="85" t="s">
        <v>652</v>
      </c>
      <c r="D586" s="85" t="s">
        <v>1325</v>
      </c>
      <c r="E586" s="85" t="s">
        <v>1214</v>
      </c>
      <c r="F586" s="85" t="s">
        <v>1326</v>
      </c>
      <c r="G586" s="85" t="s">
        <v>1327</v>
      </c>
      <c r="H586" s="85" t="s">
        <v>1327</v>
      </c>
      <c r="I586" s="85" t="s">
        <v>2210</v>
      </c>
      <c r="J586" s="42">
        <v>-20.9</v>
      </c>
      <c r="K586" s="42">
        <v>0.31</v>
      </c>
      <c r="L586" s="42">
        <v>-1.5</v>
      </c>
      <c r="M586" s="42">
        <v>-1.1</v>
      </c>
      <c r="N586" s="42">
        <v>0.38</v>
      </c>
      <c r="O586" s="42">
        <v>1.6E12</v>
      </c>
      <c r="P586" s="42">
        <v>8.85E11</v>
      </c>
      <c r="Q586" s="42">
        <v>-10.0</v>
      </c>
      <c r="R586" s="42">
        <v>-23.0</v>
      </c>
      <c r="S586" s="42">
        <v>-31.6</v>
      </c>
      <c r="T586" s="42">
        <v>-15.8</v>
      </c>
      <c r="U586" s="42">
        <v>-8.9</v>
      </c>
      <c r="V586" s="42">
        <v>-5.6</v>
      </c>
      <c r="W586" s="42">
        <v>-30.8</v>
      </c>
    </row>
    <row r="587">
      <c r="A587" s="87">
        <v>586.0</v>
      </c>
      <c r="B587" s="85" t="s">
        <v>2211</v>
      </c>
      <c r="C587" s="85" t="s">
        <v>653</v>
      </c>
      <c r="D587" s="85" t="s">
        <v>1213</v>
      </c>
      <c r="E587" s="85" t="s">
        <v>1214</v>
      </c>
      <c r="F587" s="85" t="s">
        <v>1215</v>
      </c>
      <c r="G587" s="85" t="s">
        <v>1215</v>
      </c>
      <c r="H587" s="85" t="s">
        <v>1215</v>
      </c>
      <c r="I587" s="85" t="s">
        <v>1243</v>
      </c>
      <c r="J587" s="42">
        <v>-27.6</v>
      </c>
      <c r="K587" s="42">
        <v>0.25</v>
      </c>
      <c r="L587" s="42">
        <v>-0.92</v>
      </c>
      <c r="M587" s="42">
        <v>-0.34</v>
      </c>
      <c r="N587" s="42">
        <v>1.7</v>
      </c>
      <c r="O587" s="42">
        <v>1.3E12</v>
      </c>
      <c r="P587" s="42">
        <v>3.2E12</v>
      </c>
      <c r="Q587" s="42">
        <v>-30.0</v>
      </c>
      <c r="R587" s="42">
        <v>-24.7</v>
      </c>
      <c r="S587" s="42">
        <v>-59.1</v>
      </c>
      <c r="T587" s="42">
        <v>-29.3</v>
      </c>
      <c r="U587" s="42">
        <v>-1.5</v>
      </c>
      <c r="V587" s="42">
        <v>-17.6</v>
      </c>
      <c r="W587" s="42">
        <v>-50.4</v>
      </c>
    </row>
    <row r="588">
      <c r="A588" s="87">
        <v>587.0</v>
      </c>
      <c r="B588" s="85" t="s">
        <v>2212</v>
      </c>
      <c r="C588" s="85" t="s">
        <v>654</v>
      </c>
      <c r="D588" s="85" t="s">
        <v>1375</v>
      </c>
      <c r="E588" s="85" t="s">
        <v>1376</v>
      </c>
      <c r="F588" s="85" t="s">
        <v>1377</v>
      </c>
      <c r="G588" s="85" t="s">
        <v>1378</v>
      </c>
      <c r="H588" s="85" t="s">
        <v>1378</v>
      </c>
      <c r="I588" s="85" t="s">
        <v>1441</v>
      </c>
      <c r="J588" s="42">
        <v>120.0</v>
      </c>
      <c r="K588" s="42">
        <v>45.2</v>
      </c>
      <c r="L588" s="42">
        <v>38.4</v>
      </c>
      <c r="M588" s="42">
        <v>7.8</v>
      </c>
      <c r="N588" s="42">
        <v>3.9</v>
      </c>
      <c r="O588" s="42">
        <v>3.56E13</v>
      </c>
      <c r="P588" s="42">
        <v>8.39E11</v>
      </c>
      <c r="Q588" s="42">
        <v>-41.3</v>
      </c>
      <c r="R588" s="42">
        <v>-43.7</v>
      </c>
      <c r="S588" s="42">
        <v>-82.7</v>
      </c>
      <c r="T588" s="42">
        <v>-58.8</v>
      </c>
      <c r="U588" s="42">
        <v>36.1</v>
      </c>
      <c r="V588" s="42">
        <v>-33.9</v>
      </c>
      <c r="W588" s="42">
        <v>-79.9</v>
      </c>
    </row>
    <row r="589">
      <c r="A589" s="87">
        <v>588.0</v>
      </c>
      <c r="B589" s="85" t="s">
        <v>2213</v>
      </c>
      <c r="C589" s="85" t="s">
        <v>655</v>
      </c>
      <c r="D589" s="85" t="s">
        <v>1682</v>
      </c>
      <c r="E589" s="85" t="s">
        <v>1570</v>
      </c>
      <c r="F589" s="85" t="s">
        <v>1571</v>
      </c>
      <c r="G589" s="85" t="s">
        <v>1683</v>
      </c>
      <c r="H589" s="85" t="s">
        <v>1684</v>
      </c>
      <c r="I589" s="85" t="s">
        <v>1651</v>
      </c>
      <c r="J589" s="42">
        <v>370.0</v>
      </c>
      <c r="K589" s="42">
        <v>10.8</v>
      </c>
      <c r="L589" s="42">
        <v>2.9</v>
      </c>
      <c r="M589" s="42">
        <v>1.3</v>
      </c>
      <c r="N589" s="42">
        <v>1.3</v>
      </c>
      <c r="O589" s="42">
        <v>2.0E12</v>
      </c>
      <c r="P589" s="42">
        <v>5.0E10</v>
      </c>
      <c r="Q589" s="42">
        <v>110.0</v>
      </c>
      <c r="R589" s="42">
        <v>260.0</v>
      </c>
      <c r="S589" s="42">
        <v>210.0</v>
      </c>
      <c r="T589" s="42">
        <v>330.0</v>
      </c>
      <c r="U589" s="42">
        <v>11.0</v>
      </c>
      <c r="V589" s="42">
        <v>42.9</v>
      </c>
      <c r="W589" s="42">
        <v>250.0</v>
      </c>
    </row>
    <row r="590">
      <c r="A590" s="87">
        <v>589.0</v>
      </c>
      <c r="B590" s="85" t="s">
        <v>2214</v>
      </c>
      <c r="C590" s="85" t="s">
        <v>656</v>
      </c>
      <c r="D590" s="85" t="s">
        <v>1234</v>
      </c>
      <c r="E590" s="85" t="s">
        <v>1235</v>
      </c>
      <c r="F590" s="85" t="s">
        <v>1235</v>
      </c>
      <c r="G590" s="85" t="s">
        <v>1236</v>
      </c>
      <c r="H590" s="85" t="s">
        <v>1237</v>
      </c>
      <c r="I590" s="85" t="s">
        <v>2215</v>
      </c>
      <c r="J590" s="42">
        <v>25.1</v>
      </c>
      <c r="K590" s="42">
        <v>0.45</v>
      </c>
      <c r="L590" s="42">
        <v>1.8</v>
      </c>
      <c r="M590" s="42">
        <v>1.3</v>
      </c>
      <c r="N590" s="42">
        <v>0.38</v>
      </c>
      <c r="O590" s="42">
        <v>2.2E12</v>
      </c>
      <c r="P590" s="42">
        <v>9.3E10</v>
      </c>
      <c r="Q590" s="42">
        <v>-28.1</v>
      </c>
      <c r="R590" s="42">
        <v>-12.9</v>
      </c>
      <c r="S590" s="42">
        <v>-55.5</v>
      </c>
      <c r="T590" s="42">
        <v>-49.8</v>
      </c>
      <c r="U590" s="42">
        <v>92.8</v>
      </c>
      <c r="V590" s="42">
        <v>-17.4</v>
      </c>
      <c r="W590" s="42">
        <v>-53.9</v>
      </c>
    </row>
    <row r="591">
      <c r="A591" s="87">
        <v>590.0</v>
      </c>
      <c r="B591" s="85" t="s">
        <v>2216</v>
      </c>
      <c r="C591" s="85" t="s">
        <v>657</v>
      </c>
      <c r="D591" s="85" t="s">
        <v>2156</v>
      </c>
      <c r="E591" s="85" t="s">
        <v>1201</v>
      </c>
      <c r="F591" s="85" t="s">
        <v>1202</v>
      </c>
      <c r="G591" s="85" t="s">
        <v>1203</v>
      </c>
      <c r="H591" s="85" t="s">
        <v>2157</v>
      </c>
      <c r="I591" s="85" t="s">
        <v>2217</v>
      </c>
      <c r="J591" s="42">
        <v>2.5</v>
      </c>
      <c r="K591" s="42">
        <v>0.14</v>
      </c>
      <c r="L591" s="42">
        <v>5.4</v>
      </c>
      <c r="M591" s="42">
        <v>5.0</v>
      </c>
      <c r="N591" s="42">
        <v>0.08</v>
      </c>
      <c r="O591" s="42">
        <v>3.2E12</v>
      </c>
      <c r="P591" s="42">
        <v>1.9E12</v>
      </c>
      <c r="Q591" s="42">
        <v>-9.9</v>
      </c>
      <c r="R591" s="42">
        <v>-3.8</v>
      </c>
      <c r="S591" s="42">
        <v>-23.1</v>
      </c>
      <c r="T591" s="42">
        <v>-23.1</v>
      </c>
      <c r="U591" s="42">
        <v>67.4</v>
      </c>
      <c r="V591" s="42">
        <v>-3.8</v>
      </c>
      <c r="W591" s="42">
        <v>-25.4</v>
      </c>
    </row>
    <row r="592">
      <c r="A592" s="87">
        <v>591.0</v>
      </c>
      <c r="B592" s="85" t="s">
        <v>2218</v>
      </c>
      <c r="C592" s="85" t="s">
        <v>658</v>
      </c>
      <c r="D592" s="85" t="s">
        <v>1251</v>
      </c>
      <c r="E592" s="85" t="s">
        <v>1252</v>
      </c>
      <c r="F592" s="85" t="s">
        <v>1252</v>
      </c>
      <c r="G592" s="85" t="s">
        <v>1253</v>
      </c>
      <c r="H592" s="85" t="s">
        <v>1254</v>
      </c>
      <c r="I592" s="85" t="s">
        <v>1422</v>
      </c>
      <c r="J592" s="42">
        <v>6.3</v>
      </c>
      <c r="K592" s="42">
        <v>0.41</v>
      </c>
      <c r="L592" s="42">
        <v>6.6</v>
      </c>
      <c r="M592" s="42">
        <v>5.9</v>
      </c>
      <c r="N592" s="42">
        <v>0.11</v>
      </c>
      <c r="O592" s="42">
        <v>6.1E11</v>
      </c>
      <c r="P592" s="42">
        <v>3.19E11</v>
      </c>
      <c r="Q592" s="42">
        <v>-24.6</v>
      </c>
      <c r="R592" s="42">
        <v>-10.3</v>
      </c>
      <c r="S592" s="42">
        <v>-36.2</v>
      </c>
      <c r="T592" s="42">
        <v>0.971</v>
      </c>
      <c r="U592" s="42">
        <v>30.3</v>
      </c>
      <c r="V592" s="42">
        <v>-6.3</v>
      </c>
      <c r="W592" s="42">
        <v>-31.6</v>
      </c>
    </row>
    <row r="593">
      <c r="A593" s="87">
        <v>592.0</v>
      </c>
      <c r="B593" s="85" t="s">
        <v>2219</v>
      </c>
      <c r="C593" s="85" t="s">
        <v>659</v>
      </c>
      <c r="D593" s="85" t="s">
        <v>1745</v>
      </c>
      <c r="E593" s="85" t="s">
        <v>1230</v>
      </c>
      <c r="F593" s="85" t="s">
        <v>1464</v>
      </c>
      <c r="G593" s="85" t="s">
        <v>1746</v>
      </c>
      <c r="H593" s="85" t="s">
        <v>1747</v>
      </c>
      <c r="I593" s="85" t="s">
        <v>1506</v>
      </c>
      <c r="J593" s="42">
        <v>700.0</v>
      </c>
      <c r="K593" s="42">
        <v>40.9</v>
      </c>
      <c r="L593" s="42">
        <v>5.9</v>
      </c>
      <c r="M593" s="42">
        <v>3.2</v>
      </c>
      <c r="N593" s="42">
        <v>0.85</v>
      </c>
      <c r="O593" s="42">
        <v>3.3E14</v>
      </c>
      <c r="P593" s="42">
        <v>9.63E11</v>
      </c>
      <c r="Q593" s="42">
        <v>-41.1</v>
      </c>
      <c r="R593" s="42">
        <v>-13.8</v>
      </c>
      <c r="S593" s="42">
        <v>-50.4</v>
      </c>
      <c r="T593" s="42">
        <v>1140.0</v>
      </c>
      <c r="U593" s="42">
        <v>49.1</v>
      </c>
      <c r="V593" s="42">
        <v>-22.6</v>
      </c>
      <c r="W593" s="42">
        <v>-55.6</v>
      </c>
    </row>
    <row r="594">
      <c r="A594" s="87">
        <v>593.0</v>
      </c>
      <c r="B594" s="85" t="s">
        <v>2220</v>
      </c>
      <c r="C594" s="85" t="s">
        <v>660</v>
      </c>
      <c r="D594" s="85" t="s">
        <v>1439</v>
      </c>
      <c r="E594" s="85" t="s">
        <v>1376</v>
      </c>
      <c r="F594" s="85" t="s">
        <v>1377</v>
      </c>
      <c r="G594" s="85" t="s">
        <v>1440</v>
      </c>
      <c r="H594" s="85" t="s">
        <v>1440</v>
      </c>
      <c r="I594" s="85" t="s">
        <v>1441</v>
      </c>
      <c r="J594" s="42">
        <v>15.1</v>
      </c>
      <c r="K594" s="42">
        <v>0.84</v>
      </c>
      <c r="L594" s="42">
        <v>5.6</v>
      </c>
      <c r="M594" s="42">
        <v>5.1</v>
      </c>
      <c r="N594" s="42">
        <v>0.1</v>
      </c>
      <c r="O594" s="42">
        <v>1.31E11</v>
      </c>
      <c r="P594" s="42">
        <v>5.36E11</v>
      </c>
      <c r="Q594" s="42">
        <v>-12.5</v>
      </c>
      <c r="R594" s="42">
        <v>-10.5</v>
      </c>
      <c r="S594" s="42">
        <v>11.6</v>
      </c>
      <c r="T594" s="42">
        <v>14.9</v>
      </c>
      <c r="U594" s="42">
        <v>1.6</v>
      </c>
      <c r="V594" s="42">
        <v>-10.5</v>
      </c>
      <c r="W594" s="42">
        <v>8.5</v>
      </c>
    </row>
    <row r="595">
      <c r="A595" s="87">
        <v>594.0</v>
      </c>
      <c r="B595" s="85" t="s">
        <v>2221</v>
      </c>
      <c r="C595" s="85" t="s">
        <v>661</v>
      </c>
      <c r="D595" s="85" t="s">
        <v>1414</v>
      </c>
      <c r="E595" s="85" t="s">
        <v>1201</v>
      </c>
      <c r="F595" s="85" t="s">
        <v>1219</v>
      </c>
      <c r="G595" s="85" t="s">
        <v>1220</v>
      </c>
      <c r="H595" s="85" t="s">
        <v>1415</v>
      </c>
      <c r="I595" s="85" t="s">
        <v>2222</v>
      </c>
      <c r="J595" s="42">
        <v>10.3</v>
      </c>
      <c r="K595" s="42">
        <v>0.81</v>
      </c>
      <c r="L595" s="42">
        <v>7.8</v>
      </c>
      <c r="M595" s="42">
        <v>5.8</v>
      </c>
      <c r="N595" s="42">
        <v>0.35</v>
      </c>
      <c r="O595" s="42">
        <v>5.0E12</v>
      </c>
      <c r="P595" s="42">
        <v>4.0E12</v>
      </c>
      <c r="Q595" s="42">
        <v>6.5</v>
      </c>
      <c r="R595" s="42">
        <v>7.5</v>
      </c>
      <c r="S595" s="42">
        <v>11.5</v>
      </c>
      <c r="T595" s="42">
        <v>-0.926</v>
      </c>
      <c r="U595" s="42">
        <v>12.0</v>
      </c>
      <c r="V595" s="42">
        <v>-5.3</v>
      </c>
      <c r="W595" s="42">
        <v>10.9</v>
      </c>
    </row>
    <row r="596">
      <c r="A596" s="87">
        <v>595.0</v>
      </c>
      <c r="B596" s="85" t="s">
        <v>2223</v>
      </c>
      <c r="C596" s="85" t="s">
        <v>662</v>
      </c>
      <c r="D596" s="85" t="s">
        <v>1387</v>
      </c>
      <c r="E596" s="85" t="s">
        <v>1230</v>
      </c>
      <c r="F596" s="85" t="s">
        <v>1388</v>
      </c>
      <c r="G596" s="85" t="s">
        <v>1389</v>
      </c>
      <c r="H596" s="85" t="s">
        <v>1389</v>
      </c>
      <c r="I596" s="85" t="s">
        <v>1764</v>
      </c>
      <c r="J596" s="42">
        <v>-6.7</v>
      </c>
      <c r="K596" s="42">
        <v>0.93</v>
      </c>
      <c r="L596" s="42">
        <v>-14.0</v>
      </c>
      <c r="M596" s="42">
        <v>-10.4</v>
      </c>
      <c r="N596" s="42">
        <v>0.35</v>
      </c>
      <c r="O596" s="42">
        <v>9.3E10</v>
      </c>
      <c r="P596" s="42">
        <v>3.46E9</v>
      </c>
      <c r="Q596" s="42">
        <v>-44.2</v>
      </c>
      <c r="R596" s="42">
        <v>-4.2</v>
      </c>
      <c r="S596" s="42">
        <v>-30.8</v>
      </c>
      <c r="T596" s="42">
        <v>-25.8</v>
      </c>
      <c r="U596" s="42">
        <v>-400.0</v>
      </c>
      <c r="V596" s="42">
        <v>-19.3</v>
      </c>
      <c r="W596" s="42">
        <v>-25.8</v>
      </c>
    </row>
    <row r="597">
      <c r="A597" s="87">
        <v>596.0</v>
      </c>
      <c r="B597" s="85" t="s">
        <v>2224</v>
      </c>
      <c r="C597" s="85" t="s">
        <v>663</v>
      </c>
      <c r="D597" s="85" t="s">
        <v>1345</v>
      </c>
      <c r="E597" s="85" t="s">
        <v>1194</v>
      </c>
      <c r="F597" s="85" t="s">
        <v>1346</v>
      </c>
      <c r="G597" s="85" t="s">
        <v>1346</v>
      </c>
      <c r="H597" s="85" t="s">
        <v>1347</v>
      </c>
      <c r="I597" s="85" t="s">
        <v>1350</v>
      </c>
      <c r="J597" s="42">
        <v>-4.9</v>
      </c>
      <c r="K597" s="42">
        <v>-1040.0</v>
      </c>
      <c r="L597" s="42">
        <v>0.0</v>
      </c>
      <c r="M597" s="42">
        <v>-4.0</v>
      </c>
      <c r="N597" s="42">
        <v>-5380.0</v>
      </c>
      <c r="O597" s="42">
        <v>6.22E11</v>
      </c>
      <c r="P597" s="42">
        <v>2.2E12</v>
      </c>
      <c r="Q597" s="42">
        <v>-17.3</v>
      </c>
      <c r="R597" s="42">
        <v>4.9</v>
      </c>
      <c r="S597" s="42">
        <v>-33.8</v>
      </c>
      <c r="T597" s="42">
        <v>-17.3</v>
      </c>
      <c r="U597" s="42">
        <v>-5.8</v>
      </c>
      <c r="V597" s="42">
        <v>-8.5</v>
      </c>
      <c r="W597" s="42">
        <v>-29.5</v>
      </c>
    </row>
    <row r="598">
      <c r="A598" s="87">
        <v>597.0</v>
      </c>
      <c r="B598" s="85" t="s">
        <v>2225</v>
      </c>
      <c r="C598" s="85" t="s">
        <v>664</v>
      </c>
      <c r="D598" s="85" t="s">
        <v>1234</v>
      </c>
      <c r="E598" s="85" t="s">
        <v>1235</v>
      </c>
      <c r="F598" s="85" t="s">
        <v>1235</v>
      </c>
      <c r="G598" s="85" t="s">
        <v>1236</v>
      </c>
      <c r="H598" s="85" t="s">
        <v>1237</v>
      </c>
      <c r="I598" s="85" t="s">
        <v>1322</v>
      </c>
      <c r="J598" s="42">
        <v>-1510.0</v>
      </c>
      <c r="K598" s="42">
        <v>76.0</v>
      </c>
      <c r="L598" s="42">
        <v>-5.0</v>
      </c>
      <c r="M598" s="42">
        <v>-3.5</v>
      </c>
      <c r="N598" s="42">
        <v>0.42</v>
      </c>
      <c r="O598" s="42">
        <v>8.95E13</v>
      </c>
      <c r="P598" s="42">
        <v>1.1E9</v>
      </c>
      <c r="Q598" s="42">
        <v>-7.9</v>
      </c>
      <c r="R598" s="42">
        <v>-22.7</v>
      </c>
      <c r="S598" s="42">
        <v>-27.7</v>
      </c>
      <c r="T598" s="42">
        <v>310.0</v>
      </c>
      <c r="U598" s="42">
        <v>-5390.0</v>
      </c>
      <c r="V598" s="42">
        <v>-5.6</v>
      </c>
      <c r="W598" s="42">
        <v>-26.1</v>
      </c>
    </row>
    <row r="599">
      <c r="A599" s="87">
        <v>598.0</v>
      </c>
      <c r="B599" s="85" t="s">
        <v>2226</v>
      </c>
      <c r="C599" s="85" t="s">
        <v>665</v>
      </c>
      <c r="D599" s="85" t="s">
        <v>1299</v>
      </c>
      <c r="E599" s="85" t="s">
        <v>1300</v>
      </c>
      <c r="F599" s="85" t="s">
        <v>1301</v>
      </c>
      <c r="G599" s="85" t="s">
        <v>1301</v>
      </c>
      <c r="H599" s="85" t="s">
        <v>1301</v>
      </c>
      <c r="I599" s="85" t="s">
        <v>1595</v>
      </c>
      <c r="J599" s="42">
        <v>-40.9</v>
      </c>
      <c r="K599" s="42">
        <v>3.4</v>
      </c>
      <c r="L599" s="42">
        <v>-8.3</v>
      </c>
      <c r="M599" s="42">
        <v>-3.7</v>
      </c>
      <c r="N599" s="42">
        <v>1.2</v>
      </c>
      <c r="O599" s="42">
        <v>3.06E11</v>
      </c>
      <c r="P599" s="42">
        <v>3.6E10</v>
      </c>
      <c r="Q599" s="42">
        <v>-27.8</v>
      </c>
      <c r="R599" s="42">
        <v>0.0</v>
      </c>
      <c r="S599" s="42">
        <v>-38.6</v>
      </c>
      <c r="T599" s="42">
        <v>-0.709</v>
      </c>
      <c r="U599" s="42">
        <v>-21.0</v>
      </c>
      <c r="V599" s="42">
        <v>-9.1</v>
      </c>
      <c r="W599" s="42">
        <v>-52.4</v>
      </c>
    </row>
    <row r="600">
      <c r="A600" s="87">
        <v>599.0</v>
      </c>
      <c r="B600" s="85" t="s">
        <v>2227</v>
      </c>
      <c r="C600" s="85" t="s">
        <v>666</v>
      </c>
      <c r="D600" s="85" t="s">
        <v>1846</v>
      </c>
      <c r="E600" s="85" t="s">
        <v>1194</v>
      </c>
      <c r="F600" s="85" t="s">
        <v>1847</v>
      </c>
      <c r="G600" s="85" t="s">
        <v>1848</v>
      </c>
      <c r="H600" s="85" t="s">
        <v>1848</v>
      </c>
      <c r="I600" s="85" t="s">
        <v>1269</v>
      </c>
      <c r="J600" s="42">
        <v>150.0</v>
      </c>
      <c r="K600" s="42">
        <v>0.3</v>
      </c>
      <c r="L600" s="42">
        <v>0.2</v>
      </c>
      <c r="M600" s="42">
        <v>0.15</v>
      </c>
      <c r="N600" s="42">
        <v>0.37</v>
      </c>
      <c r="O600" s="42">
        <v>1.93E11</v>
      </c>
      <c r="P600" s="42">
        <v>1.24E11</v>
      </c>
      <c r="Q600" s="42">
        <v>-1.4</v>
      </c>
      <c r="R600" s="42">
        <v>-2.7</v>
      </c>
      <c r="S600" s="42">
        <v>-14.1</v>
      </c>
      <c r="T600" s="42">
        <v>49.7</v>
      </c>
      <c r="U600" s="42">
        <v>1.0</v>
      </c>
      <c r="V600" s="42">
        <v>-3.6</v>
      </c>
      <c r="W600" s="42">
        <v>-6.1</v>
      </c>
    </row>
    <row r="601">
      <c r="A601" s="87">
        <v>600.0</v>
      </c>
      <c r="B601" s="85" t="s">
        <v>2228</v>
      </c>
      <c r="C601" s="85" t="s">
        <v>667</v>
      </c>
      <c r="D601" s="85" t="s">
        <v>2229</v>
      </c>
      <c r="E601" s="85" t="s">
        <v>1208</v>
      </c>
      <c r="F601" s="85" t="s">
        <v>1209</v>
      </c>
      <c r="G601" s="85" t="s">
        <v>1209</v>
      </c>
      <c r="H601" s="85" t="s">
        <v>2230</v>
      </c>
      <c r="I601" s="85" t="s">
        <v>1278</v>
      </c>
      <c r="J601" s="42">
        <v>5.5</v>
      </c>
      <c r="K601" s="42">
        <v>0.31</v>
      </c>
      <c r="L601" s="42">
        <v>5.6</v>
      </c>
      <c r="M601" s="42">
        <v>1.7</v>
      </c>
      <c r="N601" s="42">
        <v>2.3</v>
      </c>
      <c r="O601" s="42">
        <v>5.1E11</v>
      </c>
      <c r="P601" s="42">
        <v>2.9E12</v>
      </c>
      <c r="Q601" s="42">
        <v>-6.0</v>
      </c>
      <c r="R601" s="42">
        <v>-6.0</v>
      </c>
      <c r="S601" s="42">
        <v>-6.9</v>
      </c>
      <c r="T601" s="42">
        <v>39.3</v>
      </c>
      <c r="U601" s="42">
        <v>3.1</v>
      </c>
      <c r="V601" s="42">
        <v>-3.6</v>
      </c>
      <c r="W601" s="42">
        <v>-22.3</v>
      </c>
    </row>
    <row r="602">
      <c r="A602" s="87">
        <v>601.0</v>
      </c>
      <c r="B602" s="85" t="s">
        <v>2231</v>
      </c>
      <c r="C602" s="85" t="s">
        <v>668</v>
      </c>
      <c r="D602" s="85" t="s">
        <v>1234</v>
      </c>
      <c r="E602" s="85" t="s">
        <v>1235</v>
      </c>
      <c r="F602" s="85" t="s">
        <v>1235</v>
      </c>
      <c r="G602" s="85" t="s">
        <v>1236</v>
      </c>
      <c r="H602" s="85" t="s">
        <v>1237</v>
      </c>
      <c r="I602" s="85" t="s">
        <v>1265</v>
      </c>
      <c r="J602" s="42">
        <v>310.0</v>
      </c>
      <c r="K602" s="42">
        <v>1.9</v>
      </c>
      <c r="L602" s="42">
        <v>0.61</v>
      </c>
      <c r="M602" s="42">
        <v>0.55</v>
      </c>
      <c r="N602" s="42">
        <v>0.1</v>
      </c>
      <c r="O602" s="42">
        <v>2.16E11</v>
      </c>
      <c r="P602" s="42">
        <v>1.78E9</v>
      </c>
      <c r="Q602" s="42">
        <v>-33.1</v>
      </c>
      <c r="R602" s="42">
        <v>130.0</v>
      </c>
      <c r="S602" s="42">
        <v>100.0</v>
      </c>
      <c r="T602" s="42">
        <v>230.0</v>
      </c>
      <c r="U602" s="42">
        <v>38.6</v>
      </c>
      <c r="V602" s="42">
        <v>-33.1</v>
      </c>
      <c r="W602" s="42">
        <v>90.4</v>
      </c>
    </row>
    <row r="603">
      <c r="A603" s="87">
        <v>602.0</v>
      </c>
      <c r="B603" s="85" t="s">
        <v>2232</v>
      </c>
      <c r="C603" s="85" t="s">
        <v>669</v>
      </c>
      <c r="D603" s="85" t="s">
        <v>1856</v>
      </c>
      <c r="E603" s="85" t="s">
        <v>1201</v>
      </c>
      <c r="F603" s="85" t="s">
        <v>1202</v>
      </c>
      <c r="G603" s="85" t="s">
        <v>1857</v>
      </c>
      <c r="H603" s="85" t="s">
        <v>1857</v>
      </c>
      <c r="I603" s="85" t="s">
        <v>2233</v>
      </c>
      <c r="J603" s="42">
        <v>24.5</v>
      </c>
      <c r="K603" s="42">
        <v>3.6</v>
      </c>
      <c r="L603" s="42">
        <v>14.5</v>
      </c>
      <c r="M603" s="42">
        <v>12.1</v>
      </c>
      <c r="N603" s="42">
        <v>0.2</v>
      </c>
      <c r="O603" s="42">
        <v>2.49E13</v>
      </c>
      <c r="P603" s="42">
        <v>1.1E12</v>
      </c>
      <c r="Q603" s="42">
        <v>-17.1</v>
      </c>
      <c r="R603" s="42">
        <v>16.9</v>
      </c>
      <c r="S603" s="42">
        <v>41.5</v>
      </c>
      <c r="T603" s="42">
        <v>16.0</v>
      </c>
      <c r="U603" s="42">
        <v>95.3</v>
      </c>
      <c r="V603" s="42">
        <v>56.8</v>
      </c>
      <c r="W603" s="42">
        <v>39.4</v>
      </c>
    </row>
    <row r="604">
      <c r="A604" s="87">
        <v>603.0</v>
      </c>
      <c r="B604" s="85" t="s">
        <v>2234</v>
      </c>
      <c r="C604" s="85" t="s">
        <v>670</v>
      </c>
      <c r="D604" s="85" t="s">
        <v>1846</v>
      </c>
      <c r="E604" s="85" t="s">
        <v>1194</v>
      </c>
      <c r="F604" s="85" t="s">
        <v>1847</v>
      </c>
      <c r="G604" s="85" t="s">
        <v>1848</v>
      </c>
      <c r="H604" s="85" t="s">
        <v>1848</v>
      </c>
      <c r="I604" s="85" t="s">
        <v>1352</v>
      </c>
      <c r="J604" s="42">
        <v>22.1</v>
      </c>
      <c r="K604" s="42">
        <v>1.6</v>
      </c>
      <c r="L604" s="42">
        <v>7.3</v>
      </c>
      <c r="M604" s="42">
        <v>5.9</v>
      </c>
      <c r="N604" s="42">
        <v>0.24</v>
      </c>
      <c r="O604" s="42">
        <v>2.4E12</v>
      </c>
      <c r="P604" s="42">
        <v>2.59E11</v>
      </c>
      <c r="Q604" s="42">
        <v>-26.0</v>
      </c>
      <c r="R604" s="42">
        <v>-2.0</v>
      </c>
      <c r="S604" s="42">
        <v>2.1</v>
      </c>
      <c r="T604" s="42">
        <v>28.1</v>
      </c>
      <c r="U604" s="42">
        <v>41.9</v>
      </c>
      <c r="V604" s="42">
        <v>-3.9</v>
      </c>
      <c r="W604" s="42">
        <v>15.3</v>
      </c>
    </row>
    <row r="605">
      <c r="A605" s="87">
        <v>604.0</v>
      </c>
      <c r="B605" s="85" t="s">
        <v>2235</v>
      </c>
      <c r="C605" s="85" t="s">
        <v>671</v>
      </c>
      <c r="D605" s="85" t="s">
        <v>2025</v>
      </c>
      <c r="E605" s="85" t="s">
        <v>1201</v>
      </c>
      <c r="F605" s="85" t="s">
        <v>1202</v>
      </c>
      <c r="G605" s="85" t="s">
        <v>1203</v>
      </c>
      <c r="H605" s="85" t="s">
        <v>2026</v>
      </c>
      <c r="I605" s="85" t="s">
        <v>1458</v>
      </c>
      <c r="J605" s="42">
        <v>-3.9</v>
      </c>
      <c r="K605" s="42">
        <v>0.16</v>
      </c>
      <c r="L605" s="42">
        <v>-4.2</v>
      </c>
      <c r="M605" s="42">
        <v>-2.6</v>
      </c>
      <c r="N605" s="42">
        <v>0.64</v>
      </c>
      <c r="O605" s="42">
        <v>1.26E11</v>
      </c>
      <c r="P605" s="42">
        <v>6.5E10</v>
      </c>
      <c r="Q605" s="42">
        <v>-26.0</v>
      </c>
      <c r="R605" s="42">
        <v>-12.3</v>
      </c>
      <c r="S605" s="42">
        <v>-31.3</v>
      </c>
      <c r="T605" s="42">
        <v>0.0</v>
      </c>
      <c r="U605" s="42">
        <v>-49.5</v>
      </c>
      <c r="V605" s="42">
        <v>-10.9</v>
      </c>
      <c r="W605" s="42">
        <v>-28.8</v>
      </c>
    </row>
    <row r="606">
      <c r="A606" s="87">
        <v>605.0</v>
      </c>
      <c r="B606" s="85" t="s">
        <v>2236</v>
      </c>
      <c r="C606" s="85" t="s">
        <v>672</v>
      </c>
      <c r="D606" s="85" t="s">
        <v>2237</v>
      </c>
      <c r="E606" s="85" t="s">
        <v>1376</v>
      </c>
      <c r="F606" s="85" t="s">
        <v>1444</v>
      </c>
      <c r="G606" s="85" t="s">
        <v>2238</v>
      </c>
      <c r="H606" s="85" t="s">
        <v>2238</v>
      </c>
      <c r="I606" s="85" t="s">
        <v>2239</v>
      </c>
      <c r="J606" s="42">
        <v>7.9</v>
      </c>
      <c r="K606" s="42">
        <v>1.8</v>
      </c>
      <c r="L606" s="42">
        <v>22.5</v>
      </c>
      <c r="M606" s="42">
        <v>15.9</v>
      </c>
      <c r="N606" s="42">
        <v>0.42</v>
      </c>
      <c r="O606" s="42">
        <v>4.3E12</v>
      </c>
      <c r="P606" s="42">
        <v>1.1E12</v>
      </c>
      <c r="Q606" s="42">
        <v>-17.2</v>
      </c>
      <c r="R606" s="42">
        <v>-11.8</v>
      </c>
      <c r="S606" s="42">
        <v>-18.7</v>
      </c>
      <c r="T606" s="42">
        <v>-18.9</v>
      </c>
      <c r="U606" s="42">
        <v>49.3</v>
      </c>
      <c r="V606" s="42">
        <v>-15.7</v>
      </c>
      <c r="W606" s="42">
        <v>-22.2</v>
      </c>
    </row>
    <row r="607">
      <c r="A607" s="87">
        <v>606.0</v>
      </c>
      <c r="B607" s="85" t="s">
        <v>2240</v>
      </c>
      <c r="C607" s="85" t="s">
        <v>673</v>
      </c>
      <c r="D607" s="85" t="s">
        <v>1443</v>
      </c>
      <c r="E607" s="85" t="s">
        <v>1376</v>
      </c>
      <c r="F607" s="85" t="s">
        <v>1444</v>
      </c>
      <c r="G607" s="85" t="s">
        <v>1445</v>
      </c>
      <c r="H607" s="85" t="s">
        <v>1445</v>
      </c>
      <c r="I607" s="85" t="s">
        <v>2239</v>
      </c>
      <c r="J607" s="42">
        <v>8.0</v>
      </c>
      <c r="K607" s="42">
        <v>1.0</v>
      </c>
      <c r="L607" s="42">
        <v>12.5</v>
      </c>
      <c r="M607" s="42">
        <v>5.6</v>
      </c>
      <c r="N607" s="42">
        <v>1.2</v>
      </c>
      <c r="O607" s="42">
        <v>6.6E12</v>
      </c>
      <c r="P607" s="42">
        <v>6.7E12</v>
      </c>
      <c r="Q607" s="42">
        <v>-16.6</v>
      </c>
      <c r="R607" s="42">
        <v>-7.9</v>
      </c>
      <c r="S607" s="42">
        <v>-18.7</v>
      </c>
      <c r="T607" s="42">
        <v>-15.9</v>
      </c>
      <c r="U607" s="42">
        <v>12.2</v>
      </c>
      <c r="V607" s="42">
        <v>-7.0</v>
      </c>
      <c r="W607" s="42">
        <v>-18.0</v>
      </c>
    </row>
    <row r="608">
      <c r="A608" s="87">
        <v>607.0</v>
      </c>
      <c r="B608" s="85" t="s">
        <v>2241</v>
      </c>
      <c r="C608" s="85" t="s">
        <v>674</v>
      </c>
      <c r="D608" s="85" t="s">
        <v>1463</v>
      </c>
      <c r="E608" s="85" t="s">
        <v>1230</v>
      </c>
      <c r="F608" s="85" t="s">
        <v>1464</v>
      </c>
      <c r="G608" s="85" t="s">
        <v>1465</v>
      </c>
      <c r="H608" s="85" t="s">
        <v>1465</v>
      </c>
      <c r="I608" s="85" t="s">
        <v>2242</v>
      </c>
      <c r="J608" s="42">
        <v>20.3</v>
      </c>
      <c r="K608" s="42">
        <v>1.3</v>
      </c>
      <c r="L608" s="42">
        <v>6.4</v>
      </c>
      <c r="M608" s="42">
        <v>3.5</v>
      </c>
      <c r="N608" s="42">
        <v>0.8</v>
      </c>
      <c r="O608" s="42">
        <v>4.35E13</v>
      </c>
      <c r="P608" s="42">
        <v>2.3E12</v>
      </c>
      <c r="Q608" s="42">
        <v>-2.4</v>
      </c>
      <c r="R608" s="42">
        <v>-2.4</v>
      </c>
      <c r="S608" s="42">
        <v>-21.0</v>
      </c>
      <c r="T608" s="42">
        <v>-16.3</v>
      </c>
      <c r="U608" s="42">
        <v>93.2</v>
      </c>
      <c r="V608" s="42">
        <v>-0.4</v>
      </c>
      <c r="W608" s="42">
        <v>-24.5</v>
      </c>
    </row>
    <row r="609">
      <c r="A609" s="87">
        <v>608.0</v>
      </c>
      <c r="B609" s="85" t="s">
        <v>2243</v>
      </c>
      <c r="C609" s="85" t="s">
        <v>675</v>
      </c>
      <c r="D609" s="85" t="s">
        <v>1294</v>
      </c>
      <c r="E609" s="85" t="s">
        <v>1187</v>
      </c>
      <c r="F609" s="85" t="s">
        <v>1188</v>
      </c>
      <c r="G609" s="85" t="s">
        <v>1295</v>
      </c>
      <c r="H609" s="85" t="s">
        <v>1296</v>
      </c>
      <c r="I609" s="85" t="s">
        <v>2244</v>
      </c>
      <c r="J609" s="42">
        <v>-6.9</v>
      </c>
      <c r="K609" s="42">
        <v>-1.1</v>
      </c>
      <c r="L609" s="42">
        <v>0.0</v>
      </c>
      <c r="M609" s="42">
        <v>-16.1</v>
      </c>
      <c r="N609" s="42">
        <v>-2.0</v>
      </c>
      <c r="O609" s="42">
        <v>5.41E11</v>
      </c>
      <c r="P609" s="42">
        <v>3.86E11</v>
      </c>
      <c r="Q609" s="42">
        <v>-40.0</v>
      </c>
      <c r="R609" s="42">
        <v>-53.8</v>
      </c>
      <c r="S609" s="42">
        <v>-36.8</v>
      </c>
      <c r="T609" s="42">
        <v>200.0</v>
      </c>
      <c r="U609" s="42">
        <v>-20.4</v>
      </c>
      <c r="V609" s="42">
        <v>-25.0</v>
      </c>
      <c r="W609" s="42">
        <v>-40.0</v>
      </c>
    </row>
    <row r="610">
      <c r="A610" s="87">
        <v>609.0</v>
      </c>
      <c r="B610" s="85" t="s">
        <v>2245</v>
      </c>
      <c r="C610" s="85" t="s">
        <v>676</v>
      </c>
      <c r="D610" s="85" t="s">
        <v>1234</v>
      </c>
      <c r="E610" s="85" t="s">
        <v>1235</v>
      </c>
      <c r="F610" s="85" t="s">
        <v>1235</v>
      </c>
      <c r="G610" s="85" t="s">
        <v>1236</v>
      </c>
      <c r="H610" s="85" t="s">
        <v>1237</v>
      </c>
      <c r="I610" s="85" t="s">
        <v>1369</v>
      </c>
      <c r="J610" s="42">
        <v>9.8</v>
      </c>
      <c r="K610" s="42">
        <v>0.64</v>
      </c>
      <c r="L610" s="42">
        <v>6.6</v>
      </c>
      <c r="M610" s="42">
        <v>4.9</v>
      </c>
      <c r="N610" s="42">
        <v>0.35</v>
      </c>
      <c r="O610" s="42">
        <v>3.9E12</v>
      </c>
      <c r="P610" s="42">
        <v>3.62E11</v>
      </c>
      <c r="Q610" s="42">
        <v>-2.0</v>
      </c>
      <c r="R610" s="42">
        <v>-5.7</v>
      </c>
      <c r="S610" s="42">
        <v>18.5</v>
      </c>
      <c r="T610" s="42">
        <v>17.4</v>
      </c>
      <c r="U610" s="42">
        <v>110.0</v>
      </c>
      <c r="V610" s="42">
        <v>-2.0</v>
      </c>
      <c r="W610" s="42">
        <v>-20.6</v>
      </c>
    </row>
    <row r="611">
      <c r="A611" s="87">
        <v>610.0</v>
      </c>
      <c r="B611" s="85" t="s">
        <v>2246</v>
      </c>
      <c r="C611" s="85" t="s">
        <v>677</v>
      </c>
      <c r="D611" s="85" t="s">
        <v>1569</v>
      </c>
      <c r="E611" s="85" t="s">
        <v>1570</v>
      </c>
      <c r="F611" s="85" t="s">
        <v>1571</v>
      </c>
      <c r="G611" s="85" t="s">
        <v>1572</v>
      </c>
      <c r="H611" s="85" t="s">
        <v>1572</v>
      </c>
      <c r="I611" s="85" t="s">
        <v>1573</v>
      </c>
      <c r="J611" s="42">
        <v>48.1</v>
      </c>
      <c r="K611" s="42">
        <v>1.3</v>
      </c>
      <c r="L611" s="42">
        <v>2.6</v>
      </c>
      <c r="M611" s="42">
        <v>1.5</v>
      </c>
      <c r="N611" s="42">
        <v>0.79</v>
      </c>
      <c r="O611" s="42">
        <v>2.0E12</v>
      </c>
      <c r="P611" s="42">
        <v>3.8E11</v>
      </c>
      <c r="Q611" s="42">
        <v>-6.5</v>
      </c>
      <c r="R611" s="42">
        <v>-4.1</v>
      </c>
      <c r="S611" s="42">
        <v>-20.1</v>
      </c>
      <c r="T611" s="42">
        <v>6.3</v>
      </c>
      <c r="U611" s="42">
        <v>10.7</v>
      </c>
      <c r="V611" s="42">
        <v>-11.0</v>
      </c>
      <c r="W611" s="42">
        <v>-21.4</v>
      </c>
    </row>
    <row r="612">
      <c r="A612" s="87">
        <v>611.0</v>
      </c>
      <c r="B612" s="85" t="s">
        <v>2247</v>
      </c>
      <c r="C612" s="85" t="s">
        <v>678</v>
      </c>
      <c r="D612" s="85" t="s">
        <v>1229</v>
      </c>
      <c r="E612" s="85" t="s">
        <v>1230</v>
      </c>
      <c r="F612" s="85" t="s">
        <v>1231</v>
      </c>
      <c r="G612" s="85" t="s">
        <v>1231</v>
      </c>
      <c r="H612" s="85" t="s">
        <v>1231</v>
      </c>
      <c r="I612" s="85" t="s">
        <v>1919</v>
      </c>
      <c r="J612" s="42">
        <v>-55.8</v>
      </c>
      <c r="K612" s="42">
        <v>4.3</v>
      </c>
      <c r="L612" s="42">
        <v>-7.6</v>
      </c>
      <c r="M612" s="42">
        <v>-3.8</v>
      </c>
      <c r="N612" s="42">
        <v>0.99</v>
      </c>
      <c r="O612" s="42">
        <v>1.69E11</v>
      </c>
      <c r="P612" s="42">
        <v>0.0</v>
      </c>
      <c r="Q612" s="42">
        <v>0.0</v>
      </c>
      <c r="R612" s="42">
        <v>0.0</v>
      </c>
      <c r="S612" s="42">
        <v>0.0</v>
      </c>
      <c r="T612" s="42">
        <v>210.0</v>
      </c>
      <c r="U612" s="42">
        <v>0.0</v>
      </c>
      <c r="V612" s="42">
        <v>0.0</v>
      </c>
      <c r="W612" s="42">
        <v>0.0</v>
      </c>
    </row>
    <row r="613">
      <c r="A613" s="87">
        <v>612.0</v>
      </c>
      <c r="B613" s="85" t="s">
        <v>2248</v>
      </c>
      <c r="C613" s="85" t="s">
        <v>679</v>
      </c>
      <c r="D613" s="85" t="s">
        <v>1229</v>
      </c>
      <c r="E613" s="85" t="s">
        <v>1230</v>
      </c>
      <c r="F613" s="85" t="s">
        <v>1231</v>
      </c>
      <c r="G613" s="85" t="s">
        <v>1231</v>
      </c>
      <c r="H613" s="85" t="s">
        <v>1231</v>
      </c>
      <c r="I613" s="85" t="s">
        <v>2249</v>
      </c>
      <c r="J613" s="42">
        <v>0.0</v>
      </c>
      <c r="K613" s="42">
        <v>-2.6</v>
      </c>
      <c r="L613" s="42">
        <v>0.0</v>
      </c>
      <c r="M613" s="42">
        <v>-56.6</v>
      </c>
      <c r="N613" s="42">
        <v>-2.9</v>
      </c>
      <c r="O613" s="42">
        <v>1.88E11</v>
      </c>
      <c r="P613" s="42">
        <v>5.21E9</v>
      </c>
      <c r="Q613" s="42">
        <v>0.0</v>
      </c>
      <c r="R613" s="42">
        <v>0.0</v>
      </c>
      <c r="S613" s="42">
        <v>0.0</v>
      </c>
      <c r="T613" s="42">
        <v>0.0</v>
      </c>
      <c r="U613" s="42">
        <v>-1460.0</v>
      </c>
      <c r="V613" s="42">
        <v>0.0</v>
      </c>
      <c r="W613" s="42">
        <v>0.0</v>
      </c>
    </row>
    <row r="614">
      <c r="A614" s="87">
        <v>613.0</v>
      </c>
      <c r="B614" s="85" t="s">
        <v>2250</v>
      </c>
      <c r="C614" s="85" t="s">
        <v>680</v>
      </c>
      <c r="D614" s="85" t="s">
        <v>1234</v>
      </c>
      <c r="E614" s="85" t="s">
        <v>1235</v>
      </c>
      <c r="F614" s="85" t="s">
        <v>1235</v>
      </c>
      <c r="G614" s="85" t="s">
        <v>1236</v>
      </c>
      <c r="H614" s="85" t="s">
        <v>1237</v>
      </c>
      <c r="I614" s="85" t="s">
        <v>1475</v>
      </c>
      <c r="J614" s="42">
        <v>-1970.0</v>
      </c>
      <c r="K614" s="42">
        <v>4.1</v>
      </c>
      <c r="L614" s="42">
        <v>-0.21</v>
      </c>
      <c r="M614" s="42">
        <v>-0.13</v>
      </c>
      <c r="N614" s="42">
        <v>0.62</v>
      </c>
      <c r="O614" s="42">
        <v>1.16E11</v>
      </c>
      <c r="P614" s="42">
        <v>3.3E10</v>
      </c>
      <c r="Q614" s="42">
        <v>0.0</v>
      </c>
      <c r="R614" s="42">
        <v>0.0</v>
      </c>
      <c r="S614" s="42">
        <v>0.0</v>
      </c>
      <c r="T614" s="42">
        <v>0.0</v>
      </c>
      <c r="U614" s="42">
        <v>-0.18</v>
      </c>
      <c r="V614" s="42">
        <v>0.0</v>
      </c>
      <c r="W614" s="42">
        <v>0.0</v>
      </c>
    </row>
    <row r="615">
      <c r="A615" s="87">
        <v>614.0</v>
      </c>
      <c r="B615" s="85" t="s">
        <v>2251</v>
      </c>
      <c r="C615" s="85" t="s">
        <v>681</v>
      </c>
      <c r="D615" s="85" t="s">
        <v>1207</v>
      </c>
      <c r="E615" s="85" t="s">
        <v>1208</v>
      </c>
      <c r="F615" s="85" t="s">
        <v>1209</v>
      </c>
      <c r="G615" s="85" t="s">
        <v>1209</v>
      </c>
      <c r="H615" s="85" t="s">
        <v>1210</v>
      </c>
      <c r="I615" s="85" t="s">
        <v>1211</v>
      </c>
      <c r="J615" s="42">
        <v>15.3</v>
      </c>
      <c r="K615" s="42">
        <v>1.9</v>
      </c>
      <c r="L615" s="42">
        <v>12.3</v>
      </c>
      <c r="M615" s="42">
        <v>1.5</v>
      </c>
      <c r="N615" s="42">
        <v>7.0</v>
      </c>
      <c r="O615" s="42">
        <v>7.78E11</v>
      </c>
      <c r="P615" s="42">
        <v>4.9E11</v>
      </c>
      <c r="Q615" s="42">
        <v>-25.2</v>
      </c>
      <c r="R615" s="42">
        <v>-31.1</v>
      </c>
      <c r="S615" s="42">
        <v>-32.2</v>
      </c>
      <c r="T615" s="42">
        <v>40.2</v>
      </c>
      <c r="U615" s="42">
        <v>10.4</v>
      </c>
      <c r="V615" s="42">
        <v>-6.2</v>
      </c>
      <c r="W615" s="42">
        <v>-34.1</v>
      </c>
    </row>
    <row r="616">
      <c r="A616" s="87">
        <v>615.0</v>
      </c>
      <c r="B616" s="85" t="s">
        <v>2252</v>
      </c>
      <c r="C616" s="85" t="s">
        <v>682</v>
      </c>
      <c r="D616" s="85" t="s">
        <v>1727</v>
      </c>
      <c r="E616" s="85" t="s">
        <v>1214</v>
      </c>
      <c r="F616" s="85" t="s">
        <v>1406</v>
      </c>
      <c r="G616" s="85" t="s">
        <v>1728</v>
      </c>
      <c r="H616" s="85" t="s">
        <v>1729</v>
      </c>
      <c r="I616" s="85" t="s">
        <v>1333</v>
      </c>
      <c r="J616" s="42">
        <v>14.2</v>
      </c>
      <c r="K616" s="42">
        <v>1.4</v>
      </c>
      <c r="L616" s="42">
        <v>9.8</v>
      </c>
      <c r="M616" s="42">
        <v>7.0</v>
      </c>
      <c r="N616" s="42">
        <v>0.39</v>
      </c>
      <c r="O616" s="42">
        <v>3.3E11</v>
      </c>
      <c r="P616" s="42">
        <v>6.8E10</v>
      </c>
      <c r="Q616" s="42">
        <v>2.9</v>
      </c>
      <c r="R616" s="42">
        <v>11.5</v>
      </c>
      <c r="S616" s="42">
        <v>-17.7</v>
      </c>
      <c r="T616" s="42">
        <v>0.943</v>
      </c>
      <c r="U616" s="42">
        <v>34.0</v>
      </c>
      <c r="V616" s="42">
        <v>2.9</v>
      </c>
      <c r="W616" s="42">
        <v>-14.4</v>
      </c>
    </row>
    <row r="617">
      <c r="A617" s="87">
        <v>616.0</v>
      </c>
      <c r="B617" s="85" t="s">
        <v>2253</v>
      </c>
      <c r="C617" s="85" t="s">
        <v>683</v>
      </c>
      <c r="D617" s="85" t="s">
        <v>1397</v>
      </c>
      <c r="E617" s="85" t="s">
        <v>1187</v>
      </c>
      <c r="F617" s="85" t="s">
        <v>1188</v>
      </c>
      <c r="G617" s="85" t="s">
        <v>1359</v>
      </c>
      <c r="H617" s="85" t="s">
        <v>1398</v>
      </c>
      <c r="I617" s="85" t="s">
        <v>1383</v>
      </c>
      <c r="J617" s="42">
        <v>10.3</v>
      </c>
      <c r="K617" s="42">
        <v>0.82</v>
      </c>
      <c r="L617" s="42">
        <v>8.0</v>
      </c>
      <c r="M617" s="42">
        <v>6.7</v>
      </c>
      <c r="N617" s="42">
        <v>0.21</v>
      </c>
      <c r="O617" s="42">
        <v>2.6E12</v>
      </c>
      <c r="P617" s="42">
        <v>6.96E11</v>
      </c>
      <c r="Q617" s="42">
        <v>-17.9</v>
      </c>
      <c r="R617" s="42">
        <v>-23.5</v>
      </c>
      <c r="S617" s="42">
        <v>-32.2</v>
      </c>
      <c r="T617" s="42">
        <v>-43.1</v>
      </c>
      <c r="U617" s="42">
        <v>36.2</v>
      </c>
      <c r="V617" s="42">
        <v>-14.4</v>
      </c>
      <c r="W617" s="42">
        <v>-34.6</v>
      </c>
    </row>
    <row r="618">
      <c r="A618" s="87">
        <v>617.0</v>
      </c>
      <c r="B618" s="85" t="s">
        <v>2254</v>
      </c>
      <c r="C618" s="85" t="s">
        <v>684</v>
      </c>
      <c r="D618" s="85" t="s">
        <v>1282</v>
      </c>
      <c r="E618" s="85" t="s">
        <v>1194</v>
      </c>
      <c r="F618" s="85" t="s">
        <v>1195</v>
      </c>
      <c r="G618" s="85" t="s">
        <v>1283</v>
      </c>
      <c r="H618" s="85" t="s">
        <v>1283</v>
      </c>
      <c r="I618" s="85" t="s">
        <v>2255</v>
      </c>
      <c r="J618" s="42">
        <v>13.2</v>
      </c>
      <c r="K618" s="42">
        <v>2.1</v>
      </c>
      <c r="L618" s="42">
        <v>16.3</v>
      </c>
      <c r="M618" s="42">
        <v>10.9</v>
      </c>
      <c r="N618" s="42">
        <v>0.49</v>
      </c>
      <c r="O618" s="42">
        <v>4.11E13</v>
      </c>
      <c r="P618" s="42">
        <v>9.4E12</v>
      </c>
      <c r="Q618" s="42">
        <v>-8.4</v>
      </c>
      <c r="R618" s="42">
        <v>-13.1</v>
      </c>
      <c r="S618" s="42">
        <v>-25.9</v>
      </c>
      <c r="T618" s="42">
        <v>-24.2</v>
      </c>
      <c r="U618" s="42">
        <v>33.2</v>
      </c>
      <c r="V618" s="42">
        <v>-10.2</v>
      </c>
      <c r="W618" s="42">
        <v>-25.2</v>
      </c>
    </row>
    <row r="619">
      <c r="A619" s="87">
        <v>618.0</v>
      </c>
      <c r="B619" s="85" t="s">
        <v>2256</v>
      </c>
      <c r="C619" s="85" t="s">
        <v>685</v>
      </c>
      <c r="D619" s="85" t="s">
        <v>1224</v>
      </c>
      <c r="E619" s="85" t="s">
        <v>1201</v>
      </c>
      <c r="F619" s="85" t="s">
        <v>1225</v>
      </c>
      <c r="G619" s="85" t="s">
        <v>1225</v>
      </c>
      <c r="H619" s="85" t="s">
        <v>1226</v>
      </c>
      <c r="I619" s="85" t="s">
        <v>1205</v>
      </c>
      <c r="J619" s="42">
        <v>-38.8</v>
      </c>
      <c r="K619" s="42">
        <v>-0.62</v>
      </c>
      <c r="L619" s="42">
        <v>0.0</v>
      </c>
      <c r="M619" s="42">
        <v>-0.29</v>
      </c>
      <c r="N619" s="42">
        <v>-6.6</v>
      </c>
      <c r="O619" s="42">
        <v>3.72E11</v>
      </c>
      <c r="P619" s="42">
        <v>2.18E11</v>
      </c>
      <c r="Q619" s="42">
        <v>-25.4</v>
      </c>
      <c r="R619" s="42">
        <v>-13.7</v>
      </c>
      <c r="S619" s="42">
        <v>22.2</v>
      </c>
      <c r="T619" s="42">
        <v>22.2</v>
      </c>
      <c r="U619" s="42">
        <v>-4.4</v>
      </c>
      <c r="V619" s="42">
        <v>-12.0</v>
      </c>
      <c r="W619" s="42">
        <v>22.2</v>
      </c>
    </row>
    <row r="620">
      <c r="A620" s="87">
        <v>619.0</v>
      </c>
      <c r="B620" s="85" t="s">
        <v>2257</v>
      </c>
      <c r="C620" s="85" t="s">
        <v>686</v>
      </c>
      <c r="D620" s="85" t="s">
        <v>2258</v>
      </c>
      <c r="E620" s="85" t="s">
        <v>1214</v>
      </c>
      <c r="F620" s="85" t="s">
        <v>1406</v>
      </c>
      <c r="G620" s="85" t="s">
        <v>2259</v>
      </c>
      <c r="H620" s="85" t="s">
        <v>2259</v>
      </c>
      <c r="I620" s="85" t="s">
        <v>1333</v>
      </c>
      <c r="J620" s="42">
        <v>9.5</v>
      </c>
      <c r="K620" s="42">
        <v>1.4</v>
      </c>
      <c r="L620" s="42">
        <v>14.4</v>
      </c>
      <c r="M620" s="42">
        <v>12.0</v>
      </c>
      <c r="N620" s="42">
        <v>0.2</v>
      </c>
      <c r="O620" s="42">
        <v>3.03E11</v>
      </c>
      <c r="P620" s="42">
        <v>6.7E10</v>
      </c>
      <c r="Q620" s="42">
        <v>-30.0</v>
      </c>
      <c r="R620" s="42">
        <v>-23.1</v>
      </c>
      <c r="S620" s="42">
        <v>-45.3</v>
      </c>
      <c r="T620" s="42">
        <v>-60.5</v>
      </c>
      <c r="U620" s="42">
        <v>47.5</v>
      </c>
      <c r="V620" s="42">
        <v>-22.2</v>
      </c>
      <c r="W620" s="42">
        <v>-41.2</v>
      </c>
    </row>
    <row r="621">
      <c r="A621" s="87">
        <v>620.0</v>
      </c>
      <c r="B621" s="85" t="s">
        <v>2260</v>
      </c>
      <c r="C621" s="85" t="s">
        <v>687</v>
      </c>
      <c r="D621" s="85" t="s">
        <v>1846</v>
      </c>
      <c r="E621" s="85" t="s">
        <v>1194</v>
      </c>
      <c r="F621" s="85" t="s">
        <v>1847</v>
      </c>
      <c r="G621" s="85" t="s">
        <v>1848</v>
      </c>
      <c r="H621" s="85" t="s">
        <v>1848</v>
      </c>
      <c r="I621" s="85" t="s">
        <v>1265</v>
      </c>
      <c r="J621" s="42">
        <v>54.2</v>
      </c>
      <c r="K621" s="42">
        <v>0.65</v>
      </c>
      <c r="L621" s="42">
        <v>1.2</v>
      </c>
      <c r="M621" s="42">
        <v>0.98</v>
      </c>
      <c r="N621" s="42">
        <v>0.21</v>
      </c>
      <c r="O621" s="42">
        <v>1.11E11</v>
      </c>
      <c r="P621" s="42">
        <v>7.2E10</v>
      </c>
      <c r="Q621" s="42">
        <v>-38.2</v>
      </c>
      <c r="R621" s="42">
        <v>-44.7</v>
      </c>
      <c r="S621" s="42">
        <v>-59.6</v>
      </c>
      <c r="T621" s="42">
        <v>-19.2</v>
      </c>
      <c r="U621" s="42">
        <v>2.9</v>
      </c>
      <c r="V621" s="42">
        <v>-12.5</v>
      </c>
      <c r="W621" s="42">
        <v>-58.0</v>
      </c>
    </row>
    <row r="622">
      <c r="A622" s="87">
        <v>621.0</v>
      </c>
      <c r="B622" s="85" t="s">
        <v>2261</v>
      </c>
      <c r="C622" s="85" t="s">
        <v>688</v>
      </c>
      <c r="D622" s="85" t="s">
        <v>1234</v>
      </c>
      <c r="E622" s="85" t="s">
        <v>1235</v>
      </c>
      <c r="F622" s="85" t="s">
        <v>1235</v>
      </c>
      <c r="G622" s="85" t="s">
        <v>1236</v>
      </c>
      <c r="H622" s="85" t="s">
        <v>1237</v>
      </c>
      <c r="I622" s="85" t="s">
        <v>1475</v>
      </c>
      <c r="J622" s="42">
        <v>220.0</v>
      </c>
      <c r="K622" s="42">
        <v>0.37</v>
      </c>
      <c r="L622" s="42">
        <v>0.17</v>
      </c>
      <c r="M622" s="42">
        <v>0.16</v>
      </c>
      <c r="N622" s="42">
        <v>0.02</v>
      </c>
      <c r="O622" s="42">
        <v>4.07E11</v>
      </c>
      <c r="P622" s="42">
        <v>7.6E8</v>
      </c>
      <c r="Q622" s="42">
        <v>-8.3</v>
      </c>
      <c r="R622" s="42">
        <v>-10.8</v>
      </c>
      <c r="S622" s="42">
        <v>-17.5</v>
      </c>
      <c r="T622" s="42">
        <v>94.1</v>
      </c>
      <c r="U622" s="42">
        <v>240.0</v>
      </c>
      <c r="V622" s="42">
        <v>-10.8</v>
      </c>
      <c r="W622" s="42">
        <v>-17.5</v>
      </c>
    </row>
    <row r="623">
      <c r="A623" s="87">
        <v>622.0</v>
      </c>
      <c r="B623" s="85" t="s">
        <v>2262</v>
      </c>
      <c r="C623" s="85" t="s">
        <v>689</v>
      </c>
      <c r="D623" s="85" t="s">
        <v>1282</v>
      </c>
      <c r="E623" s="85" t="s">
        <v>1194</v>
      </c>
      <c r="F623" s="85" t="s">
        <v>1195</v>
      </c>
      <c r="G623" s="85" t="s">
        <v>1283</v>
      </c>
      <c r="H623" s="85" t="s">
        <v>1283</v>
      </c>
      <c r="I623" s="85" t="s">
        <v>1269</v>
      </c>
      <c r="J623" s="42">
        <v>-22.9</v>
      </c>
      <c r="K623" s="42">
        <v>1.8</v>
      </c>
      <c r="L623" s="42">
        <v>-7.9</v>
      </c>
      <c r="M623" s="42">
        <v>-6.6</v>
      </c>
      <c r="N623" s="42">
        <v>0.2</v>
      </c>
      <c r="O623" s="42">
        <v>1.01E11</v>
      </c>
      <c r="P623" s="42">
        <v>8.65E9</v>
      </c>
      <c r="Q623" s="42">
        <v>-26.8</v>
      </c>
      <c r="R623" s="42">
        <v>-37.3</v>
      </c>
      <c r="S623" s="42">
        <v>-8.8</v>
      </c>
      <c r="T623" s="42">
        <v>25.3</v>
      </c>
      <c r="U623" s="42">
        <v>-51.1</v>
      </c>
      <c r="V623" s="42">
        <v>-20.0</v>
      </c>
      <c r="W623" s="42">
        <v>-3.7</v>
      </c>
    </row>
    <row r="624">
      <c r="A624" s="87">
        <v>623.0</v>
      </c>
      <c r="B624" s="85" t="s">
        <v>2263</v>
      </c>
      <c r="C624" s="85" t="s">
        <v>690</v>
      </c>
      <c r="D624" s="85" t="s">
        <v>1285</v>
      </c>
      <c r="E624" s="85" t="s">
        <v>1201</v>
      </c>
      <c r="F624" s="85" t="s">
        <v>1286</v>
      </c>
      <c r="G624" s="85" t="s">
        <v>1287</v>
      </c>
      <c r="H624" s="85" t="s">
        <v>1288</v>
      </c>
      <c r="I624" s="85" t="s">
        <v>1695</v>
      </c>
      <c r="J624" s="42">
        <v>-57.1</v>
      </c>
      <c r="K624" s="42">
        <v>2.4</v>
      </c>
      <c r="L624" s="42">
        <v>-4.2</v>
      </c>
      <c r="M624" s="42">
        <v>-1.9</v>
      </c>
      <c r="N624" s="42">
        <v>1.2</v>
      </c>
      <c r="O624" s="42">
        <v>4.7E12</v>
      </c>
      <c r="P624" s="42">
        <v>3.41E11</v>
      </c>
      <c r="Q624" s="42">
        <v>-13.6</v>
      </c>
      <c r="R624" s="42">
        <v>-3.4</v>
      </c>
      <c r="S624" s="42">
        <v>170.0</v>
      </c>
      <c r="T624" s="42">
        <v>290.0</v>
      </c>
      <c r="U624" s="42">
        <v>-24.2</v>
      </c>
      <c r="V624" s="42">
        <v>-3.4</v>
      </c>
      <c r="W624" s="42">
        <v>99.3</v>
      </c>
    </row>
    <row r="625">
      <c r="A625" s="87">
        <v>624.0</v>
      </c>
      <c r="B625" s="85" t="s">
        <v>2264</v>
      </c>
      <c r="C625" s="85" t="s">
        <v>691</v>
      </c>
      <c r="D625" s="85" t="s">
        <v>1282</v>
      </c>
      <c r="E625" s="85" t="s">
        <v>1194</v>
      </c>
      <c r="F625" s="85" t="s">
        <v>1195</v>
      </c>
      <c r="G625" s="85" t="s">
        <v>1283</v>
      </c>
      <c r="H625" s="85" t="s">
        <v>1283</v>
      </c>
      <c r="I625" s="85" t="s">
        <v>1265</v>
      </c>
      <c r="J625" s="42">
        <v>-30.3</v>
      </c>
      <c r="K625" s="42">
        <v>2.0</v>
      </c>
      <c r="L625" s="42">
        <v>-6.5</v>
      </c>
      <c r="M625" s="42">
        <v>-6.3</v>
      </c>
      <c r="N625" s="42">
        <v>0.04</v>
      </c>
      <c r="O625" s="42">
        <v>1.3E11</v>
      </c>
      <c r="P625" s="42">
        <v>2.4E10</v>
      </c>
      <c r="Q625" s="42">
        <v>-7.7</v>
      </c>
      <c r="R625" s="42">
        <v>-4.8</v>
      </c>
      <c r="S625" s="42">
        <v>-17.8</v>
      </c>
      <c r="T625" s="42">
        <v>25.0</v>
      </c>
      <c r="U625" s="42">
        <v>-18.0</v>
      </c>
      <c r="V625" s="42">
        <v>15.4</v>
      </c>
      <c r="W625" s="42">
        <v>7.1</v>
      </c>
    </row>
    <row r="626">
      <c r="A626" s="87">
        <v>625.0</v>
      </c>
      <c r="B626" s="85" t="s">
        <v>2265</v>
      </c>
      <c r="C626" s="85" t="s">
        <v>692</v>
      </c>
      <c r="D626" s="85" t="s">
        <v>1354</v>
      </c>
      <c r="E626" s="85" t="s">
        <v>1252</v>
      </c>
      <c r="F626" s="85" t="s">
        <v>1252</v>
      </c>
      <c r="G626" s="85" t="s">
        <v>1313</v>
      </c>
      <c r="H626" s="85" t="s">
        <v>1355</v>
      </c>
      <c r="I626" s="85" t="s">
        <v>2266</v>
      </c>
      <c r="J626" s="42">
        <v>5.6</v>
      </c>
      <c r="K626" s="42">
        <v>1.1</v>
      </c>
      <c r="L626" s="42">
        <v>20.0</v>
      </c>
      <c r="M626" s="42">
        <v>15.4</v>
      </c>
      <c r="N626" s="42">
        <v>0.3</v>
      </c>
      <c r="O626" s="42">
        <v>5.62E13</v>
      </c>
      <c r="P626" s="42">
        <v>6.8E12</v>
      </c>
      <c r="Q626" s="42">
        <v>-25.7</v>
      </c>
      <c r="R626" s="42">
        <v>-38.6</v>
      </c>
      <c r="S626" s="42">
        <v>-23.9</v>
      </c>
      <c r="T626" s="42">
        <v>8.3</v>
      </c>
      <c r="U626" s="42">
        <v>150.0</v>
      </c>
      <c r="V626" s="42">
        <v>-11.9</v>
      </c>
      <c r="W626" s="42">
        <v>-33.0</v>
      </c>
    </row>
    <row r="627">
      <c r="A627" s="87">
        <v>626.0</v>
      </c>
      <c r="B627" s="85" t="s">
        <v>2267</v>
      </c>
      <c r="C627" s="85" t="s">
        <v>693</v>
      </c>
      <c r="D627" s="85" t="s">
        <v>1299</v>
      </c>
      <c r="E627" s="85" t="s">
        <v>1300</v>
      </c>
      <c r="F627" s="85" t="s">
        <v>1301</v>
      </c>
      <c r="G627" s="85" t="s">
        <v>1301</v>
      </c>
      <c r="H627" s="85" t="s">
        <v>1301</v>
      </c>
      <c r="I627" s="85" t="s">
        <v>1886</v>
      </c>
      <c r="J627" s="42">
        <v>-77.0</v>
      </c>
      <c r="K627" s="42">
        <v>0.61</v>
      </c>
      <c r="L627" s="42">
        <v>-0.79</v>
      </c>
      <c r="M627" s="42">
        <v>-0.61</v>
      </c>
      <c r="N627" s="42">
        <v>0.28</v>
      </c>
      <c r="O627" s="42">
        <v>5.5E11</v>
      </c>
      <c r="P627" s="42">
        <v>4.5E10</v>
      </c>
      <c r="Q627" s="42">
        <v>-44.2</v>
      </c>
      <c r="R627" s="42">
        <v>-53.8</v>
      </c>
      <c r="S627" s="42">
        <v>-53.3</v>
      </c>
      <c r="T627" s="42">
        <v>-57.0</v>
      </c>
      <c r="U627" s="42">
        <v>-15.7</v>
      </c>
      <c r="V627" s="42">
        <v>-21.1</v>
      </c>
      <c r="W627" s="42">
        <v>-62.9</v>
      </c>
    </row>
    <row r="628">
      <c r="A628" s="87">
        <v>627.0</v>
      </c>
      <c r="B628" s="85" t="s">
        <v>2268</v>
      </c>
      <c r="C628" s="85" t="s">
        <v>694</v>
      </c>
      <c r="D628" s="85" t="s">
        <v>1267</v>
      </c>
      <c r="E628" s="85" t="s">
        <v>1194</v>
      </c>
      <c r="F628" s="85" t="s">
        <v>1195</v>
      </c>
      <c r="G628" s="85" t="s">
        <v>1196</v>
      </c>
      <c r="H628" s="85" t="s">
        <v>1268</v>
      </c>
      <c r="I628" s="85" t="s">
        <v>1352</v>
      </c>
      <c r="J628" s="42">
        <v>84.3</v>
      </c>
      <c r="K628" s="42">
        <v>5.6</v>
      </c>
      <c r="L628" s="42">
        <v>6.6</v>
      </c>
      <c r="M628" s="42">
        <v>6.0</v>
      </c>
      <c r="N628" s="42">
        <v>0.09</v>
      </c>
      <c r="O628" s="42">
        <v>2.1E12</v>
      </c>
      <c r="P628" s="42">
        <v>9.4E10</v>
      </c>
      <c r="Q628" s="42">
        <v>-4.3</v>
      </c>
      <c r="R628" s="42">
        <v>51.6</v>
      </c>
      <c r="S628" s="42">
        <v>15.6</v>
      </c>
      <c r="T628" s="42">
        <v>53.5</v>
      </c>
      <c r="U628" s="42">
        <v>26.3</v>
      </c>
      <c r="V628" s="42">
        <v>-7.0</v>
      </c>
      <c r="W628" s="42">
        <v>41.0</v>
      </c>
    </row>
    <row r="629">
      <c r="A629" s="87">
        <v>628.0</v>
      </c>
      <c r="B629" s="85" t="s">
        <v>2269</v>
      </c>
      <c r="C629" s="85" t="s">
        <v>695</v>
      </c>
      <c r="D629" s="85" t="s">
        <v>2156</v>
      </c>
      <c r="E629" s="85" t="s">
        <v>1201</v>
      </c>
      <c r="F629" s="85" t="s">
        <v>1202</v>
      </c>
      <c r="G629" s="85" t="s">
        <v>1203</v>
      </c>
      <c r="H629" s="85" t="s">
        <v>2157</v>
      </c>
      <c r="I629" s="85" t="s">
        <v>1381</v>
      </c>
      <c r="J629" s="42">
        <v>-10.6</v>
      </c>
      <c r="K629" s="42">
        <v>7.5</v>
      </c>
      <c r="L629" s="42">
        <v>-71.0</v>
      </c>
      <c r="M629" s="42">
        <v>-30.6</v>
      </c>
      <c r="N629" s="42">
        <v>1.3</v>
      </c>
      <c r="O629" s="42">
        <v>2.7E12</v>
      </c>
      <c r="P629" s="42">
        <v>2.6E10</v>
      </c>
      <c r="Q629" s="42">
        <v>-39.3</v>
      </c>
      <c r="R629" s="42">
        <v>-25.0</v>
      </c>
      <c r="S629" s="42">
        <v>-64.1</v>
      </c>
      <c r="T629" s="42">
        <v>-66.0</v>
      </c>
      <c r="U629" s="42">
        <v>-980.0</v>
      </c>
      <c r="V629" s="42">
        <v>-21.5</v>
      </c>
      <c r="W629" s="42">
        <v>-71.0</v>
      </c>
    </row>
    <row r="630">
      <c r="A630" s="87">
        <v>629.0</v>
      </c>
      <c r="B630" s="85" t="s">
        <v>2270</v>
      </c>
      <c r="C630" s="85" t="s">
        <v>696</v>
      </c>
      <c r="D630" s="85" t="s">
        <v>1439</v>
      </c>
      <c r="E630" s="85" t="s">
        <v>1376</v>
      </c>
      <c r="F630" s="85" t="s">
        <v>1377</v>
      </c>
      <c r="G630" s="85" t="s">
        <v>1440</v>
      </c>
      <c r="H630" s="85" t="s">
        <v>1440</v>
      </c>
      <c r="I630" s="85" t="s">
        <v>1379</v>
      </c>
      <c r="J630" s="42">
        <v>-1790.0</v>
      </c>
      <c r="K630" s="42">
        <v>1.6</v>
      </c>
      <c r="L630" s="42">
        <v>-0.09</v>
      </c>
      <c r="M630" s="42">
        <v>-0.04</v>
      </c>
      <c r="N630" s="42">
        <v>0.93</v>
      </c>
      <c r="O630" s="42">
        <v>1.1E12</v>
      </c>
      <c r="P630" s="42">
        <v>6.9E11</v>
      </c>
      <c r="Q630" s="42">
        <v>-2.9</v>
      </c>
      <c r="R630" s="42">
        <v>3.4</v>
      </c>
      <c r="S630" s="42">
        <v>3.7</v>
      </c>
      <c r="T630" s="42">
        <v>-21.2</v>
      </c>
      <c r="U630" s="42">
        <v>-0.09</v>
      </c>
      <c r="V630" s="42">
        <v>-1.2</v>
      </c>
      <c r="W630" s="42">
        <v>-5.3</v>
      </c>
    </row>
    <row r="631">
      <c r="A631" s="87">
        <v>630.0</v>
      </c>
      <c r="B631" s="85" t="s">
        <v>2271</v>
      </c>
      <c r="C631" s="85" t="s">
        <v>697</v>
      </c>
      <c r="D631" s="85" t="s">
        <v>1354</v>
      </c>
      <c r="E631" s="85" t="s">
        <v>1252</v>
      </c>
      <c r="F631" s="85" t="s">
        <v>1252</v>
      </c>
      <c r="G631" s="85" t="s">
        <v>1313</v>
      </c>
      <c r="H631" s="85" t="s">
        <v>1355</v>
      </c>
      <c r="I631" s="85" t="s">
        <v>1271</v>
      </c>
      <c r="J631" s="42">
        <v>-90.7</v>
      </c>
      <c r="K631" s="42">
        <v>8.3</v>
      </c>
      <c r="L631" s="42">
        <v>-9.1</v>
      </c>
      <c r="M631" s="42">
        <v>-2.4</v>
      </c>
      <c r="N631" s="42">
        <v>2.9</v>
      </c>
      <c r="O631" s="42">
        <v>1.7E12</v>
      </c>
      <c r="P631" s="42">
        <v>3.8E11</v>
      </c>
      <c r="Q631" s="42">
        <v>-22.0</v>
      </c>
      <c r="R631" s="42">
        <v>-17.6</v>
      </c>
      <c r="S631" s="42">
        <v>-43.8</v>
      </c>
      <c r="T631" s="42">
        <v>-28.2</v>
      </c>
      <c r="U631" s="42">
        <v>-5.0</v>
      </c>
      <c r="V631" s="42">
        <v>-16.4</v>
      </c>
      <c r="W631" s="42">
        <v>-41.8</v>
      </c>
    </row>
    <row r="632">
      <c r="A632" s="87">
        <v>631.0</v>
      </c>
      <c r="B632" s="85" t="s">
        <v>2272</v>
      </c>
      <c r="C632" s="85" t="s">
        <v>698</v>
      </c>
      <c r="D632" s="85" t="s">
        <v>1755</v>
      </c>
      <c r="E632" s="85" t="s">
        <v>1208</v>
      </c>
      <c r="F632" s="85" t="s">
        <v>1364</v>
      </c>
      <c r="G632" s="85" t="s">
        <v>1364</v>
      </c>
      <c r="H632" s="85" t="s">
        <v>1756</v>
      </c>
      <c r="I632" s="85" t="s">
        <v>1278</v>
      </c>
      <c r="J632" s="42">
        <v>8.0</v>
      </c>
      <c r="K632" s="42">
        <v>2.4</v>
      </c>
      <c r="L632" s="42">
        <v>29.5</v>
      </c>
      <c r="M632" s="42">
        <v>29.1</v>
      </c>
      <c r="N632" s="42">
        <v>0.01</v>
      </c>
      <c r="O632" s="42">
        <v>7.06E11</v>
      </c>
      <c r="P632" s="42">
        <v>-1.7E10</v>
      </c>
      <c r="Q632" s="42">
        <v>-16.0</v>
      </c>
      <c r="R632" s="42">
        <v>-5.7</v>
      </c>
      <c r="S632" s="42">
        <v>-21.3</v>
      </c>
      <c r="T632" s="42">
        <v>19.0</v>
      </c>
      <c r="U632" s="42">
        <v>0.0</v>
      </c>
      <c r="V632" s="42">
        <v>-4.3</v>
      </c>
      <c r="W632" s="42">
        <v>-16.7</v>
      </c>
    </row>
    <row r="633">
      <c r="A633" s="87">
        <v>632.0</v>
      </c>
      <c r="B633" s="85" t="s">
        <v>2273</v>
      </c>
      <c r="C633" s="85" t="s">
        <v>699</v>
      </c>
      <c r="D633" s="85" t="s">
        <v>1354</v>
      </c>
      <c r="E633" s="85" t="s">
        <v>1252</v>
      </c>
      <c r="F633" s="85" t="s">
        <v>1252</v>
      </c>
      <c r="G633" s="85" t="s">
        <v>1313</v>
      </c>
      <c r="H633" s="85" t="s">
        <v>1355</v>
      </c>
      <c r="I633" s="85" t="s">
        <v>1271</v>
      </c>
      <c r="J633" s="42">
        <v>22.4</v>
      </c>
      <c r="K633" s="42">
        <v>6.8</v>
      </c>
      <c r="L633" s="42">
        <v>30.2</v>
      </c>
      <c r="M633" s="42">
        <v>25.3</v>
      </c>
      <c r="N633" s="42">
        <v>0.19</v>
      </c>
      <c r="O633" s="42">
        <v>6.1E12</v>
      </c>
      <c r="P633" s="42">
        <v>2.95E11</v>
      </c>
      <c r="Q633" s="42">
        <v>-39.2</v>
      </c>
      <c r="R633" s="42">
        <v>-46.4</v>
      </c>
      <c r="S633" s="42">
        <v>-55.6</v>
      </c>
      <c r="T633" s="42">
        <v>-57.5</v>
      </c>
      <c r="U633" s="42">
        <v>91.6</v>
      </c>
      <c r="V633" s="42">
        <v>-20.7</v>
      </c>
      <c r="W633" s="42">
        <v>-65.3</v>
      </c>
    </row>
    <row r="634">
      <c r="A634" s="87">
        <v>633.0</v>
      </c>
      <c r="B634" s="85" t="s">
        <v>2274</v>
      </c>
      <c r="C634" s="85" t="s">
        <v>700</v>
      </c>
      <c r="D634" s="85" t="s">
        <v>1354</v>
      </c>
      <c r="E634" s="85" t="s">
        <v>1252</v>
      </c>
      <c r="F634" s="85" t="s">
        <v>1252</v>
      </c>
      <c r="G634" s="85" t="s">
        <v>1313</v>
      </c>
      <c r="H634" s="85" t="s">
        <v>1355</v>
      </c>
      <c r="I634" s="85" t="s">
        <v>1271</v>
      </c>
      <c r="J634" s="42">
        <v>22.1</v>
      </c>
      <c r="K634" s="42">
        <v>0.65</v>
      </c>
      <c r="L634" s="42">
        <v>2.9</v>
      </c>
      <c r="M634" s="42">
        <v>1.5</v>
      </c>
      <c r="N634" s="42">
        <v>0.92</v>
      </c>
      <c r="O634" s="42">
        <v>6.26E11</v>
      </c>
      <c r="P634" s="42">
        <v>5.58E11</v>
      </c>
      <c r="Q634" s="42">
        <v>-47.1</v>
      </c>
      <c r="R634" s="42">
        <v>-40.4</v>
      </c>
      <c r="S634" s="42">
        <v>-53.4</v>
      </c>
      <c r="T634" s="42">
        <v>-23.7</v>
      </c>
      <c r="U634" s="42">
        <v>5.1</v>
      </c>
      <c r="V634" s="42">
        <v>-25.6</v>
      </c>
      <c r="W634" s="42">
        <v>-49.4</v>
      </c>
    </row>
    <row r="635">
      <c r="A635" s="87">
        <v>634.0</v>
      </c>
      <c r="B635" s="85" t="s">
        <v>2275</v>
      </c>
      <c r="C635" s="85" t="s">
        <v>701</v>
      </c>
      <c r="D635" s="85" t="s">
        <v>1443</v>
      </c>
      <c r="E635" s="85" t="s">
        <v>1376</v>
      </c>
      <c r="F635" s="85" t="s">
        <v>1444</v>
      </c>
      <c r="G635" s="85" t="s">
        <v>1445</v>
      </c>
      <c r="H635" s="85" t="s">
        <v>1445</v>
      </c>
      <c r="I635" s="85" t="s">
        <v>1265</v>
      </c>
      <c r="J635" s="42">
        <v>-32.5</v>
      </c>
      <c r="K635" s="42">
        <v>6.6</v>
      </c>
      <c r="L635" s="42">
        <v>-20.3</v>
      </c>
      <c r="M635" s="42">
        <v>-18.6</v>
      </c>
      <c r="N635" s="42">
        <v>0.09</v>
      </c>
      <c r="O635" s="42">
        <v>2.16E11</v>
      </c>
      <c r="P635" s="42">
        <v>1.19E9</v>
      </c>
      <c r="Q635" s="42">
        <v>-52.4</v>
      </c>
      <c r="R635" s="42">
        <v>-49.6</v>
      </c>
      <c r="S635" s="42">
        <v>-80.6</v>
      </c>
      <c r="T635" s="42">
        <v>-32.6</v>
      </c>
      <c r="U635" s="42">
        <v>-560.0</v>
      </c>
      <c r="V635" s="42">
        <v>-33.3</v>
      </c>
      <c r="W635" s="42">
        <v>-73.5</v>
      </c>
    </row>
    <row r="636">
      <c r="A636" s="87">
        <v>635.0</v>
      </c>
      <c r="B636" s="85" t="s">
        <v>2276</v>
      </c>
      <c r="C636" s="85" t="s">
        <v>702</v>
      </c>
      <c r="D636" s="85" t="s">
        <v>1234</v>
      </c>
      <c r="E636" s="85" t="s">
        <v>1235</v>
      </c>
      <c r="F636" s="85" t="s">
        <v>1235</v>
      </c>
      <c r="G636" s="85" t="s">
        <v>1236</v>
      </c>
      <c r="H636" s="85" t="s">
        <v>1237</v>
      </c>
      <c r="I636" s="85" t="s">
        <v>1995</v>
      </c>
      <c r="J636" s="42">
        <v>-18.6</v>
      </c>
      <c r="K636" s="42">
        <v>0.77</v>
      </c>
      <c r="L636" s="42">
        <v>-4.1</v>
      </c>
      <c r="M636" s="42">
        <v>-1.4</v>
      </c>
      <c r="N636" s="42">
        <v>2.1</v>
      </c>
      <c r="O636" s="42">
        <v>3.6E12</v>
      </c>
      <c r="P636" s="42">
        <v>4.11E11</v>
      </c>
      <c r="Q636" s="42">
        <v>-30.9</v>
      </c>
      <c r="R636" s="42">
        <v>-26.2</v>
      </c>
      <c r="S636" s="42">
        <v>-58.8</v>
      </c>
      <c r="T636" s="42">
        <v>13.7</v>
      </c>
      <c r="U636" s="42">
        <v>-47.2</v>
      </c>
      <c r="V636" s="42">
        <v>-11.9</v>
      </c>
      <c r="W636" s="42">
        <v>-57.8</v>
      </c>
    </row>
    <row r="637">
      <c r="A637" s="87">
        <v>636.0</v>
      </c>
      <c r="B637" s="85" t="s">
        <v>2277</v>
      </c>
      <c r="C637" s="85" t="s">
        <v>703</v>
      </c>
      <c r="D637" s="85" t="s">
        <v>1273</v>
      </c>
      <c r="E637" s="85" t="s">
        <v>1208</v>
      </c>
      <c r="F637" s="85" t="s">
        <v>1274</v>
      </c>
      <c r="G637" s="85" t="s">
        <v>1274</v>
      </c>
      <c r="H637" s="85" t="s">
        <v>1274</v>
      </c>
      <c r="I637" s="85" t="s">
        <v>2278</v>
      </c>
      <c r="J637" s="42">
        <v>5.8</v>
      </c>
      <c r="K637" s="42">
        <v>0.67</v>
      </c>
      <c r="L637" s="42">
        <v>11.5</v>
      </c>
      <c r="M637" s="42">
        <v>1.6</v>
      </c>
      <c r="N637" s="42">
        <v>6.0</v>
      </c>
      <c r="O637" s="42">
        <v>2.94E13</v>
      </c>
      <c r="P637" s="42">
        <v>5.1E12</v>
      </c>
      <c r="Q637" s="42">
        <v>-16.4</v>
      </c>
      <c r="R637" s="42">
        <v>-24.8</v>
      </c>
      <c r="S637" s="42">
        <v>-18.8</v>
      </c>
      <c r="T637" s="42">
        <v>-17.6</v>
      </c>
      <c r="U637" s="42">
        <v>100.0</v>
      </c>
      <c r="V637" s="42">
        <v>-12.5</v>
      </c>
      <c r="W637" s="42">
        <v>-19.1</v>
      </c>
    </row>
    <row r="638">
      <c r="A638" s="87">
        <v>637.0</v>
      </c>
      <c r="B638" s="85" t="s">
        <v>2279</v>
      </c>
      <c r="C638" s="85" t="s">
        <v>704</v>
      </c>
      <c r="D638" s="85" t="s">
        <v>1273</v>
      </c>
      <c r="E638" s="85" t="s">
        <v>1208</v>
      </c>
      <c r="F638" s="85" t="s">
        <v>1274</v>
      </c>
      <c r="G638" s="85" t="s">
        <v>1274</v>
      </c>
      <c r="H638" s="85" t="s">
        <v>1274</v>
      </c>
      <c r="I638" s="85" t="s">
        <v>1320</v>
      </c>
      <c r="J638" s="42">
        <v>6.6</v>
      </c>
      <c r="K638" s="42">
        <v>0.8</v>
      </c>
      <c r="L638" s="42">
        <v>12.2</v>
      </c>
      <c r="M638" s="42">
        <v>1.3</v>
      </c>
      <c r="N638" s="42">
        <v>8.8</v>
      </c>
      <c r="O638" s="42">
        <v>3.4E12</v>
      </c>
      <c r="P638" s="42">
        <v>8.29E11</v>
      </c>
      <c r="Q638" s="42">
        <v>-17.2</v>
      </c>
      <c r="R638" s="42">
        <v>-21.1</v>
      </c>
      <c r="S638" s="42">
        <v>-18.0</v>
      </c>
      <c r="T638" s="42">
        <v>-41.1</v>
      </c>
      <c r="U638" s="42">
        <v>63.3</v>
      </c>
      <c r="V638" s="42">
        <v>-11.4</v>
      </c>
      <c r="W638" s="42">
        <v>-18.8</v>
      </c>
    </row>
    <row r="639">
      <c r="A639" s="87">
        <v>638.0</v>
      </c>
      <c r="B639" s="85" t="s">
        <v>2280</v>
      </c>
      <c r="C639" s="85" t="s">
        <v>705</v>
      </c>
      <c r="D639" s="85" t="s">
        <v>1767</v>
      </c>
      <c r="E639" s="85" t="s">
        <v>1252</v>
      </c>
      <c r="F639" s="85" t="s">
        <v>1252</v>
      </c>
      <c r="G639" s="85" t="s">
        <v>1253</v>
      </c>
      <c r="H639" s="85" t="s">
        <v>1768</v>
      </c>
      <c r="I639" s="85" t="s">
        <v>1255</v>
      </c>
      <c r="J639" s="42">
        <v>54.1</v>
      </c>
      <c r="K639" s="42">
        <v>0.83</v>
      </c>
      <c r="L639" s="42">
        <v>1.5</v>
      </c>
      <c r="M639" s="42">
        <v>1.1</v>
      </c>
      <c r="N639" s="42">
        <v>0.38</v>
      </c>
      <c r="O639" s="42">
        <v>1.98E11</v>
      </c>
      <c r="P639" s="42">
        <v>1.32E11</v>
      </c>
      <c r="Q639" s="42">
        <v>-24.0</v>
      </c>
      <c r="R639" s="42">
        <v>-12.3</v>
      </c>
      <c r="S639" s="42">
        <v>-6.6</v>
      </c>
      <c r="T639" s="42">
        <v>100.0</v>
      </c>
      <c r="U639" s="42">
        <v>2.8</v>
      </c>
      <c r="V639" s="42">
        <v>-18.6</v>
      </c>
      <c r="W639" s="42">
        <v>-5.0</v>
      </c>
    </row>
    <row r="640">
      <c r="A640" s="87">
        <v>639.0</v>
      </c>
      <c r="B640" s="85" t="s">
        <v>2281</v>
      </c>
      <c r="C640" s="85" t="s">
        <v>706</v>
      </c>
      <c r="D640" s="85" t="s">
        <v>1229</v>
      </c>
      <c r="E640" s="85" t="s">
        <v>1230</v>
      </c>
      <c r="F640" s="85" t="s">
        <v>1231</v>
      </c>
      <c r="G640" s="85" t="s">
        <v>1231</v>
      </c>
      <c r="H640" s="85" t="s">
        <v>1231</v>
      </c>
      <c r="I640" s="85" t="s">
        <v>1417</v>
      </c>
      <c r="J640" s="42">
        <v>7.1</v>
      </c>
      <c r="K640" s="42">
        <v>0.87</v>
      </c>
      <c r="L640" s="42">
        <v>12.3</v>
      </c>
      <c r="M640" s="42">
        <v>5.9</v>
      </c>
      <c r="N640" s="42">
        <v>1.1</v>
      </c>
      <c r="O640" s="42">
        <v>1.2E12</v>
      </c>
      <c r="P640" s="42">
        <v>8.38E11</v>
      </c>
      <c r="Q640" s="42">
        <v>-36.8</v>
      </c>
      <c r="R640" s="42">
        <v>-37.3</v>
      </c>
      <c r="S640" s="42">
        <v>-80.2</v>
      </c>
      <c r="T640" s="42">
        <v>11.3</v>
      </c>
      <c r="U640" s="42">
        <v>20.7</v>
      </c>
      <c r="V640" s="42">
        <v>-28.9</v>
      </c>
      <c r="W640" s="42">
        <v>-78.8</v>
      </c>
    </row>
    <row r="641">
      <c r="A641" s="87">
        <v>640.0</v>
      </c>
      <c r="B641" s="85" t="s">
        <v>2282</v>
      </c>
      <c r="C641" s="85" t="s">
        <v>707</v>
      </c>
      <c r="D641" s="85" t="s">
        <v>1193</v>
      </c>
      <c r="E641" s="85" t="s">
        <v>1194</v>
      </c>
      <c r="F641" s="85" t="s">
        <v>1195</v>
      </c>
      <c r="G641" s="85" t="s">
        <v>1196</v>
      </c>
      <c r="H641" s="85" t="s">
        <v>1197</v>
      </c>
      <c r="I641" s="85" t="s">
        <v>1718</v>
      </c>
      <c r="J641" s="42">
        <v>17.5</v>
      </c>
      <c r="K641" s="42">
        <v>5.3</v>
      </c>
      <c r="L641" s="42">
        <v>30.1</v>
      </c>
      <c r="M641" s="42">
        <v>14.8</v>
      </c>
      <c r="N641" s="42">
        <v>1.0</v>
      </c>
      <c r="O641" s="42">
        <v>1.1E13</v>
      </c>
      <c r="P641" s="42">
        <v>5.17E11</v>
      </c>
      <c r="Q641" s="42">
        <v>-53.0</v>
      </c>
      <c r="R641" s="42">
        <v>-60.2</v>
      </c>
      <c r="S641" s="42">
        <v>-41.4</v>
      </c>
      <c r="T641" s="42">
        <v>18.9</v>
      </c>
      <c r="U641" s="42">
        <v>120.0</v>
      </c>
      <c r="V641" s="42">
        <v>-18.5</v>
      </c>
      <c r="W641" s="42">
        <v>-59.1</v>
      </c>
    </row>
    <row r="642">
      <c r="A642" s="87">
        <v>641.0</v>
      </c>
      <c r="B642" s="85" t="s">
        <v>2283</v>
      </c>
      <c r="C642" s="85" t="s">
        <v>708</v>
      </c>
      <c r="D642" s="85" t="s">
        <v>1932</v>
      </c>
      <c r="E642" s="85" t="s">
        <v>1214</v>
      </c>
      <c r="F642" s="85" t="s">
        <v>1326</v>
      </c>
      <c r="G642" s="85" t="s">
        <v>1331</v>
      </c>
      <c r="H642" s="85" t="s">
        <v>1933</v>
      </c>
      <c r="I642" s="85" t="s">
        <v>1333</v>
      </c>
      <c r="J642" s="42">
        <v>-170.0</v>
      </c>
      <c r="K642" s="42">
        <v>2.2</v>
      </c>
      <c r="L642" s="42">
        <v>-1.3</v>
      </c>
      <c r="M642" s="42">
        <v>-0.79</v>
      </c>
      <c r="N642" s="42">
        <v>0.63</v>
      </c>
      <c r="O642" s="42">
        <v>2.0E11</v>
      </c>
      <c r="P642" s="42">
        <v>1.6E10</v>
      </c>
      <c r="Q642" s="42">
        <v>-46.3</v>
      </c>
      <c r="R642" s="42">
        <v>-26.1</v>
      </c>
      <c r="S642" s="42">
        <v>-61.1</v>
      </c>
      <c r="T642" s="42">
        <v>2.0</v>
      </c>
      <c r="U642" s="42">
        <v>-7.7</v>
      </c>
      <c r="V642" s="42">
        <v>-26.1</v>
      </c>
      <c r="W642" s="42">
        <v>-59.5</v>
      </c>
    </row>
    <row r="643">
      <c r="A643" s="87">
        <v>642.0</v>
      </c>
      <c r="B643" s="85" t="s">
        <v>2284</v>
      </c>
      <c r="C643" s="85" t="s">
        <v>709</v>
      </c>
      <c r="D643" s="85" t="s">
        <v>1285</v>
      </c>
      <c r="E643" s="85" t="s">
        <v>1201</v>
      </c>
      <c r="F643" s="85" t="s">
        <v>1286</v>
      </c>
      <c r="G643" s="85" t="s">
        <v>1287</v>
      </c>
      <c r="H643" s="85" t="s">
        <v>1288</v>
      </c>
      <c r="I643" s="85" t="s">
        <v>1205</v>
      </c>
      <c r="J643" s="42">
        <v>0.0</v>
      </c>
      <c r="K643" s="42">
        <v>0.51</v>
      </c>
      <c r="L643" s="42">
        <v>-1.6</v>
      </c>
      <c r="M643" s="42">
        <v>-1.4</v>
      </c>
      <c r="N643" s="42">
        <v>0.09</v>
      </c>
      <c r="O643" s="42">
        <v>3.85E11</v>
      </c>
      <c r="P643" s="42">
        <v>8.78E9</v>
      </c>
      <c r="Q643" s="42">
        <v>0.0</v>
      </c>
      <c r="R643" s="42">
        <v>0.0</v>
      </c>
      <c r="S643" s="42">
        <v>0.0</v>
      </c>
      <c r="T643" s="42">
        <v>0.0</v>
      </c>
      <c r="U643" s="42">
        <v>-130.0</v>
      </c>
      <c r="V643" s="42">
        <v>0.0</v>
      </c>
      <c r="W643" s="42">
        <v>0.0</v>
      </c>
    </row>
    <row r="644">
      <c r="A644" s="87">
        <v>643.0</v>
      </c>
      <c r="B644" s="85" t="s">
        <v>2285</v>
      </c>
      <c r="C644" s="85" t="s">
        <v>710</v>
      </c>
      <c r="D644" s="85" t="s">
        <v>1234</v>
      </c>
      <c r="E644" s="85" t="s">
        <v>1235</v>
      </c>
      <c r="F644" s="85" t="s">
        <v>1235</v>
      </c>
      <c r="G644" s="85" t="s">
        <v>1236</v>
      </c>
      <c r="H644" s="85" t="s">
        <v>1237</v>
      </c>
      <c r="I644" s="85" t="s">
        <v>1322</v>
      </c>
      <c r="J644" s="42">
        <v>-21.2</v>
      </c>
      <c r="K644" s="42">
        <v>0.61</v>
      </c>
      <c r="L644" s="42">
        <v>-2.9</v>
      </c>
      <c r="M644" s="42">
        <v>-2.5</v>
      </c>
      <c r="N644" s="42">
        <v>0.17</v>
      </c>
      <c r="O644" s="42">
        <v>2.9E11</v>
      </c>
      <c r="P644" s="42">
        <v>4.36E9</v>
      </c>
      <c r="Q644" s="42">
        <v>34.2</v>
      </c>
      <c r="R644" s="42">
        <v>-14.0</v>
      </c>
      <c r="S644" s="42">
        <v>59.3</v>
      </c>
      <c r="T644" s="42">
        <v>170.0</v>
      </c>
      <c r="U644" s="42">
        <v>-310.0</v>
      </c>
      <c r="V644" s="42">
        <v>10.1</v>
      </c>
      <c r="W644" s="42">
        <v>71.9</v>
      </c>
    </row>
    <row r="645">
      <c r="A645" s="87">
        <v>644.0</v>
      </c>
      <c r="B645" s="85" t="s">
        <v>2286</v>
      </c>
      <c r="C645" s="85" t="s">
        <v>711</v>
      </c>
      <c r="D645" s="85" t="s">
        <v>1463</v>
      </c>
      <c r="E645" s="85" t="s">
        <v>1230</v>
      </c>
      <c r="F645" s="85" t="s">
        <v>1464</v>
      </c>
      <c r="G645" s="85" t="s">
        <v>1465</v>
      </c>
      <c r="H645" s="85" t="s">
        <v>1465</v>
      </c>
      <c r="I645" s="85" t="s">
        <v>1417</v>
      </c>
      <c r="J645" s="42">
        <v>-29.1</v>
      </c>
      <c r="K645" s="42">
        <v>3.8</v>
      </c>
      <c r="L645" s="42">
        <v>-13.0</v>
      </c>
      <c r="M645" s="42">
        <v>-11.5</v>
      </c>
      <c r="N645" s="42">
        <v>0.13</v>
      </c>
      <c r="O645" s="42">
        <v>2.2E12</v>
      </c>
      <c r="P645" s="42">
        <v>3.1E10</v>
      </c>
      <c r="Q645" s="42">
        <v>-44.4</v>
      </c>
      <c r="R645" s="42">
        <v>-24.1</v>
      </c>
      <c r="S645" s="42">
        <v>-5.2</v>
      </c>
      <c r="T645" s="42">
        <v>51.7</v>
      </c>
      <c r="U645" s="42">
        <v>-250.0</v>
      </c>
      <c r="V645" s="42">
        <v>-37.1</v>
      </c>
      <c r="W645" s="42">
        <v>-14.7</v>
      </c>
    </row>
    <row r="646">
      <c r="A646" s="87">
        <v>645.0</v>
      </c>
      <c r="B646" s="85" t="s">
        <v>2287</v>
      </c>
      <c r="C646" s="85" t="s">
        <v>712</v>
      </c>
      <c r="D646" s="85" t="s">
        <v>1799</v>
      </c>
      <c r="E646" s="85" t="s">
        <v>1570</v>
      </c>
      <c r="F646" s="85" t="s">
        <v>1800</v>
      </c>
      <c r="G646" s="85" t="s">
        <v>1801</v>
      </c>
      <c r="H646" s="85" t="s">
        <v>1801</v>
      </c>
      <c r="I646" s="85" t="s">
        <v>1685</v>
      </c>
      <c r="J646" s="42">
        <v>10.0</v>
      </c>
      <c r="K646" s="42">
        <v>1.3</v>
      </c>
      <c r="L646" s="42">
        <v>13.2</v>
      </c>
      <c r="M646" s="42">
        <v>11.3</v>
      </c>
      <c r="N646" s="42">
        <v>0.17</v>
      </c>
      <c r="O646" s="42">
        <v>1.88E11</v>
      </c>
      <c r="P646" s="42">
        <v>4.4E10</v>
      </c>
      <c r="Q646" s="42">
        <v>-39.5</v>
      </c>
      <c r="R646" s="42">
        <v>-40.9</v>
      </c>
      <c r="S646" s="42">
        <v>-50.5</v>
      </c>
      <c r="T646" s="42">
        <v>-57.0</v>
      </c>
      <c r="U646" s="42">
        <v>43.0</v>
      </c>
      <c r="V646" s="42">
        <v>-19.4</v>
      </c>
      <c r="W646" s="42">
        <v>-46.9</v>
      </c>
    </row>
    <row r="647">
      <c r="A647" s="87">
        <v>646.0</v>
      </c>
      <c r="B647" s="85" t="s">
        <v>2288</v>
      </c>
      <c r="C647" s="85" t="s">
        <v>713</v>
      </c>
      <c r="D647" s="85" t="s">
        <v>1291</v>
      </c>
      <c r="E647" s="85" t="s">
        <v>1252</v>
      </c>
      <c r="F647" s="85" t="s">
        <v>1252</v>
      </c>
      <c r="G647" s="85" t="s">
        <v>1253</v>
      </c>
      <c r="H647" s="85" t="s">
        <v>1292</v>
      </c>
      <c r="I647" s="85" t="s">
        <v>1255</v>
      </c>
      <c r="J647" s="42">
        <v>4.9</v>
      </c>
      <c r="K647" s="42">
        <v>0.8</v>
      </c>
      <c r="L647" s="42">
        <v>16.3</v>
      </c>
      <c r="M647" s="42">
        <v>14.8</v>
      </c>
      <c r="N647" s="42">
        <v>0.1</v>
      </c>
      <c r="O647" s="42">
        <v>1.66E11</v>
      </c>
      <c r="P647" s="42">
        <v>1.72E11</v>
      </c>
      <c r="Q647" s="42">
        <v>-28.2</v>
      </c>
      <c r="R647" s="42">
        <v>-38.3</v>
      </c>
      <c r="S647" s="42">
        <v>-43.2</v>
      </c>
      <c r="T647" s="42">
        <v>-24.0</v>
      </c>
      <c r="U647" s="42">
        <v>19.7</v>
      </c>
      <c r="V647" s="42">
        <v>-14.1</v>
      </c>
      <c r="W647" s="42">
        <v>-41.9</v>
      </c>
    </row>
    <row r="648">
      <c r="A648" s="87">
        <v>647.0</v>
      </c>
      <c r="B648" s="85" t="s">
        <v>2289</v>
      </c>
      <c r="C648" s="85" t="s">
        <v>714</v>
      </c>
      <c r="D648" s="85" t="s">
        <v>1363</v>
      </c>
      <c r="E648" s="85" t="s">
        <v>1208</v>
      </c>
      <c r="F648" s="85" t="s">
        <v>1364</v>
      </c>
      <c r="G648" s="85" t="s">
        <v>1364</v>
      </c>
      <c r="H648" s="85" t="s">
        <v>1365</v>
      </c>
      <c r="I648" s="85" t="s">
        <v>1419</v>
      </c>
      <c r="J648" s="42">
        <v>-1.9</v>
      </c>
      <c r="K648" s="42">
        <v>-0.15</v>
      </c>
      <c r="L648" s="42">
        <v>0.0</v>
      </c>
      <c r="M648" s="42">
        <v>-280.0</v>
      </c>
      <c r="N648" s="42">
        <v>-1.0</v>
      </c>
      <c r="O648" s="42">
        <v>4.3E10</v>
      </c>
      <c r="P648" s="42">
        <v>0.0</v>
      </c>
      <c r="Q648" s="42">
        <v>0.0</v>
      </c>
      <c r="R648" s="42">
        <v>0.0</v>
      </c>
      <c r="S648" s="42">
        <v>0.0</v>
      </c>
      <c r="T648" s="42">
        <v>0.0</v>
      </c>
      <c r="U648" s="42">
        <v>0.0</v>
      </c>
      <c r="V648" s="42">
        <v>0.0</v>
      </c>
      <c r="W648" s="42">
        <v>0.0</v>
      </c>
    </row>
    <row r="649">
      <c r="A649" s="87">
        <v>648.0</v>
      </c>
      <c r="B649" s="85" t="s">
        <v>2290</v>
      </c>
      <c r="C649" s="85" t="s">
        <v>715</v>
      </c>
      <c r="D649" s="85" t="s">
        <v>1193</v>
      </c>
      <c r="E649" s="85" t="s">
        <v>1194</v>
      </c>
      <c r="F649" s="85" t="s">
        <v>1195</v>
      </c>
      <c r="G649" s="85" t="s">
        <v>1196</v>
      </c>
      <c r="H649" s="85" t="s">
        <v>1197</v>
      </c>
      <c r="I649" s="85" t="s">
        <v>1269</v>
      </c>
      <c r="J649" s="42">
        <v>8.2</v>
      </c>
      <c r="K649" s="42">
        <v>0.84</v>
      </c>
      <c r="L649" s="42">
        <v>10.2</v>
      </c>
      <c r="M649" s="42">
        <v>3.4</v>
      </c>
      <c r="N649" s="42">
        <v>2.0</v>
      </c>
      <c r="O649" s="42">
        <v>8.5E10</v>
      </c>
      <c r="P649" s="42">
        <v>3.0E11</v>
      </c>
      <c r="Q649" s="42">
        <v>-38.9</v>
      </c>
      <c r="R649" s="42">
        <v>-40.9</v>
      </c>
      <c r="S649" s="42">
        <v>-42.7</v>
      </c>
      <c r="T649" s="42">
        <v>46.1</v>
      </c>
      <c r="U649" s="42">
        <v>3.5</v>
      </c>
      <c r="V649" s="42">
        <v>-20.7</v>
      </c>
      <c r="W649" s="42">
        <v>-35.2</v>
      </c>
    </row>
    <row r="650">
      <c r="A650" s="87">
        <v>649.0</v>
      </c>
      <c r="B650" s="85" t="s">
        <v>2291</v>
      </c>
      <c r="C650" s="85" t="s">
        <v>716</v>
      </c>
      <c r="D650" s="85" t="s">
        <v>1291</v>
      </c>
      <c r="E650" s="85" t="s">
        <v>1252</v>
      </c>
      <c r="F650" s="85" t="s">
        <v>1252</v>
      </c>
      <c r="G650" s="85" t="s">
        <v>1253</v>
      </c>
      <c r="H650" s="85" t="s">
        <v>1292</v>
      </c>
      <c r="I650" s="85" t="s">
        <v>1255</v>
      </c>
      <c r="J650" s="42">
        <v>-3.7</v>
      </c>
      <c r="K650" s="42">
        <v>0.26</v>
      </c>
      <c r="L650" s="42">
        <v>-6.9</v>
      </c>
      <c r="M650" s="42">
        <v>-2.5</v>
      </c>
      <c r="N650" s="42">
        <v>1.8</v>
      </c>
      <c r="O650" s="42">
        <v>2.47E11</v>
      </c>
      <c r="P650" s="42">
        <v>6.25E11</v>
      </c>
      <c r="Q650" s="42">
        <v>-35.2</v>
      </c>
      <c r="R650" s="42">
        <v>-28.8</v>
      </c>
      <c r="S650" s="42">
        <v>-46.3</v>
      </c>
      <c r="T650" s="42">
        <v>-33.6</v>
      </c>
      <c r="U650" s="42">
        <v>-10.6</v>
      </c>
      <c r="V650" s="42">
        <v>-24.0</v>
      </c>
      <c r="W650" s="42">
        <v>-47.3</v>
      </c>
    </row>
    <row r="651">
      <c r="A651" s="87">
        <v>650.0</v>
      </c>
      <c r="B651" s="85" t="s">
        <v>2292</v>
      </c>
      <c r="C651" s="85" t="s">
        <v>717</v>
      </c>
      <c r="D651" s="85" t="s">
        <v>1665</v>
      </c>
      <c r="E651" s="85" t="s">
        <v>1201</v>
      </c>
      <c r="F651" s="85" t="s">
        <v>1666</v>
      </c>
      <c r="G651" s="85" t="s">
        <v>1666</v>
      </c>
      <c r="H651" s="85" t="s">
        <v>1667</v>
      </c>
      <c r="I651" s="85" t="s">
        <v>1265</v>
      </c>
      <c r="J651" s="42">
        <v>-12.4</v>
      </c>
      <c r="K651" s="42">
        <v>2.8</v>
      </c>
      <c r="L651" s="42">
        <v>-22.2</v>
      </c>
      <c r="M651" s="42">
        <v>-20.2</v>
      </c>
      <c r="N651" s="42">
        <v>0.1</v>
      </c>
      <c r="O651" s="42">
        <v>1.03E11</v>
      </c>
      <c r="P651" s="42">
        <v>1.0E10</v>
      </c>
      <c r="Q651" s="42">
        <v>-15.8</v>
      </c>
      <c r="R651" s="42">
        <v>-9.4</v>
      </c>
      <c r="S651" s="42">
        <v>-47.3</v>
      </c>
      <c r="T651" s="42">
        <v>150.0</v>
      </c>
      <c r="U651" s="42">
        <v>-81.1</v>
      </c>
      <c r="V651" s="42">
        <v>-5.9</v>
      </c>
      <c r="W651" s="42">
        <v>-33.3</v>
      </c>
    </row>
    <row r="652">
      <c r="A652" s="87">
        <v>651.0</v>
      </c>
      <c r="B652" s="85" t="s">
        <v>2293</v>
      </c>
      <c r="C652" s="85" t="s">
        <v>718</v>
      </c>
      <c r="D652" s="85" t="s">
        <v>1682</v>
      </c>
      <c r="E652" s="85" t="s">
        <v>1570</v>
      </c>
      <c r="F652" s="85" t="s">
        <v>1571</v>
      </c>
      <c r="G652" s="85" t="s">
        <v>1683</v>
      </c>
      <c r="H652" s="85" t="s">
        <v>1684</v>
      </c>
      <c r="I652" s="85" t="s">
        <v>1573</v>
      </c>
      <c r="J652" s="42">
        <v>15.9</v>
      </c>
      <c r="K652" s="42">
        <v>2.2</v>
      </c>
      <c r="L652" s="42">
        <v>13.8</v>
      </c>
      <c r="M652" s="42">
        <v>11.8</v>
      </c>
      <c r="N652" s="42">
        <v>0.16</v>
      </c>
      <c r="O652" s="42">
        <v>6.2E12</v>
      </c>
      <c r="P652" s="42">
        <v>5.72E11</v>
      </c>
      <c r="Q652" s="42">
        <v>-25.6</v>
      </c>
      <c r="R652" s="42">
        <v>-20.7</v>
      </c>
      <c r="S652" s="42">
        <v>-5.0</v>
      </c>
      <c r="T652" s="42">
        <v>11.0</v>
      </c>
      <c r="U652" s="42">
        <v>68.6</v>
      </c>
      <c r="V652" s="42">
        <v>-6.8</v>
      </c>
      <c r="W652" s="42">
        <v>-7.7</v>
      </c>
    </row>
    <row r="653">
      <c r="A653" s="87">
        <v>652.0</v>
      </c>
      <c r="B653" s="85" t="s">
        <v>2294</v>
      </c>
      <c r="C653" s="85" t="s">
        <v>719</v>
      </c>
      <c r="D653" s="85" t="s">
        <v>1234</v>
      </c>
      <c r="E653" s="85" t="s">
        <v>1235</v>
      </c>
      <c r="F653" s="85" t="s">
        <v>1235</v>
      </c>
      <c r="G653" s="85" t="s">
        <v>1236</v>
      </c>
      <c r="H653" s="85" t="s">
        <v>1237</v>
      </c>
      <c r="I653" s="85" t="s">
        <v>1238</v>
      </c>
      <c r="J653" s="42">
        <v>-16.8</v>
      </c>
      <c r="K653" s="42">
        <v>0.94</v>
      </c>
      <c r="L653" s="42">
        <v>-5.6</v>
      </c>
      <c r="M653" s="42">
        <v>-4.6</v>
      </c>
      <c r="N653" s="42">
        <v>0.22</v>
      </c>
      <c r="O653" s="42">
        <v>3.1E12</v>
      </c>
      <c r="P653" s="42">
        <v>9.79E9</v>
      </c>
      <c r="Q653" s="42">
        <v>1.2</v>
      </c>
      <c r="R653" s="42">
        <v>-1.7</v>
      </c>
      <c r="S653" s="42">
        <v>92.2</v>
      </c>
      <c r="T653" s="42">
        <v>82.5</v>
      </c>
      <c r="U653" s="42">
        <v>-1870.0</v>
      </c>
      <c r="V653" s="42">
        <v>-21.4</v>
      </c>
      <c r="W653" s="42">
        <v>110.0</v>
      </c>
    </row>
    <row r="654">
      <c r="A654" s="87">
        <v>653.0</v>
      </c>
      <c r="B654" s="85" t="s">
        <v>2295</v>
      </c>
      <c r="C654" s="85" t="s">
        <v>720</v>
      </c>
      <c r="D654" s="85" t="s">
        <v>1460</v>
      </c>
      <c r="E654" s="85" t="s">
        <v>1252</v>
      </c>
      <c r="F654" s="85" t="s">
        <v>1252</v>
      </c>
      <c r="G654" s="85" t="s">
        <v>1313</v>
      </c>
      <c r="H654" s="85" t="s">
        <v>1461</v>
      </c>
      <c r="I654" s="85" t="s">
        <v>1422</v>
      </c>
      <c r="J654" s="42">
        <v>-16.9</v>
      </c>
      <c r="K654" s="42">
        <v>1.5</v>
      </c>
      <c r="L654" s="42">
        <v>-8.9</v>
      </c>
      <c r="M654" s="42">
        <v>-8.7</v>
      </c>
      <c r="N654" s="42">
        <v>0.02</v>
      </c>
      <c r="O654" s="42">
        <v>1.11E11</v>
      </c>
      <c r="P654" s="42">
        <v>1.06E9</v>
      </c>
      <c r="Q654" s="42">
        <v>-34.4</v>
      </c>
      <c r="R654" s="42">
        <v>-22.9</v>
      </c>
      <c r="S654" s="42">
        <v>-40.4</v>
      </c>
      <c r="T654" s="42">
        <v>18.3</v>
      </c>
      <c r="U654" s="42">
        <v>-620.0</v>
      </c>
      <c r="V654" s="42">
        <v>-25.0</v>
      </c>
      <c r="W654" s="42">
        <v>-39.6</v>
      </c>
    </row>
    <row r="655">
      <c r="A655" s="87">
        <v>654.0</v>
      </c>
      <c r="B655" s="85" t="s">
        <v>2296</v>
      </c>
      <c r="C655" s="85" t="s">
        <v>721</v>
      </c>
      <c r="D655" s="85" t="s">
        <v>1304</v>
      </c>
      <c r="E655" s="85" t="s">
        <v>1252</v>
      </c>
      <c r="F655" s="85" t="s">
        <v>1252</v>
      </c>
      <c r="G655" s="85" t="s">
        <v>1305</v>
      </c>
      <c r="H655" s="85" t="s">
        <v>1305</v>
      </c>
      <c r="I655" s="85" t="s">
        <v>1265</v>
      </c>
      <c r="J655" s="42">
        <v>350.0</v>
      </c>
      <c r="K655" s="42">
        <v>94.5</v>
      </c>
      <c r="L655" s="42">
        <v>27.1</v>
      </c>
      <c r="M655" s="42">
        <v>0.95</v>
      </c>
      <c r="N655" s="42">
        <v>27.4</v>
      </c>
      <c r="O655" s="42">
        <v>1.0E13</v>
      </c>
      <c r="P655" s="42">
        <v>2.17E11</v>
      </c>
      <c r="Q655" s="42">
        <v>-25.4</v>
      </c>
      <c r="R655" s="42">
        <v>42.1</v>
      </c>
      <c r="S655" s="42">
        <v>-89.4</v>
      </c>
      <c r="T655" s="42">
        <v>-93.9</v>
      </c>
      <c r="U655" s="42">
        <v>13.2</v>
      </c>
      <c r="V655" s="42">
        <v>-31.8</v>
      </c>
      <c r="W655" s="42">
        <v>-90.0</v>
      </c>
    </row>
    <row r="656">
      <c r="A656" s="87">
        <v>655.0</v>
      </c>
      <c r="B656" s="85" t="s">
        <v>2297</v>
      </c>
      <c r="C656" s="85" t="s">
        <v>722</v>
      </c>
      <c r="D656" s="85" t="s">
        <v>2083</v>
      </c>
      <c r="E656" s="85" t="s">
        <v>1214</v>
      </c>
      <c r="F656" s="85" t="s">
        <v>1406</v>
      </c>
      <c r="G656" s="85" t="s">
        <v>1728</v>
      </c>
      <c r="H656" s="85" t="s">
        <v>2084</v>
      </c>
      <c r="I656" s="85" t="s">
        <v>1333</v>
      </c>
      <c r="J656" s="42">
        <v>84.3</v>
      </c>
      <c r="K656" s="42">
        <v>3.6</v>
      </c>
      <c r="L656" s="42">
        <v>4.2</v>
      </c>
      <c r="M656" s="42">
        <v>1.5</v>
      </c>
      <c r="N656" s="42">
        <v>1.9</v>
      </c>
      <c r="O656" s="42">
        <v>4.35E11</v>
      </c>
      <c r="P656" s="42">
        <v>4.66E11</v>
      </c>
      <c r="Q656" s="42">
        <v>-47.3</v>
      </c>
      <c r="R656" s="42">
        <v>-34.1</v>
      </c>
      <c r="S656" s="42">
        <v>-55.5</v>
      </c>
      <c r="T656" s="42">
        <v>460.0</v>
      </c>
      <c r="U656" s="42">
        <v>1.1</v>
      </c>
      <c r="V656" s="42">
        <v>-35.5</v>
      </c>
      <c r="W656" s="42">
        <v>-70.5</v>
      </c>
    </row>
    <row r="657">
      <c r="A657" s="87">
        <v>656.0</v>
      </c>
      <c r="B657" s="85" t="s">
        <v>2298</v>
      </c>
      <c r="C657" s="85" t="s">
        <v>723</v>
      </c>
      <c r="D657" s="85" t="s">
        <v>2299</v>
      </c>
      <c r="E657" s="85" t="s">
        <v>1208</v>
      </c>
      <c r="F657" s="85" t="s">
        <v>1341</v>
      </c>
      <c r="G657" s="85" t="s">
        <v>1342</v>
      </c>
      <c r="H657" s="85" t="s">
        <v>2300</v>
      </c>
      <c r="I657" s="85" t="s">
        <v>1211</v>
      </c>
      <c r="J657" s="42">
        <v>110.0</v>
      </c>
      <c r="K657" s="42">
        <v>6.3</v>
      </c>
      <c r="L657" s="42">
        <v>5.7</v>
      </c>
      <c r="M657" s="42">
        <v>4.4</v>
      </c>
      <c r="N657" s="42">
        <v>0.29</v>
      </c>
      <c r="O657" s="42">
        <v>1.0E12</v>
      </c>
      <c r="P657" s="42">
        <v>1.4E10</v>
      </c>
      <c r="Q657" s="42">
        <v>-51.2</v>
      </c>
      <c r="R657" s="42">
        <v>-40.4</v>
      </c>
      <c r="S657" s="42">
        <v>-60.0</v>
      </c>
      <c r="T657" s="42">
        <v>34.8</v>
      </c>
      <c r="U657" s="42">
        <v>67.6</v>
      </c>
      <c r="V657" s="42">
        <v>-31.1</v>
      </c>
      <c r="W657" s="42">
        <v>-54.4</v>
      </c>
    </row>
    <row r="658">
      <c r="A658" s="87">
        <v>657.0</v>
      </c>
      <c r="B658" s="85" t="s">
        <v>2301</v>
      </c>
      <c r="C658" s="85" t="s">
        <v>724</v>
      </c>
      <c r="D658" s="85" t="s">
        <v>1193</v>
      </c>
      <c r="E658" s="85" t="s">
        <v>1194</v>
      </c>
      <c r="F658" s="85" t="s">
        <v>1195</v>
      </c>
      <c r="G658" s="85" t="s">
        <v>1196</v>
      </c>
      <c r="H658" s="85" t="s">
        <v>1197</v>
      </c>
      <c r="I658" s="85" t="s">
        <v>2302</v>
      </c>
      <c r="J658" s="42">
        <v>0.96</v>
      </c>
      <c r="K658" s="42">
        <v>0.65</v>
      </c>
      <c r="L658" s="42">
        <v>67.7</v>
      </c>
      <c r="M658" s="42">
        <v>48.5</v>
      </c>
      <c r="N658" s="42">
        <v>0.4</v>
      </c>
      <c r="O658" s="42">
        <v>5.3E12</v>
      </c>
      <c r="P658" s="42">
        <v>3.99E9</v>
      </c>
      <c r="Q658" s="42">
        <v>-27.6</v>
      </c>
      <c r="R658" s="42">
        <v>-26.0</v>
      </c>
      <c r="S658" s="42">
        <v>-32.1</v>
      </c>
      <c r="T658" s="42">
        <v>-29.2</v>
      </c>
      <c r="U658" s="42">
        <v>140000.0</v>
      </c>
      <c r="V658" s="42">
        <v>-22.5</v>
      </c>
      <c r="W658" s="42">
        <v>-31.8</v>
      </c>
    </row>
    <row r="659">
      <c r="A659" s="87">
        <v>658.0</v>
      </c>
      <c r="B659" s="85" t="s">
        <v>2303</v>
      </c>
      <c r="C659" s="85" t="s">
        <v>725</v>
      </c>
      <c r="D659" s="85" t="s">
        <v>1234</v>
      </c>
      <c r="E659" s="85" t="s">
        <v>1235</v>
      </c>
      <c r="F659" s="85" t="s">
        <v>1235</v>
      </c>
      <c r="G659" s="85" t="s">
        <v>1236</v>
      </c>
      <c r="H659" s="85" t="s">
        <v>1237</v>
      </c>
      <c r="I659" s="85" t="s">
        <v>1322</v>
      </c>
      <c r="J659" s="42">
        <v>-340.0</v>
      </c>
      <c r="K659" s="42">
        <v>0.38</v>
      </c>
      <c r="L659" s="42">
        <v>-0.11</v>
      </c>
      <c r="M659" s="42">
        <v>-0.08</v>
      </c>
      <c r="N659" s="42">
        <v>0.38</v>
      </c>
      <c r="O659" s="42">
        <v>1.63E11</v>
      </c>
      <c r="P659" s="42">
        <v>1.1E10</v>
      </c>
      <c r="Q659" s="42">
        <v>-16.7</v>
      </c>
      <c r="R659" s="42">
        <v>-3.8</v>
      </c>
      <c r="S659" s="42">
        <v>-27.5</v>
      </c>
      <c r="T659" s="42">
        <v>-36.7</v>
      </c>
      <c r="U659" s="42">
        <v>-4.2</v>
      </c>
      <c r="V659" s="42">
        <v>-9.1</v>
      </c>
      <c r="W659" s="42">
        <v>-29.6</v>
      </c>
    </row>
    <row r="660">
      <c r="A660" s="87">
        <v>659.0</v>
      </c>
      <c r="B660" s="85" t="s">
        <v>2304</v>
      </c>
      <c r="C660" s="85" t="s">
        <v>726</v>
      </c>
      <c r="D660" s="85" t="s">
        <v>1234</v>
      </c>
      <c r="E660" s="85" t="s">
        <v>1235</v>
      </c>
      <c r="F660" s="85" t="s">
        <v>1235</v>
      </c>
      <c r="G660" s="85" t="s">
        <v>1236</v>
      </c>
      <c r="H660" s="85" t="s">
        <v>1237</v>
      </c>
      <c r="I660" s="85" t="s">
        <v>2305</v>
      </c>
      <c r="J660" s="42">
        <v>79.7</v>
      </c>
      <c r="K660" s="42">
        <v>4.2</v>
      </c>
      <c r="L660" s="42">
        <v>5.2</v>
      </c>
      <c r="M660" s="42">
        <v>3.3</v>
      </c>
      <c r="N660" s="42">
        <v>0.57</v>
      </c>
      <c r="O660" s="42">
        <v>1.3E14</v>
      </c>
      <c r="P660" s="42">
        <v>1.1E12</v>
      </c>
      <c r="Q660" s="42">
        <v>-33.9</v>
      </c>
      <c r="R660" s="42">
        <v>-27.7</v>
      </c>
      <c r="S660" s="42">
        <v>-58.6</v>
      </c>
      <c r="T660" s="42">
        <v>-47.2</v>
      </c>
      <c r="U660" s="42">
        <v>150.0</v>
      </c>
      <c r="V660" s="42">
        <v>-21.2</v>
      </c>
      <c r="W660" s="42">
        <v>-54.5</v>
      </c>
    </row>
    <row r="661">
      <c r="A661" s="87">
        <v>660.0</v>
      </c>
      <c r="B661" s="85" t="s">
        <v>2306</v>
      </c>
      <c r="C661" s="85" t="s">
        <v>727</v>
      </c>
      <c r="D661" s="85" t="s">
        <v>1482</v>
      </c>
      <c r="E661" s="85" t="s">
        <v>1201</v>
      </c>
      <c r="F661" s="85" t="s">
        <v>1286</v>
      </c>
      <c r="G661" s="85" t="s">
        <v>1287</v>
      </c>
      <c r="H661" s="85" t="s">
        <v>1483</v>
      </c>
      <c r="I661" s="85" t="s">
        <v>1458</v>
      </c>
      <c r="J661" s="42">
        <v>7.4</v>
      </c>
      <c r="K661" s="42">
        <v>0.52</v>
      </c>
      <c r="L661" s="42">
        <v>7.0</v>
      </c>
      <c r="M661" s="42">
        <v>4.4</v>
      </c>
      <c r="N661" s="42">
        <v>0.59</v>
      </c>
      <c r="O661" s="42">
        <v>6.72E11</v>
      </c>
      <c r="P661" s="42">
        <v>1.0E12</v>
      </c>
      <c r="Q661" s="42">
        <v>-27.8</v>
      </c>
      <c r="R661" s="42">
        <v>-29.0</v>
      </c>
      <c r="S661" s="42">
        <v>-41.7</v>
      </c>
      <c r="T661" s="42">
        <v>-47.7</v>
      </c>
      <c r="U661" s="42">
        <v>9.0</v>
      </c>
      <c r="V661" s="42">
        <v>-14.6</v>
      </c>
      <c r="W661" s="42">
        <v>-37.7</v>
      </c>
    </row>
    <row r="662">
      <c r="A662" s="87">
        <v>661.0</v>
      </c>
      <c r="B662" s="85" t="s">
        <v>2307</v>
      </c>
      <c r="C662" s="85" t="s">
        <v>728</v>
      </c>
      <c r="D662" s="85" t="s">
        <v>2299</v>
      </c>
      <c r="E662" s="85" t="s">
        <v>1208</v>
      </c>
      <c r="F662" s="85" t="s">
        <v>1341</v>
      </c>
      <c r="G662" s="85" t="s">
        <v>1342</v>
      </c>
      <c r="H662" s="85" t="s">
        <v>2300</v>
      </c>
      <c r="I662" s="85" t="s">
        <v>1320</v>
      </c>
      <c r="J662" s="42">
        <v>5.7</v>
      </c>
      <c r="K662" s="42">
        <v>0.75</v>
      </c>
      <c r="L662" s="42">
        <v>13.3</v>
      </c>
      <c r="M662" s="42">
        <v>9.1</v>
      </c>
      <c r="N662" s="42">
        <v>0.45</v>
      </c>
      <c r="O662" s="42">
        <v>1.2E12</v>
      </c>
      <c r="P662" s="42">
        <v>8.9E10</v>
      </c>
      <c r="Q662" s="42">
        <v>-11.5</v>
      </c>
      <c r="R662" s="42">
        <v>-6.7</v>
      </c>
      <c r="S662" s="42">
        <v>4.8</v>
      </c>
      <c r="T662" s="42">
        <v>-1.3</v>
      </c>
      <c r="U662" s="42">
        <v>250.0</v>
      </c>
      <c r="V662" s="42">
        <v>-11.5</v>
      </c>
      <c r="W662" s="42">
        <v>3.4</v>
      </c>
    </row>
    <row r="663">
      <c r="A663" s="87">
        <v>662.0</v>
      </c>
      <c r="B663" s="85" t="s">
        <v>2308</v>
      </c>
      <c r="C663" s="85" t="s">
        <v>729</v>
      </c>
      <c r="D663" s="85" t="s">
        <v>1261</v>
      </c>
      <c r="E663" s="85" t="s">
        <v>1201</v>
      </c>
      <c r="F663" s="85" t="s">
        <v>1262</v>
      </c>
      <c r="G663" s="85" t="s">
        <v>1263</v>
      </c>
      <c r="H663" s="85" t="s">
        <v>1264</v>
      </c>
      <c r="I663" s="85" t="s">
        <v>1458</v>
      </c>
      <c r="J663" s="42">
        <v>9.0</v>
      </c>
      <c r="K663" s="42">
        <v>1.4</v>
      </c>
      <c r="L663" s="42">
        <v>15.4</v>
      </c>
      <c r="M663" s="42">
        <v>7.6</v>
      </c>
      <c r="N663" s="42">
        <v>1.0</v>
      </c>
      <c r="O663" s="42">
        <v>2.76E11</v>
      </c>
      <c r="P663" s="42">
        <v>9.5E10</v>
      </c>
      <c r="Q663" s="42">
        <v>-38.5</v>
      </c>
      <c r="R663" s="42">
        <v>-45.5</v>
      </c>
      <c r="S663" s="42">
        <v>-48.9</v>
      </c>
      <c r="T663" s="42">
        <v>-29.5</v>
      </c>
      <c r="U663" s="42">
        <v>32.3</v>
      </c>
      <c r="V663" s="42">
        <v>-31.6</v>
      </c>
      <c r="W663" s="42">
        <v>-38.5</v>
      </c>
    </row>
    <row r="664">
      <c r="A664" s="87">
        <v>663.0</v>
      </c>
      <c r="B664" s="85" t="s">
        <v>2309</v>
      </c>
      <c r="C664" s="85" t="s">
        <v>730</v>
      </c>
      <c r="D664" s="85" t="s">
        <v>1304</v>
      </c>
      <c r="E664" s="85" t="s">
        <v>1252</v>
      </c>
      <c r="F664" s="85" t="s">
        <v>1252</v>
      </c>
      <c r="G664" s="85" t="s">
        <v>1305</v>
      </c>
      <c r="H664" s="85" t="s">
        <v>1305</v>
      </c>
      <c r="I664" s="85" t="s">
        <v>1306</v>
      </c>
      <c r="J664" s="42">
        <v>8.8</v>
      </c>
      <c r="K664" s="42">
        <v>1.2</v>
      </c>
      <c r="L664" s="42">
        <v>13.8</v>
      </c>
      <c r="M664" s="42">
        <v>11.6</v>
      </c>
      <c r="N664" s="42">
        <v>0.19</v>
      </c>
      <c r="O664" s="42">
        <v>3.7E12</v>
      </c>
      <c r="P664" s="42">
        <v>1.3E12</v>
      </c>
      <c r="Q664" s="42">
        <v>-17.8</v>
      </c>
      <c r="R664" s="42">
        <v>-7.4</v>
      </c>
      <c r="S664" s="42">
        <v>-7.4</v>
      </c>
      <c r="T664" s="42">
        <v>-13.1</v>
      </c>
      <c r="U664" s="42">
        <v>32.8</v>
      </c>
      <c r="V664" s="42">
        <v>-9.2</v>
      </c>
      <c r="W664" s="42">
        <v>-7.0</v>
      </c>
    </row>
    <row r="665">
      <c r="A665" s="87">
        <v>664.0</v>
      </c>
      <c r="B665" s="85" t="s">
        <v>2310</v>
      </c>
      <c r="C665" s="85" t="s">
        <v>731</v>
      </c>
      <c r="D665" s="85" t="s">
        <v>1834</v>
      </c>
      <c r="E665" s="85" t="s">
        <v>1201</v>
      </c>
      <c r="F665" s="85" t="s">
        <v>1225</v>
      </c>
      <c r="G665" s="85" t="s">
        <v>1225</v>
      </c>
      <c r="H665" s="85" t="s">
        <v>1835</v>
      </c>
      <c r="I665" s="85" t="s">
        <v>1943</v>
      </c>
      <c r="J665" s="42">
        <v>-0.56</v>
      </c>
      <c r="K665" s="42">
        <v>0.65</v>
      </c>
      <c r="L665" s="42">
        <v>-120.0</v>
      </c>
      <c r="M665" s="42">
        <v>-31.9</v>
      </c>
      <c r="N665" s="42">
        <v>2.7</v>
      </c>
      <c r="O665" s="42">
        <v>6.44E11</v>
      </c>
      <c r="P665" s="42">
        <v>9.7E11</v>
      </c>
      <c r="Q665" s="42">
        <v>-32.4</v>
      </c>
      <c r="R665" s="42">
        <v>-45.2</v>
      </c>
      <c r="S665" s="42">
        <v>-37.8</v>
      </c>
      <c r="T665" s="42">
        <v>-4.2</v>
      </c>
      <c r="U665" s="42">
        <v>-120.0</v>
      </c>
      <c r="V665" s="42">
        <v>-20.7</v>
      </c>
      <c r="W665" s="42">
        <v>-39.5</v>
      </c>
    </row>
    <row r="666">
      <c r="A666" s="87">
        <v>665.0</v>
      </c>
      <c r="B666" s="85" t="s">
        <v>2311</v>
      </c>
      <c r="C666" s="85" t="s">
        <v>732</v>
      </c>
      <c r="D666" s="85" t="s">
        <v>1229</v>
      </c>
      <c r="E666" s="85" t="s">
        <v>1230</v>
      </c>
      <c r="F666" s="85" t="s">
        <v>1231</v>
      </c>
      <c r="G666" s="85" t="s">
        <v>1231</v>
      </c>
      <c r="H666" s="85" t="s">
        <v>1231</v>
      </c>
      <c r="I666" s="85" t="s">
        <v>1417</v>
      </c>
      <c r="J666" s="42">
        <v>8.8</v>
      </c>
      <c r="K666" s="42">
        <v>2.9</v>
      </c>
      <c r="L666" s="42">
        <v>32.4</v>
      </c>
      <c r="M666" s="42">
        <v>21.1</v>
      </c>
      <c r="N666" s="42">
        <v>0.54</v>
      </c>
      <c r="O666" s="42">
        <v>2.6E12</v>
      </c>
      <c r="P666" s="42">
        <v>4.11E11</v>
      </c>
      <c r="Q666" s="42">
        <v>-36.0</v>
      </c>
      <c r="R666" s="42">
        <v>-48.1</v>
      </c>
      <c r="S666" s="42">
        <v>-54.5</v>
      </c>
      <c r="T666" s="42">
        <v>47.6</v>
      </c>
      <c r="U666" s="42">
        <v>72.0</v>
      </c>
      <c r="V666" s="42">
        <v>-26.7</v>
      </c>
      <c r="W666" s="42">
        <v>-61.0</v>
      </c>
    </row>
    <row r="667">
      <c r="A667" s="87">
        <v>666.0</v>
      </c>
      <c r="B667" s="85" t="s">
        <v>2312</v>
      </c>
      <c r="C667" s="85" t="s">
        <v>733</v>
      </c>
      <c r="D667" s="85" t="s">
        <v>1626</v>
      </c>
      <c r="E667" s="85" t="s">
        <v>1194</v>
      </c>
      <c r="F667" s="85" t="s">
        <v>1346</v>
      </c>
      <c r="G667" s="85" t="s">
        <v>1346</v>
      </c>
      <c r="H667" s="85" t="s">
        <v>1627</v>
      </c>
      <c r="I667" s="85" t="s">
        <v>1350</v>
      </c>
      <c r="J667" s="42">
        <v>-3.6</v>
      </c>
      <c r="K667" s="42">
        <v>0.74</v>
      </c>
      <c r="L667" s="42">
        <v>-20.7</v>
      </c>
      <c r="M667" s="42">
        <v>-13.9</v>
      </c>
      <c r="N667" s="42">
        <v>0.49</v>
      </c>
      <c r="O667" s="42">
        <v>4.7E10</v>
      </c>
      <c r="P667" s="42">
        <v>6.2E10</v>
      </c>
      <c r="Q667" s="42">
        <v>8.3</v>
      </c>
      <c r="R667" s="42">
        <v>-4.9</v>
      </c>
      <c r="S667" s="42">
        <v>-4.9</v>
      </c>
      <c r="T667" s="42">
        <v>25.8</v>
      </c>
      <c r="U667" s="42">
        <v>-21.0</v>
      </c>
      <c r="V667" s="42">
        <v>0.0</v>
      </c>
      <c r="W667" s="42">
        <v>-2.5</v>
      </c>
    </row>
    <row r="668">
      <c r="A668" s="87">
        <v>667.0</v>
      </c>
      <c r="B668" s="85" t="s">
        <v>2313</v>
      </c>
      <c r="C668" s="85" t="s">
        <v>734</v>
      </c>
      <c r="D668" s="85" t="s">
        <v>1482</v>
      </c>
      <c r="E668" s="85" t="s">
        <v>1201</v>
      </c>
      <c r="F668" s="85" t="s">
        <v>1286</v>
      </c>
      <c r="G668" s="85" t="s">
        <v>1287</v>
      </c>
      <c r="H668" s="85" t="s">
        <v>1483</v>
      </c>
      <c r="I668" s="85" t="s">
        <v>1458</v>
      </c>
      <c r="J668" s="42">
        <v>11.3</v>
      </c>
      <c r="K668" s="42">
        <v>2.9</v>
      </c>
      <c r="L668" s="42">
        <v>25.7</v>
      </c>
      <c r="M668" s="42">
        <v>9.0</v>
      </c>
      <c r="N668" s="42">
        <v>1.9</v>
      </c>
      <c r="O668" s="42">
        <v>3.61E11</v>
      </c>
      <c r="P668" s="42">
        <v>2.06E11</v>
      </c>
      <c r="Q668" s="42">
        <v>2.0</v>
      </c>
      <c r="R668" s="42">
        <v>-7.4</v>
      </c>
      <c r="S668" s="42">
        <v>-17.4</v>
      </c>
      <c r="T668" s="42">
        <v>36.6</v>
      </c>
      <c r="U668" s="42">
        <v>15.5</v>
      </c>
      <c r="V668" s="42">
        <v>-0.99</v>
      </c>
      <c r="W668" s="42">
        <v>-16.7</v>
      </c>
    </row>
    <row r="669">
      <c r="A669" s="87">
        <v>668.0</v>
      </c>
      <c r="B669" s="85" t="s">
        <v>2314</v>
      </c>
      <c r="C669" s="85" t="s">
        <v>735</v>
      </c>
      <c r="D669" s="85" t="s">
        <v>1304</v>
      </c>
      <c r="E669" s="85" t="s">
        <v>1252</v>
      </c>
      <c r="F669" s="85" t="s">
        <v>1252</v>
      </c>
      <c r="G669" s="85" t="s">
        <v>1305</v>
      </c>
      <c r="H669" s="85" t="s">
        <v>1305</v>
      </c>
      <c r="I669" s="85" t="s">
        <v>1271</v>
      </c>
      <c r="J669" s="42">
        <v>20.3</v>
      </c>
      <c r="K669" s="42">
        <v>1.9</v>
      </c>
      <c r="L669" s="42">
        <v>9.5</v>
      </c>
      <c r="M669" s="42">
        <v>6.5</v>
      </c>
      <c r="N669" s="42">
        <v>0.46</v>
      </c>
      <c r="O669" s="42">
        <v>8.45E11</v>
      </c>
      <c r="P669" s="42">
        <v>1.66E11</v>
      </c>
      <c r="Q669" s="42">
        <v>-34.5</v>
      </c>
      <c r="R669" s="42">
        <v>-28.1</v>
      </c>
      <c r="S669" s="42">
        <v>-40.5</v>
      </c>
      <c r="T669" s="42">
        <v>-61.4</v>
      </c>
      <c r="U669" s="42">
        <v>25.1</v>
      </c>
      <c r="V669" s="42">
        <v>-13.4</v>
      </c>
      <c r="W669" s="42">
        <v>-34.5</v>
      </c>
    </row>
    <row r="670">
      <c r="A670" s="87">
        <v>669.0</v>
      </c>
      <c r="B670" s="85" t="s">
        <v>2315</v>
      </c>
      <c r="C670" s="85" t="s">
        <v>736</v>
      </c>
      <c r="D670" s="85" t="s">
        <v>1363</v>
      </c>
      <c r="E670" s="85" t="s">
        <v>1208</v>
      </c>
      <c r="F670" s="85" t="s">
        <v>1364</v>
      </c>
      <c r="G670" s="85" t="s">
        <v>1364</v>
      </c>
      <c r="H670" s="85" t="s">
        <v>1365</v>
      </c>
      <c r="I670" s="85" t="s">
        <v>1278</v>
      </c>
      <c r="J670" s="42">
        <v>-6.5</v>
      </c>
      <c r="K670" s="42">
        <v>2.3</v>
      </c>
      <c r="L670" s="42">
        <v>-35.7</v>
      </c>
      <c r="M670" s="42">
        <v>-30.6</v>
      </c>
      <c r="N670" s="42">
        <v>0.17</v>
      </c>
      <c r="O670" s="42">
        <v>3.34E11</v>
      </c>
      <c r="P670" s="42">
        <v>0.0</v>
      </c>
      <c r="Q670" s="42">
        <v>-32.6</v>
      </c>
      <c r="R670" s="42">
        <v>-46.7</v>
      </c>
      <c r="S670" s="42">
        <v>-60.6</v>
      </c>
      <c r="T670" s="42">
        <v>-19.1</v>
      </c>
      <c r="U670" s="42">
        <v>0.0</v>
      </c>
      <c r="V670" s="42">
        <v>-22.6</v>
      </c>
      <c r="W670" s="42">
        <v>-62.9</v>
      </c>
    </row>
    <row r="671">
      <c r="A671" s="87">
        <v>670.0</v>
      </c>
      <c r="B671" s="85" t="s">
        <v>2316</v>
      </c>
      <c r="C671" s="85" t="s">
        <v>737</v>
      </c>
      <c r="D671" s="85" t="s">
        <v>1799</v>
      </c>
      <c r="E671" s="85" t="s">
        <v>1570</v>
      </c>
      <c r="F671" s="85" t="s">
        <v>1800</v>
      </c>
      <c r="G671" s="85" t="s">
        <v>1801</v>
      </c>
      <c r="H671" s="85" t="s">
        <v>1801</v>
      </c>
      <c r="I671" s="85" t="s">
        <v>1685</v>
      </c>
      <c r="J671" s="42">
        <v>6.5</v>
      </c>
      <c r="K671" s="42">
        <v>0.54</v>
      </c>
      <c r="L671" s="42">
        <v>8.3</v>
      </c>
      <c r="M671" s="42">
        <v>2.5</v>
      </c>
      <c r="N671" s="42">
        <v>2.3</v>
      </c>
      <c r="O671" s="42">
        <v>2.3E11</v>
      </c>
      <c r="P671" s="42">
        <v>2.21E11</v>
      </c>
      <c r="Q671" s="42">
        <v>-44.3</v>
      </c>
      <c r="R671" s="42">
        <v>-21.3</v>
      </c>
      <c r="S671" s="42">
        <v>-34.4</v>
      </c>
      <c r="T671" s="42">
        <v>-29.1</v>
      </c>
      <c r="U671" s="42">
        <v>16.0</v>
      </c>
      <c r="V671" s="42">
        <v>-21.3</v>
      </c>
      <c r="W671" s="42">
        <v>-28.2</v>
      </c>
    </row>
    <row r="672">
      <c r="A672" s="87">
        <v>671.0</v>
      </c>
      <c r="B672" s="85" t="s">
        <v>2317</v>
      </c>
      <c r="C672" s="85" t="s">
        <v>738</v>
      </c>
      <c r="D672" s="85" t="s">
        <v>1799</v>
      </c>
      <c r="E672" s="85" t="s">
        <v>1570</v>
      </c>
      <c r="F672" s="85" t="s">
        <v>1800</v>
      </c>
      <c r="G672" s="85" t="s">
        <v>1801</v>
      </c>
      <c r="H672" s="85" t="s">
        <v>1801</v>
      </c>
      <c r="I672" s="85" t="s">
        <v>1651</v>
      </c>
      <c r="J672" s="42">
        <v>10.5</v>
      </c>
      <c r="K672" s="42">
        <v>1.6</v>
      </c>
      <c r="L672" s="42">
        <v>15.5</v>
      </c>
      <c r="M672" s="42">
        <v>4.1</v>
      </c>
      <c r="N672" s="42">
        <v>2.8</v>
      </c>
      <c r="O672" s="42">
        <v>5.9E11</v>
      </c>
      <c r="P672" s="42">
        <v>8.71E11</v>
      </c>
      <c r="Q672" s="42">
        <v>-30.0</v>
      </c>
      <c r="R672" s="42">
        <v>-43.8</v>
      </c>
      <c r="S672" s="42">
        <v>-45.6</v>
      </c>
      <c r="T672" s="42">
        <v>-15.7</v>
      </c>
      <c r="U672" s="42">
        <v>6.4</v>
      </c>
      <c r="V672" s="42">
        <v>-15.7</v>
      </c>
      <c r="W672" s="42">
        <v>-52.5</v>
      </c>
    </row>
    <row r="673">
      <c r="A673" s="87">
        <v>672.0</v>
      </c>
      <c r="B673" s="85" t="s">
        <v>2318</v>
      </c>
      <c r="C673" s="85" t="s">
        <v>739</v>
      </c>
      <c r="D673" s="85" t="s">
        <v>1294</v>
      </c>
      <c r="E673" s="85" t="s">
        <v>1187</v>
      </c>
      <c r="F673" s="85" t="s">
        <v>1188</v>
      </c>
      <c r="G673" s="85" t="s">
        <v>1295</v>
      </c>
      <c r="H673" s="85" t="s">
        <v>1296</v>
      </c>
      <c r="I673" s="85" t="s">
        <v>2319</v>
      </c>
      <c r="J673" s="42">
        <v>10.7</v>
      </c>
      <c r="K673" s="42">
        <v>0.7</v>
      </c>
      <c r="L673" s="42">
        <v>6.5</v>
      </c>
      <c r="M673" s="42">
        <v>3.9</v>
      </c>
      <c r="N673" s="42">
        <v>0.66</v>
      </c>
      <c r="O673" s="42">
        <v>4.42E13</v>
      </c>
      <c r="P673" s="42">
        <v>1.58E13</v>
      </c>
      <c r="Q673" s="42">
        <v>-25.1</v>
      </c>
      <c r="R673" s="42">
        <v>-32.2</v>
      </c>
      <c r="S673" s="42">
        <v>-24.0</v>
      </c>
      <c r="T673" s="42">
        <v>-24.3</v>
      </c>
      <c r="U673" s="42">
        <v>26.1</v>
      </c>
      <c r="V673" s="42">
        <v>-23.8</v>
      </c>
      <c r="W673" s="42">
        <v>-28.0</v>
      </c>
    </row>
    <row r="674">
      <c r="A674" s="87">
        <v>673.0</v>
      </c>
      <c r="B674" s="85" t="s">
        <v>2320</v>
      </c>
      <c r="C674" s="85" t="s">
        <v>740</v>
      </c>
      <c r="D674" s="85" t="s">
        <v>1387</v>
      </c>
      <c r="E674" s="85" t="s">
        <v>1230</v>
      </c>
      <c r="F674" s="85" t="s">
        <v>1388</v>
      </c>
      <c r="G674" s="85" t="s">
        <v>1389</v>
      </c>
      <c r="H674" s="85" t="s">
        <v>1389</v>
      </c>
      <c r="I674" s="85" t="s">
        <v>2321</v>
      </c>
      <c r="J674" s="42">
        <v>14.8</v>
      </c>
      <c r="K674" s="42">
        <v>1.1</v>
      </c>
      <c r="L674" s="42">
        <v>7.1</v>
      </c>
      <c r="M674" s="42">
        <v>4.9</v>
      </c>
      <c r="N674" s="42">
        <v>0.46</v>
      </c>
      <c r="O674" s="42">
        <v>3.75E13</v>
      </c>
      <c r="P674" s="42">
        <v>2.0E12</v>
      </c>
      <c r="Q674" s="42">
        <v>-22.1</v>
      </c>
      <c r="R674" s="42">
        <v>-20.5</v>
      </c>
      <c r="S674" s="42">
        <v>-35.1</v>
      </c>
      <c r="T674" s="42">
        <v>-41.9</v>
      </c>
      <c r="U674" s="42">
        <v>130.0</v>
      </c>
      <c r="V674" s="42">
        <v>-9.9</v>
      </c>
      <c r="W674" s="42">
        <v>-31.4</v>
      </c>
    </row>
    <row r="675">
      <c r="A675" s="87">
        <v>674.0</v>
      </c>
      <c r="B675" s="85" t="s">
        <v>2322</v>
      </c>
      <c r="C675" s="85" t="s">
        <v>741</v>
      </c>
      <c r="D675" s="85" t="s">
        <v>1439</v>
      </c>
      <c r="E675" s="85" t="s">
        <v>1376</v>
      </c>
      <c r="F675" s="85" t="s">
        <v>1377</v>
      </c>
      <c r="G675" s="85" t="s">
        <v>1440</v>
      </c>
      <c r="H675" s="85" t="s">
        <v>1440</v>
      </c>
      <c r="I675" s="90"/>
      <c r="J675" s="42">
        <v>-100.0</v>
      </c>
      <c r="K675" s="42">
        <v>-350.0</v>
      </c>
      <c r="L675" s="42">
        <v>0.0</v>
      </c>
      <c r="M675" s="42">
        <v>-22.4</v>
      </c>
      <c r="N675" s="42">
        <v>-16.2</v>
      </c>
      <c r="O675" s="42">
        <v>7.04E11</v>
      </c>
      <c r="P675" s="42">
        <v>2.8E10</v>
      </c>
      <c r="Q675" s="42">
        <v>-24.1</v>
      </c>
      <c r="R675" s="42">
        <v>9.8</v>
      </c>
      <c r="S675" s="42">
        <v>-42.0</v>
      </c>
      <c r="T675" s="42">
        <v>-32.8</v>
      </c>
      <c r="U675" s="42">
        <v>-24.3</v>
      </c>
      <c r="V675" s="42">
        <v>-24.1</v>
      </c>
      <c r="W675" s="42">
        <v>-39.1</v>
      </c>
    </row>
    <row r="676">
      <c r="A676" s="87">
        <v>675.0</v>
      </c>
      <c r="B676" s="85" t="s">
        <v>2323</v>
      </c>
      <c r="C676" s="85" t="s">
        <v>742</v>
      </c>
      <c r="D676" s="85" t="s">
        <v>1456</v>
      </c>
      <c r="E676" s="85" t="s">
        <v>1201</v>
      </c>
      <c r="F676" s="85" t="s">
        <v>1286</v>
      </c>
      <c r="G676" s="85" t="s">
        <v>1287</v>
      </c>
      <c r="H676" s="85" t="s">
        <v>1457</v>
      </c>
      <c r="I676" s="85" t="s">
        <v>1458</v>
      </c>
      <c r="J676" s="42">
        <v>-32.3</v>
      </c>
      <c r="K676" s="42">
        <v>6.8</v>
      </c>
      <c r="L676" s="42">
        <v>-21.0</v>
      </c>
      <c r="M676" s="42">
        <v>-7.6</v>
      </c>
      <c r="N676" s="42">
        <v>1.8</v>
      </c>
      <c r="O676" s="42">
        <v>8.5E10</v>
      </c>
      <c r="P676" s="42">
        <v>5.4E9</v>
      </c>
      <c r="Q676" s="42">
        <v>-25.9</v>
      </c>
      <c r="R676" s="42">
        <v>-21.0</v>
      </c>
      <c r="S676" s="42">
        <v>-53.9</v>
      </c>
      <c r="T676" s="42">
        <v>38.3</v>
      </c>
      <c r="U676" s="42">
        <v>-49.0</v>
      </c>
      <c r="V676" s="42">
        <v>-10.8</v>
      </c>
      <c r="W676" s="42">
        <v>-30.3</v>
      </c>
    </row>
    <row r="677">
      <c r="A677" s="87">
        <v>676.0</v>
      </c>
      <c r="B677" s="85" t="s">
        <v>2324</v>
      </c>
      <c r="C677" s="85" t="s">
        <v>743</v>
      </c>
      <c r="D677" s="85" t="s">
        <v>1193</v>
      </c>
      <c r="E677" s="85" t="s">
        <v>1194</v>
      </c>
      <c r="F677" s="85" t="s">
        <v>1195</v>
      </c>
      <c r="G677" s="85" t="s">
        <v>1196</v>
      </c>
      <c r="H677" s="85" t="s">
        <v>1197</v>
      </c>
      <c r="I677" s="85" t="s">
        <v>1269</v>
      </c>
      <c r="J677" s="42">
        <v>300.0</v>
      </c>
      <c r="K677" s="42">
        <v>22.1</v>
      </c>
      <c r="L677" s="42">
        <v>7.5</v>
      </c>
      <c r="M677" s="42">
        <v>5.8</v>
      </c>
      <c r="N677" s="42">
        <v>0.29</v>
      </c>
      <c r="O677" s="42">
        <v>4.32E13</v>
      </c>
      <c r="P677" s="42">
        <v>1.67E11</v>
      </c>
      <c r="Q677" s="42">
        <v>-32.0</v>
      </c>
      <c r="R677" s="42">
        <v>-26.6</v>
      </c>
      <c r="S677" s="42">
        <v>-47.5</v>
      </c>
      <c r="T677" s="42">
        <v>920.0</v>
      </c>
      <c r="U677" s="42">
        <v>87.9</v>
      </c>
      <c r="V677" s="42">
        <v>-21.6</v>
      </c>
      <c r="W677" s="42">
        <v>-42.5</v>
      </c>
    </row>
    <row r="678">
      <c r="A678" s="87">
        <v>677.0</v>
      </c>
      <c r="B678" s="85" t="s">
        <v>2325</v>
      </c>
      <c r="C678" s="85" t="s">
        <v>744</v>
      </c>
      <c r="D678" s="85" t="s">
        <v>1304</v>
      </c>
      <c r="E678" s="85" t="s">
        <v>1252</v>
      </c>
      <c r="F678" s="85" t="s">
        <v>1252</v>
      </c>
      <c r="G678" s="85" t="s">
        <v>1305</v>
      </c>
      <c r="H678" s="85" t="s">
        <v>1305</v>
      </c>
      <c r="I678" s="85" t="s">
        <v>1255</v>
      </c>
      <c r="J678" s="42">
        <v>19.6</v>
      </c>
      <c r="K678" s="42">
        <v>0.38</v>
      </c>
      <c r="L678" s="42">
        <v>2.0</v>
      </c>
      <c r="M678" s="42">
        <v>0.61</v>
      </c>
      <c r="N678" s="42">
        <v>2.2</v>
      </c>
      <c r="O678" s="42">
        <v>8.1E10</v>
      </c>
      <c r="P678" s="42">
        <v>1.36E11</v>
      </c>
      <c r="Q678" s="42">
        <v>-30.2</v>
      </c>
      <c r="R678" s="42">
        <v>-17.8</v>
      </c>
      <c r="S678" s="42">
        <v>-54.5</v>
      </c>
      <c r="T678" s="42">
        <v>-11.9</v>
      </c>
      <c r="U678" s="42">
        <v>3.0</v>
      </c>
      <c r="V678" s="42">
        <v>-22.9</v>
      </c>
      <c r="W678" s="42">
        <v>-47.6</v>
      </c>
    </row>
    <row r="679">
      <c r="A679" s="87">
        <v>678.0</v>
      </c>
      <c r="B679" s="85" t="s">
        <v>2326</v>
      </c>
      <c r="C679" s="85" t="s">
        <v>745</v>
      </c>
      <c r="D679" s="85" t="s">
        <v>1325</v>
      </c>
      <c r="E679" s="85" t="s">
        <v>1214</v>
      </c>
      <c r="F679" s="85" t="s">
        <v>1326</v>
      </c>
      <c r="G679" s="85" t="s">
        <v>1327</v>
      </c>
      <c r="H679" s="85" t="s">
        <v>1327</v>
      </c>
      <c r="I679" s="85" t="s">
        <v>1333</v>
      </c>
      <c r="J679" s="42">
        <v>110.0</v>
      </c>
      <c r="K679" s="42">
        <v>2.7</v>
      </c>
      <c r="L679" s="42">
        <v>2.5</v>
      </c>
      <c r="M679" s="42">
        <v>2.1</v>
      </c>
      <c r="N679" s="42">
        <v>0.16</v>
      </c>
      <c r="O679" s="42">
        <v>4.08E11</v>
      </c>
      <c r="P679" s="42">
        <v>2.6E10</v>
      </c>
      <c r="Q679" s="42">
        <v>-27.6</v>
      </c>
      <c r="R679" s="42">
        <v>-22.4</v>
      </c>
      <c r="S679" s="42">
        <v>-60.6</v>
      </c>
      <c r="T679" s="42">
        <v>44.8</v>
      </c>
      <c r="U679" s="42">
        <v>14.2</v>
      </c>
      <c r="V679" s="42">
        <v>-17.1</v>
      </c>
      <c r="W679" s="42">
        <v>-60.2</v>
      </c>
    </row>
    <row r="680">
      <c r="A680" s="87">
        <v>679.0</v>
      </c>
      <c r="B680" s="85" t="s">
        <v>2327</v>
      </c>
      <c r="C680" s="85" t="s">
        <v>746</v>
      </c>
      <c r="D680" s="85" t="s">
        <v>1559</v>
      </c>
      <c r="E680" s="85" t="s">
        <v>1201</v>
      </c>
      <c r="F680" s="85" t="s">
        <v>1286</v>
      </c>
      <c r="G680" s="85" t="s">
        <v>1287</v>
      </c>
      <c r="H680" s="85" t="s">
        <v>1560</v>
      </c>
      <c r="I680" s="85" t="s">
        <v>1458</v>
      </c>
      <c r="J680" s="42">
        <v>5.0</v>
      </c>
      <c r="K680" s="42">
        <v>0.42</v>
      </c>
      <c r="L680" s="42">
        <v>8.4</v>
      </c>
      <c r="M680" s="42">
        <v>4.3</v>
      </c>
      <c r="N680" s="42">
        <v>0.94</v>
      </c>
      <c r="O680" s="42">
        <v>7.68E11</v>
      </c>
      <c r="P680" s="42">
        <v>2.08E11</v>
      </c>
      <c r="Q680" s="42">
        <v>-15.9</v>
      </c>
      <c r="R680" s="42">
        <v>-18.4</v>
      </c>
      <c r="S680" s="42">
        <v>-33.0</v>
      </c>
      <c r="T680" s="42">
        <v>-14.9</v>
      </c>
      <c r="U680" s="42">
        <v>73.5</v>
      </c>
      <c r="V680" s="42">
        <v>-13.8</v>
      </c>
      <c r="W680" s="42">
        <v>-27.7</v>
      </c>
    </row>
    <row r="681">
      <c r="A681" s="87">
        <v>680.0</v>
      </c>
      <c r="B681" s="85" t="s">
        <v>2328</v>
      </c>
      <c r="C681" s="85" t="s">
        <v>747</v>
      </c>
      <c r="D681" s="85" t="s">
        <v>1299</v>
      </c>
      <c r="E681" s="85" t="s">
        <v>1300</v>
      </c>
      <c r="F681" s="85" t="s">
        <v>1301</v>
      </c>
      <c r="G681" s="85" t="s">
        <v>1301</v>
      </c>
      <c r="H681" s="85" t="s">
        <v>1301</v>
      </c>
      <c r="I681" s="85" t="s">
        <v>1302</v>
      </c>
      <c r="J681" s="42">
        <v>28.7</v>
      </c>
      <c r="K681" s="42">
        <v>1.1</v>
      </c>
      <c r="L681" s="42">
        <v>3.9</v>
      </c>
      <c r="M681" s="42">
        <v>0.0</v>
      </c>
      <c r="N681" s="42">
        <v>0.05</v>
      </c>
      <c r="O681" s="42">
        <v>3.67E11</v>
      </c>
      <c r="P681" s="42">
        <v>1.7E10</v>
      </c>
      <c r="Q681" s="42">
        <v>-38.6</v>
      </c>
      <c r="R681" s="42">
        <v>-35.7</v>
      </c>
      <c r="S681" s="42">
        <v>-78.0</v>
      </c>
      <c r="T681" s="88"/>
      <c r="U681" s="42">
        <v>74.4</v>
      </c>
      <c r="V681" s="42">
        <v>-27.8</v>
      </c>
      <c r="W681" s="42">
        <v>-56.5</v>
      </c>
    </row>
    <row r="682">
      <c r="A682" s="87">
        <v>681.0</v>
      </c>
      <c r="B682" s="85" t="s">
        <v>2329</v>
      </c>
      <c r="C682" s="85" t="s">
        <v>748</v>
      </c>
      <c r="D682" s="85" t="s">
        <v>1397</v>
      </c>
      <c r="E682" s="85" t="s">
        <v>1187</v>
      </c>
      <c r="F682" s="85" t="s">
        <v>1188</v>
      </c>
      <c r="G682" s="85" t="s">
        <v>1359</v>
      </c>
      <c r="H682" s="85" t="s">
        <v>1398</v>
      </c>
      <c r="I682" s="85" t="s">
        <v>1383</v>
      </c>
      <c r="J682" s="42">
        <v>63.5</v>
      </c>
      <c r="K682" s="42">
        <v>10.5</v>
      </c>
      <c r="L682" s="42">
        <v>16.5</v>
      </c>
      <c r="M682" s="42">
        <v>7.9</v>
      </c>
      <c r="N682" s="42">
        <v>1.1</v>
      </c>
      <c r="O682" s="42">
        <v>3.5E12</v>
      </c>
      <c r="P682" s="42">
        <v>1.97E11</v>
      </c>
      <c r="Q682" s="42">
        <v>-21.6</v>
      </c>
      <c r="R682" s="42">
        <v>39.1</v>
      </c>
      <c r="S682" s="42">
        <v>160.0</v>
      </c>
      <c r="T682" s="42">
        <v>240.0</v>
      </c>
      <c r="U682" s="42">
        <v>28.4</v>
      </c>
      <c r="V682" s="42">
        <v>-18.6</v>
      </c>
      <c r="W682" s="42">
        <v>67.2</v>
      </c>
    </row>
    <row r="683">
      <c r="A683" s="87">
        <v>682.0</v>
      </c>
      <c r="B683" s="85" t="s">
        <v>2330</v>
      </c>
      <c r="C683" s="85" t="s">
        <v>749</v>
      </c>
      <c r="D683" s="85" t="s">
        <v>1285</v>
      </c>
      <c r="E683" s="85" t="s">
        <v>1201</v>
      </c>
      <c r="F683" s="85" t="s">
        <v>1286</v>
      </c>
      <c r="G683" s="85" t="s">
        <v>1287</v>
      </c>
      <c r="H683" s="85" t="s">
        <v>1288</v>
      </c>
      <c r="I683" s="85" t="s">
        <v>1265</v>
      </c>
      <c r="J683" s="42">
        <v>-6.7</v>
      </c>
      <c r="K683" s="42">
        <v>0.67</v>
      </c>
      <c r="L683" s="42">
        <v>-9.9</v>
      </c>
      <c r="M683" s="42">
        <v>-6.7</v>
      </c>
      <c r="N683" s="42">
        <v>0.48</v>
      </c>
      <c r="O683" s="42">
        <v>3.6E10</v>
      </c>
      <c r="P683" s="42">
        <v>1.3E10</v>
      </c>
      <c r="Q683" s="42">
        <v>-37.5</v>
      </c>
      <c r="R683" s="42">
        <v>-52.4</v>
      </c>
      <c r="S683" s="42">
        <v>-38.8</v>
      </c>
      <c r="T683" s="42">
        <v>-36.2</v>
      </c>
      <c r="U683" s="42">
        <v>-42.1</v>
      </c>
      <c r="V683" s="42">
        <v>-18.9</v>
      </c>
      <c r="W683" s="42">
        <v>-34.8</v>
      </c>
    </row>
    <row r="684">
      <c r="A684" s="87">
        <v>683.0</v>
      </c>
      <c r="B684" s="85" t="s">
        <v>2331</v>
      </c>
      <c r="C684" s="85" t="s">
        <v>750</v>
      </c>
      <c r="D684" s="85" t="s">
        <v>1363</v>
      </c>
      <c r="E684" s="85" t="s">
        <v>1208</v>
      </c>
      <c r="F684" s="85" t="s">
        <v>1364</v>
      </c>
      <c r="G684" s="85" t="s">
        <v>1364</v>
      </c>
      <c r="H684" s="85" t="s">
        <v>1365</v>
      </c>
      <c r="I684" s="85" t="s">
        <v>1419</v>
      </c>
      <c r="J684" s="42">
        <v>0.0</v>
      </c>
      <c r="K684" s="42">
        <v>0.38</v>
      </c>
      <c r="L684" s="42">
        <v>-0.24</v>
      </c>
      <c r="M684" s="42">
        <v>-0.2</v>
      </c>
      <c r="N684" s="42">
        <v>0.2</v>
      </c>
      <c r="O684" s="42">
        <v>5.9E10</v>
      </c>
      <c r="P684" s="42">
        <v>1.98E9</v>
      </c>
      <c r="Q684" s="42">
        <v>0.0</v>
      </c>
      <c r="R684" s="42">
        <v>0.0</v>
      </c>
      <c r="S684" s="42">
        <v>0.0</v>
      </c>
      <c r="T684" s="42">
        <v>0.0</v>
      </c>
      <c r="U684" s="42">
        <v>-18.9</v>
      </c>
      <c r="V684" s="42">
        <v>0.0</v>
      </c>
      <c r="W684" s="42">
        <v>0.0</v>
      </c>
    </row>
    <row r="685">
      <c r="A685" s="87">
        <v>684.0</v>
      </c>
      <c r="B685" s="85" t="s">
        <v>2332</v>
      </c>
      <c r="C685" s="85" t="s">
        <v>751</v>
      </c>
      <c r="D685" s="85" t="s">
        <v>1234</v>
      </c>
      <c r="E685" s="85" t="s">
        <v>1235</v>
      </c>
      <c r="F685" s="85" t="s">
        <v>1235</v>
      </c>
      <c r="G685" s="85" t="s">
        <v>1236</v>
      </c>
      <c r="H685" s="85" t="s">
        <v>1237</v>
      </c>
      <c r="I685" s="85" t="s">
        <v>1797</v>
      </c>
      <c r="J685" s="42">
        <v>13.6</v>
      </c>
      <c r="K685" s="42">
        <v>0.77</v>
      </c>
      <c r="L685" s="42">
        <v>5.7</v>
      </c>
      <c r="M685" s="42">
        <v>5.0</v>
      </c>
      <c r="N685" s="42">
        <v>0.13</v>
      </c>
      <c r="O685" s="42">
        <v>8.9E12</v>
      </c>
      <c r="P685" s="42">
        <v>3.63E11</v>
      </c>
      <c r="Q685" s="42">
        <v>0.0</v>
      </c>
      <c r="R685" s="42">
        <v>0.0</v>
      </c>
      <c r="S685" s="42">
        <v>0.0</v>
      </c>
      <c r="T685" s="42">
        <v>0.0</v>
      </c>
      <c r="U685" s="42">
        <v>180.0</v>
      </c>
      <c r="V685" s="42">
        <v>0.0</v>
      </c>
      <c r="W685" s="42">
        <v>0.0</v>
      </c>
    </row>
    <row r="686">
      <c r="A686" s="87">
        <v>685.0</v>
      </c>
      <c r="B686" s="85" t="s">
        <v>2333</v>
      </c>
      <c r="C686" s="85" t="s">
        <v>752</v>
      </c>
      <c r="D686" s="85" t="s">
        <v>1414</v>
      </c>
      <c r="E686" s="85" t="s">
        <v>1201</v>
      </c>
      <c r="F686" s="85" t="s">
        <v>1219</v>
      </c>
      <c r="G686" s="85" t="s">
        <v>1220</v>
      </c>
      <c r="H686" s="85" t="s">
        <v>1415</v>
      </c>
      <c r="I686" s="85" t="s">
        <v>1381</v>
      </c>
      <c r="J686" s="42">
        <v>11.7</v>
      </c>
      <c r="K686" s="42">
        <v>0.47</v>
      </c>
      <c r="L686" s="42">
        <v>4.1</v>
      </c>
      <c r="M686" s="42">
        <v>1.6</v>
      </c>
      <c r="N686" s="42">
        <v>1.5</v>
      </c>
      <c r="O686" s="42">
        <v>1.6E12</v>
      </c>
      <c r="P686" s="42">
        <v>2.4E12</v>
      </c>
      <c r="Q686" s="42">
        <v>-24.0</v>
      </c>
      <c r="R686" s="42">
        <v>-10.9</v>
      </c>
      <c r="S686" s="42">
        <v>-14.8</v>
      </c>
      <c r="T686" s="42">
        <v>-14.0</v>
      </c>
      <c r="U686" s="42">
        <v>5.5</v>
      </c>
      <c r="V686" s="42">
        <v>-14.0</v>
      </c>
      <c r="W686" s="42">
        <v>-14.8</v>
      </c>
    </row>
    <row r="687">
      <c r="A687" s="87">
        <v>686.0</v>
      </c>
      <c r="B687" s="85" t="s">
        <v>2334</v>
      </c>
      <c r="C687" s="85" t="s">
        <v>753</v>
      </c>
      <c r="D687" s="85" t="s">
        <v>1282</v>
      </c>
      <c r="E687" s="85" t="s">
        <v>1194</v>
      </c>
      <c r="F687" s="85" t="s">
        <v>1195</v>
      </c>
      <c r="G687" s="85" t="s">
        <v>1283</v>
      </c>
      <c r="H687" s="85" t="s">
        <v>1283</v>
      </c>
      <c r="I687" s="85" t="s">
        <v>1318</v>
      </c>
      <c r="J687" s="42">
        <v>-0.05</v>
      </c>
      <c r="K687" s="42">
        <v>-0.1</v>
      </c>
      <c r="L687" s="42">
        <v>0.0</v>
      </c>
      <c r="M687" s="42">
        <v>-92.3</v>
      </c>
      <c r="N687" s="42">
        <v>-3.1</v>
      </c>
      <c r="O687" s="42">
        <v>1.29E11</v>
      </c>
      <c r="P687" s="42">
        <v>5.17E11</v>
      </c>
      <c r="Q687" s="42">
        <v>0.0</v>
      </c>
      <c r="R687" s="42">
        <v>0.0</v>
      </c>
      <c r="S687" s="42">
        <v>0.0</v>
      </c>
      <c r="T687" s="42">
        <v>-12.3</v>
      </c>
      <c r="U687" s="42">
        <v>-460.0</v>
      </c>
      <c r="V687" s="42">
        <v>0.0</v>
      </c>
      <c r="W687" s="42">
        <v>0.0</v>
      </c>
    </row>
    <row r="688">
      <c r="A688" s="87">
        <v>687.0</v>
      </c>
      <c r="B688" s="85" t="s">
        <v>2335</v>
      </c>
      <c r="C688" s="85" t="s">
        <v>754</v>
      </c>
      <c r="D688" s="85" t="s">
        <v>2204</v>
      </c>
      <c r="E688" s="85" t="s">
        <v>1201</v>
      </c>
      <c r="F688" s="85" t="s">
        <v>1219</v>
      </c>
      <c r="G688" s="85" t="s">
        <v>2205</v>
      </c>
      <c r="H688" s="85" t="s">
        <v>2205</v>
      </c>
      <c r="I688" s="85" t="s">
        <v>1458</v>
      </c>
      <c r="J688" s="42">
        <v>10.2</v>
      </c>
      <c r="K688" s="42">
        <v>0.9</v>
      </c>
      <c r="L688" s="42">
        <v>8.8</v>
      </c>
      <c r="M688" s="42">
        <v>6.7</v>
      </c>
      <c r="N688" s="42">
        <v>0.31</v>
      </c>
      <c r="O688" s="42">
        <v>4.18E11</v>
      </c>
      <c r="P688" s="42">
        <v>1.2E12</v>
      </c>
      <c r="Q688" s="42">
        <v>-42.3</v>
      </c>
      <c r="R688" s="42">
        <v>-36.8</v>
      </c>
      <c r="S688" s="42">
        <v>-60.5</v>
      </c>
      <c r="T688" s="88"/>
      <c r="U688" s="42">
        <v>3.5</v>
      </c>
      <c r="V688" s="42">
        <v>-11.8</v>
      </c>
      <c r="W688" s="42">
        <v>-64.5</v>
      </c>
    </row>
    <row r="689">
      <c r="A689" s="87">
        <v>688.0</v>
      </c>
      <c r="B689" s="85" t="s">
        <v>2336</v>
      </c>
      <c r="C689" s="85" t="s">
        <v>755</v>
      </c>
      <c r="D689" s="85" t="s">
        <v>1273</v>
      </c>
      <c r="E689" s="85" t="s">
        <v>1208</v>
      </c>
      <c r="F689" s="85" t="s">
        <v>1274</v>
      </c>
      <c r="G689" s="85" t="s">
        <v>1274</v>
      </c>
      <c r="H689" s="85" t="s">
        <v>1274</v>
      </c>
      <c r="I689" s="85" t="s">
        <v>2337</v>
      </c>
      <c r="J689" s="42">
        <v>8.4</v>
      </c>
      <c r="K689" s="42">
        <v>0.39</v>
      </c>
      <c r="L689" s="42">
        <v>4.7</v>
      </c>
      <c r="M689" s="42">
        <v>1.2</v>
      </c>
      <c r="N689" s="42">
        <v>2.6</v>
      </c>
      <c r="O689" s="42">
        <v>2.25E13</v>
      </c>
      <c r="P689" s="42">
        <v>3.9E12</v>
      </c>
      <c r="Q689" s="42">
        <v>-19.8</v>
      </c>
      <c r="R689" s="42">
        <v>-16.6</v>
      </c>
      <c r="S689" s="42">
        <v>-25.9</v>
      </c>
      <c r="T689" s="42">
        <v>-27.2</v>
      </c>
      <c r="U689" s="42">
        <v>70.4</v>
      </c>
      <c r="V689" s="42">
        <v>-10.8</v>
      </c>
      <c r="W689" s="42">
        <v>-27.2</v>
      </c>
    </row>
    <row r="690">
      <c r="A690" s="87">
        <v>689.0</v>
      </c>
      <c r="B690" s="85" t="s">
        <v>2338</v>
      </c>
      <c r="C690" s="85" t="s">
        <v>756</v>
      </c>
      <c r="D690" s="85" t="s">
        <v>1273</v>
      </c>
      <c r="E690" s="85" t="s">
        <v>1208</v>
      </c>
      <c r="F690" s="85" t="s">
        <v>1274</v>
      </c>
      <c r="G690" s="85" t="s">
        <v>1274</v>
      </c>
      <c r="H690" s="85" t="s">
        <v>1274</v>
      </c>
      <c r="I690" s="85" t="s">
        <v>2339</v>
      </c>
      <c r="J690" s="42">
        <v>34.0</v>
      </c>
      <c r="K690" s="42">
        <v>0.65</v>
      </c>
      <c r="L690" s="42">
        <v>1.9</v>
      </c>
      <c r="M690" s="42">
        <v>0.29</v>
      </c>
      <c r="N690" s="42">
        <v>0.39</v>
      </c>
      <c r="O690" s="42">
        <v>1.9E12</v>
      </c>
      <c r="P690" s="42">
        <v>1.44E11</v>
      </c>
      <c r="Q690" s="42">
        <v>-2.0</v>
      </c>
      <c r="R690" s="42">
        <v>0.0</v>
      </c>
      <c r="S690" s="42">
        <v>-9.1</v>
      </c>
      <c r="T690" s="42">
        <v>0.0</v>
      </c>
      <c r="U690" s="42">
        <v>39.7</v>
      </c>
      <c r="V690" s="42">
        <v>0.0</v>
      </c>
      <c r="W690" s="42">
        <v>-7.4</v>
      </c>
    </row>
    <row r="691">
      <c r="A691" s="87">
        <v>690.0</v>
      </c>
      <c r="B691" s="85" t="s">
        <v>2340</v>
      </c>
      <c r="C691" s="85" t="s">
        <v>757</v>
      </c>
      <c r="D691" s="85" t="s">
        <v>1193</v>
      </c>
      <c r="E691" s="85" t="s">
        <v>1194</v>
      </c>
      <c r="F691" s="85" t="s">
        <v>1195</v>
      </c>
      <c r="G691" s="85" t="s">
        <v>1196</v>
      </c>
      <c r="H691" s="85" t="s">
        <v>1197</v>
      </c>
      <c r="I691" s="85" t="s">
        <v>1243</v>
      </c>
      <c r="J691" s="42">
        <v>10.0</v>
      </c>
      <c r="K691" s="42">
        <v>2.4</v>
      </c>
      <c r="L691" s="42">
        <v>24.0</v>
      </c>
      <c r="M691" s="42">
        <v>16.2</v>
      </c>
      <c r="N691" s="42">
        <v>0.48</v>
      </c>
      <c r="O691" s="42">
        <v>2.7E12</v>
      </c>
      <c r="P691" s="42">
        <v>5.72E11</v>
      </c>
      <c r="Q691" s="42">
        <v>-4.0</v>
      </c>
      <c r="R691" s="42">
        <v>10.4</v>
      </c>
      <c r="S691" s="42">
        <v>10.0</v>
      </c>
      <c r="T691" s="42">
        <v>88.9</v>
      </c>
      <c r="U691" s="42">
        <v>47.9</v>
      </c>
      <c r="V691" s="42">
        <v>-1.7</v>
      </c>
      <c r="W691" s="42">
        <v>9.3</v>
      </c>
    </row>
    <row r="692">
      <c r="A692" s="87">
        <v>691.0</v>
      </c>
      <c r="B692" s="85" t="s">
        <v>2341</v>
      </c>
      <c r="C692" s="85" t="s">
        <v>758</v>
      </c>
      <c r="D692" s="85" t="s">
        <v>1207</v>
      </c>
      <c r="E692" s="85" t="s">
        <v>1208</v>
      </c>
      <c r="F692" s="85" t="s">
        <v>1209</v>
      </c>
      <c r="G692" s="85" t="s">
        <v>1209</v>
      </c>
      <c r="H692" s="85" t="s">
        <v>1210</v>
      </c>
      <c r="I692" s="85" t="s">
        <v>1320</v>
      </c>
      <c r="J692" s="42">
        <v>2.6</v>
      </c>
      <c r="K692" s="42">
        <v>0.04</v>
      </c>
      <c r="L692" s="42">
        <v>1.7</v>
      </c>
      <c r="M692" s="42">
        <v>0.5</v>
      </c>
      <c r="N692" s="42">
        <v>2.2</v>
      </c>
      <c r="O692" s="42">
        <v>3.1E12</v>
      </c>
      <c r="P692" s="42">
        <v>3.5E12</v>
      </c>
      <c r="Q692" s="42">
        <v>-19.3</v>
      </c>
      <c r="R692" s="42">
        <v>-15.0</v>
      </c>
      <c r="S692" s="42">
        <v>-21.2</v>
      </c>
      <c r="T692" s="42">
        <v>-34.7</v>
      </c>
      <c r="U692" s="42">
        <v>34.8</v>
      </c>
      <c r="V692" s="42">
        <v>-14.5</v>
      </c>
      <c r="W692" s="42">
        <v>-21.7</v>
      </c>
    </row>
    <row r="693">
      <c r="A693" s="87">
        <v>692.0</v>
      </c>
      <c r="B693" s="85" t="s">
        <v>2342</v>
      </c>
      <c r="C693" s="85" t="s">
        <v>759</v>
      </c>
      <c r="D693" s="85" t="s">
        <v>1525</v>
      </c>
      <c r="E693" s="85" t="s">
        <v>1208</v>
      </c>
      <c r="F693" s="85" t="s">
        <v>1209</v>
      </c>
      <c r="G693" s="85" t="s">
        <v>1209</v>
      </c>
      <c r="H693" s="85" t="s">
        <v>1526</v>
      </c>
      <c r="I693" s="85" t="s">
        <v>2343</v>
      </c>
      <c r="J693" s="42">
        <v>3.6</v>
      </c>
      <c r="K693" s="42">
        <v>0.11</v>
      </c>
      <c r="L693" s="42">
        <v>3.1</v>
      </c>
      <c r="M693" s="42">
        <v>0.88</v>
      </c>
      <c r="N693" s="42">
        <v>2.3</v>
      </c>
      <c r="O693" s="42">
        <v>7.6E12</v>
      </c>
      <c r="P693" s="42">
        <v>3.4E12</v>
      </c>
      <c r="Q693" s="42">
        <v>-29.3</v>
      </c>
      <c r="R693" s="42">
        <v>-16.7</v>
      </c>
      <c r="S693" s="42">
        <v>-26.7</v>
      </c>
      <c r="T693" s="42">
        <v>-30.4</v>
      </c>
      <c r="U693" s="42">
        <v>62.6</v>
      </c>
      <c r="V693" s="42">
        <v>-19.4</v>
      </c>
      <c r="W693" s="42">
        <v>-29.9</v>
      </c>
    </row>
    <row r="694">
      <c r="A694" s="87">
        <v>693.0</v>
      </c>
      <c r="B694" s="85" t="s">
        <v>2344</v>
      </c>
      <c r="C694" s="85" t="s">
        <v>760</v>
      </c>
      <c r="D694" s="85" t="s">
        <v>1285</v>
      </c>
      <c r="E694" s="85" t="s">
        <v>1201</v>
      </c>
      <c r="F694" s="85" t="s">
        <v>1286</v>
      </c>
      <c r="G694" s="85" t="s">
        <v>1287</v>
      </c>
      <c r="H694" s="85" t="s">
        <v>1288</v>
      </c>
      <c r="I694" s="85" t="s">
        <v>1458</v>
      </c>
      <c r="J694" s="42">
        <v>-32.6</v>
      </c>
      <c r="K694" s="42">
        <v>2.3</v>
      </c>
      <c r="L694" s="42">
        <v>-6.9</v>
      </c>
      <c r="M694" s="42">
        <v>-3.3</v>
      </c>
      <c r="N694" s="42">
        <v>1.1</v>
      </c>
      <c r="O694" s="42">
        <v>4.11E11</v>
      </c>
      <c r="P694" s="42">
        <v>4.2E10</v>
      </c>
      <c r="Q694" s="42">
        <v>-16.7</v>
      </c>
      <c r="R694" s="42">
        <v>-29.1</v>
      </c>
      <c r="S694" s="42">
        <v>-34.6</v>
      </c>
      <c r="T694" s="42">
        <v>2.9</v>
      </c>
      <c r="U694" s="42">
        <v>-30.3</v>
      </c>
      <c r="V694" s="42">
        <v>-9.1</v>
      </c>
      <c r="W694" s="42">
        <v>-32.0</v>
      </c>
    </row>
    <row r="695">
      <c r="A695" s="87">
        <v>694.0</v>
      </c>
      <c r="B695" s="85" t="s">
        <v>2345</v>
      </c>
      <c r="C695" s="85" t="s">
        <v>761</v>
      </c>
      <c r="D695" s="85" t="s">
        <v>1247</v>
      </c>
      <c r="E695" s="85" t="s">
        <v>1208</v>
      </c>
      <c r="F695" s="85" t="s">
        <v>1248</v>
      </c>
      <c r="G695" s="85" t="s">
        <v>1249</v>
      </c>
      <c r="H695" s="85" t="s">
        <v>1249</v>
      </c>
      <c r="I695" s="85" t="s">
        <v>1278</v>
      </c>
      <c r="J695" s="42">
        <v>69.2</v>
      </c>
      <c r="K695" s="42">
        <v>0.92</v>
      </c>
      <c r="L695" s="42">
        <v>1.3</v>
      </c>
      <c r="M695" s="42">
        <v>1.3</v>
      </c>
      <c r="N695" s="42">
        <v>0.04</v>
      </c>
      <c r="O695" s="42">
        <v>2.04E11</v>
      </c>
      <c r="P695" s="42">
        <v>3.57E9</v>
      </c>
      <c r="Q695" s="42">
        <v>-34.2</v>
      </c>
      <c r="R695" s="42">
        <v>-41.2</v>
      </c>
      <c r="S695" s="42">
        <v>-13.8</v>
      </c>
      <c r="T695" s="42">
        <v>190.0</v>
      </c>
      <c r="U695" s="42">
        <v>82.7</v>
      </c>
      <c r="V695" s="42">
        <v>-16.7</v>
      </c>
      <c r="W695" s="42">
        <v>0.0</v>
      </c>
    </row>
    <row r="696">
      <c r="A696" s="87">
        <v>695.0</v>
      </c>
      <c r="B696" s="85" t="s">
        <v>2346</v>
      </c>
      <c r="C696" s="85" t="s">
        <v>762</v>
      </c>
      <c r="D696" s="85" t="s">
        <v>1234</v>
      </c>
      <c r="E696" s="85" t="s">
        <v>1235</v>
      </c>
      <c r="F696" s="85" t="s">
        <v>1235</v>
      </c>
      <c r="G696" s="85" t="s">
        <v>1236</v>
      </c>
      <c r="H696" s="85" t="s">
        <v>1237</v>
      </c>
      <c r="I696" s="85" t="s">
        <v>1238</v>
      </c>
      <c r="J696" s="42">
        <v>26.3</v>
      </c>
      <c r="K696" s="42">
        <v>0.84</v>
      </c>
      <c r="L696" s="42">
        <v>3.2</v>
      </c>
      <c r="M696" s="42">
        <v>1.6</v>
      </c>
      <c r="N696" s="42">
        <v>0.98</v>
      </c>
      <c r="O696" s="42">
        <v>1.8E12</v>
      </c>
      <c r="P696" s="42">
        <v>1.13E11</v>
      </c>
      <c r="Q696" s="42">
        <v>-32.1</v>
      </c>
      <c r="R696" s="42">
        <v>-14.1</v>
      </c>
      <c r="S696" s="42">
        <v>-4.8</v>
      </c>
      <c r="T696" s="42">
        <v>6.0</v>
      </c>
      <c r="U696" s="42">
        <v>59.7</v>
      </c>
      <c r="V696" s="42">
        <v>-8.6</v>
      </c>
      <c r="W696" s="42">
        <v>-3.6</v>
      </c>
    </row>
    <row r="697">
      <c r="A697" s="87">
        <v>696.0</v>
      </c>
      <c r="B697" s="85" t="s">
        <v>2347</v>
      </c>
      <c r="C697" s="85" t="s">
        <v>763</v>
      </c>
      <c r="D697" s="85" t="s">
        <v>1234</v>
      </c>
      <c r="E697" s="85" t="s">
        <v>1235</v>
      </c>
      <c r="F697" s="85" t="s">
        <v>1235</v>
      </c>
      <c r="G697" s="85" t="s">
        <v>1236</v>
      </c>
      <c r="H697" s="85" t="s">
        <v>1237</v>
      </c>
      <c r="I697" s="85" t="s">
        <v>1392</v>
      </c>
      <c r="J697" s="42">
        <v>20.9</v>
      </c>
      <c r="K697" s="42">
        <v>0.49</v>
      </c>
      <c r="L697" s="42">
        <v>2.3</v>
      </c>
      <c r="M697" s="42">
        <v>0.92</v>
      </c>
      <c r="N697" s="42">
        <v>0.32</v>
      </c>
      <c r="O697" s="42">
        <v>9.32E11</v>
      </c>
      <c r="P697" s="42">
        <v>2.15E11</v>
      </c>
      <c r="Q697" s="42">
        <v>0.0</v>
      </c>
      <c r="R697" s="42">
        <v>0.0</v>
      </c>
      <c r="S697" s="42">
        <v>0.0</v>
      </c>
      <c r="T697" s="42">
        <v>0.0</v>
      </c>
      <c r="U697" s="42">
        <v>20.7</v>
      </c>
      <c r="V697" s="42">
        <v>0.0</v>
      </c>
      <c r="W697" s="42">
        <v>0.0</v>
      </c>
    </row>
    <row r="698">
      <c r="A698" s="87">
        <v>697.0</v>
      </c>
      <c r="B698" s="85" t="s">
        <v>2348</v>
      </c>
      <c r="C698" s="85" t="s">
        <v>764</v>
      </c>
      <c r="D698" s="85" t="s">
        <v>1834</v>
      </c>
      <c r="E698" s="85" t="s">
        <v>1201</v>
      </c>
      <c r="F698" s="85" t="s">
        <v>1225</v>
      </c>
      <c r="G698" s="85" t="s">
        <v>1225</v>
      </c>
      <c r="H698" s="85" t="s">
        <v>1835</v>
      </c>
      <c r="I698" s="85" t="s">
        <v>1381</v>
      </c>
      <c r="J698" s="42">
        <v>-220.0</v>
      </c>
      <c r="K698" s="42">
        <v>67.0</v>
      </c>
      <c r="L698" s="42">
        <v>-30.1</v>
      </c>
      <c r="M698" s="42">
        <v>-8.9</v>
      </c>
      <c r="N698" s="42">
        <v>1.1</v>
      </c>
      <c r="O698" s="42">
        <v>7.9E12</v>
      </c>
      <c r="P698" s="42">
        <v>1.56E11</v>
      </c>
      <c r="Q698" s="42">
        <v>-37.5</v>
      </c>
      <c r="R698" s="42">
        <v>-40.0</v>
      </c>
      <c r="S698" s="42">
        <v>-65.8</v>
      </c>
      <c r="T698" s="42">
        <v>-0.283</v>
      </c>
      <c r="U698" s="42">
        <v>-22.6</v>
      </c>
      <c r="V698" s="42">
        <v>-16.6</v>
      </c>
      <c r="W698" s="42">
        <v>-59.9</v>
      </c>
    </row>
    <row r="699">
      <c r="A699" s="87">
        <v>698.0</v>
      </c>
      <c r="B699" s="85" t="s">
        <v>2349</v>
      </c>
      <c r="C699" s="85" t="s">
        <v>765</v>
      </c>
      <c r="D699" s="85" t="s">
        <v>1224</v>
      </c>
      <c r="E699" s="85" t="s">
        <v>1201</v>
      </c>
      <c r="F699" s="85" t="s">
        <v>1225</v>
      </c>
      <c r="G699" s="85" t="s">
        <v>1225</v>
      </c>
      <c r="H699" s="85" t="s">
        <v>1226</v>
      </c>
      <c r="I699" s="85" t="s">
        <v>1205</v>
      </c>
      <c r="J699" s="42">
        <v>-0.23</v>
      </c>
      <c r="K699" s="42">
        <v>0.0</v>
      </c>
      <c r="L699" s="42">
        <v>0.0</v>
      </c>
      <c r="M699" s="42">
        <v>-26.0</v>
      </c>
      <c r="N699" s="42">
        <v>-1.1</v>
      </c>
      <c r="O699" s="42">
        <v>8.0E10</v>
      </c>
      <c r="P699" s="42">
        <v>1.76E11</v>
      </c>
      <c r="Q699" s="42">
        <v>0.0</v>
      </c>
      <c r="R699" s="42">
        <v>-11.1</v>
      </c>
      <c r="S699" s="42">
        <v>6.7</v>
      </c>
      <c r="T699" s="42">
        <v>45.5</v>
      </c>
      <c r="U699" s="42">
        <v>-200.0</v>
      </c>
      <c r="V699" s="42">
        <v>0.0</v>
      </c>
      <c r="W699" s="42">
        <v>14.3</v>
      </c>
    </row>
    <row r="700">
      <c r="A700" s="87">
        <v>699.0</v>
      </c>
      <c r="B700" s="85" t="s">
        <v>2350</v>
      </c>
      <c r="C700" s="85" t="s">
        <v>766</v>
      </c>
      <c r="D700" s="85" t="s">
        <v>1363</v>
      </c>
      <c r="E700" s="85" t="s">
        <v>1208</v>
      </c>
      <c r="F700" s="85" t="s">
        <v>1364</v>
      </c>
      <c r="G700" s="85" t="s">
        <v>1364</v>
      </c>
      <c r="H700" s="85" t="s">
        <v>1365</v>
      </c>
      <c r="I700" s="85" t="s">
        <v>1419</v>
      </c>
      <c r="J700" s="42">
        <v>0.0</v>
      </c>
      <c r="K700" s="42">
        <v>0.28</v>
      </c>
      <c r="L700" s="42">
        <v>-8.4</v>
      </c>
      <c r="M700" s="42">
        <v>-8.2</v>
      </c>
      <c r="N700" s="42">
        <v>0.03</v>
      </c>
      <c r="O700" s="42">
        <v>1.17E11</v>
      </c>
      <c r="P700" s="42">
        <v>1.2E10</v>
      </c>
      <c r="Q700" s="42">
        <v>0.0</v>
      </c>
      <c r="R700" s="42">
        <v>0.0</v>
      </c>
      <c r="S700" s="42">
        <v>0.0</v>
      </c>
      <c r="T700" s="42">
        <v>0.0</v>
      </c>
      <c r="U700" s="42">
        <v>-290.0</v>
      </c>
      <c r="V700" s="42">
        <v>0.0</v>
      </c>
      <c r="W700" s="42">
        <v>0.0</v>
      </c>
    </row>
    <row r="701">
      <c r="A701" s="87">
        <v>700.0</v>
      </c>
      <c r="B701" s="85" t="s">
        <v>2351</v>
      </c>
      <c r="C701" s="85" t="s">
        <v>767</v>
      </c>
      <c r="D701" s="85" t="s">
        <v>2018</v>
      </c>
      <c r="E701" s="85" t="s">
        <v>1230</v>
      </c>
      <c r="F701" s="85" t="s">
        <v>1658</v>
      </c>
      <c r="G701" s="85" t="s">
        <v>1659</v>
      </c>
      <c r="H701" s="85" t="s">
        <v>2019</v>
      </c>
      <c r="I701" s="85" t="s">
        <v>1661</v>
      </c>
      <c r="J701" s="42">
        <v>21.5</v>
      </c>
      <c r="K701" s="42">
        <v>2.1</v>
      </c>
      <c r="L701" s="42">
        <v>9.7</v>
      </c>
      <c r="M701" s="42">
        <v>5.3</v>
      </c>
      <c r="N701" s="42">
        <v>0.85</v>
      </c>
      <c r="O701" s="42">
        <v>2.6E12</v>
      </c>
      <c r="P701" s="42">
        <v>2.67E11</v>
      </c>
      <c r="Q701" s="42">
        <v>-10.6</v>
      </c>
      <c r="R701" s="42">
        <v>0.0</v>
      </c>
      <c r="S701" s="42">
        <v>-16.9</v>
      </c>
      <c r="T701" s="42">
        <v>4.1</v>
      </c>
      <c r="U701" s="42">
        <v>45.6</v>
      </c>
      <c r="V701" s="42">
        <v>-0.562</v>
      </c>
      <c r="W701" s="42">
        <v>-30.6</v>
      </c>
    </row>
    <row r="702">
      <c r="A702" s="87">
        <v>701.0</v>
      </c>
      <c r="B702" s="85" t="s">
        <v>2352</v>
      </c>
      <c r="C702" s="85" t="s">
        <v>768</v>
      </c>
      <c r="D702" s="85" t="s">
        <v>1234</v>
      </c>
      <c r="E702" s="85" t="s">
        <v>1235</v>
      </c>
      <c r="F702" s="85" t="s">
        <v>1235</v>
      </c>
      <c r="G702" s="85" t="s">
        <v>1236</v>
      </c>
      <c r="H702" s="85" t="s">
        <v>1237</v>
      </c>
      <c r="I702" s="85" t="s">
        <v>1392</v>
      </c>
      <c r="J702" s="42">
        <v>-3.5</v>
      </c>
      <c r="K702" s="42">
        <v>-0.77</v>
      </c>
      <c r="L702" s="42">
        <v>0.0</v>
      </c>
      <c r="M702" s="42">
        <v>-17.2</v>
      </c>
      <c r="N702" s="42">
        <v>-2.3</v>
      </c>
      <c r="O702" s="42">
        <v>4.19E11</v>
      </c>
      <c r="P702" s="42">
        <v>1.3E10</v>
      </c>
      <c r="Q702" s="42">
        <v>0.0</v>
      </c>
      <c r="R702" s="42">
        <v>0.0</v>
      </c>
      <c r="S702" s="42">
        <v>0.0</v>
      </c>
      <c r="T702" s="42">
        <v>0.0</v>
      </c>
      <c r="U702" s="42">
        <v>-930.0</v>
      </c>
      <c r="V702" s="42">
        <v>0.0</v>
      </c>
      <c r="W702" s="42">
        <v>0.0</v>
      </c>
    </row>
    <row r="703">
      <c r="A703" s="87">
        <v>702.0</v>
      </c>
      <c r="B703" s="85" t="s">
        <v>2353</v>
      </c>
      <c r="C703" s="85" t="s">
        <v>769</v>
      </c>
      <c r="D703" s="85" t="s">
        <v>1387</v>
      </c>
      <c r="E703" s="85" t="s">
        <v>1230</v>
      </c>
      <c r="F703" s="85" t="s">
        <v>1388</v>
      </c>
      <c r="G703" s="85" t="s">
        <v>1389</v>
      </c>
      <c r="H703" s="85" t="s">
        <v>1389</v>
      </c>
      <c r="I703" s="85" t="s">
        <v>2354</v>
      </c>
      <c r="J703" s="42">
        <v>9.3</v>
      </c>
      <c r="K703" s="42">
        <v>0.92</v>
      </c>
      <c r="L703" s="42">
        <v>9.9</v>
      </c>
      <c r="M703" s="42">
        <v>6.0</v>
      </c>
      <c r="N703" s="42">
        <v>0.64</v>
      </c>
      <c r="O703" s="42">
        <v>1.14E13</v>
      </c>
      <c r="P703" s="42">
        <v>2.2E12</v>
      </c>
      <c r="Q703" s="42">
        <v>-10.0</v>
      </c>
      <c r="R703" s="42">
        <v>-6.3</v>
      </c>
      <c r="S703" s="42">
        <v>-3.6</v>
      </c>
      <c r="T703" s="42">
        <v>-1.5</v>
      </c>
      <c r="U703" s="42">
        <v>56.3</v>
      </c>
      <c r="V703" s="42">
        <v>-3.6</v>
      </c>
      <c r="W703" s="42">
        <v>-4.3</v>
      </c>
    </row>
    <row r="704">
      <c r="A704" s="87">
        <v>703.0</v>
      </c>
      <c r="B704" s="85" t="s">
        <v>2355</v>
      </c>
      <c r="C704" s="85" t="s">
        <v>770</v>
      </c>
      <c r="D704" s="85" t="s">
        <v>1299</v>
      </c>
      <c r="E704" s="85" t="s">
        <v>1300</v>
      </c>
      <c r="F704" s="85" t="s">
        <v>1301</v>
      </c>
      <c r="G704" s="85" t="s">
        <v>1301</v>
      </c>
      <c r="H704" s="85" t="s">
        <v>1301</v>
      </c>
      <c r="I704" s="85" t="s">
        <v>1265</v>
      </c>
      <c r="J704" s="42">
        <v>27.1</v>
      </c>
      <c r="K704" s="42">
        <v>1.3</v>
      </c>
      <c r="L704" s="42">
        <v>4.9</v>
      </c>
      <c r="M704" s="42">
        <v>1.7</v>
      </c>
      <c r="N704" s="42">
        <v>1.9</v>
      </c>
      <c r="O704" s="42">
        <v>1.93E11</v>
      </c>
      <c r="P704" s="42">
        <v>1.75E11</v>
      </c>
      <c r="Q704" s="42">
        <v>-27.2</v>
      </c>
      <c r="R704" s="42">
        <v>-23.1</v>
      </c>
      <c r="S704" s="42">
        <v>15.4</v>
      </c>
      <c r="T704" s="42">
        <v>48.5</v>
      </c>
      <c r="U704" s="42">
        <v>4.1</v>
      </c>
      <c r="V704" s="42">
        <v>-33.6</v>
      </c>
      <c r="W704" s="42">
        <v>-20.6</v>
      </c>
    </row>
    <row r="705">
      <c r="A705" s="87">
        <v>704.0</v>
      </c>
      <c r="B705" s="85" t="s">
        <v>2356</v>
      </c>
      <c r="C705" s="85" t="s">
        <v>771</v>
      </c>
      <c r="D705" s="85" t="s">
        <v>1229</v>
      </c>
      <c r="E705" s="85" t="s">
        <v>1230</v>
      </c>
      <c r="F705" s="85" t="s">
        <v>1231</v>
      </c>
      <c r="G705" s="85" t="s">
        <v>1231</v>
      </c>
      <c r="H705" s="85" t="s">
        <v>1231</v>
      </c>
      <c r="I705" s="85" t="s">
        <v>1417</v>
      </c>
      <c r="J705" s="42">
        <v>-0.7</v>
      </c>
      <c r="K705" s="42">
        <v>0.48</v>
      </c>
      <c r="L705" s="42">
        <v>-69.3</v>
      </c>
      <c r="M705" s="42">
        <v>-22.5</v>
      </c>
      <c r="N705" s="42">
        <v>2.1</v>
      </c>
      <c r="O705" s="42">
        <v>1.0E12</v>
      </c>
      <c r="P705" s="42">
        <v>1.2E12</v>
      </c>
      <c r="Q705" s="42">
        <v>-44.0</v>
      </c>
      <c r="R705" s="42">
        <v>-60.9</v>
      </c>
      <c r="S705" s="42">
        <v>-41.7</v>
      </c>
      <c r="T705" s="42">
        <v>18.6</v>
      </c>
      <c r="U705" s="42">
        <v>-130.0</v>
      </c>
      <c r="V705" s="42">
        <v>-31.4</v>
      </c>
      <c r="W705" s="42">
        <v>-59.5</v>
      </c>
    </row>
    <row r="706">
      <c r="A706" s="87">
        <v>705.0</v>
      </c>
      <c r="B706" s="85" t="s">
        <v>2357</v>
      </c>
      <c r="C706" s="85" t="s">
        <v>772</v>
      </c>
      <c r="D706" s="85" t="s">
        <v>1304</v>
      </c>
      <c r="E706" s="85" t="s">
        <v>1252</v>
      </c>
      <c r="F706" s="85" t="s">
        <v>1252</v>
      </c>
      <c r="G706" s="85" t="s">
        <v>1305</v>
      </c>
      <c r="H706" s="85" t="s">
        <v>1305</v>
      </c>
      <c r="I706" s="85" t="s">
        <v>1255</v>
      </c>
      <c r="J706" s="42">
        <v>69.0</v>
      </c>
      <c r="K706" s="42">
        <v>1.6</v>
      </c>
      <c r="L706" s="42">
        <v>2.4</v>
      </c>
      <c r="M706" s="42">
        <v>1.9</v>
      </c>
      <c r="N706" s="42">
        <v>0.27</v>
      </c>
      <c r="O706" s="42">
        <v>1.6E11</v>
      </c>
      <c r="P706" s="42">
        <v>3.3E10</v>
      </c>
      <c r="Q706" s="42">
        <v>-36.7</v>
      </c>
      <c r="R706" s="42">
        <v>-39.0</v>
      </c>
      <c r="S706" s="42">
        <v>-64.4</v>
      </c>
      <c r="T706" s="42">
        <v>-43.6</v>
      </c>
      <c r="U706" s="42">
        <v>7.1</v>
      </c>
      <c r="V706" s="42">
        <v>-19.7</v>
      </c>
      <c r="W706" s="42">
        <v>-64.2</v>
      </c>
    </row>
    <row r="707">
      <c r="A707" s="87">
        <v>706.0</v>
      </c>
      <c r="B707" s="85" t="s">
        <v>2358</v>
      </c>
      <c r="C707" s="85" t="s">
        <v>773</v>
      </c>
      <c r="D707" s="85" t="s">
        <v>1234</v>
      </c>
      <c r="E707" s="85" t="s">
        <v>1235</v>
      </c>
      <c r="F707" s="85" t="s">
        <v>1235</v>
      </c>
      <c r="G707" s="85" t="s">
        <v>1236</v>
      </c>
      <c r="H707" s="85" t="s">
        <v>1237</v>
      </c>
      <c r="I707" s="85" t="s">
        <v>1797</v>
      </c>
      <c r="J707" s="42">
        <v>-0.18</v>
      </c>
      <c r="K707" s="42">
        <v>0.15</v>
      </c>
      <c r="L707" s="42">
        <v>-83.3</v>
      </c>
      <c r="M707" s="42">
        <v>-47.8</v>
      </c>
      <c r="N707" s="42">
        <v>0.74</v>
      </c>
      <c r="O707" s="42">
        <v>9.25E11</v>
      </c>
      <c r="P707" s="42">
        <v>7.9E10</v>
      </c>
      <c r="Q707" s="42">
        <v>-35.0</v>
      </c>
      <c r="R707" s="42">
        <v>-61.8</v>
      </c>
      <c r="S707" s="42">
        <v>-38.1</v>
      </c>
      <c r="T707" s="42">
        <v>-38.1</v>
      </c>
      <c r="U707" s="42">
        <v>-6420.0</v>
      </c>
      <c r="V707" s="42">
        <v>-13.3</v>
      </c>
      <c r="W707" s="42">
        <v>-38.1</v>
      </c>
    </row>
    <row r="708">
      <c r="A708" s="87">
        <v>707.0</v>
      </c>
      <c r="B708" s="85" t="s">
        <v>2359</v>
      </c>
      <c r="C708" s="85" t="s">
        <v>774</v>
      </c>
      <c r="D708" s="85" t="s">
        <v>1569</v>
      </c>
      <c r="E708" s="85" t="s">
        <v>1570</v>
      </c>
      <c r="F708" s="85" t="s">
        <v>1571</v>
      </c>
      <c r="G708" s="85" t="s">
        <v>1572</v>
      </c>
      <c r="H708" s="85" t="s">
        <v>1572</v>
      </c>
      <c r="I708" s="85" t="s">
        <v>1573</v>
      </c>
      <c r="J708" s="42">
        <v>52.6</v>
      </c>
      <c r="K708" s="42">
        <v>2.9</v>
      </c>
      <c r="L708" s="42">
        <v>5.5</v>
      </c>
      <c r="M708" s="42">
        <v>3.1</v>
      </c>
      <c r="N708" s="42">
        <v>0.77</v>
      </c>
      <c r="O708" s="42">
        <v>1.01E13</v>
      </c>
      <c r="P708" s="42">
        <v>6.87E11</v>
      </c>
      <c r="Q708" s="42">
        <v>-17.6</v>
      </c>
      <c r="R708" s="42">
        <v>-17.6</v>
      </c>
      <c r="S708" s="42">
        <v>-31.5</v>
      </c>
      <c r="T708" s="42">
        <v>-0.813</v>
      </c>
      <c r="U708" s="42">
        <v>27.9</v>
      </c>
      <c r="V708" s="42">
        <v>-13.5</v>
      </c>
      <c r="W708" s="42">
        <v>-30.7</v>
      </c>
    </row>
    <row r="709">
      <c r="A709" s="87">
        <v>708.0</v>
      </c>
      <c r="B709" s="85" t="s">
        <v>2360</v>
      </c>
      <c r="C709" s="85" t="s">
        <v>775</v>
      </c>
      <c r="D709" s="85" t="s">
        <v>1569</v>
      </c>
      <c r="E709" s="85" t="s">
        <v>1570</v>
      </c>
      <c r="F709" s="85" t="s">
        <v>1571</v>
      </c>
      <c r="G709" s="85" t="s">
        <v>1572</v>
      </c>
      <c r="H709" s="85" t="s">
        <v>1572</v>
      </c>
      <c r="I709" s="85" t="s">
        <v>1573</v>
      </c>
      <c r="J709" s="42">
        <v>10.9</v>
      </c>
      <c r="K709" s="42">
        <v>0.98</v>
      </c>
      <c r="L709" s="42">
        <v>9.0</v>
      </c>
      <c r="M709" s="42">
        <v>8.1</v>
      </c>
      <c r="N709" s="42">
        <v>0.11</v>
      </c>
      <c r="O709" s="42">
        <v>2.4E12</v>
      </c>
      <c r="P709" s="42">
        <v>5.01E11</v>
      </c>
      <c r="Q709" s="42">
        <v>-10.8</v>
      </c>
      <c r="R709" s="42">
        <v>-4.1</v>
      </c>
      <c r="S709" s="42">
        <v>-2.1</v>
      </c>
      <c r="T709" s="42">
        <v>-18.0</v>
      </c>
      <c r="U709" s="42">
        <v>43.3</v>
      </c>
      <c r="V709" s="42">
        <v>-18.6</v>
      </c>
      <c r="W709" s="42">
        <v>0.433</v>
      </c>
    </row>
    <row r="710">
      <c r="A710" s="87">
        <v>709.0</v>
      </c>
      <c r="B710" s="85" t="s">
        <v>2361</v>
      </c>
      <c r="C710" s="85" t="s">
        <v>776</v>
      </c>
      <c r="D710" s="85" t="s">
        <v>1569</v>
      </c>
      <c r="E710" s="85" t="s">
        <v>1570</v>
      </c>
      <c r="F710" s="85" t="s">
        <v>1571</v>
      </c>
      <c r="G710" s="85" t="s">
        <v>1572</v>
      </c>
      <c r="H710" s="85" t="s">
        <v>1572</v>
      </c>
      <c r="I710" s="85" t="s">
        <v>1685</v>
      </c>
      <c r="J710" s="42">
        <v>-14.4</v>
      </c>
      <c r="K710" s="42">
        <v>0.3</v>
      </c>
      <c r="L710" s="42">
        <v>-2.1</v>
      </c>
      <c r="M710" s="42">
        <v>-1.9</v>
      </c>
      <c r="N710" s="42">
        <v>0.11</v>
      </c>
      <c r="O710" s="42">
        <v>2.82E11</v>
      </c>
      <c r="P710" s="42">
        <v>7.2E10</v>
      </c>
      <c r="Q710" s="42">
        <v>-25.3</v>
      </c>
      <c r="R710" s="42">
        <v>4.2</v>
      </c>
      <c r="S710" s="42">
        <v>-16.9</v>
      </c>
      <c r="T710" s="42">
        <v>19.4</v>
      </c>
      <c r="U710" s="42">
        <v>-27.2</v>
      </c>
      <c r="V710" s="42">
        <v>-9.8</v>
      </c>
      <c r="W710" s="42">
        <v>-14.0</v>
      </c>
    </row>
    <row r="711">
      <c r="A711" s="87">
        <v>710.0</v>
      </c>
      <c r="B711" s="85" t="s">
        <v>2362</v>
      </c>
      <c r="C711" s="85" t="s">
        <v>777</v>
      </c>
      <c r="D711" s="85" t="s">
        <v>1371</v>
      </c>
      <c r="E711" s="85" t="s">
        <v>1252</v>
      </c>
      <c r="F711" s="85" t="s">
        <v>1252</v>
      </c>
      <c r="G711" s="85" t="s">
        <v>1313</v>
      </c>
      <c r="H711" s="85" t="s">
        <v>1372</v>
      </c>
      <c r="I711" s="85" t="s">
        <v>2363</v>
      </c>
      <c r="J711" s="42">
        <v>20.7</v>
      </c>
      <c r="K711" s="42">
        <v>1.7</v>
      </c>
      <c r="L711" s="42">
        <v>8.0</v>
      </c>
      <c r="M711" s="42">
        <v>4.4</v>
      </c>
      <c r="N711" s="42">
        <v>0.81</v>
      </c>
      <c r="O711" s="42">
        <v>1.26E13</v>
      </c>
      <c r="P711" s="42">
        <v>4.8E12</v>
      </c>
      <c r="Q711" s="42">
        <v>5.9</v>
      </c>
      <c r="R711" s="42">
        <v>13.4</v>
      </c>
      <c r="S711" s="42">
        <v>-3.6</v>
      </c>
      <c r="T711" s="42">
        <v>4.9</v>
      </c>
      <c r="U711" s="42">
        <v>12.6</v>
      </c>
      <c r="V711" s="42">
        <v>-0.917</v>
      </c>
      <c r="W711" s="42">
        <v>-2.7</v>
      </c>
    </row>
    <row r="712">
      <c r="A712" s="87">
        <v>711.0</v>
      </c>
      <c r="B712" s="85" t="s">
        <v>2364</v>
      </c>
      <c r="C712" s="85" t="s">
        <v>778</v>
      </c>
      <c r="D712" s="85" t="s">
        <v>1308</v>
      </c>
      <c r="E712" s="85" t="s">
        <v>1187</v>
      </c>
      <c r="F712" s="85" t="s">
        <v>1188</v>
      </c>
      <c r="G712" s="85" t="s">
        <v>1189</v>
      </c>
      <c r="H712" s="85" t="s">
        <v>1309</v>
      </c>
      <c r="I712" s="85" t="s">
        <v>1280</v>
      </c>
      <c r="J712" s="42">
        <v>-45.0</v>
      </c>
      <c r="K712" s="42">
        <v>0.9</v>
      </c>
      <c r="L712" s="42">
        <v>-2.0</v>
      </c>
      <c r="M712" s="42">
        <v>-1.5</v>
      </c>
      <c r="N712" s="42">
        <v>0.29</v>
      </c>
      <c r="O712" s="42">
        <v>1.2E12</v>
      </c>
      <c r="P712" s="42">
        <v>1.87E11</v>
      </c>
      <c r="Q712" s="42">
        <v>-22.5</v>
      </c>
      <c r="R712" s="42">
        <v>-19.0</v>
      </c>
      <c r="S712" s="42">
        <v>-46.2</v>
      </c>
      <c r="T712" s="88"/>
      <c r="U712" s="42">
        <v>-13.8</v>
      </c>
      <c r="V712" s="42">
        <v>-6.6</v>
      </c>
      <c r="W712" s="42">
        <v>-47.4</v>
      </c>
    </row>
    <row r="713">
      <c r="A713" s="87">
        <v>712.0</v>
      </c>
      <c r="B713" s="85" t="s">
        <v>2365</v>
      </c>
      <c r="C713" s="85" t="s">
        <v>779</v>
      </c>
      <c r="D713" s="85" t="s">
        <v>1282</v>
      </c>
      <c r="E713" s="85" t="s">
        <v>1194</v>
      </c>
      <c r="F713" s="85" t="s">
        <v>1195</v>
      </c>
      <c r="G713" s="85" t="s">
        <v>1283</v>
      </c>
      <c r="H713" s="85" t="s">
        <v>1283</v>
      </c>
      <c r="I713" s="85" t="s">
        <v>1269</v>
      </c>
      <c r="J713" s="42">
        <v>-6.8</v>
      </c>
      <c r="K713" s="42">
        <v>13.4</v>
      </c>
      <c r="L713" s="42">
        <v>-200.0</v>
      </c>
      <c r="M713" s="42">
        <v>-20.3</v>
      </c>
      <c r="N713" s="42">
        <v>8.7</v>
      </c>
      <c r="O713" s="42">
        <v>1.86E11</v>
      </c>
      <c r="P713" s="42">
        <v>4.01E9</v>
      </c>
      <c r="Q713" s="42">
        <v>-25.5</v>
      </c>
      <c r="R713" s="42">
        <v>20.6</v>
      </c>
      <c r="S713" s="42">
        <v>-12.1</v>
      </c>
      <c r="T713" s="42">
        <v>57.7</v>
      </c>
      <c r="U713" s="42">
        <v>-680.0</v>
      </c>
      <c r="V713" s="42">
        <v>-3.9</v>
      </c>
      <c r="W713" s="42">
        <v>-8.9</v>
      </c>
    </row>
    <row r="714">
      <c r="A714" s="87">
        <v>713.0</v>
      </c>
      <c r="B714" s="85" t="s">
        <v>2366</v>
      </c>
      <c r="C714" s="85" t="s">
        <v>780</v>
      </c>
      <c r="D714" s="85" t="s">
        <v>1193</v>
      </c>
      <c r="E714" s="85" t="s">
        <v>1194</v>
      </c>
      <c r="F714" s="85" t="s">
        <v>1195</v>
      </c>
      <c r="G714" s="85" t="s">
        <v>1196</v>
      </c>
      <c r="H714" s="85" t="s">
        <v>1197</v>
      </c>
      <c r="I714" s="85" t="s">
        <v>1243</v>
      </c>
      <c r="J714" s="42">
        <v>8.4</v>
      </c>
      <c r="K714" s="42">
        <v>1.3</v>
      </c>
      <c r="L714" s="42">
        <v>15.3</v>
      </c>
      <c r="M714" s="42">
        <v>13.2</v>
      </c>
      <c r="N714" s="42">
        <v>0.16</v>
      </c>
      <c r="O714" s="42">
        <v>3.6E12</v>
      </c>
      <c r="P714" s="42">
        <v>5.28E11</v>
      </c>
      <c r="Q714" s="42">
        <v>-7.5</v>
      </c>
      <c r="R714" s="42">
        <v>-7.1</v>
      </c>
      <c r="S714" s="42">
        <v>-12.4</v>
      </c>
      <c r="T714" s="42">
        <v>4.0</v>
      </c>
      <c r="U714" s="42">
        <v>81.4</v>
      </c>
      <c r="V714" s="42">
        <v>-2.6</v>
      </c>
      <c r="W714" s="42">
        <v>-12.4</v>
      </c>
    </row>
    <row r="715">
      <c r="A715" s="87">
        <v>714.0</v>
      </c>
      <c r="B715" s="85" t="s">
        <v>2367</v>
      </c>
      <c r="C715" s="85" t="s">
        <v>781</v>
      </c>
      <c r="D715" s="85" t="s">
        <v>1285</v>
      </c>
      <c r="E715" s="85" t="s">
        <v>1201</v>
      </c>
      <c r="F715" s="85" t="s">
        <v>1286</v>
      </c>
      <c r="G715" s="85" t="s">
        <v>1287</v>
      </c>
      <c r="H715" s="85" t="s">
        <v>1288</v>
      </c>
      <c r="I715" s="85" t="s">
        <v>1381</v>
      </c>
      <c r="J715" s="42">
        <v>-200.0</v>
      </c>
      <c r="K715" s="42">
        <v>7.2</v>
      </c>
      <c r="L715" s="42">
        <v>-3.7</v>
      </c>
      <c r="M715" s="42">
        <v>-3.2</v>
      </c>
      <c r="N715" s="42">
        <v>0.14</v>
      </c>
      <c r="O715" s="42">
        <v>2.3E12</v>
      </c>
      <c r="P715" s="42">
        <v>1.1E10</v>
      </c>
      <c r="Q715" s="42">
        <v>-39.7</v>
      </c>
      <c r="R715" s="42">
        <v>-41.1</v>
      </c>
      <c r="S715" s="42">
        <v>-59.4</v>
      </c>
      <c r="T715" s="42">
        <v>280.0</v>
      </c>
      <c r="U715" s="42">
        <v>-100.0</v>
      </c>
      <c r="V715" s="42">
        <v>-35.4</v>
      </c>
      <c r="W715" s="42">
        <v>-54.4</v>
      </c>
    </row>
    <row r="716">
      <c r="A716" s="87">
        <v>715.0</v>
      </c>
      <c r="B716" s="85" t="s">
        <v>2368</v>
      </c>
      <c r="C716" s="85" t="s">
        <v>782</v>
      </c>
      <c r="D716" s="85" t="s">
        <v>1308</v>
      </c>
      <c r="E716" s="85" t="s">
        <v>1187</v>
      </c>
      <c r="F716" s="85" t="s">
        <v>1188</v>
      </c>
      <c r="G716" s="85" t="s">
        <v>1189</v>
      </c>
      <c r="H716" s="85" t="s">
        <v>1309</v>
      </c>
      <c r="I716" s="85" t="s">
        <v>1216</v>
      </c>
      <c r="J716" s="42">
        <v>-160.0</v>
      </c>
      <c r="K716" s="42">
        <v>0.63</v>
      </c>
      <c r="L716" s="42">
        <v>-0.39</v>
      </c>
      <c r="M716" s="42">
        <v>-0.34</v>
      </c>
      <c r="N716" s="42">
        <v>0.13</v>
      </c>
      <c r="O716" s="42">
        <v>1.6E12</v>
      </c>
      <c r="P716" s="42">
        <v>1.8E11</v>
      </c>
      <c r="Q716" s="42">
        <v>-27.2</v>
      </c>
      <c r="R716" s="42">
        <v>-31.3</v>
      </c>
      <c r="S716" s="42">
        <v>-28.9</v>
      </c>
      <c r="T716" s="42">
        <v>-30.5</v>
      </c>
      <c r="U716" s="42">
        <v>-5.5</v>
      </c>
      <c r="V716" s="42">
        <v>-15.2</v>
      </c>
      <c r="W716" s="42">
        <v>-37.6</v>
      </c>
    </row>
    <row r="717">
      <c r="A717" s="87">
        <v>716.0</v>
      </c>
      <c r="B717" s="85" t="s">
        <v>2369</v>
      </c>
      <c r="C717" s="85" t="s">
        <v>783</v>
      </c>
      <c r="D717" s="85" t="s">
        <v>1186</v>
      </c>
      <c r="E717" s="85" t="s">
        <v>1187</v>
      </c>
      <c r="F717" s="85" t="s">
        <v>1188</v>
      </c>
      <c r="G717" s="85" t="s">
        <v>1189</v>
      </c>
      <c r="H717" s="85" t="s">
        <v>1190</v>
      </c>
      <c r="I717" s="85" t="s">
        <v>2370</v>
      </c>
      <c r="J717" s="42">
        <v>9.6</v>
      </c>
      <c r="K717" s="42">
        <v>1.4</v>
      </c>
      <c r="L717" s="42">
        <v>14.1</v>
      </c>
      <c r="M717" s="42">
        <v>7.7</v>
      </c>
      <c r="N717" s="42">
        <v>0.83</v>
      </c>
      <c r="O717" s="42">
        <v>3.2E13</v>
      </c>
      <c r="P717" s="42">
        <v>9.9E12</v>
      </c>
      <c r="Q717" s="42">
        <v>-12.9</v>
      </c>
      <c r="R717" s="42">
        <v>-15.3</v>
      </c>
      <c r="S717" s="42">
        <v>8.7</v>
      </c>
      <c r="T717" s="42">
        <v>-12.9</v>
      </c>
      <c r="U717" s="42">
        <v>33.6</v>
      </c>
      <c r="V717" s="42">
        <v>-9.4</v>
      </c>
      <c r="W717" s="42">
        <v>7.8</v>
      </c>
    </row>
    <row r="718">
      <c r="A718" s="87">
        <v>717.0</v>
      </c>
      <c r="B718" s="85" t="s">
        <v>2371</v>
      </c>
      <c r="C718" s="85" t="s">
        <v>784</v>
      </c>
      <c r="D718" s="85" t="s">
        <v>1229</v>
      </c>
      <c r="E718" s="85" t="s">
        <v>1230</v>
      </c>
      <c r="F718" s="85" t="s">
        <v>1231</v>
      </c>
      <c r="G718" s="85" t="s">
        <v>1231</v>
      </c>
      <c r="H718" s="85" t="s">
        <v>1231</v>
      </c>
      <c r="I718" s="85" t="s">
        <v>2249</v>
      </c>
      <c r="J718" s="42">
        <v>-4.2</v>
      </c>
      <c r="K718" s="42">
        <v>-13.5</v>
      </c>
      <c r="L718" s="42">
        <v>0.0</v>
      </c>
      <c r="M718" s="42">
        <v>-20.8</v>
      </c>
      <c r="N718" s="42">
        <v>-16.7</v>
      </c>
      <c r="O718" s="42">
        <v>1.05E11</v>
      </c>
      <c r="P718" s="42">
        <v>5.0E10</v>
      </c>
      <c r="Q718" s="42">
        <v>0.0</v>
      </c>
      <c r="R718" s="42">
        <v>0.0</v>
      </c>
      <c r="S718" s="42">
        <v>-18.6</v>
      </c>
      <c r="T718" s="42">
        <v>270.0</v>
      </c>
      <c r="U718" s="42">
        <v>-50.9</v>
      </c>
      <c r="V718" s="42">
        <v>0.0</v>
      </c>
      <c r="W718" s="42">
        <v>-38.1</v>
      </c>
    </row>
    <row r="719">
      <c r="A719" s="87">
        <v>718.0</v>
      </c>
      <c r="B719" s="85" t="s">
        <v>2372</v>
      </c>
      <c r="C719" s="85" t="s">
        <v>785</v>
      </c>
      <c r="D719" s="85" t="s">
        <v>1308</v>
      </c>
      <c r="E719" s="85" t="s">
        <v>1187</v>
      </c>
      <c r="F719" s="85" t="s">
        <v>1188</v>
      </c>
      <c r="G719" s="85" t="s">
        <v>1189</v>
      </c>
      <c r="H719" s="85" t="s">
        <v>1309</v>
      </c>
      <c r="I719" s="85" t="s">
        <v>1280</v>
      </c>
      <c r="J719" s="42">
        <v>-23.9</v>
      </c>
      <c r="K719" s="42">
        <v>0.47</v>
      </c>
      <c r="L719" s="42">
        <v>-2.0</v>
      </c>
      <c r="M719" s="42">
        <v>-1.3</v>
      </c>
      <c r="N719" s="42">
        <v>0.51</v>
      </c>
      <c r="O719" s="42">
        <v>1.64E11</v>
      </c>
      <c r="P719" s="42">
        <v>5.0E10</v>
      </c>
      <c r="Q719" s="42">
        <v>-9.7</v>
      </c>
      <c r="R719" s="42">
        <v>-4.1</v>
      </c>
      <c r="S719" s="42">
        <v>-28.2</v>
      </c>
      <c r="T719" s="42">
        <v>-33.0</v>
      </c>
      <c r="U719" s="42">
        <v>-13.7</v>
      </c>
      <c r="V719" s="42">
        <v>-7.9</v>
      </c>
      <c r="W719" s="42">
        <v>-19.5</v>
      </c>
    </row>
    <row r="720">
      <c r="A720" s="87">
        <v>719.0</v>
      </c>
      <c r="B720" s="85" t="s">
        <v>2373</v>
      </c>
      <c r="C720" s="85" t="s">
        <v>786</v>
      </c>
      <c r="D720" s="85" t="s">
        <v>1330</v>
      </c>
      <c r="E720" s="85" t="s">
        <v>1214</v>
      </c>
      <c r="F720" s="85" t="s">
        <v>1326</v>
      </c>
      <c r="G720" s="85" t="s">
        <v>1331</v>
      </c>
      <c r="H720" s="85" t="s">
        <v>1332</v>
      </c>
      <c r="I720" s="85" t="s">
        <v>1333</v>
      </c>
      <c r="J720" s="42">
        <v>-3.7</v>
      </c>
      <c r="K720" s="42">
        <v>1.1</v>
      </c>
      <c r="L720" s="42">
        <v>-30.2</v>
      </c>
      <c r="M720" s="42">
        <v>-19.5</v>
      </c>
      <c r="N720" s="42">
        <v>0.55</v>
      </c>
      <c r="O720" s="42">
        <v>1.96E11</v>
      </c>
      <c r="P720" s="42">
        <v>4.5E10</v>
      </c>
      <c r="Q720" s="42">
        <v>-27.1</v>
      </c>
      <c r="R720" s="42">
        <v>-12.1</v>
      </c>
      <c r="S720" s="42">
        <v>-44.0</v>
      </c>
      <c r="T720" s="42">
        <v>-21.5</v>
      </c>
      <c r="U720" s="42">
        <v>-120.0</v>
      </c>
      <c r="V720" s="42">
        <v>-17.7</v>
      </c>
      <c r="W720" s="42">
        <v>-39.3</v>
      </c>
    </row>
    <row r="721">
      <c r="A721" s="87">
        <v>720.0</v>
      </c>
      <c r="B721" s="85" t="s">
        <v>2374</v>
      </c>
      <c r="C721" s="85" t="s">
        <v>787</v>
      </c>
      <c r="D721" s="85" t="s">
        <v>1304</v>
      </c>
      <c r="E721" s="85" t="s">
        <v>1252</v>
      </c>
      <c r="F721" s="85" t="s">
        <v>1252</v>
      </c>
      <c r="G721" s="85" t="s">
        <v>1305</v>
      </c>
      <c r="H721" s="85" t="s">
        <v>1305</v>
      </c>
      <c r="I721" s="85" t="s">
        <v>2089</v>
      </c>
      <c r="J721" s="42">
        <v>-30.5</v>
      </c>
      <c r="K721" s="42">
        <v>9.3</v>
      </c>
      <c r="L721" s="42">
        <v>-30.4</v>
      </c>
      <c r="M721" s="42">
        <v>0.0</v>
      </c>
      <c r="N721" s="42">
        <v>0.59</v>
      </c>
      <c r="O721" s="42">
        <v>7.13E11</v>
      </c>
      <c r="P721" s="42">
        <v>2.9E10</v>
      </c>
      <c r="Q721" s="42">
        <v>0.0</v>
      </c>
      <c r="R721" s="42">
        <v>0.0</v>
      </c>
      <c r="S721" s="42">
        <v>0.0</v>
      </c>
      <c r="T721" s="42">
        <v>170.0</v>
      </c>
      <c r="U721" s="42">
        <v>-79.5</v>
      </c>
      <c r="V721" s="42">
        <v>0.0</v>
      </c>
      <c r="W721" s="42">
        <v>0.0</v>
      </c>
    </row>
    <row r="722">
      <c r="A722" s="87">
        <v>721.0</v>
      </c>
      <c r="B722" s="85" t="s">
        <v>2375</v>
      </c>
      <c r="C722" s="85" t="s">
        <v>788</v>
      </c>
      <c r="D722" s="85" t="s">
        <v>1229</v>
      </c>
      <c r="E722" s="85" t="s">
        <v>1230</v>
      </c>
      <c r="F722" s="85" t="s">
        <v>1231</v>
      </c>
      <c r="G722" s="85" t="s">
        <v>1231</v>
      </c>
      <c r="H722" s="85" t="s">
        <v>1231</v>
      </c>
      <c r="I722" s="85" t="s">
        <v>2376</v>
      </c>
      <c r="J722" s="42">
        <v>-0.21</v>
      </c>
      <c r="K722" s="42">
        <v>0.29</v>
      </c>
      <c r="L722" s="42">
        <v>-140.0</v>
      </c>
      <c r="M722" s="42">
        <v>-14.5</v>
      </c>
      <c r="N722" s="42">
        <v>8.7</v>
      </c>
      <c r="O722" s="42">
        <v>1.3E12</v>
      </c>
      <c r="P722" s="42">
        <v>2.8E12</v>
      </c>
      <c r="Q722" s="42">
        <v>-31.0</v>
      </c>
      <c r="R722" s="42">
        <v>-44.5</v>
      </c>
      <c r="S722" s="42">
        <v>-53.0</v>
      </c>
      <c r="T722" s="42">
        <v>-62.3</v>
      </c>
      <c r="U722" s="42">
        <v>-210.0</v>
      </c>
      <c r="V722" s="42">
        <v>-15.3</v>
      </c>
      <c r="W722" s="42">
        <v>-58.7</v>
      </c>
    </row>
    <row r="723">
      <c r="A723" s="87">
        <v>722.0</v>
      </c>
      <c r="B723" s="85" t="s">
        <v>2377</v>
      </c>
      <c r="C723" s="85" t="s">
        <v>789</v>
      </c>
      <c r="D723" s="85" t="s">
        <v>1193</v>
      </c>
      <c r="E723" s="85" t="s">
        <v>1194</v>
      </c>
      <c r="F723" s="85" t="s">
        <v>1195</v>
      </c>
      <c r="G723" s="85" t="s">
        <v>1196</v>
      </c>
      <c r="H723" s="85" t="s">
        <v>1197</v>
      </c>
      <c r="I723" s="85" t="s">
        <v>1269</v>
      </c>
      <c r="J723" s="42">
        <v>36.9</v>
      </c>
      <c r="K723" s="42">
        <v>1.7</v>
      </c>
      <c r="L723" s="42">
        <v>4.5</v>
      </c>
      <c r="M723" s="42">
        <v>4.4</v>
      </c>
      <c r="N723" s="42">
        <v>0.02</v>
      </c>
      <c r="O723" s="42">
        <v>2.99E11</v>
      </c>
      <c r="P723" s="42">
        <v>1.0E10</v>
      </c>
      <c r="Q723" s="42">
        <v>-42.6</v>
      </c>
      <c r="R723" s="42">
        <v>-53.2</v>
      </c>
      <c r="S723" s="42">
        <v>-55.3</v>
      </c>
      <c r="T723" s="42">
        <v>6.0</v>
      </c>
      <c r="U723" s="42">
        <v>79.9</v>
      </c>
      <c r="V723" s="42">
        <v>-33.1</v>
      </c>
      <c r="W723" s="42">
        <v>-52.7</v>
      </c>
    </row>
    <row r="724">
      <c r="A724" s="87">
        <v>723.0</v>
      </c>
      <c r="B724" s="85" t="s">
        <v>2378</v>
      </c>
      <c r="C724" s="85" t="s">
        <v>790</v>
      </c>
      <c r="D724" s="85" t="s">
        <v>1229</v>
      </c>
      <c r="E724" s="85" t="s">
        <v>1230</v>
      </c>
      <c r="F724" s="85" t="s">
        <v>1231</v>
      </c>
      <c r="G724" s="85" t="s">
        <v>1231</v>
      </c>
      <c r="H724" s="85" t="s">
        <v>1231</v>
      </c>
      <c r="I724" s="85" t="s">
        <v>1764</v>
      </c>
      <c r="J724" s="42">
        <v>20.4</v>
      </c>
      <c r="K724" s="42">
        <v>1.2</v>
      </c>
      <c r="L724" s="42">
        <v>6.0</v>
      </c>
      <c r="M724" s="42">
        <v>5.3</v>
      </c>
      <c r="N724" s="42">
        <v>0.13</v>
      </c>
      <c r="O724" s="42">
        <v>8.25E11</v>
      </c>
      <c r="P724" s="42">
        <v>7.7E10</v>
      </c>
      <c r="Q724" s="42">
        <v>-3.1</v>
      </c>
      <c r="R724" s="42">
        <v>-4.6</v>
      </c>
      <c r="S724" s="42">
        <v>-5.1</v>
      </c>
      <c r="T724" s="42">
        <v>1.6</v>
      </c>
      <c r="U724" s="42">
        <v>52.7</v>
      </c>
      <c r="V724" s="42">
        <v>-2.1</v>
      </c>
      <c r="W724" s="42">
        <v>-11.1</v>
      </c>
    </row>
    <row r="725">
      <c r="A725" s="87">
        <v>724.0</v>
      </c>
      <c r="B725" s="85" t="s">
        <v>2379</v>
      </c>
      <c r="C725" s="85" t="s">
        <v>791</v>
      </c>
      <c r="D725" s="85" t="s">
        <v>1397</v>
      </c>
      <c r="E725" s="85" t="s">
        <v>1187</v>
      </c>
      <c r="F725" s="85" t="s">
        <v>1188</v>
      </c>
      <c r="G725" s="85" t="s">
        <v>1359</v>
      </c>
      <c r="H725" s="85" t="s">
        <v>1398</v>
      </c>
      <c r="I725" s="85" t="s">
        <v>2380</v>
      </c>
      <c r="J725" s="42">
        <v>95.8</v>
      </c>
      <c r="K725" s="42">
        <v>9.0</v>
      </c>
      <c r="L725" s="42">
        <v>9.4</v>
      </c>
      <c r="M725" s="42">
        <v>1.8</v>
      </c>
      <c r="N725" s="42">
        <v>4.2</v>
      </c>
      <c r="O725" s="42">
        <v>4.71E13</v>
      </c>
      <c r="P725" s="42">
        <v>4.8E12</v>
      </c>
      <c r="Q725" s="42">
        <v>-29.7</v>
      </c>
      <c r="R725" s="42">
        <v>-30.7</v>
      </c>
      <c r="S725" s="42">
        <v>-67.9</v>
      </c>
      <c r="T725" s="42">
        <v>18.1</v>
      </c>
      <c r="U725" s="42">
        <v>10.2</v>
      </c>
      <c r="V725" s="42">
        <v>-27.9</v>
      </c>
      <c r="W725" s="42">
        <v>-69.1</v>
      </c>
    </row>
    <row r="726">
      <c r="A726" s="87">
        <v>725.0</v>
      </c>
      <c r="B726" s="85" t="s">
        <v>2381</v>
      </c>
      <c r="C726" s="85" t="s">
        <v>792</v>
      </c>
      <c r="D726" s="85" t="s">
        <v>2237</v>
      </c>
      <c r="E726" s="85" t="s">
        <v>1376</v>
      </c>
      <c r="F726" s="85" t="s">
        <v>1444</v>
      </c>
      <c r="G726" s="85" t="s">
        <v>2238</v>
      </c>
      <c r="H726" s="85" t="s">
        <v>2238</v>
      </c>
      <c r="I726" s="85" t="s">
        <v>1379</v>
      </c>
      <c r="J726" s="42">
        <v>5.5</v>
      </c>
      <c r="K726" s="42">
        <v>0.65</v>
      </c>
      <c r="L726" s="42">
        <v>11.9</v>
      </c>
      <c r="M726" s="42">
        <v>6.3</v>
      </c>
      <c r="N726" s="42">
        <v>0.9</v>
      </c>
      <c r="O726" s="42">
        <v>1.4E12</v>
      </c>
      <c r="P726" s="42">
        <v>1.2E12</v>
      </c>
      <c r="Q726" s="42">
        <v>-32.5</v>
      </c>
      <c r="R726" s="42">
        <v>-39.6</v>
      </c>
      <c r="S726" s="42">
        <v>-45.5</v>
      </c>
      <c r="T726" s="42">
        <v>-5.6</v>
      </c>
      <c r="U726" s="42">
        <v>21.3</v>
      </c>
      <c r="V726" s="42">
        <v>-22.7</v>
      </c>
      <c r="W726" s="42">
        <v>-44.0</v>
      </c>
    </row>
    <row r="727">
      <c r="A727" s="87">
        <v>726.0</v>
      </c>
      <c r="B727" s="85" t="s">
        <v>2382</v>
      </c>
      <c r="C727" s="85" t="s">
        <v>793</v>
      </c>
      <c r="D727" s="85" t="s">
        <v>1456</v>
      </c>
      <c r="E727" s="85" t="s">
        <v>1201</v>
      </c>
      <c r="F727" s="85" t="s">
        <v>1286</v>
      </c>
      <c r="G727" s="85" t="s">
        <v>1287</v>
      </c>
      <c r="H727" s="85" t="s">
        <v>1457</v>
      </c>
      <c r="I727" s="85" t="s">
        <v>1458</v>
      </c>
      <c r="J727" s="42">
        <v>5.4</v>
      </c>
      <c r="K727" s="42">
        <v>0.97</v>
      </c>
      <c r="L727" s="42">
        <v>17.8</v>
      </c>
      <c r="M727" s="42">
        <v>9.2</v>
      </c>
      <c r="N727" s="42">
        <v>0.93</v>
      </c>
      <c r="O727" s="42">
        <v>1.97E11</v>
      </c>
      <c r="P727" s="42">
        <v>2.05E11</v>
      </c>
      <c r="Q727" s="42">
        <v>-5.0</v>
      </c>
      <c r="R727" s="42">
        <v>-6.0</v>
      </c>
      <c r="S727" s="42">
        <v>-18.9</v>
      </c>
      <c r="T727" s="42">
        <v>-6.0</v>
      </c>
      <c r="U727" s="42">
        <v>17.7</v>
      </c>
      <c r="V727" s="42">
        <v>-7.5</v>
      </c>
      <c r="W727" s="42">
        <v>-14.9</v>
      </c>
    </row>
    <row r="728">
      <c r="A728" s="87">
        <v>727.0</v>
      </c>
      <c r="B728" s="85" t="s">
        <v>2383</v>
      </c>
      <c r="C728" s="85" t="s">
        <v>794</v>
      </c>
      <c r="D728" s="85" t="s">
        <v>1234</v>
      </c>
      <c r="E728" s="85" t="s">
        <v>1235</v>
      </c>
      <c r="F728" s="85" t="s">
        <v>1235</v>
      </c>
      <c r="G728" s="85" t="s">
        <v>1236</v>
      </c>
      <c r="H728" s="85" t="s">
        <v>1237</v>
      </c>
      <c r="I728" s="85" t="s">
        <v>1473</v>
      </c>
      <c r="J728" s="42">
        <v>390.0</v>
      </c>
      <c r="K728" s="42">
        <v>0.46</v>
      </c>
      <c r="L728" s="42">
        <v>0.12</v>
      </c>
      <c r="M728" s="42">
        <v>0.11</v>
      </c>
      <c r="N728" s="42">
        <v>0.07</v>
      </c>
      <c r="O728" s="42">
        <v>2.31E11</v>
      </c>
      <c r="P728" s="42">
        <v>9.55E9</v>
      </c>
      <c r="Q728" s="42">
        <v>-10.2</v>
      </c>
      <c r="R728" s="42">
        <v>4.2</v>
      </c>
      <c r="S728" s="42">
        <v>-78.1</v>
      </c>
      <c r="T728" s="42">
        <v>41.5</v>
      </c>
      <c r="U728" s="42">
        <v>6.2</v>
      </c>
      <c r="V728" s="42">
        <v>-8.5</v>
      </c>
      <c r="W728" s="42">
        <v>-42.9</v>
      </c>
    </row>
    <row r="729">
      <c r="A729" s="87">
        <v>728.0</v>
      </c>
      <c r="B729" s="85" t="s">
        <v>2384</v>
      </c>
      <c r="C729" s="85" t="s">
        <v>795</v>
      </c>
      <c r="D729" s="85" t="s">
        <v>1299</v>
      </c>
      <c r="E729" s="85" t="s">
        <v>1300</v>
      </c>
      <c r="F729" s="85" t="s">
        <v>1301</v>
      </c>
      <c r="G729" s="85" t="s">
        <v>1301</v>
      </c>
      <c r="H729" s="85" t="s">
        <v>1301</v>
      </c>
      <c r="I729" s="85" t="s">
        <v>1706</v>
      </c>
      <c r="J729" s="42">
        <v>32.5</v>
      </c>
      <c r="K729" s="42">
        <v>0.47</v>
      </c>
      <c r="L729" s="42">
        <v>1.4</v>
      </c>
      <c r="M729" s="42">
        <v>1.1</v>
      </c>
      <c r="N729" s="42">
        <v>0.25</v>
      </c>
      <c r="O729" s="42">
        <v>2.39E11</v>
      </c>
      <c r="P729" s="42">
        <v>1.24E11</v>
      </c>
      <c r="Q729" s="42">
        <v>-6.5</v>
      </c>
      <c r="R729" s="42">
        <v>-9.4</v>
      </c>
      <c r="S729" s="42">
        <v>-17.1</v>
      </c>
      <c r="T729" s="42">
        <v>93.3</v>
      </c>
      <c r="U729" s="42">
        <v>6.0</v>
      </c>
      <c r="V729" s="42">
        <v>-21.6</v>
      </c>
      <c r="W729" s="42">
        <v>-31.0</v>
      </c>
    </row>
    <row r="730">
      <c r="A730" s="87">
        <v>729.0</v>
      </c>
      <c r="B730" s="85" t="s">
        <v>2385</v>
      </c>
      <c r="C730" s="85" t="s">
        <v>796</v>
      </c>
      <c r="D730" s="85" t="s">
        <v>1354</v>
      </c>
      <c r="E730" s="85" t="s">
        <v>1252</v>
      </c>
      <c r="F730" s="85" t="s">
        <v>1252</v>
      </c>
      <c r="G730" s="85" t="s">
        <v>1313</v>
      </c>
      <c r="H730" s="85" t="s">
        <v>1355</v>
      </c>
      <c r="I730" s="85" t="s">
        <v>1316</v>
      </c>
      <c r="J730" s="42">
        <v>0.0</v>
      </c>
      <c r="K730" s="42">
        <v>-0.53</v>
      </c>
      <c r="L730" s="42">
        <v>0.0</v>
      </c>
      <c r="M730" s="42">
        <v>-9.8</v>
      </c>
      <c r="N730" s="42">
        <v>-6.6</v>
      </c>
      <c r="O730" s="42">
        <v>7.0E10</v>
      </c>
      <c r="P730" s="42">
        <v>5.8E10</v>
      </c>
      <c r="Q730" s="42">
        <v>0.0</v>
      </c>
      <c r="R730" s="42">
        <v>0.0</v>
      </c>
      <c r="S730" s="42">
        <v>0.0</v>
      </c>
      <c r="T730" s="42">
        <v>0.0</v>
      </c>
      <c r="U730" s="42">
        <v>-120.0</v>
      </c>
      <c r="V730" s="42">
        <v>0.0</v>
      </c>
      <c r="W730" s="42">
        <v>0.0</v>
      </c>
    </row>
    <row r="731">
      <c r="A731" s="87">
        <v>730.0</v>
      </c>
      <c r="B731" s="85" t="s">
        <v>2386</v>
      </c>
      <c r="C731" s="85" t="s">
        <v>797</v>
      </c>
      <c r="D731" s="85" t="s">
        <v>1234</v>
      </c>
      <c r="E731" s="85" t="s">
        <v>1235</v>
      </c>
      <c r="F731" s="85" t="s">
        <v>1235</v>
      </c>
      <c r="G731" s="85" t="s">
        <v>1236</v>
      </c>
      <c r="H731" s="85" t="s">
        <v>1237</v>
      </c>
      <c r="I731" s="85" t="s">
        <v>1322</v>
      </c>
      <c r="J731" s="42">
        <v>-180.0</v>
      </c>
      <c r="K731" s="42">
        <v>1.2</v>
      </c>
      <c r="L731" s="42">
        <v>-0.66</v>
      </c>
      <c r="M731" s="42">
        <v>-0.11</v>
      </c>
      <c r="N731" s="42">
        <v>4.9</v>
      </c>
      <c r="O731" s="42">
        <v>1.35E11</v>
      </c>
      <c r="P731" s="42">
        <v>1.5E10</v>
      </c>
      <c r="Q731" s="42">
        <v>-24.7</v>
      </c>
      <c r="R731" s="42">
        <v>-22.3</v>
      </c>
      <c r="S731" s="42">
        <v>-63.5</v>
      </c>
      <c r="T731" s="42">
        <v>-38.1</v>
      </c>
      <c r="U731" s="42">
        <v>-4.9</v>
      </c>
      <c r="V731" s="42">
        <v>-9.6</v>
      </c>
      <c r="W731" s="42">
        <v>-52.3</v>
      </c>
    </row>
    <row r="732">
      <c r="A732" s="87">
        <v>731.0</v>
      </c>
      <c r="B732" s="85" t="s">
        <v>2387</v>
      </c>
      <c r="C732" s="85" t="s">
        <v>798</v>
      </c>
      <c r="D732" s="85" t="s">
        <v>1234</v>
      </c>
      <c r="E732" s="85" t="s">
        <v>1235</v>
      </c>
      <c r="F732" s="85" t="s">
        <v>1235</v>
      </c>
      <c r="G732" s="85" t="s">
        <v>1236</v>
      </c>
      <c r="H732" s="85" t="s">
        <v>1237</v>
      </c>
      <c r="I732" s="85" t="s">
        <v>2388</v>
      </c>
      <c r="J732" s="42">
        <v>5.7</v>
      </c>
      <c r="K732" s="42">
        <v>0.52</v>
      </c>
      <c r="L732" s="42">
        <v>9.0</v>
      </c>
      <c r="M732" s="42">
        <v>6.6</v>
      </c>
      <c r="N732" s="42">
        <v>0.37</v>
      </c>
      <c r="O732" s="42">
        <v>1.4E13</v>
      </c>
      <c r="P732" s="42">
        <v>1.6E12</v>
      </c>
      <c r="Q732" s="42">
        <v>-21.8</v>
      </c>
      <c r="R732" s="42">
        <v>-27.4</v>
      </c>
      <c r="S732" s="42">
        <v>-31.1</v>
      </c>
      <c r="T732" s="42">
        <v>-36.5</v>
      </c>
      <c r="U732" s="42">
        <v>150.0</v>
      </c>
      <c r="V732" s="42">
        <v>-13.5</v>
      </c>
      <c r="W732" s="42">
        <v>-28.2</v>
      </c>
    </row>
    <row r="733">
      <c r="A733" s="87">
        <v>732.0</v>
      </c>
      <c r="B733" s="85" t="s">
        <v>2389</v>
      </c>
      <c r="C733" s="85" t="s">
        <v>799</v>
      </c>
      <c r="D733" s="85" t="s">
        <v>1799</v>
      </c>
      <c r="E733" s="85" t="s">
        <v>1570</v>
      </c>
      <c r="F733" s="85" t="s">
        <v>1800</v>
      </c>
      <c r="G733" s="85" t="s">
        <v>1801</v>
      </c>
      <c r="H733" s="85" t="s">
        <v>1801</v>
      </c>
      <c r="I733" s="85" t="s">
        <v>2064</v>
      </c>
      <c r="J733" s="42">
        <v>-6.9</v>
      </c>
      <c r="K733" s="42">
        <v>2.7</v>
      </c>
      <c r="L733" s="42">
        <v>-38.5</v>
      </c>
      <c r="M733" s="42">
        <v>-5.6</v>
      </c>
      <c r="N733" s="42">
        <v>5.9</v>
      </c>
      <c r="O733" s="42">
        <v>2.6E12</v>
      </c>
      <c r="P733" s="42">
        <v>2.8E12</v>
      </c>
      <c r="Q733" s="42">
        <v>-55.0</v>
      </c>
      <c r="R733" s="42">
        <v>-46.6</v>
      </c>
      <c r="S733" s="42">
        <v>-68.6</v>
      </c>
      <c r="T733" s="42">
        <v>-26.9</v>
      </c>
      <c r="U733" s="42">
        <v>-13.8</v>
      </c>
      <c r="V733" s="42">
        <v>-25.7</v>
      </c>
      <c r="W733" s="42">
        <v>-66.8</v>
      </c>
    </row>
    <row r="734">
      <c r="A734" s="87">
        <v>733.0</v>
      </c>
      <c r="B734" s="85" t="s">
        <v>2390</v>
      </c>
      <c r="C734" s="85" t="s">
        <v>800</v>
      </c>
      <c r="D734" s="85" t="s">
        <v>1456</v>
      </c>
      <c r="E734" s="85" t="s">
        <v>1201</v>
      </c>
      <c r="F734" s="85" t="s">
        <v>1286</v>
      </c>
      <c r="G734" s="85" t="s">
        <v>1287</v>
      </c>
      <c r="H734" s="85" t="s">
        <v>1457</v>
      </c>
      <c r="I734" s="85" t="s">
        <v>1458</v>
      </c>
      <c r="J734" s="42">
        <v>18.9</v>
      </c>
      <c r="K734" s="42">
        <v>0.55</v>
      </c>
      <c r="L734" s="42">
        <v>2.9</v>
      </c>
      <c r="M734" s="42">
        <v>1.6</v>
      </c>
      <c r="N734" s="42">
        <v>0.82</v>
      </c>
      <c r="O734" s="42">
        <v>5.71E11</v>
      </c>
      <c r="P734" s="42">
        <v>7.27E11</v>
      </c>
      <c r="Q734" s="42">
        <v>-14.4</v>
      </c>
      <c r="R734" s="42">
        <v>-16.2</v>
      </c>
      <c r="S734" s="42">
        <v>-26.5</v>
      </c>
      <c r="T734" s="42">
        <v>0.0</v>
      </c>
      <c r="U734" s="42">
        <v>4.2</v>
      </c>
      <c r="V734" s="42">
        <v>-12.6</v>
      </c>
      <c r="W734" s="42">
        <v>-23.9</v>
      </c>
    </row>
    <row r="735">
      <c r="A735" s="87">
        <v>734.0</v>
      </c>
      <c r="B735" s="85" t="s">
        <v>2391</v>
      </c>
      <c r="C735" s="85" t="s">
        <v>801</v>
      </c>
      <c r="D735" s="85" t="s">
        <v>1856</v>
      </c>
      <c r="E735" s="85" t="s">
        <v>1201</v>
      </c>
      <c r="F735" s="85" t="s">
        <v>1202</v>
      </c>
      <c r="G735" s="85" t="s">
        <v>1857</v>
      </c>
      <c r="H735" s="85" t="s">
        <v>1857</v>
      </c>
      <c r="I735" s="85" t="s">
        <v>1578</v>
      </c>
      <c r="J735" s="42">
        <v>-19.0</v>
      </c>
      <c r="K735" s="42">
        <v>1.0</v>
      </c>
      <c r="L735" s="42">
        <v>-5.4</v>
      </c>
      <c r="M735" s="42">
        <v>-4.1</v>
      </c>
      <c r="N735" s="42">
        <v>0.32</v>
      </c>
      <c r="O735" s="42">
        <v>1.3E12</v>
      </c>
      <c r="P735" s="42">
        <v>4.8E10</v>
      </c>
      <c r="Q735" s="42">
        <v>-26.6</v>
      </c>
      <c r="R735" s="42">
        <v>-4.8</v>
      </c>
      <c r="S735" s="42">
        <v>-37.7</v>
      </c>
      <c r="T735" s="42">
        <v>-40.1</v>
      </c>
      <c r="U735" s="42">
        <v>-150.0</v>
      </c>
      <c r="V735" s="42">
        <v>-19.1</v>
      </c>
      <c r="W735" s="42">
        <v>-34.6</v>
      </c>
    </row>
    <row r="736">
      <c r="A736" s="87">
        <v>735.0</v>
      </c>
      <c r="B736" s="85" t="s">
        <v>2392</v>
      </c>
      <c r="C736" s="85" t="s">
        <v>802</v>
      </c>
      <c r="D736" s="85" t="s">
        <v>1456</v>
      </c>
      <c r="E736" s="85" t="s">
        <v>1201</v>
      </c>
      <c r="F736" s="85" t="s">
        <v>1286</v>
      </c>
      <c r="G736" s="85" t="s">
        <v>1287</v>
      </c>
      <c r="H736" s="85" t="s">
        <v>1457</v>
      </c>
      <c r="I736" s="85" t="s">
        <v>1289</v>
      </c>
      <c r="J736" s="42">
        <v>-2.1</v>
      </c>
      <c r="K736" s="42">
        <v>0.39</v>
      </c>
      <c r="L736" s="42">
        <v>-18.6</v>
      </c>
      <c r="M736" s="42">
        <v>-12.2</v>
      </c>
      <c r="N736" s="42">
        <v>0.52</v>
      </c>
      <c r="O736" s="42">
        <v>1.13E11</v>
      </c>
      <c r="P736" s="42">
        <v>1.35E11</v>
      </c>
      <c r="Q736" s="42">
        <v>0.0</v>
      </c>
      <c r="R736" s="42">
        <v>0.0</v>
      </c>
      <c r="S736" s="42">
        <v>5.9</v>
      </c>
      <c r="T736" s="42">
        <v>63.6</v>
      </c>
      <c r="U736" s="42">
        <v>-39.9</v>
      </c>
      <c r="V736" s="42">
        <v>0.0</v>
      </c>
      <c r="W736" s="42">
        <v>12.5</v>
      </c>
    </row>
    <row r="737">
      <c r="A737" s="87">
        <v>736.0</v>
      </c>
      <c r="B737" s="85" t="s">
        <v>2393</v>
      </c>
      <c r="C737" s="85" t="s">
        <v>803</v>
      </c>
      <c r="D737" s="85" t="s">
        <v>1294</v>
      </c>
      <c r="E737" s="85" t="s">
        <v>1187</v>
      </c>
      <c r="F737" s="85" t="s">
        <v>1188</v>
      </c>
      <c r="G737" s="85" t="s">
        <v>1295</v>
      </c>
      <c r="H737" s="85" t="s">
        <v>1296</v>
      </c>
      <c r="I737" s="85" t="s">
        <v>2394</v>
      </c>
      <c r="J737" s="42">
        <v>32.1</v>
      </c>
      <c r="K737" s="42">
        <v>3.6</v>
      </c>
      <c r="L737" s="42">
        <v>11.2</v>
      </c>
      <c r="M737" s="42">
        <v>5.6</v>
      </c>
      <c r="N737" s="42">
        <v>0.99</v>
      </c>
      <c r="O737" s="42">
        <v>1.58E13</v>
      </c>
      <c r="P737" s="42">
        <v>9.39E11</v>
      </c>
      <c r="Q737" s="42">
        <v>-37.3</v>
      </c>
      <c r="R737" s="42">
        <v>-25.8</v>
      </c>
      <c r="S737" s="42">
        <v>-61.0</v>
      </c>
      <c r="T737" s="42">
        <v>-1.5</v>
      </c>
      <c r="U737" s="42">
        <v>52.4</v>
      </c>
      <c r="V737" s="42">
        <v>-29.0</v>
      </c>
      <c r="W737" s="42">
        <v>-58.1</v>
      </c>
    </row>
    <row r="738">
      <c r="A738" s="87">
        <v>737.0</v>
      </c>
      <c r="B738" s="85" t="s">
        <v>2395</v>
      </c>
      <c r="C738" s="85" t="s">
        <v>804</v>
      </c>
      <c r="D738" s="85" t="s">
        <v>2136</v>
      </c>
      <c r="E738" s="85" t="s">
        <v>1201</v>
      </c>
      <c r="F738" s="85" t="s">
        <v>1219</v>
      </c>
      <c r="G738" s="85" t="s">
        <v>2137</v>
      </c>
      <c r="H738" s="85" t="s">
        <v>2137</v>
      </c>
      <c r="I738" s="85" t="s">
        <v>1578</v>
      </c>
      <c r="J738" s="42">
        <v>11.2</v>
      </c>
      <c r="K738" s="42">
        <v>0.71</v>
      </c>
      <c r="L738" s="42">
        <v>6.4</v>
      </c>
      <c r="M738" s="42">
        <v>4.4</v>
      </c>
      <c r="N738" s="42">
        <v>0.47</v>
      </c>
      <c r="O738" s="42">
        <v>2.7E12</v>
      </c>
      <c r="P738" s="42">
        <v>9.85E11</v>
      </c>
      <c r="Q738" s="42">
        <v>-24.3</v>
      </c>
      <c r="R738" s="42">
        <v>-26.3</v>
      </c>
      <c r="S738" s="42">
        <v>-19.8</v>
      </c>
      <c r="T738" s="42">
        <v>-15.5</v>
      </c>
      <c r="U738" s="42">
        <v>24.4</v>
      </c>
      <c r="V738" s="42">
        <v>-7.9</v>
      </c>
      <c r="W738" s="42">
        <v>-19.1</v>
      </c>
    </row>
    <row r="739">
      <c r="A739" s="87">
        <v>738.0</v>
      </c>
      <c r="B739" s="85" t="s">
        <v>2396</v>
      </c>
      <c r="C739" s="85" t="s">
        <v>805</v>
      </c>
      <c r="D739" s="85" t="s">
        <v>1345</v>
      </c>
      <c r="E739" s="85" t="s">
        <v>1194</v>
      </c>
      <c r="F739" s="85" t="s">
        <v>1346</v>
      </c>
      <c r="G739" s="85" t="s">
        <v>1346</v>
      </c>
      <c r="H739" s="85" t="s">
        <v>1347</v>
      </c>
      <c r="I739" s="85" t="s">
        <v>1352</v>
      </c>
      <c r="J739" s="42">
        <v>-20.2</v>
      </c>
      <c r="K739" s="42">
        <v>3.0</v>
      </c>
      <c r="L739" s="42">
        <v>-14.9</v>
      </c>
      <c r="M739" s="42">
        <v>-3.4</v>
      </c>
      <c r="N739" s="42">
        <v>3.3</v>
      </c>
      <c r="O739" s="42">
        <v>8.21E11</v>
      </c>
      <c r="P739" s="42">
        <v>8.23E11</v>
      </c>
      <c r="Q739" s="42">
        <v>-10.1</v>
      </c>
      <c r="R739" s="42">
        <v>-25.8</v>
      </c>
      <c r="S739" s="42">
        <v>-47.9</v>
      </c>
      <c r="T739" s="42">
        <v>16.7</v>
      </c>
      <c r="U739" s="42">
        <v>-4.9</v>
      </c>
      <c r="V739" s="42">
        <v>-5.8</v>
      </c>
      <c r="W739" s="42">
        <v>-44.9</v>
      </c>
    </row>
    <row r="740">
      <c r="A740" s="87">
        <v>739.0</v>
      </c>
      <c r="B740" s="85" t="s">
        <v>2397</v>
      </c>
      <c r="C740" s="85" t="s">
        <v>806</v>
      </c>
      <c r="D740" s="85" t="s">
        <v>1822</v>
      </c>
      <c r="E740" s="85" t="s">
        <v>1187</v>
      </c>
      <c r="F740" s="85" t="s">
        <v>1188</v>
      </c>
      <c r="G740" s="85" t="s">
        <v>1295</v>
      </c>
      <c r="H740" s="85" t="s">
        <v>1823</v>
      </c>
      <c r="I740" s="85" t="s">
        <v>2398</v>
      </c>
      <c r="J740" s="42">
        <v>63.4</v>
      </c>
      <c r="K740" s="42">
        <v>14.0</v>
      </c>
      <c r="L740" s="42">
        <v>22.0</v>
      </c>
      <c r="M740" s="42">
        <v>10.2</v>
      </c>
      <c r="N740" s="42">
        <v>1.2</v>
      </c>
      <c r="O740" s="42">
        <v>1.44E13</v>
      </c>
      <c r="P740" s="42">
        <v>1.87E11</v>
      </c>
      <c r="Q740" s="42">
        <v>-35.7</v>
      </c>
      <c r="R740" s="42">
        <v>-30.0</v>
      </c>
      <c r="S740" s="42">
        <v>-67.9</v>
      </c>
      <c r="T740" s="42">
        <v>-44.3</v>
      </c>
      <c r="U740" s="42">
        <v>120.0</v>
      </c>
      <c r="V740" s="42">
        <v>-30.0</v>
      </c>
      <c r="W740" s="42">
        <v>-61.4</v>
      </c>
    </row>
    <row r="741">
      <c r="A741" s="87">
        <v>740.0</v>
      </c>
      <c r="B741" s="85" t="s">
        <v>2399</v>
      </c>
      <c r="C741" s="85" t="s">
        <v>807</v>
      </c>
      <c r="D741" s="85" t="s">
        <v>1234</v>
      </c>
      <c r="E741" s="85" t="s">
        <v>1235</v>
      </c>
      <c r="F741" s="85" t="s">
        <v>1235</v>
      </c>
      <c r="G741" s="85" t="s">
        <v>1236</v>
      </c>
      <c r="H741" s="85" t="s">
        <v>1237</v>
      </c>
      <c r="I741" s="85" t="s">
        <v>1322</v>
      </c>
      <c r="J741" s="42">
        <v>33.2</v>
      </c>
      <c r="K741" s="42">
        <v>0.34</v>
      </c>
      <c r="L741" s="42">
        <v>1.0</v>
      </c>
      <c r="M741" s="42">
        <v>0.66</v>
      </c>
      <c r="N741" s="42">
        <v>0.56</v>
      </c>
      <c r="O741" s="42">
        <v>1.7E11</v>
      </c>
      <c r="P741" s="42">
        <v>4.1E10</v>
      </c>
      <c r="Q741" s="42">
        <v>-31.5</v>
      </c>
      <c r="R741" s="42">
        <v>16.3</v>
      </c>
      <c r="S741" s="42">
        <v>16.3</v>
      </c>
      <c r="T741" s="42">
        <v>110.0</v>
      </c>
      <c r="U741" s="42">
        <v>12.4</v>
      </c>
      <c r="V741" s="42">
        <v>-16.7</v>
      </c>
      <c r="W741" s="42">
        <v>22.0</v>
      </c>
    </row>
    <row r="742">
      <c r="A742" s="87">
        <v>741.0</v>
      </c>
      <c r="B742" s="85" t="s">
        <v>2400</v>
      </c>
      <c r="C742" s="85" t="s">
        <v>808</v>
      </c>
      <c r="D742" s="85" t="s">
        <v>1299</v>
      </c>
      <c r="E742" s="85" t="s">
        <v>1300</v>
      </c>
      <c r="F742" s="85" t="s">
        <v>1301</v>
      </c>
      <c r="G742" s="85" t="s">
        <v>1301</v>
      </c>
      <c r="H742" s="85" t="s">
        <v>1301</v>
      </c>
      <c r="I742" s="85" t="s">
        <v>1265</v>
      </c>
      <c r="J742" s="42">
        <v>16.2</v>
      </c>
      <c r="K742" s="42">
        <v>1.5</v>
      </c>
      <c r="L742" s="42">
        <v>9.4</v>
      </c>
      <c r="M742" s="42">
        <v>4.8</v>
      </c>
      <c r="N742" s="42">
        <v>0.96</v>
      </c>
      <c r="O742" s="42">
        <v>8.0E10</v>
      </c>
      <c r="P742" s="42">
        <v>2.4E10</v>
      </c>
      <c r="Q742" s="42">
        <v>-24.3</v>
      </c>
      <c r="R742" s="42">
        <v>-36.2</v>
      </c>
      <c r="S742" s="42">
        <v>-57.4</v>
      </c>
      <c r="T742" s="42">
        <v>-29.6</v>
      </c>
      <c r="U742" s="42">
        <v>20.4</v>
      </c>
      <c r="V742" s="42">
        <v>-19.8</v>
      </c>
      <c r="W742" s="42">
        <v>-54.7</v>
      </c>
    </row>
    <row r="743">
      <c r="A743" s="87">
        <v>742.0</v>
      </c>
      <c r="B743" s="85" t="s">
        <v>2401</v>
      </c>
      <c r="C743" s="85" t="s">
        <v>809</v>
      </c>
      <c r="D743" s="85" t="s">
        <v>1234</v>
      </c>
      <c r="E743" s="85" t="s">
        <v>1235</v>
      </c>
      <c r="F743" s="85" t="s">
        <v>1235</v>
      </c>
      <c r="G743" s="85" t="s">
        <v>1236</v>
      </c>
      <c r="H743" s="85" t="s">
        <v>1237</v>
      </c>
      <c r="I743" s="85" t="s">
        <v>1238</v>
      </c>
      <c r="J743" s="42">
        <v>12.1</v>
      </c>
      <c r="K743" s="42">
        <v>1.4</v>
      </c>
      <c r="L743" s="42">
        <v>11.1</v>
      </c>
      <c r="M743" s="42">
        <v>9.9</v>
      </c>
      <c r="N743" s="42">
        <v>0.12</v>
      </c>
      <c r="O743" s="42">
        <v>4.5E12</v>
      </c>
      <c r="P743" s="42">
        <v>1.42E11</v>
      </c>
      <c r="Q743" s="42">
        <v>-2.3</v>
      </c>
      <c r="R743" s="42">
        <v>-2.3</v>
      </c>
      <c r="S743" s="42">
        <v>27.5</v>
      </c>
      <c r="T743" s="42">
        <v>22.1</v>
      </c>
      <c r="U743" s="42">
        <v>260.0</v>
      </c>
      <c r="V743" s="42">
        <v>-4.7</v>
      </c>
      <c r="W743" s="42">
        <v>25.0</v>
      </c>
    </row>
    <row r="744">
      <c r="A744" s="87">
        <v>743.0</v>
      </c>
      <c r="B744" s="85" t="s">
        <v>2402</v>
      </c>
      <c r="C744" s="85" t="s">
        <v>810</v>
      </c>
      <c r="D744" s="85" t="s">
        <v>1234</v>
      </c>
      <c r="E744" s="85" t="s">
        <v>1235</v>
      </c>
      <c r="F744" s="85" t="s">
        <v>1235</v>
      </c>
      <c r="G744" s="85" t="s">
        <v>1236</v>
      </c>
      <c r="H744" s="85" t="s">
        <v>1237</v>
      </c>
      <c r="I744" s="85" t="s">
        <v>1473</v>
      </c>
      <c r="J744" s="42">
        <v>-130.0</v>
      </c>
      <c r="K744" s="42">
        <v>0.91</v>
      </c>
      <c r="L744" s="42">
        <v>-0.72</v>
      </c>
      <c r="M744" s="42">
        <v>-0.71</v>
      </c>
      <c r="N744" s="42">
        <v>0.01</v>
      </c>
      <c r="O744" s="42">
        <v>3.38E11</v>
      </c>
      <c r="P744" s="42">
        <v>1.5E9</v>
      </c>
      <c r="Q744" s="42">
        <v>-5.7</v>
      </c>
      <c r="R744" s="42">
        <v>-5.7</v>
      </c>
      <c r="S744" s="42">
        <v>-43.2</v>
      </c>
      <c r="T744" s="42">
        <v>51.5</v>
      </c>
      <c r="U744" s="42">
        <v>-180.0</v>
      </c>
      <c r="V744" s="42">
        <v>0.0</v>
      </c>
      <c r="W744" s="42">
        <v>-27.5</v>
      </c>
    </row>
    <row r="745">
      <c r="A745" s="87">
        <v>744.0</v>
      </c>
      <c r="B745" s="85" t="s">
        <v>2403</v>
      </c>
      <c r="C745" s="85" t="s">
        <v>811</v>
      </c>
      <c r="D745" s="85" t="s">
        <v>1234</v>
      </c>
      <c r="E745" s="85" t="s">
        <v>1235</v>
      </c>
      <c r="F745" s="85" t="s">
        <v>1235</v>
      </c>
      <c r="G745" s="85" t="s">
        <v>1236</v>
      </c>
      <c r="H745" s="85" t="s">
        <v>1237</v>
      </c>
      <c r="I745" s="85" t="s">
        <v>1265</v>
      </c>
      <c r="J745" s="42">
        <v>24.8</v>
      </c>
      <c r="K745" s="42">
        <v>0.87</v>
      </c>
      <c r="L745" s="42">
        <v>3.5</v>
      </c>
      <c r="M745" s="42">
        <v>3.0</v>
      </c>
      <c r="N745" s="42">
        <v>0.18</v>
      </c>
      <c r="O745" s="42">
        <v>2.12E11</v>
      </c>
      <c r="P745" s="42">
        <v>4.0E10</v>
      </c>
      <c r="Q745" s="42">
        <v>-15.4</v>
      </c>
      <c r="R745" s="42">
        <v>-13.2</v>
      </c>
      <c r="S745" s="42">
        <v>-26.7</v>
      </c>
      <c r="T745" s="42">
        <v>65.0</v>
      </c>
      <c r="U745" s="42">
        <v>21.6</v>
      </c>
      <c r="V745" s="42">
        <v>-8.3</v>
      </c>
      <c r="W745" s="42">
        <v>-28.3</v>
      </c>
    </row>
    <row r="746">
      <c r="A746" s="87">
        <v>745.0</v>
      </c>
      <c r="B746" s="85" t="s">
        <v>2404</v>
      </c>
      <c r="C746" s="85" t="s">
        <v>812</v>
      </c>
      <c r="D746" s="85" t="s">
        <v>2299</v>
      </c>
      <c r="E746" s="85" t="s">
        <v>1208</v>
      </c>
      <c r="F746" s="85" t="s">
        <v>1341</v>
      </c>
      <c r="G746" s="85" t="s">
        <v>1342</v>
      </c>
      <c r="H746" s="85" t="s">
        <v>2300</v>
      </c>
      <c r="I746" s="85" t="s">
        <v>1211</v>
      </c>
      <c r="J746" s="42">
        <v>74.4</v>
      </c>
      <c r="K746" s="42">
        <v>1.7</v>
      </c>
      <c r="L746" s="42">
        <v>2.3</v>
      </c>
      <c r="M746" s="42">
        <v>1.7</v>
      </c>
      <c r="N746" s="42">
        <v>0.33</v>
      </c>
      <c r="O746" s="42">
        <v>8.89E11</v>
      </c>
      <c r="P746" s="42">
        <v>5.57E9</v>
      </c>
      <c r="Q746" s="42">
        <v>-6.0</v>
      </c>
      <c r="R746" s="42">
        <v>-6.9</v>
      </c>
      <c r="S746" s="42">
        <v>-20.3</v>
      </c>
      <c r="T746" s="42">
        <v>3.1</v>
      </c>
      <c r="U746" s="42">
        <v>210.0</v>
      </c>
      <c r="V746" s="42">
        <v>-4.9</v>
      </c>
      <c r="W746" s="42">
        <v>-16.8</v>
      </c>
    </row>
    <row r="747">
      <c r="A747" s="87">
        <v>746.0</v>
      </c>
      <c r="B747" s="85" t="s">
        <v>2405</v>
      </c>
      <c r="C747" s="85" t="s">
        <v>813</v>
      </c>
      <c r="D747" s="85" t="s">
        <v>1397</v>
      </c>
      <c r="E747" s="85" t="s">
        <v>1187</v>
      </c>
      <c r="F747" s="85" t="s">
        <v>1188</v>
      </c>
      <c r="G747" s="85" t="s">
        <v>1359</v>
      </c>
      <c r="H747" s="85" t="s">
        <v>1398</v>
      </c>
      <c r="I747" s="85" t="s">
        <v>1280</v>
      </c>
      <c r="J747" s="42">
        <v>9.7</v>
      </c>
      <c r="K747" s="42">
        <v>1.4</v>
      </c>
      <c r="L747" s="42">
        <v>14.7</v>
      </c>
      <c r="M747" s="42">
        <v>12.2</v>
      </c>
      <c r="N747" s="42">
        <v>0.2</v>
      </c>
      <c r="O747" s="42">
        <v>1.5E11</v>
      </c>
      <c r="P747" s="42">
        <v>3.0E10</v>
      </c>
      <c r="Q747" s="42">
        <v>6.3</v>
      </c>
      <c r="R747" s="42">
        <v>8.6</v>
      </c>
      <c r="S747" s="42">
        <v>-4.7</v>
      </c>
      <c r="T747" s="42">
        <v>-22.3</v>
      </c>
      <c r="U747" s="42">
        <v>51.7</v>
      </c>
      <c r="V747" s="42">
        <v>-1.9</v>
      </c>
      <c r="W747" s="42">
        <v>2.0</v>
      </c>
    </row>
    <row r="748">
      <c r="A748" s="87">
        <v>747.0</v>
      </c>
      <c r="B748" s="85" t="s">
        <v>2406</v>
      </c>
      <c r="C748" s="85" t="s">
        <v>814</v>
      </c>
      <c r="D748" s="85" t="s">
        <v>1834</v>
      </c>
      <c r="E748" s="85" t="s">
        <v>1201</v>
      </c>
      <c r="F748" s="85" t="s">
        <v>1225</v>
      </c>
      <c r="G748" s="85" t="s">
        <v>1225</v>
      </c>
      <c r="H748" s="85" t="s">
        <v>1835</v>
      </c>
      <c r="I748" s="85" t="s">
        <v>1227</v>
      </c>
      <c r="J748" s="42">
        <v>-0.16</v>
      </c>
      <c r="K748" s="42">
        <v>0.19</v>
      </c>
      <c r="L748" s="42">
        <v>-120.0</v>
      </c>
      <c r="M748" s="42">
        <v>-17.3</v>
      </c>
      <c r="N748" s="42">
        <v>6.2</v>
      </c>
      <c r="O748" s="42">
        <v>4.9E10</v>
      </c>
      <c r="P748" s="42">
        <v>1.16E11</v>
      </c>
      <c r="Q748" s="42">
        <v>-38.6</v>
      </c>
      <c r="R748" s="42">
        <v>-27.9</v>
      </c>
      <c r="S748" s="42">
        <v>-32.6</v>
      </c>
      <c r="T748" s="42">
        <v>63.2</v>
      </c>
      <c r="U748" s="42">
        <v>-270.0</v>
      </c>
      <c r="V748" s="42">
        <v>-23.5</v>
      </c>
      <c r="W748" s="42">
        <v>-27.1</v>
      </c>
    </row>
    <row r="749">
      <c r="A749" s="87">
        <v>748.0</v>
      </c>
      <c r="B749" s="85" t="s">
        <v>2407</v>
      </c>
      <c r="C749" s="85" t="s">
        <v>815</v>
      </c>
      <c r="D749" s="85" t="s">
        <v>1308</v>
      </c>
      <c r="E749" s="85" t="s">
        <v>1187</v>
      </c>
      <c r="F749" s="85" t="s">
        <v>1188</v>
      </c>
      <c r="G749" s="85" t="s">
        <v>1189</v>
      </c>
      <c r="H749" s="85" t="s">
        <v>1309</v>
      </c>
      <c r="I749" s="85" t="s">
        <v>1280</v>
      </c>
      <c r="J749" s="42">
        <v>4.7</v>
      </c>
      <c r="K749" s="42">
        <v>0.44</v>
      </c>
      <c r="L749" s="42">
        <v>9.5</v>
      </c>
      <c r="M749" s="42">
        <v>9.4</v>
      </c>
      <c r="N749" s="42">
        <v>0.01</v>
      </c>
      <c r="O749" s="42">
        <v>4.02E11</v>
      </c>
      <c r="P749" s="42">
        <v>2.29E11</v>
      </c>
      <c r="Q749" s="42">
        <v>-8.8</v>
      </c>
      <c r="R749" s="42">
        <v>-9.5</v>
      </c>
      <c r="S749" s="42">
        <v>-19.5</v>
      </c>
      <c r="T749" s="42">
        <v>-12.1</v>
      </c>
      <c r="U749" s="42">
        <v>37.7</v>
      </c>
      <c r="V749" s="42">
        <v>-8.1</v>
      </c>
      <c r="W749" s="42">
        <v>-25.7</v>
      </c>
    </row>
    <row r="750">
      <c r="A750" s="87">
        <v>749.0</v>
      </c>
      <c r="B750" s="85" t="s">
        <v>2408</v>
      </c>
      <c r="C750" s="85" t="s">
        <v>816</v>
      </c>
      <c r="D750" s="85" t="s">
        <v>1234</v>
      </c>
      <c r="E750" s="85" t="s">
        <v>1235</v>
      </c>
      <c r="F750" s="85" t="s">
        <v>1235</v>
      </c>
      <c r="G750" s="85" t="s">
        <v>1236</v>
      </c>
      <c r="H750" s="85" t="s">
        <v>1237</v>
      </c>
      <c r="I750" s="85" t="s">
        <v>2409</v>
      </c>
      <c r="J750" s="42">
        <v>0.0</v>
      </c>
      <c r="K750" s="42">
        <v>0.37</v>
      </c>
      <c r="L750" s="42">
        <v>1.2</v>
      </c>
      <c r="M750" s="42">
        <v>1.1</v>
      </c>
      <c r="N750" s="42">
        <v>0.09</v>
      </c>
      <c r="O750" s="42">
        <v>2.3E12</v>
      </c>
      <c r="P750" s="42">
        <v>5.08E11</v>
      </c>
      <c r="Q750" s="42">
        <v>0.0</v>
      </c>
      <c r="R750" s="42">
        <v>0.0</v>
      </c>
      <c r="S750" s="42">
        <v>0.0</v>
      </c>
      <c r="T750" s="42">
        <v>0.0</v>
      </c>
      <c r="U750" s="42">
        <v>14.2</v>
      </c>
      <c r="V750" s="42">
        <v>0.0</v>
      </c>
      <c r="W750" s="42">
        <v>0.0</v>
      </c>
    </row>
    <row r="751">
      <c r="A751" s="87">
        <v>750.0</v>
      </c>
      <c r="B751" s="85" t="s">
        <v>2410</v>
      </c>
      <c r="C751" s="85" t="s">
        <v>817</v>
      </c>
      <c r="D751" s="85" t="s">
        <v>1234</v>
      </c>
      <c r="E751" s="85" t="s">
        <v>1235</v>
      </c>
      <c r="F751" s="85" t="s">
        <v>1235</v>
      </c>
      <c r="G751" s="85" t="s">
        <v>1236</v>
      </c>
      <c r="H751" s="85" t="s">
        <v>1237</v>
      </c>
      <c r="I751" s="85" t="s">
        <v>1322</v>
      </c>
      <c r="J751" s="42">
        <v>110.0</v>
      </c>
      <c r="K751" s="42">
        <v>5.4</v>
      </c>
      <c r="L751" s="42">
        <v>5.0</v>
      </c>
      <c r="M751" s="42">
        <v>4.0</v>
      </c>
      <c r="N751" s="42">
        <v>0.23</v>
      </c>
      <c r="O751" s="42">
        <v>1.82E13</v>
      </c>
      <c r="P751" s="42">
        <v>1.73E11</v>
      </c>
      <c r="Q751" s="42">
        <v>-47.7</v>
      </c>
      <c r="R751" s="42">
        <v>-65.7</v>
      </c>
      <c r="S751" s="42">
        <v>-92.1</v>
      </c>
      <c r="T751" s="42">
        <v>-25.1</v>
      </c>
      <c r="U751" s="42">
        <v>97.1</v>
      </c>
      <c r="V751" s="42">
        <v>-24.8</v>
      </c>
      <c r="W751" s="42">
        <v>-91.1</v>
      </c>
    </row>
    <row r="752">
      <c r="A752" s="87">
        <v>751.0</v>
      </c>
      <c r="B752" s="85" t="s">
        <v>2411</v>
      </c>
      <c r="C752" s="85" t="s">
        <v>818</v>
      </c>
      <c r="D752" s="85" t="s">
        <v>1267</v>
      </c>
      <c r="E752" s="85" t="s">
        <v>1194</v>
      </c>
      <c r="F752" s="85" t="s">
        <v>1195</v>
      </c>
      <c r="G752" s="85" t="s">
        <v>1196</v>
      </c>
      <c r="H752" s="85" t="s">
        <v>1268</v>
      </c>
      <c r="I752" s="85" t="s">
        <v>1514</v>
      </c>
      <c r="J752" s="42">
        <v>210.0</v>
      </c>
      <c r="K752" s="42">
        <v>28.6</v>
      </c>
      <c r="L752" s="42">
        <v>13.9</v>
      </c>
      <c r="M752" s="42">
        <v>5.3</v>
      </c>
      <c r="N752" s="42">
        <v>1.6</v>
      </c>
      <c r="O752" s="42">
        <v>8.8E12</v>
      </c>
      <c r="P752" s="42">
        <v>9.2E10</v>
      </c>
      <c r="Q752" s="42">
        <v>-47.7</v>
      </c>
      <c r="R752" s="42">
        <v>-58.8</v>
      </c>
      <c r="S752" s="42">
        <v>980.0</v>
      </c>
      <c r="T752" s="88"/>
      <c r="U752" s="42">
        <v>46.4</v>
      </c>
      <c r="V752" s="42">
        <v>-5.8</v>
      </c>
      <c r="W752" s="42">
        <v>25.3</v>
      </c>
    </row>
    <row r="753">
      <c r="A753" s="87">
        <v>752.0</v>
      </c>
      <c r="B753" s="85" t="s">
        <v>2412</v>
      </c>
      <c r="C753" s="85" t="s">
        <v>819</v>
      </c>
      <c r="D753" s="85" t="s">
        <v>1308</v>
      </c>
      <c r="E753" s="85" t="s">
        <v>1187</v>
      </c>
      <c r="F753" s="85" t="s">
        <v>1188</v>
      </c>
      <c r="G753" s="85" t="s">
        <v>1189</v>
      </c>
      <c r="H753" s="85" t="s">
        <v>1309</v>
      </c>
      <c r="I753" s="85" t="s">
        <v>2413</v>
      </c>
      <c r="J753" s="42">
        <v>53.6</v>
      </c>
      <c r="K753" s="42">
        <v>6.7</v>
      </c>
      <c r="L753" s="42">
        <v>12.4</v>
      </c>
      <c r="M753" s="42">
        <v>7.2</v>
      </c>
      <c r="N753" s="42">
        <v>0.73</v>
      </c>
      <c r="O753" s="42">
        <v>1.31E13</v>
      </c>
      <c r="P753" s="42">
        <v>8.16E11</v>
      </c>
      <c r="Q753" s="42">
        <v>-44.8</v>
      </c>
      <c r="R753" s="42">
        <v>-42.2</v>
      </c>
      <c r="S753" s="42">
        <v>-55.8</v>
      </c>
      <c r="T753" s="42">
        <v>260.0</v>
      </c>
      <c r="U753" s="42">
        <v>30.0</v>
      </c>
      <c r="V753" s="42">
        <v>-37.6</v>
      </c>
      <c r="W753" s="42">
        <v>-68.7</v>
      </c>
    </row>
    <row r="754">
      <c r="A754" s="87">
        <v>753.0</v>
      </c>
      <c r="B754" s="85" t="s">
        <v>2414</v>
      </c>
      <c r="C754" s="85" t="s">
        <v>820</v>
      </c>
      <c r="D754" s="85" t="s">
        <v>1397</v>
      </c>
      <c r="E754" s="85" t="s">
        <v>1187</v>
      </c>
      <c r="F754" s="85" t="s">
        <v>1188</v>
      </c>
      <c r="G754" s="85" t="s">
        <v>1359</v>
      </c>
      <c r="H754" s="85" t="s">
        <v>1398</v>
      </c>
      <c r="I754" s="85" t="s">
        <v>1280</v>
      </c>
      <c r="J754" s="42">
        <v>-10.0</v>
      </c>
      <c r="K754" s="42">
        <v>2.8</v>
      </c>
      <c r="L754" s="42">
        <v>-27.7</v>
      </c>
      <c r="M754" s="42">
        <v>-7.1</v>
      </c>
      <c r="N754" s="42">
        <v>2.9</v>
      </c>
      <c r="O754" s="42">
        <v>4.38E11</v>
      </c>
      <c r="P754" s="42">
        <v>7.0E10</v>
      </c>
      <c r="Q754" s="42">
        <v>-48.7</v>
      </c>
      <c r="R754" s="42">
        <v>-57.9</v>
      </c>
      <c r="S754" s="42">
        <v>0.0</v>
      </c>
      <c r="T754" s="42">
        <v>120.0</v>
      </c>
      <c r="U754" s="42">
        <v>-62.7</v>
      </c>
      <c r="V754" s="42">
        <v>-29.4</v>
      </c>
      <c r="W754" s="42">
        <v>-48.3</v>
      </c>
    </row>
    <row r="755">
      <c r="A755" s="87">
        <v>754.0</v>
      </c>
      <c r="B755" s="85" t="s">
        <v>2415</v>
      </c>
      <c r="C755" s="85" t="s">
        <v>821</v>
      </c>
      <c r="D755" s="85" t="s">
        <v>1234</v>
      </c>
      <c r="E755" s="85" t="s">
        <v>1235</v>
      </c>
      <c r="F755" s="85" t="s">
        <v>1235</v>
      </c>
      <c r="G755" s="85" t="s">
        <v>1236</v>
      </c>
      <c r="H755" s="85" t="s">
        <v>1237</v>
      </c>
      <c r="I755" s="85" t="s">
        <v>1238</v>
      </c>
      <c r="J755" s="42">
        <v>78.5</v>
      </c>
      <c r="K755" s="42">
        <v>3.0</v>
      </c>
      <c r="L755" s="42">
        <v>3.8</v>
      </c>
      <c r="M755" s="42">
        <v>3.4</v>
      </c>
      <c r="N755" s="42">
        <v>0.14</v>
      </c>
      <c r="O755" s="42">
        <v>2.5E12</v>
      </c>
      <c r="P755" s="42">
        <v>3.5E10</v>
      </c>
      <c r="Q755" s="42">
        <v>-46.4</v>
      </c>
      <c r="R755" s="42">
        <v>-34.6</v>
      </c>
      <c r="S755" s="42">
        <v>-24.5</v>
      </c>
      <c r="T755" s="42">
        <v>350.0</v>
      </c>
      <c r="U755" s="42">
        <v>91.7</v>
      </c>
      <c r="V755" s="42">
        <v>-30.0</v>
      </c>
      <c r="W755" s="42">
        <v>-15.3</v>
      </c>
    </row>
    <row r="756">
      <c r="A756" s="87">
        <v>755.0</v>
      </c>
      <c r="B756" s="85" t="s">
        <v>2416</v>
      </c>
      <c r="C756" s="85" t="s">
        <v>822</v>
      </c>
      <c r="D756" s="85" t="s">
        <v>1234</v>
      </c>
      <c r="E756" s="85" t="s">
        <v>1235</v>
      </c>
      <c r="F756" s="85" t="s">
        <v>1235</v>
      </c>
      <c r="G756" s="85" t="s">
        <v>1236</v>
      </c>
      <c r="H756" s="85" t="s">
        <v>1237</v>
      </c>
      <c r="I756" s="85" t="s">
        <v>1322</v>
      </c>
      <c r="J756" s="42">
        <v>-12.0</v>
      </c>
      <c r="K756" s="42">
        <v>0.41</v>
      </c>
      <c r="L756" s="42">
        <v>-3.4</v>
      </c>
      <c r="M756" s="42">
        <v>-2.2</v>
      </c>
      <c r="N756" s="42">
        <v>0.57</v>
      </c>
      <c r="O756" s="42">
        <v>8.29E11</v>
      </c>
      <c r="P756" s="42">
        <v>1.1E10</v>
      </c>
      <c r="Q756" s="42">
        <v>-34.2</v>
      </c>
      <c r="R756" s="42">
        <v>-13.8</v>
      </c>
      <c r="S756" s="42">
        <v>2.0</v>
      </c>
      <c r="T756" s="42">
        <v>47.1</v>
      </c>
      <c r="U756" s="42">
        <v>-610.0</v>
      </c>
      <c r="V756" s="42">
        <v>-18.0</v>
      </c>
      <c r="W756" s="42">
        <v>0.0</v>
      </c>
    </row>
    <row r="757">
      <c r="A757" s="87">
        <v>756.0</v>
      </c>
      <c r="B757" s="85" t="s">
        <v>2417</v>
      </c>
      <c r="C757" s="85" t="s">
        <v>823</v>
      </c>
      <c r="D757" s="85" t="s">
        <v>1229</v>
      </c>
      <c r="E757" s="85" t="s">
        <v>1230</v>
      </c>
      <c r="F757" s="85" t="s">
        <v>1231</v>
      </c>
      <c r="G757" s="85" t="s">
        <v>1231</v>
      </c>
      <c r="H757" s="85" t="s">
        <v>1231</v>
      </c>
      <c r="I757" s="85" t="s">
        <v>1417</v>
      </c>
      <c r="J757" s="42">
        <v>-3300.0</v>
      </c>
      <c r="K757" s="42">
        <v>300.0</v>
      </c>
      <c r="L757" s="42">
        <v>-9.0</v>
      </c>
      <c r="M757" s="42">
        <v>-0.77</v>
      </c>
      <c r="N757" s="42">
        <v>10.8</v>
      </c>
      <c r="O757" s="42">
        <v>1.6E12</v>
      </c>
      <c r="P757" s="42">
        <v>8.85E9</v>
      </c>
      <c r="Q757" s="42">
        <v>-37.2</v>
      </c>
      <c r="R757" s="42">
        <v>-61.8</v>
      </c>
      <c r="S757" s="42">
        <v>-79.3</v>
      </c>
      <c r="T757" s="42">
        <v>-71.7</v>
      </c>
      <c r="U757" s="42">
        <v>-5.3</v>
      </c>
      <c r="V757" s="42">
        <v>-34.5</v>
      </c>
      <c r="W757" s="42">
        <v>-78.6</v>
      </c>
    </row>
    <row r="758">
      <c r="A758" s="87">
        <v>757.0</v>
      </c>
      <c r="B758" s="85" t="s">
        <v>2418</v>
      </c>
      <c r="C758" s="85" t="s">
        <v>824</v>
      </c>
      <c r="D758" s="85" t="s">
        <v>1282</v>
      </c>
      <c r="E758" s="85" t="s">
        <v>1194</v>
      </c>
      <c r="F758" s="85" t="s">
        <v>1195</v>
      </c>
      <c r="G758" s="85" t="s">
        <v>1283</v>
      </c>
      <c r="H758" s="85" t="s">
        <v>1283</v>
      </c>
      <c r="I758" s="85" t="s">
        <v>1352</v>
      </c>
      <c r="J758" s="42">
        <v>13.8</v>
      </c>
      <c r="K758" s="42">
        <v>1.6</v>
      </c>
      <c r="L758" s="42">
        <v>11.6</v>
      </c>
      <c r="M758" s="42">
        <v>6.5</v>
      </c>
      <c r="N758" s="42">
        <v>0.78</v>
      </c>
      <c r="O758" s="42">
        <v>3.3E12</v>
      </c>
      <c r="P758" s="42">
        <v>8.71E11</v>
      </c>
      <c r="Q758" s="42">
        <v>-10.7</v>
      </c>
      <c r="R758" s="42">
        <v>-26.8</v>
      </c>
      <c r="S758" s="42">
        <v>-31.4</v>
      </c>
      <c r="T758" s="42">
        <v>-35.1</v>
      </c>
      <c r="U758" s="42">
        <v>27.3</v>
      </c>
      <c r="V758" s="42">
        <v>0.0</v>
      </c>
      <c r="W758" s="42">
        <v>-30.6</v>
      </c>
    </row>
    <row r="759">
      <c r="A759" s="87">
        <v>758.0</v>
      </c>
      <c r="B759" s="85" t="s">
        <v>2419</v>
      </c>
      <c r="C759" s="85" t="s">
        <v>825</v>
      </c>
      <c r="D759" s="85" t="s">
        <v>1569</v>
      </c>
      <c r="E759" s="85" t="s">
        <v>1570</v>
      </c>
      <c r="F759" s="85" t="s">
        <v>1571</v>
      </c>
      <c r="G759" s="85" t="s">
        <v>1572</v>
      </c>
      <c r="H759" s="85" t="s">
        <v>1572</v>
      </c>
      <c r="I759" s="85" t="s">
        <v>2064</v>
      </c>
      <c r="J759" s="42">
        <v>-48.8</v>
      </c>
      <c r="K759" s="42">
        <v>5.6</v>
      </c>
      <c r="L759" s="42">
        <v>-11.4</v>
      </c>
      <c r="M759" s="42">
        <v>-7.3</v>
      </c>
      <c r="N759" s="42">
        <v>0.57</v>
      </c>
      <c r="O759" s="42">
        <v>7.05E11</v>
      </c>
      <c r="P759" s="42">
        <v>1.5E10</v>
      </c>
      <c r="Q759" s="42">
        <v>-6.2</v>
      </c>
      <c r="R759" s="42">
        <v>-27.7</v>
      </c>
      <c r="S759" s="42">
        <v>-31.3</v>
      </c>
      <c r="T759" s="42">
        <v>-35.2</v>
      </c>
      <c r="U759" s="42">
        <v>-93.7</v>
      </c>
      <c r="V759" s="42">
        <v>-0.73</v>
      </c>
      <c r="W759" s="42">
        <v>-33.7</v>
      </c>
    </row>
    <row r="760">
      <c r="A760" s="87">
        <v>759.0</v>
      </c>
      <c r="B760" s="85" t="s">
        <v>2420</v>
      </c>
      <c r="C760" s="85" t="s">
        <v>826</v>
      </c>
      <c r="D760" s="85" t="s">
        <v>1569</v>
      </c>
      <c r="E760" s="85" t="s">
        <v>1570</v>
      </c>
      <c r="F760" s="85" t="s">
        <v>1571</v>
      </c>
      <c r="G760" s="85" t="s">
        <v>1572</v>
      </c>
      <c r="H760" s="85" t="s">
        <v>1572</v>
      </c>
      <c r="I760" s="85" t="s">
        <v>1685</v>
      </c>
      <c r="J760" s="42">
        <v>25.6</v>
      </c>
      <c r="K760" s="42">
        <v>1.1</v>
      </c>
      <c r="L760" s="42">
        <v>4.2</v>
      </c>
      <c r="M760" s="42">
        <v>3.3</v>
      </c>
      <c r="N760" s="42">
        <v>0.28</v>
      </c>
      <c r="O760" s="42">
        <v>9.11E11</v>
      </c>
      <c r="P760" s="42">
        <v>1.28E11</v>
      </c>
      <c r="Q760" s="42">
        <v>-43.5</v>
      </c>
      <c r="R760" s="42">
        <v>-37.8</v>
      </c>
      <c r="S760" s="42">
        <v>-37.8</v>
      </c>
      <c r="T760" s="42">
        <v>-37.8</v>
      </c>
      <c r="U760" s="42">
        <v>27.9</v>
      </c>
      <c r="V760" s="42">
        <v>-31.5</v>
      </c>
      <c r="W760" s="42">
        <v>-37.8</v>
      </c>
    </row>
    <row r="761">
      <c r="A761" s="87">
        <v>760.0</v>
      </c>
      <c r="B761" s="85" t="s">
        <v>2421</v>
      </c>
      <c r="C761" s="85" t="s">
        <v>827</v>
      </c>
      <c r="D761" s="85" t="s">
        <v>1397</v>
      </c>
      <c r="E761" s="85" t="s">
        <v>1187</v>
      </c>
      <c r="F761" s="85" t="s">
        <v>1188</v>
      </c>
      <c r="G761" s="85" t="s">
        <v>1359</v>
      </c>
      <c r="H761" s="85" t="s">
        <v>1398</v>
      </c>
      <c r="I761" s="85" t="s">
        <v>1280</v>
      </c>
      <c r="J761" s="42">
        <v>10.9</v>
      </c>
      <c r="K761" s="42">
        <v>0.25</v>
      </c>
      <c r="L761" s="42">
        <v>2.3</v>
      </c>
      <c r="M761" s="42">
        <v>0.96</v>
      </c>
      <c r="N761" s="42">
        <v>1.4</v>
      </c>
      <c r="O761" s="42">
        <v>1.4E11</v>
      </c>
      <c r="P761" s="42">
        <v>4.92E11</v>
      </c>
      <c r="Q761" s="42">
        <v>-24.8</v>
      </c>
      <c r="R761" s="42">
        <v>-39.7</v>
      </c>
      <c r="S761" s="42">
        <v>-28.2</v>
      </c>
      <c r="T761" s="42">
        <v>-3.7</v>
      </c>
      <c r="U761" s="42">
        <v>2.6</v>
      </c>
      <c r="V761" s="42">
        <v>-16.4</v>
      </c>
      <c r="W761" s="42">
        <v>-37.8</v>
      </c>
    </row>
    <row r="762">
      <c r="A762" s="87">
        <v>761.0</v>
      </c>
      <c r="B762" s="85" t="s">
        <v>2422</v>
      </c>
      <c r="C762" s="85" t="s">
        <v>828</v>
      </c>
      <c r="D762" s="85" t="s">
        <v>1899</v>
      </c>
      <c r="E762" s="85" t="s">
        <v>1376</v>
      </c>
      <c r="F762" s="85" t="s">
        <v>1377</v>
      </c>
      <c r="G762" s="85" t="s">
        <v>1900</v>
      </c>
      <c r="H762" s="85" t="s">
        <v>1900</v>
      </c>
      <c r="I762" s="85" t="s">
        <v>1265</v>
      </c>
      <c r="J762" s="42">
        <v>-10.6</v>
      </c>
      <c r="K762" s="42">
        <v>1.4</v>
      </c>
      <c r="L762" s="42">
        <v>-12.9</v>
      </c>
      <c r="M762" s="42">
        <v>-9.1</v>
      </c>
      <c r="N762" s="42">
        <v>0.41</v>
      </c>
      <c r="O762" s="42">
        <v>8.1E10</v>
      </c>
      <c r="P762" s="42">
        <v>1.7E10</v>
      </c>
      <c r="Q762" s="42">
        <v>-18.1</v>
      </c>
      <c r="R762" s="42">
        <v>-20.0</v>
      </c>
      <c r="S762" s="42">
        <v>-33.3</v>
      </c>
      <c r="T762" s="42">
        <v>28.3</v>
      </c>
      <c r="U762" s="42">
        <v>-44.3</v>
      </c>
      <c r="V762" s="42">
        <v>-17.1</v>
      </c>
      <c r="W762" s="42">
        <v>-25.3</v>
      </c>
    </row>
    <row r="763">
      <c r="A763" s="87">
        <v>762.0</v>
      </c>
      <c r="B763" s="85" t="s">
        <v>2423</v>
      </c>
      <c r="C763" s="85" t="s">
        <v>829</v>
      </c>
      <c r="D763" s="85" t="s">
        <v>1426</v>
      </c>
      <c r="E763" s="85" t="s">
        <v>1300</v>
      </c>
      <c r="F763" s="85" t="s">
        <v>1427</v>
      </c>
      <c r="G763" s="85" t="s">
        <v>1428</v>
      </c>
      <c r="H763" s="85" t="s">
        <v>1429</v>
      </c>
      <c r="I763" s="85" t="s">
        <v>1302</v>
      </c>
      <c r="J763" s="42">
        <v>7.9</v>
      </c>
      <c r="K763" s="42">
        <v>3.9</v>
      </c>
      <c r="L763" s="42">
        <v>49.4</v>
      </c>
      <c r="M763" s="42">
        <v>17.2</v>
      </c>
      <c r="N763" s="42">
        <v>1.9</v>
      </c>
      <c r="O763" s="42">
        <v>2.69E11</v>
      </c>
      <c r="P763" s="42">
        <v>5.0E10</v>
      </c>
      <c r="Q763" s="42">
        <v>-12.1</v>
      </c>
      <c r="R763" s="42">
        <v>-17.4</v>
      </c>
      <c r="S763" s="42">
        <v>6.3</v>
      </c>
      <c r="T763" s="42">
        <v>59.2</v>
      </c>
      <c r="U763" s="42">
        <v>67.6</v>
      </c>
      <c r="V763" s="42">
        <v>-1.9</v>
      </c>
      <c r="W763" s="42">
        <v>-20.4</v>
      </c>
    </row>
    <row r="764">
      <c r="A764" s="87">
        <v>763.0</v>
      </c>
      <c r="B764" s="85" t="s">
        <v>2424</v>
      </c>
      <c r="C764" s="85" t="s">
        <v>830</v>
      </c>
      <c r="D764" s="85" t="s">
        <v>1234</v>
      </c>
      <c r="E764" s="85" t="s">
        <v>1235</v>
      </c>
      <c r="F764" s="85" t="s">
        <v>1235</v>
      </c>
      <c r="G764" s="85" t="s">
        <v>1236</v>
      </c>
      <c r="H764" s="85" t="s">
        <v>1237</v>
      </c>
      <c r="I764" s="85" t="s">
        <v>1475</v>
      </c>
      <c r="J764" s="42">
        <v>-76.4</v>
      </c>
      <c r="K764" s="42">
        <v>0.96</v>
      </c>
      <c r="L764" s="42">
        <v>-1.3</v>
      </c>
      <c r="M764" s="42">
        <v>-1.1</v>
      </c>
      <c r="N764" s="42">
        <v>0.13</v>
      </c>
      <c r="O764" s="42">
        <v>2.73E11</v>
      </c>
      <c r="P764" s="42">
        <v>1.99E9</v>
      </c>
      <c r="Q764" s="42">
        <v>-23.3</v>
      </c>
      <c r="R764" s="42">
        <v>-30.3</v>
      </c>
      <c r="S764" s="42">
        <v>-32.4</v>
      </c>
      <c r="T764" s="42">
        <v>53.3</v>
      </c>
      <c r="U764" s="42">
        <v>-180.0</v>
      </c>
      <c r="V764" s="42">
        <v>-30.3</v>
      </c>
      <c r="W764" s="42">
        <v>-34.3</v>
      </c>
    </row>
    <row r="765">
      <c r="A765" s="87">
        <v>764.0</v>
      </c>
      <c r="B765" s="85" t="s">
        <v>2425</v>
      </c>
      <c r="C765" s="85" t="s">
        <v>831</v>
      </c>
      <c r="D765" s="85" t="s">
        <v>1569</v>
      </c>
      <c r="E765" s="85" t="s">
        <v>1570</v>
      </c>
      <c r="F765" s="85" t="s">
        <v>1571</v>
      </c>
      <c r="G765" s="85" t="s">
        <v>1572</v>
      </c>
      <c r="H765" s="85" t="s">
        <v>1572</v>
      </c>
      <c r="I765" s="85" t="s">
        <v>1573</v>
      </c>
      <c r="J765" s="42">
        <v>290.0</v>
      </c>
      <c r="K765" s="42">
        <v>1.3</v>
      </c>
      <c r="L765" s="42">
        <v>0.47</v>
      </c>
      <c r="M765" s="42">
        <v>0.34</v>
      </c>
      <c r="N765" s="42">
        <v>0.38</v>
      </c>
      <c r="O765" s="42">
        <v>5.6E12</v>
      </c>
      <c r="P765" s="42">
        <v>4.79E11</v>
      </c>
      <c r="Q765" s="42">
        <v>-18.6</v>
      </c>
      <c r="R765" s="42">
        <v>-8.3</v>
      </c>
      <c r="S765" s="42">
        <v>-32.4</v>
      </c>
      <c r="T765" s="42">
        <v>11.6</v>
      </c>
      <c r="U765" s="42">
        <v>4.1</v>
      </c>
      <c r="V765" s="42">
        <v>-10.0</v>
      </c>
      <c r="W765" s="42">
        <v>-20.9</v>
      </c>
    </row>
    <row r="766">
      <c r="A766" s="87">
        <v>765.0</v>
      </c>
      <c r="B766" s="85" t="s">
        <v>2426</v>
      </c>
      <c r="C766" s="85" t="s">
        <v>832</v>
      </c>
      <c r="D766" s="85" t="s">
        <v>1767</v>
      </c>
      <c r="E766" s="85" t="s">
        <v>1252</v>
      </c>
      <c r="F766" s="85" t="s">
        <v>1252</v>
      </c>
      <c r="G766" s="85" t="s">
        <v>1253</v>
      </c>
      <c r="H766" s="85" t="s">
        <v>1768</v>
      </c>
      <c r="I766" s="85" t="s">
        <v>1306</v>
      </c>
      <c r="J766" s="42">
        <v>11.9</v>
      </c>
      <c r="K766" s="42">
        <v>1.5</v>
      </c>
      <c r="L766" s="42">
        <v>12.9</v>
      </c>
      <c r="M766" s="42">
        <v>7.1</v>
      </c>
      <c r="N766" s="42">
        <v>0.82</v>
      </c>
      <c r="O766" s="42">
        <v>3.0E12</v>
      </c>
      <c r="P766" s="42">
        <v>6.02E11</v>
      </c>
      <c r="Q766" s="42">
        <v>-19.5</v>
      </c>
      <c r="R766" s="42">
        <v>-22.0</v>
      </c>
      <c r="S766" s="42">
        <v>-18.5</v>
      </c>
      <c r="T766" s="42">
        <v>-27.7</v>
      </c>
      <c r="U766" s="42">
        <v>41.4</v>
      </c>
      <c r="V766" s="42">
        <v>-11.1</v>
      </c>
      <c r="W766" s="42">
        <v>-17.4</v>
      </c>
    </row>
    <row r="767">
      <c r="A767" s="87">
        <v>766.0</v>
      </c>
      <c r="B767" s="85" t="s">
        <v>2427</v>
      </c>
      <c r="C767" s="85" t="s">
        <v>833</v>
      </c>
      <c r="D767" s="85" t="s">
        <v>1299</v>
      </c>
      <c r="E767" s="85" t="s">
        <v>1300</v>
      </c>
      <c r="F767" s="85" t="s">
        <v>1301</v>
      </c>
      <c r="G767" s="85" t="s">
        <v>1301</v>
      </c>
      <c r="H767" s="85" t="s">
        <v>1301</v>
      </c>
      <c r="I767" s="85" t="s">
        <v>1302</v>
      </c>
      <c r="J767" s="42">
        <v>150.0</v>
      </c>
      <c r="K767" s="42">
        <v>0.79</v>
      </c>
      <c r="L767" s="42">
        <v>0.53</v>
      </c>
      <c r="M767" s="42">
        <v>0.26</v>
      </c>
      <c r="N767" s="42">
        <v>1.0</v>
      </c>
      <c r="O767" s="42">
        <v>1.67E11</v>
      </c>
      <c r="P767" s="42">
        <v>1.13E11</v>
      </c>
      <c r="Q767" s="42">
        <v>-19.3</v>
      </c>
      <c r="R767" s="42">
        <v>-21.2</v>
      </c>
      <c r="S767" s="42">
        <v>-36.0</v>
      </c>
      <c r="T767" s="42">
        <v>-42.4</v>
      </c>
      <c r="U767" s="42">
        <v>0.99</v>
      </c>
      <c r="V767" s="42">
        <v>-3.4</v>
      </c>
      <c r="W767" s="42">
        <v>-34.8</v>
      </c>
    </row>
    <row r="768">
      <c r="A768" s="87">
        <v>767.0</v>
      </c>
      <c r="B768" s="85" t="s">
        <v>2428</v>
      </c>
      <c r="C768" s="85" t="s">
        <v>834</v>
      </c>
      <c r="D768" s="85" t="s">
        <v>1234</v>
      </c>
      <c r="E768" s="85" t="s">
        <v>1235</v>
      </c>
      <c r="F768" s="85" t="s">
        <v>1235</v>
      </c>
      <c r="G768" s="85" t="s">
        <v>1236</v>
      </c>
      <c r="H768" s="85" t="s">
        <v>1237</v>
      </c>
      <c r="I768" s="85" t="s">
        <v>1322</v>
      </c>
      <c r="J768" s="42">
        <v>-130.0</v>
      </c>
      <c r="K768" s="42">
        <v>7.9</v>
      </c>
      <c r="L768" s="42">
        <v>-6.0</v>
      </c>
      <c r="M768" s="42">
        <v>-1.3</v>
      </c>
      <c r="N768" s="42">
        <v>3.7</v>
      </c>
      <c r="O768" s="42">
        <v>3.55E11</v>
      </c>
      <c r="P768" s="42">
        <v>7.21E9</v>
      </c>
      <c r="Q768" s="42">
        <v>2.3</v>
      </c>
      <c r="R768" s="42">
        <v>5.5</v>
      </c>
      <c r="S768" s="42">
        <v>0.746</v>
      </c>
      <c r="T768" s="42">
        <v>22.7</v>
      </c>
      <c r="U768" s="42">
        <v>-37.0</v>
      </c>
      <c r="V768" s="42">
        <v>4.7</v>
      </c>
      <c r="W768" s="42">
        <v>3.8</v>
      </c>
    </row>
    <row r="769">
      <c r="A769" s="87">
        <v>768.0</v>
      </c>
      <c r="B769" s="85" t="s">
        <v>2429</v>
      </c>
      <c r="C769" s="85" t="s">
        <v>835</v>
      </c>
      <c r="D769" s="85" t="s">
        <v>1224</v>
      </c>
      <c r="E769" s="85" t="s">
        <v>1201</v>
      </c>
      <c r="F769" s="85" t="s">
        <v>1225</v>
      </c>
      <c r="G769" s="85" t="s">
        <v>1225</v>
      </c>
      <c r="H769" s="85" t="s">
        <v>1226</v>
      </c>
      <c r="I769" s="85" t="s">
        <v>1205</v>
      </c>
      <c r="J769" s="42">
        <v>0.0</v>
      </c>
      <c r="K769" s="42">
        <v>0.03</v>
      </c>
      <c r="L769" s="42">
        <v>-49.5</v>
      </c>
      <c r="M769" s="42">
        <v>-11.4</v>
      </c>
      <c r="N769" s="42">
        <v>3.4</v>
      </c>
      <c r="O769" s="42">
        <v>4.75E9</v>
      </c>
      <c r="P769" s="42">
        <v>1.1E10</v>
      </c>
      <c r="Q769" s="42">
        <v>0.0</v>
      </c>
      <c r="R769" s="42">
        <v>0.0</v>
      </c>
      <c r="S769" s="42">
        <v>0.0</v>
      </c>
      <c r="T769" s="42">
        <v>0.0</v>
      </c>
      <c r="U769" s="42">
        <v>-660.0</v>
      </c>
      <c r="V769" s="42">
        <v>0.0</v>
      </c>
      <c r="W769" s="42">
        <v>0.0</v>
      </c>
    </row>
    <row r="770">
      <c r="A770" s="87">
        <v>769.0</v>
      </c>
      <c r="B770" s="85" t="s">
        <v>2430</v>
      </c>
      <c r="C770" s="85" t="s">
        <v>836</v>
      </c>
      <c r="D770" s="85" t="s">
        <v>1251</v>
      </c>
      <c r="E770" s="85" t="s">
        <v>1252</v>
      </c>
      <c r="F770" s="85" t="s">
        <v>1252</v>
      </c>
      <c r="G770" s="85" t="s">
        <v>1253</v>
      </c>
      <c r="H770" s="85" t="s">
        <v>1254</v>
      </c>
      <c r="I770" s="85" t="s">
        <v>1255</v>
      </c>
      <c r="J770" s="42">
        <v>10.3</v>
      </c>
      <c r="K770" s="42">
        <v>0.43</v>
      </c>
      <c r="L770" s="42">
        <v>4.2</v>
      </c>
      <c r="M770" s="42">
        <v>3.5</v>
      </c>
      <c r="N770" s="42">
        <v>0.21</v>
      </c>
      <c r="O770" s="42">
        <v>1.03E11</v>
      </c>
      <c r="P770" s="42">
        <v>3.1E10</v>
      </c>
      <c r="Q770" s="42">
        <v>-21.8</v>
      </c>
      <c r="R770" s="42">
        <v>-21.8</v>
      </c>
      <c r="S770" s="42">
        <v>-30.1</v>
      </c>
      <c r="T770" s="42">
        <v>-21.8</v>
      </c>
      <c r="U770" s="42">
        <v>32.0</v>
      </c>
      <c r="V770" s="42">
        <v>-16.2</v>
      </c>
      <c r="W770" s="42">
        <v>-29.5</v>
      </c>
    </row>
    <row r="771">
      <c r="A771" s="87">
        <v>770.0</v>
      </c>
      <c r="B771" s="85" t="s">
        <v>2431</v>
      </c>
      <c r="C771" s="85" t="s">
        <v>837</v>
      </c>
      <c r="D771" s="85" t="s">
        <v>1672</v>
      </c>
      <c r="E771" s="85" t="s">
        <v>1214</v>
      </c>
      <c r="F771" s="85" t="s">
        <v>1326</v>
      </c>
      <c r="G771" s="85" t="s">
        <v>1673</v>
      </c>
      <c r="H771" s="85" t="s">
        <v>1674</v>
      </c>
      <c r="I771" s="85" t="s">
        <v>1328</v>
      </c>
      <c r="J771" s="42">
        <v>6.3</v>
      </c>
      <c r="K771" s="42">
        <v>0.35</v>
      </c>
      <c r="L771" s="42">
        <v>5.5</v>
      </c>
      <c r="M771" s="42">
        <v>5.2</v>
      </c>
      <c r="N771" s="42">
        <v>0.06</v>
      </c>
      <c r="O771" s="42">
        <v>2.0E12</v>
      </c>
      <c r="P771" s="42">
        <v>2.0E12</v>
      </c>
      <c r="Q771" s="42">
        <v>-10.8</v>
      </c>
      <c r="R771" s="42">
        <v>-6.5</v>
      </c>
      <c r="S771" s="42">
        <v>-10.0</v>
      </c>
      <c r="T771" s="42">
        <v>-1.4</v>
      </c>
      <c r="U771" s="42">
        <v>16.0</v>
      </c>
      <c r="V771" s="42">
        <v>-10.0</v>
      </c>
      <c r="W771" s="42">
        <v>-9.3</v>
      </c>
    </row>
    <row r="772">
      <c r="A772" s="87">
        <v>771.0</v>
      </c>
      <c r="B772" s="85" t="s">
        <v>2432</v>
      </c>
      <c r="C772" s="85" t="s">
        <v>838</v>
      </c>
      <c r="D772" s="85" t="s">
        <v>2156</v>
      </c>
      <c r="E772" s="85" t="s">
        <v>1201</v>
      </c>
      <c r="F772" s="85" t="s">
        <v>1202</v>
      </c>
      <c r="G772" s="85" t="s">
        <v>1203</v>
      </c>
      <c r="H772" s="85" t="s">
        <v>2157</v>
      </c>
      <c r="I772" s="85" t="s">
        <v>2433</v>
      </c>
      <c r="J772" s="42">
        <v>18.1</v>
      </c>
      <c r="K772" s="42">
        <v>2.1</v>
      </c>
      <c r="L772" s="42">
        <v>11.7</v>
      </c>
      <c r="M772" s="42">
        <v>9.0</v>
      </c>
      <c r="N772" s="42">
        <v>0.3</v>
      </c>
      <c r="O772" s="42">
        <v>1.67E13</v>
      </c>
      <c r="P772" s="42">
        <v>1.9E12</v>
      </c>
      <c r="Q772" s="42">
        <v>-27.2</v>
      </c>
      <c r="R772" s="42">
        <v>-22.2</v>
      </c>
      <c r="S772" s="42">
        <v>-53.9</v>
      </c>
      <c r="T772" s="42">
        <v>11.2</v>
      </c>
      <c r="U772" s="42">
        <v>49.6</v>
      </c>
      <c r="V772" s="42">
        <v>-22.2</v>
      </c>
      <c r="W772" s="42">
        <v>-48.3</v>
      </c>
    </row>
    <row r="773">
      <c r="A773" s="87">
        <v>772.0</v>
      </c>
      <c r="B773" s="85" t="s">
        <v>2434</v>
      </c>
      <c r="C773" s="85" t="s">
        <v>839</v>
      </c>
      <c r="D773" s="85" t="s">
        <v>2435</v>
      </c>
      <c r="E773" s="85" t="s">
        <v>1201</v>
      </c>
      <c r="F773" s="85" t="s">
        <v>1666</v>
      </c>
      <c r="G773" s="85" t="s">
        <v>1666</v>
      </c>
      <c r="H773" s="85" t="s">
        <v>2436</v>
      </c>
      <c r="I773" s="85" t="s">
        <v>1458</v>
      </c>
      <c r="J773" s="42">
        <v>27.6</v>
      </c>
      <c r="K773" s="42">
        <v>1.1</v>
      </c>
      <c r="L773" s="42">
        <v>4.0</v>
      </c>
      <c r="M773" s="42">
        <v>3.2</v>
      </c>
      <c r="N773" s="42">
        <v>0.26</v>
      </c>
      <c r="O773" s="42">
        <v>3.95E11</v>
      </c>
      <c r="P773" s="42">
        <v>7.1E10</v>
      </c>
      <c r="Q773" s="42">
        <v>-12.9</v>
      </c>
      <c r="R773" s="42">
        <v>-20.7</v>
      </c>
      <c r="S773" s="42">
        <v>-12.9</v>
      </c>
      <c r="T773" s="42">
        <v>-11.3</v>
      </c>
      <c r="U773" s="42">
        <v>20.1</v>
      </c>
      <c r="V773" s="42">
        <v>-2.7</v>
      </c>
      <c r="W773" s="42">
        <v>-11.8</v>
      </c>
    </row>
    <row r="774">
      <c r="A774" s="87">
        <v>773.0</v>
      </c>
      <c r="B774" s="85" t="s">
        <v>2437</v>
      </c>
      <c r="C774" s="85" t="s">
        <v>840</v>
      </c>
      <c r="D774" s="85" t="s">
        <v>1799</v>
      </c>
      <c r="E774" s="85" t="s">
        <v>1570</v>
      </c>
      <c r="F774" s="85" t="s">
        <v>1800</v>
      </c>
      <c r="G774" s="85" t="s">
        <v>1801</v>
      </c>
      <c r="H774" s="85" t="s">
        <v>1801</v>
      </c>
      <c r="I774" s="85" t="s">
        <v>2438</v>
      </c>
      <c r="J774" s="42">
        <v>0.35</v>
      </c>
      <c r="K774" s="42">
        <v>0.07</v>
      </c>
      <c r="L774" s="42">
        <v>20.9</v>
      </c>
      <c r="M774" s="42">
        <v>13.2</v>
      </c>
      <c r="N774" s="42">
        <v>0.58</v>
      </c>
      <c r="O774" s="42">
        <v>1.04E11</v>
      </c>
      <c r="P774" s="42">
        <v>8.64E11</v>
      </c>
      <c r="Q774" s="42">
        <v>0.0</v>
      </c>
      <c r="R774" s="42">
        <v>0.0</v>
      </c>
      <c r="S774" s="42">
        <v>0.0</v>
      </c>
      <c r="T774" s="42">
        <v>0.0</v>
      </c>
      <c r="U774" s="42">
        <v>34.2</v>
      </c>
      <c r="V774" s="42">
        <v>0.0</v>
      </c>
      <c r="W774" s="42">
        <v>0.0</v>
      </c>
    </row>
    <row r="775">
      <c r="A775" s="87">
        <v>774.0</v>
      </c>
      <c r="B775" s="85" t="s">
        <v>2439</v>
      </c>
      <c r="C775" s="85" t="s">
        <v>841</v>
      </c>
      <c r="D775" s="85" t="s">
        <v>1299</v>
      </c>
      <c r="E775" s="85" t="s">
        <v>1300</v>
      </c>
      <c r="F775" s="85" t="s">
        <v>1301</v>
      </c>
      <c r="G775" s="85" t="s">
        <v>1301</v>
      </c>
      <c r="H775" s="85" t="s">
        <v>1301</v>
      </c>
      <c r="I775" s="85" t="s">
        <v>1595</v>
      </c>
      <c r="J775" s="42">
        <v>-13.8</v>
      </c>
      <c r="K775" s="42">
        <v>2.2</v>
      </c>
      <c r="L775" s="42">
        <v>-16.0</v>
      </c>
      <c r="M775" s="42">
        <v>-9.6</v>
      </c>
      <c r="N775" s="42">
        <v>0.66</v>
      </c>
      <c r="O775" s="42">
        <v>1.71E11</v>
      </c>
      <c r="P775" s="42">
        <v>1.8E10</v>
      </c>
      <c r="Q775" s="42">
        <v>-44.4</v>
      </c>
      <c r="R775" s="42">
        <v>-29.5</v>
      </c>
      <c r="S775" s="42">
        <v>-55.3</v>
      </c>
      <c r="T775" s="42">
        <v>110.0</v>
      </c>
      <c r="U775" s="42">
        <v>-67.8</v>
      </c>
      <c r="V775" s="42">
        <v>-27.6</v>
      </c>
      <c r="W775" s="42">
        <v>-48.1</v>
      </c>
    </row>
    <row r="776">
      <c r="A776" s="87">
        <v>775.0</v>
      </c>
      <c r="B776" s="85" t="s">
        <v>2440</v>
      </c>
      <c r="C776" s="85" t="s">
        <v>842</v>
      </c>
      <c r="D776" s="85" t="s">
        <v>1749</v>
      </c>
      <c r="E776" s="85" t="s">
        <v>1194</v>
      </c>
      <c r="F776" s="85" t="s">
        <v>1346</v>
      </c>
      <c r="G776" s="85" t="s">
        <v>1346</v>
      </c>
      <c r="H776" s="85" t="s">
        <v>1750</v>
      </c>
      <c r="I776" s="85" t="s">
        <v>1514</v>
      </c>
      <c r="J776" s="42">
        <v>6.3</v>
      </c>
      <c r="K776" s="42">
        <v>0.74</v>
      </c>
      <c r="L776" s="42">
        <v>11.8</v>
      </c>
      <c r="M776" s="42">
        <v>1.9</v>
      </c>
      <c r="N776" s="42">
        <v>5.2</v>
      </c>
      <c r="O776" s="42">
        <v>2.4E11</v>
      </c>
      <c r="P776" s="42">
        <v>1.0E12</v>
      </c>
      <c r="Q776" s="42">
        <v>-17.2</v>
      </c>
      <c r="R776" s="42">
        <v>-15.4</v>
      </c>
      <c r="S776" s="42">
        <v>-4.8</v>
      </c>
      <c r="T776" s="42">
        <v>21.4</v>
      </c>
      <c r="U776" s="42">
        <v>3.8</v>
      </c>
      <c r="V776" s="42">
        <v>-15.9</v>
      </c>
      <c r="W776" s="42">
        <v>0.0</v>
      </c>
    </row>
    <row r="777">
      <c r="A777" s="87">
        <v>776.0</v>
      </c>
      <c r="B777" s="85" t="s">
        <v>2441</v>
      </c>
      <c r="C777" s="85" t="s">
        <v>843</v>
      </c>
      <c r="D777" s="85" t="s">
        <v>1273</v>
      </c>
      <c r="E777" s="85" t="s">
        <v>1208</v>
      </c>
      <c r="F777" s="85" t="s">
        <v>1274</v>
      </c>
      <c r="G777" s="85" t="s">
        <v>1274</v>
      </c>
      <c r="H777" s="85" t="s">
        <v>1274</v>
      </c>
      <c r="I777" s="85" t="s">
        <v>1211</v>
      </c>
      <c r="J777" s="42">
        <v>-3.1</v>
      </c>
      <c r="K777" s="42">
        <v>0.27</v>
      </c>
      <c r="L777" s="42">
        <v>-8.6</v>
      </c>
      <c r="M777" s="42">
        <v>-2.1</v>
      </c>
      <c r="N777" s="42">
        <v>3.2</v>
      </c>
      <c r="O777" s="42">
        <v>3.4E12</v>
      </c>
      <c r="P777" s="42">
        <v>9.07E11</v>
      </c>
      <c r="Q777" s="42">
        <v>-15.5</v>
      </c>
      <c r="R777" s="42">
        <v>-11.4</v>
      </c>
      <c r="S777" s="42">
        <v>-22.7</v>
      </c>
      <c r="T777" s="42">
        <v>-35.9</v>
      </c>
      <c r="U777" s="42">
        <v>-120.0</v>
      </c>
      <c r="V777" s="42">
        <v>-9.2</v>
      </c>
      <c r="W777" s="42">
        <v>-23.2</v>
      </c>
    </row>
    <row r="778">
      <c r="A778" s="87">
        <v>777.0</v>
      </c>
      <c r="B778" s="85" t="s">
        <v>2442</v>
      </c>
      <c r="C778" s="85" t="s">
        <v>844</v>
      </c>
      <c r="D778" s="85" t="s">
        <v>2055</v>
      </c>
      <c r="E778" s="85" t="s">
        <v>1187</v>
      </c>
      <c r="F778" s="85" t="s">
        <v>1843</v>
      </c>
      <c r="G778" s="85" t="s">
        <v>2056</v>
      </c>
      <c r="H778" s="85" t="s">
        <v>2056</v>
      </c>
      <c r="I778" s="85" t="s">
        <v>1280</v>
      </c>
      <c r="J778" s="42">
        <v>15.1</v>
      </c>
      <c r="K778" s="42">
        <v>0.8</v>
      </c>
      <c r="L778" s="42">
        <v>5.3</v>
      </c>
      <c r="M778" s="42">
        <v>3.7</v>
      </c>
      <c r="N778" s="42">
        <v>0.42</v>
      </c>
      <c r="O778" s="42">
        <v>1.39E11</v>
      </c>
      <c r="P778" s="42">
        <v>3.2E10</v>
      </c>
      <c r="Q778" s="42">
        <v>-23.4</v>
      </c>
      <c r="R778" s="42">
        <v>-12.8</v>
      </c>
      <c r="S778" s="42">
        <v>-35.4</v>
      </c>
      <c r="T778" s="42">
        <v>-5.7</v>
      </c>
      <c r="U778" s="42">
        <v>28.7</v>
      </c>
      <c r="V778" s="42">
        <v>-21.2</v>
      </c>
      <c r="W778" s="42">
        <v>-34.9</v>
      </c>
    </row>
    <row r="779">
      <c r="A779" s="87">
        <v>778.0</v>
      </c>
      <c r="B779" s="85" t="s">
        <v>2443</v>
      </c>
      <c r="C779" s="85" t="s">
        <v>845</v>
      </c>
      <c r="D779" s="85" t="s">
        <v>1363</v>
      </c>
      <c r="E779" s="85" t="s">
        <v>1208</v>
      </c>
      <c r="F779" s="85" t="s">
        <v>1364</v>
      </c>
      <c r="G779" s="85" t="s">
        <v>1364</v>
      </c>
      <c r="H779" s="85" t="s">
        <v>1365</v>
      </c>
      <c r="I779" s="85" t="s">
        <v>1211</v>
      </c>
      <c r="J779" s="42">
        <v>-170.0</v>
      </c>
      <c r="K779" s="42">
        <v>21.2</v>
      </c>
      <c r="L779" s="42">
        <v>-12.7</v>
      </c>
      <c r="M779" s="42">
        <v>-10.9</v>
      </c>
      <c r="N779" s="42">
        <v>0.17</v>
      </c>
      <c r="O779" s="42">
        <v>2.7E12</v>
      </c>
      <c r="P779" s="42">
        <v>-1.27E9</v>
      </c>
      <c r="Q779" s="42">
        <v>-1.5</v>
      </c>
      <c r="R779" s="42">
        <v>1.0</v>
      </c>
      <c r="S779" s="42">
        <v>0.0</v>
      </c>
      <c r="T779" s="42">
        <v>0.779</v>
      </c>
      <c r="U779" s="42">
        <v>0.0</v>
      </c>
      <c r="V779" s="42">
        <v>-0.767</v>
      </c>
      <c r="W779" s="42">
        <v>-0.257</v>
      </c>
    </row>
    <row r="780">
      <c r="A780" s="87">
        <v>779.0</v>
      </c>
      <c r="B780" s="85" t="s">
        <v>2444</v>
      </c>
      <c r="C780" s="85" t="s">
        <v>846</v>
      </c>
      <c r="D780" s="85" t="s">
        <v>1308</v>
      </c>
      <c r="E780" s="85" t="s">
        <v>1187</v>
      </c>
      <c r="F780" s="85" t="s">
        <v>1188</v>
      </c>
      <c r="G780" s="85" t="s">
        <v>1189</v>
      </c>
      <c r="H780" s="85" t="s">
        <v>1309</v>
      </c>
      <c r="I780" s="85" t="s">
        <v>2445</v>
      </c>
      <c r="J780" s="42">
        <v>22.3</v>
      </c>
      <c r="K780" s="42">
        <v>1.9</v>
      </c>
      <c r="L780" s="42">
        <v>8.6</v>
      </c>
      <c r="M780" s="42">
        <v>3.4</v>
      </c>
      <c r="N780" s="42">
        <v>1.5</v>
      </c>
      <c r="O780" s="42">
        <v>4.7E12</v>
      </c>
      <c r="P780" s="42">
        <v>2.5E12</v>
      </c>
      <c r="Q780" s="42">
        <v>-33.0</v>
      </c>
      <c r="R780" s="42">
        <v>-43.1</v>
      </c>
      <c r="S780" s="42">
        <v>-42.6</v>
      </c>
      <c r="T780" s="42">
        <v>-31.0</v>
      </c>
      <c r="U780" s="42">
        <v>8.4</v>
      </c>
      <c r="V780" s="42">
        <v>-20.5</v>
      </c>
      <c r="W780" s="42">
        <v>-42.6</v>
      </c>
    </row>
    <row r="781">
      <c r="A781" s="87">
        <v>780.0</v>
      </c>
      <c r="B781" s="85" t="s">
        <v>2446</v>
      </c>
      <c r="C781" s="85" t="s">
        <v>847</v>
      </c>
      <c r="D781" s="85" t="s">
        <v>1193</v>
      </c>
      <c r="E781" s="85" t="s">
        <v>1194</v>
      </c>
      <c r="F781" s="85" t="s">
        <v>1195</v>
      </c>
      <c r="G781" s="85" t="s">
        <v>1196</v>
      </c>
      <c r="H781" s="85" t="s">
        <v>1197</v>
      </c>
      <c r="I781" s="85" t="s">
        <v>2447</v>
      </c>
      <c r="J781" s="42">
        <v>28.4</v>
      </c>
      <c r="K781" s="42">
        <v>0.99</v>
      </c>
      <c r="L781" s="42">
        <v>3.5</v>
      </c>
      <c r="M781" s="42">
        <v>2.1</v>
      </c>
      <c r="N781" s="42">
        <v>0.69</v>
      </c>
      <c r="O781" s="42">
        <v>5.1E12</v>
      </c>
      <c r="P781" s="42">
        <v>1.3E12</v>
      </c>
      <c r="Q781" s="42">
        <v>-42.7</v>
      </c>
      <c r="R781" s="42">
        <v>-68.0</v>
      </c>
      <c r="S781" s="42">
        <v>-70.3</v>
      </c>
      <c r="T781" s="42">
        <v>-10.4</v>
      </c>
      <c r="U781" s="42">
        <v>14.3</v>
      </c>
      <c r="V781" s="42">
        <v>-17.0</v>
      </c>
      <c r="W781" s="42">
        <v>-70.8</v>
      </c>
    </row>
    <row r="782">
      <c r="A782" s="87">
        <v>781.0</v>
      </c>
      <c r="B782" s="85" t="s">
        <v>2448</v>
      </c>
      <c r="C782" s="85" t="s">
        <v>848</v>
      </c>
      <c r="D782" s="85" t="s">
        <v>1285</v>
      </c>
      <c r="E782" s="85" t="s">
        <v>1201</v>
      </c>
      <c r="F782" s="85" t="s">
        <v>1286</v>
      </c>
      <c r="G782" s="85" t="s">
        <v>1287</v>
      </c>
      <c r="H782" s="85" t="s">
        <v>1288</v>
      </c>
      <c r="I782" s="85" t="s">
        <v>1381</v>
      </c>
      <c r="J782" s="42">
        <v>-31.8</v>
      </c>
      <c r="K782" s="42">
        <v>1.1</v>
      </c>
      <c r="L782" s="42">
        <v>-3.5</v>
      </c>
      <c r="M782" s="42">
        <v>-2.0</v>
      </c>
      <c r="N782" s="42">
        <v>0.78</v>
      </c>
      <c r="O782" s="42">
        <v>7.95E11</v>
      </c>
      <c r="P782" s="42">
        <v>1.8E10</v>
      </c>
      <c r="Q782" s="42">
        <v>-8.0</v>
      </c>
      <c r="R782" s="42">
        <v>-26.6</v>
      </c>
      <c r="S782" s="42">
        <v>-20.7</v>
      </c>
      <c r="T782" s="42">
        <v>-4.8</v>
      </c>
      <c r="U782" s="42">
        <v>-140.0</v>
      </c>
      <c r="V782" s="42">
        <v>-2.8</v>
      </c>
      <c r="W782" s="42">
        <v>-23.3</v>
      </c>
    </row>
    <row r="783">
      <c r="A783" s="87">
        <v>782.0</v>
      </c>
      <c r="B783" s="85" t="s">
        <v>2449</v>
      </c>
      <c r="C783" s="85" t="s">
        <v>849</v>
      </c>
      <c r="D783" s="85" t="s">
        <v>1294</v>
      </c>
      <c r="E783" s="85" t="s">
        <v>1187</v>
      </c>
      <c r="F783" s="85" t="s">
        <v>1188</v>
      </c>
      <c r="G783" s="85" t="s">
        <v>1295</v>
      </c>
      <c r="H783" s="85" t="s">
        <v>1296</v>
      </c>
      <c r="I783" s="85" t="s">
        <v>1216</v>
      </c>
      <c r="J783" s="42">
        <v>14.7</v>
      </c>
      <c r="K783" s="42">
        <v>1.2</v>
      </c>
      <c r="L783" s="42">
        <v>8.1</v>
      </c>
      <c r="M783" s="42">
        <v>3.5</v>
      </c>
      <c r="N783" s="42">
        <v>1.3</v>
      </c>
      <c r="O783" s="42">
        <v>4.8E12</v>
      </c>
      <c r="P783" s="42">
        <v>1.0E12</v>
      </c>
      <c r="Q783" s="42">
        <v>-53.0</v>
      </c>
      <c r="R783" s="42">
        <v>-61.8</v>
      </c>
      <c r="S783" s="42">
        <v>-73.3</v>
      </c>
      <c r="T783" s="42">
        <v>-50.2</v>
      </c>
      <c r="U783" s="42">
        <v>31.6</v>
      </c>
      <c r="V783" s="42">
        <v>-18.9</v>
      </c>
      <c r="W783" s="42">
        <v>-71.5</v>
      </c>
    </row>
    <row r="784">
      <c r="A784" s="87">
        <v>783.0</v>
      </c>
      <c r="B784" s="85" t="s">
        <v>2450</v>
      </c>
      <c r="C784" s="85" t="s">
        <v>850</v>
      </c>
      <c r="D784" s="85" t="s">
        <v>1397</v>
      </c>
      <c r="E784" s="85" t="s">
        <v>1187</v>
      </c>
      <c r="F784" s="85" t="s">
        <v>1188</v>
      </c>
      <c r="G784" s="85" t="s">
        <v>1359</v>
      </c>
      <c r="H784" s="85" t="s">
        <v>1398</v>
      </c>
      <c r="I784" s="85" t="s">
        <v>1280</v>
      </c>
      <c r="J784" s="42">
        <v>7.3</v>
      </c>
      <c r="K784" s="42">
        <v>0.72</v>
      </c>
      <c r="L784" s="42">
        <v>9.9</v>
      </c>
      <c r="M784" s="42">
        <v>7.6</v>
      </c>
      <c r="N784" s="42">
        <v>0.3</v>
      </c>
      <c r="O784" s="42">
        <v>1.01E11</v>
      </c>
      <c r="P784" s="42">
        <v>3.9E10</v>
      </c>
      <c r="Q784" s="42">
        <v>-23.6</v>
      </c>
      <c r="R784" s="42">
        <v>-37.3</v>
      </c>
      <c r="S784" s="42">
        <v>-30.4</v>
      </c>
      <c r="T784" s="42">
        <v>-8.7</v>
      </c>
      <c r="U784" s="42">
        <v>35.6</v>
      </c>
      <c r="V784" s="42">
        <v>-13.0</v>
      </c>
      <c r="W784" s="42">
        <v>-27.7</v>
      </c>
    </row>
    <row r="785">
      <c r="A785" s="87">
        <v>784.0</v>
      </c>
      <c r="B785" s="85" t="s">
        <v>2451</v>
      </c>
      <c r="C785" s="85" t="s">
        <v>851</v>
      </c>
      <c r="D785" s="85" t="s">
        <v>1799</v>
      </c>
      <c r="E785" s="85" t="s">
        <v>1570</v>
      </c>
      <c r="F785" s="85" t="s">
        <v>1800</v>
      </c>
      <c r="G785" s="85" t="s">
        <v>1801</v>
      </c>
      <c r="H785" s="85" t="s">
        <v>1801</v>
      </c>
      <c r="I785" s="85" t="s">
        <v>2452</v>
      </c>
      <c r="J785" s="42">
        <v>10.1</v>
      </c>
      <c r="K785" s="42">
        <v>3.5</v>
      </c>
      <c r="L785" s="42">
        <v>35.1</v>
      </c>
      <c r="M785" s="42">
        <v>31.4</v>
      </c>
      <c r="N785" s="42">
        <v>0.12</v>
      </c>
      <c r="O785" s="42">
        <v>1.15E13</v>
      </c>
      <c r="P785" s="42">
        <v>6.4E11</v>
      </c>
      <c r="Q785" s="42">
        <v>-25.6</v>
      </c>
      <c r="R785" s="42">
        <v>-30.6</v>
      </c>
      <c r="S785" s="42">
        <v>-34.4</v>
      </c>
      <c r="T785" s="42">
        <v>-31.3</v>
      </c>
      <c r="U785" s="42">
        <v>180.0</v>
      </c>
      <c r="V785" s="42">
        <v>-7.8</v>
      </c>
      <c r="W785" s="42">
        <v>-34.4</v>
      </c>
    </row>
    <row r="786">
      <c r="A786" s="87">
        <v>785.0</v>
      </c>
      <c r="B786" s="85" t="s">
        <v>2453</v>
      </c>
      <c r="C786" s="85" t="s">
        <v>852</v>
      </c>
      <c r="D786" s="85" t="s">
        <v>1569</v>
      </c>
      <c r="E786" s="85" t="s">
        <v>1570</v>
      </c>
      <c r="F786" s="85" t="s">
        <v>1571</v>
      </c>
      <c r="G786" s="85" t="s">
        <v>1572</v>
      </c>
      <c r="H786" s="85" t="s">
        <v>1572</v>
      </c>
      <c r="I786" s="85" t="s">
        <v>2454</v>
      </c>
      <c r="J786" s="42">
        <v>26.8</v>
      </c>
      <c r="K786" s="42">
        <v>3.0</v>
      </c>
      <c r="L786" s="42">
        <v>11.2</v>
      </c>
      <c r="M786" s="42">
        <v>7.5</v>
      </c>
      <c r="N786" s="42">
        <v>0.5</v>
      </c>
      <c r="O786" s="42">
        <v>3.07E13</v>
      </c>
      <c r="P786" s="42">
        <v>3.3E12</v>
      </c>
      <c r="Q786" s="42">
        <v>1.7</v>
      </c>
      <c r="R786" s="42">
        <v>-11.0</v>
      </c>
      <c r="S786" s="42">
        <v>-3.2</v>
      </c>
      <c r="T786" s="42">
        <v>8.0</v>
      </c>
      <c r="U786" s="42">
        <v>35.0</v>
      </c>
      <c r="V786" s="42">
        <v>0.833</v>
      </c>
      <c r="W786" s="42">
        <v>-8.0</v>
      </c>
    </row>
    <row r="787">
      <c r="A787" s="87">
        <v>786.0</v>
      </c>
      <c r="B787" s="85" t="s">
        <v>2455</v>
      </c>
      <c r="C787" s="85" t="s">
        <v>853</v>
      </c>
      <c r="D787" s="85" t="s">
        <v>1304</v>
      </c>
      <c r="E787" s="85" t="s">
        <v>1252</v>
      </c>
      <c r="F787" s="85" t="s">
        <v>1252</v>
      </c>
      <c r="G787" s="85" t="s">
        <v>1305</v>
      </c>
      <c r="H787" s="85" t="s">
        <v>1305</v>
      </c>
      <c r="I787" s="85" t="s">
        <v>1316</v>
      </c>
      <c r="J787" s="88"/>
      <c r="K787" s="42">
        <v>-11.0</v>
      </c>
      <c r="L787" s="88"/>
      <c r="M787" s="42">
        <v>-0.01</v>
      </c>
      <c r="N787" s="42">
        <v>-130.0</v>
      </c>
      <c r="O787" s="42">
        <v>2.2E10</v>
      </c>
      <c r="P787" s="42">
        <v>3.28E9</v>
      </c>
      <c r="Q787" s="42">
        <v>0.0</v>
      </c>
      <c r="R787" s="42">
        <v>0.0</v>
      </c>
      <c r="S787" s="42">
        <v>0.0</v>
      </c>
      <c r="T787" s="42">
        <v>0.0</v>
      </c>
      <c r="U787" s="42">
        <v>-970.0</v>
      </c>
      <c r="V787" s="42">
        <v>0.0</v>
      </c>
      <c r="W787" s="42">
        <v>0.0</v>
      </c>
    </row>
    <row r="788">
      <c r="A788" s="87">
        <v>787.0</v>
      </c>
      <c r="B788" s="85" t="s">
        <v>2456</v>
      </c>
      <c r="C788" s="85" t="s">
        <v>854</v>
      </c>
      <c r="D788" s="85" t="s">
        <v>1193</v>
      </c>
      <c r="E788" s="85" t="s">
        <v>1194</v>
      </c>
      <c r="F788" s="85" t="s">
        <v>1195</v>
      </c>
      <c r="G788" s="85" t="s">
        <v>1196</v>
      </c>
      <c r="H788" s="85" t="s">
        <v>1197</v>
      </c>
      <c r="I788" s="85" t="s">
        <v>2457</v>
      </c>
      <c r="J788" s="42">
        <v>4.2</v>
      </c>
      <c r="K788" s="42">
        <v>0.32</v>
      </c>
      <c r="L788" s="42">
        <v>7.6</v>
      </c>
      <c r="M788" s="42">
        <v>4.9</v>
      </c>
      <c r="N788" s="42">
        <v>0.54</v>
      </c>
      <c r="O788" s="42">
        <v>8.6E12</v>
      </c>
      <c r="P788" s="42">
        <v>4.9E12</v>
      </c>
      <c r="Q788" s="42">
        <v>-30.3</v>
      </c>
      <c r="R788" s="42">
        <v>-20.3</v>
      </c>
      <c r="S788" s="42">
        <v>-21.7</v>
      </c>
      <c r="T788" s="42">
        <v>12.3</v>
      </c>
      <c r="U788" s="42">
        <v>42.2</v>
      </c>
      <c r="V788" s="42">
        <v>-16.1</v>
      </c>
      <c r="W788" s="42">
        <v>-16.8</v>
      </c>
    </row>
    <row r="789">
      <c r="A789" s="87">
        <v>788.0</v>
      </c>
      <c r="B789" s="85" t="s">
        <v>2458</v>
      </c>
      <c r="C789" s="85" t="s">
        <v>855</v>
      </c>
      <c r="D789" s="85" t="s">
        <v>1325</v>
      </c>
      <c r="E789" s="85" t="s">
        <v>1214</v>
      </c>
      <c r="F789" s="85" t="s">
        <v>1326</v>
      </c>
      <c r="G789" s="85" t="s">
        <v>1327</v>
      </c>
      <c r="H789" s="85" t="s">
        <v>1327</v>
      </c>
      <c r="I789" s="85" t="s">
        <v>1528</v>
      </c>
      <c r="J789" s="42">
        <v>-78.9</v>
      </c>
      <c r="K789" s="42">
        <v>-8.8</v>
      </c>
      <c r="L789" s="88"/>
      <c r="M789" s="42">
        <v>-2.8</v>
      </c>
      <c r="N789" s="42">
        <v>-3.4</v>
      </c>
      <c r="O789" s="42">
        <v>5.9E12</v>
      </c>
      <c r="P789" s="42">
        <v>5.34E11</v>
      </c>
      <c r="Q789" s="42">
        <v>-34.7</v>
      </c>
      <c r="R789" s="42">
        <v>-5.0</v>
      </c>
      <c r="S789" s="42">
        <v>-15.3</v>
      </c>
      <c r="T789" s="42">
        <v>120.0</v>
      </c>
      <c r="U789" s="42">
        <v>-14.1</v>
      </c>
      <c r="V789" s="42">
        <v>-29.4</v>
      </c>
      <c r="W789" s="42">
        <v>-43.9</v>
      </c>
    </row>
    <row r="790">
      <c r="A790" s="87">
        <v>789.0</v>
      </c>
      <c r="B790" s="85" t="s">
        <v>2459</v>
      </c>
      <c r="C790" s="85" t="s">
        <v>856</v>
      </c>
      <c r="D790" s="85" t="s">
        <v>1267</v>
      </c>
      <c r="E790" s="85" t="s">
        <v>1194</v>
      </c>
      <c r="F790" s="85" t="s">
        <v>1195</v>
      </c>
      <c r="G790" s="85" t="s">
        <v>1196</v>
      </c>
      <c r="H790" s="85" t="s">
        <v>1268</v>
      </c>
      <c r="I790" s="85" t="s">
        <v>1352</v>
      </c>
      <c r="J790" s="42">
        <v>44.9</v>
      </c>
      <c r="K790" s="42">
        <v>1.2</v>
      </c>
      <c r="L790" s="42">
        <v>2.8</v>
      </c>
      <c r="M790" s="42">
        <v>1.1</v>
      </c>
      <c r="N790" s="42">
        <v>1.4</v>
      </c>
      <c r="O790" s="42">
        <v>1.6E12</v>
      </c>
      <c r="P790" s="42">
        <v>1.4E12</v>
      </c>
      <c r="Q790" s="42">
        <v>-23.2</v>
      </c>
      <c r="R790" s="42">
        <v>-28.6</v>
      </c>
      <c r="S790" s="42">
        <v>-12.9</v>
      </c>
      <c r="T790" s="42">
        <v>-7.2</v>
      </c>
      <c r="U790" s="42">
        <v>2.4</v>
      </c>
      <c r="V790" s="42">
        <v>-12.9</v>
      </c>
      <c r="W790" s="42">
        <v>-36.9</v>
      </c>
    </row>
    <row r="791">
      <c r="A791" s="87">
        <v>790.0</v>
      </c>
      <c r="B791" s="85" t="s">
        <v>2460</v>
      </c>
      <c r="C791" s="85" t="s">
        <v>857</v>
      </c>
      <c r="D791" s="85" t="s">
        <v>1282</v>
      </c>
      <c r="E791" s="85" t="s">
        <v>1194</v>
      </c>
      <c r="F791" s="85" t="s">
        <v>1195</v>
      </c>
      <c r="G791" s="85" t="s">
        <v>1283</v>
      </c>
      <c r="H791" s="85" t="s">
        <v>1283</v>
      </c>
      <c r="I791" s="85" t="s">
        <v>1269</v>
      </c>
      <c r="J791" s="42">
        <v>7.7</v>
      </c>
      <c r="K791" s="42">
        <v>0.8</v>
      </c>
      <c r="L791" s="42">
        <v>10.5</v>
      </c>
      <c r="M791" s="42">
        <v>5.4</v>
      </c>
      <c r="N791" s="42">
        <v>0.95</v>
      </c>
      <c r="O791" s="42">
        <v>8.91E11</v>
      </c>
      <c r="P791" s="42">
        <v>9.99E11</v>
      </c>
      <c r="Q791" s="42">
        <v>-17.9</v>
      </c>
      <c r="R791" s="42">
        <v>-27.2</v>
      </c>
      <c r="S791" s="42">
        <v>10.9</v>
      </c>
      <c r="T791" s="42">
        <v>55.4</v>
      </c>
      <c r="U791" s="42">
        <v>11.6</v>
      </c>
      <c r="V791" s="42">
        <v>5.8</v>
      </c>
      <c r="W791" s="42">
        <v>-3.5</v>
      </c>
    </row>
    <row r="792">
      <c r="A792" s="87">
        <v>791.0</v>
      </c>
      <c r="B792" s="85" t="s">
        <v>2461</v>
      </c>
      <c r="C792" s="85" t="s">
        <v>858</v>
      </c>
      <c r="D792" s="85" t="s">
        <v>1282</v>
      </c>
      <c r="E792" s="85" t="s">
        <v>1194</v>
      </c>
      <c r="F792" s="85" t="s">
        <v>1195</v>
      </c>
      <c r="G792" s="85" t="s">
        <v>1283</v>
      </c>
      <c r="H792" s="85" t="s">
        <v>1283</v>
      </c>
      <c r="I792" s="85" t="s">
        <v>1352</v>
      </c>
      <c r="J792" s="42">
        <v>13.3</v>
      </c>
      <c r="K792" s="42">
        <v>1.4</v>
      </c>
      <c r="L792" s="42">
        <v>10.3</v>
      </c>
      <c r="M792" s="42">
        <v>5.7</v>
      </c>
      <c r="N792" s="42">
        <v>0.8</v>
      </c>
      <c r="O792" s="42">
        <v>1.4E12</v>
      </c>
      <c r="P792" s="42">
        <v>7.25E11</v>
      </c>
      <c r="Q792" s="42">
        <v>-22.9</v>
      </c>
      <c r="R792" s="42">
        <v>-34.0</v>
      </c>
      <c r="S792" s="42">
        <v>-31.3</v>
      </c>
      <c r="T792" s="42">
        <v>-13.6</v>
      </c>
      <c r="U792" s="42">
        <v>14.2</v>
      </c>
      <c r="V792" s="42">
        <v>-17.5</v>
      </c>
      <c r="W792" s="42">
        <v>-34.0</v>
      </c>
    </row>
    <row r="793">
      <c r="A793" s="87">
        <v>792.0</v>
      </c>
      <c r="B793" s="85" t="s">
        <v>2462</v>
      </c>
      <c r="C793" s="85" t="s">
        <v>859</v>
      </c>
      <c r="D793" s="85" t="s">
        <v>1932</v>
      </c>
      <c r="E793" s="85" t="s">
        <v>1214</v>
      </c>
      <c r="F793" s="85" t="s">
        <v>1326</v>
      </c>
      <c r="G793" s="85" t="s">
        <v>1331</v>
      </c>
      <c r="H793" s="85" t="s">
        <v>1933</v>
      </c>
      <c r="I793" s="85" t="s">
        <v>1394</v>
      </c>
      <c r="J793" s="42">
        <v>17.3</v>
      </c>
      <c r="K793" s="42">
        <v>4.5</v>
      </c>
      <c r="L793" s="42">
        <v>26.1</v>
      </c>
      <c r="M793" s="42">
        <v>12.2</v>
      </c>
      <c r="N793" s="42">
        <v>1.1</v>
      </c>
      <c r="O793" s="42">
        <v>3.1E12</v>
      </c>
      <c r="P793" s="42">
        <v>2.19E11</v>
      </c>
      <c r="Q793" s="42">
        <v>-35.1</v>
      </c>
      <c r="R793" s="42">
        <v>-26.5</v>
      </c>
      <c r="S793" s="42">
        <v>-49.6</v>
      </c>
      <c r="T793" s="42">
        <v>-24.0</v>
      </c>
      <c r="U793" s="42">
        <v>81.5</v>
      </c>
      <c r="V793" s="42">
        <v>-25.8</v>
      </c>
      <c r="W793" s="42">
        <v>-42.6</v>
      </c>
    </row>
    <row r="794">
      <c r="A794" s="87">
        <v>793.0</v>
      </c>
      <c r="B794" s="85" t="s">
        <v>2463</v>
      </c>
      <c r="C794" s="85" t="s">
        <v>860</v>
      </c>
      <c r="D794" s="85" t="s">
        <v>1899</v>
      </c>
      <c r="E794" s="85" t="s">
        <v>1376</v>
      </c>
      <c r="F794" s="85" t="s">
        <v>1377</v>
      </c>
      <c r="G794" s="85" t="s">
        <v>1900</v>
      </c>
      <c r="H794" s="85" t="s">
        <v>1900</v>
      </c>
      <c r="I794" s="85" t="s">
        <v>1826</v>
      </c>
      <c r="J794" s="42">
        <v>0.0</v>
      </c>
      <c r="K794" s="42">
        <v>0.99</v>
      </c>
      <c r="L794" s="42">
        <v>-2.8</v>
      </c>
      <c r="M794" s="42">
        <v>-2.2</v>
      </c>
      <c r="N794" s="42">
        <v>0.26</v>
      </c>
      <c r="O794" s="42">
        <v>3.0E10</v>
      </c>
      <c r="P794" s="42">
        <v>3.66E9</v>
      </c>
      <c r="Q794" s="42">
        <v>0.0</v>
      </c>
      <c r="R794" s="42">
        <v>0.0</v>
      </c>
      <c r="S794" s="42">
        <v>0.0</v>
      </c>
      <c r="T794" s="42">
        <v>0.0</v>
      </c>
      <c r="U794" s="42">
        <v>-23.4</v>
      </c>
      <c r="V794" s="42">
        <v>0.0</v>
      </c>
      <c r="W794" s="42">
        <v>0.0</v>
      </c>
    </row>
    <row r="795">
      <c r="A795" s="87">
        <v>794.0</v>
      </c>
      <c r="B795" s="85" t="s">
        <v>2464</v>
      </c>
      <c r="C795" s="85" t="s">
        <v>861</v>
      </c>
      <c r="D795" s="85" t="s">
        <v>1806</v>
      </c>
      <c r="E795" s="85" t="s">
        <v>1201</v>
      </c>
      <c r="F795" s="85" t="s">
        <v>1219</v>
      </c>
      <c r="G795" s="85" t="s">
        <v>1220</v>
      </c>
      <c r="H795" s="85" t="s">
        <v>1807</v>
      </c>
      <c r="I795" s="85" t="s">
        <v>1458</v>
      </c>
      <c r="J795" s="42">
        <v>-6.6</v>
      </c>
      <c r="K795" s="42">
        <v>0.57</v>
      </c>
      <c r="L795" s="42">
        <v>-8.7</v>
      </c>
      <c r="M795" s="42">
        <v>-6.8</v>
      </c>
      <c r="N795" s="42">
        <v>0.29</v>
      </c>
      <c r="O795" s="42">
        <v>1.85E11</v>
      </c>
      <c r="P795" s="42">
        <v>4.8E10</v>
      </c>
      <c r="Q795" s="42">
        <v>-39.8</v>
      </c>
      <c r="R795" s="42">
        <v>-34.2</v>
      </c>
      <c r="S795" s="42">
        <v>-52.4</v>
      </c>
      <c r="T795" s="42">
        <v>0.0</v>
      </c>
      <c r="U795" s="42">
        <v>-57.9</v>
      </c>
      <c r="V795" s="42">
        <v>-30.6</v>
      </c>
      <c r="W795" s="42">
        <v>-48.5</v>
      </c>
    </row>
    <row r="796">
      <c r="A796" s="87">
        <v>795.0</v>
      </c>
      <c r="B796" s="85" t="s">
        <v>2465</v>
      </c>
      <c r="C796" s="85" t="s">
        <v>862</v>
      </c>
      <c r="D796" s="85" t="s">
        <v>1193</v>
      </c>
      <c r="E796" s="85" t="s">
        <v>1194</v>
      </c>
      <c r="F796" s="85" t="s">
        <v>1195</v>
      </c>
      <c r="G796" s="85" t="s">
        <v>1196</v>
      </c>
      <c r="H796" s="85" t="s">
        <v>1197</v>
      </c>
      <c r="I796" s="85" t="s">
        <v>1243</v>
      </c>
      <c r="J796" s="42">
        <v>4.3</v>
      </c>
      <c r="K796" s="42">
        <v>0.61</v>
      </c>
      <c r="L796" s="42">
        <v>14.1</v>
      </c>
      <c r="M796" s="42">
        <v>7.2</v>
      </c>
      <c r="N796" s="42">
        <v>0.97</v>
      </c>
      <c r="O796" s="42">
        <v>1.41E13</v>
      </c>
      <c r="P796" s="42">
        <v>2.07E13</v>
      </c>
      <c r="Q796" s="42">
        <v>-35.4</v>
      </c>
      <c r="R796" s="42">
        <v>-25.9</v>
      </c>
      <c r="S796" s="42">
        <v>-17.3</v>
      </c>
      <c r="T796" s="42">
        <v>11.4</v>
      </c>
      <c r="U796" s="42">
        <v>15.8</v>
      </c>
      <c r="V796" s="42">
        <v>-17.5</v>
      </c>
      <c r="W796" s="42">
        <v>-15.4</v>
      </c>
    </row>
    <row r="797">
      <c r="A797" s="87">
        <v>796.0</v>
      </c>
      <c r="B797" s="85" t="s">
        <v>2466</v>
      </c>
      <c r="C797" s="85" t="s">
        <v>863</v>
      </c>
      <c r="D797" s="85" t="s">
        <v>1448</v>
      </c>
      <c r="E797" s="85" t="s">
        <v>1252</v>
      </c>
      <c r="F797" s="85" t="s">
        <v>1252</v>
      </c>
      <c r="G797" s="85" t="s">
        <v>1449</v>
      </c>
      <c r="H797" s="85" t="s">
        <v>1449</v>
      </c>
      <c r="I797" s="85" t="s">
        <v>2467</v>
      </c>
      <c r="J797" s="42">
        <v>11.8</v>
      </c>
      <c r="K797" s="42">
        <v>0.48</v>
      </c>
      <c r="L797" s="42">
        <v>4.1</v>
      </c>
      <c r="M797" s="42">
        <v>3.0</v>
      </c>
      <c r="N797" s="42">
        <v>0.38</v>
      </c>
      <c r="O797" s="42">
        <v>1.7E12</v>
      </c>
      <c r="P797" s="42">
        <v>4.39E11</v>
      </c>
      <c r="Q797" s="42">
        <v>-33.0</v>
      </c>
      <c r="R797" s="42">
        <v>-41.6</v>
      </c>
      <c r="S797" s="42">
        <v>-55.7</v>
      </c>
      <c r="T797" s="42">
        <v>-45.0</v>
      </c>
      <c r="U797" s="42">
        <v>31.9</v>
      </c>
      <c r="V797" s="42">
        <v>-21.4</v>
      </c>
      <c r="W797" s="42">
        <v>-54.2</v>
      </c>
    </row>
    <row r="798">
      <c r="A798" s="87">
        <v>797.0</v>
      </c>
      <c r="B798" s="85" t="s">
        <v>2468</v>
      </c>
      <c r="C798" s="85" t="s">
        <v>864</v>
      </c>
      <c r="D798" s="85" t="s">
        <v>1448</v>
      </c>
      <c r="E798" s="85" t="s">
        <v>1252</v>
      </c>
      <c r="F798" s="85" t="s">
        <v>1252</v>
      </c>
      <c r="G798" s="85" t="s">
        <v>1449</v>
      </c>
      <c r="H798" s="85" t="s">
        <v>1449</v>
      </c>
      <c r="I798" s="85" t="s">
        <v>1854</v>
      </c>
      <c r="J798" s="42">
        <v>9.8</v>
      </c>
      <c r="K798" s="42">
        <v>0.53</v>
      </c>
      <c r="L798" s="42">
        <v>5.4</v>
      </c>
      <c r="M798" s="42">
        <v>3.5</v>
      </c>
      <c r="N798" s="42">
        <v>0.53</v>
      </c>
      <c r="O798" s="42">
        <v>7.0E12</v>
      </c>
      <c r="P798" s="42">
        <v>2.6E12</v>
      </c>
      <c r="Q798" s="42">
        <v>0.0</v>
      </c>
      <c r="R798" s="42">
        <v>0.0</v>
      </c>
      <c r="S798" s="42">
        <v>0.0</v>
      </c>
      <c r="T798" s="42">
        <v>0.0</v>
      </c>
      <c r="U798" s="42">
        <v>27.9</v>
      </c>
      <c r="V798" s="42">
        <v>0.0</v>
      </c>
      <c r="W798" s="42">
        <v>0.0</v>
      </c>
    </row>
    <row r="799">
      <c r="A799" s="87">
        <v>798.0</v>
      </c>
      <c r="B799" s="85" t="s">
        <v>2469</v>
      </c>
      <c r="C799" s="85" t="s">
        <v>865</v>
      </c>
      <c r="D799" s="85" t="s">
        <v>1234</v>
      </c>
      <c r="E799" s="85" t="s">
        <v>1235</v>
      </c>
      <c r="F799" s="85" t="s">
        <v>1235</v>
      </c>
      <c r="G799" s="85" t="s">
        <v>1236</v>
      </c>
      <c r="H799" s="85" t="s">
        <v>1237</v>
      </c>
      <c r="I799" s="85" t="s">
        <v>1238</v>
      </c>
      <c r="J799" s="42">
        <v>110.0</v>
      </c>
      <c r="K799" s="42">
        <v>0.75</v>
      </c>
      <c r="L799" s="42">
        <v>0.68</v>
      </c>
      <c r="M799" s="42">
        <v>0.63</v>
      </c>
      <c r="N799" s="42">
        <v>0.08</v>
      </c>
      <c r="O799" s="42">
        <v>2.5E12</v>
      </c>
      <c r="P799" s="42">
        <v>3.86E11</v>
      </c>
      <c r="Q799" s="42">
        <v>-28.3</v>
      </c>
      <c r="R799" s="42">
        <v>-22.1</v>
      </c>
      <c r="S799" s="42">
        <v>-47.9</v>
      </c>
      <c r="T799" s="42">
        <v>-52.8</v>
      </c>
      <c r="U799" s="42">
        <v>5.7</v>
      </c>
      <c r="V799" s="42">
        <v>-9.7</v>
      </c>
      <c r="W799" s="42">
        <v>-46.7</v>
      </c>
    </row>
    <row r="800">
      <c r="A800" s="87">
        <v>799.0</v>
      </c>
      <c r="B800" s="85" t="s">
        <v>2470</v>
      </c>
      <c r="C800" s="85" t="s">
        <v>866</v>
      </c>
      <c r="D800" s="85" t="s">
        <v>1299</v>
      </c>
      <c r="E800" s="85" t="s">
        <v>1300</v>
      </c>
      <c r="F800" s="85" t="s">
        <v>1301</v>
      </c>
      <c r="G800" s="85" t="s">
        <v>1301</v>
      </c>
      <c r="H800" s="85" t="s">
        <v>1301</v>
      </c>
      <c r="I800" s="85" t="s">
        <v>2471</v>
      </c>
      <c r="J800" s="42">
        <v>6.2</v>
      </c>
      <c r="K800" s="42">
        <v>0.37</v>
      </c>
      <c r="L800" s="42">
        <v>5.9</v>
      </c>
      <c r="M800" s="42">
        <v>3.2</v>
      </c>
      <c r="N800" s="42">
        <v>0.86</v>
      </c>
      <c r="O800" s="42">
        <v>4.9E12</v>
      </c>
      <c r="P800" s="42">
        <v>3.1E12</v>
      </c>
      <c r="Q800" s="42">
        <v>-19.8</v>
      </c>
      <c r="R800" s="42">
        <v>-25.7</v>
      </c>
      <c r="S800" s="42">
        <v>-21.7</v>
      </c>
      <c r="T800" s="42">
        <v>-6.5</v>
      </c>
      <c r="U800" s="42">
        <v>25.2</v>
      </c>
      <c r="V800" s="42">
        <v>-14.5</v>
      </c>
      <c r="W800" s="42">
        <v>-41.2</v>
      </c>
    </row>
    <row r="801">
      <c r="A801" s="87">
        <v>800.0</v>
      </c>
      <c r="B801" s="85" t="s">
        <v>2472</v>
      </c>
      <c r="C801" s="85" t="s">
        <v>867</v>
      </c>
      <c r="D801" s="85" t="s">
        <v>1354</v>
      </c>
      <c r="E801" s="85" t="s">
        <v>1252</v>
      </c>
      <c r="F801" s="85" t="s">
        <v>1252</v>
      </c>
      <c r="G801" s="85" t="s">
        <v>1313</v>
      </c>
      <c r="H801" s="85" t="s">
        <v>1355</v>
      </c>
      <c r="I801" s="85" t="s">
        <v>1271</v>
      </c>
      <c r="J801" s="42">
        <v>11.7</v>
      </c>
      <c r="K801" s="42">
        <v>1.5</v>
      </c>
      <c r="L801" s="42">
        <v>13.1</v>
      </c>
      <c r="M801" s="42">
        <v>4.4</v>
      </c>
      <c r="N801" s="42">
        <v>2.0</v>
      </c>
      <c r="O801" s="42">
        <v>6.3E11</v>
      </c>
      <c r="P801" s="42">
        <v>7.12E11</v>
      </c>
      <c r="Q801" s="42">
        <v>-38.6</v>
      </c>
      <c r="R801" s="42">
        <v>-40.0</v>
      </c>
      <c r="S801" s="42">
        <v>-50.0</v>
      </c>
      <c r="T801" s="42">
        <v>-30.8</v>
      </c>
      <c r="U801" s="42">
        <v>7.6</v>
      </c>
      <c r="V801" s="42">
        <v>-25.0</v>
      </c>
      <c r="W801" s="42">
        <v>-50.0</v>
      </c>
    </row>
    <row r="802">
      <c r="A802" s="87">
        <v>801.0</v>
      </c>
      <c r="B802" s="85" t="s">
        <v>2473</v>
      </c>
      <c r="C802" s="85" t="s">
        <v>868</v>
      </c>
      <c r="D802" s="85" t="s">
        <v>1448</v>
      </c>
      <c r="E802" s="85" t="s">
        <v>1252</v>
      </c>
      <c r="F802" s="85" t="s">
        <v>1252</v>
      </c>
      <c r="G802" s="85" t="s">
        <v>1449</v>
      </c>
      <c r="H802" s="85" t="s">
        <v>1449</v>
      </c>
      <c r="I802" s="85" t="s">
        <v>2474</v>
      </c>
      <c r="J802" s="42">
        <v>49.9</v>
      </c>
      <c r="K802" s="42">
        <v>0.24</v>
      </c>
      <c r="L802" s="42">
        <v>0.48</v>
      </c>
      <c r="M802" s="42">
        <v>0.3</v>
      </c>
      <c r="N802" s="42">
        <v>0.58</v>
      </c>
      <c r="O802" s="42">
        <v>1.14E13</v>
      </c>
      <c r="P802" s="42">
        <v>8.3E12</v>
      </c>
      <c r="Q802" s="42">
        <v>-27.9</v>
      </c>
      <c r="R802" s="42">
        <v>-41.1</v>
      </c>
      <c r="S802" s="42">
        <v>-48.6</v>
      </c>
      <c r="T802" s="42">
        <v>-45.8</v>
      </c>
      <c r="U802" s="42">
        <v>2.8</v>
      </c>
      <c r="V802" s="42">
        <v>-15.9</v>
      </c>
      <c r="W802" s="42">
        <v>-44.2</v>
      </c>
    </row>
    <row r="803">
      <c r="A803" s="87">
        <v>802.0</v>
      </c>
      <c r="B803" s="85" t="s">
        <v>2475</v>
      </c>
      <c r="C803" s="85" t="s">
        <v>869</v>
      </c>
      <c r="D803" s="85" t="s">
        <v>1932</v>
      </c>
      <c r="E803" s="85" t="s">
        <v>1214</v>
      </c>
      <c r="F803" s="85" t="s">
        <v>1326</v>
      </c>
      <c r="G803" s="85" t="s">
        <v>1331</v>
      </c>
      <c r="H803" s="85" t="s">
        <v>1933</v>
      </c>
      <c r="I803" s="85" t="s">
        <v>2476</v>
      </c>
      <c r="J803" s="42">
        <v>32.4</v>
      </c>
      <c r="K803" s="42">
        <v>2.9</v>
      </c>
      <c r="L803" s="42">
        <v>9.1</v>
      </c>
      <c r="M803" s="42">
        <v>5.9</v>
      </c>
      <c r="N803" s="42">
        <v>0.54</v>
      </c>
      <c r="O803" s="42">
        <v>2.3E12</v>
      </c>
      <c r="P803" s="42">
        <v>1.29E11</v>
      </c>
      <c r="Q803" s="42">
        <v>-8.2</v>
      </c>
      <c r="R803" s="42">
        <v>6.0</v>
      </c>
      <c r="S803" s="42">
        <v>-40.0</v>
      </c>
      <c r="T803" s="42">
        <v>-7.5</v>
      </c>
      <c r="U803" s="42">
        <v>54.1</v>
      </c>
      <c r="V803" s="42">
        <v>-6.1</v>
      </c>
      <c r="W803" s="42">
        <v>-30.9</v>
      </c>
    </row>
    <row r="804">
      <c r="A804" s="87">
        <v>803.0</v>
      </c>
      <c r="B804" s="85" t="s">
        <v>2477</v>
      </c>
      <c r="C804" s="85" t="s">
        <v>870</v>
      </c>
      <c r="D804" s="85" t="s">
        <v>1304</v>
      </c>
      <c r="E804" s="85" t="s">
        <v>1252</v>
      </c>
      <c r="F804" s="85" t="s">
        <v>1252</v>
      </c>
      <c r="G804" s="85" t="s">
        <v>1305</v>
      </c>
      <c r="H804" s="85" t="s">
        <v>1305</v>
      </c>
      <c r="I804" s="85" t="s">
        <v>1255</v>
      </c>
      <c r="J804" s="42">
        <v>13.6</v>
      </c>
      <c r="K804" s="42">
        <v>0.48</v>
      </c>
      <c r="L804" s="42">
        <v>3.5</v>
      </c>
      <c r="M804" s="42">
        <v>1.3</v>
      </c>
      <c r="N804" s="42">
        <v>1.6</v>
      </c>
      <c r="O804" s="42">
        <v>4.99E11</v>
      </c>
      <c r="P804" s="42">
        <v>4.27E11</v>
      </c>
      <c r="Q804" s="42">
        <v>-34.3</v>
      </c>
      <c r="R804" s="42">
        <v>-35.1</v>
      </c>
      <c r="S804" s="42">
        <v>-38.4</v>
      </c>
      <c r="T804" s="42">
        <v>-28.3</v>
      </c>
      <c r="U804" s="42">
        <v>8.6</v>
      </c>
      <c r="V804" s="42">
        <v>-22.1</v>
      </c>
      <c r="W804" s="42">
        <v>-37.4</v>
      </c>
    </row>
    <row r="805">
      <c r="A805" s="87">
        <v>804.0</v>
      </c>
      <c r="B805" s="85" t="s">
        <v>2478</v>
      </c>
      <c r="C805" s="85" t="s">
        <v>871</v>
      </c>
      <c r="D805" s="85" t="s">
        <v>1229</v>
      </c>
      <c r="E805" s="85" t="s">
        <v>1230</v>
      </c>
      <c r="F805" s="85" t="s">
        <v>1231</v>
      </c>
      <c r="G805" s="85" t="s">
        <v>1231</v>
      </c>
      <c r="H805" s="85" t="s">
        <v>1231</v>
      </c>
      <c r="I805" s="85" t="s">
        <v>1265</v>
      </c>
      <c r="J805" s="42">
        <v>-8970.0</v>
      </c>
      <c r="K805" s="42">
        <v>0.48</v>
      </c>
      <c r="L805" s="42">
        <v>-0.01</v>
      </c>
      <c r="M805" s="42">
        <v>-0.01</v>
      </c>
      <c r="N805" s="42">
        <v>0.02</v>
      </c>
      <c r="O805" s="42">
        <v>9.9E10</v>
      </c>
      <c r="P805" s="42">
        <v>7.0E10</v>
      </c>
      <c r="Q805" s="42">
        <v>-33.0</v>
      </c>
      <c r="R805" s="42">
        <v>-40.2</v>
      </c>
      <c r="S805" s="42">
        <v>-47.9</v>
      </c>
      <c r="T805" s="42">
        <v>-32.2</v>
      </c>
      <c r="U805" s="42">
        <v>-0.02</v>
      </c>
      <c r="V805" s="42">
        <v>-25.6</v>
      </c>
      <c r="W805" s="42">
        <v>-66.7</v>
      </c>
    </row>
    <row r="806">
      <c r="A806" s="87">
        <v>805.0</v>
      </c>
      <c r="B806" s="85" t="s">
        <v>2479</v>
      </c>
      <c r="C806" s="85" t="s">
        <v>872</v>
      </c>
      <c r="D806" s="85" t="s">
        <v>1251</v>
      </c>
      <c r="E806" s="85" t="s">
        <v>1252</v>
      </c>
      <c r="F806" s="85" t="s">
        <v>1252</v>
      </c>
      <c r="G806" s="85" t="s">
        <v>1253</v>
      </c>
      <c r="H806" s="85" t="s">
        <v>1254</v>
      </c>
      <c r="I806" s="85" t="s">
        <v>1255</v>
      </c>
      <c r="J806" s="42">
        <v>-66.1</v>
      </c>
      <c r="K806" s="42">
        <v>2.3</v>
      </c>
      <c r="L806" s="42">
        <v>-3.4</v>
      </c>
      <c r="M806" s="42">
        <v>-1.7</v>
      </c>
      <c r="N806" s="42">
        <v>0.97</v>
      </c>
      <c r="O806" s="42">
        <v>2.35E11</v>
      </c>
      <c r="P806" s="42">
        <v>4.4E10</v>
      </c>
      <c r="Q806" s="42">
        <v>-43.9</v>
      </c>
      <c r="R806" s="42">
        <v>-50.4</v>
      </c>
      <c r="S806" s="42">
        <v>-74.1</v>
      </c>
      <c r="T806" s="42">
        <v>-42.5</v>
      </c>
      <c r="U806" s="42">
        <v>-8.1</v>
      </c>
      <c r="V806" s="42">
        <v>-30.3</v>
      </c>
      <c r="W806" s="42">
        <v>-59.4</v>
      </c>
    </row>
    <row r="807">
      <c r="A807" s="87">
        <v>806.0</v>
      </c>
      <c r="B807" s="85" t="s">
        <v>2480</v>
      </c>
      <c r="C807" s="85" t="s">
        <v>873</v>
      </c>
      <c r="D807" s="85" t="s">
        <v>1363</v>
      </c>
      <c r="E807" s="85" t="s">
        <v>1208</v>
      </c>
      <c r="F807" s="85" t="s">
        <v>1364</v>
      </c>
      <c r="G807" s="85" t="s">
        <v>1364</v>
      </c>
      <c r="H807" s="85" t="s">
        <v>1365</v>
      </c>
      <c r="I807" s="85" t="s">
        <v>1278</v>
      </c>
      <c r="J807" s="42">
        <v>38.2</v>
      </c>
      <c r="K807" s="42">
        <v>4.0</v>
      </c>
      <c r="L807" s="42">
        <v>10.5</v>
      </c>
      <c r="M807" s="42">
        <v>2.5</v>
      </c>
      <c r="N807" s="42">
        <v>3.3</v>
      </c>
      <c r="O807" s="42">
        <v>1.1E14</v>
      </c>
      <c r="P807" s="42">
        <v>1.55E13</v>
      </c>
      <c r="Q807" s="42">
        <v>28.9</v>
      </c>
      <c r="R807" s="42">
        <v>49.8</v>
      </c>
      <c r="S807" s="42">
        <v>62.0</v>
      </c>
      <c r="T807" s="42">
        <v>31.7</v>
      </c>
      <c r="U807" s="42">
        <v>19.4</v>
      </c>
      <c r="V807" s="42">
        <v>16.7</v>
      </c>
      <c r="W807" s="42">
        <v>52.3</v>
      </c>
    </row>
    <row r="808">
      <c r="A808" s="87">
        <v>807.0</v>
      </c>
      <c r="B808" s="85" t="s">
        <v>2481</v>
      </c>
      <c r="C808" s="85" t="s">
        <v>874</v>
      </c>
      <c r="D808" s="85" t="s">
        <v>1186</v>
      </c>
      <c r="E808" s="85" t="s">
        <v>1187</v>
      </c>
      <c r="F808" s="85" t="s">
        <v>1188</v>
      </c>
      <c r="G808" s="85" t="s">
        <v>1189</v>
      </c>
      <c r="H808" s="85" t="s">
        <v>1190</v>
      </c>
      <c r="I808" s="85" t="s">
        <v>1383</v>
      </c>
      <c r="J808" s="42">
        <v>140.0</v>
      </c>
      <c r="K808" s="42">
        <v>11.6</v>
      </c>
      <c r="L808" s="42">
        <v>8.6</v>
      </c>
      <c r="M808" s="42">
        <v>2.4</v>
      </c>
      <c r="N808" s="42">
        <v>2.7</v>
      </c>
      <c r="O808" s="42">
        <v>6.6E12</v>
      </c>
      <c r="P808" s="42">
        <v>3.93E11</v>
      </c>
      <c r="Q808" s="42">
        <v>-35.6</v>
      </c>
      <c r="R808" s="42">
        <v>18.9</v>
      </c>
      <c r="S808" s="42">
        <v>2.1</v>
      </c>
      <c r="T808" s="42">
        <v>69.6</v>
      </c>
      <c r="U808" s="42">
        <v>12.3</v>
      </c>
      <c r="V808" s="42">
        <v>-18.1</v>
      </c>
      <c r="W808" s="42">
        <v>3.6</v>
      </c>
    </row>
    <row r="809">
      <c r="A809" s="87">
        <v>808.0</v>
      </c>
      <c r="B809" s="85" t="s">
        <v>2482</v>
      </c>
      <c r="C809" s="85" t="s">
        <v>875</v>
      </c>
      <c r="D809" s="85" t="s">
        <v>1234</v>
      </c>
      <c r="E809" s="85" t="s">
        <v>1235</v>
      </c>
      <c r="F809" s="85" t="s">
        <v>1235</v>
      </c>
      <c r="G809" s="85" t="s">
        <v>1236</v>
      </c>
      <c r="H809" s="85" t="s">
        <v>1237</v>
      </c>
      <c r="I809" s="85" t="s">
        <v>2483</v>
      </c>
      <c r="J809" s="42">
        <v>6.6</v>
      </c>
      <c r="K809" s="42">
        <v>0.29</v>
      </c>
      <c r="L809" s="42">
        <v>4.4</v>
      </c>
      <c r="M809" s="42">
        <v>1.8</v>
      </c>
      <c r="N809" s="42">
        <v>1.4</v>
      </c>
      <c r="O809" s="42">
        <v>4.7E12</v>
      </c>
      <c r="P809" s="42">
        <v>2.2E12</v>
      </c>
      <c r="Q809" s="42">
        <v>-20.4</v>
      </c>
      <c r="R809" s="42">
        <v>-21.8</v>
      </c>
      <c r="S809" s="42">
        <v>-32.5</v>
      </c>
      <c r="T809" s="42">
        <v>-36.5</v>
      </c>
      <c r="U809" s="42">
        <v>32.2</v>
      </c>
      <c r="V809" s="42">
        <v>-8.5</v>
      </c>
      <c r="W809" s="42">
        <v>-32.8</v>
      </c>
    </row>
    <row r="810">
      <c r="A810" s="87">
        <v>809.0</v>
      </c>
      <c r="B810" s="85" t="s">
        <v>2484</v>
      </c>
      <c r="C810" s="85" t="s">
        <v>876</v>
      </c>
      <c r="D810" s="85" t="s">
        <v>1397</v>
      </c>
      <c r="E810" s="85" t="s">
        <v>1187</v>
      </c>
      <c r="F810" s="85" t="s">
        <v>1188</v>
      </c>
      <c r="G810" s="85" t="s">
        <v>1359</v>
      </c>
      <c r="H810" s="85" t="s">
        <v>1398</v>
      </c>
      <c r="I810" s="85" t="s">
        <v>1399</v>
      </c>
      <c r="J810" s="42">
        <v>-29.8</v>
      </c>
      <c r="K810" s="42">
        <v>700.0</v>
      </c>
      <c r="L810" s="42">
        <v>-2360.0</v>
      </c>
      <c r="M810" s="42">
        <v>-3.2</v>
      </c>
      <c r="N810" s="42">
        <v>730.0</v>
      </c>
      <c r="O810" s="42">
        <v>6.25E11</v>
      </c>
      <c r="P810" s="42">
        <v>6.0E10</v>
      </c>
      <c r="Q810" s="42">
        <v>0.0</v>
      </c>
      <c r="R810" s="42">
        <v>0.0</v>
      </c>
      <c r="S810" s="42">
        <v>0.0</v>
      </c>
      <c r="T810" s="42">
        <v>0.0</v>
      </c>
      <c r="U810" s="42">
        <v>-35.1</v>
      </c>
      <c r="V810" s="42">
        <v>0.0</v>
      </c>
      <c r="W810" s="42">
        <v>0.0</v>
      </c>
    </row>
    <row r="811">
      <c r="A811" s="87">
        <v>810.0</v>
      </c>
      <c r="B811" s="85" t="s">
        <v>2485</v>
      </c>
      <c r="C811" s="85" t="s">
        <v>877</v>
      </c>
      <c r="D811" s="85" t="s">
        <v>1261</v>
      </c>
      <c r="E811" s="85" t="s">
        <v>1201</v>
      </c>
      <c r="F811" s="85" t="s">
        <v>1262</v>
      </c>
      <c r="G811" s="85" t="s">
        <v>1263</v>
      </c>
      <c r="H811" s="85" t="s">
        <v>1264</v>
      </c>
      <c r="I811" s="85" t="s">
        <v>2222</v>
      </c>
      <c r="J811" s="42">
        <v>8.9</v>
      </c>
      <c r="K811" s="42">
        <v>2.1</v>
      </c>
      <c r="L811" s="42">
        <v>24.2</v>
      </c>
      <c r="M811" s="42">
        <v>20.2</v>
      </c>
      <c r="N811" s="42">
        <v>0.2</v>
      </c>
      <c r="O811" s="42">
        <v>9.8E12</v>
      </c>
      <c r="P811" s="42">
        <v>1.2E12</v>
      </c>
      <c r="Q811" s="42">
        <v>-15.1</v>
      </c>
      <c r="R811" s="42">
        <v>-8.7</v>
      </c>
      <c r="S811" s="42">
        <v>-9.2</v>
      </c>
      <c r="T811" s="42">
        <v>-14.6</v>
      </c>
      <c r="U811" s="42">
        <v>90.0</v>
      </c>
      <c r="V811" s="42">
        <v>-7.6</v>
      </c>
      <c r="W811" s="42">
        <v>-9.7</v>
      </c>
    </row>
    <row r="812">
      <c r="A812" s="87">
        <v>811.0</v>
      </c>
      <c r="B812" s="85" t="s">
        <v>2486</v>
      </c>
      <c r="C812" s="85" t="s">
        <v>878</v>
      </c>
      <c r="D812" s="85" t="s">
        <v>1285</v>
      </c>
      <c r="E812" s="85" t="s">
        <v>1201</v>
      </c>
      <c r="F812" s="85" t="s">
        <v>1286</v>
      </c>
      <c r="G812" s="85" t="s">
        <v>1287</v>
      </c>
      <c r="H812" s="85" t="s">
        <v>1288</v>
      </c>
      <c r="I812" s="85" t="s">
        <v>1458</v>
      </c>
      <c r="J812" s="42">
        <v>-29.6</v>
      </c>
      <c r="K812" s="42">
        <v>0.68</v>
      </c>
      <c r="L812" s="42">
        <v>-2.3</v>
      </c>
      <c r="M812" s="42">
        <v>-1.8</v>
      </c>
      <c r="N812" s="42">
        <v>0.27</v>
      </c>
      <c r="O812" s="42">
        <v>1.1E11</v>
      </c>
      <c r="P812" s="42">
        <v>9.18E9</v>
      </c>
      <c r="Q812" s="42">
        <v>-12.6</v>
      </c>
      <c r="R812" s="42">
        <v>-21.3</v>
      </c>
      <c r="S812" s="42">
        <v>-45.9</v>
      </c>
      <c r="T812" s="42">
        <v>-58.1</v>
      </c>
      <c r="U812" s="42">
        <v>-40.5</v>
      </c>
      <c r="V812" s="42">
        <v>-5.1</v>
      </c>
      <c r="W812" s="42">
        <v>-40.3</v>
      </c>
    </row>
    <row r="813">
      <c r="A813" s="87">
        <v>812.0</v>
      </c>
      <c r="B813" s="85" t="s">
        <v>2487</v>
      </c>
      <c r="C813" s="85" t="s">
        <v>879</v>
      </c>
      <c r="D813" s="85" t="s">
        <v>1294</v>
      </c>
      <c r="E813" s="85" t="s">
        <v>1187</v>
      </c>
      <c r="F813" s="85" t="s">
        <v>1188</v>
      </c>
      <c r="G813" s="85" t="s">
        <v>1295</v>
      </c>
      <c r="H813" s="85" t="s">
        <v>1296</v>
      </c>
      <c r="I813" s="85" t="s">
        <v>1383</v>
      </c>
      <c r="J813" s="42">
        <v>16.5</v>
      </c>
      <c r="K813" s="42">
        <v>0.4</v>
      </c>
      <c r="L813" s="42">
        <v>2.4</v>
      </c>
      <c r="M813" s="42">
        <v>1.7</v>
      </c>
      <c r="N813" s="42">
        <v>0.45</v>
      </c>
      <c r="O813" s="42">
        <v>2.8E12</v>
      </c>
      <c r="P813" s="42">
        <v>6.02E11</v>
      </c>
      <c r="Q813" s="42">
        <v>-38.7</v>
      </c>
      <c r="R813" s="42">
        <v>-47.9</v>
      </c>
      <c r="S813" s="42">
        <v>-13.2</v>
      </c>
      <c r="T813" s="42">
        <v>69.3</v>
      </c>
      <c r="U813" s="42">
        <v>28.4</v>
      </c>
      <c r="V813" s="42">
        <v>-28.5</v>
      </c>
      <c r="W813" s="42">
        <v>-52.4</v>
      </c>
    </row>
    <row r="814">
      <c r="A814" s="87">
        <v>813.0</v>
      </c>
      <c r="B814" s="85" t="s">
        <v>2488</v>
      </c>
      <c r="C814" s="85" t="s">
        <v>880</v>
      </c>
      <c r="D814" s="85" t="s">
        <v>1665</v>
      </c>
      <c r="E814" s="85" t="s">
        <v>1201</v>
      </c>
      <c r="F814" s="85" t="s">
        <v>1666</v>
      </c>
      <c r="G814" s="85" t="s">
        <v>1666</v>
      </c>
      <c r="H814" s="85" t="s">
        <v>1667</v>
      </c>
      <c r="I814" s="85" t="s">
        <v>1265</v>
      </c>
      <c r="J814" s="42">
        <v>-130.0</v>
      </c>
      <c r="K814" s="42">
        <v>16.9</v>
      </c>
      <c r="L814" s="42">
        <v>-13.3</v>
      </c>
      <c r="M814" s="42">
        <v>-10.0</v>
      </c>
      <c r="N814" s="42">
        <v>0.33</v>
      </c>
      <c r="O814" s="42">
        <v>6.61E11</v>
      </c>
      <c r="P814" s="42">
        <v>4.5E10</v>
      </c>
      <c r="Q814" s="42">
        <v>-36.4</v>
      </c>
      <c r="R814" s="42">
        <v>-54.7</v>
      </c>
      <c r="S814" s="42">
        <v>-43.6</v>
      </c>
      <c r="T814" s="42">
        <v>240.0</v>
      </c>
      <c r="U814" s="42">
        <v>-11.5</v>
      </c>
      <c r="V814" s="42">
        <v>-33.9</v>
      </c>
      <c r="W814" s="42">
        <v>-41.7</v>
      </c>
    </row>
    <row r="815">
      <c r="A815" s="87">
        <v>814.0</v>
      </c>
      <c r="B815" s="85" t="s">
        <v>2489</v>
      </c>
      <c r="C815" s="85" t="s">
        <v>881</v>
      </c>
      <c r="D815" s="85" t="s">
        <v>1799</v>
      </c>
      <c r="E815" s="85" t="s">
        <v>1570</v>
      </c>
      <c r="F815" s="85" t="s">
        <v>1800</v>
      </c>
      <c r="G815" s="85" t="s">
        <v>1801</v>
      </c>
      <c r="H815" s="85" t="s">
        <v>1801</v>
      </c>
      <c r="I815" s="85" t="s">
        <v>1651</v>
      </c>
      <c r="J815" s="42">
        <v>29.0</v>
      </c>
      <c r="K815" s="42">
        <v>6.9</v>
      </c>
      <c r="L815" s="42">
        <v>23.7</v>
      </c>
      <c r="M815" s="42">
        <v>11.3</v>
      </c>
      <c r="N815" s="42">
        <v>1.1</v>
      </c>
      <c r="O815" s="42">
        <v>1.9E13</v>
      </c>
      <c r="P815" s="42">
        <v>2.6E12</v>
      </c>
      <c r="Q815" s="42">
        <v>-43.3</v>
      </c>
      <c r="R815" s="42">
        <v>-48.8</v>
      </c>
      <c r="S815" s="42">
        <v>-26.8</v>
      </c>
      <c r="T815" s="42">
        <v>55.2</v>
      </c>
      <c r="U815" s="42">
        <v>24.9</v>
      </c>
      <c r="V815" s="42">
        <v>-26.0</v>
      </c>
      <c r="W815" s="42">
        <v>-28.0</v>
      </c>
    </row>
    <row r="816">
      <c r="A816" s="87">
        <v>815.0</v>
      </c>
      <c r="B816" s="85" t="s">
        <v>2490</v>
      </c>
      <c r="C816" s="85" t="s">
        <v>882</v>
      </c>
      <c r="D816" s="85" t="s">
        <v>1448</v>
      </c>
      <c r="E816" s="85" t="s">
        <v>1252</v>
      </c>
      <c r="F816" s="85" t="s">
        <v>1252</v>
      </c>
      <c r="G816" s="85" t="s">
        <v>1449</v>
      </c>
      <c r="H816" s="85" t="s">
        <v>1449</v>
      </c>
      <c r="I816" s="85" t="s">
        <v>1255</v>
      </c>
      <c r="J816" s="42">
        <v>6.8</v>
      </c>
      <c r="K816" s="42">
        <v>1.8</v>
      </c>
      <c r="L816" s="42">
        <v>27.2</v>
      </c>
      <c r="M816" s="42">
        <v>16.4</v>
      </c>
      <c r="N816" s="42">
        <v>0.66</v>
      </c>
      <c r="O816" s="42">
        <v>3.75E11</v>
      </c>
      <c r="P816" s="42">
        <v>7.5E10</v>
      </c>
      <c r="Q816" s="42">
        <v>-38.4</v>
      </c>
      <c r="R816" s="42">
        <v>-33.6</v>
      </c>
      <c r="S816" s="42">
        <v>-40.8</v>
      </c>
      <c r="T816" s="42">
        <v>-46.5</v>
      </c>
      <c r="U816" s="42">
        <v>73.7</v>
      </c>
      <c r="V816" s="42">
        <v>-33.6</v>
      </c>
      <c r="W816" s="42">
        <v>-38.9</v>
      </c>
    </row>
    <row r="817">
      <c r="A817" s="87">
        <v>816.0</v>
      </c>
      <c r="B817" s="85" t="s">
        <v>2491</v>
      </c>
      <c r="C817" s="85" t="s">
        <v>883</v>
      </c>
      <c r="D817" s="85" t="s">
        <v>2136</v>
      </c>
      <c r="E817" s="85" t="s">
        <v>1201</v>
      </c>
      <c r="F817" s="85" t="s">
        <v>1219</v>
      </c>
      <c r="G817" s="85" t="s">
        <v>2137</v>
      </c>
      <c r="H817" s="85" t="s">
        <v>2137</v>
      </c>
      <c r="I817" s="85" t="s">
        <v>1381</v>
      </c>
      <c r="J817" s="42">
        <v>16.5</v>
      </c>
      <c r="K817" s="42">
        <v>1.9</v>
      </c>
      <c r="L817" s="42">
        <v>11.7</v>
      </c>
      <c r="M817" s="42">
        <v>8.8</v>
      </c>
      <c r="N817" s="42">
        <v>0.33</v>
      </c>
      <c r="O817" s="42">
        <v>1.4E12</v>
      </c>
      <c r="P817" s="42">
        <v>1.98E11</v>
      </c>
      <c r="Q817" s="42">
        <v>-3.2</v>
      </c>
      <c r="R817" s="42">
        <v>-8.2</v>
      </c>
      <c r="S817" s="42">
        <v>-9.7</v>
      </c>
      <c r="T817" s="42">
        <v>-38.6</v>
      </c>
      <c r="U817" s="42">
        <v>43.2</v>
      </c>
      <c r="V817" s="42">
        <v>0.472</v>
      </c>
      <c r="W817" s="42">
        <v>-0.467</v>
      </c>
    </row>
    <row r="818">
      <c r="A818" s="87">
        <v>817.0</v>
      </c>
      <c r="B818" s="85" t="s">
        <v>2492</v>
      </c>
      <c r="C818" s="85" t="s">
        <v>884</v>
      </c>
      <c r="D818" s="85" t="s">
        <v>2083</v>
      </c>
      <c r="E818" s="85" t="s">
        <v>1214</v>
      </c>
      <c r="F818" s="85" t="s">
        <v>1406</v>
      </c>
      <c r="G818" s="85" t="s">
        <v>1728</v>
      </c>
      <c r="H818" s="85" t="s">
        <v>2084</v>
      </c>
      <c r="I818" s="85" t="s">
        <v>1972</v>
      </c>
      <c r="J818" s="42">
        <v>-42.9</v>
      </c>
      <c r="K818" s="42">
        <v>2.9</v>
      </c>
      <c r="L818" s="42">
        <v>-6.8</v>
      </c>
      <c r="M818" s="42">
        <v>-3.1</v>
      </c>
      <c r="N818" s="42">
        <v>1.2</v>
      </c>
      <c r="O818" s="42">
        <v>7.94E11</v>
      </c>
      <c r="P818" s="42">
        <v>5.5E11</v>
      </c>
      <c r="Q818" s="42">
        <v>-13.9</v>
      </c>
      <c r="R818" s="42">
        <v>14.8</v>
      </c>
      <c r="S818" s="42">
        <v>-3.1</v>
      </c>
      <c r="T818" s="42">
        <v>81.1</v>
      </c>
      <c r="U818" s="42">
        <v>-3.4</v>
      </c>
      <c r="V818" s="42">
        <v>-4.9</v>
      </c>
      <c r="W818" s="42">
        <v>-26.5</v>
      </c>
    </row>
    <row r="819">
      <c r="A819" s="87">
        <v>818.0</v>
      </c>
      <c r="B819" s="85" t="s">
        <v>2493</v>
      </c>
      <c r="C819" s="85" t="s">
        <v>885</v>
      </c>
      <c r="D819" s="85" t="s">
        <v>1285</v>
      </c>
      <c r="E819" s="85" t="s">
        <v>1201</v>
      </c>
      <c r="F819" s="85" t="s">
        <v>1286</v>
      </c>
      <c r="G819" s="85" t="s">
        <v>1287</v>
      </c>
      <c r="H819" s="85" t="s">
        <v>1288</v>
      </c>
      <c r="I819" s="85" t="s">
        <v>1381</v>
      </c>
      <c r="J819" s="42">
        <v>-67.7</v>
      </c>
      <c r="K819" s="42">
        <v>4.0</v>
      </c>
      <c r="L819" s="42">
        <v>-5.9</v>
      </c>
      <c r="M819" s="42">
        <v>-2.6</v>
      </c>
      <c r="N819" s="42">
        <v>1.3</v>
      </c>
      <c r="O819" s="42">
        <v>7.3E11</v>
      </c>
      <c r="P819" s="42">
        <v>4.92E9</v>
      </c>
      <c r="Q819" s="42">
        <v>-45.7</v>
      </c>
      <c r="R819" s="42">
        <v>-51.7</v>
      </c>
      <c r="S819" s="42">
        <v>-9.0</v>
      </c>
      <c r="T819" s="42">
        <v>74.1</v>
      </c>
      <c r="U819" s="42">
        <v>-220.0</v>
      </c>
      <c r="V819" s="42">
        <v>-31.3</v>
      </c>
      <c r="W819" s="42">
        <v>-64.4</v>
      </c>
    </row>
    <row r="820">
      <c r="A820" s="87">
        <v>819.0</v>
      </c>
      <c r="B820" s="85" t="s">
        <v>2494</v>
      </c>
      <c r="C820" s="85" t="s">
        <v>886</v>
      </c>
      <c r="D820" s="85" t="s">
        <v>1240</v>
      </c>
      <c r="E820" s="85" t="s">
        <v>1194</v>
      </c>
      <c r="F820" s="85" t="s">
        <v>1195</v>
      </c>
      <c r="G820" s="85" t="s">
        <v>1241</v>
      </c>
      <c r="H820" s="85" t="s">
        <v>1242</v>
      </c>
      <c r="I820" s="85" t="s">
        <v>1265</v>
      </c>
      <c r="J820" s="42">
        <v>-11.0</v>
      </c>
      <c r="K820" s="42">
        <v>1.2</v>
      </c>
      <c r="L820" s="42">
        <v>-10.9</v>
      </c>
      <c r="M820" s="42">
        <v>-10.0</v>
      </c>
      <c r="N820" s="42">
        <v>0.08</v>
      </c>
      <c r="O820" s="42">
        <v>4.1E10</v>
      </c>
      <c r="P820" s="42">
        <v>1.33E9</v>
      </c>
      <c r="Q820" s="42">
        <v>-36.0</v>
      </c>
      <c r="R820" s="42">
        <v>-42.9</v>
      </c>
      <c r="S820" s="42">
        <v>-69.5</v>
      </c>
      <c r="T820" s="42">
        <v>-5.9</v>
      </c>
      <c r="U820" s="42">
        <v>-280.0</v>
      </c>
      <c r="V820" s="42">
        <v>-17.9</v>
      </c>
      <c r="W820" s="42">
        <v>-58.4</v>
      </c>
    </row>
    <row r="821">
      <c r="A821" s="87">
        <v>820.0</v>
      </c>
      <c r="B821" s="85" t="s">
        <v>2495</v>
      </c>
      <c r="C821" s="85" t="s">
        <v>887</v>
      </c>
      <c r="D821" s="85" t="s">
        <v>1304</v>
      </c>
      <c r="E821" s="85" t="s">
        <v>1252</v>
      </c>
      <c r="F821" s="85" t="s">
        <v>1252</v>
      </c>
      <c r="G821" s="85" t="s">
        <v>1305</v>
      </c>
      <c r="H821" s="85" t="s">
        <v>1305</v>
      </c>
      <c r="I821" s="85" t="s">
        <v>1255</v>
      </c>
      <c r="J821" s="42">
        <v>8.3</v>
      </c>
      <c r="K821" s="42">
        <v>0.34</v>
      </c>
      <c r="L821" s="42">
        <v>4.1</v>
      </c>
      <c r="M821" s="42">
        <v>2.8</v>
      </c>
      <c r="N821" s="42">
        <v>0.5</v>
      </c>
      <c r="O821" s="42">
        <v>8.53E11</v>
      </c>
      <c r="P821" s="42">
        <v>6.53E11</v>
      </c>
      <c r="Q821" s="42">
        <v>-10.4</v>
      </c>
      <c r="R821" s="42">
        <v>-11.2</v>
      </c>
      <c r="S821" s="42">
        <v>-22.1</v>
      </c>
      <c r="T821" s="42">
        <v>-32.1</v>
      </c>
      <c r="U821" s="42">
        <v>15.8</v>
      </c>
      <c r="V821" s="42">
        <v>-8.7</v>
      </c>
      <c r="W821" s="42">
        <v>-22.1</v>
      </c>
    </row>
    <row r="822">
      <c r="A822" s="87">
        <v>821.0</v>
      </c>
      <c r="B822" s="85" t="s">
        <v>2496</v>
      </c>
      <c r="C822" s="85" t="s">
        <v>888</v>
      </c>
      <c r="D822" s="85" t="s">
        <v>1224</v>
      </c>
      <c r="E822" s="85" t="s">
        <v>1201</v>
      </c>
      <c r="F822" s="85" t="s">
        <v>1225</v>
      </c>
      <c r="G822" s="85" t="s">
        <v>1225</v>
      </c>
      <c r="H822" s="85" t="s">
        <v>1226</v>
      </c>
      <c r="I822" s="85" t="s">
        <v>1265</v>
      </c>
      <c r="J822" s="42">
        <v>39.7</v>
      </c>
      <c r="K822" s="42">
        <v>1.2</v>
      </c>
      <c r="L822" s="42">
        <v>3.0</v>
      </c>
      <c r="M822" s="42">
        <v>2.7</v>
      </c>
      <c r="N822" s="42">
        <v>0.12</v>
      </c>
      <c r="O822" s="42">
        <v>6.0E10</v>
      </c>
      <c r="P822" s="42">
        <v>1.1E10</v>
      </c>
      <c r="Q822" s="42">
        <v>-30.2</v>
      </c>
      <c r="R822" s="42">
        <v>-24.1</v>
      </c>
      <c r="S822" s="42">
        <v>-48.7</v>
      </c>
      <c r="T822" s="42">
        <v>-72.2</v>
      </c>
      <c r="U822" s="42">
        <v>13.8</v>
      </c>
      <c r="V822" s="42">
        <v>-21.1</v>
      </c>
      <c r="W822" s="42">
        <v>-69.5</v>
      </c>
    </row>
    <row r="823">
      <c r="A823" s="87">
        <v>822.0</v>
      </c>
      <c r="B823" s="85" t="s">
        <v>2497</v>
      </c>
      <c r="C823" s="85" t="s">
        <v>889</v>
      </c>
      <c r="D823" s="85" t="s">
        <v>1325</v>
      </c>
      <c r="E823" s="85" t="s">
        <v>1214</v>
      </c>
      <c r="F823" s="85" t="s">
        <v>1326</v>
      </c>
      <c r="G823" s="85" t="s">
        <v>1327</v>
      </c>
      <c r="H823" s="85" t="s">
        <v>1327</v>
      </c>
      <c r="I823" s="85" t="s">
        <v>1394</v>
      </c>
      <c r="J823" s="42">
        <v>6.3</v>
      </c>
      <c r="K823" s="42">
        <v>0.62</v>
      </c>
      <c r="L823" s="42">
        <v>9.7</v>
      </c>
      <c r="M823" s="42">
        <v>7.3</v>
      </c>
      <c r="N823" s="42">
        <v>0.33</v>
      </c>
      <c r="O823" s="42">
        <v>1.5E12</v>
      </c>
      <c r="P823" s="42">
        <v>6.28E11</v>
      </c>
      <c r="Q823" s="42">
        <v>-8.4</v>
      </c>
      <c r="R823" s="42">
        <v>-13.5</v>
      </c>
      <c r="S823" s="42">
        <v>-16.8</v>
      </c>
      <c r="T823" s="42">
        <v>-22.1</v>
      </c>
      <c r="U823" s="42">
        <v>38.6</v>
      </c>
      <c r="V823" s="42">
        <v>-5.2</v>
      </c>
      <c r="W823" s="42">
        <v>-15.5</v>
      </c>
    </row>
    <row r="824">
      <c r="A824" s="87">
        <v>823.0</v>
      </c>
      <c r="B824" s="85" t="s">
        <v>2498</v>
      </c>
      <c r="C824" s="85" t="s">
        <v>890</v>
      </c>
      <c r="D824" s="85" t="s">
        <v>1371</v>
      </c>
      <c r="E824" s="85" t="s">
        <v>1252</v>
      </c>
      <c r="F824" s="85" t="s">
        <v>1252</v>
      </c>
      <c r="G824" s="85" t="s">
        <v>1313</v>
      </c>
      <c r="H824" s="85" t="s">
        <v>1372</v>
      </c>
      <c r="I824" s="85" t="s">
        <v>1316</v>
      </c>
      <c r="J824" s="42">
        <v>-8.1</v>
      </c>
      <c r="K824" s="42">
        <v>-24.1</v>
      </c>
      <c r="L824" s="42">
        <v>0.0</v>
      </c>
      <c r="M824" s="42">
        <v>-16.5</v>
      </c>
      <c r="N824" s="42">
        <v>-19.0</v>
      </c>
      <c r="O824" s="42">
        <v>6.84E11</v>
      </c>
      <c r="P824" s="42">
        <v>1.41E9</v>
      </c>
      <c r="Q824" s="42">
        <v>-6.3</v>
      </c>
      <c r="R824" s="42">
        <v>-28.6</v>
      </c>
      <c r="S824" s="42">
        <v>4.7</v>
      </c>
      <c r="T824" s="42">
        <v>4.7</v>
      </c>
      <c r="U824" s="42">
        <v>-5970.0</v>
      </c>
      <c r="V824" s="42">
        <v>0.0</v>
      </c>
      <c r="W824" s="42">
        <v>4.7</v>
      </c>
    </row>
    <row r="825">
      <c r="A825" s="87">
        <v>824.0</v>
      </c>
      <c r="B825" s="85" t="s">
        <v>2499</v>
      </c>
      <c r="C825" s="85" t="s">
        <v>891</v>
      </c>
      <c r="D825" s="85" t="s">
        <v>1569</v>
      </c>
      <c r="E825" s="85" t="s">
        <v>1570</v>
      </c>
      <c r="F825" s="85" t="s">
        <v>1571</v>
      </c>
      <c r="G825" s="85" t="s">
        <v>1572</v>
      </c>
      <c r="H825" s="85" t="s">
        <v>1572</v>
      </c>
      <c r="I825" s="85" t="s">
        <v>2500</v>
      </c>
      <c r="J825" s="42">
        <v>-650.0</v>
      </c>
      <c r="K825" s="42">
        <v>140.0</v>
      </c>
      <c r="L825" s="42">
        <v>-21.0</v>
      </c>
      <c r="M825" s="42">
        <v>-3.5</v>
      </c>
      <c r="N825" s="42">
        <v>5.1</v>
      </c>
      <c r="O825" s="42">
        <v>1.7E14</v>
      </c>
      <c r="P825" s="42">
        <v>6.45E11</v>
      </c>
      <c r="Q825" s="42">
        <v>-23.2</v>
      </c>
      <c r="R825" s="42">
        <v>-28.8</v>
      </c>
      <c r="S825" s="42">
        <v>-34.5</v>
      </c>
      <c r="T825" s="42">
        <v>210.0</v>
      </c>
      <c r="U825" s="42">
        <v>-40.5</v>
      </c>
      <c r="V825" s="42">
        <v>-17.3</v>
      </c>
      <c r="W825" s="42">
        <v>-34.8</v>
      </c>
    </row>
    <row r="826">
      <c r="A826" s="87">
        <v>825.0</v>
      </c>
      <c r="B826" s="85" t="s">
        <v>2501</v>
      </c>
      <c r="C826" s="85" t="s">
        <v>892</v>
      </c>
      <c r="D826" s="85" t="s">
        <v>1224</v>
      </c>
      <c r="E826" s="85" t="s">
        <v>1201</v>
      </c>
      <c r="F826" s="85" t="s">
        <v>1225</v>
      </c>
      <c r="G826" s="85" t="s">
        <v>1225</v>
      </c>
      <c r="H826" s="85" t="s">
        <v>1226</v>
      </c>
      <c r="I826" s="85" t="s">
        <v>1943</v>
      </c>
      <c r="J826" s="42">
        <v>0.0</v>
      </c>
      <c r="K826" s="42">
        <v>-0.19</v>
      </c>
      <c r="L826" s="42">
        <v>0.0</v>
      </c>
      <c r="M826" s="42">
        <v>-21.3</v>
      </c>
      <c r="N826" s="42">
        <v>-1.6</v>
      </c>
      <c r="O826" s="42">
        <v>3.0E12</v>
      </c>
      <c r="P826" s="42">
        <v>3.0E12</v>
      </c>
      <c r="Q826" s="42">
        <v>0.0</v>
      </c>
      <c r="R826" s="42">
        <v>0.0</v>
      </c>
      <c r="S826" s="42">
        <v>0.0</v>
      </c>
      <c r="T826" s="42">
        <v>0.0</v>
      </c>
      <c r="U826" s="42">
        <v>-63.0</v>
      </c>
      <c r="V826" s="42">
        <v>0.0</v>
      </c>
      <c r="W826" s="42">
        <v>0.0</v>
      </c>
    </row>
    <row r="827">
      <c r="A827" s="87">
        <v>826.0</v>
      </c>
      <c r="B827" s="85" t="s">
        <v>2502</v>
      </c>
      <c r="C827" s="85" t="s">
        <v>893</v>
      </c>
      <c r="D827" s="85" t="s">
        <v>1251</v>
      </c>
      <c r="E827" s="85" t="s">
        <v>1252</v>
      </c>
      <c r="F827" s="85" t="s">
        <v>1252</v>
      </c>
      <c r="G827" s="85" t="s">
        <v>1253</v>
      </c>
      <c r="H827" s="85" t="s">
        <v>1254</v>
      </c>
      <c r="I827" s="85" t="s">
        <v>1422</v>
      </c>
      <c r="J827" s="42">
        <v>4.1</v>
      </c>
      <c r="K827" s="42">
        <v>0.47</v>
      </c>
      <c r="L827" s="42">
        <v>11.5</v>
      </c>
      <c r="M827" s="42">
        <v>9.5</v>
      </c>
      <c r="N827" s="42">
        <v>0.21</v>
      </c>
      <c r="O827" s="42">
        <v>3.91E11</v>
      </c>
      <c r="P827" s="42">
        <v>2.4E11</v>
      </c>
      <c r="Q827" s="42">
        <v>-16.2</v>
      </c>
      <c r="R827" s="42">
        <v>5.6</v>
      </c>
      <c r="S827" s="42">
        <v>-12.3</v>
      </c>
      <c r="T827" s="42">
        <v>11.8</v>
      </c>
      <c r="U827" s="42">
        <v>40.3</v>
      </c>
      <c r="V827" s="42">
        <v>-12.3</v>
      </c>
      <c r="W827" s="42">
        <v>-8.1</v>
      </c>
    </row>
    <row r="828">
      <c r="A828" s="87">
        <v>827.0</v>
      </c>
      <c r="B828" s="85" t="s">
        <v>2503</v>
      </c>
      <c r="C828" s="85" t="s">
        <v>894</v>
      </c>
      <c r="D828" s="85" t="s">
        <v>1755</v>
      </c>
      <c r="E828" s="85" t="s">
        <v>1208</v>
      </c>
      <c r="F828" s="85" t="s">
        <v>1364</v>
      </c>
      <c r="G828" s="85" t="s">
        <v>1364</v>
      </c>
      <c r="H828" s="85" t="s">
        <v>1756</v>
      </c>
      <c r="I828" s="85" t="s">
        <v>2504</v>
      </c>
      <c r="J828" s="42">
        <v>2.9</v>
      </c>
      <c r="K828" s="42">
        <v>0.36</v>
      </c>
      <c r="L828" s="42">
        <v>12.4</v>
      </c>
      <c r="M828" s="42">
        <v>11.7</v>
      </c>
      <c r="N828" s="42">
        <v>0.06</v>
      </c>
      <c r="O828" s="42">
        <v>2.12E13</v>
      </c>
      <c r="P828" s="42">
        <v>2.9E12</v>
      </c>
      <c r="Q828" s="42">
        <v>-26.5</v>
      </c>
      <c r="R828" s="42">
        <v>-16.7</v>
      </c>
      <c r="S828" s="42">
        <v>-21.1</v>
      </c>
      <c r="T828" s="42">
        <v>-23.8</v>
      </c>
      <c r="U828" s="42">
        <v>260.0</v>
      </c>
      <c r="V828" s="42">
        <v>-19.9</v>
      </c>
      <c r="W828" s="42">
        <v>-19.4</v>
      </c>
    </row>
    <row r="829">
      <c r="A829" s="87">
        <v>828.0</v>
      </c>
      <c r="B829" s="85" t="s">
        <v>2505</v>
      </c>
      <c r="C829" s="85" t="s">
        <v>895</v>
      </c>
      <c r="D829" s="85" t="s">
        <v>1229</v>
      </c>
      <c r="E829" s="85" t="s">
        <v>1230</v>
      </c>
      <c r="F829" s="85" t="s">
        <v>1231</v>
      </c>
      <c r="G829" s="85" t="s">
        <v>1231</v>
      </c>
      <c r="H829" s="85" t="s">
        <v>1231</v>
      </c>
      <c r="I829" s="85" t="s">
        <v>2506</v>
      </c>
      <c r="J829" s="42">
        <v>370.0</v>
      </c>
      <c r="K829" s="42">
        <v>0.95</v>
      </c>
      <c r="L829" s="42">
        <v>0.26</v>
      </c>
      <c r="M829" s="42">
        <v>0.17</v>
      </c>
      <c r="N829" s="42">
        <v>0.56</v>
      </c>
      <c r="O829" s="42">
        <v>7.9E12</v>
      </c>
      <c r="P829" s="42">
        <v>1.4E12</v>
      </c>
      <c r="Q829" s="42">
        <v>-12.4</v>
      </c>
      <c r="R829" s="42">
        <v>32.4</v>
      </c>
      <c r="S829" s="42">
        <v>-20.7</v>
      </c>
      <c r="T829" s="42">
        <v>44.0</v>
      </c>
      <c r="U829" s="42">
        <v>1.5</v>
      </c>
      <c r="V829" s="42">
        <v>-11.8</v>
      </c>
      <c r="W829" s="42">
        <v>-10.5</v>
      </c>
    </row>
    <row r="830">
      <c r="A830" s="87">
        <v>829.0</v>
      </c>
      <c r="B830" s="85" t="s">
        <v>2507</v>
      </c>
      <c r="C830" s="85" t="s">
        <v>896</v>
      </c>
      <c r="D830" s="85" t="s">
        <v>1193</v>
      </c>
      <c r="E830" s="85" t="s">
        <v>1194</v>
      </c>
      <c r="F830" s="85" t="s">
        <v>1195</v>
      </c>
      <c r="G830" s="85" t="s">
        <v>1196</v>
      </c>
      <c r="H830" s="85" t="s">
        <v>1197</v>
      </c>
      <c r="I830" s="85" t="s">
        <v>2508</v>
      </c>
      <c r="J830" s="42">
        <v>5.9</v>
      </c>
      <c r="K830" s="42">
        <v>2.0</v>
      </c>
      <c r="L830" s="42">
        <v>34.3</v>
      </c>
      <c r="M830" s="42">
        <v>8.3</v>
      </c>
      <c r="N830" s="42">
        <v>3.2</v>
      </c>
      <c r="O830" s="42">
        <v>6.7E12</v>
      </c>
      <c r="P830" s="42">
        <v>3.5E12</v>
      </c>
      <c r="Q830" s="42">
        <v>-53.1</v>
      </c>
      <c r="R830" s="42">
        <v>-49.2</v>
      </c>
      <c r="S830" s="42">
        <v>-61.0</v>
      </c>
      <c r="T830" s="42">
        <v>-52.1</v>
      </c>
      <c r="U830" s="42">
        <v>32.3</v>
      </c>
      <c r="V830" s="42">
        <v>-17.8</v>
      </c>
      <c r="W830" s="42">
        <v>-56.8</v>
      </c>
    </row>
    <row r="831">
      <c r="A831" s="87">
        <v>830.0</v>
      </c>
      <c r="B831" s="85" t="s">
        <v>2509</v>
      </c>
      <c r="C831" s="85" t="s">
        <v>897</v>
      </c>
      <c r="D831" s="85" t="s">
        <v>1224</v>
      </c>
      <c r="E831" s="85" t="s">
        <v>1201</v>
      </c>
      <c r="F831" s="85" t="s">
        <v>1225</v>
      </c>
      <c r="G831" s="85" t="s">
        <v>1225</v>
      </c>
      <c r="H831" s="85" t="s">
        <v>1226</v>
      </c>
      <c r="I831" s="85" t="s">
        <v>1381</v>
      </c>
      <c r="J831" s="42">
        <v>-36.1</v>
      </c>
      <c r="K831" s="42">
        <v>2.8</v>
      </c>
      <c r="L831" s="42">
        <v>-7.7</v>
      </c>
      <c r="M831" s="42">
        <v>-4.5</v>
      </c>
      <c r="N831" s="42">
        <v>0.72</v>
      </c>
      <c r="O831" s="42">
        <v>5.76E11</v>
      </c>
      <c r="P831" s="42">
        <v>6.8E10</v>
      </c>
      <c r="Q831" s="42">
        <v>-44.1</v>
      </c>
      <c r="R831" s="42">
        <v>-46.0</v>
      </c>
      <c r="S831" s="42">
        <v>-75.8</v>
      </c>
      <c r="T831" s="42">
        <v>73.3</v>
      </c>
      <c r="U831" s="42">
        <v>-23.6</v>
      </c>
      <c r="V831" s="42">
        <v>-34.9</v>
      </c>
      <c r="W831" s="42">
        <v>-85.6</v>
      </c>
    </row>
    <row r="832">
      <c r="A832" s="87">
        <v>831.0</v>
      </c>
      <c r="B832" s="85" t="s">
        <v>2510</v>
      </c>
      <c r="C832" s="85" t="s">
        <v>898</v>
      </c>
      <c r="D832" s="85" t="s">
        <v>1193</v>
      </c>
      <c r="E832" s="85" t="s">
        <v>1194</v>
      </c>
      <c r="F832" s="85" t="s">
        <v>1195</v>
      </c>
      <c r="G832" s="85" t="s">
        <v>1196</v>
      </c>
      <c r="H832" s="85" t="s">
        <v>1197</v>
      </c>
      <c r="I832" s="85" t="s">
        <v>2195</v>
      </c>
      <c r="J832" s="42">
        <v>6.8</v>
      </c>
      <c r="K832" s="42">
        <v>1.5</v>
      </c>
      <c r="L832" s="42">
        <v>21.7</v>
      </c>
      <c r="M832" s="42">
        <v>15.8</v>
      </c>
      <c r="N832" s="42">
        <v>0.37</v>
      </c>
      <c r="O832" s="42">
        <v>1.09E13</v>
      </c>
      <c r="P832" s="42">
        <v>2.5E12</v>
      </c>
      <c r="Q832" s="42">
        <v>-28.9</v>
      </c>
      <c r="R832" s="42">
        <v>-30.3</v>
      </c>
      <c r="S832" s="42">
        <v>-39.4</v>
      </c>
      <c r="T832" s="42">
        <v>12.9</v>
      </c>
      <c r="U832" s="42">
        <v>64.2</v>
      </c>
      <c r="V832" s="42">
        <v>-10.7</v>
      </c>
      <c r="W832" s="42">
        <v>-33.7</v>
      </c>
    </row>
    <row r="833">
      <c r="A833" s="87">
        <v>832.0</v>
      </c>
      <c r="B833" s="85" t="s">
        <v>2511</v>
      </c>
      <c r="C833" s="85" t="s">
        <v>899</v>
      </c>
      <c r="D833" s="85" t="s">
        <v>1363</v>
      </c>
      <c r="E833" s="85" t="s">
        <v>1208</v>
      </c>
      <c r="F833" s="85" t="s">
        <v>1364</v>
      </c>
      <c r="G833" s="85" t="s">
        <v>1364</v>
      </c>
      <c r="H833" s="85" t="s">
        <v>1365</v>
      </c>
      <c r="I833" s="85" t="s">
        <v>1211</v>
      </c>
      <c r="J833" s="42">
        <v>86.6</v>
      </c>
      <c r="K833" s="42">
        <v>3.9</v>
      </c>
      <c r="L833" s="42">
        <v>4.5</v>
      </c>
      <c r="M833" s="42">
        <v>4.5</v>
      </c>
      <c r="N833" s="42">
        <v>0.01</v>
      </c>
      <c r="O833" s="42">
        <v>2.1E12</v>
      </c>
      <c r="P833" s="42">
        <v>2.53E9</v>
      </c>
      <c r="Q833" s="42">
        <v>-52.5</v>
      </c>
      <c r="R833" s="42">
        <v>-52.9</v>
      </c>
      <c r="S833" s="42">
        <v>-6.4</v>
      </c>
      <c r="T833" s="42">
        <v>840.0</v>
      </c>
      <c r="U833" s="42">
        <v>970.0</v>
      </c>
      <c r="V833" s="42">
        <v>-31.1</v>
      </c>
      <c r="W833" s="42">
        <v>-30.8</v>
      </c>
    </row>
    <row r="834">
      <c r="A834" s="87">
        <v>833.0</v>
      </c>
      <c r="B834" s="85" t="s">
        <v>2512</v>
      </c>
      <c r="C834" s="85" t="s">
        <v>900</v>
      </c>
      <c r="D834" s="85" t="s">
        <v>1512</v>
      </c>
      <c r="E834" s="85" t="s">
        <v>1194</v>
      </c>
      <c r="F834" s="85" t="s">
        <v>1195</v>
      </c>
      <c r="G834" s="85" t="s">
        <v>1241</v>
      </c>
      <c r="H834" s="85" t="s">
        <v>1513</v>
      </c>
      <c r="I834" s="85" t="s">
        <v>1718</v>
      </c>
      <c r="J834" s="42">
        <v>-51.9</v>
      </c>
      <c r="K834" s="42">
        <v>8.1</v>
      </c>
      <c r="L834" s="42">
        <v>-15.6</v>
      </c>
      <c r="M834" s="42">
        <v>-13.8</v>
      </c>
      <c r="N834" s="42">
        <v>0.13</v>
      </c>
      <c r="O834" s="42">
        <v>9.33E11</v>
      </c>
      <c r="P834" s="42">
        <v>8.29E9</v>
      </c>
      <c r="Q834" s="42">
        <v>-40.8</v>
      </c>
      <c r="R834" s="42">
        <v>-48.7</v>
      </c>
      <c r="S834" s="42">
        <v>-71.8</v>
      </c>
      <c r="T834" s="42">
        <v>-4.7</v>
      </c>
      <c r="U834" s="42">
        <v>-220.0</v>
      </c>
      <c r="V834" s="42">
        <v>-28.2</v>
      </c>
      <c r="W834" s="42">
        <v>-69.8</v>
      </c>
    </row>
    <row r="835">
      <c r="A835" s="87">
        <v>834.0</v>
      </c>
      <c r="B835" s="85" t="s">
        <v>2513</v>
      </c>
      <c r="C835" s="85" t="s">
        <v>901</v>
      </c>
      <c r="D835" s="85" t="s">
        <v>1282</v>
      </c>
      <c r="E835" s="85" t="s">
        <v>1194</v>
      </c>
      <c r="F835" s="85" t="s">
        <v>1195</v>
      </c>
      <c r="G835" s="85" t="s">
        <v>1283</v>
      </c>
      <c r="H835" s="85" t="s">
        <v>1283</v>
      </c>
      <c r="I835" s="85" t="s">
        <v>1352</v>
      </c>
      <c r="J835" s="42">
        <v>11.9</v>
      </c>
      <c r="K835" s="42">
        <v>1.8</v>
      </c>
      <c r="L835" s="42">
        <v>14.8</v>
      </c>
      <c r="M835" s="42">
        <v>13.7</v>
      </c>
      <c r="N835" s="42">
        <v>0.08</v>
      </c>
      <c r="O835" s="42">
        <v>1.34E13</v>
      </c>
      <c r="P835" s="42">
        <v>1.2E12</v>
      </c>
      <c r="Q835" s="42">
        <v>-15.4</v>
      </c>
      <c r="R835" s="42">
        <v>-5.5</v>
      </c>
      <c r="S835" s="42">
        <v>-3.3</v>
      </c>
      <c r="T835" s="42">
        <v>-11.0</v>
      </c>
      <c r="U835" s="42">
        <v>92.2</v>
      </c>
      <c r="V835" s="42">
        <v>-6.9</v>
      </c>
      <c r="W835" s="42">
        <v>-2.8</v>
      </c>
    </row>
    <row r="836">
      <c r="A836" s="87">
        <v>835.0</v>
      </c>
      <c r="B836" s="85" t="s">
        <v>2514</v>
      </c>
      <c r="C836" s="85" t="s">
        <v>902</v>
      </c>
      <c r="D836" s="85" t="s">
        <v>1822</v>
      </c>
      <c r="E836" s="85" t="s">
        <v>1187</v>
      </c>
      <c r="F836" s="85" t="s">
        <v>1188</v>
      </c>
      <c r="G836" s="85" t="s">
        <v>1295</v>
      </c>
      <c r="H836" s="85" t="s">
        <v>1823</v>
      </c>
      <c r="I836" s="85" t="s">
        <v>1936</v>
      </c>
      <c r="J836" s="88"/>
      <c r="K836" s="42">
        <v>0.54</v>
      </c>
      <c r="L836" s="42">
        <v>-1.1</v>
      </c>
      <c r="M836" s="42">
        <v>0.0</v>
      </c>
      <c r="N836" s="42">
        <v>2.1</v>
      </c>
      <c r="O836" s="42">
        <v>1.2E12</v>
      </c>
      <c r="P836" s="42">
        <v>1.2E10</v>
      </c>
      <c r="Q836" s="42">
        <v>0.0</v>
      </c>
      <c r="R836" s="42">
        <v>0.0</v>
      </c>
      <c r="S836" s="42">
        <v>0.0</v>
      </c>
      <c r="T836" s="42">
        <v>0.0</v>
      </c>
      <c r="U836" s="42">
        <v>-210.0</v>
      </c>
      <c r="V836" s="42">
        <v>0.0</v>
      </c>
      <c r="W836" s="42">
        <v>0.0</v>
      </c>
    </row>
    <row r="837">
      <c r="A837" s="87">
        <v>836.0</v>
      </c>
      <c r="B837" s="85" t="s">
        <v>2515</v>
      </c>
      <c r="C837" s="85" t="s">
        <v>903</v>
      </c>
      <c r="D837" s="85" t="s">
        <v>1966</v>
      </c>
      <c r="E837" s="85" t="s">
        <v>1252</v>
      </c>
      <c r="F837" s="85" t="s">
        <v>1252</v>
      </c>
      <c r="G837" s="85" t="s">
        <v>1469</v>
      </c>
      <c r="H837" s="85" t="s">
        <v>1967</v>
      </c>
      <c r="I837" s="85" t="s">
        <v>1255</v>
      </c>
      <c r="J837" s="42">
        <v>-7.7</v>
      </c>
      <c r="K837" s="42">
        <v>2.4</v>
      </c>
      <c r="L837" s="42">
        <v>-31.0</v>
      </c>
      <c r="M837" s="42">
        <v>-9.7</v>
      </c>
      <c r="N837" s="42">
        <v>2.2</v>
      </c>
      <c r="O837" s="42">
        <v>5.31E11</v>
      </c>
      <c r="P837" s="42">
        <v>5.2E10</v>
      </c>
      <c r="Q837" s="42">
        <v>-26.7</v>
      </c>
      <c r="R837" s="42">
        <v>-26.0</v>
      </c>
      <c r="S837" s="42">
        <v>-50.0</v>
      </c>
      <c r="T837" s="42">
        <v>-24.5</v>
      </c>
      <c r="U837" s="42">
        <v>-130.0</v>
      </c>
      <c r="V837" s="42">
        <v>-14.0</v>
      </c>
      <c r="W837" s="42">
        <v>-47.1</v>
      </c>
    </row>
    <row r="838">
      <c r="A838" s="87">
        <v>837.0</v>
      </c>
      <c r="B838" s="85" t="s">
        <v>2516</v>
      </c>
      <c r="C838" s="85" t="s">
        <v>904</v>
      </c>
      <c r="D838" s="85" t="s">
        <v>1397</v>
      </c>
      <c r="E838" s="85" t="s">
        <v>1187</v>
      </c>
      <c r="F838" s="85" t="s">
        <v>1188</v>
      </c>
      <c r="G838" s="85" t="s">
        <v>1359</v>
      </c>
      <c r="H838" s="85" t="s">
        <v>1398</v>
      </c>
      <c r="I838" s="85" t="s">
        <v>1216</v>
      </c>
      <c r="J838" s="42">
        <v>11.8</v>
      </c>
      <c r="K838" s="42">
        <v>1.9</v>
      </c>
      <c r="L838" s="42">
        <v>16.5</v>
      </c>
      <c r="M838" s="42">
        <v>12.9</v>
      </c>
      <c r="N838" s="42">
        <v>0.28</v>
      </c>
      <c r="O838" s="42">
        <v>1.7E12</v>
      </c>
      <c r="P838" s="42">
        <v>1.55E11</v>
      </c>
      <c r="Q838" s="42">
        <v>0.0</v>
      </c>
      <c r="R838" s="42">
        <v>-21.9</v>
      </c>
      <c r="S838" s="42">
        <v>-23.8</v>
      </c>
      <c r="T838" s="42">
        <v>-21.9</v>
      </c>
      <c r="U838" s="42">
        <v>93.9</v>
      </c>
      <c r="V838" s="42">
        <v>-7.4</v>
      </c>
      <c r="W838" s="42">
        <v>-25.1</v>
      </c>
    </row>
    <row r="839">
      <c r="A839" s="87">
        <v>838.0</v>
      </c>
      <c r="B839" s="85" t="s">
        <v>2517</v>
      </c>
      <c r="C839" s="85" t="s">
        <v>905</v>
      </c>
      <c r="D839" s="85" t="s">
        <v>1273</v>
      </c>
      <c r="E839" s="85" t="s">
        <v>1208</v>
      </c>
      <c r="F839" s="85" t="s">
        <v>1274</v>
      </c>
      <c r="G839" s="85" t="s">
        <v>1274</v>
      </c>
      <c r="H839" s="85" t="s">
        <v>1274</v>
      </c>
      <c r="I839" s="85" t="s">
        <v>1278</v>
      </c>
      <c r="J839" s="42">
        <v>160.0</v>
      </c>
      <c r="K839" s="42">
        <v>3.5</v>
      </c>
      <c r="L839" s="42">
        <v>2.2</v>
      </c>
      <c r="M839" s="42">
        <v>0.74</v>
      </c>
      <c r="N839" s="42">
        <v>2.0</v>
      </c>
      <c r="O839" s="42">
        <v>2.82E13</v>
      </c>
      <c r="P839" s="42">
        <v>7.29E11</v>
      </c>
      <c r="Q839" s="42">
        <v>-28.6</v>
      </c>
      <c r="R839" s="42">
        <v>-29.0</v>
      </c>
      <c r="S839" s="88"/>
      <c r="T839" s="88"/>
      <c r="U839" s="42">
        <v>24.4</v>
      </c>
      <c r="V839" s="42">
        <v>-31.0</v>
      </c>
      <c r="W839" s="42">
        <v>-35.1</v>
      </c>
    </row>
    <row r="840">
      <c r="A840" s="87">
        <v>839.0</v>
      </c>
      <c r="B840" s="85" t="s">
        <v>2518</v>
      </c>
      <c r="C840" s="85" t="s">
        <v>906</v>
      </c>
      <c r="D840" s="85" t="s">
        <v>1463</v>
      </c>
      <c r="E840" s="85" t="s">
        <v>1230</v>
      </c>
      <c r="F840" s="85" t="s">
        <v>1464</v>
      </c>
      <c r="G840" s="85" t="s">
        <v>1465</v>
      </c>
      <c r="H840" s="85" t="s">
        <v>1465</v>
      </c>
      <c r="I840" s="85" t="s">
        <v>1232</v>
      </c>
      <c r="J840" s="42">
        <v>21.4</v>
      </c>
      <c r="K840" s="42">
        <v>6.0</v>
      </c>
      <c r="L840" s="42">
        <v>28.2</v>
      </c>
      <c r="M840" s="42">
        <v>10.3</v>
      </c>
      <c r="N840" s="42">
        <v>0.26</v>
      </c>
      <c r="O840" s="42">
        <v>4.99E13</v>
      </c>
      <c r="P840" s="42">
        <v>1.9E12</v>
      </c>
      <c r="Q840" s="42">
        <v>0.0</v>
      </c>
      <c r="R840" s="42">
        <v>0.0</v>
      </c>
      <c r="S840" s="42">
        <v>0.0</v>
      </c>
      <c r="T840" s="42">
        <v>0.0</v>
      </c>
      <c r="U840" s="42">
        <v>120.0</v>
      </c>
      <c r="V840" s="42">
        <v>0.0</v>
      </c>
      <c r="W840" s="42">
        <v>0.0</v>
      </c>
    </row>
    <row r="841">
      <c r="A841" s="87">
        <v>840.0</v>
      </c>
      <c r="B841" s="85" t="s">
        <v>2519</v>
      </c>
      <c r="C841" s="85" t="s">
        <v>907</v>
      </c>
      <c r="D841" s="85" t="s">
        <v>1822</v>
      </c>
      <c r="E841" s="85" t="s">
        <v>1187</v>
      </c>
      <c r="F841" s="85" t="s">
        <v>1188</v>
      </c>
      <c r="G841" s="85" t="s">
        <v>1295</v>
      </c>
      <c r="H841" s="85" t="s">
        <v>1823</v>
      </c>
      <c r="I841" s="85" t="s">
        <v>1540</v>
      </c>
      <c r="J841" s="42">
        <v>-200.0</v>
      </c>
      <c r="K841" s="42">
        <v>17.2</v>
      </c>
      <c r="L841" s="42">
        <v>-8.6</v>
      </c>
      <c r="M841" s="42">
        <v>-1.2</v>
      </c>
      <c r="N841" s="42">
        <v>6.2</v>
      </c>
      <c r="O841" s="42">
        <v>3.9E12</v>
      </c>
      <c r="P841" s="42">
        <v>1.75E11</v>
      </c>
      <c r="Q841" s="42">
        <v>4.2</v>
      </c>
      <c r="R841" s="42">
        <v>-0.369</v>
      </c>
      <c r="S841" s="42">
        <v>1.5</v>
      </c>
      <c r="T841" s="42">
        <v>15.4</v>
      </c>
      <c r="U841" s="42">
        <v>-11.2</v>
      </c>
      <c r="V841" s="42">
        <v>3.8</v>
      </c>
      <c r="W841" s="42">
        <v>0.372</v>
      </c>
    </row>
    <row r="842">
      <c r="A842" s="87">
        <v>841.0</v>
      </c>
      <c r="B842" s="85" t="s">
        <v>2520</v>
      </c>
      <c r="C842" s="85" t="s">
        <v>908</v>
      </c>
      <c r="D842" s="85" t="s">
        <v>1682</v>
      </c>
      <c r="E842" s="85" t="s">
        <v>1570</v>
      </c>
      <c r="F842" s="85" t="s">
        <v>1571</v>
      </c>
      <c r="G842" s="85" t="s">
        <v>1683</v>
      </c>
      <c r="H842" s="85" t="s">
        <v>1684</v>
      </c>
      <c r="I842" s="85" t="s">
        <v>1685</v>
      </c>
      <c r="J842" s="42">
        <v>-2430.0</v>
      </c>
      <c r="K842" s="42">
        <v>1.3</v>
      </c>
      <c r="L842" s="42">
        <v>-0.05</v>
      </c>
      <c r="M842" s="42">
        <v>-0.05</v>
      </c>
      <c r="N842" s="42">
        <v>0.13</v>
      </c>
      <c r="O842" s="42">
        <v>4.37E11</v>
      </c>
      <c r="P842" s="42">
        <v>3.6E10</v>
      </c>
      <c r="Q842" s="42">
        <v>-44.7</v>
      </c>
      <c r="R842" s="42">
        <v>-11.9</v>
      </c>
      <c r="S842" s="42">
        <v>-48.5</v>
      </c>
      <c r="T842" s="42">
        <v>-16.1</v>
      </c>
      <c r="U842" s="42">
        <v>-0.5</v>
      </c>
      <c r="V842" s="42">
        <v>-24.6</v>
      </c>
      <c r="W842" s="42">
        <v>-42.9</v>
      </c>
    </row>
    <row r="843">
      <c r="A843" s="87">
        <v>842.0</v>
      </c>
      <c r="B843" s="85" t="s">
        <v>2521</v>
      </c>
      <c r="C843" s="85" t="s">
        <v>909</v>
      </c>
      <c r="D843" s="85" t="s">
        <v>2004</v>
      </c>
      <c r="E843" s="85" t="s">
        <v>1252</v>
      </c>
      <c r="F843" s="85" t="s">
        <v>1252</v>
      </c>
      <c r="G843" s="85" t="s">
        <v>1469</v>
      </c>
      <c r="H843" s="85" t="s">
        <v>2005</v>
      </c>
      <c r="I843" s="85" t="s">
        <v>1316</v>
      </c>
      <c r="J843" s="42">
        <v>0.0</v>
      </c>
      <c r="K843" s="42">
        <v>0.79</v>
      </c>
      <c r="L843" s="42">
        <v>-230.0</v>
      </c>
      <c r="M843" s="42">
        <v>-29.6</v>
      </c>
      <c r="N843" s="42">
        <v>6.9</v>
      </c>
      <c r="O843" s="42">
        <v>4.8E10</v>
      </c>
      <c r="P843" s="42">
        <v>1.76E11</v>
      </c>
      <c r="Q843" s="42">
        <v>0.0</v>
      </c>
      <c r="R843" s="42">
        <v>0.0</v>
      </c>
      <c r="S843" s="42">
        <v>0.0</v>
      </c>
      <c r="T843" s="42">
        <v>-30.4</v>
      </c>
      <c r="U843" s="42">
        <v>-80.8</v>
      </c>
      <c r="V843" s="42">
        <v>0.0</v>
      </c>
      <c r="W843" s="42">
        <v>0.0</v>
      </c>
    </row>
    <row r="844">
      <c r="A844" s="87">
        <v>843.0</v>
      </c>
      <c r="B844" s="85" t="s">
        <v>2522</v>
      </c>
      <c r="C844" s="85" t="s">
        <v>910</v>
      </c>
      <c r="D844" s="85" t="s">
        <v>1285</v>
      </c>
      <c r="E844" s="85" t="s">
        <v>1201</v>
      </c>
      <c r="F844" s="85" t="s">
        <v>1286</v>
      </c>
      <c r="G844" s="85" t="s">
        <v>1287</v>
      </c>
      <c r="H844" s="85" t="s">
        <v>1288</v>
      </c>
      <c r="I844" s="85" t="s">
        <v>1458</v>
      </c>
      <c r="J844" s="42">
        <v>11.2</v>
      </c>
      <c r="K844" s="42">
        <v>1.8</v>
      </c>
      <c r="L844" s="42">
        <v>15.9</v>
      </c>
      <c r="M844" s="42">
        <v>8.6</v>
      </c>
      <c r="N844" s="42">
        <v>0.84</v>
      </c>
      <c r="O844" s="42">
        <v>4.95E11</v>
      </c>
      <c r="P844" s="42">
        <v>2.9E10</v>
      </c>
      <c r="Q844" s="42">
        <v>-21.5</v>
      </c>
      <c r="R844" s="42">
        <v>-3.4</v>
      </c>
      <c r="S844" s="42">
        <v>-36.8</v>
      </c>
      <c r="T844" s="42">
        <v>35.5</v>
      </c>
      <c r="U844" s="42">
        <v>150.0</v>
      </c>
      <c r="V844" s="42">
        <v>-11.6</v>
      </c>
      <c r="W844" s="42">
        <v>-38.2</v>
      </c>
    </row>
    <row r="845">
      <c r="A845" s="87">
        <v>844.0</v>
      </c>
      <c r="B845" s="85" t="s">
        <v>2523</v>
      </c>
      <c r="C845" s="85" t="s">
        <v>911</v>
      </c>
      <c r="D845" s="85" t="s">
        <v>1304</v>
      </c>
      <c r="E845" s="85" t="s">
        <v>1252</v>
      </c>
      <c r="F845" s="85" t="s">
        <v>1252</v>
      </c>
      <c r="G845" s="85" t="s">
        <v>1305</v>
      </c>
      <c r="H845" s="85" t="s">
        <v>1305</v>
      </c>
      <c r="I845" s="85" t="s">
        <v>1255</v>
      </c>
      <c r="J845" s="42">
        <v>23.9</v>
      </c>
      <c r="K845" s="42">
        <v>0.72</v>
      </c>
      <c r="L845" s="42">
        <v>3.0</v>
      </c>
      <c r="M845" s="42">
        <v>2.2</v>
      </c>
      <c r="N845" s="42">
        <v>0.38</v>
      </c>
      <c r="O845" s="42">
        <v>9.61E11</v>
      </c>
      <c r="P845" s="42">
        <v>2.95E11</v>
      </c>
      <c r="Q845" s="42">
        <v>-9.9</v>
      </c>
      <c r="R845" s="42">
        <v>28.0</v>
      </c>
      <c r="S845" s="42">
        <v>29.2</v>
      </c>
      <c r="T845" s="42">
        <v>130.0</v>
      </c>
      <c r="U845" s="42">
        <v>13.7</v>
      </c>
      <c r="V845" s="42">
        <v>-6.8</v>
      </c>
      <c r="W845" s="42">
        <v>18.1</v>
      </c>
    </row>
    <row r="846">
      <c r="A846" s="87">
        <v>845.0</v>
      </c>
      <c r="B846" s="85" t="s">
        <v>2524</v>
      </c>
      <c r="C846" s="85" t="s">
        <v>912</v>
      </c>
      <c r="D846" s="85" t="s">
        <v>1229</v>
      </c>
      <c r="E846" s="85" t="s">
        <v>1230</v>
      </c>
      <c r="F846" s="85" t="s">
        <v>1231</v>
      </c>
      <c r="G846" s="85" t="s">
        <v>1231</v>
      </c>
      <c r="H846" s="85" t="s">
        <v>1231</v>
      </c>
      <c r="I846" s="85" t="s">
        <v>1764</v>
      </c>
      <c r="J846" s="42">
        <v>-13.3</v>
      </c>
      <c r="K846" s="42">
        <v>7.5</v>
      </c>
      <c r="L846" s="42">
        <v>-56.3</v>
      </c>
      <c r="M846" s="42">
        <v>-3.9</v>
      </c>
      <c r="N846" s="42">
        <v>4.6</v>
      </c>
      <c r="O846" s="42">
        <v>2.36E11</v>
      </c>
      <c r="P846" s="42">
        <v>2.0E10</v>
      </c>
      <c r="Q846" s="42">
        <v>-48.3</v>
      </c>
      <c r="R846" s="42">
        <v>8.0</v>
      </c>
      <c r="S846" s="42">
        <v>220.0</v>
      </c>
      <c r="T846" s="42">
        <v>350.0</v>
      </c>
      <c r="U846" s="42">
        <v>-89.6</v>
      </c>
      <c r="V846" s="42">
        <v>-37.4</v>
      </c>
      <c r="W846" s="42">
        <v>150.0</v>
      </c>
    </row>
    <row r="847">
      <c r="A847" s="87">
        <v>846.0</v>
      </c>
      <c r="B847" s="85" t="s">
        <v>2525</v>
      </c>
      <c r="C847" s="85" t="s">
        <v>913</v>
      </c>
      <c r="D847" s="85" t="s">
        <v>1397</v>
      </c>
      <c r="E847" s="85" t="s">
        <v>1187</v>
      </c>
      <c r="F847" s="85" t="s">
        <v>1188</v>
      </c>
      <c r="G847" s="85" t="s">
        <v>1359</v>
      </c>
      <c r="H847" s="85" t="s">
        <v>1398</v>
      </c>
      <c r="I847" s="85" t="s">
        <v>2244</v>
      </c>
      <c r="J847" s="42">
        <v>-3.7</v>
      </c>
      <c r="K847" s="42">
        <v>2.5</v>
      </c>
      <c r="L847" s="42">
        <v>-67.0</v>
      </c>
      <c r="M847" s="42">
        <v>-38.1</v>
      </c>
      <c r="N847" s="42">
        <v>0.76</v>
      </c>
      <c r="O847" s="42">
        <v>7.88E11</v>
      </c>
      <c r="P847" s="42">
        <v>5.3E10</v>
      </c>
      <c r="Q847" s="42">
        <v>-40.7</v>
      </c>
      <c r="R847" s="42">
        <v>-46.7</v>
      </c>
      <c r="S847" s="42">
        <v>-51.5</v>
      </c>
      <c r="T847" s="42">
        <v>6.7</v>
      </c>
      <c r="U847" s="42">
        <v>-400.0</v>
      </c>
      <c r="V847" s="42">
        <v>-23.8</v>
      </c>
      <c r="W847" s="42">
        <v>-57.9</v>
      </c>
    </row>
    <row r="848">
      <c r="A848" s="87">
        <v>847.0</v>
      </c>
      <c r="B848" s="85" t="s">
        <v>2526</v>
      </c>
      <c r="C848" s="85" t="s">
        <v>914</v>
      </c>
      <c r="D848" s="85" t="s">
        <v>1193</v>
      </c>
      <c r="E848" s="85" t="s">
        <v>1194</v>
      </c>
      <c r="F848" s="85" t="s">
        <v>1195</v>
      </c>
      <c r="G848" s="85" t="s">
        <v>1196</v>
      </c>
      <c r="H848" s="85" t="s">
        <v>1197</v>
      </c>
      <c r="I848" s="85" t="s">
        <v>2527</v>
      </c>
      <c r="J848" s="42">
        <v>8.3</v>
      </c>
      <c r="K848" s="42">
        <v>2.4</v>
      </c>
      <c r="L848" s="42">
        <v>29.2</v>
      </c>
      <c r="M848" s="42">
        <v>23.6</v>
      </c>
      <c r="N848" s="42">
        <v>0.24</v>
      </c>
      <c r="O848" s="42">
        <v>3.02E13</v>
      </c>
      <c r="P848" s="42">
        <v>2.5E12</v>
      </c>
      <c r="Q848" s="42">
        <v>-32.8</v>
      </c>
      <c r="R848" s="42">
        <v>-27.0</v>
      </c>
      <c r="S848" s="42">
        <v>-19.5</v>
      </c>
      <c r="T848" s="42">
        <v>35.5</v>
      </c>
      <c r="U848" s="42">
        <v>150.0</v>
      </c>
      <c r="V848" s="42">
        <v>-18.2</v>
      </c>
      <c r="W848" s="42">
        <v>-16.6</v>
      </c>
    </row>
    <row r="849">
      <c r="A849" s="87">
        <v>848.0</v>
      </c>
      <c r="B849" s="85" t="s">
        <v>2528</v>
      </c>
      <c r="C849" s="85" t="s">
        <v>915</v>
      </c>
      <c r="D849" s="85" t="s">
        <v>1234</v>
      </c>
      <c r="E849" s="85" t="s">
        <v>1235</v>
      </c>
      <c r="F849" s="85" t="s">
        <v>1235</v>
      </c>
      <c r="G849" s="85" t="s">
        <v>1236</v>
      </c>
      <c r="H849" s="85" t="s">
        <v>1237</v>
      </c>
      <c r="I849" s="85" t="s">
        <v>1475</v>
      </c>
      <c r="J849" s="42">
        <v>-64.8</v>
      </c>
      <c r="K849" s="42">
        <v>0.29</v>
      </c>
      <c r="L849" s="42">
        <v>-0.44</v>
      </c>
      <c r="M849" s="42">
        <v>-0.43</v>
      </c>
      <c r="N849" s="42">
        <v>0.04</v>
      </c>
      <c r="O849" s="42">
        <v>3.02E11</v>
      </c>
      <c r="P849" s="42">
        <v>2.06E9</v>
      </c>
      <c r="Q849" s="42">
        <v>-6.5</v>
      </c>
      <c r="R849" s="42">
        <v>-12.1</v>
      </c>
      <c r="S849" s="42">
        <v>-14.7</v>
      </c>
      <c r="T849" s="42">
        <v>190.0</v>
      </c>
      <c r="U849" s="42">
        <v>-230.0</v>
      </c>
      <c r="V849" s="42">
        <v>-3.3</v>
      </c>
      <c r="W849" s="42">
        <v>-12.1</v>
      </c>
    </row>
    <row r="850">
      <c r="A850" s="87">
        <v>849.0</v>
      </c>
      <c r="B850" s="85" t="s">
        <v>2529</v>
      </c>
      <c r="C850" s="85" t="s">
        <v>916</v>
      </c>
      <c r="D850" s="85" t="s">
        <v>1426</v>
      </c>
      <c r="E850" s="85" t="s">
        <v>1300</v>
      </c>
      <c r="F850" s="85" t="s">
        <v>1427</v>
      </c>
      <c r="G850" s="85" t="s">
        <v>1428</v>
      </c>
      <c r="H850" s="85" t="s">
        <v>1429</v>
      </c>
      <c r="I850" s="85" t="s">
        <v>1706</v>
      </c>
      <c r="J850" s="42">
        <v>-7.5</v>
      </c>
      <c r="K850" s="42">
        <v>4.6</v>
      </c>
      <c r="L850" s="42">
        <v>-61.9</v>
      </c>
      <c r="M850" s="42">
        <v>-10.1</v>
      </c>
      <c r="N850" s="42">
        <v>0.1</v>
      </c>
      <c r="O850" s="42">
        <v>1.64E11</v>
      </c>
      <c r="P850" s="42">
        <v>2.18E9</v>
      </c>
      <c r="Q850" s="42">
        <v>-29.4</v>
      </c>
      <c r="R850" s="42">
        <v>-20.0</v>
      </c>
      <c r="S850" s="42">
        <v>-36.8</v>
      </c>
      <c r="T850" s="42">
        <v>50.0</v>
      </c>
      <c r="U850" s="42">
        <v>-1000.0</v>
      </c>
      <c r="V850" s="42">
        <v>-20.0</v>
      </c>
      <c r="W850" s="42">
        <v>-40.0</v>
      </c>
    </row>
    <row r="851">
      <c r="A851" s="87">
        <v>850.0</v>
      </c>
      <c r="B851" s="85" t="s">
        <v>2530</v>
      </c>
      <c r="C851" s="85" t="s">
        <v>917</v>
      </c>
      <c r="D851" s="85" t="s">
        <v>1282</v>
      </c>
      <c r="E851" s="85" t="s">
        <v>1194</v>
      </c>
      <c r="F851" s="85" t="s">
        <v>1195</v>
      </c>
      <c r="G851" s="85" t="s">
        <v>1283</v>
      </c>
      <c r="H851" s="85" t="s">
        <v>1283</v>
      </c>
      <c r="I851" s="85" t="s">
        <v>1514</v>
      </c>
      <c r="J851" s="42">
        <v>-0.93</v>
      </c>
      <c r="K851" s="42">
        <v>1.3</v>
      </c>
      <c r="L851" s="42">
        <v>-140.0</v>
      </c>
      <c r="M851" s="42">
        <v>-16.6</v>
      </c>
      <c r="N851" s="42">
        <v>7.2</v>
      </c>
      <c r="O851" s="42">
        <v>5.6E10</v>
      </c>
      <c r="P851" s="42">
        <v>7.8E10</v>
      </c>
      <c r="Q851" s="42">
        <v>-19.4</v>
      </c>
      <c r="R851" s="42">
        <v>-15.3</v>
      </c>
      <c r="S851" s="42">
        <v>-39.0</v>
      </c>
      <c r="T851" s="42">
        <v>-2.0</v>
      </c>
      <c r="U851" s="42">
        <v>-77.8</v>
      </c>
      <c r="V851" s="42">
        <v>0.0</v>
      </c>
      <c r="W851" s="42">
        <v>-35.9</v>
      </c>
    </row>
    <row r="852">
      <c r="A852" s="87">
        <v>851.0</v>
      </c>
      <c r="B852" s="85" t="s">
        <v>2531</v>
      </c>
      <c r="C852" s="85" t="s">
        <v>918</v>
      </c>
      <c r="D852" s="85" t="s">
        <v>1463</v>
      </c>
      <c r="E852" s="85" t="s">
        <v>1230</v>
      </c>
      <c r="F852" s="85" t="s">
        <v>1464</v>
      </c>
      <c r="G852" s="85" t="s">
        <v>1465</v>
      </c>
      <c r="H852" s="85" t="s">
        <v>1465</v>
      </c>
      <c r="I852" s="85" t="s">
        <v>2532</v>
      </c>
      <c r="J852" s="42">
        <v>24.6</v>
      </c>
      <c r="K852" s="42">
        <v>2.6</v>
      </c>
      <c r="L852" s="42">
        <v>10.6</v>
      </c>
      <c r="M852" s="42">
        <v>3.0</v>
      </c>
      <c r="N852" s="42">
        <v>2.5</v>
      </c>
      <c r="O852" s="42">
        <v>3.46E13</v>
      </c>
      <c r="P852" s="42">
        <v>1.7E12</v>
      </c>
      <c r="Q852" s="42">
        <v>-6.3</v>
      </c>
      <c r="R852" s="42">
        <v>2.4</v>
      </c>
      <c r="S852" s="42">
        <v>-25.4</v>
      </c>
      <c r="T852" s="42">
        <v>-35.9</v>
      </c>
      <c r="U852" s="42">
        <v>81.7</v>
      </c>
      <c r="V852" s="42">
        <v>1.4</v>
      </c>
      <c r="W852" s="42">
        <v>-43.1</v>
      </c>
    </row>
    <row r="853">
      <c r="A853" s="87">
        <v>852.0</v>
      </c>
      <c r="B853" s="85" t="s">
        <v>2533</v>
      </c>
      <c r="C853" s="85" t="s">
        <v>919</v>
      </c>
      <c r="D853" s="85" t="s">
        <v>1282</v>
      </c>
      <c r="E853" s="85" t="s">
        <v>1194</v>
      </c>
      <c r="F853" s="85" t="s">
        <v>1195</v>
      </c>
      <c r="G853" s="85" t="s">
        <v>1283</v>
      </c>
      <c r="H853" s="85" t="s">
        <v>1283</v>
      </c>
      <c r="I853" s="85" t="s">
        <v>1641</v>
      </c>
      <c r="J853" s="42">
        <v>4.2</v>
      </c>
      <c r="K853" s="42">
        <v>0.4</v>
      </c>
      <c r="L853" s="42">
        <v>9.5</v>
      </c>
      <c r="M853" s="42">
        <v>2.9</v>
      </c>
      <c r="N853" s="42">
        <v>2.2</v>
      </c>
      <c r="O853" s="42">
        <v>3.8E12</v>
      </c>
      <c r="P853" s="42">
        <v>6.1E12</v>
      </c>
      <c r="Q853" s="42">
        <v>-21.4</v>
      </c>
      <c r="R853" s="42">
        <v>-14.1</v>
      </c>
      <c r="S853" s="42">
        <v>-22.0</v>
      </c>
      <c r="T853" s="42">
        <v>-24.7</v>
      </c>
      <c r="U853" s="42">
        <v>14.8</v>
      </c>
      <c r="V853" s="42">
        <v>-12.0</v>
      </c>
      <c r="W853" s="42">
        <v>-19.1</v>
      </c>
    </row>
    <row r="854">
      <c r="A854" s="87">
        <v>853.0</v>
      </c>
      <c r="B854" s="85" t="s">
        <v>2534</v>
      </c>
      <c r="C854" s="85" t="s">
        <v>920</v>
      </c>
      <c r="D854" s="85" t="s">
        <v>1335</v>
      </c>
      <c r="E854" s="85" t="s">
        <v>1252</v>
      </c>
      <c r="F854" s="85" t="s">
        <v>1252</v>
      </c>
      <c r="G854" s="85" t="s">
        <v>1313</v>
      </c>
      <c r="H854" s="85" t="s">
        <v>1336</v>
      </c>
      <c r="I854" s="85" t="s">
        <v>1271</v>
      </c>
      <c r="J854" s="42">
        <v>8.3</v>
      </c>
      <c r="K854" s="42">
        <v>0.73</v>
      </c>
      <c r="L854" s="42">
        <v>8.8</v>
      </c>
      <c r="M854" s="42">
        <v>3.2</v>
      </c>
      <c r="N854" s="42">
        <v>1.8</v>
      </c>
      <c r="O854" s="42">
        <v>9.77E11</v>
      </c>
      <c r="P854" s="42">
        <v>4.5E12</v>
      </c>
      <c r="Q854" s="42">
        <v>-19.9</v>
      </c>
      <c r="R854" s="42">
        <v>-24.2</v>
      </c>
      <c r="S854" s="42">
        <v>-22.0</v>
      </c>
      <c r="T854" s="42">
        <v>18.3</v>
      </c>
      <c r="U854" s="42">
        <v>2.6</v>
      </c>
      <c r="V854" s="42">
        <v>-18.1</v>
      </c>
      <c r="W854" s="42">
        <v>-22.3</v>
      </c>
    </row>
    <row r="855">
      <c r="A855" s="87">
        <v>854.0</v>
      </c>
      <c r="B855" s="85" t="s">
        <v>2535</v>
      </c>
      <c r="C855" s="85" t="s">
        <v>921</v>
      </c>
      <c r="D855" s="85" t="s">
        <v>1846</v>
      </c>
      <c r="E855" s="85" t="s">
        <v>1194</v>
      </c>
      <c r="F855" s="85" t="s">
        <v>1847</v>
      </c>
      <c r="G855" s="85" t="s">
        <v>1848</v>
      </c>
      <c r="H855" s="85" t="s">
        <v>1848</v>
      </c>
      <c r="I855" s="85" t="s">
        <v>1352</v>
      </c>
      <c r="J855" s="42">
        <v>99.4</v>
      </c>
      <c r="K855" s="42">
        <v>0.61</v>
      </c>
      <c r="L855" s="42">
        <v>0.61</v>
      </c>
      <c r="M855" s="42">
        <v>0.49</v>
      </c>
      <c r="N855" s="42">
        <v>0.25</v>
      </c>
      <c r="O855" s="42">
        <v>1.1E12</v>
      </c>
      <c r="P855" s="42">
        <v>5.14E11</v>
      </c>
      <c r="Q855" s="42">
        <v>-1.4</v>
      </c>
      <c r="R855" s="42">
        <v>-4.7</v>
      </c>
      <c r="S855" s="42">
        <v>-5.0</v>
      </c>
      <c r="T855" s="42">
        <v>15.9</v>
      </c>
      <c r="U855" s="42">
        <v>2.2</v>
      </c>
      <c r="V855" s="42">
        <v>2.5</v>
      </c>
      <c r="W855" s="42">
        <v>-5.3</v>
      </c>
    </row>
    <row r="856">
      <c r="A856" s="87">
        <v>855.0</v>
      </c>
      <c r="B856" s="85" t="s">
        <v>2536</v>
      </c>
      <c r="C856" s="85" t="s">
        <v>922</v>
      </c>
      <c r="D856" s="85" t="s">
        <v>1308</v>
      </c>
      <c r="E856" s="85" t="s">
        <v>1187</v>
      </c>
      <c r="F856" s="85" t="s">
        <v>1188</v>
      </c>
      <c r="G856" s="85" t="s">
        <v>1189</v>
      </c>
      <c r="H856" s="85" t="s">
        <v>1309</v>
      </c>
      <c r="I856" s="85" t="s">
        <v>2537</v>
      </c>
      <c r="J856" s="42">
        <v>410.0</v>
      </c>
      <c r="K856" s="42">
        <v>23.8</v>
      </c>
      <c r="L856" s="42">
        <v>5.8</v>
      </c>
      <c r="M856" s="42">
        <v>3.3</v>
      </c>
      <c r="N856" s="42">
        <v>0.76</v>
      </c>
      <c r="O856" s="42">
        <v>5.43E13</v>
      </c>
      <c r="P856" s="42">
        <v>5.11E11</v>
      </c>
      <c r="Q856" s="42">
        <v>-21.1</v>
      </c>
      <c r="R856" s="42">
        <v>-19.1</v>
      </c>
      <c r="S856" s="42">
        <v>13.6</v>
      </c>
      <c r="T856" s="42">
        <v>62.2</v>
      </c>
      <c r="U856" s="42">
        <v>25.7</v>
      </c>
      <c r="V856" s="42">
        <v>-16.9</v>
      </c>
      <c r="W856" s="42">
        <v>3.7</v>
      </c>
    </row>
    <row r="857">
      <c r="A857" s="87">
        <v>856.0</v>
      </c>
      <c r="B857" s="85" t="s">
        <v>2538</v>
      </c>
      <c r="C857" s="85" t="s">
        <v>923</v>
      </c>
      <c r="D857" s="85" t="s">
        <v>1251</v>
      </c>
      <c r="E857" s="85" t="s">
        <v>1252</v>
      </c>
      <c r="F857" s="85" t="s">
        <v>1252</v>
      </c>
      <c r="G857" s="85" t="s">
        <v>1253</v>
      </c>
      <c r="H857" s="85" t="s">
        <v>1254</v>
      </c>
      <c r="I857" s="85" t="s">
        <v>2539</v>
      </c>
      <c r="J857" s="42">
        <v>0.0</v>
      </c>
      <c r="K857" s="42">
        <v>5.4</v>
      </c>
      <c r="L857" s="42">
        <v>-380.0</v>
      </c>
      <c r="M857" s="42">
        <v>-39.0</v>
      </c>
      <c r="N857" s="42">
        <v>8.6</v>
      </c>
      <c r="O857" s="42">
        <v>1.2E12</v>
      </c>
      <c r="P857" s="42">
        <v>5.5E11</v>
      </c>
      <c r="Q857" s="42">
        <v>0.0</v>
      </c>
      <c r="R857" s="42">
        <v>0.0</v>
      </c>
      <c r="S857" s="42">
        <v>0.0</v>
      </c>
      <c r="T857" s="42">
        <v>0.0</v>
      </c>
      <c r="U857" s="42">
        <v>-160.0</v>
      </c>
      <c r="V857" s="42">
        <v>0.0</v>
      </c>
      <c r="W857" s="42">
        <v>0.0</v>
      </c>
    </row>
    <row r="858">
      <c r="A858" s="87">
        <v>857.0</v>
      </c>
      <c r="B858" s="85" t="s">
        <v>2540</v>
      </c>
      <c r="C858" s="85" t="s">
        <v>924</v>
      </c>
      <c r="D858" s="85" t="s">
        <v>1308</v>
      </c>
      <c r="E858" s="85" t="s">
        <v>1187</v>
      </c>
      <c r="F858" s="85" t="s">
        <v>1188</v>
      </c>
      <c r="G858" s="85" t="s">
        <v>1189</v>
      </c>
      <c r="H858" s="85" t="s">
        <v>1309</v>
      </c>
      <c r="I858" s="85" t="s">
        <v>1216</v>
      </c>
      <c r="J858" s="42">
        <v>9.0</v>
      </c>
      <c r="K858" s="42">
        <v>1.0</v>
      </c>
      <c r="L858" s="42">
        <v>11.7</v>
      </c>
      <c r="M858" s="42">
        <v>11.2</v>
      </c>
      <c r="N858" s="42">
        <v>0.04</v>
      </c>
      <c r="O858" s="42">
        <v>1.3E12</v>
      </c>
      <c r="P858" s="42">
        <v>8.5E10</v>
      </c>
      <c r="Q858" s="42">
        <v>-34.7</v>
      </c>
      <c r="R858" s="42">
        <v>-35.0</v>
      </c>
      <c r="S858" s="42">
        <v>-68.4</v>
      </c>
      <c r="T858" s="42">
        <v>25.4</v>
      </c>
      <c r="U858" s="42">
        <v>170.0</v>
      </c>
      <c r="V858" s="42">
        <v>-22.2</v>
      </c>
      <c r="W858" s="42">
        <v>-67.5</v>
      </c>
    </row>
    <row r="859">
      <c r="A859" s="87">
        <v>858.0</v>
      </c>
      <c r="B859" s="85" t="s">
        <v>2541</v>
      </c>
      <c r="C859" s="85" t="s">
        <v>925</v>
      </c>
      <c r="D859" s="85" t="s">
        <v>1375</v>
      </c>
      <c r="E859" s="85" t="s">
        <v>1376</v>
      </c>
      <c r="F859" s="85" t="s">
        <v>1377</v>
      </c>
      <c r="G859" s="85" t="s">
        <v>1378</v>
      </c>
      <c r="H859" s="85" t="s">
        <v>1378</v>
      </c>
      <c r="I859" s="85" t="s">
        <v>1826</v>
      </c>
      <c r="J859" s="42">
        <v>0.0</v>
      </c>
      <c r="K859" s="42">
        <v>0.97</v>
      </c>
      <c r="L859" s="42">
        <v>2.0</v>
      </c>
      <c r="M859" s="42">
        <v>1.7</v>
      </c>
      <c r="N859" s="42">
        <v>0.15</v>
      </c>
      <c r="O859" s="42">
        <v>6.3E10</v>
      </c>
      <c r="P859" s="42">
        <v>3.7E8</v>
      </c>
      <c r="Q859" s="42">
        <v>0.0</v>
      </c>
      <c r="R859" s="42">
        <v>0.0</v>
      </c>
      <c r="S859" s="42">
        <v>0.0</v>
      </c>
      <c r="T859" s="42">
        <v>0.0</v>
      </c>
      <c r="U859" s="42">
        <v>350.0</v>
      </c>
      <c r="V859" s="42">
        <v>0.0</v>
      </c>
      <c r="W859" s="42">
        <v>0.0</v>
      </c>
    </row>
    <row r="860">
      <c r="A860" s="87">
        <v>859.0</v>
      </c>
      <c r="B860" s="85" t="s">
        <v>2542</v>
      </c>
      <c r="C860" s="85" t="s">
        <v>926</v>
      </c>
      <c r="D860" s="85" t="s">
        <v>2204</v>
      </c>
      <c r="E860" s="85" t="s">
        <v>1201</v>
      </c>
      <c r="F860" s="85" t="s">
        <v>1219</v>
      </c>
      <c r="G860" s="85" t="s">
        <v>2205</v>
      </c>
      <c r="H860" s="85" t="s">
        <v>2205</v>
      </c>
      <c r="I860" s="85" t="s">
        <v>1205</v>
      </c>
      <c r="J860" s="42">
        <v>-2.1</v>
      </c>
      <c r="K860" s="42">
        <v>-0.01</v>
      </c>
      <c r="L860" s="42">
        <v>0.0</v>
      </c>
      <c r="M860" s="42">
        <v>-32.8</v>
      </c>
      <c r="N860" s="42">
        <v>-1.0</v>
      </c>
      <c r="O860" s="42">
        <v>6.6E10</v>
      </c>
      <c r="P860" s="42">
        <v>2.95E11</v>
      </c>
      <c r="Q860" s="42">
        <v>0.0</v>
      </c>
      <c r="R860" s="42">
        <v>0.0</v>
      </c>
      <c r="S860" s="42">
        <v>0.0</v>
      </c>
      <c r="T860" s="42">
        <v>0.0</v>
      </c>
      <c r="U860" s="42">
        <v>-10.4</v>
      </c>
      <c r="V860" s="42">
        <v>0.0</v>
      </c>
      <c r="W860" s="42">
        <v>0.0</v>
      </c>
    </row>
    <row r="861">
      <c r="A861" s="87">
        <v>860.0</v>
      </c>
      <c r="B861" s="85" t="s">
        <v>2543</v>
      </c>
      <c r="C861" s="85" t="s">
        <v>927</v>
      </c>
      <c r="D861" s="85" t="s">
        <v>1439</v>
      </c>
      <c r="E861" s="85" t="s">
        <v>1376</v>
      </c>
      <c r="F861" s="85" t="s">
        <v>1377</v>
      </c>
      <c r="G861" s="85" t="s">
        <v>1440</v>
      </c>
      <c r="H861" s="85" t="s">
        <v>1440</v>
      </c>
      <c r="I861" s="85" t="s">
        <v>1441</v>
      </c>
      <c r="J861" s="42">
        <v>-16.6</v>
      </c>
      <c r="K861" s="42">
        <v>2.1</v>
      </c>
      <c r="L861" s="42">
        <v>-12.7</v>
      </c>
      <c r="M861" s="42">
        <v>-9.9</v>
      </c>
      <c r="N861" s="42">
        <v>0.28</v>
      </c>
      <c r="O861" s="42">
        <v>3.57E11</v>
      </c>
      <c r="P861" s="42">
        <v>1.1E11</v>
      </c>
      <c r="Q861" s="42">
        <v>-20.0</v>
      </c>
      <c r="R861" s="42">
        <v>-15.4</v>
      </c>
      <c r="S861" s="42">
        <v>-45.0</v>
      </c>
      <c r="T861" s="42">
        <v>24.8</v>
      </c>
      <c r="U861" s="42">
        <v>-19.6</v>
      </c>
      <c r="V861" s="42">
        <v>-16.2</v>
      </c>
      <c r="W861" s="42">
        <v>-41.3</v>
      </c>
    </row>
    <row r="862">
      <c r="A862" s="87">
        <v>861.0</v>
      </c>
      <c r="B862" s="85" t="s">
        <v>2544</v>
      </c>
      <c r="C862" s="85" t="s">
        <v>928</v>
      </c>
      <c r="D862" s="85" t="s">
        <v>1224</v>
      </c>
      <c r="E862" s="85" t="s">
        <v>1201</v>
      </c>
      <c r="F862" s="85" t="s">
        <v>1225</v>
      </c>
      <c r="G862" s="85" t="s">
        <v>1225</v>
      </c>
      <c r="H862" s="85" t="s">
        <v>1226</v>
      </c>
      <c r="I862" s="85" t="s">
        <v>1561</v>
      </c>
      <c r="J862" s="42">
        <v>-33.5</v>
      </c>
      <c r="K862" s="42">
        <v>0.55</v>
      </c>
      <c r="L862" s="42">
        <v>-1.6</v>
      </c>
      <c r="M862" s="42">
        <v>-1.5</v>
      </c>
      <c r="N862" s="42">
        <v>0.1</v>
      </c>
      <c r="O862" s="42">
        <v>2.9E12</v>
      </c>
      <c r="P862" s="42">
        <v>8.3E11</v>
      </c>
      <c r="Q862" s="42">
        <v>-2.2</v>
      </c>
      <c r="R862" s="42">
        <v>-36.8</v>
      </c>
      <c r="S862" s="42">
        <v>32.0</v>
      </c>
      <c r="T862" s="42">
        <v>32.5</v>
      </c>
      <c r="U862" s="42">
        <v>-10.4</v>
      </c>
      <c r="V862" s="42">
        <v>10.0</v>
      </c>
      <c r="W862" s="42">
        <v>32.0</v>
      </c>
    </row>
    <row r="863">
      <c r="A863" s="87">
        <v>862.0</v>
      </c>
      <c r="B863" s="85" t="s">
        <v>2545</v>
      </c>
      <c r="C863" s="85" t="s">
        <v>929</v>
      </c>
      <c r="D863" s="85" t="s">
        <v>1282</v>
      </c>
      <c r="E863" s="85" t="s">
        <v>1194</v>
      </c>
      <c r="F863" s="85" t="s">
        <v>1195</v>
      </c>
      <c r="G863" s="85" t="s">
        <v>1283</v>
      </c>
      <c r="H863" s="85" t="s">
        <v>1283</v>
      </c>
      <c r="I863" s="85" t="s">
        <v>1352</v>
      </c>
      <c r="J863" s="42">
        <v>10.3</v>
      </c>
      <c r="K863" s="42">
        <v>1.7</v>
      </c>
      <c r="L863" s="42">
        <v>16.5</v>
      </c>
      <c r="M863" s="42">
        <v>8.1</v>
      </c>
      <c r="N863" s="42">
        <v>1.0</v>
      </c>
      <c r="O863" s="42">
        <v>4.3E12</v>
      </c>
      <c r="P863" s="42">
        <v>3.6E12</v>
      </c>
      <c r="Q863" s="42">
        <v>-6.8</v>
      </c>
      <c r="R863" s="42">
        <v>-5.6</v>
      </c>
      <c r="S863" s="42">
        <v>-8.5</v>
      </c>
      <c r="T863" s="42">
        <v>-33.7</v>
      </c>
      <c r="U863" s="42">
        <v>11.6</v>
      </c>
      <c r="V863" s="42">
        <v>-1.9</v>
      </c>
      <c r="W863" s="42">
        <v>-8.1</v>
      </c>
    </row>
    <row r="864">
      <c r="A864" s="87">
        <v>863.0</v>
      </c>
      <c r="B864" s="85" t="s">
        <v>2546</v>
      </c>
      <c r="C864" s="85" t="s">
        <v>930</v>
      </c>
      <c r="D864" s="85" t="s">
        <v>1387</v>
      </c>
      <c r="E864" s="85" t="s">
        <v>1230</v>
      </c>
      <c r="F864" s="85" t="s">
        <v>1388</v>
      </c>
      <c r="G864" s="85" t="s">
        <v>1389</v>
      </c>
      <c r="H864" s="85" t="s">
        <v>1389</v>
      </c>
      <c r="I864" s="85" t="s">
        <v>2249</v>
      </c>
      <c r="J864" s="42">
        <v>-2.8</v>
      </c>
      <c r="K864" s="42">
        <v>0.25</v>
      </c>
      <c r="L864" s="42">
        <v>-8.8</v>
      </c>
      <c r="M864" s="42">
        <v>-5.8</v>
      </c>
      <c r="N864" s="42">
        <v>0.52</v>
      </c>
      <c r="O864" s="42">
        <v>7.4E10</v>
      </c>
      <c r="P864" s="42">
        <v>0.0</v>
      </c>
      <c r="Q864" s="42">
        <v>0.0</v>
      </c>
      <c r="R864" s="42">
        <v>0.0</v>
      </c>
      <c r="S864" s="42">
        <v>0.0</v>
      </c>
      <c r="T864" s="42">
        <v>-18.2</v>
      </c>
      <c r="U864" s="42">
        <v>0.0</v>
      </c>
      <c r="V864" s="42">
        <v>0.0</v>
      </c>
      <c r="W864" s="42">
        <v>0.0</v>
      </c>
    </row>
    <row r="865">
      <c r="A865" s="87">
        <v>864.0</v>
      </c>
      <c r="B865" s="85" t="s">
        <v>2547</v>
      </c>
      <c r="C865" s="85" t="s">
        <v>931</v>
      </c>
      <c r="D865" s="85" t="s">
        <v>1646</v>
      </c>
      <c r="E865" s="85" t="s">
        <v>1194</v>
      </c>
      <c r="F865" s="85" t="s">
        <v>1195</v>
      </c>
      <c r="G865" s="85" t="s">
        <v>1283</v>
      </c>
      <c r="H865" s="85" t="s">
        <v>1647</v>
      </c>
      <c r="I865" s="85" t="s">
        <v>1350</v>
      </c>
      <c r="J865" s="42">
        <v>-32.4</v>
      </c>
      <c r="K865" s="42">
        <v>6.4</v>
      </c>
      <c r="L865" s="42">
        <v>-19.8</v>
      </c>
      <c r="M865" s="42">
        <v>-5.4</v>
      </c>
      <c r="N865" s="42">
        <v>2.7</v>
      </c>
      <c r="O865" s="42">
        <v>4.89E11</v>
      </c>
      <c r="P865" s="42">
        <v>2.01E11</v>
      </c>
      <c r="Q865" s="42">
        <v>0.0</v>
      </c>
      <c r="R865" s="42">
        <v>0.0</v>
      </c>
      <c r="S865" s="42">
        <v>0.0</v>
      </c>
      <c r="T865" s="42">
        <v>0.0</v>
      </c>
      <c r="U865" s="42">
        <v>-7.5</v>
      </c>
      <c r="V865" s="42">
        <v>0.0</v>
      </c>
      <c r="W865" s="42">
        <v>0.0</v>
      </c>
    </row>
    <row r="866">
      <c r="A866" s="87">
        <v>865.0</v>
      </c>
      <c r="B866" s="85" t="s">
        <v>2548</v>
      </c>
      <c r="C866" s="85" t="s">
        <v>932</v>
      </c>
      <c r="D866" s="85" t="s">
        <v>1247</v>
      </c>
      <c r="E866" s="85" t="s">
        <v>1208</v>
      </c>
      <c r="F866" s="85" t="s">
        <v>1248</v>
      </c>
      <c r="G866" s="85" t="s">
        <v>1249</v>
      </c>
      <c r="H866" s="85" t="s">
        <v>1249</v>
      </c>
      <c r="I866" s="85" t="s">
        <v>1211</v>
      </c>
      <c r="J866" s="42">
        <v>18.4</v>
      </c>
      <c r="K866" s="42">
        <v>0.93</v>
      </c>
      <c r="L866" s="42">
        <v>5.1</v>
      </c>
      <c r="M866" s="42">
        <v>3.4</v>
      </c>
      <c r="N866" s="42">
        <v>0.48</v>
      </c>
      <c r="O866" s="42">
        <v>1.1E12</v>
      </c>
      <c r="P866" s="42">
        <v>4.2E10</v>
      </c>
      <c r="Q866" s="42">
        <v>-15.3</v>
      </c>
      <c r="R866" s="42">
        <v>-13.3</v>
      </c>
      <c r="S866" s="42">
        <v>-43.5</v>
      </c>
      <c r="T866" s="42">
        <v>-60.8</v>
      </c>
      <c r="U866" s="42">
        <v>150.0</v>
      </c>
      <c r="V866" s="42">
        <v>-9.4</v>
      </c>
      <c r="W866" s="42">
        <v>-41.0</v>
      </c>
    </row>
    <row r="867">
      <c r="A867" s="87">
        <v>866.0</v>
      </c>
      <c r="B867" s="85" t="s">
        <v>2549</v>
      </c>
      <c r="C867" s="85" t="s">
        <v>933</v>
      </c>
      <c r="D867" s="85" t="s">
        <v>1354</v>
      </c>
      <c r="E867" s="85" t="s">
        <v>1252</v>
      </c>
      <c r="F867" s="85" t="s">
        <v>1252</v>
      </c>
      <c r="G867" s="85" t="s">
        <v>1313</v>
      </c>
      <c r="H867" s="85" t="s">
        <v>1355</v>
      </c>
      <c r="I867" s="85" t="s">
        <v>2550</v>
      </c>
      <c r="J867" s="42">
        <v>8.9</v>
      </c>
      <c r="K867" s="42">
        <v>2.4</v>
      </c>
      <c r="L867" s="42">
        <v>27.1</v>
      </c>
      <c r="M867" s="42">
        <v>17.7</v>
      </c>
      <c r="N867" s="42">
        <v>0.53</v>
      </c>
      <c r="O867" s="42">
        <v>2.39E13</v>
      </c>
      <c r="P867" s="42">
        <v>5.5E12</v>
      </c>
      <c r="Q867" s="42">
        <v>-18.3</v>
      </c>
      <c r="R867" s="42">
        <v>-14.9</v>
      </c>
      <c r="S867" s="42">
        <v>-8.2</v>
      </c>
      <c r="T867" s="42">
        <v>140.0</v>
      </c>
      <c r="U867" s="42">
        <v>49.4</v>
      </c>
      <c r="V867" s="42">
        <v>-7.6</v>
      </c>
      <c r="W867" s="42">
        <v>-7.3</v>
      </c>
    </row>
    <row r="868">
      <c r="A868" s="87">
        <v>867.0</v>
      </c>
      <c r="B868" s="85" t="s">
        <v>2551</v>
      </c>
      <c r="C868" s="85" t="s">
        <v>934</v>
      </c>
      <c r="D868" s="85" t="s">
        <v>2258</v>
      </c>
      <c r="E868" s="85" t="s">
        <v>1214</v>
      </c>
      <c r="F868" s="85" t="s">
        <v>1406</v>
      </c>
      <c r="G868" s="85" t="s">
        <v>2259</v>
      </c>
      <c r="H868" s="85" t="s">
        <v>2259</v>
      </c>
      <c r="I868" s="85" t="s">
        <v>1333</v>
      </c>
      <c r="J868" s="42">
        <v>42.7</v>
      </c>
      <c r="K868" s="42">
        <v>2.0</v>
      </c>
      <c r="L868" s="42">
        <v>4.8</v>
      </c>
      <c r="M868" s="42">
        <v>2.0</v>
      </c>
      <c r="N868" s="42">
        <v>1.4</v>
      </c>
      <c r="O868" s="42">
        <v>3.53E11</v>
      </c>
      <c r="P868" s="42">
        <v>6.7E10</v>
      </c>
      <c r="Q868" s="42">
        <v>-18.5</v>
      </c>
      <c r="R868" s="42">
        <v>-46.9</v>
      </c>
      <c r="S868" s="42">
        <v>-60.4</v>
      </c>
      <c r="T868" s="42">
        <v>-72.5</v>
      </c>
      <c r="U868" s="42">
        <v>12.3</v>
      </c>
      <c r="V868" s="42">
        <v>-9.1</v>
      </c>
      <c r="W868" s="42">
        <v>-56.3</v>
      </c>
    </row>
    <row r="869">
      <c r="A869" s="87">
        <v>868.0</v>
      </c>
      <c r="B869" s="85" t="s">
        <v>2552</v>
      </c>
      <c r="C869" s="85" t="s">
        <v>935</v>
      </c>
      <c r="D869" s="85" t="s">
        <v>1966</v>
      </c>
      <c r="E869" s="85" t="s">
        <v>1252</v>
      </c>
      <c r="F869" s="85" t="s">
        <v>1252</v>
      </c>
      <c r="G869" s="85" t="s">
        <v>1469</v>
      </c>
      <c r="H869" s="85" t="s">
        <v>1967</v>
      </c>
      <c r="I869" s="85" t="s">
        <v>2089</v>
      </c>
      <c r="J869" s="42">
        <v>-16.9</v>
      </c>
      <c r="K869" s="42">
        <v>-0.77</v>
      </c>
      <c r="L869" s="42">
        <v>0.0</v>
      </c>
      <c r="M869" s="42">
        <v>-7.3</v>
      </c>
      <c r="N869" s="42">
        <v>-1.6</v>
      </c>
      <c r="O869" s="42">
        <v>4.67E11</v>
      </c>
      <c r="P869" s="42">
        <v>2.7E10</v>
      </c>
      <c r="Q869" s="42">
        <v>-23.6</v>
      </c>
      <c r="R869" s="42">
        <v>-63.8</v>
      </c>
      <c r="S869" s="42">
        <v>270.0</v>
      </c>
      <c r="T869" s="42">
        <v>720.0</v>
      </c>
      <c r="U869" s="42">
        <v>-100.0</v>
      </c>
      <c r="V869" s="42">
        <v>-28.3</v>
      </c>
      <c r="W869" s="42">
        <v>160.0</v>
      </c>
    </row>
    <row r="870">
      <c r="A870" s="87">
        <v>869.0</v>
      </c>
      <c r="B870" s="85" t="s">
        <v>2553</v>
      </c>
      <c r="C870" s="85" t="s">
        <v>936</v>
      </c>
      <c r="D870" s="85" t="s">
        <v>2004</v>
      </c>
      <c r="E870" s="85" t="s">
        <v>1252</v>
      </c>
      <c r="F870" s="85" t="s">
        <v>1252</v>
      </c>
      <c r="G870" s="85" t="s">
        <v>1469</v>
      </c>
      <c r="H870" s="85" t="s">
        <v>2005</v>
      </c>
      <c r="I870" s="85" t="s">
        <v>2554</v>
      </c>
      <c r="J870" s="42">
        <v>4.0</v>
      </c>
      <c r="K870" s="42">
        <v>0.34</v>
      </c>
      <c r="L870" s="42">
        <v>8.5</v>
      </c>
      <c r="M870" s="42">
        <v>6.4</v>
      </c>
      <c r="N870" s="42">
        <v>0.33</v>
      </c>
      <c r="O870" s="42">
        <v>1.74E13</v>
      </c>
      <c r="P870" s="42">
        <v>4.4E12</v>
      </c>
      <c r="Q870" s="42">
        <v>-45.0</v>
      </c>
      <c r="R870" s="42">
        <v>-47.9</v>
      </c>
      <c r="S870" s="42">
        <v>-38.9</v>
      </c>
      <c r="T870" s="42">
        <v>-26.0</v>
      </c>
      <c r="U870" s="42">
        <v>98.6</v>
      </c>
      <c r="V870" s="42">
        <v>-19.1</v>
      </c>
      <c r="W870" s="42">
        <v>-37.9</v>
      </c>
    </row>
    <row r="871">
      <c r="A871" s="87">
        <v>870.0</v>
      </c>
      <c r="B871" s="85" t="s">
        <v>2555</v>
      </c>
      <c r="C871" s="85" t="s">
        <v>937</v>
      </c>
      <c r="D871" s="85" t="s">
        <v>1193</v>
      </c>
      <c r="E871" s="85" t="s">
        <v>1194</v>
      </c>
      <c r="F871" s="85" t="s">
        <v>1195</v>
      </c>
      <c r="G871" s="85" t="s">
        <v>1196</v>
      </c>
      <c r="H871" s="85" t="s">
        <v>1197</v>
      </c>
      <c r="I871" s="85" t="s">
        <v>1243</v>
      </c>
      <c r="J871" s="42">
        <v>6.5</v>
      </c>
      <c r="K871" s="42">
        <v>1.8</v>
      </c>
      <c r="L871" s="42">
        <v>28.0</v>
      </c>
      <c r="M871" s="42">
        <v>17.0</v>
      </c>
      <c r="N871" s="42">
        <v>0.64</v>
      </c>
      <c r="O871" s="42">
        <v>6.9E12</v>
      </c>
      <c r="P871" s="42">
        <v>1.4E12</v>
      </c>
      <c r="Q871" s="42">
        <v>-29.7</v>
      </c>
      <c r="R871" s="42">
        <v>-32.9</v>
      </c>
      <c r="S871" s="42">
        <v>-39.9</v>
      </c>
      <c r="T871" s="42">
        <v>-20.7</v>
      </c>
      <c r="U871" s="42">
        <v>78.2</v>
      </c>
      <c r="V871" s="42">
        <v>-18.5</v>
      </c>
      <c r="W871" s="42">
        <v>-37.7</v>
      </c>
    </row>
    <row r="872">
      <c r="A872" s="87">
        <v>871.0</v>
      </c>
      <c r="B872" s="85" t="s">
        <v>2556</v>
      </c>
      <c r="C872" s="85" t="s">
        <v>938</v>
      </c>
      <c r="D872" s="85" t="s">
        <v>2557</v>
      </c>
      <c r="E872" s="85" t="s">
        <v>1230</v>
      </c>
      <c r="F872" s="85" t="s">
        <v>1464</v>
      </c>
      <c r="G872" s="85" t="s">
        <v>1746</v>
      </c>
      <c r="H872" s="85" t="s">
        <v>2558</v>
      </c>
      <c r="I872" s="85" t="s">
        <v>2559</v>
      </c>
      <c r="J872" s="42">
        <v>10.1</v>
      </c>
      <c r="K872" s="42">
        <v>1.9</v>
      </c>
      <c r="L872" s="42">
        <v>19.1</v>
      </c>
      <c r="M872" s="42">
        <v>4.7</v>
      </c>
      <c r="N872" s="42">
        <v>0.86</v>
      </c>
      <c r="O872" s="42">
        <v>3.0E14</v>
      </c>
      <c r="P872" s="42">
        <v>1.5E14</v>
      </c>
      <c r="Q872" s="42">
        <v>-20.6</v>
      </c>
      <c r="R872" s="42">
        <v>-24.2</v>
      </c>
      <c r="S872" s="42">
        <v>-35.3</v>
      </c>
      <c r="T872" s="42">
        <v>-17.3</v>
      </c>
      <c r="U872" s="42">
        <v>20.3</v>
      </c>
      <c r="V872" s="42">
        <v>-20.3</v>
      </c>
      <c r="W872" s="42">
        <v>-32.3</v>
      </c>
    </row>
    <row r="873">
      <c r="A873" s="87">
        <v>872.0</v>
      </c>
      <c r="B873" s="85" t="s">
        <v>2560</v>
      </c>
      <c r="C873" s="85" t="s">
        <v>939</v>
      </c>
      <c r="D873" s="85" t="s">
        <v>1299</v>
      </c>
      <c r="E873" s="85" t="s">
        <v>1300</v>
      </c>
      <c r="F873" s="85" t="s">
        <v>1301</v>
      </c>
      <c r="G873" s="85" t="s">
        <v>1301</v>
      </c>
      <c r="H873" s="85" t="s">
        <v>1301</v>
      </c>
      <c r="I873" s="85" t="s">
        <v>1812</v>
      </c>
      <c r="J873" s="42">
        <v>12.9</v>
      </c>
      <c r="K873" s="42">
        <v>2.1</v>
      </c>
      <c r="L873" s="42">
        <v>15.9</v>
      </c>
      <c r="M873" s="42">
        <v>9.3</v>
      </c>
      <c r="N873" s="42">
        <v>0.7</v>
      </c>
      <c r="O873" s="42">
        <v>6.7E12</v>
      </c>
      <c r="P873" s="42">
        <v>1.1E12</v>
      </c>
      <c r="Q873" s="42">
        <v>-8.1</v>
      </c>
      <c r="R873" s="42">
        <v>-8.8</v>
      </c>
      <c r="S873" s="42">
        <v>-17.4</v>
      </c>
      <c r="T873" s="42">
        <v>-13.0</v>
      </c>
      <c r="U873" s="42">
        <v>45.7</v>
      </c>
      <c r="V873" s="42">
        <v>-5.0</v>
      </c>
      <c r="W873" s="42">
        <v>-30.5</v>
      </c>
    </row>
    <row r="874">
      <c r="A874" s="87">
        <v>873.0</v>
      </c>
      <c r="B874" s="85" t="s">
        <v>2561</v>
      </c>
      <c r="C874" s="85" t="s">
        <v>940</v>
      </c>
      <c r="D874" s="85" t="s">
        <v>1200</v>
      </c>
      <c r="E874" s="85" t="s">
        <v>1201</v>
      </c>
      <c r="F874" s="85" t="s">
        <v>1202</v>
      </c>
      <c r="G874" s="85" t="s">
        <v>1203</v>
      </c>
      <c r="H874" s="85" t="s">
        <v>1204</v>
      </c>
      <c r="I874" s="85" t="s">
        <v>1458</v>
      </c>
      <c r="J874" s="42">
        <v>46.1</v>
      </c>
      <c r="K874" s="42">
        <v>0.45</v>
      </c>
      <c r="L874" s="42">
        <v>0.98</v>
      </c>
      <c r="M874" s="42">
        <v>0.57</v>
      </c>
      <c r="N874" s="42">
        <v>0.72</v>
      </c>
      <c r="O874" s="42">
        <v>1.13E11</v>
      </c>
      <c r="P874" s="42">
        <v>3.7E10</v>
      </c>
      <c r="Q874" s="42">
        <v>-30.2</v>
      </c>
      <c r="R874" s="42">
        <v>-29.0</v>
      </c>
      <c r="S874" s="42">
        <v>-48.8</v>
      </c>
      <c r="T874" s="42">
        <v>-35.8</v>
      </c>
      <c r="U874" s="42">
        <v>6.7</v>
      </c>
      <c r="V874" s="42">
        <v>-17.8</v>
      </c>
      <c r="W874" s="42">
        <v>-48.2</v>
      </c>
    </row>
    <row r="875">
      <c r="A875" s="87">
        <v>874.0</v>
      </c>
      <c r="B875" s="85" t="s">
        <v>2562</v>
      </c>
      <c r="C875" s="85" t="s">
        <v>941</v>
      </c>
      <c r="D875" s="85" t="s">
        <v>1299</v>
      </c>
      <c r="E875" s="85" t="s">
        <v>1300</v>
      </c>
      <c r="F875" s="85" t="s">
        <v>1301</v>
      </c>
      <c r="G875" s="85" t="s">
        <v>1301</v>
      </c>
      <c r="H875" s="85" t="s">
        <v>1301</v>
      </c>
      <c r="I875" s="85" t="s">
        <v>1302</v>
      </c>
      <c r="J875" s="42">
        <v>-18.5</v>
      </c>
      <c r="K875" s="42">
        <v>1.7</v>
      </c>
      <c r="L875" s="42">
        <v>-9.4</v>
      </c>
      <c r="M875" s="42">
        <v>-7.0</v>
      </c>
      <c r="N875" s="42">
        <v>0.35</v>
      </c>
      <c r="O875" s="42">
        <v>6.9E10</v>
      </c>
      <c r="P875" s="42">
        <v>1.8E10</v>
      </c>
      <c r="Q875" s="42">
        <v>-36.5</v>
      </c>
      <c r="R875" s="42">
        <v>-26.9</v>
      </c>
      <c r="S875" s="42">
        <v>-49.2</v>
      </c>
      <c r="T875" s="42">
        <v>-21.4</v>
      </c>
      <c r="U875" s="42">
        <v>-20.7</v>
      </c>
      <c r="V875" s="42">
        <v>-24.2</v>
      </c>
      <c r="W875" s="42">
        <v>-54.7</v>
      </c>
    </row>
    <row r="876">
      <c r="A876" s="87">
        <v>875.0</v>
      </c>
      <c r="B876" s="85" t="s">
        <v>2563</v>
      </c>
      <c r="C876" s="85" t="s">
        <v>942</v>
      </c>
      <c r="D876" s="85" t="s">
        <v>1186</v>
      </c>
      <c r="E876" s="85" t="s">
        <v>1187</v>
      </c>
      <c r="F876" s="85" t="s">
        <v>1188</v>
      </c>
      <c r="G876" s="85" t="s">
        <v>1189</v>
      </c>
      <c r="H876" s="85" t="s">
        <v>1190</v>
      </c>
      <c r="I876" s="85" t="s">
        <v>2445</v>
      </c>
      <c r="J876" s="42">
        <v>-1.9</v>
      </c>
      <c r="K876" s="42">
        <v>1.0</v>
      </c>
      <c r="L876" s="42">
        <v>-53.6</v>
      </c>
      <c r="M876" s="42">
        <v>-14.0</v>
      </c>
      <c r="N876" s="42">
        <v>2.8</v>
      </c>
      <c r="O876" s="42">
        <v>3.6E12</v>
      </c>
      <c r="P876" s="42">
        <v>1.5E12</v>
      </c>
      <c r="Q876" s="42">
        <v>-44.9</v>
      </c>
      <c r="R876" s="42">
        <v>-42.9</v>
      </c>
      <c r="S876" s="42">
        <v>-61.2</v>
      </c>
      <c r="T876" s="42">
        <v>-42.4</v>
      </c>
      <c r="U876" s="42">
        <v>-130.0</v>
      </c>
      <c r="V876" s="42">
        <v>-27.3</v>
      </c>
      <c r="W876" s="42">
        <v>-58.7</v>
      </c>
    </row>
    <row r="877">
      <c r="A877" s="87">
        <v>876.0</v>
      </c>
      <c r="B877" s="85" t="s">
        <v>2564</v>
      </c>
      <c r="C877" s="85" t="s">
        <v>943</v>
      </c>
      <c r="D877" s="85" t="s">
        <v>1218</v>
      </c>
      <c r="E877" s="85" t="s">
        <v>1201</v>
      </c>
      <c r="F877" s="85" t="s">
        <v>1219</v>
      </c>
      <c r="G877" s="85" t="s">
        <v>1220</v>
      </c>
      <c r="H877" s="85" t="s">
        <v>1221</v>
      </c>
      <c r="I877" s="85" t="s">
        <v>1458</v>
      </c>
      <c r="J877" s="42">
        <v>-15.8</v>
      </c>
      <c r="K877" s="42">
        <v>0.8</v>
      </c>
      <c r="L877" s="42">
        <v>-5.1</v>
      </c>
      <c r="M877" s="42">
        <v>-4.6</v>
      </c>
      <c r="N877" s="42">
        <v>0.11</v>
      </c>
      <c r="O877" s="42">
        <v>1.46E11</v>
      </c>
      <c r="P877" s="42">
        <v>1.0E10</v>
      </c>
      <c r="Q877" s="42">
        <v>-33.3</v>
      </c>
      <c r="R877" s="42">
        <v>-8.8</v>
      </c>
      <c r="S877" s="42">
        <v>-22.4</v>
      </c>
      <c r="T877" s="42">
        <v>2.0</v>
      </c>
      <c r="U877" s="42">
        <v>-90.8</v>
      </c>
      <c r="V877" s="42">
        <v>-27.8</v>
      </c>
      <c r="W877" s="42">
        <v>-18.8</v>
      </c>
    </row>
    <row r="878">
      <c r="A878" s="87">
        <v>877.0</v>
      </c>
      <c r="B878" s="85" t="s">
        <v>2565</v>
      </c>
      <c r="C878" s="85" t="s">
        <v>944</v>
      </c>
      <c r="D878" s="85" t="s">
        <v>1229</v>
      </c>
      <c r="E878" s="85" t="s">
        <v>1230</v>
      </c>
      <c r="F878" s="85" t="s">
        <v>1231</v>
      </c>
      <c r="G878" s="85" t="s">
        <v>1231</v>
      </c>
      <c r="H878" s="85" t="s">
        <v>1231</v>
      </c>
      <c r="I878" s="85" t="s">
        <v>2249</v>
      </c>
      <c r="J878" s="42">
        <v>0.0</v>
      </c>
      <c r="K878" s="42">
        <v>0.08</v>
      </c>
      <c r="L878" s="42">
        <v>-68.6</v>
      </c>
      <c r="M878" s="42">
        <v>-17.6</v>
      </c>
      <c r="N878" s="42">
        <v>2.9</v>
      </c>
      <c r="O878" s="42">
        <v>3.3E10</v>
      </c>
      <c r="P878" s="42">
        <v>4.2E10</v>
      </c>
      <c r="Q878" s="42">
        <v>0.0</v>
      </c>
      <c r="R878" s="42">
        <v>0.0</v>
      </c>
      <c r="S878" s="42">
        <v>0.0</v>
      </c>
      <c r="T878" s="42">
        <v>0.0</v>
      </c>
      <c r="U878" s="42">
        <v>-680.0</v>
      </c>
      <c r="V878" s="42">
        <v>0.0</v>
      </c>
      <c r="W878" s="42">
        <v>0.0</v>
      </c>
    </row>
    <row r="879">
      <c r="A879" s="87">
        <v>878.0</v>
      </c>
      <c r="B879" s="85" t="s">
        <v>2566</v>
      </c>
      <c r="C879" s="85" t="s">
        <v>945</v>
      </c>
      <c r="D879" s="85" t="s">
        <v>1439</v>
      </c>
      <c r="E879" s="85" t="s">
        <v>1376</v>
      </c>
      <c r="F879" s="85" t="s">
        <v>1377</v>
      </c>
      <c r="G879" s="85" t="s">
        <v>1440</v>
      </c>
      <c r="H879" s="85" t="s">
        <v>1440</v>
      </c>
      <c r="I879" s="85" t="s">
        <v>1441</v>
      </c>
      <c r="J879" s="42">
        <v>53.8</v>
      </c>
      <c r="K879" s="42">
        <v>1.5</v>
      </c>
      <c r="L879" s="42">
        <v>2.8</v>
      </c>
      <c r="M879" s="42">
        <v>2.2</v>
      </c>
      <c r="N879" s="42">
        <v>0.27</v>
      </c>
      <c r="O879" s="42">
        <v>2.41E11</v>
      </c>
      <c r="P879" s="42">
        <v>4.16E11</v>
      </c>
      <c r="Q879" s="42">
        <v>-14.8</v>
      </c>
      <c r="R879" s="42">
        <v>-23.5</v>
      </c>
      <c r="S879" s="42">
        <v>-31.6</v>
      </c>
      <c r="T879" s="42">
        <v>4.0</v>
      </c>
      <c r="U879" s="42">
        <v>1.1</v>
      </c>
      <c r="V879" s="42">
        <v>-5.5</v>
      </c>
      <c r="W879" s="42">
        <v>-16.1</v>
      </c>
    </row>
    <row r="880">
      <c r="A880" s="87">
        <v>879.0</v>
      </c>
      <c r="B880" s="85" t="s">
        <v>2567</v>
      </c>
      <c r="C880" s="85" t="s">
        <v>946</v>
      </c>
      <c r="D880" s="85" t="s">
        <v>1229</v>
      </c>
      <c r="E880" s="85" t="s">
        <v>1230</v>
      </c>
      <c r="F880" s="85" t="s">
        <v>1231</v>
      </c>
      <c r="G880" s="85" t="s">
        <v>1231</v>
      </c>
      <c r="H880" s="85" t="s">
        <v>1231</v>
      </c>
      <c r="I880" s="85" t="s">
        <v>2568</v>
      </c>
      <c r="J880" s="42">
        <v>8.0</v>
      </c>
      <c r="K880" s="42">
        <v>2.5</v>
      </c>
      <c r="L880" s="42">
        <v>30.9</v>
      </c>
      <c r="M880" s="42">
        <v>10.2</v>
      </c>
      <c r="N880" s="42">
        <v>2.0</v>
      </c>
      <c r="O880" s="42">
        <v>3.5E12</v>
      </c>
      <c r="P880" s="42">
        <v>8.38E11</v>
      </c>
      <c r="Q880" s="42">
        <v>-19.9</v>
      </c>
      <c r="R880" s="42">
        <v>-3.0</v>
      </c>
      <c r="S880" s="42">
        <v>-6.2</v>
      </c>
      <c r="T880" s="42">
        <v>45.9</v>
      </c>
      <c r="U880" s="42">
        <v>52.8</v>
      </c>
      <c r="V880" s="42">
        <v>-5.3</v>
      </c>
      <c r="W880" s="42">
        <v>-2.0</v>
      </c>
    </row>
    <row r="881">
      <c r="A881" s="87">
        <v>880.0</v>
      </c>
      <c r="B881" s="85" t="s">
        <v>2569</v>
      </c>
      <c r="C881" s="85" t="s">
        <v>947</v>
      </c>
      <c r="D881" s="85" t="s">
        <v>1325</v>
      </c>
      <c r="E881" s="85" t="s">
        <v>1214</v>
      </c>
      <c r="F881" s="85" t="s">
        <v>1326</v>
      </c>
      <c r="G881" s="85" t="s">
        <v>1327</v>
      </c>
      <c r="H881" s="85" t="s">
        <v>1327</v>
      </c>
      <c r="I881" s="85" t="s">
        <v>1394</v>
      </c>
      <c r="J881" s="42">
        <v>8.2</v>
      </c>
      <c r="K881" s="42">
        <v>0.97</v>
      </c>
      <c r="L881" s="42">
        <v>11.9</v>
      </c>
      <c r="M881" s="42">
        <v>9.1</v>
      </c>
      <c r="N881" s="42">
        <v>0.31</v>
      </c>
      <c r="O881" s="42">
        <v>2.5E12</v>
      </c>
      <c r="P881" s="42">
        <v>4.84E11</v>
      </c>
      <c r="Q881" s="42">
        <v>-13.0</v>
      </c>
      <c r="R881" s="42">
        <v>-16.2</v>
      </c>
      <c r="S881" s="42">
        <v>-17.4</v>
      </c>
      <c r="T881" s="42">
        <v>0.0</v>
      </c>
      <c r="U881" s="42">
        <v>64.1</v>
      </c>
      <c r="V881" s="42">
        <v>-7.3</v>
      </c>
      <c r="W881" s="42">
        <v>-15.6</v>
      </c>
    </row>
    <row r="882">
      <c r="A882" s="87">
        <v>881.0</v>
      </c>
      <c r="B882" s="85" t="s">
        <v>2570</v>
      </c>
      <c r="C882" s="85" t="s">
        <v>948</v>
      </c>
      <c r="D882" s="85" t="s">
        <v>1463</v>
      </c>
      <c r="E882" s="85" t="s">
        <v>1230</v>
      </c>
      <c r="F882" s="85" t="s">
        <v>1464</v>
      </c>
      <c r="G882" s="85" t="s">
        <v>1465</v>
      </c>
      <c r="H882" s="85" t="s">
        <v>1465</v>
      </c>
      <c r="I882" s="85" t="s">
        <v>2571</v>
      </c>
      <c r="J882" s="42">
        <v>6.1</v>
      </c>
      <c r="K882" s="42">
        <v>0.83</v>
      </c>
      <c r="L882" s="42">
        <v>13.6</v>
      </c>
      <c r="M882" s="42">
        <v>4.8</v>
      </c>
      <c r="N882" s="42">
        <v>1.9</v>
      </c>
      <c r="O882" s="42">
        <v>2.25E13</v>
      </c>
      <c r="P882" s="42">
        <v>1.33E13</v>
      </c>
      <c r="Q882" s="42">
        <v>-33.1</v>
      </c>
      <c r="R882" s="42">
        <v>-31.0</v>
      </c>
      <c r="S882" s="42">
        <v>-44.1</v>
      </c>
      <c r="T882" s="42">
        <v>-40.4</v>
      </c>
      <c r="U882" s="42">
        <v>27.6</v>
      </c>
      <c r="V882" s="42">
        <v>-16.4</v>
      </c>
      <c r="W882" s="42">
        <v>-46.0</v>
      </c>
    </row>
    <row r="883">
      <c r="A883" s="87">
        <v>882.0</v>
      </c>
      <c r="B883" s="85" t="s">
        <v>2572</v>
      </c>
      <c r="C883" s="85" t="s">
        <v>949</v>
      </c>
      <c r="D883" s="85" t="s">
        <v>1531</v>
      </c>
      <c r="E883" s="85" t="s">
        <v>1201</v>
      </c>
      <c r="F883" s="85" t="s">
        <v>1532</v>
      </c>
      <c r="G883" s="85" t="s">
        <v>1533</v>
      </c>
      <c r="H883" s="85" t="s">
        <v>1533</v>
      </c>
      <c r="I883" s="85" t="s">
        <v>1205</v>
      </c>
      <c r="J883" s="42">
        <v>0.0</v>
      </c>
      <c r="K883" s="42">
        <v>0.05</v>
      </c>
      <c r="L883" s="42">
        <v>-5.5</v>
      </c>
      <c r="M883" s="42">
        <v>-3.8</v>
      </c>
      <c r="N883" s="42">
        <v>0.44</v>
      </c>
      <c r="O883" s="42">
        <v>1.1E10</v>
      </c>
      <c r="P883" s="42">
        <v>6.0E10</v>
      </c>
      <c r="Q883" s="42">
        <v>0.0</v>
      </c>
      <c r="R883" s="42">
        <v>0.0</v>
      </c>
      <c r="S883" s="42">
        <v>0.0</v>
      </c>
      <c r="T883" s="42">
        <v>0.0</v>
      </c>
      <c r="U883" s="42">
        <v>-22.5</v>
      </c>
      <c r="V883" s="42">
        <v>0.0</v>
      </c>
      <c r="W883" s="42">
        <v>0.0</v>
      </c>
    </row>
    <row r="884">
      <c r="A884" s="87">
        <v>883.0</v>
      </c>
      <c r="B884" s="85" t="s">
        <v>2573</v>
      </c>
      <c r="C884" s="85" t="s">
        <v>950</v>
      </c>
      <c r="D884" s="85" t="s">
        <v>1251</v>
      </c>
      <c r="E884" s="85" t="s">
        <v>1252</v>
      </c>
      <c r="F884" s="85" t="s">
        <v>1252</v>
      </c>
      <c r="G884" s="85" t="s">
        <v>1253</v>
      </c>
      <c r="H884" s="85" t="s">
        <v>1254</v>
      </c>
      <c r="I884" s="85" t="s">
        <v>2574</v>
      </c>
      <c r="J884" s="42">
        <v>7.3</v>
      </c>
      <c r="K884" s="42">
        <v>1.9</v>
      </c>
      <c r="L884" s="42">
        <v>25.7</v>
      </c>
      <c r="M884" s="42">
        <v>10.0</v>
      </c>
      <c r="N884" s="42">
        <v>1.6</v>
      </c>
      <c r="O884" s="42">
        <v>1.5E14</v>
      </c>
      <c r="P884" s="42">
        <v>4.09E13</v>
      </c>
      <c r="Q884" s="42">
        <v>-68.2</v>
      </c>
      <c r="R884" s="42">
        <v>-73.3</v>
      </c>
      <c r="S884" s="42">
        <v>-78.3</v>
      </c>
      <c r="T884" s="42">
        <v>-83.2</v>
      </c>
      <c r="U884" s="42">
        <v>51.9</v>
      </c>
      <c r="V884" s="42">
        <v>-15.5</v>
      </c>
      <c r="W884" s="42">
        <v>-77.5</v>
      </c>
    </row>
    <row r="885">
      <c r="A885" s="87">
        <v>884.0</v>
      </c>
      <c r="B885" s="85" t="s">
        <v>2575</v>
      </c>
      <c r="C885" s="85" t="s">
        <v>951</v>
      </c>
      <c r="D885" s="85" t="s">
        <v>1308</v>
      </c>
      <c r="E885" s="85" t="s">
        <v>1187</v>
      </c>
      <c r="F885" s="85" t="s">
        <v>1188</v>
      </c>
      <c r="G885" s="85" t="s">
        <v>1189</v>
      </c>
      <c r="H885" s="85" t="s">
        <v>1309</v>
      </c>
      <c r="I885" s="85" t="s">
        <v>1216</v>
      </c>
      <c r="J885" s="42">
        <v>7.9</v>
      </c>
      <c r="K885" s="42">
        <v>0.67</v>
      </c>
      <c r="L885" s="42">
        <v>8.5</v>
      </c>
      <c r="M885" s="42">
        <v>4.5</v>
      </c>
      <c r="N885" s="42">
        <v>0.89</v>
      </c>
      <c r="O885" s="42">
        <v>1.7E12</v>
      </c>
      <c r="P885" s="42">
        <v>4.48E11</v>
      </c>
      <c r="Q885" s="42">
        <v>-38.9</v>
      </c>
      <c r="R885" s="42">
        <v>-43.6</v>
      </c>
      <c r="S885" s="42">
        <v>-42.1</v>
      </c>
      <c r="T885" s="42">
        <v>-43.1</v>
      </c>
      <c r="U885" s="42">
        <v>48.4</v>
      </c>
      <c r="V885" s="42">
        <v>-24.7</v>
      </c>
      <c r="W885" s="42">
        <v>-45.5</v>
      </c>
    </row>
    <row r="886">
      <c r="A886" s="87">
        <v>885.0</v>
      </c>
      <c r="B886" s="85" t="s">
        <v>2576</v>
      </c>
      <c r="C886" s="85" t="s">
        <v>952</v>
      </c>
      <c r="D886" s="85" t="s">
        <v>1186</v>
      </c>
      <c r="E886" s="85" t="s">
        <v>1187</v>
      </c>
      <c r="F886" s="85" t="s">
        <v>1188</v>
      </c>
      <c r="G886" s="85" t="s">
        <v>1189</v>
      </c>
      <c r="H886" s="85" t="s">
        <v>1190</v>
      </c>
      <c r="I886" s="85" t="s">
        <v>1936</v>
      </c>
      <c r="J886" s="42">
        <v>0.0</v>
      </c>
      <c r="K886" s="42">
        <v>1.9</v>
      </c>
      <c r="L886" s="42">
        <v>-62.0</v>
      </c>
      <c r="M886" s="42">
        <v>-15.2</v>
      </c>
      <c r="N886" s="42">
        <v>3.1</v>
      </c>
      <c r="O886" s="42">
        <v>2.5E12</v>
      </c>
      <c r="P886" s="42">
        <v>3.6E12</v>
      </c>
      <c r="Q886" s="42">
        <v>0.0</v>
      </c>
      <c r="R886" s="42">
        <v>0.0</v>
      </c>
      <c r="S886" s="42">
        <v>0.0</v>
      </c>
      <c r="T886" s="42">
        <v>0.0</v>
      </c>
      <c r="U886" s="42">
        <v>-23.1</v>
      </c>
      <c r="V886" s="42">
        <v>0.0</v>
      </c>
      <c r="W886" s="42">
        <v>0.0</v>
      </c>
    </row>
    <row r="887">
      <c r="A887" s="87">
        <v>886.0</v>
      </c>
      <c r="B887" s="85" t="s">
        <v>2577</v>
      </c>
      <c r="C887" s="85" t="s">
        <v>953</v>
      </c>
      <c r="D887" s="85" t="s">
        <v>1282</v>
      </c>
      <c r="E887" s="85" t="s">
        <v>1194</v>
      </c>
      <c r="F887" s="85" t="s">
        <v>1195</v>
      </c>
      <c r="G887" s="85" t="s">
        <v>1283</v>
      </c>
      <c r="H887" s="85" t="s">
        <v>1283</v>
      </c>
      <c r="I887" s="85" t="s">
        <v>1641</v>
      </c>
      <c r="J887" s="42">
        <v>42.3</v>
      </c>
      <c r="K887" s="42">
        <v>1.5</v>
      </c>
      <c r="L887" s="42">
        <v>3.5</v>
      </c>
      <c r="M887" s="42">
        <v>0.94</v>
      </c>
      <c r="N887" s="42">
        <v>2.7</v>
      </c>
      <c r="O887" s="42">
        <v>1.4E12</v>
      </c>
      <c r="P887" s="42">
        <v>8.57E11</v>
      </c>
      <c r="Q887" s="42">
        <v>-9.0</v>
      </c>
      <c r="R887" s="42">
        <v>-6.0</v>
      </c>
      <c r="S887" s="42">
        <v>-15.3</v>
      </c>
      <c r="T887" s="42">
        <v>-4.5</v>
      </c>
      <c r="U887" s="42">
        <v>3.9</v>
      </c>
      <c r="V887" s="42">
        <v>-2.3</v>
      </c>
      <c r="W887" s="42">
        <v>-14.5</v>
      </c>
    </row>
    <row r="888">
      <c r="A888" s="87">
        <v>887.0</v>
      </c>
      <c r="B888" s="85" t="s">
        <v>2578</v>
      </c>
      <c r="C888" s="85" t="s">
        <v>954</v>
      </c>
      <c r="D888" s="85" t="s">
        <v>2258</v>
      </c>
      <c r="E888" s="85" t="s">
        <v>1214</v>
      </c>
      <c r="F888" s="85" t="s">
        <v>1406</v>
      </c>
      <c r="G888" s="85" t="s">
        <v>2259</v>
      </c>
      <c r="H888" s="85" t="s">
        <v>2259</v>
      </c>
      <c r="I888" s="85" t="s">
        <v>1385</v>
      </c>
      <c r="J888" s="42">
        <v>0.0</v>
      </c>
      <c r="K888" s="42">
        <v>0.56</v>
      </c>
      <c r="L888" s="42">
        <v>-3.1</v>
      </c>
      <c r="M888" s="42">
        <v>-2.7</v>
      </c>
      <c r="N888" s="42">
        <v>0.17</v>
      </c>
      <c r="O888" s="42">
        <v>6.0E10</v>
      </c>
      <c r="P888" s="42">
        <v>2.0E10</v>
      </c>
      <c r="Q888" s="42">
        <v>0.0</v>
      </c>
      <c r="R888" s="42">
        <v>0.0</v>
      </c>
      <c r="S888" s="42">
        <v>0.0</v>
      </c>
      <c r="T888" s="42">
        <v>0.0</v>
      </c>
      <c r="U888" s="42">
        <v>-16.9</v>
      </c>
      <c r="V888" s="42">
        <v>0.0</v>
      </c>
      <c r="W888" s="42">
        <v>0.0</v>
      </c>
    </row>
    <row r="889">
      <c r="A889" s="87">
        <v>888.0</v>
      </c>
      <c r="B889" s="85" t="s">
        <v>2579</v>
      </c>
      <c r="C889" s="85" t="s">
        <v>955</v>
      </c>
      <c r="D889" s="85" t="s">
        <v>2299</v>
      </c>
      <c r="E889" s="85" t="s">
        <v>1208</v>
      </c>
      <c r="F889" s="85" t="s">
        <v>1341</v>
      </c>
      <c r="G889" s="85" t="s">
        <v>1342</v>
      </c>
      <c r="H889" s="85" t="s">
        <v>2300</v>
      </c>
      <c r="I889" s="85" t="s">
        <v>1320</v>
      </c>
      <c r="J889" s="42">
        <v>5.8</v>
      </c>
      <c r="K889" s="42">
        <v>1.6</v>
      </c>
      <c r="L889" s="42">
        <v>27.6</v>
      </c>
      <c r="M889" s="42">
        <v>7.0</v>
      </c>
      <c r="N889" s="42">
        <v>3.0</v>
      </c>
      <c r="O889" s="42">
        <v>3.6E12</v>
      </c>
      <c r="P889" s="42">
        <v>4.77E11</v>
      </c>
      <c r="Q889" s="42">
        <v>-17.5</v>
      </c>
      <c r="R889" s="42">
        <v>-4.5</v>
      </c>
      <c r="S889" s="42">
        <v>-36.2</v>
      </c>
      <c r="T889" s="42">
        <v>33.1</v>
      </c>
      <c r="U889" s="42">
        <v>130.0</v>
      </c>
      <c r="V889" s="42">
        <v>-11.2</v>
      </c>
      <c r="W889" s="42">
        <v>-27.8</v>
      </c>
    </row>
    <row r="890">
      <c r="A890" s="87">
        <v>889.0</v>
      </c>
      <c r="B890" s="85" t="s">
        <v>2580</v>
      </c>
      <c r="C890" s="85" t="s">
        <v>956</v>
      </c>
      <c r="D890" s="85" t="s">
        <v>1234</v>
      </c>
      <c r="E890" s="85" t="s">
        <v>1235</v>
      </c>
      <c r="F890" s="85" t="s">
        <v>1235</v>
      </c>
      <c r="G890" s="85" t="s">
        <v>1236</v>
      </c>
      <c r="H890" s="85" t="s">
        <v>1237</v>
      </c>
      <c r="I890" s="85" t="s">
        <v>1995</v>
      </c>
      <c r="J890" s="42">
        <v>160.0</v>
      </c>
      <c r="K890" s="42">
        <v>4.1</v>
      </c>
      <c r="L890" s="42">
        <v>2.5</v>
      </c>
      <c r="M890" s="42">
        <v>0.61</v>
      </c>
      <c r="N890" s="42">
        <v>3.0</v>
      </c>
      <c r="O890" s="42">
        <v>2.1E12</v>
      </c>
      <c r="P890" s="42">
        <v>5.41E9</v>
      </c>
      <c r="Q890" s="42">
        <v>-45.4</v>
      </c>
      <c r="R890" s="42">
        <v>-47.1</v>
      </c>
      <c r="S890" s="42">
        <v>-69.6</v>
      </c>
      <c r="T890" s="42">
        <v>220.0</v>
      </c>
      <c r="U890" s="42">
        <v>240.0</v>
      </c>
      <c r="V890" s="42">
        <v>-18.5</v>
      </c>
      <c r="W890" s="42">
        <v>-72.5</v>
      </c>
    </row>
    <row r="891">
      <c r="A891" s="87">
        <v>890.0</v>
      </c>
      <c r="B891" s="85" t="s">
        <v>2581</v>
      </c>
      <c r="C891" s="85" t="s">
        <v>957</v>
      </c>
      <c r="D891" s="85" t="s">
        <v>1806</v>
      </c>
      <c r="E891" s="85" t="s">
        <v>1201</v>
      </c>
      <c r="F891" s="85" t="s">
        <v>1219</v>
      </c>
      <c r="G891" s="85" t="s">
        <v>1220</v>
      </c>
      <c r="H891" s="85" t="s">
        <v>1807</v>
      </c>
      <c r="I891" s="85" t="s">
        <v>1943</v>
      </c>
      <c r="J891" s="42">
        <v>-74.4</v>
      </c>
      <c r="K891" s="42">
        <v>-2.7</v>
      </c>
      <c r="L891" s="42">
        <v>0.0</v>
      </c>
      <c r="M891" s="42">
        <v>-190.0</v>
      </c>
      <c r="N891" s="42">
        <v>-1.0</v>
      </c>
      <c r="O891" s="42">
        <v>1.11E13</v>
      </c>
      <c r="P891" s="42">
        <v>6.7E10</v>
      </c>
      <c r="Q891" s="42">
        <v>0.0</v>
      </c>
      <c r="R891" s="42">
        <v>0.0</v>
      </c>
      <c r="S891" s="42">
        <v>0.0</v>
      </c>
      <c r="T891" s="42">
        <v>0.0</v>
      </c>
      <c r="U891" s="42">
        <v>-220.0</v>
      </c>
      <c r="V891" s="42">
        <v>0.0</v>
      </c>
      <c r="W891" s="42">
        <v>0.0</v>
      </c>
    </row>
    <row r="892">
      <c r="A892" s="87">
        <v>891.0</v>
      </c>
      <c r="B892" s="85" t="s">
        <v>2582</v>
      </c>
      <c r="C892" s="85" t="s">
        <v>958</v>
      </c>
      <c r="D892" s="85" t="s">
        <v>1834</v>
      </c>
      <c r="E892" s="85" t="s">
        <v>1201</v>
      </c>
      <c r="F892" s="85" t="s">
        <v>1225</v>
      </c>
      <c r="G892" s="85" t="s">
        <v>1225</v>
      </c>
      <c r="H892" s="85" t="s">
        <v>1835</v>
      </c>
      <c r="I892" s="85" t="s">
        <v>1458</v>
      </c>
      <c r="J892" s="42">
        <v>8.7</v>
      </c>
      <c r="K892" s="42">
        <v>0.61</v>
      </c>
      <c r="L892" s="42">
        <v>7.0</v>
      </c>
      <c r="M892" s="42">
        <v>4.4</v>
      </c>
      <c r="N892" s="42">
        <v>0.61</v>
      </c>
      <c r="O892" s="42">
        <v>5.4E11</v>
      </c>
      <c r="P892" s="42">
        <v>4.55E11</v>
      </c>
      <c r="Q892" s="42">
        <v>-23.2</v>
      </c>
      <c r="R892" s="42">
        <v>-17.0</v>
      </c>
      <c r="S892" s="42">
        <v>-27.2</v>
      </c>
      <c r="T892" s="42">
        <v>-18.4</v>
      </c>
      <c r="U892" s="42">
        <v>13.6</v>
      </c>
      <c r="V892" s="42">
        <v>-15.5</v>
      </c>
      <c r="W892" s="42">
        <v>-27.6</v>
      </c>
    </row>
    <row r="893">
      <c r="A893" s="87">
        <v>892.0</v>
      </c>
      <c r="B893" s="85" t="s">
        <v>2583</v>
      </c>
      <c r="C893" s="85" t="s">
        <v>959</v>
      </c>
      <c r="D893" s="85" t="s">
        <v>1426</v>
      </c>
      <c r="E893" s="85" t="s">
        <v>1300</v>
      </c>
      <c r="F893" s="85" t="s">
        <v>1427</v>
      </c>
      <c r="G893" s="85" t="s">
        <v>1428</v>
      </c>
      <c r="H893" s="85" t="s">
        <v>1429</v>
      </c>
      <c r="I893" s="85" t="s">
        <v>1302</v>
      </c>
      <c r="J893" s="42">
        <v>-500.0</v>
      </c>
      <c r="K893" s="42">
        <v>0.47</v>
      </c>
      <c r="L893" s="42">
        <v>-0.09</v>
      </c>
      <c r="M893" s="42">
        <v>-0.05</v>
      </c>
      <c r="N893" s="42">
        <v>0.92</v>
      </c>
      <c r="O893" s="42">
        <v>1.84E11</v>
      </c>
      <c r="P893" s="42">
        <v>1.13E11</v>
      </c>
      <c r="Q893" s="42">
        <v>-24.8</v>
      </c>
      <c r="R893" s="42">
        <v>-23.7</v>
      </c>
      <c r="S893" s="42">
        <v>-43.2</v>
      </c>
      <c r="T893" s="42">
        <v>-30.6</v>
      </c>
      <c r="U893" s="42">
        <v>-0.33</v>
      </c>
      <c r="V893" s="42">
        <v>-18.0</v>
      </c>
      <c r="W893" s="42">
        <v>-45.4</v>
      </c>
    </row>
    <row r="894">
      <c r="A894" s="87">
        <v>893.0</v>
      </c>
      <c r="B894" s="85" t="s">
        <v>2584</v>
      </c>
      <c r="C894" s="85" t="s">
        <v>960</v>
      </c>
      <c r="D894" s="85" t="s">
        <v>1899</v>
      </c>
      <c r="E894" s="85" t="s">
        <v>1376</v>
      </c>
      <c r="F894" s="85" t="s">
        <v>1377</v>
      </c>
      <c r="G894" s="85" t="s">
        <v>1900</v>
      </c>
      <c r="H894" s="85" t="s">
        <v>1900</v>
      </c>
      <c r="I894" s="85" t="s">
        <v>1441</v>
      </c>
      <c r="J894" s="42">
        <v>-7.5</v>
      </c>
      <c r="K894" s="42">
        <v>1.6</v>
      </c>
      <c r="L894" s="42">
        <v>-21.4</v>
      </c>
      <c r="M894" s="42">
        <v>-15.6</v>
      </c>
      <c r="N894" s="42">
        <v>0.37</v>
      </c>
      <c r="O894" s="42">
        <v>2.92E11</v>
      </c>
      <c r="P894" s="42">
        <v>2.0E10</v>
      </c>
      <c r="Q894" s="42">
        <v>-48.4</v>
      </c>
      <c r="R894" s="42">
        <v>-43.6</v>
      </c>
      <c r="S894" s="42">
        <v>-64.7</v>
      </c>
      <c r="T894" s="42">
        <v>-36.5</v>
      </c>
      <c r="U894" s="42">
        <v>-200.0</v>
      </c>
      <c r="V894" s="42">
        <v>-37.1</v>
      </c>
      <c r="W894" s="42">
        <v>-74.2</v>
      </c>
    </row>
    <row r="895">
      <c r="A895" s="87">
        <v>894.0</v>
      </c>
      <c r="B895" s="85" t="s">
        <v>2585</v>
      </c>
      <c r="C895" s="85" t="s">
        <v>961</v>
      </c>
      <c r="D895" s="85" t="s">
        <v>1304</v>
      </c>
      <c r="E895" s="85" t="s">
        <v>1252</v>
      </c>
      <c r="F895" s="85" t="s">
        <v>1252</v>
      </c>
      <c r="G895" s="85" t="s">
        <v>1305</v>
      </c>
      <c r="H895" s="85" t="s">
        <v>1305</v>
      </c>
      <c r="I895" s="85" t="s">
        <v>1271</v>
      </c>
      <c r="J895" s="42">
        <v>210.0</v>
      </c>
      <c r="K895" s="42">
        <v>0.46</v>
      </c>
      <c r="L895" s="42">
        <v>0.22</v>
      </c>
      <c r="M895" s="42">
        <v>0.12</v>
      </c>
      <c r="N895" s="42">
        <v>0.94</v>
      </c>
      <c r="O895" s="42">
        <v>1.3E12</v>
      </c>
      <c r="P895" s="42">
        <v>9.7E11</v>
      </c>
      <c r="Q895" s="42">
        <v>-7.4</v>
      </c>
      <c r="R895" s="42">
        <v>2.3</v>
      </c>
      <c r="S895" s="42">
        <v>-2.2</v>
      </c>
      <c r="T895" s="42">
        <v>-8.2</v>
      </c>
      <c r="U895" s="42">
        <v>0.64</v>
      </c>
      <c r="V895" s="42">
        <v>-2.6</v>
      </c>
      <c r="W895" s="42">
        <v>-7.8</v>
      </c>
    </row>
    <row r="896">
      <c r="A896" s="87">
        <v>895.0</v>
      </c>
      <c r="B896" s="85" t="s">
        <v>2586</v>
      </c>
      <c r="C896" s="85" t="b">
        <v>1</v>
      </c>
      <c r="D896" s="85" t="s">
        <v>1234</v>
      </c>
      <c r="E896" s="85" t="s">
        <v>1235</v>
      </c>
      <c r="F896" s="85" t="s">
        <v>1235</v>
      </c>
      <c r="G896" s="85" t="s">
        <v>1236</v>
      </c>
      <c r="H896" s="85" t="s">
        <v>1237</v>
      </c>
      <c r="I896" s="85" t="s">
        <v>1238</v>
      </c>
      <c r="J896" s="42">
        <v>-12.7</v>
      </c>
      <c r="K896" s="42">
        <v>3.1</v>
      </c>
      <c r="L896" s="42">
        <v>-24.5</v>
      </c>
      <c r="M896" s="42">
        <v>-7.6</v>
      </c>
      <c r="N896" s="42">
        <v>2.2</v>
      </c>
      <c r="O896" s="42">
        <v>7.57E11</v>
      </c>
      <c r="P896" s="42">
        <v>3.6E10</v>
      </c>
      <c r="Q896" s="42">
        <v>-58.0</v>
      </c>
      <c r="R896" s="42">
        <v>-61.3</v>
      </c>
      <c r="S896" s="42">
        <v>-73.7</v>
      </c>
      <c r="T896" s="42">
        <v>250.0</v>
      </c>
      <c r="U896" s="42">
        <v>-170.0</v>
      </c>
      <c r="V896" s="42">
        <v>-29.4</v>
      </c>
      <c r="W896" s="42">
        <v>-77.1</v>
      </c>
    </row>
    <row r="897">
      <c r="A897" s="87">
        <v>896.0</v>
      </c>
      <c r="B897" s="85" t="s">
        <v>2587</v>
      </c>
      <c r="C897" s="85" t="s">
        <v>963</v>
      </c>
      <c r="D897" s="85" t="s">
        <v>1299</v>
      </c>
      <c r="E897" s="85" t="s">
        <v>1300</v>
      </c>
      <c r="F897" s="85" t="s">
        <v>1301</v>
      </c>
      <c r="G897" s="85" t="s">
        <v>1301</v>
      </c>
      <c r="H897" s="85" t="s">
        <v>1301</v>
      </c>
      <c r="I897" s="85" t="s">
        <v>1302</v>
      </c>
      <c r="J897" s="42">
        <v>-29.7</v>
      </c>
      <c r="K897" s="42">
        <v>4.9</v>
      </c>
      <c r="L897" s="42">
        <v>-16.3</v>
      </c>
      <c r="M897" s="42">
        <v>-11.7</v>
      </c>
      <c r="N897" s="42">
        <v>0.4</v>
      </c>
      <c r="O897" s="42">
        <v>1.85E11</v>
      </c>
      <c r="P897" s="42">
        <v>9.8E9</v>
      </c>
      <c r="Q897" s="42">
        <v>-38.7</v>
      </c>
      <c r="R897" s="42">
        <v>16.7</v>
      </c>
      <c r="S897" s="42">
        <v>-39.2</v>
      </c>
      <c r="T897" s="42">
        <v>140.0</v>
      </c>
      <c r="U897" s="42">
        <v>-63.7</v>
      </c>
      <c r="V897" s="42">
        <v>-22.6</v>
      </c>
      <c r="W897" s="42">
        <v>-43.0</v>
      </c>
    </row>
    <row r="898">
      <c r="A898" s="87">
        <v>897.0</v>
      </c>
      <c r="B898" s="85" t="s">
        <v>2588</v>
      </c>
      <c r="C898" s="85" t="s">
        <v>964</v>
      </c>
      <c r="D898" s="85" t="s">
        <v>1247</v>
      </c>
      <c r="E898" s="85" t="s">
        <v>1208</v>
      </c>
      <c r="F898" s="85" t="s">
        <v>1248</v>
      </c>
      <c r="G898" s="85" t="s">
        <v>1249</v>
      </c>
      <c r="H898" s="85" t="s">
        <v>1249</v>
      </c>
      <c r="I898" s="85" t="s">
        <v>1278</v>
      </c>
      <c r="J898" s="42">
        <v>13.8</v>
      </c>
      <c r="K898" s="42">
        <v>0.54</v>
      </c>
      <c r="L898" s="42">
        <v>3.9</v>
      </c>
      <c r="M898" s="42">
        <v>3.8</v>
      </c>
      <c r="N898" s="42">
        <v>0.04</v>
      </c>
      <c r="O898" s="42">
        <v>2.24E11</v>
      </c>
      <c r="P898" s="42">
        <v>6.9E9</v>
      </c>
      <c r="Q898" s="42">
        <v>-33.3</v>
      </c>
      <c r="R898" s="42">
        <v>-42.4</v>
      </c>
      <c r="S898" s="42">
        <v>-46.8</v>
      </c>
      <c r="T898" s="42">
        <v>-50.0</v>
      </c>
      <c r="U898" s="42">
        <v>230.0</v>
      </c>
      <c r="V898" s="42">
        <v>-13.2</v>
      </c>
      <c r="W898" s="42">
        <v>-49.6</v>
      </c>
    </row>
    <row r="899">
      <c r="A899" s="87">
        <v>898.0</v>
      </c>
      <c r="B899" s="85" t="s">
        <v>2589</v>
      </c>
      <c r="C899" s="85" t="s">
        <v>965</v>
      </c>
      <c r="D899" s="85" t="s">
        <v>1799</v>
      </c>
      <c r="E899" s="85" t="s">
        <v>1570</v>
      </c>
      <c r="F899" s="85" t="s">
        <v>1800</v>
      </c>
      <c r="G899" s="85" t="s">
        <v>1801</v>
      </c>
      <c r="H899" s="85" t="s">
        <v>1801</v>
      </c>
      <c r="I899" s="85" t="s">
        <v>1573</v>
      </c>
      <c r="J899" s="42">
        <v>7.9</v>
      </c>
      <c r="K899" s="42">
        <v>1.1</v>
      </c>
      <c r="L899" s="42">
        <v>13.5</v>
      </c>
      <c r="M899" s="42">
        <v>10.1</v>
      </c>
      <c r="N899" s="42">
        <v>0.33</v>
      </c>
      <c r="O899" s="42">
        <v>1.07E13</v>
      </c>
      <c r="P899" s="42">
        <v>3.4E12</v>
      </c>
      <c r="Q899" s="42">
        <v>-6.8</v>
      </c>
      <c r="R899" s="42">
        <v>-11.7</v>
      </c>
      <c r="S899" s="42">
        <v>-16.2</v>
      </c>
      <c r="T899" s="42">
        <v>-8.3</v>
      </c>
      <c r="U899" s="42">
        <v>39.5</v>
      </c>
      <c r="V899" s="42">
        <v>-3.7</v>
      </c>
      <c r="W899" s="42">
        <v>-18.2</v>
      </c>
    </row>
    <row r="900">
      <c r="A900" s="87">
        <v>899.0</v>
      </c>
      <c r="B900" s="85" t="s">
        <v>2590</v>
      </c>
      <c r="C900" s="85" t="s">
        <v>966</v>
      </c>
      <c r="D900" s="85" t="s">
        <v>1207</v>
      </c>
      <c r="E900" s="85" t="s">
        <v>1208</v>
      </c>
      <c r="F900" s="85" t="s">
        <v>1209</v>
      </c>
      <c r="G900" s="85" t="s">
        <v>1209</v>
      </c>
      <c r="H900" s="85" t="s">
        <v>1210</v>
      </c>
      <c r="I900" s="85" t="s">
        <v>1320</v>
      </c>
      <c r="J900" s="42">
        <v>5.5</v>
      </c>
      <c r="K900" s="42">
        <v>0.39</v>
      </c>
      <c r="L900" s="42">
        <v>7.2</v>
      </c>
      <c r="M900" s="42">
        <v>2.5</v>
      </c>
      <c r="N900" s="42">
        <v>1.9</v>
      </c>
      <c r="O900" s="42">
        <v>4.0E12</v>
      </c>
      <c r="P900" s="42">
        <v>2.8E12</v>
      </c>
      <c r="Q900" s="42">
        <v>-15.4</v>
      </c>
      <c r="R900" s="42">
        <v>-18.1</v>
      </c>
      <c r="S900" s="42">
        <v>-8.1</v>
      </c>
      <c r="T900" s="42">
        <v>2.5</v>
      </c>
      <c r="U900" s="42">
        <v>25.9</v>
      </c>
      <c r="V900" s="42">
        <v>-10.1</v>
      </c>
      <c r="W900" s="42">
        <v>-13.9</v>
      </c>
    </row>
    <row r="901">
      <c r="A901" s="87">
        <v>900.0</v>
      </c>
      <c r="B901" s="85" t="s">
        <v>2591</v>
      </c>
      <c r="C901" s="85" t="s">
        <v>967</v>
      </c>
      <c r="D901" s="85" t="s">
        <v>1597</v>
      </c>
      <c r="E901" s="85" t="s">
        <v>1201</v>
      </c>
      <c r="F901" s="85" t="s">
        <v>1262</v>
      </c>
      <c r="G901" s="85" t="s">
        <v>1263</v>
      </c>
      <c r="H901" s="85" t="s">
        <v>1598</v>
      </c>
      <c r="I901" s="85" t="s">
        <v>1458</v>
      </c>
      <c r="J901" s="42">
        <v>18.7</v>
      </c>
      <c r="K901" s="42">
        <v>1.1</v>
      </c>
      <c r="L901" s="42">
        <v>5.8</v>
      </c>
      <c r="M901" s="42">
        <v>3.3</v>
      </c>
      <c r="N901" s="42">
        <v>0.77</v>
      </c>
      <c r="O901" s="42">
        <v>3.83E11</v>
      </c>
      <c r="P901" s="42">
        <v>1.33E11</v>
      </c>
      <c r="Q901" s="42">
        <v>-16.7</v>
      </c>
      <c r="R901" s="42">
        <v>-12.3</v>
      </c>
      <c r="S901" s="42">
        <v>-21.3</v>
      </c>
      <c r="T901" s="42">
        <v>-28.6</v>
      </c>
      <c r="U901" s="42">
        <v>15.4</v>
      </c>
      <c r="V901" s="42">
        <v>-8.3</v>
      </c>
      <c r="W901" s="42">
        <v>-18.0</v>
      </c>
    </row>
    <row r="902">
      <c r="A902" s="87">
        <v>901.0</v>
      </c>
      <c r="B902" s="85" t="s">
        <v>2592</v>
      </c>
      <c r="C902" s="85" t="s">
        <v>968</v>
      </c>
      <c r="D902" s="85" t="s">
        <v>1234</v>
      </c>
      <c r="E902" s="85" t="s">
        <v>1235</v>
      </c>
      <c r="F902" s="85" t="s">
        <v>1235</v>
      </c>
      <c r="G902" s="85" t="s">
        <v>1236</v>
      </c>
      <c r="H902" s="85" t="s">
        <v>1237</v>
      </c>
      <c r="I902" s="85" t="s">
        <v>1238</v>
      </c>
      <c r="J902" s="42">
        <v>38.6</v>
      </c>
      <c r="K902" s="42">
        <v>5.3</v>
      </c>
      <c r="L902" s="42">
        <v>13.8</v>
      </c>
      <c r="M902" s="42">
        <v>4.6</v>
      </c>
      <c r="N902" s="42">
        <v>2.0</v>
      </c>
      <c r="O902" s="42">
        <v>3.2E12</v>
      </c>
      <c r="P902" s="42">
        <v>3.44E11</v>
      </c>
      <c r="Q902" s="42">
        <v>-39.7</v>
      </c>
      <c r="R902" s="42">
        <v>-46.0</v>
      </c>
      <c r="S902" s="42">
        <v>-62.6</v>
      </c>
      <c r="T902" s="42">
        <v>630.0</v>
      </c>
      <c r="U902" s="42">
        <v>24.2</v>
      </c>
      <c r="V902" s="42">
        <v>-21.4</v>
      </c>
      <c r="W902" s="42">
        <v>-56.7</v>
      </c>
    </row>
    <row r="903">
      <c r="A903" s="87">
        <v>902.0</v>
      </c>
      <c r="B903" s="85" t="s">
        <v>2593</v>
      </c>
      <c r="C903" s="85" t="s">
        <v>969</v>
      </c>
      <c r="D903" s="85" t="s">
        <v>1846</v>
      </c>
      <c r="E903" s="85" t="s">
        <v>1194</v>
      </c>
      <c r="F903" s="85" t="s">
        <v>1847</v>
      </c>
      <c r="G903" s="85" t="s">
        <v>1848</v>
      </c>
      <c r="H903" s="85" t="s">
        <v>1848</v>
      </c>
      <c r="I903" s="85" t="s">
        <v>1243</v>
      </c>
      <c r="J903" s="42">
        <v>-1.4</v>
      </c>
      <c r="K903" s="42">
        <v>0.35</v>
      </c>
      <c r="L903" s="42">
        <v>-24.9</v>
      </c>
      <c r="M903" s="42">
        <v>-16.5</v>
      </c>
      <c r="N903" s="42">
        <v>0.51</v>
      </c>
      <c r="O903" s="42">
        <v>1.6E12</v>
      </c>
      <c r="P903" s="42">
        <v>2.0E12</v>
      </c>
      <c r="Q903" s="42">
        <v>-10.8</v>
      </c>
      <c r="R903" s="42">
        <v>-12.1</v>
      </c>
      <c r="S903" s="42">
        <v>-17.0</v>
      </c>
      <c r="T903" s="42">
        <v>-34.2</v>
      </c>
      <c r="U903" s="42">
        <v>-57.4</v>
      </c>
      <c r="V903" s="42">
        <v>-8.6</v>
      </c>
      <c r="W903" s="42">
        <v>-15.0</v>
      </c>
    </row>
    <row r="904">
      <c r="A904" s="87">
        <v>903.0</v>
      </c>
      <c r="B904" s="85" t="s">
        <v>2594</v>
      </c>
      <c r="C904" s="85" t="s">
        <v>970</v>
      </c>
      <c r="D904" s="85" t="s">
        <v>1267</v>
      </c>
      <c r="E904" s="85" t="s">
        <v>1194</v>
      </c>
      <c r="F904" s="85" t="s">
        <v>1195</v>
      </c>
      <c r="G904" s="85" t="s">
        <v>1196</v>
      </c>
      <c r="H904" s="85" t="s">
        <v>1268</v>
      </c>
      <c r="I904" s="85" t="s">
        <v>1265</v>
      </c>
      <c r="J904" s="42">
        <v>-670.0</v>
      </c>
      <c r="K904" s="42">
        <v>44.3</v>
      </c>
      <c r="L904" s="42">
        <v>-6.6</v>
      </c>
      <c r="M904" s="42">
        <v>-6.1</v>
      </c>
      <c r="N904" s="42">
        <v>0.08</v>
      </c>
      <c r="O904" s="42">
        <v>2.3E12</v>
      </c>
      <c r="P904" s="42">
        <v>2.2E10</v>
      </c>
      <c r="Q904" s="42">
        <v>-5.0</v>
      </c>
      <c r="R904" s="42">
        <v>-45.5</v>
      </c>
      <c r="S904" s="42">
        <v>-78.4</v>
      </c>
      <c r="T904" s="42">
        <v>37.0</v>
      </c>
      <c r="U904" s="42">
        <v>-15.9</v>
      </c>
      <c r="V904" s="42">
        <v>-26.5</v>
      </c>
      <c r="W904" s="42">
        <v>-78.9</v>
      </c>
    </row>
    <row r="905">
      <c r="A905" s="87">
        <v>904.0</v>
      </c>
      <c r="B905" s="85" t="s">
        <v>2595</v>
      </c>
      <c r="C905" s="85" t="s">
        <v>971</v>
      </c>
      <c r="D905" s="85" t="s">
        <v>1806</v>
      </c>
      <c r="E905" s="85" t="s">
        <v>1201</v>
      </c>
      <c r="F905" s="85" t="s">
        <v>1219</v>
      </c>
      <c r="G905" s="85" t="s">
        <v>1220</v>
      </c>
      <c r="H905" s="85" t="s">
        <v>1807</v>
      </c>
      <c r="I905" s="85" t="s">
        <v>1458</v>
      </c>
      <c r="J905" s="42">
        <v>21.0</v>
      </c>
      <c r="K905" s="42">
        <v>1.7</v>
      </c>
      <c r="L905" s="42">
        <v>8.0</v>
      </c>
      <c r="M905" s="42">
        <v>3.5</v>
      </c>
      <c r="N905" s="42">
        <v>1.3</v>
      </c>
      <c r="O905" s="42">
        <v>4.14E11</v>
      </c>
      <c r="P905" s="42">
        <v>3.19E11</v>
      </c>
      <c r="Q905" s="42">
        <v>-19.0</v>
      </c>
      <c r="R905" s="42">
        <v>-7.5</v>
      </c>
      <c r="S905" s="42">
        <v>-33.3</v>
      </c>
      <c r="T905" s="42">
        <v>-36.7</v>
      </c>
      <c r="U905" s="42">
        <v>6.2</v>
      </c>
      <c r="V905" s="42">
        <v>-13.9</v>
      </c>
      <c r="W905" s="42">
        <v>-32.6</v>
      </c>
    </row>
    <row r="906">
      <c r="A906" s="87">
        <v>905.0</v>
      </c>
      <c r="B906" s="85" t="s">
        <v>2596</v>
      </c>
      <c r="C906" s="85" t="s">
        <v>972</v>
      </c>
      <c r="D906" s="85" t="s">
        <v>1646</v>
      </c>
      <c r="E906" s="85" t="s">
        <v>1194</v>
      </c>
      <c r="F906" s="85" t="s">
        <v>1195</v>
      </c>
      <c r="G906" s="85" t="s">
        <v>1283</v>
      </c>
      <c r="H906" s="85" t="s">
        <v>1647</v>
      </c>
      <c r="I906" s="85" t="s">
        <v>2597</v>
      </c>
      <c r="J906" s="42">
        <v>10.7</v>
      </c>
      <c r="K906" s="42">
        <v>1.8</v>
      </c>
      <c r="L906" s="42">
        <v>16.8</v>
      </c>
      <c r="M906" s="42">
        <v>14.8</v>
      </c>
      <c r="N906" s="42">
        <v>0.13</v>
      </c>
      <c r="O906" s="42">
        <v>1.58E13</v>
      </c>
      <c r="P906" s="42">
        <v>2.8E12</v>
      </c>
      <c r="Q906" s="42">
        <v>-22.2</v>
      </c>
      <c r="R906" s="42">
        <v>-17.5</v>
      </c>
      <c r="S906" s="42">
        <v>-17.0</v>
      </c>
      <c r="T906" s="42">
        <v>-4.6</v>
      </c>
      <c r="U906" s="42">
        <v>53.3</v>
      </c>
      <c r="V906" s="42">
        <v>-17.0</v>
      </c>
      <c r="W906" s="42">
        <v>-13.2</v>
      </c>
    </row>
    <row r="907">
      <c r="A907" s="87">
        <v>906.0</v>
      </c>
      <c r="B907" s="85" t="s">
        <v>2598</v>
      </c>
      <c r="C907" s="85" t="s">
        <v>973</v>
      </c>
      <c r="D907" s="85" t="s">
        <v>1251</v>
      </c>
      <c r="E907" s="85" t="s">
        <v>1252</v>
      </c>
      <c r="F907" s="85" t="s">
        <v>1252</v>
      </c>
      <c r="G907" s="85" t="s">
        <v>1253</v>
      </c>
      <c r="H907" s="85" t="s">
        <v>1254</v>
      </c>
      <c r="I907" s="85" t="s">
        <v>1306</v>
      </c>
      <c r="J907" s="42">
        <v>7.3</v>
      </c>
      <c r="K907" s="42">
        <v>0.91</v>
      </c>
      <c r="L907" s="42">
        <v>12.6</v>
      </c>
      <c r="M907" s="42">
        <v>10.9</v>
      </c>
      <c r="N907" s="42">
        <v>0.15</v>
      </c>
      <c r="O907" s="42">
        <v>5.2E12</v>
      </c>
      <c r="P907" s="42">
        <v>1.7E12</v>
      </c>
      <c r="Q907" s="42">
        <v>-8.4</v>
      </c>
      <c r="R907" s="42">
        <v>10.8</v>
      </c>
      <c r="S907" s="42">
        <v>29.1</v>
      </c>
      <c r="T907" s="42">
        <v>42.9</v>
      </c>
      <c r="U907" s="42">
        <v>42.1</v>
      </c>
      <c r="V907" s="42">
        <v>-7.8</v>
      </c>
      <c r="W907" s="42">
        <v>31.7</v>
      </c>
    </row>
    <row r="908">
      <c r="A908" s="87">
        <v>907.0</v>
      </c>
      <c r="B908" s="85" t="s">
        <v>2599</v>
      </c>
      <c r="C908" s="85" t="s">
        <v>974</v>
      </c>
      <c r="D908" s="85" t="s">
        <v>1397</v>
      </c>
      <c r="E908" s="85" t="s">
        <v>1187</v>
      </c>
      <c r="F908" s="85" t="s">
        <v>1188</v>
      </c>
      <c r="G908" s="85" t="s">
        <v>1359</v>
      </c>
      <c r="H908" s="85" t="s">
        <v>1398</v>
      </c>
      <c r="I908" s="85" t="s">
        <v>1280</v>
      </c>
      <c r="J908" s="42">
        <v>45.6</v>
      </c>
      <c r="K908" s="42">
        <v>0.73</v>
      </c>
      <c r="L908" s="42">
        <v>1.6</v>
      </c>
      <c r="M908" s="42">
        <v>1.0</v>
      </c>
      <c r="N908" s="42">
        <v>0.6</v>
      </c>
      <c r="O908" s="42">
        <v>3.33E11</v>
      </c>
      <c r="P908" s="42">
        <v>5.7E10</v>
      </c>
      <c r="Q908" s="42">
        <v>-32.3</v>
      </c>
      <c r="R908" s="42">
        <v>-34.9</v>
      </c>
      <c r="S908" s="42">
        <v>-81.3</v>
      </c>
      <c r="T908" s="42">
        <v>-80.4</v>
      </c>
      <c r="U908" s="42">
        <v>12.7</v>
      </c>
      <c r="V908" s="42">
        <v>-18.4</v>
      </c>
      <c r="W908" s="42">
        <v>-77.2</v>
      </c>
    </row>
    <row r="909">
      <c r="A909" s="87">
        <v>908.0</v>
      </c>
      <c r="B909" s="85" t="s">
        <v>2600</v>
      </c>
      <c r="C909" s="85" t="s">
        <v>975</v>
      </c>
      <c r="D909" s="85" t="s">
        <v>1224</v>
      </c>
      <c r="E909" s="85" t="s">
        <v>1201</v>
      </c>
      <c r="F909" s="85" t="s">
        <v>1225</v>
      </c>
      <c r="G909" s="85" t="s">
        <v>1225</v>
      </c>
      <c r="H909" s="85" t="s">
        <v>1226</v>
      </c>
      <c r="I909" s="85" t="s">
        <v>1205</v>
      </c>
      <c r="J909" s="42">
        <v>0.0</v>
      </c>
      <c r="K909" s="42">
        <v>0.1</v>
      </c>
      <c r="L909" s="42">
        <v>0.14</v>
      </c>
      <c r="M909" s="42">
        <v>0.09</v>
      </c>
      <c r="N909" s="42">
        <v>0.47</v>
      </c>
      <c r="O909" s="42">
        <v>2.4E10</v>
      </c>
      <c r="P909" s="42">
        <v>5.3E10</v>
      </c>
      <c r="Q909" s="42">
        <v>0.0</v>
      </c>
      <c r="R909" s="42">
        <v>0.0</v>
      </c>
      <c r="S909" s="42">
        <v>0.0</v>
      </c>
      <c r="T909" s="42">
        <v>0.0</v>
      </c>
      <c r="U909" s="42">
        <v>0.65</v>
      </c>
      <c r="V909" s="42">
        <v>0.0</v>
      </c>
      <c r="W909" s="42">
        <v>0.0</v>
      </c>
    </row>
    <row r="910">
      <c r="A910" s="87">
        <v>909.0</v>
      </c>
      <c r="B910" s="85" t="s">
        <v>2601</v>
      </c>
      <c r="C910" s="85" t="s">
        <v>976</v>
      </c>
      <c r="D910" s="85" t="s">
        <v>1193</v>
      </c>
      <c r="E910" s="85" t="s">
        <v>1194</v>
      </c>
      <c r="F910" s="85" t="s">
        <v>1195</v>
      </c>
      <c r="G910" s="85" t="s">
        <v>1196</v>
      </c>
      <c r="H910" s="85" t="s">
        <v>1197</v>
      </c>
      <c r="I910" s="85" t="s">
        <v>1617</v>
      </c>
      <c r="J910" s="42">
        <v>3.3</v>
      </c>
      <c r="K910" s="42">
        <v>-0.15</v>
      </c>
      <c r="L910" s="42">
        <v>0.0</v>
      </c>
      <c r="M910" s="42">
        <v>6.8</v>
      </c>
      <c r="N910" s="42">
        <v>-1.7</v>
      </c>
      <c r="O910" s="42">
        <v>7.9E11</v>
      </c>
      <c r="P910" s="42">
        <v>5.61E11</v>
      </c>
      <c r="Q910" s="42">
        <v>-45.1</v>
      </c>
      <c r="R910" s="42">
        <v>-23.6</v>
      </c>
      <c r="S910" s="42">
        <v>-19.7</v>
      </c>
      <c r="T910" s="42">
        <v>60.5</v>
      </c>
      <c r="U910" s="42">
        <v>43.3</v>
      </c>
      <c r="V910" s="42">
        <v>-33.2</v>
      </c>
      <c r="W910" s="42">
        <v>-56.2</v>
      </c>
    </row>
    <row r="911">
      <c r="A911" s="87">
        <v>910.0</v>
      </c>
      <c r="B911" s="85" t="s">
        <v>2602</v>
      </c>
      <c r="C911" s="85" t="s">
        <v>977</v>
      </c>
      <c r="D911" s="85" t="s">
        <v>1531</v>
      </c>
      <c r="E911" s="85" t="s">
        <v>1201</v>
      </c>
      <c r="F911" s="85" t="s">
        <v>1532</v>
      </c>
      <c r="G911" s="85" t="s">
        <v>1533</v>
      </c>
      <c r="H911" s="85" t="s">
        <v>1533</v>
      </c>
      <c r="I911" s="85" t="s">
        <v>1227</v>
      </c>
      <c r="J911" s="42">
        <v>-10.9</v>
      </c>
      <c r="K911" s="42">
        <v>0.92</v>
      </c>
      <c r="L911" s="42">
        <v>-8.5</v>
      </c>
      <c r="M911" s="42">
        <v>-3.9</v>
      </c>
      <c r="N911" s="42">
        <v>1.2</v>
      </c>
      <c r="O911" s="42">
        <v>5.07E11</v>
      </c>
      <c r="P911" s="42">
        <v>1.02E11</v>
      </c>
      <c r="Q911" s="42">
        <v>-29.3</v>
      </c>
      <c r="R911" s="42">
        <v>-23.7</v>
      </c>
      <c r="S911" s="42">
        <v>-42.0</v>
      </c>
      <c r="T911" s="42">
        <v>-31.0</v>
      </c>
      <c r="U911" s="42">
        <v>-45.6</v>
      </c>
      <c r="V911" s="42">
        <v>-22.7</v>
      </c>
      <c r="W911" s="42">
        <v>-41.4</v>
      </c>
    </row>
    <row r="912">
      <c r="A912" s="87">
        <v>911.0</v>
      </c>
      <c r="B912" s="85" t="s">
        <v>2603</v>
      </c>
      <c r="C912" s="85" t="s">
        <v>978</v>
      </c>
      <c r="D912" s="85" t="s">
        <v>1932</v>
      </c>
      <c r="E912" s="85" t="s">
        <v>1214</v>
      </c>
      <c r="F912" s="85" t="s">
        <v>1326</v>
      </c>
      <c r="G912" s="85" t="s">
        <v>1331</v>
      </c>
      <c r="H912" s="85" t="s">
        <v>1933</v>
      </c>
      <c r="I912" s="85" t="s">
        <v>2604</v>
      </c>
      <c r="J912" s="42">
        <v>7.0</v>
      </c>
      <c r="K912" s="42">
        <v>0.84</v>
      </c>
      <c r="L912" s="42">
        <v>12.1</v>
      </c>
      <c r="M912" s="42">
        <v>6.7</v>
      </c>
      <c r="N912" s="42">
        <v>0.8</v>
      </c>
      <c r="O912" s="42">
        <v>8.55E13</v>
      </c>
      <c r="P912" s="42">
        <v>2.86E13</v>
      </c>
      <c r="Q912" s="42">
        <v>-23.2</v>
      </c>
      <c r="R912" s="42">
        <v>-29.4</v>
      </c>
      <c r="S912" s="42">
        <v>-28.9</v>
      </c>
      <c r="T912" s="42">
        <v>-2.6</v>
      </c>
      <c r="U912" s="42">
        <v>43.0</v>
      </c>
      <c r="V912" s="42">
        <v>-7.2</v>
      </c>
      <c r="W912" s="42">
        <v>-30.6</v>
      </c>
    </row>
    <row r="913">
      <c r="A913" s="87">
        <v>912.0</v>
      </c>
      <c r="B913" s="85" t="s">
        <v>2605</v>
      </c>
      <c r="C913" s="85" t="s">
        <v>979</v>
      </c>
      <c r="D913" s="85" t="s">
        <v>1846</v>
      </c>
      <c r="E913" s="85" t="s">
        <v>1194</v>
      </c>
      <c r="F913" s="85" t="s">
        <v>1847</v>
      </c>
      <c r="G913" s="85" t="s">
        <v>1848</v>
      </c>
      <c r="H913" s="85" t="s">
        <v>1848</v>
      </c>
      <c r="I913" s="85" t="s">
        <v>2606</v>
      </c>
      <c r="J913" s="42">
        <v>7.6</v>
      </c>
      <c r="K913" s="42">
        <v>9.9</v>
      </c>
      <c r="L913" s="42">
        <v>130.0</v>
      </c>
      <c r="M913" s="42">
        <v>42.7</v>
      </c>
      <c r="N913" s="42">
        <v>2.1</v>
      </c>
      <c r="O913" s="42">
        <v>6.52E13</v>
      </c>
      <c r="P913" s="42">
        <v>8.4E12</v>
      </c>
      <c r="Q913" s="42">
        <v>-11.8</v>
      </c>
      <c r="R913" s="42">
        <v>-16.2</v>
      </c>
      <c r="S913" s="42">
        <v>-39.9</v>
      </c>
      <c r="T913" s="42">
        <v>-3.1</v>
      </c>
      <c r="U913" s="42">
        <v>100.0</v>
      </c>
      <c r="V913" s="42">
        <v>-5.4</v>
      </c>
      <c r="W913" s="42">
        <v>-39.9</v>
      </c>
    </row>
    <row r="914">
      <c r="A914" s="87">
        <v>913.0</v>
      </c>
      <c r="B914" s="85" t="s">
        <v>2607</v>
      </c>
      <c r="C914" s="85" t="s">
        <v>980</v>
      </c>
      <c r="D914" s="85" t="s">
        <v>1234</v>
      </c>
      <c r="E914" s="85" t="s">
        <v>1235</v>
      </c>
      <c r="F914" s="85" t="s">
        <v>1235</v>
      </c>
      <c r="G914" s="85" t="s">
        <v>1236</v>
      </c>
      <c r="H914" s="85" t="s">
        <v>1237</v>
      </c>
      <c r="I914" s="85" t="s">
        <v>1392</v>
      </c>
      <c r="J914" s="42">
        <v>-1.9</v>
      </c>
      <c r="K914" s="42">
        <v>0.35</v>
      </c>
      <c r="L914" s="42">
        <v>-19.0</v>
      </c>
      <c r="M914" s="42">
        <v>-4.1</v>
      </c>
      <c r="N914" s="42">
        <v>1.3</v>
      </c>
      <c r="O914" s="42">
        <v>6.46E11</v>
      </c>
      <c r="P914" s="42">
        <v>7.35E9</v>
      </c>
      <c r="Q914" s="42">
        <v>-17.5</v>
      </c>
      <c r="R914" s="42">
        <v>16.7</v>
      </c>
      <c r="S914" s="42">
        <v>-11.2</v>
      </c>
      <c r="T914" s="42">
        <v>40.0</v>
      </c>
      <c r="U914" s="42">
        <v>-4750.0</v>
      </c>
      <c r="V914" s="42">
        <v>-10.3</v>
      </c>
      <c r="W914" s="42">
        <v>-13.4</v>
      </c>
    </row>
    <row r="915">
      <c r="A915" s="87">
        <v>914.0</v>
      </c>
      <c r="B915" s="85" t="s">
        <v>2608</v>
      </c>
      <c r="C915" s="85" t="s">
        <v>981</v>
      </c>
      <c r="D915" s="85" t="s">
        <v>1439</v>
      </c>
      <c r="E915" s="85" t="s">
        <v>1376</v>
      </c>
      <c r="F915" s="85" t="s">
        <v>1377</v>
      </c>
      <c r="G915" s="85" t="s">
        <v>1440</v>
      </c>
      <c r="H915" s="85" t="s">
        <v>1440</v>
      </c>
      <c r="I915" s="85" t="s">
        <v>1441</v>
      </c>
      <c r="J915" s="42">
        <v>43.8</v>
      </c>
      <c r="K915" s="42">
        <v>4.4</v>
      </c>
      <c r="L915" s="42">
        <v>10.1</v>
      </c>
      <c r="M915" s="42">
        <v>4.0</v>
      </c>
      <c r="N915" s="42">
        <v>1.5</v>
      </c>
      <c r="O915" s="42">
        <v>4.76E11</v>
      </c>
      <c r="P915" s="42">
        <v>3.3E11</v>
      </c>
      <c r="Q915" s="42">
        <v>-36.8</v>
      </c>
      <c r="R915" s="42">
        <v>16.1</v>
      </c>
      <c r="S915" s="42">
        <v>21.0</v>
      </c>
      <c r="T915" s="42">
        <v>97.3</v>
      </c>
      <c r="U915" s="42">
        <v>3.3</v>
      </c>
      <c r="V915" s="42">
        <v>-40.5</v>
      </c>
      <c r="W915" s="42">
        <v>-7.1</v>
      </c>
    </row>
    <row r="916">
      <c r="A916" s="87">
        <v>915.0</v>
      </c>
      <c r="B916" s="85" t="s">
        <v>2609</v>
      </c>
      <c r="C916" s="85" t="s">
        <v>982</v>
      </c>
      <c r="D916" s="85" t="s">
        <v>1234</v>
      </c>
      <c r="E916" s="85" t="s">
        <v>1235</v>
      </c>
      <c r="F916" s="85" t="s">
        <v>1235</v>
      </c>
      <c r="G916" s="85" t="s">
        <v>1236</v>
      </c>
      <c r="H916" s="85" t="s">
        <v>1237</v>
      </c>
      <c r="I916" s="85" t="s">
        <v>1322</v>
      </c>
      <c r="J916" s="42">
        <v>21.1</v>
      </c>
      <c r="K916" s="42">
        <v>0.92</v>
      </c>
      <c r="L916" s="42">
        <v>4.4</v>
      </c>
      <c r="M916" s="42">
        <v>3.4</v>
      </c>
      <c r="N916" s="42">
        <v>0.27</v>
      </c>
      <c r="O916" s="42">
        <v>3.67E11</v>
      </c>
      <c r="P916" s="42">
        <v>1.0E10</v>
      </c>
      <c r="Q916" s="42">
        <v>-25.6</v>
      </c>
      <c r="R916" s="42">
        <v>-9.2</v>
      </c>
      <c r="S916" s="42">
        <v>-47.9</v>
      </c>
      <c r="T916" s="42">
        <v>-14.7</v>
      </c>
      <c r="U916" s="42">
        <v>170.0</v>
      </c>
      <c r="V916" s="42">
        <v>-16.8</v>
      </c>
      <c r="W916" s="42">
        <v>-42.4</v>
      </c>
    </row>
    <row r="917">
      <c r="A917" s="87">
        <v>916.0</v>
      </c>
      <c r="B917" s="85" t="s">
        <v>2610</v>
      </c>
      <c r="C917" s="85" t="s">
        <v>983</v>
      </c>
      <c r="D917" s="85" t="s">
        <v>1856</v>
      </c>
      <c r="E917" s="85" t="s">
        <v>1201</v>
      </c>
      <c r="F917" s="85" t="s">
        <v>1202</v>
      </c>
      <c r="G917" s="85" t="s">
        <v>1857</v>
      </c>
      <c r="H917" s="85" t="s">
        <v>1857</v>
      </c>
      <c r="I917" s="85" t="s">
        <v>1458</v>
      </c>
      <c r="J917" s="42">
        <v>150.0</v>
      </c>
      <c r="K917" s="42">
        <v>1.1</v>
      </c>
      <c r="L917" s="42">
        <v>0.75</v>
      </c>
      <c r="M917" s="42">
        <v>0.72</v>
      </c>
      <c r="N917" s="42">
        <v>0.04</v>
      </c>
      <c r="O917" s="42">
        <v>5.77E11</v>
      </c>
      <c r="P917" s="42">
        <v>7.25E9</v>
      </c>
      <c r="Q917" s="42">
        <v>-19.4</v>
      </c>
      <c r="R917" s="42">
        <v>28.7</v>
      </c>
      <c r="S917" s="42">
        <v>-17.0</v>
      </c>
      <c r="T917" s="42">
        <v>-0.885</v>
      </c>
      <c r="U917" s="42">
        <v>54.8</v>
      </c>
      <c r="V917" s="42">
        <v>-5.9</v>
      </c>
      <c r="W917" s="42">
        <v>-9.7</v>
      </c>
    </row>
    <row r="918">
      <c r="A918" s="87">
        <v>917.0</v>
      </c>
      <c r="B918" s="85" t="s">
        <v>2611</v>
      </c>
      <c r="C918" s="85" t="s">
        <v>984</v>
      </c>
      <c r="D918" s="90"/>
      <c r="E918" s="85" t="s">
        <v>2612</v>
      </c>
      <c r="F918" s="85" t="s">
        <v>2613</v>
      </c>
      <c r="G918" s="85" t="s">
        <v>2614</v>
      </c>
      <c r="H918" s="85" t="s">
        <v>2614</v>
      </c>
      <c r="I918" s="85" t="s">
        <v>1243</v>
      </c>
      <c r="J918" s="42">
        <v>29.3</v>
      </c>
      <c r="K918" s="42">
        <v>3.3</v>
      </c>
      <c r="L918" s="42">
        <v>11.2</v>
      </c>
      <c r="M918" s="42">
        <v>9.2</v>
      </c>
      <c r="N918" s="42">
        <v>0.21</v>
      </c>
      <c r="O918" s="42">
        <v>3.7E12</v>
      </c>
      <c r="P918" s="42">
        <v>3.63E11</v>
      </c>
      <c r="Q918" s="42">
        <v>-19.3</v>
      </c>
      <c r="R918" s="42">
        <v>-12.9</v>
      </c>
      <c r="S918" s="42">
        <v>-32.1</v>
      </c>
      <c r="T918" s="42">
        <v>-21.3</v>
      </c>
      <c r="U918" s="42">
        <v>34.4</v>
      </c>
      <c r="V918" s="42">
        <v>-5.4</v>
      </c>
      <c r="W918" s="42">
        <v>-42.1</v>
      </c>
    </row>
    <row r="919">
      <c r="A919" s="87">
        <v>918.0</v>
      </c>
      <c r="B919" s="85" t="s">
        <v>2615</v>
      </c>
      <c r="C919" s="85" t="s">
        <v>985</v>
      </c>
      <c r="D919" s="85" t="s">
        <v>1363</v>
      </c>
      <c r="E919" s="85" t="s">
        <v>1208</v>
      </c>
      <c r="F919" s="85" t="s">
        <v>1364</v>
      </c>
      <c r="G919" s="85" t="s">
        <v>1364</v>
      </c>
      <c r="H919" s="85" t="s">
        <v>1365</v>
      </c>
      <c r="I919" s="85" t="s">
        <v>1320</v>
      </c>
      <c r="J919" s="42">
        <v>4.5</v>
      </c>
      <c r="K919" s="42">
        <v>0.39</v>
      </c>
      <c r="L919" s="42">
        <v>8.6</v>
      </c>
      <c r="M919" s="42">
        <v>1.4</v>
      </c>
      <c r="N919" s="42">
        <v>5.3</v>
      </c>
      <c r="O919" s="42">
        <v>2.2E12</v>
      </c>
      <c r="P919" s="42">
        <v>1.86E11</v>
      </c>
      <c r="Q919" s="42">
        <v>-22.2</v>
      </c>
      <c r="R919" s="42">
        <v>-17.1</v>
      </c>
      <c r="S919" s="42">
        <v>-39.4</v>
      </c>
      <c r="T919" s="42">
        <v>-14.9</v>
      </c>
      <c r="U919" s="42">
        <v>260.0</v>
      </c>
      <c r="V919" s="42">
        <v>-11.9</v>
      </c>
      <c r="W919" s="42">
        <v>-40.0</v>
      </c>
    </row>
    <row r="920">
      <c r="A920" s="87">
        <v>919.0</v>
      </c>
      <c r="B920" s="85" t="s">
        <v>2616</v>
      </c>
      <c r="C920" s="85" t="s">
        <v>986</v>
      </c>
      <c r="D920" s="85" t="s">
        <v>1207</v>
      </c>
      <c r="E920" s="85" t="s">
        <v>1208</v>
      </c>
      <c r="F920" s="85" t="s">
        <v>1209</v>
      </c>
      <c r="G920" s="85" t="s">
        <v>1209</v>
      </c>
      <c r="H920" s="85" t="s">
        <v>1210</v>
      </c>
      <c r="I920" s="85" t="s">
        <v>1278</v>
      </c>
      <c r="J920" s="42">
        <v>13.3</v>
      </c>
      <c r="K920" s="42">
        <v>0.99</v>
      </c>
      <c r="L920" s="42">
        <v>7.5</v>
      </c>
      <c r="M920" s="42">
        <v>5.5</v>
      </c>
      <c r="N920" s="42">
        <v>0.37</v>
      </c>
      <c r="O920" s="42">
        <v>2.3E11</v>
      </c>
      <c r="P920" s="42">
        <v>3.7E10</v>
      </c>
      <c r="Q920" s="42">
        <v>-28.6</v>
      </c>
      <c r="R920" s="42">
        <v>-23.8</v>
      </c>
      <c r="S920" s="42">
        <v>-25.3</v>
      </c>
      <c r="T920" s="42">
        <v>4.5</v>
      </c>
      <c r="U920" s="42">
        <v>46.3</v>
      </c>
      <c r="V920" s="42">
        <v>-22.3</v>
      </c>
      <c r="W920" s="42">
        <v>-33.5</v>
      </c>
    </row>
    <row r="921">
      <c r="A921" s="87">
        <v>920.0</v>
      </c>
      <c r="B921" s="85" t="s">
        <v>2617</v>
      </c>
      <c r="C921" s="85" t="s">
        <v>987</v>
      </c>
      <c r="D921" s="85" t="s">
        <v>1537</v>
      </c>
      <c r="E921" s="85" t="s">
        <v>1214</v>
      </c>
      <c r="F921" s="85" t="s">
        <v>1406</v>
      </c>
      <c r="G921" s="85" t="s">
        <v>1407</v>
      </c>
      <c r="H921" s="85" t="s">
        <v>1538</v>
      </c>
      <c r="I921" s="85" t="s">
        <v>1333</v>
      </c>
      <c r="J921" s="42">
        <v>-650.0</v>
      </c>
      <c r="K921" s="42">
        <v>12.8</v>
      </c>
      <c r="L921" s="42">
        <v>-2.0</v>
      </c>
      <c r="M921" s="42">
        <v>-1.3</v>
      </c>
      <c r="N921" s="42">
        <v>0.56</v>
      </c>
      <c r="O921" s="42">
        <v>2.3E12</v>
      </c>
      <c r="P921" s="42">
        <v>7.3E10</v>
      </c>
      <c r="Q921" s="42">
        <v>17.6</v>
      </c>
      <c r="R921" s="42">
        <v>92.3</v>
      </c>
      <c r="S921" s="42">
        <v>350.0</v>
      </c>
      <c r="T921" s="42">
        <v>550.0</v>
      </c>
      <c r="U921" s="42">
        <v>-4.9</v>
      </c>
      <c r="V921" s="42">
        <v>10.5</v>
      </c>
      <c r="W921" s="42">
        <v>430.0</v>
      </c>
    </row>
    <row r="922">
      <c r="A922" s="87">
        <v>921.0</v>
      </c>
      <c r="B922" s="85" t="s">
        <v>2618</v>
      </c>
      <c r="C922" s="85" t="s">
        <v>988</v>
      </c>
      <c r="D922" s="85" t="s">
        <v>2156</v>
      </c>
      <c r="E922" s="85" t="s">
        <v>1201</v>
      </c>
      <c r="F922" s="85" t="s">
        <v>1202</v>
      </c>
      <c r="G922" s="85" t="s">
        <v>1203</v>
      </c>
      <c r="H922" s="85" t="s">
        <v>2157</v>
      </c>
      <c r="I922" s="85" t="s">
        <v>1943</v>
      </c>
      <c r="J922" s="42">
        <v>0.58</v>
      </c>
      <c r="K922" s="42">
        <v>1.8</v>
      </c>
      <c r="L922" s="42">
        <v>310.0</v>
      </c>
      <c r="M922" s="42">
        <v>17.7</v>
      </c>
      <c r="N922" s="42">
        <v>16.7</v>
      </c>
      <c r="O922" s="42">
        <v>6.59E11</v>
      </c>
      <c r="P922" s="42">
        <v>9.54E11</v>
      </c>
      <c r="Q922" s="42">
        <v>-40.5</v>
      </c>
      <c r="R922" s="42">
        <v>-28.6</v>
      </c>
      <c r="S922" s="42">
        <v>-26.5</v>
      </c>
      <c r="T922" s="42">
        <v>130.0</v>
      </c>
      <c r="U922" s="42">
        <v>120.0</v>
      </c>
      <c r="V922" s="42">
        <v>-30.6</v>
      </c>
      <c r="W922" s="42">
        <v>-50.0</v>
      </c>
    </row>
    <row r="923">
      <c r="A923" s="87">
        <v>922.0</v>
      </c>
      <c r="B923" s="85" t="s">
        <v>2619</v>
      </c>
      <c r="C923" s="85" t="s">
        <v>989</v>
      </c>
      <c r="D923" s="85" t="s">
        <v>1261</v>
      </c>
      <c r="E923" s="85" t="s">
        <v>1201</v>
      </c>
      <c r="F923" s="85" t="s">
        <v>1262</v>
      </c>
      <c r="G923" s="85" t="s">
        <v>1263</v>
      </c>
      <c r="H923" s="85" t="s">
        <v>1264</v>
      </c>
      <c r="I923" s="85" t="s">
        <v>1381</v>
      </c>
      <c r="J923" s="42">
        <v>-1200.0</v>
      </c>
      <c r="K923" s="42">
        <v>24.8</v>
      </c>
      <c r="L923" s="42">
        <v>-2.1</v>
      </c>
      <c r="M923" s="42">
        <v>-0.81</v>
      </c>
      <c r="N923" s="42">
        <v>0.45</v>
      </c>
      <c r="O923" s="42">
        <v>3.13E13</v>
      </c>
      <c r="P923" s="42">
        <v>1.1E12</v>
      </c>
      <c r="Q923" s="42">
        <v>-36.7</v>
      </c>
      <c r="R923" s="42">
        <v>-31.0</v>
      </c>
      <c r="S923" s="42">
        <v>-25.2</v>
      </c>
      <c r="T923" s="42">
        <v>570.0</v>
      </c>
      <c r="U923" s="42">
        <v>-2.4</v>
      </c>
      <c r="V923" s="42">
        <v>-28.2</v>
      </c>
      <c r="W923" s="42">
        <v>-46.0</v>
      </c>
    </row>
    <row r="924">
      <c r="A924" s="87">
        <v>923.0</v>
      </c>
      <c r="B924" s="85" t="s">
        <v>2620</v>
      </c>
      <c r="C924" s="85" t="s">
        <v>990</v>
      </c>
      <c r="D924" s="85" t="s">
        <v>1672</v>
      </c>
      <c r="E924" s="85" t="s">
        <v>1214</v>
      </c>
      <c r="F924" s="85" t="s">
        <v>1326</v>
      </c>
      <c r="G924" s="85" t="s">
        <v>1673</v>
      </c>
      <c r="H924" s="85" t="s">
        <v>1674</v>
      </c>
      <c r="I924" s="85" t="s">
        <v>1328</v>
      </c>
      <c r="J924" s="42">
        <v>-15.4</v>
      </c>
      <c r="K924" s="42">
        <v>1.6</v>
      </c>
      <c r="L924" s="42">
        <v>-10.3</v>
      </c>
      <c r="M924" s="42">
        <v>-2.8</v>
      </c>
      <c r="N924" s="42">
        <v>2.7</v>
      </c>
      <c r="O924" s="42">
        <v>8.98E11</v>
      </c>
      <c r="P924" s="42">
        <v>5.4E11</v>
      </c>
      <c r="Q924" s="42">
        <v>-13.0</v>
      </c>
      <c r="R924" s="42">
        <v>-2.6</v>
      </c>
      <c r="S924" s="42">
        <v>-25.4</v>
      </c>
      <c r="T924" s="42">
        <v>-5.5</v>
      </c>
      <c r="U924" s="42">
        <v>-10.8</v>
      </c>
      <c r="V924" s="42">
        <v>-10.5</v>
      </c>
      <c r="W924" s="42">
        <v>-26.0</v>
      </c>
    </row>
    <row r="925">
      <c r="A925" s="87">
        <v>924.0</v>
      </c>
      <c r="B925" s="85" t="s">
        <v>2621</v>
      </c>
      <c r="C925" s="85" t="s">
        <v>991</v>
      </c>
      <c r="D925" s="85" t="s">
        <v>1247</v>
      </c>
      <c r="E925" s="85" t="s">
        <v>1208</v>
      </c>
      <c r="F925" s="85" t="s">
        <v>1248</v>
      </c>
      <c r="G925" s="85" t="s">
        <v>1249</v>
      </c>
      <c r="H925" s="85" t="s">
        <v>1249</v>
      </c>
      <c r="I925" s="85" t="s">
        <v>1278</v>
      </c>
      <c r="J925" s="42">
        <v>270.0</v>
      </c>
      <c r="K925" s="42">
        <v>0.63</v>
      </c>
      <c r="L925" s="42">
        <v>0.24</v>
      </c>
      <c r="M925" s="42">
        <v>0.06</v>
      </c>
      <c r="N925" s="42">
        <v>3.2</v>
      </c>
      <c r="O925" s="42">
        <v>4.66E11</v>
      </c>
      <c r="P925" s="42">
        <v>9.3E10</v>
      </c>
      <c r="Q925" s="42">
        <v>-16.5</v>
      </c>
      <c r="R925" s="42">
        <v>-10.8</v>
      </c>
      <c r="S925" s="42">
        <v>-25.0</v>
      </c>
      <c r="T925" s="42">
        <v>-17.5</v>
      </c>
      <c r="U925" s="42">
        <v>1.9</v>
      </c>
      <c r="V925" s="42">
        <v>-17.5</v>
      </c>
      <c r="W925" s="42">
        <v>-25.8</v>
      </c>
    </row>
    <row r="926">
      <c r="A926" s="87">
        <v>925.0</v>
      </c>
      <c r="B926" s="85" t="s">
        <v>2622</v>
      </c>
      <c r="C926" s="85" t="s">
        <v>992</v>
      </c>
      <c r="D926" s="85" t="s">
        <v>1247</v>
      </c>
      <c r="E926" s="85" t="s">
        <v>1208</v>
      </c>
      <c r="F926" s="85" t="s">
        <v>1248</v>
      </c>
      <c r="G926" s="85" t="s">
        <v>1249</v>
      </c>
      <c r="H926" s="85" t="s">
        <v>1249</v>
      </c>
      <c r="I926" s="85" t="s">
        <v>1278</v>
      </c>
      <c r="J926" s="42">
        <v>51.9</v>
      </c>
      <c r="K926" s="42">
        <v>0.93</v>
      </c>
      <c r="L926" s="42">
        <v>1.8</v>
      </c>
      <c r="M926" s="42">
        <v>0.23</v>
      </c>
      <c r="N926" s="42">
        <v>3.2</v>
      </c>
      <c r="O926" s="42">
        <v>3.88E11</v>
      </c>
      <c r="P926" s="42">
        <v>3.27E11</v>
      </c>
      <c r="Q926" s="42">
        <v>-27.4</v>
      </c>
      <c r="R926" s="42">
        <v>-18.5</v>
      </c>
      <c r="S926" s="42">
        <v>-43.0</v>
      </c>
      <c r="T926" s="42">
        <v>-58.9</v>
      </c>
      <c r="U926" s="42">
        <v>2.3</v>
      </c>
      <c r="V926" s="42">
        <v>-13.1</v>
      </c>
      <c r="W926" s="42">
        <v>-44.2</v>
      </c>
    </row>
    <row r="927">
      <c r="A927" s="87">
        <v>926.0</v>
      </c>
      <c r="B927" s="85" t="s">
        <v>2623</v>
      </c>
      <c r="C927" s="85" t="s">
        <v>993</v>
      </c>
      <c r="D927" s="85" t="s">
        <v>1193</v>
      </c>
      <c r="E927" s="85" t="s">
        <v>1194</v>
      </c>
      <c r="F927" s="85" t="s">
        <v>1195</v>
      </c>
      <c r="G927" s="85" t="s">
        <v>1196</v>
      </c>
      <c r="H927" s="85" t="s">
        <v>1197</v>
      </c>
      <c r="I927" s="85" t="s">
        <v>1269</v>
      </c>
      <c r="J927" s="42">
        <v>-15.3</v>
      </c>
      <c r="K927" s="42">
        <v>2.5</v>
      </c>
      <c r="L927" s="42">
        <v>-16.3</v>
      </c>
      <c r="M927" s="42">
        <v>-6.9</v>
      </c>
      <c r="N927" s="42">
        <v>1.4</v>
      </c>
      <c r="O927" s="42">
        <v>1.51E11</v>
      </c>
      <c r="P927" s="42">
        <v>2.07E11</v>
      </c>
      <c r="Q927" s="42">
        <v>-32.4</v>
      </c>
      <c r="R927" s="42">
        <v>-26.4</v>
      </c>
      <c r="S927" s="42">
        <v>-52.8</v>
      </c>
      <c r="T927" s="42">
        <v>-42.5</v>
      </c>
      <c r="U927" s="42">
        <v>-4.8</v>
      </c>
      <c r="V927" s="42">
        <v>-24.6</v>
      </c>
      <c r="W927" s="42">
        <v>-49.7</v>
      </c>
    </row>
    <row r="928">
      <c r="A928" s="87">
        <v>927.0</v>
      </c>
      <c r="B928" s="85" t="s">
        <v>2624</v>
      </c>
      <c r="C928" s="85" t="s">
        <v>994</v>
      </c>
      <c r="D928" s="85" t="s">
        <v>1299</v>
      </c>
      <c r="E928" s="85" t="s">
        <v>1300</v>
      </c>
      <c r="F928" s="85" t="s">
        <v>1301</v>
      </c>
      <c r="G928" s="85" t="s">
        <v>1301</v>
      </c>
      <c r="H928" s="85" t="s">
        <v>1301</v>
      </c>
      <c r="I928" s="85" t="s">
        <v>1302</v>
      </c>
      <c r="J928" s="42">
        <v>180.0</v>
      </c>
      <c r="K928" s="42">
        <v>17.7</v>
      </c>
      <c r="L928" s="42">
        <v>10.0</v>
      </c>
      <c r="M928" s="42">
        <v>2.9</v>
      </c>
      <c r="N928" s="42">
        <v>2.5</v>
      </c>
      <c r="O928" s="42">
        <v>5.9E12</v>
      </c>
      <c r="P928" s="42">
        <v>1.5E12</v>
      </c>
      <c r="Q928" s="42">
        <v>-45.5</v>
      </c>
      <c r="R928" s="88"/>
      <c r="S928" s="88"/>
      <c r="T928" s="88"/>
      <c r="U928" s="42">
        <v>2.1</v>
      </c>
      <c r="V928" s="42">
        <v>0.0</v>
      </c>
      <c r="W928" s="88"/>
    </row>
    <row r="929">
      <c r="A929" s="87">
        <v>928.0</v>
      </c>
      <c r="B929" s="85" t="s">
        <v>2625</v>
      </c>
      <c r="C929" s="85" t="s">
        <v>995</v>
      </c>
      <c r="D929" s="85" t="s">
        <v>1229</v>
      </c>
      <c r="E929" s="85" t="s">
        <v>1230</v>
      </c>
      <c r="F929" s="85" t="s">
        <v>1231</v>
      </c>
      <c r="G929" s="85" t="s">
        <v>1231</v>
      </c>
      <c r="H929" s="85" t="s">
        <v>1231</v>
      </c>
      <c r="I929" s="85" t="s">
        <v>1764</v>
      </c>
      <c r="J929" s="42">
        <v>-0.72</v>
      </c>
      <c r="K929" s="42">
        <v>0.25</v>
      </c>
      <c r="L929" s="42">
        <v>-34.4</v>
      </c>
      <c r="M929" s="42">
        <v>-17.3</v>
      </c>
      <c r="N929" s="42">
        <v>0.99</v>
      </c>
      <c r="O929" s="42">
        <v>4.79E11</v>
      </c>
      <c r="P929" s="42">
        <v>2.14E11</v>
      </c>
      <c r="Q929" s="42">
        <v>-3.8</v>
      </c>
      <c r="R929" s="42">
        <v>-12.3</v>
      </c>
      <c r="S929" s="42">
        <v>-27.5</v>
      </c>
      <c r="T929" s="42">
        <v>-19.4</v>
      </c>
      <c r="U929" s="42">
        <v>-310.0</v>
      </c>
      <c r="V929" s="42">
        <v>0.0</v>
      </c>
      <c r="W929" s="42">
        <v>-28.6</v>
      </c>
    </row>
    <row r="930">
      <c r="A930" s="87">
        <v>929.0</v>
      </c>
      <c r="B930" s="85" t="s">
        <v>2626</v>
      </c>
      <c r="C930" s="85" t="s">
        <v>996</v>
      </c>
      <c r="D930" s="85" t="s">
        <v>1426</v>
      </c>
      <c r="E930" s="85" t="s">
        <v>1300</v>
      </c>
      <c r="F930" s="85" t="s">
        <v>1427</v>
      </c>
      <c r="G930" s="85" t="s">
        <v>1428</v>
      </c>
      <c r="H930" s="85" t="s">
        <v>1429</v>
      </c>
      <c r="I930" s="85" t="s">
        <v>1302</v>
      </c>
      <c r="J930" s="42">
        <v>7.4</v>
      </c>
      <c r="K930" s="42">
        <v>0.68</v>
      </c>
      <c r="L930" s="42">
        <v>9.2</v>
      </c>
      <c r="M930" s="42">
        <v>5.8</v>
      </c>
      <c r="N930" s="42">
        <v>0.58</v>
      </c>
      <c r="O930" s="42">
        <v>1.81E11</v>
      </c>
      <c r="P930" s="42">
        <v>8.3E10</v>
      </c>
      <c r="Q930" s="42">
        <v>-18.9</v>
      </c>
      <c r="R930" s="42">
        <v>-24.3</v>
      </c>
      <c r="S930" s="42">
        <v>-20.2</v>
      </c>
      <c r="T930" s="42">
        <v>4.0</v>
      </c>
      <c r="U930" s="42">
        <v>29.6</v>
      </c>
      <c r="V930" s="42">
        <v>-16.9</v>
      </c>
      <c r="W930" s="42">
        <v>-24.3</v>
      </c>
    </row>
    <row r="931">
      <c r="A931" s="87">
        <v>930.0</v>
      </c>
      <c r="B931" s="85" t="s">
        <v>2627</v>
      </c>
      <c r="C931" s="85" t="s">
        <v>997</v>
      </c>
      <c r="D931" s="85" t="s">
        <v>1899</v>
      </c>
      <c r="E931" s="85" t="s">
        <v>1376</v>
      </c>
      <c r="F931" s="85" t="s">
        <v>1377</v>
      </c>
      <c r="G931" s="85" t="s">
        <v>1900</v>
      </c>
      <c r="H931" s="85" t="s">
        <v>1900</v>
      </c>
      <c r="I931" s="85" t="s">
        <v>1265</v>
      </c>
      <c r="J931" s="42">
        <v>81.6</v>
      </c>
      <c r="K931" s="42">
        <v>4.0</v>
      </c>
      <c r="L931" s="42">
        <v>4.9</v>
      </c>
      <c r="M931" s="42">
        <v>4.3</v>
      </c>
      <c r="N931" s="42">
        <v>0.16</v>
      </c>
      <c r="O931" s="42">
        <v>2.63E11</v>
      </c>
      <c r="P931" s="42">
        <v>5.0E10</v>
      </c>
      <c r="Q931" s="42">
        <v>17.6</v>
      </c>
      <c r="R931" s="42">
        <v>-44.8</v>
      </c>
      <c r="S931" s="42">
        <v>-54.0</v>
      </c>
      <c r="T931" s="42">
        <v>-31.4</v>
      </c>
      <c r="U931" s="42">
        <v>6.4</v>
      </c>
      <c r="V931" s="42">
        <v>-7.3</v>
      </c>
      <c r="W931" s="42">
        <v>-54.6</v>
      </c>
    </row>
    <row r="932">
      <c r="A932" s="87">
        <v>931.0</v>
      </c>
      <c r="B932" s="85" t="s">
        <v>2628</v>
      </c>
      <c r="C932" s="85" t="s">
        <v>998</v>
      </c>
      <c r="D932" s="85" t="s">
        <v>1626</v>
      </c>
      <c r="E932" s="85" t="s">
        <v>1194</v>
      </c>
      <c r="F932" s="85" t="s">
        <v>1346</v>
      </c>
      <c r="G932" s="85" t="s">
        <v>1346</v>
      </c>
      <c r="H932" s="85" t="s">
        <v>1627</v>
      </c>
      <c r="I932" s="85" t="s">
        <v>1318</v>
      </c>
      <c r="J932" s="42">
        <v>-2.3</v>
      </c>
      <c r="K932" s="42">
        <v>-1.3</v>
      </c>
      <c r="L932" s="88"/>
      <c r="M932" s="42">
        <v>-67.1</v>
      </c>
      <c r="N932" s="42">
        <v>-1.7</v>
      </c>
      <c r="O932" s="42">
        <v>2.94E11</v>
      </c>
      <c r="P932" s="42">
        <v>5.33E11</v>
      </c>
      <c r="Q932" s="42">
        <v>0.0</v>
      </c>
      <c r="R932" s="42">
        <v>0.0</v>
      </c>
      <c r="S932" s="42">
        <v>0.0</v>
      </c>
      <c r="T932" s="42">
        <v>0.0</v>
      </c>
      <c r="U932" s="42">
        <v>-24.2</v>
      </c>
      <c r="V932" s="42">
        <v>0.0</v>
      </c>
      <c r="W932" s="42">
        <v>0.0</v>
      </c>
    </row>
    <row r="933">
      <c r="A933" s="87">
        <v>932.0</v>
      </c>
      <c r="B933" s="85" t="s">
        <v>2629</v>
      </c>
      <c r="C933" s="85" t="s">
        <v>999</v>
      </c>
      <c r="D933" s="85" t="s">
        <v>1932</v>
      </c>
      <c r="E933" s="85" t="s">
        <v>1214</v>
      </c>
      <c r="F933" s="85" t="s">
        <v>1326</v>
      </c>
      <c r="G933" s="85" t="s">
        <v>1331</v>
      </c>
      <c r="H933" s="85" t="s">
        <v>1933</v>
      </c>
      <c r="I933" s="85" t="s">
        <v>1265</v>
      </c>
      <c r="J933" s="42">
        <v>-32.5</v>
      </c>
      <c r="K933" s="42">
        <v>0.97</v>
      </c>
      <c r="L933" s="42">
        <v>-3.0</v>
      </c>
      <c r="M933" s="42">
        <v>-2.9</v>
      </c>
      <c r="N933" s="42">
        <v>0.04</v>
      </c>
      <c r="O933" s="42">
        <v>4.5E10</v>
      </c>
      <c r="P933" s="42">
        <v>1.6E10</v>
      </c>
      <c r="Q933" s="42">
        <v>-33.3</v>
      </c>
      <c r="R933" s="42">
        <v>-35.5</v>
      </c>
      <c r="S933" s="42">
        <v>-47.4</v>
      </c>
      <c r="T933" s="42">
        <v>0.0</v>
      </c>
      <c r="U933" s="42">
        <v>-8.6</v>
      </c>
      <c r="V933" s="42">
        <v>-25.9</v>
      </c>
      <c r="W933" s="42">
        <v>-47.4</v>
      </c>
    </row>
    <row r="934">
      <c r="A934" s="87">
        <v>933.0</v>
      </c>
      <c r="B934" s="85" t="s">
        <v>2630</v>
      </c>
      <c r="C934" s="85" t="s">
        <v>1000</v>
      </c>
      <c r="D934" s="85" t="s">
        <v>1439</v>
      </c>
      <c r="E934" s="85" t="s">
        <v>1376</v>
      </c>
      <c r="F934" s="85" t="s">
        <v>1377</v>
      </c>
      <c r="G934" s="85" t="s">
        <v>1440</v>
      </c>
      <c r="H934" s="85" t="s">
        <v>1440</v>
      </c>
      <c r="I934" s="85" t="s">
        <v>2631</v>
      </c>
      <c r="J934" s="42">
        <v>22.2</v>
      </c>
      <c r="K934" s="42">
        <v>1.2</v>
      </c>
      <c r="L934" s="42">
        <v>5.6</v>
      </c>
      <c r="M934" s="42">
        <v>3.0</v>
      </c>
      <c r="N934" s="42">
        <v>0.85</v>
      </c>
      <c r="O934" s="42">
        <v>1.09E13</v>
      </c>
      <c r="P934" s="42">
        <v>7.84E11</v>
      </c>
      <c r="Q934" s="42">
        <v>-39.6</v>
      </c>
      <c r="R934" s="42">
        <v>-29.8</v>
      </c>
      <c r="S934" s="42">
        <v>-64.8</v>
      </c>
      <c r="T934" s="42">
        <v>-33.1</v>
      </c>
      <c r="U934" s="42">
        <v>62.6</v>
      </c>
      <c r="V934" s="42">
        <v>-33.7</v>
      </c>
      <c r="W934" s="42">
        <v>-59.0</v>
      </c>
    </row>
    <row r="935">
      <c r="A935" s="87">
        <v>934.0</v>
      </c>
      <c r="B935" s="85" t="s">
        <v>2632</v>
      </c>
      <c r="C935" s="85" t="s">
        <v>1001</v>
      </c>
      <c r="D935" s="85" t="s">
        <v>1880</v>
      </c>
      <c r="E935" s="85" t="s">
        <v>1194</v>
      </c>
      <c r="F935" s="85" t="s">
        <v>1881</v>
      </c>
      <c r="G935" s="85" t="s">
        <v>1881</v>
      </c>
      <c r="H935" s="85" t="s">
        <v>1881</v>
      </c>
      <c r="I935" s="85" t="s">
        <v>1641</v>
      </c>
      <c r="J935" s="42">
        <v>6.9</v>
      </c>
      <c r="K935" s="42">
        <v>1.5</v>
      </c>
      <c r="L935" s="42">
        <v>20.9</v>
      </c>
      <c r="M935" s="42">
        <v>14.2</v>
      </c>
      <c r="N935" s="42">
        <v>0.48</v>
      </c>
      <c r="O935" s="42">
        <v>3.4E12</v>
      </c>
      <c r="P935" s="42">
        <v>1.6E12</v>
      </c>
      <c r="Q935" s="42">
        <v>-31.9</v>
      </c>
      <c r="R935" s="42">
        <v>-33.8</v>
      </c>
      <c r="S935" s="42">
        <v>-24.1</v>
      </c>
      <c r="T935" s="42">
        <v>61.6</v>
      </c>
      <c r="U935" s="42">
        <v>30.7</v>
      </c>
      <c r="V935" s="42">
        <v>-17.2</v>
      </c>
      <c r="W935" s="42">
        <v>-16.9</v>
      </c>
    </row>
    <row r="936">
      <c r="A936" s="87">
        <v>935.0</v>
      </c>
      <c r="B936" s="85" t="s">
        <v>2633</v>
      </c>
      <c r="C936" s="85" t="s">
        <v>1002</v>
      </c>
      <c r="D936" s="85" t="s">
        <v>1229</v>
      </c>
      <c r="E936" s="85" t="s">
        <v>1230</v>
      </c>
      <c r="F936" s="85" t="s">
        <v>1231</v>
      </c>
      <c r="G936" s="85" t="s">
        <v>1231</v>
      </c>
      <c r="H936" s="85" t="s">
        <v>1231</v>
      </c>
      <c r="I936" s="85" t="s">
        <v>1619</v>
      </c>
      <c r="J936" s="42">
        <v>-0.81</v>
      </c>
      <c r="K936" s="42">
        <v>15.8</v>
      </c>
      <c r="L936" s="42">
        <v>-1950.0</v>
      </c>
      <c r="M936" s="42">
        <v>-20.7</v>
      </c>
      <c r="N936" s="42">
        <v>93.3</v>
      </c>
      <c r="O936" s="42">
        <v>8.1E12</v>
      </c>
      <c r="P936" s="42">
        <v>2.6E12</v>
      </c>
      <c r="Q936" s="42">
        <v>0.0</v>
      </c>
      <c r="R936" s="42">
        <v>0.0</v>
      </c>
      <c r="S936" s="42">
        <v>0.0</v>
      </c>
      <c r="T936" s="42">
        <v>0.0</v>
      </c>
      <c r="U936" s="42">
        <v>-390.0</v>
      </c>
      <c r="V936" s="42">
        <v>0.0</v>
      </c>
      <c r="W936" s="42">
        <v>0.0</v>
      </c>
    </row>
    <row r="937">
      <c r="A937" s="87">
        <v>936.0</v>
      </c>
      <c r="B937" s="85" t="s">
        <v>2634</v>
      </c>
      <c r="C937" s="85" t="s">
        <v>1003</v>
      </c>
      <c r="D937" s="85" t="s">
        <v>1512</v>
      </c>
      <c r="E937" s="85" t="s">
        <v>1194</v>
      </c>
      <c r="F937" s="85" t="s">
        <v>1195</v>
      </c>
      <c r="G937" s="85" t="s">
        <v>1241</v>
      </c>
      <c r="H937" s="85" t="s">
        <v>1513</v>
      </c>
      <c r="I937" s="85" t="s">
        <v>1514</v>
      </c>
      <c r="J937" s="42">
        <v>11.5</v>
      </c>
      <c r="K937" s="42">
        <v>1.2</v>
      </c>
      <c r="L937" s="42">
        <v>10.7</v>
      </c>
      <c r="M937" s="42">
        <v>8.2</v>
      </c>
      <c r="N937" s="42">
        <v>0.3</v>
      </c>
      <c r="O937" s="42">
        <v>4.23E11</v>
      </c>
      <c r="P937" s="42">
        <v>5.8E10</v>
      </c>
      <c r="Q937" s="42">
        <v>-29.4</v>
      </c>
      <c r="R937" s="42">
        <v>-31.4</v>
      </c>
      <c r="S937" s="42">
        <v>-38.9</v>
      </c>
      <c r="T937" s="42">
        <v>-48.0</v>
      </c>
      <c r="U937" s="42">
        <v>63.2</v>
      </c>
      <c r="V937" s="42">
        <v>-15.3</v>
      </c>
      <c r="W937" s="42">
        <v>-38.3</v>
      </c>
    </row>
    <row r="938">
      <c r="A938" s="87">
        <v>937.0</v>
      </c>
      <c r="B938" s="85" t="s">
        <v>2635</v>
      </c>
      <c r="C938" s="85" t="s">
        <v>1004</v>
      </c>
      <c r="D938" s="85" t="s">
        <v>1993</v>
      </c>
      <c r="E938" s="85" t="s">
        <v>1235</v>
      </c>
      <c r="F938" s="85" t="s">
        <v>1235</v>
      </c>
      <c r="G938" s="85" t="s">
        <v>1236</v>
      </c>
      <c r="H938" s="85" t="s">
        <v>1994</v>
      </c>
      <c r="I938" s="85" t="s">
        <v>1475</v>
      </c>
      <c r="J938" s="42">
        <v>7.5</v>
      </c>
      <c r="K938" s="42">
        <v>0.35</v>
      </c>
      <c r="L938" s="42">
        <v>4.7</v>
      </c>
      <c r="M938" s="42">
        <v>3.6</v>
      </c>
      <c r="N938" s="42">
        <v>0.31</v>
      </c>
      <c r="O938" s="42">
        <v>1.36E11</v>
      </c>
      <c r="P938" s="42">
        <v>1.1E10</v>
      </c>
      <c r="Q938" s="42">
        <v>-40.0</v>
      </c>
      <c r="R938" s="42">
        <v>-50.0</v>
      </c>
      <c r="S938" s="42">
        <v>-60.9</v>
      </c>
      <c r="T938" s="42">
        <v>-28.0</v>
      </c>
      <c r="U938" s="42">
        <v>170.0</v>
      </c>
      <c r="V938" s="42">
        <v>-28.0</v>
      </c>
      <c r="W938" s="42">
        <v>-60.0</v>
      </c>
    </row>
    <row r="939">
      <c r="A939" s="87">
        <v>938.0</v>
      </c>
      <c r="B939" s="85" t="s">
        <v>2636</v>
      </c>
      <c r="C939" s="85" t="s">
        <v>1005</v>
      </c>
      <c r="D939" s="85" t="s">
        <v>1397</v>
      </c>
      <c r="E939" s="85" t="s">
        <v>1187</v>
      </c>
      <c r="F939" s="85" t="s">
        <v>1188</v>
      </c>
      <c r="G939" s="85" t="s">
        <v>1359</v>
      </c>
      <c r="H939" s="85" t="s">
        <v>1398</v>
      </c>
      <c r="I939" s="85" t="s">
        <v>1216</v>
      </c>
      <c r="J939" s="42">
        <v>5.8</v>
      </c>
      <c r="K939" s="42">
        <v>0.57</v>
      </c>
      <c r="L939" s="42">
        <v>9.8</v>
      </c>
      <c r="M939" s="42">
        <v>8.1</v>
      </c>
      <c r="N939" s="42">
        <v>0.22</v>
      </c>
      <c r="O939" s="42">
        <v>2.3E12</v>
      </c>
      <c r="P939" s="42">
        <v>4.2E11</v>
      </c>
      <c r="Q939" s="42">
        <v>-17.5</v>
      </c>
      <c r="R939" s="42">
        <v>-7.8</v>
      </c>
      <c r="S939" s="42">
        <v>3.1</v>
      </c>
      <c r="T939" s="42">
        <v>30.6</v>
      </c>
      <c r="U939" s="42">
        <v>93.0</v>
      </c>
      <c r="V939" s="42">
        <v>-10.5</v>
      </c>
      <c r="W939" s="42">
        <v>-13.8</v>
      </c>
    </row>
    <row r="940">
      <c r="A940" s="87">
        <v>939.0</v>
      </c>
      <c r="B940" s="85" t="s">
        <v>2637</v>
      </c>
      <c r="C940" s="85" t="s">
        <v>1006</v>
      </c>
      <c r="D940" s="85" t="s">
        <v>1899</v>
      </c>
      <c r="E940" s="85" t="s">
        <v>1376</v>
      </c>
      <c r="F940" s="85" t="s">
        <v>1377</v>
      </c>
      <c r="G940" s="85" t="s">
        <v>1900</v>
      </c>
      <c r="H940" s="85" t="s">
        <v>1900</v>
      </c>
      <c r="I940" s="85" t="s">
        <v>2638</v>
      </c>
      <c r="J940" s="42">
        <v>9.6</v>
      </c>
      <c r="K940" s="42">
        <v>0.79</v>
      </c>
      <c r="L940" s="42">
        <v>8.3</v>
      </c>
      <c r="M940" s="42">
        <v>5.2</v>
      </c>
      <c r="N940" s="42">
        <v>0.62</v>
      </c>
      <c r="O940" s="42">
        <v>7.28E11</v>
      </c>
      <c r="P940" s="42">
        <v>5.09E11</v>
      </c>
      <c r="Q940" s="42">
        <v>-34.2</v>
      </c>
      <c r="R940" s="42">
        <v>-35.9</v>
      </c>
      <c r="S940" s="42">
        <v>-54.5</v>
      </c>
      <c r="T940" s="42">
        <v>-38.3</v>
      </c>
      <c r="U940" s="42">
        <v>15.0</v>
      </c>
      <c r="V940" s="42">
        <v>-18.0</v>
      </c>
      <c r="W940" s="42">
        <v>-49.0</v>
      </c>
    </row>
    <row r="941">
      <c r="A941" s="87">
        <v>940.0</v>
      </c>
      <c r="B941" s="85" t="s">
        <v>2639</v>
      </c>
      <c r="C941" s="85" t="s">
        <v>1007</v>
      </c>
      <c r="D941" s="85" t="s">
        <v>1267</v>
      </c>
      <c r="E941" s="85" t="s">
        <v>1194</v>
      </c>
      <c r="F941" s="85" t="s">
        <v>1195</v>
      </c>
      <c r="G941" s="85" t="s">
        <v>1196</v>
      </c>
      <c r="H941" s="85" t="s">
        <v>1268</v>
      </c>
      <c r="I941" s="85" t="s">
        <v>1318</v>
      </c>
      <c r="J941" s="42">
        <v>-5.0</v>
      </c>
      <c r="K941" s="42">
        <v>2.1</v>
      </c>
      <c r="L941" s="42">
        <v>-42.3</v>
      </c>
      <c r="M941" s="42">
        <v>-4.7</v>
      </c>
      <c r="N941" s="42">
        <v>8.0</v>
      </c>
      <c r="O941" s="42">
        <v>1.1E12</v>
      </c>
      <c r="P941" s="42">
        <v>1.0E12</v>
      </c>
      <c r="Q941" s="42">
        <v>-43.9</v>
      </c>
      <c r="R941" s="42">
        <v>43.8</v>
      </c>
      <c r="S941" s="42">
        <v>91.7</v>
      </c>
      <c r="T941" s="42">
        <v>91.7</v>
      </c>
      <c r="U941" s="42">
        <v>-21.0</v>
      </c>
      <c r="V941" s="42">
        <v>-30.3</v>
      </c>
      <c r="W941" s="42">
        <v>91.7</v>
      </c>
    </row>
    <row r="942">
      <c r="A942" s="87">
        <v>941.0</v>
      </c>
      <c r="B942" s="85" t="s">
        <v>2640</v>
      </c>
      <c r="C942" s="85" t="s">
        <v>1008</v>
      </c>
      <c r="D942" s="85" t="s">
        <v>1267</v>
      </c>
      <c r="E942" s="85" t="s">
        <v>1194</v>
      </c>
      <c r="F942" s="85" t="s">
        <v>1195</v>
      </c>
      <c r="G942" s="85" t="s">
        <v>1196</v>
      </c>
      <c r="H942" s="85" t="s">
        <v>1268</v>
      </c>
      <c r="I942" s="85" t="s">
        <v>1269</v>
      </c>
      <c r="J942" s="42">
        <v>-10.0</v>
      </c>
      <c r="K942" s="42">
        <v>0.93</v>
      </c>
      <c r="L942" s="42">
        <v>-9.4</v>
      </c>
      <c r="M942" s="42">
        <v>-3.1</v>
      </c>
      <c r="N942" s="42">
        <v>2.1</v>
      </c>
      <c r="O942" s="42">
        <v>7.12E11</v>
      </c>
      <c r="P942" s="42">
        <v>2.46E11</v>
      </c>
      <c r="Q942" s="42">
        <v>-26.5</v>
      </c>
      <c r="R942" s="42">
        <v>-21.9</v>
      </c>
      <c r="S942" s="42">
        <v>-21.9</v>
      </c>
      <c r="T942" s="42">
        <v>530.0</v>
      </c>
      <c r="U942" s="42">
        <v>-29.0</v>
      </c>
      <c r="V942" s="42">
        <v>-5.7</v>
      </c>
      <c r="W942" s="42">
        <v>-21.9</v>
      </c>
    </row>
    <row r="943">
      <c r="A943" s="87">
        <v>942.0</v>
      </c>
      <c r="B943" s="85" t="s">
        <v>2641</v>
      </c>
      <c r="C943" s="85" t="s">
        <v>1009</v>
      </c>
      <c r="D943" s="85" t="s">
        <v>1247</v>
      </c>
      <c r="E943" s="85" t="s">
        <v>1208</v>
      </c>
      <c r="F943" s="85" t="s">
        <v>1248</v>
      </c>
      <c r="G943" s="85" t="s">
        <v>1249</v>
      </c>
      <c r="H943" s="85" t="s">
        <v>1249</v>
      </c>
      <c r="I943" s="85" t="s">
        <v>1211</v>
      </c>
      <c r="J943" s="42">
        <v>4.5</v>
      </c>
      <c r="K943" s="42">
        <v>0.5</v>
      </c>
      <c r="L943" s="42">
        <v>11.3</v>
      </c>
      <c r="M943" s="42">
        <v>1.3</v>
      </c>
      <c r="N943" s="42">
        <v>3.5</v>
      </c>
      <c r="O943" s="42">
        <v>9.89E11</v>
      </c>
      <c r="P943" s="42">
        <v>1.8E12</v>
      </c>
      <c r="Q943" s="42">
        <v>-24.7</v>
      </c>
      <c r="R943" s="42">
        <v>-28.1</v>
      </c>
      <c r="S943" s="42">
        <v>-34.1</v>
      </c>
      <c r="T943" s="42">
        <v>-36.8</v>
      </c>
      <c r="U943" s="42">
        <v>12.2</v>
      </c>
      <c r="V943" s="42">
        <v>-22.0</v>
      </c>
      <c r="W943" s="42">
        <v>-32.1</v>
      </c>
    </row>
    <row r="944">
      <c r="A944" s="87">
        <v>943.0</v>
      </c>
      <c r="B944" s="85" t="s">
        <v>2642</v>
      </c>
      <c r="C944" s="85" t="s">
        <v>1010</v>
      </c>
      <c r="D944" s="85" t="s">
        <v>1665</v>
      </c>
      <c r="E944" s="85" t="s">
        <v>1201</v>
      </c>
      <c r="F944" s="85" t="s">
        <v>1666</v>
      </c>
      <c r="G944" s="85" t="s">
        <v>1666</v>
      </c>
      <c r="H944" s="85" t="s">
        <v>1667</v>
      </c>
      <c r="I944" s="85" t="s">
        <v>1578</v>
      </c>
      <c r="J944" s="42">
        <v>30.2</v>
      </c>
      <c r="K944" s="42">
        <v>0.37</v>
      </c>
      <c r="L944" s="42">
        <v>1.2</v>
      </c>
      <c r="M944" s="42">
        <v>0.72</v>
      </c>
      <c r="N944" s="42">
        <v>0.73</v>
      </c>
      <c r="O944" s="42">
        <v>1.7E12</v>
      </c>
      <c r="P944" s="42">
        <v>7.22E11</v>
      </c>
      <c r="Q944" s="42">
        <v>-33.6</v>
      </c>
      <c r="R944" s="42">
        <v>-36.1</v>
      </c>
      <c r="S944" s="42">
        <v>-48.7</v>
      </c>
      <c r="T944" s="42">
        <v>-44.7</v>
      </c>
      <c r="U944" s="42">
        <v>7.9</v>
      </c>
      <c r="V944" s="42">
        <v>-25.0</v>
      </c>
      <c r="W944" s="42">
        <v>-47.6</v>
      </c>
    </row>
    <row r="945">
      <c r="A945" s="87">
        <v>944.0</v>
      </c>
      <c r="B945" s="85" t="s">
        <v>2643</v>
      </c>
      <c r="C945" s="85" t="s">
        <v>1011</v>
      </c>
      <c r="D945" s="85" t="s">
        <v>1397</v>
      </c>
      <c r="E945" s="85" t="s">
        <v>1187</v>
      </c>
      <c r="F945" s="85" t="s">
        <v>1188</v>
      </c>
      <c r="G945" s="85" t="s">
        <v>1359</v>
      </c>
      <c r="H945" s="85" t="s">
        <v>1398</v>
      </c>
      <c r="I945" s="85" t="s">
        <v>1280</v>
      </c>
      <c r="J945" s="42">
        <v>9.5</v>
      </c>
      <c r="K945" s="42">
        <v>0.28</v>
      </c>
      <c r="L945" s="42">
        <v>3.0</v>
      </c>
      <c r="M945" s="42">
        <v>2.5</v>
      </c>
      <c r="N945" s="42">
        <v>0.2</v>
      </c>
      <c r="O945" s="42">
        <v>1.53E11</v>
      </c>
      <c r="P945" s="42">
        <v>6.4E10</v>
      </c>
      <c r="Q945" s="42">
        <v>-28.8</v>
      </c>
      <c r="R945" s="42">
        <v>-25.7</v>
      </c>
      <c r="S945" s="42">
        <v>-48.0</v>
      </c>
      <c r="T945" s="42">
        <v>-1.9</v>
      </c>
      <c r="U945" s="42">
        <v>25.4</v>
      </c>
      <c r="V945" s="42">
        <v>-16.1</v>
      </c>
      <c r="W945" s="42">
        <v>-44.1</v>
      </c>
    </row>
    <row r="946">
      <c r="A946" s="87">
        <v>945.0</v>
      </c>
      <c r="B946" s="85" t="s">
        <v>2644</v>
      </c>
      <c r="C946" s="85" t="s">
        <v>1012</v>
      </c>
      <c r="D946" s="85" t="s">
        <v>1448</v>
      </c>
      <c r="E946" s="85" t="s">
        <v>1252</v>
      </c>
      <c r="F946" s="85" t="s">
        <v>1252</v>
      </c>
      <c r="G946" s="85" t="s">
        <v>1449</v>
      </c>
      <c r="H946" s="85" t="s">
        <v>1449</v>
      </c>
      <c r="I946" s="85" t="s">
        <v>2539</v>
      </c>
      <c r="J946" s="42">
        <v>-1.4</v>
      </c>
      <c r="K946" s="42">
        <v>-0.4</v>
      </c>
      <c r="L946" s="42">
        <v>0.0</v>
      </c>
      <c r="M946" s="42">
        <v>-20.2</v>
      </c>
      <c r="N946" s="42">
        <v>-2.4</v>
      </c>
      <c r="O946" s="42">
        <v>8.52E11</v>
      </c>
      <c r="P946" s="42">
        <v>3.95E11</v>
      </c>
      <c r="Q946" s="42">
        <v>-33.3</v>
      </c>
      <c r="R946" s="42">
        <v>-33.3</v>
      </c>
      <c r="S946" s="42">
        <v>-50.0</v>
      </c>
      <c r="T946" s="42">
        <v>-14.3</v>
      </c>
      <c r="U946" s="42">
        <v>-150.0</v>
      </c>
      <c r="V946" s="42">
        <v>-20.0</v>
      </c>
      <c r="W946" s="42">
        <v>-47.8</v>
      </c>
    </row>
    <row r="947">
      <c r="A947" s="87">
        <v>946.0</v>
      </c>
      <c r="B947" s="85" t="s">
        <v>2645</v>
      </c>
      <c r="C947" s="85" t="s">
        <v>1013</v>
      </c>
      <c r="D947" s="85" t="s">
        <v>1229</v>
      </c>
      <c r="E947" s="85" t="s">
        <v>1230</v>
      </c>
      <c r="F947" s="85" t="s">
        <v>1231</v>
      </c>
      <c r="G947" s="85" t="s">
        <v>1231</v>
      </c>
      <c r="H947" s="85" t="s">
        <v>1231</v>
      </c>
      <c r="I947" s="85" t="s">
        <v>1619</v>
      </c>
      <c r="J947" s="42">
        <v>-1.7</v>
      </c>
      <c r="K947" s="42">
        <v>2.0</v>
      </c>
      <c r="L947" s="42">
        <v>-110.0</v>
      </c>
      <c r="M947" s="42">
        <v>-4.9</v>
      </c>
      <c r="N947" s="42">
        <v>22.4</v>
      </c>
      <c r="O947" s="42">
        <v>5.8E12</v>
      </c>
      <c r="P947" s="42">
        <v>2.1E12</v>
      </c>
      <c r="Q947" s="42">
        <v>0.0</v>
      </c>
      <c r="R947" s="42">
        <v>0.0</v>
      </c>
      <c r="S947" s="42">
        <v>0.0</v>
      </c>
      <c r="T947" s="42">
        <v>0.0</v>
      </c>
      <c r="U947" s="42">
        <v>-160.0</v>
      </c>
      <c r="V947" s="42">
        <v>0.0</v>
      </c>
      <c r="W947" s="42">
        <v>0.0</v>
      </c>
    </row>
    <row r="948">
      <c r="A948" s="87">
        <v>947.0</v>
      </c>
      <c r="B948" s="85" t="s">
        <v>2646</v>
      </c>
      <c r="C948" s="85" t="s">
        <v>1014</v>
      </c>
      <c r="D948" s="85" t="s">
        <v>1448</v>
      </c>
      <c r="E948" s="85" t="s">
        <v>1252</v>
      </c>
      <c r="F948" s="85" t="s">
        <v>1252</v>
      </c>
      <c r="G948" s="85" t="s">
        <v>1449</v>
      </c>
      <c r="H948" s="85" t="s">
        <v>1449</v>
      </c>
      <c r="I948" s="85" t="s">
        <v>2647</v>
      </c>
      <c r="J948" s="42">
        <v>17.7</v>
      </c>
      <c r="K948" s="42">
        <v>0.19</v>
      </c>
      <c r="L948" s="42">
        <v>1.1</v>
      </c>
      <c r="M948" s="42">
        <v>0.63</v>
      </c>
      <c r="N948" s="42">
        <v>0.71</v>
      </c>
      <c r="O948" s="42">
        <v>7.06E11</v>
      </c>
      <c r="P948" s="42">
        <v>6.77E11</v>
      </c>
      <c r="Q948" s="42">
        <v>-29.5</v>
      </c>
      <c r="R948" s="42">
        <v>-27.9</v>
      </c>
      <c r="S948" s="42">
        <v>-36.7</v>
      </c>
      <c r="T948" s="42">
        <v>-26.2</v>
      </c>
      <c r="U948" s="42">
        <v>5.9</v>
      </c>
      <c r="V948" s="42">
        <v>-22.5</v>
      </c>
      <c r="W948" s="42">
        <v>-38.0</v>
      </c>
    </row>
    <row r="949">
      <c r="A949" s="87">
        <v>948.0</v>
      </c>
      <c r="B949" s="85" t="s">
        <v>2648</v>
      </c>
      <c r="C949" s="85" t="s">
        <v>1015</v>
      </c>
      <c r="D949" s="85" t="s">
        <v>2649</v>
      </c>
      <c r="E949" s="85" t="s">
        <v>1201</v>
      </c>
      <c r="F949" s="85" t="s">
        <v>1286</v>
      </c>
      <c r="G949" s="85" t="s">
        <v>1566</v>
      </c>
      <c r="H949" s="85" t="s">
        <v>2650</v>
      </c>
      <c r="I949" s="85" t="s">
        <v>1458</v>
      </c>
      <c r="J949" s="42">
        <v>-7.1</v>
      </c>
      <c r="K949" s="42">
        <v>0.56</v>
      </c>
      <c r="L949" s="42">
        <v>-8.0</v>
      </c>
      <c r="M949" s="42">
        <v>-7.8</v>
      </c>
      <c r="N949" s="42">
        <v>0.03</v>
      </c>
      <c r="O949" s="42">
        <v>1.51E11</v>
      </c>
      <c r="P949" s="42">
        <v>1.1E10</v>
      </c>
      <c r="Q949" s="42">
        <v>-36.8</v>
      </c>
      <c r="R949" s="42">
        <v>-31.8</v>
      </c>
      <c r="S949" s="42">
        <v>-60.0</v>
      </c>
      <c r="T949" s="42">
        <v>200.0</v>
      </c>
      <c r="U949" s="42">
        <v>-190.0</v>
      </c>
      <c r="V949" s="42">
        <v>-31.0</v>
      </c>
      <c r="W949" s="42">
        <v>-60.0</v>
      </c>
    </row>
    <row r="950">
      <c r="A950" s="87">
        <v>949.0</v>
      </c>
      <c r="B950" s="85" t="s">
        <v>2651</v>
      </c>
      <c r="C950" s="85" t="s">
        <v>1016</v>
      </c>
      <c r="D950" s="85" t="s">
        <v>1207</v>
      </c>
      <c r="E950" s="85" t="s">
        <v>1208</v>
      </c>
      <c r="F950" s="85" t="s">
        <v>1209</v>
      </c>
      <c r="G950" s="85" t="s">
        <v>1209</v>
      </c>
      <c r="H950" s="85" t="s">
        <v>1210</v>
      </c>
      <c r="I950" s="85" t="s">
        <v>1278</v>
      </c>
      <c r="J950" s="42">
        <v>13.7</v>
      </c>
      <c r="K950" s="42">
        <v>1.2</v>
      </c>
      <c r="L950" s="42">
        <v>8.4</v>
      </c>
      <c r="M950" s="42">
        <v>5.9</v>
      </c>
      <c r="N950" s="42">
        <v>0.43</v>
      </c>
      <c r="O950" s="42">
        <v>2.53E11</v>
      </c>
      <c r="P950" s="42">
        <v>1.7E11</v>
      </c>
      <c r="Q950" s="42">
        <v>-28.1</v>
      </c>
      <c r="R950" s="42">
        <v>-29.6</v>
      </c>
      <c r="S950" s="42">
        <v>-28.1</v>
      </c>
      <c r="T950" s="42">
        <v>-27.4</v>
      </c>
      <c r="U950" s="42">
        <v>10.9</v>
      </c>
      <c r="V950" s="42">
        <v>-9.2</v>
      </c>
      <c r="W950" s="42">
        <v>-31.7</v>
      </c>
    </row>
    <row r="951">
      <c r="A951" s="87">
        <v>950.0</v>
      </c>
      <c r="B951" s="85" t="s">
        <v>2652</v>
      </c>
      <c r="C951" s="85" t="s">
        <v>1017</v>
      </c>
      <c r="D951" s="85" t="s">
        <v>1304</v>
      </c>
      <c r="E951" s="85" t="s">
        <v>1252</v>
      </c>
      <c r="F951" s="85" t="s">
        <v>1252</v>
      </c>
      <c r="G951" s="85" t="s">
        <v>1305</v>
      </c>
      <c r="H951" s="85" t="s">
        <v>1305</v>
      </c>
      <c r="I951" s="85" t="s">
        <v>1255</v>
      </c>
      <c r="J951" s="42">
        <v>50.1</v>
      </c>
      <c r="K951" s="42">
        <v>3.5</v>
      </c>
      <c r="L951" s="42">
        <v>7.1</v>
      </c>
      <c r="M951" s="42">
        <v>3.4</v>
      </c>
      <c r="N951" s="42">
        <v>1.1</v>
      </c>
      <c r="O951" s="42">
        <v>4.58E11</v>
      </c>
      <c r="P951" s="42">
        <v>8.6E10</v>
      </c>
      <c r="Q951" s="42">
        <v>-42.1</v>
      </c>
      <c r="R951" s="42">
        <v>1.7</v>
      </c>
      <c r="S951" s="42">
        <v>-5.6</v>
      </c>
      <c r="T951" s="42">
        <v>87.5</v>
      </c>
      <c r="U951" s="42">
        <v>10.6</v>
      </c>
      <c r="V951" s="42">
        <v>-19.3</v>
      </c>
      <c r="W951" s="42">
        <v>0.0</v>
      </c>
    </row>
    <row r="952">
      <c r="A952" s="87">
        <v>951.0</v>
      </c>
      <c r="B952" s="85" t="s">
        <v>2653</v>
      </c>
      <c r="C952" s="85" t="s">
        <v>1018</v>
      </c>
      <c r="D952" s="85" t="s">
        <v>2299</v>
      </c>
      <c r="E952" s="85" t="s">
        <v>1208</v>
      </c>
      <c r="F952" s="85" t="s">
        <v>1341</v>
      </c>
      <c r="G952" s="85" t="s">
        <v>1342</v>
      </c>
      <c r="H952" s="85" t="s">
        <v>2300</v>
      </c>
      <c r="I952" s="85" t="s">
        <v>1211</v>
      </c>
      <c r="J952" s="42">
        <v>44.8</v>
      </c>
      <c r="K952" s="42">
        <v>8.7</v>
      </c>
      <c r="L952" s="42">
        <v>19.3</v>
      </c>
      <c r="M952" s="42">
        <v>17.3</v>
      </c>
      <c r="N952" s="42">
        <v>0.12</v>
      </c>
      <c r="O952" s="42">
        <v>6.0E12</v>
      </c>
      <c r="P952" s="42">
        <v>-6.21E7</v>
      </c>
      <c r="Q952" s="42">
        <v>-1.8</v>
      </c>
      <c r="R952" s="42">
        <v>-3.0</v>
      </c>
      <c r="S952" s="42">
        <v>20.7</v>
      </c>
      <c r="T952" s="42">
        <v>21.6</v>
      </c>
      <c r="U952" s="42">
        <v>0.0</v>
      </c>
      <c r="V952" s="42">
        <v>0.0</v>
      </c>
      <c r="W952" s="42">
        <v>-1.8</v>
      </c>
    </row>
    <row r="953">
      <c r="A953" s="87">
        <v>952.0</v>
      </c>
      <c r="B953" s="85" t="s">
        <v>2654</v>
      </c>
      <c r="C953" s="85" t="s">
        <v>1019</v>
      </c>
      <c r="D953" s="85" t="s">
        <v>1282</v>
      </c>
      <c r="E953" s="85" t="s">
        <v>1194</v>
      </c>
      <c r="F953" s="85" t="s">
        <v>1195</v>
      </c>
      <c r="G953" s="85" t="s">
        <v>1283</v>
      </c>
      <c r="H953" s="85" t="s">
        <v>1283</v>
      </c>
      <c r="I953" s="85" t="s">
        <v>1243</v>
      </c>
      <c r="J953" s="42">
        <v>19.6</v>
      </c>
      <c r="K953" s="42">
        <v>7.0</v>
      </c>
      <c r="L953" s="42">
        <v>35.9</v>
      </c>
      <c r="M953" s="42">
        <v>19.7</v>
      </c>
      <c r="N953" s="42">
        <v>0.82</v>
      </c>
      <c r="O953" s="42">
        <v>1.22E13</v>
      </c>
      <c r="P953" s="42">
        <v>7.63E11</v>
      </c>
      <c r="Q953" s="42">
        <v>-23.6</v>
      </c>
      <c r="R953" s="42">
        <v>-19.3</v>
      </c>
      <c r="S953" s="42">
        <v>-26.9</v>
      </c>
      <c r="T953" s="42">
        <v>-38.7</v>
      </c>
      <c r="U953" s="42">
        <v>81.6</v>
      </c>
      <c r="V953" s="42">
        <v>-14.9</v>
      </c>
      <c r="W953" s="42">
        <v>-26.5</v>
      </c>
    </row>
    <row r="954">
      <c r="A954" s="87">
        <v>953.0</v>
      </c>
      <c r="B954" s="85" t="s">
        <v>2655</v>
      </c>
      <c r="C954" s="85" t="s">
        <v>1020</v>
      </c>
      <c r="D954" s="85" t="s">
        <v>1452</v>
      </c>
      <c r="E954" s="85" t="s">
        <v>1201</v>
      </c>
      <c r="F954" s="85" t="s">
        <v>1219</v>
      </c>
      <c r="G954" s="85" t="s">
        <v>1220</v>
      </c>
      <c r="H954" s="85" t="s">
        <v>1453</v>
      </c>
      <c r="I954" s="85" t="s">
        <v>1458</v>
      </c>
      <c r="J954" s="42">
        <v>320.0</v>
      </c>
      <c r="K954" s="42">
        <v>1.1</v>
      </c>
      <c r="L954" s="42">
        <v>0.34</v>
      </c>
      <c r="M954" s="42">
        <v>0.26</v>
      </c>
      <c r="N954" s="42">
        <v>0.3</v>
      </c>
      <c r="O954" s="42">
        <v>5.78E11</v>
      </c>
      <c r="P954" s="42">
        <v>1.58E11</v>
      </c>
      <c r="Q954" s="42">
        <v>-39.8</v>
      </c>
      <c r="R954" s="42">
        <v>-58.3</v>
      </c>
      <c r="S954" s="42">
        <v>-31.5</v>
      </c>
      <c r="T954" s="42">
        <v>400.0</v>
      </c>
      <c r="U954" s="42">
        <v>1.1</v>
      </c>
      <c r="V954" s="42">
        <v>-20.6</v>
      </c>
      <c r="W954" s="42">
        <v>-18.0</v>
      </c>
    </row>
    <row r="955">
      <c r="A955" s="87">
        <v>954.0</v>
      </c>
      <c r="B955" s="85" t="s">
        <v>2656</v>
      </c>
      <c r="C955" s="85" t="s">
        <v>1021</v>
      </c>
      <c r="D955" s="85" t="s">
        <v>1213</v>
      </c>
      <c r="E955" s="85" t="s">
        <v>1214</v>
      </c>
      <c r="F955" s="85" t="s">
        <v>1215</v>
      </c>
      <c r="G955" s="85" t="s">
        <v>1215</v>
      </c>
      <c r="H955" s="85" t="s">
        <v>1215</v>
      </c>
      <c r="I955" s="85" t="s">
        <v>1385</v>
      </c>
      <c r="J955" s="42">
        <v>0.0</v>
      </c>
      <c r="K955" s="42">
        <v>0.11</v>
      </c>
      <c r="L955" s="42">
        <v>-11.8</v>
      </c>
      <c r="M955" s="42">
        <v>-4.2</v>
      </c>
      <c r="N955" s="42">
        <v>1.8</v>
      </c>
      <c r="O955" s="42">
        <v>1.26E11</v>
      </c>
      <c r="P955" s="42">
        <v>1.2E12</v>
      </c>
      <c r="Q955" s="42">
        <v>0.0</v>
      </c>
      <c r="R955" s="42">
        <v>0.0</v>
      </c>
      <c r="S955" s="42">
        <v>0.0</v>
      </c>
      <c r="T955" s="42">
        <v>0.0</v>
      </c>
      <c r="U955" s="42">
        <v>-12.0</v>
      </c>
      <c r="V955" s="42">
        <v>0.0</v>
      </c>
      <c r="W955" s="42">
        <v>0.0</v>
      </c>
    </row>
    <row r="956">
      <c r="A956" s="87">
        <v>955.0</v>
      </c>
      <c r="B956" s="85" t="s">
        <v>2657</v>
      </c>
      <c r="C956" s="85" t="s">
        <v>1022</v>
      </c>
      <c r="D956" s="85" t="s">
        <v>1354</v>
      </c>
      <c r="E956" s="85" t="s">
        <v>1252</v>
      </c>
      <c r="F956" s="85" t="s">
        <v>1252</v>
      </c>
      <c r="G956" s="85" t="s">
        <v>1313</v>
      </c>
      <c r="H956" s="85" t="s">
        <v>1355</v>
      </c>
      <c r="I956" s="85" t="s">
        <v>2539</v>
      </c>
      <c r="J956" s="42">
        <v>-3.5</v>
      </c>
      <c r="K956" s="42">
        <v>2.2</v>
      </c>
      <c r="L956" s="42">
        <v>-63.4</v>
      </c>
      <c r="M956" s="42">
        <v>-9.3</v>
      </c>
      <c r="N956" s="42">
        <v>5.8</v>
      </c>
      <c r="O956" s="42">
        <v>7.58E11</v>
      </c>
      <c r="P956" s="42">
        <v>5.3E10</v>
      </c>
      <c r="Q956" s="42">
        <v>0.0</v>
      </c>
      <c r="R956" s="42">
        <v>-6.3</v>
      </c>
      <c r="S956" s="42">
        <v>-14.3</v>
      </c>
      <c r="T956" s="42">
        <v>130.0</v>
      </c>
      <c r="U956" s="42">
        <v>-410.0</v>
      </c>
      <c r="V956" s="42">
        <v>0.0</v>
      </c>
      <c r="W956" s="42">
        <v>-6.3</v>
      </c>
    </row>
    <row r="957">
      <c r="A957" s="87">
        <v>956.0</v>
      </c>
      <c r="B957" s="85" t="s">
        <v>2658</v>
      </c>
      <c r="C957" s="85" t="s">
        <v>1023</v>
      </c>
      <c r="D957" s="85" t="s">
        <v>1452</v>
      </c>
      <c r="E957" s="85" t="s">
        <v>1201</v>
      </c>
      <c r="F957" s="85" t="s">
        <v>1219</v>
      </c>
      <c r="G957" s="85" t="s">
        <v>1220</v>
      </c>
      <c r="H957" s="85" t="s">
        <v>1453</v>
      </c>
      <c r="I957" s="85" t="s">
        <v>1458</v>
      </c>
      <c r="J957" s="42">
        <v>14.8</v>
      </c>
      <c r="K957" s="42">
        <v>0.72</v>
      </c>
      <c r="L957" s="42">
        <v>4.9</v>
      </c>
      <c r="M957" s="42">
        <v>3.1</v>
      </c>
      <c r="N957" s="42">
        <v>0.58</v>
      </c>
      <c r="O957" s="42">
        <v>2.98E11</v>
      </c>
      <c r="P957" s="42">
        <v>3.99E11</v>
      </c>
      <c r="Q957" s="42">
        <v>-8.2</v>
      </c>
      <c r="R957" s="42">
        <v>-17.3</v>
      </c>
      <c r="S957" s="42">
        <v>-40.4</v>
      </c>
      <c r="T957" s="42">
        <v>-59.8</v>
      </c>
      <c r="U957" s="42">
        <v>5.1</v>
      </c>
      <c r="V957" s="42">
        <v>-3.5</v>
      </c>
      <c r="W957" s="42">
        <v>-36.4</v>
      </c>
    </row>
    <row r="958">
      <c r="A958" s="87">
        <v>957.0</v>
      </c>
      <c r="B958" s="85" t="s">
        <v>2659</v>
      </c>
      <c r="C958" s="85" t="s">
        <v>1024</v>
      </c>
      <c r="D958" s="85" t="s">
        <v>1443</v>
      </c>
      <c r="E958" s="85" t="s">
        <v>1376</v>
      </c>
      <c r="F958" s="85" t="s">
        <v>1444</v>
      </c>
      <c r="G958" s="85" t="s">
        <v>1445</v>
      </c>
      <c r="H958" s="85" t="s">
        <v>1445</v>
      </c>
      <c r="I958" s="85" t="s">
        <v>1441</v>
      </c>
      <c r="J958" s="42">
        <v>4.7</v>
      </c>
      <c r="K958" s="42">
        <v>0.54</v>
      </c>
      <c r="L958" s="42">
        <v>11.6</v>
      </c>
      <c r="M958" s="42">
        <v>3.9</v>
      </c>
      <c r="N958" s="42">
        <v>2.0</v>
      </c>
      <c r="O958" s="42">
        <v>1.81E11</v>
      </c>
      <c r="P958" s="42">
        <v>5.5E10</v>
      </c>
      <c r="Q958" s="42">
        <v>-17.1</v>
      </c>
      <c r="R958" s="42">
        <v>-20.5</v>
      </c>
      <c r="S958" s="42">
        <v>-34.5</v>
      </c>
      <c r="T958" s="42">
        <v>-28.4</v>
      </c>
      <c r="U958" s="42">
        <v>70.0</v>
      </c>
      <c r="V958" s="42">
        <v>-14.7</v>
      </c>
      <c r="W958" s="42">
        <v>-30.1</v>
      </c>
    </row>
    <row r="959"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</row>
    <row r="960"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</row>
    <row r="961"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</row>
    <row r="962"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</row>
    <row r="963"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</row>
    <row r="964"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</row>
    <row r="965"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</row>
    <row r="966"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</row>
    <row r="967"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</row>
    <row r="968"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</row>
    <row r="969"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</row>
    <row r="970"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</row>
    <row r="971"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</row>
    <row r="972"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</row>
    <row r="973"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</row>
    <row r="974"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</row>
    <row r="975"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</row>
    <row r="976"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</row>
    <row r="977"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</row>
    <row r="978"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</row>
    <row r="979"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</row>
    <row r="980"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</row>
    <row r="981"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</row>
    <row r="982"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</row>
    <row r="983"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</row>
    <row r="984"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</row>
    <row r="985"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</row>
    <row r="986"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</row>
    <row r="987"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</row>
    <row r="988"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</row>
    <row r="989"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</row>
    <row r="990"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</row>
    <row r="991"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</row>
    <row r="992"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</row>
    <row r="993"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</row>
    <row r="994"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</row>
    <row r="995"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</row>
    <row r="996"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</row>
    <row r="997"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</row>
    <row r="998"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9.29"/>
    <col customWidth="1" min="2" max="2" width="32.0"/>
    <col customWidth="1" min="3" max="3" width="14.86"/>
    <col customWidth="1" min="4" max="4" width="41.43"/>
    <col customWidth="1" min="5" max="5" width="22.14"/>
    <col customWidth="1" min="6" max="6" width="18.29"/>
    <col customWidth="1" min="7" max="7" width="9.57"/>
    <col customWidth="1" min="8" max="8" width="12.29"/>
    <col customWidth="1" min="9" max="9" width="10.71"/>
    <col customWidth="1" min="10" max="10" width="9.14"/>
    <col customWidth="1" min="11" max="11" width="9.29"/>
    <col customWidth="1" min="12" max="12" width="9.14"/>
    <col customWidth="1" min="13" max="13" width="10.29"/>
    <col customWidth="1" min="14" max="14" width="8.43"/>
    <col customWidth="1" min="15" max="15" width="9.14"/>
    <col customWidth="1" min="16" max="16" width="8.86"/>
    <col customWidth="1" min="17" max="17" width="8.71"/>
    <col customWidth="1" min="18" max="18" width="10.71"/>
    <col customWidth="1" min="19" max="19" width="8.14"/>
    <col customWidth="1" min="20" max="20" width="8.86"/>
    <col customWidth="1" min="21" max="21" width="12.86"/>
    <col customWidth="1" min="22" max="22" width="12.0"/>
    <col customWidth="1" min="23" max="23" width="10.14"/>
    <col customWidth="1" min="24" max="25" width="8.0"/>
    <col customWidth="1" min="26" max="26" width="12.29"/>
    <col customWidth="1" min="27" max="27" width="42.29"/>
    <col customWidth="1" min="28" max="28" width="29.29"/>
  </cols>
  <sheetData>
    <row r="1">
      <c r="A1" s="1" t="s">
        <v>0</v>
      </c>
      <c r="B1" s="2" t="s">
        <v>1</v>
      </c>
      <c r="C1" s="3" t="s">
        <v>2</v>
      </c>
      <c r="D1" s="4" t="str">
        <f>IFERROR(__xludf.DUMMYFUNCTION("""Last Update: "" &amp; TEXT(NOW() - GOOGLEFINANCE(""IDX:BBCA"",""datadelay"")/1440, ""dddd, yyyymmdd HH:mm"")"),"Last Update: Minggu, 20260614 14:19")</f>
        <v>Last Update: Minggu, 20260614 14:19</v>
      </c>
      <c r="E1" s="1" t="s">
        <v>3</v>
      </c>
      <c r="F1" s="5" t="s">
        <v>4</v>
      </c>
      <c r="G1" s="6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9" t="s">
        <v>16</v>
      </c>
      <c r="S1" s="9" t="s">
        <v>17</v>
      </c>
      <c r="T1" s="10" t="s">
        <v>18</v>
      </c>
      <c r="U1" s="11" t="s">
        <v>19</v>
      </c>
      <c r="V1" s="12" t="s">
        <v>20</v>
      </c>
      <c r="W1" s="11" t="s">
        <v>21</v>
      </c>
      <c r="X1" s="11" t="s">
        <v>22</v>
      </c>
      <c r="Y1" s="11" t="s">
        <v>23</v>
      </c>
      <c r="Z1" s="11" t="s">
        <v>24</v>
      </c>
      <c r="AA1" s="13" t="s">
        <v>25</v>
      </c>
      <c r="AB1" s="13" t="s">
        <v>26</v>
      </c>
    </row>
    <row r="2">
      <c r="A2" s="14" t="s">
        <v>27</v>
      </c>
      <c r="B2" s="14" t="str">
        <f t="array" ref="B2">VLOOKUP(A2,{Metrik!$C$2:$C$998,Metrik!$B$2:$B$998},2,0)</f>
        <v>Adaro Andalan Indonesia Tbk.</v>
      </c>
      <c r="C2" s="15">
        <f>IFERROR(__xludf.DUMMYFUNCTION("GOOGLEFINANCE(""IDX:""&amp;A2,""price"")"),8650.0)</f>
        <v>8650</v>
      </c>
      <c r="D2" s="16" t="str">
        <f>IFERROR(__xludf.DUMMYFUNCTION("IF(A2="""","""",
SPARKLINE(
INDEX(
GOOGLEFINANCE(""IDX:""&amp;A2,""close"",TODAY()-365,TODAY()),
,2
),
{""linewidth"",1}
))
"),"#N/A")</f>
        <v>#N/A</v>
      </c>
      <c r="E2" s="14" t="s">
        <v>28</v>
      </c>
      <c r="F2" s="17" t="s">
        <v>29</v>
      </c>
      <c r="G2" s="18">
        <f t="shared" ref="G2:G420" si="1">COUNTIFS($B$2:$B$1937,B2,$E$2:$E$1937,"&lt;&gt;")</f>
        <v>9</v>
      </c>
      <c r="H2" s="19">
        <f>VLOOKUP(A2,Metrik!$C$2:$Y$959,8,0)</f>
        <v>5.5</v>
      </c>
      <c r="I2" s="20">
        <f>VLOOKUP(A2,Metrik!$C$2:$Y$959,9,0)</f>
        <v>1</v>
      </c>
      <c r="J2" s="20">
        <f>VLOOKUP(A2,Metrik!$C$2:$Y$959,10,0)</f>
        <v>18.6</v>
      </c>
      <c r="K2" s="20">
        <f>VLOOKUP(A2,Metrik!$C$2:$Y$959,11,0)</f>
        <v>12.2</v>
      </c>
      <c r="L2" s="20">
        <f>VLOOKUP(A2,Metrik!$C$2:$Y$959,12,0)</f>
        <v>0.53</v>
      </c>
      <c r="M2" s="20">
        <f>VLOOKUP(A2,Metrik!$C$2:$Y$959,19,0)</f>
        <v>67.3</v>
      </c>
      <c r="N2" s="21"/>
      <c r="O2" s="21"/>
      <c r="P2" s="21"/>
      <c r="Q2" s="21"/>
      <c r="R2" s="21"/>
      <c r="S2" s="21"/>
      <c r="T2" s="21"/>
      <c r="U2" s="22">
        <f>IFERROR(__xludf.DUMMYFUNCTION("IFERROR(GOOGLEFINANCE(A2,""closeyest""),"""")"),8050.0)</f>
        <v>8050</v>
      </c>
      <c r="V2" s="23">
        <f>IFERROR(__xludf.DUMMYFUNCTION("IFERROR(GOOGLEFINANCE(A2,""changepct""),"""")"),7.45)</f>
        <v>7.45</v>
      </c>
      <c r="W2" s="22">
        <f>IFERROR(__xludf.DUMMYFUNCTION("IFERROR(GOOGLEFINANCE(A2,""priceopen""),"""")"),8100.0)</f>
        <v>8100</v>
      </c>
      <c r="X2" s="22">
        <f>IFERROR(__xludf.DUMMYFUNCTION("IFERROR(GOOGLEFINANCE(A2,""high""),"""")"),8850.0)</f>
        <v>8850</v>
      </c>
      <c r="Y2" s="22">
        <f>IFERROR(__xludf.DUMMYFUNCTION("IFERROR(GOOGLEFINANCE(A2,""low""),"""")"),8050.0)</f>
        <v>8050</v>
      </c>
      <c r="Z2" s="22">
        <f>IFERROR(__xludf.DUMMYFUNCTION("IFERROR(GOOGLEFINANCE(A2,""volume""),"""")"),2.12622E7)</f>
        <v>21262200</v>
      </c>
      <c r="AA2" s="24" t="str">
        <f>VLOOKUP(A2,Metrik!$C$2:$Y$959,5,0)</f>
        <v>Coal</v>
      </c>
      <c r="AB2" s="24" t="str">
        <f>VLOOKUP(A2,Metrik!$C$2:$Y$959,3,0)</f>
        <v>Energy</v>
      </c>
    </row>
    <row r="3">
      <c r="A3" s="14" t="s">
        <v>27</v>
      </c>
      <c r="B3" s="14" t="str">
        <f t="array" ref="B3">VLOOKUP(A3,{Metrik!$C$2:$C$998,Metrik!$B$2:$B$998},2,0)</f>
        <v>Adaro Andalan Indonesia Tbk.</v>
      </c>
      <c r="C3" s="15">
        <f>IFERROR(__xludf.DUMMYFUNCTION("GOOGLEFINANCE(""IDX:""&amp;A3,""price"")"),8650.0)</f>
        <v>8650</v>
      </c>
      <c r="D3" s="16" t="str">
        <f>IFERROR(__xludf.DUMMYFUNCTION("IF(A3="""","""",
SPARKLINE(
INDEX(
GOOGLEFINANCE(""IDX:""&amp;A3,""close"",TODAY()-365,TODAY()),
,2
),
{""linewidth"",1}
))
"),"#N/A")</f>
        <v>#N/A</v>
      </c>
      <c r="E3" s="14" t="s">
        <v>30</v>
      </c>
      <c r="F3" s="17" t="s">
        <v>29</v>
      </c>
      <c r="G3" s="18">
        <f t="shared" si="1"/>
        <v>9</v>
      </c>
      <c r="H3" s="19">
        <f>VLOOKUP(A3,Metrik!$C$2:$Y$959,8,0)</f>
        <v>5.5</v>
      </c>
      <c r="I3" s="20">
        <f>VLOOKUP(A3,Metrik!$C$2:$Y$959,9,0)</f>
        <v>1</v>
      </c>
      <c r="J3" s="20">
        <f>VLOOKUP(A3,Metrik!$C$2:$Y$959,10,0)</f>
        <v>18.6</v>
      </c>
      <c r="K3" s="20">
        <f>VLOOKUP(A3,Metrik!$C$2:$Y$959,11,0)</f>
        <v>12.2</v>
      </c>
      <c r="L3" s="20">
        <f>VLOOKUP(A3,Metrik!$C$2:$Y$959,12,0)</f>
        <v>0.53</v>
      </c>
      <c r="M3" s="20">
        <f>VLOOKUP(A3,Metrik!$C$2:$Y$959,19,0)</f>
        <v>67.3</v>
      </c>
      <c r="N3" s="21"/>
      <c r="O3" s="21"/>
      <c r="P3" s="21"/>
      <c r="Q3" s="21"/>
      <c r="R3" s="21"/>
      <c r="S3" s="21"/>
      <c r="T3" s="21"/>
      <c r="U3" s="22">
        <f>IFERROR(__xludf.DUMMYFUNCTION("IFERROR(GOOGLEFINANCE(A3,""closeyest""),"""")"),8050.0)</f>
        <v>8050</v>
      </c>
      <c r="V3" s="23">
        <f>IFERROR(__xludf.DUMMYFUNCTION("IFERROR(GOOGLEFINANCE(A3,""changepct""),"""")"),7.45)</f>
        <v>7.45</v>
      </c>
      <c r="W3" s="22">
        <f>IFERROR(__xludf.DUMMYFUNCTION("IFERROR(GOOGLEFINANCE(A3,""priceopen""),"""")"),8100.0)</f>
        <v>8100</v>
      </c>
      <c r="X3" s="22">
        <f>IFERROR(__xludf.DUMMYFUNCTION("IFERROR(GOOGLEFINANCE(A3,""high""),"""")"),8850.0)</f>
        <v>8850</v>
      </c>
      <c r="Y3" s="22">
        <f>IFERROR(__xludf.DUMMYFUNCTION("IFERROR(GOOGLEFINANCE(A3,""low""),"""")"),8050.0)</f>
        <v>8050</v>
      </c>
      <c r="Z3" s="22">
        <f>IFERROR(__xludf.DUMMYFUNCTION("IFERROR(GOOGLEFINANCE(A3,""volume""),"""")"),2.12622E7)</f>
        <v>21262200</v>
      </c>
      <c r="AA3" s="24" t="str">
        <f>VLOOKUP(A3,Metrik!$C$2:$Y$959,5,0)</f>
        <v>Coal</v>
      </c>
      <c r="AB3" s="24" t="str">
        <f>VLOOKUP(A3,Metrik!$C$2:$Y$959,3,0)</f>
        <v>Energy</v>
      </c>
    </row>
    <row r="4">
      <c r="A4" s="14" t="s">
        <v>27</v>
      </c>
      <c r="B4" s="14" t="str">
        <f t="array" ref="B4">VLOOKUP(A4,{Metrik!$C$2:$C$998,Metrik!$B$2:$B$998},2,0)</f>
        <v>Adaro Andalan Indonesia Tbk.</v>
      </c>
      <c r="C4" s="15">
        <f>IFERROR(__xludf.DUMMYFUNCTION("GOOGLEFINANCE(""IDX:""&amp;A4,""price"")"),8650.0)</f>
        <v>8650</v>
      </c>
      <c r="D4" s="16" t="str">
        <f>IFERROR(__xludf.DUMMYFUNCTION("IF(A4="""","""",
SPARKLINE(
INDEX(
GOOGLEFINANCE(""IDX:""&amp;A4,""close"",TODAY()-365,TODAY()),
,2
),
{""linewidth"",1}
))
"),"#N/A")</f>
        <v>#N/A</v>
      </c>
      <c r="E4" s="14" t="s">
        <v>31</v>
      </c>
      <c r="F4" s="17" t="s">
        <v>29</v>
      </c>
      <c r="G4" s="18">
        <f t="shared" si="1"/>
        <v>9</v>
      </c>
      <c r="H4" s="19">
        <f>VLOOKUP(A4,Metrik!$C$2:$Y$959,8,0)</f>
        <v>5.5</v>
      </c>
      <c r="I4" s="20">
        <f>VLOOKUP(A4,Metrik!$C$2:$Y$959,9,0)</f>
        <v>1</v>
      </c>
      <c r="J4" s="20">
        <f>VLOOKUP(A4,Metrik!$C$2:$Y$959,10,0)</f>
        <v>18.6</v>
      </c>
      <c r="K4" s="20">
        <f>VLOOKUP(A4,Metrik!$C$2:$Y$959,11,0)</f>
        <v>12.2</v>
      </c>
      <c r="L4" s="20">
        <f>VLOOKUP(A4,Metrik!$C$2:$Y$959,12,0)</f>
        <v>0.53</v>
      </c>
      <c r="M4" s="20">
        <f>VLOOKUP(A4,Metrik!$C$2:$Y$959,19,0)</f>
        <v>67.3</v>
      </c>
      <c r="N4" s="21"/>
      <c r="O4" s="21"/>
      <c r="P4" s="21"/>
      <c r="Q4" s="21"/>
      <c r="R4" s="21"/>
      <c r="S4" s="21"/>
      <c r="T4" s="21"/>
      <c r="U4" s="22">
        <f>IFERROR(__xludf.DUMMYFUNCTION("IFERROR(GOOGLEFINANCE(A4,""closeyest""),"""")"),8050.0)</f>
        <v>8050</v>
      </c>
      <c r="V4" s="23">
        <f>IFERROR(__xludf.DUMMYFUNCTION("IFERROR(GOOGLEFINANCE(A4,""changepct""),"""")"),7.45)</f>
        <v>7.45</v>
      </c>
      <c r="W4" s="22">
        <f>IFERROR(__xludf.DUMMYFUNCTION("IFERROR(GOOGLEFINANCE(A4,""priceopen""),"""")"),8100.0)</f>
        <v>8100</v>
      </c>
      <c r="X4" s="22">
        <f>IFERROR(__xludf.DUMMYFUNCTION("IFERROR(GOOGLEFINANCE(A4,""high""),"""")"),8850.0)</f>
        <v>8850</v>
      </c>
      <c r="Y4" s="22">
        <f>IFERROR(__xludf.DUMMYFUNCTION("IFERROR(GOOGLEFINANCE(A4,""low""),"""")"),8050.0)</f>
        <v>8050</v>
      </c>
      <c r="Z4" s="22">
        <f>IFERROR(__xludf.DUMMYFUNCTION("IFERROR(GOOGLEFINANCE(A4,""volume""),"""")"),2.12622E7)</f>
        <v>21262200</v>
      </c>
      <c r="AA4" s="24" t="str">
        <f>VLOOKUP(A4,Metrik!$C$2:$Y$959,5,0)</f>
        <v>Coal</v>
      </c>
      <c r="AB4" s="24" t="str">
        <f>VLOOKUP(A4,Metrik!$C$2:$Y$959,3,0)</f>
        <v>Energy</v>
      </c>
    </row>
    <row r="5">
      <c r="A5" s="14" t="s">
        <v>27</v>
      </c>
      <c r="B5" s="14" t="str">
        <f t="array" ref="B5">VLOOKUP(A5,{Metrik!$C$2:$C$998,Metrik!$B$2:$B$998},2,0)</f>
        <v>Adaro Andalan Indonesia Tbk.</v>
      </c>
      <c r="C5" s="15">
        <f>IFERROR(__xludf.DUMMYFUNCTION("GOOGLEFINANCE(""IDX:""&amp;A5,""price"")"),8650.0)</f>
        <v>8650</v>
      </c>
      <c r="D5" s="16" t="str">
        <f>IFERROR(__xludf.DUMMYFUNCTION("IF(A5="""","""",
SPARKLINE(
INDEX(
GOOGLEFINANCE(""IDX:""&amp;A5,""close"",TODAY()-365,TODAY()),
,2
),
{""linewidth"",1}
))
"),"#N/A")</f>
        <v>#N/A</v>
      </c>
      <c r="E5" s="14" t="s">
        <v>32</v>
      </c>
      <c r="F5" s="14" t="s">
        <v>29</v>
      </c>
      <c r="G5" s="18">
        <f t="shared" si="1"/>
        <v>9</v>
      </c>
      <c r="H5" s="19">
        <f>VLOOKUP(A5,Metrik!$C$2:$Y$959,8,0)</f>
        <v>5.5</v>
      </c>
      <c r="I5" s="20">
        <f>VLOOKUP(A5,Metrik!$C$2:$Y$959,9,0)</f>
        <v>1</v>
      </c>
      <c r="J5" s="20">
        <f>VLOOKUP(A5,Metrik!$C$2:$Y$959,10,0)</f>
        <v>18.6</v>
      </c>
      <c r="K5" s="20">
        <f>VLOOKUP(A5,Metrik!$C$2:$Y$959,11,0)</f>
        <v>12.2</v>
      </c>
      <c r="L5" s="20">
        <f>VLOOKUP(A5,Metrik!$C$2:$Y$959,12,0)</f>
        <v>0.53</v>
      </c>
      <c r="M5" s="20">
        <f>VLOOKUP(A5,Metrik!$C$2:$Y$959,19,0)</f>
        <v>67.3</v>
      </c>
      <c r="N5" s="21"/>
      <c r="O5" s="21"/>
      <c r="P5" s="21"/>
      <c r="Q5" s="21"/>
      <c r="R5" s="21"/>
      <c r="S5" s="21"/>
      <c r="T5" s="21"/>
      <c r="U5" s="22">
        <f>IFERROR(__xludf.DUMMYFUNCTION("IFERROR(GOOGLEFINANCE(A5,""closeyest""),"""")"),8050.0)</f>
        <v>8050</v>
      </c>
      <c r="V5" s="23">
        <f>IFERROR(__xludf.DUMMYFUNCTION("IFERROR(GOOGLEFINANCE(A5,""changepct""),"""")"),7.45)</f>
        <v>7.45</v>
      </c>
      <c r="W5" s="22">
        <f>IFERROR(__xludf.DUMMYFUNCTION("IFERROR(GOOGLEFINANCE(A5,""priceopen""),"""")"),8100.0)</f>
        <v>8100</v>
      </c>
      <c r="X5" s="22">
        <f>IFERROR(__xludf.DUMMYFUNCTION("IFERROR(GOOGLEFINANCE(A5,""high""),"""")"),8850.0)</f>
        <v>8850</v>
      </c>
      <c r="Y5" s="22">
        <f>IFERROR(__xludf.DUMMYFUNCTION("IFERROR(GOOGLEFINANCE(A5,""low""),"""")"),8050.0)</f>
        <v>8050</v>
      </c>
      <c r="Z5" s="22">
        <f>IFERROR(__xludf.DUMMYFUNCTION("IFERROR(GOOGLEFINANCE(A5,""volume""),"""")"),2.12622E7)</f>
        <v>21262200</v>
      </c>
      <c r="AA5" s="24" t="str">
        <f>VLOOKUP(A5,Metrik!$C$2:$Y$959,5,0)</f>
        <v>Coal</v>
      </c>
      <c r="AB5" s="24" t="str">
        <f>VLOOKUP(A5,Metrik!$C$2:$Y$959,3,0)</f>
        <v>Energy</v>
      </c>
    </row>
    <row r="6">
      <c r="A6" s="14" t="s">
        <v>27</v>
      </c>
      <c r="B6" s="14" t="str">
        <f t="array" ref="B6">VLOOKUP(A6,{Metrik!$C$2:$C$998,Metrik!$B$2:$B$998},2,0)</f>
        <v>Adaro Andalan Indonesia Tbk.</v>
      </c>
      <c r="C6" s="15">
        <f>IFERROR(__xludf.DUMMYFUNCTION("GOOGLEFINANCE(""IDX:""&amp;A6,""price"")"),8650.0)</f>
        <v>8650</v>
      </c>
      <c r="D6" s="16" t="str">
        <f>IFERROR(__xludf.DUMMYFUNCTION("IF(A6="""","""",
SPARKLINE(
INDEX(
GOOGLEFINANCE(""IDX:""&amp;A6,""close"",TODAY()-365,TODAY()),
,2
),
{""linewidth"",1}
))
"),"#N/A")</f>
        <v>#N/A</v>
      </c>
      <c r="E6" s="14" t="s">
        <v>33</v>
      </c>
      <c r="F6" s="14" t="s">
        <v>34</v>
      </c>
      <c r="G6" s="18">
        <f t="shared" si="1"/>
        <v>9</v>
      </c>
      <c r="H6" s="19">
        <f>VLOOKUP(A6,Metrik!$C$2:$Y$959,8,0)</f>
        <v>5.5</v>
      </c>
      <c r="I6" s="20">
        <f>VLOOKUP(A6,Metrik!$C$2:$Y$959,9,0)</f>
        <v>1</v>
      </c>
      <c r="J6" s="20">
        <f>VLOOKUP(A6,Metrik!$C$2:$Y$959,10,0)</f>
        <v>18.6</v>
      </c>
      <c r="K6" s="20">
        <f>VLOOKUP(A6,Metrik!$C$2:$Y$959,11,0)</f>
        <v>12.2</v>
      </c>
      <c r="L6" s="20">
        <f>VLOOKUP(A6,Metrik!$C$2:$Y$959,12,0)</f>
        <v>0.53</v>
      </c>
      <c r="M6" s="20">
        <f>VLOOKUP(A6,Metrik!$C$2:$Y$959,19,0)</f>
        <v>67.3</v>
      </c>
      <c r="N6" s="21"/>
      <c r="O6" s="21"/>
      <c r="P6" s="21"/>
      <c r="Q6" s="21"/>
      <c r="R6" s="21"/>
      <c r="S6" s="21"/>
      <c r="T6" s="21"/>
      <c r="U6" s="22">
        <f>IFERROR(__xludf.DUMMYFUNCTION("IFERROR(GOOGLEFINANCE(A6,""closeyest""),"""")"),8050.0)</f>
        <v>8050</v>
      </c>
      <c r="V6" s="23">
        <f>IFERROR(__xludf.DUMMYFUNCTION("IFERROR(GOOGLEFINANCE(A6,""changepct""),"""")"),7.45)</f>
        <v>7.45</v>
      </c>
      <c r="W6" s="22">
        <f>IFERROR(__xludf.DUMMYFUNCTION("IFERROR(GOOGLEFINANCE(A6,""priceopen""),"""")"),8100.0)</f>
        <v>8100</v>
      </c>
      <c r="X6" s="22">
        <f>IFERROR(__xludf.DUMMYFUNCTION("IFERROR(GOOGLEFINANCE(A6,""high""),"""")"),8850.0)</f>
        <v>8850</v>
      </c>
      <c r="Y6" s="22">
        <f>IFERROR(__xludf.DUMMYFUNCTION("IFERROR(GOOGLEFINANCE(A6,""low""),"""")"),8050.0)</f>
        <v>8050</v>
      </c>
      <c r="Z6" s="22">
        <f>IFERROR(__xludf.DUMMYFUNCTION("IFERROR(GOOGLEFINANCE(A6,""volume""),"""")"),2.12622E7)</f>
        <v>21262200</v>
      </c>
      <c r="AA6" s="24" t="str">
        <f>VLOOKUP(A6,Metrik!$C$2:$Y$959,5,0)</f>
        <v>Coal</v>
      </c>
      <c r="AB6" s="24" t="str">
        <f>VLOOKUP(A6,Metrik!$C$2:$Y$959,3,0)</f>
        <v>Energy</v>
      </c>
    </row>
    <row r="7">
      <c r="A7" s="17" t="s">
        <v>27</v>
      </c>
      <c r="B7" s="14" t="str">
        <f t="array" ref="B7">VLOOKUP(A7,{Metrik!$C$2:$C$998,Metrik!$B$2:$B$998},2,0)</f>
        <v>Adaro Andalan Indonesia Tbk.</v>
      </c>
      <c r="C7" s="15">
        <f>IFERROR(__xludf.DUMMYFUNCTION("GOOGLEFINANCE(""IDX:""&amp;A7,""price"")"),8650.0)</f>
        <v>8650</v>
      </c>
      <c r="D7" s="16" t="str">
        <f>IFERROR(__xludf.DUMMYFUNCTION("IF(A7="""","""",
SPARKLINE(
INDEX(
GOOGLEFINANCE(""IDX:""&amp;A7,""close"",TODAY()-365,TODAY()),
,2
),
{""linewidth"",1}
))
"),"#N/A")</f>
        <v>#N/A</v>
      </c>
      <c r="E7" s="14" t="s">
        <v>35</v>
      </c>
      <c r="F7" s="17" t="s">
        <v>36</v>
      </c>
      <c r="G7" s="24">
        <f t="shared" si="1"/>
        <v>9</v>
      </c>
      <c r="H7" s="19">
        <f>VLOOKUP(A7,Metrik!$C$2:$Y$959,8,0)</f>
        <v>5.5</v>
      </c>
      <c r="I7" s="20">
        <f>VLOOKUP(A7,Metrik!$C$2:$Y$959,9,0)</f>
        <v>1</v>
      </c>
      <c r="J7" s="20">
        <f>VLOOKUP(A7,Metrik!$C$2:$Y$959,10,0)</f>
        <v>18.6</v>
      </c>
      <c r="K7" s="20">
        <f>VLOOKUP(A7,Metrik!$C$2:$Y$959,11,0)</f>
        <v>12.2</v>
      </c>
      <c r="L7" s="20">
        <f>VLOOKUP(A7,Metrik!$C$2:$Y$959,12,0)</f>
        <v>0.53</v>
      </c>
      <c r="M7" s="20">
        <f>VLOOKUP(A7,Metrik!$C$2:$Y$959,19,0)</f>
        <v>67.3</v>
      </c>
      <c r="N7" s="21"/>
      <c r="O7" s="21"/>
      <c r="P7" s="21"/>
      <c r="Q7" s="21"/>
      <c r="R7" s="21"/>
      <c r="S7" s="21"/>
      <c r="T7" s="21"/>
      <c r="U7" s="22">
        <f>IFERROR(__xludf.DUMMYFUNCTION("IFERROR(GOOGLEFINANCE(A7,""closeyest""),"""")"),8050.0)</f>
        <v>8050</v>
      </c>
      <c r="V7" s="23">
        <f>IFERROR(__xludf.DUMMYFUNCTION("IFERROR(GOOGLEFINANCE(A7,""changepct""),"""")"),7.45)</f>
        <v>7.45</v>
      </c>
      <c r="W7" s="22">
        <f>IFERROR(__xludf.DUMMYFUNCTION("IFERROR(GOOGLEFINANCE(A7,""priceopen""),"""")"),8100.0)</f>
        <v>8100</v>
      </c>
      <c r="X7" s="22">
        <f>IFERROR(__xludf.DUMMYFUNCTION("IFERROR(GOOGLEFINANCE(A7,""high""),"""")"),8850.0)</f>
        <v>8850</v>
      </c>
      <c r="Y7" s="22">
        <f>IFERROR(__xludf.DUMMYFUNCTION("IFERROR(GOOGLEFINANCE(A7,""low""),"""")"),8050.0)</f>
        <v>8050</v>
      </c>
      <c r="Z7" s="22">
        <f>IFERROR(__xludf.DUMMYFUNCTION("IFERROR(GOOGLEFINANCE(A7,""volume""),"""")"),2.12622E7)</f>
        <v>21262200</v>
      </c>
      <c r="AA7" s="24" t="str">
        <f>VLOOKUP(A7,Metrik!$C$2:$Y$959,5,0)</f>
        <v>Coal</v>
      </c>
      <c r="AB7" s="24" t="str">
        <f>VLOOKUP(A7,Metrik!$C$2:$Y$959,3,0)</f>
        <v>Energy</v>
      </c>
    </row>
    <row r="8">
      <c r="A8" s="17" t="s">
        <v>27</v>
      </c>
      <c r="B8" s="14" t="str">
        <f t="array" ref="B8">VLOOKUP(A8,{Metrik!$C$2:$C$998,Metrik!$B$2:$B$998},2,0)</f>
        <v>Adaro Andalan Indonesia Tbk.</v>
      </c>
      <c r="C8" s="15">
        <f>IFERROR(__xludf.DUMMYFUNCTION("GOOGLEFINANCE(""IDX:""&amp;A8,""price"")"),8650.0)</f>
        <v>8650</v>
      </c>
      <c r="D8" s="16" t="str">
        <f>IFERROR(__xludf.DUMMYFUNCTION("IF(A8="""","""",
SPARKLINE(
INDEX(
GOOGLEFINANCE(""IDX:""&amp;A8,""close"",TODAY()-365,TODAY()),
,2
),
{""linewidth"",1}
))
"),"#N/A")</f>
        <v>#N/A</v>
      </c>
      <c r="E8" s="17" t="s">
        <v>37</v>
      </c>
      <c r="F8" s="17" t="s">
        <v>36</v>
      </c>
      <c r="G8" s="24">
        <f t="shared" si="1"/>
        <v>9</v>
      </c>
      <c r="H8" s="19">
        <f>VLOOKUP(A8,Metrik!$C$2:$Y$959,8,0)</f>
        <v>5.5</v>
      </c>
      <c r="I8" s="20">
        <f>VLOOKUP(A8,Metrik!$C$2:$Y$959,9,0)</f>
        <v>1</v>
      </c>
      <c r="J8" s="20">
        <f>VLOOKUP(A8,Metrik!$C$2:$Y$959,10,0)</f>
        <v>18.6</v>
      </c>
      <c r="K8" s="20">
        <f>VLOOKUP(A8,Metrik!$C$2:$Y$959,11,0)</f>
        <v>12.2</v>
      </c>
      <c r="L8" s="20">
        <f>VLOOKUP(A8,Metrik!$C$2:$Y$959,12,0)</f>
        <v>0.53</v>
      </c>
      <c r="M8" s="20">
        <f>VLOOKUP(A8,Metrik!$C$2:$Y$959,19,0)</f>
        <v>67.3</v>
      </c>
      <c r="N8" s="21"/>
      <c r="O8" s="21"/>
      <c r="P8" s="21"/>
      <c r="Q8" s="21"/>
      <c r="R8" s="21"/>
      <c r="S8" s="21"/>
      <c r="T8" s="21"/>
      <c r="U8" s="22">
        <f>IFERROR(__xludf.DUMMYFUNCTION("IFERROR(GOOGLEFINANCE(A8,""closeyest""),"""")"),8050.0)</f>
        <v>8050</v>
      </c>
      <c r="V8" s="23">
        <f>IFERROR(__xludf.DUMMYFUNCTION("IFERROR(GOOGLEFINANCE(A8,""changepct""),"""")"),7.45)</f>
        <v>7.45</v>
      </c>
      <c r="W8" s="22">
        <f>IFERROR(__xludf.DUMMYFUNCTION("IFERROR(GOOGLEFINANCE(A8,""priceopen""),"""")"),8100.0)</f>
        <v>8100</v>
      </c>
      <c r="X8" s="22">
        <f>IFERROR(__xludf.DUMMYFUNCTION("IFERROR(GOOGLEFINANCE(A8,""high""),"""")"),8850.0)</f>
        <v>8850</v>
      </c>
      <c r="Y8" s="22">
        <f>IFERROR(__xludf.DUMMYFUNCTION("IFERROR(GOOGLEFINANCE(A8,""low""),"""")"),8050.0)</f>
        <v>8050</v>
      </c>
      <c r="Z8" s="22">
        <f>IFERROR(__xludf.DUMMYFUNCTION("IFERROR(GOOGLEFINANCE(A8,""volume""),"""")"),2.12622E7)</f>
        <v>21262200</v>
      </c>
      <c r="AA8" s="24" t="str">
        <f>VLOOKUP(A8,Metrik!$C$2:$Y$959,5,0)</f>
        <v>Coal</v>
      </c>
      <c r="AB8" s="24" t="str">
        <f>VLOOKUP(A8,Metrik!$C$2:$Y$959,3,0)</f>
        <v>Energy</v>
      </c>
    </row>
    <row r="9">
      <c r="A9" s="14" t="s">
        <v>27</v>
      </c>
      <c r="B9" s="14" t="str">
        <f t="array" ref="B9">VLOOKUP(A9,{Metrik!$C$2:$C$998,Metrik!$B$2:$B$998},2,0)</f>
        <v>Adaro Andalan Indonesia Tbk.</v>
      </c>
      <c r="C9" s="15">
        <f>IFERROR(__xludf.DUMMYFUNCTION("GOOGLEFINANCE(""IDX:""&amp;A9,""price"")"),8650.0)</f>
        <v>8650</v>
      </c>
      <c r="D9" s="16" t="str">
        <f>IFERROR(__xludf.DUMMYFUNCTION("IF(A9="""","""",
SPARKLINE(
INDEX(
GOOGLEFINANCE(""IDX:""&amp;A9,""close"",TODAY()-365,TODAY()),
,2
),
{""linewidth"",1}
))
"),"#N/A")</f>
        <v>#N/A</v>
      </c>
      <c r="E9" s="14" t="s">
        <v>38</v>
      </c>
      <c r="F9" s="25">
        <v>46356.0</v>
      </c>
      <c r="G9" s="18">
        <f t="shared" si="1"/>
        <v>9</v>
      </c>
      <c r="H9" s="19">
        <f>VLOOKUP(A9,Metrik!$C$2:$Y$959,8,0)</f>
        <v>5.5</v>
      </c>
      <c r="I9" s="20">
        <f>VLOOKUP(A9,Metrik!$C$2:$Y$959,9,0)</f>
        <v>1</v>
      </c>
      <c r="J9" s="20">
        <f>VLOOKUP(A9,Metrik!$C$2:$Y$959,10,0)</f>
        <v>18.6</v>
      </c>
      <c r="K9" s="20">
        <f>VLOOKUP(A9,Metrik!$C$2:$Y$959,11,0)</f>
        <v>12.2</v>
      </c>
      <c r="L9" s="20">
        <f>VLOOKUP(A9,Metrik!$C$2:$Y$959,12,0)</f>
        <v>0.53</v>
      </c>
      <c r="M9" s="20">
        <f>VLOOKUP(A9,Metrik!$C$2:$Y$959,19,0)</f>
        <v>67.3</v>
      </c>
      <c r="N9" s="21"/>
      <c r="O9" s="21"/>
      <c r="P9" s="21"/>
      <c r="Q9" s="21"/>
      <c r="R9" s="21"/>
      <c r="S9" s="21"/>
      <c r="T9" s="21"/>
      <c r="U9" s="22">
        <f>IFERROR(__xludf.DUMMYFUNCTION("IFERROR(GOOGLEFINANCE(A9,""closeyest""),"""")"),8050.0)</f>
        <v>8050</v>
      </c>
      <c r="V9" s="23">
        <f>IFERROR(__xludf.DUMMYFUNCTION("IFERROR(GOOGLEFINANCE(A9,""changepct""),"""")"),7.45)</f>
        <v>7.45</v>
      </c>
      <c r="W9" s="22">
        <f>IFERROR(__xludf.DUMMYFUNCTION("IFERROR(GOOGLEFINANCE(A9,""priceopen""),"""")"),8100.0)</f>
        <v>8100</v>
      </c>
      <c r="X9" s="22">
        <f>IFERROR(__xludf.DUMMYFUNCTION("IFERROR(GOOGLEFINANCE(A9,""high""),"""")"),8850.0)</f>
        <v>8850</v>
      </c>
      <c r="Y9" s="22">
        <f>IFERROR(__xludf.DUMMYFUNCTION("IFERROR(GOOGLEFINANCE(A9,""low""),"""")"),8050.0)</f>
        <v>8050</v>
      </c>
      <c r="Z9" s="22">
        <f>IFERROR(__xludf.DUMMYFUNCTION("IFERROR(GOOGLEFINANCE(A9,""volume""),"""")"),2.12622E7)</f>
        <v>21262200</v>
      </c>
      <c r="AA9" s="24" t="str">
        <f>VLOOKUP(A9,Metrik!$C$2:$Y$959,5,0)</f>
        <v>Coal</v>
      </c>
      <c r="AB9" s="24" t="str">
        <f>VLOOKUP(A9,Metrik!$C$2:$Y$959,3,0)</f>
        <v>Energy</v>
      </c>
    </row>
    <row r="10">
      <c r="A10" s="14" t="s">
        <v>27</v>
      </c>
      <c r="B10" s="14" t="str">
        <f t="array" ref="B10">VLOOKUP(A10,{Metrik!$C$2:$C$998,Metrik!$B$2:$B$998},2,0)</f>
        <v>Adaro Andalan Indonesia Tbk.</v>
      </c>
      <c r="C10" s="15">
        <f>IFERROR(__xludf.DUMMYFUNCTION("GOOGLEFINANCE(""IDX:""&amp;A10,""price"")"),8650.0)</f>
        <v>8650</v>
      </c>
      <c r="D10" s="16" t="str">
        <f>IFERROR(__xludf.DUMMYFUNCTION("IF(A10="""","""",
SPARKLINE(
INDEX(
GOOGLEFINANCE(""IDX:""&amp;A10,""close"",TODAY()-365,TODAY()),
,2
),
{""linewidth"",1}
))
"),"#N/A")</f>
        <v>#N/A</v>
      </c>
      <c r="E10" s="14" t="s">
        <v>39</v>
      </c>
      <c r="F10" s="25">
        <v>46356.0</v>
      </c>
      <c r="G10" s="18">
        <f t="shared" si="1"/>
        <v>9</v>
      </c>
      <c r="H10" s="19">
        <f>VLOOKUP(A10,Metrik!$C$2:$Y$959,8,0)</f>
        <v>5.5</v>
      </c>
      <c r="I10" s="20">
        <f>VLOOKUP(A10,Metrik!$C$2:$Y$959,9,0)</f>
        <v>1</v>
      </c>
      <c r="J10" s="20">
        <f>VLOOKUP(A10,Metrik!$C$2:$Y$959,10,0)</f>
        <v>18.6</v>
      </c>
      <c r="K10" s="20">
        <f>VLOOKUP(A10,Metrik!$C$2:$Y$959,11,0)</f>
        <v>12.2</v>
      </c>
      <c r="L10" s="20">
        <f>VLOOKUP(A10,Metrik!$C$2:$Y$959,12,0)</f>
        <v>0.53</v>
      </c>
      <c r="M10" s="20">
        <f>VLOOKUP(A10,Metrik!$C$2:$Y$959,19,0)</f>
        <v>67.3</v>
      </c>
      <c r="N10" s="21"/>
      <c r="O10" s="21"/>
      <c r="P10" s="21"/>
      <c r="Q10" s="21"/>
      <c r="R10" s="21"/>
      <c r="S10" s="21"/>
      <c r="T10" s="21"/>
      <c r="U10" s="22">
        <f>IFERROR(__xludf.DUMMYFUNCTION("IFERROR(GOOGLEFINANCE(A10,""closeyest""),"""")"),8050.0)</f>
        <v>8050</v>
      </c>
      <c r="V10" s="23">
        <f>IFERROR(__xludf.DUMMYFUNCTION("IFERROR(GOOGLEFINANCE(A10,""changepct""),"""")"),7.45)</f>
        <v>7.45</v>
      </c>
      <c r="W10" s="22">
        <f>IFERROR(__xludf.DUMMYFUNCTION("IFERROR(GOOGLEFINANCE(A10,""priceopen""),"""")"),8100.0)</f>
        <v>8100</v>
      </c>
      <c r="X10" s="22">
        <f>IFERROR(__xludf.DUMMYFUNCTION("IFERROR(GOOGLEFINANCE(A10,""high""),"""")"),8850.0)</f>
        <v>8850</v>
      </c>
      <c r="Y10" s="22">
        <f>IFERROR(__xludf.DUMMYFUNCTION("IFERROR(GOOGLEFINANCE(A10,""low""),"""")"),8050.0)</f>
        <v>8050</v>
      </c>
      <c r="Z10" s="22">
        <f>IFERROR(__xludf.DUMMYFUNCTION("IFERROR(GOOGLEFINANCE(A10,""volume""),"""")"),2.12622E7)</f>
        <v>21262200</v>
      </c>
      <c r="AA10" s="24" t="str">
        <f>VLOOKUP(A10,Metrik!$C$2:$Y$959,5,0)</f>
        <v>Coal</v>
      </c>
      <c r="AB10" s="24" t="str">
        <f>VLOOKUP(A10,Metrik!$C$2:$Y$959,3,0)</f>
        <v>Energy</v>
      </c>
    </row>
    <row r="11">
      <c r="A11" s="14" t="s">
        <v>40</v>
      </c>
      <c r="B11" s="14" t="str">
        <f t="array" ref="B11">VLOOKUP(A11,{Metrik!$C$2:$C$998,Metrik!$B$2:$B$998},2,0)</f>
        <v>Astra Agro Lestari Tbk</v>
      </c>
      <c r="C11" s="15">
        <f>IFERROR(__xludf.DUMMYFUNCTION("GOOGLEFINANCE(""IDX:""&amp;A11,""price"")"),6175.0)</f>
        <v>6175</v>
      </c>
      <c r="D11" s="16" t="str">
        <f>IFERROR(__xludf.DUMMYFUNCTION("IF(A11="""","""",
SPARKLINE(
INDEX(
GOOGLEFINANCE(""IDX:""&amp;A11,""close"",TODAY()-365,TODAY()),
,2
),
{""linewidth"",1}
))
"),"#N/A")</f>
        <v>#N/A</v>
      </c>
      <c r="E11" s="14" t="s">
        <v>41</v>
      </c>
      <c r="F11" s="14" t="s">
        <v>34</v>
      </c>
      <c r="G11" s="24">
        <f t="shared" si="1"/>
        <v>2</v>
      </c>
      <c r="H11" s="19">
        <f>VLOOKUP(A11,Metrik!$C$2:$Y$959,8,0)</f>
        <v>8</v>
      </c>
      <c r="I11" s="20">
        <f>VLOOKUP(A11,Metrik!$C$2:$Y$959,9,0)</f>
        <v>0.51</v>
      </c>
      <c r="J11" s="20">
        <f>VLOOKUP(A11,Metrik!$C$2:$Y$959,10,0)</f>
        <v>6.4</v>
      </c>
      <c r="K11" s="20">
        <f>VLOOKUP(A11,Metrik!$C$2:$Y$959,11,0)</f>
        <v>5.6</v>
      </c>
      <c r="L11" s="20">
        <f>VLOOKUP(A11,Metrik!$C$2:$Y$959,12,0)</f>
        <v>0.14</v>
      </c>
      <c r="M11" s="20">
        <f>VLOOKUP(A11,Metrik!$C$2:$Y$959,19,0)</f>
        <v>20.9</v>
      </c>
      <c r="N11" s="21"/>
      <c r="O11" s="21"/>
      <c r="P11" s="21"/>
      <c r="Q11" s="21"/>
      <c r="R11" s="21"/>
      <c r="S11" s="21"/>
      <c r="T11" s="21"/>
      <c r="U11" s="22">
        <f>IFERROR(__xludf.DUMMYFUNCTION("IFERROR(GOOGLEFINANCE(A11,""closeyest""),"""")"),6050.0)</f>
        <v>6050</v>
      </c>
      <c r="V11" s="23">
        <f>IFERROR(__xludf.DUMMYFUNCTION("IFERROR(GOOGLEFINANCE(A11,""changepct""),"""")"),2.07)</f>
        <v>2.07</v>
      </c>
      <c r="W11" s="22">
        <f>IFERROR(__xludf.DUMMYFUNCTION("IFERROR(GOOGLEFINANCE(A11,""priceopen""),"""")"),6075.0)</f>
        <v>6075</v>
      </c>
      <c r="X11" s="22">
        <f>IFERROR(__xludf.DUMMYFUNCTION("IFERROR(GOOGLEFINANCE(A11,""high""),"""")"),6325.0)</f>
        <v>6325</v>
      </c>
      <c r="Y11" s="22">
        <f>IFERROR(__xludf.DUMMYFUNCTION("IFERROR(GOOGLEFINANCE(A11,""low""),"""")"),6025.0)</f>
        <v>6025</v>
      </c>
      <c r="Z11" s="22">
        <f>IFERROR(__xludf.DUMMYFUNCTION("IFERROR(GOOGLEFINANCE(A11,""volume""),"""")"),3068700.0)</f>
        <v>3068700</v>
      </c>
      <c r="AA11" s="24" t="str">
        <f>VLOOKUP(A11,Metrik!$C$2:$Y$959,5,0)</f>
        <v>Agricultural Products</v>
      </c>
      <c r="AB11" s="24" t="str">
        <f>VLOOKUP(A11,Metrik!$C$2:$Y$959,3,0)</f>
        <v>Consumer Non-Cyclicals</v>
      </c>
    </row>
    <row r="12">
      <c r="A12" s="14" t="s">
        <v>40</v>
      </c>
      <c r="B12" s="14" t="str">
        <f t="array" ref="B12">VLOOKUP(A12,{Metrik!$C$2:$C$998,Metrik!$B$2:$B$998},2,0)</f>
        <v>Astra Agro Lestari Tbk</v>
      </c>
      <c r="C12" s="15">
        <f>IFERROR(__xludf.DUMMYFUNCTION("GOOGLEFINANCE(""IDX:""&amp;A12,""price"")"),6175.0)</f>
        <v>6175</v>
      </c>
      <c r="D12" s="16" t="str">
        <f>IFERROR(__xludf.DUMMYFUNCTION("IF(A12="""","""",
SPARKLINE(
INDEX(
GOOGLEFINANCE(""IDX:""&amp;A12,""close"",TODAY()-365,TODAY()),
,2
),
{""linewidth"",1}
))
"),"#N/A")</f>
        <v>#N/A</v>
      </c>
      <c r="E12" s="14" t="s">
        <v>42</v>
      </c>
      <c r="F12" s="25">
        <v>46356.0</v>
      </c>
      <c r="G12" s="24">
        <f t="shared" si="1"/>
        <v>2</v>
      </c>
      <c r="H12" s="19">
        <f>VLOOKUP(A12,Metrik!$C$2:$Y$959,8,0)</f>
        <v>8</v>
      </c>
      <c r="I12" s="20">
        <f>VLOOKUP(A12,Metrik!$C$2:$Y$959,9,0)</f>
        <v>0.51</v>
      </c>
      <c r="J12" s="20">
        <f>VLOOKUP(A12,Metrik!$C$2:$Y$959,10,0)</f>
        <v>6.4</v>
      </c>
      <c r="K12" s="20">
        <f>VLOOKUP(A12,Metrik!$C$2:$Y$959,11,0)</f>
        <v>5.6</v>
      </c>
      <c r="L12" s="20">
        <f>VLOOKUP(A12,Metrik!$C$2:$Y$959,12,0)</f>
        <v>0.14</v>
      </c>
      <c r="M12" s="20">
        <f>VLOOKUP(A12,Metrik!$C$2:$Y$959,19,0)</f>
        <v>20.9</v>
      </c>
      <c r="N12" s="21"/>
      <c r="O12" s="21"/>
      <c r="P12" s="21"/>
      <c r="Q12" s="21"/>
      <c r="R12" s="21"/>
      <c r="S12" s="21"/>
      <c r="T12" s="21"/>
      <c r="U12" s="22">
        <f>IFERROR(__xludf.DUMMYFUNCTION("IFERROR(GOOGLEFINANCE(A12,""closeyest""),"""")"),6050.0)</f>
        <v>6050</v>
      </c>
      <c r="V12" s="23">
        <f>IFERROR(__xludf.DUMMYFUNCTION("IFERROR(GOOGLEFINANCE(A12,""changepct""),"""")"),2.07)</f>
        <v>2.07</v>
      </c>
      <c r="W12" s="22">
        <f>IFERROR(__xludf.DUMMYFUNCTION("IFERROR(GOOGLEFINANCE(A12,""priceopen""),"""")"),6075.0)</f>
        <v>6075</v>
      </c>
      <c r="X12" s="22">
        <f>IFERROR(__xludf.DUMMYFUNCTION("IFERROR(GOOGLEFINANCE(A12,""high""),"""")"),6325.0)</f>
        <v>6325</v>
      </c>
      <c r="Y12" s="22">
        <f>IFERROR(__xludf.DUMMYFUNCTION("IFERROR(GOOGLEFINANCE(A12,""low""),"""")"),6025.0)</f>
        <v>6025</v>
      </c>
      <c r="Z12" s="22">
        <f>IFERROR(__xludf.DUMMYFUNCTION("IFERROR(GOOGLEFINANCE(A12,""volume""),"""")"),3068700.0)</f>
        <v>3068700</v>
      </c>
      <c r="AA12" s="24" t="str">
        <f>VLOOKUP(A12,Metrik!$C$2:$Y$959,5,0)</f>
        <v>Agricultural Products</v>
      </c>
      <c r="AB12" s="24" t="str">
        <f>VLOOKUP(A12,Metrik!$C$2:$Y$959,3,0)</f>
        <v>Consumer Non-Cyclicals</v>
      </c>
    </row>
    <row r="13">
      <c r="A13" s="14" t="s">
        <v>43</v>
      </c>
      <c r="B13" s="14" t="str">
        <f t="array" ref="B13">VLOOKUP(A13,{Metrik!$C$2:$C$998,Metrik!$B$2:$B$998},2,0)</f>
        <v>Mahaka Media Tbk.</v>
      </c>
      <c r="C13" s="15">
        <f>IFERROR(__xludf.DUMMYFUNCTION("GOOGLEFINANCE(""IDX:""&amp;A13,""price"")"),35.0)</f>
        <v>35</v>
      </c>
      <c r="D13" s="16" t="str">
        <f>IFERROR(__xludf.DUMMYFUNCTION("IF(A13="""","""",
SPARKLINE(
INDEX(
GOOGLEFINANCE(""IDX:""&amp;A13,""close"",TODAY()-365,TODAY()),
,2
),
{""linewidth"",1}
))
"),"#N/A")</f>
        <v>#N/A</v>
      </c>
      <c r="E13" s="26"/>
      <c r="F13" s="26"/>
      <c r="G13" s="24">
        <f t="shared" si="1"/>
        <v>0</v>
      </c>
      <c r="H13" s="19">
        <f>VLOOKUP(A13,Metrik!$C$2:$Y$959,8,0)</f>
        <v>-5.5</v>
      </c>
      <c r="I13" s="20">
        <f>VLOOKUP(A13,Metrik!$C$2:$Y$959,9,0)</f>
        <v>-1.3</v>
      </c>
      <c r="J13" s="20">
        <f>VLOOKUP(A13,Metrik!$C$2:$Y$959,10,0)</f>
        <v>0</v>
      </c>
      <c r="K13" s="20">
        <f>VLOOKUP(A13,Metrik!$C$2:$Y$959,11,0)</f>
        <v>-11.1</v>
      </c>
      <c r="L13" s="20">
        <f>VLOOKUP(A13,Metrik!$C$2:$Y$959,12,0)</f>
        <v>-3.1</v>
      </c>
      <c r="M13" s="20">
        <f>VLOOKUP(A13,Metrik!$C$2:$Y$959,19,0)</f>
        <v>-91.1</v>
      </c>
      <c r="N13" s="21"/>
      <c r="O13" s="21"/>
      <c r="P13" s="21"/>
      <c r="Q13" s="21"/>
      <c r="R13" s="21"/>
      <c r="S13" s="21"/>
      <c r="T13" s="21"/>
      <c r="U13" s="22">
        <f>IFERROR(__xludf.DUMMYFUNCTION("IFERROR(GOOGLEFINANCE(A13,""closeyest""),"""")"),35.0)</f>
        <v>35</v>
      </c>
      <c r="V13" s="23">
        <f>IFERROR(__xludf.DUMMYFUNCTION("IFERROR(GOOGLEFINANCE(A13,""changepct""),"""")"),0.0)</f>
        <v>0</v>
      </c>
      <c r="W13" s="22">
        <f>IFERROR(__xludf.DUMMYFUNCTION("IFERROR(GOOGLEFINANCE(A13,""priceopen""),"""")"),35.0)</f>
        <v>35</v>
      </c>
      <c r="X13" s="22">
        <f>IFERROR(__xludf.DUMMYFUNCTION("IFERROR(GOOGLEFINANCE(A13,""high""),"""")"),35.0)</f>
        <v>35</v>
      </c>
      <c r="Y13" s="22">
        <f>IFERROR(__xludf.DUMMYFUNCTION("IFERROR(GOOGLEFINANCE(A13,""low""),"""")"),35.0)</f>
        <v>35</v>
      </c>
      <c r="Z13" s="22">
        <f>IFERROR(__xludf.DUMMYFUNCTION("IFERROR(GOOGLEFINANCE(A13,""volume""),"""")"),292000.0)</f>
        <v>292000</v>
      </c>
      <c r="AA13" s="24" t="str">
        <f>VLOOKUP(A13,Metrik!$C$2:$Y$959,5,0)</f>
        <v>Media</v>
      </c>
      <c r="AB13" s="24" t="str">
        <f>VLOOKUP(A13,Metrik!$C$2:$Y$959,3,0)</f>
        <v>Consumer Cyclicals</v>
      </c>
    </row>
    <row r="14">
      <c r="A14" s="14" t="s">
        <v>44</v>
      </c>
      <c r="B14" s="14" t="str">
        <f t="array" ref="B14">VLOOKUP(A14,{Metrik!$C$2:$C$998,Metrik!$B$2:$B$998},2,0)</f>
        <v>Asuransi Bina Dana Arta Tbk.</v>
      </c>
      <c r="C14" s="15">
        <f>IFERROR(__xludf.DUMMYFUNCTION("GOOGLEFINANCE(""IDX:""&amp;A14,""price"")"),3390.0)</f>
        <v>3390</v>
      </c>
      <c r="D14" s="16" t="str">
        <f>IFERROR(__xludf.DUMMYFUNCTION("IF(A14="""","""",
SPARKLINE(
INDEX(
GOOGLEFINANCE(""IDX:""&amp;A14,""close"",TODAY()-365,TODAY()),
,2
),
{""linewidth"",1}
))
"),"#N/A")</f>
        <v>#N/A</v>
      </c>
      <c r="E14" s="26"/>
      <c r="F14" s="26"/>
      <c r="G14" s="24">
        <f t="shared" si="1"/>
        <v>0</v>
      </c>
      <c r="H14" s="19">
        <f>VLOOKUP(A14,Metrik!$C$2:$Y$959,8,0)</f>
        <v>19.6</v>
      </c>
      <c r="I14" s="20">
        <f>VLOOKUP(A14,Metrik!$C$2:$Y$959,9,0)</f>
        <v>1.2</v>
      </c>
      <c r="J14" s="20">
        <f>VLOOKUP(A14,Metrik!$C$2:$Y$959,10,0)</f>
        <v>6.3</v>
      </c>
      <c r="K14" s="20">
        <f>VLOOKUP(A14,Metrik!$C$2:$Y$959,11,0)</f>
        <v>3.9</v>
      </c>
      <c r="L14" s="20">
        <f>VLOOKUP(A14,Metrik!$C$2:$Y$959,12,0)</f>
        <v>0.59</v>
      </c>
      <c r="M14" s="20">
        <f>VLOOKUP(A14,Metrik!$C$2:$Y$959,19,0)</f>
        <v>31.1</v>
      </c>
      <c r="N14" s="21"/>
      <c r="O14" s="21"/>
      <c r="P14" s="21"/>
      <c r="Q14" s="21"/>
      <c r="R14" s="21"/>
      <c r="S14" s="21"/>
      <c r="T14" s="21"/>
      <c r="U14" s="22">
        <f>IFERROR(__xludf.DUMMYFUNCTION("IFERROR(GOOGLEFINANCE(A14,""closeyest""),"""")"),3330.0)</f>
        <v>3330</v>
      </c>
      <c r="V14" s="23">
        <f>IFERROR(__xludf.DUMMYFUNCTION("IFERROR(GOOGLEFINANCE(A14,""changepct""),"""")"),1.8)</f>
        <v>1.8</v>
      </c>
      <c r="W14" s="22">
        <f>IFERROR(__xludf.DUMMYFUNCTION("IFERROR(GOOGLEFINANCE(A14,""priceopen""),"""")"),3430.0)</f>
        <v>3430</v>
      </c>
      <c r="X14" s="22">
        <f>IFERROR(__xludf.DUMMYFUNCTION("IFERROR(GOOGLEFINANCE(A14,""high""),"""")"),3430.0)</f>
        <v>3430</v>
      </c>
      <c r="Y14" s="22">
        <f>IFERROR(__xludf.DUMMYFUNCTION("IFERROR(GOOGLEFINANCE(A14,""low""),"""")"),3100.0)</f>
        <v>3100</v>
      </c>
      <c r="Z14" s="22">
        <f>IFERROR(__xludf.DUMMYFUNCTION("IFERROR(GOOGLEFINANCE(A14,""volume""),"""")"),10200.0)</f>
        <v>10200</v>
      </c>
      <c r="AA14" s="24" t="str">
        <f>VLOOKUP(A14,Metrik!$C$2:$Y$959,5,0)</f>
        <v>Insurance</v>
      </c>
      <c r="AB14" s="24" t="str">
        <f>VLOOKUP(A14,Metrik!$C$2:$Y$959,3,0)</f>
        <v>Financials</v>
      </c>
    </row>
    <row r="15">
      <c r="A15" s="14" t="s">
        <v>45</v>
      </c>
      <c r="B15" s="14" t="str">
        <f t="array" ref="B15">VLOOKUP(A15,{Metrik!$C$2:$C$998,Metrik!$B$2:$B$998},2,0)</f>
        <v>ABM Investama Tbk</v>
      </c>
      <c r="C15" s="15">
        <f>IFERROR(__xludf.DUMMYFUNCTION("GOOGLEFINANCE(""IDX:""&amp;A15,""price"")"),2420.0)</f>
        <v>2420</v>
      </c>
      <c r="D15" s="16" t="str">
        <f>IFERROR(__xludf.DUMMYFUNCTION("IF(A15="""","""",
SPARKLINE(
INDEX(
GOOGLEFINANCE(""IDX:""&amp;A15,""close"",TODAY()-365,TODAY()),
,2
),
{""linewidth"",1}
))
"),"#N/A")</f>
        <v>#N/A</v>
      </c>
      <c r="E15" s="26"/>
      <c r="F15" s="26"/>
      <c r="G15" s="24">
        <f t="shared" si="1"/>
        <v>0</v>
      </c>
      <c r="H15" s="19">
        <f>VLOOKUP(A15,Metrik!$C$2:$Y$959,8,0)</f>
        <v>6.2</v>
      </c>
      <c r="I15" s="20">
        <f>VLOOKUP(A15,Metrik!$C$2:$Y$959,9,0)</f>
        <v>0.43</v>
      </c>
      <c r="J15" s="20">
        <f>VLOOKUP(A15,Metrik!$C$2:$Y$959,10,0)</f>
        <v>7.1</v>
      </c>
      <c r="K15" s="20">
        <f>VLOOKUP(A15,Metrik!$C$2:$Y$959,11,0)</f>
        <v>3.1</v>
      </c>
      <c r="L15" s="20">
        <f>VLOOKUP(A15,Metrik!$C$2:$Y$959,12,0)</f>
        <v>1.3</v>
      </c>
      <c r="M15" s="20">
        <f>VLOOKUP(A15,Metrik!$C$2:$Y$959,19,0)</f>
        <v>28.4</v>
      </c>
      <c r="N15" s="21"/>
      <c r="O15" s="21"/>
      <c r="P15" s="21"/>
      <c r="Q15" s="21"/>
      <c r="R15" s="21"/>
      <c r="S15" s="21"/>
      <c r="T15" s="21"/>
      <c r="U15" s="22">
        <f>IFERROR(__xludf.DUMMYFUNCTION("IFERROR(GOOGLEFINANCE(A15,""closeyest""),"""")"),2300.0)</f>
        <v>2300</v>
      </c>
      <c r="V15" s="23">
        <f>IFERROR(__xludf.DUMMYFUNCTION("IFERROR(GOOGLEFINANCE(A15,""changepct""),"""")"),5.22)</f>
        <v>5.22</v>
      </c>
      <c r="W15" s="22">
        <f>IFERROR(__xludf.DUMMYFUNCTION("IFERROR(GOOGLEFINANCE(A15,""priceopen""),"""")"),2300.0)</f>
        <v>2300</v>
      </c>
      <c r="X15" s="22" t="str">
        <f>IFERROR(__xludf.DUMMYFUNCTION("IFERROR(GOOGLEFINANCE(A15,""high""),"""")"),"")</f>
        <v/>
      </c>
      <c r="Y15" s="22">
        <f>IFERROR(__xludf.DUMMYFUNCTION("IFERROR(GOOGLEFINANCE(A15,""low""),"""")"),2300.0)</f>
        <v>2300</v>
      </c>
      <c r="Z15" s="22">
        <f>IFERROR(__xludf.DUMMYFUNCTION("IFERROR(GOOGLEFINANCE(A15,""volume""),"""")"),739300.0)</f>
        <v>739300</v>
      </c>
      <c r="AA15" s="24" t="str">
        <f>VLOOKUP(A15,Metrik!$C$2:$Y$959,5,0)</f>
        <v>Multi-sector Holdings</v>
      </c>
      <c r="AB15" s="24" t="str">
        <f>VLOOKUP(A15,Metrik!$C$2:$Y$959,3,0)</f>
        <v>Industrials</v>
      </c>
    </row>
    <row r="16">
      <c r="A16" s="17" t="s">
        <v>46</v>
      </c>
      <c r="B16" s="14" t="str">
        <f t="array" ref="B16">VLOOKUP(A16,{Metrik!$C$2:$C$998,Metrik!$B$2:$B$998},2,0)</f>
        <v>Aspirasi Hidup Indonesia Tbk.</v>
      </c>
      <c r="C16" s="15">
        <f>IFERROR(__xludf.DUMMYFUNCTION("GOOGLEFINANCE(""IDX:""&amp;A16,""price"")"),356.0)</f>
        <v>356</v>
      </c>
      <c r="D16" s="16" t="str">
        <f>IFERROR(__xludf.DUMMYFUNCTION("IF(A16="""","""",
SPARKLINE(
INDEX(
GOOGLEFINANCE(""IDX:""&amp;A16,""close"",TODAY()-365,TODAY()),
,2
),
{""linewidth"",1}
))
"),"#N/A")</f>
        <v>#N/A</v>
      </c>
      <c r="E16" s="14" t="s">
        <v>47</v>
      </c>
      <c r="F16" s="25">
        <v>46356.0</v>
      </c>
      <c r="G16" s="18">
        <f t="shared" si="1"/>
        <v>11</v>
      </c>
      <c r="H16" s="19">
        <f>VLOOKUP(A16,Metrik!$C$2:$Y$959,8,0)</f>
        <v>8.6</v>
      </c>
      <c r="I16" s="20">
        <f>VLOOKUP(A16,Metrik!$C$2:$Y$959,9,0)</f>
        <v>0.88</v>
      </c>
      <c r="J16" s="20">
        <f>VLOOKUP(A16,Metrik!$C$2:$Y$959,10,0)</f>
        <v>10.2</v>
      </c>
      <c r="K16" s="20">
        <f>VLOOKUP(A16,Metrik!$C$2:$Y$959,11,0)</f>
        <v>8</v>
      </c>
      <c r="L16" s="20">
        <f>VLOOKUP(A16,Metrik!$C$2:$Y$959,12,0)</f>
        <v>0.28</v>
      </c>
      <c r="M16" s="20">
        <f>VLOOKUP(A16,Metrik!$C$2:$Y$959,19,0)</f>
        <v>29.4</v>
      </c>
      <c r="N16" s="21"/>
      <c r="O16" s="21"/>
      <c r="P16" s="21"/>
      <c r="Q16" s="21"/>
      <c r="R16" s="21"/>
      <c r="S16" s="21"/>
      <c r="T16" s="21"/>
      <c r="U16" s="22">
        <f>IFERROR(__xludf.DUMMYFUNCTION("IFERROR(GOOGLEFINANCE(A16,""closeyest""),"""")"),36.5)</f>
        <v>36.5</v>
      </c>
      <c r="V16" s="23">
        <f>IFERROR(__xludf.DUMMYFUNCTION("IFERROR(GOOGLEFINANCE(A16,""changepct""),"""")"),1.12)</f>
        <v>1.12</v>
      </c>
      <c r="W16" s="22">
        <f>IFERROR(__xludf.DUMMYFUNCTION("IFERROR(GOOGLEFINANCE(A16,""priceopen""),"""")"),36.6)</f>
        <v>36.6</v>
      </c>
      <c r="X16" s="22">
        <f>IFERROR(__xludf.DUMMYFUNCTION("IFERROR(GOOGLEFINANCE(A16,""high""),"""")"),36.98)</f>
        <v>36.98</v>
      </c>
      <c r="Y16" s="22">
        <f>IFERROR(__xludf.DUMMYFUNCTION("IFERROR(GOOGLEFINANCE(A16,""low""),"""")"),36.6)</f>
        <v>36.6</v>
      </c>
      <c r="Z16" s="22">
        <f>IFERROR(__xludf.DUMMYFUNCTION("IFERROR(GOOGLEFINANCE(A16,""volume""),"""")"),846.0)</f>
        <v>846</v>
      </c>
      <c r="AA16" s="24" t="str">
        <f>VLOOKUP(A16,Metrik!$C$2:$Y$959,5,0)</f>
        <v>Specialty Retail</v>
      </c>
      <c r="AB16" s="24" t="str">
        <f>VLOOKUP(A16,Metrik!$C$2:$Y$959,3,0)</f>
        <v>Consumer Cyclicals</v>
      </c>
    </row>
    <row r="17">
      <c r="A17" s="14" t="s">
        <v>46</v>
      </c>
      <c r="B17" s="14" t="str">
        <f t="array" ref="B17">VLOOKUP(A17,{Metrik!$C$2:$C$998,Metrik!$B$2:$B$998},2,0)</f>
        <v>Aspirasi Hidup Indonesia Tbk.</v>
      </c>
      <c r="C17" s="15">
        <f>IFERROR(__xludf.DUMMYFUNCTION("GOOGLEFINANCE(""IDX:""&amp;A17,""price"")"),356.0)</f>
        <v>356</v>
      </c>
      <c r="D17" s="16" t="str">
        <f>IFERROR(__xludf.DUMMYFUNCTION("IF(A17="""","""",
SPARKLINE(
INDEX(
GOOGLEFINANCE(""IDX:""&amp;A17,""close"",TODAY()-365,TODAY()),
,2
),
{""linewidth"",1}
))
"),"#N/A")</f>
        <v>#N/A</v>
      </c>
      <c r="E17" s="14" t="s">
        <v>48</v>
      </c>
      <c r="F17" s="14" t="s">
        <v>49</v>
      </c>
      <c r="G17" s="18">
        <f t="shared" si="1"/>
        <v>11</v>
      </c>
      <c r="H17" s="19">
        <f>VLOOKUP(A17,Metrik!$C$2:$Y$959,8,0)</f>
        <v>8.6</v>
      </c>
      <c r="I17" s="20">
        <f>VLOOKUP(A17,Metrik!$C$2:$Y$959,9,0)</f>
        <v>0.88</v>
      </c>
      <c r="J17" s="20">
        <f>VLOOKUP(A17,Metrik!$C$2:$Y$959,10,0)</f>
        <v>10.2</v>
      </c>
      <c r="K17" s="20">
        <f>VLOOKUP(A17,Metrik!$C$2:$Y$959,11,0)</f>
        <v>8</v>
      </c>
      <c r="L17" s="20">
        <f>VLOOKUP(A17,Metrik!$C$2:$Y$959,12,0)</f>
        <v>0.28</v>
      </c>
      <c r="M17" s="20">
        <f>VLOOKUP(A17,Metrik!$C$2:$Y$959,19,0)</f>
        <v>29.4</v>
      </c>
      <c r="N17" s="21"/>
      <c r="O17" s="21"/>
      <c r="P17" s="21"/>
      <c r="Q17" s="21"/>
      <c r="R17" s="21"/>
      <c r="S17" s="21"/>
      <c r="T17" s="21"/>
      <c r="U17" s="22">
        <f>IFERROR(__xludf.DUMMYFUNCTION("IFERROR(GOOGLEFINANCE(A17,""closeyest""),"""")"),36.5)</f>
        <v>36.5</v>
      </c>
      <c r="V17" s="23">
        <f>IFERROR(__xludf.DUMMYFUNCTION("IFERROR(GOOGLEFINANCE(A17,""changepct""),"""")"),1.12)</f>
        <v>1.12</v>
      </c>
      <c r="W17" s="22">
        <f>IFERROR(__xludf.DUMMYFUNCTION("IFERROR(GOOGLEFINANCE(A17,""priceopen""),"""")"),36.6)</f>
        <v>36.6</v>
      </c>
      <c r="X17" s="22">
        <f>IFERROR(__xludf.DUMMYFUNCTION("IFERROR(GOOGLEFINANCE(A17,""high""),"""")"),36.98)</f>
        <v>36.98</v>
      </c>
      <c r="Y17" s="22">
        <f>IFERROR(__xludf.DUMMYFUNCTION("IFERROR(GOOGLEFINANCE(A17,""low""),"""")"),36.6)</f>
        <v>36.6</v>
      </c>
      <c r="Z17" s="22">
        <f>IFERROR(__xludf.DUMMYFUNCTION("IFERROR(GOOGLEFINANCE(A17,""volume""),"""")"),846.0)</f>
        <v>846</v>
      </c>
      <c r="AA17" s="24" t="str">
        <f>VLOOKUP(A17,Metrik!$C$2:$Y$959,5,0)</f>
        <v>Specialty Retail</v>
      </c>
      <c r="AB17" s="24" t="str">
        <f>VLOOKUP(A17,Metrik!$C$2:$Y$959,3,0)</f>
        <v>Consumer Cyclicals</v>
      </c>
    </row>
    <row r="18">
      <c r="A18" s="14" t="s">
        <v>46</v>
      </c>
      <c r="B18" s="14" t="str">
        <f t="array" ref="B18">VLOOKUP(A18,{Metrik!$C$2:$C$998,Metrik!$B$2:$B$998},2,0)</f>
        <v>Aspirasi Hidup Indonesia Tbk.</v>
      </c>
      <c r="C18" s="15">
        <f>IFERROR(__xludf.DUMMYFUNCTION("GOOGLEFINANCE(""IDX:""&amp;A18,""price"")"),356.0)</f>
        <v>356</v>
      </c>
      <c r="D18" s="16" t="str">
        <f>IFERROR(__xludf.DUMMYFUNCTION("IF(A18="""","""",
SPARKLINE(
INDEX(
GOOGLEFINANCE(""IDX:""&amp;A18,""close"",TODAY()-365,TODAY()),
,2
),
{""linewidth"",1}
))
"),"#N/A")</f>
        <v>#N/A</v>
      </c>
      <c r="E18" s="14" t="s">
        <v>28</v>
      </c>
      <c r="F18" s="17" t="s">
        <v>29</v>
      </c>
      <c r="G18" s="18">
        <f t="shared" si="1"/>
        <v>11</v>
      </c>
      <c r="H18" s="19">
        <f>VLOOKUP(A18,Metrik!$C$2:$Y$959,8,0)</f>
        <v>8.6</v>
      </c>
      <c r="I18" s="20">
        <f>VLOOKUP(A18,Metrik!$C$2:$Y$959,9,0)</f>
        <v>0.88</v>
      </c>
      <c r="J18" s="20">
        <f>VLOOKUP(A18,Metrik!$C$2:$Y$959,10,0)</f>
        <v>10.2</v>
      </c>
      <c r="K18" s="20">
        <f>VLOOKUP(A18,Metrik!$C$2:$Y$959,11,0)</f>
        <v>8</v>
      </c>
      <c r="L18" s="20">
        <f>VLOOKUP(A18,Metrik!$C$2:$Y$959,12,0)</f>
        <v>0.28</v>
      </c>
      <c r="M18" s="20">
        <f>VLOOKUP(A18,Metrik!$C$2:$Y$959,19,0)</f>
        <v>29.4</v>
      </c>
      <c r="N18" s="21"/>
      <c r="O18" s="21"/>
      <c r="P18" s="21"/>
      <c r="Q18" s="21"/>
      <c r="R18" s="21"/>
      <c r="S18" s="21"/>
      <c r="T18" s="21"/>
      <c r="U18" s="22">
        <f>IFERROR(__xludf.DUMMYFUNCTION("IFERROR(GOOGLEFINANCE(A18,""closeyest""),"""")"),36.5)</f>
        <v>36.5</v>
      </c>
      <c r="V18" s="23">
        <f>IFERROR(__xludf.DUMMYFUNCTION("IFERROR(GOOGLEFINANCE(A18,""changepct""),"""")"),1.12)</f>
        <v>1.12</v>
      </c>
      <c r="W18" s="22">
        <f>IFERROR(__xludf.DUMMYFUNCTION("IFERROR(GOOGLEFINANCE(A18,""priceopen""),"""")"),36.6)</f>
        <v>36.6</v>
      </c>
      <c r="X18" s="22">
        <f>IFERROR(__xludf.DUMMYFUNCTION("IFERROR(GOOGLEFINANCE(A18,""high""),"""")"),36.98)</f>
        <v>36.98</v>
      </c>
      <c r="Y18" s="22">
        <f>IFERROR(__xludf.DUMMYFUNCTION("IFERROR(GOOGLEFINANCE(A18,""low""),"""")"),36.6)</f>
        <v>36.6</v>
      </c>
      <c r="Z18" s="22">
        <f>IFERROR(__xludf.DUMMYFUNCTION("IFERROR(GOOGLEFINANCE(A18,""volume""),"""")"),846.0)</f>
        <v>846</v>
      </c>
      <c r="AA18" s="24" t="str">
        <f>VLOOKUP(A18,Metrik!$C$2:$Y$959,5,0)</f>
        <v>Specialty Retail</v>
      </c>
      <c r="AB18" s="24" t="str">
        <f>VLOOKUP(A18,Metrik!$C$2:$Y$959,3,0)</f>
        <v>Consumer Cyclicals</v>
      </c>
    </row>
    <row r="19">
      <c r="A19" s="14" t="s">
        <v>46</v>
      </c>
      <c r="B19" s="14" t="str">
        <f t="array" ref="B19">VLOOKUP(A19,{Metrik!$C$2:$C$998,Metrik!$B$2:$B$998},2,0)</f>
        <v>Aspirasi Hidup Indonesia Tbk.</v>
      </c>
      <c r="C19" s="15">
        <f>IFERROR(__xludf.DUMMYFUNCTION("GOOGLEFINANCE(""IDX:""&amp;A19,""price"")"),356.0)</f>
        <v>356</v>
      </c>
      <c r="D19" s="16" t="str">
        <f>IFERROR(__xludf.DUMMYFUNCTION("IF(A19="""","""",
SPARKLINE(
INDEX(
GOOGLEFINANCE(""IDX:""&amp;A19,""close"",TODAY()-365,TODAY()),
,2
),
{""linewidth"",1}
))
"),"#N/A")</f>
        <v>#N/A</v>
      </c>
      <c r="E19" s="14" t="s">
        <v>50</v>
      </c>
      <c r="F19" s="17" t="s">
        <v>51</v>
      </c>
      <c r="G19" s="18">
        <f t="shared" si="1"/>
        <v>11</v>
      </c>
      <c r="H19" s="19">
        <f>VLOOKUP(A19,Metrik!$C$2:$Y$959,8,0)</f>
        <v>8.6</v>
      </c>
      <c r="I19" s="20">
        <f>VLOOKUP(A19,Metrik!$C$2:$Y$959,9,0)</f>
        <v>0.88</v>
      </c>
      <c r="J19" s="20">
        <f>VLOOKUP(A19,Metrik!$C$2:$Y$959,10,0)</f>
        <v>10.2</v>
      </c>
      <c r="K19" s="20">
        <f>VLOOKUP(A19,Metrik!$C$2:$Y$959,11,0)</f>
        <v>8</v>
      </c>
      <c r="L19" s="20">
        <f>VLOOKUP(A19,Metrik!$C$2:$Y$959,12,0)</f>
        <v>0.28</v>
      </c>
      <c r="M19" s="20">
        <f>VLOOKUP(A19,Metrik!$C$2:$Y$959,19,0)</f>
        <v>29.4</v>
      </c>
      <c r="N19" s="21"/>
      <c r="O19" s="21"/>
      <c r="P19" s="21"/>
      <c r="Q19" s="21"/>
      <c r="R19" s="21"/>
      <c r="S19" s="21"/>
      <c r="T19" s="21"/>
      <c r="U19" s="22">
        <f>IFERROR(__xludf.DUMMYFUNCTION("IFERROR(GOOGLEFINANCE(A19,""closeyest""),"""")"),36.5)</f>
        <v>36.5</v>
      </c>
      <c r="V19" s="23">
        <f>IFERROR(__xludf.DUMMYFUNCTION("IFERROR(GOOGLEFINANCE(A19,""changepct""),"""")"),1.12)</f>
        <v>1.12</v>
      </c>
      <c r="W19" s="22">
        <f>IFERROR(__xludf.DUMMYFUNCTION("IFERROR(GOOGLEFINANCE(A19,""priceopen""),"""")"),36.6)</f>
        <v>36.6</v>
      </c>
      <c r="X19" s="22">
        <f>IFERROR(__xludf.DUMMYFUNCTION("IFERROR(GOOGLEFINANCE(A19,""high""),"""")"),36.98)</f>
        <v>36.98</v>
      </c>
      <c r="Y19" s="22">
        <f>IFERROR(__xludf.DUMMYFUNCTION("IFERROR(GOOGLEFINANCE(A19,""low""),"""")"),36.6)</f>
        <v>36.6</v>
      </c>
      <c r="Z19" s="22">
        <f>IFERROR(__xludf.DUMMYFUNCTION("IFERROR(GOOGLEFINANCE(A19,""volume""),"""")"),846.0)</f>
        <v>846</v>
      </c>
      <c r="AA19" s="24" t="str">
        <f>VLOOKUP(A19,Metrik!$C$2:$Y$959,5,0)</f>
        <v>Specialty Retail</v>
      </c>
      <c r="AB19" s="24" t="str">
        <f>VLOOKUP(A19,Metrik!$C$2:$Y$959,3,0)</f>
        <v>Consumer Cyclicals</v>
      </c>
    </row>
    <row r="20">
      <c r="A20" s="14" t="s">
        <v>46</v>
      </c>
      <c r="B20" s="14" t="str">
        <f t="array" ref="B20">VLOOKUP(A20,{Metrik!$C$2:$C$998,Metrik!$B$2:$B$998},2,0)</f>
        <v>Aspirasi Hidup Indonesia Tbk.</v>
      </c>
      <c r="C20" s="15">
        <f>IFERROR(__xludf.DUMMYFUNCTION("GOOGLEFINANCE(""IDX:""&amp;A20,""price"")"),356.0)</f>
        <v>356</v>
      </c>
      <c r="D20" s="16" t="str">
        <f>IFERROR(__xludf.DUMMYFUNCTION("IF(A20="""","""",
SPARKLINE(
INDEX(
GOOGLEFINANCE(""IDX:""&amp;A20,""close"",TODAY()-365,TODAY()),
,2
),
{""linewidth"",1}
))
"),"#N/A")</f>
        <v>#N/A</v>
      </c>
      <c r="E20" s="14" t="s">
        <v>52</v>
      </c>
      <c r="F20" s="27" t="s">
        <v>53</v>
      </c>
      <c r="G20" s="18">
        <f t="shared" si="1"/>
        <v>11</v>
      </c>
      <c r="H20" s="19">
        <f>VLOOKUP(A20,Metrik!$C$2:$Y$959,8,0)</f>
        <v>8.6</v>
      </c>
      <c r="I20" s="20">
        <f>VLOOKUP(A20,Metrik!$C$2:$Y$959,9,0)</f>
        <v>0.88</v>
      </c>
      <c r="J20" s="20">
        <f>VLOOKUP(A20,Metrik!$C$2:$Y$959,10,0)</f>
        <v>10.2</v>
      </c>
      <c r="K20" s="20">
        <f>VLOOKUP(A20,Metrik!$C$2:$Y$959,11,0)</f>
        <v>8</v>
      </c>
      <c r="L20" s="20">
        <f>VLOOKUP(A20,Metrik!$C$2:$Y$959,12,0)</f>
        <v>0.28</v>
      </c>
      <c r="M20" s="20">
        <f>VLOOKUP(A20,Metrik!$C$2:$Y$959,19,0)</f>
        <v>29.4</v>
      </c>
      <c r="N20" s="21"/>
      <c r="O20" s="21"/>
      <c r="P20" s="21"/>
      <c r="Q20" s="21"/>
      <c r="R20" s="21"/>
      <c r="S20" s="21"/>
      <c r="T20" s="21"/>
      <c r="U20" s="22">
        <f>IFERROR(__xludf.DUMMYFUNCTION("IFERROR(GOOGLEFINANCE(A20,""closeyest""),"""")"),36.5)</f>
        <v>36.5</v>
      </c>
      <c r="V20" s="23">
        <f>IFERROR(__xludf.DUMMYFUNCTION("IFERROR(GOOGLEFINANCE(A20,""changepct""),"""")"),1.12)</f>
        <v>1.12</v>
      </c>
      <c r="W20" s="22">
        <f>IFERROR(__xludf.DUMMYFUNCTION("IFERROR(GOOGLEFINANCE(A20,""priceopen""),"""")"),36.6)</f>
        <v>36.6</v>
      </c>
      <c r="X20" s="22">
        <f>IFERROR(__xludf.DUMMYFUNCTION("IFERROR(GOOGLEFINANCE(A20,""high""),"""")"),36.98)</f>
        <v>36.98</v>
      </c>
      <c r="Y20" s="22">
        <f>IFERROR(__xludf.DUMMYFUNCTION("IFERROR(GOOGLEFINANCE(A20,""low""),"""")"),36.6)</f>
        <v>36.6</v>
      </c>
      <c r="Z20" s="22">
        <f>IFERROR(__xludf.DUMMYFUNCTION("IFERROR(GOOGLEFINANCE(A20,""volume""),"""")"),846.0)</f>
        <v>846</v>
      </c>
      <c r="AA20" s="24" t="str">
        <f>VLOOKUP(A20,Metrik!$C$2:$Y$959,5,0)</f>
        <v>Specialty Retail</v>
      </c>
      <c r="AB20" s="24" t="str">
        <f>VLOOKUP(A20,Metrik!$C$2:$Y$959,3,0)</f>
        <v>Consumer Cyclicals</v>
      </c>
    </row>
    <row r="21">
      <c r="A21" s="14" t="s">
        <v>46</v>
      </c>
      <c r="B21" s="14" t="str">
        <f t="array" ref="B21">VLOOKUP(A21,{Metrik!$C$2:$C$998,Metrik!$B$2:$B$998},2,0)</f>
        <v>Aspirasi Hidup Indonesia Tbk.</v>
      </c>
      <c r="C21" s="15">
        <f>IFERROR(__xludf.DUMMYFUNCTION("GOOGLEFINANCE(""IDX:""&amp;A21,""price"")"),356.0)</f>
        <v>356</v>
      </c>
      <c r="D21" s="16" t="str">
        <f>IFERROR(__xludf.DUMMYFUNCTION("IF(A21="""","""",
SPARKLINE(
INDEX(
GOOGLEFINANCE(""IDX:""&amp;A21,""close"",TODAY()-365,TODAY()),
,2
),
{""linewidth"",1}
))
"),"#N/A")</f>
        <v>#N/A</v>
      </c>
      <c r="E21" s="14" t="s">
        <v>32</v>
      </c>
      <c r="F21" s="14" t="s">
        <v>29</v>
      </c>
      <c r="G21" s="18">
        <f t="shared" si="1"/>
        <v>11</v>
      </c>
      <c r="H21" s="19">
        <f>VLOOKUP(A21,Metrik!$C$2:$Y$959,8,0)</f>
        <v>8.6</v>
      </c>
      <c r="I21" s="20">
        <f>VLOOKUP(A21,Metrik!$C$2:$Y$959,9,0)</f>
        <v>0.88</v>
      </c>
      <c r="J21" s="20">
        <f>VLOOKUP(A21,Metrik!$C$2:$Y$959,10,0)</f>
        <v>10.2</v>
      </c>
      <c r="K21" s="20">
        <f>VLOOKUP(A21,Metrik!$C$2:$Y$959,11,0)</f>
        <v>8</v>
      </c>
      <c r="L21" s="20">
        <f>VLOOKUP(A21,Metrik!$C$2:$Y$959,12,0)</f>
        <v>0.28</v>
      </c>
      <c r="M21" s="20">
        <f>VLOOKUP(A21,Metrik!$C$2:$Y$959,19,0)</f>
        <v>29.4</v>
      </c>
      <c r="N21" s="21"/>
      <c r="O21" s="21"/>
      <c r="P21" s="21"/>
      <c r="Q21" s="21"/>
      <c r="R21" s="21"/>
      <c r="S21" s="21"/>
      <c r="T21" s="21"/>
      <c r="U21" s="22">
        <f>IFERROR(__xludf.DUMMYFUNCTION("IFERROR(GOOGLEFINANCE(A21,""closeyest""),"""")"),36.5)</f>
        <v>36.5</v>
      </c>
      <c r="V21" s="23">
        <f>IFERROR(__xludf.DUMMYFUNCTION("IFERROR(GOOGLEFINANCE(A21,""changepct""),"""")"),1.12)</f>
        <v>1.12</v>
      </c>
      <c r="W21" s="22">
        <f>IFERROR(__xludf.DUMMYFUNCTION("IFERROR(GOOGLEFINANCE(A21,""priceopen""),"""")"),36.6)</f>
        <v>36.6</v>
      </c>
      <c r="X21" s="22">
        <f>IFERROR(__xludf.DUMMYFUNCTION("IFERROR(GOOGLEFINANCE(A21,""high""),"""")"),36.98)</f>
        <v>36.98</v>
      </c>
      <c r="Y21" s="22">
        <f>IFERROR(__xludf.DUMMYFUNCTION("IFERROR(GOOGLEFINANCE(A21,""low""),"""")"),36.6)</f>
        <v>36.6</v>
      </c>
      <c r="Z21" s="22">
        <f>IFERROR(__xludf.DUMMYFUNCTION("IFERROR(GOOGLEFINANCE(A21,""volume""),"""")"),846.0)</f>
        <v>846</v>
      </c>
      <c r="AA21" s="24" t="str">
        <f>VLOOKUP(A21,Metrik!$C$2:$Y$959,5,0)</f>
        <v>Specialty Retail</v>
      </c>
      <c r="AB21" s="24" t="str">
        <f>VLOOKUP(A21,Metrik!$C$2:$Y$959,3,0)</f>
        <v>Consumer Cyclicals</v>
      </c>
    </row>
    <row r="22">
      <c r="A22" s="14" t="s">
        <v>46</v>
      </c>
      <c r="B22" s="14" t="str">
        <f t="array" ref="B22">VLOOKUP(A22,{Metrik!$C$2:$C$998,Metrik!$B$2:$B$998},2,0)</f>
        <v>Aspirasi Hidup Indonesia Tbk.</v>
      </c>
      <c r="C22" s="15">
        <f>IFERROR(__xludf.DUMMYFUNCTION("GOOGLEFINANCE(""IDX:""&amp;A22,""price"")"),356.0)</f>
        <v>356</v>
      </c>
      <c r="D22" s="16" t="str">
        <f>IFERROR(__xludf.DUMMYFUNCTION("IF(A22="""","""",
SPARKLINE(
INDEX(
GOOGLEFINANCE(""IDX:""&amp;A22,""close"",TODAY()-365,TODAY()),
,2
),
{""linewidth"",1}
))
"),"#N/A")</f>
        <v>#N/A</v>
      </c>
      <c r="E22" s="14" t="s">
        <v>54</v>
      </c>
      <c r="F22" s="14" t="s">
        <v>34</v>
      </c>
      <c r="G22" s="18">
        <f t="shared" si="1"/>
        <v>11</v>
      </c>
      <c r="H22" s="19">
        <f>VLOOKUP(A22,Metrik!$C$2:$Y$959,8,0)</f>
        <v>8.6</v>
      </c>
      <c r="I22" s="20">
        <f>VLOOKUP(A22,Metrik!$C$2:$Y$959,9,0)</f>
        <v>0.88</v>
      </c>
      <c r="J22" s="20">
        <f>VLOOKUP(A22,Metrik!$C$2:$Y$959,10,0)</f>
        <v>10.2</v>
      </c>
      <c r="K22" s="20">
        <f>VLOOKUP(A22,Metrik!$C$2:$Y$959,11,0)</f>
        <v>8</v>
      </c>
      <c r="L22" s="20">
        <f>VLOOKUP(A22,Metrik!$C$2:$Y$959,12,0)</f>
        <v>0.28</v>
      </c>
      <c r="M22" s="20">
        <f>VLOOKUP(A22,Metrik!$C$2:$Y$959,19,0)</f>
        <v>29.4</v>
      </c>
      <c r="N22" s="21"/>
      <c r="O22" s="21"/>
      <c r="P22" s="21"/>
      <c r="Q22" s="21"/>
      <c r="R22" s="21"/>
      <c r="S22" s="21"/>
      <c r="T22" s="21"/>
      <c r="U22" s="22">
        <f>IFERROR(__xludf.DUMMYFUNCTION("IFERROR(GOOGLEFINANCE(A22,""closeyest""),"""")"),36.5)</f>
        <v>36.5</v>
      </c>
      <c r="V22" s="23">
        <f>IFERROR(__xludf.DUMMYFUNCTION("IFERROR(GOOGLEFINANCE(A22,""changepct""),"""")"),1.12)</f>
        <v>1.12</v>
      </c>
      <c r="W22" s="22">
        <f>IFERROR(__xludf.DUMMYFUNCTION("IFERROR(GOOGLEFINANCE(A22,""priceopen""),"""")"),36.6)</f>
        <v>36.6</v>
      </c>
      <c r="X22" s="22">
        <f>IFERROR(__xludf.DUMMYFUNCTION("IFERROR(GOOGLEFINANCE(A22,""high""),"""")"),36.98)</f>
        <v>36.98</v>
      </c>
      <c r="Y22" s="22">
        <f>IFERROR(__xludf.DUMMYFUNCTION("IFERROR(GOOGLEFINANCE(A22,""low""),"""")"),36.6)</f>
        <v>36.6</v>
      </c>
      <c r="Z22" s="22">
        <f>IFERROR(__xludf.DUMMYFUNCTION("IFERROR(GOOGLEFINANCE(A22,""volume""),"""")"),846.0)</f>
        <v>846</v>
      </c>
      <c r="AA22" s="24" t="str">
        <f>VLOOKUP(A22,Metrik!$C$2:$Y$959,5,0)</f>
        <v>Specialty Retail</v>
      </c>
      <c r="AB22" s="24" t="str">
        <f>VLOOKUP(A22,Metrik!$C$2:$Y$959,3,0)</f>
        <v>Consumer Cyclicals</v>
      </c>
    </row>
    <row r="23">
      <c r="A23" s="14" t="s">
        <v>46</v>
      </c>
      <c r="B23" s="14" t="str">
        <f t="array" ref="B23">VLOOKUP(A23,{Metrik!$C$2:$C$998,Metrik!$B$2:$B$998},2,0)</f>
        <v>Aspirasi Hidup Indonesia Tbk.</v>
      </c>
      <c r="C23" s="15">
        <f>IFERROR(__xludf.DUMMYFUNCTION("GOOGLEFINANCE(""IDX:""&amp;A23,""price"")"),356.0)</f>
        <v>356</v>
      </c>
      <c r="D23" s="16" t="str">
        <f>IFERROR(__xludf.DUMMYFUNCTION("IF(A23="""","""",
SPARKLINE(
INDEX(
GOOGLEFINANCE(""IDX:""&amp;A23,""close"",TODAY()-365,TODAY()),
,2
),
{""linewidth"",1}
))
"),"#N/A")</f>
        <v>#N/A</v>
      </c>
      <c r="E23" s="14" t="s">
        <v>41</v>
      </c>
      <c r="F23" s="14" t="s">
        <v>34</v>
      </c>
      <c r="G23" s="18">
        <f t="shared" si="1"/>
        <v>11</v>
      </c>
      <c r="H23" s="19">
        <f>VLOOKUP(A23,Metrik!$C$2:$Y$959,8,0)</f>
        <v>8.6</v>
      </c>
      <c r="I23" s="20">
        <f>VLOOKUP(A23,Metrik!$C$2:$Y$959,9,0)</f>
        <v>0.88</v>
      </c>
      <c r="J23" s="20">
        <f>VLOOKUP(A23,Metrik!$C$2:$Y$959,10,0)</f>
        <v>10.2</v>
      </c>
      <c r="K23" s="20">
        <f>VLOOKUP(A23,Metrik!$C$2:$Y$959,11,0)</f>
        <v>8</v>
      </c>
      <c r="L23" s="20">
        <f>VLOOKUP(A23,Metrik!$C$2:$Y$959,12,0)</f>
        <v>0.28</v>
      </c>
      <c r="M23" s="20">
        <f>VLOOKUP(A23,Metrik!$C$2:$Y$959,19,0)</f>
        <v>29.4</v>
      </c>
      <c r="N23" s="21"/>
      <c r="O23" s="21"/>
      <c r="P23" s="21"/>
      <c r="Q23" s="21"/>
      <c r="R23" s="21"/>
      <c r="S23" s="21"/>
      <c r="T23" s="21"/>
      <c r="U23" s="22">
        <f>IFERROR(__xludf.DUMMYFUNCTION("IFERROR(GOOGLEFINANCE(A23,""closeyest""),"""")"),36.5)</f>
        <v>36.5</v>
      </c>
      <c r="V23" s="23">
        <f>IFERROR(__xludf.DUMMYFUNCTION("IFERROR(GOOGLEFINANCE(A23,""changepct""),"""")"),1.12)</f>
        <v>1.12</v>
      </c>
      <c r="W23" s="22">
        <f>IFERROR(__xludf.DUMMYFUNCTION("IFERROR(GOOGLEFINANCE(A23,""priceopen""),"""")"),36.6)</f>
        <v>36.6</v>
      </c>
      <c r="X23" s="22">
        <f>IFERROR(__xludf.DUMMYFUNCTION("IFERROR(GOOGLEFINANCE(A23,""high""),"""")"),36.98)</f>
        <v>36.98</v>
      </c>
      <c r="Y23" s="22">
        <f>IFERROR(__xludf.DUMMYFUNCTION("IFERROR(GOOGLEFINANCE(A23,""low""),"""")"),36.6)</f>
        <v>36.6</v>
      </c>
      <c r="Z23" s="22">
        <f>IFERROR(__xludf.DUMMYFUNCTION("IFERROR(GOOGLEFINANCE(A23,""volume""),"""")"),846.0)</f>
        <v>846</v>
      </c>
      <c r="AA23" s="24" t="str">
        <f>VLOOKUP(A23,Metrik!$C$2:$Y$959,5,0)</f>
        <v>Specialty Retail</v>
      </c>
      <c r="AB23" s="24" t="str">
        <f>VLOOKUP(A23,Metrik!$C$2:$Y$959,3,0)</f>
        <v>Consumer Cyclicals</v>
      </c>
    </row>
    <row r="24">
      <c r="A24" s="14" t="s">
        <v>46</v>
      </c>
      <c r="B24" s="14" t="str">
        <f t="array" ref="B24">VLOOKUP(A24,{Metrik!$C$2:$C$998,Metrik!$B$2:$B$998},2,0)</f>
        <v>Aspirasi Hidup Indonesia Tbk.</v>
      </c>
      <c r="C24" s="15">
        <f>IFERROR(__xludf.DUMMYFUNCTION("GOOGLEFINANCE(""IDX:""&amp;A24,""price"")"),356.0)</f>
        <v>356</v>
      </c>
      <c r="D24" s="16" t="str">
        <f>IFERROR(__xludf.DUMMYFUNCTION("IF(A24="""","""",
SPARKLINE(
INDEX(
GOOGLEFINANCE(""IDX:""&amp;A24,""close"",TODAY()-365,TODAY()),
,2
),
{""linewidth"",1}
))
"),"#N/A")</f>
        <v>#N/A</v>
      </c>
      <c r="E24" s="14" t="s">
        <v>33</v>
      </c>
      <c r="F24" s="14" t="s">
        <v>34</v>
      </c>
      <c r="G24" s="18">
        <f t="shared" si="1"/>
        <v>11</v>
      </c>
      <c r="H24" s="19">
        <f>VLOOKUP(A24,Metrik!$C$2:$Y$959,8,0)</f>
        <v>8.6</v>
      </c>
      <c r="I24" s="20">
        <f>VLOOKUP(A24,Metrik!$C$2:$Y$959,9,0)</f>
        <v>0.88</v>
      </c>
      <c r="J24" s="20">
        <f>VLOOKUP(A24,Metrik!$C$2:$Y$959,10,0)</f>
        <v>10.2</v>
      </c>
      <c r="K24" s="20">
        <f>VLOOKUP(A24,Metrik!$C$2:$Y$959,11,0)</f>
        <v>8</v>
      </c>
      <c r="L24" s="20">
        <f>VLOOKUP(A24,Metrik!$C$2:$Y$959,12,0)</f>
        <v>0.28</v>
      </c>
      <c r="M24" s="20">
        <f>VLOOKUP(A24,Metrik!$C$2:$Y$959,19,0)</f>
        <v>29.4</v>
      </c>
      <c r="N24" s="21"/>
      <c r="O24" s="21"/>
      <c r="P24" s="21"/>
      <c r="Q24" s="21"/>
      <c r="R24" s="21"/>
      <c r="S24" s="21"/>
      <c r="T24" s="21"/>
      <c r="U24" s="22">
        <f>IFERROR(__xludf.DUMMYFUNCTION("IFERROR(GOOGLEFINANCE(A24,""closeyest""),"""")"),36.5)</f>
        <v>36.5</v>
      </c>
      <c r="V24" s="23">
        <f>IFERROR(__xludf.DUMMYFUNCTION("IFERROR(GOOGLEFINANCE(A24,""changepct""),"""")"),1.12)</f>
        <v>1.12</v>
      </c>
      <c r="W24" s="22">
        <f>IFERROR(__xludf.DUMMYFUNCTION("IFERROR(GOOGLEFINANCE(A24,""priceopen""),"""")"),36.6)</f>
        <v>36.6</v>
      </c>
      <c r="X24" s="22">
        <f>IFERROR(__xludf.DUMMYFUNCTION("IFERROR(GOOGLEFINANCE(A24,""high""),"""")"),36.98)</f>
        <v>36.98</v>
      </c>
      <c r="Y24" s="22">
        <f>IFERROR(__xludf.DUMMYFUNCTION("IFERROR(GOOGLEFINANCE(A24,""low""),"""")"),36.6)</f>
        <v>36.6</v>
      </c>
      <c r="Z24" s="22">
        <f>IFERROR(__xludf.DUMMYFUNCTION("IFERROR(GOOGLEFINANCE(A24,""volume""),"""")"),846.0)</f>
        <v>846</v>
      </c>
      <c r="AA24" s="24" t="str">
        <f>VLOOKUP(A24,Metrik!$C$2:$Y$959,5,0)</f>
        <v>Specialty Retail</v>
      </c>
      <c r="AB24" s="24" t="str">
        <f>VLOOKUP(A24,Metrik!$C$2:$Y$959,3,0)</f>
        <v>Consumer Cyclicals</v>
      </c>
    </row>
    <row r="25">
      <c r="A25" s="17" t="s">
        <v>46</v>
      </c>
      <c r="B25" s="14" t="str">
        <f t="array" ref="B25">VLOOKUP(A25,{Metrik!$C$2:$C$998,Metrik!$B$2:$B$998},2,0)</f>
        <v>Aspirasi Hidup Indonesia Tbk.</v>
      </c>
      <c r="C25" s="15">
        <f>IFERROR(__xludf.DUMMYFUNCTION("GOOGLEFINANCE(""IDX:""&amp;A25,""price"")"),356.0)</f>
        <v>356</v>
      </c>
      <c r="D25" s="16" t="str">
        <f>IFERROR(__xludf.DUMMYFUNCTION("IF(A25="""","""",
SPARKLINE(
INDEX(
GOOGLEFINANCE(""IDX:""&amp;A25,""close"",TODAY()-365,TODAY()),
,2
),
{""linewidth"",1}
))
"),"#N/A")</f>
        <v>#N/A</v>
      </c>
      <c r="E25" s="14" t="s">
        <v>55</v>
      </c>
      <c r="F25" s="25">
        <v>46356.0</v>
      </c>
      <c r="G25" s="18">
        <f t="shared" si="1"/>
        <v>11</v>
      </c>
      <c r="H25" s="19">
        <f>VLOOKUP(A25,Metrik!$C$2:$Y$959,8,0)</f>
        <v>8.6</v>
      </c>
      <c r="I25" s="20">
        <f>VLOOKUP(A25,Metrik!$C$2:$Y$959,9,0)</f>
        <v>0.88</v>
      </c>
      <c r="J25" s="20">
        <f>VLOOKUP(A25,Metrik!$C$2:$Y$959,10,0)</f>
        <v>10.2</v>
      </c>
      <c r="K25" s="20">
        <f>VLOOKUP(A25,Metrik!$C$2:$Y$959,11,0)</f>
        <v>8</v>
      </c>
      <c r="L25" s="20">
        <f>VLOOKUP(A25,Metrik!$C$2:$Y$959,12,0)</f>
        <v>0.28</v>
      </c>
      <c r="M25" s="20">
        <f>VLOOKUP(A25,Metrik!$C$2:$Y$959,19,0)</f>
        <v>29.4</v>
      </c>
      <c r="N25" s="21"/>
      <c r="O25" s="21"/>
      <c r="P25" s="21"/>
      <c r="Q25" s="21"/>
      <c r="R25" s="21"/>
      <c r="S25" s="21"/>
      <c r="T25" s="21"/>
      <c r="U25" s="22">
        <f>IFERROR(__xludf.DUMMYFUNCTION("IFERROR(GOOGLEFINANCE(A25,""closeyest""),"""")"),36.5)</f>
        <v>36.5</v>
      </c>
      <c r="V25" s="23">
        <f>IFERROR(__xludf.DUMMYFUNCTION("IFERROR(GOOGLEFINANCE(A25,""changepct""),"""")"),1.12)</f>
        <v>1.12</v>
      </c>
      <c r="W25" s="22">
        <f>IFERROR(__xludf.DUMMYFUNCTION("IFERROR(GOOGLEFINANCE(A25,""priceopen""),"""")"),36.6)</f>
        <v>36.6</v>
      </c>
      <c r="X25" s="22">
        <f>IFERROR(__xludf.DUMMYFUNCTION("IFERROR(GOOGLEFINANCE(A25,""high""),"""")"),36.98)</f>
        <v>36.98</v>
      </c>
      <c r="Y25" s="22">
        <f>IFERROR(__xludf.DUMMYFUNCTION("IFERROR(GOOGLEFINANCE(A25,""low""),"""")"),36.6)</f>
        <v>36.6</v>
      </c>
      <c r="Z25" s="22">
        <f>IFERROR(__xludf.DUMMYFUNCTION("IFERROR(GOOGLEFINANCE(A25,""volume""),"""")"),846.0)</f>
        <v>846</v>
      </c>
      <c r="AA25" s="24" t="str">
        <f>VLOOKUP(A25,Metrik!$C$2:$Y$959,5,0)</f>
        <v>Specialty Retail</v>
      </c>
      <c r="AB25" s="24" t="str">
        <f>VLOOKUP(A25,Metrik!$C$2:$Y$959,3,0)</f>
        <v>Consumer Cyclicals</v>
      </c>
    </row>
    <row r="26">
      <c r="A26" s="14" t="s">
        <v>46</v>
      </c>
      <c r="B26" s="14" t="str">
        <f t="array" ref="B26">VLOOKUP(A26,{Metrik!$C$2:$C$998,Metrik!$B$2:$B$998},2,0)</f>
        <v>Aspirasi Hidup Indonesia Tbk.</v>
      </c>
      <c r="C26" s="15">
        <f>IFERROR(__xludf.DUMMYFUNCTION("GOOGLEFINANCE(""IDX:""&amp;A26,""price"")"),356.0)</f>
        <v>356</v>
      </c>
      <c r="D26" s="16" t="str">
        <f>IFERROR(__xludf.DUMMYFUNCTION("IF(A26="""","""",
SPARKLINE(
INDEX(
GOOGLEFINANCE(""IDX:""&amp;A26,""close"",TODAY()-365,TODAY()),
,2
),
{""linewidth"",1}
))
"),"#N/A")</f>
        <v>#N/A</v>
      </c>
      <c r="E26" s="14" t="s">
        <v>39</v>
      </c>
      <c r="F26" s="25">
        <v>46356.0</v>
      </c>
      <c r="G26" s="18">
        <f t="shared" si="1"/>
        <v>11</v>
      </c>
      <c r="H26" s="19">
        <f>VLOOKUP(A26,Metrik!$C$2:$Y$959,8,0)</f>
        <v>8.6</v>
      </c>
      <c r="I26" s="20">
        <f>VLOOKUP(A26,Metrik!$C$2:$Y$959,9,0)</f>
        <v>0.88</v>
      </c>
      <c r="J26" s="20">
        <f>VLOOKUP(A26,Metrik!$C$2:$Y$959,10,0)</f>
        <v>10.2</v>
      </c>
      <c r="K26" s="20">
        <f>VLOOKUP(A26,Metrik!$C$2:$Y$959,11,0)</f>
        <v>8</v>
      </c>
      <c r="L26" s="20">
        <f>VLOOKUP(A26,Metrik!$C$2:$Y$959,12,0)</f>
        <v>0.28</v>
      </c>
      <c r="M26" s="20">
        <f>VLOOKUP(A26,Metrik!$C$2:$Y$959,19,0)</f>
        <v>29.4</v>
      </c>
      <c r="N26" s="21"/>
      <c r="O26" s="21"/>
      <c r="P26" s="21"/>
      <c r="Q26" s="21"/>
      <c r="R26" s="21"/>
      <c r="S26" s="21"/>
      <c r="T26" s="21"/>
      <c r="U26" s="22">
        <f>IFERROR(__xludf.DUMMYFUNCTION("IFERROR(GOOGLEFINANCE(A26,""closeyest""),"""")"),36.5)</f>
        <v>36.5</v>
      </c>
      <c r="V26" s="23">
        <f>IFERROR(__xludf.DUMMYFUNCTION("IFERROR(GOOGLEFINANCE(A26,""changepct""),"""")"),1.12)</f>
        <v>1.12</v>
      </c>
      <c r="W26" s="22">
        <f>IFERROR(__xludf.DUMMYFUNCTION("IFERROR(GOOGLEFINANCE(A26,""priceopen""),"""")"),36.6)</f>
        <v>36.6</v>
      </c>
      <c r="X26" s="22">
        <f>IFERROR(__xludf.DUMMYFUNCTION("IFERROR(GOOGLEFINANCE(A26,""high""),"""")"),36.98)</f>
        <v>36.98</v>
      </c>
      <c r="Y26" s="22">
        <f>IFERROR(__xludf.DUMMYFUNCTION("IFERROR(GOOGLEFINANCE(A26,""low""),"""")"),36.6)</f>
        <v>36.6</v>
      </c>
      <c r="Z26" s="22">
        <f>IFERROR(__xludf.DUMMYFUNCTION("IFERROR(GOOGLEFINANCE(A26,""volume""),"""")"),846.0)</f>
        <v>846</v>
      </c>
      <c r="AA26" s="24" t="str">
        <f>VLOOKUP(A26,Metrik!$C$2:$Y$959,5,0)</f>
        <v>Specialty Retail</v>
      </c>
      <c r="AB26" s="24" t="str">
        <f>VLOOKUP(A26,Metrik!$C$2:$Y$959,3,0)</f>
        <v>Consumer Cyclicals</v>
      </c>
    </row>
    <row r="27">
      <c r="A27" s="14" t="s">
        <v>56</v>
      </c>
      <c r="B27" s="14" t="str">
        <f t="array" ref="B27">VLOOKUP(A27,{Metrik!$C$2:$C$998,Metrik!$B$2:$B$998},2,0)</f>
        <v>Samcro Hyosung Adilestari Tbk.</v>
      </c>
      <c r="C27" s="15">
        <f>IFERROR(__xludf.DUMMYFUNCTION("GOOGLEFINANCE(""IDX:""&amp;A27,""price"")"),61.0)</f>
        <v>61</v>
      </c>
      <c r="D27" s="16" t="str">
        <f>IFERROR(__xludf.DUMMYFUNCTION("IF(A27="""","""",
SPARKLINE(
INDEX(
GOOGLEFINANCE(""IDX:""&amp;A27,""close"",TODAY()-365,TODAY()),
,2
),
{""linewidth"",1}
))
"),"#N/A")</f>
        <v>#N/A</v>
      </c>
      <c r="F27" s="26"/>
      <c r="G27" s="24">
        <f t="shared" si="1"/>
        <v>0</v>
      </c>
      <c r="H27" s="19">
        <f>VLOOKUP(A27,Metrik!$C$2:$Y$959,8,0)</f>
        <v>26.8</v>
      </c>
      <c r="I27" s="20">
        <f>VLOOKUP(A27,Metrik!$C$2:$Y$959,9,0)</f>
        <v>1.2</v>
      </c>
      <c r="J27" s="20">
        <f>VLOOKUP(A27,Metrik!$C$2:$Y$959,10,0)</f>
        <v>4.6</v>
      </c>
      <c r="K27" s="20">
        <f>VLOOKUP(A27,Metrik!$C$2:$Y$959,11,0)</f>
        <v>3.5</v>
      </c>
      <c r="L27" s="20">
        <f>VLOOKUP(A27,Metrik!$C$2:$Y$959,12,0)</f>
        <v>0.29</v>
      </c>
      <c r="M27" s="20">
        <f>VLOOKUP(A27,Metrik!$C$2:$Y$959,19,0)</f>
        <v>70.6</v>
      </c>
      <c r="N27" s="21"/>
      <c r="O27" s="21"/>
      <c r="P27" s="21"/>
      <c r="Q27" s="21"/>
      <c r="R27" s="21"/>
      <c r="S27" s="21"/>
      <c r="T27" s="21"/>
      <c r="U27" s="22">
        <f>IFERROR(__xludf.DUMMYFUNCTION("IFERROR(GOOGLEFINANCE(A27,""closeyest""),"""")"),60.0)</f>
        <v>60</v>
      </c>
      <c r="V27" s="23">
        <f>IFERROR(__xludf.DUMMYFUNCTION("IFERROR(GOOGLEFINANCE(A27,""changepct""),"""")"),1.67)</f>
        <v>1.67</v>
      </c>
      <c r="W27" s="22">
        <f>IFERROR(__xludf.DUMMYFUNCTION("IFERROR(GOOGLEFINANCE(A27,""priceopen""),"""")"),60.0)</f>
        <v>60</v>
      </c>
      <c r="X27" s="22">
        <f>IFERROR(__xludf.DUMMYFUNCTION("IFERROR(GOOGLEFINANCE(A27,""high""),"""")"),65.0)</f>
        <v>65</v>
      </c>
      <c r="Y27" s="22">
        <f>IFERROR(__xludf.DUMMYFUNCTION("IFERROR(GOOGLEFINANCE(A27,""low""),"""")"),60.0)</f>
        <v>60</v>
      </c>
      <c r="Z27" s="22">
        <f>IFERROR(__xludf.DUMMYFUNCTION("IFERROR(GOOGLEFINANCE(A27,""volume""),"""")"),3937300.0)</f>
        <v>3937300</v>
      </c>
      <c r="AA27" s="24" t="str">
        <f>VLOOKUP(A27,Metrik!$C$2:$Y$959,5,0)</f>
        <v>Apparel &amp; Luxury Goods</v>
      </c>
      <c r="AB27" s="24" t="str">
        <f>VLOOKUP(A27,Metrik!$C$2:$Y$959,3,0)</f>
        <v>Consumer Cyclicals</v>
      </c>
    </row>
    <row r="28">
      <c r="A28" s="14" t="s">
        <v>57</v>
      </c>
      <c r="B28" s="14" t="str">
        <f t="array" ref="B28">VLOOKUP(A28,{Metrik!$C$2:$C$998,Metrik!$B$2:$B$998},2,0)</f>
        <v>PT Acset Indonusa Tbk.</v>
      </c>
      <c r="C28" s="15">
        <f>IFERROR(__xludf.DUMMYFUNCTION("GOOGLEFINANCE(""IDX:""&amp;A28,""price"")"),71.0)</f>
        <v>71</v>
      </c>
      <c r="D28" s="16" t="str">
        <f>IFERROR(__xludf.DUMMYFUNCTION("IF(A28="""","""",
SPARKLINE(
INDEX(
GOOGLEFINANCE(""IDX:""&amp;A28,""close"",TODAY()-365,TODAY()),
,2
),
{""linewidth"",1}
))
"),"#N/A")</f>
        <v>#N/A</v>
      </c>
      <c r="E28" s="26"/>
      <c r="F28" s="26"/>
      <c r="G28" s="24">
        <f t="shared" si="1"/>
        <v>0</v>
      </c>
      <c r="H28" s="19">
        <f>VLOOKUP(A28,Metrik!$C$2:$Y$959,8,0)</f>
        <v>-2.1</v>
      </c>
      <c r="I28" s="20">
        <f>VLOOKUP(A28,Metrik!$C$2:$Y$959,9,0)</f>
        <v>-4.4</v>
      </c>
      <c r="J28" s="20">
        <f>VLOOKUP(A28,Metrik!$C$2:$Y$959,10,0)</f>
        <v>0</v>
      </c>
      <c r="K28" s="20">
        <f>VLOOKUP(A28,Metrik!$C$2:$Y$959,11,0)</f>
        <v>-23.3</v>
      </c>
      <c r="L28" s="20">
        <f>VLOOKUP(A28,Metrik!$C$2:$Y$959,12,0)</f>
        <v>-9.9</v>
      </c>
      <c r="M28" s="20">
        <f>VLOOKUP(A28,Metrik!$C$2:$Y$959,19,0)</f>
        <v>-150</v>
      </c>
      <c r="N28" s="21"/>
      <c r="O28" s="21"/>
      <c r="P28" s="21"/>
      <c r="Q28" s="21"/>
      <c r="R28" s="21"/>
      <c r="S28" s="21"/>
      <c r="T28" s="21"/>
      <c r="U28" s="22">
        <f>IFERROR(__xludf.DUMMYFUNCTION("IFERROR(GOOGLEFINANCE(A28,""closeyest""),"""")"),70.0)</f>
        <v>70</v>
      </c>
      <c r="V28" s="23">
        <f>IFERROR(__xludf.DUMMYFUNCTION("IFERROR(GOOGLEFINANCE(A28,""changepct""),"""")"),1.43)</f>
        <v>1.43</v>
      </c>
      <c r="W28" s="22">
        <f>IFERROR(__xludf.DUMMYFUNCTION("IFERROR(GOOGLEFINANCE(A28,""priceopen""),"""")"),70.0)</f>
        <v>70</v>
      </c>
      <c r="X28" s="22">
        <f>IFERROR(__xludf.DUMMYFUNCTION("IFERROR(GOOGLEFINANCE(A28,""high""),"""")"),71.0)</f>
        <v>71</v>
      </c>
      <c r="Y28" s="22">
        <f>IFERROR(__xludf.DUMMYFUNCTION("IFERROR(GOOGLEFINANCE(A28,""low""),"""")"),70.0)</f>
        <v>70</v>
      </c>
      <c r="Z28" s="22">
        <f>IFERROR(__xludf.DUMMYFUNCTION("IFERROR(GOOGLEFINANCE(A28,""volume""),"""")"),173800.0)</f>
        <v>173800</v>
      </c>
      <c r="AA28" s="24" t="str">
        <f>VLOOKUP(A28,Metrik!$C$2:$Y$959,5,0)</f>
        <v>Heavy Constructions &amp; Civil Engineering</v>
      </c>
      <c r="AB28" s="24" t="str">
        <f>VLOOKUP(A28,Metrik!$C$2:$Y$959,3,0)</f>
        <v>Infrastructures</v>
      </c>
    </row>
    <row r="29">
      <c r="A29" s="14" t="s">
        <v>58</v>
      </c>
      <c r="B29" s="14" t="str">
        <f t="array" ref="B29">VLOOKUP(A29,{Metrik!$C$2:$C$998,Metrik!$B$2:$B$998},2,0)</f>
        <v>Adhi Commuter Properti Tbk.</v>
      </c>
      <c r="C29" s="15">
        <f>IFERROR(__xludf.DUMMYFUNCTION("GOOGLEFINANCE(""IDX:""&amp;A29,""price"")"),50.0)</f>
        <v>50</v>
      </c>
      <c r="D29" s="16" t="str">
        <f>IFERROR(__xludf.DUMMYFUNCTION("IF(A29="""","""",
SPARKLINE(
INDEX(
GOOGLEFINANCE(""IDX:""&amp;A29,""close"",TODAY()-365,TODAY()),
,2
),
{""linewidth"",1}
))
"),"#N/A")</f>
        <v>#N/A</v>
      </c>
      <c r="E29" s="26"/>
      <c r="F29" s="26"/>
      <c r="G29" s="24">
        <f t="shared" si="1"/>
        <v>0</v>
      </c>
      <c r="H29" s="19">
        <f>VLOOKUP(A29,Metrik!$C$2:$Y$959,8,0)</f>
        <v>-0.52</v>
      </c>
      <c r="I29" s="20">
        <f>VLOOKUP(A29,Metrik!$C$2:$Y$959,9,0)</f>
        <v>2.8</v>
      </c>
      <c r="J29" s="20">
        <f>VLOOKUP(A29,Metrik!$C$2:$Y$959,10,0)</f>
        <v>-540</v>
      </c>
      <c r="K29" s="20">
        <f>VLOOKUP(A29,Metrik!$C$2:$Y$959,11,0)</f>
        <v>-42.2</v>
      </c>
      <c r="L29" s="20">
        <f>VLOOKUP(A29,Metrik!$C$2:$Y$959,12,0)</f>
        <v>11.9</v>
      </c>
      <c r="M29" s="20">
        <f>VLOOKUP(A29,Metrik!$C$2:$Y$959,19,0)</f>
        <v>-5640</v>
      </c>
      <c r="N29" s="21"/>
      <c r="O29" s="21"/>
      <c r="P29" s="21"/>
      <c r="Q29" s="21"/>
      <c r="R29" s="21"/>
      <c r="S29" s="21"/>
      <c r="T29" s="21"/>
      <c r="U29" s="22">
        <f>IFERROR(__xludf.DUMMYFUNCTION("IFERROR(GOOGLEFINANCE(A29,""closeyest""),"""")"),50.0)</f>
        <v>50</v>
      </c>
      <c r="V29" s="23">
        <f>IFERROR(__xludf.DUMMYFUNCTION("IFERROR(GOOGLEFINANCE(A29,""changepct""),"""")"),0.0)</f>
        <v>0</v>
      </c>
      <c r="W29" s="22" t="str">
        <f>IFERROR(__xludf.DUMMYFUNCTION("IFERROR(GOOGLEFINANCE(A29,""priceopen""),"""")"),"")</f>
        <v/>
      </c>
      <c r="X29" s="22" t="str">
        <f>IFERROR(__xludf.DUMMYFUNCTION("IFERROR(GOOGLEFINANCE(A29,""high""),"""")"),"")</f>
        <v/>
      </c>
      <c r="Y29" s="22" t="str">
        <f>IFERROR(__xludf.DUMMYFUNCTION("IFERROR(GOOGLEFINANCE(A29,""low""),"""")"),"")</f>
        <v/>
      </c>
      <c r="Z29" s="22">
        <f>IFERROR(__xludf.DUMMYFUNCTION("IFERROR(GOOGLEFINANCE(A29,""volume""),"""")"),0.0)</f>
        <v>0</v>
      </c>
      <c r="AA29" s="24" t="str">
        <f>VLOOKUP(A29,Metrik!$C$2:$Y$959,5,0)</f>
        <v>Real Estate Management &amp; Development</v>
      </c>
      <c r="AB29" s="24" t="str">
        <f>VLOOKUP(A29,Metrik!$C$2:$Y$959,3,0)</f>
        <v>Properties &amp; Real Estate</v>
      </c>
    </row>
    <row r="30">
      <c r="A30" s="14" t="s">
        <v>59</v>
      </c>
      <c r="B30" s="14" t="str">
        <f t="array" ref="B30">VLOOKUP(A30,{Metrik!$C$2:$C$998,Metrik!$B$2:$B$998},2,0)</f>
        <v>Akasha Wira International Tbk.</v>
      </c>
      <c r="C30" s="15">
        <f>IFERROR(__xludf.DUMMYFUNCTION("GOOGLEFINANCE(""IDX:""&amp;A30,""price"")"),22000.0)</f>
        <v>22000</v>
      </c>
      <c r="D30" s="16" t="str">
        <f>IFERROR(__xludf.DUMMYFUNCTION("IF(A30="""","""",
SPARKLINE(
INDEX(
GOOGLEFINANCE(""IDX:""&amp;A30,""close"",TODAY()-365,TODAY()),
,2
),
{""linewidth"",1}
))
"),"#N/A")</f>
        <v>#N/A</v>
      </c>
      <c r="E30" s="26"/>
      <c r="F30" s="26"/>
      <c r="G30" s="24">
        <f t="shared" si="1"/>
        <v>0</v>
      </c>
      <c r="H30" s="19">
        <f>VLOOKUP(A30,Metrik!$C$2:$Y$959,8,0)</f>
        <v>14.6</v>
      </c>
      <c r="I30" s="20">
        <f>VLOOKUP(A30,Metrik!$C$2:$Y$959,9,0)</f>
        <v>3.8</v>
      </c>
      <c r="J30" s="20">
        <f>VLOOKUP(A30,Metrik!$C$2:$Y$959,10,0)</f>
        <v>26.1</v>
      </c>
      <c r="K30" s="20">
        <f>VLOOKUP(A30,Metrik!$C$2:$Y$959,11,0)</f>
        <v>21.6</v>
      </c>
      <c r="L30" s="20">
        <f>VLOOKUP(A30,Metrik!$C$2:$Y$959,12,0)</f>
        <v>0.21</v>
      </c>
      <c r="M30" s="20">
        <f>VLOOKUP(A30,Metrik!$C$2:$Y$959,19,0)</f>
        <v>90.3</v>
      </c>
      <c r="N30" s="21"/>
      <c r="O30" s="21"/>
      <c r="P30" s="21"/>
      <c r="Q30" s="21"/>
      <c r="R30" s="21"/>
      <c r="S30" s="21"/>
      <c r="T30" s="21"/>
      <c r="U30" s="22">
        <f>IFERROR(__xludf.DUMMYFUNCTION("IFERROR(GOOGLEFINANCE(A30,""closeyest""),"""")"),21900.0)</f>
        <v>21900</v>
      </c>
      <c r="V30" s="23">
        <f>IFERROR(__xludf.DUMMYFUNCTION("IFERROR(GOOGLEFINANCE(A30,""changepct""),"""")"),0.46)</f>
        <v>0.46</v>
      </c>
      <c r="W30" s="22">
        <f>IFERROR(__xludf.DUMMYFUNCTION("IFERROR(GOOGLEFINANCE(A30,""priceopen""),"""")"),21900.0)</f>
        <v>21900</v>
      </c>
      <c r="X30" s="22">
        <f>IFERROR(__xludf.DUMMYFUNCTION("IFERROR(GOOGLEFINANCE(A30,""high""),"""")"),22050.0)</f>
        <v>22050</v>
      </c>
      <c r="Y30" s="22">
        <f>IFERROR(__xludf.DUMMYFUNCTION("IFERROR(GOOGLEFINANCE(A30,""low""),"""")"),21650.0)</f>
        <v>21650</v>
      </c>
      <c r="Z30" s="22">
        <f>IFERROR(__xludf.DUMMYFUNCTION("IFERROR(GOOGLEFINANCE(A30,""volume""),"""")"),34900.0)</f>
        <v>34900</v>
      </c>
      <c r="AA30" s="24" t="str">
        <f>VLOOKUP(A30,Metrik!$C$2:$Y$959,5,0)</f>
        <v>Beverages</v>
      </c>
      <c r="AB30" s="24" t="str">
        <f>VLOOKUP(A30,Metrik!$C$2:$Y$959,3,0)</f>
        <v>Consumer Non-Cyclicals</v>
      </c>
    </row>
    <row r="31">
      <c r="A31" s="14" t="s">
        <v>60</v>
      </c>
      <c r="B31" s="14" t="str">
        <f t="array" ref="B31">VLOOKUP(A31,{Metrik!$C$2:$C$998,Metrik!$B$2:$B$998},2,0)</f>
        <v>PT Adhi Karya (Persero) Tbk.</v>
      </c>
      <c r="C31" s="15">
        <f>IFERROR(__xludf.DUMMYFUNCTION("GOOGLEFINANCE(""IDX:""&amp;A31,""price"")"),158.0)</f>
        <v>158</v>
      </c>
      <c r="D31" s="16" t="str">
        <f>IFERROR(__xludf.DUMMYFUNCTION("IF(A31="""","""",
SPARKLINE(
INDEX(
GOOGLEFINANCE(""IDX:""&amp;A31,""close"",TODAY()-365,TODAY()),
,2
),
{""linewidth"",1}
))
"),"#N/A")</f>
        <v>#N/A</v>
      </c>
      <c r="E31" s="14" t="s">
        <v>61</v>
      </c>
      <c r="F31" s="14" t="s">
        <v>34</v>
      </c>
      <c r="G31" s="24">
        <f t="shared" si="1"/>
        <v>1</v>
      </c>
      <c r="H31" s="19">
        <f>VLOOKUP(A31,Metrik!$C$2:$Y$959,8,0)</f>
        <v>-0.27</v>
      </c>
      <c r="I31" s="20">
        <f>VLOOKUP(A31,Metrik!$C$2:$Y$959,9,0)</f>
        <v>0.41</v>
      </c>
      <c r="J31" s="20">
        <f>VLOOKUP(A31,Metrik!$C$2:$Y$959,10,0)</f>
        <v>-150</v>
      </c>
      <c r="K31" s="20">
        <f>VLOOKUP(A31,Metrik!$C$2:$Y$959,11,0)</f>
        <v>-18.7</v>
      </c>
      <c r="L31" s="20">
        <f>VLOOKUP(A31,Metrik!$C$2:$Y$959,12,0)</f>
        <v>7.1</v>
      </c>
      <c r="M31" s="20">
        <f>VLOOKUP(A31,Metrik!$C$2:$Y$959,19,0)</f>
        <v>-320</v>
      </c>
      <c r="N31" s="21"/>
      <c r="O31" s="21"/>
      <c r="P31" s="21"/>
      <c r="Q31" s="21"/>
      <c r="R31" s="21"/>
      <c r="S31" s="21"/>
      <c r="T31" s="21"/>
      <c r="U31" s="22">
        <f>IFERROR(__xludf.DUMMYFUNCTION("IFERROR(GOOGLEFINANCE(A31,""closeyest""),"""")"),0.19)</f>
        <v>0.19</v>
      </c>
      <c r="V31" s="23">
        <f>IFERROR(__xludf.DUMMYFUNCTION("IFERROR(GOOGLEFINANCE(A31,""changepct""),"""")"),-10.53)</f>
        <v>-10.53</v>
      </c>
      <c r="W31" s="22">
        <f>IFERROR(__xludf.DUMMYFUNCTION("IFERROR(GOOGLEFINANCE(A31,""priceopen""),"""")"),0.17)</f>
        <v>0.17</v>
      </c>
      <c r="X31" s="22">
        <f>IFERROR(__xludf.DUMMYFUNCTION("IFERROR(GOOGLEFINANCE(A31,""high""),"""")"),0.17)</f>
        <v>0.17</v>
      </c>
      <c r="Y31" s="22">
        <f>IFERROR(__xludf.DUMMYFUNCTION("IFERROR(GOOGLEFINANCE(A31,""low""),"""")"),0.17)</f>
        <v>0.17</v>
      </c>
      <c r="Z31" s="22">
        <f>IFERROR(__xludf.DUMMYFUNCTION("IFERROR(GOOGLEFINANCE(A31,""volume""),"""")"),427.0)</f>
        <v>427</v>
      </c>
      <c r="AA31" s="24" t="str">
        <f>VLOOKUP(A31,Metrik!$C$2:$Y$959,5,0)</f>
        <v>Heavy Constructions &amp; Civil Engineering</v>
      </c>
      <c r="AB31" s="24" t="str">
        <f>VLOOKUP(A31,Metrik!$C$2:$Y$959,3,0)</f>
        <v>Infrastructures</v>
      </c>
    </row>
    <row r="32">
      <c r="A32" s="14" t="s">
        <v>62</v>
      </c>
      <c r="B32" s="14" t="str">
        <f t="array" ref="B32">VLOOKUP(A32,{Metrik!$C$2:$C$998,Metrik!$B$2:$B$998},2,0)</f>
        <v>Adira Dinamika Multi Finance Tbk.</v>
      </c>
      <c r="C32" s="15">
        <f>IFERROR(__xludf.DUMMYFUNCTION("GOOGLEFINANCE(""IDX:""&amp;A32,""price"")"),8200.0)</f>
        <v>8200</v>
      </c>
      <c r="D32" s="16" t="str">
        <f>IFERROR(__xludf.DUMMYFUNCTION("IF(A32="""","""",
SPARKLINE(
INDEX(
GOOGLEFINANCE(""IDX:""&amp;A32,""close"",TODAY()-365,TODAY()),
,2
),
{""linewidth"",1}
))
"),"#N/A")</f>
        <v>#N/A</v>
      </c>
      <c r="E32" s="26"/>
      <c r="F32" s="26"/>
      <c r="G32" s="24">
        <f t="shared" si="1"/>
        <v>0</v>
      </c>
      <c r="H32" s="19">
        <f>VLOOKUP(A32,Metrik!$C$2:$Y$959,8,0)</f>
        <v>5.9</v>
      </c>
      <c r="I32" s="20">
        <f>VLOOKUP(A32,Metrik!$C$2:$Y$959,9,0)</f>
        <v>0.66</v>
      </c>
      <c r="J32" s="20">
        <f>VLOOKUP(A32,Metrik!$C$2:$Y$959,10,0)</f>
        <v>11.2</v>
      </c>
      <c r="K32" s="20">
        <f>VLOOKUP(A32,Metrik!$C$2:$Y$959,11,0)</f>
        <v>4.4</v>
      </c>
      <c r="L32" s="20">
        <f>VLOOKUP(A32,Metrik!$C$2:$Y$959,12,0)</f>
        <v>1.6</v>
      </c>
      <c r="M32" s="20">
        <f>VLOOKUP(A32,Metrik!$C$2:$Y$959,19,0)</f>
        <v>64.1</v>
      </c>
      <c r="N32" s="21"/>
      <c r="O32" s="21"/>
      <c r="P32" s="21"/>
      <c r="Q32" s="21"/>
      <c r="R32" s="21"/>
      <c r="S32" s="21"/>
      <c r="T32" s="21"/>
      <c r="U32" s="22">
        <f>IFERROR(__xludf.DUMMYFUNCTION("IFERROR(GOOGLEFINANCE(A32,""closeyest""),"""")"),8050.0)</f>
        <v>8050</v>
      </c>
      <c r="V32" s="23">
        <f>IFERROR(__xludf.DUMMYFUNCTION("IFERROR(GOOGLEFINANCE(A32,""changepct""),"""")"),1.86)</f>
        <v>1.86</v>
      </c>
      <c r="W32" s="22">
        <f>IFERROR(__xludf.DUMMYFUNCTION("IFERROR(GOOGLEFINANCE(A32,""priceopen""),"""")"),8100.0)</f>
        <v>8100</v>
      </c>
      <c r="X32" s="22">
        <f>IFERROR(__xludf.DUMMYFUNCTION("IFERROR(GOOGLEFINANCE(A32,""high""),"""")"),8300.0)</f>
        <v>8300</v>
      </c>
      <c r="Y32" s="22">
        <f>IFERROR(__xludf.DUMMYFUNCTION("IFERROR(GOOGLEFINANCE(A32,""low""),"""")"),8050.0)</f>
        <v>8050</v>
      </c>
      <c r="Z32" s="22">
        <f>IFERROR(__xludf.DUMMYFUNCTION("IFERROR(GOOGLEFINANCE(A32,""volume""),"""")"),48500.0)</f>
        <v>48500</v>
      </c>
      <c r="AA32" s="24" t="str">
        <f>VLOOKUP(A32,Metrik!$C$2:$Y$959,5,0)</f>
        <v>Consumer Financing</v>
      </c>
      <c r="AB32" s="24" t="str">
        <f>VLOOKUP(A32,Metrik!$C$2:$Y$959,3,0)</f>
        <v>Financials</v>
      </c>
    </row>
    <row r="33">
      <c r="A33" s="14" t="s">
        <v>63</v>
      </c>
      <c r="B33" s="14" t="str">
        <f t="array" ref="B33">VLOOKUP(A33,{Metrik!$C$2:$C$998,Metrik!$B$2:$B$998},2,0)</f>
        <v>Polychem Indonesia Tbk</v>
      </c>
      <c r="C33" s="15">
        <f>IFERROR(__xludf.DUMMYFUNCTION("GOOGLEFINANCE(""IDX:""&amp;A33,""price"")"),200.0)</f>
        <v>200</v>
      </c>
      <c r="D33" s="16" t="str">
        <f>IFERROR(__xludf.DUMMYFUNCTION("IF(A33="""","""",
SPARKLINE(
INDEX(
GOOGLEFINANCE(""IDX:""&amp;A33,""close"",TODAY()-365,TODAY()),
,2
),
{""linewidth"",1}
))
"),"#N/A")</f>
        <v>#N/A</v>
      </c>
      <c r="E33" s="26"/>
      <c r="F33" s="26"/>
      <c r="G33" s="24">
        <f t="shared" si="1"/>
        <v>0</v>
      </c>
      <c r="H33" s="19">
        <f>VLOOKUP(A33,Metrik!$C$2:$Y$959,8,0)</f>
        <v>-250</v>
      </c>
      <c r="I33" s="20">
        <f>VLOOKUP(A33,Metrik!$C$2:$Y$959,9,0)</f>
        <v>0.43</v>
      </c>
      <c r="J33" s="20">
        <f>VLOOKUP(A33,Metrik!$C$2:$Y$959,10,0)</f>
        <v>-0.17</v>
      </c>
      <c r="K33" s="20">
        <f>VLOOKUP(A33,Metrik!$C$2:$Y$959,11,0)</f>
        <v>-0.13</v>
      </c>
      <c r="L33" s="20">
        <f>VLOOKUP(A33,Metrik!$C$2:$Y$959,12,0)</f>
        <v>0.37</v>
      </c>
      <c r="M33" s="20">
        <f>VLOOKUP(A33,Metrik!$C$2:$Y$959,19,0)</f>
        <v>-0.61</v>
      </c>
      <c r="N33" s="21"/>
      <c r="O33" s="21"/>
      <c r="P33" s="21"/>
      <c r="Q33" s="21"/>
      <c r="R33" s="21"/>
      <c r="S33" s="21"/>
      <c r="T33" s="21"/>
      <c r="U33" s="22">
        <f>IFERROR(__xludf.DUMMYFUNCTION("IFERROR(GOOGLEFINANCE(A33,""closeyest""),"""")"),0.12)</f>
        <v>0.12</v>
      </c>
      <c r="V33" s="23">
        <f>IFERROR(__xludf.DUMMYFUNCTION("IFERROR(GOOGLEFINANCE(A33,""changepct""),"""")"),0.0)</f>
        <v>0</v>
      </c>
      <c r="W33" s="22" t="str">
        <f>IFERROR(__xludf.DUMMYFUNCTION("IFERROR(GOOGLEFINANCE(A33,""priceopen""),"""")"),"")</f>
        <v/>
      </c>
      <c r="X33" s="22" t="str">
        <f>IFERROR(__xludf.DUMMYFUNCTION("IFERROR(GOOGLEFINANCE(A33,""high""),"""")"),"")</f>
        <v/>
      </c>
      <c r="Y33" s="22" t="str">
        <f>IFERROR(__xludf.DUMMYFUNCTION("IFERROR(GOOGLEFINANCE(A33,""low""),"""")"),"")</f>
        <v/>
      </c>
      <c r="Z33" s="22">
        <f>IFERROR(__xludf.DUMMYFUNCTION("IFERROR(GOOGLEFINANCE(A33,""volume""),"""")"),0.0)</f>
        <v>0</v>
      </c>
      <c r="AA33" s="24" t="str">
        <f>VLOOKUP(A33,Metrik!$C$2:$Y$959,5,0)</f>
        <v>Chemicals</v>
      </c>
      <c r="AB33" s="24" t="str">
        <f>VLOOKUP(A33,Metrik!$C$2:$Y$959,3,0)</f>
        <v>Basic Materials</v>
      </c>
    </row>
    <row r="34">
      <c r="A34" s="14" t="s">
        <v>64</v>
      </c>
      <c r="B34" s="14" t="str">
        <f t="array" ref="B34">VLOOKUP(A34,{Metrik!$C$2:$C$998,Metrik!$B$2:$B$998},2,0)</f>
        <v>Alamtri Minerals Indonesia Tbk.</v>
      </c>
      <c r="C34" s="15">
        <f>IFERROR(__xludf.DUMMYFUNCTION("GOOGLEFINANCE(""IDX:""&amp;A34,""price"")"),1575.0)</f>
        <v>1575</v>
      </c>
      <c r="D34" s="16" t="str">
        <f>IFERROR(__xludf.DUMMYFUNCTION("IF(A34="""","""",
SPARKLINE(
INDEX(
GOOGLEFINANCE(""IDX:""&amp;A34,""close"",TODAY()-365,TODAY()),
,2
),
{""linewidth"",1}
))
"),"#N/A")</f>
        <v>#N/A</v>
      </c>
      <c r="E34" s="14" t="s">
        <v>54</v>
      </c>
      <c r="F34" s="14" t="s">
        <v>34</v>
      </c>
      <c r="G34" s="28">
        <f t="shared" si="1"/>
        <v>9</v>
      </c>
      <c r="H34" s="19">
        <f>VLOOKUP(A34,Metrik!$C$2:$Y$959,8,0)</f>
        <v>12.6</v>
      </c>
      <c r="I34" s="20">
        <f>VLOOKUP(A34,Metrik!$C$2:$Y$959,9,0)</f>
        <v>2</v>
      </c>
      <c r="J34" s="20">
        <f>VLOOKUP(A34,Metrik!$C$2:$Y$959,10,0)</f>
        <v>16.2</v>
      </c>
      <c r="K34" s="20">
        <f>VLOOKUP(A34,Metrik!$C$2:$Y$959,11,0)</f>
        <v>9.1</v>
      </c>
      <c r="L34" s="20">
        <f>VLOOKUP(A34,Metrik!$C$2:$Y$959,12,0)</f>
        <v>0.78</v>
      </c>
      <c r="M34" s="20">
        <f>VLOOKUP(A34,Metrik!$C$2:$Y$959,19,0)</f>
        <v>110</v>
      </c>
      <c r="N34" s="21"/>
      <c r="O34" s="21"/>
      <c r="P34" s="21"/>
      <c r="Q34" s="21"/>
      <c r="R34" s="21"/>
      <c r="S34" s="21"/>
      <c r="T34" s="21"/>
      <c r="U34" s="22">
        <f>IFERROR(__xludf.DUMMYFUNCTION("IFERROR(GOOGLEFINANCE(A34,""closeyest""),"""")"),1465.0)</f>
        <v>1465</v>
      </c>
      <c r="V34" s="23">
        <f>IFERROR(__xludf.DUMMYFUNCTION("IFERROR(GOOGLEFINANCE(A34,""changepct""),"""")"),7.51)</f>
        <v>7.51</v>
      </c>
      <c r="W34" s="22">
        <f>IFERROR(__xludf.DUMMYFUNCTION("IFERROR(GOOGLEFINANCE(A34,""priceopen""),"""")"),1495.0)</f>
        <v>1495</v>
      </c>
      <c r="X34" s="22">
        <f>IFERROR(__xludf.DUMMYFUNCTION("IFERROR(GOOGLEFINANCE(A34,""high""),"""")"),1640.0)</f>
        <v>1640</v>
      </c>
      <c r="Y34" s="22">
        <f>IFERROR(__xludf.DUMMYFUNCTION("IFERROR(GOOGLEFINANCE(A34,""low""),"""")"),1485.0)</f>
        <v>1485</v>
      </c>
      <c r="Z34" s="22">
        <f>IFERROR(__xludf.DUMMYFUNCTION("IFERROR(GOOGLEFINANCE(A34,""volume""),"""")"),4.32668E7)</f>
        <v>43266800</v>
      </c>
      <c r="AA34" s="24" t="str">
        <f>VLOOKUP(A34,Metrik!$C$2:$Y$959,5,0)</f>
        <v>Coal</v>
      </c>
      <c r="AB34" s="24" t="str">
        <f>VLOOKUP(A34,Metrik!$C$2:$Y$959,3,0)</f>
        <v>Energy</v>
      </c>
    </row>
    <row r="35">
      <c r="A35" s="14" t="s">
        <v>64</v>
      </c>
      <c r="B35" s="14" t="str">
        <f t="array" ref="B35">VLOOKUP(A35,{Metrik!$C$2:$C$998,Metrik!$B$2:$B$998},2,0)</f>
        <v>Alamtri Minerals Indonesia Tbk.</v>
      </c>
      <c r="C35" s="15">
        <f>IFERROR(__xludf.DUMMYFUNCTION("GOOGLEFINANCE(""IDX:""&amp;A35,""price"")"),1575.0)</f>
        <v>1575</v>
      </c>
      <c r="D35" s="16" t="str">
        <f>IFERROR(__xludf.DUMMYFUNCTION("IF(A35="""","""",
SPARKLINE(
INDEX(
GOOGLEFINANCE(""IDX:""&amp;A35,""close"",TODAY()-365,TODAY()),
,2
),
{""linewidth"",1}
))
"),"#N/A")</f>
        <v>#N/A</v>
      </c>
      <c r="E35" s="14" t="s">
        <v>32</v>
      </c>
      <c r="F35" s="14" t="s">
        <v>29</v>
      </c>
      <c r="G35" s="28">
        <f t="shared" si="1"/>
        <v>9</v>
      </c>
      <c r="H35" s="19">
        <f>VLOOKUP(A35,Metrik!$C$2:$Y$959,8,0)</f>
        <v>12.6</v>
      </c>
      <c r="I35" s="20">
        <f>VLOOKUP(A35,Metrik!$C$2:$Y$959,9,0)</f>
        <v>2</v>
      </c>
      <c r="J35" s="20">
        <f>VLOOKUP(A35,Metrik!$C$2:$Y$959,10,0)</f>
        <v>16.2</v>
      </c>
      <c r="K35" s="20">
        <f>VLOOKUP(A35,Metrik!$C$2:$Y$959,11,0)</f>
        <v>9.1</v>
      </c>
      <c r="L35" s="20">
        <f>VLOOKUP(A35,Metrik!$C$2:$Y$959,12,0)</f>
        <v>0.78</v>
      </c>
      <c r="M35" s="20">
        <f>VLOOKUP(A35,Metrik!$C$2:$Y$959,19,0)</f>
        <v>110</v>
      </c>
      <c r="N35" s="21"/>
      <c r="O35" s="21"/>
      <c r="P35" s="21"/>
      <c r="Q35" s="21"/>
      <c r="R35" s="21"/>
      <c r="S35" s="21"/>
      <c r="T35" s="21"/>
      <c r="U35" s="22">
        <f>IFERROR(__xludf.DUMMYFUNCTION("IFERROR(GOOGLEFINANCE(A35,""closeyest""),"""")"),1465.0)</f>
        <v>1465</v>
      </c>
      <c r="V35" s="23">
        <f>IFERROR(__xludf.DUMMYFUNCTION("IFERROR(GOOGLEFINANCE(A35,""changepct""),"""")"),7.51)</f>
        <v>7.51</v>
      </c>
      <c r="W35" s="22">
        <f>IFERROR(__xludf.DUMMYFUNCTION("IFERROR(GOOGLEFINANCE(A35,""priceopen""),"""")"),1495.0)</f>
        <v>1495</v>
      </c>
      <c r="X35" s="22">
        <f>IFERROR(__xludf.DUMMYFUNCTION("IFERROR(GOOGLEFINANCE(A35,""high""),"""")"),1640.0)</f>
        <v>1640</v>
      </c>
      <c r="Y35" s="22">
        <f>IFERROR(__xludf.DUMMYFUNCTION("IFERROR(GOOGLEFINANCE(A35,""low""),"""")"),1485.0)</f>
        <v>1485</v>
      </c>
      <c r="Z35" s="22">
        <f>IFERROR(__xludf.DUMMYFUNCTION("IFERROR(GOOGLEFINANCE(A35,""volume""),"""")"),4.32668E7)</f>
        <v>43266800</v>
      </c>
      <c r="AA35" s="24" t="str">
        <f>VLOOKUP(A35,Metrik!$C$2:$Y$959,5,0)</f>
        <v>Coal</v>
      </c>
      <c r="AB35" s="24" t="str">
        <f>VLOOKUP(A35,Metrik!$C$2:$Y$959,3,0)</f>
        <v>Energy</v>
      </c>
    </row>
    <row r="36">
      <c r="A36" s="14" t="s">
        <v>64</v>
      </c>
      <c r="B36" s="14" t="str">
        <f t="array" ref="B36">VLOOKUP(A36,{Metrik!$C$2:$C$998,Metrik!$B$2:$B$998},2,0)</f>
        <v>Alamtri Minerals Indonesia Tbk.</v>
      </c>
      <c r="C36" s="15">
        <f>IFERROR(__xludf.DUMMYFUNCTION("GOOGLEFINANCE(""IDX:""&amp;A36,""price"")"),1575.0)</f>
        <v>1575</v>
      </c>
      <c r="D36" s="16" t="str">
        <f>IFERROR(__xludf.DUMMYFUNCTION("IF(A36="""","""",
SPARKLINE(
INDEX(
GOOGLEFINANCE(""IDX:""&amp;A36,""close"",TODAY()-365,TODAY()),
,2
),
{""linewidth"",1}
))
"),"#N/A")</f>
        <v>#N/A</v>
      </c>
      <c r="E36" s="14" t="s">
        <v>31</v>
      </c>
      <c r="F36" s="17" t="s">
        <v>29</v>
      </c>
      <c r="G36" s="28">
        <f t="shared" si="1"/>
        <v>9</v>
      </c>
      <c r="H36" s="19">
        <f>VLOOKUP(A36,Metrik!$C$2:$Y$959,8,0)</f>
        <v>12.6</v>
      </c>
      <c r="I36" s="20">
        <f>VLOOKUP(A36,Metrik!$C$2:$Y$959,9,0)</f>
        <v>2</v>
      </c>
      <c r="J36" s="20">
        <f>VLOOKUP(A36,Metrik!$C$2:$Y$959,10,0)</f>
        <v>16.2</v>
      </c>
      <c r="K36" s="20">
        <f>VLOOKUP(A36,Metrik!$C$2:$Y$959,11,0)</f>
        <v>9.1</v>
      </c>
      <c r="L36" s="20">
        <f>VLOOKUP(A36,Metrik!$C$2:$Y$959,12,0)</f>
        <v>0.78</v>
      </c>
      <c r="M36" s="20">
        <f>VLOOKUP(A36,Metrik!$C$2:$Y$959,19,0)</f>
        <v>110</v>
      </c>
      <c r="N36" s="21"/>
      <c r="O36" s="21"/>
      <c r="P36" s="21"/>
      <c r="Q36" s="21"/>
      <c r="R36" s="21"/>
      <c r="S36" s="21"/>
      <c r="T36" s="21"/>
      <c r="U36" s="22">
        <f>IFERROR(__xludf.DUMMYFUNCTION("IFERROR(GOOGLEFINANCE(A36,""closeyest""),"""")"),1465.0)</f>
        <v>1465</v>
      </c>
      <c r="V36" s="23">
        <f>IFERROR(__xludf.DUMMYFUNCTION("IFERROR(GOOGLEFINANCE(A36,""changepct""),"""")"),7.51)</f>
        <v>7.51</v>
      </c>
      <c r="W36" s="22">
        <f>IFERROR(__xludf.DUMMYFUNCTION("IFERROR(GOOGLEFINANCE(A36,""priceopen""),"""")"),1495.0)</f>
        <v>1495</v>
      </c>
      <c r="X36" s="22">
        <f>IFERROR(__xludf.DUMMYFUNCTION("IFERROR(GOOGLEFINANCE(A36,""high""),"""")"),1640.0)</f>
        <v>1640</v>
      </c>
      <c r="Y36" s="22">
        <f>IFERROR(__xludf.DUMMYFUNCTION("IFERROR(GOOGLEFINANCE(A36,""low""),"""")"),1485.0)</f>
        <v>1485</v>
      </c>
      <c r="Z36" s="22">
        <f>IFERROR(__xludf.DUMMYFUNCTION("IFERROR(GOOGLEFINANCE(A36,""volume""),"""")"),4.32668E7)</f>
        <v>43266800</v>
      </c>
      <c r="AA36" s="24" t="str">
        <f>VLOOKUP(A36,Metrik!$C$2:$Y$959,5,0)</f>
        <v>Coal</v>
      </c>
      <c r="AB36" s="24" t="str">
        <f>VLOOKUP(A36,Metrik!$C$2:$Y$959,3,0)</f>
        <v>Energy</v>
      </c>
    </row>
    <row r="37">
      <c r="A37" s="14" t="s">
        <v>64</v>
      </c>
      <c r="B37" s="14" t="str">
        <f t="array" ref="B37">VLOOKUP(A37,{Metrik!$C$2:$C$998,Metrik!$B$2:$B$998},2,0)</f>
        <v>Alamtri Minerals Indonesia Tbk.</v>
      </c>
      <c r="C37" s="15">
        <f>IFERROR(__xludf.DUMMYFUNCTION("GOOGLEFINANCE(""IDX:""&amp;A37,""price"")"),1575.0)</f>
        <v>1575</v>
      </c>
      <c r="D37" s="16" t="str">
        <f>IFERROR(__xludf.DUMMYFUNCTION("IF(A37="""","""",
SPARKLINE(
INDEX(
GOOGLEFINANCE(""IDX:""&amp;A37,""close"",TODAY()-365,TODAY()),
,2
),
{""linewidth"",1}
))
"),"#N/A")</f>
        <v>#N/A</v>
      </c>
      <c r="E37" s="14" t="s">
        <v>28</v>
      </c>
      <c r="F37" s="17" t="s">
        <v>29</v>
      </c>
      <c r="G37" s="28">
        <f t="shared" si="1"/>
        <v>9</v>
      </c>
      <c r="H37" s="19">
        <f>VLOOKUP(A37,Metrik!$C$2:$Y$959,8,0)</f>
        <v>12.6</v>
      </c>
      <c r="I37" s="20">
        <f>VLOOKUP(A37,Metrik!$C$2:$Y$959,9,0)</f>
        <v>2</v>
      </c>
      <c r="J37" s="20">
        <f>VLOOKUP(A37,Metrik!$C$2:$Y$959,10,0)</f>
        <v>16.2</v>
      </c>
      <c r="K37" s="20">
        <f>VLOOKUP(A37,Metrik!$C$2:$Y$959,11,0)</f>
        <v>9.1</v>
      </c>
      <c r="L37" s="20">
        <f>VLOOKUP(A37,Metrik!$C$2:$Y$959,12,0)</f>
        <v>0.78</v>
      </c>
      <c r="M37" s="20">
        <f>VLOOKUP(A37,Metrik!$C$2:$Y$959,19,0)</f>
        <v>110</v>
      </c>
      <c r="N37" s="21"/>
      <c r="O37" s="21"/>
      <c r="P37" s="21"/>
      <c r="Q37" s="21"/>
      <c r="R37" s="21"/>
      <c r="S37" s="21"/>
      <c r="T37" s="21"/>
      <c r="U37" s="22">
        <f>IFERROR(__xludf.DUMMYFUNCTION("IFERROR(GOOGLEFINANCE(A37,""closeyest""),"""")"),1465.0)</f>
        <v>1465</v>
      </c>
      <c r="V37" s="23">
        <f>IFERROR(__xludf.DUMMYFUNCTION("IFERROR(GOOGLEFINANCE(A37,""changepct""),"""")"),7.51)</f>
        <v>7.51</v>
      </c>
      <c r="W37" s="22">
        <f>IFERROR(__xludf.DUMMYFUNCTION("IFERROR(GOOGLEFINANCE(A37,""priceopen""),"""")"),1495.0)</f>
        <v>1495</v>
      </c>
      <c r="X37" s="22">
        <f>IFERROR(__xludf.DUMMYFUNCTION("IFERROR(GOOGLEFINANCE(A37,""high""),"""")"),1640.0)</f>
        <v>1640</v>
      </c>
      <c r="Y37" s="22">
        <f>IFERROR(__xludf.DUMMYFUNCTION("IFERROR(GOOGLEFINANCE(A37,""low""),"""")"),1485.0)</f>
        <v>1485</v>
      </c>
      <c r="Z37" s="22">
        <f>IFERROR(__xludf.DUMMYFUNCTION("IFERROR(GOOGLEFINANCE(A37,""volume""),"""")"),4.32668E7)</f>
        <v>43266800</v>
      </c>
      <c r="AA37" s="24" t="str">
        <f>VLOOKUP(A37,Metrik!$C$2:$Y$959,5,0)</f>
        <v>Coal</v>
      </c>
      <c r="AB37" s="24" t="str">
        <f>VLOOKUP(A37,Metrik!$C$2:$Y$959,3,0)</f>
        <v>Energy</v>
      </c>
    </row>
    <row r="38">
      <c r="A38" s="17" t="s">
        <v>64</v>
      </c>
      <c r="B38" s="14" t="str">
        <f t="array" ref="B38">VLOOKUP(A38,{Metrik!$C$2:$C$998,Metrik!$B$2:$B$998},2,0)</f>
        <v>Alamtri Minerals Indonesia Tbk.</v>
      </c>
      <c r="C38" s="15">
        <f>IFERROR(__xludf.DUMMYFUNCTION("GOOGLEFINANCE(""IDX:""&amp;A38,""price"")"),1575.0)</f>
        <v>1575</v>
      </c>
      <c r="D38" s="16" t="str">
        <f>IFERROR(__xludf.DUMMYFUNCTION("IF(A38="""","""",
SPARKLINE(
INDEX(
GOOGLEFINANCE(""IDX:""&amp;A38,""close"",TODAY()-365,TODAY()),
,2
),
{""linewidth"",1}
))
"),"#N/A")</f>
        <v>#N/A</v>
      </c>
      <c r="E38" s="14" t="s">
        <v>30</v>
      </c>
      <c r="F38" s="17" t="s">
        <v>29</v>
      </c>
      <c r="G38" s="24">
        <f t="shared" si="1"/>
        <v>9</v>
      </c>
      <c r="H38" s="19">
        <f>VLOOKUP(A38,Metrik!$C$2:$Y$959,8,0)</f>
        <v>12.6</v>
      </c>
      <c r="I38" s="20">
        <f>VLOOKUP(A38,Metrik!$C$2:$Y$959,9,0)</f>
        <v>2</v>
      </c>
      <c r="J38" s="20">
        <f>VLOOKUP(A38,Metrik!$C$2:$Y$959,10,0)</f>
        <v>16.2</v>
      </c>
      <c r="K38" s="20">
        <f>VLOOKUP(A38,Metrik!$C$2:$Y$959,11,0)</f>
        <v>9.1</v>
      </c>
      <c r="L38" s="20">
        <f>VLOOKUP(A38,Metrik!$C$2:$Y$959,12,0)</f>
        <v>0.78</v>
      </c>
      <c r="M38" s="20">
        <f>VLOOKUP(A38,Metrik!$C$2:$Y$959,19,0)</f>
        <v>110</v>
      </c>
      <c r="N38" s="21"/>
      <c r="O38" s="21"/>
      <c r="P38" s="21"/>
      <c r="Q38" s="21"/>
      <c r="R38" s="21"/>
      <c r="S38" s="21"/>
      <c r="T38" s="21"/>
      <c r="U38" s="22">
        <f>IFERROR(__xludf.DUMMYFUNCTION("IFERROR(GOOGLEFINANCE(A38,""closeyest""),"""")"),1465.0)</f>
        <v>1465</v>
      </c>
      <c r="V38" s="23">
        <f>IFERROR(__xludf.DUMMYFUNCTION("IFERROR(GOOGLEFINANCE(A38,""changepct""),"""")"),7.51)</f>
        <v>7.51</v>
      </c>
      <c r="W38" s="22">
        <f>IFERROR(__xludf.DUMMYFUNCTION("IFERROR(GOOGLEFINANCE(A38,""priceopen""),"""")"),1495.0)</f>
        <v>1495</v>
      </c>
      <c r="X38" s="22">
        <f>IFERROR(__xludf.DUMMYFUNCTION("IFERROR(GOOGLEFINANCE(A38,""high""),"""")"),1640.0)</f>
        <v>1640</v>
      </c>
      <c r="Y38" s="22">
        <f>IFERROR(__xludf.DUMMYFUNCTION("IFERROR(GOOGLEFINANCE(A38,""low""),"""")"),1485.0)</f>
        <v>1485</v>
      </c>
      <c r="Z38" s="22">
        <f>IFERROR(__xludf.DUMMYFUNCTION("IFERROR(GOOGLEFINANCE(A38,""volume""),"""")"),4.32668E7)</f>
        <v>43266800</v>
      </c>
      <c r="AA38" s="24" t="str">
        <f>VLOOKUP(A38,Metrik!$C$2:$Y$959,5,0)</f>
        <v>Coal</v>
      </c>
      <c r="AB38" s="24" t="str">
        <f>VLOOKUP(A38,Metrik!$C$2:$Y$959,3,0)</f>
        <v>Energy</v>
      </c>
    </row>
    <row r="39">
      <c r="A39" s="17" t="s">
        <v>64</v>
      </c>
      <c r="B39" s="14" t="str">
        <f t="array" ref="B39">VLOOKUP(A39,{Metrik!$C$2:$C$998,Metrik!$B$2:$B$998},2,0)</f>
        <v>Alamtri Minerals Indonesia Tbk.</v>
      </c>
      <c r="C39" s="15">
        <f>IFERROR(__xludf.DUMMYFUNCTION("GOOGLEFINANCE(""IDX:""&amp;A39,""price"")"),1575.0)</f>
        <v>1575</v>
      </c>
      <c r="D39" s="16" t="str">
        <f>IFERROR(__xludf.DUMMYFUNCTION("IF(A39="""","""",
SPARKLINE(
INDEX(
GOOGLEFINANCE(""IDX:""&amp;A39,""close"",TODAY()-365,TODAY()),
,2
),
{""linewidth"",1}
))
"),"#N/A")</f>
        <v>#N/A</v>
      </c>
      <c r="E39" s="14" t="s">
        <v>65</v>
      </c>
      <c r="F39" s="25">
        <v>46356.0</v>
      </c>
      <c r="G39" s="24">
        <f t="shared" si="1"/>
        <v>9</v>
      </c>
      <c r="H39" s="19">
        <f>VLOOKUP(A39,Metrik!$C$2:$Y$959,8,0)</f>
        <v>12.6</v>
      </c>
      <c r="I39" s="20">
        <f>VLOOKUP(A39,Metrik!$C$2:$Y$959,9,0)</f>
        <v>2</v>
      </c>
      <c r="J39" s="20">
        <f>VLOOKUP(A39,Metrik!$C$2:$Y$959,10,0)</f>
        <v>16.2</v>
      </c>
      <c r="K39" s="20">
        <f>VLOOKUP(A39,Metrik!$C$2:$Y$959,11,0)</f>
        <v>9.1</v>
      </c>
      <c r="L39" s="20">
        <f>VLOOKUP(A39,Metrik!$C$2:$Y$959,12,0)</f>
        <v>0.78</v>
      </c>
      <c r="M39" s="20">
        <f>VLOOKUP(A39,Metrik!$C$2:$Y$959,19,0)</f>
        <v>110</v>
      </c>
      <c r="N39" s="21"/>
      <c r="O39" s="21"/>
      <c r="P39" s="21"/>
      <c r="Q39" s="21"/>
      <c r="R39" s="21"/>
      <c r="S39" s="21"/>
      <c r="T39" s="21"/>
      <c r="U39" s="22">
        <f>IFERROR(__xludf.DUMMYFUNCTION("IFERROR(GOOGLEFINANCE(A39,""closeyest""),"""")"),1465.0)</f>
        <v>1465</v>
      </c>
      <c r="V39" s="23">
        <f>IFERROR(__xludf.DUMMYFUNCTION("IFERROR(GOOGLEFINANCE(A39,""changepct""),"""")"),7.51)</f>
        <v>7.51</v>
      </c>
      <c r="W39" s="22">
        <f>IFERROR(__xludf.DUMMYFUNCTION("IFERROR(GOOGLEFINANCE(A39,""priceopen""),"""")"),1495.0)</f>
        <v>1495</v>
      </c>
      <c r="X39" s="22">
        <f>IFERROR(__xludf.DUMMYFUNCTION("IFERROR(GOOGLEFINANCE(A39,""high""),"""")"),1640.0)</f>
        <v>1640</v>
      </c>
      <c r="Y39" s="22">
        <f>IFERROR(__xludf.DUMMYFUNCTION("IFERROR(GOOGLEFINANCE(A39,""low""),"""")"),1485.0)</f>
        <v>1485</v>
      </c>
      <c r="Z39" s="22">
        <f>IFERROR(__xludf.DUMMYFUNCTION("IFERROR(GOOGLEFINANCE(A39,""volume""),"""")"),4.32668E7)</f>
        <v>43266800</v>
      </c>
      <c r="AA39" s="24" t="str">
        <f>VLOOKUP(A39,Metrik!$C$2:$Y$959,5,0)</f>
        <v>Coal</v>
      </c>
      <c r="AB39" s="24" t="str">
        <f>VLOOKUP(A39,Metrik!$C$2:$Y$959,3,0)</f>
        <v>Energy</v>
      </c>
    </row>
    <row r="40">
      <c r="A40" s="14" t="s">
        <v>64</v>
      </c>
      <c r="B40" s="14" t="str">
        <f t="array" ref="B40">VLOOKUP(A40,{Metrik!$C$2:$C$998,Metrik!$B$2:$B$998},2,0)</f>
        <v>Alamtri Minerals Indonesia Tbk.</v>
      </c>
      <c r="C40" s="15">
        <f>IFERROR(__xludf.DUMMYFUNCTION("GOOGLEFINANCE(""IDX:""&amp;A40,""price"")"),1575.0)</f>
        <v>1575</v>
      </c>
      <c r="D40" s="16" t="str">
        <f>IFERROR(__xludf.DUMMYFUNCTION("IF(A40="""","""",
SPARKLINE(
INDEX(
GOOGLEFINANCE(""IDX:""&amp;A40,""close"",TODAY()-365,TODAY()),
,2
),
{""linewidth"",1}
))
"),"#N/A")</f>
        <v>#N/A</v>
      </c>
      <c r="E40" s="14" t="s">
        <v>42</v>
      </c>
      <c r="F40" s="25">
        <v>46356.0</v>
      </c>
      <c r="G40" s="28">
        <f t="shared" si="1"/>
        <v>9</v>
      </c>
      <c r="H40" s="19">
        <f>VLOOKUP(A40,Metrik!$C$2:$Y$959,8,0)</f>
        <v>12.6</v>
      </c>
      <c r="I40" s="20">
        <f>VLOOKUP(A40,Metrik!$C$2:$Y$959,9,0)</f>
        <v>2</v>
      </c>
      <c r="J40" s="20">
        <f>VLOOKUP(A40,Metrik!$C$2:$Y$959,10,0)</f>
        <v>16.2</v>
      </c>
      <c r="K40" s="20">
        <f>VLOOKUP(A40,Metrik!$C$2:$Y$959,11,0)</f>
        <v>9.1</v>
      </c>
      <c r="L40" s="20">
        <f>VLOOKUP(A40,Metrik!$C$2:$Y$959,12,0)</f>
        <v>0.78</v>
      </c>
      <c r="M40" s="20">
        <f>VLOOKUP(A40,Metrik!$C$2:$Y$959,19,0)</f>
        <v>110</v>
      </c>
      <c r="N40" s="21"/>
      <c r="O40" s="21"/>
      <c r="P40" s="21"/>
      <c r="Q40" s="21"/>
      <c r="R40" s="21"/>
      <c r="S40" s="21"/>
      <c r="T40" s="21"/>
      <c r="U40" s="22">
        <f>IFERROR(__xludf.DUMMYFUNCTION("IFERROR(GOOGLEFINANCE(A40,""closeyest""),"""")"),1465.0)</f>
        <v>1465</v>
      </c>
      <c r="V40" s="23">
        <f>IFERROR(__xludf.DUMMYFUNCTION("IFERROR(GOOGLEFINANCE(A40,""changepct""),"""")"),7.51)</f>
        <v>7.51</v>
      </c>
      <c r="W40" s="22">
        <f>IFERROR(__xludf.DUMMYFUNCTION("IFERROR(GOOGLEFINANCE(A40,""priceopen""),"""")"),1495.0)</f>
        <v>1495</v>
      </c>
      <c r="X40" s="22">
        <f>IFERROR(__xludf.DUMMYFUNCTION("IFERROR(GOOGLEFINANCE(A40,""high""),"""")"),1640.0)</f>
        <v>1640</v>
      </c>
      <c r="Y40" s="22">
        <f>IFERROR(__xludf.DUMMYFUNCTION("IFERROR(GOOGLEFINANCE(A40,""low""),"""")"),1485.0)</f>
        <v>1485</v>
      </c>
      <c r="Z40" s="22">
        <f>IFERROR(__xludf.DUMMYFUNCTION("IFERROR(GOOGLEFINANCE(A40,""volume""),"""")"),4.32668E7)</f>
        <v>43266800</v>
      </c>
      <c r="AA40" s="24" t="str">
        <f>VLOOKUP(A40,Metrik!$C$2:$Y$959,5,0)</f>
        <v>Coal</v>
      </c>
      <c r="AB40" s="24" t="str">
        <f>VLOOKUP(A40,Metrik!$C$2:$Y$959,3,0)</f>
        <v>Energy</v>
      </c>
    </row>
    <row r="41">
      <c r="A41" s="17" t="s">
        <v>64</v>
      </c>
      <c r="B41" s="14" t="str">
        <f t="array" ref="B41">VLOOKUP(A41,{Metrik!$C$2:$C$998,Metrik!$B$2:$B$998},2,0)</f>
        <v>Alamtri Minerals Indonesia Tbk.</v>
      </c>
      <c r="C41" s="15">
        <f>IFERROR(__xludf.DUMMYFUNCTION("GOOGLEFINANCE(""IDX:""&amp;A41,""price"")"),1575.0)</f>
        <v>1575</v>
      </c>
      <c r="D41" s="16" t="str">
        <f>IFERROR(__xludf.DUMMYFUNCTION("IF(A41="""","""",
SPARKLINE(
INDEX(
GOOGLEFINANCE(""IDX:""&amp;A41,""close"",TODAY()-365,TODAY()),
,2
),
{""linewidth"",1}
))
"),"#N/A")</f>
        <v>#N/A</v>
      </c>
      <c r="E41" s="14" t="s">
        <v>38</v>
      </c>
      <c r="F41" s="25">
        <v>46356.0</v>
      </c>
      <c r="G41" s="18">
        <f t="shared" si="1"/>
        <v>9</v>
      </c>
      <c r="H41" s="19">
        <f>VLOOKUP(A41,Metrik!$C$2:$Y$959,8,0)</f>
        <v>12.6</v>
      </c>
      <c r="I41" s="20">
        <f>VLOOKUP(A41,Metrik!$C$2:$Y$959,9,0)</f>
        <v>2</v>
      </c>
      <c r="J41" s="20">
        <f>VLOOKUP(A41,Metrik!$C$2:$Y$959,10,0)</f>
        <v>16.2</v>
      </c>
      <c r="K41" s="20">
        <f>VLOOKUP(A41,Metrik!$C$2:$Y$959,11,0)</f>
        <v>9.1</v>
      </c>
      <c r="L41" s="20">
        <f>VLOOKUP(A41,Metrik!$C$2:$Y$959,12,0)</f>
        <v>0.78</v>
      </c>
      <c r="M41" s="20">
        <f>VLOOKUP(A41,Metrik!$C$2:$Y$959,19,0)</f>
        <v>110</v>
      </c>
      <c r="N41" s="21"/>
      <c r="O41" s="21"/>
      <c r="P41" s="21"/>
      <c r="Q41" s="21"/>
      <c r="R41" s="21"/>
      <c r="S41" s="21"/>
      <c r="T41" s="21"/>
      <c r="U41" s="22">
        <f>IFERROR(__xludf.DUMMYFUNCTION("IFERROR(GOOGLEFINANCE(A41,""closeyest""),"""")"),1465.0)</f>
        <v>1465</v>
      </c>
      <c r="V41" s="23">
        <f>IFERROR(__xludf.DUMMYFUNCTION("IFERROR(GOOGLEFINANCE(A41,""changepct""),"""")"),7.51)</f>
        <v>7.51</v>
      </c>
      <c r="W41" s="22">
        <f>IFERROR(__xludf.DUMMYFUNCTION("IFERROR(GOOGLEFINANCE(A41,""priceopen""),"""")"),1495.0)</f>
        <v>1495</v>
      </c>
      <c r="X41" s="22">
        <f>IFERROR(__xludf.DUMMYFUNCTION("IFERROR(GOOGLEFINANCE(A41,""high""),"""")"),1640.0)</f>
        <v>1640</v>
      </c>
      <c r="Y41" s="22">
        <f>IFERROR(__xludf.DUMMYFUNCTION("IFERROR(GOOGLEFINANCE(A41,""low""),"""")"),1485.0)</f>
        <v>1485</v>
      </c>
      <c r="Z41" s="22">
        <f>IFERROR(__xludf.DUMMYFUNCTION("IFERROR(GOOGLEFINANCE(A41,""volume""),"""")"),4.32668E7)</f>
        <v>43266800</v>
      </c>
      <c r="AA41" s="24" t="str">
        <f>VLOOKUP(A41,Metrik!$C$2:$Y$959,5,0)</f>
        <v>Coal</v>
      </c>
      <c r="AB41" s="24" t="str">
        <f>VLOOKUP(A41,Metrik!$C$2:$Y$959,3,0)</f>
        <v>Energy</v>
      </c>
    </row>
    <row r="42">
      <c r="A42" s="14" t="s">
        <v>64</v>
      </c>
      <c r="B42" s="14" t="str">
        <f t="array" ref="B42">VLOOKUP(A42,{Metrik!$C$2:$C$998,Metrik!$B$2:$B$998},2,0)</f>
        <v>Alamtri Minerals Indonesia Tbk.</v>
      </c>
      <c r="C42" s="15">
        <f>IFERROR(__xludf.DUMMYFUNCTION("GOOGLEFINANCE(""IDX:""&amp;A42,""price"")"),1575.0)</f>
        <v>1575</v>
      </c>
      <c r="D42" s="16" t="str">
        <f>IFERROR(__xludf.DUMMYFUNCTION("IF(A42="""","""",
SPARKLINE(
INDEX(
GOOGLEFINANCE(""IDX:""&amp;A42,""close"",TODAY()-365,TODAY()),
,2
),
{""linewidth"",1}
))
"),"#N/A")</f>
        <v>#N/A</v>
      </c>
      <c r="E42" s="14" t="s">
        <v>39</v>
      </c>
      <c r="F42" s="25">
        <v>46356.0</v>
      </c>
      <c r="G42" s="28">
        <f t="shared" si="1"/>
        <v>9</v>
      </c>
      <c r="H42" s="19">
        <f>VLOOKUP(A42,Metrik!$C$2:$Y$959,8,0)</f>
        <v>12.6</v>
      </c>
      <c r="I42" s="20">
        <f>VLOOKUP(A42,Metrik!$C$2:$Y$959,9,0)</f>
        <v>2</v>
      </c>
      <c r="J42" s="20">
        <f>VLOOKUP(A42,Metrik!$C$2:$Y$959,10,0)</f>
        <v>16.2</v>
      </c>
      <c r="K42" s="20">
        <f>VLOOKUP(A42,Metrik!$C$2:$Y$959,11,0)</f>
        <v>9.1</v>
      </c>
      <c r="L42" s="20">
        <f>VLOOKUP(A42,Metrik!$C$2:$Y$959,12,0)</f>
        <v>0.78</v>
      </c>
      <c r="M42" s="20">
        <f>VLOOKUP(A42,Metrik!$C$2:$Y$959,19,0)</f>
        <v>110</v>
      </c>
      <c r="N42" s="21"/>
      <c r="O42" s="21"/>
      <c r="P42" s="21"/>
      <c r="Q42" s="21"/>
      <c r="R42" s="21"/>
      <c r="S42" s="21"/>
      <c r="T42" s="21"/>
      <c r="U42" s="22">
        <f>IFERROR(__xludf.DUMMYFUNCTION("IFERROR(GOOGLEFINANCE(A42,""closeyest""),"""")"),1465.0)</f>
        <v>1465</v>
      </c>
      <c r="V42" s="23">
        <f>IFERROR(__xludf.DUMMYFUNCTION("IFERROR(GOOGLEFINANCE(A42,""changepct""),"""")"),7.51)</f>
        <v>7.51</v>
      </c>
      <c r="W42" s="22">
        <f>IFERROR(__xludf.DUMMYFUNCTION("IFERROR(GOOGLEFINANCE(A42,""priceopen""),"""")"),1495.0)</f>
        <v>1495</v>
      </c>
      <c r="X42" s="22">
        <f>IFERROR(__xludf.DUMMYFUNCTION("IFERROR(GOOGLEFINANCE(A42,""high""),"""")"),1640.0)</f>
        <v>1640</v>
      </c>
      <c r="Y42" s="22">
        <f>IFERROR(__xludf.DUMMYFUNCTION("IFERROR(GOOGLEFINANCE(A42,""low""),"""")"),1485.0)</f>
        <v>1485</v>
      </c>
      <c r="Z42" s="22">
        <f>IFERROR(__xludf.DUMMYFUNCTION("IFERROR(GOOGLEFINANCE(A42,""volume""),"""")"),4.32668E7)</f>
        <v>43266800</v>
      </c>
      <c r="AA42" s="24" t="str">
        <f>VLOOKUP(A42,Metrik!$C$2:$Y$959,5,0)</f>
        <v>Coal</v>
      </c>
      <c r="AB42" s="24" t="str">
        <f>VLOOKUP(A42,Metrik!$C$2:$Y$959,3,0)</f>
        <v>Energy</v>
      </c>
    </row>
    <row r="43">
      <c r="A43" s="14" t="s">
        <v>66</v>
      </c>
      <c r="B43" s="14" t="str">
        <f t="array" ref="B43">VLOOKUP(A43,{Metrik!$C$2:$C$998,Metrik!$B$2:$B$998},2,0)</f>
        <v>Alamtri Resources Indonesia Tbk.</v>
      </c>
      <c r="C43" s="15">
        <f>IFERROR(__xludf.DUMMYFUNCTION("GOOGLEFINANCE(""IDX:""&amp;A43,""price"")"),2280.0)</f>
        <v>2280</v>
      </c>
      <c r="D43" s="16" t="str">
        <f>IFERROR(__xludf.DUMMYFUNCTION("IF(A43="""","""",
SPARKLINE(
INDEX(
GOOGLEFINANCE(""IDX:""&amp;A43,""close"",TODAY()-365,TODAY()),
,2
),
{""linewidth"",1}
))
"),"#N/A")</f>
        <v>#N/A</v>
      </c>
      <c r="E43" s="14" t="s">
        <v>67</v>
      </c>
      <c r="F43" s="17" t="s">
        <v>51</v>
      </c>
      <c r="G43" s="24">
        <f t="shared" si="1"/>
        <v>14</v>
      </c>
      <c r="H43" s="19">
        <f>VLOOKUP(A43,Metrik!$C$2:$Y$959,8,0)</f>
        <v>8</v>
      </c>
      <c r="I43" s="20">
        <f>VLOOKUP(A43,Metrik!$C$2:$Y$959,9,0)</f>
        <v>0.73</v>
      </c>
      <c r="J43" s="20">
        <f>VLOOKUP(A43,Metrik!$C$2:$Y$959,10,0)</f>
        <v>9.1</v>
      </c>
      <c r="K43" s="20">
        <f>VLOOKUP(A43,Metrik!$C$2:$Y$959,11,0)</f>
        <v>6.9</v>
      </c>
      <c r="L43" s="20">
        <f>VLOOKUP(A43,Metrik!$C$2:$Y$959,12,0)</f>
        <v>0.32</v>
      </c>
      <c r="M43" s="20">
        <f>VLOOKUP(A43,Metrik!$C$2:$Y$959,19,0)</f>
        <v>110</v>
      </c>
      <c r="N43" s="21"/>
      <c r="O43" s="21"/>
      <c r="P43" s="21"/>
      <c r="Q43" s="21"/>
      <c r="R43" s="21"/>
      <c r="S43" s="21"/>
      <c r="T43" s="21"/>
      <c r="U43" s="22">
        <f>IFERROR(__xludf.DUMMYFUNCTION("IFERROR(GOOGLEFINANCE(A43,""closeyest""),"""")"),2250.0)</f>
        <v>2250</v>
      </c>
      <c r="V43" s="23">
        <f>IFERROR(__xludf.DUMMYFUNCTION("IFERROR(GOOGLEFINANCE(A43,""changepct""),"""")"),1.33)</f>
        <v>1.33</v>
      </c>
      <c r="W43" s="22">
        <f>IFERROR(__xludf.DUMMYFUNCTION("IFERROR(GOOGLEFINANCE(A43,""priceopen""),"""")"),2270.0)</f>
        <v>2270</v>
      </c>
      <c r="X43" s="22">
        <f>IFERROR(__xludf.DUMMYFUNCTION("IFERROR(GOOGLEFINANCE(A43,""high""),"""")"),2340.0)</f>
        <v>2340</v>
      </c>
      <c r="Y43" s="22">
        <f>IFERROR(__xludf.DUMMYFUNCTION("IFERROR(GOOGLEFINANCE(A43,""low""),"""")"),2250.0)</f>
        <v>2250</v>
      </c>
      <c r="Z43" s="22">
        <f>IFERROR(__xludf.DUMMYFUNCTION("IFERROR(GOOGLEFINANCE(A43,""volume""),"""")"),3.69179E7)</f>
        <v>36917900</v>
      </c>
      <c r="AA43" s="24" t="str">
        <f>VLOOKUP(A43,Metrik!$C$2:$Y$959,5,0)</f>
        <v>Coal</v>
      </c>
      <c r="AB43" s="24" t="str">
        <f>VLOOKUP(A43,Metrik!$C$2:$Y$959,3,0)</f>
        <v>Energy</v>
      </c>
    </row>
    <row r="44">
      <c r="A44" s="14" t="s">
        <v>66</v>
      </c>
      <c r="B44" s="14" t="str">
        <f t="array" ref="B44">VLOOKUP(A44,{Metrik!$C$2:$C$998,Metrik!$B$2:$B$998},2,0)</f>
        <v>Alamtri Resources Indonesia Tbk.</v>
      </c>
      <c r="C44" s="15">
        <f>IFERROR(__xludf.DUMMYFUNCTION("GOOGLEFINANCE(""IDX:""&amp;A44,""price"")"),2280.0)</f>
        <v>2280</v>
      </c>
      <c r="D44" s="16" t="str">
        <f>IFERROR(__xludf.DUMMYFUNCTION("IF(A44="""","""",
SPARKLINE(
INDEX(
GOOGLEFINANCE(""IDX:""&amp;A44,""close"",TODAY()-365,TODAY()),
,2
),
{""linewidth"",1}
))
"),"#N/A")</f>
        <v>#N/A</v>
      </c>
      <c r="E44" s="14" t="s">
        <v>30</v>
      </c>
      <c r="F44" s="17" t="s">
        <v>29</v>
      </c>
      <c r="G44" s="24">
        <f t="shared" si="1"/>
        <v>14</v>
      </c>
      <c r="H44" s="19">
        <f>VLOOKUP(A44,Metrik!$C$2:$Y$959,8,0)</f>
        <v>8</v>
      </c>
      <c r="I44" s="20">
        <f>VLOOKUP(A44,Metrik!$C$2:$Y$959,9,0)</f>
        <v>0.73</v>
      </c>
      <c r="J44" s="20">
        <f>VLOOKUP(A44,Metrik!$C$2:$Y$959,10,0)</f>
        <v>9.1</v>
      </c>
      <c r="K44" s="20">
        <f>VLOOKUP(A44,Metrik!$C$2:$Y$959,11,0)</f>
        <v>6.9</v>
      </c>
      <c r="L44" s="20">
        <f>VLOOKUP(A44,Metrik!$C$2:$Y$959,12,0)</f>
        <v>0.32</v>
      </c>
      <c r="M44" s="20">
        <f>VLOOKUP(A44,Metrik!$C$2:$Y$959,19,0)</f>
        <v>110</v>
      </c>
      <c r="N44" s="21"/>
      <c r="O44" s="21"/>
      <c r="P44" s="21"/>
      <c r="Q44" s="21"/>
      <c r="R44" s="21"/>
      <c r="S44" s="21"/>
      <c r="T44" s="21"/>
      <c r="U44" s="22">
        <f>IFERROR(__xludf.DUMMYFUNCTION("IFERROR(GOOGLEFINANCE(A44,""closeyest""),"""")"),2250.0)</f>
        <v>2250</v>
      </c>
      <c r="V44" s="23">
        <f>IFERROR(__xludf.DUMMYFUNCTION("IFERROR(GOOGLEFINANCE(A44,""changepct""),"""")"),1.33)</f>
        <v>1.33</v>
      </c>
      <c r="W44" s="22">
        <f>IFERROR(__xludf.DUMMYFUNCTION("IFERROR(GOOGLEFINANCE(A44,""priceopen""),"""")"),2270.0)</f>
        <v>2270</v>
      </c>
      <c r="X44" s="22">
        <f>IFERROR(__xludf.DUMMYFUNCTION("IFERROR(GOOGLEFINANCE(A44,""high""),"""")"),2340.0)</f>
        <v>2340</v>
      </c>
      <c r="Y44" s="22">
        <f>IFERROR(__xludf.DUMMYFUNCTION("IFERROR(GOOGLEFINANCE(A44,""low""),"""")"),2250.0)</f>
        <v>2250</v>
      </c>
      <c r="Z44" s="22">
        <f>IFERROR(__xludf.DUMMYFUNCTION("IFERROR(GOOGLEFINANCE(A44,""volume""),"""")"),3.69179E7)</f>
        <v>36917900</v>
      </c>
      <c r="AA44" s="24" t="str">
        <f>VLOOKUP(A44,Metrik!$C$2:$Y$959,5,0)</f>
        <v>Coal</v>
      </c>
      <c r="AB44" s="24" t="str">
        <f>VLOOKUP(A44,Metrik!$C$2:$Y$959,3,0)</f>
        <v>Energy</v>
      </c>
    </row>
    <row r="45">
      <c r="A45" s="14" t="s">
        <v>66</v>
      </c>
      <c r="B45" s="14" t="str">
        <f t="array" ref="B45">VLOOKUP(A45,{Metrik!$C$2:$C$998,Metrik!$B$2:$B$998},2,0)</f>
        <v>Alamtri Resources Indonesia Tbk.</v>
      </c>
      <c r="C45" s="15">
        <f>IFERROR(__xludf.DUMMYFUNCTION("GOOGLEFINANCE(""IDX:""&amp;A45,""price"")"),2280.0)</f>
        <v>2280</v>
      </c>
      <c r="D45" s="16" t="str">
        <f>IFERROR(__xludf.DUMMYFUNCTION("IF(A45="""","""",
SPARKLINE(
INDEX(
GOOGLEFINANCE(""IDX:""&amp;A45,""close"",TODAY()-365,TODAY()),
,2
),
{""linewidth"",1}
))
"),"#N/A")</f>
        <v>#N/A</v>
      </c>
      <c r="E45" s="14" t="s">
        <v>28</v>
      </c>
      <c r="F45" s="17" t="s">
        <v>29</v>
      </c>
      <c r="G45" s="24">
        <f t="shared" si="1"/>
        <v>14</v>
      </c>
      <c r="H45" s="19">
        <f>VLOOKUP(A45,Metrik!$C$2:$Y$959,8,0)</f>
        <v>8</v>
      </c>
      <c r="I45" s="20">
        <f>VLOOKUP(A45,Metrik!$C$2:$Y$959,9,0)</f>
        <v>0.73</v>
      </c>
      <c r="J45" s="20">
        <f>VLOOKUP(A45,Metrik!$C$2:$Y$959,10,0)</f>
        <v>9.1</v>
      </c>
      <c r="K45" s="20">
        <f>VLOOKUP(A45,Metrik!$C$2:$Y$959,11,0)</f>
        <v>6.9</v>
      </c>
      <c r="L45" s="20">
        <f>VLOOKUP(A45,Metrik!$C$2:$Y$959,12,0)</f>
        <v>0.32</v>
      </c>
      <c r="M45" s="20">
        <f>VLOOKUP(A45,Metrik!$C$2:$Y$959,19,0)</f>
        <v>110</v>
      </c>
      <c r="N45" s="21"/>
      <c r="O45" s="21"/>
      <c r="P45" s="21"/>
      <c r="Q45" s="21"/>
      <c r="R45" s="21"/>
      <c r="S45" s="21"/>
      <c r="T45" s="21"/>
      <c r="U45" s="22">
        <f>IFERROR(__xludf.DUMMYFUNCTION("IFERROR(GOOGLEFINANCE(A45,""closeyest""),"""")"),2250.0)</f>
        <v>2250</v>
      </c>
      <c r="V45" s="23">
        <f>IFERROR(__xludf.DUMMYFUNCTION("IFERROR(GOOGLEFINANCE(A45,""changepct""),"""")"),1.33)</f>
        <v>1.33</v>
      </c>
      <c r="W45" s="22">
        <f>IFERROR(__xludf.DUMMYFUNCTION("IFERROR(GOOGLEFINANCE(A45,""priceopen""),"""")"),2270.0)</f>
        <v>2270</v>
      </c>
      <c r="X45" s="22">
        <f>IFERROR(__xludf.DUMMYFUNCTION("IFERROR(GOOGLEFINANCE(A45,""high""),"""")"),2340.0)</f>
        <v>2340</v>
      </c>
      <c r="Y45" s="22">
        <f>IFERROR(__xludf.DUMMYFUNCTION("IFERROR(GOOGLEFINANCE(A45,""low""),"""")"),2250.0)</f>
        <v>2250</v>
      </c>
      <c r="Z45" s="22">
        <f>IFERROR(__xludf.DUMMYFUNCTION("IFERROR(GOOGLEFINANCE(A45,""volume""),"""")"),3.69179E7)</f>
        <v>36917900</v>
      </c>
      <c r="AA45" s="24" t="str">
        <f>VLOOKUP(A45,Metrik!$C$2:$Y$959,5,0)</f>
        <v>Coal</v>
      </c>
      <c r="AB45" s="24" t="str">
        <f>VLOOKUP(A45,Metrik!$C$2:$Y$959,3,0)</f>
        <v>Energy</v>
      </c>
    </row>
    <row r="46">
      <c r="A46" s="14" t="s">
        <v>66</v>
      </c>
      <c r="B46" s="14" t="str">
        <f t="array" ref="B46">VLOOKUP(A46,{Metrik!$C$2:$C$998,Metrik!$B$2:$B$998},2,0)</f>
        <v>Alamtri Resources Indonesia Tbk.</v>
      </c>
      <c r="C46" s="15">
        <f>IFERROR(__xludf.DUMMYFUNCTION("GOOGLEFINANCE(""IDX:""&amp;A46,""price"")"),2280.0)</f>
        <v>2280</v>
      </c>
      <c r="D46" s="16" t="str">
        <f>IFERROR(__xludf.DUMMYFUNCTION("IF(A46="""","""",
SPARKLINE(
INDEX(
GOOGLEFINANCE(""IDX:""&amp;A46,""close"",TODAY()-365,TODAY()),
,2
),
{""linewidth"",1}
))
"),"#N/A")</f>
        <v>#N/A</v>
      </c>
      <c r="E46" s="14" t="s">
        <v>68</v>
      </c>
      <c r="F46" s="14" t="s">
        <v>34</v>
      </c>
      <c r="G46" s="24">
        <f t="shared" si="1"/>
        <v>14</v>
      </c>
      <c r="H46" s="19">
        <f>VLOOKUP(A46,Metrik!$C$2:$Y$959,8,0)</f>
        <v>8</v>
      </c>
      <c r="I46" s="20">
        <f>VLOOKUP(A46,Metrik!$C$2:$Y$959,9,0)</f>
        <v>0.73</v>
      </c>
      <c r="J46" s="20">
        <f>VLOOKUP(A46,Metrik!$C$2:$Y$959,10,0)</f>
        <v>9.1</v>
      </c>
      <c r="K46" s="20">
        <f>VLOOKUP(A46,Metrik!$C$2:$Y$959,11,0)</f>
        <v>6.9</v>
      </c>
      <c r="L46" s="20">
        <f>VLOOKUP(A46,Metrik!$C$2:$Y$959,12,0)</f>
        <v>0.32</v>
      </c>
      <c r="M46" s="20">
        <f>VLOOKUP(A46,Metrik!$C$2:$Y$959,19,0)</f>
        <v>110</v>
      </c>
      <c r="N46" s="21"/>
      <c r="O46" s="21"/>
      <c r="P46" s="21"/>
      <c r="Q46" s="21"/>
      <c r="R46" s="21"/>
      <c r="S46" s="21"/>
      <c r="T46" s="21"/>
      <c r="U46" s="22">
        <f>IFERROR(__xludf.DUMMYFUNCTION("IFERROR(GOOGLEFINANCE(A46,""closeyest""),"""")"),2250.0)</f>
        <v>2250</v>
      </c>
      <c r="V46" s="23">
        <f>IFERROR(__xludf.DUMMYFUNCTION("IFERROR(GOOGLEFINANCE(A46,""changepct""),"""")"),1.33)</f>
        <v>1.33</v>
      </c>
      <c r="W46" s="22">
        <f>IFERROR(__xludf.DUMMYFUNCTION("IFERROR(GOOGLEFINANCE(A46,""priceopen""),"""")"),2270.0)</f>
        <v>2270</v>
      </c>
      <c r="X46" s="22">
        <f>IFERROR(__xludf.DUMMYFUNCTION("IFERROR(GOOGLEFINANCE(A46,""high""),"""")"),2340.0)</f>
        <v>2340</v>
      </c>
      <c r="Y46" s="22">
        <f>IFERROR(__xludf.DUMMYFUNCTION("IFERROR(GOOGLEFINANCE(A46,""low""),"""")"),2250.0)</f>
        <v>2250</v>
      </c>
      <c r="Z46" s="22">
        <f>IFERROR(__xludf.DUMMYFUNCTION("IFERROR(GOOGLEFINANCE(A46,""volume""),"""")"),3.69179E7)</f>
        <v>36917900</v>
      </c>
      <c r="AA46" s="24" t="str">
        <f>VLOOKUP(A46,Metrik!$C$2:$Y$959,5,0)</f>
        <v>Coal</v>
      </c>
      <c r="AB46" s="24" t="str">
        <f>VLOOKUP(A46,Metrik!$C$2:$Y$959,3,0)</f>
        <v>Energy</v>
      </c>
    </row>
    <row r="47">
      <c r="A47" s="14" t="s">
        <v>66</v>
      </c>
      <c r="B47" s="14" t="str">
        <f t="array" ref="B47">VLOOKUP(A47,{Metrik!$C$2:$C$998,Metrik!$B$2:$B$998},2,0)</f>
        <v>Alamtri Resources Indonesia Tbk.</v>
      </c>
      <c r="C47" s="15">
        <f>IFERROR(__xludf.DUMMYFUNCTION("GOOGLEFINANCE(""IDX:""&amp;A47,""price"")"),2280.0)</f>
        <v>2280</v>
      </c>
      <c r="D47" s="16" t="str">
        <f>IFERROR(__xludf.DUMMYFUNCTION("IF(A47="""","""",
SPARKLINE(
INDEX(
GOOGLEFINANCE(""IDX:""&amp;A47,""close"",TODAY()-365,TODAY()),
,2
),
{""linewidth"",1}
))
"),"#N/A")</f>
        <v>#N/A</v>
      </c>
      <c r="E47" s="14" t="s">
        <v>48</v>
      </c>
      <c r="F47" s="14" t="s">
        <v>49</v>
      </c>
      <c r="G47" s="24">
        <f t="shared" si="1"/>
        <v>14</v>
      </c>
      <c r="H47" s="19">
        <f>VLOOKUP(A47,Metrik!$C$2:$Y$959,8,0)</f>
        <v>8</v>
      </c>
      <c r="I47" s="20">
        <f>VLOOKUP(A47,Metrik!$C$2:$Y$959,9,0)</f>
        <v>0.73</v>
      </c>
      <c r="J47" s="20">
        <f>VLOOKUP(A47,Metrik!$C$2:$Y$959,10,0)</f>
        <v>9.1</v>
      </c>
      <c r="K47" s="20">
        <f>VLOOKUP(A47,Metrik!$C$2:$Y$959,11,0)</f>
        <v>6.9</v>
      </c>
      <c r="L47" s="20">
        <f>VLOOKUP(A47,Metrik!$C$2:$Y$959,12,0)</f>
        <v>0.32</v>
      </c>
      <c r="M47" s="20">
        <f>VLOOKUP(A47,Metrik!$C$2:$Y$959,19,0)</f>
        <v>110</v>
      </c>
      <c r="N47" s="21"/>
      <c r="O47" s="21"/>
      <c r="P47" s="21"/>
      <c r="Q47" s="21"/>
      <c r="R47" s="21"/>
      <c r="S47" s="21"/>
      <c r="T47" s="21"/>
      <c r="U47" s="22">
        <f>IFERROR(__xludf.DUMMYFUNCTION("IFERROR(GOOGLEFINANCE(A47,""closeyest""),"""")"),2250.0)</f>
        <v>2250</v>
      </c>
      <c r="V47" s="23">
        <f>IFERROR(__xludf.DUMMYFUNCTION("IFERROR(GOOGLEFINANCE(A47,""changepct""),"""")"),1.33)</f>
        <v>1.33</v>
      </c>
      <c r="W47" s="22">
        <f>IFERROR(__xludf.DUMMYFUNCTION("IFERROR(GOOGLEFINANCE(A47,""priceopen""),"""")"),2270.0)</f>
        <v>2270</v>
      </c>
      <c r="X47" s="22">
        <f>IFERROR(__xludf.DUMMYFUNCTION("IFERROR(GOOGLEFINANCE(A47,""high""),"""")"),2340.0)</f>
        <v>2340</v>
      </c>
      <c r="Y47" s="22">
        <f>IFERROR(__xludf.DUMMYFUNCTION("IFERROR(GOOGLEFINANCE(A47,""low""),"""")"),2250.0)</f>
        <v>2250</v>
      </c>
      <c r="Z47" s="22">
        <f>IFERROR(__xludf.DUMMYFUNCTION("IFERROR(GOOGLEFINANCE(A47,""volume""),"""")"),3.69179E7)</f>
        <v>36917900</v>
      </c>
      <c r="AA47" s="24" t="str">
        <f>VLOOKUP(A47,Metrik!$C$2:$Y$959,5,0)</f>
        <v>Coal</v>
      </c>
      <c r="AB47" s="24" t="str">
        <f>VLOOKUP(A47,Metrik!$C$2:$Y$959,3,0)</f>
        <v>Energy</v>
      </c>
    </row>
    <row r="48">
      <c r="A48" s="14" t="s">
        <v>66</v>
      </c>
      <c r="B48" s="14" t="str">
        <f t="array" ref="B48">VLOOKUP(A48,{Metrik!$C$2:$C$998,Metrik!$B$2:$B$998},2,0)</f>
        <v>Alamtri Resources Indonesia Tbk.</v>
      </c>
      <c r="C48" s="15">
        <f>IFERROR(__xludf.DUMMYFUNCTION("GOOGLEFINANCE(""IDX:""&amp;A48,""price"")"),2280.0)</f>
        <v>2280</v>
      </c>
      <c r="D48" s="16" t="str">
        <f>IFERROR(__xludf.DUMMYFUNCTION("IF(A48="""","""",
SPARKLINE(
INDEX(
GOOGLEFINANCE(""IDX:""&amp;A48,""close"",TODAY()-365,TODAY()),
,2
),
{""linewidth"",1}
))
"),"#N/A")</f>
        <v>#N/A</v>
      </c>
      <c r="E48" s="14" t="s">
        <v>32</v>
      </c>
      <c r="F48" s="14" t="s">
        <v>29</v>
      </c>
      <c r="G48" s="24">
        <f t="shared" si="1"/>
        <v>14</v>
      </c>
      <c r="H48" s="19">
        <f>VLOOKUP(A48,Metrik!$C$2:$Y$959,8,0)</f>
        <v>8</v>
      </c>
      <c r="I48" s="20">
        <f>VLOOKUP(A48,Metrik!$C$2:$Y$959,9,0)</f>
        <v>0.73</v>
      </c>
      <c r="J48" s="20">
        <f>VLOOKUP(A48,Metrik!$C$2:$Y$959,10,0)</f>
        <v>9.1</v>
      </c>
      <c r="K48" s="20">
        <f>VLOOKUP(A48,Metrik!$C$2:$Y$959,11,0)</f>
        <v>6.9</v>
      </c>
      <c r="L48" s="20">
        <f>VLOOKUP(A48,Metrik!$C$2:$Y$959,12,0)</f>
        <v>0.32</v>
      </c>
      <c r="M48" s="20">
        <f>VLOOKUP(A48,Metrik!$C$2:$Y$959,19,0)</f>
        <v>110</v>
      </c>
      <c r="N48" s="21"/>
      <c r="O48" s="21"/>
      <c r="P48" s="21"/>
      <c r="Q48" s="21"/>
      <c r="R48" s="21"/>
      <c r="S48" s="21"/>
      <c r="T48" s="21"/>
      <c r="U48" s="22">
        <f>IFERROR(__xludf.DUMMYFUNCTION("IFERROR(GOOGLEFINANCE(A48,""closeyest""),"""")"),2250.0)</f>
        <v>2250</v>
      </c>
      <c r="V48" s="23">
        <f>IFERROR(__xludf.DUMMYFUNCTION("IFERROR(GOOGLEFINANCE(A48,""changepct""),"""")"),1.33)</f>
        <v>1.33</v>
      </c>
      <c r="W48" s="22">
        <f>IFERROR(__xludf.DUMMYFUNCTION("IFERROR(GOOGLEFINANCE(A48,""priceopen""),"""")"),2270.0)</f>
        <v>2270</v>
      </c>
      <c r="X48" s="22">
        <f>IFERROR(__xludf.DUMMYFUNCTION("IFERROR(GOOGLEFINANCE(A48,""high""),"""")"),2340.0)</f>
        <v>2340</v>
      </c>
      <c r="Y48" s="22">
        <f>IFERROR(__xludf.DUMMYFUNCTION("IFERROR(GOOGLEFINANCE(A48,""low""),"""")"),2250.0)</f>
        <v>2250</v>
      </c>
      <c r="Z48" s="22">
        <f>IFERROR(__xludf.DUMMYFUNCTION("IFERROR(GOOGLEFINANCE(A48,""volume""),"""")"),3.69179E7)</f>
        <v>36917900</v>
      </c>
      <c r="AA48" s="24" t="str">
        <f>VLOOKUP(A48,Metrik!$C$2:$Y$959,5,0)</f>
        <v>Coal</v>
      </c>
      <c r="AB48" s="24" t="str">
        <f>VLOOKUP(A48,Metrik!$C$2:$Y$959,3,0)</f>
        <v>Energy</v>
      </c>
    </row>
    <row r="49">
      <c r="A49" s="14" t="s">
        <v>66</v>
      </c>
      <c r="B49" s="14" t="str">
        <f t="array" ref="B49">VLOOKUP(A49,{Metrik!$C$2:$C$998,Metrik!$B$2:$B$998},2,0)</f>
        <v>Alamtri Resources Indonesia Tbk.</v>
      </c>
      <c r="C49" s="15">
        <f>IFERROR(__xludf.DUMMYFUNCTION("GOOGLEFINANCE(""IDX:""&amp;A49,""price"")"),2280.0)</f>
        <v>2280</v>
      </c>
      <c r="D49" s="16" t="str">
        <f>IFERROR(__xludf.DUMMYFUNCTION("IF(A49="""","""",
SPARKLINE(
INDEX(
GOOGLEFINANCE(""IDX:""&amp;A49,""close"",TODAY()-365,TODAY()),
,2
),
{""linewidth"",1}
))
"),"#N/A")</f>
        <v>#N/A</v>
      </c>
      <c r="E49" s="14" t="s">
        <v>31</v>
      </c>
      <c r="F49" s="17" t="s">
        <v>29</v>
      </c>
      <c r="G49" s="24">
        <f t="shared" si="1"/>
        <v>14</v>
      </c>
      <c r="H49" s="19">
        <f>VLOOKUP(A49,Metrik!$C$2:$Y$959,8,0)</f>
        <v>8</v>
      </c>
      <c r="I49" s="20">
        <f>VLOOKUP(A49,Metrik!$C$2:$Y$959,9,0)</f>
        <v>0.73</v>
      </c>
      <c r="J49" s="20">
        <f>VLOOKUP(A49,Metrik!$C$2:$Y$959,10,0)</f>
        <v>9.1</v>
      </c>
      <c r="K49" s="20">
        <f>VLOOKUP(A49,Metrik!$C$2:$Y$959,11,0)</f>
        <v>6.9</v>
      </c>
      <c r="L49" s="20">
        <f>VLOOKUP(A49,Metrik!$C$2:$Y$959,12,0)</f>
        <v>0.32</v>
      </c>
      <c r="M49" s="20">
        <f>VLOOKUP(A49,Metrik!$C$2:$Y$959,19,0)</f>
        <v>110</v>
      </c>
      <c r="N49" s="21"/>
      <c r="O49" s="21"/>
      <c r="P49" s="21"/>
      <c r="Q49" s="21"/>
      <c r="R49" s="21"/>
      <c r="S49" s="21"/>
      <c r="T49" s="21"/>
      <c r="U49" s="22">
        <f>IFERROR(__xludf.DUMMYFUNCTION("IFERROR(GOOGLEFINANCE(A49,""closeyest""),"""")"),2250.0)</f>
        <v>2250</v>
      </c>
      <c r="V49" s="23">
        <f>IFERROR(__xludf.DUMMYFUNCTION("IFERROR(GOOGLEFINANCE(A49,""changepct""),"""")"),1.33)</f>
        <v>1.33</v>
      </c>
      <c r="W49" s="22">
        <f>IFERROR(__xludf.DUMMYFUNCTION("IFERROR(GOOGLEFINANCE(A49,""priceopen""),"""")"),2270.0)</f>
        <v>2270</v>
      </c>
      <c r="X49" s="22">
        <f>IFERROR(__xludf.DUMMYFUNCTION("IFERROR(GOOGLEFINANCE(A49,""high""),"""")"),2340.0)</f>
        <v>2340</v>
      </c>
      <c r="Y49" s="22">
        <f>IFERROR(__xludf.DUMMYFUNCTION("IFERROR(GOOGLEFINANCE(A49,""low""),"""")"),2250.0)</f>
        <v>2250</v>
      </c>
      <c r="Z49" s="22">
        <f>IFERROR(__xludf.DUMMYFUNCTION("IFERROR(GOOGLEFINANCE(A49,""volume""),"""")"),3.69179E7)</f>
        <v>36917900</v>
      </c>
      <c r="AA49" s="24" t="str">
        <f>VLOOKUP(A49,Metrik!$C$2:$Y$959,5,0)</f>
        <v>Coal</v>
      </c>
      <c r="AB49" s="24" t="str">
        <f>VLOOKUP(A49,Metrik!$C$2:$Y$959,3,0)</f>
        <v>Energy</v>
      </c>
    </row>
    <row r="50">
      <c r="A50" s="14" t="s">
        <v>66</v>
      </c>
      <c r="B50" s="14" t="str">
        <f t="array" ref="B50">VLOOKUP(A50,{Metrik!$C$2:$C$998,Metrik!$B$2:$B$998},2,0)</f>
        <v>Alamtri Resources Indonesia Tbk.</v>
      </c>
      <c r="C50" s="15">
        <f>IFERROR(__xludf.DUMMYFUNCTION("GOOGLEFINANCE(""IDX:""&amp;A50,""price"")"),2280.0)</f>
        <v>2280</v>
      </c>
      <c r="D50" s="16" t="str">
        <f>IFERROR(__xludf.DUMMYFUNCTION("IF(A50="""","""",
SPARKLINE(
INDEX(
GOOGLEFINANCE(""IDX:""&amp;A50,""close"",TODAY()-365,TODAY()),
,2
),
{""linewidth"",1}
))
"),"#N/A")</f>
        <v>#N/A</v>
      </c>
      <c r="E50" s="14" t="s">
        <v>33</v>
      </c>
      <c r="F50" s="14" t="s">
        <v>34</v>
      </c>
      <c r="G50" s="24">
        <f t="shared" si="1"/>
        <v>14</v>
      </c>
      <c r="H50" s="19">
        <f>VLOOKUP(A50,Metrik!$C$2:$Y$959,8,0)</f>
        <v>8</v>
      </c>
      <c r="I50" s="20">
        <f>VLOOKUP(A50,Metrik!$C$2:$Y$959,9,0)</f>
        <v>0.73</v>
      </c>
      <c r="J50" s="20">
        <f>VLOOKUP(A50,Metrik!$C$2:$Y$959,10,0)</f>
        <v>9.1</v>
      </c>
      <c r="K50" s="20">
        <f>VLOOKUP(A50,Metrik!$C$2:$Y$959,11,0)</f>
        <v>6.9</v>
      </c>
      <c r="L50" s="20">
        <f>VLOOKUP(A50,Metrik!$C$2:$Y$959,12,0)</f>
        <v>0.32</v>
      </c>
      <c r="M50" s="20">
        <f>VLOOKUP(A50,Metrik!$C$2:$Y$959,19,0)</f>
        <v>110</v>
      </c>
      <c r="N50" s="21"/>
      <c r="O50" s="21"/>
      <c r="P50" s="21"/>
      <c r="Q50" s="21"/>
      <c r="R50" s="21"/>
      <c r="S50" s="21"/>
      <c r="T50" s="21"/>
      <c r="U50" s="22">
        <f>IFERROR(__xludf.DUMMYFUNCTION("IFERROR(GOOGLEFINANCE(A50,""closeyest""),"""")"),2250.0)</f>
        <v>2250</v>
      </c>
      <c r="V50" s="23">
        <f>IFERROR(__xludf.DUMMYFUNCTION("IFERROR(GOOGLEFINANCE(A50,""changepct""),"""")"),1.33)</f>
        <v>1.33</v>
      </c>
      <c r="W50" s="22">
        <f>IFERROR(__xludf.DUMMYFUNCTION("IFERROR(GOOGLEFINANCE(A50,""priceopen""),"""")"),2270.0)</f>
        <v>2270</v>
      </c>
      <c r="X50" s="22">
        <f>IFERROR(__xludf.DUMMYFUNCTION("IFERROR(GOOGLEFINANCE(A50,""high""),"""")"),2340.0)</f>
        <v>2340</v>
      </c>
      <c r="Y50" s="22">
        <f>IFERROR(__xludf.DUMMYFUNCTION("IFERROR(GOOGLEFINANCE(A50,""low""),"""")"),2250.0)</f>
        <v>2250</v>
      </c>
      <c r="Z50" s="22">
        <f>IFERROR(__xludf.DUMMYFUNCTION("IFERROR(GOOGLEFINANCE(A50,""volume""),"""")"),3.69179E7)</f>
        <v>36917900</v>
      </c>
      <c r="AA50" s="24" t="str">
        <f>VLOOKUP(A50,Metrik!$C$2:$Y$959,5,0)</f>
        <v>Coal</v>
      </c>
      <c r="AB50" s="24" t="str">
        <f>VLOOKUP(A50,Metrik!$C$2:$Y$959,3,0)</f>
        <v>Energy</v>
      </c>
    </row>
    <row r="51">
      <c r="A51" s="17" t="s">
        <v>66</v>
      </c>
      <c r="B51" s="14" t="str">
        <f t="array" ref="B51">VLOOKUP(A51,{Metrik!$C$2:$C$998,Metrik!$B$2:$B$998},2,0)</f>
        <v>Alamtri Resources Indonesia Tbk.</v>
      </c>
      <c r="C51" s="15">
        <f>IFERROR(__xludf.DUMMYFUNCTION("GOOGLEFINANCE(""IDX:""&amp;A51,""price"")"),2280.0)</f>
        <v>2280</v>
      </c>
      <c r="D51" s="16" t="str">
        <f>IFERROR(__xludf.DUMMYFUNCTION("IF(A51="""","""",
SPARKLINE(
INDEX(
GOOGLEFINANCE(""IDX:""&amp;A51,""close"",TODAY()-365,TODAY()),
,2
),
{""linewidth"",1}
))
"),"#N/A")</f>
        <v>#N/A</v>
      </c>
      <c r="E51" s="17" t="s">
        <v>69</v>
      </c>
      <c r="F51" s="17" t="s">
        <v>70</v>
      </c>
      <c r="G51" s="24">
        <f t="shared" si="1"/>
        <v>14</v>
      </c>
      <c r="H51" s="19">
        <f>VLOOKUP(A51,Metrik!$C$2:$Y$959,8,0)</f>
        <v>8</v>
      </c>
      <c r="I51" s="20">
        <f>VLOOKUP(A51,Metrik!$C$2:$Y$959,9,0)</f>
        <v>0.73</v>
      </c>
      <c r="J51" s="20">
        <f>VLOOKUP(A51,Metrik!$C$2:$Y$959,10,0)</f>
        <v>9.1</v>
      </c>
      <c r="K51" s="20">
        <f>VLOOKUP(A51,Metrik!$C$2:$Y$959,11,0)</f>
        <v>6.9</v>
      </c>
      <c r="L51" s="20">
        <f>VLOOKUP(A51,Metrik!$C$2:$Y$959,12,0)</f>
        <v>0.32</v>
      </c>
      <c r="M51" s="20">
        <f>VLOOKUP(A51,Metrik!$C$2:$Y$959,19,0)</f>
        <v>110</v>
      </c>
      <c r="N51" s="21"/>
      <c r="O51" s="21"/>
      <c r="P51" s="21"/>
      <c r="Q51" s="21"/>
      <c r="R51" s="21"/>
      <c r="S51" s="21"/>
      <c r="T51" s="21"/>
      <c r="U51" s="22">
        <f>IFERROR(__xludf.DUMMYFUNCTION("IFERROR(GOOGLEFINANCE(A51,""closeyest""),"""")"),2250.0)</f>
        <v>2250</v>
      </c>
      <c r="V51" s="23">
        <f>IFERROR(__xludf.DUMMYFUNCTION("IFERROR(GOOGLEFINANCE(A51,""changepct""),"""")"),1.33)</f>
        <v>1.33</v>
      </c>
      <c r="W51" s="22">
        <f>IFERROR(__xludf.DUMMYFUNCTION("IFERROR(GOOGLEFINANCE(A51,""priceopen""),"""")"),2270.0)</f>
        <v>2270</v>
      </c>
      <c r="X51" s="22">
        <f>IFERROR(__xludf.DUMMYFUNCTION("IFERROR(GOOGLEFINANCE(A51,""high""),"""")"),2340.0)</f>
        <v>2340</v>
      </c>
      <c r="Y51" s="22">
        <f>IFERROR(__xludf.DUMMYFUNCTION("IFERROR(GOOGLEFINANCE(A51,""low""),"""")"),2250.0)</f>
        <v>2250</v>
      </c>
      <c r="Z51" s="22">
        <f>IFERROR(__xludf.DUMMYFUNCTION("IFERROR(GOOGLEFINANCE(A51,""volume""),"""")"),3.69179E7)</f>
        <v>36917900</v>
      </c>
      <c r="AA51" s="24" t="str">
        <f>VLOOKUP(A51,Metrik!$C$2:$Y$959,5,0)</f>
        <v>Coal</v>
      </c>
      <c r="AB51" s="24" t="str">
        <f>VLOOKUP(A51,Metrik!$C$2:$Y$959,3,0)</f>
        <v>Energy</v>
      </c>
    </row>
    <row r="52">
      <c r="A52" s="17" t="s">
        <v>66</v>
      </c>
      <c r="B52" s="14" t="str">
        <f t="array" ref="B52">VLOOKUP(A52,{Metrik!$C$2:$C$998,Metrik!$B$2:$B$998},2,0)</f>
        <v>Alamtri Resources Indonesia Tbk.</v>
      </c>
      <c r="C52" s="15">
        <f>IFERROR(__xludf.DUMMYFUNCTION("GOOGLEFINANCE(""IDX:""&amp;A52,""price"")"),2280.0)</f>
        <v>2280</v>
      </c>
      <c r="D52" s="16" t="str">
        <f>IFERROR(__xludf.DUMMYFUNCTION("IF(A52="""","""",
SPARKLINE(
INDEX(
GOOGLEFINANCE(""IDX:""&amp;A52,""close"",TODAY()-365,TODAY()),
,2
),
{""linewidth"",1}
))
"),"#N/A")</f>
        <v>#N/A</v>
      </c>
      <c r="E52" s="14" t="s">
        <v>35</v>
      </c>
      <c r="F52" s="17" t="s">
        <v>36</v>
      </c>
      <c r="G52" s="24">
        <f t="shared" si="1"/>
        <v>14</v>
      </c>
      <c r="H52" s="19">
        <f>VLOOKUP(A52,Metrik!$C$2:$Y$959,8,0)</f>
        <v>8</v>
      </c>
      <c r="I52" s="20">
        <f>VLOOKUP(A52,Metrik!$C$2:$Y$959,9,0)</f>
        <v>0.73</v>
      </c>
      <c r="J52" s="20">
        <f>VLOOKUP(A52,Metrik!$C$2:$Y$959,10,0)</f>
        <v>9.1</v>
      </c>
      <c r="K52" s="20">
        <f>VLOOKUP(A52,Metrik!$C$2:$Y$959,11,0)</f>
        <v>6.9</v>
      </c>
      <c r="L52" s="20">
        <f>VLOOKUP(A52,Metrik!$C$2:$Y$959,12,0)</f>
        <v>0.32</v>
      </c>
      <c r="M52" s="20">
        <f>VLOOKUP(A52,Metrik!$C$2:$Y$959,19,0)</f>
        <v>110</v>
      </c>
      <c r="N52" s="29"/>
      <c r="O52" s="29"/>
      <c r="P52" s="29"/>
      <c r="Q52" s="29"/>
      <c r="R52" s="29"/>
      <c r="S52" s="29"/>
      <c r="T52" s="29"/>
      <c r="U52" s="22">
        <f>IFERROR(__xludf.DUMMYFUNCTION("IFERROR(GOOGLEFINANCE(A52,""closeyest""),"""")"),2250.0)</f>
        <v>2250</v>
      </c>
      <c r="V52" s="23">
        <f>IFERROR(__xludf.DUMMYFUNCTION("IFERROR(GOOGLEFINANCE(A52,""changepct""),"""")"),1.33)</f>
        <v>1.33</v>
      </c>
      <c r="W52" s="22">
        <f>IFERROR(__xludf.DUMMYFUNCTION("IFERROR(GOOGLEFINANCE(A52,""priceopen""),"""")"),2270.0)</f>
        <v>2270</v>
      </c>
      <c r="X52" s="22">
        <f>IFERROR(__xludf.DUMMYFUNCTION("IFERROR(GOOGLEFINANCE(A52,""high""),"""")"),2340.0)</f>
        <v>2340</v>
      </c>
      <c r="Y52" s="22">
        <f>IFERROR(__xludf.DUMMYFUNCTION("IFERROR(GOOGLEFINANCE(A52,""low""),"""")"),2250.0)</f>
        <v>2250</v>
      </c>
      <c r="Z52" s="22">
        <f>IFERROR(__xludf.DUMMYFUNCTION("IFERROR(GOOGLEFINANCE(A52,""volume""),"""")"),3.69179E7)</f>
        <v>36917900</v>
      </c>
      <c r="AA52" s="24" t="str">
        <f>VLOOKUP(A52,Metrik!$C$2:$Y$959,5,0)</f>
        <v>Coal</v>
      </c>
      <c r="AB52" s="24" t="str">
        <f>VLOOKUP(A52,Metrik!$C$2:$Y$959,3,0)</f>
        <v>Energy</v>
      </c>
    </row>
    <row r="53">
      <c r="A53" s="14" t="s">
        <v>66</v>
      </c>
      <c r="B53" s="14" t="str">
        <f t="array" ref="B53">VLOOKUP(A53,{Metrik!$C$2:$C$998,Metrik!$B$2:$B$998},2,0)</f>
        <v>Alamtri Resources Indonesia Tbk.</v>
      </c>
      <c r="C53" s="15">
        <f>IFERROR(__xludf.DUMMYFUNCTION("GOOGLEFINANCE(""IDX:""&amp;A53,""price"")"),2280.0)</f>
        <v>2280</v>
      </c>
      <c r="D53" s="16" t="str">
        <f>IFERROR(__xludf.DUMMYFUNCTION("IF(A53="""","""",
SPARKLINE(
INDEX(
GOOGLEFINANCE(""IDX:""&amp;A53,""close"",TODAY()-365,TODAY()),
,2
),
{""linewidth"",1}
))
"),"#N/A")</f>
        <v>#N/A</v>
      </c>
      <c r="E53" s="14" t="s">
        <v>65</v>
      </c>
      <c r="F53" s="25">
        <v>46356.0</v>
      </c>
      <c r="G53" s="24">
        <f t="shared" si="1"/>
        <v>14</v>
      </c>
      <c r="H53" s="19">
        <f>VLOOKUP(A53,Metrik!$C$2:$Y$959,8,0)</f>
        <v>8</v>
      </c>
      <c r="I53" s="20">
        <f>VLOOKUP(A53,Metrik!$C$2:$Y$959,9,0)</f>
        <v>0.73</v>
      </c>
      <c r="J53" s="20">
        <f>VLOOKUP(A53,Metrik!$C$2:$Y$959,10,0)</f>
        <v>9.1</v>
      </c>
      <c r="K53" s="20">
        <f>VLOOKUP(A53,Metrik!$C$2:$Y$959,11,0)</f>
        <v>6.9</v>
      </c>
      <c r="L53" s="20">
        <f>VLOOKUP(A53,Metrik!$C$2:$Y$959,12,0)</f>
        <v>0.32</v>
      </c>
      <c r="M53" s="20">
        <f>VLOOKUP(A53,Metrik!$C$2:$Y$959,19,0)</f>
        <v>110</v>
      </c>
      <c r="N53" s="21"/>
      <c r="O53" s="21"/>
      <c r="P53" s="21"/>
      <c r="Q53" s="21"/>
      <c r="R53" s="21"/>
      <c r="S53" s="21"/>
      <c r="T53" s="21"/>
      <c r="U53" s="22">
        <f>IFERROR(__xludf.DUMMYFUNCTION("IFERROR(GOOGLEFINANCE(A53,""closeyest""),"""")"),2250.0)</f>
        <v>2250</v>
      </c>
      <c r="V53" s="23">
        <f>IFERROR(__xludf.DUMMYFUNCTION("IFERROR(GOOGLEFINANCE(A53,""changepct""),"""")"),1.33)</f>
        <v>1.33</v>
      </c>
      <c r="W53" s="22">
        <f>IFERROR(__xludf.DUMMYFUNCTION("IFERROR(GOOGLEFINANCE(A53,""priceopen""),"""")"),2270.0)</f>
        <v>2270</v>
      </c>
      <c r="X53" s="22">
        <f>IFERROR(__xludf.DUMMYFUNCTION("IFERROR(GOOGLEFINANCE(A53,""high""),"""")"),2340.0)</f>
        <v>2340</v>
      </c>
      <c r="Y53" s="22">
        <f>IFERROR(__xludf.DUMMYFUNCTION("IFERROR(GOOGLEFINANCE(A53,""low""),"""")"),2250.0)</f>
        <v>2250</v>
      </c>
      <c r="Z53" s="22">
        <f>IFERROR(__xludf.DUMMYFUNCTION("IFERROR(GOOGLEFINANCE(A53,""volume""),"""")"),3.69179E7)</f>
        <v>36917900</v>
      </c>
      <c r="AA53" s="24" t="str">
        <f>VLOOKUP(A53,Metrik!$C$2:$Y$959,5,0)</f>
        <v>Coal</v>
      </c>
      <c r="AB53" s="24" t="str">
        <f>VLOOKUP(A53,Metrik!$C$2:$Y$959,3,0)</f>
        <v>Energy</v>
      </c>
    </row>
    <row r="54">
      <c r="A54" s="14" t="s">
        <v>66</v>
      </c>
      <c r="B54" s="14" t="str">
        <f t="array" ref="B54">VLOOKUP(A54,{Metrik!$C$2:$C$998,Metrik!$B$2:$B$998},2,0)</f>
        <v>Alamtri Resources Indonesia Tbk.</v>
      </c>
      <c r="C54" s="15">
        <f>IFERROR(__xludf.DUMMYFUNCTION("GOOGLEFINANCE(""IDX:""&amp;A54,""price"")"),2280.0)</f>
        <v>2280</v>
      </c>
      <c r="D54" s="16" t="str">
        <f>IFERROR(__xludf.DUMMYFUNCTION("IF(A54="""","""",
SPARKLINE(
INDEX(
GOOGLEFINANCE(""IDX:""&amp;A54,""close"",TODAY()-365,TODAY()),
,2
),
{""linewidth"",1}
))
"),"#N/A")</f>
        <v>#N/A</v>
      </c>
      <c r="E54" s="14" t="s">
        <v>42</v>
      </c>
      <c r="F54" s="25">
        <v>46356.0</v>
      </c>
      <c r="G54" s="24">
        <f t="shared" si="1"/>
        <v>14</v>
      </c>
      <c r="H54" s="19">
        <f>VLOOKUP(A54,Metrik!$C$2:$Y$959,8,0)</f>
        <v>8</v>
      </c>
      <c r="I54" s="20">
        <f>VLOOKUP(A54,Metrik!$C$2:$Y$959,9,0)</f>
        <v>0.73</v>
      </c>
      <c r="J54" s="20">
        <f>VLOOKUP(A54,Metrik!$C$2:$Y$959,10,0)</f>
        <v>9.1</v>
      </c>
      <c r="K54" s="20">
        <f>VLOOKUP(A54,Metrik!$C$2:$Y$959,11,0)</f>
        <v>6.9</v>
      </c>
      <c r="L54" s="20">
        <f>VLOOKUP(A54,Metrik!$C$2:$Y$959,12,0)</f>
        <v>0.32</v>
      </c>
      <c r="M54" s="20">
        <f>VLOOKUP(A54,Metrik!$C$2:$Y$959,19,0)</f>
        <v>110</v>
      </c>
      <c r="N54" s="21"/>
      <c r="O54" s="21"/>
      <c r="P54" s="21"/>
      <c r="Q54" s="21"/>
      <c r="R54" s="21"/>
      <c r="S54" s="21"/>
      <c r="T54" s="21"/>
      <c r="U54" s="22">
        <f>IFERROR(__xludf.DUMMYFUNCTION("IFERROR(GOOGLEFINANCE(A54,""closeyest""),"""")"),2250.0)</f>
        <v>2250</v>
      </c>
      <c r="V54" s="23">
        <f>IFERROR(__xludf.DUMMYFUNCTION("IFERROR(GOOGLEFINANCE(A54,""changepct""),"""")"),1.33)</f>
        <v>1.33</v>
      </c>
      <c r="W54" s="22">
        <f>IFERROR(__xludf.DUMMYFUNCTION("IFERROR(GOOGLEFINANCE(A54,""priceopen""),"""")"),2270.0)</f>
        <v>2270</v>
      </c>
      <c r="X54" s="22">
        <f>IFERROR(__xludf.DUMMYFUNCTION("IFERROR(GOOGLEFINANCE(A54,""high""),"""")"),2340.0)</f>
        <v>2340</v>
      </c>
      <c r="Y54" s="22">
        <f>IFERROR(__xludf.DUMMYFUNCTION("IFERROR(GOOGLEFINANCE(A54,""low""),"""")"),2250.0)</f>
        <v>2250</v>
      </c>
      <c r="Z54" s="22">
        <f>IFERROR(__xludf.DUMMYFUNCTION("IFERROR(GOOGLEFINANCE(A54,""volume""),"""")"),3.69179E7)</f>
        <v>36917900</v>
      </c>
      <c r="AA54" s="24" t="str">
        <f>VLOOKUP(A54,Metrik!$C$2:$Y$959,5,0)</f>
        <v>Coal</v>
      </c>
      <c r="AB54" s="24" t="str">
        <f>VLOOKUP(A54,Metrik!$C$2:$Y$959,3,0)</f>
        <v>Energy</v>
      </c>
    </row>
    <row r="55">
      <c r="A55" s="14" t="s">
        <v>66</v>
      </c>
      <c r="B55" s="14" t="str">
        <f t="array" ref="B55">VLOOKUP(A55,{Metrik!$C$2:$C$998,Metrik!$B$2:$B$998},2,0)</f>
        <v>Alamtri Resources Indonesia Tbk.</v>
      </c>
      <c r="C55" s="15">
        <f>IFERROR(__xludf.DUMMYFUNCTION("GOOGLEFINANCE(""IDX:""&amp;A55,""price"")"),2280.0)</f>
        <v>2280</v>
      </c>
      <c r="D55" s="16" t="str">
        <f>IFERROR(__xludf.DUMMYFUNCTION("IF(A55="""","""",
SPARKLINE(
INDEX(
GOOGLEFINANCE(""IDX:""&amp;A55,""close"",TODAY()-365,TODAY()),
,2
),
{""linewidth"",1}
))
"),"#N/A")</f>
        <v>#N/A</v>
      </c>
      <c r="E55" s="14" t="s">
        <v>38</v>
      </c>
      <c r="F55" s="25">
        <v>46356.0</v>
      </c>
      <c r="G55" s="24">
        <f t="shared" si="1"/>
        <v>14</v>
      </c>
      <c r="H55" s="19">
        <f>VLOOKUP(A55,Metrik!$C$2:$Y$959,8,0)</f>
        <v>8</v>
      </c>
      <c r="I55" s="20">
        <f>VLOOKUP(A55,Metrik!$C$2:$Y$959,9,0)</f>
        <v>0.73</v>
      </c>
      <c r="J55" s="20">
        <f>VLOOKUP(A55,Metrik!$C$2:$Y$959,10,0)</f>
        <v>9.1</v>
      </c>
      <c r="K55" s="20">
        <f>VLOOKUP(A55,Metrik!$C$2:$Y$959,11,0)</f>
        <v>6.9</v>
      </c>
      <c r="L55" s="20">
        <f>VLOOKUP(A55,Metrik!$C$2:$Y$959,12,0)</f>
        <v>0.32</v>
      </c>
      <c r="M55" s="20">
        <f>VLOOKUP(A55,Metrik!$C$2:$Y$959,19,0)</f>
        <v>110</v>
      </c>
      <c r="N55" s="21"/>
      <c r="O55" s="21"/>
      <c r="P55" s="21"/>
      <c r="Q55" s="21"/>
      <c r="R55" s="21"/>
      <c r="S55" s="21"/>
      <c r="T55" s="21"/>
      <c r="U55" s="22">
        <f>IFERROR(__xludf.DUMMYFUNCTION("IFERROR(GOOGLEFINANCE(A55,""closeyest""),"""")"),2250.0)</f>
        <v>2250</v>
      </c>
      <c r="V55" s="23">
        <f>IFERROR(__xludf.DUMMYFUNCTION("IFERROR(GOOGLEFINANCE(A55,""changepct""),"""")"),1.33)</f>
        <v>1.33</v>
      </c>
      <c r="W55" s="22">
        <f>IFERROR(__xludf.DUMMYFUNCTION("IFERROR(GOOGLEFINANCE(A55,""priceopen""),"""")"),2270.0)</f>
        <v>2270</v>
      </c>
      <c r="X55" s="22">
        <f>IFERROR(__xludf.DUMMYFUNCTION("IFERROR(GOOGLEFINANCE(A55,""high""),"""")"),2340.0)</f>
        <v>2340</v>
      </c>
      <c r="Y55" s="22">
        <f>IFERROR(__xludf.DUMMYFUNCTION("IFERROR(GOOGLEFINANCE(A55,""low""),"""")"),2250.0)</f>
        <v>2250</v>
      </c>
      <c r="Z55" s="22">
        <f>IFERROR(__xludf.DUMMYFUNCTION("IFERROR(GOOGLEFINANCE(A55,""volume""),"""")"),3.69179E7)</f>
        <v>36917900</v>
      </c>
      <c r="AA55" s="24" t="str">
        <f>VLOOKUP(A55,Metrik!$C$2:$Y$959,5,0)</f>
        <v>Coal</v>
      </c>
      <c r="AB55" s="24" t="str">
        <f>VLOOKUP(A55,Metrik!$C$2:$Y$959,3,0)</f>
        <v>Energy</v>
      </c>
    </row>
    <row r="56">
      <c r="A56" s="14" t="s">
        <v>66</v>
      </c>
      <c r="B56" s="14" t="str">
        <f t="array" ref="B56">VLOOKUP(A56,{Metrik!$C$2:$C$998,Metrik!$B$2:$B$998},2,0)</f>
        <v>Alamtri Resources Indonesia Tbk.</v>
      </c>
      <c r="C56" s="15">
        <f>IFERROR(__xludf.DUMMYFUNCTION("GOOGLEFINANCE(""IDX:""&amp;A56,""price"")"),2280.0)</f>
        <v>2280</v>
      </c>
      <c r="D56" s="16" t="str">
        <f>IFERROR(__xludf.DUMMYFUNCTION("IF(A56="""","""",
SPARKLINE(
INDEX(
GOOGLEFINANCE(""IDX:""&amp;A56,""close"",TODAY()-365,TODAY()),
,2
),
{""linewidth"",1}
))
"),"#N/A")</f>
        <v>#N/A</v>
      </c>
      <c r="E56" s="14" t="s">
        <v>39</v>
      </c>
      <c r="F56" s="25">
        <v>46356.0</v>
      </c>
      <c r="G56" s="24">
        <f t="shared" si="1"/>
        <v>14</v>
      </c>
      <c r="H56" s="19">
        <f>VLOOKUP(A56,Metrik!$C$2:$Y$959,8,0)</f>
        <v>8</v>
      </c>
      <c r="I56" s="20">
        <f>VLOOKUP(A56,Metrik!$C$2:$Y$959,9,0)</f>
        <v>0.73</v>
      </c>
      <c r="J56" s="20">
        <f>VLOOKUP(A56,Metrik!$C$2:$Y$959,10,0)</f>
        <v>9.1</v>
      </c>
      <c r="K56" s="20">
        <f>VLOOKUP(A56,Metrik!$C$2:$Y$959,11,0)</f>
        <v>6.9</v>
      </c>
      <c r="L56" s="20">
        <f>VLOOKUP(A56,Metrik!$C$2:$Y$959,12,0)</f>
        <v>0.32</v>
      </c>
      <c r="M56" s="20">
        <f>VLOOKUP(A56,Metrik!$C$2:$Y$959,19,0)</f>
        <v>110</v>
      </c>
      <c r="N56" s="21"/>
      <c r="O56" s="21"/>
      <c r="P56" s="21"/>
      <c r="Q56" s="21"/>
      <c r="R56" s="21"/>
      <c r="S56" s="21"/>
      <c r="T56" s="21"/>
      <c r="U56" s="22">
        <f>IFERROR(__xludf.DUMMYFUNCTION("IFERROR(GOOGLEFINANCE(A56,""closeyest""),"""")"),2250.0)</f>
        <v>2250</v>
      </c>
      <c r="V56" s="23">
        <f>IFERROR(__xludf.DUMMYFUNCTION("IFERROR(GOOGLEFINANCE(A56,""changepct""),"""")"),1.33)</f>
        <v>1.33</v>
      </c>
      <c r="W56" s="22">
        <f>IFERROR(__xludf.DUMMYFUNCTION("IFERROR(GOOGLEFINANCE(A56,""priceopen""),"""")"),2270.0)</f>
        <v>2270</v>
      </c>
      <c r="X56" s="22">
        <f>IFERROR(__xludf.DUMMYFUNCTION("IFERROR(GOOGLEFINANCE(A56,""high""),"""")"),2340.0)</f>
        <v>2340</v>
      </c>
      <c r="Y56" s="22">
        <f>IFERROR(__xludf.DUMMYFUNCTION("IFERROR(GOOGLEFINANCE(A56,""low""),"""")"),2250.0)</f>
        <v>2250</v>
      </c>
      <c r="Z56" s="22">
        <f>IFERROR(__xludf.DUMMYFUNCTION("IFERROR(GOOGLEFINANCE(A56,""volume""),"""")"),3.69179E7)</f>
        <v>36917900</v>
      </c>
      <c r="AA56" s="24" t="str">
        <f>VLOOKUP(A56,Metrik!$C$2:$Y$959,5,0)</f>
        <v>Coal</v>
      </c>
      <c r="AB56" s="24" t="str">
        <f>VLOOKUP(A56,Metrik!$C$2:$Y$959,3,0)</f>
        <v>Energy</v>
      </c>
    </row>
    <row r="57">
      <c r="A57" s="14" t="s">
        <v>71</v>
      </c>
      <c r="B57" s="14" t="str">
        <f t="array" ref="B57">VLOOKUP(A57,{Metrik!$C$2:$C$998,Metrik!$B$2:$B$998},2,0)</f>
        <v>PT Anugerah Spareparts Sejahtera Tbk.</v>
      </c>
      <c r="C57" s="15">
        <f>IFERROR(__xludf.DUMMYFUNCTION("GOOGLEFINANCE(""IDX:""&amp;A57,""price"")"),40.0)</f>
        <v>40</v>
      </c>
      <c r="D57" s="16" t="str">
        <f>IFERROR(__xludf.DUMMYFUNCTION("IF(A57="""","""",
SPARKLINE(
INDEX(
GOOGLEFINANCE(""IDX:""&amp;A57,""close"",TODAY()-365,TODAY()),
,2
),
{""linewidth"",1}
))
"),"#N/A")</f>
        <v>#N/A</v>
      </c>
      <c r="E57" s="26"/>
      <c r="F57" s="26"/>
      <c r="G57" s="24">
        <f t="shared" si="1"/>
        <v>0</v>
      </c>
      <c r="H57" s="19">
        <f>VLOOKUP(A57,Metrik!$C$2:$Y$959,8,0)</f>
        <v>190</v>
      </c>
      <c r="I57" s="20">
        <f>VLOOKUP(A57,Metrik!$C$2:$Y$959,9,0)</f>
        <v>0.7</v>
      </c>
      <c r="J57" s="20">
        <f>VLOOKUP(A57,Metrik!$C$2:$Y$959,10,0)</f>
        <v>0.37</v>
      </c>
      <c r="K57" s="20">
        <f>VLOOKUP(A57,Metrik!$C$2:$Y$959,11,0)</f>
        <v>0.35</v>
      </c>
      <c r="L57" s="20">
        <f>VLOOKUP(A57,Metrik!$C$2:$Y$959,12,0)</f>
        <v>0.06</v>
      </c>
      <c r="M57" s="20">
        <f>VLOOKUP(A57,Metrik!$C$2:$Y$959,19,0)</f>
        <v>1</v>
      </c>
      <c r="N57" s="21"/>
      <c r="O57" s="21"/>
      <c r="P57" s="21"/>
      <c r="Q57" s="21"/>
      <c r="R57" s="21"/>
      <c r="S57" s="21"/>
      <c r="T57" s="21"/>
      <c r="U57" s="22">
        <f>IFERROR(__xludf.DUMMYFUNCTION("IFERROR(GOOGLEFINANCE(A57,""closeyest""),"""")"),39.0)</f>
        <v>39</v>
      </c>
      <c r="V57" s="23">
        <f>IFERROR(__xludf.DUMMYFUNCTION("IFERROR(GOOGLEFINANCE(A57,""changepct""),"""")"),2.56)</f>
        <v>2.56</v>
      </c>
      <c r="W57" s="22">
        <f>IFERROR(__xludf.DUMMYFUNCTION("IFERROR(GOOGLEFINANCE(A57,""priceopen""),"""")"),39.0)</f>
        <v>39</v>
      </c>
      <c r="X57" s="22">
        <f>IFERROR(__xludf.DUMMYFUNCTION("IFERROR(GOOGLEFINANCE(A57,""high""),"""")"),41.0)</f>
        <v>41</v>
      </c>
      <c r="Y57" s="22">
        <f>IFERROR(__xludf.DUMMYFUNCTION("IFERROR(GOOGLEFINANCE(A57,""low""),"""")"),39.0)</f>
        <v>39</v>
      </c>
      <c r="Z57" s="22">
        <f>IFERROR(__xludf.DUMMYFUNCTION("IFERROR(GOOGLEFINANCE(A57,""volume""),"""")"),1070500.0)</f>
        <v>1070500</v>
      </c>
      <c r="AA57" s="24" t="str">
        <f>VLOOKUP(A57,Metrik!$C$2:$Y$959,5,0)</f>
        <v>Auto Components</v>
      </c>
      <c r="AB57" s="24" t="str">
        <f>VLOOKUP(A57,Metrik!$C$2:$Y$959,3,0)</f>
        <v>Consumer Cyclicals</v>
      </c>
    </row>
    <row r="58">
      <c r="A58" s="14" t="s">
        <v>72</v>
      </c>
      <c r="B58" s="14" t="str">
        <f t="array" ref="B58">VLOOKUP(A58,{Metrik!$C$2:$C$998,Metrik!$B$2:$B$998},2,0)</f>
        <v>Asia Sejahtera Mina Tbk.</v>
      </c>
      <c r="C58" s="15">
        <f>IFERROR(__xludf.DUMMYFUNCTION("GOOGLEFINANCE(""IDX:""&amp;A58,""price"")"),216.0)</f>
        <v>216</v>
      </c>
      <c r="D58" s="16" t="str">
        <f>IFERROR(__xludf.DUMMYFUNCTION("IF(A58="""","""",
SPARKLINE(
INDEX(
GOOGLEFINANCE(""IDX:""&amp;A58,""close"",TODAY()-365,TODAY()),
,2
),
{""linewidth"",1}
))
"),"#N/A")</f>
        <v>#N/A</v>
      </c>
      <c r="E58" s="26"/>
      <c r="F58" s="26"/>
      <c r="G58" s="24">
        <f t="shared" si="1"/>
        <v>0</v>
      </c>
      <c r="H58" s="19">
        <f>VLOOKUP(A58,Metrik!$C$2:$Y$959,8,0)</f>
        <v>48.2</v>
      </c>
      <c r="I58" s="20">
        <f>VLOOKUP(A58,Metrik!$C$2:$Y$959,9,0)</f>
        <v>2.1</v>
      </c>
      <c r="J58" s="20">
        <f>VLOOKUP(A58,Metrik!$C$2:$Y$959,10,0)</f>
        <v>4.4</v>
      </c>
      <c r="K58" s="20">
        <f>VLOOKUP(A58,Metrik!$C$2:$Y$959,11,0)</f>
        <v>2.6</v>
      </c>
      <c r="L58" s="20">
        <f>VLOOKUP(A58,Metrik!$C$2:$Y$959,12,0)</f>
        <v>0.65</v>
      </c>
      <c r="M58" s="20">
        <f>VLOOKUP(A58,Metrik!$C$2:$Y$959,19,0)</f>
        <v>10.7</v>
      </c>
      <c r="N58" s="21"/>
      <c r="O58" s="21"/>
      <c r="P58" s="21"/>
      <c r="Q58" s="21"/>
      <c r="R58" s="21"/>
      <c r="S58" s="21"/>
      <c r="T58" s="21"/>
      <c r="U58" s="22">
        <f>IFERROR(__xludf.DUMMYFUNCTION("IFERROR(GOOGLEFINANCE(A58,""closeyest""),"""")"),218.0)</f>
        <v>218</v>
      </c>
      <c r="V58" s="23">
        <f>IFERROR(__xludf.DUMMYFUNCTION("IFERROR(GOOGLEFINANCE(A58,""changepct""),"""")"),-0.92)</f>
        <v>-0.92</v>
      </c>
      <c r="W58" s="22">
        <f>IFERROR(__xludf.DUMMYFUNCTION("IFERROR(GOOGLEFINANCE(A58,""priceopen""),"""")"),218.0)</f>
        <v>218</v>
      </c>
      <c r="X58" s="22">
        <f>IFERROR(__xludf.DUMMYFUNCTION("IFERROR(GOOGLEFINANCE(A58,""high""),"""")"),226.0)</f>
        <v>226</v>
      </c>
      <c r="Y58" s="22">
        <f>IFERROR(__xludf.DUMMYFUNCTION("IFERROR(GOOGLEFINANCE(A58,""low""),"""")"),214.0)</f>
        <v>214</v>
      </c>
      <c r="Z58" s="22">
        <f>IFERROR(__xludf.DUMMYFUNCTION("IFERROR(GOOGLEFINANCE(A58,""volume""),"""")"),195700.0)</f>
        <v>195700</v>
      </c>
      <c r="AA58" s="24" t="str">
        <f>VLOOKUP(A58,Metrik!$C$2:$Y$959,5,0)</f>
        <v>Agricultural Products</v>
      </c>
      <c r="AB58" s="24" t="str">
        <f>VLOOKUP(A58,Metrik!$C$2:$Y$959,3,0)</f>
        <v>Consumer Non-Cyclicals</v>
      </c>
    </row>
    <row r="59">
      <c r="A59" s="14" t="s">
        <v>73</v>
      </c>
      <c r="B59" s="14" t="str">
        <f t="array" ref="B59">VLOOKUP(A59,{Metrik!$C$2:$C$998,Metrik!$B$2:$B$998},2,0)</f>
        <v>Samator Indo Gas Tbk.</v>
      </c>
      <c r="C59" s="15">
        <f>IFERROR(__xludf.DUMMYFUNCTION("GOOGLEFINANCE(""IDX:""&amp;A59,""price"")"),2680.0)</f>
        <v>2680</v>
      </c>
      <c r="D59" s="16" t="str">
        <f>IFERROR(__xludf.DUMMYFUNCTION("IF(A59="""","""",
SPARKLINE(
INDEX(
GOOGLEFINANCE(""IDX:""&amp;A59,""close"",TODAY()-365,TODAY()),
,2
),
{""linewidth"",1}
))
"),"#N/A")</f>
        <v>#N/A</v>
      </c>
      <c r="E59" s="26"/>
      <c r="F59" s="26"/>
      <c r="G59" s="24">
        <f t="shared" si="1"/>
        <v>0</v>
      </c>
      <c r="H59" s="19">
        <f>VLOOKUP(A59,Metrik!$C$2:$Y$959,8,0)</f>
        <v>97.9</v>
      </c>
      <c r="I59" s="20">
        <f>VLOOKUP(A59,Metrik!$C$2:$Y$959,9,0)</f>
        <v>2.2</v>
      </c>
      <c r="J59" s="20">
        <f>VLOOKUP(A59,Metrik!$C$2:$Y$959,10,0)</f>
        <v>2.2</v>
      </c>
      <c r="K59" s="20">
        <f>VLOOKUP(A59,Metrik!$C$2:$Y$959,11,0)</f>
        <v>1</v>
      </c>
      <c r="L59" s="20">
        <f>VLOOKUP(A59,Metrik!$C$2:$Y$959,12,0)</f>
        <v>1.2</v>
      </c>
      <c r="M59" s="20">
        <f>VLOOKUP(A59,Metrik!$C$2:$Y$959,19,0)</f>
        <v>11.3</v>
      </c>
      <c r="N59" s="21"/>
      <c r="O59" s="21"/>
      <c r="P59" s="21"/>
      <c r="Q59" s="21"/>
      <c r="R59" s="21"/>
      <c r="S59" s="21"/>
      <c r="T59" s="21"/>
      <c r="U59" s="22">
        <f>IFERROR(__xludf.DUMMYFUNCTION("IFERROR(GOOGLEFINANCE(A59,""closeyest""),"""")"),2550.0)</f>
        <v>2550</v>
      </c>
      <c r="V59" s="23">
        <f>IFERROR(__xludf.DUMMYFUNCTION("IFERROR(GOOGLEFINANCE(A59,""changepct""),"""")"),5.1)</f>
        <v>5.1</v>
      </c>
      <c r="W59" s="22">
        <f>IFERROR(__xludf.DUMMYFUNCTION("IFERROR(GOOGLEFINANCE(A59,""priceopen""),"""")"),2580.0)</f>
        <v>2580</v>
      </c>
      <c r="X59" s="22">
        <f>IFERROR(__xludf.DUMMYFUNCTION("IFERROR(GOOGLEFINANCE(A59,""high""),"""")"),2730.0)</f>
        <v>2730</v>
      </c>
      <c r="Y59" s="22">
        <f>IFERROR(__xludf.DUMMYFUNCTION("IFERROR(GOOGLEFINANCE(A59,""low""),"""")"),2580.0)</f>
        <v>2580</v>
      </c>
      <c r="Z59" s="22">
        <f>IFERROR(__xludf.DUMMYFUNCTION("IFERROR(GOOGLEFINANCE(A59,""volume""),"""")"),83100.0)</f>
        <v>83100</v>
      </c>
      <c r="AA59" s="24" t="str">
        <f>VLOOKUP(A59,Metrik!$C$2:$Y$959,5,0)</f>
        <v>Chemicals</v>
      </c>
      <c r="AB59" s="24" t="str">
        <f>VLOOKUP(A59,Metrik!$C$2:$Y$959,3,0)</f>
        <v>Basic Materials</v>
      </c>
    </row>
    <row r="60">
      <c r="A60" s="14" t="s">
        <v>74</v>
      </c>
      <c r="B60" s="14" t="str">
        <f t="array" ref="B60">VLOOKUP(A60,{Metrik!$C$2:$C$998,Metrik!$B$2:$B$998},2,0)</f>
        <v>PT Bank Rakyat Indonesia Agroniaga Tbk</v>
      </c>
      <c r="C60" s="15">
        <f>IFERROR(__xludf.DUMMYFUNCTION("GOOGLEFINANCE(""IDX:""&amp;A60,""price"")"),151.0)</f>
        <v>151</v>
      </c>
      <c r="D60" s="16" t="str">
        <f>IFERROR(__xludf.DUMMYFUNCTION("IF(A60="""","""",
SPARKLINE(
INDEX(
GOOGLEFINANCE(""IDX:""&amp;A60,""close"",TODAY()-365,TODAY()),
,2
),
{""linewidth"",1}
))
"),"#N/A")</f>
        <v>#N/A</v>
      </c>
      <c r="E60" s="14" t="s">
        <v>61</v>
      </c>
      <c r="F60" s="14" t="s">
        <v>34</v>
      </c>
      <c r="G60" s="24">
        <f t="shared" si="1"/>
        <v>2</v>
      </c>
      <c r="H60" s="19">
        <f>VLOOKUP(A60,Metrik!$C$2:$Y$959,8,0)</f>
        <v>-8</v>
      </c>
      <c r="I60" s="20">
        <f>VLOOKUP(A60,Metrik!$C$2:$Y$959,9,0)</f>
        <v>1.4</v>
      </c>
      <c r="J60" s="20">
        <f>VLOOKUP(A60,Metrik!$C$2:$Y$959,10,0)</f>
        <v>-17.3</v>
      </c>
      <c r="K60" s="20">
        <f>VLOOKUP(A60,Metrik!$C$2:$Y$959,11,0)</f>
        <v>-4</v>
      </c>
      <c r="L60" s="20">
        <f>VLOOKUP(A60,Metrik!$C$2:$Y$959,12,0)</f>
        <v>3.4</v>
      </c>
      <c r="M60" s="20">
        <f>VLOOKUP(A60,Metrik!$C$2:$Y$959,19,0)</f>
        <v>-160</v>
      </c>
      <c r="N60" s="30">
        <v>4.44</v>
      </c>
      <c r="O60" s="30">
        <v>44.29</v>
      </c>
      <c r="P60" s="30">
        <v>87.62</v>
      </c>
      <c r="Q60" s="30">
        <v>3.22</v>
      </c>
      <c r="R60" s="30">
        <v>96.68</v>
      </c>
      <c r="S60" s="30">
        <v>58.02</v>
      </c>
      <c r="T60" s="31"/>
      <c r="U60" s="22">
        <f>IFERROR(__xludf.DUMMYFUNCTION("IFERROR(GOOGLEFINANCE(A60,""closeyest""),"""")"),11.69)</f>
        <v>11.69</v>
      </c>
      <c r="V60" s="23">
        <f>IFERROR(__xludf.DUMMYFUNCTION("IFERROR(GOOGLEFINANCE(A60,""changepct""),"""")"),-0.34)</f>
        <v>-0.34</v>
      </c>
      <c r="W60" s="22">
        <f>IFERROR(__xludf.DUMMYFUNCTION("IFERROR(GOOGLEFINANCE(A60,""priceopen""),"""")"),11.63)</f>
        <v>11.63</v>
      </c>
      <c r="X60" s="22">
        <f>IFERROR(__xludf.DUMMYFUNCTION("IFERROR(GOOGLEFINANCE(A60,""high""),"""")"),11.84)</f>
        <v>11.84</v>
      </c>
      <c r="Y60" s="22">
        <f>IFERROR(__xludf.DUMMYFUNCTION("IFERROR(GOOGLEFINANCE(A60,""low""),"""")"),11.58)</f>
        <v>11.58</v>
      </c>
      <c r="Z60" s="22">
        <f>IFERROR(__xludf.DUMMYFUNCTION("IFERROR(GOOGLEFINANCE(A60,""volume""),"""")"),921019.0)</f>
        <v>921019</v>
      </c>
      <c r="AA60" s="24" t="str">
        <f>VLOOKUP(A60,Metrik!$C$2:$Y$959,5,0)</f>
        <v>Banks</v>
      </c>
      <c r="AB60" s="24" t="str">
        <f>VLOOKUP(A60,Metrik!$C$2:$Y$959,3,0)</f>
        <v>Financials</v>
      </c>
    </row>
    <row r="61">
      <c r="A61" s="14" t="s">
        <v>74</v>
      </c>
      <c r="B61" s="14" t="str">
        <f t="array" ref="B61">VLOOKUP(A61,{Metrik!$C$2:$C$998,Metrik!$B$2:$B$998},2,0)</f>
        <v>PT Bank Rakyat Indonesia Agroniaga Tbk</v>
      </c>
      <c r="C61" s="15">
        <f>IFERROR(__xludf.DUMMYFUNCTION("GOOGLEFINANCE(""IDX:""&amp;A61,""price"")"),151.0)</f>
        <v>151</v>
      </c>
      <c r="D61" s="16" t="str">
        <f>IFERROR(__xludf.DUMMYFUNCTION("IF(A61="""","""",
SPARKLINE(
INDEX(
GOOGLEFINANCE(""IDX:""&amp;A61,""close"",TODAY()-365,TODAY()),
,2
),
{""linewidth"",1}
))
"),"#N/A")</f>
        <v>#N/A</v>
      </c>
      <c r="E61" s="14" t="s">
        <v>75</v>
      </c>
      <c r="F61" s="14" t="s">
        <v>76</v>
      </c>
      <c r="G61" s="24">
        <f t="shared" si="1"/>
        <v>2</v>
      </c>
      <c r="H61" s="19">
        <f>VLOOKUP(A61,Metrik!$C$2:$Y$959,8,0)</f>
        <v>-8</v>
      </c>
      <c r="I61" s="20">
        <f>VLOOKUP(A61,Metrik!$C$2:$Y$959,9,0)</f>
        <v>1.4</v>
      </c>
      <c r="J61" s="20">
        <f>VLOOKUP(A61,Metrik!$C$2:$Y$959,10,0)</f>
        <v>-17.3</v>
      </c>
      <c r="K61" s="20">
        <f>VLOOKUP(A61,Metrik!$C$2:$Y$959,11,0)</f>
        <v>-4</v>
      </c>
      <c r="L61" s="20">
        <f>VLOOKUP(A61,Metrik!$C$2:$Y$959,12,0)</f>
        <v>3.4</v>
      </c>
      <c r="M61" s="20">
        <f>VLOOKUP(A61,Metrik!$C$2:$Y$959,19,0)</f>
        <v>-160</v>
      </c>
      <c r="N61" s="30">
        <v>4.44</v>
      </c>
      <c r="O61" s="30">
        <v>44.29</v>
      </c>
      <c r="P61" s="30">
        <v>87.62</v>
      </c>
      <c r="Q61" s="30">
        <v>3.22</v>
      </c>
      <c r="R61" s="30">
        <v>96.68</v>
      </c>
      <c r="S61" s="30">
        <v>58.02</v>
      </c>
      <c r="T61" s="31"/>
      <c r="U61" s="22">
        <f>IFERROR(__xludf.DUMMYFUNCTION("IFERROR(GOOGLEFINANCE(A61,""closeyest""),"""")"),11.69)</f>
        <v>11.69</v>
      </c>
      <c r="V61" s="23">
        <f>IFERROR(__xludf.DUMMYFUNCTION("IFERROR(GOOGLEFINANCE(A61,""changepct""),"""")"),-0.34)</f>
        <v>-0.34</v>
      </c>
      <c r="W61" s="22">
        <f>IFERROR(__xludf.DUMMYFUNCTION("IFERROR(GOOGLEFINANCE(A61,""priceopen""),"""")"),11.63)</f>
        <v>11.63</v>
      </c>
      <c r="X61" s="22">
        <f>IFERROR(__xludf.DUMMYFUNCTION("IFERROR(GOOGLEFINANCE(A61,""high""),"""")"),11.84)</f>
        <v>11.84</v>
      </c>
      <c r="Y61" s="22">
        <f>IFERROR(__xludf.DUMMYFUNCTION("IFERROR(GOOGLEFINANCE(A61,""low""),"""")"),11.58)</f>
        <v>11.58</v>
      </c>
      <c r="Z61" s="22">
        <f>IFERROR(__xludf.DUMMYFUNCTION("IFERROR(GOOGLEFINANCE(A61,""volume""),"""")"),921019.0)</f>
        <v>921019</v>
      </c>
      <c r="AA61" s="24" t="str">
        <f>VLOOKUP(A61,Metrik!$C$2:$Y$959,5,0)</f>
        <v>Banks</v>
      </c>
      <c r="AB61" s="24" t="str">
        <f>VLOOKUP(A61,Metrik!$C$2:$Y$959,3,0)</f>
        <v>Financials</v>
      </c>
    </row>
    <row r="62">
      <c r="A62" s="14" t="s">
        <v>77</v>
      </c>
      <c r="B62" s="14" t="str">
        <f t="array" ref="B62">VLOOKUP(A62,{Metrik!$C$2:$C$998,Metrik!$B$2:$B$998},2,0)</f>
        <v>PT Bank IBK Indonesia Tbk.</v>
      </c>
      <c r="C62" s="15">
        <f>IFERROR(__xludf.DUMMYFUNCTION("GOOGLEFINANCE(""IDX:""&amp;A62,""price"")"),62.0)</f>
        <v>62</v>
      </c>
      <c r="D62" s="16" t="str">
        <f>IFERROR(__xludf.DUMMYFUNCTION("IF(A62="""","""",
SPARKLINE(
INDEX(
GOOGLEFINANCE(""IDX:""&amp;A62,""close"",TODAY()-365,TODAY()),
,2
),
{""linewidth"",1}
))
"),"#N/A")</f>
        <v>#N/A</v>
      </c>
      <c r="E62" s="26"/>
      <c r="F62" s="26"/>
      <c r="G62" s="24">
        <f t="shared" si="1"/>
        <v>0</v>
      </c>
      <c r="H62" s="19">
        <f>VLOOKUP(A62,Metrik!$C$2:$Y$959,8,0)</f>
        <v>17.3</v>
      </c>
      <c r="I62" s="20">
        <f>VLOOKUP(A62,Metrik!$C$2:$Y$959,9,0)</f>
        <v>0.53</v>
      </c>
      <c r="J62" s="20">
        <f>VLOOKUP(A62,Metrik!$C$2:$Y$959,10,0)</f>
        <v>3.1</v>
      </c>
      <c r="K62" s="20">
        <f>VLOOKUP(A62,Metrik!$C$2:$Y$959,11,0)</f>
        <v>0.76</v>
      </c>
      <c r="L62" s="20">
        <f>VLOOKUP(A62,Metrik!$C$2:$Y$959,12,0)</f>
        <v>3</v>
      </c>
      <c r="M62" s="20">
        <f>VLOOKUP(A62,Metrik!$C$2:$Y$959,19,0)</f>
        <v>48.6</v>
      </c>
      <c r="N62" s="32">
        <v>3.42</v>
      </c>
      <c r="O62" s="32">
        <v>26.05</v>
      </c>
      <c r="P62" s="32">
        <v>85.34</v>
      </c>
      <c r="Q62" s="32">
        <v>1.84</v>
      </c>
      <c r="R62" s="32">
        <v>86.12</v>
      </c>
      <c r="S62" s="32">
        <v>51.46</v>
      </c>
      <c r="T62" s="32">
        <v>6.22</v>
      </c>
      <c r="U62" s="22">
        <f>IFERROR(__xludf.DUMMYFUNCTION("IFERROR(GOOGLEFINANCE(A62,""closeyest""),"""")"),0.0)</f>
        <v>0</v>
      </c>
      <c r="V62" s="23">
        <f>IFERROR(__xludf.DUMMYFUNCTION("IFERROR(GOOGLEFINANCE(A62,""changepct""),"""")"),0.0)</f>
        <v>0</v>
      </c>
      <c r="W62" s="22" t="str">
        <f>IFERROR(__xludf.DUMMYFUNCTION("IFERROR(GOOGLEFINANCE(A62,""priceopen""),"""")"),"")</f>
        <v/>
      </c>
      <c r="X62" s="22" t="str">
        <f>IFERROR(__xludf.DUMMYFUNCTION("IFERROR(GOOGLEFINANCE(A62,""high""),"""")"),"")</f>
        <v/>
      </c>
      <c r="Y62" s="22" t="str">
        <f>IFERROR(__xludf.DUMMYFUNCTION("IFERROR(GOOGLEFINANCE(A62,""low""),"""")"),"")</f>
        <v/>
      </c>
      <c r="Z62" s="22">
        <f>IFERROR(__xludf.DUMMYFUNCTION("IFERROR(GOOGLEFINANCE(A62,""volume""),"""")"),0.0)</f>
        <v>0</v>
      </c>
      <c r="AA62" s="24" t="str">
        <f>VLOOKUP(A62,Metrik!$C$2:$Y$959,5,0)</f>
        <v>Banks</v>
      </c>
      <c r="AB62" s="24" t="str">
        <f>VLOOKUP(A62,Metrik!$C$2:$Y$959,3,0)</f>
        <v>Financials</v>
      </c>
    </row>
    <row r="63">
      <c r="A63" s="14" t="s">
        <v>78</v>
      </c>
      <c r="B63" s="14" t="str">
        <f t="array" ref="B63">VLOOKUP(A63,{Metrik!$C$2:$C$998,Metrik!$B$2:$B$998},2,0)</f>
        <v>Asuransi Harta Aman Pratama Tbk.</v>
      </c>
      <c r="C63" s="15">
        <f>IFERROR(__xludf.DUMMYFUNCTION("GOOGLEFINANCE(""IDX:""&amp;A63,""price"")"),82.0)</f>
        <v>82</v>
      </c>
      <c r="D63" s="16" t="str">
        <f>IFERROR(__xludf.DUMMYFUNCTION("IF(A63="""","""",
SPARKLINE(
INDEX(
GOOGLEFINANCE(""IDX:""&amp;A63,""close"",TODAY()-365,TODAY()),
,2
),
{""linewidth"",1}
))
"),"#N/A")</f>
        <v>#N/A</v>
      </c>
      <c r="E63" s="26"/>
      <c r="F63" s="26"/>
      <c r="G63" s="24">
        <f t="shared" si="1"/>
        <v>0</v>
      </c>
      <c r="H63" s="19">
        <f>VLOOKUP(A63,Metrik!$C$2:$Y$959,8,0)</f>
        <v>-18</v>
      </c>
      <c r="I63" s="20">
        <f>VLOOKUP(A63,Metrik!$C$2:$Y$959,9,0)</f>
        <v>2.4</v>
      </c>
      <c r="J63" s="20">
        <f>VLOOKUP(A63,Metrik!$C$2:$Y$959,10,0)</f>
        <v>-13.5</v>
      </c>
      <c r="K63" s="20">
        <f>VLOOKUP(A63,Metrik!$C$2:$Y$959,11,0)</f>
        <v>-2.7</v>
      </c>
      <c r="L63" s="20">
        <f>VLOOKUP(A63,Metrik!$C$2:$Y$959,12,0)</f>
        <v>4</v>
      </c>
      <c r="M63" s="20">
        <f>VLOOKUP(A63,Metrik!$C$2:$Y$959,19,0)</f>
        <v>-11.6</v>
      </c>
      <c r="N63" s="21"/>
      <c r="O63" s="21"/>
      <c r="P63" s="21"/>
      <c r="Q63" s="21"/>
      <c r="R63" s="21"/>
      <c r="S63" s="21"/>
      <c r="T63" s="21"/>
      <c r="U63" s="22">
        <f>IFERROR(__xludf.DUMMYFUNCTION("IFERROR(GOOGLEFINANCE(A63,""closeyest""),"""")"),78.0)</f>
        <v>78</v>
      </c>
      <c r="V63" s="23">
        <f>IFERROR(__xludf.DUMMYFUNCTION("IFERROR(GOOGLEFINANCE(A63,""changepct""),"""")"),5.13)</f>
        <v>5.13</v>
      </c>
      <c r="W63" s="22">
        <f>IFERROR(__xludf.DUMMYFUNCTION("IFERROR(GOOGLEFINANCE(A63,""priceopen""),"""")"),78.0)</f>
        <v>78</v>
      </c>
      <c r="X63" s="22">
        <f>IFERROR(__xludf.DUMMYFUNCTION("IFERROR(GOOGLEFINANCE(A63,""high""),"""")"),85.0)</f>
        <v>85</v>
      </c>
      <c r="Y63" s="22">
        <f>IFERROR(__xludf.DUMMYFUNCTION("IFERROR(GOOGLEFINANCE(A63,""low""),"""")"),78.0)</f>
        <v>78</v>
      </c>
      <c r="Z63" s="22">
        <f>IFERROR(__xludf.DUMMYFUNCTION("IFERROR(GOOGLEFINANCE(A63,""volume""),"""")"),1.3048E7)</f>
        <v>13048000</v>
      </c>
      <c r="AA63" s="24" t="str">
        <f>VLOOKUP(A63,Metrik!$C$2:$Y$959,5,0)</f>
        <v>Insurance</v>
      </c>
      <c r="AB63" s="24" t="str">
        <f>VLOOKUP(A63,Metrik!$C$2:$Y$959,3,0)</f>
        <v>Financials</v>
      </c>
    </row>
    <row r="64">
      <c r="A64" s="14" t="s">
        <v>79</v>
      </c>
      <c r="B64" s="14" t="str">
        <f t="array" ref="B64">VLOOKUP(A64,{Metrik!$C$2:$C$998,Metrik!$B$2:$B$998},2,0)</f>
        <v>Artha Mahiya Investama Tbk.</v>
      </c>
      <c r="C64" s="15">
        <f>IFERROR(__xludf.DUMMYFUNCTION("GOOGLEFINANCE(""IDX:""&amp;A64,""price"")"),390.0)</f>
        <v>390</v>
      </c>
      <c r="D64" s="16" t="str">
        <f>IFERROR(__xludf.DUMMYFUNCTION("IF(A64="""","""",
SPARKLINE(
INDEX(
GOOGLEFINANCE(""IDX:""&amp;A64,""close"",TODAY()-365,TODAY()),
,2
),
{""linewidth"",1}
))
"),"#N/A")</f>
        <v>#N/A</v>
      </c>
      <c r="E64" s="26"/>
      <c r="F64" s="26"/>
      <c r="G64" s="24">
        <f t="shared" si="1"/>
        <v>0</v>
      </c>
      <c r="H64" s="19">
        <f>VLOOKUP(A64,Metrik!$C$2:$Y$959,8,0)</f>
        <v>-110</v>
      </c>
      <c r="I64" s="20">
        <f>VLOOKUP(A64,Metrik!$C$2:$Y$959,9,0)</f>
        <v>510</v>
      </c>
      <c r="J64" s="20">
        <f>VLOOKUP(A64,Metrik!$C$2:$Y$959,10,0)</f>
        <v>-480</v>
      </c>
      <c r="K64" s="20">
        <f>VLOOKUP(A64,Metrik!$C$2:$Y$959,11,0)</f>
        <v>-18.2</v>
      </c>
      <c r="L64" s="20">
        <f>VLOOKUP(A64,Metrik!$C$2:$Y$959,12,0)</f>
        <v>25.3</v>
      </c>
      <c r="M64" s="20">
        <f>VLOOKUP(A64,Metrik!$C$2:$Y$959,19,0)</f>
        <v>-62.2</v>
      </c>
      <c r="N64" s="21"/>
      <c r="O64" s="21"/>
      <c r="P64" s="21"/>
      <c r="Q64" s="21"/>
      <c r="R64" s="21"/>
      <c r="S64" s="21"/>
      <c r="T64" s="21"/>
      <c r="U64" s="22">
        <f>IFERROR(__xludf.DUMMYFUNCTION("IFERROR(GOOGLEFINANCE(A64,""closeyest""),"""")"),27.76)</f>
        <v>27.76</v>
      </c>
      <c r="V64" s="23">
        <f>IFERROR(__xludf.DUMMYFUNCTION("IFERROR(GOOGLEFINANCE(A64,""changepct""),"""")"),2.29)</f>
        <v>2.29</v>
      </c>
      <c r="W64" s="22">
        <f>IFERROR(__xludf.DUMMYFUNCTION("IFERROR(GOOGLEFINANCE(A64,""priceopen""),"""")"),28.41)</f>
        <v>28.41</v>
      </c>
      <c r="X64" s="22">
        <f>IFERROR(__xludf.DUMMYFUNCTION("IFERROR(GOOGLEFINANCE(A64,""high""),"""")"),28.48)</f>
        <v>28.48</v>
      </c>
      <c r="Y64" s="22">
        <f>IFERROR(__xludf.DUMMYFUNCTION("IFERROR(GOOGLEFINANCE(A64,""low""),"""")"),28.29)</f>
        <v>28.29</v>
      </c>
      <c r="Z64" s="22">
        <f>IFERROR(__xludf.DUMMYFUNCTION("IFERROR(GOOGLEFINANCE(A64,""volume""),"""")"),3526.0)</f>
        <v>3526</v>
      </c>
      <c r="AA64" s="24" t="str">
        <f>VLOOKUP(A64,Metrik!$C$2:$Y$959,5,0)</f>
        <v>Coal</v>
      </c>
      <c r="AB64" s="24" t="str">
        <f>VLOOKUP(A64,Metrik!$C$2:$Y$959,3,0)</f>
        <v>Energy</v>
      </c>
    </row>
    <row r="65">
      <c r="A65" s="14" t="s">
        <v>80</v>
      </c>
      <c r="B65" s="14" t="str">
        <f t="array" ref="B65">VLOOKUP(A65,{Metrik!$C$2:$C$998,Metrik!$B$2:$B$998},2,0)</f>
        <v>FKS Food Sejahtera Tbk.</v>
      </c>
      <c r="C65" s="15">
        <f>IFERROR(__xludf.DUMMYFUNCTION("GOOGLEFINANCE(""IDX:""&amp;A65,""price"")"),101.0)</f>
        <v>101</v>
      </c>
      <c r="D65" s="16" t="str">
        <f>IFERROR(__xludf.DUMMYFUNCTION("IF(A65="""","""",
SPARKLINE(
INDEX(
GOOGLEFINANCE(""IDX:""&amp;A65,""close"",TODAY()-365,TODAY()),
,2
),
{""linewidth"",1}
))
"),"#N/A")</f>
        <v>#N/A</v>
      </c>
      <c r="E65" s="26"/>
      <c r="F65" s="26"/>
      <c r="G65" s="24">
        <f t="shared" si="1"/>
        <v>0</v>
      </c>
      <c r="H65" s="19">
        <f>VLOOKUP(A65,Metrik!$C$2:$Y$959,8,0)</f>
        <v>15.2</v>
      </c>
      <c r="I65" s="20">
        <f>VLOOKUP(A65,Metrik!$C$2:$Y$959,9,0)</f>
        <v>0.86</v>
      </c>
      <c r="J65" s="20">
        <f>VLOOKUP(A65,Metrik!$C$2:$Y$959,10,0)</f>
        <v>5.7</v>
      </c>
      <c r="K65" s="20">
        <f>VLOOKUP(A65,Metrik!$C$2:$Y$959,11,0)</f>
        <v>3</v>
      </c>
      <c r="L65" s="20">
        <f>VLOOKUP(A65,Metrik!$C$2:$Y$959,12,0)</f>
        <v>0.87</v>
      </c>
      <c r="M65" s="20">
        <f>VLOOKUP(A65,Metrik!$C$2:$Y$959,19,0)</f>
        <v>13</v>
      </c>
      <c r="N65" s="21"/>
      <c r="O65" s="21"/>
      <c r="P65" s="21"/>
      <c r="Q65" s="21"/>
      <c r="R65" s="21"/>
      <c r="S65" s="21"/>
      <c r="T65" s="21"/>
      <c r="U65" s="22">
        <f>IFERROR(__xludf.DUMMYFUNCTION("IFERROR(GOOGLEFINANCE(A65,""closeyest""),"""")"),102.0)</f>
        <v>102</v>
      </c>
      <c r="V65" s="23">
        <f>IFERROR(__xludf.DUMMYFUNCTION("IFERROR(GOOGLEFINANCE(A65,""changepct""),"""")"),-0.98)</f>
        <v>-0.98</v>
      </c>
      <c r="W65" s="22">
        <f>IFERROR(__xludf.DUMMYFUNCTION("IFERROR(GOOGLEFINANCE(A65,""priceopen""),"""")"),101.0)</f>
        <v>101</v>
      </c>
      <c r="X65" s="22">
        <f>IFERROR(__xludf.DUMMYFUNCTION("IFERROR(GOOGLEFINANCE(A65,""high""),"""")"),105.0)</f>
        <v>105</v>
      </c>
      <c r="Y65" s="22">
        <f>IFERROR(__xludf.DUMMYFUNCTION("IFERROR(GOOGLEFINANCE(A65,""low""),"""")"),100.0)</f>
        <v>100</v>
      </c>
      <c r="Z65" s="22">
        <f>IFERROR(__xludf.DUMMYFUNCTION("IFERROR(GOOGLEFINANCE(A65,""volume""),"""")"),4799800.0)</f>
        <v>4799800</v>
      </c>
      <c r="AA65" s="24" t="str">
        <f>VLOOKUP(A65,Metrik!$C$2:$Y$959,5,0)</f>
        <v>Processed Foods</v>
      </c>
      <c r="AB65" s="24" t="str">
        <f>VLOOKUP(A65,Metrik!$C$2:$Y$959,3,0)</f>
        <v>Consumer Non-Cyclicals</v>
      </c>
    </row>
    <row r="66">
      <c r="A66" s="14" t="s">
        <v>81</v>
      </c>
      <c r="B66" s="14" t="str">
        <f t="array" ref="B66">VLOOKUP(A66,{Metrik!$C$2:$C$998,Metrik!$B$2:$B$998},2,0)</f>
        <v>Anugerah Kagum Karya Utama Tbk.</v>
      </c>
      <c r="C66" s="15">
        <f>IFERROR(__xludf.DUMMYFUNCTION("GOOGLEFINANCE(""IDX:""&amp;A66,""price"")"),38.0)</f>
        <v>38</v>
      </c>
      <c r="D66" s="16" t="str">
        <f>IFERROR(__xludf.DUMMYFUNCTION("IF(A66="""","""",
SPARKLINE(
INDEX(
GOOGLEFINANCE(""IDX:""&amp;A66,""close"",TODAY()-365,TODAY()),
,2
),
{""linewidth"",1}
))
"),"#N/A")</f>
        <v>#N/A</v>
      </c>
      <c r="E66" s="26"/>
      <c r="F66" s="26"/>
      <c r="G66" s="24">
        <f t="shared" si="1"/>
        <v>0</v>
      </c>
      <c r="H66" s="19">
        <f>VLOOKUP(A66,Metrik!$C$2:$Y$959,8,0)</f>
        <v>-9.4</v>
      </c>
      <c r="I66" s="20">
        <f>VLOOKUP(A66,Metrik!$C$2:$Y$959,9,0)</f>
        <v>0.62</v>
      </c>
      <c r="J66" s="20">
        <f>VLOOKUP(A66,Metrik!$C$2:$Y$959,10,0)</f>
        <v>-6.6</v>
      </c>
      <c r="K66" s="20">
        <f>VLOOKUP(A66,Metrik!$C$2:$Y$959,11,0)</f>
        <v>-3.7</v>
      </c>
      <c r="L66" s="20">
        <f>VLOOKUP(A66,Metrik!$C$2:$Y$959,12,0)</f>
        <v>0.77</v>
      </c>
      <c r="M66" s="20">
        <f>VLOOKUP(A66,Metrik!$C$2:$Y$959,19,0)</f>
        <v>-1280</v>
      </c>
      <c r="N66" s="21"/>
      <c r="O66" s="21"/>
      <c r="P66" s="21"/>
      <c r="Q66" s="21"/>
      <c r="R66" s="21"/>
      <c r="S66" s="21"/>
      <c r="T66" s="21"/>
      <c r="U66" s="22">
        <f>IFERROR(__xludf.DUMMYFUNCTION("IFERROR(GOOGLEFINANCE(A66,""closeyest""),"""")"),38.0)</f>
        <v>38</v>
      </c>
      <c r="V66" s="23">
        <f>IFERROR(__xludf.DUMMYFUNCTION("IFERROR(GOOGLEFINANCE(A66,""changepct""),"""")"),0.0)</f>
        <v>0</v>
      </c>
      <c r="W66" s="22" t="str">
        <f>IFERROR(__xludf.DUMMYFUNCTION("IFERROR(GOOGLEFINANCE(A66,""priceopen""),"""")"),"")</f>
        <v/>
      </c>
      <c r="X66" s="22" t="str">
        <f>IFERROR(__xludf.DUMMYFUNCTION("IFERROR(GOOGLEFINANCE(A66,""high""),"""")"),"")</f>
        <v/>
      </c>
      <c r="Y66" s="22" t="str">
        <f>IFERROR(__xludf.DUMMYFUNCTION("IFERROR(GOOGLEFINANCE(A66,""low""),"""")"),"")</f>
        <v/>
      </c>
      <c r="Z66" s="22">
        <f>IFERROR(__xludf.DUMMYFUNCTION("IFERROR(GOOGLEFINANCE(A66,""volume""),"""")"),0.0)</f>
        <v>0</v>
      </c>
      <c r="AA66" s="24" t="str">
        <f>VLOOKUP(A66,Metrik!$C$2:$Y$959,5,0)</f>
        <v>Tourism &amp; Recreation</v>
      </c>
      <c r="AB66" s="24" t="str">
        <f>VLOOKUP(A66,Metrik!$C$2:$Y$959,3,0)</f>
        <v>Consumer Cyclicals</v>
      </c>
    </row>
    <row r="67">
      <c r="A67" s="14" t="s">
        <v>82</v>
      </c>
      <c r="B67" s="14" t="str">
        <f t="array" ref="B67">VLOOKUP(A67,{Metrik!$C$2:$C$998,Metrik!$B$2:$B$998},2,0)</f>
        <v>Argha Karya Prima Industry Tbk.</v>
      </c>
      <c r="C67" s="15" t="str">
        <f>IFERROR(__xludf.DUMMYFUNCTION("GOOGLEFINANCE(""IDX:""&amp;A67,""price"")"),"#N/A")</f>
        <v>#N/A</v>
      </c>
      <c r="D67" s="16" t="str">
        <f>IFERROR(__xludf.DUMMYFUNCTION("IF(A67="""","""",
SPARKLINE(
INDEX(
GOOGLEFINANCE(""IDX:""&amp;A67,""close"",TODAY()-365,TODAY()),
,2
),
{""linewidth"",1}
))
"),"#N/A")</f>
        <v>#N/A</v>
      </c>
      <c r="E67" s="26"/>
      <c r="F67" s="26"/>
      <c r="G67" s="24">
        <f t="shared" si="1"/>
        <v>0</v>
      </c>
      <c r="H67" s="19">
        <f>VLOOKUP(A67,Metrik!$C$2:$Y$959,8,0)</f>
        <v>10.1</v>
      </c>
      <c r="I67" s="20">
        <f>VLOOKUP(A67,Metrik!$C$2:$Y$959,9,0)</f>
        <v>0.17</v>
      </c>
      <c r="J67" s="20">
        <f>VLOOKUP(A67,Metrik!$C$2:$Y$959,10,0)</f>
        <v>1.7</v>
      </c>
      <c r="K67" s="20">
        <f>VLOOKUP(A67,Metrik!$C$2:$Y$959,11,0)</f>
        <v>0.86</v>
      </c>
      <c r="L67" s="20">
        <f>VLOOKUP(A67,Metrik!$C$2:$Y$959,12,0)</f>
        <v>1</v>
      </c>
      <c r="M67" s="20">
        <f>VLOOKUP(A67,Metrik!$C$2:$Y$959,19,0)</f>
        <v>4.4</v>
      </c>
      <c r="N67" s="21"/>
      <c r="O67" s="21"/>
      <c r="P67" s="21"/>
      <c r="Q67" s="21"/>
      <c r="R67" s="21"/>
      <c r="S67" s="21"/>
      <c r="T67" s="21"/>
      <c r="U67" s="22">
        <f>IFERROR(__xludf.DUMMYFUNCTION("IFERROR(GOOGLEFINANCE(A67,""closeyest""),"""")"),461.73)</f>
        <v>461.73</v>
      </c>
      <c r="V67" s="23">
        <f>IFERROR(__xludf.DUMMYFUNCTION("IFERROR(GOOGLEFINANCE(A67,""changepct""),"""")"),9.37)</f>
        <v>9.37</v>
      </c>
      <c r="W67" s="22">
        <f>IFERROR(__xludf.DUMMYFUNCTION("IFERROR(GOOGLEFINANCE(A67,""priceopen""),"""")"),468.0)</f>
        <v>468</v>
      </c>
      <c r="X67" s="22">
        <f>IFERROR(__xludf.DUMMYFUNCTION("IFERROR(GOOGLEFINANCE(A67,""high""),"""")"),510.0)</f>
        <v>510</v>
      </c>
      <c r="Y67" s="22">
        <f>IFERROR(__xludf.DUMMYFUNCTION("IFERROR(GOOGLEFINANCE(A67,""low""),"""")"),462.0)</f>
        <v>462</v>
      </c>
      <c r="Z67" s="22">
        <f>IFERROR(__xludf.DUMMYFUNCTION("IFERROR(GOOGLEFINANCE(A67,""volume""),"""")"),330700.0)</f>
        <v>330700</v>
      </c>
      <c r="AA67" s="24" t="str">
        <f>VLOOKUP(A67,Metrik!$C$2:$Y$959,5,0)</f>
        <v>Chemicals</v>
      </c>
      <c r="AB67" s="24" t="str">
        <f>VLOOKUP(A67,Metrik!$C$2:$Y$959,3,0)</f>
        <v>Basic Materials</v>
      </c>
    </row>
    <row r="68">
      <c r="A68" s="14" t="s">
        <v>83</v>
      </c>
      <c r="B68" s="14" t="str">
        <f t="array" ref="B68">VLOOKUP(A68,{Metrik!$C$2:$C$998,Metrik!$B$2:$B$998},2,0)</f>
        <v>AKR Corporindo Tbk.</v>
      </c>
      <c r="C68" s="15">
        <f>IFERROR(__xludf.DUMMYFUNCTION("GOOGLEFINANCE(""IDX:""&amp;A68,""price"")"),1250.0)</f>
        <v>1250</v>
      </c>
      <c r="D68" s="16" t="str">
        <f>IFERROR(__xludf.DUMMYFUNCTION("IF(A68="""","""",
SPARKLINE(
INDEX(
GOOGLEFINANCE(""IDX:""&amp;A68,""close"",TODAY()-365,TODAY()),
,2
),
{""linewidth"",1}
))
"),"#N/A")</f>
        <v>#N/A</v>
      </c>
      <c r="E68" s="14" t="s">
        <v>47</v>
      </c>
      <c r="F68" s="25">
        <v>46356.0</v>
      </c>
      <c r="G68" s="18">
        <f t="shared" si="1"/>
        <v>16</v>
      </c>
      <c r="H68" s="19">
        <f>VLOOKUP(A68,Metrik!$C$2:$Y$959,8,0)</f>
        <v>9.7</v>
      </c>
      <c r="I68" s="20">
        <f>VLOOKUP(A68,Metrik!$C$2:$Y$959,9,0)</f>
        <v>1.5</v>
      </c>
      <c r="J68" s="20">
        <f>VLOOKUP(A68,Metrik!$C$2:$Y$959,10,0)</f>
        <v>15.8</v>
      </c>
      <c r="K68" s="20">
        <f>VLOOKUP(A68,Metrik!$C$2:$Y$959,11,0)</f>
        <v>6.9</v>
      </c>
      <c r="L68" s="20">
        <f>VLOOKUP(A68,Metrik!$C$2:$Y$959,12,0)</f>
        <v>1.3</v>
      </c>
      <c r="M68" s="20">
        <f>VLOOKUP(A68,Metrik!$C$2:$Y$959,19,0)</f>
        <v>19.8</v>
      </c>
      <c r="N68" s="21"/>
      <c r="O68" s="21"/>
      <c r="P68" s="21"/>
      <c r="Q68" s="21"/>
      <c r="R68" s="21"/>
      <c r="S68" s="21"/>
      <c r="T68" s="21"/>
      <c r="U68" s="22">
        <f>IFERROR(__xludf.DUMMYFUNCTION("IFERROR(GOOGLEFINANCE(A68,""closeyest""),"""")"),1265.0)</f>
        <v>1265</v>
      </c>
      <c r="V68" s="23">
        <f>IFERROR(__xludf.DUMMYFUNCTION("IFERROR(GOOGLEFINANCE(A68,""changepct""),"""")"),-1.19)</f>
        <v>-1.19</v>
      </c>
      <c r="W68" s="22">
        <f>IFERROR(__xludf.DUMMYFUNCTION("IFERROR(GOOGLEFINANCE(A68,""priceopen""),"""")"),1280.0)</f>
        <v>1280</v>
      </c>
      <c r="X68" s="22">
        <f>IFERROR(__xludf.DUMMYFUNCTION("IFERROR(GOOGLEFINANCE(A68,""high""),"""")"),1315.0)</f>
        <v>1315</v>
      </c>
      <c r="Y68" s="22">
        <f>IFERROR(__xludf.DUMMYFUNCTION("IFERROR(GOOGLEFINANCE(A68,""low""),"""")"),1250.0)</f>
        <v>1250</v>
      </c>
      <c r="Z68" s="22">
        <f>IFERROR(__xludf.DUMMYFUNCTION("IFERROR(GOOGLEFINANCE(A68,""volume""),"""")"),2.12091E7)</f>
        <v>21209100</v>
      </c>
      <c r="AA68" s="24" t="str">
        <f>VLOOKUP(A68,Metrik!$C$2:$Y$959,5,0)</f>
        <v>Oil &amp; Gas</v>
      </c>
      <c r="AB68" s="24" t="str">
        <f>VLOOKUP(A68,Metrik!$C$2:$Y$959,3,0)</f>
        <v>Energy</v>
      </c>
    </row>
    <row r="69">
      <c r="A69" s="14" t="s">
        <v>83</v>
      </c>
      <c r="B69" s="14" t="str">
        <f t="array" ref="B69">VLOOKUP(A69,{Metrik!$C$2:$C$998,Metrik!$B$2:$B$998},2,0)</f>
        <v>AKR Corporindo Tbk.</v>
      </c>
      <c r="C69" s="15">
        <f>IFERROR(__xludf.DUMMYFUNCTION("GOOGLEFINANCE(""IDX:""&amp;A69,""price"")"),1250.0)</f>
        <v>1250</v>
      </c>
      <c r="D69" s="16" t="str">
        <f>IFERROR(__xludf.DUMMYFUNCTION("IF(A69="""","""",
SPARKLINE(
INDEX(
GOOGLEFINANCE(""IDX:""&amp;A69,""close"",TODAY()-365,TODAY()),
,2
),
{""linewidth"",1}
))
"),"#N/A")</f>
        <v>#N/A</v>
      </c>
      <c r="E69" s="14" t="s">
        <v>48</v>
      </c>
      <c r="F69" s="14" t="s">
        <v>49</v>
      </c>
      <c r="G69" s="18">
        <f t="shared" si="1"/>
        <v>16</v>
      </c>
      <c r="H69" s="19">
        <f>VLOOKUP(A69,Metrik!$C$2:$Y$959,8,0)</f>
        <v>9.7</v>
      </c>
      <c r="I69" s="20">
        <f>VLOOKUP(A69,Metrik!$C$2:$Y$959,9,0)</f>
        <v>1.5</v>
      </c>
      <c r="J69" s="20">
        <f>VLOOKUP(A69,Metrik!$C$2:$Y$959,10,0)</f>
        <v>15.8</v>
      </c>
      <c r="K69" s="20">
        <f>VLOOKUP(A69,Metrik!$C$2:$Y$959,11,0)</f>
        <v>6.9</v>
      </c>
      <c r="L69" s="20">
        <f>VLOOKUP(A69,Metrik!$C$2:$Y$959,12,0)</f>
        <v>1.3</v>
      </c>
      <c r="M69" s="20">
        <f>VLOOKUP(A69,Metrik!$C$2:$Y$959,19,0)</f>
        <v>19.8</v>
      </c>
      <c r="N69" s="21"/>
      <c r="O69" s="21"/>
      <c r="P69" s="21"/>
      <c r="Q69" s="21"/>
      <c r="R69" s="21"/>
      <c r="S69" s="21"/>
      <c r="T69" s="21"/>
      <c r="U69" s="22">
        <f>IFERROR(__xludf.DUMMYFUNCTION("IFERROR(GOOGLEFINANCE(A69,""closeyest""),"""")"),1265.0)</f>
        <v>1265</v>
      </c>
      <c r="V69" s="23">
        <f>IFERROR(__xludf.DUMMYFUNCTION("IFERROR(GOOGLEFINANCE(A69,""changepct""),"""")"),-1.19)</f>
        <v>-1.19</v>
      </c>
      <c r="W69" s="22">
        <f>IFERROR(__xludf.DUMMYFUNCTION("IFERROR(GOOGLEFINANCE(A69,""priceopen""),"""")"),1280.0)</f>
        <v>1280</v>
      </c>
      <c r="X69" s="22">
        <f>IFERROR(__xludf.DUMMYFUNCTION("IFERROR(GOOGLEFINANCE(A69,""high""),"""")"),1315.0)</f>
        <v>1315</v>
      </c>
      <c r="Y69" s="22">
        <f>IFERROR(__xludf.DUMMYFUNCTION("IFERROR(GOOGLEFINANCE(A69,""low""),"""")"),1250.0)</f>
        <v>1250</v>
      </c>
      <c r="Z69" s="22">
        <f>IFERROR(__xludf.DUMMYFUNCTION("IFERROR(GOOGLEFINANCE(A69,""volume""),"""")"),2.12091E7)</f>
        <v>21209100</v>
      </c>
      <c r="AA69" s="24" t="str">
        <f>VLOOKUP(A69,Metrik!$C$2:$Y$959,5,0)</f>
        <v>Oil &amp; Gas</v>
      </c>
      <c r="AB69" s="24" t="str">
        <f>VLOOKUP(A69,Metrik!$C$2:$Y$959,3,0)</f>
        <v>Energy</v>
      </c>
    </row>
    <row r="70">
      <c r="A70" s="14" t="s">
        <v>83</v>
      </c>
      <c r="B70" s="14" t="str">
        <f t="array" ref="B70">VLOOKUP(A70,{Metrik!$C$2:$C$998,Metrik!$B$2:$B$998},2,0)</f>
        <v>AKR Corporindo Tbk.</v>
      </c>
      <c r="C70" s="15">
        <f>IFERROR(__xludf.DUMMYFUNCTION("GOOGLEFINANCE(""IDX:""&amp;A70,""price"")"),1250.0)</f>
        <v>1250</v>
      </c>
      <c r="D70" s="16" t="str">
        <f>IFERROR(__xludf.DUMMYFUNCTION("IF(A70="""","""",
SPARKLINE(
INDEX(
GOOGLEFINANCE(""IDX:""&amp;A70,""close"",TODAY()-365,TODAY()),
,2
),
{""linewidth"",1}
))
"),"#N/A")</f>
        <v>#N/A</v>
      </c>
      <c r="E70" s="14" t="s">
        <v>31</v>
      </c>
      <c r="F70" s="17" t="s">
        <v>29</v>
      </c>
      <c r="G70" s="18">
        <f t="shared" si="1"/>
        <v>16</v>
      </c>
      <c r="H70" s="19">
        <f>VLOOKUP(A70,Metrik!$C$2:$Y$959,8,0)</f>
        <v>9.7</v>
      </c>
      <c r="I70" s="20">
        <f>VLOOKUP(A70,Metrik!$C$2:$Y$959,9,0)</f>
        <v>1.5</v>
      </c>
      <c r="J70" s="20">
        <f>VLOOKUP(A70,Metrik!$C$2:$Y$959,10,0)</f>
        <v>15.8</v>
      </c>
      <c r="K70" s="20">
        <f>VLOOKUP(A70,Metrik!$C$2:$Y$959,11,0)</f>
        <v>6.9</v>
      </c>
      <c r="L70" s="20">
        <f>VLOOKUP(A70,Metrik!$C$2:$Y$959,12,0)</f>
        <v>1.3</v>
      </c>
      <c r="M70" s="20">
        <f>VLOOKUP(A70,Metrik!$C$2:$Y$959,19,0)</f>
        <v>19.8</v>
      </c>
      <c r="N70" s="21"/>
      <c r="O70" s="21"/>
      <c r="P70" s="21"/>
      <c r="Q70" s="21"/>
      <c r="R70" s="21"/>
      <c r="S70" s="21"/>
      <c r="T70" s="21"/>
      <c r="U70" s="22">
        <f>IFERROR(__xludf.DUMMYFUNCTION("IFERROR(GOOGLEFINANCE(A70,""closeyest""),"""")"),1265.0)</f>
        <v>1265</v>
      </c>
      <c r="V70" s="23">
        <f>IFERROR(__xludf.DUMMYFUNCTION("IFERROR(GOOGLEFINANCE(A70,""changepct""),"""")"),-1.19)</f>
        <v>-1.19</v>
      </c>
      <c r="W70" s="22">
        <f>IFERROR(__xludf.DUMMYFUNCTION("IFERROR(GOOGLEFINANCE(A70,""priceopen""),"""")"),1280.0)</f>
        <v>1280</v>
      </c>
      <c r="X70" s="22">
        <f>IFERROR(__xludf.DUMMYFUNCTION("IFERROR(GOOGLEFINANCE(A70,""high""),"""")"),1315.0)</f>
        <v>1315</v>
      </c>
      <c r="Y70" s="22">
        <f>IFERROR(__xludf.DUMMYFUNCTION("IFERROR(GOOGLEFINANCE(A70,""low""),"""")"),1250.0)</f>
        <v>1250</v>
      </c>
      <c r="Z70" s="22">
        <f>IFERROR(__xludf.DUMMYFUNCTION("IFERROR(GOOGLEFINANCE(A70,""volume""),"""")"),2.12091E7)</f>
        <v>21209100</v>
      </c>
      <c r="AA70" s="24" t="str">
        <f>VLOOKUP(A70,Metrik!$C$2:$Y$959,5,0)</f>
        <v>Oil &amp; Gas</v>
      </c>
      <c r="AB70" s="24" t="str">
        <f>VLOOKUP(A70,Metrik!$C$2:$Y$959,3,0)</f>
        <v>Energy</v>
      </c>
    </row>
    <row r="71">
      <c r="A71" s="14" t="s">
        <v>83</v>
      </c>
      <c r="B71" s="14" t="str">
        <f t="array" ref="B71">VLOOKUP(A71,{Metrik!$C$2:$C$998,Metrik!$B$2:$B$998},2,0)</f>
        <v>AKR Corporindo Tbk.</v>
      </c>
      <c r="C71" s="15">
        <f>IFERROR(__xludf.DUMMYFUNCTION("GOOGLEFINANCE(""IDX:""&amp;A71,""price"")"),1250.0)</f>
        <v>1250</v>
      </c>
      <c r="D71" s="16" t="str">
        <f>IFERROR(__xludf.DUMMYFUNCTION("IF(A71="""","""",
SPARKLINE(
INDEX(
GOOGLEFINANCE(""IDX:""&amp;A71,""close"",TODAY()-365,TODAY()),
,2
),
{""linewidth"",1}
))
"),"#N/A")</f>
        <v>#N/A</v>
      </c>
      <c r="E71" s="14" t="s">
        <v>28</v>
      </c>
      <c r="F71" s="17" t="s">
        <v>29</v>
      </c>
      <c r="G71" s="18">
        <f t="shared" si="1"/>
        <v>16</v>
      </c>
      <c r="H71" s="19">
        <f>VLOOKUP(A71,Metrik!$C$2:$Y$959,8,0)</f>
        <v>9.7</v>
      </c>
      <c r="I71" s="20">
        <f>VLOOKUP(A71,Metrik!$C$2:$Y$959,9,0)</f>
        <v>1.5</v>
      </c>
      <c r="J71" s="20">
        <f>VLOOKUP(A71,Metrik!$C$2:$Y$959,10,0)</f>
        <v>15.8</v>
      </c>
      <c r="K71" s="20">
        <f>VLOOKUP(A71,Metrik!$C$2:$Y$959,11,0)</f>
        <v>6.9</v>
      </c>
      <c r="L71" s="20">
        <f>VLOOKUP(A71,Metrik!$C$2:$Y$959,12,0)</f>
        <v>1.3</v>
      </c>
      <c r="M71" s="20">
        <f>VLOOKUP(A71,Metrik!$C$2:$Y$959,19,0)</f>
        <v>19.8</v>
      </c>
      <c r="N71" s="21"/>
      <c r="O71" s="21"/>
      <c r="P71" s="21"/>
      <c r="Q71" s="21"/>
      <c r="R71" s="21"/>
      <c r="S71" s="21"/>
      <c r="T71" s="21"/>
      <c r="U71" s="22">
        <f>IFERROR(__xludf.DUMMYFUNCTION("IFERROR(GOOGLEFINANCE(A71,""closeyest""),"""")"),1265.0)</f>
        <v>1265</v>
      </c>
      <c r="V71" s="23">
        <f>IFERROR(__xludf.DUMMYFUNCTION("IFERROR(GOOGLEFINANCE(A71,""changepct""),"""")"),-1.19)</f>
        <v>-1.19</v>
      </c>
      <c r="W71" s="22">
        <f>IFERROR(__xludf.DUMMYFUNCTION("IFERROR(GOOGLEFINANCE(A71,""priceopen""),"""")"),1280.0)</f>
        <v>1280</v>
      </c>
      <c r="X71" s="22">
        <f>IFERROR(__xludf.DUMMYFUNCTION("IFERROR(GOOGLEFINANCE(A71,""high""),"""")"),1315.0)</f>
        <v>1315</v>
      </c>
      <c r="Y71" s="22">
        <f>IFERROR(__xludf.DUMMYFUNCTION("IFERROR(GOOGLEFINANCE(A71,""low""),"""")"),1250.0)</f>
        <v>1250</v>
      </c>
      <c r="Z71" s="22">
        <f>IFERROR(__xludf.DUMMYFUNCTION("IFERROR(GOOGLEFINANCE(A71,""volume""),"""")"),2.12091E7)</f>
        <v>21209100</v>
      </c>
      <c r="AA71" s="24" t="str">
        <f>VLOOKUP(A71,Metrik!$C$2:$Y$959,5,0)</f>
        <v>Oil &amp; Gas</v>
      </c>
      <c r="AB71" s="24" t="str">
        <f>VLOOKUP(A71,Metrik!$C$2:$Y$959,3,0)</f>
        <v>Energy</v>
      </c>
    </row>
    <row r="72">
      <c r="A72" s="14" t="s">
        <v>83</v>
      </c>
      <c r="B72" s="14" t="str">
        <f t="array" ref="B72">VLOOKUP(A72,{Metrik!$C$2:$C$998,Metrik!$B$2:$B$998},2,0)</f>
        <v>AKR Corporindo Tbk.</v>
      </c>
      <c r="C72" s="15">
        <f>IFERROR(__xludf.DUMMYFUNCTION("GOOGLEFINANCE(""IDX:""&amp;A72,""price"")"),1250.0)</f>
        <v>1250</v>
      </c>
      <c r="D72" s="16" t="str">
        <f>IFERROR(__xludf.DUMMYFUNCTION("IF(A72="""","""",
SPARKLINE(
INDEX(
GOOGLEFINANCE(""IDX:""&amp;A72,""close"",TODAY()-365,TODAY()),
,2
),
{""linewidth"",1}
))
"),"#N/A")</f>
        <v>#N/A</v>
      </c>
      <c r="E72" s="14" t="s">
        <v>84</v>
      </c>
      <c r="F72" s="17" t="s">
        <v>51</v>
      </c>
      <c r="G72" s="18">
        <f t="shared" si="1"/>
        <v>16</v>
      </c>
      <c r="H72" s="19">
        <f>VLOOKUP(A72,Metrik!$C$2:$Y$959,8,0)</f>
        <v>9.7</v>
      </c>
      <c r="I72" s="20">
        <f>VLOOKUP(A72,Metrik!$C$2:$Y$959,9,0)</f>
        <v>1.5</v>
      </c>
      <c r="J72" s="20">
        <f>VLOOKUP(A72,Metrik!$C$2:$Y$959,10,0)</f>
        <v>15.8</v>
      </c>
      <c r="K72" s="20">
        <f>VLOOKUP(A72,Metrik!$C$2:$Y$959,11,0)</f>
        <v>6.9</v>
      </c>
      <c r="L72" s="20">
        <f>VLOOKUP(A72,Metrik!$C$2:$Y$959,12,0)</f>
        <v>1.3</v>
      </c>
      <c r="M72" s="20">
        <f>VLOOKUP(A72,Metrik!$C$2:$Y$959,19,0)</f>
        <v>19.8</v>
      </c>
      <c r="N72" s="21"/>
      <c r="O72" s="21"/>
      <c r="P72" s="21"/>
      <c r="Q72" s="21"/>
      <c r="R72" s="21"/>
      <c r="S72" s="21"/>
      <c r="T72" s="21"/>
      <c r="U72" s="22">
        <f>IFERROR(__xludf.DUMMYFUNCTION("IFERROR(GOOGLEFINANCE(A72,""closeyest""),"""")"),1265.0)</f>
        <v>1265</v>
      </c>
      <c r="V72" s="23">
        <f>IFERROR(__xludf.DUMMYFUNCTION("IFERROR(GOOGLEFINANCE(A72,""changepct""),"""")"),-1.19)</f>
        <v>-1.19</v>
      </c>
      <c r="W72" s="22">
        <f>IFERROR(__xludf.DUMMYFUNCTION("IFERROR(GOOGLEFINANCE(A72,""priceopen""),"""")"),1280.0)</f>
        <v>1280</v>
      </c>
      <c r="X72" s="22">
        <f>IFERROR(__xludf.DUMMYFUNCTION("IFERROR(GOOGLEFINANCE(A72,""high""),"""")"),1315.0)</f>
        <v>1315</v>
      </c>
      <c r="Y72" s="22">
        <f>IFERROR(__xludf.DUMMYFUNCTION("IFERROR(GOOGLEFINANCE(A72,""low""),"""")"),1250.0)</f>
        <v>1250</v>
      </c>
      <c r="Z72" s="22">
        <f>IFERROR(__xludf.DUMMYFUNCTION("IFERROR(GOOGLEFINANCE(A72,""volume""),"""")"),2.12091E7)</f>
        <v>21209100</v>
      </c>
      <c r="AA72" s="24" t="str">
        <f>VLOOKUP(A72,Metrik!$C$2:$Y$959,5,0)</f>
        <v>Oil &amp; Gas</v>
      </c>
      <c r="AB72" s="24" t="str">
        <f>VLOOKUP(A72,Metrik!$C$2:$Y$959,3,0)</f>
        <v>Energy</v>
      </c>
    </row>
    <row r="73">
      <c r="A73" s="14" t="s">
        <v>83</v>
      </c>
      <c r="B73" s="14" t="str">
        <f t="array" ref="B73">VLOOKUP(A73,{Metrik!$C$2:$C$998,Metrik!$B$2:$B$998},2,0)</f>
        <v>AKR Corporindo Tbk.</v>
      </c>
      <c r="C73" s="15">
        <f>IFERROR(__xludf.DUMMYFUNCTION("GOOGLEFINANCE(""IDX:""&amp;A73,""price"")"),1250.0)</f>
        <v>1250</v>
      </c>
      <c r="D73" s="16" t="str">
        <f>IFERROR(__xludf.DUMMYFUNCTION("IF(A73="""","""",
SPARKLINE(
INDEX(
GOOGLEFINANCE(""IDX:""&amp;A73,""close"",TODAY()-365,TODAY()),
,2
),
{""linewidth"",1}
))
"),"#N/A")</f>
        <v>#N/A</v>
      </c>
      <c r="E73" s="14" t="s">
        <v>85</v>
      </c>
      <c r="F73" s="17" t="s">
        <v>51</v>
      </c>
      <c r="G73" s="18">
        <f t="shared" si="1"/>
        <v>16</v>
      </c>
      <c r="H73" s="19">
        <f>VLOOKUP(A73,Metrik!$C$2:$Y$959,8,0)</f>
        <v>9.7</v>
      </c>
      <c r="I73" s="20">
        <f>VLOOKUP(A73,Metrik!$C$2:$Y$959,9,0)</f>
        <v>1.5</v>
      </c>
      <c r="J73" s="20">
        <f>VLOOKUP(A73,Metrik!$C$2:$Y$959,10,0)</f>
        <v>15.8</v>
      </c>
      <c r="K73" s="20">
        <f>VLOOKUP(A73,Metrik!$C$2:$Y$959,11,0)</f>
        <v>6.9</v>
      </c>
      <c r="L73" s="20">
        <f>VLOOKUP(A73,Metrik!$C$2:$Y$959,12,0)</f>
        <v>1.3</v>
      </c>
      <c r="M73" s="20">
        <f>VLOOKUP(A73,Metrik!$C$2:$Y$959,19,0)</f>
        <v>19.8</v>
      </c>
      <c r="N73" s="21"/>
      <c r="O73" s="21"/>
      <c r="P73" s="21"/>
      <c r="Q73" s="21"/>
      <c r="R73" s="21"/>
      <c r="S73" s="21"/>
      <c r="T73" s="21"/>
      <c r="U73" s="22">
        <f>IFERROR(__xludf.DUMMYFUNCTION("IFERROR(GOOGLEFINANCE(A73,""closeyest""),"""")"),1265.0)</f>
        <v>1265</v>
      </c>
      <c r="V73" s="23">
        <f>IFERROR(__xludf.DUMMYFUNCTION("IFERROR(GOOGLEFINANCE(A73,""changepct""),"""")"),-1.19)</f>
        <v>-1.19</v>
      </c>
      <c r="W73" s="22">
        <f>IFERROR(__xludf.DUMMYFUNCTION("IFERROR(GOOGLEFINANCE(A73,""priceopen""),"""")"),1280.0)</f>
        <v>1280</v>
      </c>
      <c r="X73" s="22">
        <f>IFERROR(__xludf.DUMMYFUNCTION("IFERROR(GOOGLEFINANCE(A73,""high""),"""")"),1315.0)</f>
        <v>1315</v>
      </c>
      <c r="Y73" s="22">
        <f>IFERROR(__xludf.DUMMYFUNCTION("IFERROR(GOOGLEFINANCE(A73,""low""),"""")"),1250.0)</f>
        <v>1250</v>
      </c>
      <c r="Z73" s="22">
        <f>IFERROR(__xludf.DUMMYFUNCTION("IFERROR(GOOGLEFINANCE(A73,""volume""),"""")"),2.12091E7)</f>
        <v>21209100</v>
      </c>
      <c r="AA73" s="24" t="str">
        <f>VLOOKUP(A73,Metrik!$C$2:$Y$959,5,0)</f>
        <v>Oil &amp; Gas</v>
      </c>
      <c r="AB73" s="24" t="str">
        <f>VLOOKUP(A73,Metrik!$C$2:$Y$959,3,0)</f>
        <v>Energy</v>
      </c>
    </row>
    <row r="74">
      <c r="A74" s="14" t="s">
        <v>83</v>
      </c>
      <c r="B74" s="14" t="str">
        <f t="array" ref="B74">VLOOKUP(A74,{Metrik!$C$2:$C$998,Metrik!$B$2:$B$998},2,0)</f>
        <v>AKR Corporindo Tbk.</v>
      </c>
      <c r="C74" s="15">
        <f>IFERROR(__xludf.DUMMYFUNCTION("GOOGLEFINANCE(""IDX:""&amp;A74,""price"")"),1250.0)</f>
        <v>1250</v>
      </c>
      <c r="D74" s="16" t="str">
        <f>IFERROR(__xludf.DUMMYFUNCTION("IF(A74="""","""",
SPARKLINE(
INDEX(
GOOGLEFINANCE(""IDX:""&amp;A74,""close"",TODAY()-365,TODAY()),
,2
),
{""linewidth"",1}
))
"),"#N/A")</f>
        <v>#N/A</v>
      </c>
      <c r="E74" s="14" t="s">
        <v>32</v>
      </c>
      <c r="F74" s="14" t="s">
        <v>29</v>
      </c>
      <c r="G74" s="18">
        <f t="shared" si="1"/>
        <v>16</v>
      </c>
      <c r="H74" s="19">
        <f>VLOOKUP(A74,Metrik!$C$2:$Y$959,8,0)</f>
        <v>9.7</v>
      </c>
      <c r="I74" s="20">
        <f>VLOOKUP(A74,Metrik!$C$2:$Y$959,9,0)</f>
        <v>1.5</v>
      </c>
      <c r="J74" s="20">
        <f>VLOOKUP(A74,Metrik!$C$2:$Y$959,10,0)</f>
        <v>15.8</v>
      </c>
      <c r="K74" s="20">
        <f>VLOOKUP(A74,Metrik!$C$2:$Y$959,11,0)</f>
        <v>6.9</v>
      </c>
      <c r="L74" s="20">
        <f>VLOOKUP(A74,Metrik!$C$2:$Y$959,12,0)</f>
        <v>1.3</v>
      </c>
      <c r="M74" s="20">
        <f>VLOOKUP(A74,Metrik!$C$2:$Y$959,19,0)</f>
        <v>19.8</v>
      </c>
      <c r="N74" s="21"/>
      <c r="O74" s="21"/>
      <c r="P74" s="21"/>
      <c r="Q74" s="21"/>
      <c r="R74" s="21"/>
      <c r="S74" s="21"/>
      <c r="T74" s="21"/>
      <c r="U74" s="22">
        <f>IFERROR(__xludf.DUMMYFUNCTION("IFERROR(GOOGLEFINANCE(A74,""closeyest""),"""")"),1265.0)</f>
        <v>1265</v>
      </c>
      <c r="V74" s="23">
        <f>IFERROR(__xludf.DUMMYFUNCTION("IFERROR(GOOGLEFINANCE(A74,""changepct""),"""")"),-1.19)</f>
        <v>-1.19</v>
      </c>
      <c r="W74" s="22">
        <f>IFERROR(__xludf.DUMMYFUNCTION("IFERROR(GOOGLEFINANCE(A74,""priceopen""),"""")"),1280.0)</f>
        <v>1280</v>
      </c>
      <c r="X74" s="22">
        <f>IFERROR(__xludf.DUMMYFUNCTION("IFERROR(GOOGLEFINANCE(A74,""high""),"""")"),1315.0)</f>
        <v>1315</v>
      </c>
      <c r="Y74" s="22">
        <f>IFERROR(__xludf.DUMMYFUNCTION("IFERROR(GOOGLEFINANCE(A74,""low""),"""")"),1250.0)</f>
        <v>1250</v>
      </c>
      <c r="Z74" s="22">
        <f>IFERROR(__xludf.DUMMYFUNCTION("IFERROR(GOOGLEFINANCE(A74,""volume""),"""")"),2.12091E7)</f>
        <v>21209100</v>
      </c>
      <c r="AA74" s="24" t="str">
        <f>VLOOKUP(A74,Metrik!$C$2:$Y$959,5,0)</f>
        <v>Oil &amp; Gas</v>
      </c>
      <c r="AB74" s="24" t="str">
        <f>VLOOKUP(A74,Metrik!$C$2:$Y$959,3,0)</f>
        <v>Energy</v>
      </c>
    </row>
    <row r="75">
      <c r="A75" s="14" t="s">
        <v>83</v>
      </c>
      <c r="B75" s="14" t="str">
        <f t="array" ref="B75">VLOOKUP(A75,{Metrik!$C$2:$C$998,Metrik!$B$2:$B$998},2,0)</f>
        <v>AKR Corporindo Tbk.</v>
      </c>
      <c r="C75" s="15">
        <f>IFERROR(__xludf.DUMMYFUNCTION("GOOGLEFINANCE(""IDX:""&amp;A75,""price"")"),1250.0)</f>
        <v>1250</v>
      </c>
      <c r="D75" s="16" t="str">
        <f>IFERROR(__xludf.DUMMYFUNCTION("IF(A75="""","""",
SPARKLINE(
INDEX(
GOOGLEFINANCE(""IDX:""&amp;A75,""close"",TODAY()-365,TODAY()),
,2
),
{""linewidth"",1}
))
"),"#N/A")</f>
        <v>#N/A</v>
      </c>
      <c r="E75" s="14" t="s">
        <v>41</v>
      </c>
      <c r="F75" s="14" t="s">
        <v>34</v>
      </c>
      <c r="G75" s="18">
        <f t="shared" si="1"/>
        <v>16</v>
      </c>
      <c r="H75" s="19">
        <f>VLOOKUP(A75,Metrik!$C$2:$Y$959,8,0)</f>
        <v>9.7</v>
      </c>
      <c r="I75" s="20">
        <f>VLOOKUP(A75,Metrik!$C$2:$Y$959,9,0)</f>
        <v>1.5</v>
      </c>
      <c r="J75" s="20">
        <f>VLOOKUP(A75,Metrik!$C$2:$Y$959,10,0)</f>
        <v>15.8</v>
      </c>
      <c r="K75" s="20">
        <f>VLOOKUP(A75,Metrik!$C$2:$Y$959,11,0)</f>
        <v>6.9</v>
      </c>
      <c r="L75" s="20">
        <f>VLOOKUP(A75,Metrik!$C$2:$Y$959,12,0)</f>
        <v>1.3</v>
      </c>
      <c r="M75" s="20">
        <f>VLOOKUP(A75,Metrik!$C$2:$Y$959,19,0)</f>
        <v>19.8</v>
      </c>
      <c r="N75" s="21"/>
      <c r="O75" s="21"/>
      <c r="P75" s="21"/>
      <c r="Q75" s="21"/>
      <c r="R75" s="21"/>
      <c r="S75" s="21"/>
      <c r="T75" s="21"/>
      <c r="U75" s="22">
        <f>IFERROR(__xludf.DUMMYFUNCTION("IFERROR(GOOGLEFINANCE(A75,""closeyest""),"""")"),1265.0)</f>
        <v>1265</v>
      </c>
      <c r="V75" s="23">
        <f>IFERROR(__xludf.DUMMYFUNCTION("IFERROR(GOOGLEFINANCE(A75,""changepct""),"""")"),-1.19)</f>
        <v>-1.19</v>
      </c>
      <c r="W75" s="22">
        <f>IFERROR(__xludf.DUMMYFUNCTION("IFERROR(GOOGLEFINANCE(A75,""priceopen""),"""")"),1280.0)</f>
        <v>1280</v>
      </c>
      <c r="X75" s="22">
        <f>IFERROR(__xludf.DUMMYFUNCTION("IFERROR(GOOGLEFINANCE(A75,""high""),"""")"),1315.0)</f>
        <v>1315</v>
      </c>
      <c r="Y75" s="22">
        <f>IFERROR(__xludf.DUMMYFUNCTION("IFERROR(GOOGLEFINANCE(A75,""low""),"""")"),1250.0)</f>
        <v>1250</v>
      </c>
      <c r="Z75" s="22">
        <f>IFERROR(__xludf.DUMMYFUNCTION("IFERROR(GOOGLEFINANCE(A75,""volume""),"""")"),2.12091E7)</f>
        <v>21209100</v>
      </c>
      <c r="AA75" s="24" t="str">
        <f>VLOOKUP(A75,Metrik!$C$2:$Y$959,5,0)</f>
        <v>Oil &amp; Gas</v>
      </c>
      <c r="AB75" s="24" t="str">
        <f>VLOOKUP(A75,Metrik!$C$2:$Y$959,3,0)</f>
        <v>Energy</v>
      </c>
    </row>
    <row r="76">
      <c r="A76" s="14" t="s">
        <v>83</v>
      </c>
      <c r="B76" s="14" t="str">
        <f t="array" ref="B76">VLOOKUP(A76,{Metrik!$C$2:$C$998,Metrik!$B$2:$B$998},2,0)</f>
        <v>AKR Corporindo Tbk.</v>
      </c>
      <c r="C76" s="15">
        <f>IFERROR(__xludf.DUMMYFUNCTION("GOOGLEFINANCE(""IDX:""&amp;A76,""price"")"),1250.0)</f>
        <v>1250</v>
      </c>
      <c r="D76" s="16" t="str">
        <f>IFERROR(__xludf.DUMMYFUNCTION("IF(A76="""","""",
SPARKLINE(
INDEX(
GOOGLEFINANCE(""IDX:""&amp;A76,""close"",TODAY()-365,TODAY()),
,2
),
{""linewidth"",1}
))
"),"#N/A")</f>
        <v>#N/A</v>
      </c>
      <c r="E76" s="14" t="s">
        <v>54</v>
      </c>
      <c r="F76" s="14" t="s">
        <v>34</v>
      </c>
      <c r="G76" s="18">
        <f t="shared" si="1"/>
        <v>16</v>
      </c>
      <c r="H76" s="19">
        <f>VLOOKUP(A76,Metrik!$C$2:$Y$959,8,0)</f>
        <v>9.7</v>
      </c>
      <c r="I76" s="20">
        <f>VLOOKUP(A76,Metrik!$C$2:$Y$959,9,0)</f>
        <v>1.5</v>
      </c>
      <c r="J76" s="20">
        <f>VLOOKUP(A76,Metrik!$C$2:$Y$959,10,0)</f>
        <v>15.8</v>
      </c>
      <c r="K76" s="20">
        <f>VLOOKUP(A76,Metrik!$C$2:$Y$959,11,0)</f>
        <v>6.9</v>
      </c>
      <c r="L76" s="20">
        <f>VLOOKUP(A76,Metrik!$C$2:$Y$959,12,0)</f>
        <v>1.3</v>
      </c>
      <c r="M76" s="20">
        <f>VLOOKUP(A76,Metrik!$C$2:$Y$959,19,0)</f>
        <v>19.8</v>
      </c>
      <c r="N76" s="21"/>
      <c r="O76" s="21"/>
      <c r="P76" s="21"/>
      <c r="Q76" s="21"/>
      <c r="R76" s="21"/>
      <c r="S76" s="21"/>
      <c r="T76" s="21"/>
      <c r="U76" s="22">
        <f>IFERROR(__xludf.DUMMYFUNCTION("IFERROR(GOOGLEFINANCE(A76,""closeyest""),"""")"),1265.0)</f>
        <v>1265</v>
      </c>
      <c r="V76" s="23">
        <f>IFERROR(__xludf.DUMMYFUNCTION("IFERROR(GOOGLEFINANCE(A76,""changepct""),"""")"),-1.19)</f>
        <v>-1.19</v>
      </c>
      <c r="W76" s="22">
        <f>IFERROR(__xludf.DUMMYFUNCTION("IFERROR(GOOGLEFINANCE(A76,""priceopen""),"""")"),1280.0)</f>
        <v>1280</v>
      </c>
      <c r="X76" s="22">
        <f>IFERROR(__xludf.DUMMYFUNCTION("IFERROR(GOOGLEFINANCE(A76,""high""),"""")"),1315.0)</f>
        <v>1315</v>
      </c>
      <c r="Y76" s="22">
        <f>IFERROR(__xludf.DUMMYFUNCTION("IFERROR(GOOGLEFINANCE(A76,""low""),"""")"),1250.0)</f>
        <v>1250</v>
      </c>
      <c r="Z76" s="22">
        <f>IFERROR(__xludf.DUMMYFUNCTION("IFERROR(GOOGLEFINANCE(A76,""volume""),"""")"),2.12091E7)</f>
        <v>21209100</v>
      </c>
      <c r="AA76" s="24" t="str">
        <f>VLOOKUP(A76,Metrik!$C$2:$Y$959,5,0)</f>
        <v>Oil &amp; Gas</v>
      </c>
      <c r="AB76" s="24" t="str">
        <f>VLOOKUP(A76,Metrik!$C$2:$Y$959,3,0)</f>
        <v>Energy</v>
      </c>
    </row>
    <row r="77">
      <c r="A77" s="14" t="s">
        <v>83</v>
      </c>
      <c r="B77" s="14" t="str">
        <f t="array" ref="B77">VLOOKUP(A77,{Metrik!$C$2:$C$998,Metrik!$B$2:$B$998},2,0)</f>
        <v>AKR Corporindo Tbk.</v>
      </c>
      <c r="C77" s="15">
        <f>IFERROR(__xludf.DUMMYFUNCTION("GOOGLEFINANCE(""IDX:""&amp;A77,""price"")"),1250.0)</f>
        <v>1250</v>
      </c>
      <c r="D77" s="16" t="str">
        <f>IFERROR(__xludf.DUMMYFUNCTION("IF(A77="""","""",
SPARKLINE(
INDEX(
GOOGLEFINANCE(""IDX:""&amp;A77,""close"",TODAY()-365,TODAY()),
,2
),
{""linewidth"",1}
))
"),"#N/A")</f>
        <v>#N/A</v>
      </c>
      <c r="E77" s="14" t="s">
        <v>68</v>
      </c>
      <c r="F77" s="14" t="s">
        <v>34</v>
      </c>
      <c r="G77" s="18">
        <f t="shared" si="1"/>
        <v>16</v>
      </c>
      <c r="H77" s="19">
        <f>VLOOKUP(A77,Metrik!$C$2:$Y$959,8,0)</f>
        <v>9.7</v>
      </c>
      <c r="I77" s="20">
        <f>VLOOKUP(A77,Metrik!$C$2:$Y$959,9,0)</f>
        <v>1.5</v>
      </c>
      <c r="J77" s="20">
        <f>VLOOKUP(A77,Metrik!$C$2:$Y$959,10,0)</f>
        <v>15.8</v>
      </c>
      <c r="K77" s="20">
        <f>VLOOKUP(A77,Metrik!$C$2:$Y$959,11,0)</f>
        <v>6.9</v>
      </c>
      <c r="L77" s="20">
        <f>VLOOKUP(A77,Metrik!$C$2:$Y$959,12,0)</f>
        <v>1.3</v>
      </c>
      <c r="M77" s="20">
        <f>VLOOKUP(A77,Metrik!$C$2:$Y$959,19,0)</f>
        <v>19.8</v>
      </c>
      <c r="N77" s="21"/>
      <c r="O77" s="21"/>
      <c r="P77" s="21"/>
      <c r="Q77" s="21"/>
      <c r="R77" s="21"/>
      <c r="S77" s="21"/>
      <c r="T77" s="21"/>
      <c r="U77" s="22">
        <f>IFERROR(__xludf.DUMMYFUNCTION("IFERROR(GOOGLEFINANCE(A77,""closeyest""),"""")"),1265.0)</f>
        <v>1265</v>
      </c>
      <c r="V77" s="23">
        <f>IFERROR(__xludf.DUMMYFUNCTION("IFERROR(GOOGLEFINANCE(A77,""changepct""),"""")"),-1.19)</f>
        <v>-1.19</v>
      </c>
      <c r="W77" s="22">
        <f>IFERROR(__xludf.DUMMYFUNCTION("IFERROR(GOOGLEFINANCE(A77,""priceopen""),"""")"),1280.0)</f>
        <v>1280</v>
      </c>
      <c r="X77" s="22">
        <f>IFERROR(__xludf.DUMMYFUNCTION("IFERROR(GOOGLEFINANCE(A77,""high""),"""")"),1315.0)</f>
        <v>1315</v>
      </c>
      <c r="Y77" s="22">
        <f>IFERROR(__xludf.DUMMYFUNCTION("IFERROR(GOOGLEFINANCE(A77,""low""),"""")"),1250.0)</f>
        <v>1250</v>
      </c>
      <c r="Z77" s="22">
        <f>IFERROR(__xludf.DUMMYFUNCTION("IFERROR(GOOGLEFINANCE(A77,""volume""),"""")"),2.12091E7)</f>
        <v>21209100</v>
      </c>
      <c r="AA77" s="24" t="str">
        <f>VLOOKUP(A77,Metrik!$C$2:$Y$959,5,0)</f>
        <v>Oil &amp; Gas</v>
      </c>
      <c r="AB77" s="24" t="str">
        <f>VLOOKUP(A77,Metrik!$C$2:$Y$959,3,0)</f>
        <v>Energy</v>
      </c>
    </row>
    <row r="78">
      <c r="A78" s="17" t="s">
        <v>83</v>
      </c>
      <c r="B78" s="14" t="str">
        <f t="array" ref="B78">VLOOKUP(A78,{Metrik!$C$2:$C$998,Metrik!$B$2:$B$998},2,0)</f>
        <v>AKR Corporindo Tbk.</v>
      </c>
      <c r="C78" s="15">
        <f>IFERROR(__xludf.DUMMYFUNCTION("GOOGLEFINANCE(""IDX:""&amp;A78,""price"")"),1250.0)</f>
        <v>1250</v>
      </c>
      <c r="D78" s="16" t="str">
        <f>IFERROR(__xludf.DUMMYFUNCTION("IF(A78="""","""",
SPARKLINE(
INDEX(
GOOGLEFINANCE(""IDX:""&amp;A78,""close"",TODAY()-365,TODAY()),
,2
),
{""linewidth"",1}
))
"),"#N/A")</f>
        <v>#N/A</v>
      </c>
      <c r="E78" s="14" t="s">
        <v>67</v>
      </c>
      <c r="F78" s="17" t="s">
        <v>51</v>
      </c>
      <c r="G78" s="24">
        <f t="shared" si="1"/>
        <v>16</v>
      </c>
      <c r="H78" s="19">
        <f>VLOOKUP(A78,Metrik!$C$2:$Y$959,8,0)</f>
        <v>9.7</v>
      </c>
      <c r="I78" s="20">
        <f>VLOOKUP(A78,Metrik!$C$2:$Y$959,9,0)</f>
        <v>1.5</v>
      </c>
      <c r="J78" s="20">
        <f>VLOOKUP(A78,Metrik!$C$2:$Y$959,10,0)</f>
        <v>15.8</v>
      </c>
      <c r="K78" s="20">
        <f>VLOOKUP(A78,Metrik!$C$2:$Y$959,11,0)</f>
        <v>6.9</v>
      </c>
      <c r="L78" s="20">
        <f>VLOOKUP(A78,Metrik!$C$2:$Y$959,12,0)</f>
        <v>1.3</v>
      </c>
      <c r="M78" s="20">
        <f>VLOOKUP(A78,Metrik!$C$2:$Y$959,19,0)</f>
        <v>19.8</v>
      </c>
      <c r="N78" s="21"/>
      <c r="O78" s="21"/>
      <c r="P78" s="21"/>
      <c r="Q78" s="21"/>
      <c r="R78" s="21"/>
      <c r="S78" s="21"/>
      <c r="T78" s="21"/>
      <c r="U78" s="22">
        <f>IFERROR(__xludf.DUMMYFUNCTION("IFERROR(GOOGLEFINANCE(A78,""closeyest""),"""")"),1265.0)</f>
        <v>1265</v>
      </c>
      <c r="V78" s="23">
        <f>IFERROR(__xludf.DUMMYFUNCTION("IFERROR(GOOGLEFINANCE(A78,""changepct""),"""")"),-1.19)</f>
        <v>-1.19</v>
      </c>
      <c r="W78" s="22">
        <f>IFERROR(__xludf.DUMMYFUNCTION("IFERROR(GOOGLEFINANCE(A78,""priceopen""),"""")"),1280.0)</f>
        <v>1280</v>
      </c>
      <c r="X78" s="22">
        <f>IFERROR(__xludf.DUMMYFUNCTION("IFERROR(GOOGLEFINANCE(A78,""high""),"""")"),1315.0)</f>
        <v>1315</v>
      </c>
      <c r="Y78" s="22">
        <f>IFERROR(__xludf.DUMMYFUNCTION("IFERROR(GOOGLEFINANCE(A78,""low""),"""")"),1250.0)</f>
        <v>1250</v>
      </c>
      <c r="Z78" s="22">
        <f>IFERROR(__xludf.DUMMYFUNCTION("IFERROR(GOOGLEFINANCE(A78,""volume""),"""")"),2.12091E7)</f>
        <v>21209100</v>
      </c>
      <c r="AA78" s="24" t="str">
        <f>VLOOKUP(A78,Metrik!$C$2:$Y$959,5,0)</f>
        <v>Oil &amp; Gas</v>
      </c>
      <c r="AB78" s="24" t="str">
        <f>VLOOKUP(A78,Metrik!$C$2:$Y$959,3,0)</f>
        <v>Energy</v>
      </c>
    </row>
    <row r="79">
      <c r="A79" s="17" t="s">
        <v>83</v>
      </c>
      <c r="B79" s="14" t="str">
        <f t="array" ref="B79">VLOOKUP(A79,{Metrik!$C$2:$C$998,Metrik!$B$2:$B$998},2,0)</f>
        <v>AKR Corporindo Tbk.</v>
      </c>
      <c r="C79" s="15">
        <f>IFERROR(__xludf.DUMMYFUNCTION("GOOGLEFINANCE(""IDX:""&amp;A79,""price"")"),1250.0)</f>
        <v>1250</v>
      </c>
      <c r="D79" s="16" t="str">
        <f>IFERROR(__xludf.DUMMYFUNCTION("IF(A79="""","""",
SPARKLINE(
INDEX(
GOOGLEFINANCE(""IDX:""&amp;A79,""close"",TODAY()-365,TODAY()),
,2
),
{""linewidth"",1}
))
"),"#N/A")</f>
        <v>#N/A</v>
      </c>
      <c r="E79" s="14" t="s">
        <v>35</v>
      </c>
      <c r="F79" s="17" t="s">
        <v>36</v>
      </c>
      <c r="G79" s="24">
        <f t="shared" si="1"/>
        <v>16</v>
      </c>
      <c r="H79" s="19">
        <f>VLOOKUP(A79,Metrik!$C$2:$Y$959,8,0)</f>
        <v>9.7</v>
      </c>
      <c r="I79" s="20">
        <f>VLOOKUP(A79,Metrik!$C$2:$Y$959,9,0)</f>
        <v>1.5</v>
      </c>
      <c r="J79" s="20">
        <f>VLOOKUP(A79,Metrik!$C$2:$Y$959,10,0)</f>
        <v>15.8</v>
      </c>
      <c r="K79" s="20">
        <f>VLOOKUP(A79,Metrik!$C$2:$Y$959,11,0)</f>
        <v>6.9</v>
      </c>
      <c r="L79" s="20">
        <f>VLOOKUP(A79,Metrik!$C$2:$Y$959,12,0)</f>
        <v>1.3</v>
      </c>
      <c r="M79" s="20">
        <f>VLOOKUP(A79,Metrik!$C$2:$Y$959,19,0)</f>
        <v>19.8</v>
      </c>
      <c r="N79" s="21"/>
      <c r="O79" s="21"/>
      <c r="P79" s="21"/>
      <c r="Q79" s="21"/>
      <c r="R79" s="21"/>
      <c r="S79" s="21"/>
      <c r="T79" s="21"/>
      <c r="U79" s="22">
        <f>IFERROR(__xludf.DUMMYFUNCTION("IFERROR(GOOGLEFINANCE(A79,""closeyest""),"""")"),1265.0)</f>
        <v>1265</v>
      </c>
      <c r="V79" s="23">
        <f>IFERROR(__xludf.DUMMYFUNCTION("IFERROR(GOOGLEFINANCE(A79,""changepct""),"""")"),-1.19)</f>
        <v>-1.19</v>
      </c>
      <c r="W79" s="22">
        <f>IFERROR(__xludf.DUMMYFUNCTION("IFERROR(GOOGLEFINANCE(A79,""priceopen""),"""")"),1280.0)</f>
        <v>1280</v>
      </c>
      <c r="X79" s="22">
        <f>IFERROR(__xludf.DUMMYFUNCTION("IFERROR(GOOGLEFINANCE(A79,""high""),"""")"),1315.0)</f>
        <v>1315</v>
      </c>
      <c r="Y79" s="22">
        <f>IFERROR(__xludf.DUMMYFUNCTION("IFERROR(GOOGLEFINANCE(A79,""low""),"""")"),1250.0)</f>
        <v>1250</v>
      </c>
      <c r="Z79" s="22">
        <f>IFERROR(__xludf.DUMMYFUNCTION("IFERROR(GOOGLEFINANCE(A79,""volume""),"""")"),2.12091E7)</f>
        <v>21209100</v>
      </c>
      <c r="AA79" s="24" t="str">
        <f>VLOOKUP(A79,Metrik!$C$2:$Y$959,5,0)</f>
        <v>Oil &amp; Gas</v>
      </c>
      <c r="AB79" s="24" t="str">
        <f>VLOOKUP(A79,Metrik!$C$2:$Y$959,3,0)</f>
        <v>Energy</v>
      </c>
    </row>
    <row r="80">
      <c r="A80" s="14" t="s">
        <v>83</v>
      </c>
      <c r="B80" s="14" t="str">
        <f t="array" ref="B80">VLOOKUP(A80,{Metrik!$C$2:$C$998,Metrik!$B$2:$B$998},2,0)</f>
        <v>AKR Corporindo Tbk.</v>
      </c>
      <c r="C80" s="15">
        <f>IFERROR(__xludf.DUMMYFUNCTION("GOOGLEFINANCE(""IDX:""&amp;A80,""price"")"),1250.0)</f>
        <v>1250</v>
      </c>
      <c r="D80" s="16" t="str">
        <f>IFERROR(__xludf.DUMMYFUNCTION("IF(A80="""","""",
SPARKLINE(
INDEX(
GOOGLEFINANCE(""IDX:""&amp;A80,""close"",TODAY()-365,TODAY()),
,2
),
{""linewidth"",1}
))
"),"#N/A")</f>
        <v>#N/A</v>
      </c>
      <c r="E80" s="14" t="s">
        <v>55</v>
      </c>
      <c r="F80" s="25">
        <v>46356.0</v>
      </c>
      <c r="G80" s="18">
        <f t="shared" si="1"/>
        <v>16</v>
      </c>
      <c r="H80" s="19">
        <f>VLOOKUP(A80,Metrik!$C$2:$Y$959,8,0)</f>
        <v>9.7</v>
      </c>
      <c r="I80" s="20">
        <f>VLOOKUP(A80,Metrik!$C$2:$Y$959,9,0)</f>
        <v>1.5</v>
      </c>
      <c r="J80" s="20">
        <f>VLOOKUP(A80,Metrik!$C$2:$Y$959,10,0)</f>
        <v>15.8</v>
      </c>
      <c r="K80" s="20">
        <f>VLOOKUP(A80,Metrik!$C$2:$Y$959,11,0)</f>
        <v>6.9</v>
      </c>
      <c r="L80" s="20">
        <f>VLOOKUP(A80,Metrik!$C$2:$Y$959,12,0)</f>
        <v>1.3</v>
      </c>
      <c r="M80" s="20">
        <f>VLOOKUP(A80,Metrik!$C$2:$Y$959,19,0)</f>
        <v>19.8</v>
      </c>
      <c r="N80" s="21"/>
      <c r="O80" s="21"/>
      <c r="P80" s="21"/>
      <c r="Q80" s="21"/>
      <c r="R80" s="21"/>
      <c r="S80" s="21"/>
      <c r="T80" s="21"/>
      <c r="U80" s="22">
        <f>IFERROR(__xludf.DUMMYFUNCTION("IFERROR(GOOGLEFINANCE(A80,""closeyest""),"""")"),1265.0)</f>
        <v>1265</v>
      </c>
      <c r="V80" s="23">
        <f>IFERROR(__xludf.DUMMYFUNCTION("IFERROR(GOOGLEFINANCE(A80,""changepct""),"""")"),-1.19)</f>
        <v>-1.19</v>
      </c>
      <c r="W80" s="22">
        <f>IFERROR(__xludf.DUMMYFUNCTION("IFERROR(GOOGLEFINANCE(A80,""priceopen""),"""")"),1280.0)</f>
        <v>1280</v>
      </c>
      <c r="X80" s="22">
        <f>IFERROR(__xludf.DUMMYFUNCTION("IFERROR(GOOGLEFINANCE(A80,""high""),"""")"),1315.0)</f>
        <v>1315</v>
      </c>
      <c r="Y80" s="22">
        <f>IFERROR(__xludf.DUMMYFUNCTION("IFERROR(GOOGLEFINANCE(A80,""low""),"""")"),1250.0)</f>
        <v>1250</v>
      </c>
      <c r="Z80" s="22">
        <f>IFERROR(__xludf.DUMMYFUNCTION("IFERROR(GOOGLEFINANCE(A80,""volume""),"""")"),2.12091E7)</f>
        <v>21209100</v>
      </c>
      <c r="AA80" s="24" t="str">
        <f>VLOOKUP(A80,Metrik!$C$2:$Y$959,5,0)</f>
        <v>Oil &amp; Gas</v>
      </c>
      <c r="AB80" s="24" t="str">
        <f>VLOOKUP(A80,Metrik!$C$2:$Y$959,3,0)</f>
        <v>Energy</v>
      </c>
    </row>
    <row r="81">
      <c r="A81" s="17" t="s">
        <v>83</v>
      </c>
      <c r="B81" s="14" t="str">
        <f t="array" ref="B81">VLOOKUP(A81,{Metrik!$C$2:$C$998,Metrik!$B$2:$B$998},2,0)</f>
        <v>AKR Corporindo Tbk.</v>
      </c>
      <c r="C81" s="15">
        <f>IFERROR(__xludf.DUMMYFUNCTION("GOOGLEFINANCE(""IDX:""&amp;A81,""price"")"),1250.0)</f>
        <v>1250</v>
      </c>
      <c r="D81" s="16" t="str">
        <f>IFERROR(__xludf.DUMMYFUNCTION("IF(A81="""","""",
SPARKLINE(
INDEX(
GOOGLEFINANCE(""IDX:""&amp;A81,""close"",TODAY()-365,TODAY()),
,2
),
{""linewidth"",1}
))
"),"#N/A")</f>
        <v>#N/A</v>
      </c>
      <c r="E81" s="14" t="s">
        <v>86</v>
      </c>
      <c r="F81" s="25">
        <v>46356.0</v>
      </c>
      <c r="G81" s="33">
        <f t="shared" si="1"/>
        <v>16</v>
      </c>
      <c r="H81" s="34">
        <f>VLOOKUP(A81,Metrik!$C$2:$Y$959,8,0)</f>
        <v>9.7</v>
      </c>
      <c r="I81" s="34">
        <f>VLOOKUP(A81,Metrik!$C$2:$Y$959,9,0)</f>
        <v>1.5</v>
      </c>
      <c r="J81" s="34">
        <f>VLOOKUP(A81,Metrik!$C$2:$Y$959,10,0)</f>
        <v>15.8</v>
      </c>
      <c r="K81" s="34">
        <f>VLOOKUP(A81,Metrik!$C$2:$Y$959,11,0)</f>
        <v>6.9</v>
      </c>
      <c r="L81" s="34">
        <f>VLOOKUP(A81,Metrik!$C$2:$Y$959,12,0)</f>
        <v>1.3</v>
      </c>
      <c r="M81" s="34">
        <f>VLOOKUP(A81,Metrik!$C$2:$Y$959,19,0)</f>
        <v>19.8</v>
      </c>
      <c r="N81" s="26"/>
      <c r="O81" s="26"/>
      <c r="P81" s="26"/>
      <c r="Q81" s="26"/>
      <c r="R81" s="26"/>
      <c r="S81" s="26"/>
      <c r="T81" s="26"/>
      <c r="U81" s="35">
        <f>IFERROR(__xludf.DUMMYFUNCTION("IFERROR(GOOGLEFINANCE(A81,""closeyest""),"""")"),1265.0)</f>
        <v>1265</v>
      </c>
      <c r="V81" s="36">
        <f>IFERROR(__xludf.DUMMYFUNCTION("IFERROR(GOOGLEFINANCE(A81,""changepct""),"""")"),-1.19)</f>
        <v>-1.19</v>
      </c>
      <c r="W81" s="35">
        <f>IFERROR(__xludf.DUMMYFUNCTION("IFERROR(GOOGLEFINANCE(A81,""priceopen""),"""")"),1280.0)</f>
        <v>1280</v>
      </c>
      <c r="X81" s="35">
        <f>IFERROR(__xludf.DUMMYFUNCTION("IFERROR(GOOGLEFINANCE(A81,""high""),"""")"),1315.0)</f>
        <v>1315</v>
      </c>
      <c r="Y81" s="35">
        <f>IFERROR(__xludf.DUMMYFUNCTION("IFERROR(GOOGLEFINANCE(A81,""low""),"""")"),1250.0)</f>
        <v>1250</v>
      </c>
      <c r="Z81" s="35">
        <f>IFERROR(__xludf.DUMMYFUNCTION("IFERROR(GOOGLEFINANCE(A81,""volume""),"""")"),2.12091E7)</f>
        <v>21209100</v>
      </c>
      <c r="AA81" s="14" t="str">
        <f>VLOOKUP(A81,Metrik!$C$2:$Y$959,5,0)</f>
        <v>Oil &amp; Gas</v>
      </c>
      <c r="AB81" s="14" t="str">
        <f>VLOOKUP(A81,Metrik!$C$2:$Y$959,3,0)</f>
        <v>Energy</v>
      </c>
    </row>
    <row r="82">
      <c r="A82" s="14" t="s">
        <v>83</v>
      </c>
      <c r="B82" s="14" t="str">
        <f t="array" ref="B82">VLOOKUP(A82,{Metrik!$C$2:$C$998,Metrik!$B$2:$B$998},2,0)</f>
        <v>AKR Corporindo Tbk.</v>
      </c>
      <c r="C82" s="15">
        <f>IFERROR(__xludf.DUMMYFUNCTION("GOOGLEFINANCE(""IDX:""&amp;A82,""price"")"),1250.0)</f>
        <v>1250</v>
      </c>
      <c r="D82" s="16" t="str">
        <f>IFERROR(__xludf.DUMMYFUNCTION("IF(A82="""","""",
SPARKLINE(
INDEX(
GOOGLEFINANCE(""IDX:""&amp;A82,""close"",TODAY()-365,TODAY()),
,2
),
{""linewidth"",1}
))
"),"#N/A")</f>
        <v>#N/A</v>
      </c>
      <c r="E82" s="14" t="s">
        <v>42</v>
      </c>
      <c r="F82" s="25">
        <v>46356.0</v>
      </c>
      <c r="G82" s="18">
        <f t="shared" si="1"/>
        <v>16</v>
      </c>
      <c r="H82" s="19">
        <f>VLOOKUP(A82,Metrik!$C$2:$Y$959,8,0)</f>
        <v>9.7</v>
      </c>
      <c r="I82" s="20">
        <f>VLOOKUP(A82,Metrik!$C$2:$Y$959,9,0)</f>
        <v>1.5</v>
      </c>
      <c r="J82" s="20">
        <f>VLOOKUP(A82,Metrik!$C$2:$Y$959,10,0)</f>
        <v>15.8</v>
      </c>
      <c r="K82" s="20">
        <f>VLOOKUP(A82,Metrik!$C$2:$Y$959,11,0)</f>
        <v>6.9</v>
      </c>
      <c r="L82" s="20">
        <f>VLOOKUP(A82,Metrik!$C$2:$Y$959,12,0)</f>
        <v>1.3</v>
      </c>
      <c r="M82" s="20">
        <f>VLOOKUP(A82,Metrik!$C$2:$Y$959,19,0)</f>
        <v>19.8</v>
      </c>
      <c r="N82" s="21"/>
      <c r="O82" s="21"/>
      <c r="P82" s="21"/>
      <c r="Q82" s="21"/>
      <c r="R82" s="21"/>
      <c r="S82" s="21"/>
      <c r="T82" s="21"/>
      <c r="U82" s="22">
        <f>IFERROR(__xludf.DUMMYFUNCTION("IFERROR(GOOGLEFINANCE(A82,""closeyest""),"""")"),1265.0)</f>
        <v>1265</v>
      </c>
      <c r="V82" s="23">
        <f>IFERROR(__xludf.DUMMYFUNCTION("IFERROR(GOOGLEFINANCE(A82,""changepct""),"""")"),-1.19)</f>
        <v>-1.19</v>
      </c>
      <c r="W82" s="22">
        <f>IFERROR(__xludf.DUMMYFUNCTION("IFERROR(GOOGLEFINANCE(A82,""priceopen""),"""")"),1280.0)</f>
        <v>1280</v>
      </c>
      <c r="X82" s="22">
        <f>IFERROR(__xludf.DUMMYFUNCTION("IFERROR(GOOGLEFINANCE(A82,""high""),"""")"),1315.0)</f>
        <v>1315</v>
      </c>
      <c r="Y82" s="22">
        <f>IFERROR(__xludf.DUMMYFUNCTION("IFERROR(GOOGLEFINANCE(A82,""low""),"""")"),1250.0)</f>
        <v>1250</v>
      </c>
      <c r="Z82" s="22">
        <f>IFERROR(__xludf.DUMMYFUNCTION("IFERROR(GOOGLEFINANCE(A82,""volume""),"""")"),2.12091E7)</f>
        <v>21209100</v>
      </c>
      <c r="AA82" s="24" t="str">
        <f>VLOOKUP(A82,Metrik!$C$2:$Y$959,5,0)</f>
        <v>Oil &amp; Gas</v>
      </c>
      <c r="AB82" s="24" t="str">
        <f>VLOOKUP(A82,Metrik!$C$2:$Y$959,3,0)</f>
        <v>Energy</v>
      </c>
    </row>
    <row r="83">
      <c r="A83" s="14" t="s">
        <v>83</v>
      </c>
      <c r="B83" s="14" t="str">
        <f t="array" ref="B83">VLOOKUP(A83,{Metrik!$C$2:$C$998,Metrik!$B$2:$B$998},2,0)</f>
        <v>AKR Corporindo Tbk.</v>
      </c>
      <c r="C83" s="15">
        <f>IFERROR(__xludf.DUMMYFUNCTION("GOOGLEFINANCE(""IDX:""&amp;A83,""price"")"),1250.0)</f>
        <v>1250</v>
      </c>
      <c r="D83" s="16" t="str">
        <f>IFERROR(__xludf.DUMMYFUNCTION("IF(A83="""","""",
SPARKLINE(
INDEX(
GOOGLEFINANCE(""IDX:""&amp;A83,""close"",TODAY()-365,TODAY()),
,2
),
{""linewidth"",1}
))
"),"#N/A")</f>
        <v>#N/A</v>
      </c>
      <c r="E83" s="14" t="s">
        <v>39</v>
      </c>
      <c r="F83" s="25">
        <v>46356.0</v>
      </c>
      <c r="G83" s="18">
        <f t="shared" si="1"/>
        <v>16</v>
      </c>
      <c r="H83" s="19">
        <f>VLOOKUP(A83,Metrik!$C$2:$Y$959,8,0)</f>
        <v>9.7</v>
      </c>
      <c r="I83" s="20">
        <f>VLOOKUP(A83,Metrik!$C$2:$Y$959,9,0)</f>
        <v>1.5</v>
      </c>
      <c r="J83" s="20">
        <f>VLOOKUP(A83,Metrik!$C$2:$Y$959,10,0)</f>
        <v>15.8</v>
      </c>
      <c r="K83" s="20">
        <f>VLOOKUP(A83,Metrik!$C$2:$Y$959,11,0)</f>
        <v>6.9</v>
      </c>
      <c r="L83" s="20">
        <f>VLOOKUP(A83,Metrik!$C$2:$Y$959,12,0)</f>
        <v>1.3</v>
      </c>
      <c r="M83" s="20">
        <f>VLOOKUP(A83,Metrik!$C$2:$Y$959,19,0)</f>
        <v>19.8</v>
      </c>
      <c r="N83" s="21"/>
      <c r="O83" s="21"/>
      <c r="P83" s="21"/>
      <c r="Q83" s="21"/>
      <c r="R83" s="21"/>
      <c r="S83" s="21"/>
      <c r="T83" s="21"/>
      <c r="U83" s="22">
        <f>IFERROR(__xludf.DUMMYFUNCTION("IFERROR(GOOGLEFINANCE(A83,""closeyest""),"""")"),1265.0)</f>
        <v>1265</v>
      </c>
      <c r="V83" s="23">
        <f>IFERROR(__xludf.DUMMYFUNCTION("IFERROR(GOOGLEFINANCE(A83,""changepct""),"""")"),-1.19)</f>
        <v>-1.19</v>
      </c>
      <c r="W83" s="22">
        <f>IFERROR(__xludf.DUMMYFUNCTION("IFERROR(GOOGLEFINANCE(A83,""priceopen""),"""")"),1280.0)</f>
        <v>1280</v>
      </c>
      <c r="X83" s="22">
        <f>IFERROR(__xludf.DUMMYFUNCTION("IFERROR(GOOGLEFINANCE(A83,""high""),"""")"),1315.0)</f>
        <v>1315</v>
      </c>
      <c r="Y83" s="22">
        <f>IFERROR(__xludf.DUMMYFUNCTION("IFERROR(GOOGLEFINANCE(A83,""low""),"""")"),1250.0)</f>
        <v>1250</v>
      </c>
      <c r="Z83" s="22">
        <f>IFERROR(__xludf.DUMMYFUNCTION("IFERROR(GOOGLEFINANCE(A83,""volume""),"""")"),2.12091E7)</f>
        <v>21209100</v>
      </c>
      <c r="AA83" s="24" t="str">
        <f>VLOOKUP(A83,Metrik!$C$2:$Y$959,5,0)</f>
        <v>Oil &amp; Gas</v>
      </c>
      <c r="AB83" s="24" t="str">
        <f>VLOOKUP(A83,Metrik!$C$2:$Y$959,3,0)</f>
        <v>Energy</v>
      </c>
    </row>
    <row r="84">
      <c r="A84" s="14" t="s">
        <v>87</v>
      </c>
      <c r="B84" s="14" t="str">
        <f t="array" ref="B84">VLOOKUP(A84,{Metrik!$C$2:$C$998,Metrik!$B$2:$B$998},2,0)</f>
        <v>PT Maming Enam Sembilan Mineral Tbk.</v>
      </c>
      <c r="C84" s="15">
        <f>IFERROR(__xludf.DUMMYFUNCTION("GOOGLEFINANCE(""IDX:""&amp;A84,""price"")"),183.0)</f>
        <v>183</v>
      </c>
      <c r="D84" s="16" t="str">
        <f>IFERROR(__xludf.DUMMYFUNCTION("IF(A84="""","""",
SPARKLINE(
INDEX(
GOOGLEFINANCE(""IDX:""&amp;A84,""close"",TODAY()-365,TODAY()),
,2
),
{""linewidth"",1}
))
"),"#N/A")</f>
        <v>#N/A</v>
      </c>
      <c r="E84" s="26"/>
      <c r="F84" s="26"/>
      <c r="G84" s="24">
        <f t="shared" si="1"/>
        <v>0</v>
      </c>
      <c r="H84" s="19">
        <f>VLOOKUP(A84,Metrik!$C$2:$Y$959,8,0)</f>
        <v>-16.7</v>
      </c>
      <c r="I84" s="20">
        <f>VLOOKUP(A84,Metrik!$C$2:$Y$959,9,0)</f>
        <v>1</v>
      </c>
      <c r="J84" s="20">
        <f>VLOOKUP(A84,Metrik!$C$2:$Y$959,10,0)</f>
        <v>-6.2</v>
      </c>
      <c r="K84" s="20">
        <f>VLOOKUP(A84,Metrik!$C$2:$Y$959,11,0)</f>
        <v>-3.2</v>
      </c>
      <c r="L84" s="20">
        <f>VLOOKUP(A84,Metrik!$C$2:$Y$959,12,0)</f>
        <v>0.97</v>
      </c>
      <c r="M84" s="20">
        <f>VLOOKUP(A84,Metrik!$C$2:$Y$959,19,0)</f>
        <v>-12.7</v>
      </c>
      <c r="N84" s="21"/>
      <c r="O84" s="21"/>
      <c r="P84" s="21"/>
      <c r="Q84" s="21"/>
      <c r="R84" s="21"/>
      <c r="S84" s="21"/>
      <c r="T84" s="21"/>
      <c r="U84" s="22">
        <f>IFERROR(__xludf.DUMMYFUNCTION("IFERROR(GOOGLEFINANCE(A84,""closeyest""),"""")"),177.0)</f>
        <v>177</v>
      </c>
      <c r="V84" s="23">
        <f>IFERROR(__xludf.DUMMYFUNCTION("IFERROR(GOOGLEFINANCE(A84,""changepct""),"""")"),3.39)</f>
        <v>3.39</v>
      </c>
      <c r="W84" s="22" t="str">
        <f>IFERROR(__xludf.DUMMYFUNCTION("IFERROR(GOOGLEFINANCE(A84,""priceopen""),"""")"),"")</f>
        <v/>
      </c>
      <c r="X84" s="22">
        <f>IFERROR(__xludf.DUMMYFUNCTION("IFERROR(GOOGLEFINANCE(A84,""high""),"""")"),192.0)</f>
        <v>192</v>
      </c>
      <c r="Y84" s="22">
        <f>IFERROR(__xludf.DUMMYFUNCTION("IFERROR(GOOGLEFINANCE(A84,""low""),"""")"),178.0)</f>
        <v>178</v>
      </c>
      <c r="Z84" s="22">
        <f>IFERROR(__xludf.DUMMYFUNCTION("IFERROR(GOOGLEFINANCE(A84,""volume""),"""")"),667600.0)</f>
        <v>667600</v>
      </c>
      <c r="AA84" s="24" t="str">
        <f>VLOOKUP(A84,Metrik!$C$2:$Y$959,5,0)</f>
        <v>Logistics &amp; Deliveries</v>
      </c>
      <c r="AB84" s="24" t="str">
        <f>VLOOKUP(A84,Metrik!$C$2:$Y$959,3,0)</f>
        <v>Transportation &amp; Logistic</v>
      </c>
    </row>
    <row r="85">
      <c r="A85" s="14" t="s">
        <v>88</v>
      </c>
      <c r="B85" s="14" t="str">
        <f t="array" ref="B85">VLOOKUP(A85,{Metrik!$C$2:$C$998,Metrik!$B$2:$B$998},2,0)</f>
        <v>Alkindo Naratama Tbk.</v>
      </c>
      <c r="C85" s="15">
        <f>IFERROR(__xludf.DUMMYFUNCTION("GOOGLEFINANCE(""IDX:""&amp;A85,""price"")"),705.0)</f>
        <v>705</v>
      </c>
      <c r="D85" s="16" t="str">
        <f>IFERROR(__xludf.DUMMYFUNCTION("IF(A85="""","""",
SPARKLINE(
INDEX(
GOOGLEFINANCE(""IDX:""&amp;A85,""close"",TODAY()-365,TODAY()),
,2
),
{""linewidth"",1}
))
"),"#N/A")</f>
        <v>#N/A</v>
      </c>
      <c r="E85" s="26"/>
      <c r="F85" s="26"/>
      <c r="G85" s="24">
        <f t="shared" si="1"/>
        <v>0</v>
      </c>
      <c r="H85" s="19">
        <f>VLOOKUP(A85,Metrik!$C$2:$Y$959,8,0)</f>
        <v>44.4</v>
      </c>
      <c r="I85" s="20">
        <f>VLOOKUP(A85,Metrik!$C$2:$Y$959,9,0)</f>
        <v>1.7</v>
      </c>
      <c r="J85" s="20">
        <f>VLOOKUP(A85,Metrik!$C$2:$Y$959,10,0)</f>
        <v>3.9</v>
      </c>
      <c r="K85" s="20">
        <f>VLOOKUP(A85,Metrik!$C$2:$Y$959,11,0)</f>
        <v>2</v>
      </c>
      <c r="L85" s="20">
        <f>VLOOKUP(A85,Metrik!$C$2:$Y$959,12,0)</f>
        <v>0.97</v>
      </c>
      <c r="M85" s="20">
        <f>VLOOKUP(A85,Metrik!$C$2:$Y$959,19,0)</f>
        <v>7.8</v>
      </c>
      <c r="N85" s="21"/>
      <c r="O85" s="21"/>
      <c r="P85" s="21"/>
      <c r="Q85" s="21"/>
      <c r="R85" s="21"/>
      <c r="S85" s="21"/>
      <c r="T85" s="21"/>
      <c r="U85" s="22" t="str">
        <f>IFERROR(__xludf.DUMMYFUNCTION("IFERROR(GOOGLEFINANCE(A85,""closeyest""),"""")"),"")</f>
        <v/>
      </c>
      <c r="V85" s="23">
        <f>IFERROR(__xludf.DUMMYFUNCTION("IFERROR(GOOGLEFINANCE(A85,""changepct""),"""")"),-1.4)</f>
        <v>-1.4</v>
      </c>
      <c r="W85" s="22">
        <f>IFERROR(__xludf.DUMMYFUNCTION("IFERROR(GOOGLEFINANCE(A85,""priceopen""),"""")"),685.0)</f>
        <v>685</v>
      </c>
      <c r="X85" s="22">
        <f>IFERROR(__xludf.DUMMYFUNCTION("IFERROR(GOOGLEFINANCE(A85,""high""),"""")"),715.0)</f>
        <v>715</v>
      </c>
      <c r="Y85" s="22">
        <f>IFERROR(__xludf.DUMMYFUNCTION("IFERROR(GOOGLEFINANCE(A85,""low""),"""")"),685.0)</f>
        <v>685</v>
      </c>
      <c r="Z85" s="22">
        <f>IFERROR(__xludf.DUMMYFUNCTION("IFERROR(GOOGLEFINANCE(A85,""volume""),"""")"),38000.0)</f>
        <v>38000</v>
      </c>
      <c r="AA85" s="24" t="str">
        <f>VLOOKUP(A85,Metrik!$C$2:$Y$959,5,0)</f>
        <v>Containers &amp; Packaging</v>
      </c>
      <c r="AB85" s="24" t="str">
        <f>VLOOKUP(A85,Metrik!$C$2:$Y$959,3,0)</f>
        <v>Basic Materials</v>
      </c>
    </row>
    <row r="86">
      <c r="A86" s="14" t="s">
        <v>89</v>
      </c>
      <c r="B86" s="14" t="str">
        <f t="array" ref="B86">VLOOKUP(A86,{Metrik!$C$2:$C$998,Metrik!$B$2:$B$998},2,0)</f>
        <v>Ancara Logistics Indonesia Tbk.</v>
      </c>
      <c r="C86" s="15">
        <f>IFERROR(__xludf.DUMMYFUNCTION("GOOGLEFINANCE(""IDX:""&amp;A86,""price"")"),835.0)</f>
        <v>835</v>
      </c>
      <c r="D86" s="16" t="str">
        <f>IFERROR(__xludf.DUMMYFUNCTION("IF(A86="""","""",
SPARKLINE(
INDEX(
GOOGLEFINANCE(""IDX:""&amp;A86,""close"",TODAY()-365,TODAY()),
,2
),
{""linewidth"",1}
))
"),"#N/A")</f>
        <v>#N/A</v>
      </c>
      <c r="E86" s="26"/>
      <c r="F86" s="26"/>
      <c r="G86" s="24">
        <f t="shared" si="1"/>
        <v>0</v>
      </c>
      <c r="H86" s="19">
        <f>VLOOKUP(A86,Metrik!$C$2:$Y$959,8,0)</f>
        <v>35.1</v>
      </c>
      <c r="I86" s="20">
        <f>VLOOKUP(A86,Metrik!$C$2:$Y$959,9,0)</f>
        <v>5.8</v>
      </c>
      <c r="J86" s="20">
        <f>VLOOKUP(A86,Metrik!$C$2:$Y$959,10,0)</f>
        <v>16.4</v>
      </c>
      <c r="K86" s="20">
        <f>VLOOKUP(A86,Metrik!$C$2:$Y$959,11,0)</f>
        <v>12.8</v>
      </c>
      <c r="L86" s="20">
        <f>VLOOKUP(A86,Metrik!$C$2:$Y$959,12,0)</f>
        <v>0.28</v>
      </c>
      <c r="M86" s="20">
        <f>VLOOKUP(A86,Metrik!$C$2:$Y$959,19,0)</f>
        <v>140</v>
      </c>
      <c r="N86" s="21"/>
      <c r="O86" s="21"/>
      <c r="P86" s="21"/>
      <c r="Q86" s="21"/>
      <c r="R86" s="21"/>
      <c r="S86" s="21"/>
      <c r="T86" s="21"/>
      <c r="U86" s="22">
        <f>IFERROR(__xludf.DUMMYFUNCTION("IFERROR(GOOGLEFINANCE(A86,""closeyest""),"""")"),785.0)</f>
        <v>785</v>
      </c>
      <c r="V86" s="23">
        <f>IFERROR(__xludf.DUMMYFUNCTION("IFERROR(GOOGLEFINANCE(A86,""changepct""),"""")"),6.37)</f>
        <v>6.37</v>
      </c>
      <c r="W86" s="22">
        <f>IFERROR(__xludf.DUMMYFUNCTION("IFERROR(GOOGLEFINANCE(A86,""priceopen""),"""")"),785.0)</f>
        <v>785</v>
      </c>
      <c r="X86" s="22">
        <f>IFERROR(__xludf.DUMMYFUNCTION("IFERROR(GOOGLEFINANCE(A86,""high""),"""")"),850.0)</f>
        <v>850</v>
      </c>
      <c r="Y86" s="22">
        <f>IFERROR(__xludf.DUMMYFUNCTION("IFERROR(GOOGLEFINANCE(A86,""low""),"""")"),785.0)</f>
        <v>785</v>
      </c>
      <c r="Z86" s="22">
        <f>IFERROR(__xludf.DUMMYFUNCTION("IFERROR(GOOGLEFINANCE(A86,""volume""),"""")"),1472800.0)</f>
        <v>1472800</v>
      </c>
      <c r="AA86" s="24" t="str">
        <f>VLOOKUP(A86,Metrik!$C$2:$Y$959,5,0)</f>
        <v>Coal</v>
      </c>
      <c r="AB86" s="24" t="str">
        <f>VLOOKUP(A86,Metrik!$C$2:$Y$959,3,0)</f>
        <v>Energy</v>
      </c>
    </row>
    <row r="87">
      <c r="A87" s="14" t="s">
        <v>90</v>
      </c>
      <c r="B87" s="14" t="str">
        <f t="array" ref="B87">VLOOKUP(A87,{Metrik!$C$2:$C$998,Metrik!$B$2:$B$998},2,0)</f>
        <v>Alakasa Industrindo Tbk</v>
      </c>
      <c r="C87" s="15">
        <f>IFERROR(__xludf.DUMMYFUNCTION("GOOGLEFINANCE(""IDX:""&amp;A87,""price"")"),605.0)</f>
        <v>605</v>
      </c>
      <c r="D87" s="16" t="str">
        <f>IFERROR(__xludf.DUMMYFUNCTION("IF(A87="""","""",
SPARKLINE(
INDEX(
GOOGLEFINANCE(""IDX:""&amp;A87,""close"",TODAY()-365,TODAY()),
,2
),
{""linewidth"",1}
))
"),"#N/A")</f>
        <v>#N/A</v>
      </c>
      <c r="E87" s="26"/>
      <c r="F87" s="26"/>
      <c r="G87" s="24">
        <f t="shared" si="1"/>
        <v>0</v>
      </c>
      <c r="H87" s="19">
        <f>VLOOKUP(A87,Metrik!$C$2:$Y$959,8,0)</f>
        <v>16.7</v>
      </c>
      <c r="I87" s="20">
        <f>VLOOKUP(A87,Metrik!$C$2:$Y$959,9,0)</f>
        <v>1.2</v>
      </c>
      <c r="J87" s="20">
        <f>VLOOKUP(A87,Metrik!$C$2:$Y$959,10,0)</f>
        <v>7.3</v>
      </c>
      <c r="K87" s="20">
        <f>VLOOKUP(A87,Metrik!$C$2:$Y$959,11,0)</f>
        <v>6.4</v>
      </c>
      <c r="L87" s="20">
        <f>VLOOKUP(A87,Metrik!$C$2:$Y$959,12,0)</f>
        <v>0.13</v>
      </c>
      <c r="M87" s="20">
        <f>VLOOKUP(A87,Metrik!$C$2:$Y$959,19,0)</f>
        <v>90.1</v>
      </c>
      <c r="N87" s="21"/>
      <c r="O87" s="21"/>
      <c r="P87" s="21"/>
      <c r="Q87" s="21"/>
      <c r="R87" s="21"/>
      <c r="S87" s="21"/>
      <c r="T87" s="21"/>
      <c r="U87" s="22">
        <f>IFERROR(__xludf.DUMMYFUNCTION("IFERROR(GOOGLEFINANCE(A87,""closeyest""),"""")"),615.0)</f>
        <v>615</v>
      </c>
      <c r="V87" s="23">
        <f>IFERROR(__xludf.DUMMYFUNCTION("IFERROR(GOOGLEFINANCE(A87,""changepct""),"""")"),-1.63)</f>
        <v>-1.63</v>
      </c>
      <c r="W87" s="22">
        <f>IFERROR(__xludf.DUMMYFUNCTION("IFERROR(GOOGLEFINANCE(A87,""priceopen""),"""")"),625.0)</f>
        <v>625</v>
      </c>
      <c r="X87" s="22">
        <f>IFERROR(__xludf.DUMMYFUNCTION("IFERROR(GOOGLEFINANCE(A87,""high""),"""")"),645.0)</f>
        <v>645</v>
      </c>
      <c r="Y87" s="22">
        <f>IFERROR(__xludf.DUMMYFUNCTION("IFERROR(GOOGLEFINANCE(A87,""low""),"""")"),605.0)</f>
        <v>605</v>
      </c>
      <c r="Z87" s="22">
        <f>IFERROR(__xludf.DUMMYFUNCTION("IFERROR(GOOGLEFINANCE(A87,""volume""),"""")"),182200.0)</f>
        <v>182200</v>
      </c>
      <c r="AA87" s="24" t="str">
        <f>VLOOKUP(A87,Metrik!$C$2:$Y$959,5,0)</f>
        <v>Metals &amp; Minerals</v>
      </c>
      <c r="AB87" s="24" t="str">
        <f>VLOOKUP(A87,Metrik!$C$2:$Y$959,3,0)</f>
        <v>Basic Materials</v>
      </c>
    </row>
    <row r="88">
      <c r="A88" s="14" t="s">
        <v>91</v>
      </c>
      <c r="B88" s="14" t="str">
        <f t="array" ref="B88">VLOOKUP(A88,{Metrik!$C$2:$C$998,Metrik!$B$2:$B$998},2,0)</f>
        <v>Alumindo Light Metal Industry Tbk.</v>
      </c>
      <c r="C88" s="15">
        <f>IFERROR(__xludf.DUMMYFUNCTION("GOOGLEFINANCE(""IDX:""&amp;A88,""price"")"),74.0)</f>
        <v>74</v>
      </c>
      <c r="D88" s="16" t="str">
        <f>IFERROR(__xludf.DUMMYFUNCTION("IF(A88="""","""",
SPARKLINE(
INDEX(
GOOGLEFINANCE(""IDX:""&amp;A88,""close"",TODAY()-365,TODAY()),
,2
),
{""linewidth"",1}
))
"),"#N/A")</f>
        <v>#N/A</v>
      </c>
      <c r="E88" s="26"/>
      <c r="F88" s="26"/>
      <c r="G88" s="24">
        <f t="shared" si="1"/>
        <v>0</v>
      </c>
      <c r="H88" s="19">
        <f>VLOOKUP(A88,Metrik!$C$2:$Y$959,8,0)</f>
        <v>-5.3</v>
      </c>
      <c r="I88" s="20">
        <f>VLOOKUP(A88,Metrik!$C$2:$Y$959,9,0)</f>
        <v>3.6</v>
      </c>
      <c r="J88" s="20">
        <f>VLOOKUP(A88,Metrik!$C$2:$Y$959,10,0)</f>
        <v>-67.6</v>
      </c>
      <c r="K88" s="20">
        <f>VLOOKUP(A88,Metrik!$C$2:$Y$959,11,0)</f>
        <v>-11.9</v>
      </c>
      <c r="L88" s="20">
        <f>VLOOKUP(A88,Metrik!$C$2:$Y$959,12,0)</f>
        <v>4.7</v>
      </c>
      <c r="M88" s="20">
        <f>VLOOKUP(A88,Metrik!$C$2:$Y$959,19,0)</f>
        <v>0</v>
      </c>
      <c r="N88" s="21"/>
      <c r="O88" s="21"/>
      <c r="P88" s="21"/>
      <c r="Q88" s="21"/>
      <c r="R88" s="21"/>
      <c r="S88" s="21"/>
      <c r="T88" s="21"/>
      <c r="U88" s="22">
        <f>IFERROR(__xludf.DUMMYFUNCTION("IFERROR(GOOGLEFINANCE(A88,""closeyest""),"""")"),74.0)</f>
        <v>74</v>
      </c>
      <c r="V88" s="23">
        <f>IFERROR(__xludf.DUMMYFUNCTION("IFERROR(GOOGLEFINANCE(A88,""changepct""),"""")"),0.0)</f>
        <v>0</v>
      </c>
      <c r="W88" s="22" t="str">
        <f>IFERROR(__xludf.DUMMYFUNCTION("IFERROR(GOOGLEFINANCE(A88,""priceopen""),"""")"),"")</f>
        <v/>
      </c>
      <c r="X88" s="22" t="str">
        <f>IFERROR(__xludf.DUMMYFUNCTION("IFERROR(GOOGLEFINANCE(A88,""high""),"""")"),"")</f>
        <v/>
      </c>
      <c r="Y88" s="22" t="str">
        <f>IFERROR(__xludf.DUMMYFUNCTION("IFERROR(GOOGLEFINANCE(A88,""low""),"""")"),"")</f>
        <v/>
      </c>
      <c r="Z88" s="22">
        <f>IFERROR(__xludf.DUMMYFUNCTION("IFERROR(GOOGLEFINANCE(A88,""volume""),"""")"),0.0)</f>
        <v>0</v>
      </c>
      <c r="AA88" s="24" t="str">
        <f>VLOOKUP(A88,Metrik!$C$2:$Y$959,5,0)</f>
        <v>Metals &amp; Minerals</v>
      </c>
      <c r="AB88" s="24" t="str">
        <f>VLOOKUP(A88,Metrik!$C$2:$Y$959,3,0)</f>
        <v>Basic Materials</v>
      </c>
    </row>
    <row r="89">
      <c r="A89" s="14" t="s">
        <v>92</v>
      </c>
      <c r="B89" s="14" t="str">
        <f t="array" ref="B89">VLOOKUP(A89,{Metrik!$C$2:$C$998,Metrik!$B$2:$B$998},2,0)</f>
        <v>Tri Banyan Tirta Tbk.</v>
      </c>
      <c r="C89" s="15">
        <f>IFERROR(__xludf.DUMMYFUNCTION("GOOGLEFINANCE(""IDX:""&amp;A89,""price"")"),18.0)</f>
        <v>18</v>
      </c>
      <c r="D89" s="16" t="str">
        <f>IFERROR(__xludf.DUMMYFUNCTION("IF(A89="""","""",
SPARKLINE(
INDEX(
GOOGLEFINANCE(""IDX:""&amp;A89,""close"",TODAY()-365,TODAY()),
,2
),
{""linewidth"",1}
))
"),"#N/A")</f>
        <v>#N/A</v>
      </c>
      <c r="E89" s="26"/>
      <c r="F89" s="26"/>
      <c r="G89" s="24">
        <f t="shared" si="1"/>
        <v>0</v>
      </c>
      <c r="H89" s="19">
        <f>VLOOKUP(A89,Metrik!$C$2:$Y$959,8,0)</f>
        <v>0</v>
      </c>
      <c r="I89" s="20">
        <f>VLOOKUP(A89,Metrik!$C$2:$Y$959,9,0)</f>
        <v>0.13</v>
      </c>
      <c r="J89" s="20">
        <f>VLOOKUP(A89,Metrik!$C$2:$Y$959,10,0)</f>
        <v>-14.3</v>
      </c>
      <c r="K89" s="20">
        <f>VLOOKUP(A89,Metrik!$C$2:$Y$959,11,0)</f>
        <v>-4.6</v>
      </c>
      <c r="L89" s="20">
        <f>VLOOKUP(A89,Metrik!$C$2:$Y$959,12,0)</f>
        <v>2.1</v>
      </c>
      <c r="M89" s="20">
        <f>VLOOKUP(A89,Metrik!$C$2:$Y$959,19,0)</f>
        <v>-71.9</v>
      </c>
      <c r="N89" s="21"/>
      <c r="O89" s="21"/>
      <c r="P89" s="21"/>
      <c r="Q89" s="21"/>
      <c r="R89" s="21"/>
      <c r="S89" s="21"/>
      <c r="T89" s="21"/>
      <c r="U89" s="22">
        <f>IFERROR(__xludf.DUMMYFUNCTION("IFERROR(GOOGLEFINANCE(A89,""closeyest""),"""")"),5.65)</f>
        <v>5.65</v>
      </c>
      <c r="V89" s="23">
        <f>IFERROR(__xludf.DUMMYFUNCTION("IFERROR(GOOGLEFINANCE(A89,""changepct""),"""")"),0.88)</f>
        <v>0.88</v>
      </c>
      <c r="W89" s="22">
        <f>IFERROR(__xludf.DUMMYFUNCTION("IFERROR(GOOGLEFINANCE(A89,""priceopen""),"""")"),5.69)</f>
        <v>5.69</v>
      </c>
      <c r="X89" s="22">
        <f>IFERROR(__xludf.DUMMYFUNCTION("IFERROR(GOOGLEFINANCE(A89,""high""),"""")"),5.85)</f>
        <v>5.85</v>
      </c>
      <c r="Y89" s="22">
        <f>IFERROR(__xludf.DUMMYFUNCTION("IFERROR(GOOGLEFINANCE(A89,""low""),"""")"),5.68)</f>
        <v>5.68</v>
      </c>
      <c r="Z89" s="22">
        <f>IFERROR(__xludf.DUMMYFUNCTION("IFERROR(GOOGLEFINANCE(A89,""volume""),"""")"),1626662.0)</f>
        <v>1626662</v>
      </c>
      <c r="AA89" s="24" t="str">
        <f>VLOOKUP(A89,Metrik!$C$2:$Y$959,5,0)</f>
        <v>Beverages</v>
      </c>
      <c r="AB89" s="24" t="str">
        <f>VLOOKUP(A89,Metrik!$C$2:$Y$959,3,0)</f>
        <v>Consumer Non-Cyclicals</v>
      </c>
    </row>
    <row r="90">
      <c r="A90" s="14" t="s">
        <v>93</v>
      </c>
      <c r="B90" s="14" t="str">
        <f t="array" ref="B90">VLOOKUP(A90,{Metrik!$C$2:$C$998,Metrik!$B$2:$B$998},2,0)</f>
        <v>Asuransi Multi Artha Guna Tbk.</v>
      </c>
      <c r="C90" s="15">
        <f>IFERROR(__xludf.DUMMYFUNCTION("GOOGLEFINANCE(""IDX:""&amp;A90,""price"")"),390.0)</f>
        <v>390</v>
      </c>
      <c r="D90" s="16" t="str">
        <f>IFERROR(__xludf.DUMMYFUNCTION("IF(A90="""","""",
SPARKLINE(
INDEX(
GOOGLEFINANCE(""IDX:""&amp;A90,""close"",TODAY()-365,TODAY()),
,2
),
{""linewidth"",1}
))
"),"#N/A")</f>
        <v>#N/A</v>
      </c>
      <c r="E90" s="26"/>
      <c r="F90" s="26"/>
      <c r="G90" s="24">
        <f t="shared" si="1"/>
        <v>0</v>
      </c>
      <c r="H90" s="19">
        <f>VLOOKUP(A90,Metrik!$C$2:$Y$959,8,0)</f>
        <v>9.6</v>
      </c>
      <c r="I90" s="20">
        <f>VLOOKUP(A90,Metrik!$C$2:$Y$959,9,0)</f>
        <v>0.91</v>
      </c>
      <c r="J90" s="20">
        <f>VLOOKUP(A90,Metrik!$C$2:$Y$959,10,0)</f>
        <v>9.4</v>
      </c>
      <c r="K90" s="20">
        <f>VLOOKUP(A90,Metrik!$C$2:$Y$959,11,0)</f>
        <v>3.6</v>
      </c>
      <c r="L90" s="20">
        <f>VLOOKUP(A90,Metrik!$C$2:$Y$959,12,0)</f>
        <v>1.7</v>
      </c>
      <c r="M90" s="20">
        <f>VLOOKUP(A90,Metrik!$C$2:$Y$959,19,0)</f>
        <v>26.1</v>
      </c>
      <c r="N90" s="21"/>
      <c r="O90" s="21"/>
      <c r="P90" s="21"/>
      <c r="Q90" s="21"/>
      <c r="R90" s="21"/>
      <c r="S90" s="21"/>
      <c r="T90" s="21"/>
      <c r="U90" s="22">
        <f>IFERROR(__xludf.DUMMYFUNCTION("IFERROR(GOOGLEFINANCE(A90,""closeyest""),"""")"),378.0)</f>
        <v>378</v>
      </c>
      <c r="V90" s="23">
        <f>IFERROR(__xludf.DUMMYFUNCTION("IFERROR(GOOGLEFINANCE(A90,""changepct""),"""")"),3.17)</f>
        <v>3.17</v>
      </c>
      <c r="W90" s="22">
        <f>IFERROR(__xludf.DUMMYFUNCTION("IFERROR(GOOGLEFINANCE(A90,""priceopen""),"""")"),390.0)</f>
        <v>390</v>
      </c>
      <c r="X90" s="22">
        <f>IFERROR(__xludf.DUMMYFUNCTION("IFERROR(GOOGLEFINANCE(A90,""high""),"""")"),390.0)</f>
        <v>390</v>
      </c>
      <c r="Y90" s="22">
        <f>IFERROR(__xludf.DUMMYFUNCTION("IFERROR(GOOGLEFINANCE(A90,""low""),"""")"),380.0)</f>
        <v>380</v>
      </c>
      <c r="Z90" s="22">
        <f>IFERROR(__xludf.DUMMYFUNCTION("IFERROR(GOOGLEFINANCE(A90,""volume""),"""")"),12000.0)</f>
        <v>12000</v>
      </c>
      <c r="AA90" s="24" t="str">
        <f>VLOOKUP(A90,Metrik!$C$2:$Y$959,5,0)</f>
        <v>Insurance</v>
      </c>
      <c r="AB90" s="24" t="str">
        <f>VLOOKUP(A90,Metrik!$C$2:$Y$959,3,0)</f>
        <v>Financials</v>
      </c>
    </row>
    <row r="91">
      <c r="A91" s="14" t="s">
        <v>94</v>
      </c>
      <c r="B91" s="14" t="str">
        <f t="array" ref="B91">VLOOKUP(A91,{Metrik!$C$2:$C$998,Metrik!$B$2:$B$998},2,0)</f>
        <v>Makmur Berkah Amanda Tbk.</v>
      </c>
      <c r="C91" s="15">
        <f>IFERROR(__xludf.DUMMYFUNCTION("GOOGLEFINANCE(""IDX:""&amp;A91,""price"")"),250.0)</f>
        <v>250</v>
      </c>
      <c r="D91" s="16" t="str">
        <f>IFERROR(__xludf.DUMMYFUNCTION("IF(A91="""","""",
SPARKLINE(
INDEX(
GOOGLEFINANCE(""IDX:""&amp;A91,""close"",TODAY()-365,TODAY()),
,2
),
{""linewidth"",1}
))
"),"#N/A")</f>
        <v>#N/A</v>
      </c>
      <c r="E91" s="26"/>
      <c r="F91" s="26"/>
      <c r="G91" s="24">
        <f t="shared" si="1"/>
        <v>0</v>
      </c>
      <c r="H91" s="19">
        <f>VLOOKUP(A91,Metrik!$C$2:$Y$959,8,0)</f>
        <v>22.2</v>
      </c>
      <c r="I91" s="20">
        <f>VLOOKUP(A91,Metrik!$C$2:$Y$959,9,0)</f>
        <v>1.2</v>
      </c>
      <c r="J91" s="20">
        <f>VLOOKUP(A91,Metrik!$C$2:$Y$959,10,0)</f>
        <v>5.3</v>
      </c>
      <c r="K91" s="20">
        <f>VLOOKUP(A91,Metrik!$C$2:$Y$959,11,0)</f>
        <v>3</v>
      </c>
      <c r="L91" s="20">
        <f>VLOOKUP(A91,Metrik!$C$2:$Y$959,12,0)</f>
        <v>0.76</v>
      </c>
      <c r="M91" s="20">
        <f>VLOOKUP(A91,Metrik!$C$2:$Y$959,19,0)</f>
        <v>60.7</v>
      </c>
      <c r="N91" s="21"/>
      <c r="O91" s="21"/>
      <c r="P91" s="21"/>
      <c r="Q91" s="21"/>
      <c r="R91" s="21"/>
      <c r="S91" s="21"/>
      <c r="T91" s="21"/>
      <c r="U91" s="22">
        <f>IFERROR(__xludf.DUMMYFUNCTION("IFERROR(GOOGLEFINANCE(A91,""closeyest""),"""")"),10.08)</f>
        <v>10.08</v>
      </c>
      <c r="V91" s="23">
        <f>IFERROR(__xludf.DUMMYFUNCTION("IFERROR(GOOGLEFINANCE(A91,""changepct""),"""")"),0.2)</f>
        <v>0.2</v>
      </c>
      <c r="W91" s="22">
        <f>IFERROR(__xludf.DUMMYFUNCTION("IFERROR(GOOGLEFINANCE(A91,""priceopen""),"""")"),10.08)</f>
        <v>10.08</v>
      </c>
      <c r="X91" s="22">
        <f>IFERROR(__xludf.DUMMYFUNCTION("IFERROR(GOOGLEFINANCE(A91,""high""),"""")"),10.13)</f>
        <v>10.13</v>
      </c>
      <c r="Y91" s="22">
        <f>IFERROR(__xludf.DUMMYFUNCTION("IFERROR(GOOGLEFINANCE(A91,""low""),"""")"),10.07)</f>
        <v>10.07</v>
      </c>
      <c r="Z91" s="22">
        <f>IFERROR(__xludf.DUMMYFUNCTION("IFERROR(GOOGLEFINANCE(A91,""volume""),"""")"),21421.0)</f>
        <v>21421</v>
      </c>
      <c r="AA91" s="24" t="str">
        <f>VLOOKUP(A91,Metrik!$C$2:$Y$959,5,0)</f>
        <v>Real Estate Management &amp; Development</v>
      </c>
      <c r="AB91" s="24" t="str">
        <f>VLOOKUP(A91,Metrik!$C$2:$Y$959,3,0)</f>
        <v>Properties &amp; Real Estate</v>
      </c>
    </row>
    <row r="92">
      <c r="A92" s="14" t="s">
        <v>95</v>
      </c>
      <c r="B92" s="14" t="str">
        <f t="array" ref="B92">VLOOKUP(A92,{Metrik!$C$2:$C$998,Metrik!$B$2:$B$998},2,0)</f>
        <v>Bank Amar Indonesia Tbk.</v>
      </c>
      <c r="C92" s="15">
        <f>IFERROR(__xludf.DUMMYFUNCTION("GOOGLEFINANCE(""IDX:""&amp;A92,""price"")"),198.0)</f>
        <v>198</v>
      </c>
      <c r="D92" s="16" t="str">
        <f>IFERROR(__xludf.DUMMYFUNCTION("IF(A92="""","""",
SPARKLINE(
INDEX(
GOOGLEFINANCE(""IDX:""&amp;A92,""close"",TODAY()-365,TODAY()),
,2
),
{""linewidth"",1}
))
"),"#N/A")</f>
        <v>#N/A</v>
      </c>
      <c r="E92" s="26"/>
      <c r="F92" s="26"/>
      <c r="G92" s="24">
        <f t="shared" si="1"/>
        <v>0</v>
      </c>
      <c r="H92" s="19">
        <f>VLOOKUP(A92,Metrik!$C$2:$Y$959,8,0)</f>
        <v>14.1</v>
      </c>
      <c r="I92" s="20">
        <f>VLOOKUP(A92,Metrik!$C$2:$Y$959,9,0)</f>
        <v>1</v>
      </c>
      <c r="J92" s="20">
        <f>VLOOKUP(A92,Metrik!$C$2:$Y$959,10,0)</f>
        <v>7.3</v>
      </c>
      <c r="K92" s="20">
        <f>VLOOKUP(A92,Metrik!$C$2:$Y$959,11,0)</f>
        <v>3.7</v>
      </c>
      <c r="L92" s="20">
        <f>VLOOKUP(A92,Metrik!$C$2:$Y$959,12,0)</f>
        <v>0.99</v>
      </c>
      <c r="M92" s="20">
        <f>VLOOKUP(A92,Metrik!$C$2:$Y$959,19,0)</f>
        <v>60.8</v>
      </c>
      <c r="N92" s="32">
        <v>24.03</v>
      </c>
      <c r="O92" s="32">
        <v>98.47</v>
      </c>
      <c r="P92" s="32">
        <v>142.67</v>
      </c>
      <c r="Q92" s="32">
        <v>8.11</v>
      </c>
      <c r="R92" s="32">
        <v>85.22</v>
      </c>
      <c r="S92" s="32">
        <v>101.0</v>
      </c>
      <c r="T92" s="32">
        <v>11.28</v>
      </c>
      <c r="U92" s="22">
        <f>IFERROR(__xludf.DUMMYFUNCTION("IFERROR(GOOGLEFINANCE(A92,""closeyest""),"""")"),191.0)</f>
        <v>191</v>
      </c>
      <c r="V92" s="23">
        <f>IFERROR(__xludf.DUMMYFUNCTION("IFERROR(GOOGLEFINANCE(A92,""changepct""),"""")"),3.66)</f>
        <v>3.66</v>
      </c>
      <c r="W92" s="22">
        <f>IFERROR(__xludf.DUMMYFUNCTION("IFERROR(GOOGLEFINANCE(A92,""priceopen""),"""")"),187.0)</f>
        <v>187</v>
      </c>
      <c r="X92" s="22">
        <f>IFERROR(__xludf.DUMMYFUNCTION("IFERROR(GOOGLEFINANCE(A92,""high""),"""")"),198.0)</f>
        <v>198</v>
      </c>
      <c r="Y92" s="22">
        <f>IFERROR(__xludf.DUMMYFUNCTION("IFERROR(GOOGLEFINANCE(A92,""low""),"""")"),187.0)</f>
        <v>187</v>
      </c>
      <c r="Z92" s="22">
        <f>IFERROR(__xludf.DUMMYFUNCTION("IFERROR(GOOGLEFINANCE(A92,""volume""),"""")"),567600.0)</f>
        <v>567600</v>
      </c>
      <c r="AA92" s="24" t="str">
        <f>VLOOKUP(A92,Metrik!$C$2:$Y$959,5,0)</f>
        <v>Banks</v>
      </c>
      <c r="AB92" s="24" t="str">
        <f>VLOOKUP(A92,Metrik!$C$2:$Y$959,3,0)</f>
        <v>Financials</v>
      </c>
    </row>
    <row r="93">
      <c r="A93" s="14" t="s">
        <v>96</v>
      </c>
      <c r="B93" s="14" t="str">
        <f t="array" ref="B93">VLOOKUP(A93,{Metrik!$C$2:$C$998,Metrik!$B$2:$B$998},2,0)</f>
        <v>Asahimas Flat Glass Tbk.</v>
      </c>
      <c r="C93" s="15">
        <f>IFERROR(__xludf.DUMMYFUNCTION("GOOGLEFINANCE(""IDX:""&amp;A93,""price"")"),3190.0)</f>
        <v>3190</v>
      </c>
      <c r="D93" s="16" t="str">
        <f>IFERROR(__xludf.DUMMYFUNCTION("IF(A93="""","""",
SPARKLINE(
INDEX(
GOOGLEFINANCE(""IDX:""&amp;A93,""close"",TODAY()-365,TODAY()),
,2
),
{""linewidth"",1}
))
"),"#N/A")</f>
        <v>#N/A</v>
      </c>
      <c r="E93" s="26"/>
      <c r="F93" s="26"/>
      <c r="G93" s="24">
        <f t="shared" si="1"/>
        <v>0</v>
      </c>
      <c r="H93" s="19">
        <f>VLOOKUP(A93,Metrik!$C$2:$Y$959,8,0)</f>
        <v>53.1</v>
      </c>
      <c r="I93" s="20">
        <f>VLOOKUP(A93,Metrik!$C$2:$Y$959,9,0)</f>
        <v>0.29</v>
      </c>
      <c r="J93" s="20">
        <f>VLOOKUP(A93,Metrik!$C$2:$Y$959,10,0)</f>
        <v>0.55</v>
      </c>
      <c r="K93" s="20">
        <f>VLOOKUP(A93,Metrik!$C$2:$Y$959,11,0)</f>
        <v>0.36</v>
      </c>
      <c r="L93" s="20">
        <f>VLOOKUP(A93,Metrik!$C$2:$Y$959,12,0)</f>
        <v>0.53</v>
      </c>
      <c r="M93" s="20">
        <f>VLOOKUP(A93,Metrik!$C$2:$Y$959,19,0)</f>
        <v>2.1</v>
      </c>
      <c r="N93" s="21"/>
      <c r="O93" s="21"/>
      <c r="P93" s="21"/>
      <c r="Q93" s="21"/>
      <c r="R93" s="21"/>
      <c r="S93" s="21"/>
      <c r="T93" s="21"/>
      <c r="U93" s="22">
        <f>IFERROR(__xludf.DUMMYFUNCTION("IFERROR(GOOGLEFINANCE(A93,""closeyest""),"""")"),2840.0)</f>
        <v>2840</v>
      </c>
      <c r="V93" s="23">
        <f>IFERROR(__xludf.DUMMYFUNCTION("IFERROR(GOOGLEFINANCE(A93,""changepct""),"""")"),12.32)</f>
        <v>12.32</v>
      </c>
      <c r="W93" s="22">
        <f>IFERROR(__xludf.DUMMYFUNCTION("IFERROR(GOOGLEFINANCE(A93,""priceopen""),"""")"),2840.0)</f>
        <v>2840</v>
      </c>
      <c r="X93" s="22" t="str">
        <f>IFERROR(__xludf.DUMMYFUNCTION("IFERROR(GOOGLEFINANCE(A93,""high""),"""")"),"")</f>
        <v/>
      </c>
      <c r="Y93" s="22" t="str">
        <f>IFERROR(__xludf.DUMMYFUNCTION("IFERROR(GOOGLEFINANCE(A93,""low""),"""")"),"")</f>
        <v/>
      </c>
      <c r="Z93" s="22">
        <f>IFERROR(__xludf.DUMMYFUNCTION("IFERROR(GOOGLEFINANCE(A93,""volume""),"""")"),18600.0)</f>
        <v>18600</v>
      </c>
      <c r="AA93" s="24" t="str">
        <f>VLOOKUP(A93,Metrik!$C$2:$Y$959,5,0)</f>
        <v>Building Products &amp; Fixtures</v>
      </c>
      <c r="AB93" s="24" t="str">
        <f>VLOOKUP(A93,Metrik!$C$2:$Y$959,3,0)</f>
        <v>Industrials</v>
      </c>
    </row>
    <row r="94">
      <c r="A94" s="14" t="s">
        <v>97</v>
      </c>
      <c r="B94" s="14" t="str">
        <f t="array" ref="B94">VLOOKUP(A94,{Metrik!$C$2:$C$998,Metrik!$B$2:$B$998},2,0)</f>
        <v>PT Ateliers Mecaniques D Indonesie Tbk.</v>
      </c>
      <c r="C94" s="15">
        <f>IFERROR(__xludf.DUMMYFUNCTION("GOOGLEFINANCE(""IDX:""&amp;A94,""price"")"),260.0)</f>
        <v>260</v>
      </c>
      <c r="D94" s="16" t="str">
        <f>IFERROR(__xludf.DUMMYFUNCTION("IF(A94="""","""",
SPARKLINE(
INDEX(
GOOGLEFINANCE(""IDX:""&amp;A94,""close"",TODAY()-365,TODAY()),
,2
),
{""linewidth"",1}
))
"),"#N/A")</f>
        <v>#N/A</v>
      </c>
      <c r="E94" s="26"/>
      <c r="F94" s="26"/>
      <c r="G94" s="24">
        <f t="shared" si="1"/>
        <v>0</v>
      </c>
      <c r="H94" s="19">
        <f>VLOOKUP(A94,Metrik!$C$2:$Y$959,8,0)</f>
        <v>11.5</v>
      </c>
      <c r="I94" s="20">
        <f>VLOOKUP(A94,Metrik!$C$2:$Y$959,9,0)</f>
        <v>1.4</v>
      </c>
      <c r="J94" s="20">
        <f>VLOOKUP(A94,Metrik!$C$2:$Y$959,10,0)</f>
        <v>12.3</v>
      </c>
      <c r="K94" s="20">
        <f>VLOOKUP(A94,Metrik!$C$2:$Y$959,11,0)</f>
        <v>8.1</v>
      </c>
      <c r="L94" s="20">
        <f>VLOOKUP(A94,Metrik!$C$2:$Y$959,12,0)</f>
        <v>0.52</v>
      </c>
      <c r="M94" s="20">
        <f>VLOOKUP(A94,Metrik!$C$2:$Y$959,19,0)</f>
        <v>44.9</v>
      </c>
      <c r="N94" s="21"/>
      <c r="O94" s="21"/>
      <c r="P94" s="21"/>
      <c r="Q94" s="21"/>
      <c r="R94" s="21"/>
      <c r="S94" s="21"/>
      <c r="T94" s="21"/>
      <c r="U94" s="22">
        <f>IFERROR(__xludf.DUMMYFUNCTION("IFERROR(GOOGLEFINANCE(A94,""closeyest""),"""")"),0.1)</f>
        <v>0.1</v>
      </c>
      <c r="V94" s="23">
        <f>IFERROR(__xludf.DUMMYFUNCTION("IFERROR(GOOGLEFINANCE(A94,""changepct""),"""")"),0.0)</f>
        <v>0</v>
      </c>
      <c r="W94" s="22" t="str">
        <f>IFERROR(__xludf.DUMMYFUNCTION("IFERROR(GOOGLEFINANCE(A94,""priceopen""),"""")"),"")</f>
        <v/>
      </c>
      <c r="X94" s="22" t="str">
        <f>IFERROR(__xludf.DUMMYFUNCTION("IFERROR(GOOGLEFINANCE(A94,""high""),"""")"),"")</f>
        <v/>
      </c>
      <c r="Y94" s="22" t="str">
        <f>IFERROR(__xludf.DUMMYFUNCTION("IFERROR(GOOGLEFINANCE(A94,""low""),"""")"),"")</f>
        <v/>
      </c>
      <c r="Z94" s="22">
        <f>IFERROR(__xludf.DUMMYFUNCTION("IFERROR(GOOGLEFINANCE(A94,""volume""),"""")"),0.0)</f>
        <v>0</v>
      </c>
      <c r="AA94" s="24" t="str">
        <f>VLOOKUP(A94,Metrik!$C$2:$Y$959,5,0)</f>
        <v>Machinery</v>
      </c>
      <c r="AB94" s="24" t="str">
        <f>VLOOKUP(A94,Metrik!$C$2:$Y$959,3,0)</f>
        <v>Industrials</v>
      </c>
    </row>
    <row r="95">
      <c r="A95" s="14" t="s">
        <v>98</v>
      </c>
      <c r="B95" s="14" t="str">
        <f t="array" ref="B95">VLOOKUP(A95,{Metrik!$C$2:$C$998,Metrik!$B$2:$B$998},2,0)</f>
        <v>PT Amman Mineral Internasional Tbk.</v>
      </c>
      <c r="C95" s="15">
        <f>IFERROR(__xludf.DUMMYFUNCTION("GOOGLEFINANCE(""IDX:""&amp;A95,""price"")"),3450.0)</f>
        <v>3450</v>
      </c>
      <c r="D95" s="16" t="str">
        <f>IFERROR(__xludf.DUMMYFUNCTION("IF(A95="""","""",
SPARKLINE(
INDEX(
GOOGLEFINANCE(""IDX:""&amp;A95,""close"",TODAY()-365,TODAY()),
,2
),
{""linewidth"",1}
))
"),"#N/A")</f>
        <v>#N/A</v>
      </c>
      <c r="E95" s="14" t="s">
        <v>28</v>
      </c>
      <c r="F95" s="17" t="s">
        <v>29</v>
      </c>
      <c r="G95" s="24">
        <f t="shared" si="1"/>
        <v>5</v>
      </c>
      <c r="H95" s="19">
        <f>VLOOKUP(A95,Metrik!$C$2:$Y$959,8,0)</f>
        <v>26</v>
      </c>
      <c r="I95" s="20">
        <f>VLOOKUP(A95,Metrik!$C$2:$Y$959,9,0)</f>
        <v>2.5</v>
      </c>
      <c r="J95" s="20">
        <f>VLOOKUP(A95,Metrik!$C$2:$Y$959,10,0)</f>
        <v>9.7</v>
      </c>
      <c r="K95" s="20">
        <f>VLOOKUP(A95,Metrik!$C$2:$Y$959,11,0)</f>
        <v>3.9</v>
      </c>
      <c r="L95" s="20">
        <f>VLOOKUP(A95,Metrik!$C$2:$Y$959,12,0)</f>
        <v>1.5</v>
      </c>
      <c r="M95" s="20">
        <f>VLOOKUP(A95,Metrik!$C$2:$Y$959,19,0)</f>
        <v>67</v>
      </c>
      <c r="N95" s="21"/>
      <c r="O95" s="21"/>
      <c r="P95" s="21"/>
      <c r="Q95" s="21"/>
      <c r="R95" s="21"/>
      <c r="S95" s="21"/>
      <c r="T95" s="21"/>
      <c r="U95" s="22">
        <f>IFERROR(__xludf.DUMMYFUNCTION("IFERROR(GOOGLEFINANCE(A95,""closeyest""),"""")"),3060.0)</f>
        <v>3060</v>
      </c>
      <c r="V95" s="23">
        <f>IFERROR(__xludf.DUMMYFUNCTION("IFERROR(GOOGLEFINANCE(A95,""changepct""),"""")"),12.75)</f>
        <v>12.75</v>
      </c>
      <c r="W95" s="22">
        <f>IFERROR(__xludf.DUMMYFUNCTION("IFERROR(GOOGLEFINANCE(A95,""priceopen""),"""")"),3150.0)</f>
        <v>3150</v>
      </c>
      <c r="X95" s="22">
        <f>IFERROR(__xludf.DUMMYFUNCTION("IFERROR(GOOGLEFINANCE(A95,""high""),"""")"),3540.0)</f>
        <v>3540</v>
      </c>
      <c r="Y95" s="22">
        <f>IFERROR(__xludf.DUMMYFUNCTION("IFERROR(GOOGLEFINANCE(A95,""low""),"""")"),3110.0)</f>
        <v>3110</v>
      </c>
      <c r="Z95" s="22">
        <f>IFERROR(__xludf.DUMMYFUNCTION("IFERROR(GOOGLEFINANCE(A95,""volume""),"""")"),1.703576E8)</f>
        <v>170357600</v>
      </c>
      <c r="AA95" s="24" t="str">
        <f>VLOOKUP(A95,Metrik!$C$2:$Y$959,5,0)</f>
        <v>Metals &amp; Minerals</v>
      </c>
      <c r="AB95" s="24" t="str">
        <f>VLOOKUP(A95,Metrik!$C$2:$Y$959,3,0)</f>
        <v>Basic Materials</v>
      </c>
    </row>
    <row r="96">
      <c r="A96" s="14" t="s">
        <v>98</v>
      </c>
      <c r="B96" s="14" t="str">
        <f t="array" ref="B96">VLOOKUP(A96,{Metrik!$C$2:$C$998,Metrik!$B$2:$B$998},2,0)</f>
        <v>PT Amman Mineral Internasional Tbk.</v>
      </c>
      <c r="C96" s="15">
        <f>IFERROR(__xludf.DUMMYFUNCTION("GOOGLEFINANCE(""IDX:""&amp;A96,""price"")"),3450.0)</f>
        <v>3450</v>
      </c>
      <c r="D96" s="16" t="str">
        <f>IFERROR(__xludf.DUMMYFUNCTION("IF(A96="""","""",
SPARKLINE(
INDEX(
GOOGLEFINANCE(""IDX:""&amp;A96,""close"",TODAY()-365,TODAY()),
,2
),
{""linewidth"",1}
))
"),"#N/A")</f>
        <v>#N/A</v>
      </c>
      <c r="E96" s="14" t="s">
        <v>31</v>
      </c>
      <c r="F96" s="17" t="s">
        <v>29</v>
      </c>
      <c r="G96" s="24">
        <f t="shared" si="1"/>
        <v>5</v>
      </c>
      <c r="H96" s="19">
        <f>VLOOKUP(A96,Metrik!$C$2:$Y$959,8,0)</f>
        <v>26</v>
      </c>
      <c r="I96" s="20">
        <f>VLOOKUP(A96,Metrik!$C$2:$Y$959,9,0)</f>
        <v>2.5</v>
      </c>
      <c r="J96" s="20">
        <f>VLOOKUP(A96,Metrik!$C$2:$Y$959,10,0)</f>
        <v>9.7</v>
      </c>
      <c r="K96" s="20">
        <f>VLOOKUP(A96,Metrik!$C$2:$Y$959,11,0)</f>
        <v>3.9</v>
      </c>
      <c r="L96" s="20">
        <f>VLOOKUP(A96,Metrik!$C$2:$Y$959,12,0)</f>
        <v>1.5</v>
      </c>
      <c r="M96" s="20">
        <f>VLOOKUP(A96,Metrik!$C$2:$Y$959,19,0)</f>
        <v>67</v>
      </c>
      <c r="N96" s="21"/>
      <c r="O96" s="21"/>
      <c r="P96" s="21"/>
      <c r="Q96" s="21"/>
      <c r="R96" s="21"/>
      <c r="S96" s="21"/>
      <c r="T96" s="21"/>
      <c r="U96" s="22">
        <f>IFERROR(__xludf.DUMMYFUNCTION("IFERROR(GOOGLEFINANCE(A96,""closeyest""),"""")"),3060.0)</f>
        <v>3060</v>
      </c>
      <c r="V96" s="23">
        <f>IFERROR(__xludf.DUMMYFUNCTION("IFERROR(GOOGLEFINANCE(A96,""changepct""),"""")"),12.75)</f>
        <v>12.75</v>
      </c>
      <c r="W96" s="22">
        <f>IFERROR(__xludf.DUMMYFUNCTION("IFERROR(GOOGLEFINANCE(A96,""priceopen""),"""")"),3150.0)</f>
        <v>3150</v>
      </c>
      <c r="X96" s="22">
        <f>IFERROR(__xludf.DUMMYFUNCTION("IFERROR(GOOGLEFINANCE(A96,""high""),"""")"),3540.0)</f>
        <v>3540</v>
      </c>
      <c r="Y96" s="22">
        <f>IFERROR(__xludf.DUMMYFUNCTION("IFERROR(GOOGLEFINANCE(A96,""low""),"""")"),3110.0)</f>
        <v>3110</v>
      </c>
      <c r="Z96" s="22">
        <f>IFERROR(__xludf.DUMMYFUNCTION("IFERROR(GOOGLEFINANCE(A96,""volume""),"""")"),1.703576E8)</f>
        <v>170357600</v>
      </c>
      <c r="AA96" s="24" t="str">
        <f>VLOOKUP(A96,Metrik!$C$2:$Y$959,5,0)</f>
        <v>Metals &amp; Minerals</v>
      </c>
      <c r="AB96" s="24" t="str">
        <f>VLOOKUP(A96,Metrik!$C$2:$Y$959,3,0)</f>
        <v>Basic Materials</v>
      </c>
    </row>
    <row r="97">
      <c r="A97" s="14" t="s">
        <v>98</v>
      </c>
      <c r="B97" s="14" t="str">
        <f t="array" ref="B97">VLOOKUP(A97,{Metrik!$C$2:$C$998,Metrik!$B$2:$B$998},2,0)</f>
        <v>PT Amman Mineral Internasional Tbk.</v>
      </c>
      <c r="C97" s="15">
        <f>IFERROR(__xludf.DUMMYFUNCTION("GOOGLEFINANCE(""IDX:""&amp;A97,""price"")"),3450.0)</f>
        <v>3450</v>
      </c>
      <c r="D97" s="16" t="str">
        <f>IFERROR(__xludf.DUMMYFUNCTION("IF(A97="""","""",
SPARKLINE(
INDEX(
GOOGLEFINANCE(""IDX:""&amp;A97,""close"",TODAY()-365,TODAY()),
,2
),
{""linewidth"",1}
))
"),"#N/A")</f>
        <v>#N/A</v>
      </c>
      <c r="E97" s="14" t="s">
        <v>32</v>
      </c>
      <c r="F97" s="14" t="s">
        <v>29</v>
      </c>
      <c r="G97" s="24">
        <f t="shared" si="1"/>
        <v>5</v>
      </c>
      <c r="H97" s="19">
        <f>VLOOKUP(A97,Metrik!$C$2:$Y$959,8,0)</f>
        <v>26</v>
      </c>
      <c r="I97" s="20">
        <f>VLOOKUP(A97,Metrik!$C$2:$Y$959,9,0)</f>
        <v>2.5</v>
      </c>
      <c r="J97" s="20">
        <f>VLOOKUP(A97,Metrik!$C$2:$Y$959,10,0)</f>
        <v>9.7</v>
      </c>
      <c r="K97" s="20">
        <f>VLOOKUP(A97,Metrik!$C$2:$Y$959,11,0)</f>
        <v>3.9</v>
      </c>
      <c r="L97" s="20">
        <f>VLOOKUP(A97,Metrik!$C$2:$Y$959,12,0)</f>
        <v>1.5</v>
      </c>
      <c r="M97" s="20">
        <f>VLOOKUP(A97,Metrik!$C$2:$Y$959,19,0)</f>
        <v>67</v>
      </c>
      <c r="N97" s="21"/>
      <c r="O97" s="21"/>
      <c r="P97" s="21"/>
      <c r="Q97" s="21"/>
      <c r="R97" s="21"/>
      <c r="S97" s="21"/>
      <c r="T97" s="21"/>
      <c r="U97" s="22">
        <f>IFERROR(__xludf.DUMMYFUNCTION("IFERROR(GOOGLEFINANCE(A97,""closeyest""),"""")"),3060.0)</f>
        <v>3060</v>
      </c>
      <c r="V97" s="23">
        <f>IFERROR(__xludf.DUMMYFUNCTION("IFERROR(GOOGLEFINANCE(A97,""changepct""),"""")"),12.75)</f>
        <v>12.75</v>
      </c>
      <c r="W97" s="22">
        <f>IFERROR(__xludf.DUMMYFUNCTION("IFERROR(GOOGLEFINANCE(A97,""priceopen""),"""")"),3150.0)</f>
        <v>3150</v>
      </c>
      <c r="X97" s="22">
        <f>IFERROR(__xludf.DUMMYFUNCTION("IFERROR(GOOGLEFINANCE(A97,""high""),"""")"),3540.0)</f>
        <v>3540</v>
      </c>
      <c r="Y97" s="22">
        <f>IFERROR(__xludf.DUMMYFUNCTION("IFERROR(GOOGLEFINANCE(A97,""low""),"""")"),3110.0)</f>
        <v>3110</v>
      </c>
      <c r="Z97" s="22">
        <f>IFERROR(__xludf.DUMMYFUNCTION("IFERROR(GOOGLEFINANCE(A97,""volume""),"""")"),1.703576E8)</f>
        <v>170357600</v>
      </c>
      <c r="AA97" s="24" t="str">
        <f>VLOOKUP(A97,Metrik!$C$2:$Y$959,5,0)</f>
        <v>Metals &amp; Minerals</v>
      </c>
      <c r="AB97" s="24" t="str">
        <f>VLOOKUP(A97,Metrik!$C$2:$Y$959,3,0)</f>
        <v>Basic Materials</v>
      </c>
    </row>
    <row r="98">
      <c r="A98" s="14" t="s">
        <v>98</v>
      </c>
      <c r="B98" s="14" t="str">
        <f t="array" ref="B98">VLOOKUP(A98,{Metrik!$C$2:$C$998,Metrik!$B$2:$B$998},2,0)</f>
        <v>PT Amman Mineral Internasional Tbk.</v>
      </c>
      <c r="C98" s="15">
        <f>IFERROR(__xludf.DUMMYFUNCTION("GOOGLEFINANCE(""IDX:""&amp;A98,""price"")"),3450.0)</f>
        <v>3450</v>
      </c>
      <c r="D98" s="16" t="str">
        <f>IFERROR(__xludf.DUMMYFUNCTION("IF(A98="""","""",
SPARKLINE(
INDEX(
GOOGLEFINANCE(""IDX:""&amp;A98,""close"",TODAY()-365,TODAY()),
,2
),
{""linewidth"",1}
))
"),"#N/A")</f>
        <v>#N/A</v>
      </c>
      <c r="E98" s="14" t="s">
        <v>52</v>
      </c>
      <c r="F98" s="27" t="s">
        <v>53</v>
      </c>
      <c r="G98" s="24">
        <f t="shared" si="1"/>
        <v>5</v>
      </c>
      <c r="H98" s="19">
        <f>VLOOKUP(A98,Metrik!$C$2:$Y$959,8,0)</f>
        <v>26</v>
      </c>
      <c r="I98" s="20">
        <f>VLOOKUP(A98,Metrik!$C$2:$Y$959,9,0)</f>
        <v>2.5</v>
      </c>
      <c r="J98" s="20">
        <f>VLOOKUP(A98,Metrik!$C$2:$Y$959,10,0)</f>
        <v>9.7</v>
      </c>
      <c r="K98" s="20">
        <f>VLOOKUP(A98,Metrik!$C$2:$Y$959,11,0)</f>
        <v>3.9</v>
      </c>
      <c r="L98" s="20">
        <f>VLOOKUP(A98,Metrik!$C$2:$Y$959,12,0)</f>
        <v>1.5</v>
      </c>
      <c r="M98" s="20">
        <f>VLOOKUP(A98,Metrik!$C$2:$Y$959,19,0)</f>
        <v>67</v>
      </c>
      <c r="N98" s="21"/>
      <c r="O98" s="21"/>
      <c r="P98" s="21"/>
      <c r="Q98" s="21"/>
      <c r="R98" s="21"/>
      <c r="S98" s="21"/>
      <c r="T98" s="21"/>
      <c r="U98" s="22">
        <f>IFERROR(__xludf.DUMMYFUNCTION("IFERROR(GOOGLEFINANCE(A98,""closeyest""),"""")"),3060.0)</f>
        <v>3060</v>
      </c>
      <c r="V98" s="23">
        <f>IFERROR(__xludf.DUMMYFUNCTION("IFERROR(GOOGLEFINANCE(A98,""changepct""),"""")"),12.75)</f>
        <v>12.75</v>
      </c>
      <c r="W98" s="22">
        <f>IFERROR(__xludf.DUMMYFUNCTION("IFERROR(GOOGLEFINANCE(A98,""priceopen""),"""")"),3150.0)</f>
        <v>3150</v>
      </c>
      <c r="X98" s="22">
        <f>IFERROR(__xludf.DUMMYFUNCTION("IFERROR(GOOGLEFINANCE(A98,""high""),"""")"),3540.0)</f>
        <v>3540</v>
      </c>
      <c r="Y98" s="22">
        <f>IFERROR(__xludf.DUMMYFUNCTION("IFERROR(GOOGLEFINANCE(A98,""low""),"""")"),3110.0)</f>
        <v>3110</v>
      </c>
      <c r="Z98" s="22">
        <f>IFERROR(__xludf.DUMMYFUNCTION("IFERROR(GOOGLEFINANCE(A98,""volume""),"""")"),1.703576E8)</f>
        <v>170357600</v>
      </c>
      <c r="AA98" s="24" t="str">
        <f>VLOOKUP(A98,Metrik!$C$2:$Y$959,5,0)</f>
        <v>Metals &amp; Minerals</v>
      </c>
      <c r="AB98" s="24" t="str">
        <f>VLOOKUP(A98,Metrik!$C$2:$Y$959,3,0)</f>
        <v>Basic Materials</v>
      </c>
    </row>
    <row r="99">
      <c r="A99" s="17" t="s">
        <v>98</v>
      </c>
      <c r="B99" s="14" t="str">
        <f t="array" ref="B99">VLOOKUP(A99,{Metrik!$C$2:$C$998,Metrik!$B$2:$B$998},2,0)</f>
        <v>PT Amman Mineral Internasional Tbk.</v>
      </c>
      <c r="C99" s="15">
        <f>IFERROR(__xludf.DUMMYFUNCTION("GOOGLEFINANCE(""IDX:""&amp;A99,""price"")"),3450.0)</f>
        <v>3450</v>
      </c>
      <c r="D99" s="16" t="str">
        <f>IFERROR(__xludf.DUMMYFUNCTION("IF(A99="""","""",
SPARKLINE(
INDEX(
GOOGLEFINANCE(""IDX:""&amp;A99,""close"",TODAY()-365,TODAY()),
,2
),
{""linewidth"",1}
))
"),"#N/A")</f>
        <v>#N/A</v>
      </c>
      <c r="E99" s="17" t="s">
        <v>69</v>
      </c>
      <c r="F99" s="17" t="s">
        <v>70</v>
      </c>
      <c r="G99" s="24">
        <f t="shared" si="1"/>
        <v>5</v>
      </c>
      <c r="H99" s="19">
        <f>VLOOKUP(A99,Metrik!$C$2:$Y$959,8,0)</f>
        <v>26</v>
      </c>
      <c r="I99" s="20">
        <f>VLOOKUP(A99,Metrik!$C$2:$Y$959,9,0)</f>
        <v>2.5</v>
      </c>
      <c r="J99" s="20">
        <f>VLOOKUP(A99,Metrik!$C$2:$Y$959,10,0)</f>
        <v>9.7</v>
      </c>
      <c r="K99" s="20">
        <f>VLOOKUP(A99,Metrik!$C$2:$Y$959,11,0)</f>
        <v>3.9</v>
      </c>
      <c r="L99" s="20">
        <f>VLOOKUP(A99,Metrik!$C$2:$Y$959,12,0)</f>
        <v>1.5</v>
      </c>
      <c r="M99" s="20">
        <f>VLOOKUP(A99,Metrik!$C$2:$Y$959,19,0)</f>
        <v>67</v>
      </c>
      <c r="N99" s="21"/>
      <c r="O99" s="21"/>
      <c r="P99" s="21"/>
      <c r="Q99" s="21"/>
      <c r="R99" s="21"/>
      <c r="S99" s="21"/>
      <c r="T99" s="21"/>
      <c r="U99" s="22">
        <f>IFERROR(__xludf.DUMMYFUNCTION("IFERROR(GOOGLEFINANCE(A99,""closeyest""),"""")"),3060.0)</f>
        <v>3060</v>
      </c>
      <c r="V99" s="23">
        <f>IFERROR(__xludf.DUMMYFUNCTION("IFERROR(GOOGLEFINANCE(A99,""changepct""),"""")"),12.75)</f>
        <v>12.75</v>
      </c>
      <c r="W99" s="22">
        <f>IFERROR(__xludf.DUMMYFUNCTION("IFERROR(GOOGLEFINANCE(A99,""priceopen""),"""")"),3150.0)</f>
        <v>3150</v>
      </c>
      <c r="X99" s="22">
        <f>IFERROR(__xludf.DUMMYFUNCTION("IFERROR(GOOGLEFINANCE(A99,""high""),"""")"),3540.0)</f>
        <v>3540</v>
      </c>
      <c r="Y99" s="22">
        <f>IFERROR(__xludf.DUMMYFUNCTION("IFERROR(GOOGLEFINANCE(A99,""low""),"""")"),3110.0)</f>
        <v>3110</v>
      </c>
      <c r="Z99" s="22">
        <f>IFERROR(__xludf.DUMMYFUNCTION("IFERROR(GOOGLEFINANCE(A99,""volume""),"""")"),1.703576E8)</f>
        <v>170357600</v>
      </c>
      <c r="AA99" s="24" t="str">
        <f>VLOOKUP(A99,Metrik!$C$2:$Y$959,5,0)</f>
        <v>Metals &amp; Minerals</v>
      </c>
      <c r="AB99" s="24" t="str">
        <f>VLOOKUP(A99,Metrik!$C$2:$Y$959,3,0)</f>
        <v>Basic Materials</v>
      </c>
    </row>
    <row r="100">
      <c r="A100" s="14" t="s">
        <v>99</v>
      </c>
      <c r="B100" s="14" t="str">
        <f t="array" ref="B100">VLOOKUP(A100,{Metrik!$C$2:$C$998,Metrik!$B$2:$B$998},2,0)</f>
        <v>Agung Menjangan Mas Tbk.</v>
      </c>
      <c r="C100" s="15">
        <f>IFERROR(__xludf.DUMMYFUNCTION("GOOGLEFINANCE(""IDX:""&amp;A100,""price"")"),328.0)</f>
        <v>328</v>
      </c>
      <c r="D100" s="16" t="str">
        <f>IFERROR(__xludf.DUMMYFUNCTION("IF(A100="""","""",
SPARKLINE(
INDEX(
GOOGLEFINANCE(""IDX:""&amp;A100,""close"",TODAY()-365,TODAY()),
,2
),
{""linewidth"",1}
))
"),"#N/A")</f>
        <v>#N/A</v>
      </c>
      <c r="E100" s="26"/>
      <c r="F100" s="26"/>
      <c r="G100" s="24">
        <f t="shared" si="1"/>
        <v>0</v>
      </c>
      <c r="H100" s="19">
        <f>VLOOKUP(A100,Metrik!$C$2:$Y$959,8,0)</f>
        <v>-1020</v>
      </c>
      <c r="I100" s="20">
        <f>VLOOKUP(A100,Metrik!$C$2:$Y$959,9,0)</f>
        <v>6.5</v>
      </c>
      <c r="J100" s="20">
        <f>VLOOKUP(A100,Metrik!$C$2:$Y$959,10,0)</f>
        <v>-0.63</v>
      </c>
      <c r="K100" s="20">
        <f>VLOOKUP(A100,Metrik!$C$2:$Y$959,11,0)</f>
        <v>-0.63</v>
      </c>
      <c r="L100" s="20">
        <f>VLOOKUP(A100,Metrik!$C$2:$Y$959,12,0)</f>
        <v>0.01</v>
      </c>
      <c r="M100" s="20">
        <f>VLOOKUP(A100,Metrik!$C$2:$Y$959,19,0)</f>
        <v>-2.9</v>
      </c>
      <c r="N100" s="21"/>
      <c r="O100" s="21"/>
      <c r="P100" s="21"/>
      <c r="Q100" s="21"/>
      <c r="R100" s="21"/>
      <c r="S100" s="21"/>
      <c r="T100" s="21"/>
      <c r="U100" s="22">
        <f>IFERROR(__xludf.DUMMYFUNCTION("IFERROR(GOOGLEFINANCE(A100,""closeyest""),"""")"),320.0)</f>
        <v>320</v>
      </c>
      <c r="V100" s="23">
        <f>IFERROR(__xludf.DUMMYFUNCTION("IFERROR(GOOGLEFINANCE(A100,""changepct""),"""")"),2.5)</f>
        <v>2.5</v>
      </c>
      <c r="W100" s="22">
        <f>IFERROR(__xludf.DUMMYFUNCTION("IFERROR(GOOGLEFINANCE(A100,""priceopen""),"""")"),320.0)</f>
        <v>320</v>
      </c>
      <c r="X100" s="22">
        <f>IFERROR(__xludf.DUMMYFUNCTION("IFERROR(GOOGLEFINANCE(A100,""high""),"""")"),352.0)</f>
        <v>352</v>
      </c>
      <c r="Y100" s="22">
        <f>IFERROR(__xludf.DUMMYFUNCTION("IFERROR(GOOGLEFINANCE(A100,""low""),"""")"),320.0)</f>
        <v>320</v>
      </c>
      <c r="Z100" s="22">
        <f>IFERROR(__xludf.DUMMYFUNCTION("IFERROR(GOOGLEFINANCE(A100,""volume""),"""")"),504900.0)</f>
        <v>504900</v>
      </c>
      <c r="AA100" s="24" t="str">
        <f>VLOOKUP(A100,Metrik!$C$2:$Y$959,5,0)</f>
        <v>Agricultural Products</v>
      </c>
      <c r="AB100" s="24" t="str">
        <f>VLOOKUP(A100,Metrik!$C$2:$Y$959,3,0)</f>
        <v>Consumer Non-Cyclicals</v>
      </c>
    </row>
    <row r="101">
      <c r="A101" s="14" t="s">
        <v>100</v>
      </c>
      <c r="B101" s="14" t="str">
        <f t="array" ref="B101">VLOOKUP(A101,{Metrik!$C$2:$C$998,Metrik!$B$2:$B$998},2,0)</f>
        <v>Ashmore Asset Management Indonesia Tbk.</v>
      </c>
      <c r="C101" s="15">
        <f>IFERROR(__xludf.DUMMYFUNCTION("GOOGLEFINANCE(""IDX:""&amp;A101,""price"")"),312.0)</f>
        <v>312</v>
      </c>
      <c r="D101" s="16" t="str">
        <f>IFERROR(__xludf.DUMMYFUNCTION("IF(A101="""","""",
SPARKLINE(
INDEX(
GOOGLEFINANCE(""IDX:""&amp;A101,""close"",TODAY()-365,TODAY()),
,2
),
{""linewidth"",1}
))
"),"#N/A")</f>
        <v>#N/A</v>
      </c>
      <c r="E101" s="26"/>
      <c r="F101" s="26"/>
      <c r="G101" s="18">
        <f t="shared" si="1"/>
        <v>0</v>
      </c>
      <c r="H101" s="19">
        <f>VLOOKUP(A101,Metrik!$C$2:$Y$959,8,0)</f>
        <v>11.1</v>
      </c>
      <c r="I101" s="20">
        <f>VLOOKUP(A101,Metrik!$C$2:$Y$959,9,0)</f>
        <v>2.8</v>
      </c>
      <c r="J101" s="20">
        <f>VLOOKUP(A101,Metrik!$C$2:$Y$959,10,0)</f>
        <v>25.3</v>
      </c>
      <c r="K101" s="20">
        <f>VLOOKUP(A101,Metrik!$C$2:$Y$959,11,0)</f>
        <v>19.1</v>
      </c>
      <c r="L101" s="20">
        <f>VLOOKUP(A101,Metrik!$C$2:$Y$959,12,0)</f>
        <v>0.32</v>
      </c>
      <c r="M101" s="20">
        <f>VLOOKUP(A101,Metrik!$C$2:$Y$959,19,0)</f>
        <v>49.5</v>
      </c>
      <c r="N101" s="21"/>
      <c r="O101" s="21"/>
      <c r="P101" s="21"/>
      <c r="Q101" s="21"/>
      <c r="R101" s="21"/>
      <c r="S101" s="21"/>
      <c r="T101" s="21"/>
      <c r="U101" s="22">
        <f>IFERROR(__xludf.DUMMYFUNCTION("IFERROR(GOOGLEFINANCE(A101,""closeyest""),"""")"),312.0)</f>
        <v>312</v>
      </c>
      <c r="V101" s="23">
        <f>IFERROR(__xludf.DUMMYFUNCTION("IFERROR(GOOGLEFINANCE(A101,""changepct""),"""")"),0.0)</f>
        <v>0</v>
      </c>
      <c r="W101" s="22">
        <f>IFERROR(__xludf.DUMMYFUNCTION("IFERROR(GOOGLEFINANCE(A101,""priceopen""),"""")"),320.0)</f>
        <v>320</v>
      </c>
      <c r="X101" s="22">
        <f>IFERROR(__xludf.DUMMYFUNCTION("IFERROR(GOOGLEFINANCE(A101,""high""),"""")"),328.0)</f>
        <v>328</v>
      </c>
      <c r="Y101" s="22">
        <f>IFERROR(__xludf.DUMMYFUNCTION("IFERROR(GOOGLEFINANCE(A101,""low""),"""")"),310.0)</f>
        <v>310</v>
      </c>
      <c r="Z101" s="22">
        <f>IFERROR(__xludf.DUMMYFUNCTION("IFERROR(GOOGLEFINANCE(A101,""volume""),"""")"),142700.0)</f>
        <v>142700</v>
      </c>
      <c r="AA101" s="24" t="str">
        <f>VLOOKUP(A101,Metrik!$C$2:$Y$959,5,0)</f>
        <v>Investment Services</v>
      </c>
      <c r="AB101" s="24" t="str">
        <f>VLOOKUP(A101,Metrik!$C$2:$Y$959,3,0)</f>
        <v>Financials</v>
      </c>
    </row>
    <row r="102">
      <c r="A102" s="14" t="s">
        <v>101</v>
      </c>
      <c r="B102" s="14" t="str">
        <f t="array" ref="B102">VLOOKUP(A102,{Metrik!$C$2:$C$998,Metrik!$B$2:$B$998},2,0)</f>
        <v>Sumber Alfaria Trijaya Tbk.</v>
      </c>
      <c r="C102" s="15">
        <f>IFERROR(__xludf.DUMMYFUNCTION("GOOGLEFINANCE(""IDX:""&amp;A102,""price"")"),1375.0)</f>
        <v>1375</v>
      </c>
      <c r="D102" s="16" t="str">
        <f>IFERROR(__xludf.DUMMYFUNCTION("IF(A102="""","""",
SPARKLINE(
INDEX(
GOOGLEFINANCE(""IDX:""&amp;A102,""close"",TODAY()-365,TODAY()),
,2
),
{""linewidth"",1}
))
"),"#N/A")</f>
        <v>#N/A</v>
      </c>
      <c r="E102" s="14" t="s">
        <v>54</v>
      </c>
      <c r="F102" s="14" t="s">
        <v>34</v>
      </c>
      <c r="G102" s="24">
        <f t="shared" si="1"/>
        <v>10</v>
      </c>
      <c r="H102" s="19">
        <f>VLOOKUP(A102,Metrik!$C$2:$Y$959,8,0)</f>
        <v>13.6</v>
      </c>
      <c r="I102" s="20">
        <f>VLOOKUP(A102,Metrik!$C$2:$Y$959,9,0)</f>
        <v>2.4</v>
      </c>
      <c r="J102" s="20">
        <f>VLOOKUP(A102,Metrik!$C$2:$Y$959,10,0)</f>
        <v>17.6</v>
      </c>
      <c r="K102" s="20">
        <f>VLOOKUP(A102,Metrik!$C$2:$Y$959,11,0)</f>
        <v>7.7</v>
      </c>
      <c r="L102" s="20">
        <f>VLOOKUP(A102,Metrik!$C$2:$Y$959,12,0)</f>
        <v>1.3</v>
      </c>
      <c r="M102" s="20">
        <f>VLOOKUP(A102,Metrik!$C$2:$Y$959,19,0)</f>
        <v>10</v>
      </c>
      <c r="N102" s="21"/>
      <c r="O102" s="21"/>
      <c r="P102" s="21"/>
      <c r="Q102" s="21"/>
      <c r="R102" s="21"/>
      <c r="S102" s="21"/>
      <c r="T102" s="21"/>
      <c r="U102" s="22">
        <f>IFERROR(__xludf.DUMMYFUNCTION("IFERROR(GOOGLEFINANCE(A102,""closeyest""),"""")"),1335.0)</f>
        <v>1335</v>
      </c>
      <c r="V102" s="23">
        <f>IFERROR(__xludf.DUMMYFUNCTION("IFERROR(GOOGLEFINANCE(A102,""changepct""),"""")"),3.0)</f>
        <v>3</v>
      </c>
      <c r="W102" s="22">
        <f>IFERROR(__xludf.DUMMYFUNCTION("IFERROR(GOOGLEFINANCE(A102,""priceopen""),"""")"),1340.0)</f>
        <v>1340</v>
      </c>
      <c r="X102" s="22">
        <f>IFERROR(__xludf.DUMMYFUNCTION("IFERROR(GOOGLEFINANCE(A102,""high""),"""")"),1415.0)</f>
        <v>1415</v>
      </c>
      <c r="Y102" s="22">
        <f>IFERROR(__xludf.DUMMYFUNCTION("IFERROR(GOOGLEFINANCE(A102,""low""),"""")"),1325.0)</f>
        <v>1325</v>
      </c>
      <c r="Z102" s="22">
        <f>IFERROR(__xludf.DUMMYFUNCTION("IFERROR(GOOGLEFINANCE(A102,""volume""),"""")"),9.12506E7)</f>
        <v>91250600</v>
      </c>
      <c r="AA102" s="24" t="str">
        <f>VLOOKUP(A102,Metrik!$C$2:$Y$959,5,0)</f>
        <v>Food &amp; Staples Retailing</v>
      </c>
      <c r="AB102" s="24" t="str">
        <f>VLOOKUP(A102,Metrik!$C$2:$Y$959,3,0)</f>
        <v>Consumer Non-Cyclicals</v>
      </c>
    </row>
    <row r="103">
      <c r="A103" s="14" t="s">
        <v>101</v>
      </c>
      <c r="B103" s="14" t="str">
        <f t="array" ref="B103">VLOOKUP(A103,{Metrik!$C$2:$C$998,Metrik!$B$2:$B$998},2,0)</f>
        <v>Sumber Alfaria Trijaya Tbk.</v>
      </c>
      <c r="C103" s="15">
        <f>IFERROR(__xludf.DUMMYFUNCTION("GOOGLEFINANCE(""IDX:""&amp;A103,""price"")"),1375.0)</f>
        <v>1375</v>
      </c>
      <c r="D103" s="16" t="str">
        <f>IFERROR(__xludf.DUMMYFUNCTION("IF(A103="""","""",
SPARKLINE(
INDEX(
GOOGLEFINANCE(""IDX:""&amp;A103,""close"",TODAY()-365,TODAY()),
,2
),
{""linewidth"",1}
))
"),"#N/A")</f>
        <v>#N/A</v>
      </c>
      <c r="E103" s="14" t="s">
        <v>28</v>
      </c>
      <c r="F103" s="17" t="s">
        <v>29</v>
      </c>
      <c r="G103" s="24">
        <f t="shared" si="1"/>
        <v>10</v>
      </c>
      <c r="H103" s="19">
        <f>VLOOKUP(A103,Metrik!$C$2:$Y$959,8,0)</f>
        <v>13.6</v>
      </c>
      <c r="I103" s="20">
        <f>VLOOKUP(A103,Metrik!$C$2:$Y$959,9,0)</f>
        <v>2.4</v>
      </c>
      <c r="J103" s="20">
        <f>VLOOKUP(A103,Metrik!$C$2:$Y$959,10,0)</f>
        <v>17.6</v>
      </c>
      <c r="K103" s="20">
        <f>VLOOKUP(A103,Metrik!$C$2:$Y$959,11,0)</f>
        <v>7.7</v>
      </c>
      <c r="L103" s="20">
        <f>VLOOKUP(A103,Metrik!$C$2:$Y$959,12,0)</f>
        <v>1.3</v>
      </c>
      <c r="M103" s="20">
        <f>VLOOKUP(A103,Metrik!$C$2:$Y$959,19,0)</f>
        <v>10</v>
      </c>
      <c r="N103" s="21"/>
      <c r="O103" s="21"/>
      <c r="P103" s="21"/>
      <c r="Q103" s="21"/>
      <c r="R103" s="21"/>
      <c r="S103" s="21"/>
      <c r="T103" s="21"/>
      <c r="U103" s="22">
        <f>IFERROR(__xludf.DUMMYFUNCTION("IFERROR(GOOGLEFINANCE(A103,""closeyest""),"""")"),1335.0)</f>
        <v>1335</v>
      </c>
      <c r="V103" s="23">
        <f>IFERROR(__xludf.DUMMYFUNCTION("IFERROR(GOOGLEFINANCE(A103,""changepct""),"""")"),3.0)</f>
        <v>3</v>
      </c>
      <c r="W103" s="22">
        <f>IFERROR(__xludf.DUMMYFUNCTION("IFERROR(GOOGLEFINANCE(A103,""priceopen""),"""")"),1340.0)</f>
        <v>1340</v>
      </c>
      <c r="X103" s="22">
        <f>IFERROR(__xludf.DUMMYFUNCTION("IFERROR(GOOGLEFINANCE(A103,""high""),"""")"),1415.0)</f>
        <v>1415</v>
      </c>
      <c r="Y103" s="22">
        <f>IFERROR(__xludf.DUMMYFUNCTION("IFERROR(GOOGLEFINANCE(A103,""low""),"""")"),1325.0)</f>
        <v>1325</v>
      </c>
      <c r="Z103" s="22">
        <f>IFERROR(__xludf.DUMMYFUNCTION("IFERROR(GOOGLEFINANCE(A103,""volume""),"""")"),9.12506E7)</f>
        <v>91250600</v>
      </c>
      <c r="AA103" s="24" t="str">
        <f>VLOOKUP(A103,Metrik!$C$2:$Y$959,5,0)</f>
        <v>Food &amp; Staples Retailing</v>
      </c>
      <c r="AB103" s="24" t="str">
        <f>VLOOKUP(A103,Metrik!$C$2:$Y$959,3,0)</f>
        <v>Consumer Non-Cyclicals</v>
      </c>
    </row>
    <row r="104">
      <c r="A104" s="14" t="s">
        <v>101</v>
      </c>
      <c r="B104" s="14" t="str">
        <f t="array" ref="B104">VLOOKUP(A104,{Metrik!$C$2:$C$998,Metrik!$B$2:$B$998},2,0)</f>
        <v>Sumber Alfaria Trijaya Tbk.</v>
      </c>
      <c r="C104" s="15">
        <f>IFERROR(__xludf.DUMMYFUNCTION("GOOGLEFINANCE(""IDX:""&amp;A104,""price"")"),1375.0)</f>
        <v>1375</v>
      </c>
      <c r="D104" s="16" t="str">
        <f>IFERROR(__xludf.DUMMYFUNCTION("IF(A104="""","""",
SPARKLINE(
INDEX(
GOOGLEFINANCE(""IDX:""&amp;A104,""close"",TODAY()-365,TODAY()),
,2
),
{""linewidth"",1}
))
"),"#N/A")</f>
        <v>#N/A</v>
      </c>
      <c r="E104" s="14" t="s">
        <v>32</v>
      </c>
      <c r="F104" s="14" t="s">
        <v>29</v>
      </c>
      <c r="G104" s="24">
        <f t="shared" si="1"/>
        <v>10</v>
      </c>
      <c r="H104" s="19">
        <f>VLOOKUP(A104,Metrik!$C$2:$Y$959,8,0)</f>
        <v>13.6</v>
      </c>
      <c r="I104" s="20">
        <f>VLOOKUP(A104,Metrik!$C$2:$Y$959,9,0)</f>
        <v>2.4</v>
      </c>
      <c r="J104" s="20">
        <f>VLOOKUP(A104,Metrik!$C$2:$Y$959,10,0)</f>
        <v>17.6</v>
      </c>
      <c r="K104" s="20">
        <f>VLOOKUP(A104,Metrik!$C$2:$Y$959,11,0)</f>
        <v>7.7</v>
      </c>
      <c r="L104" s="20">
        <f>VLOOKUP(A104,Metrik!$C$2:$Y$959,12,0)</f>
        <v>1.3</v>
      </c>
      <c r="M104" s="20">
        <f>VLOOKUP(A104,Metrik!$C$2:$Y$959,19,0)</f>
        <v>10</v>
      </c>
      <c r="N104" s="21"/>
      <c r="O104" s="21"/>
      <c r="P104" s="21"/>
      <c r="Q104" s="21"/>
      <c r="R104" s="21"/>
      <c r="S104" s="21"/>
      <c r="T104" s="21"/>
      <c r="U104" s="22">
        <f>IFERROR(__xludf.DUMMYFUNCTION("IFERROR(GOOGLEFINANCE(A104,""closeyest""),"""")"),1335.0)</f>
        <v>1335</v>
      </c>
      <c r="V104" s="23">
        <f>IFERROR(__xludf.DUMMYFUNCTION("IFERROR(GOOGLEFINANCE(A104,""changepct""),"""")"),3.0)</f>
        <v>3</v>
      </c>
      <c r="W104" s="22">
        <f>IFERROR(__xludf.DUMMYFUNCTION("IFERROR(GOOGLEFINANCE(A104,""priceopen""),"""")"),1340.0)</f>
        <v>1340</v>
      </c>
      <c r="X104" s="22">
        <f>IFERROR(__xludf.DUMMYFUNCTION("IFERROR(GOOGLEFINANCE(A104,""high""),"""")"),1415.0)</f>
        <v>1415</v>
      </c>
      <c r="Y104" s="22">
        <f>IFERROR(__xludf.DUMMYFUNCTION("IFERROR(GOOGLEFINANCE(A104,""low""),"""")"),1325.0)</f>
        <v>1325</v>
      </c>
      <c r="Z104" s="22">
        <f>IFERROR(__xludf.DUMMYFUNCTION("IFERROR(GOOGLEFINANCE(A104,""volume""),"""")"),9.12506E7)</f>
        <v>91250600</v>
      </c>
      <c r="AA104" s="24" t="str">
        <f>VLOOKUP(A104,Metrik!$C$2:$Y$959,5,0)</f>
        <v>Food &amp; Staples Retailing</v>
      </c>
      <c r="AB104" s="24" t="str">
        <f>VLOOKUP(A104,Metrik!$C$2:$Y$959,3,0)</f>
        <v>Consumer Non-Cyclicals</v>
      </c>
    </row>
    <row r="105">
      <c r="A105" s="14" t="s">
        <v>101</v>
      </c>
      <c r="B105" s="14" t="str">
        <f t="array" ref="B105">VLOOKUP(A105,{Metrik!$C$2:$C$998,Metrik!$B$2:$B$998},2,0)</f>
        <v>Sumber Alfaria Trijaya Tbk.</v>
      </c>
      <c r="C105" s="15">
        <f>IFERROR(__xludf.DUMMYFUNCTION("GOOGLEFINANCE(""IDX:""&amp;A105,""price"")"),1375.0)</f>
        <v>1375</v>
      </c>
      <c r="D105" s="16" t="str">
        <f>IFERROR(__xludf.DUMMYFUNCTION("IF(A105="""","""",
SPARKLINE(
INDEX(
GOOGLEFINANCE(""IDX:""&amp;A105,""close"",TODAY()-365,TODAY()),
,2
),
{""linewidth"",1}
))
"),"#N/A")</f>
        <v>#N/A</v>
      </c>
      <c r="E105" s="14" t="s">
        <v>67</v>
      </c>
      <c r="F105" s="17" t="s">
        <v>51</v>
      </c>
      <c r="G105" s="24">
        <f t="shared" si="1"/>
        <v>10</v>
      </c>
      <c r="H105" s="19">
        <f>VLOOKUP(A105,Metrik!$C$2:$Y$959,8,0)</f>
        <v>13.6</v>
      </c>
      <c r="I105" s="20">
        <f>VLOOKUP(A105,Metrik!$C$2:$Y$959,9,0)</f>
        <v>2.4</v>
      </c>
      <c r="J105" s="20">
        <f>VLOOKUP(A105,Metrik!$C$2:$Y$959,10,0)</f>
        <v>17.6</v>
      </c>
      <c r="K105" s="20">
        <f>VLOOKUP(A105,Metrik!$C$2:$Y$959,11,0)</f>
        <v>7.7</v>
      </c>
      <c r="L105" s="20">
        <f>VLOOKUP(A105,Metrik!$C$2:$Y$959,12,0)</f>
        <v>1.3</v>
      </c>
      <c r="M105" s="20">
        <f>VLOOKUP(A105,Metrik!$C$2:$Y$959,19,0)</f>
        <v>10</v>
      </c>
      <c r="N105" s="21"/>
      <c r="O105" s="21"/>
      <c r="P105" s="21"/>
      <c r="Q105" s="21"/>
      <c r="R105" s="21"/>
      <c r="S105" s="21"/>
      <c r="T105" s="21"/>
      <c r="U105" s="22">
        <f>IFERROR(__xludf.DUMMYFUNCTION("IFERROR(GOOGLEFINANCE(A105,""closeyest""),"""")"),1335.0)</f>
        <v>1335</v>
      </c>
      <c r="V105" s="23">
        <f>IFERROR(__xludf.DUMMYFUNCTION("IFERROR(GOOGLEFINANCE(A105,""changepct""),"""")"),3.0)</f>
        <v>3</v>
      </c>
      <c r="W105" s="22">
        <f>IFERROR(__xludf.DUMMYFUNCTION("IFERROR(GOOGLEFINANCE(A105,""priceopen""),"""")"),1340.0)</f>
        <v>1340</v>
      </c>
      <c r="X105" s="22">
        <f>IFERROR(__xludf.DUMMYFUNCTION("IFERROR(GOOGLEFINANCE(A105,""high""),"""")"),1415.0)</f>
        <v>1415</v>
      </c>
      <c r="Y105" s="22">
        <f>IFERROR(__xludf.DUMMYFUNCTION("IFERROR(GOOGLEFINANCE(A105,""low""),"""")"),1325.0)</f>
        <v>1325</v>
      </c>
      <c r="Z105" s="22">
        <f>IFERROR(__xludf.DUMMYFUNCTION("IFERROR(GOOGLEFINANCE(A105,""volume""),"""")"),9.12506E7)</f>
        <v>91250600</v>
      </c>
      <c r="AA105" s="24" t="str">
        <f>VLOOKUP(A105,Metrik!$C$2:$Y$959,5,0)</f>
        <v>Food &amp; Staples Retailing</v>
      </c>
      <c r="AB105" s="24" t="str">
        <f>VLOOKUP(A105,Metrik!$C$2:$Y$959,3,0)</f>
        <v>Consumer Non-Cyclicals</v>
      </c>
    </row>
    <row r="106">
      <c r="A106" s="14" t="s">
        <v>101</v>
      </c>
      <c r="B106" s="14" t="str">
        <f t="array" ref="B106">VLOOKUP(A106,{Metrik!$C$2:$C$998,Metrik!$B$2:$B$998},2,0)</f>
        <v>Sumber Alfaria Trijaya Tbk.</v>
      </c>
      <c r="C106" s="15">
        <f>IFERROR(__xludf.DUMMYFUNCTION("GOOGLEFINANCE(""IDX:""&amp;A106,""price"")"),1375.0)</f>
        <v>1375</v>
      </c>
      <c r="D106" s="16" t="str">
        <f>IFERROR(__xludf.DUMMYFUNCTION("IF(A106="""","""",
SPARKLINE(
INDEX(
GOOGLEFINANCE(""IDX:""&amp;A106,""close"",TODAY()-365,TODAY()),
,2
),
{""linewidth"",1}
))
"),"#N/A")</f>
        <v>#N/A</v>
      </c>
      <c r="E106" s="14" t="s">
        <v>30</v>
      </c>
      <c r="F106" s="17" t="s">
        <v>29</v>
      </c>
      <c r="G106" s="24">
        <f t="shared" si="1"/>
        <v>10</v>
      </c>
      <c r="H106" s="19">
        <f>VLOOKUP(A106,Metrik!$C$2:$Y$959,8,0)</f>
        <v>13.6</v>
      </c>
      <c r="I106" s="20">
        <f>VLOOKUP(A106,Metrik!$C$2:$Y$959,9,0)</f>
        <v>2.4</v>
      </c>
      <c r="J106" s="20">
        <f>VLOOKUP(A106,Metrik!$C$2:$Y$959,10,0)</f>
        <v>17.6</v>
      </c>
      <c r="K106" s="20">
        <f>VLOOKUP(A106,Metrik!$C$2:$Y$959,11,0)</f>
        <v>7.7</v>
      </c>
      <c r="L106" s="20">
        <f>VLOOKUP(A106,Metrik!$C$2:$Y$959,12,0)</f>
        <v>1.3</v>
      </c>
      <c r="M106" s="20">
        <f>VLOOKUP(A106,Metrik!$C$2:$Y$959,19,0)</f>
        <v>10</v>
      </c>
      <c r="N106" s="21"/>
      <c r="O106" s="21"/>
      <c r="P106" s="21"/>
      <c r="Q106" s="21"/>
      <c r="R106" s="21"/>
      <c r="S106" s="21"/>
      <c r="T106" s="21"/>
      <c r="U106" s="22">
        <f>IFERROR(__xludf.DUMMYFUNCTION("IFERROR(GOOGLEFINANCE(A106,""closeyest""),"""")"),1335.0)</f>
        <v>1335</v>
      </c>
      <c r="V106" s="23">
        <f>IFERROR(__xludf.DUMMYFUNCTION("IFERROR(GOOGLEFINANCE(A106,""changepct""),"""")"),3.0)</f>
        <v>3</v>
      </c>
      <c r="W106" s="22">
        <f>IFERROR(__xludf.DUMMYFUNCTION("IFERROR(GOOGLEFINANCE(A106,""priceopen""),"""")"),1340.0)</f>
        <v>1340</v>
      </c>
      <c r="X106" s="22">
        <f>IFERROR(__xludf.DUMMYFUNCTION("IFERROR(GOOGLEFINANCE(A106,""high""),"""")"),1415.0)</f>
        <v>1415</v>
      </c>
      <c r="Y106" s="22">
        <f>IFERROR(__xludf.DUMMYFUNCTION("IFERROR(GOOGLEFINANCE(A106,""low""),"""")"),1325.0)</f>
        <v>1325</v>
      </c>
      <c r="Z106" s="22">
        <f>IFERROR(__xludf.DUMMYFUNCTION("IFERROR(GOOGLEFINANCE(A106,""volume""),"""")"),9.12506E7)</f>
        <v>91250600</v>
      </c>
      <c r="AA106" s="24" t="str">
        <f>VLOOKUP(A106,Metrik!$C$2:$Y$959,5,0)</f>
        <v>Food &amp; Staples Retailing</v>
      </c>
      <c r="AB106" s="24" t="str">
        <f>VLOOKUP(A106,Metrik!$C$2:$Y$959,3,0)</f>
        <v>Consumer Non-Cyclicals</v>
      </c>
    </row>
    <row r="107">
      <c r="A107" s="14" t="s">
        <v>101</v>
      </c>
      <c r="B107" s="14" t="str">
        <f t="array" ref="B107">VLOOKUP(A107,{Metrik!$C$2:$C$998,Metrik!$B$2:$B$998},2,0)</f>
        <v>Sumber Alfaria Trijaya Tbk.</v>
      </c>
      <c r="C107" s="15">
        <f>IFERROR(__xludf.DUMMYFUNCTION("GOOGLEFINANCE(""IDX:""&amp;A107,""price"")"),1375.0)</f>
        <v>1375</v>
      </c>
      <c r="D107" s="16" t="str">
        <f>IFERROR(__xludf.DUMMYFUNCTION("IF(A107="""","""",
SPARKLINE(
INDEX(
GOOGLEFINANCE(""IDX:""&amp;A107,""close"",TODAY()-365,TODAY()),
,2
),
{""linewidth"",1}
))
"),"#N/A")</f>
        <v>#N/A</v>
      </c>
      <c r="E107" s="14" t="s">
        <v>31</v>
      </c>
      <c r="F107" s="17" t="s">
        <v>29</v>
      </c>
      <c r="G107" s="24">
        <f t="shared" si="1"/>
        <v>10</v>
      </c>
      <c r="H107" s="19">
        <f>VLOOKUP(A107,Metrik!$C$2:$Y$959,8,0)</f>
        <v>13.6</v>
      </c>
      <c r="I107" s="20">
        <f>VLOOKUP(A107,Metrik!$C$2:$Y$959,9,0)</f>
        <v>2.4</v>
      </c>
      <c r="J107" s="20">
        <f>VLOOKUP(A107,Metrik!$C$2:$Y$959,10,0)</f>
        <v>17.6</v>
      </c>
      <c r="K107" s="20">
        <f>VLOOKUP(A107,Metrik!$C$2:$Y$959,11,0)</f>
        <v>7.7</v>
      </c>
      <c r="L107" s="20">
        <f>VLOOKUP(A107,Metrik!$C$2:$Y$959,12,0)</f>
        <v>1.3</v>
      </c>
      <c r="M107" s="20">
        <f>VLOOKUP(A107,Metrik!$C$2:$Y$959,19,0)</f>
        <v>10</v>
      </c>
      <c r="N107" s="21"/>
      <c r="O107" s="21"/>
      <c r="P107" s="21"/>
      <c r="Q107" s="21"/>
      <c r="R107" s="21"/>
      <c r="S107" s="21"/>
      <c r="T107" s="21"/>
      <c r="U107" s="22">
        <f>IFERROR(__xludf.DUMMYFUNCTION("IFERROR(GOOGLEFINANCE(A107,""closeyest""),"""")"),1335.0)</f>
        <v>1335</v>
      </c>
      <c r="V107" s="23">
        <f>IFERROR(__xludf.DUMMYFUNCTION("IFERROR(GOOGLEFINANCE(A107,""changepct""),"""")"),3.0)</f>
        <v>3</v>
      </c>
      <c r="W107" s="22">
        <f>IFERROR(__xludf.DUMMYFUNCTION("IFERROR(GOOGLEFINANCE(A107,""priceopen""),"""")"),1340.0)</f>
        <v>1340</v>
      </c>
      <c r="X107" s="22">
        <f>IFERROR(__xludf.DUMMYFUNCTION("IFERROR(GOOGLEFINANCE(A107,""high""),"""")"),1415.0)</f>
        <v>1415</v>
      </c>
      <c r="Y107" s="22">
        <f>IFERROR(__xludf.DUMMYFUNCTION("IFERROR(GOOGLEFINANCE(A107,""low""),"""")"),1325.0)</f>
        <v>1325</v>
      </c>
      <c r="Z107" s="22">
        <f>IFERROR(__xludf.DUMMYFUNCTION("IFERROR(GOOGLEFINANCE(A107,""volume""),"""")"),9.12506E7)</f>
        <v>91250600</v>
      </c>
      <c r="AA107" s="24" t="str">
        <f>VLOOKUP(A107,Metrik!$C$2:$Y$959,5,0)</f>
        <v>Food &amp; Staples Retailing</v>
      </c>
      <c r="AB107" s="24" t="str">
        <f>VLOOKUP(A107,Metrik!$C$2:$Y$959,3,0)</f>
        <v>Consumer Non-Cyclicals</v>
      </c>
    </row>
    <row r="108">
      <c r="A108" s="14" t="s">
        <v>101</v>
      </c>
      <c r="B108" s="14" t="str">
        <f t="array" ref="B108">VLOOKUP(A108,{Metrik!$C$2:$C$998,Metrik!$B$2:$B$998},2,0)</f>
        <v>Sumber Alfaria Trijaya Tbk.</v>
      </c>
      <c r="C108" s="15">
        <f>IFERROR(__xludf.DUMMYFUNCTION("GOOGLEFINANCE(""IDX:""&amp;A108,""price"")"),1375.0)</f>
        <v>1375</v>
      </c>
      <c r="D108" s="16" t="str">
        <f>IFERROR(__xludf.DUMMYFUNCTION("IF(A108="""","""",
SPARKLINE(
INDEX(
GOOGLEFINANCE(""IDX:""&amp;A108,""close"",TODAY()-365,TODAY()),
,2
),
{""linewidth"",1}
))
"),"#N/A")</f>
        <v>#N/A</v>
      </c>
      <c r="E108" s="14" t="s">
        <v>102</v>
      </c>
      <c r="F108" s="27" t="s">
        <v>53</v>
      </c>
      <c r="G108" s="24">
        <f t="shared" si="1"/>
        <v>10</v>
      </c>
      <c r="H108" s="19">
        <f>VLOOKUP(A108,Metrik!$C$2:$Y$959,8,0)</f>
        <v>13.6</v>
      </c>
      <c r="I108" s="20">
        <f>VLOOKUP(A108,Metrik!$C$2:$Y$959,9,0)</f>
        <v>2.4</v>
      </c>
      <c r="J108" s="20">
        <f>VLOOKUP(A108,Metrik!$C$2:$Y$959,10,0)</f>
        <v>17.6</v>
      </c>
      <c r="K108" s="20">
        <f>VLOOKUP(A108,Metrik!$C$2:$Y$959,11,0)</f>
        <v>7.7</v>
      </c>
      <c r="L108" s="20">
        <f>VLOOKUP(A108,Metrik!$C$2:$Y$959,12,0)</f>
        <v>1.3</v>
      </c>
      <c r="M108" s="20">
        <f>VLOOKUP(A108,Metrik!$C$2:$Y$959,19,0)</f>
        <v>10</v>
      </c>
      <c r="N108" s="21"/>
      <c r="O108" s="21"/>
      <c r="P108" s="21"/>
      <c r="Q108" s="21"/>
      <c r="R108" s="21"/>
      <c r="S108" s="21"/>
      <c r="T108" s="21"/>
      <c r="U108" s="22">
        <f>IFERROR(__xludf.DUMMYFUNCTION("IFERROR(GOOGLEFINANCE(A108,""closeyest""),"""")"),1335.0)</f>
        <v>1335</v>
      </c>
      <c r="V108" s="23">
        <f>IFERROR(__xludf.DUMMYFUNCTION("IFERROR(GOOGLEFINANCE(A108,""changepct""),"""")"),3.0)</f>
        <v>3</v>
      </c>
      <c r="W108" s="22">
        <f>IFERROR(__xludf.DUMMYFUNCTION("IFERROR(GOOGLEFINANCE(A108,""priceopen""),"""")"),1340.0)</f>
        <v>1340</v>
      </c>
      <c r="X108" s="22">
        <f>IFERROR(__xludf.DUMMYFUNCTION("IFERROR(GOOGLEFINANCE(A108,""high""),"""")"),1415.0)</f>
        <v>1415</v>
      </c>
      <c r="Y108" s="22">
        <f>IFERROR(__xludf.DUMMYFUNCTION("IFERROR(GOOGLEFINANCE(A108,""low""),"""")"),1325.0)</f>
        <v>1325</v>
      </c>
      <c r="Z108" s="22">
        <f>IFERROR(__xludf.DUMMYFUNCTION("IFERROR(GOOGLEFINANCE(A108,""volume""),"""")"),9.12506E7)</f>
        <v>91250600</v>
      </c>
      <c r="AA108" s="24" t="str">
        <f>VLOOKUP(A108,Metrik!$C$2:$Y$959,5,0)</f>
        <v>Food &amp; Staples Retailing</v>
      </c>
      <c r="AB108" s="24" t="str">
        <f>VLOOKUP(A108,Metrik!$C$2:$Y$959,3,0)</f>
        <v>Consumer Non-Cyclicals</v>
      </c>
    </row>
    <row r="109">
      <c r="A109" s="17" t="s">
        <v>101</v>
      </c>
      <c r="B109" s="14" t="str">
        <f t="array" ref="B109">VLOOKUP(A109,{Metrik!$C$2:$C$998,Metrik!$B$2:$B$998},2,0)</f>
        <v>Sumber Alfaria Trijaya Tbk.</v>
      </c>
      <c r="C109" s="15">
        <f>IFERROR(__xludf.DUMMYFUNCTION("GOOGLEFINANCE(""IDX:""&amp;A109,""price"")"),1375.0)</f>
        <v>1375</v>
      </c>
      <c r="D109" s="16" t="str">
        <f>IFERROR(__xludf.DUMMYFUNCTION("IF(A109="""","""",
SPARKLINE(
INDEX(
GOOGLEFINANCE(""IDX:""&amp;A109,""close"",TODAY()-365,TODAY()),
,2
),
{""linewidth"",1}
))
"),"#N/A")</f>
        <v>#N/A</v>
      </c>
      <c r="E109" s="17" t="s">
        <v>69</v>
      </c>
      <c r="F109" s="17" t="s">
        <v>70</v>
      </c>
      <c r="G109" s="24">
        <f t="shared" si="1"/>
        <v>10</v>
      </c>
      <c r="H109" s="19">
        <f>VLOOKUP(A109,Metrik!$C$2:$Y$959,8,0)</f>
        <v>13.6</v>
      </c>
      <c r="I109" s="20">
        <f>VLOOKUP(A109,Metrik!$C$2:$Y$959,9,0)</f>
        <v>2.4</v>
      </c>
      <c r="J109" s="20">
        <f>VLOOKUP(A109,Metrik!$C$2:$Y$959,10,0)</f>
        <v>17.6</v>
      </c>
      <c r="K109" s="20">
        <f>VLOOKUP(A109,Metrik!$C$2:$Y$959,11,0)</f>
        <v>7.7</v>
      </c>
      <c r="L109" s="20">
        <f>VLOOKUP(A109,Metrik!$C$2:$Y$959,12,0)</f>
        <v>1.3</v>
      </c>
      <c r="M109" s="20">
        <f>VLOOKUP(A109,Metrik!$C$2:$Y$959,19,0)</f>
        <v>10</v>
      </c>
      <c r="N109" s="21"/>
      <c r="O109" s="21"/>
      <c r="P109" s="21"/>
      <c r="Q109" s="21"/>
      <c r="R109" s="21"/>
      <c r="S109" s="21"/>
      <c r="T109" s="21"/>
      <c r="U109" s="22">
        <f>IFERROR(__xludf.DUMMYFUNCTION("IFERROR(GOOGLEFINANCE(A109,""closeyest""),"""")"),1335.0)</f>
        <v>1335</v>
      </c>
      <c r="V109" s="23">
        <f>IFERROR(__xludf.DUMMYFUNCTION("IFERROR(GOOGLEFINANCE(A109,""changepct""),"""")"),3.0)</f>
        <v>3</v>
      </c>
      <c r="W109" s="22">
        <f>IFERROR(__xludf.DUMMYFUNCTION("IFERROR(GOOGLEFINANCE(A109,""priceopen""),"""")"),1340.0)</f>
        <v>1340</v>
      </c>
      <c r="X109" s="22">
        <f>IFERROR(__xludf.DUMMYFUNCTION("IFERROR(GOOGLEFINANCE(A109,""high""),"""")"),1415.0)</f>
        <v>1415</v>
      </c>
      <c r="Y109" s="22">
        <f>IFERROR(__xludf.DUMMYFUNCTION("IFERROR(GOOGLEFINANCE(A109,""low""),"""")"),1325.0)</f>
        <v>1325</v>
      </c>
      <c r="Z109" s="22">
        <f>IFERROR(__xludf.DUMMYFUNCTION("IFERROR(GOOGLEFINANCE(A109,""volume""),"""")"),9.12506E7)</f>
        <v>91250600</v>
      </c>
      <c r="AA109" s="24" t="str">
        <f>VLOOKUP(A109,Metrik!$C$2:$Y$959,5,0)</f>
        <v>Food &amp; Staples Retailing</v>
      </c>
      <c r="AB109" s="24" t="str">
        <f>VLOOKUP(A109,Metrik!$C$2:$Y$959,3,0)</f>
        <v>Consumer Non-Cyclicals</v>
      </c>
    </row>
    <row r="110">
      <c r="A110" s="17" t="s">
        <v>101</v>
      </c>
      <c r="B110" s="14" t="str">
        <f t="array" ref="B110">VLOOKUP(A110,{Metrik!$C$2:$C$998,Metrik!$B$2:$B$998},2,0)</f>
        <v>Sumber Alfaria Trijaya Tbk.</v>
      </c>
      <c r="C110" s="15">
        <f>IFERROR(__xludf.DUMMYFUNCTION("GOOGLEFINANCE(""IDX:""&amp;A110,""price"")"),1375.0)</f>
        <v>1375</v>
      </c>
      <c r="D110" s="16" t="str">
        <f>IFERROR(__xludf.DUMMYFUNCTION("IF(A110="""","""",
SPARKLINE(
INDEX(
GOOGLEFINANCE(""IDX:""&amp;A110,""close"",TODAY()-365,TODAY()),
,2
),
{""linewidth"",1}
))
"),"#N/A")</f>
        <v>#N/A</v>
      </c>
      <c r="E110" s="14" t="s">
        <v>35</v>
      </c>
      <c r="F110" s="17" t="s">
        <v>36</v>
      </c>
      <c r="G110" s="24">
        <f t="shared" si="1"/>
        <v>10</v>
      </c>
      <c r="H110" s="19">
        <f>VLOOKUP(A110,Metrik!$C$2:$Y$959,8,0)</f>
        <v>13.6</v>
      </c>
      <c r="I110" s="20">
        <f>VLOOKUP(A110,Metrik!$C$2:$Y$959,9,0)</f>
        <v>2.4</v>
      </c>
      <c r="J110" s="20">
        <f>VLOOKUP(A110,Metrik!$C$2:$Y$959,10,0)</f>
        <v>17.6</v>
      </c>
      <c r="K110" s="20">
        <f>VLOOKUP(A110,Metrik!$C$2:$Y$959,11,0)</f>
        <v>7.7</v>
      </c>
      <c r="L110" s="20">
        <f>VLOOKUP(A110,Metrik!$C$2:$Y$959,12,0)</f>
        <v>1.3</v>
      </c>
      <c r="M110" s="20">
        <f>VLOOKUP(A110,Metrik!$C$2:$Y$959,19,0)</f>
        <v>10</v>
      </c>
      <c r="N110" s="21"/>
      <c r="O110" s="21"/>
      <c r="P110" s="21"/>
      <c r="Q110" s="21"/>
      <c r="R110" s="21"/>
      <c r="S110" s="21"/>
      <c r="T110" s="21"/>
      <c r="U110" s="22">
        <f>IFERROR(__xludf.DUMMYFUNCTION("IFERROR(GOOGLEFINANCE(A110,""closeyest""),"""")"),1335.0)</f>
        <v>1335</v>
      </c>
      <c r="V110" s="23">
        <f>IFERROR(__xludf.DUMMYFUNCTION("IFERROR(GOOGLEFINANCE(A110,""changepct""),"""")"),3.0)</f>
        <v>3</v>
      </c>
      <c r="W110" s="22">
        <f>IFERROR(__xludf.DUMMYFUNCTION("IFERROR(GOOGLEFINANCE(A110,""priceopen""),"""")"),1340.0)</f>
        <v>1340</v>
      </c>
      <c r="X110" s="22">
        <f>IFERROR(__xludf.DUMMYFUNCTION("IFERROR(GOOGLEFINANCE(A110,""high""),"""")"),1415.0)</f>
        <v>1415</v>
      </c>
      <c r="Y110" s="22">
        <f>IFERROR(__xludf.DUMMYFUNCTION("IFERROR(GOOGLEFINANCE(A110,""low""),"""")"),1325.0)</f>
        <v>1325</v>
      </c>
      <c r="Z110" s="22">
        <f>IFERROR(__xludf.DUMMYFUNCTION("IFERROR(GOOGLEFINANCE(A110,""volume""),"""")"),9.12506E7)</f>
        <v>91250600</v>
      </c>
      <c r="AA110" s="24" t="str">
        <f>VLOOKUP(A110,Metrik!$C$2:$Y$959,5,0)</f>
        <v>Food &amp; Staples Retailing</v>
      </c>
      <c r="AB110" s="24" t="str">
        <f>VLOOKUP(A110,Metrik!$C$2:$Y$959,3,0)</f>
        <v>Consumer Non-Cyclicals</v>
      </c>
    </row>
    <row r="111">
      <c r="A111" s="14" t="s">
        <v>101</v>
      </c>
      <c r="B111" s="14" t="str">
        <f t="array" ref="B111">VLOOKUP(A111,{Metrik!$C$2:$C$998,Metrik!$B$2:$B$998},2,0)</f>
        <v>Sumber Alfaria Trijaya Tbk.</v>
      </c>
      <c r="C111" s="15">
        <f>IFERROR(__xludf.DUMMYFUNCTION("GOOGLEFINANCE(""IDX:""&amp;A111,""price"")"),1375.0)</f>
        <v>1375</v>
      </c>
      <c r="D111" s="16" t="str">
        <f>IFERROR(__xludf.DUMMYFUNCTION("IF(A111="""","""",
SPARKLINE(
INDEX(
GOOGLEFINANCE(""IDX:""&amp;A111,""close"",TODAY()-365,TODAY()),
,2
),
{""linewidth"",1}
))
"),"#N/A")</f>
        <v>#N/A</v>
      </c>
      <c r="E111" s="14" t="s">
        <v>42</v>
      </c>
      <c r="F111" s="25">
        <v>46356.0</v>
      </c>
      <c r="G111" s="24">
        <f t="shared" si="1"/>
        <v>10</v>
      </c>
      <c r="H111" s="19">
        <f>VLOOKUP(A111,Metrik!$C$2:$Y$959,8,0)</f>
        <v>13.6</v>
      </c>
      <c r="I111" s="20">
        <f>VLOOKUP(A111,Metrik!$C$2:$Y$959,9,0)</f>
        <v>2.4</v>
      </c>
      <c r="J111" s="20">
        <f>VLOOKUP(A111,Metrik!$C$2:$Y$959,10,0)</f>
        <v>17.6</v>
      </c>
      <c r="K111" s="20">
        <f>VLOOKUP(A111,Metrik!$C$2:$Y$959,11,0)</f>
        <v>7.7</v>
      </c>
      <c r="L111" s="20">
        <f>VLOOKUP(A111,Metrik!$C$2:$Y$959,12,0)</f>
        <v>1.3</v>
      </c>
      <c r="M111" s="20">
        <f>VLOOKUP(A111,Metrik!$C$2:$Y$959,19,0)</f>
        <v>10</v>
      </c>
      <c r="N111" s="21"/>
      <c r="O111" s="21"/>
      <c r="P111" s="21"/>
      <c r="Q111" s="21"/>
      <c r="R111" s="21"/>
      <c r="S111" s="21"/>
      <c r="T111" s="21"/>
      <c r="U111" s="22">
        <f>IFERROR(__xludf.DUMMYFUNCTION("IFERROR(GOOGLEFINANCE(A111,""closeyest""),"""")"),1335.0)</f>
        <v>1335</v>
      </c>
      <c r="V111" s="23">
        <f>IFERROR(__xludf.DUMMYFUNCTION("IFERROR(GOOGLEFINANCE(A111,""changepct""),"""")"),3.0)</f>
        <v>3</v>
      </c>
      <c r="W111" s="22">
        <f>IFERROR(__xludf.DUMMYFUNCTION("IFERROR(GOOGLEFINANCE(A111,""priceopen""),"""")"),1340.0)</f>
        <v>1340</v>
      </c>
      <c r="X111" s="22">
        <f>IFERROR(__xludf.DUMMYFUNCTION("IFERROR(GOOGLEFINANCE(A111,""high""),"""")"),1415.0)</f>
        <v>1415</v>
      </c>
      <c r="Y111" s="22">
        <f>IFERROR(__xludf.DUMMYFUNCTION("IFERROR(GOOGLEFINANCE(A111,""low""),"""")"),1325.0)</f>
        <v>1325</v>
      </c>
      <c r="Z111" s="22">
        <f>IFERROR(__xludf.DUMMYFUNCTION("IFERROR(GOOGLEFINANCE(A111,""volume""),"""")"),9.12506E7)</f>
        <v>91250600</v>
      </c>
      <c r="AA111" s="24" t="str">
        <f>VLOOKUP(A111,Metrik!$C$2:$Y$959,5,0)</f>
        <v>Food &amp; Staples Retailing</v>
      </c>
      <c r="AB111" s="24" t="str">
        <f>VLOOKUP(A111,Metrik!$C$2:$Y$959,3,0)</f>
        <v>Consumer Non-Cyclicals</v>
      </c>
    </row>
    <row r="112">
      <c r="A112" s="14" t="s">
        <v>103</v>
      </c>
      <c r="B112" s="14" t="str">
        <f t="array" ref="B112">VLOOKUP(A112,{Metrik!$C$2:$C$998,Metrik!$B$2:$B$998},2,0)</f>
        <v>Andira Agro Tbk.</v>
      </c>
      <c r="C112" s="15">
        <f>IFERROR(__xludf.DUMMYFUNCTION("GOOGLEFINANCE(""IDX:""&amp;A112,""price"")"),18.0)</f>
        <v>18</v>
      </c>
      <c r="D112" s="16" t="str">
        <f>IFERROR(__xludf.DUMMYFUNCTION("IF(A112="""","""",
SPARKLINE(
INDEX(
GOOGLEFINANCE(""IDX:""&amp;A112,""close"",TODAY()-365,TODAY()),
,2
),
{""linewidth"",1}
))
"),"#N/A")</f>
        <v>#N/A</v>
      </c>
      <c r="E112" s="26"/>
      <c r="F112" s="26"/>
      <c r="G112" s="24">
        <f t="shared" si="1"/>
        <v>0</v>
      </c>
      <c r="H112" s="19">
        <f>VLOOKUP(A112,Metrik!$C$2:$Y$959,8,0)</f>
        <v>-3.7</v>
      </c>
      <c r="I112" s="20">
        <f>VLOOKUP(A112,Metrik!$C$2:$Y$959,9,0)</f>
        <v>1.7</v>
      </c>
      <c r="J112" s="20">
        <f>VLOOKUP(A112,Metrik!$C$2:$Y$959,10,0)</f>
        <v>-45.6</v>
      </c>
      <c r="K112" s="20">
        <f>VLOOKUP(A112,Metrik!$C$2:$Y$959,11,0)</f>
        <v>-18.6</v>
      </c>
      <c r="L112" s="20">
        <f>VLOOKUP(A112,Metrik!$C$2:$Y$959,12,0)</f>
        <v>1.5</v>
      </c>
      <c r="M112" s="20">
        <f>VLOOKUP(A112,Metrik!$C$2:$Y$959,19,0)</f>
        <v>-210</v>
      </c>
      <c r="N112" s="21"/>
      <c r="O112" s="21"/>
      <c r="P112" s="21"/>
      <c r="Q112" s="21"/>
      <c r="R112" s="21"/>
      <c r="S112" s="21"/>
      <c r="T112" s="21"/>
      <c r="U112" s="22">
        <f>IFERROR(__xludf.DUMMYFUNCTION("IFERROR(GOOGLEFINANCE(A112,""closeyest""),"""")"),0.0)</f>
        <v>0</v>
      </c>
      <c r="V112" s="23" t="str">
        <f>IFERROR(__xludf.DUMMYFUNCTION("IFERROR(GOOGLEFINANCE(A112,""changepct""),"""")"),"")</f>
        <v/>
      </c>
      <c r="W112" s="22">
        <f>IFERROR(__xludf.DUMMYFUNCTION("IFERROR(GOOGLEFINANCE(A112,""priceopen""),"""")"),0.0)</f>
        <v>0</v>
      </c>
      <c r="X112" s="22">
        <f>IFERROR(__xludf.DUMMYFUNCTION("IFERROR(GOOGLEFINANCE(A112,""high""),"""")"),0.0)</f>
        <v>0</v>
      </c>
      <c r="Y112" s="22">
        <f>IFERROR(__xludf.DUMMYFUNCTION("IFERROR(GOOGLEFINANCE(A112,""low""),"""")"),0.0)</f>
        <v>0</v>
      </c>
      <c r="Z112" s="22">
        <f>IFERROR(__xludf.DUMMYFUNCTION("IFERROR(GOOGLEFINANCE(A112,""volume""),"""")"),700.0)</f>
        <v>700</v>
      </c>
      <c r="AA112" s="24" t="str">
        <f>VLOOKUP(A112,Metrik!$C$2:$Y$959,5,0)</f>
        <v>Agricultural Products</v>
      </c>
      <c r="AB112" s="24" t="str">
        <f>VLOOKUP(A112,Metrik!$C$2:$Y$959,3,0)</f>
        <v>Consumer Non-Cyclicals</v>
      </c>
    </row>
    <row r="113">
      <c r="A113" s="14" t="s">
        <v>104</v>
      </c>
      <c r="B113" s="14" t="str">
        <f t="array" ref="B113">VLOOKUP(A113,{Metrik!$C$2:$C$998,Metrik!$B$2:$B$998},2,0)</f>
        <v>PT Austindo Nusantara Jaya Tbk.</v>
      </c>
      <c r="C113" s="15">
        <f>IFERROR(__xludf.DUMMYFUNCTION("GOOGLEFINANCE(""IDX:""&amp;A113,""price"")"),1500.0)</f>
        <v>1500</v>
      </c>
      <c r="D113" s="16" t="str">
        <f>IFERROR(__xludf.DUMMYFUNCTION("IF(A113="""","""",
SPARKLINE(
INDEX(
GOOGLEFINANCE(""IDX:""&amp;A113,""close"",TODAY()-365,TODAY()),
,2
),
{""linewidth"",1}
))
"),"#N/A")</f>
        <v>#N/A</v>
      </c>
      <c r="E113" s="26"/>
      <c r="F113" s="26"/>
      <c r="G113" s="24">
        <f t="shared" si="1"/>
        <v>0</v>
      </c>
      <c r="H113" s="19">
        <f>VLOOKUP(A113,Metrik!$C$2:$Y$959,8,0)</f>
        <v>10.5</v>
      </c>
      <c r="I113" s="20">
        <f>VLOOKUP(A113,Metrik!$C$2:$Y$959,9,0)</f>
        <v>0.82</v>
      </c>
      <c r="J113" s="20">
        <f>VLOOKUP(A113,Metrik!$C$2:$Y$959,10,0)</f>
        <v>7.9</v>
      </c>
      <c r="K113" s="20">
        <f>VLOOKUP(A113,Metrik!$C$2:$Y$959,11,0)</f>
        <v>5.4</v>
      </c>
      <c r="L113" s="20">
        <f>VLOOKUP(A113,Metrik!$C$2:$Y$959,12,0)</f>
        <v>0.45</v>
      </c>
      <c r="M113" s="20">
        <f>VLOOKUP(A113,Metrik!$C$2:$Y$959,19,0)</f>
        <v>17.2</v>
      </c>
      <c r="N113" s="21"/>
      <c r="O113" s="21"/>
      <c r="P113" s="21"/>
      <c r="Q113" s="21"/>
      <c r="R113" s="21"/>
      <c r="S113" s="21"/>
      <c r="T113" s="21"/>
      <c r="U113" s="22">
        <f>IFERROR(__xludf.DUMMYFUNCTION("IFERROR(GOOGLEFINANCE(A113,""closeyest""),"""")"),1450.0)</f>
        <v>1450</v>
      </c>
      <c r="V113" s="23">
        <f>IFERROR(__xludf.DUMMYFUNCTION("IFERROR(GOOGLEFINANCE(A113,""changepct""),"""")"),3.45)</f>
        <v>3.45</v>
      </c>
      <c r="W113" s="22">
        <f>IFERROR(__xludf.DUMMYFUNCTION("IFERROR(GOOGLEFINANCE(A113,""priceopen""),"""")"),1350.0)</f>
        <v>1350</v>
      </c>
      <c r="X113" s="22">
        <f>IFERROR(__xludf.DUMMYFUNCTION("IFERROR(GOOGLEFINANCE(A113,""high""),"""")"),1510.0)</f>
        <v>1510</v>
      </c>
      <c r="Y113" s="22">
        <f>IFERROR(__xludf.DUMMYFUNCTION("IFERROR(GOOGLEFINANCE(A113,""low""),"""")"),1350.0)</f>
        <v>1350</v>
      </c>
      <c r="Z113" s="22">
        <f>IFERROR(__xludf.DUMMYFUNCTION("IFERROR(GOOGLEFINANCE(A113,""volume""),"""")"),110900.0)</f>
        <v>110900</v>
      </c>
      <c r="AA113" s="24" t="str">
        <f>VLOOKUP(A113,Metrik!$C$2:$Y$959,5,0)</f>
        <v>Agricultural Products</v>
      </c>
      <c r="AB113" s="24" t="str">
        <f>VLOOKUP(A113,Metrik!$C$2:$Y$959,3,0)</f>
        <v>Consumer Non-Cyclicals</v>
      </c>
    </row>
    <row r="114">
      <c r="A114" s="14" t="s">
        <v>105</v>
      </c>
      <c r="B114" s="14" t="str">
        <f t="array" ref="B114">VLOOKUP(A114,{Metrik!$C$2:$C$998,Metrik!$B$2:$B$998},2,0)</f>
        <v>Aneka Tambang Tbk.</v>
      </c>
      <c r="C114" s="15">
        <f>IFERROR(__xludf.DUMMYFUNCTION("GOOGLEFINANCE(""IDX:""&amp;A114,""price"")"),2850.0)</f>
        <v>2850</v>
      </c>
      <c r="D114" s="16" t="str">
        <f>IFERROR(__xludf.DUMMYFUNCTION("IF(A114="""","""",
SPARKLINE(
INDEX(
GOOGLEFINANCE(""IDX:""&amp;A114,""close"",TODAY()-365,TODAY()),
,2
),
{""linewidth"",1}
))
"),"#N/A")</f>
        <v>#N/A</v>
      </c>
      <c r="E114" s="14" t="s">
        <v>47</v>
      </c>
      <c r="F114" s="25">
        <v>46356.0</v>
      </c>
      <c r="G114" s="18">
        <f t="shared" si="1"/>
        <v>19</v>
      </c>
      <c r="H114" s="19">
        <f>VLOOKUP(A114,Metrik!$C$2:$Y$959,8,0)</f>
        <v>8.2</v>
      </c>
      <c r="I114" s="20">
        <f>VLOOKUP(A114,Metrik!$C$2:$Y$959,9,0)</f>
        <v>1.7</v>
      </c>
      <c r="J114" s="20">
        <f>VLOOKUP(A114,Metrik!$C$2:$Y$959,10,0)</f>
        <v>21</v>
      </c>
      <c r="K114" s="20">
        <f>VLOOKUP(A114,Metrik!$C$2:$Y$959,11,0)</f>
        <v>13.4</v>
      </c>
      <c r="L114" s="20">
        <f>VLOOKUP(A114,Metrik!$C$2:$Y$959,12,0)</f>
        <v>0.57</v>
      </c>
      <c r="M114" s="20">
        <f>VLOOKUP(A114,Metrik!$C$2:$Y$959,19,0)</f>
        <v>28.9</v>
      </c>
      <c r="N114" s="21"/>
      <c r="O114" s="21"/>
      <c r="P114" s="21"/>
      <c r="Q114" s="21"/>
      <c r="R114" s="21"/>
      <c r="S114" s="21"/>
      <c r="T114" s="21"/>
      <c r="U114" s="22">
        <f>IFERROR(__xludf.DUMMYFUNCTION("IFERROR(GOOGLEFINANCE(A114,""closeyest""),"""")"),2720.0)</f>
        <v>2720</v>
      </c>
      <c r="V114" s="23">
        <f>IFERROR(__xludf.DUMMYFUNCTION("IFERROR(GOOGLEFINANCE(A114,""changepct""),"""")"),4.78)</f>
        <v>4.78</v>
      </c>
      <c r="W114" s="22">
        <f>IFERROR(__xludf.DUMMYFUNCTION("IFERROR(GOOGLEFINANCE(A114,""priceopen""),"""")"),2800.0)</f>
        <v>2800</v>
      </c>
      <c r="X114" s="22">
        <f>IFERROR(__xludf.DUMMYFUNCTION("IFERROR(GOOGLEFINANCE(A114,""high""),"""")"),2910.0)</f>
        <v>2910</v>
      </c>
      <c r="Y114" s="22">
        <f>IFERROR(__xludf.DUMMYFUNCTION("IFERROR(GOOGLEFINANCE(A114,""low""),"""")"),2760.0)</f>
        <v>2760</v>
      </c>
      <c r="Z114" s="22">
        <f>IFERROR(__xludf.DUMMYFUNCTION("IFERROR(GOOGLEFINANCE(A114,""volume""),"""")"),1.748085E8)</f>
        <v>174808500</v>
      </c>
      <c r="AA114" s="24" t="str">
        <f>VLOOKUP(A114,Metrik!$C$2:$Y$959,5,0)</f>
        <v>Metals &amp; Minerals</v>
      </c>
      <c r="AB114" s="24" t="str">
        <f>VLOOKUP(A114,Metrik!$C$2:$Y$959,3,0)</f>
        <v>Basic Materials</v>
      </c>
    </row>
    <row r="115">
      <c r="A115" s="14" t="s">
        <v>105</v>
      </c>
      <c r="B115" s="14" t="str">
        <f t="array" ref="B115">VLOOKUP(A115,{Metrik!$C$2:$C$998,Metrik!$B$2:$B$998},2,0)</f>
        <v>Aneka Tambang Tbk.</v>
      </c>
      <c r="C115" s="15">
        <f>IFERROR(__xludf.DUMMYFUNCTION("GOOGLEFINANCE(""IDX:""&amp;A115,""price"")"),2850.0)</f>
        <v>2850</v>
      </c>
      <c r="D115" s="16" t="str">
        <f>IFERROR(__xludf.DUMMYFUNCTION("IF(A115="""","""",
SPARKLINE(
INDEX(
GOOGLEFINANCE(""IDX:""&amp;A115,""close"",TODAY()-365,TODAY()),
,2
),
{""linewidth"",1}
))
"),"#N/A")</f>
        <v>#N/A</v>
      </c>
      <c r="E115" s="14" t="s">
        <v>48</v>
      </c>
      <c r="F115" s="14" t="s">
        <v>49</v>
      </c>
      <c r="G115" s="18">
        <f t="shared" si="1"/>
        <v>19</v>
      </c>
      <c r="H115" s="19">
        <f>VLOOKUP(A115,Metrik!$C$2:$Y$959,8,0)</f>
        <v>8.2</v>
      </c>
      <c r="I115" s="20">
        <f>VLOOKUP(A115,Metrik!$C$2:$Y$959,9,0)</f>
        <v>1.7</v>
      </c>
      <c r="J115" s="20">
        <f>VLOOKUP(A115,Metrik!$C$2:$Y$959,10,0)</f>
        <v>21</v>
      </c>
      <c r="K115" s="20">
        <f>VLOOKUP(A115,Metrik!$C$2:$Y$959,11,0)</f>
        <v>13.4</v>
      </c>
      <c r="L115" s="20">
        <f>VLOOKUP(A115,Metrik!$C$2:$Y$959,12,0)</f>
        <v>0.57</v>
      </c>
      <c r="M115" s="20">
        <f>VLOOKUP(A115,Metrik!$C$2:$Y$959,19,0)</f>
        <v>28.9</v>
      </c>
      <c r="N115" s="21"/>
      <c r="O115" s="21"/>
      <c r="P115" s="21"/>
      <c r="Q115" s="21"/>
      <c r="R115" s="21"/>
      <c r="S115" s="21"/>
      <c r="T115" s="21"/>
      <c r="U115" s="22">
        <f>IFERROR(__xludf.DUMMYFUNCTION("IFERROR(GOOGLEFINANCE(A115,""closeyest""),"""")"),2720.0)</f>
        <v>2720</v>
      </c>
      <c r="V115" s="23">
        <f>IFERROR(__xludf.DUMMYFUNCTION("IFERROR(GOOGLEFINANCE(A115,""changepct""),"""")"),4.78)</f>
        <v>4.78</v>
      </c>
      <c r="W115" s="22">
        <f>IFERROR(__xludf.DUMMYFUNCTION("IFERROR(GOOGLEFINANCE(A115,""priceopen""),"""")"),2800.0)</f>
        <v>2800</v>
      </c>
      <c r="X115" s="22">
        <f>IFERROR(__xludf.DUMMYFUNCTION("IFERROR(GOOGLEFINANCE(A115,""high""),"""")"),2910.0)</f>
        <v>2910</v>
      </c>
      <c r="Y115" s="22">
        <f>IFERROR(__xludf.DUMMYFUNCTION("IFERROR(GOOGLEFINANCE(A115,""low""),"""")"),2760.0)</f>
        <v>2760</v>
      </c>
      <c r="Z115" s="22">
        <f>IFERROR(__xludf.DUMMYFUNCTION("IFERROR(GOOGLEFINANCE(A115,""volume""),"""")"),1.748085E8)</f>
        <v>174808500</v>
      </c>
      <c r="AA115" s="24" t="str">
        <f>VLOOKUP(A115,Metrik!$C$2:$Y$959,5,0)</f>
        <v>Metals &amp; Minerals</v>
      </c>
      <c r="AB115" s="24" t="str">
        <f>VLOOKUP(A115,Metrik!$C$2:$Y$959,3,0)</f>
        <v>Basic Materials</v>
      </c>
    </row>
    <row r="116">
      <c r="A116" s="14" t="s">
        <v>105</v>
      </c>
      <c r="B116" s="14" t="str">
        <f t="array" ref="B116">VLOOKUP(A116,{Metrik!$C$2:$C$998,Metrik!$B$2:$B$998},2,0)</f>
        <v>Aneka Tambang Tbk.</v>
      </c>
      <c r="C116" s="15">
        <f>IFERROR(__xludf.DUMMYFUNCTION("GOOGLEFINANCE(""IDX:""&amp;A116,""price"")"),2850.0)</f>
        <v>2850</v>
      </c>
      <c r="D116" s="16" t="str">
        <f>IFERROR(__xludf.DUMMYFUNCTION("IF(A116="""","""",
SPARKLINE(
INDEX(
GOOGLEFINANCE(""IDX:""&amp;A116,""close"",TODAY()-365,TODAY()),
,2
),
{""linewidth"",1}
))
"),"#N/A")</f>
        <v>#N/A</v>
      </c>
      <c r="E116" s="14" t="s">
        <v>28</v>
      </c>
      <c r="F116" s="17" t="s">
        <v>29</v>
      </c>
      <c r="G116" s="18">
        <f t="shared" si="1"/>
        <v>19</v>
      </c>
      <c r="H116" s="19">
        <f>VLOOKUP(A116,Metrik!$C$2:$Y$959,8,0)</f>
        <v>8.2</v>
      </c>
      <c r="I116" s="20">
        <f>VLOOKUP(A116,Metrik!$C$2:$Y$959,9,0)</f>
        <v>1.7</v>
      </c>
      <c r="J116" s="20">
        <f>VLOOKUP(A116,Metrik!$C$2:$Y$959,10,0)</f>
        <v>21</v>
      </c>
      <c r="K116" s="20">
        <f>VLOOKUP(A116,Metrik!$C$2:$Y$959,11,0)</f>
        <v>13.4</v>
      </c>
      <c r="L116" s="20">
        <f>VLOOKUP(A116,Metrik!$C$2:$Y$959,12,0)</f>
        <v>0.57</v>
      </c>
      <c r="M116" s="20">
        <f>VLOOKUP(A116,Metrik!$C$2:$Y$959,19,0)</f>
        <v>28.9</v>
      </c>
      <c r="N116" s="21"/>
      <c r="O116" s="21"/>
      <c r="P116" s="21"/>
      <c r="Q116" s="21"/>
      <c r="R116" s="21"/>
      <c r="S116" s="21"/>
      <c r="T116" s="21"/>
      <c r="U116" s="22">
        <f>IFERROR(__xludf.DUMMYFUNCTION("IFERROR(GOOGLEFINANCE(A116,""closeyest""),"""")"),2720.0)</f>
        <v>2720</v>
      </c>
      <c r="V116" s="23">
        <f>IFERROR(__xludf.DUMMYFUNCTION("IFERROR(GOOGLEFINANCE(A116,""changepct""),"""")"),4.78)</f>
        <v>4.78</v>
      </c>
      <c r="W116" s="22">
        <f>IFERROR(__xludf.DUMMYFUNCTION("IFERROR(GOOGLEFINANCE(A116,""priceopen""),"""")"),2800.0)</f>
        <v>2800</v>
      </c>
      <c r="X116" s="22">
        <f>IFERROR(__xludf.DUMMYFUNCTION("IFERROR(GOOGLEFINANCE(A116,""high""),"""")"),2910.0)</f>
        <v>2910</v>
      </c>
      <c r="Y116" s="22">
        <f>IFERROR(__xludf.DUMMYFUNCTION("IFERROR(GOOGLEFINANCE(A116,""low""),"""")"),2760.0)</f>
        <v>2760</v>
      </c>
      <c r="Z116" s="22">
        <f>IFERROR(__xludf.DUMMYFUNCTION("IFERROR(GOOGLEFINANCE(A116,""volume""),"""")"),1.748085E8)</f>
        <v>174808500</v>
      </c>
      <c r="AA116" s="24" t="str">
        <f>VLOOKUP(A116,Metrik!$C$2:$Y$959,5,0)</f>
        <v>Metals &amp; Minerals</v>
      </c>
      <c r="AB116" s="24" t="str">
        <f>VLOOKUP(A116,Metrik!$C$2:$Y$959,3,0)</f>
        <v>Basic Materials</v>
      </c>
    </row>
    <row r="117">
      <c r="A117" s="14" t="s">
        <v>105</v>
      </c>
      <c r="B117" s="14" t="str">
        <f t="array" ref="B117">VLOOKUP(A117,{Metrik!$C$2:$C$998,Metrik!$B$2:$B$998},2,0)</f>
        <v>Aneka Tambang Tbk.</v>
      </c>
      <c r="C117" s="15">
        <f>IFERROR(__xludf.DUMMYFUNCTION("GOOGLEFINANCE(""IDX:""&amp;A117,""price"")"),2850.0)</f>
        <v>2850</v>
      </c>
      <c r="D117" s="16" t="str">
        <f>IFERROR(__xludf.DUMMYFUNCTION("IF(A117="""","""",
SPARKLINE(
INDEX(
GOOGLEFINANCE(""IDX:""&amp;A117,""close"",TODAY()-365,TODAY()),
,2
),
{""linewidth"",1}
))
"),"#N/A")</f>
        <v>#N/A</v>
      </c>
      <c r="E117" s="14" t="s">
        <v>67</v>
      </c>
      <c r="F117" s="17" t="s">
        <v>51</v>
      </c>
      <c r="G117" s="18">
        <f t="shared" si="1"/>
        <v>19</v>
      </c>
      <c r="H117" s="19">
        <f>VLOOKUP(A117,Metrik!$C$2:$Y$959,8,0)</f>
        <v>8.2</v>
      </c>
      <c r="I117" s="20">
        <f>VLOOKUP(A117,Metrik!$C$2:$Y$959,9,0)</f>
        <v>1.7</v>
      </c>
      <c r="J117" s="20">
        <f>VLOOKUP(A117,Metrik!$C$2:$Y$959,10,0)</f>
        <v>21</v>
      </c>
      <c r="K117" s="20">
        <f>VLOOKUP(A117,Metrik!$C$2:$Y$959,11,0)</f>
        <v>13.4</v>
      </c>
      <c r="L117" s="20">
        <f>VLOOKUP(A117,Metrik!$C$2:$Y$959,12,0)</f>
        <v>0.57</v>
      </c>
      <c r="M117" s="20">
        <f>VLOOKUP(A117,Metrik!$C$2:$Y$959,19,0)</f>
        <v>28.9</v>
      </c>
      <c r="N117" s="21"/>
      <c r="O117" s="21"/>
      <c r="P117" s="21"/>
      <c r="Q117" s="21"/>
      <c r="R117" s="21"/>
      <c r="S117" s="21"/>
      <c r="T117" s="21"/>
      <c r="U117" s="22">
        <f>IFERROR(__xludf.DUMMYFUNCTION("IFERROR(GOOGLEFINANCE(A117,""closeyest""),"""")"),2720.0)</f>
        <v>2720</v>
      </c>
      <c r="V117" s="23">
        <f>IFERROR(__xludf.DUMMYFUNCTION("IFERROR(GOOGLEFINANCE(A117,""changepct""),"""")"),4.78)</f>
        <v>4.78</v>
      </c>
      <c r="W117" s="22">
        <f>IFERROR(__xludf.DUMMYFUNCTION("IFERROR(GOOGLEFINANCE(A117,""priceopen""),"""")"),2800.0)</f>
        <v>2800</v>
      </c>
      <c r="X117" s="22">
        <f>IFERROR(__xludf.DUMMYFUNCTION("IFERROR(GOOGLEFINANCE(A117,""high""),"""")"),2910.0)</f>
        <v>2910</v>
      </c>
      <c r="Y117" s="22">
        <f>IFERROR(__xludf.DUMMYFUNCTION("IFERROR(GOOGLEFINANCE(A117,""low""),"""")"),2760.0)</f>
        <v>2760</v>
      </c>
      <c r="Z117" s="22">
        <f>IFERROR(__xludf.DUMMYFUNCTION("IFERROR(GOOGLEFINANCE(A117,""volume""),"""")"),1.748085E8)</f>
        <v>174808500</v>
      </c>
      <c r="AA117" s="24" t="str">
        <f>VLOOKUP(A117,Metrik!$C$2:$Y$959,5,0)</f>
        <v>Metals &amp; Minerals</v>
      </c>
      <c r="AB117" s="24" t="str">
        <f>VLOOKUP(A117,Metrik!$C$2:$Y$959,3,0)</f>
        <v>Basic Materials</v>
      </c>
    </row>
    <row r="118">
      <c r="A118" s="14" t="s">
        <v>105</v>
      </c>
      <c r="B118" s="14" t="str">
        <f t="array" ref="B118">VLOOKUP(A118,{Metrik!$C$2:$C$998,Metrik!$B$2:$B$998},2,0)</f>
        <v>Aneka Tambang Tbk.</v>
      </c>
      <c r="C118" s="15">
        <f>IFERROR(__xludf.DUMMYFUNCTION("GOOGLEFINANCE(""IDX:""&amp;A118,""price"")"),2850.0)</f>
        <v>2850</v>
      </c>
      <c r="D118" s="16" t="str">
        <f>IFERROR(__xludf.DUMMYFUNCTION("IF(A118="""","""",
SPARKLINE(
INDEX(
GOOGLEFINANCE(""IDX:""&amp;A118,""close"",TODAY()-365,TODAY()),
,2
),
{""linewidth"",1}
))
"),"#N/A")</f>
        <v>#N/A</v>
      </c>
      <c r="E118" s="14" t="s">
        <v>84</v>
      </c>
      <c r="F118" s="17" t="s">
        <v>51</v>
      </c>
      <c r="G118" s="18">
        <f t="shared" si="1"/>
        <v>19</v>
      </c>
      <c r="H118" s="19">
        <f>VLOOKUP(A118,Metrik!$C$2:$Y$959,8,0)</f>
        <v>8.2</v>
      </c>
      <c r="I118" s="20">
        <f>VLOOKUP(A118,Metrik!$C$2:$Y$959,9,0)</f>
        <v>1.7</v>
      </c>
      <c r="J118" s="20">
        <f>VLOOKUP(A118,Metrik!$C$2:$Y$959,10,0)</f>
        <v>21</v>
      </c>
      <c r="K118" s="20">
        <f>VLOOKUP(A118,Metrik!$C$2:$Y$959,11,0)</f>
        <v>13.4</v>
      </c>
      <c r="L118" s="20">
        <f>VLOOKUP(A118,Metrik!$C$2:$Y$959,12,0)</f>
        <v>0.57</v>
      </c>
      <c r="M118" s="20">
        <f>VLOOKUP(A118,Metrik!$C$2:$Y$959,19,0)</f>
        <v>28.9</v>
      </c>
      <c r="N118" s="21"/>
      <c r="O118" s="21"/>
      <c r="P118" s="21"/>
      <c r="Q118" s="21"/>
      <c r="R118" s="21"/>
      <c r="S118" s="21"/>
      <c r="T118" s="21"/>
      <c r="U118" s="22">
        <f>IFERROR(__xludf.DUMMYFUNCTION("IFERROR(GOOGLEFINANCE(A118,""closeyest""),"""")"),2720.0)</f>
        <v>2720</v>
      </c>
      <c r="V118" s="23">
        <f>IFERROR(__xludf.DUMMYFUNCTION("IFERROR(GOOGLEFINANCE(A118,""changepct""),"""")"),4.78)</f>
        <v>4.78</v>
      </c>
      <c r="W118" s="22">
        <f>IFERROR(__xludf.DUMMYFUNCTION("IFERROR(GOOGLEFINANCE(A118,""priceopen""),"""")"),2800.0)</f>
        <v>2800</v>
      </c>
      <c r="X118" s="22">
        <f>IFERROR(__xludf.DUMMYFUNCTION("IFERROR(GOOGLEFINANCE(A118,""high""),"""")"),2910.0)</f>
        <v>2910</v>
      </c>
      <c r="Y118" s="22">
        <f>IFERROR(__xludf.DUMMYFUNCTION("IFERROR(GOOGLEFINANCE(A118,""low""),"""")"),2760.0)</f>
        <v>2760</v>
      </c>
      <c r="Z118" s="22">
        <f>IFERROR(__xludf.DUMMYFUNCTION("IFERROR(GOOGLEFINANCE(A118,""volume""),"""")"),1.748085E8)</f>
        <v>174808500</v>
      </c>
      <c r="AA118" s="24" t="str">
        <f>VLOOKUP(A118,Metrik!$C$2:$Y$959,5,0)</f>
        <v>Metals &amp; Minerals</v>
      </c>
      <c r="AB118" s="24" t="str">
        <f>VLOOKUP(A118,Metrik!$C$2:$Y$959,3,0)</f>
        <v>Basic Materials</v>
      </c>
    </row>
    <row r="119">
      <c r="A119" s="14" t="s">
        <v>105</v>
      </c>
      <c r="B119" s="14" t="str">
        <f t="array" ref="B119">VLOOKUP(A119,{Metrik!$C$2:$C$998,Metrik!$B$2:$B$998},2,0)</f>
        <v>Aneka Tambang Tbk.</v>
      </c>
      <c r="C119" s="15">
        <f>IFERROR(__xludf.DUMMYFUNCTION("GOOGLEFINANCE(""IDX:""&amp;A119,""price"")"),2850.0)</f>
        <v>2850</v>
      </c>
      <c r="D119" s="16" t="str">
        <f>IFERROR(__xludf.DUMMYFUNCTION("IF(A119="""","""",
SPARKLINE(
INDEX(
GOOGLEFINANCE(""IDX:""&amp;A119,""close"",TODAY()-365,TODAY()),
,2
),
{""linewidth"",1}
))
"),"#N/A")</f>
        <v>#N/A</v>
      </c>
      <c r="E119" s="14" t="s">
        <v>30</v>
      </c>
      <c r="F119" s="17" t="s">
        <v>29</v>
      </c>
      <c r="G119" s="18">
        <f t="shared" si="1"/>
        <v>19</v>
      </c>
      <c r="H119" s="19">
        <f>VLOOKUP(A119,Metrik!$C$2:$Y$959,8,0)</f>
        <v>8.2</v>
      </c>
      <c r="I119" s="20">
        <f>VLOOKUP(A119,Metrik!$C$2:$Y$959,9,0)</f>
        <v>1.7</v>
      </c>
      <c r="J119" s="20">
        <f>VLOOKUP(A119,Metrik!$C$2:$Y$959,10,0)</f>
        <v>21</v>
      </c>
      <c r="K119" s="20">
        <f>VLOOKUP(A119,Metrik!$C$2:$Y$959,11,0)</f>
        <v>13.4</v>
      </c>
      <c r="L119" s="20">
        <f>VLOOKUP(A119,Metrik!$C$2:$Y$959,12,0)</f>
        <v>0.57</v>
      </c>
      <c r="M119" s="20">
        <f>VLOOKUP(A119,Metrik!$C$2:$Y$959,19,0)</f>
        <v>28.9</v>
      </c>
      <c r="N119" s="21"/>
      <c r="O119" s="21"/>
      <c r="P119" s="21"/>
      <c r="Q119" s="21"/>
      <c r="R119" s="21"/>
      <c r="S119" s="21"/>
      <c r="T119" s="21"/>
      <c r="U119" s="22">
        <f>IFERROR(__xludf.DUMMYFUNCTION("IFERROR(GOOGLEFINANCE(A119,""closeyest""),"""")"),2720.0)</f>
        <v>2720</v>
      </c>
      <c r="V119" s="23">
        <f>IFERROR(__xludf.DUMMYFUNCTION("IFERROR(GOOGLEFINANCE(A119,""changepct""),"""")"),4.78)</f>
        <v>4.78</v>
      </c>
      <c r="W119" s="22">
        <f>IFERROR(__xludf.DUMMYFUNCTION("IFERROR(GOOGLEFINANCE(A119,""priceopen""),"""")"),2800.0)</f>
        <v>2800</v>
      </c>
      <c r="X119" s="22">
        <f>IFERROR(__xludf.DUMMYFUNCTION("IFERROR(GOOGLEFINANCE(A119,""high""),"""")"),2910.0)</f>
        <v>2910</v>
      </c>
      <c r="Y119" s="22">
        <f>IFERROR(__xludf.DUMMYFUNCTION("IFERROR(GOOGLEFINANCE(A119,""low""),"""")"),2760.0)</f>
        <v>2760</v>
      </c>
      <c r="Z119" s="22">
        <f>IFERROR(__xludf.DUMMYFUNCTION("IFERROR(GOOGLEFINANCE(A119,""volume""),"""")"),1.748085E8)</f>
        <v>174808500</v>
      </c>
      <c r="AA119" s="24" t="str">
        <f>VLOOKUP(A119,Metrik!$C$2:$Y$959,5,0)</f>
        <v>Metals &amp; Minerals</v>
      </c>
      <c r="AB119" s="24" t="str">
        <f>VLOOKUP(A119,Metrik!$C$2:$Y$959,3,0)</f>
        <v>Basic Materials</v>
      </c>
    </row>
    <row r="120">
      <c r="A120" s="14" t="s">
        <v>105</v>
      </c>
      <c r="B120" s="14" t="str">
        <f t="array" ref="B120">VLOOKUP(A120,{Metrik!$C$2:$C$998,Metrik!$B$2:$B$998},2,0)</f>
        <v>Aneka Tambang Tbk.</v>
      </c>
      <c r="C120" s="15">
        <f>IFERROR(__xludf.DUMMYFUNCTION("GOOGLEFINANCE(""IDX:""&amp;A120,""price"")"),2850.0)</f>
        <v>2850</v>
      </c>
      <c r="D120" s="16" t="str">
        <f>IFERROR(__xludf.DUMMYFUNCTION("IF(A120="""","""",
SPARKLINE(
INDEX(
GOOGLEFINANCE(""IDX:""&amp;A120,""close"",TODAY()-365,TODAY()),
,2
),
{""linewidth"",1}
))
"),"#N/A")</f>
        <v>#N/A</v>
      </c>
      <c r="E120" s="14" t="s">
        <v>31</v>
      </c>
      <c r="F120" s="17" t="s">
        <v>29</v>
      </c>
      <c r="G120" s="18">
        <f t="shared" si="1"/>
        <v>19</v>
      </c>
      <c r="H120" s="19">
        <f>VLOOKUP(A120,Metrik!$C$2:$Y$959,8,0)</f>
        <v>8.2</v>
      </c>
      <c r="I120" s="20">
        <f>VLOOKUP(A120,Metrik!$C$2:$Y$959,9,0)</f>
        <v>1.7</v>
      </c>
      <c r="J120" s="20">
        <f>VLOOKUP(A120,Metrik!$C$2:$Y$959,10,0)</f>
        <v>21</v>
      </c>
      <c r="K120" s="20">
        <f>VLOOKUP(A120,Metrik!$C$2:$Y$959,11,0)</f>
        <v>13.4</v>
      </c>
      <c r="L120" s="20">
        <f>VLOOKUP(A120,Metrik!$C$2:$Y$959,12,0)</f>
        <v>0.57</v>
      </c>
      <c r="M120" s="20">
        <f>VLOOKUP(A120,Metrik!$C$2:$Y$959,19,0)</f>
        <v>28.9</v>
      </c>
      <c r="N120" s="21"/>
      <c r="O120" s="21"/>
      <c r="P120" s="21"/>
      <c r="Q120" s="21"/>
      <c r="R120" s="21"/>
      <c r="S120" s="21"/>
      <c r="T120" s="21"/>
      <c r="U120" s="22">
        <f>IFERROR(__xludf.DUMMYFUNCTION("IFERROR(GOOGLEFINANCE(A120,""closeyest""),"""")"),2720.0)</f>
        <v>2720</v>
      </c>
      <c r="V120" s="23">
        <f>IFERROR(__xludf.DUMMYFUNCTION("IFERROR(GOOGLEFINANCE(A120,""changepct""),"""")"),4.78)</f>
        <v>4.78</v>
      </c>
      <c r="W120" s="22">
        <f>IFERROR(__xludf.DUMMYFUNCTION("IFERROR(GOOGLEFINANCE(A120,""priceopen""),"""")"),2800.0)</f>
        <v>2800</v>
      </c>
      <c r="X120" s="22">
        <f>IFERROR(__xludf.DUMMYFUNCTION("IFERROR(GOOGLEFINANCE(A120,""high""),"""")"),2910.0)</f>
        <v>2910</v>
      </c>
      <c r="Y120" s="22">
        <f>IFERROR(__xludf.DUMMYFUNCTION("IFERROR(GOOGLEFINANCE(A120,""low""),"""")"),2760.0)</f>
        <v>2760</v>
      </c>
      <c r="Z120" s="22">
        <f>IFERROR(__xludf.DUMMYFUNCTION("IFERROR(GOOGLEFINANCE(A120,""volume""),"""")"),1.748085E8)</f>
        <v>174808500</v>
      </c>
      <c r="AA120" s="24" t="str">
        <f>VLOOKUP(A120,Metrik!$C$2:$Y$959,5,0)</f>
        <v>Metals &amp; Minerals</v>
      </c>
      <c r="AB120" s="24" t="str">
        <f>VLOOKUP(A120,Metrik!$C$2:$Y$959,3,0)</f>
        <v>Basic Materials</v>
      </c>
    </row>
    <row r="121">
      <c r="A121" s="14" t="s">
        <v>105</v>
      </c>
      <c r="B121" s="14" t="str">
        <f t="array" ref="B121">VLOOKUP(A121,{Metrik!$C$2:$C$998,Metrik!$B$2:$B$998},2,0)</f>
        <v>Aneka Tambang Tbk.</v>
      </c>
      <c r="C121" s="15">
        <f>IFERROR(__xludf.DUMMYFUNCTION("GOOGLEFINANCE(""IDX:""&amp;A121,""price"")"),2850.0)</f>
        <v>2850</v>
      </c>
      <c r="D121" s="16" t="str">
        <f>IFERROR(__xludf.DUMMYFUNCTION("IF(A121="""","""",
SPARKLINE(
INDEX(
GOOGLEFINANCE(""IDX:""&amp;A121,""close"",TODAY()-365,TODAY()),
,2
),
{""linewidth"",1}
))
"),"#N/A")</f>
        <v>#N/A</v>
      </c>
      <c r="E121" s="14" t="s">
        <v>52</v>
      </c>
      <c r="F121" s="27" t="s">
        <v>53</v>
      </c>
      <c r="G121" s="18">
        <f t="shared" si="1"/>
        <v>19</v>
      </c>
      <c r="H121" s="19">
        <f>VLOOKUP(A121,Metrik!$C$2:$Y$959,8,0)</f>
        <v>8.2</v>
      </c>
      <c r="I121" s="20">
        <f>VLOOKUP(A121,Metrik!$C$2:$Y$959,9,0)</f>
        <v>1.7</v>
      </c>
      <c r="J121" s="20">
        <f>VLOOKUP(A121,Metrik!$C$2:$Y$959,10,0)</f>
        <v>21</v>
      </c>
      <c r="K121" s="20">
        <f>VLOOKUP(A121,Metrik!$C$2:$Y$959,11,0)</f>
        <v>13.4</v>
      </c>
      <c r="L121" s="20">
        <f>VLOOKUP(A121,Metrik!$C$2:$Y$959,12,0)</f>
        <v>0.57</v>
      </c>
      <c r="M121" s="20">
        <f>VLOOKUP(A121,Metrik!$C$2:$Y$959,19,0)</f>
        <v>28.9</v>
      </c>
      <c r="N121" s="21"/>
      <c r="O121" s="21"/>
      <c r="P121" s="21"/>
      <c r="Q121" s="21"/>
      <c r="R121" s="21"/>
      <c r="S121" s="21"/>
      <c r="T121" s="21"/>
      <c r="U121" s="22">
        <f>IFERROR(__xludf.DUMMYFUNCTION("IFERROR(GOOGLEFINANCE(A121,""closeyest""),"""")"),2720.0)</f>
        <v>2720</v>
      </c>
      <c r="V121" s="23">
        <f>IFERROR(__xludf.DUMMYFUNCTION("IFERROR(GOOGLEFINANCE(A121,""changepct""),"""")"),4.78)</f>
        <v>4.78</v>
      </c>
      <c r="W121" s="22">
        <f>IFERROR(__xludf.DUMMYFUNCTION("IFERROR(GOOGLEFINANCE(A121,""priceopen""),"""")"),2800.0)</f>
        <v>2800</v>
      </c>
      <c r="X121" s="22">
        <f>IFERROR(__xludf.DUMMYFUNCTION("IFERROR(GOOGLEFINANCE(A121,""high""),"""")"),2910.0)</f>
        <v>2910</v>
      </c>
      <c r="Y121" s="22">
        <f>IFERROR(__xludf.DUMMYFUNCTION("IFERROR(GOOGLEFINANCE(A121,""low""),"""")"),2760.0)</f>
        <v>2760</v>
      </c>
      <c r="Z121" s="22">
        <f>IFERROR(__xludf.DUMMYFUNCTION("IFERROR(GOOGLEFINANCE(A121,""volume""),"""")"),1.748085E8)</f>
        <v>174808500</v>
      </c>
      <c r="AA121" s="24" t="str">
        <f>VLOOKUP(A121,Metrik!$C$2:$Y$959,5,0)</f>
        <v>Metals &amp; Minerals</v>
      </c>
      <c r="AB121" s="24" t="str">
        <f>VLOOKUP(A121,Metrik!$C$2:$Y$959,3,0)</f>
        <v>Basic Materials</v>
      </c>
    </row>
    <row r="122">
      <c r="A122" s="14" t="s">
        <v>105</v>
      </c>
      <c r="B122" s="14" t="str">
        <f t="array" ref="B122">VLOOKUP(A122,{Metrik!$C$2:$C$998,Metrik!$B$2:$B$998},2,0)</f>
        <v>Aneka Tambang Tbk.</v>
      </c>
      <c r="C122" s="15">
        <f>IFERROR(__xludf.DUMMYFUNCTION("GOOGLEFINANCE(""IDX:""&amp;A122,""price"")"),2850.0)</f>
        <v>2850</v>
      </c>
      <c r="D122" s="16" t="str">
        <f>IFERROR(__xludf.DUMMYFUNCTION("IF(A122="""","""",
SPARKLINE(
INDEX(
GOOGLEFINANCE(""IDX:""&amp;A122,""close"",TODAY()-365,TODAY()),
,2
),
{""linewidth"",1}
))
"),"#N/A")</f>
        <v>#N/A</v>
      </c>
      <c r="E122" s="14" t="s">
        <v>102</v>
      </c>
      <c r="F122" s="27" t="s">
        <v>53</v>
      </c>
      <c r="G122" s="18">
        <f t="shared" si="1"/>
        <v>19</v>
      </c>
      <c r="H122" s="19">
        <f>VLOOKUP(A122,Metrik!$C$2:$Y$959,8,0)</f>
        <v>8.2</v>
      </c>
      <c r="I122" s="20">
        <f>VLOOKUP(A122,Metrik!$C$2:$Y$959,9,0)</f>
        <v>1.7</v>
      </c>
      <c r="J122" s="20">
        <f>VLOOKUP(A122,Metrik!$C$2:$Y$959,10,0)</f>
        <v>21</v>
      </c>
      <c r="K122" s="20">
        <f>VLOOKUP(A122,Metrik!$C$2:$Y$959,11,0)</f>
        <v>13.4</v>
      </c>
      <c r="L122" s="20">
        <f>VLOOKUP(A122,Metrik!$C$2:$Y$959,12,0)</f>
        <v>0.57</v>
      </c>
      <c r="M122" s="20">
        <f>VLOOKUP(A122,Metrik!$C$2:$Y$959,19,0)</f>
        <v>28.9</v>
      </c>
      <c r="N122" s="21"/>
      <c r="O122" s="21"/>
      <c r="P122" s="21"/>
      <c r="Q122" s="21"/>
      <c r="R122" s="21"/>
      <c r="S122" s="21"/>
      <c r="T122" s="21"/>
      <c r="U122" s="22">
        <f>IFERROR(__xludf.DUMMYFUNCTION("IFERROR(GOOGLEFINANCE(A122,""closeyest""),"""")"),2720.0)</f>
        <v>2720</v>
      </c>
      <c r="V122" s="23">
        <f>IFERROR(__xludf.DUMMYFUNCTION("IFERROR(GOOGLEFINANCE(A122,""changepct""),"""")"),4.78)</f>
        <v>4.78</v>
      </c>
      <c r="W122" s="22">
        <f>IFERROR(__xludf.DUMMYFUNCTION("IFERROR(GOOGLEFINANCE(A122,""priceopen""),"""")"),2800.0)</f>
        <v>2800</v>
      </c>
      <c r="X122" s="22">
        <f>IFERROR(__xludf.DUMMYFUNCTION("IFERROR(GOOGLEFINANCE(A122,""high""),"""")"),2910.0)</f>
        <v>2910</v>
      </c>
      <c r="Y122" s="22">
        <f>IFERROR(__xludf.DUMMYFUNCTION("IFERROR(GOOGLEFINANCE(A122,""low""),"""")"),2760.0)</f>
        <v>2760</v>
      </c>
      <c r="Z122" s="22">
        <f>IFERROR(__xludf.DUMMYFUNCTION("IFERROR(GOOGLEFINANCE(A122,""volume""),"""")"),1.748085E8)</f>
        <v>174808500</v>
      </c>
      <c r="AA122" s="24" t="str">
        <f>VLOOKUP(A122,Metrik!$C$2:$Y$959,5,0)</f>
        <v>Metals &amp; Minerals</v>
      </c>
      <c r="AB122" s="24" t="str">
        <f>VLOOKUP(A122,Metrik!$C$2:$Y$959,3,0)</f>
        <v>Basic Materials</v>
      </c>
    </row>
    <row r="123">
      <c r="A123" s="14" t="s">
        <v>105</v>
      </c>
      <c r="B123" s="14" t="str">
        <f t="array" ref="B123">VLOOKUP(A123,{Metrik!$C$2:$C$998,Metrik!$B$2:$B$998},2,0)</f>
        <v>Aneka Tambang Tbk.</v>
      </c>
      <c r="C123" s="15">
        <f>IFERROR(__xludf.DUMMYFUNCTION("GOOGLEFINANCE(""IDX:""&amp;A123,""price"")"),2850.0)</f>
        <v>2850</v>
      </c>
      <c r="D123" s="16" t="str">
        <f>IFERROR(__xludf.DUMMYFUNCTION("IF(A123="""","""",
SPARKLINE(
INDEX(
GOOGLEFINANCE(""IDX:""&amp;A123,""close"",TODAY()-365,TODAY()),
,2
),
{""linewidth"",1}
))
"),"#N/A")</f>
        <v>#N/A</v>
      </c>
      <c r="E123" s="14" t="s">
        <v>32</v>
      </c>
      <c r="F123" s="14" t="s">
        <v>29</v>
      </c>
      <c r="G123" s="18">
        <f t="shared" si="1"/>
        <v>19</v>
      </c>
      <c r="H123" s="19">
        <f>VLOOKUP(A123,Metrik!$C$2:$Y$959,8,0)</f>
        <v>8.2</v>
      </c>
      <c r="I123" s="20">
        <f>VLOOKUP(A123,Metrik!$C$2:$Y$959,9,0)</f>
        <v>1.7</v>
      </c>
      <c r="J123" s="20">
        <f>VLOOKUP(A123,Metrik!$C$2:$Y$959,10,0)</f>
        <v>21</v>
      </c>
      <c r="K123" s="20">
        <f>VLOOKUP(A123,Metrik!$C$2:$Y$959,11,0)</f>
        <v>13.4</v>
      </c>
      <c r="L123" s="20">
        <f>VLOOKUP(A123,Metrik!$C$2:$Y$959,12,0)</f>
        <v>0.57</v>
      </c>
      <c r="M123" s="20">
        <f>VLOOKUP(A123,Metrik!$C$2:$Y$959,19,0)</f>
        <v>28.9</v>
      </c>
      <c r="N123" s="21"/>
      <c r="O123" s="21"/>
      <c r="P123" s="21"/>
      <c r="Q123" s="21"/>
      <c r="R123" s="21"/>
      <c r="S123" s="21"/>
      <c r="T123" s="21"/>
      <c r="U123" s="22">
        <f>IFERROR(__xludf.DUMMYFUNCTION("IFERROR(GOOGLEFINANCE(A123,""closeyest""),"""")"),2720.0)</f>
        <v>2720</v>
      </c>
      <c r="V123" s="23">
        <f>IFERROR(__xludf.DUMMYFUNCTION("IFERROR(GOOGLEFINANCE(A123,""changepct""),"""")"),4.78)</f>
        <v>4.78</v>
      </c>
      <c r="W123" s="22">
        <f>IFERROR(__xludf.DUMMYFUNCTION("IFERROR(GOOGLEFINANCE(A123,""priceopen""),"""")"),2800.0)</f>
        <v>2800</v>
      </c>
      <c r="X123" s="22">
        <f>IFERROR(__xludf.DUMMYFUNCTION("IFERROR(GOOGLEFINANCE(A123,""high""),"""")"),2910.0)</f>
        <v>2910</v>
      </c>
      <c r="Y123" s="22">
        <f>IFERROR(__xludf.DUMMYFUNCTION("IFERROR(GOOGLEFINANCE(A123,""low""),"""")"),2760.0)</f>
        <v>2760</v>
      </c>
      <c r="Z123" s="22">
        <f>IFERROR(__xludf.DUMMYFUNCTION("IFERROR(GOOGLEFINANCE(A123,""volume""),"""")"),1.748085E8)</f>
        <v>174808500</v>
      </c>
      <c r="AA123" s="24" t="str">
        <f>VLOOKUP(A123,Metrik!$C$2:$Y$959,5,0)</f>
        <v>Metals &amp; Minerals</v>
      </c>
      <c r="AB123" s="24" t="str">
        <f>VLOOKUP(A123,Metrik!$C$2:$Y$959,3,0)</f>
        <v>Basic Materials</v>
      </c>
    </row>
    <row r="124">
      <c r="A124" s="14" t="s">
        <v>105</v>
      </c>
      <c r="B124" s="14" t="str">
        <f t="array" ref="B124">VLOOKUP(A124,{Metrik!$C$2:$C$998,Metrik!$B$2:$B$998},2,0)</f>
        <v>Aneka Tambang Tbk.</v>
      </c>
      <c r="C124" s="15">
        <f>IFERROR(__xludf.DUMMYFUNCTION("GOOGLEFINANCE(""IDX:""&amp;A124,""price"")"),2850.0)</f>
        <v>2850</v>
      </c>
      <c r="D124" s="16" t="str">
        <f>IFERROR(__xludf.DUMMYFUNCTION("IF(A124="""","""",
SPARKLINE(
INDEX(
GOOGLEFINANCE(""IDX:""&amp;A124,""close"",TODAY()-365,TODAY()),
,2
),
{""linewidth"",1}
))
"),"#N/A")</f>
        <v>#N/A</v>
      </c>
      <c r="E124" s="14" t="s">
        <v>54</v>
      </c>
      <c r="F124" s="14" t="s">
        <v>34</v>
      </c>
      <c r="G124" s="18">
        <f t="shared" si="1"/>
        <v>19</v>
      </c>
      <c r="H124" s="19">
        <f>VLOOKUP(A124,Metrik!$C$2:$Y$959,8,0)</f>
        <v>8.2</v>
      </c>
      <c r="I124" s="20">
        <f>VLOOKUP(A124,Metrik!$C$2:$Y$959,9,0)</f>
        <v>1.7</v>
      </c>
      <c r="J124" s="20">
        <f>VLOOKUP(A124,Metrik!$C$2:$Y$959,10,0)</f>
        <v>21</v>
      </c>
      <c r="K124" s="20">
        <f>VLOOKUP(A124,Metrik!$C$2:$Y$959,11,0)</f>
        <v>13.4</v>
      </c>
      <c r="L124" s="20">
        <f>VLOOKUP(A124,Metrik!$C$2:$Y$959,12,0)</f>
        <v>0.57</v>
      </c>
      <c r="M124" s="20">
        <f>VLOOKUP(A124,Metrik!$C$2:$Y$959,19,0)</f>
        <v>28.9</v>
      </c>
      <c r="N124" s="21"/>
      <c r="O124" s="21"/>
      <c r="P124" s="21"/>
      <c r="Q124" s="21"/>
      <c r="R124" s="21"/>
      <c r="S124" s="21"/>
      <c r="T124" s="21"/>
      <c r="U124" s="22">
        <f>IFERROR(__xludf.DUMMYFUNCTION("IFERROR(GOOGLEFINANCE(A124,""closeyest""),"""")"),2720.0)</f>
        <v>2720</v>
      </c>
      <c r="V124" s="23">
        <f>IFERROR(__xludf.DUMMYFUNCTION("IFERROR(GOOGLEFINANCE(A124,""changepct""),"""")"),4.78)</f>
        <v>4.78</v>
      </c>
      <c r="W124" s="22">
        <f>IFERROR(__xludf.DUMMYFUNCTION("IFERROR(GOOGLEFINANCE(A124,""priceopen""),"""")"),2800.0)</f>
        <v>2800</v>
      </c>
      <c r="X124" s="22">
        <f>IFERROR(__xludf.DUMMYFUNCTION("IFERROR(GOOGLEFINANCE(A124,""high""),"""")"),2910.0)</f>
        <v>2910</v>
      </c>
      <c r="Y124" s="22">
        <f>IFERROR(__xludf.DUMMYFUNCTION("IFERROR(GOOGLEFINANCE(A124,""low""),"""")"),2760.0)</f>
        <v>2760</v>
      </c>
      <c r="Z124" s="22">
        <f>IFERROR(__xludf.DUMMYFUNCTION("IFERROR(GOOGLEFINANCE(A124,""volume""),"""")"),1.748085E8)</f>
        <v>174808500</v>
      </c>
      <c r="AA124" s="24" t="str">
        <f>VLOOKUP(A124,Metrik!$C$2:$Y$959,5,0)</f>
        <v>Metals &amp; Minerals</v>
      </c>
      <c r="AB124" s="24" t="str">
        <f>VLOOKUP(A124,Metrik!$C$2:$Y$959,3,0)</f>
        <v>Basic Materials</v>
      </c>
    </row>
    <row r="125">
      <c r="A125" s="14" t="s">
        <v>105</v>
      </c>
      <c r="B125" s="14" t="str">
        <f t="array" ref="B125">VLOOKUP(A125,{Metrik!$C$2:$C$998,Metrik!$B$2:$B$998},2,0)</f>
        <v>Aneka Tambang Tbk.</v>
      </c>
      <c r="C125" s="15">
        <f>IFERROR(__xludf.DUMMYFUNCTION("GOOGLEFINANCE(""IDX:""&amp;A125,""price"")"),2850.0)</f>
        <v>2850</v>
      </c>
      <c r="D125" s="16" t="str">
        <f>IFERROR(__xludf.DUMMYFUNCTION("IF(A125="""","""",
SPARKLINE(
INDEX(
GOOGLEFINANCE(""IDX:""&amp;A125,""close"",TODAY()-365,TODAY()),
,2
),
{""linewidth"",1}
))
"),"#N/A")</f>
        <v>#N/A</v>
      </c>
      <c r="E125" s="14" t="s">
        <v>61</v>
      </c>
      <c r="F125" s="14" t="s">
        <v>34</v>
      </c>
      <c r="G125" s="18">
        <f t="shared" si="1"/>
        <v>19</v>
      </c>
      <c r="H125" s="19">
        <f>VLOOKUP(A125,Metrik!$C$2:$Y$959,8,0)</f>
        <v>8.2</v>
      </c>
      <c r="I125" s="20">
        <f>VLOOKUP(A125,Metrik!$C$2:$Y$959,9,0)</f>
        <v>1.7</v>
      </c>
      <c r="J125" s="20">
        <f>VLOOKUP(A125,Metrik!$C$2:$Y$959,10,0)</f>
        <v>21</v>
      </c>
      <c r="K125" s="20">
        <f>VLOOKUP(A125,Metrik!$C$2:$Y$959,11,0)</f>
        <v>13.4</v>
      </c>
      <c r="L125" s="20">
        <f>VLOOKUP(A125,Metrik!$C$2:$Y$959,12,0)</f>
        <v>0.57</v>
      </c>
      <c r="M125" s="20">
        <f>VLOOKUP(A125,Metrik!$C$2:$Y$959,19,0)</f>
        <v>28.9</v>
      </c>
      <c r="N125" s="21"/>
      <c r="O125" s="21"/>
      <c r="P125" s="21"/>
      <c r="Q125" s="21"/>
      <c r="R125" s="21"/>
      <c r="S125" s="21"/>
      <c r="T125" s="21"/>
      <c r="U125" s="22">
        <f>IFERROR(__xludf.DUMMYFUNCTION("IFERROR(GOOGLEFINANCE(A125,""closeyest""),"""")"),2720.0)</f>
        <v>2720</v>
      </c>
      <c r="V125" s="23">
        <f>IFERROR(__xludf.DUMMYFUNCTION("IFERROR(GOOGLEFINANCE(A125,""changepct""),"""")"),4.78)</f>
        <v>4.78</v>
      </c>
      <c r="W125" s="22">
        <f>IFERROR(__xludf.DUMMYFUNCTION("IFERROR(GOOGLEFINANCE(A125,""priceopen""),"""")"),2800.0)</f>
        <v>2800</v>
      </c>
      <c r="X125" s="22">
        <f>IFERROR(__xludf.DUMMYFUNCTION("IFERROR(GOOGLEFINANCE(A125,""high""),"""")"),2910.0)</f>
        <v>2910</v>
      </c>
      <c r="Y125" s="22">
        <f>IFERROR(__xludf.DUMMYFUNCTION("IFERROR(GOOGLEFINANCE(A125,""low""),"""")"),2760.0)</f>
        <v>2760</v>
      </c>
      <c r="Z125" s="22">
        <f>IFERROR(__xludf.DUMMYFUNCTION("IFERROR(GOOGLEFINANCE(A125,""volume""),"""")"),1.748085E8)</f>
        <v>174808500</v>
      </c>
      <c r="AA125" s="24" t="str">
        <f>VLOOKUP(A125,Metrik!$C$2:$Y$959,5,0)</f>
        <v>Metals &amp; Minerals</v>
      </c>
      <c r="AB125" s="24" t="str">
        <f>VLOOKUP(A125,Metrik!$C$2:$Y$959,3,0)</f>
        <v>Basic Materials</v>
      </c>
    </row>
    <row r="126">
      <c r="A126" s="14" t="s">
        <v>105</v>
      </c>
      <c r="B126" s="14" t="str">
        <f t="array" ref="B126">VLOOKUP(A126,{Metrik!$C$2:$C$998,Metrik!$B$2:$B$998},2,0)</f>
        <v>Aneka Tambang Tbk.</v>
      </c>
      <c r="C126" s="15">
        <f>IFERROR(__xludf.DUMMYFUNCTION("GOOGLEFINANCE(""IDX:""&amp;A126,""price"")"),2850.0)</f>
        <v>2850</v>
      </c>
      <c r="D126" s="16" t="str">
        <f>IFERROR(__xludf.DUMMYFUNCTION("IF(A126="""","""",
SPARKLINE(
INDEX(
GOOGLEFINANCE(""IDX:""&amp;A126,""close"",TODAY()-365,TODAY()),
,2
),
{""linewidth"",1}
))
"),"#N/A")</f>
        <v>#N/A</v>
      </c>
      <c r="E126" s="14" t="s">
        <v>55</v>
      </c>
      <c r="F126" s="25">
        <v>46356.0</v>
      </c>
      <c r="G126" s="18">
        <f t="shared" si="1"/>
        <v>19</v>
      </c>
      <c r="H126" s="19">
        <f>VLOOKUP(A126,Metrik!$C$2:$Y$959,8,0)</f>
        <v>8.2</v>
      </c>
      <c r="I126" s="20">
        <f>VLOOKUP(A126,Metrik!$C$2:$Y$959,9,0)</f>
        <v>1.7</v>
      </c>
      <c r="J126" s="20">
        <f>VLOOKUP(A126,Metrik!$C$2:$Y$959,10,0)</f>
        <v>21</v>
      </c>
      <c r="K126" s="20">
        <f>VLOOKUP(A126,Metrik!$C$2:$Y$959,11,0)</f>
        <v>13.4</v>
      </c>
      <c r="L126" s="20">
        <f>VLOOKUP(A126,Metrik!$C$2:$Y$959,12,0)</f>
        <v>0.57</v>
      </c>
      <c r="M126" s="20">
        <f>VLOOKUP(A126,Metrik!$C$2:$Y$959,19,0)</f>
        <v>28.9</v>
      </c>
      <c r="N126" s="21"/>
      <c r="O126" s="21"/>
      <c r="P126" s="21"/>
      <c r="Q126" s="21"/>
      <c r="R126" s="21"/>
      <c r="S126" s="21"/>
      <c r="T126" s="21"/>
      <c r="U126" s="22">
        <f>IFERROR(__xludf.DUMMYFUNCTION("IFERROR(GOOGLEFINANCE(A126,""closeyest""),"""")"),2720.0)</f>
        <v>2720</v>
      </c>
      <c r="V126" s="23">
        <f>IFERROR(__xludf.DUMMYFUNCTION("IFERROR(GOOGLEFINANCE(A126,""changepct""),"""")"),4.78)</f>
        <v>4.78</v>
      </c>
      <c r="W126" s="22">
        <f>IFERROR(__xludf.DUMMYFUNCTION("IFERROR(GOOGLEFINANCE(A126,""priceopen""),"""")"),2800.0)</f>
        <v>2800</v>
      </c>
      <c r="X126" s="22">
        <f>IFERROR(__xludf.DUMMYFUNCTION("IFERROR(GOOGLEFINANCE(A126,""high""),"""")"),2910.0)</f>
        <v>2910</v>
      </c>
      <c r="Y126" s="22">
        <f>IFERROR(__xludf.DUMMYFUNCTION("IFERROR(GOOGLEFINANCE(A126,""low""),"""")"),2760.0)</f>
        <v>2760</v>
      </c>
      <c r="Z126" s="22">
        <f>IFERROR(__xludf.DUMMYFUNCTION("IFERROR(GOOGLEFINANCE(A126,""volume""),"""")"),1.748085E8)</f>
        <v>174808500</v>
      </c>
      <c r="AA126" s="24" t="str">
        <f>VLOOKUP(A126,Metrik!$C$2:$Y$959,5,0)</f>
        <v>Metals &amp; Minerals</v>
      </c>
      <c r="AB126" s="24" t="str">
        <f>VLOOKUP(A126,Metrik!$C$2:$Y$959,3,0)</f>
        <v>Basic Materials</v>
      </c>
    </row>
    <row r="127">
      <c r="A127" s="14" t="s">
        <v>105</v>
      </c>
      <c r="B127" s="14" t="str">
        <f t="array" ref="B127">VLOOKUP(A127,{Metrik!$C$2:$C$998,Metrik!$B$2:$B$998},2,0)</f>
        <v>Aneka Tambang Tbk.</v>
      </c>
      <c r="C127" s="15">
        <f>IFERROR(__xludf.DUMMYFUNCTION("GOOGLEFINANCE(""IDX:""&amp;A127,""price"")"),2850.0)</f>
        <v>2850</v>
      </c>
      <c r="D127" s="16" t="str">
        <f>IFERROR(__xludf.DUMMYFUNCTION("IF(A127="""","""",
SPARKLINE(
INDEX(
GOOGLEFINANCE(""IDX:""&amp;A127,""close"",TODAY()-365,TODAY()),
,2
),
{""linewidth"",1}
))
"),"#N/A")</f>
        <v>#N/A</v>
      </c>
      <c r="E127" s="14" t="s">
        <v>86</v>
      </c>
      <c r="F127" s="25">
        <v>46356.0</v>
      </c>
      <c r="G127" s="18">
        <f t="shared" si="1"/>
        <v>19</v>
      </c>
      <c r="H127" s="19">
        <f>VLOOKUP(A127,Metrik!$C$2:$Y$959,8,0)</f>
        <v>8.2</v>
      </c>
      <c r="I127" s="20">
        <f>VLOOKUP(A127,Metrik!$C$2:$Y$959,9,0)</f>
        <v>1.7</v>
      </c>
      <c r="J127" s="20">
        <f>VLOOKUP(A127,Metrik!$C$2:$Y$959,10,0)</f>
        <v>21</v>
      </c>
      <c r="K127" s="20">
        <f>VLOOKUP(A127,Metrik!$C$2:$Y$959,11,0)</f>
        <v>13.4</v>
      </c>
      <c r="L127" s="20">
        <f>VLOOKUP(A127,Metrik!$C$2:$Y$959,12,0)</f>
        <v>0.57</v>
      </c>
      <c r="M127" s="20">
        <f>VLOOKUP(A127,Metrik!$C$2:$Y$959,19,0)</f>
        <v>28.9</v>
      </c>
      <c r="N127" s="21"/>
      <c r="O127" s="21"/>
      <c r="P127" s="21"/>
      <c r="Q127" s="21"/>
      <c r="R127" s="21"/>
      <c r="S127" s="21"/>
      <c r="T127" s="21"/>
      <c r="U127" s="22">
        <f>IFERROR(__xludf.DUMMYFUNCTION("IFERROR(GOOGLEFINANCE(A127,""closeyest""),"""")"),2720.0)</f>
        <v>2720</v>
      </c>
      <c r="V127" s="23">
        <f>IFERROR(__xludf.DUMMYFUNCTION("IFERROR(GOOGLEFINANCE(A127,""changepct""),"""")"),4.78)</f>
        <v>4.78</v>
      </c>
      <c r="W127" s="22">
        <f>IFERROR(__xludf.DUMMYFUNCTION("IFERROR(GOOGLEFINANCE(A127,""priceopen""),"""")"),2800.0)</f>
        <v>2800</v>
      </c>
      <c r="X127" s="22">
        <f>IFERROR(__xludf.DUMMYFUNCTION("IFERROR(GOOGLEFINANCE(A127,""high""),"""")"),2910.0)</f>
        <v>2910</v>
      </c>
      <c r="Y127" s="22">
        <f>IFERROR(__xludf.DUMMYFUNCTION("IFERROR(GOOGLEFINANCE(A127,""low""),"""")"),2760.0)</f>
        <v>2760</v>
      </c>
      <c r="Z127" s="22">
        <f>IFERROR(__xludf.DUMMYFUNCTION("IFERROR(GOOGLEFINANCE(A127,""volume""),"""")"),1.748085E8)</f>
        <v>174808500</v>
      </c>
      <c r="AA127" s="24" t="str">
        <f>VLOOKUP(A127,Metrik!$C$2:$Y$959,5,0)</f>
        <v>Metals &amp; Minerals</v>
      </c>
      <c r="AB127" s="24" t="str">
        <f>VLOOKUP(A127,Metrik!$C$2:$Y$959,3,0)</f>
        <v>Basic Materials</v>
      </c>
    </row>
    <row r="128">
      <c r="A128" s="14" t="s">
        <v>105</v>
      </c>
      <c r="B128" s="14" t="str">
        <f t="array" ref="B128">VLOOKUP(A128,{Metrik!$C$2:$C$998,Metrik!$B$2:$B$998},2,0)</f>
        <v>Aneka Tambang Tbk.</v>
      </c>
      <c r="C128" s="15">
        <f>IFERROR(__xludf.DUMMYFUNCTION("GOOGLEFINANCE(""IDX:""&amp;A128,""price"")"),2850.0)</f>
        <v>2850</v>
      </c>
      <c r="D128" s="16" t="str">
        <f>IFERROR(__xludf.DUMMYFUNCTION("IF(A128="""","""",
SPARKLINE(
INDEX(
GOOGLEFINANCE(""IDX:""&amp;A128,""close"",TODAY()-365,TODAY()),
,2
),
{""linewidth"",1}
))
"),"#N/A")</f>
        <v>#N/A</v>
      </c>
      <c r="E128" s="14" t="s">
        <v>106</v>
      </c>
      <c r="F128" s="25">
        <v>46356.0</v>
      </c>
      <c r="G128" s="18">
        <f t="shared" si="1"/>
        <v>19</v>
      </c>
      <c r="H128" s="19">
        <f>VLOOKUP(A128,Metrik!$C$2:$Y$959,8,0)</f>
        <v>8.2</v>
      </c>
      <c r="I128" s="20">
        <f>VLOOKUP(A128,Metrik!$C$2:$Y$959,9,0)</f>
        <v>1.7</v>
      </c>
      <c r="J128" s="20">
        <f>VLOOKUP(A128,Metrik!$C$2:$Y$959,10,0)</f>
        <v>21</v>
      </c>
      <c r="K128" s="20">
        <f>VLOOKUP(A128,Metrik!$C$2:$Y$959,11,0)</f>
        <v>13.4</v>
      </c>
      <c r="L128" s="20">
        <f>VLOOKUP(A128,Metrik!$C$2:$Y$959,12,0)</f>
        <v>0.57</v>
      </c>
      <c r="M128" s="20">
        <f>VLOOKUP(A128,Metrik!$C$2:$Y$959,19,0)</f>
        <v>28.9</v>
      </c>
      <c r="N128" s="21"/>
      <c r="O128" s="21"/>
      <c r="P128" s="21"/>
      <c r="Q128" s="21"/>
      <c r="R128" s="21"/>
      <c r="S128" s="21"/>
      <c r="T128" s="21"/>
      <c r="U128" s="22">
        <f>IFERROR(__xludf.DUMMYFUNCTION("IFERROR(GOOGLEFINANCE(A128,""closeyest""),"""")"),2720.0)</f>
        <v>2720</v>
      </c>
      <c r="V128" s="23">
        <f>IFERROR(__xludf.DUMMYFUNCTION("IFERROR(GOOGLEFINANCE(A128,""changepct""),"""")"),4.78)</f>
        <v>4.78</v>
      </c>
      <c r="W128" s="22">
        <f>IFERROR(__xludf.DUMMYFUNCTION("IFERROR(GOOGLEFINANCE(A128,""priceopen""),"""")"),2800.0)</f>
        <v>2800</v>
      </c>
      <c r="X128" s="22">
        <f>IFERROR(__xludf.DUMMYFUNCTION("IFERROR(GOOGLEFINANCE(A128,""high""),"""")"),2910.0)</f>
        <v>2910</v>
      </c>
      <c r="Y128" s="22">
        <f>IFERROR(__xludf.DUMMYFUNCTION("IFERROR(GOOGLEFINANCE(A128,""low""),"""")"),2760.0)</f>
        <v>2760</v>
      </c>
      <c r="Z128" s="22">
        <f>IFERROR(__xludf.DUMMYFUNCTION("IFERROR(GOOGLEFINANCE(A128,""volume""),"""")"),1.748085E8)</f>
        <v>174808500</v>
      </c>
      <c r="AA128" s="24" t="str">
        <f>VLOOKUP(A128,Metrik!$C$2:$Y$959,5,0)</f>
        <v>Metals &amp; Minerals</v>
      </c>
      <c r="AB128" s="24" t="str">
        <f>VLOOKUP(A128,Metrik!$C$2:$Y$959,3,0)</f>
        <v>Basic Materials</v>
      </c>
    </row>
    <row r="129">
      <c r="A129" s="17" t="s">
        <v>105</v>
      </c>
      <c r="B129" s="14" t="str">
        <f t="array" ref="B129">VLOOKUP(A129,{Metrik!$C$2:$C$998,Metrik!$B$2:$B$998},2,0)</f>
        <v>Aneka Tambang Tbk.</v>
      </c>
      <c r="C129" s="15">
        <f>IFERROR(__xludf.DUMMYFUNCTION("GOOGLEFINANCE(""IDX:""&amp;A129,""price"")"),2850.0)</f>
        <v>2850</v>
      </c>
      <c r="D129" s="16" t="str">
        <f>IFERROR(__xludf.DUMMYFUNCTION("IF(A129="""","""",
SPARKLINE(
INDEX(
GOOGLEFINANCE(""IDX:""&amp;A129,""close"",TODAY()-365,TODAY()),
,2
),
{""linewidth"",1}
))
"),"#N/A")</f>
        <v>#N/A</v>
      </c>
      <c r="E129" s="14" t="s">
        <v>65</v>
      </c>
      <c r="F129" s="37">
        <v>46356.0</v>
      </c>
      <c r="G129" s="38">
        <f t="shared" si="1"/>
        <v>19</v>
      </c>
      <c r="H129" s="34">
        <f>VLOOKUP(A129,Metrik!$C$2:$Y$959,8,0)</f>
        <v>8.2</v>
      </c>
      <c r="I129" s="34">
        <f>VLOOKUP(A129,Metrik!$C$2:$Y$959,9,0)</f>
        <v>1.7</v>
      </c>
      <c r="J129" s="34">
        <f>VLOOKUP(A129,Metrik!$C$2:$Y$959,10,0)</f>
        <v>21</v>
      </c>
      <c r="K129" s="34">
        <f>VLOOKUP(A129,Metrik!$C$2:$Y$959,11,0)</f>
        <v>13.4</v>
      </c>
      <c r="L129" s="34">
        <f>VLOOKUP(A129,Metrik!$C$2:$Y$959,12,0)</f>
        <v>0.57</v>
      </c>
      <c r="M129" s="34">
        <f>VLOOKUP(A129,Metrik!$C$2:$Y$959,19,0)</f>
        <v>28.9</v>
      </c>
      <c r="N129" s="26"/>
      <c r="O129" s="26"/>
      <c r="P129" s="26"/>
      <c r="Q129" s="26"/>
      <c r="R129" s="26"/>
      <c r="S129" s="26"/>
      <c r="T129" s="26"/>
      <c r="U129" s="35">
        <f>IFERROR(__xludf.DUMMYFUNCTION("IFERROR(GOOGLEFINANCE(A129,""closeyest""),"""")"),2720.0)</f>
        <v>2720</v>
      </c>
      <c r="V129" s="36">
        <f>IFERROR(__xludf.DUMMYFUNCTION("IFERROR(GOOGLEFINANCE(A129,""changepct""),"""")"),4.78)</f>
        <v>4.78</v>
      </c>
      <c r="W129" s="35">
        <f>IFERROR(__xludf.DUMMYFUNCTION("IFERROR(GOOGLEFINANCE(A129,""priceopen""),"""")"),2800.0)</f>
        <v>2800</v>
      </c>
      <c r="X129" s="35">
        <f>IFERROR(__xludf.DUMMYFUNCTION("IFERROR(GOOGLEFINANCE(A129,""high""),"""")"),2910.0)</f>
        <v>2910</v>
      </c>
      <c r="Y129" s="35">
        <f>IFERROR(__xludf.DUMMYFUNCTION("IFERROR(GOOGLEFINANCE(A129,""low""),"""")"),2760.0)</f>
        <v>2760</v>
      </c>
      <c r="Z129" s="35">
        <f>IFERROR(__xludf.DUMMYFUNCTION("IFERROR(GOOGLEFINANCE(A129,""volume""),"""")"),1.748085E8)</f>
        <v>174808500</v>
      </c>
      <c r="AA129" s="14" t="str">
        <f>VLOOKUP(A129,Metrik!$C$2:$Y$959,5,0)</f>
        <v>Metals &amp; Minerals</v>
      </c>
      <c r="AB129" s="14" t="str">
        <f>VLOOKUP(A129,Metrik!$C$2:$Y$959,3,0)</f>
        <v>Basic Materials</v>
      </c>
    </row>
    <row r="130">
      <c r="A130" s="14" t="s">
        <v>105</v>
      </c>
      <c r="B130" s="14" t="str">
        <f t="array" ref="B130">VLOOKUP(A130,{Metrik!$C$2:$C$998,Metrik!$B$2:$B$998},2,0)</f>
        <v>Aneka Tambang Tbk.</v>
      </c>
      <c r="C130" s="15">
        <f>IFERROR(__xludf.DUMMYFUNCTION("GOOGLEFINANCE(""IDX:""&amp;A130,""price"")"),2850.0)</f>
        <v>2850</v>
      </c>
      <c r="D130" s="16" t="str">
        <f>IFERROR(__xludf.DUMMYFUNCTION("IF(A130="""","""",
SPARKLINE(
INDEX(
GOOGLEFINANCE(""IDX:""&amp;A130,""close"",TODAY()-365,TODAY()),
,2
),
{""linewidth"",1}
))
"),"#N/A")</f>
        <v>#N/A</v>
      </c>
      <c r="E130" s="14" t="s">
        <v>42</v>
      </c>
      <c r="F130" s="25">
        <v>46356.0</v>
      </c>
      <c r="G130" s="18">
        <f t="shared" si="1"/>
        <v>19</v>
      </c>
      <c r="H130" s="19">
        <f>VLOOKUP(A130,Metrik!$C$2:$Y$959,8,0)</f>
        <v>8.2</v>
      </c>
      <c r="I130" s="20">
        <f>VLOOKUP(A130,Metrik!$C$2:$Y$959,9,0)</f>
        <v>1.7</v>
      </c>
      <c r="J130" s="20">
        <f>VLOOKUP(A130,Metrik!$C$2:$Y$959,10,0)</f>
        <v>21</v>
      </c>
      <c r="K130" s="20">
        <f>VLOOKUP(A130,Metrik!$C$2:$Y$959,11,0)</f>
        <v>13.4</v>
      </c>
      <c r="L130" s="20">
        <f>VLOOKUP(A130,Metrik!$C$2:$Y$959,12,0)</f>
        <v>0.57</v>
      </c>
      <c r="M130" s="20">
        <f>VLOOKUP(A130,Metrik!$C$2:$Y$959,19,0)</f>
        <v>28.9</v>
      </c>
      <c r="N130" s="21"/>
      <c r="O130" s="21"/>
      <c r="P130" s="21"/>
      <c r="Q130" s="21"/>
      <c r="R130" s="21"/>
      <c r="S130" s="21"/>
      <c r="T130" s="21"/>
      <c r="U130" s="22">
        <f>IFERROR(__xludf.DUMMYFUNCTION("IFERROR(GOOGLEFINANCE(A130,""closeyest""),"""")"),2720.0)</f>
        <v>2720</v>
      </c>
      <c r="V130" s="23">
        <f>IFERROR(__xludf.DUMMYFUNCTION("IFERROR(GOOGLEFINANCE(A130,""changepct""),"""")"),4.78)</f>
        <v>4.78</v>
      </c>
      <c r="W130" s="22">
        <f>IFERROR(__xludf.DUMMYFUNCTION("IFERROR(GOOGLEFINANCE(A130,""priceopen""),"""")"),2800.0)</f>
        <v>2800</v>
      </c>
      <c r="X130" s="22">
        <f>IFERROR(__xludf.DUMMYFUNCTION("IFERROR(GOOGLEFINANCE(A130,""high""),"""")"),2910.0)</f>
        <v>2910</v>
      </c>
      <c r="Y130" s="22">
        <f>IFERROR(__xludf.DUMMYFUNCTION("IFERROR(GOOGLEFINANCE(A130,""low""),"""")"),2760.0)</f>
        <v>2760</v>
      </c>
      <c r="Z130" s="22">
        <f>IFERROR(__xludf.DUMMYFUNCTION("IFERROR(GOOGLEFINANCE(A130,""volume""),"""")"),1.748085E8)</f>
        <v>174808500</v>
      </c>
      <c r="AA130" s="24" t="str">
        <f>VLOOKUP(A130,Metrik!$C$2:$Y$959,5,0)</f>
        <v>Metals &amp; Minerals</v>
      </c>
      <c r="AB130" s="24" t="str">
        <f>VLOOKUP(A130,Metrik!$C$2:$Y$959,3,0)</f>
        <v>Basic Materials</v>
      </c>
    </row>
    <row r="131">
      <c r="A131" s="14" t="s">
        <v>105</v>
      </c>
      <c r="B131" s="14" t="str">
        <f t="array" ref="B131">VLOOKUP(A131,{Metrik!$C$2:$C$998,Metrik!$B$2:$B$998},2,0)</f>
        <v>Aneka Tambang Tbk.</v>
      </c>
      <c r="C131" s="15">
        <f>IFERROR(__xludf.DUMMYFUNCTION("GOOGLEFINANCE(""IDX:""&amp;A131,""price"")"),2850.0)</f>
        <v>2850</v>
      </c>
      <c r="D131" s="16" t="str">
        <f>IFERROR(__xludf.DUMMYFUNCTION("IF(A131="""","""",
SPARKLINE(
INDEX(
GOOGLEFINANCE(""IDX:""&amp;A131,""close"",TODAY()-365,TODAY()),
,2
),
{""linewidth"",1}
))
"),"#N/A")</f>
        <v>#N/A</v>
      </c>
      <c r="E131" s="14" t="s">
        <v>38</v>
      </c>
      <c r="F131" s="25">
        <v>46356.0</v>
      </c>
      <c r="G131" s="18">
        <f t="shared" si="1"/>
        <v>19</v>
      </c>
      <c r="H131" s="19">
        <f>VLOOKUP(A131,Metrik!$C$2:$Y$959,8,0)</f>
        <v>8.2</v>
      </c>
      <c r="I131" s="20">
        <f>VLOOKUP(A131,Metrik!$C$2:$Y$959,9,0)</f>
        <v>1.7</v>
      </c>
      <c r="J131" s="20">
        <f>VLOOKUP(A131,Metrik!$C$2:$Y$959,10,0)</f>
        <v>21</v>
      </c>
      <c r="K131" s="20">
        <f>VLOOKUP(A131,Metrik!$C$2:$Y$959,11,0)</f>
        <v>13.4</v>
      </c>
      <c r="L131" s="20">
        <f>VLOOKUP(A131,Metrik!$C$2:$Y$959,12,0)</f>
        <v>0.57</v>
      </c>
      <c r="M131" s="20">
        <f>VLOOKUP(A131,Metrik!$C$2:$Y$959,19,0)</f>
        <v>28.9</v>
      </c>
      <c r="N131" s="21"/>
      <c r="O131" s="21"/>
      <c r="P131" s="21"/>
      <c r="Q131" s="21"/>
      <c r="R131" s="21"/>
      <c r="S131" s="21"/>
      <c r="T131" s="21"/>
      <c r="U131" s="22">
        <f>IFERROR(__xludf.DUMMYFUNCTION("IFERROR(GOOGLEFINANCE(A131,""closeyest""),"""")"),2720.0)</f>
        <v>2720</v>
      </c>
      <c r="V131" s="23">
        <f>IFERROR(__xludf.DUMMYFUNCTION("IFERROR(GOOGLEFINANCE(A131,""changepct""),"""")"),4.78)</f>
        <v>4.78</v>
      </c>
      <c r="W131" s="22">
        <f>IFERROR(__xludf.DUMMYFUNCTION("IFERROR(GOOGLEFINANCE(A131,""priceopen""),"""")"),2800.0)</f>
        <v>2800</v>
      </c>
      <c r="X131" s="22">
        <f>IFERROR(__xludf.DUMMYFUNCTION("IFERROR(GOOGLEFINANCE(A131,""high""),"""")"),2910.0)</f>
        <v>2910</v>
      </c>
      <c r="Y131" s="22">
        <f>IFERROR(__xludf.DUMMYFUNCTION("IFERROR(GOOGLEFINANCE(A131,""low""),"""")"),2760.0)</f>
        <v>2760</v>
      </c>
      <c r="Z131" s="22">
        <f>IFERROR(__xludf.DUMMYFUNCTION("IFERROR(GOOGLEFINANCE(A131,""volume""),"""")"),1.748085E8)</f>
        <v>174808500</v>
      </c>
      <c r="AA131" s="24" t="str">
        <f>VLOOKUP(A131,Metrik!$C$2:$Y$959,5,0)</f>
        <v>Metals &amp; Minerals</v>
      </c>
      <c r="AB131" s="24" t="str">
        <f>VLOOKUP(A131,Metrik!$C$2:$Y$959,3,0)</f>
        <v>Basic Materials</v>
      </c>
    </row>
    <row r="132">
      <c r="A132" s="14" t="s">
        <v>105</v>
      </c>
      <c r="B132" s="14" t="str">
        <f t="array" ref="B132">VLOOKUP(A132,{Metrik!$C$2:$C$998,Metrik!$B$2:$B$998},2,0)</f>
        <v>Aneka Tambang Tbk.</v>
      </c>
      <c r="C132" s="15">
        <f>IFERROR(__xludf.DUMMYFUNCTION("GOOGLEFINANCE(""IDX:""&amp;A132,""price"")"),2850.0)</f>
        <v>2850</v>
      </c>
      <c r="D132" s="16" t="str">
        <f>IFERROR(__xludf.DUMMYFUNCTION("IF(A132="""","""",
SPARKLINE(
INDEX(
GOOGLEFINANCE(""IDX:""&amp;A132,""close"",TODAY()-365,TODAY()),
,2
),
{""linewidth"",1}
))
"),"#N/A")</f>
        <v>#N/A</v>
      </c>
      <c r="E132" s="14" t="s">
        <v>39</v>
      </c>
      <c r="F132" s="25">
        <v>46356.0</v>
      </c>
      <c r="G132" s="18">
        <f t="shared" si="1"/>
        <v>19</v>
      </c>
      <c r="H132" s="19">
        <f>VLOOKUP(A132,Metrik!$C$2:$Y$959,8,0)</f>
        <v>8.2</v>
      </c>
      <c r="I132" s="20">
        <f>VLOOKUP(A132,Metrik!$C$2:$Y$959,9,0)</f>
        <v>1.7</v>
      </c>
      <c r="J132" s="20">
        <f>VLOOKUP(A132,Metrik!$C$2:$Y$959,10,0)</f>
        <v>21</v>
      </c>
      <c r="K132" s="20">
        <f>VLOOKUP(A132,Metrik!$C$2:$Y$959,11,0)</f>
        <v>13.4</v>
      </c>
      <c r="L132" s="20">
        <f>VLOOKUP(A132,Metrik!$C$2:$Y$959,12,0)</f>
        <v>0.57</v>
      </c>
      <c r="M132" s="20">
        <f>VLOOKUP(A132,Metrik!$C$2:$Y$959,19,0)</f>
        <v>28.9</v>
      </c>
      <c r="N132" s="21"/>
      <c r="O132" s="21"/>
      <c r="P132" s="21"/>
      <c r="Q132" s="21"/>
      <c r="R132" s="21"/>
      <c r="S132" s="21"/>
      <c r="T132" s="21"/>
      <c r="U132" s="22">
        <f>IFERROR(__xludf.DUMMYFUNCTION("IFERROR(GOOGLEFINANCE(A132,""closeyest""),"""")"),2720.0)</f>
        <v>2720</v>
      </c>
      <c r="V132" s="23">
        <f>IFERROR(__xludf.DUMMYFUNCTION("IFERROR(GOOGLEFINANCE(A132,""changepct""),"""")"),4.78)</f>
        <v>4.78</v>
      </c>
      <c r="W132" s="22">
        <f>IFERROR(__xludf.DUMMYFUNCTION("IFERROR(GOOGLEFINANCE(A132,""priceopen""),"""")"),2800.0)</f>
        <v>2800</v>
      </c>
      <c r="X132" s="22">
        <f>IFERROR(__xludf.DUMMYFUNCTION("IFERROR(GOOGLEFINANCE(A132,""high""),"""")"),2910.0)</f>
        <v>2910</v>
      </c>
      <c r="Y132" s="22">
        <f>IFERROR(__xludf.DUMMYFUNCTION("IFERROR(GOOGLEFINANCE(A132,""low""),"""")"),2760.0)</f>
        <v>2760</v>
      </c>
      <c r="Z132" s="22">
        <f>IFERROR(__xludf.DUMMYFUNCTION("IFERROR(GOOGLEFINANCE(A132,""volume""),"""")"),1.748085E8)</f>
        <v>174808500</v>
      </c>
      <c r="AA132" s="24" t="str">
        <f>VLOOKUP(A132,Metrik!$C$2:$Y$959,5,0)</f>
        <v>Metals &amp; Minerals</v>
      </c>
      <c r="AB132" s="24" t="str">
        <f>VLOOKUP(A132,Metrik!$C$2:$Y$959,3,0)</f>
        <v>Basic Materials</v>
      </c>
    </row>
    <row r="133">
      <c r="A133" s="14" t="s">
        <v>107</v>
      </c>
      <c r="B133" s="14" t="str">
        <f t="array" ref="B133">VLOOKUP(A133,{Metrik!$C$2:$C$998,Metrik!$B$2:$B$998},2,0)</f>
        <v>Apexindo Pratama Duta Tbk.</v>
      </c>
      <c r="C133" s="15">
        <f>IFERROR(__xludf.DUMMYFUNCTION("GOOGLEFINANCE(""IDX:""&amp;A133,""price"")"),137.0)</f>
        <v>137</v>
      </c>
      <c r="D133" s="16" t="str">
        <f>IFERROR(__xludf.DUMMYFUNCTION("IF(A133="""","""",
SPARKLINE(
INDEX(
GOOGLEFINANCE(""IDX:""&amp;A133,""close"",TODAY()-365,TODAY()),
,2
),
{""linewidth"",1}
))
"),"#N/A")</f>
        <v>#N/A</v>
      </c>
      <c r="E133" s="26"/>
      <c r="F133" s="26"/>
      <c r="G133" s="24">
        <f t="shared" si="1"/>
        <v>0</v>
      </c>
      <c r="H133" s="19">
        <f>VLOOKUP(A133,Metrik!$C$2:$Y$959,8,0)</f>
        <v>6.2</v>
      </c>
      <c r="I133" s="20">
        <f>VLOOKUP(A133,Metrik!$C$2:$Y$959,9,0)</f>
        <v>0.42</v>
      </c>
      <c r="J133" s="20">
        <f>VLOOKUP(A133,Metrik!$C$2:$Y$959,10,0)</f>
        <v>6.7</v>
      </c>
      <c r="K133" s="20">
        <f>VLOOKUP(A133,Metrik!$C$2:$Y$959,11,0)</f>
        <v>1.8</v>
      </c>
      <c r="L133" s="20">
        <f>VLOOKUP(A133,Metrik!$C$2:$Y$959,12,0)</f>
        <v>2.7</v>
      </c>
      <c r="M133" s="20">
        <f>VLOOKUP(A133,Metrik!$C$2:$Y$959,19,0)</f>
        <v>23.5</v>
      </c>
      <c r="N133" s="21"/>
      <c r="O133" s="21"/>
      <c r="P133" s="21"/>
      <c r="Q133" s="21"/>
      <c r="R133" s="21"/>
      <c r="S133" s="21"/>
      <c r="T133" s="21"/>
      <c r="U133" s="22">
        <f>IFERROR(__xludf.DUMMYFUNCTION("IFERROR(GOOGLEFINANCE(A133,""closeyest""),"""")"),224.55)</f>
        <v>224.55</v>
      </c>
      <c r="V133" s="23">
        <f>IFERROR(__xludf.DUMMYFUNCTION("IFERROR(GOOGLEFINANCE(A133,""changepct""),"""")"),3.23)</f>
        <v>3.23</v>
      </c>
      <c r="W133" s="22">
        <f>IFERROR(__xludf.DUMMYFUNCTION("IFERROR(GOOGLEFINANCE(A133,""priceopen""),"""")"),230.05)</f>
        <v>230.05</v>
      </c>
      <c r="X133" s="22">
        <f>IFERROR(__xludf.DUMMYFUNCTION("IFERROR(GOOGLEFINANCE(A133,""high""),"""")"),232.1)</f>
        <v>232.1</v>
      </c>
      <c r="Y133" s="22">
        <f>IFERROR(__xludf.DUMMYFUNCTION("IFERROR(GOOGLEFINANCE(A133,""low""),"""")"),230.05)</f>
        <v>230.05</v>
      </c>
      <c r="Z133" s="22">
        <f>IFERROR(__xludf.DUMMYFUNCTION("IFERROR(GOOGLEFINANCE(A133,""volume""),"""")"),413.0)</f>
        <v>413</v>
      </c>
      <c r="AA133" s="24" t="str">
        <f>VLOOKUP(A133,Metrik!$C$2:$Y$959,5,0)</f>
        <v>Oil, Gas &amp; Coal Supports</v>
      </c>
      <c r="AB133" s="24" t="str">
        <f>VLOOKUP(A133,Metrik!$C$2:$Y$959,3,0)</f>
        <v>Energy</v>
      </c>
    </row>
    <row r="134">
      <c r="A134" s="14" t="s">
        <v>108</v>
      </c>
      <c r="B134" s="14" t="str">
        <f t="array" ref="B134">VLOOKUP(A134,{Metrik!$C$2:$C$998,Metrik!$B$2:$B$998},2,0)</f>
        <v>Pacific Strategic Financial Tbk.</v>
      </c>
      <c r="C134" s="15">
        <f>IFERROR(__xludf.DUMMYFUNCTION("GOOGLEFINANCE(""IDX:""&amp;A134,""price"")"),605.0)</f>
        <v>605</v>
      </c>
      <c r="D134" s="16" t="str">
        <f>IFERROR(__xludf.DUMMYFUNCTION("IF(A134="""","""",
SPARKLINE(
INDEX(
GOOGLEFINANCE(""IDX:""&amp;A134,""close"",TODAY()-365,TODAY()),
,2
),
{""linewidth"",1}
))
"),"#N/A")</f>
        <v>#N/A</v>
      </c>
      <c r="E134" s="26"/>
      <c r="F134" s="26"/>
      <c r="G134" s="24">
        <f t="shared" si="1"/>
        <v>0</v>
      </c>
      <c r="H134" s="19">
        <f>VLOOKUP(A134,Metrik!$C$2:$Y$959,8,0)</f>
        <v>110</v>
      </c>
      <c r="I134" s="20">
        <f>VLOOKUP(A134,Metrik!$C$2:$Y$959,9,0)</f>
        <v>3.5</v>
      </c>
      <c r="J134" s="20">
        <f>VLOOKUP(A134,Metrik!$C$2:$Y$959,10,0)</f>
        <v>3.1</v>
      </c>
      <c r="K134" s="20">
        <f>VLOOKUP(A134,Metrik!$C$2:$Y$959,11,0)</f>
        <v>1.3</v>
      </c>
      <c r="L134" s="20">
        <f>VLOOKUP(A134,Metrik!$C$2:$Y$959,12,0)</f>
        <v>1.5</v>
      </c>
      <c r="M134" s="20">
        <f>VLOOKUP(A134,Metrik!$C$2:$Y$959,19,0)</f>
        <v>16.9</v>
      </c>
      <c r="N134" s="21"/>
      <c r="O134" s="21"/>
      <c r="P134" s="21"/>
      <c r="Q134" s="21"/>
      <c r="R134" s="21"/>
      <c r="S134" s="21"/>
      <c r="T134" s="21"/>
      <c r="U134" s="22">
        <f>IFERROR(__xludf.DUMMYFUNCTION("IFERROR(GOOGLEFINANCE(A134,""closeyest""),"""")"),590.0)</f>
        <v>590</v>
      </c>
      <c r="V134" s="23">
        <f>IFERROR(__xludf.DUMMYFUNCTION("IFERROR(GOOGLEFINANCE(A134,""changepct""),"""")"),2.54)</f>
        <v>2.54</v>
      </c>
      <c r="W134" s="22">
        <f>IFERROR(__xludf.DUMMYFUNCTION("IFERROR(GOOGLEFINANCE(A134,""priceopen""),"""")"),590.0)</f>
        <v>590</v>
      </c>
      <c r="X134" s="22">
        <f>IFERROR(__xludf.DUMMYFUNCTION("IFERROR(GOOGLEFINANCE(A134,""high""),"""")"),650.0)</f>
        <v>650</v>
      </c>
      <c r="Y134" s="22">
        <f>IFERROR(__xludf.DUMMYFUNCTION("IFERROR(GOOGLEFINANCE(A134,""low""),"""")"),585.0)</f>
        <v>585</v>
      </c>
      <c r="Z134" s="22">
        <f>IFERROR(__xludf.DUMMYFUNCTION("IFERROR(GOOGLEFINANCE(A134,""volume""),"""")"),2840200.0)</f>
        <v>2840200</v>
      </c>
      <c r="AA134" s="24" t="str">
        <f>VLOOKUP(A134,Metrik!$C$2:$Y$959,5,0)</f>
        <v>Holding &amp; Investment Companies</v>
      </c>
      <c r="AB134" s="24" t="str">
        <f>VLOOKUP(A134,Metrik!$C$2:$Y$959,3,0)</f>
        <v>Financials</v>
      </c>
    </row>
    <row r="135">
      <c r="A135" s="14" t="s">
        <v>109</v>
      </c>
      <c r="B135" s="14" t="str">
        <f t="array" ref="B135">VLOOKUP(A135,{Metrik!$C$2:$C$998,Metrik!$B$2:$B$998},2,0)</f>
        <v>PT Arita Prima Indonesia Tbk.</v>
      </c>
      <c r="C135" s="15">
        <f>IFERROR(__xludf.DUMMYFUNCTION("GOOGLEFINANCE(""IDX:""&amp;A135,""price"")"),171.0)</f>
        <v>171</v>
      </c>
      <c r="D135" s="16" t="str">
        <f>IFERROR(__xludf.DUMMYFUNCTION("IF(A135="""","""",
SPARKLINE(
INDEX(
GOOGLEFINANCE(""IDX:""&amp;A135,""close"",TODAY()-365,TODAY()),
,2
),
{""linewidth"",1}
))
"),"#N/A")</f>
        <v>#N/A</v>
      </c>
      <c r="E135" s="26"/>
      <c r="F135" s="26"/>
      <c r="G135" s="24">
        <f t="shared" si="1"/>
        <v>0</v>
      </c>
      <c r="H135" s="19">
        <f>VLOOKUP(A135,Metrik!$C$2:$Y$959,8,0)</f>
        <v>17.3</v>
      </c>
      <c r="I135" s="20">
        <f>VLOOKUP(A135,Metrik!$C$2:$Y$959,9,0)</f>
        <v>0.45</v>
      </c>
      <c r="J135" s="20">
        <f>VLOOKUP(A135,Metrik!$C$2:$Y$959,10,0)</f>
        <v>2.6</v>
      </c>
      <c r="K135" s="20">
        <f>VLOOKUP(A135,Metrik!$C$2:$Y$959,11,0)</f>
        <v>1.8</v>
      </c>
      <c r="L135" s="20">
        <f>VLOOKUP(A135,Metrik!$C$2:$Y$959,12,0)</f>
        <v>0.49</v>
      </c>
      <c r="M135" s="20">
        <f>VLOOKUP(A135,Metrik!$C$2:$Y$959,19,0)</f>
        <v>13.4</v>
      </c>
      <c r="N135" s="21"/>
      <c r="O135" s="21"/>
      <c r="P135" s="21"/>
      <c r="Q135" s="21"/>
      <c r="R135" s="21"/>
      <c r="S135" s="21"/>
      <c r="T135" s="21"/>
      <c r="U135" s="22">
        <f>IFERROR(__xludf.DUMMYFUNCTION("IFERROR(GOOGLEFINANCE(A135,""closeyest""),"""")"),170.0)</f>
        <v>170</v>
      </c>
      <c r="V135" s="23">
        <f>IFERROR(__xludf.DUMMYFUNCTION("IFERROR(GOOGLEFINANCE(A135,""changepct""),"""")"),0.59)</f>
        <v>0.59</v>
      </c>
      <c r="W135" s="22">
        <f>IFERROR(__xludf.DUMMYFUNCTION("IFERROR(GOOGLEFINANCE(A135,""priceopen""),"""")"),170.0)</f>
        <v>170</v>
      </c>
      <c r="X135" s="22">
        <f>IFERROR(__xludf.DUMMYFUNCTION("IFERROR(GOOGLEFINANCE(A135,""high""),"""")"),175.0)</f>
        <v>175</v>
      </c>
      <c r="Y135" s="22">
        <f>IFERROR(__xludf.DUMMYFUNCTION("IFERROR(GOOGLEFINANCE(A135,""low""),"""")"),166.0)</f>
        <v>166</v>
      </c>
      <c r="Z135" s="22">
        <f>IFERROR(__xludf.DUMMYFUNCTION("IFERROR(GOOGLEFINANCE(A135,""volume""),"""")"),16200.0)</f>
        <v>16200</v>
      </c>
      <c r="AA135" s="24" t="str">
        <f>VLOOKUP(A135,Metrik!$C$2:$Y$959,5,0)</f>
        <v>Machinery</v>
      </c>
      <c r="AB135" s="24" t="str">
        <f>VLOOKUP(A135,Metrik!$C$2:$Y$959,3,0)</f>
        <v>Industrials</v>
      </c>
    </row>
    <row r="136">
      <c r="A136" s="14" t="s">
        <v>110</v>
      </c>
      <c r="B136" s="14" t="str">
        <f t="array" ref="B136">VLOOKUP(A136,{Metrik!$C$2:$C$998,Metrik!$B$2:$B$998},2,0)</f>
        <v>Asiaplast Industries Tbk.</v>
      </c>
      <c r="C136" s="15">
        <f>IFERROR(__xludf.DUMMYFUNCTION("GOOGLEFINANCE(""IDX:""&amp;A136,""price"")"),252.0)</f>
        <v>252</v>
      </c>
      <c r="D136" s="16" t="str">
        <f>IFERROR(__xludf.DUMMYFUNCTION("IF(A136="""","""",
SPARKLINE(
INDEX(
GOOGLEFINANCE(""IDX:""&amp;A136,""close"",TODAY()-365,TODAY()),
,2
),
{""linewidth"",1}
))
"),"#N/A")</f>
        <v>#N/A</v>
      </c>
      <c r="E136" s="26"/>
      <c r="F136" s="26"/>
      <c r="G136" s="24">
        <f t="shared" si="1"/>
        <v>0</v>
      </c>
      <c r="H136" s="19">
        <f>VLOOKUP(A136,Metrik!$C$2:$Y$959,8,0)</f>
        <v>61.6</v>
      </c>
      <c r="I136" s="20">
        <f>VLOOKUP(A136,Metrik!$C$2:$Y$959,9,0)</f>
        <v>1</v>
      </c>
      <c r="J136" s="20">
        <f>VLOOKUP(A136,Metrik!$C$2:$Y$959,10,0)</f>
        <v>1.7</v>
      </c>
      <c r="K136" s="20">
        <f>VLOOKUP(A136,Metrik!$C$2:$Y$959,11,0)</f>
        <v>1.2</v>
      </c>
      <c r="L136" s="20">
        <f>VLOOKUP(A136,Metrik!$C$2:$Y$959,12,0)</f>
        <v>0.37</v>
      </c>
      <c r="M136" s="20">
        <f>VLOOKUP(A136,Metrik!$C$2:$Y$959,19,0)</f>
        <v>7.9</v>
      </c>
      <c r="N136" s="21"/>
      <c r="O136" s="21"/>
      <c r="P136" s="21"/>
      <c r="Q136" s="21"/>
      <c r="R136" s="21"/>
      <c r="S136" s="21"/>
      <c r="T136" s="21"/>
      <c r="U136" s="22">
        <f>IFERROR(__xludf.DUMMYFUNCTION("IFERROR(GOOGLEFINANCE(A136,""closeyest""),"""")"),0.02)</f>
        <v>0.02</v>
      </c>
      <c r="V136" s="23">
        <f>IFERROR(__xludf.DUMMYFUNCTION("IFERROR(GOOGLEFINANCE(A136,""changepct""),"""")"),0.0)</f>
        <v>0</v>
      </c>
      <c r="W136" s="22" t="str">
        <f>IFERROR(__xludf.DUMMYFUNCTION("IFERROR(GOOGLEFINANCE(A136,""priceopen""),"""")"),"")</f>
        <v/>
      </c>
      <c r="X136" s="22" t="str">
        <f>IFERROR(__xludf.DUMMYFUNCTION("IFERROR(GOOGLEFINANCE(A136,""high""),"""")"),"")</f>
        <v/>
      </c>
      <c r="Y136" s="22" t="str">
        <f>IFERROR(__xludf.DUMMYFUNCTION("IFERROR(GOOGLEFINANCE(A136,""low""),"""")"),"")</f>
        <v/>
      </c>
      <c r="Z136" s="22">
        <f>IFERROR(__xludf.DUMMYFUNCTION("IFERROR(GOOGLEFINANCE(A136,""volume""),"""")"),0.0)</f>
        <v>0</v>
      </c>
      <c r="AA136" s="24" t="str">
        <f>VLOOKUP(A136,Metrik!$C$2:$Y$959,5,0)</f>
        <v>Chemicals</v>
      </c>
      <c r="AB136" s="24" t="str">
        <f>VLOOKUP(A136,Metrik!$C$2:$Y$959,3,0)</f>
        <v>Basic Materials</v>
      </c>
    </row>
    <row r="137">
      <c r="A137" s="14" t="s">
        <v>111</v>
      </c>
      <c r="B137" s="14" t="str">
        <f t="array" ref="B137">VLOOKUP(A137,{Metrik!$C$2:$C$998,Metrik!$B$2:$B$998},2,0)</f>
        <v>Agung Podomoro Land Tbk.</v>
      </c>
      <c r="C137" s="15">
        <f>IFERROR(__xludf.DUMMYFUNCTION("GOOGLEFINANCE(""IDX:""&amp;A137,""price"")"),126.0)</f>
        <v>126</v>
      </c>
      <c r="D137" s="16" t="str">
        <f>IFERROR(__xludf.DUMMYFUNCTION("IF(A137="""","""",
SPARKLINE(
INDEX(
GOOGLEFINANCE(""IDX:""&amp;A137,""close"",TODAY()-365,TODAY()),
,2
),
{""linewidth"",1}
))
"),"#N/A")</f>
        <v>#N/A</v>
      </c>
      <c r="E137" s="26"/>
      <c r="F137" s="26"/>
      <c r="G137" s="24">
        <f t="shared" si="1"/>
        <v>0</v>
      </c>
      <c r="H137" s="19">
        <f>VLOOKUP(A137,Metrik!$C$2:$Y$959,8,0)</f>
        <v>8.6</v>
      </c>
      <c r="I137" s="20">
        <f>VLOOKUP(A137,Metrik!$C$2:$Y$959,9,0)</f>
        <v>0.25</v>
      </c>
      <c r="J137" s="20">
        <f>VLOOKUP(A137,Metrik!$C$2:$Y$959,10,0)</f>
        <v>2.9</v>
      </c>
      <c r="K137" s="20">
        <f>VLOOKUP(A137,Metrik!$C$2:$Y$959,11,0)</f>
        <v>1.6</v>
      </c>
      <c r="L137" s="20">
        <f>VLOOKUP(A137,Metrik!$C$2:$Y$959,12,0)</f>
        <v>0.76</v>
      </c>
      <c r="M137" s="20">
        <f>VLOOKUP(A137,Metrik!$C$2:$Y$959,19,0)</f>
        <v>13.5</v>
      </c>
      <c r="N137" s="21"/>
      <c r="O137" s="21"/>
      <c r="P137" s="21"/>
      <c r="Q137" s="21"/>
      <c r="R137" s="21"/>
      <c r="S137" s="21"/>
      <c r="T137" s="21"/>
      <c r="U137" s="22">
        <f>IFERROR(__xludf.DUMMYFUNCTION("IFERROR(GOOGLEFINANCE(A137,""closeyest""),"""")"),120.0)</f>
        <v>120</v>
      </c>
      <c r="V137" s="23">
        <f>IFERROR(__xludf.DUMMYFUNCTION("IFERROR(GOOGLEFINANCE(A137,""changepct""),"""")"),5.0)</f>
        <v>5</v>
      </c>
      <c r="W137" s="22">
        <f>IFERROR(__xludf.DUMMYFUNCTION("IFERROR(GOOGLEFINANCE(A137,""priceopen""),"""")"),120.0)</f>
        <v>120</v>
      </c>
      <c r="X137" s="22">
        <f>IFERROR(__xludf.DUMMYFUNCTION("IFERROR(GOOGLEFINANCE(A137,""high""),"""")"),129.0)</f>
        <v>129</v>
      </c>
      <c r="Y137" s="22">
        <f>IFERROR(__xludf.DUMMYFUNCTION("IFERROR(GOOGLEFINANCE(A137,""low""),"""")"),120.0)</f>
        <v>120</v>
      </c>
      <c r="Z137" s="22">
        <f>IFERROR(__xludf.DUMMYFUNCTION("IFERROR(GOOGLEFINANCE(A137,""volume""),"""")"),1.7676E7)</f>
        <v>17676000</v>
      </c>
      <c r="AA137" s="24" t="str">
        <f>VLOOKUP(A137,Metrik!$C$2:$Y$959,5,0)</f>
        <v>Real Estate Management &amp; Development</v>
      </c>
      <c r="AB137" s="24" t="str">
        <f>VLOOKUP(A137,Metrik!$C$2:$Y$959,3,0)</f>
        <v>Properties &amp; Real Estate</v>
      </c>
    </row>
    <row r="138">
      <c r="A138" s="17" t="s">
        <v>112</v>
      </c>
      <c r="B138" s="14" t="str">
        <f t="array" ref="B138">VLOOKUP(A138,{Metrik!$C$2:$C$998,Metrik!$B$2:$B$998},2,0)</f>
        <v>Archi Indonesia Tbk.</v>
      </c>
      <c r="C138" s="15">
        <f>IFERROR(__xludf.DUMMYFUNCTION("GOOGLEFINANCE(""IDX:""&amp;A138,""price"")"),975.0)</f>
        <v>975</v>
      </c>
      <c r="D138" s="16" t="str">
        <f>IFERROR(__xludf.DUMMYFUNCTION("IF(A138="""","""",
SPARKLINE(
INDEX(
GOOGLEFINANCE(""IDX:""&amp;A138,""close"",TODAY()-365,TODAY()),
,2
),
{""linewidth"",1}
))
"),"#N/A")</f>
        <v>#N/A</v>
      </c>
      <c r="E138" s="14" t="s">
        <v>47</v>
      </c>
      <c r="F138" s="25">
        <v>46356.0</v>
      </c>
      <c r="G138" s="18">
        <f t="shared" si="1"/>
        <v>6</v>
      </c>
      <c r="H138" s="19">
        <f>VLOOKUP(A138,Metrik!$C$2:$Y$959,8,0)</f>
        <v>15</v>
      </c>
      <c r="I138" s="20">
        <f>VLOOKUP(A138,Metrik!$C$2:$Y$959,9,0)</f>
        <v>4.6</v>
      </c>
      <c r="J138" s="20">
        <f>VLOOKUP(A138,Metrik!$C$2:$Y$959,10,0)</f>
        <v>30.6</v>
      </c>
      <c r="K138" s="20">
        <f>VLOOKUP(A138,Metrik!$C$2:$Y$959,11,0)</f>
        <v>11.3</v>
      </c>
      <c r="L138" s="20">
        <f>VLOOKUP(A138,Metrik!$C$2:$Y$959,12,0)</f>
        <v>1.7</v>
      </c>
      <c r="M138" s="20">
        <f>VLOOKUP(A138,Metrik!$C$2:$Y$959,19,0)</f>
        <v>87.9</v>
      </c>
      <c r="N138" s="21"/>
      <c r="O138" s="21"/>
      <c r="P138" s="21"/>
      <c r="Q138" s="21"/>
      <c r="R138" s="21"/>
      <c r="S138" s="21"/>
      <c r="T138" s="21"/>
      <c r="U138" s="22">
        <f>IFERROR(__xludf.DUMMYFUNCTION("IFERROR(GOOGLEFINANCE(A138,""closeyest""),"""")"),9.98)</f>
        <v>9.98</v>
      </c>
      <c r="V138" s="23">
        <f>IFERROR(__xludf.DUMMYFUNCTION("IFERROR(GOOGLEFINANCE(A138,""changepct""),"""")"),0.0)</f>
        <v>0</v>
      </c>
      <c r="W138" s="22" t="str">
        <f>IFERROR(__xludf.DUMMYFUNCTION("IFERROR(GOOGLEFINANCE(A138,""priceopen""),"""")"),"")</f>
        <v/>
      </c>
      <c r="X138" s="22" t="str">
        <f>IFERROR(__xludf.DUMMYFUNCTION("IFERROR(GOOGLEFINANCE(A138,""high""),"""")"),"")</f>
        <v/>
      </c>
      <c r="Y138" s="22" t="str">
        <f>IFERROR(__xludf.DUMMYFUNCTION("IFERROR(GOOGLEFINANCE(A138,""low""),"""")"),"")</f>
        <v/>
      </c>
      <c r="Z138" s="22">
        <f>IFERROR(__xludf.DUMMYFUNCTION("IFERROR(GOOGLEFINANCE(A138,""volume""),"""")"),20.0)</f>
        <v>20</v>
      </c>
      <c r="AA138" s="24" t="str">
        <f>VLOOKUP(A138,Metrik!$C$2:$Y$959,5,0)</f>
        <v>Metals &amp; Minerals</v>
      </c>
      <c r="AB138" s="24" t="str">
        <f>VLOOKUP(A138,Metrik!$C$2:$Y$959,3,0)</f>
        <v>Basic Materials</v>
      </c>
    </row>
    <row r="139">
      <c r="A139" s="14" t="s">
        <v>112</v>
      </c>
      <c r="B139" s="14" t="str">
        <f t="array" ref="B139">VLOOKUP(A139,{Metrik!$C$2:$C$998,Metrik!$B$2:$B$998},2,0)</f>
        <v>Archi Indonesia Tbk.</v>
      </c>
      <c r="C139" s="15">
        <f>IFERROR(__xludf.DUMMYFUNCTION("GOOGLEFINANCE(""IDX:""&amp;A139,""price"")"),975.0)</f>
        <v>975</v>
      </c>
      <c r="D139" s="16" t="str">
        <f>IFERROR(__xludf.DUMMYFUNCTION("IF(A139="""","""",
SPARKLINE(
INDEX(
GOOGLEFINANCE(""IDX:""&amp;A139,""close"",TODAY()-365,TODAY()),
,2
),
{""linewidth"",1}
))
"),"#N/A")</f>
        <v>#N/A</v>
      </c>
      <c r="E139" s="14" t="s">
        <v>41</v>
      </c>
      <c r="F139" s="14" t="s">
        <v>34</v>
      </c>
      <c r="G139" s="24">
        <f t="shared" si="1"/>
        <v>6</v>
      </c>
      <c r="H139" s="19">
        <f>VLOOKUP(A139,Metrik!$C$2:$Y$959,8,0)</f>
        <v>15</v>
      </c>
      <c r="I139" s="20">
        <f>VLOOKUP(A139,Metrik!$C$2:$Y$959,9,0)</f>
        <v>4.6</v>
      </c>
      <c r="J139" s="20">
        <f>VLOOKUP(A139,Metrik!$C$2:$Y$959,10,0)</f>
        <v>30.6</v>
      </c>
      <c r="K139" s="20">
        <f>VLOOKUP(A139,Metrik!$C$2:$Y$959,11,0)</f>
        <v>11.3</v>
      </c>
      <c r="L139" s="20">
        <f>VLOOKUP(A139,Metrik!$C$2:$Y$959,12,0)</f>
        <v>1.7</v>
      </c>
      <c r="M139" s="20">
        <f>VLOOKUP(A139,Metrik!$C$2:$Y$959,19,0)</f>
        <v>87.9</v>
      </c>
      <c r="N139" s="21"/>
      <c r="O139" s="21"/>
      <c r="P139" s="21"/>
      <c r="Q139" s="21"/>
      <c r="R139" s="21"/>
      <c r="S139" s="21"/>
      <c r="T139" s="21"/>
      <c r="U139" s="22">
        <f>IFERROR(__xludf.DUMMYFUNCTION("IFERROR(GOOGLEFINANCE(A139,""closeyest""),"""")"),9.98)</f>
        <v>9.98</v>
      </c>
      <c r="V139" s="23">
        <f>IFERROR(__xludf.DUMMYFUNCTION("IFERROR(GOOGLEFINANCE(A139,""changepct""),"""")"),0.0)</f>
        <v>0</v>
      </c>
      <c r="W139" s="22" t="str">
        <f>IFERROR(__xludf.DUMMYFUNCTION("IFERROR(GOOGLEFINANCE(A139,""priceopen""),"""")"),"")</f>
        <v/>
      </c>
      <c r="X139" s="22" t="str">
        <f>IFERROR(__xludf.DUMMYFUNCTION("IFERROR(GOOGLEFINANCE(A139,""high""),"""")"),"")</f>
        <v/>
      </c>
      <c r="Y139" s="22" t="str">
        <f>IFERROR(__xludf.DUMMYFUNCTION("IFERROR(GOOGLEFINANCE(A139,""low""),"""")"),"")</f>
        <v/>
      </c>
      <c r="Z139" s="22">
        <f>IFERROR(__xludf.DUMMYFUNCTION("IFERROR(GOOGLEFINANCE(A139,""volume""),"""")"),20.0)</f>
        <v>20</v>
      </c>
      <c r="AA139" s="24" t="str">
        <f>VLOOKUP(A139,Metrik!$C$2:$Y$959,5,0)</f>
        <v>Metals &amp; Minerals</v>
      </c>
      <c r="AB139" s="24" t="str">
        <f>VLOOKUP(A139,Metrik!$C$2:$Y$959,3,0)</f>
        <v>Basic Materials</v>
      </c>
    </row>
    <row r="140">
      <c r="A140" s="14" t="s">
        <v>112</v>
      </c>
      <c r="B140" s="14" t="str">
        <f t="array" ref="B140">VLOOKUP(A140,{Metrik!$C$2:$C$998,Metrik!$B$2:$B$998},2,0)</f>
        <v>Archi Indonesia Tbk.</v>
      </c>
      <c r="C140" s="15">
        <f>IFERROR(__xludf.DUMMYFUNCTION("GOOGLEFINANCE(""IDX:""&amp;A140,""price"")"),975.0)</f>
        <v>975</v>
      </c>
      <c r="D140" s="16" t="str">
        <f>IFERROR(__xludf.DUMMYFUNCTION("IF(A140="""","""",
SPARKLINE(
INDEX(
GOOGLEFINANCE(""IDX:""&amp;A140,""close"",TODAY()-365,TODAY()),
,2
),
{""linewidth"",1}
))
"),"#N/A")</f>
        <v>#N/A</v>
      </c>
      <c r="E140" s="14" t="s">
        <v>32</v>
      </c>
      <c r="F140" s="14" t="s">
        <v>29</v>
      </c>
      <c r="G140" s="24">
        <f t="shared" si="1"/>
        <v>6</v>
      </c>
      <c r="H140" s="19">
        <f>VLOOKUP(A140,Metrik!$C$2:$Y$959,8,0)</f>
        <v>15</v>
      </c>
      <c r="I140" s="20">
        <f>VLOOKUP(A140,Metrik!$C$2:$Y$959,9,0)</f>
        <v>4.6</v>
      </c>
      <c r="J140" s="20">
        <f>VLOOKUP(A140,Metrik!$C$2:$Y$959,10,0)</f>
        <v>30.6</v>
      </c>
      <c r="K140" s="20">
        <f>VLOOKUP(A140,Metrik!$C$2:$Y$959,11,0)</f>
        <v>11.3</v>
      </c>
      <c r="L140" s="20">
        <f>VLOOKUP(A140,Metrik!$C$2:$Y$959,12,0)</f>
        <v>1.7</v>
      </c>
      <c r="M140" s="20">
        <f>VLOOKUP(A140,Metrik!$C$2:$Y$959,19,0)</f>
        <v>87.9</v>
      </c>
      <c r="N140" s="21"/>
      <c r="O140" s="21"/>
      <c r="P140" s="21"/>
      <c r="Q140" s="21"/>
      <c r="R140" s="21"/>
      <c r="S140" s="21"/>
      <c r="T140" s="21"/>
      <c r="U140" s="22">
        <f>IFERROR(__xludf.DUMMYFUNCTION("IFERROR(GOOGLEFINANCE(A140,""closeyest""),"""")"),9.98)</f>
        <v>9.98</v>
      </c>
      <c r="V140" s="23">
        <f>IFERROR(__xludf.DUMMYFUNCTION("IFERROR(GOOGLEFINANCE(A140,""changepct""),"""")"),0.0)</f>
        <v>0</v>
      </c>
      <c r="W140" s="22" t="str">
        <f>IFERROR(__xludf.DUMMYFUNCTION("IFERROR(GOOGLEFINANCE(A140,""priceopen""),"""")"),"")</f>
        <v/>
      </c>
      <c r="X140" s="22" t="str">
        <f>IFERROR(__xludf.DUMMYFUNCTION("IFERROR(GOOGLEFINANCE(A140,""high""),"""")"),"")</f>
        <v/>
      </c>
      <c r="Y140" s="22" t="str">
        <f>IFERROR(__xludf.DUMMYFUNCTION("IFERROR(GOOGLEFINANCE(A140,""low""),"""")"),"")</f>
        <v/>
      </c>
      <c r="Z140" s="22">
        <f>IFERROR(__xludf.DUMMYFUNCTION("IFERROR(GOOGLEFINANCE(A140,""volume""),"""")"),20.0)</f>
        <v>20</v>
      </c>
      <c r="AA140" s="24" t="str">
        <f>VLOOKUP(A140,Metrik!$C$2:$Y$959,5,0)</f>
        <v>Metals &amp; Minerals</v>
      </c>
      <c r="AB140" s="24" t="str">
        <f>VLOOKUP(A140,Metrik!$C$2:$Y$959,3,0)</f>
        <v>Basic Materials</v>
      </c>
    </row>
    <row r="141">
      <c r="A141" s="17" t="s">
        <v>112</v>
      </c>
      <c r="B141" s="14" t="str">
        <f t="array" ref="B141">VLOOKUP(A141,{Metrik!$C$2:$C$998,Metrik!$B$2:$B$998},2,0)</f>
        <v>Archi Indonesia Tbk.</v>
      </c>
      <c r="C141" s="15">
        <f>IFERROR(__xludf.DUMMYFUNCTION("GOOGLEFINANCE(""IDX:""&amp;A141,""price"")"),975.0)</f>
        <v>975</v>
      </c>
      <c r="D141" s="16" t="str">
        <f>IFERROR(__xludf.DUMMYFUNCTION("IF(A141="""","""",
SPARKLINE(
INDEX(
GOOGLEFINANCE(""IDX:""&amp;A141,""close"",TODAY()-365,TODAY()),
,2
),
{""linewidth"",1}
))
"),"#N/A")</f>
        <v>#N/A</v>
      </c>
      <c r="E141" s="14" t="s">
        <v>55</v>
      </c>
      <c r="F141" s="25">
        <v>46356.0</v>
      </c>
      <c r="G141" s="18">
        <f t="shared" si="1"/>
        <v>6</v>
      </c>
      <c r="H141" s="19">
        <f>VLOOKUP(A141,Metrik!$C$2:$Y$959,8,0)</f>
        <v>15</v>
      </c>
      <c r="I141" s="20">
        <f>VLOOKUP(A141,Metrik!$C$2:$Y$959,9,0)</f>
        <v>4.6</v>
      </c>
      <c r="J141" s="20">
        <f>VLOOKUP(A141,Metrik!$C$2:$Y$959,10,0)</f>
        <v>30.6</v>
      </c>
      <c r="K141" s="20">
        <f>VLOOKUP(A141,Metrik!$C$2:$Y$959,11,0)</f>
        <v>11.3</v>
      </c>
      <c r="L141" s="20">
        <f>VLOOKUP(A141,Metrik!$C$2:$Y$959,12,0)</f>
        <v>1.7</v>
      </c>
      <c r="M141" s="20">
        <f>VLOOKUP(A141,Metrik!$C$2:$Y$959,19,0)</f>
        <v>87.9</v>
      </c>
      <c r="N141" s="21"/>
      <c r="O141" s="21"/>
      <c r="P141" s="21"/>
      <c r="Q141" s="21"/>
      <c r="R141" s="21"/>
      <c r="S141" s="21"/>
      <c r="T141" s="21"/>
      <c r="U141" s="22">
        <f>IFERROR(__xludf.DUMMYFUNCTION("IFERROR(GOOGLEFINANCE(A141,""closeyest""),"""")"),9.98)</f>
        <v>9.98</v>
      </c>
      <c r="V141" s="23">
        <f>IFERROR(__xludf.DUMMYFUNCTION("IFERROR(GOOGLEFINANCE(A141,""changepct""),"""")"),0.0)</f>
        <v>0</v>
      </c>
      <c r="W141" s="22" t="str">
        <f>IFERROR(__xludf.DUMMYFUNCTION("IFERROR(GOOGLEFINANCE(A141,""priceopen""),"""")"),"")</f>
        <v/>
      </c>
      <c r="X141" s="22" t="str">
        <f>IFERROR(__xludf.DUMMYFUNCTION("IFERROR(GOOGLEFINANCE(A141,""high""),"""")"),"")</f>
        <v/>
      </c>
      <c r="Y141" s="22" t="str">
        <f>IFERROR(__xludf.DUMMYFUNCTION("IFERROR(GOOGLEFINANCE(A141,""low""),"""")"),"")</f>
        <v/>
      </c>
      <c r="Z141" s="22">
        <f>IFERROR(__xludf.DUMMYFUNCTION("IFERROR(GOOGLEFINANCE(A141,""volume""),"""")"),20.0)</f>
        <v>20</v>
      </c>
      <c r="AA141" s="24" t="str">
        <f>VLOOKUP(A141,Metrik!$C$2:$Y$959,5,0)</f>
        <v>Metals &amp; Minerals</v>
      </c>
      <c r="AB141" s="24" t="str">
        <f>VLOOKUP(A141,Metrik!$C$2:$Y$959,3,0)</f>
        <v>Basic Materials</v>
      </c>
    </row>
    <row r="142">
      <c r="A142" s="17" t="s">
        <v>112</v>
      </c>
      <c r="B142" s="14" t="str">
        <f t="array" ref="B142">VLOOKUP(A142,{Metrik!$C$2:$C$998,Metrik!$B$2:$B$998},2,0)</f>
        <v>Archi Indonesia Tbk.</v>
      </c>
      <c r="C142" s="15">
        <f>IFERROR(__xludf.DUMMYFUNCTION("GOOGLEFINANCE(""IDX:""&amp;A142,""price"")"),975.0)</f>
        <v>975</v>
      </c>
      <c r="D142" s="16" t="str">
        <f>IFERROR(__xludf.DUMMYFUNCTION("IF(A142="""","""",
SPARKLINE(
INDEX(
GOOGLEFINANCE(""IDX:""&amp;A142,""close"",TODAY()-365,TODAY()),
,2
),
{""linewidth"",1}
))
"),"#N/A")</f>
        <v>#N/A</v>
      </c>
      <c r="E142" s="14" t="s">
        <v>38</v>
      </c>
      <c r="F142" s="25">
        <v>46356.0</v>
      </c>
      <c r="G142" s="18">
        <f t="shared" si="1"/>
        <v>6</v>
      </c>
      <c r="H142" s="19">
        <f>VLOOKUP(A142,Metrik!$C$2:$Y$959,8,0)</f>
        <v>15</v>
      </c>
      <c r="I142" s="20">
        <f>VLOOKUP(A142,Metrik!$C$2:$Y$959,9,0)</f>
        <v>4.6</v>
      </c>
      <c r="J142" s="20">
        <f>VLOOKUP(A142,Metrik!$C$2:$Y$959,10,0)</f>
        <v>30.6</v>
      </c>
      <c r="K142" s="20">
        <f>VLOOKUP(A142,Metrik!$C$2:$Y$959,11,0)</f>
        <v>11.3</v>
      </c>
      <c r="L142" s="20">
        <f>VLOOKUP(A142,Metrik!$C$2:$Y$959,12,0)</f>
        <v>1.7</v>
      </c>
      <c r="M142" s="20">
        <f>VLOOKUP(A142,Metrik!$C$2:$Y$959,19,0)</f>
        <v>87.9</v>
      </c>
      <c r="N142" s="21"/>
      <c r="O142" s="21"/>
      <c r="P142" s="21"/>
      <c r="Q142" s="21"/>
      <c r="R142" s="21"/>
      <c r="S142" s="21"/>
      <c r="T142" s="21"/>
      <c r="U142" s="22">
        <f>IFERROR(__xludf.DUMMYFUNCTION("IFERROR(GOOGLEFINANCE(A142,""closeyest""),"""")"),9.98)</f>
        <v>9.98</v>
      </c>
      <c r="V142" s="23">
        <f>IFERROR(__xludf.DUMMYFUNCTION("IFERROR(GOOGLEFINANCE(A142,""changepct""),"""")"),0.0)</f>
        <v>0</v>
      </c>
      <c r="W142" s="22" t="str">
        <f>IFERROR(__xludf.DUMMYFUNCTION("IFERROR(GOOGLEFINANCE(A142,""priceopen""),"""")"),"")</f>
        <v/>
      </c>
      <c r="X142" s="22" t="str">
        <f>IFERROR(__xludf.DUMMYFUNCTION("IFERROR(GOOGLEFINANCE(A142,""high""),"""")"),"")</f>
        <v/>
      </c>
      <c r="Y142" s="22" t="str">
        <f>IFERROR(__xludf.DUMMYFUNCTION("IFERROR(GOOGLEFINANCE(A142,""low""),"""")"),"")</f>
        <v/>
      </c>
      <c r="Z142" s="22">
        <f>IFERROR(__xludf.DUMMYFUNCTION("IFERROR(GOOGLEFINANCE(A142,""volume""),"""")"),20.0)</f>
        <v>20</v>
      </c>
      <c r="AA142" s="24" t="str">
        <f>VLOOKUP(A142,Metrik!$C$2:$Y$959,5,0)</f>
        <v>Metals &amp; Minerals</v>
      </c>
      <c r="AB142" s="24" t="str">
        <f>VLOOKUP(A142,Metrik!$C$2:$Y$959,3,0)</f>
        <v>Basic Materials</v>
      </c>
    </row>
    <row r="143">
      <c r="A143" s="17" t="s">
        <v>112</v>
      </c>
      <c r="B143" s="14" t="str">
        <f t="array" ref="B143">VLOOKUP(A143,{Metrik!$C$2:$C$998,Metrik!$B$2:$B$998},2,0)</f>
        <v>Archi Indonesia Tbk.</v>
      </c>
      <c r="C143" s="15">
        <f>IFERROR(__xludf.DUMMYFUNCTION("GOOGLEFINANCE(""IDX:""&amp;A143,""price"")"),975.0)</f>
        <v>975</v>
      </c>
      <c r="D143" s="16" t="str">
        <f>IFERROR(__xludf.DUMMYFUNCTION("IF(A143="""","""",
SPARKLINE(
INDEX(
GOOGLEFINANCE(""IDX:""&amp;A143,""close"",TODAY()-365,TODAY()),
,2
),
{""linewidth"",1}
))
"),"#N/A")</f>
        <v>#N/A</v>
      </c>
      <c r="E143" s="14" t="s">
        <v>39</v>
      </c>
      <c r="F143" s="25">
        <v>46356.0</v>
      </c>
      <c r="G143" s="18">
        <f t="shared" si="1"/>
        <v>6</v>
      </c>
      <c r="H143" s="19">
        <f>VLOOKUP(A143,Metrik!$C$2:$Y$959,8,0)</f>
        <v>15</v>
      </c>
      <c r="I143" s="20">
        <f>VLOOKUP(A143,Metrik!$C$2:$Y$959,9,0)</f>
        <v>4.6</v>
      </c>
      <c r="J143" s="20">
        <f>VLOOKUP(A143,Metrik!$C$2:$Y$959,10,0)</f>
        <v>30.6</v>
      </c>
      <c r="K143" s="20">
        <f>VLOOKUP(A143,Metrik!$C$2:$Y$959,11,0)</f>
        <v>11.3</v>
      </c>
      <c r="L143" s="20">
        <f>VLOOKUP(A143,Metrik!$C$2:$Y$959,12,0)</f>
        <v>1.7</v>
      </c>
      <c r="M143" s="20">
        <f>VLOOKUP(A143,Metrik!$C$2:$Y$959,19,0)</f>
        <v>87.9</v>
      </c>
      <c r="N143" s="21"/>
      <c r="O143" s="21"/>
      <c r="P143" s="21"/>
      <c r="Q143" s="21"/>
      <c r="R143" s="21"/>
      <c r="S143" s="21"/>
      <c r="T143" s="21"/>
      <c r="U143" s="22">
        <f>IFERROR(__xludf.DUMMYFUNCTION("IFERROR(GOOGLEFINANCE(A143,""closeyest""),"""")"),9.98)</f>
        <v>9.98</v>
      </c>
      <c r="V143" s="23">
        <f>IFERROR(__xludf.DUMMYFUNCTION("IFERROR(GOOGLEFINANCE(A143,""changepct""),"""")"),0.0)</f>
        <v>0</v>
      </c>
      <c r="W143" s="22" t="str">
        <f>IFERROR(__xludf.DUMMYFUNCTION("IFERROR(GOOGLEFINANCE(A143,""priceopen""),"""")"),"")</f>
        <v/>
      </c>
      <c r="X143" s="22" t="str">
        <f>IFERROR(__xludf.DUMMYFUNCTION("IFERROR(GOOGLEFINANCE(A143,""high""),"""")"),"")</f>
        <v/>
      </c>
      <c r="Y143" s="22" t="str">
        <f>IFERROR(__xludf.DUMMYFUNCTION("IFERROR(GOOGLEFINANCE(A143,""low""),"""")"),"")</f>
        <v/>
      </c>
      <c r="Z143" s="22">
        <f>IFERROR(__xludf.DUMMYFUNCTION("IFERROR(GOOGLEFINANCE(A143,""volume""),"""")"),20.0)</f>
        <v>20</v>
      </c>
      <c r="AA143" s="24" t="str">
        <f>VLOOKUP(A143,Metrik!$C$2:$Y$959,5,0)</f>
        <v>Metals &amp; Minerals</v>
      </c>
      <c r="AB143" s="24" t="str">
        <f>VLOOKUP(A143,Metrik!$C$2:$Y$959,3,0)</f>
        <v>Basic Materials</v>
      </c>
    </row>
    <row r="144">
      <c r="A144" s="14" t="s">
        <v>113</v>
      </c>
      <c r="B144" s="14" t="str">
        <f t="array" ref="B144">VLOOKUP(A144,{Metrik!$C$2:$C$998,Metrik!$B$2:$B$998},2,0)</f>
        <v>Dunia Virtual Online Tbk.</v>
      </c>
      <c r="C144" s="15">
        <f>IFERROR(__xludf.DUMMYFUNCTION("GOOGLEFINANCE(""IDX:""&amp;A144,""price"")"),226.0)</f>
        <v>226</v>
      </c>
      <c r="D144" s="16" t="str">
        <f>IFERROR(__xludf.DUMMYFUNCTION("IF(A144="""","""",
SPARKLINE(
INDEX(
GOOGLEFINANCE(""IDX:""&amp;A144,""close"",TODAY()-365,TODAY()),
,2
),
{""linewidth"",1}
))
"),"#N/A")</f>
        <v>#N/A</v>
      </c>
      <c r="E144" s="26"/>
      <c r="F144" s="26"/>
      <c r="G144" s="24">
        <f t="shared" si="1"/>
        <v>0</v>
      </c>
      <c r="H144" s="19">
        <f>VLOOKUP(A144,Metrik!$C$2:$Y$959,8,0)</f>
        <v>62.1</v>
      </c>
      <c r="I144" s="20">
        <f>VLOOKUP(A144,Metrik!$C$2:$Y$959,9,0)</f>
        <v>2.2</v>
      </c>
      <c r="J144" s="20">
        <f>VLOOKUP(A144,Metrik!$C$2:$Y$959,10,0)</f>
        <v>3.6</v>
      </c>
      <c r="K144" s="20">
        <f>VLOOKUP(A144,Metrik!$C$2:$Y$959,11,0)</f>
        <v>3.2</v>
      </c>
      <c r="L144" s="20">
        <f>VLOOKUP(A144,Metrik!$C$2:$Y$959,12,0)</f>
        <v>0.11</v>
      </c>
      <c r="M144" s="20">
        <f>VLOOKUP(A144,Metrik!$C$2:$Y$959,19,0)</f>
        <v>45.4</v>
      </c>
      <c r="N144" s="21"/>
      <c r="O144" s="21"/>
      <c r="P144" s="21"/>
      <c r="Q144" s="21"/>
      <c r="R144" s="21"/>
      <c r="S144" s="21"/>
      <c r="T144" s="21"/>
      <c r="U144" s="22">
        <f>IFERROR(__xludf.DUMMYFUNCTION("IFERROR(GOOGLEFINANCE(A144,""closeyest""),"""")"),206.0)</f>
        <v>206</v>
      </c>
      <c r="V144" s="23">
        <f>IFERROR(__xludf.DUMMYFUNCTION("IFERROR(GOOGLEFINANCE(A144,""changepct""),"""")"),9.71)</f>
        <v>9.71</v>
      </c>
      <c r="W144" s="22">
        <f>IFERROR(__xludf.DUMMYFUNCTION("IFERROR(GOOGLEFINANCE(A144,""priceopen""),"""")"),200.0)</f>
        <v>200</v>
      </c>
      <c r="X144" s="22">
        <f>IFERROR(__xludf.DUMMYFUNCTION("IFERROR(GOOGLEFINANCE(A144,""high""),"""")"),240.0)</f>
        <v>240</v>
      </c>
      <c r="Y144" s="22">
        <f>IFERROR(__xludf.DUMMYFUNCTION("IFERROR(GOOGLEFINANCE(A144,""low""),"""")"),200.0)</f>
        <v>200</v>
      </c>
      <c r="Z144" s="22">
        <f>IFERROR(__xludf.DUMMYFUNCTION("IFERROR(GOOGLEFINANCE(A144,""volume""),"""")"),1605600.0)</f>
        <v>1605600</v>
      </c>
      <c r="AA144" s="24" t="str">
        <f>VLOOKUP(A144,Metrik!$C$2:$Y$959,5,0)</f>
        <v>IT Services &amp; Consulting</v>
      </c>
      <c r="AB144" s="24" t="str">
        <f>VLOOKUP(A144,Metrik!$C$2:$Y$959,3,0)</f>
        <v>Technology</v>
      </c>
    </row>
    <row r="145">
      <c r="A145" s="14" t="s">
        <v>114</v>
      </c>
      <c r="B145" s="14" t="str">
        <f t="array" ref="B145">VLOOKUP(A145,{Metrik!$C$2:$C$998,Metrik!$B$2:$B$998},2,0)</f>
        <v>Argo Pantes Tbk</v>
      </c>
      <c r="C145" s="15">
        <f>IFERROR(__xludf.DUMMYFUNCTION("GOOGLEFINANCE(""IDX:""&amp;A145,""price"")"),850.0)</f>
        <v>850</v>
      </c>
      <c r="D145" s="16" t="str">
        <f>IFERROR(__xludf.DUMMYFUNCTION("IF(A145="""","""",
SPARKLINE(
INDEX(
GOOGLEFINANCE(""IDX:""&amp;A145,""close"",TODAY()-365,TODAY()),
,2
),
{""linewidth"",1}
))
"),"#N/A")</f>
        <v>#N/A</v>
      </c>
      <c r="E145" s="26"/>
      <c r="F145" s="26"/>
      <c r="G145" s="24">
        <f t="shared" si="1"/>
        <v>0</v>
      </c>
      <c r="H145" s="19">
        <f>VLOOKUP(A145,Metrik!$C$2:$Y$959,8,0)</f>
        <v>39</v>
      </c>
      <c r="I145" s="20">
        <f>VLOOKUP(A145,Metrik!$C$2:$Y$959,9,0)</f>
        <v>14.4</v>
      </c>
      <c r="J145" s="20">
        <f>VLOOKUP(A145,Metrik!$C$2:$Y$959,10,0)</f>
        <v>36.9</v>
      </c>
      <c r="K145" s="20">
        <f>VLOOKUP(A145,Metrik!$C$2:$Y$959,11,0)</f>
        <v>6.3</v>
      </c>
      <c r="L145" s="20">
        <f>VLOOKUP(A145,Metrik!$C$2:$Y$959,12,0)</f>
        <v>4.8</v>
      </c>
      <c r="M145" s="20">
        <f>VLOOKUP(A145,Metrik!$C$2:$Y$959,19,0)</f>
        <v>63.4</v>
      </c>
      <c r="N145" s="21"/>
      <c r="O145" s="21"/>
      <c r="P145" s="21"/>
      <c r="Q145" s="21"/>
      <c r="R145" s="21"/>
      <c r="S145" s="21"/>
      <c r="T145" s="21"/>
      <c r="U145" s="22">
        <f>IFERROR(__xludf.DUMMYFUNCTION("IFERROR(GOOGLEFINANCE(A145,""closeyest""),"""")"),0.82)</f>
        <v>0.82</v>
      </c>
      <c r="V145" s="23">
        <f>IFERROR(__xludf.DUMMYFUNCTION("IFERROR(GOOGLEFINANCE(A145,""changepct""),"""")"),1.22)</f>
        <v>1.22</v>
      </c>
      <c r="W145" s="22">
        <f>IFERROR(__xludf.DUMMYFUNCTION("IFERROR(GOOGLEFINANCE(A145,""priceopen""),"""")"),0.81)</f>
        <v>0.81</v>
      </c>
      <c r="X145" s="22">
        <f>IFERROR(__xludf.DUMMYFUNCTION("IFERROR(GOOGLEFINANCE(A145,""high""),"""")"),0.83)</f>
        <v>0.83</v>
      </c>
      <c r="Y145" s="22">
        <f>IFERROR(__xludf.DUMMYFUNCTION("IFERROR(GOOGLEFINANCE(A145,""low""),"""")"),0.81)</f>
        <v>0.81</v>
      </c>
      <c r="Z145" s="22">
        <f>IFERROR(__xludf.DUMMYFUNCTION("IFERROR(GOOGLEFINANCE(A145,""volume""),"""")"),14100.0)</f>
        <v>14100</v>
      </c>
      <c r="AA145" s="24" t="str">
        <f>VLOOKUP(A145,Metrik!$C$2:$Y$959,5,0)</f>
        <v>Apparel &amp; Luxury Goods</v>
      </c>
      <c r="AB145" s="24" t="str">
        <f>VLOOKUP(A145,Metrik!$C$2:$Y$959,3,0)</f>
        <v>Consumer Cyclicals</v>
      </c>
    </row>
    <row r="146">
      <c r="A146" s="14" t="s">
        <v>115</v>
      </c>
      <c r="B146" s="14" t="str">
        <f t="array" ref="B146">VLOOKUP(A146,{Metrik!$C$2:$C$998,Metrik!$B$2:$B$998},2,0)</f>
        <v>Atlas Resources Tbk.</v>
      </c>
      <c r="C146" s="15">
        <f>IFERROR(__xludf.DUMMYFUNCTION("GOOGLEFINANCE(""IDX:""&amp;A146,""price"")"),284.0)</f>
        <v>284</v>
      </c>
      <c r="D146" s="16" t="str">
        <f>IFERROR(__xludf.DUMMYFUNCTION("IF(A146="""","""",
SPARKLINE(
INDEX(
GOOGLEFINANCE(""IDX:""&amp;A146,""close"",TODAY()-365,TODAY()),
,2
),
{""linewidth"",1}
))
"),"#N/A")</f>
        <v>#N/A</v>
      </c>
      <c r="E146" s="26"/>
      <c r="F146" s="26"/>
      <c r="G146" s="24">
        <f t="shared" si="1"/>
        <v>0</v>
      </c>
      <c r="H146" s="19">
        <f>VLOOKUP(A146,Metrik!$C$2:$Y$959,8,0)</f>
        <v>-20.8</v>
      </c>
      <c r="I146" s="20">
        <f>VLOOKUP(A146,Metrik!$C$2:$Y$959,9,0)</f>
        <v>0.67</v>
      </c>
      <c r="J146" s="20">
        <f>VLOOKUP(A146,Metrik!$C$2:$Y$959,10,0)</f>
        <v>-3.2</v>
      </c>
      <c r="K146" s="20">
        <f>VLOOKUP(A146,Metrik!$C$2:$Y$959,11,0)</f>
        <v>-0.47</v>
      </c>
      <c r="L146" s="20">
        <f>VLOOKUP(A146,Metrik!$C$2:$Y$959,12,0)</f>
        <v>5.9</v>
      </c>
      <c r="M146" s="20">
        <f>VLOOKUP(A146,Metrik!$C$2:$Y$959,19,0)</f>
        <v>-2.7</v>
      </c>
      <c r="N146" s="21"/>
      <c r="O146" s="21"/>
      <c r="P146" s="21"/>
      <c r="Q146" s="21"/>
      <c r="R146" s="21"/>
      <c r="S146" s="21"/>
      <c r="T146" s="21"/>
      <c r="U146" s="22">
        <f>IFERROR(__xludf.DUMMYFUNCTION("IFERROR(GOOGLEFINANCE(A146,""closeyest""),"""")"),278.0)</f>
        <v>278</v>
      </c>
      <c r="V146" s="23">
        <f>IFERROR(__xludf.DUMMYFUNCTION("IFERROR(GOOGLEFINANCE(A146,""changepct""),"""")"),2.16)</f>
        <v>2.16</v>
      </c>
      <c r="W146" s="22">
        <f>IFERROR(__xludf.DUMMYFUNCTION("IFERROR(GOOGLEFINANCE(A146,""priceopen""),"""")"),278.0)</f>
        <v>278</v>
      </c>
      <c r="X146" s="22">
        <f>IFERROR(__xludf.DUMMYFUNCTION("IFERROR(GOOGLEFINANCE(A146,""high""),"""")"),286.0)</f>
        <v>286</v>
      </c>
      <c r="Y146" s="22">
        <f>IFERROR(__xludf.DUMMYFUNCTION("IFERROR(GOOGLEFINANCE(A146,""low""),"""")"),276.0)</f>
        <v>276</v>
      </c>
      <c r="Z146" s="22">
        <f>IFERROR(__xludf.DUMMYFUNCTION("IFERROR(GOOGLEFINANCE(A146,""volume""),"""")"),91600.0)</f>
        <v>91600</v>
      </c>
      <c r="AA146" s="24" t="str">
        <f>VLOOKUP(A146,Metrik!$C$2:$Y$959,5,0)</f>
        <v>Coal</v>
      </c>
      <c r="AB146" s="24" t="str">
        <f>VLOOKUP(A146,Metrik!$C$2:$Y$959,3,0)</f>
        <v>Energy</v>
      </c>
    </row>
    <row r="147">
      <c r="A147" s="14" t="s">
        <v>116</v>
      </c>
      <c r="B147" s="14" t="str">
        <f t="array" ref="B147">VLOOKUP(A147,{Metrik!$C$2:$C$998,Metrik!$B$2:$B$998},2,0)</f>
        <v>Arkha Jayanti Persada Tbk.</v>
      </c>
      <c r="C147" s="15">
        <f>IFERROR(__xludf.DUMMYFUNCTION("GOOGLEFINANCE(""IDX:""&amp;A147,""price"")"),27.0)</f>
        <v>27</v>
      </c>
      <c r="D147" s="16" t="str">
        <f>IFERROR(__xludf.DUMMYFUNCTION("IF(A147="""","""",
SPARKLINE(
INDEX(
GOOGLEFINANCE(""IDX:""&amp;A147,""close"",TODAY()-365,TODAY()),
,2
),
{""linewidth"",1}
))
"),"#N/A")</f>
        <v>#N/A</v>
      </c>
      <c r="E147" s="26"/>
      <c r="F147" s="26"/>
      <c r="G147" s="24">
        <f t="shared" si="1"/>
        <v>0</v>
      </c>
      <c r="H147" s="19">
        <f>VLOOKUP(A147,Metrik!$C$2:$Y$959,8,0)</f>
        <v>18</v>
      </c>
      <c r="I147" s="20">
        <f>VLOOKUP(A147,Metrik!$C$2:$Y$959,9,0)</f>
        <v>0.54</v>
      </c>
      <c r="J147" s="20">
        <f>VLOOKUP(A147,Metrik!$C$2:$Y$959,10,0)</f>
        <v>3</v>
      </c>
      <c r="K147" s="20">
        <f>VLOOKUP(A147,Metrik!$C$2:$Y$959,11,0)</f>
        <v>0.8</v>
      </c>
      <c r="L147" s="20">
        <f>VLOOKUP(A147,Metrik!$C$2:$Y$959,12,0)</f>
        <v>2.8</v>
      </c>
      <c r="M147" s="20">
        <f>VLOOKUP(A147,Metrik!$C$2:$Y$959,19,0)</f>
        <v>3.5</v>
      </c>
      <c r="N147" s="21"/>
      <c r="O147" s="21"/>
      <c r="P147" s="21"/>
      <c r="Q147" s="21"/>
      <c r="R147" s="21"/>
      <c r="S147" s="21"/>
      <c r="T147" s="21"/>
      <c r="U147" s="22">
        <f>IFERROR(__xludf.DUMMYFUNCTION("IFERROR(GOOGLEFINANCE(A147,""closeyest""),"""")"),27.0)</f>
        <v>27</v>
      </c>
      <c r="V147" s="23">
        <f>IFERROR(__xludf.DUMMYFUNCTION("IFERROR(GOOGLEFINANCE(A147,""changepct""),"""")"),0.0)</f>
        <v>0</v>
      </c>
      <c r="W147" s="22">
        <f>IFERROR(__xludf.DUMMYFUNCTION("IFERROR(GOOGLEFINANCE(A147,""priceopen""),"""")"),28.0)</f>
        <v>28</v>
      </c>
      <c r="X147" s="22">
        <f>IFERROR(__xludf.DUMMYFUNCTION("IFERROR(GOOGLEFINANCE(A147,""high""),"""")"),28.0)</f>
        <v>28</v>
      </c>
      <c r="Y147" s="22">
        <f>IFERROR(__xludf.DUMMYFUNCTION("IFERROR(GOOGLEFINANCE(A147,""low""),"""")"),27.0)</f>
        <v>27</v>
      </c>
      <c r="Z147" s="22">
        <f>IFERROR(__xludf.DUMMYFUNCTION("IFERROR(GOOGLEFINANCE(A147,""volume""),"""")"),1459800.0)</f>
        <v>1459800</v>
      </c>
      <c r="AA147" s="24" t="str">
        <f>VLOOKUP(A147,Metrik!$C$2:$Y$959,5,0)</f>
        <v>Machinery</v>
      </c>
      <c r="AB147" s="24" t="str">
        <f>VLOOKUP(A147,Metrik!$C$2:$Y$959,3,0)</f>
        <v>Industrials</v>
      </c>
    </row>
    <row r="148">
      <c r="A148" s="14" t="s">
        <v>117</v>
      </c>
      <c r="B148" s="14" t="str">
        <f t="array" ref="B148">VLOOKUP(A148,{Metrik!$C$2:$C$998,Metrik!$B$2:$B$998},2,0)</f>
        <v>Arkora Hydro Tbk.</v>
      </c>
      <c r="C148" s="15">
        <f>IFERROR(__xludf.DUMMYFUNCTION("GOOGLEFINANCE(""IDX:""&amp;A148,""price"")"),5375.0)</f>
        <v>5375</v>
      </c>
      <c r="D148" s="16" t="str">
        <f>IFERROR(__xludf.DUMMYFUNCTION("IF(A148="""","""",
SPARKLINE(
INDEX(
GOOGLEFINANCE(""IDX:""&amp;A148,""close"",TODAY()-365,TODAY()),
,2
),
{""linewidth"",1}
))
"),"#N/A")</f>
        <v>#N/A</v>
      </c>
      <c r="E148" s="26"/>
      <c r="F148" s="26"/>
      <c r="G148" s="24">
        <f t="shared" si="1"/>
        <v>0</v>
      </c>
      <c r="H148" s="19">
        <f>VLOOKUP(A148,Metrik!$C$2:$Y$959,8,0)</f>
        <v>300</v>
      </c>
      <c r="I148" s="20">
        <f>VLOOKUP(A148,Metrik!$C$2:$Y$959,9,0)</f>
        <v>33.6</v>
      </c>
      <c r="J148" s="20">
        <f>VLOOKUP(A148,Metrik!$C$2:$Y$959,10,0)</f>
        <v>11.3</v>
      </c>
      <c r="K148" s="20">
        <f>VLOOKUP(A148,Metrik!$C$2:$Y$959,11,0)</f>
        <v>3.5</v>
      </c>
      <c r="L148" s="20">
        <f>VLOOKUP(A148,Metrik!$C$2:$Y$959,12,0)</f>
        <v>2.2</v>
      </c>
      <c r="M148" s="20">
        <f>VLOOKUP(A148,Metrik!$C$2:$Y$959,19,0)</f>
        <v>88.3</v>
      </c>
      <c r="N148" s="21"/>
      <c r="O148" s="21"/>
      <c r="P148" s="21"/>
      <c r="Q148" s="21"/>
      <c r="R148" s="21"/>
      <c r="S148" s="21"/>
      <c r="T148" s="21"/>
      <c r="U148" s="22">
        <f>IFERROR(__xludf.DUMMYFUNCTION("IFERROR(GOOGLEFINANCE(A148,""closeyest""),"""")"),8.64)</f>
        <v>8.64</v>
      </c>
      <c r="V148" s="23">
        <f>IFERROR(__xludf.DUMMYFUNCTION("IFERROR(GOOGLEFINANCE(A148,""changepct""),"""")"),-0.12)</f>
        <v>-0.12</v>
      </c>
      <c r="W148" s="22">
        <f>IFERROR(__xludf.DUMMYFUNCTION("IFERROR(GOOGLEFINANCE(A148,""priceopen""),"""")"),8.67)</f>
        <v>8.67</v>
      </c>
      <c r="X148" s="22">
        <f>IFERROR(__xludf.DUMMYFUNCTION("IFERROR(GOOGLEFINANCE(A148,""high""),"""")"),8.76)</f>
        <v>8.76</v>
      </c>
      <c r="Y148" s="22">
        <f>IFERROR(__xludf.DUMMYFUNCTION("IFERROR(GOOGLEFINANCE(A148,""low""),"""")"),8.38)</f>
        <v>8.38</v>
      </c>
      <c r="Z148" s="22">
        <f>IFERROR(__xludf.DUMMYFUNCTION("IFERROR(GOOGLEFINANCE(A148,""volume""),"""")"),664190.0)</f>
        <v>664190</v>
      </c>
      <c r="AA148" s="24" t="str">
        <f>VLOOKUP(A148,Metrik!$C$2:$Y$959,5,0)</f>
        <v>Electric Utilities</v>
      </c>
      <c r="AB148" s="24" t="str">
        <f>VLOOKUP(A148,Metrik!$C$2:$Y$959,3,0)</f>
        <v>Infrastructures</v>
      </c>
    </row>
    <row r="149">
      <c r="A149" s="14" t="s">
        <v>118</v>
      </c>
      <c r="B149" s="14" t="str">
        <f t="array" ref="B149">VLOOKUP(A149,{Metrik!$C$2:$C$998,Metrik!$B$2:$B$998},2,0)</f>
        <v>Armidian Karyatama Tbk.</v>
      </c>
      <c r="C149" s="15">
        <f>IFERROR(__xludf.DUMMYFUNCTION("GOOGLEFINANCE(""IDX:""&amp;A149,""price"")"),50.0)</f>
        <v>50</v>
      </c>
      <c r="D149" s="16" t="str">
        <f>IFERROR(__xludf.DUMMYFUNCTION("IF(A149="""","""",
SPARKLINE(
INDEX(
GOOGLEFINANCE(""IDX:""&amp;A149,""close"",TODAY()-365,TODAY()),
,2
),
{""linewidth"",1}
))
"),"#N/A")</f>
        <v>#N/A</v>
      </c>
      <c r="E149" s="26"/>
      <c r="F149" s="26"/>
      <c r="G149" s="24">
        <f t="shared" si="1"/>
        <v>0</v>
      </c>
      <c r="H149" s="19">
        <f>VLOOKUP(A149,Metrik!$C$2:$Y$959,8,0)</f>
        <v>0</v>
      </c>
      <c r="I149" s="20">
        <f>VLOOKUP(A149,Metrik!$C$2:$Y$959,9,0)</f>
        <v>0.31</v>
      </c>
      <c r="J149" s="20">
        <f>VLOOKUP(A149,Metrik!$C$2:$Y$959,10,0)</f>
        <v>0.37</v>
      </c>
      <c r="K149" s="20">
        <f>VLOOKUP(A149,Metrik!$C$2:$Y$959,11,0)</f>
        <v>0.32</v>
      </c>
      <c r="L149" s="20">
        <f>VLOOKUP(A149,Metrik!$C$2:$Y$959,12,0)</f>
        <v>0.16</v>
      </c>
      <c r="M149" s="20">
        <f>VLOOKUP(A149,Metrik!$C$2:$Y$959,19,0)</f>
        <v>13.3</v>
      </c>
      <c r="N149" s="21"/>
      <c r="O149" s="21"/>
      <c r="P149" s="21"/>
      <c r="Q149" s="21"/>
      <c r="R149" s="21"/>
      <c r="S149" s="21"/>
      <c r="T149" s="21"/>
      <c r="U149" s="22">
        <f>IFERROR(__xludf.DUMMYFUNCTION("IFERROR(GOOGLEFINANCE(A149,""closeyest""),"""")"),25.53)</f>
        <v>25.53</v>
      </c>
      <c r="V149" s="23">
        <f>IFERROR(__xludf.DUMMYFUNCTION("IFERROR(GOOGLEFINANCE(A149,""changepct""),"""")"),-3.13)</f>
        <v>-3.13</v>
      </c>
      <c r="W149" s="22">
        <f>IFERROR(__xludf.DUMMYFUNCTION("IFERROR(GOOGLEFINANCE(A149,""priceopen""),"""")"),24.73)</f>
        <v>24.73</v>
      </c>
      <c r="X149" s="22">
        <f>IFERROR(__xludf.DUMMYFUNCTION("IFERROR(GOOGLEFINANCE(A149,""high""),"""")"),24.91)</f>
        <v>24.91</v>
      </c>
      <c r="Y149" s="22">
        <f>IFERROR(__xludf.DUMMYFUNCTION("IFERROR(GOOGLEFINANCE(A149,""low""),"""")"),24.73)</f>
        <v>24.73</v>
      </c>
      <c r="Z149" s="22">
        <f>IFERROR(__xludf.DUMMYFUNCTION("IFERROR(GOOGLEFINANCE(A149,""volume""),"""")"),1380.0)</f>
        <v>1380</v>
      </c>
      <c r="AA149" s="24" t="str">
        <f>VLOOKUP(A149,Metrik!$C$2:$Y$959,5,0)</f>
        <v>Real Estate Management &amp; Development</v>
      </c>
      <c r="AB149" s="24" t="str">
        <f>VLOOKUP(A149,Metrik!$C$2:$Y$959,3,0)</f>
        <v>Properties &amp; Real Estate</v>
      </c>
    </row>
    <row r="150">
      <c r="A150" s="17" t="s">
        <v>119</v>
      </c>
      <c r="B150" s="14" t="str">
        <f t="array" ref="B150">VLOOKUP(A150,{Metrik!$C$2:$C$998,Metrik!$B$2:$B$998},2,0)</f>
        <v>Arwana Citramulia Tbk.</v>
      </c>
      <c r="C150" s="15">
        <f>IFERROR(__xludf.DUMMYFUNCTION("GOOGLEFINANCE(""IDX:""&amp;A150,""price"")"),418.0)</f>
        <v>418</v>
      </c>
      <c r="D150" s="16" t="str">
        <f>IFERROR(__xludf.DUMMYFUNCTION("IF(A150="""","""",
SPARKLINE(
INDEX(
GOOGLEFINANCE(""IDX:""&amp;A150,""close"",TODAY()-365,TODAY()),
,2
),
{""linewidth"",1}
))
"),"#N/A")</f>
        <v>#N/A</v>
      </c>
      <c r="E150" s="14"/>
      <c r="F150" s="17"/>
      <c r="G150" s="18">
        <f t="shared" si="1"/>
        <v>0</v>
      </c>
      <c r="H150" s="19">
        <f>VLOOKUP(A150,Metrik!$C$2:$Y$959,8,0)</f>
        <v>8.7</v>
      </c>
      <c r="I150" s="20">
        <f>VLOOKUP(A150,Metrik!$C$2:$Y$959,9,0)</f>
        <v>1.6</v>
      </c>
      <c r="J150" s="20">
        <f>VLOOKUP(A150,Metrik!$C$2:$Y$959,10,0)</f>
        <v>18.8</v>
      </c>
      <c r="K150" s="20">
        <f>VLOOKUP(A150,Metrik!$C$2:$Y$959,11,0)</f>
        <v>12.9</v>
      </c>
      <c r="L150" s="20">
        <f>VLOOKUP(A150,Metrik!$C$2:$Y$959,12,0)</f>
        <v>0.46</v>
      </c>
      <c r="M150" s="20">
        <f>VLOOKUP(A150,Metrik!$C$2:$Y$959,19,0)</f>
        <v>59.9</v>
      </c>
      <c r="N150" s="21"/>
      <c r="O150" s="21"/>
      <c r="P150" s="21"/>
      <c r="Q150" s="21"/>
      <c r="R150" s="21"/>
      <c r="S150" s="21"/>
      <c r="T150" s="21"/>
      <c r="U150" s="22">
        <f>IFERROR(__xludf.DUMMYFUNCTION("IFERROR(GOOGLEFINANCE(A150,""closeyest""),"""")"),416.0)</f>
        <v>416</v>
      </c>
      <c r="V150" s="23">
        <f>IFERROR(__xludf.DUMMYFUNCTION("IFERROR(GOOGLEFINANCE(A150,""changepct""),"""")"),0.48)</f>
        <v>0.48</v>
      </c>
      <c r="W150" s="22">
        <f>IFERROR(__xludf.DUMMYFUNCTION("IFERROR(GOOGLEFINANCE(A150,""priceopen""),"""")"),420.0)</f>
        <v>420</v>
      </c>
      <c r="X150" s="22">
        <f>IFERROR(__xludf.DUMMYFUNCTION("IFERROR(GOOGLEFINANCE(A150,""high""),"""")"),436.0)</f>
        <v>436</v>
      </c>
      <c r="Y150" s="22">
        <f>IFERROR(__xludf.DUMMYFUNCTION("IFERROR(GOOGLEFINANCE(A150,""low""),"""")"),410.0)</f>
        <v>410</v>
      </c>
      <c r="Z150" s="22">
        <f>IFERROR(__xludf.DUMMYFUNCTION("IFERROR(GOOGLEFINANCE(A150,""volume""),"""")"),9533500.0)</f>
        <v>9533500</v>
      </c>
      <c r="AA150" s="24" t="str">
        <f>VLOOKUP(A150,Metrik!$C$2:$Y$959,5,0)</f>
        <v>Building Products &amp; Fixtures</v>
      </c>
      <c r="AB150" s="24" t="str">
        <f>VLOOKUP(A150,Metrik!$C$2:$Y$959,3,0)</f>
        <v>Industrials</v>
      </c>
    </row>
    <row r="151">
      <c r="A151" s="14" t="s">
        <v>120</v>
      </c>
      <c r="B151" s="14" t="str">
        <f t="array" ref="B151">VLOOKUP(A151,{Metrik!$C$2:$C$998,Metrik!$B$2:$B$998},2,0)</f>
        <v>Arthavest Tbk</v>
      </c>
      <c r="C151" s="15">
        <f>IFERROR(__xludf.DUMMYFUNCTION("GOOGLEFINANCE(""IDX:""&amp;A151,""price"")"),2280.0)</f>
        <v>2280</v>
      </c>
      <c r="D151" s="16" t="str">
        <f>IFERROR(__xludf.DUMMYFUNCTION("IF(A151="""","""",
SPARKLINE(
INDEX(
GOOGLEFINANCE(""IDX:""&amp;A151,""close"",TODAY()-365,TODAY()),
,2
),
{""linewidth"",1}
))
"),"#N/A")</f>
        <v>#N/A</v>
      </c>
      <c r="E151" s="26"/>
      <c r="F151" s="26"/>
      <c r="G151" s="24">
        <f t="shared" si="1"/>
        <v>0</v>
      </c>
      <c r="H151" s="19">
        <f>VLOOKUP(A151,Metrik!$C$2:$Y$959,8,0)</f>
        <v>-300</v>
      </c>
      <c r="I151" s="20">
        <f>VLOOKUP(A151,Metrik!$C$2:$Y$959,9,0)</f>
        <v>4.1</v>
      </c>
      <c r="J151" s="20">
        <f>VLOOKUP(A151,Metrik!$C$2:$Y$959,10,0)</f>
        <v>-1.4</v>
      </c>
      <c r="K151" s="20">
        <f>VLOOKUP(A151,Metrik!$C$2:$Y$959,11,0)</f>
        <v>-1.3</v>
      </c>
      <c r="L151" s="20">
        <f>VLOOKUP(A151,Metrik!$C$2:$Y$959,12,0)</f>
        <v>0.03</v>
      </c>
      <c r="M151" s="20">
        <f>VLOOKUP(A151,Metrik!$C$2:$Y$959,19,0)</f>
        <v>-30.6</v>
      </c>
      <c r="N151" s="21"/>
      <c r="O151" s="21"/>
      <c r="P151" s="21"/>
      <c r="Q151" s="21"/>
      <c r="R151" s="21"/>
      <c r="S151" s="21"/>
      <c r="T151" s="21"/>
      <c r="U151" s="22">
        <f>IFERROR(__xludf.DUMMYFUNCTION("IFERROR(GOOGLEFINANCE(A151,""closeyest""),"""")"),2200.0)</f>
        <v>2200</v>
      </c>
      <c r="V151" s="23">
        <f>IFERROR(__xludf.DUMMYFUNCTION("IFERROR(GOOGLEFINANCE(A151,""changepct""),"""")"),3.64)</f>
        <v>3.64</v>
      </c>
      <c r="W151" s="22">
        <f>IFERROR(__xludf.DUMMYFUNCTION("IFERROR(GOOGLEFINANCE(A151,""priceopen""),"""")"),2210.0)</f>
        <v>2210</v>
      </c>
      <c r="X151" s="22">
        <f>IFERROR(__xludf.DUMMYFUNCTION("IFERROR(GOOGLEFINANCE(A151,""high""),"""")"),2280.0)</f>
        <v>2280</v>
      </c>
      <c r="Y151" s="22">
        <f>IFERROR(__xludf.DUMMYFUNCTION("IFERROR(GOOGLEFINANCE(A151,""low""),"""")"),2210.0)</f>
        <v>2210</v>
      </c>
      <c r="Z151" s="22">
        <f>IFERROR(__xludf.DUMMYFUNCTION("IFERROR(GOOGLEFINANCE(A151,""volume""),"""")"),500.0)</f>
        <v>500</v>
      </c>
      <c r="AA151" s="24" t="str">
        <f>VLOOKUP(A151,Metrik!$C$2:$Y$959,5,0)</f>
        <v>Tourism &amp; Recreation</v>
      </c>
      <c r="AB151" s="24" t="str">
        <f>VLOOKUP(A151,Metrik!$C$2:$Y$959,3,0)</f>
        <v>Consumer Cyclicals</v>
      </c>
    </row>
    <row r="152">
      <c r="A152" s="14" t="s">
        <v>121</v>
      </c>
      <c r="B152" s="14" t="str">
        <f t="array" ref="B152">VLOOKUP(A152,{Metrik!$C$2:$C$998,Metrik!$B$2:$B$998},2,0)</f>
        <v>Ratu Prabu Energi Tbk</v>
      </c>
      <c r="C152" s="15">
        <f>IFERROR(__xludf.DUMMYFUNCTION("GOOGLEFINANCE(""IDX:""&amp;A152,""price"")"),2.0)</f>
        <v>2</v>
      </c>
      <c r="D152" s="16" t="str">
        <f>IFERROR(__xludf.DUMMYFUNCTION("IF(A152="""","""",
SPARKLINE(
INDEX(
GOOGLEFINANCE(""IDX:""&amp;A152,""close"",TODAY()-365,TODAY()),
,2
),
{""linewidth"",1}
))
"),"#N/A")</f>
        <v>#N/A</v>
      </c>
      <c r="E152" s="26"/>
      <c r="F152" s="26"/>
      <c r="G152" s="24">
        <f t="shared" si="1"/>
        <v>0</v>
      </c>
      <c r="H152" s="19">
        <f>VLOOKUP(A152,Metrik!$C$2:$Y$959,8,0)</f>
        <v>5.7</v>
      </c>
      <c r="I152" s="20">
        <f>VLOOKUP(A152,Metrik!$C$2:$Y$959,9,0)</f>
        <v>-0.07</v>
      </c>
      <c r="J152" s="20">
        <f>VLOOKUP(A152,Metrik!$C$2:$Y$959,10,0)</f>
        <v>0</v>
      </c>
      <c r="K152" s="20">
        <f>VLOOKUP(A152,Metrik!$C$2:$Y$959,11,0)</f>
        <v>0.51</v>
      </c>
      <c r="L152" s="20">
        <f>VLOOKUP(A152,Metrik!$C$2:$Y$959,12,0)</f>
        <v>-3.5</v>
      </c>
      <c r="M152" s="20">
        <f>VLOOKUP(A152,Metrik!$C$2:$Y$959,19,0)</f>
        <v>33.5</v>
      </c>
      <c r="N152" s="21"/>
      <c r="O152" s="21"/>
      <c r="P152" s="21"/>
      <c r="Q152" s="21"/>
      <c r="R152" s="21"/>
      <c r="S152" s="21"/>
      <c r="T152" s="21"/>
      <c r="U152" s="22" t="str">
        <f>IFERROR(__xludf.DUMMYFUNCTION("IFERROR(GOOGLEFINANCE(A152,""closeyest""),"""")"),"")</f>
        <v/>
      </c>
      <c r="V152" s="23">
        <f>IFERROR(__xludf.DUMMYFUNCTION("IFERROR(GOOGLEFINANCE(A152,""changepct""),"""")"),0.07)</f>
        <v>0.07</v>
      </c>
      <c r="W152" s="22">
        <f>IFERROR(__xludf.DUMMYFUNCTION("IFERROR(GOOGLEFINANCE(A152,""priceopen""),"""")"),15.32)</f>
        <v>15.32</v>
      </c>
      <c r="X152" s="22">
        <f>IFERROR(__xludf.DUMMYFUNCTION("IFERROR(GOOGLEFINANCE(A152,""high""),"""")"),15.33)</f>
        <v>15.33</v>
      </c>
      <c r="Y152" s="22">
        <f>IFERROR(__xludf.DUMMYFUNCTION("IFERROR(GOOGLEFINANCE(A152,""low""),"""")"),15.31)</f>
        <v>15.31</v>
      </c>
      <c r="Z152" s="22">
        <f>IFERROR(__xludf.DUMMYFUNCTION("IFERROR(GOOGLEFINANCE(A152,""volume""),"""")"),1967.0)</f>
        <v>1967</v>
      </c>
      <c r="AA152" s="24" t="str">
        <f>VLOOKUP(A152,Metrik!$C$2:$Y$959,5,0)</f>
        <v>Oil, Gas &amp; Coal Supports</v>
      </c>
      <c r="AB152" s="24" t="str">
        <f>VLOOKUP(A152,Metrik!$C$2:$Y$959,3,0)</f>
        <v>Energy</v>
      </c>
    </row>
    <row r="153">
      <c r="A153" s="14" t="s">
        <v>122</v>
      </c>
      <c r="B153" s="14" t="str">
        <f t="array" ref="B153">VLOOKUP(A153,{Metrik!$C$2:$C$998,Metrik!$B$2:$B$998},2,0)</f>
        <v>Bank Jago Tbk.</v>
      </c>
      <c r="C153" s="15">
        <f>IFERROR(__xludf.DUMMYFUNCTION("GOOGLEFINANCE(""IDX:""&amp;A153,""price"")"),1010.0)</f>
        <v>1010</v>
      </c>
      <c r="D153" s="16" t="str">
        <f>IFERROR(__xludf.DUMMYFUNCTION("IF(A153="""","""",
SPARKLINE(
INDEX(
GOOGLEFINANCE(""IDX:""&amp;A153,""close"",TODAY()-365,TODAY()),
,2
),
{""linewidth"",1}
))
"),"#N/A")</f>
        <v>#N/A</v>
      </c>
      <c r="E153" s="14" t="s">
        <v>41</v>
      </c>
      <c r="F153" s="14" t="s">
        <v>34</v>
      </c>
      <c r="G153" s="24">
        <f t="shared" si="1"/>
        <v>6</v>
      </c>
      <c r="H153" s="19">
        <f>VLOOKUP(A153,Metrik!$C$2:$Y$959,8,0)</f>
        <v>54.2</v>
      </c>
      <c r="I153" s="20">
        <f>VLOOKUP(A153,Metrik!$C$2:$Y$959,9,0)</f>
        <v>1.8</v>
      </c>
      <c r="J153" s="20">
        <f>VLOOKUP(A153,Metrik!$C$2:$Y$959,10,0)</f>
        <v>3.4</v>
      </c>
      <c r="K153" s="20">
        <f>VLOOKUP(A153,Metrik!$C$2:$Y$959,11,0)</f>
        <v>0.76</v>
      </c>
      <c r="L153" s="20">
        <f>VLOOKUP(A153,Metrik!$C$2:$Y$959,12,0)</f>
        <v>3.4</v>
      </c>
      <c r="M153" s="20">
        <f>VLOOKUP(A153,Metrik!$C$2:$Y$959,19,0)</f>
        <v>30</v>
      </c>
      <c r="N153" s="29">
        <v>7.34</v>
      </c>
      <c r="O153" s="29">
        <v>44.4</v>
      </c>
      <c r="P153" s="29">
        <v>94.08</v>
      </c>
      <c r="Q153" s="29">
        <v>0.16</v>
      </c>
      <c r="R153" s="29">
        <v>92.35</v>
      </c>
      <c r="S153" s="29">
        <v>73.73</v>
      </c>
      <c r="T153" s="39"/>
      <c r="U153" s="22">
        <f>IFERROR(__xludf.DUMMYFUNCTION("IFERROR(GOOGLEFINANCE(A153,""closeyest""),"""")"),9100.0)</f>
        <v>9100</v>
      </c>
      <c r="V153" s="23">
        <f>IFERROR(__xludf.DUMMYFUNCTION("IFERROR(GOOGLEFINANCE(A153,""changepct""),"""")"),0.0)</f>
        <v>0</v>
      </c>
      <c r="W153" s="22" t="str">
        <f>IFERROR(__xludf.DUMMYFUNCTION("IFERROR(GOOGLEFINANCE(A153,""priceopen""),"""")"),"")</f>
        <v/>
      </c>
      <c r="X153" s="22" t="str">
        <f>IFERROR(__xludf.DUMMYFUNCTION("IFERROR(GOOGLEFINANCE(A153,""high""),"""")"),"")</f>
        <v/>
      </c>
      <c r="Y153" s="22" t="str">
        <f>IFERROR(__xludf.DUMMYFUNCTION("IFERROR(GOOGLEFINANCE(A153,""low""),"""")"),"")</f>
        <v/>
      </c>
      <c r="Z153" s="22">
        <f>IFERROR(__xludf.DUMMYFUNCTION("IFERROR(GOOGLEFINANCE(A153,""volume""),"""")"),0.0)</f>
        <v>0</v>
      </c>
      <c r="AA153" s="24" t="str">
        <f>VLOOKUP(A153,Metrik!$C$2:$Y$959,5,0)</f>
        <v>Banks</v>
      </c>
      <c r="AB153" s="24" t="str">
        <f>VLOOKUP(A153,Metrik!$C$2:$Y$959,3,0)</f>
        <v>Financials</v>
      </c>
    </row>
    <row r="154">
      <c r="A154" s="14" t="s">
        <v>122</v>
      </c>
      <c r="B154" s="14" t="str">
        <f t="array" ref="B154">VLOOKUP(A154,{Metrik!$C$2:$C$998,Metrik!$B$2:$B$998},2,0)</f>
        <v>Bank Jago Tbk.</v>
      </c>
      <c r="C154" s="15">
        <f>IFERROR(__xludf.DUMMYFUNCTION("GOOGLEFINANCE(""IDX:""&amp;A154,""price"")"),1010.0)</f>
        <v>1010</v>
      </c>
      <c r="D154" s="16" t="str">
        <f>IFERROR(__xludf.DUMMYFUNCTION("IF(A154="""","""",
SPARKLINE(
INDEX(
GOOGLEFINANCE(""IDX:""&amp;A154,""close"",TODAY()-365,TODAY()),
,2
),
{""linewidth"",1}
))
"),"#N/A")</f>
        <v>#N/A</v>
      </c>
      <c r="E154" s="14" t="s">
        <v>28</v>
      </c>
      <c r="F154" s="17" t="s">
        <v>29</v>
      </c>
      <c r="G154" s="24">
        <f t="shared" si="1"/>
        <v>6</v>
      </c>
      <c r="H154" s="19">
        <f>VLOOKUP(A154,Metrik!$C$2:$Y$959,8,0)</f>
        <v>54.2</v>
      </c>
      <c r="I154" s="20">
        <f>VLOOKUP(A154,Metrik!$C$2:$Y$959,9,0)</f>
        <v>1.8</v>
      </c>
      <c r="J154" s="20">
        <f>VLOOKUP(A154,Metrik!$C$2:$Y$959,10,0)</f>
        <v>3.4</v>
      </c>
      <c r="K154" s="20">
        <f>VLOOKUP(A154,Metrik!$C$2:$Y$959,11,0)</f>
        <v>0.76</v>
      </c>
      <c r="L154" s="20">
        <f>VLOOKUP(A154,Metrik!$C$2:$Y$959,12,0)</f>
        <v>3.4</v>
      </c>
      <c r="M154" s="20">
        <f>VLOOKUP(A154,Metrik!$C$2:$Y$959,19,0)</f>
        <v>30</v>
      </c>
      <c r="N154" s="29">
        <v>7.34</v>
      </c>
      <c r="O154" s="29">
        <v>44.4</v>
      </c>
      <c r="P154" s="29">
        <v>94.08</v>
      </c>
      <c r="Q154" s="29">
        <v>0.16</v>
      </c>
      <c r="R154" s="29">
        <v>92.35</v>
      </c>
      <c r="S154" s="29">
        <v>73.73</v>
      </c>
      <c r="T154" s="39"/>
      <c r="U154" s="22">
        <f>IFERROR(__xludf.DUMMYFUNCTION("IFERROR(GOOGLEFINANCE(A154,""closeyest""),"""")"),9100.0)</f>
        <v>9100</v>
      </c>
      <c r="V154" s="23">
        <f>IFERROR(__xludf.DUMMYFUNCTION("IFERROR(GOOGLEFINANCE(A154,""changepct""),"""")"),0.0)</f>
        <v>0</v>
      </c>
      <c r="W154" s="22" t="str">
        <f>IFERROR(__xludf.DUMMYFUNCTION("IFERROR(GOOGLEFINANCE(A154,""priceopen""),"""")"),"")</f>
        <v/>
      </c>
      <c r="X154" s="22" t="str">
        <f>IFERROR(__xludf.DUMMYFUNCTION("IFERROR(GOOGLEFINANCE(A154,""high""),"""")"),"")</f>
        <v/>
      </c>
      <c r="Y154" s="22" t="str">
        <f>IFERROR(__xludf.DUMMYFUNCTION("IFERROR(GOOGLEFINANCE(A154,""low""),"""")"),"")</f>
        <v/>
      </c>
      <c r="Z154" s="22">
        <f>IFERROR(__xludf.DUMMYFUNCTION("IFERROR(GOOGLEFINANCE(A154,""volume""),"""")"),0.0)</f>
        <v>0</v>
      </c>
      <c r="AA154" s="24" t="str">
        <f>VLOOKUP(A154,Metrik!$C$2:$Y$959,5,0)</f>
        <v>Banks</v>
      </c>
      <c r="AB154" s="24" t="str">
        <f>VLOOKUP(A154,Metrik!$C$2:$Y$959,3,0)</f>
        <v>Financials</v>
      </c>
    </row>
    <row r="155">
      <c r="A155" s="14" t="s">
        <v>122</v>
      </c>
      <c r="B155" s="14" t="str">
        <f t="array" ref="B155">VLOOKUP(A155,{Metrik!$C$2:$C$998,Metrik!$B$2:$B$998},2,0)</f>
        <v>Bank Jago Tbk.</v>
      </c>
      <c r="C155" s="15">
        <f>IFERROR(__xludf.DUMMYFUNCTION("GOOGLEFINANCE(""IDX:""&amp;A155,""price"")"),1010.0)</f>
        <v>1010</v>
      </c>
      <c r="D155" s="16" t="str">
        <f>IFERROR(__xludf.DUMMYFUNCTION("IF(A155="""","""",
SPARKLINE(
INDEX(
GOOGLEFINANCE(""IDX:""&amp;A155,""close"",TODAY()-365,TODAY()),
,2
),
{""linewidth"",1}
))
"),"#N/A")</f>
        <v>#N/A</v>
      </c>
      <c r="E155" s="14" t="s">
        <v>52</v>
      </c>
      <c r="F155" s="27" t="s">
        <v>53</v>
      </c>
      <c r="G155" s="24">
        <f t="shared" si="1"/>
        <v>6</v>
      </c>
      <c r="H155" s="19">
        <f>VLOOKUP(A155,Metrik!$C$2:$Y$959,8,0)</f>
        <v>54.2</v>
      </c>
      <c r="I155" s="20">
        <f>VLOOKUP(A155,Metrik!$C$2:$Y$959,9,0)</f>
        <v>1.8</v>
      </c>
      <c r="J155" s="20">
        <f>VLOOKUP(A155,Metrik!$C$2:$Y$959,10,0)</f>
        <v>3.4</v>
      </c>
      <c r="K155" s="20">
        <f>VLOOKUP(A155,Metrik!$C$2:$Y$959,11,0)</f>
        <v>0.76</v>
      </c>
      <c r="L155" s="20">
        <f>VLOOKUP(A155,Metrik!$C$2:$Y$959,12,0)</f>
        <v>3.4</v>
      </c>
      <c r="M155" s="20">
        <f>VLOOKUP(A155,Metrik!$C$2:$Y$959,19,0)</f>
        <v>30</v>
      </c>
      <c r="N155" s="29">
        <v>7.34</v>
      </c>
      <c r="O155" s="29">
        <v>44.4</v>
      </c>
      <c r="P155" s="29">
        <v>94.08</v>
      </c>
      <c r="Q155" s="29">
        <v>0.16</v>
      </c>
      <c r="R155" s="29">
        <v>92.35</v>
      </c>
      <c r="S155" s="29">
        <v>73.73</v>
      </c>
      <c r="T155" s="39"/>
      <c r="U155" s="22">
        <f>IFERROR(__xludf.DUMMYFUNCTION("IFERROR(GOOGLEFINANCE(A155,""closeyest""),"""")"),9100.0)</f>
        <v>9100</v>
      </c>
      <c r="V155" s="23">
        <f>IFERROR(__xludf.DUMMYFUNCTION("IFERROR(GOOGLEFINANCE(A155,""changepct""),"""")"),0.0)</f>
        <v>0</v>
      </c>
      <c r="W155" s="22" t="str">
        <f>IFERROR(__xludf.DUMMYFUNCTION("IFERROR(GOOGLEFINANCE(A155,""priceopen""),"""")"),"")</f>
        <v/>
      </c>
      <c r="X155" s="22" t="str">
        <f>IFERROR(__xludf.DUMMYFUNCTION("IFERROR(GOOGLEFINANCE(A155,""high""),"""")"),"")</f>
        <v/>
      </c>
      <c r="Y155" s="22" t="str">
        <f>IFERROR(__xludf.DUMMYFUNCTION("IFERROR(GOOGLEFINANCE(A155,""low""),"""")"),"")</f>
        <v/>
      </c>
      <c r="Z155" s="22">
        <f>IFERROR(__xludf.DUMMYFUNCTION("IFERROR(GOOGLEFINANCE(A155,""volume""),"""")"),0.0)</f>
        <v>0</v>
      </c>
      <c r="AA155" s="24" t="str">
        <f>VLOOKUP(A155,Metrik!$C$2:$Y$959,5,0)</f>
        <v>Banks</v>
      </c>
      <c r="AB155" s="24" t="str">
        <f>VLOOKUP(A155,Metrik!$C$2:$Y$959,3,0)</f>
        <v>Financials</v>
      </c>
    </row>
    <row r="156">
      <c r="A156" s="14" t="s">
        <v>122</v>
      </c>
      <c r="B156" s="14" t="str">
        <f t="array" ref="B156">VLOOKUP(A156,{Metrik!$C$2:$C$998,Metrik!$B$2:$B$998},2,0)</f>
        <v>Bank Jago Tbk.</v>
      </c>
      <c r="C156" s="15">
        <f>IFERROR(__xludf.DUMMYFUNCTION("GOOGLEFINANCE(""IDX:""&amp;A156,""price"")"),1010.0)</f>
        <v>1010</v>
      </c>
      <c r="D156" s="16" t="str">
        <f>IFERROR(__xludf.DUMMYFUNCTION("IF(A156="""","""",
SPARKLINE(
INDEX(
GOOGLEFINANCE(""IDX:""&amp;A156,""close"",TODAY()-365,TODAY()),
,2
),
{""linewidth"",1}
))
"),"#N/A")</f>
        <v>#N/A</v>
      </c>
      <c r="E156" s="14" t="s">
        <v>32</v>
      </c>
      <c r="F156" s="14" t="s">
        <v>29</v>
      </c>
      <c r="G156" s="24">
        <f t="shared" si="1"/>
        <v>6</v>
      </c>
      <c r="H156" s="19">
        <f>VLOOKUP(A156,Metrik!$C$2:$Y$959,8,0)</f>
        <v>54.2</v>
      </c>
      <c r="I156" s="20">
        <f>VLOOKUP(A156,Metrik!$C$2:$Y$959,9,0)</f>
        <v>1.8</v>
      </c>
      <c r="J156" s="20">
        <f>VLOOKUP(A156,Metrik!$C$2:$Y$959,10,0)</f>
        <v>3.4</v>
      </c>
      <c r="K156" s="20">
        <f>VLOOKUP(A156,Metrik!$C$2:$Y$959,11,0)</f>
        <v>0.76</v>
      </c>
      <c r="L156" s="20">
        <f>VLOOKUP(A156,Metrik!$C$2:$Y$959,12,0)</f>
        <v>3.4</v>
      </c>
      <c r="M156" s="20">
        <f>VLOOKUP(A156,Metrik!$C$2:$Y$959,19,0)</f>
        <v>30</v>
      </c>
      <c r="N156" s="29">
        <v>7.34</v>
      </c>
      <c r="O156" s="29">
        <v>44.4</v>
      </c>
      <c r="P156" s="29">
        <v>94.08</v>
      </c>
      <c r="Q156" s="29">
        <v>0.16</v>
      </c>
      <c r="R156" s="29">
        <v>92.35</v>
      </c>
      <c r="S156" s="29">
        <v>73.73</v>
      </c>
      <c r="T156" s="39"/>
      <c r="U156" s="22">
        <f>IFERROR(__xludf.DUMMYFUNCTION("IFERROR(GOOGLEFINANCE(A156,""closeyest""),"""")"),9100.0)</f>
        <v>9100</v>
      </c>
      <c r="V156" s="23">
        <f>IFERROR(__xludf.DUMMYFUNCTION("IFERROR(GOOGLEFINANCE(A156,""changepct""),"""")"),0.0)</f>
        <v>0</v>
      </c>
      <c r="W156" s="22" t="str">
        <f>IFERROR(__xludf.DUMMYFUNCTION("IFERROR(GOOGLEFINANCE(A156,""priceopen""),"""")"),"")</f>
        <v/>
      </c>
      <c r="X156" s="22" t="str">
        <f>IFERROR(__xludf.DUMMYFUNCTION("IFERROR(GOOGLEFINANCE(A156,""high""),"""")"),"")</f>
        <v/>
      </c>
      <c r="Y156" s="22" t="str">
        <f>IFERROR(__xludf.DUMMYFUNCTION("IFERROR(GOOGLEFINANCE(A156,""low""),"""")"),"")</f>
        <v/>
      </c>
      <c r="Z156" s="22">
        <f>IFERROR(__xludf.DUMMYFUNCTION("IFERROR(GOOGLEFINANCE(A156,""volume""),"""")"),0.0)</f>
        <v>0</v>
      </c>
      <c r="AA156" s="24" t="str">
        <f>VLOOKUP(A156,Metrik!$C$2:$Y$959,5,0)</f>
        <v>Banks</v>
      </c>
      <c r="AB156" s="24" t="str">
        <f>VLOOKUP(A156,Metrik!$C$2:$Y$959,3,0)</f>
        <v>Financials</v>
      </c>
    </row>
    <row r="157">
      <c r="A157" s="14" t="s">
        <v>122</v>
      </c>
      <c r="B157" s="14" t="str">
        <f t="array" ref="B157">VLOOKUP(A157,{Metrik!$C$2:$C$998,Metrik!$B$2:$B$998},2,0)</f>
        <v>Bank Jago Tbk.</v>
      </c>
      <c r="C157" s="15">
        <f>IFERROR(__xludf.DUMMYFUNCTION("GOOGLEFINANCE(""IDX:""&amp;A157,""price"")"),1010.0)</f>
        <v>1010</v>
      </c>
      <c r="D157" s="16" t="str">
        <f>IFERROR(__xludf.DUMMYFUNCTION("IF(A157="""","""",
SPARKLINE(
INDEX(
GOOGLEFINANCE(""IDX:""&amp;A157,""close"",TODAY()-365,TODAY()),
,2
),
{""linewidth"",1}
))
"),"#N/A")</f>
        <v>#N/A</v>
      </c>
      <c r="E157" s="40" t="s">
        <v>75</v>
      </c>
      <c r="F157" s="40" t="s">
        <v>76</v>
      </c>
      <c r="G157" s="24">
        <f t="shared" si="1"/>
        <v>6</v>
      </c>
      <c r="H157" s="19">
        <f>VLOOKUP(A157,Metrik!$C$2:$Y$959,8,0)</f>
        <v>54.2</v>
      </c>
      <c r="I157" s="20">
        <f>VLOOKUP(A157,Metrik!$C$2:$Y$959,9,0)</f>
        <v>1.8</v>
      </c>
      <c r="J157" s="20">
        <f>VLOOKUP(A157,Metrik!$C$2:$Y$959,10,0)</f>
        <v>3.4</v>
      </c>
      <c r="K157" s="20">
        <f>VLOOKUP(A157,Metrik!$C$2:$Y$959,11,0)</f>
        <v>0.76</v>
      </c>
      <c r="L157" s="20">
        <f>VLOOKUP(A157,Metrik!$C$2:$Y$959,12,0)</f>
        <v>3.4</v>
      </c>
      <c r="M157" s="20">
        <f>VLOOKUP(A157,Metrik!$C$2:$Y$959,19,0)</f>
        <v>30</v>
      </c>
      <c r="N157" s="29">
        <v>7.34</v>
      </c>
      <c r="O157" s="29">
        <v>44.4</v>
      </c>
      <c r="P157" s="29">
        <v>94.08</v>
      </c>
      <c r="Q157" s="29">
        <v>0.16</v>
      </c>
      <c r="R157" s="29">
        <v>92.35</v>
      </c>
      <c r="S157" s="29">
        <v>73.73</v>
      </c>
      <c r="T157" s="39"/>
      <c r="U157" s="22">
        <f>IFERROR(__xludf.DUMMYFUNCTION("IFERROR(GOOGLEFINANCE(A157,""closeyest""),"""")"),9100.0)</f>
        <v>9100</v>
      </c>
      <c r="V157" s="23">
        <f>IFERROR(__xludf.DUMMYFUNCTION("IFERROR(GOOGLEFINANCE(A157,""changepct""),"""")"),0.0)</f>
        <v>0</v>
      </c>
      <c r="W157" s="22" t="str">
        <f>IFERROR(__xludf.DUMMYFUNCTION("IFERROR(GOOGLEFINANCE(A157,""priceopen""),"""")"),"")</f>
        <v/>
      </c>
      <c r="X157" s="22" t="str">
        <f>IFERROR(__xludf.DUMMYFUNCTION("IFERROR(GOOGLEFINANCE(A157,""high""),"""")"),"")</f>
        <v/>
      </c>
      <c r="Y157" s="22" t="str">
        <f>IFERROR(__xludf.DUMMYFUNCTION("IFERROR(GOOGLEFINANCE(A157,""low""),"""")"),"")</f>
        <v/>
      </c>
      <c r="Z157" s="22">
        <f>IFERROR(__xludf.DUMMYFUNCTION("IFERROR(GOOGLEFINANCE(A157,""volume""),"""")"),0.0)</f>
        <v>0</v>
      </c>
      <c r="AA157" s="24" t="str">
        <f>VLOOKUP(A157,Metrik!$C$2:$Y$959,5,0)</f>
        <v>Banks</v>
      </c>
      <c r="AB157" s="24" t="str">
        <f>VLOOKUP(A157,Metrik!$C$2:$Y$959,3,0)</f>
        <v>Financials</v>
      </c>
    </row>
    <row r="158">
      <c r="A158" s="17" t="s">
        <v>122</v>
      </c>
      <c r="B158" s="14" t="str">
        <f t="array" ref="B158">VLOOKUP(A158,{Metrik!$C$2:$C$998,Metrik!$B$2:$B$998},2,0)</f>
        <v>Bank Jago Tbk.</v>
      </c>
      <c r="C158" s="15">
        <f>IFERROR(__xludf.DUMMYFUNCTION("GOOGLEFINANCE(""IDX:""&amp;A158,""price"")"),1010.0)</f>
        <v>1010</v>
      </c>
      <c r="D158" s="16" t="str">
        <f>IFERROR(__xludf.DUMMYFUNCTION("IF(A158="""","""",
SPARKLINE(
INDEX(
GOOGLEFINANCE(""IDX:""&amp;A158,""close"",TODAY()-365,TODAY()),
,2
),
{""linewidth"",1}
))
"),"#N/A")</f>
        <v>#N/A</v>
      </c>
      <c r="E158" s="14" t="s">
        <v>35</v>
      </c>
      <c r="F158" s="17" t="s">
        <v>36</v>
      </c>
      <c r="G158" s="24">
        <f t="shared" si="1"/>
        <v>6</v>
      </c>
      <c r="H158" s="19">
        <f>VLOOKUP(A158,Metrik!$C$2:$Y$959,8,0)</f>
        <v>54.2</v>
      </c>
      <c r="I158" s="20">
        <f>VLOOKUP(A158,Metrik!$C$2:$Y$959,9,0)</f>
        <v>1.8</v>
      </c>
      <c r="J158" s="20">
        <f>VLOOKUP(A158,Metrik!$C$2:$Y$959,10,0)</f>
        <v>3.4</v>
      </c>
      <c r="K158" s="20">
        <f>VLOOKUP(A158,Metrik!$C$2:$Y$959,11,0)</f>
        <v>0.76</v>
      </c>
      <c r="L158" s="20">
        <f>VLOOKUP(A158,Metrik!$C$2:$Y$959,12,0)</f>
        <v>3.4</v>
      </c>
      <c r="M158" s="20">
        <f>VLOOKUP(A158,Metrik!$C$2:$Y$959,19,0)</f>
        <v>30</v>
      </c>
      <c r="N158" s="29">
        <v>7.34</v>
      </c>
      <c r="O158" s="29">
        <v>44.4</v>
      </c>
      <c r="P158" s="29">
        <v>94.08</v>
      </c>
      <c r="Q158" s="29">
        <v>0.16</v>
      </c>
      <c r="R158" s="29">
        <v>92.35</v>
      </c>
      <c r="S158" s="29">
        <v>73.73</v>
      </c>
      <c r="T158" s="41"/>
      <c r="U158" s="22">
        <f>IFERROR(__xludf.DUMMYFUNCTION("IFERROR(GOOGLEFINANCE(A158,""closeyest""),"""")"),9100.0)</f>
        <v>9100</v>
      </c>
      <c r="V158" s="23">
        <f>IFERROR(__xludf.DUMMYFUNCTION("IFERROR(GOOGLEFINANCE(A158,""changepct""),"""")"),0.0)</f>
        <v>0</v>
      </c>
      <c r="W158" s="22" t="str">
        <f>IFERROR(__xludf.DUMMYFUNCTION("IFERROR(GOOGLEFINANCE(A158,""priceopen""),"""")"),"")</f>
        <v/>
      </c>
      <c r="X158" s="22" t="str">
        <f>IFERROR(__xludf.DUMMYFUNCTION("IFERROR(GOOGLEFINANCE(A158,""high""),"""")"),"")</f>
        <v/>
      </c>
      <c r="Y158" s="22" t="str">
        <f>IFERROR(__xludf.DUMMYFUNCTION("IFERROR(GOOGLEFINANCE(A158,""low""),"""")"),"")</f>
        <v/>
      </c>
      <c r="Z158" s="22">
        <f>IFERROR(__xludf.DUMMYFUNCTION("IFERROR(GOOGLEFINANCE(A158,""volume""),"""")"),0.0)</f>
        <v>0</v>
      </c>
      <c r="AA158" s="24" t="str">
        <f>VLOOKUP(A158,Metrik!$C$2:$Y$959,5,0)</f>
        <v>Banks</v>
      </c>
      <c r="AB158" s="24" t="str">
        <f>VLOOKUP(A158,Metrik!$C$2:$Y$959,3,0)</f>
        <v>Financials</v>
      </c>
    </row>
    <row r="159">
      <c r="A159" s="14" t="s">
        <v>123</v>
      </c>
      <c r="B159" s="14" t="str">
        <f t="array" ref="B159">VLOOKUP(A159,{Metrik!$C$2:$C$998,Metrik!$B$2:$B$998},2,0)</f>
        <v>Asuransi Bintang Tbk.</v>
      </c>
      <c r="C159" s="15">
        <f>IFERROR(__xludf.DUMMYFUNCTION("GOOGLEFINANCE(""IDX:""&amp;A159,""price"")"),398.0)</f>
        <v>398</v>
      </c>
      <c r="D159" s="16" t="str">
        <f>IFERROR(__xludf.DUMMYFUNCTION("IF(A159="""","""",
SPARKLINE(
INDEX(
GOOGLEFINANCE(""IDX:""&amp;A159,""close"",TODAY()-365,TODAY()),
,2
),
{""linewidth"",1}
))
"),"#N/A")</f>
        <v>#N/A</v>
      </c>
      <c r="E159" s="26"/>
      <c r="F159" s="26"/>
      <c r="G159" s="24">
        <f t="shared" si="1"/>
        <v>0</v>
      </c>
      <c r="H159" s="19">
        <f>VLOOKUP(A159,Metrik!$C$2:$Y$959,8,0)</f>
        <v>6.4</v>
      </c>
      <c r="I159" s="20">
        <f>VLOOKUP(A159,Metrik!$C$2:$Y$959,9,0)</f>
        <v>0.3</v>
      </c>
      <c r="J159" s="20">
        <f>VLOOKUP(A159,Metrik!$C$2:$Y$959,10,0)</f>
        <v>4.7</v>
      </c>
      <c r="K159" s="20">
        <f>VLOOKUP(A159,Metrik!$C$2:$Y$959,11,0)</f>
        <v>2.6</v>
      </c>
      <c r="L159" s="20">
        <f>VLOOKUP(A159,Metrik!$C$2:$Y$959,12,0)</f>
        <v>0.84</v>
      </c>
      <c r="M159" s="20">
        <f>VLOOKUP(A159,Metrik!$C$2:$Y$959,19,0)</f>
        <v>30.3</v>
      </c>
      <c r="N159" s="21"/>
      <c r="O159" s="21"/>
      <c r="P159" s="21"/>
      <c r="Q159" s="21"/>
      <c r="R159" s="21"/>
      <c r="S159" s="21"/>
      <c r="T159" s="21"/>
      <c r="U159" s="22">
        <f>IFERROR(__xludf.DUMMYFUNCTION("IFERROR(GOOGLEFINANCE(A159,""closeyest""),"""")"),404.0)</f>
        <v>404</v>
      </c>
      <c r="V159" s="23">
        <f>IFERROR(__xludf.DUMMYFUNCTION("IFERROR(GOOGLEFINANCE(A159,""changepct""),"""")"),-1.49)</f>
        <v>-1.49</v>
      </c>
      <c r="W159" s="22">
        <f>IFERROR(__xludf.DUMMYFUNCTION("IFERROR(GOOGLEFINANCE(A159,""priceopen""),"""")"),404.0)</f>
        <v>404</v>
      </c>
      <c r="X159" s="22">
        <f>IFERROR(__xludf.DUMMYFUNCTION("IFERROR(GOOGLEFINANCE(A159,""high""),"""")"),418.0)</f>
        <v>418</v>
      </c>
      <c r="Y159" s="22">
        <f>IFERROR(__xludf.DUMMYFUNCTION("IFERROR(GOOGLEFINANCE(A159,""low""),"""")"),398.0)</f>
        <v>398</v>
      </c>
      <c r="Z159" s="22">
        <f>IFERROR(__xludf.DUMMYFUNCTION("IFERROR(GOOGLEFINANCE(A159,""volume""),"""")"),7300.0)</f>
        <v>7300</v>
      </c>
      <c r="AA159" s="24" t="str">
        <f>VLOOKUP(A159,Metrik!$C$2:$Y$959,5,0)</f>
        <v>Insurance</v>
      </c>
      <c r="AB159" s="24" t="str">
        <f>VLOOKUP(A159,Metrik!$C$2:$Y$959,3,0)</f>
        <v>Financials</v>
      </c>
    </row>
    <row r="160">
      <c r="A160" s="14" t="s">
        <v>124</v>
      </c>
      <c r="B160" s="14" t="str">
        <f t="array" ref="B160">VLOOKUP(A160,{Metrik!$C$2:$C$998,Metrik!$B$2:$B$998},2,0)</f>
        <v>Asuransi Dayin Mitra Tbk.</v>
      </c>
      <c r="C160" s="15">
        <f>IFERROR(__xludf.DUMMYFUNCTION("GOOGLEFINANCE(""IDX:""&amp;A160,""price"")"),510.0)</f>
        <v>510</v>
      </c>
      <c r="D160" s="16" t="str">
        <f>IFERROR(__xludf.DUMMYFUNCTION("IF(A160="""","""",
SPARKLINE(
INDEX(
GOOGLEFINANCE(""IDX:""&amp;A160,""close"",TODAY()-365,TODAY()),
,2
),
{""linewidth"",1}
))
"),"#N/A")</f>
        <v>#N/A</v>
      </c>
      <c r="E160" s="26"/>
      <c r="F160" s="26"/>
      <c r="G160" s="24">
        <f t="shared" si="1"/>
        <v>0</v>
      </c>
      <c r="H160" s="19">
        <f>VLOOKUP(A160,Metrik!$C$2:$Y$959,8,0)</f>
        <v>12.1</v>
      </c>
      <c r="I160" s="20">
        <f>VLOOKUP(A160,Metrik!$C$2:$Y$959,9,0)</f>
        <v>0.54</v>
      </c>
      <c r="J160" s="20">
        <f>VLOOKUP(A160,Metrik!$C$2:$Y$959,10,0)</f>
        <v>4.5</v>
      </c>
      <c r="K160" s="20">
        <f>VLOOKUP(A160,Metrik!$C$2:$Y$959,11,0)</f>
        <v>1.9</v>
      </c>
      <c r="L160" s="20">
        <f>VLOOKUP(A160,Metrik!$C$2:$Y$959,12,0)</f>
        <v>1.3</v>
      </c>
      <c r="M160" s="20">
        <f>VLOOKUP(A160,Metrik!$C$2:$Y$959,19,0)</f>
        <v>8.2</v>
      </c>
      <c r="N160" s="21"/>
      <c r="O160" s="21"/>
      <c r="P160" s="21"/>
      <c r="Q160" s="21"/>
      <c r="R160" s="21"/>
      <c r="S160" s="21"/>
      <c r="T160" s="21"/>
      <c r="U160" s="22">
        <f>IFERROR(__xludf.DUMMYFUNCTION("IFERROR(GOOGLEFINANCE(A160,""closeyest""),"""")"),500.0)</f>
        <v>500</v>
      </c>
      <c r="V160" s="23">
        <f>IFERROR(__xludf.DUMMYFUNCTION("IFERROR(GOOGLEFINANCE(A160,""changepct""),"""")"),2.0)</f>
        <v>2</v>
      </c>
      <c r="W160" s="22">
        <f>IFERROR(__xludf.DUMMYFUNCTION("IFERROR(GOOGLEFINANCE(A160,""priceopen""),"""")"),500.0)</f>
        <v>500</v>
      </c>
      <c r="X160" s="22">
        <f>IFERROR(__xludf.DUMMYFUNCTION("IFERROR(GOOGLEFINANCE(A160,""high""),"""")"),515.0)</f>
        <v>515</v>
      </c>
      <c r="Y160" s="22">
        <f>IFERROR(__xludf.DUMMYFUNCTION("IFERROR(GOOGLEFINANCE(A160,""low""),"""")"),500.0)</f>
        <v>500</v>
      </c>
      <c r="Z160" s="22">
        <f>IFERROR(__xludf.DUMMYFUNCTION("IFERROR(GOOGLEFINANCE(A160,""volume""),"""")"),15800.0)</f>
        <v>15800</v>
      </c>
      <c r="AA160" s="24" t="str">
        <f>VLOOKUP(A160,Metrik!$C$2:$Y$959,5,0)</f>
        <v>Insurance</v>
      </c>
      <c r="AB160" s="24" t="str">
        <f>VLOOKUP(A160,Metrik!$C$2:$Y$959,3,0)</f>
        <v>Financials</v>
      </c>
    </row>
    <row r="161">
      <c r="A161" s="17" t="s">
        <v>125</v>
      </c>
      <c r="B161" s="14" t="str">
        <f t="array" ref="B161">VLOOKUP(A161,{Metrik!$C$2:$C$998,Metrik!$B$2:$B$998},2,0)</f>
        <v>Astra Graphia Tbk.</v>
      </c>
      <c r="C161" s="15">
        <f>IFERROR(__xludf.DUMMYFUNCTION("GOOGLEFINANCE(""IDX:""&amp;A161,""price"")"),1490.0)</f>
        <v>1490</v>
      </c>
      <c r="D161" s="16" t="str">
        <f>IFERROR(__xludf.DUMMYFUNCTION("IF(A161="""","""",
SPARKLINE(
INDEX(
GOOGLEFINANCE(""IDX:""&amp;A161,""close"",TODAY()-365,TODAY()),
,2
),
{""linewidth"",1}
))
"),"#N/A")</f>
        <v>#N/A</v>
      </c>
      <c r="E161" s="14"/>
      <c r="F161" s="17"/>
      <c r="G161" s="18">
        <f t="shared" si="1"/>
        <v>0</v>
      </c>
      <c r="H161" s="19">
        <f>VLOOKUP(A161,Metrik!$C$2:$Y$959,8,0)</f>
        <v>6.7</v>
      </c>
      <c r="I161" s="20">
        <f>VLOOKUP(A161,Metrik!$C$2:$Y$959,9,0)</f>
        <v>0.91</v>
      </c>
      <c r="J161" s="20">
        <f>VLOOKUP(A161,Metrik!$C$2:$Y$959,10,0)</f>
        <v>13.6</v>
      </c>
      <c r="K161" s="20">
        <f>VLOOKUP(A161,Metrik!$C$2:$Y$959,11,0)</f>
        <v>9.6</v>
      </c>
      <c r="L161" s="20">
        <f>VLOOKUP(A161,Metrik!$C$2:$Y$959,12,0)</f>
        <v>0.41</v>
      </c>
      <c r="M161" s="20">
        <f>VLOOKUP(A161,Metrik!$C$2:$Y$959,19,0)</f>
        <v>38.6</v>
      </c>
      <c r="N161" s="21"/>
      <c r="O161" s="21"/>
      <c r="P161" s="21"/>
      <c r="Q161" s="21"/>
      <c r="R161" s="21"/>
      <c r="S161" s="21"/>
      <c r="T161" s="21"/>
      <c r="U161" s="22">
        <f>IFERROR(__xludf.DUMMYFUNCTION("IFERROR(GOOGLEFINANCE(A161,""closeyest""),"""")"),1455.0)</f>
        <v>1455</v>
      </c>
      <c r="V161" s="23">
        <f>IFERROR(__xludf.DUMMYFUNCTION("IFERROR(GOOGLEFINANCE(A161,""changepct""),"""")"),2.41)</f>
        <v>2.41</v>
      </c>
      <c r="W161" s="22">
        <f>IFERROR(__xludf.DUMMYFUNCTION("IFERROR(GOOGLEFINANCE(A161,""priceopen""),"""")"),1455.0)</f>
        <v>1455</v>
      </c>
      <c r="X161" s="22">
        <f>IFERROR(__xludf.DUMMYFUNCTION("IFERROR(GOOGLEFINANCE(A161,""high""),"""")"),1510.0)</f>
        <v>1510</v>
      </c>
      <c r="Y161" s="22">
        <f>IFERROR(__xludf.DUMMYFUNCTION("IFERROR(GOOGLEFINANCE(A161,""low""),"""")"),1455.0)</f>
        <v>1455</v>
      </c>
      <c r="Z161" s="22">
        <f>IFERROR(__xludf.DUMMYFUNCTION("IFERROR(GOOGLEFINANCE(A161,""volume""),"""")"),709300.0)</f>
        <v>709300</v>
      </c>
      <c r="AA161" s="24" t="str">
        <f>VLOOKUP(A161,Metrik!$C$2:$Y$959,5,0)</f>
        <v>Commercial Services</v>
      </c>
      <c r="AB161" s="24" t="str">
        <f>VLOOKUP(A161,Metrik!$C$2:$Y$959,3,0)</f>
        <v>Industrials</v>
      </c>
    </row>
    <row r="162">
      <c r="A162" s="14" t="s">
        <v>126</v>
      </c>
      <c r="B162" s="14" t="str">
        <f t="array" ref="B162">VLOOKUP(A162,{Metrik!$C$2:$C$998,Metrik!$B$2:$B$998},2,0)</f>
        <v>Cilacap Samudera Fishing Industry Tbk.</v>
      </c>
      <c r="C162" s="15">
        <f>IFERROR(__xludf.DUMMYFUNCTION("GOOGLEFINANCE(""IDX:""&amp;A162,""price"")"),59.0)</f>
        <v>59</v>
      </c>
      <c r="D162" s="16" t="str">
        <f>IFERROR(__xludf.DUMMYFUNCTION("IF(A162="""","""",
SPARKLINE(
INDEX(
GOOGLEFINANCE(""IDX:""&amp;A162,""close"",TODAY()-365,TODAY()),
,2
),
{""linewidth"",1}
))
"),"#N/A")</f>
        <v>#N/A</v>
      </c>
      <c r="E162" s="26"/>
      <c r="F162" s="26"/>
      <c r="G162" s="24">
        <f t="shared" si="1"/>
        <v>0</v>
      </c>
      <c r="H162" s="19">
        <f>VLOOKUP(A162,Metrik!$C$2:$Y$959,8,0)</f>
        <v>-16.4</v>
      </c>
      <c r="I162" s="20">
        <f>VLOOKUP(A162,Metrik!$C$2:$Y$959,9,0)</f>
        <v>3</v>
      </c>
      <c r="J162" s="20">
        <f>VLOOKUP(A162,Metrik!$C$2:$Y$959,10,0)</f>
        <v>-18.5</v>
      </c>
      <c r="K162" s="20">
        <f>VLOOKUP(A162,Metrik!$C$2:$Y$959,11,0)</f>
        <v>-15.3</v>
      </c>
      <c r="L162" s="20">
        <f>VLOOKUP(A162,Metrik!$C$2:$Y$959,12,0)</f>
        <v>0.21</v>
      </c>
      <c r="M162" s="20">
        <f>VLOOKUP(A162,Metrik!$C$2:$Y$959,19,0)</f>
        <v>-46.7</v>
      </c>
      <c r="N162" s="21"/>
      <c r="O162" s="21"/>
      <c r="P162" s="21"/>
      <c r="Q162" s="21"/>
      <c r="R162" s="21"/>
      <c r="S162" s="21"/>
      <c r="T162" s="21"/>
      <c r="U162" s="22">
        <f>IFERROR(__xludf.DUMMYFUNCTION("IFERROR(GOOGLEFINANCE(A162,""closeyest""),"""")"),57.0)</f>
        <v>57</v>
      </c>
      <c r="V162" s="23">
        <f>IFERROR(__xludf.DUMMYFUNCTION("IFERROR(GOOGLEFINANCE(A162,""changepct""),"""")"),3.51)</f>
        <v>3.51</v>
      </c>
      <c r="W162" s="22">
        <f>IFERROR(__xludf.DUMMYFUNCTION("IFERROR(GOOGLEFINANCE(A162,""priceopen""),"""")"),57.0)</f>
        <v>57</v>
      </c>
      <c r="X162" s="22">
        <f>IFERROR(__xludf.DUMMYFUNCTION("IFERROR(GOOGLEFINANCE(A162,""high""),"""")"),60.0)</f>
        <v>60</v>
      </c>
      <c r="Y162" s="22">
        <f>IFERROR(__xludf.DUMMYFUNCTION("IFERROR(GOOGLEFINANCE(A162,""low""),"""")"),56.0)</f>
        <v>56</v>
      </c>
      <c r="Z162" s="22">
        <f>IFERROR(__xludf.DUMMYFUNCTION("IFERROR(GOOGLEFINANCE(A162,""volume""),"""")"),4.57657E7)</f>
        <v>45765700</v>
      </c>
      <c r="AA162" s="24" t="str">
        <f>VLOOKUP(A162,Metrik!$C$2:$Y$959,5,0)</f>
        <v>Agricultural Products</v>
      </c>
      <c r="AB162" s="24" t="str">
        <f>VLOOKUP(A162,Metrik!$C$2:$Y$959,3,0)</f>
        <v>Consumer Non-Cyclicals</v>
      </c>
    </row>
    <row r="163">
      <c r="A163" s="14" t="s">
        <v>127</v>
      </c>
      <c r="B163" s="14" t="str">
        <f t="array" ref="B163">VLOOKUP(A163,{Metrik!$C$2:$C$998,Metrik!$B$2:$B$998},2,0)</f>
        <v>Astra International Tbk</v>
      </c>
      <c r="C163" s="15">
        <f>IFERROR(__xludf.DUMMYFUNCTION("GOOGLEFINANCE(""IDX:""&amp;A163,""price"")"),4740.0)</f>
        <v>4740</v>
      </c>
      <c r="D163" s="16" t="str">
        <f>IFERROR(__xludf.DUMMYFUNCTION("IF(A163="""","""",
SPARKLINE(
INDEX(
GOOGLEFINANCE(""IDX:""&amp;A163,""close"",TODAY()-365,TODAY()),
,2
),
{""linewidth"",1}
))
"),"#N/A")</f>
        <v>#N/A</v>
      </c>
      <c r="E163" s="14" t="s">
        <v>47</v>
      </c>
      <c r="F163" s="25">
        <v>46356.0</v>
      </c>
      <c r="G163" s="24">
        <f t="shared" si="1"/>
        <v>16</v>
      </c>
      <c r="H163" s="19">
        <f>VLOOKUP(A163,Metrik!$C$2:$Y$959,8,0)</f>
        <v>6.4</v>
      </c>
      <c r="I163" s="20">
        <f>VLOOKUP(A163,Metrik!$C$2:$Y$959,9,0)</f>
        <v>0.69</v>
      </c>
      <c r="J163" s="20">
        <f>VLOOKUP(A163,Metrik!$C$2:$Y$959,10,0)</f>
        <v>10.8</v>
      </c>
      <c r="K163" s="20">
        <f>VLOOKUP(A163,Metrik!$C$2:$Y$959,11,0)</f>
        <v>6.1</v>
      </c>
      <c r="L163" s="20">
        <f>VLOOKUP(A163,Metrik!$C$2:$Y$959,12,0)</f>
        <v>0.77</v>
      </c>
      <c r="M163" s="20">
        <f>VLOOKUP(A163,Metrik!$C$2:$Y$959,19,0)</f>
        <v>40.3</v>
      </c>
      <c r="N163" s="21"/>
      <c r="O163" s="21"/>
      <c r="P163" s="21"/>
      <c r="Q163" s="21"/>
      <c r="R163" s="21"/>
      <c r="S163" s="21"/>
      <c r="T163" s="21"/>
      <c r="U163" s="22">
        <f>IFERROR(__xludf.DUMMYFUNCTION("IFERROR(GOOGLEFINANCE(A163,""closeyest""),"""")"),0.0)</f>
        <v>0</v>
      </c>
      <c r="V163" s="23">
        <f>IFERROR(__xludf.DUMMYFUNCTION("IFERROR(GOOGLEFINANCE(A163,""changepct""),"""")"),0.0)</f>
        <v>0</v>
      </c>
      <c r="W163" s="22">
        <f>IFERROR(__xludf.DUMMYFUNCTION("IFERROR(GOOGLEFINANCE(A163,""priceopen""),"""")"),0.0)</f>
        <v>0</v>
      </c>
      <c r="X163" s="22">
        <f>IFERROR(__xludf.DUMMYFUNCTION("IFERROR(GOOGLEFINANCE(A163,""high""),"""")"),0.0)</f>
        <v>0</v>
      </c>
      <c r="Y163" s="22">
        <f>IFERROR(__xludf.DUMMYFUNCTION("IFERROR(GOOGLEFINANCE(A163,""low""),"""")"),0.0)</f>
        <v>0</v>
      </c>
      <c r="Z163" s="22">
        <f>IFERROR(__xludf.DUMMYFUNCTION("IFERROR(GOOGLEFINANCE(A163,""volume""),"""")"),4632235.0)</f>
        <v>4632235</v>
      </c>
      <c r="AA163" s="24" t="str">
        <f>VLOOKUP(A163,Metrik!$C$2:$Y$959,5,0)</f>
        <v>Multi-sector Holdings</v>
      </c>
      <c r="AB163" s="24" t="str">
        <f>VLOOKUP(A163,Metrik!$C$2:$Y$959,3,0)</f>
        <v>Industrials</v>
      </c>
    </row>
    <row r="164">
      <c r="A164" s="14" t="s">
        <v>127</v>
      </c>
      <c r="B164" s="14" t="str">
        <f t="array" ref="B164">VLOOKUP(A164,{Metrik!$C$2:$C$998,Metrik!$B$2:$B$998},2,0)</f>
        <v>Astra International Tbk</v>
      </c>
      <c r="C164" s="15">
        <f>IFERROR(__xludf.DUMMYFUNCTION("GOOGLEFINANCE(""IDX:""&amp;A164,""price"")"),4740.0)</f>
        <v>4740</v>
      </c>
      <c r="D164" s="16" t="str">
        <f>IFERROR(__xludf.DUMMYFUNCTION("IF(A164="""","""",
SPARKLINE(
INDEX(
GOOGLEFINANCE(""IDX:""&amp;A164,""close"",TODAY()-365,TODAY()),
,2
),
{""linewidth"",1}
))
"),"#N/A")</f>
        <v>#N/A</v>
      </c>
      <c r="E164" s="14" t="s">
        <v>128</v>
      </c>
      <c r="F164" s="17" t="s">
        <v>36</v>
      </c>
      <c r="G164" s="24">
        <f t="shared" si="1"/>
        <v>16</v>
      </c>
      <c r="H164" s="19">
        <f>VLOOKUP(A164,Metrik!$C$2:$Y$959,8,0)</f>
        <v>6.4</v>
      </c>
      <c r="I164" s="20">
        <f>VLOOKUP(A164,Metrik!$C$2:$Y$959,9,0)</f>
        <v>0.69</v>
      </c>
      <c r="J164" s="20">
        <f>VLOOKUP(A164,Metrik!$C$2:$Y$959,10,0)</f>
        <v>10.8</v>
      </c>
      <c r="K164" s="20">
        <f>VLOOKUP(A164,Metrik!$C$2:$Y$959,11,0)</f>
        <v>6.1</v>
      </c>
      <c r="L164" s="20">
        <f>VLOOKUP(A164,Metrik!$C$2:$Y$959,12,0)</f>
        <v>0.77</v>
      </c>
      <c r="M164" s="20">
        <f>VLOOKUP(A164,Metrik!$C$2:$Y$959,19,0)</f>
        <v>40.3</v>
      </c>
      <c r="N164" s="21"/>
      <c r="O164" s="21"/>
      <c r="P164" s="21"/>
      <c r="Q164" s="21"/>
      <c r="R164" s="21"/>
      <c r="S164" s="21"/>
      <c r="T164" s="21"/>
      <c r="U164" s="22">
        <f>IFERROR(__xludf.DUMMYFUNCTION("IFERROR(GOOGLEFINANCE(A164,""closeyest""),"""")"),0.0)</f>
        <v>0</v>
      </c>
      <c r="V164" s="23">
        <f>IFERROR(__xludf.DUMMYFUNCTION("IFERROR(GOOGLEFINANCE(A164,""changepct""),"""")"),0.0)</f>
        <v>0</v>
      </c>
      <c r="W164" s="22">
        <f>IFERROR(__xludf.DUMMYFUNCTION("IFERROR(GOOGLEFINANCE(A164,""priceopen""),"""")"),0.0)</f>
        <v>0</v>
      </c>
      <c r="X164" s="22">
        <f>IFERROR(__xludf.DUMMYFUNCTION("IFERROR(GOOGLEFINANCE(A164,""high""),"""")"),0.0)</f>
        <v>0</v>
      </c>
      <c r="Y164" s="22">
        <f>IFERROR(__xludf.DUMMYFUNCTION("IFERROR(GOOGLEFINANCE(A164,""low""),"""")"),0.0)</f>
        <v>0</v>
      </c>
      <c r="Z164" s="22">
        <f>IFERROR(__xludf.DUMMYFUNCTION("IFERROR(GOOGLEFINANCE(A164,""volume""),"""")"),4632235.0)</f>
        <v>4632235</v>
      </c>
      <c r="AA164" s="24" t="str">
        <f>VLOOKUP(A164,Metrik!$C$2:$Y$959,5,0)</f>
        <v>Multi-sector Holdings</v>
      </c>
      <c r="AB164" s="24" t="str">
        <f>VLOOKUP(A164,Metrik!$C$2:$Y$959,3,0)</f>
        <v>Industrials</v>
      </c>
    </row>
    <row r="165">
      <c r="A165" s="14" t="s">
        <v>127</v>
      </c>
      <c r="B165" s="14" t="str">
        <f t="array" ref="B165">VLOOKUP(A165,{Metrik!$C$2:$C$998,Metrik!$B$2:$B$998},2,0)</f>
        <v>Astra International Tbk</v>
      </c>
      <c r="C165" s="15">
        <f>IFERROR(__xludf.DUMMYFUNCTION("GOOGLEFINANCE(""IDX:""&amp;A165,""price"")"),4740.0)</f>
        <v>4740</v>
      </c>
      <c r="D165" s="16" t="str">
        <f>IFERROR(__xludf.DUMMYFUNCTION("IF(A165="""","""",
SPARKLINE(
INDEX(
GOOGLEFINANCE(""IDX:""&amp;A165,""close"",TODAY()-365,TODAY()),
,2
),
{""linewidth"",1}
))
"),"#N/A")</f>
        <v>#N/A</v>
      </c>
      <c r="E165" s="14" t="s">
        <v>54</v>
      </c>
      <c r="F165" s="14" t="s">
        <v>34</v>
      </c>
      <c r="G165" s="24">
        <f t="shared" si="1"/>
        <v>16</v>
      </c>
      <c r="H165" s="19">
        <f>VLOOKUP(A165,Metrik!$C$2:$Y$959,8,0)</f>
        <v>6.4</v>
      </c>
      <c r="I165" s="20">
        <f>VLOOKUP(A165,Metrik!$C$2:$Y$959,9,0)</f>
        <v>0.69</v>
      </c>
      <c r="J165" s="20">
        <f>VLOOKUP(A165,Metrik!$C$2:$Y$959,10,0)</f>
        <v>10.8</v>
      </c>
      <c r="K165" s="20">
        <f>VLOOKUP(A165,Metrik!$C$2:$Y$959,11,0)</f>
        <v>6.1</v>
      </c>
      <c r="L165" s="20">
        <f>VLOOKUP(A165,Metrik!$C$2:$Y$959,12,0)</f>
        <v>0.77</v>
      </c>
      <c r="M165" s="20">
        <f>VLOOKUP(A165,Metrik!$C$2:$Y$959,19,0)</f>
        <v>40.3</v>
      </c>
      <c r="N165" s="21"/>
      <c r="O165" s="21"/>
      <c r="P165" s="21"/>
      <c r="Q165" s="21"/>
      <c r="R165" s="21"/>
      <c r="S165" s="21"/>
      <c r="T165" s="21"/>
      <c r="U165" s="22">
        <f>IFERROR(__xludf.DUMMYFUNCTION("IFERROR(GOOGLEFINANCE(A165,""closeyest""),"""")"),0.0)</f>
        <v>0</v>
      </c>
      <c r="V165" s="23">
        <f>IFERROR(__xludf.DUMMYFUNCTION("IFERROR(GOOGLEFINANCE(A165,""changepct""),"""")"),0.0)</f>
        <v>0</v>
      </c>
      <c r="W165" s="22">
        <f>IFERROR(__xludf.DUMMYFUNCTION("IFERROR(GOOGLEFINANCE(A165,""priceopen""),"""")"),0.0)</f>
        <v>0</v>
      </c>
      <c r="X165" s="22">
        <f>IFERROR(__xludf.DUMMYFUNCTION("IFERROR(GOOGLEFINANCE(A165,""high""),"""")"),0.0)</f>
        <v>0</v>
      </c>
      <c r="Y165" s="22">
        <f>IFERROR(__xludf.DUMMYFUNCTION("IFERROR(GOOGLEFINANCE(A165,""low""),"""")"),0.0)</f>
        <v>0</v>
      </c>
      <c r="Z165" s="22">
        <f>IFERROR(__xludf.DUMMYFUNCTION("IFERROR(GOOGLEFINANCE(A165,""volume""),"""")"),4632235.0)</f>
        <v>4632235</v>
      </c>
      <c r="AA165" s="24" t="str">
        <f>VLOOKUP(A165,Metrik!$C$2:$Y$959,5,0)</f>
        <v>Multi-sector Holdings</v>
      </c>
      <c r="AB165" s="24" t="str">
        <f>VLOOKUP(A165,Metrik!$C$2:$Y$959,3,0)</f>
        <v>Industrials</v>
      </c>
    </row>
    <row r="166">
      <c r="A166" s="14" t="s">
        <v>127</v>
      </c>
      <c r="B166" s="14" t="str">
        <f t="array" ref="B166">VLOOKUP(A166,{Metrik!$C$2:$C$998,Metrik!$B$2:$B$998},2,0)</f>
        <v>Astra International Tbk</v>
      </c>
      <c r="C166" s="15">
        <f>IFERROR(__xludf.DUMMYFUNCTION("GOOGLEFINANCE(""IDX:""&amp;A166,""price"")"),4740.0)</f>
        <v>4740</v>
      </c>
      <c r="D166" s="16" t="str">
        <f>IFERROR(__xludf.DUMMYFUNCTION("IF(A166="""","""",
SPARKLINE(
INDEX(
GOOGLEFINANCE(""IDX:""&amp;A166,""close"",TODAY()-365,TODAY()),
,2
),
{""linewidth"",1}
))
"),"#N/A")</f>
        <v>#N/A</v>
      </c>
      <c r="E166" s="14" t="s">
        <v>32</v>
      </c>
      <c r="F166" s="14" t="s">
        <v>29</v>
      </c>
      <c r="G166" s="24">
        <f t="shared" si="1"/>
        <v>16</v>
      </c>
      <c r="H166" s="19">
        <f>VLOOKUP(A166,Metrik!$C$2:$Y$959,8,0)</f>
        <v>6.4</v>
      </c>
      <c r="I166" s="20">
        <f>VLOOKUP(A166,Metrik!$C$2:$Y$959,9,0)</f>
        <v>0.69</v>
      </c>
      <c r="J166" s="20">
        <f>VLOOKUP(A166,Metrik!$C$2:$Y$959,10,0)</f>
        <v>10.8</v>
      </c>
      <c r="K166" s="20">
        <f>VLOOKUP(A166,Metrik!$C$2:$Y$959,11,0)</f>
        <v>6.1</v>
      </c>
      <c r="L166" s="20">
        <f>VLOOKUP(A166,Metrik!$C$2:$Y$959,12,0)</f>
        <v>0.77</v>
      </c>
      <c r="M166" s="20">
        <f>VLOOKUP(A166,Metrik!$C$2:$Y$959,19,0)</f>
        <v>40.3</v>
      </c>
      <c r="N166" s="21"/>
      <c r="O166" s="21"/>
      <c r="P166" s="21"/>
      <c r="Q166" s="21"/>
      <c r="R166" s="21"/>
      <c r="S166" s="21"/>
      <c r="T166" s="21"/>
      <c r="U166" s="22">
        <f>IFERROR(__xludf.DUMMYFUNCTION("IFERROR(GOOGLEFINANCE(A166,""closeyest""),"""")"),0.0)</f>
        <v>0</v>
      </c>
      <c r="V166" s="23">
        <f>IFERROR(__xludf.DUMMYFUNCTION("IFERROR(GOOGLEFINANCE(A166,""changepct""),"""")"),0.0)</f>
        <v>0</v>
      </c>
      <c r="W166" s="22">
        <f>IFERROR(__xludf.DUMMYFUNCTION("IFERROR(GOOGLEFINANCE(A166,""priceopen""),"""")"),0.0)</f>
        <v>0</v>
      </c>
      <c r="X166" s="22">
        <f>IFERROR(__xludf.DUMMYFUNCTION("IFERROR(GOOGLEFINANCE(A166,""high""),"""")"),0.0)</f>
        <v>0</v>
      </c>
      <c r="Y166" s="22">
        <f>IFERROR(__xludf.DUMMYFUNCTION("IFERROR(GOOGLEFINANCE(A166,""low""),"""")"),0.0)</f>
        <v>0</v>
      </c>
      <c r="Z166" s="22">
        <f>IFERROR(__xludf.DUMMYFUNCTION("IFERROR(GOOGLEFINANCE(A166,""volume""),"""")"),4632235.0)</f>
        <v>4632235</v>
      </c>
      <c r="AA166" s="24" t="str">
        <f>VLOOKUP(A166,Metrik!$C$2:$Y$959,5,0)</f>
        <v>Multi-sector Holdings</v>
      </c>
      <c r="AB166" s="24" t="str">
        <f>VLOOKUP(A166,Metrik!$C$2:$Y$959,3,0)</f>
        <v>Industrials</v>
      </c>
    </row>
    <row r="167">
      <c r="A167" s="14" t="s">
        <v>127</v>
      </c>
      <c r="B167" s="14" t="str">
        <f t="array" ref="B167">VLOOKUP(A167,{Metrik!$C$2:$C$998,Metrik!$B$2:$B$998},2,0)</f>
        <v>Astra International Tbk</v>
      </c>
      <c r="C167" s="15">
        <f>IFERROR(__xludf.DUMMYFUNCTION("GOOGLEFINANCE(""IDX:""&amp;A167,""price"")"),4740.0)</f>
        <v>4740</v>
      </c>
      <c r="D167" s="16" t="str">
        <f>IFERROR(__xludf.DUMMYFUNCTION("IF(A167="""","""",
SPARKLINE(
INDEX(
GOOGLEFINANCE(""IDX:""&amp;A167,""close"",TODAY()-365,TODAY()),
,2
),
{""linewidth"",1}
))
"),"#N/A")</f>
        <v>#N/A</v>
      </c>
      <c r="E167" s="14" t="s">
        <v>30</v>
      </c>
      <c r="F167" s="17" t="s">
        <v>29</v>
      </c>
      <c r="G167" s="24">
        <f t="shared" si="1"/>
        <v>16</v>
      </c>
      <c r="H167" s="19">
        <f>VLOOKUP(A167,Metrik!$C$2:$Y$959,8,0)</f>
        <v>6.4</v>
      </c>
      <c r="I167" s="20">
        <f>VLOOKUP(A167,Metrik!$C$2:$Y$959,9,0)</f>
        <v>0.69</v>
      </c>
      <c r="J167" s="20">
        <f>VLOOKUP(A167,Metrik!$C$2:$Y$959,10,0)</f>
        <v>10.8</v>
      </c>
      <c r="K167" s="20">
        <f>VLOOKUP(A167,Metrik!$C$2:$Y$959,11,0)</f>
        <v>6.1</v>
      </c>
      <c r="L167" s="20">
        <f>VLOOKUP(A167,Metrik!$C$2:$Y$959,12,0)</f>
        <v>0.77</v>
      </c>
      <c r="M167" s="20">
        <f>VLOOKUP(A167,Metrik!$C$2:$Y$959,19,0)</f>
        <v>40.3</v>
      </c>
      <c r="N167" s="21"/>
      <c r="O167" s="21"/>
      <c r="P167" s="21"/>
      <c r="Q167" s="21"/>
      <c r="R167" s="21"/>
      <c r="S167" s="21"/>
      <c r="T167" s="21"/>
      <c r="U167" s="22">
        <f>IFERROR(__xludf.DUMMYFUNCTION("IFERROR(GOOGLEFINANCE(A167,""closeyest""),"""")"),0.0)</f>
        <v>0</v>
      </c>
      <c r="V167" s="23">
        <f>IFERROR(__xludf.DUMMYFUNCTION("IFERROR(GOOGLEFINANCE(A167,""changepct""),"""")"),0.0)</f>
        <v>0</v>
      </c>
      <c r="W167" s="22">
        <f>IFERROR(__xludf.DUMMYFUNCTION("IFERROR(GOOGLEFINANCE(A167,""priceopen""),"""")"),0.0)</f>
        <v>0</v>
      </c>
      <c r="X167" s="22">
        <f>IFERROR(__xludf.DUMMYFUNCTION("IFERROR(GOOGLEFINANCE(A167,""high""),"""")"),0.0)</f>
        <v>0</v>
      </c>
      <c r="Y167" s="22">
        <f>IFERROR(__xludf.DUMMYFUNCTION("IFERROR(GOOGLEFINANCE(A167,""low""),"""")"),0.0)</f>
        <v>0</v>
      </c>
      <c r="Z167" s="22">
        <f>IFERROR(__xludf.DUMMYFUNCTION("IFERROR(GOOGLEFINANCE(A167,""volume""),"""")"),4632235.0)</f>
        <v>4632235</v>
      </c>
      <c r="AA167" s="24" t="str">
        <f>VLOOKUP(A167,Metrik!$C$2:$Y$959,5,0)</f>
        <v>Multi-sector Holdings</v>
      </c>
      <c r="AB167" s="24" t="str">
        <f>VLOOKUP(A167,Metrik!$C$2:$Y$959,3,0)</f>
        <v>Industrials</v>
      </c>
    </row>
    <row r="168">
      <c r="A168" s="14" t="s">
        <v>127</v>
      </c>
      <c r="B168" s="14" t="str">
        <f t="array" ref="B168">VLOOKUP(A168,{Metrik!$C$2:$C$998,Metrik!$B$2:$B$998},2,0)</f>
        <v>Astra International Tbk</v>
      </c>
      <c r="C168" s="15">
        <f>IFERROR(__xludf.DUMMYFUNCTION("GOOGLEFINANCE(""IDX:""&amp;A168,""price"")"),4740.0)</f>
        <v>4740</v>
      </c>
      <c r="D168" s="16" t="str">
        <f>IFERROR(__xludf.DUMMYFUNCTION("IF(A168="""","""",
SPARKLINE(
INDEX(
GOOGLEFINANCE(""IDX:""&amp;A168,""close"",TODAY()-365,TODAY()),
,2
),
{""linewidth"",1}
))
"),"#N/A")</f>
        <v>#N/A</v>
      </c>
      <c r="E168" s="14" t="s">
        <v>28</v>
      </c>
      <c r="F168" s="17" t="s">
        <v>29</v>
      </c>
      <c r="G168" s="24">
        <f t="shared" si="1"/>
        <v>16</v>
      </c>
      <c r="H168" s="19">
        <f>VLOOKUP(A168,Metrik!$C$2:$Y$959,8,0)</f>
        <v>6.4</v>
      </c>
      <c r="I168" s="20">
        <f>VLOOKUP(A168,Metrik!$C$2:$Y$959,9,0)</f>
        <v>0.69</v>
      </c>
      <c r="J168" s="20">
        <f>VLOOKUP(A168,Metrik!$C$2:$Y$959,10,0)</f>
        <v>10.8</v>
      </c>
      <c r="K168" s="20">
        <f>VLOOKUP(A168,Metrik!$C$2:$Y$959,11,0)</f>
        <v>6.1</v>
      </c>
      <c r="L168" s="20">
        <f>VLOOKUP(A168,Metrik!$C$2:$Y$959,12,0)</f>
        <v>0.77</v>
      </c>
      <c r="M168" s="20">
        <f>VLOOKUP(A168,Metrik!$C$2:$Y$959,19,0)</f>
        <v>40.3</v>
      </c>
      <c r="N168" s="21"/>
      <c r="O168" s="21"/>
      <c r="P168" s="21"/>
      <c r="Q168" s="21"/>
      <c r="R168" s="21"/>
      <c r="S168" s="21"/>
      <c r="T168" s="21"/>
      <c r="U168" s="22">
        <f>IFERROR(__xludf.DUMMYFUNCTION("IFERROR(GOOGLEFINANCE(A168,""closeyest""),"""")"),0.0)</f>
        <v>0</v>
      </c>
      <c r="V168" s="23">
        <f>IFERROR(__xludf.DUMMYFUNCTION("IFERROR(GOOGLEFINANCE(A168,""changepct""),"""")"),0.0)</f>
        <v>0</v>
      </c>
      <c r="W168" s="22">
        <f>IFERROR(__xludf.DUMMYFUNCTION("IFERROR(GOOGLEFINANCE(A168,""priceopen""),"""")"),0.0)</f>
        <v>0</v>
      </c>
      <c r="X168" s="22">
        <f>IFERROR(__xludf.DUMMYFUNCTION("IFERROR(GOOGLEFINANCE(A168,""high""),"""")"),0.0)</f>
        <v>0</v>
      </c>
      <c r="Y168" s="22">
        <f>IFERROR(__xludf.DUMMYFUNCTION("IFERROR(GOOGLEFINANCE(A168,""low""),"""")"),0.0)</f>
        <v>0</v>
      </c>
      <c r="Z168" s="22">
        <f>IFERROR(__xludf.DUMMYFUNCTION("IFERROR(GOOGLEFINANCE(A168,""volume""),"""")"),4632235.0)</f>
        <v>4632235</v>
      </c>
      <c r="AA168" s="24" t="str">
        <f>VLOOKUP(A168,Metrik!$C$2:$Y$959,5,0)</f>
        <v>Multi-sector Holdings</v>
      </c>
      <c r="AB168" s="24" t="str">
        <f>VLOOKUP(A168,Metrik!$C$2:$Y$959,3,0)</f>
        <v>Industrials</v>
      </c>
    </row>
    <row r="169">
      <c r="A169" s="14" t="s">
        <v>127</v>
      </c>
      <c r="B169" s="14" t="str">
        <f t="array" ref="B169">VLOOKUP(A169,{Metrik!$C$2:$C$998,Metrik!$B$2:$B$998},2,0)</f>
        <v>Astra International Tbk</v>
      </c>
      <c r="C169" s="15">
        <f>IFERROR(__xludf.DUMMYFUNCTION("GOOGLEFINANCE(""IDX:""&amp;A169,""price"")"),4740.0)</f>
        <v>4740</v>
      </c>
      <c r="D169" s="16" t="str">
        <f>IFERROR(__xludf.DUMMYFUNCTION("IF(A169="""","""",
SPARKLINE(
INDEX(
GOOGLEFINANCE(""IDX:""&amp;A169,""close"",TODAY()-365,TODAY()),
,2
),
{""linewidth"",1}
))
"),"#N/A")</f>
        <v>#N/A</v>
      </c>
      <c r="E169" s="14" t="s">
        <v>48</v>
      </c>
      <c r="F169" s="14" t="s">
        <v>49</v>
      </c>
      <c r="G169" s="24">
        <f t="shared" si="1"/>
        <v>16</v>
      </c>
      <c r="H169" s="19">
        <f>VLOOKUP(A169,Metrik!$C$2:$Y$959,8,0)</f>
        <v>6.4</v>
      </c>
      <c r="I169" s="20">
        <f>VLOOKUP(A169,Metrik!$C$2:$Y$959,9,0)</f>
        <v>0.69</v>
      </c>
      <c r="J169" s="20">
        <f>VLOOKUP(A169,Metrik!$C$2:$Y$959,10,0)</f>
        <v>10.8</v>
      </c>
      <c r="K169" s="20">
        <f>VLOOKUP(A169,Metrik!$C$2:$Y$959,11,0)</f>
        <v>6.1</v>
      </c>
      <c r="L169" s="20">
        <f>VLOOKUP(A169,Metrik!$C$2:$Y$959,12,0)</f>
        <v>0.77</v>
      </c>
      <c r="M169" s="20">
        <f>VLOOKUP(A169,Metrik!$C$2:$Y$959,19,0)</f>
        <v>40.3</v>
      </c>
      <c r="N169" s="21"/>
      <c r="O169" s="21"/>
      <c r="P169" s="21"/>
      <c r="Q169" s="21"/>
      <c r="R169" s="21"/>
      <c r="S169" s="21"/>
      <c r="T169" s="21"/>
      <c r="U169" s="22">
        <f>IFERROR(__xludf.DUMMYFUNCTION("IFERROR(GOOGLEFINANCE(A169,""closeyest""),"""")"),0.0)</f>
        <v>0</v>
      </c>
      <c r="V169" s="23">
        <f>IFERROR(__xludf.DUMMYFUNCTION("IFERROR(GOOGLEFINANCE(A169,""changepct""),"""")"),0.0)</f>
        <v>0</v>
      </c>
      <c r="W169" s="22">
        <f>IFERROR(__xludf.DUMMYFUNCTION("IFERROR(GOOGLEFINANCE(A169,""priceopen""),"""")"),0.0)</f>
        <v>0</v>
      </c>
      <c r="X169" s="22">
        <f>IFERROR(__xludf.DUMMYFUNCTION("IFERROR(GOOGLEFINANCE(A169,""high""),"""")"),0.0)</f>
        <v>0</v>
      </c>
      <c r="Y169" s="22">
        <f>IFERROR(__xludf.DUMMYFUNCTION("IFERROR(GOOGLEFINANCE(A169,""low""),"""")"),0.0)</f>
        <v>0</v>
      </c>
      <c r="Z169" s="22">
        <f>IFERROR(__xludf.DUMMYFUNCTION("IFERROR(GOOGLEFINANCE(A169,""volume""),"""")"),4632235.0)</f>
        <v>4632235</v>
      </c>
      <c r="AA169" s="24" t="str">
        <f>VLOOKUP(A169,Metrik!$C$2:$Y$959,5,0)</f>
        <v>Multi-sector Holdings</v>
      </c>
      <c r="AB169" s="24" t="str">
        <f>VLOOKUP(A169,Metrik!$C$2:$Y$959,3,0)</f>
        <v>Industrials</v>
      </c>
    </row>
    <row r="170">
      <c r="A170" s="14" t="s">
        <v>127</v>
      </c>
      <c r="B170" s="14" t="str">
        <f t="array" ref="B170">VLOOKUP(A170,{Metrik!$C$2:$C$998,Metrik!$B$2:$B$998},2,0)</f>
        <v>Astra International Tbk</v>
      </c>
      <c r="C170" s="15">
        <f>IFERROR(__xludf.DUMMYFUNCTION("GOOGLEFINANCE(""IDX:""&amp;A170,""price"")"),4740.0)</f>
        <v>4740</v>
      </c>
      <c r="D170" s="16" t="str">
        <f>IFERROR(__xludf.DUMMYFUNCTION("IF(A170="""","""",
SPARKLINE(
INDEX(
GOOGLEFINANCE(""IDX:""&amp;A170,""close"",TODAY()-365,TODAY()),
,2
),
{""linewidth"",1}
))
"),"#N/A")</f>
        <v>#N/A</v>
      </c>
      <c r="E170" s="14" t="s">
        <v>67</v>
      </c>
      <c r="F170" s="17" t="s">
        <v>51</v>
      </c>
      <c r="G170" s="24">
        <f t="shared" si="1"/>
        <v>16</v>
      </c>
      <c r="H170" s="19">
        <f>VLOOKUP(A170,Metrik!$C$2:$Y$959,8,0)</f>
        <v>6.4</v>
      </c>
      <c r="I170" s="20">
        <f>VLOOKUP(A170,Metrik!$C$2:$Y$959,9,0)</f>
        <v>0.69</v>
      </c>
      <c r="J170" s="20">
        <f>VLOOKUP(A170,Metrik!$C$2:$Y$959,10,0)</f>
        <v>10.8</v>
      </c>
      <c r="K170" s="20">
        <f>VLOOKUP(A170,Metrik!$C$2:$Y$959,11,0)</f>
        <v>6.1</v>
      </c>
      <c r="L170" s="20">
        <f>VLOOKUP(A170,Metrik!$C$2:$Y$959,12,0)</f>
        <v>0.77</v>
      </c>
      <c r="M170" s="20">
        <f>VLOOKUP(A170,Metrik!$C$2:$Y$959,19,0)</f>
        <v>40.3</v>
      </c>
      <c r="N170" s="21"/>
      <c r="O170" s="21"/>
      <c r="P170" s="21"/>
      <c r="Q170" s="21"/>
      <c r="R170" s="21"/>
      <c r="S170" s="21"/>
      <c r="T170" s="21"/>
      <c r="U170" s="22">
        <f>IFERROR(__xludf.DUMMYFUNCTION("IFERROR(GOOGLEFINANCE(A170,""closeyest""),"""")"),0.0)</f>
        <v>0</v>
      </c>
      <c r="V170" s="23">
        <f>IFERROR(__xludf.DUMMYFUNCTION("IFERROR(GOOGLEFINANCE(A170,""changepct""),"""")"),0.0)</f>
        <v>0</v>
      </c>
      <c r="W170" s="22">
        <f>IFERROR(__xludf.DUMMYFUNCTION("IFERROR(GOOGLEFINANCE(A170,""priceopen""),"""")"),0.0)</f>
        <v>0</v>
      </c>
      <c r="X170" s="22">
        <f>IFERROR(__xludf.DUMMYFUNCTION("IFERROR(GOOGLEFINANCE(A170,""high""),"""")"),0.0)</f>
        <v>0</v>
      </c>
      <c r="Y170" s="22">
        <f>IFERROR(__xludf.DUMMYFUNCTION("IFERROR(GOOGLEFINANCE(A170,""low""),"""")"),0.0)</f>
        <v>0</v>
      </c>
      <c r="Z170" s="22">
        <f>IFERROR(__xludf.DUMMYFUNCTION("IFERROR(GOOGLEFINANCE(A170,""volume""),"""")"),4632235.0)</f>
        <v>4632235</v>
      </c>
      <c r="AA170" s="24" t="str">
        <f>VLOOKUP(A170,Metrik!$C$2:$Y$959,5,0)</f>
        <v>Multi-sector Holdings</v>
      </c>
      <c r="AB170" s="24" t="str">
        <f>VLOOKUP(A170,Metrik!$C$2:$Y$959,3,0)</f>
        <v>Industrials</v>
      </c>
    </row>
    <row r="171">
      <c r="A171" s="14" t="s">
        <v>127</v>
      </c>
      <c r="B171" s="14" t="str">
        <f t="array" ref="B171">VLOOKUP(A171,{Metrik!$C$2:$C$998,Metrik!$B$2:$B$998},2,0)</f>
        <v>Astra International Tbk</v>
      </c>
      <c r="C171" s="15">
        <f>IFERROR(__xludf.DUMMYFUNCTION("GOOGLEFINANCE(""IDX:""&amp;A171,""price"")"),4740.0)</f>
        <v>4740</v>
      </c>
      <c r="D171" s="16" t="str">
        <f>IFERROR(__xludf.DUMMYFUNCTION("IF(A171="""","""",
SPARKLINE(
INDEX(
GOOGLEFINANCE(""IDX:""&amp;A171,""close"",TODAY()-365,TODAY()),
,2
),
{""linewidth"",1}
))
"),"#N/A")</f>
        <v>#N/A</v>
      </c>
      <c r="E171" s="14" t="s">
        <v>84</v>
      </c>
      <c r="F171" s="17" t="s">
        <v>51</v>
      </c>
      <c r="G171" s="24">
        <f t="shared" si="1"/>
        <v>16</v>
      </c>
      <c r="H171" s="19">
        <f>VLOOKUP(A171,Metrik!$C$2:$Y$959,8,0)</f>
        <v>6.4</v>
      </c>
      <c r="I171" s="20">
        <f>VLOOKUP(A171,Metrik!$C$2:$Y$959,9,0)</f>
        <v>0.69</v>
      </c>
      <c r="J171" s="20">
        <f>VLOOKUP(A171,Metrik!$C$2:$Y$959,10,0)</f>
        <v>10.8</v>
      </c>
      <c r="K171" s="20">
        <f>VLOOKUP(A171,Metrik!$C$2:$Y$959,11,0)</f>
        <v>6.1</v>
      </c>
      <c r="L171" s="20">
        <f>VLOOKUP(A171,Metrik!$C$2:$Y$959,12,0)</f>
        <v>0.77</v>
      </c>
      <c r="M171" s="20">
        <f>VLOOKUP(A171,Metrik!$C$2:$Y$959,19,0)</f>
        <v>40.3</v>
      </c>
      <c r="N171" s="21"/>
      <c r="O171" s="21"/>
      <c r="P171" s="21"/>
      <c r="Q171" s="21"/>
      <c r="R171" s="21"/>
      <c r="S171" s="21"/>
      <c r="T171" s="21"/>
      <c r="U171" s="22">
        <f>IFERROR(__xludf.DUMMYFUNCTION("IFERROR(GOOGLEFINANCE(A171,""closeyest""),"""")"),0.0)</f>
        <v>0</v>
      </c>
      <c r="V171" s="23">
        <f>IFERROR(__xludf.DUMMYFUNCTION("IFERROR(GOOGLEFINANCE(A171,""changepct""),"""")"),0.0)</f>
        <v>0</v>
      </c>
      <c r="W171" s="22">
        <f>IFERROR(__xludf.DUMMYFUNCTION("IFERROR(GOOGLEFINANCE(A171,""priceopen""),"""")"),0.0)</f>
        <v>0</v>
      </c>
      <c r="X171" s="22">
        <f>IFERROR(__xludf.DUMMYFUNCTION("IFERROR(GOOGLEFINANCE(A171,""high""),"""")"),0.0)</f>
        <v>0</v>
      </c>
      <c r="Y171" s="22">
        <f>IFERROR(__xludf.DUMMYFUNCTION("IFERROR(GOOGLEFINANCE(A171,""low""),"""")"),0.0)</f>
        <v>0</v>
      </c>
      <c r="Z171" s="22">
        <f>IFERROR(__xludf.DUMMYFUNCTION("IFERROR(GOOGLEFINANCE(A171,""volume""),"""")"),4632235.0)</f>
        <v>4632235</v>
      </c>
      <c r="AA171" s="24" t="str">
        <f>VLOOKUP(A171,Metrik!$C$2:$Y$959,5,0)</f>
        <v>Multi-sector Holdings</v>
      </c>
      <c r="AB171" s="24" t="str">
        <f>VLOOKUP(A171,Metrik!$C$2:$Y$959,3,0)</f>
        <v>Industrials</v>
      </c>
    </row>
    <row r="172">
      <c r="A172" s="14" t="s">
        <v>127</v>
      </c>
      <c r="B172" s="14" t="str">
        <f t="array" ref="B172">VLOOKUP(A172,{Metrik!$C$2:$C$998,Metrik!$B$2:$B$998},2,0)</f>
        <v>Astra International Tbk</v>
      </c>
      <c r="C172" s="15">
        <f>IFERROR(__xludf.DUMMYFUNCTION("GOOGLEFINANCE(""IDX:""&amp;A172,""price"")"),4740.0)</f>
        <v>4740</v>
      </c>
      <c r="D172" s="16" t="str">
        <f>IFERROR(__xludf.DUMMYFUNCTION("IF(A172="""","""",
SPARKLINE(
INDEX(
GOOGLEFINANCE(""IDX:""&amp;A172,""close"",TODAY()-365,TODAY()),
,2
),
{""linewidth"",1}
))
"),"#N/A")</f>
        <v>#N/A</v>
      </c>
      <c r="E172" s="14" t="s">
        <v>31</v>
      </c>
      <c r="F172" s="17" t="s">
        <v>29</v>
      </c>
      <c r="G172" s="24">
        <f t="shared" si="1"/>
        <v>16</v>
      </c>
      <c r="H172" s="19">
        <f>VLOOKUP(A172,Metrik!$C$2:$Y$959,8,0)</f>
        <v>6.4</v>
      </c>
      <c r="I172" s="20">
        <f>VLOOKUP(A172,Metrik!$C$2:$Y$959,9,0)</f>
        <v>0.69</v>
      </c>
      <c r="J172" s="20">
        <f>VLOOKUP(A172,Metrik!$C$2:$Y$959,10,0)</f>
        <v>10.8</v>
      </c>
      <c r="K172" s="20">
        <f>VLOOKUP(A172,Metrik!$C$2:$Y$959,11,0)</f>
        <v>6.1</v>
      </c>
      <c r="L172" s="20">
        <f>VLOOKUP(A172,Metrik!$C$2:$Y$959,12,0)</f>
        <v>0.77</v>
      </c>
      <c r="M172" s="20">
        <f>VLOOKUP(A172,Metrik!$C$2:$Y$959,19,0)</f>
        <v>40.3</v>
      </c>
      <c r="N172" s="21"/>
      <c r="O172" s="21"/>
      <c r="P172" s="21"/>
      <c r="Q172" s="21"/>
      <c r="R172" s="21"/>
      <c r="S172" s="21"/>
      <c r="T172" s="21"/>
      <c r="U172" s="22">
        <f>IFERROR(__xludf.DUMMYFUNCTION("IFERROR(GOOGLEFINANCE(A172,""closeyest""),"""")"),0.0)</f>
        <v>0</v>
      </c>
      <c r="V172" s="23">
        <f>IFERROR(__xludf.DUMMYFUNCTION("IFERROR(GOOGLEFINANCE(A172,""changepct""),"""")"),0.0)</f>
        <v>0</v>
      </c>
      <c r="W172" s="22">
        <f>IFERROR(__xludf.DUMMYFUNCTION("IFERROR(GOOGLEFINANCE(A172,""priceopen""),"""")"),0.0)</f>
        <v>0</v>
      </c>
      <c r="X172" s="22">
        <f>IFERROR(__xludf.DUMMYFUNCTION("IFERROR(GOOGLEFINANCE(A172,""high""),"""")"),0.0)</f>
        <v>0</v>
      </c>
      <c r="Y172" s="22">
        <f>IFERROR(__xludf.DUMMYFUNCTION("IFERROR(GOOGLEFINANCE(A172,""low""),"""")"),0.0)</f>
        <v>0</v>
      </c>
      <c r="Z172" s="22">
        <f>IFERROR(__xludf.DUMMYFUNCTION("IFERROR(GOOGLEFINANCE(A172,""volume""),"""")"),4632235.0)</f>
        <v>4632235</v>
      </c>
      <c r="AA172" s="24" t="str">
        <f>VLOOKUP(A172,Metrik!$C$2:$Y$959,5,0)</f>
        <v>Multi-sector Holdings</v>
      </c>
      <c r="AB172" s="24" t="str">
        <f>VLOOKUP(A172,Metrik!$C$2:$Y$959,3,0)</f>
        <v>Industrials</v>
      </c>
    </row>
    <row r="173">
      <c r="A173" s="14" t="s">
        <v>127</v>
      </c>
      <c r="B173" s="14" t="str">
        <f t="array" ref="B173">VLOOKUP(A173,{Metrik!$C$2:$C$998,Metrik!$B$2:$B$998},2,0)</f>
        <v>Astra International Tbk</v>
      </c>
      <c r="C173" s="15">
        <f>IFERROR(__xludf.DUMMYFUNCTION("GOOGLEFINANCE(""IDX:""&amp;A173,""price"")"),4740.0)</f>
        <v>4740</v>
      </c>
      <c r="D173" s="16" t="str">
        <f>IFERROR(__xludf.DUMMYFUNCTION("IF(A173="""","""",
SPARKLINE(
INDEX(
GOOGLEFINANCE(""IDX:""&amp;A173,""close"",TODAY()-365,TODAY()),
,2
),
{""linewidth"",1}
))
"),"#N/A")</f>
        <v>#N/A</v>
      </c>
      <c r="E173" s="14" t="s">
        <v>102</v>
      </c>
      <c r="F173" s="27" t="s">
        <v>53</v>
      </c>
      <c r="G173" s="24">
        <f t="shared" si="1"/>
        <v>16</v>
      </c>
      <c r="H173" s="19">
        <f>VLOOKUP(A173,Metrik!$C$2:$Y$959,8,0)</f>
        <v>6.4</v>
      </c>
      <c r="I173" s="20">
        <f>VLOOKUP(A173,Metrik!$C$2:$Y$959,9,0)</f>
        <v>0.69</v>
      </c>
      <c r="J173" s="20">
        <f>VLOOKUP(A173,Metrik!$C$2:$Y$959,10,0)</f>
        <v>10.8</v>
      </c>
      <c r="K173" s="20">
        <f>VLOOKUP(A173,Metrik!$C$2:$Y$959,11,0)</f>
        <v>6.1</v>
      </c>
      <c r="L173" s="20">
        <f>VLOOKUP(A173,Metrik!$C$2:$Y$959,12,0)</f>
        <v>0.77</v>
      </c>
      <c r="M173" s="20">
        <f>VLOOKUP(A173,Metrik!$C$2:$Y$959,19,0)</f>
        <v>40.3</v>
      </c>
      <c r="N173" s="21"/>
      <c r="O173" s="21"/>
      <c r="P173" s="21"/>
      <c r="Q173" s="21"/>
      <c r="R173" s="21"/>
      <c r="S173" s="21"/>
      <c r="T173" s="21"/>
      <c r="U173" s="22">
        <f>IFERROR(__xludf.DUMMYFUNCTION("IFERROR(GOOGLEFINANCE(A173,""closeyest""),"""")"),0.0)</f>
        <v>0</v>
      </c>
      <c r="V173" s="23">
        <f>IFERROR(__xludf.DUMMYFUNCTION("IFERROR(GOOGLEFINANCE(A173,""changepct""),"""")"),0.0)</f>
        <v>0</v>
      </c>
      <c r="W173" s="22">
        <f>IFERROR(__xludf.DUMMYFUNCTION("IFERROR(GOOGLEFINANCE(A173,""priceopen""),"""")"),0.0)</f>
        <v>0</v>
      </c>
      <c r="X173" s="22">
        <f>IFERROR(__xludf.DUMMYFUNCTION("IFERROR(GOOGLEFINANCE(A173,""high""),"""")"),0.0)</f>
        <v>0</v>
      </c>
      <c r="Y173" s="22">
        <f>IFERROR(__xludf.DUMMYFUNCTION("IFERROR(GOOGLEFINANCE(A173,""low""),"""")"),0.0)</f>
        <v>0</v>
      </c>
      <c r="Z173" s="22">
        <f>IFERROR(__xludf.DUMMYFUNCTION("IFERROR(GOOGLEFINANCE(A173,""volume""),"""")"),4632235.0)</f>
        <v>4632235</v>
      </c>
      <c r="AA173" s="24" t="str">
        <f>VLOOKUP(A173,Metrik!$C$2:$Y$959,5,0)</f>
        <v>Multi-sector Holdings</v>
      </c>
      <c r="AB173" s="24" t="str">
        <f>VLOOKUP(A173,Metrik!$C$2:$Y$959,3,0)</f>
        <v>Industrials</v>
      </c>
    </row>
    <row r="174">
      <c r="A174" s="14" t="s">
        <v>127</v>
      </c>
      <c r="B174" s="14" t="str">
        <f t="array" ref="B174">VLOOKUP(A174,{Metrik!$C$2:$C$998,Metrik!$B$2:$B$998},2,0)</f>
        <v>Astra International Tbk</v>
      </c>
      <c r="C174" s="15">
        <f>IFERROR(__xludf.DUMMYFUNCTION("GOOGLEFINANCE(""IDX:""&amp;A174,""price"")"),4740.0)</f>
        <v>4740</v>
      </c>
      <c r="D174" s="16" t="str">
        <f>IFERROR(__xludf.DUMMYFUNCTION("IF(A174="""","""",
SPARKLINE(
INDEX(
GOOGLEFINANCE(""IDX:""&amp;A174,""close"",TODAY()-365,TODAY()),
,2
),
{""linewidth"",1}
))
"),"#N/A")</f>
        <v>#N/A</v>
      </c>
      <c r="E174" s="14" t="s">
        <v>33</v>
      </c>
      <c r="F174" s="14" t="s">
        <v>34</v>
      </c>
      <c r="G174" s="24">
        <f t="shared" si="1"/>
        <v>16</v>
      </c>
      <c r="H174" s="19">
        <f>VLOOKUP(A174,Metrik!$C$2:$Y$959,8,0)</f>
        <v>6.4</v>
      </c>
      <c r="I174" s="20">
        <f>VLOOKUP(A174,Metrik!$C$2:$Y$959,9,0)</f>
        <v>0.69</v>
      </c>
      <c r="J174" s="20">
        <f>VLOOKUP(A174,Metrik!$C$2:$Y$959,10,0)</f>
        <v>10.8</v>
      </c>
      <c r="K174" s="20">
        <f>VLOOKUP(A174,Metrik!$C$2:$Y$959,11,0)</f>
        <v>6.1</v>
      </c>
      <c r="L174" s="20">
        <f>VLOOKUP(A174,Metrik!$C$2:$Y$959,12,0)</f>
        <v>0.77</v>
      </c>
      <c r="M174" s="20">
        <f>VLOOKUP(A174,Metrik!$C$2:$Y$959,19,0)</f>
        <v>40.3</v>
      </c>
      <c r="N174" s="21"/>
      <c r="O174" s="21"/>
      <c r="P174" s="21"/>
      <c r="Q174" s="21"/>
      <c r="R174" s="21"/>
      <c r="S174" s="21"/>
      <c r="T174" s="21"/>
      <c r="U174" s="22">
        <f>IFERROR(__xludf.DUMMYFUNCTION("IFERROR(GOOGLEFINANCE(A174,""closeyest""),"""")"),0.0)</f>
        <v>0</v>
      </c>
      <c r="V174" s="23">
        <f>IFERROR(__xludf.DUMMYFUNCTION("IFERROR(GOOGLEFINANCE(A174,""changepct""),"""")"),0.0)</f>
        <v>0</v>
      </c>
      <c r="W174" s="22">
        <f>IFERROR(__xludf.DUMMYFUNCTION("IFERROR(GOOGLEFINANCE(A174,""priceopen""),"""")"),0.0)</f>
        <v>0</v>
      </c>
      <c r="X174" s="22">
        <f>IFERROR(__xludf.DUMMYFUNCTION("IFERROR(GOOGLEFINANCE(A174,""high""),"""")"),0.0)</f>
        <v>0</v>
      </c>
      <c r="Y174" s="22">
        <f>IFERROR(__xludf.DUMMYFUNCTION("IFERROR(GOOGLEFINANCE(A174,""low""),"""")"),0.0)</f>
        <v>0</v>
      </c>
      <c r="Z174" s="22">
        <f>IFERROR(__xludf.DUMMYFUNCTION("IFERROR(GOOGLEFINANCE(A174,""volume""),"""")"),4632235.0)</f>
        <v>4632235</v>
      </c>
      <c r="AA174" s="24" t="str">
        <f>VLOOKUP(A174,Metrik!$C$2:$Y$959,5,0)</f>
        <v>Multi-sector Holdings</v>
      </c>
      <c r="AB174" s="24" t="str">
        <f>VLOOKUP(A174,Metrik!$C$2:$Y$959,3,0)</f>
        <v>Industrials</v>
      </c>
    </row>
    <row r="175">
      <c r="A175" s="17" t="s">
        <v>127</v>
      </c>
      <c r="B175" s="14" t="str">
        <f t="array" ref="B175">VLOOKUP(A175,{Metrik!$C$2:$C$998,Metrik!$B$2:$B$998},2,0)</f>
        <v>Astra International Tbk</v>
      </c>
      <c r="C175" s="15">
        <f>IFERROR(__xludf.DUMMYFUNCTION("GOOGLEFINANCE(""IDX:""&amp;A175,""price"")"),4740.0)</f>
        <v>4740</v>
      </c>
      <c r="D175" s="16" t="str">
        <f>IFERROR(__xludf.DUMMYFUNCTION("IF(A175="""","""",
SPARKLINE(
INDEX(
GOOGLEFINANCE(""IDX:""&amp;A175,""close"",TODAY()-365,TODAY()),
,2
),
{""linewidth"",1}
))
"),"#N/A")</f>
        <v>#N/A</v>
      </c>
      <c r="E175" s="17" t="s">
        <v>69</v>
      </c>
      <c r="F175" s="17" t="s">
        <v>70</v>
      </c>
      <c r="G175" s="24">
        <f t="shared" si="1"/>
        <v>16</v>
      </c>
      <c r="H175" s="19">
        <f>VLOOKUP(A175,Metrik!$C$2:$Y$959,8,0)</f>
        <v>6.4</v>
      </c>
      <c r="I175" s="20">
        <f>VLOOKUP(A175,Metrik!$C$2:$Y$959,9,0)</f>
        <v>0.69</v>
      </c>
      <c r="J175" s="20">
        <f>VLOOKUP(A175,Metrik!$C$2:$Y$959,10,0)</f>
        <v>10.8</v>
      </c>
      <c r="K175" s="20">
        <f>VLOOKUP(A175,Metrik!$C$2:$Y$959,11,0)</f>
        <v>6.1</v>
      </c>
      <c r="L175" s="20">
        <f>VLOOKUP(A175,Metrik!$C$2:$Y$959,12,0)</f>
        <v>0.77</v>
      </c>
      <c r="M175" s="20">
        <f>VLOOKUP(A175,Metrik!$C$2:$Y$959,19,0)</f>
        <v>40.3</v>
      </c>
      <c r="N175" s="21"/>
      <c r="O175" s="21"/>
      <c r="P175" s="21"/>
      <c r="Q175" s="21"/>
      <c r="R175" s="21"/>
      <c r="S175" s="21"/>
      <c r="T175" s="21"/>
      <c r="U175" s="22">
        <f>IFERROR(__xludf.DUMMYFUNCTION("IFERROR(GOOGLEFINANCE(A175,""closeyest""),"""")"),0.0)</f>
        <v>0</v>
      </c>
      <c r="V175" s="23">
        <f>IFERROR(__xludf.DUMMYFUNCTION("IFERROR(GOOGLEFINANCE(A175,""changepct""),"""")"),0.0)</f>
        <v>0</v>
      </c>
      <c r="W175" s="22">
        <f>IFERROR(__xludf.DUMMYFUNCTION("IFERROR(GOOGLEFINANCE(A175,""priceopen""),"""")"),0.0)</f>
        <v>0</v>
      </c>
      <c r="X175" s="22">
        <f>IFERROR(__xludf.DUMMYFUNCTION("IFERROR(GOOGLEFINANCE(A175,""high""),"""")"),0.0)</f>
        <v>0</v>
      </c>
      <c r="Y175" s="22">
        <f>IFERROR(__xludf.DUMMYFUNCTION("IFERROR(GOOGLEFINANCE(A175,""low""),"""")"),0.0)</f>
        <v>0</v>
      </c>
      <c r="Z175" s="22">
        <f>IFERROR(__xludf.DUMMYFUNCTION("IFERROR(GOOGLEFINANCE(A175,""volume""),"""")"),4632235.0)</f>
        <v>4632235</v>
      </c>
      <c r="AA175" s="24" t="str">
        <f>VLOOKUP(A175,Metrik!$C$2:$Y$959,5,0)</f>
        <v>Multi-sector Holdings</v>
      </c>
      <c r="AB175" s="24" t="str">
        <f>VLOOKUP(A175,Metrik!$C$2:$Y$959,3,0)</f>
        <v>Industrials</v>
      </c>
    </row>
    <row r="176">
      <c r="A176" s="14" t="s">
        <v>127</v>
      </c>
      <c r="B176" s="14" t="str">
        <f t="array" ref="B176">VLOOKUP(A176,{Metrik!$C$2:$C$998,Metrik!$B$2:$B$998},2,0)</f>
        <v>Astra International Tbk</v>
      </c>
      <c r="C176" s="15">
        <f>IFERROR(__xludf.DUMMYFUNCTION("GOOGLEFINANCE(""IDX:""&amp;A176,""price"")"),4740.0)</f>
        <v>4740</v>
      </c>
      <c r="D176" s="16" t="str">
        <f>IFERROR(__xludf.DUMMYFUNCTION("IF(A176="""","""",
SPARKLINE(
INDEX(
GOOGLEFINANCE(""IDX:""&amp;A176,""close"",TODAY()-365,TODAY()),
,2
),
{""linewidth"",1}
))
"),"#N/A")</f>
        <v>#N/A</v>
      </c>
      <c r="E176" s="14" t="s">
        <v>55</v>
      </c>
      <c r="F176" s="25">
        <v>46356.0</v>
      </c>
      <c r="G176" s="24">
        <f t="shared" si="1"/>
        <v>16</v>
      </c>
      <c r="H176" s="19">
        <f>VLOOKUP(A176,Metrik!$C$2:$Y$959,8,0)</f>
        <v>6.4</v>
      </c>
      <c r="I176" s="20">
        <f>VLOOKUP(A176,Metrik!$C$2:$Y$959,9,0)</f>
        <v>0.69</v>
      </c>
      <c r="J176" s="20">
        <f>VLOOKUP(A176,Metrik!$C$2:$Y$959,10,0)</f>
        <v>10.8</v>
      </c>
      <c r="K176" s="20">
        <f>VLOOKUP(A176,Metrik!$C$2:$Y$959,11,0)</f>
        <v>6.1</v>
      </c>
      <c r="L176" s="20">
        <f>VLOOKUP(A176,Metrik!$C$2:$Y$959,12,0)</f>
        <v>0.77</v>
      </c>
      <c r="M176" s="20">
        <f>VLOOKUP(A176,Metrik!$C$2:$Y$959,19,0)</f>
        <v>40.3</v>
      </c>
      <c r="N176" s="21"/>
      <c r="O176" s="21"/>
      <c r="P176" s="21"/>
      <c r="Q176" s="21"/>
      <c r="R176" s="21"/>
      <c r="S176" s="21"/>
      <c r="T176" s="21"/>
      <c r="U176" s="22">
        <f>IFERROR(__xludf.DUMMYFUNCTION("IFERROR(GOOGLEFINANCE(A176,""closeyest""),"""")"),0.0)</f>
        <v>0</v>
      </c>
      <c r="V176" s="23">
        <f>IFERROR(__xludf.DUMMYFUNCTION("IFERROR(GOOGLEFINANCE(A176,""changepct""),"""")"),0.0)</f>
        <v>0</v>
      </c>
      <c r="W176" s="22">
        <f>IFERROR(__xludf.DUMMYFUNCTION("IFERROR(GOOGLEFINANCE(A176,""priceopen""),"""")"),0.0)</f>
        <v>0</v>
      </c>
      <c r="X176" s="22">
        <f>IFERROR(__xludf.DUMMYFUNCTION("IFERROR(GOOGLEFINANCE(A176,""high""),"""")"),0.0)</f>
        <v>0</v>
      </c>
      <c r="Y176" s="22">
        <f>IFERROR(__xludf.DUMMYFUNCTION("IFERROR(GOOGLEFINANCE(A176,""low""),"""")"),0.0)</f>
        <v>0</v>
      </c>
      <c r="Z176" s="22">
        <f>IFERROR(__xludf.DUMMYFUNCTION("IFERROR(GOOGLEFINANCE(A176,""volume""),"""")"),4632235.0)</f>
        <v>4632235</v>
      </c>
      <c r="AA176" s="24" t="str">
        <f>VLOOKUP(A176,Metrik!$C$2:$Y$959,5,0)</f>
        <v>Multi-sector Holdings</v>
      </c>
      <c r="AB176" s="24" t="str">
        <f>VLOOKUP(A176,Metrik!$C$2:$Y$959,3,0)</f>
        <v>Industrials</v>
      </c>
    </row>
    <row r="177">
      <c r="A177" s="14" t="s">
        <v>127</v>
      </c>
      <c r="B177" s="14" t="str">
        <f t="array" ref="B177">VLOOKUP(A177,{Metrik!$C$2:$C$998,Metrik!$B$2:$B$998},2,0)</f>
        <v>Astra International Tbk</v>
      </c>
      <c r="C177" s="15">
        <f>IFERROR(__xludf.DUMMYFUNCTION("GOOGLEFINANCE(""IDX:""&amp;A177,""price"")"),4740.0)</f>
        <v>4740</v>
      </c>
      <c r="D177" s="16" t="str">
        <f>IFERROR(__xludf.DUMMYFUNCTION("IF(A177="""","""",
SPARKLINE(
INDEX(
GOOGLEFINANCE(""IDX:""&amp;A177,""close"",TODAY()-365,TODAY()),
,2
),
{""linewidth"",1}
))
"),"#N/A")</f>
        <v>#N/A</v>
      </c>
      <c r="E177" s="14" t="s">
        <v>86</v>
      </c>
      <c r="F177" s="25">
        <v>46356.0</v>
      </c>
      <c r="G177" s="24">
        <f t="shared" si="1"/>
        <v>16</v>
      </c>
      <c r="H177" s="19">
        <f>VLOOKUP(A177,Metrik!$C$2:$Y$959,8,0)</f>
        <v>6.4</v>
      </c>
      <c r="I177" s="20">
        <f>VLOOKUP(A177,Metrik!$C$2:$Y$959,9,0)</f>
        <v>0.69</v>
      </c>
      <c r="J177" s="20">
        <f>VLOOKUP(A177,Metrik!$C$2:$Y$959,10,0)</f>
        <v>10.8</v>
      </c>
      <c r="K177" s="20">
        <f>VLOOKUP(A177,Metrik!$C$2:$Y$959,11,0)</f>
        <v>6.1</v>
      </c>
      <c r="L177" s="20">
        <f>VLOOKUP(A177,Metrik!$C$2:$Y$959,12,0)</f>
        <v>0.77</v>
      </c>
      <c r="M177" s="20">
        <f>VLOOKUP(A177,Metrik!$C$2:$Y$959,19,0)</f>
        <v>40.3</v>
      </c>
      <c r="N177" s="21"/>
      <c r="O177" s="21"/>
      <c r="P177" s="21"/>
      <c r="Q177" s="21"/>
      <c r="R177" s="21"/>
      <c r="S177" s="21"/>
      <c r="T177" s="21"/>
      <c r="U177" s="22">
        <f>IFERROR(__xludf.DUMMYFUNCTION("IFERROR(GOOGLEFINANCE(A177,""closeyest""),"""")"),0.0)</f>
        <v>0</v>
      </c>
      <c r="V177" s="23">
        <f>IFERROR(__xludf.DUMMYFUNCTION("IFERROR(GOOGLEFINANCE(A177,""changepct""),"""")"),0.0)</f>
        <v>0</v>
      </c>
      <c r="W177" s="22">
        <f>IFERROR(__xludf.DUMMYFUNCTION("IFERROR(GOOGLEFINANCE(A177,""priceopen""),"""")"),0.0)</f>
        <v>0</v>
      </c>
      <c r="X177" s="22">
        <f>IFERROR(__xludf.DUMMYFUNCTION("IFERROR(GOOGLEFINANCE(A177,""high""),"""")"),0.0)</f>
        <v>0</v>
      </c>
      <c r="Y177" s="22">
        <f>IFERROR(__xludf.DUMMYFUNCTION("IFERROR(GOOGLEFINANCE(A177,""low""),"""")"),0.0)</f>
        <v>0</v>
      </c>
      <c r="Z177" s="22">
        <f>IFERROR(__xludf.DUMMYFUNCTION("IFERROR(GOOGLEFINANCE(A177,""volume""),"""")"),4632235.0)</f>
        <v>4632235</v>
      </c>
      <c r="AA177" s="24" t="str">
        <f>VLOOKUP(A177,Metrik!$C$2:$Y$959,5,0)</f>
        <v>Multi-sector Holdings</v>
      </c>
      <c r="AB177" s="24" t="str">
        <f>VLOOKUP(A177,Metrik!$C$2:$Y$959,3,0)</f>
        <v>Industrials</v>
      </c>
    </row>
    <row r="178">
      <c r="A178" s="14" t="s">
        <v>127</v>
      </c>
      <c r="B178" s="14" t="str">
        <f t="array" ref="B178">VLOOKUP(A178,{Metrik!$C$2:$C$998,Metrik!$B$2:$B$998},2,0)</f>
        <v>Astra International Tbk</v>
      </c>
      <c r="C178" s="15">
        <f>IFERROR(__xludf.DUMMYFUNCTION("GOOGLEFINANCE(""IDX:""&amp;A178,""price"")"),4740.0)</f>
        <v>4740</v>
      </c>
      <c r="D178" s="16" t="str">
        <f>IFERROR(__xludf.DUMMYFUNCTION("IF(A178="""","""",
SPARKLINE(
INDEX(
GOOGLEFINANCE(""IDX:""&amp;A178,""close"",TODAY()-365,TODAY()),
,2
),
{""linewidth"",1}
))
"),"#N/A")</f>
        <v>#N/A</v>
      </c>
      <c r="E178" s="14" t="s">
        <v>42</v>
      </c>
      <c r="F178" s="25">
        <v>46356.0</v>
      </c>
      <c r="G178" s="24">
        <f t="shared" si="1"/>
        <v>16</v>
      </c>
      <c r="H178" s="19">
        <f>VLOOKUP(A178,Metrik!$C$2:$Y$959,8,0)</f>
        <v>6.4</v>
      </c>
      <c r="I178" s="20">
        <f>VLOOKUP(A178,Metrik!$C$2:$Y$959,9,0)</f>
        <v>0.69</v>
      </c>
      <c r="J178" s="20">
        <f>VLOOKUP(A178,Metrik!$C$2:$Y$959,10,0)</f>
        <v>10.8</v>
      </c>
      <c r="K178" s="20">
        <f>VLOOKUP(A178,Metrik!$C$2:$Y$959,11,0)</f>
        <v>6.1</v>
      </c>
      <c r="L178" s="20">
        <f>VLOOKUP(A178,Metrik!$C$2:$Y$959,12,0)</f>
        <v>0.77</v>
      </c>
      <c r="M178" s="20">
        <f>VLOOKUP(A178,Metrik!$C$2:$Y$959,19,0)</f>
        <v>40.3</v>
      </c>
      <c r="N178" s="21"/>
      <c r="O178" s="21"/>
      <c r="P178" s="21"/>
      <c r="Q178" s="21"/>
      <c r="R178" s="21"/>
      <c r="S178" s="21"/>
      <c r="T178" s="21"/>
      <c r="U178" s="22">
        <f>IFERROR(__xludf.DUMMYFUNCTION("IFERROR(GOOGLEFINANCE(A178,""closeyest""),"""")"),0.0)</f>
        <v>0</v>
      </c>
      <c r="V178" s="23">
        <f>IFERROR(__xludf.DUMMYFUNCTION("IFERROR(GOOGLEFINANCE(A178,""changepct""),"""")"),0.0)</f>
        <v>0</v>
      </c>
      <c r="W178" s="22">
        <f>IFERROR(__xludf.DUMMYFUNCTION("IFERROR(GOOGLEFINANCE(A178,""priceopen""),"""")"),0.0)</f>
        <v>0</v>
      </c>
      <c r="X178" s="22">
        <f>IFERROR(__xludf.DUMMYFUNCTION("IFERROR(GOOGLEFINANCE(A178,""high""),"""")"),0.0)</f>
        <v>0</v>
      </c>
      <c r="Y178" s="22">
        <f>IFERROR(__xludf.DUMMYFUNCTION("IFERROR(GOOGLEFINANCE(A178,""low""),"""")"),0.0)</f>
        <v>0</v>
      </c>
      <c r="Z178" s="22">
        <f>IFERROR(__xludf.DUMMYFUNCTION("IFERROR(GOOGLEFINANCE(A178,""volume""),"""")"),4632235.0)</f>
        <v>4632235</v>
      </c>
      <c r="AA178" s="24" t="str">
        <f>VLOOKUP(A178,Metrik!$C$2:$Y$959,5,0)</f>
        <v>Multi-sector Holdings</v>
      </c>
      <c r="AB178" s="24" t="str">
        <f>VLOOKUP(A178,Metrik!$C$2:$Y$959,3,0)</f>
        <v>Industrials</v>
      </c>
    </row>
    <row r="179">
      <c r="A179" s="14" t="s">
        <v>129</v>
      </c>
      <c r="B179" s="14" t="str">
        <f t="array" ref="B179">VLOOKUP(A179,{Metrik!$C$2:$C$998,Metrik!$B$2:$B$998},2,0)</f>
        <v>Asuransi Jasa Tania Tbk.</v>
      </c>
      <c r="C179" s="15">
        <f>IFERROR(__xludf.DUMMYFUNCTION("GOOGLEFINANCE(""IDX:""&amp;A179,""price"")"),155.0)</f>
        <v>155</v>
      </c>
      <c r="D179" s="16" t="str">
        <f>IFERROR(__xludf.DUMMYFUNCTION("IF(A179="""","""",
SPARKLINE(
INDEX(
GOOGLEFINANCE(""IDX:""&amp;A179,""close"",TODAY()-365,TODAY()),
,2
),
{""linewidth"",1}
))
"),"#N/A")</f>
        <v>#N/A</v>
      </c>
      <c r="E179" s="26"/>
      <c r="F179" s="26"/>
      <c r="G179" s="24">
        <f t="shared" si="1"/>
        <v>0</v>
      </c>
      <c r="H179" s="19">
        <f>VLOOKUP(A179,Metrik!$C$2:$Y$959,8,0)</f>
        <v>-54.6</v>
      </c>
      <c r="I179" s="20">
        <f>VLOOKUP(A179,Metrik!$C$2:$Y$959,9,0)</f>
        <v>0.77</v>
      </c>
      <c r="J179" s="20">
        <f>VLOOKUP(A179,Metrik!$C$2:$Y$959,10,0)</f>
        <v>-1.4</v>
      </c>
      <c r="K179" s="20">
        <f>VLOOKUP(A179,Metrik!$C$2:$Y$959,11,0)</f>
        <v>-0.8</v>
      </c>
      <c r="L179" s="20">
        <f>VLOOKUP(A179,Metrik!$C$2:$Y$959,12,0)</f>
        <v>0.76</v>
      </c>
      <c r="M179" s="20">
        <f>VLOOKUP(A179,Metrik!$C$2:$Y$959,19,0)</f>
        <v>-7.8</v>
      </c>
      <c r="N179" s="21"/>
      <c r="O179" s="21"/>
      <c r="P179" s="21"/>
      <c r="Q179" s="21"/>
      <c r="R179" s="21"/>
      <c r="S179" s="21"/>
      <c r="T179" s="21"/>
      <c r="U179" s="22">
        <f>IFERROR(__xludf.DUMMYFUNCTION("IFERROR(GOOGLEFINANCE(A179,""closeyest""),"""")"),141.0)</f>
        <v>141</v>
      </c>
      <c r="V179" s="23">
        <f>IFERROR(__xludf.DUMMYFUNCTION("IFERROR(GOOGLEFINANCE(A179,""changepct""),"""")"),9.93)</f>
        <v>9.93</v>
      </c>
      <c r="W179" s="22">
        <f>IFERROR(__xludf.DUMMYFUNCTION("IFERROR(GOOGLEFINANCE(A179,""priceopen""),"""")"),141.0)</f>
        <v>141</v>
      </c>
      <c r="X179" s="22">
        <f>IFERROR(__xludf.DUMMYFUNCTION("IFERROR(GOOGLEFINANCE(A179,""high""),"""")"),185.0)</f>
        <v>185</v>
      </c>
      <c r="Y179" s="22">
        <f>IFERROR(__xludf.DUMMYFUNCTION("IFERROR(GOOGLEFINANCE(A179,""low""),"""")"),140.0)</f>
        <v>140</v>
      </c>
      <c r="Z179" s="22">
        <f>IFERROR(__xludf.DUMMYFUNCTION("IFERROR(GOOGLEFINANCE(A179,""volume""),"""")"),807500.0)</f>
        <v>807500</v>
      </c>
      <c r="AA179" s="24" t="str">
        <f>VLOOKUP(A179,Metrik!$C$2:$Y$959,5,0)</f>
        <v>Insurance</v>
      </c>
      <c r="AB179" s="24" t="str">
        <f>VLOOKUP(A179,Metrik!$C$2:$Y$959,3,0)</f>
        <v>Financials</v>
      </c>
    </row>
    <row r="180">
      <c r="A180" s="14" t="s">
        <v>130</v>
      </c>
      <c r="B180" s="14" t="str">
        <f t="array" ref="B180">VLOOKUP(A180,{Metrik!$C$2:$C$998,Metrik!$B$2:$B$998},2,0)</f>
        <v>Autopedia Sukses Lestari Tbk.</v>
      </c>
      <c r="C180" s="15">
        <f>IFERROR(__xludf.DUMMYFUNCTION("GOOGLEFINANCE(""IDX:""&amp;A180,""price"")"),62.0)</f>
        <v>62</v>
      </c>
      <c r="D180" s="16" t="str">
        <f>IFERROR(__xludf.DUMMYFUNCTION("IF(A180="""","""",
SPARKLINE(
INDEX(
GOOGLEFINANCE(""IDX:""&amp;A180,""close"",TODAY()-365,TODAY()),
,2
),
{""linewidth"",1}
))
"),"#N/A")</f>
        <v>#N/A</v>
      </c>
      <c r="E180" s="26"/>
      <c r="F180" s="26"/>
      <c r="G180" s="24">
        <f t="shared" si="1"/>
        <v>0</v>
      </c>
      <c r="H180" s="19">
        <f>VLOOKUP(A180,Metrik!$C$2:$Y$959,8,0)</f>
        <v>22.8</v>
      </c>
      <c r="I180" s="20">
        <f>VLOOKUP(A180,Metrik!$C$2:$Y$959,9,0)</f>
        <v>1.1</v>
      </c>
      <c r="J180" s="20">
        <f>VLOOKUP(A180,Metrik!$C$2:$Y$959,10,0)</f>
        <v>4.7</v>
      </c>
      <c r="K180" s="20">
        <f>VLOOKUP(A180,Metrik!$C$2:$Y$959,11,0)</f>
        <v>4</v>
      </c>
      <c r="L180" s="20">
        <f>VLOOKUP(A180,Metrik!$C$2:$Y$959,12,0)</f>
        <v>0.16</v>
      </c>
      <c r="M180" s="20">
        <f>VLOOKUP(A180,Metrik!$C$2:$Y$959,19,0)</f>
        <v>13</v>
      </c>
      <c r="N180" s="21"/>
      <c r="O180" s="21"/>
      <c r="P180" s="21"/>
      <c r="Q180" s="21"/>
      <c r="R180" s="21"/>
      <c r="S180" s="21"/>
      <c r="T180" s="21"/>
      <c r="U180" s="22">
        <f>IFERROR(__xludf.DUMMYFUNCTION("IFERROR(GOOGLEFINANCE(A180,""closeyest""),"""")"),59.0)</f>
        <v>59</v>
      </c>
      <c r="V180" s="23">
        <f>IFERROR(__xludf.DUMMYFUNCTION("IFERROR(GOOGLEFINANCE(A180,""changepct""),"""")"),5.08)</f>
        <v>5.08</v>
      </c>
      <c r="W180" s="22">
        <f>IFERROR(__xludf.DUMMYFUNCTION("IFERROR(GOOGLEFINANCE(A180,""priceopen""),"""")"),58.0)</f>
        <v>58</v>
      </c>
      <c r="X180" s="22">
        <f>IFERROR(__xludf.DUMMYFUNCTION("IFERROR(GOOGLEFINANCE(A180,""high""),"""")"),62.0)</f>
        <v>62</v>
      </c>
      <c r="Y180" s="22">
        <f>IFERROR(__xludf.DUMMYFUNCTION("IFERROR(GOOGLEFINANCE(A180,""low""),"""")"),58.0)</f>
        <v>58</v>
      </c>
      <c r="Z180" s="22">
        <f>IFERROR(__xludf.DUMMYFUNCTION("IFERROR(GOOGLEFINANCE(A180,""volume""),"""")"),1.0115E7)</f>
        <v>10115000</v>
      </c>
      <c r="AA180" s="24" t="str">
        <f>VLOOKUP(A180,Metrik!$C$2:$Y$959,5,0)</f>
        <v>Specialty Retail</v>
      </c>
      <c r="AB180" s="24" t="str">
        <f>VLOOKUP(A180,Metrik!$C$2:$Y$959,3,0)</f>
        <v>Consumer Cyclicals</v>
      </c>
    </row>
    <row r="181">
      <c r="A181" s="14" t="s">
        <v>131</v>
      </c>
      <c r="B181" s="14" t="str">
        <f t="array" ref="B181">VLOOKUP(A181,{Metrik!$C$2:$C$998,Metrik!$B$2:$B$998},2,0)</f>
        <v>Asri Karya Lestari Tbk.</v>
      </c>
      <c r="C181" s="15">
        <f>IFERROR(__xludf.DUMMYFUNCTION("GOOGLEFINANCE(""IDX:""&amp;A181,""price"")"),214.0)</f>
        <v>214</v>
      </c>
      <c r="D181" s="16" t="str">
        <f>IFERROR(__xludf.DUMMYFUNCTION("IF(A181="""","""",
SPARKLINE(
INDEX(
GOOGLEFINANCE(""IDX:""&amp;A181,""close"",TODAY()-365,TODAY()),
,2
),
{""linewidth"",1}
))
"),"#N/A")</f>
        <v>#N/A</v>
      </c>
      <c r="E181" s="26"/>
      <c r="F181" s="26"/>
      <c r="G181" s="24">
        <f t="shared" si="1"/>
        <v>0</v>
      </c>
      <c r="H181" s="19">
        <f>VLOOKUP(A181,Metrik!$C$2:$Y$959,8,0)</f>
        <v>-13.6</v>
      </c>
      <c r="I181" s="20">
        <f>VLOOKUP(A181,Metrik!$C$2:$Y$959,9,0)</f>
        <v>4</v>
      </c>
      <c r="J181" s="20">
        <f>VLOOKUP(A181,Metrik!$C$2:$Y$959,10,0)</f>
        <v>-29.3</v>
      </c>
      <c r="K181" s="20">
        <f>VLOOKUP(A181,Metrik!$C$2:$Y$959,11,0)</f>
        <v>-26.8</v>
      </c>
      <c r="L181" s="20">
        <f>VLOOKUP(A181,Metrik!$C$2:$Y$959,12,0)</f>
        <v>0.1</v>
      </c>
      <c r="M181" s="20">
        <f>VLOOKUP(A181,Metrik!$C$2:$Y$959,19,0)</f>
        <v>-550</v>
      </c>
      <c r="N181" s="21"/>
      <c r="O181" s="21"/>
      <c r="P181" s="21"/>
      <c r="Q181" s="21"/>
      <c r="R181" s="21"/>
      <c r="S181" s="21"/>
      <c r="T181" s="21"/>
      <c r="U181" s="22">
        <f>IFERROR(__xludf.DUMMYFUNCTION("IFERROR(GOOGLEFINANCE(A181,""closeyest""),"""")"),18.7)</f>
        <v>18.7</v>
      </c>
      <c r="V181" s="23">
        <f>IFERROR(__xludf.DUMMYFUNCTION("IFERROR(GOOGLEFINANCE(A181,""changepct""),"""")"),0.21)</f>
        <v>0.21</v>
      </c>
      <c r="W181" s="22">
        <f>IFERROR(__xludf.DUMMYFUNCTION("IFERROR(GOOGLEFINANCE(A181,""priceopen""),"""")"),19.3)</f>
        <v>19.3</v>
      </c>
      <c r="X181" s="22">
        <f>IFERROR(__xludf.DUMMYFUNCTION("IFERROR(GOOGLEFINANCE(A181,""high""),"""")"),19.3)</f>
        <v>19.3</v>
      </c>
      <c r="Y181" s="22">
        <f>IFERROR(__xludf.DUMMYFUNCTION("IFERROR(GOOGLEFINANCE(A181,""low""),"""")"),18.5)</f>
        <v>18.5</v>
      </c>
      <c r="Z181" s="22" t="str">
        <f>IFERROR(__xludf.DUMMYFUNCTION("IFERROR(GOOGLEFINANCE(A181,""volume""),"""")"),"")</f>
        <v/>
      </c>
      <c r="AA181" s="24" t="str">
        <f>VLOOKUP(A181,Metrik!$C$2:$Y$959,5,0)</f>
        <v>Heavy Constructions &amp; Civil Engineering</v>
      </c>
      <c r="AB181" s="24" t="str">
        <f>VLOOKUP(A181,Metrik!$C$2:$Y$959,3,0)</f>
        <v>Infrastructures</v>
      </c>
    </row>
    <row r="182">
      <c r="A182" s="14" t="s">
        <v>132</v>
      </c>
      <c r="B182" s="14" t="str">
        <f t="array" ref="B182">VLOOKUP(A182,{Metrik!$C$2:$C$998,Metrik!$B$2:$B$998},2,0)</f>
        <v>Asuransi Maximus Graha Persada Tbk.</v>
      </c>
      <c r="C182" s="15">
        <f>IFERROR(__xludf.DUMMYFUNCTION("GOOGLEFINANCE(""IDX:""&amp;A182,""price"")"),15.0)</f>
        <v>15</v>
      </c>
      <c r="D182" s="16" t="str">
        <f>IFERROR(__xludf.DUMMYFUNCTION("IF(A182="""","""",
SPARKLINE(
INDEX(
GOOGLEFINANCE(""IDX:""&amp;A182,""close"",TODAY()-365,TODAY()),
,2
),
{""linewidth"",1}
))
"),"#N/A")</f>
        <v>#N/A</v>
      </c>
      <c r="E182" s="26"/>
      <c r="F182" s="26"/>
      <c r="G182" s="24">
        <f t="shared" si="1"/>
        <v>0</v>
      </c>
      <c r="H182" s="19">
        <f>VLOOKUP(A182,Metrik!$C$2:$Y$959,8,0)</f>
        <v>5.8</v>
      </c>
      <c r="I182" s="20">
        <f>VLOOKUP(A182,Metrik!$C$2:$Y$959,9,0)</f>
        <v>0.39</v>
      </c>
      <c r="J182" s="20">
        <f>VLOOKUP(A182,Metrik!$C$2:$Y$959,10,0)</f>
        <v>6.7</v>
      </c>
      <c r="K182" s="20">
        <f>VLOOKUP(A182,Metrik!$C$2:$Y$959,11,0)</f>
        <v>1.8</v>
      </c>
      <c r="L182" s="20">
        <f>VLOOKUP(A182,Metrik!$C$2:$Y$959,12,0)</f>
        <v>2.7</v>
      </c>
      <c r="M182" s="20">
        <f>VLOOKUP(A182,Metrik!$C$2:$Y$959,19,0)</f>
        <v>1.8</v>
      </c>
      <c r="N182" s="21"/>
      <c r="O182" s="21"/>
      <c r="P182" s="21"/>
      <c r="Q182" s="21"/>
      <c r="R182" s="21"/>
      <c r="S182" s="21"/>
      <c r="T182" s="21"/>
      <c r="U182" s="22">
        <f>IFERROR(__xludf.DUMMYFUNCTION("IFERROR(GOOGLEFINANCE(A182,""closeyest""),"""")"),14.0)</f>
        <v>14</v>
      </c>
      <c r="V182" s="23">
        <f>IFERROR(__xludf.DUMMYFUNCTION("IFERROR(GOOGLEFINANCE(A182,""changepct""),"""")"),7.14)</f>
        <v>7.14</v>
      </c>
      <c r="W182" s="22">
        <f>IFERROR(__xludf.DUMMYFUNCTION("IFERROR(GOOGLEFINANCE(A182,""priceopen""),"""")"),14.0)</f>
        <v>14</v>
      </c>
      <c r="X182" s="22">
        <f>IFERROR(__xludf.DUMMYFUNCTION("IFERROR(GOOGLEFINANCE(A182,""high""),"""")"),15.0)</f>
        <v>15</v>
      </c>
      <c r="Y182" s="22">
        <f>IFERROR(__xludf.DUMMYFUNCTION("IFERROR(GOOGLEFINANCE(A182,""low""),"""")"),14.0)</f>
        <v>14</v>
      </c>
      <c r="Z182" s="22">
        <f>IFERROR(__xludf.DUMMYFUNCTION("IFERROR(GOOGLEFINANCE(A182,""volume""),"""")"),3254400.0)</f>
        <v>3254400</v>
      </c>
      <c r="AA182" s="24" t="str">
        <f>VLOOKUP(A182,Metrik!$C$2:$Y$959,5,0)</f>
        <v>Insurance</v>
      </c>
      <c r="AB182" s="24" t="str">
        <f>VLOOKUP(A182,Metrik!$C$2:$Y$959,3,0)</f>
        <v>Financials</v>
      </c>
    </row>
    <row r="183">
      <c r="A183" s="14" t="s">
        <v>133</v>
      </c>
      <c r="B183" s="14" t="str">
        <f t="array" ref="B183">VLOOKUP(A183,{Metrik!$C$2:$C$998,Metrik!$B$2:$B$998},2,0)</f>
        <v>Andalan Sakti Primaindo Tbk.</v>
      </c>
      <c r="C183" s="15">
        <f>IFERROR(__xludf.DUMMYFUNCTION("GOOGLEFINANCE(""IDX:""&amp;A183,""price"")"),340.0)</f>
        <v>340</v>
      </c>
      <c r="D183" s="16" t="str">
        <f>IFERROR(__xludf.DUMMYFUNCTION("IF(A183="""","""",
SPARKLINE(
INDEX(
GOOGLEFINANCE(""IDX:""&amp;A183,""close"",TODAY()-365,TODAY()),
,2
),
{""linewidth"",1}
))
"),"#N/A")</f>
        <v>#N/A</v>
      </c>
      <c r="E183" s="26"/>
      <c r="F183" s="26"/>
      <c r="G183" s="24">
        <f t="shared" si="1"/>
        <v>0</v>
      </c>
      <c r="H183" s="19">
        <f>VLOOKUP(A183,Metrik!$C$2:$Y$959,8,0)</f>
        <v>-21.5</v>
      </c>
      <c r="I183" s="20">
        <f>VLOOKUP(A183,Metrik!$C$2:$Y$959,9,0)</f>
        <v>4.3</v>
      </c>
      <c r="J183" s="20">
        <f>VLOOKUP(A183,Metrik!$C$2:$Y$959,10,0)</f>
        <v>-20.2</v>
      </c>
      <c r="K183" s="20">
        <f>VLOOKUP(A183,Metrik!$C$2:$Y$959,11,0)</f>
        <v>-13.1</v>
      </c>
      <c r="L183" s="20">
        <f>VLOOKUP(A183,Metrik!$C$2:$Y$959,12,0)</f>
        <v>0.53</v>
      </c>
      <c r="M183" s="20">
        <f>VLOOKUP(A183,Metrik!$C$2:$Y$959,19,0)</f>
        <v>-460</v>
      </c>
      <c r="N183" s="21"/>
      <c r="O183" s="21"/>
      <c r="P183" s="21"/>
      <c r="Q183" s="21"/>
      <c r="R183" s="21"/>
      <c r="S183" s="21"/>
      <c r="T183" s="21"/>
      <c r="U183" s="22">
        <f>IFERROR(__xludf.DUMMYFUNCTION("IFERROR(GOOGLEFINANCE(A183,""closeyest""),"""")"),6.23)</f>
        <v>6.23</v>
      </c>
      <c r="V183" s="23">
        <f>IFERROR(__xludf.DUMMYFUNCTION("IFERROR(GOOGLEFINANCE(A183,""changepct""),"""")"),5.14)</f>
        <v>5.14</v>
      </c>
      <c r="W183" s="22">
        <f>IFERROR(__xludf.DUMMYFUNCTION("IFERROR(GOOGLEFINANCE(A183,""priceopen""),"""")"),6.3)</f>
        <v>6.3</v>
      </c>
      <c r="X183" s="22">
        <f>IFERROR(__xludf.DUMMYFUNCTION("IFERROR(GOOGLEFINANCE(A183,""high""),"""")"),6.84)</f>
        <v>6.84</v>
      </c>
      <c r="Y183" s="22">
        <f>IFERROR(__xludf.DUMMYFUNCTION("IFERROR(GOOGLEFINANCE(A183,""low""),"""")"),6.25)</f>
        <v>6.25</v>
      </c>
      <c r="Z183" s="22">
        <f>IFERROR(__xludf.DUMMYFUNCTION("IFERROR(GOOGLEFINANCE(A183,""volume""),"""")"),5160161.0)</f>
        <v>5160161</v>
      </c>
      <c r="AA183" s="24" t="str">
        <f>VLOOKUP(A183,Metrik!$C$2:$Y$959,5,0)</f>
        <v>Real Estate Management &amp; Development</v>
      </c>
      <c r="AB183" s="24" t="str">
        <f>VLOOKUP(A183,Metrik!$C$2:$Y$959,3,0)</f>
        <v>Properties &amp; Real Estate</v>
      </c>
    </row>
    <row r="184">
      <c r="A184" s="14" t="s">
        <v>134</v>
      </c>
      <c r="B184" s="14" t="str">
        <f t="array" ref="B184">VLOOKUP(A184,{Metrik!$C$2:$C$998,Metrik!$B$2:$B$998},2,0)</f>
        <v>Asia Pramulia Tbk.</v>
      </c>
      <c r="C184" s="15">
        <f>IFERROR(__xludf.DUMMYFUNCTION("GOOGLEFINANCE(""IDX:""&amp;A184,""price"")"),216.0)</f>
        <v>216</v>
      </c>
      <c r="D184" s="16" t="str">
        <f>IFERROR(__xludf.DUMMYFUNCTION("IF(A184="""","""",
SPARKLINE(
INDEX(
GOOGLEFINANCE(""IDX:""&amp;A184,""close"",TODAY()-365,TODAY()),
,2
),
{""linewidth"",1}
))
"),"#N/A")</f>
        <v>#N/A</v>
      </c>
      <c r="E184" s="26"/>
      <c r="F184" s="26"/>
      <c r="G184" s="24">
        <f t="shared" si="1"/>
        <v>0</v>
      </c>
      <c r="H184" s="19">
        <f>VLOOKUP(A184,Metrik!$C$2:$Y$959,8,0)</f>
        <v>56.4</v>
      </c>
      <c r="I184" s="20">
        <f>VLOOKUP(A184,Metrik!$C$2:$Y$959,9,0)</f>
        <v>2.7</v>
      </c>
      <c r="J184" s="20">
        <f>VLOOKUP(A184,Metrik!$C$2:$Y$959,10,0)</f>
        <v>4.7</v>
      </c>
      <c r="K184" s="20">
        <f>VLOOKUP(A184,Metrik!$C$2:$Y$959,11,0)</f>
        <v>2.5</v>
      </c>
      <c r="L184" s="20">
        <f>VLOOKUP(A184,Metrik!$C$2:$Y$959,12,0)</f>
        <v>0.92</v>
      </c>
      <c r="M184" s="20">
        <f>VLOOKUP(A184,Metrik!$C$2:$Y$959,19,0)</f>
        <v>11</v>
      </c>
      <c r="N184" s="21"/>
      <c r="O184" s="21"/>
      <c r="P184" s="21"/>
      <c r="Q184" s="21"/>
      <c r="R184" s="21"/>
      <c r="S184" s="21"/>
      <c r="T184" s="21"/>
      <c r="U184" s="22">
        <f>IFERROR(__xludf.DUMMYFUNCTION("IFERROR(GOOGLEFINANCE(A184,""closeyest""),"""")"),0.0)</f>
        <v>0</v>
      </c>
      <c r="V184" s="23">
        <f>IFERROR(__xludf.DUMMYFUNCTION("IFERROR(GOOGLEFINANCE(A184,""changepct""),"""")"),0.0)</f>
        <v>0</v>
      </c>
      <c r="W184" s="22" t="str">
        <f>IFERROR(__xludf.DUMMYFUNCTION("IFERROR(GOOGLEFINANCE(A184,""priceopen""),"""")"),"")</f>
        <v/>
      </c>
      <c r="X184" s="22" t="str">
        <f>IFERROR(__xludf.DUMMYFUNCTION("IFERROR(GOOGLEFINANCE(A184,""high""),"""")"),"")</f>
        <v/>
      </c>
      <c r="Y184" s="22" t="str">
        <f>IFERROR(__xludf.DUMMYFUNCTION("IFERROR(GOOGLEFINANCE(A184,""low""),"""")"),"")</f>
        <v/>
      </c>
      <c r="Z184" s="22">
        <f>IFERROR(__xludf.DUMMYFUNCTION("IFERROR(GOOGLEFINANCE(A184,""volume""),"""")"),0.0)</f>
        <v>0</v>
      </c>
      <c r="AA184" s="24" t="str">
        <f>VLOOKUP(A184,Metrik!$C$2:$Y$959,5,0)</f>
        <v>Containers &amp; Packaging</v>
      </c>
      <c r="AB184" s="24" t="str">
        <f>VLOOKUP(A184,Metrik!$C$2:$Y$959,3,0)</f>
        <v>Basic Materials</v>
      </c>
    </row>
    <row r="185">
      <c r="A185" s="14" t="s">
        <v>135</v>
      </c>
      <c r="B185" s="14" t="str">
        <f t="array" ref="B185">VLOOKUP(A185,{Metrik!$C$2:$C$998,Metrik!$B$2:$B$998},2,0)</f>
        <v>Alam Sutera Realty Tbk.</v>
      </c>
      <c r="C185" s="15">
        <f>IFERROR(__xludf.DUMMYFUNCTION("GOOGLEFINANCE(""IDX:""&amp;A185,""price"")"),111.0)</f>
        <v>111</v>
      </c>
      <c r="D185" s="16" t="str">
        <f>IFERROR(__xludf.DUMMYFUNCTION("IF(A185="""","""",
SPARKLINE(
INDEX(
GOOGLEFINANCE(""IDX:""&amp;A185,""close"",TODAY()-365,TODAY()),
,2
),
{""linewidth"",1}
))
"),"#N/A")</f>
        <v>#N/A</v>
      </c>
      <c r="E185" s="26"/>
      <c r="F185" s="26"/>
      <c r="G185" s="24">
        <f t="shared" si="1"/>
        <v>0</v>
      </c>
      <c r="H185" s="19">
        <f>VLOOKUP(A185,Metrik!$C$2:$Y$959,8,0)</f>
        <v>7.6</v>
      </c>
      <c r="I185" s="20">
        <f>VLOOKUP(A185,Metrik!$C$2:$Y$959,9,0)</f>
        <v>0.2</v>
      </c>
      <c r="J185" s="20">
        <f>VLOOKUP(A185,Metrik!$C$2:$Y$959,10,0)</f>
        <v>2.6</v>
      </c>
      <c r="K185" s="20">
        <f>VLOOKUP(A185,Metrik!$C$2:$Y$959,11,0)</f>
        <v>1.3</v>
      </c>
      <c r="L185" s="20">
        <f>VLOOKUP(A185,Metrik!$C$2:$Y$959,12,0)</f>
        <v>0.98</v>
      </c>
      <c r="M185" s="20">
        <f>VLOOKUP(A185,Metrik!$C$2:$Y$959,19,0)</f>
        <v>46.1</v>
      </c>
      <c r="N185" s="21"/>
      <c r="O185" s="21"/>
      <c r="P185" s="21"/>
      <c r="Q185" s="21"/>
      <c r="R185" s="21"/>
      <c r="S185" s="21"/>
      <c r="T185" s="21"/>
      <c r="U185" s="22">
        <f>IFERROR(__xludf.DUMMYFUNCTION("IFERROR(GOOGLEFINANCE(A185,""closeyest""),"""")"),107.0)</f>
        <v>107</v>
      </c>
      <c r="V185" s="23">
        <f>IFERROR(__xludf.DUMMYFUNCTION("IFERROR(GOOGLEFINANCE(A185,""changepct""),"""")"),3.74)</f>
        <v>3.74</v>
      </c>
      <c r="W185" s="22">
        <f>IFERROR(__xludf.DUMMYFUNCTION("IFERROR(GOOGLEFINANCE(A185,""priceopen""),"""")"),107.0)</f>
        <v>107</v>
      </c>
      <c r="X185" s="22">
        <f>IFERROR(__xludf.DUMMYFUNCTION("IFERROR(GOOGLEFINANCE(A185,""high""),"""")"),113.0)</f>
        <v>113</v>
      </c>
      <c r="Y185" s="22">
        <f>IFERROR(__xludf.DUMMYFUNCTION("IFERROR(GOOGLEFINANCE(A185,""low""),"""")"),107.0)</f>
        <v>107</v>
      </c>
      <c r="Z185" s="22">
        <f>IFERROR(__xludf.DUMMYFUNCTION("IFERROR(GOOGLEFINANCE(A185,""volume""),"""")"),6628600.0)</f>
        <v>6628600</v>
      </c>
      <c r="AA185" s="24" t="str">
        <f>VLOOKUP(A185,Metrik!$C$2:$Y$959,5,0)</f>
        <v>Real Estate Management &amp; Development</v>
      </c>
      <c r="AB185" s="24" t="str">
        <f>VLOOKUP(A185,Metrik!$C$2:$Y$959,3,0)</f>
        <v>Properties &amp; Real Estate</v>
      </c>
    </row>
    <row r="186">
      <c r="A186" s="14" t="s">
        <v>136</v>
      </c>
      <c r="B186" s="14" t="str">
        <f t="array" ref="B186">VLOOKUP(A186,{Metrik!$C$2:$C$998,Metrik!$B$2:$B$998},2,0)</f>
        <v>Asuransi Ramayana Tbk.</v>
      </c>
      <c r="C186" s="15">
        <f>IFERROR(__xludf.DUMMYFUNCTION("GOOGLEFINANCE(""IDX:""&amp;A186,""price"")"),240.0)</f>
        <v>240</v>
      </c>
      <c r="D186" s="16" t="str">
        <f>IFERROR(__xludf.DUMMYFUNCTION("IF(A186="""","""",
SPARKLINE(
INDEX(
GOOGLEFINANCE(""IDX:""&amp;A186,""close"",TODAY()-365,TODAY()),
,2
),
{""linewidth"",1}
))
"),"#N/A")</f>
        <v>#N/A</v>
      </c>
      <c r="E186" s="26"/>
      <c r="F186" s="26"/>
      <c r="G186" s="24">
        <f t="shared" si="1"/>
        <v>0</v>
      </c>
      <c r="H186" s="19">
        <f>VLOOKUP(A186,Metrik!$C$2:$Y$959,8,0)</f>
        <v>22</v>
      </c>
      <c r="I186" s="20">
        <f>VLOOKUP(A186,Metrik!$C$2:$Y$959,9,0)</f>
        <v>0.48</v>
      </c>
      <c r="J186" s="20">
        <f>VLOOKUP(A186,Metrik!$C$2:$Y$959,10,0)</f>
        <v>2.2</v>
      </c>
      <c r="K186" s="20">
        <f>VLOOKUP(A186,Metrik!$C$2:$Y$959,11,0)</f>
        <v>0.95</v>
      </c>
      <c r="L186" s="20">
        <f>VLOOKUP(A186,Metrik!$C$2:$Y$959,12,0)</f>
        <v>1.3</v>
      </c>
      <c r="M186" s="20">
        <f>VLOOKUP(A186,Metrik!$C$2:$Y$959,19,0)</f>
        <v>3.8</v>
      </c>
      <c r="N186" s="21"/>
      <c r="O186" s="21"/>
      <c r="P186" s="21"/>
      <c r="Q186" s="21"/>
      <c r="R186" s="21"/>
      <c r="S186" s="21"/>
      <c r="T186" s="21"/>
      <c r="U186" s="22">
        <f>IFERROR(__xludf.DUMMYFUNCTION("IFERROR(GOOGLEFINANCE(A186,""closeyest""),"""")"),240.0)</f>
        <v>240</v>
      </c>
      <c r="V186" s="23">
        <f>IFERROR(__xludf.DUMMYFUNCTION("IFERROR(GOOGLEFINANCE(A186,""changepct""),"""")"),0.0)</f>
        <v>0</v>
      </c>
      <c r="W186" s="22">
        <f>IFERROR(__xludf.DUMMYFUNCTION("IFERROR(GOOGLEFINANCE(A186,""priceopen""),"""")"),242.0)</f>
        <v>242</v>
      </c>
      <c r="X186" s="22">
        <f>IFERROR(__xludf.DUMMYFUNCTION("IFERROR(GOOGLEFINANCE(A186,""high""),"""")"),242.0)</f>
        <v>242</v>
      </c>
      <c r="Y186" s="22">
        <f>IFERROR(__xludf.DUMMYFUNCTION("IFERROR(GOOGLEFINANCE(A186,""low""),"""")"),240.0)</f>
        <v>240</v>
      </c>
      <c r="Z186" s="22">
        <f>IFERROR(__xludf.DUMMYFUNCTION("IFERROR(GOOGLEFINANCE(A186,""volume""),"""")"),19600.0)</f>
        <v>19600</v>
      </c>
      <c r="AA186" s="24" t="str">
        <f>VLOOKUP(A186,Metrik!$C$2:$Y$959,5,0)</f>
        <v>Insurance</v>
      </c>
      <c r="AB186" s="24" t="str">
        <f>VLOOKUP(A186,Metrik!$C$2:$Y$959,3,0)</f>
        <v>Financials</v>
      </c>
    </row>
    <row r="187">
      <c r="A187" s="14" t="s">
        <v>137</v>
      </c>
      <c r="B187" s="14" t="str">
        <f t="array" ref="B187">VLOOKUP(A187,{Metrik!$C$2:$C$998,Metrik!$B$2:$B$998},2,0)</f>
        <v>Adi Sarana Armada Tbk</v>
      </c>
      <c r="C187" s="15" t="str">
        <f>IFERROR(__xludf.DUMMYFUNCTION("GOOGLEFINANCE(""IDX:""&amp;A187,""price"")"),"#N/A")</f>
        <v>#N/A</v>
      </c>
      <c r="D187" s="16" t="str">
        <f>IFERROR(__xludf.DUMMYFUNCTION("IF(A187="""","""",
SPARKLINE(
INDEX(
GOOGLEFINANCE(""IDX:""&amp;A187,""close"",TODAY()-365,TODAY()),
,2
),
{""linewidth"",1}
))
"),"#N/A")</f>
        <v>#N/A</v>
      </c>
      <c r="E187" s="14" t="s">
        <v>47</v>
      </c>
      <c r="F187" s="25">
        <v>46356.0</v>
      </c>
      <c r="G187" s="24">
        <f t="shared" si="1"/>
        <v>3</v>
      </c>
      <c r="H187" s="19">
        <f>VLOOKUP(A187,Metrik!$C$2:$Y$959,8,0)</f>
        <v>5.7</v>
      </c>
      <c r="I187" s="20">
        <f>VLOOKUP(A187,Metrik!$C$2:$Y$959,9,0)</f>
        <v>0.7</v>
      </c>
      <c r="J187" s="20">
        <f>VLOOKUP(A187,Metrik!$C$2:$Y$959,10,0)</f>
        <v>12.2</v>
      </c>
      <c r="K187" s="20">
        <f>VLOOKUP(A187,Metrik!$C$2:$Y$959,11,0)</f>
        <v>4.7</v>
      </c>
      <c r="L187" s="20">
        <f>VLOOKUP(A187,Metrik!$C$2:$Y$959,12,0)</f>
        <v>1.6</v>
      </c>
      <c r="M187" s="20">
        <f>VLOOKUP(A187,Metrik!$C$2:$Y$959,19,0)</f>
        <v>26.9</v>
      </c>
      <c r="N187" s="21"/>
      <c r="O187" s="21"/>
      <c r="P187" s="21"/>
      <c r="Q187" s="21"/>
      <c r="R187" s="21"/>
      <c r="S187" s="21"/>
      <c r="T187" s="21"/>
      <c r="U187" s="22">
        <f>IFERROR(__xludf.DUMMYFUNCTION("IFERROR(GOOGLEFINANCE(A187,""closeyest""),"""")"),595.0)</f>
        <v>595</v>
      </c>
      <c r="V187" s="23">
        <f>IFERROR(__xludf.DUMMYFUNCTION("IFERROR(GOOGLEFINANCE(A187,""changepct""),"""")"),6.72)</f>
        <v>6.72</v>
      </c>
      <c r="W187" s="22" t="str">
        <f>IFERROR(__xludf.DUMMYFUNCTION("IFERROR(GOOGLEFINANCE(A187,""priceopen""),"""")"),"")</f>
        <v/>
      </c>
      <c r="X187" s="22">
        <f>IFERROR(__xludf.DUMMYFUNCTION("IFERROR(GOOGLEFINANCE(A187,""high""),"""")"),645.0)</f>
        <v>645</v>
      </c>
      <c r="Y187" s="22">
        <f>IFERROR(__xludf.DUMMYFUNCTION("IFERROR(GOOGLEFINANCE(A187,""low""),"""")"),600.0)</f>
        <v>600</v>
      </c>
      <c r="Z187" s="22">
        <f>IFERROR(__xludf.DUMMYFUNCTION("IFERROR(GOOGLEFINANCE(A187,""volume""),"""")"),1.31695E7)</f>
        <v>13169500</v>
      </c>
      <c r="AA187" s="24" t="str">
        <f>VLOOKUP(A187,Metrik!$C$2:$Y$959,5,0)</f>
        <v>Passenger Land Transportation</v>
      </c>
      <c r="AB187" s="24" t="str">
        <f>VLOOKUP(A187,Metrik!$C$2:$Y$959,3,0)</f>
        <v>Transportation &amp; Logistic</v>
      </c>
    </row>
    <row r="188">
      <c r="A188" s="14" t="s">
        <v>137</v>
      </c>
      <c r="B188" s="14" t="str">
        <f t="array" ref="B188">VLOOKUP(A188,{Metrik!$C$2:$C$998,Metrik!$B$2:$B$998},2,0)</f>
        <v>Adi Sarana Armada Tbk</v>
      </c>
      <c r="C188" s="15" t="str">
        <f>IFERROR(__xludf.DUMMYFUNCTION("GOOGLEFINANCE(""IDX:""&amp;A188,""price"")"),"#N/A")</f>
        <v>#N/A</v>
      </c>
      <c r="D188" s="16" t="str">
        <f>IFERROR(__xludf.DUMMYFUNCTION("IF(A188="""","""",
SPARKLINE(
INDEX(
GOOGLEFINANCE(""IDX:""&amp;A188,""close"",TODAY()-365,TODAY()),
,2
),
{""linewidth"",1}
))
"),"#N/A")</f>
        <v>#N/A</v>
      </c>
      <c r="E188" s="14" t="s">
        <v>41</v>
      </c>
      <c r="F188" s="14" t="s">
        <v>34</v>
      </c>
      <c r="G188" s="24">
        <f t="shared" si="1"/>
        <v>3</v>
      </c>
      <c r="H188" s="19">
        <f>VLOOKUP(A188,Metrik!$C$2:$Y$959,8,0)</f>
        <v>5.7</v>
      </c>
      <c r="I188" s="20">
        <f>VLOOKUP(A188,Metrik!$C$2:$Y$959,9,0)</f>
        <v>0.7</v>
      </c>
      <c r="J188" s="20">
        <f>VLOOKUP(A188,Metrik!$C$2:$Y$959,10,0)</f>
        <v>12.2</v>
      </c>
      <c r="K188" s="20">
        <f>VLOOKUP(A188,Metrik!$C$2:$Y$959,11,0)</f>
        <v>4.7</v>
      </c>
      <c r="L188" s="20">
        <f>VLOOKUP(A188,Metrik!$C$2:$Y$959,12,0)</f>
        <v>1.6</v>
      </c>
      <c r="M188" s="20">
        <f>VLOOKUP(A188,Metrik!$C$2:$Y$959,19,0)</f>
        <v>26.9</v>
      </c>
      <c r="N188" s="21"/>
      <c r="O188" s="21"/>
      <c r="P188" s="21"/>
      <c r="Q188" s="21"/>
      <c r="R188" s="21"/>
      <c r="S188" s="21"/>
      <c r="T188" s="21"/>
      <c r="U188" s="22">
        <f>IFERROR(__xludf.DUMMYFUNCTION("IFERROR(GOOGLEFINANCE(A188,""closeyest""),"""")"),595.0)</f>
        <v>595</v>
      </c>
      <c r="V188" s="23">
        <f>IFERROR(__xludf.DUMMYFUNCTION("IFERROR(GOOGLEFINANCE(A188,""changepct""),"""")"),6.72)</f>
        <v>6.72</v>
      </c>
      <c r="W188" s="22" t="str">
        <f>IFERROR(__xludf.DUMMYFUNCTION("IFERROR(GOOGLEFINANCE(A188,""priceopen""),"""")"),"")</f>
        <v/>
      </c>
      <c r="X188" s="22">
        <f>IFERROR(__xludf.DUMMYFUNCTION("IFERROR(GOOGLEFINANCE(A188,""high""),"""")"),645.0)</f>
        <v>645</v>
      </c>
      <c r="Y188" s="22">
        <f>IFERROR(__xludf.DUMMYFUNCTION("IFERROR(GOOGLEFINANCE(A188,""low""),"""")"),600.0)</f>
        <v>600</v>
      </c>
      <c r="Z188" s="22">
        <f>IFERROR(__xludf.DUMMYFUNCTION("IFERROR(GOOGLEFINANCE(A188,""volume""),"""")"),1.31695E7)</f>
        <v>13169500</v>
      </c>
      <c r="AA188" s="24" t="str">
        <f>VLOOKUP(A188,Metrik!$C$2:$Y$959,5,0)</f>
        <v>Passenger Land Transportation</v>
      </c>
      <c r="AB188" s="24" t="str">
        <f>VLOOKUP(A188,Metrik!$C$2:$Y$959,3,0)</f>
        <v>Transportation &amp; Logistic</v>
      </c>
    </row>
    <row r="189">
      <c r="A189" s="14" t="s">
        <v>137</v>
      </c>
      <c r="B189" s="14" t="str">
        <f t="array" ref="B189">VLOOKUP(A189,{Metrik!$C$2:$C$998,Metrik!$B$2:$B$998},2,0)</f>
        <v>Adi Sarana Armada Tbk</v>
      </c>
      <c r="C189" s="15" t="str">
        <f>IFERROR(__xludf.DUMMYFUNCTION("GOOGLEFINANCE(""IDX:""&amp;A189,""price"")"),"#N/A")</f>
        <v>#N/A</v>
      </c>
      <c r="D189" s="16" t="str">
        <f>IFERROR(__xludf.DUMMYFUNCTION("IF(A189="""","""",
SPARKLINE(
INDEX(
GOOGLEFINANCE(""IDX:""&amp;A189,""close"",TODAY()-365,TODAY()),
,2
),
{""linewidth"",1}
))
"),"#N/A")</f>
        <v>#N/A</v>
      </c>
      <c r="E189" s="14" t="s">
        <v>55</v>
      </c>
      <c r="F189" s="25">
        <v>46356.0</v>
      </c>
      <c r="G189" s="24">
        <f t="shared" si="1"/>
        <v>3</v>
      </c>
      <c r="H189" s="19">
        <f>VLOOKUP(A189,Metrik!$C$2:$Y$959,8,0)</f>
        <v>5.7</v>
      </c>
      <c r="I189" s="20">
        <f>VLOOKUP(A189,Metrik!$C$2:$Y$959,9,0)</f>
        <v>0.7</v>
      </c>
      <c r="J189" s="20">
        <f>VLOOKUP(A189,Metrik!$C$2:$Y$959,10,0)</f>
        <v>12.2</v>
      </c>
      <c r="K189" s="20">
        <f>VLOOKUP(A189,Metrik!$C$2:$Y$959,11,0)</f>
        <v>4.7</v>
      </c>
      <c r="L189" s="20">
        <f>VLOOKUP(A189,Metrik!$C$2:$Y$959,12,0)</f>
        <v>1.6</v>
      </c>
      <c r="M189" s="20">
        <f>VLOOKUP(A189,Metrik!$C$2:$Y$959,19,0)</f>
        <v>26.9</v>
      </c>
      <c r="N189" s="21"/>
      <c r="O189" s="21"/>
      <c r="P189" s="21"/>
      <c r="Q189" s="21"/>
      <c r="R189" s="21"/>
      <c r="S189" s="21"/>
      <c r="T189" s="21"/>
      <c r="U189" s="22">
        <f>IFERROR(__xludf.DUMMYFUNCTION("IFERROR(GOOGLEFINANCE(A189,""closeyest""),"""")"),595.0)</f>
        <v>595</v>
      </c>
      <c r="V189" s="23">
        <f>IFERROR(__xludf.DUMMYFUNCTION("IFERROR(GOOGLEFINANCE(A189,""changepct""),"""")"),6.72)</f>
        <v>6.72</v>
      </c>
      <c r="W189" s="22" t="str">
        <f>IFERROR(__xludf.DUMMYFUNCTION("IFERROR(GOOGLEFINANCE(A189,""priceopen""),"""")"),"")</f>
        <v/>
      </c>
      <c r="X189" s="22">
        <f>IFERROR(__xludf.DUMMYFUNCTION("IFERROR(GOOGLEFINANCE(A189,""high""),"""")"),645.0)</f>
        <v>645</v>
      </c>
      <c r="Y189" s="22">
        <f>IFERROR(__xludf.DUMMYFUNCTION("IFERROR(GOOGLEFINANCE(A189,""low""),"""")"),600.0)</f>
        <v>600</v>
      </c>
      <c r="Z189" s="22">
        <f>IFERROR(__xludf.DUMMYFUNCTION("IFERROR(GOOGLEFINANCE(A189,""volume""),"""")"),1.31695E7)</f>
        <v>13169500</v>
      </c>
      <c r="AA189" s="24" t="str">
        <f>VLOOKUP(A189,Metrik!$C$2:$Y$959,5,0)</f>
        <v>Passenger Land Transportation</v>
      </c>
      <c r="AB189" s="24" t="str">
        <f>VLOOKUP(A189,Metrik!$C$2:$Y$959,3,0)</f>
        <v>Transportation &amp; Logistic</v>
      </c>
    </row>
    <row r="190">
      <c r="A190" s="14" t="s">
        <v>138</v>
      </c>
      <c r="B190" s="14" t="str">
        <f t="array" ref="B190">VLOOKUP(A190,{Metrik!$C$2:$C$998,Metrik!$B$2:$B$998},2,0)</f>
        <v>Trimitra Prawara Goldland Tbk.</v>
      </c>
      <c r="C190" s="15" t="str">
        <f>IFERROR(__xludf.DUMMYFUNCTION("GOOGLEFINANCE(""IDX:""&amp;A190,""price"")"),"#N/A")</f>
        <v>#N/A</v>
      </c>
      <c r="D190" s="16" t="str">
        <f>IFERROR(__xludf.DUMMYFUNCTION("IF(A190="""","""",
SPARKLINE(
INDEX(
GOOGLEFINANCE(""IDX:""&amp;A190,""close"",TODAY()-365,TODAY()),
,2
),
{""linewidth"",1}
))
"),"#N/A")</f>
        <v>#N/A</v>
      </c>
      <c r="E190" s="26"/>
      <c r="F190" s="26"/>
      <c r="G190" s="24">
        <f t="shared" si="1"/>
        <v>0</v>
      </c>
      <c r="H190" s="19">
        <f>VLOOKUP(A190,Metrik!$C$2:$Y$959,8,0)</f>
        <v>-11000</v>
      </c>
      <c r="I190" s="20">
        <f>VLOOKUP(A190,Metrik!$C$2:$Y$959,9,0)</f>
        <v>6.9</v>
      </c>
      <c r="J190" s="20">
        <f>VLOOKUP(A190,Metrik!$C$2:$Y$959,10,0)</f>
        <v>-0.06</v>
      </c>
      <c r="K190" s="20">
        <f>VLOOKUP(A190,Metrik!$C$2:$Y$959,11,0)</f>
        <v>-0.04</v>
      </c>
      <c r="L190" s="20">
        <f>VLOOKUP(A190,Metrik!$C$2:$Y$959,12,0)</f>
        <v>0.38</v>
      </c>
      <c r="M190" s="20">
        <f>VLOOKUP(A190,Metrik!$C$2:$Y$959,19,0)</f>
        <v>-1.5</v>
      </c>
      <c r="N190" s="21"/>
      <c r="O190" s="21"/>
      <c r="P190" s="21"/>
      <c r="Q190" s="21"/>
      <c r="R190" s="21"/>
      <c r="S190" s="21"/>
      <c r="T190" s="21"/>
      <c r="U190" s="22">
        <f>IFERROR(__xludf.DUMMYFUNCTION("IFERROR(GOOGLEFINANCE(A190,""closeyest""),"""")"),352.0)</f>
        <v>352</v>
      </c>
      <c r="V190" s="23">
        <f>IFERROR(__xludf.DUMMYFUNCTION("IFERROR(GOOGLEFINANCE(A190,""changepct""),"""")"),0.57)</f>
        <v>0.57</v>
      </c>
      <c r="W190" s="22">
        <f>IFERROR(__xludf.DUMMYFUNCTION("IFERROR(GOOGLEFINANCE(A190,""priceopen""),"""")"),362.0)</f>
        <v>362</v>
      </c>
      <c r="X190" s="22" t="str">
        <f>IFERROR(__xludf.DUMMYFUNCTION("IFERROR(GOOGLEFINANCE(A190,""high""),"""")"),"")</f>
        <v/>
      </c>
      <c r="Y190" s="22">
        <f>IFERROR(__xludf.DUMMYFUNCTION("IFERROR(GOOGLEFINANCE(A190,""low""),"""")"),352.0)</f>
        <v>352</v>
      </c>
      <c r="Z190" s="22">
        <f>IFERROR(__xludf.DUMMYFUNCTION("IFERROR(GOOGLEFINANCE(A190,""volume""),"""")"),615900.0)</f>
        <v>615900</v>
      </c>
      <c r="AA190" s="24" t="str">
        <f>VLOOKUP(A190,Metrik!$C$2:$Y$959,5,0)</f>
        <v>Real Estate Management &amp; Development</v>
      </c>
      <c r="AB190" s="24" t="str">
        <f>VLOOKUP(A190,Metrik!$C$2:$Y$959,3,0)</f>
        <v>Properties &amp; Real Estate</v>
      </c>
    </row>
    <row r="191">
      <c r="A191" s="14" t="s">
        <v>139</v>
      </c>
      <c r="B191" s="14" t="str">
        <f t="array" ref="B191">VLOOKUP(A191,{Metrik!$C$2:$C$998,Metrik!$B$2:$B$998},2,0)</f>
        <v>Anabatic Technologies Tbk.</v>
      </c>
      <c r="C191" s="15">
        <f>IFERROR(__xludf.DUMMYFUNCTION("GOOGLEFINANCE(""IDX:""&amp;A191,""price"")"),474.0)</f>
        <v>474</v>
      </c>
      <c r="D191" s="16" t="str">
        <f>IFERROR(__xludf.DUMMYFUNCTION("IF(A191="""","""",
SPARKLINE(
INDEX(
GOOGLEFINANCE(""IDX:""&amp;A191,""close"",TODAY()-365,TODAY()),
,2
),
{""linewidth"",1}
))
"),"#N/A")</f>
        <v>#N/A</v>
      </c>
      <c r="E191" s="26"/>
      <c r="F191" s="26"/>
      <c r="G191" s="24">
        <f t="shared" si="1"/>
        <v>0</v>
      </c>
      <c r="H191" s="19">
        <f>VLOOKUP(A191,Metrik!$C$2:$Y$959,8,0)</f>
        <v>5.5</v>
      </c>
      <c r="I191" s="20">
        <f>VLOOKUP(A191,Metrik!$C$2:$Y$959,9,0)</f>
        <v>1.4</v>
      </c>
      <c r="J191" s="20">
        <f>VLOOKUP(A191,Metrik!$C$2:$Y$959,10,0)</f>
        <v>25.9</v>
      </c>
      <c r="K191" s="20">
        <f>VLOOKUP(A191,Metrik!$C$2:$Y$959,11,0)</f>
        <v>4</v>
      </c>
      <c r="L191" s="20">
        <f>VLOOKUP(A191,Metrik!$C$2:$Y$959,12,0)</f>
        <v>5.5</v>
      </c>
      <c r="M191" s="20">
        <f>VLOOKUP(A191,Metrik!$C$2:$Y$959,19,0)</f>
        <v>2.5</v>
      </c>
      <c r="N191" s="21"/>
      <c r="O191" s="21"/>
      <c r="P191" s="21"/>
      <c r="Q191" s="21"/>
      <c r="R191" s="21"/>
      <c r="S191" s="21"/>
      <c r="T191" s="21"/>
      <c r="U191" s="22">
        <f>IFERROR(__xludf.DUMMYFUNCTION("IFERROR(GOOGLEFINANCE(A191,""closeyest""),"""")"),478.0)</f>
        <v>478</v>
      </c>
      <c r="V191" s="23">
        <f>IFERROR(__xludf.DUMMYFUNCTION("IFERROR(GOOGLEFINANCE(A191,""changepct""),"""")"),-0.84)</f>
        <v>-0.84</v>
      </c>
      <c r="W191" s="22">
        <f>IFERROR(__xludf.DUMMYFUNCTION("IFERROR(GOOGLEFINANCE(A191,""priceopen""),"""")"),476.0)</f>
        <v>476</v>
      </c>
      <c r="X191" s="22">
        <f>IFERROR(__xludf.DUMMYFUNCTION("IFERROR(GOOGLEFINANCE(A191,""high""),"""")"),486.0)</f>
        <v>486</v>
      </c>
      <c r="Y191" s="22">
        <f>IFERROR(__xludf.DUMMYFUNCTION("IFERROR(GOOGLEFINANCE(A191,""low""),"""")"),474.0)</f>
        <v>474</v>
      </c>
      <c r="Z191" s="22">
        <f>IFERROR(__xludf.DUMMYFUNCTION("IFERROR(GOOGLEFINANCE(A191,""volume""),"""")"),26800.0)</f>
        <v>26800</v>
      </c>
      <c r="AA191" s="24" t="str">
        <f>VLOOKUP(A191,Metrik!$C$2:$Y$959,5,0)</f>
        <v>IT Services &amp; Consulting</v>
      </c>
      <c r="AB191" s="24" t="str">
        <f>VLOOKUP(A191,Metrik!$C$2:$Y$959,3,0)</f>
        <v>Technology</v>
      </c>
    </row>
    <row r="192">
      <c r="A192" s="14" t="s">
        <v>140</v>
      </c>
      <c r="B192" s="14" t="str">
        <f t="array" ref="B192">VLOOKUP(A192,{Metrik!$C$2:$C$998,Metrik!$B$2:$B$998},2,0)</f>
        <v>Atlantis Subsea Indonesia Tbk.</v>
      </c>
      <c r="C192" s="15">
        <f>IFERROR(__xludf.DUMMYFUNCTION("GOOGLEFINANCE(""IDX:""&amp;A192,""price"")"),50.0)</f>
        <v>50</v>
      </c>
      <c r="D192" s="16" t="str">
        <f>IFERROR(__xludf.DUMMYFUNCTION("IF(A192="""","""",
SPARKLINE(
INDEX(
GOOGLEFINANCE(""IDX:""&amp;A192,""close"",TODAY()-365,TODAY()),
,2
),
{""linewidth"",1}
))
"),"#N/A")</f>
        <v>#N/A</v>
      </c>
      <c r="E192" s="26"/>
      <c r="F192" s="26"/>
      <c r="G192" s="24">
        <f t="shared" si="1"/>
        <v>0</v>
      </c>
      <c r="H192" s="19">
        <f>VLOOKUP(A192,Metrik!$C$2:$Y$959,8,0)</f>
        <v>94</v>
      </c>
      <c r="I192" s="20">
        <f>VLOOKUP(A192,Metrik!$C$2:$Y$959,9,0)</f>
        <v>1.8</v>
      </c>
      <c r="J192" s="20">
        <f>VLOOKUP(A192,Metrik!$C$2:$Y$959,10,0)</f>
        <v>1.9</v>
      </c>
      <c r="K192" s="20">
        <f>VLOOKUP(A192,Metrik!$C$2:$Y$959,11,0)</f>
        <v>1.9</v>
      </c>
      <c r="L192" s="20">
        <f>VLOOKUP(A192,Metrik!$C$2:$Y$959,12,0)</f>
        <v>0.04</v>
      </c>
      <c r="M192" s="20">
        <f>VLOOKUP(A192,Metrik!$C$2:$Y$959,19,0)</f>
        <v>20.1</v>
      </c>
      <c r="N192" s="21"/>
      <c r="O192" s="21"/>
      <c r="P192" s="21"/>
      <c r="Q192" s="21"/>
      <c r="R192" s="21"/>
      <c r="S192" s="21"/>
      <c r="T192" s="21"/>
      <c r="U192" s="22">
        <f>IFERROR(__xludf.DUMMYFUNCTION("IFERROR(GOOGLEFINANCE(A192,""closeyest""),"""")"),0.14)</f>
        <v>0.14</v>
      </c>
      <c r="V192" s="23">
        <f>IFERROR(__xludf.DUMMYFUNCTION("IFERROR(GOOGLEFINANCE(A192,""changepct""),"""")"),-7.14)</f>
        <v>-7.14</v>
      </c>
      <c r="W192" s="22">
        <f>IFERROR(__xludf.DUMMYFUNCTION("IFERROR(GOOGLEFINANCE(A192,""priceopen""),"""")"),0.14)</f>
        <v>0.14</v>
      </c>
      <c r="X192" s="22">
        <f>IFERROR(__xludf.DUMMYFUNCTION("IFERROR(GOOGLEFINANCE(A192,""high""),"""")"),0.14)</f>
        <v>0.14</v>
      </c>
      <c r="Y192" s="22">
        <f>IFERROR(__xludf.DUMMYFUNCTION("IFERROR(GOOGLEFINANCE(A192,""low""),"""")"),0.13)</f>
        <v>0.13</v>
      </c>
      <c r="Z192" s="22">
        <f>IFERROR(__xludf.DUMMYFUNCTION("IFERROR(GOOGLEFINANCE(A192,""volume""),"""")"),73571.0)</f>
        <v>73571</v>
      </c>
      <c r="AA192" s="24" t="str">
        <f>VLOOKUP(A192,Metrik!$C$2:$Y$959,5,0)</f>
        <v>Oil, Gas &amp; Coal Supports</v>
      </c>
      <c r="AB192" s="24" t="str">
        <f>VLOOKUP(A192,Metrik!$C$2:$Y$959,3,0)</f>
        <v>Energy</v>
      </c>
    </row>
    <row r="193">
      <c r="A193" s="17" t="s">
        <v>141</v>
      </c>
      <c r="B193" s="14" t="str">
        <f t="array" ref="B193">VLOOKUP(A193,{Metrik!$C$2:$C$998,Metrik!$B$2:$B$998},2,0)</f>
        <v>Astra Otoparts Tbk.</v>
      </c>
      <c r="C193" s="15">
        <f>IFERROR(__xludf.DUMMYFUNCTION("GOOGLEFINANCE(""IDX:""&amp;A193,""price"")"),2400.0)</f>
        <v>2400</v>
      </c>
      <c r="D193" s="16" t="str">
        <f>IFERROR(__xludf.DUMMYFUNCTION("IF(A193="""","""",
SPARKLINE(
INDEX(
GOOGLEFINANCE(""IDX:""&amp;A193,""close"",TODAY()-365,TODAY()),
,2
),
{""linewidth"",1}
))
"),"#N/A")</f>
        <v>#N/A</v>
      </c>
      <c r="E193" s="14" t="s">
        <v>47</v>
      </c>
      <c r="F193" s="25">
        <v>46356.0</v>
      </c>
      <c r="G193" s="18">
        <f t="shared" si="1"/>
        <v>3</v>
      </c>
      <c r="H193" s="19">
        <f>VLOOKUP(A193,Metrik!$C$2:$Y$959,8,0)</f>
        <v>5.4</v>
      </c>
      <c r="I193" s="20">
        <f>VLOOKUP(A193,Metrik!$C$2:$Y$959,9,0)</f>
        <v>0.7</v>
      </c>
      <c r="J193" s="20">
        <f>VLOOKUP(A193,Metrik!$C$2:$Y$959,10,0)</f>
        <v>12.9</v>
      </c>
      <c r="K193" s="20">
        <f>VLOOKUP(A193,Metrik!$C$2:$Y$959,11,0)</f>
        <v>9.6</v>
      </c>
      <c r="L193" s="20">
        <f>VLOOKUP(A193,Metrik!$C$2:$Y$959,12,0)</f>
        <v>0.35</v>
      </c>
      <c r="M193" s="20">
        <f>VLOOKUP(A193,Metrik!$C$2:$Y$959,19,0)</f>
        <v>43</v>
      </c>
      <c r="N193" s="21"/>
      <c r="O193" s="21"/>
      <c r="P193" s="21"/>
      <c r="Q193" s="21"/>
      <c r="R193" s="21"/>
      <c r="S193" s="21"/>
      <c r="T193" s="21"/>
      <c r="U193" s="22">
        <f>IFERROR(__xludf.DUMMYFUNCTION("IFERROR(GOOGLEFINANCE(A193,""closeyest""),"""")"),0.05)</f>
        <v>0.05</v>
      </c>
      <c r="V193" s="23">
        <f>IFERROR(__xludf.DUMMYFUNCTION("IFERROR(GOOGLEFINANCE(A193,""changepct""),"""")"),0.0)</f>
        <v>0</v>
      </c>
      <c r="W193" s="22" t="str">
        <f>IFERROR(__xludf.DUMMYFUNCTION("IFERROR(GOOGLEFINANCE(A193,""priceopen""),"""")"),"")</f>
        <v/>
      </c>
      <c r="X193" s="22" t="str">
        <f>IFERROR(__xludf.DUMMYFUNCTION("IFERROR(GOOGLEFINANCE(A193,""high""),"""")"),"")</f>
        <v/>
      </c>
      <c r="Y193" s="22" t="str">
        <f>IFERROR(__xludf.DUMMYFUNCTION("IFERROR(GOOGLEFINANCE(A193,""low""),"""")"),"")</f>
        <v/>
      </c>
      <c r="Z193" s="22">
        <f>IFERROR(__xludf.DUMMYFUNCTION("IFERROR(GOOGLEFINANCE(A193,""volume""),"""")"),0.0)</f>
        <v>0</v>
      </c>
      <c r="AA193" s="24" t="str">
        <f>VLOOKUP(A193,Metrik!$C$2:$Y$959,5,0)</f>
        <v>Auto Components</v>
      </c>
      <c r="AB193" s="24" t="str">
        <f>VLOOKUP(A193,Metrik!$C$2:$Y$959,3,0)</f>
        <v>Consumer Cyclicals</v>
      </c>
    </row>
    <row r="194">
      <c r="A194" s="14" t="s">
        <v>141</v>
      </c>
      <c r="B194" s="14" t="str">
        <f t="array" ref="B194">VLOOKUP(A194,{Metrik!$C$2:$C$998,Metrik!$B$2:$B$998},2,0)</f>
        <v>Astra Otoparts Tbk.</v>
      </c>
      <c r="C194" s="15">
        <f>IFERROR(__xludf.DUMMYFUNCTION("GOOGLEFINANCE(""IDX:""&amp;A194,""price"")"),2400.0)</f>
        <v>2400</v>
      </c>
      <c r="D194" s="16" t="str">
        <f>IFERROR(__xludf.DUMMYFUNCTION("IF(A194="""","""",
SPARKLINE(
INDEX(
GOOGLEFINANCE(""IDX:""&amp;A194,""close"",TODAY()-365,TODAY()),
,2
),
{""linewidth"",1}
))
"),"#N/A")</f>
        <v>#N/A</v>
      </c>
      <c r="E194" s="14" t="s">
        <v>41</v>
      </c>
      <c r="F194" s="14" t="s">
        <v>34</v>
      </c>
      <c r="G194" s="18">
        <f t="shared" si="1"/>
        <v>3</v>
      </c>
      <c r="H194" s="19">
        <f>VLOOKUP(A194,Metrik!$C$2:$Y$959,8,0)</f>
        <v>5.4</v>
      </c>
      <c r="I194" s="20">
        <f>VLOOKUP(A194,Metrik!$C$2:$Y$959,9,0)</f>
        <v>0.7</v>
      </c>
      <c r="J194" s="20">
        <f>VLOOKUP(A194,Metrik!$C$2:$Y$959,10,0)</f>
        <v>12.9</v>
      </c>
      <c r="K194" s="20">
        <f>VLOOKUP(A194,Metrik!$C$2:$Y$959,11,0)</f>
        <v>9.6</v>
      </c>
      <c r="L194" s="20">
        <f>VLOOKUP(A194,Metrik!$C$2:$Y$959,12,0)</f>
        <v>0.35</v>
      </c>
      <c r="M194" s="20">
        <f>VLOOKUP(A194,Metrik!$C$2:$Y$959,19,0)</f>
        <v>43</v>
      </c>
      <c r="N194" s="21"/>
      <c r="O194" s="21"/>
      <c r="P194" s="21"/>
      <c r="Q194" s="21"/>
      <c r="R194" s="21"/>
      <c r="S194" s="21"/>
      <c r="T194" s="21"/>
      <c r="U194" s="22">
        <f>IFERROR(__xludf.DUMMYFUNCTION("IFERROR(GOOGLEFINANCE(A194,""closeyest""),"""")"),0.05)</f>
        <v>0.05</v>
      </c>
      <c r="V194" s="23">
        <f>IFERROR(__xludf.DUMMYFUNCTION("IFERROR(GOOGLEFINANCE(A194,""changepct""),"""")"),0.0)</f>
        <v>0</v>
      </c>
      <c r="W194" s="22" t="str">
        <f>IFERROR(__xludf.DUMMYFUNCTION("IFERROR(GOOGLEFINANCE(A194,""priceopen""),"""")"),"")</f>
        <v/>
      </c>
      <c r="X194" s="22" t="str">
        <f>IFERROR(__xludf.DUMMYFUNCTION("IFERROR(GOOGLEFINANCE(A194,""high""),"""")"),"")</f>
        <v/>
      </c>
      <c r="Y194" s="22" t="str">
        <f>IFERROR(__xludf.DUMMYFUNCTION("IFERROR(GOOGLEFINANCE(A194,""low""),"""")"),"")</f>
        <v/>
      </c>
      <c r="Z194" s="22">
        <f>IFERROR(__xludf.DUMMYFUNCTION("IFERROR(GOOGLEFINANCE(A194,""volume""),"""")"),0.0)</f>
        <v>0</v>
      </c>
      <c r="AA194" s="24" t="str">
        <f>VLOOKUP(A194,Metrik!$C$2:$Y$959,5,0)</f>
        <v>Auto Components</v>
      </c>
      <c r="AB194" s="24" t="str">
        <f>VLOOKUP(A194,Metrik!$C$2:$Y$959,3,0)</f>
        <v>Consumer Cyclicals</v>
      </c>
    </row>
    <row r="195">
      <c r="A195" s="14" t="s">
        <v>141</v>
      </c>
      <c r="B195" s="14" t="str">
        <f t="array" ref="B195">VLOOKUP(A195,{Metrik!$C$2:$C$998,Metrik!$B$2:$B$998},2,0)</f>
        <v>Astra Otoparts Tbk.</v>
      </c>
      <c r="C195" s="15">
        <f>IFERROR(__xludf.DUMMYFUNCTION("GOOGLEFINANCE(""IDX:""&amp;A195,""price"")"),2400.0)</f>
        <v>2400</v>
      </c>
      <c r="D195" s="16" t="str">
        <f>IFERROR(__xludf.DUMMYFUNCTION("IF(A195="""","""",
SPARKLINE(
INDEX(
GOOGLEFINANCE(""IDX:""&amp;A195,""close"",TODAY()-365,TODAY()),
,2
),
{""linewidth"",1}
))
"),"#N/A")</f>
        <v>#N/A</v>
      </c>
      <c r="E195" s="14" t="s">
        <v>55</v>
      </c>
      <c r="F195" s="25">
        <v>46356.0</v>
      </c>
      <c r="G195" s="18">
        <f t="shared" si="1"/>
        <v>3</v>
      </c>
      <c r="H195" s="19">
        <f>VLOOKUP(A195,Metrik!$C$2:$Y$959,8,0)</f>
        <v>5.4</v>
      </c>
      <c r="I195" s="20">
        <f>VLOOKUP(A195,Metrik!$C$2:$Y$959,9,0)</f>
        <v>0.7</v>
      </c>
      <c r="J195" s="20">
        <f>VLOOKUP(A195,Metrik!$C$2:$Y$959,10,0)</f>
        <v>12.9</v>
      </c>
      <c r="K195" s="20">
        <f>VLOOKUP(A195,Metrik!$C$2:$Y$959,11,0)</f>
        <v>9.6</v>
      </c>
      <c r="L195" s="20">
        <f>VLOOKUP(A195,Metrik!$C$2:$Y$959,12,0)</f>
        <v>0.35</v>
      </c>
      <c r="M195" s="20">
        <f>VLOOKUP(A195,Metrik!$C$2:$Y$959,19,0)</f>
        <v>43</v>
      </c>
      <c r="N195" s="21"/>
      <c r="O195" s="21"/>
      <c r="P195" s="21"/>
      <c r="Q195" s="21"/>
      <c r="R195" s="21"/>
      <c r="S195" s="21"/>
      <c r="T195" s="21"/>
      <c r="U195" s="22">
        <f>IFERROR(__xludf.DUMMYFUNCTION("IFERROR(GOOGLEFINANCE(A195,""closeyest""),"""")"),0.05)</f>
        <v>0.05</v>
      </c>
      <c r="V195" s="23">
        <f>IFERROR(__xludf.DUMMYFUNCTION("IFERROR(GOOGLEFINANCE(A195,""changepct""),"""")"),0.0)</f>
        <v>0</v>
      </c>
      <c r="W195" s="22" t="str">
        <f>IFERROR(__xludf.DUMMYFUNCTION("IFERROR(GOOGLEFINANCE(A195,""priceopen""),"""")"),"")</f>
        <v/>
      </c>
      <c r="X195" s="22" t="str">
        <f>IFERROR(__xludf.DUMMYFUNCTION("IFERROR(GOOGLEFINANCE(A195,""high""),"""")"),"")</f>
        <v/>
      </c>
      <c r="Y195" s="22" t="str">
        <f>IFERROR(__xludf.DUMMYFUNCTION("IFERROR(GOOGLEFINANCE(A195,""low""),"""")"),"")</f>
        <v/>
      </c>
      <c r="Z195" s="22">
        <f>IFERROR(__xludf.DUMMYFUNCTION("IFERROR(GOOGLEFINANCE(A195,""volume""),"""")"),0.0)</f>
        <v>0</v>
      </c>
      <c r="AA195" s="24" t="str">
        <f>VLOOKUP(A195,Metrik!$C$2:$Y$959,5,0)</f>
        <v>Auto Components</v>
      </c>
      <c r="AB195" s="24" t="str">
        <f>VLOOKUP(A195,Metrik!$C$2:$Y$959,3,0)</f>
        <v>Consumer Cyclicals</v>
      </c>
    </row>
    <row r="196">
      <c r="A196" s="14" t="s">
        <v>142</v>
      </c>
      <c r="B196" s="14" t="str">
        <f t="array" ref="B196">VLOOKUP(A196,{Metrik!$C$2:$C$998,Metrik!$B$2:$B$998},2,0)</f>
        <v>Avia Avian Tbk.</v>
      </c>
      <c r="C196" s="15">
        <f>IFERROR(__xludf.DUMMYFUNCTION("GOOGLEFINANCE(""IDX:""&amp;A196,""price"")"),310.0)</f>
        <v>310</v>
      </c>
      <c r="D196" s="16" t="str">
        <f>IFERROR(__xludf.DUMMYFUNCTION("IF(A196="""","""",
SPARKLINE(
INDEX(
GOOGLEFINANCE(""IDX:""&amp;A196,""close"",TODAY()-365,TODAY()),
,2
),
{""linewidth"",1}
))
"),"#N/A")</f>
        <v>#N/A</v>
      </c>
      <c r="E196" s="14" t="s">
        <v>47</v>
      </c>
      <c r="F196" s="25">
        <v>46356.0</v>
      </c>
      <c r="G196" s="24">
        <f t="shared" si="1"/>
        <v>8</v>
      </c>
      <c r="H196" s="19">
        <f>VLOOKUP(A196,Metrik!$C$2:$Y$959,8,0)</f>
        <v>12</v>
      </c>
      <c r="I196" s="20">
        <f>VLOOKUP(A196,Metrik!$C$2:$Y$959,9,0)</f>
        <v>2.2</v>
      </c>
      <c r="J196" s="20">
        <f>VLOOKUP(A196,Metrik!$C$2:$Y$959,10,0)</f>
        <v>18.2</v>
      </c>
      <c r="K196" s="20">
        <f>VLOOKUP(A196,Metrik!$C$2:$Y$959,11,0)</f>
        <v>15.5</v>
      </c>
      <c r="L196" s="20">
        <f>VLOOKUP(A196,Metrik!$C$2:$Y$959,12,0)</f>
        <v>0.17</v>
      </c>
      <c r="M196" s="20">
        <f>VLOOKUP(A196,Metrik!$C$2:$Y$959,19,0)</f>
        <v>76.5</v>
      </c>
      <c r="N196" s="21"/>
      <c r="O196" s="21"/>
      <c r="P196" s="21"/>
      <c r="Q196" s="21"/>
      <c r="R196" s="21"/>
      <c r="S196" s="21"/>
      <c r="T196" s="21"/>
      <c r="U196" s="22">
        <f>IFERROR(__xludf.DUMMYFUNCTION("IFERROR(GOOGLEFINANCE(A196,""closeyest""),"""")"),312.0)</f>
        <v>312</v>
      </c>
      <c r="V196" s="23">
        <f>IFERROR(__xludf.DUMMYFUNCTION("IFERROR(GOOGLEFINANCE(A196,""changepct""),"""")"),-0.64)</f>
        <v>-0.64</v>
      </c>
      <c r="W196" s="22">
        <f>IFERROR(__xludf.DUMMYFUNCTION("IFERROR(GOOGLEFINANCE(A196,""priceopen""),"""")"),312.0)</f>
        <v>312</v>
      </c>
      <c r="X196" s="22">
        <f>IFERROR(__xludf.DUMMYFUNCTION("IFERROR(GOOGLEFINANCE(A196,""high""),"""")"),316.0)</f>
        <v>316</v>
      </c>
      <c r="Y196" s="22">
        <f>IFERROR(__xludf.DUMMYFUNCTION("IFERROR(GOOGLEFINANCE(A196,""low""),"""")"),310.0)</f>
        <v>310</v>
      </c>
      <c r="Z196" s="22">
        <f>IFERROR(__xludf.DUMMYFUNCTION("IFERROR(GOOGLEFINANCE(A196,""volume""),"""")"),6393600.0)</f>
        <v>6393600</v>
      </c>
      <c r="AA196" s="24" t="str">
        <f>VLOOKUP(A196,Metrik!$C$2:$Y$959,5,0)</f>
        <v>Chemicals</v>
      </c>
      <c r="AB196" s="24" t="str">
        <f>VLOOKUP(A196,Metrik!$C$2:$Y$959,3,0)</f>
        <v>Basic Materials</v>
      </c>
    </row>
    <row r="197">
      <c r="A197" s="14" t="s">
        <v>142</v>
      </c>
      <c r="B197" s="14" t="str">
        <f t="array" ref="B197">VLOOKUP(A197,{Metrik!$C$2:$C$998,Metrik!$B$2:$B$998},2,0)</f>
        <v>Avia Avian Tbk.</v>
      </c>
      <c r="C197" s="15">
        <f>IFERROR(__xludf.DUMMYFUNCTION("GOOGLEFINANCE(""IDX:""&amp;A197,""price"")"),310.0)</f>
        <v>310</v>
      </c>
      <c r="D197" s="16" t="str">
        <f>IFERROR(__xludf.DUMMYFUNCTION("IF(A197="""","""",
SPARKLINE(
INDEX(
GOOGLEFINANCE(""IDX:""&amp;A197,""close"",TODAY()-365,TODAY()),
,2
),
{""linewidth"",1}
))
"),"#N/A")</f>
        <v>#N/A</v>
      </c>
      <c r="E197" s="14" t="s">
        <v>84</v>
      </c>
      <c r="F197" s="17" t="s">
        <v>51</v>
      </c>
      <c r="G197" s="24">
        <f t="shared" si="1"/>
        <v>8</v>
      </c>
      <c r="H197" s="19">
        <f>VLOOKUP(A197,Metrik!$C$2:$Y$959,8,0)</f>
        <v>12</v>
      </c>
      <c r="I197" s="20">
        <f>VLOOKUP(A197,Metrik!$C$2:$Y$959,9,0)</f>
        <v>2.2</v>
      </c>
      <c r="J197" s="20">
        <f>VLOOKUP(A197,Metrik!$C$2:$Y$959,10,0)</f>
        <v>18.2</v>
      </c>
      <c r="K197" s="20">
        <f>VLOOKUP(A197,Metrik!$C$2:$Y$959,11,0)</f>
        <v>15.5</v>
      </c>
      <c r="L197" s="20">
        <f>VLOOKUP(A197,Metrik!$C$2:$Y$959,12,0)</f>
        <v>0.17</v>
      </c>
      <c r="M197" s="20">
        <f>VLOOKUP(A197,Metrik!$C$2:$Y$959,19,0)</f>
        <v>76.5</v>
      </c>
      <c r="N197" s="21"/>
      <c r="O197" s="21"/>
      <c r="P197" s="21"/>
      <c r="Q197" s="21"/>
      <c r="R197" s="21"/>
      <c r="S197" s="21"/>
      <c r="T197" s="21"/>
      <c r="U197" s="22">
        <f>IFERROR(__xludf.DUMMYFUNCTION("IFERROR(GOOGLEFINANCE(A197,""closeyest""),"""")"),312.0)</f>
        <v>312</v>
      </c>
      <c r="V197" s="23">
        <f>IFERROR(__xludf.DUMMYFUNCTION("IFERROR(GOOGLEFINANCE(A197,""changepct""),"""")"),-0.64)</f>
        <v>-0.64</v>
      </c>
      <c r="W197" s="22">
        <f>IFERROR(__xludf.DUMMYFUNCTION("IFERROR(GOOGLEFINANCE(A197,""priceopen""),"""")"),312.0)</f>
        <v>312</v>
      </c>
      <c r="X197" s="22">
        <f>IFERROR(__xludf.DUMMYFUNCTION("IFERROR(GOOGLEFINANCE(A197,""high""),"""")"),316.0)</f>
        <v>316</v>
      </c>
      <c r="Y197" s="22">
        <f>IFERROR(__xludf.DUMMYFUNCTION("IFERROR(GOOGLEFINANCE(A197,""low""),"""")"),310.0)</f>
        <v>310</v>
      </c>
      <c r="Z197" s="22">
        <f>IFERROR(__xludf.DUMMYFUNCTION("IFERROR(GOOGLEFINANCE(A197,""volume""),"""")"),6393600.0)</f>
        <v>6393600</v>
      </c>
      <c r="AA197" s="24" t="str">
        <f>VLOOKUP(A197,Metrik!$C$2:$Y$959,5,0)</f>
        <v>Chemicals</v>
      </c>
      <c r="AB197" s="24" t="str">
        <f>VLOOKUP(A197,Metrik!$C$2:$Y$959,3,0)</f>
        <v>Basic Materials</v>
      </c>
    </row>
    <row r="198">
      <c r="A198" s="14" t="s">
        <v>142</v>
      </c>
      <c r="B198" s="14" t="str">
        <f t="array" ref="B198">VLOOKUP(A198,{Metrik!$C$2:$C$998,Metrik!$B$2:$B$998},2,0)</f>
        <v>Avia Avian Tbk.</v>
      </c>
      <c r="C198" s="15">
        <f>IFERROR(__xludf.DUMMYFUNCTION("GOOGLEFINANCE(""IDX:""&amp;A198,""price"")"),310.0)</f>
        <v>310</v>
      </c>
      <c r="D198" s="16" t="str">
        <f>IFERROR(__xludf.DUMMYFUNCTION("IF(A198="""","""",
SPARKLINE(
INDEX(
GOOGLEFINANCE(""IDX:""&amp;A198,""close"",TODAY()-365,TODAY()),
,2
),
{""linewidth"",1}
))
"),"#N/A")</f>
        <v>#N/A</v>
      </c>
      <c r="E198" s="14" t="s">
        <v>41</v>
      </c>
      <c r="F198" s="14" t="s">
        <v>34</v>
      </c>
      <c r="G198" s="24">
        <f t="shared" si="1"/>
        <v>8</v>
      </c>
      <c r="H198" s="19">
        <f>VLOOKUP(A198,Metrik!$C$2:$Y$959,8,0)</f>
        <v>12</v>
      </c>
      <c r="I198" s="20">
        <f>VLOOKUP(A198,Metrik!$C$2:$Y$959,9,0)</f>
        <v>2.2</v>
      </c>
      <c r="J198" s="20">
        <f>VLOOKUP(A198,Metrik!$C$2:$Y$959,10,0)</f>
        <v>18.2</v>
      </c>
      <c r="K198" s="20">
        <f>VLOOKUP(A198,Metrik!$C$2:$Y$959,11,0)</f>
        <v>15.5</v>
      </c>
      <c r="L198" s="20">
        <f>VLOOKUP(A198,Metrik!$C$2:$Y$959,12,0)</f>
        <v>0.17</v>
      </c>
      <c r="M198" s="20">
        <f>VLOOKUP(A198,Metrik!$C$2:$Y$959,19,0)</f>
        <v>76.5</v>
      </c>
      <c r="N198" s="42"/>
      <c r="O198" s="42"/>
      <c r="P198" s="42"/>
      <c r="Q198" s="42"/>
      <c r="R198" s="42"/>
      <c r="S198" s="42"/>
      <c r="T198" s="42"/>
      <c r="U198" s="22">
        <f>IFERROR(__xludf.DUMMYFUNCTION("IFERROR(GOOGLEFINANCE(A198,""closeyest""),"""")"),312.0)</f>
        <v>312</v>
      </c>
      <c r="V198" s="23">
        <f>IFERROR(__xludf.DUMMYFUNCTION("IFERROR(GOOGLEFINANCE(A198,""changepct""),"""")"),-0.64)</f>
        <v>-0.64</v>
      </c>
      <c r="W198" s="22">
        <f>IFERROR(__xludf.DUMMYFUNCTION("IFERROR(GOOGLEFINANCE(A198,""priceopen""),"""")"),312.0)</f>
        <v>312</v>
      </c>
      <c r="X198" s="22">
        <f>IFERROR(__xludf.DUMMYFUNCTION("IFERROR(GOOGLEFINANCE(A198,""high""),"""")"),316.0)</f>
        <v>316</v>
      </c>
      <c r="Y198" s="22">
        <f>IFERROR(__xludf.DUMMYFUNCTION("IFERROR(GOOGLEFINANCE(A198,""low""),"""")"),310.0)</f>
        <v>310</v>
      </c>
      <c r="Z198" s="22">
        <f>IFERROR(__xludf.DUMMYFUNCTION("IFERROR(GOOGLEFINANCE(A198,""volume""),"""")"),6393600.0)</f>
        <v>6393600</v>
      </c>
      <c r="AA198" s="24" t="str">
        <f>VLOOKUP(A198,Metrik!$C$2:$Y$959,5,0)</f>
        <v>Chemicals</v>
      </c>
      <c r="AB198" s="24" t="str">
        <f>VLOOKUP(A198,Metrik!$C$2:$Y$959,3,0)</f>
        <v>Basic Materials</v>
      </c>
    </row>
    <row r="199">
      <c r="A199" s="17" t="s">
        <v>142</v>
      </c>
      <c r="B199" s="14" t="str">
        <f t="array" ref="B199">VLOOKUP(A199,{Metrik!$C$2:$C$998,Metrik!$B$2:$B$998},2,0)</f>
        <v>Avia Avian Tbk.</v>
      </c>
      <c r="C199" s="15">
        <f>IFERROR(__xludf.DUMMYFUNCTION("GOOGLEFINANCE(""IDX:""&amp;A199,""price"")"),310.0)</f>
        <v>310</v>
      </c>
      <c r="D199" s="16" t="str">
        <f>IFERROR(__xludf.DUMMYFUNCTION("IF(A199="""","""",
SPARKLINE(
INDEX(
GOOGLEFINANCE(""IDX:""&amp;A199,""close"",TODAY()-365,TODAY()),
,2
),
{""linewidth"",1}
))
"),"#N/A")</f>
        <v>#N/A</v>
      </c>
      <c r="E199" s="17" t="s">
        <v>69</v>
      </c>
      <c r="F199" s="17" t="s">
        <v>70</v>
      </c>
      <c r="G199" s="24">
        <f t="shared" si="1"/>
        <v>8</v>
      </c>
      <c r="H199" s="19">
        <f>VLOOKUP(A199,Metrik!$C$2:$Y$959,8,0)</f>
        <v>12</v>
      </c>
      <c r="I199" s="20">
        <f>VLOOKUP(A199,Metrik!$C$2:$Y$959,9,0)</f>
        <v>2.2</v>
      </c>
      <c r="J199" s="20">
        <f>VLOOKUP(A199,Metrik!$C$2:$Y$959,10,0)</f>
        <v>18.2</v>
      </c>
      <c r="K199" s="20">
        <f>VLOOKUP(A199,Metrik!$C$2:$Y$959,11,0)</f>
        <v>15.5</v>
      </c>
      <c r="L199" s="20">
        <f>VLOOKUP(A199,Metrik!$C$2:$Y$959,12,0)</f>
        <v>0.17</v>
      </c>
      <c r="M199" s="20">
        <f>VLOOKUP(A199,Metrik!$C$2:$Y$959,19,0)</f>
        <v>76.5</v>
      </c>
      <c r="N199" s="21"/>
      <c r="O199" s="21"/>
      <c r="P199" s="21"/>
      <c r="Q199" s="21"/>
      <c r="R199" s="21"/>
      <c r="S199" s="21"/>
      <c r="T199" s="21"/>
      <c r="U199" s="22">
        <f>IFERROR(__xludf.DUMMYFUNCTION("IFERROR(GOOGLEFINANCE(A199,""closeyest""),"""")"),312.0)</f>
        <v>312</v>
      </c>
      <c r="V199" s="23">
        <f>IFERROR(__xludf.DUMMYFUNCTION("IFERROR(GOOGLEFINANCE(A199,""changepct""),"""")"),-0.64)</f>
        <v>-0.64</v>
      </c>
      <c r="W199" s="22">
        <f>IFERROR(__xludf.DUMMYFUNCTION("IFERROR(GOOGLEFINANCE(A199,""priceopen""),"""")"),312.0)</f>
        <v>312</v>
      </c>
      <c r="X199" s="22">
        <f>IFERROR(__xludf.DUMMYFUNCTION("IFERROR(GOOGLEFINANCE(A199,""high""),"""")"),316.0)</f>
        <v>316</v>
      </c>
      <c r="Y199" s="22">
        <f>IFERROR(__xludf.DUMMYFUNCTION("IFERROR(GOOGLEFINANCE(A199,""low""),"""")"),310.0)</f>
        <v>310</v>
      </c>
      <c r="Z199" s="22">
        <f>IFERROR(__xludf.DUMMYFUNCTION("IFERROR(GOOGLEFINANCE(A199,""volume""),"""")"),6393600.0)</f>
        <v>6393600</v>
      </c>
      <c r="AA199" s="24" t="str">
        <f>VLOOKUP(A199,Metrik!$C$2:$Y$959,5,0)</f>
        <v>Chemicals</v>
      </c>
      <c r="AB199" s="24" t="str">
        <f>VLOOKUP(A199,Metrik!$C$2:$Y$959,3,0)</f>
        <v>Basic Materials</v>
      </c>
    </row>
    <row r="200">
      <c r="A200" s="17" t="s">
        <v>142</v>
      </c>
      <c r="B200" s="14" t="str">
        <f t="array" ref="B200">VLOOKUP(A200,{Metrik!$C$2:$C$998,Metrik!$B$2:$B$998},2,0)</f>
        <v>Avia Avian Tbk.</v>
      </c>
      <c r="C200" s="15">
        <f>IFERROR(__xludf.DUMMYFUNCTION("GOOGLEFINANCE(""IDX:""&amp;A200,""price"")"),310.0)</f>
        <v>310</v>
      </c>
      <c r="D200" s="16" t="str">
        <f>IFERROR(__xludf.DUMMYFUNCTION("IF(A200="""","""",
SPARKLINE(
INDEX(
GOOGLEFINANCE(""IDX:""&amp;A200,""close"",TODAY()-365,TODAY()),
,2
),
{""linewidth"",1}
))
"),"#N/A")</f>
        <v>#N/A</v>
      </c>
      <c r="E200" s="14" t="s">
        <v>35</v>
      </c>
      <c r="F200" s="17" t="s">
        <v>36</v>
      </c>
      <c r="G200" s="24">
        <f t="shared" si="1"/>
        <v>8</v>
      </c>
      <c r="H200" s="19">
        <f>VLOOKUP(A200,Metrik!$C$2:$Y$959,8,0)</f>
        <v>12</v>
      </c>
      <c r="I200" s="20">
        <f>VLOOKUP(A200,Metrik!$C$2:$Y$959,9,0)</f>
        <v>2.2</v>
      </c>
      <c r="J200" s="20">
        <f>VLOOKUP(A200,Metrik!$C$2:$Y$959,10,0)</f>
        <v>18.2</v>
      </c>
      <c r="K200" s="20">
        <f>VLOOKUP(A200,Metrik!$C$2:$Y$959,11,0)</f>
        <v>15.5</v>
      </c>
      <c r="L200" s="20">
        <f>VLOOKUP(A200,Metrik!$C$2:$Y$959,12,0)</f>
        <v>0.17</v>
      </c>
      <c r="M200" s="20">
        <f>VLOOKUP(A200,Metrik!$C$2:$Y$959,19,0)</f>
        <v>76.5</v>
      </c>
      <c r="N200" s="21"/>
      <c r="O200" s="21"/>
      <c r="P200" s="21"/>
      <c r="Q200" s="21"/>
      <c r="R200" s="21"/>
      <c r="S200" s="21"/>
      <c r="T200" s="21"/>
      <c r="U200" s="22">
        <f>IFERROR(__xludf.DUMMYFUNCTION("IFERROR(GOOGLEFINANCE(A200,""closeyest""),"""")"),312.0)</f>
        <v>312</v>
      </c>
      <c r="V200" s="23">
        <f>IFERROR(__xludf.DUMMYFUNCTION("IFERROR(GOOGLEFINANCE(A200,""changepct""),"""")"),-0.64)</f>
        <v>-0.64</v>
      </c>
      <c r="W200" s="22">
        <f>IFERROR(__xludf.DUMMYFUNCTION("IFERROR(GOOGLEFINANCE(A200,""priceopen""),"""")"),312.0)</f>
        <v>312</v>
      </c>
      <c r="X200" s="22">
        <f>IFERROR(__xludf.DUMMYFUNCTION("IFERROR(GOOGLEFINANCE(A200,""high""),"""")"),316.0)</f>
        <v>316</v>
      </c>
      <c r="Y200" s="22">
        <f>IFERROR(__xludf.DUMMYFUNCTION("IFERROR(GOOGLEFINANCE(A200,""low""),"""")"),310.0)</f>
        <v>310</v>
      </c>
      <c r="Z200" s="22">
        <f>IFERROR(__xludf.DUMMYFUNCTION("IFERROR(GOOGLEFINANCE(A200,""volume""),"""")"),6393600.0)</f>
        <v>6393600</v>
      </c>
      <c r="AA200" s="24" t="str">
        <f>VLOOKUP(A200,Metrik!$C$2:$Y$959,5,0)</f>
        <v>Chemicals</v>
      </c>
      <c r="AB200" s="24" t="str">
        <f>VLOOKUP(A200,Metrik!$C$2:$Y$959,3,0)</f>
        <v>Basic Materials</v>
      </c>
    </row>
    <row r="201">
      <c r="A201" s="14" t="s">
        <v>142</v>
      </c>
      <c r="B201" s="14" t="str">
        <f t="array" ref="B201">VLOOKUP(A201,{Metrik!$C$2:$C$998,Metrik!$B$2:$B$998},2,0)</f>
        <v>Avia Avian Tbk.</v>
      </c>
      <c r="C201" s="15">
        <f>IFERROR(__xludf.DUMMYFUNCTION("GOOGLEFINANCE(""IDX:""&amp;A201,""price"")"),310.0)</f>
        <v>310</v>
      </c>
      <c r="D201" s="16" t="str">
        <f>IFERROR(__xludf.DUMMYFUNCTION("IF(A201="""","""",
SPARKLINE(
INDEX(
GOOGLEFINANCE(""IDX:""&amp;A201,""close"",TODAY()-365,TODAY()),
,2
),
{""linewidth"",1}
))
"),"#N/A")</f>
        <v>#N/A</v>
      </c>
      <c r="E201" s="14" t="s">
        <v>55</v>
      </c>
      <c r="F201" s="25">
        <v>46356.0</v>
      </c>
      <c r="G201" s="24">
        <f t="shared" si="1"/>
        <v>8</v>
      </c>
      <c r="H201" s="19">
        <f>VLOOKUP(A201,Metrik!$C$2:$Y$959,8,0)</f>
        <v>12</v>
      </c>
      <c r="I201" s="20">
        <f>VLOOKUP(A201,Metrik!$C$2:$Y$959,9,0)</f>
        <v>2.2</v>
      </c>
      <c r="J201" s="20">
        <f>VLOOKUP(A201,Metrik!$C$2:$Y$959,10,0)</f>
        <v>18.2</v>
      </c>
      <c r="K201" s="20">
        <f>VLOOKUP(A201,Metrik!$C$2:$Y$959,11,0)</f>
        <v>15.5</v>
      </c>
      <c r="L201" s="20">
        <f>VLOOKUP(A201,Metrik!$C$2:$Y$959,12,0)</f>
        <v>0.17</v>
      </c>
      <c r="M201" s="20">
        <f>VLOOKUP(A201,Metrik!$C$2:$Y$959,19,0)</f>
        <v>76.5</v>
      </c>
      <c r="N201" s="21"/>
      <c r="O201" s="21"/>
      <c r="P201" s="21"/>
      <c r="Q201" s="21"/>
      <c r="R201" s="21"/>
      <c r="S201" s="21"/>
      <c r="T201" s="21"/>
      <c r="U201" s="22">
        <f>IFERROR(__xludf.DUMMYFUNCTION("IFERROR(GOOGLEFINANCE(A201,""closeyest""),"""")"),312.0)</f>
        <v>312</v>
      </c>
      <c r="V201" s="23">
        <f>IFERROR(__xludf.DUMMYFUNCTION("IFERROR(GOOGLEFINANCE(A201,""changepct""),"""")"),-0.64)</f>
        <v>-0.64</v>
      </c>
      <c r="W201" s="22">
        <f>IFERROR(__xludf.DUMMYFUNCTION("IFERROR(GOOGLEFINANCE(A201,""priceopen""),"""")"),312.0)</f>
        <v>312</v>
      </c>
      <c r="X201" s="22">
        <f>IFERROR(__xludf.DUMMYFUNCTION("IFERROR(GOOGLEFINANCE(A201,""high""),"""")"),316.0)</f>
        <v>316</v>
      </c>
      <c r="Y201" s="22">
        <f>IFERROR(__xludf.DUMMYFUNCTION("IFERROR(GOOGLEFINANCE(A201,""low""),"""")"),310.0)</f>
        <v>310</v>
      </c>
      <c r="Z201" s="22">
        <f>IFERROR(__xludf.DUMMYFUNCTION("IFERROR(GOOGLEFINANCE(A201,""volume""),"""")"),6393600.0)</f>
        <v>6393600</v>
      </c>
      <c r="AA201" s="24" t="str">
        <f>VLOOKUP(A201,Metrik!$C$2:$Y$959,5,0)</f>
        <v>Chemicals</v>
      </c>
      <c r="AB201" s="24" t="str">
        <f>VLOOKUP(A201,Metrik!$C$2:$Y$959,3,0)</f>
        <v>Basic Materials</v>
      </c>
    </row>
    <row r="202">
      <c r="A202" s="14" t="s">
        <v>142</v>
      </c>
      <c r="B202" s="14" t="str">
        <f t="array" ref="B202">VLOOKUP(A202,{Metrik!$C$2:$C$998,Metrik!$B$2:$B$998},2,0)</f>
        <v>Avia Avian Tbk.</v>
      </c>
      <c r="C202" s="15">
        <f>IFERROR(__xludf.DUMMYFUNCTION("GOOGLEFINANCE(""IDX:""&amp;A202,""price"")"),310.0)</f>
        <v>310</v>
      </c>
      <c r="D202" s="16" t="str">
        <f>IFERROR(__xludf.DUMMYFUNCTION("IF(A202="""","""",
SPARKLINE(
INDEX(
GOOGLEFINANCE(""IDX:""&amp;A202,""close"",TODAY()-365,TODAY()),
,2
),
{""linewidth"",1}
))
"),"#N/A")</f>
        <v>#N/A</v>
      </c>
      <c r="E202" s="14" t="s">
        <v>86</v>
      </c>
      <c r="F202" s="25">
        <v>46356.0</v>
      </c>
      <c r="G202" s="24">
        <f t="shared" si="1"/>
        <v>8</v>
      </c>
      <c r="H202" s="19">
        <f>VLOOKUP(A202,Metrik!$C$2:$Y$959,8,0)</f>
        <v>12</v>
      </c>
      <c r="I202" s="20">
        <f>VLOOKUP(A202,Metrik!$C$2:$Y$959,9,0)</f>
        <v>2.2</v>
      </c>
      <c r="J202" s="20">
        <f>VLOOKUP(A202,Metrik!$C$2:$Y$959,10,0)</f>
        <v>18.2</v>
      </c>
      <c r="K202" s="20">
        <f>VLOOKUP(A202,Metrik!$C$2:$Y$959,11,0)</f>
        <v>15.5</v>
      </c>
      <c r="L202" s="20">
        <f>VLOOKUP(A202,Metrik!$C$2:$Y$959,12,0)</f>
        <v>0.17</v>
      </c>
      <c r="M202" s="20">
        <f>VLOOKUP(A202,Metrik!$C$2:$Y$959,19,0)</f>
        <v>76.5</v>
      </c>
      <c r="N202" s="21"/>
      <c r="O202" s="21"/>
      <c r="P202" s="21"/>
      <c r="Q202" s="21"/>
      <c r="R202" s="21"/>
      <c r="S202" s="21"/>
      <c r="T202" s="21"/>
      <c r="U202" s="22">
        <f>IFERROR(__xludf.DUMMYFUNCTION("IFERROR(GOOGLEFINANCE(A202,""closeyest""),"""")"),312.0)</f>
        <v>312</v>
      </c>
      <c r="V202" s="23">
        <f>IFERROR(__xludf.DUMMYFUNCTION("IFERROR(GOOGLEFINANCE(A202,""changepct""),"""")"),-0.64)</f>
        <v>-0.64</v>
      </c>
      <c r="W202" s="22">
        <f>IFERROR(__xludf.DUMMYFUNCTION("IFERROR(GOOGLEFINANCE(A202,""priceopen""),"""")"),312.0)</f>
        <v>312</v>
      </c>
      <c r="X202" s="22">
        <f>IFERROR(__xludf.DUMMYFUNCTION("IFERROR(GOOGLEFINANCE(A202,""high""),"""")"),316.0)</f>
        <v>316</v>
      </c>
      <c r="Y202" s="22">
        <f>IFERROR(__xludf.DUMMYFUNCTION("IFERROR(GOOGLEFINANCE(A202,""low""),"""")"),310.0)</f>
        <v>310</v>
      </c>
      <c r="Z202" s="22">
        <f>IFERROR(__xludf.DUMMYFUNCTION("IFERROR(GOOGLEFINANCE(A202,""volume""),"""")"),6393600.0)</f>
        <v>6393600</v>
      </c>
      <c r="AA202" s="24" t="str">
        <f>VLOOKUP(A202,Metrik!$C$2:$Y$959,5,0)</f>
        <v>Chemicals</v>
      </c>
      <c r="AB202" s="24" t="str">
        <f>VLOOKUP(A202,Metrik!$C$2:$Y$959,3,0)</f>
        <v>Basic Materials</v>
      </c>
    </row>
    <row r="203">
      <c r="A203" s="14" t="s">
        <v>142</v>
      </c>
      <c r="B203" s="14" t="str">
        <f t="array" ref="B203">VLOOKUP(A203,{Metrik!$C$2:$C$998,Metrik!$B$2:$B$998},2,0)</f>
        <v>Avia Avian Tbk.</v>
      </c>
      <c r="C203" s="15">
        <f>IFERROR(__xludf.DUMMYFUNCTION("GOOGLEFINANCE(""IDX:""&amp;A203,""price"")"),310.0)</f>
        <v>310</v>
      </c>
      <c r="D203" s="16" t="str">
        <f>IFERROR(__xludf.DUMMYFUNCTION("IF(A203="""","""",
SPARKLINE(
INDEX(
GOOGLEFINANCE(""IDX:""&amp;A203,""close"",TODAY()-365,TODAY()),
,2
),
{""linewidth"",1}
))
"),"#N/A")</f>
        <v>#N/A</v>
      </c>
      <c r="E203" s="14" t="s">
        <v>39</v>
      </c>
      <c r="F203" s="25">
        <v>46356.0</v>
      </c>
      <c r="G203" s="24">
        <f t="shared" si="1"/>
        <v>8</v>
      </c>
      <c r="H203" s="19">
        <f>VLOOKUP(A203,Metrik!$C$2:$Y$959,8,0)</f>
        <v>12</v>
      </c>
      <c r="I203" s="20">
        <f>VLOOKUP(A203,Metrik!$C$2:$Y$959,9,0)</f>
        <v>2.2</v>
      </c>
      <c r="J203" s="20">
        <f>VLOOKUP(A203,Metrik!$C$2:$Y$959,10,0)</f>
        <v>18.2</v>
      </c>
      <c r="K203" s="20">
        <f>VLOOKUP(A203,Metrik!$C$2:$Y$959,11,0)</f>
        <v>15.5</v>
      </c>
      <c r="L203" s="20">
        <f>VLOOKUP(A203,Metrik!$C$2:$Y$959,12,0)</f>
        <v>0.17</v>
      </c>
      <c r="M203" s="20">
        <f>VLOOKUP(A203,Metrik!$C$2:$Y$959,19,0)</f>
        <v>76.5</v>
      </c>
      <c r="N203" s="21"/>
      <c r="O203" s="21"/>
      <c r="P203" s="21"/>
      <c r="Q203" s="21"/>
      <c r="R203" s="21"/>
      <c r="S203" s="21"/>
      <c r="T203" s="21"/>
      <c r="U203" s="22">
        <f>IFERROR(__xludf.DUMMYFUNCTION("IFERROR(GOOGLEFINANCE(A203,""closeyest""),"""")"),312.0)</f>
        <v>312</v>
      </c>
      <c r="V203" s="23">
        <f>IFERROR(__xludf.DUMMYFUNCTION("IFERROR(GOOGLEFINANCE(A203,""changepct""),"""")"),-0.64)</f>
        <v>-0.64</v>
      </c>
      <c r="W203" s="22">
        <f>IFERROR(__xludf.DUMMYFUNCTION("IFERROR(GOOGLEFINANCE(A203,""priceopen""),"""")"),312.0)</f>
        <v>312</v>
      </c>
      <c r="X203" s="22">
        <f>IFERROR(__xludf.DUMMYFUNCTION("IFERROR(GOOGLEFINANCE(A203,""high""),"""")"),316.0)</f>
        <v>316</v>
      </c>
      <c r="Y203" s="22">
        <f>IFERROR(__xludf.DUMMYFUNCTION("IFERROR(GOOGLEFINANCE(A203,""low""),"""")"),310.0)</f>
        <v>310</v>
      </c>
      <c r="Z203" s="22">
        <f>IFERROR(__xludf.DUMMYFUNCTION("IFERROR(GOOGLEFINANCE(A203,""volume""),"""")"),6393600.0)</f>
        <v>6393600</v>
      </c>
      <c r="AA203" s="24" t="str">
        <f>VLOOKUP(A203,Metrik!$C$2:$Y$959,5,0)</f>
        <v>Chemicals</v>
      </c>
      <c r="AB203" s="24" t="str">
        <f>VLOOKUP(A203,Metrik!$C$2:$Y$959,3,0)</f>
        <v>Basic Materials</v>
      </c>
    </row>
    <row r="204">
      <c r="A204" s="14" t="s">
        <v>143</v>
      </c>
      <c r="B204" s="14" t="str">
        <f t="array" ref="B204">VLOOKUP(A204,{Metrik!$C$2:$C$998,Metrik!$B$2:$B$998},2,0)</f>
        <v>PT Era Digital Media Tbk</v>
      </c>
      <c r="C204" s="15" t="str">
        <f>IFERROR(__xludf.DUMMYFUNCTION("GOOGLEFINANCE(""IDX:""&amp;A204,""price"")"),"#N/A")</f>
        <v>#N/A</v>
      </c>
      <c r="D204" s="16" t="str">
        <f>IFERROR(__xludf.DUMMYFUNCTION("IF(A204="""","""",
SPARKLINE(
INDEX(
GOOGLEFINANCE(""IDX:""&amp;A204,""close"",TODAY()-365,TODAY()),
,2
),
{""linewidth"",1}
))
"),"#N/A")</f>
        <v>#N/A</v>
      </c>
      <c r="E204" s="26"/>
      <c r="F204" s="26"/>
      <c r="G204" s="24">
        <f t="shared" si="1"/>
        <v>0</v>
      </c>
      <c r="H204" s="19">
        <f>VLOOKUP(A204,Metrik!$C$2:$Y$959,8,0)</f>
        <v>-59.7</v>
      </c>
      <c r="I204" s="20">
        <f>VLOOKUP(A204,Metrik!$C$2:$Y$959,9,0)</f>
        <v>7.6</v>
      </c>
      <c r="J204" s="20">
        <f>VLOOKUP(A204,Metrik!$C$2:$Y$959,10,0)</f>
        <v>-12.7</v>
      </c>
      <c r="K204" s="20">
        <f>VLOOKUP(A204,Metrik!$C$2:$Y$959,11,0)</f>
        <v>-10.3</v>
      </c>
      <c r="L204" s="20">
        <f>VLOOKUP(A204,Metrik!$C$2:$Y$959,12,0)</f>
        <v>0.22</v>
      </c>
      <c r="M204" s="20">
        <f>VLOOKUP(A204,Metrik!$C$2:$Y$959,19,0)</f>
        <v>-60.2</v>
      </c>
      <c r="N204" s="21"/>
      <c r="O204" s="21"/>
      <c r="P204" s="21"/>
      <c r="Q204" s="21"/>
      <c r="R204" s="21"/>
      <c r="S204" s="21"/>
      <c r="T204" s="21"/>
      <c r="U204" s="22">
        <f>IFERROR(__xludf.DUMMYFUNCTION("IFERROR(GOOGLEFINANCE(A204,""closeyest""),"""")"),140.0)</f>
        <v>140</v>
      </c>
      <c r="V204" s="23">
        <f>IFERROR(__xludf.DUMMYFUNCTION("IFERROR(GOOGLEFINANCE(A204,""changepct""),"""")"),3.57)</f>
        <v>3.57</v>
      </c>
      <c r="W204" s="22">
        <f>IFERROR(__xludf.DUMMYFUNCTION("IFERROR(GOOGLEFINANCE(A204,""priceopen""),"""")"),137.0)</f>
        <v>137</v>
      </c>
      <c r="X204" s="22">
        <f>IFERROR(__xludf.DUMMYFUNCTION("IFERROR(GOOGLEFINANCE(A204,""high""),"""")"),147.0)</f>
        <v>147</v>
      </c>
      <c r="Y204" s="22">
        <f>IFERROR(__xludf.DUMMYFUNCTION("IFERROR(GOOGLEFINANCE(A204,""low""),"""")"),137.0)</f>
        <v>137</v>
      </c>
      <c r="Z204" s="22">
        <f>IFERROR(__xludf.DUMMYFUNCTION("IFERROR(GOOGLEFINANCE(A204,""volume""),"""")"),224600.0)</f>
        <v>224600</v>
      </c>
      <c r="AA204" s="24" t="str">
        <f>VLOOKUP(A204,Metrik!$C$2:$Y$959,5,0)</f>
        <v>Online Applications &amp; Services</v>
      </c>
      <c r="AB204" s="24" t="str">
        <f>VLOOKUP(A204,Metrik!$C$2:$Y$959,3,0)</f>
        <v>Technology</v>
      </c>
    </row>
    <row r="205">
      <c r="A205" s="14" t="s">
        <v>144</v>
      </c>
      <c r="B205" s="14" t="str">
        <f t="array" ref="B205">VLOOKUP(A205,{Metrik!$C$2:$C$998,Metrik!$B$2:$B$998},2,0)</f>
        <v>Tera Data Indonusa Tbk.</v>
      </c>
      <c r="C205" s="15">
        <f>IFERROR(__xludf.DUMMYFUNCTION("GOOGLEFINANCE(""IDX:""&amp;A205,""price"")"),105.0)</f>
        <v>105</v>
      </c>
      <c r="D205" s="16" t="str">
        <f>IFERROR(__xludf.DUMMYFUNCTION("IF(A205="""","""",
SPARKLINE(
INDEX(
GOOGLEFINANCE(""IDX:""&amp;A205,""close"",TODAY()-365,TODAY()),
,2
),
{""linewidth"",1}
))
"),"#N/A")</f>
        <v>#N/A</v>
      </c>
      <c r="E205" s="26"/>
      <c r="F205" s="26"/>
      <c r="G205" s="24">
        <f t="shared" si="1"/>
        <v>0</v>
      </c>
      <c r="H205" s="19">
        <f>VLOOKUP(A205,Metrik!$C$2:$Y$959,8,0)</f>
        <v>9.3</v>
      </c>
      <c r="I205" s="20">
        <f>VLOOKUP(A205,Metrik!$C$2:$Y$959,9,0)</f>
        <v>1.2</v>
      </c>
      <c r="J205" s="20">
        <f>VLOOKUP(A205,Metrik!$C$2:$Y$959,10,0)</f>
        <v>12.8</v>
      </c>
      <c r="K205" s="20">
        <f>VLOOKUP(A205,Metrik!$C$2:$Y$959,11,0)</f>
        <v>5.3</v>
      </c>
      <c r="L205" s="20">
        <f>VLOOKUP(A205,Metrik!$C$2:$Y$959,12,0)</f>
        <v>1.4</v>
      </c>
      <c r="M205" s="20">
        <f>VLOOKUP(A205,Metrik!$C$2:$Y$959,19,0)</f>
        <v>19.8</v>
      </c>
      <c r="N205" s="21"/>
      <c r="O205" s="21"/>
      <c r="P205" s="21"/>
      <c r="Q205" s="21"/>
      <c r="R205" s="21"/>
      <c r="S205" s="21"/>
      <c r="T205" s="21"/>
      <c r="U205" s="22">
        <f>IFERROR(__xludf.DUMMYFUNCTION("IFERROR(GOOGLEFINANCE(A205,""closeyest""),"""")"),102.0)</f>
        <v>102</v>
      </c>
      <c r="V205" s="23">
        <f>IFERROR(__xludf.DUMMYFUNCTION("IFERROR(GOOGLEFINANCE(A205,""changepct""),"""")"),2.94)</f>
        <v>2.94</v>
      </c>
      <c r="W205" s="22">
        <f>IFERROR(__xludf.DUMMYFUNCTION("IFERROR(GOOGLEFINANCE(A205,""priceopen""),"""")"),103.0)</f>
        <v>103</v>
      </c>
      <c r="X205" s="22">
        <f>IFERROR(__xludf.DUMMYFUNCTION("IFERROR(GOOGLEFINANCE(A205,""high""),"""")"),106.0)</f>
        <v>106</v>
      </c>
      <c r="Y205" s="22">
        <f>IFERROR(__xludf.DUMMYFUNCTION("IFERROR(GOOGLEFINANCE(A205,""low""),"""")"),103.0)</f>
        <v>103</v>
      </c>
      <c r="Z205" s="22">
        <f>IFERROR(__xludf.DUMMYFUNCTION("IFERROR(GOOGLEFINANCE(A205,""volume""),"""")"),269400.0)</f>
        <v>269400</v>
      </c>
      <c r="AA205" s="24" t="str">
        <f>VLOOKUP(A205,Metrik!$C$2:$Y$959,5,0)</f>
        <v>Computer Hardware</v>
      </c>
      <c r="AB205" s="24" t="str">
        <f>VLOOKUP(A205,Metrik!$C$2:$Y$959,3,0)</f>
        <v>Technology</v>
      </c>
    </row>
    <row r="206">
      <c r="A206" s="14" t="s">
        <v>145</v>
      </c>
      <c r="B206" s="14" t="str">
        <f t="array" ref="B206">VLOOKUP(A206,{Metrik!$C$2:$C$998,Metrik!$B$2:$B$998},2,0)</f>
        <v>Janu Putra Sejahtera Tbk.</v>
      </c>
      <c r="C206" s="15">
        <f>IFERROR(__xludf.DUMMYFUNCTION("GOOGLEFINANCE(""IDX:""&amp;A206,""price"")"),332.0)</f>
        <v>332</v>
      </c>
      <c r="D206" s="16" t="str">
        <f>IFERROR(__xludf.DUMMYFUNCTION("IF(A206="""","""",
SPARKLINE(
INDEX(
GOOGLEFINANCE(""IDX:""&amp;A206,""close"",TODAY()-365,TODAY()),
,2
),
{""linewidth"",1}
))
"),"#N/A")</f>
        <v>#N/A</v>
      </c>
      <c r="E206" s="26"/>
      <c r="F206" s="26"/>
      <c r="G206" s="24">
        <f t="shared" si="1"/>
        <v>0</v>
      </c>
      <c r="H206" s="19">
        <f>VLOOKUP(A206,Metrik!$C$2:$Y$959,8,0)</f>
        <v>640</v>
      </c>
      <c r="I206" s="20">
        <f>VLOOKUP(A206,Metrik!$C$2:$Y$959,9,0)</f>
        <v>5.8</v>
      </c>
      <c r="J206" s="20">
        <f>VLOOKUP(A206,Metrik!$C$2:$Y$959,10,0)</f>
        <v>0.9</v>
      </c>
      <c r="K206" s="20">
        <f>VLOOKUP(A206,Metrik!$C$2:$Y$959,11,0)</f>
        <v>0.37</v>
      </c>
      <c r="L206" s="20">
        <f>VLOOKUP(A206,Metrik!$C$2:$Y$959,12,0)</f>
        <v>1.4</v>
      </c>
      <c r="M206" s="20">
        <f>VLOOKUP(A206,Metrik!$C$2:$Y$959,19,0)</f>
        <v>3.4</v>
      </c>
      <c r="N206" s="21"/>
      <c r="O206" s="21"/>
      <c r="P206" s="21"/>
      <c r="Q206" s="21"/>
      <c r="R206" s="21"/>
      <c r="S206" s="21"/>
      <c r="T206" s="21"/>
      <c r="U206" s="22">
        <f>IFERROR(__xludf.DUMMYFUNCTION("IFERROR(GOOGLEFINANCE(A206,""closeyest""),"""")"),332.0)</f>
        <v>332</v>
      </c>
      <c r="V206" s="23">
        <f>IFERROR(__xludf.DUMMYFUNCTION("IFERROR(GOOGLEFINANCE(A206,""changepct""),"""")"),0.0)</f>
        <v>0</v>
      </c>
      <c r="W206" s="22">
        <f>IFERROR(__xludf.DUMMYFUNCTION("IFERROR(GOOGLEFINANCE(A206,""priceopen""),"""")"),332.0)</f>
        <v>332</v>
      </c>
      <c r="X206" s="22">
        <f>IFERROR(__xludf.DUMMYFUNCTION("IFERROR(GOOGLEFINANCE(A206,""high""),"""")"),340.0)</f>
        <v>340</v>
      </c>
      <c r="Y206" s="22">
        <f>IFERROR(__xludf.DUMMYFUNCTION("IFERROR(GOOGLEFINANCE(A206,""low""),"""")"),328.0)</f>
        <v>328</v>
      </c>
      <c r="Z206" s="22">
        <f>IFERROR(__xludf.DUMMYFUNCTION("IFERROR(GOOGLEFINANCE(A206,""volume""),"""")"),3.68037E7)</f>
        <v>36803700</v>
      </c>
      <c r="AA206" s="24" t="str">
        <f>VLOOKUP(A206,Metrik!$C$2:$Y$959,5,0)</f>
        <v>Agricultural Products</v>
      </c>
      <c r="AB206" s="24" t="str">
        <f>VLOOKUP(A206,Metrik!$C$2:$Y$959,3,0)</f>
        <v>Consumer Non-Cyclicals</v>
      </c>
    </row>
    <row r="207">
      <c r="A207" s="14" t="s">
        <v>146</v>
      </c>
      <c r="B207" s="14" t="str">
        <f t="array" ref="B207">VLOOKUP(A207,{Metrik!$C$2:$C$998,Metrik!$B$2:$B$998},2,0)</f>
        <v>Arkayana Lestari Grup Tbk.</v>
      </c>
      <c r="C207" s="15">
        <f>IFERROR(__xludf.DUMMYFUNCTION("GOOGLEFINANCE(""IDX:""&amp;A207,""price"")"),132.0)</f>
        <v>132</v>
      </c>
      <c r="D207" s="16" t="str">
        <f>IFERROR(__xludf.DUMMYFUNCTION("IF(A207="""","""",
SPARKLINE(
INDEX(
GOOGLEFINANCE(""IDX:""&amp;A207,""close"",TODAY()-365,TODAY()),
,2
),
{""linewidth"",1}
))
"),"#N/A")</f>
        <v>#N/A</v>
      </c>
      <c r="E207" s="26"/>
      <c r="F207" s="26"/>
      <c r="G207" s="24">
        <f t="shared" si="1"/>
        <v>0</v>
      </c>
      <c r="H207" s="19">
        <f>VLOOKUP(A207,Metrik!$C$2:$Y$959,8,0)</f>
        <v>-15</v>
      </c>
      <c r="I207" s="20">
        <f>VLOOKUP(A207,Metrik!$C$2:$Y$959,9,0)</f>
        <v>3.6</v>
      </c>
      <c r="J207" s="20">
        <f>VLOOKUP(A207,Metrik!$C$2:$Y$959,10,0)</f>
        <v>-24.3</v>
      </c>
      <c r="K207" s="20">
        <f>VLOOKUP(A207,Metrik!$C$2:$Y$959,11,0)</f>
        <v>-24</v>
      </c>
      <c r="L207" s="20">
        <f>VLOOKUP(A207,Metrik!$C$2:$Y$959,12,0)</f>
        <v>0.01</v>
      </c>
      <c r="M207" s="20">
        <f>VLOOKUP(A207,Metrik!$C$2:$Y$959,19,0)</f>
        <v>-2540</v>
      </c>
      <c r="N207" s="21"/>
      <c r="O207" s="21"/>
      <c r="P207" s="21"/>
      <c r="Q207" s="21"/>
      <c r="R207" s="21"/>
      <c r="S207" s="21"/>
      <c r="T207" s="21"/>
      <c r="U207" s="22">
        <f>IFERROR(__xludf.DUMMYFUNCTION("IFERROR(GOOGLEFINANCE(A207,""closeyest""),"""")"),127.0)</f>
        <v>127</v>
      </c>
      <c r="V207" s="23">
        <f>IFERROR(__xludf.DUMMYFUNCTION("IFERROR(GOOGLEFINANCE(A207,""changepct""),"""")"),3.94)</f>
        <v>3.94</v>
      </c>
      <c r="W207" s="22">
        <f>IFERROR(__xludf.DUMMYFUNCTION("IFERROR(GOOGLEFINANCE(A207,""priceopen""),"""")"),127.0)</f>
        <v>127</v>
      </c>
      <c r="X207" s="22">
        <f>IFERROR(__xludf.DUMMYFUNCTION("IFERROR(GOOGLEFINANCE(A207,""high""),"""")"),133.0)</f>
        <v>133</v>
      </c>
      <c r="Y207" s="22">
        <f>IFERROR(__xludf.DUMMYFUNCTION("IFERROR(GOOGLEFINANCE(A207,""low""),"""")"),125.0)</f>
        <v>125</v>
      </c>
      <c r="Z207" s="22">
        <f>IFERROR(__xludf.DUMMYFUNCTION("IFERROR(GOOGLEFINANCE(A207,""volume""),"""")"),1561100.0)</f>
        <v>1561100</v>
      </c>
      <c r="AA207" s="24" t="str">
        <f>VLOOKUP(A207,Metrik!$C$2:$Y$959,5,0)</f>
        <v>Construction Materials</v>
      </c>
      <c r="AB207" s="24" t="str">
        <f>VLOOKUP(A207,Metrik!$C$2:$Y$959,3,0)</f>
        <v>Basic Materials</v>
      </c>
    </row>
    <row r="208">
      <c r="A208" s="14" t="s">
        <v>147</v>
      </c>
      <c r="B208" s="14" t="str">
        <f t="array" ref="B208">VLOOKUP(A208,{Metrik!$C$2:$C$998,Metrik!$B$2:$B$998},2,0)</f>
        <v>PT Bank MNC Internasional Tbk.</v>
      </c>
      <c r="C208" s="15">
        <f>IFERROR(__xludf.DUMMYFUNCTION("GOOGLEFINANCE(""IDX:""&amp;A208,""price"")"),50.0)</f>
        <v>50</v>
      </c>
      <c r="D208" s="16" t="str">
        <f>IFERROR(__xludf.DUMMYFUNCTION("IF(A208="""","""",
SPARKLINE(
INDEX(
GOOGLEFINANCE(""IDX:""&amp;A208,""close"",TODAY()-365,TODAY()),
,2
),
{""linewidth"",1}
))
"),"#N/A")</f>
        <v>#N/A</v>
      </c>
      <c r="E208" s="26"/>
      <c r="F208" s="26"/>
      <c r="G208" s="24">
        <f t="shared" si="1"/>
        <v>0</v>
      </c>
      <c r="H208" s="19">
        <f>VLOOKUP(A208,Metrik!$C$2:$Y$959,8,0)</f>
        <v>27.7</v>
      </c>
      <c r="I208" s="20">
        <f>VLOOKUP(A208,Metrik!$C$2:$Y$959,9,0)</f>
        <v>0.59</v>
      </c>
      <c r="J208" s="20">
        <f>VLOOKUP(A208,Metrik!$C$2:$Y$959,10,0)</f>
        <v>2.1</v>
      </c>
      <c r="K208" s="20">
        <f>VLOOKUP(A208,Metrik!$C$2:$Y$959,11,0)</f>
        <v>0.38</v>
      </c>
      <c r="L208" s="20">
        <f>VLOOKUP(A208,Metrik!$C$2:$Y$959,12,0)</f>
        <v>4.7</v>
      </c>
      <c r="M208" s="20">
        <f>VLOOKUP(A208,Metrik!$C$2:$Y$959,19,0)</f>
        <v>20.4</v>
      </c>
      <c r="N208" s="32">
        <v>3.15</v>
      </c>
      <c r="O208" s="32">
        <v>24.66</v>
      </c>
      <c r="P208" s="32">
        <v>78.71</v>
      </c>
      <c r="Q208" s="32">
        <v>2.99</v>
      </c>
      <c r="R208" s="32">
        <v>94.63</v>
      </c>
      <c r="S208" s="32">
        <v>77.62</v>
      </c>
      <c r="T208" s="32">
        <v>6.85</v>
      </c>
      <c r="U208" s="22">
        <f>IFERROR(__xludf.DUMMYFUNCTION("IFERROR(GOOGLEFINANCE(A208,""closeyest""),"""")"),50.0)</f>
        <v>50</v>
      </c>
      <c r="V208" s="23">
        <f>IFERROR(__xludf.DUMMYFUNCTION("IFERROR(GOOGLEFINANCE(A208,""changepct""),"""")"),0.0)</f>
        <v>0</v>
      </c>
      <c r="W208" s="22">
        <f>IFERROR(__xludf.DUMMYFUNCTION("IFERROR(GOOGLEFINANCE(A208,""priceopen""),"""")"),50.0)</f>
        <v>50</v>
      </c>
      <c r="X208" s="22">
        <f>IFERROR(__xludf.DUMMYFUNCTION("IFERROR(GOOGLEFINANCE(A208,""high""),"""")"),50.0)</f>
        <v>50</v>
      </c>
      <c r="Y208" s="22">
        <f>IFERROR(__xludf.DUMMYFUNCTION("IFERROR(GOOGLEFINANCE(A208,""low""),"""")"),50.0)</f>
        <v>50</v>
      </c>
      <c r="Z208" s="22" t="str">
        <f>IFERROR(__xludf.DUMMYFUNCTION("IFERROR(GOOGLEFINANCE(A208,""volume""),"""")"),"")</f>
        <v/>
      </c>
      <c r="AA208" s="24" t="str">
        <f>VLOOKUP(A208,Metrik!$C$2:$Y$959,5,0)</f>
        <v>Banks</v>
      </c>
      <c r="AB208" s="24" t="str">
        <f>VLOOKUP(A208,Metrik!$C$2:$Y$959,3,0)</f>
        <v>Financials</v>
      </c>
    </row>
    <row r="209">
      <c r="A209" s="14" t="s">
        <v>148</v>
      </c>
      <c r="B209" s="14" t="str">
        <f t="array" ref="B209">VLOOKUP(A209,{Metrik!$C$2:$C$998,Metrik!$B$2:$B$998},2,0)</f>
        <v>PT Multitrend Indo Tbk.</v>
      </c>
      <c r="C209" s="15">
        <f>IFERROR(__xludf.DUMMYFUNCTION("GOOGLEFINANCE(""IDX:""&amp;A209,""price"")"),200.0)</f>
        <v>200</v>
      </c>
      <c r="D209" s="16" t="str">
        <f>IFERROR(__xludf.DUMMYFUNCTION("IF(A209="""","""",
SPARKLINE(
INDEX(
GOOGLEFINANCE(""IDX:""&amp;A209,""close"",TODAY()-365,TODAY()),
,2
),
{""linewidth"",1}
))
"),"#N/A")</f>
        <v>#N/A</v>
      </c>
      <c r="E209" s="26"/>
      <c r="F209" s="26"/>
      <c r="G209" s="24">
        <f t="shared" si="1"/>
        <v>0</v>
      </c>
      <c r="H209" s="19">
        <f>VLOOKUP(A209,Metrik!$C$2:$Y$959,8,0)</f>
        <v>60</v>
      </c>
      <c r="I209" s="20">
        <f>VLOOKUP(A209,Metrik!$C$2:$Y$959,9,0)</f>
        <v>0.97</v>
      </c>
      <c r="J209" s="20">
        <f>VLOOKUP(A209,Metrik!$C$2:$Y$959,10,0)</f>
        <v>1.6</v>
      </c>
      <c r="K209" s="20">
        <f>VLOOKUP(A209,Metrik!$C$2:$Y$959,11,0)</f>
        <v>1</v>
      </c>
      <c r="L209" s="20">
        <f>VLOOKUP(A209,Metrik!$C$2:$Y$959,12,0)</f>
        <v>0.59</v>
      </c>
      <c r="M209" s="20">
        <f>VLOOKUP(A209,Metrik!$C$2:$Y$959,19,0)</f>
        <v>2.4</v>
      </c>
      <c r="N209" s="21"/>
      <c r="O209" s="21"/>
      <c r="P209" s="21"/>
      <c r="Q209" s="21"/>
      <c r="R209" s="21"/>
      <c r="S209" s="21"/>
      <c r="T209" s="21"/>
      <c r="U209" s="22">
        <f>IFERROR(__xludf.DUMMYFUNCTION("IFERROR(GOOGLEFINANCE(A209,""closeyest""),"""")"),0.03)</f>
        <v>0.03</v>
      </c>
      <c r="V209" s="23">
        <f>IFERROR(__xludf.DUMMYFUNCTION("IFERROR(GOOGLEFINANCE(A209,""changepct""),"""")"),0.0)</f>
        <v>0</v>
      </c>
      <c r="W209" s="22" t="str">
        <f>IFERROR(__xludf.DUMMYFUNCTION("IFERROR(GOOGLEFINANCE(A209,""priceopen""),"""")"),"")</f>
        <v/>
      </c>
      <c r="X209" s="22" t="str">
        <f>IFERROR(__xludf.DUMMYFUNCTION("IFERROR(GOOGLEFINANCE(A209,""high""),"""")"),"")</f>
        <v/>
      </c>
      <c r="Y209" s="22" t="str">
        <f>IFERROR(__xludf.DUMMYFUNCTION("IFERROR(GOOGLEFINANCE(A209,""low""),"""")"),"")</f>
        <v/>
      </c>
      <c r="Z209" s="22">
        <f>IFERROR(__xludf.DUMMYFUNCTION("IFERROR(GOOGLEFINANCE(A209,""volume""),"""")"),0.0)</f>
        <v>0</v>
      </c>
      <c r="AA209" s="24" t="str">
        <f>VLOOKUP(A209,Metrik!$C$2:$Y$959,5,0)</f>
        <v>Specialty Retail</v>
      </c>
      <c r="AB209" s="24" t="str">
        <f>VLOOKUP(A209,Metrik!$C$2:$Y$959,3,0)</f>
        <v>Consumer Cyclicals</v>
      </c>
    </row>
    <row r="210">
      <c r="A210" s="14" t="s">
        <v>149</v>
      </c>
      <c r="B210" s="14" t="str">
        <f t="array" ref="B210">VLOOKUP(A210,{Metrik!$C$2:$C$998,Metrik!$B$2:$B$998},2,0)</f>
        <v>PT Bank Capital Indonesia Tbk</v>
      </c>
      <c r="C210" s="15">
        <f>IFERROR(__xludf.DUMMYFUNCTION("GOOGLEFINANCE(""IDX:""&amp;A210,""price"")"),110.0)</f>
        <v>110</v>
      </c>
      <c r="D210" s="16" t="str">
        <f>IFERROR(__xludf.DUMMYFUNCTION("IF(A210="""","""",
SPARKLINE(
INDEX(
GOOGLEFINANCE(""IDX:""&amp;A210,""close"",TODAY()-365,TODAY()),
,2
),
{""linewidth"",1}
))
"),"#N/A")</f>
        <v>#N/A</v>
      </c>
      <c r="E210" s="26"/>
      <c r="F210" s="26"/>
      <c r="G210" s="24">
        <f t="shared" si="1"/>
        <v>0</v>
      </c>
      <c r="H210" s="19">
        <f>VLOOKUP(A210,Metrik!$C$2:$Y$959,8,0)</f>
        <v>18.5</v>
      </c>
      <c r="I210" s="20">
        <f>VLOOKUP(A210,Metrik!$C$2:$Y$959,9,0)</f>
        <v>0.36</v>
      </c>
      <c r="J210" s="20">
        <f>VLOOKUP(A210,Metrik!$C$2:$Y$959,10,0)</f>
        <v>1.9</v>
      </c>
      <c r="K210" s="20">
        <f>VLOOKUP(A210,Metrik!$C$2:$Y$959,11,0)</f>
        <v>0.5</v>
      </c>
      <c r="L210" s="20">
        <f>VLOOKUP(A210,Metrik!$C$2:$Y$959,12,0)</f>
        <v>2.9</v>
      </c>
      <c r="M210" s="20">
        <f>VLOOKUP(A210,Metrik!$C$2:$Y$959,19,0)</f>
        <v>29.7</v>
      </c>
      <c r="N210" s="32">
        <v>0.56</v>
      </c>
      <c r="O210" s="32">
        <v>36.41</v>
      </c>
      <c r="P210" s="32">
        <v>59.96</v>
      </c>
      <c r="Q210" s="32">
        <v>0.08</v>
      </c>
      <c r="R210" s="32">
        <v>97.41</v>
      </c>
      <c r="S210" s="41"/>
      <c r="T210" s="41"/>
      <c r="U210" s="22">
        <f>IFERROR(__xludf.DUMMYFUNCTION("IFERROR(GOOGLEFINANCE(A210,""closeyest""),"""")"),106.0)</f>
        <v>106</v>
      </c>
      <c r="V210" s="23">
        <f>IFERROR(__xludf.DUMMYFUNCTION("IFERROR(GOOGLEFINANCE(A210,""changepct""),"""")"),3.77)</f>
        <v>3.77</v>
      </c>
      <c r="W210" s="22">
        <f>IFERROR(__xludf.DUMMYFUNCTION("IFERROR(GOOGLEFINANCE(A210,""priceopen""),"""")"),106.0)</f>
        <v>106</v>
      </c>
      <c r="X210" s="22">
        <f>IFERROR(__xludf.DUMMYFUNCTION("IFERROR(GOOGLEFINANCE(A210,""high""),"""")"),112.0)</f>
        <v>112</v>
      </c>
      <c r="Y210" s="22">
        <f>IFERROR(__xludf.DUMMYFUNCTION("IFERROR(GOOGLEFINANCE(A210,""low""),"""")"),102.0)</f>
        <v>102</v>
      </c>
      <c r="Z210" s="22">
        <f>IFERROR(__xludf.DUMMYFUNCTION("IFERROR(GOOGLEFINANCE(A210,""volume""),"""")"),1952000.0)</f>
        <v>1952000</v>
      </c>
      <c r="AA210" s="24" t="str">
        <f>VLOOKUP(A210,Metrik!$C$2:$Y$959,5,0)</f>
        <v>Banks</v>
      </c>
      <c r="AB210" s="24" t="str">
        <f>VLOOKUP(A210,Metrik!$C$2:$Y$959,3,0)</f>
        <v>Financials</v>
      </c>
    </row>
    <row r="211">
      <c r="A211" s="14" t="s">
        <v>150</v>
      </c>
      <c r="B211" s="14" t="str">
        <f t="array" ref="B211">VLOOKUP(A211,{Metrik!$C$2:$C$998,Metrik!$B$2:$B$998},2,0)</f>
        <v>Bersama Mencapai Puncak Tbk.</v>
      </c>
      <c r="C211" s="15">
        <f>IFERROR(__xludf.DUMMYFUNCTION("GOOGLEFINANCE(""IDX:""&amp;A211,""price"")"),680.0)</f>
        <v>680</v>
      </c>
      <c r="D211" s="16" t="str">
        <f>IFERROR(__xludf.DUMMYFUNCTION("IF(A211="""","""",
SPARKLINE(
INDEX(
GOOGLEFINANCE(""IDX:""&amp;A211,""close"",TODAY()-365,TODAY()),
,2
),
{""linewidth"",1}
))
"),"#N/A")</f>
        <v>#N/A</v>
      </c>
      <c r="E211" s="26"/>
      <c r="F211" s="26"/>
      <c r="G211" s="24">
        <f t="shared" si="1"/>
        <v>0</v>
      </c>
      <c r="H211" s="19">
        <f>VLOOKUP(A211,Metrik!$C$2:$Y$959,8,0)</f>
        <v>110</v>
      </c>
      <c r="I211" s="20">
        <f>VLOOKUP(A211,Metrik!$C$2:$Y$959,9,0)</f>
        <v>4.4</v>
      </c>
      <c r="J211" s="20">
        <f>VLOOKUP(A211,Metrik!$C$2:$Y$959,10,0)</f>
        <v>3.9</v>
      </c>
      <c r="K211" s="20">
        <f>VLOOKUP(A211,Metrik!$C$2:$Y$959,11,0)</f>
        <v>3.5</v>
      </c>
      <c r="L211" s="20">
        <f>VLOOKUP(A211,Metrik!$C$2:$Y$959,12,0)</f>
        <v>0.09</v>
      </c>
      <c r="M211" s="20">
        <f>VLOOKUP(A211,Metrik!$C$2:$Y$959,19,0)</f>
        <v>9.4</v>
      </c>
      <c r="N211" s="21"/>
      <c r="O211" s="21"/>
      <c r="P211" s="21"/>
      <c r="Q211" s="21"/>
      <c r="R211" s="21"/>
      <c r="S211" s="21"/>
      <c r="T211" s="21"/>
      <c r="U211" s="22">
        <f>IFERROR(__xludf.DUMMYFUNCTION("IFERROR(GOOGLEFINANCE(A211,""closeyest""),"""")"),575.0)</f>
        <v>575</v>
      </c>
      <c r="V211" s="23">
        <f>IFERROR(__xludf.DUMMYFUNCTION("IFERROR(GOOGLEFINANCE(A211,""changepct""),"""")"),18.26)</f>
        <v>18.26</v>
      </c>
      <c r="W211" s="22">
        <f>IFERROR(__xludf.DUMMYFUNCTION("IFERROR(GOOGLEFINANCE(A211,""priceopen""),"""")"),575.0)</f>
        <v>575</v>
      </c>
      <c r="X211" s="22">
        <f>IFERROR(__xludf.DUMMYFUNCTION("IFERROR(GOOGLEFINANCE(A211,""high""),"""")"),690.0)</f>
        <v>690</v>
      </c>
      <c r="Y211" s="22">
        <f>IFERROR(__xludf.DUMMYFUNCTION("IFERROR(GOOGLEFINANCE(A211,""low""),"""")"),565.0)</f>
        <v>565</v>
      </c>
      <c r="Z211" s="22">
        <f>IFERROR(__xludf.DUMMYFUNCTION("IFERROR(GOOGLEFINANCE(A211,""volume""),"""")"),2.53645E7)</f>
        <v>25364500</v>
      </c>
      <c r="AA211" s="24" t="str">
        <f>VLOOKUP(A211,Metrik!$C$2:$Y$959,5,0)</f>
        <v>Tourism &amp; Recreation</v>
      </c>
      <c r="AB211" s="24" t="str">
        <f>VLOOKUP(A211,Metrik!$C$2:$Y$959,3,0)</f>
        <v>Consumer Cyclicals</v>
      </c>
    </row>
    <row r="212">
      <c r="A212" s="14" t="s">
        <v>151</v>
      </c>
      <c r="B212" s="14" t="str">
        <f t="array" ref="B212">VLOOKUP(A212,{Metrik!$C$2:$C$998,Metrik!$B$2:$B$998},2,0)</f>
        <v>Saranacentral Bajatama Tbk.</v>
      </c>
      <c r="C212" s="15">
        <f>IFERROR(__xludf.DUMMYFUNCTION("GOOGLEFINANCE(""IDX:""&amp;A212,""price"")"),126.0)</f>
        <v>126</v>
      </c>
      <c r="D212" s="16" t="str">
        <f>IFERROR(__xludf.DUMMYFUNCTION("IF(A212="""","""",
SPARKLINE(
INDEX(
GOOGLEFINANCE(""IDX:""&amp;A212,""close"",TODAY()-365,TODAY()),
,2
),
{""linewidth"",1}
))
"),"#N/A")</f>
        <v>#N/A</v>
      </c>
      <c r="E212" s="26"/>
      <c r="F212" s="26"/>
      <c r="G212" s="24">
        <f t="shared" si="1"/>
        <v>0</v>
      </c>
      <c r="H212" s="19">
        <f>VLOOKUP(A212,Metrik!$C$2:$Y$959,8,0)</f>
        <v>-7.3</v>
      </c>
      <c r="I212" s="20">
        <f>VLOOKUP(A212,Metrik!$C$2:$Y$959,9,0)</f>
        <v>12.4</v>
      </c>
      <c r="J212" s="20">
        <f>VLOOKUP(A212,Metrik!$C$2:$Y$959,10,0)</f>
        <v>-170</v>
      </c>
      <c r="K212" s="20">
        <f>VLOOKUP(A212,Metrik!$C$2:$Y$959,11,0)</f>
        <v>-5.3</v>
      </c>
      <c r="L212" s="20">
        <f>VLOOKUP(A212,Metrik!$C$2:$Y$959,12,0)</f>
        <v>31.2</v>
      </c>
      <c r="M212" s="20">
        <f>VLOOKUP(A212,Metrik!$C$2:$Y$959,19,0)</f>
        <v>-4.4</v>
      </c>
      <c r="N212" s="21"/>
      <c r="O212" s="21"/>
      <c r="P212" s="21"/>
      <c r="Q212" s="21"/>
      <c r="R212" s="21"/>
      <c r="S212" s="21"/>
      <c r="T212" s="21"/>
      <c r="U212" s="22">
        <f>IFERROR(__xludf.DUMMYFUNCTION("IFERROR(GOOGLEFINANCE(A212,""closeyest""),"""")"),126.0)</f>
        <v>126</v>
      </c>
      <c r="V212" s="23">
        <f>IFERROR(__xludf.DUMMYFUNCTION("IFERROR(GOOGLEFINANCE(A212,""changepct""),"""")"),0.0)</f>
        <v>0</v>
      </c>
      <c r="W212" s="22">
        <f>IFERROR(__xludf.DUMMYFUNCTION("IFERROR(GOOGLEFINANCE(A212,""priceopen""),"""")"),126.0)</f>
        <v>126</v>
      </c>
      <c r="X212" s="22">
        <f>IFERROR(__xludf.DUMMYFUNCTION("IFERROR(GOOGLEFINANCE(A212,""high""),"""")"),126.0)</f>
        <v>126</v>
      </c>
      <c r="Y212" s="22">
        <f>IFERROR(__xludf.DUMMYFUNCTION("IFERROR(GOOGLEFINANCE(A212,""low""),"""")"),123.0)</f>
        <v>123</v>
      </c>
      <c r="Z212" s="22">
        <f>IFERROR(__xludf.DUMMYFUNCTION("IFERROR(GOOGLEFINANCE(A212,""volume""),"""")"),476200.0)</f>
        <v>476200</v>
      </c>
      <c r="AA212" s="24" t="str">
        <f>VLOOKUP(A212,Metrik!$C$2:$Y$959,5,0)</f>
        <v>Metals &amp; Minerals</v>
      </c>
      <c r="AB212" s="24" t="str">
        <f>VLOOKUP(A212,Metrik!$C$2:$Y$959,3,0)</f>
        <v>Basic Materials</v>
      </c>
    </row>
    <row r="213">
      <c r="A213" s="14" t="s">
        <v>152</v>
      </c>
      <c r="B213" s="14" t="str">
        <f t="array" ref="B213">VLOOKUP(A213,{Metrik!$C$2:$C$998,Metrik!$B$2:$B$998},2,0)</f>
        <v>PT Bali Towerindo Sentra Tbk.</v>
      </c>
      <c r="C213" s="15">
        <f>IFERROR(__xludf.DUMMYFUNCTION("GOOGLEFINANCE(""IDX:""&amp;A213,""price"")"),1210.0)</f>
        <v>1210</v>
      </c>
      <c r="D213" s="16" t="str">
        <f>IFERROR(__xludf.DUMMYFUNCTION("IF(A213="""","""",
SPARKLINE(
INDEX(
GOOGLEFINANCE(""IDX:""&amp;A213,""close"",TODAY()-365,TODAY()),
,2
),
{""linewidth"",1}
))
"),"#N/A")</f>
        <v>#N/A</v>
      </c>
      <c r="E213" s="26"/>
      <c r="F213" s="26"/>
      <c r="G213" s="24">
        <f t="shared" si="1"/>
        <v>0</v>
      </c>
      <c r="H213" s="19">
        <f>VLOOKUP(A213,Metrik!$C$2:$Y$959,8,0)</f>
        <v>26</v>
      </c>
      <c r="I213" s="20">
        <f>VLOOKUP(A213,Metrik!$C$2:$Y$959,9,0)</f>
        <v>1.9</v>
      </c>
      <c r="J213" s="20">
        <f>VLOOKUP(A213,Metrik!$C$2:$Y$959,10,0)</f>
        <v>7.4</v>
      </c>
      <c r="K213" s="20">
        <f>VLOOKUP(A213,Metrik!$C$2:$Y$959,11,0)</f>
        <v>3</v>
      </c>
      <c r="L213" s="20">
        <f>VLOOKUP(A213,Metrik!$C$2:$Y$959,12,0)</f>
        <v>1.5</v>
      </c>
      <c r="M213" s="20">
        <f>VLOOKUP(A213,Metrik!$C$2:$Y$959,19,0)</f>
        <v>60.1</v>
      </c>
      <c r="N213" s="21"/>
      <c r="O213" s="21"/>
      <c r="P213" s="21"/>
      <c r="Q213" s="21"/>
      <c r="R213" s="21"/>
      <c r="S213" s="21"/>
      <c r="T213" s="21"/>
      <c r="U213" s="22">
        <f>IFERROR(__xludf.DUMMYFUNCTION("IFERROR(GOOGLEFINANCE(A213,""closeyest""),"""")"),33.45)</f>
        <v>33.45</v>
      </c>
      <c r="V213" s="23">
        <f>IFERROR(__xludf.DUMMYFUNCTION("IFERROR(GOOGLEFINANCE(A213,""changepct""),"""")"),0.51)</f>
        <v>0.51</v>
      </c>
      <c r="W213" s="22">
        <f>IFERROR(__xludf.DUMMYFUNCTION("IFERROR(GOOGLEFINANCE(A213,""priceopen""),"""")"),33.55)</f>
        <v>33.55</v>
      </c>
      <c r="X213" s="22">
        <f>IFERROR(__xludf.DUMMYFUNCTION("IFERROR(GOOGLEFINANCE(A213,""high""),"""")"),33.67)</f>
        <v>33.67</v>
      </c>
      <c r="Y213" s="22">
        <f>IFERROR(__xludf.DUMMYFUNCTION("IFERROR(GOOGLEFINANCE(A213,""low""),"""")"),33.43)</f>
        <v>33.43</v>
      </c>
      <c r="Z213" s="22">
        <f>IFERROR(__xludf.DUMMYFUNCTION("IFERROR(GOOGLEFINANCE(A213,""volume""),"""")"),12045.0)</f>
        <v>12045</v>
      </c>
      <c r="AA213" s="24" t="str">
        <f>VLOOKUP(A213,Metrik!$C$2:$Y$959,5,0)</f>
        <v>Wireless Telecommunication Services</v>
      </c>
      <c r="AB213" s="24" t="str">
        <f>VLOOKUP(A213,Metrik!$C$2:$Y$959,3,0)</f>
        <v>Infrastructures</v>
      </c>
    </row>
    <row r="214">
      <c r="A214" s="14" t="s">
        <v>153</v>
      </c>
      <c r="B214" s="14" t="str">
        <f t="array" ref="B214">VLOOKUP(A214,{Metrik!$C$2:$C$998,Metrik!$B$2:$B$998},2,0)</f>
        <v>Bank Aladin Syariah Tbk.</v>
      </c>
      <c r="C214" s="15">
        <f>IFERROR(__xludf.DUMMYFUNCTION("GOOGLEFINANCE(""IDX:""&amp;A214,""price"")"),282.0)</f>
        <v>282</v>
      </c>
      <c r="D214" s="16" t="str">
        <f>IFERROR(__xludf.DUMMYFUNCTION("IF(A214="""","""",
SPARKLINE(
INDEX(
GOOGLEFINANCE(""IDX:""&amp;A214,""close"",TODAY()-365,TODAY()),
,2
),
{""linewidth"",1}
))
"),"#N/A")</f>
        <v>#N/A</v>
      </c>
      <c r="E214" s="14" t="s">
        <v>75</v>
      </c>
      <c r="F214" s="14" t="s">
        <v>76</v>
      </c>
      <c r="G214" s="24">
        <f t="shared" si="1"/>
        <v>1</v>
      </c>
      <c r="H214" s="19">
        <f>VLOOKUP(A214,Metrik!$C$2:$Y$959,8,0)</f>
        <v>25.3</v>
      </c>
      <c r="I214" s="20">
        <f>VLOOKUP(A214,Metrik!$C$2:$Y$959,9,0)</f>
        <v>1.1</v>
      </c>
      <c r="J214" s="20">
        <f>VLOOKUP(A214,Metrik!$C$2:$Y$959,10,0)</f>
        <v>4.2</v>
      </c>
      <c r="K214" s="20">
        <f>VLOOKUP(A214,Metrik!$C$2:$Y$959,11,0)</f>
        <v>0.93</v>
      </c>
      <c r="L214" s="20">
        <f>VLOOKUP(A214,Metrik!$C$2:$Y$959,12,0)</f>
        <v>0.39</v>
      </c>
      <c r="M214" s="20">
        <f>VLOOKUP(A214,Metrik!$C$2:$Y$959,19,0)</f>
        <v>340</v>
      </c>
      <c r="N214" s="43">
        <v>13.8</v>
      </c>
      <c r="O214" s="43">
        <v>153.0</v>
      </c>
      <c r="P214" s="43">
        <v>101.3</v>
      </c>
      <c r="Q214" s="43">
        <v>1.4</v>
      </c>
      <c r="R214" s="43">
        <v>117.1</v>
      </c>
      <c r="S214" s="43">
        <v>109.2</v>
      </c>
      <c r="T214" s="43">
        <v>1.9</v>
      </c>
      <c r="U214" s="22">
        <f>IFERROR(__xludf.DUMMYFUNCTION("IFERROR(GOOGLEFINANCE(A214,""closeyest""),"""")"),1514.55)</f>
        <v>1514.55</v>
      </c>
      <c r="V214" s="23">
        <f>IFERROR(__xludf.DUMMYFUNCTION("IFERROR(GOOGLEFINANCE(A214,""changepct""),"""")"),4.27)</f>
        <v>4.27</v>
      </c>
      <c r="W214" s="22">
        <f>IFERROR(__xludf.DUMMYFUNCTION("IFERROR(GOOGLEFINANCE(A214,""priceopen""),"""")"),1514.64)</f>
        <v>1514.64</v>
      </c>
      <c r="X214" s="22">
        <f>IFERROR(__xludf.DUMMYFUNCTION("IFERROR(GOOGLEFINANCE(A214,""high""),"""")"),1581.61)</f>
        <v>1581.61</v>
      </c>
      <c r="Y214" s="22">
        <f>IFERROR(__xludf.DUMMYFUNCTION("IFERROR(GOOGLEFINANCE(A214,""low""),"""")"),1514.64)</f>
        <v>1514.64</v>
      </c>
      <c r="Z214" s="22">
        <f>IFERROR(__xludf.DUMMYFUNCTION("IFERROR(GOOGLEFINANCE(A214,""volume""),"""")"),0.0)</f>
        <v>0</v>
      </c>
      <c r="AA214" s="24" t="str">
        <f>VLOOKUP(A214,Metrik!$C$2:$Y$959,5,0)</f>
        <v>Forestry &amp; Paper</v>
      </c>
      <c r="AB214" s="24" t="str">
        <f>VLOOKUP(A214,Metrik!$C$2:$Y$959,3,0)</f>
        <v>Basic Materials</v>
      </c>
    </row>
    <row r="215">
      <c r="A215" s="14" t="s">
        <v>154</v>
      </c>
      <c r="B215" s="14" t="str">
        <f t="array" ref="B215">VLOOKUP(A215,{Metrik!$C$2:$C$998,Metrik!$B$2:$B$998},2,0)</f>
        <v>Bekasi Asri Pemula Tbk.</v>
      </c>
      <c r="C215" s="15">
        <f>IFERROR(__xludf.DUMMYFUNCTION("GOOGLEFINANCE(""IDX:""&amp;A215,""price"")"),238.0)</f>
        <v>238</v>
      </c>
      <c r="D215" s="16" t="str">
        <f>IFERROR(__xludf.DUMMYFUNCTION("IF(A215="""","""",
SPARKLINE(
INDEX(
GOOGLEFINANCE(""IDX:""&amp;A215,""close"",TODAY()-365,TODAY()),
,2
),
{""linewidth"",1}
))
"),"#N/A")</f>
        <v>#N/A</v>
      </c>
      <c r="E215" s="26"/>
      <c r="F215" s="26"/>
      <c r="G215" s="24">
        <f t="shared" si="1"/>
        <v>0</v>
      </c>
      <c r="H215" s="19">
        <f>VLOOKUP(A215,Metrik!$C$2:$Y$959,8,0)</f>
        <v>-28</v>
      </c>
      <c r="I215" s="20">
        <f>VLOOKUP(A215,Metrik!$C$2:$Y$959,9,0)</f>
        <v>1.4</v>
      </c>
      <c r="J215" s="20">
        <f>VLOOKUP(A215,Metrik!$C$2:$Y$959,10,0)</f>
        <v>-5</v>
      </c>
      <c r="K215" s="20">
        <f>VLOOKUP(A215,Metrik!$C$2:$Y$959,11,0)</f>
        <v>-4.4</v>
      </c>
      <c r="L215" s="20">
        <f>VLOOKUP(A215,Metrik!$C$2:$Y$959,12,0)</f>
        <v>0.14</v>
      </c>
      <c r="M215" s="20">
        <f>VLOOKUP(A215,Metrik!$C$2:$Y$959,19,0)</f>
        <v>-5900</v>
      </c>
      <c r="N215" s="21"/>
      <c r="O215" s="21"/>
      <c r="P215" s="21"/>
      <c r="Q215" s="21"/>
      <c r="R215" s="21"/>
      <c r="S215" s="21"/>
      <c r="T215" s="21"/>
      <c r="U215" s="22">
        <f>IFERROR(__xludf.DUMMYFUNCTION("IFERROR(GOOGLEFINANCE(A215,""closeyest""),"""")"),0.02)</f>
        <v>0.02</v>
      </c>
      <c r="V215" s="23">
        <f>IFERROR(__xludf.DUMMYFUNCTION("IFERROR(GOOGLEFINANCE(A215,""changepct""),"""")"),0.0)</f>
        <v>0</v>
      </c>
      <c r="W215" s="22">
        <f>IFERROR(__xludf.DUMMYFUNCTION("IFERROR(GOOGLEFINANCE(A215,""priceopen""),"""")"),0.02)</f>
        <v>0.02</v>
      </c>
      <c r="X215" s="22">
        <f>IFERROR(__xludf.DUMMYFUNCTION("IFERROR(GOOGLEFINANCE(A215,""high""),"""")"),0.02)</f>
        <v>0.02</v>
      </c>
      <c r="Y215" s="22">
        <f>IFERROR(__xludf.DUMMYFUNCTION("IFERROR(GOOGLEFINANCE(A215,""low""),"""")"),0.02)</f>
        <v>0.02</v>
      </c>
      <c r="Z215" s="22">
        <f>IFERROR(__xludf.DUMMYFUNCTION("IFERROR(GOOGLEFINANCE(A215,""volume""),"""")"),0.0)</f>
        <v>0</v>
      </c>
      <c r="AA215" s="24" t="str">
        <f>VLOOKUP(A215,Metrik!$C$2:$Y$959,5,0)</f>
        <v>Real Estate Management &amp; Development</v>
      </c>
      <c r="AB215" s="24" t="str">
        <f>VLOOKUP(A215,Metrik!$C$2:$Y$959,3,0)</f>
        <v>Properties &amp; Real Estate</v>
      </c>
    </row>
    <row r="216">
      <c r="A216" s="14" t="s">
        <v>155</v>
      </c>
      <c r="B216" s="14" t="str">
        <f t="array" ref="B216">VLOOKUP(A216,{Metrik!$C$2:$C$998,Metrik!$B$2:$B$998},2,0)</f>
        <v>Bhakti Agung Propertindo Tbk.</v>
      </c>
      <c r="C216" s="15">
        <f>IFERROR(__xludf.DUMMYFUNCTION("GOOGLEFINANCE(""IDX:""&amp;A216,""price"")"),18.0)</f>
        <v>18</v>
      </c>
      <c r="D216" s="16" t="str">
        <f>IFERROR(__xludf.DUMMYFUNCTION("IF(A216="""","""",
SPARKLINE(
INDEX(
GOOGLEFINANCE(""IDX:""&amp;A216,""close"",TODAY()-365,TODAY()),
,2
),
{""linewidth"",1}
))
"),"#N/A")</f>
        <v>#N/A</v>
      </c>
      <c r="E216" s="26"/>
      <c r="F216" s="26"/>
      <c r="G216" s="24">
        <f t="shared" si="1"/>
        <v>0</v>
      </c>
      <c r="H216" s="19">
        <f>VLOOKUP(A216,Metrik!$C$2:$Y$959,8,0)</f>
        <v>-0.7</v>
      </c>
      <c r="I216" s="20">
        <f>VLOOKUP(A216,Metrik!$C$2:$Y$959,9,0)</f>
        <v>0.32</v>
      </c>
      <c r="J216" s="20">
        <f>VLOOKUP(A216,Metrik!$C$2:$Y$959,10,0)</f>
        <v>-46.4</v>
      </c>
      <c r="K216" s="20">
        <f>VLOOKUP(A216,Metrik!$C$2:$Y$959,11,0)</f>
        <v>-27</v>
      </c>
      <c r="L216" s="20">
        <f>VLOOKUP(A216,Metrik!$C$2:$Y$959,12,0)</f>
        <v>0.72</v>
      </c>
      <c r="M216" s="20">
        <f>VLOOKUP(A216,Metrik!$C$2:$Y$959,19,0)</f>
        <v>-47000</v>
      </c>
      <c r="N216" s="21"/>
      <c r="O216" s="21"/>
      <c r="P216" s="21"/>
      <c r="Q216" s="21"/>
      <c r="R216" s="21"/>
      <c r="S216" s="21"/>
      <c r="T216" s="21"/>
      <c r="U216" s="22">
        <f>IFERROR(__xludf.DUMMYFUNCTION("IFERROR(GOOGLEFINANCE(A216,""closeyest""),"""")"),17.0)</f>
        <v>17</v>
      </c>
      <c r="V216" s="23">
        <f>IFERROR(__xludf.DUMMYFUNCTION("IFERROR(GOOGLEFINANCE(A216,""changepct""),"""")"),5.88)</f>
        <v>5.88</v>
      </c>
      <c r="W216" s="22">
        <f>IFERROR(__xludf.DUMMYFUNCTION("IFERROR(GOOGLEFINANCE(A216,""priceopen""),"""")"),18.0)</f>
        <v>18</v>
      </c>
      <c r="X216" s="22">
        <f>IFERROR(__xludf.DUMMYFUNCTION("IFERROR(GOOGLEFINANCE(A216,""high""),"""")"),18.0)</f>
        <v>18</v>
      </c>
      <c r="Y216" s="22">
        <f>IFERROR(__xludf.DUMMYFUNCTION("IFERROR(GOOGLEFINANCE(A216,""low""),"""")"),18.0)</f>
        <v>18</v>
      </c>
      <c r="Z216" s="22">
        <f>IFERROR(__xludf.DUMMYFUNCTION("IFERROR(GOOGLEFINANCE(A216,""volume""),"""")"),2.01649E7)</f>
        <v>20164900</v>
      </c>
      <c r="AA216" s="24" t="str">
        <f>VLOOKUP(A216,Metrik!$C$2:$Y$959,5,0)</f>
        <v>Real Estate Management &amp; Development</v>
      </c>
      <c r="AB216" s="24" t="str">
        <f>VLOOKUP(A216,Metrik!$C$2:$Y$959,3,0)</f>
        <v>Properties &amp; Real Estate</v>
      </c>
    </row>
    <row r="217">
      <c r="A217" s="14" t="s">
        <v>156</v>
      </c>
      <c r="B217" s="14" t="str">
        <f t="array" ref="B217">VLOOKUP(A217,{Metrik!$C$2:$C$998,Metrik!$B$2:$B$998},2,0)</f>
        <v>Sepatu Bata Tbk.</v>
      </c>
      <c r="C217" s="15">
        <f>IFERROR(__xludf.DUMMYFUNCTION("GOOGLEFINANCE(""IDX:""&amp;A217,""price"")"),64.0)</f>
        <v>64</v>
      </c>
      <c r="D217" s="16" t="str">
        <f>IFERROR(__xludf.DUMMYFUNCTION("IF(A217="""","""",
SPARKLINE(
INDEX(
GOOGLEFINANCE(""IDX:""&amp;A217,""close"",TODAY()-365,TODAY()),
,2
),
{""linewidth"",1}
))
"),"#N/A")</f>
        <v>#N/A</v>
      </c>
      <c r="E217" s="26"/>
      <c r="F217" s="26"/>
      <c r="G217" s="24">
        <f t="shared" si="1"/>
        <v>0</v>
      </c>
      <c r="H217" s="19">
        <f>VLOOKUP(A217,Metrik!$C$2:$Y$959,8,0)</f>
        <v>-1.1</v>
      </c>
      <c r="I217" s="20">
        <f>VLOOKUP(A217,Metrik!$C$2:$Y$959,9,0)</f>
        <v>-1.1</v>
      </c>
      <c r="J217" s="20">
        <f>VLOOKUP(A217,Metrik!$C$2:$Y$959,10,0)</f>
        <v>0</v>
      </c>
      <c r="K217" s="20">
        <f>VLOOKUP(A217,Metrik!$C$2:$Y$959,11,0)</f>
        <v>-21.6</v>
      </c>
      <c r="L217" s="20">
        <f>VLOOKUP(A217,Metrik!$C$2:$Y$959,12,0)</f>
        <v>-5.3</v>
      </c>
      <c r="M217" s="20">
        <f>VLOOKUP(A217,Metrik!$C$2:$Y$959,19,0)</f>
        <v>-29.7</v>
      </c>
      <c r="N217" s="21"/>
      <c r="O217" s="21"/>
      <c r="P217" s="21"/>
      <c r="Q217" s="21"/>
      <c r="R217" s="21"/>
      <c r="S217" s="21"/>
      <c r="T217" s="21"/>
      <c r="U217" s="22">
        <f>IFERROR(__xludf.DUMMYFUNCTION("IFERROR(GOOGLEFINANCE(A217,""closeyest""),"""")"),60.0)</f>
        <v>60</v>
      </c>
      <c r="V217" s="23">
        <f>IFERROR(__xludf.DUMMYFUNCTION("IFERROR(GOOGLEFINANCE(A217,""changepct""),"""")"),6.67)</f>
        <v>6.67</v>
      </c>
      <c r="W217" s="22">
        <f>IFERROR(__xludf.DUMMYFUNCTION("IFERROR(GOOGLEFINANCE(A217,""priceopen""),"""")"),65.0)</f>
        <v>65</v>
      </c>
      <c r="X217" s="22">
        <f>IFERROR(__xludf.DUMMYFUNCTION("IFERROR(GOOGLEFINANCE(A217,""high""),"""")"),65.0)</f>
        <v>65</v>
      </c>
      <c r="Y217" s="22">
        <f>IFERROR(__xludf.DUMMYFUNCTION("IFERROR(GOOGLEFINANCE(A217,""low""),"""")"),61.0)</f>
        <v>61</v>
      </c>
      <c r="Z217" s="22">
        <f>IFERROR(__xludf.DUMMYFUNCTION("IFERROR(GOOGLEFINANCE(A217,""volume""),"""")"),18400.0)</f>
        <v>18400</v>
      </c>
      <c r="AA217" s="24" t="str">
        <f>VLOOKUP(A217,Metrik!$C$2:$Y$959,5,0)</f>
        <v>Apparel &amp; Luxury Goods</v>
      </c>
      <c r="AB217" s="24" t="str">
        <f>VLOOKUP(A217,Metrik!$C$2:$Y$959,3,0)</f>
        <v>Consumer Cyclicals</v>
      </c>
    </row>
    <row r="218">
      <c r="A218" s="14" t="s">
        <v>157</v>
      </c>
      <c r="B218" s="14" t="str">
        <f t="array" ref="B218">VLOOKUP(A218,{Metrik!$C$2:$C$998,Metrik!$B$2:$B$998},2,0)</f>
        <v>Benteng Api Technic Tbk.</v>
      </c>
      <c r="C218" s="15">
        <f>IFERROR(__xludf.DUMMYFUNCTION("GOOGLEFINANCE(""IDX:""&amp;A218,""price"")"),84.0)</f>
        <v>84</v>
      </c>
      <c r="D218" s="16" t="str">
        <f>IFERROR(__xludf.DUMMYFUNCTION("IF(A218="""","""",
SPARKLINE(
INDEX(
GOOGLEFINANCE(""IDX:""&amp;A218,""close"",TODAY()-365,TODAY()),
,2
),
{""linewidth"",1}
))
"),"#N/A")</f>
        <v>#N/A</v>
      </c>
      <c r="E218" s="26"/>
      <c r="F218" s="26"/>
      <c r="G218" s="24">
        <f t="shared" si="1"/>
        <v>0</v>
      </c>
      <c r="H218" s="19">
        <f>VLOOKUP(A218,Metrik!$C$2:$Y$959,8,0)</f>
        <v>18.9</v>
      </c>
      <c r="I218" s="20">
        <f>VLOOKUP(A218,Metrik!$C$2:$Y$959,9,0)</f>
        <v>1.6</v>
      </c>
      <c r="J218" s="20">
        <f>VLOOKUP(A218,Metrik!$C$2:$Y$959,10,0)</f>
        <v>8.5</v>
      </c>
      <c r="K218" s="20">
        <f>VLOOKUP(A218,Metrik!$C$2:$Y$959,11,0)</f>
        <v>5.9</v>
      </c>
      <c r="L218" s="20">
        <f>VLOOKUP(A218,Metrik!$C$2:$Y$959,12,0)</f>
        <v>0.45</v>
      </c>
      <c r="M218" s="20">
        <f>VLOOKUP(A218,Metrik!$C$2:$Y$959,19,0)</f>
        <v>46.5</v>
      </c>
      <c r="N218" s="21"/>
      <c r="O218" s="21"/>
      <c r="P218" s="21"/>
      <c r="Q218" s="21"/>
      <c r="R218" s="21"/>
      <c r="S218" s="21"/>
      <c r="T218" s="21"/>
      <c r="U218" s="22">
        <f>IFERROR(__xludf.DUMMYFUNCTION("IFERROR(GOOGLEFINANCE(A218,""closeyest""),"""")"),82.0)</f>
        <v>82</v>
      </c>
      <c r="V218" s="23">
        <f>IFERROR(__xludf.DUMMYFUNCTION("IFERROR(GOOGLEFINANCE(A218,""changepct""),"""")"),2.44)</f>
        <v>2.44</v>
      </c>
      <c r="W218" s="22">
        <f>IFERROR(__xludf.DUMMYFUNCTION("IFERROR(GOOGLEFINANCE(A218,""priceopen""),"""")"),83.0)</f>
        <v>83</v>
      </c>
      <c r="X218" s="22">
        <f>IFERROR(__xludf.DUMMYFUNCTION("IFERROR(GOOGLEFINANCE(A218,""high""),"""")"),86.0)</f>
        <v>86</v>
      </c>
      <c r="Y218" s="22">
        <f>IFERROR(__xludf.DUMMYFUNCTION("IFERROR(GOOGLEFINANCE(A218,""low""),"""")"),80.0)</f>
        <v>80</v>
      </c>
      <c r="Z218" s="22">
        <f>IFERROR(__xludf.DUMMYFUNCTION("IFERROR(GOOGLEFINANCE(A218,""volume""),"""")"),2164200.0)</f>
        <v>2164200</v>
      </c>
      <c r="AA218" s="24" t="str">
        <f>VLOOKUP(A218,Metrik!$C$2:$Y$959,5,0)</f>
        <v>Construction Materials</v>
      </c>
      <c r="AB218" s="24" t="str">
        <f>VLOOKUP(A218,Metrik!$C$2:$Y$959,3,0)</f>
        <v>Basic Materials</v>
      </c>
    </row>
    <row r="219">
      <c r="A219" s="14" t="s">
        <v>158</v>
      </c>
      <c r="B219" s="14" t="str">
        <f t="array" ref="B219">VLOOKUP(A219,{Metrik!$C$2:$C$998,Metrik!$B$2:$B$998},2,0)</f>
        <v>Mitra Angkasa Sejahtera Tbk.</v>
      </c>
      <c r="C219" s="15">
        <f>IFERROR(__xludf.DUMMYFUNCTION("GOOGLEFINANCE(""IDX:""&amp;A219,""price"")"),26.0)</f>
        <v>26</v>
      </c>
      <c r="D219" s="16" t="str">
        <f>IFERROR(__xludf.DUMMYFUNCTION("IF(A219="""","""",
SPARKLINE(
INDEX(
GOOGLEFINANCE(""IDX:""&amp;A219,""close"",TODAY()-365,TODAY()),
,2
),
{""linewidth"",1}
))
"),"#N/A")</f>
        <v>#N/A</v>
      </c>
      <c r="E219" s="26"/>
      <c r="F219" s="26"/>
      <c r="G219" s="24">
        <f t="shared" si="1"/>
        <v>0</v>
      </c>
      <c r="H219" s="19">
        <f>VLOOKUP(A219,Metrik!$C$2:$Y$959,8,0)</f>
        <v>-16.8</v>
      </c>
      <c r="I219" s="20">
        <f>VLOOKUP(A219,Metrik!$C$2:$Y$959,9,0)</f>
        <v>0.83</v>
      </c>
      <c r="J219" s="20">
        <f>VLOOKUP(A219,Metrik!$C$2:$Y$959,10,0)</f>
        <v>-4.9</v>
      </c>
      <c r="K219" s="20">
        <f>VLOOKUP(A219,Metrik!$C$2:$Y$959,11,0)</f>
        <v>-3.8</v>
      </c>
      <c r="L219" s="20">
        <f>VLOOKUP(A219,Metrik!$C$2:$Y$959,12,0)</f>
        <v>0.31</v>
      </c>
      <c r="M219" s="20">
        <f>VLOOKUP(A219,Metrik!$C$2:$Y$959,19,0)</f>
        <v>-28.7</v>
      </c>
      <c r="N219" s="21"/>
      <c r="O219" s="21"/>
      <c r="P219" s="21"/>
      <c r="Q219" s="21"/>
      <c r="R219" s="21"/>
      <c r="S219" s="21"/>
      <c r="T219" s="21"/>
      <c r="U219" s="22">
        <f>IFERROR(__xludf.DUMMYFUNCTION("IFERROR(GOOGLEFINANCE(A219,""closeyest""),"""")"),24.0)</f>
        <v>24</v>
      </c>
      <c r="V219" s="23">
        <f>IFERROR(__xludf.DUMMYFUNCTION("IFERROR(GOOGLEFINANCE(A219,""changepct""),"""")"),8.33)</f>
        <v>8.33</v>
      </c>
      <c r="W219" s="22">
        <f>IFERROR(__xludf.DUMMYFUNCTION("IFERROR(GOOGLEFINANCE(A219,""priceopen""),"""")"),26.0)</f>
        <v>26</v>
      </c>
      <c r="X219" s="22">
        <f>IFERROR(__xludf.DUMMYFUNCTION("IFERROR(GOOGLEFINANCE(A219,""high""),"""")"),26.0)</f>
        <v>26</v>
      </c>
      <c r="Y219" s="22">
        <f>IFERROR(__xludf.DUMMYFUNCTION("IFERROR(GOOGLEFINANCE(A219,""low""),"""")"),25.0)</f>
        <v>25</v>
      </c>
      <c r="Z219" s="22">
        <f>IFERROR(__xludf.DUMMYFUNCTION("IFERROR(GOOGLEFINANCE(A219,""volume""),"""")"),2246100.0)</f>
        <v>2246100</v>
      </c>
      <c r="AA219" s="24" t="str">
        <f>VLOOKUP(A219,Metrik!$C$2:$Y$959,5,0)</f>
        <v>Specialty Retail</v>
      </c>
      <c r="AB219" s="24" t="str">
        <f>VLOOKUP(A219,Metrik!$C$2:$Y$959,3,0)</f>
        <v>Consumer Cyclicals</v>
      </c>
    </row>
    <row r="220">
      <c r="A220" s="14" t="s">
        <v>159</v>
      </c>
      <c r="B220" s="14" t="str">
        <f t="array" ref="B220">VLOOKUP(A220,{Metrik!$C$2:$C$998,Metrik!$B$2:$B$998},2,0)</f>
        <v>Bayu Buana Tbk</v>
      </c>
      <c r="C220" s="15">
        <f>IFERROR(__xludf.DUMMYFUNCTION("GOOGLEFINANCE(""IDX:""&amp;A220,""price"")"),1115.0)</f>
        <v>1115</v>
      </c>
      <c r="D220" s="16" t="str">
        <f>IFERROR(__xludf.DUMMYFUNCTION("IF(A220="""","""",
SPARKLINE(
INDEX(
GOOGLEFINANCE(""IDX:""&amp;A220,""close"",TODAY()-365,TODAY()),
,2
),
{""linewidth"",1}
))
"),"#N/A")</f>
        <v>#N/A</v>
      </c>
      <c r="E220" s="26"/>
      <c r="F220" s="26"/>
      <c r="G220" s="24">
        <f t="shared" si="1"/>
        <v>0</v>
      </c>
      <c r="H220" s="19">
        <f>VLOOKUP(A220,Metrik!$C$2:$Y$959,8,0)</f>
        <v>4.1</v>
      </c>
      <c r="I220" s="20">
        <f>VLOOKUP(A220,Metrik!$C$2:$Y$959,9,0)</f>
        <v>0.7</v>
      </c>
      <c r="J220" s="20">
        <f>VLOOKUP(A220,Metrik!$C$2:$Y$959,10,0)</f>
        <v>17.1</v>
      </c>
      <c r="K220" s="20">
        <f>VLOOKUP(A220,Metrik!$C$2:$Y$959,11,0)</f>
        <v>10.1</v>
      </c>
      <c r="L220" s="20">
        <f>VLOOKUP(A220,Metrik!$C$2:$Y$959,12,0)</f>
        <v>0.7</v>
      </c>
      <c r="M220" s="20">
        <f>VLOOKUP(A220,Metrik!$C$2:$Y$959,19,0)</f>
        <v>17.6</v>
      </c>
      <c r="N220" s="21"/>
      <c r="O220" s="21"/>
      <c r="P220" s="21"/>
      <c r="Q220" s="21"/>
      <c r="R220" s="21"/>
      <c r="S220" s="21"/>
      <c r="T220" s="21"/>
      <c r="U220" s="22">
        <f>IFERROR(__xludf.DUMMYFUNCTION("IFERROR(GOOGLEFINANCE(A220,""closeyest""),"""")"),1100.0)</f>
        <v>1100</v>
      </c>
      <c r="V220" s="23">
        <f>IFERROR(__xludf.DUMMYFUNCTION("IFERROR(GOOGLEFINANCE(A220,""changepct""),"""")"),1.36)</f>
        <v>1.36</v>
      </c>
      <c r="W220" s="22">
        <f>IFERROR(__xludf.DUMMYFUNCTION("IFERROR(GOOGLEFINANCE(A220,""priceopen""),"""")"),1100.0)</f>
        <v>1100</v>
      </c>
      <c r="X220" s="22">
        <f>IFERROR(__xludf.DUMMYFUNCTION("IFERROR(GOOGLEFINANCE(A220,""high""),"""")"),1130.0)</f>
        <v>1130</v>
      </c>
      <c r="Y220" s="22">
        <f>IFERROR(__xludf.DUMMYFUNCTION("IFERROR(GOOGLEFINANCE(A220,""low""),"""")"),1100.0)</f>
        <v>1100</v>
      </c>
      <c r="Z220" s="22">
        <f>IFERROR(__xludf.DUMMYFUNCTION("IFERROR(GOOGLEFINANCE(A220,""volume""),"""")"),58200.0)</f>
        <v>58200</v>
      </c>
      <c r="AA220" s="24" t="str">
        <f>VLOOKUP(A220,Metrik!$C$2:$Y$959,5,0)</f>
        <v>Tourism &amp; Recreation</v>
      </c>
      <c r="AB220" s="24" t="str">
        <f>VLOOKUP(A220,Metrik!$C$2:$Y$959,3,0)</f>
        <v>Consumer Cyclicals</v>
      </c>
    </row>
    <row r="221">
      <c r="A221" s="14" t="s">
        <v>160</v>
      </c>
      <c r="B221" s="14" t="str">
        <f t="array" ref="B221">VLOOKUP(A221,{Metrik!$C$2:$C$998,Metrik!$B$2:$B$998},2,0)</f>
        <v>Bank Central Asia Tbk.</v>
      </c>
      <c r="C221" s="15" t="str">
        <f>IFERROR(__xludf.DUMMYFUNCTION("GOOGLEFINANCE(""IDX:""&amp;A221,""price"")"),"#N/A")</f>
        <v>#N/A</v>
      </c>
      <c r="D221" s="16" t="str">
        <f>IFERROR(__xludf.DUMMYFUNCTION("IF(A221="""","""",
SPARKLINE(
INDEX(
GOOGLEFINANCE(""IDX:""&amp;A221,""close"",TODAY()-365,TODAY()),
,2
),
{""linewidth"",1}
))
"),"#N/A")</f>
        <v>#N/A</v>
      </c>
      <c r="E221" s="14" t="s">
        <v>47</v>
      </c>
      <c r="F221" s="25">
        <v>46356.0</v>
      </c>
      <c r="G221" s="24">
        <f t="shared" si="1"/>
        <v>21</v>
      </c>
      <c r="H221" s="19">
        <f>VLOOKUP(A221,Metrik!$C$2:$Y$959,8,0)</f>
        <v>12.1</v>
      </c>
      <c r="I221" s="20">
        <f>VLOOKUP(A221,Metrik!$C$2:$Y$959,9,0)</f>
        <v>2.7</v>
      </c>
      <c r="J221" s="20">
        <f>VLOOKUP(A221,Metrik!$C$2:$Y$959,10,0)</f>
        <v>22.4</v>
      </c>
      <c r="K221" s="20">
        <f>VLOOKUP(A221,Metrik!$C$2:$Y$959,11,0)</f>
        <v>3.5</v>
      </c>
      <c r="L221" s="20">
        <f>VLOOKUP(A221,Metrik!$C$2:$Y$959,12,0)</f>
        <v>5.3</v>
      </c>
      <c r="M221" s="20">
        <f>VLOOKUP(A221,Metrik!$C$2:$Y$959,19,0)</f>
        <v>220</v>
      </c>
      <c r="N221" s="44">
        <v>5.33</v>
      </c>
      <c r="O221" s="44">
        <v>27.52</v>
      </c>
      <c r="P221" s="44">
        <v>74.1</v>
      </c>
      <c r="Q221" s="44">
        <v>1.85</v>
      </c>
      <c r="R221" s="44">
        <v>39.87</v>
      </c>
      <c r="S221" s="44">
        <v>27.32</v>
      </c>
      <c r="T221" s="44">
        <v>2.09</v>
      </c>
      <c r="U221" s="22">
        <f>IFERROR(__xludf.DUMMYFUNCTION("IFERROR(GOOGLEFINANCE(A221,""closeyest""),"""")"),100.74)</f>
        <v>100.74</v>
      </c>
      <c r="V221" s="23">
        <f>IFERROR(__xludf.DUMMYFUNCTION("IFERROR(GOOGLEFINANCE(A221,""changepct""),"""")"),0.51)</f>
        <v>0.51</v>
      </c>
      <c r="W221" s="22">
        <f>IFERROR(__xludf.DUMMYFUNCTION("IFERROR(GOOGLEFINANCE(A221,""priceopen""),"""")"),100.94)</f>
        <v>100.94</v>
      </c>
      <c r="X221" s="22">
        <f>IFERROR(__xludf.DUMMYFUNCTION("IFERROR(GOOGLEFINANCE(A221,""high""),"""")"),101.77)</f>
        <v>101.77</v>
      </c>
      <c r="Y221" s="22">
        <f>IFERROR(__xludf.DUMMYFUNCTION("IFERROR(GOOGLEFINANCE(A221,""low""),"""")"),100.74)</f>
        <v>100.74</v>
      </c>
      <c r="Z221" s="22">
        <f>IFERROR(__xludf.DUMMYFUNCTION("IFERROR(GOOGLEFINANCE(A221,""volume""),"""")"),51924.0)</f>
        <v>51924</v>
      </c>
      <c r="AA221" s="24" t="str">
        <f>VLOOKUP(A221,Metrik!$C$2:$Y$959,5,0)</f>
        <v>Banks</v>
      </c>
      <c r="AB221" s="24" t="str">
        <f>VLOOKUP(A221,Metrik!$C$2:$Y$959,3,0)</f>
        <v>Financials</v>
      </c>
    </row>
    <row r="222">
      <c r="A222" s="14" t="s">
        <v>160</v>
      </c>
      <c r="B222" s="14" t="str">
        <f t="array" ref="B222">VLOOKUP(A222,{Metrik!$C$2:$C$998,Metrik!$B$2:$B$998},2,0)</f>
        <v>Bank Central Asia Tbk.</v>
      </c>
      <c r="C222" s="15" t="str">
        <f>IFERROR(__xludf.DUMMYFUNCTION("GOOGLEFINANCE(""IDX:""&amp;A222,""price"")"),"#N/A")</f>
        <v>#N/A</v>
      </c>
      <c r="D222" s="16" t="str">
        <f>IFERROR(__xludf.DUMMYFUNCTION("IF(A222="""","""",
SPARKLINE(
INDEX(
GOOGLEFINANCE(""IDX:""&amp;A222,""close"",TODAY()-365,TODAY()),
,2
),
{""linewidth"",1}
))
"),"#N/A")</f>
        <v>#N/A</v>
      </c>
      <c r="E222" s="14" t="s">
        <v>128</v>
      </c>
      <c r="F222" s="17" t="s">
        <v>36</v>
      </c>
      <c r="G222" s="24">
        <f t="shared" si="1"/>
        <v>21</v>
      </c>
      <c r="H222" s="19">
        <f>VLOOKUP(A222,Metrik!$C$2:$Y$959,8,0)</f>
        <v>12.1</v>
      </c>
      <c r="I222" s="20">
        <f>VLOOKUP(A222,Metrik!$C$2:$Y$959,9,0)</f>
        <v>2.7</v>
      </c>
      <c r="J222" s="20">
        <f>VLOOKUP(A222,Metrik!$C$2:$Y$959,10,0)</f>
        <v>22.4</v>
      </c>
      <c r="K222" s="20">
        <f>VLOOKUP(A222,Metrik!$C$2:$Y$959,11,0)</f>
        <v>3.5</v>
      </c>
      <c r="L222" s="20">
        <f>VLOOKUP(A222,Metrik!$C$2:$Y$959,12,0)</f>
        <v>5.3</v>
      </c>
      <c r="M222" s="20">
        <f>VLOOKUP(A222,Metrik!$C$2:$Y$959,19,0)</f>
        <v>220</v>
      </c>
      <c r="N222" s="44">
        <v>5.33</v>
      </c>
      <c r="O222" s="44">
        <v>27.52</v>
      </c>
      <c r="P222" s="44">
        <v>74.1</v>
      </c>
      <c r="Q222" s="44">
        <v>1.85</v>
      </c>
      <c r="R222" s="44">
        <v>39.87</v>
      </c>
      <c r="S222" s="44">
        <v>27.32</v>
      </c>
      <c r="T222" s="44">
        <v>2.09</v>
      </c>
      <c r="U222" s="22">
        <f>IFERROR(__xludf.DUMMYFUNCTION("IFERROR(GOOGLEFINANCE(A222,""closeyest""),"""")"),100.74)</f>
        <v>100.74</v>
      </c>
      <c r="V222" s="23">
        <f>IFERROR(__xludf.DUMMYFUNCTION("IFERROR(GOOGLEFINANCE(A222,""changepct""),"""")"),0.51)</f>
        <v>0.51</v>
      </c>
      <c r="W222" s="22">
        <f>IFERROR(__xludf.DUMMYFUNCTION("IFERROR(GOOGLEFINANCE(A222,""priceopen""),"""")"),100.94)</f>
        <v>100.94</v>
      </c>
      <c r="X222" s="22">
        <f>IFERROR(__xludf.DUMMYFUNCTION("IFERROR(GOOGLEFINANCE(A222,""high""),"""")"),101.77)</f>
        <v>101.77</v>
      </c>
      <c r="Y222" s="22">
        <f>IFERROR(__xludf.DUMMYFUNCTION("IFERROR(GOOGLEFINANCE(A222,""low""),"""")"),100.74)</f>
        <v>100.74</v>
      </c>
      <c r="Z222" s="22">
        <f>IFERROR(__xludf.DUMMYFUNCTION("IFERROR(GOOGLEFINANCE(A222,""volume""),"""")"),51924.0)</f>
        <v>51924</v>
      </c>
      <c r="AA222" s="24" t="str">
        <f>VLOOKUP(A222,Metrik!$C$2:$Y$959,5,0)</f>
        <v>Banks</v>
      </c>
      <c r="AB222" s="24" t="str">
        <f>VLOOKUP(A222,Metrik!$C$2:$Y$959,3,0)</f>
        <v>Financials</v>
      </c>
    </row>
    <row r="223">
      <c r="A223" s="14" t="s">
        <v>160</v>
      </c>
      <c r="B223" s="14" t="str">
        <f t="array" ref="B223">VLOOKUP(A223,{Metrik!$C$2:$C$998,Metrik!$B$2:$B$998},2,0)</f>
        <v>Bank Central Asia Tbk.</v>
      </c>
      <c r="C223" s="15" t="str">
        <f>IFERROR(__xludf.DUMMYFUNCTION("GOOGLEFINANCE(""IDX:""&amp;A223,""price"")"),"#N/A")</f>
        <v>#N/A</v>
      </c>
      <c r="D223" s="16" t="str">
        <f>IFERROR(__xludf.DUMMYFUNCTION("IF(A223="""","""",
SPARKLINE(
INDEX(
GOOGLEFINANCE(""IDX:""&amp;A223,""close"",TODAY()-365,TODAY()),
,2
),
{""linewidth"",1}
))
"),"#N/A")</f>
        <v>#N/A</v>
      </c>
      <c r="E223" s="14" t="s">
        <v>54</v>
      </c>
      <c r="F223" s="14" t="s">
        <v>34</v>
      </c>
      <c r="G223" s="24">
        <f t="shared" si="1"/>
        <v>21</v>
      </c>
      <c r="H223" s="19">
        <f>VLOOKUP(A223,Metrik!$C$2:$Y$959,8,0)</f>
        <v>12.1</v>
      </c>
      <c r="I223" s="20">
        <f>VLOOKUP(A223,Metrik!$C$2:$Y$959,9,0)</f>
        <v>2.7</v>
      </c>
      <c r="J223" s="20">
        <f>VLOOKUP(A223,Metrik!$C$2:$Y$959,10,0)</f>
        <v>22.4</v>
      </c>
      <c r="K223" s="20">
        <f>VLOOKUP(A223,Metrik!$C$2:$Y$959,11,0)</f>
        <v>3.5</v>
      </c>
      <c r="L223" s="20">
        <f>VLOOKUP(A223,Metrik!$C$2:$Y$959,12,0)</f>
        <v>5.3</v>
      </c>
      <c r="M223" s="20">
        <f>VLOOKUP(A223,Metrik!$C$2:$Y$959,19,0)</f>
        <v>220</v>
      </c>
      <c r="N223" s="44">
        <v>5.33</v>
      </c>
      <c r="O223" s="44">
        <v>27.52</v>
      </c>
      <c r="P223" s="44">
        <v>74.1</v>
      </c>
      <c r="Q223" s="44">
        <v>1.85</v>
      </c>
      <c r="R223" s="44">
        <v>39.87</v>
      </c>
      <c r="S223" s="44">
        <v>27.32</v>
      </c>
      <c r="T223" s="44">
        <v>2.09</v>
      </c>
      <c r="U223" s="22">
        <f>IFERROR(__xludf.DUMMYFUNCTION("IFERROR(GOOGLEFINANCE(A223,""closeyest""),"""")"),100.74)</f>
        <v>100.74</v>
      </c>
      <c r="V223" s="23">
        <f>IFERROR(__xludf.DUMMYFUNCTION("IFERROR(GOOGLEFINANCE(A223,""changepct""),"""")"),0.51)</f>
        <v>0.51</v>
      </c>
      <c r="W223" s="22">
        <f>IFERROR(__xludf.DUMMYFUNCTION("IFERROR(GOOGLEFINANCE(A223,""priceopen""),"""")"),100.94)</f>
        <v>100.94</v>
      </c>
      <c r="X223" s="22">
        <f>IFERROR(__xludf.DUMMYFUNCTION("IFERROR(GOOGLEFINANCE(A223,""high""),"""")"),101.77)</f>
        <v>101.77</v>
      </c>
      <c r="Y223" s="22">
        <f>IFERROR(__xludf.DUMMYFUNCTION("IFERROR(GOOGLEFINANCE(A223,""low""),"""")"),100.74)</f>
        <v>100.74</v>
      </c>
      <c r="Z223" s="22">
        <f>IFERROR(__xludf.DUMMYFUNCTION("IFERROR(GOOGLEFINANCE(A223,""volume""),"""")"),51924.0)</f>
        <v>51924</v>
      </c>
      <c r="AA223" s="24" t="str">
        <f>VLOOKUP(A223,Metrik!$C$2:$Y$959,5,0)</f>
        <v>Banks</v>
      </c>
      <c r="AB223" s="24" t="str">
        <f>VLOOKUP(A223,Metrik!$C$2:$Y$959,3,0)</f>
        <v>Financials</v>
      </c>
    </row>
    <row r="224">
      <c r="A224" s="14" t="s">
        <v>160</v>
      </c>
      <c r="B224" s="14" t="str">
        <f t="array" ref="B224">VLOOKUP(A224,{Metrik!$C$2:$C$998,Metrik!$B$2:$B$998},2,0)</f>
        <v>Bank Central Asia Tbk.</v>
      </c>
      <c r="C224" s="15" t="str">
        <f>IFERROR(__xludf.DUMMYFUNCTION("GOOGLEFINANCE(""IDX:""&amp;A224,""price"")"),"#N/A")</f>
        <v>#N/A</v>
      </c>
      <c r="D224" s="16" t="str">
        <f>IFERROR(__xludf.DUMMYFUNCTION("IF(A224="""","""",
SPARKLINE(
INDEX(
GOOGLEFINANCE(""IDX:""&amp;A224,""close"",TODAY()-365,TODAY()),
,2
),
{""linewidth"",1}
))
"),"#N/A")</f>
        <v>#N/A</v>
      </c>
      <c r="E224" s="14" t="s">
        <v>68</v>
      </c>
      <c r="F224" s="14" t="s">
        <v>34</v>
      </c>
      <c r="G224" s="24">
        <f t="shared" si="1"/>
        <v>21</v>
      </c>
      <c r="H224" s="19">
        <f>VLOOKUP(A224,Metrik!$C$2:$Y$959,8,0)</f>
        <v>12.1</v>
      </c>
      <c r="I224" s="20">
        <f>VLOOKUP(A224,Metrik!$C$2:$Y$959,9,0)</f>
        <v>2.7</v>
      </c>
      <c r="J224" s="20">
        <f>VLOOKUP(A224,Metrik!$C$2:$Y$959,10,0)</f>
        <v>22.4</v>
      </c>
      <c r="K224" s="20">
        <f>VLOOKUP(A224,Metrik!$C$2:$Y$959,11,0)</f>
        <v>3.5</v>
      </c>
      <c r="L224" s="20">
        <f>VLOOKUP(A224,Metrik!$C$2:$Y$959,12,0)</f>
        <v>5.3</v>
      </c>
      <c r="M224" s="20">
        <f>VLOOKUP(A224,Metrik!$C$2:$Y$959,19,0)</f>
        <v>220</v>
      </c>
      <c r="N224" s="44">
        <v>5.33</v>
      </c>
      <c r="O224" s="44">
        <v>27.52</v>
      </c>
      <c r="P224" s="44">
        <v>74.1</v>
      </c>
      <c r="Q224" s="44">
        <v>1.85</v>
      </c>
      <c r="R224" s="44">
        <v>39.87</v>
      </c>
      <c r="S224" s="44">
        <v>27.32</v>
      </c>
      <c r="T224" s="44">
        <v>2.09</v>
      </c>
      <c r="U224" s="22">
        <f>IFERROR(__xludf.DUMMYFUNCTION("IFERROR(GOOGLEFINANCE(A224,""closeyest""),"""")"),100.74)</f>
        <v>100.74</v>
      </c>
      <c r="V224" s="23">
        <f>IFERROR(__xludf.DUMMYFUNCTION("IFERROR(GOOGLEFINANCE(A224,""changepct""),"""")"),0.51)</f>
        <v>0.51</v>
      </c>
      <c r="W224" s="22">
        <f>IFERROR(__xludf.DUMMYFUNCTION("IFERROR(GOOGLEFINANCE(A224,""priceopen""),"""")"),100.94)</f>
        <v>100.94</v>
      </c>
      <c r="X224" s="22">
        <f>IFERROR(__xludf.DUMMYFUNCTION("IFERROR(GOOGLEFINANCE(A224,""high""),"""")"),101.77)</f>
        <v>101.77</v>
      </c>
      <c r="Y224" s="22">
        <f>IFERROR(__xludf.DUMMYFUNCTION("IFERROR(GOOGLEFINANCE(A224,""low""),"""")"),100.74)</f>
        <v>100.74</v>
      </c>
      <c r="Z224" s="22">
        <f>IFERROR(__xludf.DUMMYFUNCTION("IFERROR(GOOGLEFINANCE(A224,""volume""),"""")"),51924.0)</f>
        <v>51924</v>
      </c>
      <c r="AA224" s="24" t="str">
        <f>VLOOKUP(A224,Metrik!$C$2:$Y$959,5,0)</f>
        <v>Banks</v>
      </c>
      <c r="AB224" s="24" t="str">
        <f>VLOOKUP(A224,Metrik!$C$2:$Y$959,3,0)</f>
        <v>Financials</v>
      </c>
    </row>
    <row r="225">
      <c r="A225" s="14" t="s">
        <v>160</v>
      </c>
      <c r="B225" s="14" t="str">
        <f t="array" ref="B225">VLOOKUP(A225,{Metrik!$C$2:$C$998,Metrik!$B$2:$B$998},2,0)</f>
        <v>Bank Central Asia Tbk.</v>
      </c>
      <c r="C225" s="15" t="str">
        <f>IFERROR(__xludf.DUMMYFUNCTION("GOOGLEFINANCE(""IDX:""&amp;A225,""price"")"),"#N/A")</f>
        <v>#N/A</v>
      </c>
      <c r="D225" s="16" t="str">
        <f>IFERROR(__xludf.DUMMYFUNCTION("IF(A225="""","""",
SPARKLINE(
INDEX(
GOOGLEFINANCE(""IDX:""&amp;A225,""close"",TODAY()-365,TODAY()),
,2
),
{""linewidth"",1}
))
"),"#N/A")</f>
        <v>#N/A</v>
      </c>
      <c r="E225" s="14" t="s">
        <v>32</v>
      </c>
      <c r="F225" s="14" t="s">
        <v>29</v>
      </c>
      <c r="G225" s="24">
        <f t="shared" si="1"/>
        <v>21</v>
      </c>
      <c r="H225" s="19">
        <f>VLOOKUP(A225,Metrik!$C$2:$Y$959,8,0)</f>
        <v>12.1</v>
      </c>
      <c r="I225" s="20">
        <f>VLOOKUP(A225,Metrik!$C$2:$Y$959,9,0)</f>
        <v>2.7</v>
      </c>
      <c r="J225" s="20">
        <f>VLOOKUP(A225,Metrik!$C$2:$Y$959,10,0)</f>
        <v>22.4</v>
      </c>
      <c r="K225" s="20">
        <f>VLOOKUP(A225,Metrik!$C$2:$Y$959,11,0)</f>
        <v>3.5</v>
      </c>
      <c r="L225" s="20">
        <f>VLOOKUP(A225,Metrik!$C$2:$Y$959,12,0)</f>
        <v>5.3</v>
      </c>
      <c r="M225" s="20">
        <f>VLOOKUP(A225,Metrik!$C$2:$Y$959,19,0)</f>
        <v>220</v>
      </c>
      <c r="N225" s="44">
        <v>5.33</v>
      </c>
      <c r="O225" s="44">
        <v>27.52</v>
      </c>
      <c r="P225" s="44">
        <v>74.1</v>
      </c>
      <c r="Q225" s="44">
        <v>1.85</v>
      </c>
      <c r="R225" s="44">
        <v>39.87</v>
      </c>
      <c r="S225" s="44">
        <v>27.32</v>
      </c>
      <c r="T225" s="44">
        <v>2.09</v>
      </c>
      <c r="U225" s="22">
        <f>IFERROR(__xludf.DUMMYFUNCTION("IFERROR(GOOGLEFINANCE(A225,""closeyest""),"""")"),100.74)</f>
        <v>100.74</v>
      </c>
      <c r="V225" s="23">
        <f>IFERROR(__xludf.DUMMYFUNCTION("IFERROR(GOOGLEFINANCE(A225,""changepct""),"""")"),0.51)</f>
        <v>0.51</v>
      </c>
      <c r="W225" s="22">
        <f>IFERROR(__xludf.DUMMYFUNCTION("IFERROR(GOOGLEFINANCE(A225,""priceopen""),"""")"),100.94)</f>
        <v>100.94</v>
      </c>
      <c r="X225" s="22">
        <f>IFERROR(__xludf.DUMMYFUNCTION("IFERROR(GOOGLEFINANCE(A225,""high""),"""")"),101.77)</f>
        <v>101.77</v>
      </c>
      <c r="Y225" s="22">
        <f>IFERROR(__xludf.DUMMYFUNCTION("IFERROR(GOOGLEFINANCE(A225,""low""),"""")"),100.74)</f>
        <v>100.74</v>
      </c>
      <c r="Z225" s="22">
        <f>IFERROR(__xludf.DUMMYFUNCTION("IFERROR(GOOGLEFINANCE(A225,""volume""),"""")"),51924.0)</f>
        <v>51924</v>
      </c>
      <c r="AA225" s="24" t="str">
        <f>VLOOKUP(A225,Metrik!$C$2:$Y$959,5,0)</f>
        <v>Banks</v>
      </c>
      <c r="AB225" s="24" t="str">
        <f>VLOOKUP(A225,Metrik!$C$2:$Y$959,3,0)</f>
        <v>Financials</v>
      </c>
    </row>
    <row r="226">
      <c r="A226" s="14" t="s">
        <v>160</v>
      </c>
      <c r="B226" s="14" t="str">
        <f t="array" ref="B226">VLOOKUP(A226,{Metrik!$C$2:$C$998,Metrik!$B$2:$B$998},2,0)</f>
        <v>Bank Central Asia Tbk.</v>
      </c>
      <c r="C226" s="15" t="str">
        <f>IFERROR(__xludf.DUMMYFUNCTION("GOOGLEFINANCE(""IDX:""&amp;A226,""price"")"),"#N/A")</f>
        <v>#N/A</v>
      </c>
      <c r="D226" s="16" t="str">
        <f>IFERROR(__xludf.DUMMYFUNCTION("IF(A226="""","""",
SPARKLINE(
INDEX(
GOOGLEFINANCE(""IDX:""&amp;A226,""close"",TODAY()-365,TODAY()),
,2
),
{""linewidth"",1}
))
"),"#N/A")</f>
        <v>#N/A</v>
      </c>
      <c r="E226" s="14" t="s">
        <v>67</v>
      </c>
      <c r="F226" s="17" t="s">
        <v>51</v>
      </c>
      <c r="G226" s="24">
        <f t="shared" si="1"/>
        <v>21</v>
      </c>
      <c r="H226" s="19">
        <f>VLOOKUP(A226,Metrik!$C$2:$Y$959,8,0)</f>
        <v>12.1</v>
      </c>
      <c r="I226" s="20">
        <f>VLOOKUP(A226,Metrik!$C$2:$Y$959,9,0)</f>
        <v>2.7</v>
      </c>
      <c r="J226" s="20">
        <f>VLOOKUP(A226,Metrik!$C$2:$Y$959,10,0)</f>
        <v>22.4</v>
      </c>
      <c r="K226" s="20">
        <f>VLOOKUP(A226,Metrik!$C$2:$Y$959,11,0)</f>
        <v>3.5</v>
      </c>
      <c r="L226" s="20">
        <f>VLOOKUP(A226,Metrik!$C$2:$Y$959,12,0)</f>
        <v>5.3</v>
      </c>
      <c r="M226" s="20">
        <f>VLOOKUP(A226,Metrik!$C$2:$Y$959,19,0)</f>
        <v>220</v>
      </c>
      <c r="N226" s="44">
        <v>5.33</v>
      </c>
      <c r="O226" s="44">
        <v>27.52</v>
      </c>
      <c r="P226" s="44">
        <v>74.1</v>
      </c>
      <c r="Q226" s="44">
        <v>1.85</v>
      </c>
      <c r="R226" s="44">
        <v>39.87</v>
      </c>
      <c r="S226" s="44">
        <v>27.32</v>
      </c>
      <c r="T226" s="44">
        <v>2.09</v>
      </c>
      <c r="U226" s="22">
        <f>IFERROR(__xludf.DUMMYFUNCTION("IFERROR(GOOGLEFINANCE(A226,""closeyest""),"""")"),100.74)</f>
        <v>100.74</v>
      </c>
      <c r="V226" s="23">
        <f>IFERROR(__xludf.DUMMYFUNCTION("IFERROR(GOOGLEFINANCE(A226,""changepct""),"""")"),0.51)</f>
        <v>0.51</v>
      </c>
      <c r="W226" s="22">
        <f>IFERROR(__xludf.DUMMYFUNCTION("IFERROR(GOOGLEFINANCE(A226,""priceopen""),"""")"),100.94)</f>
        <v>100.94</v>
      </c>
      <c r="X226" s="22">
        <f>IFERROR(__xludf.DUMMYFUNCTION("IFERROR(GOOGLEFINANCE(A226,""high""),"""")"),101.77)</f>
        <v>101.77</v>
      </c>
      <c r="Y226" s="22">
        <f>IFERROR(__xludf.DUMMYFUNCTION("IFERROR(GOOGLEFINANCE(A226,""low""),"""")"),100.74)</f>
        <v>100.74</v>
      </c>
      <c r="Z226" s="22">
        <f>IFERROR(__xludf.DUMMYFUNCTION("IFERROR(GOOGLEFINANCE(A226,""volume""),"""")"),51924.0)</f>
        <v>51924</v>
      </c>
      <c r="AA226" s="24" t="str">
        <f>VLOOKUP(A226,Metrik!$C$2:$Y$959,5,0)</f>
        <v>Banks</v>
      </c>
      <c r="AB226" s="24" t="str">
        <f>VLOOKUP(A226,Metrik!$C$2:$Y$959,3,0)</f>
        <v>Financials</v>
      </c>
    </row>
    <row r="227">
      <c r="A227" s="14" t="s">
        <v>160</v>
      </c>
      <c r="B227" s="14" t="str">
        <f t="array" ref="B227">VLOOKUP(A227,{Metrik!$C$2:$C$998,Metrik!$B$2:$B$998},2,0)</f>
        <v>Bank Central Asia Tbk.</v>
      </c>
      <c r="C227" s="15" t="str">
        <f>IFERROR(__xludf.DUMMYFUNCTION("GOOGLEFINANCE(""IDX:""&amp;A227,""price"")"),"#N/A")</f>
        <v>#N/A</v>
      </c>
      <c r="D227" s="16" t="str">
        <f>IFERROR(__xludf.DUMMYFUNCTION("IF(A227="""","""",
SPARKLINE(
INDEX(
GOOGLEFINANCE(""IDX:""&amp;A227,""close"",TODAY()-365,TODAY()),
,2
),
{""linewidth"",1}
))
"),"#N/A")</f>
        <v>#N/A</v>
      </c>
      <c r="E227" s="14" t="s">
        <v>52</v>
      </c>
      <c r="F227" s="27" t="s">
        <v>53</v>
      </c>
      <c r="G227" s="24">
        <f t="shared" si="1"/>
        <v>21</v>
      </c>
      <c r="H227" s="19">
        <f>VLOOKUP(A227,Metrik!$C$2:$Y$959,8,0)</f>
        <v>12.1</v>
      </c>
      <c r="I227" s="20">
        <f>VLOOKUP(A227,Metrik!$C$2:$Y$959,9,0)</f>
        <v>2.7</v>
      </c>
      <c r="J227" s="20">
        <f>VLOOKUP(A227,Metrik!$C$2:$Y$959,10,0)</f>
        <v>22.4</v>
      </c>
      <c r="K227" s="20">
        <f>VLOOKUP(A227,Metrik!$C$2:$Y$959,11,0)</f>
        <v>3.5</v>
      </c>
      <c r="L227" s="20">
        <f>VLOOKUP(A227,Metrik!$C$2:$Y$959,12,0)</f>
        <v>5.3</v>
      </c>
      <c r="M227" s="20">
        <f>VLOOKUP(A227,Metrik!$C$2:$Y$959,19,0)</f>
        <v>220</v>
      </c>
      <c r="N227" s="44">
        <v>5.33</v>
      </c>
      <c r="O227" s="44">
        <v>27.52</v>
      </c>
      <c r="P227" s="44">
        <v>74.1</v>
      </c>
      <c r="Q227" s="44">
        <v>1.85</v>
      </c>
      <c r="R227" s="44">
        <v>39.87</v>
      </c>
      <c r="S227" s="44">
        <v>27.32</v>
      </c>
      <c r="T227" s="44">
        <v>2.09</v>
      </c>
      <c r="U227" s="22">
        <f>IFERROR(__xludf.DUMMYFUNCTION("IFERROR(GOOGLEFINANCE(A227,""closeyest""),"""")"),100.74)</f>
        <v>100.74</v>
      </c>
      <c r="V227" s="23">
        <f>IFERROR(__xludf.DUMMYFUNCTION("IFERROR(GOOGLEFINANCE(A227,""changepct""),"""")"),0.51)</f>
        <v>0.51</v>
      </c>
      <c r="W227" s="22">
        <f>IFERROR(__xludf.DUMMYFUNCTION("IFERROR(GOOGLEFINANCE(A227,""priceopen""),"""")"),100.94)</f>
        <v>100.94</v>
      </c>
      <c r="X227" s="22">
        <f>IFERROR(__xludf.DUMMYFUNCTION("IFERROR(GOOGLEFINANCE(A227,""high""),"""")"),101.77)</f>
        <v>101.77</v>
      </c>
      <c r="Y227" s="22">
        <f>IFERROR(__xludf.DUMMYFUNCTION("IFERROR(GOOGLEFINANCE(A227,""low""),"""")"),100.74)</f>
        <v>100.74</v>
      </c>
      <c r="Z227" s="22">
        <f>IFERROR(__xludf.DUMMYFUNCTION("IFERROR(GOOGLEFINANCE(A227,""volume""),"""")"),51924.0)</f>
        <v>51924</v>
      </c>
      <c r="AA227" s="24" t="str">
        <f>VLOOKUP(A227,Metrik!$C$2:$Y$959,5,0)</f>
        <v>Banks</v>
      </c>
      <c r="AB227" s="24" t="str">
        <f>VLOOKUP(A227,Metrik!$C$2:$Y$959,3,0)</f>
        <v>Financials</v>
      </c>
    </row>
    <row r="228">
      <c r="A228" s="14" t="s">
        <v>160</v>
      </c>
      <c r="B228" s="14" t="str">
        <f t="array" ref="B228">VLOOKUP(A228,{Metrik!$C$2:$C$998,Metrik!$B$2:$B$998},2,0)</f>
        <v>Bank Central Asia Tbk.</v>
      </c>
      <c r="C228" s="15" t="str">
        <f>IFERROR(__xludf.DUMMYFUNCTION("GOOGLEFINANCE(""IDX:""&amp;A228,""price"")"),"#N/A")</f>
        <v>#N/A</v>
      </c>
      <c r="D228" s="16" t="str">
        <f>IFERROR(__xludf.DUMMYFUNCTION("IF(A228="""","""",
SPARKLINE(
INDEX(
GOOGLEFINANCE(""IDX:""&amp;A228,""close"",TODAY()-365,TODAY()),
,2
),
{""linewidth"",1}
))
"),"#N/A")</f>
        <v>#N/A</v>
      </c>
      <c r="E228" s="14" t="s">
        <v>50</v>
      </c>
      <c r="F228" s="17" t="s">
        <v>51</v>
      </c>
      <c r="G228" s="24">
        <f t="shared" si="1"/>
        <v>21</v>
      </c>
      <c r="H228" s="19">
        <f>VLOOKUP(A228,Metrik!$C$2:$Y$959,8,0)</f>
        <v>12.1</v>
      </c>
      <c r="I228" s="20">
        <f>VLOOKUP(A228,Metrik!$C$2:$Y$959,9,0)</f>
        <v>2.7</v>
      </c>
      <c r="J228" s="20">
        <f>VLOOKUP(A228,Metrik!$C$2:$Y$959,10,0)</f>
        <v>22.4</v>
      </c>
      <c r="K228" s="20">
        <f>VLOOKUP(A228,Metrik!$C$2:$Y$959,11,0)</f>
        <v>3.5</v>
      </c>
      <c r="L228" s="20">
        <f>VLOOKUP(A228,Metrik!$C$2:$Y$959,12,0)</f>
        <v>5.3</v>
      </c>
      <c r="M228" s="20">
        <f>VLOOKUP(A228,Metrik!$C$2:$Y$959,19,0)</f>
        <v>220</v>
      </c>
      <c r="N228" s="44">
        <v>5.33</v>
      </c>
      <c r="O228" s="44">
        <v>27.52</v>
      </c>
      <c r="P228" s="44">
        <v>74.1</v>
      </c>
      <c r="Q228" s="44">
        <v>1.85</v>
      </c>
      <c r="R228" s="44">
        <v>39.87</v>
      </c>
      <c r="S228" s="44">
        <v>27.32</v>
      </c>
      <c r="T228" s="44">
        <v>2.09</v>
      </c>
      <c r="U228" s="22">
        <f>IFERROR(__xludf.DUMMYFUNCTION("IFERROR(GOOGLEFINANCE(A228,""closeyest""),"""")"),100.74)</f>
        <v>100.74</v>
      </c>
      <c r="V228" s="23">
        <f>IFERROR(__xludf.DUMMYFUNCTION("IFERROR(GOOGLEFINANCE(A228,""changepct""),"""")"),0.51)</f>
        <v>0.51</v>
      </c>
      <c r="W228" s="22">
        <f>IFERROR(__xludf.DUMMYFUNCTION("IFERROR(GOOGLEFINANCE(A228,""priceopen""),"""")"),100.94)</f>
        <v>100.94</v>
      </c>
      <c r="X228" s="22">
        <f>IFERROR(__xludf.DUMMYFUNCTION("IFERROR(GOOGLEFINANCE(A228,""high""),"""")"),101.77)</f>
        <v>101.77</v>
      </c>
      <c r="Y228" s="22">
        <f>IFERROR(__xludf.DUMMYFUNCTION("IFERROR(GOOGLEFINANCE(A228,""low""),"""")"),100.74)</f>
        <v>100.74</v>
      </c>
      <c r="Z228" s="22">
        <f>IFERROR(__xludf.DUMMYFUNCTION("IFERROR(GOOGLEFINANCE(A228,""volume""),"""")"),51924.0)</f>
        <v>51924</v>
      </c>
      <c r="AA228" s="24" t="str">
        <f>VLOOKUP(A228,Metrik!$C$2:$Y$959,5,0)</f>
        <v>Banks</v>
      </c>
      <c r="AB228" s="24" t="str">
        <f>VLOOKUP(A228,Metrik!$C$2:$Y$959,3,0)</f>
        <v>Financials</v>
      </c>
    </row>
    <row r="229">
      <c r="A229" s="14" t="s">
        <v>160</v>
      </c>
      <c r="B229" s="14" t="str">
        <f t="array" ref="B229">VLOOKUP(A229,{Metrik!$C$2:$C$998,Metrik!$B$2:$B$998},2,0)</f>
        <v>Bank Central Asia Tbk.</v>
      </c>
      <c r="C229" s="15" t="str">
        <f>IFERROR(__xludf.DUMMYFUNCTION("GOOGLEFINANCE(""IDX:""&amp;A229,""price"")"),"#N/A")</f>
        <v>#N/A</v>
      </c>
      <c r="D229" s="16" t="str">
        <f>IFERROR(__xludf.DUMMYFUNCTION("IF(A229="""","""",
SPARKLINE(
INDEX(
GOOGLEFINANCE(""IDX:""&amp;A229,""close"",TODAY()-365,TODAY()),
,2
),
{""linewidth"",1}
))
"),"#N/A")</f>
        <v>#N/A</v>
      </c>
      <c r="E229" s="14" t="s">
        <v>48</v>
      </c>
      <c r="F229" s="14" t="s">
        <v>49</v>
      </c>
      <c r="G229" s="24">
        <f t="shared" si="1"/>
        <v>21</v>
      </c>
      <c r="H229" s="19">
        <f>VLOOKUP(A229,Metrik!$C$2:$Y$959,8,0)</f>
        <v>12.1</v>
      </c>
      <c r="I229" s="20">
        <f>VLOOKUP(A229,Metrik!$C$2:$Y$959,9,0)</f>
        <v>2.7</v>
      </c>
      <c r="J229" s="20">
        <f>VLOOKUP(A229,Metrik!$C$2:$Y$959,10,0)</f>
        <v>22.4</v>
      </c>
      <c r="K229" s="20">
        <f>VLOOKUP(A229,Metrik!$C$2:$Y$959,11,0)</f>
        <v>3.5</v>
      </c>
      <c r="L229" s="20">
        <f>VLOOKUP(A229,Metrik!$C$2:$Y$959,12,0)</f>
        <v>5.3</v>
      </c>
      <c r="M229" s="20">
        <f>VLOOKUP(A229,Metrik!$C$2:$Y$959,19,0)</f>
        <v>220</v>
      </c>
      <c r="N229" s="44">
        <v>5.33</v>
      </c>
      <c r="O229" s="44">
        <v>27.52</v>
      </c>
      <c r="P229" s="44">
        <v>74.1</v>
      </c>
      <c r="Q229" s="44">
        <v>1.85</v>
      </c>
      <c r="R229" s="44">
        <v>39.87</v>
      </c>
      <c r="S229" s="44">
        <v>27.32</v>
      </c>
      <c r="T229" s="44">
        <v>2.09</v>
      </c>
      <c r="U229" s="22">
        <f>IFERROR(__xludf.DUMMYFUNCTION("IFERROR(GOOGLEFINANCE(A229,""closeyest""),"""")"),100.74)</f>
        <v>100.74</v>
      </c>
      <c r="V229" s="23">
        <f>IFERROR(__xludf.DUMMYFUNCTION("IFERROR(GOOGLEFINANCE(A229,""changepct""),"""")"),0.51)</f>
        <v>0.51</v>
      </c>
      <c r="W229" s="22">
        <f>IFERROR(__xludf.DUMMYFUNCTION("IFERROR(GOOGLEFINANCE(A229,""priceopen""),"""")"),100.94)</f>
        <v>100.94</v>
      </c>
      <c r="X229" s="22">
        <f>IFERROR(__xludf.DUMMYFUNCTION("IFERROR(GOOGLEFINANCE(A229,""high""),"""")"),101.77)</f>
        <v>101.77</v>
      </c>
      <c r="Y229" s="22">
        <f>IFERROR(__xludf.DUMMYFUNCTION("IFERROR(GOOGLEFINANCE(A229,""low""),"""")"),100.74)</f>
        <v>100.74</v>
      </c>
      <c r="Z229" s="22">
        <f>IFERROR(__xludf.DUMMYFUNCTION("IFERROR(GOOGLEFINANCE(A229,""volume""),"""")"),51924.0)</f>
        <v>51924</v>
      </c>
      <c r="AA229" s="24" t="str">
        <f>VLOOKUP(A229,Metrik!$C$2:$Y$959,5,0)</f>
        <v>Banks</v>
      </c>
      <c r="AB229" s="24" t="str">
        <f>VLOOKUP(A229,Metrik!$C$2:$Y$959,3,0)</f>
        <v>Financials</v>
      </c>
    </row>
    <row r="230">
      <c r="A230" s="14" t="s">
        <v>160</v>
      </c>
      <c r="B230" s="14" t="str">
        <f t="array" ref="B230">VLOOKUP(A230,{Metrik!$C$2:$C$998,Metrik!$B$2:$B$998},2,0)</f>
        <v>Bank Central Asia Tbk.</v>
      </c>
      <c r="C230" s="15" t="str">
        <f>IFERROR(__xludf.DUMMYFUNCTION("GOOGLEFINANCE(""IDX:""&amp;A230,""price"")"),"#N/A")</f>
        <v>#N/A</v>
      </c>
      <c r="D230" s="16" t="str">
        <f>IFERROR(__xludf.DUMMYFUNCTION("IF(A230="""","""",
SPARKLINE(
INDEX(
GOOGLEFINANCE(""IDX:""&amp;A230,""close"",TODAY()-365,TODAY()),
,2
),
{""linewidth"",1}
))
"),"#N/A")</f>
        <v>#N/A</v>
      </c>
      <c r="E230" s="14" t="s">
        <v>84</v>
      </c>
      <c r="F230" s="17" t="s">
        <v>51</v>
      </c>
      <c r="G230" s="24">
        <f t="shared" si="1"/>
        <v>21</v>
      </c>
      <c r="H230" s="19">
        <f>VLOOKUP(A230,Metrik!$C$2:$Y$959,8,0)</f>
        <v>12.1</v>
      </c>
      <c r="I230" s="20">
        <f>VLOOKUP(A230,Metrik!$C$2:$Y$959,9,0)</f>
        <v>2.7</v>
      </c>
      <c r="J230" s="20">
        <f>VLOOKUP(A230,Metrik!$C$2:$Y$959,10,0)</f>
        <v>22.4</v>
      </c>
      <c r="K230" s="20">
        <f>VLOOKUP(A230,Metrik!$C$2:$Y$959,11,0)</f>
        <v>3.5</v>
      </c>
      <c r="L230" s="20">
        <f>VLOOKUP(A230,Metrik!$C$2:$Y$959,12,0)</f>
        <v>5.3</v>
      </c>
      <c r="M230" s="20">
        <f>VLOOKUP(A230,Metrik!$C$2:$Y$959,19,0)</f>
        <v>220</v>
      </c>
      <c r="N230" s="44">
        <v>5.33</v>
      </c>
      <c r="O230" s="44">
        <v>27.52</v>
      </c>
      <c r="P230" s="44">
        <v>74.1</v>
      </c>
      <c r="Q230" s="44">
        <v>1.85</v>
      </c>
      <c r="R230" s="44">
        <v>39.87</v>
      </c>
      <c r="S230" s="44">
        <v>27.32</v>
      </c>
      <c r="T230" s="44">
        <v>2.09</v>
      </c>
      <c r="U230" s="22">
        <f>IFERROR(__xludf.DUMMYFUNCTION("IFERROR(GOOGLEFINANCE(A230,""closeyest""),"""")"),100.74)</f>
        <v>100.74</v>
      </c>
      <c r="V230" s="23">
        <f>IFERROR(__xludf.DUMMYFUNCTION("IFERROR(GOOGLEFINANCE(A230,""changepct""),"""")"),0.51)</f>
        <v>0.51</v>
      </c>
      <c r="W230" s="22">
        <f>IFERROR(__xludf.DUMMYFUNCTION("IFERROR(GOOGLEFINANCE(A230,""priceopen""),"""")"),100.94)</f>
        <v>100.94</v>
      </c>
      <c r="X230" s="22">
        <f>IFERROR(__xludf.DUMMYFUNCTION("IFERROR(GOOGLEFINANCE(A230,""high""),"""")"),101.77)</f>
        <v>101.77</v>
      </c>
      <c r="Y230" s="22">
        <f>IFERROR(__xludf.DUMMYFUNCTION("IFERROR(GOOGLEFINANCE(A230,""low""),"""")"),100.74)</f>
        <v>100.74</v>
      </c>
      <c r="Z230" s="22">
        <f>IFERROR(__xludf.DUMMYFUNCTION("IFERROR(GOOGLEFINANCE(A230,""volume""),"""")"),51924.0)</f>
        <v>51924</v>
      </c>
      <c r="AA230" s="24" t="str">
        <f>VLOOKUP(A230,Metrik!$C$2:$Y$959,5,0)</f>
        <v>Banks</v>
      </c>
      <c r="AB230" s="24" t="str">
        <f>VLOOKUP(A230,Metrik!$C$2:$Y$959,3,0)</f>
        <v>Financials</v>
      </c>
    </row>
    <row r="231">
      <c r="A231" s="14" t="s">
        <v>160</v>
      </c>
      <c r="B231" s="14" t="str">
        <f t="array" ref="B231">VLOOKUP(A231,{Metrik!$C$2:$C$998,Metrik!$B$2:$B$998},2,0)</f>
        <v>Bank Central Asia Tbk.</v>
      </c>
      <c r="C231" s="15" t="str">
        <f>IFERROR(__xludf.DUMMYFUNCTION("GOOGLEFINANCE(""IDX:""&amp;A231,""price"")"),"#N/A")</f>
        <v>#N/A</v>
      </c>
      <c r="D231" s="16" t="str">
        <f>IFERROR(__xludf.DUMMYFUNCTION("IF(A231="""","""",
SPARKLINE(
INDEX(
GOOGLEFINANCE(""IDX:""&amp;A231,""close"",TODAY()-365,TODAY()),
,2
),
{""linewidth"",1}
))
"),"#N/A")</f>
        <v>#N/A</v>
      </c>
      <c r="E231" s="14" t="s">
        <v>75</v>
      </c>
      <c r="F231" s="14" t="s">
        <v>76</v>
      </c>
      <c r="G231" s="24">
        <f t="shared" si="1"/>
        <v>21</v>
      </c>
      <c r="H231" s="19">
        <f>VLOOKUP(A231,Metrik!$C$2:$Y$959,8,0)</f>
        <v>12.1</v>
      </c>
      <c r="I231" s="20">
        <f>VLOOKUP(A231,Metrik!$C$2:$Y$959,9,0)</f>
        <v>2.7</v>
      </c>
      <c r="J231" s="20">
        <f>VLOOKUP(A231,Metrik!$C$2:$Y$959,10,0)</f>
        <v>22.4</v>
      </c>
      <c r="K231" s="20">
        <f>VLOOKUP(A231,Metrik!$C$2:$Y$959,11,0)</f>
        <v>3.5</v>
      </c>
      <c r="L231" s="20">
        <f>VLOOKUP(A231,Metrik!$C$2:$Y$959,12,0)</f>
        <v>5.3</v>
      </c>
      <c r="M231" s="20">
        <f>VLOOKUP(A231,Metrik!$C$2:$Y$959,19,0)</f>
        <v>220</v>
      </c>
      <c r="N231" s="44">
        <v>5.33</v>
      </c>
      <c r="O231" s="44">
        <v>27.52</v>
      </c>
      <c r="P231" s="44">
        <v>74.1</v>
      </c>
      <c r="Q231" s="44">
        <v>1.85</v>
      </c>
      <c r="R231" s="44">
        <v>39.87</v>
      </c>
      <c r="S231" s="44">
        <v>27.32</v>
      </c>
      <c r="T231" s="44">
        <v>2.09</v>
      </c>
      <c r="U231" s="22">
        <f>IFERROR(__xludf.DUMMYFUNCTION("IFERROR(GOOGLEFINANCE(A231,""closeyest""),"""")"),100.74)</f>
        <v>100.74</v>
      </c>
      <c r="V231" s="23">
        <f>IFERROR(__xludf.DUMMYFUNCTION("IFERROR(GOOGLEFINANCE(A231,""changepct""),"""")"),0.51)</f>
        <v>0.51</v>
      </c>
      <c r="W231" s="22">
        <f>IFERROR(__xludf.DUMMYFUNCTION("IFERROR(GOOGLEFINANCE(A231,""priceopen""),"""")"),100.94)</f>
        <v>100.94</v>
      </c>
      <c r="X231" s="22">
        <f>IFERROR(__xludf.DUMMYFUNCTION("IFERROR(GOOGLEFINANCE(A231,""high""),"""")"),101.77)</f>
        <v>101.77</v>
      </c>
      <c r="Y231" s="22">
        <f>IFERROR(__xludf.DUMMYFUNCTION("IFERROR(GOOGLEFINANCE(A231,""low""),"""")"),100.74)</f>
        <v>100.74</v>
      </c>
      <c r="Z231" s="22">
        <f>IFERROR(__xludf.DUMMYFUNCTION("IFERROR(GOOGLEFINANCE(A231,""volume""),"""")"),51924.0)</f>
        <v>51924</v>
      </c>
      <c r="AA231" s="24" t="str">
        <f>VLOOKUP(A231,Metrik!$C$2:$Y$959,5,0)</f>
        <v>Banks</v>
      </c>
      <c r="AB231" s="24" t="str">
        <f>VLOOKUP(A231,Metrik!$C$2:$Y$959,3,0)</f>
        <v>Financials</v>
      </c>
    </row>
    <row r="232">
      <c r="A232" s="14" t="s">
        <v>160</v>
      </c>
      <c r="B232" s="14" t="str">
        <f t="array" ref="B232">VLOOKUP(A232,{Metrik!$C$2:$C$998,Metrik!$B$2:$B$998},2,0)</f>
        <v>Bank Central Asia Tbk.</v>
      </c>
      <c r="C232" s="15" t="str">
        <f>IFERROR(__xludf.DUMMYFUNCTION("GOOGLEFINANCE(""IDX:""&amp;A232,""price"")"),"#N/A")</f>
        <v>#N/A</v>
      </c>
      <c r="D232" s="16" t="str">
        <f>IFERROR(__xludf.DUMMYFUNCTION("IF(A232="""","""",
SPARKLINE(
INDEX(
GOOGLEFINANCE(""IDX:""&amp;A232,""close"",TODAY()-365,TODAY()),
,2
),
{""linewidth"",1}
))
"),"#N/A")</f>
        <v>#N/A</v>
      </c>
      <c r="E232" s="14" t="s">
        <v>30</v>
      </c>
      <c r="F232" s="17" t="s">
        <v>29</v>
      </c>
      <c r="G232" s="24">
        <f t="shared" si="1"/>
        <v>21</v>
      </c>
      <c r="H232" s="19">
        <f>VLOOKUP(A232,Metrik!$C$2:$Y$959,8,0)</f>
        <v>12.1</v>
      </c>
      <c r="I232" s="20">
        <f>VLOOKUP(A232,Metrik!$C$2:$Y$959,9,0)</f>
        <v>2.7</v>
      </c>
      <c r="J232" s="20">
        <f>VLOOKUP(A232,Metrik!$C$2:$Y$959,10,0)</f>
        <v>22.4</v>
      </c>
      <c r="K232" s="20">
        <f>VLOOKUP(A232,Metrik!$C$2:$Y$959,11,0)</f>
        <v>3.5</v>
      </c>
      <c r="L232" s="20">
        <f>VLOOKUP(A232,Metrik!$C$2:$Y$959,12,0)</f>
        <v>5.3</v>
      </c>
      <c r="M232" s="20">
        <f>VLOOKUP(A232,Metrik!$C$2:$Y$959,19,0)</f>
        <v>220</v>
      </c>
      <c r="N232" s="44">
        <v>5.33</v>
      </c>
      <c r="O232" s="44">
        <v>27.52</v>
      </c>
      <c r="P232" s="44">
        <v>74.1</v>
      </c>
      <c r="Q232" s="44">
        <v>1.85</v>
      </c>
      <c r="R232" s="44">
        <v>39.87</v>
      </c>
      <c r="S232" s="44">
        <v>27.32</v>
      </c>
      <c r="T232" s="44">
        <v>2.09</v>
      </c>
      <c r="U232" s="22">
        <f>IFERROR(__xludf.DUMMYFUNCTION("IFERROR(GOOGLEFINANCE(A232,""closeyest""),"""")"),100.74)</f>
        <v>100.74</v>
      </c>
      <c r="V232" s="23">
        <f>IFERROR(__xludf.DUMMYFUNCTION("IFERROR(GOOGLEFINANCE(A232,""changepct""),"""")"),0.51)</f>
        <v>0.51</v>
      </c>
      <c r="W232" s="22">
        <f>IFERROR(__xludf.DUMMYFUNCTION("IFERROR(GOOGLEFINANCE(A232,""priceopen""),"""")"),100.94)</f>
        <v>100.94</v>
      </c>
      <c r="X232" s="22">
        <f>IFERROR(__xludf.DUMMYFUNCTION("IFERROR(GOOGLEFINANCE(A232,""high""),"""")"),101.77)</f>
        <v>101.77</v>
      </c>
      <c r="Y232" s="22">
        <f>IFERROR(__xludf.DUMMYFUNCTION("IFERROR(GOOGLEFINANCE(A232,""low""),"""")"),100.74)</f>
        <v>100.74</v>
      </c>
      <c r="Z232" s="22">
        <f>IFERROR(__xludf.DUMMYFUNCTION("IFERROR(GOOGLEFINANCE(A232,""volume""),"""")"),51924.0)</f>
        <v>51924</v>
      </c>
      <c r="AA232" s="24" t="str">
        <f>VLOOKUP(A232,Metrik!$C$2:$Y$959,5,0)</f>
        <v>Banks</v>
      </c>
      <c r="AB232" s="24" t="str">
        <f>VLOOKUP(A232,Metrik!$C$2:$Y$959,3,0)</f>
        <v>Financials</v>
      </c>
    </row>
    <row r="233">
      <c r="A233" s="14" t="s">
        <v>160</v>
      </c>
      <c r="B233" s="14" t="str">
        <f t="array" ref="B233">VLOOKUP(A233,{Metrik!$C$2:$C$998,Metrik!$B$2:$B$998},2,0)</f>
        <v>Bank Central Asia Tbk.</v>
      </c>
      <c r="C233" s="15" t="str">
        <f>IFERROR(__xludf.DUMMYFUNCTION("GOOGLEFINANCE(""IDX:""&amp;A233,""price"")"),"#N/A")</f>
        <v>#N/A</v>
      </c>
      <c r="D233" s="16" t="str">
        <f>IFERROR(__xludf.DUMMYFUNCTION("IF(A233="""","""",
SPARKLINE(
INDEX(
GOOGLEFINANCE(""IDX:""&amp;A233,""close"",TODAY()-365,TODAY()),
,2
),
{""linewidth"",1}
))
"),"#N/A")</f>
        <v>#N/A</v>
      </c>
      <c r="E233" s="14" t="s">
        <v>31</v>
      </c>
      <c r="F233" s="17" t="s">
        <v>29</v>
      </c>
      <c r="G233" s="24">
        <f t="shared" si="1"/>
        <v>21</v>
      </c>
      <c r="H233" s="19">
        <f>VLOOKUP(A233,Metrik!$C$2:$Y$959,8,0)</f>
        <v>12.1</v>
      </c>
      <c r="I233" s="20">
        <f>VLOOKUP(A233,Metrik!$C$2:$Y$959,9,0)</f>
        <v>2.7</v>
      </c>
      <c r="J233" s="20">
        <f>VLOOKUP(A233,Metrik!$C$2:$Y$959,10,0)</f>
        <v>22.4</v>
      </c>
      <c r="K233" s="20">
        <f>VLOOKUP(A233,Metrik!$C$2:$Y$959,11,0)</f>
        <v>3.5</v>
      </c>
      <c r="L233" s="20">
        <f>VLOOKUP(A233,Metrik!$C$2:$Y$959,12,0)</f>
        <v>5.3</v>
      </c>
      <c r="M233" s="20">
        <f>VLOOKUP(A233,Metrik!$C$2:$Y$959,19,0)</f>
        <v>220</v>
      </c>
      <c r="N233" s="44">
        <v>5.33</v>
      </c>
      <c r="O233" s="44">
        <v>27.52</v>
      </c>
      <c r="P233" s="44">
        <v>74.1</v>
      </c>
      <c r="Q233" s="44">
        <v>1.85</v>
      </c>
      <c r="R233" s="44">
        <v>39.87</v>
      </c>
      <c r="S233" s="44">
        <v>27.32</v>
      </c>
      <c r="T233" s="44">
        <v>2.09</v>
      </c>
      <c r="U233" s="22">
        <f>IFERROR(__xludf.DUMMYFUNCTION("IFERROR(GOOGLEFINANCE(A233,""closeyest""),"""")"),100.74)</f>
        <v>100.74</v>
      </c>
      <c r="V233" s="23">
        <f>IFERROR(__xludf.DUMMYFUNCTION("IFERROR(GOOGLEFINANCE(A233,""changepct""),"""")"),0.51)</f>
        <v>0.51</v>
      </c>
      <c r="W233" s="22">
        <f>IFERROR(__xludf.DUMMYFUNCTION("IFERROR(GOOGLEFINANCE(A233,""priceopen""),"""")"),100.94)</f>
        <v>100.94</v>
      </c>
      <c r="X233" s="22">
        <f>IFERROR(__xludf.DUMMYFUNCTION("IFERROR(GOOGLEFINANCE(A233,""high""),"""")"),101.77)</f>
        <v>101.77</v>
      </c>
      <c r="Y233" s="22">
        <f>IFERROR(__xludf.DUMMYFUNCTION("IFERROR(GOOGLEFINANCE(A233,""low""),"""")"),100.74)</f>
        <v>100.74</v>
      </c>
      <c r="Z233" s="22">
        <f>IFERROR(__xludf.DUMMYFUNCTION("IFERROR(GOOGLEFINANCE(A233,""volume""),"""")"),51924.0)</f>
        <v>51924</v>
      </c>
      <c r="AA233" s="24" t="str">
        <f>VLOOKUP(A233,Metrik!$C$2:$Y$959,5,0)</f>
        <v>Banks</v>
      </c>
      <c r="AB233" s="24" t="str">
        <f>VLOOKUP(A233,Metrik!$C$2:$Y$959,3,0)</f>
        <v>Financials</v>
      </c>
    </row>
    <row r="234">
      <c r="A234" s="14" t="s">
        <v>160</v>
      </c>
      <c r="B234" s="14" t="str">
        <f t="array" ref="B234">VLOOKUP(A234,{Metrik!$C$2:$C$998,Metrik!$B$2:$B$998},2,0)</f>
        <v>Bank Central Asia Tbk.</v>
      </c>
      <c r="C234" s="15" t="str">
        <f>IFERROR(__xludf.DUMMYFUNCTION("GOOGLEFINANCE(""IDX:""&amp;A234,""price"")"),"#N/A")</f>
        <v>#N/A</v>
      </c>
      <c r="D234" s="16" t="str">
        <f>IFERROR(__xludf.DUMMYFUNCTION("IF(A234="""","""",
SPARKLINE(
INDEX(
GOOGLEFINANCE(""IDX:""&amp;A234,""close"",TODAY()-365,TODAY()),
,2
),
{""linewidth"",1}
))
"),"#N/A")</f>
        <v>#N/A</v>
      </c>
      <c r="E234" s="14" t="s">
        <v>28</v>
      </c>
      <c r="F234" s="17" t="s">
        <v>29</v>
      </c>
      <c r="G234" s="24">
        <f t="shared" si="1"/>
        <v>21</v>
      </c>
      <c r="H234" s="19">
        <f>VLOOKUP(A234,Metrik!$C$2:$Y$959,8,0)</f>
        <v>12.1</v>
      </c>
      <c r="I234" s="20">
        <f>VLOOKUP(A234,Metrik!$C$2:$Y$959,9,0)</f>
        <v>2.7</v>
      </c>
      <c r="J234" s="20">
        <f>VLOOKUP(A234,Metrik!$C$2:$Y$959,10,0)</f>
        <v>22.4</v>
      </c>
      <c r="K234" s="20">
        <f>VLOOKUP(A234,Metrik!$C$2:$Y$959,11,0)</f>
        <v>3.5</v>
      </c>
      <c r="L234" s="20">
        <f>VLOOKUP(A234,Metrik!$C$2:$Y$959,12,0)</f>
        <v>5.3</v>
      </c>
      <c r="M234" s="20">
        <f>VLOOKUP(A234,Metrik!$C$2:$Y$959,19,0)</f>
        <v>220</v>
      </c>
      <c r="N234" s="44">
        <v>5.33</v>
      </c>
      <c r="O234" s="44">
        <v>27.52</v>
      </c>
      <c r="P234" s="44">
        <v>74.1</v>
      </c>
      <c r="Q234" s="44">
        <v>1.85</v>
      </c>
      <c r="R234" s="44">
        <v>39.87</v>
      </c>
      <c r="S234" s="44">
        <v>27.32</v>
      </c>
      <c r="T234" s="44">
        <v>2.09</v>
      </c>
      <c r="U234" s="22">
        <f>IFERROR(__xludf.DUMMYFUNCTION("IFERROR(GOOGLEFINANCE(A234,""closeyest""),"""")"),100.74)</f>
        <v>100.74</v>
      </c>
      <c r="V234" s="23">
        <f>IFERROR(__xludf.DUMMYFUNCTION("IFERROR(GOOGLEFINANCE(A234,""changepct""),"""")"),0.51)</f>
        <v>0.51</v>
      </c>
      <c r="W234" s="22">
        <f>IFERROR(__xludf.DUMMYFUNCTION("IFERROR(GOOGLEFINANCE(A234,""priceopen""),"""")"),100.94)</f>
        <v>100.94</v>
      </c>
      <c r="X234" s="22">
        <f>IFERROR(__xludf.DUMMYFUNCTION("IFERROR(GOOGLEFINANCE(A234,""high""),"""")"),101.77)</f>
        <v>101.77</v>
      </c>
      <c r="Y234" s="22">
        <f>IFERROR(__xludf.DUMMYFUNCTION("IFERROR(GOOGLEFINANCE(A234,""low""),"""")"),100.74)</f>
        <v>100.74</v>
      </c>
      <c r="Z234" s="22">
        <f>IFERROR(__xludf.DUMMYFUNCTION("IFERROR(GOOGLEFINANCE(A234,""volume""),"""")"),51924.0)</f>
        <v>51924</v>
      </c>
      <c r="AA234" s="24" t="str">
        <f>VLOOKUP(A234,Metrik!$C$2:$Y$959,5,0)</f>
        <v>Banks</v>
      </c>
      <c r="AB234" s="24" t="str">
        <f>VLOOKUP(A234,Metrik!$C$2:$Y$959,3,0)</f>
        <v>Financials</v>
      </c>
    </row>
    <row r="235">
      <c r="A235" s="14" t="s">
        <v>160</v>
      </c>
      <c r="B235" s="14" t="str">
        <f t="array" ref="B235">VLOOKUP(A235,{Metrik!$C$2:$C$998,Metrik!$B$2:$B$998},2,0)</f>
        <v>Bank Central Asia Tbk.</v>
      </c>
      <c r="C235" s="15" t="str">
        <f>IFERROR(__xludf.DUMMYFUNCTION("GOOGLEFINANCE(""IDX:""&amp;A235,""price"")"),"#N/A")</f>
        <v>#N/A</v>
      </c>
      <c r="D235" s="16" t="str">
        <f>IFERROR(__xludf.DUMMYFUNCTION("IF(A235="""","""",
SPARKLINE(
INDEX(
GOOGLEFINANCE(""IDX:""&amp;A235,""close"",TODAY()-365,TODAY()),
,2
),
{""linewidth"",1}
))
"),"#N/A")</f>
        <v>#N/A</v>
      </c>
      <c r="E235" s="14" t="s">
        <v>161</v>
      </c>
      <c r="F235" s="14" t="s">
        <v>76</v>
      </c>
      <c r="G235" s="24">
        <f t="shared" si="1"/>
        <v>21</v>
      </c>
      <c r="H235" s="19">
        <f>VLOOKUP(A235,Metrik!$C$2:$Y$959,8,0)</f>
        <v>12.1</v>
      </c>
      <c r="I235" s="20">
        <f>VLOOKUP(A235,Metrik!$C$2:$Y$959,9,0)</f>
        <v>2.7</v>
      </c>
      <c r="J235" s="20">
        <f>VLOOKUP(A235,Metrik!$C$2:$Y$959,10,0)</f>
        <v>22.4</v>
      </c>
      <c r="K235" s="20">
        <f>VLOOKUP(A235,Metrik!$C$2:$Y$959,11,0)</f>
        <v>3.5</v>
      </c>
      <c r="L235" s="20">
        <f>VLOOKUP(A235,Metrik!$C$2:$Y$959,12,0)</f>
        <v>5.3</v>
      </c>
      <c r="M235" s="20">
        <f>VLOOKUP(A235,Metrik!$C$2:$Y$959,19,0)</f>
        <v>220</v>
      </c>
      <c r="N235" s="44">
        <v>5.33</v>
      </c>
      <c r="O235" s="44">
        <v>27.52</v>
      </c>
      <c r="P235" s="44">
        <v>74.1</v>
      </c>
      <c r="Q235" s="44">
        <v>1.85</v>
      </c>
      <c r="R235" s="44">
        <v>39.87</v>
      </c>
      <c r="S235" s="44">
        <v>27.32</v>
      </c>
      <c r="T235" s="44">
        <v>2.09</v>
      </c>
      <c r="U235" s="22">
        <f>IFERROR(__xludf.DUMMYFUNCTION("IFERROR(GOOGLEFINANCE(A235,""closeyest""),"""")"),100.74)</f>
        <v>100.74</v>
      </c>
      <c r="V235" s="23">
        <f>IFERROR(__xludf.DUMMYFUNCTION("IFERROR(GOOGLEFINANCE(A235,""changepct""),"""")"),0.51)</f>
        <v>0.51</v>
      </c>
      <c r="W235" s="22">
        <f>IFERROR(__xludf.DUMMYFUNCTION("IFERROR(GOOGLEFINANCE(A235,""priceopen""),"""")"),100.94)</f>
        <v>100.94</v>
      </c>
      <c r="X235" s="22">
        <f>IFERROR(__xludf.DUMMYFUNCTION("IFERROR(GOOGLEFINANCE(A235,""high""),"""")"),101.77)</f>
        <v>101.77</v>
      </c>
      <c r="Y235" s="22">
        <f>IFERROR(__xludf.DUMMYFUNCTION("IFERROR(GOOGLEFINANCE(A235,""low""),"""")"),100.74)</f>
        <v>100.74</v>
      </c>
      <c r="Z235" s="22">
        <f>IFERROR(__xludf.DUMMYFUNCTION("IFERROR(GOOGLEFINANCE(A235,""volume""),"""")"),51924.0)</f>
        <v>51924</v>
      </c>
      <c r="AA235" s="24" t="str">
        <f>VLOOKUP(A235,Metrik!$C$2:$Y$959,5,0)</f>
        <v>Banks</v>
      </c>
      <c r="AB235" s="24" t="str">
        <f>VLOOKUP(A235,Metrik!$C$2:$Y$959,3,0)</f>
        <v>Financials</v>
      </c>
    </row>
    <row r="236">
      <c r="A236" s="14" t="s">
        <v>160</v>
      </c>
      <c r="B236" s="14" t="str">
        <f t="array" ref="B236">VLOOKUP(A236,{Metrik!$C$2:$C$998,Metrik!$B$2:$B$998},2,0)</f>
        <v>Bank Central Asia Tbk.</v>
      </c>
      <c r="C236" s="15" t="str">
        <f>IFERROR(__xludf.DUMMYFUNCTION("GOOGLEFINANCE(""IDX:""&amp;A236,""price"")"),"#N/A")</f>
        <v>#N/A</v>
      </c>
      <c r="D236" s="16" t="str">
        <f>IFERROR(__xludf.DUMMYFUNCTION("IF(A236="""","""",
SPARKLINE(
INDEX(
GOOGLEFINANCE(""IDX:""&amp;A236,""close"",TODAY()-365,TODAY()),
,2
),
{""linewidth"",1}
))
"),"#N/A")</f>
        <v>#N/A</v>
      </c>
      <c r="E236" s="14" t="s">
        <v>102</v>
      </c>
      <c r="F236" s="27" t="s">
        <v>53</v>
      </c>
      <c r="G236" s="24">
        <f t="shared" si="1"/>
        <v>21</v>
      </c>
      <c r="H236" s="19">
        <f>VLOOKUP(A236,Metrik!$C$2:$Y$959,8,0)</f>
        <v>12.1</v>
      </c>
      <c r="I236" s="20">
        <f>VLOOKUP(A236,Metrik!$C$2:$Y$959,9,0)</f>
        <v>2.7</v>
      </c>
      <c r="J236" s="20">
        <f>VLOOKUP(A236,Metrik!$C$2:$Y$959,10,0)</f>
        <v>22.4</v>
      </c>
      <c r="K236" s="20">
        <f>VLOOKUP(A236,Metrik!$C$2:$Y$959,11,0)</f>
        <v>3.5</v>
      </c>
      <c r="L236" s="20">
        <f>VLOOKUP(A236,Metrik!$C$2:$Y$959,12,0)</f>
        <v>5.3</v>
      </c>
      <c r="M236" s="20">
        <f>VLOOKUP(A236,Metrik!$C$2:$Y$959,19,0)</f>
        <v>220</v>
      </c>
      <c r="N236" s="44">
        <v>5.33</v>
      </c>
      <c r="O236" s="44">
        <v>27.52</v>
      </c>
      <c r="P236" s="44">
        <v>74.1</v>
      </c>
      <c r="Q236" s="44">
        <v>1.85</v>
      </c>
      <c r="R236" s="44">
        <v>39.87</v>
      </c>
      <c r="S236" s="44">
        <v>27.32</v>
      </c>
      <c r="T236" s="44">
        <v>2.09</v>
      </c>
      <c r="U236" s="22">
        <f>IFERROR(__xludf.DUMMYFUNCTION("IFERROR(GOOGLEFINANCE(A236,""closeyest""),"""")"),100.74)</f>
        <v>100.74</v>
      </c>
      <c r="V236" s="23">
        <f>IFERROR(__xludf.DUMMYFUNCTION("IFERROR(GOOGLEFINANCE(A236,""changepct""),"""")"),0.51)</f>
        <v>0.51</v>
      </c>
      <c r="W236" s="22">
        <f>IFERROR(__xludf.DUMMYFUNCTION("IFERROR(GOOGLEFINANCE(A236,""priceopen""),"""")"),100.94)</f>
        <v>100.94</v>
      </c>
      <c r="X236" s="22">
        <f>IFERROR(__xludf.DUMMYFUNCTION("IFERROR(GOOGLEFINANCE(A236,""high""),"""")"),101.77)</f>
        <v>101.77</v>
      </c>
      <c r="Y236" s="22">
        <f>IFERROR(__xludf.DUMMYFUNCTION("IFERROR(GOOGLEFINANCE(A236,""low""),"""")"),100.74)</f>
        <v>100.74</v>
      </c>
      <c r="Z236" s="22">
        <f>IFERROR(__xludf.DUMMYFUNCTION("IFERROR(GOOGLEFINANCE(A236,""volume""),"""")"),51924.0)</f>
        <v>51924</v>
      </c>
      <c r="AA236" s="24" t="str">
        <f>VLOOKUP(A236,Metrik!$C$2:$Y$959,5,0)</f>
        <v>Banks</v>
      </c>
      <c r="AB236" s="24" t="str">
        <f>VLOOKUP(A236,Metrik!$C$2:$Y$959,3,0)</f>
        <v>Financials</v>
      </c>
    </row>
    <row r="237">
      <c r="A237" s="14" t="s">
        <v>160</v>
      </c>
      <c r="B237" s="14" t="str">
        <f t="array" ref="B237">VLOOKUP(A237,{Metrik!$C$2:$C$998,Metrik!$B$2:$B$998},2,0)</f>
        <v>Bank Central Asia Tbk.</v>
      </c>
      <c r="C237" s="15" t="str">
        <f>IFERROR(__xludf.DUMMYFUNCTION("GOOGLEFINANCE(""IDX:""&amp;A237,""price"")"),"#N/A")</f>
        <v>#N/A</v>
      </c>
      <c r="D237" s="16" t="str">
        <f>IFERROR(__xludf.DUMMYFUNCTION("IF(A237="""","""",
SPARKLINE(
INDEX(
GOOGLEFINANCE(""IDX:""&amp;A237,""close"",TODAY()-365,TODAY()),
,2
),
{""linewidth"",1}
))
"),"#N/A")</f>
        <v>#N/A</v>
      </c>
      <c r="E237" s="14" t="s">
        <v>162</v>
      </c>
      <c r="F237" s="14" t="s">
        <v>76</v>
      </c>
      <c r="G237" s="24">
        <f t="shared" si="1"/>
        <v>21</v>
      </c>
      <c r="H237" s="19">
        <f>VLOOKUP(A237,Metrik!$C$2:$Y$959,8,0)</f>
        <v>12.1</v>
      </c>
      <c r="I237" s="20">
        <f>VLOOKUP(A237,Metrik!$C$2:$Y$959,9,0)</f>
        <v>2.7</v>
      </c>
      <c r="J237" s="20">
        <f>VLOOKUP(A237,Metrik!$C$2:$Y$959,10,0)</f>
        <v>22.4</v>
      </c>
      <c r="K237" s="20">
        <f>VLOOKUP(A237,Metrik!$C$2:$Y$959,11,0)</f>
        <v>3.5</v>
      </c>
      <c r="L237" s="20">
        <f>VLOOKUP(A237,Metrik!$C$2:$Y$959,12,0)</f>
        <v>5.3</v>
      </c>
      <c r="M237" s="20">
        <f>VLOOKUP(A237,Metrik!$C$2:$Y$959,19,0)</f>
        <v>220</v>
      </c>
      <c r="N237" s="44">
        <v>5.33</v>
      </c>
      <c r="O237" s="44">
        <v>27.52</v>
      </c>
      <c r="P237" s="44">
        <v>74.1</v>
      </c>
      <c r="Q237" s="44">
        <v>1.85</v>
      </c>
      <c r="R237" s="44">
        <v>39.87</v>
      </c>
      <c r="S237" s="44">
        <v>27.32</v>
      </c>
      <c r="T237" s="44">
        <v>2.09</v>
      </c>
      <c r="U237" s="22">
        <f>IFERROR(__xludf.DUMMYFUNCTION("IFERROR(GOOGLEFINANCE(A237,""closeyest""),"""")"),100.74)</f>
        <v>100.74</v>
      </c>
      <c r="V237" s="23">
        <f>IFERROR(__xludf.DUMMYFUNCTION("IFERROR(GOOGLEFINANCE(A237,""changepct""),"""")"),0.51)</f>
        <v>0.51</v>
      </c>
      <c r="W237" s="22">
        <f>IFERROR(__xludf.DUMMYFUNCTION("IFERROR(GOOGLEFINANCE(A237,""priceopen""),"""")"),100.94)</f>
        <v>100.94</v>
      </c>
      <c r="X237" s="22">
        <f>IFERROR(__xludf.DUMMYFUNCTION("IFERROR(GOOGLEFINANCE(A237,""high""),"""")"),101.77)</f>
        <v>101.77</v>
      </c>
      <c r="Y237" s="22">
        <f>IFERROR(__xludf.DUMMYFUNCTION("IFERROR(GOOGLEFINANCE(A237,""low""),"""")"),100.74)</f>
        <v>100.74</v>
      </c>
      <c r="Z237" s="22">
        <f>IFERROR(__xludf.DUMMYFUNCTION("IFERROR(GOOGLEFINANCE(A237,""volume""),"""")"),51924.0)</f>
        <v>51924</v>
      </c>
      <c r="AA237" s="24" t="str">
        <f>VLOOKUP(A237,Metrik!$C$2:$Y$959,5,0)</f>
        <v>Banks</v>
      </c>
      <c r="AB237" s="24" t="str">
        <f>VLOOKUP(A237,Metrik!$C$2:$Y$959,3,0)</f>
        <v>Financials</v>
      </c>
    </row>
    <row r="238">
      <c r="A238" s="17" t="s">
        <v>160</v>
      </c>
      <c r="B238" s="14" t="str">
        <f t="array" ref="B238">VLOOKUP(A238,{Metrik!$C$2:$C$998,Metrik!$B$2:$B$998},2,0)</f>
        <v>Bank Central Asia Tbk.</v>
      </c>
      <c r="C238" s="15" t="str">
        <f>IFERROR(__xludf.DUMMYFUNCTION("GOOGLEFINANCE(""IDX:""&amp;A238,""price"")"),"#N/A")</f>
        <v>#N/A</v>
      </c>
      <c r="D238" s="16" t="str">
        <f>IFERROR(__xludf.DUMMYFUNCTION("IF(A238="""","""",
SPARKLINE(
INDEX(
GOOGLEFINANCE(""IDX:""&amp;A238,""close"",TODAY()-365,TODAY()),
,2
),
{""linewidth"",1}
))
"),"#N/A")</f>
        <v>#N/A</v>
      </c>
      <c r="E238" s="17" t="s">
        <v>69</v>
      </c>
      <c r="F238" s="27" t="s">
        <v>70</v>
      </c>
      <c r="G238" s="38">
        <f t="shared" si="1"/>
        <v>21</v>
      </c>
      <c r="H238" s="34">
        <f>VLOOKUP(A238,Metrik!$C$2:$Y$959,8,0)</f>
        <v>12.1</v>
      </c>
      <c r="I238" s="34">
        <f>VLOOKUP(A238,Metrik!$C$2:$Y$959,9,0)</f>
        <v>2.7</v>
      </c>
      <c r="J238" s="34">
        <f>VLOOKUP(A238,Metrik!$C$2:$Y$959,10,0)</f>
        <v>22.4</v>
      </c>
      <c r="K238" s="34">
        <f>VLOOKUP(A238,Metrik!$C$2:$Y$959,11,0)</f>
        <v>3.5</v>
      </c>
      <c r="L238" s="34">
        <f>VLOOKUP(A238,Metrik!$C$2:$Y$959,12,0)</f>
        <v>5.3</v>
      </c>
      <c r="M238" s="34">
        <f>VLOOKUP(A238,Metrik!$C$2:$Y$959,19,0)</f>
        <v>220</v>
      </c>
      <c r="N238" s="44">
        <v>5.33</v>
      </c>
      <c r="O238" s="44">
        <v>27.52</v>
      </c>
      <c r="P238" s="44">
        <v>74.1</v>
      </c>
      <c r="Q238" s="44">
        <v>1.85</v>
      </c>
      <c r="R238" s="44">
        <v>39.87</v>
      </c>
      <c r="S238" s="44">
        <v>27.32</v>
      </c>
      <c r="T238" s="44">
        <v>2.09</v>
      </c>
      <c r="U238" s="35">
        <f>IFERROR(__xludf.DUMMYFUNCTION("IFERROR(GOOGLEFINANCE(A238,""closeyest""),"""")"),100.74)</f>
        <v>100.74</v>
      </c>
      <c r="V238" s="36">
        <f>IFERROR(__xludf.DUMMYFUNCTION("IFERROR(GOOGLEFINANCE(A238,""changepct""),"""")"),0.51)</f>
        <v>0.51</v>
      </c>
      <c r="W238" s="35">
        <f>IFERROR(__xludf.DUMMYFUNCTION("IFERROR(GOOGLEFINANCE(A238,""priceopen""),"""")"),100.94)</f>
        <v>100.94</v>
      </c>
      <c r="X238" s="35">
        <f>IFERROR(__xludf.DUMMYFUNCTION("IFERROR(GOOGLEFINANCE(A238,""high""),"""")"),101.77)</f>
        <v>101.77</v>
      </c>
      <c r="Y238" s="35">
        <f>IFERROR(__xludf.DUMMYFUNCTION("IFERROR(GOOGLEFINANCE(A238,""low""),"""")"),100.74)</f>
        <v>100.74</v>
      </c>
      <c r="Z238" s="35">
        <f>IFERROR(__xludf.DUMMYFUNCTION("IFERROR(GOOGLEFINANCE(A238,""volume""),"""")"),51924.0)</f>
        <v>51924</v>
      </c>
      <c r="AA238" s="14" t="str">
        <f>VLOOKUP(A238,Metrik!$C$2:$Y$959,5,0)</f>
        <v>Banks</v>
      </c>
      <c r="AB238" s="14" t="str">
        <f>VLOOKUP(A238,Metrik!$C$2:$Y$959,3,0)</f>
        <v>Financials</v>
      </c>
    </row>
    <row r="239">
      <c r="A239" s="14" t="s">
        <v>160</v>
      </c>
      <c r="B239" s="14" t="str">
        <f t="array" ref="B239">VLOOKUP(A239,{Metrik!$C$2:$C$998,Metrik!$B$2:$B$998},2,0)</f>
        <v>Bank Central Asia Tbk.</v>
      </c>
      <c r="C239" s="15" t="str">
        <f>IFERROR(__xludf.DUMMYFUNCTION("GOOGLEFINANCE(""IDX:""&amp;A239,""price"")"),"#N/A")</f>
        <v>#N/A</v>
      </c>
      <c r="D239" s="16" t="str">
        <f>IFERROR(__xludf.DUMMYFUNCTION("IF(A239="""","""",
SPARKLINE(
INDEX(
GOOGLEFINANCE(""IDX:""&amp;A239,""close"",TODAY()-365,TODAY()),
,2
),
{""linewidth"",1}
))
"),"#N/A")</f>
        <v>#N/A</v>
      </c>
      <c r="E239" s="14" t="s">
        <v>55</v>
      </c>
      <c r="F239" s="25">
        <v>46356.0</v>
      </c>
      <c r="G239" s="24">
        <f t="shared" si="1"/>
        <v>21</v>
      </c>
      <c r="H239" s="19">
        <f>VLOOKUP(A239,Metrik!$C$2:$Y$959,8,0)</f>
        <v>12.1</v>
      </c>
      <c r="I239" s="20">
        <f>VLOOKUP(A239,Metrik!$C$2:$Y$959,9,0)</f>
        <v>2.7</v>
      </c>
      <c r="J239" s="20">
        <f>VLOOKUP(A239,Metrik!$C$2:$Y$959,10,0)</f>
        <v>22.4</v>
      </c>
      <c r="K239" s="20">
        <f>VLOOKUP(A239,Metrik!$C$2:$Y$959,11,0)</f>
        <v>3.5</v>
      </c>
      <c r="L239" s="20">
        <f>VLOOKUP(A239,Metrik!$C$2:$Y$959,12,0)</f>
        <v>5.3</v>
      </c>
      <c r="M239" s="20">
        <f>VLOOKUP(A239,Metrik!$C$2:$Y$959,19,0)</f>
        <v>220</v>
      </c>
      <c r="N239" s="44">
        <v>5.33</v>
      </c>
      <c r="O239" s="44">
        <v>27.52</v>
      </c>
      <c r="P239" s="44">
        <v>74.1</v>
      </c>
      <c r="Q239" s="44">
        <v>1.85</v>
      </c>
      <c r="R239" s="44">
        <v>39.87</v>
      </c>
      <c r="S239" s="44">
        <v>27.32</v>
      </c>
      <c r="T239" s="44">
        <v>2.09</v>
      </c>
      <c r="U239" s="22">
        <f>IFERROR(__xludf.DUMMYFUNCTION("IFERROR(GOOGLEFINANCE(A239,""closeyest""),"""")"),100.74)</f>
        <v>100.74</v>
      </c>
      <c r="V239" s="23">
        <f>IFERROR(__xludf.DUMMYFUNCTION("IFERROR(GOOGLEFINANCE(A239,""changepct""),"""")"),0.51)</f>
        <v>0.51</v>
      </c>
      <c r="W239" s="22">
        <f>IFERROR(__xludf.DUMMYFUNCTION("IFERROR(GOOGLEFINANCE(A239,""priceopen""),"""")"),100.94)</f>
        <v>100.94</v>
      </c>
      <c r="X239" s="22">
        <f>IFERROR(__xludf.DUMMYFUNCTION("IFERROR(GOOGLEFINANCE(A239,""high""),"""")"),101.77)</f>
        <v>101.77</v>
      </c>
      <c r="Y239" s="22">
        <f>IFERROR(__xludf.DUMMYFUNCTION("IFERROR(GOOGLEFINANCE(A239,""low""),"""")"),100.74)</f>
        <v>100.74</v>
      </c>
      <c r="Z239" s="22">
        <f>IFERROR(__xludf.DUMMYFUNCTION("IFERROR(GOOGLEFINANCE(A239,""volume""),"""")"),51924.0)</f>
        <v>51924</v>
      </c>
      <c r="AA239" s="24" t="str">
        <f>VLOOKUP(A239,Metrik!$C$2:$Y$959,5,0)</f>
        <v>Banks</v>
      </c>
      <c r="AB239" s="24" t="str">
        <f>VLOOKUP(A239,Metrik!$C$2:$Y$959,3,0)</f>
        <v>Financials</v>
      </c>
    </row>
    <row r="240">
      <c r="A240" s="14" t="s">
        <v>160</v>
      </c>
      <c r="B240" s="14" t="str">
        <f t="array" ref="B240">VLOOKUP(A240,{Metrik!$C$2:$C$998,Metrik!$B$2:$B$998},2,0)</f>
        <v>Bank Central Asia Tbk.</v>
      </c>
      <c r="C240" s="15" t="str">
        <f>IFERROR(__xludf.DUMMYFUNCTION("GOOGLEFINANCE(""IDX:""&amp;A240,""price"")"),"#N/A")</f>
        <v>#N/A</v>
      </c>
      <c r="D240" s="16" t="str">
        <f>IFERROR(__xludf.DUMMYFUNCTION("IF(A240="""","""",
SPARKLINE(
INDEX(
GOOGLEFINANCE(""IDX:""&amp;A240,""close"",TODAY()-365,TODAY()),
,2
),
{""linewidth"",1}
))
"),"#N/A")</f>
        <v>#N/A</v>
      </c>
      <c r="E240" s="14" t="s">
        <v>86</v>
      </c>
      <c r="F240" s="25">
        <v>46356.0</v>
      </c>
      <c r="G240" s="24">
        <f t="shared" si="1"/>
        <v>21</v>
      </c>
      <c r="H240" s="19">
        <f>VLOOKUP(A240,Metrik!$C$2:$Y$959,8,0)</f>
        <v>12.1</v>
      </c>
      <c r="I240" s="20">
        <f>VLOOKUP(A240,Metrik!$C$2:$Y$959,9,0)</f>
        <v>2.7</v>
      </c>
      <c r="J240" s="20">
        <f>VLOOKUP(A240,Metrik!$C$2:$Y$959,10,0)</f>
        <v>22.4</v>
      </c>
      <c r="K240" s="20">
        <f>VLOOKUP(A240,Metrik!$C$2:$Y$959,11,0)</f>
        <v>3.5</v>
      </c>
      <c r="L240" s="20">
        <f>VLOOKUP(A240,Metrik!$C$2:$Y$959,12,0)</f>
        <v>5.3</v>
      </c>
      <c r="M240" s="20">
        <f>VLOOKUP(A240,Metrik!$C$2:$Y$959,19,0)</f>
        <v>220</v>
      </c>
      <c r="N240" s="44">
        <v>5.33</v>
      </c>
      <c r="O240" s="44">
        <v>27.52</v>
      </c>
      <c r="P240" s="44">
        <v>74.1</v>
      </c>
      <c r="Q240" s="44">
        <v>1.85</v>
      </c>
      <c r="R240" s="44">
        <v>39.87</v>
      </c>
      <c r="S240" s="44">
        <v>27.32</v>
      </c>
      <c r="T240" s="44">
        <v>2.09</v>
      </c>
      <c r="U240" s="22">
        <f>IFERROR(__xludf.DUMMYFUNCTION("IFERROR(GOOGLEFINANCE(A240,""closeyest""),"""")"),100.74)</f>
        <v>100.74</v>
      </c>
      <c r="V240" s="23">
        <f>IFERROR(__xludf.DUMMYFUNCTION("IFERROR(GOOGLEFINANCE(A240,""changepct""),"""")"),0.51)</f>
        <v>0.51</v>
      </c>
      <c r="W240" s="22">
        <f>IFERROR(__xludf.DUMMYFUNCTION("IFERROR(GOOGLEFINANCE(A240,""priceopen""),"""")"),100.94)</f>
        <v>100.94</v>
      </c>
      <c r="X240" s="22">
        <f>IFERROR(__xludf.DUMMYFUNCTION("IFERROR(GOOGLEFINANCE(A240,""high""),"""")"),101.77)</f>
        <v>101.77</v>
      </c>
      <c r="Y240" s="22">
        <f>IFERROR(__xludf.DUMMYFUNCTION("IFERROR(GOOGLEFINANCE(A240,""low""),"""")"),100.74)</f>
        <v>100.74</v>
      </c>
      <c r="Z240" s="22">
        <f>IFERROR(__xludf.DUMMYFUNCTION("IFERROR(GOOGLEFINANCE(A240,""volume""),"""")"),51924.0)</f>
        <v>51924</v>
      </c>
      <c r="AA240" s="24" t="str">
        <f>VLOOKUP(A240,Metrik!$C$2:$Y$959,5,0)</f>
        <v>Banks</v>
      </c>
      <c r="AB240" s="24" t="str">
        <f>VLOOKUP(A240,Metrik!$C$2:$Y$959,3,0)</f>
        <v>Financials</v>
      </c>
    </row>
    <row r="241">
      <c r="A241" s="14" t="s">
        <v>160</v>
      </c>
      <c r="B241" s="14" t="str">
        <f t="array" ref="B241">VLOOKUP(A241,{Metrik!$C$2:$C$998,Metrik!$B$2:$B$998},2,0)</f>
        <v>Bank Central Asia Tbk.</v>
      </c>
      <c r="C241" s="15" t="str">
        <f>IFERROR(__xludf.DUMMYFUNCTION("GOOGLEFINANCE(""IDX:""&amp;A241,""price"")"),"#N/A")</f>
        <v>#N/A</v>
      </c>
      <c r="D241" s="16" t="str">
        <f>IFERROR(__xludf.DUMMYFUNCTION("IF(A241="""","""",
SPARKLINE(
INDEX(
GOOGLEFINANCE(""IDX:""&amp;A241,""close"",TODAY()-365,TODAY()),
,2
),
{""linewidth"",1}
))
"),"#N/A")</f>
        <v>#N/A</v>
      </c>
      <c r="E241" s="14" t="s">
        <v>42</v>
      </c>
      <c r="F241" s="25">
        <v>46356.0</v>
      </c>
      <c r="G241" s="24">
        <f t="shared" si="1"/>
        <v>21</v>
      </c>
      <c r="H241" s="19">
        <f>VLOOKUP(A241,Metrik!$C$2:$Y$959,8,0)</f>
        <v>12.1</v>
      </c>
      <c r="I241" s="20">
        <f>VLOOKUP(A241,Metrik!$C$2:$Y$959,9,0)</f>
        <v>2.7</v>
      </c>
      <c r="J241" s="20">
        <f>VLOOKUP(A241,Metrik!$C$2:$Y$959,10,0)</f>
        <v>22.4</v>
      </c>
      <c r="K241" s="20">
        <f>VLOOKUP(A241,Metrik!$C$2:$Y$959,11,0)</f>
        <v>3.5</v>
      </c>
      <c r="L241" s="20">
        <f>VLOOKUP(A241,Metrik!$C$2:$Y$959,12,0)</f>
        <v>5.3</v>
      </c>
      <c r="M241" s="20">
        <f>VLOOKUP(A241,Metrik!$C$2:$Y$959,19,0)</f>
        <v>220</v>
      </c>
      <c r="N241" s="44">
        <v>5.33</v>
      </c>
      <c r="O241" s="44">
        <v>27.52</v>
      </c>
      <c r="P241" s="44">
        <v>74.1</v>
      </c>
      <c r="Q241" s="44">
        <v>1.85</v>
      </c>
      <c r="R241" s="44">
        <v>39.87</v>
      </c>
      <c r="S241" s="44">
        <v>27.32</v>
      </c>
      <c r="T241" s="44">
        <v>2.09</v>
      </c>
      <c r="U241" s="22">
        <f>IFERROR(__xludf.DUMMYFUNCTION("IFERROR(GOOGLEFINANCE(A241,""closeyest""),"""")"),100.74)</f>
        <v>100.74</v>
      </c>
      <c r="V241" s="23">
        <f>IFERROR(__xludf.DUMMYFUNCTION("IFERROR(GOOGLEFINANCE(A241,""changepct""),"""")"),0.51)</f>
        <v>0.51</v>
      </c>
      <c r="W241" s="22">
        <f>IFERROR(__xludf.DUMMYFUNCTION("IFERROR(GOOGLEFINANCE(A241,""priceopen""),"""")"),100.94)</f>
        <v>100.94</v>
      </c>
      <c r="X241" s="22">
        <f>IFERROR(__xludf.DUMMYFUNCTION("IFERROR(GOOGLEFINANCE(A241,""high""),"""")"),101.77)</f>
        <v>101.77</v>
      </c>
      <c r="Y241" s="22">
        <f>IFERROR(__xludf.DUMMYFUNCTION("IFERROR(GOOGLEFINANCE(A241,""low""),"""")"),100.74)</f>
        <v>100.74</v>
      </c>
      <c r="Z241" s="22">
        <f>IFERROR(__xludf.DUMMYFUNCTION("IFERROR(GOOGLEFINANCE(A241,""volume""),"""")"),51924.0)</f>
        <v>51924</v>
      </c>
      <c r="AA241" s="24" t="str">
        <f>VLOOKUP(A241,Metrik!$C$2:$Y$959,5,0)</f>
        <v>Banks</v>
      </c>
      <c r="AB241" s="24" t="str">
        <f>VLOOKUP(A241,Metrik!$C$2:$Y$959,3,0)</f>
        <v>Financials</v>
      </c>
    </row>
    <row r="242">
      <c r="A242" s="14" t="s">
        <v>163</v>
      </c>
      <c r="B242" s="14" t="str">
        <f t="array" ref="B242">VLOOKUP(A242,{Metrik!$C$2:$C$998,Metrik!$B$2:$B$998},2,0)</f>
        <v>PT Bank Harda Internasional Tbk.</v>
      </c>
      <c r="C242" s="15">
        <f>IFERROR(__xludf.DUMMYFUNCTION("GOOGLEFINANCE(""IDX:""&amp;A242,""price"")"),970.0)</f>
        <v>970</v>
      </c>
      <c r="D242" s="16" t="str">
        <f>IFERROR(__xludf.DUMMYFUNCTION("IF(A242="""","""",
SPARKLINE(
INDEX(
GOOGLEFINANCE(""IDX:""&amp;A242,""close"",TODAY()-365,TODAY()),
,2
),
{""linewidth"",1}
))
"),"#N/A")</f>
        <v>#N/A</v>
      </c>
      <c r="E242" s="26"/>
      <c r="F242" s="26"/>
      <c r="G242" s="24">
        <f t="shared" si="1"/>
        <v>0</v>
      </c>
      <c r="H242" s="19">
        <f>VLOOKUP(A242,Metrik!$C$2:$Y$959,8,0)</f>
        <v>38.2</v>
      </c>
      <c r="I242" s="20">
        <f>VLOOKUP(A242,Metrik!$C$2:$Y$959,9,0)</f>
        <v>2.9</v>
      </c>
      <c r="J242" s="20">
        <f>VLOOKUP(A242,Metrik!$C$2:$Y$959,10,0)</f>
        <v>7.5</v>
      </c>
      <c r="K242" s="20">
        <f>VLOOKUP(A242,Metrik!$C$2:$Y$959,11,0)</f>
        <v>3.8</v>
      </c>
      <c r="L242" s="20">
        <f>VLOOKUP(A242,Metrik!$C$2:$Y$959,12,0)</f>
        <v>0.96</v>
      </c>
      <c r="M242" s="20">
        <f>VLOOKUP(A242,Metrik!$C$2:$Y$959,19,0)</f>
        <v>120</v>
      </c>
      <c r="N242" s="32">
        <v>9.47</v>
      </c>
      <c r="O242" s="32">
        <v>98.17</v>
      </c>
      <c r="P242" s="32">
        <v>126.9</v>
      </c>
      <c r="Q242" s="32">
        <v>0.81</v>
      </c>
      <c r="R242" s="32">
        <v>69.17</v>
      </c>
      <c r="S242" s="32">
        <v>52.28</v>
      </c>
      <c r="T242" s="41"/>
      <c r="U242" s="22">
        <f>IFERROR(__xludf.DUMMYFUNCTION("IFERROR(GOOGLEFINANCE(A242,""closeyest""),"""")"),960.0)</f>
        <v>960</v>
      </c>
      <c r="V242" s="23">
        <f>IFERROR(__xludf.DUMMYFUNCTION("IFERROR(GOOGLEFINANCE(A242,""changepct""),"""")"),1.04)</f>
        <v>1.04</v>
      </c>
      <c r="W242" s="22">
        <f>IFERROR(__xludf.DUMMYFUNCTION("IFERROR(GOOGLEFINANCE(A242,""priceopen""),"""")"),925.0)</f>
        <v>925</v>
      </c>
      <c r="X242" s="22">
        <f>IFERROR(__xludf.DUMMYFUNCTION("IFERROR(GOOGLEFINANCE(A242,""high""),"""")"),980.0)</f>
        <v>980</v>
      </c>
      <c r="Y242" s="22">
        <f>IFERROR(__xludf.DUMMYFUNCTION("IFERROR(GOOGLEFINANCE(A242,""low""),"""")"),925.0)</f>
        <v>925</v>
      </c>
      <c r="Z242" s="22">
        <f>IFERROR(__xludf.DUMMYFUNCTION("IFERROR(GOOGLEFINANCE(A242,""volume""),"""")"),172300.0)</f>
        <v>172300</v>
      </c>
      <c r="AA242" s="24" t="str">
        <f>VLOOKUP(A242,Metrik!$C$2:$Y$959,5,0)</f>
        <v>Banks</v>
      </c>
      <c r="AB242" s="24" t="str">
        <f>VLOOKUP(A242,Metrik!$C$2:$Y$959,3,0)</f>
        <v>Financials</v>
      </c>
    </row>
    <row r="243">
      <c r="A243" s="14" t="s">
        <v>164</v>
      </c>
      <c r="B243" s="14" t="str">
        <f t="array" ref="B243">VLOOKUP(A243,{Metrik!$C$2:$C$998,Metrik!$B$2:$B$998},2,0)</f>
        <v>Bank KB Indonesia Tbk.</v>
      </c>
      <c r="C243" s="15" t="str">
        <f>IFERROR(__xludf.DUMMYFUNCTION("GOOGLEFINANCE(""IDX:""&amp;A243,""price"")"),"#N/A")</f>
        <v>#N/A</v>
      </c>
      <c r="D243" s="16" t="str">
        <f>IFERROR(__xludf.DUMMYFUNCTION("IF(A243="""","""",
SPARKLINE(
INDEX(
GOOGLEFINANCE(""IDX:""&amp;A243,""close"",TODAY()-365,TODAY()),
,2
),
{""linewidth"",1}
))
"),"#N/A")</f>
        <v>#N/A</v>
      </c>
      <c r="E243" s="26"/>
      <c r="F243" s="26"/>
      <c r="G243" s="24">
        <f t="shared" si="1"/>
        <v>0</v>
      </c>
      <c r="H243" s="19">
        <f>VLOOKUP(A243,Metrik!$C$2:$Y$959,8,0)</f>
        <v>-37.5</v>
      </c>
      <c r="I243" s="20">
        <f>VLOOKUP(A243,Metrik!$C$2:$Y$959,9,0)</f>
        <v>1.3</v>
      </c>
      <c r="J243" s="20">
        <f>VLOOKUP(A243,Metrik!$C$2:$Y$959,10,0)</f>
        <v>-3.4</v>
      </c>
      <c r="K243" s="20">
        <f>VLOOKUP(A243,Metrik!$C$2:$Y$959,11,0)</f>
        <v>-0.32</v>
      </c>
      <c r="L243" s="20">
        <f>VLOOKUP(A243,Metrik!$C$2:$Y$959,12,0)</f>
        <v>9.8</v>
      </c>
      <c r="M243" s="20">
        <f>VLOOKUP(A243,Metrik!$C$2:$Y$959,19,0)</f>
        <v>-18.8</v>
      </c>
      <c r="N243" s="32">
        <v>1.43</v>
      </c>
      <c r="O243" s="32">
        <v>16.05</v>
      </c>
      <c r="P243" s="32">
        <v>93.67</v>
      </c>
      <c r="Q243" s="32">
        <v>4.24</v>
      </c>
      <c r="R243" s="32">
        <v>119.55</v>
      </c>
      <c r="S243" s="32">
        <v>127.78</v>
      </c>
      <c r="T243" s="32">
        <v>19.0</v>
      </c>
      <c r="U243" s="22">
        <f>IFERROR(__xludf.DUMMYFUNCTION("IFERROR(GOOGLEFINANCE(A243,""closeyest""),"""")"),52.0)</f>
        <v>52</v>
      </c>
      <c r="V243" s="23">
        <f>IFERROR(__xludf.DUMMYFUNCTION("IFERROR(GOOGLEFINANCE(A243,""changepct""),"""")"),3.85)</f>
        <v>3.85</v>
      </c>
      <c r="W243" s="22">
        <f>IFERROR(__xludf.DUMMYFUNCTION("IFERROR(GOOGLEFINANCE(A243,""priceopen""),"""")"),52.0)</f>
        <v>52</v>
      </c>
      <c r="X243" s="22">
        <f>IFERROR(__xludf.DUMMYFUNCTION("IFERROR(GOOGLEFINANCE(A243,""high""),"""")"),55.0)</f>
        <v>55</v>
      </c>
      <c r="Y243" s="22">
        <f>IFERROR(__xludf.DUMMYFUNCTION("IFERROR(GOOGLEFINANCE(A243,""low""),"""")"),52.0)</f>
        <v>52</v>
      </c>
      <c r="Z243" s="22">
        <f>IFERROR(__xludf.DUMMYFUNCTION("IFERROR(GOOGLEFINANCE(A243,""volume""),"""")"),7.90743E7)</f>
        <v>79074300</v>
      </c>
      <c r="AA243" s="24" t="str">
        <f>VLOOKUP(A243,Metrik!$C$2:$Y$959,5,0)</f>
        <v>Banks</v>
      </c>
      <c r="AB243" s="24" t="str">
        <f>VLOOKUP(A243,Metrik!$C$2:$Y$959,3,0)</f>
        <v>Financials</v>
      </c>
    </row>
    <row r="244">
      <c r="A244" s="14" t="s">
        <v>165</v>
      </c>
      <c r="B244" s="14" t="str">
        <f t="array" ref="B244">VLOOKUP(A244,{Metrik!$C$2:$C$998,Metrik!$B$2:$B$998},2,0)</f>
        <v>Buana Finance Tbk.</v>
      </c>
      <c r="C244" s="15">
        <f>IFERROR(__xludf.DUMMYFUNCTION("GOOGLEFINANCE(""IDX:""&amp;A244,""price"")"),575.0)</f>
        <v>575</v>
      </c>
      <c r="D244" s="16" t="str">
        <f>IFERROR(__xludf.DUMMYFUNCTION("IF(A244="""","""",
SPARKLINE(
INDEX(
GOOGLEFINANCE(""IDX:""&amp;A244,""close"",TODAY()-365,TODAY()),
,2
),
{""linewidth"",1}
))
"),"#N/A")</f>
        <v>#N/A</v>
      </c>
      <c r="E244" s="26"/>
      <c r="F244" s="26"/>
      <c r="G244" s="24">
        <f t="shared" si="1"/>
        <v>0</v>
      </c>
      <c r="H244" s="19">
        <f>VLOOKUP(A244,Metrik!$C$2:$Y$959,8,0)</f>
        <v>190</v>
      </c>
      <c r="I244" s="20">
        <f>VLOOKUP(A244,Metrik!$C$2:$Y$959,9,0)</f>
        <v>0.74</v>
      </c>
      <c r="J244" s="20">
        <f>VLOOKUP(A244,Metrik!$C$2:$Y$959,10,0)</f>
        <v>0.38</v>
      </c>
      <c r="K244" s="20">
        <f>VLOOKUP(A244,Metrik!$C$2:$Y$959,11,0)</f>
        <v>0.08</v>
      </c>
      <c r="L244" s="20">
        <f>VLOOKUP(A244,Metrik!$C$2:$Y$959,12,0)</f>
        <v>4.1</v>
      </c>
      <c r="M244" s="20">
        <f>VLOOKUP(A244,Metrik!$C$2:$Y$959,19,0)</f>
        <v>2.6</v>
      </c>
      <c r="N244" s="21"/>
      <c r="O244" s="21"/>
      <c r="P244" s="21"/>
      <c r="Q244" s="21"/>
      <c r="R244" s="21"/>
      <c r="S244" s="21"/>
      <c r="T244" s="21"/>
      <c r="U244" s="22">
        <f>IFERROR(__xludf.DUMMYFUNCTION("IFERROR(GOOGLEFINANCE(A244,""closeyest""),"""")"),575.0)</f>
        <v>575</v>
      </c>
      <c r="V244" s="23">
        <f>IFERROR(__xludf.DUMMYFUNCTION("IFERROR(GOOGLEFINANCE(A244,""changepct""),"""")"),0.0)</f>
        <v>0</v>
      </c>
      <c r="W244" s="22">
        <f>IFERROR(__xludf.DUMMYFUNCTION("IFERROR(GOOGLEFINANCE(A244,""priceopen""),"""")"),565.0)</f>
        <v>565</v>
      </c>
      <c r="X244" s="22">
        <f>IFERROR(__xludf.DUMMYFUNCTION("IFERROR(GOOGLEFINANCE(A244,""high""),"""")"),575.0)</f>
        <v>575</v>
      </c>
      <c r="Y244" s="22">
        <f>IFERROR(__xludf.DUMMYFUNCTION("IFERROR(GOOGLEFINANCE(A244,""low""),"""")"),555.0)</f>
        <v>555</v>
      </c>
      <c r="Z244" s="22">
        <f>IFERROR(__xludf.DUMMYFUNCTION("IFERROR(GOOGLEFINANCE(A244,""volume""),"""")"),3100.0)</f>
        <v>3100</v>
      </c>
      <c r="AA244" s="24" t="str">
        <f>VLOOKUP(A244,Metrik!$C$2:$Y$959,5,0)</f>
        <v>Consumer Financing</v>
      </c>
      <c r="AB244" s="24" t="str">
        <f>VLOOKUP(A244,Metrik!$C$2:$Y$959,3,0)</f>
        <v>Financials</v>
      </c>
    </row>
    <row r="245">
      <c r="A245" s="14" t="s">
        <v>166</v>
      </c>
      <c r="B245" s="14" t="str">
        <f t="array" ref="B245">VLOOKUP(A245,{Metrik!$C$2:$C$998,Metrik!$B$2:$B$998},2,0)</f>
        <v>PT Bank Mestika Dharma Tbk.</v>
      </c>
      <c r="C245" s="15">
        <f>IFERROR(__xludf.DUMMYFUNCTION("GOOGLEFINANCE(""IDX:""&amp;A245,""price"")"),1955.0)</f>
        <v>1955</v>
      </c>
      <c r="D245" s="16" t="str">
        <f>IFERROR(__xludf.DUMMYFUNCTION("IF(A245="""","""",
SPARKLINE(
INDEX(
GOOGLEFINANCE(""IDX:""&amp;A245,""close"",TODAY()-365,TODAY()),
,2
),
{""linewidth"",1}
))
"),"#N/A")</f>
        <v>#N/A</v>
      </c>
      <c r="E245" s="26"/>
      <c r="F245" s="26"/>
      <c r="G245" s="24">
        <f t="shared" si="1"/>
        <v>0</v>
      </c>
      <c r="H245" s="19">
        <f>VLOOKUP(A245,Metrik!$C$2:$Y$959,8,0)</f>
        <v>24.9</v>
      </c>
      <c r="I245" s="20">
        <f>VLOOKUP(A245,Metrik!$C$2:$Y$959,9,0)</f>
        <v>1.5</v>
      </c>
      <c r="J245" s="20">
        <f>VLOOKUP(A245,Metrik!$C$2:$Y$959,10,0)</f>
        <v>5.9</v>
      </c>
      <c r="K245" s="20">
        <f>VLOOKUP(A245,Metrik!$C$2:$Y$959,11,0)</f>
        <v>1.9</v>
      </c>
      <c r="L245" s="20">
        <f>VLOOKUP(A245,Metrik!$C$2:$Y$959,12,0)</f>
        <v>2.1</v>
      </c>
      <c r="M245" s="20">
        <f>VLOOKUP(A245,Metrik!$C$2:$Y$959,19,0)</f>
        <v>100</v>
      </c>
      <c r="N245" s="32">
        <v>5.61</v>
      </c>
      <c r="O245" s="32">
        <v>43.15</v>
      </c>
      <c r="P245" s="32">
        <v>100.52</v>
      </c>
      <c r="Q245" s="32">
        <v>1.33</v>
      </c>
      <c r="R245" s="32">
        <v>68.96</v>
      </c>
      <c r="S245" s="32">
        <v>60.63</v>
      </c>
      <c r="T245" s="41"/>
      <c r="U245" s="22">
        <f>IFERROR(__xludf.DUMMYFUNCTION("IFERROR(GOOGLEFINANCE(A245,""closeyest""),"""")"),1865.0)</f>
        <v>1865</v>
      </c>
      <c r="V245" s="23">
        <f>IFERROR(__xludf.DUMMYFUNCTION("IFERROR(GOOGLEFINANCE(A245,""changepct""),"""")"),4.83)</f>
        <v>4.83</v>
      </c>
      <c r="W245" s="22">
        <f>IFERROR(__xludf.DUMMYFUNCTION("IFERROR(GOOGLEFINANCE(A245,""priceopen""),"""")"),1955.0)</f>
        <v>1955</v>
      </c>
      <c r="X245" s="22">
        <f>IFERROR(__xludf.DUMMYFUNCTION("IFERROR(GOOGLEFINANCE(A245,""high""),"""")"),1980.0)</f>
        <v>1980</v>
      </c>
      <c r="Y245" s="22">
        <f>IFERROR(__xludf.DUMMYFUNCTION("IFERROR(GOOGLEFINANCE(A245,""low""),"""")"),1945.0)</f>
        <v>1945</v>
      </c>
      <c r="Z245" s="22">
        <f>IFERROR(__xludf.DUMMYFUNCTION("IFERROR(GOOGLEFINANCE(A245,""volume""),"""")"),3200.0)</f>
        <v>3200</v>
      </c>
      <c r="AA245" s="24" t="str">
        <f>VLOOKUP(A245,Metrik!$C$2:$Y$959,5,0)</f>
        <v>Banks</v>
      </c>
      <c r="AB245" s="24" t="str">
        <f>VLOOKUP(A245,Metrik!$C$2:$Y$959,3,0)</f>
        <v>Financials</v>
      </c>
    </row>
    <row r="246">
      <c r="A246" s="14" t="s">
        <v>167</v>
      </c>
      <c r="B246" s="14" t="str">
        <f t="array" ref="B246">VLOOKUP(A246,{Metrik!$C$2:$C$998,Metrik!$B$2:$B$998},2,0)</f>
        <v>PT Bank Negara Indonesia (Persero) Tbk</v>
      </c>
      <c r="C246" s="15">
        <f>IFERROR(__xludf.DUMMYFUNCTION("GOOGLEFINANCE(""IDX:""&amp;A246,""price"")"),3560.0)</f>
        <v>3560</v>
      </c>
      <c r="D246" s="16" t="str">
        <f>IFERROR(__xludf.DUMMYFUNCTION("IF(A246="""","""",
SPARKLINE(
INDEX(
GOOGLEFINANCE(""IDX:""&amp;A246,""close"",TODAY()-365,TODAY()),
,2
),
{""linewidth"",1}
))
"),"#N/A")</f>
        <v>#N/A</v>
      </c>
      <c r="E246" s="14" t="s">
        <v>47</v>
      </c>
      <c r="F246" s="25">
        <v>46356.0</v>
      </c>
      <c r="G246" s="24">
        <f t="shared" si="1"/>
        <v>22</v>
      </c>
      <c r="H246" s="19">
        <f>VLOOKUP(A246,Metrik!$C$2:$Y$959,8,0)</f>
        <v>6.8</v>
      </c>
      <c r="I246" s="20">
        <f>VLOOKUP(A246,Metrik!$C$2:$Y$959,9,0)</f>
        <v>0.83</v>
      </c>
      <c r="J246" s="20">
        <f>VLOOKUP(A246,Metrik!$C$2:$Y$959,10,0)</f>
        <v>12.3</v>
      </c>
      <c r="K246" s="20">
        <f>VLOOKUP(A246,Metrik!$C$2:$Y$959,11,0)</f>
        <v>1.4</v>
      </c>
      <c r="L246" s="20">
        <f>VLOOKUP(A246,Metrik!$C$2:$Y$959,12,0)</f>
        <v>7.6</v>
      </c>
      <c r="M246" s="20">
        <f>VLOOKUP(A246,Metrik!$C$2:$Y$959,19,0)</f>
        <v>89.9</v>
      </c>
      <c r="N246" s="29">
        <v>3.8</v>
      </c>
      <c r="O246" s="29">
        <v>20.7</v>
      </c>
      <c r="P246" s="29">
        <v>86.4</v>
      </c>
      <c r="Q246" s="29">
        <v>1.9</v>
      </c>
      <c r="R246" s="29">
        <v>72.9</v>
      </c>
      <c r="S246" s="29">
        <v>46.5</v>
      </c>
      <c r="T246" s="29">
        <v>8.5</v>
      </c>
      <c r="U246" s="22">
        <f>IFERROR(__xludf.DUMMYFUNCTION("IFERROR(GOOGLEFINANCE(A246,""closeyest""),"""")"),3500.0)</f>
        <v>3500</v>
      </c>
      <c r="V246" s="23">
        <f>IFERROR(__xludf.DUMMYFUNCTION("IFERROR(GOOGLEFINANCE(A246,""changepct""),"""")"),1.71)</f>
        <v>1.71</v>
      </c>
      <c r="W246" s="22">
        <f>IFERROR(__xludf.DUMMYFUNCTION("IFERROR(GOOGLEFINANCE(A246,""priceopen""),"""")"),3570.0)</f>
        <v>3570</v>
      </c>
      <c r="X246" s="22">
        <f>IFERROR(__xludf.DUMMYFUNCTION("IFERROR(GOOGLEFINANCE(A246,""high""),"""")"),3650.0)</f>
        <v>3650</v>
      </c>
      <c r="Y246" s="22">
        <f>IFERROR(__xludf.DUMMYFUNCTION("IFERROR(GOOGLEFINANCE(A246,""low""),"""")"),3520.0)</f>
        <v>3520</v>
      </c>
      <c r="Z246" s="22">
        <f>IFERROR(__xludf.DUMMYFUNCTION("IFERROR(GOOGLEFINANCE(A246,""volume""),"""")"),7.48241E7)</f>
        <v>74824100</v>
      </c>
      <c r="AA246" s="24" t="str">
        <f>VLOOKUP(A246,Metrik!$C$2:$Y$959,5,0)</f>
        <v>Banks</v>
      </c>
      <c r="AB246" s="24" t="str">
        <f>VLOOKUP(A246,Metrik!$C$2:$Y$959,3,0)</f>
        <v>Financials</v>
      </c>
    </row>
    <row r="247">
      <c r="A247" s="17" t="s">
        <v>167</v>
      </c>
      <c r="B247" s="14" t="str">
        <f t="array" ref="B247">VLOOKUP(A247,{Metrik!$C$2:$C$998,Metrik!$B$2:$B$998},2,0)</f>
        <v>PT Bank Negara Indonesia (Persero) Tbk</v>
      </c>
      <c r="C247" s="15">
        <f>IFERROR(__xludf.DUMMYFUNCTION("GOOGLEFINANCE(""IDX:""&amp;A247,""price"")"),3560.0)</f>
        <v>3560</v>
      </c>
      <c r="D247" s="16" t="str">
        <f>IFERROR(__xludf.DUMMYFUNCTION("IF(A247="""","""",
SPARKLINE(
INDEX(
GOOGLEFINANCE(""IDX:""&amp;A247,""close"",TODAY()-365,TODAY()),
,2
),
{""linewidth"",1}
))
"),"#N/A")</f>
        <v>#N/A</v>
      </c>
      <c r="E247" s="14" t="s">
        <v>128</v>
      </c>
      <c r="F247" s="17" t="s">
        <v>36</v>
      </c>
      <c r="G247" s="24">
        <f t="shared" si="1"/>
        <v>22</v>
      </c>
      <c r="H247" s="19">
        <f>VLOOKUP(A247,Metrik!$C$2:$Y$959,8,0)</f>
        <v>6.8</v>
      </c>
      <c r="I247" s="20">
        <f>VLOOKUP(A247,Metrik!$C$2:$Y$959,9,0)</f>
        <v>0.83</v>
      </c>
      <c r="J247" s="20">
        <f>VLOOKUP(A247,Metrik!$C$2:$Y$959,10,0)</f>
        <v>12.3</v>
      </c>
      <c r="K247" s="20">
        <f>VLOOKUP(A247,Metrik!$C$2:$Y$959,11,0)</f>
        <v>1.4</v>
      </c>
      <c r="L247" s="20">
        <f>VLOOKUP(A247,Metrik!$C$2:$Y$959,12,0)</f>
        <v>7.6</v>
      </c>
      <c r="M247" s="20">
        <f>VLOOKUP(A247,Metrik!$C$2:$Y$959,19,0)</f>
        <v>89.9</v>
      </c>
      <c r="N247" s="29">
        <v>3.8</v>
      </c>
      <c r="O247" s="29">
        <v>20.7</v>
      </c>
      <c r="P247" s="29">
        <v>86.4</v>
      </c>
      <c r="Q247" s="29">
        <v>1.9</v>
      </c>
      <c r="R247" s="29">
        <v>72.9</v>
      </c>
      <c r="S247" s="29">
        <v>46.5</v>
      </c>
      <c r="T247" s="29">
        <v>8.5</v>
      </c>
      <c r="U247" s="22">
        <f>IFERROR(__xludf.DUMMYFUNCTION("IFERROR(GOOGLEFINANCE(A247,""closeyest""),"""")"),3500.0)</f>
        <v>3500</v>
      </c>
      <c r="V247" s="23">
        <f>IFERROR(__xludf.DUMMYFUNCTION("IFERROR(GOOGLEFINANCE(A247,""changepct""),"""")"),1.71)</f>
        <v>1.71</v>
      </c>
      <c r="W247" s="22">
        <f>IFERROR(__xludf.DUMMYFUNCTION("IFERROR(GOOGLEFINANCE(A247,""priceopen""),"""")"),3570.0)</f>
        <v>3570</v>
      </c>
      <c r="X247" s="22">
        <f>IFERROR(__xludf.DUMMYFUNCTION("IFERROR(GOOGLEFINANCE(A247,""high""),"""")"),3650.0)</f>
        <v>3650</v>
      </c>
      <c r="Y247" s="22">
        <f>IFERROR(__xludf.DUMMYFUNCTION("IFERROR(GOOGLEFINANCE(A247,""low""),"""")"),3520.0)</f>
        <v>3520</v>
      </c>
      <c r="Z247" s="22">
        <f>IFERROR(__xludf.DUMMYFUNCTION("IFERROR(GOOGLEFINANCE(A247,""volume""),"""")"),7.48241E7)</f>
        <v>74824100</v>
      </c>
      <c r="AA247" s="24" t="str">
        <f>VLOOKUP(A247,Metrik!$C$2:$Y$959,5,0)</f>
        <v>Banks</v>
      </c>
      <c r="AB247" s="24" t="str">
        <f>VLOOKUP(A247,Metrik!$C$2:$Y$959,3,0)</f>
        <v>Financials</v>
      </c>
    </row>
    <row r="248">
      <c r="A248" s="14" t="s">
        <v>167</v>
      </c>
      <c r="B248" s="14" t="str">
        <f t="array" ref="B248">VLOOKUP(A248,{Metrik!$C$2:$C$998,Metrik!$B$2:$B$998},2,0)</f>
        <v>PT Bank Negara Indonesia (Persero) Tbk</v>
      </c>
      <c r="C248" s="15">
        <f>IFERROR(__xludf.DUMMYFUNCTION("GOOGLEFINANCE(""IDX:""&amp;A248,""price"")"),3560.0)</f>
        <v>3560</v>
      </c>
      <c r="D248" s="16" t="str">
        <f>IFERROR(__xludf.DUMMYFUNCTION("IF(A248="""","""",
SPARKLINE(
INDEX(
GOOGLEFINANCE(""IDX:""&amp;A248,""close"",TODAY()-365,TODAY()),
,2
),
{""linewidth"",1}
))
"),"#N/A")</f>
        <v>#N/A</v>
      </c>
      <c r="E248" s="14" t="s">
        <v>68</v>
      </c>
      <c r="F248" s="14" t="s">
        <v>34</v>
      </c>
      <c r="G248" s="24">
        <f t="shared" si="1"/>
        <v>22</v>
      </c>
      <c r="H248" s="19">
        <f>VLOOKUP(A248,Metrik!$C$2:$Y$959,8,0)</f>
        <v>6.8</v>
      </c>
      <c r="I248" s="20">
        <f>VLOOKUP(A248,Metrik!$C$2:$Y$959,9,0)</f>
        <v>0.83</v>
      </c>
      <c r="J248" s="20">
        <f>VLOOKUP(A248,Metrik!$C$2:$Y$959,10,0)</f>
        <v>12.3</v>
      </c>
      <c r="K248" s="20">
        <f>VLOOKUP(A248,Metrik!$C$2:$Y$959,11,0)</f>
        <v>1.4</v>
      </c>
      <c r="L248" s="20">
        <f>VLOOKUP(A248,Metrik!$C$2:$Y$959,12,0)</f>
        <v>7.6</v>
      </c>
      <c r="M248" s="20">
        <f>VLOOKUP(A248,Metrik!$C$2:$Y$959,19,0)</f>
        <v>89.9</v>
      </c>
      <c r="N248" s="29">
        <v>3.8</v>
      </c>
      <c r="O248" s="29">
        <v>20.7</v>
      </c>
      <c r="P248" s="29">
        <v>86.4</v>
      </c>
      <c r="Q248" s="29">
        <v>1.9</v>
      </c>
      <c r="R248" s="29">
        <v>72.9</v>
      </c>
      <c r="S248" s="29">
        <v>46.5</v>
      </c>
      <c r="T248" s="29">
        <v>8.5</v>
      </c>
      <c r="U248" s="22">
        <f>IFERROR(__xludf.DUMMYFUNCTION("IFERROR(GOOGLEFINANCE(A248,""closeyest""),"""")"),3500.0)</f>
        <v>3500</v>
      </c>
      <c r="V248" s="23">
        <f>IFERROR(__xludf.DUMMYFUNCTION("IFERROR(GOOGLEFINANCE(A248,""changepct""),"""")"),1.71)</f>
        <v>1.71</v>
      </c>
      <c r="W248" s="22">
        <f>IFERROR(__xludf.DUMMYFUNCTION("IFERROR(GOOGLEFINANCE(A248,""priceopen""),"""")"),3570.0)</f>
        <v>3570</v>
      </c>
      <c r="X248" s="22">
        <f>IFERROR(__xludf.DUMMYFUNCTION("IFERROR(GOOGLEFINANCE(A248,""high""),"""")"),3650.0)</f>
        <v>3650</v>
      </c>
      <c r="Y248" s="22">
        <f>IFERROR(__xludf.DUMMYFUNCTION("IFERROR(GOOGLEFINANCE(A248,""low""),"""")"),3520.0)</f>
        <v>3520</v>
      </c>
      <c r="Z248" s="22">
        <f>IFERROR(__xludf.DUMMYFUNCTION("IFERROR(GOOGLEFINANCE(A248,""volume""),"""")"),7.48241E7)</f>
        <v>74824100</v>
      </c>
      <c r="AA248" s="24" t="str">
        <f>VLOOKUP(A248,Metrik!$C$2:$Y$959,5,0)</f>
        <v>Banks</v>
      </c>
      <c r="AB248" s="24" t="str">
        <f>VLOOKUP(A248,Metrik!$C$2:$Y$959,3,0)</f>
        <v>Financials</v>
      </c>
    </row>
    <row r="249">
      <c r="A249" s="14" t="s">
        <v>167</v>
      </c>
      <c r="B249" s="14" t="str">
        <f t="array" ref="B249">VLOOKUP(A249,{Metrik!$C$2:$C$998,Metrik!$B$2:$B$998},2,0)</f>
        <v>PT Bank Negara Indonesia (Persero) Tbk</v>
      </c>
      <c r="C249" s="15">
        <f>IFERROR(__xludf.DUMMYFUNCTION("GOOGLEFINANCE(""IDX:""&amp;A249,""price"")"),3560.0)</f>
        <v>3560</v>
      </c>
      <c r="D249" s="16" t="str">
        <f>IFERROR(__xludf.DUMMYFUNCTION("IF(A249="""","""",
SPARKLINE(
INDEX(
GOOGLEFINANCE(""IDX:""&amp;A249,""close"",TODAY()-365,TODAY()),
,2
),
{""linewidth"",1}
))
"),"#N/A")</f>
        <v>#N/A</v>
      </c>
      <c r="E249" s="14" t="s">
        <v>75</v>
      </c>
      <c r="F249" s="14" t="s">
        <v>76</v>
      </c>
      <c r="G249" s="24">
        <f t="shared" si="1"/>
        <v>22</v>
      </c>
      <c r="H249" s="19">
        <f>VLOOKUP(A249,Metrik!$C$2:$Y$959,8,0)</f>
        <v>6.8</v>
      </c>
      <c r="I249" s="20">
        <f>VLOOKUP(A249,Metrik!$C$2:$Y$959,9,0)</f>
        <v>0.83</v>
      </c>
      <c r="J249" s="20">
        <f>VLOOKUP(A249,Metrik!$C$2:$Y$959,10,0)</f>
        <v>12.3</v>
      </c>
      <c r="K249" s="20">
        <f>VLOOKUP(A249,Metrik!$C$2:$Y$959,11,0)</f>
        <v>1.4</v>
      </c>
      <c r="L249" s="20">
        <f>VLOOKUP(A249,Metrik!$C$2:$Y$959,12,0)</f>
        <v>7.6</v>
      </c>
      <c r="M249" s="20">
        <f>VLOOKUP(A249,Metrik!$C$2:$Y$959,19,0)</f>
        <v>89.9</v>
      </c>
      <c r="N249" s="29">
        <v>3.8</v>
      </c>
      <c r="O249" s="29">
        <v>20.7</v>
      </c>
      <c r="P249" s="29">
        <v>86.4</v>
      </c>
      <c r="Q249" s="29">
        <v>1.9</v>
      </c>
      <c r="R249" s="29">
        <v>72.9</v>
      </c>
      <c r="S249" s="29">
        <v>46.5</v>
      </c>
      <c r="T249" s="29">
        <v>8.5</v>
      </c>
      <c r="U249" s="22">
        <f>IFERROR(__xludf.DUMMYFUNCTION("IFERROR(GOOGLEFINANCE(A249,""closeyest""),"""")"),3500.0)</f>
        <v>3500</v>
      </c>
      <c r="V249" s="23">
        <f>IFERROR(__xludf.DUMMYFUNCTION("IFERROR(GOOGLEFINANCE(A249,""changepct""),"""")"),1.71)</f>
        <v>1.71</v>
      </c>
      <c r="W249" s="22">
        <f>IFERROR(__xludf.DUMMYFUNCTION("IFERROR(GOOGLEFINANCE(A249,""priceopen""),"""")"),3570.0)</f>
        <v>3570</v>
      </c>
      <c r="X249" s="22">
        <f>IFERROR(__xludf.DUMMYFUNCTION("IFERROR(GOOGLEFINANCE(A249,""high""),"""")"),3650.0)</f>
        <v>3650</v>
      </c>
      <c r="Y249" s="22">
        <f>IFERROR(__xludf.DUMMYFUNCTION("IFERROR(GOOGLEFINANCE(A249,""low""),"""")"),3520.0)</f>
        <v>3520</v>
      </c>
      <c r="Z249" s="22">
        <f>IFERROR(__xludf.DUMMYFUNCTION("IFERROR(GOOGLEFINANCE(A249,""volume""),"""")"),7.48241E7)</f>
        <v>74824100</v>
      </c>
      <c r="AA249" s="24" t="str">
        <f>VLOOKUP(A249,Metrik!$C$2:$Y$959,5,0)</f>
        <v>Banks</v>
      </c>
      <c r="AB249" s="24" t="str">
        <f>VLOOKUP(A249,Metrik!$C$2:$Y$959,3,0)</f>
        <v>Financials</v>
      </c>
    </row>
    <row r="250">
      <c r="A250" s="14" t="s">
        <v>167</v>
      </c>
      <c r="B250" s="14" t="str">
        <f t="array" ref="B250">VLOOKUP(A250,{Metrik!$C$2:$C$998,Metrik!$B$2:$B$998},2,0)</f>
        <v>PT Bank Negara Indonesia (Persero) Tbk</v>
      </c>
      <c r="C250" s="15">
        <f>IFERROR(__xludf.DUMMYFUNCTION("GOOGLEFINANCE(""IDX:""&amp;A250,""price"")"),3560.0)</f>
        <v>3560</v>
      </c>
      <c r="D250" s="16" t="str">
        <f>IFERROR(__xludf.DUMMYFUNCTION("IF(A250="""","""",
SPARKLINE(
INDEX(
GOOGLEFINANCE(""IDX:""&amp;A250,""close"",TODAY()-365,TODAY()),
,2
),
{""linewidth"",1}
))
"),"#N/A")</f>
        <v>#N/A</v>
      </c>
      <c r="E250" s="14" t="s">
        <v>50</v>
      </c>
      <c r="F250" s="17" t="s">
        <v>51</v>
      </c>
      <c r="G250" s="24">
        <f t="shared" si="1"/>
        <v>22</v>
      </c>
      <c r="H250" s="19">
        <f>VLOOKUP(A250,Metrik!$C$2:$Y$959,8,0)</f>
        <v>6.8</v>
      </c>
      <c r="I250" s="20">
        <f>VLOOKUP(A250,Metrik!$C$2:$Y$959,9,0)</f>
        <v>0.83</v>
      </c>
      <c r="J250" s="20">
        <f>VLOOKUP(A250,Metrik!$C$2:$Y$959,10,0)</f>
        <v>12.3</v>
      </c>
      <c r="K250" s="20">
        <f>VLOOKUP(A250,Metrik!$C$2:$Y$959,11,0)</f>
        <v>1.4</v>
      </c>
      <c r="L250" s="20">
        <f>VLOOKUP(A250,Metrik!$C$2:$Y$959,12,0)</f>
        <v>7.6</v>
      </c>
      <c r="M250" s="20">
        <f>VLOOKUP(A250,Metrik!$C$2:$Y$959,19,0)</f>
        <v>89.9</v>
      </c>
      <c r="N250" s="29">
        <v>3.8</v>
      </c>
      <c r="O250" s="29">
        <v>20.7</v>
      </c>
      <c r="P250" s="29">
        <v>86.4</v>
      </c>
      <c r="Q250" s="29">
        <v>1.9</v>
      </c>
      <c r="R250" s="29">
        <v>72.9</v>
      </c>
      <c r="S250" s="29">
        <v>46.5</v>
      </c>
      <c r="T250" s="29">
        <v>8.5</v>
      </c>
      <c r="U250" s="22">
        <f>IFERROR(__xludf.DUMMYFUNCTION("IFERROR(GOOGLEFINANCE(A250,""closeyest""),"""")"),3500.0)</f>
        <v>3500</v>
      </c>
      <c r="V250" s="23">
        <f>IFERROR(__xludf.DUMMYFUNCTION("IFERROR(GOOGLEFINANCE(A250,""changepct""),"""")"),1.71)</f>
        <v>1.71</v>
      </c>
      <c r="W250" s="22">
        <f>IFERROR(__xludf.DUMMYFUNCTION("IFERROR(GOOGLEFINANCE(A250,""priceopen""),"""")"),3570.0)</f>
        <v>3570</v>
      </c>
      <c r="X250" s="22">
        <f>IFERROR(__xludf.DUMMYFUNCTION("IFERROR(GOOGLEFINANCE(A250,""high""),"""")"),3650.0)</f>
        <v>3650</v>
      </c>
      <c r="Y250" s="22">
        <f>IFERROR(__xludf.DUMMYFUNCTION("IFERROR(GOOGLEFINANCE(A250,""low""),"""")"),3520.0)</f>
        <v>3520</v>
      </c>
      <c r="Z250" s="22">
        <f>IFERROR(__xludf.DUMMYFUNCTION("IFERROR(GOOGLEFINANCE(A250,""volume""),"""")"),7.48241E7)</f>
        <v>74824100</v>
      </c>
      <c r="AA250" s="24" t="str">
        <f>VLOOKUP(A250,Metrik!$C$2:$Y$959,5,0)</f>
        <v>Banks</v>
      </c>
      <c r="AB250" s="24" t="str">
        <f>VLOOKUP(A250,Metrik!$C$2:$Y$959,3,0)</f>
        <v>Financials</v>
      </c>
    </row>
    <row r="251">
      <c r="A251" s="14" t="s">
        <v>167</v>
      </c>
      <c r="B251" s="14" t="str">
        <f t="array" ref="B251">VLOOKUP(A251,{Metrik!$C$2:$C$998,Metrik!$B$2:$B$998},2,0)</f>
        <v>PT Bank Negara Indonesia (Persero) Tbk</v>
      </c>
      <c r="C251" s="15">
        <f>IFERROR(__xludf.DUMMYFUNCTION("GOOGLEFINANCE(""IDX:""&amp;A251,""price"")"),3560.0)</f>
        <v>3560</v>
      </c>
      <c r="D251" s="16" t="str">
        <f>IFERROR(__xludf.DUMMYFUNCTION("IF(A251="""","""",
SPARKLINE(
INDEX(
GOOGLEFINANCE(""IDX:""&amp;A251,""close"",TODAY()-365,TODAY()),
,2
),
{""linewidth"",1}
))
"),"#N/A")</f>
        <v>#N/A</v>
      </c>
      <c r="E251" s="14" t="s">
        <v>28</v>
      </c>
      <c r="F251" s="17" t="s">
        <v>29</v>
      </c>
      <c r="G251" s="24">
        <f t="shared" si="1"/>
        <v>22</v>
      </c>
      <c r="H251" s="19">
        <f>VLOOKUP(A251,Metrik!$C$2:$Y$959,8,0)</f>
        <v>6.8</v>
      </c>
      <c r="I251" s="20">
        <f>VLOOKUP(A251,Metrik!$C$2:$Y$959,9,0)</f>
        <v>0.83</v>
      </c>
      <c r="J251" s="20">
        <f>VLOOKUP(A251,Metrik!$C$2:$Y$959,10,0)</f>
        <v>12.3</v>
      </c>
      <c r="K251" s="20">
        <f>VLOOKUP(A251,Metrik!$C$2:$Y$959,11,0)</f>
        <v>1.4</v>
      </c>
      <c r="L251" s="20">
        <f>VLOOKUP(A251,Metrik!$C$2:$Y$959,12,0)</f>
        <v>7.6</v>
      </c>
      <c r="M251" s="20">
        <f>VLOOKUP(A251,Metrik!$C$2:$Y$959,19,0)</f>
        <v>89.9</v>
      </c>
      <c r="N251" s="29">
        <v>3.8</v>
      </c>
      <c r="O251" s="29">
        <v>20.7</v>
      </c>
      <c r="P251" s="29">
        <v>86.4</v>
      </c>
      <c r="Q251" s="29">
        <v>1.9</v>
      </c>
      <c r="R251" s="29">
        <v>72.9</v>
      </c>
      <c r="S251" s="29">
        <v>46.5</v>
      </c>
      <c r="T251" s="29">
        <v>8.5</v>
      </c>
      <c r="U251" s="22">
        <f>IFERROR(__xludf.DUMMYFUNCTION("IFERROR(GOOGLEFINANCE(A251,""closeyest""),"""")"),3500.0)</f>
        <v>3500</v>
      </c>
      <c r="V251" s="23">
        <f>IFERROR(__xludf.DUMMYFUNCTION("IFERROR(GOOGLEFINANCE(A251,""changepct""),"""")"),1.71)</f>
        <v>1.71</v>
      </c>
      <c r="W251" s="22">
        <f>IFERROR(__xludf.DUMMYFUNCTION("IFERROR(GOOGLEFINANCE(A251,""priceopen""),"""")"),3570.0)</f>
        <v>3570</v>
      </c>
      <c r="X251" s="22">
        <f>IFERROR(__xludf.DUMMYFUNCTION("IFERROR(GOOGLEFINANCE(A251,""high""),"""")"),3650.0)</f>
        <v>3650</v>
      </c>
      <c r="Y251" s="22">
        <f>IFERROR(__xludf.DUMMYFUNCTION("IFERROR(GOOGLEFINANCE(A251,""low""),"""")"),3520.0)</f>
        <v>3520</v>
      </c>
      <c r="Z251" s="22">
        <f>IFERROR(__xludf.DUMMYFUNCTION("IFERROR(GOOGLEFINANCE(A251,""volume""),"""")"),7.48241E7)</f>
        <v>74824100</v>
      </c>
      <c r="AA251" s="24" t="str">
        <f>VLOOKUP(A251,Metrik!$C$2:$Y$959,5,0)</f>
        <v>Banks</v>
      </c>
      <c r="AB251" s="24" t="str">
        <f>VLOOKUP(A251,Metrik!$C$2:$Y$959,3,0)</f>
        <v>Financials</v>
      </c>
    </row>
    <row r="252">
      <c r="A252" s="14" t="s">
        <v>167</v>
      </c>
      <c r="B252" s="14" t="str">
        <f t="array" ref="B252">VLOOKUP(A252,{Metrik!$C$2:$C$998,Metrik!$B$2:$B$998},2,0)</f>
        <v>PT Bank Negara Indonesia (Persero) Tbk</v>
      </c>
      <c r="C252" s="15">
        <f>IFERROR(__xludf.DUMMYFUNCTION("GOOGLEFINANCE(""IDX:""&amp;A252,""price"")"),3560.0)</f>
        <v>3560</v>
      </c>
      <c r="D252" s="16" t="str">
        <f>IFERROR(__xludf.DUMMYFUNCTION("IF(A252="""","""",
SPARKLINE(
INDEX(
GOOGLEFINANCE(""IDX:""&amp;A252,""close"",TODAY()-365,TODAY()),
,2
),
{""linewidth"",1}
))
"),"#N/A")</f>
        <v>#N/A</v>
      </c>
      <c r="E252" s="14" t="s">
        <v>52</v>
      </c>
      <c r="F252" s="27" t="s">
        <v>53</v>
      </c>
      <c r="G252" s="24">
        <f t="shared" si="1"/>
        <v>22</v>
      </c>
      <c r="H252" s="19">
        <f>VLOOKUP(A252,Metrik!$C$2:$Y$959,8,0)</f>
        <v>6.8</v>
      </c>
      <c r="I252" s="20">
        <f>VLOOKUP(A252,Metrik!$C$2:$Y$959,9,0)</f>
        <v>0.83</v>
      </c>
      <c r="J252" s="20">
        <f>VLOOKUP(A252,Metrik!$C$2:$Y$959,10,0)</f>
        <v>12.3</v>
      </c>
      <c r="K252" s="20">
        <f>VLOOKUP(A252,Metrik!$C$2:$Y$959,11,0)</f>
        <v>1.4</v>
      </c>
      <c r="L252" s="20">
        <f>VLOOKUP(A252,Metrik!$C$2:$Y$959,12,0)</f>
        <v>7.6</v>
      </c>
      <c r="M252" s="20">
        <f>VLOOKUP(A252,Metrik!$C$2:$Y$959,19,0)</f>
        <v>89.9</v>
      </c>
      <c r="N252" s="29">
        <v>3.8</v>
      </c>
      <c r="O252" s="29">
        <v>20.7</v>
      </c>
      <c r="P252" s="29">
        <v>86.4</v>
      </c>
      <c r="Q252" s="29">
        <v>1.9</v>
      </c>
      <c r="R252" s="29">
        <v>72.9</v>
      </c>
      <c r="S252" s="29">
        <v>46.5</v>
      </c>
      <c r="T252" s="29">
        <v>8.5</v>
      </c>
      <c r="U252" s="22">
        <f>IFERROR(__xludf.DUMMYFUNCTION("IFERROR(GOOGLEFINANCE(A252,""closeyest""),"""")"),3500.0)</f>
        <v>3500</v>
      </c>
      <c r="V252" s="23">
        <f>IFERROR(__xludf.DUMMYFUNCTION("IFERROR(GOOGLEFINANCE(A252,""changepct""),"""")"),1.71)</f>
        <v>1.71</v>
      </c>
      <c r="W252" s="22">
        <f>IFERROR(__xludf.DUMMYFUNCTION("IFERROR(GOOGLEFINANCE(A252,""priceopen""),"""")"),3570.0)</f>
        <v>3570</v>
      </c>
      <c r="X252" s="22">
        <f>IFERROR(__xludf.DUMMYFUNCTION("IFERROR(GOOGLEFINANCE(A252,""high""),"""")"),3650.0)</f>
        <v>3650</v>
      </c>
      <c r="Y252" s="22">
        <f>IFERROR(__xludf.DUMMYFUNCTION("IFERROR(GOOGLEFINANCE(A252,""low""),"""")"),3520.0)</f>
        <v>3520</v>
      </c>
      <c r="Z252" s="22">
        <f>IFERROR(__xludf.DUMMYFUNCTION("IFERROR(GOOGLEFINANCE(A252,""volume""),"""")"),7.48241E7)</f>
        <v>74824100</v>
      </c>
      <c r="AA252" s="24" t="str">
        <f>VLOOKUP(A252,Metrik!$C$2:$Y$959,5,0)</f>
        <v>Banks</v>
      </c>
      <c r="AB252" s="24" t="str">
        <f>VLOOKUP(A252,Metrik!$C$2:$Y$959,3,0)</f>
        <v>Financials</v>
      </c>
    </row>
    <row r="253">
      <c r="A253" s="14" t="s">
        <v>167</v>
      </c>
      <c r="B253" s="14" t="str">
        <f t="array" ref="B253">VLOOKUP(A253,{Metrik!$C$2:$C$998,Metrik!$B$2:$B$998},2,0)</f>
        <v>PT Bank Negara Indonesia (Persero) Tbk</v>
      </c>
      <c r="C253" s="15">
        <f>IFERROR(__xludf.DUMMYFUNCTION("GOOGLEFINANCE(""IDX:""&amp;A253,""price"")"),3560.0)</f>
        <v>3560</v>
      </c>
      <c r="D253" s="16" t="str">
        <f>IFERROR(__xludf.DUMMYFUNCTION("IF(A253="""","""",
SPARKLINE(
INDEX(
GOOGLEFINANCE(""IDX:""&amp;A253,""close"",TODAY()-365,TODAY()),
,2
),
{""linewidth"",1}
))
"),"#N/A")</f>
        <v>#N/A</v>
      </c>
      <c r="E253" s="14" t="s">
        <v>48</v>
      </c>
      <c r="F253" s="14" t="s">
        <v>49</v>
      </c>
      <c r="G253" s="24">
        <f t="shared" si="1"/>
        <v>22</v>
      </c>
      <c r="H253" s="19">
        <f>VLOOKUP(A253,Metrik!$C$2:$Y$959,8,0)</f>
        <v>6.8</v>
      </c>
      <c r="I253" s="20">
        <f>VLOOKUP(A253,Metrik!$C$2:$Y$959,9,0)</f>
        <v>0.83</v>
      </c>
      <c r="J253" s="20">
        <f>VLOOKUP(A253,Metrik!$C$2:$Y$959,10,0)</f>
        <v>12.3</v>
      </c>
      <c r="K253" s="20">
        <f>VLOOKUP(A253,Metrik!$C$2:$Y$959,11,0)</f>
        <v>1.4</v>
      </c>
      <c r="L253" s="20">
        <f>VLOOKUP(A253,Metrik!$C$2:$Y$959,12,0)</f>
        <v>7.6</v>
      </c>
      <c r="M253" s="20">
        <f>VLOOKUP(A253,Metrik!$C$2:$Y$959,19,0)</f>
        <v>89.9</v>
      </c>
      <c r="N253" s="29">
        <v>3.8</v>
      </c>
      <c r="O253" s="29">
        <v>20.7</v>
      </c>
      <c r="P253" s="29">
        <v>86.4</v>
      </c>
      <c r="Q253" s="29">
        <v>1.9</v>
      </c>
      <c r="R253" s="29">
        <v>72.9</v>
      </c>
      <c r="S253" s="29">
        <v>46.5</v>
      </c>
      <c r="T253" s="29">
        <v>8.5</v>
      </c>
      <c r="U253" s="22">
        <f>IFERROR(__xludf.DUMMYFUNCTION("IFERROR(GOOGLEFINANCE(A253,""closeyest""),"""")"),3500.0)</f>
        <v>3500</v>
      </c>
      <c r="V253" s="23">
        <f>IFERROR(__xludf.DUMMYFUNCTION("IFERROR(GOOGLEFINANCE(A253,""changepct""),"""")"),1.71)</f>
        <v>1.71</v>
      </c>
      <c r="W253" s="22">
        <f>IFERROR(__xludf.DUMMYFUNCTION("IFERROR(GOOGLEFINANCE(A253,""priceopen""),"""")"),3570.0)</f>
        <v>3570</v>
      </c>
      <c r="X253" s="22">
        <f>IFERROR(__xludf.DUMMYFUNCTION("IFERROR(GOOGLEFINANCE(A253,""high""),"""")"),3650.0)</f>
        <v>3650</v>
      </c>
      <c r="Y253" s="22">
        <f>IFERROR(__xludf.DUMMYFUNCTION("IFERROR(GOOGLEFINANCE(A253,""low""),"""")"),3520.0)</f>
        <v>3520</v>
      </c>
      <c r="Z253" s="22">
        <f>IFERROR(__xludf.DUMMYFUNCTION("IFERROR(GOOGLEFINANCE(A253,""volume""),"""")"),7.48241E7)</f>
        <v>74824100</v>
      </c>
      <c r="AA253" s="24" t="str">
        <f>VLOOKUP(A253,Metrik!$C$2:$Y$959,5,0)</f>
        <v>Banks</v>
      </c>
      <c r="AB253" s="24" t="str">
        <f>VLOOKUP(A253,Metrik!$C$2:$Y$959,3,0)</f>
        <v>Financials</v>
      </c>
    </row>
    <row r="254">
      <c r="A254" s="14" t="s">
        <v>167</v>
      </c>
      <c r="B254" s="14" t="str">
        <f t="array" ref="B254">VLOOKUP(A254,{Metrik!$C$2:$C$998,Metrik!$B$2:$B$998},2,0)</f>
        <v>PT Bank Negara Indonesia (Persero) Tbk</v>
      </c>
      <c r="C254" s="15">
        <f>IFERROR(__xludf.DUMMYFUNCTION("GOOGLEFINANCE(""IDX:""&amp;A254,""price"")"),3560.0)</f>
        <v>3560</v>
      </c>
      <c r="D254" s="16" t="str">
        <f>IFERROR(__xludf.DUMMYFUNCTION("IF(A254="""","""",
SPARKLINE(
INDEX(
GOOGLEFINANCE(""IDX:""&amp;A254,""close"",TODAY()-365,TODAY()),
,2
),
{""linewidth"",1}
))
"),"#N/A")</f>
        <v>#N/A</v>
      </c>
      <c r="E254" s="14" t="s">
        <v>84</v>
      </c>
      <c r="F254" s="17" t="s">
        <v>51</v>
      </c>
      <c r="G254" s="24">
        <f t="shared" si="1"/>
        <v>22</v>
      </c>
      <c r="H254" s="19">
        <f>VLOOKUP(A254,Metrik!$C$2:$Y$959,8,0)</f>
        <v>6.8</v>
      </c>
      <c r="I254" s="20">
        <f>VLOOKUP(A254,Metrik!$C$2:$Y$959,9,0)</f>
        <v>0.83</v>
      </c>
      <c r="J254" s="20">
        <f>VLOOKUP(A254,Metrik!$C$2:$Y$959,10,0)</f>
        <v>12.3</v>
      </c>
      <c r="K254" s="20">
        <f>VLOOKUP(A254,Metrik!$C$2:$Y$959,11,0)</f>
        <v>1.4</v>
      </c>
      <c r="L254" s="20">
        <f>VLOOKUP(A254,Metrik!$C$2:$Y$959,12,0)</f>
        <v>7.6</v>
      </c>
      <c r="M254" s="20">
        <f>VLOOKUP(A254,Metrik!$C$2:$Y$959,19,0)</f>
        <v>89.9</v>
      </c>
      <c r="N254" s="29">
        <v>3.8</v>
      </c>
      <c r="O254" s="29">
        <v>20.7</v>
      </c>
      <c r="P254" s="29">
        <v>86.4</v>
      </c>
      <c r="Q254" s="29">
        <v>1.9</v>
      </c>
      <c r="R254" s="29">
        <v>72.9</v>
      </c>
      <c r="S254" s="29">
        <v>46.5</v>
      </c>
      <c r="T254" s="29">
        <v>8.5</v>
      </c>
      <c r="U254" s="22">
        <f>IFERROR(__xludf.DUMMYFUNCTION("IFERROR(GOOGLEFINANCE(A254,""closeyest""),"""")"),3500.0)</f>
        <v>3500</v>
      </c>
      <c r="V254" s="23">
        <f>IFERROR(__xludf.DUMMYFUNCTION("IFERROR(GOOGLEFINANCE(A254,""changepct""),"""")"),1.71)</f>
        <v>1.71</v>
      </c>
      <c r="W254" s="22">
        <f>IFERROR(__xludf.DUMMYFUNCTION("IFERROR(GOOGLEFINANCE(A254,""priceopen""),"""")"),3570.0)</f>
        <v>3570</v>
      </c>
      <c r="X254" s="22">
        <f>IFERROR(__xludf.DUMMYFUNCTION("IFERROR(GOOGLEFINANCE(A254,""high""),"""")"),3650.0)</f>
        <v>3650</v>
      </c>
      <c r="Y254" s="22">
        <f>IFERROR(__xludf.DUMMYFUNCTION("IFERROR(GOOGLEFINANCE(A254,""low""),"""")"),3520.0)</f>
        <v>3520</v>
      </c>
      <c r="Z254" s="22">
        <f>IFERROR(__xludf.DUMMYFUNCTION("IFERROR(GOOGLEFINANCE(A254,""volume""),"""")"),7.48241E7)</f>
        <v>74824100</v>
      </c>
      <c r="AA254" s="24" t="str">
        <f>VLOOKUP(A254,Metrik!$C$2:$Y$959,5,0)</f>
        <v>Banks</v>
      </c>
      <c r="AB254" s="24" t="str">
        <f>VLOOKUP(A254,Metrik!$C$2:$Y$959,3,0)</f>
        <v>Financials</v>
      </c>
    </row>
    <row r="255">
      <c r="A255" s="14" t="s">
        <v>167</v>
      </c>
      <c r="B255" s="14" t="str">
        <f t="array" ref="B255">VLOOKUP(A255,{Metrik!$C$2:$C$998,Metrik!$B$2:$B$998},2,0)</f>
        <v>PT Bank Negara Indonesia (Persero) Tbk</v>
      </c>
      <c r="C255" s="15">
        <f>IFERROR(__xludf.DUMMYFUNCTION("GOOGLEFINANCE(""IDX:""&amp;A255,""price"")"),3560.0)</f>
        <v>3560</v>
      </c>
      <c r="D255" s="16" t="str">
        <f>IFERROR(__xludf.DUMMYFUNCTION("IF(A255="""","""",
SPARKLINE(
INDEX(
GOOGLEFINANCE(""IDX:""&amp;A255,""close"",TODAY()-365,TODAY()),
,2
),
{""linewidth"",1}
))
"),"#N/A")</f>
        <v>#N/A</v>
      </c>
      <c r="E255" s="14" t="s">
        <v>31</v>
      </c>
      <c r="F255" s="17" t="s">
        <v>29</v>
      </c>
      <c r="G255" s="24">
        <f t="shared" si="1"/>
        <v>22</v>
      </c>
      <c r="H255" s="19">
        <f>VLOOKUP(A255,Metrik!$C$2:$Y$959,8,0)</f>
        <v>6.8</v>
      </c>
      <c r="I255" s="20">
        <f>VLOOKUP(A255,Metrik!$C$2:$Y$959,9,0)</f>
        <v>0.83</v>
      </c>
      <c r="J255" s="20">
        <f>VLOOKUP(A255,Metrik!$C$2:$Y$959,10,0)</f>
        <v>12.3</v>
      </c>
      <c r="K255" s="20">
        <f>VLOOKUP(A255,Metrik!$C$2:$Y$959,11,0)</f>
        <v>1.4</v>
      </c>
      <c r="L255" s="20">
        <f>VLOOKUP(A255,Metrik!$C$2:$Y$959,12,0)</f>
        <v>7.6</v>
      </c>
      <c r="M255" s="20">
        <f>VLOOKUP(A255,Metrik!$C$2:$Y$959,19,0)</f>
        <v>89.9</v>
      </c>
      <c r="N255" s="29">
        <v>3.8</v>
      </c>
      <c r="O255" s="29">
        <v>20.7</v>
      </c>
      <c r="P255" s="29">
        <v>86.4</v>
      </c>
      <c r="Q255" s="29">
        <v>1.9</v>
      </c>
      <c r="R255" s="29">
        <v>72.9</v>
      </c>
      <c r="S255" s="29">
        <v>46.5</v>
      </c>
      <c r="T255" s="29">
        <v>8.5</v>
      </c>
      <c r="U255" s="22">
        <f>IFERROR(__xludf.DUMMYFUNCTION("IFERROR(GOOGLEFINANCE(A255,""closeyest""),"""")"),3500.0)</f>
        <v>3500</v>
      </c>
      <c r="V255" s="23">
        <f>IFERROR(__xludf.DUMMYFUNCTION("IFERROR(GOOGLEFINANCE(A255,""changepct""),"""")"),1.71)</f>
        <v>1.71</v>
      </c>
      <c r="W255" s="22">
        <f>IFERROR(__xludf.DUMMYFUNCTION("IFERROR(GOOGLEFINANCE(A255,""priceopen""),"""")"),3570.0)</f>
        <v>3570</v>
      </c>
      <c r="X255" s="22">
        <f>IFERROR(__xludf.DUMMYFUNCTION("IFERROR(GOOGLEFINANCE(A255,""high""),"""")"),3650.0)</f>
        <v>3650</v>
      </c>
      <c r="Y255" s="22">
        <f>IFERROR(__xludf.DUMMYFUNCTION("IFERROR(GOOGLEFINANCE(A255,""low""),"""")"),3520.0)</f>
        <v>3520</v>
      </c>
      <c r="Z255" s="22">
        <f>IFERROR(__xludf.DUMMYFUNCTION("IFERROR(GOOGLEFINANCE(A255,""volume""),"""")"),7.48241E7)</f>
        <v>74824100</v>
      </c>
      <c r="AA255" s="24" t="str">
        <f>VLOOKUP(A255,Metrik!$C$2:$Y$959,5,0)</f>
        <v>Banks</v>
      </c>
      <c r="AB255" s="24" t="str">
        <f>VLOOKUP(A255,Metrik!$C$2:$Y$959,3,0)</f>
        <v>Financials</v>
      </c>
    </row>
    <row r="256">
      <c r="A256" s="14" t="s">
        <v>167</v>
      </c>
      <c r="B256" s="14" t="str">
        <f t="array" ref="B256">VLOOKUP(A256,{Metrik!$C$2:$C$998,Metrik!$B$2:$B$998},2,0)</f>
        <v>PT Bank Negara Indonesia (Persero) Tbk</v>
      </c>
      <c r="C256" s="15">
        <f>IFERROR(__xludf.DUMMYFUNCTION("GOOGLEFINANCE(""IDX:""&amp;A256,""price"")"),3560.0)</f>
        <v>3560</v>
      </c>
      <c r="D256" s="16" t="str">
        <f>IFERROR(__xludf.DUMMYFUNCTION("IF(A256="""","""",
SPARKLINE(
INDEX(
GOOGLEFINANCE(""IDX:""&amp;A256,""close"",TODAY()-365,TODAY()),
,2
),
{""linewidth"",1}
))
"),"#N/A")</f>
        <v>#N/A</v>
      </c>
      <c r="E256" s="14" t="s">
        <v>32</v>
      </c>
      <c r="F256" s="14" t="s">
        <v>29</v>
      </c>
      <c r="G256" s="24">
        <f t="shared" si="1"/>
        <v>22</v>
      </c>
      <c r="H256" s="19">
        <f>VLOOKUP(A256,Metrik!$C$2:$Y$959,8,0)</f>
        <v>6.8</v>
      </c>
      <c r="I256" s="20">
        <f>VLOOKUP(A256,Metrik!$C$2:$Y$959,9,0)</f>
        <v>0.83</v>
      </c>
      <c r="J256" s="20">
        <f>VLOOKUP(A256,Metrik!$C$2:$Y$959,10,0)</f>
        <v>12.3</v>
      </c>
      <c r="K256" s="20">
        <f>VLOOKUP(A256,Metrik!$C$2:$Y$959,11,0)</f>
        <v>1.4</v>
      </c>
      <c r="L256" s="20">
        <f>VLOOKUP(A256,Metrik!$C$2:$Y$959,12,0)</f>
        <v>7.6</v>
      </c>
      <c r="M256" s="20">
        <f>VLOOKUP(A256,Metrik!$C$2:$Y$959,19,0)</f>
        <v>89.9</v>
      </c>
      <c r="N256" s="29">
        <v>3.8</v>
      </c>
      <c r="O256" s="29">
        <v>20.7</v>
      </c>
      <c r="P256" s="29">
        <v>86.4</v>
      </c>
      <c r="Q256" s="29">
        <v>1.9</v>
      </c>
      <c r="R256" s="29">
        <v>72.9</v>
      </c>
      <c r="S256" s="29">
        <v>46.5</v>
      </c>
      <c r="T256" s="29">
        <v>8.5</v>
      </c>
      <c r="U256" s="22">
        <f>IFERROR(__xludf.DUMMYFUNCTION("IFERROR(GOOGLEFINANCE(A256,""closeyest""),"""")"),3500.0)</f>
        <v>3500</v>
      </c>
      <c r="V256" s="23">
        <f>IFERROR(__xludf.DUMMYFUNCTION("IFERROR(GOOGLEFINANCE(A256,""changepct""),"""")"),1.71)</f>
        <v>1.71</v>
      </c>
      <c r="W256" s="22">
        <f>IFERROR(__xludf.DUMMYFUNCTION("IFERROR(GOOGLEFINANCE(A256,""priceopen""),"""")"),3570.0)</f>
        <v>3570</v>
      </c>
      <c r="X256" s="22">
        <f>IFERROR(__xludf.DUMMYFUNCTION("IFERROR(GOOGLEFINANCE(A256,""high""),"""")"),3650.0)</f>
        <v>3650</v>
      </c>
      <c r="Y256" s="22">
        <f>IFERROR(__xludf.DUMMYFUNCTION("IFERROR(GOOGLEFINANCE(A256,""low""),"""")"),3520.0)</f>
        <v>3520</v>
      </c>
      <c r="Z256" s="22">
        <f>IFERROR(__xludf.DUMMYFUNCTION("IFERROR(GOOGLEFINANCE(A256,""volume""),"""")"),7.48241E7)</f>
        <v>74824100</v>
      </c>
      <c r="AA256" s="24" t="str">
        <f>VLOOKUP(A256,Metrik!$C$2:$Y$959,5,0)</f>
        <v>Banks</v>
      </c>
      <c r="AB256" s="24" t="str">
        <f>VLOOKUP(A256,Metrik!$C$2:$Y$959,3,0)</f>
        <v>Financials</v>
      </c>
    </row>
    <row r="257">
      <c r="A257" s="14" t="s">
        <v>167</v>
      </c>
      <c r="B257" s="14" t="str">
        <f t="array" ref="B257">VLOOKUP(A257,{Metrik!$C$2:$C$998,Metrik!$B$2:$B$998},2,0)</f>
        <v>PT Bank Negara Indonesia (Persero) Tbk</v>
      </c>
      <c r="C257" s="15">
        <f>IFERROR(__xludf.DUMMYFUNCTION("GOOGLEFINANCE(""IDX:""&amp;A257,""price"")"),3560.0)</f>
        <v>3560</v>
      </c>
      <c r="D257" s="16" t="str">
        <f>IFERROR(__xludf.DUMMYFUNCTION("IF(A257="""","""",
SPARKLINE(
INDEX(
GOOGLEFINANCE(""IDX:""&amp;A257,""close"",TODAY()-365,TODAY()),
,2
),
{""linewidth"",1}
))
"),"#N/A")</f>
        <v>#N/A</v>
      </c>
      <c r="E257" s="14" t="s">
        <v>30</v>
      </c>
      <c r="F257" s="17" t="s">
        <v>29</v>
      </c>
      <c r="G257" s="24">
        <f t="shared" si="1"/>
        <v>22</v>
      </c>
      <c r="H257" s="19">
        <f>VLOOKUP(A257,Metrik!$C$2:$Y$959,8,0)</f>
        <v>6.8</v>
      </c>
      <c r="I257" s="20">
        <f>VLOOKUP(A257,Metrik!$C$2:$Y$959,9,0)</f>
        <v>0.83</v>
      </c>
      <c r="J257" s="20">
        <f>VLOOKUP(A257,Metrik!$C$2:$Y$959,10,0)</f>
        <v>12.3</v>
      </c>
      <c r="K257" s="20">
        <f>VLOOKUP(A257,Metrik!$C$2:$Y$959,11,0)</f>
        <v>1.4</v>
      </c>
      <c r="L257" s="20">
        <f>VLOOKUP(A257,Metrik!$C$2:$Y$959,12,0)</f>
        <v>7.6</v>
      </c>
      <c r="M257" s="20">
        <f>VLOOKUP(A257,Metrik!$C$2:$Y$959,19,0)</f>
        <v>89.9</v>
      </c>
      <c r="N257" s="29">
        <v>3.8</v>
      </c>
      <c r="O257" s="29">
        <v>20.7</v>
      </c>
      <c r="P257" s="29">
        <v>86.4</v>
      </c>
      <c r="Q257" s="29">
        <v>1.9</v>
      </c>
      <c r="R257" s="29">
        <v>72.9</v>
      </c>
      <c r="S257" s="29">
        <v>46.5</v>
      </c>
      <c r="T257" s="29">
        <v>8.5</v>
      </c>
      <c r="U257" s="22">
        <f>IFERROR(__xludf.DUMMYFUNCTION("IFERROR(GOOGLEFINANCE(A257,""closeyest""),"""")"),3500.0)</f>
        <v>3500</v>
      </c>
      <c r="V257" s="23">
        <f>IFERROR(__xludf.DUMMYFUNCTION("IFERROR(GOOGLEFINANCE(A257,""changepct""),"""")"),1.71)</f>
        <v>1.71</v>
      </c>
      <c r="W257" s="22">
        <f>IFERROR(__xludf.DUMMYFUNCTION("IFERROR(GOOGLEFINANCE(A257,""priceopen""),"""")"),3570.0)</f>
        <v>3570</v>
      </c>
      <c r="X257" s="22">
        <f>IFERROR(__xludf.DUMMYFUNCTION("IFERROR(GOOGLEFINANCE(A257,""high""),"""")"),3650.0)</f>
        <v>3650</v>
      </c>
      <c r="Y257" s="22">
        <f>IFERROR(__xludf.DUMMYFUNCTION("IFERROR(GOOGLEFINANCE(A257,""low""),"""")"),3520.0)</f>
        <v>3520</v>
      </c>
      <c r="Z257" s="22">
        <f>IFERROR(__xludf.DUMMYFUNCTION("IFERROR(GOOGLEFINANCE(A257,""volume""),"""")"),7.48241E7)</f>
        <v>74824100</v>
      </c>
      <c r="AA257" s="24" t="str">
        <f>VLOOKUP(A257,Metrik!$C$2:$Y$959,5,0)</f>
        <v>Banks</v>
      </c>
      <c r="AB257" s="24" t="str">
        <f>VLOOKUP(A257,Metrik!$C$2:$Y$959,3,0)</f>
        <v>Financials</v>
      </c>
    </row>
    <row r="258">
      <c r="A258" s="14" t="s">
        <v>167</v>
      </c>
      <c r="B258" s="14" t="str">
        <f t="array" ref="B258">VLOOKUP(A258,{Metrik!$C$2:$C$998,Metrik!$B$2:$B$998},2,0)</f>
        <v>PT Bank Negara Indonesia (Persero) Tbk</v>
      </c>
      <c r="C258" s="15">
        <f>IFERROR(__xludf.DUMMYFUNCTION("GOOGLEFINANCE(""IDX:""&amp;A258,""price"")"),3560.0)</f>
        <v>3560</v>
      </c>
      <c r="D258" s="16" t="str">
        <f>IFERROR(__xludf.DUMMYFUNCTION("IF(A258="""","""",
SPARKLINE(
INDEX(
GOOGLEFINANCE(""IDX:""&amp;A258,""close"",TODAY()-365,TODAY()),
,2
),
{""linewidth"",1}
))
"),"#N/A")</f>
        <v>#N/A</v>
      </c>
      <c r="E258" s="14" t="s">
        <v>67</v>
      </c>
      <c r="F258" s="17" t="s">
        <v>51</v>
      </c>
      <c r="G258" s="24">
        <f t="shared" si="1"/>
        <v>22</v>
      </c>
      <c r="H258" s="19">
        <f>VLOOKUP(A258,Metrik!$C$2:$Y$959,8,0)</f>
        <v>6.8</v>
      </c>
      <c r="I258" s="20">
        <f>VLOOKUP(A258,Metrik!$C$2:$Y$959,9,0)</f>
        <v>0.83</v>
      </c>
      <c r="J258" s="20">
        <f>VLOOKUP(A258,Metrik!$C$2:$Y$959,10,0)</f>
        <v>12.3</v>
      </c>
      <c r="K258" s="20">
        <f>VLOOKUP(A258,Metrik!$C$2:$Y$959,11,0)</f>
        <v>1.4</v>
      </c>
      <c r="L258" s="20">
        <f>VLOOKUP(A258,Metrik!$C$2:$Y$959,12,0)</f>
        <v>7.6</v>
      </c>
      <c r="M258" s="20">
        <f>VLOOKUP(A258,Metrik!$C$2:$Y$959,19,0)</f>
        <v>89.9</v>
      </c>
      <c r="N258" s="29">
        <v>3.8</v>
      </c>
      <c r="O258" s="29">
        <v>20.7</v>
      </c>
      <c r="P258" s="29">
        <v>86.4</v>
      </c>
      <c r="Q258" s="29">
        <v>1.9</v>
      </c>
      <c r="R258" s="29">
        <v>72.9</v>
      </c>
      <c r="S258" s="29">
        <v>46.5</v>
      </c>
      <c r="T258" s="29">
        <v>8.5</v>
      </c>
      <c r="U258" s="22">
        <f>IFERROR(__xludf.DUMMYFUNCTION("IFERROR(GOOGLEFINANCE(A258,""closeyest""),"""")"),3500.0)</f>
        <v>3500</v>
      </c>
      <c r="V258" s="23">
        <f>IFERROR(__xludf.DUMMYFUNCTION("IFERROR(GOOGLEFINANCE(A258,""changepct""),"""")"),1.71)</f>
        <v>1.71</v>
      </c>
      <c r="W258" s="22">
        <f>IFERROR(__xludf.DUMMYFUNCTION("IFERROR(GOOGLEFINANCE(A258,""priceopen""),"""")"),3570.0)</f>
        <v>3570</v>
      </c>
      <c r="X258" s="22">
        <f>IFERROR(__xludf.DUMMYFUNCTION("IFERROR(GOOGLEFINANCE(A258,""high""),"""")"),3650.0)</f>
        <v>3650</v>
      </c>
      <c r="Y258" s="22">
        <f>IFERROR(__xludf.DUMMYFUNCTION("IFERROR(GOOGLEFINANCE(A258,""low""),"""")"),3520.0)</f>
        <v>3520</v>
      </c>
      <c r="Z258" s="22">
        <f>IFERROR(__xludf.DUMMYFUNCTION("IFERROR(GOOGLEFINANCE(A258,""volume""),"""")"),7.48241E7)</f>
        <v>74824100</v>
      </c>
      <c r="AA258" s="24" t="str">
        <f>VLOOKUP(A258,Metrik!$C$2:$Y$959,5,0)</f>
        <v>Banks</v>
      </c>
      <c r="AB258" s="24" t="str">
        <f>VLOOKUP(A258,Metrik!$C$2:$Y$959,3,0)</f>
        <v>Financials</v>
      </c>
    </row>
    <row r="259">
      <c r="A259" s="14" t="s">
        <v>167</v>
      </c>
      <c r="B259" s="14" t="str">
        <f t="array" ref="B259">VLOOKUP(A259,{Metrik!$C$2:$C$998,Metrik!$B$2:$B$998},2,0)</f>
        <v>PT Bank Negara Indonesia (Persero) Tbk</v>
      </c>
      <c r="C259" s="15">
        <f>IFERROR(__xludf.DUMMYFUNCTION("GOOGLEFINANCE(""IDX:""&amp;A259,""price"")"),3560.0)</f>
        <v>3560</v>
      </c>
      <c r="D259" s="16" t="str">
        <f>IFERROR(__xludf.DUMMYFUNCTION("IF(A259="""","""",
SPARKLINE(
INDEX(
GOOGLEFINANCE(""IDX:""&amp;A259,""close"",TODAY()-365,TODAY()),
,2
),
{""linewidth"",1}
))
"),"#N/A")</f>
        <v>#N/A</v>
      </c>
      <c r="E259" s="14" t="s">
        <v>85</v>
      </c>
      <c r="F259" s="17" t="s">
        <v>51</v>
      </c>
      <c r="G259" s="24">
        <f t="shared" si="1"/>
        <v>22</v>
      </c>
      <c r="H259" s="19">
        <f>VLOOKUP(A259,Metrik!$C$2:$Y$959,8,0)</f>
        <v>6.8</v>
      </c>
      <c r="I259" s="20">
        <f>VLOOKUP(A259,Metrik!$C$2:$Y$959,9,0)</f>
        <v>0.83</v>
      </c>
      <c r="J259" s="20">
        <f>VLOOKUP(A259,Metrik!$C$2:$Y$959,10,0)</f>
        <v>12.3</v>
      </c>
      <c r="K259" s="20">
        <f>VLOOKUP(A259,Metrik!$C$2:$Y$959,11,0)</f>
        <v>1.4</v>
      </c>
      <c r="L259" s="20">
        <f>VLOOKUP(A259,Metrik!$C$2:$Y$959,12,0)</f>
        <v>7.6</v>
      </c>
      <c r="M259" s="20">
        <f>VLOOKUP(A259,Metrik!$C$2:$Y$959,19,0)</f>
        <v>89.9</v>
      </c>
      <c r="N259" s="29">
        <v>3.8</v>
      </c>
      <c r="O259" s="29">
        <v>20.7</v>
      </c>
      <c r="P259" s="29">
        <v>86.4</v>
      </c>
      <c r="Q259" s="29">
        <v>1.9</v>
      </c>
      <c r="R259" s="29">
        <v>72.9</v>
      </c>
      <c r="S259" s="29">
        <v>46.5</v>
      </c>
      <c r="T259" s="29">
        <v>8.5</v>
      </c>
      <c r="U259" s="22">
        <f>IFERROR(__xludf.DUMMYFUNCTION("IFERROR(GOOGLEFINANCE(A259,""closeyest""),"""")"),3500.0)</f>
        <v>3500</v>
      </c>
      <c r="V259" s="23">
        <f>IFERROR(__xludf.DUMMYFUNCTION("IFERROR(GOOGLEFINANCE(A259,""changepct""),"""")"),1.71)</f>
        <v>1.71</v>
      </c>
      <c r="W259" s="22">
        <f>IFERROR(__xludf.DUMMYFUNCTION("IFERROR(GOOGLEFINANCE(A259,""priceopen""),"""")"),3570.0)</f>
        <v>3570</v>
      </c>
      <c r="X259" s="22">
        <f>IFERROR(__xludf.DUMMYFUNCTION("IFERROR(GOOGLEFINANCE(A259,""high""),"""")"),3650.0)</f>
        <v>3650</v>
      </c>
      <c r="Y259" s="22">
        <f>IFERROR(__xludf.DUMMYFUNCTION("IFERROR(GOOGLEFINANCE(A259,""low""),"""")"),3520.0)</f>
        <v>3520</v>
      </c>
      <c r="Z259" s="22">
        <f>IFERROR(__xludf.DUMMYFUNCTION("IFERROR(GOOGLEFINANCE(A259,""volume""),"""")"),7.48241E7)</f>
        <v>74824100</v>
      </c>
      <c r="AA259" s="24" t="str">
        <f>VLOOKUP(A259,Metrik!$C$2:$Y$959,5,0)</f>
        <v>Banks</v>
      </c>
      <c r="AB259" s="24" t="str">
        <f>VLOOKUP(A259,Metrik!$C$2:$Y$959,3,0)</f>
        <v>Financials</v>
      </c>
    </row>
    <row r="260">
      <c r="A260" s="14" t="s">
        <v>167</v>
      </c>
      <c r="B260" s="14" t="str">
        <f t="array" ref="B260">VLOOKUP(A260,{Metrik!$C$2:$C$998,Metrik!$B$2:$B$998},2,0)</f>
        <v>PT Bank Negara Indonesia (Persero) Tbk</v>
      </c>
      <c r="C260" s="15">
        <f>IFERROR(__xludf.DUMMYFUNCTION("GOOGLEFINANCE(""IDX:""&amp;A260,""price"")"),3560.0)</f>
        <v>3560</v>
      </c>
      <c r="D260" s="16" t="str">
        <f>IFERROR(__xludf.DUMMYFUNCTION("IF(A260="""","""",
SPARKLINE(
INDEX(
GOOGLEFINANCE(""IDX:""&amp;A260,""close"",TODAY()-365,TODAY()),
,2
),
{""linewidth"",1}
))
"),"#N/A")</f>
        <v>#N/A</v>
      </c>
      <c r="E260" s="14" t="s">
        <v>33</v>
      </c>
      <c r="F260" s="14" t="s">
        <v>34</v>
      </c>
      <c r="G260" s="24">
        <f t="shared" si="1"/>
        <v>22</v>
      </c>
      <c r="H260" s="19">
        <f>VLOOKUP(A260,Metrik!$C$2:$Y$959,8,0)</f>
        <v>6.8</v>
      </c>
      <c r="I260" s="20">
        <f>VLOOKUP(A260,Metrik!$C$2:$Y$959,9,0)</f>
        <v>0.83</v>
      </c>
      <c r="J260" s="20">
        <f>VLOOKUP(A260,Metrik!$C$2:$Y$959,10,0)</f>
        <v>12.3</v>
      </c>
      <c r="K260" s="20">
        <f>VLOOKUP(A260,Metrik!$C$2:$Y$959,11,0)</f>
        <v>1.4</v>
      </c>
      <c r="L260" s="20">
        <f>VLOOKUP(A260,Metrik!$C$2:$Y$959,12,0)</f>
        <v>7.6</v>
      </c>
      <c r="M260" s="20">
        <f>VLOOKUP(A260,Metrik!$C$2:$Y$959,19,0)</f>
        <v>89.9</v>
      </c>
      <c r="N260" s="29">
        <v>3.8</v>
      </c>
      <c r="O260" s="29">
        <v>20.7</v>
      </c>
      <c r="P260" s="29">
        <v>86.4</v>
      </c>
      <c r="Q260" s="29">
        <v>1.9</v>
      </c>
      <c r="R260" s="29">
        <v>72.9</v>
      </c>
      <c r="S260" s="29">
        <v>46.5</v>
      </c>
      <c r="T260" s="29">
        <v>8.5</v>
      </c>
      <c r="U260" s="22">
        <f>IFERROR(__xludf.DUMMYFUNCTION("IFERROR(GOOGLEFINANCE(A260,""closeyest""),"""")"),3500.0)</f>
        <v>3500</v>
      </c>
      <c r="V260" s="23">
        <f>IFERROR(__xludf.DUMMYFUNCTION("IFERROR(GOOGLEFINANCE(A260,""changepct""),"""")"),1.71)</f>
        <v>1.71</v>
      </c>
      <c r="W260" s="22">
        <f>IFERROR(__xludf.DUMMYFUNCTION("IFERROR(GOOGLEFINANCE(A260,""priceopen""),"""")"),3570.0)</f>
        <v>3570</v>
      </c>
      <c r="X260" s="22">
        <f>IFERROR(__xludf.DUMMYFUNCTION("IFERROR(GOOGLEFINANCE(A260,""high""),"""")"),3650.0)</f>
        <v>3650</v>
      </c>
      <c r="Y260" s="22">
        <f>IFERROR(__xludf.DUMMYFUNCTION("IFERROR(GOOGLEFINANCE(A260,""low""),"""")"),3520.0)</f>
        <v>3520</v>
      </c>
      <c r="Z260" s="22">
        <f>IFERROR(__xludf.DUMMYFUNCTION("IFERROR(GOOGLEFINANCE(A260,""volume""),"""")"),7.48241E7)</f>
        <v>74824100</v>
      </c>
      <c r="AA260" s="24" t="str">
        <f>VLOOKUP(A260,Metrik!$C$2:$Y$959,5,0)</f>
        <v>Banks</v>
      </c>
      <c r="AB260" s="24" t="str">
        <f>VLOOKUP(A260,Metrik!$C$2:$Y$959,3,0)</f>
        <v>Financials</v>
      </c>
    </row>
    <row r="261">
      <c r="A261" s="14" t="s">
        <v>167</v>
      </c>
      <c r="B261" s="14" t="str">
        <f t="array" ref="B261">VLOOKUP(A261,{Metrik!$C$2:$C$998,Metrik!$B$2:$B$998},2,0)</f>
        <v>PT Bank Negara Indonesia (Persero) Tbk</v>
      </c>
      <c r="C261" s="15">
        <f>IFERROR(__xludf.DUMMYFUNCTION("GOOGLEFINANCE(""IDX:""&amp;A261,""price"")"),3560.0)</f>
        <v>3560</v>
      </c>
      <c r="D261" s="16" t="str">
        <f>IFERROR(__xludf.DUMMYFUNCTION("IF(A261="""","""",
SPARKLINE(
INDEX(
GOOGLEFINANCE(""IDX:""&amp;A261,""close"",TODAY()-365,TODAY()),
,2
),
{""linewidth"",1}
))
"),"#N/A")</f>
        <v>#N/A</v>
      </c>
      <c r="E261" s="14" t="s">
        <v>61</v>
      </c>
      <c r="F261" s="14" t="s">
        <v>34</v>
      </c>
      <c r="G261" s="24">
        <f t="shared" si="1"/>
        <v>22</v>
      </c>
      <c r="H261" s="19">
        <f>VLOOKUP(A261,Metrik!$C$2:$Y$959,8,0)</f>
        <v>6.8</v>
      </c>
      <c r="I261" s="20">
        <f>VLOOKUP(A261,Metrik!$C$2:$Y$959,9,0)</f>
        <v>0.83</v>
      </c>
      <c r="J261" s="20">
        <f>VLOOKUP(A261,Metrik!$C$2:$Y$959,10,0)</f>
        <v>12.3</v>
      </c>
      <c r="K261" s="20">
        <f>VLOOKUP(A261,Metrik!$C$2:$Y$959,11,0)</f>
        <v>1.4</v>
      </c>
      <c r="L261" s="20">
        <f>VLOOKUP(A261,Metrik!$C$2:$Y$959,12,0)</f>
        <v>7.6</v>
      </c>
      <c r="M261" s="20">
        <f>VLOOKUP(A261,Metrik!$C$2:$Y$959,19,0)</f>
        <v>89.9</v>
      </c>
      <c r="N261" s="29">
        <v>3.8</v>
      </c>
      <c r="O261" s="29">
        <v>20.7</v>
      </c>
      <c r="P261" s="29">
        <v>86.4</v>
      </c>
      <c r="Q261" s="29">
        <v>1.9</v>
      </c>
      <c r="R261" s="29">
        <v>72.9</v>
      </c>
      <c r="S261" s="29">
        <v>46.5</v>
      </c>
      <c r="T261" s="29">
        <v>8.5</v>
      </c>
      <c r="U261" s="22">
        <f>IFERROR(__xludf.DUMMYFUNCTION("IFERROR(GOOGLEFINANCE(A261,""closeyest""),"""")"),3500.0)</f>
        <v>3500</v>
      </c>
      <c r="V261" s="23">
        <f>IFERROR(__xludf.DUMMYFUNCTION("IFERROR(GOOGLEFINANCE(A261,""changepct""),"""")"),1.71)</f>
        <v>1.71</v>
      </c>
      <c r="W261" s="22">
        <f>IFERROR(__xludf.DUMMYFUNCTION("IFERROR(GOOGLEFINANCE(A261,""priceopen""),"""")"),3570.0)</f>
        <v>3570</v>
      </c>
      <c r="X261" s="22">
        <f>IFERROR(__xludf.DUMMYFUNCTION("IFERROR(GOOGLEFINANCE(A261,""high""),"""")"),3650.0)</f>
        <v>3650</v>
      </c>
      <c r="Y261" s="22">
        <f>IFERROR(__xludf.DUMMYFUNCTION("IFERROR(GOOGLEFINANCE(A261,""low""),"""")"),3520.0)</f>
        <v>3520</v>
      </c>
      <c r="Z261" s="22">
        <f>IFERROR(__xludf.DUMMYFUNCTION("IFERROR(GOOGLEFINANCE(A261,""volume""),"""")"),7.48241E7)</f>
        <v>74824100</v>
      </c>
      <c r="AA261" s="24" t="str">
        <f>VLOOKUP(A261,Metrik!$C$2:$Y$959,5,0)</f>
        <v>Banks</v>
      </c>
      <c r="AB261" s="24" t="str">
        <f>VLOOKUP(A261,Metrik!$C$2:$Y$959,3,0)</f>
        <v>Financials</v>
      </c>
    </row>
    <row r="262">
      <c r="A262" s="14" t="s">
        <v>167</v>
      </c>
      <c r="B262" s="14" t="str">
        <f t="array" ref="B262">VLOOKUP(A262,{Metrik!$C$2:$C$998,Metrik!$B$2:$B$998},2,0)</f>
        <v>PT Bank Negara Indonesia (Persero) Tbk</v>
      </c>
      <c r="C262" s="15">
        <f>IFERROR(__xludf.DUMMYFUNCTION("GOOGLEFINANCE(""IDX:""&amp;A262,""price"")"),3560.0)</f>
        <v>3560</v>
      </c>
      <c r="D262" s="16" t="str">
        <f>IFERROR(__xludf.DUMMYFUNCTION("IF(A262="""","""",
SPARKLINE(
INDEX(
GOOGLEFINANCE(""IDX:""&amp;A262,""close"",TODAY()-365,TODAY()),
,2
),
{""linewidth"",1}
))
"),"#N/A")</f>
        <v>#N/A</v>
      </c>
      <c r="E262" s="14" t="s">
        <v>161</v>
      </c>
      <c r="F262" s="14" t="s">
        <v>76</v>
      </c>
      <c r="G262" s="24">
        <f t="shared" si="1"/>
        <v>22</v>
      </c>
      <c r="H262" s="19">
        <f>VLOOKUP(A262,Metrik!$C$2:$Y$959,8,0)</f>
        <v>6.8</v>
      </c>
      <c r="I262" s="20">
        <f>VLOOKUP(A262,Metrik!$C$2:$Y$959,9,0)</f>
        <v>0.83</v>
      </c>
      <c r="J262" s="20">
        <f>VLOOKUP(A262,Metrik!$C$2:$Y$959,10,0)</f>
        <v>12.3</v>
      </c>
      <c r="K262" s="20">
        <f>VLOOKUP(A262,Metrik!$C$2:$Y$959,11,0)</f>
        <v>1.4</v>
      </c>
      <c r="L262" s="20">
        <f>VLOOKUP(A262,Metrik!$C$2:$Y$959,12,0)</f>
        <v>7.6</v>
      </c>
      <c r="M262" s="20">
        <f>VLOOKUP(A262,Metrik!$C$2:$Y$959,19,0)</f>
        <v>89.9</v>
      </c>
      <c r="N262" s="29">
        <v>3.8</v>
      </c>
      <c r="O262" s="29">
        <v>20.7</v>
      </c>
      <c r="P262" s="29">
        <v>86.4</v>
      </c>
      <c r="Q262" s="29">
        <v>1.9</v>
      </c>
      <c r="R262" s="29">
        <v>72.9</v>
      </c>
      <c r="S262" s="29">
        <v>46.5</v>
      </c>
      <c r="T262" s="29">
        <v>8.5</v>
      </c>
      <c r="U262" s="22">
        <f>IFERROR(__xludf.DUMMYFUNCTION("IFERROR(GOOGLEFINANCE(A262,""closeyest""),"""")"),3500.0)</f>
        <v>3500</v>
      </c>
      <c r="V262" s="23">
        <f>IFERROR(__xludf.DUMMYFUNCTION("IFERROR(GOOGLEFINANCE(A262,""changepct""),"""")"),1.71)</f>
        <v>1.71</v>
      </c>
      <c r="W262" s="22">
        <f>IFERROR(__xludf.DUMMYFUNCTION("IFERROR(GOOGLEFINANCE(A262,""priceopen""),"""")"),3570.0)</f>
        <v>3570</v>
      </c>
      <c r="X262" s="22">
        <f>IFERROR(__xludf.DUMMYFUNCTION("IFERROR(GOOGLEFINANCE(A262,""high""),"""")"),3650.0)</f>
        <v>3650</v>
      </c>
      <c r="Y262" s="22">
        <f>IFERROR(__xludf.DUMMYFUNCTION("IFERROR(GOOGLEFINANCE(A262,""low""),"""")"),3520.0)</f>
        <v>3520</v>
      </c>
      <c r="Z262" s="22">
        <f>IFERROR(__xludf.DUMMYFUNCTION("IFERROR(GOOGLEFINANCE(A262,""volume""),"""")"),7.48241E7)</f>
        <v>74824100</v>
      </c>
      <c r="AA262" s="24" t="str">
        <f>VLOOKUP(A262,Metrik!$C$2:$Y$959,5,0)</f>
        <v>Banks</v>
      </c>
      <c r="AB262" s="24" t="str">
        <f>VLOOKUP(A262,Metrik!$C$2:$Y$959,3,0)</f>
        <v>Financials</v>
      </c>
    </row>
    <row r="263">
      <c r="A263" s="14" t="s">
        <v>167</v>
      </c>
      <c r="B263" s="14" t="str">
        <f t="array" ref="B263">VLOOKUP(A263,{Metrik!$C$2:$C$998,Metrik!$B$2:$B$998},2,0)</f>
        <v>PT Bank Negara Indonesia (Persero) Tbk</v>
      </c>
      <c r="C263" s="15">
        <f>IFERROR(__xludf.DUMMYFUNCTION("GOOGLEFINANCE(""IDX:""&amp;A263,""price"")"),3560.0)</f>
        <v>3560</v>
      </c>
      <c r="D263" s="16" t="str">
        <f>IFERROR(__xludf.DUMMYFUNCTION("IF(A263="""","""",
SPARKLINE(
INDEX(
GOOGLEFINANCE(""IDX:""&amp;A263,""close"",TODAY()-365,TODAY()),
,2
),
{""linewidth"",1}
))
"),"#N/A")</f>
        <v>#N/A</v>
      </c>
      <c r="E263" s="14" t="s">
        <v>162</v>
      </c>
      <c r="F263" s="14" t="s">
        <v>76</v>
      </c>
      <c r="G263" s="24">
        <f t="shared" si="1"/>
        <v>22</v>
      </c>
      <c r="H263" s="19">
        <f>VLOOKUP(A263,Metrik!$C$2:$Y$959,8,0)</f>
        <v>6.8</v>
      </c>
      <c r="I263" s="20">
        <f>VLOOKUP(A263,Metrik!$C$2:$Y$959,9,0)</f>
        <v>0.83</v>
      </c>
      <c r="J263" s="20">
        <f>VLOOKUP(A263,Metrik!$C$2:$Y$959,10,0)</f>
        <v>12.3</v>
      </c>
      <c r="K263" s="20">
        <f>VLOOKUP(A263,Metrik!$C$2:$Y$959,11,0)</f>
        <v>1.4</v>
      </c>
      <c r="L263" s="20">
        <f>VLOOKUP(A263,Metrik!$C$2:$Y$959,12,0)</f>
        <v>7.6</v>
      </c>
      <c r="M263" s="20">
        <f>VLOOKUP(A263,Metrik!$C$2:$Y$959,19,0)</f>
        <v>89.9</v>
      </c>
      <c r="N263" s="29">
        <v>3.8</v>
      </c>
      <c r="O263" s="29">
        <v>20.7</v>
      </c>
      <c r="P263" s="29">
        <v>86.4</v>
      </c>
      <c r="Q263" s="29">
        <v>1.9</v>
      </c>
      <c r="R263" s="29">
        <v>72.9</v>
      </c>
      <c r="S263" s="29">
        <v>46.5</v>
      </c>
      <c r="T263" s="29">
        <v>8.5</v>
      </c>
      <c r="U263" s="22">
        <f>IFERROR(__xludf.DUMMYFUNCTION("IFERROR(GOOGLEFINANCE(A263,""closeyest""),"""")"),3500.0)</f>
        <v>3500</v>
      </c>
      <c r="V263" s="23">
        <f>IFERROR(__xludf.DUMMYFUNCTION("IFERROR(GOOGLEFINANCE(A263,""changepct""),"""")"),1.71)</f>
        <v>1.71</v>
      </c>
      <c r="W263" s="22">
        <f>IFERROR(__xludf.DUMMYFUNCTION("IFERROR(GOOGLEFINANCE(A263,""priceopen""),"""")"),3570.0)</f>
        <v>3570</v>
      </c>
      <c r="X263" s="22">
        <f>IFERROR(__xludf.DUMMYFUNCTION("IFERROR(GOOGLEFINANCE(A263,""high""),"""")"),3650.0)</f>
        <v>3650</v>
      </c>
      <c r="Y263" s="22">
        <f>IFERROR(__xludf.DUMMYFUNCTION("IFERROR(GOOGLEFINANCE(A263,""low""),"""")"),3520.0)</f>
        <v>3520</v>
      </c>
      <c r="Z263" s="22">
        <f>IFERROR(__xludf.DUMMYFUNCTION("IFERROR(GOOGLEFINANCE(A263,""volume""),"""")"),7.48241E7)</f>
        <v>74824100</v>
      </c>
      <c r="AA263" s="24" t="str">
        <f>VLOOKUP(A263,Metrik!$C$2:$Y$959,5,0)</f>
        <v>Banks</v>
      </c>
      <c r="AB263" s="24" t="str">
        <f>VLOOKUP(A263,Metrik!$C$2:$Y$959,3,0)</f>
        <v>Financials</v>
      </c>
    </row>
    <row r="264">
      <c r="A264" s="17" t="s">
        <v>167</v>
      </c>
      <c r="B264" s="14" t="str">
        <f t="array" ref="B264">VLOOKUP(A264,{Metrik!$C$2:$C$998,Metrik!$B$2:$B$998},2,0)</f>
        <v>PT Bank Negara Indonesia (Persero) Tbk</v>
      </c>
      <c r="C264" s="15">
        <f>IFERROR(__xludf.DUMMYFUNCTION("GOOGLEFINANCE(""IDX:""&amp;A264,""price"")"),3560.0)</f>
        <v>3560</v>
      </c>
      <c r="D264" s="16" t="str">
        <f>IFERROR(__xludf.DUMMYFUNCTION("IF(A264="""","""",
SPARKLINE(
INDEX(
GOOGLEFINANCE(""IDX:""&amp;A264,""close"",TODAY()-365,TODAY()),
,2
),
{""linewidth"",1}
))
"),"#N/A")</f>
        <v>#N/A</v>
      </c>
      <c r="E264" s="17" t="s">
        <v>69</v>
      </c>
      <c r="F264" s="17" t="s">
        <v>70</v>
      </c>
      <c r="G264" s="24">
        <f t="shared" si="1"/>
        <v>22</v>
      </c>
      <c r="H264" s="19">
        <f>VLOOKUP(A264,Metrik!$C$2:$Y$959,8,0)</f>
        <v>6.8</v>
      </c>
      <c r="I264" s="20">
        <f>VLOOKUP(A264,Metrik!$C$2:$Y$959,9,0)</f>
        <v>0.83</v>
      </c>
      <c r="J264" s="20">
        <f>VLOOKUP(A264,Metrik!$C$2:$Y$959,10,0)</f>
        <v>12.3</v>
      </c>
      <c r="K264" s="20">
        <f>VLOOKUP(A264,Metrik!$C$2:$Y$959,11,0)</f>
        <v>1.4</v>
      </c>
      <c r="L264" s="20">
        <f>VLOOKUP(A264,Metrik!$C$2:$Y$959,12,0)</f>
        <v>7.6</v>
      </c>
      <c r="M264" s="20">
        <f>VLOOKUP(A264,Metrik!$C$2:$Y$959,19,0)</f>
        <v>89.9</v>
      </c>
      <c r="N264" s="29">
        <v>3.8</v>
      </c>
      <c r="O264" s="29">
        <v>20.7</v>
      </c>
      <c r="P264" s="29">
        <v>86.4</v>
      </c>
      <c r="Q264" s="29">
        <v>1.9</v>
      </c>
      <c r="R264" s="29">
        <v>72.9</v>
      </c>
      <c r="S264" s="29">
        <v>46.5</v>
      </c>
      <c r="T264" s="29">
        <v>8.5</v>
      </c>
      <c r="U264" s="22">
        <f>IFERROR(__xludf.DUMMYFUNCTION("IFERROR(GOOGLEFINANCE(A264,""closeyest""),"""")"),3500.0)</f>
        <v>3500</v>
      </c>
      <c r="V264" s="23">
        <f>IFERROR(__xludf.DUMMYFUNCTION("IFERROR(GOOGLEFINANCE(A264,""changepct""),"""")"),1.71)</f>
        <v>1.71</v>
      </c>
      <c r="W264" s="22">
        <f>IFERROR(__xludf.DUMMYFUNCTION("IFERROR(GOOGLEFINANCE(A264,""priceopen""),"""")"),3570.0)</f>
        <v>3570</v>
      </c>
      <c r="X264" s="22">
        <f>IFERROR(__xludf.DUMMYFUNCTION("IFERROR(GOOGLEFINANCE(A264,""high""),"""")"),3650.0)</f>
        <v>3650</v>
      </c>
      <c r="Y264" s="22">
        <f>IFERROR(__xludf.DUMMYFUNCTION("IFERROR(GOOGLEFINANCE(A264,""low""),"""")"),3520.0)</f>
        <v>3520</v>
      </c>
      <c r="Z264" s="22">
        <f>IFERROR(__xludf.DUMMYFUNCTION("IFERROR(GOOGLEFINANCE(A264,""volume""),"""")"),7.48241E7)</f>
        <v>74824100</v>
      </c>
      <c r="AA264" s="24" t="str">
        <f>VLOOKUP(A264,Metrik!$C$2:$Y$959,5,0)</f>
        <v>Banks</v>
      </c>
      <c r="AB264" s="24" t="str">
        <f>VLOOKUP(A264,Metrik!$C$2:$Y$959,3,0)</f>
        <v>Financials</v>
      </c>
    </row>
    <row r="265">
      <c r="A265" s="14" t="s">
        <v>167</v>
      </c>
      <c r="B265" s="14" t="str">
        <f t="array" ref="B265">VLOOKUP(A265,{Metrik!$C$2:$C$998,Metrik!$B$2:$B$998},2,0)</f>
        <v>PT Bank Negara Indonesia (Persero) Tbk</v>
      </c>
      <c r="C265" s="15">
        <f>IFERROR(__xludf.DUMMYFUNCTION("GOOGLEFINANCE(""IDX:""&amp;A265,""price"")"),3560.0)</f>
        <v>3560</v>
      </c>
      <c r="D265" s="16" t="str">
        <f>IFERROR(__xludf.DUMMYFUNCTION("IF(A265="""","""",
SPARKLINE(
INDEX(
GOOGLEFINANCE(""IDX:""&amp;A265,""close"",TODAY()-365,TODAY()),
,2
),
{""linewidth"",1}
))
"),"#N/A")</f>
        <v>#N/A</v>
      </c>
      <c r="E265" s="14" t="s">
        <v>55</v>
      </c>
      <c r="F265" s="25">
        <v>46356.0</v>
      </c>
      <c r="G265" s="24">
        <f t="shared" si="1"/>
        <v>22</v>
      </c>
      <c r="H265" s="19">
        <f>VLOOKUP(A265,Metrik!$C$2:$Y$959,8,0)</f>
        <v>6.8</v>
      </c>
      <c r="I265" s="20">
        <f>VLOOKUP(A265,Metrik!$C$2:$Y$959,9,0)</f>
        <v>0.83</v>
      </c>
      <c r="J265" s="20">
        <f>VLOOKUP(A265,Metrik!$C$2:$Y$959,10,0)</f>
        <v>12.3</v>
      </c>
      <c r="K265" s="20">
        <f>VLOOKUP(A265,Metrik!$C$2:$Y$959,11,0)</f>
        <v>1.4</v>
      </c>
      <c r="L265" s="20">
        <f>VLOOKUP(A265,Metrik!$C$2:$Y$959,12,0)</f>
        <v>7.6</v>
      </c>
      <c r="M265" s="20">
        <f>VLOOKUP(A265,Metrik!$C$2:$Y$959,19,0)</f>
        <v>89.9</v>
      </c>
      <c r="N265" s="29">
        <v>3.8</v>
      </c>
      <c r="O265" s="29">
        <v>20.7</v>
      </c>
      <c r="P265" s="29">
        <v>86.4</v>
      </c>
      <c r="Q265" s="29">
        <v>1.9</v>
      </c>
      <c r="R265" s="29">
        <v>72.9</v>
      </c>
      <c r="S265" s="29">
        <v>46.5</v>
      </c>
      <c r="T265" s="29">
        <v>8.5</v>
      </c>
      <c r="U265" s="22">
        <f>IFERROR(__xludf.DUMMYFUNCTION("IFERROR(GOOGLEFINANCE(A265,""closeyest""),"""")"),3500.0)</f>
        <v>3500</v>
      </c>
      <c r="V265" s="23">
        <f>IFERROR(__xludf.DUMMYFUNCTION("IFERROR(GOOGLEFINANCE(A265,""changepct""),"""")"),1.71)</f>
        <v>1.71</v>
      </c>
      <c r="W265" s="22">
        <f>IFERROR(__xludf.DUMMYFUNCTION("IFERROR(GOOGLEFINANCE(A265,""priceopen""),"""")"),3570.0)</f>
        <v>3570</v>
      </c>
      <c r="X265" s="22">
        <f>IFERROR(__xludf.DUMMYFUNCTION("IFERROR(GOOGLEFINANCE(A265,""high""),"""")"),3650.0)</f>
        <v>3650</v>
      </c>
      <c r="Y265" s="22">
        <f>IFERROR(__xludf.DUMMYFUNCTION("IFERROR(GOOGLEFINANCE(A265,""low""),"""")"),3520.0)</f>
        <v>3520</v>
      </c>
      <c r="Z265" s="22">
        <f>IFERROR(__xludf.DUMMYFUNCTION("IFERROR(GOOGLEFINANCE(A265,""volume""),"""")"),7.48241E7)</f>
        <v>74824100</v>
      </c>
      <c r="AA265" s="24" t="str">
        <f>VLOOKUP(A265,Metrik!$C$2:$Y$959,5,0)</f>
        <v>Banks</v>
      </c>
      <c r="AB265" s="24" t="str">
        <f>VLOOKUP(A265,Metrik!$C$2:$Y$959,3,0)</f>
        <v>Financials</v>
      </c>
    </row>
    <row r="266">
      <c r="A266" s="14" t="s">
        <v>167</v>
      </c>
      <c r="B266" s="14" t="str">
        <f t="array" ref="B266">VLOOKUP(A266,{Metrik!$C$2:$C$998,Metrik!$B$2:$B$998},2,0)</f>
        <v>PT Bank Negara Indonesia (Persero) Tbk</v>
      </c>
      <c r="C266" s="15">
        <f>IFERROR(__xludf.DUMMYFUNCTION("GOOGLEFINANCE(""IDX:""&amp;A266,""price"")"),3560.0)</f>
        <v>3560</v>
      </c>
      <c r="D266" s="16" t="str">
        <f>IFERROR(__xludf.DUMMYFUNCTION("IF(A266="""","""",
SPARKLINE(
INDEX(
GOOGLEFINANCE(""IDX:""&amp;A266,""close"",TODAY()-365,TODAY()),
,2
),
{""linewidth"",1}
))
"),"#N/A")</f>
        <v>#N/A</v>
      </c>
      <c r="E266" s="14" t="s">
        <v>86</v>
      </c>
      <c r="F266" s="25">
        <v>46356.0</v>
      </c>
      <c r="G266" s="24">
        <f t="shared" si="1"/>
        <v>22</v>
      </c>
      <c r="H266" s="19">
        <f>VLOOKUP(A266,Metrik!$C$2:$Y$959,8,0)</f>
        <v>6.8</v>
      </c>
      <c r="I266" s="20">
        <f>VLOOKUP(A266,Metrik!$C$2:$Y$959,9,0)</f>
        <v>0.83</v>
      </c>
      <c r="J266" s="20">
        <f>VLOOKUP(A266,Metrik!$C$2:$Y$959,10,0)</f>
        <v>12.3</v>
      </c>
      <c r="K266" s="20">
        <f>VLOOKUP(A266,Metrik!$C$2:$Y$959,11,0)</f>
        <v>1.4</v>
      </c>
      <c r="L266" s="20">
        <f>VLOOKUP(A266,Metrik!$C$2:$Y$959,12,0)</f>
        <v>7.6</v>
      </c>
      <c r="M266" s="20">
        <f>VLOOKUP(A266,Metrik!$C$2:$Y$959,19,0)</f>
        <v>89.9</v>
      </c>
      <c r="N266" s="29">
        <v>3.8</v>
      </c>
      <c r="O266" s="29">
        <v>20.7</v>
      </c>
      <c r="P266" s="29">
        <v>86.4</v>
      </c>
      <c r="Q266" s="29">
        <v>1.9</v>
      </c>
      <c r="R266" s="29">
        <v>72.9</v>
      </c>
      <c r="S266" s="29">
        <v>46.5</v>
      </c>
      <c r="T266" s="29">
        <v>8.5</v>
      </c>
      <c r="U266" s="22">
        <f>IFERROR(__xludf.DUMMYFUNCTION("IFERROR(GOOGLEFINANCE(A266,""closeyest""),"""")"),3500.0)</f>
        <v>3500</v>
      </c>
      <c r="V266" s="23">
        <f>IFERROR(__xludf.DUMMYFUNCTION("IFERROR(GOOGLEFINANCE(A266,""changepct""),"""")"),1.71)</f>
        <v>1.71</v>
      </c>
      <c r="W266" s="22">
        <f>IFERROR(__xludf.DUMMYFUNCTION("IFERROR(GOOGLEFINANCE(A266,""priceopen""),"""")"),3570.0)</f>
        <v>3570</v>
      </c>
      <c r="X266" s="22">
        <f>IFERROR(__xludf.DUMMYFUNCTION("IFERROR(GOOGLEFINANCE(A266,""high""),"""")"),3650.0)</f>
        <v>3650</v>
      </c>
      <c r="Y266" s="22">
        <f>IFERROR(__xludf.DUMMYFUNCTION("IFERROR(GOOGLEFINANCE(A266,""low""),"""")"),3520.0)</f>
        <v>3520</v>
      </c>
      <c r="Z266" s="22">
        <f>IFERROR(__xludf.DUMMYFUNCTION("IFERROR(GOOGLEFINANCE(A266,""volume""),"""")"),7.48241E7)</f>
        <v>74824100</v>
      </c>
      <c r="AA266" s="24" t="str">
        <f>VLOOKUP(A266,Metrik!$C$2:$Y$959,5,0)</f>
        <v>Banks</v>
      </c>
      <c r="AB266" s="24" t="str">
        <f>VLOOKUP(A266,Metrik!$C$2:$Y$959,3,0)</f>
        <v>Financials</v>
      </c>
    </row>
    <row r="267">
      <c r="A267" s="14" t="s">
        <v>167</v>
      </c>
      <c r="B267" s="14" t="str">
        <f t="array" ref="B267">VLOOKUP(A267,{Metrik!$C$2:$C$998,Metrik!$B$2:$B$998},2,0)</f>
        <v>PT Bank Negara Indonesia (Persero) Tbk</v>
      </c>
      <c r="C267" s="15">
        <f>IFERROR(__xludf.DUMMYFUNCTION("GOOGLEFINANCE(""IDX:""&amp;A267,""price"")"),3560.0)</f>
        <v>3560</v>
      </c>
      <c r="D267" s="16" t="str">
        <f>IFERROR(__xludf.DUMMYFUNCTION("IF(A267="""","""",
SPARKLINE(
INDEX(
GOOGLEFINANCE(""IDX:""&amp;A267,""close"",TODAY()-365,TODAY()),
,2
),
{""linewidth"",1}
))
"),"#N/A")</f>
        <v>#N/A</v>
      </c>
      <c r="E267" s="14" t="s">
        <v>42</v>
      </c>
      <c r="F267" s="25">
        <v>46356.0</v>
      </c>
      <c r="G267" s="24">
        <f t="shared" si="1"/>
        <v>22</v>
      </c>
      <c r="H267" s="19">
        <f>VLOOKUP(A267,Metrik!$C$2:$Y$959,8,0)</f>
        <v>6.8</v>
      </c>
      <c r="I267" s="20">
        <f>VLOOKUP(A267,Metrik!$C$2:$Y$959,9,0)</f>
        <v>0.83</v>
      </c>
      <c r="J267" s="20">
        <f>VLOOKUP(A267,Metrik!$C$2:$Y$959,10,0)</f>
        <v>12.3</v>
      </c>
      <c r="K267" s="20">
        <f>VLOOKUP(A267,Metrik!$C$2:$Y$959,11,0)</f>
        <v>1.4</v>
      </c>
      <c r="L267" s="20">
        <f>VLOOKUP(A267,Metrik!$C$2:$Y$959,12,0)</f>
        <v>7.6</v>
      </c>
      <c r="M267" s="20">
        <f>VLOOKUP(A267,Metrik!$C$2:$Y$959,19,0)</f>
        <v>89.9</v>
      </c>
      <c r="N267" s="29">
        <v>3.8</v>
      </c>
      <c r="O267" s="29">
        <v>20.7</v>
      </c>
      <c r="P267" s="29">
        <v>86.4</v>
      </c>
      <c r="Q267" s="29">
        <v>1.9</v>
      </c>
      <c r="R267" s="29">
        <v>72.9</v>
      </c>
      <c r="S267" s="29">
        <v>46.5</v>
      </c>
      <c r="T267" s="29">
        <v>8.5</v>
      </c>
      <c r="U267" s="22">
        <f>IFERROR(__xludf.DUMMYFUNCTION("IFERROR(GOOGLEFINANCE(A267,""closeyest""),"""")"),3500.0)</f>
        <v>3500</v>
      </c>
      <c r="V267" s="23">
        <f>IFERROR(__xludf.DUMMYFUNCTION("IFERROR(GOOGLEFINANCE(A267,""changepct""),"""")"),1.71)</f>
        <v>1.71</v>
      </c>
      <c r="W267" s="22">
        <f>IFERROR(__xludf.DUMMYFUNCTION("IFERROR(GOOGLEFINANCE(A267,""priceopen""),"""")"),3570.0)</f>
        <v>3570</v>
      </c>
      <c r="X267" s="22">
        <f>IFERROR(__xludf.DUMMYFUNCTION("IFERROR(GOOGLEFINANCE(A267,""high""),"""")"),3650.0)</f>
        <v>3650</v>
      </c>
      <c r="Y267" s="22">
        <f>IFERROR(__xludf.DUMMYFUNCTION("IFERROR(GOOGLEFINANCE(A267,""low""),"""")"),3520.0)</f>
        <v>3520</v>
      </c>
      <c r="Z267" s="22">
        <f>IFERROR(__xludf.DUMMYFUNCTION("IFERROR(GOOGLEFINANCE(A267,""volume""),"""")"),7.48241E7)</f>
        <v>74824100</v>
      </c>
      <c r="AA267" s="24" t="str">
        <f>VLOOKUP(A267,Metrik!$C$2:$Y$959,5,0)</f>
        <v>Banks</v>
      </c>
      <c r="AB267" s="24" t="str">
        <f>VLOOKUP(A267,Metrik!$C$2:$Y$959,3,0)</f>
        <v>Financials</v>
      </c>
    </row>
    <row r="268">
      <c r="A268" s="14" t="s">
        <v>168</v>
      </c>
      <c r="B268" s="14" t="str">
        <f t="array" ref="B268">VLOOKUP(A268,{Metrik!$C$2:$C$998,Metrik!$B$2:$B$998},2,0)</f>
        <v>PT Bank Rakyat Indonesia (Persero) Tbk</v>
      </c>
      <c r="C268" s="15">
        <f>IFERROR(__xludf.DUMMYFUNCTION("GOOGLEFINANCE(""IDX:""&amp;A268,""price"")"),2850.0)</f>
        <v>2850</v>
      </c>
      <c r="D268" s="16" t="str">
        <f>IFERROR(__xludf.DUMMYFUNCTION("IF(A268="""","""",
SPARKLINE(
INDEX(
GOOGLEFINANCE(""IDX:""&amp;A268,""close"",TODAY()-365,TODAY()),
,2
),
{""linewidth"",1}
))
"),"#N/A")</f>
        <v>#N/A</v>
      </c>
      <c r="E268" s="14" t="s">
        <v>47</v>
      </c>
      <c r="F268" s="25">
        <v>46356.0</v>
      </c>
      <c r="G268" s="24">
        <f t="shared" si="1"/>
        <v>23</v>
      </c>
      <c r="H268" s="19">
        <f>VLOOKUP(A268,Metrik!$C$2:$Y$959,8,0)</f>
        <v>7.7</v>
      </c>
      <c r="I268" s="20">
        <f>VLOOKUP(A268,Metrik!$C$2:$Y$959,9,0)</f>
        <v>1.3</v>
      </c>
      <c r="J268" s="20">
        <f>VLOOKUP(A268,Metrik!$C$2:$Y$959,10,0)</f>
        <v>17</v>
      </c>
      <c r="K268" s="20">
        <f>VLOOKUP(A268,Metrik!$C$2:$Y$959,11,0)</f>
        <v>2.6</v>
      </c>
      <c r="L268" s="20">
        <f>VLOOKUP(A268,Metrik!$C$2:$Y$959,12,0)</f>
        <v>5.5</v>
      </c>
      <c r="M268" s="20">
        <f>VLOOKUP(A268,Metrik!$C$2:$Y$959,19,0)</f>
        <v>96.8</v>
      </c>
      <c r="N268" s="29">
        <v>7.65</v>
      </c>
      <c r="O268" s="29">
        <v>24.19</v>
      </c>
      <c r="P268" s="29">
        <v>87.43</v>
      </c>
      <c r="Q268" s="29">
        <v>2.86</v>
      </c>
      <c r="R268" s="29">
        <v>68.08</v>
      </c>
      <c r="S268" s="29">
        <v>40.89</v>
      </c>
      <c r="T268" s="29">
        <v>10.24</v>
      </c>
      <c r="U268" s="22">
        <f>IFERROR(__xludf.DUMMYFUNCTION("IFERROR(GOOGLEFINANCE(A268,""closeyest""),"""")"),2850.0)</f>
        <v>2850</v>
      </c>
      <c r="V268" s="23">
        <f>IFERROR(__xludf.DUMMYFUNCTION("IFERROR(GOOGLEFINANCE(A268,""changepct""),"""")"),0.0)</f>
        <v>0</v>
      </c>
      <c r="W268" s="22">
        <f>IFERROR(__xludf.DUMMYFUNCTION("IFERROR(GOOGLEFINANCE(A268,""priceopen""),"""")"),2880.0)</f>
        <v>2880</v>
      </c>
      <c r="X268" s="22">
        <f>IFERROR(__xludf.DUMMYFUNCTION("IFERROR(GOOGLEFINANCE(A268,""high""),"""")"),2900.0)</f>
        <v>2900</v>
      </c>
      <c r="Y268" s="22">
        <f>IFERROR(__xludf.DUMMYFUNCTION("IFERROR(GOOGLEFINANCE(A268,""low""),"""")"),2830.0)</f>
        <v>2830</v>
      </c>
      <c r="Z268" s="22">
        <f>IFERROR(__xludf.DUMMYFUNCTION("IFERROR(GOOGLEFINANCE(A268,""volume""),"""")"),4.5053E8)</f>
        <v>450530000</v>
      </c>
      <c r="AA268" s="24" t="str">
        <f>VLOOKUP(A268,Metrik!$C$2:$Y$959,5,0)</f>
        <v>Banks</v>
      </c>
      <c r="AB268" s="24" t="str">
        <f>VLOOKUP(A268,Metrik!$C$2:$Y$959,3,0)</f>
        <v>Financials</v>
      </c>
    </row>
    <row r="269">
      <c r="A269" s="17" t="s">
        <v>168</v>
      </c>
      <c r="B269" s="14" t="str">
        <f t="array" ref="B269">VLOOKUP(A269,{Metrik!$C$2:$C$998,Metrik!$B$2:$B$998},2,0)</f>
        <v>PT Bank Rakyat Indonesia (Persero) Tbk</v>
      </c>
      <c r="C269" s="15">
        <f>IFERROR(__xludf.DUMMYFUNCTION("GOOGLEFINANCE(""IDX:""&amp;A269,""price"")"),2850.0)</f>
        <v>2850</v>
      </c>
      <c r="D269" s="16" t="str">
        <f>IFERROR(__xludf.DUMMYFUNCTION("IF(A269="""","""",
SPARKLINE(
INDEX(
GOOGLEFINANCE(""IDX:""&amp;A269,""close"",TODAY()-365,TODAY()),
,2
),
{""linewidth"",1}
))
"),"#N/A")</f>
        <v>#N/A</v>
      </c>
      <c r="E269" s="17" t="s">
        <v>69</v>
      </c>
      <c r="F269" s="17" t="s">
        <v>70</v>
      </c>
      <c r="G269" s="24">
        <f t="shared" si="1"/>
        <v>23</v>
      </c>
      <c r="H269" s="19">
        <f>VLOOKUP(A269,Metrik!$C$2:$Y$959,8,0)</f>
        <v>7.7</v>
      </c>
      <c r="I269" s="20">
        <f>VLOOKUP(A269,Metrik!$C$2:$Y$959,9,0)</f>
        <v>1.3</v>
      </c>
      <c r="J269" s="20">
        <f>VLOOKUP(A269,Metrik!$C$2:$Y$959,10,0)</f>
        <v>17</v>
      </c>
      <c r="K269" s="20">
        <f>VLOOKUP(A269,Metrik!$C$2:$Y$959,11,0)</f>
        <v>2.6</v>
      </c>
      <c r="L269" s="20">
        <f>VLOOKUP(A269,Metrik!$C$2:$Y$959,12,0)</f>
        <v>5.5</v>
      </c>
      <c r="M269" s="20">
        <f>VLOOKUP(A269,Metrik!$C$2:$Y$959,19,0)</f>
        <v>96.8</v>
      </c>
      <c r="N269" s="29">
        <v>7.65</v>
      </c>
      <c r="O269" s="29">
        <v>24.19</v>
      </c>
      <c r="P269" s="29">
        <v>87.43</v>
      </c>
      <c r="Q269" s="29">
        <v>2.86</v>
      </c>
      <c r="R269" s="29">
        <v>68.08</v>
      </c>
      <c r="S269" s="29">
        <v>40.89</v>
      </c>
      <c r="T269" s="29">
        <v>10.24</v>
      </c>
      <c r="U269" s="22">
        <f>IFERROR(__xludf.DUMMYFUNCTION("IFERROR(GOOGLEFINANCE(A269,""closeyest""),"""")"),2850.0)</f>
        <v>2850</v>
      </c>
      <c r="V269" s="23">
        <f>IFERROR(__xludf.DUMMYFUNCTION("IFERROR(GOOGLEFINANCE(A269,""changepct""),"""")"),0.0)</f>
        <v>0</v>
      </c>
      <c r="W269" s="22">
        <f>IFERROR(__xludf.DUMMYFUNCTION("IFERROR(GOOGLEFINANCE(A269,""priceopen""),"""")"),2880.0)</f>
        <v>2880</v>
      </c>
      <c r="X269" s="22">
        <f>IFERROR(__xludf.DUMMYFUNCTION("IFERROR(GOOGLEFINANCE(A269,""high""),"""")"),2900.0)</f>
        <v>2900</v>
      </c>
      <c r="Y269" s="22">
        <f>IFERROR(__xludf.DUMMYFUNCTION("IFERROR(GOOGLEFINANCE(A269,""low""),"""")"),2830.0)</f>
        <v>2830</v>
      </c>
      <c r="Z269" s="22">
        <f>IFERROR(__xludf.DUMMYFUNCTION("IFERROR(GOOGLEFINANCE(A269,""volume""),"""")"),4.5053E8)</f>
        <v>450530000</v>
      </c>
      <c r="AA269" s="24" t="str">
        <f>VLOOKUP(A269,Metrik!$C$2:$Y$959,5,0)</f>
        <v>Banks</v>
      </c>
      <c r="AB269" s="24" t="str">
        <f>VLOOKUP(A269,Metrik!$C$2:$Y$959,3,0)</f>
        <v>Financials</v>
      </c>
    </row>
    <row r="270">
      <c r="A270" s="17" t="s">
        <v>168</v>
      </c>
      <c r="B270" s="14" t="str">
        <f t="array" ref="B270">VLOOKUP(A270,{Metrik!$C$2:$C$998,Metrik!$B$2:$B$998},2,0)</f>
        <v>PT Bank Rakyat Indonesia (Persero) Tbk</v>
      </c>
      <c r="C270" s="15">
        <f>IFERROR(__xludf.DUMMYFUNCTION("GOOGLEFINANCE(""IDX:""&amp;A270,""price"")"),2850.0)</f>
        <v>2850</v>
      </c>
      <c r="D270" s="16" t="str">
        <f>IFERROR(__xludf.DUMMYFUNCTION("IF(A270="""","""",
SPARKLINE(
INDEX(
GOOGLEFINANCE(""IDX:""&amp;A270,""close"",TODAY()-365,TODAY()),
,2
),
{""linewidth"",1}
))
"),"#N/A")</f>
        <v>#N/A</v>
      </c>
      <c r="E270" s="14" t="s">
        <v>128</v>
      </c>
      <c r="F270" s="17" t="s">
        <v>36</v>
      </c>
      <c r="G270" s="24">
        <f t="shared" si="1"/>
        <v>23</v>
      </c>
      <c r="H270" s="19">
        <f>VLOOKUP(A270,Metrik!$C$2:$Y$959,8,0)</f>
        <v>7.7</v>
      </c>
      <c r="I270" s="20">
        <f>VLOOKUP(A270,Metrik!$C$2:$Y$959,9,0)</f>
        <v>1.3</v>
      </c>
      <c r="J270" s="20">
        <f>VLOOKUP(A270,Metrik!$C$2:$Y$959,10,0)</f>
        <v>17</v>
      </c>
      <c r="K270" s="20">
        <f>VLOOKUP(A270,Metrik!$C$2:$Y$959,11,0)</f>
        <v>2.6</v>
      </c>
      <c r="L270" s="20">
        <f>VLOOKUP(A270,Metrik!$C$2:$Y$959,12,0)</f>
        <v>5.5</v>
      </c>
      <c r="M270" s="20">
        <f>VLOOKUP(A270,Metrik!$C$2:$Y$959,19,0)</f>
        <v>96.8</v>
      </c>
      <c r="N270" s="29">
        <v>7.65</v>
      </c>
      <c r="O270" s="29">
        <v>24.19</v>
      </c>
      <c r="P270" s="29">
        <v>87.43</v>
      </c>
      <c r="Q270" s="29">
        <v>2.86</v>
      </c>
      <c r="R270" s="29">
        <v>68.08</v>
      </c>
      <c r="S270" s="29">
        <v>40.89</v>
      </c>
      <c r="T270" s="29">
        <v>10.24</v>
      </c>
      <c r="U270" s="22">
        <f>IFERROR(__xludf.DUMMYFUNCTION("IFERROR(GOOGLEFINANCE(A270,""closeyest""),"""")"),2850.0)</f>
        <v>2850</v>
      </c>
      <c r="V270" s="23">
        <f>IFERROR(__xludf.DUMMYFUNCTION("IFERROR(GOOGLEFINANCE(A270,""changepct""),"""")"),0.0)</f>
        <v>0</v>
      </c>
      <c r="W270" s="22">
        <f>IFERROR(__xludf.DUMMYFUNCTION("IFERROR(GOOGLEFINANCE(A270,""priceopen""),"""")"),2880.0)</f>
        <v>2880</v>
      </c>
      <c r="X270" s="22">
        <f>IFERROR(__xludf.DUMMYFUNCTION("IFERROR(GOOGLEFINANCE(A270,""high""),"""")"),2900.0)</f>
        <v>2900</v>
      </c>
      <c r="Y270" s="22">
        <f>IFERROR(__xludf.DUMMYFUNCTION("IFERROR(GOOGLEFINANCE(A270,""low""),"""")"),2830.0)</f>
        <v>2830</v>
      </c>
      <c r="Z270" s="22">
        <f>IFERROR(__xludf.DUMMYFUNCTION("IFERROR(GOOGLEFINANCE(A270,""volume""),"""")"),4.5053E8)</f>
        <v>450530000</v>
      </c>
      <c r="AA270" s="24" t="str">
        <f>VLOOKUP(A270,Metrik!$C$2:$Y$959,5,0)</f>
        <v>Banks</v>
      </c>
      <c r="AB270" s="24" t="str">
        <f>VLOOKUP(A270,Metrik!$C$2:$Y$959,3,0)</f>
        <v>Financials</v>
      </c>
    </row>
    <row r="271">
      <c r="A271" s="14" t="s">
        <v>168</v>
      </c>
      <c r="B271" s="14" t="str">
        <f t="array" ref="B271">VLOOKUP(A271,{Metrik!$C$2:$C$998,Metrik!$B$2:$B$998},2,0)</f>
        <v>PT Bank Rakyat Indonesia (Persero) Tbk</v>
      </c>
      <c r="C271" s="15">
        <f>IFERROR(__xludf.DUMMYFUNCTION("GOOGLEFINANCE(""IDX:""&amp;A271,""price"")"),2850.0)</f>
        <v>2850</v>
      </c>
      <c r="D271" s="16" t="str">
        <f>IFERROR(__xludf.DUMMYFUNCTION("IF(A271="""","""",
SPARKLINE(
INDEX(
GOOGLEFINANCE(""IDX:""&amp;A271,""close"",TODAY()-365,TODAY()),
,2
),
{""linewidth"",1}
))
"),"#N/A")</f>
        <v>#N/A</v>
      </c>
      <c r="E271" s="14" t="s">
        <v>54</v>
      </c>
      <c r="F271" s="14" t="s">
        <v>34</v>
      </c>
      <c r="G271" s="24">
        <f t="shared" si="1"/>
        <v>23</v>
      </c>
      <c r="H271" s="19">
        <f>VLOOKUP(A271,Metrik!$C$2:$Y$959,8,0)</f>
        <v>7.7</v>
      </c>
      <c r="I271" s="20">
        <f>VLOOKUP(A271,Metrik!$C$2:$Y$959,9,0)</f>
        <v>1.3</v>
      </c>
      <c r="J271" s="20">
        <f>VLOOKUP(A271,Metrik!$C$2:$Y$959,10,0)</f>
        <v>17</v>
      </c>
      <c r="K271" s="20">
        <f>VLOOKUP(A271,Metrik!$C$2:$Y$959,11,0)</f>
        <v>2.6</v>
      </c>
      <c r="L271" s="20">
        <f>VLOOKUP(A271,Metrik!$C$2:$Y$959,12,0)</f>
        <v>5.5</v>
      </c>
      <c r="M271" s="20">
        <f>VLOOKUP(A271,Metrik!$C$2:$Y$959,19,0)</f>
        <v>96.8</v>
      </c>
      <c r="N271" s="29">
        <v>7.65</v>
      </c>
      <c r="O271" s="29">
        <v>24.19</v>
      </c>
      <c r="P271" s="29">
        <v>87.43</v>
      </c>
      <c r="Q271" s="29">
        <v>2.86</v>
      </c>
      <c r="R271" s="29">
        <v>68.08</v>
      </c>
      <c r="S271" s="29">
        <v>40.89</v>
      </c>
      <c r="T271" s="29">
        <v>10.24</v>
      </c>
      <c r="U271" s="22">
        <f>IFERROR(__xludf.DUMMYFUNCTION("IFERROR(GOOGLEFINANCE(A271,""closeyest""),"""")"),2850.0)</f>
        <v>2850</v>
      </c>
      <c r="V271" s="23">
        <f>IFERROR(__xludf.DUMMYFUNCTION("IFERROR(GOOGLEFINANCE(A271,""changepct""),"""")"),0.0)</f>
        <v>0</v>
      </c>
      <c r="W271" s="22">
        <f>IFERROR(__xludf.DUMMYFUNCTION("IFERROR(GOOGLEFINANCE(A271,""priceopen""),"""")"),2880.0)</f>
        <v>2880</v>
      </c>
      <c r="X271" s="22">
        <f>IFERROR(__xludf.DUMMYFUNCTION("IFERROR(GOOGLEFINANCE(A271,""high""),"""")"),2900.0)</f>
        <v>2900</v>
      </c>
      <c r="Y271" s="22">
        <f>IFERROR(__xludf.DUMMYFUNCTION("IFERROR(GOOGLEFINANCE(A271,""low""),"""")"),2830.0)</f>
        <v>2830</v>
      </c>
      <c r="Z271" s="22">
        <f>IFERROR(__xludf.DUMMYFUNCTION("IFERROR(GOOGLEFINANCE(A271,""volume""),"""")"),4.5053E8)</f>
        <v>450530000</v>
      </c>
      <c r="AA271" s="24" t="str">
        <f>VLOOKUP(A271,Metrik!$C$2:$Y$959,5,0)</f>
        <v>Banks</v>
      </c>
      <c r="AB271" s="24" t="str">
        <f>VLOOKUP(A271,Metrik!$C$2:$Y$959,3,0)</f>
        <v>Financials</v>
      </c>
    </row>
    <row r="272">
      <c r="A272" s="14" t="s">
        <v>168</v>
      </c>
      <c r="B272" s="14" t="str">
        <f t="array" ref="B272">VLOOKUP(A272,{Metrik!$C$2:$C$998,Metrik!$B$2:$B$998},2,0)</f>
        <v>PT Bank Rakyat Indonesia (Persero) Tbk</v>
      </c>
      <c r="C272" s="15">
        <f>IFERROR(__xludf.DUMMYFUNCTION("GOOGLEFINANCE(""IDX:""&amp;A272,""price"")"),2850.0)</f>
        <v>2850</v>
      </c>
      <c r="D272" s="16" t="str">
        <f>IFERROR(__xludf.DUMMYFUNCTION("IF(A272="""","""",
SPARKLINE(
INDEX(
GOOGLEFINANCE(""IDX:""&amp;A272,""close"",TODAY()-365,TODAY()),
,2
),
{""linewidth"",1}
))
"),"#N/A")</f>
        <v>#N/A</v>
      </c>
      <c r="E272" s="14" t="s">
        <v>68</v>
      </c>
      <c r="F272" s="14" t="s">
        <v>34</v>
      </c>
      <c r="G272" s="24">
        <f t="shared" si="1"/>
        <v>23</v>
      </c>
      <c r="H272" s="19">
        <f>VLOOKUP(A272,Metrik!$C$2:$Y$959,8,0)</f>
        <v>7.7</v>
      </c>
      <c r="I272" s="20">
        <f>VLOOKUP(A272,Metrik!$C$2:$Y$959,9,0)</f>
        <v>1.3</v>
      </c>
      <c r="J272" s="20">
        <f>VLOOKUP(A272,Metrik!$C$2:$Y$959,10,0)</f>
        <v>17</v>
      </c>
      <c r="K272" s="20">
        <f>VLOOKUP(A272,Metrik!$C$2:$Y$959,11,0)</f>
        <v>2.6</v>
      </c>
      <c r="L272" s="20">
        <f>VLOOKUP(A272,Metrik!$C$2:$Y$959,12,0)</f>
        <v>5.5</v>
      </c>
      <c r="M272" s="20">
        <f>VLOOKUP(A272,Metrik!$C$2:$Y$959,19,0)</f>
        <v>96.8</v>
      </c>
      <c r="N272" s="29">
        <v>7.65</v>
      </c>
      <c r="O272" s="29">
        <v>24.19</v>
      </c>
      <c r="P272" s="29">
        <v>87.43</v>
      </c>
      <c r="Q272" s="29">
        <v>2.86</v>
      </c>
      <c r="R272" s="29">
        <v>68.08</v>
      </c>
      <c r="S272" s="29">
        <v>40.89</v>
      </c>
      <c r="T272" s="29">
        <v>10.24</v>
      </c>
      <c r="U272" s="22">
        <f>IFERROR(__xludf.DUMMYFUNCTION("IFERROR(GOOGLEFINANCE(A272,""closeyest""),"""")"),2850.0)</f>
        <v>2850</v>
      </c>
      <c r="V272" s="23">
        <f>IFERROR(__xludf.DUMMYFUNCTION("IFERROR(GOOGLEFINANCE(A272,""changepct""),"""")"),0.0)</f>
        <v>0</v>
      </c>
      <c r="W272" s="22">
        <f>IFERROR(__xludf.DUMMYFUNCTION("IFERROR(GOOGLEFINANCE(A272,""priceopen""),"""")"),2880.0)</f>
        <v>2880</v>
      </c>
      <c r="X272" s="22">
        <f>IFERROR(__xludf.DUMMYFUNCTION("IFERROR(GOOGLEFINANCE(A272,""high""),"""")"),2900.0)</f>
        <v>2900</v>
      </c>
      <c r="Y272" s="22">
        <f>IFERROR(__xludf.DUMMYFUNCTION("IFERROR(GOOGLEFINANCE(A272,""low""),"""")"),2830.0)</f>
        <v>2830</v>
      </c>
      <c r="Z272" s="22">
        <f>IFERROR(__xludf.DUMMYFUNCTION("IFERROR(GOOGLEFINANCE(A272,""volume""),"""")"),4.5053E8)</f>
        <v>450530000</v>
      </c>
      <c r="AA272" s="24" t="str">
        <f>VLOOKUP(A272,Metrik!$C$2:$Y$959,5,0)</f>
        <v>Banks</v>
      </c>
      <c r="AB272" s="24" t="str">
        <f>VLOOKUP(A272,Metrik!$C$2:$Y$959,3,0)</f>
        <v>Financials</v>
      </c>
    </row>
    <row r="273">
      <c r="A273" s="14" t="s">
        <v>168</v>
      </c>
      <c r="B273" s="14" t="str">
        <f t="array" ref="B273">VLOOKUP(A273,{Metrik!$C$2:$C$998,Metrik!$B$2:$B$998},2,0)</f>
        <v>PT Bank Rakyat Indonesia (Persero) Tbk</v>
      </c>
      <c r="C273" s="15">
        <f>IFERROR(__xludf.DUMMYFUNCTION("GOOGLEFINANCE(""IDX:""&amp;A273,""price"")"),2850.0)</f>
        <v>2850</v>
      </c>
      <c r="D273" s="16" t="str">
        <f>IFERROR(__xludf.DUMMYFUNCTION("IF(A273="""","""",
SPARKLINE(
INDEX(
GOOGLEFINANCE(""IDX:""&amp;A273,""close"",TODAY()-365,TODAY()),
,2
),
{""linewidth"",1}
))
"),"#N/A")</f>
        <v>#N/A</v>
      </c>
      <c r="E273" s="14" t="s">
        <v>102</v>
      </c>
      <c r="F273" s="27" t="s">
        <v>53</v>
      </c>
      <c r="G273" s="24">
        <f t="shared" si="1"/>
        <v>23</v>
      </c>
      <c r="H273" s="19">
        <f>VLOOKUP(A273,Metrik!$C$2:$Y$959,8,0)</f>
        <v>7.7</v>
      </c>
      <c r="I273" s="20">
        <f>VLOOKUP(A273,Metrik!$C$2:$Y$959,9,0)</f>
        <v>1.3</v>
      </c>
      <c r="J273" s="20">
        <f>VLOOKUP(A273,Metrik!$C$2:$Y$959,10,0)</f>
        <v>17</v>
      </c>
      <c r="K273" s="20">
        <f>VLOOKUP(A273,Metrik!$C$2:$Y$959,11,0)</f>
        <v>2.6</v>
      </c>
      <c r="L273" s="20">
        <f>VLOOKUP(A273,Metrik!$C$2:$Y$959,12,0)</f>
        <v>5.5</v>
      </c>
      <c r="M273" s="20">
        <f>VLOOKUP(A273,Metrik!$C$2:$Y$959,19,0)</f>
        <v>96.8</v>
      </c>
      <c r="N273" s="29">
        <v>7.65</v>
      </c>
      <c r="O273" s="29">
        <v>24.19</v>
      </c>
      <c r="P273" s="29">
        <v>87.43</v>
      </c>
      <c r="Q273" s="29">
        <v>2.86</v>
      </c>
      <c r="R273" s="29">
        <v>68.08</v>
      </c>
      <c r="S273" s="29">
        <v>40.89</v>
      </c>
      <c r="T273" s="29">
        <v>10.24</v>
      </c>
      <c r="U273" s="22">
        <f>IFERROR(__xludf.DUMMYFUNCTION("IFERROR(GOOGLEFINANCE(A273,""closeyest""),"""")"),2850.0)</f>
        <v>2850</v>
      </c>
      <c r="V273" s="23">
        <f>IFERROR(__xludf.DUMMYFUNCTION("IFERROR(GOOGLEFINANCE(A273,""changepct""),"""")"),0.0)</f>
        <v>0</v>
      </c>
      <c r="W273" s="22">
        <f>IFERROR(__xludf.DUMMYFUNCTION("IFERROR(GOOGLEFINANCE(A273,""priceopen""),"""")"),2880.0)</f>
        <v>2880</v>
      </c>
      <c r="X273" s="22">
        <f>IFERROR(__xludf.DUMMYFUNCTION("IFERROR(GOOGLEFINANCE(A273,""high""),"""")"),2900.0)</f>
        <v>2900</v>
      </c>
      <c r="Y273" s="22">
        <f>IFERROR(__xludf.DUMMYFUNCTION("IFERROR(GOOGLEFINANCE(A273,""low""),"""")"),2830.0)</f>
        <v>2830</v>
      </c>
      <c r="Z273" s="22">
        <f>IFERROR(__xludf.DUMMYFUNCTION("IFERROR(GOOGLEFINANCE(A273,""volume""),"""")"),4.5053E8)</f>
        <v>450530000</v>
      </c>
      <c r="AA273" s="24" t="str">
        <f>VLOOKUP(A273,Metrik!$C$2:$Y$959,5,0)</f>
        <v>Banks</v>
      </c>
      <c r="AB273" s="24" t="str">
        <f>VLOOKUP(A273,Metrik!$C$2:$Y$959,3,0)</f>
        <v>Financials</v>
      </c>
    </row>
    <row r="274">
      <c r="A274" s="14" t="s">
        <v>168</v>
      </c>
      <c r="B274" s="14" t="str">
        <f t="array" ref="B274">VLOOKUP(A274,{Metrik!$C$2:$C$998,Metrik!$B$2:$B$998},2,0)</f>
        <v>PT Bank Rakyat Indonesia (Persero) Tbk</v>
      </c>
      <c r="C274" s="15">
        <f>IFERROR(__xludf.DUMMYFUNCTION("GOOGLEFINANCE(""IDX:""&amp;A274,""price"")"),2850.0)</f>
        <v>2850</v>
      </c>
      <c r="D274" s="16" t="str">
        <f>IFERROR(__xludf.DUMMYFUNCTION("IF(A274="""","""",
SPARKLINE(
INDEX(
GOOGLEFINANCE(""IDX:""&amp;A274,""close"",TODAY()-365,TODAY()),
,2
),
{""linewidth"",1}
))
"),"#N/A")</f>
        <v>#N/A</v>
      </c>
      <c r="E274" s="14" t="s">
        <v>75</v>
      </c>
      <c r="F274" s="14" t="s">
        <v>76</v>
      </c>
      <c r="G274" s="24">
        <f t="shared" si="1"/>
        <v>23</v>
      </c>
      <c r="H274" s="19">
        <f>VLOOKUP(A274,Metrik!$C$2:$Y$959,8,0)</f>
        <v>7.7</v>
      </c>
      <c r="I274" s="20">
        <f>VLOOKUP(A274,Metrik!$C$2:$Y$959,9,0)</f>
        <v>1.3</v>
      </c>
      <c r="J274" s="20">
        <f>VLOOKUP(A274,Metrik!$C$2:$Y$959,10,0)</f>
        <v>17</v>
      </c>
      <c r="K274" s="20">
        <f>VLOOKUP(A274,Metrik!$C$2:$Y$959,11,0)</f>
        <v>2.6</v>
      </c>
      <c r="L274" s="20">
        <f>VLOOKUP(A274,Metrik!$C$2:$Y$959,12,0)</f>
        <v>5.5</v>
      </c>
      <c r="M274" s="20">
        <f>VLOOKUP(A274,Metrik!$C$2:$Y$959,19,0)</f>
        <v>96.8</v>
      </c>
      <c r="N274" s="29">
        <v>7.65</v>
      </c>
      <c r="O274" s="29">
        <v>24.19</v>
      </c>
      <c r="P274" s="29">
        <v>87.43</v>
      </c>
      <c r="Q274" s="29">
        <v>2.86</v>
      </c>
      <c r="R274" s="29">
        <v>68.08</v>
      </c>
      <c r="S274" s="29">
        <v>40.89</v>
      </c>
      <c r="T274" s="29">
        <v>10.24</v>
      </c>
      <c r="U274" s="22">
        <f>IFERROR(__xludf.DUMMYFUNCTION("IFERROR(GOOGLEFINANCE(A274,""closeyest""),"""")"),2850.0)</f>
        <v>2850</v>
      </c>
      <c r="V274" s="23">
        <f>IFERROR(__xludf.DUMMYFUNCTION("IFERROR(GOOGLEFINANCE(A274,""changepct""),"""")"),0.0)</f>
        <v>0</v>
      </c>
      <c r="W274" s="22">
        <f>IFERROR(__xludf.DUMMYFUNCTION("IFERROR(GOOGLEFINANCE(A274,""priceopen""),"""")"),2880.0)</f>
        <v>2880</v>
      </c>
      <c r="X274" s="22">
        <f>IFERROR(__xludf.DUMMYFUNCTION("IFERROR(GOOGLEFINANCE(A274,""high""),"""")"),2900.0)</f>
        <v>2900</v>
      </c>
      <c r="Y274" s="22">
        <f>IFERROR(__xludf.DUMMYFUNCTION("IFERROR(GOOGLEFINANCE(A274,""low""),"""")"),2830.0)</f>
        <v>2830</v>
      </c>
      <c r="Z274" s="22">
        <f>IFERROR(__xludf.DUMMYFUNCTION("IFERROR(GOOGLEFINANCE(A274,""volume""),"""")"),4.5053E8)</f>
        <v>450530000</v>
      </c>
      <c r="AA274" s="24" t="str">
        <f>VLOOKUP(A274,Metrik!$C$2:$Y$959,5,0)</f>
        <v>Banks</v>
      </c>
      <c r="AB274" s="24" t="str">
        <f>VLOOKUP(A274,Metrik!$C$2:$Y$959,3,0)</f>
        <v>Financials</v>
      </c>
    </row>
    <row r="275">
      <c r="A275" s="14" t="s">
        <v>168</v>
      </c>
      <c r="B275" s="14" t="str">
        <f t="array" ref="B275">VLOOKUP(A275,{Metrik!$C$2:$C$998,Metrik!$B$2:$B$998},2,0)</f>
        <v>PT Bank Rakyat Indonesia (Persero) Tbk</v>
      </c>
      <c r="C275" s="15">
        <f>IFERROR(__xludf.DUMMYFUNCTION("GOOGLEFINANCE(""IDX:""&amp;A275,""price"")"),2850.0)</f>
        <v>2850</v>
      </c>
      <c r="D275" s="16" t="str">
        <f>IFERROR(__xludf.DUMMYFUNCTION("IF(A275="""","""",
SPARKLINE(
INDEX(
GOOGLEFINANCE(""IDX:""&amp;A275,""close"",TODAY()-365,TODAY()),
,2
),
{""linewidth"",1}
))
"),"#N/A")</f>
        <v>#N/A</v>
      </c>
      <c r="E275" s="14" t="s">
        <v>28</v>
      </c>
      <c r="F275" s="17" t="s">
        <v>29</v>
      </c>
      <c r="G275" s="24">
        <f t="shared" si="1"/>
        <v>23</v>
      </c>
      <c r="H275" s="19">
        <f>VLOOKUP(A275,Metrik!$C$2:$Y$959,8,0)</f>
        <v>7.7</v>
      </c>
      <c r="I275" s="20">
        <f>VLOOKUP(A275,Metrik!$C$2:$Y$959,9,0)</f>
        <v>1.3</v>
      </c>
      <c r="J275" s="20">
        <f>VLOOKUP(A275,Metrik!$C$2:$Y$959,10,0)</f>
        <v>17</v>
      </c>
      <c r="K275" s="20">
        <f>VLOOKUP(A275,Metrik!$C$2:$Y$959,11,0)</f>
        <v>2.6</v>
      </c>
      <c r="L275" s="20">
        <f>VLOOKUP(A275,Metrik!$C$2:$Y$959,12,0)</f>
        <v>5.5</v>
      </c>
      <c r="M275" s="20">
        <f>VLOOKUP(A275,Metrik!$C$2:$Y$959,19,0)</f>
        <v>96.8</v>
      </c>
      <c r="N275" s="29">
        <v>7.65</v>
      </c>
      <c r="O275" s="29">
        <v>24.19</v>
      </c>
      <c r="P275" s="29">
        <v>87.43</v>
      </c>
      <c r="Q275" s="29">
        <v>2.86</v>
      </c>
      <c r="R275" s="29">
        <v>68.08</v>
      </c>
      <c r="S275" s="29">
        <v>40.89</v>
      </c>
      <c r="T275" s="29">
        <v>10.24</v>
      </c>
      <c r="U275" s="22">
        <f>IFERROR(__xludf.DUMMYFUNCTION("IFERROR(GOOGLEFINANCE(A275,""closeyest""),"""")"),2850.0)</f>
        <v>2850</v>
      </c>
      <c r="V275" s="23">
        <f>IFERROR(__xludf.DUMMYFUNCTION("IFERROR(GOOGLEFINANCE(A275,""changepct""),"""")"),0.0)</f>
        <v>0</v>
      </c>
      <c r="W275" s="22">
        <f>IFERROR(__xludf.DUMMYFUNCTION("IFERROR(GOOGLEFINANCE(A275,""priceopen""),"""")"),2880.0)</f>
        <v>2880</v>
      </c>
      <c r="X275" s="22">
        <f>IFERROR(__xludf.DUMMYFUNCTION("IFERROR(GOOGLEFINANCE(A275,""high""),"""")"),2900.0)</f>
        <v>2900</v>
      </c>
      <c r="Y275" s="22">
        <f>IFERROR(__xludf.DUMMYFUNCTION("IFERROR(GOOGLEFINANCE(A275,""low""),"""")"),2830.0)</f>
        <v>2830</v>
      </c>
      <c r="Z275" s="22">
        <f>IFERROR(__xludf.DUMMYFUNCTION("IFERROR(GOOGLEFINANCE(A275,""volume""),"""")"),4.5053E8)</f>
        <v>450530000</v>
      </c>
      <c r="AA275" s="24" t="str">
        <f>VLOOKUP(A275,Metrik!$C$2:$Y$959,5,0)</f>
        <v>Banks</v>
      </c>
      <c r="AB275" s="24" t="str">
        <f>VLOOKUP(A275,Metrik!$C$2:$Y$959,3,0)</f>
        <v>Financials</v>
      </c>
    </row>
    <row r="276">
      <c r="A276" s="14" t="s">
        <v>168</v>
      </c>
      <c r="B276" s="14" t="str">
        <f t="array" ref="B276">VLOOKUP(A276,{Metrik!$C$2:$C$998,Metrik!$B$2:$B$998},2,0)</f>
        <v>PT Bank Rakyat Indonesia (Persero) Tbk</v>
      </c>
      <c r="C276" s="15">
        <f>IFERROR(__xludf.DUMMYFUNCTION("GOOGLEFINANCE(""IDX:""&amp;A276,""price"")"),2850.0)</f>
        <v>2850</v>
      </c>
      <c r="D276" s="16" t="str">
        <f>IFERROR(__xludf.DUMMYFUNCTION("IF(A276="""","""",
SPARKLINE(
INDEX(
GOOGLEFINANCE(""IDX:""&amp;A276,""close"",TODAY()-365,TODAY()),
,2
),
{""linewidth"",1}
))
"),"#N/A")</f>
        <v>#N/A</v>
      </c>
      <c r="E276" s="14" t="s">
        <v>30</v>
      </c>
      <c r="F276" s="17" t="s">
        <v>29</v>
      </c>
      <c r="G276" s="24">
        <f t="shared" si="1"/>
        <v>23</v>
      </c>
      <c r="H276" s="19">
        <f>VLOOKUP(A276,Metrik!$C$2:$Y$959,8,0)</f>
        <v>7.7</v>
      </c>
      <c r="I276" s="20">
        <f>VLOOKUP(A276,Metrik!$C$2:$Y$959,9,0)</f>
        <v>1.3</v>
      </c>
      <c r="J276" s="20">
        <f>VLOOKUP(A276,Metrik!$C$2:$Y$959,10,0)</f>
        <v>17</v>
      </c>
      <c r="K276" s="20">
        <f>VLOOKUP(A276,Metrik!$C$2:$Y$959,11,0)</f>
        <v>2.6</v>
      </c>
      <c r="L276" s="20">
        <f>VLOOKUP(A276,Metrik!$C$2:$Y$959,12,0)</f>
        <v>5.5</v>
      </c>
      <c r="M276" s="20">
        <f>VLOOKUP(A276,Metrik!$C$2:$Y$959,19,0)</f>
        <v>96.8</v>
      </c>
      <c r="N276" s="29">
        <v>7.65</v>
      </c>
      <c r="O276" s="29">
        <v>24.19</v>
      </c>
      <c r="P276" s="29">
        <v>87.43</v>
      </c>
      <c r="Q276" s="29">
        <v>2.86</v>
      </c>
      <c r="R276" s="29">
        <v>68.08</v>
      </c>
      <c r="S276" s="29">
        <v>40.89</v>
      </c>
      <c r="T276" s="29">
        <v>10.24</v>
      </c>
      <c r="U276" s="22">
        <f>IFERROR(__xludf.DUMMYFUNCTION("IFERROR(GOOGLEFINANCE(A276,""closeyest""),"""")"),2850.0)</f>
        <v>2850</v>
      </c>
      <c r="V276" s="23">
        <f>IFERROR(__xludf.DUMMYFUNCTION("IFERROR(GOOGLEFINANCE(A276,""changepct""),"""")"),0.0)</f>
        <v>0</v>
      </c>
      <c r="W276" s="22">
        <f>IFERROR(__xludf.DUMMYFUNCTION("IFERROR(GOOGLEFINANCE(A276,""priceopen""),"""")"),2880.0)</f>
        <v>2880</v>
      </c>
      <c r="X276" s="22">
        <f>IFERROR(__xludf.DUMMYFUNCTION("IFERROR(GOOGLEFINANCE(A276,""high""),"""")"),2900.0)</f>
        <v>2900</v>
      </c>
      <c r="Y276" s="22">
        <f>IFERROR(__xludf.DUMMYFUNCTION("IFERROR(GOOGLEFINANCE(A276,""low""),"""")"),2830.0)</f>
        <v>2830</v>
      </c>
      <c r="Z276" s="22">
        <f>IFERROR(__xludf.DUMMYFUNCTION("IFERROR(GOOGLEFINANCE(A276,""volume""),"""")"),4.5053E8)</f>
        <v>450530000</v>
      </c>
      <c r="AA276" s="24" t="str">
        <f>VLOOKUP(A276,Metrik!$C$2:$Y$959,5,0)</f>
        <v>Banks</v>
      </c>
      <c r="AB276" s="24" t="str">
        <f>VLOOKUP(A276,Metrik!$C$2:$Y$959,3,0)</f>
        <v>Financials</v>
      </c>
    </row>
    <row r="277">
      <c r="A277" s="14" t="s">
        <v>168</v>
      </c>
      <c r="B277" s="14" t="str">
        <f t="array" ref="B277">VLOOKUP(A277,{Metrik!$C$2:$C$998,Metrik!$B$2:$B$998},2,0)</f>
        <v>PT Bank Rakyat Indonesia (Persero) Tbk</v>
      </c>
      <c r="C277" s="15">
        <f>IFERROR(__xludf.DUMMYFUNCTION("GOOGLEFINANCE(""IDX:""&amp;A277,""price"")"),2850.0)</f>
        <v>2850</v>
      </c>
      <c r="D277" s="16" t="str">
        <f>IFERROR(__xludf.DUMMYFUNCTION("IF(A277="""","""",
SPARKLINE(
INDEX(
GOOGLEFINANCE(""IDX:""&amp;A277,""close"",TODAY()-365,TODAY()),
,2
),
{""linewidth"",1}
))
"),"#N/A")</f>
        <v>#N/A</v>
      </c>
      <c r="E277" s="14" t="s">
        <v>52</v>
      </c>
      <c r="F277" s="27" t="s">
        <v>53</v>
      </c>
      <c r="G277" s="24">
        <f t="shared" si="1"/>
        <v>23</v>
      </c>
      <c r="H277" s="19">
        <f>VLOOKUP(A277,Metrik!$C$2:$Y$959,8,0)</f>
        <v>7.7</v>
      </c>
      <c r="I277" s="20">
        <f>VLOOKUP(A277,Metrik!$C$2:$Y$959,9,0)</f>
        <v>1.3</v>
      </c>
      <c r="J277" s="20">
        <f>VLOOKUP(A277,Metrik!$C$2:$Y$959,10,0)</f>
        <v>17</v>
      </c>
      <c r="K277" s="20">
        <f>VLOOKUP(A277,Metrik!$C$2:$Y$959,11,0)</f>
        <v>2.6</v>
      </c>
      <c r="L277" s="20">
        <f>VLOOKUP(A277,Metrik!$C$2:$Y$959,12,0)</f>
        <v>5.5</v>
      </c>
      <c r="M277" s="20">
        <f>VLOOKUP(A277,Metrik!$C$2:$Y$959,19,0)</f>
        <v>96.8</v>
      </c>
      <c r="N277" s="29">
        <v>7.65</v>
      </c>
      <c r="O277" s="29">
        <v>24.19</v>
      </c>
      <c r="P277" s="29">
        <v>87.43</v>
      </c>
      <c r="Q277" s="29">
        <v>2.86</v>
      </c>
      <c r="R277" s="29">
        <v>68.08</v>
      </c>
      <c r="S277" s="29">
        <v>40.89</v>
      </c>
      <c r="T277" s="29">
        <v>10.24</v>
      </c>
      <c r="U277" s="22">
        <f>IFERROR(__xludf.DUMMYFUNCTION("IFERROR(GOOGLEFINANCE(A277,""closeyest""),"""")"),2850.0)</f>
        <v>2850</v>
      </c>
      <c r="V277" s="23">
        <f>IFERROR(__xludf.DUMMYFUNCTION("IFERROR(GOOGLEFINANCE(A277,""changepct""),"""")"),0.0)</f>
        <v>0</v>
      </c>
      <c r="W277" s="22">
        <f>IFERROR(__xludf.DUMMYFUNCTION("IFERROR(GOOGLEFINANCE(A277,""priceopen""),"""")"),2880.0)</f>
        <v>2880</v>
      </c>
      <c r="X277" s="22">
        <f>IFERROR(__xludf.DUMMYFUNCTION("IFERROR(GOOGLEFINANCE(A277,""high""),"""")"),2900.0)</f>
        <v>2900</v>
      </c>
      <c r="Y277" s="22">
        <f>IFERROR(__xludf.DUMMYFUNCTION("IFERROR(GOOGLEFINANCE(A277,""low""),"""")"),2830.0)</f>
        <v>2830</v>
      </c>
      <c r="Z277" s="22">
        <f>IFERROR(__xludf.DUMMYFUNCTION("IFERROR(GOOGLEFINANCE(A277,""volume""),"""")"),4.5053E8)</f>
        <v>450530000</v>
      </c>
      <c r="AA277" s="24" t="str">
        <f>VLOOKUP(A277,Metrik!$C$2:$Y$959,5,0)</f>
        <v>Banks</v>
      </c>
      <c r="AB277" s="24" t="str">
        <f>VLOOKUP(A277,Metrik!$C$2:$Y$959,3,0)</f>
        <v>Financials</v>
      </c>
    </row>
    <row r="278">
      <c r="A278" s="14" t="s">
        <v>168</v>
      </c>
      <c r="B278" s="14" t="str">
        <f t="array" ref="B278">VLOOKUP(A278,{Metrik!$C$2:$C$998,Metrik!$B$2:$B$998},2,0)</f>
        <v>PT Bank Rakyat Indonesia (Persero) Tbk</v>
      </c>
      <c r="C278" s="15">
        <f>IFERROR(__xludf.DUMMYFUNCTION("GOOGLEFINANCE(""IDX:""&amp;A278,""price"")"),2850.0)</f>
        <v>2850</v>
      </c>
      <c r="D278" s="16" t="str">
        <f>IFERROR(__xludf.DUMMYFUNCTION("IF(A278="""","""",
SPARKLINE(
INDEX(
GOOGLEFINANCE(""IDX:""&amp;A278,""close"",TODAY()-365,TODAY()),
,2
),
{""linewidth"",1}
))
"),"#N/A")</f>
        <v>#N/A</v>
      </c>
      <c r="E278" s="14" t="s">
        <v>50</v>
      </c>
      <c r="F278" s="17" t="s">
        <v>51</v>
      </c>
      <c r="G278" s="24">
        <f t="shared" si="1"/>
        <v>23</v>
      </c>
      <c r="H278" s="19">
        <f>VLOOKUP(A278,Metrik!$C$2:$Y$959,8,0)</f>
        <v>7.7</v>
      </c>
      <c r="I278" s="20">
        <f>VLOOKUP(A278,Metrik!$C$2:$Y$959,9,0)</f>
        <v>1.3</v>
      </c>
      <c r="J278" s="20">
        <f>VLOOKUP(A278,Metrik!$C$2:$Y$959,10,0)</f>
        <v>17</v>
      </c>
      <c r="K278" s="20">
        <f>VLOOKUP(A278,Metrik!$C$2:$Y$959,11,0)</f>
        <v>2.6</v>
      </c>
      <c r="L278" s="20">
        <f>VLOOKUP(A278,Metrik!$C$2:$Y$959,12,0)</f>
        <v>5.5</v>
      </c>
      <c r="M278" s="20">
        <f>VLOOKUP(A278,Metrik!$C$2:$Y$959,19,0)</f>
        <v>96.8</v>
      </c>
      <c r="N278" s="29">
        <v>7.65</v>
      </c>
      <c r="O278" s="29">
        <v>24.19</v>
      </c>
      <c r="P278" s="29">
        <v>87.43</v>
      </c>
      <c r="Q278" s="29">
        <v>2.86</v>
      </c>
      <c r="R278" s="29">
        <v>68.08</v>
      </c>
      <c r="S278" s="29">
        <v>40.89</v>
      </c>
      <c r="T278" s="29">
        <v>10.24</v>
      </c>
      <c r="U278" s="22">
        <f>IFERROR(__xludf.DUMMYFUNCTION("IFERROR(GOOGLEFINANCE(A278,""closeyest""),"""")"),2850.0)</f>
        <v>2850</v>
      </c>
      <c r="V278" s="23">
        <f>IFERROR(__xludf.DUMMYFUNCTION("IFERROR(GOOGLEFINANCE(A278,""changepct""),"""")"),0.0)</f>
        <v>0</v>
      </c>
      <c r="W278" s="22">
        <f>IFERROR(__xludf.DUMMYFUNCTION("IFERROR(GOOGLEFINANCE(A278,""priceopen""),"""")"),2880.0)</f>
        <v>2880</v>
      </c>
      <c r="X278" s="22">
        <f>IFERROR(__xludf.DUMMYFUNCTION("IFERROR(GOOGLEFINANCE(A278,""high""),"""")"),2900.0)</f>
        <v>2900</v>
      </c>
      <c r="Y278" s="22">
        <f>IFERROR(__xludf.DUMMYFUNCTION("IFERROR(GOOGLEFINANCE(A278,""low""),"""")"),2830.0)</f>
        <v>2830</v>
      </c>
      <c r="Z278" s="22">
        <f>IFERROR(__xludf.DUMMYFUNCTION("IFERROR(GOOGLEFINANCE(A278,""volume""),"""")"),4.5053E8)</f>
        <v>450530000</v>
      </c>
      <c r="AA278" s="24" t="str">
        <f>VLOOKUP(A278,Metrik!$C$2:$Y$959,5,0)</f>
        <v>Banks</v>
      </c>
      <c r="AB278" s="24" t="str">
        <f>VLOOKUP(A278,Metrik!$C$2:$Y$959,3,0)</f>
        <v>Financials</v>
      </c>
    </row>
    <row r="279">
      <c r="A279" s="14" t="s">
        <v>168</v>
      </c>
      <c r="B279" s="14" t="str">
        <f t="array" ref="B279">VLOOKUP(A279,{Metrik!$C$2:$C$998,Metrik!$B$2:$B$998},2,0)</f>
        <v>PT Bank Rakyat Indonesia (Persero) Tbk</v>
      </c>
      <c r="C279" s="15">
        <f>IFERROR(__xludf.DUMMYFUNCTION("GOOGLEFINANCE(""IDX:""&amp;A279,""price"")"),2850.0)</f>
        <v>2850</v>
      </c>
      <c r="D279" s="16" t="str">
        <f>IFERROR(__xludf.DUMMYFUNCTION("IF(A279="""","""",
SPARKLINE(
INDEX(
GOOGLEFINANCE(""IDX:""&amp;A279,""close"",TODAY()-365,TODAY()),
,2
),
{""linewidth"",1}
))
"),"#N/A")</f>
        <v>#N/A</v>
      </c>
      <c r="E279" s="14" t="s">
        <v>48</v>
      </c>
      <c r="F279" s="14" t="s">
        <v>49</v>
      </c>
      <c r="G279" s="24">
        <f t="shared" si="1"/>
        <v>23</v>
      </c>
      <c r="H279" s="19">
        <f>VLOOKUP(A279,Metrik!$C$2:$Y$959,8,0)</f>
        <v>7.7</v>
      </c>
      <c r="I279" s="20">
        <f>VLOOKUP(A279,Metrik!$C$2:$Y$959,9,0)</f>
        <v>1.3</v>
      </c>
      <c r="J279" s="20">
        <f>VLOOKUP(A279,Metrik!$C$2:$Y$959,10,0)</f>
        <v>17</v>
      </c>
      <c r="K279" s="20">
        <f>VLOOKUP(A279,Metrik!$C$2:$Y$959,11,0)</f>
        <v>2.6</v>
      </c>
      <c r="L279" s="20">
        <f>VLOOKUP(A279,Metrik!$C$2:$Y$959,12,0)</f>
        <v>5.5</v>
      </c>
      <c r="M279" s="20">
        <f>VLOOKUP(A279,Metrik!$C$2:$Y$959,19,0)</f>
        <v>96.8</v>
      </c>
      <c r="N279" s="29">
        <v>7.65</v>
      </c>
      <c r="O279" s="29">
        <v>24.19</v>
      </c>
      <c r="P279" s="29">
        <v>87.43</v>
      </c>
      <c r="Q279" s="29">
        <v>2.86</v>
      </c>
      <c r="R279" s="29">
        <v>68.08</v>
      </c>
      <c r="S279" s="29">
        <v>40.89</v>
      </c>
      <c r="T279" s="29">
        <v>10.24</v>
      </c>
      <c r="U279" s="22">
        <f>IFERROR(__xludf.DUMMYFUNCTION("IFERROR(GOOGLEFINANCE(A279,""closeyest""),"""")"),2850.0)</f>
        <v>2850</v>
      </c>
      <c r="V279" s="23">
        <f>IFERROR(__xludf.DUMMYFUNCTION("IFERROR(GOOGLEFINANCE(A279,""changepct""),"""")"),0.0)</f>
        <v>0</v>
      </c>
      <c r="W279" s="22">
        <f>IFERROR(__xludf.DUMMYFUNCTION("IFERROR(GOOGLEFINANCE(A279,""priceopen""),"""")"),2880.0)</f>
        <v>2880</v>
      </c>
      <c r="X279" s="22">
        <f>IFERROR(__xludf.DUMMYFUNCTION("IFERROR(GOOGLEFINANCE(A279,""high""),"""")"),2900.0)</f>
        <v>2900</v>
      </c>
      <c r="Y279" s="22">
        <f>IFERROR(__xludf.DUMMYFUNCTION("IFERROR(GOOGLEFINANCE(A279,""low""),"""")"),2830.0)</f>
        <v>2830</v>
      </c>
      <c r="Z279" s="22">
        <f>IFERROR(__xludf.DUMMYFUNCTION("IFERROR(GOOGLEFINANCE(A279,""volume""),"""")"),4.5053E8)</f>
        <v>450530000</v>
      </c>
      <c r="AA279" s="24" t="str">
        <f>VLOOKUP(A279,Metrik!$C$2:$Y$959,5,0)</f>
        <v>Banks</v>
      </c>
      <c r="AB279" s="24" t="str">
        <f>VLOOKUP(A279,Metrik!$C$2:$Y$959,3,0)</f>
        <v>Financials</v>
      </c>
    </row>
    <row r="280">
      <c r="A280" s="14" t="s">
        <v>168</v>
      </c>
      <c r="B280" s="14" t="str">
        <f t="array" ref="B280">VLOOKUP(A280,{Metrik!$C$2:$C$998,Metrik!$B$2:$B$998},2,0)</f>
        <v>PT Bank Rakyat Indonesia (Persero) Tbk</v>
      </c>
      <c r="C280" s="15">
        <f>IFERROR(__xludf.DUMMYFUNCTION("GOOGLEFINANCE(""IDX:""&amp;A280,""price"")"),2850.0)</f>
        <v>2850</v>
      </c>
      <c r="D280" s="16" t="str">
        <f>IFERROR(__xludf.DUMMYFUNCTION("IF(A280="""","""",
SPARKLINE(
INDEX(
GOOGLEFINANCE(""IDX:""&amp;A280,""close"",TODAY()-365,TODAY()),
,2
),
{""linewidth"",1}
))
"),"#N/A")</f>
        <v>#N/A</v>
      </c>
      <c r="E280" s="14" t="s">
        <v>32</v>
      </c>
      <c r="F280" s="14" t="s">
        <v>29</v>
      </c>
      <c r="G280" s="24">
        <f t="shared" si="1"/>
        <v>23</v>
      </c>
      <c r="H280" s="19">
        <f>VLOOKUP(A280,Metrik!$C$2:$Y$959,8,0)</f>
        <v>7.7</v>
      </c>
      <c r="I280" s="20">
        <f>VLOOKUP(A280,Metrik!$C$2:$Y$959,9,0)</f>
        <v>1.3</v>
      </c>
      <c r="J280" s="20">
        <f>VLOOKUP(A280,Metrik!$C$2:$Y$959,10,0)</f>
        <v>17</v>
      </c>
      <c r="K280" s="20">
        <f>VLOOKUP(A280,Metrik!$C$2:$Y$959,11,0)</f>
        <v>2.6</v>
      </c>
      <c r="L280" s="20">
        <f>VLOOKUP(A280,Metrik!$C$2:$Y$959,12,0)</f>
        <v>5.5</v>
      </c>
      <c r="M280" s="20">
        <f>VLOOKUP(A280,Metrik!$C$2:$Y$959,19,0)</f>
        <v>96.8</v>
      </c>
      <c r="N280" s="29">
        <v>7.65</v>
      </c>
      <c r="O280" s="29">
        <v>24.19</v>
      </c>
      <c r="P280" s="29">
        <v>87.43</v>
      </c>
      <c r="Q280" s="29">
        <v>2.86</v>
      </c>
      <c r="R280" s="29">
        <v>68.08</v>
      </c>
      <c r="S280" s="29">
        <v>40.89</v>
      </c>
      <c r="T280" s="29">
        <v>10.24</v>
      </c>
      <c r="U280" s="22">
        <f>IFERROR(__xludf.DUMMYFUNCTION("IFERROR(GOOGLEFINANCE(A280,""closeyest""),"""")"),2850.0)</f>
        <v>2850</v>
      </c>
      <c r="V280" s="23">
        <f>IFERROR(__xludf.DUMMYFUNCTION("IFERROR(GOOGLEFINANCE(A280,""changepct""),"""")"),0.0)</f>
        <v>0</v>
      </c>
      <c r="W280" s="22">
        <f>IFERROR(__xludf.DUMMYFUNCTION("IFERROR(GOOGLEFINANCE(A280,""priceopen""),"""")"),2880.0)</f>
        <v>2880</v>
      </c>
      <c r="X280" s="22">
        <f>IFERROR(__xludf.DUMMYFUNCTION("IFERROR(GOOGLEFINANCE(A280,""high""),"""")"),2900.0)</f>
        <v>2900</v>
      </c>
      <c r="Y280" s="22">
        <f>IFERROR(__xludf.DUMMYFUNCTION("IFERROR(GOOGLEFINANCE(A280,""low""),"""")"),2830.0)</f>
        <v>2830</v>
      </c>
      <c r="Z280" s="22">
        <f>IFERROR(__xludf.DUMMYFUNCTION("IFERROR(GOOGLEFINANCE(A280,""volume""),"""")"),4.5053E8)</f>
        <v>450530000</v>
      </c>
      <c r="AA280" s="24" t="str">
        <f>VLOOKUP(A280,Metrik!$C$2:$Y$959,5,0)</f>
        <v>Banks</v>
      </c>
      <c r="AB280" s="24" t="str">
        <f>VLOOKUP(A280,Metrik!$C$2:$Y$959,3,0)</f>
        <v>Financials</v>
      </c>
    </row>
    <row r="281">
      <c r="A281" s="14" t="s">
        <v>168</v>
      </c>
      <c r="B281" s="14" t="str">
        <f t="array" ref="B281">VLOOKUP(A281,{Metrik!$C$2:$C$998,Metrik!$B$2:$B$998},2,0)</f>
        <v>PT Bank Rakyat Indonesia (Persero) Tbk</v>
      </c>
      <c r="C281" s="15">
        <f>IFERROR(__xludf.DUMMYFUNCTION("GOOGLEFINANCE(""IDX:""&amp;A281,""price"")"),2850.0)</f>
        <v>2850</v>
      </c>
      <c r="D281" s="16" t="str">
        <f>IFERROR(__xludf.DUMMYFUNCTION("IF(A281="""","""",
SPARKLINE(
INDEX(
GOOGLEFINANCE(""IDX:""&amp;A281,""close"",TODAY()-365,TODAY()),
,2
),
{""linewidth"",1}
))
"),"#N/A")</f>
        <v>#N/A</v>
      </c>
      <c r="E281" s="14" t="s">
        <v>31</v>
      </c>
      <c r="F281" s="17" t="s">
        <v>29</v>
      </c>
      <c r="G281" s="24">
        <f t="shared" si="1"/>
        <v>23</v>
      </c>
      <c r="H281" s="19">
        <f>VLOOKUP(A281,Metrik!$C$2:$Y$959,8,0)</f>
        <v>7.7</v>
      </c>
      <c r="I281" s="20">
        <f>VLOOKUP(A281,Metrik!$C$2:$Y$959,9,0)</f>
        <v>1.3</v>
      </c>
      <c r="J281" s="20">
        <f>VLOOKUP(A281,Metrik!$C$2:$Y$959,10,0)</f>
        <v>17</v>
      </c>
      <c r="K281" s="20">
        <f>VLOOKUP(A281,Metrik!$C$2:$Y$959,11,0)</f>
        <v>2.6</v>
      </c>
      <c r="L281" s="20">
        <f>VLOOKUP(A281,Metrik!$C$2:$Y$959,12,0)</f>
        <v>5.5</v>
      </c>
      <c r="M281" s="20">
        <f>VLOOKUP(A281,Metrik!$C$2:$Y$959,19,0)</f>
        <v>96.8</v>
      </c>
      <c r="N281" s="29">
        <v>7.65</v>
      </c>
      <c r="O281" s="29">
        <v>24.19</v>
      </c>
      <c r="P281" s="29">
        <v>87.43</v>
      </c>
      <c r="Q281" s="29">
        <v>2.86</v>
      </c>
      <c r="R281" s="29">
        <v>68.08</v>
      </c>
      <c r="S281" s="29">
        <v>40.89</v>
      </c>
      <c r="T281" s="29">
        <v>10.24</v>
      </c>
      <c r="U281" s="22">
        <f>IFERROR(__xludf.DUMMYFUNCTION("IFERROR(GOOGLEFINANCE(A281,""closeyest""),"""")"),2850.0)</f>
        <v>2850</v>
      </c>
      <c r="V281" s="23">
        <f>IFERROR(__xludf.DUMMYFUNCTION("IFERROR(GOOGLEFINANCE(A281,""changepct""),"""")"),0.0)</f>
        <v>0</v>
      </c>
      <c r="W281" s="22">
        <f>IFERROR(__xludf.DUMMYFUNCTION("IFERROR(GOOGLEFINANCE(A281,""priceopen""),"""")"),2880.0)</f>
        <v>2880</v>
      </c>
      <c r="X281" s="22">
        <f>IFERROR(__xludf.DUMMYFUNCTION("IFERROR(GOOGLEFINANCE(A281,""high""),"""")"),2900.0)</f>
        <v>2900</v>
      </c>
      <c r="Y281" s="22">
        <f>IFERROR(__xludf.DUMMYFUNCTION("IFERROR(GOOGLEFINANCE(A281,""low""),"""")"),2830.0)</f>
        <v>2830</v>
      </c>
      <c r="Z281" s="22">
        <f>IFERROR(__xludf.DUMMYFUNCTION("IFERROR(GOOGLEFINANCE(A281,""volume""),"""")"),4.5053E8)</f>
        <v>450530000</v>
      </c>
      <c r="AA281" s="24" t="str">
        <f>VLOOKUP(A281,Metrik!$C$2:$Y$959,5,0)</f>
        <v>Banks</v>
      </c>
      <c r="AB281" s="24" t="str">
        <f>VLOOKUP(A281,Metrik!$C$2:$Y$959,3,0)</f>
        <v>Financials</v>
      </c>
    </row>
    <row r="282">
      <c r="A282" s="14" t="s">
        <v>168</v>
      </c>
      <c r="B282" s="14" t="str">
        <f t="array" ref="B282">VLOOKUP(A282,{Metrik!$C$2:$C$998,Metrik!$B$2:$B$998},2,0)</f>
        <v>PT Bank Rakyat Indonesia (Persero) Tbk</v>
      </c>
      <c r="C282" s="15">
        <f>IFERROR(__xludf.DUMMYFUNCTION("GOOGLEFINANCE(""IDX:""&amp;A282,""price"")"),2850.0)</f>
        <v>2850</v>
      </c>
      <c r="D282" s="16" t="str">
        <f>IFERROR(__xludf.DUMMYFUNCTION("IF(A282="""","""",
SPARKLINE(
INDEX(
GOOGLEFINANCE(""IDX:""&amp;A282,""close"",TODAY()-365,TODAY()),
,2
),
{""linewidth"",1}
))
"),"#N/A")</f>
        <v>#N/A</v>
      </c>
      <c r="E282" s="14" t="s">
        <v>67</v>
      </c>
      <c r="F282" s="17" t="s">
        <v>51</v>
      </c>
      <c r="G282" s="24">
        <f t="shared" si="1"/>
        <v>23</v>
      </c>
      <c r="H282" s="19">
        <f>VLOOKUP(A282,Metrik!$C$2:$Y$959,8,0)</f>
        <v>7.7</v>
      </c>
      <c r="I282" s="20">
        <f>VLOOKUP(A282,Metrik!$C$2:$Y$959,9,0)</f>
        <v>1.3</v>
      </c>
      <c r="J282" s="20">
        <f>VLOOKUP(A282,Metrik!$C$2:$Y$959,10,0)</f>
        <v>17</v>
      </c>
      <c r="K282" s="20">
        <f>VLOOKUP(A282,Metrik!$C$2:$Y$959,11,0)</f>
        <v>2.6</v>
      </c>
      <c r="L282" s="20">
        <f>VLOOKUP(A282,Metrik!$C$2:$Y$959,12,0)</f>
        <v>5.5</v>
      </c>
      <c r="M282" s="20">
        <f>VLOOKUP(A282,Metrik!$C$2:$Y$959,19,0)</f>
        <v>96.8</v>
      </c>
      <c r="N282" s="29">
        <v>7.65</v>
      </c>
      <c r="O282" s="29">
        <v>24.19</v>
      </c>
      <c r="P282" s="29">
        <v>87.43</v>
      </c>
      <c r="Q282" s="29">
        <v>2.86</v>
      </c>
      <c r="R282" s="29">
        <v>68.08</v>
      </c>
      <c r="S282" s="29">
        <v>40.89</v>
      </c>
      <c r="T282" s="29">
        <v>10.24</v>
      </c>
      <c r="U282" s="22">
        <f>IFERROR(__xludf.DUMMYFUNCTION("IFERROR(GOOGLEFINANCE(A282,""closeyest""),"""")"),2850.0)</f>
        <v>2850</v>
      </c>
      <c r="V282" s="23">
        <f>IFERROR(__xludf.DUMMYFUNCTION("IFERROR(GOOGLEFINANCE(A282,""changepct""),"""")"),0.0)</f>
        <v>0</v>
      </c>
      <c r="W282" s="22">
        <f>IFERROR(__xludf.DUMMYFUNCTION("IFERROR(GOOGLEFINANCE(A282,""priceopen""),"""")"),2880.0)</f>
        <v>2880</v>
      </c>
      <c r="X282" s="22">
        <f>IFERROR(__xludf.DUMMYFUNCTION("IFERROR(GOOGLEFINANCE(A282,""high""),"""")"),2900.0)</f>
        <v>2900</v>
      </c>
      <c r="Y282" s="22">
        <f>IFERROR(__xludf.DUMMYFUNCTION("IFERROR(GOOGLEFINANCE(A282,""low""),"""")"),2830.0)</f>
        <v>2830</v>
      </c>
      <c r="Z282" s="22">
        <f>IFERROR(__xludf.DUMMYFUNCTION("IFERROR(GOOGLEFINANCE(A282,""volume""),"""")"),4.5053E8)</f>
        <v>450530000</v>
      </c>
      <c r="AA282" s="24" t="str">
        <f>VLOOKUP(A282,Metrik!$C$2:$Y$959,5,0)</f>
        <v>Banks</v>
      </c>
      <c r="AB282" s="24" t="str">
        <f>VLOOKUP(A282,Metrik!$C$2:$Y$959,3,0)</f>
        <v>Financials</v>
      </c>
    </row>
    <row r="283">
      <c r="A283" s="14" t="s">
        <v>168</v>
      </c>
      <c r="B283" s="14" t="str">
        <f t="array" ref="B283">VLOOKUP(A283,{Metrik!$C$2:$C$998,Metrik!$B$2:$B$998},2,0)</f>
        <v>PT Bank Rakyat Indonesia (Persero) Tbk</v>
      </c>
      <c r="C283" s="15">
        <f>IFERROR(__xludf.DUMMYFUNCTION("GOOGLEFINANCE(""IDX:""&amp;A283,""price"")"),2850.0)</f>
        <v>2850</v>
      </c>
      <c r="D283" s="16" t="str">
        <f>IFERROR(__xludf.DUMMYFUNCTION("IF(A283="""","""",
SPARKLINE(
INDEX(
GOOGLEFINANCE(""IDX:""&amp;A283,""close"",TODAY()-365,TODAY()),
,2
),
{""linewidth"",1}
))
"),"#N/A")</f>
        <v>#N/A</v>
      </c>
      <c r="E283" s="14" t="s">
        <v>84</v>
      </c>
      <c r="F283" s="17" t="s">
        <v>51</v>
      </c>
      <c r="G283" s="24">
        <f t="shared" si="1"/>
        <v>23</v>
      </c>
      <c r="H283" s="19">
        <f>VLOOKUP(A283,Metrik!$C$2:$Y$959,8,0)</f>
        <v>7.7</v>
      </c>
      <c r="I283" s="20">
        <f>VLOOKUP(A283,Metrik!$C$2:$Y$959,9,0)</f>
        <v>1.3</v>
      </c>
      <c r="J283" s="20">
        <f>VLOOKUP(A283,Metrik!$C$2:$Y$959,10,0)</f>
        <v>17</v>
      </c>
      <c r="K283" s="20">
        <f>VLOOKUP(A283,Metrik!$C$2:$Y$959,11,0)</f>
        <v>2.6</v>
      </c>
      <c r="L283" s="20">
        <f>VLOOKUP(A283,Metrik!$C$2:$Y$959,12,0)</f>
        <v>5.5</v>
      </c>
      <c r="M283" s="20">
        <f>VLOOKUP(A283,Metrik!$C$2:$Y$959,19,0)</f>
        <v>96.8</v>
      </c>
      <c r="N283" s="29">
        <v>7.65</v>
      </c>
      <c r="O283" s="29">
        <v>24.19</v>
      </c>
      <c r="P283" s="29">
        <v>87.43</v>
      </c>
      <c r="Q283" s="29">
        <v>2.86</v>
      </c>
      <c r="R283" s="29">
        <v>68.08</v>
      </c>
      <c r="S283" s="29">
        <v>40.89</v>
      </c>
      <c r="T283" s="29">
        <v>10.24</v>
      </c>
      <c r="U283" s="22">
        <f>IFERROR(__xludf.DUMMYFUNCTION("IFERROR(GOOGLEFINANCE(A283,""closeyest""),"""")"),2850.0)</f>
        <v>2850</v>
      </c>
      <c r="V283" s="23">
        <f>IFERROR(__xludf.DUMMYFUNCTION("IFERROR(GOOGLEFINANCE(A283,""changepct""),"""")"),0.0)</f>
        <v>0</v>
      </c>
      <c r="W283" s="22">
        <f>IFERROR(__xludf.DUMMYFUNCTION("IFERROR(GOOGLEFINANCE(A283,""priceopen""),"""")"),2880.0)</f>
        <v>2880</v>
      </c>
      <c r="X283" s="22">
        <f>IFERROR(__xludf.DUMMYFUNCTION("IFERROR(GOOGLEFINANCE(A283,""high""),"""")"),2900.0)</f>
        <v>2900</v>
      </c>
      <c r="Y283" s="22">
        <f>IFERROR(__xludf.DUMMYFUNCTION("IFERROR(GOOGLEFINANCE(A283,""low""),"""")"),2830.0)</f>
        <v>2830</v>
      </c>
      <c r="Z283" s="22">
        <f>IFERROR(__xludf.DUMMYFUNCTION("IFERROR(GOOGLEFINANCE(A283,""volume""),"""")"),4.5053E8)</f>
        <v>450530000</v>
      </c>
      <c r="AA283" s="24" t="str">
        <f>VLOOKUP(A283,Metrik!$C$2:$Y$959,5,0)</f>
        <v>Banks</v>
      </c>
      <c r="AB283" s="24" t="str">
        <f>VLOOKUP(A283,Metrik!$C$2:$Y$959,3,0)</f>
        <v>Financials</v>
      </c>
    </row>
    <row r="284">
      <c r="A284" s="14" t="s">
        <v>168</v>
      </c>
      <c r="B284" s="14" t="str">
        <f t="array" ref="B284">VLOOKUP(A284,{Metrik!$C$2:$C$998,Metrik!$B$2:$B$998},2,0)</f>
        <v>PT Bank Rakyat Indonesia (Persero) Tbk</v>
      </c>
      <c r="C284" s="15">
        <f>IFERROR(__xludf.DUMMYFUNCTION("GOOGLEFINANCE(""IDX:""&amp;A284,""price"")"),2850.0)</f>
        <v>2850</v>
      </c>
      <c r="D284" s="16" t="str">
        <f>IFERROR(__xludf.DUMMYFUNCTION("IF(A284="""","""",
SPARKLINE(
INDEX(
GOOGLEFINANCE(""IDX:""&amp;A284,""close"",TODAY()-365,TODAY()),
,2
),
{""linewidth"",1}
))
"),"#N/A")</f>
        <v>#N/A</v>
      </c>
      <c r="E284" s="14" t="s">
        <v>85</v>
      </c>
      <c r="F284" s="17" t="s">
        <v>51</v>
      </c>
      <c r="G284" s="24">
        <f t="shared" si="1"/>
        <v>23</v>
      </c>
      <c r="H284" s="19">
        <f>VLOOKUP(A284,Metrik!$C$2:$Y$959,8,0)</f>
        <v>7.7</v>
      </c>
      <c r="I284" s="20">
        <f>VLOOKUP(A284,Metrik!$C$2:$Y$959,9,0)</f>
        <v>1.3</v>
      </c>
      <c r="J284" s="20">
        <f>VLOOKUP(A284,Metrik!$C$2:$Y$959,10,0)</f>
        <v>17</v>
      </c>
      <c r="K284" s="20">
        <f>VLOOKUP(A284,Metrik!$C$2:$Y$959,11,0)</f>
        <v>2.6</v>
      </c>
      <c r="L284" s="20">
        <f>VLOOKUP(A284,Metrik!$C$2:$Y$959,12,0)</f>
        <v>5.5</v>
      </c>
      <c r="M284" s="20">
        <f>VLOOKUP(A284,Metrik!$C$2:$Y$959,19,0)</f>
        <v>96.8</v>
      </c>
      <c r="N284" s="29">
        <v>7.65</v>
      </c>
      <c r="O284" s="29">
        <v>24.19</v>
      </c>
      <c r="P284" s="29">
        <v>87.43</v>
      </c>
      <c r="Q284" s="29">
        <v>2.86</v>
      </c>
      <c r="R284" s="29">
        <v>68.08</v>
      </c>
      <c r="S284" s="29">
        <v>40.89</v>
      </c>
      <c r="T284" s="29">
        <v>10.24</v>
      </c>
      <c r="U284" s="22">
        <f>IFERROR(__xludf.DUMMYFUNCTION("IFERROR(GOOGLEFINANCE(A284,""closeyest""),"""")"),2850.0)</f>
        <v>2850</v>
      </c>
      <c r="V284" s="23">
        <f>IFERROR(__xludf.DUMMYFUNCTION("IFERROR(GOOGLEFINANCE(A284,""changepct""),"""")"),0.0)</f>
        <v>0</v>
      </c>
      <c r="W284" s="22">
        <f>IFERROR(__xludf.DUMMYFUNCTION("IFERROR(GOOGLEFINANCE(A284,""priceopen""),"""")"),2880.0)</f>
        <v>2880</v>
      </c>
      <c r="X284" s="22">
        <f>IFERROR(__xludf.DUMMYFUNCTION("IFERROR(GOOGLEFINANCE(A284,""high""),"""")"),2900.0)</f>
        <v>2900</v>
      </c>
      <c r="Y284" s="22">
        <f>IFERROR(__xludf.DUMMYFUNCTION("IFERROR(GOOGLEFINANCE(A284,""low""),"""")"),2830.0)</f>
        <v>2830</v>
      </c>
      <c r="Z284" s="22">
        <f>IFERROR(__xludf.DUMMYFUNCTION("IFERROR(GOOGLEFINANCE(A284,""volume""),"""")"),4.5053E8)</f>
        <v>450530000</v>
      </c>
      <c r="AA284" s="24" t="str">
        <f>VLOOKUP(A284,Metrik!$C$2:$Y$959,5,0)</f>
        <v>Banks</v>
      </c>
      <c r="AB284" s="24" t="str">
        <f>VLOOKUP(A284,Metrik!$C$2:$Y$959,3,0)</f>
        <v>Financials</v>
      </c>
    </row>
    <row r="285">
      <c r="A285" s="14" t="s">
        <v>168</v>
      </c>
      <c r="B285" s="14" t="str">
        <f t="array" ref="B285">VLOOKUP(A285,{Metrik!$C$2:$C$998,Metrik!$B$2:$B$998},2,0)</f>
        <v>PT Bank Rakyat Indonesia (Persero) Tbk</v>
      </c>
      <c r="C285" s="15">
        <f>IFERROR(__xludf.DUMMYFUNCTION("GOOGLEFINANCE(""IDX:""&amp;A285,""price"")"),2850.0)</f>
        <v>2850</v>
      </c>
      <c r="D285" s="16" t="str">
        <f>IFERROR(__xludf.DUMMYFUNCTION("IF(A285="""","""",
SPARKLINE(
INDEX(
GOOGLEFINANCE(""IDX:""&amp;A285,""close"",TODAY()-365,TODAY()),
,2
),
{""linewidth"",1}
))
"),"#N/A")</f>
        <v>#N/A</v>
      </c>
      <c r="E285" s="14" t="s">
        <v>61</v>
      </c>
      <c r="F285" s="14" t="s">
        <v>34</v>
      </c>
      <c r="G285" s="24">
        <f t="shared" si="1"/>
        <v>23</v>
      </c>
      <c r="H285" s="19">
        <f>VLOOKUP(A285,Metrik!$C$2:$Y$959,8,0)</f>
        <v>7.7</v>
      </c>
      <c r="I285" s="20">
        <f>VLOOKUP(A285,Metrik!$C$2:$Y$959,9,0)</f>
        <v>1.3</v>
      </c>
      <c r="J285" s="20">
        <f>VLOOKUP(A285,Metrik!$C$2:$Y$959,10,0)</f>
        <v>17</v>
      </c>
      <c r="K285" s="20">
        <f>VLOOKUP(A285,Metrik!$C$2:$Y$959,11,0)</f>
        <v>2.6</v>
      </c>
      <c r="L285" s="20">
        <f>VLOOKUP(A285,Metrik!$C$2:$Y$959,12,0)</f>
        <v>5.5</v>
      </c>
      <c r="M285" s="20">
        <f>VLOOKUP(A285,Metrik!$C$2:$Y$959,19,0)</f>
        <v>96.8</v>
      </c>
      <c r="N285" s="29">
        <v>7.65</v>
      </c>
      <c r="O285" s="29">
        <v>24.19</v>
      </c>
      <c r="P285" s="29">
        <v>87.43</v>
      </c>
      <c r="Q285" s="29">
        <v>2.86</v>
      </c>
      <c r="R285" s="29">
        <v>68.08</v>
      </c>
      <c r="S285" s="29">
        <v>40.89</v>
      </c>
      <c r="T285" s="29">
        <v>10.24</v>
      </c>
      <c r="U285" s="22">
        <f>IFERROR(__xludf.DUMMYFUNCTION("IFERROR(GOOGLEFINANCE(A285,""closeyest""),"""")"),2850.0)</f>
        <v>2850</v>
      </c>
      <c r="V285" s="23">
        <f>IFERROR(__xludf.DUMMYFUNCTION("IFERROR(GOOGLEFINANCE(A285,""changepct""),"""")"),0.0)</f>
        <v>0</v>
      </c>
      <c r="W285" s="22">
        <f>IFERROR(__xludf.DUMMYFUNCTION("IFERROR(GOOGLEFINANCE(A285,""priceopen""),"""")"),2880.0)</f>
        <v>2880</v>
      </c>
      <c r="X285" s="22">
        <f>IFERROR(__xludf.DUMMYFUNCTION("IFERROR(GOOGLEFINANCE(A285,""high""),"""")"),2900.0)</f>
        <v>2900</v>
      </c>
      <c r="Y285" s="22">
        <f>IFERROR(__xludf.DUMMYFUNCTION("IFERROR(GOOGLEFINANCE(A285,""low""),"""")"),2830.0)</f>
        <v>2830</v>
      </c>
      <c r="Z285" s="22">
        <f>IFERROR(__xludf.DUMMYFUNCTION("IFERROR(GOOGLEFINANCE(A285,""volume""),"""")"),4.5053E8)</f>
        <v>450530000</v>
      </c>
      <c r="AA285" s="24" t="str">
        <f>VLOOKUP(A285,Metrik!$C$2:$Y$959,5,0)</f>
        <v>Banks</v>
      </c>
      <c r="AB285" s="24" t="str">
        <f>VLOOKUP(A285,Metrik!$C$2:$Y$959,3,0)</f>
        <v>Financials</v>
      </c>
    </row>
    <row r="286">
      <c r="A286" s="14" t="s">
        <v>168</v>
      </c>
      <c r="B286" s="14" t="str">
        <f t="array" ref="B286">VLOOKUP(A286,{Metrik!$C$2:$C$998,Metrik!$B$2:$B$998},2,0)</f>
        <v>PT Bank Rakyat Indonesia (Persero) Tbk</v>
      </c>
      <c r="C286" s="15">
        <f>IFERROR(__xludf.DUMMYFUNCTION("GOOGLEFINANCE(""IDX:""&amp;A286,""price"")"),2850.0)</f>
        <v>2850</v>
      </c>
      <c r="D286" s="16" t="str">
        <f>IFERROR(__xludf.DUMMYFUNCTION("IF(A286="""","""",
SPARKLINE(
INDEX(
GOOGLEFINANCE(""IDX:""&amp;A286,""close"",TODAY()-365,TODAY()),
,2
),
{""linewidth"",1}
))
"),"#N/A")</f>
        <v>#N/A</v>
      </c>
      <c r="E286" s="14" t="s">
        <v>161</v>
      </c>
      <c r="F286" s="14" t="s">
        <v>76</v>
      </c>
      <c r="G286" s="24">
        <f t="shared" si="1"/>
        <v>23</v>
      </c>
      <c r="H286" s="19">
        <f>VLOOKUP(A286,Metrik!$C$2:$Y$959,8,0)</f>
        <v>7.7</v>
      </c>
      <c r="I286" s="20">
        <f>VLOOKUP(A286,Metrik!$C$2:$Y$959,9,0)</f>
        <v>1.3</v>
      </c>
      <c r="J286" s="20">
        <f>VLOOKUP(A286,Metrik!$C$2:$Y$959,10,0)</f>
        <v>17</v>
      </c>
      <c r="K286" s="20">
        <f>VLOOKUP(A286,Metrik!$C$2:$Y$959,11,0)</f>
        <v>2.6</v>
      </c>
      <c r="L286" s="20">
        <f>VLOOKUP(A286,Metrik!$C$2:$Y$959,12,0)</f>
        <v>5.5</v>
      </c>
      <c r="M286" s="20">
        <f>VLOOKUP(A286,Metrik!$C$2:$Y$959,19,0)</f>
        <v>96.8</v>
      </c>
      <c r="N286" s="29">
        <v>7.65</v>
      </c>
      <c r="O286" s="29">
        <v>24.19</v>
      </c>
      <c r="P286" s="29">
        <v>87.43</v>
      </c>
      <c r="Q286" s="29">
        <v>2.86</v>
      </c>
      <c r="R286" s="29">
        <v>68.08</v>
      </c>
      <c r="S286" s="29">
        <v>40.89</v>
      </c>
      <c r="T286" s="29">
        <v>10.24</v>
      </c>
      <c r="U286" s="22">
        <f>IFERROR(__xludf.DUMMYFUNCTION("IFERROR(GOOGLEFINANCE(A286,""closeyest""),"""")"),2850.0)</f>
        <v>2850</v>
      </c>
      <c r="V286" s="23">
        <f>IFERROR(__xludf.DUMMYFUNCTION("IFERROR(GOOGLEFINANCE(A286,""changepct""),"""")"),0.0)</f>
        <v>0</v>
      </c>
      <c r="W286" s="22">
        <f>IFERROR(__xludf.DUMMYFUNCTION("IFERROR(GOOGLEFINANCE(A286,""priceopen""),"""")"),2880.0)</f>
        <v>2880</v>
      </c>
      <c r="X286" s="22">
        <f>IFERROR(__xludf.DUMMYFUNCTION("IFERROR(GOOGLEFINANCE(A286,""high""),"""")"),2900.0)</f>
        <v>2900</v>
      </c>
      <c r="Y286" s="22">
        <f>IFERROR(__xludf.DUMMYFUNCTION("IFERROR(GOOGLEFINANCE(A286,""low""),"""")"),2830.0)</f>
        <v>2830</v>
      </c>
      <c r="Z286" s="22">
        <f>IFERROR(__xludf.DUMMYFUNCTION("IFERROR(GOOGLEFINANCE(A286,""volume""),"""")"),4.5053E8)</f>
        <v>450530000</v>
      </c>
      <c r="AA286" s="24" t="str">
        <f>VLOOKUP(A286,Metrik!$C$2:$Y$959,5,0)</f>
        <v>Banks</v>
      </c>
      <c r="AB286" s="24" t="str">
        <f>VLOOKUP(A286,Metrik!$C$2:$Y$959,3,0)</f>
        <v>Financials</v>
      </c>
    </row>
    <row r="287">
      <c r="A287" s="14" t="s">
        <v>168</v>
      </c>
      <c r="B287" s="14" t="str">
        <f t="array" ref="B287">VLOOKUP(A287,{Metrik!$C$2:$C$998,Metrik!$B$2:$B$998},2,0)</f>
        <v>PT Bank Rakyat Indonesia (Persero) Tbk</v>
      </c>
      <c r="C287" s="15">
        <f>IFERROR(__xludf.DUMMYFUNCTION("GOOGLEFINANCE(""IDX:""&amp;A287,""price"")"),2850.0)</f>
        <v>2850</v>
      </c>
      <c r="D287" s="16" t="str">
        <f>IFERROR(__xludf.DUMMYFUNCTION("IF(A287="""","""",
SPARKLINE(
INDEX(
GOOGLEFINANCE(""IDX:""&amp;A287,""close"",TODAY()-365,TODAY()),
,2
),
{""linewidth"",1}
))
"),"#N/A")</f>
        <v>#N/A</v>
      </c>
      <c r="E287" s="14" t="s">
        <v>162</v>
      </c>
      <c r="F287" s="14" t="s">
        <v>76</v>
      </c>
      <c r="G287" s="24">
        <f t="shared" si="1"/>
        <v>23</v>
      </c>
      <c r="H287" s="19">
        <f>VLOOKUP(A287,Metrik!$C$2:$Y$959,8,0)</f>
        <v>7.7</v>
      </c>
      <c r="I287" s="20">
        <f>VLOOKUP(A287,Metrik!$C$2:$Y$959,9,0)</f>
        <v>1.3</v>
      </c>
      <c r="J287" s="20">
        <f>VLOOKUP(A287,Metrik!$C$2:$Y$959,10,0)</f>
        <v>17</v>
      </c>
      <c r="K287" s="20">
        <f>VLOOKUP(A287,Metrik!$C$2:$Y$959,11,0)</f>
        <v>2.6</v>
      </c>
      <c r="L287" s="20">
        <f>VLOOKUP(A287,Metrik!$C$2:$Y$959,12,0)</f>
        <v>5.5</v>
      </c>
      <c r="M287" s="20">
        <f>VLOOKUP(A287,Metrik!$C$2:$Y$959,19,0)</f>
        <v>96.8</v>
      </c>
      <c r="N287" s="29">
        <v>7.65</v>
      </c>
      <c r="O287" s="29">
        <v>24.19</v>
      </c>
      <c r="P287" s="29">
        <v>87.43</v>
      </c>
      <c r="Q287" s="29">
        <v>2.86</v>
      </c>
      <c r="R287" s="29">
        <v>68.08</v>
      </c>
      <c r="S287" s="29">
        <v>40.89</v>
      </c>
      <c r="T287" s="29">
        <v>10.24</v>
      </c>
      <c r="U287" s="22">
        <f>IFERROR(__xludf.DUMMYFUNCTION("IFERROR(GOOGLEFINANCE(A287,""closeyest""),"""")"),2850.0)</f>
        <v>2850</v>
      </c>
      <c r="V287" s="23">
        <f>IFERROR(__xludf.DUMMYFUNCTION("IFERROR(GOOGLEFINANCE(A287,""changepct""),"""")"),0.0)</f>
        <v>0</v>
      </c>
      <c r="W287" s="22">
        <f>IFERROR(__xludf.DUMMYFUNCTION("IFERROR(GOOGLEFINANCE(A287,""priceopen""),"""")"),2880.0)</f>
        <v>2880</v>
      </c>
      <c r="X287" s="22">
        <f>IFERROR(__xludf.DUMMYFUNCTION("IFERROR(GOOGLEFINANCE(A287,""high""),"""")"),2900.0)</f>
        <v>2900</v>
      </c>
      <c r="Y287" s="22">
        <f>IFERROR(__xludf.DUMMYFUNCTION("IFERROR(GOOGLEFINANCE(A287,""low""),"""")"),2830.0)</f>
        <v>2830</v>
      </c>
      <c r="Z287" s="22">
        <f>IFERROR(__xludf.DUMMYFUNCTION("IFERROR(GOOGLEFINANCE(A287,""volume""),"""")"),4.5053E8)</f>
        <v>450530000</v>
      </c>
      <c r="AA287" s="24" t="str">
        <f>VLOOKUP(A287,Metrik!$C$2:$Y$959,5,0)</f>
        <v>Banks</v>
      </c>
      <c r="AB287" s="24" t="str">
        <f>VLOOKUP(A287,Metrik!$C$2:$Y$959,3,0)</f>
        <v>Financials</v>
      </c>
    </row>
    <row r="288">
      <c r="A288" s="14" t="s">
        <v>168</v>
      </c>
      <c r="B288" s="14" t="str">
        <f t="array" ref="B288">VLOOKUP(A288,{Metrik!$C$2:$C$998,Metrik!$B$2:$B$998},2,0)</f>
        <v>PT Bank Rakyat Indonesia (Persero) Tbk</v>
      </c>
      <c r="C288" s="15">
        <f>IFERROR(__xludf.DUMMYFUNCTION("GOOGLEFINANCE(""IDX:""&amp;A288,""price"")"),2850.0)</f>
        <v>2850</v>
      </c>
      <c r="D288" s="16" t="str">
        <f>IFERROR(__xludf.DUMMYFUNCTION("IF(A288="""","""",
SPARKLINE(
INDEX(
GOOGLEFINANCE(""IDX:""&amp;A288,""close"",TODAY()-365,TODAY()),
,2
),
{""linewidth"",1}
))
"),"#N/A")</f>
        <v>#N/A</v>
      </c>
      <c r="E288" s="14" t="s">
        <v>55</v>
      </c>
      <c r="F288" s="25">
        <v>46356.0</v>
      </c>
      <c r="G288" s="24">
        <f t="shared" si="1"/>
        <v>23</v>
      </c>
      <c r="H288" s="19">
        <f>VLOOKUP(A288,Metrik!$C$2:$Y$959,8,0)</f>
        <v>7.7</v>
      </c>
      <c r="I288" s="20">
        <f>VLOOKUP(A288,Metrik!$C$2:$Y$959,9,0)</f>
        <v>1.3</v>
      </c>
      <c r="J288" s="20">
        <f>VLOOKUP(A288,Metrik!$C$2:$Y$959,10,0)</f>
        <v>17</v>
      </c>
      <c r="K288" s="20">
        <f>VLOOKUP(A288,Metrik!$C$2:$Y$959,11,0)</f>
        <v>2.6</v>
      </c>
      <c r="L288" s="20">
        <f>VLOOKUP(A288,Metrik!$C$2:$Y$959,12,0)</f>
        <v>5.5</v>
      </c>
      <c r="M288" s="20">
        <f>VLOOKUP(A288,Metrik!$C$2:$Y$959,19,0)</f>
        <v>96.8</v>
      </c>
      <c r="N288" s="29">
        <v>7.65</v>
      </c>
      <c r="O288" s="29">
        <v>24.19</v>
      </c>
      <c r="P288" s="29">
        <v>87.43</v>
      </c>
      <c r="Q288" s="29">
        <v>2.86</v>
      </c>
      <c r="R288" s="29">
        <v>68.08</v>
      </c>
      <c r="S288" s="29">
        <v>40.89</v>
      </c>
      <c r="T288" s="29">
        <v>10.24</v>
      </c>
      <c r="U288" s="22">
        <f>IFERROR(__xludf.DUMMYFUNCTION("IFERROR(GOOGLEFINANCE(A288,""closeyest""),"""")"),2850.0)</f>
        <v>2850</v>
      </c>
      <c r="V288" s="23">
        <f>IFERROR(__xludf.DUMMYFUNCTION("IFERROR(GOOGLEFINANCE(A288,""changepct""),"""")"),0.0)</f>
        <v>0</v>
      </c>
      <c r="W288" s="22">
        <f>IFERROR(__xludf.DUMMYFUNCTION("IFERROR(GOOGLEFINANCE(A288,""priceopen""),"""")"),2880.0)</f>
        <v>2880</v>
      </c>
      <c r="X288" s="22">
        <f>IFERROR(__xludf.DUMMYFUNCTION("IFERROR(GOOGLEFINANCE(A288,""high""),"""")"),2900.0)</f>
        <v>2900</v>
      </c>
      <c r="Y288" s="22">
        <f>IFERROR(__xludf.DUMMYFUNCTION("IFERROR(GOOGLEFINANCE(A288,""low""),"""")"),2830.0)</f>
        <v>2830</v>
      </c>
      <c r="Z288" s="22">
        <f>IFERROR(__xludf.DUMMYFUNCTION("IFERROR(GOOGLEFINANCE(A288,""volume""),"""")"),4.5053E8)</f>
        <v>450530000</v>
      </c>
      <c r="AA288" s="24" t="str">
        <f>VLOOKUP(A288,Metrik!$C$2:$Y$959,5,0)</f>
        <v>Banks</v>
      </c>
      <c r="AB288" s="24" t="str">
        <f>VLOOKUP(A288,Metrik!$C$2:$Y$959,3,0)</f>
        <v>Financials</v>
      </c>
    </row>
    <row r="289">
      <c r="A289" s="14" t="s">
        <v>168</v>
      </c>
      <c r="B289" s="14" t="str">
        <f t="array" ref="B289">VLOOKUP(A289,{Metrik!$C$2:$C$998,Metrik!$B$2:$B$998},2,0)</f>
        <v>PT Bank Rakyat Indonesia (Persero) Tbk</v>
      </c>
      <c r="C289" s="15">
        <f>IFERROR(__xludf.DUMMYFUNCTION("GOOGLEFINANCE(""IDX:""&amp;A289,""price"")"),2850.0)</f>
        <v>2850</v>
      </c>
      <c r="D289" s="16" t="str">
        <f>IFERROR(__xludf.DUMMYFUNCTION("IF(A289="""","""",
SPARKLINE(
INDEX(
GOOGLEFINANCE(""IDX:""&amp;A289,""close"",TODAY()-365,TODAY()),
,2
),
{""linewidth"",1}
))
"),"#N/A")</f>
        <v>#N/A</v>
      </c>
      <c r="E289" s="14" t="s">
        <v>86</v>
      </c>
      <c r="F289" s="25">
        <v>46356.0</v>
      </c>
      <c r="G289" s="24">
        <f t="shared" si="1"/>
        <v>23</v>
      </c>
      <c r="H289" s="19">
        <f>VLOOKUP(A289,Metrik!$C$2:$Y$959,8,0)</f>
        <v>7.7</v>
      </c>
      <c r="I289" s="20">
        <f>VLOOKUP(A289,Metrik!$C$2:$Y$959,9,0)</f>
        <v>1.3</v>
      </c>
      <c r="J289" s="20">
        <f>VLOOKUP(A289,Metrik!$C$2:$Y$959,10,0)</f>
        <v>17</v>
      </c>
      <c r="K289" s="20">
        <f>VLOOKUP(A289,Metrik!$C$2:$Y$959,11,0)</f>
        <v>2.6</v>
      </c>
      <c r="L289" s="20">
        <f>VLOOKUP(A289,Metrik!$C$2:$Y$959,12,0)</f>
        <v>5.5</v>
      </c>
      <c r="M289" s="20">
        <f>VLOOKUP(A289,Metrik!$C$2:$Y$959,19,0)</f>
        <v>96.8</v>
      </c>
      <c r="N289" s="29">
        <v>7.65</v>
      </c>
      <c r="O289" s="29">
        <v>24.19</v>
      </c>
      <c r="P289" s="29">
        <v>87.43</v>
      </c>
      <c r="Q289" s="29">
        <v>2.86</v>
      </c>
      <c r="R289" s="29">
        <v>68.08</v>
      </c>
      <c r="S289" s="29">
        <v>40.89</v>
      </c>
      <c r="T289" s="29">
        <v>10.24</v>
      </c>
      <c r="U289" s="22">
        <f>IFERROR(__xludf.DUMMYFUNCTION("IFERROR(GOOGLEFINANCE(A289,""closeyest""),"""")"),2850.0)</f>
        <v>2850</v>
      </c>
      <c r="V289" s="23">
        <f>IFERROR(__xludf.DUMMYFUNCTION("IFERROR(GOOGLEFINANCE(A289,""changepct""),"""")"),0.0)</f>
        <v>0</v>
      </c>
      <c r="W289" s="22">
        <f>IFERROR(__xludf.DUMMYFUNCTION("IFERROR(GOOGLEFINANCE(A289,""priceopen""),"""")"),2880.0)</f>
        <v>2880</v>
      </c>
      <c r="X289" s="22">
        <f>IFERROR(__xludf.DUMMYFUNCTION("IFERROR(GOOGLEFINANCE(A289,""high""),"""")"),2900.0)</f>
        <v>2900</v>
      </c>
      <c r="Y289" s="22">
        <f>IFERROR(__xludf.DUMMYFUNCTION("IFERROR(GOOGLEFINANCE(A289,""low""),"""")"),2830.0)</f>
        <v>2830</v>
      </c>
      <c r="Z289" s="22">
        <f>IFERROR(__xludf.DUMMYFUNCTION("IFERROR(GOOGLEFINANCE(A289,""volume""),"""")"),4.5053E8)</f>
        <v>450530000</v>
      </c>
      <c r="AA289" s="24" t="str">
        <f>VLOOKUP(A289,Metrik!$C$2:$Y$959,5,0)</f>
        <v>Banks</v>
      </c>
      <c r="AB289" s="24" t="str">
        <f>VLOOKUP(A289,Metrik!$C$2:$Y$959,3,0)</f>
        <v>Financials</v>
      </c>
    </row>
    <row r="290">
      <c r="A290" s="14" t="s">
        <v>168</v>
      </c>
      <c r="B290" s="14" t="str">
        <f t="array" ref="B290">VLOOKUP(A290,{Metrik!$C$2:$C$998,Metrik!$B$2:$B$998},2,0)</f>
        <v>PT Bank Rakyat Indonesia (Persero) Tbk</v>
      </c>
      <c r="C290" s="15">
        <f>IFERROR(__xludf.DUMMYFUNCTION("GOOGLEFINANCE(""IDX:""&amp;A290,""price"")"),2850.0)</f>
        <v>2850</v>
      </c>
      <c r="D290" s="16" t="str">
        <f>IFERROR(__xludf.DUMMYFUNCTION("IF(A290="""","""",
SPARKLINE(
INDEX(
GOOGLEFINANCE(""IDX:""&amp;A290,""close"",TODAY()-365,TODAY()),
,2
),
{""linewidth"",1}
))
"),"#N/A")</f>
        <v>#N/A</v>
      </c>
      <c r="E290" s="14" t="s">
        <v>42</v>
      </c>
      <c r="F290" s="25">
        <v>46356.0</v>
      </c>
      <c r="G290" s="24">
        <f t="shared" si="1"/>
        <v>23</v>
      </c>
      <c r="H290" s="19">
        <f>VLOOKUP(A290,Metrik!$C$2:$Y$959,8,0)</f>
        <v>7.7</v>
      </c>
      <c r="I290" s="20">
        <f>VLOOKUP(A290,Metrik!$C$2:$Y$959,9,0)</f>
        <v>1.3</v>
      </c>
      <c r="J290" s="20">
        <f>VLOOKUP(A290,Metrik!$C$2:$Y$959,10,0)</f>
        <v>17</v>
      </c>
      <c r="K290" s="20">
        <f>VLOOKUP(A290,Metrik!$C$2:$Y$959,11,0)</f>
        <v>2.6</v>
      </c>
      <c r="L290" s="20">
        <f>VLOOKUP(A290,Metrik!$C$2:$Y$959,12,0)</f>
        <v>5.5</v>
      </c>
      <c r="M290" s="20">
        <f>VLOOKUP(A290,Metrik!$C$2:$Y$959,19,0)</f>
        <v>96.8</v>
      </c>
      <c r="N290" s="29">
        <v>7.65</v>
      </c>
      <c r="O290" s="29">
        <v>24.19</v>
      </c>
      <c r="P290" s="29">
        <v>87.43</v>
      </c>
      <c r="Q290" s="29">
        <v>2.86</v>
      </c>
      <c r="R290" s="29">
        <v>68.08</v>
      </c>
      <c r="S290" s="29">
        <v>40.89</v>
      </c>
      <c r="T290" s="29">
        <v>10.24</v>
      </c>
      <c r="U290" s="22">
        <f>IFERROR(__xludf.DUMMYFUNCTION("IFERROR(GOOGLEFINANCE(A290,""closeyest""),"""")"),2850.0)</f>
        <v>2850</v>
      </c>
      <c r="V290" s="23">
        <f>IFERROR(__xludf.DUMMYFUNCTION("IFERROR(GOOGLEFINANCE(A290,""changepct""),"""")"),0.0)</f>
        <v>0</v>
      </c>
      <c r="W290" s="22">
        <f>IFERROR(__xludf.DUMMYFUNCTION("IFERROR(GOOGLEFINANCE(A290,""priceopen""),"""")"),2880.0)</f>
        <v>2880</v>
      </c>
      <c r="X290" s="22">
        <f>IFERROR(__xludf.DUMMYFUNCTION("IFERROR(GOOGLEFINANCE(A290,""high""),"""")"),2900.0)</f>
        <v>2900</v>
      </c>
      <c r="Y290" s="22">
        <f>IFERROR(__xludf.DUMMYFUNCTION("IFERROR(GOOGLEFINANCE(A290,""low""),"""")"),2830.0)</f>
        <v>2830</v>
      </c>
      <c r="Z290" s="22">
        <f>IFERROR(__xludf.DUMMYFUNCTION("IFERROR(GOOGLEFINANCE(A290,""volume""),"""")"),4.5053E8)</f>
        <v>450530000</v>
      </c>
      <c r="AA290" s="24" t="str">
        <f>VLOOKUP(A290,Metrik!$C$2:$Y$959,5,0)</f>
        <v>Banks</v>
      </c>
      <c r="AB290" s="24" t="str">
        <f>VLOOKUP(A290,Metrik!$C$2:$Y$959,3,0)</f>
        <v>Financials</v>
      </c>
    </row>
    <row r="291">
      <c r="A291" s="14" t="s">
        <v>169</v>
      </c>
      <c r="B291" s="14" t="str">
        <f t="array" ref="B291">VLOOKUP(A291,{Metrik!$C$2:$C$998,Metrik!$B$2:$B$998},2,0)</f>
        <v>Pelayaran Nasional Bina Buana Raya Tbk.</v>
      </c>
      <c r="C291" s="15">
        <f>IFERROR(__xludf.DUMMYFUNCTION("GOOGLEFINANCE(""IDX:""&amp;A291,""price"")"),102.0)</f>
        <v>102</v>
      </c>
      <c r="D291" s="16" t="str">
        <f>IFERROR(__xludf.DUMMYFUNCTION("IF(A291="""","""",
SPARKLINE(
INDEX(
GOOGLEFINANCE(""IDX:""&amp;A291,""close"",TODAY()-365,TODAY()),
,2
),
{""linewidth"",1}
))
"),"#N/A")</f>
        <v>#N/A</v>
      </c>
      <c r="E291" s="26"/>
      <c r="F291" s="26"/>
      <c r="G291" s="18">
        <f t="shared" si="1"/>
        <v>0</v>
      </c>
      <c r="H291" s="19">
        <f>VLOOKUP(A291,Metrik!$C$2:$Y$959,8,0)</f>
        <v>9.6</v>
      </c>
      <c r="I291" s="20">
        <f>VLOOKUP(A291,Metrik!$C$2:$Y$959,9,0)</f>
        <v>1.3</v>
      </c>
      <c r="J291" s="20">
        <f>VLOOKUP(A291,Metrik!$C$2:$Y$959,10,0)</f>
        <v>13.7</v>
      </c>
      <c r="K291" s="20">
        <f>VLOOKUP(A291,Metrik!$C$2:$Y$959,11,0)</f>
        <v>12.7</v>
      </c>
      <c r="L291" s="20">
        <f>VLOOKUP(A291,Metrik!$C$2:$Y$959,12,0)</f>
        <v>0.08</v>
      </c>
      <c r="M291" s="20">
        <f>VLOOKUP(A291,Metrik!$C$2:$Y$959,19,0)</f>
        <v>200</v>
      </c>
      <c r="N291" s="21"/>
      <c r="O291" s="21"/>
      <c r="P291" s="21"/>
      <c r="Q291" s="21"/>
      <c r="R291" s="21"/>
      <c r="S291" s="21"/>
      <c r="T291" s="21"/>
      <c r="U291" s="22">
        <f>IFERROR(__xludf.DUMMYFUNCTION("IFERROR(GOOGLEFINANCE(A291,""closeyest""),"""")"),97.0)</f>
        <v>97</v>
      </c>
      <c r="V291" s="23">
        <f>IFERROR(__xludf.DUMMYFUNCTION("IFERROR(GOOGLEFINANCE(A291,""changepct""),"""")"),5.15)</f>
        <v>5.15</v>
      </c>
      <c r="W291" s="22">
        <f>IFERROR(__xludf.DUMMYFUNCTION("IFERROR(GOOGLEFINANCE(A291,""priceopen""),"""")"),98.0)</f>
        <v>98</v>
      </c>
      <c r="X291" s="22">
        <f>IFERROR(__xludf.DUMMYFUNCTION("IFERROR(GOOGLEFINANCE(A291,""high""),"""")"),106.0)</f>
        <v>106</v>
      </c>
      <c r="Y291" s="22">
        <f>IFERROR(__xludf.DUMMYFUNCTION("IFERROR(GOOGLEFINANCE(A291,""low""),"""")"),97.0)</f>
        <v>97</v>
      </c>
      <c r="Z291" s="22">
        <f>IFERROR(__xludf.DUMMYFUNCTION("IFERROR(GOOGLEFINANCE(A291,""volume""),"""")"),7633900.0)</f>
        <v>7633900</v>
      </c>
      <c r="AA291" s="24" t="str">
        <f>VLOOKUP(A291,Metrik!$C$2:$Y$959,5,0)</f>
        <v>Coal</v>
      </c>
      <c r="AB291" s="24" t="str">
        <f>VLOOKUP(A291,Metrik!$C$2:$Y$959,3,0)</f>
        <v>Energy</v>
      </c>
    </row>
    <row r="292">
      <c r="A292" s="14" t="s">
        <v>170</v>
      </c>
      <c r="B292" s="14" t="str">
        <f t="array" ref="B292">VLOOKUP(A292,{Metrik!$C$2:$C$998,Metrik!$B$2:$B$998},2,0)</f>
        <v>Krom Bank Indonesia Tbk.</v>
      </c>
      <c r="C292" s="15">
        <f>IFERROR(__xludf.DUMMYFUNCTION("GOOGLEFINANCE(""IDX:""&amp;A292,""price"")"),4400.0)</f>
        <v>4400</v>
      </c>
      <c r="D292" s="16" t="str">
        <f>IFERROR(__xludf.DUMMYFUNCTION("IF(A292="""","""",
SPARKLINE(
INDEX(
GOOGLEFINANCE(""IDX:""&amp;A292,""close"",TODAY()-365,TODAY()),
,2
),
{""linewidth"",1}
))
"),"#N/A")</f>
        <v>#N/A</v>
      </c>
      <c r="E292" s="26"/>
      <c r="F292" s="26"/>
      <c r="G292" s="24">
        <f t="shared" si="1"/>
        <v>0</v>
      </c>
      <c r="H292" s="19">
        <f>VLOOKUP(A292,Metrik!$C$2:$Y$959,8,0)</f>
        <v>91.2</v>
      </c>
      <c r="I292" s="20">
        <f>VLOOKUP(A292,Metrik!$C$2:$Y$959,9,0)</f>
        <v>4.6</v>
      </c>
      <c r="J292" s="20">
        <f>VLOOKUP(A292,Metrik!$C$2:$Y$959,10,0)</f>
        <v>5.1</v>
      </c>
      <c r="K292" s="20">
        <f>VLOOKUP(A292,Metrik!$C$2:$Y$959,11,0)</f>
        <v>1.2</v>
      </c>
      <c r="L292" s="20">
        <f>VLOOKUP(A292,Metrik!$C$2:$Y$959,12,0)</f>
        <v>3.2</v>
      </c>
      <c r="M292" s="20">
        <f>VLOOKUP(A292,Metrik!$C$2:$Y$959,19,0)</f>
        <v>21.9</v>
      </c>
      <c r="N292" s="32">
        <v>19.73</v>
      </c>
      <c r="O292" s="32">
        <v>45.31</v>
      </c>
      <c r="P292" s="32">
        <v>91.01</v>
      </c>
      <c r="Q292" s="32">
        <v>3.11</v>
      </c>
      <c r="R292" s="32">
        <v>89.05</v>
      </c>
      <c r="S292" s="32">
        <v>17.64</v>
      </c>
      <c r="T292" s="41"/>
      <c r="U292" s="22">
        <f>IFERROR(__xludf.DUMMYFUNCTION("IFERROR(GOOGLEFINANCE(A292,""closeyest""),"""")"),34.25)</f>
        <v>34.25</v>
      </c>
      <c r="V292" s="23">
        <f>IFERROR(__xludf.DUMMYFUNCTION("IFERROR(GOOGLEFINANCE(A292,""changepct""),"""")"),-0.23)</f>
        <v>-0.23</v>
      </c>
      <c r="W292" s="22">
        <f>IFERROR(__xludf.DUMMYFUNCTION("IFERROR(GOOGLEFINANCE(A292,""priceopen""),"""")"),34.2)</f>
        <v>34.2</v>
      </c>
      <c r="X292" s="22">
        <f>IFERROR(__xludf.DUMMYFUNCTION("IFERROR(GOOGLEFINANCE(A292,""high""),"""")"),35.01)</f>
        <v>35.01</v>
      </c>
      <c r="Y292" s="22">
        <f>IFERROR(__xludf.DUMMYFUNCTION("IFERROR(GOOGLEFINANCE(A292,""low""),"""")"),34.0)</f>
        <v>34</v>
      </c>
      <c r="Z292" s="22">
        <f>IFERROR(__xludf.DUMMYFUNCTION("IFERROR(GOOGLEFINANCE(A292,""volume""),"""")"),189571.0)</f>
        <v>189571</v>
      </c>
      <c r="AA292" s="24" t="str">
        <f>VLOOKUP(A292,Metrik!$C$2:$Y$959,5,0)</f>
        <v>Banks</v>
      </c>
      <c r="AB292" s="24" t="str">
        <f>VLOOKUP(A292,Metrik!$C$2:$Y$959,3,0)</f>
        <v>Financials</v>
      </c>
    </row>
    <row r="293">
      <c r="A293" s="14" t="s">
        <v>171</v>
      </c>
      <c r="B293" s="14" t="str">
        <f t="array" ref="B293">VLOOKUP(A293,{Metrik!$C$2:$C$998,Metrik!$B$2:$B$998},2,0)</f>
        <v>Bumi Benowo Sukses Sejahtera Tbk.</v>
      </c>
      <c r="C293" s="15">
        <f>IFERROR(__xludf.DUMMYFUNCTION("GOOGLEFINANCE(""IDX:""&amp;A293,""price"")"),102.0)</f>
        <v>102</v>
      </c>
      <c r="D293" s="16" t="str">
        <f>IFERROR(__xludf.DUMMYFUNCTION("IF(A293="""","""",
SPARKLINE(
INDEX(
GOOGLEFINANCE(""IDX:""&amp;A293,""close"",TODAY()-365,TODAY()),
,2
),
{""linewidth"",1}
))
"),"#N/A")</f>
        <v>#N/A</v>
      </c>
      <c r="E293" s="26"/>
      <c r="F293" s="26"/>
      <c r="G293" s="24">
        <f t="shared" si="1"/>
        <v>0</v>
      </c>
      <c r="H293" s="19">
        <f>VLOOKUP(A293,Metrik!$C$2:$Y$959,8,0)</f>
        <v>-1130</v>
      </c>
      <c r="I293" s="20">
        <f>VLOOKUP(A293,Metrik!$C$2:$Y$959,9,0)</f>
        <v>2.5</v>
      </c>
      <c r="J293" s="20">
        <f>VLOOKUP(A293,Metrik!$C$2:$Y$959,10,0)</f>
        <v>-0.22</v>
      </c>
      <c r="K293" s="20">
        <f>VLOOKUP(A293,Metrik!$C$2:$Y$959,11,0)</f>
        <v>-0.22</v>
      </c>
      <c r="L293" s="20">
        <f>VLOOKUP(A293,Metrik!$C$2:$Y$959,12,0)</f>
        <v>0.01</v>
      </c>
      <c r="M293" s="20">
        <f>VLOOKUP(A293,Metrik!$C$2:$Y$959,19,0)</f>
        <v>-360</v>
      </c>
      <c r="N293" s="21"/>
      <c r="O293" s="21"/>
      <c r="P293" s="21"/>
      <c r="Q293" s="21"/>
      <c r="R293" s="21"/>
      <c r="S293" s="21"/>
      <c r="T293" s="21"/>
      <c r="U293" s="22">
        <f>IFERROR(__xludf.DUMMYFUNCTION("IFERROR(GOOGLEFINANCE(A293,""closeyest""),"""")"),104.0)</f>
        <v>104</v>
      </c>
      <c r="V293" s="23">
        <f>IFERROR(__xludf.DUMMYFUNCTION("IFERROR(GOOGLEFINANCE(A293,""changepct""),"""")"),-1.92)</f>
        <v>-1.92</v>
      </c>
      <c r="W293" s="22" t="str">
        <f>IFERROR(__xludf.DUMMYFUNCTION("IFERROR(GOOGLEFINANCE(A293,""priceopen""),"""")"),"")</f>
        <v/>
      </c>
      <c r="X293" s="22">
        <f>IFERROR(__xludf.DUMMYFUNCTION("IFERROR(GOOGLEFINANCE(A293,""high""),"""")"),105.0)</f>
        <v>105</v>
      </c>
      <c r="Y293" s="22">
        <f>IFERROR(__xludf.DUMMYFUNCTION("IFERROR(GOOGLEFINANCE(A293,""low""),"""")"),100.0)</f>
        <v>100</v>
      </c>
      <c r="Z293" s="22">
        <f>IFERROR(__xludf.DUMMYFUNCTION("IFERROR(GOOGLEFINANCE(A293,""volume""),"""")"),261700.0)</f>
        <v>261700</v>
      </c>
      <c r="AA293" s="24" t="str">
        <f>VLOOKUP(A293,Metrik!$C$2:$Y$959,5,0)</f>
        <v>Real Estate Management &amp; Development</v>
      </c>
      <c r="AB293" s="24" t="str">
        <f>VLOOKUP(A293,Metrik!$C$2:$Y$959,3,0)</f>
        <v>Properties &amp; Real Estate</v>
      </c>
    </row>
    <row r="294">
      <c r="A294" s="14" t="s">
        <v>172</v>
      </c>
      <c r="B294" s="14" t="str">
        <f t="array" ref="B294">VLOOKUP(A294,{Metrik!$C$2:$C$998,Metrik!$B$2:$B$998},2,0)</f>
        <v>PT Bank Tabungan Negara (Persero) Tbk</v>
      </c>
      <c r="C294" s="15">
        <f>IFERROR(__xludf.DUMMYFUNCTION("GOOGLEFINANCE(""IDX:""&amp;A294,""price"")"),1260.0)</f>
        <v>1260</v>
      </c>
      <c r="D294" s="16" t="str">
        <f>IFERROR(__xludf.DUMMYFUNCTION("IF(A294="""","""",
SPARKLINE(
INDEX(
GOOGLEFINANCE(""IDX:""&amp;A294,""close"",TODAY()-365,TODAY()),
,2
),
{""linewidth"",1}
))
"),"#N/A")</f>
        <v>#N/A</v>
      </c>
      <c r="E294" s="14" t="s">
        <v>47</v>
      </c>
      <c r="F294" s="25">
        <v>46356.0</v>
      </c>
      <c r="G294" s="24">
        <f t="shared" si="1"/>
        <v>14</v>
      </c>
      <c r="H294" s="19">
        <f>VLOOKUP(A294,Metrik!$C$2:$Y$959,8,0)</f>
        <v>4.8</v>
      </c>
      <c r="I294" s="20">
        <f>VLOOKUP(A294,Metrik!$C$2:$Y$959,9,0)</f>
        <v>0.48</v>
      </c>
      <c r="J294" s="20">
        <f>VLOOKUP(A294,Metrik!$C$2:$Y$959,10,0)</f>
        <v>10.1</v>
      </c>
      <c r="K294" s="20">
        <f>VLOOKUP(A294,Metrik!$C$2:$Y$959,11,0)</f>
        <v>0.72</v>
      </c>
      <c r="L294" s="20">
        <f>VLOOKUP(A294,Metrik!$C$2:$Y$959,12,0)</f>
        <v>12.3</v>
      </c>
      <c r="M294" s="20">
        <f>VLOOKUP(A294,Metrik!$C$2:$Y$959,19,0)</f>
        <v>48.5</v>
      </c>
      <c r="N294" s="29">
        <v>2.86</v>
      </c>
      <c r="O294" s="29">
        <v>18.5</v>
      </c>
      <c r="P294" s="29">
        <v>93.79</v>
      </c>
      <c r="Q294" s="29">
        <v>3.16</v>
      </c>
      <c r="R294" s="29">
        <v>88.7</v>
      </c>
      <c r="S294" s="29">
        <v>57.15</v>
      </c>
      <c r="T294" s="29">
        <v>19.65</v>
      </c>
      <c r="U294" s="22">
        <f>IFERROR(__xludf.DUMMYFUNCTION("IFERROR(GOOGLEFINANCE(A294,""closeyest""),"""")"),1185.0)</f>
        <v>1185</v>
      </c>
      <c r="V294" s="23">
        <f>IFERROR(__xludf.DUMMYFUNCTION("IFERROR(GOOGLEFINANCE(A294,""changepct""),"""")"),6.33)</f>
        <v>6.33</v>
      </c>
      <c r="W294" s="22">
        <f>IFERROR(__xludf.DUMMYFUNCTION("IFERROR(GOOGLEFINANCE(A294,""priceopen""),"""")"),1200.0)</f>
        <v>1200</v>
      </c>
      <c r="X294" s="22">
        <f>IFERROR(__xludf.DUMMYFUNCTION("IFERROR(GOOGLEFINANCE(A294,""high""),"""")"),1295.0)</f>
        <v>1295</v>
      </c>
      <c r="Y294" s="22">
        <f>IFERROR(__xludf.DUMMYFUNCTION("IFERROR(GOOGLEFINANCE(A294,""low""),"""")"),1190.0)</f>
        <v>1190</v>
      </c>
      <c r="Z294" s="22">
        <f>IFERROR(__xludf.DUMMYFUNCTION("IFERROR(GOOGLEFINANCE(A294,""volume""),"""")"),3.54914E7)</f>
        <v>35491400</v>
      </c>
      <c r="AA294" s="24" t="str">
        <f>VLOOKUP(A294,Metrik!$C$2:$Y$959,5,0)</f>
        <v>Banks</v>
      </c>
      <c r="AB294" s="24" t="str">
        <f>VLOOKUP(A294,Metrik!$C$2:$Y$959,3,0)</f>
        <v>Financials</v>
      </c>
    </row>
    <row r="295">
      <c r="A295" s="14" t="s">
        <v>172</v>
      </c>
      <c r="B295" s="14" t="str">
        <f t="array" ref="B295">VLOOKUP(A295,{Metrik!$C$2:$C$998,Metrik!$B$2:$B$998},2,0)</f>
        <v>PT Bank Tabungan Negara (Persero) Tbk</v>
      </c>
      <c r="C295" s="15">
        <f>IFERROR(__xludf.DUMMYFUNCTION("GOOGLEFINANCE(""IDX:""&amp;A295,""price"")"),1260.0)</f>
        <v>1260</v>
      </c>
      <c r="D295" s="16" t="str">
        <f>IFERROR(__xludf.DUMMYFUNCTION("IF(A295="""","""",
SPARKLINE(
INDEX(
GOOGLEFINANCE(""IDX:""&amp;A295,""close"",TODAY()-365,TODAY()),
,2
),
{""linewidth"",1}
))
"),"#N/A")</f>
        <v>#N/A</v>
      </c>
      <c r="E295" s="14" t="s">
        <v>75</v>
      </c>
      <c r="F295" s="14" t="s">
        <v>76</v>
      </c>
      <c r="G295" s="24">
        <f t="shared" si="1"/>
        <v>14</v>
      </c>
      <c r="H295" s="19">
        <f>VLOOKUP(A295,Metrik!$C$2:$Y$959,8,0)</f>
        <v>4.8</v>
      </c>
      <c r="I295" s="20">
        <f>VLOOKUP(A295,Metrik!$C$2:$Y$959,9,0)</f>
        <v>0.48</v>
      </c>
      <c r="J295" s="20">
        <f>VLOOKUP(A295,Metrik!$C$2:$Y$959,10,0)</f>
        <v>10.1</v>
      </c>
      <c r="K295" s="20">
        <f>VLOOKUP(A295,Metrik!$C$2:$Y$959,11,0)</f>
        <v>0.72</v>
      </c>
      <c r="L295" s="20">
        <f>VLOOKUP(A295,Metrik!$C$2:$Y$959,12,0)</f>
        <v>12.3</v>
      </c>
      <c r="M295" s="20">
        <f>VLOOKUP(A295,Metrik!$C$2:$Y$959,19,0)</f>
        <v>48.5</v>
      </c>
      <c r="N295" s="29">
        <v>2.86</v>
      </c>
      <c r="O295" s="29">
        <v>18.5</v>
      </c>
      <c r="P295" s="29">
        <v>93.79</v>
      </c>
      <c r="Q295" s="29">
        <v>3.16</v>
      </c>
      <c r="R295" s="29">
        <v>88.7</v>
      </c>
      <c r="S295" s="29">
        <v>57.15</v>
      </c>
      <c r="T295" s="29">
        <v>19.65</v>
      </c>
      <c r="U295" s="22">
        <f>IFERROR(__xludf.DUMMYFUNCTION("IFERROR(GOOGLEFINANCE(A295,""closeyest""),"""")"),1185.0)</f>
        <v>1185</v>
      </c>
      <c r="V295" s="23">
        <f>IFERROR(__xludf.DUMMYFUNCTION("IFERROR(GOOGLEFINANCE(A295,""changepct""),"""")"),6.33)</f>
        <v>6.33</v>
      </c>
      <c r="W295" s="22">
        <f>IFERROR(__xludf.DUMMYFUNCTION("IFERROR(GOOGLEFINANCE(A295,""priceopen""),"""")"),1200.0)</f>
        <v>1200</v>
      </c>
      <c r="X295" s="22">
        <f>IFERROR(__xludf.DUMMYFUNCTION("IFERROR(GOOGLEFINANCE(A295,""high""),"""")"),1295.0)</f>
        <v>1295</v>
      </c>
      <c r="Y295" s="22">
        <f>IFERROR(__xludf.DUMMYFUNCTION("IFERROR(GOOGLEFINANCE(A295,""low""),"""")"),1190.0)</f>
        <v>1190</v>
      </c>
      <c r="Z295" s="22">
        <f>IFERROR(__xludf.DUMMYFUNCTION("IFERROR(GOOGLEFINANCE(A295,""volume""),"""")"),3.54914E7)</f>
        <v>35491400</v>
      </c>
      <c r="AA295" s="24" t="str">
        <f>VLOOKUP(A295,Metrik!$C$2:$Y$959,5,0)</f>
        <v>Banks</v>
      </c>
      <c r="AB295" s="24" t="str">
        <f>VLOOKUP(A295,Metrik!$C$2:$Y$959,3,0)</f>
        <v>Financials</v>
      </c>
    </row>
    <row r="296">
      <c r="A296" s="14" t="s">
        <v>172</v>
      </c>
      <c r="B296" s="14" t="str">
        <f t="array" ref="B296">VLOOKUP(A296,{Metrik!$C$2:$C$998,Metrik!$B$2:$B$998},2,0)</f>
        <v>PT Bank Tabungan Negara (Persero) Tbk</v>
      </c>
      <c r="C296" s="15">
        <f>IFERROR(__xludf.DUMMYFUNCTION("GOOGLEFINANCE(""IDX:""&amp;A296,""price"")"),1260.0)</f>
        <v>1260</v>
      </c>
      <c r="D296" s="16" t="str">
        <f>IFERROR(__xludf.DUMMYFUNCTION("IF(A296="""","""",
SPARKLINE(
INDEX(
GOOGLEFINANCE(""IDX:""&amp;A296,""close"",TODAY()-365,TODAY()),
,2
),
{""linewidth"",1}
))
"),"#N/A")</f>
        <v>#N/A</v>
      </c>
      <c r="E296" s="14" t="s">
        <v>32</v>
      </c>
      <c r="F296" s="14" t="s">
        <v>29</v>
      </c>
      <c r="G296" s="24">
        <f t="shared" si="1"/>
        <v>14</v>
      </c>
      <c r="H296" s="19">
        <f>VLOOKUP(A296,Metrik!$C$2:$Y$959,8,0)</f>
        <v>4.8</v>
      </c>
      <c r="I296" s="20">
        <f>VLOOKUP(A296,Metrik!$C$2:$Y$959,9,0)</f>
        <v>0.48</v>
      </c>
      <c r="J296" s="20">
        <f>VLOOKUP(A296,Metrik!$C$2:$Y$959,10,0)</f>
        <v>10.1</v>
      </c>
      <c r="K296" s="20">
        <f>VLOOKUP(A296,Metrik!$C$2:$Y$959,11,0)</f>
        <v>0.72</v>
      </c>
      <c r="L296" s="20">
        <f>VLOOKUP(A296,Metrik!$C$2:$Y$959,12,0)</f>
        <v>12.3</v>
      </c>
      <c r="M296" s="20">
        <f>VLOOKUP(A296,Metrik!$C$2:$Y$959,19,0)</f>
        <v>48.5</v>
      </c>
      <c r="N296" s="29">
        <v>2.86</v>
      </c>
      <c r="O296" s="29">
        <v>18.5</v>
      </c>
      <c r="P296" s="29">
        <v>93.79</v>
      </c>
      <c r="Q296" s="29">
        <v>3.16</v>
      </c>
      <c r="R296" s="29">
        <v>88.7</v>
      </c>
      <c r="S296" s="29">
        <v>57.15</v>
      </c>
      <c r="T296" s="29">
        <v>19.65</v>
      </c>
      <c r="U296" s="22">
        <f>IFERROR(__xludf.DUMMYFUNCTION("IFERROR(GOOGLEFINANCE(A296,""closeyest""),"""")"),1185.0)</f>
        <v>1185</v>
      </c>
      <c r="V296" s="23">
        <f>IFERROR(__xludf.DUMMYFUNCTION("IFERROR(GOOGLEFINANCE(A296,""changepct""),"""")"),6.33)</f>
        <v>6.33</v>
      </c>
      <c r="W296" s="22">
        <f>IFERROR(__xludf.DUMMYFUNCTION("IFERROR(GOOGLEFINANCE(A296,""priceopen""),"""")"),1200.0)</f>
        <v>1200</v>
      </c>
      <c r="X296" s="22">
        <f>IFERROR(__xludf.DUMMYFUNCTION("IFERROR(GOOGLEFINANCE(A296,""high""),"""")"),1295.0)</f>
        <v>1295</v>
      </c>
      <c r="Y296" s="22">
        <f>IFERROR(__xludf.DUMMYFUNCTION("IFERROR(GOOGLEFINANCE(A296,""low""),"""")"),1190.0)</f>
        <v>1190</v>
      </c>
      <c r="Z296" s="22">
        <f>IFERROR(__xludf.DUMMYFUNCTION("IFERROR(GOOGLEFINANCE(A296,""volume""),"""")"),3.54914E7)</f>
        <v>35491400</v>
      </c>
      <c r="AA296" s="24" t="str">
        <f>VLOOKUP(A296,Metrik!$C$2:$Y$959,5,0)</f>
        <v>Banks</v>
      </c>
      <c r="AB296" s="24" t="str">
        <f>VLOOKUP(A296,Metrik!$C$2:$Y$959,3,0)</f>
        <v>Financials</v>
      </c>
    </row>
    <row r="297">
      <c r="A297" s="14" t="s">
        <v>172</v>
      </c>
      <c r="B297" s="14" t="str">
        <f t="array" ref="B297">VLOOKUP(A297,{Metrik!$C$2:$C$998,Metrik!$B$2:$B$998},2,0)</f>
        <v>PT Bank Tabungan Negara (Persero) Tbk</v>
      </c>
      <c r="C297" s="15">
        <f>IFERROR(__xludf.DUMMYFUNCTION("GOOGLEFINANCE(""IDX:""&amp;A297,""price"")"),1260.0)</f>
        <v>1260</v>
      </c>
      <c r="D297" s="16" t="str">
        <f>IFERROR(__xludf.DUMMYFUNCTION("IF(A297="""","""",
SPARKLINE(
INDEX(
GOOGLEFINANCE(""IDX:""&amp;A297,""close"",TODAY()-365,TODAY()),
,2
),
{""linewidth"",1}
))
"),"#N/A")</f>
        <v>#N/A</v>
      </c>
      <c r="E297" s="14" t="s">
        <v>52</v>
      </c>
      <c r="F297" s="27" t="s">
        <v>53</v>
      </c>
      <c r="G297" s="24">
        <f t="shared" si="1"/>
        <v>14</v>
      </c>
      <c r="H297" s="19">
        <f>VLOOKUP(A297,Metrik!$C$2:$Y$959,8,0)</f>
        <v>4.8</v>
      </c>
      <c r="I297" s="20">
        <f>VLOOKUP(A297,Metrik!$C$2:$Y$959,9,0)</f>
        <v>0.48</v>
      </c>
      <c r="J297" s="20">
        <f>VLOOKUP(A297,Metrik!$C$2:$Y$959,10,0)</f>
        <v>10.1</v>
      </c>
      <c r="K297" s="20">
        <f>VLOOKUP(A297,Metrik!$C$2:$Y$959,11,0)</f>
        <v>0.72</v>
      </c>
      <c r="L297" s="20">
        <f>VLOOKUP(A297,Metrik!$C$2:$Y$959,12,0)</f>
        <v>12.3</v>
      </c>
      <c r="M297" s="20">
        <f>VLOOKUP(A297,Metrik!$C$2:$Y$959,19,0)</f>
        <v>48.5</v>
      </c>
      <c r="N297" s="29">
        <v>2.86</v>
      </c>
      <c r="O297" s="29">
        <v>18.5</v>
      </c>
      <c r="P297" s="29">
        <v>93.79</v>
      </c>
      <c r="Q297" s="29">
        <v>3.16</v>
      </c>
      <c r="R297" s="29">
        <v>88.7</v>
      </c>
      <c r="S297" s="29">
        <v>57.15</v>
      </c>
      <c r="T297" s="29">
        <v>19.65</v>
      </c>
      <c r="U297" s="22">
        <f>IFERROR(__xludf.DUMMYFUNCTION("IFERROR(GOOGLEFINANCE(A297,""closeyest""),"""")"),1185.0)</f>
        <v>1185</v>
      </c>
      <c r="V297" s="23">
        <f>IFERROR(__xludf.DUMMYFUNCTION("IFERROR(GOOGLEFINANCE(A297,""changepct""),"""")"),6.33)</f>
        <v>6.33</v>
      </c>
      <c r="W297" s="22">
        <f>IFERROR(__xludf.DUMMYFUNCTION("IFERROR(GOOGLEFINANCE(A297,""priceopen""),"""")"),1200.0)</f>
        <v>1200</v>
      </c>
      <c r="X297" s="22">
        <f>IFERROR(__xludf.DUMMYFUNCTION("IFERROR(GOOGLEFINANCE(A297,""high""),"""")"),1295.0)</f>
        <v>1295</v>
      </c>
      <c r="Y297" s="22">
        <f>IFERROR(__xludf.DUMMYFUNCTION("IFERROR(GOOGLEFINANCE(A297,""low""),"""")"),1190.0)</f>
        <v>1190</v>
      </c>
      <c r="Z297" s="22">
        <f>IFERROR(__xludf.DUMMYFUNCTION("IFERROR(GOOGLEFINANCE(A297,""volume""),"""")"),3.54914E7)</f>
        <v>35491400</v>
      </c>
      <c r="AA297" s="24" t="str">
        <f>VLOOKUP(A297,Metrik!$C$2:$Y$959,5,0)</f>
        <v>Banks</v>
      </c>
      <c r="AB297" s="24" t="str">
        <f>VLOOKUP(A297,Metrik!$C$2:$Y$959,3,0)</f>
        <v>Financials</v>
      </c>
    </row>
    <row r="298">
      <c r="A298" s="14" t="s">
        <v>172</v>
      </c>
      <c r="B298" s="14" t="str">
        <f t="array" ref="B298">VLOOKUP(A298,{Metrik!$C$2:$C$998,Metrik!$B$2:$B$998},2,0)</f>
        <v>PT Bank Tabungan Negara (Persero) Tbk</v>
      </c>
      <c r="C298" s="15">
        <f>IFERROR(__xludf.DUMMYFUNCTION("GOOGLEFINANCE(""IDX:""&amp;A298,""price"")"),1260.0)</f>
        <v>1260</v>
      </c>
      <c r="D298" s="16" t="str">
        <f>IFERROR(__xludf.DUMMYFUNCTION("IF(A298="""","""",
SPARKLINE(
INDEX(
GOOGLEFINANCE(""IDX:""&amp;A298,""close"",TODAY()-365,TODAY()),
,2
),
{""linewidth"",1}
))
"),"#N/A")</f>
        <v>#N/A</v>
      </c>
      <c r="E298" s="14" t="s">
        <v>31</v>
      </c>
      <c r="F298" s="17" t="s">
        <v>29</v>
      </c>
      <c r="G298" s="24">
        <f t="shared" si="1"/>
        <v>14</v>
      </c>
      <c r="H298" s="19">
        <f>VLOOKUP(A298,Metrik!$C$2:$Y$959,8,0)</f>
        <v>4.8</v>
      </c>
      <c r="I298" s="20">
        <f>VLOOKUP(A298,Metrik!$C$2:$Y$959,9,0)</f>
        <v>0.48</v>
      </c>
      <c r="J298" s="20">
        <f>VLOOKUP(A298,Metrik!$C$2:$Y$959,10,0)</f>
        <v>10.1</v>
      </c>
      <c r="K298" s="20">
        <f>VLOOKUP(A298,Metrik!$C$2:$Y$959,11,0)</f>
        <v>0.72</v>
      </c>
      <c r="L298" s="20">
        <f>VLOOKUP(A298,Metrik!$C$2:$Y$959,12,0)</f>
        <v>12.3</v>
      </c>
      <c r="M298" s="20">
        <f>VLOOKUP(A298,Metrik!$C$2:$Y$959,19,0)</f>
        <v>48.5</v>
      </c>
      <c r="N298" s="29">
        <v>2.86</v>
      </c>
      <c r="O298" s="29">
        <v>18.5</v>
      </c>
      <c r="P298" s="29">
        <v>93.79</v>
      </c>
      <c r="Q298" s="29">
        <v>3.16</v>
      </c>
      <c r="R298" s="29">
        <v>88.7</v>
      </c>
      <c r="S298" s="29">
        <v>57.15</v>
      </c>
      <c r="T298" s="29">
        <v>19.65</v>
      </c>
      <c r="U298" s="22">
        <f>IFERROR(__xludf.DUMMYFUNCTION("IFERROR(GOOGLEFINANCE(A298,""closeyest""),"""")"),1185.0)</f>
        <v>1185</v>
      </c>
      <c r="V298" s="23">
        <f>IFERROR(__xludf.DUMMYFUNCTION("IFERROR(GOOGLEFINANCE(A298,""changepct""),"""")"),6.33)</f>
        <v>6.33</v>
      </c>
      <c r="W298" s="22">
        <f>IFERROR(__xludf.DUMMYFUNCTION("IFERROR(GOOGLEFINANCE(A298,""priceopen""),"""")"),1200.0)</f>
        <v>1200</v>
      </c>
      <c r="X298" s="22">
        <f>IFERROR(__xludf.DUMMYFUNCTION("IFERROR(GOOGLEFINANCE(A298,""high""),"""")"),1295.0)</f>
        <v>1295</v>
      </c>
      <c r="Y298" s="22">
        <f>IFERROR(__xludf.DUMMYFUNCTION("IFERROR(GOOGLEFINANCE(A298,""low""),"""")"),1190.0)</f>
        <v>1190</v>
      </c>
      <c r="Z298" s="22">
        <f>IFERROR(__xludf.DUMMYFUNCTION("IFERROR(GOOGLEFINANCE(A298,""volume""),"""")"),3.54914E7)</f>
        <v>35491400</v>
      </c>
      <c r="AA298" s="24" t="str">
        <f>VLOOKUP(A298,Metrik!$C$2:$Y$959,5,0)</f>
        <v>Banks</v>
      </c>
      <c r="AB298" s="24" t="str">
        <f>VLOOKUP(A298,Metrik!$C$2:$Y$959,3,0)</f>
        <v>Financials</v>
      </c>
    </row>
    <row r="299">
      <c r="A299" s="14" t="s">
        <v>172</v>
      </c>
      <c r="B299" s="14" t="str">
        <f t="array" ref="B299">VLOOKUP(A299,{Metrik!$C$2:$C$998,Metrik!$B$2:$B$998},2,0)</f>
        <v>PT Bank Tabungan Negara (Persero) Tbk</v>
      </c>
      <c r="C299" s="15">
        <f>IFERROR(__xludf.DUMMYFUNCTION("GOOGLEFINANCE(""IDX:""&amp;A299,""price"")"),1260.0)</f>
        <v>1260</v>
      </c>
      <c r="D299" s="16" t="str">
        <f>IFERROR(__xludf.DUMMYFUNCTION("IF(A299="""","""",
SPARKLINE(
INDEX(
GOOGLEFINANCE(""IDX:""&amp;A299,""close"",TODAY()-365,TODAY()),
,2
),
{""linewidth"",1}
))
"),"#N/A")</f>
        <v>#N/A</v>
      </c>
      <c r="E299" s="14" t="s">
        <v>28</v>
      </c>
      <c r="F299" s="17" t="s">
        <v>29</v>
      </c>
      <c r="G299" s="24">
        <f t="shared" si="1"/>
        <v>14</v>
      </c>
      <c r="H299" s="19">
        <f>VLOOKUP(A299,Metrik!$C$2:$Y$959,8,0)</f>
        <v>4.8</v>
      </c>
      <c r="I299" s="20">
        <f>VLOOKUP(A299,Metrik!$C$2:$Y$959,9,0)</f>
        <v>0.48</v>
      </c>
      <c r="J299" s="20">
        <f>VLOOKUP(A299,Metrik!$C$2:$Y$959,10,0)</f>
        <v>10.1</v>
      </c>
      <c r="K299" s="20">
        <f>VLOOKUP(A299,Metrik!$C$2:$Y$959,11,0)</f>
        <v>0.72</v>
      </c>
      <c r="L299" s="20">
        <f>VLOOKUP(A299,Metrik!$C$2:$Y$959,12,0)</f>
        <v>12.3</v>
      </c>
      <c r="M299" s="20">
        <f>VLOOKUP(A299,Metrik!$C$2:$Y$959,19,0)</f>
        <v>48.5</v>
      </c>
      <c r="N299" s="29">
        <v>2.86</v>
      </c>
      <c r="O299" s="29">
        <v>18.5</v>
      </c>
      <c r="P299" s="29">
        <v>93.79</v>
      </c>
      <c r="Q299" s="29">
        <v>3.16</v>
      </c>
      <c r="R299" s="29">
        <v>88.7</v>
      </c>
      <c r="S299" s="29">
        <v>57.15</v>
      </c>
      <c r="T299" s="29">
        <v>19.65</v>
      </c>
      <c r="U299" s="22">
        <f>IFERROR(__xludf.DUMMYFUNCTION("IFERROR(GOOGLEFINANCE(A299,""closeyest""),"""")"),1185.0)</f>
        <v>1185</v>
      </c>
      <c r="V299" s="23">
        <f>IFERROR(__xludf.DUMMYFUNCTION("IFERROR(GOOGLEFINANCE(A299,""changepct""),"""")"),6.33)</f>
        <v>6.33</v>
      </c>
      <c r="W299" s="22">
        <f>IFERROR(__xludf.DUMMYFUNCTION("IFERROR(GOOGLEFINANCE(A299,""priceopen""),"""")"),1200.0)</f>
        <v>1200</v>
      </c>
      <c r="X299" s="22">
        <f>IFERROR(__xludf.DUMMYFUNCTION("IFERROR(GOOGLEFINANCE(A299,""high""),"""")"),1295.0)</f>
        <v>1295</v>
      </c>
      <c r="Y299" s="22">
        <f>IFERROR(__xludf.DUMMYFUNCTION("IFERROR(GOOGLEFINANCE(A299,""low""),"""")"),1190.0)</f>
        <v>1190</v>
      </c>
      <c r="Z299" s="22">
        <f>IFERROR(__xludf.DUMMYFUNCTION("IFERROR(GOOGLEFINANCE(A299,""volume""),"""")"),3.54914E7)</f>
        <v>35491400</v>
      </c>
      <c r="AA299" s="24" t="str">
        <f>VLOOKUP(A299,Metrik!$C$2:$Y$959,5,0)</f>
        <v>Banks</v>
      </c>
      <c r="AB299" s="24" t="str">
        <f>VLOOKUP(A299,Metrik!$C$2:$Y$959,3,0)</f>
        <v>Financials</v>
      </c>
    </row>
    <row r="300">
      <c r="A300" s="14" t="s">
        <v>172</v>
      </c>
      <c r="B300" s="14" t="str">
        <f t="array" ref="B300">VLOOKUP(A300,{Metrik!$C$2:$C$998,Metrik!$B$2:$B$998},2,0)</f>
        <v>PT Bank Tabungan Negara (Persero) Tbk</v>
      </c>
      <c r="C300" s="15">
        <f>IFERROR(__xludf.DUMMYFUNCTION("GOOGLEFINANCE(""IDX:""&amp;A300,""price"")"),1260.0)</f>
        <v>1260</v>
      </c>
      <c r="D300" s="16" t="str">
        <f>IFERROR(__xludf.DUMMYFUNCTION("IF(A300="""","""",
SPARKLINE(
INDEX(
GOOGLEFINANCE(""IDX:""&amp;A300,""close"",TODAY()-365,TODAY()),
,2
),
{""linewidth"",1}
))
"),"#N/A")</f>
        <v>#N/A</v>
      </c>
      <c r="E300" s="14" t="s">
        <v>61</v>
      </c>
      <c r="F300" s="14" t="s">
        <v>34</v>
      </c>
      <c r="G300" s="24">
        <f t="shared" si="1"/>
        <v>14</v>
      </c>
      <c r="H300" s="19">
        <f>VLOOKUP(A300,Metrik!$C$2:$Y$959,8,0)</f>
        <v>4.8</v>
      </c>
      <c r="I300" s="20">
        <f>VLOOKUP(A300,Metrik!$C$2:$Y$959,9,0)</f>
        <v>0.48</v>
      </c>
      <c r="J300" s="20">
        <f>VLOOKUP(A300,Metrik!$C$2:$Y$959,10,0)</f>
        <v>10.1</v>
      </c>
      <c r="K300" s="20">
        <f>VLOOKUP(A300,Metrik!$C$2:$Y$959,11,0)</f>
        <v>0.72</v>
      </c>
      <c r="L300" s="20">
        <f>VLOOKUP(A300,Metrik!$C$2:$Y$959,12,0)</f>
        <v>12.3</v>
      </c>
      <c r="M300" s="20">
        <f>VLOOKUP(A300,Metrik!$C$2:$Y$959,19,0)</f>
        <v>48.5</v>
      </c>
      <c r="N300" s="29">
        <v>2.86</v>
      </c>
      <c r="O300" s="29">
        <v>18.5</v>
      </c>
      <c r="P300" s="29">
        <v>93.79</v>
      </c>
      <c r="Q300" s="29">
        <v>3.16</v>
      </c>
      <c r="R300" s="29">
        <v>88.7</v>
      </c>
      <c r="S300" s="29">
        <v>57.15</v>
      </c>
      <c r="T300" s="29">
        <v>19.65</v>
      </c>
      <c r="U300" s="22">
        <f>IFERROR(__xludf.DUMMYFUNCTION("IFERROR(GOOGLEFINANCE(A300,""closeyest""),"""")"),1185.0)</f>
        <v>1185</v>
      </c>
      <c r="V300" s="23">
        <f>IFERROR(__xludf.DUMMYFUNCTION("IFERROR(GOOGLEFINANCE(A300,""changepct""),"""")"),6.33)</f>
        <v>6.33</v>
      </c>
      <c r="W300" s="22">
        <f>IFERROR(__xludf.DUMMYFUNCTION("IFERROR(GOOGLEFINANCE(A300,""priceopen""),"""")"),1200.0)</f>
        <v>1200</v>
      </c>
      <c r="X300" s="22">
        <f>IFERROR(__xludf.DUMMYFUNCTION("IFERROR(GOOGLEFINANCE(A300,""high""),"""")"),1295.0)</f>
        <v>1295</v>
      </c>
      <c r="Y300" s="22">
        <f>IFERROR(__xludf.DUMMYFUNCTION("IFERROR(GOOGLEFINANCE(A300,""low""),"""")"),1190.0)</f>
        <v>1190</v>
      </c>
      <c r="Z300" s="22">
        <f>IFERROR(__xludf.DUMMYFUNCTION("IFERROR(GOOGLEFINANCE(A300,""volume""),"""")"),3.54914E7)</f>
        <v>35491400</v>
      </c>
      <c r="AA300" s="24" t="str">
        <f>VLOOKUP(A300,Metrik!$C$2:$Y$959,5,0)</f>
        <v>Banks</v>
      </c>
      <c r="AB300" s="24" t="str">
        <f>VLOOKUP(A300,Metrik!$C$2:$Y$959,3,0)</f>
        <v>Financials</v>
      </c>
    </row>
    <row r="301">
      <c r="A301" s="14" t="s">
        <v>172</v>
      </c>
      <c r="B301" s="14" t="str">
        <f t="array" ref="B301">VLOOKUP(A301,{Metrik!$C$2:$C$998,Metrik!$B$2:$B$998},2,0)</f>
        <v>PT Bank Tabungan Negara (Persero) Tbk</v>
      </c>
      <c r="C301" s="15">
        <f>IFERROR(__xludf.DUMMYFUNCTION("GOOGLEFINANCE(""IDX:""&amp;A301,""price"")"),1260.0)</f>
        <v>1260</v>
      </c>
      <c r="D301" s="16" t="str">
        <f>IFERROR(__xludf.DUMMYFUNCTION("IF(A301="""","""",
SPARKLINE(
INDEX(
GOOGLEFINANCE(""IDX:""&amp;A301,""close"",TODAY()-365,TODAY()),
,2
),
{""linewidth"",1}
))
"),"#N/A")</f>
        <v>#N/A</v>
      </c>
      <c r="E301" s="14" t="s">
        <v>33</v>
      </c>
      <c r="F301" s="14" t="s">
        <v>34</v>
      </c>
      <c r="G301" s="24">
        <f t="shared" si="1"/>
        <v>14</v>
      </c>
      <c r="H301" s="19">
        <f>VLOOKUP(A301,Metrik!$C$2:$Y$959,8,0)</f>
        <v>4.8</v>
      </c>
      <c r="I301" s="20">
        <f>VLOOKUP(A301,Metrik!$C$2:$Y$959,9,0)</f>
        <v>0.48</v>
      </c>
      <c r="J301" s="20">
        <f>VLOOKUP(A301,Metrik!$C$2:$Y$959,10,0)</f>
        <v>10.1</v>
      </c>
      <c r="K301" s="20">
        <f>VLOOKUP(A301,Metrik!$C$2:$Y$959,11,0)</f>
        <v>0.72</v>
      </c>
      <c r="L301" s="20">
        <f>VLOOKUP(A301,Metrik!$C$2:$Y$959,12,0)</f>
        <v>12.3</v>
      </c>
      <c r="M301" s="20">
        <f>VLOOKUP(A301,Metrik!$C$2:$Y$959,19,0)</f>
        <v>48.5</v>
      </c>
      <c r="N301" s="29">
        <v>2.86</v>
      </c>
      <c r="O301" s="29">
        <v>18.5</v>
      </c>
      <c r="P301" s="29">
        <v>93.79</v>
      </c>
      <c r="Q301" s="29">
        <v>3.16</v>
      </c>
      <c r="R301" s="29">
        <v>88.7</v>
      </c>
      <c r="S301" s="29">
        <v>57.15</v>
      </c>
      <c r="T301" s="29">
        <v>19.65</v>
      </c>
      <c r="U301" s="22">
        <f>IFERROR(__xludf.DUMMYFUNCTION("IFERROR(GOOGLEFINANCE(A301,""closeyest""),"""")"),1185.0)</f>
        <v>1185</v>
      </c>
      <c r="V301" s="23">
        <f>IFERROR(__xludf.DUMMYFUNCTION("IFERROR(GOOGLEFINANCE(A301,""changepct""),"""")"),6.33)</f>
        <v>6.33</v>
      </c>
      <c r="W301" s="22">
        <f>IFERROR(__xludf.DUMMYFUNCTION("IFERROR(GOOGLEFINANCE(A301,""priceopen""),"""")"),1200.0)</f>
        <v>1200</v>
      </c>
      <c r="X301" s="22">
        <f>IFERROR(__xludf.DUMMYFUNCTION("IFERROR(GOOGLEFINANCE(A301,""high""),"""")"),1295.0)</f>
        <v>1295</v>
      </c>
      <c r="Y301" s="22">
        <f>IFERROR(__xludf.DUMMYFUNCTION("IFERROR(GOOGLEFINANCE(A301,""low""),"""")"),1190.0)</f>
        <v>1190</v>
      </c>
      <c r="Z301" s="22">
        <f>IFERROR(__xludf.DUMMYFUNCTION("IFERROR(GOOGLEFINANCE(A301,""volume""),"""")"),3.54914E7)</f>
        <v>35491400</v>
      </c>
      <c r="AA301" s="24" t="str">
        <f>VLOOKUP(A301,Metrik!$C$2:$Y$959,5,0)</f>
        <v>Banks</v>
      </c>
      <c r="AB301" s="24" t="str">
        <f>VLOOKUP(A301,Metrik!$C$2:$Y$959,3,0)</f>
        <v>Financials</v>
      </c>
    </row>
    <row r="302">
      <c r="A302" s="14" t="s">
        <v>172</v>
      </c>
      <c r="B302" s="14" t="str">
        <f t="array" ref="B302">VLOOKUP(A302,{Metrik!$C$2:$C$998,Metrik!$B$2:$B$998},2,0)</f>
        <v>PT Bank Tabungan Negara (Persero) Tbk</v>
      </c>
      <c r="C302" s="15">
        <f>IFERROR(__xludf.DUMMYFUNCTION("GOOGLEFINANCE(""IDX:""&amp;A302,""price"")"),1260.0)</f>
        <v>1260</v>
      </c>
      <c r="D302" s="16" t="str">
        <f>IFERROR(__xludf.DUMMYFUNCTION("IF(A302="""","""",
SPARKLINE(
INDEX(
GOOGLEFINANCE(""IDX:""&amp;A302,""close"",TODAY()-365,TODAY()),
,2
),
{""linewidth"",1}
))
"),"#N/A")</f>
        <v>#N/A</v>
      </c>
      <c r="E302" s="14" t="s">
        <v>162</v>
      </c>
      <c r="F302" s="14" t="s">
        <v>76</v>
      </c>
      <c r="G302" s="24">
        <f t="shared" si="1"/>
        <v>14</v>
      </c>
      <c r="H302" s="19">
        <f>VLOOKUP(A302,Metrik!$C$2:$Y$959,8,0)</f>
        <v>4.8</v>
      </c>
      <c r="I302" s="20">
        <f>VLOOKUP(A302,Metrik!$C$2:$Y$959,9,0)</f>
        <v>0.48</v>
      </c>
      <c r="J302" s="20">
        <f>VLOOKUP(A302,Metrik!$C$2:$Y$959,10,0)</f>
        <v>10.1</v>
      </c>
      <c r="K302" s="20">
        <f>VLOOKUP(A302,Metrik!$C$2:$Y$959,11,0)</f>
        <v>0.72</v>
      </c>
      <c r="L302" s="20">
        <f>VLOOKUP(A302,Metrik!$C$2:$Y$959,12,0)</f>
        <v>12.3</v>
      </c>
      <c r="M302" s="20">
        <f>VLOOKUP(A302,Metrik!$C$2:$Y$959,19,0)</f>
        <v>48.5</v>
      </c>
      <c r="N302" s="29">
        <v>2.86</v>
      </c>
      <c r="O302" s="29">
        <v>18.5</v>
      </c>
      <c r="P302" s="29">
        <v>93.79</v>
      </c>
      <c r="Q302" s="29">
        <v>3.16</v>
      </c>
      <c r="R302" s="29">
        <v>88.7</v>
      </c>
      <c r="S302" s="29">
        <v>57.15</v>
      </c>
      <c r="T302" s="29">
        <v>19.65</v>
      </c>
      <c r="U302" s="22">
        <f>IFERROR(__xludf.DUMMYFUNCTION("IFERROR(GOOGLEFINANCE(A302,""closeyest""),"""")"),1185.0)</f>
        <v>1185</v>
      </c>
      <c r="V302" s="23">
        <f>IFERROR(__xludf.DUMMYFUNCTION("IFERROR(GOOGLEFINANCE(A302,""changepct""),"""")"),6.33)</f>
        <v>6.33</v>
      </c>
      <c r="W302" s="22">
        <f>IFERROR(__xludf.DUMMYFUNCTION("IFERROR(GOOGLEFINANCE(A302,""priceopen""),"""")"),1200.0)</f>
        <v>1200</v>
      </c>
      <c r="X302" s="22">
        <f>IFERROR(__xludf.DUMMYFUNCTION("IFERROR(GOOGLEFINANCE(A302,""high""),"""")"),1295.0)</f>
        <v>1295</v>
      </c>
      <c r="Y302" s="22">
        <f>IFERROR(__xludf.DUMMYFUNCTION("IFERROR(GOOGLEFINANCE(A302,""low""),"""")"),1190.0)</f>
        <v>1190</v>
      </c>
      <c r="Z302" s="22">
        <f>IFERROR(__xludf.DUMMYFUNCTION("IFERROR(GOOGLEFINANCE(A302,""volume""),"""")"),3.54914E7)</f>
        <v>35491400</v>
      </c>
      <c r="AA302" s="24" t="str">
        <f>VLOOKUP(A302,Metrik!$C$2:$Y$959,5,0)</f>
        <v>Banks</v>
      </c>
      <c r="AB302" s="24" t="str">
        <f>VLOOKUP(A302,Metrik!$C$2:$Y$959,3,0)</f>
        <v>Financials</v>
      </c>
    </row>
    <row r="303">
      <c r="A303" s="14" t="s">
        <v>172</v>
      </c>
      <c r="B303" s="14" t="str">
        <f t="array" ref="B303">VLOOKUP(A303,{Metrik!$C$2:$C$998,Metrik!$B$2:$B$998},2,0)</f>
        <v>PT Bank Tabungan Negara (Persero) Tbk</v>
      </c>
      <c r="C303" s="15">
        <f>IFERROR(__xludf.DUMMYFUNCTION("GOOGLEFINANCE(""IDX:""&amp;A303,""price"")"),1260.0)</f>
        <v>1260</v>
      </c>
      <c r="D303" s="16" t="str">
        <f>IFERROR(__xludf.DUMMYFUNCTION("IF(A303="""","""",
SPARKLINE(
INDEX(
GOOGLEFINANCE(""IDX:""&amp;A303,""close"",TODAY()-365,TODAY()),
,2
),
{""linewidth"",1}
))
"),"#N/A")</f>
        <v>#N/A</v>
      </c>
      <c r="E303" s="14" t="s">
        <v>41</v>
      </c>
      <c r="F303" s="14" t="s">
        <v>34</v>
      </c>
      <c r="G303" s="24">
        <f t="shared" si="1"/>
        <v>14</v>
      </c>
      <c r="H303" s="19">
        <f>VLOOKUP(A303,Metrik!$C$2:$Y$959,8,0)</f>
        <v>4.8</v>
      </c>
      <c r="I303" s="20">
        <f>VLOOKUP(A303,Metrik!$C$2:$Y$959,9,0)</f>
        <v>0.48</v>
      </c>
      <c r="J303" s="20">
        <f>VLOOKUP(A303,Metrik!$C$2:$Y$959,10,0)</f>
        <v>10.1</v>
      </c>
      <c r="K303" s="20">
        <f>VLOOKUP(A303,Metrik!$C$2:$Y$959,11,0)</f>
        <v>0.72</v>
      </c>
      <c r="L303" s="20">
        <f>VLOOKUP(A303,Metrik!$C$2:$Y$959,12,0)</f>
        <v>12.3</v>
      </c>
      <c r="M303" s="20">
        <f>VLOOKUP(A303,Metrik!$C$2:$Y$959,19,0)</f>
        <v>48.5</v>
      </c>
      <c r="N303" s="29">
        <v>2.86</v>
      </c>
      <c r="O303" s="29">
        <v>18.5</v>
      </c>
      <c r="P303" s="29">
        <v>93.79</v>
      </c>
      <c r="Q303" s="29">
        <v>3.16</v>
      </c>
      <c r="R303" s="29">
        <v>88.7</v>
      </c>
      <c r="S303" s="29">
        <v>57.15</v>
      </c>
      <c r="T303" s="29">
        <v>19.65</v>
      </c>
      <c r="U303" s="22">
        <f>IFERROR(__xludf.DUMMYFUNCTION("IFERROR(GOOGLEFINANCE(A303,""closeyest""),"""")"),1185.0)</f>
        <v>1185</v>
      </c>
      <c r="V303" s="23">
        <f>IFERROR(__xludf.DUMMYFUNCTION("IFERROR(GOOGLEFINANCE(A303,""changepct""),"""")"),6.33)</f>
        <v>6.33</v>
      </c>
      <c r="W303" s="22">
        <f>IFERROR(__xludf.DUMMYFUNCTION("IFERROR(GOOGLEFINANCE(A303,""priceopen""),"""")"),1200.0)</f>
        <v>1200</v>
      </c>
      <c r="X303" s="22">
        <f>IFERROR(__xludf.DUMMYFUNCTION("IFERROR(GOOGLEFINANCE(A303,""high""),"""")"),1295.0)</f>
        <v>1295</v>
      </c>
      <c r="Y303" s="22">
        <f>IFERROR(__xludf.DUMMYFUNCTION("IFERROR(GOOGLEFINANCE(A303,""low""),"""")"),1190.0)</f>
        <v>1190</v>
      </c>
      <c r="Z303" s="22">
        <f>IFERROR(__xludf.DUMMYFUNCTION("IFERROR(GOOGLEFINANCE(A303,""volume""),"""")"),3.54914E7)</f>
        <v>35491400</v>
      </c>
      <c r="AA303" s="24" t="str">
        <f>VLOOKUP(A303,Metrik!$C$2:$Y$959,5,0)</f>
        <v>Banks</v>
      </c>
      <c r="AB303" s="24" t="str">
        <f>VLOOKUP(A303,Metrik!$C$2:$Y$959,3,0)</f>
        <v>Financials</v>
      </c>
    </row>
    <row r="304">
      <c r="A304" s="17" t="s">
        <v>172</v>
      </c>
      <c r="B304" s="14" t="str">
        <f t="array" ref="B304">VLOOKUP(A304,{Metrik!$C$2:$C$998,Metrik!$B$2:$B$998},2,0)</f>
        <v>PT Bank Tabungan Negara (Persero) Tbk</v>
      </c>
      <c r="C304" s="15">
        <f>IFERROR(__xludf.DUMMYFUNCTION("GOOGLEFINANCE(""IDX:""&amp;A304,""price"")"),1260.0)</f>
        <v>1260</v>
      </c>
      <c r="D304" s="16" t="str">
        <f>IFERROR(__xludf.DUMMYFUNCTION("IF(A304="""","""",
SPARKLINE(
INDEX(
GOOGLEFINANCE(""IDX:""&amp;A304,""close"",TODAY()-365,TODAY()),
,2
),
{""linewidth"",1}
))
"),"#N/A")</f>
        <v>#N/A</v>
      </c>
      <c r="E304" s="14" t="s">
        <v>35</v>
      </c>
      <c r="F304" s="17" t="s">
        <v>36</v>
      </c>
      <c r="G304" s="24">
        <f t="shared" si="1"/>
        <v>14</v>
      </c>
      <c r="H304" s="19">
        <f>VLOOKUP(A304,Metrik!$C$2:$Y$959,8,0)</f>
        <v>4.8</v>
      </c>
      <c r="I304" s="20">
        <f>VLOOKUP(A304,Metrik!$C$2:$Y$959,9,0)</f>
        <v>0.48</v>
      </c>
      <c r="J304" s="20">
        <f>VLOOKUP(A304,Metrik!$C$2:$Y$959,10,0)</f>
        <v>10.1</v>
      </c>
      <c r="K304" s="20">
        <f>VLOOKUP(A304,Metrik!$C$2:$Y$959,11,0)</f>
        <v>0.72</v>
      </c>
      <c r="L304" s="20">
        <f>VLOOKUP(A304,Metrik!$C$2:$Y$959,12,0)</f>
        <v>12.3</v>
      </c>
      <c r="M304" s="20">
        <f>VLOOKUP(A304,Metrik!$C$2:$Y$959,19,0)</f>
        <v>48.5</v>
      </c>
      <c r="N304" s="29">
        <v>2.86</v>
      </c>
      <c r="O304" s="29">
        <v>18.5</v>
      </c>
      <c r="P304" s="29">
        <v>93.79</v>
      </c>
      <c r="Q304" s="29">
        <v>3.16</v>
      </c>
      <c r="R304" s="29">
        <v>88.7</v>
      </c>
      <c r="S304" s="29">
        <v>57.15</v>
      </c>
      <c r="T304" s="29">
        <v>19.65</v>
      </c>
      <c r="U304" s="22">
        <f>IFERROR(__xludf.DUMMYFUNCTION("IFERROR(GOOGLEFINANCE(A304,""closeyest""),"""")"),1185.0)</f>
        <v>1185</v>
      </c>
      <c r="V304" s="23">
        <f>IFERROR(__xludf.DUMMYFUNCTION("IFERROR(GOOGLEFINANCE(A304,""changepct""),"""")"),6.33)</f>
        <v>6.33</v>
      </c>
      <c r="W304" s="22">
        <f>IFERROR(__xludf.DUMMYFUNCTION("IFERROR(GOOGLEFINANCE(A304,""priceopen""),"""")"),1200.0)</f>
        <v>1200</v>
      </c>
      <c r="X304" s="22">
        <f>IFERROR(__xludf.DUMMYFUNCTION("IFERROR(GOOGLEFINANCE(A304,""high""),"""")"),1295.0)</f>
        <v>1295</v>
      </c>
      <c r="Y304" s="22">
        <f>IFERROR(__xludf.DUMMYFUNCTION("IFERROR(GOOGLEFINANCE(A304,""low""),"""")"),1190.0)</f>
        <v>1190</v>
      </c>
      <c r="Z304" s="22">
        <f>IFERROR(__xludf.DUMMYFUNCTION("IFERROR(GOOGLEFINANCE(A304,""volume""),"""")"),3.54914E7)</f>
        <v>35491400</v>
      </c>
      <c r="AA304" s="24" t="str">
        <f>VLOOKUP(A304,Metrik!$C$2:$Y$959,5,0)</f>
        <v>Banks</v>
      </c>
      <c r="AB304" s="24" t="str">
        <f>VLOOKUP(A304,Metrik!$C$2:$Y$959,3,0)</f>
        <v>Financials</v>
      </c>
    </row>
    <row r="305">
      <c r="A305" s="14" t="s">
        <v>172</v>
      </c>
      <c r="B305" s="14" t="str">
        <f t="array" ref="B305">VLOOKUP(A305,{Metrik!$C$2:$C$998,Metrik!$B$2:$B$998},2,0)</f>
        <v>PT Bank Tabungan Negara (Persero) Tbk</v>
      </c>
      <c r="C305" s="15">
        <f>IFERROR(__xludf.DUMMYFUNCTION("GOOGLEFINANCE(""IDX:""&amp;A305,""price"")"),1260.0)</f>
        <v>1260</v>
      </c>
      <c r="D305" s="16" t="str">
        <f>IFERROR(__xludf.DUMMYFUNCTION("IF(A305="""","""",
SPARKLINE(
INDEX(
GOOGLEFINANCE(""IDX:""&amp;A305,""close"",TODAY()-365,TODAY()),
,2
),
{""linewidth"",1}
))
"),"#N/A")</f>
        <v>#N/A</v>
      </c>
      <c r="E305" s="14" t="s">
        <v>55</v>
      </c>
      <c r="F305" s="25">
        <v>46356.0</v>
      </c>
      <c r="G305" s="24">
        <f t="shared" si="1"/>
        <v>14</v>
      </c>
      <c r="H305" s="19">
        <f>VLOOKUP(A305,Metrik!$C$2:$Y$959,8,0)</f>
        <v>4.8</v>
      </c>
      <c r="I305" s="20">
        <f>VLOOKUP(A305,Metrik!$C$2:$Y$959,9,0)</f>
        <v>0.48</v>
      </c>
      <c r="J305" s="20">
        <f>VLOOKUP(A305,Metrik!$C$2:$Y$959,10,0)</f>
        <v>10.1</v>
      </c>
      <c r="K305" s="20">
        <f>VLOOKUP(A305,Metrik!$C$2:$Y$959,11,0)</f>
        <v>0.72</v>
      </c>
      <c r="L305" s="20">
        <f>VLOOKUP(A305,Metrik!$C$2:$Y$959,12,0)</f>
        <v>12.3</v>
      </c>
      <c r="M305" s="20">
        <f>VLOOKUP(A305,Metrik!$C$2:$Y$959,19,0)</f>
        <v>48.5</v>
      </c>
      <c r="N305" s="29">
        <v>2.86</v>
      </c>
      <c r="O305" s="29">
        <v>18.5</v>
      </c>
      <c r="P305" s="29">
        <v>93.79</v>
      </c>
      <c r="Q305" s="29">
        <v>3.16</v>
      </c>
      <c r="R305" s="29">
        <v>88.7</v>
      </c>
      <c r="S305" s="29">
        <v>57.15</v>
      </c>
      <c r="T305" s="29">
        <v>19.65</v>
      </c>
      <c r="U305" s="22">
        <f>IFERROR(__xludf.DUMMYFUNCTION("IFERROR(GOOGLEFINANCE(A305,""closeyest""),"""")"),1185.0)</f>
        <v>1185</v>
      </c>
      <c r="V305" s="23">
        <f>IFERROR(__xludf.DUMMYFUNCTION("IFERROR(GOOGLEFINANCE(A305,""changepct""),"""")"),6.33)</f>
        <v>6.33</v>
      </c>
      <c r="W305" s="22">
        <f>IFERROR(__xludf.DUMMYFUNCTION("IFERROR(GOOGLEFINANCE(A305,""priceopen""),"""")"),1200.0)</f>
        <v>1200</v>
      </c>
      <c r="X305" s="22">
        <f>IFERROR(__xludf.DUMMYFUNCTION("IFERROR(GOOGLEFINANCE(A305,""high""),"""")"),1295.0)</f>
        <v>1295</v>
      </c>
      <c r="Y305" s="22">
        <f>IFERROR(__xludf.DUMMYFUNCTION("IFERROR(GOOGLEFINANCE(A305,""low""),"""")"),1190.0)</f>
        <v>1190</v>
      </c>
      <c r="Z305" s="22">
        <f>IFERROR(__xludf.DUMMYFUNCTION("IFERROR(GOOGLEFINANCE(A305,""volume""),"""")"),3.54914E7)</f>
        <v>35491400</v>
      </c>
      <c r="AA305" s="24" t="str">
        <f>VLOOKUP(A305,Metrik!$C$2:$Y$959,5,0)</f>
        <v>Banks</v>
      </c>
      <c r="AB305" s="24" t="str">
        <f>VLOOKUP(A305,Metrik!$C$2:$Y$959,3,0)</f>
        <v>Financials</v>
      </c>
    </row>
    <row r="306">
      <c r="A306" s="14" t="s">
        <v>172</v>
      </c>
      <c r="B306" s="14" t="str">
        <f t="array" ref="B306">VLOOKUP(A306,{Metrik!$C$2:$C$998,Metrik!$B$2:$B$998},2,0)</f>
        <v>PT Bank Tabungan Negara (Persero) Tbk</v>
      </c>
      <c r="C306" s="15">
        <f>IFERROR(__xludf.DUMMYFUNCTION("GOOGLEFINANCE(""IDX:""&amp;A306,""price"")"),1260.0)</f>
        <v>1260</v>
      </c>
      <c r="D306" s="16" t="str">
        <f>IFERROR(__xludf.DUMMYFUNCTION("IF(A306="""","""",
SPARKLINE(
INDEX(
GOOGLEFINANCE(""IDX:""&amp;A306,""close"",TODAY()-365,TODAY()),
,2
),
{""linewidth"",1}
))
"),"#N/A")</f>
        <v>#N/A</v>
      </c>
      <c r="E306" s="14" t="s">
        <v>86</v>
      </c>
      <c r="F306" s="25">
        <v>46356.0</v>
      </c>
      <c r="G306" s="24">
        <f t="shared" si="1"/>
        <v>14</v>
      </c>
      <c r="H306" s="19">
        <f>VLOOKUP(A306,Metrik!$C$2:$Y$959,8,0)</f>
        <v>4.8</v>
      </c>
      <c r="I306" s="20">
        <f>VLOOKUP(A306,Metrik!$C$2:$Y$959,9,0)</f>
        <v>0.48</v>
      </c>
      <c r="J306" s="20">
        <f>VLOOKUP(A306,Metrik!$C$2:$Y$959,10,0)</f>
        <v>10.1</v>
      </c>
      <c r="K306" s="20">
        <f>VLOOKUP(A306,Metrik!$C$2:$Y$959,11,0)</f>
        <v>0.72</v>
      </c>
      <c r="L306" s="20">
        <f>VLOOKUP(A306,Metrik!$C$2:$Y$959,12,0)</f>
        <v>12.3</v>
      </c>
      <c r="M306" s="20">
        <f>VLOOKUP(A306,Metrik!$C$2:$Y$959,19,0)</f>
        <v>48.5</v>
      </c>
      <c r="N306" s="29">
        <v>2.86</v>
      </c>
      <c r="O306" s="29">
        <v>18.5</v>
      </c>
      <c r="P306" s="29">
        <v>93.79</v>
      </c>
      <c r="Q306" s="29">
        <v>3.16</v>
      </c>
      <c r="R306" s="29">
        <v>88.7</v>
      </c>
      <c r="S306" s="29">
        <v>57.15</v>
      </c>
      <c r="T306" s="29">
        <v>19.65</v>
      </c>
      <c r="U306" s="22">
        <f>IFERROR(__xludf.DUMMYFUNCTION("IFERROR(GOOGLEFINANCE(A306,""closeyest""),"""")"),1185.0)</f>
        <v>1185</v>
      </c>
      <c r="V306" s="23">
        <f>IFERROR(__xludf.DUMMYFUNCTION("IFERROR(GOOGLEFINANCE(A306,""changepct""),"""")"),6.33)</f>
        <v>6.33</v>
      </c>
      <c r="W306" s="22">
        <f>IFERROR(__xludf.DUMMYFUNCTION("IFERROR(GOOGLEFINANCE(A306,""priceopen""),"""")"),1200.0)</f>
        <v>1200</v>
      </c>
      <c r="X306" s="22">
        <f>IFERROR(__xludf.DUMMYFUNCTION("IFERROR(GOOGLEFINANCE(A306,""high""),"""")"),1295.0)</f>
        <v>1295</v>
      </c>
      <c r="Y306" s="22">
        <f>IFERROR(__xludf.DUMMYFUNCTION("IFERROR(GOOGLEFINANCE(A306,""low""),"""")"),1190.0)</f>
        <v>1190</v>
      </c>
      <c r="Z306" s="22">
        <f>IFERROR(__xludf.DUMMYFUNCTION("IFERROR(GOOGLEFINANCE(A306,""volume""),"""")"),3.54914E7)</f>
        <v>35491400</v>
      </c>
      <c r="AA306" s="24" t="str">
        <f>VLOOKUP(A306,Metrik!$C$2:$Y$959,5,0)</f>
        <v>Banks</v>
      </c>
      <c r="AB306" s="24" t="str">
        <f>VLOOKUP(A306,Metrik!$C$2:$Y$959,3,0)</f>
        <v>Financials</v>
      </c>
    </row>
    <row r="307">
      <c r="A307" s="14" t="s">
        <v>172</v>
      </c>
      <c r="B307" s="14" t="str">
        <f t="array" ref="B307">VLOOKUP(A307,{Metrik!$C$2:$C$998,Metrik!$B$2:$B$998},2,0)</f>
        <v>PT Bank Tabungan Negara (Persero) Tbk</v>
      </c>
      <c r="C307" s="15">
        <f>IFERROR(__xludf.DUMMYFUNCTION("GOOGLEFINANCE(""IDX:""&amp;A307,""price"")"),1260.0)</f>
        <v>1260</v>
      </c>
      <c r="D307" s="16" t="str">
        <f>IFERROR(__xludf.DUMMYFUNCTION("IF(A307="""","""",
SPARKLINE(
INDEX(
GOOGLEFINANCE(""IDX:""&amp;A307,""close"",TODAY()-365,TODAY()),
,2
),
{""linewidth"",1}
))
"),"#N/A")</f>
        <v>#N/A</v>
      </c>
      <c r="E307" s="14" t="s">
        <v>42</v>
      </c>
      <c r="F307" s="25">
        <v>46356.0</v>
      </c>
      <c r="G307" s="24">
        <f t="shared" si="1"/>
        <v>14</v>
      </c>
      <c r="H307" s="19">
        <f>VLOOKUP(A307,Metrik!$C$2:$Y$959,8,0)</f>
        <v>4.8</v>
      </c>
      <c r="I307" s="20">
        <f>VLOOKUP(A307,Metrik!$C$2:$Y$959,9,0)</f>
        <v>0.48</v>
      </c>
      <c r="J307" s="20">
        <f>VLOOKUP(A307,Metrik!$C$2:$Y$959,10,0)</f>
        <v>10.1</v>
      </c>
      <c r="K307" s="20">
        <f>VLOOKUP(A307,Metrik!$C$2:$Y$959,11,0)</f>
        <v>0.72</v>
      </c>
      <c r="L307" s="20">
        <f>VLOOKUP(A307,Metrik!$C$2:$Y$959,12,0)</f>
        <v>12.3</v>
      </c>
      <c r="M307" s="20">
        <f>VLOOKUP(A307,Metrik!$C$2:$Y$959,19,0)</f>
        <v>48.5</v>
      </c>
      <c r="N307" s="29">
        <v>2.86</v>
      </c>
      <c r="O307" s="29">
        <v>18.5</v>
      </c>
      <c r="P307" s="29">
        <v>93.79</v>
      </c>
      <c r="Q307" s="29">
        <v>3.16</v>
      </c>
      <c r="R307" s="29">
        <v>88.7</v>
      </c>
      <c r="S307" s="29">
        <v>57.15</v>
      </c>
      <c r="T307" s="29">
        <v>19.65</v>
      </c>
      <c r="U307" s="22">
        <f>IFERROR(__xludf.DUMMYFUNCTION("IFERROR(GOOGLEFINANCE(A307,""closeyest""),"""")"),1185.0)</f>
        <v>1185</v>
      </c>
      <c r="V307" s="23">
        <f>IFERROR(__xludf.DUMMYFUNCTION("IFERROR(GOOGLEFINANCE(A307,""changepct""),"""")"),6.33)</f>
        <v>6.33</v>
      </c>
      <c r="W307" s="22">
        <f>IFERROR(__xludf.DUMMYFUNCTION("IFERROR(GOOGLEFINANCE(A307,""priceopen""),"""")"),1200.0)</f>
        <v>1200</v>
      </c>
      <c r="X307" s="22">
        <f>IFERROR(__xludf.DUMMYFUNCTION("IFERROR(GOOGLEFINANCE(A307,""high""),"""")"),1295.0)</f>
        <v>1295</v>
      </c>
      <c r="Y307" s="22">
        <f>IFERROR(__xludf.DUMMYFUNCTION("IFERROR(GOOGLEFINANCE(A307,""low""),"""")"),1190.0)</f>
        <v>1190</v>
      </c>
      <c r="Z307" s="22">
        <f>IFERROR(__xludf.DUMMYFUNCTION("IFERROR(GOOGLEFINANCE(A307,""volume""),"""")"),3.54914E7)</f>
        <v>35491400</v>
      </c>
      <c r="AA307" s="24" t="str">
        <f>VLOOKUP(A307,Metrik!$C$2:$Y$959,5,0)</f>
        <v>Banks</v>
      </c>
      <c r="AB307" s="24" t="str">
        <f>VLOOKUP(A307,Metrik!$C$2:$Y$959,3,0)</f>
        <v>Financials</v>
      </c>
    </row>
    <row r="308">
      <c r="A308" s="14" t="s">
        <v>173</v>
      </c>
      <c r="B308" s="14" t="str">
        <f t="array" ref="B308">VLOOKUP(A308,{Metrik!$C$2:$C$998,Metrik!$B$2:$B$998},2,0)</f>
        <v>PT Bank Neo Commerce Tbk.</v>
      </c>
      <c r="C308" s="15">
        <f>IFERROR(__xludf.DUMMYFUNCTION("GOOGLEFINANCE(""IDX:""&amp;A308,""price"")"),234.0)</f>
        <v>234</v>
      </c>
      <c r="D308" s="16" t="str">
        <f>IFERROR(__xludf.DUMMYFUNCTION("IF(A308="""","""",
SPARKLINE(
INDEX(
GOOGLEFINANCE(""IDX:""&amp;A308,""close"",TODAY()-365,TODAY()),
,2
),
{""linewidth"",1}
))
"),"#N/A")</f>
        <v>#N/A</v>
      </c>
      <c r="E308" s="14" t="s">
        <v>32</v>
      </c>
      <c r="F308" s="14" t="s">
        <v>29</v>
      </c>
      <c r="G308" s="24">
        <f t="shared" si="1"/>
        <v>2</v>
      </c>
      <c r="H308" s="19">
        <f>VLOOKUP(A308,Metrik!$C$2:$Y$959,8,0)</f>
        <v>6.4</v>
      </c>
      <c r="I308" s="20">
        <f>VLOOKUP(A308,Metrik!$C$2:$Y$959,9,0)</f>
        <v>0.81</v>
      </c>
      <c r="J308" s="20">
        <f>VLOOKUP(A308,Metrik!$C$2:$Y$959,10,0)</f>
        <v>12.6</v>
      </c>
      <c r="K308" s="20">
        <f>VLOOKUP(A308,Metrik!$C$2:$Y$959,11,0)</f>
        <v>3</v>
      </c>
      <c r="L308" s="20">
        <f>VLOOKUP(A308,Metrik!$C$2:$Y$959,12,0)</f>
        <v>3.3</v>
      </c>
      <c r="M308" s="20">
        <f>VLOOKUP(A308,Metrik!$C$2:$Y$959,19,0)</f>
        <v>70.9</v>
      </c>
      <c r="N308" s="29">
        <v>18.34</v>
      </c>
      <c r="O308" s="29">
        <v>22.23</v>
      </c>
      <c r="P308" s="29">
        <v>75.7</v>
      </c>
      <c r="Q308" s="29">
        <v>3.3</v>
      </c>
      <c r="R308" s="29">
        <v>99.23</v>
      </c>
      <c r="S308" s="29">
        <v>40.58</v>
      </c>
      <c r="T308" s="29">
        <v>11.43</v>
      </c>
      <c r="U308" s="22">
        <f>IFERROR(__xludf.DUMMYFUNCTION("IFERROR(GOOGLEFINANCE(A308,""closeyest""),"""")"),226.0)</f>
        <v>226</v>
      </c>
      <c r="V308" s="23">
        <f>IFERROR(__xludf.DUMMYFUNCTION("IFERROR(GOOGLEFINANCE(A308,""changepct""),"""")"),3.54)</f>
        <v>3.54</v>
      </c>
      <c r="W308" s="22">
        <f>IFERROR(__xludf.DUMMYFUNCTION("IFERROR(GOOGLEFINANCE(A308,""priceopen""),"""")"),228.0)</f>
        <v>228</v>
      </c>
      <c r="X308" s="22">
        <f>IFERROR(__xludf.DUMMYFUNCTION("IFERROR(GOOGLEFINANCE(A308,""high""),"""")"),238.0)</f>
        <v>238</v>
      </c>
      <c r="Y308" s="22">
        <f>IFERROR(__xludf.DUMMYFUNCTION("IFERROR(GOOGLEFINANCE(A308,""low""),"""")"),228.0)</f>
        <v>228</v>
      </c>
      <c r="Z308" s="22">
        <f>IFERROR(__xludf.DUMMYFUNCTION("IFERROR(GOOGLEFINANCE(A308,""volume""),"""")"),1.82775E7)</f>
        <v>18277500</v>
      </c>
      <c r="AA308" s="24" t="str">
        <f>VLOOKUP(A308,Metrik!$C$2:$Y$959,5,0)</f>
        <v>Banks</v>
      </c>
      <c r="AB308" s="24" t="str">
        <f>VLOOKUP(A308,Metrik!$C$2:$Y$959,3,0)</f>
        <v>Financials</v>
      </c>
    </row>
    <row r="309">
      <c r="A309" s="14" t="s">
        <v>173</v>
      </c>
      <c r="B309" s="14" t="str">
        <f t="array" ref="B309">VLOOKUP(A309,{Metrik!$C$2:$C$998,Metrik!$B$2:$B$998},2,0)</f>
        <v>PT Bank Neo Commerce Tbk.</v>
      </c>
      <c r="C309" s="15">
        <f>IFERROR(__xludf.DUMMYFUNCTION("GOOGLEFINANCE(""IDX:""&amp;A309,""price"")"),234.0)</f>
        <v>234</v>
      </c>
      <c r="D309" s="16" t="str">
        <f>IFERROR(__xludf.DUMMYFUNCTION("IF(A309="""","""",
SPARKLINE(
INDEX(
GOOGLEFINANCE(""IDX:""&amp;A309,""close"",TODAY()-365,TODAY()),
,2
),
{""linewidth"",1}
))
"),"#N/A")</f>
        <v>#N/A</v>
      </c>
      <c r="E309" s="14" t="s">
        <v>41</v>
      </c>
      <c r="F309" s="14" t="s">
        <v>34</v>
      </c>
      <c r="G309" s="24">
        <f t="shared" si="1"/>
        <v>2</v>
      </c>
      <c r="H309" s="19">
        <f>VLOOKUP(A309,Metrik!$C$2:$Y$959,8,0)</f>
        <v>6.4</v>
      </c>
      <c r="I309" s="20">
        <f>VLOOKUP(A309,Metrik!$C$2:$Y$959,9,0)</f>
        <v>0.81</v>
      </c>
      <c r="J309" s="20">
        <f>VLOOKUP(A309,Metrik!$C$2:$Y$959,10,0)</f>
        <v>12.6</v>
      </c>
      <c r="K309" s="20">
        <f>VLOOKUP(A309,Metrik!$C$2:$Y$959,11,0)</f>
        <v>3</v>
      </c>
      <c r="L309" s="20">
        <f>VLOOKUP(A309,Metrik!$C$2:$Y$959,12,0)</f>
        <v>3.3</v>
      </c>
      <c r="M309" s="20">
        <f>VLOOKUP(A309,Metrik!$C$2:$Y$959,19,0)</f>
        <v>70.9</v>
      </c>
      <c r="N309" s="29">
        <v>18.34</v>
      </c>
      <c r="O309" s="29">
        <v>22.23</v>
      </c>
      <c r="P309" s="29">
        <v>75.7</v>
      </c>
      <c r="Q309" s="29">
        <v>3.3</v>
      </c>
      <c r="R309" s="29">
        <v>99.23</v>
      </c>
      <c r="S309" s="29">
        <v>40.58</v>
      </c>
      <c r="T309" s="29">
        <v>11.43</v>
      </c>
      <c r="U309" s="22">
        <f>IFERROR(__xludf.DUMMYFUNCTION("IFERROR(GOOGLEFINANCE(A309,""closeyest""),"""")"),226.0)</f>
        <v>226</v>
      </c>
      <c r="V309" s="23">
        <f>IFERROR(__xludf.DUMMYFUNCTION("IFERROR(GOOGLEFINANCE(A309,""changepct""),"""")"),3.54)</f>
        <v>3.54</v>
      </c>
      <c r="W309" s="22">
        <f>IFERROR(__xludf.DUMMYFUNCTION("IFERROR(GOOGLEFINANCE(A309,""priceopen""),"""")"),228.0)</f>
        <v>228</v>
      </c>
      <c r="X309" s="22">
        <f>IFERROR(__xludf.DUMMYFUNCTION("IFERROR(GOOGLEFINANCE(A309,""high""),"""")"),238.0)</f>
        <v>238</v>
      </c>
      <c r="Y309" s="22">
        <f>IFERROR(__xludf.DUMMYFUNCTION("IFERROR(GOOGLEFINANCE(A309,""low""),"""")"),228.0)</f>
        <v>228</v>
      </c>
      <c r="Z309" s="22">
        <f>IFERROR(__xludf.DUMMYFUNCTION("IFERROR(GOOGLEFINANCE(A309,""volume""),"""")"),1.82775E7)</f>
        <v>18277500</v>
      </c>
      <c r="AA309" s="24" t="str">
        <f>VLOOKUP(A309,Metrik!$C$2:$Y$959,5,0)</f>
        <v>Banks</v>
      </c>
      <c r="AB309" s="24" t="str">
        <f>VLOOKUP(A309,Metrik!$C$2:$Y$959,3,0)</f>
        <v>Financials</v>
      </c>
    </row>
    <row r="310">
      <c r="A310" s="17" t="s">
        <v>174</v>
      </c>
      <c r="B310" s="14" t="str">
        <f t="array" ref="B310">VLOOKUP(A310,{Metrik!$C$2:$C$998,Metrik!$B$2:$B$998},2,0)</f>
        <v>MNC Kapital Indonesia Tbk.</v>
      </c>
      <c r="C310" s="15">
        <f>IFERROR(__xludf.DUMMYFUNCTION("GOOGLEFINANCE(""IDX:""&amp;A310,""price"")"),50.0)</f>
        <v>50</v>
      </c>
      <c r="D310" s="16" t="str">
        <f>IFERROR(__xludf.DUMMYFUNCTION("IF(A310="""","""",
SPARKLINE(
INDEX(
GOOGLEFINANCE(""IDX:""&amp;A310,""close"",TODAY()-365,TODAY()),
,2
),
{""linewidth"",1}
))
"),"#N/A")</f>
        <v>#N/A</v>
      </c>
      <c r="E310" s="17" t="s">
        <v>175</v>
      </c>
      <c r="F310" s="14" t="s">
        <v>34</v>
      </c>
      <c r="G310" s="18">
        <f t="shared" si="1"/>
        <v>1</v>
      </c>
      <c r="H310" s="19">
        <f>VLOOKUP(A310,Metrik!$C$2:$Y$959,8,0)</f>
        <v>7.9</v>
      </c>
      <c r="I310" s="20">
        <f>VLOOKUP(A310,Metrik!$C$2:$Y$959,9,0)</f>
        <v>0.39</v>
      </c>
      <c r="J310" s="20">
        <f>VLOOKUP(A310,Metrik!$C$2:$Y$959,10,0)</f>
        <v>5</v>
      </c>
      <c r="K310" s="20">
        <f>VLOOKUP(A310,Metrik!$C$2:$Y$959,11,0)</f>
        <v>0.87</v>
      </c>
      <c r="L310" s="20">
        <f>VLOOKUP(A310,Metrik!$C$2:$Y$959,12,0)</f>
        <v>4.7</v>
      </c>
      <c r="M310" s="20">
        <f>VLOOKUP(A310,Metrik!$C$2:$Y$959,19,0)</f>
        <v>31.8</v>
      </c>
      <c r="N310" s="21"/>
      <c r="O310" s="21"/>
      <c r="P310" s="21"/>
      <c r="Q310" s="21"/>
      <c r="R310" s="21"/>
      <c r="S310" s="21"/>
      <c r="T310" s="21"/>
      <c r="U310" s="22">
        <f>IFERROR(__xludf.DUMMYFUNCTION("IFERROR(GOOGLEFINANCE(A310,""closeyest""),"""")"),0.0)</f>
        <v>0</v>
      </c>
      <c r="V310" s="23">
        <f>IFERROR(__xludf.DUMMYFUNCTION("IFERROR(GOOGLEFINANCE(A310,""changepct""),"""")"),0.0)</f>
        <v>0</v>
      </c>
      <c r="W310" s="22" t="str">
        <f>IFERROR(__xludf.DUMMYFUNCTION("IFERROR(GOOGLEFINANCE(A310,""priceopen""),"""")"),"")</f>
        <v/>
      </c>
      <c r="X310" s="22" t="str">
        <f>IFERROR(__xludf.DUMMYFUNCTION("IFERROR(GOOGLEFINANCE(A310,""high""),"""")"),"")</f>
        <v/>
      </c>
      <c r="Y310" s="22" t="str">
        <f>IFERROR(__xludf.DUMMYFUNCTION("IFERROR(GOOGLEFINANCE(A310,""low""),"""")"),"")</f>
        <v/>
      </c>
      <c r="Z310" s="22">
        <f>IFERROR(__xludf.DUMMYFUNCTION("IFERROR(GOOGLEFINANCE(A310,""volume""),"""")"),0.0)</f>
        <v>0</v>
      </c>
      <c r="AA310" s="24" t="str">
        <f>VLOOKUP(A310,Metrik!$C$2:$Y$959,5,0)</f>
        <v>Holding &amp; Investment Companies</v>
      </c>
      <c r="AB310" s="24" t="str">
        <f>VLOOKUP(A310,Metrik!$C$2:$Y$959,3,0)</f>
        <v>Financials</v>
      </c>
    </row>
    <row r="311">
      <c r="A311" s="14" t="s">
        <v>176</v>
      </c>
      <c r="B311" s="14" t="str">
        <f t="array" ref="B311">VLOOKUP(A311,{Metrik!$C$2:$C$998,Metrik!$B$2:$B$998},2,0)</f>
        <v>PT Bank JTrust Indonesia Tbk.</v>
      </c>
      <c r="C311" s="15">
        <f>IFERROR(__xludf.DUMMYFUNCTION("GOOGLEFINANCE(""IDX:""&amp;A311,""price"")"),110.0)</f>
        <v>110</v>
      </c>
      <c r="D311" s="16" t="str">
        <f>IFERROR(__xludf.DUMMYFUNCTION("IF(A311="""","""",
SPARKLINE(
INDEX(
GOOGLEFINANCE(""IDX:""&amp;A311,""close"",TODAY()-365,TODAY()),
,2
),
{""linewidth"",1}
))
"),"#N/A")</f>
        <v>#N/A</v>
      </c>
      <c r="E311" s="26"/>
      <c r="F311" s="26"/>
      <c r="G311" s="24">
        <f t="shared" si="1"/>
        <v>0</v>
      </c>
      <c r="H311" s="19">
        <f>VLOOKUP(A311,Metrik!$C$2:$Y$959,8,0)</f>
        <v>-4.3</v>
      </c>
      <c r="I311" s="20">
        <f>VLOOKUP(A311,Metrik!$C$2:$Y$959,9,0)</f>
        <v>0.6</v>
      </c>
      <c r="J311" s="20">
        <f>VLOOKUP(A311,Metrik!$C$2:$Y$959,10,0)</f>
        <v>-14.1</v>
      </c>
      <c r="K311" s="20">
        <f>VLOOKUP(A311,Metrik!$C$2:$Y$959,11,0)</f>
        <v>-1.3</v>
      </c>
      <c r="L311" s="20">
        <f>VLOOKUP(A311,Metrik!$C$2:$Y$959,12,0)</f>
        <v>9.9</v>
      </c>
      <c r="M311" s="20">
        <f>VLOOKUP(A311,Metrik!$C$2:$Y$959,19,0)</f>
        <v>-77.8</v>
      </c>
      <c r="N311" s="32">
        <v>3.69</v>
      </c>
      <c r="O311" s="32">
        <v>13.38</v>
      </c>
      <c r="P311" s="32">
        <v>83.08</v>
      </c>
      <c r="Q311" s="32">
        <v>1.18</v>
      </c>
      <c r="R311" s="32">
        <v>96.15</v>
      </c>
      <c r="S311" s="32">
        <v>68.09</v>
      </c>
      <c r="T311" s="32">
        <v>6.43</v>
      </c>
      <c r="U311" s="22">
        <f>IFERROR(__xludf.DUMMYFUNCTION("IFERROR(GOOGLEFINANCE(A311,""closeyest""),"""")"),7.51)</f>
        <v>7.51</v>
      </c>
      <c r="V311" s="23">
        <f>IFERROR(__xludf.DUMMYFUNCTION("IFERROR(GOOGLEFINANCE(A311,""changepct""),"""")"),-0.67)</f>
        <v>-0.67</v>
      </c>
      <c r="W311" s="22">
        <f>IFERROR(__xludf.DUMMYFUNCTION("IFERROR(GOOGLEFINANCE(A311,""priceopen""),"""")"),7.5)</f>
        <v>7.5</v>
      </c>
      <c r="X311" s="22">
        <f>IFERROR(__xludf.DUMMYFUNCTION("IFERROR(GOOGLEFINANCE(A311,""high""),"""")"),7.63)</f>
        <v>7.63</v>
      </c>
      <c r="Y311" s="22">
        <f>IFERROR(__xludf.DUMMYFUNCTION("IFERROR(GOOGLEFINANCE(A311,""low""),"""")"),7.45)</f>
        <v>7.45</v>
      </c>
      <c r="Z311" s="22" t="str">
        <f>IFERROR(__xludf.DUMMYFUNCTION("IFERROR(GOOGLEFINANCE(A311,""volume""),"""")"),"")</f>
        <v/>
      </c>
      <c r="AA311" s="24" t="str">
        <f>VLOOKUP(A311,Metrik!$C$2:$Y$959,5,0)</f>
        <v>Banks</v>
      </c>
      <c r="AB311" s="24" t="str">
        <f>VLOOKUP(A311,Metrik!$C$2:$Y$959,3,0)</f>
        <v>Financials</v>
      </c>
    </row>
    <row r="312">
      <c r="A312" s="14" t="s">
        <v>177</v>
      </c>
      <c r="B312" s="14" t="str">
        <f t="array" ref="B312">VLOOKUP(A312,{Metrik!$C$2:$C$998,Metrik!$B$2:$B$998},2,0)</f>
        <v>Bumi Citra Permai Tbk.</v>
      </c>
      <c r="C312" s="15">
        <f>IFERROR(__xludf.DUMMYFUNCTION("GOOGLEFINANCE(""IDX:""&amp;A312,""price"")"),61.0)</f>
        <v>61</v>
      </c>
      <c r="D312" s="16" t="str">
        <f>IFERROR(__xludf.DUMMYFUNCTION("IF(A312="""","""",
SPARKLINE(
INDEX(
GOOGLEFINANCE(""IDX:""&amp;A312,""close"",TODAY()-365,TODAY()),
,2
),
{""linewidth"",1}
))
"),"#N/A")</f>
        <v>#N/A</v>
      </c>
      <c r="E312" s="26"/>
      <c r="F312" s="26"/>
      <c r="G312" s="24">
        <f t="shared" si="1"/>
        <v>0</v>
      </c>
      <c r="H312" s="19">
        <f>VLOOKUP(A312,Metrik!$C$2:$Y$959,8,0)</f>
        <v>3.5</v>
      </c>
      <c r="I312" s="20">
        <f>VLOOKUP(A312,Metrik!$C$2:$Y$959,9,0)</f>
        <v>0.17</v>
      </c>
      <c r="J312" s="20">
        <f>VLOOKUP(A312,Metrik!$C$2:$Y$959,10,0)</f>
        <v>4.9</v>
      </c>
      <c r="K312" s="20">
        <f>VLOOKUP(A312,Metrik!$C$2:$Y$959,11,0)</f>
        <v>2.8</v>
      </c>
      <c r="L312" s="20">
        <f>VLOOKUP(A312,Metrik!$C$2:$Y$959,12,0)</f>
        <v>0.73</v>
      </c>
      <c r="M312" s="20">
        <f>VLOOKUP(A312,Metrik!$C$2:$Y$959,19,0)</f>
        <v>51.5</v>
      </c>
      <c r="N312" s="21"/>
      <c r="O312" s="21"/>
      <c r="P312" s="21"/>
      <c r="Q312" s="21"/>
      <c r="R312" s="21"/>
      <c r="S312" s="21"/>
      <c r="T312" s="21"/>
      <c r="U312" s="22">
        <f>IFERROR(__xludf.DUMMYFUNCTION("IFERROR(GOOGLEFINANCE(A312,""closeyest""),"""")"),59.0)</f>
        <v>59</v>
      </c>
      <c r="V312" s="23">
        <f>IFERROR(__xludf.DUMMYFUNCTION("IFERROR(GOOGLEFINANCE(A312,""changepct""),"""")"),3.39)</f>
        <v>3.39</v>
      </c>
      <c r="W312" s="22">
        <f>IFERROR(__xludf.DUMMYFUNCTION("IFERROR(GOOGLEFINANCE(A312,""priceopen""),"""")"),59.0)</f>
        <v>59</v>
      </c>
      <c r="X312" s="22">
        <f>IFERROR(__xludf.DUMMYFUNCTION("IFERROR(GOOGLEFINANCE(A312,""high""),"""")"),63.0)</f>
        <v>63</v>
      </c>
      <c r="Y312" s="22">
        <f>IFERROR(__xludf.DUMMYFUNCTION("IFERROR(GOOGLEFINANCE(A312,""low""),"""")"),58.0)</f>
        <v>58</v>
      </c>
      <c r="Z312" s="22">
        <f>IFERROR(__xludf.DUMMYFUNCTION("IFERROR(GOOGLEFINANCE(A312,""volume""),"""")"),4903400.0)</f>
        <v>4903400</v>
      </c>
      <c r="AA312" s="24" t="str">
        <f>VLOOKUP(A312,Metrik!$C$2:$Y$959,5,0)</f>
        <v>Real Estate Management &amp; Development</v>
      </c>
      <c r="AB312" s="24" t="str">
        <f>VLOOKUP(A312,Metrik!$C$2:$Y$959,3,0)</f>
        <v>Properties &amp; Real Estate</v>
      </c>
    </row>
    <row r="313">
      <c r="A313" s="17" t="s">
        <v>178</v>
      </c>
      <c r="B313" s="14" t="str">
        <f t="array" ref="B313">VLOOKUP(A313,{Metrik!$C$2:$C$998,Metrik!$B$2:$B$998},2,0)</f>
        <v>PT Berdikari Pondasi Perkasa Tbk.</v>
      </c>
      <c r="C313" s="15">
        <f>IFERROR(__xludf.DUMMYFUNCTION("GOOGLEFINANCE(""IDX:""&amp;A313,""price"")"),128.0)</f>
        <v>128</v>
      </c>
      <c r="D313" s="16" t="str">
        <f>IFERROR(__xludf.DUMMYFUNCTION("IF(A313="""","""",
SPARKLINE(
INDEX(
GOOGLEFINANCE(""IDX:""&amp;A313,""close"",TODAY()-365,TODAY()),
,2
),
{""linewidth"",1}
))
"),"#N/A")</f>
        <v>#N/A</v>
      </c>
      <c r="E313" s="14"/>
      <c r="F313" s="17"/>
      <c r="G313" s="18">
        <f t="shared" si="1"/>
        <v>0</v>
      </c>
      <c r="H313" s="19">
        <f>VLOOKUP(A313,Metrik!$C$2:$Y$959,8,0)</f>
        <v>26.7</v>
      </c>
      <c r="I313" s="20">
        <f>VLOOKUP(A313,Metrik!$C$2:$Y$959,9,0)</f>
        <v>0.88</v>
      </c>
      <c r="J313" s="20">
        <f>VLOOKUP(A313,Metrik!$C$2:$Y$959,10,0)</f>
        <v>3.3</v>
      </c>
      <c r="K313" s="20">
        <f>VLOOKUP(A313,Metrik!$C$2:$Y$959,11,0)</f>
        <v>2.3</v>
      </c>
      <c r="L313" s="20">
        <f>VLOOKUP(A313,Metrik!$C$2:$Y$959,12,0)</f>
        <v>0.41</v>
      </c>
      <c r="M313" s="20">
        <f>VLOOKUP(A313,Metrik!$C$2:$Y$959,19,0)</f>
        <v>26.1</v>
      </c>
      <c r="N313" s="21"/>
      <c r="O313" s="21"/>
      <c r="P313" s="21"/>
      <c r="Q313" s="21"/>
      <c r="R313" s="21"/>
      <c r="S313" s="21"/>
      <c r="T313" s="21"/>
      <c r="U313" s="22">
        <f>IFERROR(__xludf.DUMMYFUNCTION("IFERROR(GOOGLEFINANCE(A313,""closeyest""),"""")"),124.0)</f>
        <v>124</v>
      </c>
      <c r="V313" s="23">
        <f>IFERROR(__xludf.DUMMYFUNCTION("IFERROR(GOOGLEFINANCE(A313,""changepct""),"""")"),3.23)</f>
        <v>3.23</v>
      </c>
      <c r="W313" s="22">
        <f>IFERROR(__xludf.DUMMYFUNCTION("IFERROR(GOOGLEFINANCE(A313,""priceopen""),"""")"),124.0)</f>
        <v>124</v>
      </c>
      <c r="X313" s="22">
        <f>IFERROR(__xludf.DUMMYFUNCTION("IFERROR(GOOGLEFINANCE(A313,""high""),"""")"),129.0)</f>
        <v>129</v>
      </c>
      <c r="Y313" s="22">
        <f>IFERROR(__xludf.DUMMYFUNCTION("IFERROR(GOOGLEFINANCE(A313,""low""),"""")"),122.0)</f>
        <v>122</v>
      </c>
      <c r="Z313" s="22">
        <f>IFERROR(__xludf.DUMMYFUNCTION("IFERROR(GOOGLEFINANCE(A313,""volume""),"""")"),1.67191E7)</f>
        <v>16719100</v>
      </c>
      <c r="AA313" s="24" t="str">
        <f>VLOOKUP(A313,Metrik!$C$2:$Y$959,5,0)</f>
        <v>Heavy Constructions &amp; Civil Engineering</v>
      </c>
      <c r="AB313" s="24" t="str">
        <f>VLOOKUP(A313,Metrik!$C$2:$Y$959,3,0)</f>
        <v>Infrastructures</v>
      </c>
    </row>
    <row r="314">
      <c r="A314" s="14" t="s">
        <v>179</v>
      </c>
      <c r="B314" s="14" t="str">
        <f t="array" ref="B314">VLOOKUP(A314,{Metrik!$C$2:$C$998,Metrik!$B$2:$B$998},2,0)</f>
        <v>PT Bank Danamon Indonesia Tbk</v>
      </c>
      <c r="C314" s="15">
        <f>IFERROR(__xludf.DUMMYFUNCTION("GOOGLEFINANCE(""IDX:""&amp;A314,""price"")"),3920.0)</f>
        <v>3920</v>
      </c>
      <c r="D314" s="16" t="str">
        <f>IFERROR(__xludf.DUMMYFUNCTION("IF(A314="""","""",
SPARKLINE(
INDEX(
GOOGLEFINANCE(""IDX:""&amp;A314,""close"",TODAY()-365,TODAY()),
,2
),
{""linewidth"",1}
))
"),"#N/A")</f>
        <v>#N/A</v>
      </c>
      <c r="E314" s="14" t="s">
        <v>75</v>
      </c>
      <c r="F314" s="14" t="s">
        <v>76</v>
      </c>
      <c r="G314" s="24">
        <f t="shared" si="1"/>
        <v>3</v>
      </c>
      <c r="H314" s="19">
        <f>VLOOKUP(A314,Metrik!$C$2:$Y$959,8,0)</f>
        <v>10.5</v>
      </c>
      <c r="I314" s="20">
        <f>VLOOKUP(A314,Metrik!$C$2:$Y$959,9,0)</f>
        <v>0.8</v>
      </c>
      <c r="J314" s="20">
        <f>VLOOKUP(A314,Metrik!$C$2:$Y$959,10,0)</f>
        <v>7.6</v>
      </c>
      <c r="K314" s="20">
        <f>VLOOKUP(A314,Metrik!$C$2:$Y$959,11,0)</f>
        <v>1.6</v>
      </c>
      <c r="L314" s="20">
        <f>VLOOKUP(A314,Metrik!$C$2:$Y$959,12,0)</f>
        <v>3.9</v>
      </c>
      <c r="M314" s="20">
        <f>VLOOKUP(A314,Metrik!$C$2:$Y$959,19,0)</f>
        <v>60.7</v>
      </c>
      <c r="N314" s="29">
        <v>7.4</v>
      </c>
      <c r="O314" s="29">
        <v>25.4</v>
      </c>
      <c r="P314" s="29">
        <v>95.5</v>
      </c>
      <c r="Q314" s="29">
        <v>1.7</v>
      </c>
      <c r="R314" s="29">
        <v>79.3</v>
      </c>
      <c r="S314" s="29">
        <v>55.3</v>
      </c>
      <c r="T314" s="29">
        <v>8.3</v>
      </c>
      <c r="U314" s="22">
        <f>IFERROR(__xludf.DUMMYFUNCTION("IFERROR(GOOGLEFINANCE(A314,""closeyest""),"""")"),3870.0)</f>
        <v>3870</v>
      </c>
      <c r="V314" s="23">
        <f>IFERROR(__xludf.DUMMYFUNCTION("IFERROR(GOOGLEFINANCE(A314,""changepct""),"""")"),1.29)</f>
        <v>1.29</v>
      </c>
      <c r="W314" s="22">
        <f>IFERROR(__xludf.DUMMYFUNCTION("IFERROR(GOOGLEFINANCE(A314,""priceopen""),"""")"),3930.0)</f>
        <v>3930</v>
      </c>
      <c r="X314" s="22">
        <f>IFERROR(__xludf.DUMMYFUNCTION("IFERROR(GOOGLEFINANCE(A314,""high""),"""")"),4030.0)</f>
        <v>4030</v>
      </c>
      <c r="Y314" s="22">
        <f>IFERROR(__xludf.DUMMYFUNCTION("IFERROR(GOOGLEFINANCE(A314,""low""),"""")"),3880.0)</f>
        <v>3880</v>
      </c>
      <c r="Z314" s="22">
        <f>IFERROR(__xludf.DUMMYFUNCTION("IFERROR(GOOGLEFINANCE(A314,""volume""),"""")"),2217100.0)</f>
        <v>2217100</v>
      </c>
      <c r="AA314" s="24" t="str">
        <f>VLOOKUP(A314,Metrik!$C$2:$Y$959,5,0)</f>
        <v>Banks</v>
      </c>
      <c r="AB314" s="24" t="str">
        <f>VLOOKUP(A314,Metrik!$C$2:$Y$959,3,0)</f>
        <v>Financials</v>
      </c>
    </row>
    <row r="315">
      <c r="A315" s="14" t="s">
        <v>179</v>
      </c>
      <c r="B315" s="14" t="str">
        <f t="array" ref="B315">VLOOKUP(A315,{Metrik!$C$2:$C$998,Metrik!$B$2:$B$998},2,0)</f>
        <v>PT Bank Danamon Indonesia Tbk</v>
      </c>
      <c r="C315" s="15">
        <f>IFERROR(__xludf.DUMMYFUNCTION("GOOGLEFINANCE(""IDX:""&amp;A315,""price"")"),3920.0)</f>
        <v>3920</v>
      </c>
      <c r="D315" s="16" t="str">
        <f>IFERROR(__xludf.DUMMYFUNCTION("IF(A315="""","""",
SPARKLINE(
INDEX(
GOOGLEFINANCE(""IDX:""&amp;A315,""close"",TODAY()-365,TODAY()),
,2
),
{""linewidth"",1}
))
"),"#N/A")</f>
        <v>#N/A</v>
      </c>
      <c r="E315" s="14" t="s">
        <v>162</v>
      </c>
      <c r="F315" s="14" t="s">
        <v>76</v>
      </c>
      <c r="G315" s="24">
        <f t="shared" si="1"/>
        <v>3</v>
      </c>
      <c r="H315" s="19">
        <f>VLOOKUP(A315,Metrik!$C$2:$Y$959,8,0)</f>
        <v>10.5</v>
      </c>
      <c r="I315" s="20">
        <f>VLOOKUP(A315,Metrik!$C$2:$Y$959,9,0)</f>
        <v>0.8</v>
      </c>
      <c r="J315" s="20">
        <f>VLOOKUP(A315,Metrik!$C$2:$Y$959,10,0)</f>
        <v>7.6</v>
      </c>
      <c r="K315" s="20">
        <f>VLOOKUP(A315,Metrik!$C$2:$Y$959,11,0)</f>
        <v>1.6</v>
      </c>
      <c r="L315" s="20">
        <f>VLOOKUP(A315,Metrik!$C$2:$Y$959,12,0)</f>
        <v>3.9</v>
      </c>
      <c r="M315" s="20">
        <f>VLOOKUP(A315,Metrik!$C$2:$Y$959,19,0)</f>
        <v>60.7</v>
      </c>
      <c r="N315" s="29">
        <v>7.4</v>
      </c>
      <c r="O315" s="29">
        <v>25.4</v>
      </c>
      <c r="P315" s="29">
        <v>95.5</v>
      </c>
      <c r="Q315" s="29">
        <v>1.7</v>
      </c>
      <c r="R315" s="29">
        <v>79.3</v>
      </c>
      <c r="S315" s="29">
        <v>55.3</v>
      </c>
      <c r="T315" s="29">
        <v>8.3</v>
      </c>
      <c r="U315" s="22">
        <f>IFERROR(__xludf.DUMMYFUNCTION("IFERROR(GOOGLEFINANCE(A315,""closeyest""),"""")"),3870.0)</f>
        <v>3870</v>
      </c>
      <c r="V315" s="23">
        <f>IFERROR(__xludf.DUMMYFUNCTION("IFERROR(GOOGLEFINANCE(A315,""changepct""),"""")"),1.29)</f>
        <v>1.29</v>
      </c>
      <c r="W315" s="22">
        <f>IFERROR(__xludf.DUMMYFUNCTION("IFERROR(GOOGLEFINANCE(A315,""priceopen""),"""")"),3930.0)</f>
        <v>3930</v>
      </c>
      <c r="X315" s="22">
        <f>IFERROR(__xludf.DUMMYFUNCTION("IFERROR(GOOGLEFINANCE(A315,""high""),"""")"),4030.0)</f>
        <v>4030</v>
      </c>
      <c r="Y315" s="22">
        <f>IFERROR(__xludf.DUMMYFUNCTION("IFERROR(GOOGLEFINANCE(A315,""low""),"""")"),3880.0)</f>
        <v>3880</v>
      </c>
      <c r="Z315" s="22">
        <f>IFERROR(__xludf.DUMMYFUNCTION("IFERROR(GOOGLEFINANCE(A315,""volume""),"""")"),2217100.0)</f>
        <v>2217100</v>
      </c>
      <c r="AA315" s="24" t="str">
        <f>VLOOKUP(A315,Metrik!$C$2:$Y$959,5,0)</f>
        <v>Banks</v>
      </c>
      <c r="AB315" s="24" t="str">
        <f>VLOOKUP(A315,Metrik!$C$2:$Y$959,3,0)</f>
        <v>Financials</v>
      </c>
    </row>
    <row r="316">
      <c r="A316" s="17" t="s">
        <v>179</v>
      </c>
      <c r="B316" s="14" t="str">
        <f t="array" ref="B316">VLOOKUP(A316,{Metrik!$C$2:$C$998,Metrik!$B$2:$B$998},2,0)</f>
        <v>PT Bank Danamon Indonesia Tbk</v>
      </c>
      <c r="C316" s="15">
        <f>IFERROR(__xludf.DUMMYFUNCTION("GOOGLEFINANCE(""IDX:""&amp;A316,""price"")"),3920.0)</f>
        <v>3920</v>
      </c>
      <c r="D316" s="16" t="str">
        <f>IFERROR(__xludf.DUMMYFUNCTION("IF(A316="""","""",
SPARKLINE(
INDEX(
GOOGLEFINANCE(""IDX:""&amp;A316,""close"",TODAY()-365,TODAY()),
,2
),
{""linewidth"",1}
))
"),"#N/A")</f>
        <v>#N/A</v>
      </c>
      <c r="E316" s="17" t="s">
        <v>69</v>
      </c>
      <c r="F316" s="17" t="s">
        <v>70</v>
      </c>
      <c r="G316" s="24">
        <f t="shared" si="1"/>
        <v>3</v>
      </c>
      <c r="H316" s="19">
        <f>VLOOKUP(A316,Metrik!$C$2:$Y$959,8,0)</f>
        <v>10.5</v>
      </c>
      <c r="I316" s="20">
        <f>VLOOKUP(A316,Metrik!$C$2:$Y$959,9,0)</f>
        <v>0.8</v>
      </c>
      <c r="J316" s="20">
        <f>VLOOKUP(A316,Metrik!$C$2:$Y$959,10,0)</f>
        <v>7.6</v>
      </c>
      <c r="K316" s="20">
        <f>VLOOKUP(A316,Metrik!$C$2:$Y$959,11,0)</f>
        <v>1.6</v>
      </c>
      <c r="L316" s="20">
        <f>VLOOKUP(A316,Metrik!$C$2:$Y$959,12,0)</f>
        <v>3.9</v>
      </c>
      <c r="M316" s="20">
        <f>VLOOKUP(A316,Metrik!$C$2:$Y$959,19,0)</f>
        <v>60.7</v>
      </c>
      <c r="N316" s="29">
        <v>7.4</v>
      </c>
      <c r="O316" s="29">
        <v>25.4</v>
      </c>
      <c r="P316" s="29">
        <v>95.5</v>
      </c>
      <c r="Q316" s="29">
        <v>1.7</v>
      </c>
      <c r="R316" s="29">
        <v>79.3</v>
      </c>
      <c r="S316" s="29">
        <v>55.3</v>
      </c>
      <c r="T316" s="29">
        <v>8.3</v>
      </c>
      <c r="U316" s="22">
        <f>IFERROR(__xludf.DUMMYFUNCTION("IFERROR(GOOGLEFINANCE(A316,""closeyest""),"""")"),3870.0)</f>
        <v>3870</v>
      </c>
      <c r="V316" s="23">
        <f>IFERROR(__xludf.DUMMYFUNCTION("IFERROR(GOOGLEFINANCE(A316,""changepct""),"""")"),1.29)</f>
        <v>1.29</v>
      </c>
      <c r="W316" s="22">
        <f>IFERROR(__xludf.DUMMYFUNCTION("IFERROR(GOOGLEFINANCE(A316,""priceopen""),"""")"),3930.0)</f>
        <v>3930</v>
      </c>
      <c r="X316" s="22">
        <f>IFERROR(__xludf.DUMMYFUNCTION("IFERROR(GOOGLEFINANCE(A316,""high""),"""")"),4030.0)</f>
        <v>4030</v>
      </c>
      <c r="Y316" s="22">
        <f>IFERROR(__xludf.DUMMYFUNCTION("IFERROR(GOOGLEFINANCE(A316,""low""),"""")"),3880.0)</f>
        <v>3880</v>
      </c>
      <c r="Z316" s="22">
        <f>IFERROR(__xludf.DUMMYFUNCTION("IFERROR(GOOGLEFINANCE(A316,""volume""),"""")"),2217100.0)</f>
        <v>2217100</v>
      </c>
      <c r="AA316" s="24" t="str">
        <f>VLOOKUP(A316,Metrik!$C$2:$Y$959,5,0)</f>
        <v>Banks</v>
      </c>
      <c r="AB316" s="24" t="str">
        <f>VLOOKUP(A316,Metrik!$C$2:$Y$959,3,0)</f>
        <v>Financials</v>
      </c>
    </row>
    <row r="317">
      <c r="A317" s="14" t="s">
        <v>180</v>
      </c>
      <c r="B317" s="14" t="str">
        <f t="array" ref="B317">VLOOKUP(A317,{Metrik!$C$2:$C$998,Metrik!$B$2:$B$998},2,0)</f>
        <v>Berkah Beton Sadaya Tbk.</v>
      </c>
      <c r="C317" s="15">
        <f>IFERROR(__xludf.DUMMYFUNCTION("GOOGLEFINANCE(""IDX:""&amp;A317,""price"")"),5.0)</f>
        <v>5</v>
      </c>
      <c r="D317" s="16" t="str">
        <f>IFERROR(__xludf.DUMMYFUNCTION("IF(A317="""","""",
SPARKLINE(
INDEX(
GOOGLEFINANCE(""IDX:""&amp;A317,""close"",TODAY()-365,TODAY()),
,2
),
{""linewidth"",1}
))
"),"#N/A")</f>
        <v>#N/A</v>
      </c>
      <c r="E317" s="26"/>
      <c r="F317" s="26"/>
      <c r="G317" s="24">
        <f t="shared" si="1"/>
        <v>0</v>
      </c>
      <c r="H317" s="19">
        <f>VLOOKUP(A317,Metrik!$C$2:$Y$959,8,0)</f>
        <v>0</v>
      </c>
      <c r="I317" s="20">
        <f>VLOOKUP(A317,Metrik!$C$2:$Y$959,9,0)</f>
        <v>0.28</v>
      </c>
      <c r="J317" s="20">
        <f>VLOOKUP(A317,Metrik!$C$2:$Y$959,10,0)</f>
        <v>-4.6</v>
      </c>
      <c r="K317" s="20">
        <f>VLOOKUP(A317,Metrik!$C$2:$Y$959,11,0)</f>
        <v>-4.2</v>
      </c>
      <c r="L317" s="20">
        <f>VLOOKUP(A317,Metrik!$C$2:$Y$959,12,0)</f>
        <v>0.11</v>
      </c>
      <c r="M317" s="20">
        <f>VLOOKUP(A317,Metrik!$C$2:$Y$959,19,0)</f>
        <v>-71.4</v>
      </c>
      <c r="N317" s="21"/>
      <c r="O317" s="21"/>
      <c r="P317" s="21"/>
      <c r="Q317" s="21"/>
      <c r="R317" s="21"/>
      <c r="S317" s="21"/>
      <c r="T317" s="21"/>
      <c r="U317" s="22">
        <f>IFERROR(__xludf.DUMMYFUNCTION("IFERROR(GOOGLEFINANCE(A317,""closeyest""),"""")"),5.0)</f>
        <v>5</v>
      </c>
      <c r="V317" s="23">
        <f>IFERROR(__xludf.DUMMYFUNCTION("IFERROR(GOOGLEFINANCE(A317,""changepct""),"""")"),0.0)</f>
        <v>0</v>
      </c>
      <c r="W317" s="22" t="str">
        <f>IFERROR(__xludf.DUMMYFUNCTION("IFERROR(GOOGLEFINANCE(A317,""priceopen""),"""")"),"")</f>
        <v/>
      </c>
      <c r="X317" s="22" t="str">
        <f>IFERROR(__xludf.DUMMYFUNCTION("IFERROR(GOOGLEFINANCE(A317,""high""),"""")"),"")</f>
        <v/>
      </c>
      <c r="Y317" s="22" t="str">
        <f>IFERROR(__xludf.DUMMYFUNCTION("IFERROR(GOOGLEFINANCE(A317,""low""),"""")"),"")</f>
        <v/>
      </c>
      <c r="Z317" s="22">
        <f>IFERROR(__xludf.DUMMYFUNCTION("IFERROR(GOOGLEFINANCE(A317,""volume""),"""")"),0.0)</f>
        <v>0</v>
      </c>
      <c r="AA317" s="24" t="str">
        <f>VLOOKUP(A317,Metrik!$C$2:$Y$959,5,0)</f>
        <v>Construction Materials</v>
      </c>
      <c r="AB317" s="24" t="str">
        <f>VLOOKUP(A317,Metrik!$C$2:$Y$959,3,0)</f>
        <v>Basic Materials</v>
      </c>
    </row>
    <row r="318">
      <c r="A318" s="14" t="s">
        <v>181</v>
      </c>
      <c r="B318" s="14" t="str">
        <f t="array" ref="B318">VLOOKUP(A318,{Metrik!$C$2:$C$998,Metrik!$B$2:$B$998},2,0)</f>
        <v>Estika Tata Tiara Tbk.</v>
      </c>
      <c r="C318" s="15">
        <f>IFERROR(__xludf.DUMMYFUNCTION("GOOGLEFINANCE(""IDX:""&amp;A318,""price"")"),156.0)</f>
        <v>156</v>
      </c>
      <c r="D318" s="16" t="str">
        <f>IFERROR(__xludf.DUMMYFUNCTION("IF(A318="""","""",
SPARKLINE(
INDEX(
GOOGLEFINANCE(""IDX:""&amp;A318,""close"",TODAY()-365,TODAY()),
,2
),
{""linewidth"",1}
))
"),"#N/A")</f>
        <v>#N/A</v>
      </c>
      <c r="E318" s="26"/>
      <c r="F318" s="26"/>
      <c r="G318" s="24">
        <f t="shared" si="1"/>
        <v>0</v>
      </c>
      <c r="H318" s="19">
        <f>VLOOKUP(A318,Metrik!$C$2:$Y$959,8,0)</f>
        <v>12.8</v>
      </c>
      <c r="I318" s="20">
        <f>VLOOKUP(A318,Metrik!$C$2:$Y$959,9,0)</f>
        <v>3.3</v>
      </c>
      <c r="J318" s="20">
        <f>VLOOKUP(A318,Metrik!$C$2:$Y$959,10,0)</f>
        <v>25.9</v>
      </c>
      <c r="K318" s="20">
        <f>VLOOKUP(A318,Metrik!$C$2:$Y$959,11,0)</f>
        <v>4.9</v>
      </c>
      <c r="L318" s="20">
        <f>VLOOKUP(A318,Metrik!$C$2:$Y$959,12,0)</f>
        <v>4.4</v>
      </c>
      <c r="M318" s="20">
        <f>VLOOKUP(A318,Metrik!$C$2:$Y$959,19,0)</f>
        <v>8.4</v>
      </c>
      <c r="N318" s="21"/>
      <c r="O318" s="21"/>
      <c r="P318" s="21"/>
      <c r="Q318" s="21"/>
      <c r="R318" s="21"/>
      <c r="S318" s="21"/>
      <c r="T318" s="21"/>
      <c r="U318" s="22">
        <f>IFERROR(__xludf.DUMMYFUNCTION("IFERROR(GOOGLEFINANCE(A318,""closeyest""),"""")"),152.0)</f>
        <v>152</v>
      </c>
      <c r="V318" s="23">
        <f>IFERROR(__xludf.DUMMYFUNCTION("IFERROR(GOOGLEFINANCE(A318,""changepct""),"""")"),2.63)</f>
        <v>2.63</v>
      </c>
      <c r="W318" s="22">
        <f>IFERROR(__xludf.DUMMYFUNCTION("IFERROR(GOOGLEFINANCE(A318,""priceopen""),"""")"),153.0)</f>
        <v>153</v>
      </c>
      <c r="X318" s="22">
        <f>IFERROR(__xludf.DUMMYFUNCTION("IFERROR(GOOGLEFINANCE(A318,""high""),"""")"),160.0)</f>
        <v>160</v>
      </c>
      <c r="Y318" s="22">
        <f>IFERROR(__xludf.DUMMYFUNCTION("IFERROR(GOOGLEFINANCE(A318,""low""),"""")"),152.0)</f>
        <v>152</v>
      </c>
      <c r="Z318" s="22">
        <f>IFERROR(__xludf.DUMMYFUNCTION("IFERROR(GOOGLEFINANCE(A318,""volume""),"""")"),7602300.0)</f>
        <v>7602300</v>
      </c>
      <c r="AA318" s="24" t="str">
        <f>VLOOKUP(A318,Metrik!$C$2:$Y$959,5,0)</f>
        <v>Processed Foods</v>
      </c>
      <c r="AB318" s="24" t="str">
        <f>VLOOKUP(A318,Metrik!$C$2:$Y$959,3,0)</f>
        <v>Consumer Non-Cyclicals</v>
      </c>
    </row>
    <row r="319">
      <c r="A319" s="14" t="s">
        <v>182</v>
      </c>
      <c r="B319" s="14" t="str">
        <f t="array" ref="B319">VLOOKUP(A319,{Metrik!$C$2:$C$998,Metrik!$B$2:$B$998},2,0)</f>
        <v>PT Jobubu Jarum Minahasa Tbk</v>
      </c>
      <c r="C319" s="15">
        <f>IFERROR(__xludf.DUMMYFUNCTION("GOOGLEFINANCE(""IDX:""&amp;A319,""price"")"),86.0)</f>
        <v>86</v>
      </c>
      <c r="D319" s="16" t="str">
        <f>IFERROR(__xludf.DUMMYFUNCTION("IF(A319="""","""",
SPARKLINE(
INDEX(
GOOGLEFINANCE(""IDX:""&amp;A319,""close"",TODAY()-365,TODAY()),
,2
),
{""linewidth"",1}
))
"),"#N/A")</f>
        <v>#N/A</v>
      </c>
      <c r="E319" s="26"/>
      <c r="F319" s="26"/>
      <c r="G319" s="24">
        <f t="shared" si="1"/>
        <v>0</v>
      </c>
      <c r="H319" s="19">
        <f>VLOOKUP(A319,Metrik!$C$2:$Y$959,8,0)</f>
        <v>410</v>
      </c>
      <c r="I319" s="20">
        <f>VLOOKUP(A319,Metrik!$C$2:$Y$959,9,0)</f>
        <v>1.4</v>
      </c>
      <c r="J319" s="20">
        <f>VLOOKUP(A319,Metrik!$C$2:$Y$959,10,0)</f>
        <v>0.35</v>
      </c>
      <c r="K319" s="20">
        <f>VLOOKUP(A319,Metrik!$C$2:$Y$959,11,0)</f>
        <v>0.32</v>
      </c>
      <c r="L319" s="20">
        <f>VLOOKUP(A319,Metrik!$C$2:$Y$959,12,0)</f>
        <v>0.08</v>
      </c>
      <c r="M319" s="20">
        <f>VLOOKUP(A319,Metrik!$C$2:$Y$959,19,0)</f>
        <v>11.4</v>
      </c>
      <c r="N319" s="21"/>
      <c r="O319" s="21"/>
      <c r="P319" s="21"/>
      <c r="Q319" s="21"/>
      <c r="R319" s="21"/>
      <c r="S319" s="21"/>
      <c r="T319" s="21"/>
      <c r="U319" s="22">
        <f>IFERROR(__xludf.DUMMYFUNCTION("IFERROR(GOOGLEFINANCE(A319,""closeyest""),"""")"),2.5)</f>
        <v>2.5</v>
      </c>
      <c r="V319" s="23">
        <f>IFERROR(__xludf.DUMMYFUNCTION("IFERROR(GOOGLEFINANCE(A319,""changepct""),"""")"),1.2)</f>
        <v>1.2</v>
      </c>
      <c r="W319" s="22">
        <f>IFERROR(__xludf.DUMMYFUNCTION("IFERROR(GOOGLEFINANCE(A319,""priceopen""),"""")"),2.49)</f>
        <v>2.49</v>
      </c>
      <c r="X319" s="22">
        <f>IFERROR(__xludf.DUMMYFUNCTION("IFERROR(GOOGLEFINANCE(A319,""high""),"""")"),2.54)</f>
        <v>2.54</v>
      </c>
      <c r="Y319" s="22">
        <f>IFERROR(__xludf.DUMMYFUNCTION("IFERROR(GOOGLEFINANCE(A319,""low""),"""")"),2.49)</f>
        <v>2.49</v>
      </c>
      <c r="Z319" s="22">
        <f>IFERROR(__xludf.DUMMYFUNCTION("IFERROR(GOOGLEFINANCE(A319,""volume""),"""")"),10433.0)</f>
        <v>10433</v>
      </c>
      <c r="AA319" s="24" t="str">
        <f>VLOOKUP(A319,Metrik!$C$2:$Y$959,5,0)</f>
        <v>Beverages</v>
      </c>
      <c r="AB319" s="24" t="str">
        <f>VLOOKUP(A319,Metrik!$C$2:$Y$959,3,0)</f>
        <v>Consumer Non-Cyclicals</v>
      </c>
    </row>
    <row r="320">
      <c r="A320" s="14" t="s">
        <v>183</v>
      </c>
      <c r="B320" s="14" t="str">
        <f t="array" ref="B320">VLOOKUP(A320,{Metrik!$C$2:$C$998,Metrik!$B$2:$B$998},2,0)</f>
        <v>PT Bank Pembangunan Daerah Banten Tbk.</v>
      </c>
      <c r="C320" s="15">
        <f>IFERROR(__xludf.DUMMYFUNCTION("GOOGLEFINANCE(""IDX:""&amp;A320,""price"")"),21.0)</f>
        <v>21</v>
      </c>
      <c r="D320" s="16" t="str">
        <f>IFERROR(__xludf.DUMMYFUNCTION("IF(A320="""","""",
SPARKLINE(
INDEX(
GOOGLEFINANCE(""IDX:""&amp;A320,""close"",TODAY()-365,TODAY()),
,2
),
{""linewidth"",1}
))
"),"#N/A")</f>
        <v>#N/A</v>
      </c>
      <c r="E320" s="26"/>
      <c r="F320" s="26"/>
      <c r="G320" s="24">
        <f t="shared" si="1"/>
        <v>0</v>
      </c>
      <c r="H320" s="19">
        <f>VLOOKUP(A320,Metrik!$C$2:$Y$959,8,0)</f>
        <v>21.4</v>
      </c>
      <c r="I320" s="20">
        <f>VLOOKUP(A320,Metrik!$C$2:$Y$959,9,0)</f>
        <v>0.6</v>
      </c>
      <c r="J320" s="20">
        <f>VLOOKUP(A320,Metrik!$C$2:$Y$959,10,0)</f>
        <v>2.8</v>
      </c>
      <c r="K320" s="20">
        <f>VLOOKUP(A320,Metrik!$C$2:$Y$959,11,0)</f>
        <v>0.53</v>
      </c>
      <c r="L320" s="20">
        <f>VLOOKUP(A320,Metrik!$C$2:$Y$959,12,0)</f>
        <v>4.3</v>
      </c>
      <c r="M320" s="20">
        <f>VLOOKUP(A320,Metrik!$C$2:$Y$959,19,0)</f>
        <v>27.3</v>
      </c>
      <c r="N320" s="29">
        <v>3.7</v>
      </c>
      <c r="O320" s="29">
        <v>19.3</v>
      </c>
      <c r="P320" s="29">
        <v>87.4</v>
      </c>
      <c r="Q320" s="29">
        <v>1.4</v>
      </c>
      <c r="R320" s="29">
        <v>87.9</v>
      </c>
      <c r="S320" s="29">
        <v>56.0</v>
      </c>
      <c r="T320" s="29">
        <v>6.3</v>
      </c>
      <c r="U320" s="22">
        <f>IFERROR(__xludf.DUMMYFUNCTION("IFERROR(GOOGLEFINANCE(A320,""closeyest""),"""")"),21.0)</f>
        <v>21</v>
      </c>
      <c r="V320" s="23">
        <f>IFERROR(__xludf.DUMMYFUNCTION("IFERROR(GOOGLEFINANCE(A320,""changepct""),"""")"),0.0)</f>
        <v>0</v>
      </c>
      <c r="W320" s="22">
        <f>IFERROR(__xludf.DUMMYFUNCTION("IFERROR(GOOGLEFINANCE(A320,""priceopen""),"""")"),21.0)</f>
        <v>21</v>
      </c>
      <c r="X320" s="22">
        <f>IFERROR(__xludf.DUMMYFUNCTION("IFERROR(GOOGLEFINANCE(A320,""high""),"""")"),22.0)</f>
        <v>22</v>
      </c>
      <c r="Y320" s="22">
        <f>IFERROR(__xludf.DUMMYFUNCTION("IFERROR(GOOGLEFINANCE(A320,""low""),"""")"),21.0)</f>
        <v>21</v>
      </c>
      <c r="Z320" s="22">
        <f>IFERROR(__xludf.DUMMYFUNCTION("IFERROR(GOOGLEFINANCE(A320,""volume""),"""")"),2.19247E7)</f>
        <v>21924700</v>
      </c>
      <c r="AA320" s="24" t="str">
        <f>VLOOKUP(A320,Metrik!$C$2:$Y$959,5,0)</f>
        <v>Banks</v>
      </c>
      <c r="AB320" s="24" t="str">
        <f>VLOOKUP(A320,Metrik!$C$2:$Y$959,3,0)</f>
        <v>Financials</v>
      </c>
    </row>
    <row r="321">
      <c r="A321" s="14" t="s">
        <v>184</v>
      </c>
      <c r="B321" s="14" t="str">
        <f t="array" ref="B321">VLOOKUP(A321,{Metrik!$C$2:$C$998,Metrik!$B$2:$B$998},2,0)</f>
        <v>Global Digital Niaga Tbk.</v>
      </c>
      <c r="C321" s="15">
        <f>IFERROR(__xludf.DUMMYFUNCTION("GOOGLEFINANCE(""IDX:""&amp;A321,""price"")"),292.0)</f>
        <v>292</v>
      </c>
      <c r="D321" s="16" t="str">
        <f>IFERROR(__xludf.DUMMYFUNCTION("IF(A321="""","""",
SPARKLINE(
INDEX(
GOOGLEFINANCE(""IDX:""&amp;A321,""close"",TODAY()-365,TODAY()),
,2
),
{""linewidth"",1}
))
"),"#N/A")</f>
        <v>#N/A</v>
      </c>
      <c r="E321" s="26"/>
      <c r="F321" s="26"/>
      <c r="G321" s="24">
        <f t="shared" si="1"/>
        <v>0</v>
      </c>
      <c r="H321" s="19">
        <f>VLOOKUP(A321,Metrik!$C$2:$Y$959,8,0)</f>
        <v>-23.9</v>
      </c>
      <c r="I321" s="20">
        <f>VLOOKUP(A321,Metrik!$C$2:$Y$959,9,0)</f>
        <v>5.1</v>
      </c>
      <c r="J321" s="20">
        <f>VLOOKUP(A321,Metrik!$C$2:$Y$959,10,0)</f>
        <v>-21.2</v>
      </c>
      <c r="K321" s="20">
        <f>VLOOKUP(A321,Metrik!$C$2:$Y$959,11,0)</f>
        <v>-10.4</v>
      </c>
      <c r="L321" s="20">
        <f>VLOOKUP(A321,Metrik!$C$2:$Y$959,12,0)</f>
        <v>1</v>
      </c>
      <c r="M321" s="20">
        <f>VLOOKUP(A321,Metrik!$C$2:$Y$959,19,0)</f>
        <v>-24.8</v>
      </c>
      <c r="N321" s="21"/>
      <c r="O321" s="21"/>
      <c r="P321" s="21"/>
      <c r="Q321" s="21"/>
      <c r="R321" s="21"/>
      <c r="S321" s="21"/>
      <c r="T321" s="21"/>
      <c r="U321" s="22">
        <f>IFERROR(__xludf.DUMMYFUNCTION("IFERROR(GOOGLEFINANCE(A321,""closeyest""),"""")"),296.0)</f>
        <v>296</v>
      </c>
      <c r="V321" s="23">
        <f>IFERROR(__xludf.DUMMYFUNCTION("IFERROR(GOOGLEFINANCE(A321,""changepct""),"""")"),-1.35)</f>
        <v>-1.35</v>
      </c>
      <c r="W321" s="22">
        <f>IFERROR(__xludf.DUMMYFUNCTION("IFERROR(GOOGLEFINANCE(A321,""priceopen""),"""")"),296.0)</f>
        <v>296</v>
      </c>
      <c r="X321" s="22">
        <f>IFERROR(__xludf.DUMMYFUNCTION("IFERROR(GOOGLEFINANCE(A321,""high""),"""")"),296.0)</f>
        <v>296</v>
      </c>
      <c r="Y321" s="22">
        <f>IFERROR(__xludf.DUMMYFUNCTION("IFERROR(GOOGLEFINANCE(A321,""low""),"""")"),290.0)</f>
        <v>290</v>
      </c>
      <c r="Z321" s="22">
        <f>IFERROR(__xludf.DUMMYFUNCTION("IFERROR(GOOGLEFINANCE(A321,""volume""),"""")"),190900.0)</f>
        <v>190900</v>
      </c>
      <c r="AA321" s="24" t="str">
        <f>VLOOKUP(A321,Metrik!$C$2:$Y$959,5,0)</f>
        <v>Online Applications &amp; Services</v>
      </c>
      <c r="AB321" s="24" t="str">
        <f>VLOOKUP(A321,Metrik!$C$2:$Y$959,3,0)</f>
        <v>Technology</v>
      </c>
    </row>
    <row r="322">
      <c r="A322" s="14" t="s">
        <v>185</v>
      </c>
      <c r="B322" s="14" t="str">
        <f t="array" ref="B322">VLOOKUP(A322,{Metrik!$C$2:$C$998,Metrik!$B$2:$B$998},2,0)</f>
        <v>PT Trisula Textile Industries Tbk</v>
      </c>
      <c r="C322" s="15">
        <f>IFERROR(__xludf.DUMMYFUNCTION("GOOGLEFINANCE(""IDX:""&amp;A322,""price"")"),95.0)</f>
        <v>95</v>
      </c>
      <c r="D322" s="16" t="str">
        <f>IFERROR(__xludf.DUMMYFUNCTION("IF(A322="""","""",
SPARKLINE(
INDEX(
GOOGLEFINANCE(""IDX:""&amp;A322,""close"",TODAY()-365,TODAY()),
,2
),
{""linewidth"",1}
))
"),"#N/A")</f>
        <v>#N/A</v>
      </c>
      <c r="E322" s="26"/>
      <c r="F322" s="26"/>
      <c r="G322" s="24">
        <f t="shared" si="1"/>
        <v>0</v>
      </c>
      <c r="H322" s="19">
        <f>VLOOKUP(A322,Metrik!$C$2:$Y$959,8,0)</f>
        <v>120</v>
      </c>
      <c r="I322" s="20">
        <f>VLOOKUP(A322,Metrik!$C$2:$Y$959,9,0)</f>
        <v>2.7</v>
      </c>
      <c r="J322" s="20">
        <f>VLOOKUP(A322,Metrik!$C$2:$Y$959,10,0)</f>
        <v>2.4</v>
      </c>
      <c r="K322" s="20">
        <f>VLOOKUP(A322,Metrik!$C$2:$Y$959,11,0)</f>
        <v>1.1</v>
      </c>
      <c r="L322" s="20">
        <f>VLOOKUP(A322,Metrik!$C$2:$Y$959,12,0)</f>
        <v>1.2</v>
      </c>
      <c r="M322" s="20">
        <f>VLOOKUP(A322,Metrik!$C$2:$Y$959,19,0)</f>
        <v>4.4</v>
      </c>
      <c r="N322" s="21"/>
      <c r="O322" s="21"/>
      <c r="P322" s="21"/>
      <c r="Q322" s="21"/>
      <c r="R322" s="21"/>
      <c r="S322" s="21"/>
      <c r="T322" s="21"/>
      <c r="U322" s="22">
        <f>IFERROR(__xludf.DUMMYFUNCTION("IFERROR(GOOGLEFINANCE(A322,""closeyest""),"""")"),3.12)</f>
        <v>3.12</v>
      </c>
      <c r="V322" s="23">
        <f>IFERROR(__xludf.DUMMYFUNCTION("IFERROR(GOOGLEFINANCE(A322,""changepct""),"""")"),0.64)</f>
        <v>0.64</v>
      </c>
      <c r="W322" s="22">
        <f>IFERROR(__xludf.DUMMYFUNCTION("IFERROR(GOOGLEFINANCE(A322,""priceopen""),"""")"),3.06)</f>
        <v>3.06</v>
      </c>
      <c r="X322" s="22">
        <f>IFERROR(__xludf.DUMMYFUNCTION("IFERROR(GOOGLEFINANCE(A322,""high""),"""")"),3.14)</f>
        <v>3.14</v>
      </c>
      <c r="Y322" s="22">
        <f>IFERROR(__xludf.DUMMYFUNCTION("IFERROR(GOOGLEFINANCE(A322,""low""),"""")"),3.04)</f>
        <v>3.04</v>
      </c>
      <c r="Z322" s="22">
        <f>IFERROR(__xludf.DUMMYFUNCTION("IFERROR(GOOGLEFINANCE(A322,""volume""),"""")"),3500.0)</f>
        <v>3500</v>
      </c>
      <c r="AA322" s="24" t="str">
        <f>VLOOKUP(A322,Metrik!$C$2:$Y$959,5,0)</f>
        <v>Apparel &amp; Luxury Goods</v>
      </c>
      <c r="AB322" s="24" t="str">
        <f>VLOOKUP(A322,Metrik!$C$2:$Y$959,3,0)</f>
        <v>Consumer Cyclicals</v>
      </c>
    </row>
    <row r="323">
      <c r="A323" s="14" t="s">
        <v>186</v>
      </c>
      <c r="B323" s="14" t="str">
        <f t="array" ref="B323">VLOOKUP(A323,{Metrik!$C$2:$C$998,Metrik!$B$2:$B$998},2,0)</f>
        <v>Batulicin Nusantara Maritim Tbk.</v>
      </c>
      <c r="C323" s="15">
        <f>IFERROR(__xludf.DUMMYFUNCTION("GOOGLEFINANCE(""IDX:""&amp;A323,""price"")"),945.0)</f>
        <v>945</v>
      </c>
      <c r="D323" s="16" t="str">
        <f>IFERROR(__xludf.DUMMYFUNCTION("IF(A323="""","""",
SPARKLINE(
INDEX(
GOOGLEFINANCE(""IDX:""&amp;A323,""close"",TODAY()-365,TODAY()),
,2
),
{""linewidth"",1}
))
"),"#N/A")</f>
        <v>#N/A</v>
      </c>
      <c r="E323" s="26"/>
      <c r="F323" s="26"/>
      <c r="G323" s="24">
        <f t="shared" si="1"/>
        <v>0</v>
      </c>
      <c r="H323" s="19">
        <f>VLOOKUP(A323,Metrik!$C$2:$Y$959,8,0)</f>
        <v>120</v>
      </c>
      <c r="I323" s="20">
        <f>VLOOKUP(A323,Metrik!$C$2:$Y$959,9,0)</f>
        <v>5.2</v>
      </c>
      <c r="J323" s="20">
        <f>VLOOKUP(A323,Metrik!$C$2:$Y$959,10,0)</f>
        <v>4.3</v>
      </c>
      <c r="K323" s="20">
        <f>VLOOKUP(A323,Metrik!$C$2:$Y$959,11,0)</f>
        <v>3.9</v>
      </c>
      <c r="L323" s="20">
        <f>VLOOKUP(A323,Metrik!$C$2:$Y$959,12,0)</f>
        <v>0.09</v>
      </c>
      <c r="M323" s="20">
        <f>VLOOKUP(A323,Metrik!$C$2:$Y$959,19,0)</f>
        <v>51.8</v>
      </c>
      <c r="N323" s="21"/>
      <c r="O323" s="21"/>
      <c r="P323" s="21"/>
      <c r="Q323" s="21"/>
      <c r="R323" s="21"/>
      <c r="S323" s="21"/>
      <c r="T323" s="21"/>
      <c r="U323" s="22">
        <f>IFERROR(__xludf.DUMMYFUNCTION("IFERROR(GOOGLEFINANCE(A323,""closeyest""),"""")"),3.95)</f>
        <v>3.95</v>
      </c>
      <c r="V323" s="23">
        <f>IFERROR(__xludf.DUMMYFUNCTION("IFERROR(GOOGLEFINANCE(A323,""changepct""),"""")"),-7.09)</f>
        <v>-7.09</v>
      </c>
      <c r="W323" s="22">
        <f>IFERROR(__xludf.DUMMYFUNCTION("IFERROR(GOOGLEFINANCE(A323,""priceopen""),"""")"),3.92)</f>
        <v>3.92</v>
      </c>
      <c r="X323" s="22">
        <f>IFERROR(__xludf.DUMMYFUNCTION("IFERROR(GOOGLEFINANCE(A323,""high""),"""")"),4.05)</f>
        <v>4.05</v>
      </c>
      <c r="Y323" s="22">
        <f>IFERROR(__xludf.DUMMYFUNCTION("IFERROR(GOOGLEFINANCE(A323,""low""),"""")"),3.65)</f>
        <v>3.65</v>
      </c>
      <c r="Z323" s="22">
        <f>IFERROR(__xludf.DUMMYFUNCTION("IFERROR(GOOGLEFINANCE(A323,""volume""),"""")"),149242.0)</f>
        <v>149242</v>
      </c>
      <c r="AA323" s="24" t="str">
        <f>VLOOKUP(A323,Metrik!$C$2:$Y$959,5,0)</f>
        <v>Coal</v>
      </c>
      <c r="AB323" s="24" t="str">
        <f>VLOOKUP(A323,Metrik!$C$2:$Y$959,3,0)</f>
        <v>Energy</v>
      </c>
    </row>
    <row r="324">
      <c r="A324" s="14" t="s">
        <v>187</v>
      </c>
      <c r="B324" s="14" t="str">
        <f t="array" ref="B324">VLOOKUP(A324,{Metrik!$C$2:$C$998,Metrik!$B$2:$B$998},2,0)</f>
        <v>Bekasi Fajar Industrial Estate Tbk.</v>
      </c>
      <c r="C324" s="15">
        <f>IFERROR(__xludf.DUMMYFUNCTION("GOOGLEFINANCE(""IDX:""&amp;A324,""price"")"),97.0)</f>
        <v>97</v>
      </c>
      <c r="D324" s="16" t="str">
        <f>IFERROR(__xludf.DUMMYFUNCTION("IF(A324="""","""",
SPARKLINE(
INDEX(
GOOGLEFINANCE(""IDX:""&amp;A324,""close"",TODAY()-365,TODAY()),
,2
),
{""linewidth"",1}
))
"),"#N/A")</f>
        <v>#N/A</v>
      </c>
      <c r="E324" s="26"/>
      <c r="F324" s="26"/>
      <c r="G324" s="24">
        <f t="shared" si="1"/>
        <v>0</v>
      </c>
      <c r="H324" s="19">
        <f>VLOOKUP(A324,Metrik!$C$2:$Y$959,8,0)</f>
        <v>13.4</v>
      </c>
      <c r="I324" s="20">
        <f>VLOOKUP(A324,Metrik!$C$2:$Y$959,9,0)</f>
        <v>0.22</v>
      </c>
      <c r="J324" s="20">
        <f>VLOOKUP(A324,Metrik!$C$2:$Y$959,10,0)</f>
        <v>1.6</v>
      </c>
      <c r="K324" s="20">
        <f>VLOOKUP(A324,Metrik!$C$2:$Y$959,11,0)</f>
        <v>1.3</v>
      </c>
      <c r="L324" s="20">
        <f>VLOOKUP(A324,Metrik!$C$2:$Y$959,12,0)</f>
        <v>0.3</v>
      </c>
      <c r="M324" s="20">
        <f>VLOOKUP(A324,Metrik!$C$2:$Y$959,19,0)</f>
        <v>81</v>
      </c>
      <c r="N324" s="21"/>
      <c r="O324" s="21"/>
      <c r="P324" s="21"/>
      <c r="Q324" s="21"/>
      <c r="R324" s="21"/>
      <c r="S324" s="21"/>
      <c r="T324" s="21"/>
      <c r="U324" s="22">
        <f>IFERROR(__xludf.DUMMYFUNCTION("IFERROR(GOOGLEFINANCE(A324,""closeyest""),"""")"),12.43)</f>
        <v>12.43</v>
      </c>
      <c r="V324" s="23">
        <f>IFERROR(__xludf.DUMMYFUNCTION("IFERROR(GOOGLEFINANCE(A324,""changepct""),"""")"),-1.61)</f>
        <v>-1.61</v>
      </c>
      <c r="W324" s="22">
        <f>IFERROR(__xludf.DUMMYFUNCTION("IFERROR(GOOGLEFINANCE(A324,""priceopen""),"""")"),12.43)</f>
        <v>12.43</v>
      </c>
      <c r="X324" s="22">
        <f>IFERROR(__xludf.DUMMYFUNCTION("IFERROR(GOOGLEFINANCE(A324,""high""),"""")"),12.43)</f>
        <v>12.43</v>
      </c>
      <c r="Y324" s="22">
        <f>IFERROR(__xludf.DUMMYFUNCTION("IFERROR(GOOGLEFINANCE(A324,""low""),"""")"),12.23)</f>
        <v>12.23</v>
      </c>
      <c r="Z324" s="22" t="str">
        <f>IFERROR(__xludf.DUMMYFUNCTION("IFERROR(GOOGLEFINANCE(A324,""volume""),"""")"),"")</f>
        <v/>
      </c>
      <c r="AA324" s="24" t="str">
        <f>VLOOKUP(A324,Metrik!$C$2:$Y$959,5,0)</f>
        <v>Real Estate Management &amp; Development</v>
      </c>
      <c r="AB324" s="24" t="str">
        <f>VLOOKUP(A324,Metrik!$C$2:$Y$959,3,0)</f>
        <v>Properties &amp; Real Estate</v>
      </c>
    </row>
    <row r="325">
      <c r="A325" s="14" t="s">
        <v>188</v>
      </c>
      <c r="B325" s="14" t="str">
        <f t="array" ref="B325">VLOOKUP(A325,{Metrik!$C$2:$C$998,Metrik!$B$2:$B$998},2,0)</f>
        <v>BFI Finance Indonesia Tbk.</v>
      </c>
      <c r="C325" s="15">
        <f>IFERROR(__xludf.DUMMYFUNCTION("GOOGLEFINANCE(""IDX:""&amp;A325,""price"")"),670.0)</f>
        <v>670</v>
      </c>
      <c r="D325" s="16" t="str">
        <f>IFERROR(__xludf.DUMMYFUNCTION("IF(A325="""","""",
SPARKLINE(
INDEX(
GOOGLEFINANCE(""IDX:""&amp;A325,""close"",TODAY()-365,TODAY()),
,2
),
{""linewidth"",1}
))
"),"#N/A")</f>
        <v>#N/A</v>
      </c>
      <c r="E325" s="14" t="s">
        <v>41</v>
      </c>
      <c r="F325" s="14" t="s">
        <v>34</v>
      </c>
      <c r="G325" s="24">
        <f t="shared" si="1"/>
        <v>2</v>
      </c>
      <c r="H325" s="19">
        <f>VLOOKUP(A325,Metrik!$C$2:$Y$959,8,0)</f>
        <v>6.8</v>
      </c>
      <c r="I325" s="20">
        <f>VLOOKUP(A325,Metrik!$C$2:$Y$959,9,0)</f>
        <v>0.95</v>
      </c>
      <c r="J325" s="20">
        <f>VLOOKUP(A325,Metrik!$C$2:$Y$959,10,0)</f>
        <v>14</v>
      </c>
      <c r="K325" s="20">
        <f>VLOOKUP(A325,Metrik!$C$2:$Y$959,11,0)</f>
        <v>6.1</v>
      </c>
      <c r="L325" s="20">
        <f>VLOOKUP(A325,Metrik!$C$2:$Y$959,12,0)</f>
        <v>1.3</v>
      </c>
      <c r="M325" s="20">
        <f>VLOOKUP(A325,Metrik!$C$2:$Y$959,19,0)</f>
        <v>110</v>
      </c>
      <c r="N325" s="21"/>
      <c r="O325" s="21"/>
      <c r="P325" s="21"/>
      <c r="Q325" s="21"/>
      <c r="R325" s="21"/>
      <c r="S325" s="21"/>
      <c r="T325" s="21"/>
      <c r="U325" s="22">
        <f>IFERROR(__xludf.DUMMYFUNCTION("IFERROR(GOOGLEFINANCE(A325,""closeyest""),"""")"),28.3)</f>
        <v>28.3</v>
      </c>
      <c r="V325" s="23">
        <f>IFERROR(__xludf.DUMMYFUNCTION("IFERROR(GOOGLEFINANCE(A325,""changepct""),"""")"),1.31)</f>
        <v>1.31</v>
      </c>
      <c r="W325" s="22">
        <f>IFERROR(__xludf.DUMMYFUNCTION("IFERROR(GOOGLEFINANCE(A325,""priceopen""),"""")"),28.67)</f>
        <v>28.67</v>
      </c>
      <c r="X325" s="22">
        <f>IFERROR(__xludf.DUMMYFUNCTION("IFERROR(GOOGLEFINANCE(A325,""high""),"""")"),28.67)</f>
        <v>28.67</v>
      </c>
      <c r="Y325" s="22">
        <f>IFERROR(__xludf.DUMMYFUNCTION("IFERROR(GOOGLEFINANCE(A325,""low""),"""")"),28.67)</f>
        <v>28.67</v>
      </c>
      <c r="Z325" s="22">
        <f>IFERROR(__xludf.DUMMYFUNCTION("IFERROR(GOOGLEFINANCE(A325,""volume""),"""")"),300.0)</f>
        <v>300</v>
      </c>
      <c r="AA325" s="24" t="str">
        <f>VLOOKUP(A325,Metrik!$C$2:$Y$959,5,0)</f>
        <v>Consumer Financing</v>
      </c>
      <c r="AB325" s="24" t="str">
        <f>VLOOKUP(A325,Metrik!$C$2:$Y$959,3,0)</f>
        <v>Financials</v>
      </c>
    </row>
    <row r="326">
      <c r="A326" s="17" t="s">
        <v>188</v>
      </c>
      <c r="B326" s="14" t="str">
        <f t="array" ref="B326">VLOOKUP(A326,{Metrik!$C$2:$C$998,Metrik!$B$2:$B$998},2,0)</f>
        <v>BFI Finance Indonesia Tbk.</v>
      </c>
      <c r="C326" s="15">
        <f>IFERROR(__xludf.DUMMYFUNCTION("GOOGLEFINANCE(""IDX:""&amp;A326,""price"")"),670.0)</f>
        <v>670</v>
      </c>
      <c r="D326" s="16" t="str">
        <f>IFERROR(__xludf.DUMMYFUNCTION("IF(A326="""","""",
SPARKLINE(
INDEX(
GOOGLEFINANCE(""IDX:""&amp;A326,""close"",TODAY()-365,TODAY()),
,2
),
{""linewidth"",1}
))
"),"#N/A")</f>
        <v>#N/A</v>
      </c>
      <c r="E326" s="14" t="s">
        <v>35</v>
      </c>
      <c r="F326" s="17" t="s">
        <v>36</v>
      </c>
      <c r="G326" s="24">
        <f t="shared" si="1"/>
        <v>2</v>
      </c>
      <c r="H326" s="19">
        <f>VLOOKUP(A326,Metrik!$C$2:$Y$959,8,0)</f>
        <v>6.8</v>
      </c>
      <c r="I326" s="20">
        <f>VLOOKUP(A326,Metrik!$C$2:$Y$959,9,0)</f>
        <v>0.95</v>
      </c>
      <c r="J326" s="20">
        <f>VLOOKUP(A326,Metrik!$C$2:$Y$959,10,0)</f>
        <v>14</v>
      </c>
      <c r="K326" s="20">
        <f>VLOOKUP(A326,Metrik!$C$2:$Y$959,11,0)</f>
        <v>6.1</v>
      </c>
      <c r="L326" s="20">
        <f>VLOOKUP(A326,Metrik!$C$2:$Y$959,12,0)</f>
        <v>1.3</v>
      </c>
      <c r="M326" s="20">
        <f>VLOOKUP(A326,Metrik!$C$2:$Y$959,19,0)</f>
        <v>110</v>
      </c>
      <c r="N326" s="21"/>
      <c r="O326" s="21"/>
      <c r="P326" s="21"/>
      <c r="Q326" s="21"/>
      <c r="R326" s="21"/>
      <c r="S326" s="21"/>
      <c r="T326" s="21"/>
      <c r="U326" s="22">
        <f>IFERROR(__xludf.DUMMYFUNCTION("IFERROR(GOOGLEFINANCE(A326,""closeyest""),"""")"),28.3)</f>
        <v>28.3</v>
      </c>
      <c r="V326" s="23">
        <f>IFERROR(__xludf.DUMMYFUNCTION("IFERROR(GOOGLEFINANCE(A326,""changepct""),"""")"),1.31)</f>
        <v>1.31</v>
      </c>
      <c r="W326" s="22">
        <f>IFERROR(__xludf.DUMMYFUNCTION("IFERROR(GOOGLEFINANCE(A326,""priceopen""),"""")"),28.67)</f>
        <v>28.67</v>
      </c>
      <c r="X326" s="22">
        <f>IFERROR(__xludf.DUMMYFUNCTION("IFERROR(GOOGLEFINANCE(A326,""high""),"""")"),28.67)</f>
        <v>28.67</v>
      </c>
      <c r="Y326" s="22">
        <f>IFERROR(__xludf.DUMMYFUNCTION("IFERROR(GOOGLEFINANCE(A326,""low""),"""")"),28.67)</f>
        <v>28.67</v>
      </c>
      <c r="Z326" s="22">
        <f>IFERROR(__xludf.DUMMYFUNCTION("IFERROR(GOOGLEFINANCE(A326,""volume""),"""")"),300.0)</f>
        <v>300</v>
      </c>
      <c r="AA326" s="24" t="str">
        <f>VLOOKUP(A326,Metrik!$C$2:$Y$959,5,0)</f>
        <v>Consumer Financing</v>
      </c>
      <c r="AB326" s="24" t="str">
        <f>VLOOKUP(A326,Metrik!$C$2:$Y$959,3,0)</f>
        <v>Financials</v>
      </c>
    </row>
    <row r="327">
      <c r="A327" s="14" t="s">
        <v>189</v>
      </c>
      <c r="B327" s="14" t="str">
        <f t="array" ref="B327">VLOOKUP(A327,{Metrik!$C$2:$C$998,Metrik!$B$2:$B$998},2,0)</f>
        <v>PT Bank Ganesha Tbk.</v>
      </c>
      <c r="C327" s="15">
        <f>IFERROR(__xludf.DUMMYFUNCTION("GOOGLEFINANCE(""IDX:""&amp;A327,""price"")"),104.0)</f>
        <v>104</v>
      </c>
      <c r="D327" s="16" t="str">
        <f>IFERROR(__xludf.DUMMYFUNCTION("IF(A327="""","""",
SPARKLINE(
INDEX(
GOOGLEFINANCE(""IDX:""&amp;A327,""close"",TODAY()-365,TODAY()),
,2
),
{""linewidth"",1}
))
"),"#N/A")</f>
        <v>#N/A</v>
      </c>
      <c r="E327" s="26"/>
      <c r="F327" s="26"/>
      <c r="G327" s="24">
        <f t="shared" si="1"/>
        <v>0</v>
      </c>
      <c r="H327" s="19">
        <f>VLOOKUP(A327,Metrik!$C$2:$Y$959,8,0)</f>
        <v>12</v>
      </c>
      <c r="I327" s="20">
        <f>VLOOKUP(A327,Metrik!$C$2:$Y$959,9,0)</f>
        <v>0.75</v>
      </c>
      <c r="J327" s="20">
        <f>VLOOKUP(A327,Metrik!$C$2:$Y$959,10,0)</f>
        <v>6.2</v>
      </c>
      <c r="K327" s="20">
        <f>VLOOKUP(A327,Metrik!$C$2:$Y$959,11,0)</f>
        <v>2.2</v>
      </c>
      <c r="L327" s="20">
        <f>VLOOKUP(A327,Metrik!$C$2:$Y$959,12,0)</f>
        <v>1.8</v>
      </c>
      <c r="M327" s="20">
        <f>VLOOKUP(A327,Metrik!$C$2:$Y$959,19,0)</f>
        <v>130</v>
      </c>
      <c r="N327" s="32">
        <v>3.55</v>
      </c>
      <c r="O327" s="32">
        <v>77.52</v>
      </c>
      <c r="P327" s="32">
        <v>78.73</v>
      </c>
      <c r="Q327" s="32">
        <v>1.4</v>
      </c>
      <c r="R327" s="32">
        <v>89.2</v>
      </c>
      <c r="S327" s="32">
        <v>72.15</v>
      </c>
      <c r="T327" s="32">
        <v>8.11</v>
      </c>
      <c r="U327" s="22">
        <f>IFERROR(__xludf.DUMMYFUNCTION("IFERROR(GOOGLEFINANCE(A327,""closeyest""),"""")"),101.0)</f>
        <v>101</v>
      </c>
      <c r="V327" s="23">
        <f>IFERROR(__xludf.DUMMYFUNCTION("IFERROR(GOOGLEFINANCE(A327,""changepct""),"""")"),2.97)</f>
        <v>2.97</v>
      </c>
      <c r="W327" s="22">
        <f>IFERROR(__xludf.DUMMYFUNCTION("IFERROR(GOOGLEFINANCE(A327,""priceopen""),"""")"),102.0)</f>
        <v>102</v>
      </c>
      <c r="X327" s="22">
        <f>IFERROR(__xludf.DUMMYFUNCTION("IFERROR(GOOGLEFINANCE(A327,""high""),"""")"),105.0)</f>
        <v>105</v>
      </c>
      <c r="Y327" s="22">
        <f>IFERROR(__xludf.DUMMYFUNCTION("IFERROR(GOOGLEFINANCE(A327,""low""),"""")"),101.0)</f>
        <v>101</v>
      </c>
      <c r="Z327" s="22">
        <f>IFERROR(__xludf.DUMMYFUNCTION("IFERROR(GOOGLEFINANCE(A327,""volume""),"""")"),3848600.0)</f>
        <v>3848600</v>
      </c>
      <c r="AA327" s="24" t="str">
        <f>VLOOKUP(A327,Metrik!$C$2:$Y$959,5,0)</f>
        <v>Banks</v>
      </c>
      <c r="AB327" s="24" t="str">
        <f>VLOOKUP(A327,Metrik!$C$2:$Y$959,3,0)</f>
        <v>Financials</v>
      </c>
    </row>
    <row r="328">
      <c r="A328" s="14" t="s">
        <v>190</v>
      </c>
      <c r="B328" s="14" t="str">
        <f t="array" ref="B328">VLOOKUP(A328,{Metrik!$C$2:$C$998,Metrik!$B$2:$B$998},2,0)</f>
        <v>Bhakti Multi Artha Tbk.</v>
      </c>
      <c r="C328" s="15">
        <f>IFERROR(__xludf.DUMMYFUNCTION("GOOGLEFINANCE(""IDX:""&amp;A328,""price"")"),1040.0)</f>
        <v>1040</v>
      </c>
      <c r="D328" s="16" t="str">
        <f>IFERROR(__xludf.DUMMYFUNCTION("IF(A328="""","""",
SPARKLINE(
INDEX(
GOOGLEFINANCE(""IDX:""&amp;A328,""close"",TODAY()-365,TODAY()),
,2
),
{""linewidth"",1}
))
"),"#N/A")</f>
        <v>#N/A</v>
      </c>
      <c r="E328" s="26"/>
      <c r="F328" s="26"/>
      <c r="G328" s="24">
        <f t="shared" si="1"/>
        <v>0</v>
      </c>
      <c r="H328" s="19">
        <f>VLOOKUP(A328,Metrik!$C$2:$Y$959,8,0)</f>
        <v>-14000</v>
      </c>
      <c r="I328" s="20">
        <f>VLOOKUP(A328,Metrik!$C$2:$Y$959,9,0)</f>
        <v>8.1</v>
      </c>
      <c r="J328" s="20">
        <f>VLOOKUP(A328,Metrik!$C$2:$Y$959,10,0)</f>
        <v>-0.06</v>
      </c>
      <c r="K328" s="20">
        <f>VLOOKUP(A328,Metrik!$C$2:$Y$959,11,0)</f>
        <v>-0.03</v>
      </c>
      <c r="L328" s="20">
        <f>VLOOKUP(A328,Metrik!$C$2:$Y$959,12,0)</f>
        <v>1</v>
      </c>
      <c r="M328" s="20">
        <f>VLOOKUP(A328,Metrik!$C$2:$Y$959,19,0)</f>
        <v>-0.32</v>
      </c>
      <c r="N328" s="21"/>
      <c r="O328" s="21"/>
      <c r="P328" s="21"/>
      <c r="Q328" s="21"/>
      <c r="R328" s="21"/>
      <c r="S328" s="21"/>
      <c r="T328" s="21"/>
      <c r="U328" s="22">
        <f>IFERROR(__xludf.DUMMYFUNCTION("IFERROR(GOOGLEFINANCE(A328,""closeyest""),"""")"),1040.0)</f>
        <v>1040</v>
      </c>
      <c r="V328" s="23">
        <f>IFERROR(__xludf.DUMMYFUNCTION("IFERROR(GOOGLEFINANCE(A328,""changepct""),"""")"),0.0)</f>
        <v>0</v>
      </c>
      <c r="W328" s="22">
        <f>IFERROR(__xludf.DUMMYFUNCTION("IFERROR(GOOGLEFINANCE(A328,""priceopen""),"""")"),1040.0)</f>
        <v>1040</v>
      </c>
      <c r="X328" s="22">
        <f>IFERROR(__xludf.DUMMYFUNCTION("IFERROR(GOOGLEFINANCE(A328,""high""),"""")"),1050.0)</f>
        <v>1050</v>
      </c>
      <c r="Y328" s="22">
        <f>IFERROR(__xludf.DUMMYFUNCTION("IFERROR(GOOGLEFINANCE(A328,""low""),"""")"),1040.0)</f>
        <v>1040</v>
      </c>
      <c r="Z328" s="22">
        <f>IFERROR(__xludf.DUMMYFUNCTION("IFERROR(GOOGLEFINANCE(A328,""volume""),"""")"),1400.0)</f>
        <v>1400</v>
      </c>
      <c r="AA328" s="24" t="str">
        <f>VLOOKUP(A328,Metrik!$C$2:$Y$959,5,0)</f>
        <v>Insurance</v>
      </c>
      <c r="AB328" s="24" t="str">
        <f>VLOOKUP(A328,Metrik!$C$2:$Y$959,3,0)</f>
        <v>Financials</v>
      </c>
    </row>
    <row r="329">
      <c r="A329" s="14" t="s">
        <v>191</v>
      </c>
      <c r="B329" s="14" t="str">
        <f t="array" ref="B329">VLOOKUP(A329,{Metrik!$C$2:$C$998,Metrik!$B$2:$B$998},2,0)</f>
        <v>PT MNC Investama Tbk.</v>
      </c>
      <c r="C329" s="15">
        <f>IFERROR(__xludf.DUMMYFUNCTION("GOOGLEFINANCE(""IDX:""&amp;A329,""price"")"),27.0)</f>
        <v>27</v>
      </c>
      <c r="D329" s="16" t="str">
        <f>IFERROR(__xludf.DUMMYFUNCTION("IF(A329="""","""",
SPARKLINE(
INDEX(
GOOGLEFINANCE(""IDX:""&amp;A329,""close"",TODAY()-365,TODAY()),
,2
),
{""linewidth"",1}
))
"),"#N/A")</f>
        <v>#N/A</v>
      </c>
      <c r="E329" s="26"/>
      <c r="F329" s="26"/>
      <c r="G329" s="24">
        <f t="shared" si="1"/>
        <v>0</v>
      </c>
      <c r="H329" s="19">
        <f>VLOOKUP(A329,Metrik!$C$2:$Y$959,8,0)</f>
        <v>5.3</v>
      </c>
      <c r="I329" s="20">
        <f>VLOOKUP(A329,Metrik!$C$2:$Y$959,9,0)</f>
        <v>0.06</v>
      </c>
      <c r="J329" s="20">
        <f>VLOOKUP(A329,Metrik!$C$2:$Y$959,10,0)</f>
        <v>1.2</v>
      </c>
      <c r="K329" s="20">
        <f>VLOOKUP(A329,Metrik!$C$2:$Y$959,11,0)</f>
        <v>0.65</v>
      </c>
      <c r="L329" s="20">
        <f>VLOOKUP(A329,Metrik!$C$2:$Y$959,12,0)</f>
        <v>0.85</v>
      </c>
      <c r="M329" s="20">
        <f>VLOOKUP(A329,Metrik!$C$2:$Y$959,19,0)</f>
        <v>13.2</v>
      </c>
      <c r="N329" s="21"/>
      <c r="O329" s="21"/>
      <c r="P329" s="21"/>
      <c r="Q329" s="21"/>
      <c r="R329" s="21"/>
      <c r="S329" s="21"/>
      <c r="T329" s="21"/>
      <c r="U329" s="22" t="str">
        <f>IFERROR(__xludf.DUMMYFUNCTION("IFERROR(GOOGLEFINANCE(A329,""closeyest""),"""")"),"")</f>
        <v/>
      </c>
      <c r="V329" s="23">
        <f>IFERROR(__xludf.DUMMYFUNCTION("IFERROR(GOOGLEFINANCE(A329,""changepct""),"""")"),0.0)</f>
        <v>0</v>
      </c>
      <c r="W329" s="22">
        <f>IFERROR(__xludf.DUMMYFUNCTION("IFERROR(GOOGLEFINANCE(A329,""priceopen""),"""")"),26.0)</f>
        <v>26</v>
      </c>
      <c r="X329" s="22">
        <f>IFERROR(__xludf.DUMMYFUNCTION("IFERROR(GOOGLEFINANCE(A329,""high""),"""")"),27.0)</f>
        <v>27</v>
      </c>
      <c r="Y329" s="22">
        <f>IFERROR(__xludf.DUMMYFUNCTION("IFERROR(GOOGLEFINANCE(A329,""low""),"""")"),26.0)</f>
        <v>26</v>
      </c>
      <c r="Z329" s="22">
        <f>IFERROR(__xludf.DUMMYFUNCTION("IFERROR(GOOGLEFINANCE(A329,""volume""),"""")"),7314700.0)</f>
        <v>7314700</v>
      </c>
      <c r="AA329" s="24" t="str">
        <f>VLOOKUP(A329,Metrik!$C$2:$Y$959,5,0)</f>
        <v>Multi-sector Holdings</v>
      </c>
      <c r="AB329" s="24" t="str">
        <f>VLOOKUP(A329,Metrik!$C$2:$Y$959,3,0)</f>
        <v>Industrials</v>
      </c>
    </row>
    <row r="330">
      <c r="A330" s="14" t="s">
        <v>192</v>
      </c>
      <c r="B330" s="14" t="str">
        <f t="array" ref="B330">VLOOKUP(A330,{Metrik!$C$2:$C$998,Metrik!$B$2:$B$998},2,0)</f>
        <v>Binakarya Jaya Abadi Tbk.</v>
      </c>
      <c r="C330" s="15">
        <f>IFERROR(__xludf.DUMMYFUNCTION("GOOGLEFINANCE(""IDX:""&amp;A330,""price"")"),55.0)</f>
        <v>55</v>
      </c>
      <c r="D330" s="16" t="str">
        <f>IFERROR(__xludf.DUMMYFUNCTION("IF(A330="""","""",
SPARKLINE(
INDEX(
GOOGLEFINANCE(""IDX:""&amp;A330,""close"",TODAY()-365,TODAY()),
,2
),
{""linewidth"",1}
))
"),"#N/A")</f>
        <v>#N/A</v>
      </c>
      <c r="E330" s="26"/>
      <c r="F330" s="26"/>
      <c r="G330" s="24">
        <f t="shared" si="1"/>
        <v>0</v>
      </c>
      <c r="H330" s="19">
        <f>VLOOKUP(A330,Metrik!$C$2:$Y$959,8,0)</f>
        <v>0</v>
      </c>
      <c r="I330" s="20">
        <f>VLOOKUP(A330,Metrik!$C$2:$Y$959,9,0)</f>
        <v>-0.07</v>
      </c>
      <c r="J330" s="20">
        <f>VLOOKUP(A330,Metrik!$C$2:$Y$959,10,0)</f>
        <v>0</v>
      </c>
      <c r="K330" s="20">
        <f>VLOOKUP(A330,Metrik!$C$2:$Y$959,11,0)</f>
        <v>-1.7</v>
      </c>
      <c r="L330" s="20">
        <f>VLOOKUP(A330,Metrik!$C$2:$Y$959,12,0)</f>
        <v>-7.7</v>
      </c>
      <c r="M330" s="20">
        <f>VLOOKUP(A330,Metrik!$C$2:$Y$959,19,0)</f>
        <v>-54.4</v>
      </c>
      <c r="N330" s="21"/>
      <c r="O330" s="21"/>
      <c r="P330" s="21"/>
      <c r="Q330" s="21"/>
      <c r="R330" s="21"/>
      <c r="S330" s="21"/>
      <c r="T330" s="21"/>
      <c r="U330" s="22">
        <f>IFERROR(__xludf.DUMMYFUNCTION("IFERROR(GOOGLEFINANCE(A330,""closeyest""),"""")"),55.0)</f>
        <v>55</v>
      </c>
      <c r="V330" s="23">
        <f>IFERROR(__xludf.DUMMYFUNCTION("IFERROR(GOOGLEFINANCE(A330,""changepct""),"""")"),0.0)</f>
        <v>0</v>
      </c>
      <c r="W330" s="22" t="str">
        <f>IFERROR(__xludf.DUMMYFUNCTION("IFERROR(GOOGLEFINANCE(A330,""priceopen""),"""")"),"")</f>
        <v/>
      </c>
      <c r="X330" s="22" t="str">
        <f>IFERROR(__xludf.DUMMYFUNCTION("IFERROR(GOOGLEFINANCE(A330,""high""),"""")"),"")</f>
        <v/>
      </c>
      <c r="Y330" s="22" t="str">
        <f>IFERROR(__xludf.DUMMYFUNCTION("IFERROR(GOOGLEFINANCE(A330,""low""),"""")"),"")</f>
        <v/>
      </c>
      <c r="Z330" s="22">
        <f>IFERROR(__xludf.DUMMYFUNCTION("IFERROR(GOOGLEFINANCE(A330,""volume""),"""")"),0.0)</f>
        <v>0</v>
      </c>
      <c r="AA330" s="24" t="str">
        <f>VLOOKUP(A330,Metrik!$C$2:$Y$959,5,0)</f>
        <v>Real Estate Management &amp; Development</v>
      </c>
      <c r="AB330" s="24" t="str">
        <f>VLOOKUP(A330,Metrik!$C$2:$Y$959,3,0)</f>
        <v>Properties &amp; Real Estate</v>
      </c>
    </row>
    <row r="331">
      <c r="A331" s="14" t="s">
        <v>193</v>
      </c>
      <c r="B331" s="14" t="str">
        <f t="array" ref="B331">VLOOKUP(A331,{Metrik!$C$2:$C$998,Metrik!$B$2:$B$998},2,0)</f>
        <v>Sepeda Bersama Indonesia Tbk.</v>
      </c>
      <c r="C331" s="15">
        <f>IFERROR(__xludf.DUMMYFUNCTION("GOOGLEFINANCE(""IDX:""&amp;A331,""price"")"),510.0)</f>
        <v>510</v>
      </c>
      <c r="D331" s="16" t="str">
        <f>IFERROR(__xludf.DUMMYFUNCTION("IF(A331="""","""",
SPARKLINE(
INDEX(
GOOGLEFINANCE(""IDX:""&amp;A331,""close"",TODAY()-365,TODAY()),
,2
),
{""linewidth"",1}
))
"),"#N/A")</f>
        <v>#N/A</v>
      </c>
      <c r="E331" s="26"/>
      <c r="F331" s="26"/>
      <c r="G331" s="24">
        <f t="shared" si="1"/>
        <v>0</v>
      </c>
      <c r="H331" s="19">
        <f>VLOOKUP(A331,Metrik!$C$2:$Y$959,8,0)</f>
        <v>-27</v>
      </c>
      <c r="I331" s="20">
        <f>VLOOKUP(A331,Metrik!$C$2:$Y$959,9,0)</f>
        <v>7.8</v>
      </c>
      <c r="J331" s="20">
        <f>VLOOKUP(A331,Metrik!$C$2:$Y$959,10,0)</f>
        <v>-28.9</v>
      </c>
      <c r="K331" s="20">
        <f>VLOOKUP(A331,Metrik!$C$2:$Y$959,11,0)</f>
        <v>-8</v>
      </c>
      <c r="L331" s="20">
        <f>VLOOKUP(A331,Metrik!$C$2:$Y$959,12,0)</f>
        <v>2.6</v>
      </c>
      <c r="M331" s="20">
        <f>VLOOKUP(A331,Metrik!$C$2:$Y$959,19,0)</f>
        <v>-7</v>
      </c>
      <c r="N331" s="21"/>
      <c r="O331" s="21"/>
      <c r="P331" s="21"/>
      <c r="Q331" s="21"/>
      <c r="R331" s="21"/>
      <c r="S331" s="21"/>
      <c r="T331" s="21"/>
      <c r="U331" s="22">
        <f>IFERROR(__xludf.DUMMYFUNCTION("IFERROR(GOOGLEFINANCE(A331,""closeyest""),"""")"),2.89)</f>
        <v>2.89</v>
      </c>
      <c r="V331" s="23">
        <f>IFERROR(__xludf.DUMMYFUNCTION("IFERROR(GOOGLEFINANCE(A331,""changepct""),"""")"),-2.08)</f>
        <v>-2.08</v>
      </c>
      <c r="W331" s="22">
        <f>IFERROR(__xludf.DUMMYFUNCTION("IFERROR(GOOGLEFINANCE(A331,""priceopen""),"""")"),2.84)</f>
        <v>2.84</v>
      </c>
      <c r="X331" s="22" t="str">
        <f>IFERROR(__xludf.DUMMYFUNCTION("IFERROR(GOOGLEFINANCE(A331,""high""),"""")"),"")</f>
        <v/>
      </c>
      <c r="Y331" s="22">
        <f>IFERROR(__xludf.DUMMYFUNCTION("IFERROR(GOOGLEFINANCE(A331,""low""),"""")"),2.83)</f>
        <v>2.83</v>
      </c>
      <c r="Z331" s="22">
        <f>IFERROR(__xludf.DUMMYFUNCTION("IFERROR(GOOGLEFINANCE(A331,""volume""),"""")"),0.0)</f>
        <v>0</v>
      </c>
      <c r="AA331" s="24" t="str">
        <f>VLOOKUP(A331,Metrik!$C$2:$Y$959,5,0)</f>
        <v>Sport Equipment &amp; Hobbies Goods</v>
      </c>
      <c r="AB331" s="24" t="str">
        <f>VLOOKUP(A331,Metrik!$C$2:$Y$959,3,0)</f>
        <v>Consumer Cyclicals</v>
      </c>
    </row>
    <row r="332">
      <c r="A332" s="14" t="s">
        <v>194</v>
      </c>
      <c r="B332" s="14" t="str">
        <f t="array" ref="B332">VLOOKUP(A332,{Metrik!$C$2:$C$998,Metrik!$B$2:$B$998},2,0)</f>
        <v>Primarindo Asia Infrastructure Tbk.</v>
      </c>
      <c r="C332" s="15">
        <f>IFERROR(__xludf.DUMMYFUNCTION("GOOGLEFINANCE(""IDX:""&amp;A332,""price"")"),82.0)</f>
        <v>82</v>
      </c>
      <c r="D332" s="16" t="str">
        <f>IFERROR(__xludf.DUMMYFUNCTION("IF(A332="""","""",
SPARKLINE(
INDEX(
GOOGLEFINANCE(""IDX:""&amp;A332,""close"",TODAY()-365,TODAY()),
,2
),
{""linewidth"",1}
))
"),"#N/A")</f>
        <v>#N/A</v>
      </c>
      <c r="E332" s="26"/>
      <c r="F332" s="26"/>
      <c r="G332" s="24">
        <f t="shared" si="1"/>
        <v>0</v>
      </c>
      <c r="H332" s="19">
        <f>VLOOKUP(A332,Metrik!$C$2:$Y$959,8,0)</f>
        <v>-2.2</v>
      </c>
      <c r="I332" s="20">
        <f>VLOOKUP(A332,Metrik!$C$2:$Y$959,9,0)</f>
        <v>1.6</v>
      </c>
      <c r="J332" s="20">
        <f>VLOOKUP(A332,Metrik!$C$2:$Y$959,10,0)</f>
        <v>-71.2</v>
      </c>
      <c r="K332" s="20">
        <f>VLOOKUP(A332,Metrik!$C$2:$Y$959,11,0)</f>
        <v>-7.6</v>
      </c>
      <c r="L332" s="20">
        <f>VLOOKUP(A332,Metrik!$C$2:$Y$959,12,0)</f>
        <v>8.4</v>
      </c>
      <c r="M332" s="20">
        <f>VLOOKUP(A332,Metrik!$C$2:$Y$959,19,0)</f>
        <v>-160</v>
      </c>
      <c r="N332" s="21"/>
      <c r="O332" s="21"/>
      <c r="P332" s="21"/>
      <c r="Q332" s="21"/>
      <c r="R332" s="21"/>
      <c r="S332" s="21"/>
      <c r="T332" s="21"/>
      <c r="U332" s="22">
        <f>IFERROR(__xludf.DUMMYFUNCTION("IFERROR(GOOGLEFINANCE(A332,""closeyest""),"""")"),82.0)</f>
        <v>82</v>
      </c>
      <c r="V332" s="23">
        <f>IFERROR(__xludf.DUMMYFUNCTION("IFERROR(GOOGLEFINANCE(A332,""changepct""),"""")"),0.0)</f>
        <v>0</v>
      </c>
      <c r="W332" s="22" t="str">
        <f>IFERROR(__xludf.DUMMYFUNCTION("IFERROR(GOOGLEFINANCE(A332,""priceopen""),"""")"),"")</f>
        <v/>
      </c>
      <c r="X332" s="22" t="str">
        <f>IFERROR(__xludf.DUMMYFUNCTION("IFERROR(GOOGLEFINANCE(A332,""high""),"""")"),"")</f>
        <v/>
      </c>
      <c r="Y332" s="22" t="str">
        <f>IFERROR(__xludf.DUMMYFUNCTION("IFERROR(GOOGLEFINANCE(A332,""low""),"""")"),"")</f>
        <v/>
      </c>
      <c r="Z332" s="22">
        <f>IFERROR(__xludf.DUMMYFUNCTION("IFERROR(GOOGLEFINANCE(A332,""volume""),"""")"),0.0)</f>
        <v>0</v>
      </c>
      <c r="AA332" s="24" t="str">
        <f>VLOOKUP(A332,Metrik!$C$2:$Y$959,5,0)</f>
        <v>Apparel &amp; Luxury Goods</v>
      </c>
      <c r="AB332" s="24" t="str">
        <f>VLOOKUP(A332,Metrik!$C$2:$Y$959,3,0)</f>
        <v>Consumer Cyclicals</v>
      </c>
    </row>
    <row r="333">
      <c r="A333" s="14" t="s">
        <v>195</v>
      </c>
      <c r="B333" s="14" t="str">
        <f t="array" ref="B333">VLOOKUP(A333,{Metrik!$C$2:$C$998,Metrik!$B$2:$B$998},2,0)</f>
        <v>PT Bank Ina Perdana Tbk.</v>
      </c>
      <c r="C333" s="15">
        <f>IFERROR(__xludf.DUMMYFUNCTION("GOOGLEFINANCE(""IDX:""&amp;A333,""price"")"),3880.0)</f>
        <v>3880</v>
      </c>
      <c r="D333" s="16" t="str">
        <f>IFERROR(__xludf.DUMMYFUNCTION("IF(A333="""","""",
SPARKLINE(
INDEX(
GOOGLEFINANCE(""IDX:""&amp;A333,""close"",TODAY()-365,TODAY()),
,2
),
{""linewidth"",1}
))
"),"#N/A")</f>
        <v>#N/A</v>
      </c>
      <c r="E333" s="26"/>
      <c r="F333" s="26"/>
      <c r="G333" s="24">
        <f t="shared" si="1"/>
        <v>0</v>
      </c>
      <c r="H333" s="19">
        <f>VLOOKUP(A333,Metrik!$C$2:$Y$959,8,0)</f>
        <v>-81.5</v>
      </c>
      <c r="I333" s="20">
        <f>VLOOKUP(A333,Metrik!$C$2:$Y$959,9,0)</f>
        <v>8.7</v>
      </c>
      <c r="J333" s="20">
        <f>VLOOKUP(A333,Metrik!$C$2:$Y$959,10,0)</f>
        <v>-10.7</v>
      </c>
      <c r="K333" s="20">
        <f>VLOOKUP(A333,Metrik!$C$2:$Y$959,11,0)</f>
        <v>-1.1</v>
      </c>
      <c r="L333" s="20">
        <f>VLOOKUP(A333,Metrik!$C$2:$Y$959,12,0)</f>
        <v>9.1</v>
      </c>
      <c r="M333" s="20">
        <f>VLOOKUP(A333,Metrik!$C$2:$Y$959,19,0)</f>
        <v>-65.7</v>
      </c>
      <c r="N333" s="32">
        <v>2.85</v>
      </c>
      <c r="O333" s="32">
        <v>22.4</v>
      </c>
      <c r="P333" s="32">
        <v>70.15</v>
      </c>
      <c r="Q333" s="32">
        <v>4.12</v>
      </c>
      <c r="R333" s="32">
        <v>95.15</v>
      </c>
      <c r="S333" s="32">
        <v>80.12</v>
      </c>
      <c r="T333" s="32">
        <v>12.4</v>
      </c>
      <c r="U333" s="22">
        <f>IFERROR(__xludf.DUMMYFUNCTION("IFERROR(GOOGLEFINANCE(A333,""closeyest""),"""")"),3870.0)</f>
        <v>3870</v>
      </c>
      <c r="V333" s="23">
        <f>IFERROR(__xludf.DUMMYFUNCTION("IFERROR(GOOGLEFINANCE(A333,""changepct""),"""")"),0.26)</f>
        <v>0.26</v>
      </c>
      <c r="W333" s="22">
        <f>IFERROR(__xludf.DUMMYFUNCTION("IFERROR(GOOGLEFINANCE(A333,""priceopen""),"""")"),3900.0)</f>
        <v>3900</v>
      </c>
      <c r="X333" s="22">
        <f>IFERROR(__xludf.DUMMYFUNCTION("IFERROR(GOOGLEFINANCE(A333,""high""),"""")"),3900.0)</f>
        <v>3900</v>
      </c>
      <c r="Y333" s="22">
        <f>IFERROR(__xludf.DUMMYFUNCTION("IFERROR(GOOGLEFINANCE(A333,""low""),"""")"),3880.0)</f>
        <v>3880</v>
      </c>
      <c r="Z333" s="22">
        <f>IFERROR(__xludf.DUMMYFUNCTION("IFERROR(GOOGLEFINANCE(A333,""volume""),"""")"),55200.0)</f>
        <v>55200</v>
      </c>
      <c r="AA333" s="24" t="str">
        <f>VLOOKUP(A333,Metrik!$C$2:$Y$959,5,0)</f>
        <v>Banks</v>
      </c>
      <c r="AB333" s="24" t="str">
        <f>VLOOKUP(A333,Metrik!$C$2:$Y$959,3,0)</f>
        <v>Financials</v>
      </c>
    </row>
    <row r="334">
      <c r="A334" s="14" t="s">
        <v>196</v>
      </c>
      <c r="B334" s="14" t="str">
        <f t="array" ref="B334">VLOOKUP(A334,{Metrik!$C$2:$C$998,Metrik!$B$2:$B$998},2,0)</f>
        <v>Perma Plasindo Tbk.</v>
      </c>
      <c r="C334" s="15">
        <f>IFERROR(__xludf.DUMMYFUNCTION("GOOGLEFINANCE(""IDX:""&amp;A334,""price"")"),103.0)</f>
        <v>103</v>
      </c>
      <c r="D334" s="16" t="str">
        <f>IFERROR(__xludf.DUMMYFUNCTION("IF(A334="""","""",
SPARKLINE(
INDEX(
GOOGLEFINANCE(""IDX:""&amp;A334,""close"",TODAY()-365,TODAY()),
,2
),
{""linewidth"",1}
))
"),"#N/A")</f>
        <v>#N/A</v>
      </c>
      <c r="E334" s="26"/>
      <c r="F334" s="26"/>
      <c r="G334" s="24">
        <f t="shared" si="1"/>
        <v>0</v>
      </c>
      <c r="H334" s="19">
        <f>VLOOKUP(A334,Metrik!$C$2:$Y$959,8,0)</f>
        <v>-13.5</v>
      </c>
      <c r="I334" s="20">
        <f>VLOOKUP(A334,Metrik!$C$2:$Y$959,9,0)</f>
        <v>0.61</v>
      </c>
      <c r="J334" s="20">
        <f>VLOOKUP(A334,Metrik!$C$2:$Y$959,10,0)</f>
        <v>-4.5</v>
      </c>
      <c r="K334" s="20">
        <f>VLOOKUP(A334,Metrik!$C$2:$Y$959,11,0)</f>
        <v>-3.2</v>
      </c>
      <c r="L334" s="20">
        <f>VLOOKUP(A334,Metrik!$C$2:$Y$959,12,0)</f>
        <v>0.41</v>
      </c>
      <c r="M334" s="20">
        <f>VLOOKUP(A334,Metrik!$C$2:$Y$959,19,0)</f>
        <v>-17.1</v>
      </c>
      <c r="N334" s="21"/>
      <c r="O334" s="21"/>
      <c r="P334" s="21"/>
      <c r="Q334" s="21"/>
      <c r="R334" s="21"/>
      <c r="S334" s="21"/>
      <c r="T334" s="21"/>
      <c r="U334" s="22">
        <f>IFERROR(__xludf.DUMMYFUNCTION("IFERROR(GOOGLEFINANCE(A334,""closeyest""),"""")"),99.0)</f>
        <v>99</v>
      </c>
      <c r="V334" s="23">
        <f>IFERROR(__xludf.DUMMYFUNCTION("IFERROR(GOOGLEFINANCE(A334,""changepct""),"""")"),4.04)</f>
        <v>4.04</v>
      </c>
      <c r="W334" s="22">
        <f>IFERROR(__xludf.DUMMYFUNCTION("IFERROR(GOOGLEFINANCE(A334,""priceopen""),"""")"),101.0)</f>
        <v>101</v>
      </c>
      <c r="X334" s="22">
        <f>IFERROR(__xludf.DUMMYFUNCTION("IFERROR(GOOGLEFINANCE(A334,""high""),"""")"),108.0)</f>
        <v>108</v>
      </c>
      <c r="Y334" s="22">
        <f>IFERROR(__xludf.DUMMYFUNCTION("IFERROR(GOOGLEFINANCE(A334,""low""),"""")"),94.0)</f>
        <v>94</v>
      </c>
      <c r="Z334" s="22">
        <f>IFERROR(__xludf.DUMMYFUNCTION("IFERROR(GOOGLEFINANCE(A334,""volume""),"""")"),597500.0)</f>
        <v>597500</v>
      </c>
      <c r="AA334" s="24" t="str">
        <f>VLOOKUP(A334,Metrik!$C$2:$Y$959,5,0)</f>
        <v>Commercial Services</v>
      </c>
      <c r="AB334" s="24" t="str">
        <f>VLOOKUP(A334,Metrik!$C$2:$Y$959,3,0)</f>
        <v>Industrials</v>
      </c>
    </row>
    <row r="335">
      <c r="A335" s="14" t="s">
        <v>197</v>
      </c>
      <c r="B335" s="14" t="str">
        <f t="array" ref="B335">VLOOKUP(A335,{Metrik!$C$2:$C$998,Metrik!$B$2:$B$998},2,0)</f>
        <v>Astrindo Nusantara Infrastruktur Tbk.</v>
      </c>
      <c r="C335" s="15" t="str">
        <f>IFERROR(__xludf.DUMMYFUNCTION("GOOGLEFINANCE(""IDX:""&amp;A335,""price"")"),"#N/A")</f>
        <v>#N/A</v>
      </c>
      <c r="D335" s="16" t="str">
        <f>IFERROR(__xludf.DUMMYFUNCTION("IF(A335="""","""",
SPARKLINE(
INDEX(
GOOGLEFINANCE(""IDX:""&amp;A335,""close"",TODAY()-365,TODAY()),
,2
),
{""linewidth"",1}
))
"),"#N/A")</f>
        <v>#N/A</v>
      </c>
      <c r="E335" s="26"/>
      <c r="F335" s="26"/>
      <c r="G335" s="24">
        <f t="shared" si="1"/>
        <v>0</v>
      </c>
      <c r="H335" s="19">
        <f>VLOOKUP(A335,Metrik!$C$2:$Y$959,8,0)</f>
        <v>610</v>
      </c>
      <c r="I335" s="20">
        <f>VLOOKUP(A335,Metrik!$C$2:$Y$959,9,0)</f>
        <v>1.1</v>
      </c>
      <c r="J335" s="20">
        <f>VLOOKUP(A335,Metrik!$C$2:$Y$959,10,0)</f>
        <v>0.18</v>
      </c>
      <c r="K335" s="20">
        <f>VLOOKUP(A335,Metrik!$C$2:$Y$959,11,0)</f>
        <v>0.07</v>
      </c>
      <c r="L335" s="20">
        <f>VLOOKUP(A335,Metrik!$C$2:$Y$959,12,0)</f>
        <v>1.7</v>
      </c>
      <c r="M335" s="20">
        <f>VLOOKUP(A335,Metrik!$C$2:$Y$959,19,0)</f>
        <v>0.46</v>
      </c>
      <c r="N335" s="21"/>
      <c r="O335" s="21"/>
      <c r="P335" s="21"/>
      <c r="Q335" s="21"/>
      <c r="R335" s="21"/>
      <c r="S335" s="21"/>
      <c r="T335" s="21"/>
      <c r="U335" s="22">
        <f>IFERROR(__xludf.DUMMYFUNCTION("IFERROR(GOOGLEFINANCE(A335,""closeyest""),"""")"),17.05)</f>
        <v>17.05</v>
      </c>
      <c r="V335" s="23">
        <f>IFERROR(__xludf.DUMMYFUNCTION("IFERROR(GOOGLEFINANCE(A335,""changepct""),"""")"),-2.35)</f>
        <v>-2.35</v>
      </c>
      <c r="W335" s="22">
        <f>IFERROR(__xludf.DUMMYFUNCTION("IFERROR(GOOGLEFINANCE(A335,""priceopen""),"""")"),16.98)</f>
        <v>16.98</v>
      </c>
      <c r="X335" s="22">
        <f>IFERROR(__xludf.DUMMYFUNCTION("IFERROR(GOOGLEFINANCE(A335,""high""),"""")"),17.08)</f>
        <v>17.08</v>
      </c>
      <c r="Y335" s="22">
        <f>IFERROR(__xludf.DUMMYFUNCTION("IFERROR(GOOGLEFINANCE(A335,""low""),"""")"),16.55)</f>
        <v>16.55</v>
      </c>
      <c r="Z335" s="22">
        <f>IFERROR(__xludf.DUMMYFUNCTION("IFERROR(GOOGLEFINANCE(A335,""volume""),"""")"),0.0)</f>
        <v>0</v>
      </c>
      <c r="AA335" s="24" t="str">
        <f>VLOOKUP(A335,Metrik!$C$2:$Y$959,5,0)</f>
        <v>Coal</v>
      </c>
      <c r="AB335" s="24" t="str">
        <f>VLOOKUP(A335,Metrik!$C$2:$Y$959,3,0)</f>
        <v>Energy</v>
      </c>
    </row>
    <row r="336">
      <c r="A336" s="14" t="s">
        <v>198</v>
      </c>
      <c r="B336" s="14" t="str">
        <f t="array" ref="B336">VLOOKUP(A336,{Metrik!$C$2:$C$998,Metrik!$B$2:$B$998},2,0)</f>
        <v>Bhuwanatala Indah Permai Tbk.</v>
      </c>
      <c r="C336" s="15">
        <f>IFERROR(__xludf.DUMMYFUNCTION("GOOGLEFINANCE(""IDX:""&amp;A336,""price"")"),56.0)</f>
        <v>56</v>
      </c>
      <c r="D336" s="16" t="str">
        <f>IFERROR(__xludf.DUMMYFUNCTION("IF(A336="""","""",
SPARKLINE(
INDEX(
GOOGLEFINANCE(""IDX:""&amp;A336,""close"",TODAY()-365,TODAY()),
,2
),
{""linewidth"",1}
))
"),"#N/A")</f>
        <v>#N/A</v>
      </c>
      <c r="E336" s="26"/>
      <c r="F336" s="26"/>
      <c r="G336" s="24">
        <f t="shared" si="1"/>
        <v>0</v>
      </c>
      <c r="H336" s="19">
        <f>VLOOKUP(A336,Metrik!$C$2:$Y$959,8,0)</f>
        <v>-7</v>
      </c>
      <c r="I336" s="20">
        <f>VLOOKUP(A336,Metrik!$C$2:$Y$959,9,0)</f>
        <v>0.32</v>
      </c>
      <c r="J336" s="20">
        <f>VLOOKUP(A336,Metrik!$C$2:$Y$959,10,0)</f>
        <v>-4.5</v>
      </c>
      <c r="K336" s="20">
        <f>VLOOKUP(A336,Metrik!$C$2:$Y$959,11,0)</f>
        <v>-2.4</v>
      </c>
      <c r="L336" s="20">
        <f>VLOOKUP(A336,Metrik!$C$2:$Y$959,12,0)</f>
        <v>0.87</v>
      </c>
      <c r="M336" s="20">
        <f>VLOOKUP(A336,Metrik!$C$2:$Y$959,19,0)</f>
        <v>-120</v>
      </c>
      <c r="N336" s="21"/>
      <c r="O336" s="21"/>
      <c r="P336" s="21"/>
      <c r="Q336" s="21"/>
      <c r="R336" s="21"/>
      <c r="S336" s="21"/>
      <c r="T336" s="21"/>
      <c r="U336" s="22">
        <f>IFERROR(__xludf.DUMMYFUNCTION("IFERROR(GOOGLEFINANCE(A336,""closeyest""),"""")"),52.0)</f>
        <v>52</v>
      </c>
      <c r="V336" s="23">
        <f>IFERROR(__xludf.DUMMYFUNCTION("IFERROR(GOOGLEFINANCE(A336,""changepct""),"""")"),7.69)</f>
        <v>7.69</v>
      </c>
      <c r="W336" s="22">
        <f>IFERROR(__xludf.DUMMYFUNCTION("IFERROR(GOOGLEFINANCE(A336,""priceopen""),"""")"),52.0)</f>
        <v>52</v>
      </c>
      <c r="X336" s="22">
        <f>IFERROR(__xludf.DUMMYFUNCTION("IFERROR(GOOGLEFINANCE(A336,""high""),"""")"),57.0)</f>
        <v>57</v>
      </c>
      <c r="Y336" s="22">
        <f>IFERROR(__xludf.DUMMYFUNCTION("IFERROR(GOOGLEFINANCE(A336,""low""),"""")"),51.0)</f>
        <v>51</v>
      </c>
      <c r="Z336" s="22">
        <f>IFERROR(__xludf.DUMMYFUNCTION("IFERROR(GOOGLEFINANCE(A336,""volume""),"""")"),8628000.0)</f>
        <v>8628000</v>
      </c>
      <c r="AA336" s="24" t="str">
        <f>VLOOKUP(A336,Metrik!$C$2:$Y$959,5,0)</f>
        <v>Real Estate Management &amp; Development</v>
      </c>
      <c r="AB336" s="24" t="str">
        <f>VLOOKUP(A336,Metrik!$C$2:$Y$959,3,0)</f>
        <v>Properties &amp; Real Estate</v>
      </c>
    </row>
    <row r="337">
      <c r="A337" s="17" t="s">
        <v>199</v>
      </c>
      <c r="B337" s="14" t="str">
        <f t="array" ref="B337">VLOOKUP(A337,{Metrik!$C$2:$C$998,Metrik!$B$2:$B$998},2,0)</f>
        <v>PT Blue Bird Tbk</v>
      </c>
      <c r="C337" s="15">
        <f>IFERROR(__xludf.DUMMYFUNCTION("GOOGLEFINANCE(""IDX:""&amp;A337,""price"")"),1540.0)</f>
        <v>1540</v>
      </c>
      <c r="D337" s="16" t="str">
        <f>IFERROR(__xludf.DUMMYFUNCTION("IF(A337="""","""",
SPARKLINE(
INDEX(
GOOGLEFINANCE(""IDX:""&amp;A337,""close"",TODAY()-365,TODAY()),
,2
),
{""linewidth"",1}
))
"),"#N/A")</f>
        <v>#N/A</v>
      </c>
      <c r="E337" s="14"/>
      <c r="F337" s="17"/>
      <c r="G337" s="18">
        <f t="shared" si="1"/>
        <v>0</v>
      </c>
      <c r="H337" s="19">
        <f>VLOOKUP(A337,Metrik!$C$2:$Y$959,8,0)</f>
        <v>6.2</v>
      </c>
      <c r="I337" s="20">
        <f>VLOOKUP(A337,Metrik!$C$2:$Y$959,9,0)</f>
        <v>0.6</v>
      </c>
      <c r="J337" s="20">
        <f>VLOOKUP(A337,Metrik!$C$2:$Y$959,10,0)</f>
        <v>9.7</v>
      </c>
      <c r="K337" s="20">
        <f>VLOOKUP(A337,Metrik!$C$2:$Y$959,11,0)</f>
        <v>6.3</v>
      </c>
      <c r="L337" s="20">
        <f>VLOOKUP(A337,Metrik!$C$2:$Y$959,12,0)</f>
        <v>0.52</v>
      </c>
      <c r="M337" s="20">
        <f>VLOOKUP(A337,Metrik!$C$2:$Y$959,19,0)</f>
        <v>43.1</v>
      </c>
      <c r="N337" s="21"/>
      <c r="O337" s="21"/>
      <c r="P337" s="21"/>
      <c r="Q337" s="21"/>
      <c r="R337" s="21"/>
      <c r="S337" s="21"/>
      <c r="T337" s="21"/>
      <c r="U337" s="22">
        <f>IFERROR(__xludf.DUMMYFUNCTION("IFERROR(GOOGLEFINANCE(A337,""closeyest""),"""")"),3.88)</f>
        <v>3.88</v>
      </c>
      <c r="V337" s="23">
        <f>IFERROR(__xludf.DUMMYFUNCTION("IFERROR(GOOGLEFINANCE(A337,""changepct""),"""")"),-5.67)</f>
        <v>-5.67</v>
      </c>
      <c r="W337" s="22">
        <f>IFERROR(__xludf.DUMMYFUNCTION("IFERROR(GOOGLEFINANCE(A337,""priceopen""),"""")"),3.82)</f>
        <v>3.82</v>
      </c>
      <c r="X337" s="22">
        <f>IFERROR(__xludf.DUMMYFUNCTION("IFERROR(GOOGLEFINANCE(A337,""high""),"""")"),3.89)</f>
        <v>3.89</v>
      </c>
      <c r="Y337" s="22">
        <f>IFERROR(__xludf.DUMMYFUNCTION("IFERROR(GOOGLEFINANCE(A337,""low""),"""")"),3.65)</f>
        <v>3.65</v>
      </c>
      <c r="Z337" s="22">
        <f>IFERROR(__xludf.DUMMYFUNCTION("IFERROR(GOOGLEFINANCE(A337,""volume""),"""")"),196077.0)</f>
        <v>196077</v>
      </c>
      <c r="AA337" s="24" t="str">
        <f>VLOOKUP(A337,Metrik!$C$2:$Y$959,5,0)</f>
        <v>Passenger Land Transportation</v>
      </c>
      <c r="AB337" s="24" t="str">
        <f>VLOOKUP(A337,Metrik!$C$2:$Y$959,3,0)</f>
        <v>Transportation &amp; Logistic</v>
      </c>
    </row>
    <row r="338">
      <c r="A338" s="14" t="s">
        <v>200</v>
      </c>
      <c r="B338" s="14" t="str">
        <f t="array" ref="B338">VLOOKUP(A338,{Metrik!$C$2:$C$998,Metrik!$B$2:$B$998},2,0)</f>
        <v>BISI INTERNATIONAL Tbk</v>
      </c>
      <c r="C338" s="15">
        <f>IFERROR(__xludf.DUMMYFUNCTION("GOOGLEFINANCE(""IDX:""&amp;A338,""price"")"),695.0)</f>
        <v>695</v>
      </c>
      <c r="D338" s="16" t="str">
        <f>IFERROR(__xludf.DUMMYFUNCTION("IF(A338="""","""",
SPARKLINE(
INDEX(
GOOGLEFINANCE(""IDX:""&amp;A338,""close"",TODAY()-365,TODAY()),
,2
),
{""linewidth"",1}
))
"),"#N/A")</f>
        <v>#N/A</v>
      </c>
      <c r="E338" s="26"/>
      <c r="F338" s="26"/>
      <c r="G338" s="24">
        <f t="shared" si="1"/>
        <v>0</v>
      </c>
      <c r="H338" s="19">
        <f>VLOOKUP(A338,Metrik!$C$2:$Y$959,8,0)</f>
        <v>10.7</v>
      </c>
      <c r="I338" s="20">
        <f>VLOOKUP(A338,Metrik!$C$2:$Y$959,9,0)</f>
        <v>0.63</v>
      </c>
      <c r="J338" s="20">
        <f>VLOOKUP(A338,Metrik!$C$2:$Y$959,10,0)</f>
        <v>5.9</v>
      </c>
      <c r="K338" s="20">
        <f>VLOOKUP(A338,Metrik!$C$2:$Y$959,11,0)</f>
        <v>5.5</v>
      </c>
      <c r="L338" s="20">
        <f>VLOOKUP(A338,Metrik!$C$2:$Y$959,12,0)</f>
        <v>0.06</v>
      </c>
      <c r="M338" s="20">
        <f>VLOOKUP(A338,Metrik!$C$2:$Y$959,19,0)</f>
        <v>53.6</v>
      </c>
      <c r="N338" s="21"/>
      <c r="O338" s="21"/>
      <c r="P338" s="21"/>
      <c r="Q338" s="21"/>
      <c r="R338" s="21"/>
      <c r="S338" s="21"/>
      <c r="T338" s="21"/>
      <c r="U338" s="22">
        <f>IFERROR(__xludf.DUMMYFUNCTION("IFERROR(GOOGLEFINANCE(A338,""closeyest""),"""")"),680.0)</f>
        <v>680</v>
      </c>
      <c r="V338" s="23">
        <f>IFERROR(__xludf.DUMMYFUNCTION("IFERROR(GOOGLEFINANCE(A338,""changepct""),"""")"),2.21)</f>
        <v>2.21</v>
      </c>
      <c r="W338" s="22">
        <f>IFERROR(__xludf.DUMMYFUNCTION("IFERROR(GOOGLEFINANCE(A338,""priceopen""),"""")"),680.0)</f>
        <v>680</v>
      </c>
      <c r="X338" s="22">
        <f>IFERROR(__xludf.DUMMYFUNCTION("IFERROR(GOOGLEFINANCE(A338,""high""),"""")"),695.0)</f>
        <v>695</v>
      </c>
      <c r="Y338" s="22">
        <f>IFERROR(__xludf.DUMMYFUNCTION("IFERROR(GOOGLEFINANCE(A338,""low""),"""")"),680.0)</f>
        <v>680</v>
      </c>
      <c r="Z338" s="22">
        <f>IFERROR(__xludf.DUMMYFUNCTION("IFERROR(GOOGLEFINANCE(A338,""volume""),"""")"),200500.0)</f>
        <v>200500</v>
      </c>
      <c r="AA338" s="24" t="str">
        <f>VLOOKUP(A338,Metrik!$C$2:$Y$959,5,0)</f>
        <v>Agricultural Products</v>
      </c>
      <c r="AB338" s="24" t="str">
        <f>VLOOKUP(A338,Metrik!$C$2:$Y$959,3,0)</f>
        <v>Consumer Non-Cyclicals</v>
      </c>
    </row>
    <row r="339">
      <c r="A339" s="14" t="s">
        <v>201</v>
      </c>
      <c r="B339" s="14" t="str">
        <f t="array" ref="B339">VLOOKUP(A339,{Metrik!$C$2:$C$998,Metrik!$B$2:$B$998},2,0)</f>
        <v>Bank Pembangunan Daerah Jawa Barat dan Banten Tbk</v>
      </c>
      <c r="C339" s="15">
        <f>IFERROR(__xludf.DUMMYFUNCTION("GOOGLEFINANCE(""IDX:""&amp;A339,""price"")"),750.0)</f>
        <v>750</v>
      </c>
      <c r="D339" s="16" t="str">
        <f>IFERROR(__xludf.DUMMYFUNCTION("IF(A339="""","""",
SPARKLINE(
INDEX(
GOOGLEFINANCE(""IDX:""&amp;A339,""close"",TODAY()-365,TODAY()),
,2
),
{""linewidth"",1}
))
"),"#N/A")</f>
        <v>#N/A</v>
      </c>
      <c r="E339" s="14" t="s">
        <v>75</v>
      </c>
      <c r="F339" s="14" t="s">
        <v>76</v>
      </c>
      <c r="G339" s="24">
        <f t="shared" si="1"/>
        <v>3</v>
      </c>
      <c r="H339" s="19">
        <f>VLOOKUP(A339,Metrik!$C$2:$Y$959,8,0)</f>
        <v>6.9</v>
      </c>
      <c r="I339" s="20">
        <f>VLOOKUP(A339,Metrik!$C$2:$Y$959,9,0)</f>
        <v>0.39</v>
      </c>
      <c r="J339" s="20">
        <f>VLOOKUP(A339,Metrik!$C$2:$Y$959,10,0)</f>
        <v>5.6</v>
      </c>
      <c r="K339" s="20">
        <f>VLOOKUP(A339,Metrik!$C$2:$Y$959,11,0)</f>
        <v>0.53</v>
      </c>
      <c r="L339" s="20">
        <f>VLOOKUP(A339,Metrik!$C$2:$Y$959,12,0)</f>
        <v>9.2</v>
      </c>
      <c r="M339" s="20">
        <f>VLOOKUP(A339,Metrik!$C$2:$Y$959,19,0)</f>
        <v>26.3</v>
      </c>
      <c r="N339" s="29">
        <v>3.7</v>
      </c>
      <c r="O339" s="29">
        <v>19.3</v>
      </c>
      <c r="P339" s="29">
        <v>87.4</v>
      </c>
      <c r="Q339" s="29">
        <v>1.4</v>
      </c>
      <c r="R339" s="29">
        <v>87.9</v>
      </c>
      <c r="S339" s="29">
        <v>56.0</v>
      </c>
      <c r="T339" s="29">
        <v>6.3</v>
      </c>
      <c r="U339" s="22">
        <f>IFERROR(__xludf.DUMMYFUNCTION("IFERROR(GOOGLEFINANCE(A339,""closeyest""),"""")"),740.0)</f>
        <v>740</v>
      </c>
      <c r="V339" s="23">
        <f>IFERROR(__xludf.DUMMYFUNCTION("IFERROR(GOOGLEFINANCE(A339,""changepct""),"""")"),1.35)</f>
        <v>1.35</v>
      </c>
      <c r="W339" s="22">
        <f>IFERROR(__xludf.DUMMYFUNCTION("IFERROR(GOOGLEFINANCE(A339,""priceopen""),"""")"),745.0)</f>
        <v>745</v>
      </c>
      <c r="X339" s="22">
        <f>IFERROR(__xludf.DUMMYFUNCTION("IFERROR(GOOGLEFINANCE(A339,""high""),"""")"),760.0)</f>
        <v>760</v>
      </c>
      <c r="Y339" s="22">
        <f>IFERROR(__xludf.DUMMYFUNCTION("IFERROR(GOOGLEFINANCE(A339,""low""),"""")"),740.0)</f>
        <v>740</v>
      </c>
      <c r="Z339" s="22">
        <f>IFERROR(__xludf.DUMMYFUNCTION("IFERROR(GOOGLEFINANCE(A339,""volume""),"""")"),3504900.0)</f>
        <v>3504900</v>
      </c>
      <c r="AA339" s="24" t="str">
        <f>VLOOKUP(A339,Metrik!$C$2:$Y$959,5,0)</f>
        <v>Banks</v>
      </c>
      <c r="AB339" s="24" t="str">
        <f>VLOOKUP(A339,Metrik!$C$2:$Y$959,3,0)</f>
        <v>Financials</v>
      </c>
    </row>
    <row r="340">
      <c r="A340" s="14" t="s">
        <v>201</v>
      </c>
      <c r="B340" s="14" t="str">
        <f t="array" ref="B340">VLOOKUP(A340,{Metrik!$C$2:$C$998,Metrik!$B$2:$B$998},2,0)</f>
        <v>Bank Pembangunan Daerah Jawa Barat dan Banten Tbk</v>
      </c>
      <c r="C340" s="15">
        <f>IFERROR(__xludf.DUMMYFUNCTION("GOOGLEFINANCE(""IDX:""&amp;A340,""price"")"),750.0)</f>
        <v>750</v>
      </c>
      <c r="D340" s="16" t="str">
        <f>IFERROR(__xludf.DUMMYFUNCTION("IF(A340="""","""",
SPARKLINE(
INDEX(
GOOGLEFINANCE(""IDX:""&amp;A340,""close"",TODAY()-365,TODAY()),
,2
),
{""linewidth"",1}
))
"),"#N/A")</f>
        <v>#N/A</v>
      </c>
      <c r="E340" s="14" t="s">
        <v>61</v>
      </c>
      <c r="F340" s="14" t="s">
        <v>34</v>
      </c>
      <c r="G340" s="24">
        <f t="shared" si="1"/>
        <v>3</v>
      </c>
      <c r="H340" s="19">
        <f>VLOOKUP(A340,Metrik!$C$2:$Y$959,8,0)</f>
        <v>6.9</v>
      </c>
      <c r="I340" s="20">
        <f>VLOOKUP(A340,Metrik!$C$2:$Y$959,9,0)</f>
        <v>0.39</v>
      </c>
      <c r="J340" s="20">
        <f>VLOOKUP(A340,Metrik!$C$2:$Y$959,10,0)</f>
        <v>5.6</v>
      </c>
      <c r="K340" s="20">
        <f>VLOOKUP(A340,Metrik!$C$2:$Y$959,11,0)</f>
        <v>0.53</v>
      </c>
      <c r="L340" s="20">
        <f>VLOOKUP(A340,Metrik!$C$2:$Y$959,12,0)</f>
        <v>9.2</v>
      </c>
      <c r="M340" s="20">
        <f>VLOOKUP(A340,Metrik!$C$2:$Y$959,19,0)</f>
        <v>26.3</v>
      </c>
      <c r="N340" s="29">
        <v>3.7</v>
      </c>
      <c r="O340" s="29">
        <v>19.3</v>
      </c>
      <c r="P340" s="29">
        <v>87.4</v>
      </c>
      <c r="Q340" s="29">
        <v>1.4</v>
      </c>
      <c r="R340" s="29">
        <v>87.9</v>
      </c>
      <c r="S340" s="29">
        <v>56.0</v>
      </c>
      <c r="T340" s="29">
        <v>6.3</v>
      </c>
      <c r="U340" s="22">
        <f>IFERROR(__xludf.DUMMYFUNCTION("IFERROR(GOOGLEFINANCE(A340,""closeyest""),"""")"),740.0)</f>
        <v>740</v>
      </c>
      <c r="V340" s="23">
        <f>IFERROR(__xludf.DUMMYFUNCTION("IFERROR(GOOGLEFINANCE(A340,""changepct""),"""")"),1.35)</f>
        <v>1.35</v>
      </c>
      <c r="W340" s="22">
        <f>IFERROR(__xludf.DUMMYFUNCTION("IFERROR(GOOGLEFINANCE(A340,""priceopen""),"""")"),745.0)</f>
        <v>745</v>
      </c>
      <c r="X340" s="22">
        <f>IFERROR(__xludf.DUMMYFUNCTION("IFERROR(GOOGLEFINANCE(A340,""high""),"""")"),760.0)</f>
        <v>760</v>
      </c>
      <c r="Y340" s="22">
        <f>IFERROR(__xludf.DUMMYFUNCTION("IFERROR(GOOGLEFINANCE(A340,""low""),"""")"),740.0)</f>
        <v>740</v>
      </c>
      <c r="Z340" s="22">
        <f>IFERROR(__xludf.DUMMYFUNCTION("IFERROR(GOOGLEFINANCE(A340,""volume""),"""")"),3504900.0)</f>
        <v>3504900</v>
      </c>
      <c r="AA340" s="24" t="str">
        <f>VLOOKUP(A340,Metrik!$C$2:$Y$959,5,0)</f>
        <v>Banks</v>
      </c>
      <c r="AB340" s="24" t="str">
        <f>VLOOKUP(A340,Metrik!$C$2:$Y$959,3,0)</f>
        <v>Financials</v>
      </c>
    </row>
    <row r="341">
      <c r="A341" s="14" t="s">
        <v>201</v>
      </c>
      <c r="B341" s="14" t="str">
        <f t="array" ref="B341">VLOOKUP(A341,{Metrik!$C$2:$C$998,Metrik!$B$2:$B$998},2,0)</f>
        <v>Bank Pembangunan Daerah Jawa Barat dan Banten Tbk</v>
      </c>
      <c r="C341" s="15">
        <f>IFERROR(__xludf.DUMMYFUNCTION("GOOGLEFINANCE(""IDX:""&amp;A341,""price"")"),750.0)</f>
        <v>750</v>
      </c>
      <c r="D341" s="16" t="str">
        <f>IFERROR(__xludf.DUMMYFUNCTION("IF(A341="""","""",
SPARKLINE(
INDEX(
GOOGLEFINANCE(""IDX:""&amp;A341,""close"",TODAY()-365,TODAY()),
,2
),
{""linewidth"",1}
))
"),"#N/A")</f>
        <v>#N/A</v>
      </c>
      <c r="E341" s="14" t="s">
        <v>161</v>
      </c>
      <c r="F341" s="14" t="s">
        <v>76</v>
      </c>
      <c r="G341" s="24">
        <f t="shared" si="1"/>
        <v>3</v>
      </c>
      <c r="H341" s="19">
        <f>VLOOKUP(A341,Metrik!$C$2:$Y$959,8,0)</f>
        <v>6.9</v>
      </c>
      <c r="I341" s="20">
        <f>VLOOKUP(A341,Metrik!$C$2:$Y$959,9,0)</f>
        <v>0.39</v>
      </c>
      <c r="J341" s="20">
        <f>VLOOKUP(A341,Metrik!$C$2:$Y$959,10,0)</f>
        <v>5.6</v>
      </c>
      <c r="K341" s="20">
        <f>VLOOKUP(A341,Metrik!$C$2:$Y$959,11,0)</f>
        <v>0.53</v>
      </c>
      <c r="L341" s="20">
        <f>VLOOKUP(A341,Metrik!$C$2:$Y$959,12,0)</f>
        <v>9.2</v>
      </c>
      <c r="M341" s="20">
        <f>VLOOKUP(A341,Metrik!$C$2:$Y$959,19,0)</f>
        <v>26.3</v>
      </c>
      <c r="N341" s="29">
        <v>3.7</v>
      </c>
      <c r="O341" s="29">
        <v>19.3</v>
      </c>
      <c r="P341" s="29">
        <v>87.4</v>
      </c>
      <c r="Q341" s="29">
        <v>1.4</v>
      </c>
      <c r="R341" s="29">
        <v>87.9</v>
      </c>
      <c r="S341" s="29">
        <v>56.0</v>
      </c>
      <c r="T341" s="29">
        <v>6.3</v>
      </c>
      <c r="U341" s="22">
        <f>IFERROR(__xludf.DUMMYFUNCTION("IFERROR(GOOGLEFINANCE(A341,""closeyest""),"""")"),740.0)</f>
        <v>740</v>
      </c>
      <c r="V341" s="23">
        <f>IFERROR(__xludf.DUMMYFUNCTION("IFERROR(GOOGLEFINANCE(A341,""changepct""),"""")"),1.35)</f>
        <v>1.35</v>
      </c>
      <c r="W341" s="22">
        <f>IFERROR(__xludf.DUMMYFUNCTION("IFERROR(GOOGLEFINANCE(A341,""priceopen""),"""")"),745.0)</f>
        <v>745</v>
      </c>
      <c r="X341" s="22">
        <f>IFERROR(__xludf.DUMMYFUNCTION("IFERROR(GOOGLEFINANCE(A341,""high""),"""")"),760.0)</f>
        <v>760</v>
      </c>
      <c r="Y341" s="22">
        <f>IFERROR(__xludf.DUMMYFUNCTION("IFERROR(GOOGLEFINANCE(A341,""low""),"""")"),740.0)</f>
        <v>740</v>
      </c>
      <c r="Z341" s="22">
        <f>IFERROR(__xludf.DUMMYFUNCTION("IFERROR(GOOGLEFINANCE(A341,""volume""),"""")"),3504900.0)</f>
        <v>3504900</v>
      </c>
      <c r="AA341" s="24" t="str">
        <f>VLOOKUP(A341,Metrik!$C$2:$Y$959,5,0)</f>
        <v>Banks</v>
      </c>
      <c r="AB341" s="24" t="str">
        <f>VLOOKUP(A341,Metrik!$C$2:$Y$959,3,0)</f>
        <v>Financials</v>
      </c>
    </row>
    <row r="342">
      <c r="A342" s="14" t="s">
        <v>202</v>
      </c>
      <c r="B342" s="14" t="str">
        <f t="array" ref="B342">VLOOKUP(A342,{Metrik!$C$2:$C$998,Metrik!$B$2:$B$998},2,0)</f>
        <v>Bank Pembangunan Daerah Jawa Timur Tbk</v>
      </c>
      <c r="C342" s="15">
        <f>IFERROR(__xludf.DUMMYFUNCTION("GOOGLEFINANCE(""IDX:""&amp;A342,""price"")"),515.0)</f>
        <v>515</v>
      </c>
      <c r="D342" s="16" t="str">
        <f>IFERROR(__xludf.DUMMYFUNCTION("IF(A342="""","""",
SPARKLINE(
INDEX(
GOOGLEFINANCE(""IDX:""&amp;A342,""close"",TODAY()-365,TODAY()),
,2
),
{""linewidth"",1}
))
"),"#N/A")</f>
        <v>#N/A</v>
      </c>
      <c r="E342" s="14" t="s">
        <v>47</v>
      </c>
      <c r="F342" s="25">
        <v>46356.0</v>
      </c>
      <c r="G342" s="24">
        <f t="shared" si="1"/>
        <v>2</v>
      </c>
      <c r="H342" s="19">
        <f>VLOOKUP(A342,Metrik!$C$2:$Y$959,8,0)</f>
        <v>4.9</v>
      </c>
      <c r="I342" s="20">
        <f>VLOOKUP(A342,Metrik!$C$2:$Y$959,9,0)</f>
        <v>0.35</v>
      </c>
      <c r="J342" s="20">
        <f>VLOOKUP(A342,Metrik!$C$2:$Y$959,10,0)</f>
        <v>7.1</v>
      </c>
      <c r="K342" s="20">
        <f>VLOOKUP(A342,Metrik!$C$2:$Y$959,11,0)</f>
        <v>0.97</v>
      </c>
      <c r="L342" s="20">
        <f>VLOOKUP(A342,Metrik!$C$2:$Y$959,12,0)</f>
        <v>5.6</v>
      </c>
      <c r="M342" s="20">
        <f>VLOOKUP(A342,Metrik!$C$2:$Y$959,19,0)</f>
        <v>55.3</v>
      </c>
      <c r="N342" s="29">
        <v>3.74</v>
      </c>
      <c r="O342" s="29">
        <v>24.94</v>
      </c>
      <c r="P342" s="29">
        <v>70.03</v>
      </c>
      <c r="Q342" s="29">
        <v>2.83</v>
      </c>
      <c r="R342" s="29">
        <v>77.29</v>
      </c>
      <c r="S342" s="29">
        <v>51.2</v>
      </c>
      <c r="T342" s="29">
        <v>11.1</v>
      </c>
      <c r="U342" s="22">
        <f>IFERROR(__xludf.DUMMYFUNCTION("IFERROR(GOOGLEFINANCE(A342,""closeyest""),"""")"),505.0)</f>
        <v>505</v>
      </c>
      <c r="V342" s="23">
        <f>IFERROR(__xludf.DUMMYFUNCTION("IFERROR(GOOGLEFINANCE(A342,""changepct""),"""")"),1.98)</f>
        <v>1.98</v>
      </c>
      <c r="W342" s="22">
        <f>IFERROR(__xludf.DUMMYFUNCTION("IFERROR(GOOGLEFINANCE(A342,""priceopen""),"""")"),510.0)</f>
        <v>510</v>
      </c>
      <c r="X342" s="22">
        <f>IFERROR(__xludf.DUMMYFUNCTION("IFERROR(GOOGLEFINANCE(A342,""high""),"""")"),515.0)</f>
        <v>515</v>
      </c>
      <c r="Y342" s="22">
        <f>IFERROR(__xludf.DUMMYFUNCTION("IFERROR(GOOGLEFINANCE(A342,""low""),"""")"),505.0)</f>
        <v>505</v>
      </c>
      <c r="Z342" s="22">
        <f>IFERROR(__xludf.DUMMYFUNCTION("IFERROR(GOOGLEFINANCE(A342,""volume""),"""")"),4038100.0)</f>
        <v>4038100</v>
      </c>
      <c r="AA342" s="24" t="str">
        <f>VLOOKUP(A342,Metrik!$C$2:$Y$959,5,0)</f>
        <v>Banks</v>
      </c>
      <c r="AB342" s="24" t="str">
        <f>VLOOKUP(A342,Metrik!$C$2:$Y$959,3,0)</f>
        <v>Financials</v>
      </c>
    </row>
    <row r="343">
      <c r="A343" s="14" t="s">
        <v>202</v>
      </c>
      <c r="B343" s="14" t="str">
        <f t="array" ref="B343">VLOOKUP(A343,{Metrik!$C$2:$C$998,Metrik!$B$2:$B$998},2,0)</f>
        <v>Bank Pembangunan Daerah Jawa Timur Tbk</v>
      </c>
      <c r="C343" s="15">
        <f>IFERROR(__xludf.DUMMYFUNCTION("GOOGLEFINANCE(""IDX:""&amp;A343,""price"")"),515.0)</f>
        <v>515</v>
      </c>
      <c r="D343" s="16" t="str">
        <f>IFERROR(__xludf.DUMMYFUNCTION("IF(A343="""","""",
SPARKLINE(
INDEX(
GOOGLEFINANCE(""IDX:""&amp;A343,""close"",TODAY()-365,TODAY()),
,2
),
{""linewidth"",1}
))
"),"#N/A")</f>
        <v>#N/A</v>
      </c>
      <c r="E343" s="14" t="s">
        <v>61</v>
      </c>
      <c r="F343" s="14" t="s">
        <v>34</v>
      </c>
      <c r="G343" s="24">
        <f t="shared" si="1"/>
        <v>2</v>
      </c>
      <c r="H343" s="19">
        <f>VLOOKUP(A343,Metrik!$C$2:$Y$959,8,0)</f>
        <v>4.9</v>
      </c>
      <c r="I343" s="20">
        <f>VLOOKUP(A343,Metrik!$C$2:$Y$959,9,0)</f>
        <v>0.35</v>
      </c>
      <c r="J343" s="20">
        <f>VLOOKUP(A343,Metrik!$C$2:$Y$959,10,0)</f>
        <v>7.1</v>
      </c>
      <c r="K343" s="20">
        <f>VLOOKUP(A343,Metrik!$C$2:$Y$959,11,0)</f>
        <v>0.97</v>
      </c>
      <c r="L343" s="20">
        <f>VLOOKUP(A343,Metrik!$C$2:$Y$959,12,0)</f>
        <v>5.6</v>
      </c>
      <c r="M343" s="20">
        <f>VLOOKUP(A343,Metrik!$C$2:$Y$959,19,0)</f>
        <v>55.3</v>
      </c>
      <c r="N343" s="29">
        <v>3.74</v>
      </c>
      <c r="O343" s="29">
        <v>24.94</v>
      </c>
      <c r="P343" s="29">
        <v>70.03</v>
      </c>
      <c r="Q343" s="29">
        <v>2.83</v>
      </c>
      <c r="R343" s="29">
        <v>77.29</v>
      </c>
      <c r="S343" s="29">
        <v>51.2</v>
      </c>
      <c r="T343" s="29">
        <v>11.1</v>
      </c>
      <c r="U343" s="22">
        <f>IFERROR(__xludf.DUMMYFUNCTION("IFERROR(GOOGLEFINANCE(A343,""closeyest""),"""")"),505.0)</f>
        <v>505</v>
      </c>
      <c r="V343" s="23">
        <f>IFERROR(__xludf.DUMMYFUNCTION("IFERROR(GOOGLEFINANCE(A343,""changepct""),"""")"),1.98)</f>
        <v>1.98</v>
      </c>
      <c r="W343" s="22">
        <f>IFERROR(__xludf.DUMMYFUNCTION("IFERROR(GOOGLEFINANCE(A343,""priceopen""),"""")"),510.0)</f>
        <v>510</v>
      </c>
      <c r="X343" s="22">
        <f>IFERROR(__xludf.DUMMYFUNCTION("IFERROR(GOOGLEFINANCE(A343,""high""),"""")"),515.0)</f>
        <v>515</v>
      </c>
      <c r="Y343" s="22">
        <f>IFERROR(__xludf.DUMMYFUNCTION("IFERROR(GOOGLEFINANCE(A343,""low""),"""")"),505.0)</f>
        <v>505</v>
      </c>
      <c r="Z343" s="22">
        <f>IFERROR(__xludf.DUMMYFUNCTION("IFERROR(GOOGLEFINANCE(A343,""volume""),"""")"),4038100.0)</f>
        <v>4038100</v>
      </c>
      <c r="AA343" s="24" t="str">
        <f>VLOOKUP(A343,Metrik!$C$2:$Y$959,5,0)</f>
        <v>Banks</v>
      </c>
      <c r="AB343" s="24" t="str">
        <f>VLOOKUP(A343,Metrik!$C$2:$Y$959,3,0)</f>
        <v>Financials</v>
      </c>
    </row>
    <row r="344">
      <c r="A344" s="14" t="s">
        <v>203</v>
      </c>
      <c r="B344" s="14" t="str">
        <f t="array" ref="B344">VLOOKUP(A344,{Metrik!$C$2:$C$998,Metrik!$B$2:$B$998},2,0)</f>
        <v>Bukit Darmo Property Tbk</v>
      </c>
      <c r="C344" s="15" t="str">
        <f>IFERROR(__xludf.DUMMYFUNCTION("GOOGLEFINANCE(""IDX:""&amp;A344,""price"")"),"#N/A")</f>
        <v>#N/A</v>
      </c>
      <c r="D344" s="16" t="str">
        <f>IFERROR(__xludf.DUMMYFUNCTION("IF(A344="""","""",
SPARKLINE(
INDEX(
GOOGLEFINANCE(""IDX:""&amp;A344,""close"",TODAY()-365,TODAY()),
,2
),
{""linewidth"",1}
))
"),"#N/A")</f>
        <v>#N/A</v>
      </c>
      <c r="E344" s="26"/>
      <c r="F344" s="26"/>
      <c r="G344" s="24">
        <f t="shared" si="1"/>
        <v>0</v>
      </c>
      <c r="H344" s="19">
        <f>VLOOKUP(A344,Metrik!$C$2:$Y$959,8,0)</f>
        <v>-25.8</v>
      </c>
      <c r="I344" s="20">
        <f>VLOOKUP(A344,Metrik!$C$2:$Y$959,9,0)</f>
        <v>3.1</v>
      </c>
      <c r="J344" s="20">
        <f>VLOOKUP(A344,Metrik!$C$2:$Y$959,10,0)</f>
        <v>-12.1</v>
      </c>
      <c r="K344" s="20">
        <f>VLOOKUP(A344,Metrik!$C$2:$Y$959,11,0)</f>
        <v>-5</v>
      </c>
      <c r="L344" s="20">
        <f>VLOOKUP(A344,Metrik!$C$2:$Y$959,12,0)</f>
        <v>1.4</v>
      </c>
      <c r="M344" s="20">
        <f>VLOOKUP(A344,Metrik!$C$2:$Y$959,19,0)</f>
        <v>-390</v>
      </c>
      <c r="N344" s="21"/>
      <c r="O344" s="21"/>
      <c r="P344" s="21"/>
      <c r="Q344" s="21"/>
      <c r="R344" s="21"/>
      <c r="S344" s="21"/>
      <c r="T344" s="21"/>
      <c r="U344" s="22">
        <f>IFERROR(__xludf.DUMMYFUNCTION("IFERROR(GOOGLEFINANCE(A344,""closeyest""),"""")"),125.0)</f>
        <v>125</v>
      </c>
      <c r="V344" s="23">
        <f>IFERROR(__xludf.DUMMYFUNCTION("IFERROR(GOOGLEFINANCE(A344,""changepct""),"""")"),0.0)</f>
        <v>0</v>
      </c>
      <c r="W344" s="22" t="str">
        <f>IFERROR(__xludf.DUMMYFUNCTION("IFERROR(GOOGLEFINANCE(A344,""priceopen""),"""")"),"")</f>
        <v/>
      </c>
      <c r="X344" s="22" t="str">
        <f>IFERROR(__xludf.DUMMYFUNCTION("IFERROR(GOOGLEFINANCE(A344,""high""),"""")"),"")</f>
        <v/>
      </c>
      <c r="Y344" s="22" t="str">
        <f>IFERROR(__xludf.DUMMYFUNCTION("IFERROR(GOOGLEFINANCE(A344,""low""),"""")"),"")</f>
        <v/>
      </c>
      <c r="Z344" s="22">
        <f>IFERROR(__xludf.DUMMYFUNCTION("IFERROR(GOOGLEFINANCE(A344,""volume""),"""")"),0.0)</f>
        <v>0</v>
      </c>
      <c r="AA344" s="24" t="str">
        <f>VLOOKUP(A344,Metrik!$C$2:$Y$959,5,0)</f>
        <v>Real Estate Management &amp; Development</v>
      </c>
      <c r="AB344" s="24" t="str">
        <f>VLOOKUP(A344,Metrik!$C$2:$Y$959,3,0)</f>
        <v>Properties &amp; Real Estate</v>
      </c>
    </row>
    <row r="345">
      <c r="A345" s="14" t="s">
        <v>204</v>
      </c>
      <c r="B345" s="14" t="str">
        <f t="array" ref="B345">VLOOKUP(A345,{Metrik!$C$2:$C$998,Metrik!$B$2:$B$998},2,0)</f>
        <v>Sentul City Tbk.</v>
      </c>
      <c r="C345" s="15">
        <f>IFERROR(__xludf.DUMMYFUNCTION("GOOGLEFINANCE(""IDX:""&amp;A345,""price"")"),68.0)</f>
        <v>68</v>
      </c>
      <c r="D345" s="16" t="str">
        <f>IFERROR(__xludf.DUMMYFUNCTION("IF(A345="""","""",
SPARKLINE(
INDEX(
GOOGLEFINANCE(""IDX:""&amp;A345,""close"",TODAY()-365,TODAY()),
,2
),
{""linewidth"",1}
))
"),"#N/A")</f>
        <v>#N/A</v>
      </c>
      <c r="E345" s="14" t="s">
        <v>32</v>
      </c>
      <c r="F345" s="14" t="s">
        <v>29</v>
      </c>
      <c r="G345" s="24">
        <f t="shared" si="1"/>
        <v>4</v>
      </c>
      <c r="H345" s="19">
        <f>VLOOKUP(A345,Metrik!$C$2:$Y$959,8,0)</f>
        <v>14.6</v>
      </c>
      <c r="I345" s="20">
        <f>VLOOKUP(A345,Metrik!$C$2:$Y$959,9,0)</f>
        <v>0.78</v>
      </c>
      <c r="J345" s="20">
        <f>VLOOKUP(A345,Metrik!$C$2:$Y$959,10,0)</f>
        <v>5.4</v>
      </c>
      <c r="K345" s="20">
        <f>VLOOKUP(A345,Metrik!$C$2:$Y$959,11,0)</f>
        <v>3.8</v>
      </c>
      <c r="L345" s="20">
        <f>VLOOKUP(A345,Metrik!$C$2:$Y$959,12,0)</f>
        <v>0.42</v>
      </c>
      <c r="M345" s="20">
        <f>VLOOKUP(A345,Metrik!$C$2:$Y$959,19,0)</f>
        <v>240</v>
      </c>
      <c r="N345" s="21"/>
      <c r="O345" s="21"/>
      <c r="P345" s="21"/>
      <c r="Q345" s="21"/>
      <c r="R345" s="21"/>
      <c r="S345" s="21"/>
      <c r="T345" s="21"/>
      <c r="U345" s="22">
        <f>IFERROR(__xludf.DUMMYFUNCTION("IFERROR(GOOGLEFINANCE(A345,""closeyest""),"""")"),62.0)</f>
        <v>62</v>
      </c>
      <c r="V345" s="23">
        <f>IFERROR(__xludf.DUMMYFUNCTION("IFERROR(GOOGLEFINANCE(A345,""changepct""),"""")"),9.68)</f>
        <v>9.68</v>
      </c>
      <c r="W345" s="22">
        <f>IFERROR(__xludf.DUMMYFUNCTION("IFERROR(GOOGLEFINANCE(A345,""priceopen""),"""")"),63.0)</f>
        <v>63</v>
      </c>
      <c r="X345" s="22">
        <f>IFERROR(__xludf.DUMMYFUNCTION("IFERROR(GOOGLEFINANCE(A345,""high""),"""")"),70.0)</f>
        <v>70</v>
      </c>
      <c r="Y345" s="22">
        <f>IFERROR(__xludf.DUMMYFUNCTION("IFERROR(GOOGLEFINANCE(A345,""low""),"""")"),63.0)</f>
        <v>63</v>
      </c>
      <c r="Z345" s="22">
        <f>IFERROR(__xludf.DUMMYFUNCTION("IFERROR(GOOGLEFINANCE(A345,""volume""),"""")"),2.846008E8)</f>
        <v>284600800</v>
      </c>
      <c r="AA345" s="24" t="str">
        <f>VLOOKUP(A345,Metrik!$C$2:$Y$959,5,0)</f>
        <v>Real Estate Management &amp; Development</v>
      </c>
      <c r="AB345" s="24" t="str">
        <f>VLOOKUP(A345,Metrik!$C$2:$Y$959,3,0)</f>
        <v>Properties &amp; Real Estate</v>
      </c>
    </row>
    <row r="346">
      <c r="A346" s="17" t="s">
        <v>204</v>
      </c>
      <c r="B346" s="14" t="str">
        <f t="array" ref="B346">VLOOKUP(A346,{Metrik!$C$2:$C$998,Metrik!$B$2:$B$998},2,0)</f>
        <v>Sentul City Tbk.</v>
      </c>
      <c r="C346" s="15">
        <f>IFERROR(__xludf.DUMMYFUNCTION("GOOGLEFINANCE(""IDX:""&amp;A346,""price"")"),68.0)</f>
        <v>68</v>
      </c>
      <c r="D346" s="16" t="str">
        <f>IFERROR(__xludf.DUMMYFUNCTION("IF(A346="""","""",
SPARKLINE(
INDEX(
GOOGLEFINANCE(""IDX:""&amp;A346,""close"",TODAY()-365,TODAY()),
,2
),
{""linewidth"",1}
))
"),"#N/A")</f>
        <v>#N/A</v>
      </c>
      <c r="E346" s="14" t="s">
        <v>28</v>
      </c>
      <c r="F346" s="17" t="s">
        <v>29</v>
      </c>
      <c r="G346" s="24">
        <f t="shared" si="1"/>
        <v>4</v>
      </c>
      <c r="H346" s="19">
        <f>VLOOKUP(A346,Metrik!$C$2:$Y$959,8,0)</f>
        <v>14.6</v>
      </c>
      <c r="I346" s="20">
        <f>VLOOKUP(A346,Metrik!$C$2:$Y$959,9,0)</f>
        <v>0.78</v>
      </c>
      <c r="J346" s="20">
        <f>VLOOKUP(A346,Metrik!$C$2:$Y$959,10,0)</f>
        <v>5.4</v>
      </c>
      <c r="K346" s="20">
        <f>VLOOKUP(A346,Metrik!$C$2:$Y$959,11,0)</f>
        <v>3.8</v>
      </c>
      <c r="L346" s="20">
        <f>VLOOKUP(A346,Metrik!$C$2:$Y$959,12,0)</f>
        <v>0.42</v>
      </c>
      <c r="M346" s="20">
        <f>VLOOKUP(A346,Metrik!$C$2:$Y$959,19,0)</f>
        <v>240</v>
      </c>
      <c r="N346" s="21"/>
      <c r="O346" s="21"/>
      <c r="P346" s="21"/>
      <c r="Q346" s="21"/>
      <c r="R346" s="21"/>
      <c r="S346" s="21"/>
      <c r="T346" s="21"/>
      <c r="U346" s="22">
        <f>IFERROR(__xludf.DUMMYFUNCTION("IFERROR(GOOGLEFINANCE(A346,""closeyest""),"""")"),62.0)</f>
        <v>62</v>
      </c>
      <c r="V346" s="23">
        <f>IFERROR(__xludf.DUMMYFUNCTION("IFERROR(GOOGLEFINANCE(A346,""changepct""),"""")"),9.68)</f>
        <v>9.68</v>
      </c>
      <c r="W346" s="22">
        <f>IFERROR(__xludf.DUMMYFUNCTION("IFERROR(GOOGLEFINANCE(A346,""priceopen""),"""")"),63.0)</f>
        <v>63</v>
      </c>
      <c r="X346" s="22">
        <f>IFERROR(__xludf.DUMMYFUNCTION("IFERROR(GOOGLEFINANCE(A346,""high""),"""")"),70.0)</f>
        <v>70</v>
      </c>
      <c r="Y346" s="22">
        <f>IFERROR(__xludf.DUMMYFUNCTION("IFERROR(GOOGLEFINANCE(A346,""low""),"""")"),63.0)</f>
        <v>63</v>
      </c>
      <c r="Z346" s="22">
        <f>IFERROR(__xludf.DUMMYFUNCTION("IFERROR(GOOGLEFINANCE(A346,""volume""),"""")"),2.846008E8)</f>
        <v>284600800</v>
      </c>
      <c r="AA346" s="24" t="str">
        <f>VLOOKUP(A346,Metrik!$C$2:$Y$959,5,0)</f>
        <v>Real Estate Management &amp; Development</v>
      </c>
      <c r="AB346" s="24" t="str">
        <f>VLOOKUP(A346,Metrik!$C$2:$Y$959,3,0)</f>
        <v>Properties &amp; Real Estate</v>
      </c>
    </row>
    <row r="347">
      <c r="A347" s="17" t="s">
        <v>204</v>
      </c>
      <c r="B347" s="14" t="str">
        <f t="array" ref="B347">VLOOKUP(A347,{Metrik!$C$2:$C$998,Metrik!$B$2:$B$998},2,0)</f>
        <v>Sentul City Tbk.</v>
      </c>
      <c r="C347" s="15">
        <f>IFERROR(__xludf.DUMMYFUNCTION("GOOGLEFINANCE(""IDX:""&amp;A347,""price"")"),68.0)</f>
        <v>68</v>
      </c>
      <c r="D347" s="16" t="str">
        <f>IFERROR(__xludf.DUMMYFUNCTION("IF(A347="""","""",
SPARKLINE(
INDEX(
GOOGLEFINANCE(""IDX:""&amp;A347,""close"",TODAY()-365,TODAY()),
,2
),
{""linewidth"",1}
))
"),"#N/A")</f>
        <v>#N/A</v>
      </c>
      <c r="E347" s="14" t="s">
        <v>38</v>
      </c>
      <c r="F347" s="25">
        <v>46356.0</v>
      </c>
      <c r="G347" s="18">
        <f t="shared" si="1"/>
        <v>4</v>
      </c>
      <c r="H347" s="19">
        <f>VLOOKUP(A347,Metrik!$C$2:$Y$959,8,0)</f>
        <v>14.6</v>
      </c>
      <c r="I347" s="20">
        <f>VLOOKUP(A347,Metrik!$C$2:$Y$959,9,0)</f>
        <v>0.78</v>
      </c>
      <c r="J347" s="20">
        <f>VLOOKUP(A347,Metrik!$C$2:$Y$959,10,0)</f>
        <v>5.4</v>
      </c>
      <c r="K347" s="20">
        <f>VLOOKUP(A347,Metrik!$C$2:$Y$959,11,0)</f>
        <v>3.8</v>
      </c>
      <c r="L347" s="20">
        <f>VLOOKUP(A347,Metrik!$C$2:$Y$959,12,0)</f>
        <v>0.42</v>
      </c>
      <c r="M347" s="20">
        <f>VLOOKUP(A347,Metrik!$C$2:$Y$959,19,0)</f>
        <v>240</v>
      </c>
      <c r="N347" s="21"/>
      <c r="O347" s="21"/>
      <c r="P347" s="21"/>
      <c r="Q347" s="21"/>
      <c r="R347" s="21"/>
      <c r="S347" s="21"/>
      <c r="T347" s="21"/>
      <c r="U347" s="22">
        <f>IFERROR(__xludf.DUMMYFUNCTION("IFERROR(GOOGLEFINANCE(A347,""closeyest""),"""")"),62.0)</f>
        <v>62</v>
      </c>
      <c r="V347" s="23">
        <f>IFERROR(__xludf.DUMMYFUNCTION("IFERROR(GOOGLEFINANCE(A347,""changepct""),"""")"),9.68)</f>
        <v>9.68</v>
      </c>
      <c r="W347" s="22">
        <f>IFERROR(__xludf.DUMMYFUNCTION("IFERROR(GOOGLEFINANCE(A347,""priceopen""),"""")"),63.0)</f>
        <v>63</v>
      </c>
      <c r="X347" s="22">
        <f>IFERROR(__xludf.DUMMYFUNCTION("IFERROR(GOOGLEFINANCE(A347,""high""),"""")"),70.0)</f>
        <v>70</v>
      </c>
      <c r="Y347" s="22">
        <f>IFERROR(__xludf.DUMMYFUNCTION("IFERROR(GOOGLEFINANCE(A347,""low""),"""")"),63.0)</f>
        <v>63</v>
      </c>
      <c r="Z347" s="22">
        <f>IFERROR(__xludf.DUMMYFUNCTION("IFERROR(GOOGLEFINANCE(A347,""volume""),"""")"),2.846008E8)</f>
        <v>284600800</v>
      </c>
      <c r="AA347" s="24" t="str">
        <f>VLOOKUP(A347,Metrik!$C$2:$Y$959,5,0)</f>
        <v>Real Estate Management &amp; Development</v>
      </c>
      <c r="AB347" s="24" t="str">
        <f>VLOOKUP(A347,Metrik!$C$2:$Y$959,3,0)</f>
        <v>Properties &amp; Real Estate</v>
      </c>
    </row>
    <row r="348">
      <c r="A348" s="14" t="s">
        <v>204</v>
      </c>
      <c r="B348" s="14" t="str">
        <f t="array" ref="B348">VLOOKUP(A348,{Metrik!$C$2:$C$998,Metrik!$B$2:$B$998},2,0)</f>
        <v>Sentul City Tbk.</v>
      </c>
      <c r="C348" s="15">
        <f>IFERROR(__xludf.DUMMYFUNCTION("GOOGLEFINANCE(""IDX:""&amp;A348,""price"")"),68.0)</f>
        <v>68</v>
      </c>
      <c r="D348" s="16" t="str">
        <f>IFERROR(__xludf.DUMMYFUNCTION("IF(A348="""","""",
SPARKLINE(
INDEX(
GOOGLEFINANCE(""IDX:""&amp;A348,""close"",TODAY()-365,TODAY()),
,2
),
{""linewidth"",1}
))
"),"#N/A")</f>
        <v>#N/A</v>
      </c>
      <c r="E348" s="14" t="s">
        <v>39</v>
      </c>
      <c r="F348" s="25">
        <v>46356.0</v>
      </c>
      <c r="G348" s="24">
        <f t="shared" si="1"/>
        <v>4</v>
      </c>
      <c r="H348" s="19">
        <f>VLOOKUP(A348,Metrik!$C$2:$Y$959,8,0)</f>
        <v>14.6</v>
      </c>
      <c r="I348" s="20">
        <f>VLOOKUP(A348,Metrik!$C$2:$Y$959,9,0)</f>
        <v>0.78</v>
      </c>
      <c r="J348" s="20">
        <f>VLOOKUP(A348,Metrik!$C$2:$Y$959,10,0)</f>
        <v>5.4</v>
      </c>
      <c r="K348" s="20">
        <f>VLOOKUP(A348,Metrik!$C$2:$Y$959,11,0)</f>
        <v>3.8</v>
      </c>
      <c r="L348" s="20">
        <f>VLOOKUP(A348,Metrik!$C$2:$Y$959,12,0)</f>
        <v>0.42</v>
      </c>
      <c r="M348" s="20">
        <f>VLOOKUP(A348,Metrik!$C$2:$Y$959,19,0)</f>
        <v>240</v>
      </c>
      <c r="N348" s="21"/>
      <c r="O348" s="21"/>
      <c r="P348" s="21"/>
      <c r="Q348" s="21"/>
      <c r="R348" s="21"/>
      <c r="S348" s="21"/>
      <c r="T348" s="21"/>
      <c r="U348" s="22">
        <f>IFERROR(__xludf.DUMMYFUNCTION("IFERROR(GOOGLEFINANCE(A348,""closeyest""),"""")"),62.0)</f>
        <v>62</v>
      </c>
      <c r="V348" s="23">
        <f>IFERROR(__xludf.DUMMYFUNCTION("IFERROR(GOOGLEFINANCE(A348,""changepct""),"""")"),9.68)</f>
        <v>9.68</v>
      </c>
      <c r="W348" s="22">
        <f>IFERROR(__xludf.DUMMYFUNCTION("IFERROR(GOOGLEFINANCE(A348,""priceopen""),"""")"),63.0)</f>
        <v>63</v>
      </c>
      <c r="X348" s="22">
        <f>IFERROR(__xludf.DUMMYFUNCTION("IFERROR(GOOGLEFINANCE(A348,""high""),"""")"),70.0)</f>
        <v>70</v>
      </c>
      <c r="Y348" s="22">
        <f>IFERROR(__xludf.DUMMYFUNCTION("IFERROR(GOOGLEFINANCE(A348,""low""),"""")"),63.0)</f>
        <v>63</v>
      </c>
      <c r="Z348" s="22">
        <f>IFERROR(__xludf.DUMMYFUNCTION("IFERROR(GOOGLEFINANCE(A348,""volume""),"""")"),2.846008E8)</f>
        <v>284600800</v>
      </c>
      <c r="AA348" s="24" t="str">
        <f>VLOOKUP(A348,Metrik!$C$2:$Y$959,5,0)</f>
        <v>Real Estate Management &amp; Development</v>
      </c>
      <c r="AB348" s="24" t="str">
        <f>VLOOKUP(A348,Metrik!$C$2:$Y$959,3,0)</f>
        <v>Properties &amp; Real Estate</v>
      </c>
    </row>
    <row r="349">
      <c r="A349" s="14" t="s">
        <v>205</v>
      </c>
      <c r="B349" s="14" t="str">
        <f t="array" ref="B349">VLOOKUP(A349,{Metrik!$C$2:$C$998,Metrik!$B$2:$B$998},2,0)</f>
        <v>PT Bank QNB Indonesia Tbk</v>
      </c>
      <c r="C349" s="15">
        <f>IFERROR(__xludf.DUMMYFUNCTION("GOOGLEFINANCE(""IDX:""&amp;A349,""price"")"),51.0)</f>
        <v>51</v>
      </c>
      <c r="D349" s="16" t="str">
        <f>IFERROR(__xludf.DUMMYFUNCTION("IF(A349="""","""",
SPARKLINE(
INDEX(
GOOGLEFINANCE(""IDX:""&amp;A349,""close"",TODAY()-365,TODAY()),
,2
),
{""linewidth"",1}
))
"),"#N/A")</f>
        <v>#N/A</v>
      </c>
      <c r="E349" s="26"/>
      <c r="F349" s="26"/>
      <c r="G349" s="24">
        <f t="shared" si="1"/>
        <v>0</v>
      </c>
      <c r="H349" s="19">
        <f>VLOOKUP(A349,Metrik!$C$2:$Y$959,8,0)</f>
        <v>-42.8</v>
      </c>
      <c r="I349" s="20">
        <f>VLOOKUP(A349,Metrik!$C$2:$Y$959,9,0)</f>
        <v>0.4</v>
      </c>
      <c r="J349" s="20">
        <f>VLOOKUP(A349,Metrik!$C$2:$Y$959,10,0)</f>
        <v>-0.94</v>
      </c>
      <c r="K349" s="20">
        <f>VLOOKUP(A349,Metrik!$C$2:$Y$959,11,0)</f>
        <v>-0.34</v>
      </c>
      <c r="L349" s="20">
        <f>VLOOKUP(A349,Metrik!$C$2:$Y$959,12,0)</f>
        <v>1.8</v>
      </c>
      <c r="M349" s="20">
        <f>VLOOKUP(A349,Metrik!$C$2:$Y$959,19,0)</f>
        <v>-27</v>
      </c>
      <c r="N349" s="32">
        <v>3.12</v>
      </c>
      <c r="O349" s="32">
        <v>45.15</v>
      </c>
      <c r="P349" s="32">
        <v>80.12</v>
      </c>
      <c r="Q349" s="32" t="s">
        <v>206</v>
      </c>
      <c r="R349" s="32">
        <v>96.15</v>
      </c>
      <c r="S349" s="32">
        <v>82.4</v>
      </c>
      <c r="T349" s="32">
        <v>4.15</v>
      </c>
      <c r="U349" s="22">
        <f>IFERROR(__xludf.DUMMYFUNCTION("IFERROR(GOOGLEFINANCE(A349,""closeyest""),"""")"),51.0)</f>
        <v>51</v>
      </c>
      <c r="V349" s="23">
        <f>IFERROR(__xludf.DUMMYFUNCTION("IFERROR(GOOGLEFINANCE(A349,""changepct""),"""")"),0.0)</f>
        <v>0</v>
      </c>
      <c r="W349" s="22">
        <f>IFERROR(__xludf.DUMMYFUNCTION("IFERROR(GOOGLEFINANCE(A349,""priceopen""),"""")"),51.0)</f>
        <v>51</v>
      </c>
      <c r="X349" s="22">
        <f>IFERROR(__xludf.DUMMYFUNCTION("IFERROR(GOOGLEFINANCE(A349,""high""),"""")"),52.0)</f>
        <v>52</v>
      </c>
      <c r="Y349" s="22">
        <f>IFERROR(__xludf.DUMMYFUNCTION("IFERROR(GOOGLEFINANCE(A349,""low""),"""")"),50.0)</f>
        <v>50</v>
      </c>
      <c r="Z349" s="22">
        <f>IFERROR(__xludf.DUMMYFUNCTION("IFERROR(GOOGLEFINANCE(A349,""volume""),"""")"),5363700.0)</f>
        <v>5363700</v>
      </c>
      <c r="AA349" s="24" t="str">
        <f>VLOOKUP(A349,Metrik!$C$2:$Y$959,5,0)</f>
        <v>Banks</v>
      </c>
      <c r="AB349" s="24" t="str">
        <f>VLOOKUP(A349,Metrik!$C$2:$Y$959,3,0)</f>
        <v>Financials</v>
      </c>
    </row>
    <row r="350">
      <c r="A350" s="14" t="s">
        <v>207</v>
      </c>
      <c r="B350" s="14" t="str">
        <f t="array" ref="B350">VLOOKUP(A350,{Metrik!$C$2:$C$998,Metrik!$B$2:$B$998},2,0)</f>
        <v>Superior Prima Sukses Tbk.</v>
      </c>
      <c r="C350" s="15">
        <f>IFERROR(__xludf.DUMMYFUNCTION("GOOGLEFINANCE(""IDX:""&amp;A350,""price"")"),133.0)</f>
        <v>133</v>
      </c>
      <c r="D350" s="16" t="str">
        <f>IFERROR(__xludf.DUMMYFUNCTION("IF(A350="""","""",
SPARKLINE(
INDEX(
GOOGLEFINANCE(""IDX:""&amp;A350,""close"",TODAY()-365,TODAY()),
,2
),
{""linewidth"",1}
))
"),"#N/A")</f>
        <v>#N/A</v>
      </c>
      <c r="E350" s="26"/>
      <c r="F350" s="26"/>
      <c r="G350" s="24">
        <f t="shared" si="1"/>
        <v>0</v>
      </c>
      <c r="H350" s="19">
        <f>VLOOKUP(A350,Metrik!$C$2:$Y$959,8,0)</f>
        <v>9.2</v>
      </c>
      <c r="I350" s="20">
        <f>VLOOKUP(A350,Metrik!$C$2:$Y$959,9,0)</f>
        <v>1</v>
      </c>
      <c r="J350" s="20">
        <f>VLOOKUP(A350,Metrik!$C$2:$Y$959,10,0)</f>
        <v>11.1</v>
      </c>
      <c r="K350" s="20">
        <f>VLOOKUP(A350,Metrik!$C$2:$Y$959,11,0)</f>
        <v>6.5</v>
      </c>
      <c r="L350" s="20">
        <f>VLOOKUP(A350,Metrik!$C$2:$Y$959,12,0)</f>
        <v>0.72</v>
      </c>
      <c r="M350" s="20">
        <f>VLOOKUP(A350,Metrik!$C$2:$Y$959,19,0)</f>
        <v>38.8</v>
      </c>
      <c r="N350" s="21"/>
      <c r="O350" s="21"/>
      <c r="P350" s="21"/>
      <c r="Q350" s="21"/>
      <c r="R350" s="21"/>
      <c r="S350" s="21"/>
      <c r="T350" s="21"/>
      <c r="U350" s="22">
        <f>IFERROR(__xludf.DUMMYFUNCTION("IFERROR(GOOGLEFINANCE(A350,""closeyest""),"""")"),47.81)</f>
        <v>47.81</v>
      </c>
      <c r="V350" s="23">
        <f>IFERROR(__xludf.DUMMYFUNCTION("IFERROR(GOOGLEFINANCE(A350,""changepct""),"""")"),0.82)</f>
        <v>0.82</v>
      </c>
      <c r="W350" s="22">
        <f>IFERROR(__xludf.DUMMYFUNCTION("IFERROR(GOOGLEFINANCE(A350,""priceopen""),"""")"),48.11)</f>
        <v>48.11</v>
      </c>
      <c r="X350" s="22">
        <f>IFERROR(__xludf.DUMMYFUNCTION("IFERROR(GOOGLEFINANCE(A350,""high""),"""")"),48.24)</f>
        <v>48.24</v>
      </c>
      <c r="Y350" s="22">
        <f>IFERROR(__xludf.DUMMYFUNCTION("IFERROR(GOOGLEFINANCE(A350,""low""),"""")"),48.11)</f>
        <v>48.11</v>
      </c>
      <c r="Z350" s="22" t="str">
        <f>IFERROR(__xludf.DUMMYFUNCTION("IFERROR(GOOGLEFINANCE(A350,""volume""),"""")"),"")</f>
        <v/>
      </c>
      <c r="AA350" s="24" t="str">
        <f>VLOOKUP(A350,Metrik!$C$2:$Y$959,5,0)</f>
        <v>Construction Materials</v>
      </c>
      <c r="AB350" s="24" t="str">
        <f>VLOOKUP(A350,Metrik!$C$2:$Y$959,3,0)</f>
        <v>Basic Materials</v>
      </c>
    </row>
    <row r="351">
      <c r="A351" s="14" t="s">
        <v>208</v>
      </c>
      <c r="B351" s="14" t="str">
        <f t="array" ref="B351">VLOOKUP(A351,{Metrik!$C$2:$C$998,Metrik!$B$2:$B$998},2,0)</f>
        <v>Trimitra Trans Persada Tbk.</v>
      </c>
      <c r="C351" s="15">
        <f>IFERROR(__xludf.DUMMYFUNCTION("GOOGLEFINANCE(""IDX:""&amp;A351,""price"")"),320.0)</f>
        <v>320</v>
      </c>
      <c r="D351" s="16" t="str">
        <f>IFERROR(__xludf.DUMMYFUNCTION("IF(A351="""","""",
SPARKLINE(
INDEX(
GOOGLEFINANCE(""IDX:""&amp;A351,""close"",TODAY()-365,TODAY()),
,2
),
{""linewidth"",1}
))
"),"#N/A")</f>
        <v>#N/A</v>
      </c>
      <c r="E351" s="26"/>
      <c r="F351" s="26"/>
      <c r="G351" s="18">
        <f t="shared" si="1"/>
        <v>0</v>
      </c>
      <c r="H351" s="19">
        <f>VLOOKUP(A351,Metrik!$C$2:$Y$959,8,0)</f>
        <v>7.7</v>
      </c>
      <c r="I351" s="20">
        <f>VLOOKUP(A351,Metrik!$C$2:$Y$959,9,0)</f>
        <v>1.8</v>
      </c>
      <c r="J351" s="20">
        <f>VLOOKUP(A351,Metrik!$C$2:$Y$959,10,0)</f>
        <v>23.1</v>
      </c>
      <c r="K351" s="20">
        <f>VLOOKUP(A351,Metrik!$C$2:$Y$959,11,0)</f>
        <v>14.1</v>
      </c>
      <c r="L351" s="20">
        <f>VLOOKUP(A351,Metrik!$C$2:$Y$959,12,0)</f>
        <v>0.64</v>
      </c>
      <c r="M351" s="20">
        <f>VLOOKUP(A351,Metrik!$C$2:$Y$959,19,0)</f>
        <v>42.5</v>
      </c>
      <c r="N351" s="21"/>
      <c r="O351" s="21"/>
      <c r="P351" s="21"/>
      <c r="Q351" s="21"/>
      <c r="R351" s="21"/>
      <c r="S351" s="21"/>
      <c r="T351" s="21"/>
      <c r="U351" s="22" t="str">
        <f>IFERROR(__xludf.DUMMYFUNCTION("IFERROR(GOOGLEFINANCE(A351,""closeyest""),"""")"),"")</f>
        <v/>
      </c>
      <c r="V351" s="23">
        <f>IFERROR(__xludf.DUMMYFUNCTION("IFERROR(GOOGLEFINANCE(A351,""changepct""),"""")"),0.63)</f>
        <v>0.63</v>
      </c>
      <c r="W351" s="22">
        <f>IFERROR(__xludf.DUMMYFUNCTION("IFERROR(GOOGLEFINANCE(A351,""priceopen""),"""")"),318.0)</f>
        <v>318</v>
      </c>
      <c r="X351" s="22">
        <f>IFERROR(__xludf.DUMMYFUNCTION("IFERROR(GOOGLEFINANCE(A351,""high""),"""")"),324.0)</f>
        <v>324</v>
      </c>
      <c r="Y351" s="22">
        <f>IFERROR(__xludf.DUMMYFUNCTION("IFERROR(GOOGLEFINANCE(A351,""low""),"""")"),316.0)</f>
        <v>316</v>
      </c>
      <c r="Z351" s="22">
        <f>IFERROR(__xludf.DUMMYFUNCTION("IFERROR(GOOGLEFINANCE(A351,""volume""),"""")"),461500.0)</f>
        <v>461500</v>
      </c>
      <c r="AA351" s="24" t="str">
        <f>VLOOKUP(A351,Metrik!$C$2:$Y$959,5,0)</f>
        <v>Logistics &amp; Deliveries</v>
      </c>
      <c r="AB351" s="24" t="str">
        <f>VLOOKUP(A351,Metrik!$C$2:$Y$959,3,0)</f>
        <v>Transportation &amp; Logistic</v>
      </c>
    </row>
    <row r="352">
      <c r="A352" s="14" t="s">
        <v>209</v>
      </c>
      <c r="B352" s="14" t="str">
        <f t="array" ref="B352">VLOOKUP(A352,{Metrik!$C$2:$C$998,Metrik!$B$2:$B$998},2,0)</f>
        <v>Berlian Laju Tanker Tbk</v>
      </c>
      <c r="C352" s="15">
        <f>IFERROR(__xludf.DUMMYFUNCTION("GOOGLEFINANCE(""IDX:""&amp;A352,""price"")"),38.0)</f>
        <v>38</v>
      </c>
      <c r="D352" s="16" t="str">
        <f>IFERROR(__xludf.DUMMYFUNCTION("IF(A352="""","""",
SPARKLINE(
INDEX(
GOOGLEFINANCE(""IDX:""&amp;A352,""close"",TODAY()-365,TODAY()),
,2
),
{""linewidth"",1}
))
"),"#N/A")</f>
        <v>#N/A</v>
      </c>
      <c r="E352" s="26"/>
      <c r="F352" s="26"/>
      <c r="G352" s="24">
        <f t="shared" si="1"/>
        <v>0</v>
      </c>
      <c r="H352" s="19">
        <f>VLOOKUP(A352,Metrik!$C$2:$Y$959,8,0)</f>
        <v>15.9</v>
      </c>
      <c r="I352" s="20">
        <f>VLOOKUP(A352,Metrik!$C$2:$Y$959,9,0)</f>
        <v>0.83</v>
      </c>
      <c r="J352" s="20">
        <f>VLOOKUP(A352,Metrik!$C$2:$Y$959,10,0)</f>
        <v>5.2</v>
      </c>
      <c r="K352" s="20">
        <f>VLOOKUP(A352,Metrik!$C$2:$Y$959,11,0)</f>
        <v>2.4</v>
      </c>
      <c r="L352" s="20">
        <f>VLOOKUP(A352,Metrik!$C$2:$Y$959,12,0)</f>
        <v>1.2</v>
      </c>
      <c r="M352" s="20">
        <f>VLOOKUP(A352,Metrik!$C$2:$Y$959,19,0)</f>
        <v>29.5</v>
      </c>
      <c r="N352" s="21"/>
      <c r="O352" s="21"/>
      <c r="P352" s="21"/>
      <c r="Q352" s="21"/>
      <c r="R352" s="21"/>
      <c r="S352" s="21"/>
      <c r="T352" s="21"/>
      <c r="U352" s="22">
        <f>IFERROR(__xludf.DUMMYFUNCTION("IFERROR(GOOGLEFINANCE(A352,""closeyest""),"""")"),36.0)</f>
        <v>36</v>
      </c>
      <c r="V352" s="23">
        <f>IFERROR(__xludf.DUMMYFUNCTION("IFERROR(GOOGLEFINANCE(A352,""changepct""),"""")"),5.56)</f>
        <v>5.56</v>
      </c>
      <c r="W352" s="22">
        <f>IFERROR(__xludf.DUMMYFUNCTION("IFERROR(GOOGLEFINANCE(A352,""priceopen""),"""")"),39.0)</f>
        <v>39</v>
      </c>
      <c r="X352" s="22">
        <f>IFERROR(__xludf.DUMMYFUNCTION("IFERROR(GOOGLEFINANCE(A352,""high""),"""")"),39.0)</f>
        <v>39</v>
      </c>
      <c r="Y352" s="22">
        <f>IFERROR(__xludf.DUMMYFUNCTION("IFERROR(GOOGLEFINANCE(A352,""low""),"""")"),36.0)</f>
        <v>36</v>
      </c>
      <c r="Z352" s="22">
        <f>IFERROR(__xludf.DUMMYFUNCTION("IFERROR(GOOGLEFINANCE(A352,""volume""),"""")"),1.44487E7)</f>
        <v>14448700</v>
      </c>
      <c r="AA352" s="24" t="str">
        <f>VLOOKUP(A352,Metrik!$C$2:$Y$959,5,0)</f>
        <v>Logistics &amp; Deliveries</v>
      </c>
      <c r="AB352" s="24" t="str">
        <f>VLOOKUP(A352,Metrik!$C$2:$Y$959,3,0)</f>
        <v>Transportation &amp; Logistic</v>
      </c>
    </row>
    <row r="353">
      <c r="A353" s="14" t="s">
        <v>210</v>
      </c>
      <c r="B353" s="14" t="str">
        <f t="array" ref="B353">VLOOKUP(A353,{Metrik!$C$2:$C$998,Metrik!$B$2:$B$998},2,0)</f>
        <v>Graha Layar Prima Tbk.</v>
      </c>
      <c r="C353" s="15" t="str">
        <f>IFERROR(__xludf.DUMMYFUNCTION("GOOGLEFINANCE(""IDX:""&amp;A353,""price"")"),"#N/A")</f>
        <v>#N/A</v>
      </c>
      <c r="D353" s="16" t="str">
        <f>IFERROR(__xludf.DUMMYFUNCTION("IF(A353="""","""",
SPARKLINE(
INDEX(
GOOGLEFINANCE(""IDX:""&amp;A353,""close"",TODAY()-365,TODAY()),
,2
),
{""linewidth"",1}
))
"),"#N/A")</f>
        <v>#N/A</v>
      </c>
      <c r="E353" s="26"/>
      <c r="F353" s="26"/>
      <c r="G353" s="24">
        <f t="shared" si="1"/>
        <v>0</v>
      </c>
      <c r="H353" s="19">
        <f>VLOOKUP(A353,Metrik!$C$2:$Y$959,8,0)</f>
        <v>36.8</v>
      </c>
      <c r="I353" s="20">
        <f>VLOOKUP(A353,Metrik!$C$2:$Y$959,9,0)</f>
        <v>5.9</v>
      </c>
      <c r="J353" s="20">
        <f>VLOOKUP(A353,Metrik!$C$2:$Y$959,10,0)</f>
        <v>16.1</v>
      </c>
      <c r="K353" s="20">
        <f>VLOOKUP(A353,Metrik!$C$2:$Y$959,11,0)</f>
        <v>3.9</v>
      </c>
      <c r="L353" s="20">
        <f>VLOOKUP(A353,Metrik!$C$2:$Y$959,12,0)</f>
        <v>3.2</v>
      </c>
      <c r="M353" s="20">
        <f>VLOOKUP(A353,Metrik!$C$2:$Y$959,19,0)</f>
        <v>32</v>
      </c>
      <c r="N353" s="21"/>
      <c r="O353" s="21"/>
      <c r="P353" s="21"/>
      <c r="Q353" s="21"/>
      <c r="R353" s="21"/>
      <c r="S353" s="21"/>
      <c r="T353" s="21"/>
      <c r="U353" s="22">
        <f>IFERROR(__xludf.DUMMYFUNCTION("IFERROR(GOOGLEFINANCE(A353,""closeyest""),"""")"),2890.0)</f>
        <v>2890</v>
      </c>
      <c r="V353" s="23">
        <f>IFERROR(__xludf.DUMMYFUNCTION("IFERROR(GOOGLEFINANCE(A353,""changepct""),"""")"),0.0)</f>
        <v>0</v>
      </c>
      <c r="W353" s="22" t="str">
        <f>IFERROR(__xludf.DUMMYFUNCTION("IFERROR(GOOGLEFINANCE(A353,""priceopen""),"""")"),"")</f>
        <v/>
      </c>
      <c r="X353" s="22" t="str">
        <f>IFERROR(__xludf.DUMMYFUNCTION("IFERROR(GOOGLEFINANCE(A353,""high""),"""")"),"")</f>
        <v/>
      </c>
      <c r="Y353" s="22" t="str">
        <f>IFERROR(__xludf.DUMMYFUNCTION("IFERROR(GOOGLEFINANCE(A353,""low""),"""")"),"")</f>
        <v/>
      </c>
      <c r="Z353" s="22">
        <f>IFERROR(__xludf.DUMMYFUNCTION("IFERROR(GOOGLEFINANCE(A353,""volume""),"""")"),0.0)</f>
        <v>0</v>
      </c>
      <c r="AA353" s="24" t="str">
        <f>VLOOKUP(A353,Metrik!$C$2:$Y$959,5,0)</f>
        <v>Tourism &amp; Recreation</v>
      </c>
      <c r="AB353" s="24" t="str">
        <f>VLOOKUP(A353,Metrik!$C$2:$Y$959,3,0)</f>
        <v>Consumer Cyclicals</v>
      </c>
    </row>
    <row r="354">
      <c r="A354" s="14" t="s">
        <v>211</v>
      </c>
      <c r="B354" s="14" t="str">
        <f t="array" ref="B354">VLOOKUP(A354,{Metrik!$C$2:$C$998,Metrik!$B$2:$B$998},2,0)</f>
        <v>Berkah Prima Perkasa Tbk.</v>
      </c>
      <c r="C354" s="15">
        <f>IFERROR(__xludf.DUMMYFUNCTION("GOOGLEFINANCE(""IDX:""&amp;A354,""price"")"),3290.0)</f>
        <v>3290</v>
      </c>
      <c r="D354" s="16" t="str">
        <f>IFERROR(__xludf.DUMMYFUNCTION("IF(A354="""","""",
SPARKLINE(
INDEX(
GOOGLEFINANCE(""IDX:""&amp;A354,""close"",TODAY()-365,TODAY()),
,2
),
{""linewidth"",1}
))
"),"#N/A")</f>
        <v>#N/A</v>
      </c>
      <c r="E354" s="26"/>
      <c r="F354" s="26"/>
      <c r="G354" s="24">
        <f t="shared" si="1"/>
        <v>0</v>
      </c>
      <c r="H354" s="19">
        <f>VLOOKUP(A354,Metrik!$C$2:$Y$959,8,0)</f>
        <v>89.6</v>
      </c>
      <c r="I354" s="20">
        <f>VLOOKUP(A354,Metrik!$C$2:$Y$959,9,0)</f>
        <v>13.1</v>
      </c>
      <c r="J354" s="20">
        <f>VLOOKUP(A354,Metrik!$C$2:$Y$959,10,0)</f>
        <v>14.6</v>
      </c>
      <c r="K354" s="20">
        <f>VLOOKUP(A354,Metrik!$C$2:$Y$959,11,0)</f>
        <v>13.8</v>
      </c>
      <c r="L354" s="20">
        <f>VLOOKUP(A354,Metrik!$C$2:$Y$959,12,0)</f>
        <v>0.06</v>
      </c>
      <c r="M354" s="20">
        <f>VLOOKUP(A354,Metrik!$C$2:$Y$959,19,0)</f>
        <v>43.9</v>
      </c>
      <c r="N354" s="21"/>
      <c r="O354" s="21"/>
      <c r="P354" s="21"/>
      <c r="Q354" s="21"/>
      <c r="R354" s="21"/>
      <c r="S354" s="21"/>
      <c r="T354" s="21"/>
      <c r="U354" s="22">
        <f>IFERROR(__xludf.DUMMYFUNCTION("IFERROR(GOOGLEFINANCE(A354,""closeyest""),"""")"),17.98)</f>
        <v>17.98</v>
      </c>
      <c r="V354" s="23">
        <f>IFERROR(__xludf.DUMMYFUNCTION("IFERROR(GOOGLEFINANCE(A354,""changepct""),"""")"),0.56)</f>
        <v>0.56</v>
      </c>
      <c r="W354" s="22">
        <f>IFERROR(__xludf.DUMMYFUNCTION("IFERROR(GOOGLEFINANCE(A354,""priceopen""),"""")"),18.09)</f>
        <v>18.09</v>
      </c>
      <c r="X354" s="22">
        <f>IFERROR(__xludf.DUMMYFUNCTION("IFERROR(GOOGLEFINANCE(A354,""high""),"""")"),18.13)</f>
        <v>18.13</v>
      </c>
      <c r="Y354" s="22">
        <f>IFERROR(__xludf.DUMMYFUNCTION("IFERROR(GOOGLEFINANCE(A354,""low""),"""")"),17.99)</f>
        <v>17.99</v>
      </c>
      <c r="Z354" s="22">
        <f>IFERROR(__xludf.DUMMYFUNCTION("IFERROR(GOOGLEFINANCE(A354,""volume""),"""")"),19213.0)</f>
        <v>19213</v>
      </c>
      <c r="AA354" s="24" t="str">
        <f>VLOOKUP(A354,Metrik!$C$2:$Y$959,5,0)</f>
        <v>Commercial Services</v>
      </c>
      <c r="AB354" s="24" t="str">
        <f>VLOOKUP(A354,Metrik!$C$2:$Y$959,3,0)</f>
        <v>Industrials</v>
      </c>
    </row>
    <row r="355">
      <c r="A355" s="14" t="s">
        <v>212</v>
      </c>
      <c r="B355" s="14" t="str">
        <f t="array" ref="B355">VLOOKUP(A355,{Metrik!$C$2:$C$998,Metrik!$B$2:$B$998},2,0)</f>
        <v>PT Bank Maspion Indonesia Tbk.</v>
      </c>
      <c r="C355" s="15">
        <f>IFERROR(__xludf.DUMMYFUNCTION("GOOGLEFINANCE(""IDX:""&amp;A355,""price"")"),496.0)</f>
        <v>496</v>
      </c>
      <c r="D355" s="16" t="str">
        <f>IFERROR(__xludf.DUMMYFUNCTION("IF(A355="""","""",
SPARKLINE(
INDEX(
GOOGLEFINANCE(""IDX:""&amp;A355,""close"",TODAY()-365,TODAY()),
,2
),
{""linewidth"",1}
))
"),"#N/A")</f>
        <v>#N/A</v>
      </c>
      <c r="E355" s="26"/>
      <c r="F355" s="26"/>
      <c r="G355" s="24">
        <f t="shared" si="1"/>
        <v>0</v>
      </c>
      <c r="H355" s="19">
        <f>VLOOKUP(A355,Metrik!$C$2:$Y$959,8,0)</f>
        <v>2430</v>
      </c>
      <c r="I355" s="20">
        <f>VLOOKUP(A355,Metrik!$C$2:$Y$959,9,0)</f>
        <v>1.4</v>
      </c>
      <c r="J355" s="20">
        <f>VLOOKUP(A355,Metrik!$C$2:$Y$959,10,0)</f>
        <v>0.06</v>
      </c>
      <c r="K355" s="20">
        <f>VLOOKUP(A355,Metrik!$C$2:$Y$959,11,0)</f>
        <v>0.01</v>
      </c>
      <c r="L355" s="20">
        <f>VLOOKUP(A355,Metrik!$C$2:$Y$959,12,0)</f>
        <v>2.9</v>
      </c>
      <c r="M355" s="20">
        <f>VLOOKUP(A355,Metrik!$C$2:$Y$959,19,0)</f>
        <v>1.1</v>
      </c>
      <c r="N355" s="32">
        <v>3.85</v>
      </c>
      <c r="O355" s="32">
        <v>28.15</v>
      </c>
      <c r="P355" s="32">
        <v>84.4</v>
      </c>
      <c r="Q355" s="32">
        <v>2.12</v>
      </c>
      <c r="R355" s="32">
        <v>91.4</v>
      </c>
      <c r="S355" s="32">
        <v>65.15</v>
      </c>
      <c r="T355" s="32">
        <v>7.42</v>
      </c>
      <c r="U355" s="22">
        <f>IFERROR(__xludf.DUMMYFUNCTION("IFERROR(GOOGLEFINANCE(A355,""closeyest""),"""")"),466.0)</f>
        <v>466</v>
      </c>
      <c r="V355" s="23">
        <f>IFERROR(__xludf.DUMMYFUNCTION("IFERROR(GOOGLEFINANCE(A355,""changepct""),"""")"),6.44)</f>
        <v>6.44</v>
      </c>
      <c r="W355" s="22">
        <f>IFERROR(__xludf.DUMMYFUNCTION("IFERROR(GOOGLEFINANCE(A355,""priceopen""),"""")"),462.0)</f>
        <v>462</v>
      </c>
      <c r="X355" s="22">
        <f>IFERROR(__xludf.DUMMYFUNCTION("IFERROR(GOOGLEFINANCE(A355,""high""),"""")"),496.0)</f>
        <v>496</v>
      </c>
      <c r="Y355" s="22">
        <f>IFERROR(__xludf.DUMMYFUNCTION("IFERROR(GOOGLEFINANCE(A355,""low""),"""")"),462.0)</f>
        <v>462</v>
      </c>
      <c r="Z355" s="22">
        <f>IFERROR(__xludf.DUMMYFUNCTION("IFERROR(GOOGLEFINANCE(A355,""volume""),"""")"),21100.0)</f>
        <v>21100</v>
      </c>
      <c r="AA355" s="24" t="str">
        <f>VLOOKUP(A355,Metrik!$C$2:$Y$959,5,0)</f>
        <v>Banks</v>
      </c>
      <c r="AB355" s="24" t="str">
        <f>VLOOKUP(A355,Metrik!$C$2:$Y$959,3,0)</f>
        <v>Financials</v>
      </c>
    </row>
    <row r="356">
      <c r="A356" s="14" t="s">
        <v>213</v>
      </c>
      <c r="B356" s="14" t="str">
        <f t="array" ref="B356">VLOOKUP(A356,{Metrik!$C$2:$C$998,Metrik!$B$2:$B$998},2,0)</f>
        <v>PT Lavender Bina Cendikia Tbk</v>
      </c>
      <c r="C356" s="15">
        <f>IFERROR(__xludf.DUMMYFUNCTION("GOOGLEFINANCE(""IDX:""&amp;A356,""price"")"),33.0)</f>
        <v>33</v>
      </c>
      <c r="D356" s="16" t="str">
        <f>IFERROR(__xludf.DUMMYFUNCTION("IF(A356="""","""",
SPARKLINE(
INDEX(
GOOGLEFINANCE(""IDX:""&amp;A356,""close"",TODAY()-365,TODAY()),
,2
),
{""linewidth"",1}
))
"),"#N/A")</f>
        <v>#N/A</v>
      </c>
      <c r="E356" s="26"/>
      <c r="F356" s="26"/>
      <c r="G356" s="24">
        <f t="shared" si="1"/>
        <v>0</v>
      </c>
      <c r="H356" s="19">
        <f>VLOOKUP(A356,Metrik!$C$2:$Y$959,8,0)</f>
        <v>-15.5</v>
      </c>
      <c r="I356" s="20">
        <f>VLOOKUP(A356,Metrik!$C$2:$Y$959,9,0)</f>
        <v>0.5</v>
      </c>
      <c r="J356" s="20">
        <f>VLOOKUP(A356,Metrik!$C$2:$Y$959,10,0)</f>
        <v>-3.2</v>
      </c>
      <c r="K356" s="20">
        <f>VLOOKUP(A356,Metrik!$C$2:$Y$959,11,0)</f>
        <v>-3</v>
      </c>
      <c r="L356" s="20">
        <f>VLOOKUP(A356,Metrik!$C$2:$Y$959,12,0)</f>
        <v>0.07</v>
      </c>
      <c r="M356" s="20">
        <f>VLOOKUP(A356,Metrik!$C$2:$Y$959,19,0)</f>
        <v>-14.8</v>
      </c>
      <c r="N356" s="21"/>
      <c r="O356" s="21"/>
      <c r="P356" s="21"/>
      <c r="Q356" s="21"/>
      <c r="R356" s="21"/>
      <c r="S356" s="21"/>
      <c r="T356" s="21"/>
      <c r="U356" s="22">
        <f>IFERROR(__xludf.DUMMYFUNCTION("IFERROR(GOOGLEFINANCE(A356,""closeyest""),"""")"),2.73)</f>
        <v>2.73</v>
      </c>
      <c r="V356" s="23">
        <f>IFERROR(__xludf.DUMMYFUNCTION("IFERROR(GOOGLEFINANCE(A356,""changepct""),"""")"),-0.37)</f>
        <v>-0.37</v>
      </c>
      <c r="W356" s="22">
        <f>IFERROR(__xludf.DUMMYFUNCTION("IFERROR(GOOGLEFINANCE(A356,""priceopen""),"""")"),2.75)</f>
        <v>2.75</v>
      </c>
      <c r="X356" s="22">
        <f>IFERROR(__xludf.DUMMYFUNCTION("IFERROR(GOOGLEFINANCE(A356,""high""),"""")"),2.76)</f>
        <v>2.76</v>
      </c>
      <c r="Y356" s="22">
        <f>IFERROR(__xludf.DUMMYFUNCTION("IFERROR(GOOGLEFINANCE(A356,""low""),"""")"),2.7)</f>
        <v>2.7</v>
      </c>
      <c r="Z356" s="22">
        <f>IFERROR(__xludf.DUMMYFUNCTION("IFERROR(GOOGLEFINANCE(A356,""volume""),"""")"),1776866.0)</f>
        <v>1776866</v>
      </c>
      <c r="AA356" s="24" t="str">
        <f>VLOOKUP(A356,Metrik!$C$2:$Y$959,5,0)</f>
        <v>Education &amp; Support Services</v>
      </c>
      <c r="AB356" s="24" t="str">
        <f>VLOOKUP(A356,Metrik!$C$2:$Y$959,3,0)</f>
        <v>Consumer Cyclicals</v>
      </c>
    </row>
    <row r="357">
      <c r="A357" s="14" t="s">
        <v>214</v>
      </c>
      <c r="B357" s="14" t="str">
        <f t="array" ref="B357">VLOOKUP(A357,{Metrik!$C$2:$C$998,Metrik!$B$2:$B$998},2,0)</f>
        <v>Bundamedik Tbk.</v>
      </c>
      <c r="C357" s="15">
        <f>IFERROR(__xludf.DUMMYFUNCTION("GOOGLEFINANCE(""IDX:""&amp;A357,""price"")"),180.0)</f>
        <v>180</v>
      </c>
      <c r="D357" s="16" t="str">
        <f>IFERROR(__xludf.DUMMYFUNCTION("IF(A357="""","""",
SPARKLINE(
INDEX(
GOOGLEFINANCE(""IDX:""&amp;A357,""close"",TODAY()-365,TODAY()),
,2
),
{""linewidth"",1}
))
"),"#N/A")</f>
        <v>#N/A</v>
      </c>
      <c r="E357" s="26"/>
      <c r="F357" s="26"/>
      <c r="G357" s="24">
        <f t="shared" si="1"/>
        <v>0</v>
      </c>
      <c r="H357" s="19">
        <f>VLOOKUP(A357,Metrik!$C$2:$Y$959,8,0)</f>
        <v>170</v>
      </c>
      <c r="I357" s="20">
        <f>VLOOKUP(A357,Metrik!$C$2:$Y$959,9,0)</f>
        <v>0.66</v>
      </c>
      <c r="J357" s="20">
        <f>VLOOKUP(A357,Metrik!$C$2:$Y$959,10,0)</f>
        <v>0.38</v>
      </c>
      <c r="K357" s="20">
        <f>VLOOKUP(A357,Metrik!$C$2:$Y$959,11,0)</f>
        <v>0.23</v>
      </c>
      <c r="L357" s="20">
        <f>VLOOKUP(A357,Metrik!$C$2:$Y$959,12,0)</f>
        <v>0.69</v>
      </c>
      <c r="M357" s="20">
        <f>VLOOKUP(A357,Metrik!$C$2:$Y$959,19,0)</f>
        <v>2.5</v>
      </c>
      <c r="N357" s="21"/>
      <c r="O357" s="21"/>
      <c r="P357" s="21"/>
      <c r="Q357" s="21"/>
      <c r="R357" s="21"/>
      <c r="S357" s="21"/>
      <c r="T357" s="21"/>
      <c r="U357" s="22">
        <f>IFERROR(__xludf.DUMMYFUNCTION("IFERROR(GOOGLEFINANCE(A357,""closeyest""),"""")"),174.0)</f>
        <v>174</v>
      </c>
      <c r="V357" s="23">
        <f>IFERROR(__xludf.DUMMYFUNCTION("IFERROR(GOOGLEFINANCE(A357,""changepct""),"""")"),3.45)</f>
        <v>3.45</v>
      </c>
      <c r="W357" s="22">
        <f>IFERROR(__xludf.DUMMYFUNCTION("IFERROR(GOOGLEFINANCE(A357,""priceopen""),"""")"),177.0)</f>
        <v>177</v>
      </c>
      <c r="X357" s="22">
        <f>IFERROR(__xludf.DUMMYFUNCTION("IFERROR(GOOGLEFINANCE(A357,""high""),"""")"),181.0)</f>
        <v>181</v>
      </c>
      <c r="Y357" s="22">
        <f>IFERROR(__xludf.DUMMYFUNCTION("IFERROR(GOOGLEFINANCE(A357,""low""),"""")"),175.0)</f>
        <v>175</v>
      </c>
      <c r="Z357" s="22">
        <f>IFERROR(__xludf.DUMMYFUNCTION("IFERROR(GOOGLEFINANCE(A357,""volume""),"""")"),380100.0)</f>
        <v>380100</v>
      </c>
      <c r="AA357" s="24" t="str">
        <f>VLOOKUP(A357,Metrik!$C$2:$Y$959,5,0)</f>
        <v>Healthcare Providers</v>
      </c>
      <c r="AB357" s="24" t="str">
        <f>VLOOKUP(A357,Metrik!$C$2:$Y$959,3,0)</f>
        <v>Healthcare</v>
      </c>
    </row>
    <row r="358">
      <c r="A358" s="14" t="s">
        <v>215</v>
      </c>
      <c r="B358" s="14" t="str">
        <f t="array" ref="B358">VLOOKUP(A358,{Metrik!$C$2:$C$998,Metrik!$B$2:$B$998},2,0)</f>
        <v>Bank Mandiri (Persero) Tbk.</v>
      </c>
      <c r="C358" s="15">
        <f>IFERROR(__xludf.DUMMYFUNCTION("GOOGLEFINANCE(""IDX:""&amp;A358,""price"")"),4200.0)</f>
        <v>4200</v>
      </c>
      <c r="D358" s="16" t="str">
        <f>IFERROR(__xludf.DUMMYFUNCTION("IF(A358="""","""",
SPARKLINE(
INDEX(
GOOGLEFINANCE(""IDX:""&amp;A358,""close"",TODAY()-365,TODAY()),
,2
),
{""linewidth"",1}
))
"),"#N/A")</f>
        <v>#N/A</v>
      </c>
      <c r="E358" s="14" t="s">
        <v>47</v>
      </c>
      <c r="F358" s="25">
        <v>46356.0</v>
      </c>
      <c r="G358" s="24">
        <f t="shared" si="1"/>
        <v>23</v>
      </c>
      <c r="H358" s="19">
        <f>VLOOKUP(A358,Metrik!$C$2:$Y$959,8,0)</f>
        <v>6.5</v>
      </c>
      <c r="I358" s="20">
        <f>VLOOKUP(A358,Metrik!$C$2:$Y$959,9,0)</f>
        <v>1.2</v>
      </c>
      <c r="J358" s="20">
        <f>VLOOKUP(A358,Metrik!$C$2:$Y$959,10,0)</f>
        <v>18.6</v>
      </c>
      <c r="K358" s="20">
        <f>VLOOKUP(A358,Metrik!$C$2:$Y$959,11,0)</f>
        <v>2.4</v>
      </c>
      <c r="L358" s="20">
        <f>VLOOKUP(A358,Metrik!$C$2:$Y$959,12,0)</f>
        <v>6.8</v>
      </c>
      <c r="M358" s="20">
        <f>VLOOKUP(A358,Metrik!$C$2:$Y$959,19,0)</f>
        <v>130</v>
      </c>
      <c r="N358" s="44">
        <v>4.93</v>
      </c>
      <c r="O358" s="44">
        <v>20.1</v>
      </c>
      <c r="P358" s="44">
        <v>98.04</v>
      </c>
      <c r="Q358" s="44">
        <v>0.97</v>
      </c>
      <c r="R358" s="44">
        <v>56.46</v>
      </c>
      <c r="S358" s="44">
        <v>35.04</v>
      </c>
      <c r="T358" s="44">
        <v>6.81</v>
      </c>
      <c r="U358" s="22">
        <f>IFERROR(__xludf.DUMMYFUNCTION("IFERROR(GOOGLEFINANCE(A358,""closeyest""),"""")"),4250.0)</f>
        <v>4250</v>
      </c>
      <c r="V358" s="23">
        <f>IFERROR(__xludf.DUMMYFUNCTION("IFERROR(GOOGLEFINANCE(A358,""changepct""),"""")"),-1.18)</f>
        <v>-1.18</v>
      </c>
      <c r="W358" s="22">
        <f>IFERROR(__xludf.DUMMYFUNCTION("IFERROR(GOOGLEFINANCE(A358,""priceopen""),"""")"),4320.0)</f>
        <v>4320</v>
      </c>
      <c r="X358" s="22">
        <f>IFERROR(__xludf.DUMMYFUNCTION("IFERROR(GOOGLEFINANCE(A358,""high""),"""")"),4320.0)</f>
        <v>4320</v>
      </c>
      <c r="Y358" s="22">
        <f>IFERROR(__xludf.DUMMYFUNCTION("IFERROR(GOOGLEFINANCE(A358,""low""),"""")"),4200.0)</f>
        <v>4200</v>
      </c>
      <c r="Z358" s="22" t="str">
        <f>IFERROR(__xludf.DUMMYFUNCTION("IFERROR(GOOGLEFINANCE(A358,""volume""),"""")"),"")</f>
        <v/>
      </c>
      <c r="AA358" s="24" t="str">
        <f>VLOOKUP(A358,Metrik!$C$2:$Y$959,5,0)</f>
        <v>Banks</v>
      </c>
      <c r="AB358" s="24" t="str">
        <f>VLOOKUP(A358,Metrik!$C$2:$Y$959,3,0)</f>
        <v>Financials</v>
      </c>
    </row>
    <row r="359">
      <c r="A359" s="14" t="s">
        <v>215</v>
      </c>
      <c r="B359" s="14" t="str">
        <f t="array" ref="B359">VLOOKUP(A359,{Metrik!$C$2:$C$998,Metrik!$B$2:$B$998},2,0)</f>
        <v>Bank Mandiri (Persero) Tbk.</v>
      </c>
      <c r="C359" s="15">
        <f>IFERROR(__xludf.DUMMYFUNCTION("GOOGLEFINANCE(""IDX:""&amp;A359,""price"")"),4200.0)</f>
        <v>4200</v>
      </c>
      <c r="D359" s="16" t="str">
        <f>IFERROR(__xludf.DUMMYFUNCTION("IF(A359="""","""",
SPARKLINE(
INDEX(
GOOGLEFINANCE(""IDX:""&amp;A359,""close"",TODAY()-365,TODAY()),
,2
),
{""linewidth"",1}
))
"),"#N/A")</f>
        <v>#N/A</v>
      </c>
      <c r="E359" s="14" t="s">
        <v>55</v>
      </c>
      <c r="F359" s="25">
        <v>46356.0</v>
      </c>
      <c r="G359" s="24">
        <f t="shared" si="1"/>
        <v>23</v>
      </c>
      <c r="H359" s="19">
        <f>VLOOKUP(A359,Metrik!$C$2:$Y$959,8,0)</f>
        <v>6.5</v>
      </c>
      <c r="I359" s="20">
        <f>VLOOKUP(A359,Metrik!$C$2:$Y$959,9,0)</f>
        <v>1.2</v>
      </c>
      <c r="J359" s="20">
        <f>VLOOKUP(A359,Metrik!$C$2:$Y$959,10,0)</f>
        <v>18.6</v>
      </c>
      <c r="K359" s="20">
        <f>VLOOKUP(A359,Metrik!$C$2:$Y$959,11,0)</f>
        <v>2.4</v>
      </c>
      <c r="L359" s="20">
        <f>VLOOKUP(A359,Metrik!$C$2:$Y$959,12,0)</f>
        <v>6.8</v>
      </c>
      <c r="M359" s="20">
        <f>VLOOKUP(A359,Metrik!$C$2:$Y$959,19,0)</f>
        <v>130</v>
      </c>
      <c r="N359" s="44">
        <v>4.93</v>
      </c>
      <c r="O359" s="44">
        <v>20.1</v>
      </c>
      <c r="P359" s="44">
        <v>98.04</v>
      </c>
      <c r="Q359" s="44">
        <v>0.97</v>
      </c>
      <c r="R359" s="44">
        <v>56.46</v>
      </c>
      <c r="S359" s="44">
        <v>35.04</v>
      </c>
      <c r="T359" s="44">
        <v>6.81</v>
      </c>
      <c r="U359" s="22">
        <f>IFERROR(__xludf.DUMMYFUNCTION("IFERROR(GOOGLEFINANCE(A359,""closeyest""),"""")"),4250.0)</f>
        <v>4250</v>
      </c>
      <c r="V359" s="23">
        <f>IFERROR(__xludf.DUMMYFUNCTION("IFERROR(GOOGLEFINANCE(A359,""changepct""),"""")"),-1.18)</f>
        <v>-1.18</v>
      </c>
      <c r="W359" s="22">
        <f>IFERROR(__xludf.DUMMYFUNCTION("IFERROR(GOOGLEFINANCE(A359,""priceopen""),"""")"),4320.0)</f>
        <v>4320</v>
      </c>
      <c r="X359" s="22">
        <f>IFERROR(__xludf.DUMMYFUNCTION("IFERROR(GOOGLEFINANCE(A359,""high""),"""")"),4320.0)</f>
        <v>4320</v>
      </c>
      <c r="Y359" s="22">
        <f>IFERROR(__xludf.DUMMYFUNCTION("IFERROR(GOOGLEFINANCE(A359,""low""),"""")"),4200.0)</f>
        <v>4200</v>
      </c>
      <c r="Z359" s="22" t="str">
        <f>IFERROR(__xludf.DUMMYFUNCTION("IFERROR(GOOGLEFINANCE(A359,""volume""),"""")"),"")</f>
        <v/>
      </c>
      <c r="AA359" s="24" t="str">
        <f>VLOOKUP(A359,Metrik!$C$2:$Y$959,5,0)</f>
        <v>Banks</v>
      </c>
      <c r="AB359" s="24" t="str">
        <f>VLOOKUP(A359,Metrik!$C$2:$Y$959,3,0)</f>
        <v>Financials</v>
      </c>
    </row>
    <row r="360">
      <c r="A360" s="17" t="s">
        <v>215</v>
      </c>
      <c r="B360" s="14" t="str">
        <f t="array" ref="B360">VLOOKUP(A360,{Metrik!$C$2:$C$998,Metrik!$B$2:$B$998},2,0)</f>
        <v>Bank Mandiri (Persero) Tbk.</v>
      </c>
      <c r="C360" s="15">
        <f>IFERROR(__xludf.DUMMYFUNCTION("GOOGLEFINANCE(""IDX:""&amp;A360,""price"")"),4200.0)</f>
        <v>4200</v>
      </c>
      <c r="D360" s="16" t="str">
        <f>IFERROR(__xludf.DUMMYFUNCTION("IF(A360="""","""",
SPARKLINE(
INDEX(
GOOGLEFINANCE(""IDX:""&amp;A360,""close"",TODAY()-365,TODAY()),
,2
),
{""linewidth"",1}
))
"),"#N/A")</f>
        <v>#N/A</v>
      </c>
      <c r="E360" s="17" t="s">
        <v>69</v>
      </c>
      <c r="F360" s="27" t="s">
        <v>70</v>
      </c>
      <c r="G360" s="38">
        <f t="shared" si="1"/>
        <v>23</v>
      </c>
      <c r="H360" s="34">
        <f>VLOOKUP(A360,Metrik!$C$2:$Y$959,8,0)</f>
        <v>6.5</v>
      </c>
      <c r="I360" s="34">
        <f>VLOOKUP(A360,Metrik!$C$2:$Y$959,9,0)</f>
        <v>1.2</v>
      </c>
      <c r="J360" s="34">
        <f>VLOOKUP(A360,Metrik!$C$2:$Y$959,10,0)</f>
        <v>18.6</v>
      </c>
      <c r="K360" s="34">
        <f>VLOOKUP(A360,Metrik!$C$2:$Y$959,11,0)</f>
        <v>2.4</v>
      </c>
      <c r="L360" s="34">
        <f>VLOOKUP(A360,Metrik!$C$2:$Y$959,12,0)</f>
        <v>6.8</v>
      </c>
      <c r="M360" s="34">
        <f>VLOOKUP(A360,Metrik!$C$2:$Y$959,19,0)</f>
        <v>130</v>
      </c>
      <c r="N360" s="44">
        <v>4.93</v>
      </c>
      <c r="O360" s="44">
        <v>20.1</v>
      </c>
      <c r="P360" s="44">
        <v>98.04</v>
      </c>
      <c r="Q360" s="44">
        <v>0.97</v>
      </c>
      <c r="R360" s="44">
        <v>56.46</v>
      </c>
      <c r="S360" s="44">
        <v>35.04</v>
      </c>
      <c r="T360" s="44">
        <v>6.81</v>
      </c>
      <c r="U360" s="35">
        <f>IFERROR(__xludf.DUMMYFUNCTION("IFERROR(GOOGLEFINANCE(A360,""closeyest""),"""")"),4250.0)</f>
        <v>4250</v>
      </c>
      <c r="V360" s="36">
        <f>IFERROR(__xludf.DUMMYFUNCTION("IFERROR(GOOGLEFINANCE(A360,""changepct""),"""")"),-1.18)</f>
        <v>-1.18</v>
      </c>
      <c r="W360" s="35">
        <f>IFERROR(__xludf.DUMMYFUNCTION("IFERROR(GOOGLEFINANCE(A360,""priceopen""),"""")"),4320.0)</f>
        <v>4320</v>
      </c>
      <c r="X360" s="35">
        <f>IFERROR(__xludf.DUMMYFUNCTION("IFERROR(GOOGLEFINANCE(A360,""high""),"""")"),4320.0)</f>
        <v>4320</v>
      </c>
      <c r="Y360" s="35">
        <f>IFERROR(__xludf.DUMMYFUNCTION("IFERROR(GOOGLEFINANCE(A360,""low""),"""")"),4200.0)</f>
        <v>4200</v>
      </c>
      <c r="Z360" s="35" t="str">
        <f>IFERROR(__xludf.DUMMYFUNCTION("IFERROR(GOOGLEFINANCE(A360,""volume""),"""")"),"")</f>
        <v/>
      </c>
      <c r="AA360" s="14" t="str">
        <f>VLOOKUP(A360,Metrik!$C$2:$Y$959,5,0)</f>
        <v>Banks</v>
      </c>
      <c r="AB360" s="14" t="str">
        <f>VLOOKUP(A360,Metrik!$C$2:$Y$959,3,0)</f>
        <v>Financials</v>
      </c>
    </row>
    <row r="361">
      <c r="A361" s="17" t="s">
        <v>215</v>
      </c>
      <c r="B361" s="14" t="str">
        <f t="array" ref="B361">VLOOKUP(A361,{Metrik!$C$2:$C$998,Metrik!$B$2:$B$998},2,0)</f>
        <v>Bank Mandiri (Persero) Tbk.</v>
      </c>
      <c r="C361" s="15">
        <f>IFERROR(__xludf.DUMMYFUNCTION("GOOGLEFINANCE(""IDX:""&amp;A361,""price"")"),4200.0)</f>
        <v>4200</v>
      </c>
      <c r="D361" s="16" t="str">
        <f>IFERROR(__xludf.DUMMYFUNCTION("IF(A361="""","""",
SPARKLINE(
INDEX(
GOOGLEFINANCE(""IDX:""&amp;A361,""close"",TODAY()-365,TODAY()),
,2
),
{""linewidth"",1}
))
"),"#N/A")</f>
        <v>#N/A</v>
      </c>
      <c r="E361" s="14" t="s">
        <v>128</v>
      </c>
      <c r="F361" s="17" t="s">
        <v>36</v>
      </c>
      <c r="G361" s="24">
        <f t="shared" si="1"/>
        <v>23</v>
      </c>
      <c r="H361" s="19">
        <f>VLOOKUP(A361,Metrik!$C$2:$Y$959,8,0)</f>
        <v>6.5</v>
      </c>
      <c r="I361" s="20">
        <f>VLOOKUP(A361,Metrik!$C$2:$Y$959,9,0)</f>
        <v>1.2</v>
      </c>
      <c r="J361" s="20">
        <f>VLOOKUP(A361,Metrik!$C$2:$Y$959,10,0)</f>
        <v>18.6</v>
      </c>
      <c r="K361" s="20">
        <f>VLOOKUP(A361,Metrik!$C$2:$Y$959,11,0)</f>
        <v>2.4</v>
      </c>
      <c r="L361" s="20">
        <f>VLOOKUP(A361,Metrik!$C$2:$Y$959,12,0)</f>
        <v>6.8</v>
      </c>
      <c r="M361" s="20">
        <f>VLOOKUP(A361,Metrik!$C$2:$Y$959,19,0)</f>
        <v>130</v>
      </c>
      <c r="N361" s="44">
        <v>4.93</v>
      </c>
      <c r="O361" s="44">
        <v>20.1</v>
      </c>
      <c r="P361" s="44">
        <v>98.04</v>
      </c>
      <c r="Q361" s="44">
        <v>0.97</v>
      </c>
      <c r="R361" s="44">
        <v>56.46</v>
      </c>
      <c r="S361" s="44">
        <v>35.04</v>
      </c>
      <c r="T361" s="44">
        <v>6.81</v>
      </c>
      <c r="U361" s="22">
        <f>IFERROR(__xludf.DUMMYFUNCTION("IFERROR(GOOGLEFINANCE(A361,""closeyest""),"""")"),4250.0)</f>
        <v>4250</v>
      </c>
      <c r="V361" s="23">
        <f>IFERROR(__xludf.DUMMYFUNCTION("IFERROR(GOOGLEFINANCE(A361,""changepct""),"""")"),-1.18)</f>
        <v>-1.18</v>
      </c>
      <c r="W361" s="22">
        <f>IFERROR(__xludf.DUMMYFUNCTION("IFERROR(GOOGLEFINANCE(A361,""priceopen""),"""")"),4320.0)</f>
        <v>4320</v>
      </c>
      <c r="X361" s="22">
        <f>IFERROR(__xludf.DUMMYFUNCTION("IFERROR(GOOGLEFINANCE(A361,""high""),"""")"),4320.0)</f>
        <v>4320</v>
      </c>
      <c r="Y361" s="22">
        <f>IFERROR(__xludf.DUMMYFUNCTION("IFERROR(GOOGLEFINANCE(A361,""low""),"""")"),4200.0)</f>
        <v>4200</v>
      </c>
      <c r="Z361" s="22" t="str">
        <f>IFERROR(__xludf.DUMMYFUNCTION("IFERROR(GOOGLEFINANCE(A361,""volume""),"""")"),"")</f>
        <v/>
      </c>
      <c r="AA361" s="24" t="str">
        <f>VLOOKUP(A361,Metrik!$C$2:$Y$959,5,0)</f>
        <v>Banks</v>
      </c>
      <c r="AB361" s="24" t="str">
        <f>VLOOKUP(A361,Metrik!$C$2:$Y$959,3,0)</f>
        <v>Financials</v>
      </c>
    </row>
    <row r="362">
      <c r="A362" s="14" t="s">
        <v>215</v>
      </c>
      <c r="B362" s="14" t="str">
        <f t="array" ref="B362">VLOOKUP(A362,{Metrik!$C$2:$C$998,Metrik!$B$2:$B$998},2,0)</f>
        <v>Bank Mandiri (Persero) Tbk.</v>
      </c>
      <c r="C362" s="15">
        <f>IFERROR(__xludf.DUMMYFUNCTION("GOOGLEFINANCE(""IDX:""&amp;A362,""price"")"),4200.0)</f>
        <v>4200</v>
      </c>
      <c r="D362" s="16" t="str">
        <f>IFERROR(__xludf.DUMMYFUNCTION("IF(A362="""","""",
SPARKLINE(
INDEX(
GOOGLEFINANCE(""IDX:""&amp;A362,""close"",TODAY()-365,TODAY()),
,2
),
{""linewidth"",1}
))
"),"#N/A")</f>
        <v>#N/A</v>
      </c>
      <c r="E362" s="14" t="s">
        <v>54</v>
      </c>
      <c r="F362" s="14" t="s">
        <v>34</v>
      </c>
      <c r="G362" s="24">
        <f t="shared" si="1"/>
        <v>23</v>
      </c>
      <c r="H362" s="19">
        <f>VLOOKUP(A362,Metrik!$C$2:$Y$959,8,0)</f>
        <v>6.5</v>
      </c>
      <c r="I362" s="20">
        <f>VLOOKUP(A362,Metrik!$C$2:$Y$959,9,0)</f>
        <v>1.2</v>
      </c>
      <c r="J362" s="20">
        <f>VLOOKUP(A362,Metrik!$C$2:$Y$959,10,0)</f>
        <v>18.6</v>
      </c>
      <c r="K362" s="20">
        <f>VLOOKUP(A362,Metrik!$C$2:$Y$959,11,0)</f>
        <v>2.4</v>
      </c>
      <c r="L362" s="20">
        <f>VLOOKUP(A362,Metrik!$C$2:$Y$959,12,0)</f>
        <v>6.8</v>
      </c>
      <c r="M362" s="20">
        <f>VLOOKUP(A362,Metrik!$C$2:$Y$959,19,0)</f>
        <v>130</v>
      </c>
      <c r="N362" s="44">
        <v>4.93</v>
      </c>
      <c r="O362" s="44">
        <v>20.1</v>
      </c>
      <c r="P362" s="44">
        <v>98.04</v>
      </c>
      <c r="Q362" s="44">
        <v>0.97</v>
      </c>
      <c r="R362" s="44">
        <v>56.46</v>
      </c>
      <c r="S362" s="44">
        <v>35.04</v>
      </c>
      <c r="T362" s="44">
        <v>6.81</v>
      </c>
      <c r="U362" s="22">
        <f>IFERROR(__xludf.DUMMYFUNCTION("IFERROR(GOOGLEFINANCE(A362,""closeyest""),"""")"),4250.0)</f>
        <v>4250</v>
      </c>
      <c r="V362" s="23">
        <f>IFERROR(__xludf.DUMMYFUNCTION("IFERROR(GOOGLEFINANCE(A362,""changepct""),"""")"),-1.18)</f>
        <v>-1.18</v>
      </c>
      <c r="W362" s="22">
        <f>IFERROR(__xludf.DUMMYFUNCTION("IFERROR(GOOGLEFINANCE(A362,""priceopen""),"""")"),4320.0)</f>
        <v>4320</v>
      </c>
      <c r="X362" s="22">
        <f>IFERROR(__xludf.DUMMYFUNCTION("IFERROR(GOOGLEFINANCE(A362,""high""),"""")"),4320.0)</f>
        <v>4320</v>
      </c>
      <c r="Y362" s="22">
        <f>IFERROR(__xludf.DUMMYFUNCTION("IFERROR(GOOGLEFINANCE(A362,""low""),"""")"),4200.0)</f>
        <v>4200</v>
      </c>
      <c r="Z362" s="22" t="str">
        <f>IFERROR(__xludf.DUMMYFUNCTION("IFERROR(GOOGLEFINANCE(A362,""volume""),"""")"),"")</f>
        <v/>
      </c>
      <c r="AA362" s="24" t="str">
        <f>VLOOKUP(A362,Metrik!$C$2:$Y$959,5,0)</f>
        <v>Banks</v>
      </c>
      <c r="AB362" s="24" t="str">
        <f>VLOOKUP(A362,Metrik!$C$2:$Y$959,3,0)</f>
        <v>Financials</v>
      </c>
    </row>
    <row r="363">
      <c r="A363" s="14" t="s">
        <v>215</v>
      </c>
      <c r="B363" s="14" t="str">
        <f t="array" ref="B363">VLOOKUP(A363,{Metrik!$C$2:$C$998,Metrik!$B$2:$B$998},2,0)</f>
        <v>Bank Mandiri (Persero) Tbk.</v>
      </c>
      <c r="C363" s="15">
        <f>IFERROR(__xludf.DUMMYFUNCTION("GOOGLEFINANCE(""IDX:""&amp;A363,""price"")"),4200.0)</f>
        <v>4200</v>
      </c>
      <c r="D363" s="16" t="str">
        <f>IFERROR(__xludf.DUMMYFUNCTION("IF(A363="""","""",
SPARKLINE(
INDEX(
GOOGLEFINANCE(""IDX:""&amp;A363,""close"",TODAY()-365,TODAY()),
,2
),
{""linewidth"",1}
))
"),"#N/A")</f>
        <v>#N/A</v>
      </c>
      <c r="E363" s="14" t="s">
        <v>68</v>
      </c>
      <c r="F363" s="14" t="s">
        <v>34</v>
      </c>
      <c r="G363" s="24">
        <f t="shared" si="1"/>
        <v>23</v>
      </c>
      <c r="H363" s="19">
        <f>VLOOKUP(A363,Metrik!$C$2:$Y$959,8,0)</f>
        <v>6.5</v>
      </c>
      <c r="I363" s="20">
        <f>VLOOKUP(A363,Metrik!$C$2:$Y$959,9,0)</f>
        <v>1.2</v>
      </c>
      <c r="J363" s="20">
        <f>VLOOKUP(A363,Metrik!$C$2:$Y$959,10,0)</f>
        <v>18.6</v>
      </c>
      <c r="K363" s="20">
        <f>VLOOKUP(A363,Metrik!$C$2:$Y$959,11,0)</f>
        <v>2.4</v>
      </c>
      <c r="L363" s="20">
        <f>VLOOKUP(A363,Metrik!$C$2:$Y$959,12,0)</f>
        <v>6.8</v>
      </c>
      <c r="M363" s="20">
        <f>VLOOKUP(A363,Metrik!$C$2:$Y$959,19,0)</f>
        <v>130</v>
      </c>
      <c r="N363" s="44">
        <v>4.93</v>
      </c>
      <c r="O363" s="44">
        <v>20.1</v>
      </c>
      <c r="P363" s="44">
        <v>98.04</v>
      </c>
      <c r="Q363" s="44">
        <v>0.97</v>
      </c>
      <c r="R363" s="44">
        <v>56.46</v>
      </c>
      <c r="S363" s="44">
        <v>35.04</v>
      </c>
      <c r="T363" s="44">
        <v>6.81</v>
      </c>
      <c r="U363" s="22">
        <f>IFERROR(__xludf.DUMMYFUNCTION("IFERROR(GOOGLEFINANCE(A363,""closeyest""),"""")"),4250.0)</f>
        <v>4250</v>
      </c>
      <c r="V363" s="23">
        <f>IFERROR(__xludf.DUMMYFUNCTION("IFERROR(GOOGLEFINANCE(A363,""changepct""),"""")"),-1.18)</f>
        <v>-1.18</v>
      </c>
      <c r="W363" s="22">
        <f>IFERROR(__xludf.DUMMYFUNCTION("IFERROR(GOOGLEFINANCE(A363,""priceopen""),"""")"),4320.0)</f>
        <v>4320</v>
      </c>
      <c r="X363" s="22">
        <f>IFERROR(__xludf.DUMMYFUNCTION("IFERROR(GOOGLEFINANCE(A363,""high""),"""")"),4320.0)</f>
        <v>4320</v>
      </c>
      <c r="Y363" s="22">
        <f>IFERROR(__xludf.DUMMYFUNCTION("IFERROR(GOOGLEFINANCE(A363,""low""),"""")"),4200.0)</f>
        <v>4200</v>
      </c>
      <c r="Z363" s="22" t="str">
        <f>IFERROR(__xludf.DUMMYFUNCTION("IFERROR(GOOGLEFINANCE(A363,""volume""),"""")"),"")</f>
        <v/>
      </c>
      <c r="AA363" s="24" t="str">
        <f>VLOOKUP(A363,Metrik!$C$2:$Y$959,5,0)</f>
        <v>Banks</v>
      </c>
      <c r="AB363" s="24" t="str">
        <f>VLOOKUP(A363,Metrik!$C$2:$Y$959,3,0)</f>
        <v>Financials</v>
      </c>
    </row>
    <row r="364">
      <c r="A364" s="14" t="s">
        <v>215</v>
      </c>
      <c r="B364" s="14" t="str">
        <f t="array" ref="B364">VLOOKUP(A364,{Metrik!$C$2:$C$998,Metrik!$B$2:$B$998},2,0)</f>
        <v>Bank Mandiri (Persero) Tbk.</v>
      </c>
      <c r="C364" s="15">
        <f>IFERROR(__xludf.DUMMYFUNCTION("GOOGLEFINANCE(""IDX:""&amp;A364,""price"")"),4200.0)</f>
        <v>4200</v>
      </c>
      <c r="D364" s="16" t="str">
        <f>IFERROR(__xludf.DUMMYFUNCTION("IF(A364="""","""",
SPARKLINE(
INDEX(
GOOGLEFINANCE(""IDX:""&amp;A364,""close"",TODAY()-365,TODAY()),
,2
),
{""linewidth"",1}
))
"),"#N/A")</f>
        <v>#N/A</v>
      </c>
      <c r="E364" s="14" t="s">
        <v>75</v>
      </c>
      <c r="F364" s="14" t="s">
        <v>76</v>
      </c>
      <c r="G364" s="24">
        <f t="shared" si="1"/>
        <v>23</v>
      </c>
      <c r="H364" s="19">
        <f>VLOOKUP(A364,Metrik!$C$2:$Y$959,8,0)</f>
        <v>6.5</v>
      </c>
      <c r="I364" s="20">
        <f>VLOOKUP(A364,Metrik!$C$2:$Y$959,9,0)</f>
        <v>1.2</v>
      </c>
      <c r="J364" s="20">
        <f>VLOOKUP(A364,Metrik!$C$2:$Y$959,10,0)</f>
        <v>18.6</v>
      </c>
      <c r="K364" s="20">
        <f>VLOOKUP(A364,Metrik!$C$2:$Y$959,11,0)</f>
        <v>2.4</v>
      </c>
      <c r="L364" s="20">
        <f>VLOOKUP(A364,Metrik!$C$2:$Y$959,12,0)</f>
        <v>6.8</v>
      </c>
      <c r="M364" s="20">
        <f>VLOOKUP(A364,Metrik!$C$2:$Y$959,19,0)</f>
        <v>130</v>
      </c>
      <c r="N364" s="44">
        <v>4.93</v>
      </c>
      <c r="O364" s="44">
        <v>20.1</v>
      </c>
      <c r="P364" s="44">
        <v>98.04</v>
      </c>
      <c r="Q364" s="44">
        <v>0.97</v>
      </c>
      <c r="R364" s="44">
        <v>56.46</v>
      </c>
      <c r="S364" s="44">
        <v>35.04</v>
      </c>
      <c r="T364" s="44">
        <v>6.81</v>
      </c>
      <c r="U364" s="22">
        <f>IFERROR(__xludf.DUMMYFUNCTION("IFERROR(GOOGLEFINANCE(A364,""closeyest""),"""")"),4250.0)</f>
        <v>4250</v>
      </c>
      <c r="V364" s="23">
        <f>IFERROR(__xludf.DUMMYFUNCTION("IFERROR(GOOGLEFINANCE(A364,""changepct""),"""")"),-1.18)</f>
        <v>-1.18</v>
      </c>
      <c r="W364" s="22">
        <f>IFERROR(__xludf.DUMMYFUNCTION("IFERROR(GOOGLEFINANCE(A364,""priceopen""),"""")"),4320.0)</f>
        <v>4320</v>
      </c>
      <c r="X364" s="22">
        <f>IFERROR(__xludf.DUMMYFUNCTION("IFERROR(GOOGLEFINANCE(A364,""high""),"""")"),4320.0)</f>
        <v>4320</v>
      </c>
      <c r="Y364" s="22">
        <f>IFERROR(__xludf.DUMMYFUNCTION("IFERROR(GOOGLEFINANCE(A364,""low""),"""")"),4200.0)</f>
        <v>4200</v>
      </c>
      <c r="Z364" s="22" t="str">
        <f>IFERROR(__xludf.DUMMYFUNCTION("IFERROR(GOOGLEFINANCE(A364,""volume""),"""")"),"")</f>
        <v/>
      </c>
      <c r="AA364" s="24" t="str">
        <f>VLOOKUP(A364,Metrik!$C$2:$Y$959,5,0)</f>
        <v>Banks</v>
      </c>
      <c r="AB364" s="24" t="str">
        <f>VLOOKUP(A364,Metrik!$C$2:$Y$959,3,0)</f>
        <v>Financials</v>
      </c>
    </row>
    <row r="365">
      <c r="A365" s="14" t="s">
        <v>215</v>
      </c>
      <c r="B365" s="14" t="str">
        <f t="array" ref="B365">VLOOKUP(A365,{Metrik!$C$2:$C$998,Metrik!$B$2:$B$998},2,0)</f>
        <v>Bank Mandiri (Persero) Tbk.</v>
      </c>
      <c r="C365" s="15">
        <f>IFERROR(__xludf.DUMMYFUNCTION("GOOGLEFINANCE(""IDX:""&amp;A365,""price"")"),4200.0)</f>
        <v>4200</v>
      </c>
      <c r="D365" s="16" t="str">
        <f>IFERROR(__xludf.DUMMYFUNCTION("IF(A365="""","""",
SPARKLINE(
INDEX(
GOOGLEFINANCE(""IDX:""&amp;A365,""close"",TODAY()-365,TODAY()),
,2
),
{""linewidth"",1}
))
"),"#N/A")</f>
        <v>#N/A</v>
      </c>
      <c r="E365" s="14" t="s">
        <v>32</v>
      </c>
      <c r="F365" s="14" t="s">
        <v>29</v>
      </c>
      <c r="G365" s="24">
        <f t="shared" si="1"/>
        <v>23</v>
      </c>
      <c r="H365" s="19">
        <f>VLOOKUP(A365,Metrik!$C$2:$Y$959,8,0)</f>
        <v>6.5</v>
      </c>
      <c r="I365" s="20">
        <f>VLOOKUP(A365,Metrik!$C$2:$Y$959,9,0)</f>
        <v>1.2</v>
      </c>
      <c r="J365" s="20">
        <f>VLOOKUP(A365,Metrik!$C$2:$Y$959,10,0)</f>
        <v>18.6</v>
      </c>
      <c r="K365" s="20">
        <f>VLOOKUP(A365,Metrik!$C$2:$Y$959,11,0)</f>
        <v>2.4</v>
      </c>
      <c r="L365" s="20">
        <f>VLOOKUP(A365,Metrik!$C$2:$Y$959,12,0)</f>
        <v>6.8</v>
      </c>
      <c r="M365" s="20">
        <f>VLOOKUP(A365,Metrik!$C$2:$Y$959,19,0)</f>
        <v>130</v>
      </c>
      <c r="N365" s="44">
        <v>4.93</v>
      </c>
      <c r="O365" s="44">
        <v>20.1</v>
      </c>
      <c r="P365" s="44">
        <v>98.04</v>
      </c>
      <c r="Q365" s="44">
        <v>0.97</v>
      </c>
      <c r="R365" s="44">
        <v>56.46</v>
      </c>
      <c r="S365" s="44">
        <v>35.04</v>
      </c>
      <c r="T365" s="44">
        <v>6.81</v>
      </c>
      <c r="U365" s="22">
        <f>IFERROR(__xludf.DUMMYFUNCTION("IFERROR(GOOGLEFINANCE(A365,""closeyest""),"""")"),4250.0)</f>
        <v>4250</v>
      </c>
      <c r="V365" s="23">
        <f>IFERROR(__xludf.DUMMYFUNCTION("IFERROR(GOOGLEFINANCE(A365,""changepct""),"""")"),-1.18)</f>
        <v>-1.18</v>
      </c>
      <c r="W365" s="22">
        <f>IFERROR(__xludf.DUMMYFUNCTION("IFERROR(GOOGLEFINANCE(A365,""priceopen""),"""")"),4320.0)</f>
        <v>4320</v>
      </c>
      <c r="X365" s="22">
        <f>IFERROR(__xludf.DUMMYFUNCTION("IFERROR(GOOGLEFINANCE(A365,""high""),"""")"),4320.0)</f>
        <v>4320</v>
      </c>
      <c r="Y365" s="22">
        <f>IFERROR(__xludf.DUMMYFUNCTION("IFERROR(GOOGLEFINANCE(A365,""low""),"""")"),4200.0)</f>
        <v>4200</v>
      </c>
      <c r="Z365" s="22" t="str">
        <f>IFERROR(__xludf.DUMMYFUNCTION("IFERROR(GOOGLEFINANCE(A365,""volume""),"""")"),"")</f>
        <v/>
      </c>
      <c r="AA365" s="24" t="str">
        <f>VLOOKUP(A365,Metrik!$C$2:$Y$959,5,0)</f>
        <v>Banks</v>
      </c>
      <c r="AB365" s="24" t="str">
        <f>VLOOKUP(A365,Metrik!$C$2:$Y$959,3,0)</f>
        <v>Financials</v>
      </c>
    </row>
    <row r="366">
      <c r="A366" s="14" t="s">
        <v>215</v>
      </c>
      <c r="B366" s="14" t="str">
        <f t="array" ref="B366">VLOOKUP(A366,{Metrik!$C$2:$C$998,Metrik!$B$2:$B$998},2,0)</f>
        <v>Bank Mandiri (Persero) Tbk.</v>
      </c>
      <c r="C366" s="15">
        <f>IFERROR(__xludf.DUMMYFUNCTION("GOOGLEFINANCE(""IDX:""&amp;A366,""price"")"),4200.0)</f>
        <v>4200</v>
      </c>
      <c r="D366" s="16" t="str">
        <f>IFERROR(__xludf.DUMMYFUNCTION("IF(A366="""","""",
SPARKLINE(
INDEX(
GOOGLEFINANCE(""IDX:""&amp;A366,""close"",TODAY()-365,TODAY()),
,2
),
{""linewidth"",1}
))
"),"#N/A")</f>
        <v>#N/A</v>
      </c>
      <c r="E366" s="14" t="s">
        <v>84</v>
      </c>
      <c r="F366" s="17" t="s">
        <v>51</v>
      </c>
      <c r="G366" s="24">
        <f t="shared" si="1"/>
        <v>23</v>
      </c>
      <c r="H366" s="19">
        <f>VLOOKUP(A366,Metrik!$C$2:$Y$959,8,0)</f>
        <v>6.5</v>
      </c>
      <c r="I366" s="20">
        <f>VLOOKUP(A366,Metrik!$C$2:$Y$959,9,0)</f>
        <v>1.2</v>
      </c>
      <c r="J366" s="20">
        <f>VLOOKUP(A366,Metrik!$C$2:$Y$959,10,0)</f>
        <v>18.6</v>
      </c>
      <c r="K366" s="20">
        <f>VLOOKUP(A366,Metrik!$C$2:$Y$959,11,0)</f>
        <v>2.4</v>
      </c>
      <c r="L366" s="20">
        <f>VLOOKUP(A366,Metrik!$C$2:$Y$959,12,0)</f>
        <v>6.8</v>
      </c>
      <c r="M366" s="20">
        <f>VLOOKUP(A366,Metrik!$C$2:$Y$959,19,0)</f>
        <v>130</v>
      </c>
      <c r="N366" s="44">
        <v>4.93</v>
      </c>
      <c r="O366" s="44">
        <v>20.1</v>
      </c>
      <c r="P366" s="44">
        <v>98.04</v>
      </c>
      <c r="Q366" s="44">
        <v>0.97</v>
      </c>
      <c r="R366" s="44">
        <v>56.46</v>
      </c>
      <c r="S366" s="44">
        <v>35.04</v>
      </c>
      <c r="T366" s="44">
        <v>6.81</v>
      </c>
      <c r="U366" s="22">
        <f>IFERROR(__xludf.DUMMYFUNCTION("IFERROR(GOOGLEFINANCE(A366,""closeyest""),"""")"),4250.0)</f>
        <v>4250</v>
      </c>
      <c r="V366" s="23">
        <f>IFERROR(__xludf.DUMMYFUNCTION("IFERROR(GOOGLEFINANCE(A366,""changepct""),"""")"),-1.18)</f>
        <v>-1.18</v>
      </c>
      <c r="W366" s="22">
        <f>IFERROR(__xludf.DUMMYFUNCTION("IFERROR(GOOGLEFINANCE(A366,""priceopen""),"""")"),4320.0)</f>
        <v>4320</v>
      </c>
      <c r="X366" s="22">
        <f>IFERROR(__xludf.DUMMYFUNCTION("IFERROR(GOOGLEFINANCE(A366,""high""),"""")"),4320.0)</f>
        <v>4320</v>
      </c>
      <c r="Y366" s="22">
        <f>IFERROR(__xludf.DUMMYFUNCTION("IFERROR(GOOGLEFINANCE(A366,""low""),"""")"),4200.0)</f>
        <v>4200</v>
      </c>
      <c r="Z366" s="22" t="str">
        <f>IFERROR(__xludf.DUMMYFUNCTION("IFERROR(GOOGLEFINANCE(A366,""volume""),"""")"),"")</f>
        <v/>
      </c>
      <c r="AA366" s="24" t="str">
        <f>VLOOKUP(A366,Metrik!$C$2:$Y$959,5,0)</f>
        <v>Banks</v>
      </c>
      <c r="AB366" s="24" t="str">
        <f>VLOOKUP(A366,Metrik!$C$2:$Y$959,3,0)</f>
        <v>Financials</v>
      </c>
    </row>
    <row r="367">
      <c r="A367" s="14" t="s">
        <v>215</v>
      </c>
      <c r="B367" s="14" t="str">
        <f t="array" ref="B367">VLOOKUP(A367,{Metrik!$C$2:$C$998,Metrik!$B$2:$B$998},2,0)</f>
        <v>Bank Mandiri (Persero) Tbk.</v>
      </c>
      <c r="C367" s="15">
        <f>IFERROR(__xludf.DUMMYFUNCTION("GOOGLEFINANCE(""IDX:""&amp;A367,""price"")"),4200.0)</f>
        <v>4200</v>
      </c>
      <c r="D367" s="16" t="str">
        <f>IFERROR(__xludf.DUMMYFUNCTION("IF(A367="""","""",
SPARKLINE(
INDEX(
GOOGLEFINANCE(""IDX:""&amp;A367,""close"",TODAY()-365,TODAY()),
,2
),
{""linewidth"",1}
))
"),"#N/A")</f>
        <v>#N/A</v>
      </c>
      <c r="E367" s="14" t="s">
        <v>102</v>
      </c>
      <c r="F367" s="27" t="s">
        <v>53</v>
      </c>
      <c r="G367" s="24">
        <f t="shared" si="1"/>
        <v>23</v>
      </c>
      <c r="H367" s="19">
        <f>VLOOKUP(A367,Metrik!$C$2:$Y$959,8,0)</f>
        <v>6.5</v>
      </c>
      <c r="I367" s="20">
        <f>VLOOKUP(A367,Metrik!$C$2:$Y$959,9,0)</f>
        <v>1.2</v>
      </c>
      <c r="J367" s="20">
        <f>VLOOKUP(A367,Metrik!$C$2:$Y$959,10,0)</f>
        <v>18.6</v>
      </c>
      <c r="K367" s="20">
        <f>VLOOKUP(A367,Metrik!$C$2:$Y$959,11,0)</f>
        <v>2.4</v>
      </c>
      <c r="L367" s="20">
        <f>VLOOKUP(A367,Metrik!$C$2:$Y$959,12,0)</f>
        <v>6.8</v>
      </c>
      <c r="M367" s="20">
        <f>VLOOKUP(A367,Metrik!$C$2:$Y$959,19,0)</f>
        <v>130</v>
      </c>
      <c r="N367" s="44">
        <v>4.93</v>
      </c>
      <c r="O367" s="44">
        <v>20.1</v>
      </c>
      <c r="P367" s="44">
        <v>98.04</v>
      </c>
      <c r="Q367" s="44">
        <v>0.97</v>
      </c>
      <c r="R367" s="44">
        <v>56.46</v>
      </c>
      <c r="S367" s="44">
        <v>35.04</v>
      </c>
      <c r="T367" s="44">
        <v>6.81</v>
      </c>
      <c r="U367" s="22">
        <f>IFERROR(__xludf.DUMMYFUNCTION("IFERROR(GOOGLEFINANCE(A367,""closeyest""),"""")"),4250.0)</f>
        <v>4250</v>
      </c>
      <c r="V367" s="23">
        <f>IFERROR(__xludf.DUMMYFUNCTION("IFERROR(GOOGLEFINANCE(A367,""changepct""),"""")"),-1.18)</f>
        <v>-1.18</v>
      </c>
      <c r="W367" s="22">
        <f>IFERROR(__xludf.DUMMYFUNCTION("IFERROR(GOOGLEFINANCE(A367,""priceopen""),"""")"),4320.0)</f>
        <v>4320</v>
      </c>
      <c r="X367" s="22">
        <f>IFERROR(__xludf.DUMMYFUNCTION("IFERROR(GOOGLEFINANCE(A367,""high""),"""")"),4320.0)</f>
        <v>4320</v>
      </c>
      <c r="Y367" s="22">
        <f>IFERROR(__xludf.DUMMYFUNCTION("IFERROR(GOOGLEFINANCE(A367,""low""),"""")"),4200.0)</f>
        <v>4200</v>
      </c>
      <c r="Z367" s="22" t="str">
        <f>IFERROR(__xludf.DUMMYFUNCTION("IFERROR(GOOGLEFINANCE(A367,""volume""),"""")"),"")</f>
        <v/>
      </c>
      <c r="AA367" s="24" t="str">
        <f>VLOOKUP(A367,Metrik!$C$2:$Y$959,5,0)</f>
        <v>Banks</v>
      </c>
      <c r="AB367" s="24" t="str">
        <f>VLOOKUP(A367,Metrik!$C$2:$Y$959,3,0)</f>
        <v>Financials</v>
      </c>
    </row>
    <row r="368">
      <c r="A368" s="14" t="s">
        <v>215</v>
      </c>
      <c r="B368" s="14" t="str">
        <f t="array" ref="B368">VLOOKUP(A368,{Metrik!$C$2:$C$998,Metrik!$B$2:$B$998},2,0)</f>
        <v>Bank Mandiri (Persero) Tbk.</v>
      </c>
      <c r="C368" s="15">
        <f>IFERROR(__xludf.DUMMYFUNCTION("GOOGLEFINANCE(""IDX:""&amp;A368,""price"")"),4200.0)</f>
        <v>4200</v>
      </c>
      <c r="D368" s="16" t="str">
        <f>IFERROR(__xludf.DUMMYFUNCTION("IF(A368="""","""",
SPARKLINE(
INDEX(
GOOGLEFINANCE(""IDX:""&amp;A368,""close"",TODAY()-365,TODAY()),
,2
),
{""linewidth"",1}
))
"),"#N/A")</f>
        <v>#N/A</v>
      </c>
      <c r="E368" s="14" t="s">
        <v>50</v>
      </c>
      <c r="F368" s="17" t="s">
        <v>51</v>
      </c>
      <c r="G368" s="24">
        <f t="shared" si="1"/>
        <v>23</v>
      </c>
      <c r="H368" s="19">
        <f>VLOOKUP(A368,Metrik!$C$2:$Y$959,8,0)</f>
        <v>6.5</v>
      </c>
      <c r="I368" s="20">
        <f>VLOOKUP(A368,Metrik!$C$2:$Y$959,9,0)</f>
        <v>1.2</v>
      </c>
      <c r="J368" s="20">
        <f>VLOOKUP(A368,Metrik!$C$2:$Y$959,10,0)</f>
        <v>18.6</v>
      </c>
      <c r="K368" s="20">
        <f>VLOOKUP(A368,Metrik!$C$2:$Y$959,11,0)</f>
        <v>2.4</v>
      </c>
      <c r="L368" s="20">
        <f>VLOOKUP(A368,Metrik!$C$2:$Y$959,12,0)</f>
        <v>6.8</v>
      </c>
      <c r="M368" s="20">
        <f>VLOOKUP(A368,Metrik!$C$2:$Y$959,19,0)</f>
        <v>130</v>
      </c>
      <c r="N368" s="44">
        <v>4.93</v>
      </c>
      <c r="O368" s="44">
        <v>20.1</v>
      </c>
      <c r="P368" s="44">
        <v>98.04</v>
      </c>
      <c r="Q368" s="44">
        <v>0.97</v>
      </c>
      <c r="R368" s="44">
        <v>56.46</v>
      </c>
      <c r="S368" s="44">
        <v>35.04</v>
      </c>
      <c r="T368" s="44">
        <v>6.81</v>
      </c>
      <c r="U368" s="22">
        <f>IFERROR(__xludf.DUMMYFUNCTION("IFERROR(GOOGLEFINANCE(A368,""closeyest""),"""")"),4250.0)</f>
        <v>4250</v>
      </c>
      <c r="V368" s="23">
        <f>IFERROR(__xludf.DUMMYFUNCTION("IFERROR(GOOGLEFINANCE(A368,""changepct""),"""")"),-1.18)</f>
        <v>-1.18</v>
      </c>
      <c r="W368" s="22">
        <f>IFERROR(__xludf.DUMMYFUNCTION("IFERROR(GOOGLEFINANCE(A368,""priceopen""),"""")"),4320.0)</f>
        <v>4320</v>
      </c>
      <c r="X368" s="22">
        <f>IFERROR(__xludf.DUMMYFUNCTION("IFERROR(GOOGLEFINANCE(A368,""high""),"""")"),4320.0)</f>
        <v>4320</v>
      </c>
      <c r="Y368" s="22">
        <f>IFERROR(__xludf.DUMMYFUNCTION("IFERROR(GOOGLEFINANCE(A368,""low""),"""")"),4200.0)</f>
        <v>4200</v>
      </c>
      <c r="Z368" s="22" t="str">
        <f>IFERROR(__xludf.DUMMYFUNCTION("IFERROR(GOOGLEFINANCE(A368,""volume""),"""")"),"")</f>
        <v/>
      </c>
      <c r="AA368" s="24" t="str">
        <f>VLOOKUP(A368,Metrik!$C$2:$Y$959,5,0)</f>
        <v>Banks</v>
      </c>
      <c r="AB368" s="24" t="str">
        <f>VLOOKUP(A368,Metrik!$C$2:$Y$959,3,0)</f>
        <v>Financials</v>
      </c>
    </row>
    <row r="369">
      <c r="A369" s="14" t="s">
        <v>215</v>
      </c>
      <c r="B369" s="14" t="str">
        <f t="array" ref="B369">VLOOKUP(A369,{Metrik!$C$2:$C$998,Metrik!$B$2:$B$998},2,0)</f>
        <v>Bank Mandiri (Persero) Tbk.</v>
      </c>
      <c r="C369" s="15">
        <f>IFERROR(__xludf.DUMMYFUNCTION("GOOGLEFINANCE(""IDX:""&amp;A369,""price"")"),4200.0)</f>
        <v>4200</v>
      </c>
      <c r="D369" s="16" t="str">
        <f>IFERROR(__xludf.DUMMYFUNCTION("IF(A369="""","""",
SPARKLINE(
INDEX(
GOOGLEFINANCE(""IDX:""&amp;A369,""close"",TODAY()-365,TODAY()),
,2
),
{""linewidth"",1}
))
"),"#N/A")</f>
        <v>#N/A</v>
      </c>
      <c r="E369" s="14" t="s">
        <v>48</v>
      </c>
      <c r="F369" s="14" t="s">
        <v>49</v>
      </c>
      <c r="G369" s="24">
        <f t="shared" si="1"/>
        <v>23</v>
      </c>
      <c r="H369" s="19">
        <f>VLOOKUP(A369,Metrik!$C$2:$Y$959,8,0)</f>
        <v>6.5</v>
      </c>
      <c r="I369" s="20">
        <f>VLOOKUP(A369,Metrik!$C$2:$Y$959,9,0)</f>
        <v>1.2</v>
      </c>
      <c r="J369" s="20">
        <f>VLOOKUP(A369,Metrik!$C$2:$Y$959,10,0)</f>
        <v>18.6</v>
      </c>
      <c r="K369" s="20">
        <f>VLOOKUP(A369,Metrik!$C$2:$Y$959,11,0)</f>
        <v>2.4</v>
      </c>
      <c r="L369" s="20">
        <f>VLOOKUP(A369,Metrik!$C$2:$Y$959,12,0)</f>
        <v>6.8</v>
      </c>
      <c r="M369" s="20">
        <f>VLOOKUP(A369,Metrik!$C$2:$Y$959,19,0)</f>
        <v>130</v>
      </c>
      <c r="N369" s="44">
        <v>4.93</v>
      </c>
      <c r="O369" s="44">
        <v>20.1</v>
      </c>
      <c r="P369" s="44">
        <v>98.04</v>
      </c>
      <c r="Q369" s="44">
        <v>0.97</v>
      </c>
      <c r="R369" s="44">
        <v>56.46</v>
      </c>
      <c r="S369" s="44">
        <v>35.04</v>
      </c>
      <c r="T369" s="44">
        <v>6.81</v>
      </c>
      <c r="U369" s="22">
        <f>IFERROR(__xludf.DUMMYFUNCTION("IFERROR(GOOGLEFINANCE(A369,""closeyest""),"""")"),4250.0)</f>
        <v>4250</v>
      </c>
      <c r="V369" s="23">
        <f>IFERROR(__xludf.DUMMYFUNCTION("IFERROR(GOOGLEFINANCE(A369,""changepct""),"""")"),-1.18)</f>
        <v>-1.18</v>
      </c>
      <c r="W369" s="22">
        <f>IFERROR(__xludf.DUMMYFUNCTION("IFERROR(GOOGLEFINANCE(A369,""priceopen""),"""")"),4320.0)</f>
        <v>4320</v>
      </c>
      <c r="X369" s="22">
        <f>IFERROR(__xludf.DUMMYFUNCTION("IFERROR(GOOGLEFINANCE(A369,""high""),"""")"),4320.0)</f>
        <v>4320</v>
      </c>
      <c r="Y369" s="22">
        <f>IFERROR(__xludf.DUMMYFUNCTION("IFERROR(GOOGLEFINANCE(A369,""low""),"""")"),4200.0)</f>
        <v>4200</v>
      </c>
      <c r="Z369" s="22" t="str">
        <f>IFERROR(__xludf.DUMMYFUNCTION("IFERROR(GOOGLEFINANCE(A369,""volume""),"""")"),"")</f>
        <v/>
      </c>
      <c r="AA369" s="24" t="str">
        <f>VLOOKUP(A369,Metrik!$C$2:$Y$959,5,0)</f>
        <v>Banks</v>
      </c>
      <c r="AB369" s="24" t="str">
        <f>VLOOKUP(A369,Metrik!$C$2:$Y$959,3,0)</f>
        <v>Financials</v>
      </c>
    </row>
    <row r="370">
      <c r="A370" s="14" t="s">
        <v>215</v>
      </c>
      <c r="B370" s="14" t="str">
        <f t="array" ref="B370">VLOOKUP(A370,{Metrik!$C$2:$C$998,Metrik!$B$2:$B$998},2,0)</f>
        <v>Bank Mandiri (Persero) Tbk.</v>
      </c>
      <c r="C370" s="15">
        <f>IFERROR(__xludf.DUMMYFUNCTION("GOOGLEFINANCE(""IDX:""&amp;A370,""price"")"),4200.0)</f>
        <v>4200</v>
      </c>
      <c r="D370" s="16" t="str">
        <f>IFERROR(__xludf.DUMMYFUNCTION("IF(A370="""","""",
SPARKLINE(
INDEX(
GOOGLEFINANCE(""IDX:""&amp;A370,""close"",TODAY()-365,TODAY()),
,2
),
{""linewidth"",1}
))
"),"#N/A")</f>
        <v>#N/A</v>
      </c>
      <c r="E370" s="14" t="s">
        <v>85</v>
      </c>
      <c r="F370" s="17" t="s">
        <v>51</v>
      </c>
      <c r="G370" s="24">
        <f t="shared" si="1"/>
        <v>23</v>
      </c>
      <c r="H370" s="19">
        <f>VLOOKUP(A370,Metrik!$C$2:$Y$959,8,0)</f>
        <v>6.5</v>
      </c>
      <c r="I370" s="20">
        <f>VLOOKUP(A370,Metrik!$C$2:$Y$959,9,0)</f>
        <v>1.2</v>
      </c>
      <c r="J370" s="20">
        <f>VLOOKUP(A370,Metrik!$C$2:$Y$959,10,0)</f>
        <v>18.6</v>
      </c>
      <c r="K370" s="20">
        <f>VLOOKUP(A370,Metrik!$C$2:$Y$959,11,0)</f>
        <v>2.4</v>
      </c>
      <c r="L370" s="20">
        <f>VLOOKUP(A370,Metrik!$C$2:$Y$959,12,0)</f>
        <v>6.8</v>
      </c>
      <c r="M370" s="20">
        <f>VLOOKUP(A370,Metrik!$C$2:$Y$959,19,0)</f>
        <v>130</v>
      </c>
      <c r="N370" s="44">
        <v>4.93</v>
      </c>
      <c r="O370" s="44">
        <v>20.1</v>
      </c>
      <c r="P370" s="44">
        <v>98.04</v>
      </c>
      <c r="Q370" s="44">
        <v>0.97</v>
      </c>
      <c r="R370" s="44">
        <v>56.46</v>
      </c>
      <c r="S370" s="44">
        <v>35.04</v>
      </c>
      <c r="T370" s="44">
        <v>6.81</v>
      </c>
      <c r="U370" s="22">
        <f>IFERROR(__xludf.DUMMYFUNCTION("IFERROR(GOOGLEFINANCE(A370,""closeyest""),"""")"),4250.0)</f>
        <v>4250</v>
      </c>
      <c r="V370" s="23">
        <f>IFERROR(__xludf.DUMMYFUNCTION("IFERROR(GOOGLEFINANCE(A370,""changepct""),"""")"),-1.18)</f>
        <v>-1.18</v>
      </c>
      <c r="W370" s="22">
        <f>IFERROR(__xludf.DUMMYFUNCTION("IFERROR(GOOGLEFINANCE(A370,""priceopen""),"""")"),4320.0)</f>
        <v>4320</v>
      </c>
      <c r="X370" s="22">
        <f>IFERROR(__xludf.DUMMYFUNCTION("IFERROR(GOOGLEFINANCE(A370,""high""),"""")"),4320.0)</f>
        <v>4320</v>
      </c>
      <c r="Y370" s="22">
        <f>IFERROR(__xludf.DUMMYFUNCTION("IFERROR(GOOGLEFINANCE(A370,""low""),"""")"),4200.0)</f>
        <v>4200</v>
      </c>
      <c r="Z370" s="22" t="str">
        <f>IFERROR(__xludf.DUMMYFUNCTION("IFERROR(GOOGLEFINANCE(A370,""volume""),"""")"),"")</f>
        <v/>
      </c>
      <c r="AA370" s="24" t="str">
        <f>VLOOKUP(A370,Metrik!$C$2:$Y$959,5,0)</f>
        <v>Banks</v>
      </c>
      <c r="AB370" s="24" t="str">
        <f>VLOOKUP(A370,Metrik!$C$2:$Y$959,3,0)</f>
        <v>Financials</v>
      </c>
    </row>
    <row r="371">
      <c r="A371" s="14" t="s">
        <v>215</v>
      </c>
      <c r="B371" s="14" t="str">
        <f t="array" ref="B371">VLOOKUP(A371,{Metrik!$C$2:$C$998,Metrik!$B$2:$B$998},2,0)</f>
        <v>Bank Mandiri (Persero) Tbk.</v>
      </c>
      <c r="C371" s="15">
        <f>IFERROR(__xludf.DUMMYFUNCTION("GOOGLEFINANCE(""IDX:""&amp;A371,""price"")"),4200.0)</f>
        <v>4200</v>
      </c>
      <c r="D371" s="16" t="str">
        <f>IFERROR(__xludf.DUMMYFUNCTION("IF(A371="""","""",
SPARKLINE(
INDEX(
GOOGLEFINANCE(""IDX:""&amp;A371,""close"",TODAY()-365,TODAY()),
,2
),
{""linewidth"",1}
))
"),"#N/A")</f>
        <v>#N/A</v>
      </c>
      <c r="E371" s="14" t="s">
        <v>30</v>
      </c>
      <c r="F371" s="17" t="s">
        <v>29</v>
      </c>
      <c r="G371" s="24">
        <f t="shared" si="1"/>
        <v>23</v>
      </c>
      <c r="H371" s="19">
        <f>VLOOKUP(A371,Metrik!$C$2:$Y$959,8,0)</f>
        <v>6.5</v>
      </c>
      <c r="I371" s="20">
        <f>VLOOKUP(A371,Metrik!$C$2:$Y$959,9,0)</f>
        <v>1.2</v>
      </c>
      <c r="J371" s="20">
        <f>VLOOKUP(A371,Metrik!$C$2:$Y$959,10,0)</f>
        <v>18.6</v>
      </c>
      <c r="K371" s="20">
        <f>VLOOKUP(A371,Metrik!$C$2:$Y$959,11,0)</f>
        <v>2.4</v>
      </c>
      <c r="L371" s="20">
        <f>VLOOKUP(A371,Metrik!$C$2:$Y$959,12,0)</f>
        <v>6.8</v>
      </c>
      <c r="M371" s="20">
        <f>VLOOKUP(A371,Metrik!$C$2:$Y$959,19,0)</f>
        <v>130</v>
      </c>
      <c r="N371" s="44">
        <v>4.93</v>
      </c>
      <c r="O371" s="44">
        <v>20.1</v>
      </c>
      <c r="P371" s="44">
        <v>98.04</v>
      </c>
      <c r="Q371" s="44">
        <v>0.97</v>
      </c>
      <c r="R371" s="44">
        <v>56.46</v>
      </c>
      <c r="S371" s="44">
        <v>35.04</v>
      </c>
      <c r="T371" s="44">
        <v>6.81</v>
      </c>
      <c r="U371" s="22">
        <f>IFERROR(__xludf.DUMMYFUNCTION("IFERROR(GOOGLEFINANCE(A371,""closeyest""),"""")"),4250.0)</f>
        <v>4250</v>
      </c>
      <c r="V371" s="23">
        <f>IFERROR(__xludf.DUMMYFUNCTION("IFERROR(GOOGLEFINANCE(A371,""changepct""),"""")"),-1.18)</f>
        <v>-1.18</v>
      </c>
      <c r="W371" s="22">
        <f>IFERROR(__xludf.DUMMYFUNCTION("IFERROR(GOOGLEFINANCE(A371,""priceopen""),"""")"),4320.0)</f>
        <v>4320</v>
      </c>
      <c r="X371" s="22">
        <f>IFERROR(__xludf.DUMMYFUNCTION("IFERROR(GOOGLEFINANCE(A371,""high""),"""")"),4320.0)</f>
        <v>4320</v>
      </c>
      <c r="Y371" s="22">
        <f>IFERROR(__xludf.DUMMYFUNCTION("IFERROR(GOOGLEFINANCE(A371,""low""),"""")"),4200.0)</f>
        <v>4200</v>
      </c>
      <c r="Z371" s="22" t="str">
        <f>IFERROR(__xludf.DUMMYFUNCTION("IFERROR(GOOGLEFINANCE(A371,""volume""),"""")"),"")</f>
        <v/>
      </c>
      <c r="AA371" s="24" t="str">
        <f>VLOOKUP(A371,Metrik!$C$2:$Y$959,5,0)</f>
        <v>Banks</v>
      </c>
      <c r="AB371" s="24" t="str">
        <f>VLOOKUP(A371,Metrik!$C$2:$Y$959,3,0)</f>
        <v>Financials</v>
      </c>
    </row>
    <row r="372">
      <c r="A372" s="14" t="s">
        <v>215</v>
      </c>
      <c r="B372" s="14" t="str">
        <f t="array" ref="B372">VLOOKUP(A372,{Metrik!$C$2:$C$998,Metrik!$B$2:$B$998},2,0)</f>
        <v>Bank Mandiri (Persero) Tbk.</v>
      </c>
      <c r="C372" s="15">
        <f>IFERROR(__xludf.DUMMYFUNCTION("GOOGLEFINANCE(""IDX:""&amp;A372,""price"")"),4200.0)</f>
        <v>4200</v>
      </c>
      <c r="D372" s="16" t="str">
        <f>IFERROR(__xludf.DUMMYFUNCTION("IF(A372="""","""",
SPARKLINE(
INDEX(
GOOGLEFINANCE(""IDX:""&amp;A372,""close"",TODAY()-365,TODAY()),
,2
),
{""linewidth"",1}
))
"),"#N/A")</f>
        <v>#N/A</v>
      </c>
      <c r="E372" s="14" t="s">
        <v>31</v>
      </c>
      <c r="F372" s="17" t="s">
        <v>29</v>
      </c>
      <c r="G372" s="24">
        <f t="shared" si="1"/>
        <v>23</v>
      </c>
      <c r="H372" s="19">
        <f>VLOOKUP(A372,Metrik!$C$2:$Y$959,8,0)</f>
        <v>6.5</v>
      </c>
      <c r="I372" s="20">
        <f>VLOOKUP(A372,Metrik!$C$2:$Y$959,9,0)</f>
        <v>1.2</v>
      </c>
      <c r="J372" s="20">
        <f>VLOOKUP(A372,Metrik!$C$2:$Y$959,10,0)</f>
        <v>18.6</v>
      </c>
      <c r="K372" s="20">
        <f>VLOOKUP(A372,Metrik!$C$2:$Y$959,11,0)</f>
        <v>2.4</v>
      </c>
      <c r="L372" s="20">
        <f>VLOOKUP(A372,Metrik!$C$2:$Y$959,12,0)</f>
        <v>6.8</v>
      </c>
      <c r="M372" s="20">
        <f>VLOOKUP(A372,Metrik!$C$2:$Y$959,19,0)</f>
        <v>130</v>
      </c>
      <c r="N372" s="44">
        <v>4.93</v>
      </c>
      <c r="O372" s="44">
        <v>20.1</v>
      </c>
      <c r="P372" s="44">
        <v>98.04</v>
      </c>
      <c r="Q372" s="44">
        <v>0.97</v>
      </c>
      <c r="R372" s="44">
        <v>56.46</v>
      </c>
      <c r="S372" s="44">
        <v>35.04</v>
      </c>
      <c r="T372" s="44">
        <v>6.81</v>
      </c>
      <c r="U372" s="22">
        <f>IFERROR(__xludf.DUMMYFUNCTION("IFERROR(GOOGLEFINANCE(A372,""closeyest""),"""")"),4250.0)</f>
        <v>4250</v>
      </c>
      <c r="V372" s="23">
        <f>IFERROR(__xludf.DUMMYFUNCTION("IFERROR(GOOGLEFINANCE(A372,""changepct""),"""")"),-1.18)</f>
        <v>-1.18</v>
      </c>
      <c r="W372" s="22">
        <f>IFERROR(__xludf.DUMMYFUNCTION("IFERROR(GOOGLEFINANCE(A372,""priceopen""),"""")"),4320.0)</f>
        <v>4320</v>
      </c>
      <c r="X372" s="22">
        <f>IFERROR(__xludf.DUMMYFUNCTION("IFERROR(GOOGLEFINANCE(A372,""high""),"""")"),4320.0)</f>
        <v>4320</v>
      </c>
      <c r="Y372" s="22">
        <f>IFERROR(__xludf.DUMMYFUNCTION("IFERROR(GOOGLEFINANCE(A372,""low""),"""")"),4200.0)</f>
        <v>4200</v>
      </c>
      <c r="Z372" s="22" t="str">
        <f>IFERROR(__xludf.DUMMYFUNCTION("IFERROR(GOOGLEFINANCE(A372,""volume""),"""")"),"")</f>
        <v/>
      </c>
      <c r="AA372" s="24" t="str">
        <f>VLOOKUP(A372,Metrik!$C$2:$Y$959,5,0)</f>
        <v>Banks</v>
      </c>
      <c r="AB372" s="24" t="str">
        <f>VLOOKUP(A372,Metrik!$C$2:$Y$959,3,0)</f>
        <v>Financials</v>
      </c>
    </row>
    <row r="373">
      <c r="A373" s="14" t="s">
        <v>215</v>
      </c>
      <c r="B373" s="14" t="str">
        <f t="array" ref="B373">VLOOKUP(A373,{Metrik!$C$2:$C$998,Metrik!$B$2:$B$998},2,0)</f>
        <v>Bank Mandiri (Persero) Tbk.</v>
      </c>
      <c r="C373" s="15">
        <f>IFERROR(__xludf.DUMMYFUNCTION("GOOGLEFINANCE(""IDX:""&amp;A373,""price"")"),4200.0)</f>
        <v>4200</v>
      </c>
      <c r="D373" s="16" t="str">
        <f>IFERROR(__xludf.DUMMYFUNCTION("IF(A373="""","""",
SPARKLINE(
INDEX(
GOOGLEFINANCE(""IDX:""&amp;A373,""close"",TODAY()-365,TODAY()),
,2
),
{""linewidth"",1}
))
"),"#N/A")</f>
        <v>#N/A</v>
      </c>
      <c r="E373" s="14" t="s">
        <v>28</v>
      </c>
      <c r="F373" s="17" t="s">
        <v>29</v>
      </c>
      <c r="G373" s="24">
        <f t="shared" si="1"/>
        <v>23</v>
      </c>
      <c r="H373" s="19">
        <f>VLOOKUP(A373,Metrik!$C$2:$Y$959,8,0)</f>
        <v>6.5</v>
      </c>
      <c r="I373" s="20">
        <f>VLOOKUP(A373,Metrik!$C$2:$Y$959,9,0)</f>
        <v>1.2</v>
      </c>
      <c r="J373" s="20">
        <f>VLOOKUP(A373,Metrik!$C$2:$Y$959,10,0)</f>
        <v>18.6</v>
      </c>
      <c r="K373" s="20">
        <f>VLOOKUP(A373,Metrik!$C$2:$Y$959,11,0)</f>
        <v>2.4</v>
      </c>
      <c r="L373" s="20">
        <f>VLOOKUP(A373,Metrik!$C$2:$Y$959,12,0)</f>
        <v>6.8</v>
      </c>
      <c r="M373" s="20">
        <f>VLOOKUP(A373,Metrik!$C$2:$Y$959,19,0)</f>
        <v>130</v>
      </c>
      <c r="N373" s="44">
        <v>4.93</v>
      </c>
      <c r="O373" s="44">
        <v>20.1</v>
      </c>
      <c r="P373" s="44">
        <v>98.04</v>
      </c>
      <c r="Q373" s="44">
        <v>0.97</v>
      </c>
      <c r="R373" s="44">
        <v>56.46</v>
      </c>
      <c r="S373" s="44">
        <v>35.04</v>
      </c>
      <c r="T373" s="44">
        <v>6.81</v>
      </c>
      <c r="U373" s="22">
        <f>IFERROR(__xludf.DUMMYFUNCTION("IFERROR(GOOGLEFINANCE(A373,""closeyest""),"""")"),4250.0)</f>
        <v>4250</v>
      </c>
      <c r="V373" s="23">
        <f>IFERROR(__xludf.DUMMYFUNCTION("IFERROR(GOOGLEFINANCE(A373,""changepct""),"""")"),-1.18)</f>
        <v>-1.18</v>
      </c>
      <c r="W373" s="22">
        <f>IFERROR(__xludf.DUMMYFUNCTION("IFERROR(GOOGLEFINANCE(A373,""priceopen""),"""")"),4320.0)</f>
        <v>4320</v>
      </c>
      <c r="X373" s="22">
        <f>IFERROR(__xludf.DUMMYFUNCTION("IFERROR(GOOGLEFINANCE(A373,""high""),"""")"),4320.0)</f>
        <v>4320</v>
      </c>
      <c r="Y373" s="22">
        <f>IFERROR(__xludf.DUMMYFUNCTION("IFERROR(GOOGLEFINANCE(A373,""low""),"""")"),4200.0)</f>
        <v>4200</v>
      </c>
      <c r="Z373" s="22" t="str">
        <f>IFERROR(__xludf.DUMMYFUNCTION("IFERROR(GOOGLEFINANCE(A373,""volume""),"""")"),"")</f>
        <v/>
      </c>
      <c r="AA373" s="24" t="str">
        <f>VLOOKUP(A373,Metrik!$C$2:$Y$959,5,0)</f>
        <v>Banks</v>
      </c>
      <c r="AB373" s="24" t="str">
        <f>VLOOKUP(A373,Metrik!$C$2:$Y$959,3,0)</f>
        <v>Financials</v>
      </c>
    </row>
    <row r="374">
      <c r="A374" s="14" t="s">
        <v>215</v>
      </c>
      <c r="B374" s="14" t="str">
        <f t="array" ref="B374">VLOOKUP(A374,{Metrik!$C$2:$C$998,Metrik!$B$2:$B$998},2,0)</f>
        <v>Bank Mandiri (Persero) Tbk.</v>
      </c>
      <c r="C374" s="15">
        <f>IFERROR(__xludf.DUMMYFUNCTION("GOOGLEFINANCE(""IDX:""&amp;A374,""price"")"),4200.0)</f>
        <v>4200</v>
      </c>
      <c r="D374" s="16" t="str">
        <f>IFERROR(__xludf.DUMMYFUNCTION("IF(A374="""","""",
SPARKLINE(
INDEX(
GOOGLEFINANCE(""IDX:""&amp;A374,""close"",TODAY()-365,TODAY()),
,2
),
{""linewidth"",1}
))
"),"#N/A")</f>
        <v>#N/A</v>
      </c>
      <c r="E374" s="14" t="s">
        <v>67</v>
      </c>
      <c r="F374" s="17" t="s">
        <v>51</v>
      </c>
      <c r="G374" s="24">
        <f t="shared" si="1"/>
        <v>23</v>
      </c>
      <c r="H374" s="19">
        <f>VLOOKUP(A374,Metrik!$C$2:$Y$959,8,0)</f>
        <v>6.5</v>
      </c>
      <c r="I374" s="20">
        <f>VLOOKUP(A374,Metrik!$C$2:$Y$959,9,0)</f>
        <v>1.2</v>
      </c>
      <c r="J374" s="20">
        <f>VLOOKUP(A374,Metrik!$C$2:$Y$959,10,0)</f>
        <v>18.6</v>
      </c>
      <c r="K374" s="20">
        <f>VLOOKUP(A374,Metrik!$C$2:$Y$959,11,0)</f>
        <v>2.4</v>
      </c>
      <c r="L374" s="20">
        <f>VLOOKUP(A374,Metrik!$C$2:$Y$959,12,0)</f>
        <v>6.8</v>
      </c>
      <c r="M374" s="20">
        <f>VLOOKUP(A374,Metrik!$C$2:$Y$959,19,0)</f>
        <v>130</v>
      </c>
      <c r="N374" s="44">
        <v>4.93</v>
      </c>
      <c r="O374" s="44">
        <v>20.1</v>
      </c>
      <c r="P374" s="44">
        <v>98.04</v>
      </c>
      <c r="Q374" s="44">
        <v>0.97</v>
      </c>
      <c r="R374" s="44">
        <v>56.46</v>
      </c>
      <c r="S374" s="44">
        <v>35.04</v>
      </c>
      <c r="T374" s="44">
        <v>6.81</v>
      </c>
      <c r="U374" s="22">
        <f>IFERROR(__xludf.DUMMYFUNCTION("IFERROR(GOOGLEFINANCE(A374,""closeyest""),"""")"),4250.0)</f>
        <v>4250</v>
      </c>
      <c r="V374" s="23">
        <f>IFERROR(__xludf.DUMMYFUNCTION("IFERROR(GOOGLEFINANCE(A374,""changepct""),"""")"),-1.18)</f>
        <v>-1.18</v>
      </c>
      <c r="W374" s="22">
        <f>IFERROR(__xludf.DUMMYFUNCTION("IFERROR(GOOGLEFINANCE(A374,""priceopen""),"""")"),4320.0)</f>
        <v>4320</v>
      </c>
      <c r="X374" s="22">
        <f>IFERROR(__xludf.DUMMYFUNCTION("IFERROR(GOOGLEFINANCE(A374,""high""),"""")"),4320.0)</f>
        <v>4320</v>
      </c>
      <c r="Y374" s="22">
        <f>IFERROR(__xludf.DUMMYFUNCTION("IFERROR(GOOGLEFINANCE(A374,""low""),"""")"),4200.0)</f>
        <v>4200</v>
      </c>
      <c r="Z374" s="22" t="str">
        <f>IFERROR(__xludf.DUMMYFUNCTION("IFERROR(GOOGLEFINANCE(A374,""volume""),"""")"),"")</f>
        <v/>
      </c>
      <c r="AA374" s="24" t="str">
        <f>VLOOKUP(A374,Metrik!$C$2:$Y$959,5,0)</f>
        <v>Banks</v>
      </c>
      <c r="AB374" s="24" t="str">
        <f>VLOOKUP(A374,Metrik!$C$2:$Y$959,3,0)</f>
        <v>Financials</v>
      </c>
    </row>
    <row r="375">
      <c r="A375" s="14" t="s">
        <v>215</v>
      </c>
      <c r="B375" s="14" t="str">
        <f t="array" ref="B375">VLOOKUP(A375,{Metrik!$C$2:$C$998,Metrik!$B$2:$B$998},2,0)</f>
        <v>Bank Mandiri (Persero) Tbk.</v>
      </c>
      <c r="C375" s="15">
        <f>IFERROR(__xludf.DUMMYFUNCTION("GOOGLEFINANCE(""IDX:""&amp;A375,""price"")"),4200.0)</f>
        <v>4200</v>
      </c>
      <c r="D375" s="16" t="str">
        <f>IFERROR(__xludf.DUMMYFUNCTION("IF(A375="""","""",
SPARKLINE(
INDEX(
GOOGLEFINANCE(""IDX:""&amp;A375,""close"",TODAY()-365,TODAY()),
,2
),
{""linewidth"",1}
))
"),"#N/A")</f>
        <v>#N/A</v>
      </c>
      <c r="E375" s="14" t="s">
        <v>61</v>
      </c>
      <c r="F375" s="14" t="s">
        <v>34</v>
      </c>
      <c r="G375" s="24">
        <f t="shared" si="1"/>
        <v>23</v>
      </c>
      <c r="H375" s="19">
        <f>VLOOKUP(A375,Metrik!$C$2:$Y$959,8,0)</f>
        <v>6.5</v>
      </c>
      <c r="I375" s="20">
        <f>VLOOKUP(A375,Metrik!$C$2:$Y$959,9,0)</f>
        <v>1.2</v>
      </c>
      <c r="J375" s="20">
        <f>VLOOKUP(A375,Metrik!$C$2:$Y$959,10,0)</f>
        <v>18.6</v>
      </c>
      <c r="K375" s="20">
        <f>VLOOKUP(A375,Metrik!$C$2:$Y$959,11,0)</f>
        <v>2.4</v>
      </c>
      <c r="L375" s="20">
        <f>VLOOKUP(A375,Metrik!$C$2:$Y$959,12,0)</f>
        <v>6.8</v>
      </c>
      <c r="M375" s="20">
        <f>VLOOKUP(A375,Metrik!$C$2:$Y$959,19,0)</f>
        <v>130</v>
      </c>
      <c r="N375" s="44">
        <v>4.93</v>
      </c>
      <c r="O375" s="44">
        <v>20.1</v>
      </c>
      <c r="P375" s="44">
        <v>98.04</v>
      </c>
      <c r="Q375" s="44">
        <v>0.97</v>
      </c>
      <c r="R375" s="44">
        <v>56.46</v>
      </c>
      <c r="S375" s="44">
        <v>35.04</v>
      </c>
      <c r="T375" s="44">
        <v>6.81</v>
      </c>
      <c r="U375" s="22">
        <f>IFERROR(__xludf.DUMMYFUNCTION("IFERROR(GOOGLEFINANCE(A375,""closeyest""),"""")"),4250.0)</f>
        <v>4250</v>
      </c>
      <c r="V375" s="23">
        <f>IFERROR(__xludf.DUMMYFUNCTION("IFERROR(GOOGLEFINANCE(A375,""changepct""),"""")"),-1.18)</f>
        <v>-1.18</v>
      </c>
      <c r="W375" s="22">
        <f>IFERROR(__xludf.DUMMYFUNCTION("IFERROR(GOOGLEFINANCE(A375,""priceopen""),"""")"),4320.0)</f>
        <v>4320</v>
      </c>
      <c r="X375" s="22">
        <f>IFERROR(__xludf.DUMMYFUNCTION("IFERROR(GOOGLEFINANCE(A375,""high""),"""")"),4320.0)</f>
        <v>4320</v>
      </c>
      <c r="Y375" s="22">
        <f>IFERROR(__xludf.DUMMYFUNCTION("IFERROR(GOOGLEFINANCE(A375,""low""),"""")"),4200.0)</f>
        <v>4200</v>
      </c>
      <c r="Z375" s="22" t="str">
        <f>IFERROR(__xludf.DUMMYFUNCTION("IFERROR(GOOGLEFINANCE(A375,""volume""),"""")"),"")</f>
        <v/>
      </c>
      <c r="AA375" s="24" t="str">
        <f>VLOOKUP(A375,Metrik!$C$2:$Y$959,5,0)</f>
        <v>Banks</v>
      </c>
      <c r="AB375" s="24" t="str">
        <f>VLOOKUP(A375,Metrik!$C$2:$Y$959,3,0)</f>
        <v>Financials</v>
      </c>
    </row>
    <row r="376">
      <c r="A376" s="14" t="s">
        <v>215</v>
      </c>
      <c r="B376" s="14" t="str">
        <f t="array" ref="B376">VLOOKUP(A376,{Metrik!$C$2:$C$998,Metrik!$B$2:$B$998},2,0)</f>
        <v>Bank Mandiri (Persero) Tbk.</v>
      </c>
      <c r="C376" s="15">
        <f>IFERROR(__xludf.DUMMYFUNCTION("GOOGLEFINANCE(""IDX:""&amp;A376,""price"")"),4200.0)</f>
        <v>4200</v>
      </c>
      <c r="D376" s="16" t="str">
        <f>IFERROR(__xludf.DUMMYFUNCTION("IF(A376="""","""",
SPARKLINE(
INDEX(
GOOGLEFINANCE(""IDX:""&amp;A376,""close"",TODAY()-365,TODAY()),
,2
),
{""linewidth"",1}
))
"),"#N/A")</f>
        <v>#N/A</v>
      </c>
      <c r="E376" s="14" t="s">
        <v>161</v>
      </c>
      <c r="F376" s="14" t="s">
        <v>76</v>
      </c>
      <c r="G376" s="24">
        <f t="shared" si="1"/>
        <v>23</v>
      </c>
      <c r="H376" s="19">
        <f>VLOOKUP(A376,Metrik!$C$2:$Y$959,8,0)</f>
        <v>6.5</v>
      </c>
      <c r="I376" s="20">
        <f>VLOOKUP(A376,Metrik!$C$2:$Y$959,9,0)</f>
        <v>1.2</v>
      </c>
      <c r="J376" s="20">
        <f>VLOOKUP(A376,Metrik!$C$2:$Y$959,10,0)</f>
        <v>18.6</v>
      </c>
      <c r="K376" s="20">
        <f>VLOOKUP(A376,Metrik!$C$2:$Y$959,11,0)</f>
        <v>2.4</v>
      </c>
      <c r="L376" s="20">
        <f>VLOOKUP(A376,Metrik!$C$2:$Y$959,12,0)</f>
        <v>6.8</v>
      </c>
      <c r="M376" s="20">
        <f>VLOOKUP(A376,Metrik!$C$2:$Y$959,19,0)</f>
        <v>130</v>
      </c>
      <c r="N376" s="44">
        <v>4.93</v>
      </c>
      <c r="O376" s="44">
        <v>20.1</v>
      </c>
      <c r="P376" s="44">
        <v>98.04</v>
      </c>
      <c r="Q376" s="44">
        <v>0.97</v>
      </c>
      <c r="R376" s="44">
        <v>56.46</v>
      </c>
      <c r="S376" s="44">
        <v>35.04</v>
      </c>
      <c r="T376" s="44">
        <v>6.81</v>
      </c>
      <c r="U376" s="22">
        <f>IFERROR(__xludf.DUMMYFUNCTION("IFERROR(GOOGLEFINANCE(A376,""closeyest""),"""")"),4250.0)</f>
        <v>4250</v>
      </c>
      <c r="V376" s="23">
        <f>IFERROR(__xludf.DUMMYFUNCTION("IFERROR(GOOGLEFINANCE(A376,""changepct""),"""")"),-1.18)</f>
        <v>-1.18</v>
      </c>
      <c r="W376" s="22">
        <f>IFERROR(__xludf.DUMMYFUNCTION("IFERROR(GOOGLEFINANCE(A376,""priceopen""),"""")"),4320.0)</f>
        <v>4320</v>
      </c>
      <c r="X376" s="22">
        <f>IFERROR(__xludf.DUMMYFUNCTION("IFERROR(GOOGLEFINANCE(A376,""high""),"""")"),4320.0)</f>
        <v>4320</v>
      </c>
      <c r="Y376" s="22">
        <f>IFERROR(__xludf.DUMMYFUNCTION("IFERROR(GOOGLEFINANCE(A376,""low""),"""")"),4200.0)</f>
        <v>4200</v>
      </c>
      <c r="Z376" s="22" t="str">
        <f>IFERROR(__xludf.DUMMYFUNCTION("IFERROR(GOOGLEFINANCE(A376,""volume""),"""")"),"")</f>
        <v/>
      </c>
      <c r="AA376" s="24" t="str">
        <f>VLOOKUP(A376,Metrik!$C$2:$Y$959,5,0)</f>
        <v>Banks</v>
      </c>
      <c r="AB376" s="24" t="str">
        <f>VLOOKUP(A376,Metrik!$C$2:$Y$959,3,0)</f>
        <v>Financials</v>
      </c>
    </row>
    <row r="377">
      <c r="A377" s="14" t="s">
        <v>215</v>
      </c>
      <c r="B377" s="14" t="str">
        <f t="array" ref="B377">VLOOKUP(A377,{Metrik!$C$2:$C$998,Metrik!$B$2:$B$998},2,0)</f>
        <v>Bank Mandiri (Persero) Tbk.</v>
      </c>
      <c r="C377" s="15">
        <f>IFERROR(__xludf.DUMMYFUNCTION("GOOGLEFINANCE(""IDX:""&amp;A377,""price"")"),4200.0)</f>
        <v>4200</v>
      </c>
      <c r="D377" s="16" t="str">
        <f>IFERROR(__xludf.DUMMYFUNCTION("IF(A377="""","""",
SPARKLINE(
INDEX(
GOOGLEFINANCE(""IDX:""&amp;A377,""close"",TODAY()-365,TODAY()),
,2
),
{""linewidth"",1}
))
"),"#N/A")</f>
        <v>#N/A</v>
      </c>
      <c r="E377" s="14" t="s">
        <v>52</v>
      </c>
      <c r="F377" s="27" t="s">
        <v>53</v>
      </c>
      <c r="G377" s="24">
        <f t="shared" si="1"/>
        <v>23</v>
      </c>
      <c r="H377" s="19">
        <f>VLOOKUP(A377,Metrik!$C$2:$Y$959,8,0)</f>
        <v>6.5</v>
      </c>
      <c r="I377" s="20">
        <f>VLOOKUP(A377,Metrik!$C$2:$Y$959,9,0)</f>
        <v>1.2</v>
      </c>
      <c r="J377" s="20">
        <f>VLOOKUP(A377,Metrik!$C$2:$Y$959,10,0)</f>
        <v>18.6</v>
      </c>
      <c r="K377" s="20">
        <f>VLOOKUP(A377,Metrik!$C$2:$Y$959,11,0)</f>
        <v>2.4</v>
      </c>
      <c r="L377" s="20">
        <f>VLOOKUP(A377,Metrik!$C$2:$Y$959,12,0)</f>
        <v>6.8</v>
      </c>
      <c r="M377" s="20">
        <f>VLOOKUP(A377,Metrik!$C$2:$Y$959,19,0)</f>
        <v>130</v>
      </c>
      <c r="N377" s="44">
        <v>4.93</v>
      </c>
      <c r="O377" s="44">
        <v>20.1</v>
      </c>
      <c r="P377" s="44">
        <v>98.04</v>
      </c>
      <c r="Q377" s="44">
        <v>0.97</v>
      </c>
      <c r="R377" s="44">
        <v>56.46</v>
      </c>
      <c r="S377" s="44">
        <v>35.04</v>
      </c>
      <c r="T377" s="44">
        <v>6.81</v>
      </c>
      <c r="U377" s="22">
        <f>IFERROR(__xludf.DUMMYFUNCTION("IFERROR(GOOGLEFINANCE(A377,""closeyest""),"""")"),4250.0)</f>
        <v>4250</v>
      </c>
      <c r="V377" s="23">
        <f>IFERROR(__xludf.DUMMYFUNCTION("IFERROR(GOOGLEFINANCE(A377,""changepct""),"""")"),-1.18)</f>
        <v>-1.18</v>
      </c>
      <c r="W377" s="22">
        <f>IFERROR(__xludf.DUMMYFUNCTION("IFERROR(GOOGLEFINANCE(A377,""priceopen""),"""")"),4320.0)</f>
        <v>4320</v>
      </c>
      <c r="X377" s="22">
        <f>IFERROR(__xludf.DUMMYFUNCTION("IFERROR(GOOGLEFINANCE(A377,""high""),"""")"),4320.0)</f>
        <v>4320</v>
      </c>
      <c r="Y377" s="22">
        <f>IFERROR(__xludf.DUMMYFUNCTION("IFERROR(GOOGLEFINANCE(A377,""low""),"""")"),4200.0)</f>
        <v>4200</v>
      </c>
      <c r="Z377" s="22" t="str">
        <f>IFERROR(__xludf.DUMMYFUNCTION("IFERROR(GOOGLEFINANCE(A377,""volume""),"""")"),"")</f>
        <v/>
      </c>
      <c r="AA377" s="24" t="str">
        <f>VLOOKUP(A377,Metrik!$C$2:$Y$959,5,0)</f>
        <v>Banks</v>
      </c>
      <c r="AB377" s="24" t="str">
        <f>VLOOKUP(A377,Metrik!$C$2:$Y$959,3,0)</f>
        <v>Financials</v>
      </c>
    </row>
    <row r="378">
      <c r="A378" s="14" t="s">
        <v>215</v>
      </c>
      <c r="B378" s="14" t="str">
        <f t="array" ref="B378">VLOOKUP(A378,{Metrik!$C$2:$C$998,Metrik!$B$2:$B$998},2,0)</f>
        <v>Bank Mandiri (Persero) Tbk.</v>
      </c>
      <c r="C378" s="15">
        <f>IFERROR(__xludf.DUMMYFUNCTION("GOOGLEFINANCE(""IDX:""&amp;A378,""price"")"),4200.0)</f>
        <v>4200</v>
      </c>
      <c r="D378" s="16" t="str">
        <f>IFERROR(__xludf.DUMMYFUNCTION("IF(A378="""","""",
SPARKLINE(
INDEX(
GOOGLEFINANCE(""IDX:""&amp;A378,""close"",TODAY()-365,TODAY()),
,2
),
{""linewidth"",1}
))
"),"#N/A")</f>
        <v>#N/A</v>
      </c>
      <c r="E378" s="14" t="s">
        <v>162</v>
      </c>
      <c r="F378" s="14" t="s">
        <v>76</v>
      </c>
      <c r="G378" s="24">
        <f t="shared" si="1"/>
        <v>23</v>
      </c>
      <c r="H378" s="19">
        <f>VLOOKUP(A378,Metrik!$C$2:$Y$959,8,0)</f>
        <v>6.5</v>
      </c>
      <c r="I378" s="20">
        <f>VLOOKUP(A378,Metrik!$C$2:$Y$959,9,0)</f>
        <v>1.2</v>
      </c>
      <c r="J378" s="20">
        <f>VLOOKUP(A378,Metrik!$C$2:$Y$959,10,0)</f>
        <v>18.6</v>
      </c>
      <c r="K378" s="20">
        <f>VLOOKUP(A378,Metrik!$C$2:$Y$959,11,0)</f>
        <v>2.4</v>
      </c>
      <c r="L378" s="20">
        <f>VLOOKUP(A378,Metrik!$C$2:$Y$959,12,0)</f>
        <v>6.8</v>
      </c>
      <c r="M378" s="20">
        <f>VLOOKUP(A378,Metrik!$C$2:$Y$959,19,0)</f>
        <v>130</v>
      </c>
      <c r="N378" s="44">
        <v>4.93</v>
      </c>
      <c r="O378" s="44">
        <v>20.1</v>
      </c>
      <c r="P378" s="44">
        <v>98.04</v>
      </c>
      <c r="Q378" s="44">
        <v>0.97</v>
      </c>
      <c r="R378" s="44">
        <v>56.46</v>
      </c>
      <c r="S378" s="44">
        <v>35.04</v>
      </c>
      <c r="T378" s="44">
        <v>6.81</v>
      </c>
      <c r="U378" s="22">
        <f>IFERROR(__xludf.DUMMYFUNCTION("IFERROR(GOOGLEFINANCE(A378,""closeyest""),"""")"),4250.0)</f>
        <v>4250</v>
      </c>
      <c r="V378" s="23">
        <f>IFERROR(__xludf.DUMMYFUNCTION("IFERROR(GOOGLEFINANCE(A378,""changepct""),"""")"),-1.18)</f>
        <v>-1.18</v>
      </c>
      <c r="W378" s="22">
        <f>IFERROR(__xludf.DUMMYFUNCTION("IFERROR(GOOGLEFINANCE(A378,""priceopen""),"""")"),4320.0)</f>
        <v>4320</v>
      </c>
      <c r="X378" s="22">
        <f>IFERROR(__xludf.DUMMYFUNCTION("IFERROR(GOOGLEFINANCE(A378,""high""),"""")"),4320.0)</f>
        <v>4320</v>
      </c>
      <c r="Y378" s="22">
        <f>IFERROR(__xludf.DUMMYFUNCTION("IFERROR(GOOGLEFINANCE(A378,""low""),"""")"),4200.0)</f>
        <v>4200</v>
      </c>
      <c r="Z378" s="22" t="str">
        <f>IFERROR(__xludf.DUMMYFUNCTION("IFERROR(GOOGLEFINANCE(A378,""volume""),"""")"),"")</f>
        <v/>
      </c>
      <c r="AA378" s="24" t="str">
        <f>VLOOKUP(A378,Metrik!$C$2:$Y$959,5,0)</f>
        <v>Banks</v>
      </c>
      <c r="AB378" s="24" t="str">
        <f>VLOOKUP(A378,Metrik!$C$2:$Y$959,3,0)</f>
        <v>Financials</v>
      </c>
    </row>
    <row r="379">
      <c r="A379" s="14" t="s">
        <v>215</v>
      </c>
      <c r="B379" s="14" t="str">
        <f t="array" ref="B379">VLOOKUP(A379,{Metrik!$C$2:$C$998,Metrik!$B$2:$B$998},2,0)</f>
        <v>Bank Mandiri (Persero) Tbk.</v>
      </c>
      <c r="C379" s="15">
        <f>IFERROR(__xludf.DUMMYFUNCTION("GOOGLEFINANCE(""IDX:""&amp;A379,""price"")"),4200.0)</f>
        <v>4200</v>
      </c>
      <c r="D379" s="16" t="str">
        <f>IFERROR(__xludf.DUMMYFUNCTION("IF(A379="""","""",
SPARKLINE(
INDEX(
GOOGLEFINANCE(""IDX:""&amp;A379,""close"",TODAY()-365,TODAY()),
,2
),
{""linewidth"",1}
))
"),"#N/A")</f>
        <v>#N/A</v>
      </c>
      <c r="E379" s="14" t="s">
        <v>86</v>
      </c>
      <c r="F379" s="25">
        <v>46356.0</v>
      </c>
      <c r="G379" s="24">
        <f t="shared" si="1"/>
        <v>23</v>
      </c>
      <c r="H379" s="19">
        <f>VLOOKUP(A379,Metrik!$C$2:$Y$959,8,0)</f>
        <v>6.5</v>
      </c>
      <c r="I379" s="20">
        <f>VLOOKUP(A379,Metrik!$C$2:$Y$959,9,0)</f>
        <v>1.2</v>
      </c>
      <c r="J379" s="20">
        <f>VLOOKUP(A379,Metrik!$C$2:$Y$959,10,0)</f>
        <v>18.6</v>
      </c>
      <c r="K379" s="20">
        <f>VLOOKUP(A379,Metrik!$C$2:$Y$959,11,0)</f>
        <v>2.4</v>
      </c>
      <c r="L379" s="20">
        <f>VLOOKUP(A379,Metrik!$C$2:$Y$959,12,0)</f>
        <v>6.8</v>
      </c>
      <c r="M379" s="20">
        <f>VLOOKUP(A379,Metrik!$C$2:$Y$959,19,0)</f>
        <v>130</v>
      </c>
      <c r="N379" s="44">
        <v>4.93</v>
      </c>
      <c r="O379" s="44">
        <v>20.1</v>
      </c>
      <c r="P379" s="44">
        <v>98.04</v>
      </c>
      <c r="Q379" s="44">
        <v>0.97</v>
      </c>
      <c r="R379" s="44">
        <v>56.46</v>
      </c>
      <c r="S379" s="44">
        <v>35.04</v>
      </c>
      <c r="T379" s="44">
        <v>6.81</v>
      </c>
      <c r="U379" s="22">
        <f>IFERROR(__xludf.DUMMYFUNCTION("IFERROR(GOOGLEFINANCE(A379,""closeyest""),"""")"),4250.0)</f>
        <v>4250</v>
      </c>
      <c r="V379" s="23">
        <f>IFERROR(__xludf.DUMMYFUNCTION("IFERROR(GOOGLEFINANCE(A379,""changepct""),"""")"),-1.18)</f>
        <v>-1.18</v>
      </c>
      <c r="W379" s="22">
        <f>IFERROR(__xludf.DUMMYFUNCTION("IFERROR(GOOGLEFINANCE(A379,""priceopen""),"""")"),4320.0)</f>
        <v>4320</v>
      </c>
      <c r="X379" s="22">
        <f>IFERROR(__xludf.DUMMYFUNCTION("IFERROR(GOOGLEFINANCE(A379,""high""),"""")"),4320.0)</f>
        <v>4320</v>
      </c>
      <c r="Y379" s="22">
        <f>IFERROR(__xludf.DUMMYFUNCTION("IFERROR(GOOGLEFINANCE(A379,""low""),"""")"),4200.0)</f>
        <v>4200</v>
      </c>
      <c r="Z379" s="22" t="str">
        <f>IFERROR(__xludf.DUMMYFUNCTION("IFERROR(GOOGLEFINANCE(A379,""volume""),"""")"),"")</f>
        <v/>
      </c>
      <c r="AA379" s="24" t="str">
        <f>VLOOKUP(A379,Metrik!$C$2:$Y$959,5,0)</f>
        <v>Banks</v>
      </c>
      <c r="AB379" s="24" t="str">
        <f>VLOOKUP(A379,Metrik!$C$2:$Y$959,3,0)</f>
        <v>Financials</v>
      </c>
    </row>
    <row r="380">
      <c r="A380" s="14" t="s">
        <v>215</v>
      </c>
      <c r="B380" s="14" t="str">
        <f t="array" ref="B380">VLOOKUP(A380,{Metrik!$C$2:$C$998,Metrik!$B$2:$B$998},2,0)</f>
        <v>Bank Mandiri (Persero) Tbk.</v>
      </c>
      <c r="C380" s="15">
        <f>IFERROR(__xludf.DUMMYFUNCTION("GOOGLEFINANCE(""IDX:""&amp;A380,""price"")"),4200.0)</f>
        <v>4200</v>
      </c>
      <c r="D380" s="16" t="str">
        <f>IFERROR(__xludf.DUMMYFUNCTION("IF(A380="""","""",
SPARKLINE(
INDEX(
GOOGLEFINANCE(""IDX:""&amp;A380,""close"",TODAY()-365,TODAY()),
,2
),
{""linewidth"",1}
))
"),"#N/A")</f>
        <v>#N/A</v>
      </c>
      <c r="E380" s="14" t="s">
        <v>42</v>
      </c>
      <c r="F380" s="25">
        <v>46356.0</v>
      </c>
      <c r="G380" s="24">
        <f t="shared" si="1"/>
        <v>23</v>
      </c>
      <c r="H380" s="19">
        <f>VLOOKUP(A380,Metrik!$C$2:$Y$959,8,0)</f>
        <v>6.5</v>
      </c>
      <c r="I380" s="20">
        <f>VLOOKUP(A380,Metrik!$C$2:$Y$959,9,0)</f>
        <v>1.2</v>
      </c>
      <c r="J380" s="20">
        <f>VLOOKUP(A380,Metrik!$C$2:$Y$959,10,0)</f>
        <v>18.6</v>
      </c>
      <c r="K380" s="20">
        <f>VLOOKUP(A380,Metrik!$C$2:$Y$959,11,0)</f>
        <v>2.4</v>
      </c>
      <c r="L380" s="20">
        <f>VLOOKUP(A380,Metrik!$C$2:$Y$959,12,0)</f>
        <v>6.8</v>
      </c>
      <c r="M380" s="20">
        <f>VLOOKUP(A380,Metrik!$C$2:$Y$959,19,0)</f>
        <v>130</v>
      </c>
      <c r="N380" s="44">
        <v>4.93</v>
      </c>
      <c r="O380" s="44">
        <v>20.1</v>
      </c>
      <c r="P380" s="44">
        <v>98.04</v>
      </c>
      <c r="Q380" s="44">
        <v>0.97</v>
      </c>
      <c r="R380" s="44">
        <v>56.46</v>
      </c>
      <c r="S380" s="44">
        <v>35.04</v>
      </c>
      <c r="T380" s="44">
        <v>6.81</v>
      </c>
      <c r="U380" s="22">
        <f>IFERROR(__xludf.DUMMYFUNCTION("IFERROR(GOOGLEFINANCE(A380,""closeyest""),"""")"),4250.0)</f>
        <v>4250</v>
      </c>
      <c r="V380" s="23">
        <f>IFERROR(__xludf.DUMMYFUNCTION("IFERROR(GOOGLEFINANCE(A380,""changepct""),"""")"),-1.18)</f>
        <v>-1.18</v>
      </c>
      <c r="W380" s="22">
        <f>IFERROR(__xludf.DUMMYFUNCTION("IFERROR(GOOGLEFINANCE(A380,""priceopen""),"""")"),4320.0)</f>
        <v>4320</v>
      </c>
      <c r="X380" s="22">
        <f>IFERROR(__xludf.DUMMYFUNCTION("IFERROR(GOOGLEFINANCE(A380,""high""),"""")"),4320.0)</f>
        <v>4320</v>
      </c>
      <c r="Y380" s="22">
        <f>IFERROR(__xludf.DUMMYFUNCTION("IFERROR(GOOGLEFINANCE(A380,""low""),"""")"),4200.0)</f>
        <v>4200</v>
      </c>
      <c r="Z380" s="22" t="str">
        <f>IFERROR(__xludf.DUMMYFUNCTION("IFERROR(GOOGLEFINANCE(A380,""volume""),"""")"),"")</f>
        <v/>
      </c>
      <c r="AA380" s="24" t="str">
        <f>VLOOKUP(A380,Metrik!$C$2:$Y$959,5,0)</f>
        <v>Banks</v>
      </c>
      <c r="AB380" s="24" t="str">
        <f>VLOOKUP(A380,Metrik!$C$2:$Y$959,3,0)</f>
        <v>Financials</v>
      </c>
    </row>
    <row r="381">
      <c r="A381" s="14" t="s">
        <v>216</v>
      </c>
      <c r="B381" s="14" t="str">
        <f t="array" ref="B381">VLOOKUP(A381,{Metrik!$C$2:$C$998,Metrik!$B$2:$B$998},2,0)</f>
        <v>Bintang Mitra Semestaraya Tbk</v>
      </c>
      <c r="C381" s="15">
        <f>IFERROR(__xludf.DUMMYFUNCTION("GOOGLEFINANCE(""IDX:""&amp;A381,""price"")"),288.0)</f>
        <v>288</v>
      </c>
      <c r="D381" s="16" t="str">
        <f>IFERROR(__xludf.DUMMYFUNCTION("IF(A381="""","""",
SPARKLINE(
INDEX(
GOOGLEFINANCE(""IDX:""&amp;A381,""close"",TODAY()-365,TODAY()),
,2
),
{""linewidth"",1}
))
"),"#N/A")</f>
        <v>#N/A</v>
      </c>
      <c r="E381" s="26"/>
      <c r="F381" s="26"/>
      <c r="G381" s="24">
        <f t="shared" si="1"/>
        <v>0</v>
      </c>
      <c r="H381" s="19">
        <f>VLOOKUP(A381,Metrik!$C$2:$Y$959,8,0)</f>
        <v>3.5</v>
      </c>
      <c r="I381" s="20">
        <f>VLOOKUP(A381,Metrik!$C$2:$Y$959,9,0)</f>
        <v>0.38</v>
      </c>
      <c r="J381" s="20">
        <f>VLOOKUP(A381,Metrik!$C$2:$Y$959,10,0)</f>
        <v>10.8</v>
      </c>
      <c r="K381" s="20">
        <f>VLOOKUP(A381,Metrik!$C$2:$Y$959,11,0)</f>
        <v>6.1</v>
      </c>
      <c r="L381" s="20">
        <f>VLOOKUP(A381,Metrik!$C$2:$Y$959,12,0)</f>
        <v>0.78</v>
      </c>
      <c r="M381" s="20">
        <f>VLOOKUP(A381,Metrik!$C$2:$Y$959,19,0)</f>
        <v>13.4</v>
      </c>
      <c r="N381" s="21"/>
      <c r="O381" s="21"/>
      <c r="P381" s="21"/>
      <c r="Q381" s="21"/>
      <c r="R381" s="21"/>
      <c r="S381" s="21"/>
      <c r="T381" s="21"/>
      <c r="U381" s="22">
        <f>IFERROR(__xludf.DUMMYFUNCTION("IFERROR(GOOGLEFINANCE(A381,""closeyest""),"""")"),262.0)</f>
        <v>262</v>
      </c>
      <c r="V381" s="23" t="str">
        <f>IFERROR(__xludf.DUMMYFUNCTION("IFERROR(GOOGLEFINANCE(A381,""changepct""),"""")"),"")</f>
        <v/>
      </c>
      <c r="W381" s="22">
        <f>IFERROR(__xludf.DUMMYFUNCTION("IFERROR(GOOGLEFINANCE(A381,""priceopen""),"""")"),290.0)</f>
        <v>290</v>
      </c>
      <c r="X381" s="22">
        <f>IFERROR(__xludf.DUMMYFUNCTION("IFERROR(GOOGLEFINANCE(A381,""high""),"""")"),300.0)</f>
        <v>300</v>
      </c>
      <c r="Y381" s="22">
        <f>IFERROR(__xludf.DUMMYFUNCTION("IFERROR(GOOGLEFINANCE(A381,""low""),"""")"),264.0)</f>
        <v>264</v>
      </c>
      <c r="Z381" s="22">
        <f>IFERROR(__xludf.DUMMYFUNCTION("IFERROR(GOOGLEFINANCE(A381,""volume""),"""")"),50400.0)</f>
        <v>50400</v>
      </c>
      <c r="AA381" s="24" t="str">
        <f>VLOOKUP(A381,Metrik!$C$2:$Y$959,5,0)</f>
        <v>Chemicals</v>
      </c>
      <c r="AB381" s="24" t="str">
        <f>VLOOKUP(A381,Metrik!$C$2:$Y$959,3,0)</f>
        <v>Basic Materials</v>
      </c>
    </row>
    <row r="382">
      <c r="A382" s="14" t="s">
        <v>217</v>
      </c>
      <c r="B382" s="14" t="str">
        <f t="array" ref="B382">VLOOKUP(A382,{Metrik!$C$2:$C$998,Metrik!$B$2:$B$998},2,0)</f>
        <v>PT Global Mediacom Tbk</v>
      </c>
      <c r="C382" s="15">
        <f>IFERROR(__xludf.DUMMYFUNCTION("GOOGLEFINANCE(""IDX:""&amp;A382,""price"")"),119.0)</f>
        <v>119</v>
      </c>
      <c r="D382" s="16" t="str">
        <f>IFERROR(__xludf.DUMMYFUNCTION("IF(A382="""","""",
SPARKLINE(
INDEX(
GOOGLEFINANCE(""IDX:""&amp;A382,""close"",TODAY()-365,TODAY()),
,2
),
{""linewidth"",1}
))
"),"#N/A")</f>
        <v>#N/A</v>
      </c>
      <c r="E382" s="26"/>
      <c r="F382" s="26"/>
      <c r="G382" s="24">
        <f t="shared" si="1"/>
        <v>0</v>
      </c>
      <c r="H382" s="19">
        <f>VLOOKUP(A382,Metrik!$C$2:$Y$959,8,0)</f>
        <v>2.5</v>
      </c>
      <c r="I382" s="20">
        <f>VLOOKUP(A382,Metrik!$C$2:$Y$959,9,0)</f>
        <v>0.07</v>
      </c>
      <c r="J382" s="20">
        <f>VLOOKUP(A382,Metrik!$C$2:$Y$959,10,0)</f>
        <v>2.9</v>
      </c>
      <c r="K382" s="20">
        <f>VLOOKUP(A382,Metrik!$C$2:$Y$959,11,0)</f>
        <v>2.4</v>
      </c>
      <c r="L382" s="20">
        <f>VLOOKUP(A382,Metrik!$C$2:$Y$959,12,0)</f>
        <v>0.23</v>
      </c>
      <c r="M382" s="20">
        <f>VLOOKUP(A382,Metrik!$C$2:$Y$959,19,0)</f>
        <v>35.3</v>
      </c>
      <c r="N382" s="21"/>
      <c r="O382" s="21"/>
      <c r="P382" s="21"/>
      <c r="Q382" s="21"/>
      <c r="R382" s="21"/>
      <c r="S382" s="21"/>
      <c r="T382" s="21"/>
      <c r="U382" s="22">
        <f>IFERROR(__xludf.DUMMYFUNCTION("IFERROR(GOOGLEFINANCE(A382,""closeyest""),"""")"),114.0)</f>
        <v>114</v>
      </c>
      <c r="V382" s="23">
        <f>IFERROR(__xludf.DUMMYFUNCTION("IFERROR(GOOGLEFINANCE(A382,""changepct""),"""")"),4.39)</f>
        <v>4.39</v>
      </c>
      <c r="W382" s="22">
        <f>IFERROR(__xludf.DUMMYFUNCTION("IFERROR(GOOGLEFINANCE(A382,""priceopen""),"""")"),114.0)</f>
        <v>114</v>
      </c>
      <c r="X382" s="22">
        <f>IFERROR(__xludf.DUMMYFUNCTION("IFERROR(GOOGLEFINANCE(A382,""high""),"""")"),119.0)</f>
        <v>119</v>
      </c>
      <c r="Y382" s="22">
        <f>IFERROR(__xludf.DUMMYFUNCTION("IFERROR(GOOGLEFINANCE(A382,""low""),"""")"),114.0)</f>
        <v>114</v>
      </c>
      <c r="Z382" s="22">
        <f>IFERROR(__xludf.DUMMYFUNCTION("IFERROR(GOOGLEFINANCE(A382,""volume""),"""")"),2.61078E7)</f>
        <v>26107800</v>
      </c>
      <c r="AA382" s="24" t="str">
        <f>VLOOKUP(A382,Metrik!$C$2:$Y$959,5,0)</f>
        <v>Multi-sector Holdings</v>
      </c>
      <c r="AB382" s="24" t="str">
        <f>VLOOKUP(A382,Metrik!$C$2:$Y$959,3,0)</f>
        <v>Industrials</v>
      </c>
    </row>
    <row r="383">
      <c r="A383" s="14" t="s">
        <v>218</v>
      </c>
      <c r="B383" s="14" t="str">
        <f t="array" ref="B383">VLOOKUP(A383,{Metrik!$C$2:$C$998,Metrik!$B$2:$B$998},2,0)</f>
        <v>Bank Bumi Arta Tbk</v>
      </c>
      <c r="C383" s="15">
        <f>IFERROR(__xludf.DUMMYFUNCTION("GOOGLEFINANCE(""IDX:""&amp;A383,""price"")"),785.0)</f>
        <v>785</v>
      </c>
      <c r="D383" s="16" t="str">
        <f>IFERROR(__xludf.DUMMYFUNCTION("IF(A383="""","""",
SPARKLINE(
INDEX(
GOOGLEFINANCE(""IDX:""&amp;A383,""close"",TODAY()-365,TODAY()),
,2
),
{""linewidth"",1}
))
"),"#N/A")</f>
        <v>#N/A</v>
      </c>
      <c r="E383" s="26"/>
      <c r="F383" s="26"/>
      <c r="G383" s="24">
        <f t="shared" si="1"/>
        <v>0</v>
      </c>
      <c r="H383" s="19">
        <f>VLOOKUP(A383,Metrik!$C$2:$Y$959,8,0)</f>
        <v>1000</v>
      </c>
      <c r="I383" s="20">
        <f>VLOOKUP(A383,Metrik!$C$2:$Y$959,9,0)</f>
        <v>0.7</v>
      </c>
      <c r="J383" s="20">
        <f>VLOOKUP(A383,Metrik!$C$2:$Y$959,10,0)</f>
        <v>0.07</v>
      </c>
      <c r="K383" s="20">
        <f>VLOOKUP(A383,Metrik!$C$2:$Y$959,11,0)</f>
        <v>0.03</v>
      </c>
      <c r="L383" s="20">
        <f>VLOOKUP(A383,Metrik!$C$2:$Y$959,12,0)</f>
        <v>1.6</v>
      </c>
      <c r="M383" s="20">
        <f>VLOOKUP(A383,Metrik!$C$2:$Y$959,19,0)</f>
        <v>1.8</v>
      </c>
      <c r="N383" s="32">
        <v>3.42</v>
      </c>
      <c r="O383" s="32">
        <v>34.15</v>
      </c>
      <c r="P383" s="32">
        <v>77.12</v>
      </c>
      <c r="Q383" s="32">
        <v>3.05</v>
      </c>
      <c r="R383" s="32">
        <v>94.12</v>
      </c>
      <c r="S383" s="32">
        <v>78.15</v>
      </c>
      <c r="T383" s="32">
        <v>10.4</v>
      </c>
      <c r="U383" s="22">
        <f>IFERROR(__xludf.DUMMYFUNCTION("IFERROR(GOOGLEFINANCE(A383,""closeyest""),"""")"),39.76)</f>
        <v>39.76</v>
      </c>
      <c r="V383" s="23">
        <f>IFERROR(__xludf.DUMMYFUNCTION("IFERROR(GOOGLEFINANCE(A383,""changepct""),"""")"),-0.05)</f>
        <v>-0.05</v>
      </c>
      <c r="W383" s="22">
        <f>IFERROR(__xludf.DUMMYFUNCTION("IFERROR(GOOGLEFINANCE(A383,""priceopen""),"""")"),39.74)</f>
        <v>39.74</v>
      </c>
      <c r="X383" s="22">
        <f>IFERROR(__xludf.DUMMYFUNCTION("IFERROR(GOOGLEFINANCE(A383,""high""),"""")"),39.74)</f>
        <v>39.74</v>
      </c>
      <c r="Y383" s="22">
        <f>IFERROR(__xludf.DUMMYFUNCTION("IFERROR(GOOGLEFINANCE(A383,""low""),"""")"),39.74)</f>
        <v>39.74</v>
      </c>
      <c r="Z383" s="22">
        <f>IFERROR(__xludf.DUMMYFUNCTION("IFERROR(GOOGLEFINANCE(A383,""volume""),"""")"),0.0)</f>
        <v>0</v>
      </c>
      <c r="AA383" s="24" t="str">
        <f>VLOOKUP(A383,Metrik!$C$2:$Y$959,5,0)</f>
        <v>Banks</v>
      </c>
      <c r="AB383" s="24" t="str">
        <f>VLOOKUP(A383,Metrik!$C$2:$Y$959,3,0)</f>
        <v>Financials</v>
      </c>
    </row>
    <row r="384">
      <c r="A384" s="14" t="s">
        <v>219</v>
      </c>
      <c r="B384" s="14" t="str">
        <f t="array" ref="B384">VLOOKUP(A384,{Metrik!$C$2:$C$998,Metrik!$B$2:$B$998},2,0)</f>
        <v>Bakrie &amp; Brothers Tbk</v>
      </c>
      <c r="C384" s="15">
        <f>IFERROR(__xludf.DUMMYFUNCTION("GOOGLEFINANCE(""IDX:""&amp;A384,""price"")"),110.0)</f>
        <v>110</v>
      </c>
      <c r="D384" s="16" t="str">
        <f>IFERROR(__xludf.DUMMYFUNCTION("IF(A384="""","""",
SPARKLINE(
INDEX(
GOOGLEFINANCE(""IDX:""&amp;A384,""close"",TODAY()-365,TODAY()),
,2
),
{""linewidth"",1}
))
"),"#N/A")</f>
        <v>#N/A</v>
      </c>
      <c r="E384" s="26"/>
      <c r="F384" s="26"/>
      <c r="G384" s="24">
        <f t="shared" si="1"/>
        <v>0</v>
      </c>
      <c r="H384" s="19">
        <f>VLOOKUP(A384,Metrik!$C$2:$Y$959,8,0)</f>
        <v>50.3</v>
      </c>
      <c r="I384" s="20">
        <f>VLOOKUP(A384,Metrik!$C$2:$Y$959,9,0)</f>
        <v>4.6</v>
      </c>
      <c r="J384" s="20">
        <f>VLOOKUP(A384,Metrik!$C$2:$Y$959,10,0)</f>
        <v>9.2</v>
      </c>
      <c r="K384" s="20">
        <f>VLOOKUP(A384,Metrik!$C$2:$Y$959,11,0)</f>
        <v>1.8</v>
      </c>
      <c r="L384" s="20">
        <f>VLOOKUP(A384,Metrik!$C$2:$Y$959,12,0)</f>
        <v>4</v>
      </c>
      <c r="M384" s="20">
        <f>VLOOKUP(A384,Metrik!$C$2:$Y$959,19,0)</f>
        <v>39.2</v>
      </c>
      <c r="N384" s="21"/>
      <c r="O384" s="21"/>
      <c r="P384" s="21"/>
      <c r="Q384" s="21"/>
      <c r="R384" s="21"/>
      <c r="S384" s="21"/>
      <c r="T384" s="21"/>
      <c r="U384" s="22">
        <f>IFERROR(__xludf.DUMMYFUNCTION("IFERROR(GOOGLEFINANCE(A384,""closeyest""),"""")"),98.0)</f>
        <v>98</v>
      </c>
      <c r="V384" s="23">
        <f>IFERROR(__xludf.DUMMYFUNCTION("IFERROR(GOOGLEFINANCE(A384,""changepct""),"""")"),12.24)</f>
        <v>12.24</v>
      </c>
      <c r="W384" s="22">
        <f>IFERROR(__xludf.DUMMYFUNCTION("IFERROR(GOOGLEFINANCE(A384,""priceopen""),"""")"),100.0)</f>
        <v>100</v>
      </c>
      <c r="X384" s="22">
        <f>IFERROR(__xludf.DUMMYFUNCTION("IFERROR(GOOGLEFINANCE(A384,""high""),"""")"),114.0)</f>
        <v>114</v>
      </c>
      <c r="Y384" s="22">
        <f>IFERROR(__xludf.DUMMYFUNCTION("IFERROR(GOOGLEFINANCE(A384,""low""),"""")"),100.0)</f>
        <v>100</v>
      </c>
      <c r="Z384" s="22">
        <f>IFERROR(__xludf.DUMMYFUNCTION("IFERROR(GOOGLEFINANCE(A384,""volume""),"""")"),1.9779377E9)</f>
        <v>1977937700</v>
      </c>
      <c r="AA384" s="24" t="str">
        <f>VLOOKUP(A384,Metrik!$C$2:$Y$959,5,0)</f>
        <v>Multi-sector Holdings</v>
      </c>
      <c r="AB384" s="24" t="str">
        <f>VLOOKUP(A384,Metrik!$C$2:$Y$959,3,0)</f>
        <v>Industrials</v>
      </c>
    </row>
    <row r="385">
      <c r="A385" s="14" t="s">
        <v>220</v>
      </c>
      <c r="B385" s="14" t="str">
        <f t="array" ref="B385">VLOOKUP(A385,{Metrik!$C$2:$C$998,Metrik!$B$2:$B$998},2,0)</f>
        <v>PT Bank CIMB Niaga Tbk</v>
      </c>
      <c r="C385" s="15">
        <f>IFERROR(__xludf.DUMMYFUNCTION("GOOGLEFINANCE(""IDX:""&amp;A385,""price"")"),1550.0)</f>
        <v>1550</v>
      </c>
      <c r="D385" s="16" t="str">
        <f>IFERROR(__xludf.DUMMYFUNCTION("IF(A385="""","""",
SPARKLINE(
INDEX(
GOOGLEFINANCE(""IDX:""&amp;A385,""close"",TODAY()-365,TODAY()),
,2
),
{""linewidth"",1}
))
"),"#N/A")</f>
        <v>#N/A</v>
      </c>
      <c r="E385" s="14" t="s">
        <v>75</v>
      </c>
      <c r="F385" s="14" t="s">
        <v>76</v>
      </c>
      <c r="G385" s="24">
        <f t="shared" si="1"/>
        <v>5</v>
      </c>
      <c r="H385" s="19">
        <f>VLOOKUP(A385,Metrik!$C$2:$Y$959,8,0)</f>
        <v>5.9</v>
      </c>
      <c r="I385" s="20">
        <f>VLOOKUP(A385,Metrik!$C$2:$Y$959,9,0)</f>
        <v>0.69</v>
      </c>
      <c r="J385" s="20">
        <f>VLOOKUP(A385,Metrik!$C$2:$Y$959,10,0)</f>
        <v>11.6</v>
      </c>
      <c r="K385" s="20">
        <f>VLOOKUP(A385,Metrik!$C$2:$Y$959,11,0)</f>
        <v>1.9</v>
      </c>
      <c r="L385" s="20">
        <f>VLOOKUP(A385,Metrik!$C$2:$Y$959,12,0)</f>
        <v>5.2</v>
      </c>
      <c r="M385" s="20">
        <f>VLOOKUP(A385,Metrik!$C$2:$Y$959,19,0)</f>
        <v>110</v>
      </c>
      <c r="N385" s="44">
        <v>4.37</v>
      </c>
      <c r="O385" s="44">
        <v>24.83</v>
      </c>
      <c r="P385" s="44">
        <v>86.81</v>
      </c>
      <c r="Q385" s="44">
        <v>2.05</v>
      </c>
      <c r="R385" s="44">
        <v>73.11</v>
      </c>
      <c r="S385" s="44">
        <v>45.21</v>
      </c>
      <c r="T385" s="44">
        <v>10.03</v>
      </c>
      <c r="U385" s="22">
        <f>IFERROR(__xludf.DUMMYFUNCTION("IFERROR(GOOGLEFINANCE(A385,""closeyest""),"""")"),1525.0)</f>
        <v>1525</v>
      </c>
      <c r="V385" s="23">
        <f>IFERROR(__xludf.DUMMYFUNCTION("IFERROR(GOOGLEFINANCE(A385,""changepct""),"""")"),1.64)</f>
        <v>1.64</v>
      </c>
      <c r="W385" s="22">
        <f>IFERROR(__xludf.DUMMYFUNCTION("IFERROR(GOOGLEFINANCE(A385,""priceopen""),"""")"),1525.0)</f>
        <v>1525</v>
      </c>
      <c r="X385" s="22">
        <f>IFERROR(__xludf.DUMMYFUNCTION("IFERROR(GOOGLEFINANCE(A385,""high""),"""")"),1560.0)</f>
        <v>1560</v>
      </c>
      <c r="Y385" s="22">
        <f>IFERROR(__xludf.DUMMYFUNCTION("IFERROR(GOOGLEFINANCE(A385,""low""),"""")"),1525.0)</f>
        <v>1525</v>
      </c>
      <c r="Z385" s="22">
        <f>IFERROR(__xludf.DUMMYFUNCTION("IFERROR(GOOGLEFINANCE(A385,""volume""),"""")"),4464900.0)</f>
        <v>4464900</v>
      </c>
      <c r="AA385" s="24" t="str">
        <f>VLOOKUP(A385,Metrik!$C$2:$Y$959,5,0)</f>
        <v>Banks</v>
      </c>
      <c r="AB385" s="24" t="str">
        <f>VLOOKUP(A385,Metrik!$C$2:$Y$959,3,0)</f>
        <v>Financials</v>
      </c>
    </row>
    <row r="386">
      <c r="A386" s="14" t="s">
        <v>220</v>
      </c>
      <c r="B386" s="14" t="str">
        <f t="array" ref="B386">VLOOKUP(A386,{Metrik!$C$2:$C$998,Metrik!$B$2:$B$998},2,0)</f>
        <v>PT Bank CIMB Niaga Tbk</v>
      </c>
      <c r="C386" s="15">
        <f>IFERROR(__xludf.DUMMYFUNCTION("GOOGLEFINANCE(""IDX:""&amp;A386,""price"")"),1550.0)</f>
        <v>1550</v>
      </c>
      <c r="D386" s="16" t="str">
        <f>IFERROR(__xludf.DUMMYFUNCTION("IF(A386="""","""",
SPARKLINE(
INDEX(
GOOGLEFINANCE(""IDX:""&amp;A386,""close"",TODAY()-365,TODAY()),
,2
),
{""linewidth"",1}
))
"),"#N/A")</f>
        <v>#N/A</v>
      </c>
      <c r="E386" s="14" t="s">
        <v>84</v>
      </c>
      <c r="F386" s="17" t="s">
        <v>51</v>
      </c>
      <c r="G386" s="24">
        <f t="shared" si="1"/>
        <v>5</v>
      </c>
      <c r="H386" s="19">
        <f>VLOOKUP(A386,Metrik!$C$2:$Y$959,8,0)</f>
        <v>5.9</v>
      </c>
      <c r="I386" s="20">
        <f>VLOOKUP(A386,Metrik!$C$2:$Y$959,9,0)</f>
        <v>0.69</v>
      </c>
      <c r="J386" s="20">
        <f>VLOOKUP(A386,Metrik!$C$2:$Y$959,10,0)</f>
        <v>11.6</v>
      </c>
      <c r="K386" s="20">
        <f>VLOOKUP(A386,Metrik!$C$2:$Y$959,11,0)</f>
        <v>1.9</v>
      </c>
      <c r="L386" s="20">
        <f>VLOOKUP(A386,Metrik!$C$2:$Y$959,12,0)</f>
        <v>5.2</v>
      </c>
      <c r="M386" s="20">
        <f>VLOOKUP(A386,Metrik!$C$2:$Y$959,19,0)</f>
        <v>110</v>
      </c>
      <c r="N386" s="44">
        <v>4.37</v>
      </c>
      <c r="O386" s="44">
        <v>24.83</v>
      </c>
      <c r="P386" s="44">
        <v>86.81</v>
      </c>
      <c r="Q386" s="44">
        <v>2.05</v>
      </c>
      <c r="R386" s="44">
        <v>73.11</v>
      </c>
      <c r="S386" s="44">
        <v>45.21</v>
      </c>
      <c r="T386" s="44">
        <v>10.03</v>
      </c>
      <c r="U386" s="22">
        <f>IFERROR(__xludf.DUMMYFUNCTION("IFERROR(GOOGLEFINANCE(A386,""closeyest""),"""")"),1525.0)</f>
        <v>1525</v>
      </c>
      <c r="V386" s="23">
        <f>IFERROR(__xludf.DUMMYFUNCTION("IFERROR(GOOGLEFINANCE(A386,""changepct""),"""")"),1.64)</f>
        <v>1.64</v>
      </c>
      <c r="W386" s="22">
        <f>IFERROR(__xludf.DUMMYFUNCTION("IFERROR(GOOGLEFINANCE(A386,""priceopen""),"""")"),1525.0)</f>
        <v>1525</v>
      </c>
      <c r="X386" s="22">
        <f>IFERROR(__xludf.DUMMYFUNCTION("IFERROR(GOOGLEFINANCE(A386,""high""),"""")"),1560.0)</f>
        <v>1560</v>
      </c>
      <c r="Y386" s="22">
        <f>IFERROR(__xludf.DUMMYFUNCTION("IFERROR(GOOGLEFINANCE(A386,""low""),"""")"),1525.0)</f>
        <v>1525</v>
      </c>
      <c r="Z386" s="22">
        <f>IFERROR(__xludf.DUMMYFUNCTION("IFERROR(GOOGLEFINANCE(A386,""volume""),"""")"),4464900.0)</f>
        <v>4464900</v>
      </c>
      <c r="AA386" s="24" t="str">
        <f>VLOOKUP(A386,Metrik!$C$2:$Y$959,5,0)</f>
        <v>Banks</v>
      </c>
      <c r="AB386" s="24" t="str">
        <f>VLOOKUP(A386,Metrik!$C$2:$Y$959,3,0)</f>
        <v>Financials</v>
      </c>
    </row>
    <row r="387">
      <c r="A387" s="14" t="s">
        <v>220</v>
      </c>
      <c r="B387" s="14" t="str">
        <f t="array" ref="B387">VLOOKUP(A387,{Metrik!$C$2:$C$998,Metrik!$B$2:$B$998},2,0)</f>
        <v>PT Bank CIMB Niaga Tbk</v>
      </c>
      <c r="C387" s="15">
        <f>IFERROR(__xludf.DUMMYFUNCTION("GOOGLEFINANCE(""IDX:""&amp;A387,""price"")"),1550.0)</f>
        <v>1550</v>
      </c>
      <c r="D387" s="16" t="str">
        <f>IFERROR(__xludf.DUMMYFUNCTION("IF(A387="""","""",
SPARKLINE(
INDEX(
GOOGLEFINANCE(""IDX:""&amp;A387,""close"",TODAY()-365,TODAY()),
,2
),
{""linewidth"",1}
))
"),"#N/A")</f>
        <v>#N/A</v>
      </c>
      <c r="E387" s="14" t="s">
        <v>162</v>
      </c>
      <c r="F387" s="14" t="s">
        <v>76</v>
      </c>
      <c r="G387" s="24">
        <f t="shared" si="1"/>
        <v>5</v>
      </c>
      <c r="H387" s="19">
        <f>VLOOKUP(A387,Metrik!$C$2:$Y$959,8,0)</f>
        <v>5.9</v>
      </c>
      <c r="I387" s="20">
        <f>VLOOKUP(A387,Metrik!$C$2:$Y$959,9,0)</f>
        <v>0.69</v>
      </c>
      <c r="J387" s="20">
        <f>VLOOKUP(A387,Metrik!$C$2:$Y$959,10,0)</f>
        <v>11.6</v>
      </c>
      <c r="K387" s="20">
        <f>VLOOKUP(A387,Metrik!$C$2:$Y$959,11,0)</f>
        <v>1.9</v>
      </c>
      <c r="L387" s="20">
        <f>VLOOKUP(A387,Metrik!$C$2:$Y$959,12,0)</f>
        <v>5.2</v>
      </c>
      <c r="M387" s="20">
        <f>VLOOKUP(A387,Metrik!$C$2:$Y$959,19,0)</f>
        <v>110</v>
      </c>
      <c r="N387" s="44">
        <v>4.37</v>
      </c>
      <c r="O387" s="44">
        <v>24.83</v>
      </c>
      <c r="P387" s="44">
        <v>86.81</v>
      </c>
      <c r="Q387" s="44">
        <v>2.05</v>
      </c>
      <c r="R387" s="44">
        <v>73.11</v>
      </c>
      <c r="S387" s="44">
        <v>45.21</v>
      </c>
      <c r="T387" s="44">
        <v>10.03</v>
      </c>
      <c r="U387" s="22">
        <f>IFERROR(__xludf.DUMMYFUNCTION("IFERROR(GOOGLEFINANCE(A387,""closeyest""),"""")"),1525.0)</f>
        <v>1525</v>
      </c>
      <c r="V387" s="23">
        <f>IFERROR(__xludf.DUMMYFUNCTION("IFERROR(GOOGLEFINANCE(A387,""changepct""),"""")"),1.64)</f>
        <v>1.64</v>
      </c>
      <c r="W387" s="22">
        <f>IFERROR(__xludf.DUMMYFUNCTION("IFERROR(GOOGLEFINANCE(A387,""priceopen""),"""")"),1525.0)</f>
        <v>1525</v>
      </c>
      <c r="X387" s="22">
        <f>IFERROR(__xludf.DUMMYFUNCTION("IFERROR(GOOGLEFINANCE(A387,""high""),"""")"),1560.0)</f>
        <v>1560</v>
      </c>
      <c r="Y387" s="22">
        <f>IFERROR(__xludf.DUMMYFUNCTION("IFERROR(GOOGLEFINANCE(A387,""low""),"""")"),1525.0)</f>
        <v>1525</v>
      </c>
      <c r="Z387" s="22">
        <f>IFERROR(__xludf.DUMMYFUNCTION("IFERROR(GOOGLEFINANCE(A387,""volume""),"""")"),4464900.0)</f>
        <v>4464900</v>
      </c>
      <c r="AA387" s="24" t="str">
        <f>VLOOKUP(A387,Metrik!$C$2:$Y$959,5,0)</f>
        <v>Banks</v>
      </c>
      <c r="AB387" s="24" t="str">
        <f>VLOOKUP(A387,Metrik!$C$2:$Y$959,3,0)</f>
        <v>Financials</v>
      </c>
    </row>
    <row r="388">
      <c r="A388" s="14" t="s">
        <v>220</v>
      </c>
      <c r="B388" s="14" t="str">
        <f t="array" ref="B388">VLOOKUP(A388,{Metrik!$C$2:$C$998,Metrik!$B$2:$B$998},2,0)</f>
        <v>PT Bank CIMB Niaga Tbk</v>
      </c>
      <c r="C388" s="15">
        <f>IFERROR(__xludf.DUMMYFUNCTION("GOOGLEFINANCE(""IDX:""&amp;A388,""price"")"),1550.0)</f>
        <v>1550</v>
      </c>
      <c r="D388" s="16" t="str">
        <f>IFERROR(__xludf.DUMMYFUNCTION("IF(A388="""","""",
SPARKLINE(
INDEX(
GOOGLEFINANCE(""IDX:""&amp;A388,""close"",TODAY()-365,TODAY()),
,2
),
{""linewidth"",1}
))
"),"#N/A")</f>
        <v>#N/A</v>
      </c>
      <c r="E388" s="14" t="s">
        <v>41</v>
      </c>
      <c r="F388" s="14" t="s">
        <v>34</v>
      </c>
      <c r="G388" s="24">
        <f t="shared" si="1"/>
        <v>5</v>
      </c>
      <c r="H388" s="19">
        <f>VLOOKUP(A388,Metrik!$C$2:$Y$959,8,0)</f>
        <v>5.9</v>
      </c>
      <c r="I388" s="20">
        <f>VLOOKUP(A388,Metrik!$C$2:$Y$959,9,0)</f>
        <v>0.69</v>
      </c>
      <c r="J388" s="20">
        <f>VLOOKUP(A388,Metrik!$C$2:$Y$959,10,0)</f>
        <v>11.6</v>
      </c>
      <c r="K388" s="20">
        <f>VLOOKUP(A388,Metrik!$C$2:$Y$959,11,0)</f>
        <v>1.9</v>
      </c>
      <c r="L388" s="20">
        <f>VLOOKUP(A388,Metrik!$C$2:$Y$959,12,0)</f>
        <v>5.2</v>
      </c>
      <c r="M388" s="20">
        <f>VLOOKUP(A388,Metrik!$C$2:$Y$959,19,0)</f>
        <v>110</v>
      </c>
      <c r="N388" s="44">
        <v>4.37</v>
      </c>
      <c r="O388" s="44">
        <v>24.83</v>
      </c>
      <c r="P388" s="44">
        <v>86.81</v>
      </c>
      <c r="Q388" s="44">
        <v>2.05</v>
      </c>
      <c r="R388" s="44">
        <v>73.11</v>
      </c>
      <c r="S388" s="44">
        <v>45.21</v>
      </c>
      <c r="T388" s="44">
        <v>10.03</v>
      </c>
      <c r="U388" s="22">
        <f>IFERROR(__xludf.DUMMYFUNCTION("IFERROR(GOOGLEFINANCE(A388,""closeyest""),"""")"),1525.0)</f>
        <v>1525</v>
      </c>
      <c r="V388" s="23">
        <f>IFERROR(__xludf.DUMMYFUNCTION("IFERROR(GOOGLEFINANCE(A388,""changepct""),"""")"),1.64)</f>
        <v>1.64</v>
      </c>
      <c r="W388" s="22">
        <f>IFERROR(__xludf.DUMMYFUNCTION("IFERROR(GOOGLEFINANCE(A388,""priceopen""),"""")"),1525.0)</f>
        <v>1525</v>
      </c>
      <c r="X388" s="22">
        <f>IFERROR(__xludf.DUMMYFUNCTION("IFERROR(GOOGLEFINANCE(A388,""high""),"""")"),1560.0)</f>
        <v>1560</v>
      </c>
      <c r="Y388" s="22">
        <f>IFERROR(__xludf.DUMMYFUNCTION("IFERROR(GOOGLEFINANCE(A388,""low""),"""")"),1525.0)</f>
        <v>1525</v>
      </c>
      <c r="Z388" s="22">
        <f>IFERROR(__xludf.DUMMYFUNCTION("IFERROR(GOOGLEFINANCE(A388,""volume""),"""")"),4464900.0)</f>
        <v>4464900</v>
      </c>
      <c r="AA388" s="24" t="str">
        <f>VLOOKUP(A388,Metrik!$C$2:$Y$959,5,0)</f>
        <v>Banks</v>
      </c>
      <c r="AB388" s="24" t="str">
        <f>VLOOKUP(A388,Metrik!$C$2:$Y$959,3,0)</f>
        <v>Financials</v>
      </c>
    </row>
    <row r="389">
      <c r="A389" s="14" t="s">
        <v>220</v>
      </c>
      <c r="B389" s="14" t="str">
        <f t="array" ref="B389">VLOOKUP(A389,{Metrik!$C$2:$C$998,Metrik!$B$2:$B$998},2,0)</f>
        <v>PT Bank CIMB Niaga Tbk</v>
      </c>
      <c r="C389" s="15">
        <f>IFERROR(__xludf.DUMMYFUNCTION("GOOGLEFINANCE(""IDX:""&amp;A389,""price"")"),1550.0)</f>
        <v>1550</v>
      </c>
      <c r="D389" s="16" t="str">
        <f>IFERROR(__xludf.DUMMYFUNCTION("IF(A389="""","""",
SPARKLINE(
INDEX(
GOOGLEFINANCE(""IDX:""&amp;A389,""close"",TODAY()-365,TODAY()),
,2
),
{""linewidth"",1}
))
"),"#N/A")</f>
        <v>#N/A</v>
      </c>
      <c r="E389" s="14" t="s">
        <v>42</v>
      </c>
      <c r="F389" s="25">
        <v>46356.0</v>
      </c>
      <c r="G389" s="24">
        <f t="shared" si="1"/>
        <v>5</v>
      </c>
      <c r="H389" s="19">
        <f>VLOOKUP(A389,Metrik!$C$2:$Y$959,8,0)</f>
        <v>5.9</v>
      </c>
      <c r="I389" s="20">
        <f>VLOOKUP(A389,Metrik!$C$2:$Y$959,9,0)</f>
        <v>0.69</v>
      </c>
      <c r="J389" s="20">
        <f>VLOOKUP(A389,Metrik!$C$2:$Y$959,10,0)</f>
        <v>11.6</v>
      </c>
      <c r="K389" s="20">
        <f>VLOOKUP(A389,Metrik!$C$2:$Y$959,11,0)</f>
        <v>1.9</v>
      </c>
      <c r="L389" s="20">
        <f>VLOOKUP(A389,Metrik!$C$2:$Y$959,12,0)</f>
        <v>5.2</v>
      </c>
      <c r="M389" s="20">
        <f>VLOOKUP(A389,Metrik!$C$2:$Y$959,19,0)</f>
        <v>110</v>
      </c>
      <c r="N389" s="44">
        <v>4.37</v>
      </c>
      <c r="O389" s="44">
        <v>24.83</v>
      </c>
      <c r="P389" s="44">
        <v>86.81</v>
      </c>
      <c r="Q389" s="44">
        <v>2.05</v>
      </c>
      <c r="R389" s="44">
        <v>73.11</v>
      </c>
      <c r="S389" s="44">
        <v>45.21</v>
      </c>
      <c r="T389" s="44">
        <v>10.03</v>
      </c>
      <c r="U389" s="22">
        <f>IFERROR(__xludf.DUMMYFUNCTION("IFERROR(GOOGLEFINANCE(A389,""closeyest""),"""")"),1525.0)</f>
        <v>1525</v>
      </c>
      <c r="V389" s="23">
        <f>IFERROR(__xludf.DUMMYFUNCTION("IFERROR(GOOGLEFINANCE(A389,""changepct""),"""")"),1.64)</f>
        <v>1.64</v>
      </c>
      <c r="W389" s="22">
        <f>IFERROR(__xludf.DUMMYFUNCTION("IFERROR(GOOGLEFINANCE(A389,""priceopen""),"""")"),1525.0)</f>
        <v>1525</v>
      </c>
      <c r="X389" s="22">
        <f>IFERROR(__xludf.DUMMYFUNCTION("IFERROR(GOOGLEFINANCE(A389,""high""),"""")"),1560.0)</f>
        <v>1560</v>
      </c>
      <c r="Y389" s="22">
        <f>IFERROR(__xludf.DUMMYFUNCTION("IFERROR(GOOGLEFINANCE(A389,""low""),"""")"),1525.0)</f>
        <v>1525</v>
      </c>
      <c r="Z389" s="22">
        <f>IFERROR(__xludf.DUMMYFUNCTION("IFERROR(GOOGLEFINANCE(A389,""volume""),"""")"),4464900.0)</f>
        <v>4464900</v>
      </c>
      <c r="AA389" s="24" t="str">
        <f>VLOOKUP(A389,Metrik!$C$2:$Y$959,5,0)</f>
        <v>Banks</v>
      </c>
      <c r="AB389" s="24" t="str">
        <f>VLOOKUP(A389,Metrik!$C$2:$Y$959,3,0)</f>
        <v>Financials</v>
      </c>
    </row>
    <row r="390">
      <c r="A390" s="14" t="s">
        <v>221</v>
      </c>
      <c r="B390" s="14" t="str">
        <f t="array" ref="B390">VLOOKUP(A390,{Metrik!$C$2:$C$998,Metrik!$B$2:$B$998},2,0)</f>
        <v>PT Bank Maybank Indonesia Tbk</v>
      </c>
      <c r="C390" s="15">
        <f>IFERROR(__xludf.DUMMYFUNCTION("GOOGLEFINANCE(""IDX:""&amp;A390,""price"")"),188.0)</f>
        <v>188</v>
      </c>
      <c r="D390" s="16" t="str">
        <f>IFERROR(__xludf.DUMMYFUNCTION("IF(A390="""","""",
SPARKLINE(
INDEX(
GOOGLEFINANCE(""IDX:""&amp;A390,""close"",TODAY()-365,TODAY()),
,2
),
{""linewidth"",1}
))
"),"#N/A")</f>
        <v>#N/A</v>
      </c>
      <c r="E390" s="26"/>
      <c r="F390" s="26"/>
      <c r="G390" s="24">
        <f t="shared" si="1"/>
        <v>0</v>
      </c>
      <c r="H390" s="19">
        <f>VLOOKUP(A390,Metrik!$C$2:$Y$959,8,0)</f>
        <v>9.3</v>
      </c>
      <c r="I390" s="20">
        <f>VLOOKUP(A390,Metrik!$C$2:$Y$959,9,0)</f>
        <v>0.45</v>
      </c>
      <c r="J390" s="20">
        <f>VLOOKUP(A390,Metrik!$C$2:$Y$959,10,0)</f>
        <v>4.8</v>
      </c>
      <c r="K390" s="20">
        <f>VLOOKUP(A390,Metrik!$C$2:$Y$959,11,0)</f>
        <v>0.82</v>
      </c>
      <c r="L390" s="20">
        <f>VLOOKUP(A390,Metrik!$C$2:$Y$959,12,0)</f>
        <v>4.9</v>
      </c>
      <c r="M390" s="20">
        <f>VLOOKUP(A390,Metrik!$C$2:$Y$959,19,0)</f>
        <v>49</v>
      </c>
      <c r="N390" s="32">
        <v>4.9</v>
      </c>
      <c r="O390" s="32">
        <v>25.6</v>
      </c>
      <c r="P390" s="32">
        <v>85.2</v>
      </c>
      <c r="Q390" s="32">
        <v>2.7</v>
      </c>
      <c r="R390" s="32">
        <v>83.4</v>
      </c>
      <c r="S390" s="32">
        <v>46.2</v>
      </c>
      <c r="T390" s="32">
        <v>8.8</v>
      </c>
      <c r="U390" s="22">
        <f>IFERROR(__xludf.DUMMYFUNCTION("IFERROR(GOOGLEFINANCE(A390,""closeyest""),"""")"),185.0)</f>
        <v>185</v>
      </c>
      <c r="V390" s="23">
        <f>IFERROR(__xludf.DUMMYFUNCTION("IFERROR(GOOGLEFINANCE(A390,""changepct""),"""")"),1.62)</f>
        <v>1.62</v>
      </c>
      <c r="W390" s="22">
        <f>IFERROR(__xludf.DUMMYFUNCTION("IFERROR(GOOGLEFINANCE(A390,""priceopen""),"""")"),184.0)</f>
        <v>184</v>
      </c>
      <c r="X390" s="22">
        <f>IFERROR(__xludf.DUMMYFUNCTION("IFERROR(GOOGLEFINANCE(A390,""high""),"""")"),188.0)</f>
        <v>188</v>
      </c>
      <c r="Y390" s="22">
        <f>IFERROR(__xludf.DUMMYFUNCTION("IFERROR(GOOGLEFINANCE(A390,""low""),"""")"),184.0)</f>
        <v>184</v>
      </c>
      <c r="Z390" s="22">
        <f>IFERROR(__xludf.DUMMYFUNCTION("IFERROR(GOOGLEFINANCE(A390,""volume""),"""")"),755000.0)</f>
        <v>755000</v>
      </c>
      <c r="AA390" s="24" t="str">
        <f>VLOOKUP(A390,Metrik!$C$2:$Y$959,5,0)</f>
        <v>Banks</v>
      </c>
      <c r="AB390" s="24" t="str">
        <f>VLOOKUP(A390,Metrik!$C$2:$Y$959,3,0)</f>
        <v>Financials</v>
      </c>
    </row>
    <row r="391">
      <c r="A391" s="14" t="s">
        <v>222</v>
      </c>
      <c r="B391" s="14" t="str">
        <f t="array" ref="B391">VLOOKUP(A391,{Metrik!$C$2:$C$998,Metrik!$B$2:$B$998},2,0)</f>
        <v>Bank Permata Tbk</v>
      </c>
      <c r="C391" s="15">
        <f>IFERROR(__xludf.DUMMYFUNCTION("GOOGLEFINANCE(""IDX:""&amp;A391,""price"")"),3220.0)</f>
        <v>3220</v>
      </c>
      <c r="D391" s="16" t="str">
        <f>IFERROR(__xludf.DUMMYFUNCTION("IF(A391="""","""",
SPARKLINE(
INDEX(
GOOGLEFINANCE(""IDX:""&amp;A391,""close"",TODAY()-365,TODAY()),
,2
),
{""linewidth"",1}
))
"),"#N/A")</f>
        <v>#N/A</v>
      </c>
      <c r="E391" s="26"/>
      <c r="F391" s="26"/>
      <c r="G391" s="24">
        <f t="shared" si="1"/>
        <v>0</v>
      </c>
      <c r="H391" s="19">
        <f>VLOOKUP(A391,Metrik!$C$2:$Y$959,8,0)</f>
        <v>30.3</v>
      </c>
      <c r="I391" s="20">
        <f>VLOOKUP(A391,Metrik!$C$2:$Y$959,9,0)</f>
        <v>2.4</v>
      </c>
      <c r="J391" s="20">
        <f>VLOOKUP(A391,Metrik!$C$2:$Y$959,10,0)</f>
        <v>8.1</v>
      </c>
      <c r="K391" s="20">
        <f>VLOOKUP(A391,Metrik!$C$2:$Y$959,11,0)</f>
        <v>1.4</v>
      </c>
      <c r="L391" s="20">
        <f>VLOOKUP(A391,Metrik!$C$2:$Y$959,12,0)</f>
        <v>4.7</v>
      </c>
      <c r="M391" s="20">
        <f>VLOOKUP(A391,Metrik!$C$2:$Y$959,19,0)</f>
        <v>84.2</v>
      </c>
      <c r="N391" s="32">
        <v>4.4</v>
      </c>
      <c r="O391" s="32">
        <v>38.7</v>
      </c>
      <c r="P391" s="32">
        <v>81.3</v>
      </c>
      <c r="Q391" s="32">
        <v>1.9</v>
      </c>
      <c r="R391" s="32">
        <v>81.1</v>
      </c>
      <c r="S391" s="32">
        <v>53.5</v>
      </c>
      <c r="T391" s="32">
        <v>7.6</v>
      </c>
      <c r="U391" s="22">
        <f>IFERROR(__xludf.DUMMYFUNCTION("IFERROR(GOOGLEFINANCE(A391,""closeyest""),"""")"),2840.0)</f>
        <v>2840</v>
      </c>
      <c r="V391" s="23">
        <f>IFERROR(__xludf.DUMMYFUNCTION("IFERROR(GOOGLEFINANCE(A391,""changepct""),"""")"),13.38)</f>
        <v>13.38</v>
      </c>
      <c r="W391" s="22">
        <f>IFERROR(__xludf.DUMMYFUNCTION("IFERROR(GOOGLEFINANCE(A391,""priceopen""),"""")"),2840.0)</f>
        <v>2840</v>
      </c>
      <c r="X391" s="22">
        <f>IFERROR(__xludf.DUMMYFUNCTION("IFERROR(GOOGLEFINANCE(A391,""high""),"""")"),3300.0)</f>
        <v>3300</v>
      </c>
      <c r="Y391" s="22">
        <f>IFERROR(__xludf.DUMMYFUNCTION("IFERROR(GOOGLEFINANCE(A391,""low""),"""")"),2840.0)</f>
        <v>2840</v>
      </c>
      <c r="Z391" s="22">
        <f>IFERROR(__xludf.DUMMYFUNCTION("IFERROR(GOOGLEFINANCE(A391,""volume""),"""")"),85700.0)</f>
        <v>85700</v>
      </c>
      <c r="AA391" s="24" t="str">
        <f>VLOOKUP(A391,Metrik!$C$2:$Y$959,5,0)</f>
        <v>Banks</v>
      </c>
      <c r="AB391" s="24" t="str">
        <f>VLOOKUP(A391,Metrik!$C$2:$Y$959,3,0)</f>
        <v>Financials</v>
      </c>
    </row>
    <row r="392">
      <c r="A392" s="14" t="s">
        <v>223</v>
      </c>
      <c r="B392" s="14" t="str">
        <f t="array" ref="B392">VLOOKUP(A392,{Metrik!$C$2:$C$998,Metrik!$B$2:$B$998},2,0)</f>
        <v>Newport Marine Services Tbk.</v>
      </c>
      <c r="C392" s="15">
        <f>IFERROR(__xludf.DUMMYFUNCTION("GOOGLEFINANCE(""IDX:""&amp;A392,""price"")"),102.0)</f>
        <v>102</v>
      </c>
      <c r="D392" s="16" t="str">
        <f>IFERROR(__xludf.DUMMYFUNCTION("IF(A392="""","""",
SPARKLINE(
INDEX(
GOOGLEFINANCE(""IDX:""&amp;A392,""close"",TODAY()-365,TODAY()),
,2
),
{""linewidth"",1}
))
"),"#N/A")</f>
        <v>#N/A</v>
      </c>
      <c r="E392" s="26"/>
      <c r="F392" s="26"/>
      <c r="G392" s="24">
        <f t="shared" si="1"/>
        <v>0</v>
      </c>
      <c r="H392" s="19">
        <f>VLOOKUP(A392,Metrik!$C$2:$Y$959,8,0)</f>
        <v>12.2</v>
      </c>
      <c r="I392" s="20">
        <f>VLOOKUP(A392,Metrik!$C$2:$Y$959,9,0)</f>
        <v>1</v>
      </c>
      <c r="J392" s="20">
        <f>VLOOKUP(A392,Metrik!$C$2:$Y$959,10,0)</f>
        <v>8.5</v>
      </c>
      <c r="K392" s="20">
        <f>VLOOKUP(A392,Metrik!$C$2:$Y$959,11,0)</f>
        <v>5.9</v>
      </c>
      <c r="L392" s="20">
        <f>VLOOKUP(A392,Metrik!$C$2:$Y$959,12,0)</f>
        <v>0.45</v>
      </c>
      <c r="M392" s="20">
        <f>VLOOKUP(A392,Metrik!$C$2:$Y$959,19,0)</f>
        <v>63.6</v>
      </c>
      <c r="N392" s="21"/>
      <c r="O392" s="21"/>
      <c r="P392" s="21"/>
      <c r="Q392" s="21"/>
      <c r="R392" s="21"/>
      <c r="S392" s="21"/>
      <c r="T392" s="21"/>
      <c r="U392" s="22">
        <f>IFERROR(__xludf.DUMMYFUNCTION("IFERROR(GOOGLEFINANCE(A392,""closeyest""),"""")"),41.95)</f>
        <v>41.95</v>
      </c>
      <c r="V392" s="23">
        <f>IFERROR(__xludf.DUMMYFUNCTION("IFERROR(GOOGLEFINANCE(A392,""changepct""),"""")"),1.19)</f>
        <v>1.19</v>
      </c>
      <c r="W392" s="22">
        <f>IFERROR(__xludf.DUMMYFUNCTION("IFERROR(GOOGLEFINANCE(A392,""priceopen""),"""")"),41.82)</f>
        <v>41.82</v>
      </c>
      <c r="X392" s="22">
        <f>IFERROR(__xludf.DUMMYFUNCTION("IFERROR(GOOGLEFINANCE(A392,""high""),"""")"),42.59)</f>
        <v>42.59</v>
      </c>
      <c r="Y392" s="22">
        <f>IFERROR(__xludf.DUMMYFUNCTION("IFERROR(GOOGLEFINANCE(A392,""low""),"""")"),41.82)</f>
        <v>41.82</v>
      </c>
      <c r="Z392" s="22">
        <f>IFERROR(__xludf.DUMMYFUNCTION("IFERROR(GOOGLEFINANCE(A392,""volume""),"""")"),3605.0)</f>
        <v>3605</v>
      </c>
      <c r="AA392" s="24" t="str">
        <f>VLOOKUP(A392,Metrik!$C$2:$Y$959,5,0)</f>
        <v>Oil, Gas &amp; Coal Supports</v>
      </c>
      <c r="AB392" s="24" t="str">
        <f>VLOOKUP(A392,Metrik!$C$2:$Y$959,3,0)</f>
        <v>Energy</v>
      </c>
    </row>
    <row r="393">
      <c r="A393" s="14" t="s">
        <v>224</v>
      </c>
      <c r="B393" s="14" t="str">
        <f t="array" ref="B393">VLOOKUP(A393,{Metrik!$C$2:$C$998,Metrik!$B$2:$B$998},2,0)</f>
        <v>Formosa Ingredient Factory Tbk.</v>
      </c>
      <c r="C393" s="15">
        <f>IFERROR(__xludf.DUMMYFUNCTION("GOOGLEFINANCE(""IDX:""&amp;A393,""price"")"),336.0)</f>
        <v>336</v>
      </c>
      <c r="D393" s="16" t="str">
        <f>IFERROR(__xludf.DUMMYFUNCTION("IF(A393="""","""",
SPARKLINE(
INDEX(
GOOGLEFINANCE(""IDX:""&amp;A393,""close"",TODAY()-365,TODAY()),
,2
),
{""linewidth"",1}
))
"),"#N/A")</f>
        <v>#N/A</v>
      </c>
      <c r="E393" s="26"/>
      <c r="F393" s="26"/>
      <c r="G393" s="18">
        <f t="shared" si="1"/>
        <v>0</v>
      </c>
      <c r="H393" s="19">
        <f>VLOOKUP(A393,Metrik!$C$2:$Y$959,8,0)</f>
        <v>17.4</v>
      </c>
      <c r="I393" s="20">
        <f>VLOOKUP(A393,Metrik!$C$2:$Y$959,9,0)</f>
        <v>2</v>
      </c>
      <c r="J393" s="20">
        <f>VLOOKUP(A393,Metrik!$C$2:$Y$959,10,0)</f>
        <v>11.5</v>
      </c>
      <c r="K393" s="20">
        <f>VLOOKUP(A393,Metrik!$C$2:$Y$959,11,0)</f>
        <v>10</v>
      </c>
      <c r="L393" s="20">
        <f>VLOOKUP(A393,Metrik!$C$2:$Y$959,12,0)</f>
        <v>0.15</v>
      </c>
      <c r="M393" s="20">
        <f>VLOOKUP(A393,Metrik!$C$2:$Y$959,19,0)</f>
        <v>41.1</v>
      </c>
      <c r="N393" s="21"/>
      <c r="O393" s="21"/>
      <c r="P393" s="21"/>
      <c r="Q393" s="21"/>
      <c r="R393" s="21"/>
      <c r="S393" s="21"/>
      <c r="T393" s="21"/>
      <c r="U393" s="22">
        <f>IFERROR(__xludf.DUMMYFUNCTION("IFERROR(GOOGLEFINANCE(A393,""closeyest""),"""")"),340.0)</f>
        <v>340</v>
      </c>
      <c r="V393" s="23">
        <f>IFERROR(__xludf.DUMMYFUNCTION("IFERROR(GOOGLEFINANCE(A393,""changepct""),"""")"),-1.18)</f>
        <v>-1.18</v>
      </c>
      <c r="W393" s="22">
        <f>IFERROR(__xludf.DUMMYFUNCTION("IFERROR(GOOGLEFINANCE(A393,""priceopen""),"""")"),360.0)</f>
        <v>360</v>
      </c>
      <c r="X393" s="22" t="str">
        <f>IFERROR(__xludf.DUMMYFUNCTION("IFERROR(GOOGLEFINANCE(A393,""high""),"""")"),"")</f>
        <v/>
      </c>
      <c r="Y393" s="22">
        <f>IFERROR(__xludf.DUMMYFUNCTION("IFERROR(GOOGLEFINANCE(A393,""low""),"""")"),334.0)</f>
        <v>334</v>
      </c>
      <c r="Z393" s="22">
        <f>IFERROR(__xludf.DUMMYFUNCTION("IFERROR(GOOGLEFINANCE(A393,""volume""),"""")"),1540300.0)</f>
        <v>1540300</v>
      </c>
      <c r="AA393" s="24" t="str">
        <f>VLOOKUP(A393,Metrik!$C$2:$Y$959,5,0)</f>
        <v>Processed Foods</v>
      </c>
      <c r="AB393" s="24" t="str">
        <f>VLOOKUP(A393,Metrik!$C$2:$Y$959,3,0)</f>
        <v>Consumer Non-Cyclicals</v>
      </c>
    </row>
    <row r="394">
      <c r="A394" s="14" t="s">
        <v>225</v>
      </c>
      <c r="B394" s="14" t="str">
        <f t="array" ref="B394">VLOOKUP(A394,{Metrik!$C$2:$C$998,Metrik!$B$2:$B$998},2,0)</f>
        <v>Apollo Global Interactive Tbk.</v>
      </c>
      <c r="C394" s="15">
        <f>IFERROR(__xludf.DUMMYFUNCTION("GOOGLEFINANCE(""IDX:""&amp;A394,""price"")"),1055.0)</f>
        <v>1055</v>
      </c>
      <c r="D394" s="16" t="str">
        <f>IFERROR(__xludf.DUMMYFUNCTION("IF(A394="""","""",
SPARKLINE(
INDEX(
GOOGLEFINANCE(""IDX:""&amp;A394,""close"",TODAY()-365,TODAY()),
,2
),
{""linewidth"",1}
))
"),"#N/A")</f>
        <v>#N/A</v>
      </c>
      <c r="E394" s="26"/>
      <c r="F394" s="26"/>
      <c r="G394" s="24">
        <f t="shared" si="1"/>
        <v>0</v>
      </c>
      <c r="H394" s="19">
        <f>VLOOKUP(A394,Metrik!$C$2:$Y$959,8,0)</f>
        <v>1200</v>
      </c>
      <c r="I394" s="20">
        <f>VLOOKUP(A394,Metrik!$C$2:$Y$959,9,0)</f>
        <v>11.2</v>
      </c>
      <c r="J394" s="20">
        <f>VLOOKUP(A394,Metrik!$C$2:$Y$959,10,0)</f>
        <v>0.94</v>
      </c>
      <c r="K394" s="20">
        <f>VLOOKUP(A394,Metrik!$C$2:$Y$959,11,0)</f>
        <v>0.54</v>
      </c>
      <c r="L394" s="20">
        <f>VLOOKUP(A394,Metrik!$C$2:$Y$959,12,0)</f>
        <v>0.73</v>
      </c>
      <c r="M394" s="20">
        <f>VLOOKUP(A394,Metrik!$C$2:$Y$959,19,0)</f>
        <v>4.8</v>
      </c>
      <c r="N394" s="21"/>
      <c r="O394" s="21"/>
      <c r="P394" s="21"/>
      <c r="Q394" s="21"/>
      <c r="R394" s="21"/>
      <c r="S394" s="21"/>
      <c r="T394" s="21"/>
      <c r="U394" s="22">
        <f>IFERROR(__xludf.DUMMYFUNCTION("IFERROR(GOOGLEFINANCE(A394,""closeyest""),"""")"),1055.0)</f>
        <v>1055</v>
      </c>
      <c r="V394" s="23">
        <f>IFERROR(__xludf.DUMMYFUNCTION("IFERROR(GOOGLEFINANCE(A394,""changepct""),"""")"),0.0)</f>
        <v>0</v>
      </c>
      <c r="W394" s="22">
        <f>IFERROR(__xludf.DUMMYFUNCTION("IFERROR(GOOGLEFINANCE(A394,""priceopen""),"""")"),985.0)</f>
        <v>985</v>
      </c>
      <c r="X394" s="22">
        <f>IFERROR(__xludf.DUMMYFUNCTION("IFERROR(GOOGLEFINANCE(A394,""high""),"""")"),1055.0)</f>
        <v>1055</v>
      </c>
      <c r="Y394" s="22">
        <f>IFERROR(__xludf.DUMMYFUNCTION("IFERROR(GOOGLEFINANCE(A394,""low""),"""")"),905.0)</f>
        <v>905</v>
      </c>
      <c r="Z394" s="22">
        <f>IFERROR(__xludf.DUMMYFUNCTION("IFERROR(GOOGLEFINANCE(A394,""volume""),"""")"),27800.0)</f>
        <v>27800</v>
      </c>
      <c r="AA394" s="24" t="str">
        <f>VLOOKUP(A394,Metrik!$C$2:$Y$959,5,0)</f>
        <v>Specialty Retail</v>
      </c>
      <c r="AB394" s="24" t="str">
        <f>VLOOKUP(A394,Metrik!$C$2:$Y$959,3,0)</f>
        <v>Consumer Cyclicals</v>
      </c>
    </row>
    <row r="395">
      <c r="A395" s="14" t="s">
        <v>226</v>
      </c>
      <c r="B395" s="14" t="str">
        <f t="array" ref="B395">VLOOKUP(A395,{Metrik!$C$2:$C$998,Metrik!$B$2:$B$998},2,0)</f>
        <v>Bali Bintang Sejahtera Tbk.</v>
      </c>
      <c r="C395" s="15">
        <f>IFERROR(__xludf.DUMMYFUNCTION("GOOGLEFINANCE(""IDX:""&amp;A395,""price"")"),130.0)</f>
        <v>130</v>
      </c>
      <c r="D395" s="16" t="str">
        <f>IFERROR(__xludf.DUMMYFUNCTION("IF(A395="""","""",
SPARKLINE(
INDEX(
GOOGLEFINANCE(""IDX:""&amp;A395,""close"",TODAY()-365,TODAY()),
,2
),
{""linewidth"",1}
))
"),"#N/A")</f>
        <v>#N/A</v>
      </c>
      <c r="E395" s="26"/>
      <c r="F395" s="26"/>
      <c r="G395" s="24">
        <f t="shared" si="1"/>
        <v>0</v>
      </c>
      <c r="H395" s="19">
        <f>VLOOKUP(A395,Metrik!$C$2:$Y$959,8,0)</f>
        <v>21.8</v>
      </c>
      <c r="I395" s="20">
        <f>VLOOKUP(A395,Metrik!$C$2:$Y$959,9,0)</f>
        <v>1.3</v>
      </c>
      <c r="J395" s="20">
        <f>VLOOKUP(A395,Metrik!$C$2:$Y$959,10,0)</f>
        <v>6.1</v>
      </c>
      <c r="K395" s="20">
        <f>VLOOKUP(A395,Metrik!$C$2:$Y$959,11,0)</f>
        <v>5.4</v>
      </c>
      <c r="L395" s="20">
        <f>VLOOKUP(A395,Metrik!$C$2:$Y$959,12,0)</f>
        <v>0.14</v>
      </c>
      <c r="M395" s="20">
        <f>VLOOKUP(A395,Metrik!$C$2:$Y$959,19,0)</f>
        <v>55.2</v>
      </c>
      <c r="N395" s="21"/>
      <c r="O395" s="21"/>
      <c r="P395" s="21"/>
      <c r="Q395" s="21"/>
      <c r="R395" s="21"/>
      <c r="S395" s="21"/>
      <c r="T395" s="21"/>
      <c r="U395" s="22">
        <f>IFERROR(__xludf.DUMMYFUNCTION("IFERROR(GOOGLEFINANCE(A395,""closeyest""),"""")"),126.0)</f>
        <v>126</v>
      </c>
      <c r="V395" s="23">
        <f>IFERROR(__xludf.DUMMYFUNCTION("IFERROR(GOOGLEFINANCE(A395,""changepct""),"""")"),3.17)</f>
        <v>3.17</v>
      </c>
      <c r="W395" s="22">
        <f>IFERROR(__xludf.DUMMYFUNCTION("IFERROR(GOOGLEFINANCE(A395,""priceopen""),"""")"),126.0)</f>
        <v>126</v>
      </c>
      <c r="X395" s="22">
        <f>IFERROR(__xludf.DUMMYFUNCTION("IFERROR(GOOGLEFINANCE(A395,""high""),"""")"),133.0)</f>
        <v>133</v>
      </c>
      <c r="Y395" s="22">
        <f>IFERROR(__xludf.DUMMYFUNCTION("IFERROR(GOOGLEFINANCE(A395,""low""),"""")"),125.0)</f>
        <v>125</v>
      </c>
      <c r="Z395" s="22">
        <f>IFERROR(__xludf.DUMMYFUNCTION("IFERROR(GOOGLEFINANCE(A395,""volume""),"""")"),1851100.0)</f>
        <v>1851100</v>
      </c>
      <c r="AA395" s="24" t="str">
        <f>VLOOKUP(A395,Metrik!$C$2:$Y$959,5,0)</f>
        <v>Tourism &amp; Recreation</v>
      </c>
      <c r="AB395" s="24" t="str">
        <f>VLOOKUP(A395,Metrik!$C$2:$Y$959,3,0)</f>
        <v>Consumer Cyclicals</v>
      </c>
    </row>
    <row r="396">
      <c r="A396" s="14" t="s">
        <v>227</v>
      </c>
      <c r="B396" s="14" t="str">
        <f t="array" ref="B396">VLOOKUP(A396,{Metrik!$C$2:$C$998,Metrik!$B$2:$B$998},2,0)</f>
        <v>Garuda Metalindo Tbk.</v>
      </c>
      <c r="C396" s="15">
        <f>IFERROR(__xludf.DUMMYFUNCTION("GOOGLEFINANCE(""IDX:""&amp;A396,""price"")"),780.0)</f>
        <v>780</v>
      </c>
      <c r="D396" s="16" t="str">
        <f>IFERROR(__xludf.DUMMYFUNCTION("IF(A396="""","""",
SPARKLINE(
INDEX(
GOOGLEFINANCE(""IDX:""&amp;A396,""close"",TODAY()-365,TODAY()),
,2
),
{""linewidth"",1}
))
"),"#N/A")</f>
        <v>#N/A</v>
      </c>
      <c r="E396" s="26"/>
      <c r="F396" s="26"/>
      <c r="G396" s="24">
        <f t="shared" si="1"/>
        <v>0</v>
      </c>
      <c r="H396" s="19">
        <f>VLOOKUP(A396,Metrik!$C$2:$Y$959,8,0)</f>
        <v>13.4</v>
      </c>
      <c r="I396" s="20">
        <f>VLOOKUP(A396,Metrik!$C$2:$Y$959,9,0)</f>
        <v>1.7</v>
      </c>
      <c r="J396" s="20">
        <f>VLOOKUP(A396,Metrik!$C$2:$Y$959,10,0)</f>
        <v>12.9</v>
      </c>
      <c r="K396" s="20">
        <f>VLOOKUP(A396,Metrik!$C$2:$Y$959,11,0)</f>
        <v>8.2</v>
      </c>
      <c r="L396" s="20">
        <f>VLOOKUP(A396,Metrik!$C$2:$Y$959,12,0)</f>
        <v>0.57</v>
      </c>
      <c r="M396" s="20">
        <f>VLOOKUP(A396,Metrik!$C$2:$Y$959,19,0)</f>
        <v>33.3</v>
      </c>
      <c r="N396" s="21"/>
      <c r="O396" s="21"/>
      <c r="P396" s="21"/>
      <c r="Q396" s="21"/>
      <c r="R396" s="21"/>
      <c r="S396" s="21"/>
      <c r="T396" s="21"/>
      <c r="U396" s="22">
        <f>IFERROR(__xludf.DUMMYFUNCTION("IFERROR(GOOGLEFINANCE(A396,""closeyest""),"""")"),4.6)</f>
        <v>4.6</v>
      </c>
      <c r="V396" s="23">
        <f>IFERROR(__xludf.DUMMYFUNCTION("IFERROR(GOOGLEFINANCE(A396,""changepct""),"""")"),-0.87)</f>
        <v>-0.87</v>
      </c>
      <c r="W396" s="22">
        <f>IFERROR(__xludf.DUMMYFUNCTION("IFERROR(GOOGLEFINANCE(A396,""priceopen""),"""")"),4.72)</f>
        <v>4.72</v>
      </c>
      <c r="X396" s="22">
        <f>IFERROR(__xludf.DUMMYFUNCTION("IFERROR(GOOGLEFINANCE(A396,""high""),"""")"),4.92)</f>
        <v>4.92</v>
      </c>
      <c r="Y396" s="22">
        <f>IFERROR(__xludf.DUMMYFUNCTION("IFERROR(GOOGLEFINANCE(A396,""low""),"""")"),4.47)</f>
        <v>4.47</v>
      </c>
      <c r="Z396" s="22">
        <f>IFERROR(__xludf.DUMMYFUNCTION("IFERROR(GOOGLEFINANCE(A396,""volume""),"""")"),52506.0)</f>
        <v>52506</v>
      </c>
      <c r="AA396" s="24" t="str">
        <f>VLOOKUP(A396,Metrik!$C$2:$Y$959,5,0)</f>
        <v>Auto Components</v>
      </c>
      <c r="AB396" s="24" t="str">
        <f>VLOOKUP(A396,Metrik!$C$2:$Y$959,3,0)</f>
        <v>Consumer Cyclicals</v>
      </c>
    </row>
    <row r="397">
      <c r="A397" s="14" t="s">
        <v>228</v>
      </c>
      <c r="B397" s="14" t="str">
        <f t="array" ref="B397">VLOOKUP(A397,{Metrik!$C$2:$C$998,Metrik!$B$2:$B$998},2,0)</f>
        <v>Borneo Olah Sarana Sukses Tbk.</v>
      </c>
      <c r="C397" s="15">
        <f>IFERROR(__xludf.DUMMYFUNCTION("GOOGLEFINANCE(""IDX:""&amp;A397,""price"")"),50.0)</f>
        <v>50</v>
      </c>
      <c r="D397" s="16" t="str">
        <f>IFERROR(__xludf.DUMMYFUNCTION("IF(A397="""","""",
SPARKLINE(
INDEX(
GOOGLEFINANCE(""IDX:""&amp;A397,""close"",TODAY()-365,TODAY()),
,2
),
{""linewidth"",1}
))
"),"#N/A")</f>
        <v>#N/A</v>
      </c>
      <c r="E397" s="26"/>
      <c r="F397" s="26"/>
      <c r="G397" s="24">
        <f t="shared" si="1"/>
        <v>0</v>
      </c>
      <c r="H397" s="19">
        <f>VLOOKUP(A397,Metrik!$C$2:$Y$959,8,0)</f>
        <v>0</v>
      </c>
      <c r="I397" s="20">
        <f>VLOOKUP(A397,Metrik!$C$2:$Y$959,9,0)</f>
        <v>-0.42</v>
      </c>
      <c r="J397" s="20">
        <f>VLOOKUP(A397,Metrik!$C$2:$Y$959,10,0)</f>
        <v>0</v>
      </c>
      <c r="K397" s="20">
        <f>VLOOKUP(A397,Metrik!$C$2:$Y$959,11,0)</f>
        <v>-28.9</v>
      </c>
      <c r="L397" s="20">
        <f>VLOOKUP(A397,Metrik!$C$2:$Y$959,12,0)</f>
        <v>-4.8</v>
      </c>
      <c r="M397" s="20">
        <f>VLOOKUP(A397,Metrik!$C$2:$Y$959,19,0)</f>
        <v>-130</v>
      </c>
      <c r="N397" s="21"/>
      <c r="O397" s="21"/>
      <c r="P397" s="21"/>
      <c r="Q397" s="21"/>
      <c r="R397" s="21"/>
      <c r="S397" s="21"/>
      <c r="T397" s="21"/>
      <c r="U397" s="22">
        <f>IFERROR(__xludf.DUMMYFUNCTION("IFERROR(GOOGLEFINANCE(A397,""closeyest""),"""")"),39.76)</f>
        <v>39.76</v>
      </c>
      <c r="V397" s="23" t="str">
        <f>IFERROR(__xludf.DUMMYFUNCTION("IFERROR(GOOGLEFINANCE(A397,""changepct""),"""")"),"")</f>
        <v/>
      </c>
      <c r="W397" s="22">
        <f>IFERROR(__xludf.DUMMYFUNCTION("IFERROR(GOOGLEFINANCE(A397,""priceopen""),"""")"),39.52)</f>
        <v>39.52</v>
      </c>
      <c r="X397" s="22">
        <f>IFERROR(__xludf.DUMMYFUNCTION("IFERROR(GOOGLEFINANCE(A397,""high""),"""")"),40.09)</f>
        <v>40.09</v>
      </c>
      <c r="Y397" s="22">
        <f>IFERROR(__xludf.DUMMYFUNCTION("IFERROR(GOOGLEFINANCE(A397,""low""),"""")"),39.5)</f>
        <v>39.5</v>
      </c>
      <c r="Z397" s="22">
        <f>IFERROR(__xludf.DUMMYFUNCTION("IFERROR(GOOGLEFINANCE(A397,""volume""),"""")"),0.0)</f>
        <v>0</v>
      </c>
      <c r="AA397" s="24" t="str">
        <f>VLOOKUP(A397,Metrik!$C$2:$Y$959,5,0)</f>
        <v>Coal</v>
      </c>
      <c r="AB397" s="24" t="str">
        <f>VLOOKUP(A397,Metrik!$C$2:$Y$959,3,0)</f>
        <v>Energy</v>
      </c>
    </row>
    <row r="398">
      <c r="A398" s="14" t="s">
        <v>229</v>
      </c>
      <c r="B398" s="14" t="str">
        <f t="array" ref="B398">VLOOKUP(A398,{Metrik!$C$2:$C$998,Metrik!$B$2:$B$998},2,0)</f>
        <v>Woori Finance Indonesia Tbk.</v>
      </c>
      <c r="C398" s="15">
        <f>IFERROR(__xludf.DUMMYFUNCTION("GOOGLEFINANCE(""IDX:""&amp;A398,""price"")"),272.0)</f>
        <v>272</v>
      </c>
      <c r="D398" s="16" t="str">
        <f>IFERROR(__xludf.DUMMYFUNCTION("IF(A398="""","""",
SPARKLINE(
INDEX(
GOOGLEFINANCE(""IDX:""&amp;A398,""close"",TODAY()-365,TODAY()),
,2
),
{""linewidth"",1}
))
"),"#N/A")</f>
        <v>#N/A</v>
      </c>
      <c r="E398" s="26"/>
      <c r="F398" s="26"/>
      <c r="G398" s="24">
        <f t="shared" si="1"/>
        <v>0</v>
      </c>
      <c r="H398" s="19">
        <f>VLOOKUP(A398,Metrik!$C$2:$Y$959,8,0)</f>
        <v>8.6</v>
      </c>
      <c r="I398" s="20">
        <f>VLOOKUP(A398,Metrik!$C$2:$Y$959,9,0)</f>
        <v>0.6</v>
      </c>
      <c r="J398" s="20">
        <f>VLOOKUP(A398,Metrik!$C$2:$Y$959,10,0)</f>
        <v>6.9</v>
      </c>
      <c r="K398" s="20">
        <f>VLOOKUP(A398,Metrik!$C$2:$Y$959,11,0)</f>
        <v>2.8</v>
      </c>
      <c r="L398" s="20">
        <f>VLOOKUP(A398,Metrik!$C$2:$Y$959,12,0)</f>
        <v>1.5</v>
      </c>
      <c r="M398" s="20">
        <f>VLOOKUP(A398,Metrik!$C$2:$Y$959,19,0)</f>
        <v>81</v>
      </c>
      <c r="N398" s="21"/>
      <c r="O398" s="21"/>
      <c r="P398" s="21"/>
      <c r="Q398" s="21"/>
      <c r="R398" s="21"/>
      <c r="S398" s="21"/>
      <c r="T398" s="21"/>
      <c r="U398" s="22">
        <f>IFERROR(__xludf.DUMMYFUNCTION("IFERROR(GOOGLEFINANCE(A398,""closeyest""),"""")"),278.0)</f>
        <v>278</v>
      </c>
      <c r="V398" s="23">
        <f>IFERROR(__xludf.DUMMYFUNCTION("IFERROR(GOOGLEFINANCE(A398,""changepct""),"""")"),-2.16)</f>
        <v>-2.16</v>
      </c>
      <c r="W398" s="22">
        <f>IFERROR(__xludf.DUMMYFUNCTION("IFERROR(GOOGLEFINANCE(A398,""priceopen""),"""")"),274.0)</f>
        <v>274</v>
      </c>
      <c r="X398" s="22">
        <f>IFERROR(__xludf.DUMMYFUNCTION("IFERROR(GOOGLEFINANCE(A398,""high""),"""")"),274.0)</f>
        <v>274</v>
      </c>
      <c r="Y398" s="22">
        <f>IFERROR(__xludf.DUMMYFUNCTION("IFERROR(GOOGLEFINANCE(A398,""low""),"""")"),252.0)</f>
        <v>252</v>
      </c>
      <c r="Z398" s="22">
        <f>IFERROR(__xludf.DUMMYFUNCTION("IFERROR(GOOGLEFINANCE(A398,""volume""),"""")"),173200.0)</f>
        <v>173200</v>
      </c>
      <c r="AA398" s="24" t="str">
        <f>VLOOKUP(A398,Metrik!$C$2:$Y$959,5,0)</f>
        <v>Consumer Financing</v>
      </c>
      <c r="AB398" s="24" t="str">
        <f>VLOOKUP(A398,Metrik!$C$2:$Y$959,3,0)</f>
        <v>Financials</v>
      </c>
    </row>
    <row r="399">
      <c r="A399" s="14" t="s">
        <v>230</v>
      </c>
      <c r="B399" s="14" t="str">
        <f t="array" ref="B399">VLOOKUP(A399,{Metrik!$C$2:$C$998,Metrik!$B$2:$B$998},2,0)</f>
        <v>Batavia Prosperindo Internasional Tbk.</v>
      </c>
      <c r="C399" s="15">
        <f>IFERROR(__xludf.DUMMYFUNCTION("GOOGLEFINANCE(""IDX:""&amp;A399,""price"")"),438.0)</f>
        <v>438</v>
      </c>
      <c r="D399" s="16" t="str">
        <f>IFERROR(__xludf.DUMMYFUNCTION("IF(A399="""","""",
SPARKLINE(
INDEX(
GOOGLEFINANCE(""IDX:""&amp;A399,""close"",TODAY()-365,TODAY()),
,2
),
{""linewidth"",1}
))
"),"#N/A")</f>
        <v>#N/A</v>
      </c>
      <c r="E399" s="26"/>
      <c r="F399" s="26"/>
      <c r="G399" s="24">
        <f t="shared" si="1"/>
        <v>0</v>
      </c>
      <c r="H399" s="19">
        <f>VLOOKUP(A399,Metrik!$C$2:$Y$959,8,0)</f>
        <v>39.1</v>
      </c>
      <c r="I399" s="20">
        <f>VLOOKUP(A399,Metrik!$C$2:$Y$959,9,0)</f>
        <v>2.5</v>
      </c>
      <c r="J399" s="20">
        <f>VLOOKUP(A399,Metrik!$C$2:$Y$959,10,0)</f>
        <v>6.3</v>
      </c>
      <c r="K399" s="20">
        <f>VLOOKUP(A399,Metrik!$C$2:$Y$959,11,0)</f>
        <v>1.8</v>
      </c>
      <c r="L399" s="20">
        <f>VLOOKUP(A399,Metrik!$C$2:$Y$959,12,0)</f>
        <v>2.5</v>
      </c>
      <c r="M399" s="20">
        <f>VLOOKUP(A399,Metrik!$C$2:$Y$959,19,0)</f>
        <v>37.2</v>
      </c>
      <c r="N399" s="21"/>
      <c r="O399" s="21"/>
      <c r="P399" s="21"/>
      <c r="Q399" s="21"/>
      <c r="R399" s="21"/>
      <c r="S399" s="21"/>
      <c r="T399" s="21"/>
      <c r="U399" s="22">
        <f>IFERROR(__xludf.DUMMYFUNCTION("IFERROR(GOOGLEFINANCE(A399,""closeyest""),"""")"),466.0)</f>
        <v>466</v>
      </c>
      <c r="V399" s="23">
        <f>IFERROR(__xludf.DUMMYFUNCTION("IFERROR(GOOGLEFINANCE(A399,""changepct""),"""")"),-6.01)</f>
        <v>-6.01</v>
      </c>
      <c r="W399" s="22">
        <f>IFERROR(__xludf.DUMMYFUNCTION("IFERROR(GOOGLEFINANCE(A399,""priceopen""),"""")"),466.0)</f>
        <v>466</v>
      </c>
      <c r="X399" s="22">
        <f>IFERROR(__xludf.DUMMYFUNCTION("IFERROR(GOOGLEFINANCE(A399,""high""),"""")"),470.0)</f>
        <v>470</v>
      </c>
      <c r="Y399" s="22">
        <f>IFERROR(__xludf.DUMMYFUNCTION("IFERROR(GOOGLEFINANCE(A399,""low""),"""")"),438.0)</f>
        <v>438</v>
      </c>
      <c r="Z399" s="22">
        <f>IFERROR(__xludf.DUMMYFUNCTION("IFERROR(GOOGLEFINANCE(A399,""volume""),"""")"),19400.0)</f>
        <v>19400</v>
      </c>
      <c r="AA399" s="24" t="str">
        <f>VLOOKUP(A399,Metrik!$C$2:$Y$959,5,0)</f>
        <v>Holding &amp; Investment Companies</v>
      </c>
      <c r="AB399" s="24" t="str">
        <f>VLOOKUP(A399,Metrik!$C$2:$Y$959,3,0)</f>
        <v>Financials</v>
      </c>
    </row>
    <row r="400">
      <c r="A400" s="14" t="s">
        <v>231</v>
      </c>
      <c r="B400" s="14" t="str">
        <f t="array" ref="B400">VLOOKUP(A400,{Metrik!$C$2:$C$998,Metrik!$B$2:$B$998},2,0)</f>
        <v>Batavia Prosperindo Trans Tbk.</v>
      </c>
      <c r="C400" s="15">
        <f>IFERROR(__xludf.DUMMYFUNCTION("GOOGLEFINANCE(""IDX:""&amp;A400,""price"")"),70.0)</f>
        <v>70</v>
      </c>
      <c r="D400" s="16" t="str">
        <f>IFERROR(__xludf.DUMMYFUNCTION("IF(A400="""","""",
SPARKLINE(
INDEX(
GOOGLEFINANCE(""IDX:""&amp;A400,""close"",TODAY()-365,TODAY()),
,2
),
{""linewidth"",1}
))
"),"#N/A")</f>
        <v>#N/A</v>
      </c>
      <c r="E400" s="26"/>
      <c r="F400" s="26"/>
      <c r="G400" s="24">
        <f t="shared" si="1"/>
        <v>0</v>
      </c>
      <c r="H400" s="19">
        <f>VLOOKUP(A400,Metrik!$C$2:$Y$959,8,0)</f>
        <v>6.7</v>
      </c>
      <c r="I400" s="20">
        <f>VLOOKUP(A400,Metrik!$C$2:$Y$959,9,0)</f>
        <v>0.41</v>
      </c>
      <c r="J400" s="20">
        <f>VLOOKUP(A400,Metrik!$C$2:$Y$959,10,0)</f>
        <v>6.1</v>
      </c>
      <c r="K400" s="20">
        <f>VLOOKUP(A400,Metrik!$C$2:$Y$959,11,0)</f>
        <v>1.7</v>
      </c>
      <c r="L400" s="20">
        <f>VLOOKUP(A400,Metrik!$C$2:$Y$959,12,0)</f>
        <v>2.6</v>
      </c>
      <c r="M400" s="20">
        <f>VLOOKUP(A400,Metrik!$C$2:$Y$959,19,0)</f>
        <v>22.4</v>
      </c>
      <c r="N400" s="21"/>
      <c r="O400" s="21"/>
      <c r="P400" s="21"/>
      <c r="Q400" s="21"/>
      <c r="R400" s="21"/>
      <c r="S400" s="21"/>
      <c r="T400" s="21"/>
      <c r="U400" s="22">
        <f>IFERROR(__xludf.DUMMYFUNCTION("IFERROR(GOOGLEFINANCE(A400,""closeyest""),"""")"),69.0)</f>
        <v>69</v>
      </c>
      <c r="V400" s="23">
        <f>IFERROR(__xludf.DUMMYFUNCTION("IFERROR(GOOGLEFINANCE(A400,""changepct""),"""")"),1.45)</f>
        <v>1.45</v>
      </c>
      <c r="W400" s="22">
        <f>IFERROR(__xludf.DUMMYFUNCTION("IFERROR(GOOGLEFINANCE(A400,""priceopen""),"""")"),70.0)</f>
        <v>70</v>
      </c>
      <c r="X400" s="22">
        <f>IFERROR(__xludf.DUMMYFUNCTION("IFERROR(GOOGLEFINANCE(A400,""high""),"""")"),71.0)</f>
        <v>71</v>
      </c>
      <c r="Y400" s="22">
        <f>IFERROR(__xludf.DUMMYFUNCTION("IFERROR(GOOGLEFINANCE(A400,""low""),"""")"),68.0)</f>
        <v>68</v>
      </c>
      <c r="Z400" s="22">
        <f>IFERROR(__xludf.DUMMYFUNCTION("IFERROR(GOOGLEFINANCE(A400,""volume""),"""")"),929300.0)</f>
        <v>929300</v>
      </c>
      <c r="AA400" s="24" t="str">
        <f>VLOOKUP(A400,Metrik!$C$2:$Y$959,5,0)</f>
        <v>Passenger Land Transportation</v>
      </c>
      <c r="AB400" s="24" t="str">
        <f>VLOOKUP(A400,Metrik!$C$2:$Y$959,3,0)</f>
        <v>Transportation &amp; Logistic</v>
      </c>
    </row>
    <row r="401">
      <c r="A401" s="14" t="s">
        <v>232</v>
      </c>
      <c r="B401" s="14" t="str">
        <f t="array" ref="B401">VLOOKUP(A401,{Metrik!$C$2:$C$998,Metrik!$B$2:$B$998},2,0)</f>
        <v>Indo Kordsa Tbk.</v>
      </c>
      <c r="C401" s="15">
        <f>IFERROR(__xludf.DUMMYFUNCTION("GOOGLEFINANCE(""IDX:""&amp;A401,""price"")"),4690.0)</f>
        <v>4690</v>
      </c>
      <c r="D401" s="16" t="str">
        <f>IFERROR(__xludf.DUMMYFUNCTION("IF(A401="""","""",
SPARKLINE(
INDEX(
GOOGLEFINANCE(""IDX:""&amp;A401,""close"",TODAY()-365,TODAY()),
,2
),
{""linewidth"",1}
))
"),"#N/A")</f>
        <v>#N/A</v>
      </c>
      <c r="E401" s="26"/>
      <c r="F401" s="26"/>
      <c r="G401" s="24">
        <f t="shared" si="1"/>
        <v>0</v>
      </c>
      <c r="H401" s="19">
        <f>VLOOKUP(A401,Metrik!$C$2:$Y$959,8,0)</f>
        <v>120</v>
      </c>
      <c r="I401" s="20">
        <f>VLOOKUP(A401,Metrik!$C$2:$Y$959,9,0)</f>
        <v>0.52</v>
      </c>
      <c r="J401" s="20">
        <f>VLOOKUP(A401,Metrik!$C$2:$Y$959,10,0)</f>
        <v>0.42</v>
      </c>
      <c r="K401" s="20">
        <f>VLOOKUP(A401,Metrik!$C$2:$Y$959,11,0)</f>
        <v>0.34</v>
      </c>
      <c r="L401" s="20">
        <f>VLOOKUP(A401,Metrik!$C$2:$Y$959,12,0)</f>
        <v>0.24</v>
      </c>
      <c r="M401" s="20">
        <f>VLOOKUP(A401,Metrik!$C$2:$Y$959,19,0)</f>
        <v>2.6</v>
      </c>
      <c r="N401" s="21"/>
      <c r="O401" s="21"/>
      <c r="P401" s="21"/>
      <c r="Q401" s="21"/>
      <c r="R401" s="21"/>
      <c r="S401" s="21"/>
      <c r="T401" s="21"/>
      <c r="U401" s="22">
        <f>IFERROR(__xludf.DUMMYFUNCTION("IFERROR(GOOGLEFINANCE(A401,""closeyest""),"""")"),4450.0)</f>
        <v>4450</v>
      </c>
      <c r="V401" s="23">
        <f>IFERROR(__xludf.DUMMYFUNCTION("IFERROR(GOOGLEFINANCE(A401,""changepct""),"""")"),5.39)</f>
        <v>5.39</v>
      </c>
      <c r="W401" s="22">
        <f>IFERROR(__xludf.DUMMYFUNCTION("IFERROR(GOOGLEFINANCE(A401,""priceopen""),"""")"),4450.0)</f>
        <v>4450</v>
      </c>
      <c r="X401" s="22">
        <f>IFERROR(__xludf.DUMMYFUNCTION("IFERROR(GOOGLEFINANCE(A401,""high""),"""")"),4800.0)</f>
        <v>4800</v>
      </c>
      <c r="Y401" s="22">
        <f>IFERROR(__xludf.DUMMYFUNCTION("IFERROR(GOOGLEFINANCE(A401,""low""),"""")"),4450.0)</f>
        <v>4450</v>
      </c>
      <c r="Z401" s="22">
        <f>IFERROR(__xludf.DUMMYFUNCTION("IFERROR(GOOGLEFINANCE(A401,""volume""),"""")"),17200.0)</f>
        <v>17200</v>
      </c>
      <c r="AA401" s="24" t="str">
        <f>VLOOKUP(A401,Metrik!$C$2:$Y$959,5,0)</f>
        <v>Auto Components</v>
      </c>
      <c r="AB401" s="24" t="str">
        <f>VLOOKUP(A401,Metrik!$C$2:$Y$959,3,0)</f>
        <v>Consumer Cyclicals</v>
      </c>
    </row>
    <row r="402">
      <c r="A402" s="14" t="s">
        <v>233</v>
      </c>
      <c r="B402" s="14" t="str">
        <f t="array" ref="B402">VLOOKUP(A402,{Metrik!$C$2:$C$998,Metrik!$B$2:$B$998},2,0)</f>
        <v>PT Barito Renewables Energy Tbk.</v>
      </c>
      <c r="C402" s="15">
        <f>IFERROR(__xludf.DUMMYFUNCTION("GOOGLEFINANCE(""IDX:""&amp;A402,""price"")"),4080.0)</f>
        <v>4080</v>
      </c>
      <c r="D402" s="16" t="str">
        <f>IFERROR(__xludf.DUMMYFUNCTION("IF(A402="""","""",
SPARKLINE(
INDEX(
GOOGLEFINANCE(""IDX:""&amp;A402,""close"",TODAY()-365,TODAY()),
,2
),
{""linewidth"",1}
))
"),"#N/A")</f>
        <v>#N/A</v>
      </c>
      <c r="E402" s="14" t="s">
        <v>32</v>
      </c>
      <c r="F402" s="14" t="s">
        <v>29</v>
      </c>
      <c r="G402" s="24">
        <f t="shared" si="1"/>
        <v>1</v>
      </c>
      <c r="H402" s="19">
        <f>VLOOKUP(A402,Metrik!$C$2:$Y$959,8,0)</f>
        <v>190</v>
      </c>
      <c r="I402" s="20">
        <f>VLOOKUP(A402,Metrik!$C$2:$Y$959,9,0)</f>
        <v>27.7</v>
      </c>
      <c r="J402" s="20">
        <f>VLOOKUP(A402,Metrik!$C$2:$Y$959,10,0)</f>
        <v>15</v>
      </c>
      <c r="K402" s="20">
        <f>VLOOKUP(A402,Metrik!$C$2:$Y$959,11,0)</f>
        <v>3.6</v>
      </c>
      <c r="L402" s="20">
        <f>VLOOKUP(A402,Metrik!$C$2:$Y$959,12,0)</f>
        <v>3.2</v>
      </c>
      <c r="M402" s="20">
        <f>VLOOKUP(A402,Metrik!$C$2:$Y$959,19,0)</f>
        <v>84.9</v>
      </c>
      <c r="N402" s="21"/>
      <c r="O402" s="21"/>
      <c r="P402" s="21"/>
      <c r="Q402" s="21"/>
      <c r="R402" s="21"/>
      <c r="S402" s="21"/>
      <c r="T402" s="21"/>
      <c r="U402" s="22">
        <f>IFERROR(__xludf.DUMMYFUNCTION("IFERROR(GOOGLEFINANCE(A402,""closeyest""),"""")"),176.34)</f>
        <v>176.34</v>
      </c>
      <c r="V402" s="23">
        <f>IFERROR(__xludf.DUMMYFUNCTION("IFERROR(GOOGLEFINANCE(A402,""changepct""),"""")"),0.0)</f>
        <v>0</v>
      </c>
      <c r="W402" s="22" t="str">
        <f>IFERROR(__xludf.DUMMYFUNCTION("IFERROR(GOOGLEFINANCE(A402,""priceopen""),"""")"),"")</f>
        <v/>
      </c>
      <c r="X402" s="22" t="str">
        <f>IFERROR(__xludf.DUMMYFUNCTION("IFERROR(GOOGLEFINANCE(A402,""high""),"""")"),"")</f>
        <v/>
      </c>
      <c r="Y402" s="22" t="str">
        <f>IFERROR(__xludf.DUMMYFUNCTION("IFERROR(GOOGLEFINANCE(A402,""low""),"""")"),"")</f>
        <v/>
      </c>
      <c r="Z402" s="22">
        <f>IFERROR(__xludf.DUMMYFUNCTION("IFERROR(GOOGLEFINANCE(A402,""volume""),"""")"),0.0)</f>
        <v>0</v>
      </c>
      <c r="AA402" s="24" t="str">
        <f>VLOOKUP(A402,Metrik!$C$2:$Y$959,5,0)</f>
        <v>Electric Utilities</v>
      </c>
      <c r="AB402" s="24" t="str">
        <f>VLOOKUP(A402,Metrik!$C$2:$Y$959,3,0)</f>
        <v>Infrastructures</v>
      </c>
    </row>
    <row r="403">
      <c r="A403" s="14" t="s">
        <v>234</v>
      </c>
      <c r="B403" s="14" t="str">
        <f t="array" ref="B403">VLOOKUP(A403,{Metrik!$C$2:$C$998,Metrik!$B$2:$B$998},2,0)</f>
        <v>Bank Syariah Indonesia (Persero) Tbk.</v>
      </c>
      <c r="C403" s="15" t="str">
        <f>IFERROR(__xludf.DUMMYFUNCTION("GOOGLEFINANCE(""IDX:""&amp;A403,""price"")"),"#N/A")</f>
        <v>#N/A</v>
      </c>
      <c r="D403" s="16" t="str">
        <f>IFERROR(__xludf.DUMMYFUNCTION("IF(A403="""","""",
SPARKLINE(
INDEX(
GOOGLEFINANCE(""IDX:""&amp;A403,""close"",TODAY()-365,TODAY()),
,2
),
{""linewidth"",1}
))
"),"#N/A")</f>
        <v>#N/A</v>
      </c>
      <c r="E403" s="14" t="s">
        <v>75</v>
      </c>
      <c r="F403" s="14" t="s">
        <v>76</v>
      </c>
      <c r="G403" s="24">
        <f t="shared" si="1"/>
        <v>13</v>
      </c>
      <c r="H403" s="19">
        <f>VLOOKUP(A403,Metrik!$C$2:$Y$959,8,0)</f>
        <v>11.6</v>
      </c>
      <c r="I403" s="20">
        <f>VLOOKUP(A403,Metrik!$C$2:$Y$959,9,0)</f>
        <v>1.8</v>
      </c>
      <c r="J403" s="20">
        <f>VLOOKUP(A403,Metrik!$C$2:$Y$959,10,0)</f>
        <v>15.5</v>
      </c>
      <c r="K403" s="20">
        <f>VLOOKUP(A403,Metrik!$C$2:$Y$959,11,0)</f>
        <v>1.7</v>
      </c>
      <c r="L403" s="20">
        <f>VLOOKUP(A403,Metrik!$C$2:$Y$959,12,0)</f>
        <v>2.2</v>
      </c>
      <c r="M403" s="20">
        <f>VLOOKUP(A403,Metrik!$C$2:$Y$959,19,0)</f>
        <v>160</v>
      </c>
      <c r="N403" s="44">
        <v>6.1</v>
      </c>
      <c r="O403" s="44">
        <v>24.08</v>
      </c>
      <c r="P403" s="44">
        <v>83.74</v>
      </c>
      <c r="Q403" s="44">
        <v>1.81</v>
      </c>
      <c r="R403" s="44">
        <v>67.49</v>
      </c>
      <c r="S403" s="44">
        <v>44.55</v>
      </c>
      <c r="T403" s="44">
        <v>10.26</v>
      </c>
      <c r="U403" s="22">
        <f>IFERROR(__xludf.DUMMYFUNCTION("IFERROR(GOOGLEFINANCE(A403,""closeyest""),"""")"),1795.0)</f>
        <v>1795</v>
      </c>
      <c r="V403" s="23">
        <f>IFERROR(__xludf.DUMMYFUNCTION("IFERROR(GOOGLEFINANCE(A403,""changepct""),"""")"),4.18)</f>
        <v>4.18</v>
      </c>
      <c r="W403" s="22">
        <f>IFERROR(__xludf.DUMMYFUNCTION("IFERROR(GOOGLEFINANCE(A403,""priceopen""),"""")"),1805.0)</f>
        <v>1805</v>
      </c>
      <c r="X403" s="22">
        <f>IFERROR(__xludf.DUMMYFUNCTION("IFERROR(GOOGLEFINANCE(A403,""high""),"""")"),1870.0)</f>
        <v>1870</v>
      </c>
      <c r="Y403" s="22">
        <f>IFERROR(__xludf.DUMMYFUNCTION("IFERROR(GOOGLEFINANCE(A403,""low""),"""")"),1805.0)</f>
        <v>1805</v>
      </c>
      <c r="Z403" s="22">
        <f>IFERROR(__xludf.DUMMYFUNCTION("IFERROR(GOOGLEFINANCE(A403,""volume""),"""")"),2.20712E7)</f>
        <v>22071200</v>
      </c>
      <c r="AA403" s="24" t="str">
        <f>VLOOKUP(A403,Metrik!$C$2:$Y$959,5,0)</f>
        <v>Banks</v>
      </c>
      <c r="AB403" s="24" t="str">
        <f>VLOOKUP(A403,Metrik!$C$2:$Y$959,3,0)</f>
        <v>Financials</v>
      </c>
    </row>
    <row r="404">
      <c r="A404" s="14" t="s">
        <v>234</v>
      </c>
      <c r="B404" s="14" t="str">
        <f t="array" ref="B404">VLOOKUP(A404,{Metrik!$C$2:$C$998,Metrik!$B$2:$B$998},2,0)</f>
        <v>Bank Syariah Indonesia (Persero) Tbk.</v>
      </c>
      <c r="C404" s="15" t="str">
        <f>IFERROR(__xludf.DUMMYFUNCTION("GOOGLEFINANCE(""IDX:""&amp;A404,""price"")"),"#N/A")</f>
        <v>#N/A</v>
      </c>
      <c r="D404" s="16" t="str">
        <f>IFERROR(__xludf.DUMMYFUNCTION("IF(A404="""","""",
SPARKLINE(
INDEX(
GOOGLEFINANCE(""IDX:""&amp;A404,""close"",TODAY()-365,TODAY()),
,2
),
{""linewidth"",1}
))
"),"#N/A")</f>
        <v>#N/A</v>
      </c>
      <c r="E404" s="14" t="s">
        <v>61</v>
      </c>
      <c r="F404" s="14" t="s">
        <v>34</v>
      </c>
      <c r="G404" s="24">
        <f t="shared" si="1"/>
        <v>13</v>
      </c>
      <c r="H404" s="19">
        <f>VLOOKUP(A404,Metrik!$C$2:$Y$959,8,0)</f>
        <v>11.6</v>
      </c>
      <c r="I404" s="20">
        <f>VLOOKUP(A404,Metrik!$C$2:$Y$959,9,0)</f>
        <v>1.8</v>
      </c>
      <c r="J404" s="20">
        <f>VLOOKUP(A404,Metrik!$C$2:$Y$959,10,0)</f>
        <v>15.5</v>
      </c>
      <c r="K404" s="20">
        <f>VLOOKUP(A404,Metrik!$C$2:$Y$959,11,0)</f>
        <v>1.7</v>
      </c>
      <c r="L404" s="20">
        <f>VLOOKUP(A404,Metrik!$C$2:$Y$959,12,0)</f>
        <v>2.2</v>
      </c>
      <c r="M404" s="20">
        <f>VLOOKUP(A404,Metrik!$C$2:$Y$959,19,0)</f>
        <v>160</v>
      </c>
      <c r="N404" s="44">
        <v>6.1</v>
      </c>
      <c r="O404" s="44">
        <v>24.08</v>
      </c>
      <c r="P404" s="44">
        <v>83.74</v>
      </c>
      <c r="Q404" s="44">
        <v>1.81</v>
      </c>
      <c r="R404" s="44">
        <v>67.49</v>
      </c>
      <c r="S404" s="44">
        <v>44.55</v>
      </c>
      <c r="T404" s="44">
        <v>10.26</v>
      </c>
      <c r="U404" s="22">
        <f>IFERROR(__xludf.DUMMYFUNCTION("IFERROR(GOOGLEFINANCE(A404,""closeyest""),"""")"),1795.0)</f>
        <v>1795</v>
      </c>
      <c r="V404" s="23">
        <f>IFERROR(__xludf.DUMMYFUNCTION("IFERROR(GOOGLEFINANCE(A404,""changepct""),"""")"),4.18)</f>
        <v>4.18</v>
      </c>
      <c r="W404" s="22">
        <f>IFERROR(__xludf.DUMMYFUNCTION("IFERROR(GOOGLEFINANCE(A404,""priceopen""),"""")"),1805.0)</f>
        <v>1805</v>
      </c>
      <c r="X404" s="22">
        <f>IFERROR(__xludf.DUMMYFUNCTION("IFERROR(GOOGLEFINANCE(A404,""high""),"""")"),1870.0)</f>
        <v>1870</v>
      </c>
      <c r="Y404" s="22">
        <f>IFERROR(__xludf.DUMMYFUNCTION("IFERROR(GOOGLEFINANCE(A404,""low""),"""")"),1805.0)</f>
        <v>1805</v>
      </c>
      <c r="Z404" s="22">
        <f>IFERROR(__xludf.DUMMYFUNCTION("IFERROR(GOOGLEFINANCE(A404,""volume""),"""")"),2.20712E7)</f>
        <v>22071200</v>
      </c>
      <c r="AA404" s="24" t="str">
        <f>VLOOKUP(A404,Metrik!$C$2:$Y$959,5,0)</f>
        <v>Banks</v>
      </c>
      <c r="AB404" s="24" t="str">
        <f>VLOOKUP(A404,Metrik!$C$2:$Y$959,3,0)</f>
        <v>Financials</v>
      </c>
    </row>
    <row r="405">
      <c r="A405" s="14" t="s">
        <v>234</v>
      </c>
      <c r="B405" s="14" t="str">
        <f t="array" ref="B405">VLOOKUP(A405,{Metrik!$C$2:$C$998,Metrik!$B$2:$B$998},2,0)</f>
        <v>Bank Syariah Indonesia (Persero) Tbk.</v>
      </c>
      <c r="C405" s="15" t="str">
        <f>IFERROR(__xludf.DUMMYFUNCTION("GOOGLEFINANCE(""IDX:""&amp;A405,""price"")"),"#N/A")</f>
        <v>#N/A</v>
      </c>
      <c r="D405" s="16" t="str">
        <f>IFERROR(__xludf.DUMMYFUNCTION("IF(A405="""","""",
SPARKLINE(
INDEX(
GOOGLEFINANCE(""IDX:""&amp;A405,""close"",TODAY()-365,TODAY()),
,2
),
{""linewidth"",1}
))
"),"#N/A")</f>
        <v>#N/A</v>
      </c>
      <c r="E405" s="14" t="s">
        <v>32</v>
      </c>
      <c r="F405" s="14" t="s">
        <v>29</v>
      </c>
      <c r="G405" s="24">
        <f t="shared" si="1"/>
        <v>13</v>
      </c>
      <c r="H405" s="19">
        <f>VLOOKUP(A405,Metrik!$C$2:$Y$959,8,0)</f>
        <v>11.6</v>
      </c>
      <c r="I405" s="20">
        <f>VLOOKUP(A405,Metrik!$C$2:$Y$959,9,0)</f>
        <v>1.8</v>
      </c>
      <c r="J405" s="20">
        <f>VLOOKUP(A405,Metrik!$C$2:$Y$959,10,0)</f>
        <v>15.5</v>
      </c>
      <c r="K405" s="20">
        <f>VLOOKUP(A405,Metrik!$C$2:$Y$959,11,0)</f>
        <v>1.7</v>
      </c>
      <c r="L405" s="20">
        <f>VLOOKUP(A405,Metrik!$C$2:$Y$959,12,0)</f>
        <v>2.2</v>
      </c>
      <c r="M405" s="20">
        <f>VLOOKUP(A405,Metrik!$C$2:$Y$959,19,0)</f>
        <v>160</v>
      </c>
      <c r="N405" s="44">
        <v>6.1</v>
      </c>
      <c r="O405" s="44">
        <v>24.08</v>
      </c>
      <c r="P405" s="44">
        <v>83.74</v>
      </c>
      <c r="Q405" s="44">
        <v>1.81</v>
      </c>
      <c r="R405" s="44">
        <v>67.49</v>
      </c>
      <c r="S405" s="44">
        <v>44.55</v>
      </c>
      <c r="T405" s="44">
        <v>10.26</v>
      </c>
      <c r="U405" s="22">
        <f>IFERROR(__xludf.DUMMYFUNCTION("IFERROR(GOOGLEFINANCE(A405,""closeyest""),"""")"),1795.0)</f>
        <v>1795</v>
      </c>
      <c r="V405" s="23">
        <f>IFERROR(__xludf.DUMMYFUNCTION("IFERROR(GOOGLEFINANCE(A405,""changepct""),"""")"),4.18)</f>
        <v>4.18</v>
      </c>
      <c r="W405" s="22">
        <f>IFERROR(__xludf.DUMMYFUNCTION("IFERROR(GOOGLEFINANCE(A405,""priceopen""),"""")"),1805.0)</f>
        <v>1805</v>
      </c>
      <c r="X405" s="22">
        <f>IFERROR(__xludf.DUMMYFUNCTION("IFERROR(GOOGLEFINANCE(A405,""high""),"""")"),1870.0)</f>
        <v>1870</v>
      </c>
      <c r="Y405" s="22">
        <f>IFERROR(__xludf.DUMMYFUNCTION("IFERROR(GOOGLEFINANCE(A405,""low""),"""")"),1805.0)</f>
        <v>1805</v>
      </c>
      <c r="Z405" s="22">
        <f>IFERROR(__xludf.DUMMYFUNCTION("IFERROR(GOOGLEFINANCE(A405,""volume""),"""")"),2.20712E7)</f>
        <v>22071200</v>
      </c>
      <c r="AA405" s="24" t="str">
        <f>VLOOKUP(A405,Metrik!$C$2:$Y$959,5,0)</f>
        <v>Banks</v>
      </c>
      <c r="AB405" s="24" t="str">
        <f>VLOOKUP(A405,Metrik!$C$2:$Y$959,3,0)</f>
        <v>Financials</v>
      </c>
    </row>
    <row r="406">
      <c r="A406" s="14" t="s">
        <v>234</v>
      </c>
      <c r="B406" s="14" t="str">
        <f t="array" ref="B406">VLOOKUP(A406,{Metrik!$C$2:$C$998,Metrik!$B$2:$B$998},2,0)</f>
        <v>Bank Syariah Indonesia (Persero) Tbk.</v>
      </c>
      <c r="C406" s="15" t="str">
        <f>IFERROR(__xludf.DUMMYFUNCTION("GOOGLEFINANCE(""IDX:""&amp;A406,""price"")"),"#N/A")</f>
        <v>#N/A</v>
      </c>
      <c r="D406" s="16" t="str">
        <f>IFERROR(__xludf.DUMMYFUNCTION("IF(A406="""","""",
SPARKLINE(
INDEX(
GOOGLEFINANCE(""IDX:""&amp;A406,""close"",TODAY()-365,TODAY()),
,2
),
{""linewidth"",1}
))
"),"#N/A")</f>
        <v>#N/A</v>
      </c>
      <c r="E406" s="14" t="s">
        <v>84</v>
      </c>
      <c r="F406" s="17" t="s">
        <v>51</v>
      </c>
      <c r="G406" s="24">
        <f t="shared" si="1"/>
        <v>13</v>
      </c>
      <c r="H406" s="19">
        <f>VLOOKUP(A406,Metrik!$C$2:$Y$959,8,0)</f>
        <v>11.6</v>
      </c>
      <c r="I406" s="20">
        <f>VLOOKUP(A406,Metrik!$C$2:$Y$959,9,0)</f>
        <v>1.8</v>
      </c>
      <c r="J406" s="20">
        <f>VLOOKUP(A406,Metrik!$C$2:$Y$959,10,0)</f>
        <v>15.5</v>
      </c>
      <c r="K406" s="20">
        <f>VLOOKUP(A406,Metrik!$C$2:$Y$959,11,0)</f>
        <v>1.7</v>
      </c>
      <c r="L406" s="20">
        <f>VLOOKUP(A406,Metrik!$C$2:$Y$959,12,0)</f>
        <v>2.2</v>
      </c>
      <c r="M406" s="20">
        <f>VLOOKUP(A406,Metrik!$C$2:$Y$959,19,0)</f>
        <v>160</v>
      </c>
      <c r="N406" s="44">
        <v>6.1</v>
      </c>
      <c r="O406" s="44">
        <v>24.08</v>
      </c>
      <c r="P406" s="44">
        <v>83.74</v>
      </c>
      <c r="Q406" s="44">
        <v>1.81</v>
      </c>
      <c r="R406" s="44">
        <v>67.49</v>
      </c>
      <c r="S406" s="44">
        <v>44.55</v>
      </c>
      <c r="T406" s="44">
        <v>10.26</v>
      </c>
      <c r="U406" s="22">
        <f>IFERROR(__xludf.DUMMYFUNCTION("IFERROR(GOOGLEFINANCE(A406,""closeyest""),"""")"),1795.0)</f>
        <v>1795</v>
      </c>
      <c r="V406" s="23">
        <f>IFERROR(__xludf.DUMMYFUNCTION("IFERROR(GOOGLEFINANCE(A406,""changepct""),"""")"),4.18)</f>
        <v>4.18</v>
      </c>
      <c r="W406" s="22">
        <f>IFERROR(__xludf.DUMMYFUNCTION("IFERROR(GOOGLEFINANCE(A406,""priceopen""),"""")"),1805.0)</f>
        <v>1805</v>
      </c>
      <c r="X406" s="22">
        <f>IFERROR(__xludf.DUMMYFUNCTION("IFERROR(GOOGLEFINANCE(A406,""high""),"""")"),1870.0)</f>
        <v>1870</v>
      </c>
      <c r="Y406" s="22">
        <f>IFERROR(__xludf.DUMMYFUNCTION("IFERROR(GOOGLEFINANCE(A406,""low""),"""")"),1805.0)</f>
        <v>1805</v>
      </c>
      <c r="Z406" s="22">
        <f>IFERROR(__xludf.DUMMYFUNCTION("IFERROR(GOOGLEFINANCE(A406,""volume""),"""")"),2.20712E7)</f>
        <v>22071200</v>
      </c>
      <c r="AA406" s="24" t="str">
        <f>VLOOKUP(A406,Metrik!$C$2:$Y$959,5,0)</f>
        <v>Banks</v>
      </c>
      <c r="AB406" s="24" t="str">
        <f>VLOOKUP(A406,Metrik!$C$2:$Y$959,3,0)</f>
        <v>Financials</v>
      </c>
    </row>
    <row r="407">
      <c r="A407" s="14" t="s">
        <v>234</v>
      </c>
      <c r="B407" s="14" t="str">
        <f t="array" ref="B407">VLOOKUP(A407,{Metrik!$C$2:$C$998,Metrik!$B$2:$B$998},2,0)</f>
        <v>Bank Syariah Indonesia (Persero) Tbk.</v>
      </c>
      <c r="C407" s="15" t="str">
        <f>IFERROR(__xludf.DUMMYFUNCTION("GOOGLEFINANCE(""IDX:""&amp;A407,""price"")"),"#N/A")</f>
        <v>#N/A</v>
      </c>
      <c r="D407" s="16" t="str">
        <f>IFERROR(__xludf.DUMMYFUNCTION("IF(A407="""","""",
SPARKLINE(
INDEX(
GOOGLEFINANCE(""IDX:""&amp;A407,""close"",TODAY()-365,TODAY()),
,2
),
{""linewidth"",1}
))
"),"#N/A")</f>
        <v>#N/A</v>
      </c>
      <c r="E407" s="14" t="s">
        <v>161</v>
      </c>
      <c r="F407" s="14" t="s">
        <v>76</v>
      </c>
      <c r="G407" s="24">
        <f t="shared" si="1"/>
        <v>13</v>
      </c>
      <c r="H407" s="19">
        <f>VLOOKUP(A407,Metrik!$C$2:$Y$959,8,0)</f>
        <v>11.6</v>
      </c>
      <c r="I407" s="20">
        <f>VLOOKUP(A407,Metrik!$C$2:$Y$959,9,0)</f>
        <v>1.8</v>
      </c>
      <c r="J407" s="20">
        <f>VLOOKUP(A407,Metrik!$C$2:$Y$959,10,0)</f>
        <v>15.5</v>
      </c>
      <c r="K407" s="20">
        <f>VLOOKUP(A407,Metrik!$C$2:$Y$959,11,0)</f>
        <v>1.7</v>
      </c>
      <c r="L407" s="20">
        <f>VLOOKUP(A407,Metrik!$C$2:$Y$959,12,0)</f>
        <v>2.2</v>
      </c>
      <c r="M407" s="20">
        <f>VLOOKUP(A407,Metrik!$C$2:$Y$959,19,0)</f>
        <v>160</v>
      </c>
      <c r="N407" s="44">
        <v>6.1</v>
      </c>
      <c r="O407" s="44">
        <v>24.08</v>
      </c>
      <c r="P407" s="44">
        <v>83.74</v>
      </c>
      <c r="Q407" s="44">
        <v>1.81</v>
      </c>
      <c r="R407" s="44">
        <v>67.49</v>
      </c>
      <c r="S407" s="44">
        <v>44.55</v>
      </c>
      <c r="T407" s="44">
        <v>10.26</v>
      </c>
      <c r="U407" s="22">
        <f>IFERROR(__xludf.DUMMYFUNCTION("IFERROR(GOOGLEFINANCE(A407,""closeyest""),"""")"),1795.0)</f>
        <v>1795</v>
      </c>
      <c r="V407" s="23">
        <f>IFERROR(__xludf.DUMMYFUNCTION("IFERROR(GOOGLEFINANCE(A407,""changepct""),"""")"),4.18)</f>
        <v>4.18</v>
      </c>
      <c r="W407" s="22">
        <f>IFERROR(__xludf.DUMMYFUNCTION("IFERROR(GOOGLEFINANCE(A407,""priceopen""),"""")"),1805.0)</f>
        <v>1805</v>
      </c>
      <c r="X407" s="22">
        <f>IFERROR(__xludf.DUMMYFUNCTION("IFERROR(GOOGLEFINANCE(A407,""high""),"""")"),1870.0)</f>
        <v>1870</v>
      </c>
      <c r="Y407" s="22">
        <f>IFERROR(__xludf.DUMMYFUNCTION("IFERROR(GOOGLEFINANCE(A407,""low""),"""")"),1805.0)</f>
        <v>1805</v>
      </c>
      <c r="Z407" s="22">
        <f>IFERROR(__xludf.DUMMYFUNCTION("IFERROR(GOOGLEFINANCE(A407,""volume""),"""")"),2.20712E7)</f>
        <v>22071200</v>
      </c>
      <c r="AA407" s="24" t="str">
        <f>VLOOKUP(A407,Metrik!$C$2:$Y$959,5,0)</f>
        <v>Banks</v>
      </c>
      <c r="AB407" s="24" t="str">
        <f>VLOOKUP(A407,Metrik!$C$2:$Y$959,3,0)</f>
        <v>Financials</v>
      </c>
    </row>
    <row r="408">
      <c r="A408" s="14" t="s">
        <v>234</v>
      </c>
      <c r="B408" s="14" t="str">
        <f t="array" ref="B408">VLOOKUP(A408,{Metrik!$C$2:$C$998,Metrik!$B$2:$B$998},2,0)</f>
        <v>Bank Syariah Indonesia (Persero) Tbk.</v>
      </c>
      <c r="C408" s="15" t="str">
        <f>IFERROR(__xludf.DUMMYFUNCTION("GOOGLEFINANCE(""IDX:""&amp;A408,""price"")"),"#N/A")</f>
        <v>#N/A</v>
      </c>
      <c r="D408" s="16" t="str">
        <f>IFERROR(__xludf.DUMMYFUNCTION("IF(A408="""","""",
SPARKLINE(
INDEX(
GOOGLEFINANCE(""IDX:""&amp;A408,""close"",TODAY()-365,TODAY()),
,2
),
{""linewidth"",1}
))
"),"#N/A")</f>
        <v>#N/A</v>
      </c>
      <c r="E408" s="14" t="s">
        <v>52</v>
      </c>
      <c r="F408" s="27" t="s">
        <v>53</v>
      </c>
      <c r="G408" s="24">
        <f t="shared" si="1"/>
        <v>13</v>
      </c>
      <c r="H408" s="19">
        <f>VLOOKUP(A408,Metrik!$C$2:$Y$959,8,0)</f>
        <v>11.6</v>
      </c>
      <c r="I408" s="20">
        <f>VLOOKUP(A408,Metrik!$C$2:$Y$959,9,0)</f>
        <v>1.8</v>
      </c>
      <c r="J408" s="20">
        <f>VLOOKUP(A408,Metrik!$C$2:$Y$959,10,0)</f>
        <v>15.5</v>
      </c>
      <c r="K408" s="20">
        <f>VLOOKUP(A408,Metrik!$C$2:$Y$959,11,0)</f>
        <v>1.7</v>
      </c>
      <c r="L408" s="20">
        <f>VLOOKUP(A408,Metrik!$C$2:$Y$959,12,0)</f>
        <v>2.2</v>
      </c>
      <c r="M408" s="20">
        <f>VLOOKUP(A408,Metrik!$C$2:$Y$959,19,0)</f>
        <v>160</v>
      </c>
      <c r="N408" s="44">
        <v>6.1</v>
      </c>
      <c r="O408" s="44">
        <v>24.08</v>
      </c>
      <c r="P408" s="44">
        <v>83.74</v>
      </c>
      <c r="Q408" s="44">
        <v>1.81</v>
      </c>
      <c r="R408" s="44">
        <v>67.49</v>
      </c>
      <c r="S408" s="44">
        <v>44.55</v>
      </c>
      <c r="T408" s="44">
        <v>10.26</v>
      </c>
      <c r="U408" s="22">
        <f>IFERROR(__xludf.DUMMYFUNCTION("IFERROR(GOOGLEFINANCE(A408,""closeyest""),"""")"),1795.0)</f>
        <v>1795</v>
      </c>
      <c r="V408" s="23">
        <f>IFERROR(__xludf.DUMMYFUNCTION("IFERROR(GOOGLEFINANCE(A408,""changepct""),"""")"),4.18)</f>
        <v>4.18</v>
      </c>
      <c r="W408" s="22">
        <f>IFERROR(__xludf.DUMMYFUNCTION("IFERROR(GOOGLEFINANCE(A408,""priceopen""),"""")"),1805.0)</f>
        <v>1805</v>
      </c>
      <c r="X408" s="22">
        <f>IFERROR(__xludf.DUMMYFUNCTION("IFERROR(GOOGLEFINANCE(A408,""high""),"""")"),1870.0)</f>
        <v>1870</v>
      </c>
      <c r="Y408" s="22">
        <f>IFERROR(__xludf.DUMMYFUNCTION("IFERROR(GOOGLEFINANCE(A408,""low""),"""")"),1805.0)</f>
        <v>1805</v>
      </c>
      <c r="Z408" s="22">
        <f>IFERROR(__xludf.DUMMYFUNCTION("IFERROR(GOOGLEFINANCE(A408,""volume""),"""")"),2.20712E7)</f>
        <v>22071200</v>
      </c>
      <c r="AA408" s="24" t="str">
        <f>VLOOKUP(A408,Metrik!$C$2:$Y$959,5,0)</f>
        <v>Banks</v>
      </c>
      <c r="AB408" s="24" t="str">
        <f>VLOOKUP(A408,Metrik!$C$2:$Y$959,3,0)</f>
        <v>Financials</v>
      </c>
    </row>
    <row r="409">
      <c r="A409" s="14" t="s">
        <v>234</v>
      </c>
      <c r="B409" s="14" t="str">
        <f t="array" ref="B409">VLOOKUP(A409,{Metrik!$C$2:$C$998,Metrik!$B$2:$B$998},2,0)</f>
        <v>Bank Syariah Indonesia (Persero) Tbk.</v>
      </c>
      <c r="C409" s="15" t="str">
        <f>IFERROR(__xludf.DUMMYFUNCTION("GOOGLEFINANCE(""IDX:""&amp;A409,""price"")"),"#N/A")</f>
        <v>#N/A</v>
      </c>
      <c r="D409" s="16" t="str">
        <f>IFERROR(__xludf.DUMMYFUNCTION("IF(A409="""","""",
SPARKLINE(
INDEX(
GOOGLEFINANCE(""IDX:""&amp;A409,""close"",TODAY()-365,TODAY()),
,2
),
{""linewidth"",1}
))
"),"#N/A")</f>
        <v>#N/A</v>
      </c>
      <c r="E409" s="14" t="s">
        <v>162</v>
      </c>
      <c r="F409" s="14" t="s">
        <v>76</v>
      </c>
      <c r="G409" s="24">
        <f t="shared" si="1"/>
        <v>13</v>
      </c>
      <c r="H409" s="19">
        <f>VLOOKUP(A409,Metrik!$C$2:$Y$959,8,0)</f>
        <v>11.6</v>
      </c>
      <c r="I409" s="20">
        <f>VLOOKUP(A409,Metrik!$C$2:$Y$959,9,0)</f>
        <v>1.8</v>
      </c>
      <c r="J409" s="20">
        <f>VLOOKUP(A409,Metrik!$C$2:$Y$959,10,0)</f>
        <v>15.5</v>
      </c>
      <c r="K409" s="20">
        <f>VLOOKUP(A409,Metrik!$C$2:$Y$959,11,0)</f>
        <v>1.7</v>
      </c>
      <c r="L409" s="20">
        <f>VLOOKUP(A409,Metrik!$C$2:$Y$959,12,0)</f>
        <v>2.2</v>
      </c>
      <c r="M409" s="20">
        <f>VLOOKUP(A409,Metrik!$C$2:$Y$959,19,0)</f>
        <v>160</v>
      </c>
      <c r="N409" s="44">
        <v>6.1</v>
      </c>
      <c r="O409" s="44">
        <v>24.08</v>
      </c>
      <c r="P409" s="44">
        <v>83.74</v>
      </c>
      <c r="Q409" s="44">
        <v>1.81</v>
      </c>
      <c r="R409" s="44">
        <v>67.49</v>
      </c>
      <c r="S409" s="44">
        <v>44.55</v>
      </c>
      <c r="T409" s="44">
        <v>10.26</v>
      </c>
      <c r="U409" s="22">
        <f>IFERROR(__xludf.DUMMYFUNCTION("IFERROR(GOOGLEFINANCE(A409,""closeyest""),"""")"),1795.0)</f>
        <v>1795</v>
      </c>
      <c r="V409" s="23">
        <f>IFERROR(__xludf.DUMMYFUNCTION("IFERROR(GOOGLEFINANCE(A409,""changepct""),"""")"),4.18)</f>
        <v>4.18</v>
      </c>
      <c r="W409" s="22">
        <f>IFERROR(__xludf.DUMMYFUNCTION("IFERROR(GOOGLEFINANCE(A409,""priceopen""),"""")"),1805.0)</f>
        <v>1805</v>
      </c>
      <c r="X409" s="22">
        <f>IFERROR(__xludf.DUMMYFUNCTION("IFERROR(GOOGLEFINANCE(A409,""high""),"""")"),1870.0)</f>
        <v>1870</v>
      </c>
      <c r="Y409" s="22">
        <f>IFERROR(__xludf.DUMMYFUNCTION("IFERROR(GOOGLEFINANCE(A409,""low""),"""")"),1805.0)</f>
        <v>1805</v>
      </c>
      <c r="Z409" s="22">
        <f>IFERROR(__xludf.DUMMYFUNCTION("IFERROR(GOOGLEFINANCE(A409,""volume""),"""")"),2.20712E7)</f>
        <v>22071200</v>
      </c>
      <c r="AA409" s="24" t="str">
        <f>VLOOKUP(A409,Metrik!$C$2:$Y$959,5,0)</f>
        <v>Banks</v>
      </c>
      <c r="AB409" s="24" t="str">
        <f>VLOOKUP(A409,Metrik!$C$2:$Y$959,3,0)</f>
        <v>Financials</v>
      </c>
    </row>
    <row r="410">
      <c r="A410" s="17" t="s">
        <v>234</v>
      </c>
      <c r="B410" s="14" t="str">
        <f t="array" ref="B410">VLOOKUP(A410,{Metrik!$C$2:$C$998,Metrik!$B$2:$B$998},2,0)</f>
        <v>Bank Syariah Indonesia (Persero) Tbk.</v>
      </c>
      <c r="C410" s="15" t="str">
        <f>IFERROR(__xludf.DUMMYFUNCTION("GOOGLEFINANCE(""IDX:""&amp;A410,""price"")"),"#N/A")</f>
        <v>#N/A</v>
      </c>
      <c r="D410" s="16" t="str">
        <f>IFERROR(__xludf.DUMMYFUNCTION("IF(A410="""","""",
SPARKLINE(
INDEX(
GOOGLEFINANCE(""IDX:""&amp;A410,""close"",TODAY()-365,TODAY()),
,2
),
{""linewidth"",1}
))
"),"#N/A")</f>
        <v>#N/A</v>
      </c>
      <c r="E410" s="17" t="s">
        <v>69</v>
      </c>
      <c r="F410" s="17" t="s">
        <v>70</v>
      </c>
      <c r="G410" s="24">
        <f t="shared" si="1"/>
        <v>13</v>
      </c>
      <c r="H410" s="19">
        <f>VLOOKUP(A410,Metrik!$C$2:$Y$959,8,0)</f>
        <v>11.6</v>
      </c>
      <c r="I410" s="20">
        <f>VLOOKUP(A410,Metrik!$C$2:$Y$959,9,0)</f>
        <v>1.8</v>
      </c>
      <c r="J410" s="20">
        <f>VLOOKUP(A410,Metrik!$C$2:$Y$959,10,0)</f>
        <v>15.5</v>
      </c>
      <c r="K410" s="20">
        <f>VLOOKUP(A410,Metrik!$C$2:$Y$959,11,0)</f>
        <v>1.7</v>
      </c>
      <c r="L410" s="20">
        <f>VLOOKUP(A410,Metrik!$C$2:$Y$959,12,0)</f>
        <v>2.2</v>
      </c>
      <c r="M410" s="20">
        <f>VLOOKUP(A410,Metrik!$C$2:$Y$959,19,0)</f>
        <v>160</v>
      </c>
      <c r="N410" s="45">
        <v>6.1</v>
      </c>
      <c r="O410" s="45">
        <v>24.08</v>
      </c>
      <c r="P410" s="45">
        <v>83.74</v>
      </c>
      <c r="Q410" s="45">
        <v>1.81</v>
      </c>
      <c r="R410" s="45">
        <v>67.49</v>
      </c>
      <c r="S410" s="45">
        <v>44.55</v>
      </c>
      <c r="T410" s="45">
        <v>10.26</v>
      </c>
      <c r="U410" s="22">
        <f>IFERROR(__xludf.DUMMYFUNCTION("IFERROR(GOOGLEFINANCE(A410,""closeyest""),"""")"),1795.0)</f>
        <v>1795</v>
      </c>
      <c r="V410" s="23">
        <f>IFERROR(__xludf.DUMMYFUNCTION("IFERROR(GOOGLEFINANCE(A410,""changepct""),"""")"),4.18)</f>
        <v>4.18</v>
      </c>
      <c r="W410" s="22">
        <f>IFERROR(__xludf.DUMMYFUNCTION("IFERROR(GOOGLEFINANCE(A410,""priceopen""),"""")"),1805.0)</f>
        <v>1805</v>
      </c>
      <c r="X410" s="22">
        <f>IFERROR(__xludf.DUMMYFUNCTION("IFERROR(GOOGLEFINANCE(A410,""high""),"""")"),1870.0)</f>
        <v>1870</v>
      </c>
      <c r="Y410" s="22">
        <f>IFERROR(__xludf.DUMMYFUNCTION("IFERROR(GOOGLEFINANCE(A410,""low""),"""")"),1805.0)</f>
        <v>1805</v>
      </c>
      <c r="Z410" s="22">
        <f>IFERROR(__xludf.DUMMYFUNCTION("IFERROR(GOOGLEFINANCE(A410,""volume""),"""")"),2.20712E7)</f>
        <v>22071200</v>
      </c>
      <c r="AA410" s="24" t="str">
        <f>VLOOKUP(A410,Metrik!$C$2:$Y$959,5,0)</f>
        <v>Banks</v>
      </c>
      <c r="AB410" s="24" t="str">
        <f>VLOOKUP(A410,Metrik!$C$2:$Y$959,3,0)</f>
        <v>Financials</v>
      </c>
    </row>
    <row r="411">
      <c r="A411" s="14" t="s">
        <v>234</v>
      </c>
      <c r="B411" s="14" t="str">
        <f t="array" ref="B411">VLOOKUP(A411,{Metrik!$C$2:$C$998,Metrik!$B$2:$B$998},2,0)</f>
        <v>Bank Syariah Indonesia (Persero) Tbk.</v>
      </c>
      <c r="C411" s="15" t="str">
        <f>IFERROR(__xludf.DUMMYFUNCTION("GOOGLEFINANCE(""IDX:""&amp;A411,""price"")"),"#N/A")</f>
        <v>#N/A</v>
      </c>
      <c r="D411" s="16" t="str">
        <f>IFERROR(__xludf.DUMMYFUNCTION("IF(A411="""","""",
SPARKLINE(
INDEX(
GOOGLEFINANCE(""IDX:""&amp;A411,""close"",TODAY()-365,TODAY()),
,2
),
{""linewidth"",1}
))
"),"#N/A")</f>
        <v>#N/A</v>
      </c>
      <c r="E411" s="14" t="s">
        <v>106</v>
      </c>
      <c r="F411" s="25">
        <v>46356.0</v>
      </c>
      <c r="G411" s="24">
        <f t="shared" si="1"/>
        <v>13</v>
      </c>
      <c r="H411" s="19">
        <f>VLOOKUP(A411,Metrik!$C$2:$Y$959,8,0)</f>
        <v>11.6</v>
      </c>
      <c r="I411" s="20">
        <f>VLOOKUP(A411,Metrik!$C$2:$Y$959,9,0)</f>
        <v>1.8</v>
      </c>
      <c r="J411" s="20">
        <f>VLOOKUP(A411,Metrik!$C$2:$Y$959,10,0)</f>
        <v>15.5</v>
      </c>
      <c r="K411" s="20">
        <f>VLOOKUP(A411,Metrik!$C$2:$Y$959,11,0)</f>
        <v>1.7</v>
      </c>
      <c r="L411" s="20">
        <f>VLOOKUP(A411,Metrik!$C$2:$Y$959,12,0)</f>
        <v>2.2</v>
      </c>
      <c r="M411" s="20">
        <f>VLOOKUP(A411,Metrik!$C$2:$Y$959,19,0)</f>
        <v>160</v>
      </c>
      <c r="N411" s="44">
        <v>6.1</v>
      </c>
      <c r="O411" s="44">
        <v>24.08</v>
      </c>
      <c r="P411" s="44">
        <v>83.74</v>
      </c>
      <c r="Q411" s="44">
        <v>1.81</v>
      </c>
      <c r="R411" s="44">
        <v>67.49</v>
      </c>
      <c r="S411" s="44">
        <v>44.55</v>
      </c>
      <c r="T411" s="44">
        <v>10.26</v>
      </c>
      <c r="U411" s="22">
        <f>IFERROR(__xludf.DUMMYFUNCTION("IFERROR(GOOGLEFINANCE(A411,""closeyest""),"""")"),1795.0)</f>
        <v>1795</v>
      </c>
      <c r="V411" s="23">
        <f>IFERROR(__xludf.DUMMYFUNCTION("IFERROR(GOOGLEFINANCE(A411,""changepct""),"""")"),4.18)</f>
        <v>4.18</v>
      </c>
      <c r="W411" s="22">
        <f>IFERROR(__xludf.DUMMYFUNCTION("IFERROR(GOOGLEFINANCE(A411,""priceopen""),"""")"),1805.0)</f>
        <v>1805</v>
      </c>
      <c r="X411" s="22">
        <f>IFERROR(__xludf.DUMMYFUNCTION("IFERROR(GOOGLEFINANCE(A411,""high""),"""")"),1870.0)</f>
        <v>1870</v>
      </c>
      <c r="Y411" s="22">
        <f>IFERROR(__xludf.DUMMYFUNCTION("IFERROR(GOOGLEFINANCE(A411,""low""),"""")"),1805.0)</f>
        <v>1805</v>
      </c>
      <c r="Z411" s="22">
        <f>IFERROR(__xludf.DUMMYFUNCTION("IFERROR(GOOGLEFINANCE(A411,""volume""),"""")"),2.20712E7)</f>
        <v>22071200</v>
      </c>
      <c r="AA411" s="24" t="str">
        <f>VLOOKUP(A411,Metrik!$C$2:$Y$959,5,0)</f>
        <v>Banks</v>
      </c>
      <c r="AB411" s="24" t="str">
        <f>VLOOKUP(A411,Metrik!$C$2:$Y$959,3,0)</f>
        <v>Financials</v>
      </c>
    </row>
    <row r="412">
      <c r="A412" s="14" t="s">
        <v>234</v>
      </c>
      <c r="B412" s="14" t="str">
        <f t="array" ref="B412">VLOOKUP(A412,{Metrik!$C$2:$C$998,Metrik!$B$2:$B$998},2,0)</f>
        <v>Bank Syariah Indonesia (Persero) Tbk.</v>
      </c>
      <c r="C412" s="15" t="str">
        <f>IFERROR(__xludf.DUMMYFUNCTION("GOOGLEFINANCE(""IDX:""&amp;A412,""price"")"),"#N/A")</f>
        <v>#N/A</v>
      </c>
      <c r="D412" s="16" t="str">
        <f>IFERROR(__xludf.DUMMYFUNCTION("IF(A412="""","""",
SPARKLINE(
INDEX(
GOOGLEFINANCE(""IDX:""&amp;A412,""close"",TODAY()-365,TODAY()),
,2
),
{""linewidth"",1}
))
"),"#N/A")</f>
        <v>#N/A</v>
      </c>
      <c r="E412" s="14" t="s">
        <v>65</v>
      </c>
      <c r="F412" s="25">
        <v>46356.0</v>
      </c>
      <c r="G412" s="24">
        <f t="shared" si="1"/>
        <v>13</v>
      </c>
      <c r="H412" s="19">
        <f>VLOOKUP(A412,Metrik!$C$2:$Y$959,8,0)</f>
        <v>11.6</v>
      </c>
      <c r="I412" s="20">
        <f>VLOOKUP(A412,Metrik!$C$2:$Y$959,9,0)</f>
        <v>1.8</v>
      </c>
      <c r="J412" s="20">
        <f>VLOOKUP(A412,Metrik!$C$2:$Y$959,10,0)</f>
        <v>15.5</v>
      </c>
      <c r="K412" s="20">
        <f>VLOOKUP(A412,Metrik!$C$2:$Y$959,11,0)</f>
        <v>1.7</v>
      </c>
      <c r="L412" s="20">
        <f>VLOOKUP(A412,Metrik!$C$2:$Y$959,12,0)</f>
        <v>2.2</v>
      </c>
      <c r="M412" s="20">
        <f>VLOOKUP(A412,Metrik!$C$2:$Y$959,19,0)</f>
        <v>160</v>
      </c>
      <c r="N412" s="44">
        <v>6.1</v>
      </c>
      <c r="O412" s="44">
        <v>24.08</v>
      </c>
      <c r="P412" s="44">
        <v>83.74</v>
      </c>
      <c r="Q412" s="44">
        <v>1.81</v>
      </c>
      <c r="R412" s="44">
        <v>67.49</v>
      </c>
      <c r="S412" s="44">
        <v>44.55</v>
      </c>
      <c r="T412" s="44">
        <v>10.26</v>
      </c>
      <c r="U412" s="22">
        <f>IFERROR(__xludf.DUMMYFUNCTION("IFERROR(GOOGLEFINANCE(A412,""closeyest""),"""")"),1795.0)</f>
        <v>1795</v>
      </c>
      <c r="V412" s="23">
        <f>IFERROR(__xludf.DUMMYFUNCTION("IFERROR(GOOGLEFINANCE(A412,""changepct""),"""")"),4.18)</f>
        <v>4.18</v>
      </c>
      <c r="W412" s="22">
        <f>IFERROR(__xludf.DUMMYFUNCTION("IFERROR(GOOGLEFINANCE(A412,""priceopen""),"""")"),1805.0)</f>
        <v>1805</v>
      </c>
      <c r="X412" s="22">
        <f>IFERROR(__xludf.DUMMYFUNCTION("IFERROR(GOOGLEFINANCE(A412,""high""),"""")"),1870.0)</f>
        <v>1870</v>
      </c>
      <c r="Y412" s="22">
        <f>IFERROR(__xludf.DUMMYFUNCTION("IFERROR(GOOGLEFINANCE(A412,""low""),"""")"),1805.0)</f>
        <v>1805</v>
      </c>
      <c r="Z412" s="22">
        <f>IFERROR(__xludf.DUMMYFUNCTION("IFERROR(GOOGLEFINANCE(A412,""volume""),"""")"),2.20712E7)</f>
        <v>22071200</v>
      </c>
      <c r="AA412" s="24" t="str">
        <f>VLOOKUP(A412,Metrik!$C$2:$Y$959,5,0)</f>
        <v>Banks</v>
      </c>
      <c r="AB412" s="24" t="str">
        <f>VLOOKUP(A412,Metrik!$C$2:$Y$959,3,0)</f>
        <v>Financials</v>
      </c>
    </row>
    <row r="413">
      <c r="A413" s="14" t="s">
        <v>234</v>
      </c>
      <c r="B413" s="14" t="str">
        <f t="array" ref="B413">VLOOKUP(A413,{Metrik!$C$2:$C$998,Metrik!$B$2:$B$998},2,0)</f>
        <v>Bank Syariah Indonesia (Persero) Tbk.</v>
      </c>
      <c r="C413" s="15" t="str">
        <f>IFERROR(__xludf.DUMMYFUNCTION("GOOGLEFINANCE(""IDX:""&amp;A413,""price"")"),"#N/A")</f>
        <v>#N/A</v>
      </c>
      <c r="D413" s="16" t="str">
        <f>IFERROR(__xludf.DUMMYFUNCTION("IF(A413="""","""",
SPARKLINE(
INDEX(
GOOGLEFINANCE(""IDX:""&amp;A413,""close"",TODAY()-365,TODAY()),
,2
),
{""linewidth"",1}
))
"),"#N/A")</f>
        <v>#N/A</v>
      </c>
      <c r="E413" s="14" t="s">
        <v>42</v>
      </c>
      <c r="F413" s="25">
        <v>46356.0</v>
      </c>
      <c r="G413" s="24">
        <f t="shared" si="1"/>
        <v>13</v>
      </c>
      <c r="H413" s="19">
        <f>VLOOKUP(A413,Metrik!$C$2:$Y$959,8,0)</f>
        <v>11.6</v>
      </c>
      <c r="I413" s="20">
        <f>VLOOKUP(A413,Metrik!$C$2:$Y$959,9,0)</f>
        <v>1.8</v>
      </c>
      <c r="J413" s="20">
        <f>VLOOKUP(A413,Metrik!$C$2:$Y$959,10,0)</f>
        <v>15.5</v>
      </c>
      <c r="K413" s="20">
        <f>VLOOKUP(A413,Metrik!$C$2:$Y$959,11,0)</f>
        <v>1.7</v>
      </c>
      <c r="L413" s="20">
        <f>VLOOKUP(A413,Metrik!$C$2:$Y$959,12,0)</f>
        <v>2.2</v>
      </c>
      <c r="M413" s="20">
        <f>VLOOKUP(A413,Metrik!$C$2:$Y$959,19,0)</f>
        <v>160</v>
      </c>
      <c r="N413" s="44">
        <v>6.1</v>
      </c>
      <c r="O413" s="44">
        <v>24.08</v>
      </c>
      <c r="P413" s="44">
        <v>83.74</v>
      </c>
      <c r="Q413" s="44">
        <v>1.81</v>
      </c>
      <c r="R413" s="44">
        <v>67.49</v>
      </c>
      <c r="S413" s="44">
        <v>44.55</v>
      </c>
      <c r="T413" s="44">
        <v>10.26</v>
      </c>
      <c r="U413" s="22">
        <f>IFERROR(__xludf.DUMMYFUNCTION("IFERROR(GOOGLEFINANCE(A413,""closeyest""),"""")"),1795.0)</f>
        <v>1795</v>
      </c>
      <c r="V413" s="23">
        <f>IFERROR(__xludf.DUMMYFUNCTION("IFERROR(GOOGLEFINANCE(A413,""changepct""),"""")"),4.18)</f>
        <v>4.18</v>
      </c>
      <c r="W413" s="22">
        <f>IFERROR(__xludf.DUMMYFUNCTION("IFERROR(GOOGLEFINANCE(A413,""priceopen""),"""")"),1805.0)</f>
        <v>1805</v>
      </c>
      <c r="X413" s="22">
        <f>IFERROR(__xludf.DUMMYFUNCTION("IFERROR(GOOGLEFINANCE(A413,""high""),"""")"),1870.0)</f>
        <v>1870</v>
      </c>
      <c r="Y413" s="22">
        <f>IFERROR(__xludf.DUMMYFUNCTION("IFERROR(GOOGLEFINANCE(A413,""low""),"""")"),1805.0)</f>
        <v>1805</v>
      </c>
      <c r="Z413" s="22">
        <f>IFERROR(__xludf.DUMMYFUNCTION("IFERROR(GOOGLEFINANCE(A413,""volume""),"""")"),2.20712E7)</f>
        <v>22071200</v>
      </c>
      <c r="AA413" s="24" t="str">
        <f>VLOOKUP(A413,Metrik!$C$2:$Y$959,5,0)</f>
        <v>Banks</v>
      </c>
      <c r="AB413" s="24" t="str">
        <f>VLOOKUP(A413,Metrik!$C$2:$Y$959,3,0)</f>
        <v>Financials</v>
      </c>
    </row>
    <row r="414">
      <c r="A414" s="14" t="s">
        <v>234</v>
      </c>
      <c r="B414" s="14" t="str">
        <f t="array" ref="B414">VLOOKUP(A414,{Metrik!$C$2:$C$998,Metrik!$B$2:$B$998},2,0)</f>
        <v>Bank Syariah Indonesia (Persero) Tbk.</v>
      </c>
      <c r="C414" s="15" t="str">
        <f>IFERROR(__xludf.DUMMYFUNCTION("GOOGLEFINANCE(""IDX:""&amp;A414,""price"")"),"#N/A")</f>
        <v>#N/A</v>
      </c>
      <c r="D414" s="16" t="str">
        <f>IFERROR(__xludf.DUMMYFUNCTION("IF(A414="""","""",
SPARKLINE(
INDEX(
GOOGLEFINANCE(""IDX:""&amp;A414,""close"",TODAY()-365,TODAY()),
,2
),
{""linewidth"",1}
))
"),"#N/A")</f>
        <v>#N/A</v>
      </c>
      <c r="E414" s="14" t="s">
        <v>38</v>
      </c>
      <c r="F414" s="25">
        <v>46356.0</v>
      </c>
      <c r="G414" s="24">
        <f t="shared" si="1"/>
        <v>13</v>
      </c>
      <c r="H414" s="19">
        <f>VLOOKUP(A414,Metrik!$C$2:$Y$959,8,0)</f>
        <v>11.6</v>
      </c>
      <c r="I414" s="20">
        <f>VLOOKUP(A414,Metrik!$C$2:$Y$959,9,0)</f>
        <v>1.8</v>
      </c>
      <c r="J414" s="20">
        <f>VLOOKUP(A414,Metrik!$C$2:$Y$959,10,0)</f>
        <v>15.5</v>
      </c>
      <c r="K414" s="20">
        <f>VLOOKUP(A414,Metrik!$C$2:$Y$959,11,0)</f>
        <v>1.7</v>
      </c>
      <c r="L414" s="20">
        <f>VLOOKUP(A414,Metrik!$C$2:$Y$959,12,0)</f>
        <v>2.2</v>
      </c>
      <c r="M414" s="20">
        <f>VLOOKUP(A414,Metrik!$C$2:$Y$959,19,0)</f>
        <v>160</v>
      </c>
      <c r="N414" s="44">
        <v>6.1</v>
      </c>
      <c r="O414" s="44">
        <v>24.08</v>
      </c>
      <c r="P414" s="44">
        <v>83.74</v>
      </c>
      <c r="Q414" s="44">
        <v>1.81</v>
      </c>
      <c r="R414" s="44">
        <v>67.49</v>
      </c>
      <c r="S414" s="44">
        <v>44.55</v>
      </c>
      <c r="T414" s="44">
        <v>10.26</v>
      </c>
      <c r="U414" s="22">
        <f>IFERROR(__xludf.DUMMYFUNCTION("IFERROR(GOOGLEFINANCE(A414,""closeyest""),"""")"),1795.0)</f>
        <v>1795</v>
      </c>
      <c r="V414" s="23">
        <f>IFERROR(__xludf.DUMMYFUNCTION("IFERROR(GOOGLEFINANCE(A414,""changepct""),"""")"),4.18)</f>
        <v>4.18</v>
      </c>
      <c r="W414" s="22">
        <f>IFERROR(__xludf.DUMMYFUNCTION("IFERROR(GOOGLEFINANCE(A414,""priceopen""),"""")"),1805.0)</f>
        <v>1805</v>
      </c>
      <c r="X414" s="22">
        <f>IFERROR(__xludf.DUMMYFUNCTION("IFERROR(GOOGLEFINANCE(A414,""high""),"""")"),1870.0)</f>
        <v>1870</v>
      </c>
      <c r="Y414" s="22">
        <f>IFERROR(__xludf.DUMMYFUNCTION("IFERROR(GOOGLEFINANCE(A414,""low""),"""")"),1805.0)</f>
        <v>1805</v>
      </c>
      <c r="Z414" s="22">
        <f>IFERROR(__xludf.DUMMYFUNCTION("IFERROR(GOOGLEFINANCE(A414,""volume""),"""")"),2.20712E7)</f>
        <v>22071200</v>
      </c>
      <c r="AA414" s="24" t="str">
        <f>VLOOKUP(A414,Metrik!$C$2:$Y$959,5,0)</f>
        <v>Banks</v>
      </c>
      <c r="AB414" s="24" t="str">
        <f>VLOOKUP(A414,Metrik!$C$2:$Y$959,3,0)</f>
        <v>Financials</v>
      </c>
    </row>
    <row r="415">
      <c r="A415" s="14" t="s">
        <v>234</v>
      </c>
      <c r="B415" s="14" t="str">
        <f t="array" ref="B415">VLOOKUP(A415,{Metrik!$C$2:$C$998,Metrik!$B$2:$B$998},2,0)</f>
        <v>Bank Syariah Indonesia (Persero) Tbk.</v>
      </c>
      <c r="C415" s="15" t="str">
        <f>IFERROR(__xludf.DUMMYFUNCTION("GOOGLEFINANCE(""IDX:""&amp;A415,""price"")"),"#N/A")</f>
        <v>#N/A</v>
      </c>
      <c r="D415" s="16" t="str">
        <f>IFERROR(__xludf.DUMMYFUNCTION("IF(A415="""","""",
SPARKLINE(
INDEX(
GOOGLEFINANCE(""IDX:""&amp;A415,""close"",TODAY()-365,TODAY()),
,2
),
{""linewidth"",1}
))
"),"#N/A")</f>
        <v>#N/A</v>
      </c>
      <c r="E415" s="14" t="s">
        <v>39</v>
      </c>
      <c r="F415" s="25">
        <v>46356.0</v>
      </c>
      <c r="G415" s="24">
        <f t="shared" si="1"/>
        <v>13</v>
      </c>
      <c r="H415" s="19">
        <f>VLOOKUP(A415,Metrik!$C$2:$Y$959,8,0)</f>
        <v>11.6</v>
      </c>
      <c r="I415" s="20">
        <f>VLOOKUP(A415,Metrik!$C$2:$Y$959,9,0)</f>
        <v>1.8</v>
      </c>
      <c r="J415" s="20">
        <f>VLOOKUP(A415,Metrik!$C$2:$Y$959,10,0)</f>
        <v>15.5</v>
      </c>
      <c r="K415" s="20">
        <f>VLOOKUP(A415,Metrik!$C$2:$Y$959,11,0)</f>
        <v>1.7</v>
      </c>
      <c r="L415" s="20">
        <f>VLOOKUP(A415,Metrik!$C$2:$Y$959,12,0)</f>
        <v>2.2</v>
      </c>
      <c r="M415" s="20">
        <f>VLOOKUP(A415,Metrik!$C$2:$Y$959,19,0)</f>
        <v>160</v>
      </c>
      <c r="N415" s="44">
        <v>6.1</v>
      </c>
      <c r="O415" s="44">
        <v>24.08</v>
      </c>
      <c r="P415" s="44">
        <v>83.74</v>
      </c>
      <c r="Q415" s="44">
        <v>1.81</v>
      </c>
      <c r="R415" s="44">
        <v>67.49</v>
      </c>
      <c r="S415" s="44">
        <v>44.55</v>
      </c>
      <c r="T415" s="44">
        <v>10.26</v>
      </c>
      <c r="U415" s="22">
        <f>IFERROR(__xludf.DUMMYFUNCTION("IFERROR(GOOGLEFINANCE(A415,""closeyest""),"""")"),1795.0)</f>
        <v>1795</v>
      </c>
      <c r="V415" s="23">
        <f>IFERROR(__xludf.DUMMYFUNCTION("IFERROR(GOOGLEFINANCE(A415,""changepct""),"""")"),4.18)</f>
        <v>4.18</v>
      </c>
      <c r="W415" s="22">
        <f>IFERROR(__xludf.DUMMYFUNCTION("IFERROR(GOOGLEFINANCE(A415,""priceopen""),"""")"),1805.0)</f>
        <v>1805</v>
      </c>
      <c r="X415" s="22">
        <f>IFERROR(__xludf.DUMMYFUNCTION("IFERROR(GOOGLEFINANCE(A415,""high""),"""")"),1870.0)</f>
        <v>1870</v>
      </c>
      <c r="Y415" s="22">
        <f>IFERROR(__xludf.DUMMYFUNCTION("IFERROR(GOOGLEFINANCE(A415,""low""),"""")"),1805.0)</f>
        <v>1805</v>
      </c>
      <c r="Z415" s="22">
        <f>IFERROR(__xludf.DUMMYFUNCTION("IFERROR(GOOGLEFINANCE(A415,""volume""),"""")"),2.20712E7)</f>
        <v>22071200</v>
      </c>
      <c r="AA415" s="24" t="str">
        <f>VLOOKUP(A415,Metrik!$C$2:$Y$959,5,0)</f>
        <v>Banks</v>
      </c>
      <c r="AB415" s="24" t="str">
        <f>VLOOKUP(A415,Metrik!$C$2:$Y$959,3,0)</f>
        <v>Financials</v>
      </c>
    </row>
    <row r="416">
      <c r="A416" s="17" t="s">
        <v>235</v>
      </c>
      <c r="B416" s="14" t="str">
        <f t="array" ref="B416">VLOOKUP(A416,{Metrik!$C$2:$C$998,Metrik!$B$2:$B$998},2,0)</f>
        <v>Bumi Resources Minerals Tbk.</v>
      </c>
      <c r="C416" s="15">
        <f>IFERROR(__xludf.DUMMYFUNCTION("GOOGLEFINANCE(""IDX:""&amp;A416,""price"")"),530.0)</f>
        <v>530</v>
      </c>
      <c r="D416" s="16" t="str">
        <f>IFERROR(__xludf.DUMMYFUNCTION("IF(A416="""","""",
SPARKLINE(
INDEX(
GOOGLEFINANCE(""IDX:""&amp;A416,""close"",TODAY()-365,TODAY()),
,2
),
{""linewidth"",1}
))
"),"#N/A")</f>
        <v>#N/A</v>
      </c>
      <c r="E416" s="14" t="s">
        <v>128</v>
      </c>
      <c r="F416" s="17" t="s">
        <v>36</v>
      </c>
      <c r="G416" s="24">
        <f t="shared" si="1"/>
        <v>8</v>
      </c>
      <c r="H416" s="19">
        <f>VLOOKUP(A416,Metrik!$C$2:$Y$959,8,0)</f>
        <v>94</v>
      </c>
      <c r="I416" s="20">
        <f>VLOOKUP(A416,Metrik!$C$2:$Y$959,9,0)</f>
        <v>4.7</v>
      </c>
      <c r="J416" s="20">
        <f>VLOOKUP(A416,Metrik!$C$2:$Y$959,10,0)</f>
        <v>5</v>
      </c>
      <c r="K416" s="20">
        <f>VLOOKUP(A416,Metrik!$C$2:$Y$959,11,0)</f>
        <v>3.8</v>
      </c>
      <c r="L416" s="20">
        <f>VLOOKUP(A416,Metrik!$C$2:$Y$959,12,0)</f>
        <v>0.32</v>
      </c>
      <c r="M416" s="20">
        <f>VLOOKUP(A416,Metrik!$C$2:$Y$959,19,0)</f>
        <v>76</v>
      </c>
      <c r="N416" s="21"/>
      <c r="O416" s="21"/>
      <c r="P416" s="21"/>
      <c r="Q416" s="21"/>
      <c r="R416" s="21"/>
      <c r="S416" s="21"/>
      <c r="T416" s="21"/>
      <c r="U416" s="22">
        <f>IFERROR(__xludf.DUMMYFUNCTION("IFERROR(GOOGLEFINANCE(A416,""closeyest""),"""")"),480.0)</f>
        <v>480</v>
      </c>
      <c r="V416" s="23">
        <f>IFERROR(__xludf.DUMMYFUNCTION("IFERROR(GOOGLEFINANCE(A416,""changepct""),"""")"),10.42)</f>
        <v>10.42</v>
      </c>
      <c r="W416" s="22">
        <f>IFERROR(__xludf.DUMMYFUNCTION("IFERROR(GOOGLEFINANCE(A416,""priceopen""),"""")"),494.0)</f>
        <v>494</v>
      </c>
      <c r="X416" s="22">
        <f>IFERROR(__xludf.DUMMYFUNCTION("IFERROR(GOOGLEFINANCE(A416,""high""),"""")"),565.0)</f>
        <v>565</v>
      </c>
      <c r="Y416" s="22">
        <f>IFERROR(__xludf.DUMMYFUNCTION("IFERROR(GOOGLEFINANCE(A416,""low""),"""")"),494.0)</f>
        <v>494</v>
      </c>
      <c r="Z416" s="22">
        <f>IFERROR(__xludf.DUMMYFUNCTION("IFERROR(GOOGLEFINANCE(A416,""volume""),"""")"),5.925959E8)</f>
        <v>592595900</v>
      </c>
      <c r="AA416" s="24" t="str">
        <f>VLOOKUP(A416,Metrik!$C$2:$Y$959,5,0)</f>
        <v>Metals &amp; Minerals</v>
      </c>
      <c r="AB416" s="24" t="str">
        <f>VLOOKUP(A416,Metrik!$C$2:$Y$959,3,0)</f>
        <v>Basic Materials</v>
      </c>
    </row>
    <row r="417">
      <c r="A417" s="14" t="s">
        <v>235</v>
      </c>
      <c r="B417" s="14" t="str">
        <f t="array" ref="B417">VLOOKUP(A417,{Metrik!$C$2:$C$998,Metrik!$B$2:$B$998},2,0)</f>
        <v>Bumi Resources Minerals Tbk.</v>
      </c>
      <c r="C417" s="15">
        <f>IFERROR(__xludf.DUMMYFUNCTION("GOOGLEFINANCE(""IDX:""&amp;A417,""price"")"),530.0)</f>
        <v>530</v>
      </c>
      <c r="D417" s="16" t="str">
        <f>IFERROR(__xludf.DUMMYFUNCTION("IF(A417="""","""",
SPARKLINE(
INDEX(
GOOGLEFINANCE(""IDX:""&amp;A417,""close"",TODAY()-365,TODAY()),
,2
),
{""linewidth"",1}
))
"),"#N/A")</f>
        <v>#N/A</v>
      </c>
      <c r="E417" s="14" t="s">
        <v>52</v>
      </c>
      <c r="F417" s="27" t="s">
        <v>53</v>
      </c>
      <c r="G417" s="24">
        <f t="shared" si="1"/>
        <v>8</v>
      </c>
      <c r="H417" s="19">
        <f>VLOOKUP(A417,Metrik!$C$2:$Y$959,8,0)</f>
        <v>94</v>
      </c>
      <c r="I417" s="20">
        <f>VLOOKUP(A417,Metrik!$C$2:$Y$959,9,0)</f>
        <v>4.7</v>
      </c>
      <c r="J417" s="20">
        <f>VLOOKUP(A417,Metrik!$C$2:$Y$959,10,0)</f>
        <v>5</v>
      </c>
      <c r="K417" s="20">
        <f>VLOOKUP(A417,Metrik!$C$2:$Y$959,11,0)</f>
        <v>3.8</v>
      </c>
      <c r="L417" s="20">
        <f>VLOOKUP(A417,Metrik!$C$2:$Y$959,12,0)</f>
        <v>0.32</v>
      </c>
      <c r="M417" s="20">
        <f>VLOOKUP(A417,Metrik!$C$2:$Y$959,19,0)</f>
        <v>76</v>
      </c>
      <c r="N417" s="21"/>
      <c r="O417" s="21"/>
      <c r="P417" s="21"/>
      <c r="Q417" s="21"/>
      <c r="R417" s="21"/>
      <c r="S417" s="21"/>
      <c r="T417" s="21"/>
      <c r="U417" s="22">
        <f>IFERROR(__xludf.DUMMYFUNCTION("IFERROR(GOOGLEFINANCE(A417,""closeyest""),"""")"),480.0)</f>
        <v>480</v>
      </c>
      <c r="V417" s="23">
        <f>IFERROR(__xludf.DUMMYFUNCTION("IFERROR(GOOGLEFINANCE(A417,""changepct""),"""")"),10.42)</f>
        <v>10.42</v>
      </c>
      <c r="W417" s="22">
        <f>IFERROR(__xludf.DUMMYFUNCTION("IFERROR(GOOGLEFINANCE(A417,""priceopen""),"""")"),494.0)</f>
        <v>494</v>
      </c>
      <c r="X417" s="22">
        <f>IFERROR(__xludf.DUMMYFUNCTION("IFERROR(GOOGLEFINANCE(A417,""high""),"""")"),565.0)</f>
        <v>565</v>
      </c>
      <c r="Y417" s="22">
        <f>IFERROR(__xludf.DUMMYFUNCTION("IFERROR(GOOGLEFINANCE(A417,""low""),"""")"),494.0)</f>
        <v>494</v>
      </c>
      <c r="Z417" s="22">
        <f>IFERROR(__xludf.DUMMYFUNCTION("IFERROR(GOOGLEFINANCE(A417,""volume""),"""")"),5.925959E8)</f>
        <v>592595900</v>
      </c>
      <c r="AA417" s="24" t="str">
        <f>VLOOKUP(A417,Metrik!$C$2:$Y$959,5,0)</f>
        <v>Metals &amp; Minerals</v>
      </c>
      <c r="AB417" s="24" t="str">
        <f>VLOOKUP(A417,Metrik!$C$2:$Y$959,3,0)</f>
        <v>Basic Materials</v>
      </c>
    </row>
    <row r="418">
      <c r="A418" s="14" t="s">
        <v>235</v>
      </c>
      <c r="B418" s="14" t="str">
        <f t="array" ref="B418">VLOOKUP(A418,{Metrik!$C$2:$C$998,Metrik!$B$2:$B$998},2,0)</f>
        <v>Bumi Resources Minerals Tbk.</v>
      </c>
      <c r="C418" s="15">
        <f>IFERROR(__xludf.DUMMYFUNCTION("GOOGLEFINANCE(""IDX:""&amp;A418,""price"")"),530.0)</f>
        <v>530</v>
      </c>
      <c r="D418" s="16" t="str">
        <f>IFERROR(__xludf.DUMMYFUNCTION("IF(A418="""","""",
SPARKLINE(
INDEX(
GOOGLEFINANCE(""IDX:""&amp;A418,""close"",TODAY()-365,TODAY()),
,2
),
{""linewidth"",1}
))
"),"#N/A")</f>
        <v>#N/A</v>
      </c>
      <c r="E418" s="14" t="s">
        <v>28</v>
      </c>
      <c r="F418" s="17" t="s">
        <v>29</v>
      </c>
      <c r="G418" s="24">
        <f t="shared" si="1"/>
        <v>8</v>
      </c>
      <c r="H418" s="19">
        <f>VLOOKUP(A418,Metrik!$C$2:$Y$959,8,0)</f>
        <v>94</v>
      </c>
      <c r="I418" s="20">
        <f>VLOOKUP(A418,Metrik!$C$2:$Y$959,9,0)</f>
        <v>4.7</v>
      </c>
      <c r="J418" s="20">
        <f>VLOOKUP(A418,Metrik!$C$2:$Y$959,10,0)</f>
        <v>5</v>
      </c>
      <c r="K418" s="20">
        <f>VLOOKUP(A418,Metrik!$C$2:$Y$959,11,0)</f>
        <v>3.8</v>
      </c>
      <c r="L418" s="20">
        <f>VLOOKUP(A418,Metrik!$C$2:$Y$959,12,0)</f>
        <v>0.32</v>
      </c>
      <c r="M418" s="20">
        <f>VLOOKUP(A418,Metrik!$C$2:$Y$959,19,0)</f>
        <v>76</v>
      </c>
      <c r="N418" s="21"/>
      <c r="O418" s="21"/>
      <c r="P418" s="21"/>
      <c r="Q418" s="21"/>
      <c r="R418" s="21"/>
      <c r="S418" s="21"/>
      <c r="T418" s="21"/>
      <c r="U418" s="22">
        <f>IFERROR(__xludf.DUMMYFUNCTION("IFERROR(GOOGLEFINANCE(A418,""closeyest""),"""")"),480.0)</f>
        <v>480</v>
      </c>
      <c r="V418" s="23">
        <f>IFERROR(__xludf.DUMMYFUNCTION("IFERROR(GOOGLEFINANCE(A418,""changepct""),"""")"),10.42)</f>
        <v>10.42</v>
      </c>
      <c r="W418" s="22">
        <f>IFERROR(__xludf.DUMMYFUNCTION("IFERROR(GOOGLEFINANCE(A418,""priceopen""),"""")"),494.0)</f>
        <v>494</v>
      </c>
      <c r="X418" s="22">
        <f>IFERROR(__xludf.DUMMYFUNCTION("IFERROR(GOOGLEFINANCE(A418,""high""),"""")"),565.0)</f>
        <v>565</v>
      </c>
      <c r="Y418" s="22">
        <f>IFERROR(__xludf.DUMMYFUNCTION("IFERROR(GOOGLEFINANCE(A418,""low""),"""")"),494.0)</f>
        <v>494</v>
      </c>
      <c r="Z418" s="22">
        <f>IFERROR(__xludf.DUMMYFUNCTION("IFERROR(GOOGLEFINANCE(A418,""volume""),"""")"),5.925959E8)</f>
        <v>592595900</v>
      </c>
      <c r="AA418" s="24" t="str">
        <f>VLOOKUP(A418,Metrik!$C$2:$Y$959,5,0)</f>
        <v>Metals &amp; Minerals</v>
      </c>
      <c r="AB418" s="24" t="str">
        <f>VLOOKUP(A418,Metrik!$C$2:$Y$959,3,0)</f>
        <v>Basic Materials</v>
      </c>
    </row>
    <row r="419">
      <c r="A419" s="14" t="s">
        <v>235</v>
      </c>
      <c r="B419" s="14" t="str">
        <f t="array" ref="B419">VLOOKUP(A419,{Metrik!$C$2:$C$998,Metrik!$B$2:$B$998},2,0)</f>
        <v>Bumi Resources Minerals Tbk.</v>
      </c>
      <c r="C419" s="15">
        <f>IFERROR(__xludf.DUMMYFUNCTION("GOOGLEFINANCE(""IDX:""&amp;A419,""price"")"),530.0)</f>
        <v>530</v>
      </c>
      <c r="D419" s="16" t="str">
        <f>IFERROR(__xludf.DUMMYFUNCTION("IF(A419="""","""",
SPARKLINE(
INDEX(
GOOGLEFINANCE(""IDX:""&amp;A419,""close"",TODAY()-365,TODAY()),
,2
),
{""linewidth"",1}
))
"),"#N/A")</f>
        <v>#N/A</v>
      </c>
      <c r="E419" s="14" t="s">
        <v>32</v>
      </c>
      <c r="F419" s="14" t="s">
        <v>29</v>
      </c>
      <c r="G419" s="24">
        <f t="shared" si="1"/>
        <v>8</v>
      </c>
      <c r="H419" s="19">
        <f>VLOOKUP(A419,Metrik!$C$2:$Y$959,8,0)</f>
        <v>94</v>
      </c>
      <c r="I419" s="20">
        <f>VLOOKUP(A419,Metrik!$C$2:$Y$959,9,0)</f>
        <v>4.7</v>
      </c>
      <c r="J419" s="20">
        <f>VLOOKUP(A419,Metrik!$C$2:$Y$959,10,0)</f>
        <v>5</v>
      </c>
      <c r="K419" s="20">
        <f>VLOOKUP(A419,Metrik!$C$2:$Y$959,11,0)</f>
        <v>3.8</v>
      </c>
      <c r="L419" s="20">
        <f>VLOOKUP(A419,Metrik!$C$2:$Y$959,12,0)</f>
        <v>0.32</v>
      </c>
      <c r="M419" s="20">
        <f>VLOOKUP(A419,Metrik!$C$2:$Y$959,19,0)</f>
        <v>76</v>
      </c>
      <c r="N419" s="21"/>
      <c r="O419" s="21"/>
      <c r="P419" s="21"/>
      <c r="Q419" s="21"/>
      <c r="R419" s="21"/>
      <c r="S419" s="21"/>
      <c r="T419" s="21"/>
      <c r="U419" s="22">
        <f>IFERROR(__xludf.DUMMYFUNCTION("IFERROR(GOOGLEFINANCE(A419,""closeyest""),"""")"),480.0)</f>
        <v>480</v>
      </c>
      <c r="V419" s="23">
        <f>IFERROR(__xludf.DUMMYFUNCTION("IFERROR(GOOGLEFINANCE(A419,""changepct""),"""")"),10.42)</f>
        <v>10.42</v>
      </c>
      <c r="W419" s="22">
        <f>IFERROR(__xludf.DUMMYFUNCTION("IFERROR(GOOGLEFINANCE(A419,""priceopen""),"""")"),494.0)</f>
        <v>494</v>
      </c>
      <c r="X419" s="22">
        <f>IFERROR(__xludf.DUMMYFUNCTION("IFERROR(GOOGLEFINANCE(A419,""high""),"""")"),565.0)</f>
        <v>565</v>
      </c>
      <c r="Y419" s="22">
        <f>IFERROR(__xludf.DUMMYFUNCTION("IFERROR(GOOGLEFINANCE(A419,""low""),"""")"),494.0)</f>
        <v>494</v>
      </c>
      <c r="Z419" s="22">
        <f>IFERROR(__xludf.DUMMYFUNCTION("IFERROR(GOOGLEFINANCE(A419,""volume""),"""")"),5.925959E8)</f>
        <v>592595900</v>
      </c>
      <c r="AA419" s="24" t="str">
        <f>VLOOKUP(A419,Metrik!$C$2:$Y$959,5,0)</f>
        <v>Metals &amp; Minerals</v>
      </c>
      <c r="AB419" s="24" t="str">
        <f>VLOOKUP(A419,Metrik!$C$2:$Y$959,3,0)</f>
        <v>Basic Materials</v>
      </c>
    </row>
    <row r="420">
      <c r="A420" s="14" t="s">
        <v>235</v>
      </c>
      <c r="B420" s="14" t="str">
        <f t="array" ref="B420">VLOOKUP(A420,{Metrik!$C$2:$C$998,Metrik!$B$2:$B$998},2,0)</f>
        <v>Bumi Resources Minerals Tbk.</v>
      </c>
      <c r="C420" s="15">
        <f>IFERROR(__xludf.DUMMYFUNCTION("GOOGLEFINANCE(""IDX:""&amp;A420,""price"")"),530.0)</f>
        <v>530</v>
      </c>
      <c r="D420" s="16" t="str">
        <f>IFERROR(__xludf.DUMMYFUNCTION("IF(A420="""","""",
SPARKLINE(
INDEX(
GOOGLEFINANCE(""IDX:""&amp;A420,""close"",TODAY()-365,TODAY()),
,2
),
{""linewidth"",1}
))
"),"#N/A")</f>
        <v>#N/A</v>
      </c>
      <c r="E420" s="14" t="s">
        <v>84</v>
      </c>
      <c r="F420" s="17" t="s">
        <v>51</v>
      </c>
      <c r="G420" s="24">
        <f t="shared" si="1"/>
        <v>8</v>
      </c>
      <c r="H420" s="19">
        <f>VLOOKUP(A420,Metrik!$C$2:$Y$959,8,0)</f>
        <v>94</v>
      </c>
      <c r="I420" s="20">
        <f>VLOOKUP(A420,Metrik!$C$2:$Y$959,9,0)</f>
        <v>4.7</v>
      </c>
      <c r="J420" s="20">
        <f>VLOOKUP(A420,Metrik!$C$2:$Y$959,10,0)</f>
        <v>5</v>
      </c>
      <c r="K420" s="20">
        <f>VLOOKUP(A420,Metrik!$C$2:$Y$959,11,0)</f>
        <v>3.8</v>
      </c>
      <c r="L420" s="20">
        <f>VLOOKUP(A420,Metrik!$C$2:$Y$959,12,0)</f>
        <v>0.32</v>
      </c>
      <c r="M420" s="20">
        <f>VLOOKUP(A420,Metrik!$C$2:$Y$959,19,0)</f>
        <v>76</v>
      </c>
      <c r="N420" s="21"/>
      <c r="O420" s="21"/>
      <c r="P420" s="21"/>
      <c r="Q420" s="21"/>
      <c r="R420" s="21"/>
      <c r="S420" s="21"/>
      <c r="T420" s="21"/>
      <c r="U420" s="22">
        <f>IFERROR(__xludf.DUMMYFUNCTION("IFERROR(GOOGLEFINANCE(A420,""closeyest""),"""")"),480.0)</f>
        <v>480</v>
      </c>
      <c r="V420" s="23">
        <f>IFERROR(__xludf.DUMMYFUNCTION("IFERROR(GOOGLEFINANCE(A420,""changepct""),"""")"),10.42)</f>
        <v>10.42</v>
      </c>
      <c r="W420" s="22">
        <f>IFERROR(__xludf.DUMMYFUNCTION("IFERROR(GOOGLEFINANCE(A420,""priceopen""),"""")"),494.0)</f>
        <v>494</v>
      </c>
      <c r="X420" s="22">
        <f>IFERROR(__xludf.DUMMYFUNCTION("IFERROR(GOOGLEFINANCE(A420,""high""),"""")"),565.0)</f>
        <v>565</v>
      </c>
      <c r="Y420" s="22">
        <f>IFERROR(__xludf.DUMMYFUNCTION("IFERROR(GOOGLEFINANCE(A420,""low""),"""")"),494.0)</f>
        <v>494</v>
      </c>
      <c r="Z420" s="22">
        <f>IFERROR(__xludf.DUMMYFUNCTION("IFERROR(GOOGLEFINANCE(A420,""volume""),"""")"),5.925959E8)</f>
        <v>592595900</v>
      </c>
      <c r="AA420" s="24" t="str">
        <f>VLOOKUP(A420,Metrik!$C$2:$Y$959,5,0)</f>
        <v>Metals &amp; Minerals</v>
      </c>
      <c r="AB420" s="24" t="str">
        <f>VLOOKUP(A420,Metrik!$C$2:$Y$959,3,0)</f>
        <v>Basic Materials</v>
      </c>
    </row>
    <row r="421">
      <c r="A421" s="17" t="s">
        <v>235</v>
      </c>
      <c r="B421" s="14" t="str">
        <f t="array" ref="B421">VLOOKUP(A421,{Metrik!$C$2:$C$998,Metrik!$B$2:$B$998},2,0)</f>
        <v>Bumi Resources Minerals Tbk.</v>
      </c>
      <c r="C421" s="15">
        <f>IFERROR(__xludf.DUMMYFUNCTION("GOOGLEFINANCE(""IDX:""&amp;A421,""price"")"),530.0)</f>
        <v>530</v>
      </c>
      <c r="D421" s="16" t="str">
        <f>IFERROR(__xludf.DUMMYFUNCTION("IF(A421="""","""",
SPARKLINE(
INDEX(
GOOGLEFINANCE(""IDX:""&amp;A421,""close"",TODAY()-365,TODAY()),
,2
),
{""linewidth"",1}
))
"),"#N/A")</f>
        <v>#N/A</v>
      </c>
      <c r="E421" s="14" t="s">
        <v>67</v>
      </c>
      <c r="F421" s="17" t="s">
        <v>51</v>
      </c>
      <c r="G421" s="38">
        <f>COUNTIFS($B$2:$B$1936,B421,$E$2:$E$1936,"&lt;&gt;")</f>
        <v>8</v>
      </c>
      <c r="H421" s="19">
        <f>VLOOKUP(A421,Metrik!$C$2:$Y$959,8,0)</f>
        <v>94</v>
      </c>
      <c r="I421" s="20">
        <f>VLOOKUP(A421,Metrik!$C$2:$Y$959,9,0)</f>
        <v>4.7</v>
      </c>
      <c r="J421" s="20">
        <f>VLOOKUP(A421,Metrik!$C$2:$Y$959,10,0)</f>
        <v>5</v>
      </c>
      <c r="K421" s="20">
        <f>VLOOKUP(A421,Metrik!$C$2:$Y$959,11,0)</f>
        <v>3.8</v>
      </c>
      <c r="L421" s="20">
        <f>VLOOKUP(A421,Metrik!$C$2:$Y$959,12,0)</f>
        <v>0.32</v>
      </c>
      <c r="M421" s="20">
        <f>VLOOKUP(A421,Metrik!$C$2:$Y$959,19,0)</f>
        <v>76</v>
      </c>
      <c r="N421" s="46"/>
      <c r="O421" s="46"/>
      <c r="P421" s="46"/>
      <c r="Q421" s="46"/>
      <c r="R421" s="46"/>
      <c r="S421" s="46"/>
      <c r="T421" s="46"/>
      <c r="U421" s="22">
        <f>IFERROR(__xludf.DUMMYFUNCTION("IFERROR(GOOGLEFINANCE(A421,""closeyest""),"""")"),480.0)</f>
        <v>480</v>
      </c>
      <c r="V421" s="23">
        <f>IFERROR(__xludf.DUMMYFUNCTION("IFERROR(GOOGLEFINANCE(A421,""changepct""),"""")"),10.42)</f>
        <v>10.42</v>
      </c>
      <c r="W421" s="22">
        <f>IFERROR(__xludf.DUMMYFUNCTION("IFERROR(GOOGLEFINANCE(A421,""priceopen""),"""")"),494.0)</f>
        <v>494</v>
      </c>
      <c r="X421" s="22">
        <f>IFERROR(__xludf.DUMMYFUNCTION("IFERROR(GOOGLEFINANCE(A421,""high""),"""")"),565.0)</f>
        <v>565</v>
      </c>
      <c r="Y421" s="22">
        <f>IFERROR(__xludf.DUMMYFUNCTION("IFERROR(GOOGLEFINANCE(A421,""low""),"""")"),494.0)</f>
        <v>494</v>
      </c>
      <c r="Z421" s="22">
        <f>IFERROR(__xludf.DUMMYFUNCTION("IFERROR(GOOGLEFINANCE(A421,""volume""),"""")"),5.925959E8)</f>
        <v>592595900</v>
      </c>
      <c r="AA421" s="24" t="str">
        <f>VLOOKUP(A421,Metrik!$C$2:$Y$959,5,0)</f>
        <v>Metals &amp; Minerals</v>
      </c>
      <c r="AB421" s="24" t="str">
        <f>VLOOKUP(A421,Metrik!$C$2:$Y$959,3,0)</f>
        <v>Basic Materials</v>
      </c>
    </row>
    <row r="422">
      <c r="A422" s="14" t="s">
        <v>235</v>
      </c>
      <c r="B422" s="14" t="str">
        <f t="array" ref="B422">VLOOKUP(A422,{Metrik!$C$2:$C$998,Metrik!$B$2:$B$998},2,0)</f>
        <v>Bumi Resources Minerals Tbk.</v>
      </c>
      <c r="C422" s="15">
        <f>IFERROR(__xludf.DUMMYFUNCTION("GOOGLEFINANCE(""IDX:""&amp;A422,""price"")"),530.0)</f>
        <v>530</v>
      </c>
      <c r="D422" s="16" t="str">
        <f>IFERROR(__xludf.DUMMYFUNCTION("IF(A422="""","""",
SPARKLINE(
INDEX(
GOOGLEFINANCE(""IDX:""&amp;A422,""close"",TODAY()-365,TODAY()),
,2
),
{""linewidth"",1}
))
"),"#N/A")</f>
        <v>#N/A</v>
      </c>
      <c r="E422" s="14" t="s">
        <v>38</v>
      </c>
      <c r="F422" s="25">
        <v>46356.0</v>
      </c>
      <c r="G422" s="24">
        <f t="shared" ref="G422:G494" si="2">COUNTIFS($B$2:$B$1937,B422,$E$2:$E$1937,"&lt;&gt;")</f>
        <v>8</v>
      </c>
      <c r="H422" s="19">
        <f>VLOOKUP(A422,Metrik!$C$2:$Y$959,8,0)</f>
        <v>94</v>
      </c>
      <c r="I422" s="20">
        <f>VLOOKUP(A422,Metrik!$C$2:$Y$959,9,0)</f>
        <v>4.7</v>
      </c>
      <c r="J422" s="20">
        <f>VLOOKUP(A422,Metrik!$C$2:$Y$959,10,0)</f>
        <v>5</v>
      </c>
      <c r="K422" s="20">
        <f>VLOOKUP(A422,Metrik!$C$2:$Y$959,11,0)</f>
        <v>3.8</v>
      </c>
      <c r="L422" s="20">
        <f>VLOOKUP(A422,Metrik!$C$2:$Y$959,12,0)</f>
        <v>0.32</v>
      </c>
      <c r="M422" s="20">
        <f>VLOOKUP(A422,Metrik!$C$2:$Y$959,19,0)</f>
        <v>76</v>
      </c>
      <c r="N422" s="21"/>
      <c r="O422" s="21"/>
      <c r="P422" s="21"/>
      <c r="Q422" s="21"/>
      <c r="R422" s="21"/>
      <c r="S422" s="21"/>
      <c r="T422" s="21"/>
      <c r="U422" s="22">
        <f>IFERROR(__xludf.DUMMYFUNCTION("IFERROR(GOOGLEFINANCE(A422,""closeyest""),"""")"),480.0)</f>
        <v>480</v>
      </c>
      <c r="V422" s="23">
        <f>IFERROR(__xludf.DUMMYFUNCTION("IFERROR(GOOGLEFINANCE(A422,""changepct""),"""")"),10.42)</f>
        <v>10.42</v>
      </c>
      <c r="W422" s="22">
        <f>IFERROR(__xludf.DUMMYFUNCTION("IFERROR(GOOGLEFINANCE(A422,""priceopen""),"""")"),494.0)</f>
        <v>494</v>
      </c>
      <c r="X422" s="22">
        <f>IFERROR(__xludf.DUMMYFUNCTION("IFERROR(GOOGLEFINANCE(A422,""high""),"""")"),565.0)</f>
        <v>565</v>
      </c>
      <c r="Y422" s="22">
        <f>IFERROR(__xludf.DUMMYFUNCTION("IFERROR(GOOGLEFINANCE(A422,""low""),"""")"),494.0)</f>
        <v>494</v>
      </c>
      <c r="Z422" s="22">
        <f>IFERROR(__xludf.DUMMYFUNCTION("IFERROR(GOOGLEFINANCE(A422,""volume""),"""")"),5.925959E8)</f>
        <v>592595900</v>
      </c>
      <c r="AA422" s="24" t="str">
        <f>VLOOKUP(A422,Metrik!$C$2:$Y$959,5,0)</f>
        <v>Metals &amp; Minerals</v>
      </c>
      <c r="AB422" s="24" t="str">
        <f>VLOOKUP(A422,Metrik!$C$2:$Y$959,3,0)</f>
        <v>Basic Materials</v>
      </c>
    </row>
    <row r="423">
      <c r="A423" s="14" t="s">
        <v>235</v>
      </c>
      <c r="B423" s="14" t="str">
        <f t="array" ref="B423">VLOOKUP(A423,{Metrik!$C$2:$C$998,Metrik!$B$2:$B$998},2,0)</f>
        <v>Bumi Resources Minerals Tbk.</v>
      </c>
      <c r="C423" s="15">
        <f>IFERROR(__xludf.DUMMYFUNCTION("GOOGLEFINANCE(""IDX:""&amp;A423,""price"")"),530.0)</f>
        <v>530</v>
      </c>
      <c r="D423" s="16" t="str">
        <f>IFERROR(__xludf.DUMMYFUNCTION("IF(A423="""","""",
SPARKLINE(
INDEX(
GOOGLEFINANCE(""IDX:""&amp;A423,""close"",TODAY()-365,TODAY()),
,2
),
{""linewidth"",1}
))
"),"#N/A")</f>
        <v>#N/A</v>
      </c>
      <c r="E423" s="14" t="s">
        <v>39</v>
      </c>
      <c r="F423" s="25">
        <v>46356.0</v>
      </c>
      <c r="G423" s="24">
        <f t="shared" si="2"/>
        <v>8</v>
      </c>
      <c r="H423" s="19">
        <f>VLOOKUP(A423,Metrik!$C$2:$Y$959,8,0)</f>
        <v>94</v>
      </c>
      <c r="I423" s="20">
        <f>VLOOKUP(A423,Metrik!$C$2:$Y$959,9,0)</f>
        <v>4.7</v>
      </c>
      <c r="J423" s="20">
        <f>VLOOKUP(A423,Metrik!$C$2:$Y$959,10,0)</f>
        <v>5</v>
      </c>
      <c r="K423" s="20">
        <f>VLOOKUP(A423,Metrik!$C$2:$Y$959,11,0)</f>
        <v>3.8</v>
      </c>
      <c r="L423" s="20">
        <f>VLOOKUP(A423,Metrik!$C$2:$Y$959,12,0)</f>
        <v>0.32</v>
      </c>
      <c r="M423" s="20">
        <f>VLOOKUP(A423,Metrik!$C$2:$Y$959,19,0)</f>
        <v>76</v>
      </c>
      <c r="N423" s="21"/>
      <c r="O423" s="21"/>
      <c r="P423" s="21"/>
      <c r="Q423" s="21"/>
      <c r="R423" s="21"/>
      <c r="S423" s="21"/>
      <c r="T423" s="21"/>
      <c r="U423" s="22">
        <f>IFERROR(__xludf.DUMMYFUNCTION("IFERROR(GOOGLEFINANCE(A423,""closeyest""),"""")"),480.0)</f>
        <v>480</v>
      </c>
      <c r="V423" s="23">
        <f>IFERROR(__xludf.DUMMYFUNCTION("IFERROR(GOOGLEFINANCE(A423,""changepct""),"""")"),10.42)</f>
        <v>10.42</v>
      </c>
      <c r="W423" s="22">
        <f>IFERROR(__xludf.DUMMYFUNCTION("IFERROR(GOOGLEFINANCE(A423,""priceopen""),"""")"),494.0)</f>
        <v>494</v>
      </c>
      <c r="X423" s="22">
        <f>IFERROR(__xludf.DUMMYFUNCTION("IFERROR(GOOGLEFINANCE(A423,""high""),"""")"),565.0)</f>
        <v>565</v>
      </c>
      <c r="Y423" s="22">
        <f>IFERROR(__xludf.DUMMYFUNCTION("IFERROR(GOOGLEFINANCE(A423,""low""),"""")"),494.0)</f>
        <v>494</v>
      </c>
      <c r="Z423" s="22">
        <f>IFERROR(__xludf.DUMMYFUNCTION("IFERROR(GOOGLEFINANCE(A423,""volume""),"""")"),5.925959E8)</f>
        <v>592595900</v>
      </c>
      <c r="AA423" s="24" t="str">
        <f>VLOOKUP(A423,Metrik!$C$2:$Y$959,5,0)</f>
        <v>Metals &amp; Minerals</v>
      </c>
      <c r="AB423" s="24" t="str">
        <f>VLOOKUP(A423,Metrik!$C$2:$Y$959,3,0)</f>
        <v>Basic Materials</v>
      </c>
    </row>
    <row r="424">
      <c r="A424" s="14" t="s">
        <v>236</v>
      </c>
      <c r="B424" s="14" t="str">
        <f t="array" ref="B424">VLOOKUP(A424,{Metrik!$C$2:$C$998,Metrik!$B$2:$B$998},2,0)</f>
        <v>Berlina Tbk.</v>
      </c>
      <c r="C424" s="15">
        <f>IFERROR(__xludf.DUMMYFUNCTION("GOOGLEFINANCE(""IDX:""&amp;A424,""price"")"),595.0)</f>
        <v>595</v>
      </c>
      <c r="D424" s="16" t="str">
        <f>IFERROR(__xludf.DUMMYFUNCTION("IF(A424="""","""",
SPARKLINE(
INDEX(
GOOGLEFINANCE(""IDX:""&amp;A424,""close"",TODAY()-365,TODAY()),
,2
),
{""linewidth"",1}
))
"),"#N/A")</f>
        <v>#N/A</v>
      </c>
      <c r="E424" s="26"/>
      <c r="F424" s="26"/>
      <c r="G424" s="24">
        <f t="shared" si="2"/>
        <v>0</v>
      </c>
      <c r="H424" s="19">
        <f>VLOOKUP(A424,Metrik!$C$2:$Y$959,8,0)</f>
        <v>97.9</v>
      </c>
      <c r="I424" s="20">
        <f>VLOOKUP(A424,Metrik!$C$2:$Y$959,9,0)</f>
        <v>0.6</v>
      </c>
      <c r="J424" s="20">
        <f>VLOOKUP(A424,Metrik!$C$2:$Y$959,10,0)</f>
        <v>0.61</v>
      </c>
      <c r="K424" s="20">
        <f>VLOOKUP(A424,Metrik!$C$2:$Y$959,11,0)</f>
        <v>0.28</v>
      </c>
      <c r="L424" s="20">
        <f>VLOOKUP(A424,Metrik!$C$2:$Y$959,12,0)</f>
        <v>1.2</v>
      </c>
      <c r="M424" s="20">
        <f>VLOOKUP(A424,Metrik!$C$2:$Y$959,19,0)</f>
        <v>2.2</v>
      </c>
      <c r="N424" s="21"/>
      <c r="O424" s="21"/>
      <c r="P424" s="21"/>
      <c r="Q424" s="21"/>
      <c r="R424" s="21"/>
      <c r="S424" s="21"/>
      <c r="T424" s="21"/>
      <c r="U424" s="22">
        <f>IFERROR(__xludf.DUMMYFUNCTION("IFERROR(GOOGLEFINANCE(A424,""closeyest""),"""")"),595.0)</f>
        <v>595</v>
      </c>
      <c r="V424" s="23">
        <f>IFERROR(__xludf.DUMMYFUNCTION("IFERROR(GOOGLEFINANCE(A424,""changepct""),"""")"),0.0)</f>
        <v>0</v>
      </c>
      <c r="W424" s="22">
        <f>IFERROR(__xludf.DUMMYFUNCTION("IFERROR(GOOGLEFINANCE(A424,""priceopen""),"""")"),570.0)</f>
        <v>570</v>
      </c>
      <c r="X424" s="22">
        <f>IFERROR(__xludf.DUMMYFUNCTION("IFERROR(GOOGLEFINANCE(A424,""high""),"""")"),595.0)</f>
        <v>595</v>
      </c>
      <c r="Y424" s="22">
        <f>IFERROR(__xludf.DUMMYFUNCTION("IFERROR(GOOGLEFINANCE(A424,""low""),"""")"),565.0)</f>
        <v>565</v>
      </c>
      <c r="Z424" s="22">
        <f>IFERROR(__xludf.DUMMYFUNCTION("IFERROR(GOOGLEFINANCE(A424,""volume""),"""")"),16100.0)</f>
        <v>16100</v>
      </c>
      <c r="AA424" s="24" t="str">
        <f>VLOOKUP(A424,Metrik!$C$2:$Y$959,5,0)</f>
        <v>Containers &amp; Packaging</v>
      </c>
      <c r="AB424" s="24" t="str">
        <f>VLOOKUP(A424,Metrik!$C$2:$Y$959,3,0)</f>
        <v>Basic Materials</v>
      </c>
    </row>
    <row r="425">
      <c r="A425" s="17" t="s">
        <v>237</v>
      </c>
      <c r="B425" s="14" t="str">
        <f t="array" ref="B425">VLOOKUP(A425,{Metrik!$C$2:$C$998,Metrik!$B$2:$B$998},2,0)</f>
        <v>Barito Pacific Tbk.</v>
      </c>
      <c r="C425" s="15">
        <f>IFERROR(__xludf.DUMMYFUNCTION("GOOGLEFINANCE(""IDX:""&amp;A425,""price"")"),1700.0)</f>
        <v>1700</v>
      </c>
      <c r="D425" s="16" t="str">
        <f>IFERROR(__xludf.DUMMYFUNCTION("IF(A425="""","""",
SPARKLINE(
INDEX(
GOOGLEFINANCE(""IDX:""&amp;A425,""close"",TODAY()-365,TODAY()),
,2
),
{""linewidth"",1}
))
"),"#N/A")</f>
        <v>#N/A</v>
      </c>
      <c r="E425" s="14" t="s">
        <v>128</v>
      </c>
      <c r="F425" s="17" t="s">
        <v>36</v>
      </c>
      <c r="G425" s="24">
        <f t="shared" si="2"/>
        <v>10</v>
      </c>
      <c r="H425" s="19">
        <f>VLOOKUP(A425,Metrik!$C$2:$Y$959,8,0)</f>
        <v>19.2</v>
      </c>
      <c r="I425" s="20">
        <f>VLOOKUP(A425,Metrik!$C$2:$Y$959,9,0)</f>
        <v>1.7</v>
      </c>
      <c r="J425" s="20">
        <f>VLOOKUP(A425,Metrik!$C$2:$Y$959,10,0)</f>
        <v>8.9</v>
      </c>
      <c r="K425" s="20">
        <f>VLOOKUP(A425,Metrik!$C$2:$Y$959,11,0)</f>
        <v>3.2</v>
      </c>
      <c r="L425" s="20">
        <f>VLOOKUP(A425,Metrik!$C$2:$Y$959,12,0)</f>
        <v>1.8</v>
      </c>
      <c r="M425" s="20">
        <f>VLOOKUP(A425,Metrik!$C$2:$Y$959,19,0)</f>
        <v>21.7</v>
      </c>
      <c r="N425" s="44">
        <v>4.93</v>
      </c>
      <c r="O425" s="44">
        <v>20.1</v>
      </c>
      <c r="P425" s="44">
        <v>98.04</v>
      </c>
      <c r="Q425" s="44">
        <v>0.97</v>
      </c>
      <c r="R425" s="44">
        <v>56.46</v>
      </c>
      <c r="S425" s="44">
        <v>35.04</v>
      </c>
      <c r="T425" s="44">
        <v>6.81</v>
      </c>
      <c r="U425" s="22">
        <f>IFERROR(__xludf.DUMMYFUNCTION("IFERROR(GOOGLEFINANCE(A425,""closeyest""),"""")"),1650.0)</f>
        <v>1650</v>
      </c>
      <c r="V425" s="23">
        <f>IFERROR(__xludf.DUMMYFUNCTION("IFERROR(GOOGLEFINANCE(A425,""changepct""),"""")"),3.03)</f>
        <v>3.03</v>
      </c>
      <c r="W425" s="22">
        <f>IFERROR(__xludf.DUMMYFUNCTION("IFERROR(GOOGLEFINANCE(A425,""priceopen""),"""")"),1700.0)</f>
        <v>1700</v>
      </c>
      <c r="X425" s="22">
        <f>IFERROR(__xludf.DUMMYFUNCTION("IFERROR(GOOGLEFINANCE(A425,""high""),"""")"),1770.0)</f>
        <v>1770</v>
      </c>
      <c r="Y425" s="22">
        <f>IFERROR(__xludf.DUMMYFUNCTION("IFERROR(GOOGLEFINANCE(A425,""low""),"""")"),1680.0)</f>
        <v>1680</v>
      </c>
      <c r="Z425" s="22">
        <f>IFERROR(__xludf.DUMMYFUNCTION("IFERROR(GOOGLEFINANCE(A425,""volume""),"""")"),2.794877E8)</f>
        <v>279487700</v>
      </c>
      <c r="AA425" s="24" t="str">
        <f>VLOOKUP(A425,Metrik!$C$2:$Y$959,5,0)</f>
        <v>Chemicals</v>
      </c>
      <c r="AB425" s="24" t="str">
        <f>VLOOKUP(A425,Metrik!$C$2:$Y$959,3,0)</f>
        <v>Basic Materials</v>
      </c>
    </row>
    <row r="426">
      <c r="A426" s="17" t="s">
        <v>237</v>
      </c>
      <c r="B426" s="14" t="str">
        <f t="array" ref="B426">VLOOKUP(A426,{Metrik!$C$2:$C$998,Metrik!$B$2:$B$998},2,0)</f>
        <v>Barito Pacific Tbk.</v>
      </c>
      <c r="C426" s="15">
        <f>IFERROR(__xludf.DUMMYFUNCTION("GOOGLEFINANCE(""IDX:""&amp;A426,""price"")"),1700.0)</f>
        <v>1700</v>
      </c>
      <c r="D426" s="16" t="str">
        <f>IFERROR(__xludf.DUMMYFUNCTION("IF(A426="""","""",
SPARKLINE(
INDEX(
GOOGLEFINANCE(""IDX:""&amp;A426,""close"",TODAY()-365,TODAY()),
,2
),
{""linewidth"",1}
))
"),"#N/A")</f>
        <v>#N/A</v>
      </c>
      <c r="E426" s="14" t="s">
        <v>50</v>
      </c>
      <c r="F426" s="17" t="s">
        <v>51</v>
      </c>
      <c r="G426" s="18">
        <f t="shared" si="2"/>
        <v>10</v>
      </c>
      <c r="H426" s="19">
        <f>VLOOKUP(A426,Metrik!$C$2:$Y$959,8,0)</f>
        <v>19.2</v>
      </c>
      <c r="I426" s="20">
        <f>VLOOKUP(A426,Metrik!$C$2:$Y$959,9,0)</f>
        <v>1.7</v>
      </c>
      <c r="J426" s="20">
        <f>VLOOKUP(A426,Metrik!$C$2:$Y$959,10,0)</f>
        <v>8.9</v>
      </c>
      <c r="K426" s="20">
        <f>VLOOKUP(A426,Metrik!$C$2:$Y$959,11,0)</f>
        <v>3.2</v>
      </c>
      <c r="L426" s="20">
        <f>VLOOKUP(A426,Metrik!$C$2:$Y$959,12,0)</f>
        <v>1.8</v>
      </c>
      <c r="M426" s="20">
        <f>VLOOKUP(A426,Metrik!$C$2:$Y$959,19,0)</f>
        <v>21.7</v>
      </c>
      <c r="N426" s="21"/>
      <c r="O426" s="21"/>
      <c r="P426" s="21"/>
      <c r="Q426" s="21"/>
      <c r="R426" s="21"/>
      <c r="S426" s="21"/>
      <c r="T426" s="21"/>
      <c r="U426" s="22">
        <f>IFERROR(__xludf.DUMMYFUNCTION("IFERROR(GOOGLEFINANCE(A426,""closeyest""),"""")"),1650.0)</f>
        <v>1650</v>
      </c>
      <c r="V426" s="23">
        <f>IFERROR(__xludf.DUMMYFUNCTION("IFERROR(GOOGLEFINANCE(A426,""changepct""),"""")"),3.03)</f>
        <v>3.03</v>
      </c>
      <c r="W426" s="22">
        <f>IFERROR(__xludf.DUMMYFUNCTION("IFERROR(GOOGLEFINANCE(A426,""priceopen""),"""")"),1700.0)</f>
        <v>1700</v>
      </c>
      <c r="X426" s="22">
        <f>IFERROR(__xludf.DUMMYFUNCTION("IFERROR(GOOGLEFINANCE(A426,""high""),"""")"),1770.0)</f>
        <v>1770</v>
      </c>
      <c r="Y426" s="22">
        <f>IFERROR(__xludf.DUMMYFUNCTION("IFERROR(GOOGLEFINANCE(A426,""low""),"""")"),1680.0)</f>
        <v>1680</v>
      </c>
      <c r="Z426" s="22">
        <f>IFERROR(__xludf.DUMMYFUNCTION("IFERROR(GOOGLEFINANCE(A426,""volume""),"""")"),2.794877E8)</f>
        <v>279487700</v>
      </c>
      <c r="AA426" s="24" t="str">
        <f>VLOOKUP(A426,Metrik!$C$2:$Y$959,5,0)</f>
        <v>Chemicals</v>
      </c>
      <c r="AB426" s="24" t="str">
        <f>VLOOKUP(A426,Metrik!$C$2:$Y$959,3,0)</f>
        <v>Basic Materials</v>
      </c>
    </row>
    <row r="427">
      <c r="A427" s="14" t="s">
        <v>237</v>
      </c>
      <c r="B427" s="14" t="str">
        <f t="array" ref="B427">VLOOKUP(A427,{Metrik!$C$2:$C$998,Metrik!$B$2:$B$998},2,0)</f>
        <v>Barito Pacific Tbk.</v>
      </c>
      <c r="C427" s="15">
        <f>IFERROR(__xludf.DUMMYFUNCTION("GOOGLEFINANCE(""IDX:""&amp;A427,""price"")"),1700.0)</f>
        <v>1700</v>
      </c>
      <c r="D427" s="16" t="str">
        <f>IFERROR(__xludf.DUMMYFUNCTION("IF(A427="""","""",
SPARKLINE(
INDEX(
GOOGLEFINANCE(""IDX:""&amp;A427,""close"",TODAY()-365,TODAY()),
,2
),
{""linewidth"",1}
))
"),"#N/A")</f>
        <v>#N/A</v>
      </c>
      <c r="E427" s="14" t="s">
        <v>28</v>
      </c>
      <c r="F427" s="17" t="s">
        <v>29</v>
      </c>
      <c r="G427" s="24">
        <f t="shared" si="2"/>
        <v>10</v>
      </c>
      <c r="H427" s="19">
        <f>VLOOKUP(A427,Metrik!$C$2:$Y$959,8,0)</f>
        <v>19.2</v>
      </c>
      <c r="I427" s="20">
        <f>VLOOKUP(A427,Metrik!$C$2:$Y$959,9,0)</f>
        <v>1.7</v>
      </c>
      <c r="J427" s="20">
        <f>VLOOKUP(A427,Metrik!$C$2:$Y$959,10,0)</f>
        <v>8.9</v>
      </c>
      <c r="K427" s="20">
        <f>VLOOKUP(A427,Metrik!$C$2:$Y$959,11,0)</f>
        <v>3.2</v>
      </c>
      <c r="L427" s="20">
        <f>VLOOKUP(A427,Metrik!$C$2:$Y$959,12,0)</f>
        <v>1.8</v>
      </c>
      <c r="M427" s="20">
        <f>VLOOKUP(A427,Metrik!$C$2:$Y$959,19,0)</f>
        <v>21.7</v>
      </c>
      <c r="N427" s="21"/>
      <c r="O427" s="21"/>
      <c r="P427" s="21"/>
      <c r="Q427" s="21"/>
      <c r="R427" s="21"/>
      <c r="S427" s="21"/>
      <c r="T427" s="21"/>
      <c r="U427" s="22">
        <f>IFERROR(__xludf.DUMMYFUNCTION("IFERROR(GOOGLEFINANCE(A427,""closeyest""),"""")"),1650.0)</f>
        <v>1650</v>
      </c>
      <c r="V427" s="23">
        <f>IFERROR(__xludf.DUMMYFUNCTION("IFERROR(GOOGLEFINANCE(A427,""changepct""),"""")"),3.03)</f>
        <v>3.03</v>
      </c>
      <c r="W427" s="22">
        <f>IFERROR(__xludf.DUMMYFUNCTION("IFERROR(GOOGLEFINANCE(A427,""priceopen""),"""")"),1700.0)</f>
        <v>1700</v>
      </c>
      <c r="X427" s="22">
        <f>IFERROR(__xludf.DUMMYFUNCTION("IFERROR(GOOGLEFINANCE(A427,""high""),"""")"),1770.0)</f>
        <v>1770</v>
      </c>
      <c r="Y427" s="22">
        <f>IFERROR(__xludf.DUMMYFUNCTION("IFERROR(GOOGLEFINANCE(A427,""low""),"""")"),1680.0)</f>
        <v>1680</v>
      </c>
      <c r="Z427" s="22">
        <f>IFERROR(__xludf.DUMMYFUNCTION("IFERROR(GOOGLEFINANCE(A427,""volume""),"""")"),2.794877E8)</f>
        <v>279487700</v>
      </c>
      <c r="AA427" s="24" t="str">
        <f>VLOOKUP(A427,Metrik!$C$2:$Y$959,5,0)</f>
        <v>Chemicals</v>
      </c>
      <c r="AB427" s="24" t="str">
        <f>VLOOKUP(A427,Metrik!$C$2:$Y$959,3,0)</f>
        <v>Basic Materials</v>
      </c>
    </row>
    <row r="428">
      <c r="A428" s="14" t="s">
        <v>237</v>
      </c>
      <c r="B428" s="14" t="str">
        <f t="array" ref="B428">VLOOKUP(A428,{Metrik!$C$2:$C$998,Metrik!$B$2:$B$998},2,0)</f>
        <v>Barito Pacific Tbk.</v>
      </c>
      <c r="C428" s="15">
        <f>IFERROR(__xludf.DUMMYFUNCTION("GOOGLEFINANCE(""IDX:""&amp;A428,""price"")"),1700.0)</f>
        <v>1700</v>
      </c>
      <c r="D428" s="16" t="str">
        <f>IFERROR(__xludf.DUMMYFUNCTION("IF(A428="""","""",
SPARKLINE(
INDEX(
GOOGLEFINANCE(""IDX:""&amp;A428,""close"",TODAY()-365,TODAY()),
,2
),
{""linewidth"",1}
))
"),"#N/A")</f>
        <v>#N/A</v>
      </c>
      <c r="E428" s="14" t="s">
        <v>31</v>
      </c>
      <c r="F428" s="17" t="s">
        <v>29</v>
      </c>
      <c r="G428" s="24">
        <f t="shared" si="2"/>
        <v>10</v>
      </c>
      <c r="H428" s="19">
        <f>VLOOKUP(A428,Metrik!$C$2:$Y$959,8,0)</f>
        <v>19.2</v>
      </c>
      <c r="I428" s="20">
        <f>VLOOKUP(A428,Metrik!$C$2:$Y$959,9,0)</f>
        <v>1.7</v>
      </c>
      <c r="J428" s="20">
        <f>VLOOKUP(A428,Metrik!$C$2:$Y$959,10,0)</f>
        <v>8.9</v>
      </c>
      <c r="K428" s="20">
        <f>VLOOKUP(A428,Metrik!$C$2:$Y$959,11,0)</f>
        <v>3.2</v>
      </c>
      <c r="L428" s="20">
        <f>VLOOKUP(A428,Metrik!$C$2:$Y$959,12,0)</f>
        <v>1.8</v>
      </c>
      <c r="M428" s="20">
        <f>VLOOKUP(A428,Metrik!$C$2:$Y$959,19,0)</f>
        <v>21.7</v>
      </c>
      <c r="N428" s="21"/>
      <c r="O428" s="21"/>
      <c r="P428" s="21"/>
      <c r="Q428" s="21"/>
      <c r="R428" s="21"/>
      <c r="S428" s="21"/>
      <c r="T428" s="21"/>
      <c r="U428" s="22">
        <f>IFERROR(__xludf.DUMMYFUNCTION("IFERROR(GOOGLEFINANCE(A428,""closeyest""),"""")"),1650.0)</f>
        <v>1650</v>
      </c>
      <c r="V428" s="23">
        <f>IFERROR(__xludf.DUMMYFUNCTION("IFERROR(GOOGLEFINANCE(A428,""changepct""),"""")"),3.03)</f>
        <v>3.03</v>
      </c>
      <c r="W428" s="22">
        <f>IFERROR(__xludf.DUMMYFUNCTION("IFERROR(GOOGLEFINANCE(A428,""priceopen""),"""")"),1700.0)</f>
        <v>1700</v>
      </c>
      <c r="X428" s="22">
        <f>IFERROR(__xludf.DUMMYFUNCTION("IFERROR(GOOGLEFINANCE(A428,""high""),"""")"),1770.0)</f>
        <v>1770</v>
      </c>
      <c r="Y428" s="22">
        <f>IFERROR(__xludf.DUMMYFUNCTION("IFERROR(GOOGLEFINANCE(A428,""low""),"""")"),1680.0)</f>
        <v>1680</v>
      </c>
      <c r="Z428" s="22">
        <f>IFERROR(__xludf.DUMMYFUNCTION("IFERROR(GOOGLEFINANCE(A428,""volume""),"""")"),2.794877E8)</f>
        <v>279487700</v>
      </c>
      <c r="AA428" s="24" t="str">
        <f>VLOOKUP(A428,Metrik!$C$2:$Y$959,5,0)</f>
        <v>Chemicals</v>
      </c>
      <c r="AB428" s="24" t="str">
        <f>VLOOKUP(A428,Metrik!$C$2:$Y$959,3,0)</f>
        <v>Basic Materials</v>
      </c>
    </row>
    <row r="429">
      <c r="A429" s="14" t="s">
        <v>237</v>
      </c>
      <c r="B429" s="14" t="str">
        <f t="array" ref="B429">VLOOKUP(A429,{Metrik!$C$2:$C$998,Metrik!$B$2:$B$998},2,0)</f>
        <v>Barito Pacific Tbk.</v>
      </c>
      <c r="C429" s="15">
        <f>IFERROR(__xludf.DUMMYFUNCTION("GOOGLEFINANCE(""IDX:""&amp;A429,""price"")"),1700.0)</f>
        <v>1700</v>
      </c>
      <c r="D429" s="16" t="str">
        <f>IFERROR(__xludf.DUMMYFUNCTION("IF(A429="""","""",
SPARKLINE(
INDEX(
GOOGLEFINANCE(""IDX:""&amp;A429,""close"",TODAY()-365,TODAY()),
,2
),
{""linewidth"",1}
))
"),"#N/A")</f>
        <v>#N/A</v>
      </c>
      <c r="E429" s="14" t="s">
        <v>32</v>
      </c>
      <c r="F429" s="14" t="s">
        <v>29</v>
      </c>
      <c r="G429" s="24">
        <f t="shared" si="2"/>
        <v>10</v>
      </c>
      <c r="H429" s="19">
        <f>VLOOKUP(A429,Metrik!$C$2:$Y$959,8,0)</f>
        <v>19.2</v>
      </c>
      <c r="I429" s="20">
        <f>VLOOKUP(A429,Metrik!$C$2:$Y$959,9,0)</f>
        <v>1.7</v>
      </c>
      <c r="J429" s="20">
        <f>VLOOKUP(A429,Metrik!$C$2:$Y$959,10,0)</f>
        <v>8.9</v>
      </c>
      <c r="K429" s="20">
        <f>VLOOKUP(A429,Metrik!$C$2:$Y$959,11,0)</f>
        <v>3.2</v>
      </c>
      <c r="L429" s="20">
        <f>VLOOKUP(A429,Metrik!$C$2:$Y$959,12,0)</f>
        <v>1.8</v>
      </c>
      <c r="M429" s="20">
        <f>VLOOKUP(A429,Metrik!$C$2:$Y$959,19,0)</f>
        <v>21.7</v>
      </c>
      <c r="N429" s="21"/>
      <c r="O429" s="21"/>
      <c r="P429" s="21"/>
      <c r="Q429" s="21"/>
      <c r="R429" s="21"/>
      <c r="S429" s="21"/>
      <c r="T429" s="21"/>
      <c r="U429" s="22">
        <f>IFERROR(__xludf.DUMMYFUNCTION("IFERROR(GOOGLEFINANCE(A429,""closeyest""),"""")"),1650.0)</f>
        <v>1650</v>
      </c>
      <c r="V429" s="23">
        <f>IFERROR(__xludf.DUMMYFUNCTION("IFERROR(GOOGLEFINANCE(A429,""changepct""),"""")"),3.03)</f>
        <v>3.03</v>
      </c>
      <c r="W429" s="22">
        <f>IFERROR(__xludf.DUMMYFUNCTION("IFERROR(GOOGLEFINANCE(A429,""priceopen""),"""")"),1700.0)</f>
        <v>1700</v>
      </c>
      <c r="X429" s="22">
        <f>IFERROR(__xludf.DUMMYFUNCTION("IFERROR(GOOGLEFINANCE(A429,""high""),"""")"),1770.0)</f>
        <v>1770</v>
      </c>
      <c r="Y429" s="22">
        <f>IFERROR(__xludf.DUMMYFUNCTION("IFERROR(GOOGLEFINANCE(A429,""low""),"""")"),1680.0)</f>
        <v>1680</v>
      </c>
      <c r="Z429" s="22">
        <f>IFERROR(__xludf.DUMMYFUNCTION("IFERROR(GOOGLEFINANCE(A429,""volume""),"""")"),2.794877E8)</f>
        <v>279487700</v>
      </c>
      <c r="AA429" s="24" t="str">
        <f>VLOOKUP(A429,Metrik!$C$2:$Y$959,5,0)</f>
        <v>Chemicals</v>
      </c>
      <c r="AB429" s="24" t="str">
        <f>VLOOKUP(A429,Metrik!$C$2:$Y$959,3,0)</f>
        <v>Basic Materials</v>
      </c>
    </row>
    <row r="430">
      <c r="A430" s="14" t="s">
        <v>237</v>
      </c>
      <c r="B430" s="14" t="str">
        <f t="array" ref="B430">VLOOKUP(A430,{Metrik!$C$2:$C$998,Metrik!$B$2:$B$998},2,0)</f>
        <v>Barito Pacific Tbk.</v>
      </c>
      <c r="C430" s="15">
        <f>IFERROR(__xludf.DUMMYFUNCTION("GOOGLEFINANCE(""IDX:""&amp;A430,""price"")"),1700.0)</f>
        <v>1700</v>
      </c>
      <c r="D430" s="16" t="str">
        <f>IFERROR(__xludf.DUMMYFUNCTION("IF(A430="""","""",
SPARKLINE(
INDEX(
GOOGLEFINANCE(""IDX:""&amp;A430,""close"",TODAY()-365,TODAY()),
,2
),
{""linewidth"",1}
))
"),"#N/A")</f>
        <v>#N/A</v>
      </c>
      <c r="E430" s="14" t="s">
        <v>30</v>
      </c>
      <c r="F430" s="17" t="s">
        <v>29</v>
      </c>
      <c r="G430" s="24">
        <f t="shared" si="2"/>
        <v>10</v>
      </c>
      <c r="H430" s="19">
        <f>VLOOKUP(A430,Metrik!$C$2:$Y$959,8,0)</f>
        <v>19.2</v>
      </c>
      <c r="I430" s="20">
        <f>VLOOKUP(A430,Metrik!$C$2:$Y$959,9,0)</f>
        <v>1.7</v>
      </c>
      <c r="J430" s="20">
        <f>VLOOKUP(A430,Metrik!$C$2:$Y$959,10,0)</f>
        <v>8.9</v>
      </c>
      <c r="K430" s="20">
        <f>VLOOKUP(A430,Metrik!$C$2:$Y$959,11,0)</f>
        <v>3.2</v>
      </c>
      <c r="L430" s="20">
        <f>VLOOKUP(A430,Metrik!$C$2:$Y$959,12,0)</f>
        <v>1.8</v>
      </c>
      <c r="M430" s="20">
        <f>VLOOKUP(A430,Metrik!$C$2:$Y$959,19,0)</f>
        <v>21.7</v>
      </c>
      <c r="N430" s="21"/>
      <c r="O430" s="21"/>
      <c r="P430" s="21"/>
      <c r="Q430" s="21"/>
      <c r="R430" s="21"/>
      <c r="S430" s="21"/>
      <c r="T430" s="21"/>
      <c r="U430" s="22">
        <f>IFERROR(__xludf.DUMMYFUNCTION("IFERROR(GOOGLEFINANCE(A430,""closeyest""),"""")"),1650.0)</f>
        <v>1650</v>
      </c>
      <c r="V430" s="23">
        <f>IFERROR(__xludf.DUMMYFUNCTION("IFERROR(GOOGLEFINANCE(A430,""changepct""),"""")"),3.03)</f>
        <v>3.03</v>
      </c>
      <c r="W430" s="22">
        <f>IFERROR(__xludf.DUMMYFUNCTION("IFERROR(GOOGLEFINANCE(A430,""priceopen""),"""")"),1700.0)</f>
        <v>1700</v>
      </c>
      <c r="X430" s="22">
        <f>IFERROR(__xludf.DUMMYFUNCTION("IFERROR(GOOGLEFINANCE(A430,""high""),"""")"),1770.0)</f>
        <v>1770</v>
      </c>
      <c r="Y430" s="22">
        <f>IFERROR(__xludf.DUMMYFUNCTION("IFERROR(GOOGLEFINANCE(A430,""low""),"""")"),1680.0)</f>
        <v>1680</v>
      </c>
      <c r="Z430" s="22">
        <f>IFERROR(__xludf.DUMMYFUNCTION("IFERROR(GOOGLEFINANCE(A430,""volume""),"""")"),2.794877E8)</f>
        <v>279487700</v>
      </c>
      <c r="AA430" s="24" t="str">
        <f>VLOOKUP(A430,Metrik!$C$2:$Y$959,5,0)</f>
        <v>Chemicals</v>
      </c>
      <c r="AB430" s="24" t="str">
        <f>VLOOKUP(A430,Metrik!$C$2:$Y$959,3,0)</f>
        <v>Basic Materials</v>
      </c>
    </row>
    <row r="431">
      <c r="A431" s="14" t="s">
        <v>237</v>
      </c>
      <c r="B431" s="14" t="str">
        <f t="array" ref="B431">VLOOKUP(A431,{Metrik!$C$2:$C$998,Metrik!$B$2:$B$998},2,0)</f>
        <v>Barito Pacific Tbk.</v>
      </c>
      <c r="C431" s="15">
        <f>IFERROR(__xludf.DUMMYFUNCTION("GOOGLEFINANCE(""IDX:""&amp;A431,""price"")"),1700.0)</f>
        <v>1700</v>
      </c>
      <c r="D431" s="16" t="str">
        <f>IFERROR(__xludf.DUMMYFUNCTION("IF(A431="""","""",
SPARKLINE(
INDEX(
GOOGLEFINANCE(""IDX:""&amp;A431,""close"",TODAY()-365,TODAY()),
,2
),
{""linewidth"",1}
))
"),"#N/A")</f>
        <v>#N/A</v>
      </c>
      <c r="E431" s="14" t="s">
        <v>161</v>
      </c>
      <c r="F431" s="14" t="s">
        <v>76</v>
      </c>
      <c r="G431" s="24">
        <f t="shared" si="2"/>
        <v>10</v>
      </c>
      <c r="H431" s="19">
        <f>VLOOKUP(A431,Metrik!$C$2:$Y$959,8,0)</f>
        <v>19.2</v>
      </c>
      <c r="I431" s="20">
        <f>VLOOKUP(A431,Metrik!$C$2:$Y$959,9,0)</f>
        <v>1.7</v>
      </c>
      <c r="J431" s="20">
        <f>VLOOKUP(A431,Metrik!$C$2:$Y$959,10,0)</f>
        <v>8.9</v>
      </c>
      <c r="K431" s="20">
        <f>VLOOKUP(A431,Metrik!$C$2:$Y$959,11,0)</f>
        <v>3.2</v>
      </c>
      <c r="L431" s="20">
        <f>VLOOKUP(A431,Metrik!$C$2:$Y$959,12,0)</f>
        <v>1.8</v>
      </c>
      <c r="M431" s="20">
        <f>VLOOKUP(A431,Metrik!$C$2:$Y$959,19,0)</f>
        <v>21.7</v>
      </c>
      <c r="N431" s="21"/>
      <c r="O431" s="21"/>
      <c r="P431" s="21"/>
      <c r="Q431" s="21"/>
      <c r="R431" s="21"/>
      <c r="S431" s="21"/>
      <c r="T431" s="21"/>
      <c r="U431" s="22">
        <f>IFERROR(__xludf.DUMMYFUNCTION("IFERROR(GOOGLEFINANCE(A431,""closeyest""),"""")"),1650.0)</f>
        <v>1650</v>
      </c>
      <c r="V431" s="23">
        <f>IFERROR(__xludf.DUMMYFUNCTION("IFERROR(GOOGLEFINANCE(A431,""changepct""),"""")"),3.03)</f>
        <v>3.03</v>
      </c>
      <c r="W431" s="22">
        <f>IFERROR(__xludf.DUMMYFUNCTION("IFERROR(GOOGLEFINANCE(A431,""priceopen""),"""")"),1700.0)</f>
        <v>1700</v>
      </c>
      <c r="X431" s="22">
        <f>IFERROR(__xludf.DUMMYFUNCTION("IFERROR(GOOGLEFINANCE(A431,""high""),"""")"),1770.0)</f>
        <v>1770</v>
      </c>
      <c r="Y431" s="22">
        <f>IFERROR(__xludf.DUMMYFUNCTION("IFERROR(GOOGLEFINANCE(A431,""low""),"""")"),1680.0)</f>
        <v>1680</v>
      </c>
      <c r="Z431" s="22">
        <f>IFERROR(__xludf.DUMMYFUNCTION("IFERROR(GOOGLEFINANCE(A431,""volume""),"""")"),2.794877E8)</f>
        <v>279487700</v>
      </c>
      <c r="AA431" s="24" t="str">
        <f>VLOOKUP(A431,Metrik!$C$2:$Y$959,5,0)</f>
        <v>Chemicals</v>
      </c>
      <c r="AB431" s="24" t="str">
        <f>VLOOKUP(A431,Metrik!$C$2:$Y$959,3,0)</f>
        <v>Basic Materials</v>
      </c>
    </row>
    <row r="432">
      <c r="A432" s="14" t="s">
        <v>237</v>
      </c>
      <c r="B432" s="14" t="str">
        <f t="array" ref="B432">VLOOKUP(A432,{Metrik!$C$2:$C$998,Metrik!$B$2:$B$998},2,0)</f>
        <v>Barito Pacific Tbk.</v>
      </c>
      <c r="C432" s="15">
        <f>IFERROR(__xludf.DUMMYFUNCTION("GOOGLEFINANCE(""IDX:""&amp;A432,""price"")"),1700.0)</f>
        <v>1700</v>
      </c>
      <c r="D432" s="16" t="str">
        <f>IFERROR(__xludf.DUMMYFUNCTION("IF(A432="""","""",
SPARKLINE(
INDEX(
GOOGLEFINANCE(""IDX:""&amp;A432,""close"",TODAY()-365,TODAY()),
,2
),
{""linewidth"",1}
))
"),"#N/A")</f>
        <v>#N/A</v>
      </c>
      <c r="E432" s="14" t="s">
        <v>52</v>
      </c>
      <c r="F432" s="27" t="s">
        <v>53</v>
      </c>
      <c r="G432" s="24">
        <f t="shared" si="2"/>
        <v>10</v>
      </c>
      <c r="H432" s="19">
        <f>VLOOKUP(A432,Metrik!$C$2:$Y$959,8,0)</f>
        <v>19.2</v>
      </c>
      <c r="I432" s="20">
        <f>VLOOKUP(A432,Metrik!$C$2:$Y$959,9,0)</f>
        <v>1.7</v>
      </c>
      <c r="J432" s="20">
        <f>VLOOKUP(A432,Metrik!$C$2:$Y$959,10,0)</f>
        <v>8.9</v>
      </c>
      <c r="K432" s="20">
        <f>VLOOKUP(A432,Metrik!$C$2:$Y$959,11,0)</f>
        <v>3.2</v>
      </c>
      <c r="L432" s="20">
        <f>VLOOKUP(A432,Metrik!$C$2:$Y$959,12,0)</f>
        <v>1.8</v>
      </c>
      <c r="M432" s="20">
        <f>VLOOKUP(A432,Metrik!$C$2:$Y$959,19,0)</f>
        <v>21.7</v>
      </c>
      <c r="N432" s="21"/>
      <c r="O432" s="21"/>
      <c r="P432" s="21"/>
      <c r="Q432" s="21"/>
      <c r="R432" s="21"/>
      <c r="S432" s="21"/>
      <c r="T432" s="21"/>
      <c r="U432" s="22">
        <f>IFERROR(__xludf.DUMMYFUNCTION("IFERROR(GOOGLEFINANCE(A432,""closeyest""),"""")"),1650.0)</f>
        <v>1650</v>
      </c>
      <c r="V432" s="23">
        <f>IFERROR(__xludf.DUMMYFUNCTION("IFERROR(GOOGLEFINANCE(A432,""changepct""),"""")"),3.03)</f>
        <v>3.03</v>
      </c>
      <c r="W432" s="22">
        <f>IFERROR(__xludf.DUMMYFUNCTION("IFERROR(GOOGLEFINANCE(A432,""priceopen""),"""")"),1700.0)</f>
        <v>1700</v>
      </c>
      <c r="X432" s="22">
        <f>IFERROR(__xludf.DUMMYFUNCTION("IFERROR(GOOGLEFINANCE(A432,""high""),"""")"),1770.0)</f>
        <v>1770</v>
      </c>
      <c r="Y432" s="22">
        <f>IFERROR(__xludf.DUMMYFUNCTION("IFERROR(GOOGLEFINANCE(A432,""low""),"""")"),1680.0)</f>
        <v>1680</v>
      </c>
      <c r="Z432" s="22">
        <f>IFERROR(__xludf.DUMMYFUNCTION("IFERROR(GOOGLEFINANCE(A432,""volume""),"""")"),2.794877E8)</f>
        <v>279487700</v>
      </c>
      <c r="AA432" s="24" t="str">
        <f>VLOOKUP(A432,Metrik!$C$2:$Y$959,5,0)</f>
        <v>Chemicals</v>
      </c>
      <c r="AB432" s="24" t="str">
        <f>VLOOKUP(A432,Metrik!$C$2:$Y$959,3,0)</f>
        <v>Basic Materials</v>
      </c>
    </row>
    <row r="433">
      <c r="A433" s="17" t="s">
        <v>237</v>
      </c>
      <c r="B433" s="14" t="str">
        <f t="array" ref="B433">VLOOKUP(A433,{Metrik!$C$2:$C$998,Metrik!$B$2:$B$998},2,0)</f>
        <v>Barito Pacific Tbk.</v>
      </c>
      <c r="C433" s="15">
        <f>IFERROR(__xludf.DUMMYFUNCTION("GOOGLEFINANCE(""IDX:""&amp;A433,""price"")"),1700.0)</f>
        <v>1700</v>
      </c>
      <c r="D433" s="16" t="str">
        <f>IFERROR(__xludf.DUMMYFUNCTION("IF(A433="""","""",
SPARKLINE(
INDEX(
GOOGLEFINANCE(""IDX:""&amp;A433,""close"",TODAY()-365,TODAY()),
,2
),
{""linewidth"",1}
))
"),"#N/A")</f>
        <v>#N/A</v>
      </c>
      <c r="E433" s="17" t="s">
        <v>69</v>
      </c>
      <c r="F433" s="17" t="s">
        <v>70</v>
      </c>
      <c r="G433" s="24">
        <f t="shared" si="2"/>
        <v>10</v>
      </c>
      <c r="H433" s="19">
        <f>VLOOKUP(A433,Metrik!$C$2:$Y$959,8,0)</f>
        <v>19.2</v>
      </c>
      <c r="I433" s="20">
        <f>VLOOKUP(A433,Metrik!$C$2:$Y$959,9,0)</f>
        <v>1.7</v>
      </c>
      <c r="J433" s="20">
        <f>VLOOKUP(A433,Metrik!$C$2:$Y$959,10,0)</f>
        <v>8.9</v>
      </c>
      <c r="K433" s="20">
        <f>VLOOKUP(A433,Metrik!$C$2:$Y$959,11,0)</f>
        <v>3.2</v>
      </c>
      <c r="L433" s="20">
        <f>VLOOKUP(A433,Metrik!$C$2:$Y$959,12,0)</f>
        <v>1.8</v>
      </c>
      <c r="M433" s="20">
        <f>VLOOKUP(A433,Metrik!$C$2:$Y$959,19,0)</f>
        <v>21.7</v>
      </c>
      <c r="N433" s="21"/>
      <c r="O433" s="21"/>
      <c r="P433" s="21"/>
      <c r="Q433" s="21"/>
      <c r="R433" s="21"/>
      <c r="S433" s="21"/>
      <c r="T433" s="21"/>
      <c r="U433" s="22">
        <f>IFERROR(__xludf.DUMMYFUNCTION("IFERROR(GOOGLEFINANCE(A433,""closeyest""),"""")"),1650.0)</f>
        <v>1650</v>
      </c>
      <c r="V433" s="23">
        <f>IFERROR(__xludf.DUMMYFUNCTION("IFERROR(GOOGLEFINANCE(A433,""changepct""),"""")"),3.03)</f>
        <v>3.03</v>
      </c>
      <c r="W433" s="22">
        <f>IFERROR(__xludf.DUMMYFUNCTION("IFERROR(GOOGLEFINANCE(A433,""priceopen""),"""")"),1700.0)</f>
        <v>1700</v>
      </c>
      <c r="X433" s="22">
        <f>IFERROR(__xludf.DUMMYFUNCTION("IFERROR(GOOGLEFINANCE(A433,""high""),"""")"),1770.0)</f>
        <v>1770</v>
      </c>
      <c r="Y433" s="22">
        <f>IFERROR(__xludf.DUMMYFUNCTION("IFERROR(GOOGLEFINANCE(A433,""low""),"""")"),1680.0)</f>
        <v>1680</v>
      </c>
      <c r="Z433" s="22">
        <f>IFERROR(__xludf.DUMMYFUNCTION("IFERROR(GOOGLEFINANCE(A433,""volume""),"""")"),2.794877E8)</f>
        <v>279487700</v>
      </c>
      <c r="AA433" s="24" t="str">
        <f>VLOOKUP(A433,Metrik!$C$2:$Y$959,5,0)</f>
        <v>Chemicals</v>
      </c>
      <c r="AB433" s="24" t="str">
        <f>VLOOKUP(A433,Metrik!$C$2:$Y$959,3,0)</f>
        <v>Basic Materials</v>
      </c>
    </row>
    <row r="434">
      <c r="A434" s="17" t="s">
        <v>237</v>
      </c>
      <c r="B434" s="14" t="str">
        <f t="array" ref="B434">VLOOKUP(A434,{Metrik!$C$2:$C$998,Metrik!$B$2:$B$998},2,0)</f>
        <v>Barito Pacific Tbk.</v>
      </c>
      <c r="C434" s="15">
        <f>IFERROR(__xludf.DUMMYFUNCTION("GOOGLEFINANCE(""IDX:""&amp;A434,""price"")"),1700.0)</f>
        <v>1700</v>
      </c>
      <c r="D434" s="16" t="str">
        <f>IFERROR(__xludf.DUMMYFUNCTION("IF(A434="""","""",
SPARKLINE(
INDEX(
GOOGLEFINANCE(""IDX:""&amp;A434,""close"",TODAY()-365,TODAY()),
,2
),
{""linewidth"",1}
))
"),"#N/A")</f>
        <v>#N/A</v>
      </c>
      <c r="E434" s="14" t="s">
        <v>42</v>
      </c>
      <c r="F434" s="25">
        <v>46356.0</v>
      </c>
      <c r="G434" s="24">
        <f t="shared" si="2"/>
        <v>10</v>
      </c>
      <c r="H434" s="19">
        <f>VLOOKUP(A434,Metrik!$C$2:$Y$959,8,0)</f>
        <v>19.2</v>
      </c>
      <c r="I434" s="20">
        <f>VLOOKUP(A434,Metrik!$C$2:$Y$959,9,0)</f>
        <v>1.7</v>
      </c>
      <c r="J434" s="20">
        <f>VLOOKUP(A434,Metrik!$C$2:$Y$959,10,0)</f>
        <v>8.9</v>
      </c>
      <c r="K434" s="20">
        <f>VLOOKUP(A434,Metrik!$C$2:$Y$959,11,0)</f>
        <v>3.2</v>
      </c>
      <c r="L434" s="20">
        <f>VLOOKUP(A434,Metrik!$C$2:$Y$959,12,0)</f>
        <v>1.8</v>
      </c>
      <c r="M434" s="20">
        <f>VLOOKUP(A434,Metrik!$C$2:$Y$959,19,0)</f>
        <v>21.7</v>
      </c>
      <c r="N434" s="21"/>
      <c r="O434" s="21"/>
      <c r="P434" s="21"/>
      <c r="Q434" s="21"/>
      <c r="R434" s="21"/>
      <c r="S434" s="21"/>
      <c r="T434" s="21"/>
      <c r="U434" s="22">
        <f>IFERROR(__xludf.DUMMYFUNCTION("IFERROR(GOOGLEFINANCE(A434,""closeyest""),"""")"),1650.0)</f>
        <v>1650</v>
      </c>
      <c r="V434" s="23">
        <f>IFERROR(__xludf.DUMMYFUNCTION("IFERROR(GOOGLEFINANCE(A434,""changepct""),"""")"),3.03)</f>
        <v>3.03</v>
      </c>
      <c r="W434" s="22">
        <f>IFERROR(__xludf.DUMMYFUNCTION("IFERROR(GOOGLEFINANCE(A434,""priceopen""),"""")"),1700.0)</f>
        <v>1700</v>
      </c>
      <c r="X434" s="22">
        <f>IFERROR(__xludf.DUMMYFUNCTION("IFERROR(GOOGLEFINANCE(A434,""high""),"""")"),1770.0)</f>
        <v>1770</v>
      </c>
      <c r="Y434" s="22">
        <f>IFERROR(__xludf.DUMMYFUNCTION("IFERROR(GOOGLEFINANCE(A434,""low""),"""")"),1680.0)</f>
        <v>1680</v>
      </c>
      <c r="Z434" s="22">
        <f>IFERROR(__xludf.DUMMYFUNCTION("IFERROR(GOOGLEFINANCE(A434,""volume""),"""")"),2.794877E8)</f>
        <v>279487700</v>
      </c>
      <c r="AA434" s="24" t="str">
        <f>VLOOKUP(A434,Metrik!$C$2:$Y$959,5,0)</f>
        <v>Chemicals</v>
      </c>
      <c r="AB434" s="24" t="str">
        <f>VLOOKUP(A434,Metrik!$C$2:$Y$959,3,0)</f>
        <v>Basic Materials</v>
      </c>
    </row>
    <row r="435">
      <c r="A435" s="14" t="s">
        <v>238</v>
      </c>
      <c r="B435" s="14" t="str">
        <f t="array" ref="B435">VLOOKUP(A435,{Metrik!$C$2:$C$998,Metrik!$B$2:$B$998},2,0)</f>
        <v>Raja Roti Cemerlang Tbk.</v>
      </c>
      <c r="C435" s="15">
        <f>IFERROR(__xludf.DUMMYFUNCTION("GOOGLEFINANCE(""IDX:""&amp;A435,""price"")"),57.0)</f>
        <v>57</v>
      </c>
      <c r="D435" s="16" t="str">
        <f>IFERROR(__xludf.DUMMYFUNCTION("IF(A435="""","""",
SPARKLINE(
INDEX(
GOOGLEFINANCE(""IDX:""&amp;A435,""close"",TODAY()-365,TODAY()),
,2
),
{""linewidth"",1}
))
"),"#N/A")</f>
        <v>#N/A</v>
      </c>
      <c r="E435" s="26"/>
      <c r="F435" s="26"/>
      <c r="G435" s="24">
        <f t="shared" si="2"/>
        <v>0</v>
      </c>
      <c r="H435" s="19">
        <f>VLOOKUP(A435,Metrik!$C$2:$Y$959,8,0)</f>
        <v>33.5</v>
      </c>
      <c r="I435" s="20">
        <f>VLOOKUP(A435,Metrik!$C$2:$Y$959,9,0)</f>
        <v>0.69</v>
      </c>
      <c r="J435" s="20">
        <f>VLOOKUP(A435,Metrik!$C$2:$Y$959,10,0)</f>
        <v>2.1</v>
      </c>
      <c r="K435" s="20">
        <f>VLOOKUP(A435,Metrik!$C$2:$Y$959,11,0)</f>
        <v>1.4</v>
      </c>
      <c r="L435" s="20">
        <f>VLOOKUP(A435,Metrik!$C$2:$Y$959,12,0)</f>
        <v>0.46</v>
      </c>
      <c r="M435" s="20">
        <f>VLOOKUP(A435,Metrik!$C$2:$Y$959,19,0)</f>
        <v>5.7</v>
      </c>
      <c r="N435" s="21"/>
      <c r="O435" s="21"/>
      <c r="P435" s="21"/>
      <c r="Q435" s="21"/>
      <c r="R435" s="21"/>
      <c r="S435" s="21"/>
      <c r="T435" s="21"/>
      <c r="U435" s="22">
        <f>IFERROR(__xludf.DUMMYFUNCTION("IFERROR(GOOGLEFINANCE(A435,""closeyest""),"""")"),55.0)</f>
        <v>55</v>
      </c>
      <c r="V435" s="23">
        <f>IFERROR(__xludf.DUMMYFUNCTION("IFERROR(GOOGLEFINANCE(A435,""changepct""),"""")"),3.64)</f>
        <v>3.64</v>
      </c>
      <c r="W435" s="22">
        <f>IFERROR(__xludf.DUMMYFUNCTION("IFERROR(GOOGLEFINANCE(A435,""priceopen""),"""")"),56.0)</f>
        <v>56</v>
      </c>
      <c r="X435" s="22">
        <f>IFERROR(__xludf.DUMMYFUNCTION("IFERROR(GOOGLEFINANCE(A435,""high""),"""")"),59.0)</f>
        <v>59</v>
      </c>
      <c r="Y435" s="22">
        <f>IFERROR(__xludf.DUMMYFUNCTION("IFERROR(GOOGLEFINANCE(A435,""low""),"""")"),55.0)</f>
        <v>55</v>
      </c>
      <c r="Z435" s="22">
        <f>IFERROR(__xludf.DUMMYFUNCTION("IFERROR(GOOGLEFINANCE(A435,""volume""),"""")"),9334000.0)</f>
        <v>9334000</v>
      </c>
      <c r="AA435" s="24" t="str">
        <f>VLOOKUP(A435,Metrik!$C$2:$Y$959,5,0)</f>
        <v>Processed Foods</v>
      </c>
      <c r="AB435" s="24" t="str">
        <f>VLOOKUP(A435,Metrik!$C$2:$Y$959,3,0)</f>
        <v>Consumer Non-Cyclicals</v>
      </c>
    </row>
    <row r="436">
      <c r="A436" s="14" t="s">
        <v>239</v>
      </c>
      <c r="B436" s="14" t="str">
        <f t="array" ref="B436">VLOOKUP(A436,{Metrik!$C$2:$C$998,Metrik!$B$2:$B$998},2,0)</f>
        <v>Wulandari Bangun Laksana Tbk.</v>
      </c>
      <c r="C436" s="15">
        <f>IFERROR(__xludf.DUMMYFUNCTION("GOOGLEFINANCE(""IDX:""&amp;A436,""price"")"),51.0)</f>
        <v>51</v>
      </c>
      <c r="D436" s="16" t="str">
        <f>IFERROR(__xludf.DUMMYFUNCTION("IF(A436="""","""",
SPARKLINE(
INDEX(
GOOGLEFINANCE(""IDX:""&amp;A436,""close"",TODAY()-365,TODAY()),
,2
),
{""linewidth"",1}
))
"),"#N/A")</f>
        <v>#N/A</v>
      </c>
      <c r="E436" s="26"/>
      <c r="F436" s="26"/>
      <c r="G436" s="18">
        <f t="shared" si="2"/>
        <v>0</v>
      </c>
      <c r="H436" s="19">
        <f>VLOOKUP(A436,Metrik!$C$2:$Y$959,8,0)</f>
        <v>18.2</v>
      </c>
      <c r="I436" s="20">
        <f>VLOOKUP(A436,Metrik!$C$2:$Y$959,9,0)</f>
        <v>0.6</v>
      </c>
      <c r="J436" s="20">
        <f>VLOOKUP(A436,Metrik!$C$2:$Y$959,10,0)</f>
        <v>3.3</v>
      </c>
      <c r="K436" s="20">
        <f>VLOOKUP(A436,Metrik!$C$2:$Y$959,11,0)</f>
        <v>2.5</v>
      </c>
      <c r="L436" s="20">
        <f>VLOOKUP(A436,Metrik!$C$2:$Y$959,12,0)</f>
        <v>0.34</v>
      </c>
      <c r="M436" s="20">
        <f>VLOOKUP(A436,Metrik!$C$2:$Y$959,19,0)</f>
        <v>78</v>
      </c>
      <c r="N436" s="21"/>
      <c r="O436" s="21"/>
      <c r="P436" s="21"/>
      <c r="Q436" s="21"/>
      <c r="R436" s="21"/>
      <c r="S436" s="21"/>
      <c r="T436" s="21"/>
      <c r="U436" s="22">
        <f>IFERROR(__xludf.DUMMYFUNCTION("IFERROR(GOOGLEFINANCE(A436,""closeyest""),"""")"),9.01)</f>
        <v>9.01</v>
      </c>
      <c r="V436" s="23">
        <f>IFERROR(__xludf.DUMMYFUNCTION("IFERROR(GOOGLEFINANCE(A436,""changepct""),"""")"),0.48)</f>
        <v>0.48</v>
      </c>
      <c r="W436" s="22" t="str">
        <f>IFERROR(__xludf.DUMMYFUNCTION("IFERROR(GOOGLEFINANCE(A436,""priceopen""),"""")"),"")</f>
        <v/>
      </c>
      <c r="X436" s="22">
        <f>IFERROR(__xludf.DUMMYFUNCTION("IFERROR(GOOGLEFINANCE(A436,""high""),"""")"),9.14)</f>
        <v>9.14</v>
      </c>
      <c r="Y436" s="22">
        <f>IFERROR(__xludf.DUMMYFUNCTION("IFERROR(GOOGLEFINANCE(A436,""low""),"""")"),8.96)</f>
        <v>8.96</v>
      </c>
      <c r="Z436" s="22">
        <f>IFERROR(__xludf.DUMMYFUNCTION("IFERROR(GOOGLEFINANCE(A436,""volume""),"""")"),15254.0)</f>
        <v>15254</v>
      </c>
      <c r="AA436" s="24" t="str">
        <f>VLOOKUP(A436,Metrik!$C$2:$Y$959,5,0)</f>
        <v>Real Estate Management &amp; Development</v>
      </c>
      <c r="AB436" s="24" t="str">
        <f>VLOOKUP(A436,Metrik!$C$2:$Y$959,3,0)</f>
        <v>Properties &amp; Real Estate</v>
      </c>
    </row>
    <row r="437">
      <c r="A437" s="14" t="s">
        <v>240</v>
      </c>
      <c r="B437" s="14" t="str">
        <f t="array" ref="B437">VLOOKUP(A437,{Metrik!$C$2:$C$998,Metrik!$B$2:$B$998},2,0)</f>
        <v>Bumi Serpong Damai Tbk.</v>
      </c>
      <c r="C437" s="15">
        <f>IFERROR(__xludf.DUMMYFUNCTION("GOOGLEFINANCE(""IDX:""&amp;A437,""price"")"),610.0)</f>
        <v>610</v>
      </c>
      <c r="D437" s="16" t="str">
        <f>IFERROR(__xludf.DUMMYFUNCTION("IF(A437="""","""",
SPARKLINE(
INDEX(
GOOGLEFINANCE(""IDX:""&amp;A437,""close"",TODAY()-365,TODAY()),
,2
),
{""linewidth"",1}
))
"),"#N/A")</f>
        <v>#N/A</v>
      </c>
      <c r="E437" s="14" t="s">
        <v>55</v>
      </c>
      <c r="F437" s="25">
        <v>46356.0</v>
      </c>
      <c r="G437" s="24">
        <f t="shared" si="2"/>
        <v>9</v>
      </c>
      <c r="H437" s="19">
        <f>VLOOKUP(A437,Metrik!$C$2:$Y$959,8,0)</f>
        <v>5.2</v>
      </c>
      <c r="I437" s="20">
        <f>VLOOKUP(A437,Metrik!$C$2:$Y$959,9,0)</f>
        <v>0.25</v>
      </c>
      <c r="J437" s="20">
        <f>VLOOKUP(A437,Metrik!$C$2:$Y$959,10,0)</f>
        <v>4.8</v>
      </c>
      <c r="K437" s="20">
        <f>VLOOKUP(A437,Metrik!$C$2:$Y$959,11,0)</f>
        <v>3.2</v>
      </c>
      <c r="L437" s="20">
        <f>VLOOKUP(A437,Metrik!$C$2:$Y$959,12,0)</f>
        <v>0.51</v>
      </c>
      <c r="M437" s="20">
        <f>VLOOKUP(A437,Metrik!$C$2:$Y$959,19,0)</f>
        <v>19.9</v>
      </c>
      <c r="N437" s="21"/>
      <c r="O437" s="21"/>
      <c r="P437" s="21"/>
      <c r="Q437" s="21"/>
      <c r="R437" s="21"/>
      <c r="S437" s="21"/>
      <c r="T437" s="21"/>
      <c r="U437" s="22">
        <f>IFERROR(__xludf.DUMMYFUNCTION("IFERROR(GOOGLEFINANCE(A437,""closeyest""),"""")"),580.0)</f>
        <v>580</v>
      </c>
      <c r="V437" s="23">
        <f>IFERROR(__xludf.DUMMYFUNCTION("IFERROR(GOOGLEFINANCE(A437,""changepct""),"""")"),5.17)</f>
        <v>5.17</v>
      </c>
      <c r="W437" s="22">
        <f>IFERROR(__xludf.DUMMYFUNCTION("IFERROR(GOOGLEFINANCE(A437,""priceopen""),"""")"),590.0)</f>
        <v>590</v>
      </c>
      <c r="X437" s="22">
        <f>IFERROR(__xludf.DUMMYFUNCTION("IFERROR(GOOGLEFINANCE(A437,""high""),"""")"),615.0)</f>
        <v>615</v>
      </c>
      <c r="Y437" s="22">
        <f>IFERROR(__xludf.DUMMYFUNCTION("IFERROR(GOOGLEFINANCE(A437,""low""),"""")"),590.0)</f>
        <v>590</v>
      </c>
      <c r="Z437" s="22">
        <f>IFERROR(__xludf.DUMMYFUNCTION("IFERROR(GOOGLEFINANCE(A437,""volume""),"""")"),1.48736E7)</f>
        <v>14873600</v>
      </c>
      <c r="AA437" s="24" t="str">
        <f>VLOOKUP(A437,Metrik!$C$2:$Y$959,5,0)</f>
        <v>Real Estate Management &amp; Development</v>
      </c>
      <c r="AB437" s="24" t="str">
        <f>VLOOKUP(A437,Metrik!$C$2:$Y$959,3,0)</f>
        <v>Properties &amp; Real Estate</v>
      </c>
    </row>
    <row r="438">
      <c r="A438" s="14" t="s">
        <v>240</v>
      </c>
      <c r="B438" s="14" t="str">
        <f t="array" ref="B438">VLOOKUP(A438,{Metrik!$C$2:$C$998,Metrik!$B$2:$B$998},2,0)</f>
        <v>Bumi Serpong Damai Tbk.</v>
      </c>
      <c r="C438" s="15">
        <f>IFERROR(__xludf.DUMMYFUNCTION("GOOGLEFINANCE(""IDX:""&amp;A438,""price"")"),610.0)</f>
        <v>610</v>
      </c>
      <c r="D438" s="16" t="str">
        <f>IFERROR(__xludf.DUMMYFUNCTION("IF(A438="""","""",
SPARKLINE(
INDEX(
GOOGLEFINANCE(""IDX:""&amp;A438,""close"",TODAY()-365,TODAY()),
,2
),
{""linewidth"",1}
))
"),"#N/A")</f>
        <v>#N/A</v>
      </c>
      <c r="E438" s="14" t="s">
        <v>33</v>
      </c>
      <c r="F438" s="14" t="s">
        <v>34</v>
      </c>
      <c r="G438" s="24">
        <f t="shared" si="2"/>
        <v>9</v>
      </c>
      <c r="H438" s="19">
        <f>VLOOKUP(A438,Metrik!$C$2:$Y$959,8,0)</f>
        <v>5.2</v>
      </c>
      <c r="I438" s="20">
        <f>VLOOKUP(A438,Metrik!$C$2:$Y$959,9,0)</f>
        <v>0.25</v>
      </c>
      <c r="J438" s="20">
        <f>VLOOKUP(A438,Metrik!$C$2:$Y$959,10,0)</f>
        <v>4.8</v>
      </c>
      <c r="K438" s="20">
        <f>VLOOKUP(A438,Metrik!$C$2:$Y$959,11,0)</f>
        <v>3.2</v>
      </c>
      <c r="L438" s="20">
        <f>VLOOKUP(A438,Metrik!$C$2:$Y$959,12,0)</f>
        <v>0.51</v>
      </c>
      <c r="M438" s="20">
        <f>VLOOKUP(A438,Metrik!$C$2:$Y$959,19,0)</f>
        <v>19.9</v>
      </c>
      <c r="N438" s="21"/>
      <c r="O438" s="21"/>
      <c r="P438" s="21"/>
      <c r="Q438" s="21"/>
      <c r="R438" s="21"/>
      <c r="S438" s="21"/>
      <c r="T438" s="21"/>
      <c r="U438" s="22">
        <f>IFERROR(__xludf.DUMMYFUNCTION("IFERROR(GOOGLEFINANCE(A438,""closeyest""),"""")"),580.0)</f>
        <v>580</v>
      </c>
      <c r="V438" s="23">
        <f>IFERROR(__xludf.DUMMYFUNCTION("IFERROR(GOOGLEFINANCE(A438,""changepct""),"""")"),5.17)</f>
        <v>5.17</v>
      </c>
      <c r="W438" s="22">
        <f>IFERROR(__xludf.DUMMYFUNCTION("IFERROR(GOOGLEFINANCE(A438,""priceopen""),"""")"),590.0)</f>
        <v>590</v>
      </c>
      <c r="X438" s="22">
        <f>IFERROR(__xludf.DUMMYFUNCTION("IFERROR(GOOGLEFINANCE(A438,""high""),"""")"),615.0)</f>
        <v>615</v>
      </c>
      <c r="Y438" s="22">
        <f>IFERROR(__xludf.DUMMYFUNCTION("IFERROR(GOOGLEFINANCE(A438,""low""),"""")"),590.0)</f>
        <v>590</v>
      </c>
      <c r="Z438" s="22">
        <f>IFERROR(__xludf.DUMMYFUNCTION("IFERROR(GOOGLEFINANCE(A438,""volume""),"""")"),1.48736E7)</f>
        <v>14873600</v>
      </c>
      <c r="AA438" s="24" t="str">
        <f>VLOOKUP(A438,Metrik!$C$2:$Y$959,5,0)</f>
        <v>Real Estate Management &amp; Development</v>
      </c>
      <c r="AB438" s="24" t="str">
        <f>VLOOKUP(A438,Metrik!$C$2:$Y$959,3,0)</f>
        <v>Properties &amp; Real Estate</v>
      </c>
    </row>
    <row r="439">
      <c r="A439" s="14" t="s">
        <v>240</v>
      </c>
      <c r="B439" s="14" t="str">
        <f t="array" ref="B439">VLOOKUP(A439,{Metrik!$C$2:$C$998,Metrik!$B$2:$B$998},2,0)</f>
        <v>Bumi Serpong Damai Tbk.</v>
      </c>
      <c r="C439" s="15">
        <f>IFERROR(__xludf.DUMMYFUNCTION("GOOGLEFINANCE(""IDX:""&amp;A439,""price"")"),610.0)</f>
        <v>610</v>
      </c>
      <c r="D439" s="16" t="str">
        <f>IFERROR(__xludf.DUMMYFUNCTION("IF(A439="""","""",
SPARKLINE(
INDEX(
GOOGLEFINANCE(""IDX:""&amp;A439,""close"",TODAY()-365,TODAY()),
,2
),
{""linewidth"",1}
))
"),"#N/A")</f>
        <v>#N/A</v>
      </c>
      <c r="E439" s="14" t="s">
        <v>28</v>
      </c>
      <c r="F439" s="17" t="s">
        <v>29</v>
      </c>
      <c r="G439" s="24">
        <f t="shared" si="2"/>
        <v>9</v>
      </c>
      <c r="H439" s="19">
        <f>VLOOKUP(A439,Metrik!$C$2:$Y$959,8,0)</f>
        <v>5.2</v>
      </c>
      <c r="I439" s="20">
        <f>VLOOKUP(A439,Metrik!$C$2:$Y$959,9,0)</f>
        <v>0.25</v>
      </c>
      <c r="J439" s="20">
        <f>VLOOKUP(A439,Metrik!$C$2:$Y$959,10,0)</f>
        <v>4.8</v>
      </c>
      <c r="K439" s="20">
        <f>VLOOKUP(A439,Metrik!$C$2:$Y$959,11,0)</f>
        <v>3.2</v>
      </c>
      <c r="L439" s="20">
        <f>VLOOKUP(A439,Metrik!$C$2:$Y$959,12,0)</f>
        <v>0.51</v>
      </c>
      <c r="M439" s="20">
        <f>VLOOKUP(A439,Metrik!$C$2:$Y$959,19,0)</f>
        <v>19.9</v>
      </c>
      <c r="N439" s="21"/>
      <c r="O439" s="21"/>
      <c r="P439" s="21"/>
      <c r="Q439" s="21"/>
      <c r="R439" s="21"/>
      <c r="S439" s="21"/>
      <c r="T439" s="21"/>
      <c r="U439" s="22">
        <f>IFERROR(__xludf.DUMMYFUNCTION("IFERROR(GOOGLEFINANCE(A439,""closeyest""),"""")"),580.0)</f>
        <v>580</v>
      </c>
      <c r="V439" s="23">
        <f>IFERROR(__xludf.DUMMYFUNCTION("IFERROR(GOOGLEFINANCE(A439,""changepct""),"""")"),5.17)</f>
        <v>5.17</v>
      </c>
      <c r="W439" s="22">
        <f>IFERROR(__xludf.DUMMYFUNCTION("IFERROR(GOOGLEFINANCE(A439,""priceopen""),"""")"),590.0)</f>
        <v>590</v>
      </c>
      <c r="X439" s="22">
        <f>IFERROR(__xludf.DUMMYFUNCTION("IFERROR(GOOGLEFINANCE(A439,""high""),"""")"),615.0)</f>
        <v>615</v>
      </c>
      <c r="Y439" s="22">
        <f>IFERROR(__xludf.DUMMYFUNCTION("IFERROR(GOOGLEFINANCE(A439,""low""),"""")"),590.0)</f>
        <v>590</v>
      </c>
      <c r="Z439" s="22">
        <f>IFERROR(__xludf.DUMMYFUNCTION("IFERROR(GOOGLEFINANCE(A439,""volume""),"""")"),1.48736E7)</f>
        <v>14873600</v>
      </c>
      <c r="AA439" s="24" t="str">
        <f>VLOOKUP(A439,Metrik!$C$2:$Y$959,5,0)</f>
        <v>Real Estate Management &amp; Development</v>
      </c>
      <c r="AB439" s="24" t="str">
        <f>VLOOKUP(A439,Metrik!$C$2:$Y$959,3,0)</f>
        <v>Properties &amp; Real Estate</v>
      </c>
    </row>
    <row r="440">
      <c r="A440" s="14" t="s">
        <v>240</v>
      </c>
      <c r="B440" s="14" t="str">
        <f t="array" ref="B440">VLOOKUP(A440,{Metrik!$C$2:$C$998,Metrik!$B$2:$B$998},2,0)</f>
        <v>Bumi Serpong Damai Tbk.</v>
      </c>
      <c r="C440" s="15">
        <f>IFERROR(__xludf.DUMMYFUNCTION("GOOGLEFINANCE(""IDX:""&amp;A440,""price"")"),610.0)</f>
        <v>610</v>
      </c>
      <c r="D440" s="16" t="str">
        <f>IFERROR(__xludf.DUMMYFUNCTION("IF(A440="""","""",
SPARKLINE(
INDEX(
GOOGLEFINANCE(""IDX:""&amp;A440,""close"",TODAY()-365,TODAY()),
,2
),
{""linewidth"",1}
))
"),"#N/A")</f>
        <v>#N/A</v>
      </c>
      <c r="E440" s="14" t="s">
        <v>32</v>
      </c>
      <c r="F440" s="14" t="s">
        <v>29</v>
      </c>
      <c r="G440" s="24">
        <f t="shared" si="2"/>
        <v>9</v>
      </c>
      <c r="H440" s="19">
        <f>VLOOKUP(A440,Metrik!$C$2:$Y$959,8,0)</f>
        <v>5.2</v>
      </c>
      <c r="I440" s="20">
        <f>VLOOKUP(A440,Metrik!$C$2:$Y$959,9,0)</f>
        <v>0.25</v>
      </c>
      <c r="J440" s="20">
        <f>VLOOKUP(A440,Metrik!$C$2:$Y$959,10,0)</f>
        <v>4.8</v>
      </c>
      <c r="K440" s="20">
        <f>VLOOKUP(A440,Metrik!$C$2:$Y$959,11,0)</f>
        <v>3.2</v>
      </c>
      <c r="L440" s="20">
        <f>VLOOKUP(A440,Metrik!$C$2:$Y$959,12,0)</f>
        <v>0.51</v>
      </c>
      <c r="M440" s="20">
        <f>VLOOKUP(A440,Metrik!$C$2:$Y$959,19,0)</f>
        <v>19.9</v>
      </c>
      <c r="N440" s="21"/>
      <c r="O440" s="21"/>
      <c r="P440" s="21"/>
      <c r="Q440" s="21"/>
      <c r="R440" s="21"/>
      <c r="S440" s="21"/>
      <c r="T440" s="21"/>
      <c r="U440" s="22">
        <f>IFERROR(__xludf.DUMMYFUNCTION("IFERROR(GOOGLEFINANCE(A440,""closeyest""),"""")"),580.0)</f>
        <v>580</v>
      </c>
      <c r="V440" s="23">
        <f>IFERROR(__xludf.DUMMYFUNCTION("IFERROR(GOOGLEFINANCE(A440,""changepct""),"""")"),5.17)</f>
        <v>5.17</v>
      </c>
      <c r="W440" s="22">
        <f>IFERROR(__xludf.DUMMYFUNCTION("IFERROR(GOOGLEFINANCE(A440,""priceopen""),"""")"),590.0)</f>
        <v>590</v>
      </c>
      <c r="X440" s="22">
        <f>IFERROR(__xludf.DUMMYFUNCTION("IFERROR(GOOGLEFINANCE(A440,""high""),"""")"),615.0)</f>
        <v>615</v>
      </c>
      <c r="Y440" s="22">
        <f>IFERROR(__xludf.DUMMYFUNCTION("IFERROR(GOOGLEFINANCE(A440,""low""),"""")"),590.0)</f>
        <v>590</v>
      </c>
      <c r="Z440" s="22">
        <f>IFERROR(__xludf.DUMMYFUNCTION("IFERROR(GOOGLEFINANCE(A440,""volume""),"""")"),1.48736E7)</f>
        <v>14873600</v>
      </c>
      <c r="AA440" s="24" t="str">
        <f>VLOOKUP(A440,Metrik!$C$2:$Y$959,5,0)</f>
        <v>Real Estate Management &amp; Development</v>
      </c>
      <c r="AB440" s="24" t="str">
        <f>VLOOKUP(A440,Metrik!$C$2:$Y$959,3,0)</f>
        <v>Properties &amp; Real Estate</v>
      </c>
    </row>
    <row r="441">
      <c r="A441" s="14" t="s">
        <v>240</v>
      </c>
      <c r="B441" s="14" t="str">
        <f t="array" ref="B441">VLOOKUP(A441,{Metrik!$C$2:$C$998,Metrik!$B$2:$B$998},2,0)</f>
        <v>Bumi Serpong Damai Tbk.</v>
      </c>
      <c r="C441" s="15">
        <f>IFERROR(__xludf.DUMMYFUNCTION("GOOGLEFINANCE(""IDX:""&amp;A441,""price"")"),610.0)</f>
        <v>610</v>
      </c>
      <c r="D441" s="16" t="str">
        <f>IFERROR(__xludf.DUMMYFUNCTION("IF(A441="""","""",
SPARKLINE(
INDEX(
GOOGLEFINANCE(""IDX:""&amp;A441,""close"",TODAY()-365,TODAY()),
,2
),
{""linewidth"",1}
))
"),"#N/A")</f>
        <v>#N/A</v>
      </c>
      <c r="E441" s="14" t="s">
        <v>50</v>
      </c>
      <c r="F441" s="17" t="s">
        <v>51</v>
      </c>
      <c r="G441" s="24">
        <f t="shared" si="2"/>
        <v>9</v>
      </c>
      <c r="H441" s="19">
        <f>VLOOKUP(A441,Metrik!$C$2:$Y$959,8,0)</f>
        <v>5.2</v>
      </c>
      <c r="I441" s="20">
        <f>VLOOKUP(A441,Metrik!$C$2:$Y$959,9,0)</f>
        <v>0.25</v>
      </c>
      <c r="J441" s="20">
        <f>VLOOKUP(A441,Metrik!$C$2:$Y$959,10,0)</f>
        <v>4.8</v>
      </c>
      <c r="K441" s="20">
        <f>VLOOKUP(A441,Metrik!$C$2:$Y$959,11,0)</f>
        <v>3.2</v>
      </c>
      <c r="L441" s="20">
        <f>VLOOKUP(A441,Metrik!$C$2:$Y$959,12,0)</f>
        <v>0.51</v>
      </c>
      <c r="M441" s="20">
        <f>VLOOKUP(A441,Metrik!$C$2:$Y$959,19,0)</f>
        <v>19.9</v>
      </c>
      <c r="N441" s="21"/>
      <c r="O441" s="21"/>
      <c r="P441" s="21"/>
      <c r="Q441" s="21"/>
      <c r="R441" s="21"/>
      <c r="S441" s="21"/>
      <c r="T441" s="21"/>
      <c r="U441" s="22">
        <f>IFERROR(__xludf.DUMMYFUNCTION("IFERROR(GOOGLEFINANCE(A441,""closeyest""),"""")"),580.0)</f>
        <v>580</v>
      </c>
      <c r="V441" s="23">
        <f>IFERROR(__xludf.DUMMYFUNCTION("IFERROR(GOOGLEFINANCE(A441,""changepct""),"""")"),5.17)</f>
        <v>5.17</v>
      </c>
      <c r="W441" s="22">
        <f>IFERROR(__xludf.DUMMYFUNCTION("IFERROR(GOOGLEFINANCE(A441,""priceopen""),"""")"),590.0)</f>
        <v>590</v>
      </c>
      <c r="X441" s="22">
        <f>IFERROR(__xludf.DUMMYFUNCTION("IFERROR(GOOGLEFINANCE(A441,""high""),"""")"),615.0)</f>
        <v>615</v>
      </c>
      <c r="Y441" s="22">
        <f>IFERROR(__xludf.DUMMYFUNCTION("IFERROR(GOOGLEFINANCE(A441,""low""),"""")"),590.0)</f>
        <v>590</v>
      </c>
      <c r="Z441" s="22">
        <f>IFERROR(__xludf.DUMMYFUNCTION("IFERROR(GOOGLEFINANCE(A441,""volume""),"""")"),1.48736E7)</f>
        <v>14873600</v>
      </c>
      <c r="AA441" s="24" t="str">
        <f>VLOOKUP(A441,Metrik!$C$2:$Y$959,5,0)</f>
        <v>Real Estate Management &amp; Development</v>
      </c>
      <c r="AB441" s="24" t="str">
        <f>VLOOKUP(A441,Metrik!$C$2:$Y$959,3,0)</f>
        <v>Properties &amp; Real Estate</v>
      </c>
    </row>
    <row r="442">
      <c r="A442" s="14" t="s">
        <v>240</v>
      </c>
      <c r="B442" s="14" t="str">
        <f t="array" ref="B442">VLOOKUP(A442,{Metrik!$C$2:$C$998,Metrik!$B$2:$B$998},2,0)</f>
        <v>Bumi Serpong Damai Tbk.</v>
      </c>
      <c r="C442" s="15">
        <f>IFERROR(__xludf.DUMMYFUNCTION("GOOGLEFINANCE(""IDX:""&amp;A442,""price"")"),610.0)</f>
        <v>610</v>
      </c>
      <c r="D442" s="16" t="str">
        <f>IFERROR(__xludf.DUMMYFUNCTION("IF(A442="""","""",
SPARKLINE(
INDEX(
GOOGLEFINANCE(""IDX:""&amp;A442,""close"",TODAY()-365,TODAY()),
,2
),
{""linewidth"",1}
))
"),"#N/A")</f>
        <v>#N/A</v>
      </c>
      <c r="E442" s="14" t="s">
        <v>161</v>
      </c>
      <c r="F442" s="14" t="s">
        <v>76</v>
      </c>
      <c r="G442" s="24">
        <f t="shared" si="2"/>
        <v>9</v>
      </c>
      <c r="H442" s="19">
        <f>VLOOKUP(A442,Metrik!$C$2:$Y$959,8,0)</f>
        <v>5.2</v>
      </c>
      <c r="I442" s="20">
        <f>VLOOKUP(A442,Metrik!$C$2:$Y$959,9,0)</f>
        <v>0.25</v>
      </c>
      <c r="J442" s="20">
        <f>VLOOKUP(A442,Metrik!$C$2:$Y$959,10,0)</f>
        <v>4.8</v>
      </c>
      <c r="K442" s="20">
        <f>VLOOKUP(A442,Metrik!$C$2:$Y$959,11,0)</f>
        <v>3.2</v>
      </c>
      <c r="L442" s="20">
        <f>VLOOKUP(A442,Metrik!$C$2:$Y$959,12,0)</f>
        <v>0.51</v>
      </c>
      <c r="M442" s="20">
        <f>VLOOKUP(A442,Metrik!$C$2:$Y$959,19,0)</f>
        <v>19.9</v>
      </c>
      <c r="N442" s="21"/>
      <c r="O442" s="21"/>
      <c r="P442" s="21"/>
      <c r="Q442" s="21"/>
      <c r="R442" s="21"/>
      <c r="S442" s="21"/>
      <c r="T442" s="21"/>
      <c r="U442" s="22">
        <f>IFERROR(__xludf.DUMMYFUNCTION("IFERROR(GOOGLEFINANCE(A442,""closeyest""),"""")"),580.0)</f>
        <v>580</v>
      </c>
      <c r="V442" s="23">
        <f>IFERROR(__xludf.DUMMYFUNCTION("IFERROR(GOOGLEFINANCE(A442,""changepct""),"""")"),5.17)</f>
        <v>5.17</v>
      </c>
      <c r="W442" s="22">
        <f>IFERROR(__xludf.DUMMYFUNCTION("IFERROR(GOOGLEFINANCE(A442,""priceopen""),"""")"),590.0)</f>
        <v>590</v>
      </c>
      <c r="X442" s="22">
        <f>IFERROR(__xludf.DUMMYFUNCTION("IFERROR(GOOGLEFINANCE(A442,""high""),"""")"),615.0)</f>
        <v>615</v>
      </c>
      <c r="Y442" s="22">
        <f>IFERROR(__xludf.DUMMYFUNCTION("IFERROR(GOOGLEFINANCE(A442,""low""),"""")"),590.0)</f>
        <v>590</v>
      </c>
      <c r="Z442" s="22">
        <f>IFERROR(__xludf.DUMMYFUNCTION("IFERROR(GOOGLEFINANCE(A442,""volume""),"""")"),1.48736E7)</f>
        <v>14873600</v>
      </c>
      <c r="AA442" s="24" t="str">
        <f>VLOOKUP(A442,Metrik!$C$2:$Y$959,5,0)</f>
        <v>Real Estate Management &amp; Development</v>
      </c>
      <c r="AB442" s="24" t="str">
        <f>VLOOKUP(A442,Metrik!$C$2:$Y$959,3,0)</f>
        <v>Properties &amp; Real Estate</v>
      </c>
    </row>
    <row r="443">
      <c r="A443" s="14" t="s">
        <v>240</v>
      </c>
      <c r="B443" s="14" t="str">
        <f t="array" ref="B443">VLOOKUP(A443,{Metrik!$C$2:$C$998,Metrik!$B$2:$B$998},2,0)</f>
        <v>Bumi Serpong Damai Tbk.</v>
      </c>
      <c r="C443" s="15">
        <f>IFERROR(__xludf.DUMMYFUNCTION("GOOGLEFINANCE(""IDX:""&amp;A443,""price"")"),610.0)</f>
        <v>610</v>
      </c>
      <c r="D443" s="16" t="str">
        <f>IFERROR(__xludf.DUMMYFUNCTION("IF(A443="""","""",
SPARKLINE(
INDEX(
GOOGLEFINANCE(""IDX:""&amp;A443,""close"",TODAY()-365,TODAY()),
,2
),
{""linewidth"",1}
))
"),"#N/A")</f>
        <v>#N/A</v>
      </c>
      <c r="E443" s="14" t="s">
        <v>41</v>
      </c>
      <c r="F443" s="14" t="s">
        <v>34</v>
      </c>
      <c r="G443" s="24">
        <f t="shared" si="2"/>
        <v>9</v>
      </c>
      <c r="H443" s="19">
        <f>VLOOKUP(A443,Metrik!$C$2:$Y$959,8,0)</f>
        <v>5.2</v>
      </c>
      <c r="I443" s="20">
        <f>VLOOKUP(A443,Metrik!$C$2:$Y$959,9,0)</f>
        <v>0.25</v>
      </c>
      <c r="J443" s="20">
        <f>VLOOKUP(A443,Metrik!$C$2:$Y$959,10,0)</f>
        <v>4.8</v>
      </c>
      <c r="K443" s="20">
        <f>VLOOKUP(A443,Metrik!$C$2:$Y$959,11,0)</f>
        <v>3.2</v>
      </c>
      <c r="L443" s="20">
        <f>VLOOKUP(A443,Metrik!$C$2:$Y$959,12,0)</f>
        <v>0.51</v>
      </c>
      <c r="M443" s="20">
        <f>VLOOKUP(A443,Metrik!$C$2:$Y$959,19,0)</f>
        <v>19.9</v>
      </c>
      <c r="N443" s="21"/>
      <c r="O443" s="21"/>
      <c r="P443" s="21"/>
      <c r="Q443" s="21"/>
      <c r="R443" s="21"/>
      <c r="S443" s="21"/>
      <c r="T443" s="21"/>
      <c r="U443" s="22">
        <f>IFERROR(__xludf.DUMMYFUNCTION("IFERROR(GOOGLEFINANCE(A443,""closeyest""),"""")"),580.0)</f>
        <v>580</v>
      </c>
      <c r="V443" s="23">
        <f>IFERROR(__xludf.DUMMYFUNCTION("IFERROR(GOOGLEFINANCE(A443,""changepct""),"""")"),5.17)</f>
        <v>5.17</v>
      </c>
      <c r="W443" s="22">
        <f>IFERROR(__xludf.DUMMYFUNCTION("IFERROR(GOOGLEFINANCE(A443,""priceopen""),"""")"),590.0)</f>
        <v>590</v>
      </c>
      <c r="X443" s="22">
        <f>IFERROR(__xludf.DUMMYFUNCTION("IFERROR(GOOGLEFINANCE(A443,""high""),"""")"),615.0)</f>
        <v>615</v>
      </c>
      <c r="Y443" s="22">
        <f>IFERROR(__xludf.DUMMYFUNCTION("IFERROR(GOOGLEFINANCE(A443,""low""),"""")"),590.0)</f>
        <v>590</v>
      </c>
      <c r="Z443" s="22">
        <f>IFERROR(__xludf.DUMMYFUNCTION("IFERROR(GOOGLEFINANCE(A443,""volume""),"""")"),1.48736E7)</f>
        <v>14873600</v>
      </c>
      <c r="AA443" s="24" t="str">
        <f>VLOOKUP(A443,Metrik!$C$2:$Y$959,5,0)</f>
        <v>Real Estate Management &amp; Development</v>
      </c>
      <c r="AB443" s="24" t="str">
        <f>VLOOKUP(A443,Metrik!$C$2:$Y$959,3,0)</f>
        <v>Properties &amp; Real Estate</v>
      </c>
    </row>
    <row r="444">
      <c r="A444" s="17" t="s">
        <v>240</v>
      </c>
      <c r="B444" s="14" t="str">
        <f t="array" ref="B444">VLOOKUP(A444,{Metrik!$C$2:$C$998,Metrik!$B$2:$B$998},2,0)</f>
        <v>Bumi Serpong Damai Tbk.</v>
      </c>
      <c r="C444" s="15">
        <f>IFERROR(__xludf.DUMMYFUNCTION("GOOGLEFINANCE(""IDX:""&amp;A444,""price"")"),610.0)</f>
        <v>610</v>
      </c>
      <c r="D444" s="16" t="str">
        <f>IFERROR(__xludf.DUMMYFUNCTION("IF(A444="""","""",
SPARKLINE(
INDEX(
GOOGLEFINANCE(""IDX:""&amp;A444,""close"",TODAY()-365,TODAY()),
,2
),
{""linewidth"",1}
))
"),"#N/A")</f>
        <v>#N/A</v>
      </c>
      <c r="E444" s="17" t="s">
        <v>69</v>
      </c>
      <c r="F444" s="17" t="s">
        <v>70</v>
      </c>
      <c r="G444" s="24">
        <f t="shared" si="2"/>
        <v>9</v>
      </c>
      <c r="H444" s="19">
        <f>VLOOKUP(A444,Metrik!$C$2:$Y$959,8,0)</f>
        <v>5.2</v>
      </c>
      <c r="I444" s="20">
        <f>VLOOKUP(A444,Metrik!$C$2:$Y$959,9,0)</f>
        <v>0.25</v>
      </c>
      <c r="J444" s="20">
        <f>VLOOKUP(A444,Metrik!$C$2:$Y$959,10,0)</f>
        <v>4.8</v>
      </c>
      <c r="K444" s="20">
        <f>VLOOKUP(A444,Metrik!$C$2:$Y$959,11,0)</f>
        <v>3.2</v>
      </c>
      <c r="L444" s="20">
        <f>VLOOKUP(A444,Metrik!$C$2:$Y$959,12,0)</f>
        <v>0.51</v>
      </c>
      <c r="M444" s="20">
        <f>VLOOKUP(A444,Metrik!$C$2:$Y$959,19,0)</f>
        <v>19.9</v>
      </c>
      <c r="N444" s="21"/>
      <c r="O444" s="21"/>
      <c r="P444" s="21"/>
      <c r="Q444" s="21"/>
      <c r="R444" s="21"/>
      <c r="S444" s="21"/>
      <c r="T444" s="21"/>
      <c r="U444" s="22">
        <f>IFERROR(__xludf.DUMMYFUNCTION("IFERROR(GOOGLEFINANCE(A444,""closeyest""),"""")"),580.0)</f>
        <v>580</v>
      </c>
      <c r="V444" s="23">
        <f>IFERROR(__xludf.DUMMYFUNCTION("IFERROR(GOOGLEFINANCE(A444,""changepct""),"""")"),5.17)</f>
        <v>5.17</v>
      </c>
      <c r="W444" s="22">
        <f>IFERROR(__xludf.DUMMYFUNCTION("IFERROR(GOOGLEFINANCE(A444,""priceopen""),"""")"),590.0)</f>
        <v>590</v>
      </c>
      <c r="X444" s="22">
        <f>IFERROR(__xludf.DUMMYFUNCTION("IFERROR(GOOGLEFINANCE(A444,""high""),"""")"),615.0)</f>
        <v>615</v>
      </c>
      <c r="Y444" s="22">
        <f>IFERROR(__xludf.DUMMYFUNCTION("IFERROR(GOOGLEFINANCE(A444,""low""),"""")"),590.0)</f>
        <v>590</v>
      </c>
      <c r="Z444" s="22">
        <f>IFERROR(__xludf.DUMMYFUNCTION("IFERROR(GOOGLEFINANCE(A444,""volume""),"""")"),1.48736E7)</f>
        <v>14873600</v>
      </c>
      <c r="AA444" s="24" t="str">
        <f>VLOOKUP(A444,Metrik!$C$2:$Y$959,5,0)</f>
        <v>Real Estate Management &amp; Development</v>
      </c>
      <c r="AB444" s="24" t="str">
        <f>VLOOKUP(A444,Metrik!$C$2:$Y$959,3,0)</f>
        <v>Properties &amp; Real Estate</v>
      </c>
    </row>
    <row r="445">
      <c r="A445" s="14" t="s">
        <v>240</v>
      </c>
      <c r="B445" s="14" t="str">
        <f t="array" ref="B445">VLOOKUP(A445,{Metrik!$C$2:$C$998,Metrik!$B$2:$B$998},2,0)</f>
        <v>Bumi Serpong Damai Tbk.</v>
      </c>
      <c r="C445" s="15">
        <f>IFERROR(__xludf.DUMMYFUNCTION("GOOGLEFINANCE(""IDX:""&amp;A445,""price"")"),610.0)</f>
        <v>610</v>
      </c>
      <c r="D445" s="16" t="str">
        <f>IFERROR(__xludf.DUMMYFUNCTION("IF(A445="""","""",
SPARKLINE(
INDEX(
GOOGLEFINANCE(""IDX:""&amp;A445,""close"",TODAY()-365,TODAY()),
,2
),
{""linewidth"",1}
))
"),"#N/A")</f>
        <v>#N/A</v>
      </c>
      <c r="E445" s="14" t="s">
        <v>39</v>
      </c>
      <c r="F445" s="25">
        <v>46356.0</v>
      </c>
      <c r="G445" s="24">
        <f t="shared" si="2"/>
        <v>9</v>
      </c>
      <c r="H445" s="19">
        <f>VLOOKUP(A445,Metrik!$C$2:$Y$959,8,0)</f>
        <v>5.2</v>
      </c>
      <c r="I445" s="20">
        <f>VLOOKUP(A445,Metrik!$C$2:$Y$959,9,0)</f>
        <v>0.25</v>
      </c>
      <c r="J445" s="20">
        <f>VLOOKUP(A445,Metrik!$C$2:$Y$959,10,0)</f>
        <v>4.8</v>
      </c>
      <c r="K445" s="20">
        <f>VLOOKUP(A445,Metrik!$C$2:$Y$959,11,0)</f>
        <v>3.2</v>
      </c>
      <c r="L445" s="20">
        <f>VLOOKUP(A445,Metrik!$C$2:$Y$959,12,0)</f>
        <v>0.51</v>
      </c>
      <c r="M445" s="20">
        <f>VLOOKUP(A445,Metrik!$C$2:$Y$959,19,0)</f>
        <v>19.9</v>
      </c>
      <c r="N445" s="21"/>
      <c r="O445" s="21"/>
      <c r="P445" s="21"/>
      <c r="Q445" s="21"/>
      <c r="R445" s="21"/>
      <c r="S445" s="21"/>
      <c r="T445" s="21"/>
      <c r="U445" s="22">
        <f>IFERROR(__xludf.DUMMYFUNCTION("IFERROR(GOOGLEFINANCE(A445,""closeyest""),"""")"),580.0)</f>
        <v>580</v>
      </c>
      <c r="V445" s="23">
        <f>IFERROR(__xludf.DUMMYFUNCTION("IFERROR(GOOGLEFINANCE(A445,""changepct""),"""")"),5.17)</f>
        <v>5.17</v>
      </c>
      <c r="W445" s="22">
        <f>IFERROR(__xludf.DUMMYFUNCTION("IFERROR(GOOGLEFINANCE(A445,""priceopen""),"""")"),590.0)</f>
        <v>590</v>
      </c>
      <c r="X445" s="22">
        <f>IFERROR(__xludf.DUMMYFUNCTION("IFERROR(GOOGLEFINANCE(A445,""high""),"""")"),615.0)</f>
        <v>615</v>
      </c>
      <c r="Y445" s="22">
        <f>IFERROR(__xludf.DUMMYFUNCTION("IFERROR(GOOGLEFINANCE(A445,""low""),"""")"),590.0)</f>
        <v>590</v>
      </c>
      <c r="Z445" s="22">
        <f>IFERROR(__xludf.DUMMYFUNCTION("IFERROR(GOOGLEFINANCE(A445,""volume""),"""")"),1.48736E7)</f>
        <v>14873600</v>
      </c>
      <c r="AA445" s="24" t="str">
        <f>VLOOKUP(A445,Metrik!$C$2:$Y$959,5,0)</f>
        <v>Real Estate Management &amp; Development</v>
      </c>
      <c r="AB445" s="24" t="str">
        <f>VLOOKUP(A445,Metrik!$C$2:$Y$959,3,0)</f>
        <v>Properties &amp; Real Estate</v>
      </c>
    </row>
    <row r="446">
      <c r="A446" s="14" t="s">
        <v>241</v>
      </c>
      <c r="B446" s="14" t="str">
        <f t="array" ref="B446">VLOOKUP(A446,{Metrik!$C$2:$C$998,Metrik!$B$2:$B$998},2,0)</f>
        <v>Bank Sinarmas Tbk</v>
      </c>
      <c r="C446" s="15">
        <f>IFERROR(__xludf.DUMMYFUNCTION("GOOGLEFINANCE(""IDX:""&amp;A446,""price"")"),730.0)</f>
        <v>730</v>
      </c>
      <c r="D446" s="16" t="str">
        <f>IFERROR(__xludf.DUMMYFUNCTION("IF(A446="""","""",
SPARKLINE(
INDEX(
GOOGLEFINANCE(""IDX:""&amp;A446,""close"",TODAY()-365,TODAY()),
,2
),
{""linewidth"",1}
))
"),"#N/A")</f>
        <v>#N/A</v>
      </c>
      <c r="E446" s="26"/>
      <c r="F446" s="26"/>
      <c r="G446" s="24">
        <f t="shared" si="2"/>
        <v>0</v>
      </c>
      <c r="H446" s="19">
        <f>VLOOKUP(A446,Metrik!$C$2:$Y$959,8,0)</f>
        <v>55.2</v>
      </c>
      <c r="I446" s="20">
        <f>VLOOKUP(A446,Metrik!$C$2:$Y$959,9,0)</f>
        <v>1.8</v>
      </c>
      <c r="J446" s="20">
        <f>VLOOKUP(A446,Metrik!$C$2:$Y$959,10,0)</f>
        <v>3.2</v>
      </c>
      <c r="K446" s="20">
        <f>VLOOKUP(A446,Metrik!$C$2:$Y$959,11,0)</f>
        <v>0.51</v>
      </c>
      <c r="L446" s="20">
        <f>VLOOKUP(A446,Metrik!$C$2:$Y$959,12,0)</f>
        <v>4.8</v>
      </c>
      <c r="M446" s="20">
        <f>VLOOKUP(A446,Metrik!$C$2:$Y$959,19,0)</f>
        <v>35.8</v>
      </c>
      <c r="N446" s="32">
        <v>6.1</v>
      </c>
      <c r="O446" s="32">
        <v>30.55</v>
      </c>
      <c r="P446" s="32">
        <v>81.42</v>
      </c>
      <c r="Q446" s="32">
        <v>2.33</v>
      </c>
      <c r="R446" s="32">
        <v>95.95</v>
      </c>
      <c r="S446" s="32">
        <v>75.41</v>
      </c>
      <c r="T446" s="32">
        <v>12.05</v>
      </c>
      <c r="U446" s="22">
        <f>IFERROR(__xludf.DUMMYFUNCTION("IFERROR(GOOGLEFINANCE(A446,""closeyest""),"""")"),720.0)</f>
        <v>720</v>
      </c>
      <c r="V446" s="23">
        <f>IFERROR(__xludf.DUMMYFUNCTION("IFERROR(GOOGLEFINANCE(A446,""changepct""),"""")"),1.39)</f>
        <v>1.39</v>
      </c>
      <c r="W446" s="22">
        <f>IFERROR(__xludf.DUMMYFUNCTION("IFERROR(GOOGLEFINANCE(A446,""priceopen""),"""")"),720.0)</f>
        <v>720</v>
      </c>
      <c r="X446" s="22">
        <f>IFERROR(__xludf.DUMMYFUNCTION("IFERROR(GOOGLEFINANCE(A446,""high""),"""")"),735.0)</f>
        <v>735</v>
      </c>
      <c r="Y446" s="22">
        <f>IFERROR(__xludf.DUMMYFUNCTION("IFERROR(GOOGLEFINANCE(A446,""low""),"""")"),710.0)</f>
        <v>710</v>
      </c>
      <c r="Z446" s="22">
        <f>IFERROR(__xludf.DUMMYFUNCTION("IFERROR(GOOGLEFINANCE(A446,""volume""),"""")"),51600.0)</f>
        <v>51600</v>
      </c>
      <c r="AA446" s="24" t="str">
        <f>VLOOKUP(A446,Metrik!$C$2:$Y$959,5,0)</f>
        <v>Banks</v>
      </c>
      <c r="AB446" s="24" t="str">
        <f>VLOOKUP(A446,Metrik!$C$2:$Y$959,3,0)</f>
        <v>Financials</v>
      </c>
    </row>
    <row r="447">
      <c r="A447" s="14" t="s">
        <v>242</v>
      </c>
      <c r="B447" s="14" t="str">
        <f t="array" ref="B447">VLOOKUP(A447,{Metrik!$C$2:$C$998,Metrik!$B$2:$B$998},2,0)</f>
        <v>Bintang Samudera Mandiri Lines Tbk.</v>
      </c>
      <c r="C447" s="15">
        <f>IFERROR(__xludf.DUMMYFUNCTION("GOOGLEFINANCE(""IDX:""&amp;A447,""price"")"),428.0)</f>
        <v>428</v>
      </c>
      <c r="D447" s="16" t="str">
        <f>IFERROR(__xludf.DUMMYFUNCTION("IF(A447="""","""",
SPARKLINE(
INDEX(
GOOGLEFINANCE(""IDX:""&amp;A447,""close"",TODAY()-365,TODAY()),
,2
),
{""linewidth"",1}
))
"),"#N/A")</f>
        <v>#N/A</v>
      </c>
      <c r="E447" s="26"/>
      <c r="F447" s="26"/>
      <c r="G447" s="24">
        <f t="shared" si="2"/>
        <v>0</v>
      </c>
      <c r="H447" s="19">
        <f>VLOOKUP(A447,Metrik!$C$2:$Y$959,8,0)</f>
        <v>350</v>
      </c>
      <c r="I447" s="20">
        <f>VLOOKUP(A447,Metrik!$C$2:$Y$959,9,0)</f>
        <v>5.7</v>
      </c>
      <c r="J447" s="20">
        <f>VLOOKUP(A447,Metrik!$C$2:$Y$959,10,0)</f>
        <v>1.7</v>
      </c>
      <c r="K447" s="20">
        <f>VLOOKUP(A447,Metrik!$C$2:$Y$959,11,0)</f>
        <v>1.1</v>
      </c>
      <c r="L447" s="20">
        <f>VLOOKUP(A447,Metrik!$C$2:$Y$959,12,0)</f>
        <v>0.5</v>
      </c>
      <c r="M447" s="20">
        <f>VLOOKUP(A447,Metrik!$C$2:$Y$959,19,0)</f>
        <v>20.6</v>
      </c>
      <c r="N447" s="21"/>
      <c r="O447" s="21"/>
      <c r="P447" s="21"/>
      <c r="Q447" s="21"/>
      <c r="R447" s="21"/>
      <c r="S447" s="21"/>
      <c r="T447" s="21"/>
      <c r="U447" s="22">
        <f>IFERROR(__xludf.DUMMYFUNCTION("IFERROR(GOOGLEFINANCE(A447,""closeyest""),"""")"),402.0)</f>
        <v>402</v>
      </c>
      <c r="V447" s="23">
        <f>IFERROR(__xludf.DUMMYFUNCTION("IFERROR(GOOGLEFINANCE(A447,""changepct""),"""")"),6.47)</f>
        <v>6.47</v>
      </c>
      <c r="W447" s="22">
        <f>IFERROR(__xludf.DUMMYFUNCTION("IFERROR(GOOGLEFINANCE(A447,""priceopen""),"""")"),402.0)</f>
        <v>402</v>
      </c>
      <c r="X447" s="22">
        <f>IFERROR(__xludf.DUMMYFUNCTION("IFERROR(GOOGLEFINANCE(A447,""high""),"""")"),434.0)</f>
        <v>434</v>
      </c>
      <c r="Y447" s="22" t="str">
        <f>IFERROR(__xludf.DUMMYFUNCTION("IFERROR(GOOGLEFINANCE(A447,""low""),"""")"),"")</f>
        <v/>
      </c>
      <c r="Z447" s="22">
        <f>IFERROR(__xludf.DUMMYFUNCTION("IFERROR(GOOGLEFINANCE(A447,""volume""),"""")"),1.95699E7)</f>
        <v>19569900</v>
      </c>
      <c r="AA447" s="24" t="str">
        <f>VLOOKUP(A447,Metrik!$C$2:$Y$959,5,0)</f>
        <v>Coal</v>
      </c>
      <c r="AB447" s="24" t="str">
        <f>VLOOKUP(A447,Metrik!$C$2:$Y$959,3,0)</f>
        <v>Energy</v>
      </c>
    </row>
    <row r="448">
      <c r="A448" s="14" t="s">
        <v>243</v>
      </c>
      <c r="B448" s="14" t="str">
        <f t="array" ref="B448">VLOOKUP(A448,{Metrik!$C$2:$C$998,Metrik!$B$2:$B$998},2,0)</f>
        <v>Baramulti Suksessarana Tbk.</v>
      </c>
      <c r="C448" s="15">
        <f>IFERROR(__xludf.DUMMYFUNCTION("GOOGLEFINANCE(""IDX:""&amp;A448,""price"")"),4040.0)</f>
        <v>4040</v>
      </c>
      <c r="D448" s="16" t="str">
        <f>IFERROR(__xludf.DUMMYFUNCTION("IF(A448="""","""",
SPARKLINE(
INDEX(
GOOGLEFINANCE(""IDX:""&amp;A448,""close"",TODAY()-365,TODAY()),
,2
),
{""linewidth"",1}
))
"),"#N/A")</f>
        <v>#N/A</v>
      </c>
      <c r="E448" s="26"/>
      <c r="F448" s="26"/>
      <c r="G448" s="18">
        <f t="shared" si="2"/>
        <v>0</v>
      </c>
      <c r="H448" s="19">
        <f>VLOOKUP(A448,Metrik!$C$2:$Y$959,8,0)</f>
        <v>6.8</v>
      </c>
      <c r="I448" s="20">
        <f>VLOOKUP(A448,Metrik!$C$2:$Y$959,9,0)</f>
        <v>2</v>
      </c>
      <c r="J448" s="20">
        <f>VLOOKUP(A448,Metrik!$C$2:$Y$959,10,0)</f>
        <v>29.9</v>
      </c>
      <c r="K448" s="20">
        <f>VLOOKUP(A448,Metrik!$C$2:$Y$959,11,0)</f>
        <v>22.7</v>
      </c>
      <c r="L448" s="20">
        <f>VLOOKUP(A448,Metrik!$C$2:$Y$959,12,0)</f>
        <v>0.32</v>
      </c>
      <c r="M448" s="20">
        <f>VLOOKUP(A448,Metrik!$C$2:$Y$959,19,0)</f>
        <v>53.3</v>
      </c>
      <c r="N448" s="21"/>
      <c r="O448" s="21"/>
      <c r="P448" s="21"/>
      <c r="Q448" s="21"/>
      <c r="R448" s="21"/>
      <c r="S448" s="21"/>
      <c r="T448" s="21"/>
      <c r="U448" s="22">
        <f>IFERROR(__xludf.DUMMYFUNCTION("IFERROR(GOOGLEFINANCE(A448,""closeyest""),"""")"),4010.0)</f>
        <v>4010</v>
      </c>
      <c r="V448" s="23">
        <f>IFERROR(__xludf.DUMMYFUNCTION("IFERROR(GOOGLEFINANCE(A448,""changepct""),"""")"),0.75)</f>
        <v>0.75</v>
      </c>
      <c r="W448" s="22">
        <f>IFERROR(__xludf.DUMMYFUNCTION("IFERROR(GOOGLEFINANCE(A448,""priceopen""),"""")"),4010.0)</f>
        <v>4010</v>
      </c>
      <c r="X448" s="22">
        <f>IFERROR(__xludf.DUMMYFUNCTION("IFERROR(GOOGLEFINANCE(A448,""high""),"""")"),4050.0)</f>
        <v>4050</v>
      </c>
      <c r="Y448" s="22">
        <f>IFERROR(__xludf.DUMMYFUNCTION("IFERROR(GOOGLEFINANCE(A448,""low""),"""")"),4010.0)</f>
        <v>4010</v>
      </c>
      <c r="Z448" s="22">
        <f>IFERROR(__xludf.DUMMYFUNCTION("IFERROR(GOOGLEFINANCE(A448,""volume""),"""")"),374600.0)</f>
        <v>374600</v>
      </c>
      <c r="AA448" s="24" t="str">
        <f>VLOOKUP(A448,Metrik!$C$2:$Y$959,5,0)</f>
        <v>Coal</v>
      </c>
      <c r="AB448" s="24" t="str">
        <f>VLOOKUP(A448,Metrik!$C$2:$Y$959,3,0)</f>
        <v>Energy</v>
      </c>
    </row>
    <row r="449">
      <c r="A449" s="14" t="s">
        <v>244</v>
      </c>
      <c r="B449" s="14" t="str">
        <f t="array" ref="B449">VLOOKUP(A449,{Metrik!$C$2:$C$998,Metrik!$B$2:$B$998},2,0)</f>
        <v>Bank of India Indonesia Tbk</v>
      </c>
      <c r="C449" s="15">
        <f>IFERROR(__xludf.DUMMYFUNCTION("GOOGLEFINANCE(""IDX:""&amp;A449,""price"")"),1400.0)</f>
        <v>1400</v>
      </c>
      <c r="D449" s="16" t="str">
        <f>IFERROR(__xludf.DUMMYFUNCTION("IF(A449="""","""",
SPARKLINE(
INDEX(
GOOGLEFINANCE(""IDX:""&amp;A449,""close"",TODAY()-365,TODAY()),
,2
),
{""linewidth"",1}
))
"),"#N/A")</f>
        <v>#N/A</v>
      </c>
      <c r="E449" s="26"/>
      <c r="F449" s="26"/>
      <c r="G449" s="24">
        <f t="shared" si="2"/>
        <v>0</v>
      </c>
      <c r="H449" s="19">
        <f>VLOOKUP(A449,Metrik!$C$2:$Y$959,8,0)</f>
        <v>84.5</v>
      </c>
      <c r="I449" s="20">
        <f>VLOOKUP(A449,Metrik!$C$2:$Y$959,9,0)</f>
        <v>1.5</v>
      </c>
      <c r="J449" s="20">
        <f>VLOOKUP(A449,Metrik!$C$2:$Y$959,10,0)</f>
        <v>1.7</v>
      </c>
      <c r="K449" s="20">
        <f>VLOOKUP(A449,Metrik!$C$2:$Y$959,11,0)</f>
        <v>0.85</v>
      </c>
      <c r="L449" s="20">
        <f>VLOOKUP(A449,Metrik!$C$2:$Y$959,12,0)</f>
        <v>1</v>
      </c>
      <c r="M449" s="20">
        <f>VLOOKUP(A449,Metrik!$C$2:$Y$959,19,0)</f>
        <v>58.7</v>
      </c>
      <c r="N449" s="32">
        <v>2.68</v>
      </c>
      <c r="O449" s="32">
        <v>60.33</v>
      </c>
      <c r="P449" s="32">
        <v>81.19</v>
      </c>
      <c r="Q449" s="32">
        <v>91.24</v>
      </c>
      <c r="R449" s="32">
        <v>91.24</v>
      </c>
      <c r="S449" s="32">
        <v>72.58</v>
      </c>
      <c r="T449" s="32">
        <v>6.58</v>
      </c>
      <c r="U449" s="22">
        <f>IFERROR(__xludf.DUMMYFUNCTION("IFERROR(GOOGLEFINANCE(A449,""closeyest""),"""")"),1400.0)</f>
        <v>1400</v>
      </c>
      <c r="V449" s="23">
        <f>IFERROR(__xludf.DUMMYFUNCTION("IFERROR(GOOGLEFINANCE(A449,""changepct""),"""")"),0.0)</f>
        <v>0</v>
      </c>
      <c r="W449" s="22" t="str">
        <f>IFERROR(__xludf.DUMMYFUNCTION("IFERROR(GOOGLEFINANCE(A449,""priceopen""),"""")"),"")</f>
        <v/>
      </c>
      <c r="X449" s="22" t="str">
        <f>IFERROR(__xludf.DUMMYFUNCTION("IFERROR(GOOGLEFINANCE(A449,""high""),"""")"),"")</f>
        <v/>
      </c>
      <c r="Y449" s="22" t="str">
        <f>IFERROR(__xludf.DUMMYFUNCTION("IFERROR(GOOGLEFINANCE(A449,""low""),"""")"),"")</f>
        <v/>
      </c>
      <c r="Z449" s="22">
        <f>IFERROR(__xludf.DUMMYFUNCTION("IFERROR(GOOGLEFINANCE(A449,""volume""),"""")"),0.0)</f>
        <v>0</v>
      </c>
      <c r="AA449" s="24" t="str">
        <f>VLOOKUP(A449,Metrik!$C$2:$Y$959,5,0)</f>
        <v>Banks</v>
      </c>
      <c r="AB449" s="24" t="str">
        <f>VLOOKUP(A449,Metrik!$C$2:$Y$959,3,0)</f>
        <v>Financials</v>
      </c>
    </row>
    <row r="450">
      <c r="A450" s="14" t="s">
        <v>245</v>
      </c>
      <c r="B450" s="14" t="str">
        <f t="array" ref="B450">VLOOKUP(A450,{Metrik!$C$2:$C$998,Metrik!$B$2:$B$998},2,0)</f>
        <v>Bumi Teknokultura Unggul Tbk</v>
      </c>
      <c r="C450" s="15">
        <f>IFERROR(__xludf.DUMMYFUNCTION("GOOGLEFINANCE(""IDX:""&amp;A450,""price"")"),12.0)</f>
        <v>12</v>
      </c>
      <c r="D450" s="16" t="str">
        <f>IFERROR(__xludf.DUMMYFUNCTION("IF(A450="""","""",
SPARKLINE(
INDEX(
GOOGLEFINANCE(""IDX:""&amp;A450,""close"",TODAY()-365,TODAY()),
,2
),
{""linewidth"",1}
))
"),"#N/A")</f>
        <v>#N/A</v>
      </c>
      <c r="E450" s="26"/>
      <c r="F450" s="26"/>
      <c r="G450" s="24">
        <f t="shared" si="2"/>
        <v>0</v>
      </c>
      <c r="H450" s="19">
        <f>VLOOKUP(A450,Metrik!$C$2:$Y$959,8,0)</f>
        <v>-1.4</v>
      </c>
      <c r="I450" s="20">
        <f>VLOOKUP(A450,Metrik!$C$2:$Y$959,9,0)</f>
        <v>2.1</v>
      </c>
      <c r="J450" s="20">
        <f>VLOOKUP(A450,Metrik!$C$2:$Y$959,10,0)</f>
        <v>-150</v>
      </c>
      <c r="K450" s="20">
        <f>VLOOKUP(A450,Metrik!$C$2:$Y$959,11,0)</f>
        <v>-11.5</v>
      </c>
      <c r="L450" s="20">
        <f>VLOOKUP(A450,Metrik!$C$2:$Y$959,12,0)</f>
        <v>12.4</v>
      </c>
      <c r="M450" s="20">
        <f>VLOOKUP(A450,Metrik!$C$2:$Y$959,19,0)</f>
        <v>-8730</v>
      </c>
      <c r="N450" s="21"/>
      <c r="O450" s="21"/>
      <c r="P450" s="21"/>
      <c r="Q450" s="21"/>
      <c r="R450" s="21"/>
      <c r="S450" s="21"/>
      <c r="T450" s="21"/>
      <c r="U450" s="22">
        <f>IFERROR(__xludf.DUMMYFUNCTION("IFERROR(GOOGLEFINANCE(A450,""closeyest""),"""")"),6.43)</f>
        <v>6.43</v>
      </c>
      <c r="V450" s="23">
        <f>IFERROR(__xludf.DUMMYFUNCTION("IFERROR(GOOGLEFINANCE(A450,""changepct""),"""")"),0.35)</f>
        <v>0.35</v>
      </c>
      <c r="W450" s="22">
        <f>IFERROR(__xludf.DUMMYFUNCTION("IFERROR(GOOGLEFINANCE(A450,""priceopen""),"""")"),6.42)</f>
        <v>6.42</v>
      </c>
      <c r="X450" s="22">
        <f>IFERROR(__xludf.DUMMYFUNCTION("IFERROR(GOOGLEFINANCE(A450,""high""),"""")"),6.49)</f>
        <v>6.49</v>
      </c>
      <c r="Y450" s="22">
        <f>IFERROR(__xludf.DUMMYFUNCTION("IFERROR(GOOGLEFINANCE(A450,""low""),"""")"),6.42)</f>
        <v>6.42</v>
      </c>
      <c r="Z450" s="22">
        <f>IFERROR(__xludf.DUMMYFUNCTION("IFERROR(GOOGLEFINANCE(A450,""volume""),"""")"),23504.0)</f>
        <v>23504</v>
      </c>
      <c r="AA450" s="24" t="str">
        <f>VLOOKUP(A450,Metrik!$C$2:$Y$959,5,0)</f>
        <v>Agricultural Products</v>
      </c>
      <c r="AB450" s="24" t="str">
        <f>VLOOKUP(A450,Metrik!$C$2:$Y$959,3,0)</f>
        <v>Consumer Non-Cyclicals</v>
      </c>
    </row>
    <row r="451">
      <c r="A451" s="14" t="s">
        <v>246</v>
      </c>
      <c r="B451" s="14" t="str">
        <f t="array" ref="B451">VLOOKUP(A451,{Metrik!$C$2:$C$998,Metrik!$B$2:$B$998},2,0)</f>
        <v>Bakrie Telecom Tbk</v>
      </c>
      <c r="C451" s="15">
        <f>IFERROR(__xludf.DUMMYFUNCTION("GOOGLEFINANCE(""IDX:""&amp;A451,""price"")"),50.0)</f>
        <v>50</v>
      </c>
      <c r="D451" s="16" t="str">
        <f>IFERROR(__xludf.DUMMYFUNCTION("IF(A451="""","""",
SPARKLINE(
INDEX(
GOOGLEFINANCE(""IDX:""&amp;A451,""close"",TODAY()-365,TODAY()),
,2
),
{""linewidth"",1}
))
"),"#N/A")</f>
        <v>#N/A</v>
      </c>
      <c r="E451" s="26"/>
      <c r="F451" s="26"/>
      <c r="G451" s="24">
        <f t="shared" si="2"/>
        <v>0</v>
      </c>
      <c r="H451" s="19">
        <f>VLOOKUP(A451,Metrik!$C$2:$Y$959,8,0)</f>
        <v>-41.6</v>
      </c>
      <c r="I451" s="20">
        <f>VLOOKUP(A451,Metrik!$C$2:$Y$959,9,0)</f>
        <v>-0.31</v>
      </c>
      <c r="J451" s="20">
        <f>VLOOKUP(A451,Metrik!$C$2:$Y$959,10,0)</f>
        <v>0</v>
      </c>
      <c r="K451" s="20">
        <f>VLOOKUP(A451,Metrik!$C$2:$Y$959,11,0)</f>
        <v>-76.7</v>
      </c>
      <c r="L451" s="20">
        <f>VLOOKUP(A451,Metrik!$C$2:$Y$959,12,0)</f>
        <v>-1</v>
      </c>
      <c r="M451" s="20">
        <f>VLOOKUP(A451,Metrik!$C$2:$Y$959,19,0)</f>
        <v>-51.6</v>
      </c>
      <c r="N451" s="21"/>
      <c r="O451" s="21"/>
      <c r="P451" s="21"/>
      <c r="Q451" s="21"/>
      <c r="R451" s="21"/>
      <c r="S451" s="21"/>
      <c r="T451" s="21"/>
      <c r="U451" s="22">
        <f>IFERROR(__xludf.DUMMYFUNCTION("IFERROR(GOOGLEFINANCE(A451,""closeyest""),"""")"),50.0)</f>
        <v>50</v>
      </c>
      <c r="V451" s="23">
        <f>IFERROR(__xludf.DUMMYFUNCTION("IFERROR(GOOGLEFINANCE(A451,""changepct""),"""")"),0.0)</f>
        <v>0</v>
      </c>
      <c r="W451" s="22" t="str">
        <f>IFERROR(__xludf.DUMMYFUNCTION("IFERROR(GOOGLEFINANCE(A451,""priceopen""),"""")"),"")</f>
        <v/>
      </c>
      <c r="X451" s="22" t="str">
        <f>IFERROR(__xludf.DUMMYFUNCTION("IFERROR(GOOGLEFINANCE(A451,""high""),"""")"),"")</f>
        <v/>
      </c>
      <c r="Y451" s="22" t="str">
        <f>IFERROR(__xludf.DUMMYFUNCTION("IFERROR(GOOGLEFINANCE(A451,""low""),"""")"),"")</f>
        <v/>
      </c>
      <c r="Z451" s="22">
        <f>IFERROR(__xludf.DUMMYFUNCTION("IFERROR(GOOGLEFINANCE(A451,""volume""),"""")"),0.0)</f>
        <v>0</v>
      </c>
      <c r="AA451" s="24" t="str">
        <f>VLOOKUP(A451,Metrik!$C$2:$Y$959,5,0)</f>
        <v>Wireless Telecommunication Services</v>
      </c>
      <c r="AB451" s="24" t="str">
        <f>VLOOKUP(A451,Metrik!$C$2:$Y$959,3,0)</f>
        <v>Infrastructures</v>
      </c>
    </row>
    <row r="452">
      <c r="A452" s="14" t="s">
        <v>247</v>
      </c>
      <c r="B452" s="14" t="str">
        <f t="array" ref="B452">VLOOKUP(A452,{Metrik!$C$2:$C$998,Metrik!$B$2:$B$998},2,0)</f>
        <v>Betonjaya Manunggal Tbk.</v>
      </c>
      <c r="C452" s="15">
        <f>IFERROR(__xludf.DUMMYFUNCTION("GOOGLEFINANCE(""IDX:""&amp;A452,""price"")"),344.0)</f>
        <v>344</v>
      </c>
      <c r="D452" s="16" t="str">
        <f>IFERROR(__xludf.DUMMYFUNCTION("IF(A452="""","""",
SPARKLINE(
INDEX(
GOOGLEFINANCE(""IDX:""&amp;A452,""close"",TODAY()-365,TODAY()),
,2
),
{""linewidth"",1}
))
"),"#N/A")</f>
        <v>#N/A</v>
      </c>
      <c r="E452" s="26"/>
      <c r="F452" s="26"/>
      <c r="G452" s="24">
        <f t="shared" si="2"/>
        <v>0</v>
      </c>
      <c r="H452" s="19">
        <f>VLOOKUP(A452,Metrik!$C$2:$Y$959,8,0)</f>
        <v>12.6</v>
      </c>
      <c r="I452" s="20">
        <f>VLOOKUP(A452,Metrik!$C$2:$Y$959,9,0)</f>
        <v>0.87</v>
      </c>
      <c r="J452" s="20">
        <f>VLOOKUP(A452,Metrik!$C$2:$Y$959,10,0)</f>
        <v>6.9</v>
      </c>
      <c r="K452" s="20">
        <f>VLOOKUP(A452,Metrik!$C$2:$Y$959,11,0)</f>
        <v>4.7</v>
      </c>
      <c r="L452" s="20">
        <f>VLOOKUP(A452,Metrik!$C$2:$Y$959,12,0)</f>
        <v>0.48</v>
      </c>
      <c r="M452" s="20">
        <f>VLOOKUP(A452,Metrik!$C$2:$Y$959,19,0)</f>
        <v>69.6</v>
      </c>
      <c r="N452" s="21"/>
      <c r="O452" s="21"/>
      <c r="P452" s="21"/>
      <c r="Q452" s="21"/>
      <c r="R452" s="21"/>
      <c r="S452" s="21"/>
      <c r="T452" s="21"/>
      <c r="U452" s="22">
        <f>IFERROR(__xludf.DUMMYFUNCTION("IFERROR(GOOGLEFINANCE(A452,""closeyest""),"""")"),342.0)</f>
        <v>342</v>
      </c>
      <c r="V452" s="23">
        <f>IFERROR(__xludf.DUMMYFUNCTION("IFERROR(GOOGLEFINANCE(A452,""changepct""),"""")"),0.58)</f>
        <v>0.58</v>
      </c>
      <c r="W452" s="22">
        <f>IFERROR(__xludf.DUMMYFUNCTION("IFERROR(GOOGLEFINANCE(A452,""priceopen""),"""")"),322.0)</f>
        <v>322</v>
      </c>
      <c r="X452" s="22">
        <f>IFERROR(__xludf.DUMMYFUNCTION("IFERROR(GOOGLEFINANCE(A452,""high""),"""")"),354.0)</f>
        <v>354</v>
      </c>
      <c r="Y452" s="22">
        <f>IFERROR(__xludf.DUMMYFUNCTION("IFERROR(GOOGLEFINANCE(A452,""low""),"""")"),322.0)</f>
        <v>322</v>
      </c>
      <c r="Z452" s="22">
        <f>IFERROR(__xludf.DUMMYFUNCTION("IFERROR(GOOGLEFINANCE(A452,""volume""),"""")"),4700.0)</f>
        <v>4700</v>
      </c>
      <c r="AA452" s="24" t="str">
        <f>VLOOKUP(A452,Metrik!$C$2:$Y$959,5,0)</f>
        <v>Metals &amp; Minerals</v>
      </c>
      <c r="AB452" s="24" t="str">
        <f>VLOOKUP(A452,Metrik!$C$2:$Y$959,3,0)</f>
        <v>Basic Materials</v>
      </c>
    </row>
    <row r="453">
      <c r="A453" s="14" t="s">
        <v>248</v>
      </c>
      <c r="B453" s="14" t="str">
        <f t="array" ref="B453">VLOOKUP(A453,{Metrik!$C$2:$C$998,Metrik!$B$2:$B$998},2,0)</f>
        <v>Bank SMBC Indonesia Tbk.</v>
      </c>
      <c r="C453" s="15">
        <f>IFERROR(__xludf.DUMMYFUNCTION("GOOGLEFINANCE(""IDX:""&amp;A453,""price"")"),2140.0)</f>
        <v>2140</v>
      </c>
      <c r="D453" s="16" t="str">
        <f>IFERROR(__xludf.DUMMYFUNCTION("IF(A453="""","""",
SPARKLINE(
INDEX(
GOOGLEFINANCE(""IDX:""&amp;A453,""close"",TODAY()-365,TODAY()),
,2
),
{""linewidth"",1}
))
"),"#N/A")</f>
        <v>#N/A</v>
      </c>
      <c r="E453" s="14" t="s">
        <v>162</v>
      </c>
      <c r="F453" s="14" t="s">
        <v>76</v>
      </c>
      <c r="G453" s="24">
        <f t="shared" si="2"/>
        <v>1</v>
      </c>
      <c r="H453" s="19">
        <f>VLOOKUP(A453,Metrik!$C$2:$Y$959,8,0)</f>
        <v>55.1</v>
      </c>
      <c r="I453" s="20">
        <f>VLOOKUP(A453,Metrik!$C$2:$Y$959,9,0)</f>
        <v>0.46</v>
      </c>
      <c r="J453" s="20">
        <f>VLOOKUP(A453,Metrik!$C$2:$Y$959,10,0)</f>
        <v>0.84</v>
      </c>
      <c r="K453" s="20">
        <f>VLOOKUP(A453,Metrik!$C$2:$Y$959,11,0)</f>
        <v>0.18</v>
      </c>
      <c r="L453" s="20">
        <f>VLOOKUP(A453,Metrik!$C$2:$Y$959,12,0)</f>
        <v>3.4</v>
      </c>
      <c r="M453" s="20">
        <f>VLOOKUP(A453,Metrik!$C$2:$Y$959,19,0)</f>
        <v>7</v>
      </c>
      <c r="N453" s="44">
        <v>6.4</v>
      </c>
      <c r="O453" s="44">
        <v>29.8</v>
      </c>
      <c r="P453" s="44">
        <v>92.2</v>
      </c>
      <c r="Q453" s="44">
        <v>1.3</v>
      </c>
      <c r="R453" s="44">
        <v>83.5</v>
      </c>
      <c r="S453" s="44">
        <v>53.2</v>
      </c>
      <c r="T453" s="44">
        <v>11.4</v>
      </c>
      <c r="U453" s="22">
        <f>IFERROR(__xludf.DUMMYFUNCTION("IFERROR(GOOGLEFINANCE(A453,""closeyest""),"""")"),2140.0)</f>
        <v>2140</v>
      </c>
      <c r="V453" s="23">
        <f>IFERROR(__xludf.DUMMYFUNCTION("IFERROR(GOOGLEFINANCE(A453,""changepct""),"""")"),0.0)</f>
        <v>0</v>
      </c>
      <c r="W453" s="22">
        <f>IFERROR(__xludf.DUMMYFUNCTION("IFERROR(GOOGLEFINANCE(A453,""priceopen""),"""")"),2140.0)</f>
        <v>2140</v>
      </c>
      <c r="X453" s="22">
        <f>IFERROR(__xludf.DUMMYFUNCTION("IFERROR(GOOGLEFINANCE(A453,""high""),"""")"),2140.0)</f>
        <v>2140</v>
      </c>
      <c r="Y453" s="22">
        <f>IFERROR(__xludf.DUMMYFUNCTION("IFERROR(GOOGLEFINANCE(A453,""low""),"""")"),2070.0)</f>
        <v>2070</v>
      </c>
      <c r="Z453" s="22">
        <f>IFERROR(__xludf.DUMMYFUNCTION("IFERROR(GOOGLEFINANCE(A453,""volume""),"""")"),190900.0)</f>
        <v>190900</v>
      </c>
      <c r="AA453" s="24" t="str">
        <f>VLOOKUP(A453,Metrik!$C$2:$Y$959,5,0)</f>
        <v>Banks</v>
      </c>
      <c r="AB453" s="24" t="str">
        <f>VLOOKUP(A453,Metrik!$C$2:$Y$959,3,0)</f>
        <v>Financials</v>
      </c>
    </row>
    <row r="454">
      <c r="A454" s="14" t="s">
        <v>249</v>
      </c>
      <c r="B454" s="14" t="str">
        <f t="array" ref="B454">VLOOKUP(A454,{Metrik!$C$2:$C$998,Metrik!$B$2:$B$998},2,0)</f>
        <v>Bank BTPN Syariah Tbk.</v>
      </c>
      <c r="C454" s="15">
        <f>IFERROR(__xludf.DUMMYFUNCTION("GOOGLEFINANCE(""IDX:""&amp;A454,""price"")"),965.0)</f>
        <v>965</v>
      </c>
      <c r="D454" s="16" t="str">
        <f>IFERROR(__xludf.DUMMYFUNCTION("IF(A454="""","""",
SPARKLINE(
INDEX(
GOOGLEFINANCE(""IDX:""&amp;A454,""close"",TODAY()-365,TODAY()),
,2
),
{""linewidth"",1}
))
"),"#N/A")</f>
        <v>#N/A</v>
      </c>
      <c r="E454" s="14" t="s">
        <v>47</v>
      </c>
      <c r="F454" s="25">
        <v>46356.0</v>
      </c>
      <c r="G454" s="24">
        <f t="shared" si="2"/>
        <v>7</v>
      </c>
      <c r="H454" s="19">
        <f>VLOOKUP(A454,Metrik!$C$2:$Y$959,8,0)</f>
        <v>5.9</v>
      </c>
      <c r="I454" s="20">
        <f>VLOOKUP(A454,Metrik!$C$2:$Y$959,9,0)</f>
        <v>0.7</v>
      </c>
      <c r="J454" s="20">
        <f>VLOOKUP(A454,Metrik!$C$2:$Y$959,10,0)</f>
        <v>11.8</v>
      </c>
      <c r="K454" s="20">
        <f>VLOOKUP(A454,Metrik!$C$2:$Y$959,11,0)</f>
        <v>5.2</v>
      </c>
      <c r="L454" s="20">
        <f>VLOOKUP(A454,Metrik!$C$2:$Y$959,12,0)</f>
        <v>0.28</v>
      </c>
      <c r="M454" s="20">
        <f>VLOOKUP(A454,Metrik!$C$2:$Y$959,19,0)</f>
        <v>110</v>
      </c>
      <c r="N454" s="44">
        <v>21.7</v>
      </c>
      <c r="O454" s="44">
        <v>57.74</v>
      </c>
      <c r="P454" s="44">
        <v>84.7</v>
      </c>
      <c r="Q454" s="44">
        <v>2.59</v>
      </c>
      <c r="R454" s="44">
        <v>79.28</v>
      </c>
      <c r="S454" s="44">
        <v>48.82</v>
      </c>
      <c r="T454" s="47"/>
      <c r="U454" s="22">
        <f>IFERROR(__xludf.DUMMYFUNCTION("IFERROR(GOOGLEFINANCE(A454,""closeyest""),"""")"),935.0)</f>
        <v>935</v>
      </c>
      <c r="V454" s="23" t="str">
        <f>IFERROR(__xludf.DUMMYFUNCTION("IFERROR(GOOGLEFINANCE(A454,""changepct""),"""")"),"")</f>
        <v/>
      </c>
      <c r="W454" s="22">
        <f>IFERROR(__xludf.DUMMYFUNCTION("IFERROR(GOOGLEFINANCE(A454,""priceopen""),"""")"),935.0)</f>
        <v>935</v>
      </c>
      <c r="X454" s="22">
        <f>IFERROR(__xludf.DUMMYFUNCTION("IFERROR(GOOGLEFINANCE(A454,""high""),"""")"),980.0)</f>
        <v>980</v>
      </c>
      <c r="Y454" s="22">
        <f>IFERROR(__xludf.DUMMYFUNCTION("IFERROR(GOOGLEFINANCE(A454,""low""),"""")"),930.0)</f>
        <v>930</v>
      </c>
      <c r="Z454" s="22">
        <f>IFERROR(__xludf.DUMMYFUNCTION("IFERROR(GOOGLEFINANCE(A454,""volume""),"""")"),5453300.0)</f>
        <v>5453300</v>
      </c>
      <c r="AA454" s="24" t="str">
        <f>VLOOKUP(A454,Metrik!$C$2:$Y$959,5,0)</f>
        <v>Banks</v>
      </c>
      <c r="AB454" s="24" t="str">
        <f>VLOOKUP(A454,Metrik!$C$2:$Y$959,3,0)</f>
        <v>Financials</v>
      </c>
    </row>
    <row r="455">
      <c r="A455" s="14" t="s">
        <v>249</v>
      </c>
      <c r="B455" s="14" t="str">
        <f t="array" ref="B455">VLOOKUP(A455,{Metrik!$C$2:$C$998,Metrik!$B$2:$B$998},2,0)</f>
        <v>Bank BTPN Syariah Tbk.</v>
      </c>
      <c r="C455" s="15">
        <f>IFERROR(__xludf.DUMMYFUNCTION("GOOGLEFINANCE(""IDX:""&amp;A455,""price"")"),965.0)</f>
        <v>965</v>
      </c>
      <c r="D455" s="16" t="str">
        <f>IFERROR(__xludf.DUMMYFUNCTION("IF(A455="""","""",
SPARKLINE(
INDEX(
GOOGLEFINANCE(""IDX:""&amp;A455,""close"",TODAY()-365,TODAY()),
,2
),
{""linewidth"",1}
))
"),"#N/A")</f>
        <v>#N/A</v>
      </c>
      <c r="E455" s="14" t="s">
        <v>54</v>
      </c>
      <c r="F455" s="14" t="s">
        <v>34</v>
      </c>
      <c r="G455" s="24">
        <f t="shared" si="2"/>
        <v>7</v>
      </c>
      <c r="H455" s="19">
        <f>VLOOKUP(A455,Metrik!$C$2:$Y$959,8,0)</f>
        <v>5.9</v>
      </c>
      <c r="I455" s="20">
        <f>VLOOKUP(A455,Metrik!$C$2:$Y$959,9,0)</f>
        <v>0.7</v>
      </c>
      <c r="J455" s="20">
        <f>VLOOKUP(A455,Metrik!$C$2:$Y$959,10,0)</f>
        <v>11.8</v>
      </c>
      <c r="K455" s="20">
        <f>VLOOKUP(A455,Metrik!$C$2:$Y$959,11,0)</f>
        <v>5.2</v>
      </c>
      <c r="L455" s="20">
        <f>VLOOKUP(A455,Metrik!$C$2:$Y$959,12,0)</f>
        <v>0.28</v>
      </c>
      <c r="M455" s="20">
        <f>VLOOKUP(A455,Metrik!$C$2:$Y$959,19,0)</f>
        <v>110</v>
      </c>
      <c r="N455" s="44">
        <v>21.7</v>
      </c>
      <c r="O455" s="44">
        <v>57.74</v>
      </c>
      <c r="P455" s="44">
        <v>84.7</v>
      </c>
      <c r="Q455" s="44">
        <v>2.59</v>
      </c>
      <c r="R455" s="44">
        <v>79.28</v>
      </c>
      <c r="S455" s="44">
        <v>48.82</v>
      </c>
      <c r="T455" s="47"/>
      <c r="U455" s="22">
        <f>IFERROR(__xludf.DUMMYFUNCTION("IFERROR(GOOGLEFINANCE(A455,""closeyest""),"""")"),935.0)</f>
        <v>935</v>
      </c>
      <c r="V455" s="23" t="str">
        <f>IFERROR(__xludf.DUMMYFUNCTION("IFERROR(GOOGLEFINANCE(A455,""changepct""),"""")"),"")</f>
        <v/>
      </c>
      <c r="W455" s="22">
        <f>IFERROR(__xludf.DUMMYFUNCTION("IFERROR(GOOGLEFINANCE(A455,""priceopen""),"""")"),935.0)</f>
        <v>935</v>
      </c>
      <c r="X455" s="22">
        <f>IFERROR(__xludf.DUMMYFUNCTION("IFERROR(GOOGLEFINANCE(A455,""high""),"""")"),980.0)</f>
        <v>980</v>
      </c>
      <c r="Y455" s="22">
        <f>IFERROR(__xludf.DUMMYFUNCTION("IFERROR(GOOGLEFINANCE(A455,""low""),"""")"),930.0)</f>
        <v>930</v>
      </c>
      <c r="Z455" s="22">
        <f>IFERROR(__xludf.DUMMYFUNCTION("IFERROR(GOOGLEFINANCE(A455,""volume""),"""")"),5453300.0)</f>
        <v>5453300</v>
      </c>
      <c r="AA455" s="24" t="str">
        <f>VLOOKUP(A455,Metrik!$C$2:$Y$959,5,0)</f>
        <v>Banks</v>
      </c>
      <c r="AB455" s="24" t="str">
        <f>VLOOKUP(A455,Metrik!$C$2:$Y$959,3,0)</f>
        <v>Financials</v>
      </c>
    </row>
    <row r="456">
      <c r="A456" s="14" t="s">
        <v>249</v>
      </c>
      <c r="B456" s="14" t="str">
        <f t="array" ref="B456">VLOOKUP(A456,{Metrik!$C$2:$C$998,Metrik!$B$2:$B$998},2,0)</f>
        <v>Bank BTPN Syariah Tbk.</v>
      </c>
      <c r="C456" s="15">
        <f>IFERROR(__xludf.DUMMYFUNCTION("GOOGLEFINANCE(""IDX:""&amp;A456,""price"")"),965.0)</f>
        <v>965</v>
      </c>
      <c r="D456" s="16" t="str">
        <f>IFERROR(__xludf.DUMMYFUNCTION("IF(A456="""","""",
SPARKLINE(
INDEX(
GOOGLEFINANCE(""IDX:""&amp;A456,""close"",TODAY()-365,TODAY()),
,2
),
{""linewidth"",1}
))
"),"#N/A")</f>
        <v>#N/A</v>
      </c>
      <c r="E456" s="14" t="s">
        <v>33</v>
      </c>
      <c r="F456" s="14" t="s">
        <v>34</v>
      </c>
      <c r="G456" s="24">
        <f t="shared" si="2"/>
        <v>7</v>
      </c>
      <c r="H456" s="19">
        <f>VLOOKUP(A456,Metrik!$C$2:$Y$959,8,0)</f>
        <v>5.9</v>
      </c>
      <c r="I456" s="20">
        <f>VLOOKUP(A456,Metrik!$C$2:$Y$959,9,0)</f>
        <v>0.7</v>
      </c>
      <c r="J456" s="20">
        <f>VLOOKUP(A456,Metrik!$C$2:$Y$959,10,0)</f>
        <v>11.8</v>
      </c>
      <c r="K456" s="20">
        <f>VLOOKUP(A456,Metrik!$C$2:$Y$959,11,0)</f>
        <v>5.2</v>
      </c>
      <c r="L456" s="20">
        <f>VLOOKUP(A456,Metrik!$C$2:$Y$959,12,0)</f>
        <v>0.28</v>
      </c>
      <c r="M456" s="20">
        <f>VLOOKUP(A456,Metrik!$C$2:$Y$959,19,0)</f>
        <v>110</v>
      </c>
      <c r="N456" s="44">
        <v>21.7</v>
      </c>
      <c r="O456" s="44">
        <v>57.74</v>
      </c>
      <c r="P456" s="44">
        <v>84.7</v>
      </c>
      <c r="Q456" s="44">
        <v>2.59</v>
      </c>
      <c r="R456" s="44">
        <v>79.28</v>
      </c>
      <c r="S456" s="44">
        <v>48.82</v>
      </c>
      <c r="T456" s="47"/>
      <c r="U456" s="22">
        <f>IFERROR(__xludf.DUMMYFUNCTION("IFERROR(GOOGLEFINANCE(A456,""closeyest""),"""")"),935.0)</f>
        <v>935</v>
      </c>
      <c r="V456" s="23" t="str">
        <f>IFERROR(__xludf.DUMMYFUNCTION("IFERROR(GOOGLEFINANCE(A456,""changepct""),"""")"),"")</f>
        <v/>
      </c>
      <c r="W456" s="22">
        <f>IFERROR(__xludf.DUMMYFUNCTION("IFERROR(GOOGLEFINANCE(A456,""priceopen""),"""")"),935.0)</f>
        <v>935</v>
      </c>
      <c r="X456" s="22">
        <f>IFERROR(__xludf.DUMMYFUNCTION("IFERROR(GOOGLEFINANCE(A456,""high""),"""")"),980.0)</f>
        <v>980</v>
      </c>
      <c r="Y456" s="22">
        <f>IFERROR(__xludf.DUMMYFUNCTION("IFERROR(GOOGLEFINANCE(A456,""low""),"""")"),930.0)</f>
        <v>930</v>
      </c>
      <c r="Z456" s="22">
        <f>IFERROR(__xludf.DUMMYFUNCTION("IFERROR(GOOGLEFINANCE(A456,""volume""),"""")"),5453300.0)</f>
        <v>5453300</v>
      </c>
      <c r="AA456" s="24" t="str">
        <f>VLOOKUP(A456,Metrik!$C$2:$Y$959,5,0)</f>
        <v>Banks</v>
      </c>
      <c r="AB456" s="24" t="str">
        <f>VLOOKUP(A456,Metrik!$C$2:$Y$959,3,0)</f>
        <v>Financials</v>
      </c>
    </row>
    <row r="457">
      <c r="A457" s="14" t="s">
        <v>249</v>
      </c>
      <c r="B457" s="14" t="str">
        <f t="array" ref="B457">VLOOKUP(A457,{Metrik!$C$2:$C$998,Metrik!$B$2:$B$998},2,0)</f>
        <v>Bank BTPN Syariah Tbk.</v>
      </c>
      <c r="C457" s="15">
        <f>IFERROR(__xludf.DUMMYFUNCTION("GOOGLEFINANCE(""IDX:""&amp;A457,""price"")"),965.0)</f>
        <v>965</v>
      </c>
      <c r="D457" s="16" t="str">
        <f>IFERROR(__xludf.DUMMYFUNCTION("IF(A457="""","""",
SPARKLINE(
INDEX(
GOOGLEFINANCE(""IDX:""&amp;A457,""close"",TODAY()-365,TODAY()),
,2
),
{""linewidth"",1}
))
"),"#N/A")</f>
        <v>#N/A</v>
      </c>
      <c r="E457" s="14" t="s">
        <v>75</v>
      </c>
      <c r="F457" s="14" t="s">
        <v>76</v>
      </c>
      <c r="G457" s="24">
        <f t="shared" si="2"/>
        <v>7</v>
      </c>
      <c r="H457" s="19">
        <f>VLOOKUP(A457,Metrik!$C$2:$Y$959,8,0)</f>
        <v>5.9</v>
      </c>
      <c r="I457" s="20">
        <f>VLOOKUP(A457,Metrik!$C$2:$Y$959,9,0)</f>
        <v>0.7</v>
      </c>
      <c r="J457" s="20">
        <f>VLOOKUP(A457,Metrik!$C$2:$Y$959,10,0)</f>
        <v>11.8</v>
      </c>
      <c r="K457" s="20">
        <f>VLOOKUP(A457,Metrik!$C$2:$Y$959,11,0)</f>
        <v>5.2</v>
      </c>
      <c r="L457" s="20">
        <f>VLOOKUP(A457,Metrik!$C$2:$Y$959,12,0)</f>
        <v>0.28</v>
      </c>
      <c r="M457" s="20">
        <f>VLOOKUP(A457,Metrik!$C$2:$Y$959,19,0)</f>
        <v>110</v>
      </c>
      <c r="N457" s="44">
        <v>21.7</v>
      </c>
      <c r="O457" s="44">
        <v>57.74</v>
      </c>
      <c r="P457" s="44">
        <v>84.7</v>
      </c>
      <c r="Q457" s="44">
        <v>2.59</v>
      </c>
      <c r="R457" s="44">
        <v>79.28</v>
      </c>
      <c r="S457" s="44">
        <v>48.82</v>
      </c>
      <c r="T457" s="47"/>
      <c r="U457" s="22">
        <f>IFERROR(__xludf.DUMMYFUNCTION("IFERROR(GOOGLEFINANCE(A457,""closeyest""),"""")"),935.0)</f>
        <v>935</v>
      </c>
      <c r="V457" s="23" t="str">
        <f>IFERROR(__xludf.DUMMYFUNCTION("IFERROR(GOOGLEFINANCE(A457,""changepct""),"""")"),"")</f>
        <v/>
      </c>
      <c r="W457" s="22">
        <f>IFERROR(__xludf.DUMMYFUNCTION("IFERROR(GOOGLEFINANCE(A457,""priceopen""),"""")"),935.0)</f>
        <v>935</v>
      </c>
      <c r="X457" s="22">
        <f>IFERROR(__xludf.DUMMYFUNCTION("IFERROR(GOOGLEFINANCE(A457,""high""),"""")"),980.0)</f>
        <v>980</v>
      </c>
      <c r="Y457" s="22">
        <f>IFERROR(__xludf.DUMMYFUNCTION("IFERROR(GOOGLEFINANCE(A457,""low""),"""")"),930.0)</f>
        <v>930</v>
      </c>
      <c r="Z457" s="22">
        <f>IFERROR(__xludf.DUMMYFUNCTION("IFERROR(GOOGLEFINANCE(A457,""volume""),"""")"),5453300.0)</f>
        <v>5453300</v>
      </c>
      <c r="AA457" s="24" t="str">
        <f>VLOOKUP(A457,Metrik!$C$2:$Y$959,5,0)</f>
        <v>Banks</v>
      </c>
      <c r="AB457" s="24" t="str">
        <f>VLOOKUP(A457,Metrik!$C$2:$Y$959,3,0)</f>
        <v>Financials</v>
      </c>
    </row>
    <row r="458">
      <c r="A458" s="14" t="s">
        <v>249</v>
      </c>
      <c r="B458" s="14" t="str">
        <f t="array" ref="B458">VLOOKUP(A458,{Metrik!$C$2:$C$998,Metrik!$B$2:$B$998},2,0)</f>
        <v>Bank BTPN Syariah Tbk.</v>
      </c>
      <c r="C458" s="15">
        <f>IFERROR(__xludf.DUMMYFUNCTION("GOOGLEFINANCE(""IDX:""&amp;A458,""price"")"),965.0)</f>
        <v>965</v>
      </c>
      <c r="D458" s="16" t="str">
        <f>IFERROR(__xludf.DUMMYFUNCTION("IF(A458="""","""",
SPARKLINE(
INDEX(
GOOGLEFINANCE(""IDX:""&amp;A458,""close"",TODAY()-365,TODAY()),
,2
),
{""linewidth"",1}
))
"),"#N/A")</f>
        <v>#N/A</v>
      </c>
      <c r="E458" s="14" t="s">
        <v>32</v>
      </c>
      <c r="F458" s="14" t="s">
        <v>29</v>
      </c>
      <c r="G458" s="24">
        <f t="shared" si="2"/>
        <v>7</v>
      </c>
      <c r="H458" s="19">
        <f>VLOOKUP(A458,Metrik!$C$2:$Y$959,8,0)</f>
        <v>5.9</v>
      </c>
      <c r="I458" s="20">
        <f>VLOOKUP(A458,Metrik!$C$2:$Y$959,9,0)</f>
        <v>0.7</v>
      </c>
      <c r="J458" s="20">
        <f>VLOOKUP(A458,Metrik!$C$2:$Y$959,10,0)</f>
        <v>11.8</v>
      </c>
      <c r="K458" s="20">
        <f>VLOOKUP(A458,Metrik!$C$2:$Y$959,11,0)</f>
        <v>5.2</v>
      </c>
      <c r="L458" s="20">
        <f>VLOOKUP(A458,Metrik!$C$2:$Y$959,12,0)</f>
        <v>0.28</v>
      </c>
      <c r="M458" s="20">
        <f>VLOOKUP(A458,Metrik!$C$2:$Y$959,19,0)</f>
        <v>110</v>
      </c>
      <c r="N458" s="44">
        <v>21.7</v>
      </c>
      <c r="O458" s="44">
        <v>57.74</v>
      </c>
      <c r="P458" s="44">
        <v>84.7</v>
      </c>
      <c r="Q458" s="44">
        <v>2.59</v>
      </c>
      <c r="R458" s="44">
        <v>79.28</v>
      </c>
      <c r="S458" s="44">
        <v>48.82</v>
      </c>
      <c r="T458" s="47"/>
      <c r="U458" s="22">
        <f>IFERROR(__xludf.DUMMYFUNCTION("IFERROR(GOOGLEFINANCE(A458,""closeyest""),"""")"),935.0)</f>
        <v>935</v>
      </c>
      <c r="V458" s="23" t="str">
        <f>IFERROR(__xludf.DUMMYFUNCTION("IFERROR(GOOGLEFINANCE(A458,""changepct""),"""")"),"")</f>
        <v/>
      </c>
      <c r="W458" s="22">
        <f>IFERROR(__xludf.DUMMYFUNCTION("IFERROR(GOOGLEFINANCE(A458,""priceopen""),"""")"),935.0)</f>
        <v>935</v>
      </c>
      <c r="X458" s="22">
        <f>IFERROR(__xludf.DUMMYFUNCTION("IFERROR(GOOGLEFINANCE(A458,""high""),"""")"),980.0)</f>
        <v>980</v>
      </c>
      <c r="Y458" s="22">
        <f>IFERROR(__xludf.DUMMYFUNCTION("IFERROR(GOOGLEFINANCE(A458,""low""),"""")"),930.0)</f>
        <v>930</v>
      </c>
      <c r="Z458" s="22">
        <f>IFERROR(__xludf.DUMMYFUNCTION("IFERROR(GOOGLEFINANCE(A458,""volume""),"""")"),5453300.0)</f>
        <v>5453300</v>
      </c>
      <c r="AA458" s="24" t="str">
        <f>VLOOKUP(A458,Metrik!$C$2:$Y$959,5,0)</f>
        <v>Banks</v>
      </c>
      <c r="AB458" s="24" t="str">
        <f>VLOOKUP(A458,Metrik!$C$2:$Y$959,3,0)</f>
        <v>Financials</v>
      </c>
    </row>
    <row r="459">
      <c r="A459" s="14" t="s">
        <v>249</v>
      </c>
      <c r="B459" s="14" t="str">
        <f t="array" ref="B459">VLOOKUP(A459,{Metrik!$C$2:$C$998,Metrik!$B$2:$B$998},2,0)</f>
        <v>Bank BTPN Syariah Tbk.</v>
      </c>
      <c r="C459" s="15">
        <f>IFERROR(__xludf.DUMMYFUNCTION("GOOGLEFINANCE(""IDX:""&amp;A459,""price"")"),965.0)</f>
        <v>965</v>
      </c>
      <c r="D459" s="16" t="str">
        <f>IFERROR(__xludf.DUMMYFUNCTION("IF(A459="""","""",
SPARKLINE(
INDEX(
GOOGLEFINANCE(""IDX:""&amp;A459,""close"",TODAY()-365,TODAY()),
,2
),
{""linewidth"",1}
))
"),"#N/A")</f>
        <v>#N/A</v>
      </c>
      <c r="E459" s="14" t="s">
        <v>41</v>
      </c>
      <c r="F459" s="14" t="s">
        <v>34</v>
      </c>
      <c r="G459" s="24">
        <f t="shared" si="2"/>
        <v>7</v>
      </c>
      <c r="H459" s="19">
        <f>VLOOKUP(A459,Metrik!$C$2:$Y$959,8,0)</f>
        <v>5.9</v>
      </c>
      <c r="I459" s="20">
        <f>VLOOKUP(A459,Metrik!$C$2:$Y$959,9,0)</f>
        <v>0.7</v>
      </c>
      <c r="J459" s="20">
        <f>VLOOKUP(A459,Metrik!$C$2:$Y$959,10,0)</f>
        <v>11.8</v>
      </c>
      <c r="K459" s="20">
        <f>VLOOKUP(A459,Metrik!$C$2:$Y$959,11,0)</f>
        <v>5.2</v>
      </c>
      <c r="L459" s="20">
        <f>VLOOKUP(A459,Metrik!$C$2:$Y$959,12,0)</f>
        <v>0.28</v>
      </c>
      <c r="M459" s="20">
        <f>VLOOKUP(A459,Metrik!$C$2:$Y$959,19,0)</f>
        <v>110</v>
      </c>
      <c r="N459" s="44">
        <v>21.7</v>
      </c>
      <c r="O459" s="44">
        <v>57.74</v>
      </c>
      <c r="P459" s="44">
        <v>84.7</v>
      </c>
      <c r="Q459" s="44">
        <v>2.59</v>
      </c>
      <c r="R459" s="44">
        <v>79.28</v>
      </c>
      <c r="S459" s="44">
        <v>48.82</v>
      </c>
      <c r="T459" s="47"/>
      <c r="U459" s="22">
        <f>IFERROR(__xludf.DUMMYFUNCTION("IFERROR(GOOGLEFINANCE(A459,""closeyest""),"""")"),935.0)</f>
        <v>935</v>
      </c>
      <c r="V459" s="23" t="str">
        <f>IFERROR(__xludf.DUMMYFUNCTION("IFERROR(GOOGLEFINANCE(A459,""changepct""),"""")"),"")</f>
        <v/>
      </c>
      <c r="W459" s="22">
        <f>IFERROR(__xludf.DUMMYFUNCTION("IFERROR(GOOGLEFINANCE(A459,""priceopen""),"""")"),935.0)</f>
        <v>935</v>
      </c>
      <c r="X459" s="22">
        <f>IFERROR(__xludf.DUMMYFUNCTION("IFERROR(GOOGLEFINANCE(A459,""high""),"""")"),980.0)</f>
        <v>980</v>
      </c>
      <c r="Y459" s="22">
        <f>IFERROR(__xludf.DUMMYFUNCTION("IFERROR(GOOGLEFINANCE(A459,""low""),"""")"),930.0)</f>
        <v>930</v>
      </c>
      <c r="Z459" s="22">
        <f>IFERROR(__xludf.DUMMYFUNCTION("IFERROR(GOOGLEFINANCE(A459,""volume""),"""")"),5453300.0)</f>
        <v>5453300</v>
      </c>
      <c r="AA459" s="24" t="str">
        <f>VLOOKUP(A459,Metrik!$C$2:$Y$959,5,0)</f>
        <v>Banks</v>
      </c>
      <c r="AB459" s="24" t="str">
        <f>VLOOKUP(A459,Metrik!$C$2:$Y$959,3,0)</f>
        <v>Financials</v>
      </c>
    </row>
    <row r="460">
      <c r="A460" s="14" t="s">
        <v>249</v>
      </c>
      <c r="B460" s="14" t="str">
        <f t="array" ref="B460">VLOOKUP(A460,{Metrik!$C$2:$C$998,Metrik!$B$2:$B$998},2,0)</f>
        <v>Bank BTPN Syariah Tbk.</v>
      </c>
      <c r="C460" s="15">
        <f>IFERROR(__xludf.DUMMYFUNCTION("GOOGLEFINANCE(""IDX:""&amp;A460,""price"")"),965.0)</f>
        <v>965</v>
      </c>
      <c r="D460" s="16" t="str">
        <f>IFERROR(__xludf.DUMMYFUNCTION("IF(A460="""","""",
SPARKLINE(
INDEX(
GOOGLEFINANCE(""IDX:""&amp;A460,""close"",TODAY()-365,TODAY()),
,2
),
{""linewidth"",1}
))
"),"#N/A")</f>
        <v>#N/A</v>
      </c>
      <c r="E460" s="14" t="s">
        <v>39</v>
      </c>
      <c r="F460" s="25">
        <v>46356.0</v>
      </c>
      <c r="G460" s="24">
        <f t="shared" si="2"/>
        <v>7</v>
      </c>
      <c r="H460" s="19">
        <f>VLOOKUP(A460,Metrik!$C$2:$Y$959,8,0)</f>
        <v>5.9</v>
      </c>
      <c r="I460" s="20">
        <f>VLOOKUP(A460,Metrik!$C$2:$Y$959,9,0)</f>
        <v>0.7</v>
      </c>
      <c r="J460" s="20">
        <f>VLOOKUP(A460,Metrik!$C$2:$Y$959,10,0)</f>
        <v>11.8</v>
      </c>
      <c r="K460" s="20">
        <f>VLOOKUP(A460,Metrik!$C$2:$Y$959,11,0)</f>
        <v>5.2</v>
      </c>
      <c r="L460" s="20">
        <f>VLOOKUP(A460,Metrik!$C$2:$Y$959,12,0)</f>
        <v>0.28</v>
      </c>
      <c r="M460" s="20">
        <f>VLOOKUP(A460,Metrik!$C$2:$Y$959,19,0)</f>
        <v>110</v>
      </c>
      <c r="N460" s="44">
        <v>21.7</v>
      </c>
      <c r="O460" s="44">
        <v>57.74</v>
      </c>
      <c r="P460" s="44">
        <v>84.7</v>
      </c>
      <c r="Q460" s="44">
        <v>2.59</v>
      </c>
      <c r="R460" s="44">
        <v>79.28</v>
      </c>
      <c r="S460" s="44">
        <v>48.82</v>
      </c>
      <c r="T460" s="47"/>
      <c r="U460" s="22">
        <f>IFERROR(__xludf.DUMMYFUNCTION("IFERROR(GOOGLEFINANCE(A460,""closeyest""),"""")"),935.0)</f>
        <v>935</v>
      </c>
      <c r="V460" s="23" t="str">
        <f>IFERROR(__xludf.DUMMYFUNCTION("IFERROR(GOOGLEFINANCE(A460,""changepct""),"""")"),"")</f>
        <v/>
      </c>
      <c r="W460" s="22">
        <f>IFERROR(__xludf.DUMMYFUNCTION("IFERROR(GOOGLEFINANCE(A460,""priceopen""),"""")"),935.0)</f>
        <v>935</v>
      </c>
      <c r="X460" s="22">
        <f>IFERROR(__xludf.DUMMYFUNCTION("IFERROR(GOOGLEFINANCE(A460,""high""),"""")"),980.0)</f>
        <v>980</v>
      </c>
      <c r="Y460" s="22">
        <f>IFERROR(__xludf.DUMMYFUNCTION("IFERROR(GOOGLEFINANCE(A460,""low""),"""")"),930.0)</f>
        <v>930</v>
      </c>
      <c r="Z460" s="22">
        <f>IFERROR(__xludf.DUMMYFUNCTION("IFERROR(GOOGLEFINANCE(A460,""volume""),"""")"),5453300.0)</f>
        <v>5453300</v>
      </c>
      <c r="AA460" s="24" t="str">
        <f>VLOOKUP(A460,Metrik!$C$2:$Y$959,5,0)</f>
        <v>Banks</v>
      </c>
      <c r="AB460" s="24" t="str">
        <f>VLOOKUP(A460,Metrik!$C$2:$Y$959,3,0)</f>
        <v>Financials</v>
      </c>
    </row>
    <row r="461">
      <c r="A461" s="14" t="s">
        <v>250</v>
      </c>
      <c r="B461" s="14" t="str">
        <f t="array" ref="B461">VLOOKUP(A461,{Metrik!$C$2:$C$998,Metrik!$B$2:$B$998},2,0)</f>
        <v>Segar Kumala Indonesia Tbk.</v>
      </c>
      <c r="C461" s="15">
        <f>IFERROR(__xludf.DUMMYFUNCTION("GOOGLEFINANCE(""IDX:""&amp;A461,""price"")"),510.0)</f>
        <v>510</v>
      </c>
      <c r="D461" s="16" t="str">
        <f>IFERROR(__xludf.DUMMYFUNCTION("IF(A461="""","""",
SPARKLINE(
INDEX(
GOOGLEFINANCE(""IDX:""&amp;A461,""close"",TODAY()-365,TODAY()),
,2
),
{""linewidth"",1}
))
"),"#N/A")</f>
        <v>#N/A</v>
      </c>
      <c r="E461" s="26"/>
      <c r="F461" s="26"/>
      <c r="G461" s="24">
        <f t="shared" si="2"/>
        <v>0</v>
      </c>
      <c r="H461" s="19">
        <f>VLOOKUP(A461,Metrik!$C$2:$Y$959,8,0)</f>
        <v>17.7</v>
      </c>
      <c r="I461" s="20">
        <f>VLOOKUP(A461,Metrik!$C$2:$Y$959,9,0)</f>
        <v>4.9</v>
      </c>
      <c r="J461" s="20">
        <f>VLOOKUP(A461,Metrik!$C$2:$Y$959,10,0)</f>
        <v>27.7</v>
      </c>
      <c r="K461" s="20">
        <f>VLOOKUP(A461,Metrik!$C$2:$Y$959,11,0)</f>
        <v>10.8</v>
      </c>
      <c r="L461" s="20">
        <f>VLOOKUP(A461,Metrik!$C$2:$Y$959,12,0)</f>
        <v>1.6</v>
      </c>
      <c r="M461" s="20">
        <f>VLOOKUP(A461,Metrik!$C$2:$Y$959,19,0)</f>
        <v>6.7</v>
      </c>
      <c r="N461" s="21"/>
      <c r="O461" s="21"/>
      <c r="P461" s="21"/>
      <c r="Q461" s="21"/>
      <c r="R461" s="21"/>
      <c r="S461" s="21"/>
      <c r="T461" s="21"/>
      <c r="U461" s="22">
        <f>IFERROR(__xludf.DUMMYFUNCTION("IFERROR(GOOGLEFINANCE(A461,""closeyest""),"""")"),505.0)</f>
        <v>505</v>
      </c>
      <c r="V461" s="23">
        <f>IFERROR(__xludf.DUMMYFUNCTION("IFERROR(GOOGLEFINANCE(A461,""changepct""),"""")"),0.99)</f>
        <v>0.99</v>
      </c>
      <c r="W461" s="22">
        <f>IFERROR(__xludf.DUMMYFUNCTION("IFERROR(GOOGLEFINANCE(A461,""priceopen""),"""")"),510.0)</f>
        <v>510</v>
      </c>
      <c r="X461" s="22">
        <f>IFERROR(__xludf.DUMMYFUNCTION("IFERROR(GOOGLEFINANCE(A461,""high""),"""")"),515.0)</f>
        <v>515</v>
      </c>
      <c r="Y461" s="22">
        <f>IFERROR(__xludf.DUMMYFUNCTION("IFERROR(GOOGLEFINANCE(A461,""low""),"""")"),500.0)</f>
        <v>500</v>
      </c>
      <c r="Z461" s="22">
        <f>IFERROR(__xludf.DUMMYFUNCTION("IFERROR(GOOGLEFINANCE(A461,""volume""),"""")"),200600.0)</f>
        <v>200600</v>
      </c>
      <c r="AA461" s="24" t="str">
        <f>VLOOKUP(A461,Metrik!$C$2:$Y$959,5,0)</f>
        <v>Food &amp; Staples Retailing</v>
      </c>
      <c r="AB461" s="24" t="str">
        <f>VLOOKUP(A461,Metrik!$C$2:$Y$959,3,0)</f>
        <v>Consumer Non-Cyclicals</v>
      </c>
    </row>
    <row r="462">
      <c r="A462" s="14" t="s">
        <v>251</v>
      </c>
      <c r="B462" s="14" t="str">
        <f t="array" ref="B462">VLOOKUP(A462,{Metrik!$C$2:$C$998,Metrik!$B$2:$B$998},2,0)</f>
        <v>Budi Starch &amp; Sweetener Tbk.</v>
      </c>
      <c r="C462" s="15">
        <f>IFERROR(__xludf.DUMMYFUNCTION("GOOGLEFINANCE(""IDX:""&amp;A462,""price"")"),204.0)</f>
        <v>204</v>
      </c>
      <c r="D462" s="16" t="str">
        <f>IFERROR(__xludf.DUMMYFUNCTION("IF(A462="""","""",
SPARKLINE(
INDEX(
GOOGLEFINANCE(""IDX:""&amp;A462,""close"",TODAY()-365,TODAY()),
,2
),
{""linewidth"",1}
))
"),"#N/A")</f>
        <v>#N/A</v>
      </c>
      <c r="E462" s="26"/>
      <c r="F462" s="26"/>
      <c r="G462" s="24">
        <f t="shared" si="2"/>
        <v>0</v>
      </c>
      <c r="H462" s="19">
        <f>VLOOKUP(A462,Metrik!$C$2:$Y$959,8,0)</f>
        <v>7.5</v>
      </c>
      <c r="I462" s="20">
        <f>VLOOKUP(A462,Metrik!$C$2:$Y$959,9,0)</f>
        <v>0.53</v>
      </c>
      <c r="J462" s="20">
        <f>VLOOKUP(A462,Metrik!$C$2:$Y$959,10,0)</f>
        <v>7.1</v>
      </c>
      <c r="K462" s="20">
        <f>VLOOKUP(A462,Metrik!$C$2:$Y$959,11,0)</f>
        <v>3</v>
      </c>
      <c r="L462" s="20">
        <f>VLOOKUP(A462,Metrik!$C$2:$Y$959,12,0)</f>
        <v>1.4</v>
      </c>
      <c r="M462" s="20">
        <f>VLOOKUP(A462,Metrik!$C$2:$Y$959,19,0)</f>
        <v>11.8</v>
      </c>
      <c r="N462" s="21"/>
      <c r="O462" s="21"/>
      <c r="P462" s="21"/>
      <c r="Q462" s="21"/>
      <c r="R462" s="21"/>
      <c r="S462" s="21"/>
      <c r="T462" s="21"/>
      <c r="U462" s="22">
        <f>IFERROR(__xludf.DUMMYFUNCTION("IFERROR(GOOGLEFINANCE(A462,""closeyest""),"""")"),204.0)</f>
        <v>204</v>
      </c>
      <c r="V462" s="23">
        <f>IFERROR(__xludf.DUMMYFUNCTION("IFERROR(GOOGLEFINANCE(A462,""changepct""),"""")"),0.0)</f>
        <v>0</v>
      </c>
      <c r="W462" s="22">
        <f>IFERROR(__xludf.DUMMYFUNCTION("IFERROR(GOOGLEFINANCE(A462,""priceopen""),"""")"),206.0)</f>
        <v>206</v>
      </c>
      <c r="X462" s="22">
        <f>IFERROR(__xludf.DUMMYFUNCTION("IFERROR(GOOGLEFINANCE(A462,""high""),"""")"),206.0)</f>
        <v>206</v>
      </c>
      <c r="Y462" s="22">
        <f>IFERROR(__xludf.DUMMYFUNCTION("IFERROR(GOOGLEFINANCE(A462,""low""),"""")"),204.0)</f>
        <v>204</v>
      </c>
      <c r="Z462" s="22">
        <f>IFERROR(__xludf.DUMMYFUNCTION("IFERROR(GOOGLEFINANCE(A462,""volume""),"""")"),22800.0)</f>
        <v>22800</v>
      </c>
      <c r="AA462" s="24" t="str">
        <f>VLOOKUP(A462,Metrik!$C$2:$Y$959,5,0)</f>
        <v>Processed Foods</v>
      </c>
      <c r="AB462" s="24" t="str">
        <f>VLOOKUP(A462,Metrik!$C$2:$Y$959,3,0)</f>
        <v>Consumer Non-Cyclicals</v>
      </c>
    </row>
    <row r="463">
      <c r="A463" s="14" t="s">
        <v>252</v>
      </c>
      <c r="B463" s="14" t="str">
        <f t="array" ref="B463">VLOOKUP(A463,{Metrik!$C$2:$C$998,Metrik!$B$2:$B$998},2,0)</f>
        <v>Bukalapak.com Tbk.</v>
      </c>
      <c r="C463" s="15">
        <f>IFERROR(__xludf.DUMMYFUNCTION("GOOGLEFINANCE(""IDX:""&amp;A463,""price"")"),113.0)</f>
        <v>113</v>
      </c>
      <c r="D463" s="16" t="str">
        <f>IFERROR(__xludf.DUMMYFUNCTION("IF(A463="""","""",
SPARKLINE(
INDEX(
GOOGLEFINANCE(""IDX:""&amp;A463,""close"",TODAY()-365,TODAY()),
,2
),
{""linewidth"",1}
))
"),"#N/A")</f>
        <v>#N/A</v>
      </c>
      <c r="E463" s="14" t="s">
        <v>28</v>
      </c>
      <c r="F463" s="17" t="s">
        <v>29</v>
      </c>
      <c r="G463" s="24">
        <f t="shared" si="2"/>
        <v>6</v>
      </c>
      <c r="H463" s="19">
        <f>VLOOKUP(A463,Metrik!$C$2:$Y$959,8,0)</f>
        <v>4.8</v>
      </c>
      <c r="I463" s="20">
        <f>VLOOKUP(A463,Metrik!$C$2:$Y$959,9,0)</f>
        <v>0.51</v>
      </c>
      <c r="J463" s="20">
        <f>VLOOKUP(A463,Metrik!$C$2:$Y$959,10,0)</f>
        <v>10.5</v>
      </c>
      <c r="K463" s="20">
        <f>VLOOKUP(A463,Metrik!$C$2:$Y$959,11,0)</f>
        <v>10.3</v>
      </c>
      <c r="L463" s="20">
        <f>VLOOKUP(A463,Metrik!$C$2:$Y$959,12,0)</f>
        <v>0.03</v>
      </c>
      <c r="M463" s="20">
        <f>VLOOKUP(A463,Metrik!$C$2:$Y$959,19,0)</f>
        <v>110</v>
      </c>
      <c r="N463" s="21"/>
      <c r="O463" s="21"/>
      <c r="P463" s="21"/>
      <c r="Q463" s="21"/>
      <c r="R463" s="21"/>
      <c r="S463" s="21"/>
      <c r="T463" s="21"/>
      <c r="U463" s="22">
        <f>IFERROR(__xludf.DUMMYFUNCTION("IFERROR(GOOGLEFINANCE(A463,""closeyest""),"""")"),114.0)</f>
        <v>114</v>
      </c>
      <c r="V463" s="23">
        <f>IFERROR(__xludf.DUMMYFUNCTION("IFERROR(GOOGLEFINANCE(A463,""changepct""),"""")"),-0.88)</f>
        <v>-0.88</v>
      </c>
      <c r="W463" s="22">
        <f>IFERROR(__xludf.DUMMYFUNCTION("IFERROR(GOOGLEFINANCE(A463,""priceopen""),"""")"),114.0)</f>
        <v>114</v>
      </c>
      <c r="X463" s="22">
        <f>IFERROR(__xludf.DUMMYFUNCTION("IFERROR(GOOGLEFINANCE(A463,""high""),"""")"),116.0)</f>
        <v>116</v>
      </c>
      <c r="Y463" s="22">
        <f>IFERROR(__xludf.DUMMYFUNCTION("IFERROR(GOOGLEFINANCE(A463,""low""),"""")"),112.0)</f>
        <v>112</v>
      </c>
      <c r="Z463" s="22">
        <f>IFERROR(__xludf.DUMMYFUNCTION("IFERROR(GOOGLEFINANCE(A463,""volume""),"""")"),5.01293E7)</f>
        <v>50129300</v>
      </c>
      <c r="AA463" s="24" t="str">
        <f>VLOOKUP(A463,Metrik!$C$2:$Y$959,5,0)</f>
        <v>Online Applications &amp; Services</v>
      </c>
      <c r="AB463" s="24" t="str">
        <f>VLOOKUP(A463,Metrik!$C$2:$Y$959,3,0)</f>
        <v>Technology</v>
      </c>
    </row>
    <row r="464">
      <c r="A464" s="14" t="s">
        <v>252</v>
      </c>
      <c r="B464" s="14" t="str">
        <f t="array" ref="B464">VLOOKUP(A464,{Metrik!$C$2:$C$998,Metrik!$B$2:$B$998},2,0)</f>
        <v>Bukalapak.com Tbk.</v>
      </c>
      <c r="C464" s="15">
        <f>IFERROR(__xludf.DUMMYFUNCTION("GOOGLEFINANCE(""IDX:""&amp;A464,""price"")"),113.0)</f>
        <v>113</v>
      </c>
      <c r="D464" s="16" t="str">
        <f>IFERROR(__xludf.DUMMYFUNCTION("IF(A464="""","""",
SPARKLINE(
INDEX(
GOOGLEFINANCE(""IDX:""&amp;A464,""close"",TODAY()-365,TODAY()),
,2
),
{""linewidth"",1}
))
"),"#N/A")</f>
        <v>#N/A</v>
      </c>
      <c r="E464" s="14" t="s">
        <v>32</v>
      </c>
      <c r="F464" s="14" t="s">
        <v>29</v>
      </c>
      <c r="G464" s="24">
        <f t="shared" si="2"/>
        <v>6</v>
      </c>
      <c r="H464" s="19">
        <f>VLOOKUP(A464,Metrik!$C$2:$Y$959,8,0)</f>
        <v>4.8</v>
      </c>
      <c r="I464" s="20">
        <f>VLOOKUP(A464,Metrik!$C$2:$Y$959,9,0)</f>
        <v>0.51</v>
      </c>
      <c r="J464" s="20">
        <f>VLOOKUP(A464,Metrik!$C$2:$Y$959,10,0)</f>
        <v>10.5</v>
      </c>
      <c r="K464" s="20">
        <f>VLOOKUP(A464,Metrik!$C$2:$Y$959,11,0)</f>
        <v>10.3</v>
      </c>
      <c r="L464" s="20">
        <f>VLOOKUP(A464,Metrik!$C$2:$Y$959,12,0)</f>
        <v>0.03</v>
      </c>
      <c r="M464" s="20">
        <f>VLOOKUP(A464,Metrik!$C$2:$Y$959,19,0)</f>
        <v>110</v>
      </c>
      <c r="N464" s="21"/>
      <c r="O464" s="21"/>
      <c r="P464" s="21"/>
      <c r="Q464" s="21"/>
      <c r="R464" s="21"/>
      <c r="S464" s="21"/>
      <c r="T464" s="21"/>
      <c r="U464" s="22">
        <f>IFERROR(__xludf.DUMMYFUNCTION("IFERROR(GOOGLEFINANCE(A464,""closeyest""),"""")"),114.0)</f>
        <v>114</v>
      </c>
      <c r="V464" s="23">
        <f>IFERROR(__xludf.DUMMYFUNCTION("IFERROR(GOOGLEFINANCE(A464,""changepct""),"""")"),-0.88)</f>
        <v>-0.88</v>
      </c>
      <c r="W464" s="22">
        <f>IFERROR(__xludf.DUMMYFUNCTION("IFERROR(GOOGLEFINANCE(A464,""priceopen""),"""")"),114.0)</f>
        <v>114</v>
      </c>
      <c r="X464" s="22">
        <f>IFERROR(__xludf.DUMMYFUNCTION("IFERROR(GOOGLEFINANCE(A464,""high""),"""")"),116.0)</f>
        <v>116</v>
      </c>
      <c r="Y464" s="22">
        <f>IFERROR(__xludf.DUMMYFUNCTION("IFERROR(GOOGLEFINANCE(A464,""low""),"""")"),112.0)</f>
        <v>112</v>
      </c>
      <c r="Z464" s="22">
        <f>IFERROR(__xludf.DUMMYFUNCTION("IFERROR(GOOGLEFINANCE(A464,""volume""),"""")"),5.01293E7)</f>
        <v>50129300</v>
      </c>
      <c r="AA464" s="24" t="str">
        <f>VLOOKUP(A464,Metrik!$C$2:$Y$959,5,0)</f>
        <v>Online Applications &amp; Services</v>
      </c>
      <c r="AB464" s="24" t="str">
        <f>VLOOKUP(A464,Metrik!$C$2:$Y$959,3,0)</f>
        <v>Technology</v>
      </c>
    </row>
    <row r="465">
      <c r="A465" s="14" t="s">
        <v>252</v>
      </c>
      <c r="B465" s="14" t="str">
        <f t="array" ref="B465">VLOOKUP(A465,{Metrik!$C$2:$C$998,Metrik!$B$2:$B$998},2,0)</f>
        <v>Bukalapak.com Tbk.</v>
      </c>
      <c r="C465" s="15">
        <f>IFERROR(__xludf.DUMMYFUNCTION("GOOGLEFINANCE(""IDX:""&amp;A465,""price"")"),113.0)</f>
        <v>113</v>
      </c>
      <c r="D465" s="16" t="str">
        <f>IFERROR(__xludf.DUMMYFUNCTION("IF(A465="""","""",
SPARKLINE(
INDEX(
GOOGLEFINANCE(""IDX:""&amp;A465,""close"",TODAY()-365,TODAY()),
,2
),
{""linewidth"",1}
))
"),"#N/A")</f>
        <v>#N/A</v>
      </c>
      <c r="E465" s="14" t="s">
        <v>50</v>
      </c>
      <c r="F465" s="17" t="s">
        <v>51</v>
      </c>
      <c r="G465" s="24">
        <f t="shared" si="2"/>
        <v>6</v>
      </c>
      <c r="H465" s="19">
        <f>VLOOKUP(A465,Metrik!$C$2:$Y$959,8,0)</f>
        <v>4.8</v>
      </c>
      <c r="I465" s="20">
        <f>VLOOKUP(A465,Metrik!$C$2:$Y$959,9,0)</f>
        <v>0.51</v>
      </c>
      <c r="J465" s="20">
        <f>VLOOKUP(A465,Metrik!$C$2:$Y$959,10,0)</f>
        <v>10.5</v>
      </c>
      <c r="K465" s="20">
        <f>VLOOKUP(A465,Metrik!$C$2:$Y$959,11,0)</f>
        <v>10.3</v>
      </c>
      <c r="L465" s="20">
        <f>VLOOKUP(A465,Metrik!$C$2:$Y$959,12,0)</f>
        <v>0.03</v>
      </c>
      <c r="M465" s="20">
        <f>VLOOKUP(A465,Metrik!$C$2:$Y$959,19,0)</f>
        <v>110</v>
      </c>
      <c r="N465" s="21"/>
      <c r="O465" s="21"/>
      <c r="P465" s="21"/>
      <c r="Q465" s="21"/>
      <c r="R465" s="21"/>
      <c r="S465" s="21"/>
      <c r="T465" s="21"/>
      <c r="U465" s="22">
        <f>IFERROR(__xludf.DUMMYFUNCTION("IFERROR(GOOGLEFINANCE(A465,""closeyest""),"""")"),114.0)</f>
        <v>114</v>
      </c>
      <c r="V465" s="23">
        <f>IFERROR(__xludf.DUMMYFUNCTION("IFERROR(GOOGLEFINANCE(A465,""changepct""),"""")"),-0.88)</f>
        <v>-0.88</v>
      </c>
      <c r="W465" s="22">
        <f>IFERROR(__xludf.DUMMYFUNCTION("IFERROR(GOOGLEFINANCE(A465,""priceopen""),"""")"),114.0)</f>
        <v>114</v>
      </c>
      <c r="X465" s="22">
        <f>IFERROR(__xludf.DUMMYFUNCTION("IFERROR(GOOGLEFINANCE(A465,""high""),"""")"),116.0)</f>
        <v>116</v>
      </c>
      <c r="Y465" s="22">
        <f>IFERROR(__xludf.DUMMYFUNCTION("IFERROR(GOOGLEFINANCE(A465,""low""),"""")"),112.0)</f>
        <v>112</v>
      </c>
      <c r="Z465" s="22">
        <f>IFERROR(__xludf.DUMMYFUNCTION("IFERROR(GOOGLEFINANCE(A465,""volume""),"""")"),5.01293E7)</f>
        <v>50129300</v>
      </c>
      <c r="AA465" s="24" t="str">
        <f>VLOOKUP(A465,Metrik!$C$2:$Y$959,5,0)</f>
        <v>Online Applications &amp; Services</v>
      </c>
      <c r="AB465" s="24" t="str">
        <f>VLOOKUP(A465,Metrik!$C$2:$Y$959,3,0)</f>
        <v>Technology</v>
      </c>
    </row>
    <row r="466">
      <c r="A466" s="14" t="s">
        <v>252</v>
      </c>
      <c r="B466" s="14" t="str">
        <f t="array" ref="B466">VLOOKUP(A466,{Metrik!$C$2:$C$998,Metrik!$B$2:$B$998},2,0)</f>
        <v>Bukalapak.com Tbk.</v>
      </c>
      <c r="C466" s="15">
        <f>IFERROR(__xludf.DUMMYFUNCTION("GOOGLEFINANCE(""IDX:""&amp;A466,""price"")"),113.0)</f>
        <v>113</v>
      </c>
      <c r="D466" s="16" t="str">
        <f>IFERROR(__xludf.DUMMYFUNCTION("IF(A466="""","""",
SPARKLINE(
INDEX(
GOOGLEFINANCE(""IDX:""&amp;A466,""close"",TODAY()-365,TODAY()),
,2
),
{""linewidth"",1}
))
"),"#N/A")</f>
        <v>#N/A</v>
      </c>
      <c r="E466" s="14" t="s">
        <v>41</v>
      </c>
      <c r="F466" s="14" t="s">
        <v>34</v>
      </c>
      <c r="G466" s="24">
        <f t="shared" si="2"/>
        <v>6</v>
      </c>
      <c r="H466" s="19">
        <f>VLOOKUP(A466,Metrik!$C$2:$Y$959,8,0)</f>
        <v>4.8</v>
      </c>
      <c r="I466" s="20">
        <f>VLOOKUP(A466,Metrik!$C$2:$Y$959,9,0)</f>
        <v>0.51</v>
      </c>
      <c r="J466" s="20">
        <f>VLOOKUP(A466,Metrik!$C$2:$Y$959,10,0)</f>
        <v>10.5</v>
      </c>
      <c r="K466" s="20">
        <f>VLOOKUP(A466,Metrik!$C$2:$Y$959,11,0)</f>
        <v>10.3</v>
      </c>
      <c r="L466" s="20">
        <f>VLOOKUP(A466,Metrik!$C$2:$Y$959,12,0)</f>
        <v>0.03</v>
      </c>
      <c r="M466" s="20">
        <f>VLOOKUP(A466,Metrik!$C$2:$Y$959,19,0)</f>
        <v>110</v>
      </c>
      <c r="N466" s="21"/>
      <c r="O466" s="21"/>
      <c r="P466" s="21"/>
      <c r="Q466" s="21"/>
      <c r="R466" s="21"/>
      <c r="S466" s="21"/>
      <c r="T466" s="21"/>
      <c r="U466" s="22">
        <f>IFERROR(__xludf.DUMMYFUNCTION("IFERROR(GOOGLEFINANCE(A466,""closeyest""),"""")"),114.0)</f>
        <v>114</v>
      </c>
      <c r="V466" s="23">
        <f>IFERROR(__xludf.DUMMYFUNCTION("IFERROR(GOOGLEFINANCE(A466,""changepct""),"""")"),-0.88)</f>
        <v>-0.88</v>
      </c>
      <c r="W466" s="22">
        <f>IFERROR(__xludf.DUMMYFUNCTION("IFERROR(GOOGLEFINANCE(A466,""priceopen""),"""")"),114.0)</f>
        <v>114</v>
      </c>
      <c r="X466" s="22">
        <f>IFERROR(__xludf.DUMMYFUNCTION("IFERROR(GOOGLEFINANCE(A466,""high""),"""")"),116.0)</f>
        <v>116</v>
      </c>
      <c r="Y466" s="22">
        <f>IFERROR(__xludf.DUMMYFUNCTION("IFERROR(GOOGLEFINANCE(A466,""low""),"""")"),112.0)</f>
        <v>112</v>
      </c>
      <c r="Z466" s="22">
        <f>IFERROR(__xludf.DUMMYFUNCTION("IFERROR(GOOGLEFINANCE(A466,""volume""),"""")"),5.01293E7)</f>
        <v>50129300</v>
      </c>
      <c r="AA466" s="24" t="str">
        <f>VLOOKUP(A466,Metrik!$C$2:$Y$959,5,0)</f>
        <v>Online Applications &amp; Services</v>
      </c>
      <c r="AB466" s="24" t="str">
        <f>VLOOKUP(A466,Metrik!$C$2:$Y$959,3,0)</f>
        <v>Technology</v>
      </c>
    </row>
    <row r="467">
      <c r="A467" s="14" t="s">
        <v>252</v>
      </c>
      <c r="B467" s="14" t="str">
        <f t="array" ref="B467">VLOOKUP(A467,{Metrik!$C$2:$C$998,Metrik!$B$2:$B$998},2,0)</f>
        <v>Bukalapak.com Tbk.</v>
      </c>
      <c r="C467" s="15">
        <f>IFERROR(__xludf.DUMMYFUNCTION("GOOGLEFINANCE(""IDX:""&amp;A467,""price"")"),113.0)</f>
        <v>113</v>
      </c>
      <c r="D467" s="16" t="str">
        <f>IFERROR(__xludf.DUMMYFUNCTION("IF(A467="""","""",
SPARKLINE(
INDEX(
GOOGLEFINANCE(""IDX:""&amp;A467,""close"",TODAY()-365,TODAY()),
,2
),
{""linewidth"",1}
))
"),"#N/A")</f>
        <v>#N/A</v>
      </c>
      <c r="E467" s="14" t="s">
        <v>33</v>
      </c>
      <c r="F467" s="14" t="s">
        <v>34</v>
      </c>
      <c r="G467" s="24">
        <f t="shared" si="2"/>
        <v>6</v>
      </c>
      <c r="H467" s="19">
        <f>VLOOKUP(A467,Metrik!$C$2:$Y$959,8,0)</f>
        <v>4.8</v>
      </c>
      <c r="I467" s="20">
        <f>VLOOKUP(A467,Metrik!$C$2:$Y$959,9,0)</f>
        <v>0.51</v>
      </c>
      <c r="J467" s="20">
        <f>VLOOKUP(A467,Metrik!$C$2:$Y$959,10,0)</f>
        <v>10.5</v>
      </c>
      <c r="K467" s="20">
        <f>VLOOKUP(A467,Metrik!$C$2:$Y$959,11,0)</f>
        <v>10.3</v>
      </c>
      <c r="L467" s="20">
        <f>VLOOKUP(A467,Metrik!$C$2:$Y$959,12,0)</f>
        <v>0.03</v>
      </c>
      <c r="M467" s="20">
        <f>VLOOKUP(A467,Metrik!$C$2:$Y$959,19,0)</f>
        <v>110</v>
      </c>
      <c r="N467" s="21"/>
      <c r="O467" s="21"/>
      <c r="P467" s="21"/>
      <c r="Q467" s="21"/>
      <c r="R467" s="21"/>
      <c r="S467" s="21"/>
      <c r="T467" s="21"/>
      <c r="U467" s="22">
        <f>IFERROR(__xludf.DUMMYFUNCTION("IFERROR(GOOGLEFINANCE(A467,""closeyest""),"""")"),114.0)</f>
        <v>114</v>
      </c>
      <c r="V467" s="23">
        <f>IFERROR(__xludf.DUMMYFUNCTION("IFERROR(GOOGLEFINANCE(A467,""changepct""),"""")"),-0.88)</f>
        <v>-0.88</v>
      </c>
      <c r="W467" s="22">
        <f>IFERROR(__xludf.DUMMYFUNCTION("IFERROR(GOOGLEFINANCE(A467,""priceopen""),"""")"),114.0)</f>
        <v>114</v>
      </c>
      <c r="X467" s="22">
        <f>IFERROR(__xludf.DUMMYFUNCTION("IFERROR(GOOGLEFINANCE(A467,""high""),"""")"),116.0)</f>
        <v>116</v>
      </c>
      <c r="Y467" s="22">
        <f>IFERROR(__xludf.DUMMYFUNCTION("IFERROR(GOOGLEFINANCE(A467,""low""),"""")"),112.0)</f>
        <v>112</v>
      </c>
      <c r="Z467" s="22">
        <f>IFERROR(__xludf.DUMMYFUNCTION("IFERROR(GOOGLEFINANCE(A467,""volume""),"""")"),5.01293E7)</f>
        <v>50129300</v>
      </c>
      <c r="AA467" s="24" t="str">
        <f>VLOOKUP(A467,Metrik!$C$2:$Y$959,5,0)</f>
        <v>Online Applications &amp; Services</v>
      </c>
      <c r="AB467" s="24" t="str">
        <f>VLOOKUP(A467,Metrik!$C$2:$Y$959,3,0)</f>
        <v>Technology</v>
      </c>
    </row>
    <row r="468">
      <c r="A468" s="17" t="s">
        <v>252</v>
      </c>
      <c r="B468" s="14" t="str">
        <f t="array" ref="B468">VLOOKUP(A468,{Metrik!$C$2:$C$998,Metrik!$B$2:$B$998},2,0)</f>
        <v>Bukalapak.com Tbk.</v>
      </c>
      <c r="C468" s="15">
        <f>IFERROR(__xludf.DUMMYFUNCTION("GOOGLEFINANCE(""IDX:""&amp;A468,""price"")"),113.0)</f>
        <v>113</v>
      </c>
      <c r="D468" s="16" t="str">
        <f>IFERROR(__xludf.DUMMYFUNCTION("IF(A468="""","""",
SPARKLINE(
INDEX(
GOOGLEFINANCE(""IDX:""&amp;A468,""close"",TODAY()-365,TODAY()),
,2
),
{""linewidth"",1}
))
"),"#N/A")</f>
        <v>#N/A</v>
      </c>
      <c r="E468" s="14" t="s">
        <v>35</v>
      </c>
      <c r="F468" s="17" t="s">
        <v>36</v>
      </c>
      <c r="G468" s="24">
        <f t="shared" si="2"/>
        <v>6</v>
      </c>
      <c r="H468" s="19">
        <f>VLOOKUP(A468,Metrik!$C$2:$Y$959,8,0)</f>
        <v>4.8</v>
      </c>
      <c r="I468" s="20">
        <f>VLOOKUP(A468,Metrik!$C$2:$Y$959,9,0)</f>
        <v>0.51</v>
      </c>
      <c r="J468" s="20">
        <f>VLOOKUP(A468,Metrik!$C$2:$Y$959,10,0)</f>
        <v>10.5</v>
      </c>
      <c r="K468" s="20">
        <f>VLOOKUP(A468,Metrik!$C$2:$Y$959,11,0)</f>
        <v>10.3</v>
      </c>
      <c r="L468" s="20">
        <f>VLOOKUP(A468,Metrik!$C$2:$Y$959,12,0)</f>
        <v>0.03</v>
      </c>
      <c r="M468" s="20">
        <f>VLOOKUP(A468,Metrik!$C$2:$Y$959,19,0)</f>
        <v>110</v>
      </c>
      <c r="N468" s="21"/>
      <c r="O468" s="21"/>
      <c r="P468" s="21"/>
      <c r="Q468" s="21"/>
      <c r="R468" s="21"/>
      <c r="S468" s="21"/>
      <c r="T468" s="21"/>
      <c r="U468" s="22">
        <f>IFERROR(__xludf.DUMMYFUNCTION("IFERROR(GOOGLEFINANCE(A468,""closeyest""),"""")"),114.0)</f>
        <v>114</v>
      </c>
      <c r="V468" s="23">
        <f>IFERROR(__xludf.DUMMYFUNCTION("IFERROR(GOOGLEFINANCE(A468,""changepct""),"""")"),-0.88)</f>
        <v>-0.88</v>
      </c>
      <c r="W468" s="22">
        <f>IFERROR(__xludf.DUMMYFUNCTION("IFERROR(GOOGLEFINANCE(A468,""priceopen""),"""")"),114.0)</f>
        <v>114</v>
      </c>
      <c r="X468" s="22">
        <f>IFERROR(__xludf.DUMMYFUNCTION("IFERROR(GOOGLEFINANCE(A468,""high""),"""")"),116.0)</f>
        <v>116</v>
      </c>
      <c r="Y468" s="22">
        <f>IFERROR(__xludf.DUMMYFUNCTION("IFERROR(GOOGLEFINANCE(A468,""low""),"""")"),112.0)</f>
        <v>112</v>
      </c>
      <c r="Z468" s="22">
        <f>IFERROR(__xludf.DUMMYFUNCTION("IFERROR(GOOGLEFINANCE(A468,""volume""),"""")"),5.01293E7)</f>
        <v>50129300</v>
      </c>
      <c r="AA468" s="24" t="str">
        <f>VLOOKUP(A468,Metrik!$C$2:$Y$959,5,0)</f>
        <v>Online Applications &amp; Services</v>
      </c>
      <c r="AB468" s="24" t="str">
        <f>VLOOKUP(A468,Metrik!$C$2:$Y$959,3,0)</f>
        <v>Technology</v>
      </c>
    </row>
    <row r="469">
      <c r="A469" s="14" t="s">
        <v>253</v>
      </c>
      <c r="B469" s="14" t="str">
        <f t="array" ref="B469">VLOOKUP(A469,{Metrik!$C$2:$C$998,Metrik!$B$2:$B$998},2,0)</f>
        <v>Bukaka Teknik Utama Tbk.</v>
      </c>
      <c r="C469" s="15">
        <f>IFERROR(__xludf.DUMMYFUNCTION("GOOGLEFINANCE(""IDX:""&amp;A469,""price"")"),1005.0)</f>
        <v>1005</v>
      </c>
      <c r="D469" s="16" t="str">
        <f>IFERROR(__xludf.DUMMYFUNCTION("IF(A469="""","""",
SPARKLINE(
INDEX(
GOOGLEFINANCE(""IDX:""&amp;A469,""close"",TODAY()-365,TODAY()),
,2
),
{""linewidth"",1}
))
"),"#N/A")</f>
        <v>#N/A</v>
      </c>
      <c r="E469" s="26"/>
      <c r="F469" s="26"/>
      <c r="G469" s="24">
        <f t="shared" si="2"/>
        <v>0</v>
      </c>
      <c r="H469" s="19">
        <f>VLOOKUP(A469,Metrik!$C$2:$Y$959,8,0)</f>
        <v>6.7</v>
      </c>
      <c r="I469" s="20">
        <f>VLOOKUP(A469,Metrik!$C$2:$Y$959,9,0)</f>
        <v>0.24</v>
      </c>
      <c r="J469" s="20">
        <f>VLOOKUP(A469,Metrik!$C$2:$Y$959,10,0)</f>
        <v>3.6</v>
      </c>
      <c r="K469" s="20">
        <f>VLOOKUP(A469,Metrik!$C$2:$Y$959,11,0)</f>
        <v>1.2</v>
      </c>
      <c r="L469" s="20">
        <f>VLOOKUP(A469,Metrik!$C$2:$Y$959,12,0)</f>
        <v>1.9</v>
      </c>
      <c r="M469" s="20">
        <f>VLOOKUP(A469,Metrik!$C$2:$Y$959,19,0)</f>
        <v>36.1</v>
      </c>
      <c r="N469" s="21"/>
      <c r="O469" s="21"/>
      <c r="P469" s="21"/>
      <c r="Q469" s="21"/>
      <c r="R469" s="21"/>
      <c r="S469" s="21"/>
      <c r="T469" s="21"/>
      <c r="U469" s="22">
        <f>IFERROR(__xludf.DUMMYFUNCTION("IFERROR(GOOGLEFINANCE(A469,""closeyest""),"""")"),805.0)</f>
        <v>805</v>
      </c>
      <c r="V469" s="23">
        <f>IFERROR(__xludf.DUMMYFUNCTION("IFERROR(GOOGLEFINANCE(A469,""changepct""),"""")"),24.84)</f>
        <v>24.84</v>
      </c>
      <c r="W469" s="22">
        <f>IFERROR(__xludf.DUMMYFUNCTION("IFERROR(GOOGLEFINANCE(A469,""priceopen""),"""")"),875.0)</f>
        <v>875</v>
      </c>
      <c r="X469" s="22">
        <f>IFERROR(__xludf.DUMMYFUNCTION("IFERROR(GOOGLEFINANCE(A469,""high""),"""")"),1005.0)</f>
        <v>1005</v>
      </c>
      <c r="Y469" s="22">
        <f>IFERROR(__xludf.DUMMYFUNCTION("IFERROR(GOOGLEFINANCE(A469,""low""),"""")"),875.0)</f>
        <v>875</v>
      </c>
      <c r="Z469" s="22">
        <f>IFERROR(__xludf.DUMMYFUNCTION("IFERROR(GOOGLEFINANCE(A469,""volume""),"""")"),289400.0)</f>
        <v>289400</v>
      </c>
      <c r="AA469" s="24" t="str">
        <f>VLOOKUP(A469,Metrik!$C$2:$Y$959,5,0)</f>
        <v>Heavy Constructions &amp; Civil Engineering</v>
      </c>
      <c r="AB469" s="24" t="str">
        <f>VLOOKUP(A469,Metrik!$C$2:$Y$959,3,0)</f>
        <v>Infrastructures</v>
      </c>
    </row>
    <row r="470">
      <c r="A470" s="14" t="s">
        <v>254</v>
      </c>
      <c r="B470" s="14" t="str">
        <f t="array" ref="B470">VLOOKUP(A470,{Metrik!$C$2:$C$998,Metrik!$B$2:$B$998},2,0)</f>
        <v>Buana Lintas Lautan Tbk.</v>
      </c>
      <c r="C470" s="15">
        <f>IFERROR(__xludf.DUMMYFUNCTION("GOOGLEFINANCE(""IDX:""&amp;A470,""price"")"),368.0)</f>
        <v>368</v>
      </c>
      <c r="D470" s="16" t="str">
        <f>IFERROR(__xludf.DUMMYFUNCTION("IF(A470="""","""",
SPARKLINE(
INDEX(
GOOGLEFINANCE(""IDX:""&amp;A470,""close"",TODAY()-365,TODAY()),
,2
),
{""linewidth"",1}
))
"),"#N/A")</f>
        <v>#N/A</v>
      </c>
      <c r="E470" s="14" t="s">
        <v>32</v>
      </c>
      <c r="F470" s="14" t="s">
        <v>29</v>
      </c>
      <c r="G470" s="24">
        <f t="shared" si="2"/>
        <v>1</v>
      </c>
      <c r="H470" s="19">
        <f>VLOOKUP(A470,Metrik!$C$2:$Y$959,8,0)</f>
        <v>14.6</v>
      </c>
      <c r="I470" s="20">
        <f>VLOOKUP(A470,Metrik!$C$2:$Y$959,9,0)</f>
        <v>1.8</v>
      </c>
      <c r="J470" s="20">
        <f>VLOOKUP(A470,Metrik!$C$2:$Y$959,10,0)</f>
        <v>12</v>
      </c>
      <c r="K470" s="20">
        <f>VLOOKUP(A470,Metrik!$C$2:$Y$959,11,0)</f>
        <v>6.6</v>
      </c>
      <c r="L470" s="20">
        <f>VLOOKUP(A470,Metrik!$C$2:$Y$959,12,0)</f>
        <v>0.82</v>
      </c>
      <c r="M470" s="20">
        <f>VLOOKUP(A470,Metrik!$C$2:$Y$959,19,0)</f>
        <v>16.8</v>
      </c>
      <c r="N470" s="21"/>
      <c r="O470" s="21"/>
      <c r="P470" s="21"/>
      <c r="Q470" s="21"/>
      <c r="R470" s="21"/>
      <c r="S470" s="21"/>
      <c r="T470" s="21"/>
      <c r="U470" s="22">
        <f>IFERROR(__xludf.DUMMYFUNCTION("IFERROR(GOOGLEFINANCE(A470,""closeyest""),"""")"),6.73)</f>
        <v>6.73</v>
      </c>
      <c r="V470" s="23">
        <f>IFERROR(__xludf.DUMMYFUNCTION("IFERROR(GOOGLEFINANCE(A470,""changepct""),"""")"),-2.82)</f>
        <v>-2.82</v>
      </c>
      <c r="W470" s="22">
        <f>IFERROR(__xludf.DUMMYFUNCTION("IFERROR(GOOGLEFINANCE(A470,""priceopen""),"""")"),6.7)</f>
        <v>6.7</v>
      </c>
      <c r="X470" s="22">
        <f>IFERROR(__xludf.DUMMYFUNCTION("IFERROR(GOOGLEFINANCE(A470,""high""),"""")"),6.81)</f>
        <v>6.81</v>
      </c>
      <c r="Y470" s="22">
        <f>IFERROR(__xludf.DUMMYFUNCTION("IFERROR(GOOGLEFINANCE(A470,""low""),"""")"),6.42)</f>
        <v>6.42</v>
      </c>
      <c r="Z470" s="22">
        <f>IFERROR(__xludf.DUMMYFUNCTION("IFERROR(GOOGLEFINANCE(A470,""volume""),"""")"),1.2636785E7)</f>
        <v>12636785</v>
      </c>
      <c r="AA470" s="24" t="str">
        <f>VLOOKUP(A470,Metrik!$C$2:$Y$959,5,0)</f>
        <v>Oil &amp; Gas</v>
      </c>
      <c r="AB470" s="24" t="str">
        <f>VLOOKUP(A470,Metrik!$C$2:$Y$959,3,0)</f>
        <v>Energy</v>
      </c>
    </row>
    <row r="471">
      <c r="A471" s="17" t="s">
        <v>255</v>
      </c>
      <c r="B471" s="14" t="str">
        <f t="array" ref="B471">VLOOKUP(A471,{Metrik!$C$2:$C$998,Metrik!$B$2:$B$998},2,0)</f>
        <v>Bumi Resources Tbk.</v>
      </c>
      <c r="C471" s="15">
        <f>IFERROR(__xludf.DUMMYFUNCTION("GOOGLEFINANCE(""IDX:""&amp;A471,""price"")"),157.0)</f>
        <v>157</v>
      </c>
      <c r="D471" s="16" t="str">
        <f>IFERROR(__xludf.DUMMYFUNCTION("IF(A471="""","""",
SPARKLINE(
INDEX(
GOOGLEFINANCE(""IDX:""&amp;A471,""close"",TODAY()-365,TODAY()),
,2
),
{""linewidth"",1}
))
"),"#N/A")</f>
        <v>#N/A</v>
      </c>
      <c r="E471" s="14" t="s">
        <v>84</v>
      </c>
      <c r="F471" s="17" t="s">
        <v>51</v>
      </c>
      <c r="G471" s="24">
        <f t="shared" si="2"/>
        <v>11</v>
      </c>
      <c r="H471" s="19">
        <f>VLOOKUP(A471,Metrik!$C$2:$Y$959,8,0)</f>
        <v>42.3</v>
      </c>
      <c r="I471" s="20">
        <f>VLOOKUP(A471,Metrik!$C$2:$Y$959,9,0)</f>
        <v>1.3</v>
      </c>
      <c r="J471" s="20">
        <f>VLOOKUP(A471,Metrik!$C$2:$Y$959,10,0)</f>
        <v>3</v>
      </c>
      <c r="K471" s="20">
        <f>VLOOKUP(A471,Metrik!$C$2:$Y$959,11,0)</f>
        <v>1.9</v>
      </c>
      <c r="L471" s="20">
        <f>VLOOKUP(A471,Metrik!$C$2:$Y$959,12,0)</f>
        <v>0.53</v>
      </c>
      <c r="M471" s="20">
        <f>VLOOKUP(A471,Metrik!$C$2:$Y$959,19,0)</f>
        <v>20.8</v>
      </c>
      <c r="N471" s="21"/>
      <c r="O471" s="21"/>
      <c r="P471" s="21"/>
      <c r="Q471" s="21"/>
      <c r="R471" s="21"/>
      <c r="S471" s="21"/>
      <c r="T471" s="21"/>
      <c r="U471" s="22">
        <f>IFERROR(__xludf.DUMMYFUNCTION("IFERROR(GOOGLEFINANCE(A471,""closeyest""),"""")"),140.0)</f>
        <v>140</v>
      </c>
      <c r="V471" s="23">
        <f>IFERROR(__xludf.DUMMYFUNCTION("IFERROR(GOOGLEFINANCE(A471,""changepct""),"""")"),12.14)</f>
        <v>12.14</v>
      </c>
      <c r="W471" s="22">
        <f>IFERROR(__xludf.DUMMYFUNCTION("IFERROR(GOOGLEFINANCE(A471,""priceopen""),"""")"),144.0)</f>
        <v>144</v>
      </c>
      <c r="X471" s="22">
        <f>IFERROR(__xludf.DUMMYFUNCTION("IFERROR(GOOGLEFINANCE(A471,""high""),"""")"),162.0)</f>
        <v>162</v>
      </c>
      <c r="Y471" s="22">
        <f>IFERROR(__xludf.DUMMYFUNCTION("IFERROR(GOOGLEFINANCE(A471,""low""),"""")"),143.0)</f>
        <v>143</v>
      </c>
      <c r="Z471" s="22">
        <f>IFERROR(__xludf.DUMMYFUNCTION("IFERROR(GOOGLEFINANCE(A471,""volume""),"""")"),6.6306597E9)</f>
        <v>6630659700</v>
      </c>
      <c r="AA471" s="24" t="str">
        <f>VLOOKUP(A471,Metrik!$C$2:$Y$959,5,0)</f>
        <v>Coal</v>
      </c>
      <c r="AB471" s="24" t="str">
        <f>VLOOKUP(A471,Metrik!$C$2:$Y$959,3,0)</f>
        <v>Energy</v>
      </c>
    </row>
    <row r="472">
      <c r="A472" s="14" t="s">
        <v>255</v>
      </c>
      <c r="B472" s="14" t="str">
        <f t="array" ref="B472">VLOOKUP(A472,{Metrik!$C$2:$C$998,Metrik!$B$2:$B$998},2,0)</f>
        <v>Bumi Resources Tbk.</v>
      </c>
      <c r="C472" s="15">
        <f>IFERROR(__xludf.DUMMYFUNCTION("GOOGLEFINANCE(""IDX:""&amp;A472,""price"")"),157.0)</f>
        <v>157</v>
      </c>
      <c r="D472" s="16" t="str">
        <f>IFERROR(__xludf.DUMMYFUNCTION("IF(A472="""","""",
SPARKLINE(
INDEX(
GOOGLEFINANCE(""IDX:""&amp;A472,""close"",TODAY()-365,TODAY()),
,2
),
{""linewidth"",1}
))
"),"#N/A")</f>
        <v>#N/A</v>
      </c>
      <c r="E472" s="14" t="s">
        <v>31</v>
      </c>
      <c r="F472" s="17" t="s">
        <v>29</v>
      </c>
      <c r="G472" s="24">
        <f t="shared" si="2"/>
        <v>11</v>
      </c>
      <c r="H472" s="19">
        <f>VLOOKUP(A472,Metrik!$C$2:$Y$959,8,0)</f>
        <v>42.3</v>
      </c>
      <c r="I472" s="20">
        <f>VLOOKUP(A472,Metrik!$C$2:$Y$959,9,0)</f>
        <v>1.3</v>
      </c>
      <c r="J472" s="20">
        <f>VLOOKUP(A472,Metrik!$C$2:$Y$959,10,0)</f>
        <v>3</v>
      </c>
      <c r="K472" s="20">
        <f>VLOOKUP(A472,Metrik!$C$2:$Y$959,11,0)</f>
        <v>1.9</v>
      </c>
      <c r="L472" s="20">
        <f>VLOOKUP(A472,Metrik!$C$2:$Y$959,12,0)</f>
        <v>0.53</v>
      </c>
      <c r="M472" s="20">
        <f>VLOOKUP(A472,Metrik!$C$2:$Y$959,19,0)</f>
        <v>20.8</v>
      </c>
      <c r="N472" s="21"/>
      <c r="O472" s="21"/>
      <c r="P472" s="21"/>
      <c r="Q472" s="21"/>
      <c r="R472" s="21"/>
      <c r="S472" s="21"/>
      <c r="T472" s="21"/>
      <c r="U472" s="22">
        <f>IFERROR(__xludf.DUMMYFUNCTION("IFERROR(GOOGLEFINANCE(A472,""closeyest""),"""")"),140.0)</f>
        <v>140</v>
      </c>
      <c r="V472" s="23">
        <f>IFERROR(__xludf.DUMMYFUNCTION("IFERROR(GOOGLEFINANCE(A472,""changepct""),"""")"),12.14)</f>
        <v>12.14</v>
      </c>
      <c r="W472" s="22">
        <f>IFERROR(__xludf.DUMMYFUNCTION("IFERROR(GOOGLEFINANCE(A472,""priceopen""),"""")"),144.0)</f>
        <v>144</v>
      </c>
      <c r="X472" s="22">
        <f>IFERROR(__xludf.DUMMYFUNCTION("IFERROR(GOOGLEFINANCE(A472,""high""),"""")"),162.0)</f>
        <v>162</v>
      </c>
      <c r="Y472" s="22">
        <f>IFERROR(__xludf.DUMMYFUNCTION("IFERROR(GOOGLEFINANCE(A472,""low""),"""")"),143.0)</f>
        <v>143</v>
      </c>
      <c r="Z472" s="22">
        <f>IFERROR(__xludf.DUMMYFUNCTION("IFERROR(GOOGLEFINANCE(A472,""volume""),"""")"),6.6306597E9)</f>
        <v>6630659700</v>
      </c>
      <c r="AA472" s="24" t="str">
        <f>VLOOKUP(A472,Metrik!$C$2:$Y$959,5,0)</f>
        <v>Coal</v>
      </c>
      <c r="AB472" s="24" t="str">
        <f>VLOOKUP(A472,Metrik!$C$2:$Y$959,3,0)</f>
        <v>Energy</v>
      </c>
    </row>
    <row r="473">
      <c r="A473" s="14" t="s">
        <v>255</v>
      </c>
      <c r="B473" s="14" t="str">
        <f t="array" ref="B473">VLOOKUP(A473,{Metrik!$C$2:$C$998,Metrik!$B$2:$B$998},2,0)</f>
        <v>Bumi Resources Tbk.</v>
      </c>
      <c r="C473" s="15">
        <f>IFERROR(__xludf.DUMMYFUNCTION("GOOGLEFINANCE(""IDX:""&amp;A473,""price"")"),157.0)</f>
        <v>157</v>
      </c>
      <c r="D473" s="16" t="str">
        <f>IFERROR(__xludf.DUMMYFUNCTION("IF(A473="""","""",
SPARKLINE(
INDEX(
GOOGLEFINANCE(""IDX:""&amp;A473,""close"",TODAY()-365,TODAY()),
,2
),
{""linewidth"",1}
))
"),"#N/A")</f>
        <v>#N/A</v>
      </c>
      <c r="E473" s="14" t="s">
        <v>32</v>
      </c>
      <c r="F473" s="14" t="s">
        <v>29</v>
      </c>
      <c r="G473" s="24">
        <f t="shared" si="2"/>
        <v>11</v>
      </c>
      <c r="H473" s="19">
        <f>VLOOKUP(A473,Metrik!$C$2:$Y$959,8,0)</f>
        <v>42.3</v>
      </c>
      <c r="I473" s="20">
        <f>VLOOKUP(A473,Metrik!$C$2:$Y$959,9,0)</f>
        <v>1.3</v>
      </c>
      <c r="J473" s="20">
        <f>VLOOKUP(A473,Metrik!$C$2:$Y$959,10,0)</f>
        <v>3</v>
      </c>
      <c r="K473" s="20">
        <f>VLOOKUP(A473,Metrik!$C$2:$Y$959,11,0)</f>
        <v>1.9</v>
      </c>
      <c r="L473" s="20">
        <f>VLOOKUP(A473,Metrik!$C$2:$Y$959,12,0)</f>
        <v>0.53</v>
      </c>
      <c r="M473" s="20">
        <f>VLOOKUP(A473,Metrik!$C$2:$Y$959,19,0)</f>
        <v>20.8</v>
      </c>
      <c r="N473" s="21"/>
      <c r="O473" s="21"/>
      <c r="P473" s="21"/>
      <c r="Q473" s="21"/>
      <c r="R473" s="21"/>
      <c r="S473" s="21"/>
      <c r="T473" s="21"/>
      <c r="U473" s="22">
        <f>IFERROR(__xludf.DUMMYFUNCTION("IFERROR(GOOGLEFINANCE(A473,""closeyest""),"""")"),140.0)</f>
        <v>140</v>
      </c>
      <c r="V473" s="23">
        <f>IFERROR(__xludf.DUMMYFUNCTION("IFERROR(GOOGLEFINANCE(A473,""changepct""),"""")"),12.14)</f>
        <v>12.14</v>
      </c>
      <c r="W473" s="22">
        <f>IFERROR(__xludf.DUMMYFUNCTION("IFERROR(GOOGLEFINANCE(A473,""priceopen""),"""")"),144.0)</f>
        <v>144</v>
      </c>
      <c r="X473" s="22">
        <f>IFERROR(__xludf.DUMMYFUNCTION("IFERROR(GOOGLEFINANCE(A473,""high""),"""")"),162.0)</f>
        <v>162</v>
      </c>
      <c r="Y473" s="22">
        <f>IFERROR(__xludf.DUMMYFUNCTION("IFERROR(GOOGLEFINANCE(A473,""low""),"""")"),143.0)</f>
        <v>143</v>
      </c>
      <c r="Z473" s="22">
        <f>IFERROR(__xludf.DUMMYFUNCTION("IFERROR(GOOGLEFINANCE(A473,""volume""),"""")"),6.6306597E9)</f>
        <v>6630659700</v>
      </c>
      <c r="AA473" s="24" t="str">
        <f>VLOOKUP(A473,Metrik!$C$2:$Y$959,5,0)</f>
        <v>Coal</v>
      </c>
      <c r="AB473" s="24" t="str">
        <f>VLOOKUP(A473,Metrik!$C$2:$Y$959,3,0)</f>
        <v>Energy</v>
      </c>
    </row>
    <row r="474">
      <c r="A474" s="14" t="s">
        <v>255</v>
      </c>
      <c r="B474" s="14" t="str">
        <f t="array" ref="B474">VLOOKUP(A474,{Metrik!$C$2:$C$998,Metrik!$B$2:$B$998},2,0)</f>
        <v>Bumi Resources Tbk.</v>
      </c>
      <c r="C474" s="15">
        <f>IFERROR(__xludf.DUMMYFUNCTION("GOOGLEFINANCE(""IDX:""&amp;A474,""price"")"),157.0)</f>
        <v>157</v>
      </c>
      <c r="D474" s="16" t="str">
        <f>IFERROR(__xludf.DUMMYFUNCTION("IF(A474="""","""",
SPARKLINE(
INDEX(
GOOGLEFINANCE(""IDX:""&amp;A474,""close"",TODAY()-365,TODAY()),
,2
),
{""linewidth"",1}
))
"),"#N/A")</f>
        <v>#N/A</v>
      </c>
      <c r="E474" s="14" t="s">
        <v>67</v>
      </c>
      <c r="F474" s="17" t="s">
        <v>51</v>
      </c>
      <c r="G474" s="24">
        <f t="shared" si="2"/>
        <v>11</v>
      </c>
      <c r="H474" s="19">
        <f>VLOOKUP(A474,Metrik!$C$2:$Y$959,8,0)</f>
        <v>42.3</v>
      </c>
      <c r="I474" s="20">
        <f>VLOOKUP(A474,Metrik!$C$2:$Y$959,9,0)</f>
        <v>1.3</v>
      </c>
      <c r="J474" s="20">
        <f>VLOOKUP(A474,Metrik!$C$2:$Y$959,10,0)</f>
        <v>3</v>
      </c>
      <c r="K474" s="20">
        <f>VLOOKUP(A474,Metrik!$C$2:$Y$959,11,0)</f>
        <v>1.9</v>
      </c>
      <c r="L474" s="20">
        <f>VLOOKUP(A474,Metrik!$C$2:$Y$959,12,0)</f>
        <v>0.53</v>
      </c>
      <c r="M474" s="20">
        <f>VLOOKUP(A474,Metrik!$C$2:$Y$959,19,0)</f>
        <v>20.8</v>
      </c>
      <c r="N474" s="21"/>
      <c r="O474" s="21"/>
      <c r="P474" s="21"/>
      <c r="Q474" s="21"/>
      <c r="R474" s="21"/>
      <c r="S474" s="21"/>
      <c r="T474" s="21"/>
      <c r="U474" s="22">
        <f>IFERROR(__xludf.DUMMYFUNCTION("IFERROR(GOOGLEFINANCE(A474,""closeyest""),"""")"),140.0)</f>
        <v>140</v>
      </c>
      <c r="V474" s="23">
        <f>IFERROR(__xludf.DUMMYFUNCTION("IFERROR(GOOGLEFINANCE(A474,""changepct""),"""")"),12.14)</f>
        <v>12.14</v>
      </c>
      <c r="W474" s="22">
        <f>IFERROR(__xludf.DUMMYFUNCTION("IFERROR(GOOGLEFINANCE(A474,""priceopen""),"""")"),144.0)</f>
        <v>144</v>
      </c>
      <c r="X474" s="22">
        <f>IFERROR(__xludf.DUMMYFUNCTION("IFERROR(GOOGLEFINANCE(A474,""high""),"""")"),162.0)</f>
        <v>162</v>
      </c>
      <c r="Y474" s="22">
        <f>IFERROR(__xludf.DUMMYFUNCTION("IFERROR(GOOGLEFINANCE(A474,""low""),"""")"),143.0)</f>
        <v>143</v>
      </c>
      <c r="Z474" s="22">
        <f>IFERROR(__xludf.DUMMYFUNCTION("IFERROR(GOOGLEFINANCE(A474,""volume""),"""")"),6.6306597E9)</f>
        <v>6630659700</v>
      </c>
      <c r="AA474" s="24" t="str">
        <f>VLOOKUP(A474,Metrik!$C$2:$Y$959,5,0)</f>
        <v>Coal</v>
      </c>
      <c r="AB474" s="24" t="str">
        <f>VLOOKUP(A474,Metrik!$C$2:$Y$959,3,0)</f>
        <v>Energy</v>
      </c>
    </row>
    <row r="475">
      <c r="A475" s="14" t="s">
        <v>255</v>
      </c>
      <c r="B475" s="14" t="str">
        <f t="array" ref="B475">VLOOKUP(A475,{Metrik!$C$2:$C$998,Metrik!$B$2:$B$998},2,0)</f>
        <v>Bumi Resources Tbk.</v>
      </c>
      <c r="C475" s="15">
        <f>IFERROR(__xludf.DUMMYFUNCTION("GOOGLEFINANCE(""IDX:""&amp;A475,""price"")"),157.0)</f>
        <v>157</v>
      </c>
      <c r="D475" s="16" t="str">
        <f>IFERROR(__xludf.DUMMYFUNCTION("IF(A475="""","""",
SPARKLINE(
INDEX(
GOOGLEFINANCE(""IDX:""&amp;A475,""close"",TODAY()-365,TODAY()),
,2
),
{""linewidth"",1}
))
"),"#N/A")</f>
        <v>#N/A</v>
      </c>
      <c r="E475" s="14" t="s">
        <v>28</v>
      </c>
      <c r="F475" s="17" t="s">
        <v>29</v>
      </c>
      <c r="G475" s="24">
        <f t="shared" si="2"/>
        <v>11</v>
      </c>
      <c r="H475" s="19">
        <f>VLOOKUP(A475,Metrik!$C$2:$Y$959,8,0)</f>
        <v>42.3</v>
      </c>
      <c r="I475" s="20">
        <f>VLOOKUP(A475,Metrik!$C$2:$Y$959,9,0)</f>
        <v>1.3</v>
      </c>
      <c r="J475" s="20">
        <f>VLOOKUP(A475,Metrik!$C$2:$Y$959,10,0)</f>
        <v>3</v>
      </c>
      <c r="K475" s="20">
        <f>VLOOKUP(A475,Metrik!$C$2:$Y$959,11,0)</f>
        <v>1.9</v>
      </c>
      <c r="L475" s="20">
        <f>VLOOKUP(A475,Metrik!$C$2:$Y$959,12,0)</f>
        <v>0.53</v>
      </c>
      <c r="M475" s="20">
        <f>VLOOKUP(A475,Metrik!$C$2:$Y$959,19,0)</f>
        <v>20.8</v>
      </c>
      <c r="N475" s="21"/>
      <c r="O475" s="21"/>
      <c r="P475" s="21"/>
      <c r="Q475" s="21"/>
      <c r="R475" s="21"/>
      <c r="S475" s="21"/>
      <c r="T475" s="21"/>
      <c r="U475" s="22">
        <f>IFERROR(__xludf.DUMMYFUNCTION("IFERROR(GOOGLEFINANCE(A475,""closeyest""),"""")"),140.0)</f>
        <v>140</v>
      </c>
      <c r="V475" s="23">
        <f>IFERROR(__xludf.DUMMYFUNCTION("IFERROR(GOOGLEFINANCE(A475,""changepct""),"""")"),12.14)</f>
        <v>12.14</v>
      </c>
      <c r="W475" s="22">
        <f>IFERROR(__xludf.DUMMYFUNCTION("IFERROR(GOOGLEFINANCE(A475,""priceopen""),"""")"),144.0)</f>
        <v>144</v>
      </c>
      <c r="X475" s="22">
        <f>IFERROR(__xludf.DUMMYFUNCTION("IFERROR(GOOGLEFINANCE(A475,""high""),"""")"),162.0)</f>
        <v>162</v>
      </c>
      <c r="Y475" s="22">
        <f>IFERROR(__xludf.DUMMYFUNCTION("IFERROR(GOOGLEFINANCE(A475,""low""),"""")"),143.0)</f>
        <v>143</v>
      </c>
      <c r="Z475" s="22">
        <f>IFERROR(__xludf.DUMMYFUNCTION("IFERROR(GOOGLEFINANCE(A475,""volume""),"""")"),6.6306597E9)</f>
        <v>6630659700</v>
      </c>
      <c r="AA475" s="24" t="str">
        <f>VLOOKUP(A475,Metrik!$C$2:$Y$959,5,0)</f>
        <v>Coal</v>
      </c>
      <c r="AB475" s="24" t="str">
        <f>VLOOKUP(A475,Metrik!$C$2:$Y$959,3,0)</f>
        <v>Energy</v>
      </c>
    </row>
    <row r="476">
      <c r="A476" s="14" t="s">
        <v>255</v>
      </c>
      <c r="B476" s="14" t="str">
        <f t="array" ref="B476">VLOOKUP(A476,{Metrik!$C$2:$C$998,Metrik!$B$2:$B$998},2,0)</f>
        <v>Bumi Resources Tbk.</v>
      </c>
      <c r="C476" s="15">
        <f>IFERROR(__xludf.DUMMYFUNCTION("GOOGLEFINANCE(""IDX:""&amp;A476,""price"")"),157.0)</f>
        <v>157</v>
      </c>
      <c r="D476" s="16" t="str">
        <f>IFERROR(__xludf.DUMMYFUNCTION("IF(A476="""","""",
SPARKLINE(
INDEX(
GOOGLEFINANCE(""IDX:""&amp;A476,""close"",TODAY()-365,TODAY()),
,2
),
{""linewidth"",1}
))
"),"#N/A")</f>
        <v>#N/A</v>
      </c>
      <c r="E476" s="14" t="s">
        <v>30</v>
      </c>
      <c r="F476" s="17" t="s">
        <v>29</v>
      </c>
      <c r="G476" s="24">
        <f t="shared" si="2"/>
        <v>11</v>
      </c>
      <c r="H476" s="19">
        <f>VLOOKUP(A476,Metrik!$C$2:$Y$959,8,0)</f>
        <v>42.3</v>
      </c>
      <c r="I476" s="20">
        <f>VLOOKUP(A476,Metrik!$C$2:$Y$959,9,0)</f>
        <v>1.3</v>
      </c>
      <c r="J476" s="20">
        <f>VLOOKUP(A476,Metrik!$C$2:$Y$959,10,0)</f>
        <v>3</v>
      </c>
      <c r="K476" s="20">
        <f>VLOOKUP(A476,Metrik!$C$2:$Y$959,11,0)</f>
        <v>1.9</v>
      </c>
      <c r="L476" s="20">
        <f>VLOOKUP(A476,Metrik!$C$2:$Y$959,12,0)</f>
        <v>0.53</v>
      </c>
      <c r="M476" s="20">
        <f>VLOOKUP(A476,Metrik!$C$2:$Y$959,19,0)</f>
        <v>20.8</v>
      </c>
      <c r="N476" s="21"/>
      <c r="O476" s="21"/>
      <c r="P476" s="21"/>
      <c r="Q476" s="21"/>
      <c r="R476" s="21"/>
      <c r="S476" s="21"/>
      <c r="T476" s="21"/>
      <c r="U476" s="22">
        <f>IFERROR(__xludf.DUMMYFUNCTION("IFERROR(GOOGLEFINANCE(A476,""closeyest""),"""")"),140.0)</f>
        <v>140</v>
      </c>
      <c r="V476" s="23">
        <f>IFERROR(__xludf.DUMMYFUNCTION("IFERROR(GOOGLEFINANCE(A476,""changepct""),"""")"),12.14)</f>
        <v>12.14</v>
      </c>
      <c r="W476" s="22">
        <f>IFERROR(__xludf.DUMMYFUNCTION("IFERROR(GOOGLEFINANCE(A476,""priceopen""),"""")"),144.0)</f>
        <v>144</v>
      </c>
      <c r="X476" s="22">
        <f>IFERROR(__xludf.DUMMYFUNCTION("IFERROR(GOOGLEFINANCE(A476,""high""),"""")"),162.0)</f>
        <v>162</v>
      </c>
      <c r="Y476" s="22">
        <f>IFERROR(__xludf.DUMMYFUNCTION("IFERROR(GOOGLEFINANCE(A476,""low""),"""")"),143.0)</f>
        <v>143</v>
      </c>
      <c r="Z476" s="22">
        <f>IFERROR(__xludf.DUMMYFUNCTION("IFERROR(GOOGLEFINANCE(A476,""volume""),"""")"),6.6306597E9)</f>
        <v>6630659700</v>
      </c>
      <c r="AA476" s="24" t="str">
        <f>VLOOKUP(A476,Metrik!$C$2:$Y$959,5,0)</f>
        <v>Coal</v>
      </c>
      <c r="AB476" s="24" t="str">
        <f>VLOOKUP(A476,Metrik!$C$2:$Y$959,3,0)</f>
        <v>Energy</v>
      </c>
    </row>
    <row r="477">
      <c r="A477" s="14" t="s">
        <v>255</v>
      </c>
      <c r="B477" s="14" t="str">
        <f t="array" ref="B477">VLOOKUP(A477,{Metrik!$C$2:$C$998,Metrik!$B$2:$B$998},2,0)</f>
        <v>Bumi Resources Tbk.</v>
      </c>
      <c r="C477" s="15">
        <f>IFERROR(__xludf.DUMMYFUNCTION("GOOGLEFINANCE(""IDX:""&amp;A477,""price"")"),157.0)</f>
        <v>157</v>
      </c>
      <c r="D477" s="16" t="str">
        <f>IFERROR(__xludf.DUMMYFUNCTION("IF(A477="""","""",
SPARKLINE(
INDEX(
GOOGLEFINANCE(""IDX:""&amp;A477,""close"",TODAY()-365,TODAY()),
,2
),
{""linewidth"",1}
))
"),"#N/A")</f>
        <v>#N/A</v>
      </c>
      <c r="E477" s="14" t="s">
        <v>161</v>
      </c>
      <c r="F477" s="14" t="s">
        <v>76</v>
      </c>
      <c r="G477" s="24">
        <f t="shared" si="2"/>
        <v>11</v>
      </c>
      <c r="H477" s="19">
        <f>VLOOKUP(A477,Metrik!$C$2:$Y$959,8,0)</f>
        <v>42.3</v>
      </c>
      <c r="I477" s="20">
        <f>VLOOKUP(A477,Metrik!$C$2:$Y$959,9,0)</f>
        <v>1.3</v>
      </c>
      <c r="J477" s="20">
        <f>VLOOKUP(A477,Metrik!$C$2:$Y$959,10,0)</f>
        <v>3</v>
      </c>
      <c r="K477" s="20">
        <f>VLOOKUP(A477,Metrik!$C$2:$Y$959,11,0)</f>
        <v>1.9</v>
      </c>
      <c r="L477" s="20">
        <f>VLOOKUP(A477,Metrik!$C$2:$Y$959,12,0)</f>
        <v>0.53</v>
      </c>
      <c r="M477" s="20">
        <f>VLOOKUP(A477,Metrik!$C$2:$Y$959,19,0)</f>
        <v>20.8</v>
      </c>
      <c r="N477" s="21"/>
      <c r="O477" s="21"/>
      <c r="P477" s="21"/>
      <c r="Q477" s="21"/>
      <c r="R477" s="21"/>
      <c r="S477" s="21"/>
      <c r="T477" s="21"/>
      <c r="U477" s="22">
        <f>IFERROR(__xludf.DUMMYFUNCTION("IFERROR(GOOGLEFINANCE(A477,""closeyest""),"""")"),140.0)</f>
        <v>140</v>
      </c>
      <c r="V477" s="23">
        <f>IFERROR(__xludf.DUMMYFUNCTION("IFERROR(GOOGLEFINANCE(A477,""changepct""),"""")"),12.14)</f>
        <v>12.14</v>
      </c>
      <c r="W477" s="22">
        <f>IFERROR(__xludf.DUMMYFUNCTION("IFERROR(GOOGLEFINANCE(A477,""priceopen""),"""")"),144.0)</f>
        <v>144</v>
      </c>
      <c r="X477" s="22">
        <f>IFERROR(__xludf.DUMMYFUNCTION("IFERROR(GOOGLEFINANCE(A477,""high""),"""")"),162.0)</f>
        <v>162</v>
      </c>
      <c r="Y477" s="22">
        <f>IFERROR(__xludf.DUMMYFUNCTION("IFERROR(GOOGLEFINANCE(A477,""low""),"""")"),143.0)</f>
        <v>143</v>
      </c>
      <c r="Z477" s="22">
        <f>IFERROR(__xludf.DUMMYFUNCTION("IFERROR(GOOGLEFINANCE(A477,""volume""),"""")"),6.6306597E9)</f>
        <v>6630659700</v>
      </c>
      <c r="AA477" s="24" t="str">
        <f>VLOOKUP(A477,Metrik!$C$2:$Y$959,5,0)</f>
        <v>Coal</v>
      </c>
      <c r="AB477" s="24" t="str">
        <f>VLOOKUP(A477,Metrik!$C$2:$Y$959,3,0)</f>
        <v>Energy</v>
      </c>
    </row>
    <row r="478">
      <c r="A478" s="17" t="s">
        <v>255</v>
      </c>
      <c r="B478" s="14" t="str">
        <f t="array" ref="B478">VLOOKUP(A478,{Metrik!$C$2:$C$998,Metrik!$B$2:$B$998},2,0)</f>
        <v>Bumi Resources Tbk.</v>
      </c>
      <c r="C478" s="15">
        <f>IFERROR(__xludf.DUMMYFUNCTION("GOOGLEFINANCE(""IDX:""&amp;A478,""price"")"),157.0)</f>
        <v>157</v>
      </c>
      <c r="D478" s="16" t="str">
        <f>IFERROR(__xludf.DUMMYFUNCTION("IF(A478="""","""",
SPARKLINE(
INDEX(
GOOGLEFINANCE(""IDX:""&amp;A478,""close"",TODAY()-365,TODAY()),
,2
),
{""linewidth"",1}
))
"),"#N/A")</f>
        <v>#N/A</v>
      </c>
      <c r="E478" s="14" t="s">
        <v>35</v>
      </c>
      <c r="F478" s="17" t="s">
        <v>36</v>
      </c>
      <c r="G478" s="24">
        <f t="shared" si="2"/>
        <v>11</v>
      </c>
      <c r="H478" s="19">
        <f>VLOOKUP(A478,Metrik!$C$2:$Y$959,8,0)</f>
        <v>42.3</v>
      </c>
      <c r="I478" s="20">
        <f>VLOOKUP(A478,Metrik!$C$2:$Y$959,9,0)</f>
        <v>1.3</v>
      </c>
      <c r="J478" s="20">
        <f>VLOOKUP(A478,Metrik!$C$2:$Y$959,10,0)</f>
        <v>3</v>
      </c>
      <c r="K478" s="20">
        <f>VLOOKUP(A478,Metrik!$C$2:$Y$959,11,0)</f>
        <v>1.9</v>
      </c>
      <c r="L478" s="20">
        <f>VLOOKUP(A478,Metrik!$C$2:$Y$959,12,0)</f>
        <v>0.53</v>
      </c>
      <c r="M478" s="20">
        <f>VLOOKUP(A478,Metrik!$C$2:$Y$959,19,0)</f>
        <v>20.8</v>
      </c>
      <c r="N478" s="29">
        <v>5.4</v>
      </c>
      <c r="O478" s="29">
        <v>23.2</v>
      </c>
      <c r="P478" s="29">
        <v>83.0</v>
      </c>
      <c r="Q478" s="29">
        <v>1.9</v>
      </c>
      <c r="R478" s="29">
        <v>65.9</v>
      </c>
      <c r="S478" s="29">
        <v>42.4</v>
      </c>
      <c r="T478" s="29">
        <v>5.9</v>
      </c>
      <c r="U478" s="22">
        <f>IFERROR(__xludf.DUMMYFUNCTION("IFERROR(GOOGLEFINANCE(A478,""closeyest""),"""")"),140.0)</f>
        <v>140</v>
      </c>
      <c r="V478" s="23">
        <f>IFERROR(__xludf.DUMMYFUNCTION("IFERROR(GOOGLEFINANCE(A478,""changepct""),"""")"),12.14)</f>
        <v>12.14</v>
      </c>
      <c r="W478" s="22">
        <f>IFERROR(__xludf.DUMMYFUNCTION("IFERROR(GOOGLEFINANCE(A478,""priceopen""),"""")"),144.0)</f>
        <v>144</v>
      </c>
      <c r="X478" s="22">
        <f>IFERROR(__xludf.DUMMYFUNCTION("IFERROR(GOOGLEFINANCE(A478,""high""),"""")"),162.0)</f>
        <v>162</v>
      </c>
      <c r="Y478" s="22">
        <f>IFERROR(__xludf.DUMMYFUNCTION("IFERROR(GOOGLEFINANCE(A478,""low""),"""")"),143.0)</f>
        <v>143</v>
      </c>
      <c r="Z478" s="22">
        <f>IFERROR(__xludf.DUMMYFUNCTION("IFERROR(GOOGLEFINANCE(A478,""volume""),"""")"),6.6306597E9)</f>
        <v>6630659700</v>
      </c>
      <c r="AA478" s="24" t="str">
        <f>VLOOKUP(A478,Metrik!$C$2:$Y$959,5,0)</f>
        <v>Coal</v>
      </c>
      <c r="AB478" s="24" t="str">
        <f>VLOOKUP(A478,Metrik!$C$2:$Y$959,3,0)</f>
        <v>Energy</v>
      </c>
    </row>
    <row r="479">
      <c r="A479" s="17" t="s">
        <v>255</v>
      </c>
      <c r="B479" s="14" t="str">
        <f t="array" ref="B479">VLOOKUP(A479,{Metrik!$C$2:$C$998,Metrik!$B$2:$B$998},2,0)</f>
        <v>Bumi Resources Tbk.</v>
      </c>
      <c r="C479" s="15">
        <f>IFERROR(__xludf.DUMMYFUNCTION("GOOGLEFINANCE(""IDX:""&amp;A479,""price"")"),157.0)</f>
        <v>157</v>
      </c>
      <c r="D479" s="16" t="str">
        <f>IFERROR(__xludf.DUMMYFUNCTION("IF(A479="""","""",
SPARKLINE(
INDEX(
GOOGLEFINANCE(""IDX:""&amp;A479,""close"",TODAY()-365,TODAY()),
,2
),
{""linewidth"",1}
))
"),"#N/A")</f>
        <v>#N/A</v>
      </c>
      <c r="E479" s="14" t="s">
        <v>65</v>
      </c>
      <c r="F479" s="37">
        <v>46356.0</v>
      </c>
      <c r="G479" s="38">
        <f t="shared" si="2"/>
        <v>11</v>
      </c>
      <c r="H479" s="34">
        <f>VLOOKUP(A479,Metrik!$C$2:$Y$959,8,0)</f>
        <v>42.3</v>
      </c>
      <c r="I479" s="34">
        <f>VLOOKUP(A479,Metrik!$C$2:$Y$959,9,0)</f>
        <v>1.3</v>
      </c>
      <c r="J479" s="34">
        <f>VLOOKUP(A479,Metrik!$C$2:$Y$959,10,0)</f>
        <v>3</v>
      </c>
      <c r="K479" s="34">
        <f>VLOOKUP(A479,Metrik!$C$2:$Y$959,11,0)</f>
        <v>1.9</v>
      </c>
      <c r="L479" s="34">
        <f>VLOOKUP(A479,Metrik!$C$2:$Y$959,12,0)</f>
        <v>0.53</v>
      </c>
      <c r="M479" s="34">
        <f>VLOOKUP(A479,Metrik!$C$2:$Y$959,19,0)</f>
        <v>20.8</v>
      </c>
      <c r="N479" s="26"/>
      <c r="O479" s="26"/>
      <c r="P479" s="26"/>
      <c r="Q479" s="26"/>
      <c r="R479" s="26"/>
      <c r="S479" s="26"/>
      <c r="T479" s="26"/>
      <c r="U479" s="35">
        <f>IFERROR(__xludf.DUMMYFUNCTION("IFERROR(GOOGLEFINANCE(A479,""closeyest""),"""")"),140.0)</f>
        <v>140</v>
      </c>
      <c r="V479" s="36">
        <f>IFERROR(__xludf.DUMMYFUNCTION("IFERROR(GOOGLEFINANCE(A479,""changepct""),"""")"),12.14)</f>
        <v>12.14</v>
      </c>
      <c r="W479" s="35">
        <f>IFERROR(__xludf.DUMMYFUNCTION("IFERROR(GOOGLEFINANCE(A479,""priceopen""),"""")"),144.0)</f>
        <v>144</v>
      </c>
      <c r="X479" s="35">
        <f>IFERROR(__xludf.DUMMYFUNCTION("IFERROR(GOOGLEFINANCE(A479,""high""),"""")"),162.0)</f>
        <v>162</v>
      </c>
      <c r="Y479" s="35">
        <f>IFERROR(__xludf.DUMMYFUNCTION("IFERROR(GOOGLEFINANCE(A479,""low""),"""")"),143.0)</f>
        <v>143</v>
      </c>
      <c r="Z479" s="35">
        <f>IFERROR(__xludf.DUMMYFUNCTION("IFERROR(GOOGLEFINANCE(A479,""volume""),"""")"),6.6306597E9)</f>
        <v>6630659700</v>
      </c>
      <c r="AA479" s="14" t="str">
        <f>VLOOKUP(A479,Metrik!$C$2:$Y$959,5,0)</f>
        <v>Coal</v>
      </c>
      <c r="AB479" s="14" t="str">
        <f>VLOOKUP(A479,Metrik!$C$2:$Y$959,3,0)</f>
        <v>Energy</v>
      </c>
    </row>
    <row r="480">
      <c r="A480" s="14" t="s">
        <v>255</v>
      </c>
      <c r="B480" s="14" t="str">
        <f t="array" ref="B480">VLOOKUP(A480,{Metrik!$C$2:$C$998,Metrik!$B$2:$B$998},2,0)</f>
        <v>Bumi Resources Tbk.</v>
      </c>
      <c r="C480" s="15">
        <f>IFERROR(__xludf.DUMMYFUNCTION("GOOGLEFINANCE(""IDX:""&amp;A480,""price"")"),157.0)</f>
        <v>157</v>
      </c>
      <c r="D480" s="16" t="str">
        <f>IFERROR(__xludf.DUMMYFUNCTION("IF(A480="""","""",
SPARKLINE(
INDEX(
GOOGLEFINANCE(""IDX:""&amp;A480,""close"",TODAY()-365,TODAY()),
,2
),
{""linewidth"",1}
))
"),"#N/A")</f>
        <v>#N/A</v>
      </c>
      <c r="E480" s="14" t="s">
        <v>38</v>
      </c>
      <c r="F480" s="25">
        <v>46356.0</v>
      </c>
      <c r="G480" s="24">
        <f t="shared" si="2"/>
        <v>11</v>
      </c>
      <c r="H480" s="19">
        <f>VLOOKUP(A480,Metrik!$C$2:$Y$959,8,0)</f>
        <v>42.3</v>
      </c>
      <c r="I480" s="20">
        <f>VLOOKUP(A480,Metrik!$C$2:$Y$959,9,0)</f>
        <v>1.3</v>
      </c>
      <c r="J480" s="20">
        <f>VLOOKUP(A480,Metrik!$C$2:$Y$959,10,0)</f>
        <v>3</v>
      </c>
      <c r="K480" s="20">
        <f>VLOOKUP(A480,Metrik!$C$2:$Y$959,11,0)</f>
        <v>1.9</v>
      </c>
      <c r="L480" s="20">
        <f>VLOOKUP(A480,Metrik!$C$2:$Y$959,12,0)</f>
        <v>0.53</v>
      </c>
      <c r="M480" s="20">
        <f>VLOOKUP(A480,Metrik!$C$2:$Y$959,19,0)</f>
        <v>20.8</v>
      </c>
      <c r="N480" s="21"/>
      <c r="O480" s="21"/>
      <c r="P480" s="21"/>
      <c r="Q480" s="21"/>
      <c r="R480" s="21"/>
      <c r="S480" s="21"/>
      <c r="T480" s="21"/>
      <c r="U480" s="22">
        <f>IFERROR(__xludf.DUMMYFUNCTION("IFERROR(GOOGLEFINANCE(A480,""closeyest""),"""")"),140.0)</f>
        <v>140</v>
      </c>
      <c r="V480" s="23">
        <f>IFERROR(__xludf.DUMMYFUNCTION("IFERROR(GOOGLEFINANCE(A480,""changepct""),"""")"),12.14)</f>
        <v>12.14</v>
      </c>
      <c r="W480" s="22">
        <f>IFERROR(__xludf.DUMMYFUNCTION("IFERROR(GOOGLEFINANCE(A480,""priceopen""),"""")"),144.0)</f>
        <v>144</v>
      </c>
      <c r="X480" s="22">
        <f>IFERROR(__xludf.DUMMYFUNCTION("IFERROR(GOOGLEFINANCE(A480,""high""),"""")"),162.0)</f>
        <v>162</v>
      </c>
      <c r="Y480" s="22">
        <f>IFERROR(__xludf.DUMMYFUNCTION("IFERROR(GOOGLEFINANCE(A480,""low""),"""")"),143.0)</f>
        <v>143</v>
      </c>
      <c r="Z480" s="22">
        <f>IFERROR(__xludf.DUMMYFUNCTION("IFERROR(GOOGLEFINANCE(A480,""volume""),"""")"),6.6306597E9)</f>
        <v>6630659700</v>
      </c>
      <c r="AA480" s="24" t="str">
        <f>VLOOKUP(A480,Metrik!$C$2:$Y$959,5,0)</f>
        <v>Coal</v>
      </c>
      <c r="AB480" s="24" t="str">
        <f>VLOOKUP(A480,Metrik!$C$2:$Y$959,3,0)</f>
        <v>Energy</v>
      </c>
    </row>
    <row r="481">
      <c r="A481" s="14" t="s">
        <v>255</v>
      </c>
      <c r="B481" s="14" t="str">
        <f t="array" ref="B481">VLOOKUP(A481,{Metrik!$C$2:$C$998,Metrik!$B$2:$B$998},2,0)</f>
        <v>Bumi Resources Tbk.</v>
      </c>
      <c r="C481" s="15">
        <f>IFERROR(__xludf.DUMMYFUNCTION("GOOGLEFINANCE(""IDX:""&amp;A481,""price"")"),157.0)</f>
        <v>157</v>
      </c>
      <c r="D481" s="16" t="str">
        <f>IFERROR(__xludf.DUMMYFUNCTION("IF(A481="""","""",
SPARKLINE(
INDEX(
GOOGLEFINANCE(""IDX:""&amp;A481,""close"",TODAY()-365,TODAY()),
,2
),
{""linewidth"",1}
))
"),"#N/A")</f>
        <v>#N/A</v>
      </c>
      <c r="E481" s="14" t="s">
        <v>39</v>
      </c>
      <c r="F481" s="25">
        <v>46356.0</v>
      </c>
      <c r="G481" s="24">
        <f t="shared" si="2"/>
        <v>11</v>
      </c>
      <c r="H481" s="19">
        <f>VLOOKUP(A481,Metrik!$C$2:$Y$959,8,0)</f>
        <v>42.3</v>
      </c>
      <c r="I481" s="20">
        <f>VLOOKUP(A481,Metrik!$C$2:$Y$959,9,0)</f>
        <v>1.3</v>
      </c>
      <c r="J481" s="20">
        <f>VLOOKUP(A481,Metrik!$C$2:$Y$959,10,0)</f>
        <v>3</v>
      </c>
      <c r="K481" s="20">
        <f>VLOOKUP(A481,Metrik!$C$2:$Y$959,11,0)</f>
        <v>1.9</v>
      </c>
      <c r="L481" s="20">
        <f>VLOOKUP(A481,Metrik!$C$2:$Y$959,12,0)</f>
        <v>0.53</v>
      </c>
      <c r="M481" s="20">
        <f>VLOOKUP(A481,Metrik!$C$2:$Y$959,19,0)</f>
        <v>20.8</v>
      </c>
      <c r="N481" s="21"/>
      <c r="O481" s="21"/>
      <c r="P481" s="21"/>
      <c r="Q481" s="21"/>
      <c r="R481" s="21"/>
      <c r="S481" s="21"/>
      <c r="T481" s="21"/>
      <c r="U481" s="22">
        <f>IFERROR(__xludf.DUMMYFUNCTION("IFERROR(GOOGLEFINANCE(A481,""closeyest""),"""")"),140.0)</f>
        <v>140</v>
      </c>
      <c r="V481" s="23">
        <f>IFERROR(__xludf.DUMMYFUNCTION("IFERROR(GOOGLEFINANCE(A481,""changepct""),"""")"),12.14)</f>
        <v>12.14</v>
      </c>
      <c r="W481" s="22">
        <f>IFERROR(__xludf.DUMMYFUNCTION("IFERROR(GOOGLEFINANCE(A481,""priceopen""),"""")"),144.0)</f>
        <v>144</v>
      </c>
      <c r="X481" s="22">
        <f>IFERROR(__xludf.DUMMYFUNCTION("IFERROR(GOOGLEFINANCE(A481,""high""),"""")"),162.0)</f>
        <v>162</v>
      </c>
      <c r="Y481" s="22">
        <f>IFERROR(__xludf.DUMMYFUNCTION("IFERROR(GOOGLEFINANCE(A481,""low""),"""")"),143.0)</f>
        <v>143</v>
      </c>
      <c r="Z481" s="22">
        <f>IFERROR(__xludf.DUMMYFUNCTION("IFERROR(GOOGLEFINANCE(A481,""volume""),"""")"),6.6306597E9)</f>
        <v>6630659700</v>
      </c>
      <c r="AA481" s="24" t="str">
        <f>VLOOKUP(A481,Metrik!$C$2:$Y$959,5,0)</f>
        <v>Coal</v>
      </c>
      <c r="AB481" s="24" t="str">
        <f>VLOOKUP(A481,Metrik!$C$2:$Y$959,3,0)</f>
        <v>Energy</v>
      </c>
    </row>
    <row r="482">
      <c r="A482" s="14" t="s">
        <v>256</v>
      </c>
      <c r="B482" s="14" t="str">
        <f t="array" ref="B482">VLOOKUP(A482,{Metrik!$C$2:$C$998,Metrik!$B$2:$B$998},2,0)</f>
        <v>Bukit Uluwatu Villa Tbk.</v>
      </c>
      <c r="C482" s="15">
        <f>IFERROR(__xludf.DUMMYFUNCTION("GOOGLEFINANCE(""IDX:""&amp;A482,""price"")"),775.0)</f>
        <v>775</v>
      </c>
      <c r="D482" s="16" t="str">
        <f>IFERROR(__xludf.DUMMYFUNCTION("IF(A482="""","""",
SPARKLINE(
INDEX(
GOOGLEFINANCE(""IDX:""&amp;A482,""close"",TODAY()-365,TODAY()),
,2
),
{""linewidth"",1}
))
"),"#N/A")</f>
        <v>#N/A</v>
      </c>
      <c r="E482" s="14" t="s">
        <v>32</v>
      </c>
      <c r="F482" s="14" t="s">
        <v>29</v>
      </c>
      <c r="G482" s="24">
        <f t="shared" si="2"/>
        <v>1</v>
      </c>
      <c r="H482" s="19">
        <f>VLOOKUP(A482,Metrik!$C$2:$Y$959,8,0)</f>
        <v>940</v>
      </c>
      <c r="I482" s="20">
        <f>VLOOKUP(A482,Metrik!$C$2:$Y$959,9,0)</f>
        <v>9.2</v>
      </c>
      <c r="J482" s="20">
        <f>VLOOKUP(A482,Metrik!$C$2:$Y$959,10,0)</f>
        <v>0.97</v>
      </c>
      <c r="K482" s="20">
        <f>VLOOKUP(A482,Metrik!$C$2:$Y$959,11,0)</f>
        <v>0.77</v>
      </c>
      <c r="L482" s="20">
        <f>VLOOKUP(A482,Metrik!$C$2:$Y$959,12,0)</f>
        <v>0.27</v>
      </c>
      <c r="M482" s="20">
        <f>VLOOKUP(A482,Metrik!$C$2:$Y$959,19,0)</f>
        <v>31</v>
      </c>
      <c r="N482" s="21"/>
      <c r="O482" s="21"/>
      <c r="P482" s="21"/>
      <c r="Q482" s="21"/>
      <c r="R482" s="21"/>
      <c r="S482" s="21"/>
      <c r="T482" s="21"/>
      <c r="U482" s="22">
        <f>IFERROR(__xludf.DUMMYFUNCTION("IFERROR(GOOGLEFINANCE(A482,""closeyest""),"""")"),715.0)</f>
        <v>715</v>
      </c>
      <c r="V482" s="23">
        <f>IFERROR(__xludf.DUMMYFUNCTION("IFERROR(GOOGLEFINANCE(A482,""changepct""),"""")"),8.39)</f>
        <v>8.39</v>
      </c>
      <c r="W482" s="22">
        <f>IFERROR(__xludf.DUMMYFUNCTION("IFERROR(GOOGLEFINANCE(A482,""priceopen""),"""")"),730.0)</f>
        <v>730</v>
      </c>
      <c r="X482" s="22">
        <f>IFERROR(__xludf.DUMMYFUNCTION("IFERROR(GOOGLEFINANCE(A482,""high""),"""")"),795.0)</f>
        <v>795</v>
      </c>
      <c r="Y482" s="22">
        <f>IFERROR(__xludf.DUMMYFUNCTION("IFERROR(GOOGLEFINANCE(A482,""low""),"""")"),725.0)</f>
        <v>725</v>
      </c>
      <c r="Z482" s="22">
        <f>IFERROR(__xludf.DUMMYFUNCTION("IFERROR(GOOGLEFINANCE(A482,""volume""),"""")"),2.364371E8)</f>
        <v>236437100</v>
      </c>
      <c r="AA482" s="24" t="str">
        <f>VLOOKUP(A482,Metrik!$C$2:$Y$959,5,0)</f>
        <v>Tourism &amp; Recreation</v>
      </c>
      <c r="AB482" s="24" t="str">
        <f>VLOOKUP(A482,Metrik!$C$2:$Y$959,3,0)</f>
        <v>Consumer Cyclicals</v>
      </c>
    </row>
    <row r="483">
      <c r="A483" s="14" t="s">
        <v>257</v>
      </c>
      <c r="B483" s="14" t="str">
        <f t="array" ref="B483">VLOOKUP(A483,{Metrik!$C$2:$C$998,Metrik!$B$2:$B$998},2,0)</f>
        <v>Bank Victoria International Tbk.</v>
      </c>
      <c r="C483" s="15">
        <f>IFERROR(__xludf.DUMMYFUNCTION("GOOGLEFINANCE(""IDX:""&amp;A483,""price"")"),87.0)</f>
        <v>87</v>
      </c>
      <c r="D483" s="16" t="str">
        <f>IFERROR(__xludf.DUMMYFUNCTION("IF(A483="""","""",
SPARKLINE(
INDEX(
GOOGLEFINANCE(""IDX:""&amp;A483,""close"",TODAY()-365,TODAY()),
,2
),
{""linewidth"",1}
))
"),"#N/A")</f>
        <v>#N/A</v>
      </c>
      <c r="E483" s="26"/>
      <c r="F483" s="26"/>
      <c r="G483" s="24">
        <f t="shared" si="2"/>
        <v>0</v>
      </c>
      <c r="H483" s="19">
        <f>VLOOKUP(A483,Metrik!$C$2:$Y$959,8,0)</f>
        <v>13.5</v>
      </c>
      <c r="I483" s="20">
        <f>VLOOKUP(A483,Metrik!$C$2:$Y$959,9,0)</f>
        <v>0.42</v>
      </c>
      <c r="J483" s="20">
        <f>VLOOKUP(A483,Metrik!$C$2:$Y$959,10,0)</f>
        <v>3.2</v>
      </c>
      <c r="K483" s="20">
        <f>VLOOKUP(A483,Metrik!$C$2:$Y$959,11,0)</f>
        <v>0.4</v>
      </c>
      <c r="L483" s="20">
        <f>VLOOKUP(A483,Metrik!$C$2:$Y$959,12,0)</f>
        <v>6.9</v>
      </c>
      <c r="M483" s="20">
        <f>VLOOKUP(A483,Metrik!$C$2:$Y$959,19,0)</f>
        <v>22.6</v>
      </c>
      <c r="N483" s="32">
        <v>2.12</v>
      </c>
      <c r="O483" s="32">
        <v>19.45</v>
      </c>
      <c r="P483" s="32">
        <v>81.1</v>
      </c>
      <c r="Q483" s="32">
        <v>4.15</v>
      </c>
      <c r="R483" s="32">
        <v>93.4</v>
      </c>
      <c r="S483" s="32">
        <v>60.15</v>
      </c>
      <c r="T483" s="32">
        <v>12.11</v>
      </c>
      <c r="U483" s="22">
        <f>IFERROR(__xludf.DUMMYFUNCTION("IFERROR(GOOGLEFINANCE(A483,""closeyest""),"""")"),84.0)</f>
        <v>84</v>
      </c>
      <c r="V483" s="23">
        <f>IFERROR(__xludf.DUMMYFUNCTION("IFERROR(GOOGLEFINANCE(A483,""changepct""),"""")"),3.57)</f>
        <v>3.57</v>
      </c>
      <c r="W483" s="22">
        <f>IFERROR(__xludf.DUMMYFUNCTION("IFERROR(GOOGLEFINANCE(A483,""priceopen""),"""")"),84.0)</f>
        <v>84</v>
      </c>
      <c r="X483" s="22">
        <f>IFERROR(__xludf.DUMMYFUNCTION("IFERROR(GOOGLEFINANCE(A483,""high""),"""")"),88.0)</f>
        <v>88</v>
      </c>
      <c r="Y483" s="22">
        <f>IFERROR(__xludf.DUMMYFUNCTION("IFERROR(GOOGLEFINANCE(A483,""low""),"""")"),84.0)</f>
        <v>84</v>
      </c>
      <c r="Z483" s="22">
        <f>IFERROR(__xludf.DUMMYFUNCTION("IFERROR(GOOGLEFINANCE(A483,""volume""),"""")"),1144900.0)</f>
        <v>1144900</v>
      </c>
      <c r="AA483" s="24" t="str">
        <f>VLOOKUP(A483,Metrik!$C$2:$Y$959,5,0)</f>
        <v>Banks</v>
      </c>
      <c r="AB483" s="24" t="str">
        <f>VLOOKUP(A483,Metrik!$C$2:$Y$959,3,0)</f>
        <v>Financials</v>
      </c>
    </row>
    <row r="484">
      <c r="A484" s="17" t="s">
        <v>258</v>
      </c>
      <c r="B484" s="14" t="str">
        <f t="array" ref="B484">VLOOKUP(A484,{Metrik!$C$2:$C$998,Metrik!$B$2:$B$998},2,0)</f>
        <v>Eagle High Plantations Tbk</v>
      </c>
      <c r="C484" s="15">
        <f>IFERROR(__xludf.DUMMYFUNCTION("GOOGLEFINANCE(""IDX:""&amp;A484,""price"")"),74.0)</f>
        <v>74</v>
      </c>
      <c r="D484" s="16" t="str">
        <f>IFERROR(__xludf.DUMMYFUNCTION("IF(A484="""","""",
SPARKLINE(
INDEX(
GOOGLEFINANCE(""IDX:""&amp;A484,""close"",TODAY()-365,TODAY()),
,2
),
{""linewidth"",1}
))
"),"#N/A")</f>
        <v>#N/A</v>
      </c>
      <c r="E484" s="14" t="s">
        <v>55</v>
      </c>
      <c r="F484" s="25">
        <v>46356.0</v>
      </c>
      <c r="G484" s="18">
        <f t="shared" si="2"/>
        <v>1</v>
      </c>
      <c r="H484" s="19">
        <f>VLOOKUP(A484,Metrik!$C$2:$Y$959,8,0)</f>
        <v>7.1</v>
      </c>
      <c r="I484" s="20">
        <f>VLOOKUP(A484,Metrik!$C$2:$Y$959,9,0)</f>
        <v>0.9</v>
      </c>
      <c r="J484" s="20">
        <f>VLOOKUP(A484,Metrik!$C$2:$Y$959,10,0)</f>
        <v>12.7</v>
      </c>
      <c r="K484" s="20">
        <f>VLOOKUP(A484,Metrik!$C$2:$Y$959,11,0)</f>
        <v>3.6</v>
      </c>
      <c r="L484" s="20">
        <f>VLOOKUP(A484,Metrik!$C$2:$Y$959,12,0)</f>
        <v>2.5</v>
      </c>
      <c r="M484" s="20">
        <f>VLOOKUP(A484,Metrik!$C$2:$Y$959,19,0)</f>
        <v>26.8</v>
      </c>
      <c r="N484" s="21"/>
      <c r="O484" s="21"/>
      <c r="P484" s="21"/>
      <c r="Q484" s="21"/>
      <c r="R484" s="21"/>
      <c r="S484" s="21"/>
      <c r="T484" s="21"/>
      <c r="U484" s="22">
        <f>IFERROR(__xludf.DUMMYFUNCTION("IFERROR(GOOGLEFINANCE(A484,""closeyest""),"""")"),72.0)</f>
        <v>72</v>
      </c>
      <c r="V484" s="23">
        <f>IFERROR(__xludf.DUMMYFUNCTION("IFERROR(GOOGLEFINANCE(A484,""changepct""),"""")"),2.78)</f>
        <v>2.78</v>
      </c>
      <c r="W484" s="22">
        <f>IFERROR(__xludf.DUMMYFUNCTION("IFERROR(GOOGLEFINANCE(A484,""priceopen""),"""")"),73.0)</f>
        <v>73</v>
      </c>
      <c r="X484" s="22">
        <f>IFERROR(__xludf.DUMMYFUNCTION("IFERROR(GOOGLEFINANCE(A484,""high""),"""")"),81.0)</f>
        <v>81</v>
      </c>
      <c r="Y484" s="22">
        <f>IFERROR(__xludf.DUMMYFUNCTION("IFERROR(GOOGLEFINANCE(A484,""low""),"""")"),72.0)</f>
        <v>72</v>
      </c>
      <c r="Z484" s="22">
        <f>IFERROR(__xludf.DUMMYFUNCTION("IFERROR(GOOGLEFINANCE(A484,""volume""),"""")"),2.422151E8)</f>
        <v>242215100</v>
      </c>
      <c r="AA484" s="24" t="str">
        <f>VLOOKUP(A484,Metrik!$C$2:$Y$959,5,0)</f>
        <v>Agricultural Products</v>
      </c>
      <c r="AB484" s="24" t="str">
        <f>VLOOKUP(A484,Metrik!$C$2:$Y$959,3,0)</f>
        <v>Consumer Non-Cyclicals</v>
      </c>
    </row>
    <row r="485">
      <c r="A485" s="14" t="s">
        <v>259</v>
      </c>
      <c r="B485" s="14" t="str">
        <f t="array" ref="B485">VLOOKUP(A485,{Metrik!$C$2:$C$998,Metrik!$B$2:$B$998},2,0)</f>
        <v>Bayan Resources Tbk.</v>
      </c>
      <c r="C485" s="15">
        <f>IFERROR(__xludf.DUMMYFUNCTION("GOOGLEFINANCE(""IDX:""&amp;A485,""price"")"),9700.0)</f>
        <v>9700</v>
      </c>
      <c r="D485" s="16" t="str">
        <f>IFERROR(__xludf.DUMMYFUNCTION("IF(A485="""","""",
SPARKLINE(
INDEX(
GOOGLEFINANCE(""IDX:""&amp;A485,""close"",TODAY()-365,TODAY()),
,2
),
{""linewidth"",1}
))
"),"#N/A")</f>
        <v>#N/A</v>
      </c>
      <c r="E485" s="26"/>
      <c r="F485" s="26"/>
      <c r="G485" s="24">
        <f t="shared" si="2"/>
        <v>0</v>
      </c>
      <c r="H485" s="19">
        <f>VLOOKUP(A485,Metrik!$C$2:$Y$959,8,0)</f>
        <v>26.2</v>
      </c>
      <c r="I485" s="20">
        <f>VLOOKUP(A485,Metrik!$C$2:$Y$959,9,0)</f>
        <v>6.7</v>
      </c>
      <c r="J485" s="20">
        <f>VLOOKUP(A485,Metrik!$C$2:$Y$959,10,0)</f>
        <v>25.5</v>
      </c>
      <c r="K485" s="20">
        <f>VLOOKUP(A485,Metrik!$C$2:$Y$959,11,0)</f>
        <v>21</v>
      </c>
      <c r="L485" s="20">
        <f>VLOOKUP(A485,Metrik!$C$2:$Y$959,12,0)</f>
        <v>0.21</v>
      </c>
      <c r="M485" s="20">
        <f>VLOOKUP(A485,Metrik!$C$2:$Y$959,19,0)</f>
        <v>89.6</v>
      </c>
      <c r="N485" s="21"/>
      <c r="O485" s="21"/>
      <c r="P485" s="21"/>
      <c r="Q485" s="21"/>
      <c r="R485" s="21"/>
      <c r="S485" s="21"/>
      <c r="T485" s="21"/>
      <c r="U485" s="22">
        <f>IFERROR(__xludf.DUMMYFUNCTION("IFERROR(GOOGLEFINANCE(A485,""closeyest""),"""")"),9700.0)</f>
        <v>9700</v>
      </c>
      <c r="V485" s="23">
        <f>IFERROR(__xludf.DUMMYFUNCTION("IFERROR(GOOGLEFINANCE(A485,""changepct""),"""")"),0.0)</f>
        <v>0</v>
      </c>
      <c r="W485" s="22">
        <f>IFERROR(__xludf.DUMMYFUNCTION("IFERROR(GOOGLEFINANCE(A485,""priceopen""),"""")"),9700.0)</f>
        <v>9700</v>
      </c>
      <c r="X485" s="22">
        <f>IFERROR(__xludf.DUMMYFUNCTION("IFERROR(GOOGLEFINANCE(A485,""high""),"""")"),10000.0)</f>
        <v>10000</v>
      </c>
      <c r="Y485" s="22" t="str">
        <f>IFERROR(__xludf.DUMMYFUNCTION("IFERROR(GOOGLEFINANCE(A485,""low""),"""")"),"")</f>
        <v/>
      </c>
      <c r="Z485" s="22">
        <f>IFERROR(__xludf.DUMMYFUNCTION("IFERROR(GOOGLEFINANCE(A485,""volume""),"""")"),224500.0)</f>
        <v>224500</v>
      </c>
      <c r="AA485" s="24" t="str">
        <f>VLOOKUP(A485,Metrik!$C$2:$Y$959,5,0)</f>
        <v>Coal</v>
      </c>
      <c r="AB485" s="24" t="str">
        <f>VLOOKUP(A485,Metrik!$C$2:$Y$959,3,0)</f>
        <v>Energy</v>
      </c>
    </row>
    <row r="486">
      <c r="A486" s="14" t="s">
        <v>260</v>
      </c>
      <c r="B486" s="14" t="str">
        <f t="array" ref="B486">VLOOKUP(A486,{Metrik!$C$2:$C$998,Metrik!$B$2:$B$998},2,0)</f>
        <v>Cahayaputra Asa Keramik Tbk.</v>
      </c>
      <c r="C486" s="15">
        <f>IFERROR(__xludf.DUMMYFUNCTION("GOOGLEFINANCE(""IDX:""&amp;A486,""price"")"),140.0)</f>
        <v>140</v>
      </c>
      <c r="D486" s="16" t="str">
        <f>IFERROR(__xludf.DUMMYFUNCTION("IF(A486="""","""",
SPARKLINE(
INDEX(
GOOGLEFINANCE(""IDX:""&amp;A486,""close"",TODAY()-365,TODAY()),
,2
),
{""linewidth"",1}
))
"),"#N/A")</f>
        <v>#N/A</v>
      </c>
      <c r="E486" s="26"/>
      <c r="F486" s="26"/>
      <c r="G486" s="24">
        <f t="shared" si="2"/>
        <v>0</v>
      </c>
      <c r="H486" s="19">
        <f>VLOOKUP(A486,Metrik!$C$2:$Y$959,8,0)</f>
        <v>-4.3</v>
      </c>
      <c r="I486" s="20">
        <f>VLOOKUP(A486,Metrik!$C$2:$Y$959,9,0)</f>
        <v>1.4</v>
      </c>
      <c r="J486" s="20">
        <f>VLOOKUP(A486,Metrik!$C$2:$Y$959,10,0)</f>
        <v>-31.6</v>
      </c>
      <c r="K486" s="20">
        <f>VLOOKUP(A486,Metrik!$C$2:$Y$959,11,0)</f>
        <v>-8.5</v>
      </c>
      <c r="L486" s="20">
        <f>VLOOKUP(A486,Metrik!$C$2:$Y$959,12,0)</f>
        <v>2.7</v>
      </c>
      <c r="M486" s="20">
        <f>VLOOKUP(A486,Metrik!$C$2:$Y$959,19,0)</f>
        <v>-40</v>
      </c>
      <c r="N486" s="21"/>
      <c r="O486" s="21"/>
      <c r="P486" s="21"/>
      <c r="Q486" s="21"/>
      <c r="R486" s="21"/>
      <c r="S486" s="21"/>
      <c r="T486" s="21"/>
      <c r="U486" s="22">
        <f>IFERROR(__xludf.DUMMYFUNCTION("IFERROR(GOOGLEFINANCE(A486,""closeyest""),"""")"),136.0)</f>
        <v>136</v>
      </c>
      <c r="V486" s="23" t="str">
        <f>IFERROR(__xludf.DUMMYFUNCTION("IFERROR(GOOGLEFINANCE(A486,""changepct""),"""")"),"")</f>
        <v/>
      </c>
      <c r="W486" s="22">
        <f>IFERROR(__xludf.DUMMYFUNCTION("IFERROR(GOOGLEFINANCE(A486,""priceopen""),"""")"),137.0)</f>
        <v>137</v>
      </c>
      <c r="X486" s="22">
        <f>IFERROR(__xludf.DUMMYFUNCTION("IFERROR(GOOGLEFINANCE(A486,""high""),"""")"),140.0)</f>
        <v>140</v>
      </c>
      <c r="Y486" s="22" t="str">
        <f>IFERROR(__xludf.DUMMYFUNCTION("IFERROR(GOOGLEFINANCE(A486,""low""),"""")"),"")</f>
        <v/>
      </c>
      <c r="Z486" s="22">
        <f>IFERROR(__xludf.DUMMYFUNCTION("IFERROR(GOOGLEFINANCE(A486,""volume""),"""")"),60800.0)</f>
        <v>60800</v>
      </c>
      <c r="AA486" s="24" t="str">
        <f>VLOOKUP(A486,Metrik!$C$2:$Y$959,5,0)</f>
        <v>Building Products &amp; Fixtures</v>
      </c>
      <c r="AB486" s="24" t="str">
        <f>VLOOKUP(A486,Metrik!$C$2:$Y$959,3,0)</f>
        <v>Industrials</v>
      </c>
    </row>
    <row r="487">
      <c r="A487" s="14" t="s">
        <v>261</v>
      </c>
      <c r="B487" s="14" t="str">
        <f t="array" ref="B487">VLOOKUP(A487,{Metrik!$C$2:$C$998,Metrik!$B$2:$B$998},2,0)</f>
        <v>Campina Ice Cream Industry Tbk.</v>
      </c>
      <c r="C487" s="15" t="str">
        <f>IFERROR(__xludf.DUMMYFUNCTION("GOOGLEFINANCE(""IDX:""&amp;A487,""price"")"),"#N/A")</f>
        <v>#N/A</v>
      </c>
      <c r="D487" s="16" t="str">
        <f>IFERROR(__xludf.DUMMYFUNCTION("IF(A487="""","""",
SPARKLINE(
INDEX(
GOOGLEFINANCE(""IDX:""&amp;A487,""close"",TODAY()-365,TODAY()),
,2
),
{""linewidth"",1}
))
"),"#N/A")</f>
        <v>#N/A</v>
      </c>
      <c r="E487" s="26"/>
      <c r="F487" s="26"/>
      <c r="G487" s="24">
        <f t="shared" si="2"/>
        <v>0</v>
      </c>
      <c r="H487" s="19">
        <f>VLOOKUP(A487,Metrik!$C$2:$Y$959,8,0)</f>
        <v>14.6</v>
      </c>
      <c r="I487" s="20">
        <f>VLOOKUP(A487,Metrik!$C$2:$Y$959,9,0)</f>
        <v>1.1</v>
      </c>
      <c r="J487" s="20">
        <f>VLOOKUP(A487,Metrik!$C$2:$Y$959,10,0)</f>
        <v>7.5</v>
      </c>
      <c r="K487" s="20">
        <f>VLOOKUP(A487,Metrik!$C$2:$Y$959,11,0)</f>
        <v>6.4</v>
      </c>
      <c r="L487" s="20">
        <f>VLOOKUP(A487,Metrik!$C$2:$Y$959,12,0)</f>
        <v>0.18</v>
      </c>
      <c r="M487" s="20">
        <f>VLOOKUP(A487,Metrik!$C$2:$Y$959,19,0)</f>
        <v>27.7</v>
      </c>
      <c r="N487" s="21"/>
      <c r="O487" s="21"/>
      <c r="P487" s="21"/>
      <c r="Q487" s="21"/>
      <c r="R487" s="21"/>
      <c r="S487" s="21"/>
      <c r="T487" s="21"/>
      <c r="U487" s="22">
        <f>IFERROR(__xludf.DUMMYFUNCTION("IFERROR(GOOGLEFINANCE(A487,""closeyest""),"""")"),4.22)</f>
        <v>4.22</v>
      </c>
      <c r="V487" s="23">
        <f>IFERROR(__xludf.DUMMYFUNCTION("IFERROR(GOOGLEFINANCE(A487,""changepct""),"""")"),-0.71)</f>
        <v>-0.71</v>
      </c>
      <c r="W487" s="22">
        <f>IFERROR(__xludf.DUMMYFUNCTION("IFERROR(GOOGLEFINANCE(A487,""priceopen""),"""")"),4.22)</f>
        <v>4.22</v>
      </c>
      <c r="X487" s="22">
        <f>IFERROR(__xludf.DUMMYFUNCTION("IFERROR(GOOGLEFINANCE(A487,""high""),"""")"),4.46)</f>
        <v>4.46</v>
      </c>
      <c r="Y487" s="22">
        <f>IFERROR(__xludf.DUMMYFUNCTION("IFERROR(GOOGLEFINANCE(A487,""low""),"""")"),4.16)</f>
        <v>4.16</v>
      </c>
      <c r="Z487" s="22">
        <f>IFERROR(__xludf.DUMMYFUNCTION("IFERROR(GOOGLEFINANCE(A487,""volume""),"""")"),41032.0)</f>
        <v>41032</v>
      </c>
      <c r="AA487" s="24" t="str">
        <f>VLOOKUP(A487,Metrik!$C$2:$Y$959,5,0)</f>
        <v>Processed Foods</v>
      </c>
      <c r="AB487" s="24" t="str">
        <f>VLOOKUP(A487,Metrik!$C$2:$Y$959,3,0)</f>
        <v>Consumer Non-Cyclicals</v>
      </c>
    </row>
    <row r="488">
      <c r="A488" s="14" t="s">
        <v>262</v>
      </c>
      <c r="B488" s="14" t="str">
        <f t="array" ref="B488">VLOOKUP(A488,{Metrik!$C$2:$C$998,Metrik!$B$2:$B$998},2,0)</f>
        <v>Capitol Nusantara Indonesia Tbk.</v>
      </c>
      <c r="C488" s="15">
        <f>IFERROR(__xludf.DUMMYFUNCTION("GOOGLEFINANCE(""IDX:""&amp;A488,""price"")"),148.0)</f>
        <v>148</v>
      </c>
      <c r="D488" s="16" t="str">
        <f>IFERROR(__xludf.DUMMYFUNCTION("IF(A488="""","""",
SPARKLINE(
INDEX(
GOOGLEFINANCE(""IDX:""&amp;A488,""close"",TODAY()-365,TODAY()),
,2
),
{""linewidth"",1}
))
"),"#N/A")</f>
        <v>#N/A</v>
      </c>
      <c r="E488" s="26"/>
      <c r="F488" s="26"/>
      <c r="G488" s="24">
        <f t="shared" si="2"/>
        <v>0</v>
      </c>
      <c r="H488" s="19">
        <f>VLOOKUP(A488,Metrik!$C$2:$Y$959,8,0)</f>
        <v>-4.1</v>
      </c>
      <c r="I488" s="20">
        <f>VLOOKUP(A488,Metrik!$C$2:$Y$959,9,0)</f>
        <v>-0.2</v>
      </c>
      <c r="J488" s="20">
        <f>VLOOKUP(A488,Metrik!$C$2:$Y$959,10,0)</f>
        <v>0</v>
      </c>
      <c r="K488" s="20">
        <f>VLOOKUP(A488,Metrik!$C$2:$Y$959,11,0)</f>
        <v>-23.7</v>
      </c>
      <c r="L488" s="20">
        <f>VLOOKUP(A488,Metrik!$C$2:$Y$959,12,0)</f>
        <v>-1.2</v>
      </c>
      <c r="M488" s="20">
        <f>VLOOKUP(A488,Metrik!$C$2:$Y$959,19,0)</f>
        <v>-84.4</v>
      </c>
      <c r="N488" s="21"/>
      <c r="O488" s="21"/>
      <c r="P488" s="21"/>
      <c r="Q488" s="21"/>
      <c r="R488" s="21"/>
      <c r="S488" s="21"/>
      <c r="T488" s="21"/>
      <c r="U488" s="22">
        <f>IFERROR(__xludf.DUMMYFUNCTION("IFERROR(GOOGLEFINANCE(A488,""closeyest""),"""")"),136.0)</f>
        <v>136</v>
      </c>
      <c r="V488" s="23">
        <f>IFERROR(__xludf.DUMMYFUNCTION("IFERROR(GOOGLEFINANCE(A488,""changepct""),"""")"),8.82)</f>
        <v>8.82</v>
      </c>
      <c r="W488" s="22">
        <f>IFERROR(__xludf.DUMMYFUNCTION("IFERROR(GOOGLEFINANCE(A488,""priceopen""),"""")"),136.0)</f>
        <v>136</v>
      </c>
      <c r="X488" s="22">
        <f>IFERROR(__xludf.DUMMYFUNCTION("IFERROR(GOOGLEFINANCE(A488,""high""),"""")"),148.0)</f>
        <v>148</v>
      </c>
      <c r="Y488" s="22">
        <f>IFERROR(__xludf.DUMMYFUNCTION("IFERROR(GOOGLEFINANCE(A488,""low""),"""")"),136.0)</f>
        <v>136</v>
      </c>
      <c r="Z488" s="22">
        <f>IFERROR(__xludf.DUMMYFUNCTION("IFERROR(GOOGLEFINANCE(A488,""volume""),"""")"),106300.0)</f>
        <v>106300</v>
      </c>
      <c r="AA488" s="24" t="str">
        <f>VLOOKUP(A488,Metrik!$C$2:$Y$959,5,0)</f>
        <v>Coal</v>
      </c>
      <c r="AB488" s="24" t="str">
        <f>VLOOKUP(A488,Metrik!$C$2:$Y$959,3,0)</f>
        <v>Energy</v>
      </c>
    </row>
    <row r="489">
      <c r="A489" s="14" t="s">
        <v>263</v>
      </c>
      <c r="B489" s="14" t="str">
        <f t="array" ref="B489">VLOOKUP(A489,{Metrik!$C$2:$C$998,Metrik!$B$2:$B$998},2,0)</f>
        <v>Metro Healthcare Indonesia Tbk.</v>
      </c>
      <c r="C489" s="15">
        <f>IFERROR(__xludf.DUMMYFUNCTION("GOOGLEFINANCE(""IDX:""&amp;A489,""price"")"),406.0)</f>
        <v>406</v>
      </c>
      <c r="D489" s="16" t="str">
        <f>IFERROR(__xludf.DUMMYFUNCTION("IF(A489="""","""",
SPARKLINE(
INDEX(
GOOGLEFINANCE(""IDX:""&amp;A489,""close"",TODAY()-365,TODAY()),
,2
),
{""linewidth"",1}
))
"),"#N/A")</f>
        <v>#N/A</v>
      </c>
      <c r="E489" s="26"/>
      <c r="F489" s="26"/>
      <c r="G489" s="24">
        <f t="shared" si="2"/>
        <v>0</v>
      </c>
      <c r="H489" s="19">
        <f>VLOOKUP(A489,Metrik!$C$2:$Y$959,8,0)</f>
        <v>400</v>
      </c>
      <c r="I489" s="20">
        <f>VLOOKUP(A489,Metrik!$C$2:$Y$959,9,0)</f>
        <v>4.5</v>
      </c>
      <c r="J489" s="20">
        <f>VLOOKUP(A489,Metrik!$C$2:$Y$959,10,0)</f>
        <v>1.1</v>
      </c>
      <c r="K489" s="20">
        <f>VLOOKUP(A489,Metrik!$C$2:$Y$959,11,0)</f>
        <v>0.82</v>
      </c>
      <c r="L489" s="20">
        <f>VLOOKUP(A489,Metrik!$C$2:$Y$959,12,0)</f>
        <v>0.38</v>
      </c>
      <c r="M489" s="20">
        <f>VLOOKUP(A489,Metrik!$C$2:$Y$959,19,0)</f>
        <v>28.4</v>
      </c>
      <c r="N489" s="21"/>
      <c r="O489" s="21"/>
      <c r="P489" s="21"/>
      <c r="Q489" s="21"/>
      <c r="R489" s="21"/>
      <c r="S489" s="21"/>
      <c r="T489" s="21"/>
      <c r="U489" s="22">
        <f>IFERROR(__xludf.DUMMYFUNCTION("IFERROR(GOOGLEFINANCE(A489,""closeyest""),"""")"),29.56)</f>
        <v>29.56</v>
      </c>
      <c r="V489" s="23">
        <f>IFERROR(__xludf.DUMMYFUNCTION("IFERROR(GOOGLEFINANCE(A489,""changepct""),"""")"),1.07)</f>
        <v>1.07</v>
      </c>
      <c r="W489" s="22" t="str">
        <f>IFERROR(__xludf.DUMMYFUNCTION("IFERROR(GOOGLEFINANCE(A489,""priceopen""),"""")"),"")</f>
        <v/>
      </c>
      <c r="X489" s="22">
        <f>IFERROR(__xludf.DUMMYFUNCTION("IFERROR(GOOGLEFINANCE(A489,""high""),"""")"),29.99)</f>
        <v>29.99</v>
      </c>
      <c r="Y489" s="22">
        <f>IFERROR(__xludf.DUMMYFUNCTION("IFERROR(GOOGLEFINANCE(A489,""low""),"""")"),29.39)</f>
        <v>29.39</v>
      </c>
      <c r="Z489" s="22">
        <f>IFERROR(__xludf.DUMMYFUNCTION("IFERROR(GOOGLEFINANCE(A489,""volume""),"""")"),447721.0)</f>
        <v>447721</v>
      </c>
      <c r="AA489" s="24" t="str">
        <f>VLOOKUP(A489,Metrik!$C$2:$Y$959,5,0)</f>
        <v>Healthcare Providers</v>
      </c>
      <c r="AB489" s="24" t="str">
        <f>VLOOKUP(A489,Metrik!$C$2:$Y$959,3,0)</f>
        <v>Healthcare</v>
      </c>
    </row>
    <row r="490">
      <c r="A490" s="17" t="s">
        <v>264</v>
      </c>
      <c r="B490" s="14" t="str">
        <f t="array" ref="B490">VLOOKUP(A490,{Metrik!$C$2:$C$998,Metrik!$B$2:$B$998},2,0)</f>
        <v>PT Industri dan Perdagangan Bintraco Dharma Tbk</v>
      </c>
      <c r="C490" s="15">
        <f>IFERROR(__xludf.DUMMYFUNCTION("GOOGLEFINANCE(""IDX:""&amp;A490,""price"")"),89.0)</f>
        <v>89</v>
      </c>
      <c r="D490" s="16" t="str">
        <f>IFERROR(__xludf.DUMMYFUNCTION("IF(A490="""","""",
SPARKLINE(
INDEX(
GOOGLEFINANCE(""IDX:""&amp;A490,""close"",TODAY()-365,TODAY()),
,2
),
{""linewidth"",1}
))
"),"#N/A")</f>
        <v>#N/A</v>
      </c>
      <c r="E490" s="14" t="s">
        <v>55</v>
      </c>
      <c r="F490" s="25">
        <v>46356.0</v>
      </c>
      <c r="G490" s="18">
        <f t="shared" si="2"/>
        <v>1</v>
      </c>
      <c r="H490" s="19">
        <f>VLOOKUP(A490,Metrik!$C$2:$Y$959,8,0)</f>
        <v>9.3</v>
      </c>
      <c r="I490" s="20">
        <f>VLOOKUP(A490,Metrik!$C$2:$Y$959,9,0)</f>
        <v>1</v>
      </c>
      <c r="J490" s="20">
        <f>VLOOKUP(A490,Metrik!$C$2:$Y$959,10,0)</f>
        <v>10.8</v>
      </c>
      <c r="K490" s="20">
        <f>VLOOKUP(A490,Metrik!$C$2:$Y$959,11,0)</f>
        <v>5</v>
      </c>
      <c r="L490" s="20">
        <f>VLOOKUP(A490,Metrik!$C$2:$Y$959,12,0)</f>
        <v>1.1</v>
      </c>
      <c r="M490" s="20">
        <f>VLOOKUP(A490,Metrik!$C$2:$Y$959,19,0)</f>
        <v>13.2</v>
      </c>
      <c r="N490" s="21"/>
      <c r="O490" s="21"/>
      <c r="P490" s="21"/>
      <c r="Q490" s="21"/>
      <c r="R490" s="21"/>
      <c r="S490" s="21"/>
      <c r="T490" s="21"/>
      <c r="U490" s="22">
        <f>IFERROR(__xludf.DUMMYFUNCTION("IFERROR(GOOGLEFINANCE(A490,""closeyest""),"""")"),9.56)</f>
        <v>9.56</v>
      </c>
      <c r="V490" s="23">
        <f>IFERROR(__xludf.DUMMYFUNCTION("IFERROR(GOOGLEFINANCE(A490,""changepct""),"""")"),-0.84)</f>
        <v>-0.84</v>
      </c>
      <c r="W490" s="22">
        <f>IFERROR(__xludf.DUMMYFUNCTION("IFERROR(GOOGLEFINANCE(A490,""priceopen""),"""")"),9.53)</f>
        <v>9.53</v>
      </c>
      <c r="X490" s="22">
        <f>IFERROR(__xludf.DUMMYFUNCTION("IFERROR(GOOGLEFINANCE(A490,""high""),"""")"),9.62)</f>
        <v>9.62</v>
      </c>
      <c r="Y490" s="22">
        <f>IFERROR(__xludf.DUMMYFUNCTION("IFERROR(GOOGLEFINANCE(A490,""low""),"""")"),9.41)</f>
        <v>9.41</v>
      </c>
      <c r="Z490" s="22">
        <f>IFERROR(__xludf.DUMMYFUNCTION("IFERROR(GOOGLEFINANCE(A490,""volume""),"""")"),772627.0)</f>
        <v>772627</v>
      </c>
      <c r="AA490" s="24" t="str">
        <f>VLOOKUP(A490,Metrik!$C$2:$Y$959,5,0)</f>
        <v>Specialty Retail</v>
      </c>
      <c r="AB490" s="24" t="str">
        <f>VLOOKUP(A490,Metrik!$C$2:$Y$959,3,0)</f>
        <v>Consumer Cyclicals</v>
      </c>
    </row>
    <row r="491">
      <c r="A491" s="14" t="s">
        <v>265</v>
      </c>
      <c r="B491" s="14" t="str">
        <f t="array" ref="B491">VLOOKUP(A491,{Metrik!$C$2:$C$998,Metrik!$B$2:$B$998},2,0)</f>
        <v>Capital Financial Indonesia Tbk.</v>
      </c>
      <c r="C491" s="15">
        <f>IFERROR(__xludf.DUMMYFUNCTION("GOOGLEFINANCE(""IDX:""&amp;A491,""price"")"),1535.0)</f>
        <v>1535</v>
      </c>
      <c r="D491" s="16" t="str">
        <f>IFERROR(__xludf.DUMMYFUNCTION("IF(A491="""","""",
SPARKLINE(
INDEX(
GOOGLEFINANCE(""IDX:""&amp;A491,""close"",TODAY()-365,TODAY()),
,2
),
{""linewidth"",1}
))
"),"#N/A")</f>
        <v>#N/A</v>
      </c>
      <c r="E491" s="26"/>
      <c r="F491" s="26"/>
      <c r="G491" s="24">
        <f t="shared" si="2"/>
        <v>0</v>
      </c>
      <c r="H491" s="19">
        <f>VLOOKUP(A491,Metrik!$C$2:$Y$959,8,0)</f>
        <v>590</v>
      </c>
      <c r="I491" s="20">
        <f>VLOOKUP(A491,Metrik!$C$2:$Y$959,9,0)</f>
        <v>7.1</v>
      </c>
      <c r="J491" s="20">
        <f>VLOOKUP(A491,Metrik!$C$2:$Y$959,10,0)</f>
        <v>1.2</v>
      </c>
      <c r="K491" s="20">
        <f>VLOOKUP(A491,Metrik!$C$2:$Y$959,11,0)</f>
        <v>0.36</v>
      </c>
      <c r="L491" s="20">
        <f>VLOOKUP(A491,Metrik!$C$2:$Y$959,12,0)</f>
        <v>2.2</v>
      </c>
      <c r="M491" s="20">
        <f>VLOOKUP(A491,Metrik!$C$2:$Y$959,19,0)</f>
        <v>11.1</v>
      </c>
      <c r="N491" s="21"/>
      <c r="O491" s="21"/>
      <c r="P491" s="21"/>
      <c r="Q491" s="21"/>
      <c r="R491" s="21"/>
      <c r="S491" s="21"/>
      <c r="T491" s="21"/>
      <c r="U491" s="22">
        <f>IFERROR(__xludf.DUMMYFUNCTION("IFERROR(GOOGLEFINANCE(A491,""closeyest""),"""")"),0.1)</f>
        <v>0.1</v>
      </c>
      <c r="V491" s="23">
        <f>IFERROR(__xludf.DUMMYFUNCTION("IFERROR(GOOGLEFINANCE(A491,""changepct""),"""")"),-5.26)</f>
        <v>-5.26</v>
      </c>
      <c r="W491" s="22">
        <f>IFERROR(__xludf.DUMMYFUNCTION("IFERROR(GOOGLEFINANCE(A491,""priceopen""),"""")"),0.1)</f>
        <v>0.1</v>
      </c>
      <c r="X491" s="22">
        <f>IFERROR(__xludf.DUMMYFUNCTION("IFERROR(GOOGLEFINANCE(A491,""high""),"""")"),0.1)</f>
        <v>0.1</v>
      </c>
      <c r="Y491" s="22">
        <f>IFERROR(__xludf.DUMMYFUNCTION("IFERROR(GOOGLEFINANCE(A491,""low""),"""")"),0.09)</f>
        <v>0.09</v>
      </c>
      <c r="Z491" s="22">
        <f>IFERROR(__xludf.DUMMYFUNCTION("IFERROR(GOOGLEFINANCE(A491,""volume""),"""")"),38600.0)</f>
        <v>38600</v>
      </c>
      <c r="AA491" s="24" t="str">
        <f>VLOOKUP(A491,Metrik!$C$2:$Y$959,5,0)</f>
        <v>Holding &amp; Investment Companies</v>
      </c>
      <c r="AB491" s="24" t="str">
        <f>VLOOKUP(A491,Metrik!$C$2:$Y$959,3,0)</f>
        <v>Financials</v>
      </c>
    </row>
    <row r="492">
      <c r="A492" s="14" t="s">
        <v>266</v>
      </c>
      <c r="B492" s="14" t="str">
        <f t="array" ref="B492">VLOOKUP(A492,{Metrik!$C$2:$C$998,Metrik!$B$2:$B$998},2,0)</f>
        <v>Cashlez Worldwide Indonesia Tbk.</v>
      </c>
      <c r="C492" s="15">
        <f>IFERROR(__xludf.DUMMYFUNCTION("GOOGLEFINANCE(""IDX:""&amp;A492,""price"")"),177.0)</f>
        <v>177</v>
      </c>
      <c r="D492" s="16" t="str">
        <f>IFERROR(__xludf.DUMMYFUNCTION("IF(A492="""","""",
SPARKLINE(
INDEX(
GOOGLEFINANCE(""IDX:""&amp;A492,""close"",TODAY()-365,TODAY()),
,2
),
{""linewidth"",1}
))
"),"#N/A")</f>
        <v>#N/A</v>
      </c>
      <c r="E492" s="26"/>
      <c r="F492" s="26"/>
      <c r="G492" s="24">
        <f t="shared" si="2"/>
        <v>0</v>
      </c>
      <c r="H492" s="19">
        <f>VLOOKUP(A492,Metrik!$C$2:$Y$959,8,0)</f>
        <v>-4.5</v>
      </c>
      <c r="I492" s="20">
        <f>VLOOKUP(A492,Metrik!$C$2:$Y$959,9,0)</f>
        <v>4.9</v>
      </c>
      <c r="J492" s="20">
        <f>VLOOKUP(A492,Metrik!$C$2:$Y$959,10,0)</f>
        <v>-110</v>
      </c>
      <c r="K492" s="20">
        <f>VLOOKUP(A492,Metrik!$C$2:$Y$959,11,0)</f>
        <v>-25.1</v>
      </c>
      <c r="L492" s="20">
        <f>VLOOKUP(A492,Metrik!$C$2:$Y$959,12,0)</f>
        <v>3.4</v>
      </c>
      <c r="M492" s="20">
        <f>VLOOKUP(A492,Metrik!$C$2:$Y$959,19,0)</f>
        <v>-61.8</v>
      </c>
      <c r="N492" s="21"/>
      <c r="O492" s="21"/>
      <c r="P492" s="21"/>
      <c r="Q492" s="21"/>
      <c r="R492" s="21"/>
      <c r="S492" s="21"/>
      <c r="T492" s="21"/>
      <c r="U492" s="22">
        <f>IFERROR(__xludf.DUMMYFUNCTION("IFERROR(GOOGLEFINANCE(A492,""closeyest""),"""")"),82.91)</f>
        <v>82.91</v>
      </c>
      <c r="V492" s="23">
        <f>IFERROR(__xludf.DUMMYFUNCTION("IFERROR(GOOGLEFINANCE(A492,""changepct""),"""")"),1.52)</f>
        <v>1.52</v>
      </c>
      <c r="W492" s="22">
        <f>IFERROR(__xludf.DUMMYFUNCTION("IFERROR(GOOGLEFINANCE(A492,""priceopen""),"""")"),83.49)</f>
        <v>83.49</v>
      </c>
      <c r="X492" s="22">
        <f>IFERROR(__xludf.DUMMYFUNCTION("IFERROR(GOOGLEFINANCE(A492,""high""),"""")"),85.26)</f>
        <v>85.26</v>
      </c>
      <c r="Y492" s="22">
        <f>IFERROR(__xludf.DUMMYFUNCTION("IFERROR(GOOGLEFINANCE(A492,""low""),"""")"),82.93)</f>
        <v>82.93</v>
      </c>
      <c r="Z492" s="22">
        <f>IFERROR(__xludf.DUMMYFUNCTION("IFERROR(GOOGLEFINANCE(A492,""volume""),"""")"),278081.0)</f>
        <v>278081</v>
      </c>
      <c r="AA492" s="24" t="str">
        <f>VLOOKUP(A492,Metrik!$C$2:$Y$959,5,0)</f>
        <v>Online Applications &amp; Services</v>
      </c>
      <c r="AB492" s="24" t="str">
        <f>VLOOKUP(A492,Metrik!$C$2:$Y$959,3,0)</f>
        <v>Technology</v>
      </c>
    </row>
    <row r="493">
      <c r="A493" s="14" t="s">
        <v>267</v>
      </c>
      <c r="B493" s="14" t="str">
        <f t="array" ref="B493">VLOOKUP(A493,{Metrik!$C$2:$C$998,Metrik!$B$2:$B$998},2,0)</f>
        <v>Cahaya Aero Services Tbk.</v>
      </c>
      <c r="C493" s="15">
        <f>IFERROR(__xludf.DUMMYFUNCTION("GOOGLEFINANCE(""IDX:""&amp;A493,""price"")"),1785.0)</f>
        <v>1785</v>
      </c>
      <c r="D493" s="16" t="str">
        <f>IFERROR(__xludf.DUMMYFUNCTION("IF(A493="""","""",
SPARKLINE(
INDEX(
GOOGLEFINANCE(""IDX:""&amp;A493,""close"",TODAY()-365,TODAY()),
,2
),
{""linewidth"",1}
))
"),"#N/A")</f>
        <v>#N/A</v>
      </c>
      <c r="E493" s="26"/>
      <c r="F493" s="26"/>
      <c r="G493" s="18">
        <f t="shared" si="2"/>
        <v>0</v>
      </c>
      <c r="H493" s="19">
        <f>VLOOKUP(A493,Metrik!$C$2:$Y$959,8,0)</f>
        <v>8.1</v>
      </c>
      <c r="I493" s="20">
        <f>VLOOKUP(A493,Metrik!$C$2:$Y$959,9,0)</f>
        <v>1.5</v>
      </c>
      <c r="J493" s="20">
        <f>VLOOKUP(A493,Metrik!$C$2:$Y$959,10,0)</f>
        <v>18.7</v>
      </c>
      <c r="K493" s="20">
        <f>VLOOKUP(A493,Metrik!$C$2:$Y$959,11,0)</f>
        <v>13.8</v>
      </c>
      <c r="L493" s="20">
        <f>VLOOKUP(A493,Metrik!$C$2:$Y$959,12,0)</f>
        <v>0.35</v>
      </c>
      <c r="M493" s="20">
        <f>VLOOKUP(A493,Metrik!$C$2:$Y$959,19,0)</f>
        <v>58.1</v>
      </c>
      <c r="N493" s="21"/>
      <c r="O493" s="21"/>
      <c r="P493" s="21"/>
      <c r="Q493" s="21"/>
      <c r="R493" s="21"/>
      <c r="S493" s="21"/>
      <c r="T493" s="21"/>
      <c r="U493" s="22">
        <f>IFERROR(__xludf.DUMMYFUNCTION("IFERROR(GOOGLEFINANCE(A493,""closeyest""),"""")"),49.44)</f>
        <v>49.44</v>
      </c>
      <c r="V493" s="23">
        <f>IFERROR(__xludf.DUMMYFUNCTION("IFERROR(GOOGLEFINANCE(A493,""changepct""),"""")"),0.02)</f>
        <v>0.02</v>
      </c>
      <c r="W493" s="22">
        <f>IFERROR(__xludf.DUMMYFUNCTION("IFERROR(GOOGLEFINANCE(A493,""priceopen""),"""")"),49.1)</f>
        <v>49.1</v>
      </c>
      <c r="X493" s="22">
        <f>IFERROR(__xludf.DUMMYFUNCTION("IFERROR(GOOGLEFINANCE(A493,""high""),"""")"),49.85)</f>
        <v>49.85</v>
      </c>
      <c r="Y493" s="22">
        <f>IFERROR(__xludf.DUMMYFUNCTION("IFERROR(GOOGLEFINANCE(A493,""low""),"""")"),48.02)</f>
        <v>48.02</v>
      </c>
      <c r="Z493" s="22">
        <f>IFERROR(__xludf.DUMMYFUNCTION("IFERROR(GOOGLEFINANCE(A493,""volume""),"""")"),122653.0)</f>
        <v>122653</v>
      </c>
      <c r="AA493" s="24" t="str">
        <f>VLOOKUP(A493,Metrik!$C$2:$Y$959,5,0)</f>
        <v>Transport Infrastructure Operator</v>
      </c>
      <c r="AB493" s="24" t="str">
        <f>VLOOKUP(A493,Metrik!$C$2:$Y$959,3,0)</f>
        <v>Infrastructures</v>
      </c>
    </row>
    <row r="494">
      <c r="A494" s="14" t="s">
        <v>268</v>
      </c>
      <c r="B494" s="14" t="str">
        <f t="array" ref="B494">VLOOKUP(A494,{Metrik!$C$2:$C$998,Metrik!$B$2:$B$998},2,0)</f>
        <v>Bangun Kosambi Sukses Tbk.</v>
      </c>
      <c r="C494" s="15">
        <f>IFERROR(__xludf.DUMMYFUNCTION("GOOGLEFINANCE(""IDX:""&amp;A494,""price"")"),3760.0)</f>
        <v>3760</v>
      </c>
      <c r="D494" s="16" t="str">
        <f>IFERROR(__xludf.DUMMYFUNCTION("IF(A494="""","""",
SPARKLINE(
INDEX(
GOOGLEFINANCE(""IDX:""&amp;A494,""close"",TODAY()-365,TODAY()),
,2
),
{""linewidth"",1}
))
"),"#N/A")</f>
        <v>#N/A</v>
      </c>
      <c r="E494" s="14" t="s">
        <v>32</v>
      </c>
      <c r="F494" s="14" t="s">
        <v>29</v>
      </c>
      <c r="G494" s="24">
        <f t="shared" si="2"/>
        <v>2</v>
      </c>
      <c r="H494" s="19">
        <f>VLOOKUP(A494,Metrik!$C$2:$Y$959,8,0)</f>
        <v>12.3</v>
      </c>
      <c r="I494" s="20">
        <f>VLOOKUP(A494,Metrik!$C$2:$Y$959,9,0)</f>
        <v>1.8</v>
      </c>
      <c r="J494" s="20">
        <f>VLOOKUP(A494,Metrik!$C$2:$Y$959,10,0)</f>
        <v>14.2</v>
      </c>
      <c r="K494" s="20">
        <f>VLOOKUP(A494,Metrik!$C$2:$Y$959,11,0)</f>
        <v>7.9</v>
      </c>
      <c r="L494" s="20">
        <f>VLOOKUP(A494,Metrik!$C$2:$Y$959,12,0)</f>
        <v>0.8</v>
      </c>
      <c r="M494" s="20">
        <f>VLOOKUP(A494,Metrik!$C$2:$Y$959,19,0)</f>
        <v>240</v>
      </c>
      <c r="N494" s="21"/>
      <c r="O494" s="21"/>
      <c r="P494" s="21"/>
      <c r="Q494" s="21"/>
      <c r="R494" s="21"/>
      <c r="S494" s="21"/>
      <c r="T494" s="21"/>
      <c r="U494" s="22">
        <f>IFERROR(__xludf.DUMMYFUNCTION("IFERROR(GOOGLEFINANCE(A494,""closeyest""),"""")"),3320.0)</f>
        <v>3320</v>
      </c>
      <c r="V494" s="23">
        <f>IFERROR(__xludf.DUMMYFUNCTION("IFERROR(GOOGLEFINANCE(A494,""changepct""),"""")"),13.25)</f>
        <v>13.25</v>
      </c>
      <c r="W494" s="22">
        <f>IFERROR(__xludf.DUMMYFUNCTION("IFERROR(GOOGLEFINANCE(A494,""priceopen""),"""")"),3320.0)</f>
        <v>3320</v>
      </c>
      <c r="X494" s="22">
        <f>IFERROR(__xludf.DUMMYFUNCTION("IFERROR(GOOGLEFINANCE(A494,""high""),"""")"),3780.0)</f>
        <v>3780</v>
      </c>
      <c r="Y494" s="22">
        <f>IFERROR(__xludf.DUMMYFUNCTION("IFERROR(GOOGLEFINANCE(A494,""low""),"""")"),3320.0)</f>
        <v>3320</v>
      </c>
      <c r="Z494" s="22">
        <f>IFERROR(__xludf.DUMMYFUNCTION("IFERROR(GOOGLEFINANCE(A494,""volume""),"""")"),3534200.0)</f>
        <v>3534200</v>
      </c>
      <c r="AA494" s="24" t="str">
        <f>VLOOKUP(A494,Metrik!$C$2:$Y$959,5,0)</f>
        <v>Real Estate Management &amp; Development</v>
      </c>
      <c r="AB494" s="24" t="str">
        <f>VLOOKUP(A494,Metrik!$C$2:$Y$959,3,0)</f>
        <v>Properties &amp; Real Estate</v>
      </c>
    </row>
    <row r="495">
      <c r="A495" s="17" t="s">
        <v>268</v>
      </c>
      <c r="B495" s="14" t="str">
        <f t="array" ref="B495">VLOOKUP(A495,{Metrik!$C$2:$C$998,Metrik!$B$2:$B$998},2,0)</f>
        <v>Bangun Kosambi Sukses Tbk.</v>
      </c>
      <c r="C495" s="15">
        <f>IFERROR(__xludf.DUMMYFUNCTION("GOOGLEFINANCE(""IDX:""&amp;A495,""price"")"),3760.0)</f>
        <v>3760</v>
      </c>
      <c r="D495" s="16" t="str">
        <f>IFERROR(__xludf.DUMMYFUNCTION("IF(A495="""","""",
SPARKLINE(
INDEX(
GOOGLEFINANCE(""IDX:""&amp;A495,""close"",TODAY()-365,TODAY()),
,2
),
{""linewidth"",1}
))
"),"#N/A")</f>
        <v>#N/A</v>
      </c>
      <c r="E495" s="14" t="s">
        <v>28</v>
      </c>
      <c r="F495" s="17" t="s">
        <v>29</v>
      </c>
      <c r="G495" s="33">
        <f>COUNTIFS($B$2:$B$1936,B495,$E$2:$E$1936,"&lt;&gt;")</f>
        <v>2</v>
      </c>
      <c r="H495" s="19">
        <f>VLOOKUP(A495,Metrik!$C$2:$Y$959,8,0)</f>
        <v>12.3</v>
      </c>
      <c r="I495" s="20">
        <f>VLOOKUP(A495,Metrik!$C$2:$Y$959,9,0)</f>
        <v>1.8</v>
      </c>
      <c r="J495" s="20">
        <f>VLOOKUP(A495,Metrik!$C$2:$Y$959,10,0)</f>
        <v>14.2</v>
      </c>
      <c r="K495" s="20">
        <f>VLOOKUP(A495,Metrik!$C$2:$Y$959,11,0)</f>
        <v>7.9</v>
      </c>
      <c r="L495" s="20">
        <f>VLOOKUP(A495,Metrik!$C$2:$Y$959,12,0)</f>
        <v>0.8</v>
      </c>
      <c r="M495" s="20">
        <f>VLOOKUP(A495,Metrik!$C$2:$Y$959,19,0)</f>
        <v>240</v>
      </c>
      <c r="N495" s="21"/>
      <c r="O495" s="21"/>
      <c r="P495" s="21"/>
      <c r="Q495" s="21"/>
      <c r="R495" s="21"/>
      <c r="S495" s="21"/>
      <c r="T495" s="21"/>
      <c r="U495" s="22">
        <f>IFERROR(__xludf.DUMMYFUNCTION("IFERROR(GOOGLEFINANCE(A495,""closeyest""),"""")"),3320.0)</f>
        <v>3320</v>
      </c>
      <c r="V495" s="23">
        <f>IFERROR(__xludf.DUMMYFUNCTION("IFERROR(GOOGLEFINANCE(A495,""changepct""),"""")"),13.25)</f>
        <v>13.25</v>
      </c>
      <c r="W495" s="22">
        <f>IFERROR(__xludf.DUMMYFUNCTION("IFERROR(GOOGLEFINANCE(A495,""priceopen""),"""")"),3320.0)</f>
        <v>3320</v>
      </c>
      <c r="X495" s="22">
        <f>IFERROR(__xludf.DUMMYFUNCTION("IFERROR(GOOGLEFINANCE(A495,""high""),"""")"),3780.0)</f>
        <v>3780</v>
      </c>
      <c r="Y495" s="22">
        <f>IFERROR(__xludf.DUMMYFUNCTION("IFERROR(GOOGLEFINANCE(A495,""low""),"""")"),3320.0)</f>
        <v>3320</v>
      </c>
      <c r="Z495" s="22">
        <f>IFERROR(__xludf.DUMMYFUNCTION("IFERROR(GOOGLEFINANCE(A495,""volume""),"""")"),3534200.0)</f>
        <v>3534200</v>
      </c>
      <c r="AA495" s="24" t="str">
        <f>VLOOKUP(A495,Metrik!$C$2:$Y$959,5,0)</f>
        <v>Real Estate Management &amp; Development</v>
      </c>
      <c r="AB495" s="24" t="str">
        <f>VLOOKUP(A495,Metrik!$C$2:$Y$959,3,0)</f>
        <v>Properties &amp; Real Estate</v>
      </c>
    </row>
    <row r="496">
      <c r="A496" s="14" t="s">
        <v>269</v>
      </c>
      <c r="B496" s="14" t="str">
        <f t="array" ref="B496">VLOOKUP(A496,{Metrik!$C$2:$C$998,Metrik!$B$2:$B$998},2,0)</f>
        <v>Cahaya Bintang Medan Tbk.</v>
      </c>
      <c r="C496" s="15">
        <f>IFERROR(__xludf.DUMMYFUNCTION("GOOGLEFINANCE(""IDX:""&amp;A496,""price"")"),50.0)</f>
        <v>50</v>
      </c>
      <c r="D496" s="16" t="str">
        <f>IFERROR(__xludf.DUMMYFUNCTION("IF(A496="""","""",
SPARKLINE(
INDEX(
GOOGLEFINANCE(""IDX:""&amp;A496,""close"",TODAY()-365,TODAY()),
,2
),
{""linewidth"",1}
))
"),"#N/A")</f>
        <v>#N/A</v>
      </c>
      <c r="E496" s="26"/>
      <c r="F496" s="26"/>
      <c r="G496" s="24">
        <f t="shared" ref="G496:G536" si="3">COUNTIFS($B$2:$B$1937,B496,$E$2:$E$1937,"&lt;&gt;")</f>
        <v>0</v>
      </c>
      <c r="H496" s="19">
        <f>VLOOKUP(A496,Metrik!$C$2:$Y$959,8,0)</f>
        <v>0</v>
      </c>
      <c r="I496" s="20">
        <f>VLOOKUP(A496,Metrik!$C$2:$Y$959,9,0)</f>
        <v>0.39</v>
      </c>
      <c r="J496" s="20">
        <f>VLOOKUP(A496,Metrik!$C$2:$Y$959,10,0)</f>
        <v>-5.8</v>
      </c>
      <c r="K496" s="20">
        <f>VLOOKUP(A496,Metrik!$C$2:$Y$959,11,0)</f>
        <v>-3.9</v>
      </c>
      <c r="L496" s="20">
        <f>VLOOKUP(A496,Metrik!$C$2:$Y$959,12,0)</f>
        <v>0.5</v>
      </c>
      <c r="M496" s="20">
        <f>VLOOKUP(A496,Metrik!$C$2:$Y$959,19,0)</f>
        <v>-450</v>
      </c>
      <c r="N496" s="21"/>
      <c r="O496" s="21"/>
      <c r="P496" s="21"/>
      <c r="Q496" s="21"/>
      <c r="R496" s="21"/>
      <c r="S496" s="21"/>
      <c r="T496" s="21"/>
      <c r="U496" s="22">
        <f>IFERROR(__xludf.DUMMYFUNCTION("IFERROR(GOOGLEFINANCE(A496,""closeyest""),"""")"),50.0)</f>
        <v>50</v>
      </c>
      <c r="V496" s="23">
        <f>IFERROR(__xludf.DUMMYFUNCTION("IFERROR(GOOGLEFINANCE(A496,""changepct""),"""")"),0.0)</f>
        <v>0</v>
      </c>
      <c r="W496" s="22" t="str">
        <f>IFERROR(__xludf.DUMMYFUNCTION("IFERROR(GOOGLEFINANCE(A496,""priceopen""),"""")"),"")</f>
        <v/>
      </c>
      <c r="X496" s="22" t="str">
        <f>IFERROR(__xludf.DUMMYFUNCTION("IFERROR(GOOGLEFINANCE(A496,""high""),"""")"),"")</f>
        <v/>
      </c>
      <c r="Y496" s="22" t="str">
        <f>IFERROR(__xludf.DUMMYFUNCTION("IFERROR(GOOGLEFINANCE(A496,""low""),"""")"),"")</f>
        <v/>
      </c>
      <c r="Z496" s="22">
        <f>IFERROR(__xludf.DUMMYFUNCTION("IFERROR(GOOGLEFINANCE(A496,""volume""),"""")"),0.0)</f>
        <v>0</v>
      </c>
      <c r="AA496" s="24" t="str">
        <f>VLOOKUP(A496,Metrik!$C$2:$Y$959,5,0)</f>
        <v>Household Goods</v>
      </c>
      <c r="AB496" s="24" t="str">
        <f>VLOOKUP(A496,Metrik!$C$2:$Y$959,3,0)</f>
        <v>Consumer Cyclicals</v>
      </c>
    </row>
    <row r="497">
      <c r="A497" s="14" t="s">
        <v>270</v>
      </c>
      <c r="B497" s="14" t="str">
        <f t="array" ref="B497">VLOOKUP(A497,{Metrik!$C$2:$C$998,Metrik!$B$2:$B$998},2,0)</f>
        <v>PT Citra Buana Prasida Tbk</v>
      </c>
      <c r="C497" s="15">
        <f>IFERROR(__xludf.DUMMYFUNCTION("GOOGLEFINANCE(""IDX:""&amp;A497,""price"")"),260.0)</f>
        <v>260</v>
      </c>
      <c r="D497" s="16" t="str">
        <f>IFERROR(__xludf.DUMMYFUNCTION("IF(A497="""","""",
SPARKLINE(
INDEX(
GOOGLEFINANCE(""IDX:""&amp;A497,""close"",TODAY()-365,TODAY()),
,2
),
{""linewidth"",1}
))
"),"#N/A")</f>
        <v>#N/A</v>
      </c>
      <c r="E497" s="26"/>
      <c r="F497" s="26"/>
      <c r="G497" s="18">
        <f t="shared" si="3"/>
        <v>0</v>
      </c>
      <c r="H497" s="19">
        <f>VLOOKUP(A497,Metrik!$C$2:$Y$959,8,0)</f>
        <v>6.7</v>
      </c>
      <c r="I497" s="20">
        <f>VLOOKUP(A497,Metrik!$C$2:$Y$959,9,0)</f>
        <v>1.2</v>
      </c>
      <c r="J497" s="20">
        <f>VLOOKUP(A497,Metrik!$C$2:$Y$959,10,0)</f>
        <v>17.5</v>
      </c>
      <c r="K497" s="20">
        <f>VLOOKUP(A497,Metrik!$C$2:$Y$959,11,0)</f>
        <v>15.3</v>
      </c>
      <c r="L497" s="20">
        <f>VLOOKUP(A497,Metrik!$C$2:$Y$959,12,0)</f>
        <v>0.15</v>
      </c>
      <c r="M497" s="20">
        <f>VLOOKUP(A497,Metrik!$C$2:$Y$959,19,0)</f>
        <v>190</v>
      </c>
      <c r="N497" s="21"/>
      <c r="O497" s="21"/>
      <c r="P497" s="21"/>
      <c r="Q497" s="21"/>
      <c r="R497" s="21"/>
      <c r="S497" s="21"/>
      <c r="T497" s="21"/>
      <c r="U497" s="22">
        <f>IFERROR(__xludf.DUMMYFUNCTION("IFERROR(GOOGLEFINANCE(A497,""closeyest""),"""")"),262.0)</f>
        <v>262</v>
      </c>
      <c r="V497" s="23">
        <f>IFERROR(__xludf.DUMMYFUNCTION("IFERROR(GOOGLEFINANCE(A497,""changepct""),"""")"),-0.76)</f>
        <v>-0.76</v>
      </c>
      <c r="W497" s="22">
        <f>IFERROR(__xludf.DUMMYFUNCTION("IFERROR(GOOGLEFINANCE(A497,""priceopen""),"""")"),262.0)</f>
        <v>262</v>
      </c>
      <c r="X497" s="22">
        <f>IFERROR(__xludf.DUMMYFUNCTION("IFERROR(GOOGLEFINANCE(A497,""high""),"""")"),268.0)</f>
        <v>268</v>
      </c>
      <c r="Y497" s="22">
        <f>IFERROR(__xludf.DUMMYFUNCTION("IFERROR(GOOGLEFINANCE(A497,""low""),"""")"),260.0)</f>
        <v>260</v>
      </c>
      <c r="Z497" s="22" t="str">
        <f>IFERROR(__xludf.DUMMYFUNCTION("IFERROR(GOOGLEFINANCE(A497,""volume""),"""")"),"")</f>
        <v/>
      </c>
      <c r="AA497" s="24" t="str">
        <f>VLOOKUP(A497,Metrik!$C$2:$Y$959,5,0)</f>
        <v>Real Estate Management &amp; Development</v>
      </c>
      <c r="AB497" s="24" t="str">
        <f>VLOOKUP(A497,Metrik!$C$2:$Y$959,3,0)</f>
        <v>Properties &amp; Real Estate</v>
      </c>
    </row>
    <row r="498">
      <c r="A498" s="14" t="s">
        <v>271</v>
      </c>
      <c r="B498" s="14" t="str">
        <f t="array" ref="B498">VLOOKUP(A498,{Metrik!$C$2:$C$998,Metrik!$B$2:$B$998},2,0)</f>
        <v>PT Cakra Buana Resources Energi Tbk</v>
      </c>
      <c r="C498" s="15">
        <f>IFERROR(__xludf.DUMMYFUNCTION("GOOGLEFINANCE(""IDX:""&amp;A498,""price"")"),695.0)</f>
        <v>695</v>
      </c>
      <c r="D498" s="16" t="str">
        <f>IFERROR(__xludf.DUMMYFUNCTION("IF(A498="""","""",
SPARKLINE(
INDEX(
GOOGLEFINANCE(""IDX:""&amp;A498,""close"",TODAY()-365,TODAY()),
,2
),
{""linewidth"",1}
))
"),"#N/A")</f>
        <v>#N/A</v>
      </c>
      <c r="E498" s="26"/>
      <c r="F498" s="26"/>
      <c r="G498" s="24">
        <f t="shared" si="3"/>
        <v>0</v>
      </c>
      <c r="H498" s="19">
        <f>VLOOKUP(A498,Metrik!$C$2:$Y$959,8,0)</f>
        <v>-57.9</v>
      </c>
      <c r="I498" s="20">
        <f>VLOOKUP(A498,Metrik!$C$2:$Y$959,9,0)</f>
        <v>70.4</v>
      </c>
      <c r="J498" s="20">
        <f>VLOOKUP(A498,Metrik!$C$2:$Y$959,10,0)</f>
        <v>-120</v>
      </c>
      <c r="K498" s="20">
        <f>VLOOKUP(A498,Metrik!$C$2:$Y$959,11,0)</f>
        <v>-3.2</v>
      </c>
      <c r="L498" s="20">
        <f>VLOOKUP(A498,Metrik!$C$2:$Y$959,12,0)</f>
        <v>36.8</v>
      </c>
      <c r="M498" s="20">
        <f>VLOOKUP(A498,Metrik!$C$2:$Y$959,19,0)</f>
        <v>-96.7</v>
      </c>
      <c r="N498" s="21"/>
      <c r="O498" s="21"/>
      <c r="P498" s="21"/>
      <c r="Q498" s="21"/>
      <c r="R498" s="21"/>
      <c r="S498" s="21"/>
      <c r="T498" s="21"/>
      <c r="U498" s="22">
        <f>IFERROR(__xludf.DUMMYFUNCTION("IFERROR(GOOGLEFINANCE(A498,""closeyest""),"""")"),131.91)</f>
        <v>131.91</v>
      </c>
      <c r="V498" s="23">
        <f>IFERROR(__xludf.DUMMYFUNCTION("IFERROR(GOOGLEFINANCE(A498,""changepct""),"""")"),1.14)</f>
        <v>1.14</v>
      </c>
      <c r="W498" s="22">
        <f>IFERROR(__xludf.DUMMYFUNCTION("IFERROR(GOOGLEFINANCE(A498,""priceopen""),"""")"),132.46)</f>
        <v>132.46</v>
      </c>
      <c r="X498" s="22">
        <f>IFERROR(__xludf.DUMMYFUNCTION("IFERROR(GOOGLEFINANCE(A498,""high""),"""")"),134.6)</f>
        <v>134.6</v>
      </c>
      <c r="Y498" s="22">
        <f>IFERROR(__xludf.DUMMYFUNCTION("IFERROR(GOOGLEFINANCE(A498,""low""),"""")"),131.95)</f>
        <v>131.95</v>
      </c>
      <c r="Z498" s="22">
        <f>IFERROR(__xludf.DUMMYFUNCTION("IFERROR(GOOGLEFINANCE(A498,""volume""),"""")"),1134574.0)</f>
        <v>1134574</v>
      </c>
      <c r="AA498" s="24" t="str">
        <f>VLOOKUP(A498,Metrik!$C$2:$Y$959,5,0)</f>
        <v>Coal</v>
      </c>
      <c r="AB498" s="24" t="str">
        <f>VLOOKUP(A498,Metrik!$C$2:$Y$959,3,0)</f>
        <v>Energy</v>
      </c>
    </row>
    <row r="499">
      <c r="A499" s="14" t="s">
        <v>272</v>
      </c>
      <c r="B499" s="14" t="str">
        <f t="array" ref="B499">VLOOKUP(A499,{Metrik!$C$2:$C$998,Metrik!$B$2:$B$998},2,0)</f>
        <v>Citra Borneo Utama Tbk.</v>
      </c>
      <c r="C499" s="15">
        <f>IFERROR(__xludf.DUMMYFUNCTION("GOOGLEFINANCE(""IDX:""&amp;A499,""price"")"),540.0)</f>
        <v>540</v>
      </c>
      <c r="D499" s="16" t="str">
        <f>IFERROR(__xludf.DUMMYFUNCTION("IF(A499="""","""",
SPARKLINE(
INDEX(
GOOGLEFINANCE(""IDX:""&amp;A499,""close"",TODAY()-365,TODAY()),
,2
),
{""linewidth"",1}
))
"),"#N/A")</f>
        <v>#N/A</v>
      </c>
      <c r="E499" s="26"/>
      <c r="F499" s="26"/>
      <c r="G499" s="24">
        <f t="shared" si="3"/>
        <v>0</v>
      </c>
      <c r="H499" s="19">
        <f>VLOOKUP(A499,Metrik!$C$2:$Y$959,8,0)</f>
        <v>17</v>
      </c>
      <c r="I499" s="20">
        <f>VLOOKUP(A499,Metrik!$C$2:$Y$959,9,0)</f>
        <v>1.6</v>
      </c>
      <c r="J499" s="20">
        <f>VLOOKUP(A499,Metrik!$C$2:$Y$959,10,0)</f>
        <v>9.5</v>
      </c>
      <c r="K499" s="20">
        <f>VLOOKUP(A499,Metrik!$C$2:$Y$959,11,0)</f>
        <v>2.8</v>
      </c>
      <c r="L499" s="20">
        <f>VLOOKUP(A499,Metrik!$C$2:$Y$959,12,0)</f>
        <v>2.5</v>
      </c>
      <c r="M499" s="20">
        <f>VLOOKUP(A499,Metrik!$C$2:$Y$959,19,0)</f>
        <v>3.3</v>
      </c>
      <c r="N499" s="21"/>
      <c r="O499" s="21"/>
      <c r="P499" s="21"/>
      <c r="Q499" s="21"/>
      <c r="R499" s="21"/>
      <c r="S499" s="21"/>
      <c r="T499" s="21"/>
      <c r="U499" s="22">
        <f>IFERROR(__xludf.DUMMYFUNCTION("IFERROR(GOOGLEFINANCE(A499,""closeyest""),"""")"),464.0)</f>
        <v>464</v>
      </c>
      <c r="V499" s="23">
        <f>IFERROR(__xludf.DUMMYFUNCTION("IFERROR(GOOGLEFINANCE(A499,""changepct""),"""")"),16.38)</f>
        <v>16.38</v>
      </c>
      <c r="W499" s="22">
        <f>IFERROR(__xludf.DUMMYFUNCTION("IFERROR(GOOGLEFINANCE(A499,""priceopen""),"""")"),474.0)</f>
        <v>474</v>
      </c>
      <c r="X499" s="22">
        <f>IFERROR(__xludf.DUMMYFUNCTION("IFERROR(GOOGLEFINANCE(A499,""high""),"""")"),580.0)</f>
        <v>580</v>
      </c>
      <c r="Y499" s="22">
        <f>IFERROR(__xludf.DUMMYFUNCTION("IFERROR(GOOGLEFINANCE(A499,""low""),"""")"),474.0)</f>
        <v>474</v>
      </c>
      <c r="Z499" s="22">
        <f>IFERROR(__xludf.DUMMYFUNCTION("IFERROR(GOOGLEFINANCE(A499,""volume""),"""")"),2062200.0)</f>
        <v>2062200</v>
      </c>
      <c r="AA499" s="24" t="str">
        <f>VLOOKUP(A499,Metrik!$C$2:$Y$959,5,0)</f>
        <v>Agricultural Products</v>
      </c>
      <c r="AB499" s="24" t="str">
        <f>VLOOKUP(A499,Metrik!$C$2:$Y$959,3,0)</f>
        <v>Consumer Non-Cyclicals</v>
      </c>
    </row>
    <row r="500">
      <c r="A500" s="14" t="s">
        <v>273</v>
      </c>
      <c r="B500" s="14" t="str">
        <f t="array" ref="B500">VLOOKUP(A500,{Metrik!$C$2:$C$998,Metrik!$B$2:$B$998},2,0)</f>
        <v>Communication Cable Systems Indonesia Tbk.</v>
      </c>
      <c r="C500" s="15">
        <f>IFERROR(__xludf.DUMMYFUNCTION("GOOGLEFINANCE(""IDX:""&amp;A500,""price"")"),244.0)</f>
        <v>244</v>
      </c>
      <c r="D500" s="16" t="str">
        <f>IFERROR(__xludf.DUMMYFUNCTION("IF(A500="""","""",
SPARKLINE(
INDEX(
GOOGLEFINANCE(""IDX:""&amp;A500,""close"",TODAY()-365,TODAY()),
,2
),
{""linewidth"",1}
))
"),"#N/A")</f>
        <v>#N/A</v>
      </c>
      <c r="E500" s="26"/>
      <c r="F500" s="26"/>
      <c r="G500" s="24">
        <f t="shared" si="3"/>
        <v>0</v>
      </c>
      <c r="H500" s="19">
        <f>VLOOKUP(A500,Metrik!$C$2:$Y$959,8,0)</f>
        <v>40.4</v>
      </c>
      <c r="I500" s="20">
        <f>VLOOKUP(A500,Metrik!$C$2:$Y$959,9,0)</f>
        <v>0.6</v>
      </c>
      <c r="J500" s="20">
        <f>VLOOKUP(A500,Metrik!$C$2:$Y$959,10,0)</f>
        <v>1.5</v>
      </c>
      <c r="K500" s="20">
        <f>VLOOKUP(A500,Metrik!$C$2:$Y$959,11,0)</f>
        <v>1.1</v>
      </c>
      <c r="L500" s="20">
        <f>VLOOKUP(A500,Metrik!$C$2:$Y$959,12,0)</f>
        <v>0.37</v>
      </c>
      <c r="M500" s="20">
        <f>VLOOKUP(A500,Metrik!$C$2:$Y$959,19,0)</f>
        <v>10.8</v>
      </c>
      <c r="N500" s="21"/>
      <c r="O500" s="21"/>
      <c r="P500" s="21"/>
      <c r="Q500" s="21"/>
      <c r="R500" s="21"/>
      <c r="S500" s="21"/>
      <c r="T500" s="21"/>
      <c r="U500" s="22">
        <f>IFERROR(__xludf.DUMMYFUNCTION("IFERROR(GOOGLEFINANCE(A500,""closeyest""),"""")"),34.9)</f>
        <v>34.9</v>
      </c>
      <c r="V500" s="23">
        <f>IFERROR(__xludf.DUMMYFUNCTION("IFERROR(GOOGLEFINANCE(A500,""changepct""),"""")"),-0.26)</f>
        <v>-0.26</v>
      </c>
      <c r="W500" s="22">
        <f>IFERROR(__xludf.DUMMYFUNCTION("IFERROR(GOOGLEFINANCE(A500,""priceopen""),"""")"),34.7)</f>
        <v>34.7</v>
      </c>
      <c r="X500" s="22">
        <f>IFERROR(__xludf.DUMMYFUNCTION("IFERROR(GOOGLEFINANCE(A500,""high""),"""")"),35.62)</f>
        <v>35.62</v>
      </c>
      <c r="Y500" s="22">
        <f>IFERROR(__xludf.DUMMYFUNCTION("IFERROR(GOOGLEFINANCE(A500,""low""),"""")"),34.23)</f>
        <v>34.23</v>
      </c>
      <c r="Z500" s="22">
        <f>IFERROR(__xludf.DUMMYFUNCTION("IFERROR(GOOGLEFINANCE(A500,""volume""),"""")"),112879.0)</f>
        <v>112879</v>
      </c>
      <c r="AA500" s="24" t="str">
        <f>VLOOKUP(A500,Metrik!$C$2:$Y$959,5,0)</f>
        <v>Electrical</v>
      </c>
      <c r="AB500" s="24" t="str">
        <f>VLOOKUP(A500,Metrik!$C$2:$Y$959,3,0)</f>
        <v>Industrials</v>
      </c>
    </row>
    <row r="501">
      <c r="A501" s="14" t="s">
        <v>274</v>
      </c>
      <c r="B501" s="14" t="str">
        <f t="array" ref="B501">VLOOKUP(A501,{Metrik!$C$2:$C$998,Metrik!$B$2:$B$998},2,0)</f>
        <v>Chandra Daya Investasi Tbk.</v>
      </c>
      <c r="C501" s="15">
        <f>IFERROR(__xludf.DUMMYFUNCTION("GOOGLEFINANCE(""IDX:""&amp;A501,""price"")"),690.0)</f>
        <v>690</v>
      </c>
      <c r="D501" s="16" t="str">
        <f>IFERROR(__xludf.DUMMYFUNCTION("IF(A501="""","""",
SPARKLINE(
INDEX(
GOOGLEFINANCE(""IDX:""&amp;A501,""close"",TODAY()-365,TODAY()),
,2
),
{""linewidth"",1}
))
"),"#N/A")</f>
        <v>#N/A</v>
      </c>
      <c r="E501" s="26"/>
      <c r="F501" s="26"/>
      <c r="G501" s="24">
        <f t="shared" si="3"/>
        <v>0</v>
      </c>
      <c r="H501" s="19">
        <f>VLOOKUP(A501,Metrik!$C$2:$Y$959,8,0)</f>
        <v>62.6</v>
      </c>
      <c r="I501" s="20">
        <f>VLOOKUP(A501,Metrik!$C$2:$Y$959,9,0)</f>
        <v>5.5</v>
      </c>
      <c r="J501" s="20">
        <f>VLOOKUP(A501,Metrik!$C$2:$Y$959,10,0)</f>
        <v>8.8</v>
      </c>
      <c r="K501" s="20">
        <f>VLOOKUP(A501,Metrik!$C$2:$Y$959,11,0)</f>
        <v>5.2</v>
      </c>
      <c r="L501" s="20">
        <f>VLOOKUP(A501,Metrik!$C$2:$Y$959,12,0)</f>
        <v>0.68</v>
      </c>
      <c r="M501" s="20">
        <f>VLOOKUP(A501,Metrik!$C$2:$Y$959,19,0)</f>
        <v>240</v>
      </c>
      <c r="N501" s="21"/>
      <c r="O501" s="21"/>
      <c r="P501" s="21"/>
      <c r="Q501" s="21"/>
      <c r="R501" s="21"/>
      <c r="S501" s="21"/>
      <c r="T501" s="21"/>
      <c r="U501" s="22">
        <f>IFERROR(__xludf.DUMMYFUNCTION("IFERROR(GOOGLEFINANCE(A501,""closeyest""),"""")"),655.0)</f>
        <v>655</v>
      </c>
      <c r="V501" s="23">
        <f>IFERROR(__xludf.DUMMYFUNCTION("IFERROR(GOOGLEFINANCE(A501,""changepct""),"""")"),5.34)</f>
        <v>5.34</v>
      </c>
      <c r="W501" s="22">
        <f>IFERROR(__xludf.DUMMYFUNCTION("IFERROR(GOOGLEFINANCE(A501,""priceopen""),"""")"),675.0)</f>
        <v>675</v>
      </c>
      <c r="X501" s="22">
        <f>IFERROR(__xludf.DUMMYFUNCTION("IFERROR(GOOGLEFINANCE(A501,""high""),"""")"),710.0)</f>
        <v>710</v>
      </c>
      <c r="Y501" s="22">
        <f>IFERROR(__xludf.DUMMYFUNCTION("IFERROR(GOOGLEFINANCE(A501,""low""),"""")"),670.0)</f>
        <v>670</v>
      </c>
      <c r="Z501" s="22">
        <f>IFERROR(__xludf.DUMMYFUNCTION("IFERROR(GOOGLEFINANCE(A501,""volume""),"""")"),6.12578E7)</f>
        <v>61257800</v>
      </c>
      <c r="AA501" s="24" t="str">
        <f>VLOOKUP(A501,Metrik!$C$2:$Y$959,5,0)</f>
        <v>Electric Utilities</v>
      </c>
      <c r="AB501" s="24" t="str">
        <f>VLOOKUP(A501,Metrik!$C$2:$Y$959,3,0)</f>
        <v>Infrastructures</v>
      </c>
    </row>
    <row r="502">
      <c r="A502" s="14" t="s">
        <v>275</v>
      </c>
      <c r="B502" s="14" t="str">
        <f t="array" ref="B502">VLOOKUP(A502,{Metrik!$C$2:$C$998,Metrik!$B$2:$B$998},2,0)</f>
        <v>Wilmar Cahaya Indonesia Tbk.</v>
      </c>
      <c r="C502" s="15">
        <f>IFERROR(__xludf.DUMMYFUNCTION("GOOGLEFINANCE(""IDX:""&amp;A502,""price"")"),2240.0)</f>
        <v>2240</v>
      </c>
      <c r="D502" s="16" t="str">
        <f>IFERROR(__xludf.DUMMYFUNCTION("IF(A502="""","""",
SPARKLINE(
INDEX(
GOOGLEFINANCE(""IDX:""&amp;A502,""close"",TODAY()-365,TODAY()),
,2
),
{""linewidth"",1}
))
"),"#N/A")</f>
        <v>#N/A</v>
      </c>
      <c r="E502" s="26"/>
      <c r="F502" s="26"/>
      <c r="G502" s="24">
        <f t="shared" si="3"/>
        <v>0</v>
      </c>
      <c r="H502" s="19">
        <f>VLOOKUP(A502,Metrik!$C$2:$Y$959,8,0)</f>
        <v>8</v>
      </c>
      <c r="I502" s="20">
        <f>VLOOKUP(A502,Metrik!$C$2:$Y$959,9,0)</f>
        <v>0.64</v>
      </c>
      <c r="J502" s="20">
        <f>VLOOKUP(A502,Metrik!$C$2:$Y$959,10,0)</f>
        <v>8.1</v>
      </c>
      <c r="K502" s="20">
        <f>VLOOKUP(A502,Metrik!$C$2:$Y$959,11,0)</f>
        <v>6.3</v>
      </c>
      <c r="L502" s="20">
        <f>VLOOKUP(A502,Metrik!$C$2:$Y$959,12,0)</f>
        <v>0.28</v>
      </c>
      <c r="M502" s="20">
        <f>VLOOKUP(A502,Metrik!$C$2:$Y$959,19,0)</f>
        <v>7</v>
      </c>
      <c r="N502" s="21"/>
      <c r="O502" s="21"/>
      <c r="P502" s="21"/>
      <c r="Q502" s="21"/>
      <c r="R502" s="21"/>
      <c r="S502" s="21"/>
      <c r="T502" s="21"/>
      <c r="U502" s="22">
        <f>IFERROR(__xludf.DUMMYFUNCTION("IFERROR(GOOGLEFINANCE(A502,""closeyest""),"""")"),2210.0)</f>
        <v>2210</v>
      </c>
      <c r="V502" s="23">
        <f>IFERROR(__xludf.DUMMYFUNCTION("IFERROR(GOOGLEFINANCE(A502,""changepct""),"""")"),1.36)</f>
        <v>1.36</v>
      </c>
      <c r="W502" s="22">
        <f>IFERROR(__xludf.DUMMYFUNCTION("IFERROR(GOOGLEFINANCE(A502,""priceopen""),"""")"),2200.0)</f>
        <v>2200</v>
      </c>
      <c r="X502" s="22">
        <f>IFERROR(__xludf.DUMMYFUNCTION("IFERROR(GOOGLEFINANCE(A502,""high""),"""")"),2260.0)</f>
        <v>2260</v>
      </c>
      <c r="Y502" s="22">
        <f>IFERROR(__xludf.DUMMYFUNCTION("IFERROR(GOOGLEFINANCE(A502,""low""),"""")"),2200.0)</f>
        <v>2200</v>
      </c>
      <c r="Z502" s="22" t="str">
        <f>IFERROR(__xludf.DUMMYFUNCTION("IFERROR(GOOGLEFINANCE(A502,""volume""),"""")"),"")</f>
        <v/>
      </c>
      <c r="AA502" s="24" t="str">
        <f>VLOOKUP(A502,Metrik!$C$2:$Y$959,5,0)</f>
        <v>Processed Foods</v>
      </c>
      <c r="AB502" s="24" t="str">
        <f>VLOOKUP(A502,Metrik!$C$2:$Y$959,3,0)</f>
        <v>Consumer Non-Cyclicals</v>
      </c>
    </row>
    <row r="503">
      <c r="A503" s="14" t="s">
        <v>276</v>
      </c>
      <c r="B503" s="14" t="str">
        <f t="array" ref="B503">VLOOKUP(A503,{Metrik!$C$2:$C$998,Metrik!$B$2:$B$998},2,0)</f>
        <v>PT Centratama Telekomunikasi Indonesia Tbk.</v>
      </c>
      <c r="C503" s="15">
        <f>IFERROR(__xludf.DUMMYFUNCTION("GOOGLEFINANCE(""IDX:""&amp;A503,""price"")"),78.0)</f>
        <v>78</v>
      </c>
      <c r="D503" s="16" t="str">
        <f>IFERROR(__xludf.DUMMYFUNCTION("IF(A503="""","""",
SPARKLINE(
INDEX(
GOOGLEFINANCE(""IDX:""&amp;A503,""close"",TODAY()-365,TODAY()),
,2
),
{""linewidth"",1}
))
"),"#N/A")</f>
        <v>#N/A</v>
      </c>
      <c r="E503" s="26"/>
      <c r="F503" s="26"/>
      <c r="G503" s="24">
        <f t="shared" si="3"/>
        <v>0</v>
      </c>
      <c r="H503" s="19">
        <f>VLOOKUP(A503,Metrik!$C$2:$Y$959,8,0)</f>
        <v>-1.3</v>
      </c>
      <c r="I503" s="20">
        <f>VLOOKUP(A503,Metrik!$C$2:$Y$959,9,0)</f>
        <v>0.68</v>
      </c>
      <c r="J503" s="20">
        <f>VLOOKUP(A503,Metrik!$C$2:$Y$959,10,0)</f>
        <v>-51.3</v>
      </c>
      <c r="K503" s="20">
        <f>VLOOKUP(A503,Metrik!$C$2:$Y$959,11,0)</f>
        <v>-6.7</v>
      </c>
      <c r="L503" s="20">
        <f>VLOOKUP(A503,Metrik!$C$2:$Y$959,12,0)</f>
        <v>6.6</v>
      </c>
      <c r="M503" s="20">
        <f>VLOOKUP(A503,Metrik!$C$2:$Y$959,19,0)</f>
        <v>-74.9</v>
      </c>
      <c r="N503" s="21"/>
      <c r="O503" s="21"/>
      <c r="P503" s="21"/>
      <c r="Q503" s="21"/>
      <c r="R503" s="21"/>
      <c r="S503" s="21"/>
      <c r="T503" s="21"/>
      <c r="U503" s="22">
        <f>IFERROR(__xludf.DUMMYFUNCTION("IFERROR(GOOGLEFINANCE(A503,""closeyest""),"""")"),42.38)</f>
        <v>42.38</v>
      </c>
      <c r="V503" s="23">
        <f>IFERROR(__xludf.DUMMYFUNCTION("IFERROR(GOOGLEFINANCE(A503,""changepct""),"""")"),1.11)</f>
        <v>1.11</v>
      </c>
      <c r="W503" s="22">
        <f>IFERROR(__xludf.DUMMYFUNCTION("IFERROR(GOOGLEFINANCE(A503,""priceopen""),"""")"),42.69)</f>
        <v>42.69</v>
      </c>
      <c r="X503" s="22">
        <f>IFERROR(__xludf.DUMMYFUNCTION("IFERROR(GOOGLEFINANCE(A503,""high""),"""")"),43.17)</f>
        <v>43.17</v>
      </c>
      <c r="Y503" s="22">
        <f>IFERROR(__xludf.DUMMYFUNCTION("IFERROR(GOOGLEFINANCE(A503,""low""),"""")"),41.96)</f>
        <v>41.96</v>
      </c>
      <c r="Z503" s="22">
        <f>IFERROR(__xludf.DUMMYFUNCTION("IFERROR(GOOGLEFINANCE(A503,""volume""),"""")"),69518.0)</f>
        <v>69518</v>
      </c>
      <c r="AA503" s="24" t="str">
        <f>VLOOKUP(A503,Metrik!$C$2:$Y$959,5,0)</f>
        <v>Wireless Telecommunication Services</v>
      </c>
      <c r="AB503" s="24" t="str">
        <f>VLOOKUP(A503,Metrik!$C$2:$Y$959,3,0)</f>
        <v>Infrastructures</v>
      </c>
    </row>
    <row r="504">
      <c r="A504" s="14" t="s">
        <v>277</v>
      </c>
      <c r="B504" s="14" t="str">
        <f t="array" ref="B504">VLOOKUP(A504,{Metrik!$C$2:$C$998,Metrik!$B$2:$B$998},2,0)</f>
        <v>Clipan Finance Indonesia Tbk.</v>
      </c>
      <c r="C504" s="15">
        <f>IFERROR(__xludf.DUMMYFUNCTION("GOOGLEFINANCE(""IDX:""&amp;A504,""price"")"),326.0)</f>
        <v>326</v>
      </c>
      <c r="D504" s="16" t="str">
        <f>IFERROR(__xludf.DUMMYFUNCTION("IF(A504="""","""",
SPARKLINE(
INDEX(
GOOGLEFINANCE(""IDX:""&amp;A504,""close"",TODAY()-365,TODAY()),
,2
),
{""linewidth"",1}
))
"),"#N/A")</f>
        <v>#N/A</v>
      </c>
      <c r="E504" s="26"/>
      <c r="F504" s="26"/>
      <c r="G504" s="24">
        <f t="shared" si="3"/>
        <v>0</v>
      </c>
      <c r="H504" s="19">
        <f>VLOOKUP(A504,Metrik!$C$2:$Y$959,8,0)</f>
        <v>5.7</v>
      </c>
      <c r="I504" s="20">
        <f>VLOOKUP(A504,Metrik!$C$2:$Y$959,9,0)</f>
        <v>0.23</v>
      </c>
      <c r="J504" s="20">
        <f>VLOOKUP(A504,Metrik!$C$2:$Y$959,10,0)</f>
        <v>4.1</v>
      </c>
      <c r="K504" s="20">
        <f>VLOOKUP(A504,Metrik!$C$2:$Y$959,11,0)</f>
        <v>2.5</v>
      </c>
      <c r="L504" s="20">
        <f>VLOOKUP(A504,Metrik!$C$2:$Y$959,12,0)</f>
        <v>0.64</v>
      </c>
      <c r="M504" s="20">
        <f>VLOOKUP(A504,Metrik!$C$2:$Y$959,19,0)</f>
        <v>76.1</v>
      </c>
      <c r="N504" s="21"/>
      <c r="O504" s="21"/>
      <c r="P504" s="21"/>
      <c r="Q504" s="21"/>
      <c r="R504" s="21"/>
      <c r="S504" s="21"/>
      <c r="T504" s="21"/>
      <c r="U504" s="22">
        <f>IFERROR(__xludf.DUMMYFUNCTION("IFERROR(GOOGLEFINANCE(A504,""closeyest""),"""")"),320.0)</f>
        <v>320</v>
      </c>
      <c r="V504" s="23">
        <f>IFERROR(__xludf.DUMMYFUNCTION("IFERROR(GOOGLEFINANCE(A504,""changepct""),"""")"),1.88)</f>
        <v>1.88</v>
      </c>
      <c r="W504" s="22">
        <f>IFERROR(__xludf.DUMMYFUNCTION("IFERROR(GOOGLEFINANCE(A504,""priceopen""),"""")"),320.0)</f>
        <v>320</v>
      </c>
      <c r="X504" s="22">
        <f>IFERROR(__xludf.DUMMYFUNCTION("IFERROR(GOOGLEFINANCE(A504,""high""),"""")"),328.0)</f>
        <v>328</v>
      </c>
      <c r="Y504" s="22">
        <f>IFERROR(__xludf.DUMMYFUNCTION("IFERROR(GOOGLEFINANCE(A504,""low""),"""")"),320.0)</f>
        <v>320</v>
      </c>
      <c r="Z504" s="22">
        <f>IFERROR(__xludf.DUMMYFUNCTION("IFERROR(GOOGLEFINANCE(A504,""volume""),"""")"),592100.0)</f>
        <v>592100</v>
      </c>
      <c r="AA504" s="24" t="str">
        <f>VLOOKUP(A504,Metrik!$C$2:$Y$959,5,0)</f>
        <v>Consumer Financing</v>
      </c>
      <c r="AB504" s="24" t="str">
        <f>VLOOKUP(A504,Metrik!$C$2:$Y$959,3,0)</f>
        <v>Financials</v>
      </c>
    </row>
    <row r="505">
      <c r="A505" s="14" t="s">
        <v>278</v>
      </c>
      <c r="B505" s="14" t="str">
        <f t="array" ref="B505">VLOOKUP(A505,{Metrik!$C$2:$C$998,Metrik!$B$2:$B$998},2,0)</f>
        <v>Citra Nusantara Gemilang Tbk.</v>
      </c>
      <c r="C505" s="15">
        <f>IFERROR(__xludf.DUMMYFUNCTION("GOOGLEFINANCE(""IDX:""&amp;A505,""price"")"),155.0)</f>
        <v>155</v>
      </c>
      <c r="D505" s="16" t="str">
        <f>IFERROR(__xludf.DUMMYFUNCTION("IF(A505="""","""",
SPARKLINE(
INDEX(
GOOGLEFINANCE(""IDX:""&amp;A505,""close"",TODAY()-365,TODAY()),
,2
),
{""linewidth"",1}
))
"),"#N/A")</f>
        <v>#N/A</v>
      </c>
      <c r="E505" s="26"/>
      <c r="F505" s="26"/>
      <c r="G505" s="24">
        <f t="shared" si="3"/>
        <v>0</v>
      </c>
      <c r="H505" s="19">
        <f>VLOOKUP(A505,Metrik!$C$2:$Y$959,8,0)</f>
        <v>17.2</v>
      </c>
      <c r="I505" s="20">
        <f>VLOOKUP(A505,Metrik!$C$2:$Y$959,9,0)</f>
        <v>1.1</v>
      </c>
      <c r="J505" s="20">
        <f>VLOOKUP(A505,Metrik!$C$2:$Y$959,10,0)</f>
        <v>6.2</v>
      </c>
      <c r="K505" s="20">
        <f>VLOOKUP(A505,Metrik!$C$2:$Y$959,11,0)</f>
        <v>4.2</v>
      </c>
      <c r="L505" s="20">
        <f>VLOOKUP(A505,Metrik!$C$2:$Y$959,12,0)</f>
        <v>0.48</v>
      </c>
      <c r="M505" s="20">
        <f>VLOOKUP(A505,Metrik!$C$2:$Y$959,19,0)</f>
        <v>10.3</v>
      </c>
      <c r="N505" s="21"/>
      <c r="O505" s="21"/>
      <c r="P505" s="21"/>
      <c r="Q505" s="21"/>
      <c r="R505" s="21"/>
      <c r="S505" s="21"/>
      <c r="T505" s="21"/>
      <c r="U505" s="22">
        <f>IFERROR(__xludf.DUMMYFUNCTION("IFERROR(GOOGLEFINANCE(A505,""closeyest""),"""")"),150.0)</f>
        <v>150</v>
      </c>
      <c r="V505" s="23">
        <f>IFERROR(__xludf.DUMMYFUNCTION("IFERROR(GOOGLEFINANCE(A505,""changepct""),"""")"),3.33)</f>
        <v>3.33</v>
      </c>
      <c r="W505" s="22">
        <f>IFERROR(__xludf.DUMMYFUNCTION("IFERROR(GOOGLEFINANCE(A505,""priceopen""),"""")"),150.0)</f>
        <v>150</v>
      </c>
      <c r="X505" s="22">
        <f>IFERROR(__xludf.DUMMYFUNCTION("IFERROR(GOOGLEFINANCE(A505,""high""),"""")"),158.0)</f>
        <v>158</v>
      </c>
      <c r="Y505" s="22">
        <f>IFERROR(__xludf.DUMMYFUNCTION("IFERROR(GOOGLEFINANCE(A505,""low""),"""")"),150.0)</f>
        <v>150</v>
      </c>
      <c r="Z505" s="22">
        <f>IFERROR(__xludf.DUMMYFUNCTION("IFERROR(GOOGLEFINANCE(A505,""volume""),"""")"),3503200.0)</f>
        <v>3503200</v>
      </c>
      <c r="AA505" s="24" t="str">
        <f>VLOOKUP(A505,Metrik!$C$2:$Y$959,5,0)</f>
        <v>Oil &amp; Gas</v>
      </c>
      <c r="AB505" s="24" t="str">
        <f>VLOOKUP(A505,Metrik!$C$2:$Y$959,3,0)</f>
        <v>Energy</v>
      </c>
    </row>
    <row r="506">
      <c r="A506" s="14" t="s">
        <v>279</v>
      </c>
      <c r="B506" s="14" t="str">
        <f t="array" ref="B506">VLOOKUP(A506,{Metrik!$C$2:$C$998,Metrik!$B$2:$B$998},2,0)</f>
        <v>Diastika Biotekindo Tbk.</v>
      </c>
      <c r="C506" s="15">
        <f>IFERROR(__xludf.DUMMYFUNCTION("GOOGLEFINANCE(""IDX:""&amp;A506,""price"")"),118.0)</f>
        <v>118</v>
      </c>
      <c r="D506" s="16" t="str">
        <f>IFERROR(__xludf.DUMMYFUNCTION("IF(A506="""","""",
SPARKLINE(
INDEX(
GOOGLEFINANCE(""IDX:""&amp;A506,""close"",TODAY()-365,TODAY()),
,2
),
{""linewidth"",1}
))
"),"#N/A")</f>
        <v>#N/A</v>
      </c>
      <c r="E506" s="26"/>
      <c r="F506" s="26"/>
      <c r="G506" s="24">
        <f t="shared" si="3"/>
        <v>0</v>
      </c>
      <c r="H506" s="19">
        <f>VLOOKUP(A506,Metrik!$C$2:$Y$959,8,0)</f>
        <v>39.7</v>
      </c>
      <c r="I506" s="20">
        <f>VLOOKUP(A506,Metrik!$C$2:$Y$959,9,0)</f>
        <v>2.4</v>
      </c>
      <c r="J506" s="20">
        <f>VLOOKUP(A506,Metrik!$C$2:$Y$959,10,0)</f>
        <v>6</v>
      </c>
      <c r="K506" s="20">
        <f>VLOOKUP(A506,Metrik!$C$2:$Y$959,11,0)</f>
        <v>5.1</v>
      </c>
      <c r="L506" s="20">
        <f>VLOOKUP(A506,Metrik!$C$2:$Y$959,12,0)</f>
        <v>0.17</v>
      </c>
      <c r="M506" s="20">
        <f>VLOOKUP(A506,Metrik!$C$2:$Y$959,19,0)</f>
        <v>34</v>
      </c>
      <c r="N506" s="21"/>
      <c r="O506" s="21"/>
      <c r="P506" s="21"/>
      <c r="Q506" s="21"/>
      <c r="R506" s="21"/>
      <c r="S506" s="21"/>
      <c r="T506" s="21"/>
      <c r="U506" s="22">
        <f>IFERROR(__xludf.DUMMYFUNCTION("IFERROR(GOOGLEFINANCE(A506,""closeyest""),"""")"),117.0)</f>
        <v>117</v>
      </c>
      <c r="V506" s="23">
        <f>IFERROR(__xludf.DUMMYFUNCTION("IFERROR(GOOGLEFINANCE(A506,""changepct""),"""")"),0.85)</f>
        <v>0.85</v>
      </c>
      <c r="W506" s="22">
        <f>IFERROR(__xludf.DUMMYFUNCTION("IFERROR(GOOGLEFINANCE(A506,""priceopen""),"""")"),119.0)</f>
        <v>119</v>
      </c>
      <c r="X506" s="22">
        <f>IFERROR(__xludf.DUMMYFUNCTION("IFERROR(GOOGLEFINANCE(A506,""high""),"""")"),120.0)</f>
        <v>120</v>
      </c>
      <c r="Y506" s="22">
        <f>IFERROR(__xludf.DUMMYFUNCTION("IFERROR(GOOGLEFINANCE(A506,""low""),"""")"),117.0)</f>
        <v>117</v>
      </c>
      <c r="Z506" s="22">
        <f>IFERROR(__xludf.DUMMYFUNCTION("IFERROR(GOOGLEFINANCE(A506,""volume""),"""")"),685300.0)</f>
        <v>685300</v>
      </c>
      <c r="AA506" s="24" t="str">
        <f>VLOOKUP(A506,Metrik!$C$2:$Y$959,5,0)</f>
        <v>Healthcare Equipment &amp; Supplies</v>
      </c>
      <c r="AB506" s="24" t="str">
        <f>VLOOKUP(A506,Metrik!$C$2:$Y$959,3,0)</f>
        <v>Healthcare</v>
      </c>
    </row>
    <row r="507">
      <c r="A507" s="14" t="s">
        <v>280</v>
      </c>
      <c r="B507" s="14" t="str">
        <f t="array" ref="B507">VLOOKUP(A507,{Metrik!$C$2:$C$998,Metrik!$B$2:$B$998},2,0)</f>
        <v>Chemstar Indonesia Tbk.</v>
      </c>
      <c r="C507" s="15">
        <f>IFERROR(__xludf.DUMMYFUNCTION("GOOGLEFINANCE(""IDX:""&amp;A507,""price"")"),62.0)</f>
        <v>62</v>
      </c>
      <c r="D507" s="16" t="str">
        <f>IFERROR(__xludf.DUMMYFUNCTION("IF(A507="""","""",
SPARKLINE(
INDEX(
GOOGLEFINANCE(""IDX:""&amp;A507,""close"",TODAY()-365,TODAY()),
,2
),
{""linewidth"",1}
))
"),"#N/A")</f>
        <v>#N/A</v>
      </c>
      <c r="E507" s="26"/>
      <c r="F507" s="26"/>
      <c r="G507" s="24">
        <f t="shared" si="3"/>
        <v>0</v>
      </c>
      <c r="H507" s="19">
        <f>VLOOKUP(A507,Metrik!$C$2:$Y$959,8,0)</f>
        <v>-93.7</v>
      </c>
      <c r="I507" s="20">
        <f>VLOOKUP(A507,Metrik!$C$2:$Y$959,9,0)</f>
        <v>1</v>
      </c>
      <c r="J507" s="20">
        <f>VLOOKUP(A507,Metrik!$C$2:$Y$959,10,0)</f>
        <v>-1.1</v>
      </c>
      <c r="K507" s="20">
        <f>VLOOKUP(A507,Metrik!$C$2:$Y$959,11,0)</f>
        <v>-0.67</v>
      </c>
      <c r="L507" s="20">
        <f>VLOOKUP(A507,Metrik!$C$2:$Y$959,12,0)</f>
        <v>0.65</v>
      </c>
      <c r="M507" s="20">
        <f>VLOOKUP(A507,Metrik!$C$2:$Y$959,19,0)</f>
        <v>-2.8</v>
      </c>
      <c r="N507" s="21"/>
      <c r="O507" s="21"/>
      <c r="P507" s="21"/>
      <c r="Q507" s="21"/>
      <c r="R507" s="21"/>
      <c r="S507" s="21"/>
      <c r="T507" s="21"/>
      <c r="U507" s="22">
        <f>IFERROR(__xludf.DUMMYFUNCTION("IFERROR(GOOGLEFINANCE(A507,""closeyest""),"""")"),59.0)</f>
        <v>59</v>
      </c>
      <c r="V507" s="23">
        <f>IFERROR(__xludf.DUMMYFUNCTION("IFERROR(GOOGLEFINANCE(A507,""changepct""),"""")"),5.08)</f>
        <v>5.08</v>
      </c>
      <c r="W507" s="22">
        <f>IFERROR(__xludf.DUMMYFUNCTION("IFERROR(GOOGLEFINANCE(A507,""priceopen""),"""")"),59.0)</f>
        <v>59</v>
      </c>
      <c r="X507" s="22">
        <f>IFERROR(__xludf.DUMMYFUNCTION("IFERROR(GOOGLEFINANCE(A507,""high""),"""")"),63.0)</f>
        <v>63</v>
      </c>
      <c r="Y507" s="22">
        <f>IFERROR(__xludf.DUMMYFUNCTION("IFERROR(GOOGLEFINANCE(A507,""low""),"""")"),59.0)</f>
        <v>59</v>
      </c>
      <c r="Z507" s="22">
        <f>IFERROR(__xludf.DUMMYFUNCTION("IFERROR(GOOGLEFINANCE(A507,""volume""),"""")"),7886700.0)</f>
        <v>7886700</v>
      </c>
      <c r="AA507" s="24" t="str">
        <f>VLOOKUP(A507,Metrik!$C$2:$Y$959,5,0)</f>
        <v>Chemicals</v>
      </c>
      <c r="AB507" s="24" t="str">
        <f>VLOOKUP(A507,Metrik!$C$2:$Y$959,3,0)</f>
        <v>Basic Materials</v>
      </c>
    </row>
    <row r="508">
      <c r="A508" s="14" t="s">
        <v>281</v>
      </c>
      <c r="B508" s="14" t="str">
        <f t="array" ref="B508">VLOOKUP(A508,{Metrik!$C$2:$C$998,Metrik!$B$2:$B$998},2,0)</f>
        <v>PT Pelita Teknologi Global Tbk</v>
      </c>
      <c r="C508" s="15">
        <f>IFERROR(__xludf.DUMMYFUNCTION("GOOGLEFINANCE(""IDX:""&amp;A508,""price"")"),945.0)</f>
        <v>945</v>
      </c>
      <c r="D508" s="16" t="str">
        <f>IFERROR(__xludf.DUMMYFUNCTION("IF(A508="""","""",
SPARKLINE(
INDEX(
GOOGLEFINANCE(""IDX:""&amp;A508,""close"",TODAY()-365,TODAY()),
,2
),
{""linewidth"",1}
))
"),"#N/A")</f>
        <v>#N/A</v>
      </c>
      <c r="E508" s="26"/>
      <c r="F508" s="26"/>
      <c r="G508" s="24">
        <f t="shared" si="3"/>
        <v>0</v>
      </c>
      <c r="H508" s="19">
        <f>VLOOKUP(A508,Metrik!$C$2:$Y$959,8,0)</f>
        <v>170</v>
      </c>
      <c r="I508" s="20">
        <f>VLOOKUP(A508,Metrik!$C$2:$Y$959,9,0)</f>
        <v>11.4</v>
      </c>
      <c r="J508" s="20">
        <f>VLOOKUP(A508,Metrik!$C$2:$Y$959,10,0)</f>
        <v>6.8</v>
      </c>
      <c r="K508" s="20">
        <f>VLOOKUP(A508,Metrik!$C$2:$Y$959,11,0)</f>
        <v>4</v>
      </c>
      <c r="L508" s="20">
        <f>VLOOKUP(A508,Metrik!$C$2:$Y$959,12,0)</f>
        <v>0.69</v>
      </c>
      <c r="M508" s="20">
        <f>VLOOKUP(A508,Metrik!$C$2:$Y$959,19,0)</f>
        <v>3.4</v>
      </c>
      <c r="N508" s="21"/>
      <c r="O508" s="21"/>
      <c r="P508" s="21"/>
      <c r="Q508" s="21"/>
      <c r="R508" s="21"/>
      <c r="S508" s="21"/>
      <c r="T508" s="21"/>
      <c r="U508" s="22">
        <f>IFERROR(__xludf.DUMMYFUNCTION("IFERROR(GOOGLEFINANCE(A508,""closeyest""),"""")"),11.81)</f>
        <v>11.81</v>
      </c>
      <c r="V508" s="23">
        <f>IFERROR(__xludf.DUMMYFUNCTION("IFERROR(GOOGLEFINANCE(A508,""changepct""),"""")"),1.23)</f>
        <v>1.23</v>
      </c>
      <c r="W508" s="22">
        <f>IFERROR(__xludf.DUMMYFUNCTION("IFERROR(GOOGLEFINANCE(A508,""priceopen""),"""")"),12.1)</f>
        <v>12.1</v>
      </c>
      <c r="X508" s="22">
        <f>IFERROR(__xludf.DUMMYFUNCTION("IFERROR(GOOGLEFINANCE(A508,""high""),"""")"),12.1)</f>
        <v>12.1</v>
      </c>
      <c r="Y508" s="22">
        <f>IFERROR(__xludf.DUMMYFUNCTION("IFERROR(GOOGLEFINANCE(A508,""low""),"""")"),11.94)</f>
        <v>11.94</v>
      </c>
      <c r="Z508" s="22">
        <f>IFERROR(__xludf.DUMMYFUNCTION("IFERROR(GOOGLEFINANCE(A508,""volume""),"""")"),590.0)</f>
        <v>590</v>
      </c>
      <c r="AA508" s="24" t="str">
        <f>VLOOKUP(A508,Metrik!$C$2:$Y$959,5,0)</f>
        <v>Electronic Equipment, Instruments &amp; Components</v>
      </c>
      <c r="AB508" s="24" t="str">
        <f>VLOOKUP(A508,Metrik!$C$2:$Y$959,3,0)</f>
        <v>Technology</v>
      </c>
    </row>
    <row r="509">
      <c r="A509" s="14" t="s">
        <v>282</v>
      </c>
      <c r="B509" s="14" t="str">
        <f t="array" ref="B509">VLOOKUP(A509,{Metrik!$C$2:$C$998,Metrik!$B$2:$B$998},2,0)</f>
        <v>Chitose Internasional Tbk.</v>
      </c>
      <c r="C509" s="15">
        <f>IFERROR(__xludf.DUMMYFUNCTION("GOOGLEFINANCE(""IDX:""&amp;A509,""price"")"),168.0)</f>
        <v>168</v>
      </c>
      <c r="D509" s="16" t="str">
        <f>IFERROR(__xludf.DUMMYFUNCTION("IF(A509="""","""",
SPARKLINE(
INDEX(
GOOGLEFINANCE(""IDX:""&amp;A509,""close"",TODAY()-365,TODAY()),
,2
),
{""linewidth"",1}
))
"),"#N/A")</f>
        <v>#N/A</v>
      </c>
      <c r="E509" s="26"/>
      <c r="F509" s="26"/>
      <c r="G509" s="24">
        <f t="shared" si="3"/>
        <v>0</v>
      </c>
      <c r="H509" s="19">
        <f>VLOOKUP(A509,Metrik!$C$2:$Y$959,8,0)</f>
        <v>5.7</v>
      </c>
      <c r="I509" s="20">
        <f>VLOOKUP(A509,Metrik!$C$2:$Y$959,9,0)</f>
        <v>0.53</v>
      </c>
      <c r="J509" s="20">
        <f>VLOOKUP(A509,Metrik!$C$2:$Y$959,10,0)</f>
        <v>9.3</v>
      </c>
      <c r="K509" s="20">
        <f>VLOOKUP(A509,Metrik!$C$2:$Y$959,11,0)</f>
        <v>6.5</v>
      </c>
      <c r="L509" s="20">
        <f>VLOOKUP(A509,Metrik!$C$2:$Y$959,12,0)</f>
        <v>0.42</v>
      </c>
      <c r="M509" s="20">
        <f>VLOOKUP(A509,Metrik!$C$2:$Y$959,19,0)</f>
        <v>26.4</v>
      </c>
      <c r="N509" s="21"/>
      <c r="O509" s="21"/>
      <c r="P509" s="21"/>
      <c r="Q509" s="21"/>
      <c r="R509" s="21"/>
      <c r="S509" s="21"/>
      <c r="T509" s="21"/>
      <c r="U509" s="22">
        <f>IFERROR(__xludf.DUMMYFUNCTION("IFERROR(GOOGLEFINANCE(A509,""closeyest""),"""")"),4.08)</f>
        <v>4.08</v>
      </c>
      <c r="V509" s="23">
        <f>IFERROR(__xludf.DUMMYFUNCTION("IFERROR(GOOGLEFINANCE(A509,""changepct""),"""")"),-0.98)</f>
        <v>-0.98</v>
      </c>
      <c r="W509" s="22">
        <f>IFERROR(__xludf.DUMMYFUNCTION("IFERROR(GOOGLEFINANCE(A509,""priceopen""),"""")"),4.05)</f>
        <v>4.05</v>
      </c>
      <c r="X509" s="22">
        <f>IFERROR(__xludf.DUMMYFUNCTION("IFERROR(GOOGLEFINANCE(A509,""high""),"""")"),4.08)</f>
        <v>4.08</v>
      </c>
      <c r="Y509" s="22">
        <f>IFERROR(__xludf.DUMMYFUNCTION("IFERROR(GOOGLEFINANCE(A509,""low""),"""")"),3.97)</f>
        <v>3.97</v>
      </c>
      <c r="Z509" s="22">
        <f>IFERROR(__xludf.DUMMYFUNCTION("IFERROR(GOOGLEFINANCE(A509,""volume""),"""")"),114789.0)</f>
        <v>114789</v>
      </c>
      <c r="AA509" s="24" t="str">
        <f>VLOOKUP(A509,Metrik!$C$2:$Y$959,5,0)</f>
        <v>Household Goods</v>
      </c>
      <c r="AB509" s="24" t="str">
        <f>VLOOKUP(A509,Metrik!$C$2:$Y$959,3,0)</f>
        <v>Consumer Cyclicals</v>
      </c>
    </row>
    <row r="510">
      <c r="A510" s="14" t="s">
        <v>283</v>
      </c>
      <c r="B510" s="14" t="str">
        <f t="array" ref="B510">VLOOKUP(A510,{Metrik!$C$2:$C$998,Metrik!$B$2:$B$998},2,0)</f>
        <v>Cita Mineral Investindo Tbk.</v>
      </c>
      <c r="C510" s="15">
        <f>IFERROR(__xludf.DUMMYFUNCTION("GOOGLEFINANCE(""IDX:""&amp;A510,""price"")"),2910.0)</f>
        <v>2910</v>
      </c>
      <c r="D510" s="16" t="str">
        <f>IFERROR(__xludf.DUMMYFUNCTION("IF(A510="""","""",
SPARKLINE(
INDEX(
GOOGLEFINANCE(""IDX:""&amp;A510,""close"",TODAY()-365,TODAY()),
,2
),
{""linewidth"",1}
))
"),"#N/A")</f>
        <v>#N/A</v>
      </c>
      <c r="E510" s="26"/>
      <c r="F510" s="26"/>
      <c r="G510" s="18">
        <f t="shared" si="3"/>
        <v>0</v>
      </c>
      <c r="H510" s="19">
        <f>VLOOKUP(A510,Metrik!$C$2:$Y$959,8,0)</f>
        <v>7.5</v>
      </c>
      <c r="I510" s="20">
        <f>VLOOKUP(A510,Metrik!$C$2:$Y$959,9,0)</f>
        <v>1.4</v>
      </c>
      <c r="J510" s="20">
        <f>VLOOKUP(A510,Metrik!$C$2:$Y$959,10,0)</f>
        <v>18.3</v>
      </c>
      <c r="K510" s="20">
        <f>VLOOKUP(A510,Metrik!$C$2:$Y$959,11,0)</f>
        <v>17.5</v>
      </c>
      <c r="L510" s="20">
        <f>VLOOKUP(A510,Metrik!$C$2:$Y$959,12,0)</f>
        <v>0.04</v>
      </c>
      <c r="M510" s="20">
        <f>VLOOKUP(A510,Metrik!$C$2:$Y$959,19,0)</f>
        <v>200</v>
      </c>
      <c r="N510" s="21"/>
      <c r="O510" s="21"/>
      <c r="P510" s="21"/>
      <c r="Q510" s="21"/>
      <c r="R510" s="21"/>
      <c r="S510" s="21"/>
      <c r="T510" s="21"/>
      <c r="U510" s="22">
        <f>IFERROR(__xludf.DUMMYFUNCTION("IFERROR(GOOGLEFINANCE(A510,""closeyest""),"""")"),2770.0)</f>
        <v>2770</v>
      </c>
      <c r="V510" s="23">
        <f>IFERROR(__xludf.DUMMYFUNCTION("IFERROR(GOOGLEFINANCE(A510,""changepct""),"""")"),5.05)</f>
        <v>5.05</v>
      </c>
      <c r="W510" s="22">
        <f>IFERROR(__xludf.DUMMYFUNCTION("IFERROR(GOOGLEFINANCE(A510,""priceopen""),"""")"),2820.0)</f>
        <v>2820</v>
      </c>
      <c r="X510" s="22">
        <f>IFERROR(__xludf.DUMMYFUNCTION("IFERROR(GOOGLEFINANCE(A510,""high""),"""")"),3050.0)</f>
        <v>3050</v>
      </c>
      <c r="Y510" s="22">
        <f>IFERROR(__xludf.DUMMYFUNCTION("IFERROR(GOOGLEFINANCE(A510,""low""),"""")"),2820.0)</f>
        <v>2820</v>
      </c>
      <c r="Z510" s="22">
        <f>IFERROR(__xludf.DUMMYFUNCTION("IFERROR(GOOGLEFINANCE(A510,""volume""),"""")"),637700.0)</f>
        <v>637700</v>
      </c>
      <c r="AA510" s="24" t="str">
        <f>VLOOKUP(A510,Metrik!$C$2:$Y$959,5,0)</f>
        <v>Metals &amp; Minerals</v>
      </c>
      <c r="AB510" s="24" t="str">
        <f>VLOOKUP(A510,Metrik!$C$2:$Y$959,3,0)</f>
        <v>Basic Materials</v>
      </c>
    </row>
    <row r="511">
      <c r="A511" s="14" t="s">
        <v>284</v>
      </c>
      <c r="B511" s="14" t="str">
        <f t="array" ref="B511">VLOOKUP(A511,{Metrik!$C$2:$C$998,Metrik!$B$2:$B$998},2,0)</f>
        <v>Natura City Developments Tbk.</v>
      </c>
      <c r="C511" s="15">
        <f>IFERROR(__xludf.DUMMYFUNCTION("GOOGLEFINANCE(""IDX:""&amp;A511,""price"")"),132.0)</f>
        <v>132</v>
      </c>
      <c r="D511" s="16" t="str">
        <f>IFERROR(__xludf.DUMMYFUNCTION("IF(A511="""","""",
SPARKLINE(
INDEX(
GOOGLEFINANCE(""IDX:""&amp;A511,""close"",TODAY()-365,TODAY()),
,2
),
{""linewidth"",1}
))
"),"#N/A")</f>
        <v>#N/A</v>
      </c>
      <c r="E511" s="26"/>
      <c r="F511" s="26"/>
      <c r="G511" s="24">
        <f t="shared" si="3"/>
        <v>0</v>
      </c>
      <c r="H511" s="19">
        <f>VLOOKUP(A511,Metrik!$C$2:$Y$959,8,0)</f>
        <v>41.8</v>
      </c>
      <c r="I511" s="20">
        <f>VLOOKUP(A511,Metrik!$C$2:$Y$959,9,0)</f>
        <v>0.98</v>
      </c>
      <c r="J511" s="20">
        <f>VLOOKUP(A511,Metrik!$C$2:$Y$959,10,0)</f>
        <v>2.4</v>
      </c>
      <c r="K511" s="20">
        <f>VLOOKUP(A511,Metrik!$C$2:$Y$959,11,0)</f>
        <v>1.8</v>
      </c>
      <c r="L511" s="20">
        <f>VLOOKUP(A511,Metrik!$C$2:$Y$959,12,0)</f>
        <v>0.28</v>
      </c>
      <c r="M511" s="20">
        <f>VLOOKUP(A511,Metrik!$C$2:$Y$959,19,0)</f>
        <v>49.4</v>
      </c>
      <c r="N511" s="21"/>
      <c r="O511" s="21"/>
      <c r="P511" s="21"/>
      <c r="Q511" s="21"/>
      <c r="R511" s="21"/>
      <c r="S511" s="21"/>
      <c r="T511" s="21"/>
      <c r="U511" s="22">
        <f>IFERROR(__xludf.DUMMYFUNCTION("IFERROR(GOOGLEFINANCE(A511,""closeyest""),"""")"),10.37)</f>
        <v>10.37</v>
      </c>
      <c r="V511" s="23">
        <f>IFERROR(__xludf.DUMMYFUNCTION("IFERROR(GOOGLEFINANCE(A511,""changepct""),"""")"),2.7)</f>
        <v>2.7</v>
      </c>
      <c r="W511" s="22">
        <f>IFERROR(__xludf.DUMMYFUNCTION("IFERROR(GOOGLEFINANCE(A511,""priceopen""),"""")"),10.53)</f>
        <v>10.53</v>
      </c>
      <c r="X511" s="22">
        <f>IFERROR(__xludf.DUMMYFUNCTION("IFERROR(GOOGLEFINANCE(A511,""high""),"""")"),10.65)</f>
        <v>10.65</v>
      </c>
      <c r="Y511" s="22">
        <f>IFERROR(__xludf.DUMMYFUNCTION("IFERROR(GOOGLEFINANCE(A511,""low""),"""")"),10.53)</f>
        <v>10.53</v>
      </c>
      <c r="Z511" s="22">
        <f>IFERROR(__xludf.DUMMYFUNCTION("IFERROR(GOOGLEFINANCE(A511,""volume""),"""")"),16656.0)</f>
        <v>16656</v>
      </c>
      <c r="AA511" s="24" t="str">
        <f>VLOOKUP(A511,Metrik!$C$2:$Y$959,5,0)</f>
        <v>Real Estate Management &amp; Development</v>
      </c>
      <c r="AB511" s="24" t="str">
        <f>VLOOKUP(A511,Metrik!$C$2:$Y$959,3,0)</f>
        <v>Properties &amp; Real Estate</v>
      </c>
    </row>
    <row r="512">
      <c r="A512" s="14" t="s">
        <v>285</v>
      </c>
      <c r="B512" s="14" t="str">
        <f t="array" ref="B512">VLOOKUP(A512,{Metrik!$C$2:$C$998,Metrik!$B$2:$B$998},2,0)</f>
        <v>Citra Putra Realty Tbk.</v>
      </c>
      <c r="C512" s="15">
        <f>IFERROR(__xludf.DUMMYFUNCTION("GOOGLEFINANCE(""IDX:""&amp;A512,""price"")"),2750.0)</f>
        <v>2750</v>
      </c>
      <c r="D512" s="16" t="str">
        <f>IFERROR(__xludf.DUMMYFUNCTION("IF(A512="""","""",
SPARKLINE(
INDEX(
GOOGLEFINANCE(""IDX:""&amp;A512,""close"",TODAY()-365,TODAY()),
,2
),
{""linewidth"",1}
))
"),"#N/A")</f>
        <v>#N/A</v>
      </c>
      <c r="E512" s="26"/>
      <c r="F512" s="26"/>
      <c r="G512" s="24">
        <f t="shared" si="3"/>
        <v>0</v>
      </c>
      <c r="H512" s="19">
        <f>VLOOKUP(A512,Metrik!$C$2:$Y$959,8,0)</f>
        <v>580</v>
      </c>
      <c r="I512" s="20">
        <f>VLOOKUP(A512,Metrik!$C$2:$Y$959,9,0)</f>
        <v>400</v>
      </c>
      <c r="J512" s="20">
        <f>VLOOKUP(A512,Metrik!$C$2:$Y$959,10,0)</f>
        <v>69.7</v>
      </c>
      <c r="K512" s="20">
        <f>VLOOKUP(A512,Metrik!$C$2:$Y$959,11,0)</f>
        <v>2.5</v>
      </c>
      <c r="L512" s="20">
        <f>VLOOKUP(A512,Metrik!$C$2:$Y$959,12,0)</f>
        <v>27.2</v>
      </c>
      <c r="M512" s="20">
        <f>VLOOKUP(A512,Metrik!$C$2:$Y$959,19,0)</f>
        <v>37.8</v>
      </c>
      <c r="N512" s="21"/>
      <c r="O512" s="21"/>
      <c r="P512" s="21"/>
      <c r="Q512" s="21"/>
      <c r="R512" s="21"/>
      <c r="S512" s="21"/>
      <c r="T512" s="21"/>
      <c r="U512" s="22">
        <f>IFERROR(__xludf.DUMMYFUNCTION("IFERROR(GOOGLEFINANCE(A512,""closeyest""),"""")"),2700.0)</f>
        <v>2700</v>
      </c>
      <c r="V512" s="23">
        <f>IFERROR(__xludf.DUMMYFUNCTION("IFERROR(GOOGLEFINANCE(A512,""changepct""),"""")"),1.85)</f>
        <v>1.85</v>
      </c>
      <c r="W512" s="22">
        <f>IFERROR(__xludf.DUMMYFUNCTION("IFERROR(GOOGLEFINANCE(A512,""priceopen""),"""")"),2600.0)</f>
        <v>2600</v>
      </c>
      <c r="X512" s="22">
        <f>IFERROR(__xludf.DUMMYFUNCTION("IFERROR(GOOGLEFINANCE(A512,""high""),"""")"),2760.0)</f>
        <v>2760</v>
      </c>
      <c r="Y512" s="22" t="str">
        <f>IFERROR(__xludf.DUMMYFUNCTION("IFERROR(GOOGLEFINANCE(A512,""low""),"""")"),"")</f>
        <v/>
      </c>
      <c r="Z512" s="22">
        <f>IFERROR(__xludf.DUMMYFUNCTION("IFERROR(GOOGLEFINANCE(A512,""volume""),"""")"),11500.0)</f>
        <v>11500</v>
      </c>
      <c r="AA512" s="24" t="str">
        <f>VLOOKUP(A512,Metrik!$C$2:$Y$959,5,0)</f>
        <v>Tourism &amp; Recreation</v>
      </c>
      <c r="AB512" s="24" t="str">
        <f>VLOOKUP(A512,Metrik!$C$2:$Y$959,3,0)</f>
        <v>Consumer Cyclicals</v>
      </c>
    </row>
    <row r="513">
      <c r="A513" s="17" t="s">
        <v>286</v>
      </c>
      <c r="B513" s="14" t="str">
        <f t="array" ref="B513">VLOOKUP(A513,{Metrik!$C$2:$C$998,Metrik!$B$2:$B$998},2,0)</f>
        <v>Sariguna Primatirta Tbk.</v>
      </c>
      <c r="C513" s="15">
        <f>IFERROR(__xludf.DUMMYFUNCTION("GOOGLEFINANCE(""IDX:""&amp;A513,""price"")"),380.0)</f>
        <v>380</v>
      </c>
      <c r="D513" s="16" t="str">
        <f>IFERROR(__xludf.DUMMYFUNCTION("IF(A513="""","""",
SPARKLINE(
INDEX(
GOOGLEFINANCE(""IDX:""&amp;A513,""close"",TODAY()-365,TODAY()),
,2
),
{""linewidth"",1}
))
"),"#N/A")</f>
        <v>#N/A</v>
      </c>
      <c r="E513" s="17" t="s">
        <v>175</v>
      </c>
      <c r="F513" s="14" t="s">
        <v>34</v>
      </c>
      <c r="G513" s="18">
        <f t="shared" si="3"/>
        <v>1</v>
      </c>
      <c r="H513" s="19">
        <f>VLOOKUP(A513,Metrik!$C$2:$Y$959,8,0)</f>
        <v>24.2</v>
      </c>
      <c r="I513" s="20">
        <f>VLOOKUP(A513,Metrik!$C$2:$Y$959,9,0)</f>
        <v>3.8</v>
      </c>
      <c r="J513" s="20">
        <f>VLOOKUP(A513,Metrik!$C$2:$Y$959,10,0)</f>
        <v>15.8</v>
      </c>
      <c r="K513" s="20">
        <f>VLOOKUP(A513,Metrik!$C$2:$Y$959,11,0)</f>
        <v>11.8</v>
      </c>
      <c r="L513" s="20">
        <f>VLOOKUP(A513,Metrik!$C$2:$Y$959,12,0)</f>
        <v>0.34</v>
      </c>
      <c r="M513" s="20">
        <f>VLOOKUP(A513,Metrik!$C$2:$Y$959,19,0)</f>
        <v>49.7</v>
      </c>
      <c r="N513" s="21"/>
      <c r="O513" s="21"/>
      <c r="P513" s="21"/>
      <c r="Q513" s="21"/>
      <c r="R513" s="21"/>
      <c r="S513" s="21"/>
      <c r="T513" s="21"/>
      <c r="U513" s="22">
        <f>IFERROR(__xludf.DUMMYFUNCTION("IFERROR(GOOGLEFINANCE(A513,""closeyest""),"""")"),1.15)</f>
        <v>1.15</v>
      </c>
      <c r="V513" s="23">
        <f>IFERROR(__xludf.DUMMYFUNCTION("IFERROR(GOOGLEFINANCE(A513,""changepct""),"""")"),-100.0)</f>
        <v>-100</v>
      </c>
      <c r="W513" s="22" t="str">
        <f>IFERROR(__xludf.DUMMYFUNCTION("IFERROR(GOOGLEFINANCE(A513,""priceopen""),"""")"),"")</f>
        <v/>
      </c>
      <c r="X513" s="22" t="str">
        <f>IFERROR(__xludf.DUMMYFUNCTION("IFERROR(GOOGLEFINANCE(A513,""high""),"""")"),"")</f>
        <v/>
      </c>
      <c r="Y513" s="22" t="str">
        <f>IFERROR(__xludf.DUMMYFUNCTION("IFERROR(GOOGLEFINANCE(A513,""low""),"""")"),"")</f>
        <v/>
      </c>
      <c r="Z513" s="22" t="str">
        <f>IFERROR(__xludf.DUMMYFUNCTION("IFERROR(GOOGLEFINANCE(A513,""volume""),"""")"),"")</f>
        <v/>
      </c>
      <c r="AA513" s="24" t="str">
        <f>VLOOKUP(A513,Metrik!$C$2:$Y$959,5,0)</f>
        <v>Beverages</v>
      </c>
      <c r="AB513" s="24" t="str">
        <f>VLOOKUP(A513,Metrik!$C$2:$Y$959,3,0)</f>
        <v>Consumer Non-Cyclicals</v>
      </c>
    </row>
    <row r="514">
      <c r="A514" s="14" t="s">
        <v>287</v>
      </c>
      <c r="B514" s="14" t="str">
        <f t="array" ref="B514">VLOOKUP(A514,{Metrik!$C$2:$C$998,Metrik!$B$2:$B$998},2,0)</f>
        <v>Colorpak Indonesia Tbk.</v>
      </c>
      <c r="C514" s="15">
        <f>IFERROR(__xludf.DUMMYFUNCTION("GOOGLEFINANCE(""IDX:""&amp;A514,""price"")"),1595.0)</f>
        <v>1595</v>
      </c>
      <c r="D514" s="16" t="str">
        <f>IFERROR(__xludf.DUMMYFUNCTION("IF(A514="""","""",
SPARKLINE(
INDEX(
GOOGLEFINANCE(""IDX:""&amp;A514,""close"",TODAY()-365,TODAY()),
,2
),
{""linewidth"",1}
))
"),"#N/A")</f>
        <v>#N/A</v>
      </c>
      <c r="E514" s="26"/>
      <c r="F514" s="26"/>
      <c r="G514" s="24">
        <f t="shared" si="3"/>
        <v>0</v>
      </c>
      <c r="H514" s="19">
        <f>VLOOKUP(A514,Metrik!$C$2:$Y$959,8,0)</f>
        <v>7.1</v>
      </c>
      <c r="I514" s="20">
        <f>VLOOKUP(A514,Metrik!$C$2:$Y$959,9,0)</f>
        <v>0.79</v>
      </c>
      <c r="J514" s="20">
        <f>VLOOKUP(A514,Metrik!$C$2:$Y$959,10,0)</f>
        <v>11.2</v>
      </c>
      <c r="K514" s="20">
        <f>VLOOKUP(A514,Metrik!$C$2:$Y$959,11,0)</f>
        <v>7.8</v>
      </c>
      <c r="L514" s="20">
        <f>VLOOKUP(A514,Metrik!$C$2:$Y$959,12,0)</f>
        <v>0.44</v>
      </c>
      <c r="M514" s="20">
        <f>VLOOKUP(A514,Metrik!$C$2:$Y$959,19,0)</f>
        <v>27.4</v>
      </c>
      <c r="N514" s="21"/>
      <c r="O514" s="21"/>
      <c r="P514" s="21"/>
      <c r="Q514" s="21"/>
      <c r="R514" s="21"/>
      <c r="S514" s="21"/>
      <c r="T514" s="21"/>
      <c r="U514" s="22">
        <f>IFERROR(__xludf.DUMMYFUNCTION("IFERROR(GOOGLEFINANCE(A514,""closeyest""),"""")"),1570.0)</f>
        <v>1570</v>
      </c>
      <c r="V514" s="23">
        <f>IFERROR(__xludf.DUMMYFUNCTION("IFERROR(GOOGLEFINANCE(A514,""changepct""),"""")"),1.59)</f>
        <v>1.59</v>
      </c>
      <c r="W514" s="22">
        <f>IFERROR(__xludf.DUMMYFUNCTION("IFERROR(GOOGLEFINANCE(A514,""priceopen""),"""")"),1560.0)</f>
        <v>1560</v>
      </c>
      <c r="X514" s="22">
        <f>IFERROR(__xludf.DUMMYFUNCTION("IFERROR(GOOGLEFINANCE(A514,""high""),"""")"),1615.0)</f>
        <v>1615</v>
      </c>
      <c r="Y514" s="22">
        <f>IFERROR(__xludf.DUMMYFUNCTION("IFERROR(GOOGLEFINANCE(A514,""low""),"""")"),1560.0)</f>
        <v>1560</v>
      </c>
      <c r="Z514" s="22">
        <f>IFERROR(__xludf.DUMMYFUNCTION("IFERROR(GOOGLEFINANCE(A514,""volume""),"""")"),195700.0)</f>
        <v>195700</v>
      </c>
      <c r="AA514" s="24" t="str">
        <f>VLOOKUP(A514,Metrik!$C$2:$Y$959,5,0)</f>
        <v>Chemicals</v>
      </c>
      <c r="AB514" s="24" t="str">
        <f>VLOOKUP(A514,Metrik!$C$2:$Y$959,3,0)</f>
        <v>Basic Materials</v>
      </c>
    </row>
    <row r="515">
      <c r="A515" s="14" t="s">
        <v>288</v>
      </c>
      <c r="B515" s="14" t="str">
        <f t="array" ref="B515">VLOOKUP(A515,{Metrik!$C$2:$C$998,Metrik!$B$2:$B$998},2,0)</f>
        <v>Citra Marga Nusaphala Persada Tbk.</v>
      </c>
      <c r="C515" s="15">
        <f>IFERROR(__xludf.DUMMYFUNCTION("GOOGLEFINANCE(""IDX:""&amp;A515,""price"")"),1380.0)</f>
        <v>1380</v>
      </c>
      <c r="D515" s="16" t="str">
        <f>IFERROR(__xludf.DUMMYFUNCTION("IF(A515="""","""",
SPARKLINE(
INDEX(
GOOGLEFINANCE(""IDX:""&amp;A515,""close"",TODAY()-365,TODAY()),
,2
),
{""linewidth"",1}
))
"),"#N/A")</f>
        <v>#N/A</v>
      </c>
      <c r="E515" s="26"/>
      <c r="F515" s="26"/>
      <c r="G515" s="24">
        <f t="shared" si="3"/>
        <v>0</v>
      </c>
      <c r="H515" s="19">
        <f>VLOOKUP(A515,Metrik!$C$2:$Y$959,8,0)</f>
        <v>8.7</v>
      </c>
      <c r="I515" s="20">
        <f>VLOOKUP(A515,Metrik!$C$2:$Y$959,9,0)</f>
        <v>0.56</v>
      </c>
      <c r="J515" s="20">
        <f>VLOOKUP(A515,Metrik!$C$2:$Y$959,10,0)</f>
        <v>6.4</v>
      </c>
      <c r="K515" s="20">
        <f>VLOOKUP(A515,Metrik!$C$2:$Y$959,11,0)</f>
        <v>4.1</v>
      </c>
      <c r="L515" s="20">
        <f>VLOOKUP(A515,Metrik!$C$2:$Y$959,12,0)</f>
        <v>0.58</v>
      </c>
      <c r="M515" s="20">
        <f>VLOOKUP(A515,Metrik!$C$2:$Y$959,19,0)</f>
        <v>110</v>
      </c>
      <c r="N515" s="21"/>
      <c r="O515" s="21"/>
      <c r="P515" s="21"/>
      <c r="Q515" s="21"/>
      <c r="R515" s="21"/>
      <c r="S515" s="21"/>
      <c r="T515" s="21"/>
      <c r="U515" s="22">
        <f>IFERROR(__xludf.DUMMYFUNCTION("IFERROR(GOOGLEFINANCE(A515,""closeyest""),"""")"),1395.0)</f>
        <v>1395</v>
      </c>
      <c r="V515" s="23">
        <f>IFERROR(__xludf.DUMMYFUNCTION("IFERROR(GOOGLEFINANCE(A515,""changepct""),"""")"),-1.08)</f>
        <v>-1.08</v>
      </c>
      <c r="W515" s="22">
        <f>IFERROR(__xludf.DUMMYFUNCTION("IFERROR(GOOGLEFINANCE(A515,""priceopen""),"""")"),1405.0)</f>
        <v>1405</v>
      </c>
      <c r="X515" s="22">
        <f>IFERROR(__xludf.DUMMYFUNCTION("IFERROR(GOOGLEFINANCE(A515,""high""),"""")"),1405.0)</f>
        <v>1405</v>
      </c>
      <c r="Y515" s="22">
        <f>IFERROR(__xludf.DUMMYFUNCTION("IFERROR(GOOGLEFINANCE(A515,""low""),"""")"),1310.0)</f>
        <v>1310</v>
      </c>
      <c r="Z515" s="22">
        <f>IFERROR(__xludf.DUMMYFUNCTION("IFERROR(GOOGLEFINANCE(A515,""volume""),"""")"),58200.0)</f>
        <v>58200</v>
      </c>
      <c r="AA515" s="24" t="str">
        <f>VLOOKUP(A515,Metrik!$C$2:$Y$959,5,0)</f>
        <v>Transport Infrastructure Operator</v>
      </c>
      <c r="AB515" s="24" t="str">
        <f>VLOOKUP(A515,Metrik!$C$2:$Y$959,3,0)</f>
        <v>Infrastructures</v>
      </c>
    </row>
    <row r="516">
      <c r="A516" s="14" t="s">
        <v>289</v>
      </c>
      <c r="B516" s="14" t="str">
        <f t="array" ref="B516">VLOOKUP(A516,{Metrik!$C$2:$C$998,Metrik!$B$2:$B$998},2,0)</f>
        <v>Cemindo Gemilang Tbk.</v>
      </c>
      <c r="C516" s="15">
        <f>IFERROR(__xludf.DUMMYFUNCTION("GOOGLEFINANCE(""IDX:""&amp;A516,""price"")"),815.0)</f>
        <v>815</v>
      </c>
      <c r="D516" s="16" t="str">
        <f>IFERROR(__xludf.DUMMYFUNCTION("IF(A516="""","""",
SPARKLINE(
INDEX(
GOOGLEFINANCE(""IDX:""&amp;A516,""close"",TODAY()-365,TODAY()),
,2
),
{""linewidth"",1}
))
"),"#N/A")</f>
        <v>#N/A</v>
      </c>
      <c r="E516" s="26"/>
      <c r="F516" s="26"/>
      <c r="G516" s="24">
        <f t="shared" si="3"/>
        <v>0</v>
      </c>
      <c r="H516" s="19">
        <f>VLOOKUP(A516,Metrik!$C$2:$Y$959,8,0)</f>
        <v>270</v>
      </c>
      <c r="I516" s="20">
        <f>VLOOKUP(A516,Metrik!$C$2:$Y$959,9,0)</f>
        <v>5</v>
      </c>
      <c r="J516" s="20">
        <f>VLOOKUP(A516,Metrik!$C$2:$Y$959,10,0)</f>
        <v>1.8</v>
      </c>
      <c r="K516" s="20">
        <f>VLOOKUP(A516,Metrik!$C$2:$Y$959,11,0)</f>
        <v>0.31</v>
      </c>
      <c r="L516" s="20">
        <f>VLOOKUP(A516,Metrik!$C$2:$Y$959,12,0)</f>
        <v>4.8</v>
      </c>
      <c r="M516" s="20">
        <f>VLOOKUP(A516,Metrik!$C$2:$Y$959,19,0)</f>
        <v>2.5</v>
      </c>
      <c r="N516" s="21"/>
      <c r="O516" s="21"/>
      <c r="P516" s="21"/>
      <c r="Q516" s="21"/>
      <c r="R516" s="21"/>
      <c r="S516" s="21"/>
      <c r="T516" s="21"/>
      <c r="U516" s="22">
        <f>IFERROR(__xludf.DUMMYFUNCTION("IFERROR(GOOGLEFINANCE(A516,""closeyest""),"""")"),0.0)</f>
        <v>0</v>
      </c>
      <c r="V516" s="23">
        <f>IFERROR(__xludf.DUMMYFUNCTION("IFERROR(GOOGLEFINANCE(A516,""changepct""),"""")"),0.0)</f>
        <v>0</v>
      </c>
      <c r="W516" s="22" t="str">
        <f>IFERROR(__xludf.DUMMYFUNCTION("IFERROR(GOOGLEFINANCE(A516,""priceopen""),"""")"),"")</f>
        <v/>
      </c>
      <c r="X516" s="22" t="str">
        <f>IFERROR(__xludf.DUMMYFUNCTION("IFERROR(GOOGLEFINANCE(A516,""high""),"""")"),"")</f>
        <v/>
      </c>
      <c r="Y516" s="22" t="str">
        <f>IFERROR(__xludf.DUMMYFUNCTION("IFERROR(GOOGLEFINANCE(A516,""low""),"""")"),"")</f>
        <v/>
      </c>
      <c r="Z516" s="22">
        <f>IFERROR(__xludf.DUMMYFUNCTION("IFERROR(GOOGLEFINANCE(A516,""volume""),"""")"),0.0)</f>
        <v>0</v>
      </c>
      <c r="AA516" s="24" t="str">
        <f>VLOOKUP(A516,Metrik!$C$2:$Y$959,5,0)</f>
        <v>Construction Materials</v>
      </c>
      <c r="AB516" s="24" t="str">
        <f>VLOOKUP(A516,Metrik!$C$2:$Y$959,3,0)</f>
        <v>Basic Materials</v>
      </c>
    </row>
    <row r="517">
      <c r="A517" s="14" t="s">
        <v>290</v>
      </c>
      <c r="B517" s="14" t="str">
        <f t="array" ref="B517">VLOOKUP(A517,{Metrik!$C$2:$C$998,Metrik!$B$2:$B$998},2,0)</f>
        <v>AirAsia Indonesia Tbk.</v>
      </c>
      <c r="C517" s="15">
        <f>IFERROR(__xludf.DUMMYFUNCTION("GOOGLEFINANCE(""IDX:""&amp;A517,""price"")"),74.0)</f>
        <v>74</v>
      </c>
      <c r="D517" s="16" t="str">
        <f>IFERROR(__xludf.DUMMYFUNCTION("IF(A517="""","""",
SPARKLINE(
INDEX(
GOOGLEFINANCE(""IDX:""&amp;A517,""close"",TODAY()-365,TODAY()),
,2
),
{""linewidth"",1}
))
"),"#N/A")</f>
        <v>#N/A</v>
      </c>
      <c r="E517" s="26"/>
      <c r="F517" s="26"/>
      <c r="G517" s="24">
        <f t="shared" si="3"/>
        <v>0</v>
      </c>
      <c r="H517" s="19">
        <f>VLOOKUP(A517,Metrik!$C$2:$Y$959,8,0)</f>
        <v>-0.81</v>
      </c>
      <c r="I517" s="20">
        <f>VLOOKUP(A517,Metrik!$C$2:$Y$959,9,0)</f>
        <v>-0.07</v>
      </c>
      <c r="J517" s="20">
        <f>VLOOKUP(A517,Metrik!$C$2:$Y$959,10,0)</f>
        <v>0</v>
      </c>
      <c r="K517" s="20">
        <f>VLOOKUP(A517,Metrik!$C$2:$Y$959,11,0)</f>
        <v>-19.2</v>
      </c>
      <c r="L517" s="20">
        <f>VLOOKUP(A517,Metrik!$C$2:$Y$959,12,0)</f>
        <v>-1.4</v>
      </c>
      <c r="M517" s="20">
        <f>VLOOKUP(A517,Metrik!$C$2:$Y$959,19,0)</f>
        <v>-43.7</v>
      </c>
      <c r="N517" s="21"/>
      <c r="O517" s="21"/>
      <c r="P517" s="21"/>
      <c r="Q517" s="21"/>
      <c r="R517" s="21"/>
      <c r="S517" s="21"/>
      <c r="T517" s="21"/>
      <c r="U517" s="22">
        <f>IFERROR(__xludf.DUMMYFUNCTION("IFERROR(GOOGLEFINANCE(A517,""closeyest""),"""")"),72.0)</f>
        <v>72</v>
      </c>
      <c r="V517" s="23">
        <f>IFERROR(__xludf.DUMMYFUNCTION("IFERROR(GOOGLEFINANCE(A517,""changepct""),"""")"),2.78)</f>
        <v>2.78</v>
      </c>
      <c r="W517" s="22">
        <f>IFERROR(__xludf.DUMMYFUNCTION("IFERROR(GOOGLEFINANCE(A517,""priceopen""),"""")"),67.0)</f>
        <v>67</v>
      </c>
      <c r="X517" s="22">
        <f>IFERROR(__xludf.DUMMYFUNCTION("IFERROR(GOOGLEFINANCE(A517,""high""),"""")"),75.0)</f>
        <v>75</v>
      </c>
      <c r="Y517" s="22">
        <f>IFERROR(__xludf.DUMMYFUNCTION("IFERROR(GOOGLEFINANCE(A517,""low""),"""")"),67.0)</f>
        <v>67</v>
      </c>
      <c r="Z517" s="22">
        <f>IFERROR(__xludf.DUMMYFUNCTION("IFERROR(GOOGLEFINANCE(A517,""volume""),"""")"),84300.0)</f>
        <v>84300</v>
      </c>
      <c r="AA517" s="24" t="str">
        <f>VLOOKUP(A517,Metrik!$C$2:$Y$959,5,0)</f>
        <v>Airlines</v>
      </c>
      <c r="AB517" s="24" t="str">
        <f>VLOOKUP(A517,Metrik!$C$2:$Y$959,3,0)</f>
        <v>Transportation &amp; Logistic</v>
      </c>
    </row>
    <row r="518">
      <c r="A518" s="14" t="s">
        <v>291</v>
      </c>
      <c r="B518" s="14" t="str">
        <f t="array" ref="B518">VLOOKUP(A518,{Metrik!$C$2:$C$998,Metrik!$B$2:$B$998},2,0)</f>
        <v>Cisarua Mountain Dairy Tbk.</v>
      </c>
      <c r="C518" s="15" t="str">
        <f>IFERROR(__xludf.DUMMYFUNCTION("GOOGLEFINANCE(""IDX:""&amp;A518,""price"")"),"#N/A")</f>
        <v>#N/A</v>
      </c>
      <c r="D518" s="16" t="str">
        <f>IFERROR(__xludf.DUMMYFUNCTION("IF(A518="""","""",
SPARKLINE(
INDEX(
GOOGLEFINANCE(""IDX:""&amp;A518,""close"",TODAY()-365,TODAY()),
,2
),
{""linewidth"",1}
))
"),"#N/A")</f>
        <v>#N/A</v>
      </c>
      <c r="E518" s="14" t="s">
        <v>47</v>
      </c>
      <c r="F518" s="25">
        <v>46356.0</v>
      </c>
      <c r="G518" s="24">
        <f t="shared" si="3"/>
        <v>10</v>
      </c>
      <c r="H518" s="19">
        <f>VLOOKUP(A518,Metrik!$C$2:$Y$959,8,0)</f>
        <v>18.2</v>
      </c>
      <c r="I518" s="20">
        <f>VLOOKUP(A518,Metrik!$C$2:$Y$959,9,0)</f>
        <v>5.2</v>
      </c>
      <c r="J518" s="20">
        <f>VLOOKUP(A518,Metrik!$C$2:$Y$959,10,0)</f>
        <v>28.7</v>
      </c>
      <c r="K518" s="20">
        <f>VLOOKUP(A518,Metrik!$C$2:$Y$959,11,0)</f>
        <v>22.3</v>
      </c>
      <c r="L518" s="20">
        <f>VLOOKUP(A518,Metrik!$C$2:$Y$959,12,0)</f>
        <v>0.29</v>
      </c>
      <c r="M518" s="20">
        <f>VLOOKUP(A518,Metrik!$C$2:$Y$959,19,0)</f>
        <v>67.6</v>
      </c>
      <c r="N518" s="21"/>
      <c r="O518" s="21"/>
      <c r="P518" s="21"/>
      <c r="Q518" s="21"/>
      <c r="R518" s="21"/>
      <c r="S518" s="21"/>
      <c r="T518" s="21"/>
      <c r="U518" s="22">
        <f>IFERROR(__xludf.DUMMYFUNCTION("IFERROR(GOOGLEFINANCE(A518,""closeyest""),"""")"),4160.0)</f>
        <v>4160</v>
      </c>
      <c r="V518" s="23">
        <f>IFERROR(__xludf.DUMMYFUNCTION("IFERROR(GOOGLEFINANCE(A518,""changepct""),"""")"),5.77)</f>
        <v>5.77</v>
      </c>
      <c r="W518" s="22">
        <f>IFERROR(__xludf.DUMMYFUNCTION("IFERROR(GOOGLEFINANCE(A518,""priceopen""),"""")"),4180.0)</f>
        <v>4180</v>
      </c>
      <c r="X518" s="22">
        <f>IFERROR(__xludf.DUMMYFUNCTION("IFERROR(GOOGLEFINANCE(A518,""high""),"""")"),4400.0)</f>
        <v>4400</v>
      </c>
      <c r="Y518" s="22">
        <f>IFERROR(__xludf.DUMMYFUNCTION("IFERROR(GOOGLEFINANCE(A518,""low""),"""")"),4160.0)</f>
        <v>4160</v>
      </c>
      <c r="Z518" s="22">
        <f>IFERROR(__xludf.DUMMYFUNCTION("IFERROR(GOOGLEFINANCE(A518,""volume""),"""")"),3542800.0)</f>
        <v>3542800</v>
      </c>
      <c r="AA518" s="24" t="str">
        <f>VLOOKUP(A518,Metrik!$C$2:$Y$959,5,0)</f>
        <v>Processed Foods</v>
      </c>
      <c r="AB518" s="24" t="str">
        <f>VLOOKUP(A518,Metrik!$C$2:$Y$959,3,0)</f>
        <v>Consumer Non-Cyclicals</v>
      </c>
    </row>
    <row r="519">
      <c r="A519" s="14" t="s">
        <v>291</v>
      </c>
      <c r="B519" s="14" t="str">
        <f t="array" ref="B519">VLOOKUP(A519,{Metrik!$C$2:$C$998,Metrik!$B$2:$B$998},2,0)</f>
        <v>Cisarua Mountain Dairy Tbk.</v>
      </c>
      <c r="C519" s="15" t="str">
        <f>IFERROR(__xludf.DUMMYFUNCTION("GOOGLEFINANCE(""IDX:""&amp;A519,""price"")"),"#N/A")</f>
        <v>#N/A</v>
      </c>
      <c r="D519" s="16" t="str">
        <f>IFERROR(__xludf.DUMMYFUNCTION("IF(A519="""","""",
SPARKLINE(
INDEX(
GOOGLEFINANCE(""IDX:""&amp;A519,""close"",TODAY()-365,TODAY()),
,2
),
{""linewidth"",1}
))
"),"#N/A")</f>
        <v>#N/A</v>
      </c>
      <c r="E519" s="14" t="s">
        <v>55</v>
      </c>
      <c r="F519" s="25">
        <v>46356.0</v>
      </c>
      <c r="G519" s="24">
        <f t="shared" si="3"/>
        <v>10</v>
      </c>
      <c r="H519" s="19">
        <f>VLOOKUP(A519,Metrik!$C$2:$Y$959,8,0)</f>
        <v>18.2</v>
      </c>
      <c r="I519" s="20">
        <f>VLOOKUP(A519,Metrik!$C$2:$Y$959,9,0)</f>
        <v>5.2</v>
      </c>
      <c r="J519" s="20">
        <f>VLOOKUP(A519,Metrik!$C$2:$Y$959,10,0)</f>
        <v>28.7</v>
      </c>
      <c r="K519" s="20">
        <f>VLOOKUP(A519,Metrik!$C$2:$Y$959,11,0)</f>
        <v>22.3</v>
      </c>
      <c r="L519" s="20">
        <f>VLOOKUP(A519,Metrik!$C$2:$Y$959,12,0)</f>
        <v>0.29</v>
      </c>
      <c r="M519" s="20">
        <f>VLOOKUP(A519,Metrik!$C$2:$Y$959,19,0)</f>
        <v>67.6</v>
      </c>
      <c r="N519" s="21"/>
      <c r="O519" s="21"/>
      <c r="P519" s="21"/>
      <c r="Q519" s="21"/>
      <c r="R519" s="21"/>
      <c r="S519" s="21"/>
      <c r="T519" s="21"/>
      <c r="U519" s="22">
        <f>IFERROR(__xludf.DUMMYFUNCTION("IFERROR(GOOGLEFINANCE(A519,""closeyest""),"""")"),4160.0)</f>
        <v>4160</v>
      </c>
      <c r="V519" s="23">
        <f>IFERROR(__xludf.DUMMYFUNCTION("IFERROR(GOOGLEFINANCE(A519,""changepct""),"""")"),5.77)</f>
        <v>5.77</v>
      </c>
      <c r="W519" s="22">
        <f>IFERROR(__xludf.DUMMYFUNCTION("IFERROR(GOOGLEFINANCE(A519,""priceopen""),"""")"),4180.0)</f>
        <v>4180</v>
      </c>
      <c r="X519" s="22">
        <f>IFERROR(__xludf.DUMMYFUNCTION("IFERROR(GOOGLEFINANCE(A519,""high""),"""")"),4400.0)</f>
        <v>4400</v>
      </c>
      <c r="Y519" s="22">
        <f>IFERROR(__xludf.DUMMYFUNCTION("IFERROR(GOOGLEFINANCE(A519,""low""),"""")"),4160.0)</f>
        <v>4160</v>
      </c>
      <c r="Z519" s="22">
        <f>IFERROR(__xludf.DUMMYFUNCTION("IFERROR(GOOGLEFINANCE(A519,""volume""),"""")"),3542800.0)</f>
        <v>3542800</v>
      </c>
      <c r="AA519" s="24" t="str">
        <f>VLOOKUP(A519,Metrik!$C$2:$Y$959,5,0)</f>
        <v>Processed Foods</v>
      </c>
      <c r="AB519" s="24" t="str">
        <f>VLOOKUP(A519,Metrik!$C$2:$Y$959,3,0)</f>
        <v>Consumer Non-Cyclicals</v>
      </c>
    </row>
    <row r="520">
      <c r="A520" s="14" t="s">
        <v>291</v>
      </c>
      <c r="B520" s="14" t="str">
        <f t="array" ref="B520">VLOOKUP(A520,{Metrik!$C$2:$C$998,Metrik!$B$2:$B$998},2,0)</f>
        <v>Cisarua Mountain Dairy Tbk.</v>
      </c>
      <c r="C520" s="15" t="str">
        <f>IFERROR(__xludf.DUMMYFUNCTION("GOOGLEFINANCE(""IDX:""&amp;A520,""price"")"),"#N/A")</f>
        <v>#N/A</v>
      </c>
      <c r="D520" s="16" t="str">
        <f>IFERROR(__xludf.DUMMYFUNCTION("IF(A520="""","""",
SPARKLINE(
INDEX(
GOOGLEFINANCE(""IDX:""&amp;A520,""close"",TODAY()-365,TODAY()),
,2
),
{""linewidth"",1}
))
"),"#N/A")</f>
        <v>#N/A</v>
      </c>
      <c r="E520" s="14" t="s">
        <v>54</v>
      </c>
      <c r="F520" s="14" t="s">
        <v>34</v>
      </c>
      <c r="G520" s="24">
        <f t="shared" si="3"/>
        <v>10</v>
      </c>
      <c r="H520" s="19">
        <f>VLOOKUP(A520,Metrik!$C$2:$Y$959,8,0)</f>
        <v>18.2</v>
      </c>
      <c r="I520" s="20">
        <f>VLOOKUP(A520,Metrik!$C$2:$Y$959,9,0)</f>
        <v>5.2</v>
      </c>
      <c r="J520" s="20">
        <f>VLOOKUP(A520,Metrik!$C$2:$Y$959,10,0)</f>
        <v>28.7</v>
      </c>
      <c r="K520" s="20">
        <f>VLOOKUP(A520,Metrik!$C$2:$Y$959,11,0)</f>
        <v>22.3</v>
      </c>
      <c r="L520" s="20">
        <f>VLOOKUP(A520,Metrik!$C$2:$Y$959,12,0)</f>
        <v>0.29</v>
      </c>
      <c r="M520" s="20">
        <f>VLOOKUP(A520,Metrik!$C$2:$Y$959,19,0)</f>
        <v>67.6</v>
      </c>
      <c r="N520" s="21"/>
      <c r="O520" s="21"/>
      <c r="P520" s="21"/>
      <c r="Q520" s="21"/>
      <c r="R520" s="21"/>
      <c r="S520" s="21"/>
      <c r="T520" s="21"/>
      <c r="U520" s="22">
        <f>IFERROR(__xludf.DUMMYFUNCTION("IFERROR(GOOGLEFINANCE(A520,""closeyest""),"""")"),4160.0)</f>
        <v>4160</v>
      </c>
      <c r="V520" s="23">
        <f>IFERROR(__xludf.DUMMYFUNCTION("IFERROR(GOOGLEFINANCE(A520,""changepct""),"""")"),5.77)</f>
        <v>5.77</v>
      </c>
      <c r="W520" s="22">
        <f>IFERROR(__xludf.DUMMYFUNCTION("IFERROR(GOOGLEFINANCE(A520,""priceopen""),"""")"),4180.0)</f>
        <v>4180</v>
      </c>
      <c r="X520" s="22">
        <f>IFERROR(__xludf.DUMMYFUNCTION("IFERROR(GOOGLEFINANCE(A520,""high""),"""")"),4400.0)</f>
        <v>4400</v>
      </c>
      <c r="Y520" s="22">
        <f>IFERROR(__xludf.DUMMYFUNCTION("IFERROR(GOOGLEFINANCE(A520,""low""),"""")"),4160.0)</f>
        <v>4160</v>
      </c>
      <c r="Z520" s="22">
        <f>IFERROR(__xludf.DUMMYFUNCTION("IFERROR(GOOGLEFINANCE(A520,""volume""),"""")"),3542800.0)</f>
        <v>3542800</v>
      </c>
      <c r="AA520" s="24" t="str">
        <f>VLOOKUP(A520,Metrik!$C$2:$Y$959,5,0)</f>
        <v>Processed Foods</v>
      </c>
      <c r="AB520" s="24" t="str">
        <f>VLOOKUP(A520,Metrik!$C$2:$Y$959,3,0)</f>
        <v>Consumer Non-Cyclicals</v>
      </c>
    </row>
    <row r="521">
      <c r="A521" s="14" t="s">
        <v>291</v>
      </c>
      <c r="B521" s="14" t="str">
        <f t="array" ref="B521">VLOOKUP(A521,{Metrik!$C$2:$C$998,Metrik!$B$2:$B$998},2,0)</f>
        <v>Cisarua Mountain Dairy Tbk.</v>
      </c>
      <c r="C521" s="15" t="str">
        <f>IFERROR(__xludf.DUMMYFUNCTION("GOOGLEFINANCE(""IDX:""&amp;A521,""price"")"),"#N/A")</f>
        <v>#N/A</v>
      </c>
      <c r="D521" s="16" t="str">
        <f>IFERROR(__xludf.DUMMYFUNCTION("IF(A521="""","""",
SPARKLINE(
INDEX(
GOOGLEFINANCE(""IDX:""&amp;A521,""close"",TODAY()-365,TODAY()),
,2
),
{""linewidth"",1}
))
"),"#N/A")</f>
        <v>#N/A</v>
      </c>
      <c r="E521" s="14" t="s">
        <v>50</v>
      </c>
      <c r="F521" s="17" t="s">
        <v>51</v>
      </c>
      <c r="G521" s="24">
        <f t="shared" si="3"/>
        <v>10</v>
      </c>
      <c r="H521" s="19">
        <f>VLOOKUP(A521,Metrik!$C$2:$Y$959,8,0)</f>
        <v>18.2</v>
      </c>
      <c r="I521" s="20">
        <f>VLOOKUP(A521,Metrik!$C$2:$Y$959,9,0)</f>
        <v>5.2</v>
      </c>
      <c r="J521" s="20">
        <f>VLOOKUP(A521,Metrik!$C$2:$Y$959,10,0)</f>
        <v>28.7</v>
      </c>
      <c r="K521" s="20">
        <f>VLOOKUP(A521,Metrik!$C$2:$Y$959,11,0)</f>
        <v>22.3</v>
      </c>
      <c r="L521" s="20">
        <f>VLOOKUP(A521,Metrik!$C$2:$Y$959,12,0)</f>
        <v>0.29</v>
      </c>
      <c r="M521" s="20">
        <f>VLOOKUP(A521,Metrik!$C$2:$Y$959,19,0)</f>
        <v>67.6</v>
      </c>
      <c r="N521" s="21"/>
      <c r="O521" s="21"/>
      <c r="P521" s="21"/>
      <c r="Q521" s="21"/>
      <c r="R521" s="21"/>
      <c r="S521" s="21"/>
      <c r="T521" s="21"/>
      <c r="U521" s="22">
        <f>IFERROR(__xludf.DUMMYFUNCTION("IFERROR(GOOGLEFINANCE(A521,""closeyest""),"""")"),4160.0)</f>
        <v>4160</v>
      </c>
      <c r="V521" s="23">
        <f>IFERROR(__xludf.DUMMYFUNCTION("IFERROR(GOOGLEFINANCE(A521,""changepct""),"""")"),5.77)</f>
        <v>5.77</v>
      </c>
      <c r="W521" s="22">
        <f>IFERROR(__xludf.DUMMYFUNCTION("IFERROR(GOOGLEFINANCE(A521,""priceopen""),"""")"),4180.0)</f>
        <v>4180</v>
      </c>
      <c r="X521" s="22">
        <f>IFERROR(__xludf.DUMMYFUNCTION("IFERROR(GOOGLEFINANCE(A521,""high""),"""")"),4400.0)</f>
        <v>4400</v>
      </c>
      <c r="Y521" s="22">
        <f>IFERROR(__xludf.DUMMYFUNCTION("IFERROR(GOOGLEFINANCE(A521,""low""),"""")"),4160.0)</f>
        <v>4160</v>
      </c>
      <c r="Z521" s="22">
        <f>IFERROR(__xludf.DUMMYFUNCTION("IFERROR(GOOGLEFINANCE(A521,""volume""),"""")"),3542800.0)</f>
        <v>3542800</v>
      </c>
      <c r="AA521" s="24" t="str">
        <f>VLOOKUP(A521,Metrik!$C$2:$Y$959,5,0)</f>
        <v>Processed Foods</v>
      </c>
      <c r="AB521" s="24" t="str">
        <f>VLOOKUP(A521,Metrik!$C$2:$Y$959,3,0)</f>
        <v>Consumer Non-Cyclicals</v>
      </c>
    </row>
    <row r="522">
      <c r="A522" s="14" t="s">
        <v>291</v>
      </c>
      <c r="B522" s="14" t="str">
        <f t="array" ref="B522">VLOOKUP(A522,{Metrik!$C$2:$C$998,Metrik!$B$2:$B$998},2,0)</f>
        <v>Cisarua Mountain Dairy Tbk.</v>
      </c>
      <c r="C522" s="15" t="str">
        <f>IFERROR(__xludf.DUMMYFUNCTION("GOOGLEFINANCE(""IDX:""&amp;A522,""price"")"),"#N/A")</f>
        <v>#N/A</v>
      </c>
      <c r="D522" s="16" t="str">
        <f>IFERROR(__xludf.DUMMYFUNCTION("IF(A522="""","""",
SPARKLINE(
INDEX(
GOOGLEFINANCE(""IDX:""&amp;A522,""close"",TODAY()-365,TODAY()),
,2
),
{""linewidth"",1}
))
"),"#N/A")</f>
        <v>#N/A</v>
      </c>
      <c r="E522" s="14" t="s">
        <v>28</v>
      </c>
      <c r="F522" s="17" t="s">
        <v>29</v>
      </c>
      <c r="G522" s="24">
        <f t="shared" si="3"/>
        <v>10</v>
      </c>
      <c r="H522" s="19">
        <f>VLOOKUP(A522,Metrik!$C$2:$Y$959,8,0)</f>
        <v>18.2</v>
      </c>
      <c r="I522" s="20">
        <f>VLOOKUP(A522,Metrik!$C$2:$Y$959,9,0)</f>
        <v>5.2</v>
      </c>
      <c r="J522" s="20">
        <f>VLOOKUP(A522,Metrik!$C$2:$Y$959,10,0)</f>
        <v>28.7</v>
      </c>
      <c r="K522" s="20">
        <f>VLOOKUP(A522,Metrik!$C$2:$Y$959,11,0)</f>
        <v>22.3</v>
      </c>
      <c r="L522" s="20">
        <f>VLOOKUP(A522,Metrik!$C$2:$Y$959,12,0)</f>
        <v>0.29</v>
      </c>
      <c r="M522" s="20">
        <f>VLOOKUP(A522,Metrik!$C$2:$Y$959,19,0)</f>
        <v>67.6</v>
      </c>
      <c r="N522" s="21"/>
      <c r="O522" s="21"/>
      <c r="P522" s="21"/>
      <c r="Q522" s="21"/>
      <c r="R522" s="21"/>
      <c r="S522" s="21"/>
      <c r="T522" s="21"/>
      <c r="U522" s="22">
        <f>IFERROR(__xludf.DUMMYFUNCTION("IFERROR(GOOGLEFINANCE(A522,""closeyest""),"""")"),4160.0)</f>
        <v>4160</v>
      </c>
      <c r="V522" s="23">
        <f>IFERROR(__xludf.DUMMYFUNCTION("IFERROR(GOOGLEFINANCE(A522,""changepct""),"""")"),5.77)</f>
        <v>5.77</v>
      </c>
      <c r="W522" s="22">
        <f>IFERROR(__xludf.DUMMYFUNCTION("IFERROR(GOOGLEFINANCE(A522,""priceopen""),"""")"),4180.0)</f>
        <v>4180</v>
      </c>
      <c r="X522" s="22">
        <f>IFERROR(__xludf.DUMMYFUNCTION("IFERROR(GOOGLEFINANCE(A522,""high""),"""")"),4400.0)</f>
        <v>4400</v>
      </c>
      <c r="Y522" s="22">
        <f>IFERROR(__xludf.DUMMYFUNCTION("IFERROR(GOOGLEFINANCE(A522,""low""),"""")"),4160.0)</f>
        <v>4160</v>
      </c>
      <c r="Z522" s="22">
        <f>IFERROR(__xludf.DUMMYFUNCTION("IFERROR(GOOGLEFINANCE(A522,""volume""),"""")"),3542800.0)</f>
        <v>3542800</v>
      </c>
      <c r="AA522" s="24" t="str">
        <f>VLOOKUP(A522,Metrik!$C$2:$Y$959,5,0)</f>
        <v>Processed Foods</v>
      </c>
      <c r="AB522" s="24" t="str">
        <f>VLOOKUP(A522,Metrik!$C$2:$Y$959,3,0)</f>
        <v>Consumer Non-Cyclicals</v>
      </c>
    </row>
    <row r="523">
      <c r="A523" s="14" t="s">
        <v>291</v>
      </c>
      <c r="B523" s="14" t="str">
        <f t="array" ref="B523">VLOOKUP(A523,{Metrik!$C$2:$C$998,Metrik!$B$2:$B$998},2,0)</f>
        <v>Cisarua Mountain Dairy Tbk.</v>
      </c>
      <c r="C523" s="15" t="str">
        <f>IFERROR(__xludf.DUMMYFUNCTION("GOOGLEFINANCE(""IDX:""&amp;A523,""price"")"),"#N/A")</f>
        <v>#N/A</v>
      </c>
      <c r="D523" s="16" t="str">
        <f>IFERROR(__xludf.DUMMYFUNCTION("IF(A523="""","""",
SPARKLINE(
INDEX(
GOOGLEFINANCE(""IDX:""&amp;A523,""close"",TODAY()-365,TODAY()),
,2
),
{""linewidth"",1}
))
"),"#N/A")</f>
        <v>#N/A</v>
      </c>
      <c r="E523" s="14" t="s">
        <v>32</v>
      </c>
      <c r="F523" s="14" t="s">
        <v>29</v>
      </c>
      <c r="G523" s="24">
        <f t="shared" si="3"/>
        <v>10</v>
      </c>
      <c r="H523" s="19">
        <f>VLOOKUP(A523,Metrik!$C$2:$Y$959,8,0)</f>
        <v>18.2</v>
      </c>
      <c r="I523" s="20">
        <f>VLOOKUP(A523,Metrik!$C$2:$Y$959,9,0)</f>
        <v>5.2</v>
      </c>
      <c r="J523" s="20">
        <f>VLOOKUP(A523,Metrik!$C$2:$Y$959,10,0)</f>
        <v>28.7</v>
      </c>
      <c r="K523" s="20">
        <f>VLOOKUP(A523,Metrik!$C$2:$Y$959,11,0)</f>
        <v>22.3</v>
      </c>
      <c r="L523" s="20">
        <f>VLOOKUP(A523,Metrik!$C$2:$Y$959,12,0)</f>
        <v>0.29</v>
      </c>
      <c r="M523" s="20">
        <f>VLOOKUP(A523,Metrik!$C$2:$Y$959,19,0)</f>
        <v>67.6</v>
      </c>
      <c r="N523" s="21"/>
      <c r="O523" s="21"/>
      <c r="P523" s="21"/>
      <c r="Q523" s="21"/>
      <c r="R523" s="21"/>
      <c r="S523" s="21"/>
      <c r="T523" s="21"/>
      <c r="U523" s="22">
        <f>IFERROR(__xludf.DUMMYFUNCTION("IFERROR(GOOGLEFINANCE(A523,""closeyest""),"""")"),4160.0)</f>
        <v>4160</v>
      </c>
      <c r="V523" s="23">
        <f>IFERROR(__xludf.DUMMYFUNCTION("IFERROR(GOOGLEFINANCE(A523,""changepct""),"""")"),5.77)</f>
        <v>5.77</v>
      </c>
      <c r="W523" s="22">
        <f>IFERROR(__xludf.DUMMYFUNCTION("IFERROR(GOOGLEFINANCE(A523,""priceopen""),"""")"),4180.0)</f>
        <v>4180</v>
      </c>
      <c r="X523" s="22">
        <f>IFERROR(__xludf.DUMMYFUNCTION("IFERROR(GOOGLEFINANCE(A523,""high""),"""")"),4400.0)</f>
        <v>4400</v>
      </c>
      <c r="Y523" s="22">
        <f>IFERROR(__xludf.DUMMYFUNCTION("IFERROR(GOOGLEFINANCE(A523,""low""),"""")"),4160.0)</f>
        <v>4160</v>
      </c>
      <c r="Z523" s="22">
        <f>IFERROR(__xludf.DUMMYFUNCTION("IFERROR(GOOGLEFINANCE(A523,""volume""),"""")"),3542800.0)</f>
        <v>3542800</v>
      </c>
      <c r="AA523" s="24" t="str">
        <f>VLOOKUP(A523,Metrik!$C$2:$Y$959,5,0)</f>
        <v>Processed Foods</v>
      </c>
      <c r="AB523" s="24" t="str">
        <f>VLOOKUP(A523,Metrik!$C$2:$Y$959,3,0)</f>
        <v>Consumer Non-Cyclicals</v>
      </c>
    </row>
    <row r="524">
      <c r="A524" s="14" t="s">
        <v>291</v>
      </c>
      <c r="B524" s="14" t="str">
        <f t="array" ref="B524">VLOOKUP(A524,{Metrik!$C$2:$C$998,Metrik!$B$2:$B$998},2,0)</f>
        <v>Cisarua Mountain Dairy Tbk.</v>
      </c>
      <c r="C524" s="15" t="str">
        <f>IFERROR(__xludf.DUMMYFUNCTION("GOOGLEFINANCE(""IDX:""&amp;A524,""price"")"),"#N/A")</f>
        <v>#N/A</v>
      </c>
      <c r="D524" s="16" t="str">
        <f>IFERROR(__xludf.DUMMYFUNCTION("IF(A524="""","""",
SPARKLINE(
INDEX(
GOOGLEFINANCE(""IDX:""&amp;A524,""close"",TODAY()-365,TODAY()),
,2
),
{""linewidth"",1}
))
"),"#N/A")</f>
        <v>#N/A</v>
      </c>
      <c r="E524" s="14" t="s">
        <v>84</v>
      </c>
      <c r="F524" s="17" t="s">
        <v>51</v>
      </c>
      <c r="G524" s="24">
        <f t="shared" si="3"/>
        <v>10</v>
      </c>
      <c r="H524" s="19">
        <f>VLOOKUP(A524,Metrik!$C$2:$Y$959,8,0)</f>
        <v>18.2</v>
      </c>
      <c r="I524" s="20">
        <f>VLOOKUP(A524,Metrik!$C$2:$Y$959,9,0)</f>
        <v>5.2</v>
      </c>
      <c r="J524" s="20">
        <f>VLOOKUP(A524,Metrik!$C$2:$Y$959,10,0)</f>
        <v>28.7</v>
      </c>
      <c r="K524" s="20">
        <f>VLOOKUP(A524,Metrik!$C$2:$Y$959,11,0)</f>
        <v>22.3</v>
      </c>
      <c r="L524" s="20">
        <f>VLOOKUP(A524,Metrik!$C$2:$Y$959,12,0)</f>
        <v>0.29</v>
      </c>
      <c r="M524" s="20">
        <f>VLOOKUP(A524,Metrik!$C$2:$Y$959,19,0)</f>
        <v>67.6</v>
      </c>
      <c r="N524" s="21"/>
      <c r="O524" s="21"/>
      <c r="P524" s="21"/>
      <c r="Q524" s="21"/>
      <c r="R524" s="21"/>
      <c r="S524" s="21"/>
      <c r="T524" s="21"/>
      <c r="U524" s="22">
        <f>IFERROR(__xludf.DUMMYFUNCTION("IFERROR(GOOGLEFINANCE(A524,""closeyest""),"""")"),4160.0)</f>
        <v>4160</v>
      </c>
      <c r="V524" s="23">
        <f>IFERROR(__xludf.DUMMYFUNCTION("IFERROR(GOOGLEFINANCE(A524,""changepct""),"""")"),5.77)</f>
        <v>5.77</v>
      </c>
      <c r="W524" s="22">
        <f>IFERROR(__xludf.DUMMYFUNCTION("IFERROR(GOOGLEFINANCE(A524,""priceopen""),"""")"),4180.0)</f>
        <v>4180</v>
      </c>
      <c r="X524" s="22">
        <f>IFERROR(__xludf.DUMMYFUNCTION("IFERROR(GOOGLEFINANCE(A524,""high""),"""")"),4400.0)</f>
        <v>4400</v>
      </c>
      <c r="Y524" s="22">
        <f>IFERROR(__xludf.DUMMYFUNCTION("IFERROR(GOOGLEFINANCE(A524,""low""),"""")"),4160.0)</f>
        <v>4160</v>
      </c>
      <c r="Z524" s="22">
        <f>IFERROR(__xludf.DUMMYFUNCTION("IFERROR(GOOGLEFINANCE(A524,""volume""),"""")"),3542800.0)</f>
        <v>3542800</v>
      </c>
      <c r="AA524" s="24" t="str">
        <f>VLOOKUP(A524,Metrik!$C$2:$Y$959,5,0)</f>
        <v>Processed Foods</v>
      </c>
      <c r="AB524" s="24" t="str">
        <f>VLOOKUP(A524,Metrik!$C$2:$Y$959,3,0)</f>
        <v>Consumer Non-Cyclicals</v>
      </c>
    </row>
    <row r="525">
      <c r="A525" s="14" t="s">
        <v>291</v>
      </c>
      <c r="B525" s="14" t="str">
        <f t="array" ref="B525">VLOOKUP(A525,{Metrik!$C$2:$C$998,Metrik!$B$2:$B$998},2,0)</f>
        <v>Cisarua Mountain Dairy Tbk.</v>
      </c>
      <c r="C525" s="15" t="str">
        <f>IFERROR(__xludf.DUMMYFUNCTION("GOOGLEFINANCE(""IDX:""&amp;A525,""price"")"),"#N/A")</f>
        <v>#N/A</v>
      </c>
      <c r="D525" s="16" t="str">
        <f>IFERROR(__xludf.DUMMYFUNCTION("IF(A525="""","""",
SPARKLINE(
INDEX(
GOOGLEFINANCE(""IDX:""&amp;A525,""close"",TODAY()-365,TODAY()),
,2
),
{""linewidth"",1}
))
"),"#N/A")</f>
        <v>#N/A</v>
      </c>
      <c r="E525" s="14" t="s">
        <v>41</v>
      </c>
      <c r="F525" s="14" t="s">
        <v>34</v>
      </c>
      <c r="G525" s="24">
        <f t="shared" si="3"/>
        <v>10</v>
      </c>
      <c r="H525" s="19">
        <f>VLOOKUP(A525,Metrik!$C$2:$Y$959,8,0)</f>
        <v>18.2</v>
      </c>
      <c r="I525" s="20">
        <f>VLOOKUP(A525,Metrik!$C$2:$Y$959,9,0)</f>
        <v>5.2</v>
      </c>
      <c r="J525" s="20">
        <f>VLOOKUP(A525,Metrik!$C$2:$Y$959,10,0)</f>
        <v>28.7</v>
      </c>
      <c r="K525" s="20">
        <f>VLOOKUP(A525,Metrik!$C$2:$Y$959,11,0)</f>
        <v>22.3</v>
      </c>
      <c r="L525" s="20">
        <f>VLOOKUP(A525,Metrik!$C$2:$Y$959,12,0)</f>
        <v>0.29</v>
      </c>
      <c r="M525" s="20">
        <f>VLOOKUP(A525,Metrik!$C$2:$Y$959,19,0)</f>
        <v>67.6</v>
      </c>
      <c r="N525" s="21"/>
      <c r="O525" s="21"/>
      <c r="P525" s="21"/>
      <c r="Q525" s="21"/>
      <c r="R525" s="21"/>
      <c r="S525" s="21"/>
      <c r="T525" s="21"/>
      <c r="U525" s="22">
        <f>IFERROR(__xludf.DUMMYFUNCTION("IFERROR(GOOGLEFINANCE(A525,""closeyest""),"""")"),4160.0)</f>
        <v>4160</v>
      </c>
      <c r="V525" s="23">
        <f>IFERROR(__xludf.DUMMYFUNCTION("IFERROR(GOOGLEFINANCE(A525,""changepct""),"""")"),5.77)</f>
        <v>5.77</v>
      </c>
      <c r="W525" s="22">
        <f>IFERROR(__xludf.DUMMYFUNCTION("IFERROR(GOOGLEFINANCE(A525,""priceopen""),"""")"),4180.0)</f>
        <v>4180</v>
      </c>
      <c r="X525" s="22">
        <f>IFERROR(__xludf.DUMMYFUNCTION("IFERROR(GOOGLEFINANCE(A525,""high""),"""")"),4400.0)</f>
        <v>4400</v>
      </c>
      <c r="Y525" s="22">
        <f>IFERROR(__xludf.DUMMYFUNCTION("IFERROR(GOOGLEFINANCE(A525,""low""),"""")"),4160.0)</f>
        <v>4160</v>
      </c>
      <c r="Z525" s="22">
        <f>IFERROR(__xludf.DUMMYFUNCTION("IFERROR(GOOGLEFINANCE(A525,""volume""),"""")"),3542800.0)</f>
        <v>3542800</v>
      </c>
      <c r="AA525" s="24" t="str">
        <f>VLOOKUP(A525,Metrik!$C$2:$Y$959,5,0)</f>
        <v>Processed Foods</v>
      </c>
      <c r="AB525" s="24" t="str">
        <f>VLOOKUP(A525,Metrik!$C$2:$Y$959,3,0)</f>
        <v>Consumer Non-Cyclicals</v>
      </c>
    </row>
    <row r="526">
      <c r="A526" s="17" t="s">
        <v>291</v>
      </c>
      <c r="B526" s="14" t="str">
        <f t="array" ref="B526">VLOOKUP(A526,{Metrik!$C$2:$C$998,Metrik!$B$2:$B$998},2,0)</f>
        <v>Cisarua Mountain Dairy Tbk.</v>
      </c>
      <c r="C526" s="15" t="str">
        <f>IFERROR(__xludf.DUMMYFUNCTION("GOOGLEFINANCE(""IDX:""&amp;A526,""price"")"),"#N/A")</f>
        <v>#N/A</v>
      </c>
      <c r="D526" s="16" t="str">
        <f>IFERROR(__xludf.DUMMYFUNCTION("IF(A526="""","""",
SPARKLINE(
INDEX(
GOOGLEFINANCE(""IDX:""&amp;A526,""close"",TODAY()-365,TODAY()),
,2
),
{""linewidth"",1}
))
"),"#N/A")</f>
        <v>#N/A</v>
      </c>
      <c r="E526" s="14" t="s">
        <v>35</v>
      </c>
      <c r="F526" s="17" t="s">
        <v>36</v>
      </c>
      <c r="G526" s="24">
        <f t="shared" si="3"/>
        <v>10</v>
      </c>
      <c r="H526" s="19">
        <f>VLOOKUP(A526,Metrik!$C$2:$Y$959,8,0)</f>
        <v>18.2</v>
      </c>
      <c r="I526" s="20">
        <f>VLOOKUP(A526,Metrik!$C$2:$Y$959,9,0)</f>
        <v>5.2</v>
      </c>
      <c r="J526" s="20">
        <f>VLOOKUP(A526,Metrik!$C$2:$Y$959,10,0)</f>
        <v>28.7</v>
      </c>
      <c r="K526" s="20">
        <f>VLOOKUP(A526,Metrik!$C$2:$Y$959,11,0)</f>
        <v>22.3</v>
      </c>
      <c r="L526" s="20">
        <f>VLOOKUP(A526,Metrik!$C$2:$Y$959,12,0)</f>
        <v>0.29</v>
      </c>
      <c r="M526" s="20">
        <f>VLOOKUP(A526,Metrik!$C$2:$Y$959,19,0)</f>
        <v>67.6</v>
      </c>
      <c r="N526" s="21"/>
      <c r="O526" s="21"/>
      <c r="P526" s="21"/>
      <c r="Q526" s="21"/>
      <c r="R526" s="21"/>
      <c r="S526" s="21"/>
      <c r="T526" s="21"/>
      <c r="U526" s="22">
        <f>IFERROR(__xludf.DUMMYFUNCTION("IFERROR(GOOGLEFINANCE(A526,""closeyest""),"""")"),4160.0)</f>
        <v>4160</v>
      </c>
      <c r="V526" s="23">
        <f>IFERROR(__xludf.DUMMYFUNCTION("IFERROR(GOOGLEFINANCE(A526,""changepct""),"""")"),5.77)</f>
        <v>5.77</v>
      </c>
      <c r="W526" s="22">
        <f>IFERROR(__xludf.DUMMYFUNCTION("IFERROR(GOOGLEFINANCE(A526,""priceopen""),"""")"),4180.0)</f>
        <v>4180</v>
      </c>
      <c r="X526" s="22">
        <f>IFERROR(__xludf.DUMMYFUNCTION("IFERROR(GOOGLEFINANCE(A526,""high""),"""")"),4400.0)</f>
        <v>4400</v>
      </c>
      <c r="Y526" s="22">
        <f>IFERROR(__xludf.DUMMYFUNCTION("IFERROR(GOOGLEFINANCE(A526,""low""),"""")"),4160.0)</f>
        <v>4160</v>
      </c>
      <c r="Z526" s="22">
        <f>IFERROR(__xludf.DUMMYFUNCTION("IFERROR(GOOGLEFINANCE(A526,""volume""),"""")"),3542800.0)</f>
        <v>3542800</v>
      </c>
      <c r="AA526" s="24" t="str">
        <f>VLOOKUP(A526,Metrik!$C$2:$Y$959,5,0)</f>
        <v>Processed Foods</v>
      </c>
      <c r="AB526" s="24" t="str">
        <f>VLOOKUP(A526,Metrik!$C$2:$Y$959,3,0)</f>
        <v>Consumer Non-Cyclicals</v>
      </c>
    </row>
    <row r="527">
      <c r="A527" s="14" t="s">
        <v>291</v>
      </c>
      <c r="B527" s="14" t="str">
        <f t="array" ref="B527">VLOOKUP(A527,{Metrik!$C$2:$C$998,Metrik!$B$2:$B$998},2,0)</f>
        <v>Cisarua Mountain Dairy Tbk.</v>
      </c>
      <c r="C527" s="15" t="str">
        <f>IFERROR(__xludf.DUMMYFUNCTION("GOOGLEFINANCE(""IDX:""&amp;A527,""price"")"),"#N/A")</f>
        <v>#N/A</v>
      </c>
      <c r="D527" s="16" t="str">
        <f>IFERROR(__xludf.DUMMYFUNCTION("IF(A527="""","""",
SPARKLINE(
INDEX(
GOOGLEFINANCE(""IDX:""&amp;A527,""close"",TODAY()-365,TODAY()),
,2
),
{""linewidth"",1}
))
"),"#N/A")</f>
        <v>#N/A</v>
      </c>
      <c r="E527" s="14" t="s">
        <v>39</v>
      </c>
      <c r="F527" s="25">
        <v>46356.0</v>
      </c>
      <c r="G527" s="24">
        <f t="shared" si="3"/>
        <v>10</v>
      </c>
      <c r="H527" s="19">
        <f>VLOOKUP(A527,Metrik!$C$2:$Y$959,8,0)</f>
        <v>18.2</v>
      </c>
      <c r="I527" s="20">
        <f>VLOOKUP(A527,Metrik!$C$2:$Y$959,9,0)</f>
        <v>5.2</v>
      </c>
      <c r="J527" s="20">
        <f>VLOOKUP(A527,Metrik!$C$2:$Y$959,10,0)</f>
        <v>28.7</v>
      </c>
      <c r="K527" s="20">
        <f>VLOOKUP(A527,Metrik!$C$2:$Y$959,11,0)</f>
        <v>22.3</v>
      </c>
      <c r="L527" s="20">
        <f>VLOOKUP(A527,Metrik!$C$2:$Y$959,12,0)</f>
        <v>0.29</v>
      </c>
      <c r="M527" s="20">
        <f>VLOOKUP(A527,Metrik!$C$2:$Y$959,19,0)</f>
        <v>67.6</v>
      </c>
      <c r="N527" s="21"/>
      <c r="O527" s="21"/>
      <c r="P527" s="21"/>
      <c r="Q527" s="21"/>
      <c r="R527" s="21"/>
      <c r="S527" s="21"/>
      <c r="T527" s="21"/>
      <c r="U527" s="22">
        <f>IFERROR(__xludf.DUMMYFUNCTION("IFERROR(GOOGLEFINANCE(A527,""closeyest""),"""")"),4160.0)</f>
        <v>4160</v>
      </c>
      <c r="V527" s="23">
        <f>IFERROR(__xludf.DUMMYFUNCTION("IFERROR(GOOGLEFINANCE(A527,""changepct""),"""")"),5.77)</f>
        <v>5.77</v>
      </c>
      <c r="W527" s="22">
        <f>IFERROR(__xludf.DUMMYFUNCTION("IFERROR(GOOGLEFINANCE(A527,""priceopen""),"""")"),4180.0)</f>
        <v>4180</v>
      </c>
      <c r="X527" s="22">
        <f>IFERROR(__xludf.DUMMYFUNCTION("IFERROR(GOOGLEFINANCE(A527,""high""),"""")"),4400.0)</f>
        <v>4400</v>
      </c>
      <c r="Y527" s="22">
        <f>IFERROR(__xludf.DUMMYFUNCTION("IFERROR(GOOGLEFINANCE(A527,""low""),"""")"),4160.0)</f>
        <v>4160</v>
      </c>
      <c r="Z527" s="22">
        <f>IFERROR(__xludf.DUMMYFUNCTION("IFERROR(GOOGLEFINANCE(A527,""volume""),"""")"),3542800.0)</f>
        <v>3542800</v>
      </c>
      <c r="AA527" s="24" t="str">
        <f>VLOOKUP(A527,Metrik!$C$2:$Y$959,5,0)</f>
        <v>Processed Foods</v>
      </c>
      <c r="AB527" s="24" t="str">
        <f>VLOOKUP(A527,Metrik!$C$2:$Y$959,3,0)</f>
        <v>Consumer Non-Cyclicals</v>
      </c>
    </row>
    <row r="528">
      <c r="A528" s="14" t="s">
        <v>292</v>
      </c>
      <c r="B528" s="14" t="str">
        <f t="array" ref="B528">VLOOKUP(A528,{Metrik!$C$2:$C$998,Metrik!$B$2:$B$998},2,0)</f>
        <v>Exploitasi Energi Indonesia Tbk.</v>
      </c>
      <c r="C528" s="15">
        <f>IFERROR(__xludf.DUMMYFUNCTION("GOOGLEFINANCE(""IDX:""&amp;A528,""price"")"),39.0)</f>
        <v>39</v>
      </c>
      <c r="D528" s="16" t="str">
        <f>IFERROR(__xludf.DUMMYFUNCTION("IF(A528="""","""",
SPARKLINE(
INDEX(
GOOGLEFINANCE(""IDX:""&amp;A528,""close"",TODAY()-365,TODAY()),
,2
),
{""linewidth"",1}
))
"),"#N/A")</f>
        <v>#N/A</v>
      </c>
      <c r="E528" s="26"/>
      <c r="F528" s="26"/>
      <c r="G528" s="24">
        <f t="shared" si="3"/>
        <v>0</v>
      </c>
      <c r="H528" s="19">
        <f>VLOOKUP(A528,Metrik!$C$2:$Y$959,8,0)</f>
        <v>2.1</v>
      </c>
      <c r="I528" s="20">
        <f>VLOOKUP(A528,Metrik!$C$2:$Y$959,9,0)</f>
        <v>-0.39</v>
      </c>
      <c r="J528" s="20">
        <f>VLOOKUP(A528,Metrik!$C$2:$Y$959,10,0)</f>
        <v>0</v>
      </c>
      <c r="K528" s="20">
        <f>VLOOKUP(A528,Metrik!$C$2:$Y$959,11,0)</f>
        <v>19.2</v>
      </c>
      <c r="L528" s="20">
        <f>VLOOKUP(A528,Metrik!$C$2:$Y$959,12,0)</f>
        <v>-2</v>
      </c>
      <c r="M528" s="20">
        <f>VLOOKUP(A528,Metrik!$C$2:$Y$959,19,0)</f>
        <v>41</v>
      </c>
      <c r="N528" s="21"/>
      <c r="O528" s="21"/>
      <c r="P528" s="21"/>
      <c r="Q528" s="21"/>
      <c r="R528" s="21"/>
      <c r="S528" s="21"/>
      <c r="T528" s="21"/>
      <c r="U528" s="22">
        <f>IFERROR(__xludf.DUMMYFUNCTION("IFERROR(GOOGLEFINANCE(A528,""closeyest""),"""")"),36.0)</f>
        <v>36</v>
      </c>
      <c r="V528" s="23">
        <f>IFERROR(__xludf.DUMMYFUNCTION("IFERROR(GOOGLEFINANCE(A528,""changepct""),"""")"),8.33)</f>
        <v>8.33</v>
      </c>
      <c r="W528" s="22">
        <f>IFERROR(__xludf.DUMMYFUNCTION("IFERROR(GOOGLEFINANCE(A528,""priceopen""),"""")"),39.0)</f>
        <v>39</v>
      </c>
      <c r="X528" s="22">
        <f>IFERROR(__xludf.DUMMYFUNCTION("IFERROR(GOOGLEFINANCE(A528,""high""),"""")"),39.0)</f>
        <v>39</v>
      </c>
      <c r="Y528" s="22">
        <f>IFERROR(__xludf.DUMMYFUNCTION("IFERROR(GOOGLEFINANCE(A528,""low""),"""")"),39.0)</f>
        <v>39</v>
      </c>
      <c r="Z528" s="22">
        <f>IFERROR(__xludf.DUMMYFUNCTION("IFERROR(GOOGLEFINANCE(A528,""volume""),"""")"),6766500.0)</f>
        <v>6766500</v>
      </c>
      <c r="AA528" s="24" t="str">
        <f>VLOOKUP(A528,Metrik!$C$2:$Y$959,5,0)</f>
        <v>Coal</v>
      </c>
      <c r="AB528" s="24" t="str">
        <f>VLOOKUP(A528,Metrik!$C$2:$Y$959,3,0)</f>
        <v>Energy</v>
      </c>
    </row>
    <row r="529">
      <c r="A529" s="14" t="s">
        <v>293</v>
      </c>
      <c r="B529" s="14" t="str">
        <f t="array" ref="B529">VLOOKUP(A529,{Metrik!$C$2:$C$998,Metrik!$B$2:$B$998},2,0)</f>
        <v>PT Nusantara Sejahtera Raya Tbk</v>
      </c>
      <c r="C529" s="15">
        <f>IFERROR(__xludf.DUMMYFUNCTION("GOOGLEFINANCE(""IDX:""&amp;A529,""price"")"),90.0)</f>
        <v>90</v>
      </c>
      <c r="D529" s="16" t="str">
        <f>IFERROR(__xludf.DUMMYFUNCTION("IF(A529="""","""",
SPARKLINE(
INDEX(
GOOGLEFINANCE(""IDX:""&amp;A529,""close"",TODAY()-365,TODAY()),
,2
),
{""linewidth"",1}
))
"),"#N/A")</f>
        <v>#N/A</v>
      </c>
      <c r="E529" s="14" t="s">
        <v>41</v>
      </c>
      <c r="F529" s="14" t="s">
        <v>34</v>
      </c>
      <c r="G529" s="18">
        <f t="shared" si="3"/>
        <v>1</v>
      </c>
      <c r="H529" s="19">
        <f>VLOOKUP(A529,Metrik!$C$2:$Y$959,8,0)</f>
        <v>11</v>
      </c>
      <c r="I529" s="20">
        <f>VLOOKUP(A529,Metrik!$C$2:$Y$959,9,0)</f>
        <v>1.9</v>
      </c>
      <c r="J529" s="20">
        <f>VLOOKUP(A529,Metrik!$C$2:$Y$959,10,0)</f>
        <v>17.7</v>
      </c>
      <c r="K529" s="20">
        <f>VLOOKUP(A529,Metrik!$C$2:$Y$959,11,0)</f>
        <v>11.4</v>
      </c>
      <c r="L529" s="20">
        <f>VLOOKUP(A529,Metrik!$C$2:$Y$959,12,0)</f>
        <v>0.55</v>
      </c>
      <c r="M529" s="20">
        <f>VLOOKUP(A529,Metrik!$C$2:$Y$959,19,0)</f>
        <v>69.8</v>
      </c>
      <c r="N529" s="21"/>
      <c r="O529" s="21"/>
      <c r="P529" s="21"/>
      <c r="Q529" s="21"/>
      <c r="R529" s="21"/>
      <c r="S529" s="21"/>
      <c r="T529" s="21"/>
      <c r="U529" s="22">
        <f>IFERROR(__xludf.DUMMYFUNCTION("IFERROR(GOOGLEFINANCE(A529,""closeyest""),"""")"),88.0)</f>
        <v>88</v>
      </c>
      <c r="V529" s="23">
        <f>IFERROR(__xludf.DUMMYFUNCTION("IFERROR(GOOGLEFINANCE(A529,""changepct""),"""")"),2.27)</f>
        <v>2.27</v>
      </c>
      <c r="W529" s="22">
        <f>IFERROR(__xludf.DUMMYFUNCTION("IFERROR(GOOGLEFINANCE(A529,""priceopen""),"""")"),88.0)</f>
        <v>88</v>
      </c>
      <c r="X529" s="22">
        <f>IFERROR(__xludf.DUMMYFUNCTION("IFERROR(GOOGLEFINANCE(A529,""high""),"""")"),92.0)</f>
        <v>92</v>
      </c>
      <c r="Y529" s="22">
        <f>IFERROR(__xludf.DUMMYFUNCTION("IFERROR(GOOGLEFINANCE(A529,""low""),"""")"),88.0)</f>
        <v>88</v>
      </c>
      <c r="Z529" s="22">
        <f>IFERROR(__xludf.DUMMYFUNCTION("IFERROR(GOOGLEFINANCE(A529,""volume""),"""")"),4694600.0)</f>
        <v>4694600</v>
      </c>
      <c r="AA529" s="24" t="str">
        <f>VLOOKUP(A529,Metrik!$C$2:$Y$959,5,0)</f>
        <v>Tourism &amp; Recreation</v>
      </c>
      <c r="AB529" s="24" t="str">
        <f>VLOOKUP(A529,Metrik!$C$2:$Y$959,3,0)</f>
        <v>Consumer Cyclicals</v>
      </c>
    </row>
    <row r="530">
      <c r="A530" s="14" t="s">
        <v>294</v>
      </c>
      <c r="B530" s="14" t="str">
        <f t="array" ref="B530">VLOOKUP(A530,{Metrik!$C$2:$C$998,Metrik!$B$2:$B$998},2,0)</f>
        <v>Century Textile Industry (Seri B) Tbk.</v>
      </c>
      <c r="C530" s="15">
        <f>IFERROR(__xludf.DUMMYFUNCTION("GOOGLEFINANCE(""IDX:""&amp;A530,""price"")"),0.0)</f>
        <v>0</v>
      </c>
      <c r="D530" s="16" t="str">
        <f>IFERROR(__xludf.DUMMYFUNCTION("IF(A530="""","""",
SPARKLINE(
INDEX(
GOOGLEFINANCE(""IDX:""&amp;A530,""close"",TODAY()-365,TODAY()),
,2
),
{""linewidth"",1}
))
"),"#N/A")</f>
        <v>#N/A</v>
      </c>
      <c r="E530" s="26"/>
      <c r="F530" s="26"/>
      <c r="G530" s="24">
        <f t="shared" si="3"/>
        <v>0</v>
      </c>
      <c r="H530" s="19">
        <f>VLOOKUP(A530,Metrik!$C$2:$Y$959,8,0)</f>
        <v>-0.22</v>
      </c>
      <c r="I530" s="20">
        <f>VLOOKUP(A530,Metrik!$C$2:$Y$959,9,0)</f>
        <v>-0.06</v>
      </c>
      <c r="J530" s="20">
        <f>VLOOKUP(A530,Metrik!$C$2:$Y$959,10,0)</f>
        <v>0</v>
      </c>
      <c r="K530" s="20">
        <f>VLOOKUP(A530,Metrik!$C$2:$Y$959,11,0)</f>
        <v>-31.8</v>
      </c>
      <c r="L530" s="20">
        <f>VLOOKUP(A530,Metrik!$C$2:$Y$959,12,0)</f>
        <v>-1.8</v>
      </c>
      <c r="M530" s="20">
        <f>VLOOKUP(A530,Metrik!$C$2:$Y$959,19,0)</f>
        <v>-47.6</v>
      </c>
      <c r="N530" s="21"/>
      <c r="O530" s="21"/>
      <c r="P530" s="21"/>
      <c r="Q530" s="21"/>
      <c r="R530" s="21"/>
      <c r="S530" s="21"/>
      <c r="T530" s="21"/>
      <c r="U530" s="22">
        <f>IFERROR(__xludf.DUMMYFUNCTION("IFERROR(GOOGLEFINANCE(A530,""closeyest""),"""")"),2.1)</f>
        <v>2.1</v>
      </c>
      <c r="V530" s="23">
        <f>IFERROR(__xludf.DUMMYFUNCTION("IFERROR(GOOGLEFINANCE(A530,""changepct""),"""")"),0.95)</f>
        <v>0.95</v>
      </c>
      <c r="W530" s="22">
        <f>IFERROR(__xludf.DUMMYFUNCTION("IFERROR(GOOGLEFINANCE(A530,""priceopen""),"""")"),2.1)</f>
        <v>2.1</v>
      </c>
      <c r="X530" s="22">
        <f>IFERROR(__xludf.DUMMYFUNCTION("IFERROR(GOOGLEFINANCE(A530,""high""),"""")"),2.17)</f>
        <v>2.17</v>
      </c>
      <c r="Y530" s="22">
        <f>IFERROR(__xludf.DUMMYFUNCTION("IFERROR(GOOGLEFINANCE(A530,""low""),"""")"),2.07)</f>
        <v>2.07</v>
      </c>
      <c r="Z530" s="22">
        <f>IFERROR(__xludf.DUMMYFUNCTION("IFERROR(GOOGLEFINANCE(A530,""volume""),"""")"),173605.0)</f>
        <v>173605</v>
      </c>
      <c r="AA530" s="24" t="str">
        <f>VLOOKUP(A530,Metrik!$C$2:$Y$959,5,0)</f>
        <v/>
      </c>
      <c r="AB530" s="24" t="str">
        <f>VLOOKUP(A530,Metrik!$C$2:$Y$959,3,0)</f>
        <v>No Sector</v>
      </c>
    </row>
    <row r="531">
      <c r="A531" s="14" t="s">
        <v>295</v>
      </c>
      <c r="B531" s="14" t="str">
        <f t="array" ref="B531">VLOOKUP(A531,{Metrik!$C$2:$C$998,Metrik!$B$2:$B$998},2,0)</f>
        <v>Centex Tbk</v>
      </c>
      <c r="C531" s="15">
        <f>IFERROR(__xludf.DUMMYFUNCTION("GOOGLEFINANCE(""IDX:""&amp;A531,""price"")"),142.0)</f>
        <v>142</v>
      </c>
      <c r="D531" s="16" t="str">
        <f>IFERROR(__xludf.DUMMYFUNCTION("IF(A531="""","""",
SPARKLINE(
INDEX(
GOOGLEFINANCE(""IDX:""&amp;A531,""close"",TODAY()-365,TODAY()),
,2
),
{""linewidth"",1}
))
"),"#N/A")</f>
        <v>#N/A</v>
      </c>
      <c r="E531" s="26"/>
      <c r="F531" s="26"/>
      <c r="G531" s="24">
        <f t="shared" si="3"/>
        <v>0</v>
      </c>
      <c r="H531" s="19">
        <f>VLOOKUP(A531,Metrik!$C$2:$Y$959,8,0)</f>
        <v>-0.07</v>
      </c>
      <c r="I531" s="20">
        <f>VLOOKUP(A531,Metrik!$C$2:$Y$959,9,0)</f>
        <v>-0.02</v>
      </c>
      <c r="J531" s="20">
        <f>VLOOKUP(A531,Metrik!$C$2:$Y$959,10,0)</f>
        <v>0</v>
      </c>
      <c r="K531" s="20">
        <f>VLOOKUP(A531,Metrik!$C$2:$Y$959,11,0)</f>
        <v>-31.8</v>
      </c>
      <c r="L531" s="20">
        <f>VLOOKUP(A531,Metrik!$C$2:$Y$959,12,0)</f>
        <v>-1.8</v>
      </c>
      <c r="M531" s="20">
        <f>VLOOKUP(A531,Metrik!$C$2:$Y$959,19,0)</f>
        <v>-47.6</v>
      </c>
      <c r="N531" s="21"/>
      <c r="O531" s="21"/>
      <c r="P531" s="21"/>
      <c r="Q531" s="21"/>
      <c r="R531" s="21"/>
      <c r="S531" s="21"/>
      <c r="T531" s="21"/>
      <c r="U531" s="22">
        <f>IFERROR(__xludf.DUMMYFUNCTION("IFERROR(GOOGLEFINANCE(A531,""closeyest""),"""")"),1.42)</f>
        <v>1.42</v>
      </c>
      <c r="V531" s="23">
        <f>IFERROR(__xludf.DUMMYFUNCTION("IFERROR(GOOGLEFINANCE(A531,""changepct""),"""")"),-2.11)</f>
        <v>-2.11</v>
      </c>
      <c r="W531" s="22">
        <f>IFERROR(__xludf.DUMMYFUNCTION("IFERROR(GOOGLEFINANCE(A531,""priceopen""),"""")"),1.43)</f>
        <v>1.43</v>
      </c>
      <c r="X531" s="22">
        <f>IFERROR(__xludf.DUMMYFUNCTION("IFERROR(GOOGLEFINANCE(A531,""high""),"""")"),1.51)</f>
        <v>1.51</v>
      </c>
      <c r="Y531" s="22">
        <f>IFERROR(__xludf.DUMMYFUNCTION("IFERROR(GOOGLEFINANCE(A531,""low""),"""")"),1.39)</f>
        <v>1.39</v>
      </c>
      <c r="Z531" s="22">
        <f>IFERROR(__xludf.DUMMYFUNCTION("IFERROR(GOOGLEFINANCE(A531,""volume""),"""")"),498818.0)</f>
        <v>498818</v>
      </c>
      <c r="AA531" s="24" t="str">
        <f>VLOOKUP(A531,Metrik!$C$2:$Y$959,5,0)</f>
        <v>Apparel &amp; Luxury Goods</v>
      </c>
      <c r="AB531" s="24" t="str">
        <f>VLOOKUP(A531,Metrik!$C$2:$Y$959,3,0)</f>
        <v>Consumer Cyclicals</v>
      </c>
    </row>
    <row r="532">
      <c r="A532" s="14" t="s">
        <v>296</v>
      </c>
      <c r="B532" s="14" t="str">
        <f t="array" ref="B532">VLOOKUP(A532,{Metrik!$C$2:$C$998,Metrik!$B$2:$B$998},2,0)</f>
        <v>Black Diamond Resources Tbk.</v>
      </c>
      <c r="C532" s="15">
        <f>IFERROR(__xludf.DUMMYFUNCTION("GOOGLEFINANCE(""IDX:""&amp;A532,""price"")"),34.0)</f>
        <v>34</v>
      </c>
      <c r="D532" s="16" t="str">
        <f>IFERROR(__xludf.DUMMYFUNCTION("IF(A532="""","""",
SPARKLINE(
INDEX(
GOOGLEFINANCE(""IDX:""&amp;A532,""close"",TODAY()-365,TODAY()),
,2
),
{""linewidth"",1}
))
"),"#N/A")</f>
        <v>#N/A</v>
      </c>
      <c r="E532" s="26"/>
      <c r="F532" s="26"/>
      <c r="G532" s="24">
        <f t="shared" si="3"/>
        <v>0</v>
      </c>
      <c r="H532" s="19">
        <f>VLOOKUP(A532,Metrik!$C$2:$Y$959,8,0)</f>
        <v>73</v>
      </c>
      <c r="I532" s="20">
        <f>VLOOKUP(A532,Metrik!$C$2:$Y$959,9,0)</f>
        <v>0.85</v>
      </c>
      <c r="J532" s="20">
        <f>VLOOKUP(A532,Metrik!$C$2:$Y$959,10,0)</f>
        <v>1.2</v>
      </c>
      <c r="K532" s="20">
        <f>VLOOKUP(A532,Metrik!$C$2:$Y$959,11,0)</f>
        <v>0.53</v>
      </c>
      <c r="L532" s="20">
        <f>VLOOKUP(A532,Metrik!$C$2:$Y$959,12,0)</f>
        <v>1.2</v>
      </c>
      <c r="M532" s="20">
        <f>VLOOKUP(A532,Metrik!$C$2:$Y$959,19,0)</f>
        <v>1.8</v>
      </c>
      <c r="N532" s="21"/>
      <c r="O532" s="21"/>
      <c r="P532" s="21"/>
      <c r="Q532" s="21"/>
      <c r="R532" s="21"/>
      <c r="S532" s="21"/>
      <c r="T532" s="21"/>
      <c r="U532" s="22">
        <f>IFERROR(__xludf.DUMMYFUNCTION("IFERROR(GOOGLEFINANCE(A532,""closeyest""),"""")"),25.97)</f>
        <v>25.97</v>
      </c>
      <c r="V532" s="23" t="str">
        <f>IFERROR(__xludf.DUMMYFUNCTION("IFERROR(GOOGLEFINANCE(A532,""changepct""),"""")"),"")</f>
        <v/>
      </c>
      <c r="W532" s="22">
        <f>IFERROR(__xludf.DUMMYFUNCTION("IFERROR(GOOGLEFINANCE(A532,""priceopen""),"""")"),26.25)</f>
        <v>26.25</v>
      </c>
      <c r="X532" s="22" t="str">
        <f>IFERROR(__xludf.DUMMYFUNCTION("IFERROR(GOOGLEFINANCE(A532,""high""),"""")"),"")</f>
        <v/>
      </c>
      <c r="Y532" s="22">
        <f>IFERROR(__xludf.DUMMYFUNCTION("IFERROR(GOOGLEFINANCE(A532,""low""),"""")"),26.25)</f>
        <v>26.25</v>
      </c>
      <c r="Z532" s="22">
        <f>IFERROR(__xludf.DUMMYFUNCTION("IFERROR(GOOGLEFINANCE(A532,""volume""),"""")"),3025.0)</f>
        <v>3025</v>
      </c>
      <c r="AA532" s="24" t="str">
        <f>VLOOKUP(A532,Metrik!$C$2:$Y$959,5,0)</f>
        <v>Coal</v>
      </c>
      <c r="AB532" s="24" t="str">
        <f>VLOOKUP(A532,Metrik!$C$2:$Y$959,3,0)</f>
        <v>Energy</v>
      </c>
    </row>
    <row r="533">
      <c r="A533" s="14" t="s">
        <v>297</v>
      </c>
      <c r="B533" s="14" t="str">
        <f t="array" ref="B533">VLOOKUP(A533,{Metrik!$C$2:$C$998,Metrik!$B$2:$B$998},2,0)</f>
        <v>Wahana Interfood Nusantara Tbk.</v>
      </c>
      <c r="C533" s="15">
        <f>IFERROR(__xludf.DUMMYFUNCTION("GOOGLEFINANCE(""IDX:""&amp;A533,""price"")"),194.0)</f>
        <v>194</v>
      </c>
      <c r="D533" s="16" t="str">
        <f>IFERROR(__xludf.DUMMYFUNCTION("IF(A533="""","""",
SPARKLINE(
INDEX(
GOOGLEFINANCE(""IDX:""&amp;A533,""close"",TODAY()-365,TODAY()),
,2
),
{""linewidth"",1}
))
"),"#N/A")</f>
        <v>#N/A</v>
      </c>
      <c r="E533" s="26"/>
      <c r="F533" s="26"/>
      <c r="G533" s="24">
        <f t="shared" si="3"/>
        <v>0</v>
      </c>
      <c r="H533" s="19">
        <f>VLOOKUP(A533,Metrik!$C$2:$Y$959,8,0)</f>
        <v>-3.5</v>
      </c>
      <c r="I533" s="20">
        <f>VLOOKUP(A533,Metrik!$C$2:$Y$959,9,0)</f>
        <v>7.8</v>
      </c>
      <c r="J533" s="20">
        <f>VLOOKUP(A533,Metrik!$C$2:$Y$959,10,0)</f>
        <v>-220</v>
      </c>
      <c r="K533" s="20">
        <f>VLOOKUP(A533,Metrik!$C$2:$Y$959,11,0)</f>
        <v>-46.3</v>
      </c>
      <c r="L533" s="20">
        <f>VLOOKUP(A533,Metrik!$C$2:$Y$959,12,0)</f>
        <v>3.8</v>
      </c>
      <c r="M533" s="20">
        <f>VLOOKUP(A533,Metrik!$C$2:$Y$959,19,0)</f>
        <v>-150</v>
      </c>
      <c r="N533" s="21"/>
      <c r="O533" s="21"/>
      <c r="P533" s="21"/>
      <c r="Q533" s="21"/>
      <c r="R533" s="21"/>
      <c r="S533" s="21"/>
      <c r="T533" s="21"/>
      <c r="U533" s="22">
        <f>IFERROR(__xludf.DUMMYFUNCTION("IFERROR(GOOGLEFINANCE(A533,""closeyest""),"""")"),78.65)</f>
        <v>78.65</v>
      </c>
      <c r="V533" s="23">
        <f>IFERROR(__xludf.DUMMYFUNCTION("IFERROR(GOOGLEFINANCE(A533,""changepct""),"""")"),2.86)</f>
        <v>2.86</v>
      </c>
      <c r="W533" s="22">
        <f>IFERROR(__xludf.DUMMYFUNCTION("IFERROR(GOOGLEFINANCE(A533,""priceopen""),"""")"),78.65)</f>
        <v>78.65</v>
      </c>
      <c r="X533" s="22">
        <f>IFERROR(__xludf.DUMMYFUNCTION("IFERROR(GOOGLEFINANCE(A533,""high""),"""")"),82.33)</f>
        <v>82.33</v>
      </c>
      <c r="Y533" s="22">
        <f>IFERROR(__xludf.DUMMYFUNCTION("IFERROR(GOOGLEFINANCE(A533,""low""),"""")"),77.0)</f>
        <v>77</v>
      </c>
      <c r="Z533" s="22">
        <f>IFERROR(__xludf.DUMMYFUNCTION("IFERROR(GOOGLEFINANCE(A533,""volume""),"""")"),1463100.0)</f>
        <v>1463100</v>
      </c>
      <c r="AA533" s="24" t="str">
        <f>VLOOKUP(A533,Metrik!$C$2:$Y$959,5,0)</f>
        <v>Processed Foods</v>
      </c>
      <c r="AB533" s="24" t="str">
        <f>VLOOKUP(A533,Metrik!$C$2:$Y$959,3,0)</f>
        <v>Consumer Non-Cyclicals</v>
      </c>
    </row>
    <row r="534">
      <c r="A534" s="14" t="s">
        <v>298</v>
      </c>
      <c r="B534" s="14" t="str">
        <f t="array" ref="B534">VLOOKUP(A534,{Metrik!$C$2:$C$998,Metrik!$B$2:$B$998},2,0)</f>
        <v>Indokripto Koin Semesta Tbk.</v>
      </c>
      <c r="C534" s="15">
        <f>IFERROR(__xludf.DUMMYFUNCTION("GOOGLEFINANCE(""IDX:""&amp;A534,""price"")"),750.0)</f>
        <v>750</v>
      </c>
      <c r="D534" s="16" t="str">
        <f>IFERROR(__xludf.DUMMYFUNCTION("IF(A534="""","""",
SPARKLINE(
INDEX(
GOOGLEFINANCE(""IDX:""&amp;A534,""close"",TODAY()-365,TODAY()),
,2
),
{""linewidth"",1}
))
"),"#N/A")</f>
        <v>#N/A</v>
      </c>
      <c r="E534" s="26"/>
      <c r="F534" s="26"/>
      <c r="G534" s="24">
        <f t="shared" si="3"/>
        <v>0</v>
      </c>
      <c r="H534" s="19">
        <f>VLOOKUP(A534,Metrik!$C$2:$Y$959,8,0)</f>
        <v>430</v>
      </c>
      <c r="I534" s="20">
        <f>VLOOKUP(A534,Metrik!$C$2:$Y$959,9,0)</f>
        <v>7.8</v>
      </c>
      <c r="J534" s="20">
        <f>VLOOKUP(A534,Metrik!$C$2:$Y$959,10,0)</f>
        <v>1.8</v>
      </c>
      <c r="K534" s="20">
        <f>VLOOKUP(A534,Metrik!$C$2:$Y$959,11,0)</f>
        <v>1.8</v>
      </c>
      <c r="L534" s="20">
        <f>VLOOKUP(A534,Metrik!$C$2:$Y$959,12,0)</f>
        <v>0.03</v>
      </c>
      <c r="M534" s="20">
        <f>VLOOKUP(A534,Metrik!$C$2:$Y$959,19,0)</f>
        <v>66.9</v>
      </c>
      <c r="N534" s="21"/>
      <c r="O534" s="21"/>
      <c r="P534" s="21"/>
      <c r="Q534" s="21"/>
      <c r="R534" s="21"/>
      <c r="S534" s="21"/>
      <c r="T534" s="21"/>
      <c r="U534" s="22">
        <f>IFERROR(__xludf.DUMMYFUNCTION("IFERROR(GOOGLEFINANCE(A534,""closeyest""),"""")"),160.43)</f>
        <v>160.43</v>
      </c>
      <c r="V534" s="23">
        <f>IFERROR(__xludf.DUMMYFUNCTION("IFERROR(GOOGLEFINANCE(A534,""changepct""),"""")"),-0.41)</f>
        <v>-0.41</v>
      </c>
      <c r="W534" s="22">
        <f>IFERROR(__xludf.DUMMYFUNCTION("IFERROR(GOOGLEFINANCE(A534,""priceopen""),"""")"),160.43)</f>
        <v>160.43</v>
      </c>
      <c r="X534" s="22">
        <f>IFERROR(__xludf.DUMMYFUNCTION("IFERROR(GOOGLEFINANCE(A534,""high""),"""")"),165.49)</f>
        <v>165.49</v>
      </c>
      <c r="Y534" s="22">
        <f>IFERROR(__xludf.DUMMYFUNCTION("IFERROR(GOOGLEFINANCE(A534,""low""),"""")"),155.42)</f>
        <v>155.42</v>
      </c>
      <c r="Z534" s="22">
        <f>IFERROR(__xludf.DUMMYFUNCTION("IFERROR(GOOGLEFINANCE(A534,""volume""),"""")"),6508340.0)</f>
        <v>6508340</v>
      </c>
      <c r="AA534" s="24" t="str">
        <f>VLOOKUP(A534,Metrik!$C$2:$Y$959,5,0)</f>
        <v>Holding &amp; Investment Companies</v>
      </c>
      <c r="AB534" s="24" t="str">
        <f>VLOOKUP(A534,Metrik!$C$2:$Y$959,3,0)</f>
        <v>Financials</v>
      </c>
    </row>
    <row r="535">
      <c r="A535" s="14" t="s">
        <v>299</v>
      </c>
      <c r="B535" s="14" t="str">
        <f t="array" ref="B535">VLOOKUP(A535,{Metrik!$C$2:$C$998,Metrik!$B$2:$B$998},2,0)</f>
        <v>Cowell Development Tbk.</v>
      </c>
      <c r="C535" s="15">
        <f>IFERROR(__xludf.DUMMYFUNCTION("GOOGLEFINANCE(""IDX:""&amp;A535,""price"")"),50.0)</f>
        <v>50</v>
      </c>
      <c r="D535" s="16" t="str">
        <f>IFERROR(__xludf.DUMMYFUNCTION("IF(A535="""","""",
SPARKLINE(
INDEX(
GOOGLEFINANCE(""IDX:""&amp;A535,""close"",TODAY()-365,TODAY()),
,2
),
{""linewidth"",1}
))
"),"#N/A")</f>
        <v>#N/A</v>
      </c>
      <c r="E535" s="26"/>
      <c r="F535" s="26"/>
      <c r="G535" s="24">
        <f t="shared" si="3"/>
        <v>0</v>
      </c>
      <c r="H535" s="19" t="str">
        <f>VLOOKUP(A535,Metrik!$C$2:$Y$959,8,0)</f>
        <v/>
      </c>
      <c r="I535" s="20">
        <f>VLOOKUP(A535,Metrik!$C$2:$Y$959,9,0)</f>
        <v>-12.6</v>
      </c>
      <c r="J535" s="20" t="str">
        <f>VLOOKUP(A535,Metrik!$C$2:$Y$959,10,0)</f>
        <v/>
      </c>
      <c r="K535" s="20">
        <f>VLOOKUP(A535,Metrik!$C$2:$Y$959,11,0)</f>
        <v>0</v>
      </c>
      <c r="L535" s="20">
        <f>VLOOKUP(A535,Metrik!$C$2:$Y$959,12,0)</f>
        <v>-130</v>
      </c>
      <c r="M535" s="20">
        <f>VLOOKUP(A535,Metrik!$C$2:$Y$959,19,0)</f>
        <v>-210</v>
      </c>
      <c r="N535" s="21"/>
      <c r="O535" s="21"/>
      <c r="P535" s="21"/>
      <c r="Q535" s="21"/>
      <c r="R535" s="21"/>
      <c r="S535" s="21"/>
      <c r="T535" s="21"/>
      <c r="U535" s="22">
        <f>IFERROR(__xludf.DUMMYFUNCTION("IFERROR(GOOGLEFINANCE(A535,""closeyest""),"""")"),50.0)</f>
        <v>50</v>
      </c>
      <c r="V535" s="23">
        <f>IFERROR(__xludf.DUMMYFUNCTION("IFERROR(GOOGLEFINANCE(A535,""changepct""),"""")"),0.0)</f>
        <v>0</v>
      </c>
      <c r="W535" s="22" t="str">
        <f>IFERROR(__xludf.DUMMYFUNCTION("IFERROR(GOOGLEFINANCE(A535,""priceopen""),"""")"),"")</f>
        <v/>
      </c>
      <c r="X535" s="22" t="str">
        <f>IFERROR(__xludf.DUMMYFUNCTION("IFERROR(GOOGLEFINANCE(A535,""high""),"""")"),"")</f>
        <v/>
      </c>
      <c r="Y535" s="22" t="str">
        <f>IFERROR(__xludf.DUMMYFUNCTION("IFERROR(GOOGLEFINANCE(A535,""low""),"""")"),"")</f>
        <v/>
      </c>
      <c r="Z535" s="22">
        <f>IFERROR(__xludf.DUMMYFUNCTION("IFERROR(GOOGLEFINANCE(A535,""volume""),"""")"),0.0)</f>
        <v>0</v>
      </c>
      <c r="AA535" s="24" t="str">
        <f>VLOOKUP(A535,Metrik!$C$2:$Y$959,5,0)</f>
        <v>Real Estate Management &amp; Development</v>
      </c>
      <c r="AB535" s="24" t="str">
        <f>VLOOKUP(A535,Metrik!$C$2:$Y$959,3,0)</f>
        <v>Properties &amp; Real Estate</v>
      </c>
    </row>
    <row r="536">
      <c r="A536" s="17" t="s">
        <v>300</v>
      </c>
      <c r="B536" s="14" t="str">
        <f t="array" ref="B536">VLOOKUP(A536,{Metrik!$C$2:$C$998,Metrik!$B$2:$B$998},2,0)</f>
        <v>Charoen Pokphand Indonesia Tbk</v>
      </c>
      <c r="C536" s="15">
        <f>IFERROR(__xludf.DUMMYFUNCTION("GOOGLEFINANCE(""IDX:""&amp;A536,""price"")"),3300.0)</f>
        <v>3300</v>
      </c>
      <c r="D536" s="16" t="str">
        <f>IFERROR(__xludf.DUMMYFUNCTION("IF(A536="""","""",
SPARKLINE(
INDEX(
GOOGLEFINANCE(""IDX:""&amp;A536,""close"",TODAY()-365,TODAY()),
,2
),
{""linewidth"",1}
))
"),"#N/A")</f>
        <v>#N/A</v>
      </c>
      <c r="E536" s="14" t="s">
        <v>128</v>
      </c>
      <c r="F536" s="17" t="s">
        <v>36</v>
      </c>
      <c r="G536" s="24">
        <f t="shared" si="3"/>
        <v>13</v>
      </c>
      <c r="H536" s="19">
        <f>VLOOKUP(A536,Metrik!$C$2:$Y$959,8,0)</f>
        <v>10.5</v>
      </c>
      <c r="I536" s="20">
        <f>VLOOKUP(A536,Metrik!$C$2:$Y$959,9,0)</f>
        <v>1.9</v>
      </c>
      <c r="J536" s="20">
        <f>VLOOKUP(A536,Metrik!$C$2:$Y$959,10,0)</f>
        <v>18.2</v>
      </c>
      <c r="K536" s="20">
        <f>VLOOKUP(A536,Metrik!$C$2:$Y$959,11,0)</f>
        <v>13.8</v>
      </c>
      <c r="L536" s="20">
        <f>VLOOKUP(A536,Metrik!$C$2:$Y$959,12,0)</f>
        <v>0.32</v>
      </c>
      <c r="M536" s="20">
        <f>VLOOKUP(A536,Metrik!$C$2:$Y$959,19,0)</f>
        <v>33.5</v>
      </c>
      <c r="N536" s="21"/>
      <c r="O536" s="21"/>
      <c r="P536" s="21"/>
      <c r="Q536" s="21"/>
      <c r="R536" s="21"/>
      <c r="S536" s="21"/>
      <c r="T536" s="21"/>
      <c r="U536" s="22">
        <f>IFERROR(__xludf.DUMMYFUNCTION("IFERROR(GOOGLEFINANCE(A536,""closeyest""),"""")"),3260.0)</f>
        <v>3260</v>
      </c>
      <c r="V536" s="23">
        <f>IFERROR(__xludf.DUMMYFUNCTION("IFERROR(GOOGLEFINANCE(A536,""changepct""),"""")"),1.23)</f>
        <v>1.23</v>
      </c>
      <c r="W536" s="22">
        <f>IFERROR(__xludf.DUMMYFUNCTION("IFERROR(GOOGLEFINANCE(A536,""priceopen""),"""")"),3340.0)</f>
        <v>3340</v>
      </c>
      <c r="X536" s="22">
        <f>IFERROR(__xludf.DUMMYFUNCTION("IFERROR(GOOGLEFINANCE(A536,""high""),"""")"),3340.0)</f>
        <v>3340</v>
      </c>
      <c r="Y536" s="22">
        <f>IFERROR(__xludf.DUMMYFUNCTION("IFERROR(GOOGLEFINANCE(A536,""low""),"""")"),3240.0)</f>
        <v>3240</v>
      </c>
      <c r="Z536" s="22">
        <f>IFERROR(__xludf.DUMMYFUNCTION("IFERROR(GOOGLEFINANCE(A536,""volume""),"""")"),4628500.0)</f>
        <v>4628500</v>
      </c>
      <c r="AA536" s="24" t="str">
        <f>VLOOKUP(A536,Metrik!$C$2:$Y$959,5,0)</f>
        <v>Agricultural Products</v>
      </c>
      <c r="AB536" s="24" t="str">
        <f>VLOOKUP(A536,Metrik!$C$2:$Y$959,3,0)</f>
        <v>Consumer Non-Cyclicals</v>
      </c>
    </row>
    <row r="537">
      <c r="A537" s="17" t="s">
        <v>300</v>
      </c>
      <c r="B537" s="14" t="str">
        <f t="array" ref="B537">VLOOKUP(A537,{Metrik!$C$2:$C$998,Metrik!$B$2:$B$998},2,0)</f>
        <v>Charoen Pokphand Indonesia Tbk</v>
      </c>
      <c r="C537" s="15">
        <f>IFERROR(__xludf.DUMMYFUNCTION("GOOGLEFINANCE(""IDX:""&amp;A537,""price"")"),3300.0)</f>
        <v>3300</v>
      </c>
      <c r="D537" s="16" t="str">
        <f>IFERROR(__xludf.DUMMYFUNCTION("IF(A537="""","""",
SPARKLINE(
INDEX(
GOOGLEFINANCE(""IDX:""&amp;A537,""close"",TODAY()-365,TODAY()),
,2
),
{""linewidth"",1}
))
"),"#N/A")</f>
        <v>#N/A</v>
      </c>
      <c r="E537" s="14" t="s">
        <v>67</v>
      </c>
      <c r="F537" s="17" t="s">
        <v>51</v>
      </c>
      <c r="G537" s="38">
        <f>COUNTIFS($B$2:$B$1935,B537,$E$2:$E$1935,"&lt;&gt;")</f>
        <v>13</v>
      </c>
      <c r="H537" s="19">
        <f>VLOOKUP(A537,Metrik!$C$2:$Y$959,8,0)</f>
        <v>10.5</v>
      </c>
      <c r="I537" s="20">
        <f>VLOOKUP(A537,Metrik!$C$2:$Y$959,9,0)</f>
        <v>1.9</v>
      </c>
      <c r="J537" s="20">
        <f>VLOOKUP(A537,Metrik!$C$2:$Y$959,10,0)</f>
        <v>18.2</v>
      </c>
      <c r="K537" s="20">
        <f>VLOOKUP(A537,Metrik!$C$2:$Y$959,11,0)</f>
        <v>13.8</v>
      </c>
      <c r="L537" s="20">
        <f>VLOOKUP(A537,Metrik!$C$2:$Y$959,12,0)</f>
        <v>0.32</v>
      </c>
      <c r="M537" s="20">
        <f>VLOOKUP(A537,Metrik!$C$2:$Y$959,19,0)</f>
        <v>33.5</v>
      </c>
      <c r="N537" s="46"/>
      <c r="O537" s="46"/>
      <c r="P537" s="46"/>
      <c r="Q537" s="46"/>
      <c r="R537" s="46"/>
      <c r="S537" s="46"/>
      <c r="T537" s="46"/>
      <c r="U537" s="22">
        <f>IFERROR(__xludf.DUMMYFUNCTION("IFERROR(GOOGLEFINANCE(A537,""closeyest""),"""")"),3260.0)</f>
        <v>3260</v>
      </c>
      <c r="V537" s="23">
        <f>IFERROR(__xludf.DUMMYFUNCTION("IFERROR(GOOGLEFINANCE(A537,""changepct""),"""")"),1.23)</f>
        <v>1.23</v>
      </c>
      <c r="W537" s="22">
        <f>IFERROR(__xludf.DUMMYFUNCTION("IFERROR(GOOGLEFINANCE(A537,""priceopen""),"""")"),3340.0)</f>
        <v>3340</v>
      </c>
      <c r="X537" s="22">
        <f>IFERROR(__xludf.DUMMYFUNCTION("IFERROR(GOOGLEFINANCE(A537,""high""),"""")"),3340.0)</f>
        <v>3340</v>
      </c>
      <c r="Y537" s="22">
        <f>IFERROR(__xludf.DUMMYFUNCTION("IFERROR(GOOGLEFINANCE(A537,""low""),"""")"),3240.0)</f>
        <v>3240</v>
      </c>
      <c r="Z537" s="22">
        <f>IFERROR(__xludf.DUMMYFUNCTION("IFERROR(GOOGLEFINANCE(A537,""volume""),"""")"),4628500.0)</f>
        <v>4628500</v>
      </c>
      <c r="AA537" s="24" t="str">
        <f>VLOOKUP(A537,Metrik!$C$2:$Y$959,5,0)</f>
        <v>Agricultural Products</v>
      </c>
      <c r="AB537" s="24" t="str">
        <f>VLOOKUP(A537,Metrik!$C$2:$Y$959,3,0)</f>
        <v>Consumer Non-Cyclicals</v>
      </c>
    </row>
    <row r="538">
      <c r="A538" s="14" t="s">
        <v>300</v>
      </c>
      <c r="B538" s="14" t="str">
        <f t="array" ref="B538">VLOOKUP(A538,{Metrik!$C$2:$C$998,Metrik!$B$2:$B$998},2,0)</f>
        <v>Charoen Pokphand Indonesia Tbk</v>
      </c>
      <c r="C538" s="15">
        <f>IFERROR(__xludf.DUMMYFUNCTION("GOOGLEFINANCE(""IDX:""&amp;A538,""price"")"),3300.0)</f>
        <v>3300</v>
      </c>
      <c r="D538" s="16" t="str">
        <f>IFERROR(__xludf.DUMMYFUNCTION("IF(A538="""","""",
SPARKLINE(
INDEX(
GOOGLEFINANCE(""IDX:""&amp;A538,""close"",TODAY()-365,TODAY()),
,2
),
{""linewidth"",1}
))
"),"#N/A")</f>
        <v>#N/A</v>
      </c>
      <c r="E538" s="14" t="s">
        <v>30</v>
      </c>
      <c r="F538" s="17" t="s">
        <v>29</v>
      </c>
      <c r="G538" s="18">
        <f t="shared" ref="G538:G589" si="4">COUNTIFS($B$2:$B$1937,B538,$E$2:$E$1937,"&lt;&gt;")</f>
        <v>13</v>
      </c>
      <c r="H538" s="19">
        <f>VLOOKUP(A538,Metrik!$C$2:$Y$959,8,0)</f>
        <v>10.5</v>
      </c>
      <c r="I538" s="20">
        <f>VLOOKUP(A538,Metrik!$C$2:$Y$959,9,0)</f>
        <v>1.9</v>
      </c>
      <c r="J538" s="20">
        <f>VLOOKUP(A538,Metrik!$C$2:$Y$959,10,0)</f>
        <v>18.2</v>
      </c>
      <c r="K538" s="20">
        <f>VLOOKUP(A538,Metrik!$C$2:$Y$959,11,0)</f>
        <v>13.8</v>
      </c>
      <c r="L538" s="20">
        <f>VLOOKUP(A538,Metrik!$C$2:$Y$959,12,0)</f>
        <v>0.32</v>
      </c>
      <c r="M538" s="20">
        <f>VLOOKUP(A538,Metrik!$C$2:$Y$959,19,0)</f>
        <v>33.5</v>
      </c>
      <c r="N538" s="21"/>
      <c r="O538" s="21"/>
      <c r="P538" s="21"/>
      <c r="Q538" s="21"/>
      <c r="R538" s="21"/>
      <c r="S538" s="21"/>
      <c r="T538" s="21"/>
      <c r="U538" s="22">
        <f>IFERROR(__xludf.DUMMYFUNCTION("IFERROR(GOOGLEFINANCE(A538,""closeyest""),"""")"),3260.0)</f>
        <v>3260</v>
      </c>
      <c r="V538" s="23">
        <f>IFERROR(__xludf.DUMMYFUNCTION("IFERROR(GOOGLEFINANCE(A538,""changepct""),"""")"),1.23)</f>
        <v>1.23</v>
      </c>
      <c r="W538" s="22">
        <f>IFERROR(__xludf.DUMMYFUNCTION("IFERROR(GOOGLEFINANCE(A538,""priceopen""),"""")"),3340.0)</f>
        <v>3340</v>
      </c>
      <c r="X538" s="22">
        <f>IFERROR(__xludf.DUMMYFUNCTION("IFERROR(GOOGLEFINANCE(A538,""high""),"""")"),3340.0)</f>
        <v>3340</v>
      </c>
      <c r="Y538" s="22">
        <f>IFERROR(__xludf.DUMMYFUNCTION("IFERROR(GOOGLEFINANCE(A538,""low""),"""")"),3240.0)</f>
        <v>3240</v>
      </c>
      <c r="Z538" s="22">
        <f>IFERROR(__xludf.DUMMYFUNCTION("IFERROR(GOOGLEFINANCE(A538,""volume""),"""")"),4628500.0)</f>
        <v>4628500</v>
      </c>
      <c r="AA538" s="24" t="str">
        <f>VLOOKUP(A538,Metrik!$C$2:$Y$959,5,0)</f>
        <v>Agricultural Products</v>
      </c>
      <c r="AB538" s="24" t="str">
        <f>VLOOKUP(A538,Metrik!$C$2:$Y$959,3,0)</f>
        <v>Consumer Non-Cyclicals</v>
      </c>
    </row>
    <row r="539">
      <c r="A539" s="14" t="s">
        <v>300</v>
      </c>
      <c r="B539" s="14" t="str">
        <f t="array" ref="B539">VLOOKUP(A539,{Metrik!$C$2:$C$998,Metrik!$B$2:$B$998},2,0)</f>
        <v>Charoen Pokphand Indonesia Tbk</v>
      </c>
      <c r="C539" s="15">
        <f>IFERROR(__xludf.DUMMYFUNCTION("GOOGLEFINANCE(""IDX:""&amp;A539,""price"")"),3300.0)</f>
        <v>3300</v>
      </c>
      <c r="D539" s="16" t="str">
        <f>IFERROR(__xludf.DUMMYFUNCTION("IF(A539="""","""",
SPARKLINE(
INDEX(
GOOGLEFINANCE(""IDX:""&amp;A539,""close"",TODAY()-365,TODAY()),
,2
),
{""linewidth"",1}
))
"),"#N/A")</f>
        <v>#N/A</v>
      </c>
      <c r="E539" s="14" t="s">
        <v>31</v>
      </c>
      <c r="F539" s="17" t="s">
        <v>29</v>
      </c>
      <c r="G539" s="18">
        <f t="shared" si="4"/>
        <v>13</v>
      </c>
      <c r="H539" s="19">
        <f>VLOOKUP(A539,Metrik!$C$2:$Y$959,8,0)</f>
        <v>10.5</v>
      </c>
      <c r="I539" s="20">
        <f>VLOOKUP(A539,Metrik!$C$2:$Y$959,9,0)</f>
        <v>1.9</v>
      </c>
      <c r="J539" s="20">
        <f>VLOOKUP(A539,Metrik!$C$2:$Y$959,10,0)</f>
        <v>18.2</v>
      </c>
      <c r="K539" s="20">
        <f>VLOOKUP(A539,Metrik!$C$2:$Y$959,11,0)</f>
        <v>13.8</v>
      </c>
      <c r="L539" s="20">
        <f>VLOOKUP(A539,Metrik!$C$2:$Y$959,12,0)</f>
        <v>0.32</v>
      </c>
      <c r="M539" s="20">
        <f>VLOOKUP(A539,Metrik!$C$2:$Y$959,19,0)</f>
        <v>33.5</v>
      </c>
      <c r="N539" s="21"/>
      <c r="O539" s="21"/>
      <c r="P539" s="21"/>
      <c r="Q539" s="21"/>
      <c r="R539" s="21"/>
      <c r="S539" s="21"/>
      <c r="T539" s="21"/>
      <c r="U539" s="22">
        <f>IFERROR(__xludf.DUMMYFUNCTION("IFERROR(GOOGLEFINANCE(A539,""closeyest""),"""")"),3260.0)</f>
        <v>3260</v>
      </c>
      <c r="V539" s="23">
        <f>IFERROR(__xludf.DUMMYFUNCTION("IFERROR(GOOGLEFINANCE(A539,""changepct""),"""")"),1.23)</f>
        <v>1.23</v>
      </c>
      <c r="W539" s="22">
        <f>IFERROR(__xludf.DUMMYFUNCTION("IFERROR(GOOGLEFINANCE(A539,""priceopen""),"""")"),3340.0)</f>
        <v>3340</v>
      </c>
      <c r="X539" s="22">
        <f>IFERROR(__xludf.DUMMYFUNCTION("IFERROR(GOOGLEFINANCE(A539,""high""),"""")"),3340.0)</f>
        <v>3340</v>
      </c>
      <c r="Y539" s="22">
        <f>IFERROR(__xludf.DUMMYFUNCTION("IFERROR(GOOGLEFINANCE(A539,""low""),"""")"),3240.0)</f>
        <v>3240</v>
      </c>
      <c r="Z539" s="22">
        <f>IFERROR(__xludf.DUMMYFUNCTION("IFERROR(GOOGLEFINANCE(A539,""volume""),"""")"),4628500.0)</f>
        <v>4628500</v>
      </c>
      <c r="AA539" s="24" t="str">
        <f>VLOOKUP(A539,Metrik!$C$2:$Y$959,5,0)</f>
        <v>Agricultural Products</v>
      </c>
      <c r="AB539" s="24" t="str">
        <f>VLOOKUP(A539,Metrik!$C$2:$Y$959,3,0)</f>
        <v>Consumer Non-Cyclicals</v>
      </c>
    </row>
    <row r="540">
      <c r="A540" s="14" t="s">
        <v>300</v>
      </c>
      <c r="B540" s="14" t="str">
        <f t="array" ref="B540">VLOOKUP(A540,{Metrik!$C$2:$C$998,Metrik!$B$2:$B$998},2,0)</f>
        <v>Charoen Pokphand Indonesia Tbk</v>
      </c>
      <c r="C540" s="15">
        <f>IFERROR(__xludf.DUMMYFUNCTION("GOOGLEFINANCE(""IDX:""&amp;A540,""price"")"),3300.0)</f>
        <v>3300</v>
      </c>
      <c r="D540" s="16" t="str">
        <f>IFERROR(__xludf.DUMMYFUNCTION("IF(A540="""","""",
SPARKLINE(
INDEX(
GOOGLEFINANCE(""IDX:""&amp;A540,""close"",TODAY()-365,TODAY()),
,2
),
{""linewidth"",1}
))
"),"#N/A")</f>
        <v>#N/A</v>
      </c>
      <c r="E540" s="14" t="s">
        <v>28</v>
      </c>
      <c r="F540" s="17" t="s">
        <v>29</v>
      </c>
      <c r="G540" s="18">
        <f t="shared" si="4"/>
        <v>13</v>
      </c>
      <c r="H540" s="19">
        <f>VLOOKUP(A540,Metrik!$C$2:$Y$959,8,0)</f>
        <v>10.5</v>
      </c>
      <c r="I540" s="20">
        <f>VLOOKUP(A540,Metrik!$C$2:$Y$959,9,0)</f>
        <v>1.9</v>
      </c>
      <c r="J540" s="20">
        <f>VLOOKUP(A540,Metrik!$C$2:$Y$959,10,0)</f>
        <v>18.2</v>
      </c>
      <c r="K540" s="20">
        <f>VLOOKUP(A540,Metrik!$C$2:$Y$959,11,0)</f>
        <v>13.8</v>
      </c>
      <c r="L540" s="20">
        <f>VLOOKUP(A540,Metrik!$C$2:$Y$959,12,0)</f>
        <v>0.32</v>
      </c>
      <c r="M540" s="20">
        <f>VLOOKUP(A540,Metrik!$C$2:$Y$959,19,0)</f>
        <v>33.5</v>
      </c>
      <c r="N540" s="21"/>
      <c r="O540" s="21"/>
      <c r="P540" s="21"/>
      <c r="Q540" s="21"/>
      <c r="R540" s="21"/>
      <c r="S540" s="21"/>
      <c r="T540" s="21"/>
      <c r="U540" s="22">
        <f>IFERROR(__xludf.DUMMYFUNCTION("IFERROR(GOOGLEFINANCE(A540,""closeyest""),"""")"),3260.0)</f>
        <v>3260</v>
      </c>
      <c r="V540" s="23">
        <f>IFERROR(__xludf.DUMMYFUNCTION("IFERROR(GOOGLEFINANCE(A540,""changepct""),"""")"),1.23)</f>
        <v>1.23</v>
      </c>
      <c r="W540" s="22">
        <f>IFERROR(__xludf.DUMMYFUNCTION("IFERROR(GOOGLEFINANCE(A540,""priceopen""),"""")"),3340.0)</f>
        <v>3340</v>
      </c>
      <c r="X540" s="22">
        <f>IFERROR(__xludf.DUMMYFUNCTION("IFERROR(GOOGLEFINANCE(A540,""high""),"""")"),3340.0)</f>
        <v>3340</v>
      </c>
      <c r="Y540" s="22">
        <f>IFERROR(__xludf.DUMMYFUNCTION("IFERROR(GOOGLEFINANCE(A540,""low""),"""")"),3240.0)</f>
        <v>3240</v>
      </c>
      <c r="Z540" s="22">
        <f>IFERROR(__xludf.DUMMYFUNCTION("IFERROR(GOOGLEFINANCE(A540,""volume""),"""")"),4628500.0)</f>
        <v>4628500</v>
      </c>
      <c r="AA540" s="24" t="str">
        <f>VLOOKUP(A540,Metrik!$C$2:$Y$959,5,0)</f>
        <v>Agricultural Products</v>
      </c>
      <c r="AB540" s="24" t="str">
        <f>VLOOKUP(A540,Metrik!$C$2:$Y$959,3,0)</f>
        <v>Consumer Non-Cyclicals</v>
      </c>
    </row>
    <row r="541">
      <c r="A541" s="14" t="s">
        <v>300</v>
      </c>
      <c r="B541" s="14" t="str">
        <f t="array" ref="B541">VLOOKUP(A541,{Metrik!$C$2:$C$998,Metrik!$B$2:$B$998},2,0)</f>
        <v>Charoen Pokphand Indonesia Tbk</v>
      </c>
      <c r="C541" s="15">
        <f>IFERROR(__xludf.DUMMYFUNCTION("GOOGLEFINANCE(""IDX:""&amp;A541,""price"")"),3300.0)</f>
        <v>3300</v>
      </c>
      <c r="D541" s="16" t="str">
        <f>IFERROR(__xludf.DUMMYFUNCTION("IF(A541="""","""",
SPARKLINE(
INDEX(
GOOGLEFINANCE(""IDX:""&amp;A541,""close"",TODAY()-365,TODAY()),
,2
),
{""linewidth"",1}
))
"),"#N/A")</f>
        <v>#N/A</v>
      </c>
      <c r="E541" s="14" t="s">
        <v>102</v>
      </c>
      <c r="F541" s="27" t="s">
        <v>53</v>
      </c>
      <c r="G541" s="18">
        <f t="shared" si="4"/>
        <v>13</v>
      </c>
      <c r="H541" s="19">
        <f>VLOOKUP(A541,Metrik!$C$2:$Y$959,8,0)</f>
        <v>10.5</v>
      </c>
      <c r="I541" s="20">
        <f>VLOOKUP(A541,Metrik!$C$2:$Y$959,9,0)</f>
        <v>1.9</v>
      </c>
      <c r="J541" s="20">
        <f>VLOOKUP(A541,Metrik!$C$2:$Y$959,10,0)</f>
        <v>18.2</v>
      </c>
      <c r="K541" s="20">
        <f>VLOOKUP(A541,Metrik!$C$2:$Y$959,11,0)</f>
        <v>13.8</v>
      </c>
      <c r="L541" s="20">
        <f>VLOOKUP(A541,Metrik!$C$2:$Y$959,12,0)</f>
        <v>0.32</v>
      </c>
      <c r="M541" s="20">
        <f>VLOOKUP(A541,Metrik!$C$2:$Y$959,19,0)</f>
        <v>33.5</v>
      </c>
      <c r="N541" s="21"/>
      <c r="O541" s="21"/>
      <c r="P541" s="21"/>
      <c r="Q541" s="21"/>
      <c r="R541" s="21"/>
      <c r="S541" s="21"/>
      <c r="T541" s="21"/>
      <c r="U541" s="22">
        <f>IFERROR(__xludf.DUMMYFUNCTION("IFERROR(GOOGLEFINANCE(A541,""closeyest""),"""")"),3260.0)</f>
        <v>3260</v>
      </c>
      <c r="V541" s="23">
        <f>IFERROR(__xludf.DUMMYFUNCTION("IFERROR(GOOGLEFINANCE(A541,""changepct""),"""")"),1.23)</f>
        <v>1.23</v>
      </c>
      <c r="W541" s="22">
        <f>IFERROR(__xludf.DUMMYFUNCTION("IFERROR(GOOGLEFINANCE(A541,""priceopen""),"""")"),3340.0)</f>
        <v>3340</v>
      </c>
      <c r="X541" s="22">
        <f>IFERROR(__xludf.DUMMYFUNCTION("IFERROR(GOOGLEFINANCE(A541,""high""),"""")"),3340.0)</f>
        <v>3340</v>
      </c>
      <c r="Y541" s="22">
        <f>IFERROR(__xludf.DUMMYFUNCTION("IFERROR(GOOGLEFINANCE(A541,""low""),"""")"),3240.0)</f>
        <v>3240</v>
      </c>
      <c r="Z541" s="22">
        <f>IFERROR(__xludf.DUMMYFUNCTION("IFERROR(GOOGLEFINANCE(A541,""volume""),"""")"),4628500.0)</f>
        <v>4628500</v>
      </c>
      <c r="AA541" s="24" t="str">
        <f>VLOOKUP(A541,Metrik!$C$2:$Y$959,5,0)</f>
        <v>Agricultural Products</v>
      </c>
      <c r="AB541" s="24" t="str">
        <f>VLOOKUP(A541,Metrik!$C$2:$Y$959,3,0)</f>
        <v>Consumer Non-Cyclicals</v>
      </c>
    </row>
    <row r="542">
      <c r="A542" s="14" t="s">
        <v>300</v>
      </c>
      <c r="B542" s="14" t="str">
        <f t="array" ref="B542">VLOOKUP(A542,{Metrik!$C$2:$C$998,Metrik!$B$2:$B$998},2,0)</f>
        <v>Charoen Pokphand Indonesia Tbk</v>
      </c>
      <c r="C542" s="15">
        <f>IFERROR(__xludf.DUMMYFUNCTION("GOOGLEFINANCE(""IDX:""&amp;A542,""price"")"),3300.0)</f>
        <v>3300</v>
      </c>
      <c r="D542" s="16" t="str">
        <f>IFERROR(__xludf.DUMMYFUNCTION("IF(A542="""","""",
SPARKLINE(
INDEX(
GOOGLEFINANCE(""IDX:""&amp;A542,""close"",TODAY()-365,TODAY()),
,2
),
{""linewidth"",1}
))
"),"#N/A")</f>
        <v>#N/A</v>
      </c>
      <c r="E542" s="14" t="s">
        <v>32</v>
      </c>
      <c r="F542" s="14" t="s">
        <v>29</v>
      </c>
      <c r="G542" s="18">
        <f t="shared" si="4"/>
        <v>13</v>
      </c>
      <c r="H542" s="19">
        <f>VLOOKUP(A542,Metrik!$C$2:$Y$959,8,0)</f>
        <v>10.5</v>
      </c>
      <c r="I542" s="20">
        <f>VLOOKUP(A542,Metrik!$C$2:$Y$959,9,0)</f>
        <v>1.9</v>
      </c>
      <c r="J542" s="20">
        <f>VLOOKUP(A542,Metrik!$C$2:$Y$959,10,0)</f>
        <v>18.2</v>
      </c>
      <c r="K542" s="20">
        <f>VLOOKUP(A542,Metrik!$C$2:$Y$959,11,0)</f>
        <v>13.8</v>
      </c>
      <c r="L542" s="20">
        <f>VLOOKUP(A542,Metrik!$C$2:$Y$959,12,0)</f>
        <v>0.32</v>
      </c>
      <c r="M542" s="20">
        <f>VLOOKUP(A542,Metrik!$C$2:$Y$959,19,0)</f>
        <v>33.5</v>
      </c>
      <c r="N542" s="21"/>
      <c r="O542" s="21"/>
      <c r="P542" s="21"/>
      <c r="Q542" s="21"/>
      <c r="R542" s="21"/>
      <c r="S542" s="21"/>
      <c r="T542" s="21"/>
      <c r="U542" s="22">
        <f>IFERROR(__xludf.DUMMYFUNCTION("IFERROR(GOOGLEFINANCE(A542,""closeyest""),"""")"),3260.0)</f>
        <v>3260</v>
      </c>
      <c r="V542" s="23">
        <f>IFERROR(__xludf.DUMMYFUNCTION("IFERROR(GOOGLEFINANCE(A542,""changepct""),"""")"),1.23)</f>
        <v>1.23</v>
      </c>
      <c r="W542" s="22">
        <f>IFERROR(__xludf.DUMMYFUNCTION("IFERROR(GOOGLEFINANCE(A542,""priceopen""),"""")"),3340.0)</f>
        <v>3340</v>
      </c>
      <c r="X542" s="22">
        <f>IFERROR(__xludf.DUMMYFUNCTION("IFERROR(GOOGLEFINANCE(A542,""high""),"""")"),3340.0)</f>
        <v>3340</v>
      </c>
      <c r="Y542" s="22">
        <f>IFERROR(__xludf.DUMMYFUNCTION("IFERROR(GOOGLEFINANCE(A542,""low""),"""")"),3240.0)</f>
        <v>3240</v>
      </c>
      <c r="Z542" s="22">
        <f>IFERROR(__xludf.DUMMYFUNCTION("IFERROR(GOOGLEFINANCE(A542,""volume""),"""")"),4628500.0)</f>
        <v>4628500</v>
      </c>
      <c r="AA542" s="24" t="str">
        <f>VLOOKUP(A542,Metrik!$C$2:$Y$959,5,0)</f>
        <v>Agricultural Products</v>
      </c>
      <c r="AB542" s="24" t="str">
        <f>VLOOKUP(A542,Metrik!$C$2:$Y$959,3,0)</f>
        <v>Consumer Non-Cyclicals</v>
      </c>
    </row>
    <row r="543">
      <c r="A543" s="14" t="s">
        <v>300</v>
      </c>
      <c r="B543" s="14" t="str">
        <f t="array" ref="B543">VLOOKUP(A543,{Metrik!$C$2:$C$998,Metrik!$B$2:$B$998},2,0)</f>
        <v>Charoen Pokphand Indonesia Tbk</v>
      </c>
      <c r="C543" s="15">
        <f>IFERROR(__xludf.DUMMYFUNCTION("GOOGLEFINANCE(""IDX:""&amp;A543,""price"")"),3300.0)</f>
        <v>3300</v>
      </c>
      <c r="D543" s="16" t="str">
        <f>IFERROR(__xludf.DUMMYFUNCTION("IF(A543="""","""",
SPARKLINE(
INDEX(
GOOGLEFINANCE(""IDX:""&amp;A543,""close"",TODAY()-365,TODAY()),
,2
),
{""linewidth"",1}
))
"),"#N/A")</f>
        <v>#N/A</v>
      </c>
      <c r="E543" s="14" t="s">
        <v>54</v>
      </c>
      <c r="F543" s="14" t="s">
        <v>34</v>
      </c>
      <c r="G543" s="18">
        <f t="shared" si="4"/>
        <v>13</v>
      </c>
      <c r="H543" s="19">
        <f>VLOOKUP(A543,Metrik!$C$2:$Y$959,8,0)</f>
        <v>10.5</v>
      </c>
      <c r="I543" s="20">
        <f>VLOOKUP(A543,Metrik!$C$2:$Y$959,9,0)</f>
        <v>1.9</v>
      </c>
      <c r="J543" s="20">
        <f>VLOOKUP(A543,Metrik!$C$2:$Y$959,10,0)</f>
        <v>18.2</v>
      </c>
      <c r="K543" s="20">
        <f>VLOOKUP(A543,Metrik!$C$2:$Y$959,11,0)</f>
        <v>13.8</v>
      </c>
      <c r="L543" s="20">
        <f>VLOOKUP(A543,Metrik!$C$2:$Y$959,12,0)</f>
        <v>0.32</v>
      </c>
      <c r="M543" s="20">
        <f>VLOOKUP(A543,Metrik!$C$2:$Y$959,19,0)</f>
        <v>33.5</v>
      </c>
      <c r="N543" s="21"/>
      <c r="O543" s="21"/>
      <c r="P543" s="21"/>
      <c r="Q543" s="21"/>
      <c r="R543" s="21"/>
      <c r="S543" s="21"/>
      <c r="T543" s="21"/>
      <c r="U543" s="22">
        <f>IFERROR(__xludf.DUMMYFUNCTION("IFERROR(GOOGLEFINANCE(A543,""closeyest""),"""")"),3260.0)</f>
        <v>3260</v>
      </c>
      <c r="V543" s="23">
        <f>IFERROR(__xludf.DUMMYFUNCTION("IFERROR(GOOGLEFINANCE(A543,""changepct""),"""")"),1.23)</f>
        <v>1.23</v>
      </c>
      <c r="W543" s="22">
        <f>IFERROR(__xludf.DUMMYFUNCTION("IFERROR(GOOGLEFINANCE(A543,""priceopen""),"""")"),3340.0)</f>
        <v>3340</v>
      </c>
      <c r="X543" s="22">
        <f>IFERROR(__xludf.DUMMYFUNCTION("IFERROR(GOOGLEFINANCE(A543,""high""),"""")"),3340.0)</f>
        <v>3340</v>
      </c>
      <c r="Y543" s="22">
        <f>IFERROR(__xludf.DUMMYFUNCTION("IFERROR(GOOGLEFINANCE(A543,""low""),"""")"),3240.0)</f>
        <v>3240</v>
      </c>
      <c r="Z543" s="22">
        <f>IFERROR(__xludf.DUMMYFUNCTION("IFERROR(GOOGLEFINANCE(A543,""volume""),"""")"),4628500.0)</f>
        <v>4628500</v>
      </c>
      <c r="AA543" s="24" t="str">
        <f>VLOOKUP(A543,Metrik!$C$2:$Y$959,5,0)</f>
        <v>Agricultural Products</v>
      </c>
      <c r="AB543" s="24" t="str">
        <f>VLOOKUP(A543,Metrik!$C$2:$Y$959,3,0)</f>
        <v>Consumer Non-Cyclicals</v>
      </c>
    </row>
    <row r="544">
      <c r="A544" s="17" t="s">
        <v>300</v>
      </c>
      <c r="B544" s="14" t="str">
        <f t="array" ref="B544">VLOOKUP(A544,{Metrik!$C$2:$C$998,Metrik!$B$2:$B$998},2,0)</f>
        <v>Charoen Pokphand Indonesia Tbk</v>
      </c>
      <c r="C544" s="15">
        <f>IFERROR(__xludf.DUMMYFUNCTION("GOOGLEFINANCE(""IDX:""&amp;A544,""price"")"),3300.0)</f>
        <v>3300</v>
      </c>
      <c r="D544" s="16" t="str">
        <f>IFERROR(__xludf.DUMMYFUNCTION("IF(A544="""","""",
SPARKLINE(
INDEX(
GOOGLEFINANCE(""IDX:""&amp;A544,""close"",TODAY()-365,TODAY()),
,2
),
{""linewidth"",1}
))
"),"#N/A")</f>
        <v>#N/A</v>
      </c>
      <c r="E544" s="14" t="s">
        <v>84</v>
      </c>
      <c r="F544" s="17" t="s">
        <v>51</v>
      </c>
      <c r="G544" s="24">
        <f t="shared" si="4"/>
        <v>13</v>
      </c>
      <c r="H544" s="19">
        <f>VLOOKUP(A544,Metrik!$C$2:$Y$959,8,0)</f>
        <v>10.5</v>
      </c>
      <c r="I544" s="20">
        <f>VLOOKUP(A544,Metrik!$C$2:$Y$959,9,0)</f>
        <v>1.9</v>
      </c>
      <c r="J544" s="20">
        <f>VLOOKUP(A544,Metrik!$C$2:$Y$959,10,0)</f>
        <v>18.2</v>
      </c>
      <c r="K544" s="20">
        <f>VLOOKUP(A544,Metrik!$C$2:$Y$959,11,0)</f>
        <v>13.8</v>
      </c>
      <c r="L544" s="20">
        <f>VLOOKUP(A544,Metrik!$C$2:$Y$959,12,0)</f>
        <v>0.32</v>
      </c>
      <c r="M544" s="20">
        <f>VLOOKUP(A544,Metrik!$C$2:$Y$959,19,0)</f>
        <v>33.5</v>
      </c>
      <c r="N544" s="21"/>
      <c r="O544" s="21"/>
      <c r="P544" s="21"/>
      <c r="Q544" s="21"/>
      <c r="R544" s="21"/>
      <c r="S544" s="21"/>
      <c r="T544" s="21"/>
      <c r="U544" s="22">
        <f>IFERROR(__xludf.DUMMYFUNCTION("IFERROR(GOOGLEFINANCE(A544,""closeyest""),"""")"),3260.0)</f>
        <v>3260</v>
      </c>
      <c r="V544" s="23">
        <f>IFERROR(__xludf.DUMMYFUNCTION("IFERROR(GOOGLEFINANCE(A544,""changepct""),"""")"),1.23)</f>
        <v>1.23</v>
      </c>
      <c r="W544" s="22">
        <f>IFERROR(__xludf.DUMMYFUNCTION("IFERROR(GOOGLEFINANCE(A544,""priceopen""),"""")"),3340.0)</f>
        <v>3340</v>
      </c>
      <c r="X544" s="22">
        <f>IFERROR(__xludf.DUMMYFUNCTION("IFERROR(GOOGLEFINANCE(A544,""high""),"""")"),3340.0)</f>
        <v>3340</v>
      </c>
      <c r="Y544" s="22">
        <f>IFERROR(__xludf.DUMMYFUNCTION("IFERROR(GOOGLEFINANCE(A544,""low""),"""")"),3240.0)</f>
        <v>3240</v>
      </c>
      <c r="Z544" s="22">
        <f>IFERROR(__xludf.DUMMYFUNCTION("IFERROR(GOOGLEFINANCE(A544,""volume""),"""")"),4628500.0)</f>
        <v>4628500</v>
      </c>
      <c r="AA544" s="24" t="str">
        <f>VLOOKUP(A544,Metrik!$C$2:$Y$959,5,0)</f>
        <v>Agricultural Products</v>
      </c>
      <c r="AB544" s="24" t="str">
        <f>VLOOKUP(A544,Metrik!$C$2:$Y$959,3,0)</f>
        <v>Consumer Non-Cyclicals</v>
      </c>
    </row>
    <row r="545">
      <c r="A545" s="17" t="s">
        <v>300</v>
      </c>
      <c r="B545" s="14" t="str">
        <f t="array" ref="B545">VLOOKUP(A545,{Metrik!$C$2:$C$998,Metrik!$B$2:$B$998},2,0)</f>
        <v>Charoen Pokphand Indonesia Tbk</v>
      </c>
      <c r="C545" s="15">
        <f>IFERROR(__xludf.DUMMYFUNCTION("GOOGLEFINANCE(""IDX:""&amp;A545,""price"")"),3300.0)</f>
        <v>3300</v>
      </c>
      <c r="D545" s="16" t="str">
        <f>IFERROR(__xludf.DUMMYFUNCTION("IF(A545="""","""",
SPARKLINE(
INDEX(
GOOGLEFINANCE(""IDX:""&amp;A545,""close"",TODAY()-365,TODAY()),
,2
),
{""linewidth"",1}
))
"),"#N/A")</f>
        <v>#N/A</v>
      </c>
      <c r="E545" s="17" t="s">
        <v>69</v>
      </c>
      <c r="F545" s="17" t="s">
        <v>70</v>
      </c>
      <c r="G545" s="24">
        <f t="shared" si="4"/>
        <v>13</v>
      </c>
      <c r="H545" s="19">
        <f>VLOOKUP(A545,Metrik!$C$2:$Y$959,8,0)</f>
        <v>10.5</v>
      </c>
      <c r="I545" s="20">
        <f>VLOOKUP(A545,Metrik!$C$2:$Y$959,9,0)</f>
        <v>1.9</v>
      </c>
      <c r="J545" s="20">
        <f>VLOOKUP(A545,Metrik!$C$2:$Y$959,10,0)</f>
        <v>18.2</v>
      </c>
      <c r="K545" s="20">
        <f>VLOOKUP(A545,Metrik!$C$2:$Y$959,11,0)</f>
        <v>13.8</v>
      </c>
      <c r="L545" s="20">
        <f>VLOOKUP(A545,Metrik!$C$2:$Y$959,12,0)</f>
        <v>0.32</v>
      </c>
      <c r="M545" s="20">
        <f>VLOOKUP(A545,Metrik!$C$2:$Y$959,19,0)</f>
        <v>33.5</v>
      </c>
      <c r="N545" s="21"/>
      <c r="O545" s="21"/>
      <c r="P545" s="21"/>
      <c r="Q545" s="21"/>
      <c r="R545" s="21"/>
      <c r="S545" s="21"/>
      <c r="T545" s="21"/>
      <c r="U545" s="22">
        <f>IFERROR(__xludf.DUMMYFUNCTION("IFERROR(GOOGLEFINANCE(A545,""closeyest""),"""")"),3260.0)</f>
        <v>3260</v>
      </c>
      <c r="V545" s="23">
        <f>IFERROR(__xludf.DUMMYFUNCTION("IFERROR(GOOGLEFINANCE(A545,""changepct""),"""")"),1.23)</f>
        <v>1.23</v>
      </c>
      <c r="W545" s="22">
        <f>IFERROR(__xludf.DUMMYFUNCTION("IFERROR(GOOGLEFINANCE(A545,""priceopen""),"""")"),3340.0)</f>
        <v>3340</v>
      </c>
      <c r="X545" s="22">
        <f>IFERROR(__xludf.DUMMYFUNCTION("IFERROR(GOOGLEFINANCE(A545,""high""),"""")"),3340.0)</f>
        <v>3340</v>
      </c>
      <c r="Y545" s="22">
        <f>IFERROR(__xludf.DUMMYFUNCTION("IFERROR(GOOGLEFINANCE(A545,""low""),"""")"),3240.0)</f>
        <v>3240</v>
      </c>
      <c r="Z545" s="22">
        <f>IFERROR(__xludf.DUMMYFUNCTION("IFERROR(GOOGLEFINANCE(A545,""volume""),"""")"),4628500.0)</f>
        <v>4628500</v>
      </c>
      <c r="AA545" s="24" t="str">
        <f>VLOOKUP(A545,Metrik!$C$2:$Y$959,5,0)</f>
        <v>Agricultural Products</v>
      </c>
      <c r="AB545" s="24" t="str">
        <f>VLOOKUP(A545,Metrik!$C$2:$Y$959,3,0)</f>
        <v>Consumer Non-Cyclicals</v>
      </c>
    </row>
    <row r="546">
      <c r="A546" s="14" t="s">
        <v>300</v>
      </c>
      <c r="B546" s="14" t="str">
        <f t="array" ref="B546">VLOOKUP(A546,{Metrik!$C$2:$C$998,Metrik!$B$2:$B$998},2,0)</f>
        <v>Charoen Pokphand Indonesia Tbk</v>
      </c>
      <c r="C546" s="15">
        <f>IFERROR(__xludf.DUMMYFUNCTION("GOOGLEFINANCE(""IDX:""&amp;A546,""price"")"),3300.0)</f>
        <v>3300</v>
      </c>
      <c r="D546" s="16" t="str">
        <f>IFERROR(__xludf.DUMMYFUNCTION("IF(A546="""","""",
SPARKLINE(
INDEX(
GOOGLEFINANCE(""IDX:""&amp;A546,""close"",TODAY()-365,TODAY()),
,2
),
{""linewidth"",1}
))
"),"#N/A")</f>
        <v>#N/A</v>
      </c>
      <c r="E546" s="14" t="s">
        <v>42</v>
      </c>
      <c r="F546" s="25">
        <v>46356.0</v>
      </c>
      <c r="G546" s="18">
        <f t="shared" si="4"/>
        <v>13</v>
      </c>
      <c r="H546" s="19">
        <f>VLOOKUP(A546,Metrik!$C$2:$Y$959,8,0)</f>
        <v>10.5</v>
      </c>
      <c r="I546" s="20">
        <f>VLOOKUP(A546,Metrik!$C$2:$Y$959,9,0)</f>
        <v>1.9</v>
      </c>
      <c r="J546" s="20">
        <f>VLOOKUP(A546,Metrik!$C$2:$Y$959,10,0)</f>
        <v>18.2</v>
      </c>
      <c r="K546" s="20">
        <f>VLOOKUP(A546,Metrik!$C$2:$Y$959,11,0)</f>
        <v>13.8</v>
      </c>
      <c r="L546" s="20">
        <f>VLOOKUP(A546,Metrik!$C$2:$Y$959,12,0)</f>
        <v>0.32</v>
      </c>
      <c r="M546" s="20">
        <f>VLOOKUP(A546,Metrik!$C$2:$Y$959,19,0)</f>
        <v>33.5</v>
      </c>
      <c r="N546" s="21"/>
      <c r="O546" s="21"/>
      <c r="P546" s="21"/>
      <c r="Q546" s="21"/>
      <c r="R546" s="21"/>
      <c r="S546" s="21"/>
      <c r="T546" s="21"/>
      <c r="U546" s="22">
        <f>IFERROR(__xludf.DUMMYFUNCTION("IFERROR(GOOGLEFINANCE(A546,""closeyest""),"""")"),3260.0)</f>
        <v>3260</v>
      </c>
      <c r="V546" s="23">
        <f>IFERROR(__xludf.DUMMYFUNCTION("IFERROR(GOOGLEFINANCE(A546,""changepct""),"""")"),1.23)</f>
        <v>1.23</v>
      </c>
      <c r="W546" s="22">
        <f>IFERROR(__xludf.DUMMYFUNCTION("IFERROR(GOOGLEFINANCE(A546,""priceopen""),"""")"),3340.0)</f>
        <v>3340</v>
      </c>
      <c r="X546" s="22">
        <f>IFERROR(__xludf.DUMMYFUNCTION("IFERROR(GOOGLEFINANCE(A546,""high""),"""")"),3340.0)</f>
        <v>3340</v>
      </c>
      <c r="Y546" s="22">
        <f>IFERROR(__xludf.DUMMYFUNCTION("IFERROR(GOOGLEFINANCE(A546,""low""),"""")"),3240.0)</f>
        <v>3240</v>
      </c>
      <c r="Z546" s="22">
        <f>IFERROR(__xludf.DUMMYFUNCTION("IFERROR(GOOGLEFINANCE(A546,""volume""),"""")"),4628500.0)</f>
        <v>4628500</v>
      </c>
      <c r="AA546" s="24" t="str">
        <f>VLOOKUP(A546,Metrik!$C$2:$Y$959,5,0)</f>
        <v>Agricultural Products</v>
      </c>
      <c r="AB546" s="24" t="str">
        <f>VLOOKUP(A546,Metrik!$C$2:$Y$959,3,0)</f>
        <v>Consumer Non-Cyclicals</v>
      </c>
    </row>
    <row r="547">
      <c r="A547" s="14" t="s">
        <v>300</v>
      </c>
      <c r="B547" s="14" t="str">
        <f t="array" ref="B547">VLOOKUP(A547,{Metrik!$C$2:$C$998,Metrik!$B$2:$B$998},2,0)</f>
        <v>Charoen Pokphand Indonesia Tbk</v>
      </c>
      <c r="C547" s="15">
        <f>IFERROR(__xludf.DUMMYFUNCTION("GOOGLEFINANCE(""IDX:""&amp;A547,""price"")"),3300.0)</f>
        <v>3300</v>
      </c>
      <c r="D547" s="16" t="str">
        <f>IFERROR(__xludf.DUMMYFUNCTION("IF(A547="""","""",
SPARKLINE(
INDEX(
GOOGLEFINANCE(""IDX:""&amp;A547,""close"",TODAY()-365,TODAY()),
,2
),
{""linewidth"",1}
))
"),"#N/A")</f>
        <v>#N/A</v>
      </c>
      <c r="E547" s="14" t="s">
        <v>38</v>
      </c>
      <c r="F547" s="25">
        <v>46356.0</v>
      </c>
      <c r="G547" s="18">
        <f t="shared" si="4"/>
        <v>13</v>
      </c>
      <c r="H547" s="19">
        <f>VLOOKUP(A547,Metrik!$C$2:$Y$959,8,0)</f>
        <v>10.5</v>
      </c>
      <c r="I547" s="20">
        <f>VLOOKUP(A547,Metrik!$C$2:$Y$959,9,0)</f>
        <v>1.9</v>
      </c>
      <c r="J547" s="20">
        <f>VLOOKUP(A547,Metrik!$C$2:$Y$959,10,0)</f>
        <v>18.2</v>
      </c>
      <c r="K547" s="20">
        <f>VLOOKUP(A547,Metrik!$C$2:$Y$959,11,0)</f>
        <v>13.8</v>
      </c>
      <c r="L547" s="20">
        <f>VLOOKUP(A547,Metrik!$C$2:$Y$959,12,0)</f>
        <v>0.32</v>
      </c>
      <c r="M547" s="20">
        <f>VLOOKUP(A547,Metrik!$C$2:$Y$959,19,0)</f>
        <v>33.5</v>
      </c>
      <c r="N547" s="21"/>
      <c r="O547" s="21"/>
      <c r="P547" s="21"/>
      <c r="Q547" s="21"/>
      <c r="R547" s="21"/>
      <c r="S547" s="21"/>
      <c r="T547" s="21"/>
      <c r="U547" s="22">
        <f>IFERROR(__xludf.DUMMYFUNCTION("IFERROR(GOOGLEFINANCE(A547,""closeyest""),"""")"),3260.0)</f>
        <v>3260</v>
      </c>
      <c r="V547" s="23">
        <f>IFERROR(__xludf.DUMMYFUNCTION("IFERROR(GOOGLEFINANCE(A547,""changepct""),"""")"),1.23)</f>
        <v>1.23</v>
      </c>
      <c r="W547" s="22">
        <f>IFERROR(__xludf.DUMMYFUNCTION("IFERROR(GOOGLEFINANCE(A547,""priceopen""),"""")"),3340.0)</f>
        <v>3340</v>
      </c>
      <c r="X547" s="22">
        <f>IFERROR(__xludf.DUMMYFUNCTION("IFERROR(GOOGLEFINANCE(A547,""high""),"""")"),3340.0)</f>
        <v>3340</v>
      </c>
      <c r="Y547" s="22">
        <f>IFERROR(__xludf.DUMMYFUNCTION("IFERROR(GOOGLEFINANCE(A547,""low""),"""")"),3240.0)</f>
        <v>3240</v>
      </c>
      <c r="Z547" s="22">
        <f>IFERROR(__xludf.DUMMYFUNCTION("IFERROR(GOOGLEFINANCE(A547,""volume""),"""")"),4628500.0)</f>
        <v>4628500</v>
      </c>
      <c r="AA547" s="24" t="str">
        <f>VLOOKUP(A547,Metrik!$C$2:$Y$959,5,0)</f>
        <v>Agricultural Products</v>
      </c>
      <c r="AB547" s="24" t="str">
        <f>VLOOKUP(A547,Metrik!$C$2:$Y$959,3,0)</f>
        <v>Consumer Non-Cyclicals</v>
      </c>
    </row>
    <row r="548">
      <c r="A548" s="14" t="s">
        <v>300</v>
      </c>
      <c r="B548" s="14" t="str">
        <f t="array" ref="B548">VLOOKUP(A548,{Metrik!$C$2:$C$998,Metrik!$B$2:$B$998},2,0)</f>
        <v>Charoen Pokphand Indonesia Tbk</v>
      </c>
      <c r="C548" s="15">
        <f>IFERROR(__xludf.DUMMYFUNCTION("GOOGLEFINANCE(""IDX:""&amp;A548,""price"")"),3300.0)</f>
        <v>3300</v>
      </c>
      <c r="D548" s="16" t="str">
        <f>IFERROR(__xludf.DUMMYFUNCTION("IF(A548="""","""",
SPARKLINE(
INDEX(
GOOGLEFINANCE(""IDX:""&amp;A548,""close"",TODAY()-365,TODAY()),
,2
),
{""linewidth"",1}
))
"),"#N/A")</f>
        <v>#N/A</v>
      </c>
      <c r="E548" s="14" t="s">
        <v>39</v>
      </c>
      <c r="F548" s="25">
        <v>46356.0</v>
      </c>
      <c r="G548" s="18">
        <f t="shared" si="4"/>
        <v>13</v>
      </c>
      <c r="H548" s="19">
        <f>VLOOKUP(A548,Metrik!$C$2:$Y$959,8,0)</f>
        <v>10.5</v>
      </c>
      <c r="I548" s="20">
        <f>VLOOKUP(A548,Metrik!$C$2:$Y$959,9,0)</f>
        <v>1.9</v>
      </c>
      <c r="J548" s="20">
        <f>VLOOKUP(A548,Metrik!$C$2:$Y$959,10,0)</f>
        <v>18.2</v>
      </c>
      <c r="K548" s="20">
        <f>VLOOKUP(A548,Metrik!$C$2:$Y$959,11,0)</f>
        <v>13.8</v>
      </c>
      <c r="L548" s="20">
        <f>VLOOKUP(A548,Metrik!$C$2:$Y$959,12,0)</f>
        <v>0.32</v>
      </c>
      <c r="M548" s="20">
        <f>VLOOKUP(A548,Metrik!$C$2:$Y$959,19,0)</f>
        <v>33.5</v>
      </c>
      <c r="N548" s="21"/>
      <c r="O548" s="21"/>
      <c r="P548" s="21"/>
      <c r="Q548" s="21"/>
      <c r="R548" s="21"/>
      <c r="S548" s="21"/>
      <c r="T548" s="21"/>
      <c r="U548" s="22">
        <f>IFERROR(__xludf.DUMMYFUNCTION("IFERROR(GOOGLEFINANCE(A548,""closeyest""),"""")"),3260.0)</f>
        <v>3260</v>
      </c>
      <c r="V548" s="23">
        <f>IFERROR(__xludf.DUMMYFUNCTION("IFERROR(GOOGLEFINANCE(A548,""changepct""),"""")"),1.23)</f>
        <v>1.23</v>
      </c>
      <c r="W548" s="22">
        <f>IFERROR(__xludf.DUMMYFUNCTION("IFERROR(GOOGLEFINANCE(A548,""priceopen""),"""")"),3340.0)</f>
        <v>3340</v>
      </c>
      <c r="X548" s="22">
        <f>IFERROR(__xludf.DUMMYFUNCTION("IFERROR(GOOGLEFINANCE(A548,""high""),"""")"),3340.0)</f>
        <v>3340</v>
      </c>
      <c r="Y548" s="22">
        <f>IFERROR(__xludf.DUMMYFUNCTION("IFERROR(GOOGLEFINANCE(A548,""low""),"""")"),3240.0)</f>
        <v>3240</v>
      </c>
      <c r="Z548" s="22">
        <f>IFERROR(__xludf.DUMMYFUNCTION("IFERROR(GOOGLEFINANCE(A548,""volume""),"""")"),4628500.0)</f>
        <v>4628500</v>
      </c>
      <c r="AA548" s="24" t="str">
        <f>VLOOKUP(A548,Metrik!$C$2:$Y$959,5,0)</f>
        <v>Agricultural Products</v>
      </c>
      <c r="AB548" s="24" t="str">
        <f>VLOOKUP(A548,Metrik!$C$2:$Y$959,3,0)</f>
        <v>Consumer Non-Cyclicals</v>
      </c>
    </row>
    <row r="549">
      <c r="A549" s="14" t="s">
        <v>301</v>
      </c>
      <c r="B549" s="14" t="str">
        <f t="array" ref="B549">VLOOKUP(A549,{Metrik!$C$2:$C$998,Metrik!$B$2:$B$998},2,0)</f>
        <v>Capri Nusa Satu Properti Tbk.</v>
      </c>
      <c r="C549" s="15">
        <f>IFERROR(__xludf.DUMMYFUNCTION("GOOGLEFINANCE(""IDX:""&amp;A549,""price"")"),50.0)</f>
        <v>50</v>
      </c>
      <c r="D549" s="16" t="str">
        <f>IFERROR(__xludf.DUMMYFUNCTION("IF(A549="""","""",
SPARKLINE(
INDEX(
GOOGLEFINANCE(""IDX:""&amp;A549,""close"",TODAY()-365,TODAY()),
,2
),
{""linewidth"",1}
))
"),"#N/A")</f>
        <v>#N/A</v>
      </c>
      <c r="E549" s="26"/>
      <c r="F549" s="26"/>
      <c r="G549" s="24">
        <f t="shared" si="4"/>
        <v>0</v>
      </c>
      <c r="H549" s="19">
        <f>VLOOKUP(A549,Metrik!$C$2:$Y$959,8,0)</f>
        <v>0</v>
      </c>
      <c r="I549" s="20">
        <f>VLOOKUP(A549,Metrik!$C$2:$Y$959,9,0)</f>
        <v>0.66</v>
      </c>
      <c r="J549" s="20">
        <f>VLOOKUP(A549,Metrik!$C$2:$Y$959,10,0)</f>
        <v>-2</v>
      </c>
      <c r="K549" s="20">
        <f>VLOOKUP(A549,Metrik!$C$2:$Y$959,11,0)</f>
        <v>-1.8</v>
      </c>
      <c r="L549" s="20">
        <f>VLOOKUP(A549,Metrik!$C$2:$Y$959,12,0)</f>
        <v>0.14</v>
      </c>
      <c r="M549" s="20">
        <f>VLOOKUP(A549,Metrik!$C$2:$Y$959,19,0)</f>
        <v>-130</v>
      </c>
      <c r="N549" s="21"/>
      <c r="O549" s="21"/>
      <c r="P549" s="21"/>
      <c r="Q549" s="21"/>
      <c r="R549" s="21"/>
      <c r="S549" s="21"/>
      <c r="T549" s="21"/>
      <c r="U549" s="22">
        <f>IFERROR(__xludf.DUMMYFUNCTION("IFERROR(GOOGLEFINANCE(A549,""closeyest""),"""")"),20.85)</f>
        <v>20.85</v>
      </c>
      <c r="V549" s="23">
        <f>IFERROR(__xludf.DUMMYFUNCTION("IFERROR(GOOGLEFINANCE(A549,""changepct""),"""")"),2.3)</f>
        <v>2.3</v>
      </c>
      <c r="W549" s="22">
        <f>IFERROR(__xludf.DUMMYFUNCTION("IFERROR(GOOGLEFINANCE(A549,""priceopen""),"""")"),21.0)</f>
        <v>21</v>
      </c>
      <c r="X549" s="22">
        <f>IFERROR(__xludf.DUMMYFUNCTION("IFERROR(GOOGLEFINANCE(A549,""high""),"""")"),21.94)</f>
        <v>21.94</v>
      </c>
      <c r="Y549" s="22">
        <f>IFERROR(__xludf.DUMMYFUNCTION("IFERROR(GOOGLEFINANCE(A549,""low""),"""")"),20.99)</f>
        <v>20.99</v>
      </c>
      <c r="Z549" s="22">
        <f>IFERROR(__xludf.DUMMYFUNCTION("IFERROR(GOOGLEFINANCE(A549,""volume""),"""")"),3207411.0)</f>
        <v>3207411</v>
      </c>
      <c r="AA549" s="24" t="str">
        <f>VLOOKUP(A549,Metrik!$C$2:$Y$959,5,0)</f>
        <v>Real Estate Management &amp; Development</v>
      </c>
      <c r="AB549" s="24" t="str">
        <f>VLOOKUP(A549,Metrik!$C$2:$Y$959,3,0)</f>
        <v>Properties &amp; Real Estate</v>
      </c>
    </row>
    <row r="550">
      <c r="A550" s="14" t="s">
        <v>302</v>
      </c>
      <c r="B550" s="14" t="str">
        <f t="array" ref="B550">VLOOKUP(A550,{Metrik!$C$2:$C$998,Metrik!$B$2:$B$998},2,0)</f>
        <v>Central Proteina Prima Tbk.</v>
      </c>
      <c r="C550" s="15">
        <f>IFERROR(__xludf.DUMMYFUNCTION("GOOGLEFINANCE(""IDX:""&amp;A550,""price"")"),50.0)</f>
        <v>50</v>
      </c>
      <c r="D550" s="16" t="str">
        <f>IFERROR(__xludf.DUMMYFUNCTION("IF(A550="""","""",
SPARKLINE(
INDEX(
GOOGLEFINANCE(""IDX:""&amp;A550,""close"",TODAY()-365,TODAY()),
,2
),
{""linewidth"",1}
))
"),"#N/A")</f>
        <v>#N/A</v>
      </c>
      <c r="E550" s="26"/>
      <c r="F550" s="26"/>
      <c r="G550" s="24">
        <f t="shared" si="4"/>
        <v>0</v>
      </c>
      <c r="H550" s="19">
        <f>VLOOKUP(A550,Metrik!$C$2:$Y$959,8,0)</f>
        <v>8.2</v>
      </c>
      <c r="I550" s="20">
        <f>VLOOKUP(A550,Metrik!$C$2:$Y$959,9,0)</f>
        <v>0.77</v>
      </c>
      <c r="J550" s="20">
        <f>VLOOKUP(A550,Metrik!$C$2:$Y$959,10,0)</f>
        <v>9.4</v>
      </c>
      <c r="K550" s="20">
        <f>VLOOKUP(A550,Metrik!$C$2:$Y$959,11,0)</f>
        <v>5.1</v>
      </c>
      <c r="L550" s="20">
        <f>VLOOKUP(A550,Metrik!$C$2:$Y$959,12,0)</f>
        <v>0.82</v>
      </c>
      <c r="M550" s="20">
        <f>VLOOKUP(A550,Metrik!$C$2:$Y$959,19,0)</f>
        <v>14.7</v>
      </c>
      <c r="N550" s="21"/>
      <c r="O550" s="21"/>
      <c r="P550" s="21"/>
      <c r="Q550" s="21"/>
      <c r="R550" s="21"/>
      <c r="S550" s="21"/>
      <c r="T550" s="21"/>
      <c r="U550" s="22">
        <f>IFERROR(__xludf.DUMMYFUNCTION("IFERROR(GOOGLEFINANCE(A550,""closeyest""),"""")"),27.99)</f>
        <v>27.99</v>
      </c>
      <c r="V550" s="23">
        <f>IFERROR(__xludf.DUMMYFUNCTION("IFERROR(GOOGLEFINANCE(A550,""changepct""),"""")"),0.11)</f>
        <v>0.11</v>
      </c>
      <c r="W550" s="22">
        <f>IFERROR(__xludf.DUMMYFUNCTION("IFERROR(GOOGLEFINANCE(A550,""priceopen""),"""")"),28.02)</f>
        <v>28.02</v>
      </c>
      <c r="X550" s="22">
        <f>IFERROR(__xludf.DUMMYFUNCTION("IFERROR(GOOGLEFINANCE(A550,""high""),"""")"),28.02)</f>
        <v>28.02</v>
      </c>
      <c r="Y550" s="22">
        <f>IFERROR(__xludf.DUMMYFUNCTION("IFERROR(GOOGLEFINANCE(A550,""low""),"""")"),28.02)</f>
        <v>28.02</v>
      </c>
      <c r="Z550" s="22">
        <f>IFERROR(__xludf.DUMMYFUNCTION("IFERROR(GOOGLEFINANCE(A550,""volume""),"""")"),200.0)</f>
        <v>200</v>
      </c>
      <c r="AA550" s="24" t="str">
        <f>VLOOKUP(A550,Metrik!$C$2:$Y$959,5,0)</f>
        <v>Agricultural Products</v>
      </c>
      <c r="AB550" s="24" t="str">
        <f>VLOOKUP(A550,Metrik!$C$2:$Y$959,3,0)</f>
        <v>Consumer Non-Cyclicals</v>
      </c>
    </row>
    <row r="551">
      <c r="A551" s="14" t="s">
        <v>303</v>
      </c>
      <c r="B551" s="14" t="str">
        <f t="array" ref="B551">VLOOKUP(A551,{Metrik!$C$2:$C$998,Metrik!$B$2:$B$998},2,0)</f>
        <v>Toba Surimi Industries Tbk.</v>
      </c>
      <c r="C551" s="15">
        <f>IFERROR(__xludf.DUMMYFUNCTION("GOOGLEFINANCE(""IDX:""&amp;A551,""price"")"),212.0)</f>
        <v>212</v>
      </c>
      <c r="D551" s="16" t="str">
        <f>IFERROR(__xludf.DUMMYFUNCTION("IF(A551="""","""",
SPARKLINE(
INDEX(
GOOGLEFINANCE(""IDX:""&amp;A551,""close"",TODAY()-365,TODAY()),
,2
),
{""linewidth"",1}
))
"),"#N/A")</f>
        <v>#N/A</v>
      </c>
      <c r="E551" s="26"/>
      <c r="F551" s="26"/>
      <c r="G551" s="24">
        <f t="shared" si="4"/>
        <v>0</v>
      </c>
      <c r="H551" s="19">
        <f>VLOOKUP(A551,Metrik!$C$2:$Y$959,8,0)</f>
        <v>13.8</v>
      </c>
      <c r="I551" s="20">
        <f>VLOOKUP(A551,Metrik!$C$2:$Y$959,9,0)</f>
        <v>1.8</v>
      </c>
      <c r="J551" s="20">
        <f>VLOOKUP(A551,Metrik!$C$2:$Y$959,10,0)</f>
        <v>12.9</v>
      </c>
      <c r="K551" s="20">
        <f>VLOOKUP(A551,Metrik!$C$2:$Y$959,11,0)</f>
        <v>8.9</v>
      </c>
      <c r="L551" s="20">
        <f>VLOOKUP(A551,Metrik!$C$2:$Y$959,12,0)</f>
        <v>0.45</v>
      </c>
      <c r="M551" s="20">
        <f>VLOOKUP(A551,Metrik!$C$2:$Y$959,19,0)</f>
        <v>6.5</v>
      </c>
      <c r="N551" s="21"/>
      <c r="O551" s="21"/>
      <c r="P551" s="21"/>
      <c r="Q551" s="21"/>
      <c r="R551" s="21"/>
      <c r="S551" s="21"/>
      <c r="T551" s="21"/>
      <c r="U551" s="22">
        <f>IFERROR(__xludf.DUMMYFUNCTION("IFERROR(GOOGLEFINANCE(A551,""closeyest""),"""")"),210.0)</f>
        <v>210</v>
      </c>
      <c r="V551" s="23">
        <f>IFERROR(__xludf.DUMMYFUNCTION("IFERROR(GOOGLEFINANCE(A551,""changepct""),"""")"),0.95)</f>
        <v>0.95</v>
      </c>
      <c r="W551" s="22">
        <f>IFERROR(__xludf.DUMMYFUNCTION("IFERROR(GOOGLEFINANCE(A551,""priceopen""),"""")"),212.0)</f>
        <v>212</v>
      </c>
      <c r="X551" s="22">
        <f>IFERROR(__xludf.DUMMYFUNCTION("IFERROR(GOOGLEFINANCE(A551,""high""),"""")"),212.0)</f>
        <v>212</v>
      </c>
      <c r="Y551" s="22">
        <f>IFERROR(__xludf.DUMMYFUNCTION("IFERROR(GOOGLEFINANCE(A551,""low""),"""")"),210.0)</f>
        <v>210</v>
      </c>
      <c r="Z551" s="22">
        <f>IFERROR(__xludf.DUMMYFUNCTION("IFERROR(GOOGLEFINANCE(A551,""volume""),"""")"),143100.0)</f>
        <v>143100</v>
      </c>
      <c r="AA551" s="24" t="str">
        <f>VLOOKUP(A551,Metrik!$C$2:$Y$959,5,0)</f>
        <v>Agricultural Products</v>
      </c>
      <c r="AB551" s="24" t="str">
        <f>VLOOKUP(A551,Metrik!$C$2:$Y$959,3,0)</f>
        <v>Consumer Non-Cyclicals</v>
      </c>
    </row>
    <row r="552">
      <c r="A552" s="14" t="s">
        <v>304</v>
      </c>
      <c r="B552" s="14" t="str">
        <f t="array" ref="B552">VLOOKUP(A552,{Metrik!$C$2:$C$998,Metrik!$B$2:$B$998},2,0)</f>
        <v>PT Carsurin Tbk</v>
      </c>
      <c r="C552" s="15">
        <f>IFERROR(__xludf.DUMMYFUNCTION("GOOGLEFINANCE(""IDX:""&amp;A552,""price"")"),100.0)</f>
        <v>100</v>
      </c>
      <c r="D552" s="16" t="str">
        <f>IFERROR(__xludf.DUMMYFUNCTION("IF(A552="""","""",
SPARKLINE(
INDEX(
GOOGLEFINANCE(""IDX:""&amp;A552,""close"",TODAY()-365,TODAY()),
,2
),
{""linewidth"",1}
))
"),"#N/A")</f>
        <v>#N/A</v>
      </c>
      <c r="E552" s="26"/>
      <c r="F552" s="26"/>
      <c r="G552" s="24">
        <f t="shared" si="4"/>
        <v>0</v>
      </c>
      <c r="H552" s="19">
        <f>VLOOKUP(A552,Metrik!$C$2:$Y$959,8,0)</f>
        <v>49.4</v>
      </c>
      <c r="I552" s="20">
        <f>VLOOKUP(A552,Metrik!$C$2:$Y$959,9,0)</f>
        <v>1.3</v>
      </c>
      <c r="J552" s="20">
        <f>VLOOKUP(A552,Metrik!$C$2:$Y$959,10,0)</f>
        <v>2.6</v>
      </c>
      <c r="K552" s="20">
        <f>VLOOKUP(A552,Metrik!$C$2:$Y$959,11,0)</f>
        <v>1.6</v>
      </c>
      <c r="L552" s="20">
        <f>VLOOKUP(A552,Metrik!$C$2:$Y$959,12,0)</f>
        <v>0.66</v>
      </c>
      <c r="M552" s="20">
        <f>VLOOKUP(A552,Metrik!$C$2:$Y$959,19,0)</f>
        <v>5.3</v>
      </c>
      <c r="N552" s="21"/>
      <c r="O552" s="21"/>
      <c r="P552" s="21"/>
      <c r="Q552" s="21"/>
      <c r="R552" s="21"/>
      <c r="S552" s="21"/>
      <c r="T552" s="21"/>
      <c r="U552" s="22" t="str">
        <f>IFERROR(__xludf.DUMMYFUNCTION("IFERROR(GOOGLEFINANCE(A552,""closeyest""),"""")"),"")</f>
        <v/>
      </c>
      <c r="V552" s="23" t="str">
        <f>IFERROR(__xludf.DUMMYFUNCTION("IFERROR(GOOGLEFINANCE(A552,""changepct""),"""")"),"")</f>
        <v/>
      </c>
      <c r="W552" s="22">
        <f>IFERROR(__xludf.DUMMYFUNCTION("IFERROR(GOOGLEFINANCE(A552,""priceopen""),"""")"),97.0)</f>
        <v>97</v>
      </c>
      <c r="X552" s="22">
        <f>IFERROR(__xludf.DUMMYFUNCTION("IFERROR(GOOGLEFINANCE(A552,""high""),"""")"),100.0)</f>
        <v>100</v>
      </c>
      <c r="Y552" s="22">
        <f>IFERROR(__xludf.DUMMYFUNCTION("IFERROR(GOOGLEFINANCE(A552,""low""),"""")"),95.0)</f>
        <v>95</v>
      </c>
      <c r="Z552" s="22">
        <f>IFERROR(__xludf.DUMMYFUNCTION("IFERROR(GOOGLEFINANCE(A552,""volume""),"""")"),394400.0)</f>
        <v>394400</v>
      </c>
      <c r="AA552" s="24" t="str">
        <f>VLOOKUP(A552,Metrik!$C$2:$Y$959,5,0)</f>
        <v>Professional Services</v>
      </c>
      <c r="AB552" s="24" t="str">
        <f>VLOOKUP(A552,Metrik!$C$2:$Y$959,3,0)</f>
        <v>Industrials</v>
      </c>
    </row>
    <row r="553">
      <c r="A553" s="14" t="s">
        <v>305</v>
      </c>
      <c r="B553" s="14" t="str">
        <f t="array" ref="B553">VLOOKUP(A553,{Metrik!$C$2:$C$998,Metrik!$B$2:$B$998},2,0)</f>
        <v>Catur Sentosa Adiprana Tbk.</v>
      </c>
      <c r="C553" s="15">
        <f>IFERROR(__xludf.DUMMYFUNCTION("GOOGLEFINANCE(""IDX:""&amp;A553,""price"")"),276.0)</f>
        <v>276</v>
      </c>
      <c r="D553" s="16" t="str">
        <f>IFERROR(__xludf.DUMMYFUNCTION("IF(A553="""","""",
SPARKLINE(
INDEX(
GOOGLEFINANCE(""IDX:""&amp;A553,""close"",TODAY()-365,TODAY()),
,2
),
{""linewidth"",1}
))
"),"#N/A")</f>
        <v>#N/A</v>
      </c>
      <c r="E553" s="26"/>
      <c r="F553" s="26"/>
      <c r="G553" s="24">
        <f t="shared" si="4"/>
        <v>0</v>
      </c>
      <c r="H553" s="19">
        <f>VLOOKUP(A553,Metrik!$C$2:$Y$959,8,0)</f>
        <v>11.8</v>
      </c>
      <c r="I553" s="20">
        <f>VLOOKUP(A553,Metrik!$C$2:$Y$959,9,0)</f>
        <v>0.4</v>
      </c>
      <c r="J553" s="20">
        <f>VLOOKUP(A553,Metrik!$C$2:$Y$959,10,0)</f>
        <v>3.4</v>
      </c>
      <c r="K553" s="20">
        <f>VLOOKUP(A553,Metrik!$C$2:$Y$959,11,0)</f>
        <v>1.1</v>
      </c>
      <c r="L553" s="20">
        <f>VLOOKUP(A553,Metrik!$C$2:$Y$959,12,0)</f>
        <v>2.2</v>
      </c>
      <c r="M553" s="20">
        <f>VLOOKUP(A553,Metrik!$C$2:$Y$959,19,0)</f>
        <v>3.1</v>
      </c>
      <c r="N553" s="21"/>
      <c r="O553" s="21"/>
      <c r="P553" s="21"/>
      <c r="Q553" s="21"/>
      <c r="R553" s="21"/>
      <c r="S553" s="21"/>
      <c r="T553" s="21"/>
      <c r="U553" s="22">
        <f>IFERROR(__xludf.DUMMYFUNCTION("IFERROR(GOOGLEFINANCE(A553,""closeyest""),"""")"),264.0)</f>
        <v>264</v>
      </c>
      <c r="V553" s="23">
        <f>IFERROR(__xludf.DUMMYFUNCTION("IFERROR(GOOGLEFINANCE(A553,""changepct""),"""")"),4.55)</f>
        <v>4.55</v>
      </c>
      <c r="W553" s="22">
        <f>IFERROR(__xludf.DUMMYFUNCTION("IFERROR(GOOGLEFINANCE(A553,""priceopen""),"""")"),276.0)</f>
        <v>276</v>
      </c>
      <c r="X553" s="22">
        <f>IFERROR(__xludf.DUMMYFUNCTION("IFERROR(GOOGLEFINANCE(A553,""high""),"""")"),276.0)</f>
        <v>276</v>
      </c>
      <c r="Y553" s="22">
        <f>IFERROR(__xludf.DUMMYFUNCTION("IFERROR(GOOGLEFINANCE(A553,""low""),"""")"),276.0)</f>
        <v>276</v>
      </c>
      <c r="Z553" s="22">
        <f>IFERROR(__xludf.DUMMYFUNCTION("IFERROR(GOOGLEFINANCE(A553,""volume""),"""")"),4300.0)</f>
        <v>4300</v>
      </c>
      <c r="AA553" s="24" t="str">
        <f>VLOOKUP(A553,Metrik!$C$2:$Y$959,5,0)</f>
        <v>Specialty Retail</v>
      </c>
      <c r="AB553" s="24" t="str">
        <f>VLOOKUP(A553,Metrik!$C$2:$Y$959,3,0)</f>
        <v>Consumer Cyclicals</v>
      </c>
    </row>
    <row r="554">
      <c r="A554" s="14" t="s">
        <v>306</v>
      </c>
      <c r="B554" s="14" t="str">
        <f t="array" ref="B554">VLOOKUP(A554,{Metrik!$C$2:$C$998,Metrik!$B$2:$B$998},2,0)</f>
        <v>Cahayasakti Investindo Sukses Tbk.</v>
      </c>
      <c r="C554" s="15">
        <f>IFERROR(__xludf.DUMMYFUNCTION("GOOGLEFINANCE(""IDX:""&amp;A554,""price"")"),140.0)</f>
        <v>140</v>
      </c>
      <c r="D554" s="16" t="str">
        <f>IFERROR(__xludf.DUMMYFUNCTION("IF(A554="""","""",
SPARKLINE(
INDEX(
GOOGLEFINANCE(""IDX:""&amp;A554,""close"",TODAY()-365,TODAY()),
,2
),
{""linewidth"",1}
))
"),"#N/A")</f>
        <v>#N/A</v>
      </c>
      <c r="E554" s="26"/>
      <c r="F554" s="26"/>
      <c r="G554" s="24">
        <f t="shared" si="4"/>
        <v>0</v>
      </c>
      <c r="H554" s="19">
        <f>VLOOKUP(A554,Metrik!$C$2:$Y$959,8,0)</f>
        <v>9.7</v>
      </c>
      <c r="I554" s="20">
        <f>VLOOKUP(A554,Metrik!$C$2:$Y$959,9,0)</f>
        <v>0.47</v>
      </c>
      <c r="J554" s="20">
        <f>VLOOKUP(A554,Metrik!$C$2:$Y$959,10,0)</f>
        <v>4.9</v>
      </c>
      <c r="K554" s="20">
        <f>VLOOKUP(A554,Metrik!$C$2:$Y$959,11,0)</f>
        <v>3.8</v>
      </c>
      <c r="L554" s="20">
        <f>VLOOKUP(A554,Metrik!$C$2:$Y$959,12,0)</f>
        <v>0.29</v>
      </c>
      <c r="M554" s="20">
        <f>VLOOKUP(A554,Metrik!$C$2:$Y$959,19,0)</f>
        <v>73.2</v>
      </c>
      <c r="N554" s="21"/>
      <c r="O554" s="21"/>
      <c r="P554" s="21"/>
      <c r="Q554" s="21"/>
      <c r="R554" s="21"/>
      <c r="S554" s="21"/>
      <c r="T554" s="21"/>
      <c r="U554" s="22">
        <f>IFERROR(__xludf.DUMMYFUNCTION("IFERROR(GOOGLEFINANCE(A554,""closeyest""),"""")"),140.0)</f>
        <v>140</v>
      </c>
      <c r="V554" s="23">
        <f>IFERROR(__xludf.DUMMYFUNCTION("IFERROR(GOOGLEFINANCE(A554,""changepct""),"""")"),0.0)</f>
        <v>0</v>
      </c>
      <c r="W554" s="22" t="str">
        <f>IFERROR(__xludf.DUMMYFUNCTION("IFERROR(GOOGLEFINANCE(A554,""priceopen""),"""")"),"")</f>
        <v/>
      </c>
      <c r="X554" s="22">
        <f>IFERROR(__xludf.DUMMYFUNCTION("IFERROR(GOOGLEFINANCE(A554,""high""),"""")"),146.0)</f>
        <v>146</v>
      </c>
      <c r="Y554" s="22">
        <f>IFERROR(__xludf.DUMMYFUNCTION("IFERROR(GOOGLEFINANCE(A554,""low""),"""")"),135.0)</f>
        <v>135</v>
      </c>
      <c r="Z554" s="22">
        <f>IFERROR(__xludf.DUMMYFUNCTION("IFERROR(GOOGLEFINANCE(A554,""volume""),"""")"),1274500.0)</f>
        <v>1274500</v>
      </c>
      <c r="AA554" s="24" t="str">
        <f>VLOOKUP(A554,Metrik!$C$2:$Y$959,5,0)</f>
        <v>Real Estate Management &amp; Development</v>
      </c>
      <c r="AB554" s="24" t="str">
        <f>VLOOKUP(A554,Metrik!$C$2:$Y$959,3,0)</f>
        <v>Properties &amp; Real Estate</v>
      </c>
    </row>
    <row r="555">
      <c r="A555" s="14" t="s">
        <v>307</v>
      </c>
      <c r="B555" s="14" t="str">
        <f t="array" ref="B555">VLOOKUP(A555,{Metrik!$C$2:$C$998,Metrik!$B$2:$B$998},2,0)</f>
        <v>Cipta Selera Murni Tbk.</v>
      </c>
      <c r="C555" s="15">
        <f>IFERROR(__xludf.DUMMYFUNCTION("GOOGLEFINANCE(""IDX:""&amp;A555,""price"")"),73.0)</f>
        <v>73</v>
      </c>
      <c r="D555" s="16" t="str">
        <f>IFERROR(__xludf.DUMMYFUNCTION("IF(A555="""","""",
SPARKLINE(
INDEX(
GOOGLEFINANCE(""IDX:""&amp;A555,""close"",TODAY()-365,TODAY()),
,2
),
{""linewidth"",1}
))
"),"#N/A")</f>
        <v>#N/A</v>
      </c>
      <c r="E555" s="26"/>
      <c r="F555" s="26"/>
      <c r="G555" s="24">
        <f t="shared" si="4"/>
        <v>0</v>
      </c>
      <c r="H555" s="19">
        <f>VLOOKUP(A555,Metrik!$C$2:$Y$959,8,0)</f>
        <v>-75.9</v>
      </c>
      <c r="I555" s="20">
        <f>VLOOKUP(A555,Metrik!$C$2:$Y$959,9,0)</f>
        <v>17.2</v>
      </c>
      <c r="J555" s="20">
        <f>VLOOKUP(A555,Metrik!$C$2:$Y$959,10,0)</f>
        <v>-22.7</v>
      </c>
      <c r="K555" s="20">
        <f>VLOOKUP(A555,Metrik!$C$2:$Y$959,11,0)</f>
        <v>-2.2</v>
      </c>
      <c r="L555" s="20">
        <f>VLOOKUP(A555,Metrik!$C$2:$Y$959,12,0)</f>
        <v>9.5</v>
      </c>
      <c r="M555" s="20">
        <f>VLOOKUP(A555,Metrik!$C$2:$Y$959,19,0)</f>
        <v>-150</v>
      </c>
      <c r="N555" s="21"/>
      <c r="O555" s="21"/>
      <c r="P555" s="21"/>
      <c r="Q555" s="21"/>
      <c r="R555" s="21"/>
      <c r="S555" s="21"/>
      <c r="T555" s="21"/>
      <c r="U555" s="22">
        <f>IFERROR(__xludf.DUMMYFUNCTION("IFERROR(GOOGLEFINANCE(A555,""closeyest""),"""")"),70.0)</f>
        <v>70</v>
      </c>
      <c r="V555" s="23">
        <f>IFERROR(__xludf.DUMMYFUNCTION("IFERROR(GOOGLEFINANCE(A555,""changepct""),"""")"),4.29)</f>
        <v>4.29</v>
      </c>
      <c r="W555" s="22">
        <f>IFERROR(__xludf.DUMMYFUNCTION("IFERROR(GOOGLEFINANCE(A555,""priceopen""),"""")"),69.0)</f>
        <v>69</v>
      </c>
      <c r="X555" s="22">
        <f>IFERROR(__xludf.DUMMYFUNCTION("IFERROR(GOOGLEFINANCE(A555,""high""),"""")"),73.0)</f>
        <v>73</v>
      </c>
      <c r="Y555" s="22">
        <f>IFERROR(__xludf.DUMMYFUNCTION("IFERROR(GOOGLEFINANCE(A555,""low""),"""")"),69.0)</f>
        <v>69</v>
      </c>
      <c r="Z555" s="22">
        <f>IFERROR(__xludf.DUMMYFUNCTION("IFERROR(GOOGLEFINANCE(A555,""volume""),"""")"),9536700.0)</f>
        <v>9536700</v>
      </c>
      <c r="AA555" s="24" t="str">
        <f>VLOOKUP(A555,Metrik!$C$2:$Y$959,5,0)</f>
        <v>Tourism &amp; Recreation</v>
      </c>
      <c r="AB555" s="24" t="str">
        <f>VLOOKUP(A555,Metrik!$C$2:$Y$959,3,0)</f>
        <v>Consumer Cyclicals</v>
      </c>
    </row>
    <row r="556">
      <c r="A556" s="14" t="s">
        <v>308</v>
      </c>
      <c r="B556" s="14" t="str">
        <f t="array" ref="B556">VLOOKUP(A556,{Metrik!$C$2:$C$998,Metrik!$B$2:$B$998},2,0)</f>
        <v>Cisadane Sawit Raya Tbk.</v>
      </c>
      <c r="C556" s="15">
        <f>IFERROR(__xludf.DUMMYFUNCTION("GOOGLEFINANCE(""IDX:""&amp;A556,""price"")"),785.0)</f>
        <v>785</v>
      </c>
      <c r="D556" s="16" t="str">
        <f>IFERROR(__xludf.DUMMYFUNCTION("IF(A556="""","""",
SPARKLINE(
INDEX(
GOOGLEFINANCE(""IDX:""&amp;A556,""close"",TODAY()-365,TODAY()),
,2
),
{""linewidth"",1}
))
"),"#N/A")</f>
        <v>#N/A</v>
      </c>
      <c r="E556" s="26"/>
      <c r="F556" s="26"/>
      <c r="G556" s="18">
        <f t="shared" si="4"/>
        <v>0</v>
      </c>
      <c r="H556" s="19">
        <f>VLOOKUP(A556,Metrik!$C$2:$Y$959,8,0)</f>
        <v>6.3</v>
      </c>
      <c r="I556" s="20">
        <f>VLOOKUP(A556,Metrik!$C$2:$Y$959,9,0)</f>
        <v>1.1</v>
      </c>
      <c r="J556" s="20">
        <f>VLOOKUP(A556,Metrik!$C$2:$Y$959,10,0)</f>
        <v>17.6</v>
      </c>
      <c r="K556" s="20">
        <f>VLOOKUP(A556,Metrik!$C$2:$Y$959,11,0)</f>
        <v>10.4</v>
      </c>
      <c r="L556" s="20">
        <f>VLOOKUP(A556,Metrik!$C$2:$Y$959,12,0)</f>
        <v>0.7</v>
      </c>
      <c r="M556" s="20">
        <f>VLOOKUP(A556,Metrik!$C$2:$Y$959,19,0)</f>
        <v>50.5</v>
      </c>
      <c r="N556" s="21"/>
      <c r="O556" s="21"/>
      <c r="P556" s="21"/>
      <c r="Q556" s="21"/>
      <c r="R556" s="21"/>
      <c r="S556" s="21"/>
      <c r="T556" s="21"/>
      <c r="U556" s="22">
        <f>IFERROR(__xludf.DUMMYFUNCTION("IFERROR(GOOGLEFINANCE(A556,""closeyest""),"""")"),710.0)</f>
        <v>710</v>
      </c>
      <c r="V556" s="23">
        <f>IFERROR(__xludf.DUMMYFUNCTION("IFERROR(GOOGLEFINANCE(A556,""changepct""),"""")"),10.56)</f>
        <v>10.56</v>
      </c>
      <c r="W556" s="22">
        <f>IFERROR(__xludf.DUMMYFUNCTION("IFERROR(GOOGLEFINANCE(A556,""priceopen""),"""")"),710.0)</f>
        <v>710</v>
      </c>
      <c r="X556" s="22">
        <f>IFERROR(__xludf.DUMMYFUNCTION("IFERROR(GOOGLEFINANCE(A556,""high""),"""")"),790.0)</f>
        <v>790</v>
      </c>
      <c r="Y556" s="22">
        <f>IFERROR(__xludf.DUMMYFUNCTION("IFERROR(GOOGLEFINANCE(A556,""low""),"""")"),700.0)</f>
        <v>700</v>
      </c>
      <c r="Z556" s="22">
        <f>IFERROR(__xludf.DUMMYFUNCTION("IFERROR(GOOGLEFINANCE(A556,""volume""),"""")"),484700.0)</f>
        <v>484700</v>
      </c>
      <c r="AA556" s="24" t="str">
        <f>VLOOKUP(A556,Metrik!$C$2:$Y$959,5,0)</f>
        <v>Agricultural Products</v>
      </c>
      <c r="AB556" s="24" t="str">
        <f>VLOOKUP(A556,Metrik!$C$2:$Y$959,3,0)</f>
        <v>Consumer Non-Cyclicals</v>
      </c>
    </row>
    <row r="557">
      <c r="A557" s="14" t="s">
        <v>309</v>
      </c>
      <c r="B557" s="14" t="str">
        <f t="array" ref="B557">VLOOKUP(A557,{Metrik!$C$2:$C$998,Metrik!$B$2:$B$998},2,0)</f>
        <v>Citra Tubindo Tbk.</v>
      </c>
      <c r="C557" s="15">
        <f>IFERROR(__xludf.DUMMYFUNCTION("GOOGLEFINANCE(""IDX:""&amp;A557,""price"")"),5675.0)</f>
        <v>5675</v>
      </c>
      <c r="D557" s="16" t="str">
        <f>IFERROR(__xludf.DUMMYFUNCTION("IF(A557="""","""",
SPARKLINE(
INDEX(
GOOGLEFINANCE(""IDX:""&amp;A557,""close"",TODAY()-365,TODAY()),
,2
),
{""linewidth"",1}
))
"),"#N/A")</f>
        <v>#N/A</v>
      </c>
      <c r="E557" s="26"/>
      <c r="F557" s="26"/>
      <c r="G557" s="18">
        <f t="shared" si="4"/>
        <v>0</v>
      </c>
      <c r="H557" s="19">
        <f>VLOOKUP(A557,Metrik!$C$2:$Y$959,8,0)</f>
        <v>49</v>
      </c>
      <c r="I557" s="20">
        <f>VLOOKUP(A557,Metrik!$C$2:$Y$959,9,0)</f>
        <v>2.2</v>
      </c>
      <c r="J557" s="20">
        <f>VLOOKUP(A557,Metrik!$C$2:$Y$959,10,0)</f>
        <v>4.6</v>
      </c>
      <c r="K557" s="20">
        <f>VLOOKUP(A557,Metrik!$C$2:$Y$959,11,0)</f>
        <v>3.8</v>
      </c>
      <c r="L557" s="20">
        <f>VLOOKUP(A557,Metrik!$C$2:$Y$959,12,0)</f>
        <v>0.2</v>
      </c>
      <c r="M557" s="20">
        <f>VLOOKUP(A557,Metrik!$C$2:$Y$959,19,0)</f>
        <v>29.3</v>
      </c>
      <c r="N557" s="21"/>
      <c r="O557" s="21"/>
      <c r="P557" s="21"/>
      <c r="Q557" s="21"/>
      <c r="R557" s="21"/>
      <c r="S557" s="21"/>
      <c r="T557" s="21"/>
      <c r="U557" s="22">
        <f>IFERROR(__xludf.DUMMYFUNCTION("IFERROR(GOOGLEFINANCE(A557,""closeyest""),"""")"),5700.0)</f>
        <v>5700</v>
      </c>
      <c r="V557" s="23">
        <f>IFERROR(__xludf.DUMMYFUNCTION("IFERROR(GOOGLEFINANCE(A557,""changepct""),"""")"),-0.44)</f>
        <v>-0.44</v>
      </c>
      <c r="W557" s="22">
        <f>IFERROR(__xludf.DUMMYFUNCTION("IFERROR(GOOGLEFINANCE(A557,""priceopen""),"""")"),5575.0)</f>
        <v>5575</v>
      </c>
      <c r="X557" s="22">
        <f>IFERROR(__xludf.DUMMYFUNCTION("IFERROR(GOOGLEFINANCE(A557,""high""),"""")"),5700.0)</f>
        <v>5700</v>
      </c>
      <c r="Y557" s="22">
        <f>IFERROR(__xludf.DUMMYFUNCTION("IFERROR(GOOGLEFINANCE(A557,""low""),"""")"),5525.0)</f>
        <v>5525</v>
      </c>
      <c r="Z557" s="22">
        <f>IFERROR(__xludf.DUMMYFUNCTION("IFERROR(GOOGLEFINANCE(A557,""volume""),"""")"),16300.0)</f>
        <v>16300</v>
      </c>
      <c r="AA557" s="24" t="str">
        <f>VLOOKUP(A557,Metrik!$C$2:$Y$959,5,0)</f>
        <v>Metals &amp; Minerals</v>
      </c>
      <c r="AB557" s="24" t="str">
        <f>VLOOKUP(A557,Metrik!$C$2:$Y$959,3,0)</f>
        <v>Basic Materials</v>
      </c>
    </row>
    <row r="558">
      <c r="A558" s="14" t="s">
        <v>310</v>
      </c>
      <c r="B558" s="14" t="str">
        <f t="array" ref="B558">VLOOKUP(A558,{Metrik!$C$2:$C$998,Metrik!$B$2:$B$998},2,0)</f>
        <v>Ciputra Development Tbk.</v>
      </c>
      <c r="C558" s="15">
        <f>IFERROR(__xludf.DUMMYFUNCTION("GOOGLEFINANCE(""IDX:""&amp;A558,""price"")"),600.0)</f>
        <v>600</v>
      </c>
      <c r="D558" s="16" t="str">
        <f>IFERROR(__xludf.DUMMYFUNCTION("IF(A558="""","""",
SPARKLINE(
INDEX(
GOOGLEFINANCE(""IDX:""&amp;A558,""close"",TODAY()-365,TODAY()),
,2
),
{""linewidth"",1}
))
"),"#N/A")</f>
        <v>#N/A</v>
      </c>
      <c r="E558" s="14" t="s">
        <v>47</v>
      </c>
      <c r="F558" s="25">
        <v>46356.0</v>
      </c>
      <c r="G558" s="24">
        <f t="shared" si="4"/>
        <v>13</v>
      </c>
      <c r="H558" s="19">
        <f>VLOOKUP(A558,Metrik!$C$2:$Y$959,8,0)</f>
        <v>4.7</v>
      </c>
      <c r="I558" s="20">
        <f>VLOOKUP(A558,Metrik!$C$2:$Y$959,9,0)</f>
        <v>0.44</v>
      </c>
      <c r="J558" s="20">
        <f>VLOOKUP(A558,Metrik!$C$2:$Y$959,10,0)</f>
        <v>9.2</v>
      </c>
      <c r="K558" s="20">
        <f>VLOOKUP(A558,Metrik!$C$2:$Y$959,11,0)</f>
        <v>5.5</v>
      </c>
      <c r="L558" s="20">
        <f>VLOOKUP(A558,Metrik!$C$2:$Y$959,12,0)</f>
        <v>0.67</v>
      </c>
      <c r="M558" s="20">
        <f>VLOOKUP(A558,Metrik!$C$2:$Y$959,19,0)</f>
        <v>98.6</v>
      </c>
      <c r="N558" s="21"/>
      <c r="O558" s="21"/>
      <c r="P558" s="21"/>
      <c r="Q558" s="21"/>
      <c r="R558" s="21"/>
      <c r="S558" s="21"/>
      <c r="T558" s="21"/>
      <c r="U558" s="22">
        <f>IFERROR(__xludf.DUMMYFUNCTION("IFERROR(GOOGLEFINANCE(A558,""closeyest""),"""")"),640.0)</f>
        <v>640</v>
      </c>
      <c r="V558" s="23">
        <f>IFERROR(__xludf.DUMMYFUNCTION("IFERROR(GOOGLEFINANCE(A558,""changepct""),"""")"),-100.0)</f>
        <v>-100</v>
      </c>
      <c r="W558" s="22" t="str">
        <f>IFERROR(__xludf.DUMMYFUNCTION("IFERROR(GOOGLEFINANCE(A558,""priceopen""),"""")"),"")</f>
        <v/>
      </c>
      <c r="X558" s="22" t="str">
        <f>IFERROR(__xludf.DUMMYFUNCTION("IFERROR(GOOGLEFINANCE(A558,""high""),"""")"),"")</f>
        <v/>
      </c>
      <c r="Y558" s="22" t="str">
        <f>IFERROR(__xludf.DUMMYFUNCTION("IFERROR(GOOGLEFINANCE(A558,""low""),"""")"),"")</f>
        <v/>
      </c>
      <c r="Z558" s="22">
        <f>IFERROR(__xludf.DUMMYFUNCTION("IFERROR(GOOGLEFINANCE(A558,""volume""),"""")"),0.0)</f>
        <v>0</v>
      </c>
      <c r="AA558" s="24" t="str">
        <f>VLOOKUP(A558,Metrik!$C$2:$Y$959,5,0)</f>
        <v>Real Estate Management &amp; Development</v>
      </c>
      <c r="AB558" s="24" t="str">
        <f>VLOOKUP(A558,Metrik!$C$2:$Y$959,3,0)</f>
        <v>Properties &amp; Real Estate</v>
      </c>
    </row>
    <row r="559">
      <c r="A559" s="14" t="s">
        <v>310</v>
      </c>
      <c r="B559" s="14" t="str">
        <f t="array" ref="B559">VLOOKUP(A559,{Metrik!$C$2:$C$998,Metrik!$B$2:$B$998},2,0)</f>
        <v>Ciputra Development Tbk.</v>
      </c>
      <c r="C559" s="15">
        <f>IFERROR(__xludf.DUMMYFUNCTION("GOOGLEFINANCE(""IDX:""&amp;A559,""price"")"),600.0)</f>
        <v>600</v>
      </c>
      <c r="D559" s="16" t="str">
        <f>IFERROR(__xludf.DUMMYFUNCTION("IF(A559="""","""",
SPARKLINE(
INDEX(
GOOGLEFINANCE(""IDX:""&amp;A559,""close"",TODAY()-365,TODAY()),
,2
),
{""linewidth"",1}
))
"),"#N/A")</f>
        <v>#N/A</v>
      </c>
      <c r="E559" s="14" t="s">
        <v>55</v>
      </c>
      <c r="F559" s="25">
        <v>46356.0</v>
      </c>
      <c r="G559" s="24">
        <f t="shared" si="4"/>
        <v>13</v>
      </c>
      <c r="H559" s="19">
        <f>VLOOKUP(A559,Metrik!$C$2:$Y$959,8,0)</f>
        <v>4.7</v>
      </c>
      <c r="I559" s="20">
        <f>VLOOKUP(A559,Metrik!$C$2:$Y$959,9,0)</f>
        <v>0.44</v>
      </c>
      <c r="J559" s="20">
        <f>VLOOKUP(A559,Metrik!$C$2:$Y$959,10,0)</f>
        <v>9.2</v>
      </c>
      <c r="K559" s="20">
        <f>VLOOKUP(A559,Metrik!$C$2:$Y$959,11,0)</f>
        <v>5.5</v>
      </c>
      <c r="L559" s="20">
        <f>VLOOKUP(A559,Metrik!$C$2:$Y$959,12,0)</f>
        <v>0.67</v>
      </c>
      <c r="M559" s="20">
        <f>VLOOKUP(A559,Metrik!$C$2:$Y$959,19,0)</f>
        <v>98.6</v>
      </c>
      <c r="N559" s="21"/>
      <c r="O559" s="21"/>
      <c r="P559" s="21"/>
      <c r="Q559" s="21"/>
      <c r="R559" s="21"/>
      <c r="S559" s="21"/>
      <c r="T559" s="21"/>
      <c r="U559" s="22">
        <f>IFERROR(__xludf.DUMMYFUNCTION("IFERROR(GOOGLEFINANCE(A559,""closeyest""),"""")"),640.0)</f>
        <v>640</v>
      </c>
      <c r="V559" s="23">
        <f>IFERROR(__xludf.DUMMYFUNCTION("IFERROR(GOOGLEFINANCE(A559,""changepct""),"""")"),-100.0)</f>
        <v>-100</v>
      </c>
      <c r="W559" s="22" t="str">
        <f>IFERROR(__xludf.DUMMYFUNCTION("IFERROR(GOOGLEFINANCE(A559,""priceopen""),"""")"),"")</f>
        <v/>
      </c>
      <c r="X559" s="22" t="str">
        <f>IFERROR(__xludf.DUMMYFUNCTION("IFERROR(GOOGLEFINANCE(A559,""high""),"""")"),"")</f>
        <v/>
      </c>
      <c r="Y559" s="22" t="str">
        <f>IFERROR(__xludf.DUMMYFUNCTION("IFERROR(GOOGLEFINANCE(A559,""low""),"""")"),"")</f>
        <v/>
      </c>
      <c r="Z559" s="22">
        <f>IFERROR(__xludf.DUMMYFUNCTION("IFERROR(GOOGLEFINANCE(A559,""volume""),"""")"),0.0)</f>
        <v>0</v>
      </c>
      <c r="AA559" s="24" t="str">
        <f>VLOOKUP(A559,Metrik!$C$2:$Y$959,5,0)</f>
        <v>Real Estate Management &amp; Development</v>
      </c>
      <c r="AB559" s="24" t="str">
        <f>VLOOKUP(A559,Metrik!$C$2:$Y$959,3,0)</f>
        <v>Properties &amp; Real Estate</v>
      </c>
    </row>
    <row r="560">
      <c r="A560" s="14" t="s">
        <v>310</v>
      </c>
      <c r="B560" s="14" t="str">
        <f t="array" ref="B560">VLOOKUP(A560,{Metrik!$C$2:$C$998,Metrik!$B$2:$B$998},2,0)</f>
        <v>Ciputra Development Tbk.</v>
      </c>
      <c r="C560" s="15">
        <f>IFERROR(__xludf.DUMMYFUNCTION("GOOGLEFINANCE(""IDX:""&amp;A560,""price"")"),600.0)</f>
        <v>600</v>
      </c>
      <c r="D560" s="16" t="str">
        <f>IFERROR(__xludf.DUMMYFUNCTION("IF(A560="""","""",
SPARKLINE(
INDEX(
GOOGLEFINANCE(""IDX:""&amp;A560,""close"",TODAY()-365,TODAY()),
,2
),
{""linewidth"",1}
))
"),"#N/A")</f>
        <v>#N/A</v>
      </c>
      <c r="E560" s="14" t="s">
        <v>68</v>
      </c>
      <c r="F560" s="14" t="s">
        <v>34</v>
      </c>
      <c r="G560" s="24">
        <f t="shared" si="4"/>
        <v>13</v>
      </c>
      <c r="H560" s="19">
        <f>VLOOKUP(A560,Metrik!$C$2:$Y$959,8,0)</f>
        <v>4.7</v>
      </c>
      <c r="I560" s="20">
        <f>VLOOKUP(A560,Metrik!$C$2:$Y$959,9,0)</f>
        <v>0.44</v>
      </c>
      <c r="J560" s="20">
        <f>VLOOKUP(A560,Metrik!$C$2:$Y$959,10,0)</f>
        <v>9.2</v>
      </c>
      <c r="K560" s="20">
        <f>VLOOKUP(A560,Metrik!$C$2:$Y$959,11,0)</f>
        <v>5.5</v>
      </c>
      <c r="L560" s="20">
        <f>VLOOKUP(A560,Metrik!$C$2:$Y$959,12,0)</f>
        <v>0.67</v>
      </c>
      <c r="M560" s="20">
        <f>VLOOKUP(A560,Metrik!$C$2:$Y$959,19,0)</f>
        <v>98.6</v>
      </c>
      <c r="N560" s="21"/>
      <c r="O560" s="21"/>
      <c r="P560" s="21"/>
      <c r="Q560" s="21"/>
      <c r="R560" s="21"/>
      <c r="S560" s="21"/>
      <c r="T560" s="21"/>
      <c r="U560" s="22">
        <f>IFERROR(__xludf.DUMMYFUNCTION("IFERROR(GOOGLEFINANCE(A560,""closeyest""),"""")"),640.0)</f>
        <v>640</v>
      </c>
      <c r="V560" s="23">
        <f>IFERROR(__xludf.DUMMYFUNCTION("IFERROR(GOOGLEFINANCE(A560,""changepct""),"""")"),-100.0)</f>
        <v>-100</v>
      </c>
      <c r="W560" s="22" t="str">
        <f>IFERROR(__xludf.DUMMYFUNCTION("IFERROR(GOOGLEFINANCE(A560,""priceopen""),"""")"),"")</f>
        <v/>
      </c>
      <c r="X560" s="22" t="str">
        <f>IFERROR(__xludf.DUMMYFUNCTION("IFERROR(GOOGLEFINANCE(A560,""high""),"""")"),"")</f>
        <v/>
      </c>
      <c r="Y560" s="22" t="str">
        <f>IFERROR(__xludf.DUMMYFUNCTION("IFERROR(GOOGLEFINANCE(A560,""low""),"""")"),"")</f>
        <v/>
      </c>
      <c r="Z560" s="22">
        <f>IFERROR(__xludf.DUMMYFUNCTION("IFERROR(GOOGLEFINANCE(A560,""volume""),"""")"),0.0)</f>
        <v>0</v>
      </c>
      <c r="AA560" s="24" t="str">
        <f>VLOOKUP(A560,Metrik!$C$2:$Y$959,5,0)</f>
        <v>Real Estate Management &amp; Development</v>
      </c>
      <c r="AB560" s="24" t="str">
        <f>VLOOKUP(A560,Metrik!$C$2:$Y$959,3,0)</f>
        <v>Properties &amp; Real Estate</v>
      </c>
    </row>
    <row r="561">
      <c r="A561" s="14" t="s">
        <v>310</v>
      </c>
      <c r="B561" s="14" t="str">
        <f t="array" ref="B561">VLOOKUP(A561,{Metrik!$C$2:$C$998,Metrik!$B$2:$B$998},2,0)</f>
        <v>Ciputra Development Tbk.</v>
      </c>
      <c r="C561" s="15">
        <f>IFERROR(__xludf.DUMMYFUNCTION("GOOGLEFINANCE(""IDX:""&amp;A561,""price"")"),600.0)</f>
        <v>600</v>
      </c>
      <c r="D561" s="16" t="str">
        <f>IFERROR(__xludf.DUMMYFUNCTION("IF(A561="""","""",
SPARKLINE(
INDEX(
GOOGLEFINANCE(""IDX:""&amp;A561,""close"",TODAY()-365,TODAY()),
,2
),
{""linewidth"",1}
))
"),"#N/A")</f>
        <v>#N/A</v>
      </c>
      <c r="E561" s="14" t="s">
        <v>54</v>
      </c>
      <c r="F561" s="14" t="s">
        <v>34</v>
      </c>
      <c r="G561" s="24">
        <f t="shared" si="4"/>
        <v>13</v>
      </c>
      <c r="H561" s="19">
        <f>VLOOKUP(A561,Metrik!$C$2:$Y$959,8,0)</f>
        <v>4.7</v>
      </c>
      <c r="I561" s="20">
        <f>VLOOKUP(A561,Metrik!$C$2:$Y$959,9,0)</f>
        <v>0.44</v>
      </c>
      <c r="J561" s="20">
        <f>VLOOKUP(A561,Metrik!$C$2:$Y$959,10,0)</f>
        <v>9.2</v>
      </c>
      <c r="K561" s="20">
        <f>VLOOKUP(A561,Metrik!$C$2:$Y$959,11,0)</f>
        <v>5.5</v>
      </c>
      <c r="L561" s="20">
        <f>VLOOKUP(A561,Metrik!$C$2:$Y$959,12,0)</f>
        <v>0.67</v>
      </c>
      <c r="M561" s="20">
        <f>VLOOKUP(A561,Metrik!$C$2:$Y$959,19,0)</f>
        <v>98.6</v>
      </c>
      <c r="N561" s="21"/>
      <c r="O561" s="21"/>
      <c r="P561" s="21"/>
      <c r="Q561" s="21"/>
      <c r="R561" s="21"/>
      <c r="S561" s="21"/>
      <c r="T561" s="21"/>
      <c r="U561" s="22">
        <f>IFERROR(__xludf.DUMMYFUNCTION("IFERROR(GOOGLEFINANCE(A561,""closeyest""),"""")"),640.0)</f>
        <v>640</v>
      </c>
      <c r="V561" s="23">
        <f>IFERROR(__xludf.DUMMYFUNCTION("IFERROR(GOOGLEFINANCE(A561,""changepct""),"""")"),-100.0)</f>
        <v>-100</v>
      </c>
      <c r="W561" s="22" t="str">
        <f>IFERROR(__xludf.DUMMYFUNCTION("IFERROR(GOOGLEFINANCE(A561,""priceopen""),"""")"),"")</f>
        <v/>
      </c>
      <c r="X561" s="22" t="str">
        <f>IFERROR(__xludf.DUMMYFUNCTION("IFERROR(GOOGLEFINANCE(A561,""high""),"""")"),"")</f>
        <v/>
      </c>
      <c r="Y561" s="22" t="str">
        <f>IFERROR(__xludf.DUMMYFUNCTION("IFERROR(GOOGLEFINANCE(A561,""low""),"""")"),"")</f>
        <v/>
      </c>
      <c r="Z561" s="22">
        <f>IFERROR(__xludf.DUMMYFUNCTION("IFERROR(GOOGLEFINANCE(A561,""volume""),"""")"),0.0)</f>
        <v>0</v>
      </c>
      <c r="AA561" s="24" t="str">
        <f>VLOOKUP(A561,Metrik!$C$2:$Y$959,5,0)</f>
        <v>Real Estate Management &amp; Development</v>
      </c>
      <c r="AB561" s="24" t="str">
        <f>VLOOKUP(A561,Metrik!$C$2:$Y$959,3,0)</f>
        <v>Properties &amp; Real Estate</v>
      </c>
    </row>
    <row r="562">
      <c r="A562" s="14" t="s">
        <v>310</v>
      </c>
      <c r="B562" s="14" t="str">
        <f t="array" ref="B562">VLOOKUP(A562,{Metrik!$C$2:$C$998,Metrik!$B$2:$B$998},2,0)</f>
        <v>Ciputra Development Tbk.</v>
      </c>
      <c r="C562" s="15">
        <f>IFERROR(__xludf.DUMMYFUNCTION("GOOGLEFINANCE(""IDX:""&amp;A562,""price"")"),600.0)</f>
        <v>600</v>
      </c>
      <c r="D562" s="16" t="str">
        <f>IFERROR(__xludf.DUMMYFUNCTION("IF(A562="""","""",
SPARKLINE(
INDEX(
GOOGLEFINANCE(""IDX:""&amp;A562,""close"",TODAY()-365,TODAY()),
,2
),
{""linewidth"",1}
))
"),"#N/A")</f>
        <v>#N/A</v>
      </c>
      <c r="E562" s="14" t="s">
        <v>28</v>
      </c>
      <c r="F562" s="17" t="s">
        <v>29</v>
      </c>
      <c r="G562" s="24">
        <f t="shared" si="4"/>
        <v>13</v>
      </c>
      <c r="H562" s="19">
        <f>VLOOKUP(A562,Metrik!$C$2:$Y$959,8,0)</f>
        <v>4.7</v>
      </c>
      <c r="I562" s="20">
        <f>VLOOKUP(A562,Metrik!$C$2:$Y$959,9,0)</f>
        <v>0.44</v>
      </c>
      <c r="J562" s="20">
        <f>VLOOKUP(A562,Metrik!$C$2:$Y$959,10,0)</f>
        <v>9.2</v>
      </c>
      <c r="K562" s="20">
        <f>VLOOKUP(A562,Metrik!$C$2:$Y$959,11,0)</f>
        <v>5.5</v>
      </c>
      <c r="L562" s="20">
        <f>VLOOKUP(A562,Metrik!$C$2:$Y$959,12,0)</f>
        <v>0.67</v>
      </c>
      <c r="M562" s="20">
        <f>VLOOKUP(A562,Metrik!$C$2:$Y$959,19,0)</f>
        <v>98.6</v>
      </c>
      <c r="N562" s="21"/>
      <c r="O562" s="21"/>
      <c r="P562" s="21"/>
      <c r="Q562" s="21"/>
      <c r="R562" s="21"/>
      <c r="S562" s="21"/>
      <c r="T562" s="21"/>
      <c r="U562" s="22">
        <f>IFERROR(__xludf.DUMMYFUNCTION("IFERROR(GOOGLEFINANCE(A562,""closeyest""),"""")"),640.0)</f>
        <v>640</v>
      </c>
      <c r="V562" s="23">
        <f>IFERROR(__xludf.DUMMYFUNCTION("IFERROR(GOOGLEFINANCE(A562,""changepct""),"""")"),-100.0)</f>
        <v>-100</v>
      </c>
      <c r="W562" s="22" t="str">
        <f>IFERROR(__xludf.DUMMYFUNCTION("IFERROR(GOOGLEFINANCE(A562,""priceopen""),"""")"),"")</f>
        <v/>
      </c>
      <c r="X562" s="22" t="str">
        <f>IFERROR(__xludf.DUMMYFUNCTION("IFERROR(GOOGLEFINANCE(A562,""high""),"""")"),"")</f>
        <v/>
      </c>
      <c r="Y562" s="22" t="str">
        <f>IFERROR(__xludf.DUMMYFUNCTION("IFERROR(GOOGLEFINANCE(A562,""low""),"""")"),"")</f>
        <v/>
      </c>
      <c r="Z562" s="22">
        <f>IFERROR(__xludf.DUMMYFUNCTION("IFERROR(GOOGLEFINANCE(A562,""volume""),"""")"),0.0)</f>
        <v>0</v>
      </c>
      <c r="AA562" s="24" t="str">
        <f>VLOOKUP(A562,Metrik!$C$2:$Y$959,5,0)</f>
        <v>Real Estate Management &amp; Development</v>
      </c>
      <c r="AB562" s="24" t="str">
        <f>VLOOKUP(A562,Metrik!$C$2:$Y$959,3,0)</f>
        <v>Properties &amp; Real Estate</v>
      </c>
    </row>
    <row r="563">
      <c r="A563" s="14" t="s">
        <v>310</v>
      </c>
      <c r="B563" s="14" t="str">
        <f t="array" ref="B563">VLOOKUP(A563,{Metrik!$C$2:$C$998,Metrik!$B$2:$B$998},2,0)</f>
        <v>Ciputra Development Tbk.</v>
      </c>
      <c r="C563" s="15">
        <f>IFERROR(__xludf.DUMMYFUNCTION("GOOGLEFINANCE(""IDX:""&amp;A563,""price"")"),600.0)</f>
        <v>600</v>
      </c>
      <c r="D563" s="16" t="str">
        <f>IFERROR(__xludf.DUMMYFUNCTION("IF(A563="""","""",
SPARKLINE(
INDEX(
GOOGLEFINANCE(""IDX:""&amp;A563,""close"",TODAY()-365,TODAY()),
,2
),
{""linewidth"",1}
))
"),"#N/A")</f>
        <v>#N/A</v>
      </c>
      <c r="E563" s="14" t="s">
        <v>102</v>
      </c>
      <c r="F563" s="27" t="s">
        <v>53</v>
      </c>
      <c r="G563" s="24">
        <f t="shared" si="4"/>
        <v>13</v>
      </c>
      <c r="H563" s="19">
        <f>VLOOKUP(A563,Metrik!$C$2:$Y$959,8,0)</f>
        <v>4.7</v>
      </c>
      <c r="I563" s="20">
        <f>VLOOKUP(A563,Metrik!$C$2:$Y$959,9,0)</f>
        <v>0.44</v>
      </c>
      <c r="J563" s="20">
        <f>VLOOKUP(A563,Metrik!$C$2:$Y$959,10,0)</f>
        <v>9.2</v>
      </c>
      <c r="K563" s="20">
        <f>VLOOKUP(A563,Metrik!$C$2:$Y$959,11,0)</f>
        <v>5.5</v>
      </c>
      <c r="L563" s="20">
        <f>VLOOKUP(A563,Metrik!$C$2:$Y$959,12,0)</f>
        <v>0.67</v>
      </c>
      <c r="M563" s="20">
        <f>VLOOKUP(A563,Metrik!$C$2:$Y$959,19,0)</f>
        <v>98.6</v>
      </c>
      <c r="N563" s="21"/>
      <c r="O563" s="21"/>
      <c r="P563" s="21"/>
      <c r="Q563" s="21"/>
      <c r="R563" s="21"/>
      <c r="S563" s="21"/>
      <c r="T563" s="21"/>
      <c r="U563" s="22">
        <f>IFERROR(__xludf.DUMMYFUNCTION("IFERROR(GOOGLEFINANCE(A563,""closeyest""),"""")"),640.0)</f>
        <v>640</v>
      </c>
      <c r="V563" s="23">
        <f>IFERROR(__xludf.DUMMYFUNCTION("IFERROR(GOOGLEFINANCE(A563,""changepct""),"""")"),-100.0)</f>
        <v>-100</v>
      </c>
      <c r="W563" s="22" t="str">
        <f>IFERROR(__xludf.DUMMYFUNCTION("IFERROR(GOOGLEFINANCE(A563,""priceopen""),"""")"),"")</f>
        <v/>
      </c>
      <c r="X563" s="22" t="str">
        <f>IFERROR(__xludf.DUMMYFUNCTION("IFERROR(GOOGLEFINANCE(A563,""high""),"""")"),"")</f>
        <v/>
      </c>
      <c r="Y563" s="22" t="str">
        <f>IFERROR(__xludf.DUMMYFUNCTION("IFERROR(GOOGLEFINANCE(A563,""low""),"""")"),"")</f>
        <v/>
      </c>
      <c r="Z563" s="22">
        <f>IFERROR(__xludf.DUMMYFUNCTION("IFERROR(GOOGLEFINANCE(A563,""volume""),"""")"),0.0)</f>
        <v>0</v>
      </c>
      <c r="AA563" s="24" t="str">
        <f>VLOOKUP(A563,Metrik!$C$2:$Y$959,5,0)</f>
        <v>Real Estate Management &amp; Development</v>
      </c>
      <c r="AB563" s="24" t="str">
        <f>VLOOKUP(A563,Metrik!$C$2:$Y$959,3,0)</f>
        <v>Properties &amp; Real Estate</v>
      </c>
    </row>
    <row r="564">
      <c r="A564" s="14" t="s">
        <v>310</v>
      </c>
      <c r="B564" s="14" t="str">
        <f t="array" ref="B564">VLOOKUP(A564,{Metrik!$C$2:$C$998,Metrik!$B$2:$B$998},2,0)</f>
        <v>Ciputra Development Tbk.</v>
      </c>
      <c r="C564" s="15">
        <f>IFERROR(__xludf.DUMMYFUNCTION("GOOGLEFINANCE(""IDX:""&amp;A564,""price"")"),600.0)</f>
        <v>600</v>
      </c>
      <c r="D564" s="16" t="str">
        <f>IFERROR(__xludf.DUMMYFUNCTION("IF(A564="""","""",
SPARKLINE(
INDEX(
GOOGLEFINANCE(""IDX:""&amp;A564,""close"",TODAY()-365,TODAY()),
,2
),
{""linewidth"",1}
))
"),"#N/A")</f>
        <v>#N/A</v>
      </c>
      <c r="E564" s="14" t="s">
        <v>50</v>
      </c>
      <c r="F564" s="17" t="s">
        <v>51</v>
      </c>
      <c r="G564" s="24">
        <f t="shared" si="4"/>
        <v>13</v>
      </c>
      <c r="H564" s="19">
        <f>VLOOKUP(A564,Metrik!$C$2:$Y$959,8,0)</f>
        <v>4.7</v>
      </c>
      <c r="I564" s="20">
        <f>VLOOKUP(A564,Metrik!$C$2:$Y$959,9,0)</f>
        <v>0.44</v>
      </c>
      <c r="J564" s="20">
        <f>VLOOKUP(A564,Metrik!$C$2:$Y$959,10,0)</f>
        <v>9.2</v>
      </c>
      <c r="K564" s="20">
        <f>VLOOKUP(A564,Metrik!$C$2:$Y$959,11,0)</f>
        <v>5.5</v>
      </c>
      <c r="L564" s="20">
        <f>VLOOKUP(A564,Metrik!$C$2:$Y$959,12,0)</f>
        <v>0.67</v>
      </c>
      <c r="M564" s="20">
        <f>VLOOKUP(A564,Metrik!$C$2:$Y$959,19,0)</f>
        <v>98.6</v>
      </c>
      <c r="N564" s="21"/>
      <c r="O564" s="21"/>
      <c r="P564" s="21"/>
      <c r="Q564" s="21"/>
      <c r="R564" s="21"/>
      <c r="S564" s="21"/>
      <c r="T564" s="21"/>
      <c r="U564" s="22">
        <f>IFERROR(__xludf.DUMMYFUNCTION("IFERROR(GOOGLEFINANCE(A564,""closeyest""),"""")"),640.0)</f>
        <v>640</v>
      </c>
      <c r="V564" s="23">
        <f>IFERROR(__xludf.DUMMYFUNCTION("IFERROR(GOOGLEFINANCE(A564,""changepct""),"""")"),-100.0)</f>
        <v>-100</v>
      </c>
      <c r="W564" s="22" t="str">
        <f>IFERROR(__xludf.DUMMYFUNCTION("IFERROR(GOOGLEFINANCE(A564,""priceopen""),"""")"),"")</f>
        <v/>
      </c>
      <c r="X564" s="22" t="str">
        <f>IFERROR(__xludf.DUMMYFUNCTION("IFERROR(GOOGLEFINANCE(A564,""high""),"""")"),"")</f>
        <v/>
      </c>
      <c r="Y564" s="22" t="str">
        <f>IFERROR(__xludf.DUMMYFUNCTION("IFERROR(GOOGLEFINANCE(A564,""low""),"""")"),"")</f>
        <v/>
      </c>
      <c r="Z564" s="22">
        <f>IFERROR(__xludf.DUMMYFUNCTION("IFERROR(GOOGLEFINANCE(A564,""volume""),"""")"),0.0)</f>
        <v>0</v>
      </c>
      <c r="AA564" s="24" t="str">
        <f>VLOOKUP(A564,Metrik!$C$2:$Y$959,5,0)</f>
        <v>Real Estate Management &amp; Development</v>
      </c>
      <c r="AB564" s="24" t="str">
        <f>VLOOKUP(A564,Metrik!$C$2:$Y$959,3,0)</f>
        <v>Properties &amp; Real Estate</v>
      </c>
    </row>
    <row r="565">
      <c r="A565" s="14" t="s">
        <v>310</v>
      </c>
      <c r="B565" s="14" t="str">
        <f t="array" ref="B565">VLOOKUP(A565,{Metrik!$C$2:$C$998,Metrik!$B$2:$B$998},2,0)</f>
        <v>Ciputra Development Tbk.</v>
      </c>
      <c r="C565" s="15">
        <f>IFERROR(__xludf.DUMMYFUNCTION("GOOGLEFINANCE(""IDX:""&amp;A565,""price"")"),600.0)</f>
        <v>600</v>
      </c>
      <c r="D565" s="16" t="str">
        <f>IFERROR(__xludf.DUMMYFUNCTION("IF(A565="""","""",
SPARKLINE(
INDEX(
GOOGLEFINANCE(""IDX:""&amp;A565,""close"",TODAY()-365,TODAY()),
,2
),
{""linewidth"",1}
))
"),"#N/A")</f>
        <v>#N/A</v>
      </c>
      <c r="E565" s="14" t="s">
        <v>32</v>
      </c>
      <c r="F565" s="14" t="s">
        <v>29</v>
      </c>
      <c r="G565" s="24">
        <f t="shared" si="4"/>
        <v>13</v>
      </c>
      <c r="H565" s="19">
        <f>VLOOKUP(A565,Metrik!$C$2:$Y$959,8,0)</f>
        <v>4.7</v>
      </c>
      <c r="I565" s="20">
        <f>VLOOKUP(A565,Metrik!$C$2:$Y$959,9,0)</f>
        <v>0.44</v>
      </c>
      <c r="J565" s="20">
        <f>VLOOKUP(A565,Metrik!$C$2:$Y$959,10,0)</f>
        <v>9.2</v>
      </c>
      <c r="K565" s="20">
        <f>VLOOKUP(A565,Metrik!$C$2:$Y$959,11,0)</f>
        <v>5.5</v>
      </c>
      <c r="L565" s="20">
        <f>VLOOKUP(A565,Metrik!$C$2:$Y$959,12,0)</f>
        <v>0.67</v>
      </c>
      <c r="M565" s="20">
        <f>VLOOKUP(A565,Metrik!$C$2:$Y$959,19,0)</f>
        <v>98.6</v>
      </c>
      <c r="N565" s="21"/>
      <c r="O565" s="21"/>
      <c r="P565" s="21"/>
      <c r="Q565" s="21"/>
      <c r="R565" s="21"/>
      <c r="S565" s="21"/>
      <c r="T565" s="21"/>
      <c r="U565" s="22">
        <f>IFERROR(__xludf.DUMMYFUNCTION("IFERROR(GOOGLEFINANCE(A565,""closeyest""),"""")"),640.0)</f>
        <v>640</v>
      </c>
      <c r="V565" s="23">
        <f>IFERROR(__xludf.DUMMYFUNCTION("IFERROR(GOOGLEFINANCE(A565,""changepct""),"""")"),-100.0)</f>
        <v>-100</v>
      </c>
      <c r="W565" s="22" t="str">
        <f>IFERROR(__xludf.DUMMYFUNCTION("IFERROR(GOOGLEFINANCE(A565,""priceopen""),"""")"),"")</f>
        <v/>
      </c>
      <c r="X565" s="22" t="str">
        <f>IFERROR(__xludf.DUMMYFUNCTION("IFERROR(GOOGLEFINANCE(A565,""high""),"""")"),"")</f>
        <v/>
      </c>
      <c r="Y565" s="22" t="str">
        <f>IFERROR(__xludf.DUMMYFUNCTION("IFERROR(GOOGLEFINANCE(A565,""low""),"""")"),"")</f>
        <v/>
      </c>
      <c r="Z565" s="22">
        <f>IFERROR(__xludf.DUMMYFUNCTION("IFERROR(GOOGLEFINANCE(A565,""volume""),"""")"),0.0)</f>
        <v>0</v>
      </c>
      <c r="AA565" s="24" t="str">
        <f>VLOOKUP(A565,Metrik!$C$2:$Y$959,5,0)</f>
        <v>Real Estate Management &amp; Development</v>
      </c>
      <c r="AB565" s="24" t="str">
        <f>VLOOKUP(A565,Metrik!$C$2:$Y$959,3,0)</f>
        <v>Properties &amp; Real Estate</v>
      </c>
    </row>
    <row r="566">
      <c r="A566" s="14" t="s">
        <v>310</v>
      </c>
      <c r="B566" s="14" t="str">
        <f t="array" ref="B566">VLOOKUP(A566,{Metrik!$C$2:$C$998,Metrik!$B$2:$B$998},2,0)</f>
        <v>Ciputra Development Tbk.</v>
      </c>
      <c r="C566" s="15">
        <f>IFERROR(__xludf.DUMMYFUNCTION("GOOGLEFINANCE(""IDX:""&amp;A566,""price"")"),600.0)</f>
        <v>600</v>
      </c>
      <c r="D566" s="16" t="str">
        <f>IFERROR(__xludf.DUMMYFUNCTION("IF(A566="""","""",
SPARKLINE(
INDEX(
GOOGLEFINANCE(""IDX:""&amp;A566,""close"",TODAY()-365,TODAY()),
,2
),
{""linewidth"",1}
))
"),"#N/A")</f>
        <v>#N/A</v>
      </c>
      <c r="E566" s="14" t="s">
        <v>52</v>
      </c>
      <c r="F566" s="27" t="s">
        <v>53</v>
      </c>
      <c r="G566" s="24">
        <f t="shared" si="4"/>
        <v>13</v>
      </c>
      <c r="H566" s="19">
        <f>VLOOKUP(A566,Metrik!$C$2:$Y$959,8,0)</f>
        <v>4.7</v>
      </c>
      <c r="I566" s="20">
        <f>VLOOKUP(A566,Metrik!$C$2:$Y$959,9,0)</f>
        <v>0.44</v>
      </c>
      <c r="J566" s="20">
        <f>VLOOKUP(A566,Metrik!$C$2:$Y$959,10,0)</f>
        <v>9.2</v>
      </c>
      <c r="K566" s="20">
        <f>VLOOKUP(A566,Metrik!$C$2:$Y$959,11,0)</f>
        <v>5.5</v>
      </c>
      <c r="L566" s="20">
        <f>VLOOKUP(A566,Metrik!$C$2:$Y$959,12,0)</f>
        <v>0.67</v>
      </c>
      <c r="M566" s="20">
        <f>VLOOKUP(A566,Metrik!$C$2:$Y$959,19,0)</f>
        <v>98.6</v>
      </c>
      <c r="N566" s="21"/>
      <c r="O566" s="21"/>
      <c r="P566" s="21"/>
      <c r="Q566" s="21"/>
      <c r="R566" s="21"/>
      <c r="S566" s="21"/>
      <c r="T566" s="21"/>
      <c r="U566" s="22">
        <f>IFERROR(__xludf.DUMMYFUNCTION("IFERROR(GOOGLEFINANCE(A566,""closeyest""),"""")"),640.0)</f>
        <v>640</v>
      </c>
      <c r="V566" s="23">
        <f>IFERROR(__xludf.DUMMYFUNCTION("IFERROR(GOOGLEFINANCE(A566,""changepct""),"""")"),-100.0)</f>
        <v>-100</v>
      </c>
      <c r="W566" s="22" t="str">
        <f>IFERROR(__xludf.DUMMYFUNCTION("IFERROR(GOOGLEFINANCE(A566,""priceopen""),"""")"),"")</f>
        <v/>
      </c>
      <c r="X566" s="22" t="str">
        <f>IFERROR(__xludf.DUMMYFUNCTION("IFERROR(GOOGLEFINANCE(A566,""high""),"""")"),"")</f>
        <v/>
      </c>
      <c r="Y566" s="22" t="str">
        <f>IFERROR(__xludf.DUMMYFUNCTION("IFERROR(GOOGLEFINANCE(A566,""low""),"""")"),"")</f>
        <v/>
      </c>
      <c r="Z566" s="22">
        <f>IFERROR(__xludf.DUMMYFUNCTION("IFERROR(GOOGLEFINANCE(A566,""volume""),"""")"),0.0)</f>
        <v>0</v>
      </c>
      <c r="AA566" s="24" t="str">
        <f>VLOOKUP(A566,Metrik!$C$2:$Y$959,5,0)</f>
        <v>Real Estate Management &amp; Development</v>
      </c>
      <c r="AB566" s="24" t="str">
        <f>VLOOKUP(A566,Metrik!$C$2:$Y$959,3,0)</f>
        <v>Properties &amp; Real Estate</v>
      </c>
    </row>
    <row r="567">
      <c r="A567" s="14" t="s">
        <v>310</v>
      </c>
      <c r="B567" s="14" t="str">
        <f t="array" ref="B567">VLOOKUP(A567,{Metrik!$C$2:$C$998,Metrik!$B$2:$B$998},2,0)</f>
        <v>Ciputra Development Tbk.</v>
      </c>
      <c r="C567" s="15">
        <f>IFERROR(__xludf.DUMMYFUNCTION("GOOGLEFINANCE(""IDX:""&amp;A567,""price"")"),600.0)</f>
        <v>600</v>
      </c>
      <c r="D567" s="16" t="str">
        <f>IFERROR(__xludf.DUMMYFUNCTION("IF(A567="""","""",
SPARKLINE(
INDEX(
GOOGLEFINANCE(""IDX:""&amp;A567,""close"",TODAY()-365,TODAY()),
,2
),
{""linewidth"",1}
))
"),"#N/A")</f>
        <v>#N/A</v>
      </c>
      <c r="E567" s="14" t="s">
        <v>33</v>
      </c>
      <c r="F567" s="14" t="s">
        <v>34</v>
      </c>
      <c r="G567" s="24">
        <f t="shared" si="4"/>
        <v>13</v>
      </c>
      <c r="H567" s="19">
        <f>VLOOKUP(A567,Metrik!$C$2:$Y$959,8,0)</f>
        <v>4.7</v>
      </c>
      <c r="I567" s="20">
        <f>VLOOKUP(A567,Metrik!$C$2:$Y$959,9,0)</f>
        <v>0.44</v>
      </c>
      <c r="J567" s="20">
        <f>VLOOKUP(A567,Metrik!$C$2:$Y$959,10,0)</f>
        <v>9.2</v>
      </c>
      <c r="K567" s="20">
        <f>VLOOKUP(A567,Metrik!$C$2:$Y$959,11,0)</f>
        <v>5.5</v>
      </c>
      <c r="L567" s="20">
        <f>VLOOKUP(A567,Metrik!$C$2:$Y$959,12,0)</f>
        <v>0.67</v>
      </c>
      <c r="M567" s="20">
        <f>VLOOKUP(A567,Metrik!$C$2:$Y$959,19,0)</f>
        <v>98.6</v>
      </c>
      <c r="N567" s="21"/>
      <c r="O567" s="21"/>
      <c r="P567" s="21"/>
      <c r="Q567" s="21"/>
      <c r="R567" s="21"/>
      <c r="S567" s="21"/>
      <c r="T567" s="21"/>
      <c r="U567" s="22">
        <f>IFERROR(__xludf.DUMMYFUNCTION("IFERROR(GOOGLEFINANCE(A567,""closeyest""),"""")"),640.0)</f>
        <v>640</v>
      </c>
      <c r="V567" s="23">
        <f>IFERROR(__xludf.DUMMYFUNCTION("IFERROR(GOOGLEFINANCE(A567,""changepct""),"""")"),-100.0)</f>
        <v>-100</v>
      </c>
      <c r="W567" s="22" t="str">
        <f>IFERROR(__xludf.DUMMYFUNCTION("IFERROR(GOOGLEFINANCE(A567,""priceopen""),"""")"),"")</f>
        <v/>
      </c>
      <c r="X567" s="22" t="str">
        <f>IFERROR(__xludf.DUMMYFUNCTION("IFERROR(GOOGLEFINANCE(A567,""high""),"""")"),"")</f>
        <v/>
      </c>
      <c r="Y567" s="22" t="str">
        <f>IFERROR(__xludf.DUMMYFUNCTION("IFERROR(GOOGLEFINANCE(A567,""low""),"""")"),"")</f>
        <v/>
      </c>
      <c r="Z567" s="22">
        <f>IFERROR(__xludf.DUMMYFUNCTION("IFERROR(GOOGLEFINANCE(A567,""volume""),"""")"),0.0)</f>
        <v>0</v>
      </c>
      <c r="AA567" s="24" t="str">
        <f>VLOOKUP(A567,Metrik!$C$2:$Y$959,5,0)</f>
        <v>Real Estate Management &amp; Development</v>
      </c>
      <c r="AB567" s="24" t="str">
        <f>VLOOKUP(A567,Metrik!$C$2:$Y$959,3,0)</f>
        <v>Properties &amp; Real Estate</v>
      </c>
    </row>
    <row r="568">
      <c r="A568" s="14" t="s">
        <v>310</v>
      </c>
      <c r="B568" s="14" t="str">
        <f t="array" ref="B568">VLOOKUP(A568,{Metrik!$C$2:$C$998,Metrik!$B$2:$B$998},2,0)</f>
        <v>Ciputra Development Tbk.</v>
      </c>
      <c r="C568" s="15">
        <f>IFERROR(__xludf.DUMMYFUNCTION("GOOGLEFINANCE(""IDX:""&amp;A568,""price"")"),600.0)</f>
        <v>600</v>
      </c>
      <c r="D568" s="16" t="str">
        <f>IFERROR(__xludf.DUMMYFUNCTION("IF(A568="""","""",
SPARKLINE(
INDEX(
GOOGLEFINANCE(""IDX:""&amp;A568,""close"",TODAY()-365,TODAY()),
,2
),
{""linewidth"",1}
))
"),"#N/A")</f>
        <v>#N/A</v>
      </c>
      <c r="E568" s="14" t="s">
        <v>41</v>
      </c>
      <c r="F568" s="14" t="s">
        <v>34</v>
      </c>
      <c r="G568" s="24">
        <f t="shared" si="4"/>
        <v>13</v>
      </c>
      <c r="H568" s="19">
        <f>VLOOKUP(A568,Metrik!$C$2:$Y$959,8,0)</f>
        <v>4.7</v>
      </c>
      <c r="I568" s="20">
        <f>VLOOKUP(A568,Metrik!$C$2:$Y$959,9,0)</f>
        <v>0.44</v>
      </c>
      <c r="J568" s="20">
        <f>VLOOKUP(A568,Metrik!$C$2:$Y$959,10,0)</f>
        <v>9.2</v>
      </c>
      <c r="K568" s="20">
        <f>VLOOKUP(A568,Metrik!$C$2:$Y$959,11,0)</f>
        <v>5.5</v>
      </c>
      <c r="L568" s="20">
        <f>VLOOKUP(A568,Metrik!$C$2:$Y$959,12,0)</f>
        <v>0.67</v>
      </c>
      <c r="M568" s="20">
        <f>VLOOKUP(A568,Metrik!$C$2:$Y$959,19,0)</f>
        <v>98.6</v>
      </c>
      <c r="N568" s="21"/>
      <c r="O568" s="21"/>
      <c r="P568" s="21"/>
      <c r="Q568" s="21"/>
      <c r="R568" s="21"/>
      <c r="S568" s="21"/>
      <c r="T568" s="21"/>
      <c r="U568" s="22">
        <f>IFERROR(__xludf.DUMMYFUNCTION("IFERROR(GOOGLEFINANCE(A568,""closeyest""),"""")"),640.0)</f>
        <v>640</v>
      </c>
      <c r="V568" s="23">
        <f>IFERROR(__xludf.DUMMYFUNCTION("IFERROR(GOOGLEFINANCE(A568,""changepct""),"""")"),-100.0)</f>
        <v>-100</v>
      </c>
      <c r="W568" s="22" t="str">
        <f>IFERROR(__xludf.DUMMYFUNCTION("IFERROR(GOOGLEFINANCE(A568,""priceopen""),"""")"),"")</f>
        <v/>
      </c>
      <c r="X568" s="22" t="str">
        <f>IFERROR(__xludf.DUMMYFUNCTION("IFERROR(GOOGLEFINANCE(A568,""high""),"""")"),"")</f>
        <v/>
      </c>
      <c r="Y568" s="22" t="str">
        <f>IFERROR(__xludf.DUMMYFUNCTION("IFERROR(GOOGLEFINANCE(A568,""low""),"""")"),"")</f>
        <v/>
      </c>
      <c r="Z568" s="22">
        <f>IFERROR(__xludf.DUMMYFUNCTION("IFERROR(GOOGLEFINANCE(A568,""volume""),"""")"),0.0)</f>
        <v>0</v>
      </c>
      <c r="AA568" s="24" t="str">
        <f>VLOOKUP(A568,Metrik!$C$2:$Y$959,5,0)</f>
        <v>Real Estate Management &amp; Development</v>
      </c>
      <c r="AB568" s="24" t="str">
        <f>VLOOKUP(A568,Metrik!$C$2:$Y$959,3,0)</f>
        <v>Properties &amp; Real Estate</v>
      </c>
    </row>
    <row r="569">
      <c r="A569" s="17" t="s">
        <v>310</v>
      </c>
      <c r="B569" s="14" t="str">
        <f t="array" ref="B569">VLOOKUP(A569,{Metrik!$C$2:$C$998,Metrik!$B$2:$B$998},2,0)</f>
        <v>Ciputra Development Tbk.</v>
      </c>
      <c r="C569" s="15">
        <f>IFERROR(__xludf.DUMMYFUNCTION("GOOGLEFINANCE(""IDX:""&amp;A569,""price"")"),600.0)</f>
        <v>600</v>
      </c>
      <c r="D569" s="16" t="str">
        <f>IFERROR(__xludf.DUMMYFUNCTION("IF(A569="""","""",
SPARKLINE(
INDEX(
GOOGLEFINANCE(""IDX:""&amp;A569,""close"",TODAY()-365,TODAY()),
,2
),
{""linewidth"",1}
))
"),"#N/A")</f>
        <v>#N/A</v>
      </c>
      <c r="E569" s="14" t="s">
        <v>35</v>
      </c>
      <c r="F569" s="17" t="s">
        <v>36</v>
      </c>
      <c r="G569" s="18">
        <f t="shared" si="4"/>
        <v>13</v>
      </c>
      <c r="H569" s="19">
        <f>VLOOKUP(A569,Metrik!$C$2:$Y$959,8,0)</f>
        <v>4.7</v>
      </c>
      <c r="I569" s="20">
        <f>VLOOKUP(A569,Metrik!$C$2:$Y$959,9,0)</f>
        <v>0.44</v>
      </c>
      <c r="J569" s="20">
        <f>VLOOKUP(A569,Metrik!$C$2:$Y$959,10,0)</f>
        <v>9.2</v>
      </c>
      <c r="K569" s="20">
        <f>VLOOKUP(A569,Metrik!$C$2:$Y$959,11,0)</f>
        <v>5.5</v>
      </c>
      <c r="L569" s="20">
        <f>VLOOKUP(A569,Metrik!$C$2:$Y$959,12,0)</f>
        <v>0.67</v>
      </c>
      <c r="M569" s="20">
        <f>VLOOKUP(A569,Metrik!$C$2:$Y$959,19,0)</f>
        <v>98.6</v>
      </c>
      <c r="N569" s="21"/>
      <c r="O569" s="21"/>
      <c r="P569" s="21"/>
      <c r="Q569" s="21"/>
      <c r="R569" s="21"/>
      <c r="S569" s="21"/>
      <c r="T569" s="21"/>
      <c r="U569" s="22">
        <f>IFERROR(__xludf.DUMMYFUNCTION("IFERROR(GOOGLEFINANCE(A569,""closeyest""),"""")"),640.0)</f>
        <v>640</v>
      </c>
      <c r="V569" s="23">
        <f>IFERROR(__xludf.DUMMYFUNCTION("IFERROR(GOOGLEFINANCE(A569,""changepct""),"""")"),-100.0)</f>
        <v>-100</v>
      </c>
      <c r="W569" s="22" t="str">
        <f>IFERROR(__xludf.DUMMYFUNCTION("IFERROR(GOOGLEFINANCE(A569,""priceopen""),"""")"),"")</f>
        <v/>
      </c>
      <c r="X569" s="22" t="str">
        <f>IFERROR(__xludf.DUMMYFUNCTION("IFERROR(GOOGLEFINANCE(A569,""high""),"""")"),"")</f>
        <v/>
      </c>
      <c r="Y569" s="22" t="str">
        <f>IFERROR(__xludf.DUMMYFUNCTION("IFERROR(GOOGLEFINANCE(A569,""low""),"""")"),"")</f>
        <v/>
      </c>
      <c r="Z569" s="22">
        <f>IFERROR(__xludf.DUMMYFUNCTION("IFERROR(GOOGLEFINANCE(A569,""volume""),"""")"),0.0)</f>
        <v>0</v>
      </c>
      <c r="AA569" s="24" t="str">
        <f>VLOOKUP(A569,Metrik!$C$2:$Y$959,5,0)</f>
        <v>Real Estate Management &amp; Development</v>
      </c>
      <c r="AB569" s="24" t="str">
        <f>VLOOKUP(A569,Metrik!$C$2:$Y$959,3,0)</f>
        <v>Properties &amp; Real Estate</v>
      </c>
    </row>
    <row r="570">
      <c r="A570" s="14" t="s">
        <v>310</v>
      </c>
      <c r="B570" s="14" t="str">
        <f t="array" ref="B570">VLOOKUP(A570,{Metrik!$C$2:$C$998,Metrik!$B$2:$B$998},2,0)</f>
        <v>Ciputra Development Tbk.</v>
      </c>
      <c r="C570" s="15">
        <f>IFERROR(__xludf.DUMMYFUNCTION("GOOGLEFINANCE(""IDX:""&amp;A570,""price"")"),600.0)</f>
        <v>600</v>
      </c>
      <c r="D570" s="16" t="str">
        <f>IFERROR(__xludf.DUMMYFUNCTION("IF(A570="""","""",
SPARKLINE(
INDEX(
GOOGLEFINANCE(""IDX:""&amp;A570,""close"",TODAY()-365,TODAY()),
,2
),
{""linewidth"",1}
))
"),"#N/A")</f>
        <v>#N/A</v>
      </c>
      <c r="E570" s="14" t="s">
        <v>39</v>
      </c>
      <c r="F570" s="25">
        <v>46356.0</v>
      </c>
      <c r="G570" s="24">
        <f t="shared" si="4"/>
        <v>13</v>
      </c>
      <c r="H570" s="19">
        <f>VLOOKUP(A570,Metrik!$C$2:$Y$959,8,0)</f>
        <v>4.7</v>
      </c>
      <c r="I570" s="20">
        <f>VLOOKUP(A570,Metrik!$C$2:$Y$959,9,0)</f>
        <v>0.44</v>
      </c>
      <c r="J570" s="20">
        <f>VLOOKUP(A570,Metrik!$C$2:$Y$959,10,0)</f>
        <v>9.2</v>
      </c>
      <c r="K570" s="20">
        <f>VLOOKUP(A570,Metrik!$C$2:$Y$959,11,0)</f>
        <v>5.5</v>
      </c>
      <c r="L570" s="20">
        <f>VLOOKUP(A570,Metrik!$C$2:$Y$959,12,0)</f>
        <v>0.67</v>
      </c>
      <c r="M570" s="20">
        <f>VLOOKUP(A570,Metrik!$C$2:$Y$959,19,0)</f>
        <v>98.6</v>
      </c>
      <c r="N570" s="21"/>
      <c r="O570" s="21"/>
      <c r="P570" s="21"/>
      <c r="Q570" s="21"/>
      <c r="R570" s="21"/>
      <c r="S570" s="21"/>
      <c r="T570" s="21"/>
      <c r="U570" s="22">
        <f>IFERROR(__xludf.DUMMYFUNCTION("IFERROR(GOOGLEFINANCE(A570,""closeyest""),"""")"),640.0)</f>
        <v>640</v>
      </c>
      <c r="V570" s="23">
        <f>IFERROR(__xludf.DUMMYFUNCTION("IFERROR(GOOGLEFINANCE(A570,""changepct""),"""")"),-100.0)</f>
        <v>-100</v>
      </c>
      <c r="W570" s="22" t="str">
        <f>IFERROR(__xludf.DUMMYFUNCTION("IFERROR(GOOGLEFINANCE(A570,""priceopen""),"""")"),"")</f>
        <v/>
      </c>
      <c r="X570" s="22" t="str">
        <f>IFERROR(__xludf.DUMMYFUNCTION("IFERROR(GOOGLEFINANCE(A570,""high""),"""")"),"")</f>
        <v/>
      </c>
      <c r="Y570" s="22" t="str">
        <f>IFERROR(__xludf.DUMMYFUNCTION("IFERROR(GOOGLEFINANCE(A570,""low""),"""")"),"")</f>
        <v/>
      </c>
      <c r="Z570" s="22">
        <f>IFERROR(__xludf.DUMMYFUNCTION("IFERROR(GOOGLEFINANCE(A570,""volume""),"""")"),0.0)</f>
        <v>0</v>
      </c>
      <c r="AA570" s="24" t="str">
        <f>VLOOKUP(A570,Metrik!$C$2:$Y$959,5,0)</f>
        <v>Real Estate Management &amp; Development</v>
      </c>
      <c r="AB570" s="24" t="str">
        <f>VLOOKUP(A570,Metrik!$C$2:$Y$959,3,0)</f>
        <v>Properties &amp; Real Estate</v>
      </c>
    </row>
    <row r="571">
      <c r="A571" s="14" t="s">
        <v>311</v>
      </c>
      <c r="B571" s="14" t="str">
        <f t="array" ref="B571">VLOOKUP(A571,{Metrik!$C$2:$C$998,Metrik!$B$2:$B$998},2,0)</f>
        <v>Citatah Tbk.</v>
      </c>
      <c r="C571" s="15">
        <f>IFERROR(__xludf.DUMMYFUNCTION("GOOGLEFINANCE(""IDX:""&amp;A571,""price"")"),137.0)</f>
        <v>137</v>
      </c>
      <c r="D571" s="16" t="str">
        <f>IFERROR(__xludf.DUMMYFUNCTION("IF(A571="""","""",
SPARKLINE(
INDEX(
GOOGLEFINANCE(""IDX:""&amp;A571,""close"",TODAY()-365,TODAY()),
,2
),
{""linewidth"",1}
))
"),"#N/A")</f>
        <v>#N/A</v>
      </c>
      <c r="E571" s="26"/>
      <c r="F571" s="26"/>
      <c r="G571" s="24">
        <f t="shared" si="4"/>
        <v>0</v>
      </c>
      <c r="H571" s="19">
        <f>VLOOKUP(A571,Metrik!$C$2:$Y$959,8,0)</f>
        <v>-7.9</v>
      </c>
      <c r="I571" s="20">
        <f>VLOOKUP(A571,Metrik!$C$2:$Y$959,9,0)</f>
        <v>1.3</v>
      </c>
      <c r="J571" s="20">
        <f>VLOOKUP(A571,Metrik!$C$2:$Y$959,10,0)</f>
        <v>-16.7</v>
      </c>
      <c r="K571" s="20">
        <f>VLOOKUP(A571,Metrik!$C$2:$Y$959,11,0)</f>
        <v>-4</v>
      </c>
      <c r="L571" s="20">
        <f>VLOOKUP(A571,Metrik!$C$2:$Y$959,12,0)</f>
        <v>3.2</v>
      </c>
      <c r="M571" s="20">
        <f>VLOOKUP(A571,Metrik!$C$2:$Y$959,19,0)</f>
        <v>-160</v>
      </c>
      <c r="N571" s="21"/>
      <c r="O571" s="21"/>
      <c r="P571" s="21"/>
      <c r="Q571" s="21"/>
      <c r="R571" s="21"/>
      <c r="S571" s="21"/>
      <c r="T571" s="21"/>
      <c r="U571" s="22">
        <f>IFERROR(__xludf.DUMMYFUNCTION("IFERROR(GOOGLEFINANCE(A571,""closeyest""),"""")"),0.08)</f>
        <v>0.08</v>
      </c>
      <c r="V571" s="23">
        <f>IFERROR(__xludf.DUMMYFUNCTION("IFERROR(GOOGLEFINANCE(A571,""changepct""),"""")"),0.0)</f>
        <v>0</v>
      </c>
      <c r="W571" s="22" t="str">
        <f>IFERROR(__xludf.DUMMYFUNCTION("IFERROR(GOOGLEFINANCE(A571,""priceopen""),"""")"),"")</f>
        <v/>
      </c>
      <c r="X571" s="22" t="str">
        <f>IFERROR(__xludf.DUMMYFUNCTION("IFERROR(GOOGLEFINANCE(A571,""high""),"""")"),"")</f>
        <v/>
      </c>
      <c r="Y571" s="22" t="str">
        <f>IFERROR(__xludf.DUMMYFUNCTION("IFERROR(GOOGLEFINANCE(A571,""low""),"""")"),"")</f>
        <v/>
      </c>
      <c r="Z571" s="22">
        <f>IFERROR(__xludf.DUMMYFUNCTION("IFERROR(GOOGLEFINANCE(A571,""volume""),"""")"),0.0)</f>
        <v>0</v>
      </c>
      <c r="AA571" s="24" t="str">
        <f>VLOOKUP(A571,Metrik!$C$2:$Y$959,5,0)</f>
        <v>Building Products &amp; Fixtures</v>
      </c>
      <c r="AB571" s="24" t="str">
        <f>VLOOKUP(A571,Metrik!$C$2:$Y$959,3,0)</f>
        <v>Industrials</v>
      </c>
    </row>
    <row r="572">
      <c r="A572" s="17" t="s">
        <v>312</v>
      </c>
      <c r="B572" s="14" t="str">
        <f t="array" ref="B572">VLOOKUP(A572,{Metrik!$C$2:$C$998,Metrik!$B$2:$B$998},2,0)</f>
        <v>PT Petrindo Jaya Kreasi Tbk</v>
      </c>
      <c r="C572" s="15">
        <f>IFERROR(__xludf.DUMMYFUNCTION("GOOGLEFINANCE(""IDX:""&amp;A572,""price"")"),720.0)</f>
        <v>720</v>
      </c>
      <c r="D572" s="16" t="str">
        <f>IFERROR(__xludf.DUMMYFUNCTION("IF(A572="""","""",
SPARKLINE(
INDEX(
GOOGLEFINANCE(""IDX:""&amp;A572,""close"",TODAY()-365,TODAY()),
,2
),
{""linewidth"",1}
))
"),"#N/A")</f>
        <v>#N/A</v>
      </c>
      <c r="E572" s="14" t="s">
        <v>31</v>
      </c>
      <c r="F572" s="17" t="s">
        <v>29</v>
      </c>
      <c r="G572" s="24">
        <f t="shared" si="4"/>
        <v>5</v>
      </c>
      <c r="H572" s="19">
        <f>VLOOKUP(A572,Metrik!$C$2:$Y$959,8,0)</f>
        <v>30.4</v>
      </c>
      <c r="I572" s="20">
        <f>VLOOKUP(A572,Metrik!$C$2:$Y$959,9,0)</f>
        <v>6.6</v>
      </c>
      <c r="J572" s="20">
        <f>VLOOKUP(A572,Metrik!$C$2:$Y$959,10,0)</f>
        <v>21.8</v>
      </c>
      <c r="K572" s="20">
        <f>VLOOKUP(A572,Metrik!$C$2:$Y$959,11,0)</f>
        <v>5</v>
      </c>
      <c r="L572" s="20">
        <f>VLOOKUP(A572,Metrik!$C$2:$Y$959,12,0)</f>
        <v>3.4</v>
      </c>
      <c r="M572" s="20">
        <f>VLOOKUP(A572,Metrik!$C$2:$Y$959,19,0)</f>
        <v>36.9</v>
      </c>
      <c r="N572" s="21"/>
      <c r="O572" s="21"/>
      <c r="P572" s="21"/>
      <c r="Q572" s="21"/>
      <c r="R572" s="21"/>
      <c r="S572" s="21"/>
      <c r="T572" s="21"/>
      <c r="U572" s="22">
        <f>IFERROR(__xludf.DUMMYFUNCTION("IFERROR(GOOGLEFINANCE(A572,""closeyest""),"""")"),0.08)</f>
        <v>0.08</v>
      </c>
      <c r="V572" s="23">
        <f>IFERROR(__xludf.DUMMYFUNCTION("IFERROR(GOOGLEFINANCE(A572,""changepct""),"""")"),0.0)</f>
        <v>0</v>
      </c>
      <c r="W572" s="22">
        <f>IFERROR(__xludf.DUMMYFUNCTION("IFERROR(GOOGLEFINANCE(A572,""priceopen""),"""")"),0.08)</f>
        <v>0.08</v>
      </c>
      <c r="X572" s="22">
        <f>IFERROR(__xludf.DUMMYFUNCTION("IFERROR(GOOGLEFINANCE(A572,""high""),"""")"),0.08)</f>
        <v>0.08</v>
      </c>
      <c r="Y572" s="22">
        <f>IFERROR(__xludf.DUMMYFUNCTION("IFERROR(GOOGLEFINANCE(A572,""low""),"""")"),0.08)</f>
        <v>0.08</v>
      </c>
      <c r="Z572" s="22" t="str">
        <f>IFERROR(__xludf.DUMMYFUNCTION("IFERROR(GOOGLEFINANCE(A572,""volume""),"""")"),"")</f>
        <v/>
      </c>
      <c r="AA572" s="24" t="str">
        <f>VLOOKUP(A572,Metrik!$C$2:$Y$959,5,0)</f>
        <v>Coal</v>
      </c>
      <c r="AB572" s="24" t="str">
        <f>VLOOKUP(A572,Metrik!$C$2:$Y$959,3,0)</f>
        <v>Energy</v>
      </c>
    </row>
    <row r="573">
      <c r="A573" s="14" t="s">
        <v>312</v>
      </c>
      <c r="B573" s="14" t="str">
        <f t="array" ref="B573">VLOOKUP(A573,{Metrik!$C$2:$C$998,Metrik!$B$2:$B$998},2,0)</f>
        <v>PT Petrindo Jaya Kreasi Tbk</v>
      </c>
      <c r="C573" s="15">
        <f>IFERROR(__xludf.DUMMYFUNCTION("GOOGLEFINANCE(""IDX:""&amp;A573,""price"")"),720.0)</f>
        <v>720</v>
      </c>
      <c r="D573" s="16" t="str">
        <f>IFERROR(__xludf.DUMMYFUNCTION("IF(A573="""","""",
SPARKLINE(
INDEX(
GOOGLEFINANCE(""IDX:""&amp;A573,""close"",TODAY()-365,TODAY()),
,2
),
{""linewidth"",1}
))
"),"#N/A")</f>
        <v>#N/A</v>
      </c>
      <c r="E573" s="14" t="s">
        <v>32</v>
      </c>
      <c r="F573" s="14" t="s">
        <v>29</v>
      </c>
      <c r="G573" s="24">
        <f t="shared" si="4"/>
        <v>5</v>
      </c>
      <c r="H573" s="19">
        <f>VLOOKUP(A573,Metrik!$C$2:$Y$959,8,0)</f>
        <v>30.4</v>
      </c>
      <c r="I573" s="20">
        <f>VLOOKUP(A573,Metrik!$C$2:$Y$959,9,0)</f>
        <v>6.6</v>
      </c>
      <c r="J573" s="20">
        <f>VLOOKUP(A573,Metrik!$C$2:$Y$959,10,0)</f>
        <v>21.8</v>
      </c>
      <c r="K573" s="20">
        <f>VLOOKUP(A573,Metrik!$C$2:$Y$959,11,0)</f>
        <v>5</v>
      </c>
      <c r="L573" s="20">
        <f>VLOOKUP(A573,Metrik!$C$2:$Y$959,12,0)</f>
        <v>3.4</v>
      </c>
      <c r="M573" s="20">
        <f>VLOOKUP(A573,Metrik!$C$2:$Y$959,19,0)</f>
        <v>36.9</v>
      </c>
      <c r="N573" s="21"/>
      <c r="O573" s="21"/>
      <c r="P573" s="21"/>
      <c r="Q573" s="21"/>
      <c r="R573" s="21"/>
      <c r="S573" s="21"/>
      <c r="T573" s="21"/>
      <c r="U573" s="22">
        <f>IFERROR(__xludf.DUMMYFUNCTION("IFERROR(GOOGLEFINANCE(A573,""closeyest""),"""")"),0.08)</f>
        <v>0.08</v>
      </c>
      <c r="V573" s="23">
        <f>IFERROR(__xludf.DUMMYFUNCTION("IFERROR(GOOGLEFINANCE(A573,""changepct""),"""")"),0.0)</f>
        <v>0</v>
      </c>
      <c r="W573" s="22">
        <f>IFERROR(__xludf.DUMMYFUNCTION("IFERROR(GOOGLEFINANCE(A573,""priceopen""),"""")"),0.08)</f>
        <v>0.08</v>
      </c>
      <c r="X573" s="22">
        <f>IFERROR(__xludf.DUMMYFUNCTION("IFERROR(GOOGLEFINANCE(A573,""high""),"""")"),0.08)</f>
        <v>0.08</v>
      </c>
      <c r="Y573" s="22">
        <f>IFERROR(__xludf.DUMMYFUNCTION("IFERROR(GOOGLEFINANCE(A573,""low""),"""")"),0.08)</f>
        <v>0.08</v>
      </c>
      <c r="Z573" s="22" t="str">
        <f>IFERROR(__xludf.DUMMYFUNCTION("IFERROR(GOOGLEFINANCE(A573,""volume""),"""")"),"")</f>
        <v/>
      </c>
      <c r="AA573" s="24" t="str">
        <f>VLOOKUP(A573,Metrik!$C$2:$Y$959,5,0)</f>
        <v>Coal</v>
      </c>
      <c r="AB573" s="24" t="str">
        <f>VLOOKUP(A573,Metrik!$C$2:$Y$959,3,0)</f>
        <v>Energy</v>
      </c>
    </row>
    <row r="574">
      <c r="A574" s="14" t="s">
        <v>312</v>
      </c>
      <c r="B574" s="14" t="str">
        <f t="array" ref="B574">VLOOKUP(A574,{Metrik!$C$2:$C$998,Metrik!$B$2:$B$998},2,0)</f>
        <v>PT Petrindo Jaya Kreasi Tbk</v>
      </c>
      <c r="C574" s="15">
        <f>IFERROR(__xludf.DUMMYFUNCTION("GOOGLEFINANCE(""IDX:""&amp;A574,""price"")"),720.0)</f>
        <v>720</v>
      </c>
      <c r="D574" s="16" t="str">
        <f>IFERROR(__xludf.DUMMYFUNCTION("IF(A574="""","""",
SPARKLINE(
INDEX(
GOOGLEFINANCE(""IDX:""&amp;A574,""close"",TODAY()-365,TODAY()),
,2
),
{""linewidth"",1}
))
"),"#N/A")</f>
        <v>#N/A</v>
      </c>
      <c r="E574" s="14" t="s">
        <v>28</v>
      </c>
      <c r="F574" s="17" t="s">
        <v>29</v>
      </c>
      <c r="G574" s="24">
        <f t="shared" si="4"/>
        <v>5</v>
      </c>
      <c r="H574" s="19">
        <f>VLOOKUP(A574,Metrik!$C$2:$Y$959,8,0)</f>
        <v>30.4</v>
      </c>
      <c r="I574" s="20">
        <f>VLOOKUP(A574,Metrik!$C$2:$Y$959,9,0)</f>
        <v>6.6</v>
      </c>
      <c r="J574" s="20">
        <f>VLOOKUP(A574,Metrik!$C$2:$Y$959,10,0)</f>
        <v>21.8</v>
      </c>
      <c r="K574" s="20">
        <f>VLOOKUP(A574,Metrik!$C$2:$Y$959,11,0)</f>
        <v>5</v>
      </c>
      <c r="L574" s="20">
        <f>VLOOKUP(A574,Metrik!$C$2:$Y$959,12,0)</f>
        <v>3.4</v>
      </c>
      <c r="M574" s="20">
        <f>VLOOKUP(A574,Metrik!$C$2:$Y$959,19,0)</f>
        <v>36.9</v>
      </c>
      <c r="N574" s="21"/>
      <c r="O574" s="21"/>
      <c r="P574" s="21"/>
      <c r="Q574" s="21"/>
      <c r="R574" s="21"/>
      <c r="S574" s="21"/>
      <c r="T574" s="21"/>
      <c r="U574" s="22">
        <f>IFERROR(__xludf.DUMMYFUNCTION("IFERROR(GOOGLEFINANCE(A574,""closeyest""),"""")"),0.08)</f>
        <v>0.08</v>
      </c>
      <c r="V574" s="23">
        <f>IFERROR(__xludf.DUMMYFUNCTION("IFERROR(GOOGLEFINANCE(A574,""changepct""),"""")"),0.0)</f>
        <v>0</v>
      </c>
      <c r="W574" s="22">
        <f>IFERROR(__xludf.DUMMYFUNCTION("IFERROR(GOOGLEFINANCE(A574,""priceopen""),"""")"),0.08)</f>
        <v>0.08</v>
      </c>
      <c r="X574" s="22">
        <f>IFERROR(__xludf.DUMMYFUNCTION("IFERROR(GOOGLEFINANCE(A574,""high""),"""")"),0.08)</f>
        <v>0.08</v>
      </c>
      <c r="Y574" s="22">
        <f>IFERROR(__xludf.DUMMYFUNCTION("IFERROR(GOOGLEFINANCE(A574,""low""),"""")"),0.08)</f>
        <v>0.08</v>
      </c>
      <c r="Z574" s="22" t="str">
        <f>IFERROR(__xludf.DUMMYFUNCTION("IFERROR(GOOGLEFINANCE(A574,""volume""),"""")"),"")</f>
        <v/>
      </c>
      <c r="AA574" s="24" t="str">
        <f>VLOOKUP(A574,Metrik!$C$2:$Y$959,5,0)</f>
        <v>Coal</v>
      </c>
      <c r="AB574" s="24" t="str">
        <f>VLOOKUP(A574,Metrik!$C$2:$Y$959,3,0)</f>
        <v>Energy</v>
      </c>
    </row>
    <row r="575">
      <c r="A575" s="14" t="s">
        <v>312</v>
      </c>
      <c r="B575" s="14" t="str">
        <f t="array" ref="B575">VLOOKUP(A575,{Metrik!$C$2:$C$998,Metrik!$B$2:$B$998},2,0)</f>
        <v>PT Petrindo Jaya Kreasi Tbk</v>
      </c>
      <c r="C575" s="15">
        <f>IFERROR(__xludf.DUMMYFUNCTION("GOOGLEFINANCE(""IDX:""&amp;A575,""price"")"),720.0)</f>
        <v>720</v>
      </c>
      <c r="D575" s="16" t="str">
        <f>IFERROR(__xludf.DUMMYFUNCTION("IF(A575="""","""",
SPARKLINE(
INDEX(
GOOGLEFINANCE(""IDX:""&amp;A575,""close"",TODAY()-365,TODAY()),
,2
),
{""linewidth"",1}
))
"),"#N/A")</f>
        <v>#N/A</v>
      </c>
      <c r="E575" s="14" t="s">
        <v>161</v>
      </c>
      <c r="F575" s="14" t="s">
        <v>76</v>
      </c>
      <c r="G575" s="24">
        <f t="shared" si="4"/>
        <v>5</v>
      </c>
      <c r="H575" s="19">
        <f>VLOOKUP(A575,Metrik!$C$2:$Y$959,8,0)</f>
        <v>30.4</v>
      </c>
      <c r="I575" s="20">
        <f>VLOOKUP(A575,Metrik!$C$2:$Y$959,9,0)</f>
        <v>6.6</v>
      </c>
      <c r="J575" s="20">
        <f>VLOOKUP(A575,Metrik!$C$2:$Y$959,10,0)</f>
        <v>21.8</v>
      </c>
      <c r="K575" s="20">
        <f>VLOOKUP(A575,Metrik!$C$2:$Y$959,11,0)</f>
        <v>5</v>
      </c>
      <c r="L575" s="20">
        <f>VLOOKUP(A575,Metrik!$C$2:$Y$959,12,0)</f>
        <v>3.4</v>
      </c>
      <c r="M575" s="20">
        <f>VLOOKUP(A575,Metrik!$C$2:$Y$959,19,0)</f>
        <v>36.9</v>
      </c>
      <c r="N575" s="21"/>
      <c r="O575" s="21"/>
      <c r="P575" s="21"/>
      <c r="Q575" s="21"/>
      <c r="R575" s="21"/>
      <c r="S575" s="21"/>
      <c r="T575" s="21"/>
      <c r="U575" s="22">
        <f>IFERROR(__xludf.DUMMYFUNCTION("IFERROR(GOOGLEFINANCE(A575,""closeyest""),"""")"),0.08)</f>
        <v>0.08</v>
      </c>
      <c r="V575" s="23">
        <f>IFERROR(__xludf.DUMMYFUNCTION("IFERROR(GOOGLEFINANCE(A575,""changepct""),"""")"),0.0)</f>
        <v>0</v>
      </c>
      <c r="W575" s="22">
        <f>IFERROR(__xludf.DUMMYFUNCTION("IFERROR(GOOGLEFINANCE(A575,""priceopen""),"""")"),0.08)</f>
        <v>0.08</v>
      </c>
      <c r="X575" s="22">
        <f>IFERROR(__xludf.DUMMYFUNCTION("IFERROR(GOOGLEFINANCE(A575,""high""),"""")"),0.08)</f>
        <v>0.08</v>
      </c>
      <c r="Y575" s="22">
        <f>IFERROR(__xludf.DUMMYFUNCTION("IFERROR(GOOGLEFINANCE(A575,""low""),"""")"),0.08)</f>
        <v>0.08</v>
      </c>
      <c r="Z575" s="22" t="str">
        <f>IFERROR(__xludf.DUMMYFUNCTION("IFERROR(GOOGLEFINANCE(A575,""volume""),"""")"),"")</f>
        <v/>
      </c>
      <c r="AA575" s="24" t="str">
        <f>VLOOKUP(A575,Metrik!$C$2:$Y$959,5,0)</f>
        <v>Coal</v>
      </c>
      <c r="AB575" s="24" t="str">
        <f>VLOOKUP(A575,Metrik!$C$2:$Y$959,3,0)</f>
        <v>Energy</v>
      </c>
    </row>
    <row r="576">
      <c r="A576" s="17" t="s">
        <v>312</v>
      </c>
      <c r="B576" s="14" t="str">
        <f t="array" ref="B576">VLOOKUP(A576,{Metrik!$C$2:$C$998,Metrik!$B$2:$B$998},2,0)</f>
        <v>PT Petrindo Jaya Kreasi Tbk</v>
      </c>
      <c r="C576" s="15">
        <f>IFERROR(__xludf.DUMMYFUNCTION("GOOGLEFINANCE(""IDX:""&amp;A576,""price"")"),720.0)</f>
        <v>720</v>
      </c>
      <c r="D576" s="16" t="str">
        <f>IFERROR(__xludf.DUMMYFUNCTION("IF(A576="""","""",
SPARKLINE(
INDEX(
GOOGLEFINANCE(""IDX:""&amp;A576,""close"",TODAY()-365,TODAY()),
,2
),
{""linewidth"",1}
))
"),"#N/A")</f>
        <v>#N/A</v>
      </c>
      <c r="E576" s="17" t="s">
        <v>69</v>
      </c>
      <c r="F576" s="17" t="s">
        <v>70</v>
      </c>
      <c r="G576" s="24">
        <f t="shared" si="4"/>
        <v>5</v>
      </c>
      <c r="H576" s="19">
        <f>VLOOKUP(A576,Metrik!$C$2:$Y$959,8,0)</f>
        <v>30.4</v>
      </c>
      <c r="I576" s="20">
        <f>VLOOKUP(A576,Metrik!$C$2:$Y$959,9,0)</f>
        <v>6.6</v>
      </c>
      <c r="J576" s="20">
        <f>VLOOKUP(A576,Metrik!$C$2:$Y$959,10,0)</f>
        <v>21.8</v>
      </c>
      <c r="K576" s="20">
        <f>VLOOKUP(A576,Metrik!$C$2:$Y$959,11,0)</f>
        <v>5</v>
      </c>
      <c r="L576" s="20">
        <f>VLOOKUP(A576,Metrik!$C$2:$Y$959,12,0)</f>
        <v>3.4</v>
      </c>
      <c r="M576" s="20">
        <f>VLOOKUP(A576,Metrik!$C$2:$Y$959,19,0)</f>
        <v>36.9</v>
      </c>
      <c r="N576" s="21"/>
      <c r="O576" s="21"/>
      <c r="P576" s="21"/>
      <c r="Q576" s="21"/>
      <c r="R576" s="21"/>
      <c r="S576" s="21"/>
      <c r="T576" s="21"/>
      <c r="U576" s="22">
        <f>IFERROR(__xludf.DUMMYFUNCTION("IFERROR(GOOGLEFINANCE(A576,""closeyest""),"""")"),0.08)</f>
        <v>0.08</v>
      </c>
      <c r="V576" s="23">
        <f>IFERROR(__xludf.DUMMYFUNCTION("IFERROR(GOOGLEFINANCE(A576,""changepct""),"""")"),0.0)</f>
        <v>0</v>
      </c>
      <c r="W576" s="22">
        <f>IFERROR(__xludf.DUMMYFUNCTION("IFERROR(GOOGLEFINANCE(A576,""priceopen""),"""")"),0.08)</f>
        <v>0.08</v>
      </c>
      <c r="X576" s="22">
        <f>IFERROR(__xludf.DUMMYFUNCTION("IFERROR(GOOGLEFINANCE(A576,""high""),"""")"),0.08)</f>
        <v>0.08</v>
      </c>
      <c r="Y576" s="22">
        <f>IFERROR(__xludf.DUMMYFUNCTION("IFERROR(GOOGLEFINANCE(A576,""low""),"""")"),0.08)</f>
        <v>0.08</v>
      </c>
      <c r="Z576" s="22" t="str">
        <f>IFERROR(__xludf.DUMMYFUNCTION("IFERROR(GOOGLEFINANCE(A576,""volume""),"""")"),"")</f>
        <v/>
      </c>
      <c r="AA576" s="24" t="str">
        <f>VLOOKUP(A576,Metrik!$C$2:$Y$959,5,0)</f>
        <v>Coal</v>
      </c>
      <c r="AB576" s="24" t="str">
        <f>VLOOKUP(A576,Metrik!$C$2:$Y$959,3,0)</f>
        <v>Energy</v>
      </c>
    </row>
    <row r="577">
      <c r="A577" s="14" t="s">
        <v>313</v>
      </c>
      <c r="B577" s="14" t="str">
        <f t="array" ref="B577">VLOOKUP(A577,{Metrik!$C$2:$C$998,Metrik!$B$2:$B$998},2,0)</f>
        <v>ITSEC Asia Tbk.</v>
      </c>
      <c r="C577" s="15">
        <f>IFERROR(__xludf.DUMMYFUNCTION("GOOGLEFINANCE(""IDX:""&amp;A577,""price"")"),615.0)</f>
        <v>615</v>
      </c>
      <c r="D577" s="16" t="str">
        <f>IFERROR(__xludf.DUMMYFUNCTION("IF(A577="""","""",
SPARKLINE(
INDEX(
GOOGLEFINANCE(""IDX:""&amp;A577,""close"",TODAY()-365,TODAY()),
,2
),
{""linewidth"",1}
))
"),"#N/A")</f>
        <v>#N/A</v>
      </c>
      <c r="E577" s="26"/>
      <c r="F577" s="26"/>
      <c r="G577" s="24">
        <f t="shared" si="4"/>
        <v>0</v>
      </c>
      <c r="H577" s="19">
        <f>VLOOKUP(A577,Metrik!$C$2:$Y$959,8,0)</f>
        <v>570</v>
      </c>
      <c r="I577" s="20">
        <f>VLOOKUP(A577,Metrik!$C$2:$Y$959,9,0)</f>
        <v>30.8</v>
      </c>
      <c r="J577" s="20">
        <f>VLOOKUP(A577,Metrik!$C$2:$Y$959,10,0)</f>
        <v>5.4</v>
      </c>
      <c r="K577" s="20">
        <f>VLOOKUP(A577,Metrik!$C$2:$Y$959,11,0)</f>
        <v>3</v>
      </c>
      <c r="L577" s="20">
        <f>VLOOKUP(A577,Metrik!$C$2:$Y$959,12,0)</f>
        <v>0.81</v>
      </c>
      <c r="M577" s="20">
        <f>VLOOKUP(A577,Metrik!$C$2:$Y$959,19,0)</f>
        <v>15.9</v>
      </c>
      <c r="N577" s="21"/>
      <c r="O577" s="21"/>
      <c r="P577" s="21"/>
      <c r="Q577" s="21"/>
      <c r="R577" s="21"/>
      <c r="S577" s="21"/>
      <c r="T577" s="21"/>
      <c r="U577" s="22">
        <f>IFERROR(__xludf.DUMMYFUNCTION("IFERROR(GOOGLEFINANCE(A577,""closeyest""),"""")"),9.33)</f>
        <v>9.33</v>
      </c>
      <c r="V577" s="23">
        <f>IFERROR(__xludf.DUMMYFUNCTION("IFERROR(GOOGLEFINANCE(A577,""changepct""),"""")"),1.93)</f>
        <v>1.93</v>
      </c>
      <c r="W577" s="22">
        <f>IFERROR(__xludf.DUMMYFUNCTION("IFERROR(GOOGLEFINANCE(A577,""priceopen""),"""")"),9.54)</f>
        <v>9.54</v>
      </c>
      <c r="X577" s="22">
        <f>IFERROR(__xludf.DUMMYFUNCTION("IFERROR(GOOGLEFINANCE(A577,""high""),"""")"),9.58)</f>
        <v>9.58</v>
      </c>
      <c r="Y577" s="22">
        <f>IFERROR(__xludf.DUMMYFUNCTION("IFERROR(GOOGLEFINANCE(A577,""low""),"""")"),9.31)</f>
        <v>9.31</v>
      </c>
      <c r="Z577" s="22">
        <f>IFERROR(__xludf.DUMMYFUNCTION("IFERROR(GOOGLEFINANCE(A577,""volume""),"""")"),2873.0)</f>
        <v>2873</v>
      </c>
      <c r="AA577" s="24" t="str">
        <f>VLOOKUP(A577,Metrik!$C$2:$Y$959,5,0)</f>
        <v>IT Services &amp; Consulting</v>
      </c>
      <c r="AB577" s="24" t="str">
        <f>VLOOKUP(A577,Metrik!$C$2:$Y$959,3,0)</f>
        <v>Technology</v>
      </c>
    </row>
    <row r="578">
      <c r="A578" s="14" t="s">
        <v>314</v>
      </c>
      <c r="B578" s="14" t="str">
        <f t="array" ref="B578">VLOOKUP(A578,{Metrik!$C$2:$C$998,Metrik!$B$2:$B$998},2,0)</f>
        <v>Daaz Bara Lestari Tbk.</v>
      </c>
      <c r="C578" s="15">
        <f>IFERROR(__xludf.DUMMYFUNCTION("GOOGLEFINANCE(""IDX:""&amp;A578,""price"")"),1685.0)</f>
        <v>1685</v>
      </c>
      <c r="D578" s="16" t="str">
        <f>IFERROR(__xludf.DUMMYFUNCTION("IF(A578="""","""",
SPARKLINE(
INDEX(
GOOGLEFINANCE(""IDX:""&amp;A578,""close"",TODAY()-365,TODAY()),
,2
),
{""linewidth"",1}
))
"),"#N/A")</f>
        <v>#N/A</v>
      </c>
      <c r="E578" s="26"/>
      <c r="F578" s="26"/>
      <c r="G578" s="24">
        <f t="shared" si="4"/>
        <v>0</v>
      </c>
      <c r="H578" s="19">
        <f>VLOOKUP(A578,Metrik!$C$2:$Y$959,8,0)</f>
        <v>12.1</v>
      </c>
      <c r="I578" s="20">
        <f>VLOOKUP(A578,Metrik!$C$2:$Y$959,9,0)</f>
        <v>1.3</v>
      </c>
      <c r="J578" s="20">
        <f>VLOOKUP(A578,Metrik!$C$2:$Y$959,10,0)</f>
        <v>11.1</v>
      </c>
      <c r="K578" s="20">
        <f>VLOOKUP(A578,Metrik!$C$2:$Y$959,11,0)</f>
        <v>3.8</v>
      </c>
      <c r="L578" s="20">
        <f>VLOOKUP(A578,Metrik!$C$2:$Y$959,12,0)</f>
        <v>1.9</v>
      </c>
      <c r="M578" s="20">
        <f>VLOOKUP(A578,Metrik!$C$2:$Y$959,19,0)</f>
        <v>7.1</v>
      </c>
      <c r="N578" s="21"/>
      <c r="O578" s="21"/>
      <c r="P578" s="21"/>
      <c r="Q578" s="21"/>
      <c r="R578" s="21"/>
      <c r="S578" s="21"/>
      <c r="T578" s="21"/>
      <c r="U578" s="22">
        <f>IFERROR(__xludf.DUMMYFUNCTION("IFERROR(GOOGLEFINANCE(A578,""closeyest""),"""")"),1685.0)</f>
        <v>1685</v>
      </c>
      <c r="V578" s="23">
        <f>IFERROR(__xludf.DUMMYFUNCTION("IFERROR(GOOGLEFINANCE(A578,""changepct""),"""")"),0.0)</f>
        <v>0</v>
      </c>
      <c r="W578" s="22" t="str">
        <f>IFERROR(__xludf.DUMMYFUNCTION("IFERROR(GOOGLEFINANCE(A578,""priceopen""),"""")"),"")</f>
        <v/>
      </c>
      <c r="X578" s="22">
        <f>IFERROR(__xludf.DUMMYFUNCTION("IFERROR(GOOGLEFINANCE(A578,""high""),"""")"),1730.0)</f>
        <v>1730</v>
      </c>
      <c r="Y578" s="22">
        <f>IFERROR(__xludf.DUMMYFUNCTION("IFERROR(GOOGLEFINANCE(A578,""low""),"""")"),1680.0)</f>
        <v>1680</v>
      </c>
      <c r="Z578" s="22">
        <f>IFERROR(__xludf.DUMMYFUNCTION("IFERROR(GOOGLEFINANCE(A578,""volume""),"""")"),1040800.0)</f>
        <v>1040800</v>
      </c>
      <c r="AA578" s="24" t="str">
        <f>VLOOKUP(A578,Metrik!$C$2:$Y$959,5,0)</f>
        <v>Metals &amp; Minerals</v>
      </c>
      <c r="AB578" s="24" t="str">
        <f>VLOOKUP(A578,Metrik!$C$2:$Y$959,3,0)</f>
        <v>Basic Materials</v>
      </c>
    </row>
    <row r="579">
      <c r="A579" s="14" t="s">
        <v>315</v>
      </c>
      <c r="B579" s="14" t="str">
        <f t="array" ref="B579">VLOOKUP(A579,{Metrik!$C$2:$C$998,Metrik!$B$2:$B$998},2,0)</f>
        <v>Diamond Citra Propertindo Tbk.</v>
      </c>
      <c r="C579" s="15">
        <f>IFERROR(__xludf.DUMMYFUNCTION("GOOGLEFINANCE(""IDX:""&amp;A579,""price"")"),50.0)</f>
        <v>50</v>
      </c>
      <c r="D579" s="16" t="str">
        <f>IFERROR(__xludf.DUMMYFUNCTION("IF(A579="""","""",
SPARKLINE(
INDEX(
GOOGLEFINANCE(""IDX:""&amp;A579,""close"",TODAY()-365,TODAY()),
,2
),
{""linewidth"",1}
))
"),"#N/A")</f>
        <v>#N/A</v>
      </c>
      <c r="E579" s="26"/>
      <c r="F579" s="26"/>
      <c r="G579" s="24">
        <f t="shared" si="4"/>
        <v>0</v>
      </c>
      <c r="H579" s="19">
        <f>VLOOKUP(A579,Metrik!$C$2:$Y$959,8,0)</f>
        <v>69.6</v>
      </c>
      <c r="I579" s="20">
        <f>VLOOKUP(A579,Metrik!$C$2:$Y$959,9,0)</f>
        <v>1</v>
      </c>
      <c r="J579" s="20">
        <f>VLOOKUP(A579,Metrik!$C$2:$Y$959,10,0)</f>
        <v>1.5</v>
      </c>
      <c r="K579" s="20">
        <f>VLOOKUP(A579,Metrik!$C$2:$Y$959,11,0)</f>
        <v>0.83</v>
      </c>
      <c r="L579" s="20">
        <f>VLOOKUP(A579,Metrik!$C$2:$Y$959,12,0)</f>
        <v>0.8</v>
      </c>
      <c r="M579" s="20">
        <f>VLOOKUP(A579,Metrik!$C$2:$Y$959,19,0)</f>
        <v>79</v>
      </c>
      <c r="N579" s="21"/>
      <c r="O579" s="21"/>
      <c r="P579" s="21"/>
      <c r="Q579" s="21"/>
      <c r="R579" s="21"/>
      <c r="S579" s="21"/>
      <c r="T579" s="21"/>
      <c r="U579" s="22">
        <f>IFERROR(__xludf.DUMMYFUNCTION("IFERROR(GOOGLEFINANCE(A579,""closeyest""),"""")"),50.0)</f>
        <v>50</v>
      </c>
      <c r="V579" s="23">
        <f>IFERROR(__xludf.DUMMYFUNCTION("IFERROR(GOOGLEFINANCE(A579,""changepct""),"""")"),0.0)</f>
        <v>0</v>
      </c>
      <c r="W579" s="22">
        <f>IFERROR(__xludf.DUMMYFUNCTION("IFERROR(GOOGLEFINANCE(A579,""priceopen""),"""")"),50.0)</f>
        <v>50</v>
      </c>
      <c r="X579" s="22">
        <f>IFERROR(__xludf.DUMMYFUNCTION("IFERROR(GOOGLEFINANCE(A579,""high""),"""")"),50.0)</f>
        <v>50</v>
      </c>
      <c r="Y579" s="22">
        <f>IFERROR(__xludf.DUMMYFUNCTION("IFERROR(GOOGLEFINANCE(A579,""low""),"""")"),50.0)</f>
        <v>50</v>
      </c>
      <c r="Z579" s="22" t="str">
        <f>IFERROR(__xludf.DUMMYFUNCTION("IFERROR(GOOGLEFINANCE(A579,""volume""),"""")"),"")</f>
        <v/>
      </c>
      <c r="AA579" s="24" t="str">
        <f>VLOOKUP(A579,Metrik!$C$2:$Y$959,5,0)</f>
        <v>Real Estate Management &amp; Development</v>
      </c>
      <c r="AB579" s="24" t="str">
        <f>VLOOKUP(A579,Metrik!$C$2:$Y$959,3,0)</f>
        <v>Properties &amp; Real Estate</v>
      </c>
    </row>
    <row r="580">
      <c r="A580" s="14" t="s">
        <v>316</v>
      </c>
      <c r="B580" s="14" t="str">
        <f t="array" ref="B580">VLOOKUP(A580,{Metrik!$C$2:$C$998,Metrik!$B$2:$B$998},2,0)</f>
        <v>Duta Anggada Realty Tbk.</v>
      </c>
      <c r="C580" s="15">
        <f>IFERROR(__xludf.DUMMYFUNCTION("GOOGLEFINANCE(""IDX:""&amp;A580,""price"")"),119.0)</f>
        <v>119</v>
      </c>
      <c r="D580" s="16" t="str">
        <f>IFERROR(__xludf.DUMMYFUNCTION("IF(A580="""","""",
SPARKLINE(
INDEX(
GOOGLEFINANCE(""IDX:""&amp;A580,""close"",TODAY()-365,TODAY()),
,2
),
{""linewidth"",1}
))
"),"#N/A")</f>
        <v>#N/A</v>
      </c>
      <c r="E580" s="26"/>
      <c r="F580" s="26"/>
      <c r="G580" s="24">
        <f t="shared" si="4"/>
        <v>0</v>
      </c>
      <c r="H580" s="19">
        <f>VLOOKUP(A580,Metrik!$C$2:$Y$959,8,0)</f>
        <v>-1.6</v>
      </c>
      <c r="I580" s="20">
        <f>VLOOKUP(A580,Metrik!$C$2:$Y$959,9,0)</f>
        <v>0.35</v>
      </c>
      <c r="J580" s="20">
        <f>VLOOKUP(A580,Metrik!$C$2:$Y$959,10,0)</f>
        <v>-22.7</v>
      </c>
      <c r="K580" s="20">
        <f>VLOOKUP(A580,Metrik!$C$2:$Y$959,11,0)</f>
        <v>-4.2</v>
      </c>
      <c r="L580" s="20">
        <f>VLOOKUP(A580,Metrik!$C$2:$Y$959,12,0)</f>
        <v>4.4</v>
      </c>
      <c r="M580" s="20">
        <f>VLOOKUP(A580,Metrik!$C$2:$Y$959,19,0)</f>
        <v>-210</v>
      </c>
      <c r="N580" s="21"/>
      <c r="O580" s="21"/>
      <c r="P580" s="21"/>
      <c r="Q580" s="21"/>
      <c r="R580" s="21"/>
      <c r="S580" s="21"/>
      <c r="T580" s="21"/>
      <c r="U580" s="22">
        <f>IFERROR(__xludf.DUMMYFUNCTION("IFERROR(GOOGLEFINANCE(A580,""closeyest""),"""")"),115.0)</f>
        <v>115</v>
      </c>
      <c r="V580" s="23">
        <f>IFERROR(__xludf.DUMMYFUNCTION("IFERROR(GOOGLEFINANCE(A580,""changepct""),"""")"),3.48)</f>
        <v>3.48</v>
      </c>
      <c r="W580" s="22">
        <f>IFERROR(__xludf.DUMMYFUNCTION("IFERROR(GOOGLEFINANCE(A580,""priceopen""),"""")"),119.0)</f>
        <v>119</v>
      </c>
      <c r="X580" s="22">
        <f>IFERROR(__xludf.DUMMYFUNCTION("IFERROR(GOOGLEFINANCE(A580,""high""),"""")"),120.0)</f>
        <v>120</v>
      </c>
      <c r="Y580" s="22">
        <f>IFERROR(__xludf.DUMMYFUNCTION("IFERROR(GOOGLEFINANCE(A580,""low""),"""")"),113.0)</f>
        <v>113</v>
      </c>
      <c r="Z580" s="22" t="str">
        <f>IFERROR(__xludf.DUMMYFUNCTION("IFERROR(GOOGLEFINANCE(A580,""volume""),"""")"),"")</f>
        <v/>
      </c>
      <c r="AA580" s="24" t="str">
        <f>VLOOKUP(A580,Metrik!$C$2:$Y$959,5,0)</f>
        <v>Real Estate Management &amp; Development</v>
      </c>
      <c r="AB580" s="24" t="str">
        <f>VLOOKUP(A580,Metrik!$C$2:$Y$959,3,0)</f>
        <v>Properties &amp; Real Estate</v>
      </c>
    </row>
    <row r="581">
      <c r="A581" s="14" t="s">
        <v>317</v>
      </c>
      <c r="B581" s="14" t="str">
        <f t="array" ref="B581">VLOOKUP(A581,{Metrik!$C$2:$C$998,Metrik!$B$2:$B$998},2,0)</f>
        <v>Remala Abadi Tbk.</v>
      </c>
      <c r="C581" s="15">
        <f>IFERROR(__xludf.DUMMYFUNCTION("GOOGLEFINANCE(""IDX:""&amp;A581,""price"")"),1450.0)</f>
        <v>1450</v>
      </c>
      <c r="D581" s="16" t="str">
        <f>IFERROR(__xludf.DUMMYFUNCTION("IF(A581="""","""",
SPARKLINE(
INDEX(
GOOGLEFINANCE(""IDX:""&amp;A581,""close"",TODAY()-365,TODAY()),
,2
),
{""linewidth"",1}
))
"),"#N/A")</f>
        <v>#N/A</v>
      </c>
      <c r="E581" s="26"/>
      <c r="F581" s="26"/>
      <c r="G581" s="24">
        <f t="shared" si="4"/>
        <v>0</v>
      </c>
      <c r="H581" s="19">
        <f>VLOOKUP(A581,Metrik!$C$2:$Y$959,8,0)</f>
        <v>20.3</v>
      </c>
      <c r="I581" s="20">
        <f>VLOOKUP(A581,Metrik!$C$2:$Y$959,9,0)</f>
        <v>5.5</v>
      </c>
      <c r="J581" s="20">
        <f>VLOOKUP(A581,Metrik!$C$2:$Y$959,10,0)</f>
        <v>27.1</v>
      </c>
      <c r="K581" s="20">
        <f>VLOOKUP(A581,Metrik!$C$2:$Y$959,11,0)</f>
        <v>10.6</v>
      </c>
      <c r="L581" s="20">
        <f>VLOOKUP(A581,Metrik!$C$2:$Y$959,12,0)</f>
        <v>1.6</v>
      </c>
      <c r="M581" s="20">
        <f>VLOOKUP(A581,Metrik!$C$2:$Y$959,19,0)</f>
        <v>96.8</v>
      </c>
      <c r="N581" s="21"/>
      <c r="O581" s="21"/>
      <c r="P581" s="21"/>
      <c r="Q581" s="21"/>
      <c r="R581" s="21"/>
      <c r="S581" s="21"/>
      <c r="T581" s="21"/>
      <c r="U581" s="22">
        <f>IFERROR(__xludf.DUMMYFUNCTION("IFERROR(GOOGLEFINANCE(A581,""closeyest""),"""")"),92.2)</f>
        <v>92.2</v>
      </c>
      <c r="V581" s="23" t="str">
        <f>IFERROR(__xludf.DUMMYFUNCTION("IFERROR(GOOGLEFINANCE(A581,""changepct""),"""")"),"")</f>
        <v/>
      </c>
      <c r="W581" s="22">
        <f>IFERROR(__xludf.DUMMYFUNCTION("IFERROR(GOOGLEFINANCE(A581,""priceopen""),"""")"),90.5)</f>
        <v>90.5</v>
      </c>
      <c r="X581" s="22">
        <f>IFERROR(__xludf.DUMMYFUNCTION("IFERROR(GOOGLEFINANCE(A581,""high""),"""")"),98.5)</f>
        <v>98.5</v>
      </c>
      <c r="Y581" s="22">
        <f>IFERROR(__xludf.DUMMYFUNCTION("IFERROR(GOOGLEFINANCE(A581,""low""),"""")"),90.5)</f>
        <v>90.5</v>
      </c>
      <c r="Z581" s="22">
        <f>IFERROR(__xludf.DUMMYFUNCTION("IFERROR(GOOGLEFINANCE(A581,""volume""),"""")"),2246204.0)</f>
        <v>2246204</v>
      </c>
      <c r="AA581" s="24" t="str">
        <f>VLOOKUP(A581,Metrik!$C$2:$Y$959,5,0)</f>
        <v>Telecommunication Service</v>
      </c>
      <c r="AB581" s="24" t="str">
        <f>VLOOKUP(A581,Metrik!$C$2:$Y$959,3,0)</f>
        <v>Infrastructures</v>
      </c>
    </row>
    <row r="582">
      <c r="A582" s="14" t="s">
        <v>318</v>
      </c>
      <c r="B582" s="14" t="str">
        <f t="array" ref="B582">VLOOKUP(A582,{Metrik!$C$2:$C$998,Metrik!$B$2:$B$998},2,0)</f>
        <v>Duta Intidaya Tbk.</v>
      </c>
      <c r="C582" s="15">
        <f>IFERROR(__xludf.DUMMYFUNCTION("GOOGLEFINANCE(""IDX:""&amp;A582,""price"")"),1045.0)</f>
        <v>1045</v>
      </c>
      <c r="D582" s="16" t="str">
        <f>IFERROR(__xludf.DUMMYFUNCTION("IF(A582="""","""",
SPARKLINE(
INDEX(
GOOGLEFINANCE(""IDX:""&amp;A582,""close"",TODAY()-365,TODAY()),
,2
),
{""linewidth"",1}
))
"),"#N/A")</f>
        <v>#N/A</v>
      </c>
      <c r="E582" s="26"/>
      <c r="F582" s="26"/>
      <c r="G582" s="24">
        <f t="shared" si="4"/>
        <v>0</v>
      </c>
      <c r="H582" s="19">
        <f>VLOOKUP(A582,Metrik!$C$2:$Y$959,8,0)</f>
        <v>30.1</v>
      </c>
      <c r="I582" s="20">
        <f>VLOOKUP(A582,Metrik!$C$2:$Y$959,9,0)</f>
        <v>16.2</v>
      </c>
      <c r="J582" s="20">
        <f>VLOOKUP(A582,Metrik!$C$2:$Y$959,10,0)</f>
        <v>53.8</v>
      </c>
      <c r="K582" s="20">
        <f>VLOOKUP(A582,Metrik!$C$2:$Y$959,11,0)</f>
        <v>7.1</v>
      </c>
      <c r="L582" s="20">
        <f>VLOOKUP(A582,Metrik!$C$2:$Y$959,12,0)</f>
        <v>6.6</v>
      </c>
      <c r="M582" s="20">
        <f>VLOOKUP(A582,Metrik!$C$2:$Y$959,19,0)</f>
        <v>10.8</v>
      </c>
      <c r="N582" s="21"/>
      <c r="O582" s="21"/>
      <c r="P582" s="21"/>
      <c r="Q582" s="21"/>
      <c r="R582" s="21"/>
      <c r="S582" s="21"/>
      <c r="T582" s="21"/>
      <c r="U582" s="22">
        <f>IFERROR(__xludf.DUMMYFUNCTION("IFERROR(GOOGLEFINANCE(A582,""closeyest""),"""")"),950.0)</f>
        <v>950</v>
      </c>
      <c r="V582" s="23">
        <f>IFERROR(__xludf.DUMMYFUNCTION("IFERROR(GOOGLEFINANCE(A582,""changepct""),"""")"),10.0)</f>
        <v>10</v>
      </c>
      <c r="W582" s="22">
        <f>IFERROR(__xludf.DUMMYFUNCTION("IFERROR(GOOGLEFINANCE(A582,""priceopen""),"""")"),950.0)</f>
        <v>950</v>
      </c>
      <c r="X582" s="22">
        <f>IFERROR(__xludf.DUMMYFUNCTION("IFERROR(GOOGLEFINANCE(A582,""high""),"""")"),1060.0)</f>
        <v>1060</v>
      </c>
      <c r="Y582" s="22">
        <f>IFERROR(__xludf.DUMMYFUNCTION("IFERROR(GOOGLEFINANCE(A582,""low""),"""")"),945.0)</f>
        <v>945</v>
      </c>
      <c r="Z582" s="22">
        <f>IFERROR(__xludf.DUMMYFUNCTION("IFERROR(GOOGLEFINANCE(A582,""volume""),"""")"),39200.0)</f>
        <v>39200</v>
      </c>
      <c r="AA582" s="24" t="str">
        <f>VLOOKUP(A582,Metrik!$C$2:$Y$959,5,0)</f>
        <v>Food &amp; Staples Retailing</v>
      </c>
      <c r="AB582" s="24" t="str">
        <f>VLOOKUP(A582,Metrik!$C$2:$Y$959,3,0)</f>
        <v>Consumer Non-Cyclicals</v>
      </c>
    </row>
    <row r="583">
      <c r="A583" s="14" t="s">
        <v>319</v>
      </c>
      <c r="B583" s="14" t="str">
        <f t="array" ref="B583">VLOOKUP(A583,{Metrik!$C$2:$C$998,Metrik!$B$2:$B$998},2,0)</f>
        <v>DCI Indonesia Tbk.</v>
      </c>
      <c r="C583" s="15">
        <f>IFERROR(__xludf.DUMMYFUNCTION("GOOGLEFINANCE(""IDX:""&amp;A583,""price"")"),188800.0)</f>
        <v>188800</v>
      </c>
      <c r="D583" s="16" t="str">
        <f>IFERROR(__xludf.DUMMYFUNCTION("IF(A583="""","""",
SPARKLINE(
INDEX(
GOOGLEFINANCE(""IDX:""&amp;A583,""close"",TODAY()-365,TODAY()),
,2
),
{""linewidth"",1}
))
"),"#N/A")</f>
        <v>#N/A</v>
      </c>
      <c r="E583" s="26"/>
      <c r="F583" s="26"/>
      <c r="G583" s="24">
        <f t="shared" si="4"/>
        <v>0</v>
      </c>
      <c r="H583" s="19">
        <f>VLOOKUP(A583,Metrik!$C$2:$Y$959,8,0)</f>
        <v>480</v>
      </c>
      <c r="I583" s="20">
        <f>VLOOKUP(A583,Metrik!$C$2:$Y$959,9,0)</f>
        <v>110</v>
      </c>
      <c r="J583" s="20">
        <f>VLOOKUP(A583,Metrik!$C$2:$Y$959,10,0)</f>
        <v>21.9</v>
      </c>
      <c r="K583" s="20">
        <f>VLOOKUP(A583,Metrik!$C$2:$Y$959,11,0)</f>
        <v>13.2</v>
      </c>
      <c r="L583" s="20">
        <f>VLOOKUP(A583,Metrik!$C$2:$Y$959,12,0)</f>
        <v>0.66</v>
      </c>
      <c r="M583" s="20">
        <f>VLOOKUP(A583,Metrik!$C$2:$Y$959,19,0)</f>
        <v>110</v>
      </c>
      <c r="N583" s="21"/>
      <c r="O583" s="21"/>
      <c r="P583" s="21"/>
      <c r="Q583" s="21"/>
      <c r="R583" s="21"/>
      <c r="S583" s="21"/>
      <c r="T583" s="21"/>
      <c r="U583" s="22">
        <f>IFERROR(__xludf.DUMMYFUNCTION("IFERROR(GOOGLEFINANCE(A583,""closeyest""),"""")"),188775.0)</f>
        <v>188775</v>
      </c>
      <c r="V583" s="23">
        <f>IFERROR(__xludf.DUMMYFUNCTION("IFERROR(GOOGLEFINANCE(A583,""changepct""),"""")"),0.01)</f>
        <v>0.01</v>
      </c>
      <c r="W583" s="22">
        <f>IFERROR(__xludf.DUMMYFUNCTION("IFERROR(GOOGLEFINANCE(A583,""priceopen""),"""")"),188825.0)</f>
        <v>188825</v>
      </c>
      <c r="X583" s="22">
        <f>IFERROR(__xludf.DUMMYFUNCTION("IFERROR(GOOGLEFINANCE(A583,""high""),"""")"),188825.0)</f>
        <v>188825</v>
      </c>
      <c r="Y583" s="22">
        <f>IFERROR(__xludf.DUMMYFUNCTION("IFERROR(GOOGLEFINANCE(A583,""low""),"""")"),188775.0)</f>
        <v>188775</v>
      </c>
      <c r="Z583" s="22" t="str">
        <f>IFERROR(__xludf.DUMMYFUNCTION("IFERROR(GOOGLEFINANCE(A583,""volume""),"""")"),"")</f>
        <v/>
      </c>
      <c r="AA583" s="24" t="str">
        <f>VLOOKUP(A583,Metrik!$C$2:$Y$959,5,0)</f>
        <v>IT Services &amp; Consulting</v>
      </c>
      <c r="AB583" s="24" t="str">
        <f>VLOOKUP(A583,Metrik!$C$2:$Y$959,3,0)</f>
        <v>Technology</v>
      </c>
    </row>
    <row r="584">
      <c r="A584" s="14" t="s">
        <v>320</v>
      </c>
      <c r="B584" s="14" t="str">
        <f t="array" ref="B584">VLOOKUP(A584,{Metrik!$C$2:$C$998,Metrik!$B$2:$B$998},2,0)</f>
        <v>Dewata Freightinternational Tbk.</v>
      </c>
      <c r="C584" s="15">
        <f>IFERROR(__xludf.DUMMYFUNCTION("GOOGLEFINANCE(""IDX:""&amp;A584,""price"")"),6.0)</f>
        <v>6</v>
      </c>
      <c r="D584" s="16" t="str">
        <f>IFERROR(__xludf.DUMMYFUNCTION("IF(A584="""","""",
SPARKLINE(
INDEX(
GOOGLEFINANCE(""IDX:""&amp;A584,""close"",TODAY()-365,TODAY()),
,2
),
{""linewidth"",1}
))
"),"#N/A")</f>
        <v>#N/A</v>
      </c>
      <c r="E584" s="26"/>
      <c r="F584" s="26"/>
      <c r="G584" s="24">
        <f t="shared" si="4"/>
        <v>0</v>
      </c>
      <c r="H584" s="19">
        <f>VLOOKUP(A584,Metrik!$C$2:$Y$959,8,0)</f>
        <v>0</v>
      </c>
      <c r="I584" s="20">
        <f>VLOOKUP(A584,Metrik!$C$2:$Y$959,9,0)</f>
        <v>-0.12</v>
      </c>
      <c r="J584" s="20">
        <f>VLOOKUP(A584,Metrik!$C$2:$Y$959,10,0)</f>
        <v>0</v>
      </c>
      <c r="K584" s="20">
        <f>VLOOKUP(A584,Metrik!$C$2:$Y$959,11,0)</f>
        <v>-11.9</v>
      </c>
      <c r="L584" s="20">
        <f>VLOOKUP(A584,Metrik!$C$2:$Y$959,12,0)</f>
        <v>-3.6</v>
      </c>
      <c r="M584" s="20">
        <f>VLOOKUP(A584,Metrik!$C$2:$Y$959,19,0)</f>
        <v>-53.8</v>
      </c>
      <c r="N584" s="21"/>
      <c r="O584" s="21"/>
      <c r="P584" s="21"/>
      <c r="Q584" s="21"/>
      <c r="R584" s="21"/>
      <c r="S584" s="21"/>
      <c r="T584" s="21"/>
      <c r="U584" s="22">
        <f>IFERROR(__xludf.DUMMYFUNCTION("IFERROR(GOOGLEFINANCE(A584,""closeyest""),"""")"),0.01)</f>
        <v>0.01</v>
      </c>
      <c r="V584" s="23">
        <f>IFERROR(__xludf.DUMMYFUNCTION("IFERROR(GOOGLEFINANCE(A584,""changepct""),"""")"),0.0)</f>
        <v>0</v>
      </c>
      <c r="W584" s="22" t="str">
        <f>IFERROR(__xludf.DUMMYFUNCTION("IFERROR(GOOGLEFINANCE(A584,""priceopen""),"""")"),"")</f>
        <v/>
      </c>
      <c r="X584" s="22" t="str">
        <f>IFERROR(__xludf.DUMMYFUNCTION("IFERROR(GOOGLEFINANCE(A584,""high""),"""")"),"")</f>
        <v/>
      </c>
      <c r="Y584" s="22" t="str">
        <f>IFERROR(__xludf.DUMMYFUNCTION("IFERROR(GOOGLEFINANCE(A584,""low""),"""")"),"")</f>
        <v/>
      </c>
      <c r="Z584" s="22">
        <f>IFERROR(__xludf.DUMMYFUNCTION("IFERROR(GOOGLEFINANCE(A584,""volume""),"""")"),1.0)</f>
        <v>1</v>
      </c>
      <c r="AA584" s="24" t="str">
        <f>VLOOKUP(A584,Metrik!$C$2:$Y$959,5,0)</f>
        <v>Logistics &amp; Deliveries</v>
      </c>
      <c r="AB584" s="24" t="str">
        <f>VLOOKUP(A584,Metrik!$C$2:$Y$959,3,0)</f>
        <v>Transportation &amp; Logistic</v>
      </c>
    </row>
    <row r="585">
      <c r="A585" s="14" t="s">
        <v>321</v>
      </c>
      <c r="B585" s="14" t="str">
        <f t="array" ref="B585">VLOOKUP(A585,{Metrik!$C$2:$C$998,Metrik!$B$2:$B$998},2,0)</f>
        <v>Danasupra Erapacific Tbk.</v>
      </c>
      <c r="C585" s="15">
        <f>IFERROR(__xludf.DUMMYFUNCTION("GOOGLEFINANCE(""IDX:""&amp;A585,""price"")"),113.0)</f>
        <v>113</v>
      </c>
      <c r="D585" s="16" t="str">
        <f>IFERROR(__xludf.DUMMYFUNCTION("IF(A585="""","""",
SPARKLINE(
INDEX(
GOOGLEFINANCE(""IDX:""&amp;A585,""close"",TODAY()-365,TODAY()),
,2
),
{""linewidth"",1}
))
"),"#N/A")</f>
        <v>#N/A</v>
      </c>
      <c r="E585" s="26"/>
      <c r="F585" s="26"/>
      <c r="G585" s="24">
        <f t="shared" si="4"/>
        <v>0</v>
      </c>
      <c r="H585" s="19">
        <f>VLOOKUP(A585,Metrik!$C$2:$Y$959,8,0)</f>
        <v>-8.3</v>
      </c>
      <c r="I585" s="20">
        <f>VLOOKUP(A585,Metrik!$C$2:$Y$959,9,0)</f>
        <v>3.4</v>
      </c>
      <c r="J585" s="20">
        <f>VLOOKUP(A585,Metrik!$C$2:$Y$959,10,0)</f>
        <v>-40.4</v>
      </c>
      <c r="K585" s="20">
        <f>VLOOKUP(A585,Metrik!$C$2:$Y$959,11,0)</f>
        <v>-36.1</v>
      </c>
      <c r="L585" s="20">
        <f>VLOOKUP(A585,Metrik!$C$2:$Y$959,12,0)</f>
        <v>0.12</v>
      </c>
      <c r="M585" s="20">
        <f>VLOOKUP(A585,Metrik!$C$2:$Y$959,19,0)</f>
        <v>-810</v>
      </c>
      <c r="N585" s="21"/>
      <c r="O585" s="21"/>
      <c r="P585" s="21"/>
      <c r="Q585" s="21"/>
      <c r="R585" s="21"/>
      <c r="S585" s="21"/>
      <c r="T585" s="21"/>
      <c r="U585" s="22">
        <f>IFERROR(__xludf.DUMMYFUNCTION("IFERROR(GOOGLEFINANCE(A585,""closeyest""),"""")"),69.23)</f>
        <v>69.23</v>
      </c>
      <c r="V585" s="23">
        <f>IFERROR(__xludf.DUMMYFUNCTION("IFERROR(GOOGLEFINANCE(A585,""changepct""),"""")"),4.14)</f>
        <v>4.14</v>
      </c>
      <c r="W585" s="22">
        <f>IFERROR(__xludf.DUMMYFUNCTION("IFERROR(GOOGLEFINANCE(A585,""priceopen""),"""")"),71.66)</f>
        <v>71.66</v>
      </c>
      <c r="X585" s="22">
        <f>IFERROR(__xludf.DUMMYFUNCTION("IFERROR(GOOGLEFINANCE(A585,""high""),"""")"),72.09)</f>
        <v>72.09</v>
      </c>
      <c r="Y585" s="22">
        <f>IFERROR(__xludf.DUMMYFUNCTION("IFERROR(GOOGLEFINANCE(A585,""low""),"""")"),71.66)</f>
        <v>71.66</v>
      </c>
      <c r="Z585" s="22">
        <f>IFERROR(__xludf.DUMMYFUNCTION("IFERROR(GOOGLEFINANCE(A585,""volume""),"""")"),19.0)</f>
        <v>19</v>
      </c>
      <c r="AA585" s="24" t="str">
        <f>VLOOKUP(A585,Metrik!$C$2:$Y$959,5,0)</f>
        <v>Holding &amp; Investment Companies</v>
      </c>
      <c r="AB585" s="24" t="str">
        <f>VLOOKUP(A585,Metrik!$C$2:$Y$959,3,0)</f>
        <v>Financials</v>
      </c>
    </row>
    <row r="586">
      <c r="A586" s="14" t="s">
        <v>322</v>
      </c>
      <c r="B586" s="14" t="str">
        <f t="array" ref="B586">VLOOKUP(A586,{Metrik!$C$2:$C$998,Metrik!$B$2:$B$998},2,0)</f>
        <v>Caturkarda Depo Bangunan Tbk.</v>
      </c>
      <c r="C586" s="15">
        <f>IFERROR(__xludf.DUMMYFUNCTION("GOOGLEFINANCE(""IDX:""&amp;A586,""price"")"),238.0)</f>
        <v>238</v>
      </c>
      <c r="D586" s="16" t="str">
        <f>IFERROR(__xludf.DUMMYFUNCTION("IF(A586="""","""",
SPARKLINE(
INDEX(
GOOGLEFINANCE(""IDX:""&amp;A586,""close"",TODAY()-365,TODAY()),
,2
),
{""linewidth"",1}
))
"),"#N/A")</f>
        <v>#N/A</v>
      </c>
      <c r="E586" s="26"/>
      <c r="F586" s="26"/>
      <c r="G586" s="24">
        <f t="shared" si="4"/>
        <v>0</v>
      </c>
      <c r="H586" s="19">
        <f>VLOOKUP(A586,Metrik!$C$2:$Y$959,8,0)</f>
        <v>22.7</v>
      </c>
      <c r="I586" s="20">
        <f>VLOOKUP(A586,Metrik!$C$2:$Y$959,9,0)</f>
        <v>1.2</v>
      </c>
      <c r="J586" s="20">
        <f>VLOOKUP(A586,Metrik!$C$2:$Y$959,10,0)</f>
        <v>5.5</v>
      </c>
      <c r="K586" s="20">
        <f>VLOOKUP(A586,Metrik!$C$2:$Y$959,11,0)</f>
        <v>3.3</v>
      </c>
      <c r="L586" s="20">
        <f>VLOOKUP(A586,Metrik!$C$2:$Y$959,12,0)</f>
        <v>0.67</v>
      </c>
      <c r="M586" s="20">
        <f>VLOOKUP(A586,Metrik!$C$2:$Y$959,19,0)</f>
        <v>11.7</v>
      </c>
      <c r="N586" s="21"/>
      <c r="O586" s="21"/>
      <c r="P586" s="21"/>
      <c r="Q586" s="21"/>
      <c r="R586" s="21"/>
      <c r="S586" s="21"/>
      <c r="T586" s="21"/>
      <c r="U586" s="22">
        <f>IFERROR(__xludf.DUMMYFUNCTION("IFERROR(GOOGLEFINANCE(A586,""closeyest""),"""")"),238.0)</f>
        <v>238</v>
      </c>
      <c r="V586" s="23">
        <f>IFERROR(__xludf.DUMMYFUNCTION("IFERROR(GOOGLEFINANCE(A586,""changepct""),"""")"),0.0)</f>
        <v>0</v>
      </c>
      <c r="W586" s="22">
        <f>IFERROR(__xludf.DUMMYFUNCTION("IFERROR(GOOGLEFINANCE(A586,""priceopen""),"""")"),238.0)</f>
        <v>238</v>
      </c>
      <c r="X586" s="22">
        <f>IFERROR(__xludf.DUMMYFUNCTION("IFERROR(GOOGLEFINANCE(A586,""high""),"""")"),250.0)</f>
        <v>250</v>
      </c>
      <c r="Y586" s="22">
        <f>IFERROR(__xludf.DUMMYFUNCTION("IFERROR(GOOGLEFINANCE(A586,""low""),"""")"),230.0)</f>
        <v>230</v>
      </c>
      <c r="Z586" s="22">
        <f>IFERROR(__xludf.DUMMYFUNCTION("IFERROR(GOOGLEFINANCE(A586,""volume""),"""")"),24600.0)</f>
        <v>24600</v>
      </c>
      <c r="AA586" s="24" t="str">
        <f>VLOOKUP(A586,Metrik!$C$2:$Y$959,5,0)</f>
        <v>Specialty Retail</v>
      </c>
      <c r="AB586" s="24" t="str">
        <f>VLOOKUP(A586,Metrik!$C$2:$Y$959,3,0)</f>
        <v>Consumer Cyclicals</v>
      </c>
    </row>
    <row r="587">
      <c r="A587" s="17" t="s">
        <v>323</v>
      </c>
      <c r="B587" s="14" t="str">
        <f t="array" ref="B587">VLOOKUP(A587,{Metrik!$C$2:$C$998,Metrik!$B$2:$B$998},2,0)</f>
        <v>Darma Henwa Tbk</v>
      </c>
      <c r="C587" s="15">
        <f>IFERROR(__xludf.DUMMYFUNCTION("GOOGLEFINANCE(""IDX:""&amp;A587,""price"")"),330.0)</f>
        <v>330</v>
      </c>
      <c r="D587" s="16" t="str">
        <f>IFERROR(__xludf.DUMMYFUNCTION("IF(A587="""","""",
SPARKLINE(
INDEX(
GOOGLEFINANCE(""IDX:""&amp;A587,""close"",TODAY()-365,TODAY()),
,2
),
{""linewidth"",1}
))
"),"#N/A")</f>
        <v>#N/A</v>
      </c>
      <c r="E587" s="14" t="s">
        <v>31</v>
      </c>
      <c r="F587" s="17" t="s">
        <v>29</v>
      </c>
      <c r="G587" s="24">
        <f t="shared" si="4"/>
        <v>7</v>
      </c>
      <c r="H587" s="19">
        <f>VLOOKUP(A587,Metrik!$C$2:$Y$959,8,0)</f>
        <v>3.1</v>
      </c>
      <c r="I587" s="20">
        <f>VLOOKUP(A587,Metrik!$C$2:$Y$959,9,0)</f>
        <v>1.7</v>
      </c>
      <c r="J587" s="20">
        <f>VLOOKUP(A587,Metrik!$C$2:$Y$959,10,0)</f>
        <v>54.9</v>
      </c>
      <c r="K587" s="20">
        <f>VLOOKUP(A587,Metrik!$C$2:$Y$959,11,0)</f>
        <v>27.2</v>
      </c>
      <c r="L587" s="20">
        <f>VLOOKUP(A587,Metrik!$C$2:$Y$959,12,0)</f>
        <v>1</v>
      </c>
      <c r="M587" s="20">
        <f>VLOOKUP(A587,Metrik!$C$2:$Y$959,19,0)</f>
        <v>280</v>
      </c>
      <c r="N587" s="21"/>
      <c r="O587" s="21"/>
      <c r="P587" s="21"/>
      <c r="Q587" s="21"/>
      <c r="R587" s="21"/>
      <c r="S587" s="21"/>
      <c r="T587" s="21"/>
      <c r="U587" s="22">
        <f>IFERROR(__xludf.DUMMYFUNCTION("IFERROR(GOOGLEFINANCE(A587,""closeyest""),"""")"),294.0)</f>
        <v>294</v>
      </c>
      <c r="V587" s="23">
        <f>IFERROR(__xludf.DUMMYFUNCTION("IFERROR(GOOGLEFINANCE(A587,""changepct""),"""")"),12.24)</f>
        <v>12.24</v>
      </c>
      <c r="W587" s="22">
        <f>IFERROR(__xludf.DUMMYFUNCTION("IFERROR(GOOGLEFINANCE(A587,""priceopen""),"""")"),300.0)</f>
        <v>300</v>
      </c>
      <c r="X587" s="22">
        <f>IFERROR(__xludf.DUMMYFUNCTION("IFERROR(GOOGLEFINANCE(A587,""high""),"""")"),334.0)</f>
        <v>334</v>
      </c>
      <c r="Y587" s="22">
        <f>IFERROR(__xludf.DUMMYFUNCTION("IFERROR(GOOGLEFINANCE(A587,""low""),"""")"),300.0)</f>
        <v>300</v>
      </c>
      <c r="Z587" s="22">
        <f>IFERROR(__xludf.DUMMYFUNCTION("IFERROR(GOOGLEFINANCE(A587,""volume""),"""")"),1.0533147E9)</f>
        <v>1053314700</v>
      </c>
      <c r="AA587" s="24" t="str">
        <f>VLOOKUP(A587,Metrik!$C$2:$Y$959,5,0)</f>
        <v>Oil, Gas &amp; Coal Supports</v>
      </c>
      <c r="AB587" s="24" t="str">
        <f>VLOOKUP(A587,Metrik!$C$2:$Y$959,3,0)</f>
        <v>Energy</v>
      </c>
    </row>
    <row r="588">
      <c r="A588" s="14" t="s">
        <v>323</v>
      </c>
      <c r="B588" s="14" t="str">
        <f t="array" ref="B588">VLOOKUP(A588,{Metrik!$C$2:$C$998,Metrik!$B$2:$B$998},2,0)</f>
        <v>Darma Henwa Tbk</v>
      </c>
      <c r="C588" s="15">
        <f>IFERROR(__xludf.DUMMYFUNCTION("GOOGLEFINANCE(""IDX:""&amp;A588,""price"")"),330.0)</f>
        <v>330</v>
      </c>
      <c r="D588" s="16" t="str">
        <f>IFERROR(__xludf.DUMMYFUNCTION("IF(A588="""","""",
SPARKLINE(
INDEX(
GOOGLEFINANCE(""IDX:""&amp;A588,""close"",TODAY()-365,TODAY()),
,2
),
{""linewidth"",1}
))
"),"#N/A")</f>
        <v>#N/A</v>
      </c>
      <c r="E588" s="14" t="s">
        <v>32</v>
      </c>
      <c r="F588" s="14" t="s">
        <v>29</v>
      </c>
      <c r="G588" s="24">
        <f t="shared" si="4"/>
        <v>7</v>
      </c>
      <c r="H588" s="19">
        <f>VLOOKUP(A588,Metrik!$C$2:$Y$959,8,0)</f>
        <v>3.1</v>
      </c>
      <c r="I588" s="20">
        <f>VLOOKUP(A588,Metrik!$C$2:$Y$959,9,0)</f>
        <v>1.7</v>
      </c>
      <c r="J588" s="20">
        <f>VLOOKUP(A588,Metrik!$C$2:$Y$959,10,0)</f>
        <v>54.9</v>
      </c>
      <c r="K588" s="20">
        <f>VLOOKUP(A588,Metrik!$C$2:$Y$959,11,0)</f>
        <v>27.2</v>
      </c>
      <c r="L588" s="20">
        <f>VLOOKUP(A588,Metrik!$C$2:$Y$959,12,0)</f>
        <v>1</v>
      </c>
      <c r="M588" s="20">
        <f>VLOOKUP(A588,Metrik!$C$2:$Y$959,19,0)</f>
        <v>280</v>
      </c>
      <c r="N588" s="21"/>
      <c r="O588" s="21"/>
      <c r="P588" s="21"/>
      <c r="Q588" s="21"/>
      <c r="R588" s="21"/>
      <c r="S588" s="21"/>
      <c r="T588" s="21"/>
      <c r="U588" s="22">
        <f>IFERROR(__xludf.DUMMYFUNCTION("IFERROR(GOOGLEFINANCE(A588,""closeyest""),"""")"),294.0)</f>
        <v>294</v>
      </c>
      <c r="V588" s="23">
        <f>IFERROR(__xludf.DUMMYFUNCTION("IFERROR(GOOGLEFINANCE(A588,""changepct""),"""")"),12.24)</f>
        <v>12.24</v>
      </c>
      <c r="W588" s="22">
        <f>IFERROR(__xludf.DUMMYFUNCTION("IFERROR(GOOGLEFINANCE(A588,""priceopen""),"""")"),300.0)</f>
        <v>300</v>
      </c>
      <c r="X588" s="22">
        <f>IFERROR(__xludf.DUMMYFUNCTION("IFERROR(GOOGLEFINANCE(A588,""high""),"""")"),334.0)</f>
        <v>334</v>
      </c>
      <c r="Y588" s="22">
        <f>IFERROR(__xludf.DUMMYFUNCTION("IFERROR(GOOGLEFINANCE(A588,""low""),"""")"),300.0)</f>
        <v>300</v>
      </c>
      <c r="Z588" s="22">
        <f>IFERROR(__xludf.DUMMYFUNCTION("IFERROR(GOOGLEFINANCE(A588,""volume""),"""")"),1.0533147E9)</f>
        <v>1053314700</v>
      </c>
      <c r="AA588" s="24" t="str">
        <f>VLOOKUP(A588,Metrik!$C$2:$Y$959,5,0)</f>
        <v>Oil, Gas &amp; Coal Supports</v>
      </c>
      <c r="AB588" s="24" t="str">
        <f>VLOOKUP(A588,Metrik!$C$2:$Y$959,3,0)</f>
        <v>Energy</v>
      </c>
    </row>
    <row r="589">
      <c r="A589" s="14" t="s">
        <v>323</v>
      </c>
      <c r="B589" s="14" t="str">
        <f t="array" ref="B589">VLOOKUP(A589,{Metrik!$C$2:$C$998,Metrik!$B$2:$B$998},2,0)</f>
        <v>Darma Henwa Tbk</v>
      </c>
      <c r="C589" s="15">
        <f>IFERROR(__xludf.DUMMYFUNCTION("GOOGLEFINANCE(""IDX:""&amp;A589,""price"")"),330.0)</f>
        <v>330</v>
      </c>
      <c r="D589" s="16" t="str">
        <f>IFERROR(__xludf.DUMMYFUNCTION("IF(A589="""","""",
SPARKLINE(
INDEX(
GOOGLEFINANCE(""IDX:""&amp;A589,""close"",TODAY()-365,TODAY()),
,2
),
{""linewidth"",1}
))
"),"#N/A")</f>
        <v>#N/A</v>
      </c>
      <c r="E589" s="14" t="s">
        <v>41</v>
      </c>
      <c r="F589" s="14" t="s">
        <v>34</v>
      </c>
      <c r="G589" s="24">
        <f t="shared" si="4"/>
        <v>7</v>
      </c>
      <c r="H589" s="19">
        <f>VLOOKUP(A589,Metrik!$C$2:$Y$959,8,0)</f>
        <v>3.1</v>
      </c>
      <c r="I589" s="20">
        <f>VLOOKUP(A589,Metrik!$C$2:$Y$959,9,0)</f>
        <v>1.7</v>
      </c>
      <c r="J589" s="20">
        <f>VLOOKUP(A589,Metrik!$C$2:$Y$959,10,0)</f>
        <v>54.9</v>
      </c>
      <c r="K589" s="20">
        <f>VLOOKUP(A589,Metrik!$C$2:$Y$959,11,0)</f>
        <v>27.2</v>
      </c>
      <c r="L589" s="20">
        <f>VLOOKUP(A589,Metrik!$C$2:$Y$959,12,0)</f>
        <v>1</v>
      </c>
      <c r="M589" s="20">
        <f>VLOOKUP(A589,Metrik!$C$2:$Y$959,19,0)</f>
        <v>280</v>
      </c>
      <c r="N589" s="21"/>
      <c r="O589" s="21"/>
      <c r="P589" s="21"/>
      <c r="Q589" s="21"/>
      <c r="R589" s="21"/>
      <c r="S589" s="21"/>
      <c r="T589" s="21"/>
      <c r="U589" s="22">
        <f>IFERROR(__xludf.DUMMYFUNCTION("IFERROR(GOOGLEFINANCE(A589,""closeyest""),"""")"),294.0)</f>
        <v>294</v>
      </c>
      <c r="V589" s="23">
        <f>IFERROR(__xludf.DUMMYFUNCTION("IFERROR(GOOGLEFINANCE(A589,""changepct""),"""")"),12.24)</f>
        <v>12.24</v>
      </c>
      <c r="W589" s="22">
        <f>IFERROR(__xludf.DUMMYFUNCTION("IFERROR(GOOGLEFINANCE(A589,""priceopen""),"""")"),300.0)</f>
        <v>300</v>
      </c>
      <c r="X589" s="22">
        <f>IFERROR(__xludf.DUMMYFUNCTION("IFERROR(GOOGLEFINANCE(A589,""high""),"""")"),334.0)</f>
        <v>334</v>
      </c>
      <c r="Y589" s="22">
        <f>IFERROR(__xludf.DUMMYFUNCTION("IFERROR(GOOGLEFINANCE(A589,""low""),"""")"),300.0)</f>
        <v>300</v>
      </c>
      <c r="Z589" s="22">
        <f>IFERROR(__xludf.DUMMYFUNCTION("IFERROR(GOOGLEFINANCE(A589,""volume""),"""")"),1.0533147E9)</f>
        <v>1053314700</v>
      </c>
      <c r="AA589" s="24" t="str">
        <f>VLOOKUP(A589,Metrik!$C$2:$Y$959,5,0)</f>
        <v>Oil, Gas &amp; Coal Supports</v>
      </c>
      <c r="AB589" s="24" t="str">
        <f>VLOOKUP(A589,Metrik!$C$2:$Y$959,3,0)</f>
        <v>Energy</v>
      </c>
    </row>
    <row r="590">
      <c r="A590" s="17" t="s">
        <v>323</v>
      </c>
      <c r="B590" s="14" t="str">
        <f t="array" ref="B590">VLOOKUP(A590,{Metrik!$C$2:$C$998,Metrik!$B$2:$B$998},2,0)</f>
        <v>Darma Henwa Tbk</v>
      </c>
      <c r="C590" s="15">
        <f>IFERROR(__xludf.DUMMYFUNCTION("GOOGLEFINANCE(""IDX:""&amp;A590,""price"")"),330.0)</f>
        <v>330</v>
      </c>
      <c r="D590" s="16" t="str">
        <f>IFERROR(__xludf.DUMMYFUNCTION("IF(A590="""","""",
SPARKLINE(
INDEX(
GOOGLEFINANCE(""IDX:""&amp;A590,""close"",TODAY()-365,TODAY()),
,2
),
{""linewidth"",1}
))
"),"#N/A")</f>
        <v>#N/A</v>
      </c>
      <c r="E590" s="14" t="s">
        <v>28</v>
      </c>
      <c r="F590" s="17" t="s">
        <v>29</v>
      </c>
      <c r="G590" s="38">
        <f>COUNTIFS($B$2:$B$1935,B590,$E$2:$E$1935,"&lt;&gt;")</f>
        <v>7</v>
      </c>
      <c r="H590" s="19">
        <f>VLOOKUP(A590,Metrik!$C$2:$Y$959,8,0)</f>
        <v>3.1</v>
      </c>
      <c r="I590" s="20">
        <f>VLOOKUP(A590,Metrik!$C$2:$Y$959,9,0)</f>
        <v>1.7</v>
      </c>
      <c r="J590" s="20">
        <f>VLOOKUP(A590,Metrik!$C$2:$Y$959,10,0)</f>
        <v>54.9</v>
      </c>
      <c r="K590" s="20">
        <f>VLOOKUP(A590,Metrik!$C$2:$Y$959,11,0)</f>
        <v>27.2</v>
      </c>
      <c r="L590" s="20">
        <f>VLOOKUP(A590,Metrik!$C$2:$Y$959,12,0)</f>
        <v>1</v>
      </c>
      <c r="M590" s="20">
        <f>VLOOKUP(A590,Metrik!$C$2:$Y$959,19,0)</f>
        <v>280</v>
      </c>
      <c r="N590" s="21"/>
      <c r="O590" s="21"/>
      <c r="P590" s="21"/>
      <c r="Q590" s="21"/>
      <c r="R590" s="21"/>
      <c r="S590" s="21"/>
      <c r="T590" s="21"/>
      <c r="U590" s="22">
        <f>IFERROR(__xludf.DUMMYFUNCTION("IFERROR(GOOGLEFINANCE(A590,""closeyest""),"""")"),294.0)</f>
        <v>294</v>
      </c>
      <c r="V590" s="23">
        <f>IFERROR(__xludf.DUMMYFUNCTION("IFERROR(GOOGLEFINANCE(A590,""changepct""),"""")"),12.24)</f>
        <v>12.24</v>
      </c>
      <c r="W590" s="22">
        <f>IFERROR(__xludf.DUMMYFUNCTION("IFERROR(GOOGLEFINANCE(A590,""priceopen""),"""")"),300.0)</f>
        <v>300</v>
      </c>
      <c r="X590" s="22">
        <f>IFERROR(__xludf.DUMMYFUNCTION("IFERROR(GOOGLEFINANCE(A590,""high""),"""")"),334.0)</f>
        <v>334</v>
      </c>
      <c r="Y590" s="22">
        <f>IFERROR(__xludf.DUMMYFUNCTION("IFERROR(GOOGLEFINANCE(A590,""low""),"""")"),300.0)</f>
        <v>300</v>
      </c>
      <c r="Z590" s="22">
        <f>IFERROR(__xludf.DUMMYFUNCTION("IFERROR(GOOGLEFINANCE(A590,""volume""),"""")"),1.0533147E9)</f>
        <v>1053314700</v>
      </c>
      <c r="AA590" s="24" t="str">
        <f>VLOOKUP(A590,Metrik!$C$2:$Y$959,5,0)</f>
        <v>Oil, Gas &amp; Coal Supports</v>
      </c>
      <c r="AB590" s="24" t="str">
        <f>VLOOKUP(A590,Metrik!$C$2:$Y$959,3,0)</f>
        <v>Energy</v>
      </c>
    </row>
    <row r="591">
      <c r="A591" s="17" t="s">
        <v>323</v>
      </c>
      <c r="B591" s="14" t="str">
        <f t="array" ref="B591">VLOOKUP(A591,{Metrik!$C$2:$C$998,Metrik!$B$2:$B$998},2,0)</f>
        <v>Darma Henwa Tbk</v>
      </c>
      <c r="C591" s="15">
        <f>IFERROR(__xludf.DUMMYFUNCTION("GOOGLEFINANCE(""IDX:""&amp;A591,""price"")"),330.0)</f>
        <v>330</v>
      </c>
      <c r="D591" s="16" t="str">
        <f>IFERROR(__xludf.DUMMYFUNCTION("IF(A591="""","""",
SPARKLINE(
INDEX(
GOOGLEFINANCE(""IDX:""&amp;A591,""close"",TODAY()-365,TODAY()),
,2
),
{""linewidth"",1}
))
"),"#N/A")</f>
        <v>#N/A</v>
      </c>
      <c r="E591" s="14" t="s">
        <v>67</v>
      </c>
      <c r="F591" s="17" t="s">
        <v>51</v>
      </c>
      <c r="G591" s="38">
        <f>COUNTIFS($B$2:$B$1934,B591,$E$2:$E$1934,"&lt;&gt;")</f>
        <v>7</v>
      </c>
      <c r="H591" s="19">
        <f>VLOOKUP(A591,Metrik!$C$2:$Y$959,8,0)</f>
        <v>3.1</v>
      </c>
      <c r="I591" s="20">
        <f>VLOOKUP(A591,Metrik!$C$2:$Y$959,9,0)</f>
        <v>1.7</v>
      </c>
      <c r="J591" s="20">
        <f>VLOOKUP(A591,Metrik!$C$2:$Y$959,10,0)</f>
        <v>54.9</v>
      </c>
      <c r="K591" s="20">
        <f>VLOOKUP(A591,Metrik!$C$2:$Y$959,11,0)</f>
        <v>27.2</v>
      </c>
      <c r="L591" s="20">
        <f>VLOOKUP(A591,Metrik!$C$2:$Y$959,12,0)</f>
        <v>1</v>
      </c>
      <c r="M591" s="20">
        <f>VLOOKUP(A591,Metrik!$C$2:$Y$959,19,0)</f>
        <v>280</v>
      </c>
      <c r="N591" s="46"/>
      <c r="O591" s="46"/>
      <c r="P591" s="46"/>
      <c r="Q591" s="46"/>
      <c r="R591" s="46"/>
      <c r="S591" s="46"/>
      <c r="T591" s="46"/>
      <c r="U591" s="22">
        <f>IFERROR(__xludf.DUMMYFUNCTION("IFERROR(GOOGLEFINANCE(A591,""closeyest""),"""")"),294.0)</f>
        <v>294</v>
      </c>
      <c r="V591" s="23">
        <f>IFERROR(__xludf.DUMMYFUNCTION("IFERROR(GOOGLEFINANCE(A591,""changepct""),"""")"),12.24)</f>
        <v>12.24</v>
      </c>
      <c r="W591" s="22">
        <f>IFERROR(__xludf.DUMMYFUNCTION("IFERROR(GOOGLEFINANCE(A591,""priceopen""),"""")"),300.0)</f>
        <v>300</v>
      </c>
      <c r="X591" s="22">
        <f>IFERROR(__xludf.DUMMYFUNCTION("IFERROR(GOOGLEFINANCE(A591,""high""),"""")"),334.0)</f>
        <v>334</v>
      </c>
      <c r="Y591" s="22">
        <f>IFERROR(__xludf.DUMMYFUNCTION("IFERROR(GOOGLEFINANCE(A591,""low""),"""")"),300.0)</f>
        <v>300</v>
      </c>
      <c r="Z591" s="22">
        <f>IFERROR(__xludf.DUMMYFUNCTION("IFERROR(GOOGLEFINANCE(A591,""volume""),"""")"),1.0533147E9)</f>
        <v>1053314700</v>
      </c>
      <c r="AA591" s="24" t="str">
        <f>VLOOKUP(A591,Metrik!$C$2:$Y$959,5,0)</f>
        <v>Oil, Gas &amp; Coal Supports</v>
      </c>
      <c r="AB591" s="24" t="str">
        <f>VLOOKUP(A591,Metrik!$C$2:$Y$959,3,0)</f>
        <v>Energy</v>
      </c>
    </row>
    <row r="592">
      <c r="A592" s="17" t="s">
        <v>323</v>
      </c>
      <c r="B592" s="14" t="str">
        <f t="array" ref="B592">VLOOKUP(A592,{Metrik!$C$2:$C$998,Metrik!$B$2:$B$998},2,0)</f>
        <v>Darma Henwa Tbk</v>
      </c>
      <c r="C592" s="15">
        <f>IFERROR(__xludf.DUMMYFUNCTION("GOOGLEFINANCE(""IDX:""&amp;A592,""price"")"),330.0)</f>
        <v>330</v>
      </c>
      <c r="D592" s="16" t="str">
        <f>IFERROR(__xludf.DUMMYFUNCTION("IF(A592="""","""",
SPARKLINE(
INDEX(
GOOGLEFINANCE(""IDX:""&amp;A592,""close"",TODAY()-365,TODAY()),
,2
),
{""linewidth"",1}
))
"),"#N/A")</f>
        <v>#N/A</v>
      </c>
      <c r="E592" s="14" t="s">
        <v>38</v>
      </c>
      <c r="F592" s="25">
        <v>46356.0</v>
      </c>
      <c r="G592" s="18">
        <f t="shared" ref="G592:G745" si="5">COUNTIFS($B$2:$B$1937,B592,$E$2:$E$1937,"&lt;&gt;")</f>
        <v>7</v>
      </c>
      <c r="H592" s="19">
        <f>VLOOKUP(A592,Metrik!$C$2:$Y$959,8,0)</f>
        <v>3.1</v>
      </c>
      <c r="I592" s="20">
        <f>VLOOKUP(A592,Metrik!$C$2:$Y$959,9,0)</f>
        <v>1.7</v>
      </c>
      <c r="J592" s="20">
        <f>VLOOKUP(A592,Metrik!$C$2:$Y$959,10,0)</f>
        <v>54.9</v>
      </c>
      <c r="K592" s="20">
        <f>VLOOKUP(A592,Metrik!$C$2:$Y$959,11,0)</f>
        <v>27.2</v>
      </c>
      <c r="L592" s="20">
        <f>VLOOKUP(A592,Metrik!$C$2:$Y$959,12,0)</f>
        <v>1</v>
      </c>
      <c r="M592" s="20">
        <f>VLOOKUP(A592,Metrik!$C$2:$Y$959,19,0)</f>
        <v>280</v>
      </c>
      <c r="N592" s="21"/>
      <c r="O592" s="21"/>
      <c r="P592" s="21"/>
      <c r="Q592" s="21"/>
      <c r="R592" s="21"/>
      <c r="S592" s="21"/>
      <c r="T592" s="21"/>
      <c r="U592" s="22">
        <f>IFERROR(__xludf.DUMMYFUNCTION("IFERROR(GOOGLEFINANCE(A592,""closeyest""),"""")"),294.0)</f>
        <v>294</v>
      </c>
      <c r="V592" s="23">
        <f>IFERROR(__xludf.DUMMYFUNCTION("IFERROR(GOOGLEFINANCE(A592,""changepct""),"""")"),12.24)</f>
        <v>12.24</v>
      </c>
      <c r="W592" s="22">
        <f>IFERROR(__xludf.DUMMYFUNCTION("IFERROR(GOOGLEFINANCE(A592,""priceopen""),"""")"),300.0)</f>
        <v>300</v>
      </c>
      <c r="X592" s="22">
        <f>IFERROR(__xludf.DUMMYFUNCTION("IFERROR(GOOGLEFINANCE(A592,""high""),"""")"),334.0)</f>
        <v>334</v>
      </c>
      <c r="Y592" s="22">
        <f>IFERROR(__xludf.DUMMYFUNCTION("IFERROR(GOOGLEFINANCE(A592,""low""),"""")"),300.0)</f>
        <v>300</v>
      </c>
      <c r="Z592" s="22">
        <f>IFERROR(__xludf.DUMMYFUNCTION("IFERROR(GOOGLEFINANCE(A592,""volume""),"""")"),1.0533147E9)</f>
        <v>1053314700</v>
      </c>
      <c r="AA592" s="24" t="str">
        <f>VLOOKUP(A592,Metrik!$C$2:$Y$959,5,0)</f>
        <v>Oil, Gas &amp; Coal Supports</v>
      </c>
      <c r="AB592" s="24" t="str">
        <f>VLOOKUP(A592,Metrik!$C$2:$Y$959,3,0)</f>
        <v>Energy</v>
      </c>
    </row>
    <row r="593">
      <c r="A593" s="17" t="s">
        <v>323</v>
      </c>
      <c r="B593" s="14" t="str">
        <f t="array" ref="B593">VLOOKUP(A593,{Metrik!$C$2:$C$998,Metrik!$B$2:$B$998},2,0)</f>
        <v>Darma Henwa Tbk</v>
      </c>
      <c r="C593" s="15">
        <f>IFERROR(__xludf.DUMMYFUNCTION("GOOGLEFINANCE(""IDX:""&amp;A593,""price"")"),330.0)</f>
        <v>330</v>
      </c>
      <c r="D593" s="16" t="str">
        <f>IFERROR(__xludf.DUMMYFUNCTION("IF(A593="""","""",
SPARKLINE(
INDEX(
GOOGLEFINANCE(""IDX:""&amp;A593,""close"",TODAY()-365,TODAY()),
,2
),
{""linewidth"",1}
))
"),"#N/A")</f>
        <v>#N/A</v>
      </c>
      <c r="E593" s="14" t="s">
        <v>39</v>
      </c>
      <c r="F593" s="25">
        <v>46356.0</v>
      </c>
      <c r="G593" s="18">
        <f t="shared" si="5"/>
        <v>7</v>
      </c>
      <c r="H593" s="19">
        <f>VLOOKUP(A593,Metrik!$C$2:$Y$959,8,0)</f>
        <v>3.1</v>
      </c>
      <c r="I593" s="20">
        <f>VLOOKUP(A593,Metrik!$C$2:$Y$959,9,0)</f>
        <v>1.7</v>
      </c>
      <c r="J593" s="20">
        <f>VLOOKUP(A593,Metrik!$C$2:$Y$959,10,0)</f>
        <v>54.9</v>
      </c>
      <c r="K593" s="20">
        <f>VLOOKUP(A593,Metrik!$C$2:$Y$959,11,0)</f>
        <v>27.2</v>
      </c>
      <c r="L593" s="20">
        <f>VLOOKUP(A593,Metrik!$C$2:$Y$959,12,0)</f>
        <v>1</v>
      </c>
      <c r="M593" s="20">
        <f>VLOOKUP(A593,Metrik!$C$2:$Y$959,19,0)</f>
        <v>280</v>
      </c>
      <c r="N593" s="21"/>
      <c r="O593" s="21"/>
      <c r="P593" s="21"/>
      <c r="Q593" s="21"/>
      <c r="R593" s="21"/>
      <c r="S593" s="21"/>
      <c r="T593" s="21"/>
      <c r="U593" s="22">
        <f>IFERROR(__xludf.DUMMYFUNCTION("IFERROR(GOOGLEFINANCE(A593,""closeyest""),"""")"),294.0)</f>
        <v>294</v>
      </c>
      <c r="V593" s="23">
        <f>IFERROR(__xludf.DUMMYFUNCTION("IFERROR(GOOGLEFINANCE(A593,""changepct""),"""")"),12.24)</f>
        <v>12.24</v>
      </c>
      <c r="W593" s="22">
        <f>IFERROR(__xludf.DUMMYFUNCTION("IFERROR(GOOGLEFINANCE(A593,""priceopen""),"""")"),300.0)</f>
        <v>300</v>
      </c>
      <c r="X593" s="22">
        <f>IFERROR(__xludf.DUMMYFUNCTION("IFERROR(GOOGLEFINANCE(A593,""high""),"""")"),334.0)</f>
        <v>334</v>
      </c>
      <c r="Y593" s="22">
        <f>IFERROR(__xludf.DUMMYFUNCTION("IFERROR(GOOGLEFINANCE(A593,""low""),"""")"),300.0)</f>
        <v>300</v>
      </c>
      <c r="Z593" s="22">
        <f>IFERROR(__xludf.DUMMYFUNCTION("IFERROR(GOOGLEFINANCE(A593,""volume""),"""")"),1.0533147E9)</f>
        <v>1053314700</v>
      </c>
      <c r="AA593" s="24" t="str">
        <f>VLOOKUP(A593,Metrik!$C$2:$Y$959,5,0)</f>
        <v>Oil, Gas &amp; Coal Supports</v>
      </c>
      <c r="AB593" s="24" t="str">
        <f>VLOOKUP(A593,Metrik!$C$2:$Y$959,3,0)</f>
        <v>Energy</v>
      </c>
    </row>
    <row r="594">
      <c r="A594" s="14" t="s">
        <v>324</v>
      </c>
      <c r="B594" s="14" t="str">
        <f t="array" ref="B594">VLOOKUP(A594,{Metrik!$C$2:$C$998,Metrik!$B$2:$B$998},2,0)</f>
        <v>Dewi Shri Farmindo Tbk.</v>
      </c>
      <c r="C594" s="15">
        <f>IFERROR(__xludf.DUMMYFUNCTION("GOOGLEFINANCE(""IDX:""&amp;A594,""price"")"),118.0)</f>
        <v>118</v>
      </c>
      <c r="D594" s="16" t="str">
        <f>IFERROR(__xludf.DUMMYFUNCTION("IF(A594="""","""",
SPARKLINE(
INDEX(
GOOGLEFINANCE(""IDX:""&amp;A594,""close"",TODAY()-365,TODAY()),
,2
),
{""linewidth"",1}
))
"),"#N/A")</f>
        <v>#N/A</v>
      </c>
      <c r="E594" s="26"/>
      <c r="F594" s="26"/>
      <c r="G594" s="24">
        <f t="shared" si="5"/>
        <v>0</v>
      </c>
      <c r="H594" s="19">
        <f>VLOOKUP(A594,Metrik!$C$2:$Y$959,8,0)</f>
        <v>28.3</v>
      </c>
      <c r="I594" s="20">
        <f>VLOOKUP(A594,Metrik!$C$2:$Y$959,9,0)</f>
        <v>1.4</v>
      </c>
      <c r="J594" s="20">
        <f>VLOOKUP(A594,Metrik!$C$2:$Y$959,10,0)</f>
        <v>5</v>
      </c>
      <c r="K594" s="20">
        <f>VLOOKUP(A594,Metrik!$C$2:$Y$959,11,0)</f>
        <v>4.2</v>
      </c>
      <c r="L594" s="20">
        <f>VLOOKUP(A594,Metrik!$C$2:$Y$959,12,0)</f>
        <v>0.19</v>
      </c>
      <c r="M594" s="20">
        <f>VLOOKUP(A594,Metrik!$C$2:$Y$959,19,0)</f>
        <v>33.8</v>
      </c>
      <c r="N594" s="21"/>
      <c r="O594" s="21"/>
      <c r="P594" s="21"/>
      <c r="Q594" s="21"/>
      <c r="R594" s="21"/>
      <c r="S594" s="21"/>
      <c r="T594" s="21"/>
      <c r="U594" s="22">
        <f>IFERROR(__xludf.DUMMYFUNCTION("IFERROR(GOOGLEFINANCE(A594,""closeyest""),"""")"),117.0)</f>
        <v>117</v>
      </c>
      <c r="V594" s="23">
        <f>IFERROR(__xludf.DUMMYFUNCTION("IFERROR(GOOGLEFINANCE(A594,""changepct""),"""")"),0.85)</f>
        <v>0.85</v>
      </c>
      <c r="W594" s="22">
        <f>IFERROR(__xludf.DUMMYFUNCTION("IFERROR(GOOGLEFINANCE(A594,""priceopen""),"""")"),117.0)</f>
        <v>117</v>
      </c>
      <c r="X594" s="22">
        <f>IFERROR(__xludf.DUMMYFUNCTION("IFERROR(GOOGLEFINANCE(A594,""high""),"""")"),119.0)</f>
        <v>119</v>
      </c>
      <c r="Y594" s="22">
        <f>IFERROR(__xludf.DUMMYFUNCTION("IFERROR(GOOGLEFINANCE(A594,""low""),"""")"),115.0)</f>
        <v>115</v>
      </c>
      <c r="Z594" s="22" t="str">
        <f>IFERROR(__xludf.DUMMYFUNCTION("IFERROR(GOOGLEFINANCE(A594,""volume""),"""")"),"")</f>
        <v/>
      </c>
      <c r="AA594" s="24" t="str">
        <f>VLOOKUP(A594,Metrik!$C$2:$Y$959,5,0)</f>
        <v>Agricultural Products</v>
      </c>
      <c r="AB594" s="24" t="str">
        <f>VLOOKUP(A594,Metrik!$C$2:$Y$959,3,0)</f>
        <v>Consumer Non-Cyclicals</v>
      </c>
    </row>
    <row r="595">
      <c r="A595" s="14" t="s">
        <v>325</v>
      </c>
      <c r="B595" s="14" t="str">
        <f t="array" ref="B595">VLOOKUP(A595,{Metrik!$C$2:$C$998,Metrik!$B$2:$B$998},2,0)</f>
        <v>Dafam Property Indonesia Tbk.</v>
      </c>
      <c r="C595" s="15">
        <f>IFERROR(__xludf.DUMMYFUNCTION("GOOGLEFINANCE(""IDX:""&amp;A595,""price"")"),94.0)</f>
        <v>94</v>
      </c>
      <c r="D595" s="16" t="str">
        <f>IFERROR(__xludf.DUMMYFUNCTION("IF(A595="""","""",
SPARKLINE(
INDEX(
GOOGLEFINANCE(""IDX:""&amp;A595,""close"",TODAY()-365,TODAY()),
,2
),
{""linewidth"",1}
))
"),"#N/A")</f>
        <v>#N/A</v>
      </c>
      <c r="E595" s="26"/>
      <c r="F595" s="26"/>
      <c r="G595" s="24">
        <f t="shared" si="5"/>
        <v>0</v>
      </c>
      <c r="H595" s="19">
        <f>VLOOKUP(A595,Metrik!$C$2:$Y$959,8,0)</f>
        <v>-28.4</v>
      </c>
      <c r="I595" s="20">
        <f>VLOOKUP(A595,Metrik!$C$2:$Y$959,9,0)</f>
        <v>27.2</v>
      </c>
      <c r="J595" s="20">
        <f>VLOOKUP(A595,Metrik!$C$2:$Y$959,10,0)</f>
        <v>-95.8</v>
      </c>
      <c r="K595" s="20">
        <f>VLOOKUP(A595,Metrik!$C$2:$Y$959,11,0)</f>
        <v>-3.2</v>
      </c>
      <c r="L595" s="20">
        <f>VLOOKUP(A595,Metrik!$C$2:$Y$959,12,0)</f>
        <v>29</v>
      </c>
      <c r="M595" s="20">
        <f>VLOOKUP(A595,Metrik!$C$2:$Y$959,19,0)</f>
        <v>-52.9</v>
      </c>
      <c r="N595" s="21"/>
      <c r="O595" s="21"/>
      <c r="P595" s="21"/>
      <c r="Q595" s="21"/>
      <c r="R595" s="21"/>
      <c r="S595" s="21"/>
      <c r="T595" s="21"/>
      <c r="U595" s="22" t="str">
        <f>IFERROR(__xludf.DUMMYFUNCTION("IFERROR(GOOGLEFINANCE(A595,""closeyest""),"""")"),"")</f>
        <v/>
      </c>
      <c r="V595" s="23">
        <f>IFERROR(__xludf.DUMMYFUNCTION("IFERROR(GOOGLEFINANCE(A595,""changepct""),"""")"),-6.0)</f>
        <v>-6</v>
      </c>
      <c r="W595" s="22">
        <f>IFERROR(__xludf.DUMMYFUNCTION("IFERROR(GOOGLEFINANCE(A595,""priceopen""),"""")"),101.0)</f>
        <v>101</v>
      </c>
      <c r="X595" s="22">
        <f>IFERROR(__xludf.DUMMYFUNCTION("IFERROR(GOOGLEFINANCE(A595,""high""),"""")"),101.0)</f>
        <v>101</v>
      </c>
      <c r="Y595" s="22">
        <f>IFERROR(__xludf.DUMMYFUNCTION("IFERROR(GOOGLEFINANCE(A595,""low""),"""")"),94.0)</f>
        <v>94</v>
      </c>
      <c r="Z595" s="22">
        <f>IFERROR(__xludf.DUMMYFUNCTION("IFERROR(GOOGLEFINANCE(A595,""volume""),"""")"),2.0293E7)</f>
        <v>20293000</v>
      </c>
      <c r="AA595" s="24" t="str">
        <f>VLOOKUP(A595,Metrik!$C$2:$Y$959,5,0)</f>
        <v>Tourism &amp; Recreation</v>
      </c>
      <c r="AB595" s="24" t="str">
        <f>VLOOKUP(A595,Metrik!$C$2:$Y$959,3,0)</f>
        <v>Consumer Cyclicals</v>
      </c>
    </row>
    <row r="596">
      <c r="A596" s="14" t="s">
        <v>326</v>
      </c>
      <c r="B596" s="14" t="str">
        <f t="array" ref="B596">VLOOKUP(A596,{Metrik!$C$2:$C$998,Metrik!$B$2:$B$998},2,0)</f>
        <v>Nusa Konstruksi Enjiniring Tbk</v>
      </c>
      <c r="C596" s="15">
        <f>IFERROR(__xludf.DUMMYFUNCTION("GOOGLEFINANCE(""IDX:""&amp;A596,""price"")"),123.0)</f>
        <v>123</v>
      </c>
      <c r="D596" s="16" t="str">
        <f>IFERROR(__xludf.DUMMYFUNCTION("IF(A596="""","""",
SPARKLINE(
INDEX(
GOOGLEFINANCE(""IDX:""&amp;A596,""close"",TODAY()-365,TODAY()),
,2
),
{""linewidth"",1}
))
"),"#N/A")</f>
        <v>#N/A</v>
      </c>
      <c r="E596" s="26"/>
      <c r="F596" s="26"/>
      <c r="G596" s="24">
        <f t="shared" si="5"/>
        <v>0</v>
      </c>
      <c r="H596" s="19">
        <f>VLOOKUP(A596,Metrik!$C$2:$Y$959,8,0)</f>
        <v>13.7</v>
      </c>
      <c r="I596" s="20">
        <f>VLOOKUP(A596,Metrik!$C$2:$Y$959,9,0)</f>
        <v>0.98</v>
      </c>
      <c r="J596" s="20">
        <f>VLOOKUP(A596,Metrik!$C$2:$Y$959,10,0)</f>
        <v>7.2</v>
      </c>
      <c r="K596" s="20">
        <f>VLOOKUP(A596,Metrik!$C$2:$Y$959,11,0)</f>
        <v>3.4</v>
      </c>
      <c r="L596" s="20">
        <f>VLOOKUP(A596,Metrik!$C$2:$Y$959,12,0)</f>
        <v>1.1</v>
      </c>
      <c r="M596" s="20">
        <f>VLOOKUP(A596,Metrik!$C$2:$Y$959,19,0)</f>
        <v>23.2</v>
      </c>
      <c r="N596" s="21"/>
      <c r="O596" s="21"/>
      <c r="P596" s="21"/>
      <c r="Q596" s="21"/>
      <c r="R596" s="21"/>
      <c r="S596" s="21"/>
      <c r="T596" s="21"/>
      <c r="U596" s="22">
        <f>IFERROR(__xludf.DUMMYFUNCTION("IFERROR(GOOGLEFINANCE(A596,""closeyest""),"""")"),118.0)</f>
        <v>118</v>
      </c>
      <c r="V596" s="23" t="str">
        <f>IFERROR(__xludf.DUMMYFUNCTION("IFERROR(GOOGLEFINANCE(A596,""changepct""),"""")"),"")</f>
        <v/>
      </c>
      <c r="W596" s="22">
        <f>IFERROR(__xludf.DUMMYFUNCTION("IFERROR(GOOGLEFINANCE(A596,""priceopen""),"""")"),127.0)</f>
        <v>127</v>
      </c>
      <c r="X596" s="22">
        <f>IFERROR(__xludf.DUMMYFUNCTION("IFERROR(GOOGLEFINANCE(A596,""high""),"""")"),128.0)</f>
        <v>128</v>
      </c>
      <c r="Y596" s="22">
        <f>IFERROR(__xludf.DUMMYFUNCTION("IFERROR(GOOGLEFINANCE(A596,""low""),"""")"),118.0)</f>
        <v>118</v>
      </c>
      <c r="Z596" s="22">
        <f>IFERROR(__xludf.DUMMYFUNCTION("IFERROR(GOOGLEFINANCE(A596,""volume""),"""")"),3461500.0)</f>
        <v>3461500</v>
      </c>
      <c r="AA596" s="24" t="str">
        <f>VLOOKUP(A596,Metrik!$C$2:$Y$959,5,0)</f>
        <v>Heavy Constructions &amp; Civil Engineering</v>
      </c>
      <c r="AB596" s="24" t="str">
        <f>VLOOKUP(A596,Metrik!$C$2:$Y$959,3,0)</f>
        <v>Infrastructures</v>
      </c>
    </row>
    <row r="597">
      <c r="A597" s="14" t="s">
        <v>327</v>
      </c>
      <c r="B597" s="14" t="str">
        <f t="array" ref="B597">VLOOKUP(A597,{Metrik!$C$2:$C$998,Metrik!$B$2:$B$998},2,0)</f>
        <v>Diagnos Laboratorium Utama Tbk.</v>
      </c>
      <c r="C597" s="15">
        <f>IFERROR(__xludf.DUMMYFUNCTION("GOOGLEFINANCE(""IDX:""&amp;A597,""price"")"),226.0)</f>
        <v>226</v>
      </c>
      <c r="D597" s="16" t="str">
        <f>IFERROR(__xludf.DUMMYFUNCTION("IF(A597="""","""",
SPARKLINE(
INDEX(
GOOGLEFINANCE(""IDX:""&amp;A597,""close"",TODAY()-365,TODAY()),
,2
),
{""linewidth"",1}
))
"),"#N/A")</f>
        <v>#N/A</v>
      </c>
      <c r="E597" s="26"/>
      <c r="F597" s="26"/>
      <c r="G597" s="24">
        <f t="shared" si="5"/>
        <v>0</v>
      </c>
      <c r="H597" s="19">
        <f>VLOOKUP(A597,Metrik!$C$2:$Y$959,8,0)</f>
        <v>89.5</v>
      </c>
      <c r="I597" s="20">
        <f>VLOOKUP(A597,Metrik!$C$2:$Y$959,9,0)</f>
        <v>1.5</v>
      </c>
      <c r="J597" s="20">
        <f>VLOOKUP(A597,Metrik!$C$2:$Y$959,10,0)</f>
        <v>1.7</v>
      </c>
      <c r="K597" s="20">
        <f>VLOOKUP(A597,Metrik!$C$2:$Y$959,11,0)</f>
        <v>1.1</v>
      </c>
      <c r="L597" s="20">
        <f>VLOOKUP(A597,Metrik!$C$2:$Y$959,12,0)</f>
        <v>0.57</v>
      </c>
      <c r="M597" s="20">
        <f>VLOOKUP(A597,Metrik!$C$2:$Y$959,19,0)</f>
        <v>8</v>
      </c>
      <c r="N597" s="21"/>
      <c r="O597" s="21"/>
      <c r="P597" s="21"/>
      <c r="Q597" s="21"/>
      <c r="R597" s="21"/>
      <c r="S597" s="21"/>
      <c r="T597" s="21"/>
      <c r="U597" s="22">
        <f>IFERROR(__xludf.DUMMYFUNCTION("IFERROR(GOOGLEFINANCE(A597,""closeyest""),"""")"),208.0)</f>
        <v>208</v>
      </c>
      <c r="V597" s="23">
        <f>IFERROR(__xludf.DUMMYFUNCTION("IFERROR(GOOGLEFINANCE(A597,""changepct""),"""")"),8.65)</f>
        <v>8.65</v>
      </c>
      <c r="W597" s="22">
        <f>IFERROR(__xludf.DUMMYFUNCTION("IFERROR(GOOGLEFINANCE(A597,""priceopen""),"""")"),214.0)</f>
        <v>214</v>
      </c>
      <c r="X597" s="22">
        <f>IFERROR(__xludf.DUMMYFUNCTION("IFERROR(GOOGLEFINANCE(A597,""high""),"""")"),226.0)</f>
        <v>226</v>
      </c>
      <c r="Y597" s="22">
        <f>IFERROR(__xludf.DUMMYFUNCTION("IFERROR(GOOGLEFINANCE(A597,""low""),"""")"),214.0)</f>
        <v>214</v>
      </c>
      <c r="Z597" s="22">
        <f>IFERROR(__xludf.DUMMYFUNCTION("IFERROR(GOOGLEFINANCE(A597,""volume""),"""")"),408000.0)</f>
        <v>408000</v>
      </c>
      <c r="AA597" s="24" t="str">
        <f>VLOOKUP(A597,Metrik!$C$2:$Y$959,5,0)</f>
        <v>Healthcare Providers</v>
      </c>
      <c r="AB597" s="24" t="str">
        <f>VLOOKUP(A597,Metrik!$C$2:$Y$959,3,0)</f>
        <v>Healthcare</v>
      </c>
    </row>
    <row r="598">
      <c r="A598" s="14" t="s">
        <v>328</v>
      </c>
      <c r="B598" s="14" t="str">
        <f t="array" ref="B598">VLOOKUP(A598,{Metrik!$C$2:$C$998,Metrik!$B$2:$B$998},2,0)</f>
        <v>Delta Giri Wacana Tbk.</v>
      </c>
      <c r="C598" s="15">
        <f>IFERROR(__xludf.DUMMYFUNCTION("GOOGLEFINANCE(""IDX:""&amp;A598,""price"")"),304.0)</f>
        <v>304</v>
      </c>
      <c r="D598" s="16" t="str">
        <f>IFERROR(__xludf.DUMMYFUNCTION("IF(A598="""","""",
SPARKLINE(
INDEX(
GOOGLEFINANCE(""IDX:""&amp;A598,""close"",TODAY()-365,TODAY()),
,2
),
{""linewidth"",1}
))
"),"#N/A")</f>
        <v>#N/A</v>
      </c>
      <c r="E598" s="26"/>
      <c r="F598" s="26"/>
      <c r="G598" s="24">
        <f t="shared" si="5"/>
        <v>0</v>
      </c>
      <c r="H598" s="19">
        <f>VLOOKUP(A598,Metrik!$C$2:$Y$959,8,0)</f>
        <v>8.1</v>
      </c>
      <c r="I598" s="20">
        <f>VLOOKUP(A598,Metrik!$C$2:$Y$959,9,0)</f>
        <v>1.7</v>
      </c>
      <c r="J598" s="20">
        <f>VLOOKUP(A598,Metrik!$C$2:$Y$959,10,0)</f>
        <v>21.2</v>
      </c>
      <c r="K598" s="20">
        <f>VLOOKUP(A598,Metrik!$C$2:$Y$959,11,0)</f>
        <v>6.1</v>
      </c>
      <c r="L598" s="20">
        <f>VLOOKUP(A598,Metrik!$C$2:$Y$959,12,0)</f>
        <v>2.5</v>
      </c>
      <c r="M598" s="20">
        <f>VLOOKUP(A598,Metrik!$C$2:$Y$959,19,0)</f>
        <v>22</v>
      </c>
      <c r="N598" s="21"/>
      <c r="O598" s="21"/>
      <c r="P598" s="21"/>
      <c r="Q598" s="21"/>
      <c r="R598" s="21"/>
      <c r="S598" s="21"/>
      <c r="T598" s="21"/>
      <c r="U598" s="22">
        <f>IFERROR(__xludf.DUMMYFUNCTION("IFERROR(GOOGLEFINANCE(A598,""closeyest""),"""")"),294.0)</f>
        <v>294</v>
      </c>
      <c r="V598" s="23">
        <f>IFERROR(__xludf.DUMMYFUNCTION("IFERROR(GOOGLEFINANCE(A598,""changepct""),"""")"),3.4)</f>
        <v>3.4</v>
      </c>
      <c r="W598" s="22">
        <f>IFERROR(__xludf.DUMMYFUNCTION("IFERROR(GOOGLEFINANCE(A598,""priceopen""),"""")"),296.0)</f>
        <v>296</v>
      </c>
      <c r="X598" s="22">
        <f>IFERROR(__xludf.DUMMYFUNCTION("IFERROR(GOOGLEFINANCE(A598,""high""),"""")"),306.0)</f>
        <v>306</v>
      </c>
      <c r="Y598" s="22">
        <f>IFERROR(__xludf.DUMMYFUNCTION("IFERROR(GOOGLEFINANCE(A598,""low""),"""")"),296.0)</f>
        <v>296</v>
      </c>
      <c r="Z598" s="22">
        <f>IFERROR(__xludf.DUMMYFUNCTION("IFERROR(GOOGLEFINANCE(A598,""volume""),"""")"),1.55471E7)</f>
        <v>15547100</v>
      </c>
      <c r="AA598" s="24" t="str">
        <f>VLOOKUP(A598,Metrik!$C$2:$Y$959,5,0)</f>
        <v>Chemicals</v>
      </c>
      <c r="AB598" s="24" t="str">
        <f>VLOOKUP(A598,Metrik!$C$2:$Y$959,3,0)</f>
        <v>Basic Materials</v>
      </c>
    </row>
    <row r="599">
      <c r="A599" s="14" t="s">
        <v>329</v>
      </c>
      <c r="B599" s="14" t="str">
        <f t="array" ref="B599">VLOOKUP(A599,{Metrik!$C$2:$C$998,Metrik!$B$2:$B$998},2,0)</f>
        <v>Arkadia Digital Media Tbk.</v>
      </c>
      <c r="C599" s="15">
        <f>IFERROR(__xludf.DUMMYFUNCTION("GOOGLEFINANCE(""IDX:""&amp;A599,""price"")"),31.0)</f>
        <v>31</v>
      </c>
      <c r="D599" s="16" t="str">
        <f>IFERROR(__xludf.DUMMYFUNCTION("IF(A599="""","""",
SPARKLINE(
INDEX(
GOOGLEFINANCE(""IDX:""&amp;A599,""close"",TODAY()-365,TODAY()),
,2
),
{""linewidth"",1}
))
"),"#N/A")</f>
        <v>#N/A</v>
      </c>
      <c r="E599" s="26"/>
      <c r="F599" s="26"/>
      <c r="G599" s="24">
        <f t="shared" si="5"/>
        <v>0</v>
      </c>
      <c r="H599" s="19">
        <f>VLOOKUP(A599,Metrik!$C$2:$Y$959,8,0)</f>
        <v>22.1</v>
      </c>
      <c r="I599" s="20">
        <f>VLOOKUP(A599,Metrik!$C$2:$Y$959,9,0)</f>
        <v>-8.2</v>
      </c>
      <c r="J599" s="20">
        <f>VLOOKUP(A599,Metrik!$C$2:$Y$959,10,0)</f>
        <v>0</v>
      </c>
      <c r="K599" s="20">
        <f>VLOOKUP(A599,Metrik!$C$2:$Y$959,11,0)</f>
        <v>17.5</v>
      </c>
      <c r="L599" s="20">
        <f>VLOOKUP(A599,Metrik!$C$2:$Y$959,12,0)</f>
        <v>-3.1</v>
      </c>
      <c r="M599" s="20">
        <f>VLOOKUP(A599,Metrik!$C$2:$Y$959,19,0)</f>
        <v>34</v>
      </c>
      <c r="N599" s="21"/>
      <c r="O599" s="21"/>
      <c r="P599" s="21"/>
      <c r="Q599" s="21"/>
      <c r="R599" s="21"/>
      <c r="S599" s="21"/>
      <c r="T599" s="21"/>
      <c r="U599" s="22">
        <f>IFERROR(__xludf.DUMMYFUNCTION("IFERROR(GOOGLEFINANCE(A599,""closeyest""),"""")"),0.0)</f>
        <v>0</v>
      </c>
      <c r="V599" s="23">
        <f>IFERROR(__xludf.DUMMYFUNCTION("IFERROR(GOOGLEFINANCE(A599,""changepct""),"""")"),0.0)</f>
        <v>0</v>
      </c>
      <c r="W599" s="22" t="str">
        <f>IFERROR(__xludf.DUMMYFUNCTION("IFERROR(GOOGLEFINANCE(A599,""priceopen""),"""")"),"")</f>
        <v/>
      </c>
      <c r="X599" s="22" t="str">
        <f>IFERROR(__xludf.DUMMYFUNCTION("IFERROR(GOOGLEFINANCE(A599,""high""),"""")"),"")</f>
        <v/>
      </c>
      <c r="Y599" s="22" t="str">
        <f>IFERROR(__xludf.DUMMYFUNCTION("IFERROR(GOOGLEFINANCE(A599,""low""),"""")"),"")</f>
        <v/>
      </c>
      <c r="Z599" s="22">
        <f>IFERROR(__xludf.DUMMYFUNCTION("IFERROR(GOOGLEFINANCE(A599,""volume""),"""")"),0.0)</f>
        <v>0</v>
      </c>
      <c r="AA599" s="24" t="str">
        <f>VLOOKUP(A599,Metrik!$C$2:$Y$959,5,0)</f>
        <v>Media</v>
      </c>
      <c r="AB599" s="24" t="str">
        <f>VLOOKUP(A599,Metrik!$C$2:$Y$959,3,0)</f>
        <v>Consumer Cyclicals</v>
      </c>
    </row>
    <row r="600">
      <c r="A600" s="14" t="s">
        <v>330</v>
      </c>
      <c r="B600" s="14" t="str">
        <f t="array" ref="B600">VLOOKUP(A600,{Metrik!$C$2:$C$998,Metrik!$B$2:$B$998},2,0)</f>
        <v>Intiland Development Tbk.</v>
      </c>
      <c r="C600" s="15">
        <f>IFERROR(__xludf.DUMMYFUNCTION("GOOGLEFINANCE(""IDX:""&amp;A600,""price"")"),115.0)</f>
        <v>115</v>
      </c>
      <c r="D600" s="16" t="str">
        <f>IFERROR(__xludf.DUMMYFUNCTION("IF(A600="""","""",
SPARKLINE(
INDEX(
GOOGLEFINANCE(""IDX:""&amp;A600,""close"",TODAY()-365,TODAY()),
,2
),
{""linewidth"",1}
))
"),"#N/A")</f>
        <v>#N/A</v>
      </c>
      <c r="E600" s="26"/>
      <c r="F600" s="26"/>
      <c r="G600" s="24">
        <f t="shared" si="5"/>
        <v>0</v>
      </c>
      <c r="H600" s="19">
        <f>VLOOKUP(A600,Metrik!$C$2:$Y$959,8,0)</f>
        <v>22.2</v>
      </c>
      <c r="I600" s="20">
        <f>VLOOKUP(A600,Metrik!$C$2:$Y$959,9,0)</f>
        <v>0.18</v>
      </c>
      <c r="J600" s="20">
        <f>VLOOKUP(A600,Metrik!$C$2:$Y$959,10,0)</f>
        <v>0.83</v>
      </c>
      <c r="K600" s="20">
        <f>VLOOKUP(A600,Metrik!$C$2:$Y$959,11,0)</f>
        <v>0.43</v>
      </c>
      <c r="L600" s="20">
        <f>VLOOKUP(A600,Metrik!$C$2:$Y$959,12,0)</f>
        <v>0.91</v>
      </c>
      <c r="M600" s="20">
        <f>VLOOKUP(A600,Metrik!$C$2:$Y$959,19,0)</f>
        <v>9.1</v>
      </c>
      <c r="N600" s="21"/>
      <c r="O600" s="21"/>
      <c r="P600" s="21"/>
      <c r="Q600" s="21"/>
      <c r="R600" s="21"/>
      <c r="S600" s="21"/>
      <c r="T600" s="21"/>
      <c r="U600" s="22">
        <f>IFERROR(__xludf.DUMMYFUNCTION("IFERROR(GOOGLEFINANCE(A600,""closeyest""),"""")"),114.0)</f>
        <v>114</v>
      </c>
      <c r="V600" s="23">
        <f>IFERROR(__xludf.DUMMYFUNCTION("IFERROR(GOOGLEFINANCE(A600,""changepct""),"""")"),0.88)</f>
        <v>0.88</v>
      </c>
      <c r="W600" s="22">
        <f>IFERROR(__xludf.DUMMYFUNCTION("IFERROR(GOOGLEFINANCE(A600,""priceopen""),"""")"),114.0)</f>
        <v>114</v>
      </c>
      <c r="X600" s="22">
        <f>IFERROR(__xludf.DUMMYFUNCTION("IFERROR(GOOGLEFINANCE(A600,""high""),"""")"),116.0)</f>
        <v>116</v>
      </c>
      <c r="Y600" s="22">
        <f>IFERROR(__xludf.DUMMYFUNCTION("IFERROR(GOOGLEFINANCE(A600,""low""),"""")"),113.0)</f>
        <v>113</v>
      </c>
      <c r="Z600" s="22">
        <f>IFERROR(__xludf.DUMMYFUNCTION("IFERROR(GOOGLEFINANCE(A600,""volume""),"""")"),1.01365E7)</f>
        <v>10136500</v>
      </c>
      <c r="AA600" s="24" t="str">
        <f>VLOOKUP(A600,Metrik!$C$2:$Y$959,5,0)</f>
        <v>Real Estate Management &amp; Development</v>
      </c>
      <c r="AB600" s="24" t="str">
        <f>VLOOKUP(A600,Metrik!$C$2:$Y$959,3,0)</f>
        <v>Properties &amp; Real Estate</v>
      </c>
    </row>
    <row r="601">
      <c r="A601" s="14" t="s">
        <v>331</v>
      </c>
      <c r="B601" s="14" t="str">
        <f t="array" ref="B601">VLOOKUP(A601,{Metrik!$C$2:$C$998,Metrik!$B$2:$B$998},2,0)</f>
        <v>Distribusi Voucher Nusantara Tbk.</v>
      </c>
      <c r="C601" s="15">
        <f>IFERROR(__xludf.DUMMYFUNCTION("GOOGLEFINANCE(""IDX:""&amp;A601,""price"")"),110.0)</f>
        <v>110</v>
      </c>
      <c r="D601" s="16" t="str">
        <f>IFERROR(__xludf.DUMMYFUNCTION("IF(A601="""","""",
SPARKLINE(
INDEX(
GOOGLEFINANCE(""IDX:""&amp;A601,""close"",TODAY()-365,TODAY()),
,2
),
{""linewidth"",1}
))
"),"#N/A")</f>
        <v>#N/A</v>
      </c>
      <c r="E601" s="26"/>
      <c r="F601" s="26"/>
      <c r="G601" s="24">
        <f t="shared" si="5"/>
        <v>0</v>
      </c>
      <c r="H601" s="19">
        <f>VLOOKUP(A601,Metrik!$C$2:$Y$959,8,0)</f>
        <v>130</v>
      </c>
      <c r="I601" s="20">
        <f>VLOOKUP(A601,Metrik!$C$2:$Y$959,9,0)</f>
        <v>0.27</v>
      </c>
      <c r="J601" s="20">
        <f>VLOOKUP(A601,Metrik!$C$2:$Y$959,10,0)</f>
        <v>0.2</v>
      </c>
      <c r="K601" s="20">
        <f>VLOOKUP(A601,Metrik!$C$2:$Y$959,11,0)</f>
        <v>0.18</v>
      </c>
      <c r="L601" s="20">
        <f>VLOOKUP(A601,Metrik!$C$2:$Y$959,12,0)</f>
        <v>0.13</v>
      </c>
      <c r="M601" s="20">
        <f>VLOOKUP(A601,Metrik!$C$2:$Y$959,19,0)</f>
        <v>0.19</v>
      </c>
      <c r="N601" s="21"/>
      <c r="O601" s="21"/>
      <c r="P601" s="21"/>
      <c r="Q601" s="21"/>
      <c r="R601" s="21"/>
      <c r="S601" s="21"/>
      <c r="T601" s="21"/>
      <c r="U601" s="22">
        <f>IFERROR(__xludf.DUMMYFUNCTION("IFERROR(GOOGLEFINANCE(A601,""closeyest""),"""")"),38.17)</f>
        <v>38.17</v>
      </c>
      <c r="V601" s="23">
        <f>IFERROR(__xludf.DUMMYFUNCTION("IFERROR(GOOGLEFINANCE(A601,""changepct""),"""")"),1.17)</f>
        <v>1.17</v>
      </c>
      <c r="W601" s="22">
        <f>IFERROR(__xludf.DUMMYFUNCTION("IFERROR(GOOGLEFINANCE(A601,""priceopen""),"""")"),38.3)</f>
        <v>38.3</v>
      </c>
      <c r="X601" s="22">
        <f>IFERROR(__xludf.DUMMYFUNCTION("IFERROR(GOOGLEFINANCE(A601,""high""),"""")"),39.36)</f>
        <v>39.36</v>
      </c>
      <c r="Y601" s="22">
        <f>IFERROR(__xludf.DUMMYFUNCTION("IFERROR(GOOGLEFINANCE(A601,""low""),"""")"),38.22)</f>
        <v>38.22</v>
      </c>
      <c r="Z601" s="22">
        <f>IFERROR(__xludf.DUMMYFUNCTION("IFERROR(GOOGLEFINANCE(A601,""volume""),"""")"),9817.0)</f>
        <v>9817</v>
      </c>
      <c r="AA601" s="24" t="str">
        <f>VLOOKUP(A601,Metrik!$C$2:$Y$959,5,0)</f>
        <v>Online Applications &amp; Services</v>
      </c>
      <c r="AB601" s="24" t="str">
        <f>VLOOKUP(A601,Metrik!$C$2:$Y$959,3,0)</f>
        <v>Technology</v>
      </c>
    </row>
    <row r="602">
      <c r="A602" s="17" t="s">
        <v>332</v>
      </c>
      <c r="B602" s="14" t="str">
        <f t="array" ref="B602">VLOOKUP(A602,{Metrik!$C$2:$C$998,Metrik!$B$2:$B$998},2,0)</f>
        <v>Central Omega Resources Tbk.</v>
      </c>
      <c r="C602" s="15">
        <f>IFERROR(__xludf.DUMMYFUNCTION("GOOGLEFINANCE(""IDX:""&amp;A602,""price"")"),680.0)</f>
        <v>680</v>
      </c>
      <c r="D602" s="16" t="str">
        <f>IFERROR(__xludf.DUMMYFUNCTION("IF(A602="""","""",
SPARKLINE(
INDEX(
GOOGLEFINANCE(""IDX:""&amp;A602,""close"",TODAY()-365,TODAY()),
,2
),
{""linewidth"",1}
))
"),"#N/A")</f>
        <v>#N/A</v>
      </c>
      <c r="E602" s="14" t="s">
        <v>65</v>
      </c>
      <c r="F602" s="37">
        <v>46356.0</v>
      </c>
      <c r="G602" s="38">
        <f t="shared" si="5"/>
        <v>2</v>
      </c>
      <c r="H602" s="34">
        <f>VLOOKUP(A602,Metrik!$C$2:$Y$959,8,0)</f>
        <v>5.9</v>
      </c>
      <c r="I602" s="34">
        <f>VLOOKUP(A602,Metrik!$C$2:$Y$959,9,0)</f>
        <v>2.7</v>
      </c>
      <c r="J602" s="34">
        <f>VLOOKUP(A602,Metrik!$C$2:$Y$959,10,0)</f>
        <v>46</v>
      </c>
      <c r="K602" s="34">
        <f>VLOOKUP(A602,Metrik!$C$2:$Y$959,11,0)</f>
        <v>21.9</v>
      </c>
      <c r="L602" s="34">
        <f>VLOOKUP(A602,Metrik!$C$2:$Y$959,12,0)</f>
        <v>1.1</v>
      </c>
      <c r="M602" s="34">
        <f>VLOOKUP(A602,Metrik!$C$2:$Y$959,19,0)</f>
        <v>130</v>
      </c>
      <c r="N602" s="26"/>
      <c r="O602" s="26"/>
      <c r="P602" s="26"/>
      <c r="Q602" s="26"/>
      <c r="R602" s="26"/>
      <c r="S602" s="26"/>
      <c r="T602" s="26"/>
      <c r="U602" s="35">
        <f>IFERROR(__xludf.DUMMYFUNCTION("IFERROR(GOOGLEFINANCE(A602,""closeyest""),"""")"),620.0)</f>
        <v>620</v>
      </c>
      <c r="V602" s="36">
        <f>IFERROR(__xludf.DUMMYFUNCTION("IFERROR(GOOGLEFINANCE(A602,""changepct""),"""")"),9.68)</f>
        <v>9.68</v>
      </c>
      <c r="W602" s="35">
        <f>IFERROR(__xludf.DUMMYFUNCTION("IFERROR(GOOGLEFINANCE(A602,""priceopen""),"""")"),625.0)</f>
        <v>625</v>
      </c>
      <c r="X602" s="35">
        <f>IFERROR(__xludf.DUMMYFUNCTION("IFERROR(GOOGLEFINANCE(A602,""high""),"""")"),710.0)</f>
        <v>710</v>
      </c>
      <c r="Y602" s="35">
        <f>IFERROR(__xludf.DUMMYFUNCTION("IFERROR(GOOGLEFINANCE(A602,""low""),"""")"),625.0)</f>
        <v>625</v>
      </c>
      <c r="Z602" s="35">
        <f>IFERROR(__xludf.DUMMYFUNCTION("IFERROR(GOOGLEFINANCE(A602,""volume""),"""")"),1.21816E7)</f>
        <v>12181600</v>
      </c>
      <c r="AA602" s="14" t="str">
        <f>VLOOKUP(A602,Metrik!$C$2:$Y$959,5,0)</f>
        <v>Metals &amp; Minerals</v>
      </c>
      <c r="AB602" s="14" t="str">
        <f>VLOOKUP(A602,Metrik!$C$2:$Y$959,3,0)</f>
        <v>Basic Materials</v>
      </c>
    </row>
    <row r="603">
      <c r="A603" s="17" t="s">
        <v>332</v>
      </c>
      <c r="B603" s="14" t="str">
        <f t="array" ref="B603">VLOOKUP(A603,{Metrik!$C$2:$C$998,Metrik!$B$2:$B$998},2,0)</f>
        <v>Central Omega Resources Tbk.</v>
      </c>
      <c r="C603" s="15">
        <f>IFERROR(__xludf.DUMMYFUNCTION("GOOGLEFINANCE(""IDX:""&amp;A603,""price"")"),680.0)</f>
        <v>680</v>
      </c>
      <c r="D603" s="16" t="str">
        <f>IFERROR(__xludf.DUMMYFUNCTION("IF(A603="""","""",
SPARKLINE(
INDEX(
GOOGLEFINANCE(""IDX:""&amp;A603,""close"",TODAY()-365,TODAY()),
,2
),
{""linewidth"",1}
))
"),"#N/A")</f>
        <v>#N/A</v>
      </c>
      <c r="E603" s="14" t="s">
        <v>39</v>
      </c>
      <c r="F603" s="25">
        <v>46356.0</v>
      </c>
      <c r="G603" s="18">
        <f t="shared" si="5"/>
        <v>2</v>
      </c>
      <c r="H603" s="19">
        <f>VLOOKUP(A603,Metrik!$C$2:$Y$959,8,0)</f>
        <v>5.9</v>
      </c>
      <c r="I603" s="20">
        <f>VLOOKUP(A603,Metrik!$C$2:$Y$959,9,0)</f>
        <v>2.7</v>
      </c>
      <c r="J603" s="20">
        <f>VLOOKUP(A603,Metrik!$C$2:$Y$959,10,0)</f>
        <v>46</v>
      </c>
      <c r="K603" s="20">
        <f>VLOOKUP(A603,Metrik!$C$2:$Y$959,11,0)</f>
        <v>21.9</v>
      </c>
      <c r="L603" s="20">
        <f>VLOOKUP(A603,Metrik!$C$2:$Y$959,12,0)</f>
        <v>1.1</v>
      </c>
      <c r="M603" s="20">
        <f>VLOOKUP(A603,Metrik!$C$2:$Y$959,19,0)</f>
        <v>130</v>
      </c>
      <c r="N603" s="21"/>
      <c r="O603" s="21"/>
      <c r="P603" s="21"/>
      <c r="Q603" s="21"/>
      <c r="R603" s="21"/>
      <c r="S603" s="21"/>
      <c r="T603" s="21"/>
      <c r="U603" s="22">
        <f>IFERROR(__xludf.DUMMYFUNCTION("IFERROR(GOOGLEFINANCE(A603,""closeyest""),"""")"),620.0)</f>
        <v>620</v>
      </c>
      <c r="V603" s="23">
        <f>IFERROR(__xludf.DUMMYFUNCTION("IFERROR(GOOGLEFINANCE(A603,""changepct""),"""")"),9.68)</f>
        <v>9.68</v>
      </c>
      <c r="W603" s="22">
        <f>IFERROR(__xludf.DUMMYFUNCTION("IFERROR(GOOGLEFINANCE(A603,""priceopen""),"""")"),625.0)</f>
        <v>625</v>
      </c>
      <c r="X603" s="22">
        <f>IFERROR(__xludf.DUMMYFUNCTION("IFERROR(GOOGLEFINANCE(A603,""high""),"""")"),710.0)</f>
        <v>710</v>
      </c>
      <c r="Y603" s="22">
        <f>IFERROR(__xludf.DUMMYFUNCTION("IFERROR(GOOGLEFINANCE(A603,""low""),"""")"),625.0)</f>
        <v>625</v>
      </c>
      <c r="Z603" s="22">
        <f>IFERROR(__xludf.DUMMYFUNCTION("IFERROR(GOOGLEFINANCE(A603,""volume""),"""")"),1.21816E7)</f>
        <v>12181600</v>
      </c>
      <c r="AA603" s="24" t="str">
        <f>VLOOKUP(A603,Metrik!$C$2:$Y$959,5,0)</f>
        <v>Metals &amp; Minerals</v>
      </c>
      <c r="AB603" s="24" t="str">
        <f>VLOOKUP(A603,Metrik!$C$2:$Y$959,3,0)</f>
        <v>Basic Materials</v>
      </c>
    </row>
    <row r="604">
      <c r="A604" s="14" t="s">
        <v>333</v>
      </c>
      <c r="B604" s="14" t="str">
        <f t="array" ref="B604">VLOOKUP(A604,{Metrik!$C$2:$C$998,Metrik!$B$2:$B$998},2,0)</f>
        <v>PT Cipta Sarana Medika Tbk</v>
      </c>
      <c r="C604" s="15">
        <f>IFERROR(__xludf.DUMMYFUNCTION("GOOGLEFINANCE(""IDX:""&amp;A604,""price"")"),56.0)</f>
        <v>56</v>
      </c>
      <c r="D604" s="16" t="str">
        <f>IFERROR(__xludf.DUMMYFUNCTION("IF(A604="""","""",
SPARKLINE(
INDEX(
GOOGLEFINANCE(""IDX:""&amp;A604,""close"",TODAY()-365,TODAY()),
,2
),
{""linewidth"",1}
))
"),"#N/A")</f>
        <v>#N/A</v>
      </c>
      <c r="E604" s="26"/>
      <c r="F604" s="26"/>
      <c r="G604" s="24">
        <f t="shared" si="5"/>
        <v>0</v>
      </c>
      <c r="H604" s="19">
        <f>VLOOKUP(A604,Metrik!$C$2:$Y$959,8,0)</f>
        <v>31.1</v>
      </c>
      <c r="I604" s="20">
        <f>VLOOKUP(A604,Metrik!$C$2:$Y$959,9,0)</f>
        <v>0.77</v>
      </c>
      <c r="J604" s="20">
        <f>VLOOKUP(A604,Metrik!$C$2:$Y$959,10,0)</f>
        <v>2.5</v>
      </c>
      <c r="K604" s="20">
        <f>VLOOKUP(A604,Metrik!$C$2:$Y$959,11,0)</f>
        <v>1.6</v>
      </c>
      <c r="L604" s="20">
        <f>VLOOKUP(A604,Metrik!$C$2:$Y$959,12,0)</f>
        <v>0.52</v>
      </c>
      <c r="M604" s="20">
        <f>VLOOKUP(A604,Metrik!$C$2:$Y$959,19,0)</f>
        <v>13.8</v>
      </c>
      <c r="N604" s="21"/>
      <c r="O604" s="21"/>
      <c r="P604" s="21"/>
      <c r="Q604" s="21"/>
      <c r="R604" s="21"/>
      <c r="S604" s="21"/>
      <c r="T604" s="21"/>
      <c r="U604" s="22">
        <f>IFERROR(__xludf.DUMMYFUNCTION("IFERROR(GOOGLEFINANCE(A604,""closeyest""),"""")"),55.0)</f>
        <v>55</v>
      </c>
      <c r="V604" s="23">
        <f>IFERROR(__xludf.DUMMYFUNCTION("IFERROR(GOOGLEFINANCE(A604,""changepct""),"""")"),1.82)</f>
        <v>1.82</v>
      </c>
      <c r="W604" s="22">
        <f>IFERROR(__xludf.DUMMYFUNCTION("IFERROR(GOOGLEFINANCE(A604,""priceopen""),"""")"),56.0)</f>
        <v>56</v>
      </c>
      <c r="X604" s="22">
        <f>IFERROR(__xludf.DUMMYFUNCTION("IFERROR(GOOGLEFINANCE(A604,""high""),"""")"),58.0)</f>
        <v>58</v>
      </c>
      <c r="Y604" s="22">
        <f>IFERROR(__xludf.DUMMYFUNCTION("IFERROR(GOOGLEFINANCE(A604,""low""),"""")"),55.0)</f>
        <v>55</v>
      </c>
      <c r="Z604" s="22">
        <f>IFERROR(__xludf.DUMMYFUNCTION("IFERROR(GOOGLEFINANCE(A604,""volume""),"""")"),5810600.0)</f>
        <v>5810600</v>
      </c>
      <c r="AA604" s="24" t="str">
        <f>VLOOKUP(A604,Metrik!$C$2:$Y$959,5,0)</f>
        <v>Healthcare Providers</v>
      </c>
      <c r="AB604" s="24" t="str">
        <f>VLOOKUP(A604,Metrik!$C$2:$Y$959,3,0)</f>
        <v>Healthcare</v>
      </c>
    </row>
    <row r="605">
      <c r="A605" s="14" t="s">
        <v>334</v>
      </c>
      <c r="B605" s="14" t="str">
        <f t="array" ref="B605">VLOOKUP(A605,{Metrik!$C$2:$C$998,Metrik!$B$2:$B$998},2,0)</f>
        <v>Delta Djakarta Tbk.</v>
      </c>
      <c r="C605" s="15">
        <f>IFERROR(__xludf.DUMMYFUNCTION("GOOGLEFINANCE(""IDX:""&amp;A605,""price"")"),1835.0)</f>
        <v>1835</v>
      </c>
      <c r="D605" s="16" t="str">
        <f>IFERROR(__xludf.DUMMYFUNCTION("IF(A605="""","""",
SPARKLINE(
INDEX(
GOOGLEFINANCE(""IDX:""&amp;A605,""close"",TODAY()-365,TODAY()),
,2
),
{""linewidth"",1}
))
"),"#N/A")</f>
        <v>#N/A</v>
      </c>
      <c r="E605" s="26"/>
      <c r="F605" s="26"/>
      <c r="G605" s="18">
        <f t="shared" si="5"/>
        <v>0</v>
      </c>
      <c r="H605" s="19">
        <f>VLOOKUP(A605,Metrik!$C$2:$Y$959,8,0)</f>
        <v>10.3</v>
      </c>
      <c r="I605" s="20">
        <f>VLOOKUP(A605,Metrik!$C$2:$Y$959,9,0)</f>
        <v>2</v>
      </c>
      <c r="J605" s="20">
        <f>VLOOKUP(A605,Metrik!$C$2:$Y$959,10,0)</f>
        <v>19.2</v>
      </c>
      <c r="K605" s="20">
        <f>VLOOKUP(A605,Metrik!$C$2:$Y$959,11,0)</f>
        <v>13</v>
      </c>
      <c r="L605" s="20">
        <f>VLOOKUP(A605,Metrik!$C$2:$Y$959,12,0)</f>
        <v>0.48</v>
      </c>
      <c r="M605" s="20">
        <f>VLOOKUP(A605,Metrik!$C$2:$Y$959,19,0)</f>
        <v>90</v>
      </c>
      <c r="N605" s="21"/>
      <c r="O605" s="21"/>
      <c r="P605" s="21"/>
      <c r="Q605" s="21"/>
      <c r="R605" s="21"/>
      <c r="S605" s="21"/>
      <c r="T605" s="21"/>
      <c r="U605" s="22">
        <f>IFERROR(__xludf.DUMMYFUNCTION("IFERROR(GOOGLEFINANCE(A605,""closeyest""),"""")"),0.0)</f>
        <v>0</v>
      </c>
      <c r="V605" s="23">
        <f>IFERROR(__xludf.DUMMYFUNCTION("IFERROR(GOOGLEFINANCE(A605,""changepct""),"""")"),0.0)</f>
        <v>0</v>
      </c>
      <c r="W605" s="22" t="str">
        <f>IFERROR(__xludf.DUMMYFUNCTION("IFERROR(GOOGLEFINANCE(A605,""priceopen""),"""")"),"")</f>
        <v/>
      </c>
      <c r="X605" s="22" t="str">
        <f>IFERROR(__xludf.DUMMYFUNCTION("IFERROR(GOOGLEFINANCE(A605,""high""),"""")"),"")</f>
        <v/>
      </c>
      <c r="Y605" s="22" t="str">
        <f>IFERROR(__xludf.DUMMYFUNCTION("IFERROR(GOOGLEFINANCE(A605,""low""),"""")"),"")</f>
        <v/>
      </c>
      <c r="Z605" s="22">
        <f>IFERROR(__xludf.DUMMYFUNCTION("IFERROR(GOOGLEFINANCE(A605,""volume""),"""")"),0.0)</f>
        <v>0</v>
      </c>
      <c r="AA605" s="24" t="str">
        <f>VLOOKUP(A605,Metrik!$C$2:$Y$959,5,0)</f>
        <v>Beverages</v>
      </c>
      <c r="AB605" s="24" t="str">
        <f>VLOOKUP(A605,Metrik!$C$2:$Y$959,3,0)</f>
        <v>Consumer Non-Cyclicals</v>
      </c>
    </row>
    <row r="606">
      <c r="A606" s="17" t="s">
        <v>335</v>
      </c>
      <c r="B606" s="14" t="str">
        <f t="array" ref="B606">VLOOKUP(A606,{Metrik!$C$2:$C$998,Metrik!$B$2:$B$998},2,0)</f>
        <v>Puradelta Lestari Tbk.</v>
      </c>
      <c r="C606" s="15">
        <f>IFERROR(__xludf.DUMMYFUNCTION("GOOGLEFINANCE(""IDX:""&amp;A606,""price"")"),154.0)</f>
        <v>154</v>
      </c>
      <c r="D606" s="16" t="str">
        <f>IFERROR(__xludf.DUMMYFUNCTION("IF(A606="""","""",
SPARKLINE(
INDEX(
GOOGLEFINANCE(""IDX:""&amp;A606,""close"",TODAY()-365,TODAY()),
,2
),
{""linewidth"",1}
))
"),"#N/A")</f>
        <v>#N/A</v>
      </c>
      <c r="E606" s="14"/>
      <c r="F606" s="17"/>
      <c r="G606" s="18">
        <f t="shared" si="5"/>
        <v>0</v>
      </c>
      <c r="H606" s="19">
        <f>VLOOKUP(A606,Metrik!$C$2:$Y$959,8,0)</f>
        <v>6</v>
      </c>
      <c r="I606" s="20">
        <f>VLOOKUP(A606,Metrik!$C$2:$Y$959,9,0)</f>
        <v>1</v>
      </c>
      <c r="J606" s="20">
        <f>VLOOKUP(A606,Metrik!$C$2:$Y$959,10,0)</f>
        <v>17</v>
      </c>
      <c r="K606" s="20">
        <f>VLOOKUP(A606,Metrik!$C$2:$Y$959,11,0)</f>
        <v>15.6</v>
      </c>
      <c r="L606" s="20">
        <f>VLOOKUP(A606,Metrik!$C$2:$Y$959,12,0)</f>
        <v>0.09</v>
      </c>
      <c r="M606" s="20">
        <f>VLOOKUP(A606,Metrik!$C$2:$Y$959,19,0)</f>
        <v>120</v>
      </c>
      <c r="N606" s="21"/>
      <c r="O606" s="21"/>
      <c r="P606" s="21"/>
      <c r="Q606" s="21"/>
      <c r="R606" s="21"/>
      <c r="S606" s="21"/>
      <c r="T606" s="21"/>
      <c r="U606" s="22">
        <f>IFERROR(__xludf.DUMMYFUNCTION("IFERROR(GOOGLEFINANCE(A606,""closeyest""),"""")"),151.0)</f>
        <v>151</v>
      </c>
      <c r="V606" s="23">
        <f>IFERROR(__xludf.DUMMYFUNCTION("IFERROR(GOOGLEFINANCE(A606,""changepct""),"""")"),1.99)</f>
        <v>1.99</v>
      </c>
      <c r="W606" s="22">
        <f>IFERROR(__xludf.DUMMYFUNCTION("IFERROR(GOOGLEFINANCE(A606,""priceopen""),"""")"),153.0)</f>
        <v>153</v>
      </c>
      <c r="X606" s="22">
        <f>IFERROR(__xludf.DUMMYFUNCTION("IFERROR(GOOGLEFINANCE(A606,""high""),"""")"),156.0)</f>
        <v>156</v>
      </c>
      <c r="Y606" s="22">
        <f>IFERROR(__xludf.DUMMYFUNCTION("IFERROR(GOOGLEFINANCE(A606,""low""),"""")"),151.0)</f>
        <v>151</v>
      </c>
      <c r="Z606" s="22">
        <f>IFERROR(__xludf.DUMMYFUNCTION("IFERROR(GOOGLEFINANCE(A606,""volume""),"""")"),7.2375E7)</f>
        <v>72375000</v>
      </c>
      <c r="AA606" s="24" t="str">
        <f>VLOOKUP(A606,Metrik!$C$2:$Y$959,5,0)</f>
        <v>Real Estate Management &amp; Development</v>
      </c>
      <c r="AB606" s="24" t="str">
        <f>VLOOKUP(A606,Metrik!$C$2:$Y$959,3,0)</f>
        <v>Properties &amp; Real Estate</v>
      </c>
    </row>
    <row r="607">
      <c r="A607" s="14" t="s">
        <v>336</v>
      </c>
      <c r="B607" s="14" t="str">
        <f t="array" ref="B607">VLOOKUP(A607,{Metrik!$C$2:$C$998,Metrik!$B$2:$B$998},2,0)</f>
        <v>Digital Mediatama Maxima Tbk.</v>
      </c>
      <c r="C607" s="15">
        <f>IFERROR(__xludf.DUMMYFUNCTION("GOOGLEFINANCE(""IDX:""&amp;A607,""price"")"),158.0)</f>
        <v>158</v>
      </c>
      <c r="D607" s="16" t="str">
        <f>IFERROR(__xludf.DUMMYFUNCTION("IF(A607="""","""",
SPARKLINE(
INDEX(
GOOGLEFINANCE(""IDX:""&amp;A607,""close"",TODAY()-365,TODAY()),
,2
),
{""linewidth"",1}
))
"),"#N/A")</f>
        <v>#N/A</v>
      </c>
      <c r="E607" s="26"/>
      <c r="F607" s="26"/>
      <c r="G607" s="24">
        <f t="shared" si="5"/>
        <v>0</v>
      </c>
      <c r="H607" s="19">
        <f>VLOOKUP(A607,Metrik!$C$2:$Y$959,8,0)</f>
        <v>22.4</v>
      </c>
      <c r="I607" s="20">
        <f>VLOOKUP(A607,Metrik!$C$2:$Y$959,9,0)</f>
        <v>2</v>
      </c>
      <c r="J607" s="20">
        <f>VLOOKUP(A607,Metrik!$C$2:$Y$959,10,0)</f>
        <v>8.7</v>
      </c>
      <c r="K607" s="20">
        <f>VLOOKUP(A607,Metrik!$C$2:$Y$959,11,0)</f>
        <v>7</v>
      </c>
      <c r="L607" s="20">
        <f>VLOOKUP(A607,Metrik!$C$2:$Y$959,12,0)</f>
        <v>0.25</v>
      </c>
      <c r="M607" s="20">
        <f>VLOOKUP(A607,Metrik!$C$2:$Y$959,19,0)</f>
        <v>79.9</v>
      </c>
      <c r="N607" s="21"/>
      <c r="O607" s="21"/>
      <c r="P607" s="21"/>
      <c r="Q607" s="21"/>
      <c r="R607" s="21"/>
      <c r="S607" s="21"/>
      <c r="T607" s="21"/>
      <c r="U607" s="22">
        <f>IFERROR(__xludf.DUMMYFUNCTION("IFERROR(GOOGLEFINANCE(A607,""closeyest""),"""")"),152.0)</f>
        <v>152</v>
      </c>
      <c r="V607" s="23">
        <f>IFERROR(__xludf.DUMMYFUNCTION("IFERROR(GOOGLEFINANCE(A607,""changepct""),"""")"),3.95)</f>
        <v>3.95</v>
      </c>
      <c r="W607" s="22">
        <f>IFERROR(__xludf.DUMMYFUNCTION("IFERROR(GOOGLEFINANCE(A607,""priceopen""),"""")"),152.0)</f>
        <v>152</v>
      </c>
      <c r="X607" s="22">
        <f>IFERROR(__xludf.DUMMYFUNCTION("IFERROR(GOOGLEFINANCE(A607,""high""),"""")"),158.0)</f>
        <v>158</v>
      </c>
      <c r="Y607" s="22">
        <f>IFERROR(__xludf.DUMMYFUNCTION("IFERROR(GOOGLEFINANCE(A607,""low""),"""")"),152.0)</f>
        <v>152</v>
      </c>
      <c r="Z607" s="22">
        <f>IFERROR(__xludf.DUMMYFUNCTION("IFERROR(GOOGLEFINANCE(A607,""volume""),"""")"),415300.0)</f>
        <v>415300</v>
      </c>
      <c r="AA607" s="24" t="str">
        <f>VLOOKUP(A607,Metrik!$C$2:$Y$959,5,0)</f>
        <v>IT Services &amp; Consulting</v>
      </c>
      <c r="AB607" s="24" t="str">
        <f>VLOOKUP(A607,Metrik!$C$2:$Y$959,3,0)</f>
        <v>Technology</v>
      </c>
    </row>
    <row r="608">
      <c r="A608" s="14" t="s">
        <v>337</v>
      </c>
      <c r="B608" s="14" t="str">
        <f t="array" ref="B608">VLOOKUP(A608,{Metrik!$C$2:$C$998,Metrik!$B$2:$B$998},2,0)</f>
        <v>Diamond Food Indonesia Tbk.</v>
      </c>
      <c r="C608" s="15">
        <f>IFERROR(__xludf.DUMMYFUNCTION("GOOGLEFINANCE(""IDX:""&amp;A608,""price"")"),615.0)</f>
        <v>615</v>
      </c>
      <c r="D608" s="16" t="str">
        <f>IFERROR(__xludf.DUMMYFUNCTION("IF(A608="""","""",
SPARKLINE(
INDEX(
GOOGLEFINANCE(""IDX:""&amp;A608,""close"",TODAY()-365,TODAY()),
,2
),
{""linewidth"",1}
))
"),"#N/A")</f>
        <v>#N/A</v>
      </c>
      <c r="E608" s="26"/>
      <c r="F608" s="26"/>
      <c r="G608" s="24">
        <f t="shared" si="5"/>
        <v>0</v>
      </c>
      <c r="H608" s="19">
        <f>VLOOKUP(A608,Metrik!$C$2:$Y$959,8,0)</f>
        <v>12.8</v>
      </c>
      <c r="I608" s="20">
        <f>VLOOKUP(A608,Metrik!$C$2:$Y$959,9,0)</f>
        <v>0.87</v>
      </c>
      <c r="J608" s="20">
        <f>VLOOKUP(A608,Metrik!$C$2:$Y$959,10,0)</f>
        <v>6.8</v>
      </c>
      <c r="K608" s="20">
        <f>VLOOKUP(A608,Metrik!$C$2:$Y$959,11,0)</f>
        <v>5.4</v>
      </c>
      <c r="L608" s="20">
        <f>VLOOKUP(A608,Metrik!$C$2:$Y$959,12,0)</f>
        <v>0.25</v>
      </c>
      <c r="M608" s="20">
        <f>VLOOKUP(A608,Metrik!$C$2:$Y$959,19,0)</f>
        <v>14.3</v>
      </c>
      <c r="N608" s="21"/>
      <c r="O608" s="21"/>
      <c r="P608" s="21"/>
      <c r="Q608" s="21"/>
      <c r="R608" s="21"/>
      <c r="S608" s="21"/>
      <c r="T608" s="21"/>
      <c r="U608" s="22" t="str">
        <f>IFERROR(__xludf.DUMMYFUNCTION("IFERROR(GOOGLEFINANCE(A608,""closeyest""),"""")"),"")</f>
        <v/>
      </c>
      <c r="V608" s="23">
        <f>IFERROR(__xludf.DUMMYFUNCTION("IFERROR(GOOGLEFINANCE(A608,""changepct""),"""")"),0.82)</f>
        <v>0.82</v>
      </c>
      <c r="W608" s="22">
        <f>IFERROR(__xludf.DUMMYFUNCTION("IFERROR(GOOGLEFINANCE(A608,""priceopen""),"""")"),610.0)</f>
        <v>610</v>
      </c>
      <c r="X608" s="22">
        <f>IFERROR(__xludf.DUMMYFUNCTION("IFERROR(GOOGLEFINANCE(A608,""high""),"""")"),615.0)</f>
        <v>615</v>
      </c>
      <c r="Y608" s="22">
        <f>IFERROR(__xludf.DUMMYFUNCTION("IFERROR(GOOGLEFINANCE(A608,""low""),"""")"),580.0)</f>
        <v>580</v>
      </c>
      <c r="Z608" s="22">
        <f>IFERROR(__xludf.DUMMYFUNCTION("IFERROR(GOOGLEFINANCE(A608,""volume""),"""")"),25800.0)</f>
        <v>25800</v>
      </c>
      <c r="AA608" s="24" t="str">
        <f>VLOOKUP(A608,Metrik!$C$2:$Y$959,5,0)</f>
        <v>Food &amp; Staples Retailing</v>
      </c>
      <c r="AB608" s="24" t="str">
        <f>VLOOKUP(A608,Metrik!$C$2:$Y$959,3,0)</f>
        <v>Consumer Non-Cyclicals</v>
      </c>
    </row>
    <row r="609">
      <c r="A609" s="14" t="s">
        <v>338</v>
      </c>
      <c r="B609" s="14" t="str">
        <f t="array" ref="B609">VLOOKUP(A609,{Metrik!$C$2:$C$998,Metrik!$B$2:$B$998},2,0)</f>
        <v>PT Bank Oke Indonesia Tbk.</v>
      </c>
      <c r="C609" s="15">
        <f>IFERROR(__xludf.DUMMYFUNCTION("GOOGLEFINANCE(""IDX:""&amp;A609,""price"")"),114.0)</f>
        <v>114</v>
      </c>
      <c r="D609" s="16" t="str">
        <f>IFERROR(__xludf.DUMMYFUNCTION("IF(A609="""","""",
SPARKLINE(
INDEX(
GOOGLEFINANCE(""IDX:""&amp;A609,""close"",TODAY()-365,TODAY()),
,2
),
{""linewidth"",1}
))
"),"#N/A")</f>
        <v>#N/A</v>
      </c>
      <c r="E609" s="26"/>
      <c r="F609" s="26"/>
      <c r="G609" s="24">
        <f t="shared" si="5"/>
        <v>0</v>
      </c>
      <c r="H609" s="19">
        <f>VLOOKUP(A609,Metrik!$C$2:$Y$959,8,0)</f>
        <v>10.4</v>
      </c>
      <c r="I609" s="20">
        <f>VLOOKUP(A609,Metrik!$C$2:$Y$959,9,0)</f>
        <v>0.53</v>
      </c>
      <c r="J609" s="20">
        <f>VLOOKUP(A609,Metrik!$C$2:$Y$959,10,0)</f>
        <v>5</v>
      </c>
      <c r="K609" s="20">
        <f>VLOOKUP(A609,Metrik!$C$2:$Y$959,11,0)</f>
        <v>1.4</v>
      </c>
      <c r="L609" s="20">
        <f>VLOOKUP(A609,Metrik!$C$2:$Y$959,12,0)</f>
        <v>2.6</v>
      </c>
      <c r="M609" s="20">
        <f>VLOOKUP(A609,Metrik!$C$2:$Y$959,19,0)</f>
        <v>59.5</v>
      </c>
      <c r="N609" s="32">
        <v>3.85</v>
      </c>
      <c r="O609" s="32">
        <v>44.15</v>
      </c>
      <c r="P609" s="32">
        <v>83.4</v>
      </c>
      <c r="Q609" s="32">
        <v>2.95</v>
      </c>
      <c r="R609" s="32">
        <v>94.15</v>
      </c>
      <c r="S609" s="32">
        <v>78.4</v>
      </c>
      <c r="T609" s="32">
        <v>9.12</v>
      </c>
      <c r="U609" s="22">
        <f>IFERROR(__xludf.DUMMYFUNCTION("IFERROR(GOOGLEFINANCE(A609,""closeyest""),"""")"),104.0)</f>
        <v>104</v>
      </c>
      <c r="V609" s="23">
        <f>IFERROR(__xludf.DUMMYFUNCTION("IFERROR(GOOGLEFINANCE(A609,""changepct""),"""")"),9.62)</f>
        <v>9.62</v>
      </c>
      <c r="W609" s="22">
        <f>IFERROR(__xludf.DUMMYFUNCTION("IFERROR(GOOGLEFINANCE(A609,""priceopen""),"""")"),104.0)</f>
        <v>104</v>
      </c>
      <c r="X609" s="22">
        <f>IFERROR(__xludf.DUMMYFUNCTION("IFERROR(GOOGLEFINANCE(A609,""high""),"""")"),119.0)</f>
        <v>119</v>
      </c>
      <c r="Y609" s="22">
        <f>IFERROR(__xludf.DUMMYFUNCTION("IFERROR(GOOGLEFINANCE(A609,""low""),"""")"),104.0)</f>
        <v>104</v>
      </c>
      <c r="Z609" s="22">
        <f>IFERROR(__xludf.DUMMYFUNCTION("IFERROR(GOOGLEFINANCE(A609,""volume""),"""")"),697300.0)</f>
        <v>697300</v>
      </c>
      <c r="AA609" s="24" t="str">
        <f>VLOOKUP(A609,Metrik!$C$2:$Y$959,5,0)</f>
        <v>Banks</v>
      </c>
      <c r="AB609" s="24" t="str">
        <f>VLOOKUP(A609,Metrik!$C$2:$Y$959,3,0)</f>
        <v>Financials</v>
      </c>
    </row>
    <row r="610">
      <c r="A610" s="14" t="s">
        <v>339</v>
      </c>
      <c r="B610" s="14" t="str">
        <f t="array" ref="B610">VLOOKUP(A610,{Metrik!$C$2:$C$998,Metrik!$B$2:$B$998},2,0)</f>
        <v>PT Indoritel Makmur Internasional Tbk.</v>
      </c>
      <c r="C610" s="15">
        <f>IFERROR(__xludf.DUMMYFUNCTION("GOOGLEFINANCE(""IDX:""&amp;A610,""price"")"),10150.0)</f>
        <v>10150</v>
      </c>
      <c r="D610" s="16" t="str">
        <f>IFERROR(__xludf.DUMMYFUNCTION("IF(A610="""","""",
SPARKLINE(
INDEX(
GOOGLEFINANCE(""IDX:""&amp;A610,""close"",TODAY()-365,TODAY()),
,2
),
{""linewidth"",1}
))
"),"#N/A")</f>
        <v>#N/A</v>
      </c>
      <c r="E610" s="26"/>
      <c r="F610" s="26"/>
      <c r="G610" s="24">
        <f t="shared" si="5"/>
        <v>0</v>
      </c>
      <c r="H610" s="19">
        <f>VLOOKUP(A610,Metrik!$C$2:$Y$959,8,0)</f>
        <v>120</v>
      </c>
      <c r="I610" s="20">
        <f>VLOOKUP(A610,Metrik!$C$2:$Y$959,9,0)</f>
        <v>9.9</v>
      </c>
      <c r="J610" s="20">
        <f>VLOOKUP(A610,Metrik!$C$2:$Y$959,10,0)</f>
        <v>8.2</v>
      </c>
      <c r="K610" s="20">
        <f>VLOOKUP(A610,Metrik!$C$2:$Y$959,11,0)</f>
        <v>5.4</v>
      </c>
      <c r="L610" s="20">
        <f>VLOOKUP(A610,Metrik!$C$2:$Y$959,12,0)</f>
        <v>0.51</v>
      </c>
      <c r="M610" s="20">
        <f>VLOOKUP(A610,Metrik!$C$2:$Y$959,19,0)</f>
        <v>300</v>
      </c>
      <c r="N610" s="21"/>
      <c r="O610" s="21"/>
      <c r="P610" s="21"/>
      <c r="Q610" s="21"/>
      <c r="R610" s="21"/>
      <c r="S610" s="21"/>
      <c r="T610" s="21"/>
      <c r="U610" s="22">
        <f>IFERROR(__xludf.DUMMYFUNCTION("IFERROR(GOOGLEFINANCE(A610,""closeyest""),"""")"),10400.0)</f>
        <v>10400</v>
      </c>
      <c r="V610" s="23">
        <f>IFERROR(__xludf.DUMMYFUNCTION("IFERROR(GOOGLEFINANCE(A610,""changepct""),"""")"),-2.4)</f>
        <v>-2.4</v>
      </c>
      <c r="W610" s="22">
        <f>IFERROR(__xludf.DUMMYFUNCTION("IFERROR(GOOGLEFINANCE(A610,""priceopen""),"""")"),10500.0)</f>
        <v>10500</v>
      </c>
      <c r="X610" s="22">
        <f>IFERROR(__xludf.DUMMYFUNCTION("IFERROR(GOOGLEFINANCE(A610,""high""),"""")"),10500.0)</f>
        <v>10500</v>
      </c>
      <c r="Y610" s="22">
        <f>IFERROR(__xludf.DUMMYFUNCTION("IFERROR(GOOGLEFINANCE(A610,""low""),"""")"),9975.0)</f>
        <v>9975</v>
      </c>
      <c r="Z610" s="22">
        <f>IFERROR(__xludf.DUMMYFUNCTION("IFERROR(GOOGLEFINANCE(A610,""volume""),"""")"),2400.0)</f>
        <v>2400</v>
      </c>
      <c r="AA610" s="24" t="str">
        <f>VLOOKUP(A610,Metrik!$C$2:$Y$959,5,0)</f>
        <v>Holding &amp; Investment Companies</v>
      </c>
      <c r="AB610" s="24" t="str">
        <f>VLOOKUP(A610,Metrik!$C$2:$Y$959,3,0)</f>
        <v>Financials</v>
      </c>
    </row>
    <row r="611">
      <c r="A611" s="14" t="s">
        <v>340</v>
      </c>
      <c r="B611" s="14" t="str">
        <f t="array" ref="B611">VLOOKUP(A611,{Metrik!$C$2:$C$998,Metrik!$B$2:$B$998},2,0)</f>
        <v>BUMA Internasional Grup Tbk.</v>
      </c>
      <c r="C611" s="15">
        <f>IFERROR(__xludf.DUMMYFUNCTION("GOOGLEFINANCE(""IDX:""&amp;A611,""price"")"),206.0)</f>
        <v>206</v>
      </c>
      <c r="D611" s="16" t="str">
        <f>IFERROR(__xludf.DUMMYFUNCTION("IF(A611="""","""",
SPARKLINE(
INDEX(
GOOGLEFINANCE(""IDX:""&amp;A611,""close"",TODAY()-365,TODAY()),
,2
),
{""linewidth"",1}
))
"),"#N/A")</f>
        <v>#N/A</v>
      </c>
      <c r="E611" s="26"/>
      <c r="F611" s="26"/>
      <c r="G611" s="24">
        <f t="shared" si="5"/>
        <v>0</v>
      </c>
      <c r="H611" s="19">
        <f>VLOOKUP(A611,Metrik!$C$2:$Y$959,8,0)</f>
        <v>-1.3</v>
      </c>
      <c r="I611" s="20">
        <f>VLOOKUP(A611,Metrik!$C$2:$Y$959,9,0)</f>
        <v>3.7</v>
      </c>
      <c r="J611" s="20">
        <f>VLOOKUP(A611,Metrik!$C$2:$Y$959,10,0)</f>
        <v>-300</v>
      </c>
      <c r="K611" s="20">
        <f>VLOOKUP(A611,Metrik!$C$2:$Y$959,11,0)</f>
        <v>-5.1</v>
      </c>
      <c r="L611" s="20">
        <f>VLOOKUP(A611,Metrik!$C$2:$Y$959,12,0)</f>
        <v>57.8</v>
      </c>
      <c r="M611" s="20">
        <f>VLOOKUP(A611,Metrik!$C$2:$Y$959,19,0)</f>
        <v>-23.6</v>
      </c>
      <c r="N611" s="21"/>
      <c r="O611" s="21"/>
      <c r="P611" s="21"/>
      <c r="Q611" s="21"/>
      <c r="R611" s="21"/>
      <c r="S611" s="21"/>
      <c r="T611" s="21"/>
      <c r="U611" s="22">
        <f>IFERROR(__xludf.DUMMYFUNCTION("IFERROR(GOOGLEFINANCE(A611,""closeyest""),"""")"),195.0)</f>
        <v>195</v>
      </c>
      <c r="V611" s="23">
        <f>IFERROR(__xludf.DUMMYFUNCTION("IFERROR(GOOGLEFINANCE(A611,""changepct""),"""")"),5.64)</f>
        <v>5.64</v>
      </c>
      <c r="W611" s="22">
        <f>IFERROR(__xludf.DUMMYFUNCTION("IFERROR(GOOGLEFINANCE(A611,""priceopen""),"""")"),195.0)</f>
        <v>195</v>
      </c>
      <c r="X611" s="22">
        <f>IFERROR(__xludf.DUMMYFUNCTION("IFERROR(GOOGLEFINANCE(A611,""high""),"""")"),208.0)</f>
        <v>208</v>
      </c>
      <c r="Y611" s="22">
        <f>IFERROR(__xludf.DUMMYFUNCTION("IFERROR(GOOGLEFINANCE(A611,""low""),"""")"),195.0)</f>
        <v>195</v>
      </c>
      <c r="Z611" s="22">
        <f>IFERROR(__xludf.DUMMYFUNCTION("IFERROR(GOOGLEFINANCE(A611,""volume""),"""")"),7962300.0)</f>
        <v>7962300</v>
      </c>
      <c r="AA611" s="24" t="str">
        <f>VLOOKUP(A611,Metrik!$C$2:$Y$959,5,0)</f>
        <v>Oil, Gas &amp; Coal Supports</v>
      </c>
      <c r="AB611" s="24" t="str">
        <f>VLOOKUP(A611,Metrik!$C$2:$Y$959,3,0)</f>
        <v>Energy</v>
      </c>
    </row>
    <row r="612">
      <c r="A612" s="14" t="s">
        <v>341</v>
      </c>
      <c r="B612" s="14" t="str">
        <f t="array" ref="B612">VLOOKUP(A612,{Metrik!$C$2:$C$998,Metrik!$B$2:$B$998},2,0)</f>
        <v>PT Era Media Sejahtera Tbk</v>
      </c>
      <c r="C612" s="15">
        <f>IFERROR(__xludf.DUMMYFUNCTION("GOOGLEFINANCE(""IDX:""&amp;A612,""price"")"),125.0)</f>
        <v>125</v>
      </c>
      <c r="D612" s="16" t="str">
        <f>IFERROR(__xludf.DUMMYFUNCTION("IF(A612="""","""",
SPARKLINE(
INDEX(
GOOGLEFINANCE(""IDX:""&amp;A612,""close"",TODAY()-365,TODAY()),
,2
),
{""linewidth"",1}
))
"),"#N/A")</f>
        <v>#N/A</v>
      </c>
      <c r="E612" s="26"/>
      <c r="F612" s="26"/>
      <c r="G612" s="24">
        <f t="shared" si="5"/>
        <v>0</v>
      </c>
      <c r="H612" s="19">
        <f>VLOOKUP(A612,Metrik!$C$2:$Y$959,8,0)</f>
        <v>43.1</v>
      </c>
      <c r="I612" s="20">
        <f>VLOOKUP(A612,Metrik!$C$2:$Y$959,9,0)</f>
        <v>4.3</v>
      </c>
      <c r="J612" s="20">
        <f>VLOOKUP(A612,Metrik!$C$2:$Y$959,10,0)</f>
        <v>10.1</v>
      </c>
      <c r="K612" s="20">
        <f>VLOOKUP(A612,Metrik!$C$2:$Y$959,11,0)</f>
        <v>8.3</v>
      </c>
      <c r="L612" s="20">
        <f>VLOOKUP(A612,Metrik!$C$2:$Y$959,12,0)</f>
        <v>0.22</v>
      </c>
      <c r="M612" s="20">
        <f>VLOOKUP(A612,Metrik!$C$2:$Y$959,19,0)</f>
        <v>83.6</v>
      </c>
      <c r="N612" s="21"/>
      <c r="O612" s="21"/>
      <c r="P612" s="21"/>
      <c r="Q612" s="21"/>
      <c r="R612" s="21"/>
      <c r="S612" s="21"/>
      <c r="T612" s="21"/>
      <c r="U612" s="22">
        <f>IFERROR(__xludf.DUMMYFUNCTION("IFERROR(GOOGLEFINANCE(A612,""closeyest""),"""")"),121.0)</f>
        <v>121</v>
      </c>
      <c r="V612" s="23">
        <f>IFERROR(__xludf.DUMMYFUNCTION("IFERROR(GOOGLEFINANCE(A612,""changepct""),"""")"),3.31)</f>
        <v>3.31</v>
      </c>
      <c r="W612" s="22">
        <f>IFERROR(__xludf.DUMMYFUNCTION("IFERROR(GOOGLEFINANCE(A612,""priceopen""),"""")"),121.0)</f>
        <v>121</v>
      </c>
      <c r="X612" s="22">
        <f>IFERROR(__xludf.DUMMYFUNCTION("IFERROR(GOOGLEFINANCE(A612,""high""),"""")"),139.0)</f>
        <v>139</v>
      </c>
      <c r="Y612" s="22">
        <f>IFERROR(__xludf.DUMMYFUNCTION("IFERROR(GOOGLEFINANCE(A612,""low""),"""")"),120.0)</f>
        <v>120</v>
      </c>
      <c r="Z612" s="22">
        <f>IFERROR(__xludf.DUMMYFUNCTION("IFERROR(GOOGLEFINANCE(A612,""volume""),"""")"),6.24849E7)</f>
        <v>62484900</v>
      </c>
      <c r="AA612" s="24" t="str">
        <f>VLOOKUP(A612,Metrik!$C$2:$Y$959,5,0)</f>
        <v>Media</v>
      </c>
      <c r="AB612" s="24" t="str">
        <f>VLOOKUP(A612,Metrik!$C$2:$Y$959,3,0)</f>
        <v>Consumer Cyclicals</v>
      </c>
    </row>
    <row r="613">
      <c r="A613" s="14" t="s">
        <v>342</v>
      </c>
      <c r="B613" s="14" t="str">
        <f t="array" ref="B613">VLOOKUP(A613,{Metrik!$C$2:$C$998,Metrik!$B$2:$B$998},2,0)</f>
        <v>Global Sukses Digital Tbk.</v>
      </c>
      <c r="C613" s="15">
        <f>IFERROR(__xludf.DUMMYFUNCTION("GOOGLEFINANCE(""IDX:""&amp;A613,""price"")"),135.0)</f>
        <v>135</v>
      </c>
      <c r="D613" s="16" t="str">
        <f>IFERROR(__xludf.DUMMYFUNCTION("IF(A613="""","""",
SPARKLINE(
INDEX(
GOOGLEFINANCE(""IDX:""&amp;A613,""close"",TODAY()-365,TODAY()),
,2
),
{""linewidth"",1}
))
"),"#N/A")</f>
        <v>#N/A</v>
      </c>
      <c r="E613" s="26"/>
      <c r="F613" s="26"/>
      <c r="G613" s="24">
        <f t="shared" si="5"/>
        <v>0</v>
      </c>
      <c r="H613" s="19">
        <f>VLOOKUP(A613,Metrik!$C$2:$Y$959,8,0)</f>
        <v>5.5</v>
      </c>
      <c r="I613" s="20">
        <f>VLOOKUP(A613,Metrik!$C$2:$Y$959,9,0)</f>
        <v>1.1</v>
      </c>
      <c r="J613" s="20">
        <f>VLOOKUP(A613,Metrik!$C$2:$Y$959,10,0)</f>
        <v>19.2</v>
      </c>
      <c r="K613" s="20">
        <f>VLOOKUP(A613,Metrik!$C$2:$Y$959,11,0)</f>
        <v>13.1</v>
      </c>
      <c r="L613" s="20">
        <f>VLOOKUP(A613,Metrik!$C$2:$Y$959,12,0)</f>
        <v>0.46</v>
      </c>
      <c r="M613" s="20">
        <f>VLOOKUP(A613,Metrik!$C$2:$Y$959,19,0)</f>
        <v>14</v>
      </c>
      <c r="N613" s="21"/>
      <c r="O613" s="21"/>
      <c r="P613" s="21"/>
      <c r="Q613" s="21"/>
      <c r="R613" s="21"/>
      <c r="S613" s="21"/>
      <c r="T613" s="21"/>
      <c r="U613" s="22">
        <f>IFERROR(__xludf.DUMMYFUNCTION("IFERROR(GOOGLEFINANCE(A613,""closeyest""),"""")"),127.0)</f>
        <v>127</v>
      </c>
      <c r="V613" s="23">
        <f>IFERROR(__xludf.DUMMYFUNCTION("IFERROR(GOOGLEFINANCE(A613,""changepct""),"""")"),6.3)</f>
        <v>6.3</v>
      </c>
      <c r="W613" s="22">
        <f>IFERROR(__xludf.DUMMYFUNCTION("IFERROR(GOOGLEFINANCE(A613,""priceopen""),"""")"),123.0)</f>
        <v>123</v>
      </c>
      <c r="X613" s="22">
        <f>IFERROR(__xludf.DUMMYFUNCTION("IFERROR(GOOGLEFINANCE(A613,""high""),"""")"),135.0)</f>
        <v>135</v>
      </c>
      <c r="Y613" s="22">
        <f>IFERROR(__xludf.DUMMYFUNCTION("IFERROR(GOOGLEFINANCE(A613,""low""),"""")"),123.0)</f>
        <v>123</v>
      </c>
      <c r="Z613" s="22">
        <f>IFERROR(__xludf.DUMMYFUNCTION("IFERROR(GOOGLEFINANCE(A613,""volume""),"""")"),272200.0)</f>
        <v>272200</v>
      </c>
      <c r="AA613" s="24" t="str">
        <f>VLOOKUP(A613,Metrik!$C$2:$Y$959,5,0)</f>
        <v>Consumer Electronics</v>
      </c>
      <c r="AB613" s="24" t="str">
        <f>VLOOKUP(A613,Metrik!$C$2:$Y$959,3,0)</f>
        <v>Consumer Cyclicals</v>
      </c>
    </row>
    <row r="614">
      <c r="A614" s="14" t="s">
        <v>343</v>
      </c>
      <c r="B614" s="14" t="str">
        <f t="array" ref="B614">VLOOKUP(A614,{Metrik!$C$2:$C$998,Metrik!$B$2:$B$998},2,0)</f>
        <v>Duta Pertiwi Nusantara Tbk.</v>
      </c>
      <c r="C614" s="15">
        <f>IFERROR(__xludf.DUMMYFUNCTION("GOOGLEFINANCE(""IDX:""&amp;A614,""price"")"),310.0)</f>
        <v>310</v>
      </c>
      <c r="D614" s="16" t="str">
        <f>IFERROR(__xludf.DUMMYFUNCTION("IF(A614="""","""",
SPARKLINE(
INDEX(
GOOGLEFINANCE(""IDX:""&amp;A614,""close"",TODAY()-365,TODAY()),
,2
),
{""linewidth"",1}
))
"),"#N/A")</f>
        <v>#N/A</v>
      </c>
      <c r="E614" s="26"/>
      <c r="F614" s="26"/>
      <c r="G614" s="24">
        <f t="shared" si="5"/>
        <v>0</v>
      </c>
      <c r="H614" s="19">
        <f>VLOOKUP(A614,Metrik!$C$2:$Y$959,8,0)</f>
        <v>170</v>
      </c>
      <c r="I614" s="20">
        <f>VLOOKUP(A614,Metrik!$C$2:$Y$959,9,0)</f>
        <v>0.3</v>
      </c>
      <c r="J614" s="20">
        <f>VLOOKUP(A614,Metrik!$C$2:$Y$959,10,0)</f>
        <v>0.18</v>
      </c>
      <c r="K614" s="20">
        <f>VLOOKUP(A614,Metrik!$C$2:$Y$959,11,0)</f>
        <v>0.17</v>
      </c>
      <c r="L614" s="20">
        <f>VLOOKUP(A614,Metrik!$C$2:$Y$959,12,0)</f>
        <v>0.02</v>
      </c>
      <c r="M614" s="20">
        <f>VLOOKUP(A614,Metrik!$C$2:$Y$959,19,0)</f>
        <v>4.6</v>
      </c>
      <c r="N614" s="21"/>
      <c r="O614" s="21"/>
      <c r="P614" s="21"/>
      <c r="Q614" s="21"/>
      <c r="R614" s="21"/>
      <c r="S614" s="21"/>
      <c r="T614" s="21"/>
      <c r="U614" s="22">
        <f>IFERROR(__xludf.DUMMYFUNCTION("IFERROR(GOOGLEFINANCE(A614,""closeyest""),"""")"),310.0)</f>
        <v>310</v>
      </c>
      <c r="V614" s="23">
        <f>IFERROR(__xludf.DUMMYFUNCTION("IFERROR(GOOGLEFINANCE(A614,""changepct""),"""")"),0.0)</f>
        <v>0</v>
      </c>
      <c r="W614" s="22" t="str">
        <f>IFERROR(__xludf.DUMMYFUNCTION("IFERROR(GOOGLEFINANCE(A614,""priceopen""),"""")"),"")</f>
        <v/>
      </c>
      <c r="X614" s="22" t="str">
        <f>IFERROR(__xludf.DUMMYFUNCTION("IFERROR(GOOGLEFINANCE(A614,""high""),"""")"),"")</f>
        <v/>
      </c>
      <c r="Y614" s="22" t="str">
        <f>IFERROR(__xludf.DUMMYFUNCTION("IFERROR(GOOGLEFINANCE(A614,""low""),"""")"),"")</f>
        <v/>
      </c>
      <c r="Z614" s="22">
        <f>IFERROR(__xludf.DUMMYFUNCTION("IFERROR(GOOGLEFINANCE(A614,""volume""),"""")"),0.0)</f>
        <v>0</v>
      </c>
      <c r="AA614" s="24" t="str">
        <f>VLOOKUP(A614,Metrik!$C$2:$Y$959,5,0)</f>
        <v>Chemicals</v>
      </c>
      <c r="AB614" s="24" t="str">
        <f>VLOOKUP(A614,Metrik!$C$2:$Y$959,3,0)</f>
        <v>Basic Materials</v>
      </c>
    </row>
    <row r="615">
      <c r="A615" s="14" t="s">
        <v>344</v>
      </c>
      <c r="B615" s="14" t="str">
        <f t="array" ref="B615">VLOOKUP(A615,{Metrik!$C$2:$C$998,Metrik!$B$2:$B$998},2,0)</f>
        <v>Dua Putra Utama Makmur Tbk.</v>
      </c>
      <c r="C615" s="15">
        <f>IFERROR(__xludf.DUMMYFUNCTION("GOOGLEFINANCE(""IDX:""&amp;A615,""price"")"),116.0)</f>
        <v>116</v>
      </c>
      <c r="D615" s="16" t="str">
        <f>IFERROR(__xludf.DUMMYFUNCTION("IF(A615="""","""",
SPARKLINE(
INDEX(
GOOGLEFINANCE(""IDX:""&amp;A615,""close"",TODAY()-365,TODAY()),
,2
),
{""linewidth"",1}
))
"),"#N/A")</f>
        <v>#N/A</v>
      </c>
      <c r="E615" s="26"/>
      <c r="F615" s="26"/>
      <c r="G615" s="24">
        <f t="shared" si="5"/>
        <v>0</v>
      </c>
      <c r="H615" s="19">
        <f>VLOOKUP(A615,Metrik!$C$2:$Y$959,8,0)</f>
        <v>-19</v>
      </c>
      <c r="I615" s="20">
        <f>VLOOKUP(A615,Metrik!$C$2:$Y$959,9,0)</f>
        <v>2.4</v>
      </c>
      <c r="J615" s="20">
        <f>VLOOKUP(A615,Metrik!$C$2:$Y$959,10,0)</f>
        <v>-12.5</v>
      </c>
      <c r="K615" s="20">
        <f>VLOOKUP(A615,Metrik!$C$2:$Y$959,11,0)</f>
        <v>-3.9</v>
      </c>
      <c r="L615" s="20">
        <f>VLOOKUP(A615,Metrik!$C$2:$Y$959,12,0)</f>
        <v>2.2</v>
      </c>
      <c r="M615" s="20">
        <f>VLOOKUP(A615,Metrik!$C$2:$Y$959,19,0)</f>
        <v>-20</v>
      </c>
      <c r="N615" s="21"/>
      <c r="O615" s="21"/>
      <c r="P615" s="21"/>
      <c r="Q615" s="21"/>
      <c r="R615" s="21"/>
      <c r="S615" s="21"/>
      <c r="T615" s="21"/>
      <c r="U615" s="22">
        <f>IFERROR(__xludf.DUMMYFUNCTION("IFERROR(GOOGLEFINANCE(A615,""closeyest""),"""")"),20.39)</f>
        <v>20.39</v>
      </c>
      <c r="V615" s="23">
        <f>IFERROR(__xludf.DUMMYFUNCTION("IFERROR(GOOGLEFINANCE(A615,""changepct""),"""")"),0.92)</f>
        <v>0.92</v>
      </c>
      <c r="W615" s="22">
        <f>IFERROR(__xludf.DUMMYFUNCTION("IFERROR(GOOGLEFINANCE(A615,""priceopen""),"""")"),20.73)</f>
        <v>20.73</v>
      </c>
      <c r="X615" s="22">
        <f>IFERROR(__xludf.DUMMYFUNCTION("IFERROR(GOOGLEFINANCE(A615,""high""),"""")"),20.73)</f>
        <v>20.73</v>
      </c>
      <c r="Y615" s="22">
        <f>IFERROR(__xludf.DUMMYFUNCTION("IFERROR(GOOGLEFINANCE(A615,""low""),"""")"),20.58)</f>
        <v>20.58</v>
      </c>
      <c r="Z615" s="22">
        <f>IFERROR(__xludf.DUMMYFUNCTION("IFERROR(GOOGLEFINANCE(A615,""volume""),"""")"),1216.0)</f>
        <v>1216</v>
      </c>
      <c r="AA615" s="24" t="str">
        <f>VLOOKUP(A615,Metrik!$C$2:$Y$959,5,0)</f>
        <v>Agricultural Products</v>
      </c>
      <c r="AB615" s="24" t="str">
        <f>VLOOKUP(A615,Metrik!$C$2:$Y$959,3,0)</f>
        <v>Consumer Non-Cyclicals</v>
      </c>
    </row>
    <row r="616">
      <c r="A616" s="17" t="s">
        <v>345</v>
      </c>
      <c r="B616" s="14" t="str">
        <f t="array" ref="B616">VLOOKUP(A616,{Metrik!$C$2:$C$998,Metrik!$B$2:$B$998},2,0)</f>
        <v>Dharma Polimetal Tbk.</v>
      </c>
      <c r="C616" s="15">
        <f>IFERROR(__xludf.DUMMYFUNCTION("GOOGLEFINANCE(""IDX:""&amp;A616,""price"")"),940.0)</f>
        <v>940</v>
      </c>
      <c r="D616" s="16" t="str">
        <f>IFERROR(__xludf.DUMMYFUNCTION("IF(A616="""","""",
SPARKLINE(
INDEX(
GOOGLEFINANCE(""IDX:""&amp;A616,""close"",TODAY()-365,TODAY()),
,2
),
{""linewidth"",1}
))
"),"#N/A")</f>
        <v>#N/A</v>
      </c>
      <c r="E616" s="14"/>
      <c r="F616" s="17"/>
      <c r="G616" s="18">
        <f t="shared" si="5"/>
        <v>0</v>
      </c>
      <c r="H616" s="19">
        <f>VLOOKUP(A616,Metrik!$C$2:$Y$959,8,0)</f>
        <v>7</v>
      </c>
      <c r="I616" s="20">
        <f>VLOOKUP(A616,Metrik!$C$2:$Y$959,9,0)</f>
        <v>1.5</v>
      </c>
      <c r="J616" s="20">
        <f>VLOOKUP(A616,Metrik!$C$2:$Y$959,10,0)</f>
        <v>21.3</v>
      </c>
      <c r="K616" s="20">
        <f>VLOOKUP(A616,Metrik!$C$2:$Y$959,11,0)</f>
        <v>14.6</v>
      </c>
      <c r="L616" s="20">
        <f>VLOOKUP(A616,Metrik!$C$2:$Y$959,12,0)</f>
        <v>0.46</v>
      </c>
      <c r="M616" s="20">
        <f>VLOOKUP(A616,Metrik!$C$2:$Y$959,19,0)</f>
        <v>42.3</v>
      </c>
      <c r="N616" s="21"/>
      <c r="O616" s="21"/>
      <c r="P616" s="21"/>
      <c r="Q616" s="21"/>
      <c r="R616" s="21"/>
      <c r="S616" s="21"/>
      <c r="T616" s="21"/>
      <c r="U616" s="22">
        <f>IFERROR(__xludf.DUMMYFUNCTION("IFERROR(GOOGLEFINANCE(A616,""closeyest""),"""")"),1.22)</f>
        <v>1.22</v>
      </c>
      <c r="V616" s="23">
        <f>IFERROR(__xludf.DUMMYFUNCTION("IFERROR(GOOGLEFINANCE(A616,""changepct""),"""")"),-3.28)</f>
        <v>-3.28</v>
      </c>
      <c r="W616" s="22">
        <f>IFERROR(__xludf.DUMMYFUNCTION("IFERROR(GOOGLEFINANCE(A616,""priceopen""),"""")"),1.23)</f>
        <v>1.23</v>
      </c>
      <c r="X616" s="22">
        <f>IFERROR(__xludf.DUMMYFUNCTION("IFERROR(GOOGLEFINANCE(A616,""high""),"""")"),1.24)</f>
        <v>1.24</v>
      </c>
      <c r="Y616" s="22">
        <f>IFERROR(__xludf.DUMMYFUNCTION("IFERROR(GOOGLEFINANCE(A616,""low""),"""")"),1.17)</f>
        <v>1.17</v>
      </c>
      <c r="Z616" s="22">
        <f>IFERROR(__xludf.DUMMYFUNCTION("IFERROR(GOOGLEFINANCE(A616,""volume""),"""")"),41158.0)</f>
        <v>41158</v>
      </c>
      <c r="AA616" s="24" t="str">
        <f>VLOOKUP(A616,Metrik!$C$2:$Y$959,5,0)</f>
        <v>Auto Components</v>
      </c>
      <c r="AB616" s="24" t="str">
        <f>VLOOKUP(A616,Metrik!$C$2:$Y$959,3,0)</f>
        <v>Consumer Cyclicals</v>
      </c>
    </row>
    <row r="617">
      <c r="A617" s="14" t="s">
        <v>346</v>
      </c>
      <c r="B617" s="14" t="str">
        <f t="array" ref="B617">VLOOKUP(A617,{Metrik!$C$2:$C$998,Metrik!$B$2:$B$998},2,0)</f>
        <v>Dharma Samudera Fishing Industries Tbk.</v>
      </c>
      <c r="C617" s="15">
        <f>IFERROR(__xludf.DUMMYFUNCTION("GOOGLEFINANCE(""IDX:""&amp;A617,""price"")"),71.0)</f>
        <v>71</v>
      </c>
      <c r="D617" s="16" t="str">
        <f>IFERROR(__xludf.DUMMYFUNCTION("IF(A617="""","""",
SPARKLINE(
INDEX(
GOOGLEFINANCE(""IDX:""&amp;A617,""close"",TODAY()-365,TODAY()),
,2
),
{""linewidth"",1}
))
"),"#N/A")</f>
        <v>#N/A</v>
      </c>
      <c r="E617" s="26"/>
      <c r="F617" s="26"/>
      <c r="G617" s="24">
        <f t="shared" si="5"/>
        <v>0</v>
      </c>
      <c r="H617" s="19">
        <f>VLOOKUP(A617,Metrik!$C$2:$Y$959,8,0)</f>
        <v>7.1</v>
      </c>
      <c r="I617" s="20">
        <f>VLOOKUP(A617,Metrik!$C$2:$Y$959,9,0)</f>
        <v>0.5</v>
      </c>
      <c r="J617" s="20">
        <f>VLOOKUP(A617,Metrik!$C$2:$Y$959,10,0)</f>
        <v>7</v>
      </c>
      <c r="K617" s="20">
        <f>VLOOKUP(A617,Metrik!$C$2:$Y$959,11,0)</f>
        <v>4.2</v>
      </c>
      <c r="L617" s="20">
        <f>VLOOKUP(A617,Metrik!$C$2:$Y$959,12,0)</f>
        <v>0.68</v>
      </c>
      <c r="M617" s="20">
        <f>VLOOKUP(A617,Metrik!$C$2:$Y$959,19,0)</f>
        <v>11.2</v>
      </c>
      <c r="N617" s="21"/>
      <c r="O617" s="21"/>
      <c r="P617" s="21"/>
      <c r="Q617" s="21"/>
      <c r="R617" s="21"/>
      <c r="S617" s="21"/>
      <c r="T617" s="21"/>
      <c r="U617" s="22">
        <f>IFERROR(__xludf.DUMMYFUNCTION("IFERROR(GOOGLEFINANCE(A617,""closeyest""),"""")"),66.0)</f>
        <v>66</v>
      </c>
      <c r="V617" s="23">
        <f>IFERROR(__xludf.DUMMYFUNCTION("IFERROR(GOOGLEFINANCE(A617,""changepct""),"""")"),7.58)</f>
        <v>7.58</v>
      </c>
      <c r="W617" s="22">
        <f>IFERROR(__xludf.DUMMYFUNCTION("IFERROR(GOOGLEFINANCE(A617,""priceopen""),"""")"),66.0)</f>
        <v>66</v>
      </c>
      <c r="X617" s="22">
        <f>IFERROR(__xludf.DUMMYFUNCTION("IFERROR(GOOGLEFINANCE(A617,""high""),"""")"),71.0)</f>
        <v>71</v>
      </c>
      <c r="Y617" s="22">
        <f>IFERROR(__xludf.DUMMYFUNCTION("IFERROR(GOOGLEFINANCE(A617,""low""),"""")"),66.0)</f>
        <v>66</v>
      </c>
      <c r="Z617" s="22">
        <f>IFERROR(__xludf.DUMMYFUNCTION("IFERROR(GOOGLEFINANCE(A617,""volume""),"""")"),3060000.0)</f>
        <v>3060000</v>
      </c>
      <c r="AA617" s="24" t="str">
        <f>VLOOKUP(A617,Metrik!$C$2:$Y$959,5,0)</f>
        <v>Agricultural Products</v>
      </c>
      <c r="AB617" s="24" t="str">
        <f>VLOOKUP(A617,Metrik!$C$2:$Y$959,3,0)</f>
        <v>Consumer Non-Cyclicals</v>
      </c>
    </row>
    <row r="618">
      <c r="A618" s="14" t="s">
        <v>347</v>
      </c>
      <c r="B618" s="14" t="str">
        <f t="array" ref="B618">VLOOKUP(A618,{Metrik!$C$2:$C$998,Metrik!$B$2:$B$998},2,0)</f>
        <v>PT Dharma Satya Nusantara Tbk.</v>
      </c>
      <c r="C618" s="15">
        <f>IFERROR(__xludf.DUMMYFUNCTION("GOOGLEFINANCE(""IDX:""&amp;A618,""price"")"),1145.0)</f>
        <v>1145</v>
      </c>
      <c r="D618" s="16" t="str">
        <f>IFERROR(__xludf.DUMMYFUNCTION("IF(A618="""","""",
SPARKLINE(
INDEX(
GOOGLEFINANCE(""IDX:""&amp;A618,""close"",TODAY()-365,TODAY()),
,2
),
{""linewidth"",1}
))
"),"#N/A")</f>
        <v>#N/A</v>
      </c>
      <c r="E618" s="14" t="s">
        <v>47</v>
      </c>
      <c r="F618" s="25">
        <v>46356.0</v>
      </c>
      <c r="G618" s="18">
        <f t="shared" si="5"/>
        <v>12</v>
      </c>
      <c r="H618" s="19">
        <f>VLOOKUP(A618,Metrik!$C$2:$Y$959,8,0)</f>
        <v>6.6</v>
      </c>
      <c r="I618" s="20">
        <f>VLOOKUP(A618,Metrik!$C$2:$Y$959,9,0)</f>
        <v>1.1</v>
      </c>
      <c r="J618" s="20">
        <f>VLOOKUP(A618,Metrik!$C$2:$Y$959,10,0)</f>
        <v>15.8</v>
      </c>
      <c r="K618" s="20">
        <f>VLOOKUP(A618,Metrik!$C$2:$Y$959,11,0)</f>
        <v>10.7</v>
      </c>
      <c r="L618" s="20">
        <f>VLOOKUP(A618,Metrik!$C$2:$Y$959,12,0)</f>
        <v>0.47</v>
      </c>
      <c r="M618" s="20">
        <f>VLOOKUP(A618,Metrik!$C$2:$Y$959,19,0)</f>
        <v>65.9</v>
      </c>
      <c r="N618" s="21"/>
      <c r="O618" s="21"/>
      <c r="P618" s="21"/>
      <c r="Q618" s="21"/>
      <c r="R618" s="21"/>
      <c r="S618" s="21"/>
      <c r="T618" s="21"/>
      <c r="U618" s="22">
        <f>IFERROR(__xludf.DUMMYFUNCTION("IFERROR(GOOGLEFINANCE(A618,""closeyest""),"""")"),1095.0)</f>
        <v>1095</v>
      </c>
      <c r="V618" s="23">
        <f>IFERROR(__xludf.DUMMYFUNCTION("IFERROR(GOOGLEFINANCE(A618,""changepct""),"""")"),4.57)</f>
        <v>4.57</v>
      </c>
      <c r="W618" s="22">
        <f>IFERROR(__xludf.DUMMYFUNCTION("IFERROR(GOOGLEFINANCE(A618,""priceopen""),"""")"),1105.0)</f>
        <v>1105</v>
      </c>
      <c r="X618" s="22">
        <f>IFERROR(__xludf.DUMMYFUNCTION("IFERROR(GOOGLEFINANCE(A618,""high""),"""")"),1170.0)</f>
        <v>1170</v>
      </c>
      <c r="Y618" s="22">
        <f>IFERROR(__xludf.DUMMYFUNCTION("IFERROR(GOOGLEFINANCE(A618,""low""),"""")"),1100.0)</f>
        <v>1100</v>
      </c>
      <c r="Z618" s="22">
        <f>IFERROR(__xludf.DUMMYFUNCTION("IFERROR(GOOGLEFINANCE(A618,""volume""),"""")"),7343000.0)</f>
        <v>7343000</v>
      </c>
      <c r="AA618" s="24" t="str">
        <f>VLOOKUP(A618,Metrik!$C$2:$Y$959,5,0)</f>
        <v>Agricultural Products</v>
      </c>
      <c r="AB618" s="24" t="str">
        <f>VLOOKUP(A618,Metrik!$C$2:$Y$959,3,0)</f>
        <v>Consumer Non-Cyclicals</v>
      </c>
    </row>
    <row r="619">
      <c r="A619" s="14" t="s">
        <v>347</v>
      </c>
      <c r="B619" s="14" t="str">
        <f t="array" ref="B619">VLOOKUP(A619,{Metrik!$C$2:$C$998,Metrik!$B$2:$B$998},2,0)</f>
        <v>PT Dharma Satya Nusantara Tbk.</v>
      </c>
      <c r="C619" s="15">
        <f>IFERROR(__xludf.DUMMYFUNCTION("GOOGLEFINANCE(""IDX:""&amp;A619,""price"")"),1145.0)</f>
        <v>1145</v>
      </c>
      <c r="D619" s="16" t="str">
        <f>IFERROR(__xludf.DUMMYFUNCTION("IF(A619="""","""",
SPARKLINE(
INDEX(
GOOGLEFINANCE(""IDX:""&amp;A619,""close"",TODAY()-365,TODAY()),
,2
),
{""linewidth"",1}
))
"),"#N/A")</f>
        <v>#N/A</v>
      </c>
      <c r="E619" s="14" t="s">
        <v>65</v>
      </c>
      <c r="F619" s="25">
        <v>46356.0</v>
      </c>
      <c r="G619" s="18">
        <f t="shared" si="5"/>
        <v>12</v>
      </c>
      <c r="H619" s="19">
        <f>VLOOKUP(A619,Metrik!$C$2:$Y$959,8,0)</f>
        <v>6.6</v>
      </c>
      <c r="I619" s="20">
        <f>VLOOKUP(A619,Metrik!$C$2:$Y$959,9,0)</f>
        <v>1.1</v>
      </c>
      <c r="J619" s="20">
        <f>VLOOKUP(A619,Metrik!$C$2:$Y$959,10,0)</f>
        <v>15.8</v>
      </c>
      <c r="K619" s="20">
        <f>VLOOKUP(A619,Metrik!$C$2:$Y$959,11,0)</f>
        <v>10.7</v>
      </c>
      <c r="L619" s="20">
        <f>VLOOKUP(A619,Metrik!$C$2:$Y$959,12,0)</f>
        <v>0.47</v>
      </c>
      <c r="M619" s="20">
        <f>VLOOKUP(A619,Metrik!$C$2:$Y$959,19,0)</f>
        <v>65.9</v>
      </c>
      <c r="N619" s="21"/>
      <c r="O619" s="21"/>
      <c r="P619" s="21"/>
      <c r="Q619" s="21"/>
      <c r="R619" s="21"/>
      <c r="S619" s="21"/>
      <c r="T619" s="21"/>
      <c r="U619" s="22">
        <f>IFERROR(__xludf.DUMMYFUNCTION("IFERROR(GOOGLEFINANCE(A619,""closeyest""),"""")"),1095.0)</f>
        <v>1095</v>
      </c>
      <c r="V619" s="23">
        <f>IFERROR(__xludf.DUMMYFUNCTION("IFERROR(GOOGLEFINANCE(A619,""changepct""),"""")"),4.57)</f>
        <v>4.57</v>
      </c>
      <c r="W619" s="22">
        <f>IFERROR(__xludf.DUMMYFUNCTION("IFERROR(GOOGLEFINANCE(A619,""priceopen""),"""")"),1105.0)</f>
        <v>1105</v>
      </c>
      <c r="X619" s="22">
        <f>IFERROR(__xludf.DUMMYFUNCTION("IFERROR(GOOGLEFINANCE(A619,""high""),"""")"),1170.0)</f>
        <v>1170</v>
      </c>
      <c r="Y619" s="22">
        <f>IFERROR(__xludf.DUMMYFUNCTION("IFERROR(GOOGLEFINANCE(A619,""low""),"""")"),1100.0)</f>
        <v>1100</v>
      </c>
      <c r="Z619" s="22">
        <f>IFERROR(__xludf.DUMMYFUNCTION("IFERROR(GOOGLEFINANCE(A619,""volume""),"""")"),7343000.0)</f>
        <v>7343000</v>
      </c>
      <c r="AA619" s="24" t="str">
        <f>VLOOKUP(A619,Metrik!$C$2:$Y$959,5,0)</f>
        <v>Agricultural Products</v>
      </c>
      <c r="AB619" s="24" t="str">
        <f>VLOOKUP(A619,Metrik!$C$2:$Y$959,3,0)</f>
        <v>Consumer Non-Cyclicals</v>
      </c>
    </row>
    <row r="620">
      <c r="A620" s="14" t="s">
        <v>347</v>
      </c>
      <c r="B620" s="14" t="str">
        <f t="array" ref="B620">VLOOKUP(A620,{Metrik!$C$2:$C$998,Metrik!$B$2:$B$998},2,0)</f>
        <v>PT Dharma Satya Nusantara Tbk.</v>
      </c>
      <c r="C620" s="15">
        <f>IFERROR(__xludf.DUMMYFUNCTION("GOOGLEFINANCE(""IDX:""&amp;A620,""price"")"),1145.0)</f>
        <v>1145</v>
      </c>
      <c r="D620" s="16" t="str">
        <f>IFERROR(__xludf.DUMMYFUNCTION("IF(A620="""","""",
SPARKLINE(
INDEX(
GOOGLEFINANCE(""IDX:""&amp;A620,""close"",TODAY()-365,TODAY()),
,2
),
{""linewidth"",1}
))
"),"#N/A")</f>
        <v>#N/A</v>
      </c>
      <c r="E620" s="14" t="s">
        <v>55</v>
      </c>
      <c r="F620" s="25">
        <v>46356.0</v>
      </c>
      <c r="G620" s="18">
        <f t="shared" si="5"/>
        <v>12</v>
      </c>
      <c r="H620" s="19">
        <f>VLOOKUP(A620,Metrik!$C$2:$Y$959,8,0)</f>
        <v>6.6</v>
      </c>
      <c r="I620" s="20">
        <f>VLOOKUP(A620,Metrik!$C$2:$Y$959,9,0)</f>
        <v>1.1</v>
      </c>
      <c r="J620" s="20">
        <f>VLOOKUP(A620,Metrik!$C$2:$Y$959,10,0)</f>
        <v>15.8</v>
      </c>
      <c r="K620" s="20">
        <f>VLOOKUP(A620,Metrik!$C$2:$Y$959,11,0)</f>
        <v>10.7</v>
      </c>
      <c r="L620" s="20">
        <f>VLOOKUP(A620,Metrik!$C$2:$Y$959,12,0)</f>
        <v>0.47</v>
      </c>
      <c r="M620" s="20">
        <f>VLOOKUP(A620,Metrik!$C$2:$Y$959,19,0)</f>
        <v>65.9</v>
      </c>
      <c r="N620" s="21"/>
      <c r="O620" s="21"/>
      <c r="P620" s="21"/>
      <c r="Q620" s="21"/>
      <c r="R620" s="21"/>
      <c r="S620" s="21"/>
      <c r="T620" s="21"/>
      <c r="U620" s="22">
        <f>IFERROR(__xludf.DUMMYFUNCTION("IFERROR(GOOGLEFINANCE(A620,""closeyest""),"""")"),1095.0)</f>
        <v>1095</v>
      </c>
      <c r="V620" s="23">
        <f>IFERROR(__xludf.DUMMYFUNCTION("IFERROR(GOOGLEFINANCE(A620,""changepct""),"""")"),4.57)</f>
        <v>4.57</v>
      </c>
      <c r="W620" s="22">
        <f>IFERROR(__xludf.DUMMYFUNCTION("IFERROR(GOOGLEFINANCE(A620,""priceopen""),"""")"),1105.0)</f>
        <v>1105</v>
      </c>
      <c r="X620" s="22">
        <f>IFERROR(__xludf.DUMMYFUNCTION("IFERROR(GOOGLEFINANCE(A620,""high""),"""")"),1170.0)</f>
        <v>1170</v>
      </c>
      <c r="Y620" s="22">
        <f>IFERROR(__xludf.DUMMYFUNCTION("IFERROR(GOOGLEFINANCE(A620,""low""),"""")"),1100.0)</f>
        <v>1100</v>
      </c>
      <c r="Z620" s="22">
        <f>IFERROR(__xludf.DUMMYFUNCTION("IFERROR(GOOGLEFINANCE(A620,""volume""),"""")"),7343000.0)</f>
        <v>7343000</v>
      </c>
      <c r="AA620" s="24" t="str">
        <f>VLOOKUP(A620,Metrik!$C$2:$Y$959,5,0)</f>
        <v>Agricultural Products</v>
      </c>
      <c r="AB620" s="24" t="str">
        <f>VLOOKUP(A620,Metrik!$C$2:$Y$959,3,0)</f>
        <v>Consumer Non-Cyclicals</v>
      </c>
    </row>
    <row r="621">
      <c r="A621" s="14" t="s">
        <v>347</v>
      </c>
      <c r="B621" s="14" t="str">
        <f t="array" ref="B621">VLOOKUP(A621,{Metrik!$C$2:$C$998,Metrik!$B$2:$B$998},2,0)</f>
        <v>PT Dharma Satya Nusantara Tbk.</v>
      </c>
      <c r="C621" s="15">
        <f>IFERROR(__xludf.DUMMYFUNCTION("GOOGLEFINANCE(""IDX:""&amp;A621,""price"")"),1145.0)</f>
        <v>1145</v>
      </c>
      <c r="D621" s="16" t="str">
        <f>IFERROR(__xludf.DUMMYFUNCTION("IF(A621="""","""",
SPARKLINE(
INDEX(
GOOGLEFINANCE(""IDX:""&amp;A621,""close"",TODAY()-365,TODAY()),
,2
),
{""linewidth"",1}
))
"),"#N/A")</f>
        <v>#N/A</v>
      </c>
      <c r="E621" s="14" t="s">
        <v>28</v>
      </c>
      <c r="F621" s="17" t="s">
        <v>29</v>
      </c>
      <c r="G621" s="18">
        <f t="shared" si="5"/>
        <v>12</v>
      </c>
      <c r="H621" s="19">
        <f>VLOOKUP(A621,Metrik!$C$2:$Y$959,8,0)</f>
        <v>6.6</v>
      </c>
      <c r="I621" s="20">
        <f>VLOOKUP(A621,Metrik!$C$2:$Y$959,9,0)</f>
        <v>1.1</v>
      </c>
      <c r="J621" s="20">
        <f>VLOOKUP(A621,Metrik!$C$2:$Y$959,10,0)</f>
        <v>15.8</v>
      </c>
      <c r="K621" s="20">
        <f>VLOOKUP(A621,Metrik!$C$2:$Y$959,11,0)</f>
        <v>10.7</v>
      </c>
      <c r="L621" s="20">
        <f>VLOOKUP(A621,Metrik!$C$2:$Y$959,12,0)</f>
        <v>0.47</v>
      </c>
      <c r="M621" s="20">
        <f>VLOOKUP(A621,Metrik!$C$2:$Y$959,19,0)</f>
        <v>65.9</v>
      </c>
      <c r="N621" s="21"/>
      <c r="O621" s="21"/>
      <c r="P621" s="21"/>
      <c r="Q621" s="21"/>
      <c r="R621" s="21"/>
      <c r="S621" s="21"/>
      <c r="T621" s="21"/>
      <c r="U621" s="22">
        <f>IFERROR(__xludf.DUMMYFUNCTION("IFERROR(GOOGLEFINANCE(A621,""closeyest""),"""")"),1095.0)</f>
        <v>1095</v>
      </c>
      <c r="V621" s="23">
        <f>IFERROR(__xludf.DUMMYFUNCTION("IFERROR(GOOGLEFINANCE(A621,""changepct""),"""")"),4.57)</f>
        <v>4.57</v>
      </c>
      <c r="W621" s="22">
        <f>IFERROR(__xludf.DUMMYFUNCTION("IFERROR(GOOGLEFINANCE(A621,""priceopen""),"""")"),1105.0)</f>
        <v>1105</v>
      </c>
      <c r="X621" s="22">
        <f>IFERROR(__xludf.DUMMYFUNCTION("IFERROR(GOOGLEFINANCE(A621,""high""),"""")"),1170.0)</f>
        <v>1170</v>
      </c>
      <c r="Y621" s="22">
        <f>IFERROR(__xludf.DUMMYFUNCTION("IFERROR(GOOGLEFINANCE(A621,""low""),"""")"),1100.0)</f>
        <v>1100</v>
      </c>
      <c r="Z621" s="22">
        <f>IFERROR(__xludf.DUMMYFUNCTION("IFERROR(GOOGLEFINANCE(A621,""volume""),"""")"),7343000.0)</f>
        <v>7343000</v>
      </c>
      <c r="AA621" s="24" t="str">
        <f>VLOOKUP(A621,Metrik!$C$2:$Y$959,5,0)</f>
        <v>Agricultural Products</v>
      </c>
      <c r="AB621" s="24" t="str">
        <f>VLOOKUP(A621,Metrik!$C$2:$Y$959,3,0)</f>
        <v>Consumer Non-Cyclicals</v>
      </c>
    </row>
    <row r="622">
      <c r="A622" s="14" t="s">
        <v>347</v>
      </c>
      <c r="B622" s="14" t="str">
        <f t="array" ref="B622">VLOOKUP(A622,{Metrik!$C$2:$C$998,Metrik!$B$2:$B$998},2,0)</f>
        <v>PT Dharma Satya Nusantara Tbk.</v>
      </c>
      <c r="C622" s="15">
        <f>IFERROR(__xludf.DUMMYFUNCTION("GOOGLEFINANCE(""IDX:""&amp;A622,""price"")"),1145.0)</f>
        <v>1145</v>
      </c>
      <c r="D622" s="16" t="str">
        <f>IFERROR(__xludf.DUMMYFUNCTION("IF(A622="""","""",
SPARKLINE(
INDEX(
GOOGLEFINANCE(""IDX:""&amp;A622,""close"",TODAY()-365,TODAY()),
,2
),
{""linewidth"",1}
))
"),"#N/A")</f>
        <v>#N/A</v>
      </c>
      <c r="E622" s="14" t="s">
        <v>102</v>
      </c>
      <c r="F622" s="27" t="s">
        <v>53</v>
      </c>
      <c r="G622" s="18">
        <f t="shared" si="5"/>
        <v>12</v>
      </c>
      <c r="H622" s="19">
        <f>VLOOKUP(A622,Metrik!$C$2:$Y$959,8,0)</f>
        <v>6.6</v>
      </c>
      <c r="I622" s="20">
        <f>VLOOKUP(A622,Metrik!$C$2:$Y$959,9,0)</f>
        <v>1.1</v>
      </c>
      <c r="J622" s="20">
        <f>VLOOKUP(A622,Metrik!$C$2:$Y$959,10,0)</f>
        <v>15.8</v>
      </c>
      <c r="K622" s="20">
        <f>VLOOKUP(A622,Metrik!$C$2:$Y$959,11,0)</f>
        <v>10.7</v>
      </c>
      <c r="L622" s="20">
        <f>VLOOKUP(A622,Metrik!$C$2:$Y$959,12,0)</f>
        <v>0.47</v>
      </c>
      <c r="M622" s="20">
        <f>VLOOKUP(A622,Metrik!$C$2:$Y$959,19,0)</f>
        <v>65.9</v>
      </c>
      <c r="N622" s="21"/>
      <c r="O622" s="21"/>
      <c r="P622" s="21"/>
      <c r="Q622" s="21"/>
      <c r="R622" s="21"/>
      <c r="S622" s="21"/>
      <c r="T622" s="21"/>
      <c r="U622" s="22">
        <f>IFERROR(__xludf.DUMMYFUNCTION("IFERROR(GOOGLEFINANCE(A622,""closeyest""),"""")"),1095.0)</f>
        <v>1095</v>
      </c>
      <c r="V622" s="23">
        <f>IFERROR(__xludf.DUMMYFUNCTION("IFERROR(GOOGLEFINANCE(A622,""changepct""),"""")"),4.57)</f>
        <v>4.57</v>
      </c>
      <c r="W622" s="22">
        <f>IFERROR(__xludf.DUMMYFUNCTION("IFERROR(GOOGLEFINANCE(A622,""priceopen""),"""")"),1105.0)</f>
        <v>1105</v>
      </c>
      <c r="X622" s="22">
        <f>IFERROR(__xludf.DUMMYFUNCTION("IFERROR(GOOGLEFINANCE(A622,""high""),"""")"),1170.0)</f>
        <v>1170</v>
      </c>
      <c r="Y622" s="22">
        <f>IFERROR(__xludf.DUMMYFUNCTION("IFERROR(GOOGLEFINANCE(A622,""low""),"""")"),1100.0)</f>
        <v>1100</v>
      </c>
      <c r="Z622" s="22">
        <f>IFERROR(__xludf.DUMMYFUNCTION("IFERROR(GOOGLEFINANCE(A622,""volume""),"""")"),7343000.0)</f>
        <v>7343000</v>
      </c>
      <c r="AA622" s="24" t="str">
        <f>VLOOKUP(A622,Metrik!$C$2:$Y$959,5,0)</f>
        <v>Agricultural Products</v>
      </c>
      <c r="AB622" s="24" t="str">
        <f>VLOOKUP(A622,Metrik!$C$2:$Y$959,3,0)</f>
        <v>Consumer Non-Cyclicals</v>
      </c>
    </row>
    <row r="623">
      <c r="A623" s="14" t="s">
        <v>347</v>
      </c>
      <c r="B623" s="14" t="str">
        <f t="array" ref="B623">VLOOKUP(A623,{Metrik!$C$2:$C$998,Metrik!$B$2:$B$998},2,0)</f>
        <v>PT Dharma Satya Nusantara Tbk.</v>
      </c>
      <c r="C623" s="15">
        <f>IFERROR(__xludf.DUMMYFUNCTION("GOOGLEFINANCE(""IDX:""&amp;A623,""price"")"),1145.0)</f>
        <v>1145</v>
      </c>
      <c r="D623" s="16" t="str">
        <f>IFERROR(__xludf.DUMMYFUNCTION("IF(A623="""","""",
SPARKLINE(
INDEX(
GOOGLEFINANCE(""IDX:""&amp;A623,""close"",TODAY()-365,TODAY()),
,2
),
{""linewidth"",1}
))
"),"#N/A")</f>
        <v>#N/A</v>
      </c>
      <c r="E623" s="14" t="s">
        <v>32</v>
      </c>
      <c r="F623" s="14" t="s">
        <v>29</v>
      </c>
      <c r="G623" s="18">
        <f t="shared" si="5"/>
        <v>12</v>
      </c>
      <c r="H623" s="19">
        <f>VLOOKUP(A623,Metrik!$C$2:$Y$959,8,0)</f>
        <v>6.6</v>
      </c>
      <c r="I623" s="20">
        <f>VLOOKUP(A623,Metrik!$C$2:$Y$959,9,0)</f>
        <v>1.1</v>
      </c>
      <c r="J623" s="20">
        <f>VLOOKUP(A623,Metrik!$C$2:$Y$959,10,0)</f>
        <v>15.8</v>
      </c>
      <c r="K623" s="20">
        <f>VLOOKUP(A623,Metrik!$C$2:$Y$959,11,0)</f>
        <v>10.7</v>
      </c>
      <c r="L623" s="20">
        <f>VLOOKUP(A623,Metrik!$C$2:$Y$959,12,0)</f>
        <v>0.47</v>
      </c>
      <c r="M623" s="20">
        <f>VLOOKUP(A623,Metrik!$C$2:$Y$959,19,0)</f>
        <v>65.9</v>
      </c>
      <c r="N623" s="21"/>
      <c r="O623" s="21"/>
      <c r="P623" s="21"/>
      <c r="Q623" s="21"/>
      <c r="R623" s="21"/>
      <c r="S623" s="21"/>
      <c r="T623" s="21"/>
      <c r="U623" s="22">
        <f>IFERROR(__xludf.DUMMYFUNCTION("IFERROR(GOOGLEFINANCE(A623,""closeyest""),"""")"),1095.0)</f>
        <v>1095</v>
      </c>
      <c r="V623" s="23">
        <f>IFERROR(__xludf.DUMMYFUNCTION("IFERROR(GOOGLEFINANCE(A623,""changepct""),"""")"),4.57)</f>
        <v>4.57</v>
      </c>
      <c r="W623" s="22">
        <f>IFERROR(__xludf.DUMMYFUNCTION("IFERROR(GOOGLEFINANCE(A623,""priceopen""),"""")"),1105.0)</f>
        <v>1105</v>
      </c>
      <c r="X623" s="22">
        <f>IFERROR(__xludf.DUMMYFUNCTION("IFERROR(GOOGLEFINANCE(A623,""high""),"""")"),1170.0)</f>
        <v>1170</v>
      </c>
      <c r="Y623" s="22">
        <f>IFERROR(__xludf.DUMMYFUNCTION("IFERROR(GOOGLEFINANCE(A623,""low""),"""")"),1100.0)</f>
        <v>1100</v>
      </c>
      <c r="Z623" s="22">
        <f>IFERROR(__xludf.DUMMYFUNCTION("IFERROR(GOOGLEFINANCE(A623,""volume""),"""")"),7343000.0)</f>
        <v>7343000</v>
      </c>
      <c r="AA623" s="24" t="str">
        <f>VLOOKUP(A623,Metrik!$C$2:$Y$959,5,0)</f>
        <v>Agricultural Products</v>
      </c>
      <c r="AB623" s="24" t="str">
        <f>VLOOKUP(A623,Metrik!$C$2:$Y$959,3,0)</f>
        <v>Consumer Non-Cyclicals</v>
      </c>
    </row>
    <row r="624">
      <c r="A624" s="14" t="s">
        <v>347</v>
      </c>
      <c r="B624" s="14" t="str">
        <f t="array" ref="B624">VLOOKUP(A624,{Metrik!$C$2:$C$998,Metrik!$B$2:$B$998},2,0)</f>
        <v>PT Dharma Satya Nusantara Tbk.</v>
      </c>
      <c r="C624" s="15">
        <f>IFERROR(__xludf.DUMMYFUNCTION("GOOGLEFINANCE(""IDX:""&amp;A624,""price"")"),1145.0)</f>
        <v>1145</v>
      </c>
      <c r="D624" s="16" t="str">
        <f>IFERROR(__xludf.DUMMYFUNCTION("IF(A624="""","""",
SPARKLINE(
INDEX(
GOOGLEFINANCE(""IDX:""&amp;A624,""close"",TODAY()-365,TODAY()),
,2
),
{""linewidth"",1}
))
"),"#N/A")</f>
        <v>#N/A</v>
      </c>
      <c r="E624" s="14" t="s">
        <v>68</v>
      </c>
      <c r="F624" s="14" t="s">
        <v>34</v>
      </c>
      <c r="G624" s="18">
        <f t="shared" si="5"/>
        <v>12</v>
      </c>
      <c r="H624" s="19">
        <f>VLOOKUP(A624,Metrik!$C$2:$Y$959,8,0)</f>
        <v>6.6</v>
      </c>
      <c r="I624" s="20">
        <f>VLOOKUP(A624,Metrik!$C$2:$Y$959,9,0)</f>
        <v>1.1</v>
      </c>
      <c r="J624" s="20">
        <f>VLOOKUP(A624,Metrik!$C$2:$Y$959,10,0)</f>
        <v>15.8</v>
      </c>
      <c r="K624" s="20">
        <f>VLOOKUP(A624,Metrik!$C$2:$Y$959,11,0)</f>
        <v>10.7</v>
      </c>
      <c r="L624" s="20">
        <f>VLOOKUP(A624,Metrik!$C$2:$Y$959,12,0)</f>
        <v>0.47</v>
      </c>
      <c r="M624" s="20">
        <f>VLOOKUP(A624,Metrik!$C$2:$Y$959,19,0)</f>
        <v>65.9</v>
      </c>
      <c r="N624" s="21"/>
      <c r="O624" s="21"/>
      <c r="P624" s="21"/>
      <c r="Q624" s="21"/>
      <c r="R624" s="21"/>
      <c r="S624" s="21"/>
      <c r="T624" s="21"/>
      <c r="U624" s="22">
        <f>IFERROR(__xludf.DUMMYFUNCTION("IFERROR(GOOGLEFINANCE(A624,""closeyest""),"""")"),1095.0)</f>
        <v>1095</v>
      </c>
      <c r="V624" s="23">
        <f>IFERROR(__xludf.DUMMYFUNCTION("IFERROR(GOOGLEFINANCE(A624,""changepct""),"""")"),4.57)</f>
        <v>4.57</v>
      </c>
      <c r="W624" s="22">
        <f>IFERROR(__xludf.DUMMYFUNCTION("IFERROR(GOOGLEFINANCE(A624,""priceopen""),"""")"),1105.0)</f>
        <v>1105</v>
      </c>
      <c r="X624" s="22">
        <f>IFERROR(__xludf.DUMMYFUNCTION("IFERROR(GOOGLEFINANCE(A624,""high""),"""")"),1170.0)</f>
        <v>1170</v>
      </c>
      <c r="Y624" s="22">
        <f>IFERROR(__xludf.DUMMYFUNCTION("IFERROR(GOOGLEFINANCE(A624,""low""),"""")"),1100.0)</f>
        <v>1100</v>
      </c>
      <c r="Z624" s="22">
        <f>IFERROR(__xludf.DUMMYFUNCTION("IFERROR(GOOGLEFINANCE(A624,""volume""),"""")"),7343000.0)</f>
        <v>7343000</v>
      </c>
      <c r="AA624" s="24" t="str">
        <f>VLOOKUP(A624,Metrik!$C$2:$Y$959,5,0)</f>
        <v>Agricultural Products</v>
      </c>
      <c r="AB624" s="24" t="str">
        <f>VLOOKUP(A624,Metrik!$C$2:$Y$959,3,0)</f>
        <v>Consumer Non-Cyclicals</v>
      </c>
    </row>
    <row r="625">
      <c r="A625" s="14" t="s">
        <v>347</v>
      </c>
      <c r="B625" s="14" t="str">
        <f t="array" ref="B625">VLOOKUP(A625,{Metrik!$C$2:$C$998,Metrik!$B$2:$B$998},2,0)</f>
        <v>PT Dharma Satya Nusantara Tbk.</v>
      </c>
      <c r="C625" s="15">
        <f>IFERROR(__xludf.DUMMYFUNCTION("GOOGLEFINANCE(""IDX:""&amp;A625,""price"")"),1145.0)</f>
        <v>1145</v>
      </c>
      <c r="D625" s="16" t="str">
        <f>IFERROR(__xludf.DUMMYFUNCTION("IF(A625="""","""",
SPARKLINE(
INDEX(
GOOGLEFINANCE(""IDX:""&amp;A625,""close"",TODAY()-365,TODAY()),
,2
),
{""linewidth"",1}
))
"),"#N/A")</f>
        <v>#N/A</v>
      </c>
      <c r="E625" s="14" t="s">
        <v>54</v>
      </c>
      <c r="F625" s="14" t="s">
        <v>34</v>
      </c>
      <c r="G625" s="18">
        <f t="shared" si="5"/>
        <v>12</v>
      </c>
      <c r="H625" s="19">
        <f>VLOOKUP(A625,Metrik!$C$2:$Y$959,8,0)</f>
        <v>6.6</v>
      </c>
      <c r="I625" s="20">
        <f>VLOOKUP(A625,Metrik!$C$2:$Y$959,9,0)</f>
        <v>1.1</v>
      </c>
      <c r="J625" s="20">
        <f>VLOOKUP(A625,Metrik!$C$2:$Y$959,10,0)</f>
        <v>15.8</v>
      </c>
      <c r="K625" s="20">
        <f>VLOOKUP(A625,Metrik!$C$2:$Y$959,11,0)</f>
        <v>10.7</v>
      </c>
      <c r="L625" s="20">
        <f>VLOOKUP(A625,Metrik!$C$2:$Y$959,12,0)</f>
        <v>0.47</v>
      </c>
      <c r="M625" s="20">
        <f>VLOOKUP(A625,Metrik!$C$2:$Y$959,19,0)</f>
        <v>65.9</v>
      </c>
      <c r="N625" s="21"/>
      <c r="O625" s="21"/>
      <c r="P625" s="21"/>
      <c r="Q625" s="21"/>
      <c r="R625" s="21"/>
      <c r="S625" s="21"/>
      <c r="T625" s="21"/>
      <c r="U625" s="22">
        <f>IFERROR(__xludf.DUMMYFUNCTION("IFERROR(GOOGLEFINANCE(A625,""closeyest""),"""")"),1095.0)</f>
        <v>1095</v>
      </c>
      <c r="V625" s="23">
        <f>IFERROR(__xludf.DUMMYFUNCTION("IFERROR(GOOGLEFINANCE(A625,""changepct""),"""")"),4.57)</f>
        <v>4.57</v>
      </c>
      <c r="W625" s="22">
        <f>IFERROR(__xludf.DUMMYFUNCTION("IFERROR(GOOGLEFINANCE(A625,""priceopen""),"""")"),1105.0)</f>
        <v>1105</v>
      </c>
      <c r="X625" s="22">
        <f>IFERROR(__xludf.DUMMYFUNCTION("IFERROR(GOOGLEFINANCE(A625,""high""),"""")"),1170.0)</f>
        <v>1170</v>
      </c>
      <c r="Y625" s="22">
        <f>IFERROR(__xludf.DUMMYFUNCTION("IFERROR(GOOGLEFINANCE(A625,""low""),"""")"),1100.0)</f>
        <v>1100</v>
      </c>
      <c r="Z625" s="22">
        <f>IFERROR(__xludf.DUMMYFUNCTION("IFERROR(GOOGLEFINANCE(A625,""volume""),"""")"),7343000.0)</f>
        <v>7343000</v>
      </c>
      <c r="AA625" s="24" t="str">
        <f>VLOOKUP(A625,Metrik!$C$2:$Y$959,5,0)</f>
        <v>Agricultural Products</v>
      </c>
      <c r="AB625" s="24" t="str">
        <f>VLOOKUP(A625,Metrik!$C$2:$Y$959,3,0)</f>
        <v>Consumer Non-Cyclicals</v>
      </c>
    </row>
    <row r="626">
      <c r="A626" s="14" t="s">
        <v>347</v>
      </c>
      <c r="B626" s="14" t="str">
        <f t="array" ref="B626">VLOOKUP(A626,{Metrik!$C$2:$C$998,Metrik!$B$2:$B$998},2,0)</f>
        <v>PT Dharma Satya Nusantara Tbk.</v>
      </c>
      <c r="C626" s="15">
        <f>IFERROR(__xludf.DUMMYFUNCTION("GOOGLEFINANCE(""IDX:""&amp;A626,""price"")"),1145.0)</f>
        <v>1145</v>
      </c>
      <c r="D626" s="16" t="str">
        <f>IFERROR(__xludf.DUMMYFUNCTION("IF(A626="""","""",
SPARKLINE(
INDEX(
GOOGLEFINANCE(""IDX:""&amp;A626,""close"",TODAY()-365,TODAY()),
,2
),
{""linewidth"",1}
))
"),"#N/A")</f>
        <v>#N/A</v>
      </c>
      <c r="E626" s="14" t="s">
        <v>33</v>
      </c>
      <c r="F626" s="14" t="s">
        <v>34</v>
      </c>
      <c r="G626" s="18">
        <f t="shared" si="5"/>
        <v>12</v>
      </c>
      <c r="H626" s="19">
        <f>VLOOKUP(A626,Metrik!$C$2:$Y$959,8,0)</f>
        <v>6.6</v>
      </c>
      <c r="I626" s="20">
        <f>VLOOKUP(A626,Metrik!$C$2:$Y$959,9,0)</f>
        <v>1.1</v>
      </c>
      <c r="J626" s="20">
        <f>VLOOKUP(A626,Metrik!$C$2:$Y$959,10,0)</f>
        <v>15.8</v>
      </c>
      <c r="K626" s="20">
        <f>VLOOKUP(A626,Metrik!$C$2:$Y$959,11,0)</f>
        <v>10.7</v>
      </c>
      <c r="L626" s="20">
        <f>VLOOKUP(A626,Metrik!$C$2:$Y$959,12,0)</f>
        <v>0.47</v>
      </c>
      <c r="M626" s="20">
        <f>VLOOKUP(A626,Metrik!$C$2:$Y$959,19,0)</f>
        <v>65.9</v>
      </c>
      <c r="N626" s="21"/>
      <c r="O626" s="21"/>
      <c r="P626" s="21"/>
      <c r="Q626" s="21"/>
      <c r="R626" s="21"/>
      <c r="S626" s="21"/>
      <c r="T626" s="21"/>
      <c r="U626" s="22">
        <f>IFERROR(__xludf.DUMMYFUNCTION("IFERROR(GOOGLEFINANCE(A626,""closeyest""),"""")"),1095.0)</f>
        <v>1095</v>
      </c>
      <c r="V626" s="23">
        <f>IFERROR(__xludf.DUMMYFUNCTION("IFERROR(GOOGLEFINANCE(A626,""changepct""),"""")"),4.57)</f>
        <v>4.57</v>
      </c>
      <c r="W626" s="22">
        <f>IFERROR(__xludf.DUMMYFUNCTION("IFERROR(GOOGLEFINANCE(A626,""priceopen""),"""")"),1105.0)</f>
        <v>1105</v>
      </c>
      <c r="X626" s="22">
        <f>IFERROR(__xludf.DUMMYFUNCTION("IFERROR(GOOGLEFINANCE(A626,""high""),"""")"),1170.0)</f>
        <v>1170</v>
      </c>
      <c r="Y626" s="22">
        <f>IFERROR(__xludf.DUMMYFUNCTION("IFERROR(GOOGLEFINANCE(A626,""low""),"""")"),1100.0)</f>
        <v>1100</v>
      </c>
      <c r="Z626" s="22">
        <f>IFERROR(__xludf.DUMMYFUNCTION("IFERROR(GOOGLEFINANCE(A626,""volume""),"""")"),7343000.0)</f>
        <v>7343000</v>
      </c>
      <c r="AA626" s="24" t="str">
        <f>VLOOKUP(A626,Metrik!$C$2:$Y$959,5,0)</f>
        <v>Agricultural Products</v>
      </c>
      <c r="AB626" s="24" t="str">
        <f>VLOOKUP(A626,Metrik!$C$2:$Y$959,3,0)</f>
        <v>Consumer Non-Cyclicals</v>
      </c>
    </row>
    <row r="627">
      <c r="A627" s="14" t="s">
        <v>347</v>
      </c>
      <c r="B627" s="14" t="str">
        <f t="array" ref="B627">VLOOKUP(A627,{Metrik!$C$2:$C$998,Metrik!$B$2:$B$998},2,0)</f>
        <v>PT Dharma Satya Nusantara Tbk.</v>
      </c>
      <c r="C627" s="15">
        <f>IFERROR(__xludf.DUMMYFUNCTION("GOOGLEFINANCE(""IDX:""&amp;A627,""price"")"),1145.0)</f>
        <v>1145</v>
      </c>
      <c r="D627" s="16" t="str">
        <f>IFERROR(__xludf.DUMMYFUNCTION("IF(A627="""","""",
SPARKLINE(
INDEX(
GOOGLEFINANCE(""IDX:""&amp;A627,""close"",TODAY()-365,TODAY()),
,2
),
{""linewidth"",1}
))
"),"#N/A")</f>
        <v>#N/A</v>
      </c>
      <c r="E627" s="14" t="s">
        <v>41</v>
      </c>
      <c r="F627" s="14" t="s">
        <v>34</v>
      </c>
      <c r="G627" s="18">
        <f t="shared" si="5"/>
        <v>12</v>
      </c>
      <c r="H627" s="19">
        <f>VLOOKUP(A627,Metrik!$C$2:$Y$959,8,0)</f>
        <v>6.6</v>
      </c>
      <c r="I627" s="20">
        <f>VLOOKUP(A627,Metrik!$C$2:$Y$959,9,0)</f>
        <v>1.1</v>
      </c>
      <c r="J627" s="20">
        <f>VLOOKUP(A627,Metrik!$C$2:$Y$959,10,0)</f>
        <v>15.8</v>
      </c>
      <c r="K627" s="20">
        <f>VLOOKUP(A627,Metrik!$C$2:$Y$959,11,0)</f>
        <v>10.7</v>
      </c>
      <c r="L627" s="20">
        <f>VLOOKUP(A627,Metrik!$C$2:$Y$959,12,0)</f>
        <v>0.47</v>
      </c>
      <c r="M627" s="20">
        <f>VLOOKUP(A627,Metrik!$C$2:$Y$959,19,0)</f>
        <v>65.9</v>
      </c>
      <c r="N627" s="21"/>
      <c r="O627" s="21"/>
      <c r="P627" s="21"/>
      <c r="Q627" s="21"/>
      <c r="R627" s="21"/>
      <c r="S627" s="21"/>
      <c r="T627" s="21"/>
      <c r="U627" s="22">
        <f>IFERROR(__xludf.DUMMYFUNCTION("IFERROR(GOOGLEFINANCE(A627,""closeyest""),"""")"),1095.0)</f>
        <v>1095</v>
      </c>
      <c r="V627" s="23">
        <f>IFERROR(__xludf.DUMMYFUNCTION("IFERROR(GOOGLEFINANCE(A627,""changepct""),"""")"),4.57)</f>
        <v>4.57</v>
      </c>
      <c r="W627" s="22">
        <f>IFERROR(__xludf.DUMMYFUNCTION("IFERROR(GOOGLEFINANCE(A627,""priceopen""),"""")"),1105.0)</f>
        <v>1105</v>
      </c>
      <c r="X627" s="22">
        <f>IFERROR(__xludf.DUMMYFUNCTION("IFERROR(GOOGLEFINANCE(A627,""high""),"""")"),1170.0)</f>
        <v>1170</v>
      </c>
      <c r="Y627" s="22">
        <f>IFERROR(__xludf.DUMMYFUNCTION("IFERROR(GOOGLEFINANCE(A627,""low""),"""")"),1100.0)</f>
        <v>1100</v>
      </c>
      <c r="Z627" s="22">
        <f>IFERROR(__xludf.DUMMYFUNCTION("IFERROR(GOOGLEFINANCE(A627,""volume""),"""")"),7343000.0)</f>
        <v>7343000</v>
      </c>
      <c r="AA627" s="24" t="str">
        <f>VLOOKUP(A627,Metrik!$C$2:$Y$959,5,0)</f>
        <v>Agricultural Products</v>
      </c>
      <c r="AB627" s="24" t="str">
        <f>VLOOKUP(A627,Metrik!$C$2:$Y$959,3,0)</f>
        <v>Consumer Non-Cyclicals</v>
      </c>
    </row>
    <row r="628">
      <c r="A628" s="14" t="s">
        <v>347</v>
      </c>
      <c r="B628" s="14" t="str">
        <f t="array" ref="B628">VLOOKUP(A628,{Metrik!$C$2:$C$998,Metrik!$B$2:$B$998},2,0)</f>
        <v>PT Dharma Satya Nusantara Tbk.</v>
      </c>
      <c r="C628" s="15">
        <f>IFERROR(__xludf.DUMMYFUNCTION("GOOGLEFINANCE(""IDX:""&amp;A628,""price"")"),1145.0)</f>
        <v>1145</v>
      </c>
      <c r="D628" s="16" t="str">
        <f>IFERROR(__xludf.DUMMYFUNCTION("IF(A628="""","""",
SPARKLINE(
INDEX(
GOOGLEFINANCE(""IDX:""&amp;A628,""close"",TODAY()-365,TODAY()),
,2
),
{""linewidth"",1}
))
"),"#N/A")</f>
        <v>#N/A</v>
      </c>
      <c r="E628" s="14" t="s">
        <v>86</v>
      </c>
      <c r="F628" s="25">
        <v>46356.0</v>
      </c>
      <c r="G628" s="18">
        <f t="shared" si="5"/>
        <v>12</v>
      </c>
      <c r="H628" s="19">
        <f>VLOOKUP(A628,Metrik!$C$2:$Y$959,8,0)</f>
        <v>6.6</v>
      </c>
      <c r="I628" s="20">
        <f>VLOOKUP(A628,Metrik!$C$2:$Y$959,9,0)</f>
        <v>1.1</v>
      </c>
      <c r="J628" s="20">
        <f>VLOOKUP(A628,Metrik!$C$2:$Y$959,10,0)</f>
        <v>15.8</v>
      </c>
      <c r="K628" s="20">
        <f>VLOOKUP(A628,Metrik!$C$2:$Y$959,11,0)</f>
        <v>10.7</v>
      </c>
      <c r="L628" s="20">
        <f>VLOOKUP(A628,Metrik!$C$2:$Y$959,12,0)</f>
        <v>0.47</v>
      </c>
      <c r="M628" s="20">
        <f>VLOOKUP(A628,Metrik!$C$2:$Y$959,19,0)</f>
        <v>65.9</v>
      </c>
      <c r="N628" s="21"/>
      <c r="O628" s="21"/>
      <c r="P628" s="21"/>
      <c r="Q628" s="21"/>
      <c r="R628" s="21"/>
      <c r="S628" s="21"/>
      <c r="T628" s="21"/>
      <c r="U628" s="22">
        <f>IFERROR(__xludf.DUMMYFUNCTION("IFERROR(GOOGLEFINANCE(A628,""closeyest""),"""")"),1095.0)</f>
        <v>1095</v>
      </c>
      <c r="V628" s="23">
        <f>IFERROR(__xludf.DUMMYFUNCTION("IFERROR(GOOGLEFINANCE(A628,""changepct""),"""")"),4.57)</f>
        <v>4.57</v>
      </c>
      <c r="W628" s="22">
        <f>IFERROR(__xludf.DUMMYFUNCTION("IFERROR(GOOGLEFINANCE(A628,""priceopen""),"""")"),1105.0)</f>
        <v>1105</v>
      </c>
      <c r="X628" s="22">
        <f>IFERROR(__xludf.DUMMYFUNCTION("IFERROR(GOOGLEFINANCE(A628,""high""),"""")"),1170.0)</f>
        <v>1170</v>
      </c>
      <c r="Y628" s="22">
        <f>IFERROR(__xludf.DUMMYFUNCTION("IFERROR(GOOGLEFINANCE(A628,""low""),"""")"),1100.0)</f>
        <v>1100</v>
      </c>
      <c r="Z628" s="22">
        <f>IFERROR(__xludf.DUMMYFUNCTION("IFERROR(GOOGLEFINANCE(A628,""volume""),"""")"),7343000.0)</f>
        <v>7343000</v>
      </c>
      <c r="AA628" s="24" t="str">
        <f>VLOOKUP(A628,Metrik!$C$2:$Y$959,5,0)</f>
        <v>Agricultural Products</v>
      </c>
      <c r="AB628" s="24" t="str">
        <f>VLOOKUP(A628,Metrik!$C$2:$Y$959,3,0)</f>
        <v>Consumer Non-Cyclicals</v>
      </c>
    </row>
    <row r="629">
      <c r="A629" s="14" t="s">
        <v>347</v>
      </c>
      <c r="B629" s="14" t="str">
        <f t="array" ref="B629">VLOOKUP(A629,{Metrik!$C$2:$C$998,Metrik!$B$2:$B$998},2,0)</f>
        <v>PT Dharma Satya Nusantara Tbk.</v>
      </c>
      <c r="C629" s="15">
        <f>IFERROR(__xludf.DUMMYFUNCTION("GOOGLEFINANCE(""IDX:""&amp;A629,""price"")"),1145.0)</f>
        <v>1145</v>
      </c>
      <c r="D629" s="16" t="str">
        <f>IFERROR(__xludf.DUMMYFUNCTION("IF(A629="""","""",
SPARKLINE(
INDEX(
GOOGLEFINANCE(""IDX:""&amp;A629,""close"",TODAY()-365,TODAY()),
,2
),
{""linewidth"",1}
))
"),"#N/A")</f>
        <v>#N/A</v>
      </c>
      <c r="E629" s="14" t="s">
        <v>39</v>
      </c>
      <c r="F629" s="25">
        <v>46356.0</v>
      </c>
      <c r="G629" s="18">
        <f t="shared" si="5"/>
        <v>12</v>
      </c>
      <c r="H629" s="19">
        <f>VLOOKUP(A629,Metrik!$C$2:$Y$959,8,0)</f>
        <v>6.6</v>
      </c>
      <c r="I629" s="20">
        <f>VLOOKUP(A629,Metrik!$C$2:$Y$959,9,0)</f>
        <v>1.1</v>
      </c>
      <c r="J629" s="20">
        <f>VLOOKUP(A629,Metrik!$C$2:$Y$959,10,0)</f>
        <v>15.8</v>
      </c>
      <c r="K629" s="20">
        <f>VLOOKUP(A629,Metrik!$C$2:$Y$959,11,0)</f>
        <v>10.7</v>
      </c>
      <c r="L629" s="20">
        <f>VLOOKUP(A629,Metrik!$C$2:$Y$959,12,0)</f>
        <v>0.47</v>
      </c>
      <c r="M629" s="20">
        <f>VLOOKUP(A629,Metrik!$C$2:$Y$959,19,0)</f>
        <v>65.9</v>
      </c>
      <c r="N629" s="21"/>
      <c r="O629" s="21"/>
      <c r="P629" s="21"/>
      <c r="Q629" s="21"/>
      <c r="R629" s="21"/>
      <c r="S629" s="21"/>
      <c r="T629" s="21"/>
      <c r="U629" s="22">
        <f>IFERROR(__xludf.DUMMYFUNCTION("IFERROR(GOOGLEFINANCE(A629,""closeyest""),"""")"),1095.0)</f>
        <v>1095</v>
      </c>
      <c r="V629" s="23">
        <f>IFERROR(__xludf.DUMMYFUNCTION("IFERROR(GOOGLEFINANCE(A629,""changepct""),"""")"),4.57)</f>
        <v>4.57</v>
      </c>
      <c r="W629" s="22">
        <f>IFERROR(__xludf.DUMMYFUNCTION("IFERROR(GOOGLEFINANCE(A629,""priceopen""),"""")"),1105.0)</f>
        <v>1105</v>
      </c>
      <c r="X629" s="22">
        <f>IFERROR(__xludf.DUMMYFUNCTION("IFERROR(GOOGLEFINANCE(A629,""high""),"""")"),1170.0)</f>
        <v>1170</v>
      </c>
      <c r="Y629" s="22">
        <f>IFERROR(__xludf.DUMMYFUNCTION("IFERROR(GOOGLEFINANCE(A629,""low""),"""")"),1100.0)</f>
        <v>1100</v>
      </c>
      <c r="Z629" s="22">
        <f>IFERROR(__xludf.DUMMYFUNCTION("IFERROR(GOOGLEFINANCE(A629,""volume""),"""")"),7343000.0)</f>
        <v>7343000</v>
      </c>
      <c r="AA629" s="24" t="str">
        <f>VLOOKUP(A629,Metrik!$C$2:$Y$959,5,0)</f>
        <v>Agricultural Products</v>
      </c>
      <c r="AB629" s="24" t="str">
        <f>VLOOKUP(A629,Metrik!$C$2:$Y$959,3,0)</f>
        <v>Consumer Non-Cyclicals</v>
      </c>
    </row>
    <row r="630">
      <c r="A630" s="14" t="s">
        <v>348</v>
      </c>
      <c r="B630" s="14" t="str">
        <f t="array" ref="B630">VLOOKUP(A630,{Metrik!$C$2:$C$998,Metrik!$B$2:$B$998},2,0)</f>
        <v>Dian Swastatika Sentosa Tbk</v>
      </c>
      <c r="C630" s="15">
        <f>IFERROR(__xludf.DUMMYFUNCTION("GOOGLEFINANCE(""IDX:""&amp;A630,""price"")"),825.0)</f>
        <v>825</v>
      </c>
      <c r="D630" s="16" t="str">
        <f>IFERROR(__xludf.DUMMYFUNCTION("IF(A630="""","""",
SPARKLINE(
INDEX(
GOOGLEFINANCE(""IDX:""&amp;A630,""close"",TODAY()-365,TODAY()),
,2
),
{""linewidth"",1}
))
"),"#N/A")</f>
        <v>#N/A</v>
      </c>
      <c r="E630" s="14" t="s">
        <v>32</v>
      </c>
      <c r="F630" s="14" t="s">
        <v>29</v>
      </c>
      <c r="G630" s="24">
        <f t="shared" si="5"/>
        <v>2</v>
      </c>
      <c r="H630" s="19">
        <f>VLOOKUP(A630,Metrik!$C$2:$Y$959,8,0)</f>
        <v>24.5</v>
      </c>
      <c r="I630" s="20">
        <f>VLOOKUP(A630,Metrik!$C$2:$Y$959,9,0)</f>
        <v>2.5</v>
      </c>
      <c r="J630" s="20">
        <f>VLOOKUP(A630,Metrik!$C$2:$Y$959,10,0)</f>
        <v>10.2</v>
      </c>
      <c r="K630" s="20">
        <f>VLOOKUP(A630,Metrik!$C$2:$Y$959,11,0)</f>
        <v>5.2</v>
      </c>
      <c r="L630" s="20">
        <f>VLOOKUP(A630,Metrik!$C$2:$Y$959,12,0)</f>
        <v>0.95</v>
      </c>
      <c r="M630" s="20">
        <f>VLOOKUP(A630,Metrik!$C$2:$Y$959,19,0)</f>
        <v>8.3</v>
      </c>
      <c r="N630" s="21"/>
      <c r="O630" s="21"/>
      <c r="P630" s="21"/>
      <c r="Q630" s="21"/>
      <c r="R630" s="21"/>
      <c r="S630" s="21"/>
      <c r="T630" s="21"/>
      <c r="U630" s="22">
        <f>IFERROR(__xludf.DUMMYFUNCTION("IFERROR(GOOGLEFINANCE(A630,""closeyest""),"""")"),730.0)</f>
        <v>730</v>
      </c>
      <c r="V630" s="23">
        <f>IFERROR(__xludf.DUMMYFUNCTION("IFERROR(GOOGLEFINANCE(A630,""changepct""),"""")"),13.01)</f>
        <v>13.01</v>
      </c>
      <c r="W630" s="22" t="str">
        <f>IFERROR(__xludf.DUMMYFUNCTION("IFERROR(GOOGLEFINANCE(A630,""priceopen""),"""")"),"")</f>
        <v/>
      </c>
      <c r="X630" s="22">
        <f>IFERROR(__xludf.DUMMYFUNCTION("IFERROR(GOOGLEFINANCE(A630,""high""),"""")"),850.0)</f>
        <v>850</v>
      </c>
      <c r="Y630" s="22">
        <f>IFERROR(__xludf.DUMMYFUNCTION("IFERROR(GOOGLEFINANCE(A630,""low""),"""")"),750.0)</f>
        <v>750</v>
      </c>
      <c r="Z630" s="22">
        <f>IFERROR(__xludf.DUMMYFUNCTION("IFERROR(GOOGLEFINANCE(A630,""volume""),"""")"),1.3605168E9)</f>
        <v>1360516800</v>
      </c>
      <c r="AA630" s="24" t="str">
        <f>VLOOKUP(A630,Metrik!$C$2:$Y$959,5,0)</f>
        <v>Coal</v>
      </c>
      <c r="AB630" s="24" t="str">
        <f>VLOOKUP(A630,Metrik!$C$2:$Y$959,3,0)</f>
        <v>Energy</v>
      </c>
    </row>
    <row r="631">
      <c r="A631" s="14" t="s">
        <v>348</v>
      </c>
      <c r="B631" s="14" t="str">
        <f t="array" ref="B631">VLOOKUP(A631,{Metrik!$C$2:$C$998,Metrik!$B$2:$B$998},2,0)</f>
        <v>Dian Swastatika Sentosa Tbk</v>
      </c>
      <c r="C631" s="15">
        <f>IFERROR(__xludf.DUMMYFUNCTION("GOOGLEFINANCE(""IDX:""&amp;A631,""price"")"),825.0)</f>
        <v>825</v>
      </c>
      <c r="D631" s="16" t="str">
        <f>IFERROR(__xludf.DUMMYFUNCTION("IF(A631="""","""",
SPARKLINE(
INDEX(
GOOGLEFINANCE(""IDX:""&amp;A631,""close"",TODAY()-365,TODAY()),
,2
),
{""linewidth"",1}
))
"),"#N/A")</f>
        <v>#N/A</v>
      </c>
      <c r="E631" s="14" t="s">
        <v>161</v>
      </c>
      <c r="F631" s="14" t="s">
        <v>76</v>
      </c>
      <c r="G631" s="24">
        <f t="shared" si="5"/>
        <v>2</v>
      </c>
      <c r="H631" s="19">
        <f>VLOOKUP(A631,Metrik!$C$2:$Y$959,8,0)</f>
        <v>24.5</v>
      </c>
      <c r="I631" s="20">
        <f>VLOOKUP(A631,Metrik!$C$2:$Y$959,9,0)</f>
        <v>2.5</v>
      </c>
      <c r="J631" s="20">
        <f>VLOOKUP(A631,Metrik!$C$2:$Y$959,10,0)</f>
        <v>10.2</v>
      </c>
      <c r="K631" s="20">
        <f>VLOOKUP(A631,Metrik!$C$2:$Y$959,11,0)</f>
        <v>5.2</v>
      </c>
      <c r="L631" s="20">
        <f>VLOOKUP(A631,Metrik!$C$2:$Y$959,12,0)</f>
        <v>0.95</v>
      </c>
      <c r="M631" s="20">
        <f>VLOOKUP(A631,Metrik!$C$2:$Y$959,19,0)</f>
        <v>8.3</v>
      </c>
      <c r="N631" s="21"/>
      <c r="O631" s="21"/>
      <c r="P631" s="21"/>
      <c r="Q631" s="21"/>
      <c r="R631" s="21"/>
      <c r="S631" s="21"/>
      <c r="T631" s="21"/>
      <c r="U631" s="22">
        <f>IFERROR(__xludf.DUMMYFUNCTION("IFERROR(GOOGLEFINANCE(A631,""closeyest""),"""")"),730.0)</f>
        <v>730</v>
      </c>
      <c r="V631" s="23">
        <f>IFERROR(__xludf.DUMMYFUNCTION("IFERROR(GOOGLEFINANCE(A631,""changepct""),"""")"),13.01)</f>
        <v>13.01</v>
      </c>
      <c r="W631" s="22" t="str">
        <f>IFERROR(__xludf.DUMMYFUNCTION("IFERROR(GOOGLEFINANCE(A631,""priceopen""),"""")"),"")</f>
        <v/>
      </c>
      <c r="X631" s="22">
        <f>IFERROR(__xludf.DUMMYFUNCTION("IFERROR(GOOGLEFINANCE(A631,""high""),"""")"),850.0)</f>
        <v>850</v>
      </c>
      <c r="Y631" s="22">
        <f>IFERROR(__xludf.DUMMYFUNCTION("IFERROR(GOOGLEFINANCE(A631,""low""),"""")"),750.0)</f>
        <v>750</v>
      </c>
      <c r="Z631" s="22">
        <f>IFERROR(__xludf.DUMMYFUNCTION("IFERROR(GOOGLEFINANCE(A631,""volume""),"""")"),1.3605168E9)</f>
        <v>1360516800</v>
      </c>
      <c r="AA631" s="24" t="str">
        <f>VLOOKUP(A631,Metrik!$C$2:$Y$959,5,0)</f>
        <v>Coal</v>
      </c>
      <c r="AB631" s="24" t="str">
        <f>VLOOKUP(A631,Metrik!$C$2:$Y$959,3,0)</f>
        <v>Energy</v>
      </c>
    </row>
    <row r="632">
      <c r="A632" s="14" t="s">
        <v>349</v>
      </c>
      <c r="B632" s="14" t="str">
        <f t="array" ref="B632">VLOOKUP(A632,{Metrik!$C$2:$C$998,Metrik!$B$2:$B$998},2,0)</f>
        <v>Jaya Bersama Indo Tbk.</v>
      </c>
      <c r="C632" s="15">
        <f>IFERROR(__xludf.DUMMYFUNCTION("GOOGLEFINANCE(""IDX:""&amp;A632,""price"")"),176.0)</f>
        <v>176</v>
      </c>
      <c r="D632" s="16" t="str">
        <f>IFERROR(__xludf.DUMMYFUNCTION("IF(A632="""","""",
SPARKLINE(
INDEX(
GOOGLEFINANCE(""IDX:""&amp;A632,""close"",TODAY()-365,TODAY()),
,2
),
{""linewidth"",1}
))
"),"#N/A")</f>
        <v>#N/A</v>
      </c>
      <c r="E632" s="26"/>
      <c r="F632" s="26"/>
      <c r="G632" s="24">
        <f t="shared" si="5"/>
        <v>0</v>
      </c>
      <c r="H632" s="19">
        <f>VLOOKUP(A632,Metrik!$C$2:$Y$959,8,0)</f>
        <v>0</v>
      </c>
      <c r="I632" s="20">
        <f>VLOOKUP(A632,Metrik!$C$2:$Y$959,9,0)</f>
        <v>0.24</v>
      </c>
      <c r="J632" s="20">
        <f>VLOOKUP(A632,Metrik!$C$2:$Y$959,10,0)</f>
        <v>4.5</v>
      </c>
      <c r="K632" s="20">
        <f>VLOOKUP(A632,Metrik!$C$2:$Y$959,11,0)</f>
        <v>3.1</v>
      </c>
      <c r="L632" s="20">
        <f>VLOOKUP(A632,Metrik!$C$2:$Y$959,12,0)</f>
        <v>0.46</v>
      </c>
      <c r="M632" s="20">
        <f>VLOOKUP(A632,Metrik!$C$2:$Y$959,19,0)</f>
        <v>22.9</v>
      </c>
      <c r="N632" s="21"/>
      <c r="O632" s="21"/>
      <c r="P632" s="21"/>
      <c r="Q632" s="21"/>
      <c r="R632" s="21"/>
      <c r="S632" s="21"/>
      <c r="T632" s="21"/>
      <c r="U632" s="22">
        <f>IFERROR(__xludf.DUMMYFUNCTION("IFERROR(GOOGLEFINANCE(A632,""closeyest""),"""")"),176.0)</f>
        <v>176</v>
      </c>
      <c r="V632" s="23">
        <f>IFERROR(__xludf.DUMMYFUNCTION("IFERROR(GOOGLEFINANCE(A632,""changepct""),"""")"),0.0)</f>
        <v>0</v>
      </c>
      <c r="W632" s="22" t="str">
        <f>IFERROR(__xludf.DUMMYFUNCTION("IFERROR(GOOGLEFINANCE(A632,""priceopen""),"""")"),"")</f>
        <v/>
      </c>
      <c r="X632" s="22" t="str">
        <f>IFERROR(__xludf.DUMMYFUNCTION("IFERROR(GOOGLEFINANCE(A632,""high""),"""")"),"")</f>
        <v/>
      </c>
      <c r="Y632" s="22" t="str">
        <f>IFERROR(__xludf.DUMMYFUNCTION("IFERROR(GOOGLEFINANCE(A632,""low""),"""")"),"")</f>
        <v/>
      </c>
      <c r="Z632" s="22">
        <f>IFERROR(__xludf.DUMMYFUNCTION("IFERROR(GOOGLEFINANCE(A632,""volume""),"""")"),0.0)</f>
        <v>0</v>
      </c>
      <c r="AA632" s="24" t="str">
        <f>VLOOKUP(A632,Metrik!$C$2:$Y$959,5,0)</f>
        <v>Tourism &amp; Recreation</v>
      </c>
      <c r="AB632" s="24" t="str">
        <f>VLOOKUP(A632,Metrik!$C$2:$Y$959,3,0)</f>
        <v>Consumer Cyclicals</v>
      </c>
    </row>
    <row r="633">
      <c r="A633" s="14" t="s">
        <v>350</v>
      </c>
      <c r="B633" s="14" t="str">
        <f t="array" ref="B633">VLOOKUP(A633,{Metrik!$C$2:$C$998,Metrik!$B$2:$B$998},2,0)</f>
        <v>Duta Pertiwi Tbk</v>
      </c>
      <c r="C633" s="15">
        <f>IFERROR(__xludf.DUMMYFUNCTION("GOOGLEFINANCE(""IDX:""&amp;A633,""price"")"),4000.0)</f>
        <v>4000</v>
      </c>
      <c r="D633" s="16" t="str">
        <f>IFERROR(__xludf.DUMMYFUNCTION("IF(A633="""","""",
SPARKLINE(
INDEX(
GOOGLEFINANCE(""IDX:""&amp;A633,""close"",TODAY()-365,TODAY()),
,2
),
{""linewidth"",1}
))
"),"#N/A")</f>
        <v>#N/A</v>
      </c>
      <c r="E633" s="26"/>
      <c r="F633" s="26"/>
      <c r="G633" s="24">
        <f t="shared" si="5"/>
        <v>0</v>
      </c>
      <c r="H633" s="19">
        <f>VLOOKUP(A633,Metrik!$C$2:$Y$959,8,0)</f>
        <v>18</v>
      </c>
      <c r="I633" s="20">
        <f>VLOOKUP(A633,Metrik!$C$2:$Y$959,9,0)</f>
        <v>0.55</v>
      </c>
      <c r="J633" s="20">
        <f>VLOOKUP(A633,Metrik!$C$2:$Y$959,10,0)</f>
        <v>3.1</v>
      </c>
      <c r="K633" s="20">
        <f>VLOOKUP(A633,Metrik!$C$2:$Y$959,11,0)</f>
        <v>2.6</v>
      </c>
      <c r="L633" s="20">
        <f>VLOOKUP(A633,Metrik!$C$2:$Y$959,12,0)</f>
        <v>0.18</v>
      </c>
      <c r="M633" s="20">
        <f>VLOOKUP(A633,Metrik!$C$2:$Y$959,19,0)</f>
        <v>15.4</v>
      </c>
      <c r="N633" s="21"/>
      <c r="O633" s="21"/>
      <c r="P633" s="21"/>
      <c r="Q633" s="21"/>
      <c r="R633" s="21"/>
      <c r="S633" s="21"/>
      <c r="T633" s="21"/>
      <c r="U633" s="22">
        <f>IFERROR(__xludf.DUMMYFUNCTION("IFERROR(GOOGLEFINANCE(A633,""closeyest""),"""")"),4000.0)</f>
        <v>4000</v>
      </c>
      <c r="V633" s="23">
        <f>IFERROR(__xludf.DUMMYFUNCTION("IFERROR(GOOGLEFINANCE(A633,""changepct""),"""")"),0.0)</f>
        <v>0</v>
      </c>
      <c r="W633" s="22" t="str">
        <f>IFERROR(__xludf.DUMMYFUNCTION("IFERROR(GOOGLEFINANCE(A633,""priceopen""),"""")"),"")</f>
        <v/>
      </c>
      <c r="X633" s="22" t="str">
        <f>IFERROR(__xludf.DUMMYFUNCTION("IFERROR(GOOGLEFINANCE(A633,""high""),"""")"),"")</f>
        <v/>
      </c>
      <c r="Y633" s="22" t="str">
        <f>IFERROR(__xludf.DUMMYFUNCTION("IFERROR(GOOGLEFINANCE(A633,""low""),"""")"),"")</f>
        <v/>
      </c>
      <c r="Z633" s="22">
        <f>IFERROR(__xludf.DUMMYFUNCTION("IFERROR(GOOGLEFINANCE(A633,""volume""),"""")"),0.0)</f>
        <v>0</v>
      </c>
      <c r="AA633" s="24" t="str">
        <f>VLOOKUP(A633,Metrik!$C$2:$Y$959,5,0)</f>
        <v>Real Estate Management &amp; Development</v>
      </c>
      <c r="AB633" s="24" t="str">
        <f>VLOOKUP(A633,Metrik!$C$2:$Y$959,3,0)</f>
        <v>Properties &amp; Real Estate</v>
      </c>
    </row>
    <row r="634">
      <c r="A634" s="14" t="s">
        <v>351</v>
      </c>
      <c r="B634" s="14" t="str">
        <f t="array" ref="B634">VLOOKUP(A634,{Metrik!$C$2:$C$998,Metrik!$B$2:$B$998},2,0)</f>
        <v>Darya-Varia Laboratoria Tbk.</v>
      </c>
      <c r="C634" s="15">
        <f>IFERROR(__xludf.DUMMYFUNCTION("GOOGLEFINANCE(""IDX:""&amp;A634,""price"")"),1530.0)</f>
        <v>1530</v>
      </c>
      <c r="D634" s="16" t="str">
        <f>IFERROR(__xludf.DUMMYFUNCTION("IF(A634="""","""",
SPARKLINE(
INDEX(
GOOGLEFINANCE(""IDX:""&amp;A634,""close"",TODAY()-365,TODAY()),
,2
),
{""linewidth"",1}
))
"),"#N/A")</f>
        <v>#N/A</v>
      </c>
      <c r="E634" s="26"/>
      <c r="F634" s="26"/>
      <c r="G634" s="24">
        <f t="shared" si="5"/>
        <v>0</v>
      </c>
      <c r="H634" s="19">
        <f>VLOOKUP(A634,Metrik!$C$2:$Y$959,8,0)</f>
        <v>12.6</v>
      </c>
      <c r="I634" s="20">
        <f>VLOOKUP(A634,Metrik!$C$2:$Y$959,9,0)</f>
        <v>1.2</v>
      </c>
      <c r="J634" s="20">
        <f>VLOOKUP(A634,Metrik!$C$2:$Y$959,10,0)</f>
        <v>9.2</v>
      </c>
      <c r="K634" s="20">
        <f>VLOOKUP(A634,Metrik!$C$2:$Y$959,11,0)</f>
        <v>5.6</v>
      </c>
      <c r="L634" s="20">
        <f>VLOOKUP(A634,Metrik!$C$2:$Y$959,12,0)</f>
        <v>0.64</v>
      </c>
      <c r="M634" s="20">
        <f>VLOOKUP(A634,Metrik!$C$2:$Y$959,19,0)</f>
        <v>23.6</v>
      </c>
      <c r="N634" s="21"/>
      <c r="O634" s="21"/>
      <c r="P634" s="21"/>
      <c r="Q634" s="21"/>
      <c r="R634" s="21"/>
      <c r="S634" s="21"/>
      <c r="T634" s="21"/>
      <c r="U634" s="22">
        <f>IFERROR(__xludf.DUMMYFUNCTION("IFERROR(GOOGLEFINANCE(A634,""closeyest""),"""")"),1535.0)</f>
        <v>1535</v>
      </c>
      <c r="V634" s="23">
        <f>IFERROR(__xludf.DUMMYFUNCTION("IFERROR(GOOGLEFINANCE(A634,""changepct""),"""")"),-0.33)</f>
        <v>-0.33</v>
      </c>
      <c r="W634" s="22">
        <f>IFERROR(__xludf.DUMMYFUNCTION("IFERROR(GOOGLEFINANCE(A634,""priceopen""),"""")"),1545.0)</f>
        <v>1545</v>
      </c>
      <c r="X634" s="22">
        <f>IFERROR(__xludf.DUMMYFUNCTION("IFERROR(GOOGLEFINANCE(A634,""high""),"""")"),1545.0)</f>
        <v>1545</v>
      </c>
      <c r="Y634" s="22" t="str">
        <f>IFERROR(__xludf.DUMMYFUNCTION("IFERROR(GOOGLEFINANCE(A634,""low""),"""")"),"")</f>
        <v/>
      </c>
      <c r="Z634" s="22">
        <f>IFERROR(__xludf.DUMMYFUNCTION("IFERROR(GOOGLEFINANCE(A634,""volume""),"""")"),11000.0)</f>
        <v>11000</v>
      </c>
      <c r="AA634" s="24" t="str">
        <f>VLOOKUP(A634,Metrik!$C$2:$Y$959,5,0)</f>
        <v>Pharmaceuticals</v>
      </c>
      <c r="AB634" s="24" t="str">
        <f>VLOOKUP(A634,Metrik!$C$2:$Y$959,3,0)</f>
        <v>Healthcare</v>
      </c>
    </row>
    <row r="635">
      <c r="A635" s="14" t="s">
        <v>352</v>
      </c>
      <c r="B635" s="14" t="str">
        <f t="array" ref="B635">VLOOKUP(A635,{Metrik!$C$2:$C$998,Metrik!$B$2:$B$998},2,0)</f>
        <v>Dwi Guna Laksana Tbk.</v>
      </c>
      <c r="C635" s="15">
        <f>IFERROR(__xludf.DUMMYFUNCTION("GOOGLEFINANCE(""IDX:""&amp;A635,""price"")"),254.0)</f>
        <v>254</v>
      </c>
      <c r="D635" s="16" t="str">
        <f>IFERROR(__xludf.DUMMYFUNCTION("IF(A635="""","""",
SPARKLINE(
INDEX(
GOOGLEFINANCE(""IDX:""&amp;A635,""close"",TODAY()-365,TODAY()),
,2
),
{""linewidth"",1}
))
"),"#N/A")</f>
        <v>#N/A</v>
      </c>
      <c r="E635" s="26"/>
      <c r="F635" s="26"/>
      <c r="G635" s="24">
        <f t="shared" si="5"/>
        <v>0</v>
      </c>
      <c r="H635" s="19">
        <f>VLOOKUP(A635,Metrik!$C$2:$Y$959,8,0)</f>
        <v>10.4</v>
      </c>
      <c r="I635" s="20">
        <f>VLOOKUP(A635,Metrik!$C$2:$Y$959,9,0)</f>
        <v>4.3</v>
      </c>
      <c r="J635" s="20">
        <f>VLOOKUP(A635,Metrik!$C$2:$Y$959,10,0)</f>
        <v>41.4</v>
      </c>
      <c r="K635" s="20">
        <f>VLOOKUP(A635,Metrik!$C$2:$Y$959,11,0)</f>
        <v>14.1</v>
      </c>
      <c r="L635" s="20">
        <f>VLOOKUP(A635,Metrik!$C$2:$Y$959,12,0)</f>
        <v>1.9</v>
      </c>
      <c r="M635" s="20">
        <f>VLOOKUP(A635,Metrik!$C$2:$Y$959,19,0)</f>
        <v>30.6</v>
      </c>
      <c r="N635" s="21"/>
      <c r="O635" s="21"/>
      <c r="P635" s="21"/>
      <c r="Q635" s="21"/>
      <c r="R635" s="21"/>
      <c r="S635" s="21"/>
      <c r="T635" s="21"/>
      <c r="U635" s="22">
        <f>IFERROR(__xludf.DUMMYFUNCTION("IFERROR(GOOGLEFINANCE(A635,""closeyest""),"""")"),256.0)</f>
        <v>256</v>
      </c>
      <c r="V635" s="23">
        <f>IFERROR(__xludf.DUMMYFUNCTION("IFERROR(GOOGLEFINANCE(A635,""changepct""),"""")"),-0.78)</f>
        <v>-0.78</v>
      </c>
      <c r="W635" s="22">
        <f>IFERROR(__xludf.DUMMYFUNCTION("IFERROR(GOOGLEFINANCE(A635,""priceopen""),"""")"),256.0)</f>
        <v>256</v>
      </c>
      <c r="X635" s="22">
        <f>IFERROR(__xludf.DUMMYFUNCTION("IFERROR(GOOGLEFINANCE(A635,""high""),"""")"),258.0)</f>
        <v>258</v>
      </c>
      <c r="Y635" s="22">
        <f>IFERROR(__xludf.DUMMYFUNCTION("IFERROR(GOOGLEFINANCE(A635,""low""),"""")"),252.0)</f>
        <v>252</v>
      </c>
      <c r="Z635" s="22">
        <f>IFERROR(__xludf.DUMMYFUNCTION("IFERROR(GOOGLEFINANCE(A635,""volume""),"""")"),442800.0)</f>
        <v>442800</v>
      </c>
      <c r="AA635" s="24" t="str">
        <f>VLOOKUP(A635,Metrik!$C$2:$Y$959,5,0)</f>
        <v>Coal</v>
      </c>
      <c r="AB635" s="24" t="str">
        <f>VLOOKUP(A635,Metrik!$C$2:$Y$959,3,0)</f>
        <v>Energy</v>
      </c>
    </row>
    <row r="636">
      <c r="A636" s="14" t="s">
        <v>353</v>
      </c>
      <c r="B636" s="14" t="str">
        <f t="array" ref="B636">VLOOKUP(A636,{Metrik!$C$2:$C$998,Metrik!$B$2:$B$998},2,0)</f>
        <v>Dyandra Media International Tbk.</v>
      </c>
      <c r="C636" s="15">
        <f>IFERROR(__xludf.DUMMYFUNCTION("GOOGLEFINANCE(""IDX:""&amp;A636,""price"")"),75.0)</f>
        <v>75</v>
      </c>
      <c r="D636" s="16" t="str">
        <f>IFERROR(__xludf.DUMMYFUNCTION("IF(A636="""","""",
SPARKLINE(
INDEX(
GOOGLEFINANCE(""IDX:""&amp;A636,""close"",TODAY()-365,TODAY()),
,2
),
{""linewidth"",1}
))
"),"#N/A")</f>
        <v>#N/A</v>
      </c>
      <c r="E636" s="26"/>
      <c r="F636" s="26"/>
      <c r="G636" s="24">
        <f t="shared" si="5"/>
        <v>0</v>
      </c>
      <c r="H636" s="19">
        <f>VLOOKUP(A636,Metrik!$C$2:$Y$959,8,0)</f>
        <v>7.3</v>
      </c>
      <c r="I636" s="20">
        <f>VLOOKUP(A636,Metrik!$C$2:$Y$959,9,0)</f>
        <v>0.44</v>
      </c>
      <c r="J636" s="20">
        <f>VLOOKUP(A636,Metrik!$C$2:$Y$959,10,0)</f>
        <v>6.1</v>
      </c>
      <c r="K636" s="20">
        <f>VLOOKUP(A636,Metrik!$C$2:$Y$959,11,0)</f>
        <v>3.3</v>
      </c>
      <c r="L636" s="20">
        <f>VLOOKUP(A636,Metrik!$C$2:$Y$959,12,0)</f>
        <v>0.86</v>
      </c>
      <c r="M636" s="20">
        <f>VLOOKUP(A636,Metrik!$C$2:$Y$959,19,0)</f>
        <v>11.2</v>
      </c>
      <c r="N636" s="21"/>
      <c r="O636" s="21"/>
      <c r="P636" s="21"/>
      <c r="Q636" s="21"/>
      <c r="R636" s="21"/>
      <c r="S636" s="21"/>
      <c r="T636" s="21"/>
      <c r="U636" s="22">
        <f>IFERROR(__xludf.DUMMYFUNCTION("IFERROR(GOOGLEFINANCE(A636,""closeyest""),"""")"),75.0)</f>
        <v>75</v>
      </c>
      <c r="V636" s="23">
        <f>IFERROR(__xludf.DUMMYFUNCTION("IFERROR(GOOGLEFINANCE(A636,""changepct""),"""")"),0.0)</f>
        <v>0</v>
      </c>
      <c r="W636" s="22">
        <f>IFERROR(__xludf.DUMMYFUNCTION("IFERROR(GOOGLEFINANCE(A636,""priceopen""),"""")"),74.0)</f>
        <v>74</v>
      </c>
      <c r="X636" s="22">
        <f>IFERROR(__xludf.DUMMYFUNCTION("IFERROR(GOOGLEFINANCE(A636,""high""),"""")"),76.0)</f>
        <v>76</v>
      </c>
      <c r="Y636" s="22">
        <f>IFERROR(__xludf.DUMMYFUNCTION("IFERROR(GOOGLEFINANCE(A636,""low""),"""")"),73.0)</f>
        <v>73</v>
      </c>
      <c r="Z636" s="22">
        <f>IFERROR(__xludf.DUMMYFUNCTION("IFERROR(GOOGLEFINANCE(A636,""volume""),"""")"),1294800.0)</f>
        <v>1294800</v>
      </c>
      <c r="AA636" s="24" t="str">
        <f>VLOOKUP(A636,Metrik!$C$2:$Y$959,5,0)</f>
        <v>Commercial Services</v>
      </c>
      <c r="AB636" s="24" t="str">
        <f>VLOOKUP(A636,Metrik!$C$2:$Y$959,3,0)</f>
        <v>Industrials</v>
      </c>
    </row>
    <row r="637">
      <c r="A637" s="14" t="s">
        <v>354</v>
      </c>
      <c r="B637" s="14" t="str">
        <f t="array" ref="B637">VLOOKUP(A637,{Metrik!$C$2:$C$998,Metrik!$B$2:$B$998},2,0)</f>
        <v>Eastparc Hotel Tbk.</v>
      </c>
      <c r="C637" s="15">
        <f>IFERROR(__xludf.DUMMYFUNCTION("GOOGLEFINANCE(""IDX:""&amp;A637,""price"")"),89.0)</f>
        <v>89</v>
      </c>
      <c r="D637" s="16" t="str">
        <f>IFERROR(__xludf.DUMMYFUNCTION("IF(A637="""","""",
SPARKLINE(
INDEX(
GOOGLEFINANCE(""IDX:""&amp;A637,""close"",TODAY()-365,TODAY()),
,2
),
{""linewidth"",1}
))
"),"#N/A")</f>
        <v>#N/A</v>
      </c>
      <c r="E637" s="26"/>
      <c r="F637" s="26"/>
      <c r="G637" s="24">
        <f t="shared" si="5"/>
        <v>0</v>
      </c>
      <c r="H637" s="19">
        <f>VLOOKUP(A637,Metrik!$C$2:$Y$959,8,0)</f>
        <v>11.5</v>
      </c>
      <c r="I637" s="20">
        <f>VLOOKUP(A637,Metrik!$C$2:$Y$959,9,0)</f>
        <v>0.79</v>
      </c>
      <c r="J637" s="20">
        <f>VLOOKUP(A637,Metrik!$C$2:$Y$959,10,0)</f>
        <v>6.9</v>
      </c>
      <c r="K637" s="20">
        <f>VLOOKUP(A637,Metrik!$C$2:$Y$959,11,0)</f>
        <v>6.5</v>
      </c>
      <c r="L637" s="20">
        <f>VLOOKUP(A637,Metrik!$C$2:$Y$959,12,0)</f>
        <v>0.05</v>
      </c>
      <c r="M637" s="20">
        <f>VLOOKUP(A637,Metrik!$C$2:$Y$959,19,0)</f>
        <v>150</v>
      </c>
      <c r="N637" s="21"/>
      <c r="O637" s="21"/>
      <c r="P637" s="21"/>
      <c r="Q637" s="21"/>
      <c r="R637" s="21"/>
      <c r="S637" s="21"/>
      <c r="T637" s="21"/>
      <c r="U637" s="22">
        <f>IFERROR(__xludf.DUMMYFUNCTION("IFERROR(GOOGLEFINANCE(A637,""closeyest""),"""")"),49.38)</f>
        <v>49.38</v>
      </c>
      <c r="V637" s="23">
        <f>IFERROR(__xludf.DUMMYFUNCTION("IFERROR(GOOGLEFINANCE(A637,""changepct""),"""")"),0.29)</f>
        <v>0.29</v>
      </c>
      <c r="W637" s="22" t="str">
        <f>IFERROR(__xludf.DUMMYFUNCTION("IFERROR(GOOGLEFINANCE(A637,""priceopen""),"""")"),"")</f>
        <v/>
      </c>
      <c r="X637" s="22" t="str">
        <f>IFERROR(__xludf.DUMMYFUNCTION("IFERROR(GOOGLEFINANCE(A637,""high""),"""")"),"")</f>
        <v/>
      </c>
      <c r="Y637" s="22" t="str">
        <f>IFERROR(__xludf.DUMMYFUNCTION("IFERROR(GOOGLEFINANCE(A637,""low""),"""")"),"")</f>
        <v/>
      </c>
      <c r="Z637" s="22">
        <f>IFERROR(__xludf.DUMMYFUNCTION("IFERROR(GOOGLEFINANCE(A637,""volume""),"""")"),0.0)</f>
        <v>0</v>
      </c>
      <c r="AA637" s="24" t="str">
        <f>VLOOKUP(A637,Metrik!$C$2:$Y$959,5,0)</f>
        <v>Tourism &amp; Recreation</v>
      </c>
      <c r="AB637" s="24" t="str">
        <f>VLOOKUP(A637,Metrik!$C$2:$Y$959,3,0)</f>
        <v>Consumer Cyclicals</v>
      </c>
    </row>
    <row r="638">
      <c r="A638" s="14" t="s">
        <v>355</v>
      </c>
      <c r="B638" s="14" t="str">
        <f t="array" ref="B638">VLOOKUP(A638,{Metrik!$C$2:$C$998,Metrik!$B$2:$B$998},2,0)</f>
        <v>Electronic City Indonesia Tbk.</v>
      </c>
      <c r="C638" s="15">
        <f>IFERROR(__xludf.DUMMYFUNCTION("GOOGLEFINANCE(""IDX:""&amp;A638,""price"")"),119.0)</f>
        <v>119</v>
      </c>
      <c r="D638" s="16" t="str">
        <f>IFERROR(__xludf.DUMMYFUNCTION("IF(A638="""","""",
SPARKLINE(
INDEX(
GOOGLEFINANCE(""IDX:""&amp;A638,""close"",TODAY()-365,TODAY()),
,2
),
{""linewidth"",1}
))
"),"#N/A")</f>
        <v>#N/A</v>
      </c>
      <c r="E638" s="26"/>
      <c r="F638" s="26"/>
      <c r="G638" s="24">
        <f t="shared" si="5"/>
        <v>0</v>
      </c>
      <c r="H638" s="19">
        <f>VLOOKUP(A638,Metrik!$C$2:$Y$959,8,0)</f>
        <v>-1.4</v>
      </c>
      <c r="I638" s="20">
        <f>VLOOKUP(A638,Metrik!$C$2:$Y$959,9,0)</f>
        <v>0.21</v>
      </c>
      <c r="J638" s="20">
        <f>VLOOKUP(A638,Metrik!$C$2:$Y$959,10,0)</f>
        <v>-14.6</v>
      </c>
      <c r="K638" s="20">
        <f>VLOOKUP(A638,Metrik!$C$2:$Y$959,11,0)</f>
        <v>-9.3</v>
      </c>
      <c r="L638" s="20">
        <f>VLOOKUP(A638,Metrik!$C$2:$Y$959,12,0)</f>
        <v>0.58</v>
      </c>
      <c r="M638" s="20">
        <f>VLOOKUP(A638,Metrik!$C$2:$Y$959,19,0)</f>
        <v>-24.1</v>
      </c>
      <c r="N638" s="21"/>
      <c r="O638" s="21"/>
      <c r="P638" s="21"/>
      <c r="Q638" s="21"/>
      <c r="R638" s="21"/>
      <c r="S638" s="21"/>
      <c r="T638" s="21"/>
      <c r="U638" s="22">
        <f>IFERROR(__xludf.DUMMYFUNCTION("IFERROR(GOOGLEFINANCE(A638,""closeyest""),"""")"),119.0)</f>
        <v>119</v>
      </c>
      <c r="V638" s="23">
        <f>IFERROR(__xludf.DUMMYFUNCTION("IFERROR(GOOGLEFINANCE(A638,""changepct""),"""")"),0.0)</f>
        <v>0</v>
      </c>
      <c r="W638" s="22">
        <f>IFERROR(__xludf.DUMMYFUNCTION("IFERROR(GOOGLEFINANCE(A638,""priceopen""),"""")"),116.0)</f>
        <v>116</v>
      </c>
      <c r="X638" s="22">
        <f>IFERROR(__xludf.DUMMYFUNCTION("IFERROR(GOOGLEFINANCE(A638,""high""),"""")"),130.0)</f>
        <v>130</v>
      </c>
      <c r="Y638" s="22">
        <f>IFERROR(__xludf.DUMMYFUNCTION("IFERROR(GOOGLEFINANCE(A638,""low""),"""")"),116.0)</f>
        <v>116</v>
      </c>
      <c r="Z638" s="22">
        <f>IFERROR(__xludf.DUMMYFUNCTION("IFERROR(GOOGLEFINANCE(A638,""volume""),"""")"),453900.0)</f>
        <v>453900</v>
      </c>
      <c r="AA638" s="24" t="str">
        <f>VLOOKUP(A638,Metrik!$C$2:$Y$959,5,0)</f>
        <v>Specialty Retail</v>
      </c>
      <c r="AB638" s="24" t="str">
        <f>VLOOKUP(A638,Metrik!$C$2:$Y$959,3,0)</f>
        <v>Consumer Cyclicals</v>
      </c>
    </row>
    <row r="639">
      <c r="A639" s="14" t="s">
        <v>356</v>
      </c>
      <c r="B639" s="14" t="str">
        <f t="array" ref="B639">VLOOKUP(A639,{Metrik!$C$2:$C$998,Metrik!$B$2:$B$998},2,0)</f>
        <v>Indointernet Tbk.</v>
      </c>
      <c r="C639" s="15">
        <f>IFERROR(__xludf.DUMMYFUNCTION("GOOGLEFINANCE(""IDX:""&amp;A639,""price"")"),4790.0)</f>
        <v>4790</v>
      </c>
      <c r="D639" s="16" t="str">
        <f>IFERROR(__xludf.DUMMYFUNCTION("IF(A639="""","""",
SPARKLINE(
INDEX(
GOOGLEFINANCE(""IDX:""&amp;A639,""close"",TODAY()-365,TODAY()),
,2
),
{""linewidth"",1}
))
"),"#N/A")</f>
        <v>#N/A</v>
      </c>
      <c r="E639" s="26"/>
      <c r="F639" s="26"/>
      <c r="G639" s="24">
        <f t="shared" si="5"/>
        <v>0</v>
      </c>
      <c r="H639" s="19">
        <f>VLOOKUP(A639,Metrik!$C$2:$Y$959,8,0)</f>
        <v>80.9</v>
      </c>
      <c r="I639" s="20">
        <f>VLOOKUP(A639,Metrik!$C$2:$Y$959,9,0)</f>
        <v>5.2</v>
      </c>
      <c r="J639" s="20">
        <f>VLOOKUP(A639,Metrik!$C$2:$Y$959,10,0)</f>
        <v>6.4</v>
      </c>
      <c r="K639" s="20">
        <f>VLOOKUP(A639,Metrik!$C$2:$Y$959,11,0)</f>
        <v>1.6</v>
      </c>
      <c r="L639" s="20">
        <f>VLOOKUP(A639,Metrik!$C$2:$Y$959,12,0)</f>
        <v>3</v>
      </c>
      <c r="M639" s="20">
        <f>VLOOKUP(A639,Metrik!$C$2:$Y$959,19,0)</f>
        <v>49.2</v>
      </c>
      <c r="N639" s="21"/>
      <c r="O639" s="21"/>
      <c r="P639" s="21"/>
      <c r="Q639" s="21"/>
      <c r="R639" s="21"/>
      <c r="S639" s="21"/>
      <c r="T639" s="21"/>
      <c r="U639" s="22">
        <f>IFERROR(__xludf.DUMMYFUNCTION("IFERROR(GOOGLEFINANCE(A639,""closeyest""),"""")"),49.92)</f>
        <v>49.92</v>
      </c>
      <c r="V639" s="23">
        <f>IFERROR(__xludf.DUMMYFUNCTION("IFERROR(GOOGLEFINANCE(A639,""changepct""),"""")"),0.56)</f>
        <v>0.56</v>
      </c>
      <c r="W639" s="22">
        <f>IFERROR(__xludf.DUMMYFUNCTION("IFERROR(GOOGLEFINANCE(A639,""priceopen""),"""")"),50.2)</f>
        <v>50.2</v>
      </c>
      <c r="X639" s="22">
        <f>IFERROR(__xludf.DUMMYFUNCTION("IFERROR(GOOGLEFINANCE(A639,""high""),"""")"),50.2)</f>
        <v>50.2</v>
      </c>
      <c r="Y639" s="22">
        <f>IFERROR(__xludf.DUMMYFUNCTION("IFERROR(GOOGLEFINANCE(A639,""low""),"""")"),50.2)</f>
        <v>50.2</v>
      </c>
      <c r="Z639" s="22">
        <f>IFERROR(__xludf.DUMMYFUNCTION("IFERROR(GOOGLEFINANCE(A639,""volume""),"""")"),267.0)</f>
        <v>267</v>
      </c>
      <c r="AA639" s="24" t="str">
        <f>VLOOKUP(A639,Metrik!$C$2:$Y$959,5,0)</f>
        <v>IT Services &amp; Consulting</v>
      </c>
      <c r="AB639" s="24" t="str">
        <f>VLOOKUP(A639,Metrik!$C$2:$Y$959,3,0)</f>
        <v>Technology</v>
      </c>
    </row>
    <row r="640">
      <c r="A640" s="14" t="s">
        <v>357</v>
      </c>
      <c r="B640" s="14" t="str">
        <f t="array" ref="B640">VLOOKUP(A640,{Metrik!$C$2:$C$998,Metrik!$B$2:$B$998},2,0)</f>
        <v>Ekadharma International Tbk.</v>
      </c>
      <c r="C640" s="15">
        <f>IFERROR(__xludf.DUMMYFUNCTION("GOOGLEFINANCE(""IDX:""&amp;A640,""price"")"),158.0)</f>
        <v>158</v>
      </c>
      <c r="D640" s="16" t="str">
        <f>IFERROR(__xludf.DUMMYFUNCTION("IF(A640="""","""",
SPARKLINE(
INDEX(
GOOGLEFINANCE(""IDX:""&amp;A640,""close"",TODAY()-365,TODAY()),
,2
),
{""linewidth"",1}
))
"),"#N/A")</f>
        <v>#N/A</v>
      </c>
      <c r="E640" s="26"/>
      <c r="F640" s="26"/>
      <c r="G640" s="24">
        <f t="shared" si="5"/>
        <v>0</v>
      </c>
      <c r="H640" s="19">
        <f>VLOOKUP(A640,Metrik!$C$2:$Y$959,8,0)</f>
        <v>12</v>
      </c>
      <c r="I640" s="20">
        <f>VLOOKUP(A640,Metrik!$C$2:$Y$959,9,0)</f>
        <v>0.47</v>
      </c>
      <c r="J640" s="20">
        <f>VLOOKUP(A640,Metrik!$C$2:$Y$959,10,0)</f>
        <v>4</v>
      </c>
      <c r="K640" s="20">
        <f>VLOOKUP(A640,Metrik!$C$2:$Y$959,11,0)</f>
        <v>3.7</v>
      </c>
      <c r="L640" s="20">
        <f>VLOOKUP(A640,Metrik!$C$2:$Y$959,12,0)</f>
        <v>0.08</v>
      </c>
      <c r="M640" s="20">
        <f>VLOOKUP(A640,Metrik!$C$2:$Y$959,19,0)</f>
        <v>35.2</v>
      </c>
      <c r="N640" s="21"/>
      <c r="O640" s="21"/>
      <c r="P640" s="21"/>
      <c r="Q640" s="21"/>
      <c r="R640" s="21"/>
      <c r="S640" s="21"/>
      <c r="T640" s="21"/>
      <c r="U640" s="22">
        <f>IFERROR(__xludf.DUMMYFUNCTION("IFERROR(GOOGLEFINANCE(A640,""closeyest""),"""")"),158.0)</f>
        <v>158</v>
      </c>
      <c r="V640" s="23">
        <f>IFERROR(__xludf.DUMMYFUNCTION("IFERROR(GOOGLEFINANCE(A640,""changepct""),"""")"),0.0)</f>
        <v>0</v>
      </c>
      <c r="W640" s="22">
        <f>IFERROR(__xludf.DUMMYFUNCTION("IFERROR(GOOGLEFINANCE(A640,""priceopen""),"""")"),155.0)</f>
        <v>155</v>
      </c>
      <c r="X640" s="22">
        <f>IFERROR(__xludf.DUMMYFUNCTION("IFERROR(GOOGLEFINANCE(A640,""high""),"""")"),167.0)</f>
        <v>167</v>
      </c>
      <c r="Y640" s="22">
        <f>IFERROR(__xludf.DUMMYFUNCTION("IFERROR(GOOGLEFINANCE(A640,""low""),"""")"),147.0)</f>
        <v>147</v>
      </c>
      <c r="Z640" s="22">
        <f>IFERROR(__xludf.DUMMYFUNCTION("IFERROR(GOOGLEFINANCE(A640,""volume""),"""")"),1068500.0)</f>
        <v>1068500</v>
      </c>
      <c r="AA640" s="24" t="str">
        <f>VLOOKUP(A640,Metrik!$C$2:$Y$959,5,0)</f>
        <v>Chemicals</v>
      </c>
      <c r="AB640" s="24" t="str">
        <f>VLOOKUP(A640,Metrik!$C$2:$Y$959,3,0)</f>
        <v>Basic Materials</v>
      </c>
    </row>
    <row r="641">
      <c r="A641" s="14" t="s">
        <v>358</v>
      </c>
      <c r="B641" s="14" t="str">
        <f t="array" ref="B641">VLOOKUP(A641,{Metrik!$C$2:$C$998,Metrik!$B$2:$B$998},2,0)</f>
        <v>PT Data Sinergitama Jaya Tbk</v>
      </c>
      <c r="C641" s="15">
        <f>IFERROR(__xludf.DUMMYFUNCTION("GOOGLEFINANCE(""IDX:""&amp;A641,""price"")"),176.0)</f>
        <v>176</v>
      </c>
      <c r="D641" s="16" t="str">
        <f>IFERROR(__xludf.DUMMYFUNCTION("IF(A641="""","""",
SPARKLINE(
INDEX(
GOOGLEFINANCE(""IDX:""&amp;A641,""close"",TODAY()-365,TODAY()),
,2
),
{""linewidth"",1}
))
"),"#N/A")</f>
        <v>#N/A</v>
      </c>
      <c r="E641" s="26"/>
      <c r="F641" s="26"/>
      <c r="G641" s="24">
        <f t="shared" si="5"/>
        <v>0</v>
      </c>
      <c r="H641" s="19">
        <f>VLOOKUP(A641,Metrik!$C$2:$Y$959,8,0)</f>
        <v>11.1</v>
      </c>
      <c r="I641" s="20">
        <f>VLOOKUP(A641,Metrik!$C$2:$Y$959,9,0)</f>
        <v>2.3</v>
      </c>
      <c r="J641" s="20">
        <f>VLOOKUP(A641,Metrik!$C$2:$Y$959,10,0)</f>
        <v>20.7</v>
      </c>
      <c r="K641" s="20">
        <f>VLOOKUP(A641,Metrik!$C$2:$Y$959,11,0)</f>
        <v>11.1</v>
      </c>
      <c r="L641" s="20">
        <f>VLOOKUP(A641,Metrik!$C$2:$Y$959,12,0)</f>
        <v>0.86</v>
      </c>
      <c r="M641" s="20">
        <f>VLOOKUP(A641,Metrik!$C$2:$Y$959,19,0)</f>
        <v>40.5</v>
      </c>
      <c r="N641" s="21"/>
      <c r="O641" s="21"/>
      <c r="P641" s="21"/>
      <c r="Q641" s="21"/>
      <c r="R641" s="21"/>
      <c r="S641" s="21"/>
      <c r="T641" s="21"/>
      <c r="U641" s="22">
        <f>IFERROR(__xludf.DUMMYFUNCTION("IFERROR(GOOGLEFINANCE(A641,""closeyest""),"""")"),171.0)</f>
        <v>171</v>
      </c>
      <c r="V641" s="23">
        <f>IFERROR(__xludf.DUMMYFUNCTION("IFERROR(GOOGLEFINANCE(A641,""changepct""),"""")"),2.92)</f>
        <v>2.92</v>
      </c>
      <c r="W641" s="22">
        <f>IFERROR(__xludf.DUMMYFUNCTION("IFERROR(GOOGLEFINANCE(A641,""priceopen""),"""")"),172.0)</f>
        <v>172</v>
      </c>
      <c r="X641" s="22">
        <f>IFERROR(__xludf.DUMMYFUNCTION("IFERROR(GOOGLEFINANCE(A641,""high""),"""")"),185.0)</f>
        <v>185</v>
      </c>
      <c r="Y641" s="22">
        <f>IFERROR(__xludf.DUMMYFUNCTION("IFERROR(GOOGLEFINANCE(A641,""low""),"""")"),171.0)</f>
        <v>171</v>
      </c>
      <c r="Z641" s="22">
        <f>IFERROR(__xludf.DUMMYFUNCTION("IFERROR(GOOGLEFINANCE(A641,""volume""),"""")"),3516200.0)</f>
        <v>3516200</v>
      </c>
      <c r="AA641" s="24" t="str">
        <f>VLOOKUP(A641,Metrik!$C$2:$Y$959,5,0)</f>
        <v>IT Services &amp; Consulting</v>
      </c>
      <c r="AB641" s="24" t="str">
        <f>VLOOKUP(A641,Metrik!$C$2:$Y$959,3,0)</f>
        <v>Technology</v>
      </c>
    </row>
    <row r="642">
      <c r="A642" s="17" t="s">
        <v>359</v>
      </c>
      <c r="B642" s="14" t="str">
        <f t="array" ref="B642">VLOOKUP(A642,{Metrik!$C$2:$C$998,Metrik!$B$2:$B$998},2,0)</f>
        <v>Pelayaran Nasional Ekalya Purnamasari Tbk.</v>
      </c>
      <c r="C642" s="15">
        <f>IFERROR(__xludf.DUMMYFUNCTION("GOOGLEFINANCE(""IDX:""&amp;A642,""price"")"),1230.0)</f>
        <v>1230</v>
      </c>
      <c r="D642" s="16" t="str">
        <f>IFERROR(__xludf.DUMMYFUNCTION("IF(A642="""","""",
SPARKLINE(
INDEX(
GOOGLEFINANCE(""IDX:""&amp;A642,""close"",TODAY()-365,TODAY()),
,2
),
{""linewidth"",1}
))
"),"#N/A")</f>
        <v>#N/A</v>
      </c>
      <c r="E642" s="14"/>
      <c r="F642" s="17"/>
      <c r="G642" s="18">
        <f t="shared" si="5"/>
        <v>0</v>
      </c>
      <c r="H642" s="19">
        <f>VLOOKUP(A642,Metrik!$C$2:$Y$959,8,0)</f>
        <v>68.1</v>
      </c>
      <c r="I642" s="20">
        <f>VLOOKUP(A642,Metrik!$C$2:$Y$959,9,0)</f>
        <v>4.8</v>
      </c>
      <c r="J642" s="20">
        <f>VLOOKUP(A642,Metrik!$C$2:$Y$959,10,0)</f>
        <v>7</v>
      </c>
      <c r="K642" s="20">
        <f>VLOOKUP(A642,Metrik!$C$2:$Y$959,11,0)</f>
        <v>5.3</v>
      </c>
      <c r="L642" s="20">
        <f>VLOOKUP(A642,Metrik!$C$2:$Y$959,12,0)</f>
        <v>0.31</v>
      </c>
      <c r="M642" s="20">
        <f>VLOOKUP(A642,Metrik!$C$2:$Y$959,19,0)</f>
        <v>97.5</v>
      </c>
      <c r="N642" s="21"/>
      <c r="O642" s="21"/>
      <c r="P642" s="21"/>
      <c r="Q642" s="21"/>
      <c r="R642" s="21"/>
      <c r="S642" s="21"/>
      <c r="T642" s="21"/>
      <c r="U642" s="22">
        <f>IFERROR(__xludf.DUMMYFUNCTION("IFERROR(GOOGLEFINANCE(A642,""closeyest""),"""")"),1150.0)</f>
        <v>1150</v>
      </c>
      <c r="V642" s="23">
        <f>IFERROR(__xludf.DUMMYFUNCTION("IFERROR(GOOGLEFINANCE(A642,""changepct""),"""")"),6.96)</f>
        <v>6.96</v>
      </c>
      <c r="W642" s="22">
        <f>IFERROR(__xludf.DUMMYFUNCTION("IFERROR(GOOGLEFINANCE(A642,""priceopen""),"""")"),1155.0)</f>
        <v>1155</v>
      </c>
      <c r="X642" s="22" t="str">
        <f>IFERROR(__xludf.DUMMYFUNCTION("IFERROR(GOOGLEFINANCE(A642,""high""),"""")"),"")</f>
        <v/>
      </c>
      <c r="Y642" s="22">
        <f>IFERROR(__xludf.DUMMYFUNCTION("IFERROR(GOOGLEFINANCE(A642,""low""),"""")"),1150.0)</f>
        <v>1150</v>
      </c>
      <c r="Z642" s="22">
        <f>IFERROR(__xludf.DUMMYFUNCTION("IFERROR(GOOGLEFINANCE(A642,""volume""),"""")"),618300.0)</f>
        <v>618300</v>
      </c>
      <c r="AA642" s="24" t="str">
        <f>VLOOKUP(A642,Metrik!$C$2:$Y$959,5,0)</f>
        <v>Logistics &amp; Deliveries</v>
      </c>
      <c r="AB642" s="24" t="str">
        <f>VLOOKUP(A642,Metrik!$C$2:$Y$959,3,0)</f>
        <v>Transportation &amp; Logistic</v>
      </c>
    </row>
    <row r="643">
      <c r="A643" s="17" t="s">
        <v>360</v>
      </c>
      <c r="B643" s="14" t="str">
        <f t="array" ref="B643">VLOOKUP(A643,{Metrik!$C$2:$C$998,Metrik!$B$2:$B$998},2,0)</f>
        <v>Elnusa Tbk.</v>
      </c>
      <c r="C643" s="15">
        <f>IFERROR(__xludf.DUMMYFUNCTION("GOOGLEFINANCE(""IDX:""&amp;A643,""price"")"),620.0)</f>
        <v>620</v>
      </c>
      <c r="D643" s="16" t="str">
        <f>IFERROR(__xludf.DUMMYFUNCTION("IF(A643="""","""",
SPARKLINE(
INDEX(
GOOGLEFINANCE(""IDX:""&amp;A643,""close"",TODAY()-365,TODAY()),
,2
),
{""linewidth"",1}
))
"),"#N/A")</f>
        <v>#N/A</v>
      </c>
      <c r="E643" s="14" t="s">
        <v>47</v>
      </c>
      <c r="F643" s="25">
        <v>46356.0</v>
      </c>
      <c r="G643" s="18">
        <f t="shared" si="5"/>
        <v>10</v>
      </c>
      <c r="H643" s="19">
        <f>VLOOKUP(A643,Metrik!$C$2:$Y$959,8,0)</f>
        <v>6.2</v>
      </c>
      <c r="I643" s="20">
        <f>VLOOKUP(A643,Metrik!$C$2:$Y$959,9,0)</f>
        <v>0.81</v>
      </c>
      <c r="J643" s="20">
        <f>VLOOKUP(A643,Metrik!$C$2:$Y$959,10,0)</f>
        <v>13.1</v>
      </c>
      <c r="K643" s="20">
        <f>VLOOKUP(A643,Metrik!$C$2:$Y$959,11,0)</f>
        <v>6.6</v>
      </c>
      <c r="L643" s="20">
        <f>VLOOKUP(A643,Metrik!$C$2:$Y$959,12,0)</f>
        <v>1</v>
      </c>
      <c r="M643" s="20">
        <f>VLOOKUP(A643,Metrik!$C$2:$Y$959,19,0)</f>
        <v>19.9</v>
      </c>
      <c r="N643" s="21"/>
      <c r="O643" s="21"/>
      <c r="P643" s="21"/>
      <c r="Q643" s="21"/>
      <c r="R643" s="21"/>
      <c r="S643" s="21"/>
      <c r="T643" s="21"/>
      <c r="U643" s="22">
        <f>IFERROR(__xludf.DUMMYFUNCTION("IFERROR(GOOGLEFINANCE(A643,""closeyest""),"""")"),2.24)</f>
        <v>2.24</v>
      </c>
      <c r="V643" s="23">
        <f>IFERROR(__xludf.DUMMYFUNCTION("IFERROR(GOOGLEFINANCE(A643,""changepct""),"""")"),0.0)</f>
        <v>0</v>
      </c>
      <c r="W643" s="22" t="str">
        <f>IFERROR(__xludf.DUMMYFUNCTION("IFERROR(GOOGLEFINANCE(A643,""priceopen""),"""")"),"")</f>
        <v/>
      </c>
      <c r="X643" s="22" t="str">
        <f>IFERROR(__xludf.DUMMYFUNCTION("IFERROR(GOOGLEFINANCE(A643,""high""),"""")"),"")</f>
        <v/>
      </c>
      <c r="Y643" s="22" t="str">
        <f>IFERROR(__xludf.DUMMYFUNCTION("IFERROR(GOOGLEFINANCE(A643,""low""),"""")"),"")</f>
        <v/>
      </c>
      <c r="Z643" s="22">
        <f>IFERROR(__xludf.DUMMYFUNCTION("IFERROR(GOOGLEFINANCE(A643,""volume""),"""")"),0.0)</f>
        <v>0</v>
      </c>
      <c r="AA643" s="24" t="str">
        <f>VLOOKUP(A643,Metrik!$C$2:$Y$959,5,0)</f>
        <v>Oil, Gas &amp; Coal Supports</v>
      </c>
      <c r="AB643" s="24" t="str">
        <f>VLOOKUP(A643,Metrik!$C$2:$Y$959,3,0)</f>
        <v>Energy</v>
      </c>
    </row>
    <row r="644">
      <c r="A644" s="14" t="s">
        <v>360</v>
      </c>
      <c r="B644" s="14" t="str">
        <f t="array" ref="B644">VLOOKUP(A644,{Metrik!$C$2:$C$998,Metrik!$B$2:$B$998},2,0)</f>
        <v>Elnusa Tbk.</v>
      </c>
      <c r="C644" s="15">
        <f>IFERROR(__xludf.DUMMYFUNCTION("GOOGLEFINANCE(""IDX:""&amp;A644,""price"")"),620.0)</f>
        <v>620</v>
      </c>
      <c r="D644" s="16" t="str">
        <f>IFERROR(__xludf.DUMMYFUNCTION("IF(A644="""","""",
SPARKLINE(
INDEX(
GOOGLEFINANCE(""IDX:""&amp;A644,""close"",TODAY()-365,TODAY()),
,2
),
{""linewidth"",1}
))
"),"#N/A")</f>
        <v>#N/A</v>
      </c>
      <c r="E644" s="14" t="s">
        <v>106</v>
      </c>
      <c r="F644" s="25">
        <v>46356.0</v>
      </c>
      <c r="G644" s="24">
        <f t="shared" si="5"/>
        <v>10</v>
      </c>
      <c r="H644" s="19">
        <f>VLOOKUP(A644,Metrik!$C$2:$Y$959,8,0)</f>
        <v>6.2</v>
      </c>
      <c r="I644" s="20">
        <f>VLOOKUP(A644,Metrik!$C$2:$Y$959,9,0)</f>
        <v>0.81</v>
      </c>
      <c r="J644" s="20">
        <f>VLOOKUP(A644,Metrik!$C$2:$Y$959,10,0)</f>
        <v>13.1</v>
      </c>
      <c r="K644" s="20">
        <f>VLOOKUP(A644,Metrik!$C$2:$Y$959,11,0)</f>
        <v>6.6</v>
      </c>
      <c r="L644" s="20">
        <f>VLOOKUP(A644,Metrik!$C$2:$Y$959,12,0)</f>
        <v>1</v>
      </c>
      <c r="M644" s="20">
        <f>VLOOKUP(A644,Metrik!$C$2:$Y$959,19,0)</f>
        <v>19.9</v>
      </c>
      <c r="N644" s="21"/>
      <c r="O644" s="21"/>
      <c r="P644" s="21"/>
      <c r="Q644" s="21"/>
      <c r="R644" s="21"/>
      <c r="S644" s="21"/>
      <c r="T644" s="21"/>
      <c r="U644" s="22">
        <f>IFERROR(__xludf.DUMMYFUNCTION("IFERROR(GOOGLEFINANCE(A644,""closeyest""),"""")"),2.24)</f>
        <v>2.24</v>
      </c>
      <c r="V644" s="23">
        <f>IFERROR(__xludf.DUMMYFUNCTION("IFERROR(GOOGLEFINANCE(A644,""changepct""),"""")"),0.0)</f>
        <v>0</v>
      </c>
      <c r="W644" s="22" t="str">
        <f>IFERROR(__xludf.DUMMYFUNCTION("IFERROR(GOOGLEFINANCE(A644,""priceopen""),"""")"),"")</f>
        <v/>
      </c>
      <c r="X644" s="22" t="str">
        <f>IFERROR(__xludf.DUMMYFUNCTION("IFERROR(GOOGLEFINANCE(A644,""high""),"""")"),"")</f>
        <v/>
      </c>
      <c r="Y644" s="22" t="str">
        <f>IFERROR(__xludf.DUMMYFUNCTION("IFERROR(GOOGLEFINANCE(A644,""low""),"""")"),"")</f>
        <v/>
      </c>
      <c r="Z644" s="22">
        <f>IFERROR(__xludf.DUMMYFUNCTION("IFERROR(GOOGLEFINANCE(A644,""volume""),"""")"),0.0)</f>
        <v>0</v>
      </c>
      <c r="AA644" s="24" t="str">
        <f>VLOOKUP(A644,Metrik!$C$2:$Y$959,5,0)</f>
        <v>Oil, Gas &amp; Coal Supports</v>
      </c>
      <c r="AB644" s="24" t="str">
        <f>VLOOKUP(A644,Metrik!$C$2:$Y$959,3,0)</f>
        <v>Energy</v>
      </c>
    </row>
    <row r="645">
      <c r="A645" s="14" t="s">
        <v>360</v>
      </c>
      <c r="B645" s="14" t="str">
        <f t="array" ref="B645">VLOOKUP(A645,{Metrik!$C$2:$C$998,Metrik!$B$2:$B$998},2,0)</f>
        <v>Elnusa Tbk.</v>
      </c>
      <c r="C645" s="15">
        <f>IFERROR(__xludf.DUMMYFUNCTION("GOOGLEFINANCE(""IDX:""&amp;A645,""price"")"),620.0)</f>
        <v>620</v>
      </c>
      <c r="D645" s="16" t="str">
        <f>IFERROR(__xludf.DUMMYFUNCTION("IF(A645="""","""",
SPARKLINE(
INDEX(
GOOGLEFINANCE(""IDX:""&amp;A645,""close"",TODAY()-365,TODAY()),
,2
),
{""linewidth"",1}
))
"),"#N/A")</f>
        <v>#N/A</v>
      </c>
      <c r="E645" s="14" t="s">
        <v>65</v>
      </c>
      <c r="F645" s="25">
        <v>46356.0</v>
      </c>
      <c r="G645" s="24">
        <f t="shared" si="5"/>
        <v>10</v>
      </c>
      <c r="H645" s="19">
        <f>VLOOKUP(A645,Metrik!$C$2:$Y$959,8,0)</f>
        <v>6.2</v>
      </c>
      <c r="I645" s="20">
        <f>VLOOKUP(A645,Metrik!$C$2:$Y$959,9,0)</f>
        <v>0.81</v>
      </c>
      <c r="J645" s="20">
        <f>VLOOKUP(A645,Metrik!$C$2:$Y$959,10,0)</f>
        <v>13.1</v>
      </c>
      <c r="K645" s="20">
        <f>VLOOKUP(A645,Metrik!$C$2:$Y$959,11,0)</f>
        <v>6.6</v>
      </c>
      <c r="L645" s="20">
        <f>VLOOKUP(A645,Metrik!$C$2:$Y$959,12,0)</f>
        <v>1</v>
      </c>
      <c r="M645" s="20">
        <f>VLOOKUP(A645,Metrik!$C$2:$Y$959,19,0)</f>
        <v>19.9</v>
      </c>
      <c r="N645" s="21"/>
      <c r="O645" s="21"/>
      <c r="P645" s="21"/>
      <c r="Q645" s="21"/>
      <c r="R645" s="21"/>
      <c r="S645" s="21"/>
      <c r="T645" s="21"/>
      <c r="U645" s="22">
        <f>IFERROR(__xludf.DUMMYFUNCTION("IFERROR(GOOGLEFINANCE(A645,""closeyest""),"""")"),2.24)</f>
        <v>2.24</v>
      </c>
      <c r="V645" s="23">
        <f>IFERROR(__xludf.DUMMYFUNCTION("IFERROR(GOOGLEFINANCE(A645,""changepct""),"""")"),0.0)</f>
        <v>0</v>
      </c>
      <c r="W645" s="22" t="str">
        <f>IFERROR(__xludf.DUMMYFUNCTION("IFERROR(GOOGLEFINANCE(A645,""priceopen""),"""")"),"")</f>
        <v/>
      </c>
      <c r="X645" s="22" t="str">
        <f>IFERROR(__xludf.DUMMYFUNCTION("IFERROR(GOOGLEFINANCE(A645,""high""),"""")"),"")</f>
        <v/>
      </c>
      <c r="Y645" s="22" t="str">
        <f>IFERROR(__xludf.DUMMYFUNCTION("IFERROR(GOOGLEFINANCE(A645,""low""),"""")"),"")</f>
        <v/>
      </c>
      <c r="Z645" s="22">
        <f>IFERROR(__xludf.DUMMYFUNCTION("IFERROR(GOOGLEFINANCE(A645,""volume""),"""")"),0.0)</f>
        <v>0</v>
      </c>
      <c r="AA645" s="24" t="str">
        <f>VLOOKUP(A645,Metrik!$C$2:$Y$959,5,0)</f>
        <v>Oil, Gas &amp; Coal Supports</v>
      </c>
      <c r="AB645" s="24" t="str">
        <f>VLOOKUP(A645,Metrik!$C$2:$Y$959,3,0)</f>
        <v>Energy</v>
      </c>
    </row>
    <row r="646">
      <c r="A646" s="14" t="s">
        <v>360</v>
      </c>
      <c r="B646" s="14" t="str">
        <f t="array" ref="B646">VLOOKUP(A646,{Metrik!$C$2:$C$998,Metrik!$B$2:$B$998},2,0)</f>
        <v>Elnusa Tbk.</v>
      </c>
      <c r="C646" s="15">
        <f>IFERROR(__xludf.DUMMYFUNCTION("GOOGLEFINANCE(""IDX:""&amp;A646,""price"")"),620.0)</f>
        <v>620</v>
      </c>
      <c r="D646" s="16" t="str">
        <f>IFERROR(__xludf.DUMMYFUNCTION("IF(A646="""","""",
SPARKLINE(
INDEX(
GOOGLEFINANCE(""IDX:""&amp;A646,""close"",TODAY()-365,TODAY()),
,2
),
{""linewidth"",1}
))
"),"#N/A")</f>
        <v>#N/A</v>
      </c>
      <c r="E646" s="14" t="s">
        <v>32</v>
      </c>
      <c r="F646" s="14" t="s">
        <v>29</v>
      </c>
      <c r="G646" s="24">
        <f t="shared" si="5"/>
        <v>10</v>
      </c>
      <c r="H646" s="19">
        <f>VLOOKUP(A646,Metrik!$C$2:$Y$959,8,0)</f>
        <v>6.2</v>
      </c>
      <c r="I646" s="20">
        <f>VLOOKUP(A646,Metrik!$C$2:$Y$959,9,0)</f>
        <v>0.81</v>
      </c>
      <c r="J646" s="20">
        <f>VLOOKUP(A646,Metrik!$C$2:$Y$959,10,0)</f>
        <v>13.1</v>
      </c>
      <c r="K646" s="20">
        <f>VLOOKUP(A646,Metrik!$C$2:$Y$959,11,0)</f>
        <v>6.6</v>
      </c>
      <c r="L646" s="20">
        <f>VLOOKUP(A646,Metrik!$C$2:$Y$959,12,0)</f>
        <v>1</v>
      </c>
      <c r="M646" s="20">
        <f>VLOOKUP(A646,Metrik!$C$2:$Y$959,19,0)</f>
        <v>19.9</v>
      </c>
      <c r="N646" s="21"/>
      <c r="O646" s="21"/>
      <c r="P646" s="21"/>
      <c r="Q646" s="21"/>
      <c r="R646" s="21"/>
      <c r="S646" s="21"/>
      <c r="T646" s="21"/>
      <c r="U646" s="22">
        <f>IFERROR(__xludf.DUMMYFUNCTION("IFERROR(GOOGLEFINANCE(A646,""closeyest""),"""")"),2.24)</f>
        <v>2.24</v>
      </c>
      <c r="V646" s="23">
        <f>IFERROR(__xludf.DUMMYFUNCTION("IFERROR(GOOGLEFINANCE(A646,""changepct""),"""")"),0.0)</f>
        <v>0</v>
      </c>
      <c r="W646" s="22" t="str">
        <f>IFERROR(__xludf.DUMMYFUNCTION("IFERROR(GOOGLEFINANCE(A646,""priceopen""),"""")"),"")</f>
        <v/>
      </c>
      <c r="X646" s="22" t="str">
        <f>IFERROR(__xludf.DUMMYFUNCTION("IFERROR(GOOGLEFINANCE(A646,""high""),"""")"),"")</f>
        <v/>
      </c>
      <c r="Y646" s="22" t="str">
        <f>IFERROR(__xludf.DUMMYFUNCTION("IFERROR(GOOGLEFINANCE(A646,""low""),"""")"),"")</f>
        <v/>
      </c>
      <c r="Z646" s="22">
        <f>IFERROR(__xludf.DUMMYFUNCTION("IFERROR(GOOGLEFINANCE(A646,""volume""),"""")"),0.0)</f>
        <v>0</v>
      </c>
      <c r="AA646" s="24" t="str">
        <f>VLOOKUP(A646,Metrik!$C$2:$Y$959,5,0)</f>
        <v>Oil, Gas &amp; Coal Supports</v>
      </c>
      <c r="AB646" s="24" t="str">
        <f>VLOOKUP(A646,Metrik!$C$2:$Y$959,3,0)</f>
        <v>Energy</v>
      </c>
    </row>
    <row r="647">
      <c r="A647" s="14" t="s">
        <v>360</v>
      </c>
      <c r="B647" s="14" t="str">
        <f t="array" ref="B647">VLOOKUP(A647,{Metrik!$C$2:$C$998,Metrik!$B$2:$B$998},2,0)</f>
        <v>Elnusa Tbk.</v>
      </c>
      <c r="C647" s="15">
        <f>IFERROR(__xludf.DUMMYFUNCTION("GOOGLEFINANCE(""IDX:""&amp;A647,""price"")"),620.0)</f>
        <v>620</v>
      </c>
      <c r="D647" s="16" t="str">
        <f>IFERROR(__xludf.DUMMYFUNCTION("IF(A647="""","""",
SPARKLINE(
INDEX(
GOOGLEFINANCE(""IDX:""&amp;A647,""close"",TODAY()-365,TODAY()),
,2
),
{""linewidth"",1}
))
"),"#N/A")</f>
        <v>#N/A</v>
      </c>
      <c r="E647" s="14" t="s">
        <v>61</v>
      </c>
      <c r="F647" s="14" t="s">
        <v>34</v>
      </c>
      <c r="G647" s="24">
        <f t="shared" si="5"/>
        <v>10</v>
      </c>
      <c r="H647" s="19">
        <f>VLOOKUP(A647,Metrik!$C$2:$Y$959,8,0)</f>
        <v>6.2</v>
      </c>
      <c r="I647" s="20">
        <f>VLOOKUP(A647,Metrik!$C$2:$Y$959,9,0)</f>
        <v>0.81</v>
      </c>
      <c r="J647" s="20">
        <f>VLOOKUP(A647,Metrik!$C$2:$Y$959,10,0)</f>
        <v>13.1</v>
      </c>
      <c r="K647" s="20">
        <f>VLOOKUP(A647,Metrik!$C$2:$Y$959,11,0)</f>
        <v>6.6</v>
      </c>
      <c r="L647" s="20">
        <f>VLOOKUP(A647,Metrik!$C$2:$Y$959,12,0)</f>
        <v>1</v>
      </c>
      <c r="M647" s="20">
        <f>VLOOKUP(A647,Metrik!$C$2:$Y$959,19,0)</f>
        <v>19.9</v>
      </c>
      <c r="N647" s="21"/>
      <c r="O647" s="21"/>
      <c r="P647" s="21"/>
      <c r="Q647" s="21"/>
      <c r="R647" s="21"/>
      <c r="S647" s="21"/>
      <c r="T647" s="21"/>
      <c r="U647" s="22">
        <f>IFERROR(__xludf.DUMMYFUNCTION("IFERROR(GOOGLEFINANCE(A647,""closeyest""),"""")"),2.24)</f>
        <v>2.24</v>
      </c>
      <c r="V647" s="23">
        <f>IFERROR(__xludf.DUMMYFUNCTION("IFERROR(GOOGLEFINANCE(A647,""changepct""),"""")"),0.0)</f>
        <v>0</v>
      </c>
      <c r="W647" s="22" t="str">
        <f>IFERROR(__xludf.DUMMYFUNCTION("IFERROR(GOOGLEFINANCE(A647,""priceopen""),"""")"),"")</f>
        <v/>
      </c>
      <c r="X647" s="22" t="str">
        <f>IFERROR(__xludf.DUMMYFUNCTION("IFERROR(GOOGLEFINANCE(A647,""high""),"""")"),"")</f>
        <v/>
      </c>
      <c r="Y647" s="22" t="str">
        <f>IFERROR(__xludf.DUMMYFUNCTION("IFERROR(GOOGLEFINANCE(A647,""low""),"""")"),"")</f>
        <v/>
      </c>
      <c r="Z647" s="22">
        <f>IFERROR(__xludf.DUMMYFUNCTION("IFERROR(GOOGLEFINANCE(A647,""volume""),"""")"),0.0)</f>
        <v>0</v>
      </c>
      <c r="AA647" s="24" t="str">
        <f>VLOOKUP(A647,Metrik!$C$2:$Y$959,5,0)</f>
        <v>Oil, Gas &amp; Coal Supports</v>
      </c>
      <c r="AB647" s="24" t="str">
        <f>VLOOKUP(A647,Metrik!$C$2:$Y$959,3,0)</f>
        <v>Energy</v>
      </c>
    </row>
    <row r="648">
      <c r="A648" s="14" t="s">
        <v>360</v>
      </c>
      <c r="B648" s="14" t="str">
        <f t="array" ref="B648">VLOOKUP(A648,{Metrik!$C$2:$C$998,Metrik!$B$2:$B$998},2,0)</f>
        <v>Elnusa Tbk.</v>
      </c>
      <c r="C648" s="15">
        <f>IFERROR(__xludf.DUMMYFUNCTION("GOOGLEFINANCE(""IDX:""&amp;A648,""price"")"),620.0)</f>
        <v>620</v>
      </c>
      <c r="D648" s="16" t="str">
        <f>IFERROR(__xludf.DUMMYFUNCTION("IF(A648="""","""",
SPARKLINE(
INDEX(
GOOGLEFINANCE(""IDX:""&amp;A648,""close"",TODAY()-365,TODAY()),
,2
),
{""linewidth"",1}
))
"),"#N/A")</f>
        <v>#N/A</v>
      </c>
      <c r="E648" s="14" t="s">
        <v>28</v>
      </c>
      <c r="F648" s="17" t="s">
        <v>29</v>
      </c>
      <c r="G648" s="24">
        <f t="shared" si="5"/>
        <v>10</v>
      </c>
      <c r="H648" s="19">
        <f>VLOOKUP(A648,Metrik!$C$2:$Y$959,8,0)</f>
        <v>6.2</v>
      </c>
      <c r="I648" s="20">
        <f>VLOOKUP(A648,Metrik!$C$2:$Y$959,9,0)</f>
        <v>0.81</v>
      </c>
      <c r="J648" s="20">
        <f>VLOOKUP(A648,Metrik!$C$2:$Y$959,10,0)</f>
        <v>13.1</v>
      </c>
      <c r="K648" s="20">
        <f>VLOOKUP(A648,Metrik!$C$2:$Y$959,11,0)</f>
        <v>6.6</v>
      </c>
      <c r="L648" s="20">
        <f>VLOOKUP(A648,Metrik!$C$2:$Y$959,12,0)</f>
        <v>1</v>
      </c>
      <c r="M648" s="20">
        <f>VLOOKUP(A648,Metrik!$C$2:$Y$959,19,0)</f>
        <v>19.9</v>
      </c>
      <c r="N648" s="21"/>
      <c r="O648" s="21"/>
      <c r="P648" s="21"/>
      <c r="Q648" s="21"/>
      <c r="R648" s="21"/>
      <c r="S648" s="21"/>
      <c r="T648" s="21"/>
      <c r="U648" s="22">
        <f>IFERROR(__xludf.DUMMYFUNCTION("IFERROR(GOOGLEFINANCE(A648,""closeyest""),"""")"),2.24)</f>
        <v>2.24</v>
      </c>
      <c r="V648" s="23">
        <f>IFERROR(__xludf.DUMMYFUNCTION("IFERROR(GOOGLEFINANCE(A648,""changepct""),"""")"),0.0)</f>
        <v>0</v>
      </c>
      <c r="W648" s="22" t="str">
        <f>IFERROR(__xludf.DUMMYFUNCTION("IFERROR(GOOGLEFINANCE(A648,""priceopen""),"""")"),"")</f>
        <v/>
      </c>
      <c r="X648" s="22" t="str">
        <f>IFERROR(__xludf.DUMMYFUNCTION("IFERROR(GOOGLEFINANCE(A648,""high""),"""")"),"")</f>
        <v/>
      </c>
      <c r="Y648" s="22" t="str">
        <f>IFERROR(__xludf.DUMMYFUNCTION("IFERROR(GOOGLEFINANCE(A648,""low""),"""")"),"")</f>
        <v/>
      </c>
      <c r="Z648" s="22">
        <f>IFERROR(__xludf.DUMMYFUNCTION("IFERROR(GOOGLEFINANCE(A648,""volume""),"""")"),0.0)</f>
        <v>0</v>
      </c>
      <c r="AA648" s="24" t="str">
        <f>VLOOKUP(A648,Metrik!$C$2:$Y$959,5,0)</f>
        <v>Oil, Gas &amp; Coal Supports</v>
      </c>
      <c r="AB648" s="24" t="str">
        <f>VLOOKUP(A648,Metrik!$C$2:$Y$959,3,0)</f>
        <v>Energy</v>
      </c>
    </row>
    <row r="649">
      <c r="A649" s="14" t="s">
        <v>360</v>
      </c>
      <c r="B649" s="14" t="str">
        <f t="array" ref="B649">VLOOKUP(A649,{Metrik!$C$2:$C$998,Metrik!$B$2:$B$998},2,0)</f>
        <v>Elnusa Tbk.</v>
      </c>
      <c r="C649" s="15">
        <f>IFERROR(__xludf.DUMMYFUNCTION("GOOGLEFINANCE(""IDX:""&amp;A649,""price"")"),620.0)</f>
        <v>620</v>
      </c>
      <c r="D649" s="16" t="str">
        <f>IFERROR(__xludf.DUMMYFUNCTION("IF(A649="""","""",
SPARKLINE(
INDEX(
GOOGLEFINANCE(""IDX:""&amp;A649,""close"",TODAY()-365,TODAY()),
,2
),
{""linewidth"",1}
))
"),"#N/A")</f>
        <v>#N/A</v>
      </c>
      <c r="E649" s="14" t="s">
        <v>33</v>
      </c>
      <c r="F649" s="14" t="s">
        <v>34</v>
      </c>
      <c r="G649" s="24">
        <f t="shared" si="5"/>
        <v>10</v>
      </c>
      <c r="H649" s="19">
        <f>VLOOKUP(A649,Metrik!$C$2:$Y$959,8,0)</f>
        <v>6.2</v>
      </c>
      <c r="I649" s="20">
        <f>VLOOKUP(A649,Metrik!$C$2:$Y$959,9,0)</f>
        <v>0.81</v>
      </c>
      <c r="J649" s="20">
        <f>VLOOKUP(A649,Metrik!$C$2:$Y$959,10,0)</f>
        <v>13.1</v>
      </c>
      <c r="K649" s="20">
        <f>VLOOKUP(A649,Metrik!$C$2:$Y$959,11,0)</f>
        <v>6.6</v>
      </c>
      <c r="L649" s="20">
        <f>VLOOKUP(A649,Metrik!$C$2:$Y$959,12,0)</f>
        <v>1</v>
      </c>
      <c r="M649" s="20">
        <f>VLOOKUP(A649,Metrik!$C$2:$Y$959,19,0)</f>
        <v>19.9</v>
      </c>
      <c r="N649" s="21"/>
      <c r="O649" s="21"/>
      <c r="P649" s="21"/>
      <c r="Q649" s="21"/>
      <c r="R649" s="21"/>
      <c r="S649" s="21"/>
      <c r="T649" s="21"/>
      <c r="U649" s="22">
        <f>IFERROR(__xludf.DUMMYFUNCTION("IFERROR(GOOGLEFINANCE(A649,""closeyest""),"""")"),2.24)</f>
        <v>2.24</v>
      </c>
      <c r="V649" s="23">
        <f>IFERROR(__xludf.DUMMYFUNCTION("IFERROR(GOOGLEFINANCE(A649,""changepct""),"""")"),0.0)</f>
        <v>0</v>
      </c>
      <c r="W649" s="22" t="str">
        <f>IFERROR(__xludf.DUMMYFUNCTION("IFERROR(GOOGLEFINANCE(A649,""priceopen""),"""")"),"")</f>
        <v/>
      </c>
      <c r="X649" s="22" t="str">
        <f>IFERROR(__xludf.DUMMYFUNCTION("IFERROR(GOOGLEFINANCE(A649,""high""),"""")"),"")</f>
        <v/>
      </c>
      <c r="Y649" s="22" t="str">
        <f>IFERROR(__xludf.DUMMYFUNCTION("IFERROR(GOOGLEFINANCE(A649,""low""),"""")"),"")</f>
        <v/>
      </c>
      <c r="Z649" s="22">
        <f>IFERROR(__xludf.DUMMYFUNCTION("IFERROR(GOOGLEFINANCE(A649,""volume""),"""")"),0.0)</f>
        <v>0</v>
      </c>
      <c r="AA649" s="24" t="str">
        <f>VLOOKUP(A649,Metrik!$C$2:$Y$959,5,0)</f>
        <v>Oil, Gas &amp; Coal Supports</v>
      </c>
      <c r="AB649" s="24" t="str">
        <f>VLOOKUP(A649,Metrik!$C$2:$Y$959,3,0)</f>
        <v>Energy</v>
      </c>
    </row>
    <row r="650">
      <c r="A650" s="14" t="s">
        <v>360</v>
      </c>
      <c r="B650" s="14" t="str">
        <f t="array" ref="B650">VLOOKUP(A650,{Metrik!$C$2:$C$998,Metrik!$B$2:$B$998},2,0)</f>
        <v>Elnusa Tbk.</v>
      </c>
      <c r="C650" s="15">
        <f>IFERROR(__xludf.DUMMYFUNCTION("GOOGLEFINANCE(""IDX:""&amp;A650,""price"")"),620.0)</f>
        <v>620</v>
      </c>
      <c r="D650" s="16" t="str">
        <f>IFERROR(__xludf.DUMMYFUNCTION("IF(A650="""","""",
SPARKLINE(
INDEX(
GOOGLEFINANCE(""IDX:""&amp;A650,""close"",TODAY()-365,TODAY()),
,2
),
{""linewidth"",1}
))
"),"#N/A")</f>
        <v>#N/A</v>
      </c>
      <c r="E650" s="14" t="s">
        <v>41</v>
      </c>
      <c r="F650" s="14" t="s">
        <v>34</v>
      </c>
      <c r="G650" s="24">
        <f t="shared" si="5"/>
        <v>10</v>
      </c>
      <c r="H650" s="19">
        <f>VLOOKUP(A650,Metrik!$C$2:$Y$959,8,0)</f>
        <v>6.2</v>
      </c>
      <c r="I650" s="20">
        <f>VLOOKUP(A650,Metrik!$C$2:$Y$959,9,0)</f>
        <v>0.81</v>
      </c>
      <c r="J650" s="20">
        <f>VLOOKUP(A650,Metrik!$C$2:$Y$959,10,0)</f>
        <v>13.1</v>
      </c>
      <c r="K650" s="20">
        <f>VLOOKUP(A650,Metrik!$C$2:$Y$959,11,0)</f>
        <v>6.6</v>
      </c>
      <c r="L650" s="20">
        <f>VLOOKUP(A650,Metrik!$C$2:$Y$959,12,0)</f>
        <v>1</v>
      </c>
      <c r="M650" s="20">
        <f>VLOOKUP(A650,Metrik!$C$2:$Y$959,19,0)</f>
        <v>19.9</v>
      </c>
      <c r="N650" s="21"/>
      <c r="O650" s="21"/>
      <c r="P650" s="21"/>
      <c r="Q650" s="21"/>
      <c r="R650" s="21"/>
      <c r="S650" s="21"/>
      <c r="T650" s="21"/>
      <c r="U650" s="22">
        <f>IFERROR(__xludf.DUMMYFUNCTION("IFERROR(GOOGLEFINANCE(A650,""closeyest""),"""")"),2.24)</f>
        <v>2.24</v>
      </c>
      <c r="V650" s="23">
        <f>IFERROR(__xludf.DUMMYFUNCTION("IFERROR(GOOGLEFINANCE(A650,""changepct""),"""")"),0.0)</f>
        <v>0</v>
      </c>
      <c r="W650" s="22" t="str">
        <f>IFERROR(__xludf.DUMMYFUNCTION("IFERROR(GOOGLEFINANCE(A650,""priceopen""),"""")"),"")</f>
        <v/>
      </c>
      <c r="X650" s="22" t="str">
        <f>IFERROR(__xludf.DUMMYFUNCTION("IFERROR(GOOGLEFINANCE(A650,""high""),"""")"),"")</f>
        <v/>
      </c>
      <c r="Y650" s="22" t="str">
        <f>IFERROR(__xludf.DUMMYFUNCTION("IFERROR(GOOGLEFINANCE(A650,""low""),"""")"),"")</f>
        <v/>
      </c>
      <c r="Z650" s="22">
        <f>IFERROR(__xludf.DUMMYFUNCTION("IFERROR(GOOGLEFINANCE(A650,""volume""),"""")"),0.0)</f>
        <v>0</v>
      </c>
      <c r="AA650" s="24" t="str">
        <f>VLOOKUP(A650,Metrik!$C$2:$Y$959,5,0)</f>
        <v>Oil, Gas &amp; Coal Supports</v>
      </c>
      <c r="AB650" s="24" t="str">
        <f>VLOOKUP(A650,Metrik!$C$2:$Y$959,3,0)</f>
        <v>Energy</v>
      </c>
    </row>
    <row r="651">
      <c r="A651" s="17" t="s">
        <v>360</v>
      </c>
      <c r="B651" s="14" t="str">
        <f t="array" ref="B651">VLOOKUP(A651,{Metrik!$C$2:$C$998,Metrik!$B$2:$B$998},2,0)</f>
        <v>Elnusa Tbk.</v>
      </c>
      <c r="C651" s="15">
        <f>IFERROR(__xludf.DUMMYFUNCTION("GOOGLEFINANCE(""IDX:""&amp;A651,""price"")"),620.0)</f>
        <v>620</v>
      </c>
      <c r="D651" s="16" t="str">
        <f>IFERROR(__xludf.DUMMYFUNCTION("IF(A651="""","""",
SPARKLINE(
INDEX(
GOOGLEFINANCE(""IDX:""&amp;A651,""close"",TODAY()-365,TODAY()),
,2
),
{""linewidth"",1}
))
"),"#N/A")</f>
        <v>#N/A</v>
      </c>
      <c r="E651" s="14" t="s">
        <v>85</v>
      </c>
      <c r="F651" s="17" t="s">
        <v>51</v>
      </c>
      <c r="G651" s="24">
        <f t="shared" si="5"/>
        <v>10</v>
      </c>
      <c r="H651" s="19">
        <f>VLOOKUP(A651,Metrik!$C$2:$Y$959,8,0)</f>
        <v>6.2</v>
      </c>
      <c r="I651" s="20">
        <f>VLOOKUP(A651,Metrik!$C$2:$Y$959,9,0)</f>
        <v>0.81</v>
      </c>
      <c r="J651" s="20">
        <f>VLOOKUP(A651,Metrik!$C$2:$Y$959,10,0)</f>
        <v>13.1</v>
      </c>
      <c r="K651" s="20">
        <f>VLOOKUP(A651,Metrik!$C$2:$Y$959,11,0)</f>
        <v>6.6</v>
      </c>
      <c r="L651" s="20">
        <f>VLOOKUP(A651,Metrik!$C$2:$Y$959,12,0)</f>
        <v>1</v>
      </c>
      <c r="M651" s="20">
        <f>VLOOKUP(A651,Metrik!$C$2:$Y$959,19,0)</f>
        <v>19.9</v>
      </c>
      <c r="N651" s="21"/>
      <c r="O651" s="21"/>
      <c r="P651" s="21"/>
      <c r="Q651" s="21"/>
      <c r="R651" s="21"/>
      <c r="S651" s="21"/>
      <c r="T651" s="21"/>
      <c r="U651" s="22">
        <f>IFERROR(__xludf.DUMMYFUNCTION("IFERROR(GOOGLEFINANCE(A651,""closeyest""),"""")"),2.24)</f>
        <v>2.24</v>
      </c>
      <c r="V651" s="23">
        <f>IFERROR(__xludf.DUMMYFUNCTION("IFERROR(GOOGLEFINANCE(A651,""changepct""),"""")"),0.0)</f>
        <v>0</v>
      </c>
      <c r="W651" s="22" t="str">
        <f>IFERROR(__xludf.DUMMYFUNCTION("IFERROR(GOOGLEFINANCE(A651,""priceopen""),"""")"),"")</f>
        <v/>
      </c>
      <c r="X651" s="22" t="str">
        <f>IFERROR(__xludf.DUMMYFUNCTION("IFERROR(GOOGLEFINANCE(A651,""high""),"""")"),"")</f>
        <v/>
      </c>
      <c r="Y651" s="22" t="str">
        <f>IFERROR(__xludf.DUMMYFUNCTION("IFERROR(GOOGLEFINANCE(A651,""low""),"""")"),"")</f>
        <v/>
      </c>
      <c r="Z651" s="22">
        <f>IFERROR(__xludf.DUMMYFUNCTION("IFERROR(GOOGLEFINANCE(A651,""volume""),"""")"),0.0)</f>
        <v>0</v>
      </c>
      <c r="AA651" s="24" t="str">
        <f>VLOOKUP(A651,Metrik!$C$2:$Y$959,5,0)</f>
        <v>Oil, Gas &amp; Coal Supports</v>
      </c>
      <c r="AB651" s="24" t="str">
        <f>VLOOKUP(A651,Metrik!$C$2:$Y$959,3,0)</f>
        <v>Energy</v>
      </c>
    </row>
    <row r="652">
      <c r="A652" s="14" t="s">
        <v>360</v>
      </c>
      <c r="B652" s="14" t="str">
        <f t="array" ref="B652">VLOOKUP(A652,{Metrik!$C$2:$C$998,Metrik!$B$2:$B$998},2,0)</f>
        <v>Elnusa Tbk.</v>
      </c>
      <c r="C652" s="15">
        <f>IFERROR(__xludf.DUMMYFUNCTION("GOOGLEFINANCE(""IDX:""&amp;A652,""price"")"),620.0)</f>
        <v>620</v>
      </c>
      <c r="D652" s="16" t="str">
        <f>IFERROR(__xludf.DUMMYFUNCTION("IF(A652="""","""",
SPARKLINE(
INDEX(
GOOGLEFINANCE(""IDX:""&amp;A652,""close"",TODAY()-365,TODAY()),
,2
),
{""linewidth"",1}
))
"),"#N/A")</f>
        <v>#N/A</v>
      </c>
      <c r="E652" s="14" t="s">
        <v>39</v>
      </c>
      <c r="F652" s="25">
        <v>46356.0</v>
      </c>
      <c r="G652" s="24">
        <f t="shared" si="5"/>
        <v>10</v>
      </c>
      <c r="H652" s="19">
        <f>VLOOKUP(A652,Metrik!$C$2:$Y$959,8,0)</f>
        <v>6.2</v>
      </c>
      <c r="I652" s="20">
        <f>VLOOKUP(A652,Metrik!$C$2:$Y$959,9,0)</f>
        <v>0.81</v>
      </c>
      <c r="J652" s="20">
        <f>VLOOKUP(A652,Metrik!$C$2:$Y$959,10,0)</f>
        <v>13.1</v>
      </c>
      <c r="K652" s="20">
        <f>VLOOKUP(A652,Metrik!$C$2:$Y$959,11,0)</f>
        <v>6.6</v>
      </c>
      <c r="L652" s="20">
        <f>VLOOKUP(A652,Metrik!$C$2:$Y$959,12,0)</f>
        <v>1</v>
      </c>
      <c r="M652" s="20">
        <f>VLOOKUP(A652,Metrik!$C$2:$Y$959,19,0)</f>
        <v>19.9</v>
      </c>
      <c r="N652" s="21"/>
      <c r="O652" s="21"/>
      <c r="P652" s="21"/>
      <c r="Q652" s="21"/>
      <c r="R652" s="21"/>
      <c r="S652" s="21"/>
      <c r="T652" s="21"/>
      <c r="U652" s="22">
        <f>IFERROR(__xludf.DUMMYFUNCTION("IFERROR(GOOGLEFINANCE(A652,""closeyest""),"""")"),2.24)</f>
        <v>2.24</v>
      </c>
      <c r="V652" s="23">
        <f>IFERROR(__xludf.DUMMYFUNCTION("IFERROR(GOOGLEFINANCE(A652,""changepct""),"""")"),0.0)</f>
        <v>0</v>
      </c>
      <c r="W652" s="22" t="str">
        <f>IFERROR(__xludf.DUMMYFUNCTION("IFERROR(GOOGLEFINANCE(A652,""priceopen""),"""")"),"")</f>
        <v/>
      </c>
      <c r="X652" s="22" t="str">
        <f>IFERROR(__xludf.DUMMYFUNCTION("IFERROR(GOOGLEFINANCE(A652,""high""),"""")"),"")</f>
        <v/>
      </c>
      <c r="Y652" s="22" t="str">
        <f>IFERROR(__xludf.DUMMYFUNCTION("IFERROR(GOOGLEFINANCE(A652,""low""),"""")"),"")</f>
        <v/>
      </c>
      <c r="Z652" s="22">
        <f>IFERROR(__xludf.DUMMYFUNCTION("IFERROR(GOOGLEFINANCE(A652,""volume""),"""")"),0.0)</f>
        <v>0</v>
      </c>
      <c r="AA652" s="24" t="str">
        <f>VLOOKUP(A652,Metrik!$C$2:$Y$959,5,0)</f>
        <v>Oil, Gas &amp; Coal Supports</v>
      </c>
      <c r="AB652" s="24" t="str">
        <f>VLOOKUP(A652,Metrik!$C$2:$Y$959,3,0)</f>
        <v>Energy</v>
      </c>
    </row>
    <row r="653">
      <c r="A653" s="14" t="s">
        <v>361</v>
      </c>
      <c r="B653" s="14" t="str">
        <f t="array" ref="B653">VLOOKUP(A653,{Metrik!$C$2:$C$998,Metrik!$B$2:$B$998},2,0)</f>
        <v>Bakrieland Development Tbk.</v>
      </c>
      <c r="C653" s="15">
        <f>IFERROR(__xludf.DUMMYFUNCTION("GOOGLEFINANCE(""IDX:""&amp;A653,""price"")"),26.0)</f>
        <v>26</v>
      </c>
      <c r="D653" s="16" t="str">
        <f>IFERROR(__xludf.DUMMYFUNCTION("IF(A653="""","""",
SPARKLINE(
INDEX(
GOOGLEFINANCE(""IDX:""&amp;A653,""close"",TODAY()-365,TODAY()),
,2
),
{""linewidth"",1}
))
"),"#N/A")</f>
        <v>#N/A</v>
      </c>
      <c r="E653" s="26"/>
      <c r="F653" s="26"/>
      <c r="G653" s="24">
        <f t="shared" si="5"/>
        <v>0</v>
      </c>
      <c r="H653" s="19">
        <f>VLOOKUP(A653,Metrik!$C$2:$Y$959,8,0)</f>
        <v>220</v>
      </c>
      <c r="I653" s="20">
        <f>VLOOKUP(A653,Metrik!$C$2:$Y$959,9,0)</f>
        <v>0.23</v>
      </c>
      <c r="J653" s="20">
        <f>VLOOKUP(A653,Metrik!$C$2:$Y$959,10,0)</f>
        <v>0.1</v>
      </c>
      <c r="K653" s="20">
        <f>VLOOKUP(A653,Metrik!$C$2:$Y$959,11,0)</f>
        <v>0.07</v>
      </c>
      <c r="L653" s="20">
        <f>VLOOKUP(A653,Metrik!$C$2:$Y$959,12,0)</f>
        <v>0.44</v>
      </c>
      <c r="M653" s="20">
        <f>VLOOKUP(A653,Metrik!$C$2:$Y$959,19,0)</f>
        <v>1.8</v>
      </c>
      <c r="N653" s="21"/>
      <c r="O653" s="21"/>
      <c r="P653" s="21"/>
      <c r="Q653" s="21"/>
      <c r="R653" s="21"/>
      <c r="S653" s="21"/>
      <c r="T653" s="21"/>
      <c r="U653" s="22">
        <f>IFERROR(__xludf.DUMMYFUNCTION("IFERROR(GOOGLEFINANCE(A653,""closeyest""),"""")"),24.0)</f>
        <v>24</v>
      </c>
      <c r="V653" s="23">
        <f>IFERROR(__xludf.DUMMYFUNCTION("IFERROR(GOOGLEFINANCE(A653,""changepct""),"""")"),8.33)</f>
        <v>8.33</v>
      </c>
      <c r="W653" s="22">
        <f>IFERROR(__xludf.DUMMYFUNCTION("IFERROR(GOOGLEFINANCE(A653,""priceopen""),"""")"),24.0)</f>
        <v>24</v>
      </c>
      <c r="X653" s="22">
        <f>IFERROR(__xludf.DUMMYFUNCTION("IFERROR(GOOGLEFINANCE(A653,""high""),"""")"),26.0)</f>
        <v>26</v>
      </c>
      <c r="Y653" s="22">
        <f>IFERROR(__xludf.DUMMYFUNCTION("IFERROR(GOOGLEFINANCE(A653,""low""),"""")"),24.0)</f>
        <v>24</v>
      </c>
      <c r="Z653" s="22">
        <f>IFERROR(__xludf.DUMMYFUNCTION("IFERROR(GOOGLEFINANCE(A653,""volume""),"""")"),9.76537E7)</f>
        <v>97653700</v>
      </c>
      <c r="AA653" s="24" t="str">
        <f>VLOOKUP(A653,Metrik!$C$2:$Y$959,5,0)</f>
        <v>Real Estate Management &amp; Development</v>
      </c>
      <c r="AB653" s="24" t="str">
        <f>VLOOKUP(A653,Metrik!$C$2:$Y$959,3,0)</f>
        <v>Properties &amp; Real Estate</v>
      </c>
    </row>
    <row r="654">
      <c r="A654" s="14" t="s">
        <v>362</v>
      </c>
      <c r="B654" s="14" t="str">
        <f t="array" ref="B654">VLOOKUP(A654,{Metrik!$C$2:$C$998,Metrik!$B$2:$B$998},2,0)</f>
        <v>Merdeka Gold Resources Tbk.</v>
      </c>
      <c r="C654" s="15">
        <f>IFERROR(__xludf.DUMMYFUNCTION("GOOGLEFINANCE(""IDX:""&amp;A654,""price"")"),6975.0)</f>
        <v>6975</v>
      </c>
      <c r="D654" s="16" t="str">
        <f>IFERROR(__xludf.DUMMYFUNCTION("IF(A654="""","""",
SPARKLINE(
INDEX(
GOOGLEFINANCE(""IDX:""&amp;A654,""close"",TODAY()-365,TODAY()),
,2
),
{""linewidth"",1}
))
"),"#N/A")</f>
        <v>#N/A</v>
      </c>
      <c r="E654" s="26"/>
      <c r="F654" s="26"/>
      <c r="G654" s="24">
        <f t="shared" si="5"/>
        <v>0</v>
      </c>
      <c r="H654" s="19">
        <f>VLOOKUP(A654,Metrik!$C$2:$Y$959,8,0)</f>
        <v>-250</v>
      </c>
      <c r="I654" s="20">
        <f>VLOOKUP(A654,Metrik!$C$2:$Y$959,9,0)</f>
        <v>18</v>
      </c>
      <c r="J654" s="20">
        <f>VLOOKUP(A654,Metrik!$C$2:$Y$959,10,0)</f>
        <v>-7.2</v>
      </c>
      <c r="K654" s="20">
        <f>VLOOKUP(A654,Metrik!$C$2:$Y$959,11,0)</f>
        <v>-3.7</v>
      </c>
      <c r="L654" s="20">
        <f>VLOOKUP(A654,Metrik!$C$2:$Y$959,12,0)</f>
        <v>0.94</v>
      </c>
      <c r="M654" s="20">
        <f>VLOOKUP(A654,Metrik!$C$2:$Y$959,19,0)</f>
        <v>-21000</v>
      </c>
      <c r="N654" s="21"/>
      <c r="O654" s="21"/>
      <c r="P654" s="21"/>
      <c r="Q654" s="21"/>
      <c r="R654" s="21"/>
      <c r="S654" s="21"/>
      <c r="T654" s="21"/>
      <c r="U654" s="22">
        <f>IFERROR(__xludf.DUMMYFUNCTION("IFERROR(GOOGLEFINANCE(A654,""closeyest""),"""")"),98.12)</f>
        <v>98.12</v>
      </c>
      <c r="V654" s="23">
        <f>IFERROR(__xludf.DUMMYFUNCTION("IFERROR(GOOGLEFINANCE(A654,""changepct""),"""")"),0.0)</f>
        <v>0</v>
      </c>
      <c r="W654" s="22" t="str">
        <f>IFERROR(__xludf.DUMMYFUNCTION("IFERROR(GOOGLEFINANCE(A654,""priceopen""),"""")"),"")</f>
        <v/>
      </c>
      <c r="X654" s="22" t="str">
        <f>IFERROR(__xludf.DUMMYFUNCTION("IFERROR(GOOGLEFINANCE(A654,""high""),"""")"),"")</f>
        <v/>
      </c>
      <c r="Y654" s="22" t="str">
        <f>IFERROR(__xludf.DUMMYFUNCTION("IFERROR(GOOGLEFINANCE(A654,""low""),"""")"),"")</f>
        <v/>
      </c>
      <c r="Z654" s="22">
        <f>IFERROR(__xludf.DUMMYFUNCTION("IFERROR(GOOGLEFINANCE(A654,""volume""),"""")"),0.0)</f>
        <v>0</v>
      </c>
      <c r="AA654" s="24" t="str">
        <f>VLOOKUP(A654,Metrik!$C$2:$Y$959,5,0)</f>
        <v>Metals &amp; Minerals</v>
      </c>
      <c r="AB654" s="24" t="str">
        <f>VLOOKUP(A654,Metrik!$C$2:$Y$959,3,0)</f>
        <v>Basic Materials</v>
      </c>
    </row>
    <row r="655">
      <c r="A655" s="14" t="s">
        <v>363</v>
      </c>
      <c r="B655" s="14" t="str">
        <f t="array" ref="B655">VLOOKUP(A655,{Metrik!$C$2:$C$998,Metrik!$B$2:$B$998},2,0)</f>
        <v>Megapolitan Developments Tbk.</v>
      </c>
      <c r="C655" s="15">
        <f>IFERROR(__xludf.DUMMYFUNCTION("GOOGLEFINANCE(""IDX:""&amp;A655,""price"")"),55.0)</f>
        <v>55</v>
      </c>
      <c r="D655" s="16" t="str">
        <f>IFERROR(__xludf.DUMMYFUNCTION("IF(A655="""","""",
SPARKLINE(
INDEX(
GOOGLEFINANCE(""IDX:""&amp;A655,""close"",TODAY()-365,TODAY()),
,2
),
{""linewidth"",1}
))
"),"#N/A")</f>
        <v>#N/A</v>
      </c>
      <c r="E655" s="26"/>
      <c r="F655" s="26"/>
      <c r="G655" s="24">
        <f t="shared" si="5"/>
        <v>0</v>
      </c>
      <c r="H655" s="19">
        <f>VLOOKUP(A655,Metrik!$C$2:$Y$959,8,0)</f>
        <v>-2.6</v>
      </c>
      <c r="I655" s="20">
        <f>VLOOKUP(A655,Metrik!$C$2:$Y$959,9,0)</f>
        <v>0.1</v>
      </c>
      <c r="J655" s="20">
        <f>VLOOKUP(A655,Metrik!$C$2:$Y$959,10,0)</f>
        <v>-3.8</v>
      </c>
      <c r="K655" s="20">
        <f>VLOOKUP(A655,Metrik!$C$2:$Y$959,11,0)</f>
        <v>-2.5</v>
      </c>
      <c r="L655" s="20">
        <f>VLOOKUP(A655,Metrik!$C$2:$Y$959,12,0)</f>
        <v>0.53</v>
      </c>
      <c r="M655" s="20">
        <f>VLOOKUP(A655,Metrik!$C$2:$Y$959,19,0)</f>
        <v>-180</v>
      </c>
      <c r="N655" s="21"/>
      <c r="O655" s="21"/>
      <c r="P655" s="21"/>
      <c r="Q655" s="21"/>
      <c r="R655" s="21"/>
      <c r="S655" s="21"/>
      <c r="T655" s="21"/>
      <c r="U655" s="22">
        <f>IFERROR(__xludf.DUMMYFUNCTION("IFERROR(GOOGLEFINANCE(A655,""closeyest""),"""")"),56.0)</f>
        <v>56</v>
      </c>
      <c r="V655" s="23">
        <f>IFERROR(__xludf.DUMMYFUNCTION("IFERROR(GOOGLEFINANCE(A655,""changepct""),"""")"),-1.79)</f>
        <v>-1.79</v>
      </c>
      <c r="W655" s="22">
        <f>IFERROR(__xludf.DUMMYFUNCTION("IFERROR(GOOGLEFINANCE(A655,""priceopen""),"""")"),55.0)</f>
        <v>55</v>
      </c>
      <c r="X655" s="22">
        <f>IFERROR(__xludf.DUMMYFUNCTION("IFERROR(GOOGLEFINANCE(A655,""high""),"""")"),57.0)</f>
        <v>57</v>
      </c>
      <c r="Y655" s="22">
        <f>IFERROR(__xludf.DUMMYFUNCTION("IFERROR(GOOGLEFINANCE(A655,""low""),"""")"),53.0)</f>
        <v>53</v>
      </c>
      <c r="Z655" s="22" t="str">
        <f>IFERROR(__xludf.DUMMYFUNCTION("IFERROR(GOOGLEFINANCE(A655,""volume""),"""")"),"")</f>
        <v/>
      </c>
      <c r="AA655" s="24" t="str">
        <f>VLOOKUP(A655,Metrik!$C$2:$Y$959,5,0)</f>
        <v>Real Estate Management &amp; Development</v>
      </c>
      <c r="AB655" s="24" t="str">
        <f>VLOOKUP(A655,Metrik!$C$2:$Y$959,3,0)</f>
        <v>Properties &amp; Real Estate</v>
      </c>
    </row>
    <row r="656">
      <c r="A656" s="14" t="s">
        <v>364</v>
      </c>
      <c r="B656" s="14" t="str">
        <f t="array" ref="B656">VLOOKUP(A656,{Metrik!$C$2:$C$998,Metrik!$B$2:$B$998},2,0)</f>
        <v>Elang Mahkota Teknologi Tbk.</v>
      </c>
      <c r="C656" s="15">
        <f>IFERROR(__xludf.DUMMYFUNCTION("GOOGLEFINANCE(""IDX:""&amp;A656,""price"")"),550.0)</f>
        <v>550</v>
      </c>
      <c r="D656" s="16" t="str">
        <f>IFERROR(__xludf.DUMMYFUNCTION("IF(A656="""","""",
SPARKLINE(
INDEX(
GOOGLEFINANCE(""IDX:""&amp;A656,""close"",TODAY()-365,TODAY()),
,2
),
{""linewidth"",1}
))
"),"#N/A")</f>
        <v>#N/A</v>
      </c>
      <c r="E656" s="14" t="s">
        <v>47</v>
      </c>
      <c r="F656" s="25">
        <v>46356.0</v>
      </c>
      <c r="G656" s="18">
        <f t="shared" si="5"/>
        <v>13</v>
      </c>
      <c r="H656" s="19">
        <f>VLOOKUP(A656,Metrik!$C$2:$Y$959,8,0)</f>
        <v>13.4</v>
      </c>
      <c r="I656" s="20">
        <f>VLOOKUP(A656,Metrik!$C$2:$Y$959,9,0)</f>
        <v>0.72</v>
      </c>
      <c r="J656" s="20">
        <f>VLOOKUP(A656,Metrik!$C$2:$Y$959,10,0)</f>
        <v>5.4</v>
      </c>
      <c r="K656" s="20">
        <f>VLOOKUP(A656,Metrik!$C$2:$Y$959,11,0)</f>
        <v>4.7</v>
      </c>
      <c r="L656" s="20">
        <f>VLOOKUP(A656,Metrik!$C$2:$Y$959,12,0)</f>
        <v>0.14</v>
      </c>
      <c r="M656" s="20">
        <f>VLOOKUP(A656,Metrik!$C$2:$Y$959,19,0)</f>
        <v>48.5</v>
      </c>
      <c r="N656" s="21"/>
      <c r="O656" s="21"/>
      <c r="P656" s="21"/>
      <c r="Q656" s="21"/>
      <c r="R656" s="21"/>
      <c r="S656" s="21"/>
      <c r="T656" s="21"/>
      <c r="U656" s="22">
        <f>IFERROR(__xludf.DUMMYFUNCTION("IFERROR(GOOGLEFINANCE(A656,""closeyest""),"""")"),525.0)</f>
        <v>525</v>
      </c>
      <c r="V656" s="23">
        <f>IFERROR(__xludf.DUMMYFUNCTION("IFERROR(GOOGLEFINANCE(A656,""changepct""),"""")"),4.76)</f>
        <v>4.76</v>
      </c>
      <c r="W656" s="22">
        <f>IFERROR(__xludf.DUMMYFUNCTION("IFERROR(GOOGLEFINANCE(A656,""priceopen""),"""")"),530.0)</f>
        <v>530</v>
      </c>
      <c r="X656" s="22">
        <f>IFERROR(__xludf.DUMMYFUNCTION("IFERROR(GOOGLEFINANCE(A656,""high""),"""")"),570.0)</f>
        <v>570</v>
      </c>
      <c r="Y656" s="22">
        <f>IFERROR(__xludf.DUMMYFUNCTION("IFERROR(GOOGLEFINANCE(A656,""low""),"""")"),530.0)</f>
        <v>530</v>
      </c>
      <c r="Z656" s="22">
        <f>IFERROR(__xludf.DUMMYFUNCTION("IFERROR(GOOGLEFINANCE(A656,""volume""),"""")"),3.41989E7)</f>
        <v>34198900</v>
      </c>
      <c r="AA656" s="24" t="str">
        <f>VLOOKUP(A656,Metrik!$C$2:$Y$959,5,0)</f>
        <v>Online Applications &amp; Services</v>
      </c>
      <c r="AB656" s="24" t="str">
        <f>VLOOKUP(A656,Metrik!$C$2:$Y$959,3,0)</f>
        <v>Technology</v>
      </c>
    </row>
    <row r="657">
      <c r="A657" s="14" t="s">
        <v>364</v>
      </c>
      <c r="B657" s="14" t="str">
        <f t="array" ref="B657">VLOOKUP(A657,{Metrik!$C$2:$C$998,Metrik!$B$2:$B$998},2,0)</f>
        <v>Elang Mahkota Teknologi Tbk.</v>
      </c>
      <c r="C657" s="15">
        <f>IFERROR(__xludf.DUMMYFUNCTION("GOOGLEFINANCE(""IDX:""&amp;A657,""price"")"),550.0)</f>
        <v>550</v>
      </c>
      <c r="D657" s="16" t="str">
        <f>IFERROR(__xludf.DUMMYFUNCTION("IF(A657="""","""",
SPARKLINE(
INDEX(
GOOGLEFINANCE(""IDX:""&amp;A657,""close"",TODAY()-365,TODAY()),
,2
),
{""linewidth"",1}
))
"),"#N/A")</f>
        <v>#N/A</v>
      </c>
      <c r="E657" s="14" t="s">
        <v>55</v>
      </c>
      <c r="F657" s="25">
        <v>46356.0</v>
      </c>
      <c r="G657" s="18">
        <f t="shared" si="5"/>
        <v>13</v>
      </c>
      <c r="H657" s="19">
        <f>VLOOKUP(A657,Metrik!$C$2:$Y$959,8,0)</f>
        <v>13.4</v>
      </c>
      <c r="I657" s="20">
        <f>VLOOKUP(A657,Metrik!$C$2:$Y$959,9,0)</f>
        <v>0.72</v>
      </c>
      <c r="J657" s="20">
        <f>VLOOKUP(A657,Metrik!$C$2:$Y$959,10,0)</f>
        <v>5.4</v>
      </c>
      <c r="K657" s="20">
        <f>VLOOKUP(A657,Metrik!$C$2:$Y$959,11,0)</f>
        <v>4.7</v>
      </c>
      <c r="L657" s="20">
        <f>VLOOKUP(A657,Metrik!$C$2:$Y$959,12,0)</f>
        <v>0.14</v>
      </c>
      <c r="M657" s="20">
        <f>VLOOKUP(A657,Metrik!$C$2:$Y$959,19,0)</f>
        <v>48.5</v>
      </c>
      <c r="N657" s="21"/>
      <c r="O657" s="21"/>
      <c r="P657" s="21"/>
      <c r="Q657" s="21"/>
      <c r="R657" s="21"/>
      <c r="S657" s="21"/>
      <c r="T657" s="21"/>
      <c r="U657" s="22">
        <f>IFERROR(__xludf.DUMMYFUNCTION("IFERROR(GOOGLEFINANCE(A657,""closeyest""),"""")"),525.0)</f>
        <v>525</v>
      </c>
      <c r="V657" s="23">
        <f>IFERROR(__xludf.DUMMYFUNCTION("IFERROR(GOOGLEFINANCE(A657,""changepct""),"""")"),4.76)</f>
        <v>4.76</v>
      </c>
      <c r="W657" s="22">
        <f>IFERROR(__xludf.DUMMYFUNCTION("IFERROR(GOOGLEFINANCE(A657,""priceopen""),"""")"),530.0)</f>
        <v>530</v>
      </c>
      <c r="X657" s="22">
        <f>IFERROR(__xludf.DUMMYFUNCTION("IFERROR(GOOGLEFINANCE(A657,""high""),"""")"),570.0)</f>
        <v>570</v>
      </c>
      <c r="Y657" s="22">
        <f>IFERROR(__xludf.DUMMYFUNCTION("IFERROR(GOOGLEFINANCE(A657,""low""),"""")"),530.0)</f>
        <v>530</v>
      </c>
      <c r="Z657" s="22">
        <f>IFERROR(__xludf.DUMMYFUNCTION("IFERROR(GOOGLEFINANCE(A657,""volume""),"""")"),3.41989E7)</f>
        <v>34198900</v>
      </c>
      <c r="AA657" s="24" t="str">
        <f>VLOOKUP(A657,Metrik!$C$2:$Y$959,5,0)</f>
        <v>Online Applications &amp; Services</v>
      </c>
      <c r="AB657" s="24" t="str">
        <f>VLOOKUP(A657,Metrik!$C$2:$Y$959,3,0)</f>
        <v>Technology</v>
      </c>
    </row>
    <row r="658">
      <c r="A658" s="14" t="s">
        <v>364</v>
      </c>
      <c r="B658" s="14" t="str">
        <f t="array" ref="B658">VLOOKUP(A658,{Metrik!$C$2:$C$998,Metrik!$B$2:$B$998},2,0)</f>
        <v>Elang Mahkota Teknologi Tbk.</v>
      </c>
      <c r="C658" s="15">
        <f>IFERROR(__xludf.DUMMYFUNCTION("GOOGLEFINANCE(""IDX:""&amp;A658,""price"")"),550.0)</f>
        <v>550</v>
      </c>
      <c r="D658" s="16" t="str">
        <f>IFERROR(__xludf.DUMMYFUNCTION("IF(A658="""","""",
SPARKLINE(
INDEX(
GOOGLEFINANCE(""IDX:""&amp;A658,""close"",TODAY()-365,TODAY()),
,2
),
{""linewidth"",1}
))
"),"#N/A")</f>
        <v>#N/A</v>
      </c>
      <c r="E658" s="14" t="s">
        <v>28</v>
      </c>
      <c r="F658" s="17" t="s">
        <v>29</v>
      </c>
      <c r="G658" s="18">
        <f t="shared" si="5"/>
        <v>13</v>
      </c>
      <c r="H658" s="19">
        <f>VLOOKUP(A658,Metrik!$C$2:$Y$959,8,0)</f>
        <v>13.4</v>
      </c>
      <c r="I658" s="20">
        <f>VLOOKUP(A658,Metrik!$C$2:$Y$959,9,0)</f>
        <v>0.72</v>
      </c>
      <c r="J658" s="20">
        <f>VLOOKUP(A658,Metrik!$C$2:$Y$959,10,0)</f>
        <v>5.4</v>
      </c>
      <c r="K658" s="20">
        <f>VLOOKUP(A658,Metrik!$C$2:$Y$959,11,0)</f>
        <v>4.7</v>
      </c>
      <c r="L658" s="20">
        <f>VLOOKUP(A658,Metrik!$C$2:$Y$959,12,0)</f>
        <v>0.14</v>
      </c>
      <c r="M658" s="20">
        <f>VLOOKUP(A658,Metrik!$C$2:$Y$959,19,0)</f>
        <v>48.5</v>
      </c>
      <c r="N658" s="21"/>
      <c r="O658" s="21"/>
      <c r="P658" s="21"/>
      <c r="Q658" s="21"/>
      <c r="R658" s="21"/>
      <c r="S658" s="21"/>
      <c r="T658" s="21"/>
      <c r="U658" s="22">
        <f>IFERROR(__xludf.DUMMYFUNCTION("IFERROR(GOOGLEFINANCE(A658,""closeyest""),"""")"),525.0)</f>
        <v>525</v>
      </c>
      <c r="V658" s="23">
        <f>IFERROR(__xludf.DUMMYFUNCTION("IFERROR(GOOGLEFINANCE(A658,""changepct""),"""")"),4.76)</f>
        <v>4.76</v>
      </c>
      <c r="W658" s="22">
        <f>IFERROR(__xludf.DUMMYFUNCTION("IFERROR(GOOGLEFINANCE(A658,""priceopen""),"""")"),530.0)</f>
        <v>530</v>
      </c>
      <c r="X658" s="22">
        <f>IFERROR(__xludf.DUMMYFUNCTION("IFERROR(GOOGLEFINANCE(A658,""high""),"""")"),570.0)</f>
        <v>570</v>
      </c>
      <c r="Y658" s="22">
        <f>IFERROR(__xludf.DUMMYFUNCTION("IFERROR(GOOGLEFINANCE(A658,""low""),"""")"),530.0)</f>
        <v>530</v>
      </c>
      <c r="Z658" s="22">
        <f>IFERROR(__xludf.DUMMYFUNCTION("IFERROR(GOOGLEFINANCE(A658,""volume""),"""")"),3.41989E7)</f>
        <v>34198900</v>
      </c>
      <c r="AA658" s="24" t="str">
        <f>VLOOKUP(A658,Metrik!$C$2:$Y$959,5,0)</f>
        <v>Online Applications &amp; Services</v>
      </c>
      <c r="AB658" s="24" t="str">
        <f>VLOOKUP(A658,Metrik!$C$2:$Y$959,3,0)</f>
        <v>Technology</v>
      </c>
    </row>
    <row r="659">
      <c r="A659" s="14" t="s">
        <v>364</v>
      </c>
      <c r="B659" s="14" t="str">
        <f t="array" ref="B659">VLOOKUP(A659,{Metrik!$C$2:$C$998,Metrik!$B$2:$B$998},2,0)</f>
        <v>Elang Mahkota Teknologi Tbk.</v>
      </c>
      <c r="C659" s="15">
        <f>IFERROR(__xludf.DUMMYFUNCTION("GOOGLEFINANCE(""IDX:""&amp;A659,""price"")"),550.0)</f>
        <v>550</v>
      </c>
      <c r="D659" s="16" t="str">
        <f>IFERROR(__xludf.DUMMYFUNCTION("IF(A659="""","""",
SPARKLINE(
INDEX(
GOOGLEFINANCE(""IDX:""&amp;A659,""close"",TODAY()-365,TODAY()),
,2
),
{""linewidth"",1}
))
"),"#N/A")</f>
        <v>#N/A</v>
      </c>
      <c r="E659" s="14" t="s">
        <v>31</v>
      </c>
      <c r="F659" s="17" t="s">
        <v>29</v>
      </c>
      <c r="G659" s="18">
        <f t="shared" si="5"/>
        <v>13</v>
      </c>
      <c r="H659" s="19">
        <f>VLOOKUP(A659,Metrik!$C$2:$Y$959,8,0)</f>
        <v>13.4</v>
      </c>
      <c r="I659" s="20">
        <f>VLOOKUP(A659,Metrik!$C$2:$Y$959,9,0)</f>
        <v>0.72</v>
      </c>
      <c r="J659" s="20">
        <f>VLOOKUP(A659,Metrik!$C$2:$Y$959,10,0)</f>
        <v>5.4</v>
      </c>
      <c r="K659" s="20">
        <f>VLOOKUP(A659,Metrik!$C$2:$Y$959,11,0)</f>
        <v>4.7</v>
      </c>
      <c r="L659" s="20">
        <f>VLOOKUP(A659,Metrik!$C$2:$Y$959,12,0)</f>
        <v>0.14</v>
      </c>
      <c r="M659" s="20">
        <f>VLOOKUP(A659,Metrik!$C$2:$Y$959,19,0)</f>
        <v>48.5</v>
      </c>
      <c r="N659" s="21"/>
      <c r="O659" s="21"/>
      <c r="P659" s="21"/>
      <c r="Q659" s="21"/>
      <c r="R659" s="21"/>
      <c r="S659" s="21"/>
      <c r="T659" s="21"/>
      <c r="U659" s="22">
        <f>IFERROR(__xludf.DUMMYFUNCTION("IFERROR(GOOGLEFINANCE(A659,""closeyest""),"""")"),525.0)</f>
        <v>525</v>
      </c>
      <c r="V659" s="23">
        <f>IFERROR(__xludf.DUMMYFUNCTION("IFERROR(GOOGLEFINANCE(A659,""changepct""),"""")"),4.76)</f>
        <v>4.76</v>
      </c>
      <c r="W659" s="22">
        <f>IFERROR(__xludf.DUMMYFUNCTION("IFERROR(GOOGLEFINANCE(A659,""priceopen""),"""")"),530.0)</f>
        <v>530</v>
      </c>
      <c r="X659" s="22">
        <f>IFERROR(__xludf.DUMMYFUNCTION("IFERROR(GOOGLEFINANCE(A659,""high""),"""")"),570.0)</f>
        <v>570</v>
      </c>
      <c r="Y659" s="22">
        <f>IFERROR(__xludf.DUMMYFUNCTION("IFERROR(GOOGLEFINANCE(A659,""low""),"""")"),530.0)</f>
        <v>530</v>
      </c>
      <c r="Z659" s="22">
        <f>IFERROR(__xludf.DUMMYFUNCTION("IFERROR(GOOGLEFINANCE(A659,""volume""),"""")"),3.41989E7)</f>
        <v>34198900</v>
      </c>
      <c r="AA659" s="24" t="str">
        <f>VLOOKUP(A659,Metrik!$C$2:$Y$959,5,0)</f>
        <v>Online Applications &amp; Services</v>
      </c>
      <c r="AB659" s="24" t="str">
        <f>VLOOKUP(A659,Metrik!$C$2:$Y$959,3,0)</f>
        <v>Technology</v>
      </c>
    </row>
    <row r="660">
      <c r="A660" s="14" t="s">
        <v>364</v>
      </c>
      <c r="B660" s="14" t="str">
        <f t="array" ref="B660">VLOOKUP(A660,{Metrik!$C$2:$C$998,Metrik!$B$2:$B$998},2,0)</f>
        <v>Elang Mahkota Teknologi Tbk.</v>
      </c>
      <c r="C660" s="15">
        <f>IFERROR(__xludf.DUMMYFUNCTION("GOOGLEFINANCE(""IDX:""&amp;A660,""price"")"),550.0)</f>
        <v>550</v>
      </c>
      <c r="D660" s="16" t="str">
        <f>IFERROR(__xludf.DUMMYFUNCTION("IF(A660="""","""",
SPARKLINE(
INDEX(
GOOGLEFINANCE(""IDX:""&amp;A660,""close"",TODAY()-365,TODAY()),
,2
),
{""linewidth"",1}
))
"),"#N/A")</f>
        <v>#N/A</v>
      </c>
      <c r="E660" s="14" t="s">
        <v>50</v>
      </c>
      <c r="F660" s="17" t="s">
        <v>51</v>
      </c>
      <c r="G660" s="18">
        <f t="shared" si="5"/>
        <v>13</v>
      </c>
      <c r="H660" s="19">
        <f>VLOOKUP(A660,Metrik!$C$2:$Y$959,8,0)</f>
        <v>13.4</v>
      </c>
      <c r="I660" s="20">
        <f>VLOOKUP(A660,Metrik!$C$2:$Y$959,9,0)</f>
        <v>0.72</v>
      </c>
      <c r="J660" s="20">
        <f>VLOOKUP(A660,Metrik!$C$2:$Y$959,10,0)</f>
        <v>5.4</v>
      </c>
      <c r="K660" s="20">
        <f>VLOOKUP(A660,Metrik!$C$2:$Y$959,11,0)</f>
        <v>4.7</v>
      </c>
      <c r="L660" s="20">
        <f>VLOOKUP(A660,Metrik!$C$2:$Y$959,12,0)</f>
        <v>0.14</v>
      </c>
      <c r="M660" s="20">
        <f>VLOOKUP(A660,Metrik!$C$2:$Y$959,19,0)</f>
        <v>48.5</v>
      </c>
      <c r="N660" s="21"/>
      <c r="O660" s="21"/>
      <c r="P660" s="21"/>
      <c r="Q660" s="21"/>
      <c r="R660" s="21"/>
      <c r="S660" s="21"/>
      <c r="T660" s="21"/>
      <c r="U660" s="22">
        <f>IFERROR(__xludf.DUMMYFUNCTION("IFERROR(GOOGLEFINANCE(A660,""closeyest""),"""")"),525.0)</f>
        <v>525</v>
      </c>
      <c r="V660" s="23">
        <f>IFERROR(__xludf.DUMMYFUNCTION("IFERROR(GOOGLEFINANCE(A660,""changepct""),"""")"),4.76)</f>
        <v>4.76</v>
      </c>
      <c r="W660" s="22">
        <f>IFERROR(__xludf.DUMMYFUNCTION("IFERROR(GOOGLEFINANCE(A660,""priceopen""),"""")"),530.0)</f>
        <v>530</v>
      </c>
      <c r="X660" s="22">
        <f>IFERROR(__xludf.DUMMYFUNCTION("IFERROR(GOOGLEFINANCE(A660,""high""),"""")"),570.0)</f>
        <v>570</v>
      </c>
      <c r="Y660" s="22">
        <f>IFERROR(__xludf.DUMMYFUNCTION("IFERROR(GOOGLEFINANCE(A660,""low""),"""")"),530.0)</f>
        <v>530</v>
      </c>
      <c r="Z660" s="22">
        <f>IFERROR(__xludf.DUMMYFUNCTION("IFERROR(GOOGLEFINANCE(A660,""volume""),"""")"),3.41989E7)</f>
        <v>34198900</v>
      </c>
      <c r="AA660" s="24" t="str">
        <f>VLOOKUP(A660,Metrik!$C$2:$Y$959,5,0)</f>
        <v>Online Applications &amp; Services</v>
      </c>
      <c r="AB660" s="24" t="str">
        <f>VLOOKUP(A660,Metrik!$C$2:$Y$959,3,0)</f>
        <v>Technology</v>
      </c>
    </row>
    <row r="661">
      <c r="A661" s="14" t="s">
        <v>364</v>
      </c>
      <c r="B661" s="14" t="str">
        <f t="array" ref="B661">VLOOKUP(A661,{Metrik!$C$2:$C$998,Metrik!$B$2:$B$998},2,0)</f>
        <v>Elang Mahkota Teknologi Tbk.</v>
      </c>
      <c r="C661" s="15">
        <f>IFERROR(__xludf.DUMMYFUNCTION("GOOGLEFINANCE(""IDX:""&amp;A661,""price"")"),550.0)</f>
        <v>550</v>
      </c>
      <c r="D661" s="16" t="str">
        <f>IFERROR(__xludf.DUMMYFUNCTION("IF(A661="""","""",
SPARKLINE(
INDEX(
GOOGLEFINANCE(""IDX:""&amp;A661,""close"",TODAY()-365,TODAY()),
,2
),
{""linewidth"",1}
))
"),"#N/A")</f>
        <v>#N/A</v>
      </c>
      <c r="E661" s="14" t="s">
        <v>30</v>
      </c>
      <c r="F661" s="17" t="s">
        <v>29</v>
      </c>
      <c r="G661" s="18">
        <f t="shared" si="5"/>
        <v>13</v>
      </c>
      <c r="H661" s="19">
        <f>VLOOKUP(A661,Metrik!$C$2:$Y$959,8,0)</f>
        <v>13.4</v>
      </c>
      <c r="I661" s="20">
        <f>VLOOKUP(A661,Metrik!$C$2:$Y$959,9,0)</f>
        <v>0.72</v>
      </c>
      <c r="J661" s="20">
        <f>VLOOKUP(A661,Metrik!$C$2:$Y$959,10,0)</f>
        <v>5.4</v>
      </c>
      <c r="K661" s="20">
        <f>VLOOKUP(A661,Metrik!$C$2:$Y$959,11,0)</f>
        <v>4.7</v>
      </c>
      <c r="L661" s="20">
        <f>VLOOKUP(A661,Metrik!$C$2:$Y$959,12,0)</f>
        <v>0.14</v>
      </c>
      <c r="M661" s="20">
        <f>VLOOKUP(A661,Metrik!$C$2:$Y$959,19,0)</f>
        <v>48.5</v>
      </c>
      <c r="N661" s="21"/>
      <c r="O661" s="21"/>
      <c r="P661" s="21"/>
      <c r="Q661" s="21"/>
      <c r="R661" s="21"/>
      <c r="S661" s="21"/>
      <c r="T661" s="21"/>
      <c r="U661" s="22">
        <f>IFERROR(__xludf.DUMMYFUNCTION("IFERROR(GOOGLEFINANCE(A661,""closeyest""),"""")"),525.0)</f>
        <v>525</v>
      </c>
      <c r="V661" s="23">
        <f>IFERROR(__xludf.DUMMYFUNCTION("IFERROR(GOOGLEFINANCE(A661,""changepct""),"""")"),4.76)</f>
        <v>4.76</v>
      </c>
      <c r="W661" s="22">
        <f>IFERROR(__xludf.DUMMYFUNCTION("IFERROR(GOOGLEFINANCE(A661,""priceopen""),"""")"),530.0)</f>
        <v>530</v>
      </c>
      <c r="X661" s="22">
        <f>IFERROR(__xludf.DUMMYFUNCTION("IFERROR(GOOGLEFINANCE(A661,""high""),"""")"),570.0)</f>
        <v>570</v>
      </c>
      <c r="Y661" s="22">
        <f>IFERROR(__xludf.DUMMYFUNCTION("IFERROR(GOOGLEFINANCE(A661,""low""),"""")"),530.0)</f>
        <v>530</v>
      </c>
      <c r="Z661" s="22">
        <f>IFERROR(__xludf.DUMMYFUNCTION("IFERROR(GOOGLEFINANCE(A661,""volume""),"""")"),3.41989E7)</f>
        <v>34198900</v>
      </c>
      <c r="AA661" s="24" t="str">
        <f>VLOOKUP(A661,Metrik!$C$2:$Y$959,5,0)</f>
        <v>Online Applications &amp; Services</v>
      </c>
      <c r="AB661" s="24" t="str">
        <f>VLOOKUP(A661,Metrik!$C$2:$Y$959,3,0)</f>
        <v>Technology</v>
      </c>
    </row>
    <row r="662">
      <c r="A662" s="14" t="s">
        <v>364</v>
      </c>
      <c r="B662" s="14" t="str">
        <f t="array" ref="B662">VLOOKUP(A662,{Metrik!$C$2:$C$998,Metrik!$B$2:$B$998},2,0)</f>
        <v>Elang Mahkota Teknologi Tbk.</v>
      </c>
      <c r="C662" s="15">
        <f>IFERROR(__xludf.DUMMYFUNCTION("GOOGLEFINANCE(""IDX:""&amp;A662,""price"")"),550.0)</f>
        <v>550</v>
      </c>
      <c r="D662" s="16" t="str">
        <f>IFERROR(__xludf.DUMMYFUNCTION("IF(A662="""","""",
SPARKLINE(
INDEX(
GOOGLEFINANCE(""IDX:""&amp;A662,""close"",TODAY()-365,TODAY()),
,2
),
{""linewidth"",1}
))
"),"#N/A")</f>
        <v>#N/A</v>
      </c>
      <c r="E662" s="14" t="s">
        <v>102</v>
      </c>
      <c r="F662" s="27" t="s">
        <v>53</v>
      </c>
      <c r="G662" s="18">
        <f t="shared" si="5"/>
        <v>13</v>
      </c>
      <c r="H662" s="19">
        <f>VLOOKUP(A662,Metrik!$C$2:$Y$959,8,0)</f>
        <v>13.4</v>
      </c>
      <c r="I662" s="20">
        <f>VLOOKUP(A662,Metrik!$C$2:$Y$959,9,0)</f>
        <v>0.72</v>
      </c>
      <c r="J662" s="20">
        <f>VLOOKUP(A662,Metrik!$C$2:$Y$959,10,0)</f>
        <v>5.4</v>
      </c>
      <c r="K662" s="20">
        <f>VLOOKUP(A662,Metrik!$C$2:$Y$959,11,0)</f>
        <v>4.7</v>
      </c>
      <c r="L662" s="20">
        <f>VLOOKUP(A662,Metrik!$C$2:$Y$959,12,0)</f>
        <v>0.14</v>
      </c>
      <c r="M662" s="20">
        <f>VLOOKUP(A662,Metrik!$C$2:$Y$959,19,0)</f>
        <v>48.5</v>
      </c>
      <c r="N662" s="21"/>
      <c r="O662" s="21"/>
      <c r="P662" s="21"/>
      <c r="Q662" s="21"/>
      <c r="R662" s="21"/>
      <c r="S662" s="21"/>
      <c r="T662" s="21"/>
      <c r="U662" s="22">
        <f>IFERROR(__xludf.DUMMYFUNCTION("IFERROR(GOOGLEFINANCE(A662,""closeyest""),"""")"),525.0)</f>
        <v>525</v>
      </c>
      <c r="V662" s="23">
        <f>IFERROR(__xludf.DUMMYFUNCTION("IFERROR(GOOGLEFINANCE(A662,""changepct""),"""")"),4.76)</f>
        <v>4.76</v>
      </c>
      <c r="W662" s="22">
        <f>IFERROR(__xludf.DUMMYFUNCTION("IFERROR(GOOGLEFINANCE(A662,""priceopen""),"""")"),530.0)</f>
        <v>530</v>
      </c>
      <c r="X662" s="22">
        <f>IFERROR(__xludf.DUMMYFUNCTION("IFERROR(GOOGLEFINANCE(A662,""high""),"""")"),570.0)</f>
        <v>570</v>
      </c>
      <c r="Y662" s="22">
        <f>IFERROR(__xludf.DUMMYFUNCTION("IFERROR(GOOGLEFINANCE(A662,""low""),"""")"),530.0)</f>
        <v>530</v>
      </c>
      <c r="Z662" s="22">
        <f>IFERROR(__xludf.DUMMYFUNCTION("IFERROR(GOOGLEFINANCE(A662,""volume""),"""")"),3.41989E7)</f>
        <v>34198900</v>
      </c>
      <c r="AA662" s="24" t="str">
        <f>VLOOKUP(A662,Metrik!$C$2:$Y$959,5,0)</f>
        <v>Online Applications &amp; Services</v>
      </c>
      <c r="AB662" s="24" t="str">
        <f>VLOOKUP(A662,Metrik!$C$2:$Y$959,3,0)</f>
        <v>Technology</v>
      </c>
    </row>
    <row r="663">
      <c r="A663" s="14" t="s">
        <v>364</v>
      </c>
      <c r="B663" s="14" t="str">
        <f t="array" ref="B663">VLOOKUP(A663,{Metrik!$C$2:$C$998,Metrik!$B$2:$B$998},2,0)</f>
        <v>Elang Mahkota Teknologi Tbk.</v>
      </c>
      <c r="C663" s="15">
        <f>IFERROR(__xludf.DUMMYFUNCTION("GOOGLEFINANCE(""IDX:""&amp;A663,""price"")"),550.0)</f>
        <v>550</v>
      </c>
      <c r="D663" s="16" t="str">
        <f>IFERROR(__xludf.DUMMYFUNCTION("IF(A663="""","""",
SPARKLINE(
INDEX(
GOOGLEFINANCE(""IDX:""&amp;A663,""close"",TODAY()-365,TODAY()),
,2
),
{""linewidth"",1}
))
"),"#N/A")</f>
        <v>#N/A</v>
      </c>
      <c r="E663" s="14" t="s">
        <v>32</v>
      </c>
      <c r="F663" s="14" t="s">
        <v>29</v>
      </c>
      <c r="G663" s="18">
        <f t="shared" si="5"/>
        <v>13</v>
      </c>
      <c r="H663" s="19">
        <f>VLOOKUP(A663,Metrik!$C$2:$Y$959,8,0)</f>
        <v>13.4</v>
      </c>
      <c r="I663" s="20">
        <f>VLOOKUP(A663,Metrik!$C$2:$Y$959,9,0)</f>
        <v>0.72</v>
      </c>
      <c r="J663" s="20">
        <f>VLOOKUP(A663,Metrik!$C$2:$Y$959,10,0)</f>
        <v>5.4</v>
      </c>
      <c r="K663" s="20">
        <f>VLOOKUP(A663,Metrik!$C$2:$Y$959,11,0)</f>
        <v>4.7</v>
      </c>
      <c r="L663" s="20">
        <f>VLOOKUP(A663,Metrik!$C$2:$Y$959,12,0)</f>
        <v>0.14</v>
      </c>
      <c r="M663" s="20">
        <f>VLOOKUP(A663,Metrik!$C$2:$Y$959,19,0)</f>
        <v>48.5</v>
      </c>
      <c r="N663" s="21"/>
      <c r="O663" s="21"/>
      <c r="P663" s="21"/>
      <c r="Q663" s="21"/>
      <c r="R663" s="21"/>
      <c r="S663" s="21"/>
      <c r="T663" s="21"/>
      <c r="U663" s="22">
        <f>IFERROR(__xludf.DUMMYFUNCTION("IFERROR(GOOGLEFINANCE(A663,""closeyest""),"""")"),525.0)</f>
        <v>525</v>
      </c>
      <c r="V663" s="23">
        <f>IFERROR(__xludf.DUMMYFUNCTION("IFERROR(GOOGLEFINANCE(A663,""changepct""),"""")"),4.76)</f>
        <v>4.76</v>
      </c>
      <c r="W663" s="22">
        <f>IFERROR(__xludf.DUMMYFUNCTION("IFERROR(GOOGLEFINANCE(A663,""priceopen""),"""")"),530.0)</f>
        <v>530</v>
      </c>
      <c r="X663" s="22">
        <f>IFERROR(__xludf.DUMMYFUNCTION("IFERROR(GOOGLEFINANCE(A663,""high""),"""")"),570.0)</f>
        <v>570</v>
      </c>
      <c r="Y663" s="22">
        <f>IFERROR(__xludf.DUMMYFUNCTION("IFERROR(GOOGLEFINANCE(A663,""low""),"""")"),530.0)</f>
        <v>530</v>
      </c>
      <c r="Z663" s="22">
        <f>IFERROR(__xludf.DUMMYFUNCTION("IFERROR(GOOGLEFINANCE(A663,""volume""),"""")"),3.41989E7)</f>
        <v>34198900</v>
      </c>
      <c r="AA663" s="24" t="str">
        <f>VLOOKUP(A663,Metrik!$C$2:$Y$959,5,0)</f>
        <v>Online Applications &amp; Services</v>
      </c>
      <c r="AB663" s="24" t="str">
        <f>VLOOKUP(A663,Metrik!$C$2:$Y$959,3,0)</f>
        <v>Technology</v>
      </c>
    </row>
    <row r="664">
      <c r="A664" s="14" t="s">
        <v>364</v>
      </c>
      <c r="B664" s="14" t="str">
        <f t="array" ref="B664">VLOOKUP(A664,{Metrik!$C$2:$C$998,Metrik!$B$2:$B$998},2,0)</f>
        <v>Elang Mahkota Teknologi Tbk.</v>
      </c>
      <c r="C664" s="15">
        <f>IFERROR(__xludf.DUMMYFUNCTION("GOOGLEFINANCE(""IDX:""&amp;A664,""price"")"),550.0)</f>
        <v>550</v>
      </c>
      <c r="D664" s="16" t="str">
        <f>IFERROR(__xludf.DUMMYFUNCTION("IF(A664="""","""",
SPARKLINE(
INDEX(
GOOGLEFINANCE(""IDX:""&amp;A664,""close"",TODAY()-365,TODAY()),
,2
),
{""linewidth"",1}
))
"),"#N/A")</f>
        <v>#N/A</v>
      </c>
      <c r="E664" s="14" t="s">
        <v>68</v>
      </c>
      <c r="F664" s="14" t="s">
        <v>34</v>
      </c>
      <c r="G664" s="18">
        <f t="shared" si="5"/>
        <v>13</v>
      </c>
      <c r="H664" s="19">
        <f>VLOOKUP(A664,Metrik!$C$2:$Y$959,8,0)</f>
        <v>13.4</v>
      </c>
      <c r="I664" s="20">
        <f>VLOOKUP(A664,Metrik!$C$2:$Y$959,9,0)</f>
        <v>0.72</v>
      </c>
      <c r="J664" s="20">
        <f>VLOOKUP(A664,Metrik!$C$2:$Y$959,10,0)</f>
        <v>5.4</v>
      </c>
      <c r="K664" s="20">
        <f>VLOOKUP(A664,Metrik!$C$2:$Y$959,11,0)</f>
        <v>4.7</v>
      </c>
      <c r="L664" s="20">
        <f>VLOOKUP(A664,Metrik!$C$2:$Y$959,12,0)</f>
        <v>0.14</v>
      </c>
      <c r="M664" s="20">
        <f>VLOOKUP(A664,Metrik!$C$2:$Y$959,19,0)</f>
        <v>48.5</v>
      </c>
      <c r="N664" s="21"/>
      <c r="O664" s="21"/>
      <c r="P664" s="21"/>
      <c r="Q664" s="21"/>
      <c r="R664" s="21"/>
      <c r="S664" s="21"/>
      <c r="T664" s="21"/>
      <c r="U664" s="22">
        <f>IFERROR(__xludf.DUMMYFUNCTION("IFERROR(GOOGLEFINANCE(A664,""closeyest""),"""")"),525.0)</f>
        <v>525</v>
      </c>
      <c r="V664" s="23">
        <f>IFERROR(__xludf.DUMMYFUNCTION("IFERROR(GOOGLEFINANCE(A664,""changepct""),"""")"),4.76)</f>
        <v>4.76</v>
      </c>
      <c r="W664" s="22">
        <f>IFERROR(__xludf.DUMMYFUNCTION("IFERROR(GOOGLEFINANCE(A664,""priceopen""),"""")"),530.0)</f>
        <v>530</v>
      </c>
      <c r="X664" s="22">
        <f>IFERROR(__xludf.DUMMYFUNCTION("IFERROR(GOOGLEFINANCE(A664,""high""),"""")"),570.0)</f>
        <v>570</v>
      </c>
      <c r="Y664" s="22">
        <f>IFERROR(__xludf.DUMMYFUNCTION("IFERROR(GOOGLEFINANCE(A664,""low""),"""")"),530.0)</f>
        <v>530</v>
      </c>
      <c r="Z664" s="22">
        <f>IFERROR(__xludf.DUMMYFUNCTION("IFERROR(GOOGLEFINANCE(A664,""volume""),"""")"),3.41989E7)</f>
        <v>34198900</v>
      </c>
      <c r="AA664" s="24" t="str">
        <f>VLOOKUP(A664,Metrik!$C$2:$Y$959,5,0)</f>
        <v>Online Applications &amp; Services</v>
      </c>
      <c r="AB664" s="24" t="str">
        <f>VLOOKUP(A664,Metrik!$C$2:$Y$959,3,0)</f>
        <v>Technology</v>
      </c>
    </row>
    <row r="665">
      <c r="A665" s="14" t="s">
        <v>364</v>
      </c>
      <c r="B665" s="14" t="str">
        <f t="array" ref="B665">VLOOKUP(A665,{Metrik!$C$2:$C$998,Metrik!$B$2:$B$998},2,0)</f>
        <v>Elang Mahkota Teknologi Tbk.</v>
      </c>
      <c r="C665" s="15">
        <f>IFERROR(__xludf.DUMMYFUNCTION("GOOGLEFINANCE(""IDX:""&amp;A665,""price"")"),550.0)</f>
        <v>550</v>
      </c>
      <c r="D665" s="16" t="str">
        <f>IFERROR(__xludf.DUMMYFUNCTION("IF(A665="""","""",
SPARKLINE(
INDEX(
GOOGLEFINANCE(""IDX:""&amp;A665,""close"",TODAY()-365,TODAY()),
,2
),
{""linewidth"",1}
))
"),"#N/A")</f>
        <v>#N/A</v>
      </c>
      <c r="E665" s="14" t="s">
        <v>33</v>
      </c>
      <c r="F665" s="14" t="s">
        <v>34</v>
      </c>
      <c r="G665" s="18">
        <f t="shared" si="5"/>
        <v>13</v>
      </c>
      <c r="H665" s="19">
        <f>VLOOKUP(A665,Metrik!$C$2:$Y$959,8,0)</f>
        <v>13.4</v>
      </c>
      <c r="I665" s="20">
        <f>VLOOKUP(A665,Metrik!$C$2:$Y$959,9,0)</f>
        <v>0.72</v>
      </c>
      <c r="J665" s="20">
        <f>VLOOKUP(A665,Metrik!$C$2:$Y$959,10,0)</f>
        <v>5.4</v>
      </c>
      <c r="K665" s="20">
        <f>VLOOKUP(A665,Metrik!$C$2:$Y$959,11,0)</f>
        <v>4.7</v>
      </c>
      <c r="L665" s="20">
        <f>VLOOKUP(A665,Metrik!$C$2:$Y$959,12,0)</f>
        <v>0.14</v>
      </c>
      <c r="M665" s="20">
        <f>VLOOKUP(A665,Metrik!$C$2:$Y$959,19,0)</f>
        <v>48.5</v>
      </c>
      <c r="N665" s="21"/>
      <c r="O665" s="21"/>
      <c r="P665" s="21"/>
      <c r="Q665" s="21"/>
      <c r="R665" s="21"/>
      <c r="S665" s="21"/>
      <c r="T665" s="21"/>
      <c r="U665" s="22">
        <f>IFERROR(__xludf.DUMMYFUNCTION("IFERROR(GOOGLEFINANCE(A665,""closeyest""),"""")"),525.0)</f>
        <v>525</v>
      </c>
      <c r="V665" s="23">
        <f>IFERROR(__xludf.DUMMYFUNCTION("IFERROR(GOOGLEFINANCE(A665,""changepct""),"""")"),4.76)</f>
        <v>4.76</v>
      </c>
      <c r="W665" s="22">
        <f>IFERROR(__xludf.DUMMYFUNCTION("IFERROR(GOOGLEFINANCE(A665,""priceopen""),"""")"),530.0)</f>
        <v>530</v>
      </c>
      <c r="X665" s="22">
        <f>IFERROR(__xludf.DUMMYFUNCTION("IFERROR(GOOGLEFINANCE(A665,""high""),"""")"),570.0)</f>
        <v>570</v>
      </c>
      <c r="Y665" s="22">
        <f>IFERROR(__xludf.DUMMYFUNCTION("IFERROR(GOOGLEFINANCE(A665,""low""),"""")"),530.0)</f>
        <v>530</v>
      </c>
      <c r="Z665" s="22">
        <f>IFERROR(__xludf.DUMMYFUNCTION("IFERROR(GOOGLEFINANCE(A665,""volume""),"""")"),3.41989E7)</f>
        <v>34198900</v>
      </c>
      <c r="AA665" s="24" t="str">
        <f>VLOOKUP(A665,Metrik!$C$2:$Y$959,5,0)</f>
        <v>Online Applications &amp; Services</v>
      </c>
      <c r="AB665" s="24" t="str">
        <f>VLOOKUP(A665,Metrik!$C$2:$Y$959,3,0)</f>
        <v>Technology</v>
      </c>
    </row>
    <row r="666">
      <c r="A666" s="17" t="s">
        <v>364</v>
      </c>
      <c r="B666" s="14" t="str">
        <f t="array" ref="B666">VLOOKUP(A666,{Metrik!$C$2:$C$998,Metrik!$B$2:$B$998},2,0)</f>
        <v>Elang Mahkota Teknologi Tbk.</v>
      </c>
      <c r="C666" s="15">
        <f>IFERROR(__xludf.DUMMYFUNCTION("GOOGLEFINANCE(""IDX:""&amp;A666,""price"")"),550.0)</f>
        <v>550</v>
      </c>
      <c r="D666" s="16" t="str">
        <f>IFERROR(__xludf.DUMMYFUNCTION("IF(A666="""","""",
SPARKLINE(
INDEX(
GOOGLEFINANCE(""IDX:""&amp;A666,""close"",TODAY()-365,TODAY()),
,2
),
{""linewidth"",1}
))
"),"#N/A")</f>
        <v>#N/A</v>
      </c>
      <c r="E666" s="17" t="s">
        <v>69</v>
      </c>
      <c r="F666" s="17" t="s">
        <v>70</v>
      </c>
      <c r="G666" s="24">
        <f t="shared" si="5"/>
        <v>13</v>
      </c>
      <c r="H666" s="19">
        <f>VLOOKUP(A666,Metrik!$C$2:$Y$959,8,0)</f>
        <v>13.4</v>
      </c>
      <c r="I666" s="20">
        <f>VLOOKUP(A666,Metrik!$C$2:$Y$959,9,0)</f>
        <v>0.72</v>
      </c>
      <c r="J666" s="20">
        <f>VLOOKUP(A666,Metrik!$C$2:$Y$959,10,0)</f>
        <v>5.4</v>
      </c>
      <c r="K666" s="20">
        <f>VLOOKUP(A666,Metrik!$C$2:$Y$959,11,0)</f>
        <v>4.7</v>
      </c>
      <c r="L666" s="20">
        <f>VLOOKUP(A666,Metrik!$C$2:$Y$959,12,0)</f>
        <v>0.14</v>
      </c>
      <c r="M666" s="20">
        <f>VLOOKUP(A666,Metrik!$C$2:$Y$959,19,0)</f>
        <v>48.5</v>
      </c>
      <c r="N666" s="21"/>
      <c r="O666" s="21"/>
      <c r="P666" s="21"/>
      <c r="Q666" s="21"/>
      <c r="R666" s="21"/>
      <c r="S666" s="21"/>
      <c r="T666" s="21"/>
      <c r="U666" s="22">
        <f>IFERROR(__xludf.DUMMYFUNCTION("IFERROR(GOOGLEFINANCE(A666,""closeyest""),"""")"),525.0)</f>
        <v>525</v>
      </c>
      <c r="V666" s="23">
        <f>IFERROR(__xludf.DUMMYFUNCTION("IFERROR(GOOGLEFINANCE(A666,""changepct""),"""")"),4.76)</f>
        <v>4.76</v>
      </c>
      <c r="W666" s="22">
        <f>IFERROR(__xludf.DUMMYFUNCTION("IFERROR(GOOGLEFINANCE(A666,""priceopen""),"""")"),530.0)</f>
        <v>530</v>
      </c>
      <c r="X666" s="22">
        <f>IFERROR(__xludf.DUMMYFUNCTION("IFERROR(GOOGLEFINANCE(A666,""high""),"""")"),570.0)</f>
        <v>570</v>
      </c>
      <c r="Y666" s="22">
        <f>IFERROR(__xludf.DUMMYFUNCTION("IFERROR(GOOGLEFINANCE(A666,""low""),"""")"),530.0)</f>
        <v>530</v>
      </c>
      <c r="Z666" s="22">
        <f>IFERROR(__xludf.DUMMYFUNCTION("IFERROR(GOOGLEFINANCE(A666,""volume""),"""")"),3.41989E7)</f>
        <v>34198900</v>
      </c>
      <c r="AA666" s="24" t="str">
        <f>VLOOKUP(A666,Metrik!$C$2:$Y$959,5,0)</f>
        <v>Online Applications &amp; Services</v>
      </c>
      <c r="AB666" s="24" t="str">
        <f>VLOOKUP(A666,Metrik!$C$2:$Y$959,3,0)</f>
        <v>Technology</v>
      </c>
    </row>
    <row r="667">
      <c r="A667" s="17" t="s">
        <v>364</v>
      </c>
      <c r="B667" s="14" t="str">
        <f t="array" ref="B667">VLOOKUP(A667,{Metrik!$C$2:$C$998,Metrik!$B$2:$B$998},2,0)</f>
        <v>Elang Mahkota Teknologi Tbk.</v>
      </c>
      <c r="C667" s="15">
        <f>IFERROR(__xludf.DUMMYFUNCTION("GOOGLEFINANCE(""IDX:""&amp;A667,""price"")"),550.0)</f>
        <v>550</v>
      </c>
      <c r="D667" s="16" t="str">
        <f>IFERROR(__xludf.DUMMYFUNCTION("IF(A667="""","""",
SPARKLINE(
INDEX(
GOOGLEFINANCE(""IDX:""&amp;A667,""close"",TODAY()-365,TODAY()),
,2
),
{""linewidth"",1}
))
"),"#N/A")</f>
        <v>#N/A</v>
      </c>
      <c r="E667" s="14" t="s">
        <v>35</v>
      </c>
      <c r="F667" s="17" t="s">
        <v>36</v>
      </c>
      <c r="G667" s="18">
        <f t="shared" si="5"/>
        <v>13</v>
      </c>
      <c r="H667" s="19">
        <f>VLOOKUP(A667,Metrik!$C$2:$Y$959,8,0)</f>
        <v>13.4</v>
      </c>
      <c r="I667" s="20">
        <f>VLOOKUP(A667,Metrik!$C$2:$Y$959,9,0)</f>
        <v>0.72</v>
      </c>
      <c r="J667" s="20">
        <f>VLOOKUP(A667,Metrik!$C$2:$Y$959,10,0)</f>
        <v>5.4</v>
      </c>
      <c r="K667" s="20">
        <f>VLOOKUP(A667,Metrik!$C$2:$Y$959,11,0)</f>
        <v>4.7</v>
      </c>
      <c r="L667" s="20">
        <f>VLOOKUP(A667,Metrik!$C$2:$Y$959,12,0)</f>
        <v>0.14</v>
      </c>
      <c r="M667" s="20">
        <f>VLOOKUP(A667,Metrik!$C$2:$Y$959,19,0)</f>
        <v>48.5</v>
      </c>
      <c r="N667" s="21"/>
      <c r="O667" s="21"/>
      <c r="P667" s="21"/>
      <c r="Q667" s="21"/>
      <c r="R667" s="21"/>
      <c r="S667" s="21"/>
      <c r="T667" s="21"/>
      <c r="U667" s="22">
        <f>IFERROR(__xludf.DUMMYFUNCTION("IFERROR(GOOGLEFINANCE(A667,""closeyest""),"""")"),525.0)</f>
        <v>525</v>
      </c>
      <c r="V667" s="23">
        <f>IFERROR(__xludf.DUMMYFUNCTION("IFERROR(GOOGLEFINANCE(A667,""changepct""),"""")"),4.76)</f>
        <v>4.76</v>
      </c>
      <c r="W667" s="22">
        <f>IFERROR(__xludf.DUMMYFUNCTION("IFERROR(GOOGLEFINANCE(A667,""priceopen""),"""")"),530.0)</f>
        <v>530</v>
      </c>
      <c r="X667" s="22">
        <f>IFERROR(__xludf.DUMMYFUNCTION("IFERROR(GOOGLEFINANCE(A667,""high""),"""")"),570.0)</f>
        <v>570</v>
      </c>
      <c r="Y667" s="22">
        <f>IFERROR(__xludf.DUMMYFUNCTION("IFERROR(GOOGLEFINANCE(A667,""low""),"""")"),530.0)</f>
        <v>530</v>
      </c>
      <c r="Z667" s="22">
        <f>IFERROR(__xludf.DUMMYFUNCTION("IFERROR(GOOGLEFINANCE(A667,""volume""),"""")"),3.41989E7)</f>
        <v>34198900</v>
      </c>
      <c r="AA667" s="24" t="str">
        <f>VLOOKUP(A667,Metrik!$C$2:$Y$959,5,0)</f>
        <v>Online Applications &amp; Services</v>
      </c>
      <c r="AB667" s="24" t="str">
        <f>VLOOKUP(A667,Metrik!$C$2:$Y$959,3,0)</f>
        <v>Technology</v>
      </c>
    </row>
    <row r="668">
      <c r="A668" s="14" t="s">
        <v>364</v>
      </c>
      <c r="B668" s="14" t="str">
        <f t="array" ref="B668">VLOOKUP(A668,{Metrik!$C$2:$C$998,Metrik!$B$2:$B$998},2,0)</f>
        <v>Elang Mahkota Teknologi Tbk.</v>
      </c>
      <c r="C668" s="15">
        <f>IFERROR(__xludf.DUMMYFUNCTION("GOOGLEFINANCE(""IDX:""&amp;A668,""price"")"),550.0)</f>
        <v>550</v>
      </c>
      <c r="D668" s="16" t="str">
        <f>IFERROR(__xludf.DUMMYFUNCTION("IF(A668="""","""",
SPARKLINE(
INDEX(
GOOGLEFINANCE(""IDX:""&amp;A668,""close"",TODAY()-365,TODAY()),
,2
),
{""linewidth"",1}
))
"),"#N/A")</f>
        <v>#N/A</v>
      </c>
      <c r="E668" s="14" t="s">
        <v>86</v>
      </c>
      <c r="F668" s="25">
        <v>46356.0</v>
      </c>
      <c r="G668" s="18">
        <f t="shared" si="5"/>
        <v>13</v>
      </c>
      <c r="H668" s="19">
        <f>VLOOKUP(A668,Metrik!$C$2:$Y$959,8,0)</f>
        <v>13.4</v>
      </c>
      <c r="I668" s="20">
        <f>VLOOKUP(A668,Metrik!$C$2:$Y$959,9,0)</f>
        <v>0.72</v>
      </c>
      <c r="J668" s="20">
        <f>VLOOKUP(A668,Metrik!$C$2:$Y$959,10,0)</f>
        <v>5.4</v>
      </c>
      <c r="K668" s="20">
        <f>VLOOKUP(A668,Metrik!$C$2:$Y$959,11,0)</f>
        <v>4.7</v>
      </c>
      <c r="L668" s="20">
        <f>VLOOKUP(A668,Metrik!$C$2:$Y$959,12,0)</f>
        <v>0.14</v>
      </c>
      <c r="M668" s="20">
        <f>VLOOKUP(A668,Metrik!$C$2:$Y$959,19,0)</f>
        <v>48.5</v>
      </c>
      <c r="N668" s="21"/>
      <c r="O668" s="21"/>
      <c r="P668" s="21"/>
      <c r="Q668" s="21"/>
      <c r="R668" s="21"/>
      <c r="S668" s="21"/>
      <c r="T668" s="21"/>
      <c r="U668" s="22">
        <f>IFERROR(__xludf.DUMMYFUNCTION("IFERROR(GOOGLEFINANCE(A668,""closeyest""),"""")"),525.0)</f>
        <v>525</v>
      </c>
      <c r="V668" s="23">
        <f>IFERROR(__xludf.DUMMYFUNCTION("IFERROR(GOOGLEFINANCE(A668,""changepct""),"""")"),4.76)</f>
        <v>4.76</v>
      </c>
      <c r="W668" s="22">
        <f>IFERROR(__xludf.DUMMYFUNCTION("IFERROR(GOOGLEFINANCE(A668,""priceopen""),"""")"),530.0)</f>
        <v>530</v>
      </c>
      <c r="X668" s="22">
        <f>IFERROR(__xludf.DUMMYFUNCTION("IFERROR(GOOGLEFINANCE(A668,""high""),"""")"),570.0)</f>
        <v>570</v>
      </c>
      <c r="Y668" s="22">
        <f>IFERROR(__xludf.DUMMYFUNCTION("IFERROR(GOOGLEFINANCE(A668,""low""),"""")"),530.0)</f>
        <v>530</v>
      </c>
      <c r="Z668" s="22">
        <f>IFERROR(__xludf.DUMMYFUNCTION("IFERROR(GOOGLEFINANCE(A668,""volume""),"""")"),3.41989E7)</f>
        <v>34198900</v>
      </c>
      <c r="AA668" s="24" t="str">
        <f>VLOOKUP(A668,Metrik!$C$2:$Y$959,5,0)</f>
        <v>Online Applications &amp; Services</v>
      </c>
      <c r="AB668" s="24" t="str">
        <f>VLOOKUP(A668,Metrik!$C$2:$Y$959,3,0)</f>
        <v>Technology</v>
      </c>
    </row>
    <row r="669">
      <c r="A669" s="14" t="s">
        <v>365</v>
      </c>
      <c r="B669" s="14" t="str">
        <f t="array" ref="B669">VLOOKUP(A669,{Metrik!$C$2:$C$998,Metrik!$B$2:$B$998},2,0)</f>
        <v>Champ Resto Indonesia Tbk.</v>
      </c>
      <c r="C669" s="15">
        <f>IFERROR(__xludf.DUMMYFUNCTION("GOOGLEFINANCE(""IDX:""&amp;A669,""price"")"),228.0)</f>
        <v>228</v>
      </c>
      <c r="D669" s="16" t="str">
        <f>IFERROR(__xludf.DUMMYFUNCTION("IF(A669="""","""",
SPARKLINE(
INDEX(
GOOGLEFINANCE(""IDX:""&amp;A669,""close"",TODAY()-365,TODAY()),
,2
),
{""linewidth"",1}
))
"),"#N/A")</f>
        <v>#N/A</v>
      </c>
      <c r="E669" s="26"/>
      <c r="F669" s="26"/>
      <c r="G669" s="24">
        <f t="shared" si="5"/>
        <v>0</v>
      </c>
      <c r="H669" s="19">
        <f>VLOOKUP(A669,Metrik!$C$2:$Y$959,8,0)</f>
        <v>-7.9</v>
      </c>
      <c r="I669" s="20">
        <f>VLOOKUP(A669,Metrik!$C$2:$Y$959,9,0)</f>
        <v>2.9</v>
      </c>
      <c r="J669" s="20">
        <f>VLOOKUP(A669,Metrik!$C$2:$Y$959,10,0)</f>
        <v>-36</v>
      </c>
      <c r="K669" s="20">
        <f>VLOOKUP(A669,Metrik!$C$2:$Y$959,11,0)</f>
        <v>-8</v>
      </c>
      <c r="L669" s="20">
        <f>VLOOKUP(A669,Metrik!$C$2:$Y$959,12,0)</f>
        <v>3.5</v>
      </c>
      <c r="M669" s="20">
        <f>VLOOKUP(A669,Metrik!$C$2:$Y$959,19,0)</f>
        <v>-24</v>
      </c>
      <c r="N669" s="21"/>
      <c r="O669" s="21"/>
      <c r="P669" s="21"/>
      <c r="Q669" s="21"/>
      <c r="R669" s="21"/>
      <c r="S669" s="21"/>
      <c r="T669" s="21"/>
      <c r="U669" s="22">
        <f>IFERROR(__xludf.DUMMYFUNCTION("IFERROR(GOOGLEFINANCE(A669,""closeyest""),"""")"),204.0)</f>
        <v>204</v>
      </c>
      <c r="V669" s="23">
        <f>IFERROR(__xludf.DUMMYFUNCTION("IFERROR(GOOGLEFINANCE(A669,""changepct""),"""")"),11.76)</f>
        <v>11.76</v>
      </c>
      <c r="W669" s="22">
        <f>IFERROR(__xludf.DUMMYFUNCTION("IFERROR(GOOGLEFINANCE(A669,""priceopen""),"""")"),204.0)</f>
        <v>204</v>
      </c>
      <c r="X669" s="22">
        <f>IFERROR(__xludf.DUMMYFUNCTION("IFERROR(GOOGLEFINANCE(A669,""high""),"""")"),254.0)</f>
        <v>254</v>
      </c>
      <c r="Y669" s="22">
        <f>IFERROR(__xludf.DUMMYFUNCTION("IFERROR(GOOGLEFINANCE(A669,""low""),"""")"),204.0)</f>
        <v>204</v>
      </c>
      <c r="Z669" s="22">
        <f>IFERROR(__xludf.DUMMYFUNCTION("IFERROR(GOOGLEFINANCE(A669,""volume""),"""")"),781200.0)</f>
        <v>781200</v>
      </c>
      <c r="AA669" s="24" t="str">
        <f>VLOOKUP(A669,Metrik!$C$2:$Y$959,5,0)</f>
        <v>Tourism &amp; Recreation</v>
      </c>
      <c r="AB669" s="24" t="str">
        <f>VLOOKUP(A669,Metrik!$C$2:$Y$959,3,0)</f>
        <v>Consumer Cyclicals</v>
      </c>
    </row>
    <row r="670">
      <c r="A670" s="14" t="s">
        <v>366</v>
      </c>
      <c r="B670" s="14" t="str">
        <f t="array" ref="B670">VLOOKUP(A670,{Metrik!$C$2:$C$998,Metrik!$B$2:$B$998},2,0)</f>
        <v>Energi Mega Persada Tbk.</v>
      </c>
      <c r="C670" s="15">
        <f>IFERROR(__xludf.DUMMYFUNCTION("GOOGLEFINANCE(""IDX:""&amp;A670,""price"")"),1390.0)</f>
        <v>1390</v>
      </c>
      <c r="D670" s="16" t="str">
        <f>IFERROR(__xludf.DUMMYFUNCTION("IF(A670="""","""",
SPARKLINE(
INDEX(
GOOGLEFINANCE(""IDX:""&amp;A670,""close"",TODAY()-365,TODAY()),
,2
),
{""linewidth"",1}
))
"),"#N/A")</f>
        <v>#N/A</v>
      </c>
      <c r="E670" s="14" t="s">
        <v>65</v>
      </c>
      <c r="F670" s="25">
        <v>46356.0</v>
      </c>
      <c r="G670" s="24">
        <f t="shared" si="5"/>
        <v>9</v>
      </c>
      <c r="H670" s="19">
        <f>VLOOKUP(A670,Metrik!$C$2:$Y$959,8,0)</f>
        <v>23.2</v>
      </c>
      <c r="I670" s="20">
        <f>VLOOKUP(A670,Metrik!$C$2:$Y$959,9,0)</f>
        <v>2.6</v>
      </c>
      <c r="J670" s="20">
        <f>VLOOKUP(A670,Metrik!$C$2:$Y$959,10,0)</f>
        <v>11.1</v>
      </c>
      <c r="K670" s="20">
        <f>VLOOKUP(A670,Metrik!$C$2:$Y$959,11,0)</f>
        <v>5</v>
      </c>
      <c r="L670" s="20">
        <f>VLOOKUP(A670,Metrik!$C$2:$Y$959,12,0)</f>
        <v>1.2</v>
      </c>
      <c r="M670" s="20">
        <f>VLOOKUP(A670,Metrik!$C$2:$Y$959,19,0)</f>
        <v>18.4</v>
      </c>
      <c r="N670" s="21"/>
      <c r="O670" s="21"/>
      <c r="P670" s="21"/>
      <c r="Q670" s="21"/>
      <c r="R670" s="21"/>
      <c r="S670" s="21"/>
      <c r="T670" s="21"/>
      <c r="U670" s="22">
        <f>IFERROR(__xludf.DUMMYFUNCTION("IFERROR(GOOGLEFINANCE(A670,""closeyest""),"""")"),0.3)</f>
        <v>0.3</v>
      </c>
      <c r="V670" s="23">
        <f>IFERROR(__xludf.DUMMYFUNCTION("IFERROR(GOOGLEFINANCE(A670,""changepct""),"""")"),18.64)</f>
        <v>18.64</v>
      </c>
      <c r="W670" s="22">
        <f>IFERROR(__xludf.DUMMYFUNCTION("IFERROR(GOOGLEFINANCE(A670,""priceopen""),"""")"),0.29)</f>
        <v>0.29</v>
      </c>
      <c r="X670" s="22">
        <f>IFERROR(__xludf.DUMMYFUNCTION("IFERROR(GOOGLEFINANCE(A670,""high""),"""")"),0.35)</f>
        <v>0.35</v>
      </c>
      <c r="Y670" s="22">
        <f>IFERROR(__xludf.DUMMYFUNCTION("IFERROR(GOOGLEFINANCE(A670,""low""),"""")"),0.26)</f>
        <v>0.26</v>
      </c>
      <c r="Z670" s="22">
        <f>IFERROR(__xludf.DUMMYFUNCTION("IFERROR(GOOGLEFINANCE(A670,""volume""),"""")"),61500.0)</f>
        <v>61500</v>
      </c>
      <c r="AA670" s="24" t="str">
        <f>VLOOKUP(A670,Metrik!$C$2:$Y$959,5,0)</f>
        <v>Oil &amp; Gas</v>
      </c>
      <c r="AB670" s="24" t="str">
        <f>VLOOKUP(A670,Metrik!$C$2:$Y$959,3,0)</f>
        <v>Energy</v>
      </c>
    </row>
    <row r="671">
      <c r="A671" s="14" t="s">
        <v>366</v>
      </c>
      <c r="B671" s="14" t="str">
        <f t="array" ref="B671">VLOOKUP(A671,{Metrik!$C$2:$C$998,Metrik!$B$2:$B$998},2,0)</f>
        <v>Energi Mega Persada Tbk.</v>
      </c>
      <c r="C671" s="15">
        <f>IFERROR(__xludf.DUMMYFUNCTION("GOOGLEFINANCE(""IDX:""&amp;A671,""price"")"),1390.0)</f>
        <v>1390</v>
      </c>
      <c r="D671" s="16" t="str">
        <f>IFERROR(__xludf.DUMMYFUNCTION("IF(A671="""","""",
SPARKLINE(
INDEX(
GOOGLEFINANCE(""IDX:""&amp;A671,""close"",TODAY()-365,TODAY()),
,2
),
{""linewidth"",1}
))
"),"#N/A")</f>
        <v>#N/A</v>
      </c>
      <c r="E671" s="14" t="s">
        <v>68</v>
      </c>
      <c r="F671" s="14" t="s">
        <v>34</v>
      </c>
      <c r="G671" s="24">
        <f t="shared" si="5"/>
        <v>9</v>
      </c>
      <c r="H671" s="19">
        <f>VLOOKUP(A671,Metrik!$C$2:$Y$959,8,0)</f>
        <v>23.2</v>
      </c>
      <c r="I671" s="20">
        <f>VLOOKUP(A671,Metrik!$C$2:$Y$959,9,0)</f>
        <v>2.6</v>
      </c>
      <c r="J671" s="20">
        <f>VLOOKUP(A671,Metrik!$C$2:$Y$959,10,0)</f>
        <v>11.1</v>
      </c>
      <c r="K671" s="20">
        <f>VLOOKUP(A671,Metrik!$C$2:$Y$959,11,0)</f>
        <v>5</v>
      </c>
      <c r="L671" s="20">
        <f>VLOOKUP(A671,Metrik!$C$2:$Y$959,12,0)</f>
        <v>1.2</v>
      </c>
      <c r="M671" s="20">
        <f>VLOOKUP(A671,Metrik!$C$2:$Y$959,19,0)</f>
        <v>18.4</v>
      </c>
      <c r="N671" s="21"/>
      <c r="O671" s="21"/>
      <c r="P671" s="21"/>
      <c r="Q671" s="21"/>
      <c r="R671" s="21"/>
      <c r="S671" s="21"/>
      <c r="T671" s="21"/>
      <c r="U671" s="22">
        <f>IFERROR(__xludf.DUMMYFUNCTION("IFERROR(GOOGLEFINANCE(A671,""closeyest""),"""")"),0.3)</f>
        <v>0.3</v>
      </c>
      <c r="V671" s="23">
        <f>IFERROR(__xludf.DUMMYFUNCTION("IFERROR(GOOGLEFINANCE(A671,""changepct""),"""")"),18.64)</f>
        <v>18.64</v>
      </c>
      <c r="W671" s="22">
        <f>IFERROR(__xludf.DUMMYFUNCTION("IFERROR(GOOGLEFINANCE(A671,""priceopen""),"""")"),0.29)</f>
        <v>0.29</v>
      </c>
      <c r="X671" s="22">
        <f>IFERROR(__xludf.DUMMYFUNCTION("IFERROR(GOOGLEFINANCE(A671,""high""),"""")"),0.35)</f>
        <v>0.35</v>
      </c>
      <c r="Y671" s="22">
        <f>IFERROR(__xludf.DUMMYFUNCTION("IFERROR(GOOGLEFINANCE(A671,""low""),"""")"),0.26)</f>
        <v>0.26</v>
      </c>
      <c r="Z671" s="22">
        <f>IFERROR(__xludf.DUMMYFUNCTION("IFERROR(GOOGLEFINANCE(A671,""volume""),"""")"),61500.0)</f>
        <v>61500</v>
      </c>
      <c r="AA671" s="24" t="str">
        <f>VLOOKUP(A671,Metrik!$C$2:$Y$959,5,0)</f>
        <v>Oil &amp; Gas</v>
      </c>
      <c r="AB671" s="24" t="str">
        <f>VLOOKUP(A671,Metrik!$C$2:$Y$959,3,0)</f>
        <v>Energy</v>
      </c>
    </row>
    <row r="672">
      <c r="A672" s="14" t="s">
        <v>366</v>
      </c>
      <c r="B672" s="14" t="str">
        <f t="array" ref="B672">VLOOKUP(A672,{Metrik!$C$2:$C$998,Metrik!$B$2:$B$998},2,0)</f>
        <v>Energi Mega Persada Tbk.</v>
      </c>
      <c r="C672" s="15">
        <f>IFERROR(__xludf.DUMMYFUNCTION("GOOGLEFINANCE(""IDX:""&amp;A672,""price"")"),1390.0)</f>
        <v>1390</v>
      </c>
      <c r="D672" s="16" t="str">
        <f>IFERROR(__xludf.DUMMYFUNCTION("IF(A672="""","""",
SPARKLINE(
INDEX(
GOOGLEFINANCE(""IDX:""&amp;A672,""close"",TODAY()-365,TODAY()),
,2
),
{""linewidth"",1}
))
"),"#N/A")</f>
        <v>#N/A</v>
      </c>
      <c r="E672" s="14" t="s">
        <v>32</v>
      </c>
      <c r="F672" s="14" t="s">
        <v>29</v>
      </c>
      <c r="G672" s="24">
        <f t="shared" si="5"/>
        <v>9</v>
      </c>
      <c r="H672" s="19">
        <f>VLOOKUP(A672,Metrik!$C$2:$Y$959,8,0)</f>
        <v>23.2</v>
      </c>
      <c r="I672" s="20">
        <f>VLOOKUP(A672,Metrik!$C$2:$Y$959,9,0)</f>
        <v>2.6</v>
      </c>
      <c r="J672" s="20">
        <f>VLOOKUP(A672,Metrik!$C$2:$Y$959,10,0)</f>
        <v>11.1</v>
      </c>
      <c r="K672" s="20">
        <f>VLOOKUP(A672,Metrik!$C$2:$Y$959,11,0)</f>
        <v>5</v>
      </c>
      <c r="L672" s="20">
        <f>VLOOKUP(A672,Metrik!$C$2:$Y$959,12,0)</f>
        <v>1.2</v>
      </c>
      <c r="M672" s="20">
        <f>VLOOKUP(A672,Metrik!$C$2:$Y$959,19,0)</f>
        <v>18.4</v>
      </c>
      <c r="N672" s="21"/>
      <c r="O672" s="21"/>
      <c r="P672" s="21"/>
      <c r="Q672" s="21"/>
      <c r="R672" s="21"/>
      <c r="S672" s="21"/>
      <c r="T672" s="21"/>
      <c r="U672" s="22">
        <f>IFERROR(__xludf.DUMMYFUNCTION("IFERROR(GOOGLEFINANCE(A672,""closeyest""),"""")"),0.3)</f>
        <v>0.3</v>
      </c>
      <c r="V672" s="23">
        <f>IFERROR(__xludf.DUMMYFUNCTION("IFERROR(GOOGLEFINANCE(A672,""changepct""),"""")"),18.64)</f>
        <v>18.64</v>
      </c>
      <c r="W672" s="22">
        <f>IFERROR(__xludf.DUMMYFUNCTION("IFERROR(GOOGLEFINANCE(A672,""priceopen""),"""")"),0.29)</f>
        <v>0.29</v>
      </c>
      <c r="X672" s="22">
        <f>IFERROR(__xludf.DUMMYFUNCTION("IFERROR(GOOGLEFINANCE(A672,""high""),"""")"),0.35)</f>
        <v>0.35</v>
      </c>
      <c r="Y672" s="22">
        <f>IFERROR(__xludf.DUMMYFUNCTION("IFERROR(GOOGLEFINANCE(A672,""low""),"""")"),0.26)</f>
        <v>0.26</v>
      </c>
      <c r="Z672" s="22">
        <f>IFERROR(__xludf.DUMMYFUNCTION("IFERROR(GOOGLEFINANCE(A672,""volume""),"""")"),61500.0)</f>
        <v>61500</v>
      </c>
      <c r="AA672" s="24" t="str">
        <f>VLOOKUP(A672,Metrik!$C$2:$Y$959,5,0)</f>
        <v>Oil &amp; Gas</v>
      </c>
      <c r="AB672" s="24" t="str">
        <f>VLOOKUP(A672,Metrik!$C$2:$Y$959,3,0)</f>
        <v>Energy</v>
      </c>
    </row>
    <row r="673">
      <c r="A673" s="14" t="s">
        <v>366</v>
      </c>
      <c r="B673" s="14" t="str">
        <f t="array" ref="B673">VLOOKUP(A673,{Metrik!$C$2:$C$998,Metrik!$B$2:$B$998},2,0)</f>
        <v>Energi Mega Persada Tbk.</v>
      </c>
      <c r="C673" s="15">
        <f>IFERROR(__xludf.DUMMYFUNCTION("GOOGLEFINANCE(""IDX:""&amp;A673,""price"")"),1390.0)</f>
        <v>1390</v>
      </c>
      <c r="D673" s="16" t="str">
        <f>IFERROR(__xludf.DUMMYFUNCTION("IF(A673="""","""",
SPARKLINE(
INDEX(
GOOGLEFINANCE(""IDX:""&amp;A673,""close"",TODAY()-365,TODAY()),
,2
),
{""linewidth"",1}
))
"),"#N/A")</f>
        <v>#N/A</v>
      </c>
      <c r="E673" s="14" t="s">
        <v>28</v>
      </c>
      <c r="F673" s="17" t="s">
        <v>29</v>
      </c>
      <c r="G673" s="24">
        <f t="shared" si="5"/>
        <v>9</v>
      </c>
      <c r="H673" s="19">
        <f>VLOOKUP(A673,Metrik!$C$2:$Y$959,8,0)</f>
        <v>23.2</v>
      </c>
      <c r="I673" s="20">
        <f>VLOOKUP(A673,Metrik!$C$2:$Y$959,9,0)</f>
        <v>2.6</v>
      </c>
      <c r="J673" s="20">
        <f>VLOOKUP(A673,Metrik!$C$2:$Y$959,10,0)</f>
        <v>11.1</v>
      </c>
      <c r="K673" s="20">
        <f>VLOOKUP(A673,Metrik!$C$2:$Y$959,11,0)</f>
        <v>5</v>
      </c>
      <c r="L673" s="20">
        <f>VLOOKUP(A673,Metrik!$C$2:$Y$959,12,0)</f>
        <v>1.2</v>
      </c>
      <c r="M673" s="20">
        <f>VLOOKUP(A673,Metrik!$C$2:$Y$959,19,0)</f>
        <v>18.4</v>
      </c>
      <c r="N673" s="21"/>
      <c r="O673" s="21"/>
      <c r="P673" s="21"/>
      <c r="Q673" s="21"/>
      <c r="R673" s="21"/>
      <c r="S673" s="21"/>
      <c r="T673" s="21"/>
      <c r="U673" s="22">
        <f>IFERROR(__xludf.DUMMYFUNCTION("IFERROR(GOOGLEFINANCE(A673,""closeyest""),"""")"),0.3)</f>
        <v>0.3</v>
      </c>
      <c r="V673" s="23">
        <f>IFERROR(__xludf.DUMMYFUNCTION("IFERROR(GOOGLEFINANCE(A673,""changepct""),"""")"),18.64)</f>
        <v>18.64</v>
      </c>
      <c r="W673" s="22">
        <f>IFERROR(__xludf.DUMMYFUNCTION("IFERROR(GOOGLEFINANCE(A673,""priceopen""),"""")"),0.29)</f>
        <v>0.29</v>
      </c>
      <c r="X673" s="22">
        <f>IFERROR(__xludf.DUMMYFUNCTION("IFERROR(GOOGLEFINANCE(A673,""high""),"""")"),0.35)</f>
        <v>0.35</v>
      </c>
      <c r="Y673" s="22">
        <f>IFERROR(__xludf.DUMMYFUNCTION("IFERROR(GOOGLEFINANCE(A673,""low""),"""")"),0.26)</f>
        <v>0.26</v>
      </c>
      <c r="Z673" s="22">
        <f>IFERROR(__xludf.DUMMYFUNCTION("IFERROR(GOOGLEFINANCE(A673,""volume""),"""")"),61500.0)</f>
        <v>61500</v>
      </c>
      <c r="AA673" s="24" t="str">
        <f>VLOOKUP(A673,Metrik!$C$2:$Y$959,5,0)</f>
        <v>Oil &amp; Gas</v>
      </c>
      <c r="AB673" s="24" t="str">
        <f>VLOOKUP(A673,Metrik!$C$2:$Y$959,3,0)</f>
        <v>Energy</v>
      </c>
    </row>
    <row r="674">
      <c r="A674" s="14" t="s">
        <v>366</v>
      </c>
      <c r="B674" s="14" t="str">
        <f t="array" ref="B674">VLOOKUP(A674,{Metrik!$C$2:$C$998,Metrik!$B$2:$B$998},2,0)</f>
        <v>Energi Mega Persada Tbk.</v>
      </c>
      <c r="C674" s="15">
        <f>IFERROR(__xludf.DUMMYFUNCTION("GOOGLEFINANCE(""IDX:""&amp;A674,""price"")"),1390.0)</f>
        <v>1390</v>
      </c>
      <c r="D674" s="16" t="str">
        <f>IFERROR(__xludf.DUMMYFUNCTION("IF(A674="""","""",
SPARKLINE(
INDEX(
GOOGLEFINANCE(""IDX:""&amp;A674,""close"",TODAY()-365,TODAY()),
,2
),
{""linewidth"",1}
))
"),"#N/A")</f>
        <v>#N/A</v>
      </c>
      <c r="E674" s="14" t="s">
        <v>84</v>
      </c>
      <c r="F674" s="17" t="s">
        <v>51</v>
      </c>
      <c r="G674" s="24">
        <f t="shared" si="5"/>
        <v>9</v>
      </c>
      <c r="H674" s="19">
        <f>VLOOKUP(A674,Metrik!$C$2:$Y$959,8,0)</f>
        <v>23.2</v>
      </c>
      <c r="I674" s="20">
        <f>VLOOKUP(A674,Metrik!$C$2:$Y$959,9,0)</f>
        <v>2.6</v>
      </c>
      <c r="J674" s="20">
        <f>VLOOKUP(A674,Metrik!$C$2:$Y$959,10,0)</f>
        <v>11.1</v>
      </c>
      <c r="K674" s="20">
        <f>VLOOKUP(A674,Metrik!$C$2:$Y$959,11,0)</f>
        <v>5</v>
      </c>
      <c r="L674" s="20">
        <f>VLOOKUP(A674,Metrik!$C$2:$Y$959,12,0)</f>
        <v>1.2</v>
      </c>
      <c r="M674" s="20">
        <f>VLOOKUP(A674,Metrik!$C$2:$Y$959,19,0)</f>
        <v>18.4</v>
      </c>
      <c r="N674" s="21"/>
      <c r="O674" s="21"/>
      <c r="P674" s="21"/>
      <c r="Q674" s="21"/>
      <c r="R674" s="21"/>
      <c r="S674" s="21"/>
      <c r="T674" s="21"/>
      <c r="U674" s="22">
        <f>IFERROR(__xludf.DUMMYFUNCTION("IFERROR(GOOGLEFINANCE(A674,""closeyest""),"""")"),0.3)</f>
        <v>0.3</v>
      </c>
      <c r="V674" s="23">
        <f>IFERROR(__xludf.DUMMYFUNCTION("IFERROR(GOOGLEFINANCE(A674,""changepct""),"""")"),18.64)</f>
        <v>18.64</v>
      </c>
      <c r="W674" s="22">
        <f>IFERROR(__xludf.DUMMYFUNCTION("IFERROR(GOOGLEFINANCE(A674,""priceopen""),"""")"),0.29)</f>
        <v>0.29</v>
      </c>
      <c r="X674" s="22">
        <f>IFERROR(__xludf.DUMMYFUNCTION("IFERROR(GOOGLEFINANCE(A674,""high""),"""")"),0.35)</f>
        <v>0.35</v>
      </c>
      <c r="Y674" s="22">
        <f>IFERROR(__xludf.DUMMYFUNCTION("IFERROR(GOOGLEFINANCE(A674,""low""),"""")"),0.26)</f>
        <v>0.26</v>
      </c>
      <c r="Z674" s="22">
        <f>IFERROR(__xludf.DUMMYFUNCTION("IFERROR(GOOGLEFINANCE(A674,""volume""),"""")"),61500.0)</f>
        <v>61500</v>
      </c>
      <c r="AA674" s="24" t="str">
        <f>VLOOKUP(A674,Metrik!$C$2:$Y$959,5,0)</f>
        <v>Oil &amp; Gas</v>
      </c>
      <c r="AB674" s="24" t="str">
        <f>VLOOKUP(A674,Metrik!$C$2:$Y$959,3,0)</f>
        <v>Energy</v>
      </c>
    </row>
    <row r="675">
      <c r="A675" s="14" t="s">
        <v>366</v>
      </c>
      <c r="B675" s="14" t="str">
        <f t="array" ref="B675">VLOOKUP(A675,{Metrik!$C$2:$C$998,Metrik!$B$2:$B$998},2,0)</f>
        <v>Energi Mega Persada Tbk.</v>
      </c>
      <c r="C675" s="15">
        <f>IFERROR(__xludf.DUMMYFUNCTION("GOOGLEFINANCE(""IDX:""&amp;A675,""price"")"),1390.0)</f>
        <v>1390</v>
      </c>
      <c r="D675" s="16" t="str">
        <f>IFERROR(__xludf.DUMMYFUNCTION("IF(A675="""","""",
SPARKLINE(
INDEX(
GOOGLEFINANCE(""IDX:""&amp;A675,""close"",TODAY()-365,TODAY()),
,2
),
{""linewidth"",1}
))
"),"#N/A")</f>
        <v>#N/A</v>
      </c>
      <c r="E675" s="14" t="s">
        <v>41</v>
      </c>
      <c r="F675" s="14" t="s">
        <v>34</v>
      </c>
      <c r="G675" s="24">
        <f t="shared" si="5"/>
        <v>9</v>
      </c>
      <c r="H675" s="19">
        <f>VLOOKUP(A675,Metrik!$C$2:$Y$959,8,0)</f>
        <v>23.2</v>
      </c>
      <c r="I675" s="20">
        <f>VLOOKUP(A675,Metrik!$C$2:$Y$959,9,0)</f>
        <v>2.6</v>
      </c>
      <c r="J675" s="20">
        <f>VLOOKUP(A675,Metrik!$C$2:$Y$959,10,0)</f>
        <v>11.1</v>
      </c>
      <c r="K675" s="20">
        <f>VLOOKUP(A675,Metrik!$C$2:$Y$959,11,0)</f>
        <v>5</v>
      </c>
      <c r="L675" s="20">
        <f>VLOOKUP(A675,Metrik!$C$2:$Y$959,12,0)</f>
        <v>1.2</v>
      </c>
      <c r="M675" s="20">
        <f>VLOOKUP(A675,Metrik!$C$2:$Y$959,19,0)</f>
        <v>18.4</v>
      </c>
      <c r="N675" s="21"/>
      <c r="O675" s="21"/>
      <c r="P675" s="21"/>
      <c r="Q675" s="21"/>
      <c r="R675" s="21"/>
      <c r="S675" s="21"/>
      <c r="T675" s="21"/>
      <c r="U675" s="22">
        <f>IFERROR(__xludf.DUMMYFUNCTION("IFERROR(GOOGLEFINANCE(A675,""closeyest""),"""")"),0.3)</f>
        <v>0.3</v>
      </c>
      <c r="V675" s="23">
        <f>IFERROR(__xludf.DUMMYFUNCTION("IFERROR(GOOGLEFINANCE(A675,""changepct""),"""")"),18.64)</f>
        <v>18.64</v>
      </c>
      <c r="W675" s="22">
        <f>IFERROR(__xludf.DUMMYFUNCTION("IFERROR(GOOGLEFINANCE(A675,""priceopen""),"""")"),0.29)</f>
        <v>0.29</v>
      </c>
      <c r="X675" s="22">
        <f>IFERROR(__xludf.DUMMYFUNCTION("IFERROR(GOOGLEFINANCE(A675,""high""),"""")"),0.35)</f>
        <v>0.35</v>
      </c>
      <c r="Y675" s="22">
        <f>IFERROR(__xludf.DUMMYFUNCTION("IFERROR(GOOGLEFINANCE(A675,""low""),"""")"),0.26)</f>
        <v>0.26</v>
      </c>
      <c r="Z675" s="22">
        <f>IFERROR(__xludf.DUMMYFUNCTION("IFERROR(GOOGLEFINANCE(A675,""volume""),"""")"),61500.0)</f>
        <v>61500</v>
      </c>
      <c r="AA675" s="24" t="str">
        <f>VLOOKUP(A675,Metrik!$C$2:$Y$959,5,0)</f>
        <v>Oil &amp; Gas</v>
      </c>
      <c r="AB675" s="24" t="str">
        <f>VLOOKUP(A675,Metrik!$C$2:$Y$959,3,0)</f>
        <v>Energy</v>
      </c>
    </row>
    <row r="676">
      <c r="A676" s="17" t="s">
        <v>366</v>
      </c>
      <c r="B676" s="14" t="str">
        <f t="array" ref="B676">VLOOKUP(A676,{Metrik!$C$2:$C$998,Metrik!$B$2:$B$998},2,0)</f>
        <v>Energi Mega Persada Tbk.</v>
      </c>
      <c r="C676" s="15">
        <f>IFERROR(__xludf.DUMMYFUNCTION("GOOGLEFINANCE(""IDX:""&amp;A676,""price"")"),1390.0)</f>
        <v>1390</v>
      </c>
      <c r="D676" s="16" t="str">
        <f>IFERROR(__xludf.DUMMYFUNCTION("IF(A676="""","""",
SPARKLINE(
INDEX(
GOOGLEFINANCE(""IDX:""&amp;A676,""close"",TODAY()-365,TODAY()),
,2
),
{""linewidth"",1}
))
"),"#N/A")</f>
        <v>#N/A</v>
      </c>
      <c r="E676" s="14" t="s">
        <v>35</v>
      </c>
      <c r="F676" s="17" t="s">
        <v>36</v>
      </c>
      <c r="G676" s="38">
        <f t="shared" si="5"/>
        <v>9</v>
      </c>
      <c r="H676" s="34">
        <f>VLOOKUP(A676,Metrik!$C$2:$Y$959,8,0)</f>
        <v>23.2</v>
      </c>
      <c r="I676" s="34">
        <f>VLOOKUP(A676,Metrik!$C$2:$Y$959,9,0)</f>
        <v>2.6</v>
      </c>
      <c r="J676" s="34">
        <f>VLOOKUP(A676,Metrik!$C$2:$Y$959,10,0)</f>
        <v>11.1</v>
      </c>
      <c r="K676" s="34">
        <f>VLOOKUP(A676,Metrik!$C$2:$Y$959,11,0)</f>
        <v>5</v>
      </c>
      <c r="L676" s="34">
        <f>VLOOKUP(A676,Metrik!$C$2:$Y$959,12,0)</f>
        <v>1.2</v>
      </c>
      <c r="M676" s="34">
        <f>VLOOKUP(A676,Metrik!$C$2:$Y$959,19,0)</f>
        <v>18.4</v>
      </c>
      <c r="N676" s="26"/>
      <c r="O676" s="26"/>
      <c r="P676" s="26"/>
      <c r="Q676" s="26"/>
      <c r="R676" s="26"/>
      <c r="S676" s="26"/>
      <c r="T676" s="26"/>
      <c r="U676" s="35">
        <f>IFERROR(__xludf.DUMMYFUNCTION("IFERROR(GOOGLEFINANCE(A676,""closeyest""),"""")"),0.3)</f>
        <v>0.3</v>
      </c>
      <c r="V676" s="36">
        <f>IFERROR(__xludf.DUMMYFUNCTION("IFERROR(GOOGLEFINANCE(A676,""changepct""),"""")"),18.64)</f>
        <v>18.64</v>
      </c>
      <c r="W676" s="35">
        <f>IFERROR(__xludf.DUMMYFUNCTION("IFERROR(GOOGLEFINANCE(A676,""priceopen""),"""")"),0.29)</f>
        <v>0.29</v>
      </c>
      <c r="X676" s="35">
        <f>IFERROR(__xludf.DUMMYFUNCTION("IFERROR(GOOGLEFINANCE(A676,""high""),"""")"),0.35)</f>
        <v>0.35</v>
      </c>
      <c r="Y676" s="35">
        <f>IFERROR(__xludf.DUMMYFUNCTION("IFERROR(GOOGLEFINANCE(A676,""low""),"""")"),0.26)</f>
        <v>0.26</v>
      </c>
      <c r="Z676" s="35">
        <f>IFERROR(__xludf.DUMMYFUNCTION("IFERROR(GOOGLEFINANCE(A676,""volume""),"""")"),61500.0)</f>
        <v>61500</v>
      </c>
      <c r="AA676" s="14" t="str">
        <f>VLOOKUP(A676,Metrik!$C$2:$Y$959,5,0)</f>
        <v>Oil &amp; Gas</v>
      </c>
      <c r="AB676" s="14" t="str">
        <f>VLOOKUP(A676,Metrik!$C$2:$Y$959,3,0)</f>
        <v>Energy</v>
      </c>
    </row>
    <row r="677">
      <c r="A677" s="17" t="s">
        <v>366</v>
      </c>
      <c r="B677" s="14" t="str">
        <f t="array" ref="B677">VLOOKUP(A677,{Metrik!$C$2:$C$998,Metrik!$B$2:$B$998},2,0)</f>
        <v>Energi Mega Persada Tbk.</v>
      </c>
      <c r="C677" s="15">
        <f>IFERROR(__xludf.DUMMYFUNCTION("GOOGLEFINANCE(""IDX:""&amp;A677,""price"")"),1390.0)</f>
        <v>1390</v>
      </c>
      <c r="D677" s="16" t="str">
        <f>IFERROR(__xludf.DUMMYFUNCTION("IF(A677="""","""",
SPARKLINE(
INDEX(
GOOGLEFINANCE(""IDX:""&amp;A677,""close"",TODAY()-365,TODAY()),
,2
),
{""linewidth"",1}
))
"),"#N/A")</f>
        <v>#N/A</v>
      </c>
      <c r="E677" s="14" t="s">
        <v>38</v>
      </c>
      <c r="F677" s="25">
        <v>46356.0</v>
      </c>
      <c r="G677" s="18">
        <f t="shared" si="5"/>
        <v>9</v>
      </c>
      <c r="H677" s="19">
        <f>VLOOKUP(A677,Metrik!$C$2:$Y$959,8,0)</f>
        <v>23.2</v>
      </c>
      <c r="I677" s="20">
        <f>VLOOKUP(A677,Metrik!$C$2:$Y$959,9,0)</f>
        <v>2.6</v>
      </c>
      <c r="J677" s="20">
        <f>VLOOKUP(A677,Metrik!$C$2:$Y$959,10,0)</f>
        <v>11.1</v>
      </c>
      <c r="K677" s="20">
        <f>VLOOKUP(A677,Metrik!$C$2:$Y$959,11,0)</f>
        <v>5</v>
      </c>
      <c r="L677" s="20">
        <f>VLOOKUP(A677,Metrik!$C$2:$Y$959,12,0)</f>
        <v>1.2</v>
      </c>
      <c r="M677" s="20">
        <f>VLOOKUP(A677,Metrik!$C$2:$Y$959,19,0)</f>
        <v>18.4</v>
      </c>
      <c r="N677" s="21"/>
      <c r="O677" s="21"/>
      <c r="P677" s="21"/>
      <c r="Q677" s="21"/>
      <c r="R677" s="21"/>
      <c r="S677" s="21"/>
      <c r="T677" s="21"/>
      <c r="U677" s="22">
        <f>IFERROR(__xludf.DUMMYFUNCTION("IFERROR(GOOGLEFINANCE(A677,""closeyest""),"""")"),0.3)</f>
        <v>0.3</v>
      </c>
      <c r="V677" s="23">
        <f>IFERROR(__xludf.DUMMYFUNCTION("IFERROR(GOOGLEFINANCE(A677,""changepct""),"""")"),18.64)</f>
        <v>18.64</v>
      </c>
      <c r="W677" s="22">
        <f>IFERROR(__xludf.DUMMYFUNCTION("IFERROR(GOOGLEFINANCE(A677,""priceopen""),"""")"),0.29)</f>
        <v>0.29</v>
      </c>
      <c r="X677" s="22">
        <f>IFERROR(__xludf.DUMMYFUNCTION("IFERROR(GOOGLEFINANCE(A677,""high""),"""")"),0.35)</f>
        <v>0.35</v>
      </c>
      <c r="Y677" s="22">
        <f>IFERROR(__xludf.DUMMYFUNCTION("IFERROR(GOOGLEFINANCE(A677,""low""),"""")"),0.26)</f>
        <v>0.26</v>
      </c>
      <c r="Z677" s="22">
        <f>IFERROR(__xludf.DUMMYFUNCTION("IFERROR(GOOGLEFINANCE(A677,""volume""),"""")"),61500.0)</f>
        <v>61500</v>
      </c>
      <c r="AA677" s="24" t="str">
        <f>VLOOKUP(A677,Metrik!$C$2:$Y$959,5,0)</f>
        <v>Oil &amp; Gas</v>
      </c>
      <c r="AB677" s="24" t="str">
        <f>VLOOKUP(A677,Metrik!$C$2:$Y$959,3,0)</f>
        <v>Energy</v>
      </c>
    </row>
    <row r="678">
      <c r="A678" s="14" t="s">
        <v>366</v>
      </c>
      <c r="B678" s="14" t="str">
        <f t="array" ref="B678">VLOOKUP(A678,{Metrik!$C$2:$C$998,Metrik!$B$2:$B$998},2,0)</f>
        <v>Energi Mega Persada Tbk.</v>
      </c>
      <c r="C678" s="15">
        <f>IFERROR(__xludf.DUMMYFUNCTION("GOOGLEFINANCE(""IDX:""&amp;A678,""price"")"),1390.0)</f>
        <v>1390</v>
      </c>
      <c r="D678" s="16" t="str">
        <f>IFERROR(__xludf.DUMMYFUNCTION("IF(A678="""","""",
SPARKLINE(
INDEX(
GOOGLEFINANCE(""IDX:""&amp;A678,""close"",TODAY()-365,TODAY()),
,2
),
{""linewidth"",1}
))
"),"#N/A")</f>
        <v>#N/A</v>
      </c>
      <c r="E678" s="14" t="s">
        <v>39</v>
      </c>
      <c r="F678" s="25">
        <v>46356.0</v>
      </c>
      <c r="G678" s="24">
        <f t="shared" si="5"/>
        <v>9</v>
      </c>
      <c r="H678" s="19">
        <f>VLOOKUP(A678,Metrik!$C$2:$Y$959,8,0)</f>
        <v>23.2</v>
      </c>
      <c r="I678" s="20">
        <f>VLOOKUP(A678,Metrik!$C$2:$Y$959,9,0)</f>
        <v>2.6</v>
      </c>
      <c r="J678" s="20">
        <f>VLOOKUP(A678,Metrik!$C$2:$Y$959,10,0)</f>
        <v>11.1</v>
      </c>
      <c r="K678" s="20">
        <f>VLOOKUP(A678,Metrik!$C$2:$Y$959,11,0)</f>
        <v>5</v>
      </c>
      <c r="L678" s="20">
        <f>VLOOKUP(A678,Metrik!$C$2:$Y$959,12,0)</f>
        <v>1.2</v>
      </c>
      <c r="M678" s="20">
        <f>VLOOKUP(A678,Metrik!$C$2:$Y$959,19,0)</f>
        <v>18.4</v>
      </c>
      <c r="N678" s="21"/>
      <c r="O678" s="21"/>
      <c r="P678" s="21"/>
      <c r="Q678" s="21"/>
      <c r="R678" s="21"/>
      <c r="S678" s="21"/>
      <c r="T678" s="21"/>
      <c r="U678" s="22">
        <f>IFERROR(__xludf.DUMMYFUNCTION("IFERROR(GOOGLEFINANCE(A678,""closeyest""),"""")"),0.3)</f>
        <v>0.3</v>
      </c>
      <c r="V678" s="23">
        <f>IFERROR(__xludf.DUMMYFUNCTION("IFERROR(GOOGLEFINANCE(A678,""changepct""),"""")"),18.64)</f>
        <v>18.64</v>
      </c>
      <c r="W678" s="22">
        <f>IFERROR(__xludf.DUMMYFUNCTION("IFERROR(GOOGLEFINANCE(A678,""priceopen""),"""")"),0.29)</f>
        <v>0.29</v>
      </c>
      <c r="X678" s="22">
        <f>IFERROR(__xludf.DUMMYFUNCTION("IFERROR(GOOGLEFINANCE(A678,""high""),"""")"),0.35)</f>
        <v>0.35</v>
      </c>
      <c r="Y678" s="22">
        <f>IFERROR(__xludf.DUMMYFUNCTION("IFERROR(GOOGLEFINANCE(A678,""low""),"""")"),0.26)</f>
        <v>0.26</v>
      </c>
      <c r="Z678" s="22">
        <f>IFERROR(__xludf.DUMMYFUNCTION("IFERROR(GOOGLEFINANCE(A678,""volume""),"""")"),61500.0)</f>
        <v>61500</v>
      </c>
      <c r="AA678" s="24" t="str">
        <f>VLOOKUP(A678,Metrik!$C$2:$Y$959,5,0)</f>
        <v>Oil &amp; Gas</v>
      </c>
      <c r="AB678" s="24" t="str">
        <f>VLOOKUP(A678,Metrik!$C$2:$Y$959,3,0)</f>
        <v>Energy</v>
      </c>
    </row>
    <row r="679">
      <c r="A679" s="14" t="s">
        <v>367</v>
      </c>
      <c r="B679" s="14" t="str">
        <f t="array" ref="B679">VLOOKUP(A679,{Metrik!$C$2:$C$998,Metrik!$B$2:$B$998},2,0)</f>
        <v>Envy Technologies Indonesia Tbk.</v>
      </c>
      <c r="C679" s="15">
        <f>IFERROR(__xludf.DUMMYFUNCTION("GOOGLEFINANCE(""IDX:""&amp;A679,""price"")"),50.0)</f>
        <v>50</v>
      </c>
      <c r="D679" s="16" t="str">
        <f>IFERROR(__xludf.DUMMYFUNCTION("IF(A679="""","""",
SPARKLINE(
INDEX(
GOOGLEFINANCE(""IDX:""&amp;A679,""close"",TODAY()-365,TODAY()),
,2
),
{""linewidth"",1}
))
"),"#N/A")</f>
        <v>#N/A</v>
      </c>
      <c r="E679" s="26"/>
      <c r="F679" s="26"/>
      <c r="G679" s="24">
        <f t="shared" si="5"/>
        <v>0</v>
      </c>
      <c r="H679" s="19">
        <f>VLOOKUP(A679,Metrik!$C$2:$Y$959,8,0)</f>
        <v>-9.4</v>
      </c>
      <c r="I679" s="20">
        <f>VLOOKUP(A679,Metrik!$C$2:$Y$959,9,0)</f>
        <v>-1.7</v>
      </c>
      <c r="J679" s="20">
        <f>VLOOKUP(A679,Metrik!$C$2:$Y$959,10,0)</f>
        <v>0</v>
      </c>
      <c r="K679" s="20">
        <f>VLOOKUP(A679,Metrik!$C$2:$Y$959,11,0)</f>
        <v>-64.6</v>
      </c>
      <c r="L679" s="20">
        <f>VLOOKUP(A679,Metrik!$C$2:$Y$959,12,0)</f>
        <v>-1.3</v>
      </c>
      <c r="M679" s="20">
        <f>VLOOKUP(A679,Metrik!$C$2:$Y$959,19,0)</f>
        <v>-1690</v>
      </c>
      <c r="N679" s="21"/>
      <c r="O679" s="21"/>
      <c r="P679" s="21"/>
      <c r="Q679" s="21"/>
      <c r="R679" s="21"/>
      <c r="S679" s="21"/>
      <c r="T679" s="21"/>
      <c r="U679" s="22">
        <f>IFERROR(__xludf.DUMMYFUNCTION("IFERROR(GOOGLEFINANCE(A679,""closeyest""),"""")"),50.0)</f>
        <v>50</v>
      </c>
      <c r="V679" s="23">
        <f>IFERROR(__xludf.DUMMYFUNCTION("IFERROR(GOOGLEFINANCE(A679,""changepct""),"""")"),0.0)</f>
        <v>0</v>
      </c>
      <c r="W679" s="22" t="str">
        <f>IFERROR(__xludf.DUMMYFUNCTION("IFERROR(GOOGLEFINANCE(A679,""priceopen""),"""")"),"")</f>
        <v/>
      </c>
      <c r="X679" s="22" t="str">
        <f>IFERROR(__xludf.DUMMYFUNCTION("IFERROR(GOOGLEFINANCE(A679,""high""),"""")"),"")</f>
        <v/>
      </c>
      <c r="Y679" s="22" t="str">
        <f>IFERROR(__xludf.DUMMYFUNCTION("IFERROR(GOOGLEFINANCE(A679,""low""),"""")"),"")</f>
        <v/>
      </c>
      <c r="Z679" s="22">
        <f>IFERROR(__xludf.DUMMYFUNCTION("IFERROR(GOOGLEFINANCE(A679,""volume""),"""")"),0.0)</f>
        <v>0</v>
      </c>
      <c r="AA679" s="24" t="str">
        <f>VLOOKUP(A679,Metrik!$C$2:$Y$959,5,0)</f>
        <v>IT Services &amp; Consulting</v>
      </c>
      <c r="AB679" s="24" t="str">
        <f>VLOOKUP(A679,Metrik!$C$2:$Y$959,3,0)</f>
        <v>Technology</v>
      </c>
    </row>
    <row r="680">
      <c r="A680" s="14" t="s">
        <v>368</v>
      </c>
      <c r="B680" s="14" t="str">
        <f t="array" ref="B680">VLOOKUP(A680,{Metrik!$C$2:$C$998,Metrik!$B$2:$B$998},2,0)</f>
        <v>Morenzo Abadi Perkasa Tbk.</v>
      </c>
      <c r="C680" s="15" t="str">
        <f>IFERROR(__xludf.DUMMYFUNCTION("GOOGLEFINANCE(""IDX:""&amp;A680,""price"")"),"#N/A")</f>
        <v>#N/A</v>
      </c>
      <c r="D680" s="16" t="str">
        <f>IFERROR(__xludf.DUMMYFUNCTION("IF(A680="""","""",
SPARKLINE(
INDEX(
GOOGLEFINANCE(""IDX:""&amp;A680,""close"",TODAY()-365,TODAY()),
,2
),
{""linewidth"",1}
))
"),"#N/A")</f>
        <v>#N/A</v>
      </c>
      <c r="E680" s="26"/>
      <c r="F680" s="26"/>
      <c r="G680" s="24">
        <f t="shared" si="5"/>
        <v>0</v>
      </c>
      <c r="H680" s="19">
        <f>VLOOKUP(A680,Metrik!$C$2:$Y$959,8,0)</f>
        <v>33.7</v>
      </c>
      <c r="I680" s="20">
        <f>VLOOKUP(A680,Metrik!$C$2:$Y$959,9,0)</f>
        <v>0.94</v>
      </c>
      <c r="J680" s="20">
        <f>VLOOKUP(A680,Metrik!$C$2:$Y$959,10,0)</f>
        <v>2.8</v>
      </c>
      <c r="K680" s="20">
        <f>VLOOKUP(A680,Metrik!$C$2:$Y$959,11,0)</f>
        <v>1.1</v>
      </c>
      <c r="L680" s="20">
        <f>VLOOKUP(A680,Metrik!$C$2:$Y$959,12,0)</f>
        <v>1.6</v>
      </c>
      <c r="M680" s="20">
        <f>VLOOKUP(A680,Metrik!$C$2:$Y$959,19,0)</f>
        <v>5.1</v>
      </c>
      <c r="N680" s="21"/>
      <c r="O680" s="21"/>
      <c r="P680" s="21"/>
      <c r="Q680" s="21"/>
      <c r="R680" s="21"/>
      <c r="S680" s="21"/>
      <c r="T680" s="21"/>
      <c r="U680" s="22">
        <f>IFERROR(__xludf.DUMMYFUNCTION("IFERROR(GOOGLEFINANCE(A680,""closeyest""),"""")"),60.0)</f>
        <v>60</v>
      </c>
      <c r="V680" s="23">
        <f>IFERROR(__xludf.DUMMYFUNCTION("IFERROR(GOOGLEFINANCE(A680,""changepct""),"""")"),11.67)</f>
        <v>11.67</v>
      </c>
      <c r="W680" s="22">
        <f>IFERROR(__xludf.DUMMYFUNCTION("IFERROR(GOOGLEFINANCE(A680,""priceopen""),"""")"),60.0)</f>
        <v>60</v>
      </c>
      <c r="X680" s="22">
        <f>IFERROR(__xludf.DUMMYFUNCTION("IFERROR(GOOGLEFINANCE(A680,""high""),"""")"),70.0)</f>
        <v>70</v>
      </c>
      <c r="Y680" s="22">
        <f>IFERROR(__xludf.DUMMYFUNCTION("IFERROR(GOOGLEFINANCE(A680,""low""),"""")"),60.0)</f>
        <v>60</v>
      </c>
      <c r="Z680" s="22">
        <f>IFERROR(__xludf.DUMMYFUNCTION("IFERROR(GOOGLEFINANCE(A680,""volume""),"""")"),2.02323E7)</f>
        <v>20232300</v>
      </c>
      <c r="AA680" s="24" t="str">
        <f>VLOOKUP(A680,Metrik!$C$2:$Y$959,5,0)</f>
        <v>Agricultural Products</v>
      </c>
      <c r="AB680" s="24" t="str">
        <f>VLOOKUP(A680,Metrik!$C$2:$Y$959,3,0)</f>
        <v>Consumer Non-Cyclicals</v>
      </c>
    </row>
    <row r="681">
      <c r="A681" s="14" t="s">
        <v>369</v>
      </c>
      <c r="B681" s="14" t="str">
        <f t="array" ref="B681">VLOOKUP(A681,{Metrik!$C$2:$C$998,Metrik!$B$2:$B$998},2,0)</f>
        <v>Megalestari Epack Sentosaraya Tbk.</v>
      </c>
      <c r="C681" s="15">
        <f>IFERROR(__xludf.DUMMYFUNCTION("GOOGLEFINANCE(""IDX:""&amp;A681,""price"")"),55.0)</f>
        <v>55</v>
      </c>
      <c r="D681" s="16" t="str">
        <f>IFERROR(__xludf.DUMMYFUNCTION("IF(A681="""","""",
SPARKLINE(
INDEX(
GOOGLEFINANCE(""IDX:""&amp;A681,""close"",TODAY()-365,TODAY()),
,2
),
{""linewidth"",1}
))
"),"#N/A")</f>
        <v>#N/A</v>
      </c>
      <c r="E681" s="26"/>
      <c r="F681" s="26"/>
      <c r="G681" s="24">
        <f t="shared" si="5"/>
        <v>0</v>
      </c>
      <c r="H681" s="19">
        <f>VLOOKUP(A681,Metrik!$C$2:$Y$959,8,0)</f>
        <v>-56.4</v>
      </c>
      <c r="I681" s="20">
        <f>VLOOKUP(A681,Metrik!$C$2:$Y$959,9,0)</f>
        <v>3.2</v>
      </c>
      <c r="J681" s="20">
        <f>VLOOKUP(A681,Metrik!$C$2:$Y$959,10,0)</f>
        <v>-5.7</v>
      </c>
      <c r="K681" s="20">
        <f>VLOOKUP(A681,Metrik!$C$2:$Y$959,11,0)</f>
        <v>-1.6</v>
      </c>
      <c r="L681" s="20">
        <f>VLOOKUP(A681,Metrik!$C$2:$Y$959,12,0)</f>
        <v>2.5</v>
      </c>
      <c r="M681" s="20">
        <f>VLOOKUP(A681,Metrik!$C$2:$Y$959,19,0)</f>
        <v>-10.3</v>
      </c>
      <c r="N681" s="21"/>
      <c r="O681" s="21"/>
      <c r="P681" s="21"/>
      <c r="Q681" s="21"/>
      <c r="R681" s="21"/>
      <c r="S681" s="21"/>
      <c r="T681" s="21"/>
      <c r="U681" s="22">
        <f>IFERROR(__xludf.DUMMYFUNCTION("IFERROR(GOOGLEFINANCE(A681,""closeyest""),"""")"),35.22)</f>
        <v>35.22</v>
      </c>
      <c r="V681" s="23">
        <f>IFERROR(__xludf.DUMMYFUNCTION("IFERROR(GOOGLEFINANCE(A681,""changepct""),"""")"),-0.48)</f>
        <v>-0.48</v>
      </c>
      <c r="W681" s="22">
        <f>IFERROR(__xludf.DUMMYFUNCTION("IFERROR(GOOGLEFINANCE(A681,""priceopen""),"""")"),35.45)</f>
        <v>35.45</v>
      </c>
      <c r="X681" s="22">
        <f>IFERROR(__xludf.DUMMYFUNCTION("IFERROR(GOOGLEFINANCE(A681,""high""),"""")"),35.52)</f>
        <v>35.52</v>
      </c>
      <c r="Y681" s="22">
        <f>IFERROR(__xludf.DUMMYFUNCTION("IFERROR(GOOGLEFINANCE(A681,""low""),"""")"),34.91)</f>
        <v>34.91</v>
      </c>
      <c r="Z681" s="22">
        <f>IFERROR(__xludf.DUMMYFUNCTION("IFERROR(GOOGLEFINANCE(A681,""volume""),"""")"),252363.0)</f>
        <v>252363</v>
      </c>
      <c r="AA681" s="24" t="str">
        <f>VLOOKUP(A681,Metrik!$C$2:$Y$959,5,0)</f>
        <v>Containers &amp; Packaging</v>
      </c>
      <c r="AB681" s="24" t="str">
        <f>VLOOKUP(A681,Metrik!$C$2:$Y$959,3,0)</f>
        <v>Basic Materials</v>
      </c>
    </row>
    <row r="682">
      <c r="A682" s="14" t="s">
        <v>370</v>
      </c>
      <c r="B682" s="14" t="str">
        <f t="array" ref="B682">VLOOKUP(A682,{Metrik!$C$2:$C$998,Metrik!$B$2:$B$998},2,0)</f>
        <v>Enseval Putera Megatrading Tbk.</v>
      </c>
      <c r="C682" s="15">
        <f>IFERROR(__xludf.DUMMYFUNCTION("GOOGLEFINANCE(""IDX:""&amp;A682,""price"")"),2310.0)</f>
        <v>2310</v>
      </c>
      <c r="D682" s="16" t="str">
        <f>IFERROR(__xludf.DUMMYFUNCTION("IF(A682="""","""",
SPARKLINE(
INDEX(
GOOGLEFINANCE(""IDX:""&amp;A682,""close"",TODAY()-365,TODAY()),
,2
),
{""linewidth"",1}
))
"),"#N/A")</f>
        <v>#N/A</v>
      </c>
      <c r="E682" s="26"/>
      <c r="F682" s="26"/>
      <c r="G682" s="24">
        <f t="shared" si="5"/>
        <v>0</v>
      </c>
      <c r="H682" s="19">
        <f>VLOOKUP(A682,Metrik!$C$2:$Y$959,8,0)</f>
        <v>8</v>
      </c>
      <c r="I682" s="20">
        <f>VLOOKUP(A682,Metrik!$C$2:$Y$959,9,0)</f>
        <v>0.76</v>
      </c>
      <c r="J682" s="20">
        <f>VLOOKUP(A682,Metrik!$C$2:$Y$959,10,0)</f>
        <v>9.5</v>
      </c>
      <c r="K682" s="20">
        <f>VLOOKUP(A682,Metrik!$C$2:$Y$959,11,0)</f>
        <v>5.5</v>
      </c>
      <c r="L682" s="20">
        <f>VLOOKUP(A682,Metrik!$C$2:$Y$959,12,0)</f>
        <v>0.73</v>
      </c>
      <c r="M682" s="20">
        <f>VLOOKUP(A682,Metrik!$C$2:$Y$959,19,0)</f>
        <v>8.6</v>
      </c>
      <c r="N682" s="21"/>
      <c r="O682" s="21"/>
      <c r="P682" s="21"/>
      <c r="Q682" s="21"/>
      <c r="R682" s="21"/>
      <c r="S682" s="21"/>
      <c r="T682" s="21"/>
      <c r="U682" s="22">
        <f>IFERROR(__xludf.DUMMYFUNCTION("IFERROR(GOOGLEFINANCE(A682,""closeyest""),"""")"),2270.0)</f>
        <v>2270</v>
      </c>
      <c r="V682" s="23">
        <f>IFERROR(__xludf.DUMMYFUNCTION("IFERROR(GOOGLEFINANCE(A682,""changepct""),"""")"),1.76)</f>
        <v>1.76</v>
      </c>
      <c r="W682" s="22" t="str">
        <f>IFERROR(__xludf.DUMMYFUNCTION("IFERROR(GOOGLEFINANCE(A682,""priceopen""),"""")"),"")</f>
        <v/>
      </c>
      <c r="X682" s="22">
        <f>IFERROR(__xludf.DUMMYFUNCTION("IFERROR(GOOGLEFINANCE(A682,""high""),"""")"),2320.0)</f>
        <v>2320</v>
      </c>
      <c r="Y682" s="22">
        <f>IFERROR(__xludf.DUMMYFUNCTION("IFERROR(GOOGLEFINANCE(A682,""low""),"""")"),2260.0)</f>
        <v>2260</v>
      </c>
      <c r="Z682" s="22">
        <f>IFERROR(__xludf.DUMMYFUNCTION("IFERROR(GOOGLEFINANCE(A682,""volume""),"""")"),172600.0)</f>
        <v>172600</v>
      </c>
      <c r="AA682" s="24" t="str">
        <f>VLOOKUP(A682,Metrik!$C$2:$Y$959,5,0)</f>
        <v>Food &amp; Staples Retailing</v>
      </c>
      <c r="AB682" s="24" t="str">
        <f>VLOOKUP(A682,Metrik!$C$2:$Y$959,3,0)</f>
        <v>Consumer Non-Cyclicals</v>
      </c>
    </row>
    <row r="683">
      <c r="A683" s="14" t="s">
        <v>371</v>
      </c>
      <c r="B683" s="14" t="str">
        <f t="array" ref="B683">VLOOKUP(A683,{Metrik!$C$2:$C$998,Metrik!$B$2:$B$998},2,0)</f>
        <v>Erajaya Swasembada Tbk.</v>
      </c>
      <c r="C683" s="15">
        <f>IFERROR(__xludf.DUMMYFUNCTION("GOOGLEFINANCE(""IDX:""&amp;A683,""price"")"),364.0)</f>
        <v>364</v>
      </c>
      <c r="D683" s="16" t="str">
        <f>IFERROR(__xludf.DUMMYFUNCTION("IF(A683="""","""",
SPARKLINE(
INDEX(
GOOGLEFINANCE(""IDX:""&amp;A683,""close"",TODAY()-365,TODAY()),
,2
),
{""linewidth"",1}
))
"),"#N/A")</f>
        <v>#N/A</v>
      </c>
      <c r="E683" s="14" t="s">
        <v>65</v>
      </c>
      <c r="F683" s="25">
        <v>46356.0</v>
      </c>
      <c r="G683" s="24">
        <f t="shared" si="5"/>
        <v>10</v>
      </c>
      <c r="H683" s="19">
        <f>VLOOKUP(A683,Metrik!$C$2:$Y$959,8,0)</f>
        <v>4.1</v>
      </c>
      <c r="I683" s="20">
        <f>VLOOKUP(A683,Metrik!$C$2:$Y$959,9,0)</f>
        <v>0.54</v>
      </c>
      <c r="J683" s="20">
        <f>VLOOKUP(A683,Metrik!$C$2:$Y$959,10,0)</f>
        <v>13.2</v>
      </c>
      <c r="K683" s="20">
        <f>VLOOKUP(A683,Metrik!$C$2:$Y$959,11,0)</f>
        <v>4.6</v>
      </c>
      <c r="L683" s="20">
        <f>VLOOKUP(A683,Metrik!$C$2:$Y$959,12,0)</f>
        <v>1.9</v>
      </c>
      <c r="M683" s="20">
        <f>VLOOKUP(A683,Metrik!$C$2:$Y$959,19,0)</f>
        <v>6.5</v>
      </c>
      <c r="N683" s="21"/>
      <c r="O683" s="21"/>
      <c r="P683" s="21"/>
      <c r="Q683" s="21"/>
      <c r="R683" s="21"/>
      <c r="S683" s="21"/>
      <c r="T683" s="21"/>
      <c r="U683" s="22" t="str">
        <f>IFERROR(__xludf.DUMMYFUNCTION("IFERROR(GOOGLEFINANCE(A683,""closeyest""),"""")"),"")</f>
        <v/>
      </c>
      <c r="V683" s="23">
        <f>IFERROR(__xludf.DUMMYFUNCTION("IFERROR(GOOGLEFINANCE(A683,""changepct""),"""")"),2.82)</f>
        <v>2.82</v>
      </c>
      <c r="W683" s="22">
        <f>IFERROR(__xludf.DUMMYFUNCTION("IFERROR(GOOGLEFINANCE(A683,""priceopen""),"""")"),356.0)</f>
        <v>356</v>
      </c>
      <c r="X683" s="22">
        <f>IFERROR(__xludf.DUMMYFUNCTION("IFERROR(GOOGLEFINANCE(A683,""high""),"""")"),370.0)</f>
        <v>370</v>
      </c>
      <c r="Y683" s="22">
        <f>IFERROR(__xludf.DUMMYFUNCTION("IFERROR(GOOGLEFINANCE(A683,""low""),"""")"),356.0)</f>
        <v>356</v>
      </c>
      <c r="Z683" s="22">
        <f>IFERROR(__xludf.DUMMYFUNCTION("IFERROR(GOOGLEFINANCE(A683,""volume""),"""")"),1.60438E7)</f>
        <v>16043800</v>
      </c>
      <c r="AA683" s="24" t="str">
        <f>VLOOKUP(A683,Metrik!$C$2:$Y$959,5,0)</f>
        <v>Specialty Retail</v>
      </c>
      <c r="AB683" s="24" t="str">
        <f>VLOOKUP(A683,Metrik!$C$2:$Y$959,3,0)</f>
        <v>Consumer Cyclicals</v>
      </c>
    </row>
    <row r="684">
      <c r="A684" s="14" t="s">
        <v>371</v>
      </c>
      <c r="B684" s="14" t="str">
        <f t="array" ref="B684">VLOOKUP(A684,{Metrik!$C$2:$C$998,Metrik!$B$2:$B$998},2,0)</f>
        <v>Erajaya Swasembada Tbk.</v>
      </c>
      <c r="C684" s="15">
        <f>IFERROR(__xludf.DUMMYFUNCTION("GOOGLEFINANCE(""IDX:""&amp;A684,""price"")"),364.0)</f>
        <v>364</v>
      </c>
      <c r="D684" s="16" t="str">
        <f>IFERROR(__xludf.DUMMYFUNCTION("IF(A684="""","""",
SPARKLINE(
INDEX(
GOOGLEFINANCE(""IDX:""&amp;A684,""close"",TODAY()-365,TODAY()),
,2
),
{""linewidth"",1}
))
"),"#N/A")</f>
        <v>#N/A</v>
      </c>
      <c r="E684" s="14" t="s">
        <v>48</v>
      </c>
      <c r="F684" s="14" t="s">
        <v>49</v>
      </c>
      <c r="G684" s="24">
        <f t="shared" si="5"/>
        <v>10</v>
      </c>
      <c r="H684" s="19">
        <f>VLOOKUP(A684,Metrik!$C$2:$Y$959,8,0)</f>
        <v>4.1</v>
      </c>
      <c r="I684" s="20">
        <f>VLOOKUP(A684,Metrik!$C$2:$Y$959,9,0)</f>
        <v>0.54</v>
      </c>
      <c r="J684" s="20">
        <f>VLOOKUP(A684,Metrik!$C$2:$Y$959,10,0)</f>
        <v>13.2</v>
      </c>
      <c r="K684" s="20">
        <f>VLOOKUP(A684,Metrik!$C$2:$Y$959,11,0)</f>
        <v>4.6</v>
      </c>
      <c r="L684" s="20">
        <f>VLOOKUP(A684,Metrik!$C$2:$Y$959,12,0)</f>
        <v>1.9</v>
      </c>
      <c r="M684" s="20">
        <f>VLOOKUP(A684,Metrik!$C$2:$Y$959,19,0)</f>
        <v>6.5</v>
      </c>
      <c r="N684" s="21"/>
      <c r="O684" s="21"/>
      <c r="P684" s="21"/>
      <c r="Q684" s="21"/>
      <c r="R684" s="21"/>
      <c r="S684" s="21"/>
      <c r="T684" s="21"/>
      <c r="U684" s="22" t="str">
        <f>IFERROR(__xludf.DUMMYFUNCTION("IFERROR(GOOGLEFINANCE(A684,""closeyest""),"""")"),"")</f>
        <v/>
      </c>
      <c r="V684" s="23">
        <f>IFERROR(__xludf.DUMMYFUNCTION("IFERROR(GOOGLEFINANCE(A684,""changepct""),"""")"),2.82)</f>
        <v>2.82</v>
      </c>
      <c r="W684" s="22">
        <f>IFERROR(__xludf.DUMMYFUNCTION("IFERROR(GOOGLEFINANCE(A684,""priceopen""),"""")"),356.0)</f>
        <v>356</v>
      </c>
      <c r="X684" s="22">
        <f>IFERROR(__xludf.DUMMYFUNCTION("IFERROR(GOOGLEFINANCE(A684,""high""),"""")"),370.0)</f>
        <v>370</v>
      </c>
      <c r="Y684" s="22">
        <f>IFERROR(__xludf.DUMMYFUNCTION("IFERROR(GOOGLEFINANCE(A684,""low""),"""")"),356.0)</f>
        <v>356</v>
      </c>
      <c r="Z684" s="22">
        <f>IFERROR(__xludf.DUMMYFUNCTION("IFERROR(GOOGLEFINANCE(A684,""volume""),"""")"),1.60438E7)</f>
        <v>16043800</v>
      </c>
      <c r="AA684" s="24" t="str">
        <f>VLOOKUP(A684,Metrik!$C$2:$Y$959,5,0)</f>
        <v>Specialty Retail</v>
      </c>
      <c r="AB684" s="24" t="str">
        <f>VLOOKUP(A684,Metrik!$C$2:$Y$959,3,0)</f>
        <v>Consumer Cyclicals</v>
      </c>
    </row>
    <row r="685">
      <c r="A685" s="14" t="s">
        <v>371</v>
      </c>
      <c r="B685" s="14" t="str">
        <f t="array" ref="B685">VLOOKUP(A685,{Metrik!$C$2:$C$998,Metrik!$B$2:$B$998},2,0)</f>
        <v>Erajaya Swasembada Tbk.</v>
      </c>
      <c r="C685" s="15">
        <f>IFERROR(__xludf.DUMMYFUNCTION("GOOGLEFINANCE(""IDX:""&amp;A685,""price"")"),364.0)</f>
        <v>364</v>
      </c>
      <c r="D685" s="16" t="str">
        <f>IFERROR(__xludf.DUMMYFUNCTION("IF(A685="""","""",
SPARKLINE(
INDEX(
GOOGLEFINANCE(""IDX:""&amp;A685,""close"",TODAY()-365,TODAY()),
,2
),
{""linewidth"",1}
))
"),"#N/A")</f>
        <v>#N/A</v>
      </c>
      <c r="E685" s="14" t="s">
        <v>68</v>
      </c>
      <c r="F685" s="14" t="s">
        <v>34</v>
      </c>
      <c r="G685" s="24">
        <f t="shared" si="5"/>
        <v>10</v>
      </c>
      <c r="H685" s="19">
        <f>VLOOKUP(A685,Metrik!$C$2:$Y$959,8,0)</f>
        <v>4.1</v>
      </c>
      <c r="I685" s="20">
        <f>VLOOKUP(A685,Metrik!$C$2:$Y$959,9,0)</f>
        <v>0.54</v>
      </c>
      <c r="J685" s="20">
        <f>VLOOKUP(A685,Metrik!$C$2:$Y$959,10,0)</f>
        <v>13.2</v>
      </c>
      <c r="K685" s="20">
        <f>VLOOKUP(A685,Metrik!$C$2:$Y$959,11,0)</f>
        <v>4.6</v>
      </c>
      <c r="L685" s="20">
        <f>VLOOKUP(A685,Metrik!$C$2:$Y$959,12,0)</f>
        <v>1.9</v>
      </c>
      <c r="M685" s="20">
        <f>VLOOKUP(A685,Metrik!$C$2:$Y$959,19,0)</f>
        <v>6.5</v>
      </c>
      <c r="N685" s="21"/>
      <c r="O685" s="21"/>
      <c r="P685" s="21"/>
      <c r="Q685" s="21"/>
      <c r="R685" s="21"/>
      <c r="S685" s="21"/>
      <c r="T685" s="21"/>
      <c r="U685" s="22" t="str">
        <f>IFERROR(__xludf.DUMMYFUNCTION("IFERROR(GOOGLEFINANCE(A685,""closeyest""),"""")"),"")</f>
        <v/>
      </c>
      <c r="V685" s="23">
        <f>IFERROR(__xludf.DUMMYFUNCTION("IFERROR(GOOGLEFINANCE(A685,""changepct""),"""")"),2.82)</f>
        <v>2.82</v>
      </c>
      <c r="W685" s="22">
        <f>IFERROR(__xludf.DUMMYFUNCTION("IFERROR(GOOGLEFINANCE(A685,""priceopen""),"""")"),356.0)</f>
        <v>356</v>
      </c>
      <c r="X685" s="22">
        <f>IFERROR(__xludf.DUMMYFUNCTION("IFERROR(GOOGLEFINANCE(A685,""high""),"""")"),370.0)</f>
        <v>370</v>
      </c>
      <c r="Y685" s="22">
        <f>IFERROR(__xludf.DUMMYFUNCTION("IFERROR(GOOGLEFINANCE(A685,""low""),"""")"),356.0)</f>
        <v>356</v>
      </c>
      <c r="Z685" s="22">
        <f>IFERROR(__xludf.DUMMYFUNCTION("IFERROR(GOOGLEFINANCE(A685,""volume""),"""")"),1.60438E7)</f>
        <v>16043800</v>
      </c>
      <c r="AA685" s="24" t="str">
        <f>VLOOKUP(A685,Metrik!$C$2:$Y$959,5,0)</f>
        <v>Specialty Retail</v>
      </c>
      <c r="AB685" s="24" t="str">
        <f>VLOOKUP(A685,Metrik!$C$2:$Y$959,3,0)</f>
        <v>Consumer Cyclicals</v>
      </c>
    </row>
    <row r="686">
      <c r="A686" s="14" t="s">
        <v>371</v>
      </c>
      <c r="B686" s="14" t="str">
        <f t="array" ref="B686">VLOOKUP(A686,{Metrik!$C$2:$C$998,Metrik!$B$2:$B$998},2,0)</f>
        <v>Erajaya Swasembada Tbk.</v>
      </c>
      <c r="C686" s="15">
        <f>IFERROR(__xludf.DUMMYFUNCTION("GOOGLEFINANCE(""IDX:""&amp;A686,""price"")"),364.0)</f>
        <v>364</v>
      </c>
      <c r="D686" s="16" t="str">
        <f>IFERROR(__xludf.DUMMYFUNCTION("IF(A686="""","""",
SPARKLINE(
INDEX(
GOOGLEFINANCE(""IDX:""&amp;A686,""close"",TODAY()-365,TODAY()),
,2
),
{""linewidth"",1}
))
"),"#N/A")</f>
        <v>#N/A</v>
      </c>
      <c r="E686" s="14" t="s">
        <v>28</v>
      </c>
      <c r="F686" s="17" t="s">
        <v>29</v>
      </c>
      <c r="G686" s="24">
        <f t="shared" si="5"/>
        <v>10</v>
      </c>
      <c r="H686" s="19">
        <f>VLOOKUP(A686,Metrik!$C$2:$Y$959,8,0)</f>
        <v>4.1</v>
      </c>
      <c r="I686" s="20">
        <f>VLOOKUP(A686,Metrik!$C$2:$Y$959,9,0)</f>
        <v>0.54</v>
      </c>
      <c r="J686" s="20">
        <f>VLOOKUP(A686,Metrik!$C$2:$Y$959,10,0)</f>
        <v>13.2</v>
      </c>
      <c r="K686" s="20">
        <f>VLOOKUP(A686,Metrik!$C$2:$Y$959,11,0)</f>
        <v>4.6</v>
      </c>
      <c r="L686" s="20">
        <f>VLOOKUP(A686,Metrik!$C$2:$Y$959,12,0)</f>
        <v>1.9</v>
      </c>
      <c r="M686" s="20">
        <f>VLOOKUP(A686,Metrik!$C$2:$Y$959,19,0)</f>
        <v>6.5</v>
      </c>
      <c r="N686" s="21"/>
      <c r="O686" s="21"/>
      <c r="P686" s="21"/>
      <c r="Q686" s="21"/>
      <c r="R686" s="21"/>
      <c r="S686" s="21"/>
      <c r="T686" s="21"/>
      <c r="U686" s="22" t="str">
        <f>IFERROR(__xludf.DUMMYFUNCTION("IFERROR(GOOGLEFINANCE(A686,""closeyest""),"""")"),"")</f>
        <v/>
      </c>
      <c r="V686" s="23">
        <f>IFERROR(__xludf.DUMMYFUNCTION("IFERROR(GOOGLEFINANCE(A686,""changepct""),"""")"),2.82)</f>
        <v>2.82</v>
      </c>
      <c r="W686" s="22">
        <f>IFERROR(__xludf.DUMMYFUNCTION("IFERROR(GOOGLEFINANCE(A686,""priceopen""),"""")"),356.0)</f>
        <v>356</v>
      </c>
      <c r="X686" s="22">
        <f>IFERROR(__xludf.DUMMYFUNCTION("IFERROR(GOOGLEFINANCE(A686,""high""),"""")"),370.0)</f>
        <v>370</v>
      </c>
      <c r="Y686" s="22">
        <f>IFERROR(__xludf.DUMMYFUNCTION("IFERROR(GOOGLEFINANCE(A686,""low""),"""")"),356.0)</f>
        <v>356</v>
      </c>
      <c r="Z686" s="22">
        <f>IFERROR(__xludf.DUMMYFUNCTION("IFERROR(GOOGLEFINANCE(A686,""volume""),"""")"),1.60438E7)</f>
        <v>16043800</v>
      </c>
      <c r="AA686" s="24" t="str">
        <f>VLOOKUP(A686,Metrik!$C$2:$Y$959,5,0)</f>
        <v>Specialty Retail</v>
      </c>
      <c r="AB686" s="24" t="str">
        <f>VLOOKUP(A686,Metrik!$C$2:$Y$959,3,0)</f>
        <v>Consumer Cyclicals</v>
      </c>
    </row>
    <row r="687">
      <c r="A687" s="14" t="s">
        <v>371</v>
      </c>
      <c r="B687" s="14" t="str">
        <f t="array" ref="B687">VLOOKUP(A687,{Metrik!$C$2:$C$998,Metrik!$B$2:$B$998},2,0)</f>
        <v>Erajaya Swasembada Tbk.</v>
      </c>
      <c r="C687" s="15">
        <f>IFERROR(__xludf.DUMMYFUNCTION("GOOGLEFINANCE(""IDX:""&amp;A687,""price"")"),364.0)</f>
        <v>364</v>
      </c>
      <c r="D687" s="16" t="str">
        <f>IFERROR(__xludf.DUMMYFUNCTION("IF(A687="""","""",
SPARKLINE(
INDEX(
GOOGLEFINANCE(""IDX:""&amp;A687,""close"",TODAY()-365,TODAY()),
,2
),
{""linewidth"",1}
))
"),"#N/A")</f>
        <v>#N/A</v>
      </c>
      <c r="E687" s="14" t="s">
        <v>32</v>
      </c>
      <c r="F687" s="14" t="s">
        <v>29</v>
      </c>
      <c r="G687" s="24">
        <f t="shared" si="5"/>
        <v>10</v>
      </c>
      <c r="H687" s="19">
        <f>VLOOKUP(A687,Metrik!$C$2:$Y$959,8,0)</f>
        <v>4.1</v>
      </c>
      <c r="I687" s="20">
        <f>VLOOKUP(A687,Metrik!$C$2:$Y$959,9,0)</f>
        <v>0.54</v>
      </c>
      <c r="J687" s="20">
        <f>VLOOKUP(A687,Metrik!$C$2:$Y$959,10,0)</f>
        <v>13.2</v>
      </c>
      <c r="K687" s="20">
        <f>VLOOKUP(A687,Metrik!$C$2:$Y$959,11,0)</f>
        <v>4.6</v>
      </c>
      <c r="L687" s="20">
        <f>VLOOKUP(A687,Metrik!$C$2:$Y$959,12,0)</f>
        <v>1.9</v>
      </c>
      <c r="M687" s="20">
        <f>VLOOKUP(A687,Metrik!$C$2:$Y$959,19,0)</f>
        <v>6.5</v>
      </c>
      <c r="N687" s="21"/>
      <c r="O687" s="21"/>
      <c r="P687" s="21"/>
      <c r="Q687" s="21"/>
      <c r="R687" s="21"/>
      <c r="S687" s="21"/>
      <c r="T687" s="21"/>
      <c r="U687" s="22" t="str">
        <f>IFERROR(__xludf.DUMMYFUNCTION("IFERROR(GOOGLEFINANCE(A687,""closeyest""),"""")"),"")</f>
        <v/>
      </c>
      <c r="V687" s="23">
        <f>IFERROR(__xludf.DUMMYFUNCTION("IFERROR(GOOGLEFINANCE(A687,""changepct""),"""")"),2.82)</f>
        <v>2.82</v>
      </c>
      <c r="W687" s="22">
        <f>IFERROR(__xludf.DUMMYFUNCTION("IFERROR(GOOGLEFINANCE(A687,""priceopen""),"""")"),356.0)</f>
        <v>356</v>
      </c>
      <c r="X687" s="22">
        <f>IFERROR(__xludf.DUMMYFUNCTION("IFERROR(GOOGLEFINANCE(A687,""high""),"""")"),370.0)</f>
        <v>370</v>
      </c>
      <c r="Y687" s="22">
        <f>IFERROR(__xludf.DUMMYFUNCTION("IFERROR(GOOGLEFINANCE(A687,""low""),"""")"),356.0)</f>
        <v>356</v>
      </c>
      <c r="Z687" s="22">
        <f>IFERROR(__xludf.DUMMYFUNCTION("IFERROR(GOOGLEFINANCE(A687,""volume""),"""")"),1.60438E7)</f>
        <v>16043800</v>
      </c>
      <c r="AA687" s="24" t="str">
        <f>VLOOKUP(A687,Metrik!$C$2:$Y$959,5,0)</f>
        <v>Specialty Retail</v>
      </c>
      <c r="AB687" s="24" t="str">
        <f>VLOOKUP(A687,Metrik!$C$2:$Y$959,3,0)</f>
        <v>Consumer Cyclicals</v>
      </c>
    </row>
    <row r="688">
      <c r="A688" s="14" t="s">
        <v>371</v>
      </c>
      <c r="B688" s="14" t="str">
        <f t="array" ref="B688">VLOOKUP(A688,{Metrik!$C$2:$C$998,Metrik!$B$2:$B$998},2,0)</f>
        <v>Erajaya Swasembada Tbk.</v>
      </c>
      <c r="C688" s="15">
        <f>IFERROR(__xludf.DUMMYFUNCTION("GOOGLEFINANCE(""IDX:""&amp;A688,""price"")"),364.0)</f>
        <v>364</v>
      </c>
      <c r="D688" s="16" t="str">
        <f>IFERROR(__xludf.DUMMYFUNCTION("IF(A688="""","""",
SPARKLINE(
INDEX(
GOOGLEFINANCE(""IDX:""&amp;A688,""close"",TODAY()-365,TODAY()),
,2
),
{""linewidth"",1}
))
"),"#N/A")</f>
        <v>#N/A</v>
      </c>
      <c r="E688" s="14" t="s">
        <v>52</v>
      </c>
      <c r="F688" s="27" t="s">
        <v>53</v>
      </c>
      <c r="G688" s="24">
        <f t="shared" si="5"/>
        <v>10</v>
      </c>
      <c r="H688" s="19">
        <f>VLOOKUP(A688,Metrik!$C$2:$Y$959,8,0)</f>
        <v>4.1</v>
      </c>
      <c r="I688" s="20">
        <f>VLOOKUP(A688,Metrik!$C$2:$Y$959,9,0)</f>
        <v>0.54</v>
      </c>
      <c r="J688" s="20">
        <f>VLOOKUP(A688,Metrik!$C$2:$Y$959,10,0)</f>
        <v>13.2</v>
      </c>
      <c r="K688" s="20">
        <f>VLOOKUP(A688,Metrik!$C$2:$Y$959,11,0)</f>
        <v>4.6</v>
      </c>
      <c r="L688" s="20">
        <f>VLOOKUP(A688,Metrik!$C$2:$Y$959,12,0)</f>
        <v>1.9</v>
      </c>
      <c r="M688" s="20">
        <f>VLOOKUP(A688,Metrik!$C$2:$Y$959,19,0)</f>
        <v>6.5</v>
      </c>
      <c r="N688" s="21"/>
      <c r="O688" s="21"/>
      <c r="P688" s="21"/>
      <c r="Q688" s="21"/>
      <c r="R688" s="21"/>
      <c r="S688" s="21"/>
      <c r="T688" s="21"/>
      <c r="U688" s="22" t="str">
        <f>IFERROR(__xludf.DUMMYFUNCTION("IFERROR(GOOGLEFINANCE(A688,""closeyest""),"""")"),"")</f>
        <v/>
      </c>
      <c r="V688" s="23">
        <f>IFERROR(__xludf.DUMMYFUNCTION("IFERROR(GOOGLEFINANCE(A688,""changepct""),"""")"),2.82)</f>
        <v>2.82</v>
      </c>
      <c r="W688" s="22">
        <f>IFERROR(__xludf.DUMMYFUNCTION("IFERROR(GOOGLEFINANCE(A688,""priceopen""),"""")"),356.0)</f>
        <v>356</v>
      </c>
      <c r="X688" s="22">
        <f>IFERROR(__xludf.DUMMYFUNCTION("IFERROR(GOOGLEFINANCE(A688,""high""),"""")"),370.0)</f>
        <v>370</v>
      </c>
      <c r="Y688" s="22">
        <f>IFERROR(__xludf.DUMMYFUNCTION("IFERROR(GOOGLEFINANCE(A688,""low""),"""")"),356.0)</f>
        <v>356</v>
      </c>
      <c r="Z688" s="22">
        <f>IFERROR(__xludf.DUMMYFUNCTION("IFERROR(GOOGLEFINANCE(A688,""volume""),"""")"),1.60438E7)</f>
        <v>16043800</v>
      </c>
      <c r="AA688" s="24" t="str">
        <f>VLOOKUP(A688,Metrik!$C$2:$Y$959,5,0)</f>
        <v>Specialty Retail</v>
      </c>
      <c r="AB688" s="24" t="str">
        <f>VLOOKUP(A688,Metrik!$C$2:$Y$959,3,0)</f>
        <v>Consumer Cyclicals</v>
      </c>
    </row>
    <row r="689">
      <c r="A689" s="14" t="s">
        <v>371</v>
      </c>
      <c r="B689" s="14" t="str">
        <f t="array" ref="B689">VLOOKUP(A689,{Metrik!$C$2:$C$998,Metrik!$B$2:$B$998},2,0)</f>
        <v>Erajaya Swasembada Tbk.</v>
      </c>
      <c r="C689" s="15">
        <f>IFERROR(__xludf.DUMMYFUNCTION("GOOGLEFINANCE(""IDX:""&amp;A689,""price"")"),364.0)</f>
        <v>364</v>
      </c>
      <c r="D689" s="16" t="str">
        <f>IFERROR(__xludf.DUMMYFUNCTION("IF(A689="""","""",
SPARKLINE(
INDEX(
GOOGLEFINANCE(""IDX:""&amp;A689,""close"",TODAY()-365,TODAY()),
,2
),
{""linewidth"",1}
))
"),"#N/A")</f>
        <v>#N/A</v>
      </c>
      <c r="E689" s="14" t="s">
        <v>50</v>
      </c>
      <c r="F689" s="17" t="s">
        <v>51</v>
      </c>
      <c r="G689" s="24">
        <f t="shared" si="5"/>
        <v>10</v>
      </c>
      <c r="H689" s="19">
        <f>VLOOKUP(A689,Metrik!$C$2:$Y$959,8,0)</f>
        <v>4.1</v>
      </c>
      <c r="I689" s="20">
        <f>VLOOKUP(A689,Metrik!$C$2:$Y$959,9,0)</f>
        <v>0.54</v>
      </c>
      <c r="J689" s="20">
        <f>VLOOKUP(A689,Metrik!$C$2:$Y$959,10,0)</f>
        <v>13.2</v>
      </c>
      <c r="K689" s="20">
        <f>VLOOKUP(A689,Metrik!$C$2:$Y$959,11,0)</f>
        <v>4.6</v>
      </c>
      <c r="L689" s="20">
        <f>VLOOKUP(A689,Metrik!$C$2:$Y$959,12,0)</f>
        <v>1.9</v>
      </c>
      <c r="M689" s="20">
        <f>VLOOKUP(A689,Metrik!$C$2:$Y$959,19,0)</f>
        <v>6.5</v>
      </c>
      <c r="N689" s="21"/>
      <c r="O689" s="21"/>
      <c r="P689" s="21"/>
      <c r="Q689" s="21"/>
      <c r="R689" s="21"/>
      <c r="S689" s="21"/>
      <c r="T689" s="21"/>
      <c r="U689" s="22" t="str">
        <f>IFERROR(__xludf.DUMMYFUNCTION("IFERROR(GOOGLEFINANCE(A689,""closeyest""),"""")"),"")</f>
        <v/>
      </c>
      <c r="V689" s="23">
        <f>IFERROR(__xludf.DUMMYFUNCTION("IFERROR(GOOGLEFINANCE(A689,""changepct""),"""")"),2.82)</f>
        <v>2.82</v>
      </c>
      <c r="W689" s="22">
        <f>IFERROR(__xludf.DUMMYFUNCTION("IFERROR(GOOGLEFINANCE(A689,""priceopen""),"""")"),356.0)</f>
        <v>356</v>
      </c>
      <c r="X689" s="22">
        <f>IFERROR(__xludf.DUMMYFUNCTION("IFERROR(GOOGLEFINANCE(A689,""high""),"""")"),370.0)</f>
        <v>370</v>
      </c>
      <c r="Y689" s="22">
        <f>IFERROR(__xludf.DUMMYFUNCTION("IFERROR(GOOGLEFINANCE(A689,""low""),"""")"),356.0)</f>
        <v>356</v>
      </c>
      <c r="Z689" s="22">
        <f>IFERROR(__xludf.DUMMYFUNCTION("IFERROR(GOOGLEFINANCE(A689,""volume""),"""")"),1.60438E7)</f>
        <v>16043800</v>
      </c>
      <c r="AA689" s="24" t="str">
        <f>VLOOKUP(A689,Metrik!$C$2:$Y$959,5,0)</f>
        <v>Specialty Retail</v>
      </c>
      <c r="AB689" s="24" t="str">
        <f>VLOOKUP(A689,Metrik!$C$2:$Y$959,3,0)</f>
        <v>Consumer Cyclicals</v>
      </c>
    </row>
    <row r="690">
      <c r="A690" s="14" t="s">
        <v>371</v>
      </c>
      <c r="B690" s="14" t="str">
        <f t="array" ref="B690">VLOOKUP(A690,{Metrik!$C$2:$C$998,Metrik!$B$2:$B$998},2,0)</f>
        <v>Erajaya Swasembada Tbk.</v>
      </c>
      <c r="C690" s="15">
        <f>IFERROR(__xludf.DUMMYFUNCTION("GOOGLEFINANCE(""IDX:""&amp;A690,""price"")"),364.0)</f>
        <v>364</v>
      </c>
      <c r="D690" s="16" t="str">
        <f>IFERROR(__xludf.DUMMYFUNCTION("IF(A690="""","""",
SPARKLINE(
INDEX(
GOOGLEFINANCE(""IDX:""&amp;A690,""close"",TODAY()-365,TODAY()),
,2
),
{""linewidth"",1}
))
"),"#N/A")</f>
        <v>#N/A</v>
      </c>
      <c r="E690" s="14" t="s">
        <v>33</v>
      </c>
      <c r="F690" s="14" t="s">
        <v>34</v>
      </c>
      <c r="G690" s="24">
        <f t="shared" si="5"/>
        <v>10</v>
      </c>
      <c r="H690" s="19">
        <f>VLOOKUP(A690,Metrik!$C$2:$Y$959,8,0)</f>
        <v>4.1</v>
      </c>
      <c r="I690" s="20">
        <f>VLOOKUP(A690,Metrik!$C$2:$Y$959,9,0)</f>
        <v>0.54</v>
      </c>
      <c r="J690" s="20">
        <f>VLOOKUP(A690,Metrik!$C$2:$Y$959,10,0)</f>
        <v>13.2</v>
      </c>
      <c r="K690" s="20">
        <f>VLOOKUP(A690,Metrik!$C$2:$Y$959,11,0)</f>
        <v>4.6</v>
      </c>
      <c r="L690" s="20">
        <f>VLOOKUP(A690,Metrik!$C$2:$Y$959,12,0)</f>
        <v>1.9</v>
      </c>
      <c r="M690" s="20">
        <f>VLOOKUP(A690,Metrik!$C$2:$Y$959,19,0)</f>
        <v>6.5</v>
      </c>
      <c r="N690" s="21"/>
      <c r="O690" s="21"/>
      <c r="P690" s="21"/>
      <c r="Q690" s="21"/>
      <c r="R690" s="21"/>
      <c r="S690" s="21"/>
      <c r="T690" s="21"/>
      <c r="U690" s="22" t="str">
        <f>IFERROR(__xludf.DUMMYFUNCTION("IFERROR(GOOGLEFINANCE(A690,""closeyest""),"""")"),"")</f>
        <v/>
      </c>
      <c r="V690" s="23">
        <f>IFERROR(__xludf.DUMMYFUNCTION("IFERROR(GOOGLEFINANCE(A690,""changepct""),"""")"),2.82)</f>
        <v>2.82</v>
      </c>
      <c r="W690" s="22">
        <f>IFERROR(__xludf.DUMMYFUNCTION("IFERROR(GOOGLEFINANCE(A690,""priceopen""),"""")"),356.0)</f>
        <v>356</v>
      </c>
      <c r="X690" s="22">
        <f>IFERROR(__xludf.DUMMYFUNCTION("IFERROR(GOOGLEFINANCE(A690,""high""),"""")"),370.0)</f>
        <v>370</v>
      </c>
      <c r="Y690" s="22">
        <f>IFERROR(__xludf.DUMMYFUNCTION("IFERROR(GOOGLEFINANCE(A690,""low""),"""")"),356.0)</f>
        <v>356</v>
      </c>
      <c r="Z690" s="22">
        <f>IFERROR(__xludf.DUMMYFUNCTION("IFERROR(GOOGLEFINANCE(A690,""volume""),"""")"),1.60438E7)</f>
        <v>16043800</v>
      </c>
      <c r="AA690" s="24" t="str">
        <f>VLOOKUP(A690,Metrik!$C$2:$Y$959,5,0)</f>
        <v>Specialty Retail</v>
      </c>
      <c r="AB690" s="24" t="str">
        <f>VLOOKUP(A690,Metrik!$C$2:$Y$959,3,0)</f>
        <v>Consumer Cyclicals</v>
      </c>
    </row>
    <row r="691">
      <c r="A691" s="14" t="s">
        <v>371</v>
      </c>
      <c r="B691" s="14" t="str">
        <f t="array" ref="B691">VLOOKUP(A691,{Metrik!$C$2:$C$998,Metrik!$B$2:$B$998},2,0)</f>
        <v>Erajaya Swasembada Tbk.</v>
      </c>
      <c r="C691" s="15">
        <f>IFERROR(__xludf.DUMMYFUNCTION("GOOGLEFINANCE(""IDX:""&amp;A691,""price"")"),364.0)</f>
        <v>364</v>
      </c>
      <c r="D691" s="16" t="str">
        <f>IFERROR(__xludf.DUMMYFUNCTION("IF(A691="""","""",
SPARKLINE(
INDEX(
GOOGLEFINANCE(""IDX:""&amp;A691,""close"",TODAY()-365,TODAY()),
,2
),
{""linewidth"",1}
))
"),"#N/A")</f>
        <v>#N/A</v>
      </c>
      <c r="E691" s="14" t="s">
        <v>41</v>
      </c>
      <c r="F691" s="14" t="s">
        <v>34</v>
      </c>
      <c r="G691" s="24">
        <f t="shared" si="5"/>
        <v>10</v>
      </c>
      <c r="H691" s="19">
        <f>VLOOKUP(A691,Metrik!$C$2:$Y$959,8,0)</f>
        <v>4.1</v>
      </c>
      <c r="I691" s="20">
        <f>VLOOKUP(A691,Metrik!$C$2:$Y$959,9,0)</f>
        <v>0.54</v>
      </c>
      <c r="J691" s="20">
        <f>VLOOKUP(A691,Metrik!$C$2:$Y$959,10,0)</f>
        <v>13.2</v>
      </c>
      <c r="K691" s="20">
        <f>VLOOKUP(A691,Metrik!$C$2:$Y$959,11,0)</f>
        <v>4.6</v>
      </c>
      <c r="L691" s="20">
        <f>VLOOKUP(A691,Metrik!$C$2:$Y$959,12,0)</f>
        <v>1.9</v>
      </c>
      <c r="M691" s="20">
        <f>VLOOKUP(A691,Metrik!$C$2:$Y$959,19,0)</f>
        <v>6.5</v>
      </c>
      <c r="N691" s="21"/>
      <c r="O691" s="21"/>
      <c r="P691" s="21"/>
      <c r="Q691" s="21"/>
      <c r="R691" s="21"/>
      <c r="S691" s="21"/>
      <c r="T691" s="21"/>
      <c r="U691" s="22" t="str">
        <f>IFERROR(__xludf.DUMMYFUNCTION("IFERROR(GOOGLEFINANCE(A691,""closeyest""),"""")"),"")</f>
        <v/>
      </c>
      <c r="V691" s="23">
        <f>IFERROR(__xludf.DUMMYFUNCTION("IFERROR(GOOGLEFINANCE(A691,""changepct""),"""")"),2.82)</f>
        <v>2.82</v>
      </c>
      <c r="W691" s="22">
        <f>IFERROR(__xludf.DUMMYFUNCTION("IFERROR(GOOGLEFINANCE(A691,""priceopen""),"""")"),356.0)</f>
        <v>356</v>
      </c>
      <c r="X691" s="22">
        <f>IFERROR(__xludf.DUMMYFUNCTION("IFERROR(GOOGLEFINANCE(A691,""high""),"""")"),370.0)</f>
        <v>370</v>
      </c>
      <c r="Y691" s="22">
        <f>IFERROR(__xludf.DUMMYFUNCTION("IFERROR(GOOGLEFINANCE(A691,""low""),"""")"),356.0)</f>
        <v>356</v>
      </c>
      <c r="Z691" s="22">
        <f>IFERROR(__xludf.DUMMYFUNCTION("IFERROR(GOOGLEFINANCE(A691,""volume""),"""")"),1.60438E7)</f>
        <v>16043800</v>
      </c>
      <c r="AA691" s="24" t="str">
        <f>VLOOKUP(A691,Metrik!$C$2:$Y$959,5,0)</f>
        <v>Specialty Retail</v>
      </c>
      <c r="AB691" s="24" t="str">
        <f>VLOOKUP(A691,Metrik!$C$2:$Y$959,3,0)</f>
        <v>Consumer Cyclicals</v>
      </c>
    </row>
    <row r="692">
      <c r="A692" s="14" t="s">
        <v>371</v>
      </c>
      <c r="B692" s="14" t="str">
        <f t="array" ref="B692">VLOOKUP(A692,{Metrik!$C$2:$C$998,Metrik!$B$2:$B$998},2,0)</f>
        <v>Erajaya Swasembada Tbk.</v>
      </c>
      <c r="C692" s="15">
        <f>IFERROR(__xludf.DUMMYFUNCTION("GOOGLEFINANCE(""IDX:""&amp;A692,""price"")"),364.0)</f>
        <v>364</v>
      </c>
      <c r="D692" s="16" t="str">
        <f>IFERROR(__xludf.DUMMYFUNCTION("IF(A692="""","""",
SPARKLINE(
INDEX(
GOOGLEFINANCE(""IDX:""&amp;A692,""close"",TODAY()-365,TODAY()),
,2
),
{""linewidth"",1}
))
"),"#N/A")</f>
        <v>#N/A</v>
      </c>
      <c r="E692" s="14" t="s">
        <v>39</v>
      </c>
      <c r="F692" s="25">
        <v>46356.0</v>
      </c>
      <c r="G692" s="24">
        <f t="shared" si="5"/>
        <v>10</v>
      </c>
      <c r="H692" s="19">
        <f>VLOOKUP(A692,Metrik!$C$2:$Y$959,8,0)</f>
        <v>4.1</v>
      </c>
      <c r="I692" s="20">
        <f>VLOOKUP(A692,Metrik!$C$2:$Y$959,9,0)</f>
        <v>0.54</v>
      </c>
      <c r="J692" s="20">
        <f>VLOOKUP(A692,Metrik!$C$2:$Y$959,10,0)</f>
        <v>13.2</v>
      </c>
      <c r="K692" s="20">
        <f>VLOOKUP(A692,Metrik!$C$2:$Y$959,11,0)</f>
        <v>4.6</v>
      </c>
      <c r="L692" s="20">
        <f>VLOOKUP(A692,Metrik!$C$2:$Y$959,12,0)</f>
        <v>1.9</v>
      </c>
      <c r="M692" s="20">
        <f>VLOOKUP(A692,Metrik!$C$2:$Y$959,19,0)</f>
        <v>6.5</v>
      </c>
      <c r="N692" s="21"/>
      <c r="O692" s="21"/>
      <c r="P692" s="21"/>
      <c r="Q692" s="21"/>
      <c r="R692" s="21"/>
      <c r="S692" s="21"/>
      <c r="T692" s="21"/>
      <c r="U692" s="22" t="str">
        <f>IFERROR(__xludf.DUMMYFUNCTION("IFERROR(GOOGLEFINANCE(A692,""closeyest""),"""")"),"")</f>
        <v/>
      </c>
      <c r="V692" s="23">
        <f>IFERROR(__xludf.DUMMYFUNCTION("IFERROR(GOOGLEFINANCE(A692,""changepct""),"""")"),2.82)</f>
        <v>2.82</v>
      </c>
      <c r="W692" s="22">
        <f>IFERROR(__xludf.DUMMYFUNCTION("IFERROR(GOOGLEFINANCE(A692,""priceopen""),"""")"),356.0)</f>
        <v>356</v>
      </c>
      <c r="X692" s="22">
        <f>IFERROR(__xludf.DUMMYFUNCTION("IFERROR(GOOGLEFINANCE(A692,""high""),"""")"),370.0)</f>
        <v>370</v>
      </c>
      <c r="Y692" s="22">
        <f>IFERROR(__xludf.DUMMYFUNCTION("IFERROR(GOOGLEFINANCE(A692,""low""),"""")"),356.0)</f>
        <v>356</v>
      </c>
      <c r="Z692" s="22">
        <f>IFERROR(__xludf.DUMMYFUNCTION("IFERROR(GOOGLEFINANCE(A692,""volume""),"""")"),1.60438E7)</f>
        <v>16043800</v>
      </c>
      <c r="AA692" s="24" t="str">
        <f>VLOOKUP(A692,Metrik!$C$2:$Y$959,5,0)</f>
        <v>Specialty Retail</v>
      </c>
      <c r="AB692" s="24" t="str">
        <f>VLOOKUP(A692,Metrik!$C$2:$Y$959,3,0)</f>
        <v>Consumer Cyclicals</v>
      </c>
    </row>
    <row r="693">
      <c r="A693" s="17" t="s">
        <v>372</v>
      </c>
      <c r="B693" s="14" t="str">
        <f t="array" ref="B693">VLOOKUP(A693,{Metrik!$C$2:$C$998,Metrik!$B$2:$B$998},2,0)</f>
        <v>PT Sinar Eka Selaras Tbk</v>
      </c>
      <c r="C693" s="15">
        <f>IFERROR(__xludf.DUMMYFUNCTION("GOOGLEFINANCE(""IDX:""&amp;A693,""price"")"),274.0)</f>
        <v>274</v>
      </c>
      <c r="D693" s="16" t="str">
        <f>IFERROR(__xludf.DUMMYFUNCTION("IF(A693="""","""",
SPARKLINE(
INDEX(
GOOGLEFINANCE(""IDX:""&amp;A693,""close"",TODAY()-365,TODAY()),
,2
),
{""linewidth"",1}
))
"),"#N/A")</f>
        <v>#N/A</v>
      </c>
      <c r="E693" s="14"/>
      <c r="F693" s="17"/>
      <c r="G693" s="18">
        <f t="shared" si="5"/>
        <v>0</v>
      </c>
      <c r="H693" s="19">
        <f>VLOOKUP(A693,Metrik!$C$2:$Y$959,8,0)</f>
        <v>8.7</v>
      </c>
      <c r="I693" s="20">
        <f>VLOOKUP(A693,Metrik!$C$2:$Y$959,9,0)</f>
        <v>0.83</v>
      </c>
      <c r="J693" s="20">
        <f>VLOOKUP(A693,Metrik!$C$2:$Y$959,10,0)</f>
        <v>9.5</v>
      </c>
      <c r="K693" s="20">
        <f>VLOOKUP(A693,Metrik!$C$2:$Y$959,11,0)</f>
        <v>5.2</v>
      </c>
      <c r="L693" s="20">
        <f>VLOOKUP(A693,Metrik!$C$2:$Y$959,12,0)</f>
        <v>0.83</v>
      </c>
      <c r="M693" s="20">
        <f>VLOOKUP(A693,Metrik!$C$2:$Y$959,19,0)</f>
        <v>10</v>
      </c>
      <c r="N693" s="21"/>
      <c r="O693" s="21"/>
      <c r="P693" s="21"/>
      <c r="Q693" s="21"/>
      <c r="R693" s="21"/>
      <c r="S693" s="21"/>
      <c r="T693" s="21"/>
      <c r="U693" s="22">
        <f>IFERROR(__xludf.DUMMYFUNCTION("IFERROR(GOOGLEFINANCE(A693,""closeyest""),"""")"),260.0)</f>
        <v>260</v>
      </c>
      <c r="V693" s="23">
        <f>IFERROR(__xludf.DUMMYFUNCTION("IFERROR(GOOGLEFINANCE(A693,""changepct""),"""")"),5.38)</f>
        <v>5.38</v>
      </c>
      <c r="W693" s="22">
        <f>IFERROR(__xludf.DUMMYFUNCTION("IFERROR(GOOGLEFINANCE(A693,""priceopen""),"""")"),260.0)</f>
        <v>260</v>
      </c>
      <c r="X693" s="22">
        <f>IFERROR(__xludf.DUMMYFUNCTION("IFERROR(GOOGLEFINANCE(A693,""high""),"""")"),276.0)</f>
        <v>276</v>
      </c>
      <c r="Y693" s="22">
        <f>IFERROR(__xludf.DUMMYFUNCTION("IFERROR(GOOGLEFINANCE(A693,""low""),"""")"),260.0)</f>
        <v>260</v>
      </c>
      <c r="Z693" s="22">
        <f>IFERROR(__xludf.DUMMYFUNCTION("IFERROR(GOOGLEFINANCE(A693,""volume""),"""")"),4033700.0)</f>
        <v>4033700</v>
      </c>
      <c r="AA693" s="24" t="str">
        <f>VLOOKUP(A693,Metrik!$C$2:$Y$959,5,0)</f>
        <v>Specialty Retail</v>
      </c>
      <c r="AB693" s="24" t="str">
        <f>VLOOKUP(A693,Metrik!$C$2:$Y$959,3,0)</f>
        <v>Consumer Cyclicals</v>
      </c>
    </row>
    <row r="694">
      <c r="A694" s="14" t="s">
        <v>373</v>
      </c>
      <c r="B694" s="14" t="str">
        <f t="array" ref="B694">VLOOKUP(A694,{Metrik!$C$2:$C$998,Metrik!$B$2:$B$998},2,0)</f>
        <v>Eratex Djaja Tbk.</v>
      </c>
      <c r="C694" s="15">
        <f>IFERROR(__xludf.DUMMYFUNCTION("GOOGLEFINANCE(""IDX:""&amp;A694,""price"")"),135.0)</f>
        <v>135</v>
      </c>
      <c r="D694" s="16" t="str">
        <f>IFERROR(__xludf.DUMMYFUNCTION("IF(A694="""","""",
SPARKLINE(
INDEX(
GOOGLEFINANCE(""IDX:""&amp;A694,""close"",TODAY()-365,TODAY()),
,2
),
{""linewidth"",1}
))
"),"#N/A")</f>
        <v>#N/A</v>
      </c>
      <c r="E694" s="26"/>
      <c r="F694" s="26"/>
      <c r="G694" s="24">
        <f t="shared" si="5"/>
        <v>0</v>
      </c>
      <c r="H694" s="19">
        <f>VLOOKUP(A694,Metrik!$C$2:$Y$959,8,0)</f>
        <v>7.1</v>
      </c>
      <c r="I694" s="20">
        <f>VLOOKUP(A694,Metrik!$C$2:$Y$959,9,0)</f>
        <v>0.41</v>
      </c>
      <c r="J694" s="20">
        <f>VLOOKUP(A694,Metrik!$C$2:$Y$959,10,0)</f>
        <v>5.8</v>
      </c>
      <c r="K694" s="20">
        <f>VLOOKUP(A694,Metrik!$C$2:$Y$959,11,0)</f>
        <v>2.2</v>
      </c>
      <c r="L694" s="20">
        <f>VLOOKUP(A694,Metrik!$C$2:$Y$959,12,0)</f>
        <v>1.6</v>
      </c>
      <c r="M694" s="20">
        <f>VLOOKUP(A694,Metrik!$C$2:$Y$959,19,0)</f>
        <v>6</v>
      </c>
      <c r="N694" s="21"/>
      <c r="O694" s="21"/>
      <c r="P694" s="21"/>
      <c r="Q694" s="21"/>
      <c r="R694" s="21"/>
      <c r="S694" s="21"/>
      <c r="T694" s="21"/>
      <c r="U694" s="22">
        <f>IFERROR(__xludf.DUMMYFUNCTION("IFERROR(GOOGLEFINANCE(A694,""closeyest""),"""")"),137.0)</f>
        <v>137</v>
      </c>
      <c r="V694" s="23">
        <f>IFERROR(__xludf.DUMMYFUNCTION("IFERROR(GOOGLEFINANCE(A694,""changepct""),"""")"),-1.46)</f>
        <v>-1.46</v>
      </c>
      <c r="W694" s="22">
        <f>IFERROR(__xludf.DUMMYFUNCTION("IFERROR(GOOGLEFINANCE(A694,""priceopen""),"""")"),149.0)</f>
        <v>149</v>
      </c>
      <c r="X694" s="22">
        <f>IFERROR(__xludf.DUMMYFUNCTION("IFERROR(GOOGLEFINANCE(A694,""high""),"""")"),149.0)</f>
        <v>149</v>
      </c>
      <c r="Y694" s="22">
        <f>IFERROR(__xludf.DUMMYFUNCTION("IFERROR(GOOGLEFINANCE(A694,""low""),"""")"),129.0)</f>
        <v>129</v>
      </c>
      <c r="Z694" s="22">
        <f>IFERROR(__xludf.DUMMYFUNCTION("IFERROR(GOOGLEFINANCE(A694,""volume""),"""")"),3016900.0)</f>
        <v>3016900</v>
      </c>
      <c r="AA694" s="24" t="str">
        <f>VLOOKUP(A694,Metrik!$C$2:$Y$959,5,0)</f>
        <v>Apparel &amp; Luxury Goods</v>
      </c>
      <c r="AB694" s="24" t="str">
        <f>VLOOKUP(A694,Metrik!$C$2:$Y$959,3,0)</f>
        <v>Consumer Cyclicals</v>
      </c>
    </row>
    <row r="695">
      <c r="A695" s="14" t="s">
        <v>374</v>
      </c>
      <c r="B695" s="14" t="str">
        <f t="array" ref="B695">VLOOKUP(A695,{Metrik!$C$2:$C$998,Metrik!$B$2:$B$998},2,0)</f>
        <v>Sinergi Inti Plastindo Tbk.</v>
      </c>
      <c r="C695" s="15">
        <f>IFERROR(__xludf.DUMMYFUNCTION("GOOGLEFINANCE(""IDX:""&amp;A695,""price"")"),113.0)</f>
        <v>113</v>
      </c>
      <c r="D695" s="16" t="str">
        <f>IFERROR(__xludf.DUMMYFUNCTION("IF(A695="""","""",
SPARKLINE(
INDEX(
GOOGLEFINANCE(""IDX:""&amp;A695,""close"",TODAY()-365,TODAY()),
,2
),
{""linewidth"",1}
))
"),"#N/A")</f>
        <v>#N/A</v>
      </c>
      <c r="E695" s="26"/>
      <c r="F695" s="26"/>
      <c r="G695" s="24">
        <f t="shared" si="5"/>
        <v>0</v>
      </c>
      <c r="H695" s="19">
        <f>VLOOKUP(A695,Metrik!$C$2:$Y$959,8,0)</f>
        <v>54.4</v>
      </c>
      <c r="I695" s="20">
        <f>VLOOKUP(A695,Metrik!$C$2:$Y$959,9,0)</f>
        <v>1.5</v>
      </c>
      <c r="J695" s="20">
        <f>VLOOKUP(A695,Metrik!$C$2:$Y$959,10,0)</f>
        <v>2.7</v>
      </c>
      <c r="K695" s="20">
        <f>VLOOKUP(A695,Metrik!$C$2:$Y$959,11,0)</f>
        <v>2.6</v>
      </c>
      <c r="L695" s="20">
        <f>VLOOKUP(A695,Metrik!$C$2:$Y$959,12,0)</f>
        <v>0.03</v>
      </c>
      <c r="M695" s="20">
        <f>VLOOKUP(A695,Metrik!$C$2:$Y$959,19,0)</f>
        <v>18</v>
      </c>
      <c r="N695" s="21"/>
      <c r="O695" s="21"/>
      <c r="P695" s="21"/>
      <c r="Q695" s="21"/>
      <c r="R695" s="21"/>
      <c r="S695" s="21"/>
      <c r="T695" s="21"/>
      <c r="U695" s="22">
        <f>IFERROR(__xludf.DUMMYFUNCTION("IFERROR(GOOGLEFINANCE(A695,""closeyest""),"""")"),110.0)</f>
        <v>110</v>
      </c>
      <c r="V695" s="23">
        <f>IFERROR(__xludf.DUMMYFUNCTION("IFERROR(GOOGLEFINANCE(A695,""changepct""),"""")"),2.73)</f>
        <v>2.73</v>
      </c>
      <c r="W695" s="22">
        <f>IFERROR(__xludf.DUMMYFUNCTION("IFERROR(GOOGLEFINANCE(A695,""priceopen""),"""")"),110.0)</f>
        <v>110</v>
      </c>
      <c r="X695" s="22">
        <f>IFERROR(__xludf.DUMMYFUNCTION("IFERROR(GOOGLEFINANCE(A695,""high""),"""")"),120.0)</f>
        <v>120</v>
      </c>
      <c r="Y695" s="22">
        <f>IFERROR(__xludf.DUMMYFUNCTION("IFERROR(GOOGLEFINANCE(A695,""low""),"""")"),106.0)</f>
        <v>106</v>
      </c>
      <c r="Z695" s="22">
        <f>IFERROR(__xludf.DUMMYFUNCTION("IFERROR(GOOGLEFINANCE(A695,""volume""),"""")"),1.101789E8)</f>
        <v>110178900</v>
      </c>
      <c r="AA695" s="24" t="str">
        <f>VLOOKUP(A695,Metrik!$C$2:$Y$959,5,0)</f>
        <v>Containers &amp; Packaging</v>
      </c>
      <c r="AB695" s="24" t="str">
        <f>VLOOKUP(A695,Metrik!$C$2:$Y$959,3,0)</f>
        <v>Basic Materials</v>
      </c>
    </row>
    <row r="696">
      <c r="A696" s="14" t="s">
        <v>375</v>
      </c>
      <c r="B696" s="14" t="str">
        <f t="array" ref="B696">VLOOKUP(A696,{Metrik!$C$2:$C$998,Metrik!$B$2:$B$998},2,0)</f>
        <v>ESSA Industries Indonesia Tbk.</v>
      </c>
      <c r="C696" s="15">
        <f>IFERROR(__xludf.DUMMYFUNCTION("GOOGLEFINANCE(""IDX:""&amp;A696,""price"")"),600.0)</f>
        <v>600</v>
      </c>
      <c r="D696" s="16" t="str">
        <f>IFERROR(__xludf.DUMMYFUNCTION("IF(A696="""","""",
SPARKLINE(
INDEX(
GOOGLEFINANCE(""IDX:""&amp;A696,""close"",TODAY()-365,TODAY()),
,2
),
{""linewidth"",1}
))
"),"#N/A")</f>
        <v>#N/A</v>
      </c>
      <c r="E696" s="14" t="s">
        <v>65</v>
      </c>
      <c r="F696" s="25">
        <v>46356.0</v>
      </c>
      <c r="G696" s="24">
        <f t="shared" si="5"/>
        <v>10</v>
      </c>
      <c r="H696" s="19">
        <f>VLOOKUP(A696,Metrik!$C$2:$Y$959,8,0)</f>
        <v>13.4</v>
      </c>
      <c r="I696" s="20">
        <f>VLOOKUP(A696,Metrik!$C$2:$Y$959,9,0)</f>
        <v>1.1</v>
      </c>
      <c r="J696" s="20">
        <f>VLOOKUP(A696,Metrik!$C$2:$Y$959,10,0)</f>
        <v>8.3</v>
      </c>
      <c r="K696" s="20">
        <f>VLOOKUP(A696,Metrik!$C$2:$Y$959,11,0)</f>
        <v>7.4</v>
      </c>
      <c r="L696" s="20">
        <f>VLOOKUP(A696,Metrik!$C$2:$Y$959,12,0)</f>
        <v>0.12</v>
      </c>
      <c r="M696" s="20">
        <f>VLOOKUP(A696,Metrik!$C$2:$Y$959,19,0)</f>
        <v>53.2</v>
      </c>
      <c r="N696" s="21"/>
      <c r="O696" s="21"/>
      <c r="P696" s="21"/>
      <c r="Q696" s="21"/>
      <c r="R696" s="21"/>
      <c r="S696" s="21"/>
      <c r="T696" s="21"/>
      <c r="U696" s="22">
        <f>IFERROR(__xludf.DUMMYFUNCTION("IFERROR(GOOGLEFINANCE(A696,""closeyest""),"""")"),605.0)</f>
        <v>605</v>
      </c>
      <c r="V696" s="23">
        <f>IFERROR(__xludf.DUMMYFUNCTION("IFERROR(GOOGLEFINANCE(A696,""changepct""),"""")"),-0.83)</f>
        <v>-0.83</v>
      </c>
      <c r="W696" s="22">
        <f>IFERROR(__xludf.DUMMYFUNCTION("IFERROR(GOOGLEFINANCE(A696,""priceopen""),"""")"),605.0)</f>
        <v>605</v>
      </c>
      <c r="X696" s="22">
        <f>IFERROR(__xludf.DUMMYFUNCTION("IFERROR(GOOGLEFINANCE(A696,""high""),"""")"),625.0)</f>
        <v>625</v>
      </c>
      <c r="Y696" s="22">
        <f>IFERROR(__xludf.DUMMYFUNCTION("IFERROR(GOOGLEFINANCE(A696,""low""),"""")"),585.0)</f>
        <v>585</v>
      </c>
      <c r="Z696" s="22" t="str">
        <f>IFERROR(__xludf.DUMMYFUNCTION("IFERROR(GOOGLEFINANCE(A696,""volume""),"""")"),"")</f>
        <v/>
      </c>
      <c r="AA696" s="24" t="str">
        <f>VLOOKUP(A696,Metrik!$C$2:$Y$959,5,0)</f>
        <v>Chemicals</v>
      </c>
      <c r="AB696" s="24" t="str">
        <f>VLOOKUP(A696,Metrik!$C$2:$Y$959,3,0)</f>
        <v>Basic Materials</v>
      </c>
    </row>
    <row r="697">
      <c r="A697" s="17" t="s">
        <v>375</v>
      </c>
      <c r="B697" s="14" t="str">
        <f t="array" ref="B697">VLOOKUP(A697,{Metrik!$C$2:$C$998,Metrik!$B$2:$B$998},2,0)</f>
        <v>ESSA Industries Indonesia Tbk.</v>
      </c>
      <c r="C697" s="15">
        <f>IFERROR(__xludf.DUMMYFUNCTION("GOOGLEFINANCE(""IDX:""&amp;A697,""price"")"),600.0)</f>
        <v>600</v>
      </c>
      <c r="D697" s="16" t="str">
        <f>IFERROR(__xludf.DUMMYFUNCTION("IF(A697="""","""",
SPARKLINE(
INDEX(
GOOGLEFINANCE(""IDX:""&amp;A697,""close"",TODAY()-365,TODAY()),
,2
),
{""linewidth"",1}
))
"),"#N/A")</f>
        <v>#N/A</v>
      </c>
      <c r="E697" s="14" t="s">
        <v>31</v>
      </c>
      <c r="F697" s="17" t="s">
        <v>29</v>
      </c>
      <c r="G697" s="24">
        <f t="shared" si="5"/>
        <v>10</v>
      </c>
      <c r="H697" s="19">
        <f>VLOOKUP(A697,Metrik!$C$2:$Y$959,8,0)</f>
        <v>13.4</v>
      </c>
      <c r="I697" s="20">
        <f>VLOOKUP(A697,Metrik!$C$2:$Y$959,9,0)</f>
        <v>1.1</v>
      </c>
      <c r="J697" s="20">
        <f>VLOOKUP(A697,Metrik!$C$2:$Y$959,10,0)</f>
        <v>8.3</v>
      </c>
      <c r="K697" s="20">
        <f>VLOOKUP(A697,Metrik!$C$2:$Y$959,11,0)</f>
        <v>7.4</v>
      </c>
      <c r="L697" s="20">
        <f>VLOOKUP(A697,Metrik!$C$2:$Y$959,12,0)</f>
        <v>0.12</v>
      </c>
      <c r="M697" s="20">
        <f>VLOOKUP(A697,Metrik!$C$2:$Y$959,19,0)</f>
        <v>53.2</v>
      </c>
      <c r="N697" s="21"/>
      <c r="O697" s="21"/>
      <c r="P697" s="21"/>
      <c r="Q697" s="21"/>
      <c r="R697" s="21"/>
      <c r="S697" s="21"/>
      <c r="T697" s="21"/>
      <c r="U697" s="22">
        <f>IFERROR(__xludf.DUMMYFUNCTION("IFERROR(GOOGLEFINANCE(A697,""closeyest""),"""")"),605.0)</f>
        <v>605</v>
      </c>
      <c r="V697" s="23">
        <f>IFERROR(__xludf.DUMMYFUNCTION("IFERROR(GOOGLEFINANCE(A697,""changepct""),"""")"),-0.83)</f>
        <v>-0.83</v>
      </c>
      <c r="W697" s="22">
        <f>IFERROR(__xludf.DUMMYFUNCTION("IFERROR(GOOGLEFINANCE(A697,""priceopen""),"""")"),605.0)</f>
        <v>605</v>
      </c>
      <c r="X697" s="22">
        <f>IFERROR(__xludf.DUMMYFUNCTION("IFERROR(GOOGLEFINANCE(A697,""high""),"""")"),625.0)</f>
        <v>625</v>
      </c>
      <c r="Y697" s="22">
        <f>IFERROR(__xludf.DUMMYFUNCTION("IFERROR(GOOGLEFINANCE(A697,""low""),"""")"),585.0)</f>
        <v>585</v>
      </c>
      <c r="Z697" s="22" t="str">
        <f>IFERROR(__xludf.DUMMYFUNCTION("IFERROR(GOOGLEFINANCE(A697,""volume""),"""")"),"")</f>
        <v/>
      </c>
      <c r="AA697" s="24" t="str">
        <f>VLOOKUP(A697,Metrik!$C$2:$Y$959,5,0)</f>
        <v>Chemicals</v>
      </c>
      <c r="AB697" s="24" t="str">
        <f>VLOOKUP(A697,Metrik!$C$2:$Y$959,3,0)</f>
        <v>Basic Materials</v>
      </c>
    </row>
    <row r="698">
      <c r="A698" s="14" t="s">
        <v>375</v>
      </c>
      <c r="B698" s="14" t="str">
        <f t="array" ref="B698">VLOOKUP(A698,{Metrik!$C$2:$C$998,Metrik!$B$2:$B$998},2,0)</f>
        <v>ESSA Industries Indonesia Tbk.</v>
      </c>
      <c r="C698" s="15">
        <f>IFERROR(__xludf.DUMMYFUNCTION("GOOGLEFINANCE(""IDX:""&amp;A698,""price"")"),600.0)</f>
        <v>600</v>
      </c>
      <c r="D698" s="16" t="str">
        <f>IFERROR(__xludf.DUMMYFUNCTION("IF(A698="""","""",
SPARKLINE(
INDEX(
GOOGLEFINANCE(""IDX:""&amp;A698,""close"",TODAY()-365,TODAY()),
,2
),
{""linewidth"",1}
))
"),"#N/A")</f>
        <v>#N/A</v>
      </c>
      <c r="E698" s="14" t="s">
        <v>68</v>
      </c>
      <c r="F698" s="14" t="s">
        <v>34</v>
      </c>
      <c r="G698" s="24">
        <f t="shared" si="5"/>
        <v>10</v>
      </c>
      <c r="H698" s="19">
        <f>VLOOKUP(A698,Metrik!$C$2:$Y$959,8,0)</f>
        <v>13.4</v>
      </c>
      <c r="I698" s="20">
        <f>VLOOKUP(A698,Metrik!$C$2:$Y$959,9,0)</f>
        <v>1.1</v>
      </c>
      <c r="J698" s="20">
        <f>VLOOKUP(A698,Metrik!$C$2:$Y$959,10,0)</f>
        <v>8.3</v>
      </c>
      <c r="K698" s="20">
        <f>VLOOKUP(A698,Metrik!$C$2:$Y$959,11,0)</f>
        <v>7.4</v>
      </c>
      <c r="L698" s="20">
        <f>VLOOKUP(A698,Metrik!$C$2:$Y$959,12,0)</f>
        <v>0.12</v>
      </c>
      <c r="M698" s="20">
        <f>VLOOKUP(A698,Metrik!$C$2:$Y$959,19,0)</f>
        <v>53.2</v>
      </c>
      <c r="N698" s="21"/>
      <c r="O698" s="21"/>
      <c r="P698" s="21"/>
      <c r="Q698" s="21"/>
      <c r="R698" s="21"/>
      <c r="S698" s="21"/>
      <c r="T698" s="21"/>
      <c r="U698" s="22">
        <f>IFERROR(__xludf.DUMMYFUNCTION("IFERROR(GOOGLEFINANCE(A698,""closeyest""),"""")"),605.0)</f>
        <v>605</v>
      </c>
      <c r="V698" s="23">
        <f>IFERROR(__xludf.DUMMYFUNCTION("IFERROR(GOOGLEFINANCE(A698,""changepct""),"""")"),-0.83)</f>
        <v>-0.83</v>
      </c>
      <c r="W698" s="22">
        <f>IFERROR(__xludf.DUMMYFUNCTION("IFERROR(GOOGLEFINANCE(A698,""priceopen""),"""")"),605.0)</f>
        <v>605</v>
      </c>
      <c r="X698" s="22">
        <f>IFERROR(__xludf.DUMMYFUNCTION("IFERROR(GOOGLEFINANCE(A698,""high""),"""")"),625.0)</f>
        <v>625</v>
      </c>
      <c r="Y698" s="22">
        <f>IFERROR(__xludf.DUMMYFUNCTION("IFERROR(GOOGLEFINANCE(A698,""low""),"""")"),585.0)</f>
        <v>585</v>
      </c>
      <c r="Z698" s="22" t="str">
        <f>IFERROR(__xludf.DUMMYFUNCTION("IFERROR(GOOGLEFINANCE(A698,""volume""),"""")"),"")</f>
        <v/>
      </c>
      <c r="AA698" s="24" t="str">
        <f>VLOOKUP(A698,Metrik!$C$2:$Y$959,5,0)</f>
        <v>Chemicals</v>
      </c>
      <c r="AB698" s="24" t="str">
        <f>VLOOKUP(A698,Metrik!$C$2:$Y$959,3,0)</f>
        <v>Basic Materials</v>
      </c>
    </row>
    <row r="699">
      <c r="A699" s="14" t="s">
        <v>375</v>
      </c>
      <c r="B699" s="14" t="str">
        <f t="array" ref="B699">VLOOKUP(A699,{Metrik!$C$2:$C$998,Metrik!$B$2:$B$998},2,0)</f>
        <v>ESSA Industries Indonesia Tbk.</v>
      </c>
      <c r="C699" s="15">
        <f>IFERROR(__xludf.DUMMYFUNCTION("GOOGLEFINANCE(""IDX:""&amp;A699,""price"")"),600.0)</f>
        <v>600</v>
      </c>
      <c r="D699" s="16" t="str">
        <f>IFERROR(__xludf.DUMMYFUNCTION("IF(A699="""","""",
SPARKLINE(
INDEX(
GOOGLEFINANCE(""IDX:""&amp;A699,""close"",TODAY()-365,TODAY()),
,2
),
{""linewidth"",1}
))
"),"#N/A")</f>
        <v>#N/A</v>
      </c>
      <c r="E699" s="14" t="s">
        <v>52</v>
      </c>
      <c r="F699" s="27" t="s">
        <v>53</v>
      </c>
      <c r="G699" s="24">
        <f t="shared" si="5"/>
        <v>10</v>
      </c>
      <c r="H699" s="19">
        <f>VLOOKUP(A699,Metrik!$C$2:$Y$959,8,0)</f>
        <v>13.4</v>
      </c>
      <c r="I699" s="20">
        <f>VLOOKUP(A699,Metrik!$C$2:$Y$959,9,0)</f>
        <v>1.1</v>
      </c>
      <c r="J699" s="20">
        <f>VLOOKUP(A699,Metrik!$C$2:$Y$959,10,0)</f>
        <v>8.3</v>
      </c>
      <c r="K699" s="20">
        <f>VLOOKUP(A699,Metrik!$C$2:$Y$959,11,0)</f>
        <v>7.4</v>
      </c>
      <c r="L699" s="20">
        <f>VLOOKUP(A699,Metrik!$C$2:$Y$959,12,0)</f>
        <v>0.12</v>
      </c>
      <c r="M699" s="20">
        <f>VLOOKUP(A699,Metrik!$C$2:$Y$959,19,0)</f>
        <v>53.2</v>
      </c>
      <c r="N699" s="21"/>
      <c r="O699" s="21"/>
      <c r="P699" s="21"/>
      <c r="Q699" s="21"/>
      <c r="R699" s="21"/>
      <c r="S699" s="21"/>
      <c r="T699" s="21"/>
      <c r="U699" s="22">
        <f>IFERROR(__xludf.DUMMYFUNCTION("IFERROR(GOOGLEFINANCE(A699,""closeyest""),"""")"),605.0)</f>
        <v>605</v>
      </c>
      <c r="V699" s="23">
        <f>IFERROR(__xludf.DUMMYFUNCTION("IFERROR(GOOGLEFINANCE(A699,""changepct""),"""")"),-0.83)</f>
        <v>-0.83</v>
      </c>
      <c r="W699" s="22">
        <f>IFERROR(__xludf.DUMMYFUNCTION("IFERROR(GOOGLEFINANCE(A699,""priceopen""),"""")"),605.0)</f>
        <v>605</v>
      </c>
      <c r="X699" s="22">
        <f>IFERROR(__xludf.DUMMYFUNCTION("IFERROR(GOOGLEFINANCE(A699,""high""),"""")"),625.0)</f>
        <v>625</v>
      </c>
      <c r="Y699" s="22">
        <f>IFERROR(__xludf.DUMMYFUNCTION("IFERROR(GOOGLEFINANCE(A699,""low""),"""")"),585.0)</f>
        <v>585</v>
      </c>
      <c r="Z699" s="22" t="str">
        <f>IFERROR(__xludf.DUMMYFUNCTION("IFERROR(GOOGLEFINANCE(A699,""volume""),"""")"),"")</f>
        <v/>
      </c>
      <c r="AA699" s="24" t="str">
        <f>VLOOKUP(A699,Metrik!$C$2:$Y$959,5,0)</f>
        <v>Chemicals</v>
      </c>
      <c r="AB699" s="24" t="str">
        <f>VLOOKUP(A699,Metrik!$C$2:$Y$959,3,0)</f>
        <v>Basic Materials</v>
      </c>
    </row>
    <row r="700">
      <c r="A700" s="14" t="s">
        <v>375</v>
      </c>
      <c r="B700" s="14" t="str">
        <f t="array" ref="B700">VLOOKUP(A700,{Metrik!$C$2:$C$998,Metrik!$B$2:$B$998},2,0)</f>
        <v>ESSA Industries Indonesia Tbk.</v>
      </c>
      <c r="C700" s="15">
        <f>IFERROR(__xludf.DUMMYFUNCTION("GOOGLEFINANCE(""IDX:""&amp;A700,""price"")"),600.0)</f>
        <v>600</v>
      </c>
      <c r="D700" s="16" t="str">
        <f>IFERROR(__xludf.DUMMYFUNCTION("IF(A700="""","""",
SPARKLINE(
INDEX(
GOOGLEFINANCE(""IDX:""&amp;A700,""close"",TODAY()-365,TODAY()),
,2
),
{""linewidth"",1}
))
"),"#N/A")</f>
        <v>#N/A</v>
      </c>
      <c r="E700" s="14" t="s">
        <v>102</v>
      </c>
      <c r="F700" s="27" t="s">
        <v>53</v>
      </c>
      <c r="G700" s="24">
        <f t="shared" si="5"/>
        <v>10</v>
      </c>
      <c r="H700" s="19">
        <f>VLOOKUP(A700,Metrik!$C$2:$Y$959,8,0)</f>
        <v>13.4</v>
      </c>
      <c r="I700" s="20">
        <f>VLOOKUP(A700,Metrik!$C$2:$Y$959,9,0)</f>
        <v>1.1</v>
      </c>
      <c r="J700" s="20">
        <f>VLOOKUP(A700,Metrik!$C$2:$Y$959,10,0)</f>
        <v>8.3</v>
      </c>
      <c r="K700" s="20">
        <f>VLOOKUP(A700,Metrik!$C$2:$Y$959,11,0)</f>
        <v>7.4</v>
      </c>
      <c r="L700" s="20">
        <f>VLOOKUP(A700,Metrik!$C$2:$Y$959,12,0)</f>
        <v>0.12</v>
      </c>
      <c r="M700" s="20">
        <f>VLOOKUP(A700,Metrik!$C$2:$Y$959,19,0)</f>
        <v>53.2</v>
      </c>
      <c r="N700" s="21"/>
      <c r="O700" s="21"/>
      <c r="P700" s="21"/>
      <c r="Q700" s="21"/>
      <c r="R700" s="21"/>
      <c r="S700" s="21"/>
      <c r="T700" s="21"/>
      <c r="U700" s="22">
        <f>IFERROR(__xludf.DUMMYFUNCTION("IFERROR(GOOGLEFINANCE(A700,""closeyest""),"""")"),605.0)</f>
        <v>605</v>
      </c>
      <c r="V700" s="23">
        <f>IFERROR(__xludf.DUMMYFUNCTION("IFERROR(GOOGLEFINANCE(A700,""changepct""),"""")"),-0.83)</f>
        <v>-0.83</v>
      </c>
      <c r="W700" s="22">
        <f>IFERROR(__xludf.DUMMYFUNCTION("IFERROR(GOOGLEFINANCE(A700,""priceopen""),"""")"),605.0)</f>
        <v>605</v>
      </c>
      <c r="X700" s="22">
        <f>IFERROR(__xludf.DUMMYFUNCTION("IFERROR(GOOGLEFINANCE(A700,""high""),"""")"),625.0)</f>
        <v>625</v>
      </c>
      <c r="Y700" s="22">
        <f>IFERROR(__xludf.DUMMYFUNCTION("IFERROR(GOOGLEFINANCE(A700,""low""),"""")"),585.0)</f>
        <v>585</v>
      </c>
      <c r="Z700" s="22" t="str">
        <f>IFERROR(__xludf.DUMMYFUNCTION("IFERROR(GOOGLEFINANCE(A700,""volume""),"""")"),"")</f>
        <v/>
      </c>
      <c r="AA700" s="24" t="str">
        <f>VLOOKUP(A700,Metrik!$C$2:$Y$959,5,0)</f>
        <v>Chemicals</v>
      </c>
      <c r="AB700" s="24" t="str">
        <f>VLOOKUP(A700,Metrik!$C$2:$Y$959,3,0)</f>
        <v>Basic Materials</v>
      </c>
    </row>
    <row r="701">
      <c r="A701" s="14" t="s">
        <v>375</v>
      </c>
      <c r="B701" s="14" t="str">
        <f t="array" ref="B701">VLOOKUP(A701,{Metrik!$C$2:$C$998,Metrik!$B$2:$B$998},2,0)</f>
        <v>ESSA Industries Indonesia Tbk.</v>
      </c>
      <c r="C701" s="15">
        <f>IFERROR(__xludf.DUMMYFUNCTION("GOOGLEFINANCE(""IDX:""&amp;A701,""price"")"),600.0)</f>
        <v>600</v>
      </c>
      <c r="D701" s="16" t="str">
        <f>IFERROR(__xludf.DUMMYFUNCTION("IF(A701="""","""",
SPARKLINE(
INDEX(
GOOGLEFINANCE(""IDX:""&amp;A701,""close"",TODAY()-365,TODAY()),
,2
),
{""linewidth"",1}
))
"),"#N/A")</f>
        <v>#N/A</v>
      </c>
      <c r="E701" s="14" t="s">
        <v>32</v>
      </c>
      <c r="F701" s="14" t="s">
        <v>29</v>
      </c>
      <c r="G701" s="24">
        <f t="shared" si="5"/>
        <v>10</v>
      </c>
      <c r="H701" s="19">
        <f>VLOOKUP(A701,Metrik!$C$2:$Y$959,8,0)</f>
        <v>13.4</v>
      </c>
      <c r="I701" s="20">
        <f>VLOOKUP(A701,Metrik!$C$2:$Y$959,9,0)</f>
        <v>1.1</v>
      </c>
      <c r="J701" s="20">
        <f>VLOOKUP(A701,Metrik!$C$2:$Y$959,10,0)</f>
        <v>8.3</v>
      </c>
      <c r="K701" s="20">
        <f>VLOOKUP(A701,Metrik!$C$2:$Y$959,11,0)</f>
        <v>7.4</v>
      </c>
      <c r="L701" s="20">
        <f>VLOOKUP(A701,Metrik!$C$2:$Y$959,12,0)</f>
        <v>0.12</v>
      </c>
      <c r="M701" s="20">
        <f>VLOOKUP(A701,Metrik!$C$2:$Y$959,19,0)</f>
        <v>53.2</v>
      </c>
      <c r="N701" s="21"/>
      <c r="O701" s="21"/>
      <c r="P701" s="21"/>
      <c r="Q701" s="21"/>
      <c r="R701" s="21"/>
      <c r="S701" s="21"/>
      <c r="T701" s="21"/>
      <c r="U701" s="22">
        <f>IFERROR(__xludf.DUMMYFUNCTION("IFERROR(GOOGLEFINANCE(A701,""closeyest""),"""")"),605.0)</f>
        <v>605</v>
      </c>
      <c r="V701" s="23">
        <f>IFERROR(__xludf.DUMMYFUNCTION("IFERROR(GOOGLEFINANCE(A701,""changepct""),"""")"),-0.83)</f>
        <v>-0.83</v>
      </c>
      <c r="W701" s="22">
        <f>IFERROR(__xludf.DUMMYFUNCTION("IFERROR(GOOGLEFINANCE(A701,""priceopen""),"""")"),605.0)</f>
        <v>605</v>
      </c>
      <c r="X701" s="22">
        <f>IFERROR(__xludf.DUMMYFUNCTION("IFERROR(GOOGLEFINANCE(A701,""high""),"""")"),625.0)</f>
        <v>625</v>
      </c>
      <c r="Y701" s="22">
        <f>IFERROR(__xludf.DUMMYFUNCTION("IFERROR(GOOGLEFINANCE(A701,""low""),"""")"),585.0)</f>
        <v>585</v>
      </c>
      <c r="Z701" s="22" t="str">
        <f>IFERROR(__xludf.DUMMYFUNCTION("IFERROR(GOOGLEFINANCE(A701,""volume""),"""")"),"")</f>
        <v/>
      </c>
      <c r="AA701" s="24" t="str">
        <f>VLOOKUP(A701,Metrik!$C$2:$Y$959,5,0)</f>
        <v>Chemicals</v>
      </c>
      <c r="AB701" s="24" t="str">
        <f>VLOOKUP(A701,Metrik!$C$2:$Y$959,3,0)</f>
        <v>Basic Materials</v>
      </c>
    </row>
    <row r="702">
      <c r="A702" s="14" t="s">
        <v>375</v>
      </c>
      <c r="B702" s="14" t="str">
        <f t="array" ref="B702">VLOOKUP(A702,{Metrik!$C$2:$C$998,Metrik!$B$2:$B$998},2,0)</f>
        <v>ESSA Industries Indonesia Tbk.</v>
      </c>
      <c r="C702" s="15">
        <f>IFERROR(__xludf.DUMMYFUNCTION("GOOGLEFINANCE(""IDX:""&amp;A702,""price"")"),600.0)</f>
        <v>600</v>
      </c>
      <c r="D702" s="16" t="str">
        <f>IFERROR(__xludf.DUMMYFUNCTION("IF(A702="""","""",
SPARKLINE(
INDEX(
GOOGLEFINANCE(""IDX:""&amp;A702,""close"",TODAY()-365,TODAY()),
,2
),
{""linewidth"",1}
))
"),"#N/A")</f>
        <v>#N/A</v>
      </c>
      <c r="E702" s="14" t="s">
        <v>28</v>
      </c>
      <c r="F702" s="17" t="s">
        <v>29</v>
      </c>
      <c r="G702" s="24">
        <f t="shared" si="5"/>
        <v>10</v>
      </c>
      <c r="H702" s="19">
        <f>VLOOKUP(A702,Metrik!$C$2:$Y$959,8,0)</f>
        <v>13.4</v>
      </c>
      <c r="I702" s="20">
        <f>VLOOKUP(A702,Metrik!$C$2:$Y$959,9,0)</f>
        <v>1.1</v>
      </c>
      <c r="J702" s="20">
        <f>VLOOKUP(A702,Metrik!$C$2:$Y$959,10,0)</f>
        <v>8.3</v>
      </c>
      <c r="K702" s="20">
        <f>VLOOKUP(A702,Metrik!$C$2:$Y$959,11,0)</f>
        <v>7.4</v>
      </c>
      <c r="L702" s="20">
        <f>VLOOKUP(A702,Metrik!$C$2:$Y$959,12,0)</f>
        <v>0.12</v>
      </c>
      <c r="M702" s="20">
        <f>VLOOKUP(A702,Metrik!$C$2:$Y$959,19,0)</f>
        <v>53.2</v>
      </c>
      <c r="N702" s="21"/>
      <c r="O702" s="21"/>
      <c r="P702" s="21"/>
      <c r="Q702" s="21"/>
      <c r="R702" s="21"/>
      <c r="S702" s="21"/>
      <c r="T702" s="21"/>
      <c r="U702" s="22">
        <f>IFERROR(__xludf.DUMMYFUNCTION("IFERROR(GOOGLEFINANCE(A702,""closeyest""),"""")"),605.0)</f>
        <v>605</v>
      </c>
      <c r="V702" s="23">
        <f>IFERROR(__xludf.DUMMYFUNCTION("IFERROR(GOOGLEFINANCE(A702,""changepct""),"""")"),-0.83)</f>
        <v>-0.83</v>
      </c>
      <c r="W702" s="22">
        <f>IFERROR(__xludf.DUMMYFUNCTION("IFERROR(GOOGLEFINANCE(A702,""priceopen""),"""")"),605.0)</f>
        <v>605</v>
      </c>
      <c r="X702" s="22">
        <f>IFERROR(__xludf.DUMMYFUNCTION("IFERROR(GOOGLEFINANCE(A702,""high""),"""")"),625.0)</f>
        <v>625</v>
      </c>
      <c r="Y702" s="22">
        <f>IFERROR(__xludf.DUMMYFUNCTION("IFERROR(GOOGLEFINANCE(A702,""low""),"""")"),585.0)</f>
        <v>585</v>
      </c>
      <c r="Z702" s="22" t="str">
        <f>IFERROR(__xludf.DUMMYFUNCTION("IFERROR(GOOGLEFINANCE(A702,""volume""),"""")"),"")</f>
        <v/>
      </c>
      <c r="AA702" s="24" t="str">
        <f>VLOOKUP(A702,Metrik!$C$2:$Y$959,5,0)</f>
        <v>Chemicals</v>
      </c>
      <c r="AB702" s="24" t="str">
        <f>VLOOKUP(A702,Metrik!$C$2:$Y$959,3,0)</f>
        <v>Basic Materials</v>
      </c>
    </row>
    <row r="703">
      <c r="A703" s="14" t="s">
        <v>375</v>
      </c>
      <c r="B703" s="14" t="str">
        <f t="array" ref="B703">VLOOKUP(A703,{Metrik!$C$2:$C$998,Metrik!$B$2:$B$998},2,0)</f>
        <v>ESSA Industries Indonesia Tbk.</v>
      </c>
      <c r="C703" s="15">
        <f>IFERROR(__xludf.DUMMYFUNCTION("GOOGLEFINANCE(""IDX:""&amp;A703,""price"")"),600.0)</f>
        <v>600</v>
      </c>
      <c r="D703" s="16" t="str">
        <f>IFERROR(__xludf.DUMMYFUNCTION("IF(A703="""","""",
SPARKLINE(
INDEX(
GOOGLEFINANCE(""IDX:""&amp;A703,""close"",TODAY()-365,TODAY()),
,2
),
{""linewidth"",1}
))
"),"#N/A")</f>
        <v>#N/A</v>
      </c>
      <c r="E703" s="14" t="s">
        <v>41</v>
      </c>
      <c r="F703" s="14" t="s">
        <v>34</v>
      </c>
      <c r="G703" s="24">
        <f t="shared" si="5"/>
        <v>10</v>
      </c>
      <c r="H703" s="19">
        <f>VLOOKUP(A703,Metrik!$C$2:$Y$959,8,0)</f>
        <v>13.4</v>
      </c>
      <c r="I703" s="20">
        <f>VLOOKUP(A703,Metrik!$C$2:$Y$959,9,0)</f>
        <v>1.1</v>
      </c>
      <c r="J703" s="20">
        <f>VLOOKUP(A703,Metrik!$C$2:$Y$959,10,0)</f>
        <v>8.3</v>
      </c>
      <c r="K703" s="20">
        <f>VLOOKUP(A703,Metrik!$C$2:$Y$959,11,0)</f>
        <v>7.4</v>
      </c>
      <c r="L703" s="20">
        <f>VLOOKUP(A703,Metrik!$C$2:$Y$959,12,0)</f>
        <v>0.12</v>
      </c>
      <c r="M703" s="20">
        <f>VLOOKUP(A703,Metrik!$C$2:$Y$959,19,0)</f>
        <v>53.2</v>
      </c>
      <c r="N703" s="21"/>
      <c r="O703" s="21"/>
      <c r="P703" s="21"/>
      <c r="Q703" s="21"/>
      <c r="R703" s="21"/>
      <c r="S703" s="21"/>
      <c r="T703" s="21"/>
      <c r="U703" s="22">
        <f>IFERROR(__xludf.DUMMYFUNCTION("IFERROR(GOOGLEFINANCE(A703,""closeyest""),"""")"),605.0)</f>
        <v>605</v>
      </c>
      <c r="V703" s="23">
        <f>IFERROR(__xludf.DUMMYFUNCTION("IFERROR(GOOGLEFINANCE(A703,""changepct""),"""")"),-0.83)</f>
        <v>-0.83</v>
      </c>
      <c r="W703" s="22">
        <f>IFERROR(__xludf.DUMMYFUNCTION("IFERROR(GOOGLEFINANCE(A703,""priceopen""),"""")"),605.0)</f>
        <v>605</v>
      </c>
      <c r="X703" s="22">
        <f>IFERROR(__xludf.DUMMYFUNCTION("IFERROR(GOOGLEFINANCE(A703,""high""),"""")"),625.0)</f>
        <v>625</v>
      </c>
      <c r="Y703" s="22">
        <f>IFERROR(__xludf.DUMMYFUNCTION("IFERROR(GOOGLEFINANCE(A703,""low""),"""")"),585.0)</f>
        <v>585</v>
      </c>
      <c r="Z703" s="22" t="str">
        <f>IFERROR(__xludf.DUMMYFUNCTION("IFERROR(GOOGLEFINANCE(A703,""volume""),"""")"),"")</f>
        <v/>
      </c>
      <c r="AA703" s="24" t="str">
        <f>VLOOKUP(A703,Metrik!$C$2:$Y$959,5,0)</f>
        <v>Chemicals</v>
      </c>
      <c r="AB703" s="24" t="str">
        <f>VLOOKUP(A703,Metrik!$C$2:$Y$959,3,0)</f>
        <v>Basic Materials</v>
      </c>
    </row>
    <row r="704">
      <c r="A704" s="17" t="s">
        <v>375</v>
      </c>
      <c r="B704" s="14" t="str">
        <f t="array" ref="B704">VLOOKUP(A704,{Metrik!$C$2:$C$998,Metrik!$B$2:$B$998},2,0)</f>
        <v>ESSA Industries Indonesia Tbk.</v>
      </c>
      <c r="C704" s="15">
        <f>IFERROR(__xludf.DUMMYFUNCTION("GOOGLEFINANCE(""IDX:""&amp;A704,""price"")"),600.0)</f>
        <v>600</v>
      </c>
      <c r="D704" s="16" t="str">
        <f>IFERROR(__xludf.DUMMYFUNCTION("IF(A704="""","""",
SPARKLINE(
INDEX(
GOOGLEFINANCE(""IDX:""&amp;A704,""close"",TODAY()-365,TODAY()),
,2
),
{""linewidth"",1}
))
"),"#N/A")</f>
        <v>#N/A</v>
      </c>
      <c r="E704" s="14" t="s">
        <v>35</v>
      </c>
      <c r="F704" s="17" t="s">
        <v>36</v>
      </c>
      <c r="G704" s="38">
        <f t="shared" si="5"/>
        <v>10</v>
      </c>
      <c r="H704" s="34">
        <f>VLOOKUP(A704,Metrik!$C$2:$Y$959,8,0)</f>
        <v>13.4</v>
      </c>
      <c r="I704" s="34">
        <f>VLOOKUP(A704,Metrik!$C$2:$Y$959,9,0)</f>
        <v>1.1</v>
      </c>
      <c r="J704" s="34">
        <f>VLOOKUP(A704,Metrik!$C$2:$Y$959,10,0)</f>
        <v>8.3</v>
      </c>
      <c r="K704" s="34">
        <f>VLOOKUP(A704,Metrik!$C$2:$Y$959,11,0)</f>
        <v>7.4</v>
      </c>
      <c r="L704" s="34">
        <f>VLOOKUP(A704,Metrik!$C$2:$Y$959,12,0)</f>
        <v>0.12</v>
      </c>
      <c r="M704" s="34">
        <f>VLOOKUP(A704,Metrik!$C$2:$Y$959,19,0)</f>
        <v>53.2</v>
      </c>
      <c r="N704" s="45"/>
      <c r="O704" s="45"/>
      <c r="P704" s="45"/>
      <c r="Q704" s="45"/>
      <c r="R704" s="45"/>
      <c r="S704" s="45"/>
      <c r="T704" s="45"/>
      <c r="U704" s="35">
        <f>IFERROR(__xludf.DUMMYFUNCTION("IFERROR(GOOGLEFINANCE(A704,""closeyest""),"""")"),605.0)</f>
        <v>605</v>
      </c>
      <c r="V704" s="36">
        <f>IFERROR(__xludf.DUMMYFUNCTION("IFERROR(GOOGLEFINANCE(A704,""changepct""),"""")"),-0.83)</f>
        <v>-0.83</v>
      </c>
      <c r="W704" s="35">
        <f>IFERROR(__xludf.DUMMYFUNCTION("IFERROR(GOOGLEFINANCE(A704,""priceopen""),"""")"),605.0)</f>
        <v>605</v>
      </c>
      <c r="X704" s="35">
        <f>IFERROR(__xludf.DUMMYFUNCTION("IFERROR(GOOGLEFINANCE(A704,""high""),"""")"),625.0)</f>
        <v>625</v>
      </c>
      <c r="Y704" s="35">
        <f>IFERROR(__xludf.DUMMYFUNCTION("IFERROR(GOOGLEFINANCE(A704,""low""),"""")"),585.0)</f>
        <v>585</v>
      </c>
      <c r="Z704" s="35" t="str">
        <f>IFERROR(__xludf.DUMMYFUNCTION("IFERROR(GOOGLEFINANCE(A704,""volume""),"""")"),"")</f>
        <v/>
      </c>
      <c r="AA704" s="14" t="str">
        <f>VLOOKUP(A704,Metrik!$C$2:$Y$959,5,0)</f>
        <v>Chemicals</v>
      </c>
      <c r="AB704" s="14" t="str">
        <f>VLOOKUP(A704,Metrik!$C$2:$Y$959,3,0)</f>
        <v>Basic Materials</v>
      </c>
    </row>
    <row r="705">
      <c r="A705" s="14" t="s">
        <v>375</v>
      </c>
      <c r="B705" s="14" t="str">
        <f t="array" ref="B705">VLOOKUP(A705,{Metrik!$C$2:$C$998,Metrik!$B$2:$B$998},2,0)</f>
        <v>ESSA Industries Indonesia Tbk.</v>
      </c>
      <c r="C705" s="15">
        <f>IFERROR(__xludf.DUMMYFUNCTION("GOOGLEFINANCE(""IDX:""&amp;A705,""price"")"),600.0)</f>
        <v>600</v>
      </c>
      <c r="D705" s="16" t="str">
        <f>IFERROR(__xludf.DUMMYFUNCTION("IF(A705="""","""",
SPARKLINE(
INDEX(
GOOGLEFINANCE(""IDX:""&amp;A705,""close"",TODAY()-365,TODAY()),
,2
),
{""linewidth"",1}
))
"),"#N/A")</f>
        <v>#N/A</v>
      </c>
      <c r="E705" s="14" t="s">
        <v>39</v>
      </c>
      <c r="F705" s="25">
        <v>46356.0</v>
      </c>
      <c r="G705" s="24">
        <f t="shared" si="5"/>
        <v>10</v>
      </c>
      <c r="H705" s="19">
        <f>VLOOKUP(A705,Metrik!$C$2:$Y$959,8,0)</f>
        <v>13.4</v>
      </c>
      <c r="I705" s="20">
        <f>VLOOKUP(A705,Metrik!$C$2:$Y$959,9,0)</f>
        <v>1.1</v>
      </c>
      <c r="J705" s="20">
        <f>VLOOKUP(A705,Metrik!$C$2:$Y$959,10,0)</f>
        <v>8.3</v>
      </c>
      <c r="K705" s="20">
        <f>VLOOKUP(A705,Metrik!$C$2:$Y$959,11,0)</f>
        <v>7.4</v>
      </c>
      <c r="L705" s="20">
        <f>VLOOKUP(A705,Metrik!$C$2:$Y$959,12,0)</f>
        <v>0.12</v>
      </c>
      <c r="M705" s="20">
        <f>VLOOKUP(A705,Metrik!$C$2:$Y$959,19,0)</f>
        <v>53.2</v>
      </c>
      <c r="N705" s="21"/>
      <c r="O705" s="21"/>
      <c r="P705" s="21"/>
      <c r="Q705" s="21"/>
      <c r="R705" s="21"/>
      <c r="S705" s="21"/>
      <c r="T705" s="21"/>
      <c r="U705" s="22">
        <f>IFERROR(__xludf.DUMMYFUNCTION("IFERROR(GOOGLEFINANCE(A705,""closeyest""),"""")"),605.0)</f>
        <v>605</v>
      </c>
      <c r="V705" s="23">
        <f>IFERROR(__xludf.DUMMYFUNCTION("IFERROR(GOOGLEFINANCE(A705,""changepct""),"""")"),-0.83)</f>
        <v>-0.83</v>
      </c>
      <c r="W705" s="22">
        <f>IFERROR(__xludf.DUMMYFUNCTION("IFERROR(GOOGLEFINANCE(A705,""priceopen""),"""")"),605.0)</f>
        <v>605</v>
      </c>
      <c r="X705" s="22">
        <f>IFERROR(__xludf.DUMMYFUNCTION("IFERROR(GOOGLEFINANCE(A705,""high""),"""")"),625.0)</f>
        <v>625</v>
      </c>
      <c r="Y705" s="22">
        <f>IFERROR(__xludf.DUMMYFUNCTION("IFERROR(GOOGLEFINANCE(A705,""low""),"""")"),585.0)</f>
        <v>585</v>
      </c>
      <c r="Z705" s="22" t="str">
        <f>IFERROR(__xludf.DUMMYFUNCTION("IFERROR(GOOGLEFINANCE(A705,""volume""),"""")"),"")</f>
        <v/>
      </c>
      <c r="AA705" s="24" t="str">
        <f>VLOOKUP(A705,Metrik!$C$2:$Y$959,5,0)</f>
        <v>Chemicals</v>
      </c>
      <c r="AB705" s="24" t="str">
        <f>VLOOKUP(A705,Metrik!$C$2:$Y$959,3,0)</f>
        <v>Basic Materials</v>
      </c>
    </row>
    <row r="706">
      <c r="A706" s="14" t="s">
        <v>376</v>
      </c>
      <c r="B706" s="14" t="str">
        <f t="array" ref="B706">VLOOKUP(A706,{Metrik!$C$2:$C$998,Metrik!$B$2:$B$998},2,0)</f>
        <v>Esta Multi Usaha Tbk.</v>
      </c>
      <c r="C706" s="15">
        <f>IFERROR(__xludf.DUMMYFUNCTION("GOOGLEFINANCE(""IDX:""&amp;A706,""price"")"),177.0)</f>
        <v>177</v>
      </c>
      <c r="D706" s="16" t="str">
        <f>IFERROR(__xludf.DUMMYFUNCTION("IF(A706="""","""",
SPARKLINE(
INDEX(
GOOGLEFINANCE(""IDX:""&amp;A706,""close"",TODAY()-365,TODAY()),
,2
),
{""linewidth"",1}
))
"),"#N/A")</f>
        <v>#N/A</v>
      </c>
      <c r="E706" s="26"/>
      <c r="F706" s="26"/>
      <c r="G706" s="24">
        <f t="shared" si="5"/>
        <v>0</v>
      </c>
      <c r="H706" s="19">
        <f>VLOOKUP(A706,Metrik!$C$2:$Y$959,8,0)</f>
        <v>-65.8</v>
      </c>
      <c r="I706" s="20">
        <f>VLOOKUP(A706,Metrik!$C$2:$Y$959,9,0)</f>
        <v>2.8</v>
      </c>
      <c r="J706" s="20">
        <f>VLOOKUP(A706,Metrik!$C$2:$Y$959,10,0)</f>
        <v>-4.3</v>
      </c>
      <c r="K706" s="20">
        <f>VLOOKUP(A706,Metrik!$C$2:$Y$959,11,0)</f>
        <v>-2.3</v>
      </c>
      <c r="L706" s="20">
        <f>VLOOKUP(A706,Metrik!$C$2:$Y$959,12,0)</f>
        <v>0.87</v>
      </c>
      <c r="M706" s="20">
        <f>VLOOKUP(A706,Metrik!$C$2:$Y$959,19,0)</f>
        <v>-66.9</v>
      </c>
      <c r="N706" s="21"/>
      <c r="O706" s="21"/>
      <c r="P706" s="21"/>
      <c r="Q706" s="21"/>
      <c r="R706" s="21"/>
      <c r="S706" s="21"/>
      <c r="T706" s="21"/>
      <c r="U706" s="22">
        <f>IFERROR(__xludf.DUMMYFUNCTION("IFERROR(GOOGLEFINANCE(A706,""closeyest""),"""")"),85.11)</f>
        <v>85.11</v>
      </c>
      <c r="V706" s="23">
        <f>IFERROR(__xludf.DUMMYFUNCTION("IFERROR(GOOGLEFINANCE(A706,""changepct""),"""")"),-3.49)</f>
        <v>-3.49</v>
      </c>
      <c r="W706" s="22">
        <f>IFERROR(__xludf.DUMMYFUNCTION("IFERROR(GOOGLEFINANCE(A706,""priceopen""),"""")"),85.0)</f>
        <v>85</v>
      </c>
      <c r="X706" s="22">
        <f>IFERROR(__xludf.DUMMYFUNCTION("IFERROR(GOOGLEFINANCE(A706,""high""),"""")"),86.0)</f>
        <v>86</v>
      </c>
      <c r="Y706" s="22">
        <f>IFERROR(__xludf.DUMMYFUNCTION("IFERROR(GOOGLEFINANCE(A706,""low""),"""")"),81.0)</f>
        <v>81</v>
      </c>
      <c r="Z706" s="22">
        <f>IFERROR(__xludf.DUMMYFUNCTION("IFERROR(GOOGLEFINANCE(A706,""volume""),"""")"),468710.0)</f>
        <v>468710</v>
      </c>
      <c r="AA706" s="24" t="str">
        <f>VLOOKUP(A706,Metrik!$C$2:$Y$959,5,0)</f>
        <v>Tourism &amp; Recreation</v>
      </c>
      <c r="AB706" s="24" t="str">
        <f>VLOOKUP(A706,Metrik!$C$2:$Y$959,3,0)</f>
        <v>Consumer Cyclicals</v>
      </c>
    </row>
    <row r="707">
      <c r="A707" s="14" t="s">
        <v>377</v>
      </c>
      <c r="B707" s="14" t="str">
        <f t="array" ref="B707">VLOOKUP(A707,{Metrik!$C$2:$C$998,Metrik!$B$2:$B$998},2,0)</f>
        <v>Ever Shine Textile Industry Tbk</v>
      </c>
      <c r="C707" s="15">
        <f>IFERROR(__xludf.DUMMYFUNCTION("GOOGLEFINANCE(""IDX:""&amp;A707,""price"")"),117.0)</f>
        <v>117</v>
      </c>
      <c r="D707" s="16" t="str">
        <f>IFERROR(__xludf.DUMMYFUNCTION("IF(A707="""","""",
SPARKLINE(
INDEX(
GOOGLEFINANCE(""IDX:""&amp;A707,""close"",TODAY()-365,TODAY()),
,2
),
{""linewidth"",1}
))
"),"#N/A")</f>
        <v>#N/A</v>
      </c>
      <c r="E707" s="26"/>
      <c r="F707" s="26"/>
      <c r="G707" s="24">
        <f t="shared" si="5"/>
        <v>0</v>
      </c>
      <c r="H707" s="19">
        <f>VLOOKUP(A707,Metrik!$C$2:$Y$959,8,0)</f>
        <v>16.8</v>
      </c>
      <c r="I707" s="20">
        <f>VLOOKUP(A707,Metrik!$C$2:$Y$959,9,0)</f>
        <v>1.4</v>
      </c>
      <c r="J707" s="20">
        <f>VLOOKUP(A707,Metrik!$C$2:$Y$959,10,0)</f>
        <v>8.4</v>
      </c>
      <c r="K707" s="20">
        <f>VLOOKUP(A707,Metrik!$C$2:$Y$959,11,0)</f>
        <v>2.2</v>
      </c>
      <c r="L707" s="20">
        <f>VLOOKUP(A707,Metrik!$C$2:$Y$959,12,0)</f>
        <v>2.8</v>
      </c>
      <c r="M707" s="20">
        <f>VLOOKUP(A707,Metrik!$C$2:$Y$959,19,0)</f>
        <v>14.9</v>
      </c>
      <c r="N707" s="21"/>
      <c r="O707" s="21"/>
      <c r="P707" s="21"/>
      <c r="Q707" s="21"/>
      <c r="R707" s="21"/>
      <c r="S707" s="21"/>
      <c r="T707" s="21"/>
      <c r="U707" s="22">
        <f>IFERROR(__xludf.DUMMYFUNCTION("IFERROR(GOOGLEFINANCE(A707,""closeyest""),"""")"),116.0)</f>
        <v>116</v>
      </c>
      <c r="V707" s="23">
        <f>IFERROR(__xludf.DUMMYFUNCTION("IFERROR(GOOGLEFINANCE(A707,""changepct""),"""")"),0.86)</f>
        <v>0.86</v>
      </c>
      <c r="W707" s="22">
        <f>IFERROR(__xludf.DUMMYFUNCTION("IFERROR(GOOGLEFINANCE(A707,""priceopen""),"""")"),117.0)</f>
        <v>117</v>
      </c>
      <c r="X707" s="22">
        <f>IFERROR(__xludf.DUMMYFUNCTION("IFERROR(GOOGLEFINANCE(A707,""high""),"""")"),125.0)</f>
        <v>125</v>
      </c>
      <c r="Y707" s="22">
        <f>IFERROR(__xludf.DUMMYFUNCTION("IFERROR(GOOGLEFINANCE(A707,""low""),"""")"),116.0)</f>
        <v>116</v>
      </c>
      <c r="Z707" s="22">
        <f>IFERROR(__xludf.DUMMYFUNCTION("IFERROR(GOOGLEFINANCE(A707,""volume""),"""")"),3949500.0)</f>
        <v>3949500</v>
      </c>
      <c r="AA707" s="24" t="str">
        <f>VLOOKUP(A707,Metrik!$C$2:$Y$959,5,0)</f>
        <v>Apparel &amp; Luxury Goods</v>
      </c>
      <c r="AB707" s="24" t="str">
        <f>VLOOKUP(A707,Metrik!$C$2:$Y$959,3,0)</f>
        <v>Consumer Cyclicals</v>
      </c>
    </row>
    <row r="708">
      <c r="A708" s="14" t="s">
        <v>378</v>
      </c>
      <c r="B708" s="14" t="str">
        <f t="array" ref="B708">VLOOKUP(A708,{Metrik!$C$2:$C$998,Metrik!$B$2:$B$998},2,0)</f>
        <v>Eterindo Wahanatama Tbk</v>
      </c>
      <c r="C708" s="15">
        <f>IFERROR(__xludf.DUMMYFUNCTION("GOOGLEFINANCE(""IDX:""&amp;A708,""price"")"),70.0)</f>
        <v>70</v>
      </c>
      <c r="D708" s="16" t="str">
        <f>IFERROR(__xludf.DUMMYFUNCTION("IF(A708="""","""",
SPARKLINE(
INDEX(
GOOGLEFINANCE(""IDX:""&amp;A708,""close"",TODAY()-365,TODAY()),
,2
),
{""linewidth"",1}
))
"),"#N/A")</f>
        <v>#N/A</v>
      </c>
      <c r="E708" s="26"/>
      <c r="F708" s="26"/>
      <c r="G708" s="24">
        <f t="shared" si="5"/>
        <v>0</v>
      </c>
      <c r="H708" s="19">
        <f>VLOOKUP(A708,Metrik!$C$2:$Y$959,8,0)</f>
        <v>0</v>
      </c>
      <c r="I708" s="20">
        <f>VLOOKUP(A708,Metrik!$C$2:$Y$959,9,0)</f>
        <v>-0.76</v>
      </c>
      <c r="J708" s="20">
        <f>VLOOKUP(A708,Metrik!$C$2:$Y$959,10,0)</f>
        <v>0</v>
      </c>
      <c r="K708" s="20">
        <f>VLOOKUP(A708,Metrik!$C$2:$Y$959,11,0)</f>
        <v>-8.8</v>
      </c>
      <c r="L708" s="20">
        <f>VLOOKUP(A708,Metrik!$C$2:$Y$959,12,0)</f>
        <v>-3.1</v>
      </c>
      <c r="M708" s="20">
        <f>VLOOKUP(A708,Metrik!$C$2:$Y$959,19,0)</f>
        <v>-1300000</v>
      </c>
      <c r="N708" s="21"/>
      <c r="O708" s="21"/>
      <c r="P708" s="21"/>
      <c r="Q708" s="21"/>
      <c r="R708" s="21"/>
      <c r="S708" s="21"/>
      <c r="T708" s="21"/>
      <c r="U708" s="22">
        <f>IFERROR(__xludf.DUMMYFUNCTION("IFERROR(GOOGLEFINANCE(A708,""closeyest""),"""")"),70.0)</f>
        <v>70</v>
      </c>
      <c r="V708" s="23">
        <f>IFERROR(__xludf.DUMMYFUNCTION("IFERROR(GOOGLEFINANCE(A708,""changepct""),"""")"),0.0)</f>
        <v>0</v>
      </c>
      <c r="W708" s="22" t="str">
        <f>IFERROR(__xludf.DUMMYFUNCTION("IFERROR(GOOGLEFINANCE(A708,""priceopen""),"""")"),"")</f>
        <v/>
      </c>
      <c r="X708" s="22" t="str">
        <f>IFERROR(__xludf.DUMMYFUNCTION("IFERROR(GOOGLEFINANCE(A708,""high""),"""")"),"")</f>
        <v/>
      </c>
      <c r="Y708" s="22" t="str">
        <f>IFERROR(__xludf.DUMMYFUNCTION("IFERROR(GOOGLEFINANCE(A708,""low""),"""")"),"")</f>
        <v/>
      </c>
      <c r="Z708" s="22">
        <f>IFERROR(__xludf.DUMMYFUNCTION("IFERROR(GOOGLEFINANCE(A708,""volume""),"""")"),0.0)</f>
        <v>0</v>
      </c>
      <c r="AA708" s="24" t="str">
        <f>VLOOKUP(A708,Metrik!$C$2:$Y$959,5,0)</f>
        <v>Alternative Fuels</v>
      </c>
      <c r="AB708" s="24" t="str">
        <f>VLOOKUP(A708,Metrik!$C$2:$Y$959,3,0)</f>
        <v>Energy</v>
      </c>
    </row>
    <row r="709">
      <c r="A709" s="14" t="s">
        <v>379</v>
      </c>
      <c r="B709" s="14" t="str">
        <f t="array" ref="B709">VLOOKUP(A709,{Metrik!$C$2:$C$998,Metrik!$B$2:$B$998},2,0)</f>
        <v>Estee Gold Feet Tbk.</v>
      </c>
      <c r="C709" s="15">
        <f>IFERROR(__xludf.DUMMYFUNCTION("GOOGLEFINANCE(""IDX:""&amp;A709,""price"")"),1515.0)</f>
        <v>1515</v>
      </c>
      <c r="D709" s="16" t="str">
        <f>IFERROR(__xludf.DUMMYFUNCTION("IF(A709="""","""",
SPARKLINE(
INDEX(
GOOGLEFINANCE(""IDX:""&amp;A709,""close"",TODAY()-365,TODAY()),
,2
),
{""linewidth"",1}
))
"),"#N/A")</f>
        <v>#N/A</v>
      </c>
      <c r="E709" s="26"/>
      <c r="F709" s="26"/>
      <c r="G709" s="24">
        <f t="shared" si="5"/>
        <v>0</v>
      </c>
      <c r="H709" s="19">
        <f>VLOOKUP(A709,Metrik!$C$2:$Y$959,8,0)</f>
        <v>2040</v>
      </c>
      <c r="I709" s="20">
        <f>VLOOKUP(A709,Metrik!$C$2:$Y$959,9,0)</f>
        <v>76.5</v>
      </c>
      <c r="J709" s="20">
        <f>VLOOKUP(A709,Metrik!$C$2:$Y$959,10,0)</f>
        <v>3.8</v>
      </c>
      <c r="K709" s="20">
        <f>VLOOKUP(A709,Metrik!$C$2:$Y$959,11,0)</f>
        <v>3.4</v>
      </c>
      <c r="L709" s="20">
        <f>VLOOKUP(A709,Metrik!$C$2:$Y$959,12,0)</f>
        <v>0.12</v>
      </c>
      <c r="M709" s="20">
        <f>VLOOKUP(A709,Metrik!$C$2:$Y$959,19,0)</f>
        <v>8.7</v>
      </c>
      <c r="N709" s="21"/>
      <c r="O709" s="21"/>
      <c r="P709" s="21"/>
      <c r="Q709" s="21"/>
      <c r="R709" s="21"/>
      <c r="S709" s="21"/>
      <c r="T709" s="21"/>
      <c r="U709" s="22">
        <f>IFERROR(__xludf.DUMMYFUNCTION("IFERROR(GOOGLEFINANCE(A709,""closeyest""),"""")"),26.23)</f>
        <v>26.23</v>
      </c>
      <c r="V709" s="23">
        <f>IFERROR(__xludf.DUMMYFUNCTION("IFERROR(GOOGLEFINANCE(A709,""changepct""),"""")"),1.43)</f>
        <v>1.43</v>
      </c>
      <c r="W709" s="22" t="str">
        <f>IFERROR(__xludf.DUMMYFUNCTION("IFERROR(GOOGLEFINANCE(A709,""priceopen""),"""")"),"")</f>
        <v/>
      </c>
      <c r="X709" s="22" t="str">
        <f>IFERROR(__xludf.DUMMYFUNCTION("IFERROR(GOOGLEFINANCE(A709,""high""),"""")"),"")</f>
        <v/>
      </c>
      <c r="Y709" s="22" t="str">
        <f>IFERROR(__xludf.DUMMYFUNCTION("IFERROR(GOOGLEFINANCE(A709,""low""),"""")"),"")</f>
        <v/>
      </c>
      <c r="Z709" s="22">
        <f>IFERROR(__xludf.DUMMYFUNCTION("IFERROR(GOOGLEFINANCE(A709,""volume""),"""")"),0.0)</f>
        <v>0</v>
      </c>
      <c r="AA709" s="24" t="str">
        <f>VLOOKUP(A709,Metrik!$C$2:$Y$959,5,0)</f>
        <v>Personal Care Products</v>
      </c>
      <c r="AB709" s="24" t="str">
        <f>VLOOKUP(A709,Metrik!$C$2:$Y$959,3,0)</f>
        <v>Consumer Non-Cyclicals</v>
      </c>
    </row>
    <row r="710">
      <c r="A710" s="14" t="s">
        <v>380</v>
      </c>
      <c r="B710" s="14" t="str">
        <f t="array" ref="B710">VLOOKUP(A710,{Metrik!$C$2:$C$998,Metrik!$B$2:$B$998},2,0)</f>
        <v>XLSMART Telecom Sejahtera Tbk.</v>
      </c>
      <c r="C710" s="15">
        <f>IFERROR(__xludf.DUMMYFUNCTION("GOOGLEFINANCE(""IDX:""&amp;A710,""price"")"),2570.0)</f>
        <v>2570</v>
      </c>
      <c r="D710" s="16" t="str">
        <f>IFERROR(__xludf.DUMMYFUNCTION("IF(A710="""","""",
SPARKLINE(
INDEX(
GOOGLEFINANCE(""IDX:""&amp;A710,""close"",TODAY()-365,TODAY()),
,2
),
{""linewidth"",1}
))
"),"#N/A")</f>
        <v>#N/A</v>
      </c>
      <c r="E710" s="14" t="s">
        <v>102</v>
      </c>
      <c r="F710" s="27" t="s">
        <v>53</v>
      </c>
      <c r="G710" s="24">
        <f t="shared" si="5"/>
        <v>9</v>
      </c>
      <c r="H710" s="19">
        <f>VLOOKUP(A710,Metrik!$C$2:$Y$959,8,0)</f>
        <v>-9.3</v>
      </c>
      <c r="I710" s="20">
        <f>VLOOKUP(A710,Metrik!$C$2:$Y$959,9,0)</f>
        <v>1.8</v>
      </c>
      <c r="J710" s="20">
        <f>VLOOKUP(A710,Metrik!$C$2:$Y$959,10,0)</f>
        <v>-18.9</v>
      </c>
      <c r="K710" s="20">
        <f>VLOOKUP(A710,Metrik!$C$2:$Y$959,11,0)</f>
        <v>-4.9</v>
      </c>
      <c r="L710" s="20">
        <f>VLOOKUP(A710,Metrik!$C$2:$Y$959,12,0)</f>
        <v>2.8</v>
      </c>
      <c r="M710" s="20">
        <f>VLOOKUP(A710,Metrik!$C$2:$Y$959,19,0)</f>
        <v>-46.8</v>
      </c>
      <c r="N710" s="21"/>
      <c r="O710" s="21"/>
      <c r="P710" s="21"/>
      <c r="Q710" s="21"/>
      <c r="R710" s="21"/>
      <c r="S710" s="21"/>
      <c r="T710" s="21"/>
      <c r="U710" s="22">
        <f>IFERROR(__xludf.DUMMYFUNCTION("IFERROR(GOOGLEFINANCE(A710,""closeyest""),"""")"),0.0)</f>
        <v>0</v>
      </c>
      <c r="V710" s="23">
        <f>IFERROR(__xludf.DUMMYFUNCTION("IFERROR(GOOGLEFINANCE(A710,""changepct""),"""")"),0.0)</f>
        <v>0</v>
      </c>
      <c r="W710" s="22" t="str">
        <f>IFERROR(__xludf.DUMMYFUNCTION("IFERROR(GOOGLEFINANCE(A710,""priceopen""),"""")"),"")</f>
        <v/>
      </c>
      <c r="X710" s="22" t="str">
        <f>IFERROR(__xludf.DUMMYFUNCTION("IFERROR(GOOGLEFINANCE(A710,""high""),"""")"),"")</f>
        <v/>
      </c>
      <c r="Y710" s="22" t="str">
        <f>IFERROR(__xludf.DUMMYFUNCTION("IFERROR(GOOGLEFINANCE(A710,""low""),"""")"),"")</f>
        <v/>
      </c>
      <c r="Z710" s="22">
        <f>IFERROR(__xludf.DUMMYFUNCTION("IFERROR(GOOGLEFINANCE(A710,""volume""),"""")"),0.0)</f>
        <v>0</v>
      </c>
      <c r="AA710" s="24" t="str">
        <f>VLOOKUP(A710,Metrik!$C$2:$Y$959,5,0)</f>
        <v>Wireless Telecommunication Services</v>
      </c>
      <c r="AB710" s="24" t="str">
        <f>VLOOKUP(A710,Metrik!$C$2:$Y$959,3,0)</f>
        <v>Infrastructures</v>
      </c>
    </row>
    <row r="711">
      <c r="A711" s="14" t="s">
        <v>380</v>
      </c>
      <c r="B711" s="14" t="str">
        <f t="array" ref="B711">VLOOKUP(A711,{Metrik!$C$2:$C$998,Metrik!$B$2:$B$998},2,0)</f>
        <v>XLSMART Telecom Sejahtera Tbk.</v>
      </c>
      <c r="C711" s="15">
        <f>IFERROR(__xludf.DUMMYFUNCTION("GOOGLEFINANCE(""IDX:""&amp;A711,""price"")"),2570.0)</f>
        <v>2570</v>
      </c>
      <c r="D711" s="16" t="str">
        <f>IFERROR(__xludf.DUMMYFUNCTION("IF(A711="""","""",
SPARKLINE(
INDEX(
GOOGLEFINANCE(""IDX:""&amp;A711,""close"",TODAY()-365,TODAY()),
,2
),
{""linewidth"",1}
))
"),"#N/A")</f>
        <v>#N/A</v>
      </c>
      <c r="E711" s="14" t="s">
        <v>28</v>
      </c>
      <c r="F711" s="17" t="s">
        <v>29</v>
      </c>
      <c r="G711" s="24">
        <f t="shared" si="5"/>
        <v>9</v>
      </c>
      <c r="H711" s="19">
        <f>VLOOKUP(A711,Metrik!$C$2:$Y$959,8,0)</f>
        <v>-9.3</v>
      </c>
      <c r="I711" s="20">
        <f>VLOOKUP(A711,Metrik!$C$2:$Y$959,9,0)</f>
        <v>1.8</v>
      </c>
      <c r="J711" s="20">
        <f>VLOOKUP(A711,Metrik!$C$2:$Y$959,10,0)</f>
        <v>-18.9</v>
      </c>
      <c r="K711" s="20">
        <f>VLOOKUP(A711,Metrik!$C$2:$Y$959,11,0)</f>
        <v>-4.9</v>
      </c>
      <c r="L711" s="20">
        <f>VLOOKUP(A711,Metrik!$C$2:$Y$959,12,0)</f>
        <v>2.8</v>
      </c>
      <c r="M711" s="20">
        <f>VLOOKUP(A711,Metrik!$C$2:$Y$959,19,0)</f>
        <v>-46.8</v>
      </c>
      <c r="N711" s="21"/>
      <c r="O711" s="21"/>
      <c r="P711" s="21"/>
      <c r="Q711" s="21"/>
      <c r="R711" s="21"/>
      <c r="S711" s="21"/>
      <c r="T711" s="21"/>
      <c r="U711" s="22">
        <f>IFERROR(__xludf.DUMMYFUNCTION("IFERROR(GOOGLEFINANCE(A711,""closeyest""),"""")"),0.0)</f>
        <v>0</v>
      </c>
      <c r="V711" s="23">
        <f>IFERROR(__xludf.DUMMYFUNCTION("IFERROR(GOOGLEFINANCE(A711,""changepct""),"""")"),0.0)</f>
        <v>0</v>
      </c>
      <c r="W711" s="22" t="str">
        <f>IFERROR(__xludf.DUMMYFUNCTION("IFERROR(GOOGLEFINANCE(A711,""priceopen""),"""")"),"")</f>
        <v/>
      </c>
      <c r="X711" s="22" t="str">
        <f>IFERROR(__xludf.DUMMYFUNCTION("IFERROR(GOOGLEFINANCE(A711,""high""),"""")"),"")</f>
        <v/>
      </c>
      <c r="Y711" s="22" t="str">
        <f>IFERROR(__xludf.DUMMYFUNCTION("IFERROR(GOOGLEFINANCE(A711,""low""),"""")"),"")</f>
        <v/>
      </c>
      <c r="Z711" s="22">
        <f>IFERROR(__xludf.DUMMYFUNCTION("IFERROR(GOOGLEFINANCE(A711,""volume""),"""")"),0.0)</f>
        <v>0</v>
      </c>
      <c r="AA711" s="24" t="str">
        <f>VLOOKUP(A711,Metrik!$C$2:$Y$959,5,0)</f>
        <v>Wireless Telecommunication Services</v>
      </c>
      <c r="AB711" s="24" t="str">
        <f>VLOOKUP(A711,Metrik!$C$2:$Y$959,3,0)</f>
        <v>Infrastructures</v>
      </c>
    </row>
    <row r="712">
      <c r="A712" s="14" t="s">
        <v>380</v>
      </c>
      <c r="B712" s="14" t="str">
        <f t="array" ref="B712">VLOOKUP(A712,{Metrik!$C$2:$C$998,Metrik!$B$2:$B$998},2,0)</f>
        <v>XLSMART Telecom Sejahtera Tbk.</v>
      </c>
      <c r="C712" s="15">
        <f>IFERROR(__xludf.DUMMYFUNCTION("GOOGLEFINANCE(""IDX:""&amp;A712,""price"")"),2570.0)</f>
        <v>2570</v>
      </c>
      <c r="D712" s="16" t="str">
        <f>IFERROR(__xludf.DUMMYFUNCTION("IF(A712="""","""",
SPARKLINE(
INDEX(
GOOGLEFINANCE(""IDX:""&amp;A712,""close"",TODAY()-365,TODAY()),
,2
),
{""linewidth"",1}
))
"),"#N/A")</f>
        <v>#N/A</v>
      </c>
      <c r="E712" s="14" t="s">
        <v>31</v>
      </c>
      <c r="F712" s="17" t="s">
        <v>29</v>
      </c>
      <c r="G712" s="24">
        <f t="shared" si="5"/>
        <v>9</v>
      </c>
      <c r="H712" s="19">
        <f>VLOOKUP(A712,Metrik!$C$2:$Y$959,8,0)</f>
        <v>-9.3</v>
      </c>
      <c r="I712" s="20">
        <f>VLOOKUP(A712,Metrik!$C$2:$Y$959,9,0)</f>
        <v>1.8</v>
      </c>
      <c r="J712" s="20">
        <f>VLOOKUP(A712,Metrik!$C$2:$Y$959,10,0)</f>
        <v>-18.9</v>
      </c>
      <c r="K712" s="20">
        <f>VLOOKUP(A712,Metrik!$C$2:$Y$959,11,0)</f>
        <v>-4.9</v>
      </c>
      <c r="L712" s="20">
        <f>VLOOKUP(A712,Metrik!$C$2:$Y$959,12,0)</f>
        <v>2.8</v>
      </c>
      <c r="M712" s="20">
        <f>VLOOKUP(A712,Metrik!$C$2:$Y$959,19,0)</f>
        <v>-46.8</v>
      </c>
      <c r="N712" s="21"/>
      <c r="O712" s="21"/>
      <c r="P712" s="21"/>
      <c r="Q712" s="21"/>
      <c r="R712" s="21"/>
      <c r="S712" s="21"/>
      <c r="T712" s="21"/>
      <c r="U712" s="22">
        <f>IFERROR(__xludf.DUMMYFUNCTION("IFERROR(GOOGLEFINANCE(A712,""closeyest""),"""")"),0.0)</f>
        <v>0</v>
      </c>
      <c r="V712" s="23">
        <f>IFERROR(__xludf.DUMMYFUNCTION("IFERROR(GOOGLEFINANCE(A712,""changepct""),"""")"),0.0)</f>
        <v>0</v>
      </c>
      <c r="W712" s="22" t="str">
        <f>IFERROR(__xludf.DUMMYFUNCTION("IFERROR(GOOGLEFINANCE(A712,""priceopen""),"""")"),"")</f>
        <v/>
      </c>
      <c r="X712" s="22" t="str">
        <f>IFERROR(__xludf.DUMMYFUNCTION("IFERROR(GOOGLEFINANCE(A712,""high""),"""")"),"")</f>
        <v/>
      </c>
      <c r="Y712" s="22" t="str">
        <f>IFERROR(__xludf.DUMMYFUNCTION("IFERROR(GOOGLEFINANCE(A712,""low""),"""")"),"")</f>
        <v/>
      </c>
      <c r="Z712" s="22">
        <f>IFERROR(__xludf.DUMMYFUNCTION("IFERROR(GOOGLEFINANCE(A712,""volume""),"""")"),0.0)</f>
        <v>0</v>
      </c>
      <c r="AA712" s="24" t="str">
        <f>VLOOKUP(A712,Metrik!$C$2:$Y$959,5,0)</f>
        <v>Wireless Telecommunication Services</v>
      </c>
      <c r="AB712" s="24" t="str">
        <f>VLOOKUP(A712,Metrik!$C$2:$Y$959,3,0)</f>
        <v>Infrastructures</v>
      </c>
    </row>
    <row r="713">
      <c r="A713" s="14" t="s">
        <v>380</v>
      </c>
      <c r="B713" s="14" t="str">
        <f t="array" ref="B713">VLOOKUP(A713,{Metrik!$C$2:$C$998,Metrik!$B$2:$B$998},2,0)</f>
        <v>XLSMART Telecom Sejahtera Tbk.</v>
      </c>
      <c r="C713" s="15">
        <f>IFERROR(__xludf.DUMMYFUNCTION("GOOGLEFINANCE(""IDX:""&amp;A713,""price"")"),2570.0)</f>
        <v>2570</v>
      </c>
      <c r="D713" s="16" t="str">
        <f>IFERROR(__xludf.DUMMYFUNCTION("IF(A713="""","""",
SPARKLINE(
INDEX(
GOOGLEFINANCE(""IDX:""&amp;A713,""close"",TODAY()-365,TODAY()),
,2
),
{""linewidth"",1}
))
"),"#N/A")</f>
        <v>#N/A</v>
      </c>
      <c r="E713" s="14" t="s">
        <v>32</v>
      </c>
      <c r="F713" s="14" t="s">
        <v>29</v>
      </c>
      <c r="G713" s="24">
        <f t="shared" si="5"/>
        <v>9</v>
      </c>
      <c r="H713" s="19">
        <f>VLOOKUP(A713,Metrik!$C$2:$Y$959,8,0)</f>
        <v>-9.3</v>
      </c>
      <c r="I713" s="20">
        <f>VLOOKUP(A713,Metrik!$C$2:$Y$959,9,0)</f>
        <v>1.8</v>
      </c>
      <c r="J713" s="20">
        <f>VLOOKUP(A713,Metrik!$C$2:$Y$959,10,0)</f>
        <v>-18.9</v>
      </c>
      <c r="K713" s="20">
        <f>VLOOKUP(A713,Metrik!$C$2:$Y$959,11,0)</f>
        <v>-4.9</v>
      </c>
      <c r="L713" s="20">
        <f>VLOOKUP(A713,Metrik!$C$2:$Y$959,12,0)</f>
        <v>2.8</v>
      </c>
      <c r="M713" s="20">
        <f>VLOOKUP(A713,Metrik!$C$2:$Y$959,19,0)</f>
        <v>-46.8</v>
      </c>
      <c r="N713" s="21"/>
      <c r="O713" s="21"/>
      <c r="P713" s="21"/>
      <c r="Q713" s="21"/>
      <c r="R713" s="21"/>
      <c r="S713" s="21"/>
      <c r="T713" s="21"/>
      <c r="U713" s="22">
        <f>IFERROR(__xludf.DUMMYFUNCTION("IFERROR(GOOGLEFINANCE(A713,""closeyest""),"""")"),0.0)</f>
        <v>0</v>
      </c>
      <c r="V713" s="23">
        <f>IFERROR(__xludf.DUMMYFUNCTION("IFERROR(GOOGLEFINANCE(A713,""changepct""),"""")"),0.0)</f>
        <v>0</v>
      </c>
      <c r="W713" s="22" t="str">
        <f>IFERROR(__xludf.DUMMYFUNCTION("IFERROR(GOOGLEFINANCE(A713,""priceopen""),"""")"),"")</f>
        <v/>
      </c>
      <c r="X713" s="22" t="str">
        <f>IFERROR(__xludf.DUMMYFUNCTION("IFERROR(GOOGLEFINANCE(A713,""high""),"""")"),"")</f>
        <v/>
      </c>
      <c r="Y713" s="22" t="str">
        <f>IFERROR(__xludf.DUMMYFUNCTION("IFERROR(GOOGLEFINANCE(A713,""low""),"""")"),"")</f>
        <v/>
      </c>
      <c r="Z713" s="22">
        <f>IFERROR(__xludf.DUMMYFUNCTION("IFERROR(GOOGLEFINANCE(A713,""volume""),"""")"),0.0)</f>
        <v>0</v>
      </c>
      <c r="AA713" s="24" t="str">
        <f>VLOOKUP(A713,Metrik!$C$2:$Y$959,5,0)</f>
        <v>Wireless Telecommunication Services</v>
      </c>
      <c r="AB713" s="24" t="str">
        <f>VLOOKUP(A713,Metrik!$C$2:$Y$959,3,0)</f>
        <v>Infrastructures</v>
      </c>
    </row>
    <row r="714">
      <c r="A714" s="14" t="s">
        <v>380</v>
      </c>
      <c r="B714" s="14" t="str">
        <f t="array" ref="B714">VLOOKUP(A714,{Metrik!$C$2:$C$998,Metrik!$B$2:$B$998},2,0)</f>
        <v>XLSMART Telecom Sejahtera Tbk.</v>
      </c>
      <c r="C714" s="15">
        <f>IFERROR(__xludf.DUMMYFUNCTION("GOOGLEFINANCE(""IDX:""&amp;A714,""price"")"),2570.0)</f>
        <v>2570</v>
      </c>
      <c r="D714" s="16" t="str">
        <f>IFERROR(__xludf.DUMMYFUNCTION("IF(A714="""","""",
SPARKLINE(
INDEX(
GOOGLEFINANCE(""IDX:""&amp;A714,""close"",TODAY()-365,TODAY()),
,2
),
{""linewidth"",1}
))
"),"#N/A")</f>
        <v>#N/A</v>
      </c>
      <c r="E714" s="14" t="s">
        <v>50</v>
      </c>
      <c r="F714" s="17" t="s">
        <v>51</v>
      </c>
      <c r="G714" s="24">
        <f t="shared" si="5"/>
        <v>9</v>
      </c>
      <c r="H714" s="19">
        <f>VLOOKUP(A714,Metrik!$C$2:$Y$959,8,0)</f>
        <v>-9.3</v>
      </c>
      <c r="I714" s="20">
        <f>VLOOKUP(A714,Metrik!$C$2:$Y$959,9,0)</f>
        <v>1.8</v>
      </c>
      <c r="J714" s="20">
        <f>VLOOKUP(A714,Metrik!$C$2:$Y$959,10,0)</f>
        <v>-18.9</v>
      </c>
      <c r="K714" s="20">
        <f>VLOOKUP(A714,Metrik!$C$2:$Y$959,11,0)</f>
        <v>-4.9</v>
      </c>
      <c r="L714" s="20">
        <f>VLOOKUP(A714,Metrik!$C$2:$Y$959,12,0)</f>
        <v>2.8</v>
      </c>
      <c r="M714" s="20">
        <f>VLOOKUP(A714,Metrik!$C$2:$Y$959,19,0)</f>
        <v>-46.8</v>
      </c>
      <c r="N714" s="21"/>
      <c r="O714" s="21"/>
      <c r="P714" s="21"/>
      <c r="Q714" s="21"/>
      <c r="R714" s="21"/>
      <c r="S714" s="21"/>
      <c r="T714" s="21"/>
      <c r="U714" s="22">
        <f>IFERROR(__xludf.DUMMYFUNCTION("IFERROR(GOOGLEFINANCE(A714,""closeyest""),"""")"),0.0)</f>
        <v>0</v>
      </c>
      <c r="V714" s="23">
        <f>IFERROR(__xludf.DUMMYFUNCTION("IFERROR(GOOGLEFINANCE(A714,""changepct""),"""")"),0.0)</f>
        <v>0</v>
      </c>
      <c r="W714" s="22" t="str">
        <f>IFERROR(__xludf.DUMMYFUNCTION("IFERROR(GOOGLEFINANCE(A714,""priceopen""),"""")"),"")</f>
        <v/>
      </c>
      <c r="X714" s="22" t="str">
        <f>IFERROR(__xludf.DUMMYFUNCTION("IFERROR(GOOGLEFINANCE(A714,""high""),"""")"),"")</f>
        <v/>
      </c>
      <c r="Y714" s="22" t="str">
        <f>IFERROR(__xludf.DUMMYFUNCTION("IFERROR(GOOGLEFINANCE(A714,""low""),"""")"),"")</f>
        <v/>
      </c>
      <c r="Z714" s="22">
        <f>IFERROR(__xludf.DUMMYFUNCTION("IFERROR(GOOGLEFINANCE(A714,""volume""),"""")"),0.0)</f>
        <v>0</v>
      </c>
      <c r="AA714" s="24" t="str">
        <f>VLOOKUP(A714,Metrik!$C$2:$Y$959,5,0)</f>
        <v>Wireless Telecommunication Services</v>
      </c>
      <c r="AB714" s="24" t="str">
        <f>VLOOKUP(A714,Metrik!$C$2:$Y$959,3,0)</f>
        <v>Infrastructures</v>
      </c>
    </row>
    <row r="715">
      <c r="A715" s="48" t="s">
        <v>380</v>
      </c>
      <c r="B715" s="14" t="str">
        <f t="array" ref="B715">VLOOKUP(A715,{Metrik!$C$2:$C$998,Metrik!$B$2:$B$998},2,0)</f>
        <v>XLSMART Telecom Sejahtera Tbk.</v>
      </c>
      <c r="C715" s="15">
        <f>IFERROR(__xludf.DUMMYFUNCTION("GOOGLEFINANCE(""IDX:""&amp;A715,""price"")"),2570.0)</f>
        <v>2570</v>
      </c>
      <c r="D715" s="16" t="str">
        <f>IFERROR(__xludf.DUMMYFUNCTION("IF(A715="""","""",
SPARKLINE(
INDEX(
GOOGLEFINANCE(""IDX:""&amp;A715,""close"",TODAY()-365,TODAY()),
,2
),
{""linewidth"",1}
))
"),"#N/A")</f>
        <v>#N/A</v>
      </c>
      <c r="E715" s="17" t="s">
        <v>69</v>
      </c>
      <c r="F715" s="17" t="s">
        <v>70</v>
      </c>
      <c r="G715" s="24">
        <f t="shared" si="5"/>
        <v>9</v>
      </c>
      <c r="H715" s="19">
        <f>VLOOKUP(A715,Metrik!$C$2:$Y$959,8,0)</f>
        <v>-9.3</v>
      </c>
      <c r="I715" s="20">
        <f>VLOOKUP(A715,Metrik!$C$2:$Y$959,9,0)</f>
        <v>1.8</v>
      </c>
      <c r="J715" s="20">
        <f>VLOOKUP(A715,Metrik!$C$2:$Y$959,10,0)</f>
        <v>-18.9</v>
      </c>
      <c r="K715" s="20">
        <f>VLOOKUP(A715,Metrik!$C$2:$Y$959,11,0)</f>
        <v>-4.9</v>
      </c>
      <c r="L715" s="20">
        <f>VLOOKUP(A715,Metrik!$C$2:$Y$959,12,0)</f>
        <v>2.8</v>
      </c>
      <c r="M715" s="20">
        <f>VLOOKUP(A715,Metrik!$C$2:$Y$959,19,0)</f>
        <v>-46.8</v>
      </c>
      <c r="N715" s="21"/>
      <c r="O715" s="21"/>
      <c r="P715" s="21"/>
      <c r="Q715" s="21"/>
      <c r="R715" s="21"/>
      <c r="S715" s="21"/>
      <c r="T715" s="21"/>
      <c r="U715" s="22">
        <f>IFERROR(__xludf.DUMMYFUNCTION("IFERROR(GOOGLEFINANCE(A715,""closeyest""),"""")"),0.0)</f>
        <v>0</v>
      </c>
      <c r="V715" s="23">
        <f>IFERROR(__xludf.DUMMYFUNCTION("IFERROR(GOOGLEFINANCE(A715,""changepct""),"""")"),0.0)</f>
        <v>0</v>
      </c>
      <c r="W715" s="22" t="str">
        <f>IFERROR(__xludf.DUMMYFUNCTION("IFERROR(GOOGLEFINANCE(A715,""priceopen""),"""")"),"")</f>
        <v/>
      </c>
      <c r="X715" s="22" t="str">
        <f>IFERROR(__xludf.DUMMYFUNCTION("IFERROR(GOOGLEFINANCE(A715,""high""),"""")"),"")</f>
        <v/>
      </c>
      <c r="Y715" s="22" t="str">
        <f>IFERROR(__xludf.DUMMYFUNCTION("IFERROR(GOOGLEFINANCE(A715,""low""),"""")"),"")</f>
        <v/>
      </c>
      <c r="Z715" s="22">
        <f>IFERROR(__xludf.DUMMYFUNCTION("IFERROR(GOOGLEFINANCE(A715,""volume""),"""")"),0.0)</f>
        <v>0</v>
      </c>
      <c r="AA715" s="24" t="str">
        <f>VLOOKUP(A715,Metrik!$C$2:$Y$959,5,0)</f>
        <v>Wireless Telecommunication Services</v>
      </c>
      <c r="AB715" s="24" t="str">
        <f>VLOOKUP(A715,Metrik!$C$2:$Y$959,3,0)</f>
        <v>Infrastructures</v>
      </c>
    </row>
    <row r="716">
      <c r="A716" s="17" t="s">
        <v>380</v>
      </c>
      <c r="B716" s="14" t="str">
        <f t="array" ref="B716">VLOOKUP(A716,{Metrik!$C$2:$C$998,Metrik!$B$2:$B$998},2,0)</f>
        <v>XLSMART Telecom Sejahtera Tbk.</v>
      </c>
      <c r="C716" s="15">
        <f>IFERROR(__xludf.DUMMYFUNCTION("GOOGLEFINANCE(""IDX:""&amp;A716,""price"")"),2570.0)</f>
        <v>2570</v>
      </c>
      <c r="D716" s="16" t="str">
        <f>IFERROR(__xludf.DUMMYFUNCTION("IF(A716="""","""",
SPARKLINE(
INDEX(
GOOGLEFINANCE(""IDX:""&amp;A716,""close"",TODAY()-365,TODAY()),
,2
),
{""linewidth"",1}
))
"),"#N/A")</f>
        <v>#N/A</v>
      </c>
      <c r="E716" s="14" t="s">
        <v>35</v>
      </c>
      <c r="F716" s="17" t="s">
        <v>36</v>
      </c>
      <c r="G716" s="38">
        <f t="shared" si="5"/>
        <v>9</v>
      </c>
      <c r="H716" s="34">
        <f>VLOOKUP(A716,Metrik!$C$2:$Y$959,8,0)</f>
        <v>-9.3</v>
      </c>
      <c r="I716" s="34">
        <f>VLOOKUP(A716,Metrik!$C$2:$Y$959,9,0)</f>
        <v>1.8</v>
      </c>
      <c r="J716" s="34">
        <f>VLOOKUP(A716,Metrik!$C$2:$Y$959,10,0)</f>
        <v>-18.9</v>
      </c>
      <c r="K716" s="34">
        <f>VLOOKUP(A716,Metrik!$C$2:$Y$959,11,0)</f>
        <v>-4.9</v>
      </c>
      <c r="L716" s="34">
        <f>VLOOKUP(A716,Metrik!$C$2:$Y$959,12,0)</f>
        <v>2.8</v>
      </c>
      <c r="M716" s="34">
        <f>VLOOKUP(A716,Metrik!$C$2:$Y$959,19,0)</f>
        <v>-46.8</v>
      </c>
      <c r="N716" s="26"/>
      <c r="O716" s="26"/>
      <c r="P716" s="26"/>
      <c r="Q716" s="26"/>
      <c r="R716" s="26"/>
      <c r="S716" s="26"/>
      <c r="T716" s="26"/>
      <c r="U716" s="35">
        <f>IFERROR(__xludf.DUMMYFUNCTION("IFERROR(GOOGLEFINANCE(A716,""closeyest""),"""")"),0.0)</f>
        <v>0</v>
      </c>
      <c r="V716" s="36">
        <f>IFERROR(__xludf.DUMMYFUNCTION("IFERROR(GOOGLEFINANCE(A716,""changepct""),"""")"),0.0)</f>
        <v>0</v>
      </c>
      <c r="W716" s="35" t="str">
        <f>IFERROR(__xludf.DUMMYFUNCTION("IFERROR(GOOGLEFINANCE(A716,""priceopen""),"""")"),"")</f>
        <v/>
      </c>
      <c r="X716" s="35" t="str">
        <f>IFERROR(__xludf.DUMMYFUNCTION("IFERROR(GOOGLEFINANCE(A716,""high""),"""")"),"")</f>
        <v/>
      </c>
      <c r="Y716" s="35" t="str">
        <f>IFERROR(__xludf.DUMMYFUNCTION("IFERROR(GOOGLEFINANCE(A716,""low""),"""")"),"")</f>
        <v/>
      </c>
      <c r="Z716" s="35">
        <f>IFERROR(__xludf.DUMMYFUNCTION("IFERROR(GOOGLEFINANCE(A716,""volume""),"""")"),0.0)</f>
        <v>0</v>
      </c>
      <c r="AA716" s="14" t="str">
        <f>VLOOKUP(A716,Metrik!$C$2:$Y$959,5,0)</f>
        <v>Wireless Telecommunication Services</v>
      </c>
      <c r="AB716" s="14" t="str">
        <f>VLOOKUP(A716,Metrik!$C$2:$Y$959,3,0)</f>
        <v>Infrastructures</v>
      </c>
    </row>
    <row r="717">
      <c r="A717" s="14" t="s">
        <v>380</v>
      </c>
      <c r="B717" s="14" t="str">
        <f t="array" ref="B717">VLOOKUP(A717,{Metrik!$C$2:$C$998,Metrik!$B$2:$B$998},2,0)</f>
        <v>XLSMART Telecom Sejahtera Tbk.</v>
      </c>
      <c r="C717" s="15">
        <f>IFERROR(__xludf.DUMMYFUNCTION("GOOGLEFINANCE(""IDX:""&amp;A717,""price"")"),2570.0)</f>
        <v>2570</v>
      </c>
      <c r="D717" s="16" t="str">
        <f>IFERROR(__xludf.DUMMYFUNCTION("IF(A717="""","""",
SPARKLINE(
INDEX(
GOOGLEFINANCE(""IDX:""&amp;A717,""close"",TODAY()-365,TODAY()),
,2
),
{""linewidth"",1}
))
"),"#N/A")</f>
        <v>#N/A</v>
      </c>
      <c r="E717" s="14" t="s">
        <v>38</v>
      </c>
      <c r="F717" s="25">
        <v>46356.0</v>
      </c>
      <c r="G717" s="24">
        <f t="shared" si="5"/>
        <v>9</v>
      </c>
      <c r="H717" s="19">
        <f>VLOOKUP(A717,Metrik!$C$2:$Y$959,8,0)</f>
        <v>-9.3</v>
      </c>
      <c r="I717" s="20">
        <f>VLOOKUP(A717,Metrik!$C$2:$Y$959,9,0)</f>
        <v>1.8</v>
      </c>
      <c r="J717" s="20">
        <f>VLOOKUP(A717,Metrik!$C$2:$Y$959,10,0)</f>
        <v>-18.9</v>
      </c>
      <c r="K717" s="20">
        <f>VLOOKUP(A717,Metrik!$C$2:$Y$959,11,0)</f>
        <v>-4.9</v>
      </c>
      <c r="L717" s="20">
        <f>VLOOKUP(A717,Metrik!$C$2:$Y$959,12,0)</f>
        <v>2.8</v>
      </c>
      <c r="M717" s="20">
        <f>VLOOKUP(A717,Metrik!$C$2:$Y$959,19,0)</f>
        <v>-46.8</v>
      </c>
      <c r="N717" s="21"/>
      <c r="O717" s="21"/>
      <c r="P717" s="21"/>
      <c r="Q717" s="21"/>
      <c r="R717" s="21"/>
      <c r="S717" s="21"/>
      <c r="T717" s="21"/>
      <c r="U717" s="22">
        <f>IFERROR(__xludf.DUMMYFUNCTION("IFERROR(GOOGLEFINANCE(A717,""closeyest""),"""")"),0.0)</f>
        <v>0</v>
      </c>
      <c r="V717" s="23">
        <f>IFERROR(__xludf.DUMMYFUNCTION("IFERROR(GOOGLEFINANCE(A717,""changepct""),"""")"),0.0)</f>
        <v>0</v>
      </c>
      <c r="W717" s="22" t="str">
        <f>IFERROR(__xludf.DUMMYFUNCTION("IFERROR(GOOGLEFINANCE(A717,""priceopen""),"""")"),"")</f>
        <v/>
      </c>
      <c r="X717" s="22" t="str">
        <f>IFERROR(__xludf.DUMMYFUNCTION("IFERROR(GOOGLEFINANCE(A717,""high""),"""")"),"")</f>
        <v/>
      </c>
      <c r="Y717" s="22" t="str">
        <f>IFERROR(__xludf.DUMMYFUNCTION("IFERROR(GOOGLEFINANCE(A717,""low""),"""")"),"")</f>
        <v/>
      </c>
      <c r="Z717" s="22">
        <f>IFERROR(__xludf.DUMMYFUNCTION("IFERROR(GOOGLEFINANCE(A717,""volume""),"""")"),0.0)</f>
        <v>0</v>
      </c>
      <c r="AA717" s="24" t="str">
        <f>VLOOKUP(A717,Metrik!$C$2:$Y$959,5,0)</f>
        <v>Wireless Telecommunication Services</v>
      </c>
      <c r="AB717" s="24" t="str">
        <f>VLOOKUP(A717,Metrik!$C$2:$Y$959,3,0)</f>
        <v>Infrastructures</v>
      </c>
    </row>
    <row r="718">
      <c r="A718" s="14" t="s">
        <v>380</v>
      </c>
      <c r="B718" s="14" t="str">
        <f t="array" ref="B718">VLOOKUP(A718,{Metrik!$C$2:$C$998,Metrik!$B$2:$B$998},2,0)</f>
        <v>XLSMART Telecom Sejahtera Tbk.</v>
      </c>
      <c r="C718" s="15">
        <f>IFERROR(__xludf.DUMMYFUNCTION("GOOGLEFINANCE(""IDX:""&amp;A718,""price"")"),2570.0)</f>
        <v>2570</v>
      </c>
      <c r="D718" s="16" t="str">
        <f>IFERROR(__xludf.DUMMYFUNCTION("IF(A718="""","""",
SPARKLINE(
INDEX(
GOOGLEFINANCE(""IDX:""&amp;A718,""close"",TODAY()-365,TODAY()),
,2
),
{""linewidth"",1}
))
"),"#N/A")</f>
        <v>#N/A</v>
      </c>
      <c r="E718" s="14" t="s">
        <v>39</v>
      </c>
      <c r="F718" s="25">
        <v>46356.0</v>
      </c>
      <c r="G718" s="24">
        <f t="shared" si="5"/>
        <v>9</v>
      </c>
      <c r="H718" s="19">
        <f>VLOOKUP(A718,Metrik!$C$2:$Y$959,8,0)</f>
        <v>-9.3</v>
      </c>
      <c r="I718" s="20">
        <f>VLOOKUP(A718,Metrik!$C$2:$Y$959,9,0)</f>
        <v>1.8</v>
      </c>
      <c r="J718" s="20">
        <f>VLOOKUP(A718,Metrik!$C$2:$Y$959,10,0)</f>
        <v>-18.9</v>
      </c>
      <c r="K718" s="20">
        <f>VLOOKUP(A718,Metrik!$C$2:$Y$959,11,0)</f>
        <v>-4.9</v>
      </c>
      <c r="L718" s="20">
        <f>VLOOKUP(A718,Metrik!$C$2:$Y$959,12,0)</f>
        <v>2.8</v>
      </c>
      <c r="M718" s="20">
        <f>VLOOKUP(A718,Metrik!$C$2:$Y$959,19,0)</f>
        <v>-46.8</v>
      </c>
      <c r="N718" s="21"/>
      <c r="O718" s="21"/>
      <c r="P718" s="21"/>
      <c r="Q718" s="21"/>
      <c r="R718" s="21"/>
      <c r="S718" s="21"/>
      <c r="T718" s="21"/>
      <c r="U718" s="22">
        <f>IFERROR(__xludf.DUMMYFUNCTION("IFERROR(GOOGLEFINANCE(A718,""closeyest""),"""")"),0.0)</f>
        <v>0</v>
      </c>
      <c r="V718" s="23">
        <f>IFERROR(__xludf.DUMMYFUNCTION("IFERROR(GOOGLEFINANCE(A718,""changepct""),"""")"),0.0)</f>
        <v>0</v>
      </c>
      <c r="W718" s="22" t="str">
        <f>IFERROR(__xludf.DUMMYFUNCTION("IFERROR(GOOGLEFINANCE(A718,""priceopen""),"""")"),"")</f>
        <v/>
      </c>
      <c r="X718" s="22" t="str">
        <f>IFERROR(__xludf.DUMMYFUNCTION("IFERROR(GOOGLEFINANCE(A718,""high""),"""")"),"")</f>
        <v/>
      </c>
      <c r="Y718" s="22" t="str">
        <f>IFERROR(__xludf.DUMMYFUNCTION("IFERROR(GOOGLEFINANCE(A718,""low""),"""")"),"")</f>
        <v/>
      </c>
      <c r="Z718" s="22">
        <f>IFERROR(__xludf.DUMMYFUNCTION("IFERROR(GOOGLEFINANCE(A718,""volume""),"""")"),0.0)</f>
        <v>0</v>
      </c>
      <c r="AA718" s="24" t="str">
        <f>VLOOKUP(A718,Metrik!$C$2:$Y$959,5,0)</f>
        <v>Wireless Telecommunication Services</v>
      </c>
      <c r="AB718" s="24" t="str">
        <f>VLOOKUP(A718,Metrik!$C$2:$Y$959,3,0)</f>
        <v>Infrastructures</v>
      </c>
    </row>
    <row r="719">
      <c r="A719" s="14" t="s">
        <v>381</v>
      </c>
      <c r="B719" s="14" t="str">
        <f t="array" ref="B719">VLOOKUP(A719,{Metrik!$C$2:$C$998,Metrik!$B$2:$B$998},2,0)</f>
        <v>FAP Agri Tbk.</v>
      </c>
      <c r="C719" s="15">
        <f>IFERROR(__xludf.DUMMYFUNCTION("GOOGLEFINANCE(""IDX:""&amp;A719,""price"")"),7275.0)</f>
        <v>7275</v>
      </c>
      <c r="D719" s="16" t="str">
        <f>IFERROR(__xludf.DUMMYFUNCTION("IF(A719="""","""",
SPARKLINE(
INDEX(
GOOGLEFINANCE(""IDX:""&amp;A719,""close"",TODAY()-365,TODAY()),
,2
),
{""linewidth"",1}
))
"),"#N/A")</f>
        <v>#N/A</v>
      </c>
      <c r="E719" s="26"/>
      <c r="F719" s="26"/>
      <c r="G719" s="24">
        <f t="shared" si="5"/>
        <v>0</v>
      </c>
      <c r="H719" s="19">
        <f>VLOOKUP(A719,Metrik!$C$2:$Y$959,8,0)</f>
        <v>24.4</v>
      </c>
      <c r="I719" s="20">
        <f>VLOOKUP(A719,Metrik!$C$2:$Y$959,9,0)</f>
        <v>6.3</v>
      </c>
      <c r="J719" s="20">
        <f>VLOOKUP(A719,Metrik!$C$2:$Y$959,10,0)</f>
        <v>25.8</v>
      </c>
      <c r="K719" s="20">
        <f>VLOOKUP(A719,Metrik!$C$2:$Y$959,11,0)</f>
        <v>10.4</v>
      </c>
      <c r="L719" s="20">
        <f>VLOOKUP(A719,Metrik!$C$2:$Y$959,12,0)</f>
        <v>1.5</v>
      </c>
      <c r="M719" s="20">
        <f>VLOOKUP(A719,Metrik!$C$2:$Y$959,19,0)</f>
        <v>53.5</v>
      </c>
      <c r="N719" s="21"/>
      <c r="O719" s="21"/>
      <c r="P719" s="21"/>
      <c r="Q719" s="21"/>
      <c r="R719" s="21"/>
      <c r="S719" s="21"/>
      <c r="T719" s="21"/>
      <c r="U719" s="22">
        <f>IFERROR(__xludf.DUMMYFUNCTION("IFERROR(GOOGLEFINANCE(A719,""closeyest""),"""")"),7250.0)</f>
        <v>7250</v>
      </c>
      <c r="V719" s="23">
        <f>IFERROR(__xludf.DUMMYFUNCTION("IFERROR(GOOGLEFINANCE(A719,""changepct""),"""")"),0.34)</f>
        <v>0.34</v>
      </c>
      <c r="W719" s="22">
        <f>IFERROR(__xludf.DUMMYFUNCTION("IFERROR(GOOGLEFINANCE(A719,""priceopen""),"""")"),7250.0)</f>
        <v>7250</v>
      </c>
      <c r="X719" s="22">
        <f>IFERROR(__xludf.DUMMYFUNCTION("IFERROR(GOOGLEFINANCE(A719,""high""),"""")"),7275.0)</f>
        <v>7275</v>
      </c>
      <c r="Y719" s="22" t="str">
        <f>IFERROR(__xludf.DUMMYFUNCTION("IFERROR(GOOGLEFINANCE(A719,""low""),"""")"),"")</f>
        <v/>
      </c>
      <c r="Z719" s="22">
        <f>IFERROR(__xludf.DUMMYFUNCTION("IFERROR(GOOGLEFINANCE(A719,""volume""),"""")"),900.0)</f>
        <v>900</v>
      </c>
      <c r="AA719" s="24" t="str">
        <f>VLOOKUP(A719,Metrik!$C$2:$Y$959,5,0)</f>
        <v>Agricultural Products</v>
      </c>
      <c r="AB719" s="24" t="str">
        <f>VLOOKUP(A719,Metrik!$C$2:$Y$959,3,0)</f>
        <v>Consumer Non-Cyclicals</v>
      </c>
    </row>
    <row r="720">
      <c r="A720" s="14" t="s">
        <v>382</v>
      </c>
      <c r="B720" s="14" t="str">
        <f t="array" ref="B720">VLOOKUP(A720,{Metrik!$C$2:$C$998,Metrik!$B$2:$B$998},2,0)</f>
        <v>Fast Food Indonesia Tbk.</v>
      </c>
      <c r="C720" s="15">
        <f>IFERROR(__xludf.DUMMYFUNCTION("GOOGLEFINANCE(""IDX:""&amp;A720,""price"")"),238.0)</f>
        <v>238</v>
      </c>
      <c r="D720" s="16" t="str">
        <f>IFERROR(__xludf.DUMMYFUNCTION("IF(A720="""","""",
SPARKLINE(
INDEX(
GOOGLEFINANCE(""IDX:""&amp;A720,""close"",TODAY()-365,TODAY()),
,2
),
{""linewidth"",1}
))
"),"#N/A")</f>
        <v>#N/A</v>
      </c>
      <c r="E720" s="26"/>
      <c r="F720" s="26"/>
      <c r="G720" s="24">
        <f t="shared" si="5"/>
        <v>0</v>
      </c>
      <c r="H720" s="19">
        <f>VLOOKUP(A720,Metrik!$C$2:$Y$959,8,0)</f>
        <v>-3.6</v>
      </c>
      <c r="I720" s="20">
        <f>VLOOKUP(A720,Metrik!$C$2:$Y$959,9,0)</f>
        <v>2.4</v>
      </c>
      <c r="J720" s="20">
        <f>VLOOKUP(A720,Metrik!$C$2:$Y$959,10,0)</f>
        <v>-68</v>
      </c>
      <c r="K720" s="20">
        <f>VLOOKUP(A720,Metrik!$C$2:$Y$959,11,0)</f>
        <v>-6.1</v>
      </c>
      <c r="L720" s="20">
        <f>VLOOKUP(A720,Metrik!$C$2:$Y$959,12,0)</f>
        <v>10.2</v>
      </c>
      <c r="M720" s="20">
        <f>VLOOKUP(A720,Metrik!$C$2:$Y$959,19,0)</f>
        <v>-22.2</v>
      </c>
      <c r="N720" s="21"/>
      <c r="O720" s="21"/>
      <c r="P720" s="21"/>
      <c r="Q720" s="21"/>
      <c r="R720" s="21"/>
      <c r="S720" s="21"/>
      <c r="T720" s="21"/>
      <c r="U720" s="22">
        <f>IFERROR(__xludf.DUMMYFUNCTION("IFERROR(GOOGLEFINANCE(A720,""closeyest""),"""")"),46.39)</f>
        <v>46.39</v>
      </c>
      <c r="V720" s="23">
        <f>IFERROR(__xludf.DUMMYFUNCTION("IFERROR(GOOGLEFINANCE(A720,""changepct""),"""")"),0.39)</f>
        <v>0.39</v>
      </c>
      <c r="W720" s="22">
        <f>IFERROR(__xludf.DUMMYFUNCTION("IFERROR(GOOGLEFINANCE(A720,""priceopen""),"""")"),46.59)</f>
        <v>46.59</v>
      </c>
      <c r="X720" s="22">
        <f>IFERROR(__xludf.DUMMYFUNCTION("IFERROR(GOOGLEFINANCE(A720,""high""),"""")"),47.16)</f>
        <v>47.16</v>
      </c>
      <c r="Y720" s="22">
        <f>IFERROR(__xludf.DUMMYFUNCTION("IFERROR(GOOGLEFINANCE(A720,""low""),"""")"),46.29)</f>
        <v>46.29</v>
      </c>
      <c r="Z720" s="22">
        <f>IFERROR(__xludf.DUMMYFUNCTION("IFERROR(GOOGLEFINANCE(A720,""volume""),"""")"),4629317.0)</f>
        <v>4629317</v>
      </c>
      <c r="AA720" s="24" t="str">
        <f>VLOOKUP(A720,Metrik!$C$2:$Y$959,5,0)</f>
        <v>Tourism &amp; Recreation</v>
      </c>
      <c r="AB720" s="24" t="str">
        <f>VLOOKUP(A720,Metrik!$C$2:$Y$959,3,0)</f>
        <v>Consumer Cyclicals</v>
      </c>
    </row>
    <row r="721">
      <c r="A721" s="14" t="s">
        <v>383</v>
      </c>
      <c r="B721" s="14" t="str">
        <f t="array" ref="B721">VLOOKUP(A721,{Metrik!$C$2:$C$998,Metrik!$B$2:$B$998},2,0)</f>
        <v>Fajar Surya Wisesa Tbk.</v>
      </c>
      <c r="C721" s="15">
        <f>IFERROR(__xludf.DUMMYFUNCTION("GOOGLEFINANCE(""IDX:""&amp;A721,""price"")"),5450.0)</f>
        <v>5450</v>
      </c>
      <c r="D721" s="16" t="str">
        <f>IFERROR(__xludf.DUMMYFUNCTION("IF(A721="""","""",
SPARKLINE(
INDEX(
GOOGLEFINANCE(""IDX:""&amp;A721,""close"",TODAY()-365,TODAY()),
,2
),
{""linewidth"",1}
))
"),"#N/A")</f>
        <v>#N/A</v>
      </c>
      <c r="E721" s="26"/>
      <c r="F721" s="26"/>
      <c r="G721" s="24">
        <f t="shared" si="5"/>
        <v>0</v>
      </c>
      <c r="H721" s="19">
        <f>VLOOKUP(A721,Metrik!$C$2:$Y$959,8,0)</f>
        <v>-20</v>
      </c>
      <c r="I721" s="20">
        <f>VLOOKUP(A721,Metrik!$C$2:$Y$959,9,0)</f>
        <v>3</v>
      </c>
      <c r="J721" s="20">
        <f>VLOOKUP(A721,Metrik!$C$2:$Y$959,10,0)</f>
        <v>-14.8</v>
      </c>
      <c r="K721" s="20">
        <f>VLOOKUP(A721,Metrik!$C$2:$Y$959,11,0)</f>
        <v>-6.9</v>
      </c>
      <c r="L721" s="20">
        <f>VLOOKUP(A721,Metrik!$C$2:$Y$959,12,0)</f>
        <v>1.2</v>
      </c>
      <c r="M721" s="20">
        <f>VLOOKUP(A721,Metrik!$C$2:$Y$959,19,0)</f>
        <v>-43.5</v>
      </c>
      <c r="N721" s="21"/>
      <c r="O721" s="21"/>
      <c r="P721" s="21"/>
      <c r="Q721" s="21"/>
      <c r="R721" s="21"/>
      <c r="S721" s="21"/>
      <c r="T721" s="21"/>
      <c r="U721" s="22">
        <f>IFERROR(__xludf.DUMMYFUNCTION("IFERROR(GOOGLEFINANCE(A721,""closeyest""),"""")"),5450.0)</f>
        <v>5450</v>
      </c>
      <c r="V721" s="23">
        <f>IFERROR(__xludf.DUMMYFUNCTION("IFERROR(GOOGLEFINANCE(A721,""changepct""),"""")"),0.0)</f>
        <v>0</v>
      </c>
      <c r="W721" s="22" t="str">
        <f>IFERROR(__xludf.DUMMYFUNCTION("IFERROR(GOOGLEFINANCE(A721,""priceopen""),"""")"),"")</f>
        <v/>
      </c>
      <c r="X721" s="22" t="str">
        <f>IFERROR(__xludf.DUMMYFUNCTION("IFERROR(GOOGLEFINANCE(A721,""high""),"""")"),"")</f>
        <v/>
      </c>
      <c r="Y721" s="22" t="str">
        <f>IFERROR(__xludf.DUMMYFUNCTION("IFERROR(GOOGLEFINANCE(A721,""low""),"""")"),"")</f>
        <v/>
      </c>
      <c r="Z721" s="22">
        <f>IFERROR(__xludf.DUMMYFUNCTION("IFERROR(GOOGLEFINANCE(A721,""volume""),"""")"),0.0)</f>
        <v>0</v>
      </c>
      <c r="AA721" s="24" t="str">
        <f>VLOOKUP(A721,Metrik!$C$2:$Y$959,5,0)</f>
        <v>Containers &amp; Packaging</v>
      </c>
      <c r="AB721" s="24" t="str">
        <f>VLOOKUP(A721,Metrik!$C$2:$Y$959,3,0)</f>
        <v>Basic Materials</v>
      </c>
    </row>
    <row r="722">
      <c r="A722" s="14" t="s">
        <v>384</v>
      </c>
      <c r="B722" s="14" t="str">
        <f t="array" ref="B722">VLOOKUP(A722,{Metrik!$C$2:$C$998,Metrik!$B$2:$B$998},2,0)</f>
        <v>MD Entertainment Tbk.</v>
      </c>
      <c r="C722" s="15">
        <f>IFERROR(__xludf.DUMMYFUNCTION("GOOGLEFINANCE(""IDX:""&amp;A722,""price"")"),1780.0)</f>
        <v>1780</v>
      </c>
      <c r="D722" s="16" t="str">
        <f>IFERROR(__xludf.DUMMYFUNCTION("IF(A722="""","""",
SPARKLINE(
INDEX(
GOOGLEFINANCE(""IDX:""&amp;A722,""close"",TODAY()-365,TODAY()),
,2
),
{""linewidth"",1}
))
"),"#N/A")</f>
        <v>#N/A</v>
      </c>
      <c r="E722" s="14" t="s">
        <v>52</v>
      </c>
      <c r="F722" s="27" t="s">
        <v>53</v>
      </c>
      <c r="G722" s="24">
        <f t="shared" si="5"/>
        <v>3</v>
      </c>
      <c r="H722" s="19">
        <f>VLOOKUP(A722,Metrik!$C$2:$Y$959,8,0)</f>
        <v>-99.5</v>
      </c>
      <c r="I722" s="20">
        <f>VLOOKUP(A722,Metrik!$C$2:$Y$959,9,0)</f>
        <v>7.3</v>
      </c>
      <c r="J722" s="20">
        <f>VLOOKUP(A722,Metrik!$C$2:$Y$959,10,0)</f>
        <v>-7.4</v>
      </c>
      <c r="K722" s="20">
        <f>VLOOKUP(A722,Metrik!$C$2:$Y$959,11,0)</f>
        <v>-6.3</v>
      </c>
      <c r="L722" s="20">
        <f>VLOOKUP(A722,Metrik!$C$2:$Y$959,12,0)</f>
        <v>0.18</v>
      </c>
      <c r="M722" s="20">
        <f>VLOOKUP(A722,Metrik!$C$2:$Y$959,19,0)</f>
        <v>-160</v>
      </c>
      <c r="N722" s="21"/>
      <c r="O722" s="21"/>
      <c r="P722" s="21"/>
      <c r="Q722" s="21"/>
      <c r="R722" s="21"/>
      <c r="S722" s="21"/>
      <c r="T722" s="21"/>
      <c r="U722" s="22">
        <f>IFERROR(__xludf.DUMMYFUNCTION("IFERROR(GOOGLEFINANCE(A722,""closeyest""),"""")"),1775.0)</f>
        <v>1775</v>
      </c>
      <c r="V722" s="23">
        <f>IFERROR(__xludf.DUMMYFUNCTION("IFERROR(GOOGLEFINANCE(A722,""changepct""),"""")"),0.28)</f>
        <v>0.28</v>
      </c>
      <c r="W722" s="22">
        <f>IFERROR(__xludf.DUMMYFUNCTION("IFERROR(GOOGLEFINANCE(A722,""priceopen""),"""")"),1785.0)</f>
        <v>1785</v>
      </c>
      <c r="X722" s="22">
        <f>IFERROR(__xludf.DUMMYFUNCTION("IFERROR(GOOGLEFINANCE(A722,""high""),"""")"),1825.0)</f>
        <v>1825</v>
      </c>
      <c r="Y722" s="22">
        <f>IFERROR(__xludf.DUMMYFUNCTION("IFERROR(GOOGLEFINANCE(A722,""low""),"""")"),1750.0)</f>
        <v>1750</v>
      </c>
      <c r="Z722" s="22">
        <f>IFERROR(__xludf.DUMMYFUNCTION("IFERROR(GOOGLEFINANCE(A722,""volume""),"""")"),3696900.0)</f>
        <v>3696900</v>
      </c>
      <c r="AA722" s="24" t="str">
        <f>VLOOKUP(A722,Metrik!$C$2:$Y$959,5,0)</f>
        <v>Entertainment &amp; Movie Production</v>
      </c>
      <c r="AB722" s="24" t="str">
        <f>VLOOKUP(A722,Metrik!$C$2:$Y$959,3,0)</f>
        <v>Consumer Cyclicals</v>
      </c>
    </row>
    <row r="723">
      <c r="A723" s="14" t="s">
        <v>384</v>
      </c>
      <c r="B723" s="14" t="str">
        <f t="array" ref="B723">VLOOKUP(A723,{Metrik!$C$2:$C$998,Metrik!$B$2:$B$998},2,0)</f>
        <v>MD Entertainment Tbk.</v>
      </c>
      <c r="C723" s="15">
        <f>IFERROR(__xludf.DUMMYFUNCTION("GOOGLEFINANCE(""IDX:""&amp;A723,""price"")"),1780.0)</f>
        <v>1780</v>
      </c>
      <c r="D723" s="16" t="str">
        <f>IFERROR(__xludf.DUMMYFUNCTION("IF(A723="""","""",
SPARKLINE(
INDEX(
GOOGLEFINANCE(""IDX:""&amp;A723,""close"",TODAY()-365,TODAY()),
,2
),
{""linewidth"",1}
))
"),"#N/A")</f>
        <v>#N/A</v>
      </c>
      <c r="E723" s="14" t="s">
        <v>32</v>
      </c>
      <c r="F723" s="14" t="s">
        <v>29</v>
      </c>
      <c r="G723" s="24">
        <f t="shared" si="5"/>
        <v>3</v>
      </c>
      <c r="H723" s="19">
        <f>VLOOKUP(A723,Metrik!$C$2:$Y$959,8,0)</f>
        <v>-99.5</v>
      </c>
      <c r="I723" s="20">
        <f>VLOOKUP(A723,Metrik!$C$2:$Y$959,9,0)</f>
        <v>7.3</v>
      </c>
      <c r="J723" s="20">
        <f>VLOOKUP(A723,Metrik!$C$2:$Y$959,10,0)</f>
        <v>-7.4</v>
      </c>
      <c r="K723" s="20">
        <f>VLOOKUP(A723,Metrik!$C$2:$Y$959,11,0)</f>
        <v>-6.3</v>
      </c>
      <c r="L723" s="20">
        <f>VLOOKUP(A723,Metrik!$C$2:$Y$959,12,0)</f>
        <v>0.18</v>
      </c>
      <c r="M723" s="20">
        <f>VLOOKUP(A723,Metrik!$C$2:$Y$959,19,0)</f>
        <v>-160</v>
      </c>
      <c r="N723" s="21"/>
      <c r="O723" s="21"/>
      <c r="P723" s="21"/>
      <c r="Q723" s="21"/>
      <c r="R723" s="21"/>
      <c r="S723" s="21"/>
      <c r="T723" s="21"/>
      <c r="U723" s="22">
        <f>IFERROR(__xludf.DUMMYFUNCTION("IFERROR(GOOGLEFINANCE(A723,""closeyest""),"""")"),1775.0)</f>
        <v>1775</v>
      </c>
      <c r="V723" s="23">
        <f>IFERROR(__xludf.DUMMYFUNCTION("IFERROR(GOOGLEFINANCE(A723,""changepct""),"""")"),0.28)</f>
        <v>0.28</v>
      </c>
      <c r="W723" s="22">
        <f>IFERROR(__xludf.DUMMYFUNCTION("IFERROR(GOOGLEFINANCE(A723,""priceopen""),"""")"),1785.0)</f>
        <v>1785</v>
      </c>
      <c r="X723" s="22">
        <f>IFERROR(__xludf.DUMMYFUNCTION("IFERROR(GOOGLEFINANCE(A723,""high""),"""")"),1825.0)</f>
        <v>1825</v>
      </c>
      <c r="Y723" s="22">
        <f>IFERROR(__xludf.DUMMYFUNCTION("IFERROR(GOOGLEFINANCE(A723,""low""),"""")"),1750.0)</f>
        <v>1750</v>
      </c>
      <c r="Z723" s="22">
        <f>IFERROR(__xludf.DUMMYFUNCTION("IFERROR(GOOGLEFINANCE(A723,""volume""),"""")"),3696900.0)</f>
        <v>3696900</v>
      </c>
      <c r="AA723" s="24" t="str">
        <f>VLOOKUP(A723,Metrik!$C$2:$Y$959,5,0)</f>
        <v>Entertainment &amp; Movie Production</v>
      </c>
      <c r="AB723" s="24" t="str">
        <f>VLOOKUP(A723,Metrik!$C$2:$Y$959,3,0)</f>
        <v>Consumer Cyclicals</v>
      </c>
    </row>
    <row r="724">
      <c r="A724" s="17" t="s">
        <v>384</v>
      </c>
      <c r="B724" s="14" t="str">
        <f t="array" ref="B724">VLOOKUP(A724,{Metrik!$C$2:$C$998,Metrik!$B$2:$B$998},2,0)</f>
        <v>MD Entertainment Tbk.</v>
      </c>
      <c r="C724" s="15">
        <f>IFERROR(__xludf.DUMMYFUNCTION("GOOGLEFINANCE(""IDX:""&amp;A724,""price"")"),1780.0)</f>
        <v>1780</v>
      </c>
      <c r="D724" s="16" t="str">
        <f>IFERROR(__xludf.DUMMYFUNCTION("IF(A724="""","""",
SPARKLINE(
INDEX(
GOOGLEFINANCE(""IDX:""&amp;A724,""close"",TODAY()-365,TODAY()),
,2
),
{""linewidth"",1}
))
"),"#N/A")</f>
        <v>#N/A</v>
      </c>
      <c r="E724" s="14" t="s">
        <v>35</v>
      </c>
      <c r="F724" s="17" t="s">
        <v>36</v>
      </c>
      <c r="G724" s="38">
        <f t="shared" si="5"/>
        <v>3</v>
      </c>
      <c r="H724" s="34">
        <f>VLOOKUP(A724,Metrik!$C$2:$Y$959,8,0)</f>
        <v>-99.5</v>
      </c>
      <c r="I724" s="34">
        <f>VLOOKUP(A724,Metrik!$C$2:$Y$959,9,0)</f>
        <v>7.3</v>
      </c>
      <c r="J724" s="34">
        <f>VLOOKUP(A724,Metrik!$C$2:$Y$959,10,0)</f>
        <v>-7.4</v>
      </c>
      <c r="K724" s="34">
        <f>VLOOKUP(A724,Metrik!$C$2:$Y$959,11,0)</f>
        <v>-6.3</v>
      </c>
      <c r="L724" s="34">
        <f>VLOOKUP(A724,Metrik!$C$2:$Y$959,12,0)</f>
        <v>0.18</v>
      </c>
      <c r="M724" s="34">
        <f>VLOOKUP(A724,Metrik!$C$2:$Y$959,19,0)</f>
        <v>-160</v>
      </c>
      <c r="N724" s="26"/>
      <c r="O724" s="26"/>
      <c r="P724" s="26"/>
      <c r="Q724" s="26"/>
      <c r="R724" s="26"/>
      <c r="S724" s="26"/>
      <c r="T724" s="26"/>
      <c r="U724" s="35">
        <f>IFERROR(__xludf.DUMMYFUNCTION("IFERROR(GOOGLEFINANCE(A724,""closeyest""),"""")"),1775.0)</f>
        <v>1775</v>
      </c>
      <c r="V724" s="36">
        <f>IFERROR(__xludf.DUMMYFUNCTION("IFERROR(GOOGLEFINANCE(A724,""changepct""),"""")"),0.28)</f>
        <v>0.28</v>
      </c>
      <c r="W724" s="49">
        <f>IFERROR(__xludf.DUMMYFUNCTION("IFERROR(GOOGLEFINANCE(A724,""priceopen""),"""")"),1785.0)</f>
        <v>1785</v>
      </c>
      <c r="X724" s="35">
        <f>IFERROR(__xludf.DUMMYFUNCTION("IFERROR(GOOGLEFINANCE(A724,""high""),"""")"),1825.0)</f>
        <v>1825</v>
      </c>
      <c r="Y724" s="35">
        <f>IFERROR(__xludf.DUMMYFUNCTION("IFERROR(GOOGLEFINANCE(A724,""low""),"""")"),1750.0)</f>
        <v>1750</v>
      </c>
      <c r="Z724" s="35">
        <f>IFERROR(__xludf.DUMMYFUNCTION("IFERROR(GOOGLEFINANCE(A724,""volume""),"""")"),3696900.0)</f>
        <v>3696900</v>
      </c>
      <c r="AA724" s="14" t="str">
        <f>VLOOKUP(A724,Metrik!$C$2:$Y$959,5,0)</f>
        <v>Entertainment &amp; Movie Production</v>
      </c>
      <c r="AB724" s="14" t="str">
        <f>VLOOKUP(A724,Metrik!$C$2:$Y$959,3,0)</f>
        <v>Consumer Cyclicals</v>
      </c>
    </row>
    <row r="725">
      <c r="A725" s="14" t="s">
        <v>385</v>
      </c>
      <c r="B725" s="14" t="str">
        <f t="array" ref="B725">VLOOKUP(A725,{Metrik!$C$2:$C$998,Metrik!$B$2:$B$998},2,0)</f>
        <v>Fimperkasa Utama Tbk.</v>
      </c>
      <c r="C725" s="15">
        <f>IFERROR(__xludf.DUMMYFUNCTION("GOOGLEFINANCE(""IDX:""&amp;A725,""price"")"),69.0)</f>
        <v>69</v>
      </c>
      <c r="D725" s="16" t="str">
        <f>IFERROR(__xludf.DUMMYFUNCTION("IF(A725="""","""",
SPARKLINE(
INDEX(
GOOGLEFINANCE(""IDX:""&amp;A725,""close"",TODAY()-365,TODAY()),
,2
),
{""linewidth"",1}
))
"),"#N/A")</f>
        <v>#N/A</v>
      </c>
      <c r="E725" s="26"/>
      <c r="F725" s="26"/>
      <c r="G725" s="24">
        <f t="shared" si="5"/>
        <v>0</v>
      </c>
      <c r="H725" s="19">
        <f>VLOOKUP(A725,Metrik!$C$2:$Y$959,8,0)</f>
        <v>-2.8</v>
      </c>
      <c r="I725" s="20">
        <f>VLOOKUP(A725,Metrik!$C$2:$Y$959,9,0)</f>
        <v>1.3</v>
      </c>
      <c r="J725" s="20">
        <f>VLOOKUP(A725,Metrik!$C$2:$Y$959,10,0)</f>
        <v>-46.2</v>
      </c>
      <c r="K725" s="20">
        <f>VLOOKUP(A725,Metrik!$C$2:$Y$959,11,0)</f>
        <v>-36.8</v>
      </c>
      <c r="L725" s="20">
        <f>VLOOKUP(A725,Metrik!$C$2:$Y$959,12,0)</f>
        <v>0.25</v>
      </c>
      <c r="M725" s="20">
        <f>VLOOKUP(A725,Metrik!$C$2:$Y$959,19,0)</f>
        <v>-250</v>
      </c>
      <c r="N725" s="21"/>
      <c r="O725" s="21"/>
      <c r="P725" s="21"/>
      <c r="Q725" s="21"/>
      <c r="R725" s="21"/>
      <c r="S725" s="21"/>
      <c r="T725" s="21"/>
      <c r="U725" s="22">
        <f>IFERROR(__xludf.DUMMYFUNCTION("IFERROR(GOOGLEFINANCE(A725,""closeyest""),"""")"),69.0)</f>
        <v>69</v>
      </c>
      <c r="V725" s="23">
        <f>IFERROR(__xludf.DUMMYFUNCTION("IFERROR(GOOGLEFINANCE(A725,""changepct""),"""")"),0.0)</f>
        <v>0</v>
      </c>
      <c r="W725" s="22" t="str">
        <f>IFERROR(__xludf.DUMMYFUNCTION("IFERROR(GOOGLEFINANCE(A725,""priceopen""),"""")"),"")</f>
        <v/>
      </c>
      <c r="X725" s="22" t="str">
        <f>IFERROR(__xludf.DUMMYFUNCTION("IFERROR(GOOGLEFINANCE(A725,""high""),"""")"),"")</f>
        <v/>
      </c>
      <c r="Y725" s="22" t="str">
        <f>IFERROR(__xludf.DUMMYFUNCTION("IFERROR(GOOGLEFINANCE(A725,""low""),"""")"),"")</f>
        <v/>
      </c>
      <c r="Z725" s="22">
        <f>IFERROR(__xludf.DUMMYFUNCTION("IFERROR(GOOGLEFINANCE(A725,""volume""),"""")"),0.0)</f>
        <v>0</v>
      </c>
      <c r="AA725" s="24" t="str">
        <f>VLOOKUP(A725,Metrik!$C$2:$Y$959,5,0)</f>
        <v>Heavy Constructions &amp; Civil Engineering</v>
      </c>
      <c r="AB725" s="24" t="str">
        <f>VLOOKUP(A725,Metrik!$C$2:$Y$959,3,0)</f>
        <v>Infrastructures</v>
      </c>
    </row>
    <row r="726">
      <c r="A726" s="14" t="s">
        <v>386</v>
      </c>
      <c r="B726" s="14" t="str">
        <f t="array" ref="B726">VLOOKUP(A726,{Metrik!$C$2:$C$998,Metrik!$B$2:$B$998},2,0)</f>
        <v>Alfa Energi Investama Tbk.</v>
      </c>
      <c r="C726" s="15">
        <f>IFERROR(__xludf.DUMMYFUNCTION("GOOGLEFINANCE(""IDX:""&amp;A726,""price"")"),107.0)</f>
        <v>107</v>
      </c>
      <c r="D726" s="16" t="str">
        <f>IFERROR(__xludf.DUMMYFUNCTION("IF(A726="""","""",
SPARKLINE(
INDEX(
GOOGLEFINANCE(""IDX:""&amp;A726,""close"",TODAY()-365,TODAY()),
,2
),
{""linewidth"",1}
))
"),"#N/A")</f>
        <v>#N/A</v>
      </c>
      <c r="E726" s="26"/>
      <c r="F726" s="26"/>
      <c r="G726" s="24">
        <f t="shared" si="5"/>
        <v>0</v>
      </c>
      <c r="H726" s="19">
        <f>VLOOKUP(A726,Metrik!$C$2:$Y$959,8,0)</f>
        <v>-40.1</v>
      </c>
      <c r="I726" s="20">
        <f>VLOOKUP(A726,Metrik!$C$2:$Y$959,9,0)</f>
        <v>0.66</v>
      </c>
      <c r="J726" s="20">
        <f>VLOOKUP(A726,Metrik!$C$2:$Y$959,10,0)</f>
        <v>-1.6</v>
      </c>
      <c r="K726" s="20">
        <f>VLOOKUP(A726,Metrik!$C$2:$Y$959,11,0)</f>
        <v>-1.2</v>
      </c>
      <c r="L726" s="20">
        <f>VLOOKUP(A726,Metrik!$C$2:$Y$959,12,0)</f>
        <v>0.41</v>
      </c>
      <c r="M726" s="20">
        <f>VLOOKUP(A726,Metrik!$C$2:$Y$959,19,0)</f>
        <v>-8.1</v>
      </c>
      <c r="N726" s="21"/>
      <c r="O726" s="21"/>
      <c r="P726" s="21"/>
      <c r="Q726" s="21"/>
      <c r="R726" s="21"/>
      <c r="S726" s="21"/>
      <c r="T726" s="21"/>
      <c r="U726" s="22">
        <f>IFERROR(__xludf.DUMMYFUNCTION("IFERROR(GOOGLEFINANCE(A726,""closeyest""),"""")"),11.06)</f>
        <v>11.06</v>
      </c>
      <c r="V726" s="23">
        <f>IFERROR(__xludf.DUMMYFUNCTION("IFERROR(GOOGLEFINANCE(A726,""changepct""),"""")"),3.8)</f>
        <v>3.8</v>
      </c>
      <c r="W726" s="22">
        <f>IFERROR(__xludf.DUMMYFUNCTION("IFERROR(GOOGLEFINANCE(A726,""priceopen""),"""")"),11.38)</f>
        <v>11.38</v>
      </c>
      <c r="X726" s="22">
        <f>IFERROR(__xludf.DUMMYFUNCTION("IFERROR(GOOGLEFINANCE(A726,""high""),"""")"),11.48)</f>
        <v>11.48</v>
      </c>
      <c r="Y726" s="22">
        <f>IFERROR(__xludf.DUMMYFUNCTION("IFERROR(GOOGLEFINANCE(A726,""low""),"""")"),11.35)</f>
        <v>11.35</v>
      </c>
      <c r="Z726" s="22">
        <f>IFERROR(__xludf.DUMMYFUNCTION("IFERROR(GOOGLEFINANCE(A726,""volume""),"""")"),0.0)</f>
        <v>0</v>
      </c>
      <c r="AA726" s="24" t="str">
        <f>VLOOKUP(A726,Metrik!$C$2:$Y$959,5,0)</f>
        <v>Coal</v>
      </c>
      <c r="AB726" s="24" t="str">
        <f>VLOOKUP(A726,Metrik!$C$2:$Y$959,3,0)</f>
        <v>Energy</v>
      </c>
    </row>
    <row r="727">
      <c r="A727" s="14" t="s">
        <v>387</v>
      </c>
      <c r="B727" s="14" t="str">
        <f t="array" ref="B727">VLOOKUP(A727,{Metrik!$C$2:$C$998,Metrik!$B$2:$B$998},2,0)</f>
        <v>FKS Multi Agro Tbk</v>
      </c>
      <c r="C727" s="15">
        <f>IFERROR(__xludf.DUMMYFUNCTION("GOOGLEFINANCE(""IDX:""&amp;A727,""price"")"),620.0)</f>
        <v>620</v>
      </c>
      <c r="D727" s="16" t="str">
        <f>IFERROR(__xludf.DUMMYFUNCTION("IF(A727="""","""",
SPARKLINE(
INDEX(
GOOGLEFINANCE(""IDX:""&amp;A727,""close"",TODAY()-365,TODAY()),
,2
),
{""linewidth"",1}
))
"),"#N/A")</f>
        <v>#N/A</v>
      </c>
      <c r="E727" s="26"/>
      <c r="F727" s="26"/>
      <c r="G727" s="24">
        <f t="shared" si="5"/>
        <v>0</v>
      </c>
      <c r="H727" s="19">
        <f>VLOOKUP(A727,Metrik!$C$2:$Y$959,8,0)</f>
        <v>16.8</v>
      </c>
      <c r="I727" s="20">
        <f>VLOOKUP(A727,Metrik!$C$2:$Y$959,9,0)</f>
        <v>1.1</v>
      </c>
      <c r="J727" s="20">
        <f>VLOOKUP(A727,Metrik!$C$2:$Y$959,10,0)</f>
        <v>6.3</v>
      </c>
      <c r="K727" s="20">
        <f>VLOOKUP(A727,Metrik!$C$2:$Y$959,11,0)</f>
        <v>2.4</v>
      </c>
      <c r="L727" s="20">
        <f>VLOOKUP(A727,Metrik!$C$2:$Y$959,12,0)</f>
        <v>1.6</v>
      </c>
      <c r="M727" s="20">
        <f>VLOOKUP(A727,Metrik!$C$2:$Y$959,19,0)</f>
        <v>4.3</v>
      </c>
      <c r="N727" s="21"/>
      <c r="O727" s="21"/>
      <c r="P727" s="21"/>
      <c r="Q727" s="21"/>
      <c r="R727" s="21"/>
      <c r="S727" s="21"/>
      <c r="T727" s="21"/>
      <c r="U727" s="22">
        <f>IFERROR(__xludf.DUMMYFUNCTION("IFERROR(GOOGLEFINANCE(A727,""closeyest""),"""")"),4.2)</f>
        <v>4.2</v>
      </c>
      <c r="V727" s="23">
        <f>IFERROR(__xludf.DUMMYFUNCTION("IFERROR(GOOGLEFINANCE(A727,""changepct""),"""")"),4.05)</f>
        <v>4.05</v>
      </c>
      <c r="W727" s="22">
        <f>IFERROR(__xludf.DUMMYFUNCTION("IFERROR(GOOGLEFINANCE(A727,""priceopen""),"""")"),4.21)</f>
        <v>4.21</v>
      </c>
      <c r="X727" s="22">
        <f>IFERROR(__xludf.DUMMYFUNCTION("IFERROR(GOOGLEFINANCE(A727,""high""),"""")"),4.37)</f>
        <v>4.37</v>
      </c>
      <c r="Y727" s="22">
        <f>IFERROR(__xludf.DUMMYFUNCTION("IFERROR(GOOGLEFINANCE(A727,""low""),"""")"),4.2)</f>
        <v>4.2</v>
      </c>
      <c r="Z727" s="22">
        <f>IFERROR(__xludf.DUMMYFUNCTION("IFERROR(GOOGLEFINANCE(A727,""volume""),"""")"),86703.0)</f>
        <v>86703</v>
      </c>
      <c r="AA727" s="24" t="str">
        <f>VLOOKUP(A727,Metrik!$C$2:$Y$959,5,0)</f>
        <v>Agricultural Products</v>
      </c>
      <c r="AB727" s="24" t="str">
        <f>VLOOKUP(A727,Metrik!$C$2:$Y$959,3,0)</f>
        <v>Consumer Non-Cyclicals</v>
      </c>
    </row>
    <row r="728">
      <c r="A728" s="14" t="s">
        <v>388</v>
      </c>
      <c r="B728" s="14" t="str">
        <f t="array" ref="B728">VLOOKUP(A728,{Metrik!$C$2:$C$998,Metrik!$B$2:$B$998},2,0)</f>
        <v>Hotel Fitra International Tbk.</v>
      </c>
      <c r="C728" s="15">
        <f>IFERROR(__xludf.DUMMYFUNCTION("GOOGLEFINANCE(""IDX:""&amp;A728,""price"")"),394.0)</f>
        <v>394</v>
      </c>
      <c r="D728" s="16" t="str">
        <f>IFERROR(__xludf.DUMMYFUNCTION("IF(A728="""","""",
SPARKLINE(
INDEX(
GOOGLEFINANCE(""IDX:""&amp;A728,""close"",TODAY()-365,TODAY()),
,2
),
{""linewidth"",1}
))
"),"#N/A")</f>
        <v>#N/A</v>
      </c>
      <c r="E728" s="26"/>
      <c r="F728" s="26"/>
      <c r="G728" s="24">
        <f t="shared" si="5"/>
        <v>0</v>
      </c>
      <c r="H728" s="19">
        <f>VLOOKUP(A728,Metrik!$C$2:$Y$959,8,0)</f>
        <v>-88.6</v>
      </c>
      <c r="I728" s="20">
        <f>VLOOKUP(A728,Metrik!$C$2:$Y$959,9,0)</f>
        <v>6.3</v>
      </c>
      <c r="J728" s="20">
        <f>VLOOKUP(A728,Metrik!$C$2:$Y$959,10,0)</f>
        <v>-7.1</v>
      </c>
      <c r="K728" s="20">
        <f>VLOOKUP(A728,Metrik!$C$2:$Y$959,11,0)</f>
        <v>-4.3</v>
      </c>
      <c r="L728" s="20">
        <f>VLOOKUP(A728,Metrik!$C$2:$Y$959,12,0)</f>
        <v>0.65</v>
      </c>
      <c r="M728" s="20">
        <f>VLOOKUP(A728,Metrik!$C$2:$Y$959,19,0)</f>
        <v>-61.9</v>
      </c>
      <c r="N728" s="21"/>
      <c r="O728" s="21"/>
      <c r="P728" s="21"/>
      <c r="Q728" s="21"/>
      <c r="R728" s="21"/>
      <c r="S728" s="21"/>
      <c r="T728" s="21"/>
      <c r="U728" s="22">
        <f>IFERROR(__xludf.DUMMYFUNCTION("IFERROR(GOOGLEFINANCE(A728,""closeyest""),"""")"),346.0)</f>
        <v>346</v>
      </c>
      <c r="V728" s="23">
        <f>IFERROR(__xludf.DUMMYFUNCTION("IFERROR(GOOGLEFINANCE(A728,""changepct""),"""")"),13.87)</f>
        <v>13.87</v>
      </c>
      <c r="W728" s="22">
        <f>IFERROR(__xludf.DUMMYFUNCTION("IFERROR(GOOGLEFINANCE(A728,""priceopen""),"""")"),346.0)</f>
        <v>346</v>
      </c>
      <c r="X728" s="22">
        <f>IFERROR(__xludf.DUMMYFUNCTION("IFERROR(GOOGLEFINANCE(A728,""high""),"""")"),400.0)</f>
        <v>400</v>
      </c>
      <c r="Y728" s="22">
        <f>IFERROR(__xludf.DUMMYFUNCTION("IFERROR(GOOGLEFINANCE(A728,""low""),"""")"),340.0)</f>
        <v>340</v>
      </c>
      <c r="Z728" s="22">
        <f>IFERROR(__xludf.DUMMYFUNCTION("IFERROR(GOOGLEFINANCE(A728,""volume""),"""")"),448600.0)</f>
        <v>448600</v>
      </c>
      <c r="AA728" s="24" t="str">
        <f>VLOOKUP(A728,Metrik!$C$2:$Y$959,5,0)</f>
        <v>Tourism &amp; Recreation</v>
      </c>
      <c r="AB728" s="24" t="str">
        <f>VLOOKUP(A728,Metrik!$C$2:$Y$959,3,0)</f>
        <v>Consumer Cyclicals</v>
      </c>
    </row>
    <row r="729">
      <c r="A729" s="14" t="s">
        <v>389</v>
      </c>
      <c r="B729" s="14" t="str">
        <f t="array" ref="B729">VLOOKUP(A729,{Metrik!$C$2:$C$998,Metrik!$B$2:$B$998},2,0)</f>
        <v>Falmaco Nonwoven Industri Tbk.</v>
      </c>
      <c r="C729" s="15">
        <f>IFERROR(__xludf.DUMMYFUNCTION("GOOGLEFINANCE(""IDX:""&amp;A729,""price"")"),92.0)</f>
        <v>92</v>
      </c>
      <c r="D729" s="16" t="str">
        <f>IFERROR(__xludf.DUMMYFUNCTION("IF(A729="""","""",
SPARKLINE(
INDEX(
GOOGLEFINANCE(""IDX:""&amp;A729,""close"",TODAY()-365,TODAY()),
,2
),
{""linewidth"",1}
))
"),"#N/A")</f>
        <v>#N/A</v>
      </c>
      <c r="E729" s="26"/>
      <c r="F729" s="26"/>
      <c r="G729" s="24">
        <f t="shared" si="5"/>
        <v>0</v>
      </c>
      <c r="H729" s="19">
        <f>VLOOKUP(A729,Metrik!$C$2:$Y$959,8,0)</f>
        <v>-5.2</v>
      </c>
      <c r="I729" s="20">
        <f>VLOOKUP(A729,Metrik!$C$2:$Y$959,9,0)</f>
        <v>5.8</v>
      </c>
      <c r="J729" s="20">
        <f>VLOOKUP(A729,Metrik!$C$2:$Y$959,10,0)</f>
        <v>-110</v>
      </c>
      <c r="K729" s="20">
        <f>VLOOKUP(A729,Metrik!$C$2:$Y$959,11,0)</f>
        <v>-41.7</v>
      </c>
      <c r="L729" s="20">
        <f>VLOOKUP(A729,Metrik!$C$2:$Y$959,12,0)</f>
        <v>1.7</v>
      </c>
      <c r="M729" s="20">
        <f>VLOOKUP(A729,Metrik!$C$2:$Y$959,19,0)</f>
        <v>-160</v>
      </c>
      <c r="N729" s="21"/>
      <c r="O729" s="21"/>
      <c r="P729" s="21"/>
      <c r="Q729" s="21"/>
      <c r="R729" s="21"/>
      <c r="S729" s="21"/>
      <c r="T729" s="21"/>
      <c r="U729" s="22">
        <f>IFERROR(__xludf.DUMMYFUNCTION("IFERROR(GOOGLEFINANCE(A729,""closeyest""),"""")"),99.0)</f>
        <v>99</v>
      </c>
      <c r="V729" s="23">
        <f>IFERROR(__xludf.DUMMYFUNCTION("IFERROR(GOOGLEFINANCE(A729,""changepct""),"""")"),-7.07)</f>
        <v>-7.07</v>
      </c>
      <c r="W729" s="22">
        <f>IFERROR(__xludf.DUMMYFUNCTION("IFERROR(GOOGLEFINANCE(A729,""priceopen""),"""")"),90.0)</f>
        <v>90</v>
      </c>
      <c r="X729" s="22">
        <f>IFERROR(__xludf.DUMMYFUNCTION("IFERROR(GOOGLEFINANCE(A729,""high""),"""")"),98.0)</f>
        <v>98</v>
      </c>
      <c r="Y729" s="22">
        <f>IFERROR(__xludf.DUMMYFUNCTION("IFERROR(GOOGLEFINANCE(A729,""low""),"""")"),90.0)</f>
        <v>90</v>
      </c>
      <c r="Z729" s="22">
        <f>IFERROR(__xludf.DUMMYFUNCTION("IFERROR(GOOGLEFINANCE(A729,""volume""),"""")"),2.69483E7)</f>
        <v>26948300</v>
      </c>
      <c r="AA729" s="24" t="str">
        <f>VLOOKUP(A729,Metrik!$C$2:$Y$959,5,0)</f>
        <v>Personal Care Products</v>
      </c>
      <c r="AB729" s="24" t="str">
        <f>VLOOKUP(A729,Metrik!$C$2:$Y$959,3,0)</f>
        <v>Consumer Non-Cyclicals</v>
      </c>
    </row>
    <row r="730">
      <c r="A730" s="14" t="s">
        <v>390</v>
      </c>
      <c r="B730" s="14" t="str">
        <f t="array" ref="B730">VLOOKUP(A730,{Metrik!$C$2:$C$998,Metrik!$B$2:$B$998},2,0)</f>
        <v>Fortune Mate Indonesia Tbk</v>
      </c>
      <c r="C730" s="15">
        <f>IFERROR(__xludf.DUMMYFUNCTION("GOOGLEFINANCE(""IDX:""&amp;A730,""price"")"),252.0)</f>
        <v>252</v>
      </c>
      <c r="D730" s="16" t="str">
        <f>IFERROR(__xludf.DUMMYFUNCTION("IF(A730="""","""",
SPARKLINE(
INDEX(
GOOGLEFINANCE(""IDX:""&amp;A730,""close"",TODAY()-365,TODAY()),
,2
),
{""linewidth"",1}
))
"),"#N/A")</f>
        <v>#N/A</v>
      </c>
      <c r="E730" s="26"/>
      <c r="F730" s="26"/>
      <c r="G730" s="24">
        <f t="shared" si="5"/>
        <v>0</v>
      </c>
      <c r="H730" s="19">
        <f>VLOOKUP(A730,Metrik!$C$2:$Y$959,8,0)</f>
        <v>-200</v>
      </c>
      <c r="I730" s="20">
        <f>VLOOKUP(A730,Metrik!$C$2:$Y$959,9,0)</f>
        <v>2.1</v>
      </c>
      <c r="J730" s="20">
        <f>VLOOKUP(A730,Metrik!$C$2:$Y$959,10,0)</f>
        <v>-1.1</v>
      </c>
      <c r="K730" s="20">
        <f>VLOOKUP(A730,Metrik!$C$2:$Y$959,11,0)</f>
        <v>-0.96</v>
      </c>
      <c r="L730" s="20">
        <f>VLOOKUP(A730,Metrik!$C$2:$Y$959,12,0)</f>
        <v>0.09</v>
      </c>
      <c r="M730" s="20">
        <f>VLOOKUP(A730,Metrik!$C$2:$Y$959,19,0)</f>
        <v>0</v>
      </c>
      <c r="N730" s="21"/>
      <c r="O730" s="21"/>
      <c r="P730" s="21"/>
      <c r="Q730" s="21"/>
      <c r="R730" s="21"/>
      <c r="S730" s="21"/>
      <c r="T730" s="21"/>
      <c r="U730" s="22">
        <f>IFERROR(__xludf.DUMMYFUNCTION("IFERROR(GOOGLEFINANCE(A730,""closeyest""),"""")"),252.0)</f>
        <v>252</v>
      </c>
      <c r="V730" s="23">
        <f>IFERROR(__xludf.DUMMYFUNCTION("IFERROR(GOOGLEFINANCE(A730,""changepct""),"""")"),0.0)</f>
        <v>0</v>
      </c>
      <c r="W730" s="22">
        <f>IFERROR(__xludf.DUMMYFUNCTION("IFERROR(GOOGLEFINANCE(A730,""priceopen""),"""")"),234.0)</f>
        <v>234</v>
      </c>
      <c r="X730" s="22">
        <f>IFERROR(__xludf.DUMMYFUNCTION("IFERROR(GOOGLEFINANCE(A730,""high""),"""")"),264.0)</f>
        <v>264</v>
      </c>
      <c r="Y730" s="22">
        <f>IFERROR(__xludf.DUMMYFUNCTION("IFERROR(GOOGLEFINANCE(A730,""low""),"""")"),234.0)</f>
        <v>234</v>
      </c>
      <c r="Z730" s="22">
        <f>IFERROR(__xludf.DUMMYFUNCTION("IFERROR(GOOGLEFINANCE(A730,""volume""),"""")"),56100.0)</f>
        <v>56100</v>
      </c>
      <c r="AA730" s="24" t="str">
        <f>VLOOKUP(A730,Metrik!$C$2:$Y$959,5,0)</f>
        <v>Real Estate Management &amp; Development</v>
      </c>
      <c r="AB730" s="24" t="str">
        <f>VLOOKUP(A730,Metrik!$C$2:$Y$959,3,0)</f>
        <v>Properties &amp; Real Estate</v>
      </c>
    </row>
    <row r="731">
      <c r="A731" s="14" t="s">
        <v>391</v>
      </c>
      <c r="B731" s="14" t="str">
        <f t="array" ref="B731">VLOOKUP(A731,{Metrik!$C$2:$C$998,Metrik!$B$2:$B$998},2,0)</f>
        <v>PT Multi Garam Utama Tbk.</v>
      </c>
      <c r="C731" s="15">
        <f>IFERROR(__xludf.DUMMYFUNCTION("GOOGLEFINANCE(""IDX:""&amp;A731,""price"")"),206.0)</f>
        <v>206</v>
      </c>
      <c r="D731" s="16" t="str">
        <f>IFERROR(__xludf.DUMMYFUNCTION("IF(A731="""","""",
SPARKLINE(
INDEX(
GOOGLEFINANCE(""IDX:""&amp;A731,""close"",TODAY()-365,TODAY()),
,2
),
{""linewidth"",1}
))
"),"#N/A")</f>
        <v>#N/A</v>
      </c>
      <c r="E731" s="26"/>
      <c r="F731" s="26"/>
      <c r="G731" s="24">
        <f t="shared" si="5"/>
        <v>0</v>
      </c>
      <c r="H731" s="19">
        <f>VLOOKUP(A731,Metrik!$C$2:$Y$959,8,0)</f>
        <v>200</v>
      </c>
      <c r="I731" s="20">
        <f>VLOOKUP(A731,Metrik!$C$2:$Y$959,9,0)</f>
        <v>6.4</v>
      </c>
      <c r="J731" s="20">
        <f>VLOOKUP(A731,Metrik!$C$2:$Y$959,10,0)</f>
        <v>3.2</v>
      </c>
      <c r="K731" s="20">
        <f>VLOOKUP(A731,Metrik!$C$2:$Y$959,11,0)</f>
        <v>3</v>
      </c>
      <c r="L731" s="20">
        <f>VLOOKUP(A731,Metrik!$C$2:$Y$959,12,0)</f>
        <v>0.07</v>
      </c>
      <c r="M731" s="20">
        <f>VLOOKUP(A731,Metrik!$C$2:$Y$959,19,0)</f>
        <v>110</v>
      </c>
      <c r="N731" s="21"/>
      <c r="O731" s="21"/>
      <c r="P731" s="21"/>
      <c r="Q731" s="21"/>
      <c r="R731" s="21"/>
      <c r="S731" s="21"/>
      <c r="T731" s="21"/>
      <c r="U731" s="22">
        <f>IFERROR(__xludf.DUMMYFUNCTION("IFERROR(GOOGLEFINANCE(A731,""closeyest""),"""")"),218.0)</f>
        <v>218</v>
      </c>
      <c r="V731" s="23">
        <f>IFERROR(__xludf.DUMMYFUNCTION("IFERROR(GOOGLEFINANCE(A731,""changepct""),"""")"),-5.5)</f>
        <v>-5.5</v>
      </c>
      <c r="W731" s="22">
        <f>IFERROR(__xludf.DUMMYFUNCTION("IFERROR(GOOGLEFINANCE(A731,""priceopen""),"""")"),216.0)</f>
        <v>216</v>
      </c>
      <c r="X731" s="22">
        <f>IFERROR(__xludf.DUMMYFUNCTION("IFERROR(GOOGLEFINANCE(A731,""high""),"""")"),232.0)</f>
        <v>232</v>
      </c>
      <c r="Y731" s="22">
        <f>IFERROR(__xludf.DUMMYFUNCTION("IFERROR(GOOGLEFINANCE(A731,""low""),"""")"),200.0)</f>
        <v>200</v>
      </c>
      <c r="Z731" s="22">
        <f>IFERROR(__xludf.DUMMYFUNCTION("IFERROR(GOOGLEFINANCE(A731,""volume""),"""")"),1.43829E7)</f>
        <v>14382900</v>
      </c>
      <c r="AA731" s="24" t="str">
        <f>VLOOKUP(A731,Metrik!$C$2:$Y$959,5,0)</f>
        <v>Multi-sector Holdings</v>
      </c>
      <c r="AB731" s="24" t="str">
        <f>VLOOKUP(A731,Metrik!$C$2:$Y$959,3,0)</f>
        <v>Industrials</v>
      </c>
    </row>
    <row r="732">
      <c r="A732" s="14" t="s">
        <v>392</v>
      </c>
      <c r="B732" s="14" t="str">
        <f t="array" ref="B732">VLOOKUP(A732,{Metrik!$C$2:$C$998,Metrik!$B$2:$B$998},2,0)</f>
        <v>Sentra Food Indonesia Tbk.</v>
      </c>
      <c r="C732" s="15">
        <f>IFERROR(__xludf.DUMMYFUNCTION("GOOGLEFINANCE(""IDX:""&amp;A732,""price"")"),161.0)</f>
        <v>161</v>
      </c>
      <c r="D732" s="16" t="str">
        <f>IFERROR(__xludf.DUMMYFUNCTION("IF(A732="""","""",
SPARKLINE(
INDEX(
GOOGLEFINANCE(""IDX:""&amp;A732,""close"",TODAY()-365,TODAY()),
,2
),
{""linewidth"",1}
))
"),"#N/A")</f>
        <v>#N/A</v>
      </c>
      <c r="E732" s="26"/>
      <c r="F732" s="26"/>
      <c r="G732" s="24">
        <f t="shared" si="5"/>
        <v>0</v>
      </c>
      <c r="H732" s="19">
        <f>VLOOKUP(A732,Metrik!$C$2:$Y$959,8,0)</f>
        <v>-7.6</v>
      </c>
      <c r="I732" s="20">
        <f>VLOOKUP(A732,Metrik!$C$2:$Y$959,9,0)</f>
        <v>-3.8</v>
      </c>
      <c r="J732" s="20">
        <f>VLOOKUP(A732,Metrik!$C$2:$Y$959,10,0)</f>
        <v>0</v>
      </c>
      <c r="K732" s="20">
        <f>VLOOKUP(A732,Metrik!$C$2:$Y$959,11,0)</f>
        <v>-34.5</v>
      </c>
      <c r="L732" s="20">
        <f>VLOOKUP(A732,Metrik!$C$2:$Y$959,12,0)</f>
        <v>-2.4</v>
      </c>
      <c r="M732" s="20">
        <f>VLOOKUP(A732,Metrik!$C$2:$Y$959,19,0)</f>
        <v>-64.3</v>
      </c>
      <c r="N732" s="21"/>
      <c r="O732" s="21"/>
      <c r="P732" s="21"/>
      <c r="Q732" s="21"/>
      <c r="R732" s="21"/>
      <c r="S732" s="21"/>
      <c r="T732" s="21"/>
      <c r="U732" s="22">
        <f>IFERROR(__xludf.DUMMYFUNCTION("IFERROR(GOOGLEFINANCE(A732,""closeyest""),"""")"),3.69)</f>
        <v>3.69</v>
      </c>
      <c r="V732" s="23">
        <f>IFERROR(__xludf.DUMMYFUNCTION("IFERROR(GOOGLEFINANCE(A732,""changepct""),"""")"),1.67)</f>
        <v>1.67</v>
      </c>
      <c r="W732" s="22">
        <f>IFERROR(__xludf.DUMMYFUNCTION("IFERROR(GOOGLEFINANCE(A732,""priceopen""),"""")"),3.76)</f>
        <v>3.76</v>
      </c>
      <c r="X732" s="22">
        <f>IFERROR(__xludf.DUMMYFUNCTION("IFERROR(GOOGLEFINANCE(A732,""high""),"""")"),3.79)</f>
        <v>3.79</v>
      </c>
      <c r="Y732" s="22">
        <f>IFERROR(__xludf.DUMMYFUNCTION("IFERROR(GOOGLEFINANCE(A732,""low""),"""")"),3.74)</f>
        <v>3.74</v>
      </c>
      <c r="Z732" s="22">
        <f>IFERROR(__xludf.DUMMYFUNCTION("IFERROR(GOOGLEFINANCE(A732,""volume""),"""")"),392.0)</f>
        <v>392</v>
      </c>
      <c r="AA732" s="24" t="str">
        <f>VLOOKUP(A732,Metrik!$C$2:$Y$959,5,0)</f>
        <v>Processed Foods</v>
      </c>
      <c r="AB732" s="24" t="str">
        <f>VLOOKUP(A732,Metrik!$C$2:$Y$959,3,0)</f>
        <v>Consumer Non-Cyclicals</v>
      </c>
    </row>
    <row r="733">
      <c r="A733" s="14" t="s">
        <v>393</v>
      </c>
      <c r="B733" s="14" t="str">
        <f t="array" ref="B733">VLOOKUP(A733,{Metrik!$C$2:$C$998,Metrik!$B$2:$B$998},2,0)</f>
        <v>Fore Kopi Indonesia Tbk.</v>
      </c>
      <c r="C733" s="15">
        <f>IFERROR(__xludf.DUMMYFUNCTION("GOOGLEFINANCE(""IDX:""&amp;A733,""price"")"),700.0)</f>
        <v>700</v>
      </c>
      <c r="D733" s="16" t="str">
        <f>IFERROR(__xludf.DUMMYFUNCTION("IF(A733="""","""",
SPARKLINE(
INDEX(
GOOGLEFINANCE(""IDX:""&amp;A733,""close"",TODAY()-365,TODAY()),
,2
),
{""linewidth"",1}
))
"),"#N/A")</f>
        <v>#N/A</v>
      </c>
      <c r="E733" s="26"/>
      <c r="F733" s="26"/>
      <c r="G733" s="24">
        <f t="shared" si="5"/>
        <v>0</v>
      </c>
      <c r="H733" s="19">
        <f>VLOOKUP(A733,Metrik!$C$2:$Y$959,8,0)</f>
        <v>67.1</v>
      </c>
      <c r="I733" s="20">
        <f>VLOOKUP(A733,Metrik!$C$2:$Y$959,9,0)</f>
        <v>9.1</v>
      </c>
      <c r="J733" s="20">
        <f>VLOOKUP(A733,Metrik!$C$2:$Y$959,10,0)</f>
        <v>13.6</v>
      </c>
      <c r="K733" s="20">
        <f>VLOOKUP(A733,Metrik!$C$2:$Y$959,11,0)</f>
        <v>8.1</v>
      </c>
      <c r="L733" s="20">
        <f>VLOOKUP(A733,Metrik!$C$2:$Y$959,12,0)</f>
        <v>0.69</v>
      </c>
      <c r="M733" s="20">
        <f>VLOOKUP(A733,Metrik!$C$2:$Y$959,19,0)</f>
        <v>21.1</v>
      </c>
      <c r="N733" s="21"/>
      <c r="O733" s="21"/>
      <c r="P733" s="21"/>
      <c r="Q733" s="21"/>
      <c r="R733" s="21"/>
      <c r="S733" s="21"/>
      <c r="T733" s="21"/>
      <c r="U733" s="22">
        <f>IFERROR(__xludf.DUMMYFUNCTION("IFERROR(GOOGLEFINANCE(A733,""closeyest""),"""")"),765.0)</f>
        <v>765</v>
      </c>
      <c r="V733" s="23">
        <f>IFERROR(__xludf.DUMMYFUNCTION("IFERROR(GOOGLEFINANCE(A733,""changepct""),"""")"),0.0)</f>
        <v>0</v>
      </c>
      <c r="W733" s="22" t="str">
        <f>IFERROR(__xludf.DUMMYFUNCTION("IFERROR(GOOGLEFINANCE(A733,""priceopen""),"""")"),"")</f>
        <v/>
      </c>
      <c r="X733" s="22" t="str">
        <f>IFERROR(__xludf.DUMMYFUNCTION("IFERROR(GOOGLEFINANCE(A733,""high""),"""")"),"")</f>
        <v/>
      </c>
      <c r="Y733" s="22" t="str">
        <f>IFERROR(__xludf.DUMMYFUNCTION("IFERROR(GOOGLEFINANCE(A733,""low""),"""")"),"")</f>
        <v/>
      </c>
      <c r="Z733" s="22">
        <f>IFERROR(__xludf.DUMMYFUNCTION("IFERROR(GOOGLEFINANCE(A733,""volume""),"""")"),0.0)</f>
        <v>0</v>
      </c>
      <c r="AA733" s="24" t="str">
        <f>VLOOKUP(A733,Metrik!$C$2:$Y$959,5,0)</f>
        <v>Beverages</v>
      </c>
      <c r="AB733" s="24" t="str">
        <f>VLOOKUP(A733,Metrik!$C$2:$Y$959,3,0)</f>
        <v>Consumer Non-Cyclicals</v>
      </c>
    </row>
    <row r="734">
      <c r="A734" s="14" t="s">
        <v>394</v>
      </c>
      <c r="B734" s="14" t="str">
        <f t="array" ref="B734">VLOOKUP(A734,{Metrik!$C$2:$C$998,Metrik!$B$2:$B$998},2,0)</f>
        <v>Fortune Indonesia Tbk</v>
      </c>
      <c r="C734" s="15">
        <f>IFERROR(__xludf.DUMMYFUNCTION("GOOGLEFINANCE(""IDX:""&amp;A734,""price"")"),3770.0)</f>
        <v>3770</v>
      </c>
      <c r="D734" s="16" t="str">
        <f>IFERROR(__xludf.DUMMYFUNCTION("IF(A734="""","""",
SPARKLINE(
INDEX(
GOOGLEFINANCE(""IDX:""&amp;A734,""close"",TODAY()-365,TODAY()),
,2
),
{""linewidth"",1}
))
"),"#N/A")</f>
        <v>#N/A</v>
      </c>
      <c r="E734" s="26"/>
      <c r="F734" s="26"/>
      <c r="G734" s="24">
        <f t="shared" si="5"/>
        <v>0</v>
      </c>
      <c r="H734" s="19">
        <f>VLOOKUP(A734,Metrik!$C$2:$Y$959,8,0)</f>
        <v>-94.1</v>
      </c>
      <c r="I734" s="20">
        <f>VLOOKUP(A734,Metrik!$C$2:$Y$959,9,0)</f>
        <v>36.3</v>
      </c>
      <c r="J734" s="20">
        <f>VLOOKUP(A734,Metrik!$C$2:$Y$959,10,0)</f>
        <v>-38.6</v>
      </c>
      <c r="K734" s="20">
        <f>VLOOKUP(A734,Metrik!$C$2:$Y$959,11,0)</f>
        <v>-22.1</v>
      </c>
      <c r="L734" s="20">
        <f>VLOOKUP(A734,Metrik!$C$2:$Y$959,12,0)</f>
        <v>0.74</v>
      </c>
      <c r="M734" s="20">
        <f>VLOOKUP(A734,Metrik!$C$2:$Y$959,19,0)</f>
        <v>-140</v>
      </c>
      <c r="N734" s="21"/>
      <c r="O734" s="21"/>
      <c r="P734" s="21"/>
      <c r="Q734" s="21"/>
      <c r="R734" s="21"/>
      <c r="S734" s="21"/>
      <c r="T734" s="21"/>
      <c r="U734" s="22">
        <f>IFERROR(__xludf.DUMMYFUNCTION("IFERROR(GOOGLEFINANCE(A734,""closeyest""),"""")"),0.0)</f>
        <v>0</v>
      </c>
      <c r="V734" s="23">
        <f>IFERROR(__xludf.DUMMYFUNCTION("IFERROR(GOOGLEFINANCE(A734,""changepct""),"""")"),0.0)</f>
        <v>0</v>
      </c>
      <c r="W734" s="22" t="str">
        <f>IFERROR(__xludf.DUMMYFUNCTION("IFERROR(GOOGLEFINANCE(A734,""priceopen""),"""")"),"")</f>
        <v/>
      </c>
      <c r="X734" s="22" t="str">
        <f>IFERROR(__xludf.DUMMYFUNCTION("IFERROR(GOOGLEFINANCE(A734,""high""),"""")"),"")</f>
        <v/>
      </c>
      <c r="Y734" s="22" t="str">
        <f>IFERROR(__xludf.DUMMYFUNCTION("IFERROR(GOOGLEFINANCE(A734,""low""),"""")"),"")</f>
        <v/>
      </c>
      <c r="Z734" s="22">
        <f>IFERROR(__xludf.DUMMYFUNCTION("IFERROR(GOOGLEFINANCE(A734,""volume""),"""")"),0.0)</f>
        <v>0</v>
      </c>
      <c r="AA734" s="24" t="str">
        <f>VLOOKUP(A734,Metrik!$C$2:$Y$959,5,0)</f>
        <v>Media</v>
      </c>
      <c r="AB734" s="24" t="str">
        <f>VLOOKUP(A734,Metrik!$C$2:$Y$959,3,0)</f>
        <v>Consumer Cyclicals</v>
      </c>
    </row>
    <row r="735">
      <c r="A735" s="14" t="s">
        <v>395</v>
      </c>
      <c r="B735" s="14" t="str">
        <f t="array" ref="B735">VLOOKUP(A735,{Metrik!$C$2:$C$998,Metrik!$B$2:$B$998},2,0)</f>
        <v>Lotte Chemical Titan Tbk.</v>
      </c>
      <c r="C735" s="15" t="str">
        <f>IFERROR(__xludf.DUMMYFUNCTION("GOOGLEFINANCE(""IDX:""&amp;A735,""price"")"),"#N/A")</f>
        <v>#N/A</v>
      </c>
      <c r="D735" s="16" t="str">
        <f>IFERROR(__xludf.DUMMYFUNCTION("IF(A735="""","""",
SPARKLINE(
INDEX(
GOOGLEFINANCE(""IDX:""&amp;A735,""close"",TODAY()-365,TODAY()),
,2
),
{""linewidth"",1}
))
"),"#N/A")</f>
        <v>#N/A</v>
      </c>
      <c r="E735" s="26"/>
      <c r="F735" s="26"/>
      <c r="G735" s="24">
        <f t="shared" si="5"/>
        <v>0</v>
      </c>
      <c r="H735" s="19">
        <f>VLOOKUP(A735,Metrik!$C$2:$Y$959,8,0)</f>
        <v>16.4</v>
      </c>
      <c r="I735" s="20">
        <f>VLOOKUP(A735,Metrik!$C$2:$Y$959,9,0)</f>
        <v>1.2</v>
      </c>
      <c r="J735" s="20">
        <f>VLOOKUP(A735,Metrik!$C$2:$Y$959,10,0)</f>
        <v>7</v>
      </c>
      <c r="K735" s="20">
        <f>VLOOKUP(A735,Metrik!$C$2:$Y$959,11,0)</f>
        <v>4.5</v>
      </c>
      <c r="L735" s="20">
        <f>VLOOKUP(A735,Metrik!$C$2:$Y$959,12,0)</f>
        <v>0.56</v>
      </c>
      <c r="M735" s="20">
        <f>VLOOKUP(A735,Metrik!$C$2:$Y$959,19,0)</f>
        <v>9.1</v>
      </c>
      <c r="N735" s="21"/>
      <c r="O735" s="21"/>
      <c r="P735" s="21"/>
      <c r="Q735" s="21"/>
      <c r="R735" s="21"/>
      <c r="S735" s="21"/>
      <c r="T735" s="21"/>
      <c r="U735" s="22">
        <f>IFERROR(__xludf.DUMMYFUNCTION("IFERROR(GOOGLEFINANCE(A735,""closeyest""),"""")"),300.0)</f>
        <v>300</v>
      </c>
      <c r="V735" s="23">
        <f>IFERROR(__xludf.DUMMYFUNCTION("IFERROR(GOOGLEFINANCE(A735,""changepct""),"""")"),3.33)</f>
        <v>3.33</v>
      </c>
      <c r="W735" s="22">
        <f>IFERROR(__xludf.DUMMYFUNCTION("IFERROR(GOOGLEFINANCE(A735,""priceopen""),"""")"),300.0)</f>
        <v>300</v>
      </c>
      <c r="X735" s="22">
        <f>IFERROR(__xludf.DUMMYFUNCTION("IFERROR(GOOGLEFINANCE(A735,""high""),"""")"),314.0)</f>
        <v>314</v>
      </c>
      <c r="Y735" s="22">
        <f>IFERROR(__xludf.DUMMYFUNCTION("IFERROR(GOOGLEFINANCE(A735,""low""),"""")"),300.0)</f>
        <v>300</v>
      </c>
      <c r="Z735" s="22">
        <f>IFERROR(__xludf.DUMMYFUNCTION("IFERROR(GOOGLEFINANCE(A735,""volume""),"""")"),2552100.0)</f>
        <v>2552100</v>
      </c>
      <c r="AA735" s="24" t="str">
        <f>VLOOKUP(A735,Metrik!$C$2:$Y$959,5,0)</f>
        <v>Chemicals</v>
      </c>
      <c r="AB735" s="24" t="str">
        <f>VLOOKUP(A735,Metrik!$C$2:$Y$959,3,0)</f>
        <v>Basic Materials</v>
      </c>
    </row>
    <row r="736">
      <c r="A736" s="17" t="s">
        <v>396</v>
      </c>
      <c r="B736" s="14" t="str">
        <f t="array" ref="B736">VLOOKUP(A736,{Metrik!$C$2:$C$998,Metrik!$B$2:$B$998},2,0)</f>
        <v>Smartfren Telecom Tbk</v>
      </c>
      <c r="C736" s="15" t="str">
        <f>IFERROR(__xludf.DUMMYFUNCTION("GOOGLEFINANCE(""IDX:""&amp;A736,""price"")"),"#N/A")</f>
        <v>#N/A</v>
      </c>
      <c r="D736" s="16" t="str">
        <f>IFERROR(__xludf.DUMMYFUNCTION("IF(A736="""","""",
SPARKLINE(
INDEX(
GOOGLEFINANCE(""IDX:""&amp;A736,""close"",TODAY()-365,TODAY()),
,2
),
{""linewidth"",1}
))
"),"#N/A")</f>
        <v>#N/A</v>
      </c>
      <c r="E736" s="26"/>
      <c r="F736" s="26"/>
      <c r="G736" s="24">
        <f t="shared" si="5"/>
        <v>0</v>
      </c>
      <c r="H736" s="19" t="str">
        <f>VLOOKUP(A736,Metrik!$C$2:$Y$959,8,0)</f>
        <v/>
      </c>
      <c r="I736" s="20" t="str">
        <f>VLOOKUP(A736,Metrik!$C$2:$Y$959,9,0)</f>
        <v/>
      </c>
      <c r="J736" s="20" t="str">
        <f>VLOOKUP(A736,Metrik!$C$2:$Y$959,10,0)</f>
        <v/>
      </c>
      <c r="K736" s="20" t="str">
        <f>VLOOKUP(A736,Metrik!$C$2:$Y$959,11,0)</f>
        <v/>
      </c>
      <c r="L736" s="20" t="str">
        <f>VLOOKUP(A736,Metrik!$C$2:$Y$959,12,0)</f>
        <v/>
      </c>
      <c r="M736" s="20" t="str">
        <f>VLOOKUP(A736,Metrik!$C$2:$Y$959,19,0)</f>
        <v/>
      </c>
      <c r="N736" s="21"/>
      <c r="O736" s="21"/>
      <c r="P736" s="21"/>
      <c r="Q736" s="21"/>
      <c r="R736" s="21"/>
      <c r="S736" s="21"/>
      <c r="T736" s="21"/>
      <c r="U736" s="22">
        <f>IFERROR(__xludf.DUMMYFUNCTION("IFERROR(GOOGLEFINANCE(A736,""closeyest""),"""")"),791.93)</f>
        <v>791.93</v>
      </c>
      <c r="V736" s="23">
        <f>IFERROR(__xludf.DUMMYFUNCTION("IFERROR(GOOGLEFINANCE(A736,""changepct""),"""")"),0.0)</f>
        <v>0</v>
      </c>
      <c r="W736" s="22" t="str">
        <f>IFERROR(__xludf.DUMMYFUNCTION("IFERROR(GOOGLEFINANCE(A736,""priceopen""),"""")"),"")</f>
        <v/>
      </c>
      <c r="X736" s="22" t="str">
        <f>IFERROR(__xludf.DUMMYFUNCTION("IFERROR(GOOGLEFINANCE(A736,""high""),"""")"),"")</f>
        <v/>
      </c>
      <c r="Y736" s="22" t="str">
        <f>IFERROR(__xludf.DUMMYFUNCTION("IFERROR(GOOGLEFINANCE(A736,""low""),"""")"),"")</f>
        <v/>
      </c>
      <c r="Z736" s="22">
        <f>IFERROR(__xludf.DUMMYFUNCTION("IFERROR(GOOGLEFINANCE(A736,""volume""),"""")"),0.0)</f>
        <v>0</v>
      </c>
      <c r="AA736" s="24" t="str">
        <f>VLOOKUP(A736,Metrik!$C$2:$Y$959,5,0)</f>
        <v>Wireless Telecommunication Services</v>
      </c>
      <c r="AB736" s="24" t="str">
        <f>VLOOKUP(A736,Metrik!$C$2:$Y$959,3,0)</f>
        <v>Infrastructures</v>
      </c>
    </row>
    <row r="737">
      <c r="A737" s="14" t="s">
        <v>397</v>
      </c>
      <c r="B737" s="14" t="str">
        <f t="array" ref="B737">VLOOKUP(A737,{Metrik!$C$2:$C$998,Metrik!$B$2:$B$998},2,0)</f>
        <v>Fuji Finance Indonesia Tbk.</v>
      </c>
      <c r="C737" s="15">
        <f>IFERROR(__xludf.DUMMYFUNCTION("GOOGLEFINANCE(""IDX:""&amp;A737,""price"")"),278.0)</f>
        <v>278</v>
      </c>
      <c r="D737" s="16" t="str">
        <f>IFERROR(__xludf.DUMMYFUNCTION("IF(A737="""","""",
SPARKLINE(
INDEX(
GOOGLEFINANCE(""IDX:""&amp;A737,""close"",TODAY()-365,TODAY()),
,2
),
{""linewidth"",1}
))
"),"#N/A")</f>
        <v>#N/A</v>
      </c>
      <c r="E737" s="26"/>
      <c r="F737" s="26"/>
      <c r="G737" s="24">
        <f t="shared" si="5"/>
        <v>0</v>
      </c>
      <c r="H737" s="19">
        <f>VLOOKUP(A737,Metrik!$C$2:$Y$959,8,0)</f>
        <v>61.2</v>
      </c>
      <c r="I737" s="20">
        <f>VLOOKUP(A737,Metrik!$C$2:$Y$959,9,0)</f>
        <v>2</v>
      </c>
      <c r="J737" s="20">
        <f>VLOOKUP(A737,Metrik!$C$2:$Y$959,10,0)</f>
        <v>3.2</v>
      </c>
      <c r="K737" s="20">
        <f>VLOOKUP(A737,Metrik!$C$2:$Y$959,11,0)</f>
        <v>3.1</v>
      </c>
      <c r="L737" s="20">
        <f>VLOOKUP(A737,Metrik!$C$2:$Y$959,12,0)</f>
        <v>0.03</v>
      </c>
      <c r="M737" s="20">
        <f>VLOOKUP(A737,Metrik!$C$2:$Y$959,19,0)</f>
        <v>690</v>
      </c>
      <c r="N737" s="21"/>
      <c r="O737" s="21"/>
      <c r="P737" s="21"/>
      <c r="Q737" s="21"/>
      <c r="R737" s="21"/>
      <c r="S737" s="21"/>
      <c r="T737" s="21"/>
      <c r="U737" s="22">
        <f>IFERROR(__xludf.DUMMYFUNCTION("IFERROR(GOOGLEFINANCE(A737,""closeyest""),"""")"),11.61)</f>
        <v>11.61</v>
      </c>
      <c r="V737" s="23">
        <f>IFERROR(__xludf.DUMMYFUNCTION("IFERROR(GOOGLEFINANCE(A737,""changepct""),"""")"),2.05)</f>
        <v>2.05</v>
      </c>
      <c r="W737" s="22">
        <f>IFERROR(__xludf.DUMMYFUNCTION("IFERROR(GOOGLEFINANCE(A737,""priceopen""),"""")"),11.7)</f>
        <v>11.7</v>
      </c>
      <c r="X737" s="22">
        <f>IFERROR(__xludf.DUMMYFUNCTION("IFERROR(GOOGLEFINANCE(A737,""high""),"""")"),11.85)</f>
        <v>11.85</v>
      </c>
      <c r="Y737" s="22">
        <f>IFERROR(__xludf.DUMMYFUNCTION("IFERROR(GOOGLEFINANCE(A737,""low""),"""")"),11.7)</f>
        <v>11.7</v>
      </c>
      <c r="Z737" s="22">
        <f>IFERROR(__xludf.DUMMYFUNCTION("IFERROR(GOOGLEFINANCE(A737,""volume""),"""")"),919.0)</f>
        <v>919</v>
      </c>
      <c r="AA737" s="24" t="str">
        <f>VLOOKUP(A737,Metrik!$C$2:$Y$959,5,0)</f>
        <v>Consumer Financing</v>
      </c>
      <c r="AB737" s="24" t="str">
        <f>VLOOKUP(A737,Metrik!$C$2:$Y$959,3,0)</f>
        <v>Financials</v>
      </c>
    </row>
    <row r="738">
      <c r="A738" s="14" t="s">
        <v>398</v>
      </c>
      <c r="B738" s="14" t="str">
        <f t="array" ref="B738">VLOOKUP(A738,{Metrik!$C$2:$C$998,Metrik!$B$2:$B$998},2,0)</f>
        <v>Futura Energi Global Tbk.</v>
      </c>
      <c r="C738" s="15">
        <f>IFERROR(__xludf.DUMMYFUNCTION("GOOGLEFINANCE(""IDX:""&amp;A738,""price"")"),156.0)</f>
        <v>156</v>
      </c>
      <c r="D738" s="16" t="str">
        <f>IFERROR(__xludf.DUMMYFUNCTION("IF(A738="""","""",
SPARKLINE(
INDEX(
GOOGLEFINANCE(""IDX:""&amp;A738,""close"",TODAY()-365,TODAY()),
,2
),
{""linewidth"",1}
))
"),"#N/A")</f>
        <v>#N/A</v>
      </c>
      <c r="E738" s="26"/>
      <c r="F738" s="26"/>
      <c r="G738" s="24">
        <f t="shared" si="5"/>
        <v>0</v>
      </c>
      <c r="H738" s="19">
        <f>VLOOKUP(A738,Metrik!$C$2:$Y$959,8,0)</f>
        <v>150</v>
      </c>
      <c r="I738" s="20">
        <f>VLOOKUP(A738,Metrik!$C$2:$Y$959,9,0)</f>
        <v>5.4</v>
      </c>
      <c r="J738" s="20">
        <f>VLOOKUP(A738,Metrik!$C$2:$Y$959,10,0)</f>
        <v>3.5</v>
      </c>
      <c r="K738" s="20">
        <f>VLOOKUP(A738,Metrik!$C$2:$Y$959,11,0)</f>
        <v>3.2</v>
      </c>
      <c r="L738" s="20">
        <f>VLOOKUP(A738,Metrik!$C$2:$Y$959,12,0)</f>
        <v>0.09</v>
      </c>
      <c r="M738" s="20">
        <f>VLOOKUP(A738,Metrik!$C$2:$Y$959,19,0)</f>
        <v>22.9</v>
      </c>
      <c r="N738" s="21"/>
      <c r="O738" s="21"/>
      <c r="P738" s="21"/>
      <c r="Q738" s="21"/>
      <c r="R738" s="21"/>
      <c r="S738" s="21"/>
      <c r="T738" s="21"/>
      <c r="U738" s="22">
        <f>IFERROR(__xludf.DUMMYFUNCTION("IFERROR(GOOGLEFINANCE(A738,""closeyest""),"""")"),0.24)</f>
        <v>0.24</v>
      </c>
      <c r="V738" s="23">
        <f>IFERROR(__xludf.DUMMYFUNCTION("IFERROR(GOOGLEFINANCE(A738,""changepct""),"""")"),0.0)</f>
        <v>0</v>
      </c>
      <c r="W738" s="22">
        <f>IFERROR(__xludf.DUMMYFUNCTION("IFERROR(GOOGLEFINANCE(A738,""priceopen""),"""")"),0.24)</f>
        <v>0.24</v>
      </c>
      <c r="X738" s="22">
        <f>IFERROR(__xludf.DUMMYFUNCTION("IFERROR(GOOGLEFINANCE(A738,""high""),"""")"),0.24)</f>
        <v>0.24</v>
      </c>
      <c r="Y738" s="22">
        <f>IFERROR(__xludf.DUMMYFUNCTION("IFERROR(GOOGLEFINANCE(A738,""low""),"""")"),0.24)</f>
        <v>0.24</v>
      </c>
      <c r="Z738" s="22">
        <f>IFERROR(__xludf.DUMMYFUNCTION("IFERROR(GOOGLEFINANCE(A738,""volume""),"""")"),1525.0)</f>
        <v>1525</v>
      </c>
      <c r="AA738" s="24" t="str">
        <f>VLOOKUP(A738,Metrik!$C$2:$Y$959,5,0)</f>
        <v>Media</v>
      </c>
      <c r="AB738" s="24" t="str">
        <f>VLOOKUP(A738,Metrik!$C$2:$Y$959,3,0)</f>
        <v>Consumer Cyclicals</v>
      </c>
    </row>
    <row r="739">
      <c r="A739" s="14" t="s">
        <v>399</v>
      </c>
      <c r="B739" s="14" t="str">
        <f t="array" ref="B739">VLOOKUP(A739,{Metrik!$C$2:$C$998,Metrik!$B$2:$B$998},2,0)</f>
        <v>PT Wijaya Cahaya Timber Tbk</v>
      </c>
      <c r="C739" s="15">
        <f>IFERROR(__xludf.DUMMYFUNCTION("GOOGLEFINANCE(""IDX:""&amp;A739,""price"")"),73.0)</f>
        <v>73</v>
      </c>
      <c r="D739" s="16" t="str">
        <f>IFERROR(__xludf.DUMMYFUNCTION("IF(A739="""","""",
SPARKLINE(
INDEX(
GOOGLEFINANCE(""IDX:""&amp;A739,""close"",TODAY()-365,TODAY()),
,2
),
{""linewidth"",1}
))
"),"#N/A")</f>
        <v>#N/A</v>
      </c>
      <c r="E739" s="26"/>
      <c r="F739" s="26"/>
      <c r="G739" s="24">
        <f t="shared" si="5"/>
        <v>0</v>
      </c>
      <c r="H739" s="19">
        <f>VLOOKUP(A739,Metrik!$C$2:$Y$959,8,0)</f>
        <v>-7.6</v>
      </c>
      <c r="I739" s="20">
        <f>VLOOKUP(A739,Metrik!$C$2:$Y$959,9,0)</f>
        <v>0.49</v>
      </c>
      <c r="J739" s="20">
        <f>VLOOKUP(A739,Metrik!$C$2:$Y$959,10,0)</f>
        <v>-6.4</v>
      </c>
      <c r="K739" s="20">
        <f>VLOOKUP(A739,Metrik!$C$2:$Y$959,11,0)</f>
        <v>-2.5</v>
      </c>
      <c r="L739" s="20">
        <f>VLOOKUP(A739,Metrik!$C$2:$Y$959,12,0)</f>
        <v>1.6</v>
      </c>
      <c r="M739" s="20">
        <f>VLOOKUP(A739,Metrik!$C$2:$Y$959,19,0)</f>
        <v>-17.2</v>
      </c>
      <c r="N739" s="21"/>
      <c r="O739" s="21"/>
      <c r="P739" s="21"/>
      <c r="Q739" s="21"/>
      <c r="R739" s="21"/>
      <c r="S739" s="21"/>
      <c r="T739" s="21"/>
      <c r="U739" s="22">
        <f>IFERROR(__xludf.DUMMYFUNCTION("IFERROR(GOOGLEFINANCE(A739,""closeyest""),"""")"),70.0)</f>
        <v>70</v>
      </c>
      <c r="V739" s="23">
        <f>IFERROR(__xludf.DUMMYFUNCTION("IFERROR(GOOGLEFINANCE(A739,""changepct""),"""")"),4.29)</f>
        <v>4.29</v>
      </c>
      <c r="W739" s="22" t="str">
        <f>IFERROR(__xludf.DUMMYFUNCTION("IFERROR(GOOGLEFINANCE(A739,""priceopen""),"""")"),"")</f>
        <v/>
      </c>
      <c r="X739" s="22">
        <f>IFERROR(__xludf.DUMMYFUNCTION("IFERROR(GOOGLEFINANCE(A739,""high""),"""")"),74.0)</f>
        <v>74</v>
      </c>
      <c r="Y739" s="22">
        <f>IFERROR(__xludf.DUMMYFUNCTION("IFERROR(GOOGLEFINANCE(A739,""low""),"""")"),70.0)</f>
        <v>70</v>
      </c>
      <c r="Z739" s="22">
        <f>IFERROR(__xludf.DUMMYFUNCTION("IFERROR(GOOGLEFINANCE(A739,""volume""),"""")"),1606200.0)</f>
        <v>1606200</v>
      </c>
      <c r="AA739" s="24" t="str">
        <f>VLOOKUP(A739,Metrik!$C$2:$Y$959,5,0)</f>
        <v>Oil &amp; Gas</v>
      </c>
      <c r="AB739" s="24" t="str">
        <f>VLOOKUP(A739,Metrik!$C$2:$Y$959,3,0)</f>
        <v>Energy</v>
      </c>
    </row>
    <row r="740">
      <c r="A740" s="14" t="s">
        <v>400</v>
      </c>
      <c r="B740" s="14" t="str">
        <f t="array" ref="B740">VLOOKUP(A740,{Metrik!$C$2:$C$998,Metrik!$B$2:$B$998},2,0)</f>
        <v>Aksara Global Development Tbk.</v>
      </c>
      <c r="C740" s="15">
        <f>IFERROR(__xludf.DUMMYFUNCTION("GOOGLEFINANCE(""IDX:""&amp;A740,""price"")"),18.0)</f>
        <v>18</v>
      </c>
      <c r="D740" s="16" t="str">
        <f>IFERROR(__xludf.DUMMYFUNCTION("IF(A740="""","""",
SPARKLINE(
INDEX(
GOOGLEFINANCE(""IDX:""&amp;A740,""close"",TODAY()-365,TODAY()),
,2
),
{""linewidth"",1}
))
"),"#N/A")</f>
        <v>#N/A</v>
      </c>
      <c r="E740" s="26"/>
      <c r="F740" s="26"/>
      <c r="G740" s="24">
        <f t="shared" si="5"/>
        <v>0</v>
      </c>
      <c r="H740" s="19">
        <f>VLOOKUP(A740,Metrik!$C$2:$Y$959,8,0)</f>
        <v>0</v>
      </c>
      <c r="I740" s="20">
        <f>VLOOKUP(A740,Metrik!$C$2:$Y$959,9,0)</f>
        <v>0.17</v>
      </c>
      <c r="J740" s="20">
        <f>VLOOKUP(A740,Metrik!$C$2:$Y$959,10,0)</f>
        <v>-3.3</v>
      </c>
      <c r="K740" s="20">
        <f>VLOOKUP(A740,Metrik!$C$2:$Y$959,11,0)</f>
        <v>-2.5</v>
      </c>
      <c r="L740" s="20">
        <f>VLOOKUP(A740,Metrik!$C$2:$Y$959,12,0)</f>
        <v>0.31</v>
      </c>
      <c r="M740" s="20">
        <f>VLOOKUP(A740,Metrik!$C$2:$Y$959,19,0)</f>
        <v>-300</v>
      </c>
      <c r="N740" s="21"/>
      <c r="O740" s="21"/>
      <c r="P740" s="21"/>
      <c r="Q740" s="21"/>
      <c r="R740" s="21"/>
      <c r="S740" s="21"/>
      <c r="T740" s="21"/>
      <c r="U740" s="22">
        <f>IFERROR(__xludf.DUMMYFUNCTION("IFERROR(GOOGLEFINANCE(A740,""closeyest""),"""")"),0.11)</f>
        <v>0.11</v>
      </c>
      <c r="V740" s="23">
        <f>IFERROR(__xludf.DUMMYFUNCTION("IFERROR(GOOGLEFINANCE(A740,""changepct""),"""")"),0.0)</f>
        <v>0</v>
      </c>
      <c r="W740" s="22" t="str">
        <f>IFERROR(__xludf.DUMMYFUNCTION("IFERROR(GOOGLEFINANCE(A740,""priceopen""),"""")"),"")</f>
        <v/>
      </c>
      <c r="X740" s="22" t="str">
        <f>IFERROR(__xludf.DUMMYFUNCTION("IFERROR(GOOGLEFINANCE(A740,""high""),"""")"),"")</f>
        <v/>
      </c>
      <c r="Y740" s="22" t="str">
        <f>IFERROR(__xludf.DUMMYFUNCTION("IFERROR(GOOGLEFINANCE(A740,""low""),"""")"),"")</f>
        <v/>
      </c>
      <c r="Z740" s="22">
        <f>IFERROR(__xludf.DUMMYFUNCTION("IFERROR(GOOGLEFINANCE(A740,""volume""),"""")"),0.0)</f>
        <v>0</v>
      </c>
      <c r="AA740" s="24" t="str">
        <f>VLOOKUP(A740,Metrik!$C$2:$Y$959,5,0)</f>
        <v>Real Estate Management &amp; Development</v>
      </c>
      <c r="AB740" s="24" t="str">
        <f>VLOOKUP(A740,Metrik!$C$2:$Y$959,3,0)</f>
        <v>Properties &amp; Real Estate</v>
      </c>
    </row>
    <row r="741">
      <c r="A741" s="14" t="s">
        <v>401</v>
      </c>
      <c r="B741" s="14" t="str">
        <f t="array" ref="B741">VLOOKUP(A741,{Metrik!$C$2:$C$998,Metrik!$B$2:$B$998},2,0)</f>
        <v>Gunawan Dianjaya Steel Tbk.</v>
      </c>
      <c r="C741" s="15">
        <f>IFERROR(__xludf.DUMMYFUNCTION("GOOGLEFINANCE(""IDX:""&amp;A741,""price"")"),79.0)</f>
        <v>79</v>
      </c>
      <c r="D741" s="16" t="str">
        <f>IFERROR(__xludf.DUMMYFUNCTION("IF(A741="""","""",
SPARKLINE(
INDEX(
GOOGLEFINANCE(""IDX:""&amp;A741,""close"",TODAY()-365,TODAY()),
,2
),
{""linewidth"",1}
))
"),"#N/A")</f>
        <v>#N/A</v>
      </c>
      <c r="E741" s="26"/>
      <c r="F741" s="26"/>
      <c r="G741" s="24">
        <f t="shared" si="5"/>
        <v>0</v>
      </c>
      <c r="H741" s="19">
        <f>VLOOKUP(A741,Metrik!$C$2:$Y$959,8,0)</f>
        <v>17.5</v>
      </c>
      <c r="I741" s="20">
        <f>VLOOKUP(A741,Metrik!$C$2:$Y$959,9,0)</f>
        <v>0.58</v>
      </c>
      <c r="J741" s="20">
        <f>VLOOKUP(A741,Metrik!$C$2:$Y$959,10,0)</f>
        <v>3.3</v>
      </c>
      <c r="K741" s="20">
        <f>VLOOKUP(A741,Metrik!$C$2:$Y$959,11,0)</f>
        <v>1.4</v>
      </c>
      <c r="L741" s="20">
        <f>VLOOKUP(A741,Metrik!$C$2:$Y$959,12,0)</f>
        <v>1.4</v>
      </c>
      <c r="M741" s="20">
        <f>VLOOKUP(A741,Metrik!$C$2:$Y$959,19,0)</f>
        <v>10.1</v>
      </c>
      <c r="N741" s="21"/>
      <c r="O741" s="21"/>
      <c r="P741" s="21"/>
      <c r="Q741" s="21"/>
      <c r="R741" s="21"/>
      <c r="S741" s="21"/>
      <c r="T741" s="21"/>
      <c r="U741" s="22">
        <f>IFERROR(__xludf.DUMMYFUNCTION("IFERROR(GOOGLEFINANCE(A741,""closeyest""),"""")"),12.5)</f>
        <v>12.5</v>
      </c>
      <c r="V741" s="23">
        <f>IFERROR(__xludf.DUMMYFUNCTION("IFERROR(GOOGLEFINANCE(A741,""changepct""),"""")"),0.0)</f>
        <v>0</v>
      </c>
      <c r="W741" s="22" t="str">
        <f>IFERROR(__xludf.DUMMYFUNCTION("IFERROR(GOOGLEFINANCE(A741,""priceopen""),"""")"),"")</f>
        <v/>
      </c>
      <c r="X741" s="22" t="str">
        <f>IFERROR(__xludf.DUMMYFUNCTION("IFERROR(GOOGLEFINANCE(A741,""high""),"""")"),"")</f>
        <v/>
      </c>
      <c r="Y741" s="22" t="str">
        <f>IFERROR(__xludf.DUMMYFUNCTION("IFERROR(GOOGLEFINANCE(A741,""low""),"""")"),"")</f>
        <v/>
      </c>
      <c r="Z741" s="22">
        <f>IFERROR(__xludf.DUMMYFUNCTION("IFERROR(GOOGLEFINANCE(A741,""volume""),"""")"),0.0)</f>
        <v>0</v>
      </c>
      <c r="AA741" s="24" t="str">
        <f>VLOOKUP(A741,Metrik!$C$2:$Y$959,5,0)</f>
        <v>Metals &amp; Minerals</v>
      </c>
      <c r="AB741" s="24" t="str">
        <f>VLOOKUP(A741,Metrik!$C$2:$Y$959,3,0)</f>
        <v>Basic Materials</v>
      </c>
    </row>
    <row r="742">
      <c r="A742" s="14" t="s">
        <v>402</v>
      </c>
      <c r="B742" s="14" t="str">
        <f t="array" ref="B742">VLOOKUP(A742,{Metrik!$C$2:$C$998,Metrik!$B$2:$B$998},2,0)</f>
        <v>Goodyear Indonesia Tbk.</v>
      </c>
      <c r="C742" s="15">
        <f>IFERROR(__xludf.DUMMYFUNCTION("GOOGLEFINANCE(""IDX:""&amp;A742,""price"")"),1090.0)</f>
        <v>1090</v>
      </c>
      <c r="D742" s="16" t="str">
        <f>IFERROR(__xludf.DUMMYFUNCTION("IF(A742="""","""",
SPARKLINE(
INDEX(
GOOGLEFINANCE(""IDX:""&amp;A742,""close"",TODAY()-365,TODAY()),
,2
),
{""linewidth"",1}
))
"),"#N/A")</f>
        <v>#N/A</v>
      </c>
      <c r="E742" s="26"/>
      <c r="F742" s="26"/>
      <c r="G742" s="24">
        <f t="shared" si="5"/>
        <v>0</v>
      </c>
      <c r="H742" s="19">
        <f>VLOOKUP(A742,Metrik!$C$2:$Y$959,8,0)</f>
        <v>12.2</v>
      </c>
      <c r="I742" s="20">
        <f>VLOOKUP(A742,Metrik!$C$2:$Y$959,9,0)</f>
        <v>0.43</v>
      </c>
      <c r="J742" s="20">
        <f>VLOOKUP(A742,Metrik!$C$2:$Y$959,10,0)</f>
        <v>3.5</v>
      </c>
      <c r="K742" s="20">
        <f>VLOOKUP(A742,Metrik!$C$2:$Y$959,11,0)</f>
        <v>2.1</v>
      </c>
      <c r="L742" s="20">
        <f>VLOOKUP(A742,Metrik!$C$2:$Y$959,12,0)</f>
        <v>0.71</v>
      </c>
      <c r="M742" s="20">
        <f>VLOOKUP(A742,Metrik!$C$2:$Y$959,19,0)</f>
        <v>6.1</v>
      </c>
      <c r="N742" s="21"/>
      <c r="O742" s="21"/>
      <c r="P742" s="21"/>
      <c r="Q742" s="21"/>
      <c r="R742" s="21"/>
      <c r="S742" s="21"/>
      <c r="T742" s="21"/>
      <c r="U742" s="22">
        <f>IFERROR(__xludf.DUMMYFUNCTION("IFERROR(GOOGLEFINANCE(A742,""closeyest""),"""")"),1090.0)</f>
        <v>1090</v>
      </c>
      <c r="V742" s="23">
        <f>IFERROR(__xludf.DUMMYFUNCTION("IFERROR(GOOGLEFINANCE(A742,""changepct""),"""")"),0.0)</f>
        <v>0</v>
      </c>
      <c r="W742" s="22">
        <f>IFERROR(__xludf.DUMMYFUNCTION("IFERROR(GOOGLEFINANCE(A742,""priceopen""),"""")"),1090.0)</f>
        <v>1090</v>
      </c>
      <c r="X742" s="22">
        <f>IFERROR(__xludf.DUMMYFUNCTION("IFERROR(GOOGLEFINANCE(A742,""high""),"""")"),1100.0)</f>
        <v>1100</v>
      </c>
      <c r="Y742" s="22">
        <f>IFERROR(__xludf.DUMMYFUNCTION("IFERROR(GOOGLEFINANCE(A742,""low""),"""")"),1090.0)</f>
        <v>1090</v>
      </c>
      <c r="Z742" s="22">
        <f>IFERROR(__xludf.DUMMYFUNCTION("IFERROR(GOOGLEFINANCE(A742,""volume""),"""")"),2300.0)</f>
        <v>2300</v>
      </c>
      <c r="AA742" s="24" t="str">
        <f>VLOOKUP(A742,Metrik!$C$2:$Y$959,5,0)</f>
        <v>Auto Components</v>
      </c>
      <c r="AB742" s="24" t="str">
        <f>VLOOKUP(A742,Metrik!$C$2:$Y$959,3,0)</f>
        <v>Consumer Cyclicals</v>
      </c>
    </row>
    <row r="743">
      <c r="A743" s="14" t="s">
        <v>403</v>
      </c>
      <c r="B743" s="14" t="str">
        <f t="array" ref="B743">VLOOKUP(A743,{Metrik!$C$2:$C$998,Metrik!$B$2:$B$998},2,0)</f>
        <v>Gema Grahasarana Tbk.</v>
      </c>
      <c r="C743" s="15">
        <f>IFERROR(__xludf.DUMMYFUNCTION("GOOGLEFINANCE(""IDX:""&amp;A743,""price"")"),78.0)</f>
        <v>78</v>
      </c>
      <c r="D743" s="16" t="str">
        <f>IFERROR(__xludf.DUMMYFUNCTION("IF(A743="""","""",
SPARKLINE(
INDEX(
GOOGLEFINANCE(""IDX:""&amp;A743,""close"",TODAY()-365,TODAY()),
,2
),
{""linewidth"",1}
))
"),"#N/A")</f>
        <v>#N/A</v>
      </c>
      <c r="E743" s="26"/>
      <c r="F743" s="26"/>
      <c r="G743" s="24">
        <f t="shared" si="5"/>
        <v>0</v>
      </c>
      <c r="H743" s="19">
        <f>VLOOKUP(A743,Metrik!$C$2:$Y$959,8,0)</f>
        <v>11.9</v>
      </c>
      <c r="I743" s="20">
        <f>VLOOKUP(A743,Metrik!$C$2:$Y$959,9,0)</f>
        <v>0.32</v>
      </c>
      <c r="J743" s="20">
        <f>VLOOKUP(A743,Metrik!$C$2:$Y$959,10,0)</f>
        <v>2.7</v>
      </c>
      <c r="K743" s="20">
        <f>VLOOKUP(A743,Metrik!$C$2:$Y$959,11,0)</f>
        <v>0.93</v>
      </c>
      <c r="L743" s="20">
        <f>VLOOKUP(A743,Metrik!$C$2:$Y$959,12,0)</f>
        <v>1.8</v>
      </c>
      <c r="M743" s="20">
        <f>VLOOKUP(A743,Metrik!$C$2:$Y$959,19,0)</f>
        <v>3.4</v>
      </c>
      <c r="N743" s="21"/>
      <c r="O743" s="21"/>
      <c r="P743" s="21"/>
      <c r="Q743" s="21"/>
      <c r="R743" s="21"/>
      <c r="S743" s="21"/>
      <c r="T743" s="21"/>
      <c r="U743" s="22">
        <f>IFERROR(__xludf.DUMMYFUNCTION("IFERROR(GOOGLEFINANCE(A743,""closeyest""),"""")"),76.0)</f>
        <v>76</v>
      </c>
      <c r="V743" s="23">
        <f>IFERROR(__xludf.DUMMYFUNCTION("IFERROR(GOOGLEFINANCE(A743,""changepct""),"""")"),2.63)</f>
        <v>2.63</v>
      </c>
      <c r="W743" s="22">
        <f>IFERROR(__xludf.DUMMYFUNCTION("IFERROR(GOOGLEFINANCE(A743,""priceopen""),"""")"),76.0)</f>
        <v>76</v>
      </c>
      <c r="X743" s="22">
        <f>IFERROR(__xludf.DUMMYFUNCTION("IFERROR(GOOGLEFINANCE(A743,""high""),"""")"),80.0)</f>
        <v>80</v>
      </c>
      <c r="Y743" s="22">
        <f>IFERROR(__xludf.DUMMYFUNCTION("IFERROR(GOOGLEFINANCE(A743,""low""),"""")"),76.0)</f>
        <v>76</v>
      </c>
      <c r="Z743" s="22">
        <f>IFERROR(__xludf.DUMMYFUNCTION("IFERROR(GOOGLEFINANCE(A743,""volume""),"""")"),1872700.0)</f>
        <v>1872700</v>
      </c>
      <c r="AA743" s="24" t="str">
        <f>VLOOKUP(A743,Metrik!$C$2:$Y$959,5,0)</f>
        <v>Household Goods</v>
      </c>
      <c r="AB743" s="24" t="str">
        <f>VLOOKUP(A743,Metrik!$C$2:$Y$959,3,0)</f>
        <v>Consumer Cyclicals</v>
      </c>
    </row>
    <row r="744">
      <c r="A744" s="14" t="s">
        <v>404</v>
      </c>
      <c r="B744" s="14" t="str">
        <f t="array" ref="B744">VLOOKUP(A744,{Metrik!$C$2:$C$998,Metrik!$B$2:$B$998},2,0)</f>
        <v>Golden Energy Mines Tbk.</v>
      </c>
      <c r="C744" s="15">
        <f>IFERROR(__xludf.DUMMYFUNCTION("GOOGLEFINANCE(""IDX:""&amp;A744,""price"")"),6750.0)</f>
        <v>6750</v>
      </c>
      <c r="D744" s="16" t="str">
        <f>IFERROR(__xludf.DUMMYFUNCTION("IF(A744="""","""",
SPARKLINE(
INDEX(
GOOGLEFINANCE(""IDX:""&amp;A744,""close"",TODAY()-365,TODAY()),
,2
),
{""linewidth"",1}
))
"),"#N/A")</f>
        <v>#N/A</v>
      </c>
      <c r="E744" s="26"/>
      <c r="F744" s="26"/>
      <c r="G744" s="24">
        <f t="shared" si="5"/>
        <v>0</v>
      </c>
      <c r="H744" s="19">
        <f>VLOOKUP(A744,Metrik!$C$2:$Y$959,8,0)</f>
        <v>10.2</v>
      </c>
      <c r="I744" s="20">
        <f>VLOOKUP(A744,Metrik!$C$2:$Y$959,9,0)</f>
        <v>3.7</v>
      </c>
      <c r="J744" s="20">
        <f>VLOOKUP(A744,Metrik!$C$2:$Y$959,10,0)</f>
        <v>36.4</v>
      </c>
      <c r="K744" s="20">
        <f>VLOOKUP(A744,Metrik!$C$2:$Y$959,11,0)</f>
        <v>21.6</v>
      </c>
      <c r="L744" s="20">
        <f>VLOOKUP(A744,Metrik!$C$2:$Y$959,12,0)</f>
        <v>0.69</v>
      </c>
      <c r="M744" s="20">
        <f>VLOOKUP(A744,Metrik!$C$2:$Y$959,19,0)</f>
        <v>10.7</v>
      </c>
      <c r="N744" s="21"/>
      <c r="O744" s="21"/>
      <c r="P744" s="21"/>
      <c r="Q744" s="21"/>
      <c r="R744" s="21"/>
      <c r="S744" s="21"/>
      <c r="T744" s="21"/>
      <c r="U744" s="22">
        <f>IFERROR(__xludf.DUMMYFUNCTION("IFERROR(GOOGLEFINANCE(A744,""closeyest""),"""")"),51.32)</f>
        <v>51.32</v>
      </c>
      <c r="V744" s="23">
        <f>IFERROR(__xludf.DUMMYFUNCTION("IFERROR(GOOGLEFINANCE(A744,""changepct""),"""")"),0.65)</f>
        <v>0.65</v>
      </c>
      <c r="W744" s="22" t="str">
        <f>IFERROR(__xludf.DUMMYFUNCTION("IFERROR(GOOGLEFINANCE(A744,""priceopen""),"""")"),"")</f>
        <v/>
      </c>
      <c r="X744" s="22" t="str">
        <f>IFERROR(__xludf.DUMMYFUNCTION("IFERROR(GOOGLEFINANCE(A744,""high""),"""")"),"")</f>
        <v/>
      </c>
      <c r="Y744" s="22" t="str">
        <f>IFERROR(__xludf.DUMMYFUNCTION("IFERROR(GOOGLEFINANCE(A744,""low""),"""")"),"")</f>
        <v/>
      </c>
      <c r="Z744" s="22">
        <f>IFERROR(__xludf.DUMMYFUNCTION("IFERROR(GOOGLEFINANCE(A744,""volume""),"""")"),0.0)</f>
        <v>0</v>
      </c>
      <c r="AA744" s="24" t="str">
        <f>VLOOKUP(A744,Metrik!$C$2:$Y$959,5,0)</f>
        <v>Coal</v>
      </c>
      <c r="AB744" s="24" t="str">
        <f>VLOOKUP(A744,Metrik!$C$2:$Y$959,3,0)</f>
        <v>Energy</v>
      </c>
    </row>
    <row r="745">
      <c r="A745" s="14" t="s">
        <v>405</v>
      </c>
      <c r="B745" s="14" t="str">
        <f t="array" ref="B745">VLOOKUP(A745,{Metrik!$C$2:$C$998,Metrik!$B$2:$B$998},2,0)</f>
        <v>Gudang Garam Tbk</v>
      </c>
      <c r="C745" s="15">
        <f>IFERROR(__xludf.DUMMYFUNCTION("GOOGLEFINANCE(""IDX:""&amp;A745,""price"")"),15000.0)</f>
        <v>15000</v>
      </c>
      <c r="D745" s="16" t="str">
        <f>IFERROR(__xludf.DUMMYFUNCTION("IF(A745="""","""",
SPARKLINE(
INDEX(
GOOGLEFINANCE(""IDX:""&amp;A745,""close"",TODAY()-365,TODAY()),
,2
),
{""linewidth"",1}
))
"),"#N/A")</f>
        <v>#N/A</v>
      </c>
      <c r="E745" s="14" t="s">
        <v>41</v>
      </c>
      <c r="F745" s="14" t="s">
        <v>34</v>
      </c>
      <c r="G745" s="24">
        <f t="shared" si="5"/>
        <v>4</v>
      </c>
      <c r="H745" s="19">
        <f>VLOOKUP(A745,Metrik!$C$2:$Y$959,8,0)</f>
        <v>10.9</v>
      </c>
      <c r="I745" s="20">
        <f>VLOOKUP(A745,Metrik!$C$2:$Y$959,9,0)</f>
        <v>0.51</v>
      </c>
      <c r="J745" s="20">
        <f>VLOOKUP(A745,Metrik!$C$2:$Y$959,10,0)</f>
        <v>4.7</v>
      </c>
      <c r="K745" s="20">
        <f>VLOOKUP(A745,Metrik!$C$2:$Y$959,11,0)</f>
        <v>3.9</v>
      </c>
      <c r="L745" s="20">
        <f>VLOOKUP(A745,Metrik!$C$2:$Y$959,12,0)</f>
        <v>0.2</v>
      </c>
      <c r="M745" s="20">
        <f>VLOOKUP(A745,Metrik!$C$2:$Y$959,19,0)</f>
        <v>14.9</v>
      </c>
      <c r="N745" s="21"/>
      <c r="O745" s="21"/>
      <c r="P745" s="21"/>
      <c r="Q745" s="21"/>
      <c r="R745" s="21"/>
      <c r="S745" s="21"/>
      <c r="T745" s="21"/>
      <c r="U745" s="22">
        <f>IFERROR(__xludf.DUMMYFUNCTION("IFERROR(GOOGLEFINANCE(A745,""closeyest""),"""")"),15050.0)</f>
        <v>15050</v>
      </c>
      <c r="V745" s="23" t="str">
        <f>IFERROR(__xludf.DUMMYFUNCTION("IFERROR(GOOGLEFINANCE(A745,""changepct""),"""")"),"")</f>
        <v/>
      </c>
      <c r="W745" s="22">
        <f>IFERROR(__xludf.DUMMYFUNCTION("IFERROR(GOOGLEFINANCE(A745,""priceopen""),"""")"),15050.0)</f>
        <v>15050</v>
      </c>
      <c r="X745" s="22">
        <f>IFERROR(__xludf.DUMMYFUNCTION("IFERROR(GOOGLEFINANCE(A745,""high""),"""")"),15200.0)</f>
        <v>15200</v>
      </c>
      <c r="Y745" s="22">
        <f>IFERROR(__xludf.DUMMYFUNCTION("IFERROR(GOOGLEFINANCE(A745,""low""),"""")"),14825.0)</f>
        <v>14825</v>
      </c>
      <c r="Z745" s="22">
        <f>IFERROR(__xludf.DUMMYFUNCTION("IFERROR(GOOGLEFINANCE(A745,""volume""),"""")"),690400.0)</f>
        <v>690400</v>
      </c>
      <c r="AA745" s="24" t="str">
        <f>VLOOKUP(A745,Metrik!$C$2:$Y$959,5,0)</f>
        <v>Tobacco</v>
      </c>
      <c r="AB745" s="24" t="str">
        <f>VLOOKUP(A745,Metrik!$C$2:$Y$959,3,0)</f>
        <v>Consumer Non-Cyclicals</v>
      </c>
    </row>
    <row r="746">
      <c r="A746" s="17" t="s">
        <v>405</v>
      </c>
      <c r="B746" s="14" t="str">
        <f t="array" ref="B746">VLOOKUP(A746,{Metrik!$C$2:$C$998,Metrik!$B$2:$B$998},2,0)</f>
        <v>Gudang Garam Tbk</v>
      </c>
      <c r="C746" s="15">
        <f>IFERROR(__xludf.DUMMYFUNCTION("GOOGLEFINANCE(""IDX:""&amp;A746,""price"")"),15000.0)</f>
        <v>15000</v>
      </c>
      <c r="D746" s="16" t="str">
        <f>IFERROR(__xludf.DUMMYFUNCTION("IF(A746="""","""",
SPARKLINE(
INDEX(
GOOGLEFINANCE(""IDX:""&amp;A746,""close"",TODAY()-365,TODAY()),
,2
),
{""linewidth"",1}
))
"),"#N/A")</f>
        <v>#N/A</v>
      </c>
      <c r="E746" s="14" t="s">
        <v>28</v>
      </c>
      <c r="F746" s="17" t="s">
        <v>29</v>
      </c>
      <c r="G746" s="38">
        <f>COUNTIFS($B$2:$B$1934,B746,$E$2:$E$1934,"&lt;&gt;")</f>
        <v>4</v>
      </c>
      <c r="H746" s="19">
        <f>VLOOKUP(A746,Metrik!$C$2:$Y$959,8,0)</f>
        <v>10.9</v>
      </c>
      <c r="I746" s="20">
        <f>VLOOKUP(A746,Metrik!$C$2:$Y$959,9,0)</f>
        <v>0.51</v>
      </c>
      <c r="J746" s="20">
        <f>VLOOKUP(A746,Metrik!$C$2:$Y$959,10,0)</f>
        <v>4.7</v>
      </c>
      <c r="K746" s="20">
        <f>VLOOKUP(A746,Metrik!$C$2:$Y$959,11,0)</f>
        <v>3.9</v>
      </c>
      <c r="L746" s="20">
        <f>VLOOKUP(A746,Metrik!$C$2:$Y$959,12,0)</f>
        <v>0.2</v>
      </c>
      <c r="M746" s="20">
        <f>VLOOKUP(A746,Metrik!$C$2:$Y$959,19,0)</f>
        <v>14.9</v>
      </c>
      <c r="N746" s="21"/>
      <c r="O746" s="21"/>
      <c r="P746" s="21"/>
      <c r="Q746" s="21"/>
      <c r="R746" s="21"/>
      <c r="S746" s="21"/>
      <c r="T746" s="21"/>
      <c r="U746" s="22">
        <f>IFERROR(__xludf.DUMMYFUNCTION("IFERROR(GOOGLEFINANCE(A746,""closeyest""),"""")"),15050.0)</f>
        <v>15050</v>
      </c>
      <c r="V746" s="23" t="str">
        <f>IFERROR(__xludf.DUMMYFUNCTION("IFERROR(GOOGLEFINANCE(A746,""changepct""),"""")"),"")</f>
        <v/>
      </c>
      <c r="W746" s="22">
        <f>IFERROR(__xludf.DUMMYFUNCTION("IFERROR(GOOGLEFINANCE(A746,""priceopen""),"""")"),15050.0)</f>
        <v>15050</v>
      </c>
      <c r="X746" s="22">
        <f>IFERROR(__xludf.DUMMYFUNCTION("IFERROR(GOOGLEFINANCE(A746,""high""),"""")"),15200.0)</f>
        <v>15200</v>
      </c>
      <c r="Y746" s="22">
        <f>IFERROR(__xludf.DUMMYFUNCTION("IFERROR(GOOGLEFINANCE(A746,""low""),"""")"),14825.0)</f>
        <v>14825</v>
      </c>
      <c r="Z746" s="22">
        <f>IFERROR(__xludf.DUMMYFUNCTION("IFERROR(GOOGLEFINANCE(A746,""volume""),"""")"),690400.0)</f>
        <v>690400</v>
      </c>
      <c r="AA746" s="24" t="str">
        <f>VLOOKUP(A746,Metrik!$C$2:$Y$959,5,0)</f>
        <v>Tobacco</v>
      </c>
      <c r="AB746" s="24" t="str">
        <f>VLOOKUP(A746,Metrik!$C$2:$Y$959,3,0)</f>
        <v>Consumer Non-Cyclicals</v>
      </c>
    </row>
    <row r="747">
      <c r="A747" s="48" t="s">
        <v>405</v>
      </c>
      <c r="B747" s="14" t="str">
        <f t="array" ref="B747">VLOOKUP(A747,{Metrik!$C$2:$C$998,Metrik!$B$2:$B$998},2,0)</f>
        <v>Gudang Garam Tbk</v>
      </c>
      <c r="C747" s="15">
        <f>IFERROR(__xludf.DUMMYFUNCTION("GOOGLEFINANCE(""IDX:""&amp;A747,""price"")"),15000.0)</f>
        <v>15000</v>
      </c>
      <c r="D747" s="16" t="str">
        <f>IFERROR(__xludf.DUMMYFUNCTION("IF(A747="""","""",
SPARKLINE(
INDEX(
GOOGLEFINANCE(""IDX:""&amp;A747,""close"",TODAY()-365,TODAY()),
,2
),
{""linewidth"",1}
))
"),"#N/A")</f>
        <v>#N/A</v>
      </c>
      <c r="E747" s="17" t="s">
        <v>69</v>
      </c>
      <c r="F747" s="17" t="s">
        <v>70</v>
      </c>
      <c r="G747" s="24">
        <f t="shared" ref="G747:G838" si="6">COUNTIFS($B$2:$B$1937,B747,$E$2:$E$1937,"&lt;&gt;")</f>
        <v>4</v>
      </c>
      <c r="H747" s="19">
        <f>VLOOKUP(A747,Metrik!$C$2:$Y$959,8,0)</f>
        <v>10.9</v>
      </c>
      <c r="I747" s="20">
        <f>VLOOKUP(A747,Metrik!$C$2:$Y$959,9,0)</f>
        <v>0.51</v>
      </c>
      <c r="J747" s="20">
        <f>VLOOKUP(A747,Metrik!$C$2:$Y$959,10,0)</f>
        <v>4.7</v>
      </c>
      <c r="K747" s="20">
        <f>VLOOKUP(A747,Metrik!$C$2:$Y$959,11,0)</f>
        <v>3.9</v>
      </c>
      <c r="L747" s="20">
        <f>VLOOKUP(A747,Metrik!$C$2:$Y$959,12,0)</f>
        <v>0.2</v>
      </c>
      <c r="M747" s="20">
        <f>VLOOKUP(A747,Metrik!$C$2:$Y$959,19,0)</f>
        <v>14.9</v>
      </c>
      <c r="N747" s="21"/>
      <c r="O747" s="21"/>
      <c r="P747" s="21"/>
      <c r="Q747" s="21"/>
      <c r="R747" s="21"/>
      <c r="S747" s="21"/>
      <c r="T747" s="21"/>
      <c r="U747" s="22">
        <f>IFERROR(__xludf.DUMMYFUNCTION("IFERROR(GOOGLEFINANCE(A747,""closeyest""),"""")"),15050.0)</f>
        <v>15050</v>
      </c>
      <c r="V747" s="23" t="str">
        <f>IFERROR(__xludf.DUMMYFUNCTION("IFERROR(GOOGLEFINANCE(A747,""changepct""),"""")"),"")</f>
        <v/>
      </c>
      <c r="W747" s="22">
        <f>IFERROR(__xludf.DUMMYFUNCTION("IFERROR(GOOGLEFINANCE(A747,""priceopen""),"""")"),15050.0)</f>
        <v>15050</v>
      </c>
      <c r="X747" s="22">
        <f>IFERROR(__xludf.DUMMYFUNCTION("IFERROR(GOOGLEFINANCE(A747,""high""),"""")"),15200.0)</f>
        <v>15200</v>
      </c>
      <c r="Y747" s="22">
        <f>IFERROR(__xludf.DUMMYFUNCTION("IFERROR(GOOGLEFINANCE(A747,""low""),"""")"),14825.0)</f>
        <v>14825</v>
      </c>
      <c r="Z747" s="22">
        <f>IFERROR(__xludf.DUMMYFUNCTION("IFERROR(GOOGLEFINANCE(A747,""volume""),"""")"),690400.0)</f>
        <v>690400</v>
      </c>
      <c r="AA747" s="24" t="str">
        <f>VLOOKUP(A747,Metrik!$C$2:$Y$959,5,0)</f>
        <v>Tobacco</v>
      </c>
      <c r="AB747" s="24" t="str">
        <f>VLOOKUP(A747,Metrik!$C$2:$Y$959,3,0)</f>
        <v>Consumer Non-Cyclicals</v>
      </c>
    </row>
    <row r="748">
      <c r="A748" s="17" t="s">
        <v>405</v>
      </c>
      <c r="B748" s="14" t="str">
        <f t="array" ref="B748">VLOOKUP(A748,{Metrik!$C$2:$C$998,Metrik!$B$2:$B$998},2,0)</f>
        <v>Gudang Garam Tbk</v>
      </c>
      <c r="C748" s="15">
        <f>IFERROR(__xludf.DUMMYFUNCTION("GOOGLEFINANCE(""IDX:""&amp;A748,""price"")"),15000.0)</f>
        <v>15000</v>
      </c>
      <c r="D748" s="16" t="str">
        <f>IFERROR(__xludf.DUMMYFUNCTION("IF(A748="""","""",
SPARKLINE(
INDEX(
GOOGLEFINANCE(""IDX:""&amp;A748,""close"",TODAY()-365,TODAY()),
,2
),
{""linewidth"",1}
))
"),"#N/A")</f>
        <v>#N/A</v>
      </c>
      <c r="E748" s="14" t="s">
        <v>35</v>
      </c>
      <c r="F748" s="17" t="s">
        <v>36</v>
      </c>
      <c r="G748" s="38">
        <f t="shared" si="6"/>
        <v>4</v>
      </c>
      <c r="H748" s="34">
        <f>VLOOKUP(A748,Metrik!$C$2:$Y$959,8,0)</f>
        <v>10.9</v>
      </c>
      <c r="I748" s="34">
        <f>VLOOKUP(A748,Metrik!$C$2:$Y$959,9,0)</f>
        <v>0.51</v>
      </c>
      <c r="J748" s="34">
        <f>VLOOKUP(A748,Metrik!$C$2:$Y$959,10,0)</f>
        <v>4.7</v>
      </c>
      <c r="K748" s="34">
        <f>VLOOKUP(A748,Metrik!$C$2:$Y$959,11,0)</f>
        <v>3.9</v>
      </c>
      <c r="L748" s="34">
        <f>VLOOKUP(A748,Metrik!$C$2:$Y$959,12,0)</f>
        <v>0.2</v>
      </c>
      <c r="M748" s="34">
        <f>VLOOKUP(A748,Metrik!$C$2:$Y$959,19,0)</f>
        <v>14.9</v>
      </c>
      <c r="N748" s="26"/>
      <c r="O748" s="26"/>
      <c r="P748" s="26"/>
      <c r="Q748" s="26"/>
      <c r="R748" s="26"/>
      <c r="S748" s="26"/>
      <c r="T748" s="26"/>
      <c r="U748" s="35">
        <f>IFERROR(__xludf.DUMMYFUNCTION("IFERROR(GOOGLEFINANCE(A748,""closeyest""),"""")"),15050.0)</f>
        <v>15050</v>
      </c>
      <c r="V748" s="36" t="str">
        <f>IFERROR(__xludf.DUMMYFUNCTION("IFERROR(GOOGLEFINANCE(A748,""changepct""),"""")"),"")</f>
        <v/>
      </c>
      <c r="W748" s="35">
        <f>IFERROR(__xludf.DUMMYFUNCTION("IFERROR(GOOGLEFINANCE(A748,""priceopen""),"""")"),15050.0)</f>
        <v>15050</v>
      </c>
      <c r="X748" s="35">
        <f>IFERROR(__xludf.DUMMYFUNCTION("IFERROR(GOOGLEFINANCE(A748,""high""),"""")"),15200.0)</f>
        <v>15200</v>
      </c>
      <c r="Y748" s="35">
        <f>IFERROR(__xludf.DUMMYFUNCTION("IFERROR(GOOGLEFINANCE(A748,""low""),"""")"),14825.0)</f>
        <v>14825</v>
      </c>
      <c r="Z748" s="35">
        <f>IFERROR(__xludf.DUMMYFUNCTION("IFERROR(GOOGLEFINANCE(A748,""volume""),"""")"),690400.0)</f>
        <v>690400</v>
      </c>
      <c r="AA748" s="14" t="str">
        <f>VLOOKUP(A748,Metrik!$C$2:$Y$959,5,0)</f>
        <v>Tobacco</v>
      </c>
      <c r="AB748" s="14" t="str">
        <f>VLOOKUP(A748,Metrik!$C$2:$Y$959,3,0)</f>
        <v>Consumer Non-Cyclicals</v>
      </c>
    </row>
    <row r="749">
      <c r="A749" s="14" t="s">
        <v>406</v>
      </c>
      <c r="B749" s="14" t="str">
        <f t="array" ref="B749">VLOOKUP(A749,{Metrik!$C$2:$C$998,Metrik!$B$2:$B$998},2,0)</f>
        <v>Gunung Raja Paksi Tbk.</v>
      </c>
      <c r="C749" s="15">
        <f>IFERROR(__xludf.DUMMYFUNCTION("GOOGLEFINANCE(""IDX:""&amp;A749,""price"")"),292.0)</f>
        <v>292</v>
      </c>
      <c r="D749" s="16" t="str">
        <f>IFERROR(__xludf.DUMMYFUNCTION("IF(A749="""","""",
SPARKLINE(
INDEX(
GOOGLEFINANCE(""IDX:""&amp;A749,""close"",TODAY()-365,TODAY()),
,2
),
{""linewidth"",1}
))
"),"#N/A")</f>
        <v>#N/A</v>
      </c>
      <c r="E749" s="26"/>
      <c r="F749" s="26"/>
      <c r="G749" s="24">
        <f t="shared" si="6"/>
        <v>0</v>
      </c>
      <c r="H749" s="19">
        <f>VLOOKUP(A749,Metrik!$C$2:$Y$959,8,0)</f>
        <v>-6.9</v>
      </c>
      <c r="I749" s="20">
        <f>VLOOKUP(A749,Metrik!$C$2:$Y$959,9,0)</f>
        <v>0.32</v>
      </c>
      <c r="J749" s="20">
        <f>VLOOKUP(A749,Metrik!$C$2:$Y$959,10,0)</f>
        <v>-4.6</v>
      </c>
      <c r="K749" s="20">
        <f>VLOOKUP(A749,Metrik!$C$2:$Y$959,11,0)</f>
        <v>-3.9</v>
      </c>
      <c r="L749" s="20">
        <f>VLOOKUP(A749,Metrik!$C$2:$Y$959,12,0)</f>
        <v>0.18</v>
      </c>
      <c r="M749" s="20">
        <f>VLOOKUP(A749,Metrik!$C$2:$Y$959,19,0)</f>
        <v>-65.3</v>
      </c>
      <c r="N749" s="21"/>
      <c r="O749" s="21"/>
      <c r="P749" s="21"/>
      <c r="Q749" s="21"/>
      <c r="R749" s="21"/>
      <c r="S749" s="21"/>
      <c r="T749" s="21"/>
      <c r="U749" s="22">
        <f>IFERROR(__xludf.DUMMYFUNCTION("IFERROR(GOOGLEFINANCE(A749,""closeyest""),"""")"),0.85)</f>
        <v>0.85</v>
      </c>
      <c r="V749" s="23">
        <f>IFERROR(__xludf.DUMMYFUNCTION("IFERROR(GOOGLEFINANCE(A749,""changepct""),"""")"),-5.05)</f>
        <v>-5.05</v>
      </c>
      <c r="W749" s="22">
        <f>IFERROR(__xludf.DUMMYFUNCTION("IFERROR(GOOGLEFINANCE(A749,""priceopen""),"""")"),0.81)</f>
        <v>0.81</v>
      </c>
      <c r="X749" s="22">
        <f>IFERROR(__xludf.DUMMYFUNCTION("IFERROR(GOOGLEFINANCE(A749,""high""),"""")"),0.85)</f>
        <v>0.85</v>
      </c>
      <c r="Y749" s="22">
        <f>IFERROR(__xludf.DUMMYFUNCTION("IFERROR(GOOGLEFINANCE(A749,""low""),"""")"),0.78)</f>
        <v>0.78</v>
      </c>
      <c r="Z749" s="22">
        <f>IFERROR(__xludf.DUMMYFUNCTION("IFERROR(GOOGLEFINANCE(A749,""volume""),"""")"),55882.0)</f>
        <v>55882</v>
      </c>
      <c r="AA749" s="24" t="str">
        <f>VLOOKUP(A749,Metrik!$C$2:$Y$959,5,0)</f>
        <v>Metals &amp; Minerals</v>
      </c>
      <c r="AB749" s="24" t="str">
        <f>VLOOKUP(A749,Metrik!$C$2:$Y$959,3,0)</f>
        <v>Basic Materials</v>
      </c>
    </row>
    <row r="750">
      <c r="A750" s="14" t="s">
        <v>407</v>
      </c>
      <c r="B750" s="14" t="str">
        <f t="array" ref="B750">VLOOKUP(A750,{Metrik!$C$2:$C$998,Metrik!$B$2:$B$998},2,0)</f>
        <v>Gihon Telekomunikasi Indonesia Tbk.</v>
      </c>
      <c r="C750" s="15">
        <f>IFERROR(__xludf.DUMMYFUNCTION("GOOGLEFINANCE(""IDX:""&amp;A750,""price"")"),1925.0)</f>
        <v>1925</v>
      </c>
      <c r="D750" s="16" t="str">
        <f>IFERROR(__xludf.DUMMYFUNCTION("IF(A750="""","""",
SPARKLINE(
INDEX(
GOOGLEFINANCE(""IDX:""&amp;A750,""close"",TODAY()-365,TODAY()),
,2
),
{""linewidth"",1}
))
"),"#N/A")</f>
        <v>#N/A</v>
      </c>
      <c r="E750" s="26"/>
      <c r="F750" s="26"/>
      <c r="G750" s="24">
        <f t="shared" si="6"/>
        <v>0</v>
      </c>
      <c r="H750" s="19">
        <f>VLOOKUP(A750,Metrik!$C$2:$Y$959,8,0)</f>
        <v>13.5</v>
      </c>
      <c r="I750" s="20">
        <f>VLOOKUP(A750,Metrik!$C$2:$Y$959,9,0)</f>
        <v>1.3</v>
      </c>
      <c r="J750" s="20">
        <f>VLOOKUP(A750,Metrik!$C$2:$Y$959,10,0)</f>
        <v>9.3</v>
      </c>
      <c r="K750" s="20">
        <f>VLOOKUP(A750,Metrik!$C$2:$Y$959,11,0)</f>
        <v>5.2</v>
      </c>
      <c r="L750" s="20">
        <f>VLOOKUP(A750,Metrik!$C$2:$Y$959,12,0)</f>
        <v>0.79</v>
      </c>
      <c r="M750" s="20">
        <f>VLOOKUP(A750,Metrik!$C$2:$Y$959,19,0)</f>
        <v>140</v>
      </c>
      <c r="N750" s="21"/>
      <c r="O750" s="21"/>
      <c r="P750" s="21"/>
      <c r="Q750" s="21"/>
      <c r="R750" s="21"/>
      <c r="S750" s="21"/>
      <c r="T750" s="21"/>
      <c r="U750" s="22">
        <f>IFERROR(__xludf.DUMMYFUNCTION("IFERROR(GOOGLEFINANCE(A750,""closeyest""),"""")"),1890.0)</f>
        <v>1890</v>
      </c>
      <c r="V750" s="23">
        <f>IFERROR(__xludf.DUMMYFUNCTION("IFERROR(GOOGLEFINANCE(A750,""changepct""),"""")"),1.85)</f>
        <v>1.85</v>
      </c>
      <c r="W750" s="22">
        <f>IFERROR(__xludf.DUMMYFUNCTION("IFERROR(GOOGLEFINANCE(A750,""priceopen""),"""")"),1920.0)</f>
        <v>1920</v>
      </c>
      <c r="X750" s="22">
        <f>IFERROR(__xludf.DUMMYFUNCTION("IFERROR(GOOGLEFINANCE(A750,""high""),"""")"),1950.0)</f>
        <v>1950</v>
      </c>
      <c r="Y750" s="22">
        <f>IFERROR(__xludf.DUMMYFUNCTION("IFERROR(GOOGLEFINANCE(A750,""low""),"""")"),1910.0)</f>
        <v>1910</v>
      </c>
      <c r="Z750" s="22" t="str">
        <f>IFERROR(__xludf.DUMMYFUNCTION("IFERROR(GOOGLEFINANCE(A750,""volume""),"""")"),"")</f>
        <v/>
      </c>
      <c r="AA750" s="24" t="str">
        <f>VLOOKUP(A750,Metrik!$C$2:$Y$959,5,0)</f>
        <v>Wireless Telecommunication Services</v>
      </c>
      <c r="AB750" s="24" t="str">
        <f>VLOOKUP(A750,Metrik!$C$2:$Y$959,3,0)</f>
        <v>Infrastructures</v>
      </c>
    </row>
    <row r="751">
      <c r="A751" s="14" t="s">
        <v>408</v>
      </c>
      <c r="B751" s="14" t="str">
        <f t="array" ref="B751">VLOOKUP(A751,{Metrik!$C$2:$C$998,Metrik!$B$2:$B$998},2,0)</f>
        <v>Garuda Indonesia (Persero) Tbk.</v>
      </c>
      <c r="C751" s="15">
        <f>IFERROR(__xludf.DUMMYFUNCTION("GOOGLEFINANCE(""IDX:""&amp;A751,""price"")"),56.0)</f>
        <v>56</v>
      </c>
      <c r="D751" s="16" t="str">
        <f>IFERROR(__xludf.DUMMYFUNCTION("IF(A751="""","""",
SPARKLINE(
INDEX(
GOOGLEFINANCE(""IDX:""&amp;A751,""close"",TODAY()-365,TODAY()),
,2
),
{""linewidth"",1}
))
"),"#N/A")</f>
        <v>#N/A</v>
      </c>
      <c r="E751" s="26"/>
      <c r="F751" s="26"/>
      <c r="G751" s="24">
        <f t="shared" si="6"/>
        <v>0</v>
      </c>
      <c r="H751" s="19">
        <f>VLOOKUP(A751,Metrik!$C$2:$Y$959,8,0)</f>
        <v>-4.8</v>
      </c>
      <c r="I751" s="20">
        <f>VLOOKUP(A751,Metrik!$C$2:$Y$959,9,0)</f>
        <v>20.4</v>
      </c>
      <c r="J751" s="20">
        <f>VLOOKUP(A751,Metrik!$C$2:$Y$959,10,0)</f>
        <v>-430</v>
      </c>
      <c r="K751" s="20">
        <f>VLOOKUP(A751,Metrik!$C$2:$Y$959,11,0)</f>
        <v>-3.9</v>
      </c>
      <c r="L751" s="20">
        <f>VLOOKUP(A751,Metrik!$C$2:$Y$959,12,0)</f>
        <v>110</v>
      </c>
      <c r="M751" s="20">
        <f>VLOOKUP(A751,Metrik!$C$2:$Y$959,19,0)</f>
        <v>-38</v>
      </c>
      <c r="N751" s="21"/>
      <c r="O751" s="21"/>
      <c r="P751" s="21"/>
      <c r="Q751" s="21"/>
      <c r="R751" s="21"/>
      <c r="S751" s="21"/>
      <c r="T751" s="21"/>
      <c r="U751" s="22">
        <f>IFERROR(__xludf.DUMMYFUNCTION("IFERROR(GOOGLEFINANCE(A751,""closeyest""),"""")"),54.0)</f>
        <v>54</v>
      </c>
      <c r="V751" s="23">
        <f>IFERROR(__xludf.DUMMYFUNCTION("IFERROR(GOOGLEFINANCE(A751,""changepct""),"""")"),3.7)</f>
        <v>3.7</v>
      </c>
      <c r="W751" s="22">
        <f>IFERROR(__xludf.DUMMYFUNCTION("IFERROR(GOOGLEFINANCE(A751,""priceopen""),"""")"),54.0)</f>
        <v>54</v>
      </c>
      <c r="X751" s="22">
        <f>IFERROR(__xludf.DUMMYFUNCTION("IFERROR(GOOGLEFINANCE(A751,""high""),"""")"),57.0)</f>
        <v>57</v>
      </c>
      <c r="Y751" s="22">
        <f>IFERROR(__xludf.DUMMYFUNCTION("IFERROR(GOOGLEFINANCE(A751,""low""),"""")"),54.0)</f>
        <v>54</v>
      </c>
      <c r="Z751" s="22">
        <f>IFERROR(__xludf.DUMMYFUNCTION("IFERROR(GOOGLEFINANCE(A751,""volume""),"""")"),3.56703E7)</f>
        <v>35670300</v>
      </c>
      <c r="AA751" s="24" t="str">
        <f>VLOOKUP(A751,Metrik!$C$2:$Y$959,5,0)</f>
        <v>Airlines</v>
      </c>
      <c r="AB751" s="24" t="str">
        <f>VLOOKUP(A751,Metrik!$C$2:$Y$959,3,0)</f>
        <v>Transportation &amp; Logistic</v>
      </c>
    </row>
    <row r="752">
      <c r="A752" s="14" t="s">
        <v>409</v>
      </c>
      <c r="B752" s="14" t="str">
        <f t="array" ref="B752">VLOOKUP(A752,{Metrik!$C$2:$C$998,Metrik!$B$2:$B$998},2,0)</f>
        <v>Gajah Tunggal Tbk.</v>
      </c>
      <c r="C752" s="15">
        <f>IFERROR(__xludf.DUMMYFUNCTION("GOOGLEFINANCE(""IDX:""&amp;A752,""price"")"),1100.0)</f>
        <v>1100</v>
      </c>
      <c r="D752" s="16" t="str">
        <f>IFERROR(__xludf.DUMMYFUNCTION("IF(A752="""","""",
SPARKLINE(
INDEX(
GOOGLEFINANCE(""IDX:""&amp;A752,""close"",TODAY()-365,TODAY()),
,2
),
{""linewidth"",1}
))
"),"#N/A")</f>
        <v>#N/A</v>
      </c>
      <c r="E752" s="14" t="s">
        <v>55</v>
      </c>
      <c r="F752" s="25">
        <v>46356.0</v>
      </c>
      <c r="G752" s="24">
        <f t="shared" si="6"/>
        <v>1</v>
      </c>
      <c r="H752" s="19">
        <f>VLOOKUP(A752,Metrik!$C$2:$Y$959,8,0)</f>
        <v>3.3</v>
      </c>
      <c r="I752" s="20">
        <f>VLOOKUP(A752,Metrik!$C$2:$Y$959,9,0)</f>
        <v>0.39</v>
      </c>
      <c r="J752" s="20">
        <f>VLOOKUP(A752,Metrik!$C$2:$Y$959,10,0)</f>
        <v>11.7</v>
      </c>
      <c r="K752" s="20">
        <f>VLOOKUP(A752,Metrik!$C$2:$Y$959,11,0)</f>
        <v>5.7</v>
      </c>
      <c r="L752" s="20">
        <f>VLOOKUP(A752,Metrik!$C$2:$Y$959,12,0)</f>
        <v>1.1</v>
      </c>
      <c r="M752" s="20">
        <f>VLOOKUP(A752,Metrik!$C$2:$Y$959,19,0)</f>
        <v>30.3</v>
      </c>
      <c r="N752" s="21"/>
      <c r="O752" s="21"/>
      <c r="P752" s="21"/>
      <c r="Q752" s="21"/>
      <c r="R752" s="21"/>
      <c r="S752" s="21"/>
      <c r="T752" s="21"/>
      <c r="U752" s="22">
        <f>IFERROR(__xludf.DUMMYFUNCTION("IFERROR(GOOGLEFINANCE(A752,""closeyest""),"""")"),1075.0)</f>
        <v>1075</v>
      </c>
      <c r="V752" s="23">
        <f>IFERROR(__xludf.DUMMYFUNCTION("IFERROR(GOOGLEFINANCE(A752,""changepct""),"""")"),2.33)</f>
        <v>2.33</v>
      </c>
      <c r="W752" s="22">
        <f>IFERROR(__xludf.DUMMYFUNCTION("IFERROR(GOOGLEFINANCE(A752,""priceopen""),"""")"),1075.0)</f>
        <v>1075</v>
      </c>
      <c r="X752" s="22">
        <f>IFERROR(__xludf.DUMMYFUNCTION("IFERROR(GOOGLEFINANCE(A752,""high""),"""")"),1110.0)</f>
        <v>1110</v>
      </c>
      <c r="Y752" s="22">
        <f>IFERROR(__xludf.DUMMYFUNCTION("IFERROR(GOOGLEFINANCE(A752,""low""),"""")"),1075.0)</f>
        <v>1075</v>
      </c>
      <c r="Z752" s="22">
        <f>IFERROR(__xludf.DUMMYFUNCTION("IFERROR(GOOGLEFINANCE(A752,""volume""),"""")"),2252900.0)</f>
        <v>2252900</v>
      </c>
      <c r="AA752" s="24" t="str">
        <f>VLOOKUP(A752,Metrik!$C$2:$Y$959,5,0)</f>
        <v>Auto Components</v>
      </c>
      <c r="AB752" s="24" t="str">
        <f>VLOOKUP(A752,Metrik!$C$2:$Y$959,3,0)</f>
        <v>Consumer Cyclicals</v>
      </c>
    </row>
    <row r="753">
      <c r="A753" s="14" t="s">
        <v>410</v>
      </c>
      <c r="B753" s="14" t="str">
        <f t="array" ref="B753">VLOOKUP(A753,{Metrik!$C$2:$C$998,Metrik!$B$2:$B$998},2,0)</f>
        <v>Globe Kita Terang Tbk.</v>
      </c>
      <c r="C753" s="15">
        <f>IFERROR(__xludf.DUMMYFUNCTION("GOOGLEFINANCE(""IDX:""&amp;A753,""price"")"),155.0)</f>
        <v>155</v>
      </c>
      <c r="D753" s="16" t="str">
        <f>IFERROR(__xludf.DUMMYFUNCTION("IF(A753="""","""",
SPARKLINE(
INDEX(
GOOGLEFINANCE(""IDX:""&amp;A753,""close"",TODAY()-365,TODAY()),
,2
),
{""linewidth"",1}
))
"),"#N/A")</f>
        <v>#N/A</v>
      </c>
      <c r="E753" s="26"/>
      <c r="F753" s="26"/>
      <c r="G753" s="24">
        <f t="shared" si="6"/>
        <v>0</v>
      </c>
      <c r="H753" s="19">
        <f>VLOOKUP(A753,Metrik!$C$2:$Y$959,8,0)</f>
        <v>-1.6</v>
      </c>
      <c r="I753" s="20">
        <f>VLOOKUP(A753,Metrik!$C$2:$Y$959,9,0)</f>
        <v>-0.14</v>
      </c>
      <c r="J753" s="20">
        <f>VLOOKUP(A753,Metrik!$C$2:$Y$959,10,0)</f>
        <v>0</v>
      </c>
      <c r="K753" s="20">
        <f>VLOOKUP(A753,Metrik!$C$2:$Y$959,11,0)</f>
        <v>-3380</v>
      </c>
      <c r="L753" s="20">
        <f>VLOOKUP(A753,Metrik!$C$2:$Y$959,12,0)</f>
        <v>-1</v>
      </c>
      <c r="M753" s="20">
        <f>VLOOKUP(A753,Metrik!$C$2:$Y$959,19,0)</f>
        <v>-1710</v>
      </c>
      <c r="N753" s="21"/>
      <c r="O753" s="21"/>
      <c r="P753" s="21"/>
      <c r="Q753" s="21"/>
      <c r="R753" s="21"/>
      <c r="S753" s="21"/>
      <c r="T753" s="21"/>
      <c r="U753" s="22">
        <f>IFERROR(__xludf.DUMMYFUNCTION("IFERROR(GOOGLEFINANCE(A753,""closeyest""),"""")"),36.42)</f>
        <v>36.42</v>
      </c>
      <c r="V753" s="23">
        <f>IFERROR(__xludf.DUMMYFUNCTION("IFERROR(GOOGLEFINANCE(A753,""changepct""),"""")"),2.94)</f>
        <v>2.94</v>
      </c>
      <c r="W753" s="22">
        <f>IFERROR(__xludf.DUMMYFUNCTION("IFERROR(GOOGLEFINANCE(A753,""priceopen""),"""")"),36.41)</f>
        <v>36.41</v>
      </c>
      <c r="X753" s="22">
        <f>IFERROR(__xludf.DUMMYFUNCTION("IFERROR(GOOGLEFINANCE(A753,""high""),"""")"),38.03)</f>
        <v>38.03</v>
      </c>
      <c r="Y753" s="22">
        <f>IFERROR(__xludf.DUMMYFUNCTION("IFERROR(GOOGLEFINANCE(A753,""low""),"""")"),35.5)</f>
        <v>35.5</v>
      </c>
      <c r="Z753" s="22">
        <f>IFERROR(__xludf.DUMMYFUNCTION("IFERROR(GOOGLEFINANCE(A753,""volume""),"""")"),1097428.0)</f>
        <v>1097428</v>
      </c>
      <c r="AA753" s="24" t="str">
        <f>VLOOKUP(A753,Metrik!$C$2:$Y$959,5,0)</f>
        <v>Specialty Retail</v>
      </c>
      <c r="AB753" s="24" t="str">
        <f>VLOOKUP(A753,Metrik!$C$2:$Y$959,3,0)</f>
        <v>Consumer Cyclicals</v>
      </c>
    </row>
    <row r="754">
      <c r="A754" s="14" t="s">
        <v>411</v>
      </c>
      <c r="B754" s="14" t="str">
        <f t="array" ref="B754">VLOOKUP(A754,{Metrik!$C$2:$C$998,Metrik!$B$2:$B$998},2,0)</f>
        <v>Galva Technologies Tbk.</v>
      </c>
      <c r="C754" s="15">
        <f>IFERROR(__xludf.DUMMYFUNCTION("GOOGLEFINANCE(""IDX:""&amp;A754,""price"")"),304.0)</f>
        <v>304</v>
      </c>
      <c r="D754" s="16" t="str">
        <f>IFERROR(__xludf.DUMMYFUNCTION("IF(A754="""","""",
SPARKLINE(
INDEX(
GOOGLEFINANCE(""IDX:""&amp;A754,""close"",TODAY()-365,TODAY()),
,2
),
{""linewidth"",1}
))
"),"#N/A")</f>
        <v>#N/A</v>
      </c>
      <c r="E754" s="26"/>
      <c r="F754" s="26"/>
      <c r="G754" s="24">
        <f t="shared" si="6"/>
        <v>0</v>
      </c>
      <c r="H754" s="19">
        <f>VLOOKUP(A754,Metrik!$C$2:$Y$959,8,0)</f>
        <v>17.3</v>
      </c>
      <c r="I754" s="20">
        <f>VLOOKUP(A754,Metrik!$C$2:$Y$959,9,0)</f>
        <v>1.1</v>
      </c>
      <c r="J754" s="20">
        <f>VLOOKUP(A754,Metrik!$C$2:$Y$959,10,0)</f>
        <v>6.1</v>
      </c>
      <c r="K754" s="20">
        <f>VLOOKUP(A754,Metrik!$C$2:$Y$959,11,0)</f>
        <v>2.8</v>
      </c>
      <c r="L754" s="20">
        <f>VLOOKUP(A754,Metrik!$C$2:$Y$959,12,0)</f>
        <v>1.2</v>
      </c>
      <c r="M754" s="20">
        <f>VLOOKUP(A754,Metrik!$C$2:$Y$959,19,0)</f>
        <v>7.7</v>
      </c>
      <c r="N754" s="21"/>
      <c r="O754" s="21"/>
      <c r="P754" s="21"/>
      <c r="Q754" s="21"/>
      <c r="R754" s="21"/>
      <c r="S754" s="21"/>
      <c r="T754" s="21"/>
      <c r="U754" s="22">
        <f>IFERROR(__xludf.DUMMYFUNCTION("IFERROR(GOOGLEFINANCE(A754,""closeyest""),"""")"),300.0)</f>
        <v>300</v>
      </c>
      <c r="V754" s="23">
        <f>IFERROR(__xludf.DUMMYFUNCTION("IFERROR(GOOGLEFINANCE(A754,""changepct""),"""")"),1.33)</f>
        <v>1.33</v>
      </c>
      <c r="W754" s="22">
        <f>IFERROR(__xludf.DUMMYFUNCTION("IFERROR(GOOGLEFINANCE(A754,""priceopen""),"""")"),312.0)</f>
        <v>312</v>
      </c>
      <c r="X754" s="22">
        <f>IFERROR(__xludf.DUMMYFUNCTION("IFERROR(GOOGLEFINANCE(A754,""high""),"""")"),320.0)</f>
        <v>320</v>
      </c>
      <c r="Y754" s="22">
        <f>IFERROR(__xludf.DUMMYFUNCTION("IFERROR(GOOGLEFINANCE(A754,""low""),"""")"),304.0)</f>
        <v>304</v>
      </c>
      <c r="Z754" s="22">
        <f>IFERROR(__xludf.DUMMYFUNCTION("IFERROR(GOOGLEFINANCE(A754,""volume""),"""")"),10300.0)</f>
        <v>10300</v>
      </c>
      <c r="AA754" s="24" t="str">
        <f>VLOOKUP(A754,Metrik!$C$2:$Y$959,5,0)</f>
        <v>Electronic Equipment, Instruments &amp; Components</v>
      </c>
      <c r="AB754" s="24" t="str">
        <f>VLOOKUP(A754,Metrik!$C$2:$Y$959,3,0)</f>
        <v>Technology</v>
      </c>
    </row>
    <row r="755">
      <c r="A755" s="14" t="s">
        <v>412</v>
      </c>
      <c r="B755" s="14" t="str">
        <f t="array" ref="B755">VLOOKUP(A755,{Metrik!$C$2:$C$998,Metrik!$B$2:$B$998},2,0)</f>
        <v>Garuda Maintenance Facility Aero Asia Tbk.</v>
      </c>
      <c r="C755" s="15">
        <f>IFERROR(__xludf.DUMMYFUNCTION("GOOGLEFINANCE(""IDX:""&amp;A755,""price"")"),52.0)</f>
        <v>52</v>
      </c>
      <c r="D755" s="16" t="str">
        <f>IFERROR(__xludf.DUMMYFUNCTION("IF(A755="""","""",
SPARKLINE(
INDEX(
GOOGLEFINANCE(""IDX:""&amp;A755,""close"",TODAY()-365,TODAY()),
,2
),
{""linewidth"",1}
))
"),"#N/A")</f>
        <v>#N/A</v>
      </c>
      <c r="E755" s="26"/>
      <c r="F755" s="26"/>
      <c r="G755" s="24">
        <f t="shared" si="6"/>
        <v>0</v>
      </c>
      <c r="H755" s="19">
        <f>VLOOKUP(A755,Metrik!$C$2:$Y$959,8,0)</f>
        <v>10.6</v>
      </c>
      <c r="I755" s="20">
        <f>VLOOKUP(A755,Metrik!$C$2:$Y$959,9,0)</f>
        <v>2.8</v>
      </c>
      <c r="J755" s="20">
        <f>VLOOKUP(A755,Metrik!$C$2:$Y$959,10,0)</f>
        <v>26</v>
      </c>
      <c r="K755" s="20">
        <f>VLOOKUP(A755,Metrik!$C$2:$Y$959,11,0)</f>
        <v>4</v>
      </c>
      <c r="L755" s="20">
        <f>VLOOKUP(A755,Metrik!$C$2:$Y$959,12,0)</f>
        <v>5.5</v>
      </c>
      <c r="M755" s="20">
        <f>VLOOKUP(A755,Metrik!$C$2:$Y$959,19,0)</f>
        <v>31.8</v>
      </c>
      <c r="N755" s="21"/>
      <c r="O755" s="21"/>
      <c r="P755" s="21"/>
      <c r="Q755" s="21"/>
      <c r="R755" s="21"/>
      <c r="S755" s="21"/>
      <c r="T755" s="21"/>
      <c r="U755" s="22">
        <f>IFERROR(__xludf.DUMMYFUNCTION("IFERROR(GOOGLEFINANCE(A755,""closeyest""),"""")"),50.0)</f>
        <v>50</v>
      </c>
      <c r="V755" s="23">
        <f>IFERROR(__xludf.DUMMYFUNCTION("IFERROR(GOOGLEFINANCE(A755,""changepct""),"""")"),4.0)</f>
        <v>4</v>
      </c>
      <c r="W755" s="22">
        <f>IFERROR(__xludf.DUMMYFUNCTION("IFERROR(GOOGLEFINANCE(A755,""priceopen""),"""")"),50.0)</f>
        <v>50</v>
      </c>
      <c r="X755" s="22">
        <f>IFERROR(__xludf.DUMMYFUNCTION("IFERROR(GOOGLEFINANCE(A755,""high""),"""")"),53.0)</f>
        <v>53</v>
      </c>
      <c r="Y755" s="22">
        <f>IFERROR(__xludf.DUMMYFUNCTION("IFERROR(GOOGLEFINANCE(A755,""low""),"""")"),50.0)</f>
        <v>50</v>
      </c>
      <c r="Z755" s="22">
        <f>IFERROR(__xludf.DUMMYFUNCTION("IFERROR(GOOGLEFINANCE(A755,""volume""),"""")"),7.94604E7)</f>
        <v>79460400</v>
      </c>
      <c r="AA755" s="24" t="str">
        <f>VLOOKUP(A755,Metrik!$C$2:$Y$959,5,0)</f>
        <v>Transport Infrastructure Operator</v>
      </c>
      <c r="AB755" s="24" t="str">
        <f>VLOOKUP(A755,Metrik!$C$2:$Y$959,3,0)</f>
        <v>Infrastructures</v>
      </c>
    </row>
    <row r="756">
      <c r="A756" s="14" t="s">
        <v>413</v>
      </c>
      <c r="B756" s="14" t="str">
        <f t="array" ref="B756">VLOOKUP(A756,{Metrik!$C$2:$C$998,Metrik!$B$2:$B$998},2,0)</f>
        <v>Gowa Makassar Tourism Development Tbk.</v>
      </c>
      <c r="C756" s="15">
        <f>IFERROR(__xludf.DUMMYFUNCTION("GOOGLEFINANCE(""IDX:""&amp;A756,""price"")"),1380.0)</f>
        <v>1380</v>
      </c>
      <c r="D756" s="16" t="str">
        <f>IFERROR(__xludf.DUMMYFUNCTION("IF(A756="""","""",
SPARKLINE(
INDEX(
GOOGLEFINANCE(""IDX:""&amp;A756,""close"",TODAY()-365,TODAY()),
,2
),
{""linewidth"",1}
))
"),"#N/A")</f>
        <v>#N/A</v>
      </c>
      <c r="E756" s="26"/>
      <c r="F756" s="26"/>
      <c r="G756" s="24">
        <f t="shared" si="6"/>
        <v>0</v>
      </c>
      <c r="H756" s="19">
        <f>VLOOKUP(A756,Metrik!$C$2:$Y$959,8,0)</f>
        <v>54.6</v>
      </c>
      <c r="I756" s="20">
        <f>VLOOKUP(A756,Metrik!$C$2:$Y$959,9,0)</f>
        <v>2</v>
      </c>
      <c r="J756" s="20">
        <f>VLOOKUP(A756,Metrik!$C$2:$Y$959,10,0)</f>
        <v>3.7</v>
      </c>
      <c r="K756" s="20">
        <f>VLOOKUP(A756,Metrik!$C$2:$Y$959,11,0)</f>
        <v>2.3</v>
      </c>
      <c r="L756" s="20">
        <f>VLOOKUP(A756,Metrik!$C$2:$Y$959,12,0)</f>
        <v>0.63</v>
      </c>
      <c r="M756" s="20">
        <f>VLOOKUP(A756,Metrik!$C$2:$Y$959,19,0)</f>
        <v>11.2</v>
      </c>
      <c r="N756" s="21"/>
      <c r="O756" s="21"/>
      <c r="P756" s="21"/>
      <c r="Q756" s="21"/>
      <c r="R756" s="21"/>
      <c r="S756" s="21"/>
      <c r="T756" s="21"/>
      <c r="U756" s="22">
        <f>IFERROR(__xludf.DUMMYFUNCTION("IFERROR(GOOGLEFINANCE(A756,""closeyest""),"""")"),1350.0)</f>
        <v>1350</v>
      </c>
      <c r="V756" s="23">
        <f>IFERROR(__xludf.DUMMYFUNCTION("IFERROR(GOOGLEFINANCE(A756,""changepct""),"""")"),2.22)</f>
        <v>2.22</v>
      </c>
      <c r="W756" s="22">
        <f>IFERROR(__xludf.DUMMYFUNCTION("IFERROR(GOOGLEFINANCE(A756,""priceopen""),"""")"),1325.0)</f>
        <v>1325</v>
      </c>
      <c r="X756" s="22">
        <f>IFERROR(__xludf.DUMMYFUNCTION("IFERROR(GOOGLEFINANCE(A756,""high""),"""")"),1380.0)</f>
        <v>1380</v>
      </c>
      <c r="Y756" s="22">
        <f>IFERROR(__xludf.DUMMYFUNCTION("IFERROR(GOOGLEFINANCE(A756,""low""),"""")"),1325.0)</f>
        <v>1325</v>
      </c>
      <c r="Z756" s="22">
        <f>IFERROR(__xludf.DUMMYFUNCTION("IFERROR(GOOGLEFINANCE(A756,""volume""),"""")"),4200.0)</f>
        <v>4200</v>
      </c>
      <c r="AA756" s="24" t="str">
        <f>VLOOKUP(A756,Metrik!$C$2:$Y$959,5,0)</f>
        <v>Real Estate Management &amp; Development</v>
      </c>
      <c r="AB756" s="24" t="str">
        <f>VLOOKUP(A756,Metrik!$C$2:$Y$959,3,0)</f>
        <v>Properties &amp; Real Estate</v>
      </c>
    </row>
    <row r="757">
      <c r="A757" s="14" t="s">
        <v>414</v>
      </c>
      <c r="B757" s="14" t="str">
        <f t="array" ref="B757">VLOOKUP(A757,{Metrik!$C$2:$C$998,Metrik!$B$2:$B$998},2,0)</f>
        <v>PT Visi Telekomunikasi Infrastruktur Tbk.</v>
      </c>
      <c r="C757" s="15">
        <f>IFERROR(__xludf.DUMMYFUNCTION("GOOGLEFINANCE(""IDX:""&amp;A757,""price"")"),242.0)</f>
        <v>242</v>
      </c>
      <c r="D757" s="16" t="str">
        <f>IFERROR(__xludf.DUMMYFUNCTION("IF(A757="""","""",
SPARKLINE(
INDEX(
GOOGLEFINANCE(""IDX:""&amp;A757,""close"",TODAY()-365,TODAY()),
,2
),
{""linewidth"",1}
))
"),"#N/A")</f>
        <v>#N/A</v>
      </c>
      <c r="E757" s="26"/>
      <c r="F757" s="26"/>
      <c r="G757" s="24">
        <f t="shared" si="6"/>
        <v>0</v>
      </c>
      <c r="H757" s="19">
        <f>VLOOKUP(A757,Metrik!$C$2:$Y$959,8,0)</f>
        <v>17.3</v>
      </c>
      <c r="I757" s="20">
        <f>VLOOKUP(A757,Metrik!$C$2:$Y$959,9,0)</f>
        <v>0.76</v>
      </c>
      <c r="J757" s="20">
        <f>VLOOKUP(A757,Metrik!$C$2:$Y$959,10,0)</f>
        <v>4.4</v>
      </c>
      <c r="K757" s="20">
        <f>VLOOKUP(A757,Metrik!$C$2:$Y$959,11,0)</f>
        <v>4.1</v>
      </c>
      <c r="L757" s="20">
        <f>VLOOKUP(A757,Metrik!$C$2:$Y$959,12,0)</f>
        <v>0.08</v>
      </c>
      <c r="M757" s="20">
        <f>VLOOKUP(A757,Metrik!$C$2:$Y$959,19,0)</f>
        <v>130</v>
      </c>
      <c r="N757" s="21"/>
      <c r="O757" s="21"/>
      <c r="P757" s="21"/>
      <c r="Q757" s="21"/>
      <c r="R757" s="21"/>
      <c r="S757" s="21"/>
      <c r="T757" s="21"/>
      <c r="U757" s="22">
        <f>IFERROR(__xludf.DUMMYFUNCTION("IFERROR(GOOGLEFINANCE(A757,""closeyest""),"""")"),43.29)</f>
        <v>43.29</v>
      </c>
      <c r="V757" s="23">
        <f>IFERROR(__xludf.DUMMYFUNCTION("IFERROR(GOOGLEFINANCE(A757,""changepct""),"""")"),2.17)</f>
        <v>2.17</v>
      </c>
      <c r="W757" s="22">
        <f>IFERROR(__xludf.DUMMYFUNCTION("IFERROR(GOOGLEFINANCE(A757,""priceopen""),"""")"),43.3)</f>
        <v>43.3</v>
      </c>
      <c r="X757" s="22">
        <f>IFERROR(__xludf.DUMMYFUNCTION("IFERROR(GOOGLEFINANCE(A757,""high""),"""")"),44.35)</f>
        <v>44.35</v>
      </c>
      <c r="Y757" s="22">
        <f>IFERROR(__xludf.DUMMYFUNCTION("IFERROR(GOOGLEFINANCE(A757,""low""),"""")"),42.61)</f>
        <v>42.61</v>
      </c>
      <c r="Z757" s="22">
        <f>IFERROR(__xludf.DUMMYFUNCTION("IFERROR(GOOGLEFINANCE(A757,""volume""),"""")"),412935.0)</f>
        <v>412935</v>
      </c>
      <c r="AA757" s="24" t="str">
        <f>VLOOKUP(A757,Metrik!$C$2:$Y$959,5,0)</f>
        <v>Wireless Telecommunication Services</v>
      </c>
      <c r="AB757" s="24" t="str">
        <f>VLOOKUP(A757,Metrik!$C$2:$Y$959,3,0)</f>
        <v>Infrastructures</v>
      </c>
    </row>
    <row r="758">
      <c r="A758" s="14" t="s">
        <v>415</v>
      </c>
      <c r="B758" s="14" t="str">
        <f t="array" ref="B758">VLOOKUP(A758,{Metrik!$C$2:$C$998,Metrik!$B$2:$B$998},2,0)</f>
        <v>Intra Golflink Resorts Tbk.</v>
      </c>
      <c r="C758" s="15">
        <f>IFERROR(__xludf.DUMMYFUNCTION("GOOGLEFINANCE(""IDX:""&amp;A758,""price"")"),168.0)</f>
        <v>168</v>
      </c>
      <c r="D758" s="16" t="str">
        <f>IFERROR(__xludf.DUMMYFUNCTION("IF(A758="""","""",
SPARKLINE(
INDEX(
GOOGLEFINANCE(""IDX:""&amp;A758,""close"",TODAY()-365,TODAY()),
,2
),
{""linewidth"",1}
))
"),"#N/A")</f>
        <v>#N/A</v>
      </c>
      <c r="E758" s="26"/>
      <c r="F758" s="26"/>
      <c r="G758" s="24">
        <f t="shared" si="6"/>
        <v>0</v>
      </c>
      <c r="H758" s="19">
        <f>VLOOKUP(A758,Metrik!$C$2:$Y$959,8,0)</f>
        <v>59.9</v>
      </c>
      <c r="I758" s="20">
        <f>VLOOKUP(A758,Metrik!$C$2:$Y$959,9,0)</f>
        <v>0.39</v>
      </c>
      <c r="J758" s="20">
        <f>VLOOKUP(A758,Metrik!$C$2:$Y$959,10,0)</f>
        <v>0.65</v>
      </c>
      <c r="K758" s="20">
        <f>VLOOKUP(A758,Metrik!$C$2:$Y$959,11,0)</f>
        <v>0.6</v>
      </c>
      <c r="L758" s="20">
        <f>VLOOKUP(A758,Metrik!$C$2:$Y$959,12,0)</f>
        <v>0.08</v>
      </c>
      <c r="M758" s="20">
        <f>VLOOKUP(A758,Metrik!$C$2:$Y$959,19,0)</f>
        <v>180</v>
      </c>
      <c r="N758" s="21"/>
      <c r="O758" s="21"/>
      <c r="P758" s="21"/>
      <c r="Q758" s="21"/>
      <c r="R758" s="21"/>
      <c r="S758" s="21"/>
      <c r="T758" s="21"/>
      <c r="U758" s="22">
        <f>IFERROR(__xludf.DUMMYFUNCTION("IFERROR(GOOGLEFINANCE(A758,""closeyest""),"""")"),99.44)</f>
        <v>99.44</v>
      </c>
      <c r="V758" s="23">
        <f>IFERROR(__xludf.DUMMYFUNCTION("IFERROR(GOOGLEFINANCE(A758,""changepct""),"""")"),-1.29)</f>
        <v>-1.29</v>
      </c>
      <c r="W758" s="22">
        <f>IFERROR(__xludf.DUMMYFUNCTION("IFERROR(GOOGLEFINANCE(A758,""priceopen""),"""")"),99.95)</f>
        <v>99.95</v>
      </c>
      <c r="X758" s="22">
        <f>IFERROR(__xludf.DUMMYFUNCTION("IFERROR(GOOGLEFINANCE(A758,""high""),"""")"),101.06)</f>
        <v>101.06</v>
      </c>
      <c r="Y758" s="22">
        <f>IFERROR(__xludf.DUMMYFUNCTION("IFERROR(GOOGLEFINANCE(A758,""low""),"""")"),97.98)</f>
        <v>97.98</v>
      </c>
      <c r="Z758" s="22">
        <f>IFERROR(__xludf.DUMMYFUNCTION("IFERROR(GOOGLEFINANCE(A758,""volume""),"""")"),370170.0)</f>
        <v>370170</v>
      </c>
      <c r="AA758" s="24" t="str">
        <f>VLOOKUP(A758,Metrik!$C$2:$Y$959,5,0)</f>
        <v>Tourism &amp; Recreation</v>
      </c>
      <c r="AB758" s="24" t="str">
        <f>VLOOKUP(A758,Metrik!$C$2:$Y$959,3,0)</f>
        <v>Consumer Cyclicals</v>
      </c>
    </row>
    <row r="759">
      <c r="A759" s="14" t="s">
        <v>416</v>
      </c>
      <c r="B759" s="14" t="str">
        <f t="array" ref="B759">VLOOKUP(A759,{Metrik!$C$2:$C$998,Metrik!$B$2:$B$998},2,0)</f>
        <v>PT Golden Plantation Tbk</v>
      </c>
      <c r="C759" s="15">
        <f>IFERROR(__xludf.DUMMYFUNCTION("GOOGLEFINANCE(""IDX:""&amp;A759,""price"")"),50.0)</f>
        <v>50</v>
      </c>
      <c r="D759" s="16" t="str">
        <f>IFERROR(__xludf.DUMMYFUNCTION("IF(A759="""","""",
SPARKLINE(
INDEX(
GOOGLEFINANCE(""IDX:""&amp;A759,""close"",TODAY()-365,TODAY()),
,2
),
{""linewidth"",1}
))
"),"#N/A")</f>
        <v>#N/A</v>
      </c>
      <c r="E759" s="26"/>
      <c r="F759" s="26"/>
      <c r="G759" s="24">
        <f t="shared" si="6"/>
        <v>0</v>
      </c>
      <c r="H759" s="19">
        <f>VLOOKUP(A759,Metrik!$C$2:$Y$959,8,0)</f>
        <v>0</v>
      </c>
      <c r="I759" s="20">
        <f>VLOOKUP(A759,Metrik!$C$2:$Y$959,9,0)</f>
        <v>2.3</v>
      </c>
      <c r="J759" s="20">
        <f>VLOOKUP(A759,Metrik!$C$2:$Y$959,10,0)</f>
        <v>-21.3</v>
      </c>
      <c r="K759" s="20">
        <f>VLOOKUP(A759,Metrik!$C$2:$Y$959,11,0)</f>
        <v>-3.5</v>
      </c>
      <c r="L759" s="20">
        <f>VLOOKUP(A759,Metrik!$C$2:$Y$959,12,0)</f>
        <v>5</v>
      </c>
      <c r="M759" s="20">
        <f>VLOOKUP(A759,Metrik!$C$2:$Y$959,19,0)</f>
        <v>-450</v>
      </c>
      <c r="N759" s="21"/>
      <c r="O759" s="21"/>
      <c r="P759" s="21"/>
      <c r="Q759" s="21"/>
      <c r="R759" s="21"/>
      <c r="S759" s="21"/>
      <c r="T759" s="21"/>
      <c r="U759" s="22">
        <f>IFERROR(__xludf.DUMMYFUNCTION("IFERROR(GOOGLEFINANCE(A759,""closeyest""),"""")"),50.0)</f>
        <v>50</v>
      </c>
      <c r="V759" s="23">
        <f>IFERROR(__xludf.DUMMYFUNCTION("IFERROR(GOOGLEFINANCE(A759,""changepct""),"""")"),0.0)</f>
        <v>0</v>
      </c>
      <c r="W759" s="22" t="str">
        <f>IFERROR(__xludf.DUMMYFUNCTION("IFERROR(GOOGLEFINANCE(A759,""priceopen""),"""")"),"")</f>
        <v/>
      </c>
      <c r="X759" s="22" t="str">
        <f>IFERROR(__xludf.DUMMYFUNCTION("IFERROR(GOOGLEFINANCE(A759,""high""),"""")"),"")</f>
        <v/>
      </c>
      <c r="Y759" s="22" t="str">
        <f>IFERROR(__xludf.DUMMYFUNCTION("IFERROR(GOOGLEFINANCE(A759,""low""),"""")"),"")</f>
        <v/>
      </c>
      <c r="Z759" s="22">
        <f>IFERROR(__xludf.DUMMYFUNCTION("IFERROR(GOOGLEFINANCE(A759,""volume""),"""")"),0.0)</f>
        <v>0</v>
      </c>
      <c r="AA759" s="24" t="str">
        <f>VLOOKUP(A759,Metrik!$C$2:$Y$959,5,0)</f>
        <v>Agricultural Products</v>
      </c>
      <c r="AB759" s="24" t="str">
        <f>VLOOKUP(A759,Metrik!$C$2:$Y$959,3,0)</f>
        <v>Consumer Non-Cyclicals</v>
      </c>
    </row>
    <row r="760">
      <c r="A760" s="14" t="s">
        <v>417</v>
      </c>
      <c r="B760" s="14" t="str">
        <f t="array" ref="B760">VLOOKUP(A760,{Metrik!$C$2:$C$998,Metrik!$B$2:$B$998},2,0)</f>
        <v>Garudafood Putra Putri Jaya Tbk.</v>
      </c>
      <c r="C760" s="15">
        <f>IFERROR(__xludf.DUMMYFUNCTION("GOOGLEFINANCE(""IDX:""&amp;A760,""price"")"),322.0)</f>
        <v>322</v>
      </c>
      <c r="D760" s="16" t="str">
        <f>IFERROR(__xludf.DUMMYFUNCTION("IF(A760="""","""",
SPARKLINE(
INDEX(
GOOGLEFINANCE(""IDX:""&amp;A760,""close"",TODAY()-365,TODAY()),
,2
),
{""linewidth"",1}
))
"),"#N/A")</f>
        <v>#N/A</v>
      </c>
      <c r="E760" s="26"/>
      <c r="F760" s="26"/>
      <c r="G760" s="24">
        <f t="shared" si="6"/>
        <v>0</v>
      </c>
      <c r="H760" s="19">
        <f>VLOOKUP(A760,Metrik!$C$2:$Y$959,8,0)</f>
        <v>17.8</v>
      </c>
      <c r="I760" s="20">
        <f>VLOOKUP(A760,Metrik!$C$2:$Y$959,9,0)</f>
        <v>2.7</v>
      </c>
      <c r="J760" s="20">
        <f>VLOOKUP(A760,Metrik!$C$2:$Y$959,10,0)</f>
        <v>15.3</v>
      </c>
      <c r="K760" s="20">
        <f>VLOOKUP(A760,Metrik!$C$2:$Y$959,11,0)</f>
        <v>7.2</v>
      </c>
      <c r="L760" s="20">
        <f>VLOOKUP(A760,Metrik!$C$2:$Y$959,12,0)</f>
        <v>1.1</v>
      </c>
      <c r="M760" s="20">
        <f>VLOOKUP(A760,Metrik!$C$2:$Y$959,19,0)</f>
        <v>19.6</v>
      </c>
      <c r="N760" s="21"/>
      <c r="O760" s="21"/>
      <c r="P760" s="21"/>
      <c r="Q760" s="21"/>
      <c r="R760" s="21"/>
      <c r="S760" s="21"/>
      <c r="T760" s="21"/>
      <c r="U760" s="22">
        <f>IFERROR(__xludf.DUMMYFUNCTION("IFERROR(GOOGLEFINANCE(A760,""closeyest""),"""")"),12.65)</f>
        <v>12.65</v>
      </c>
      <c r="V760" s="23">
        <f>IFERROR(__xludf.DUMMYFUNCTION("IFERROR(GOOGLEFINANCE(A760,""changepct""),"""")"),-0.87)</f>
        <v>-0.87</v>
      </c>
      <c r="W760" s="22">
        <f>IFERROR(__xludf.DUMMYFUNCTION("IFERROR(GOOGLEFINANCE(A760,""priceopen""),"""")"),12.7)</f>
        <v>12.7</v>
      </c>
      <c r="X760" s="22">
        <f>IFERROR(__xludf.DUMMYFUNCTION("IFERROR(GOOGLEFINANCE(A760,""high""),"""")"),12.78)</f>
        <v>12.78</v>
      </c>
      <c r="Y760" s="22">
        <f>IFERROR(__xludf.DUMMYFUNCTION("IFERROR(GOOGLEFINANCE(A760,""low""),"""")"),12.53)</f>
        <v>12.53</v>
      </c>
      <c r="Z760" s="22">
        <f>IFERROR(__xludf.DUMMYFUNCTION("IFERROR(GOOGLEFINANCE(A760,""volume""),"""")"),424701.0)</f>
        <v>424701</v>
      </c>
      <c r="AA760" s="24" t="str">
        <f>VLOOKUP(A760,Metrik!$C$2:$Y$959,5,0)</f>
        <v>Processed Foods</v>
      </c>
      <c r="AB760" s="24" t="str">
        <f>VLOOKUP(A760,Metrik!$C$2:$Y$959,3,0)</f>
        <v>Consumer Non-Cyclicals</v>
      </c>
    </row>
    <row r="761">
      <c r="A761" s="17" t="s">
        <v>418</v>
      </c>
      <c r="B761" s="14" t="str">
        <f t="array" ref="B761">VLOOKUP(A761,{Metrik!$C$2:$C$998,Metrik!$B$2:$B$998},2,0)</f>
        <v>GoTo Gojek Tokopedia Tbk.</v>
      </c>
      <c r="C761" s="15">
        <f>IFERROR(__xludf.DUMMYFUNCTION("GOOGLEFINANCE(""IDX:""&amp;A761,""price"")"),50.0)</f>
        <v>50</v>
      </c>
      <c r="D761" s="16" t="str">
        <f>IFERROR(__xludf.DUMMYFUNCTION("IF(A761="""","""",
SPARKLINE(
INDEX(
GOOGLEFINANCE(""IDX:""&amp;A761,""close"",TODAY()-365,TODAY()),
,2
),
{""linewidth"",1}
))
"),"#N/A")</f>
        <v>#N/A</v>
      </c>
      <c r="E761" s="14" t="s">
        <v>128</v>
      </c>
      <c r="F761" s="17" t="s">
        <v>36</v>
      </c>
      <c r="G761" s="24">
        <f t="shared" si="6"/>
        <v>6</v>
      </c>
      <c r="H761" s="19">
        <f>VLOOKUP(A761,Metrik!$C$2:$Y$959,8,0)</f>
        <v>-88.5</v>
      </c>
      <c r="I761" s="20">
        <f>VLOOKUP(A761,Metrik!$C$2:$Y$959,9,0)</f>
        <v>2</v>
      </c>
      <c r="J761" s="20">
        <f>VLOOKUP(A761,Metrik!$C$2:$Y$959,10,0)</f>
        <v>-2.2</v>
      </c>
      <c r="K761" s="20">
        <f>VLOOKUP(A761,Metrik!$C$2:$Y$959,11,0)</f>
        <v>-1.4</v>
      </c>
      <c r="L761" s="20">
        <f>VLOOKUP(A761,Metrik!$C$2:$Y$959,12,0)</f>
        <v>0.62</v>
      </c>
      <c r="M761" s="20">
        <f>VLOOKUP(A761,Metrik!$C$2:$Y$959,19,0)</f>
        <v>-12.1</v>
      </c>
      <c r="N761" s="21"/>
      <c r="O761" s="21"/>
      <c r="P761" s="21"/>
      <c r="Q761" s="21"/>
      <c r="R761" s="21"/>
      <c r="S761" s="21"/>
      <c r="T761" s="21"/>
      <c r="U761" s="22">
        <f>IFERROR(__xludf.DUMMYFUNCTION("IFERROR(GOOGLEFINANCE(A761,""closeyest""),"""")"),50.0)</f>
        <v>50</v>
      </c>
      <c r="V761" s="23">
        <f>IFERROR(__xludf.DUMMYFUNCTION("IFERROR(GOOGLEFINANCE(A761,""changepct""),"""")"),0.0)</f>
        <v>0</v>
      </c>
      <c r="W761" s="22">
        <f>IFERROR(__xludf.DUMMYFUNCTION("IFERROR(GOOGLEFINANCE(A761,""priceopen""),"""")"),50.0)</f>
        <v>50</v>
      </c>
      <c r="X761" s="22">
        <f>IFERROR(__xludf.DUMMYFUNCTION("IFERROR(GOOGLEFINANCE(A761,""high""),"""")"),50.0)</f>
        <v>50</v>
      </c>
      <c r="Y761" s="22">
        <f>IFERROR(__xludf.DUMMYFUNCTION("IFERROR(GOOGLEFINANCE(A761,""low""),"""")"),50.0)</f>
        <v>50</v>
      </c>
      <c r="Z761" s="22">
        <f>IFERROR(__xludf.DUMMYFUNCTION("IFERROR(GOOGLEFINANCE(A761,""volume""),"""")"),6.7675E7)</f>
        <v>67675000</v>
      </c>
      <c r="AA761" s="24" t="str">
        <f>VLOOKUP(A761,Metrik!$C$2:$Y$959,5,0)</f>
        <v>Software</v>
      </c>
      <c r="AB761" s="24" t="str">
        <f>VLOOKUP(A761,Metrik!$C$2:$Y$959,3,0)</f>
        <v>Technology</v>
      </c>
    </row>
    <row r="762">
      <c r="A762" s="14" t="s">
        <v>418</v>
      </c>
      <c r="B762" s="14" t="str">
        <f t="array" ref="B762">VLOOKUP(A762,{Metrik!$C$2:$C$998,Metrik!$B$2:$B$998},2,0)</f>
        <v>GoTo Gojek Tokopedia Tbk.</v>
      </c>
      <c r="C762" s="15">
        <f>IFERROR(__xludf.DUMMYFUNCTION("GOOGLEFINANCE(""IDX:""&amp;A762,""price"")"),50.0)</f>
        <v>50</v>
      </c>
      <c r="D762" s="16" t="str">
        <f>IFERROR(__xludf.DUMMYFUNCTION("IF(A762="""","""",
SPARKLINE(
INDEX(
GOOGLEFINANCE(""IDX:""&amp;A762,""close"",TODAY()-365,TODAY()),
,2
),
{""linewidth"",1}
))
"),"#N/A")</f>
        <v>#N/A</v>
      </c>
      <c r="E762" s="14" t="s">
        <v>28</v>
      </c>
      <c r="F762" s="17" t="s">
        <v>29</v>
      </c>
      <c r="G762" s="24">
        <f t="shared" si="6"/>
        <v>6</v>
      </c>
      <c r="H762" s="19">
        <f>VLOOKUP(A762,Metrik!$C$2:$Y$959,8,0)</f>
        <v>-88.5</v>
      </c>
      <c r="I762" s="20">
        <f>VLOOKUP(A762,Metrik!$C$2:$Y$959,9,0)</f>
        <v>2</v>
      </c>
      <c r="J762" s="20">
        <f>VLOOKUP(A762,Metrik!$C$2:$Y$959,10,0)</f>
        <v>-2.2</v>
      </c>
      <c r="K762" s="20">
        <f>VLOOKUP(A762,Metrik!$C$2:$Y$959,11,0)</f>
        <v>-1.4</v>
      </c>
      <c r="L762" s="20">
        <f>VLOOKUP(A762,Metrik!$C$2:$Y$959,12,0)</f>
        <v>0.62</v>
      </c>
      <c r="M762" s="20">
        <f>VLOOKUP(A762,Metrik!$C$2:$Y$959,19,0)</f>
        <v>-12.1</v>
      </c>
      <c r="N762" s="21"/>
      <c r="O762" s="21"/>
      <c r="P762" s="21"/>
      <c r="Q762" s="21"/>
      <c r="R762" s="21"/>
      <c r="S762" s="21"/>
      <c r="T762" s="21"/>
      <c r="U762" s="22">
        <f>IFERROR(__xludf.DUMMYFUNCTION("IFERROR(GOOGLEFINANCE(A762,""closeyest""),"""")"),50.0)</f>
        <v>50</v>
      </c>
      <c r="V762" s="23">
        <f>IFERROR(__xludf.DUMMYFUNCTION("IFERROR(GOOGLEFINANCE(A762,""changepct""),"""")"),0.0)</f>
        <v>0</v>
      </c>
      <c r="W762" s="22">
        <f>IFERROR(__xludf.DUMMYFUNCTION("IFERROR(GOOGLEFINANCE(A762,""priceopen""),"""")"),50.0)</f>
        <v>50</v>
      </c>
      <c r="X762" s="22">
        <f>IFERROR(__xludf.DUMMYFUNCTION("IFERROR(GOOGLEFINANCE(A762,""high""),"""")"),50.0)</f>
        <v>50</v>
      </c>
      <c r="Y762" s="22">
        <f>IFERROR(__xludf.DUMMYFUNCTION("IFERROR(GOOGLEFINANCE(A762,""low""),"""")"),50.0)</f>
        <v>50</v>
      </c>
      <c r="Z762" s="22">
        <f>IFERROR(__xludf.DUMMYFUNCTION("IFERROR(GOOGLEFINANCE(A762,""volume""),"""")"),6.7675E7)</f>
        <v>67675000</v>
      </c>
      <c r="AA762" s="24" t="str">
        <f>VLOOKUP(A762,Metrik!$C$2:$Y$959,5,0)</f>
        <v>Software</v>
      </c>
      <c r="AB762" s="24" t="str">
        <f>VLOOKUP(A762,Metrik!$C$2:$Y$959,3,0)</f>
        <v>Technology</v>
      </c>
    </row>
    <row r="763">
      <c r="A763" s="14" t="s">
        <v>418</v>
      </c>
      <c r="B763" s="14" t="str">
        <f t="array" ref="B763">VLOOKUP(A763,{Metrik!$C$2:$C$998,Metrik!$B$2:$B$998},2,0)</f>
        <v>GoTo Gojek Tokopedia Tbk.</v>
      </c>
      <c r="C763" s="15">
        <f>IFERROR(__xludf.DUMMYFUNCTION("GOOGLEFINANCE(""IDX:""&amp;A763,""price"")"),50.0)</f>
        <v>50</v>
      </c>
      <c r="D763" s="16" t="str">
        <f>IFERROR(__xludf.DUMMYFUNCTION("IF(A763="""","""",
SPARKLINE(
INDEX(
GOOGLEFINANCE(""IDX:""&amp;A763,""close"",TODAY()-365,TODAY()),
,2
),
{""linewidth"",1}
))
"),"#N/A")</f>
        <v>#N/A</v>
      </c>
      <c r="E763" s="14" t="s">
        <v>31</v>
      </c>
      <c r="F763" s="17" t="s">
        <v>29</v>
      </c>
      <c r="G763" s="24">
        <f t="shared" si="6"/>
        <v>6</v>
      </c>
      <c r="H763" s="19">
        <f>VLOOKUP(A763,Metrik!$C$2:$Y$959,8,0)</f>
        <v>-88.5</v>
      </c>
      <c r="I763" s="20">
        <f>VLOOKUP(A763,Metrik!$C$2:$Y$959,9,0)</f>
        <v>2</v>
      </c>
      <c r="J763" s="20">
        <f>VLOOKUP(A763,Metrik!$C$2:$Y$959,10,0)</f>
        <v>-2.2</v>
      </c>
      <c r="K763" s="20">
        <f>VLOOKUP(A763,Metrik!$C$2:$Y$959,11,0)</f>
        <v>-1.4</v>
      </c>
      <c r="L763" s="20">
        <f>VLOOKUP(A763,Metrik!$C$2:$Y$959,12,0)</f>
        <v>0.62</v>
      </c>
      <c r="M763" s="20">
        <f>VLOOKUP(A763,Metrik!$C$2:$Y$959,19,0)</f>
        <v>-12.1</v>
      </c>
      <c r="N763" s="21"/>
      <c r="O763" s="21"/>
      <c r="P763" s="21"/>
      <c r="Q763" s="21"/>
      <c r="R763" s="21"/>
      <c r="S763" s="21"/>
      <c r="T763" s="21"/>
      <c r="U763" s="22">
        <f>IFERROR(__xludf.DUMMYFUNCTION("IFERROR(GOOGLEFINANCE(A763,""closeyest""),"""")"),50.0)</f>
        <v>50</v>
      </c>
      <c r="V763" s="23">
        <f>IFERROR(__xludf.DUMMYFUNCTION("IFERROR(GOOGLEFINANCE(A763,""changepct""),"""")"),0.0)</f>
        <v>0</v>
      </c>
      <c r="W763" s="22">
        <f>IFERROR(__xludf.DUMMYFUNCTION("IFERROR(GOOGLEFINANCE(A763,""priceopen""),"""")"),50.0)</f>
        <v>50</v>
      </c>
      <c r="X763" s="22">
        <f>IFERROR(__xludf.DUMMYFUNCTION("IFERROR(GOOGLEFINANCE(A763,""high""),"""")"),50.0)</f>
        <v>50</v>
      </c>
      <c r="Y763" s="22">
        <f>IFERROR(__xludf.DUMMYFUNCTION("IFERROR(GOOGLEFINANCE(A763,""low""),"""")"),50.0)</f>
        <v>50</v>
      </c>
      <c r="Z763" s="22">
        <f>IFERROR(__xludf.DUMMYFUNCTION("IFERROR(GOOGLEFINANCE(A763,""volume""),"""")"),6.7675E7)</f>
        <v>67675000</v>
      </c>
      <c r="AA763" s="24" t="str">
        <f>VLOOKUP(A763,Metrik!$C$2:$Y$959,5,0)</f>
        <v>Software</v>
      </c>
      <c r="AB763" s="24" t="str">
        <f>VLOOKUP(A763,Metrik!$C$2:$Y$959,3,0)</f>
        <v>Technology</v>
      </c>
    </row>
    <row r="764">
      <c r="A764" s="14" t="s">
        <v>418</v>
      </c>
      <c r="B764" s="14" t="str">
        <f t="array" ref="B764">VLOOKUP(A764,{Metrik!$C$2:$C$998,Metrik!$B$2:$B$998},2,0)</f>
        <v>GoTo Gojek Tokopedia Tbk.</v>
      </c>
      <c r="C764" s="15">
        <f>IFERROR(__xludf.DUMMYFUNCTION("GOOGLEFINANCE(""IDX:""&amp;A764,""price"")"),50.0)</f>
        <v>50</v>
      </c>
      <c r="D764" s="16" t="str">
        <f>IFERROR(__xludf.DUMMYFUNCTION("IF(A764="""","""",
SPARKLINE(
INDEX(
GOOGLEFINANCE(""IDX:""&amp;A764,""close"",TODAY()-365,TODAY()),
,2
),
{""linewidth"",1}
))
"),"#N/A")</f>
        <v>#N/A</v>
      </c>
      <c r="E764" s="14" t="s">
        <v>30</v>
      </c>
      <c r="F764" s="17" t="s">
        <v>29</v>
      </c>
      <c r="G764" s="24">
        <f t="shared" si="6"/>
        <v>6</v>
      </c>
      <c r="H764" s="19">
        <f>VLOOKUP(A764,Metrik!$C$2:$Y$959,8,0)</f>
        <v>-88.5</v>
      </c>
      <c r="I764" s="20">
        <f>VLOOKUP(A764,Metrik!$C$2:$Y$959,9,0)</f>
        <v>2</v>
      </c>
      <c r="J764" s="20">
        <f>VLOOKUP(A764,Metrik!$C$2:$Y$959,10,0)</f>
        <v>-2.2</v>
      </c>
      <c r="K764" s="20">
        <f>VLOOKUP(A764,Metrik!$C$2:$Y$959,11,0)</f>
        <v>-1.4</v>
      </c>
      <c r="L764" s="20">
        <f>VLOOKUP(A764,Metrik!$C$2:$Y$959,12,0)</f>
        <v>0.62</v>
      </c>
      <c r="M764" s="20">
        <f>VLOOKUP(A764,Metrik!$C$2:$Y$959,19,0)</f>
        <v>-12.1</v>
      </c>
      <c r="N764" s="21"/>
      <c r="O764" s="21"/>
      <c r="P764" s="21"/>
      <c r="Q764" s="21"/>
      <c r="R764" s="21"/>
      <c r="S764" s="21"/>
      <c r="T764" s="21"/>
      <c r="U764" s="22">
        <f>IFERROR(__xludf.DUMMYFUNCTION("IFERROR(GOOGLEFINANCE(A764,""closeyest""),"""")"),50.0)</f>
        <v>50</v>
      </c>
      <c r="V764" s="23">
        <f>IFERROR(__xludf.DUMMYFUNCTION("IFERROR(GOOGLEFINANCE(A764,""changepct""),"""")"),0.0)</f>
        <v>0</v>
      </c>
      <c r="W764" s="22">
        <f>IFERROR(__xludf.DUMMYFUNCTION("IFERROR(GOOGLEFINANCE(A764,""priceopen""),"""")"),50.0)</f>
        <v>50</v>
      </c>
      <c r="X764" s="22">
        <f>IFERROR(__xludf.DUMMYFUNCTION("IFERROR(GOOGLEFINANCE(A764,""high""),"""")"),50.0)</f>
        <v>50</v>
      </c>
      <c r="Y764" s="22">
        <f>IFERROR(__xludf.DUMMYFUNCTION("IFERROR(GOOGLEFINANCE(A764,""low""),"""")"),50.0)</f>
        <v>50</v>
      </c>
      <c r="Z764" s="22">
        <f>IFERROR(__xludf.DUMMYFUNCTION("IFERROR(GOOGLEFINANCE(A764,""volume""),"""")"),6.7675E7)</f>
        <v>67675000</v>
      </c>
      <c r="AA764" s="24" t="str">
        <f>VLOOKUP(A764,Metrik!$C$2:$Y$959,5,0)</f>
        <v>Software</v>
      </c>
      <c r="AB764" s="24" t="str">
        <f>VLOOKUP(A764,Metrik!$C$2:$Y$959,3,0)</f>
        <v>Technology</v>
      </c>
    </row>
    <row r="765">
      <c r="A765" s="14" t="s">
        <v>418</v>
      </c>
      <c r="B765" s="14" t="str">
        <f t="array" ref="B765">VLOOKUP(A765,{Metrik!$C$2:$C$998,Metrik!$B$2:$B$998},2,0)</f>
        <v>GoTo Gojek Tokopedia Tbk.</v>
      </c>
      <c r="C765" s="15">
        <f>IFERROR(__xludf.DUMMYFUNCTION("GOOGLEFINANCE(""IDX:""&amp;A765,""price"")"),50.0)</f>
        <v>50</v>
      </c>
      <c r="D765" s="16" t="str">
        <f>IFERROR(__xludf.DUMMYFUNCTION("IF(A765="""","""",
SPARKLINE(
INDEX(
GOOGLEFINANCE(""IDX:""&amp;A765,""close"",TODAY()-365,TODAY()),
,2
),
{""linewidth"",1}
))
"),"#N/A")</f>
        <v>#N/A</v>
      </c>
      <c r="E765" s="14" t="s">
        <v>32</v>
      </c>
      <c r="F765" s="14" t="s">
        <v>29</v>
      </c>
      <c r="G765" s="24">
        <f t="shared" si="6"/>
        <v>6</v>
      </c>
      <c r="H765" s="19">
        <f>VLOOKUP(A765,Metrik!$C$2:$Y$959,8,0)</f>
        <v>-88.5</v>
      </c>
      <c r="I765" s="20">
        <f>VLOOKUP(A765,Metrik!$C$2:$Y$959,9,0)</f>
        <v>2</v>
      </c>
      <c r="J765" s="20">
        <f>VLOOKUP(A765,Metrik!$C$2:$Y$959,10,0)</f>
        <v>-2.2</v>
      </c>
      <c r="K765" s="20">
        <f>VLOOKUP(A765,Metrik!$C$2:$Y$959,11,0)</f>
        <v>-1.4</v>
      </c>
      <c r="L765" s="20">
        <f>VLOOKUP(A765,Metrik!$C$2:$Y$959,12,0)</f>
        <v>0.62</v>
      </c>
      <c r="M765" s="20">
        <f>VLOOKUP(A765,Metrik!$C$2:$Y$959,19,0)</f>
        <v>-12.1</v>
      </c>
      <c r="N765" s="21"/>
      <c r="O765" s="21"/>
      <c r="P765" s="21"/>
      <c r="Q765" s="21"/>
      <c r="R765" s="21"/>
      <c r="S765" s="21"/>
      <c r="T765" s="21"/>
      <c r="U765" s="22">
        <f>IFERROR(__xludf.DUMMYFUNCTION("IFERROR(GOOGLEFINANCE(A765,""closeyest""),"""")"),50.0)</f>
        <v>50</v>
      </c>
      <c r="V765" s="23">
        <f>IFERROR(__xludf.DUMMYFUNCTION("IFERROR(GOOGLEFINANCE(A765,""changepct""),"""")"),0.0)</f>
        <v>0</v>
      </c>
      <c r="W765" s="22">
        <f>IFERROR(__xludf.DUMMYFUNCTION("IFERROR(GOOGLEFINANCE(A765,""priceopen""),"""")"),50.0)</f>
        <v>50</v>
      </c>
      <c r="X765" s="22">
        <f>IFERROR(__xludf.DUMMYFUNCTION("IFERROR(GOOGLEFINANCE(A765,""high""),"""")"),50.0)</f>
        <v>50</v>
      </c>
      <c r="Y765" s="22">
        <f>IFERROR(__xludf.DUMMYFUNCTION("IFERROR(GOOGLEFINANCE(A765,""low""),"""")"),50.0)</f>
        <v>50</v>
      </c>
      <c r="Z765" s="22">
        <f>IFERROR(__xludf.DUMMYFUNCTION("IFERROR(GOOGLEFINANCE(A765,""volume""),"""")"),6.7675E7)</f>
        <v>67675000</v>
      </c>
      <c r="AA765" s="24" t="str">
        <f>VLOOKUP(A765,Metrik!$C$2:$Y$959,5,0)</f>
        <v>Software</v>
      </c>
      <c r="AB765" s="24" t="str">
        <f>VLOOKUP(A765,Metrik!$C$2:$Y$959,3,0)</f>
        <v>Technology</v>
      </c>
    </row>
    <row r="766">
      <c r="A766" s="14" t="s">
        <v>418</v>
      </c>
      <c r="B766" s="14" t="str">
        <f t="array" ref="B766">VLOOKUP(A766,{Metrik!$C$2:$C$998,Metrik!$B$2:$B$998},2,0)</f>
        <v>GoTo Gojek Tokopedia Tbk.</v>
      </c>
      <c r="C766" s="15">
        <f>IFERROR(__xludf.DUMMYFUNCTION("GOOGLEFINANCE(""IDX:""&amp;A766,""price"")"),50.0)</f>
        <v>50</v>
      </c>
      <c r="D766" s="16" t="str">
        <f>IFERROR(__xludf.DUMMYFUNCTION("IF(A766="""","""",
SPARKLINE(
INDEX(
GOOGLEFINANCE(""IDX:""&amp;A766,""close"",TODAY()-365,TODAY()),
,2
),
{""linewidth"",1}
))
"),"#N/A")</f>
        <v>#N/A</v>
      </c>
      <c r="E766" s="14" t="s">
        <v>50</v>
      </c>
      <c r="F766" s="17" t="s">
        <v>51</v>
      </c>
      <c r="G766" s="24">
        <f t="shared" si="6"/>
        <v>6</v>
      </c>
      <c r="H766" s="19">
        <f>VLOOKUP(A766,Metrik!$C$2:$Y$959,8,0)</f>
        <v>-88.5</v>
      </c>
      <c r="I766" s="20">
        <f>VLOOKUP(A766,Metrik!$C$2:$Y$959,9,0)</f>
        <v>2</v>
      </c>
      <c r="J766" s="20">
        <f>VLOOKUP(A766,Metrik!$C$2:$Y$959,10,0)</f>
        <v>-2.2</v>
      </c>
      <c r="K766" s="20">
        <f>VLOOKUP(A766,Metrik!$C$2:$Y$959,11,0)</f>
        <v>-1.4</v>
      </c>
      <c r="L766" s="20">
        <f>VLOOKUP(A766,Metrik!$C$2:$Y$959,12,0)</f>
        <v>0.62</v>
      </c>
      <c r="M766" s="20">
        <f>VLOOKUP(A766,Metrik!$C$2:$Y$959,19,0)</f>
        <v>-12.1</v>
      </c>
      <c r="N766" s="21"/>
      <c r="O766" s="21"/>
      <c r="P766" s="21"/>
      <c r="Q766" s="21"/>
      <c r="R766" s="21"/>
      <c r="S766" s="21"/>
      <c r="T766" s="21"/>
      <c r="U766" s="22">
        <f>IFERROR(__xludf.DUMMYFUNCTION("IFERROR(GOOGLEFINANCE(A766,""closeyest""),"""")"),50.0)</f>
        <v>50</v>
      </c>
      <c r="V766" s="23">
        <f>IFERROR(__xludf.DUMMYFUNCTION("IFERROR(GOOGLEFINANCE(A766,""changepct""),"""")"),0.0)</f>
        <v>0</v>
      </c>
      <c r="W766" s="22">
        <f>IFERROR(__xludf.DUMMYFUNCTION("IFERROR(GOOGLEFINANCE(A766,""priceopen""),"""")"),50.0)</f>
        <v>50</v>
      </c>
      <c r="X766" s="22">
        <f>IFERROR(__xludf.DUMMYFUNCTION("IFERROR(GOOGLEFINANCE(A766,""high""),"""")"),50.0)</f>
        <v>50</v>
      </c>
      <c r="Y766" s="22">
        <f>IFERROR(__xludf.DUMMYFUNCTION("IFERROR(GOOGLEFINANCE(A766,""low""),"""")"),50.0)</f>
        <v>50</v>
      </c>
      <c r="Z766" s="22">
        <f>IFERROR(__xludf.DUMMYFUNCTION("IFERROR(GOOGLEFINANCE(A766,""volume""),"""")"),6.7675E7)</f>
        <v>67675000</v>
      </c>
      <c r="AA766" s="24" t="str">
        <f>VLOOKUP(A766,Metrik!$C$2:$Y$959,5,0)</f>
        <v>Software</v>
      </c>
      <c r="AB766" s="24" t="str">
        <f>VLOOKUP(A766,Metrik!$C$2:$Y$959,3,0)</f>
        <v>Technology</v>
      </c>
    </row>
    <row r="767">
      <c r="A767" s="14" t="s">
        <v>419</v>
      </c>
      <c r="B767" s="14" t="str">
        <f t="array" ref="B767">VLOOKUP(A767,{Metrik!$C$2:$C$998,Metrik!$B$2:$B$998},2,0)</f>
        <v>MVS GoTo Gojek Tokopedia Tbk.</v>
      </c>
      <c r="C767" s="15">
        <f>IFERROR(__xludf.DUMMYFUNCTION("GOOGLEFINANCE(""IDX:""&amp;A767,""price"")"),0.0)</f>
        <v>0</v>
      </c>
      <c r="D767" s="16" t="str">
        <f>IFERROR(__xludf.DUMMYFUNCTION("IF(A767="""","""",
SPARKLINE(
INDEX(
GOOGLEFINANCE(""IDX:""&amp;A767,""close"",TODAY()-365,TODAY()),
,2
),
{""linewidth"",1}
))
"),"#N/A")</f>
        <v>#N/A</v>
      </c>
      <c r="E767" s="26"/>
      <c r="F767" s="26"/>
      <c r="G767" s="24">
        <f t="shared" si="6"/>
        <v>0</v>
      </c>
      <c r="H767" s="19">
        <f>VLOOKUP(A767,Metrik!$C$2:$Y$959,8,0)</f>
        <v>-5.3</v>
      </c>
      <c r="I767" s="20">
        <f>VLOOKUP(A767,Metrik!$C$2:$Y$959,9,0)</f>
        <v>0.12</v>
      </c>
      <c r="J767" s="20">
        <f>VLOOKUP(A767,Metrik!$C$2:$Y$959,10,0)</f>
        <v>-2.2</v>
      </c>
      <c r="K767" s="20">
        <f>VLOOKUP(A767,Metrik!$C$2:$Y$959,11,0)</f>
        <v>-1.4</v>
      </c>
      <c r="L767" s="20">
        <f>VLOOKUP(A767,Metrik!$C$2:$Y$959,12,0)</f>
        <v>0.62</v>
      </c>
      <c r="M767" s="20">
        <f>VLOOKUP(A767,Metrik!$C$2:$Y$959,19,0)</f>
        <v>-12.1</v>
      </c>
      <c r="N767" s="21"/>
      <c r="O767" s="21"/>
      <c r="P767" s="21"/>
      <c r="Q767" s="21"/>
      <c r="R767" s="21"/>
      <c r="S767" s="21"/>
      <c r="T767" s="21"/>
      <c r="U767" s="22" t="str">
        <f>IFERROR(__xludf.DUMMYFUNCTION("IFERROR(GOOGLEFINANCE(A767,""closeyest""),"""")"),"")</f>
        <v/>
      </c>
      <c r="V767" s="23" t="str">
        <f>IFERROR(__xludf.DUMMYFUNCTION("IFERROR(GOOGLEFINANCE(A767,""changepct""),"""")"),"")</f>
        <v/>
      </c>
      <c r="W767" s="22" t="str">
        <f>IFERROR(__xludf.DUMMYFUNCTION("IFERROR(GOOGLEFINANCE(A767,""priceopen""),"""")"),"")</f>
        <v/>
      </c>
      <c r="X767" s="22" t="str">
        <f>IFERROR(__xludf.DUMMYFUNCTION("IFERROR(GOOGLEFINANCE(A767,""high""),"""")"),"")</f>
        <v/>
      </c>
      <c r="Y767" s="22" t="str">
        <f>IFERROR(__xludf.DUMMYFUNCTION("IFERROR(GOOGLEFINANCE(A767,""low""),"""")"),"")</f>
        <v/>
      </c>
      <c r="Z767" s="22">
        <f>IFERROR(__xludf.DUMMYFUNCTION("IFERROR(GOOGLEFINANCE(A767,""volume""),"""")"),0.0)</f>
        <v>0</v>
      </c>
      <c r="AA767" s="24" t="str">
        <f>VLOOKUP(A767,Metrik!$C$2:$Y$959,5,0)</f>
        <v>Online Applications &amp; Services</v>
      </c>
      <c r="AB767" s="24" t="str">
        <f>VLOOKUP(A767,Metrik!$C$2:$Y$959,3,0)</f>
        <v>Technology</v>
      </c>
    </row>
    <row r="768">
      <c r="A768" s="14" t="s">
        <v>420</v>
      </c>
      <c r="B768" s="14" t="str">
        <f t="array" ref="B768">VLOOKUP(A768,{Metrik!$C$2:$C$998,Metrik!$B$2:$B$998},2,0)</f>
        <v>Perdana Gapuraprima Tbk.</v>
      </c>
      <c r="C768" s="15">
        <f>IFERROR(__xludf.DUMMYFUNCTION("GOOGLEFINANCE(""IDX:""&amp;A768,""price"")"),105.0)</f>
        <v>105</v>
      </c>
      <c r="D768" s="16" t="str">
        <f>IFERROR(__xludf.DUMMYFUNCTION("IF(A768="""","""",
SPARKLINE(
INDEX(
GOOGLEFINANCE(""IDX:""&amp;A768,""close"",TODAY()-365,TODAY()),
,2
),
{""linewidth"",1}
))
"),"#N/A")</f>
        <v>#N/A</v>
      </c>
      <c r="E768" s="26"/>
      <c r="F768" s="26"/>
      <c r="G768" s="24">
        <f t="shared" si="6"/>
        <v>0</v>
      </c>
      <c r="H768" s="19">
        <f>VLOOKUP(A768,Metrik!$C$2:$Y$959,8,0)</f>
        <v>8.5</v>
      </c>
      <c r="I768" s="20">
        <f>VLOOKUP(A768,Metrik!$C$2:$Y$959,9,0)</f>
        <v>0.3</v>
      </c>
      <c r="J768" s="20">
        <f>VLOOKUP(A768,Metrik!$C$2:$Y$959,10,0)</f>
        <v>3.5</v>
      </c>
      <c r="K768" s="20">
        <f>VLOOKUP(A768,Metrik!$C$2:$Y$959,11,0)</f>
        <v>2.6</v>
      </c>
      <c r="L768" s="20">
        <f>VLOOKUP(A768,Metrik!$C$2:$Y$959,12,0)</f>
        <v>0.37</v>
      </c>
      <c r="M768" s="20">
        <f>VLOOKUP(A768,Metrik!$C$2:$Y$959,19,0)</f>
        <v>62.9</v>
      </c>
      <c r="N768" s="21"/>
      <c r="O768" s="21"/>
      <c r="P768" s="21"/>
      <c r="Q768" s="21"/>
      <c r="R768" s="21"/>
      <c r="S768" s="21"/>
      <c r="T768" s="21"/>
      <c r="U768" s="22">
        <f>IFERROR(__xludf.DUMMYFUNCTION("IFERROR(GOOGLEFINANCE(A768,""closeyest""),"""")"),104.0)</f>
        <v>104</v>
      </c>
      <c r="V768" s="23">
        <f>IFERROR(__xludf.DUMMYFUNCTION("IFERROR(GOOGLEFINANCE(A768,""changepct""),"""")"),0.96)</f>
        <v>0.96</v>
      </c>
      <c r="W768" s="22" t="str">
        <f>IFERROR(__xludf.DUMMYFUNCTION("IFERROR(GOOGLEFINANCE(A768,""priceopen""),"""")"),"")</f>
        <v/>
      </c>
      <c r="X768" s="22">
        <f>IFERROR(__xludf.DUMMYFUNCTION("IFERROR(GOOGLEFINANCE(A768,""high""),"""")"),107.0)</f>
        <v>107</v>
      </c>
      <c r="Y768" s="22">
        <f>IFERROR(__xludf.DUMMYFUNCTION("IFERROR(GOOGLEFINANCE(A768,""low""),"""")"),103.0)</f>
        <v>103</v>
      </c>
      <c r="Z768" s="22">
        <f>IFERROR(__xludf.DUMMYFUNCTION("IFERROR(GOOGLEFINANCE(A768,""volume""),"""")"),9944800.0)</f>
        <v>9944800</v>
      </c>
      <c r="AA768" s="24" t="str">
        <f>VLOOKUP(A768,Metrik!$C$2:$Y$959,5,0)</f>
        <v>Real Estate Management &amp; Development</v>
      </c>
      <c r="AB768" s="24" t="str">
        <f>VLOOKUP(A768,Metrik!$C$2:$Y$959,3,0)</f>
        <v>Properties &amp; Real Estate</v>
      </c>
    </row>
    <row r="769">
      <c r="A769" s="14" t="s">
        <v>421</v>
      </c>
      <c r="B769" s="14" t="str">
        <f t="array" ref="B769">VLOOKUP(A769,{Metrik!$C$2:$C$998,Metrik!$B$2:$B$998},2,0)</f>
        <v>Geoprima Solusi Tbk.</v>
      </c>
      <c r="C769" s="15">
        <f>IFERROR(__xludf.DUMMYFUNCTION("GOOGLEFINANCE(""IDX:""&amp;A769,""price"")"),336.0)</f>
        <v>336</v>
      </c>
      <c r="D769" s="16" t="str">
        <f>IFERROR(__xludf.DUMMYFUNCTION("IF(A769="""","""",
SPARKLINE(
INDEX(
GOOGLEFINANCE(""IDX:""&amp;A769,""close"",TODAY()-365,TODAY()),
,2
),
{""linewidth"",1}
))
"),"#N/A")</f>
        <v>#N/A</v>
      </c>
      <c r="E769" s="26"/>
      <c r="F769" s="26"/>
      <c r="G769" s="24">
        <f t="shared" si="6"/>
        <v>0</v>
      </c>
      <c r="H769" s="19">
        <f>VLOOKUP(A769,Metrik!$C$2:$Y$959,8,0)</f>
        <v>-190</v>
      </c>
      <c r="I769" s="20">
        <f>VLOOKUP(A769,Metrik!$C$2:$Y$959,9,0)</f>
        <v>8</v>
      </c>
      <c r="J769" s="20">
        <f>VLOOKUP(A769,Metrik!$C$2:$Y$959,10,0)</f>
        <v>-4.2</v>
      </c>
      <c r="K769" s="20">
        <f>VLOOKUP(A769,Metrik!$C$2:$Y$959,11,0)</f>
        <v>-3.8</v>
      </c>
      <c r="L769" s="20">
        <f>VLOOKUP(A769,Metrik!$C$2:$Y$959,12,0)</f>
        <v>0.13</v>
      </c>
      <c r="M769" s="20">
        <f>VLOOKUP(A769,Metrik!$C$2:$Y$959,19,0)</f>
        <v>-380</v>
      </c>
      <c r="N769" s="21"/>
      <c r="O769" s="21"/>
      <c r="P769" s="21"/>
      <c r="Q769" s="21"/>
      <c r="R769" s="21"/>
      <c r="S769" s="21"/>
      <c r="T769" s="21"/>
      <c r="U769" s="22">
        <f>IFERROR(__xludf.DUMMYFUNCTION("IFERROR(GOOGLEFINANCE(A769,""closeyest""),"""")"),312.0)</f>
        <v>312</v>
      </c>
      <c r="V769" s="23">
        <f>IFERROR(__xludf.DUMMYFUNCTION("IFERROR(GOOGLEFINANCE(A769,""changepct""),"""")"),7.69)</f>
        <v>7.69</v>
      </c>
      <c r="W769" s="22">
        <f>IFERROR(__xludf.DUMMYFUNCTION("IFERROR(GOOGLEFINANCE(A769,""priceopen""),"""")"),310.0)</f>
        <v>310</v>
      </c>
      <c r="X769" s="22">
        <f>IFERROR(__xludf.DUMMYFUNCTION("IFERROR(GOOGLEFINANCE(A769,""high""),"""")"),336.0)</f>
        <v>336</v>
      </c>
      <c r="Y769" s="22">
        <f>IFERROR(__xludf.DUMMYFUNCTION("IFERROR(GOOGLEFINANCE(A769,""low""),"""")"),308.0)</f>
        <v>308</v>
      </c>
      <c r="Z769" s="22">
        <f>IFERROR(__xludf.DUMMYFUNCTION("IFERROR(GOOGLEFINANCE(A769,""volume""),"""")"),5.74249E7)</f>
        <v>57424900</v>
      </c>
      <c r="AA769" s="24" t="str">
        <f>VLOOKUP(A769,Metrik!$C$2:$Y$959,5,0)</f>
        <v>Machinery</v>
      </c>
      <c r="AB769" s="24" t="str">
        <f>VLOOKUP(A769,Metrik!$C$2:$Y$959,3,0)</f>
        <v>Industrials</v>
      </c>
    </row>
    <row r="770">
      <c r="A770" s="14" t="s">
        <v>422</v>
      </c>
      <c r="B770" s="14" t="str">
        <f t="array" ref="B770">VLOOKUP(A770,{Metrik!$C$2:$C$998,Metrik!$B$2:$B$998},2,0)</f>
        <v>PT Ingria Pratama Capitalindo Tbk</v>
      </c>
      <c r="C770" s="15">
        <f>IFERROR(__xludf.DUMMYFUNCTION("GOOGLEFINANCE(""IDX:""&amp;A770,""price"")"),109.0)</f>
        <v>109</v>
      </c>
      <c r="D770" s="16" t="str">
        <f>IFERROR(__xludf.DUMMYFUNCTION("IF(A770="""","""",
SPARKLINE(
INDEX(
GOOGLEFINANCE(""IDX:""&amp;A770,""close"",TODAY()-365,TODAY()),
,2
),
{""linewidth"",1}
))
"),"#N/A")</f>
        <v>#N/A</v>
      </c>
      <c r="E770" s="26"/>
      <c r="F770" s="26"/>
      <c r="G770" s="24">
        <f t="shared" si="6"/>
        <v>0</v>
      </c>
      <c r="H770" s="19">
        <f>VLOOKUP(A770,Metrik!$C$2:$Y$959,8,0)</f>
        <v>140</v>
      </c>
      <c r="I770" s="20">
        <f>VLOOKUP(A770,Metrik!$C$2:$Y$959,9,0)</f>
        <v>2.6</v>
      </c>
      <c r="J770" s="20">
        <f>VLOOKUP(A770,Metrik!$C$2:$Y$959,10,0)</f>
        <v>1.8</v>
      </c>
      <c r="K770" s="20">
        <f>VLOOKUP(A770,Metrik!$C$2:$Y$959,11,0)</f>
        <v>1.6</v>
      </c>
      <c r="L770" s="20">
        <f>VLOOKUP(A770,Metrik!$C$2:$Y$959,12,0)</f>
        <v>0.18</v>
      </c>
      <c r="M770" s="20">
        <f>VLOOKUP(A770,Metrik!$C$2:$Y$959,19,0)</f>
        <v>160</v>
      </c>
      <c r="N770" s="21"/>
      <c r="O770" s="21"/>
      <c r="P770" s="21"/>
      <c r="Q770" s="21"/>
      <c r="R770" s="21"/>
      <c r="S770" s="21"/>
      <c r="T770" s="21"/>
      <c r="U770" s="22">
        <f>IFERROR(__xludf.DUMMYFUNCTION("IFERROR(GOOGLEFINANCE(A770,""closeyest""),"""")"),109.0)</f>
        <v>109</v>
      </c>
      <c r="V770" s="23">
        <f>IFERROR(__xludf.DUMMYFUNCTION("IFERROR(GOOGLEFINANCE(A770,""changepct""),"""")"),0.0)</f>
        <v>0</v>
      </c>
      <c r="W770" s="22">
        <f>IFERROR(__xludf.DUMMYFUNCTION("IFERROR(GOOGLEFINANCE(A770,""priceopen""),"""")"),109.0)</f>
        <v>109</v>
      </c>
      <c r="X770" s="22">
        <f>IFERROR(__xludf.DUMMYFUNCTION("IFERROR(GOOGLEFINANCE(A770,""high""),"""")"),118.0)</f>
        <v>118</v>
      </c>
      <c r="Y770" s="22">
        <f>IFERROR(__xludf.DUMMYFUNCTION("IFERROR(GOOGLEFINANCE(A770,""low""),"""")"),107.0)</f>
        <v>107</v>
      </c>
      <c r="Z770" s="22">
        <f>IFERROR(__xludf.DUMMYFUNCTION("IFERROR(GOOGLEFINANCE(A770,""volume""),"""")"),2.68397E7)</f>
        <v>26839700</v>
      </c>
      <c r="AA770" s="24" t="str">
        <f>VLOOKUP(A770,Metrik!$C$2:$Y$959,5,0)</f>
        <v>Real Estate Management &amp; Development</v>
      </c>
      <c r="AB770" s="24" t="str">
        <f>VLOOKUP(A770,Metrik!$C$2:$Y$959,3,0)</f>
        <v>Properties &amp; Real Estate</v>
      </c>
    </row>
    <row r="771">
      <c r="A771" s="14" t="s">
        <v>423</v>
      </c>
      <c r="B771" s="14" t="str">
        <f t="array" ref="B771">VLOOKUP(A771,{Metrik!$C$2:$C$998,Metrik!$B$2:$B$998},2,0)</f>
        <v>Griptha Putra Persada Tbk.</v>
      </c>
      <c r="C771" s="15">
        <f>IFERROR(__xludf.DUMMYFUNCTION("GOOGLEFINANCE(""IDX:""&amp;A771,""price"")"),61.0)</f>
        <v>61</v>
      </c>
      <c r="D771" s="16" t="str">
        <f>IFERROR(__xludf.DUMMYFUNCTION("IF(A771="""","""",
SPARKLINE(
INDEX(
GOOGLEFINANCE(""IDX:""&amp;A771,""close"",TODAY()-365,TODAY()),
,2
),
{""linewidth"",1}
))
"),"#N/A")</f>
        <v>#N/A</v>
      </c>
      <c r="E771" s="26"/>
      <c r="F771" s="26"/>
      <c r="G771" s="24">
        <f t="shared" si="6"/>
        <v>0</v>
      </c>
      <c r="H771" s="19">
        <f>VLOOKUP(A771,Metrik!$C$2:$Y$959,8,0)</f>
        <v>19.8</v>
      </c>
      <c r="I771" s="20">
        <f>VLOOKUP(A771,Metrik!$C$2:$Y$959,9,0)</f>
        <v>0.81</v>
      </c>
      <c r="J771" s="20">
        <f>VLOOKUP(A771,Metrik!$C$2:$Y$959,10,0)</f>
        <v>4.1</v>
      </c>
      <c r="K771" s="20">
        <f>VLOOKUP(A771,Metrik!$C$2:$Y$959,11,0)</f>
        <v>3.2</v>
      </c>
      <c r="L771" s="20">
        <f>VLOOKUP(A771,Metrik!$C$2:$Y$959,12,0)</f>
        <v>0.28</v>
      </c>
      <c r="M771" s="20">
        <f>VLOOKUP(A771,Metrik!$C$2:$Y$959,19,0)</f>
        <v>42.8</v>
      </c>
      <c r="N771" s="21"/>
      <c r="O771" s="21"/>
      <c r="P771" s="21"/>
      <c r="Q771" s="21"/>
      <c r="R771" s="21"/>
      <c r="S771" s="21"/>
      <c r="T771" s="21"/>
      <c r="U771" s="22">
        <f>IFERROR(__xludf.DUMMYFUNCTION("IFERROR(GOOGLEFINANCE(A771,""closeyest""),"""")"),56.0)</f>
        <v>56</v>
      </c>
      <c r="V771" s="23">
        <f>IFERROR(__xludf.DUMMYFUNCTION("IFERROR(GOOGLEFINANCE(A771,""changepct""),"""")"),8.93)</f>
        <v>8.93</v>
      </c>
      <c r="W771" s="22">
        <f>IFERROR(__xludf.DUMMYFUNCTION("IFERROR(GOOGLEFINANCE(A771,""priceopen""),"""")"),57.0)</f>
        <v>57</v>
      </c>
      <c r="X771" s="22">
        <f>IFERROR(__xludf.DUMMYFUNCTION("IFERROR(GOOGLEFINANCE(A771,""high""),"""")"),71.0)</f>
        <v>71</v>
      </c>
      <c r="Y771" s="22">
        <f>IFERROR(__xludf.DUMMYFUNCTION("IFERROR(GOOGLEFINANCE(A771,""low""),"""")"),57.0)</f>
        <v>57</v>
      </c>
      <c r="Z771" s="22">
        <f>IFERROR(__xludf.DUMMYFUNCTION("IFERROR(GOOGLEFINANCE(A771,""volume""),"""")"),5.19466E7)</f>
        <v>51946600</v>
      </c>
      <c r="AA771" s="24" t="str">
        <f>VLOOKUP(A771,Metrik!$C$2:$Y$959,5,0)</f>
        <v>Tourism &amp; Recreation</v>
      </c>
      <c r="AB771" s="24" t="str">
        <f>VLOOKUP(A771,Metrik!$C$2:$Y$959,3,0)</f>
        <v>Consumer Cyclicals</v>
      </c>
    </row>
    <row r="772">
      <c r="A772" s="14" t="s">
        <v>424</v>
      </c>
      <c r="B772" s="14" t="str">
        <f t="array" ref="B772">VLOOKUP(A772,{Metrik!$C$2:$C$998,Metrik!$B$2:$B$998},2,0)</f>
        <v>PT Graha Prima Mentari Tbk.</v>
      </c>
      <c r="C772" s="15">
        <f>IFERROR(__xludf.DUMMYFUNCTION("GOOGLEFINANCE(""IDX:""&amp;A772,""price"")"),226.0)</f>
        <v>226</v>
      </c>
      <c r="D772" s="16" t="str">
        <f>IFERROR(__xludf.DUMMYFUNCTION("IF(A772="""","""",
SPARKLINE(
INDEX(
GOOGLEFINANCE(""IDX:""&amp;A772,""close"",TODAY()-365,TODAY()),
,2
),
{""linewidth"",1}
))
"),"#N/A")</f>
        <v>#N/A</v>
      </c>
      <c r="E772" s="26"/>
      <c r="F772" s="26"/>
      <c r="G772" s="24">
        <f t="shared" si="6"/>
        <v>0</v>
      </c>
      <c r="H772" s="19">
        <f>VLOOKUP(A772,Metrik!$C$2:$Y$959,8,0)</f>
        <v>130</v>
      </c>
      <c r="I772" s="20">
        <f>VLOOKUP(A772,Metrik!$C$2:$Y$959,9,0)</f>
        <v>4.5</v>
      </c>
      <c r="J772" s="20">
        <f>VLOOKUP(A772,Metrik!$C$2:$Y$959,10,0)</f>
        <v>3.4</v>
      </c>
      <c r="K772" s="20">
        <f>VLOOKUP(A772,Metrik!$C$2:$Y$959,11,0)</f>
        <v>1.6</v>
      </c>
      <c r="L772" s="20">
        <f>VLOOKUP(A772,Metrik!$C$2:$Y$959,12,0)</f>
        <v>1.1</v>
      </c>
      <c r="M772" s="20">
        <f>VLOOKUP(A772,Metrik!$C$2:$Y$959,19,0)</f>
        <v>0.4</v>
      </c>
      <c r="N772" s="21"/>
      <c r="O772" s="21"/>
      <c r="P772" s="21"/>
      <c r="Q772" s="21"/>
      <c r="R772" s="21"/>
      <c r="S772" s="21"/>
      <c r="T772" s="21"/>
      <c r="U772" s="22">
        <f>IFERROR(__xludf.DUMMYFUNCTION("IFERROR(GOOGLEFINANCE(A772,""closeyest""),"""")"),128.98)</f>
        <v>128.98</v>
      </c>
      <c r="V772" s="23">
        <f>IFERROR(__xludf.DUMMYFUNCTION("IFERROR(GOOGLEFINANCE(A772,""changepct""),"""")"),1.09)</f>
        <v>1.09</v>
      </c>
      <c r="W772" s="22">
        <f>IFERROR(__xludf.DUMMYFUNCTION("IFERROR(GOOGLEFINANCE(A772,""priceopen""),"""")"),129.8)</f>
        <v>129.8</v>
      </c>
      <c r="X772" s="22">
        <f>IFERROR(__xludf.DUMMYFUNCTION("IFERROR(GOOGLEFINANCE(A772,""high""),"""")"),130.39)</f>
        <v>130.39</v>
      </c>
      <c r="Y772" s="22">
        <f>IFERROR(__xludf.DUMMYFUNCTION("IFERROR(GOOGLEFINANCE(A772,""low""),"""")"),129.8)</f>
        <v>129.8</v>
      </c>
      <c r="Z772" s="22">
        <f>IFERROR(__xludf.DUMMYFUNCTION("IFERROR(GOOGLEFINANCE(A772,""volume""),"""")"),77.0)</f>
        <v>77</v>
      </c>
      <c r="AA772" s="24" t="str">
        <f>VLOOKUP(A772,Metrik!$C$2:$Y$959,5,0)</f>
        <v>Beverages</v>
      </c>
      <c r="AB772" s="24" t="str">
        <f>VLOOKUP(A772,Metrik!$C$2:$Y$959,3,0)</f>
        <v>Consumer Non-Cyclicals</v>
      </c>
    </row>
    <row r="773">
      <c r="A773" s="14" t="s">
        <v>425</v>
      </c>
      <c r="B773" s="14" t="str">
        <f t="array" ref="B773">VLOOKUP(A773,{Metrik!$C$2:$C$998,Metrik!$B$2:$B$998},2,0)</f>
        <v>Equity Development Investment Tbk.</v>
      </c>
      <c r="C773" s="15">
        <f>IFERROR(__xludf.DUMMYFUNCTION("GOOGLEFINANCE(""IDX:""&amp;A773,""price"")"),72.0)</f>
        <v>72</v>
      </c>
      <c r="D773" s="16" t="str">
        <f>IFERROR(__xludf.DUMMYFUNCTION("IF(A773="""","""",
SPARKLINE(
INDEX(
GOOGLEFINANCE(""IDX:""&amp;A773,""close"",TODAY()-365,TODAY()),
,2
),
{""linewidth"",1}
))
"),"#N/A")</f>
        <v>#N/A</v>
      </c>
      <c r="E773" s="26"/>
      <c r="F773" s="26"/>
      <c r="G773" s="24">
        <f t="shared" si="6"/>
        <v>0</v>
      </c>
      <c r="H773" s="19">
        <f>VLOOKUP(A773,Metrik!$C$2:$Y$959,8,0)</f>
        <v>23.7</v>
      </c>
      <c r="I773" s="20">
        <f>VLOOKUP(A773,Metrik!$C$2:$Y$959,9,0)</f>
        <v>0.55</v>
      </c>
      <c r="J773" s="20">
        <f>VLOOKUP(A773,Metrik!$C$2:$Y$959,10,0)</f>
        <v>2.3</v>
      </c>
      <c r="K773" s="20">
        <f>VLOOKUP(A773,Metrik!$C$2:$Y$959,11,0)</f>
        <v>1.1</v>
      </c>
      <c r="L773" s="20">
        <f>VLOOKUP(A773,Metrik!$C$2:$Y$959,12,0)</f>
        <v>1.2</v>
      </c>
      <c r="M773" s="20">
        <f>VLOOKUP(A773,Metrik!$C$2:$Y$959,19,0)</f>
        <v>18.1</v>
      </c>
      <c r="N773" s="21"/>
      <c r="O773" s="21"/>
      <c r="P773" s="21"/>
      <c r="Q773" s="21"/>
      <c r="R773" s="21"/>
      <c r="S773" s="21"/>
      <c r="T773" s="21"/>
      <c r="U773" s="22">
        <f>IFERROR(__xludf.DUMMYFUNCTION("IFERROR(GOOGLEFINANCE(A773,""closeyest""),"""")"),69.0)</f>
        <v>69</v>
      </c>
      <c r="V773" s="23">
        <f>IFERROR(__xludf.DUMMYFUNCTION("IFERROR(GOOGLEFINANCE(A773,""changepct""),"""")"),4.35)</f>
        <v>4.35</v>
      </c>
      <c r="W773" s="22">
        <f>IFERROR(__xludf.DUMMYFUNCTION("IFERROR(GOOGLEFINANCE(A773,""priceopen""),"""")"),77.0)</f>
        <v>77</v>
      </c>
      <c r="X773" s="22">
        <f>IFERROR(__xludf.DUMMYFUNCTION("IFERROR(GOOGLEFINANCE(A773,""high""),"""")"),80.0)</f>
        <v>80</v>
      </c>
      <c r="Y773" s="22">
        <f>IFERROR(__xludf.DUMMYFUNCTION("IFERROR(GOOGLEFINANCE(A773,""low""),"""")"),71.0)</f>
        <v>71</v>
      </c>
      <c r="Z773" s="22" t="str">
        <f>IFERROR(__xludf.DUMMYFUNCTION("IFERROR(GOOGLEFINANCE(A773,""volume""),"""")"),"")</f>
        <v/>
      </c>
      <c r="AA773" s="24" t="str">
        <f>VLOOKUP(A773,Metrik!$C$2:$Y$959,5,0)</f>
        <v>Holding &amp; Investment Companies</v>
      </c>
      <c r="AB773" s="24" t="str">
        <f>VLOOKUP(A773,Metrik!$C$2:$Y$959,3,0)</f>
        <v>Financials</v>
      </c>
    </row>
    <row r="774">
      <c r="A774" s="14" t="s">
        <v>426</v>
      </c>
      <c r="B774" s="14" t="str">
        <f t="array" ref="B774">VLOOKUP(A774,{Metrik!$C$2:$C$998,Metrik!$B$2:$B$998},2,0)</f>
        <v>Garda Tujuh Buana Tbk</v>
      </c>
      <c r="C774" s="15">
        <f>IFERROR(__xludf.DUMMYFUNCTION("GOOGLEFINANCE(""IDX:""&amp;A774,""price"")"),180.0)</f>
        <v>180</v>
      </c>
      <c r="D774" s="16" t="str">
        <f>IFERROR(__xludf.DUMMYFUNCTION("IF(A774="""","""",
SPARKLINE(
INDEX(
GOOGLEFINANCE(""IDX:""&amp;A774,""close"",TODAY()-365,TODAY()),
,2
),
{""linewidth"",1}
))
"),"#N/A")</f>
        <v>#N/A</v>
      </c>
      <c r="E774" s="26"/>
      <c r="F774" s="26"/>
      <c r="G774" s="24">
        <f t="shared" si="6"/>
        <v>0</v>
      </c>
      <c r="H774" s="19">
        <f>VLOOKUP(A774,Metrik!$C$2:$Y$959,8,0)</f>
        <v>-6.4</v>
      </c>
      <c r="I774" s="20">
        <f>VLOOKUP(A774,Metrik!$C$2:$Y$959,9,0)</f>
        <v>0.62</v>
      </c>
      <c r="J774" s="20">
        <f>VLOOKUP(A774,Metrik!$C$2:$Y$959,10,0)</f>
        <v>-9.6</v>
      </c>
      <c r="K774" s="20">
        <f>VLOOKUP(A774,Metrik!$C$2:$Y$959,11,0)</f>
        <v>-8.2</v>
      </c>
      <c r="L774" s="20">
        <f>VLOOKUP(A774,Metrik!$C$2:$Y$959,12,0)</f>
        <v>0.18</v>
      </c>
      <c r="M774" s="20">
        <f>VLOOKUP(A774,Metrik!$C$2:$Y$959,19,0)</f>
        <v>-43.4</v>
      </c>
      <c r="N774" s="21"/>
      <c r="O774" s="21"/>
      <c r="P774" s="21"/>
      <c r="Q774" s="21"/>
      <c r="R774" s="21"/>
      <c r="S774" s="21"/>
      <c r="T774" s="21"/>
      <c r="U774" s="22">
        <f>IFERROR(__xludf.DUMMYFUNCTION("IFERROR(GOOGLEFINANCE(A774,""closeyest""),"""")"),175.0)</f>
        <v>175</v>
      </c>
      <c r="V774" s="23">
        <f>IFERROR(__xludf.DUMMYFUNCTION("IFERROR(GOOGLEFINANCE(A774,""changepct""),"""")"),2.86)</f>
        <v>2.86</v>
      </c>
      <c r="W774" s="22">
        <f>IFERROR(__xludf.DUMMYFUNCTION("IFERROR(GOOGLEFINANCE(A774,""priceopen""),"""")"),174.0)</f>
        <v>174</v>
      </c>
      <c r="X774" s="22">
        <f>IFERROR(__xludf.DUMMYFUNCTION("IFERROR(GOOGLEFINANCE(A774,""high""),"""")"),188.0)</f>
        <v>188</v>
      </c>
      <c r="Y774" s="22" t="str">
        <f>IFERROR(__xludf.DUMMYFUNCTION("IFERROR(GOOGLEFINANCE(A774,""low""),"""")"),"")</f>
        <v/>
      </c>
      <c r="Z774" s="22">
        <f>IFERROR(__xludf.DUMMYFUNCTION("IFERROR(GOOGLEFINANCE(A774,""volume""),"""")"),942600.0)</f>
        <v>942600</v>
      </c>
      <c r="AA774" s="24" t="str">
        <f>VLOOKUP(A774,Metrik!$C$2:$Y$959,5,0)</f>
        <v>Coal</v>
      </c>
      <c r="AB774" s="24" t="str">
        <f>VLOOKUP(A774,Metrik!$C$2:$Y$959,3,0)</f>
        <v>Energy</v>
      </c>
    </row>
    <row r="775">
      <c r="A775" s="14" t="s">
        <v>427</v>
      </c>
      <c r="B775" s="14" t="str">
        <f t="array" ref="B775">VLOOKUP(A775,{Metrik!$C$2:$C$998,Metrik!$B$2:$B$998},2,0)</f>
        <v>PT Grahaprima Suksesmandiri Tbk</v>
      </c>
      <c r="C775" s="15">
        <f>IFERROR(__xludf.DUMMYFUNCTION("GOOGLEFINANCE(""IDX:""&amp;A775,""price"")"),189.0)</f>
        <v>189</v>
      </c>
      <c r="D775" s="16" t="str">
        <f>IFERROR(__xludf.DUMMYFUNCTION("IF(A775="""","""",
SPARKLINE(
INDEX(
GOOGLEFINANCE(""IDX:""&amp;A775,""close"",TODAY()-365,TODAY()),
,2
),
{""linewidth"",1}
))
"),"#N/A")</f>
        <v>#N/A</v>
      </c>
      <c r="E775" s="26"/>
      <c r="F775" s="26"/>
      <c r="G775" s="24">
        <f t="shared" si="6"/>
        <v>0</v>
      </c>
      <c r="H775" s="19">
        <f>VLOOKUP(A775,Metrik!$C$2:$Y$959,8,0)</f>
        <v>5.5</v>
      </c>
      <c r="I775" s="20">
        <f>VLOOKUP(A775,Metrik!$C$2:$Y$959,9,0)</f>
        <v>0.97</v>
      </c>
      <c r="J775" s="20">
        <f>VLOOKUP(A775,Metrik!$C$2:$Y$959,10,0)</f>
        <v>17.5</v>
      </c>
      <c r="K775" s="20">
        <f>VLOOKUP(A775,Metrik!$C$2:$Y$959,11,0)</f>
        <v>5</v>
      </c>
      <c r="L775" s="20">
        <f>VLOOKUP(A775,Metrik!$C$2:$Y$959,12,0)</f>
        <v>2.5</v>
      </c>
      <c r="M775" s="20">
        <f>VLOOKUP(A775,Metrik!$C$2:$Y$959,19,0)</f>
        <v>36</v>
      </c>
      <c r="N775" s="21"/>
      <c r="O775" s="21"/>
      <c r="P775" s="21"/>
      <c r="Q775" s="21"/>
      <c r="R775" s="21"/>
      <c r="S775" s="21"/>
      <c r="T775" s="21"/>
      <c r="U775" s="22">
        <f>IFERROR(__xludf.DUMMYFUNCTION("IFERROR(GOOGLEFINANCE(A775,""closeyest""),"""")"),174.0)</f>
        <v>174</v>
      </c>
      <c r="V775" s="23">
        <f>IFERROR(__xludf.DUMMYFUNCTION("IFERROR(GOOGLEFINANCE(A775,""changepct""),"""")"),8.62)</f>
        <v>8.62</v>
      </c>
      <c r="W775" s="22">
        <f>IFERROR(__xludf.DUMMYFUNCTION("IFERROR(GOOGLEFINANCE(A775,""priceopen""),"""")"),173.0)</f>
        <v>173</v>
      </c>
      <c r="X775" s="22">
        <f>IFERROR(__xludf.DUMMYFUNCTION("IFERROR(GOOGLEFINANCE(A775,""high""),"""")"),200.0)</f>
        <v>200</v>
      </c>
      <c r="Y775" s="22">
        <f>IFERROR(__xludf.DUMMYFUNCTION("IFERROR(GOOGLEFINANCE(A775,""low""),"""")"),171.0)</f>
        <v>171</v>
      </c>
      <c r="Z775" s="22">
        <f>IFERROR(__xludf.DUMMYFUNCTION("IFERROR(GOOGLEFINANCE(A775,""volume""),"""")"),625800.0)</f>
        <v>625800</v>
      </c>
      <c r="AA775" s="24" t="str">
        <f>VLOOKUP(A775,Metrik!$C$2:$Y$959,5,0)</f>
        <v>Logistics &amp; Deliveries</v>
      </c>
      <c r="AB775" s="24" t="str">
        <f>VLOOKUP(A775,Metrik!$C$2:$Y$959,3,0)</f>
        <v>Transportation &amp; Logistic</v>
      </c>
    </row>
    <row r="776">
      <c r="A776" s="14" t="s">
        <v>428</v>
      </c>
      <c r="B776" s="14" t="str">
        <f t="array" ref="B776">VLOOKUP(A776,{Metrik!$C$2:$C$998,Metrik!$B$2:$B$998},2,0)</f>
        <v>GTS Internasional Tbk.</v>
      </c>
      <c r="C776" s="15">
        <f>IFERROR(__xludf.DUMMYFUNCTION("GOOGLEFINANCE(""IDX:""&amp;A776,""price"")"),134.0)</f>
        <v>134</v>
      </c>
      <c r="D776" s="16" t="str">
        <f>IFERROR(__xludf.DUMMYFUNCTION("IF(A776="""","""",
SPARKLINE(
INDEX(
GOOGLEFINANCE(""IDX:""&amp;A776,""close"",TODAY()-365,TODAY()),
,2
),
{""linewidth"",1}
))
"),"#N/A")</f>
        <v>#N/A</v>
      </c>
      <c r="E776" s="26"/>
      <c r="F776" s="26"/>
      <c r="G776" s="24">
        <f t="shared" si="6"/>
        <v>0</v>
      </c>
      <c r="H776" s="19">
        <f>VLOOKUP(A776,Metrik!$C$2:$Y$959,8,0)</f>
        <v>84.9</v>
      </c>
      <c r="I776" s="20">
        <f>VLOOKUP(A776,Metrik!$C$2:$Y$959,9,0)</f>
        <v>2.3</v>
      </c>
      <c r="J776" s="20">
        <f>VLOOKUP(A776,Metrik!$C$2:$Y$959,10,0)</f>
        <v>2.7</v>
      </c>
      <c r="K776" s="20">
        <f>VLOOKUP(A776,Metrik!$C$2:$Y$959,11,0)</f>
        <v>1.2</v>
      </c>
      <c r="L776" s="20">
        <f>VLOOKUP(A776,Metrik!$C$2:$Y$959,12,0)</f>
        <v>1.3</v>
      </c>
      <c r="M776" s="20">
        <f>VLOOKUP(A776,Metrik!$C$2:$Y$959,19,0)</f>
        <v>5.1</v>
      </c>
      <c r="N776" s="21"/>
      <c r="O776" s="21"/>
      <c r="P776" s="21"/>
      <c r="Q776" s="21"/>
      <c r="R776" s="21"/>
      <c r="S776" s="21"/>
      <c r="T776" s="21"/>
      <c r="U776" s="22">
        <f>IFERROR(__xludf.DUMMYFUNCTION("IFERROR(GOOGLEFINANCE(A776,""closeyest""),"""")"),124.0)</f>
        <v>124</v>
      </c>
      <c r="V776" s="23">
        <f>IFERROR(__xludf.DUMMYFUNCTION("IFERROR(GOOGLEFINANCE(A776,""changepct""),"""")"),8.06)</f>
        <v>8.06</v>
      </c>
      <c r="W776" s="22">
        <f>IFERROR(__xludf.DUMMYFUNCTION("IFERROR(GOOGLEFINANCE(A776,""priceopen""),"""")"),134.0)</f>
        <v>134</v>
      </c>
      <c r="X776" s="22">
        <f>IFERROR(__xludf.DUMMYFUNCTION("IFERROR(GOOGLEFINANCE(A776,""high""),"""")"),139.0)</f>
        <v>139</v>
      </c>
      <c r="Y776" s="22">
        <f>IFERROR(__xludf.DUMMYFUNCTION("IFERROR(GOOGLEFINANCE(A776,""low""),"""")"),128.0)</f>
        <v>128</v>
      </c>
      <c r="Z776" s="22">
        <f>IFERROR(__xludf.DUMMYFUNCTION("IFERROR(GOOGLEFINANCE(A776,""volume""),"""")"),5.72202E7)</f>
        <v>57220200</v>
      </c>
      <c r="AA776" s="24" t="str">
        <f>VLOOKUP(A776,Metrik!$C$2:$Y$959,5,0)</f>
        <v>Oil &amp; Gas</v>
      </c>
      <c r="AB776" s="24" t="str">
        <f>VLOOKUP(A776,Metrik!$C$2:$Y$959,3,0)</f>
        <v>Energy</v>
      </c>
    </row>
    <row r="777">
      <c r="A777" s="14" t="s">
        <v>429</v>
      </c>
      <c r="B777" s="14" t="str">
        <f t="array" ref="B777">VLOOKUP(A777,{Metrik!$C$2:$C$998,Metrik!$B$2:$B$998},2,0)</f>
        <v>Aman Agrindo Tbk.</v>
      </c>
      <c r="C777" s="15">
        <f>IFERROR(__xludf.DUMMYFUNCTION("GOOGLEFINANCE(""IDX:""&amp;A777,""price"")"),575.0)</f>
        <v>575</v>
      </c>
      <c r="D777" s="16" t="str">
        <f>IFERROR(__xludf.DUMMYFUNCTION("IF(A777="""","""",
SPARKLINE(
INDEX(
GOOGLEFINANCE(""IDX:""&amp;A777,""close"",TODAY()-365,TODAY()),
,2
),
{""linewidth"",1}
))
"),"#N/A")</f>
        <v>#N/A</v>
      </c>
      <c r="E777" s="26"/>
      <c r="F777" s="26"/>
      <c r="G777" s="24">
        <f t="shared" si="6"/>
        <v>0</v>
      </c>
      <c r="H777" s="19">
        <f>VLOOKUP(A777,Metrik!$C$2:$Y$959,8,0)</f>
        <v>-100</v>
      </c>
      <c r="I777" s="20">
        <f>VLOOKUP(A777,Metrik!$C$2:$Y$959,9,0)</f>
        <v>4.1</v>
      </c>
      <c r="J777" s="20">
        <f>VLOOKUP(A777,Metrik!$C$2:$Y$959,10,0)</f>
        <v>-4</v>
      </c>
      <c r="K777" s="20">
        <f>VLOOKUP(A777,Metrik!$C$2:$Y$959,11,0)</f>
        <v>-2.6</v>
      </c>
      <c r="L777" s="20">
        <f>VLOOKUP(A777,Metrik!$C$2:$Y$959,12,0)</f>
        <v>0.53</v>
      </c>
      <c r="M777" s="20">
        <f>VLOOKUP(A777,Metrik!$C$2:$Y$959,19,0)</f>
        <v>-14.1</v>
      </c>
      <c r="N777" s="21"/>
      <c r="O777" s="21"/>
      <c r="P777" s="21"/>
      <c r="Q777" s="21"/>
      <c r="R777" s="21"/>
      <c r="S777" s="21"/>
      <c r="T777" s="21"/>
      <c r="U777" s="22">
        <f>IFERROR(__xludf.DUMMYFUNCTION("IFERROR(GOOGLEFINANCE(A777,""closeyest""),"""")"),555.0)</f>
        <v>555</v>
      </c>
      <c r="V777" s="23" t="str">
        <f>IFERROR(__xludf.DUMMYFUNCTION("IFERROR(GOOGLEFINANCE(A777,""changepct""),"""")"),"")</f>
        <v/>
      </c>
      <c r="W777" s="22">
        <f>IFERROR(__xludf.DUMMYFUNCTION("IFERROR(GOOGLEFINANCE(A777,""priceopen""),"""")"),555.0)</f>
        <v>555</v>
      </c>
      <c r="X777" s="22">
        <f>IFERROR(__xludf.DUMMYFUNCTION("IFERROR(GOOGLEFINANCE(A777,""high""),"""")"),610.0)</f>
        <v>610</v>
      </c>
      <c r="Y777" s="22">
        <f>IFERROR(__xludf.DUMMYFUNCTION("IFERROR(GOOGLEFINANCE(A777,""low""),"""")"),550.0)</f>
        <v>550</v>
      </c>
      <c r="Z777" s="22">
        <f>IFERROR(__xludf.DUMMYFUNCTION("IFERROR(GOOGLEFINANCE(A777,""volume""),"""")"),4.86648E7)</f>
        <v>48664800</v>
      </c>
      <c r="AA777" s="24" t="str">
        <f>VLOOKUP(A777,Metrik!$C$2:$Y$959,5,0)</f>
        <v>Processed Foods</v>
      </c>
      <c r="AB777" s="24" t="str">
        <f>VLOOKUP(A777,Metrik!$C$2:$Y$959,3,0)</f>
        <v>Consumer Non-Cyclicals</v>
      </c>
    </row>
    <row r="778">
      <c r="A778" s="14" t="s">
        <v>430</v>
      </c>
      <c r="B778" s="14" t="str">
        <f t="array" ref="B778">VLOOKUP(A778,{Metrik!$C$2:$C$998,Metrik!$B$2:$B$998},2,0)</f>
        <v>Gunanusa Eramandiri Tbk.</v>
      </c>
      <c r="C778" s="15">
        <f>IFERROR(__xludf.DUMMYFUNCTION("GOOGLEFINANCE(""IDX:""&amp;A778,""price"")"),160.0)</f>
        <v>160</v>
      </c>
      <c r="D778" s="16" t="str">
        <f>IFERROR(__xludf.DUMMYFUNCTION("IF(A778="""","""",
SPARKLINE(
INDEX(
GOOGLEFINANCE(""IDX:""&amp;A778,""close"",TODAY()-365,TODAY()),
,2
),
{""linewidth"",1}
))
"),"#N/A")</f>
        <v>#N/A</v>
      </c>
      <c r="E778" s="26"/>
      <c r="F778" s="26"/>
      <c r="G778" s="24">
        <f t="shared" si="6"/>
        <v>0</v>
      </c>
      <c r="H778" s="19">
        <f>VLOOKUP(A778,Metrik!$C$2:$Y$959,8,0)</f>
        <v>8</v>
      </c>
      <c r="I778" s="20">
        <f>VLOOKUP(A778,Metrik!$C$2:$Y$959,9,0)</f>
        <v>0.61</v>
      </c>
      <c r="J778" s="20">
        <f>VLOOKUP(A778,Metrik!$C$2:$Y$959,10,0)</f>
        <v>7.7</v>
      </c>
      <c r="K778" s="20">
        <f>VLOOKUP(A778,Metrik!$C$2:$Y$959,11,0)</f>
        <v>4.8</v>
      </c>
      <c r="L778" s="20">
        <f>VLOOKUP(A778,Metrik!$C$2:$Y$959,12,0)</f>
        <v>0.61</v>
      </c>
      <c r="M778" s="20">
        <f>VLOOKUP(A778,Metrik!$C$2:$Y$959,19,0)</f>
        <v>12.8</v>
      </c>
      <c r="N778" s="21"/>
      <c r="O778" s="21"/>
      <c r="P778" s="21"/>
      <c r="Q778" s="21"/>
      <c r="R778" s="21"/>
      <c r="S778" s="21"/>
      <c r="T778" s="21"/>
      <c r="U778" s="22">
        <f>IFERROR(__xludf.DUMMYFUNCTION("IFERROR(GOOGLEFINANCE(A778,""closeyest""),"""")"),150.0)</f>
        <v>150</v>
      </c>
      <c r="V778" s="23">
        <f>IFERROR(__xludf.DUMMYFUNCTION("IFERROR(GOOGLEFINANCE(A778,""changepct""),"""")"),6.67)</f>
        <v>6.67</v>
      </c>
      <c r="W778" s="22">
        <f>IFERROR(__xludf.DUMMYFUNCTION("IFERROR(GOOGLEFINANCE(A778,""priceopen""),"""")"),150.0)</f>
        <v>150</v>
      </c>
      <c r="X778" s="22">
        <f>IFERROR(__xludf.DUMMYFUNCTION("IFERROR(GOOGLEFINANCE(A778,""high""),"""")"),161.0)</f>
        <v>161</v>
      </c>
      <c r="Y778" s="22">
        <f>IFERROR(__xludf.DUMMYFUNCTION("IFERROR(GOOGLEFINANCE(A778,""low""),"""")"),150.0)</f>
        <v>150</v>
      </c>
      <c r="Z778" s="22">
        <f>IFERROR(__xludf.DUMMYFUNCTION("IFERROR(GOOGLEFINANCE(A778,""volume""),"""")"),285100.0)</f>
        <v>285100</v>
      </c>
      <c r="AA778" s="24" t="str">
        <f>VLOOKUP(A778,Metrik!$C$2:$Y$959,5,0)</f>
        <v>Agricultural Products</v>
      </c>
      <c r="AB778" s="24" t="str">
        <f>VLOOKUP(A778,Metrik!$C$2:$Y$959,3,0)</f>
        <v>Consumer Non-Cyclicals</v>
      </c>
    </row>
    <row r="779">
      <c r="A779" s="14" t="s">
        <v>431</v>
      </c>
      <c r="B779" s="14" t="str">
        <f t="array" ref="B779">VLOOKUP(A779,{Metrik!$C$2:$C$998,Metrik!$B$2:$B$998},2,0)</f>
        <v>Greenwood Sejahtera Tbk.</v>
      </c>
      <c r="C779" s="15">
        <f>IFERROR(__xludf.DUMMYFUNCTION("GOOGLEFINANCE(""IDX:""&amp;A779,""price"")"),125.0)</f>
        <v>125</v>
      </c>
      <c r="D779" s="16" t="str">
        <f>IFERROR(__xludf.DUMMYFUNCTION("IF(A779="""","""",
SPARKLINE(
INDEX(
GOOGLEFINANCE(""IDX:""&amp;A779,""close"",TODAY()-365,TODAY()),
,2
),
{""linewidth"",1}
))
"),"#N/A")</f>
        <v>#N/A</v>
      </c>
      <c r="E779" s="26"/>
      <c r="F779" s="26"/>
      <c r="G779" s="24">
        <f t="shared" si="6"/>
        <v>0</v>
      </c>
      <c r="H779" s="19">
        <f>VLOOKUP(A779,Metrik!$C$2:$Y$959,8,0)</f>
        <v>7.6</v>
      </c>
      <c r="I779" s="20">
        <f>VLOOKUP(A779,Metrik!$C$2:$Y$959,9,0)</f>
        <v>0.14</v>
      </c>
      <c r="J779" s="20">
        <f>VLOOKUP(A779,Metrik!$C$2:$Y$959,10,0)</f>
        <v>1.8</v>
      </c>
      <c r="K779" s="20">
        <f>VLOOKUP(A779,Metrik!$C$2:$Y$959,11,0)</f>
        <v>1.7</v>
      </c>
      <c r="L779" s="20">
        <f>VLOOKUP(A779,Metrik!$C$2:$Y$959,12,0)</f>
        <v>0.05</v>
      </c>
      <c r="M779" s="20">
        <f>VLOOKUP(A779,Metrik!$C$2:$Y$959,19,0)</f>
        <v>1070</v>
      </c>
      <c r="N779" s="21"/>
      <c r="O779" s="21"/>
      <c r="P779" s="21"/>
      <c r="Q779" s="21"/>
      <c r="R779" s="21"/>
      <c r="S779" s="21"/>
      <c r="T779" s="21"/>
      <c r="U779" s="22">
        <f>IFERROR(__xludf.DUMMYFUNCTION("IFERROR(GOOGLEFINANCE(A779,""closeyest""),"""")"),121.0)</f>
        <v>121</v>
      </c>
      <c r="V779" s="23">
        <f>IFERROR(__xludf.DUMMYFUNCTION("IFERROR(GOOGLEFINANCE(A779,""changepct""),"""")"),3.31)</f>
        <v>3.31</v>
      </c>
      <c r="W779" s="22">
        <f>IFERROR(__xludf.DUMMYFUNCTION("IFERROR(GOOGLEFINANCE(A779,""priceopen""),"""")"),122.0)</f>
        <v>122</v>
      </c>
      <c r="X779" s="22">
        <f>IFERROR(__xludf.DUMMYFUNCTION("IFERROR(GOOGLEFINANCE(A779,""high""),"""")"),127.0)</f>
        <v>127</v>
      </c>
      <c r="Y779" s="22">
        <f>IFERROR(__xludf.DUMMYFUNCTION("IFERROR(GOOGLEFINANCE(A779,""low""),"""")"),122.0)</f>
        <v>122</v>
      </c>
      <c r="Z779" s="22">
        <f>IFERROR(__xludf.DUMMYFUNCTION("IFERROR(GOOGLEFINANCE(A779,""volume""),"""")"),576300.0)</f>
        <v>576300</v>
      </c>
      <c r="AA779" s="24" t="str">
        <f>VLOOKUP(A779,Metrik!$C$2:$Y$959,5,0)</f>
        <v>Tourism &amp; Recreation</v>
      </c>
      <c r="AB779" s="24" t="str">
        <f>VLOOKUP(A779,Metrik!$C$2:$Y$959,3,0)</f>
        <v>Consumer Cyclicals</v>
      </c>
    </row>
    <row r="780">
      <c r="A780" s="14" t="s">
        <v>432</v>
      </c>
      <c r="B780" s="14" t="str">
        <f t="array" ref="B780">VLOOKUP(A780,{Metrik!$C$2:$C$998,Metrik!$B$2:$B$998},2,0)</f>
        <v>Gozco Plantations Tbk</v>
      </c>
      <c r="C780" s="15">
        <f>IFERROR(__xludf.DUMMYFUNCTION("GOOGLEFINANCE(""IDX:""&amp;A780,""price"")"),145.0)</f>
        <v>145</v>
      </c>
      <c r="D780" s="16" t="str">
        <f>IFERROR(__xludf.DUMMYFUNCTION("IF(A780="""","""",
SPARKLINE(
INDEX(
GOOGLEFINANCE(""IDX:""&amp;A780,""close"",TODAY()-365,TODAY()),
,2
),
{""linewidth"",1}
))
"),"#N/A")</f>
        <v>#N/A</v>
      </c>
      <c r="E780" s="26"/>
      <c r="F780" s="26"/>
      <c r="G780" s="24">
        <f t="shared" si="6"/>
        <v>0</v>
      </c>
      <c r="H780" s="19">
        <f>VLOOKUP(A780,Metrik!$C$2:$Y$959,8,0)</f>
        <v>9.9</v>
      </c>
      <c r="I780" s="20">
        <f>VLOOKUP(A780,Metrik!$C$2:$Y$959,9,0)</f>
        <v>0.76</v>
      </c>
      <c r="J780" s="20">
        <f>VLOOKUP(A780,Metrik!$C$2:$Y$959,10,0)</f>
        <v>7.7</v>
      </c>
      <c r="K780" s="20">
        <f>VLOOKUP(A780,Metrik!$C$2:$Y$959,11,0)</f>
        <v>4.3</v>
      </c>
      <c r="L780" s="20">
        <f>VLOOKUP(A780,Metrik!$C$2:$Y$959,12,0)</f>
        <v>0.77</v>
      </c>
      <c r="M780" s="20">
        <f>VLOOKUP(A780,Metrik!$C$2:$Y$959,19,0)</f>
        <v>67.3</v>
      </c>
      <c r="N780" s="21"/>
      <c r="O780" s="21"/>
      <c r="P780" s="21"/>
      <c r="Q780" s="21"/>
      <c r="R780" s="21"/>
      <c r="S780" s="21"/>
      <c r="T780" s="21"/>
      <c r="U780" s="22">
        <f>IFERROR(__xludf.DUMMYFUNCTION("IFERROR(GOOGLEFINANCE(A780,""closeyest""),"""")"),136.0)</f>
        <v>136</v>
      </c>
      <c r="V780" s="23">
        <f>IFERROR(__xludf.DUMMYFUNCTION("IFERROR(GOOGLEFINANCE(A780,""changepct""),"""")"),6.62)</f>
        <v>6.62</v>
      </c>
      <c r="W780" s="22">
        <f>IFERROR(__xludf.DUMMYFUNCTION("IFERROR(GOOGLEFINANCE(A780,""priceopen""),"""")"),139.0)</f>
        <v>139</v>
      </c>
      <c r="X780" s="22">
        <f>IFERROR(__xludf.DUMMYFUNCTION("IFERROR(GOOGLEFINANCE(A780,""high""),"""")"),148.0)</f>
        <v>148</v>
      </c>
      <c r="Y780" s="22">
        <f>IFERROR(__xludf.DUMMYFUNCTION("IFERROR(GOOGLEFINANCE(A780,""low""),"""")"),139.0)</f>
        <v>139</v>
      </c>
      <c r="Z780" s="22">
        <f>IFERROR(__xludf.DUMMYFUNCTION("IFERROR(GOOGLEFINANCE(A780,""volume""),"""")"),1.04151E7)</f>
        <v>10415100</v>
      </c>
      <c r="AA780" s="24" t="str">
        <f>VLOOKUP(A780,Metrik!$C$2:$Y$959,5,0)</f>
        <v>Agricultural Products</v>
      </c>
      <c r="AB780" s="24" t="str">
        <f>VLOOKUP(A780,Metrik!$C$2:$Y$959,3,0)</f>
        <v>Consumer Non-Cyclicals</v>
      </c>
    </row>
    <row r="781">
      <c r="A781" s="14" t="s">
        <v>433</v>
      </c>
      <c r="B781" s="14" t="str">
        <f t="array" ref="B781">VLOOKUP(A781,{Metrik!$C$2:$C$998,Metrik!$B$2:$B$998},2,0)</f>
        <v>Himalaya Energi Perkasa Tbk.</v>
      </c>
      <c r="C781" s="15">
        <f>IFERROR(__xludf.DUMMYFUNCTION("GOOGLEFINANCE(""IDX:""&amp;A781,""price"")"),17.0)</f>
        <v>17</v>
      </c>
      <c r="D781" s="16" t="str">
        <f>IFERROR(__xludf.DUMMYFUNCTION("IF(A781="""","""",
SPARKLINE(
INDEX(
GOOGLEFINANCE(""IDX:""&amp;A781,""close"",TODAY()-365,TODAY()),
,2
),
{""linewidth"",1}
))
"),"#N/A")</f>
        <v>#N/A</v>
      </c>
      <c r="E781" s="26"/>
      <c r="F781" s="26"/>
      <c r="G781" s="24">
        <f t="shared" si="6"/>
        <v>0</v>
      </c>
      <c r="H781" s="19">
        <f>VLOOKUP(A781,Metrik!$C$2:$Y$959,8,0)</f>
        <v>-12.9</v>
      </c>
      <c r="I781" s="20">
        <f>VLOOKUP(A781,Metrik!$C$2:$Y$959,9,0)</f>
        <v>4.3</v>
      </c>
      <c r="J781" s="20">
        <f>VLOOKUP(A781,Metrik!$C$2:$Y$959,10,0)</f>
        <v>-33.3</v>
      </c>
      <c r="K781" s="20">
        <f>VLOOKUP(A781,Metrik!$C$2:$Y$959,11,0)</f>
        <v>-28.3</v>
      </c>
      <c r="L781" s="20">
        <f>VLOOKUP(A781,Metrik!$C$2:$Y$959,12,0)</f>
        <v>0.18</v>
      </c>
      <c r="M781" s="20">
        <f>VLOOKUP(A781,Metrik!$C$2:$Y$959,19,0)</f>
        <v>-250</v>
      </c>
      <c r="N781" s="21"/>
      <c r="O781" s="21"/>
      <c r="P781" s="21"/>
      <c r="Q781" s="21"/>
      <c r="R781" s="21"/>
      <c r="S781" s="21"/>
      <c r="T781" s="21"/>
      <c r="U781" s="22">
        <f>IFERROR(__xludf.DUMMYFUNCTION("IFERROR(GOOGLEFINANCE(A781,""closeyest""),"""")"),16.0)</f>
        <v>16</v>
      </c>
      <c r="V781" s="23">
        <f>IFERROR(__xludf.DUMMYFUNCTION("IFERROR(GOOGLEFINANCE(A781,""changepct""),"""")"),6.25)</f>
        <v>6.25</v>
      </c>
      <c r="W781" s="22">
        <f>IFERROR(__xludf.DUMMYFUNCTION("IFERROR(GOOGLEFINANCE(A781,""priceopen""),"""")"),16.0)</f>
        <v>16</v>
      </c>
      <c r="X781" s="22">
        <f>IFERROR(__xludf.DUMMYFUNCTION("IFERROR(GOOGLEFINANCE(A781,""high""),"""")"),17.0)</f>
        <v>17</v>
      </c>
      <c r="Y781" s="22">
        <f>IFERROR(__xludf.DUMMYFUNCTION("IFERROR(GOOGLEFINANCE(A781,""low""),"""")"),16.0)</f>
        <v>16</v>
      </c>
      <c r="Z781" s="22">
        <f>IFERROR(__xludf.DUMMYFUNCTION("IFERROR(GOOGLEFINANCE(A781,""volume""),"""")"),4283900.0)</f>
        <v>4283900</v>
      </c>
      <c r="AA781" s="24" t="str">
        <f>VLOOKUP(A781,Metrik!$C$2:$Y$959,5,0)</f>
        <v>Gas Utilities</v>
      </c>
      <c r="AB781" s="24" t="str">
        <f>VLOOKUP(A781,Metrik!$C$2:$Y$959,3,0)</f>
        <v>Infrastructures</v>
      </c>
    </row>
    <row r="782">
      <c r="A782" s="14" t="s">
        <v>434</v>
      </c>
      <c r="B782" s="14" t="str">
        <f t="array" ref="B782">VLOOKUP(A782,{Metrik!$C$2:$C$998,Metrik!$B$2:$B$998},2,0)</f>
        <v>Hasnur Internasional Shipping Tbk.</v>
      </c>
      <c r="C782" s="15">
        <f>IFERROR(__xludf.DUMMYFUNCTION("GOOGLEFINANCE(""IDX:""&amp;A782,""price"")"),176.0)</f>
        <v>176</v>
      </c>
      <c r="D782" s="16" t="str">
        <f>IFERROR(__xludf.DUMMYFUNCTION("IF(A782="""","""",
SPARKLINE(
INDEX(
GOOGLEFINANCE(""IDX:""&amp;A782,""close"",TODAY()-365,TODAY()),
,2
),
{""linewidth"",1}
))
"),"#N/A")</f>
        <v>#N/A</v>
      </c>
      <c r="E782" s="26"/>
      <c r="F782" s="26"/>
      <c r="G782" s="24">
        <f t="shared" si="6"/>
        <v>0</v>
      </c>
      <c r="H782" s="19">
        <f>VLOOKUP(A782,Metrik!$C$2:$Y$959,8,0)</f>
        <v>6.2</v>
      </c>
      <c r="I782" s="20">
        <f>VLOOKUP(A782,Metrik!$C$2:$Y$959,9,0)</f>
        <v>0.54</v>
      </c>
      <c r="J782" s="20">
        <f>VLOOKUP(A782,Metrik!$C$2:$Y$959,10,0)</f>
        <v>8.7</v>
      </c>
      <c r="K782" s="20">
        <f>VLOOKUP(A782,Metrik!$C$2:$Y$959,11,0)</f>
        <v>4.7</v>
      </c>
      <c r="L782" s="20">
        <f>VLOOKUP(A782,Metrik!$C$2:$Y$959,12,0)</f>
        <v>0.85</v>
      </c>
      <c r="M782" s="20">
        <f>VLOOKUP(A782,Metrik!$C$2:$Y$959,19,0)</f>
        <v>44.9</v>
      </c>
      <c r="N782" s="21"/>
      <c r="O782" s="21"/>
      <c r="P782" s="21"/>
      <c r="Q782" s="21"/>
      <c r="R782" s="21"/>
      <c r="S782" s="21"/>
      <c r="T782" s="21"/>
      <c r="U782" s="22">
        <f>IFERROR(__xludf.DUMMYFUNCTION("IFERROR(GOOGLEFINANCE(A782,""closeyest""),"""")"),172.0)</f>
        <v>172</v>
      </c>
      <c r="V782" s="23">
        <f>IFERROR(__xludf.DUMMYFUNCTION("IFERROR(GOOGLEFINANCE(A782,""changepct""),"""")"),2.33)</f>
        <v>2.33</v>
      </c>
      <c r="W782" s="22">
        <f>IFERROR(__xludf.DUMMYFUNCTION("IFERROR(GOOGLEFINANCE(A782,""priceopen""),"""")"),172.0)</f>
        <v>172</v>
      </c>
      <c r="X782" s="22">
        <f>IFERROR(__xludf.DUMMYFUNCTION("IFERROR(GOOGLEFINANCE(A782,""high""),"""")"),189.0)</f>
        <v>189</v>
      </c>
      <c r="Y782" s="22">
        <f>IFERROR(__xludf.DUMMYFUNCTION("IFERROR(GOOGLEFINANCE(A782,""low""),"""")"),172.0)</f>
        <v>172</v>
      </c>
      <c r="Z782" s="22">
        <f>IFERROR(__xludf.DUMMYFUNCTION("IFERROR(GOOGLEFINANCE(A782,""volume""),"""")"),1127000.0)</f>
        <v>1127000</v>
      </c>
      <c r="AA782" s="24" t="str">
        <f>VLOOKUP(A782,Metrik!$C$2:$Y$959,5,0)</f>
        <v>Logistics &amp; Deliveries</v>
      </c>
      <c r="AB782" s="24" t="str">
        <f>VLOOKUP(A782,Metrik!$C$2:$Y$959,3,0)</f>
        <v>Transportation &amp; Logistic</v>
      </c>
    </row>
    <row r="783">
      <c r="A783" s="14" t="s">
        <v>435</v>
      </c>
      <c r="B783" s="14" t="str">
        <f t="array" ref="B783">VLOOKUP(A783,{Metrik!$C$2:$C$998,Metrik!$B$2:$B$998},2,0)</f>
        <v>PT Arsy Buana Travelindo Tbk</v>
      </c>
      <c r="C783" s="15">
        <f>IFERROR(__xludf.DUMMYFUNCTION("GOOGLEFINANCE(""IDX:""&amp;A783,""price"")"),100.0)</f>
        <v>100</v>
      </c>
      <c r="D783" s="16" t="str">
        <f>IFERROR(__xludf.DUMMYFUNCTION("IF(A783="""","""",
SPARKLINE(
INDEX(
GOOGLEFINANCE(""IDX:""&amp;A783,""close"",TODAY()-365,TODAY()),
,2
),
{""linewidth"",1}
))
"),"#N/A")</f>
        <v>#N/A</v>
      </c>
      <c r="E783" s="26"/>
      <c r="F783" s="26"/>
      <c r="G783" s="24">
        <f t="shared" si="6"/>
        <v>0</v>
      </c>
      <c r="H783" s="19">
        <f>VLOOKUP(A783,Metrik!$C$2:$Y$959,8,0)</f>
        <v>210</v>
      </c>
      <c r="I783" s="20">
        <f>VLOOKUP(A783,Metrik!$C$2:$Y$959,9,0)</f>
        <v>1.2</v>
      </c>
      <c r="J783" s="20">
        <f>VLOOKUP(A783,Metrik!$C$2:$Y$959,10,0)</f>
        <v>0.58</v>
      </c>
      <c r="K783" s="20">
        <f>VLOOKUP(A783,Metrik!$C$2:$Y$959,11,0)</f>
        <v>0.29</v>
      </c>
      <c r="L783" s="20">
        <f>VLOOKUP(A783,Metrik!$C$2:$Y$959,12,0)</f>
        <v>1</v>
      </c>
      <c r="M783" s="20">
        <f>VLOOKUP(A783,Metrik!$C$2:$Y$959,19,0)</f>
        <v>0.45</v>
      </c>
      <c r="N783" s="21"/>
      <c r="O783" s="21"/>
      <c r="P783" s="21"/>
      <c r="Q783" s="21"/>
      <c r="R783" s="21"/>
      <c r="S783" s="21"/>
      <c r="T783" s="21"/>
      <c r="U783" s="22">
        <f>IFERROR(__xludf.DUMMYFUNCTION("IFERROR(GOOGLEFINANCE(A783,""closeyest""),"""")"),95.0)</f>
        <v>95</v>
      </c>
      <c r="V783" s="23">
        <f>IFERROR(__xludf.DUMMYFUNCTION("IFERROR(GOOGLEFINANCE(A783,""changepct""),"""")"),5.26)</f>
        <v>5.26</v>
      </c>
      <c r="W783" s="22">
        <f>IFERROR(__xludf.DUMMYFUNCTION("IFERROR(GOOGLEFINANCE(A783,""priceopen""),"""")"),95.0)</f>
        <v>95</v>
      </c>
      <c r="X783" s="22">
        <f>IFERROR(__xludf.DUMMYFUNCTION("IFERROR(GOOGLEFINANCE(A783,""high""),"""")"),103.0)</f>
        <v>103</v>
      </c>
      <c r="Y783" s="22">
        <f>IFERROR(__xludf.DUMMYFUNCTION("IFERROR(GOOGLEFINANCE(A783,""low""),"""")"),94.0)</f>
        <v>94</v>
      </c>
      <c r="Z783" s="22">
        <f>IFERROR(__xludf.DUMMYFUNCTION("IFERROR(GOOGLEFINANCE(A783,""volume""),"""")"),8756100.0)</f>
        <v>8756100</v>
      </c>
      <c r="AA783" s="24" t="str">
        <f>VLOOKUP(A783,Metrik!$C$2:$Y$959,5,0)</f>
        <v>Tourism &amp; Recreation</v>
      </c>
      <c r="AB783" s="24" t="str">
        <f>VLOOKUP(A783,Metrik!$C$2:$Y$959,3,0)</f>
        <v>Consumer Cyclicals</v>
      </c>
    </row>
    <row r="784">
      <c r="A784" s="14" t="s">
        <v>436</v>
      </c>
      <c r="B784" s="14" t="str">
        <f t="array" ref="B784">VLOOKUP(A784,{Metrik!$C$2:$C$998,Metrik!$B$2:$B$998},2,0)</f>
        <v>PT Haloni Jane Tbk</v>
      </c>
      <c r="C784" s="15">
        <f>IFERROR(__xludf.DUMMYFUNCTION("GOOGLEFINANCE(""IDX:""&amp;A784,""price"")"),62.0)</f>
        <v>62</v>
      </c>
      <c r="D784" s="16" t="str">
        <f>IFERROR(__xludf.DUMMYFUNCTION("IF(A784="""","""",
SPARKLINE(
INDEX(
GOOGLEFINANCE(""IDX:""&amp;A784,""close"",TODAY()-365,TODAY()),
,2
),
{""linewidth"",1}
))
"),"#N/A")</f>
        <v>#N/A</v>
      </c>
      <c r="E784" s="26"/>
      <c r="F784" s="26"/>
      <c r="G784" s="24">
        <f t="shared" si="6"/>
        <v>0</v>
      </c>
      <c r="H784" s="19">
        <f>VLOOKUP(A784,Metrik!$C$2:$Y$959,8,0)</f>
        <v>71.9</v>
      </c>
      <c r="I784" s="20">
        <f>VLOOKUP(A784,Metrik!$C$2:$Y$959,9,0)</f>
        <v>1.8</v>
      </c>
      <c r="J784" s="20">
        <f>VLOOKUP(A784,Metrik!$C$2:$Y$959,10,0)</f>
        <v>2.5</v>
      </c>
      <c r="K784" s="20">
        <f>VLOOKUP(A784,Metrik!$C$2:$Y$959,11,0)</f>
        <v>1.8</v>
      </c>
      <c r="L784" s="20">
        <f>VLOOKUP(A784,Metrik!$C$2:$Y$959,12,0)</f>
        <v>0.37</v>
      </c>
      <c r="M784" s="20">
        <f>VLOOKUP(A784,Metrik!$C$2:$Y$959,19,0)</f>
        <v>14.3</v>
      </c>
      <c r="N784" s="21"/>
      <c r="O784" s="21"/>
      <c r="P784" s="21"/>
      <c r="Q784" s="21"/>
      <c r="R784" s="21"/>
      <c r="S784" s="21"/>
      <c r="T784" s="21"/>
      <c r="U784" s="22">
        <f>IFERROR(__xludf.DUMMYFUNCTION("IFERROR(GOOGLEFINANCE(A784,""closeyest""),"""")"),70.73)</f>
        <v>70.73</v>
      </c>
      <c r="V784" s="23">
        <f>IFERROR(__xludf.DUMMYFUNCTION("IFERROR(GOOGLEFINANCE(A784,""changepct""),"""")"),-1.74)</f>
        <v>-1.74</v>
      </c>
      <c r="W784" s="22">
        <f>IFERROR(__xludf.DUMMYFUNCTION("IFERROR(GOOGLEFINANCE(A784,""priceopen""),"""")"),71.01)</f>
        <v>71.01</v>
      </c>
      <c r="X784" s="22">
        <f>IFERROR(__xludf.DUMMYFUNCTION("IFERROR(GOOGLEFINANCE(A784,""high""),"""")"),71.81)</f>
        <v>71.81</v>
      </c>
      <c r="Y784" s="22">
        <f>IFERROR(__xludf.DUMMYFUNCTION("IFERROR(GOOGLEFINANCE(A784,""low""),"""")"),69.32)</f>
        <v>69.32</v>
      </c>
      <c r="Z784" s="22">
        <f>IFERROR(__xludf.DUMMYFUNCTION("IFERROR(GOOGLEFINANCE(A784,""volume""),"""")"),1042049.0)</f>
        <v>1042049</v>
      </c>
      <c r="AA784" s="24" t="str">
        <f>VLOOKUP(A784,Metrik!$C$2:$Y$959,5,0)</f>
        <v>Healthcare Equipment &amp; Supplies</v>
      </c>
      <c r="AB784" s="24" t="str">
        <f>VLOOKUP(A784,Metrik!$C$2:$Y$959,3,0)</f>
        <v>Healthcare</v>
      </c>
    </row>
    <row r="785">
      <c r="A785" s="14" t="s">
        <v>437</v>
      </c>
      <c r="B785" s="14" t="str">
        <f t="array" ref="B785">VLOOKUP(A785,{Metrik!$C$2:$C$998,Metrik!$B$2:$B$998},2,0)</f>
        <v>Habco Trans Maritima Tbk.</v>
      </c>
      <c r="C785" s="15">
        <f>IFERROR(__xludf.DUMMYFUNCTION("GOOGLEFINANCE(""IDX:""&amp;A785,""price"")"),330.0)</f>
        <v>330</v>
      </c>
      <c r="D785" s="16" t="str">
        <f>IFERROR(__xludf.DUMMYFUNCTION("IF(A785="""","""",
SPARKLINE(
INDEX(
GOOGLEFINANCE(""IDX:""&amp;A785,""close"",TODAY()-365,TODAY()),
,2
),
{""linewidth"",1}
))
"),"#N/A")</f>
        <v>#N/A</v>
      </c>
      <c r="E785" s="26"/>
      <c r="F785" s="26"/>
      <c r="G785" s="24">
        <f t="shared" si="6"/>
        <v>0</v>
      </c>
      <c r="H785" s="19">
        <f>VLOOKUP(A785,Metrik!$C$2:$Y$959,8,0)</f>
        <v>53</v>
      </c>
      <c r="I785" s="20">
        <f>VLOOKUP(A785,Metrik!$C$2:$Y$959,9,0)</f>
        <v>1.8</v>
      </c>
      <c r="J785" s="20">
        <f>VLOOKUP(A785,Metrik!$C$2:$Y$959,10,0)</f>
        <v>3.4</v>
      </c>
      <c r="K785" s="20">
        <f>VLOOKUP(A785,Metrik!$C$2:$Y$959,11,0)</f>
        <v>2.9</v>
      </c>
      <c r="L785" s="20">
        <f>VLOOKUP(A785,Metrik!$C$2:$Y$959,12,0)</f>
        <v>0.17</v>
      </c>
      <c r="M785" s="20">
        <f>VLOOKUP(A785,Metrik!$C$2:$Y$959,19,0)</f>
        <v>24.2</v>
      </c>
      <c r="N785" s="21"/>
      <c r="O785" s="21"/>
      <c r="P785" s="21"/>
      <c r="Q785" s="21"/>
      <c r="R785" s="21"/>
      <c r="S785" s="21"/>
      <c r="T785" s="21"/>
      <c r="U785" s="22">
        <f>IFERROR(__xludf.DUMMYFUNCTION("IFERROR(GOOGLEFINANCE(A785,""closeyest""),"""")"),320.0)</f>
        <v>320</v>
      </c>
      <c r="V785" s="23">
        <f>IFERROR(__xludf.DUMMYFUNCTION("IFERROR(GOOGLEFINANCE(A785,""changepct""),"""")"),3.13)</f>
        <v>3.13</v>
      </c>
      <c r="W785" s="22">
        <f>IFERROR(__xludf.DUMMYFUNCTION("IFERROR(GOOGLEFINANCE(A785,""priceopen""),"""")"),320.0)</f>
        <v>320</v>
      </c>
      <c r="X785" s="22">
        <f>IFERROR(__xludf.DUMMYFUNCTION("IFERROR(GOOGLEFINANCE(A785,""high""),"""")"),332.0)</f>
        <v>332</v>
      </c>
      <c r="Y785" s="22">
        <f>IFERROR(__xludf.DUMMYFUNCTION("IFERROR(GOOGLEFINANCE(A785,""low""),"""")"),320.0)</f>
        <v>320</v>
      </c>
      <c r="Z785" s="22">
        <f>IFERROR(__xludf.DUMMYFUNCTION("IFERROR(GOOGLEFINANCE(A785,""volume""),"""")"),2.70985E7)</f>
        <v>27098500</v>
      </c>
      <c r="AA785" s="24" t="str">
        <f>VLOOKUP(A785,Metrik!$C$2:$Y$959,5,0)</f>
        <v>Logistics &amp; Deliveries</v>
      </c>
      <c r="AB785" s="24" t="str">
        <f>VLOOKUP(A785,Metrik!$C$2:$Y$959,3,0)</f>
        <v>Transportation &amp; Logistic</v>
      </c>
    </row>
    <row r="786">
      <c r="A786" s="14" t="s">
        <v>438</v>
      </c>
      <c r="B786" s="14" t="str">
        <f t="array" ref="B786">VLOOKUP(A786,{Metrik!$C$2:$C$998,Metrik!$B$2:$B$998},2,0)</f>
        <v>PT Minahasa Membangun Hebat Tbk</v>
      </c>
      <c r="C786" s="15">
        <f>IFERROR(__xludf.DUMMYFUNCTION("GOOGLEFINANCE(""IDX:""&amp;A786,""price"")"),410.0)</f>
        <v>410</v>
      </c>
      <c r="D786" s="16" t="str">
        <f>IFERROR(__xludf.DUMMYFUNCTION("IF(A786="""","""",
SPARKLINE(
INDEX(
GOOGLEFINANCE(""IDX:""&amp;A786,""close"",TODAY()-365,TODAY()),
,2
),
{""linewidth"",1}
))
"),"#N/A")</f>
        <v>#N/A</v>
      </c>
      <c r="E786" s="26"/>
      <c r="F786" s="26"/>
      <c r="G786" s="24">
        <f t="shared" si="6"/>
        <v>0</v>
      </c>
      <c r="H786" s="19">
        <f>VLOOKUP(A786,Metrik!$C$2:$Y$959,8,0)</f>
        <v>190</v>
      </c>
      <c r="I786" s="20">
        <f>VLOOKUP(A786,Metrik!$C$2:$Y$959,9,0)</f>
        <v>6.4</v>
      </c>
      <c r="J786" s="20">
        <f>VLOOKUP(A786,Metrik!$C$2:$Y$959,10,0)</f>
        <v>3.4</v>
      </c>
      <c r="K786" s="20">
        <f>VLOOKUP(A786,Metrik!$C$2:$Y$959,11,0)</f>
        <v>3.2</v>
      </c>
      <c r="L786" s="20">
        <f>VLOOKUP(A786,Metrik!$C$2:$Y$959,12,0)</f>
        <v>0.04</v>
      </c>
      <c r="M786" s="20">
        <f>VLOOKUP(A786,Metrik!$C$2:$Y$959,19,0)</f>
        <v>11.2</v>
      </c>
      <c r="N786" s="21"/>
      <c r="O786" s="21"/>
      <c r="P786" s="21"/>
      <c r="Q786" s="21"/>
      <c r="R786" s="21"/>
      <c r="S786" s="21"/>
      <c r="T786" s="21"/>
      <c r="U786" s="22">
        <f>IFERROR(__xludf.DUMMYFUNCTION("IFERROR(GOOGLEFINANCE(A786,""closeyest""),"""")"),390.0)</f>
        <v>390</v>
      </c>
      <c r="V786" s="23">
        <f>IFERROR(__xludf.DUMMYFUNCTION("IFERROR(GOOGLEFINANCE(A786,""changepct""),"""")"),5.13)</f>
        <v>5.13</v>
      </c>
      <c r="W786" s="22">
        <f>IFERROR(__xludf.DUMMYFUNCTION("IFERROR(GOOGLEFINANCE(A786,""priceopen""),"""")"),410.0)</f>
        <v>410</v>
      </c>
      <c r="X786" s="22">
        <f>IFERROR(__xludf.DUMMYFUNCTION("IFERROR(GOOGLEFINANCE(A786,""high""),"""")"),414.0)</f>
        <v>414</v>
      </c>
      <c r="Y786" s="22">
        <f>IFERROR(__xludf.DUMMYFUNCTION("IFERROR(GOOGLEFINANCE(A786,""low""),"""")"),366.0)</f>
        <v>366</v>
      </c>
      <c r="Z786" s="22">
        <f>IFERROR(__xludf.DUMMYFUNCTION("IFERROR(GOOGLEFINANCE(A786,""volume""),"""")"),840600.0)</f>
        <v>840600</v>
      </c>
      <c r="AA786" s="24" t="str">
        <f>VLOOKUP(A786,Metrik!$C$2:$Y$959,5,0)</f>
        <v>Real Estate Management &amp; Development</v>
      </c>
      <c r="AB786" s="24" t="str">
        <f>VLOOKUP(A786,Metrik!$C$2:$Y$959,3,0)</f>
        <v>Properties &amp; Real Estate</v>
      </c>
    </row>
    <row r="787">
      <c r="A787" s="14" t="s">
        <v>439</v>
      </c>
      <c r="B787" s="14" t="str">
        <f t="array" ref="B787">VLOOKUP(A787,{Metrik!$C$2:$C$998,Metrik!$B$2:$B$998},2,0)</f>
        <v>Radana Bhaskara Finance Tbk.</v>
      </c>
      <c r="C787" s="15" t="str">
        <f>IFERROR(__xludf.DUMMYFUNCTION("GOOGLEFINANCE(""IDX:""&amp;A787,""price"")"),"#N/A")</f>
        <v>#N/A</v>
      </c>
      <c r="D787" s="16" t="str">
        <f>IFERROR(__xludf.DUMMYFUNCTION("IF(A787="""","""",
SPARKLINE(
INDEX(
GOOGLEFINANCE(""IDX:""&amp;A787,""close"",TODAY()-365,TODAY()),
,2
),
{""linewidth"",1}
))
"),"#N/A")</f>
        <v>#N/A</v>
      </c>
      <c r="E787" s="26"/>
      <c r="F787" s="26"/>
      <c r="G787" s="24">
        <f t="shared" si="6"/>
        <v>0</v>
      </c>
      <c r="H787" s="19">
        <f>VLOOKUP(A787,Metrik!$C$2:$Y$959,8,0)</f>
        <v>-7.1</v>
      </c>
      <c r="I787" s="20">
        <f>VLOOKUP(A787,Metrik!$C$2:$Y$959,9,0)</f>
        <v>1.2</v>
      </c>
      <c r="J787" s="20">
        <f>VLOOKUP(A787,Metrik!$C$2:$Y$959,10,0)</f>
        <v>-16.9</v>
      </c>
      <c r="K787" s="20">
        <f>VLOOKUP(A787,Metrik!$C$2:$Y$959,11,0)</f>
        <v>-2.7</v>
      </c>
      <c r="L787" s="20">
        <f>VLOOKUP(A787,Metrik!$C$2:$Y$959,12,0)</f>
        <v>5.4</v>
      </c>
      <c r="M787" s="20">
        <f>VLOOKUP(A787,Metrik!$C$2:$Y$959,19,0)</f>
        <v>-90.3</v>
      </c>
      <c r="N787" s="21"/>
      <c r="O787" s="21"/>
      <c r="P787" s="21"/>
      <c r="Q787" s="21"/>
      <c r="R787" s="21"/>
      <c r="S787" s="21"/>
      <c r="T787" s="21"/>
      <c r="U787" s="22">
        <f>IFERROR(__xludf.DUMMYFUNCTION("IFERROR(GOOGLEFINANCE(A787,""closeyest""),"""")"),19.9)</f>
        <v>19.9</v>
      </c>
      <c r="V787" s="23">
        <f>IFERROR(__xludf.DUMMYFUNCTION("IFERROR(GOOGLEFINANCE(A787,""changepct""),"""")"),1.51)</f>
        <v>1.51</v>
      </c>
      <c r="W787" s="22">
        <f>IFERROR(__xludf.DUMMYFUNCTION("IFERROR(GOOGLEFINANCE(A787,""priceopen""),"""")"),20.2)</f>
        <v>20.2</v>
      </c>
      <c r="X787" s="22">
        <f>IFERROR(__xludf.DUMMYFUNCTION("IFERROR(GOOGLEFINANCE(A787,""high""),"""")"),20.2)</f>
        <v>20.2</v>
      </c>
      <c r="Y787" s="22">
        <f>IFERROR(__xludf.DUMMYFUNCTION("IFERROR(GOOGLEFINANCE(A787,""low""),"""")"),20.2)</f>
        <v>20.2</v>
      </c>
      <c r="Z787" s="22">
        <f>IFERROR(__xludf.DUMMYFUNCTION("IFERROR(GOOGLEFINANCE(A787,""volume""),"""")"),0.0)</f>
        <v>0</v>
      </c>
      <c r="AA787" s="24" t="str">
        <f>VLOOKUP(A787,Metrik!$C$2:$Y$959,5,0)</f>
        <v>Consumer Financing</v>
      </c>
      <c r="AB787" s="24" t="str">
        <f>VLOOKUP(A787,Metrik!$C$2:$Y$959,3,0)</f>
        <v>Financials</v>
      </c>
    </row>
    <row r="788">
      <c r="A788" s="14" t="s">
        <v>440</v>
      </c>
      <c r="B788" s="14" t="str">
        <f t="array" ref="B788">VLOOKUP(A788,{Metrik!$C$2:$C$998,Metrik!$B$2:$B$998},2,0)</f>
        <v>Hensel Davest Indonesia Tbk.</v>
      </c>
      <c r="C788" s="15">
        <f>IFERROR(__xludf.DUMMYFUNCTION("GOOGLEFINANCE(""IDX:""&amp;A788,""price"")"),51.0)</f>
        <v>51</v>
      </c>
      <c r="D788" s="16" t="str">
        <f>IFERROR(__xludf.DUMMYFUNCTION("IF(A788="""","""",
SPARKLINE(
INDEX(
GOOGLEFINANCE(""IDX:""&amp;A788,""close"",TODAY()-365,TODAY()),
,2
),
{""linewidth"",1}
))
"),"#N/A")</f>
        <v>#N/A</v>
      </c>
      <c r="E788" s="26"/>
      <c r="F788" s="26"/>
      <c r="G788" s="24">
        <f t="shared" si="6"/>
        <v>0</v>
      </c>
      <c r="H788" s="19">
        <f>VLOOKUP(A788,Metrik!$C$2:$Y$959,8,0)</f>
        <v>-12.5</v>
      </c>
      <c r="I788" s="20">
        <f>VLOOKUP(A788,Metrik!$C$2:$Y$959,9,0)</f>
        <v>0.33</v>
      </c>
      <c r="J788" s="20">
        <f>VLOOKUP(A788,Metrik!$C$2:$Y$959,10,0)</f>
        <v>-2.7</v>
      </c>
      <c r="K788" s="20">
        <f>VLOOKUP(A788,Metrik!$C$2:$Y$959,11,0)</f>
        <v>-2.2</v>
      </c>
      <c r="L788" s="20">
        <f>VLOOKUP(A788,Metrik!$C$2:$Y$959,12,0)</f>
        <v>0.2</v>
      </c>
      <c r="M788" s="20">
        <f>VLOOKUP(A788,Metrik!$C$2:$Y$959,19,0)</f>
        <v>-2470</v>
      </c>
      <c r="N788" s="21"/>
      <c r="O788" s="21"/>
      <c r="P788" s="21"/>
      <c r="Q788" s="21"/>
      <c r="R788" s="21"/>
      <c r="S788" s="21"/>
      <c r="T788" s="21"/>
      <c r="U788" s="22">
        <f>IFERROR(__xludf.DUMMYFUNCTION("IFERROR(GOOGLEFINANCE(A788,""closeyest""),"""")"),50.0)</f>
        <v>50</v>
      </c>
      <c r="V788" s="23">
        <f>IFERROR(__xludf.DUMMYFUNCTION("IFERROR(GOOGLEFINANCE(A788,""changepct""),"""")"),2.0)</f>
        <v>2</v>
      </c>
      <c r="W788" s="22">
        <f>IFERROR(__xludf.DUMMYFUNCTION("IFERROR(GOOGLEFINANCE(A788,""priceopen""),"""")"),51.0)</f>
        <v>51</v>
      </c>
      <c r="X788" s="22">
        <f>IFERROR(__xludf.DUMMYFUNCTION("IFERROR(GOOGLEFINANCE(A788,""high""),"""")"),53.0)</f>
        <v>53</v>
      </c>
      <c r="Y788" s="22">
        <f>IFERROR(__xludf.DUMMYFUNCTION("IFERROR(GOOGLEFINANCE(A788,""low""),"""")"),50.0)</f>
        <v>50</v>
      </c>
      <c r="Z788" s="22">
        <f>IFERROR(__xludf.DUMMYFUNCTION("IFERROR(GOOGLEFINANCE(A788,""volume""),"""")"),7960800.0)</f>
        <v>7960800</v>
      </c>
      <c r="AA788" s="24" t="str">
        <f>VLOOKUP(A788,Metrik!$C$2:$Y$959,5,0)</f>
        <v>Online Applications &amp; Services</v>
      </c>
      <c r="AB788" s="24" t="str">
        <f>VLOOKUP(A788,Metrik!$C$2:$Y$959,3,0)</f>
        <v>Technology</v>
      </c>
    </row>
    <row r="789">
      <c r="A789" s="14" t="s">
        <v>441</v>
      </c>
      <c r="B789" s="14" t="str">
        <f t="array" ref="B789">VLOOKUP(A789,{Metrik!$C$2:$C$998,Metrik!$B$2:$B$998},2,0)</f>
        <v>Medikaloka Hermina Tbk.</v>
      </c>
      <c r="C789" s="15">
        <f>IFERROR(__xludf.DUMMYFUNCTION("GOOGLEFINANCE(""IDX:""&amp;A789,""price"")"),845.0)</f>
        <v>845</v>
      </c>
      <c r="D789" s="16" t="str">
        <f>IFERROR(__xludf.DUMMYFUNCTION("IF(A789="""","""",
SPARKLINE(
INDEX(
GOOGLEFINANCE(""IDX:""&amp;A789,""close"",TODAY()-365,TODAY()),
,2
),
{""linewidth"",1}
))
"),"#N/A")</f>
        <v>#N/A</v>
      </c>
      <c r="E789" s="14" t="s">
        <v>28</v>
      </c>
      <c r="F789" s="17" t="s">
        <v>29</v>
      </c>
      <c r="G789" s="24">
        <f t="shared" si="6"/>
        <v>6</v>
      </c>
      <c r="H789" s="19">
        <f>VLOOKUP(A789,Metrik!$C$2:$Y$959,8,0)</f>
        <v>35.8</v>
      </c>
      <c r="I789" s="20">
        <f>VLOOKUP(A789,Metrik!$C$2:$Y$959,9,0)</f>
        <v>2</v>
      </c>
      <c r="J789" s="20">
        <f>VLOOKUP(A789,Metrik!$C$2:$Y$959,10,0)</f>
        <v>5.6</v>
      </c>
      <c r="K789" s="20">
        <f>VLOOKUP(A789,Metrik!$C$2:$Y$959,11,0)</f>
        <v>3.4</v>
      </c>
      <c r="L789" s="20">
        <f>VLOOKUP(A789,Metrik!$C$2:$Y$959,12,0)</f>
        <v>0.66</v>
      </c>
      <c r="M789" s="20">
        <f>VLOOKUP(A789,Metrik!$C$2:$Y$959,19,0)</f>
        <v>22.8</v>
      </c>
      <c r="N789" s="21"/>
      <c r="O789" s="21"/>
      <c r="P789" s="21"/>
      <c r="Q789" s="21"/>
      <c r="R789" s="21"/>
      <c r="S789" s="21"/>
      <c r="T789" s="21"/>
      <c r="U789" s="22">
        <f>IFERROR(__xludf.DUMMYFUNCTION("IFERROR(GOOGLEFINANCE(A789,""closeyest""),"""")"),26.02)</f>
        <v>26.02</v>
      </c>
      <c r="V789" s="23">
        <f>IFERROR(__xludf.DUMMYFUNCTION("IFERROR(GOOGLEFINANCE(A789,""changepct""),"""")"),-1.04)</f>
        <v>-1.04</v>
      </c>
      <c r="W789" s="22">
        <f>IFERROR(__xludf.DUMMYFUNCTION("IFERROR(GOOGLEFINANCE(A789,""priceopen""),"""")"),25.76)</f>
        <v>25.76</v>
      </c>
      <c r="X789" s="22">
        <f>IFERROR(__xludf.DUMMYFUNCTION("IFERROR(GOOGLEFINANCE(A789,""high""),"""")"),26.06)</f>
        <v>26.06</v>
      </c>
      <c r="Y789" s="22">
        <f>IFERROR(__xludf.DUMMYFUNCTION("IFERROR(GOOGLEFINANCE(A789,""low""),"""")"),25.62)</f>
        <v>25.62</v>
      </c>
      <c r="Z789" s="22">
        <f>IFERROR(__xludf.DUMMYFUNCTION("IFERROR(GOOGLEFINANCE(A789,""volume""),"""")"),4489.0)</f>
        <v>4489</v>
      </c>
      <c r="AA789" s="24" t="str">
        <f>VLOOKUP(A789,Metrik!$C$2:$Y$959,5,0)</f>
        <v>Healthcare Providers</v>
      </c>
      <c r="AB789" s="24" t="str">
        <f>VLOOKUP(A789,Metrik!$C$2:$Y$959,3,0)</f>
        <v>Healthcare</v>
      </c>
    </row>
    <row r="790">
      <c r="A790" s="14" t="s">
        <v>441</v>
      </c>
      <c r="B790" s="14" t="str">
        <f t="array" ref="B790">VLOOKUP(A790,{Metrik!$C$2:$C$998,Metrik!$B$2:$B$998},2,0)</f>
        <v>Medikaloka Hermina Tbk.</v>
      </c>
      <c r="C790" s="15">
        <f>IFERROR(__xludf.DUMMYFUNCTION("GOOGLEFINANCE(""IDX:""&amp;A790,""price"")"),845.0)</f>
        <v>845</v>
      </c>
      <c r="D790" s="16" t="str">
        <f>IFERROR(__xludf.DUMMYFUNCTION("IF(A790="""","""",
SPARKLINE(
INDEX(
GOOGLEFINANCE(""IDX:""&amp;A790,""close"",TODAY()-365,TODAY()),
,2
),
{""linewidth"",1}
))
"),"#N/A")</f>
        <v>#N/A</v>
      </c>
      <c r="E790" s="14" t="s">
        <v>32</v>
      </c>
      <c r="F790" s="14" t="s">
        <v>29</v>
      </c>
      <c r="G790" s="24">
        <f t="shared" si="6"/>
        <v>6</v>
      </c>
      <c r="H790" s="19">
        <f>VLOOKUP(A790,Metrik!$C$2:$Y$959,8,0)</f>
        <v>35.8</v>
      </c>
      <c r="I790" s="20">
        <f>VLOOKUP(A790,Metrik!$C$2:$Y$959,9,0)</f>
        <v>2</v>
      </c>
      <c r="J790" s="20">
        <f>VLOOKUP(A790,Metrik!$C$2:$Y$959,10,0)</f>
        <v>5.6</v>
      </c>
      <c r="K790" s="20">
        <f>VLOOKUP(A790,Metrik!$C$2:$Y$959,11,0)</f>
        <v>3.4</v>
      </c>
      <c r="L790" s="20">
        <f>VLOOKUP(A790,Metrik!$C$2:$Y$959,12,0)</f>
        <v>0.66</v>
      </c>
      <c r="M790" s="20">
        <f>VLOOKUP(A790,Metrik!$C$2:$Y$959,19,0)</f>
        <v>22.8</v>
      </c>
      <c r="N790" s="21"/>
      <c r="O790" s="21"/>
      <c r="P790" s="21"/>
      <c r="Q790" s="21"/>
      <c r="R790" s="21"/>
      <c r="S790" s="21"/>
      <c r="T790" s="21"/>
      <c r="U790" s="22">
        <f>IFERROR(__xludf.DUMMYFUNCTION("IFERROR(GOOGLEFINANCE(A790,""closeyest""),"""")"),26.02)</f>
        <v>26.02</v>
      </c>
      <c r="V790" s="23">
        <f>IFERROR(__xludf.DUMMYFUNCTION("IFERROR(GOOGLEFINANCE(A790,""changepct""),"""")"),-1.04)</f>
        <v>-1.04</v>
      </c>
      <c r="W790" s="22">
        <f>IFERROR(__xludf.DUMMYFUNCTION("IFERROR(GOOGLEFINANCE(A790,""priceopen""),"""")"),25.76)</f>
        <v>25.76</v>
      </c>
      <c r="X790" s="22">
        <f>IFERROR(__xludf.DUMMYFUNCTION("IFERROR(GOOGLEFINANCE(A790,""high""),"""")"),26.06)</f>
        <v>26.06</v>
      </c>
      <c r="Y790" s="22">
        <f>IFERROR(__xludf.DUMMYFUNCTION("IFERROR(GOOGLEFINANCE(A790,""low""),"""")"),25.62)</f>
        <v>25.62</v>
      </c>
      <c r="Z790" s="22">
        <f>IFERROR(__xludf.DUMMYFUNCTION("IFERROR(GOOGLEFINANCE(A790,""volume""),"""")"),4489.0)</f>
        <v>4489</v>
      </c>
      <c r="AA790" s="24" t="str">
        <f>VLOOKUP(A790,Metrik!$C$2:$Y$959,5,0)</f>
        <v>Healthcare Providers</v>
      </c>
      <c r="AB790" s="24" t="str">
        <f>VLOOKUP(A790,Metrik!$C$2:$Y$959,3,0)</f>
        <v>Healthcare</v>
      </c>
    </row>
    <row r="791">
      <c r="A791" s="14" t="s">
        <v>441</v>
      </c>
      <c r="B791" s="14" t="str">
        <f t="array" ref="B791">VLOOKUP(A791,{Metrik!$C$2:$C$998,Metrik!$B$2:$B$998},2,0)</f>
        <v>Medikaloka Hermina Tbk.</v>
      </c>
      <c r="C791" s="15">
        <f>IFERROR(__xludf.DUMMYFUNCTION("GOOGLEFINANCE(""IDX:""&amp;A791,""price"")"),845.0)</f>
        <v>845</v>
      </c>
      <c r="D791" s="16" t="str">
        <f>IFERROR(__xludf.DUMMYFUNCTION("IF(A791="""","""",
SPARKLINE(
INDEX(
GOOGLEFINANCE(""IDX:""&amp;A791,""close"",TODAY()-365,TODAY()),
,2
),
{""linewidth"",1}
))
"),"#N/A")</f>
        <v>#N/A</v>
      </c>
      <c r="E791" s="14" t="s">
        <v>161</v>
      </c>
      <c r="F791" s="14" t="s">
        <v>76</v>
      </c>
      <c r="G791" s="24">
        <f t="shared" si="6"/>
        <v>6</v>
      </c>
      <c r="H791" s="19">
        <f>VLOOKUP(A791,Metrik!$C$2:$Y$959,8,0)</f>
        <v>35.8</v>
      </c>
      <c r="I791" s="20">
        <f>VLOOKUP(A791,Metrik!$C$2:$Y$959,9,0)</f>
        <v>2</v>
      </c>
      <c r="J791" s="20">
        <f>VLOOKUP(A791,Metrik!$C$2:$Y$959,10,0)</f>
        <v>5.6</v>
      </c>
      <c r="K791" s="20">
        <f>VLOOKUP(A791,Metrik!$C$2:$Y$959,11,0)</f>
        <v>3.4</v>
      </c>
      <c r="L791" s="20">
        <f>VLOOKUP(A791,Metrik!$C$2:$Y$959,12,0)</f>
        <v>0.66</v>
      </c>
      <c r="M791" s="20">
        <f>VLOOKUP(A791,Metrik!$C$2:$Y$959,19,0)</f>
        <v>22.8</v>
      </c>
      <c r="N791" s="21"/>
      <c r="O791" s="21"/>
      <c r="P791" s="21"/>
      <c r="Q791" s="21"/>
      <c r="R791" s="21"/>
      <c r="S791" s="21"/>
      <c r="T791" s="21"/>
      <c r="U791" s="22">
        <f>IFERROR(__xludf.DUMMYFUNCTION("IFERROR(GOOGLEFINANCE(A791,""closeyest""),"""")"),26.02)</f>
        <v>26.02</v>
      </c>
      <c r="V791" s="23">
        <f>IFERROR(__xludf.DUMMYFUNCTION("IFERROR(GOOGLEFINANCE(A791,""changepct""),"""")"),-1.04)</f>
        <v>-1.04</v>
      </c>
      <c r="W791" s="22">
        <f>IFERROR(__xludf.DUMMYFUNCTION("IFERROR(GOOGLEFINANCE(A791,""priceopen""),"""")"),25.76)</f>
        <v>25.76</v>
      </c>
      <c r="X791" s="22">
        <f>IFERROR(__xludf.DUMMYFUNCTION("IFERROR(GOOGLEFINANCE(A791,""high""),"""")"),26.06)</f>
        <v>26.06</v>
      </c>
      <c r="Y791" s="22">
        <f>IFERROR(__xludf.DUMMYFUNCTION("IFERROR(GOOGLEFINANCE(A791,""low""),"""")"),25.62)</f>
        <v>25.62</v>
      </c>
      <c r="Z791" s="22">
        <f>IFERROR(__xludf.DUMMYFUNCTION("IFERROR(GOOGLEFINANCE(A791,""volume""),"""")"),4489.0)</f>
        <v>4489</v>
      </c>
      <c r="AA791" s="24" t="str">
        <f>VLOOKUP(A791,Metrik!$C$2:$Y$959,5,0)</f>
        <v>Healthcare Providers</v>
      </c>
      <c r="AB791" s="24" t="str">
        <f>VLOOKUP(A791,Metrik!$C$2:$Y$959,3,0)</f>
        <v>Healthcare</v>
      </c>
    </row>
    <row r="792">
      <c r="A792" s="14" t="s">
        <v>441</v>
      </c>
      <c r="B792" s="14" t="str">
        <f t="array" ref="B792">VLOOKUP(A792,{Metrik!$C$2:$C$998,Metrik!$B$2:$B$998},2,0)</f>
        <v>Medikaloka Hermina Tbk.</v>
      </c>
      <c r="C792" s="15">
        <f>IFERROR(__xludf.DUMMYFUNCTION("GOOGLEFINANCE(""IDX:""&amp;A792,""price"")"),845.0)</f>
        <v>845</v>
      </c>
      <c r="D792" s="16" t="str">
        <f>IFERROR(__xludf.DUMMYFUNCTION("IF(A792="""","""",
SPARKLINE(
INDEX(
GOOGLEFINANCE(""IDX:""&amp;A792,""close"",TODAY()-365,TODAY()),
,2
),
{""linewidth"",1}
))
"),"#N/A")</f>
        <v>#N/A</v>
      </c>
      <c r="E792" s="14" t="s">
        <v>41</v>
      </c>
      <c r="F792" s="14" t="s">
        <v>34</v>
      </c>
      <c r="G792" s="24">
        <f t="shared" si="6"/>
        <v>6</v>
      </c>
      <c r="H792" s="19">
        <f>VLOOKUP(A792,Metrik!$C$2:$Y$959,8,0)</f>
        <v>35.8</v>
      </c>
      <c r="I792" s="20">
        <f>VLOOKUP(A792,Metrik!$C$2:$Y$959,9,0)</f>
        <v>2</v>
      </c>
      <c r="J792" s="20">
        <f>VLOOKUP(A792,Metrik!$C$2:$Y$959,10,0)</f>
        <v>5.6</v>
      </c>
      <c r="K792" s="20">
        <f>VLOOKUP(A792,Metrik!$C$2:$Y$959,11,0)</f>
        <v>3.4</v>
      </c>
      <c r="L792" s="20">
        <f>VLOOKUP(A792,Metrik!$C$2:$Y$959,12,0)</f>
        <v>0.66</v>
      </c>
      <c r="M792" s="20">
        <f>VLOOKUP(A792,Metrik!$C$2:$Y$959,19,0)</f>
        <v>22.8</v>
      </c>
      <c r="N792" s="21"/>
      <c r="O792" s="21"/>
      <c r="P792" s="21"/>
      <c r="Q792" s="21"/>
      <c r="R792" s="21"/>
      <c r="S792" s="21"/>
      <c r="T792" s="21"/>
      <c r="U792" s="22">
        <f>IFERROR(__xludf.DUMMYFUNCTION("IFERROR(GOOGLEFINANCE(A792,""closeyest""),"""")"),26.02)</f>
        <v>26.02</v>
      </c>
      <c r="V792" s="23">
        <f>IFERROR(__xludf.DUMMYFUNCTION("IFERROR(GOOGLEFINANCE(A792,""changepct""),"""")"),-1.04)</f>
        <v>-1.04</v>
      </c>
      <c r="W792" s="22">
        <f>IFERROR(__xludf.DUMMYFUNCTION("IFERROR(GOOGLEFINANCE(A792,""priceopen""),"""")"),25.76)</f>
        <v>25.76</v>
      </c>
      <c r="X792" s="22">
        <f>IFERROR(__xludf.DUMMYFUNCTION("IFERROR(GOOGLEFINANCE(A792,""high""),"""")"),26.06)</f>
        <v>26.06</v>
      </c>
      <c r="Y792" s="22">
        <f>IFERROR(__xludf.DUMMYFUNCTION("IFERROR(GOOGLEFINANCE(A792,""low""),"""")"),25.62)</f>
        <v>25.62</v>
      </c>
      <c r="Z792" s="22">
        <f>IFERROR(__xludf.DUMMYFUNCTION("IFERROR(GOOGLEFINANCE(A792,""volume""),"""")"),4489.0)</f>
        <v>4489</v>
      </c>
      <c r="AA792" s="24" t="str">
        <f>VLOOKUP(A792,Metrik!$C$2:$Y$959,5,0)</f>
        <v>Healthcare Providers</v>
      </c>
      <c r="AB792" s="24" t="str">
        <f>VLOOKUP(A792,Metrik!$C$2:$Y$959,3,0)</f>
        <v>Healthcare</v>
      </c>
    </row>
    <row r="793">
      <c r="A793" s="17" t="s">
        <v>441</v>
      </c>
      <c r="B793" s="14" t="str">
        <f t="array" ref="B793">VLOOKUP(A793,{Metrik!$C$2:$C$998,Metrik!$B$2:$B$998},2,0)</f>
        <v>Medikaloka Hermina Tbk.</v>
      </c>
      <c r="C793" s="15">
        <f>IFERROR(__xludf.DUMMYFUNCTION("GOOGLEFINANCE(""IDX:""&amp;A793,""price"")"),845.0)</f>
        <v>845</v>
      </c>
      <c r="D793" s="16" t="str">
        <f>IFERROR(__xludf.DUMMYFUNCTION("IF(A793="""","""",
SPARKLINE(
INDEX(
GOOGLEFINANCE(""IDX:""&amp;A793,""close"",TODAY()-365,TODAY()),
,2
),
{""linewidth"",1}
))
"),"#N/A")</f>
        <v>#N/A</v>
      </c>
      <c r="E793" s="14" t="s">
        <v>35</v>
      </c>
      <c r="F793" s="17" t="s">
        <v>36</v>
      </c>
      <c r="G793" s="38">
        <f t="shared" si="6"/>
        <v>6</v>
      </c>
      <c r="H793" s="34">
        <f>VLOOKUP(A793,Metrik!$C$2:$Y$959,8,0)</f>
        <v>35.8</v>
      </c>
      <c r="I793" s="34">
        <f>VLOOKUP(A793,Metrik!$C$2:$Y$959,9,0)</f>
        <v>2</v>
      </c>
      <c r="J793" s="34">
        <f>VLOOKUP(A793,Metrik!$C$2:$Y$959,10,0)</f>
        <v>5.6</v>
      </c>
      <c r="K793" s="34">
        <f>VLOOKUP(A793,Metrik!$C$2:$Y$959,11,0)</f>
        <v>3.4</v>
      </c>
      <c r="L793" s="34">
        <f>VLOOKUP(A793,Metrik!$C$2:$Y$959,12,0)</f>
        <v>0.66</v>
      </c>
      <c r="M793" s="34">
        <f>VLOOKUP(A793,Metrik!$C$2:$Y$959,19,0)</f>
        <v>22.8</v>
      </c>
      <c r="N793" s="26"/>
      <c r="O793" s="26"/>
      <c r="P793" s="26"/>
      <c r="Q793" s="26"/>
      <c r="R793" s="26"/>
      <c r="S793" s="26"/>
      <c r="T793" s="26"/>
      <c r="U793" s="35">
        <f>IFERROR(__xludf.DUMMYFUNCTION("IFERROR(GOOGLEFINANCE(A793,""closeyest""),"""")"),26.02)</f>
        <v>26.02</v>
      </c>
      <c r="V793" s="36">
        <f>IFERROR(__xludf.DUMMYFUNCTION("IFERROR(GOOGLEFINANCE(A793,""changepct""),"""")"),-1.04)</f>
        <v>-1.04</v>
      </c>
      <c r="W793" s="35">
        <f>IFERROR(__xludf.DUMMYFUNCTION("IFERROR(GOOGLEFINANCE(A793,""priceopen""),"""")"),25.76)</f>
        <v>25.76</v>
      </c>
      <c r="X793" s="35">
        <f>IFERROR(__xludf.DUMMYFUNCTION("IFERROR(GOOGLEFINANCE(A793,""high""),"""")"),26.06)</f>
        <v>26.06</v>
      </c>
      <c r="Y793" s="35">
        <f>IFERROR(__xludf.DUMMYFUNCTION("IFERROR(GOOGLEFINANCE(A793,""low""),"""")"),25.62)</f>
        <v>25.62</v>
      </c>
      <c r="Z793" s="35">
        <f>IFERROR(__xludf.DUMMYFUNCTION("IFERROR(GOOGLEFINANCE(A793,""volume""),"""")"),4489.0)</f>
        <v>4489</v>
      </c>
      <c r="AA793" s="14" t="str">
        <f>VLOOKUP(A793,Metrik!$C$2:$Y$959,5,0)</f>
        <v>Healthcare Providers</v>
      </c>
      <c r="AB793" s="14" t="str">
        <f>VLOOKUP(A793,Metrik!$C$2:$Y$959,3,0)</f>
        <v>Healthcare</v>
      </c>
    </row>
    <row r="794">
      <c r="A794" s="14" t="s">
        <v>441</v>
      </c>
      <c r="B794" s="14" t="str">
        <f t="array" ref="B794">VLOOKUP(A794,{Metrik!$C$2:$C$998,Metrik!$B$2:$B$998},2,0)</f>
        <v>Medikaloka Hermina Tbk.</v>
      </c>
      <c r="C794" s="15">
        <f>IFERROR(__xludf.DUMMYFUNCTION("GOOGLEFINANCE(""IDX:""&amp;A794,""price"")"),845.0)</f>
        <v>845</v>
      </c>
      <c r="D794" s="16" t="str">
        <f>IFERROR(__xludf.DUMMYFUNCTION("IF(A794="""","""",
SPARKLINE(
INDEX(
GOOGLEFINANCE(""IDX:""&amp;A794,""close"",TODAY()-365,TODAY()),
,2
),
{""linewidth"",1}
))
"),"#N/A")</f>
        <v>#N/A</v>
      </c>
      <c r="E794" s="14" t="s">
        <v>39</v>
      </c>
      <c r="F794" s="25">
        <v>46356.0</v>
      </c>
      <c r="G794" s="24">
        <f t="shared" si="6"/>
        <v>6</v>
      </c>
      <c r="H794" s="19">
        <f>VLOOKUP(A794,Metrik!$C$2:$Y$959,8,0)</f>
        <v>35.8</v>
      </c>
      <c r="I794" s="20">
        <f>VLOOKUP(A794,Metrik!$C$2:$Y$959,9,0)</f>
        <v>2</v>
      </c>
      <c r="J794" s="20">
        <f>VLOOKUP(A794,Metrik!$C$2:$Y$959,10,0)</f>
        <v>5.6</v>
      </c>
      <c r="K794" s="20">
        <f>VLOOKUP(A794,Metrik!$C$2:$Y$959,11,0)</f>
        <v>3.4</v>
      </c>
      <c r="L794" s="20">
        <f>VLOOKUP(A794,Metrik!$C$2:$Y$959,12,0)</f>
        <v>0.66</v>
      </c>
      <c r="M794" s="20">
        <f>VLOOKUP(A794,Metrik!$C$2:$Y$959,19,0)</f>
        <v>22.8</v>
      </c>
      <c r="N794" s="21"/>
      <c r="O794" s="21"/>
      <c r="P794" s="21"/>
      <c r="Q794" s="21"/>
      <c r="R794" s="21"/>
      <c r="S794" s="21"/>
      <c r="T794" s="21"/>
      <c r="U794" s="22">
        <f>IFERROR(__xludf.DUMMYFUNCTION("IFERROR(GOOGLEFINANCE(A794,""closeyest""),"""")"),26.02)</f>
        <v>26.02</v>
      </c>
      <c r="V794" s="23">
        <f>IFERROR(__xludf.DUMMYFUNCTION("IFERROR(GOOGLEFINANCE(A794,""changepct""),"""")"),-1.04)</f>
        <v>-1.04</v>
      </c>
      <c r="W794" s="22">
        <f>IFERROR(__xludf.DUMMYFUNCTION("IFERROR(GOOGLEFINANCE(A794,""priceopen""),"""")"),25.76)</f>
        <v>25.76</v>
      </c>
      <c r="X794" s="22">
        <f>IFERROR(__xludf.DUMMYFUNCTION("IFERROR(GOOGLEFINANCE(A794,""high""),"""")"),26.06)</f>
        <v>26.06</v>
      </c>
      <c r="Y794" s="22">
        <f>IFERROR(__xludf.DUMMYFUNCTION("IFERROR(GOOGLEFINANCE(A794,""low""),"""")"),25.62)</f>
        <v>25.62</v>
      </c>
      <c r="Z794" s="22">
        <f>IFERROR(__xludf.DUMMYFUNCTION("IFERROR(GOOGLEFINANCE(A794,""volume""),"""")"),4489.0)</f>
        <v>4489</v>
      </c>
      <c r="AA794" s="24" t="str">
        <f>VLOOKUP(A794,Metrik!$C$2:$Y$959,5,0)</f>
        <v>Healthcare Providers</v>
      </c>
      <c r="AB794" s="24" t="str">
        <f>VLOOKUP(A794,Metrik!$C$2:$Y$959,3,0)</f>
        <v>Healthcare</v>
      </c>
    </row>
    <row r="795">
      <c r="A795" s="14" t="s">
        <v>442</v>
      </c>
      <c r="B795" s="14" t="str">
        <f t="array" ref="B795">VLOOKUP(A795,{Metrik!$C$2:$C$998,Metrik!$B$2:$B$998},2,0)</f>
        <v>Jaya Trishindo Tbk.</v>
      </c>
      <c r="C795" s="15">
        <f>IFERROR(__xludf.DUMMYFUNCTION("GOOGLEFINANCE(""IDX:""&amp;A795,""price"")"),175.0)</f>
        <v>175</v>
      </c>
      <c r="D795" s="16" t="str">
        <f>IFERROR(__xludf.DUMMYFUNCTION("IF(A795="""","""",
SPARKLINE(
INDEX(
GOOGLEFINANCE(""IDX:""&amp;A795,""close"",TODAY()-365,TODAY()),
,2
),
{""linewidth"",1}
))
"),"#N/A")</f>
        <v>#N/A</v>
      </c>
      <c r="E795" s="26"/>
      <c r="F795" s="26"/>
      <c r="G795" s="18">
        <f t="shared" si="6"/>
        <v>0</v>
      </c>
      <c r="H795" s="19">
        <f>VLOOKUP(A795,Metrik!$C$2:$Y$959,8,0)</f>
        <v>5.3</v>
      </c>
      <c r="I795" s="20">
        <f>VLOOKUP(A795,Metrik!$C$2:$Y$959,9,0)</f>
        <v>1.5</v>
      </c>
      <c r="J795" s="20">
        <f>VLOOKUP(A795,Metrik!$C$2:$Y$959,10,0)</f>
        <v>29.1</v>
      </c>
      <c r="K795" s="20">
        <f>VLOOKUP(A795,Metrik!$C$2:$Y$959,11,0)</f>
        <v>14.1</v>
      </c>
      <c r="L795" s="20">
        <f>VLOOKUP(A795,Metrik!$C$2:$Y$959,12,0)</f>
        <v>1.1</v>
      </c>
      <c r="M795" s="20">
        <f>VLOOKUP(A795,Metrik!$C$2:$Y$959,19,0)</f>
        <v>89</v>
      </c>
      <c r="N795" s="21"/>
      <c r="O795" s="21"/>
      <c r="P795" s="21"/>
      <c r="Q795" s="21"/>
      <c r="R795" s="21"/>
      <c r="S795" s="21"/>
      <c r="T795" s="21"/>
      <c r="U795" s="22">
        <f>IFERROR(__xludf.DUMMYFUNCTION("IFERROR(GOOGLEFINANCE(A795,""closeyest""),"""")"),0.04)</f>
        <v>0.04</v>
      </c>
      <c r="V795" s="23">
        <f>IFERROR(__xludf.DUMMYFUNCTION("IFERROR(GOOGLEFINANCE(A795,""changepct""),"""")"),-12.5)</f>
        <v>-12.5</v>
      </c>
      <c r="W795" s="22">
        <f>IFERROR(__xludf.DUMMYFUNCTION("IFERROR(GOOGLEFINANCE(A795,""priceopen""),"""")"),0.04)</f>
        <v>0.04</v>
      </c>
      <c r="X795" s="22">
        <f>IFERROR(__xludf.DUMMYFUNCTION("IFERROR(GOOGLEFINANCE(A795,""high""),"""")"),0.04)</f>
        <v>0.04</v>
      </c>
      <c r="Y795" s="22">
        <f>IFERROR(__xludf.DUMMYFUNCTION("IFERROR(GOOGLEFINANCE(A795,""low""),"""")"),0.04)</f>
        <v>0.04</v>
      </c>
      <c r="Z795" s="22">
        <f>IFERROR(__xludf.DUMMYFUNCTION("IFERROR(GOOGLEFINANCE(A795,""volume""),"""")"),151383.0)</f>
        <v>151383</v>
      </c>
      <c r="AA795" s="24" t="str">
        <f>VLOOKUP(A795,Metrik!$C$2:$Y$959,5,0)</f>
        <v>Airlines</v>
      </c>
      <c r="AB795" s="24" t="str">
        <f>VLOOKUP(A795,Metrik!$C$2:$Y$959,3,0)</f>
        <v>Transportation &amp; Logistic</v>
      </c>
    </row>
    <row r="796">
      <c r="A796" s="14" t="s">
        <v>443</v>
      </c>
      <c r="B796" s="14" t="str">
        <f t="array" ref="B796">VLOOKUP(A796,{Metrik!$C$2:$C$998,Metrik!$B$2:$B$998},2,0)</f>
        <v>DFI Retail Nusantara Tbk.</v>
      </c>
      <c r="C796" s="15">
        <f>IFERROR(__xludf.DUMMYFUNCTION("GOOGLEFINANCE(""IDX:""&amp;A796,""price"")"),318.0)</f>
        <v>318</v>
      </c>
      <c r="D796" s="16" t="str">
        <f>IFERROR(__xludf.DUMMYFUNCTION("IF(A796="""","""",
SPARKLINE(
INDEX(
GOOGLEFINANCE(""IDX:""&amp;A796,""close"",TODAY()-365,TODAY()),
,2
),
{""linewidth"",1}
))
"),"#N/A")</f>
        <v>#N/A</v>
      </c>
      <c r="E796" s="26"/>
      <c r="F796" s="26"/>
      <c r="G796" s="24">
        <f t="shared" si="6"/>
        <v>0</v>
      </c>
      <c r="H796" s="19">
        <f>VLOOKUP(A796,Metrik!$C$2:$Y$959,8,0)</f>
        <v>7.4</v>
      </c>
      <c r="I796" s="20">
        <f>VLOOKUP(A796,Metrik!$C$2:$Y$959,9,0)</f>
        <v>0.93</v>
      </c>
      <c r="J796" s="20">
        <f>VLOOKUP(A796,Metrik!$C$2:$Y$959,10,0)</f>
        <v>12.6</v>
      </c>
      <c r="K796" s="20">
        <f>VLOOKUP(A796,Metrik!$C$2:$Y$959,11,0)</f>
        <v>5.1</v>
      </c>
      <c r="L796" s="20">
        <f>VLOOKUP(A796,Metrik!$C$2:$Y$959,12,0)</f>
        <v>1.5</v>
      </c>
      <c r="M796" s="20">
        <f>VLOOKUP(A796,Metrik!$C$2:$Y$959,19,0)</f>
        <v>15.6</v>
      </c>
      <c r="N796" s="21"/>
      <c r="O796" s="21"/>
      <c r="P796" s="21"/>
      <c r="Q796" s="21"/>
      <c r="R796" s="21"/>
      <c r="S796" s="21"/>
      <c r="T796" s="21"/>
      <c r="U796" s="22">
        <f>IFERROR(__xludf.DUMMYFUNCTION("IFERROR(GOOGLEFINANCE(A796,""closeyest""),"""")"),24.78)</f>
        <v>24.78</v>
      </c>
      <c r="V796" s="23">
        <f>IFERROR(__xludf.DUMMYFUNCTION("IFERROR(GOOGLEFINANCE(A796,""changepct""),"""")"),-0.52)</f>
        <v>-0.52</v>
      </c>
      <c r="W796" s="22">
        <f>IFERROR(__xludf.DUMMYFUNCTION("IFERROR(GOOGLEFINANCE(A796,""priceopen""),"""")"),24.44)</f>
        <v>24.44</v>
      </c>
      <c r="X796" s="22">
        <f>IFERROR(__xludf.DUMMYFUNCTION("IFERROR(GOOGLEFINANCE(A796,""high""),"""")"),24.69)</f>
        <v>24.69</v>
      </c>
      <c r="Y796" s="22">
        <f>IFERROR(__xludf.DUMMYFUNCTION("IFERROR(GOOGLEFINANCE(A796,""low""),"""")"),24.36)</f>
        <v>24.36</v>
      </c>
      <c r="Z796" s="22">
        <f>IFERROR(__xludf.DUMMYFUNCTION("IFERROR(GOOGLEFINANCE(A796,""volume""),"""")"),3623.0)</f>
        <v>3623</v>
      </c>
      <c r="AA796" s="24" t="str">
        <f>VLOOKUP(A796,Metrik!$C$2:$Y$959,5,0)</f>
        <v>Food &amp; Staples Retailing</v>
      </c>
      <c r="AB796" s="24" t="str">
        <f>VLOOKUP(A796,Metrik!$C$2:$Y$959,3,0)</f>
        <v>Consumer Non-Cyclicals</v>
      </c>
    </row>
    <row r="797">
      <c r="A797" s="14" t="s">
        <v>444</v>
      </c>
      <c r="B797" s="14" t="str">
        <f t="array" ref="B797">VLOOKUP(A797,{Metrik!$C$2:$C$998,Metrik!$B$2:$B$998},2,0)</f>
        <v>Hexindo Adiperkasa Tbk.</v>
      </c>
      <c r="C797" s="15">
        <f>IFERROR(__xludf.DUMMYFUNCTION("GOOGLEFINANCE(""IDX:""&amp;A797,""price"")"),4410.0)</f>
        <v>4410</v>
      </c>
      <c r="D797" s="16" t="str">
        <f>IFERROR(__xludf.DUMMYFUNCTION("IF(A797="""","""",
SPARKLINE(
INDEX(
GOOGLEFINANCE(""IDX:""&amp;A797,""close"",TODAY()-365,TODAY()),
,2
),
{""linewidth"",1}
))
"),"#N/A")</f>
        <v>#N/A</v>
      </c>
      <c r="E797" s="26"/>
      <c r="F797" s="26"/>
      <c r="G797" s="24">
        <f t="shared" si="6"/>
        <v>0</v>
      </c>
      <c r="H797" s="19">
        <f>VLOOKUP(A797,Metrik!$C$2:$Y$959,8,0)</f>
        <v>7.6</v>
      </c>
      <c r="I797" s="20">
        <f>VLOOKUP(A797,Metrik!$C$2:$Y$959,9,0)</f>
        <v>1.3</v>
      </c>
      <c r="J797" s="20">
        <f>VLOOKUP(A797,Metrik!$C$2:$Y$959,10,0)</f>
        <v>17.2</v>
      </c>
      <c r="K797" s="20">
        <f>VLOOKUP(A797,Metrik!$C$2:$Y$959,11,0)</f>
        <v>6.7</v>
      </c>
      <c r="L797" s="20">
        <f>VLOOKUP(A797,Metrik!$C$2:$Y$959,12,0)</f>
        <v>1.6</v>
      </c>
      <c r="M797" s="20">
        <f>VLOOKUP(A797,Metrik!$C$2:$Y$959,19,0)</f>
        <v>7.2</v>
      </c>
      <c r="N797" s="21"/>
      <c r="O797" s="21"/>
      <c r="P797" s="21"/>
      <c r="Q797" s="21"/>
      <c r="R797" s="21"/>
      <c r="S797" s="21"/>
      <c r="T797" s="21"/>
      <c r="U797" s="22">
        <f>IFERROR(__xludf.DUMMYFUNCTION("IFERROR(GOOGLEFINANCE(A797,""closeyest""),"""")"),4340.0)</f>
        <v>4340</v>
      </c>
      <c r="V797" s="23">
        <f>IFERROR(__xludf.DUMMYFUNCTION("IFERROR(GOOGLEFINANCE(A797,""changepct""),"""")"),1.61)</f>
        <v>1.61</v>
      </c>
      <c r="W797" s="22">
        <f>IFERROR(__xludf.DUMMYFUNCTION("IFERROR(GOOGLEFINANCE(A797,""priceopen""),"""")"),4350.0)</f>
        <v>4350</v>
      </c>
      <c r="X797" s="22">
        <f>IFERROR(__xludf.DUMMYFUNCTION("IFERROR(GOOGLEFINANCE(A797,""high""),"""")"),4430.0)</f>
        <v>4430</v>
      </c>
      <c r="Y797" s="22">
        <f>IFERROR(__xludf.DUMMYFUNCTION("IFERROR(GOOGLEFINANCE(A797,""low""),"""")"),4350.0)</f>
        <v>4350</v>
      </c>
      <c r="Z797" s="22">
        <f>IFERROR(__xludf.DUMMYFUNCTION("IFERROR(GOOGLEFINANCE(A797,""volume""),"""")"),156800.0)</f>
        <v>156800</v>
      </c>
      <c r="AA797" s="24" t="str">
        <f>VLOOKUP(A797,Metrik!$C$2:$Y$959,5,0)</f>
        <v>Machinery</v>
      </c>
      <c r="AB797" s="24" t="str">
        <f>VLOOKUP(A797,Metrik!$C$2:$Y$959,3,0)</f>
        <v>Industrials</v>
      </c>
    </row>
    <row r="798">
      <c r="A798" s="14" t="s">
        <v>445</v>
      </c>
      <c r="B798" s="14" t="str">
        <f t="array" ref="B798">VLOOKUP(A798,{Metrik!$C$2:$C$998,Metrik!$B$2:$B$998},2,0)</f>
        <v>Hero Global Investment Tbk.</v>
      </c>
      <c r="C798" s="15">
        <f>IFERROR(__xludf.DUMMYFUNCTION("GOOGLEFINANCE(""IDX:""&amp;A798,""price"")"),132.0)</f>
        <v>132</v>
      </c>
      <c r="D798" s="16" t="str">
        <f>IFERROR(__xludf.DUMMYFUNCTION("IF(A798="""","""",
SPARKLINE(
INDEX(
GOOGLEFINANCE(""IDX:""&amp;A798,""close"",TODAY()-365,TODAY()),
,2
),
{""linewidth"",1}
))
"),"#N/A")</f>
        <v>#N/A</v>
      </c>
      <c r="E798" s="26"/>
      <c r="F798" s="26"/>
      <c r="G798" s="24">
        <f t="shared" si="6"/>
        <v>0</v>
      </c>
      <c r="H798" s="19">
        <f>VLOOKUP(A798,Metrik!$C$2:$Y$959,8,0)</f>
        <v>53.6</v>
      </c>
      <c r="I798" s="20">
        <f>VLOOKUP(A798,Metrik!$C$2:$Y$959,9,0)</f>
        <v>1.1</v>
      </c>
      <c r="J798" s="20">
        <f>VLOOKUP(A798,Metrik!$C$2:$Y$959,10,0)</f>
        <v>2.1</v>
      </c>
      <c r="K798" s="20">
        <f>VLOOKUP(A798,Metrik!$C$2:$Y$959,11,0)</f>
        <v>1.7</v>
      </c>
      <c r="L798" s="20">
        <f>VLOOKUP(A798,Metrik!$C$2:$Y$959,12,0)</f>
        <v>0.26</v>
      </c>
      <c r="M798" s="20">
        <f>VLOOKUP(A798,Metrik!$C$2:$Y$959,19,0)</f>
        <v>89.2</v>
      </c>
      <c r="N798" s="21"/>
      <c r="O798" s="21"/>
      <c r="P798" s="21"/>
      <c r="Q798" s="21"/>
      <c r="R798" s="21"/>
      <c r="S798" s="21"/>
      <c r="T798" s="21"/>
      <c r="U798" s="22">
        <f>IFERROR(__xludf.DUMMYFUNCTION("IFERROR(GOOGLEFINANCE(A798,""closeyest""),"""")"),132.0)</f>
        <v>132</v>
      </c>
      <c r="V798" s="23">
        <f>IFERROR(__xludf.DUMMYFUNCTION("IFERROR(GOOGLEFINANCE(A798,""changepct""),"""")"),0.0)</f>
        <v>0</v>
      </c>
      <c r="W798" s="22">
        <f>IFERROR(__xludf.DUMMYFUNCTION("IFERROR(GOOGLEFINANCE(A798,""priceopen""),"""")"),132.0)</f>
        <v>132</v>
      </c>
      <c r="X798" s="22">
        <f>IFERROR(__xludf.DUMMYFUNCTION("IFERROR(GOOGLEFINANCE(A798,""high""),"""")"),133.0)</f>
        <v>133</v>
      </c>
      <c r="Y798" s="22">
        <f>IFERROR(__xludf.DUMMYFUNCTION("IFERROR(GOOGLEFINANCE(A798,""low""),"""")"),128.0)</f>
        <v>128</v>
      </c>
      <c r="Z798" s="22">
        <f>IFERROR(__xludf.DUMMYFUNCTION("IFERROR(GOOGLEFINANCE(A798,""volume""),"""")"),353300.0)</f>
        <v>353300</v>
      </c>
      <c r="AA798" s="24" t="str">
        <f>VLOOKUP(A798,Metrik!$C$2:$Y$959,5,0)</f>
        <v>Electric Utilities</v>
      </c>
      <c r="AB798" s="24" t="str">
        <f>VLOOKUP(A798,Metrik!$C$2:$Y$959,3,0)</f>
        <v>Infrastructures</v>
      </c>
    </row>
    <row r="799">
      <c r="A799" s="14" t="s">
        <v>446</v>
      </c>
      <c r="B799" s="14" t="str">
        <f t="array" ref="B799">VLOOKUP(A799,{Metrik!$C$2:$C$998,Metrik!$B$2:$B$998},2,0)</f>
        <v>PT Hillcon Tbk</v>
      </c>
      <c r="C799" s="15">
        <f>IFERROR(__xludf.DUMMYFUNCTION("GOOGLEFINANCE(""IDX:""&amp;A799,""price"")"),17.0)</f>
        <v>17</v>
      </c>
      <c r="D799" s="16" t="str">
        <f>IFERROR(__xludf.DUMMYFUNCTION("IF(A799="""","""",
SPARKLINE(
INDEX(
GOOGLEFINANCE(""IDX:""&amp;A799,""close"",TODAY()-365,TODAY()),
,2
),
{""linewidth"",1}
))
"),"#N/A")</f>
        <v>#N/A</v>
      </c>
      <c r="E799" s="26"/>
      <c r="F799" s="26"/>
      <c r="G799" s="24">
        <f t="shared" si="6"/>
        <v>0</v>
      </c>
      <c r="H799" s="19">
        <f>VLOOKUP(A799,Metrik!$C$2:$Y$959,8,0)</f>
        <v>-0.23</v>
      </c>
      <c r="I799" s="20">
        <f>VLOOKUP(A799,Metrik!$C$2:$Y$959,9,0)</f>
        <v>0.56</v>
      </c>
      <c r="J799" s="20">
        <f>VLOOKUP(A799,Metrik!$C$2:$Y$959,10,0)</f>
        <v>-250</v>
      </c>
      <c r="K799" s="20">
        <f>VLOOKUP(A799,Metrik!$C$2:$Y$959,11,0)</f>
        <v>-19.5</v>
      </c>
      <c r="L799" s="20">
        <f>VLOOKUP(A799,Metrik!$C$2:$Y$959,12,0)</f>
        <v>11.6</v>
      </c>
      <c r="M799" s="20">
        <f>VLOOKUP(A799,Metrik!$C$2:$Y$959,19,0)</f>
        <v>-29.8</v>
      </c>
      <c r="N799" s="21"/>
      <c r="O799" s="21"/>
      <c r="P799" s="21"/>
      <c r="Q799" s="21"/>
      <c r="R799" s="21"/>
      <c r="S799" s="21"/>
      <c r="T799" s="21"/>
      <c r="U799" s="22">
        <f>IFERROR(__xludf.DUMMYFUNCTION("IFERROR(GOOGLEFINANCE(A799,""closeyest""),"""")"),16.0)</f>
        <v>16</v>
      </c>
      <c r="V799" s="23">
        <f>IFERROR(__xludf.DUMMYFUNCTION("IFERROR(GOOGLEFINANCE(A799,""changepct""),"""")"),6.25)</f>
        <v>6.25</v>
      </c>
      <c r="W799" s="22">
        <f>IFERROR(__xludf.DUMMYFUNCTION("IFERROR(GOOGLEFINANCE(A799,""priceopen""),"""")"),17.0)</f>
        <v>17</v>
      </c>
      <c r="X799" s="22">
        <f>IFERROR(__xludf.DUMMYFUNCTION("IFERROR(GOOGLEFINANCE(A799,""high""),"""")"),17.0)</f>
        <v>17</v>
      </c>
      <c r="Y799" s="22">
        <f>IFERROR(__xludf.DUMMYFUNCTION("IFERROR(GOOGLEFINANCE(A799,""low""),"""")"),17.0)</f>
        <v>17</v>
      </c>
      <c r="Z799" s="22">
        <f>IFERROR(__xludf.DUMMYFUNCTION("IFERROR(GOOGLEFINANCE(A799,""volume""),"""")"),1.79603E7)</f>
        <v>17960300</v>
      </c>
      <c r="AA799" s="24" t="str">
        <f>VLOOKUP(A799,Metrik!$C$2:$Y$959,5,0)</f>
        <v>Oil, Gas &amp; Coal Supports</v>
      </c>
      <c r="AB799" s="24" t="str">
        <f>VLOOKUP(A799,Metrik!$C$2:$Y$959,3,0)</f>
        <v>Energy</v>
      </c>
    </row>
    <row r="800">
      <c r="A800" s="14" t="s">
        <v>447</v>
      </c>
      <c r="B800" s="14" t="str">
        <f t="array" ref="B800">VLOOKUP(A800,{Metrik!$C$2:$C$998,Metrik!$B$2:$B$998},2,0)</f>
        <v>Humpuss Intermoda Transportasi Tbk.</v>
      </c>
      <c r="C800" s="15" t="str">
        <f>IFERROR(__xludf.DUMMYFUNCTION("GOOGLEFINANCE(""IDX:""&amp;A800,""price"")"),"#N/A")</f>
        <v>#N/A</v>
      </c>
      <c r="D800" s="16" t="str">
        <f>IFERROR(__xludf.DUMMYFUNCTION("IF(A800="""","""",
SPARKLINE(
INDEX(
GOOGLEFINANCE(""IDX:""&amp;A800,""close"",TODAY()-365,TODAY()),
,2
),
{""linewidth"",1}
))
"),"#N/A")</f>
        <v>#N/A</v>
      </c>
      <c r="E800" s="26"/>
      <c r="F800" s="26"/>
      <c r="G800" s="24">
        <f t="shared" si="6"/>
        <v>0</v>
      </c>
      <c r="H800" s="19">
        <f>VLOOKUP(A800,Metrik!$C$2:$Y$959,8,0)</f>
        <v>-11.5</v>
      </c>
      <c r="I800" s="20">
        <f>VLOOKUP(A800,Metrik!$C$2:$Y$959,9,0)</f>
        <v>0.42</v>
      </c>
      <c r="J800" s="20">
        <f>VLOOKUP(A800,Metrik!$C$2:$Y$959,10,0)</f>
        <v>-3.6</v>
      </c>
      <c r="K800" s="20">
        <f>VLOOKUP(A800,Metrik!$C$2:$Y$959,11,0)</f>
        <v>-1.3</v>
      </c>
      <c r="L800" s="20">
        <f>VLOOKUP(A800,Metrik!$C$2:$Y$959,12,0)</f>
        <v>1.8</v>
      </c>
      <c r="M800" s="20">
        <f>VLOOKUP(A800,Metrik!$C$2:$Y$959,19,0)</f>
        <v>-4.3</v>
      </c>
      <c r="N800" s="21"/>
      <c r="O800" s="21"/>
      <c r="P800" s="21"/>
      <c r="Q800" s="21"/>
      <c r="R800" s="21"/>
      <c r="S800" s="21"/>
      <c r="T800" s="21"/>
      <c r="U800" s="22" t="str">
        <f>IFERROR(__xludf.DUMMYFUNCTION("IFERROR(GOOGLEFINANCE(A800,""closeyest""),"""")"),"")</f>
        <v/>
      </c>
      <c r="V800" s="23" t="str">
        <f>IFERROR(__xludf.DUMMYFUNCTION("IFERROR(GOOGLEFINANCE(A800,""changepct""),"""")"),"")</f>
        <v/>
      </c>
      <c r="W800" s="22" t="str">
        <f>IFERROR(__xludf.DUMMYFUNCTION("IFERROR(GOOGLEFINANCE(A800,""priceopen""),"""")"),"")</f>
        <v/>
      </c>
      <c r="X800" s="22" t="str">
        <f>IFERROR(__xludf.DUMMYFUNCTION("IFERROR(GOOGLEFINANCE(A800,""high""),"""")"),"")</f>
        <v/>
      </c>
      <c r="Y800" s="22" t="str">
        <f>IFERROR(__xludf.DUMMYFUNCTION("IFERROR(GOOGLEFINANCE(A800,""low""),"""")"),"")</f>
        <v/>
      </c>
      <c r="Z800" s="22" t="str">
        <f>IFERROR(__xludf.DUMMYFUNCTION("IFERROR(GOOGLEFINANCE(A800,""volume""),"""")"),"")</f>
        <v/>
      </c>
      <c r="AA800" s="24" t="str">
        <f>VLOOKUP(A800,Metrik!$C$2:$Y$959,5,0)</f>
        <v>Oil &amp; Gas</v>
      </c>
      <c r="AB800" s="24" t="str">
        <f>VLOOKUP(A800,Metrik!$C$2:$Y$959,3,0)</f>
        <v>Energy</v>
      </c>
    </row>
    <row r="801">
      <c r="A801" s="14" t="s">
        <v>448</v>
      </c>
      <c r="B801" s="14" t="str">
        <f t="array" ref="B801">VLOOKUP(A801,{Metrik!$C$2:$C$998,Metrik!$B$2:$B$998},2,0)</f>
        <v>HK Metals Utama Tbk.</v>
      </c>
      <c r="C801" s="15">
        <f>IFERROR(__xludf.DUMMYFUNCTION("GOOGLEFINANCE(""IDX:""&amp;A801,""price"")"),50.0)</f>
        <v>50</v>
      </c>
      <c r="D801" s="16" t="str">
        <f>IFERROR(__xludf.DUMMYFUNCTION("IF(A801="""","""",
SPARKLINE(
INDEX(
GOOGLEFINANCE(""IDX:""&amp;A801,""close"",TODAY()-365,TODAY()),
,2
),
{""linewidth"",1}
))
"),"#N/A")</f>
        <v>#N/A</v>
      </c>
      <c r="E801" s="26"/>
      <c r="F801" s="26"/>
      <c r="G801" s="24">
        <f t="shared" si="6"/>
        <v>0</v>
      </c>
      <c r="H801" s="19">
        <f>VLOOKUP(A801,Metrik!$C$2:$Y$959,8,0)</f>
        <v>0</v>
      </c>
      <c r="I801" s="20">
        <f>VLOOKUP(A801,Metrik!$C$2:$Y$959,9,0)</f>
        <v>-2.3</v>
      </c>
      <c r="J801" s="20">
        <f>VLOOKUP(A801,Metrik!$C$2:$Y$959,10,0)</f>
        <v>0</v>
      </c>
      <c r="K801" s="20">
        <f>VLOOKUP(A801,Metrik!$C$2:$Y$959,11,0)</f>
        <v>-71</v>
      </c>
      <c r="L801" s="20">
        <f>VLOOKUP(A801,Metrik!$C$2:$Y$959,12,0)</f>
        <v>-6.7</v>
      </c>
      <c r="M801" s="20">
        <f>VLOOKUP(A801,Metrik!$C$2:$Y$959,19,0)</f>
        <v>-6710</v>
      </c>
      <c r="N801" s="21"/>
      <c r="O801" s="21"/>
      <c r="P801" s="21"/>
      <c r="Q801" s="21"/>
      <c r="R801" s="21"/>
      <c r="S801" s="21"/>
      <c r="T801" s="21"/>
      <c r="U801" s="22">
        <f>IFERROR(__xludf.DUMMYFUNCTION("IFERROR(GOOGLEFINANCE(A801,""closeyest""),"""")"),50.0)</f>
        <v>50</v>
      </c>
      <c r="V801" s="23">
        <f>IFERROR(__xludf.DUMMYFUNCTION("IFERROR(GOOGLEFINANCE(A801,""changepct""),"""")"),0.0)</f>
        <v>0</v>
      </c>
      <c r="W801" s="22" t="str">
        <f>IFERROR(__xludf.DUMMYFUNCTION("IFERROR(GOOGLEFINANCE(A801,""priceopen""),"""")"),"")</f>
        <v/>
      </c>
      <c r="X801" s="22" t="str">
        <f>IFERROR(__xludf.DUMMYFUNCTION("IFERROR(GOOGLEFINANCE(A801,""high""),"""")"),"")</f>
        <v/>
      </c>
      <c r="Y801" s="22" t="str">
        <f>IFERROR(__xludf.DUMMYFUNCTION("IFERROR(GOOGLEFINANCE(A801,""low""),"""")"),"")</f>
        <v/>
      </c>
      <c r="Z801" s="22">
        <f>IFERROR(__xludf.DUMMYFUNCTION("IFERROR(GOOGLEFINANCE(A801,""volume""),"""")"),0.0)</f>
        <v>0</v>
      </c>
      <c r="AA801" s="24" t="str">
        <f>VLOOKUP(A801,Metrik!$C$2:$Y$959,5,0)</f>
        <v>Metals &amp; Minerals</v>
      </c>
      <c r="AB801" s="24" t="str">
        <f>VLOOKUP(A801,Metrik!$C$2:$Y$959,3,0)</f>
        <v>Basic Materials</v>
      </c>
    </row>
    <row r="802">
      <c r="A802" s="14" t="s">
        <v>449</v>
      </c>
      <c r="B802" s="14" t="str">
        <f t="array" ref="B802">VLOOKUP(A802,{Metrik!$C$2:$C$998,Metrik!$B$2:$B$998},2,0)</f>
        <v>HM Sampoerna Tbk</v>
      </c>
      <c r="C802" s="15">
        <f>IFERROR(__xludf.DUMMYFUNCTION("GOOGLEFINANCE(""IDX:""&amp;A802,""price"")"),605.0)</f>
        <v>605</v>
      </c>
      <c r="D802" s="16" t="str">
        <f>IFERROR(__xludf.DUMMYFUNCTION("IF(A802="""","""",
SPARKLINE(
INDEX(
GOOGLEFINANCE(""IDX:""&amp;A802,""close"",TODAY()-365,TODAY()),
,2
),
{""linewidth"",1}
))
"),"#N/A")</f>
        <v>#N/A</v>
      </c>
      <c r="E802" s="14" t="s">
        <v>48</v>
      </c>
      <c r="F802" s="14" t="s">
        <v>49</v>
      </c>
      <c r="G802" s="24">
        <f t="shared" si="6"/>
        <v>2</v>
      </c>
      <c r="H802" s="19">
        <f>VLOOKUP(A802,Metrik!$C$2:$Y$959,8,0)</f>
        <v>12</v>
      </c>
      <c r="I802" s="20">
        <f>VLOOKUP(A802,Metrik!$C$2:$Y$959,9,0)</f>
        <v>2.7</v>
      </c>
      <c r="J802" s="20">
        <f>VLOOKUP(A802,Metrik!$C$2:$Y$959,10,0)</f>
        <v>22.2</v>
      </c>
      <c r="K802" s="20">
        <f>VLOOKUP(A802,Metrik!$C$2:$Y$959,11,0)</f>
        <v>13</v>
      </c>
      <c r="L802" s="20">
        <f>VLOOKUP(A802,Metrik!$C$2:$Y$959,12,0)</f>
        <v>0.71</v>
      </c>
      <c r="M802" s="20">
        <f>VLOOKUP(A802,Metrik!$C$2:$Y$959,19,0)</f>
        <v>24.8</v>
      </c>
      <c r="N802" s="21"/>
      <c r="O802" s="21"/>
      <c r="P802" s="21"/>
      <c r="Q802" s="21"/>
      <c r="R802" s="21"/>
      <c r="S802" s="21"/>
      <c r="T802" s="21"/>
      <c r="U802" s="22">
        <f>IFERROR(__xludf.DUMMYFUNCTION("IFERROR(GOOGLEFINANCE(A802,""closeyest""),"""")"),595.0)</f>
        <v>595</v>
      </c>
      <c r="V802" s="23">
        <f>IFERROR(__xludf.DUMMYFUNCTION("IFERROR(GOOGLEFINANCE(A802,""changepct""),"""")"),1.68)</f>
        <v>1.68</v>
      </c>
      <c r="W802" s="22">
        <f>IFERROR(__xludf.DUMMYFUNCTION("IFERROR(GOOGLEFINANCE(A802,""priceopen""),"""")"),600.0)</f>
        <v>600</v>
      </c>
      <c r="X802" s="22">
        <f>IFERROR(__xludf.DUMMYFUNCTION("IFERROR(GOOGLEFINANCE(A802,""high""),"""")"),610.0)</f>
        <v>610</v>
      </c>
      <c r="Y802" s="22">
        <f>IFERROR(__xludf.DUMMYFUNCTION("IFERROR(GOOGLEFINANCE(A802,""low""),"""")"),590.0)</f>
        <v>590</v>
      </c>
      <c r="Z802" s="22">
        <f>IFERROR(__xludf.DUMMYFUNCTION("IFERROR(GOOGLEFINANCE(A802,""volume""),"""")"),3.2621E7)</f>
        <v>32621000</v>
      </c>
      <c r="AA802" s="24" t="str">
        <f>VLOOKUP(A802,Metrik!$C$2:$Y$959,5,0)</f>
        <v>Tobacco</v>
      </c>
      <c r="AB802" s="24" t="str">
        <f>VLOOKUP(A802,Metrik!$C$2:$Y$959,3,0)</f>
        <v>Consumer Non-Cyclicals</v>
      </c>
    </row>
    <row r="803">
      <c r="A803" s="14" t="s">
        <v>449</v>
      </c>
      <c r="B803" s="14" t="str">
        <f t="array" ref="B803">VLOOKUP(A803,{Metrik!$C$2:$C$998,Metrik!$B$2:$B$998},2,0)</f>
        <v>HM Sampoerna Tbk</v>
      </c>
      <c r="C803" s="15">
        <f>IFERROR(__xludf.DUMMYFUNCTION("GOOGLEFINANCE(""IDX:""&amp;A803,""price"")"),605.0)</f>
        <v>605</v>
      </c>
      <c r="D803" s="16" t="str">
        <f>IFERROR(__xludf.DUMMYFUNCTION("IF(A803="""","""",
SPARKLINE(
INDEX(
GOOGLEFINANCE(""IDX:""&amp;A803,""close"",TODAY()-365,TODAY()),
,2
),
{""linewidth"",1}
))
"),"#N/A")</f>
        <v>#N/A</v>
      </c>
      <c r="E803" s="14" t="s">
        <v>32</v>
      </c>
      <c r="F803" s="14" t="s">
        <v>29</v>
      </c>
      <c r="G803" s="24">
        <f t="shared" si="6"/>
        <v>2</v>
      </c>
      <c r="H803" s="19">
        <f>VLOOKUP(A803,Metrik!$C$2:$Y$959,8,0)</f>
        <v>12</v>
      </c>
      <c r="I803" s="20">
        <f>VLOOKUP(A803,Metrik!$C$2:$Y$959,9,0)</f>
        <v>2.7</v>
      </c>
      <c r="J803" s="20">
        <f>VLOOKUP(A803,Metrik!$C$2:$Y$959,10,0)</f>
        <v>22.2</v>
      </c>
      <c r="K803" s="20">
        <f>VLOOKUP(A803,Metrik!$C$2:$Y$959,11,0)</f>
        <v>13</v>
      </c>
      <c r="L803" s="20">
        <f>VLOOKUP(A803,Metrik!$C$2:$Y$959,12,0)</f>
        <v>0.71</v>
      </c>
      <c r="M803" s="20">
        <f>VLOOKUP(A803,Metrik!$C$2:$Y$959,19,0)</f>
        <v>24.8</v>
      </c>
      <c r="N803" s="21"/>
      <c r="O803" s="21"/>
      <c r="P803" s="21"/>
      <c r="Q803" s="21"/>
      <c r="R803" s="21"/>
      <c r="S803" s="21"/>
      <c r="T803" s="21"/>
      <c r="U803" s="22">
        <f>IFERROR(__xludf.DUMMYFUNCTION("IFERROR(GOOGLEFINANCE(A803,""closeyest""),"""")"),595.0)</f>
        <v>595</v>
      </c>
      <c r="V803" s="23">
        <f>IFERROR(__xludf.DUMMYFUNCTION("IFERROR(GOOGLEFINANCE(A803,""changepct""),"""")"),1.68)</f>
        <v>1.68</v>
      </c>
      <c r="W803" s="22">
        <f>IFERROR(__xludf.DUMMYFUNCTION("IFERROR(GOOGLEFINANCE(A803,""priceopen""),"""")"),600.0)</f>
        <v>600</v>
      </c>
      <c r="X803" s="22">
        <f>IFERROR(__xludf.DUMMYFUNCTION("IFERROR(GOOGLEFINANCE(A803,""high""),"""")"),610.0)</f>
        <v>610</v>
      </c>
      <c r="Y803" s="22">
        <f>IFERROR(__xludf.DUMMYFUNCTION("IFERROR(GOOGLEFINANCE(A803,""low""),"""")"),590.0)</f>
        <v>590</v>
      </c>
      <c r="Z803" s="22">
        <f>IFERROR(__xludf.DUMMYFUNCTION("IFERROR(GOOGLEFINANCE(A803,""volume""),"""")"),3.2621E7)</f>
        <v>32621000</v>
      </c>
      <c r="AA803" s="24" t="str">
        <f>VLOOKUP(A803,Metrik!$C$2:$Y$959,5,0)</f>
        <v>Tobacco</v>
      </c>
      <c r="AB803" s="24" t="str">
        <f>VLOOKUP(A803,Metrik!$C$2:$Y$959,3,0)</f>
        <v>Consumer Non-Cyclicals</v>
      </c>
    </row>
    <row r="804">
      <c r="A804" s="14" t="s">
        <v>450</v>
      </c>
      <c r="B804" s="14" t="str">
        <f t="array" ref="B804">VLOOKUP(A804,{Metrik!$C$2:$C$998,Metrik!$B$2:$B$998},2,0)</f>
        <v>Buyung Poetra Sembada Tbk.</v>
      </c>
      <c r="C804" s="15">
        <f>IFERROR(__xludf.DUMMYFUNCTION("GOOGLEFINANCE(""IDX:""&amp;A804,""price"")"),54.0)</f>
        <v>54</v>
      </c>
      <c r="D804" s="16" t="str">
        <f>IFERROR(__xludf.DUMMYFUNCTION("IF(A804="""","""",
SPARKLINE(
INDEX(
GOOGLEFINANCE(""IDX:""&amp;A804,""close"",TODAY()-365,TODAY()),
,2
),
{""linewidth"",1}
))
"),"#N/A")</f>
        <v>#N/A</v>
      </c>
      <c r="E804" s="26"/>
      <c r="F804" s="26"/>
      <c r="G804" s="24">
        <f t="shared" si="6"/>
        <v>0</v>
      </c>
      <c r="H804" s="19">
        <f>VLOOKUP(A804,Metrik!$C$2:$Y$959,8,0)</f>
        <v>-15.3</v>
      </c>
      <c r="I804" s="20">
        <f>VLOOKUP(A804,Metrik!$C$2:$Y$959,9,0)</f>
        <v>1.1</v>
      </c>
      <c r="J804" s="20">
        <f>VLOOKUP(A804,Metrik!$C$2:$Y$959,10,0)</f>
        <v>-6.9</v>
      </c>
      <c r="K804" s="20">
        <f>VLOOKUP(A804,Metrik!$C$2:$Y$959,11,0)</f>
        <v>-4.2</v>
      </c>
      <c r="L804" s="20">
        <f>VLOOKUP(A804,Metrik!$C$2:$Y$959,12,0)</f>
        <v>0.64</v>
      </c>
      <c r="M804" s="20">
        <f>VLOOKUP(A804,Metrik!$C$2:$Y$959,19,0)</f>
        <v>-7.3</v>
      </c>
      <c r="N804" s="21"/>
      <c r="O804" s="21"/>
      <c r="P804" s="21"/>
      <c r="Q804" s="21"/>
      <c r="R804" s="21"/>
      <c r="S804" s="21"/>
      <c r="T804" s="21"/>
      <c r="U804" s="22">
        <f>IFERROR(__xludf.DUMMYFUNCTION("IFERROR(GOOGLEFINANCE(A804,""closeyest""),"""")"),52.0)</f>
        <v>52</v>
      </c>
      <c r="V804" s="23">
        <f>IFERROR(__xludf.DUMMYFUNCTION("IFERROR(GOOGLEFINANCE(A804,""changepct""),"""")"),3.85)</f>
        <v>3.85</v>
      </c>
      <c r="W804" s="22">
        <f>IFERROR(__xludf.DUMMYFUNCTION("IFERROR(GOOGLEFINANCE(A804,""priceopen""),"""")"),52.0)</f>
        <v>52</v>
      </c>
      <c r="X804" s="22">
        <f>IFERROR(__xludf.DUMMYFUNCTION("IFERROR(GOOGLEFINANCE(A804,""high""),"""")"),56.0)</f>
        <v>56</v>
      </c>
      <c r="Y804" s="22">
        <f>IFERROR(__xludf.DUMMYFUNCTION("IFERROR(GOOGLEFINANCE(A804,""low""),"""")"),52.0)</f>
        <v>52</v>
      </c>
      <c r="Z804" s="22">
        <f>IFERROR(__xludf.DUMMYFUNCTION("IFERROR(GOOGLEFINANCE(A804,""volume""),"""")"),2.08881E7)</f>
        <v>20888100</v>
      </c>
      <c r="AA804" s="24" t="str">
        <f>VLOOKUP(A804,Metrik!$C$2:$Y$959,5,0)</f>
        <v>Processed Foods</v>
      </c>
      <c r="AB804" s="24" t="str">
        <f>VLOOKUP(A804,Metrik!$C$2:$Y$959,3,0)</f>
        <v>Consumer Non-Cyclicals</v>
      </c>
    </row>
    <row r="805">
      <c r="A805" s="14" t="s">
        <v>451</v>
      </c>
      <c r="B805" s="14" t="str">
        <f t="array" ref="B805">VLOOKUP(A805,{Metrik!$C$2:$C$998,Metrik!$B$2:$B$998},2,0)</f>
        <v>Hotel Mandarine Regency Tbk.</v>
      </c>
      <c r="C805" s="15">
        <f>IFERROR(__xludf.DUMMYFUNCTION("GOOGLEFINANCE(""IDX:""&amp;A805,""price"")"),50.0)</f>
        <v>50</v>
      </c>
      <c r="D805" s="16" t="str">
        <f>IFERROR(__xludf.DUMMYFUNCTION("IF(A805="""","""",
SPARKLINE(
INDEX(
GOOGLEFINANCE(""IDX:""&amp;A805,""close"",TODAY()-365,TODAY()),
,2
),
{""linewidth"",1}
))
"),"#N/A")</f>
        <v>#N/A</v>
      </c>
      <c r="E805" s="26"/>
      <c r="F805" s="26"/>
      <c r="G805" s="24">
        <f t="shared" si="6"/>
        <v>0</v>
      </c>
      <c r="H805" s="19">
        <f>VLOOKUP(A805,Metrik!$C$2:$Y$959,8,0)</f>
        <v>0</v>
      </c>
      <c r="I805" s="20">
        <f>VLOOKUP(A805,Metrik!$C$2:$Y$959,9,0)</f>
        <v>0.52</v>
      </c>
      <c r="J805" s="20">
        <f>VLOOKUP(A805,Metrik!$C$2:$Y$959,10,0)</f>
        <v>-1.7</v>
      </c>
      <c r="K805" s="20">
        <f>VLOOKUP(A805,Metrik!$C$2:$Y$959,11,0)</f>
        <v>-1.4</v>
      </c>
      <c r="L805" s="20">
        <f>VLOOKUP(A805,Metrik!$C$2:$Y$959,12,0)</f>
        <v>0.16</v>
      </c>
      <c r="M805" s="20">
        <f>VLOOKUP(A805,Metrik!$C$2:$Y$959,19,0)</f>
        <v>-340</v>
      </c>
      <c r="N805" s="21"/>
      <c r="O805" s="21"/>
      <c r="P805" s="21"/>
      <c r="Q805" s="21"/>
      <c r="R805" s="21"/>
      <c r="S805" s="21"/>
      <c r="T805" s="21"/>
      <c r="U805" s="22">
        <f>IFERROR(__xludf.DUMMYFUNCTION("IFERROR(GOOGLEFINANCE(A805,""closeyest""),"""")"),9.95)</f>
        <v>9.95</v>
      </c>
      <c r="V805" s="23">
        <f>IFERROR(__xludf.DUMMYFUNCTION("IFERROR(GOOGLEFINANCE(A805,""changepct""),"""")"),-0.38)</f>
        <v>-0.38</v>
      </c>
      <c r="W805" s="22">
        <f>IFERROR(__xludf.DUMMYFUNCTION("IFERROR(GOOGLEFINANCE(A805,""priceopen""),"""")"),9.91)</f>
        <v>9.91</v>
      </c>
      <c r="X805" s="22">
        <f>IFERROR(__xludf.DUMMYFUNCTION("IFERROR(GOOGLEFINANCE(A805,""high""),"""")"),9.91)</f>
        <v>9.91</v>
      </c>
      <c r="Y805" s="22">
        <f>IFERROR(__xludf.DUMMYFUNCTION("IFERROR(GOOGLEFINANCE(A805,""low""),"""")"),9.81)</f>
        <v>9.81</v>
      </c>
      <c r="Z805" s="22">
        <f>IFERROR(__xludf.DUMMYFUNCTION("IFERROR(GOOGLEFINANCE(A805,""volume""),"""")"),259807.0)</f>
        <v>259807</v>
      </c>
      <c r="AA805" s="24" t="str">
        <f>VLOOKUP(A805,Metrik!$C$2:$Y$959,5,0)</f>
        <v>Tourism &amp; Recreation</v>
      </c>
      <c r="AB805" s="24" t="str">
        <f>VLOOKUP(A805,Metrik!$C$2:$Y$959,3,0)</f>
        <v>Consumer Cyclicals</v>
      </c>
    </row>
    <row r="806">
      <c r="A806" s="14" t="s">
        <v>452</v>
      </c>
      <c r="B806" s="14" t="str">
        <f t="array" ref="B806">VLOOKUP(A806,{Metrik!$C$2:$C$998,Metrik!$B$2:$B$998},2,0)</f>
        <v>Grand House Mulia Tbk.</v>
      </c>
      <c r="C806" s="15">
        <f>IFERROR(__xludf.DUMMYFUNCTION("GOOGLEFINANCE(""IDX:""&amp;A806,""price"")"),194.0)</f>
        <v>194</v>
      </c>
      <c r="D806" s="16" t="str">
        <f>IFERROR(__xludf.DUMMYFUNCTION("IF(A806="""","""",
SPARKLINE(
INDEX(
GOOGLEFINANCE(""IDX:""&amp;A806,""close"",TODAY()-365,TODAY()),
,2
),
{""linewidth"",1}
))
"),"#N/A")</f>
        <v>#N/A</v>
      </c>
      <c r="E806" s="26"/>
      <c r="F806" s="26"/>
      <c r="G806" s="24">
        <f t="shared" si="6"/>
        <v>0</v>
      </c>
      <c r="H806" s="19">
        <f>VLOOKUP(A806,Metrik!$C$2:$Y$959,8,0)</f>
        <v>360</v>
      </c>
      <c r="I806" s="20">
        <f>VLOOKUP(A806,Metrik!$C$2:$Y$959,9,0)</f>
        <v>2.4</v>
      </c>
      <c r="J806" s="20">
        <f>VLOOKUP(A806,Metrik!$C$2:$Y$959,10,0)</f>
        <v>0.67</v>
      </c>
      <c r="K806" s="20">
        <f>VLOOKUP(A806,Metrik!$C$2:$Y$959,11,0)</f>
        <v>0.49</v>
      </c>
      <c r="L806" s="20">
        <f>VLOOKUP(A806,Metrik!$C$2:$Y$959,12,0)</f>
        <v>0.36</v>
      </c>
      <c r="M806" s="20">
        <f>VLOOKUP(A806,Metrik!$C$2:$Y$959,19,0)</f>
        <v>16.5</v>
      </c>
      <c r="N806" s="21"/>
      <c r="O806" s="21"/>
      <c r="P806" s="21"/>
      <c r="Q806" s="21"/>
      <c r="R806" s="21"/>
      <c r="S806" s="21"/>
      <c r="T806" s="21"/>
      <c r="U806" s="22">
        <f>IFERROR(__xludf.DUMMYFUNCTION("IFERROR(GOOGLEFINANCE(A806,""closeyest""),"""")"),19.92)</f>
        <v>19.92</v>
      </c>
      <c r="V806" s="23">
        <f>IFERROR(__xludf.DUMMYFUNCTION("IFERROR(GOOGLEFINANCE(A806,""changepct""),"""")"),-0.3)</f>
        <v>-0.3</v>
      </c>
      <c r="W806" s="22">
        <f>IFERROR(__xludf.DUMMYFUNCTION("IFERROR(GOOGLEFINANCE(A806,""priceopen""),"""")"),20.55)</f>
        <v>20.55</v>
      </c>
      <c r="X806" s="22">
        <f>IFERROR(__xludf.DUMMYFUNCTION("IFERROR(GOOGLEFINANCE(A806,""high""),"""")"),20.6)</f>
        <v>20.6</v>
      </c>
      <c r="Y806" s="22">
        <f>IFERROR(__xludf.DUMMYFUNCTION("IFERROR(GOOGLEFINANCE(A806,""low""),"""")"),19.86)</f>
        <v>19.86</v>
      </c>
      <c r="Z806" s="22">
        <f>IFERROR(__xludf.DUMMYFUNCTION("IFERROR(GOOGLEFINANCE(A806,""volume""),"""")"),18352.0)</f>
        <v>18352</v>
      </c>
      <c r="AA806" s="24" t="str">
        <f>VLOOKUP(A806,Metrik!$C$2:$Y$959,5,0)</f>
        <v>Real Estate Management &amp; Development</v>
      </c>
      <c r="AB806" s="24" t="str">
        <f>VLOOKUP(A806,Metrik!$C$2:$Y$959,3,0)</f>
        <v>Properties &amp; Real Estate</v>
      </c>
    </row>
    <row r="807">
      <c r="A807" s="14" t="s">
        <v>453</v>
      </c>
      <c r="B807" s="14" t="str">
        <f t="array" ref="B807">VLOOKUP(A807,{Metrik!$C$2:$C$998,Metrik!$B$2:$B$998},2,0)</f>
        <v>Harapan Duta Pertiwi Tbk.</v>
      </c>
      <c r="C807" s="15">
        <f>IFERROR(__xludf.DUMMYFUNCTION("GOOGLEFINANCE(""IDX:""&amp;A807,""price"")"),130.0)</f>
        <v>130</v>
      </c>
      <c r="D807" s="16" t="str">
        <f>IFERROR(__xludf.DUMMYFUNCTION("IF(A807="""","""",
SPARKLINE(
INDEX(
GOOGLEFINANCE(""IDX:""&amp;A807,""close"",TODAY()-365,TODAY()),
,2
),
{""linewidth"",1}
))
"),"#N/A")</f>
        <v>#N/A</v>
      </c>
      <c r="E807" s="26"/>
      <c r="F807" s="26"/>
      <c r="G807" s="24">
        <f t="shared" si="6"/>
        <v>0</v>
      </c>
      <c r="H807" s="19">
        <f>VLOOKUP(A807,Metrik!$C$2:$Y$959,8,0)</f>
        <v>-16.4</v>
      </c>
      <c r="I807" s="20">
        <f>VLOOKUP(A807,Metrik!$C$2:$Y$959,9,0)</f>
        <v>2</v>
      </c>
      <c r="J807" s="20">
        <f>VLOOKUP(A807,Metrik!$C$2:$Y$959,10,0)</f>
        <v>-12.1</v>
      </c>
      <c r="K807" s="20">
        <f>VLOOKUP(A807,Metrik!$C$2:$Y$959,11,0)</f>
        <v>-4.2</v>
      </c>
      <c r="L807" s="20">
        <f>VLOOKUP(A807,Metrik!$C$2:$Y$959,12,0)</f>
        <v>1.9</v>
      </c>
      <c r="M807" s="20">
        <f>VLOOKUP(A807,Metrik!$C$2:$Y$959,19,0)</f>
        <v>-43.6</v>
      </c>
      <c r="N807" s="21"/>
      <c r="O807" s="21"/>
      <c r="P807" s="21"/>
      <c r="Q807" s="21"/>
      <c r="R807" s="21"/>
      <c r="S807" s="21"/>
      <c r="T807" s="21"/>
      <c r="U807" s="22">
        <f>IFERROR(__xludf.DUMMYFUNCTION("IFERROR(GOOGLEFINANCE(A807,""closeyest""),"""")"),13.01)</f>
        <v>13.01</v>
      </c>
      <c r="V807" s="23">
        <f>IFERROR(__xludf.DUMMYFUNCTION("IFERROR(GOOGLEFINANCE(A807,""changepct""),"""")"),1.38)</f>
        <v>1.38</v>
      </c>
      <c r="W807" s="22" t="str">
        <f>IFERROR(__xludf.DUMMYFUNCTION("IFERROR(GOOGLEFINANCE(A807,""priceopen""),"""")"),"")</f>
        <v/>
      </c>
      <c r="X807" s="22">
        <f>IFERROR(__xludf.DUMMYFUNCTION("IFERROR(GOOGLEFINANCE(A807,""high""),"""")"),13.19)</f>
        <v>13.19</v>
      </c>
      <c r="Y807" s="22">
        <f>IFERROR(__xludf.DUMMYFUNCTION("IFERROR(GOOGLEFINANCE(A807,""low""),"""")"),13.05)</f>
        <v>13.05</v>
      </c>
      <c r="Z807" s="22">
        <f>IFERROR(__xludf.DUMMYFUNCTION("IFERROR(GOOGLEFINANCE(A807,""volume""),"""")"),699471.0)</f>
        <v>699471</v>
      </c>
      <c r="AA807" s="24" t="str">
        <f>VLOOKUP(A807,Metrik!$C$2:$Y$959,5,0)</f>
        <v>Machinery</v>
      </c>
      <c r="AB807" s="24" t="str">
        <f>VLOOKUP(A807,Metrik!$C$2:$Y$959,3,0)</f>
        <v>Industrials</v>
      </c>
    </row>
    <row r="808">
      <c r="A808" s="14" t="s">
        <v>454</v>
      </c>
      <c r="B808" s="14" t="str">
        <f t="array" ref="B808">VLOOKUP(A808,{Metrik!$C$2:$C$998,Metrik!$B$2:$B$998},2,0)</f>
        <v>Saraswati Griya Lestari Tbk.</v>
      </c>
      <c r="C808" s="15">
        <f>IFERROR(__xludf.DUMMYFUNCTION("GOOGLEFINANCE(""IDX:""&amp;A808,""price"")"),50.0)</f>
        <v>50</v>
      </c>
      <c r="D808" s="16" t="str">
        <f>IFERROR(__xludf.DUMMYFUNCTION("IF(A808="""","""",
SPARKLINE(
INDEX(
GOOGLEFINANCE(""IDX:""&amp;A808,""close"",TODAY()-365,TODAY()),
,2
),
{""linewidth"",1}
))
"),"#N/A")</f>
        <v>#N/A</v>
      </c>
      <c r="E808" s="26"/>
      <c r="F808" s="26"/>
      <c r="G808" s="18">
        <f t="shared" si="6"/>
        <v>0</v>
      </c>
      <c r="H808" s="19">
        <f>VLOOKUP(A808,Metrik!$C$2:$Y$959,8,0)</f>
        <v>0</v>
      </c>
      <c r="I808" s="20">
        <f>VLOOKUP(A808,Metrik!$C$2:$Y$959,9,0)</f>
        <v>0.49</v>
      </c>
      <c r="J808" s="20">
        <f>VLOOKUP(A808,Metrik!$C$2:$Y$959,10,0)</f>
        <v>19.1</v>
      </c>
      <c r="K808" s="20">
        <f>VLOOKUP(A808,Metrik!$C$2:$Y$959,11,0)</f>
        <v>15.8</v>
      </c>
      <c r="L808" s="20">
        <f>VLOOKUP(A808,Metrik!$C$2:$Y$959,12,0)</f>
        <v>0.21</v>
      </c>
      <c r="M808" s="20">
        <f>VLOOKUP(A808,Metrik!$C$2:$Y$959,19,0)</f>
        <v>3300</v>
      </c>
      <c r="N808" s="21"/>
      <c r="O808" s="21"/>
      <c r="P808" s="21"/>
      <c r="Q808" s="21"/>
      <c r="R808" s="21"/>
      <c r="S808" s="21"/>
      <c r="T808" s="21"/>
      <c r="U808" s="22">
        <f>IFERROR(__xludf.DUMMYFUNCTION("IFERROR(GOOGLEFINANCE(A808,""closeyest""),"""")"),50.0)</f>
        <v>50</v>
      </c>
      <c r="V808" s="23">
        <f>IFERROR(__xludf.DUMMYFUNCTION("IFERROR(GOOGLEFINANCE(A808,""changepct""),"""")"),0.0)</f>
        <v>0</v>
      </c>
      <c r="W808" s="22" t="str">
        <f>IFERROR(__xludf.DUMMYFUNCTION("IFERROR(GOOGLEFINANCE(A808,""priceopen""),"""")"),"")</f>
        <v/>
      </c>
      <c r="X808" s="22" t="str">
        <f>IFERROR(__xludf.DUMMYFUNCTION("IFERROR(GOOGLEFINANCE(A808,""high""),"""")"),"")</f>
        <v/>
      </c>
      <c r="Y808" s="22" t="str">
        <f>IFERROR(__xludf.DUMMYFUNCTION("IFERROR(GOOGLEFINANCE(A808,""low""),"""")"),"")</f>
        <v/>
      </c>
      <c r="Z808" s="22">
        <f>IFERROR(__xludf.DUMMYFUNCTION("IFERROR(GOOGLEFINANCE(A808,""volume""),"""")"),0.0)</f>
        <v>0</v>
      </c>
      <c r="AA808" s="24" t="str">
        <f>VLOOKUP(A808,Metrik!$C$2:$Y$959,5,0)</f>
        <v>Tourism &amp; Recreation</v>
      </c>
      <c r="AB808" s="24" t="str">
        <f>VLOOKUP(A808,Metrik!$C$2:$Y$959,3,0)</f>
        <v>Consumer Cyclicals</v>
      </c>
    </row>
    <row r="809">
      <c r="A809" s="14" t="s">
        <v>455</v>
      </c>
      <c r="B809" s="14" t="str">
        <f t="array" ref="B809">VLOOKUP(A809,{Metrik!$C$2:$C$998,Metrik!$B$2:$B$998},2,0)</f>
        <v>Menteng Heritage Realty Tbk.</v>
      </c>
      <c r="C809" s="15">
        <f>IFERROR(__xludf.DUMMYFUNCTION("GOOGLEFINANCE(""IDX:""&amp;A809,""price"")"),47.0)</f>
        <v>47</v>
      </c>
      <c r="D809" s="16" t="str">
        <f>IFERROR(__xludf.DUMMYFUNCTION("IF(A809="""","""",
SPARKLINE(
INDEX(
GOOGLEFINANCE(""IDX:""&amp;A809,""close"",TODAY()-365,TODAY()),
,2
),
{""linewidth"",1}
))
"),"#N/A")</f>
        <v>#N/A</v>
      </c>
      <c r="E809" s="26"/>
      <c r="F809" s="26"/>
      <c r="G809" s="24">
        <f t="shared" si="6"/>
        <v>0</v>
      </c>
      <c r="H809" s="19">
        <f>VLOOKUP(A809,Metrik!$C$2:$Y$959,8,0)</f>
        <v>-51.9</v>
      </c>
      <c r="I809" s="20">
        <f>VLOOKUP(A809,Metrik!$C$2:$Y$959,9,0)</f>
        <v>0.53</v>
      </c>
      <c r="J809" s="20">
        <f>VLOOKUP(A809,Metrik!$C$2:$Y$959,10,0)</f>
        <v>-1</v>
      </c>
      <c r="K809" s="20">
        <f>VLOOKUP(A809,Metrik!$C$2:$Y$959,11,0)</f>
        <v>-0.64</v>
      </c>
      <c r="L809" s="20">
        <f>VLOOKUP(A809,Metrik!$C$2:$Y$959,12,0)</f>
        <v>0.6</v>
      </c>
      <c r="M809" s="20">
        <f>VLOOKUP(A809,Metrik!$C$2:$Y$959,19,0)</f>
        <v>-23.1</v>
      </c>
      <c r="N809" s="21"/>
      <c r="O809" s="21"/>
      <c r="P809" s="21"/>
      <c r="Q809" s="21"/>
      <c r="R809" s="21"/>
      <c r="S809" s="21"/>
      <c r="T809" s="21"/>
      <c r="U809" s="22">
        <f>IFERROR(__xludf.DUMMYFUNCTION("IFERROR(GOOGLEFINANCE(A809,""closeyest""),"""")"),47.0)</f>
        <v>47</v>
      </c>
      <c r="V809" s="23">
        <f>IFERROR(__xludf.DUMMYFUNCTION("IFERROR(GOOGLEFINANCE(A809,""changepct""),"""")"),0.0)</f>
        <v>0</v>
      </c>
      <c r="W809" s="22">
        <f>IFERROR(__xludf.DUMMYFUNCTION("IFERROR(GOOGLEFINANCE(A809,""priceopen""),"""")"),47.0)</f>
        <v>47</v>
      </c>
      <c r="X809" s="22">
        <f>IFERROR(__xludf.DUMMYFUNCTION("IFERROR(GOOGLEFINANCE(A809,""high""),"""")"),47.0)</f>
        <v>47</v>
      </c>
      <c r="Y809" s="22">
        <f>IFERROR(__xludf.DUMMYFUNCTION("IFERROR(GOOGLEFINANCE(A809,""low""),"""")"),47.0)</f>
        <v>47</v>
      </c>
      <c r="Z809" s="22">
        <f>IFERROR(__xludf.DUMMYFUNCTION("IFERROR(GOOGLEFINANCE(A809,""volume""),"""")"),588800.0)</f>
        <v>588800</v>
      </c>
      <c r="AA809" s="24" t="str">
        <f>VLOOKUP(A809,Metrik!$C$2:$Y$959,5,0)</f>
        <v>Tourism &amp; Recreation</v>
      </c>
      <c r="AB809" s="24" t="str">
        <f>VLOOKUP(A809,Metrik!$C$2:$Y$959,3,0)</f>
        <v>Consumer Cyclicals</v>
      </c>
    </row>
    <row r="810">
      <c r="A810" s="17" t="s">
        <v>456</v>
      </c>
      <c r="B810" s="14" t="str">
        <f t="array" ref="B810">VLOOKUP(A810,{Metrik!$C$2:$C$998,Metrik!$B$2:$B$998},2,0)</f>
        <v>Hartadinata Abadi Tbk.</v>
      </c>
      <c r="C810" s="15">
        <f>IFERROR(__xludf.DUMMYFUNCTION("GOOGLEFINANCE(""IDX:""&amp;A810,""price"")"),1950.0)</f>
        <v>1950</v>
      </c>
      <c r="D810" s="16" t="str">
        <f>IFERROR(__xludf.DUMMYFUNCTION("IF(A810="""","""",
SPARKLINE(
INDEX(
GOOGLEFINANCE(""IDX:""&amp;A810,""close"",TODAY()-365,TODAY()),
,2
),
{""linewidth"",1}
))
"),"#N/A")</f>
        <v>#N/A</v>
      </c>
      <c r="E810" s="14" t="s">
        <v>31</v>
      </c>
      <c r="F810" s="17" t="s">
        <v>29</v>
      </c>
      <c r="G810" s="24">
        <f t="shared" si="6"/>
        <v>8</v>
      </c>
      <c r="H810" s="19">
        <f>VLOOKUP(A810,Metrik!$C$2:$Y$959,8,0)</f>
        <v>9.1</v>
      </c>
      <c r="I810" s="20">
        <f>VLOOKUP(A810,Metrik!$C$2:$Y$959,9,0)</f>
        <v>3.1</v>
      </c>
      <c r="J810" s="20">
        <f>VLOOKUP(A810,Metrik!$C$2:$Y$959,10,0)</f>
        <v>34.5</v>
      </c>
      <c r="K810" s="20">
        <f>VLOOKUP(A810,Metrik!$C$2:$Y$959,11,0)</f>
        <v>9.2</v>
      </c>
      <c r="L810" s="20">
        <f>VLOOKUP(A810,Metrik!$C$2:$Y$959,12,0)</f>
        <v>2.8</v>
      </c>
      <c r="M810" s="20">
        <f>VLOOKUP(A810,Metrik!$C$2:$Y$959,19,0)</f>
        <v>6.3</v>
      </c>
      <c r="N810" s="21"/>
      <c r="O810" s="21"/>
      <c r="P810" s="21"/>
      <c r="Q810" s="21"/>
      <c r="R810" s="21"/>
      <c r="S810" s="21"/>
      <c r="T810" s="21"/>
      <c r="U810" s="22">
        <f>IFERROR(__xludf.DUMMYFUNCTION("IFERROR(GOOGLEFINANCE(A810,""closeyest""),"""")"),1750.0)</f>
        <v>1750</v>
      </c>
      <c r="V810" s="23">
        <f>IFERROR(__xludf.DUMMYFUNCTION("IFERROR(GOOGLEFINANCE(A810,""changepct""),"""")"),11.43)</f>
        <v>11.43</v>
      </c>
      <c r="W810" s="22">
        <f>IFERROR(__xludf.DUMMYFUNCTION("IFERROR(GOOGLEFINANCE(A810,""priceopen""),"""")"),1885.0)</f>
        <v>1885</v>
      </c>
      <c r="X810" s="22">
        <f>IFERROR(__xludf.DUMMYFUNCTION("IFERROR(GOOGLEFINANCE(A810,""high""),"""")"),1960.0)</f>
        <v>1960</v>
      </c>
      <c r="Y810" s="22" t="str">
        <f>IFERROR(__xludf.DUMMYFUNCTION("IFERROR(GOOGLEFINANCE(A810,""low""),"""")"),"")</f>
        <v/>
      </c>
      <c r="Z810" s="22">
        <f>IFERROR(__xludf.DUMMYFUNCTION("IFERROR(GOOGLEFINANCE(A810,""volume""),"""")"),2.69819E7)</f>
        <v>26981900</v>
      </c>
      <c r="AA810" s="24" t="str">
        <f>VLOOKUP(A810,Metrik!$C$2:$Y$959,5,0)</f>
        <v>Apparel &amp; Luxury Goods</v>
      </c>
      <c r="AB810" s="24" t="str">
        <f>VLOOKUP(A810,Metrik!$C$2:$Y$959,3,0)</f>
        <v>Consumer Cyclicals</v>
      </c>
    </row>
    <row r="811">
      <c r="A811" s="14" t="s">
        <v>456</v>
      </c>
      <c r="B811" s="14" t="str">
        <f t="array" ref="B811">VLOOKUP(A811,{Metrik!$C$2:$C$998,Metrik!$B$2:$B$998},2,0)</f>
        <v>Hartadinata Abadi Tbk.</v>
      </c>
      <c r="C811" s="15">
        <f>IFERROR(__xludf.DUMMYFUNCTION("GOOGLEFINANCE(""IDX:""&amp;A811,""price"")"),1950.0)</f>
        <v>1950</v>
      </c>
      <c r="D811" s="16" t="str">
        <f>IFERROR(__xludf.DUMMYFUNCTION("IF(A811="""","""",
SPARKLINE(
INDEX(
GOOGLEFINANCE(""IDX:""&amp;A811,""close"",TODAY()-365,TODAY()),
,2
),
{""linewidth"",1}
))
"),"#N/A")</f>
        <v>#N/A</v>
      </c>
      <c r="E811" s="14" t="s">
        <v>54</v>
      </c>
      <c r="F811" s="14" t="s">
        <v>34</v>
      </c>
      <c r="G811" s="24">
        <f t="shared" si="6"/>
        <v>8</v>
      </c>
      <c r="H811" s="19">
        <f>VLOOKUP(A811,Metrik!$C$2:$Y$959,8,0)</f>
        <v>9.1</v>
      </c>
      <c r="I811" s="20">
        <f>VLOOKUP(A811,Metrik!$C$2:$Y$959,9,0)</f>
        <v>3.1</v>
      </c>
      <c r="J811" s="20">
        <f>VLOOKUP(A811,Metrik!$C$2:$Y$959,10,0)</f>
        <v>34.5</v>
      </c>
      <c r="K811" s="20">
        <f>VLOOKUP(A811,Metrik!$C$2:$Y$959,11,0)</f>
        <v>9.2</v>
      </c>
      <c r="L811" s="20">
        <f>VLOOKUP(A811,Metrik!$C$2:$Y$959,12,0)</f>
        <v>2.8</v>
      </c>
      <c r="M811" s="20">
        <f>VLOOKUP(A811,Metrik!$C$2:$Y$959,19,0)</f>
        <v>6.3</v>
      </c>
      <c r="N811" s="21"/>
      <c r="O811" s="21"/>
      <c r="P811" s="21"/>
      <c r="Q811" s="21"/>
      <c r="R811" s="21"/>
      <c r="S811" s="21"/>
      <c r="T811" s="21"/>
      <c r="U811" s="22">
        <f>IFERROR(__xludf.DUMMYFUNCTION("IFERROR(GOOGLEFINANCE(A811,""closeyest""),"""")"),1750.0)</f>
        <v>1750</v>
      </c>
      <c r="V811" s="23">
        <f>IFERROR(__xludf.DUMMYFUNCTION("IFERROR(GOOGLEFINANCE(A811,""changepct""),"""")"),11.43)</f>
        <v>11.43</v>
      </c>
      <c r="W811" s="22">
        <f>IFERROR(__xludf.DUMMYFUNCTION("IFERROR(GOOGLEFINANCE(A811,""priceopen""),"""")"),1885.0)</f>
        <v>1885</v>
      </c>
      <c r="X811" s="22">
        <f>IFERROR(__xludf.DUMMYFUNCTION("IFERROR(GOOGLEFINANCE(A811,""high""),"""")"),1960.0)</f>
        <v>1960</v>
      </c>
      <c r="Y811" s="22" t="str">
        <f>IFERROR(__xludf.DUMMYFUNCTION("IFERROR(GOOGLEFINANCE(A811,""low""),"""")"),"")</f>
        <v/>
      </c>
      <c r="Z811" s="22">
        <f>IFERROR(__xludf.DUMMYFUNCTION("IFERROR(GOOGLEFINANCE(A811,""volume""),"""")"),2.69819E7)</f>
        <v>26981900</v>
      </c>
      <c r="AA811" s="24" t="str">
        <f>VLOOKUP(A811,Metrik!$C$2:$Y$959,5,0)</f>
        <v>Apparel &amp; Luxury Goods</v>
      </c>
      <c r="AB811" s="24" t="str">
        <f>VLOOKUP(A811,Metrik!$C$2:$Y$959,3,0)</f>
        <v>Consumer Cyclicals</v>
      </c>
    </row>
    <row r="812">
      <c r="A812" s="14" t="s">
        <v>456</v>
      </c>
      <c r="B812" s="14" t="str">
        <f t="array" ref="B812">VLOOKUP(A812,{Metrik!$C$2:$C$998,Metrik!$B$2:$B$998},2,0)</f>
        <v>Hartadinata Abadi Tbk.</v>
      </c>
      <c r="C812" s="15">
        <f>IFERROR(__xludf.DUMMYFUNCTION("GOOGLEFINANCE(""IDX:""&amp;A812,""price"")"),1950.0)</f>
        <v>1950</v>
      </c>
      <c r="D812" s="16" t="str">
        <f>IFERROR(__xludf.DUMMYFUNCTION("IF(A812="""","""",
SPARKLINE(
INDEX(
GOOGLEFINANCE(""IDX:""&amp;A812,""close"",TODAY()-365,TODAY()),
,2
),
{""linewidth"",1}
))
"),"#N/A")</f>
        <v>#N/A</v>
      </c>
      <c r="E812" s="14" t="s">
        <v>68</v>
      </c>
      <c r="F812" s="14" t="s">
        <v>34</v>
      </c>
      <c r="G812" s="24">
        <f t="shared" si="6"/>
        <v>8</v>
      </c>
      <c r="H812" s="19">
        <f>VLOOKUP(A812,Metrik!$C$2:$Y$959,8,0)</f>
        <v>9.1</v>
      </c>
      <c r="I812" s="20">
        <f>VLOOKUP(A812,Metrik!$C$2:$Y$959,9,0)</f>
        <v>3.1</v>
      </c>
      <c r="J812" s="20">
        <f>VLOOKUP(A812,Metrik!$C$2:$Y$959,10,0)</f>
        <v>34.5</v>
      </c>
      <c r="K812" s="20">
        <f>VLOOKUP(A812,Metrik!$C$2:$Y$959,11,0)</f>
        <v>9.2</v>
      </c>
      <c r="L812" s="20">
        <f>VLOOKUP(A812,Metrik!$C$2:$Y$959,12,0)</f>
        <v>2.8</v>
      </c>
      <c r="M812" s="20">
        <f>VLOOKUP(A812,Metrik!$C$2:$Y$959,19,0)</f>
        <v>6.3</v>
      </c>
      <c r="N812" s="21"/>
      <c r="O812" s="21"/>
      <c r="P812" s="21"/>
      <c r="Q812" s="21"/>
      <c r="R812" s="21"/>
      <c r="S812" s="21"/>
      <c r="T812" s="21"/>
      <c r="U812" s="22">
        <f>IFERROR(__xludf.DUMMYFUNCTION("IFERROR(GOOGLEFINANCE(A812,""closeyest""),"""")"),1750.0)</f>
        <v>1750</v>
      </c>
      <c r="V812" s="23">
        <f>IFERROR(__xludf.DUMMYFUNCTION("IFERROR(GOOGLEFINANCE(A812,""changepct""),"""")"),11.43)</f>
        <v>11.43</v>
      </c>
      <c r="W812" s="22">
        <f>IFERROR(__xludf.DUMMYFUNCTION("IFERROR(GOOGLEFINANCE(A812,""priceopen""),"""")"),1885.0)</f>
        <v>1885</v>
      </c>
      <c r="X812" s="22">
        <f>IFERROR(__xludf.DUMMYFUNCTION("IFERROR(GOOGLEFINANCE(A812,""high""),"""")"),1960.0)</f>
        <v>1960</v>
      </c>
      <c r="Y812" s="22" t="str">
        <f>IFERROR(__xludf.DUMMYFUNCTION("IFERROR(GOOGLEFINANCE(A812,""low""),"""")"),"")</f>
        <v/>
      </c>
      <c r="Z812" s="22">
        <f>IFERROR(__xludf.DUMMYFUNCTION("IFERROR(GOOGLEFINANCE(A812,""volume""),"""")"),2.69819E7)</f>
        <v>26981900</v>
      </c>
      <c r="AA812" s="24" t="str">
        <f>VLOOKUP(A812,Metrik!$C$2:$Y$959,5,0)</f>
        <v>Apparel &amp; Luxury Goods</v>
      </c>
      <c r="AB812" s="24" t="str">
        <f>VLOOKUP(A812,Metrik!$C$2:$Y$959,3,0)</f>
        <v>Consumer Cyclicals</v>
      </c>
    </row>
    <row r="813">
      <c r="A813" s="14" t="s">
        <v>456</v>
      </c>
      <c r="B813" s="14" t="str">
        <f t="array" ref="B813">VLOOKUP(A813,{Metrik!$C$2:$C$998,Metrik!$B$2:$B$998},2,0)</f>
        <v>Hartadinata Abadi Tbk.</v>
      </c>
      <c r="C813" s="15">
        <f>IFERROR(__xludf.DUMMYFUNCTION("GOOGLEFINANCE(""IDX:""&amp;A813,""price"")"),1950.0)</f>
        <v>1950</v>
      </c>
      <c r="D813" s="16" t="str">
        <f>IFERROR(__xludf.DUMMYFUNCTION("IF(A813="""","""",
SPARKLINE(
INDEX(
GOOGLEFINANCE(""IDX:""&amp;A813,""close"",TODAY()-365,TODAY()),
,2
),
{""linewidth"",1}
))
"),"#N/A")</f>
        <v>#N/A</v>
      </c>
      <c r="E813" s="14" t="s">
        <v>28</v>
      </c>
      <c r="F813" s="17" t="s">
        <v>29</v>
      </c>
      <c r="G813" s="24">
        <f t="shared" si="6"/>
        <v>8</v>
      </c>
      <c r="H813" s="19">
        <f>VLOOKUP(A813,Metrik!$C$2:$Y$959,8,0)</f>
        <v>9.1</v>
      </c>
      <c r="I813" s="20">
        <f>VLOOKUP(A813,Metrik!$C$2:$Y$959,9,0)</f>
        <v>3.1</v>
      </c>
      <c r="J813" s="20">
        <f>VLOOKUP(A813,Metrik!$C$2:$Y$959,10,0)</f>
        <v>34.5</v>
      </c>
      <c r="K813" s="20">
        <f>VLOOKUP(A813,Metrik!$C$2:$Y$959,11,0)</f>
        <v>9.2</v>
      </c>
      <c r="L813" s="20">
        <f>VLOOKUP(A813,Metrik!$C$2:$Y$959,12,0)</f>
        <v>2.8</v>
      </c>
      <c r="M813" s="20">
        <f>VLOOKUP(A813,Metrik!$C$2:$Y$959,19,0)</f>
        <v>6.3</v>
      </c>
      <c r="N813" s="21"/>
      <c r="O813" s="21"/>
      <c r="P813" s="21"/>
      <c r="Q813" s="21"/>
      <c r="R813" s="21"/>
      <c r="S813" s="21"/>
      <c r="T813" s="21"/>
      <c r="U813" s="22">
        <f>IFERROR(__xludf.DUMMYFUNCTION("IFERROR(GOOGLEFINANCE(A813,""closeyest""),"""")"),1750.0)</f>
        <v>1750</v>
      </c>
      <c r="V813" s="23">
        <f>IFERROR(__xludf.DUMMYFUNCTION("IFERROR(GOOGLEFINANCE(A813,""changepct""),"""")"),11.43)</f>
        <v>11.43</v>
      </c>
      <c r="W813" s="22">
        <f>IFERROR(__xludf.DUMMYFUNCTION("IFERROR(GOOGLEFINANCE(A813,""priceopen""),"""")"),1885.0)</f>
        <v>1885</v>
      </c>
      <c r="X813" s="22">
        <f>IFERROR(__xludf.DUMMYFUNCTION("IFERROR(GOOGLEFINANCE(A813,""high""),"""")"),1960.0)</f>
        <v>1960</v>
      </c>
      <c r="Y813" s="22" t="str">
        <f>IFERROR(__xludf.DUMMYFUNCTION("IFERROR(GOOGLEFINANCE(A813,""low""),"""")"),"")</f>
        <v/>
      </c>
      <c r="Z813" s="22">
        <f>IFERROR(__xludf.DUMMYFUNCTION("IFERROR(GOOGLEFINANCE(A813,""volume""),"""")"),2.69819E7)</f>
        <v>26981900</v>
      </c>
      <c r="AA813" s="24" t="str">
        <f>VLOOKUP(A813,Metrik!$C$2:$Y$959,5,0)</f>
        <v>Apparel &amp; Luxury Goods</v>
      </c>
      <c r="AB813" s="24" t="str">
        <f>VLOOKUP(A813,Metrik!$C$2:$Y$959,3,0)</f>
        <v>Consumer Cyclicals</v>
      </c>
    </row>
    <row r="814">
      <c r="A814" s="14" t="s">
        <v>456</v>
      </c>
      <c r="B814" s="14" t="str">
        <f t="array" ref="B814">VLOOKUP(A814,{Metrik!$C$2:$C$998,Metrik!$B$2:$B$998},2,0)</f>
        <v>Hartadinata Abadi Tbk.</v>
      </c>
      <c r="C814" s="15">
        <f>IFERROR(__xludf.DUMMYFUNCTION("GOOGLEFINANCE(""IDX:""&amp;A814,""price"")"),1950.0)</f>
        <v>1950</v>
      </c>
      <c r="D814" s="16" t="str">
        <f>IFERROR(__xludf.DUMMYFUNCTION("IF(A814="""","""",
SPARKLINE(
INDEX(
GOOGLEFINANCE(""IDX:""&amp;A814,""close"",TODAY()-365,TODAY()),
,2
),
{""linewidth"",1}
))
"),"#N/A")</f>
        <v>#N/A</v>
      </c>
      <c r="E814" s="14" t="s">
        <v>32</v>
      </c>
      <c r="F814" s="14" t="s">
        <v>29</v>
      </c>
      <c r="G814" s="24">
        <f t="shared" si="6"/>
        <v>8</v>
      </c>
      <c r="H814" s="19">
        <f>VLOOKUP(A814,Metrik!$C$2:$Y$959,8,0)</f>
        <v>9.1</v>
      </c>
      <c r="I814" s="20">
        <f>VLOOKUP(A814,Metrik!$C$2:$Y$959,9,0)</f>
        <v>3.1</v>
      </c>
      <c r="J814" s="20">
        <f>VLOOKUP(A814,Metrik!$C$2:$Y$959,10,0)</f>
        <v>34.5</v>
      </c>
      <c r="K814" s="20">
        <f>VLOOKUP(A814,Metrik!$C$2:$Y$959,11,0)</f>
        <v>9.2</v>
      </c>
      <c r="L814" s="20">
        <f>VLOOKUP(A814,Metrik!$C$2:$Y$959,12,0)</f>
        <v>2.8</v>
      </c>
      <c r="M814" s="20">
        <f>VLOOKUP(A814,Metrik!$C$2:$Y$959,19,0)</f>
        <v>6.3</v>
      </c>
      <c r="N814" s="21"/>
      <c r="O814" s="21"/>
      <c r="P814" s="21"/>
      <c r="Q814" s="21"/>
      <c r="R814" s="21"/>
      <c r="S814" s="21"/>
      <c r="T814" s="21"/>
      <c r="U814" s="22">
        <f>IFERROR(__xludf.DUMMYFUNCTION("IFERROR(GOOGLEFINANCE(A814,""closeyest""),"""")"),1750.0)</f>
        <v>1750</v>
      </c>
      <c r="V814" s="23">
        <f>IFERROR(__xludf.DUMMYFUNCTION("IFERROR(GOOGLEFINANCE(A814,""changepct""),"""")"),11.43)</f>
        <v>11.43</v>
      </c>
      <c r="W814" s="22">
        <f>IFERROR(__xludf.DUMMYFUNCTION("IFERROR(GOOGLEFINANCE(A814,""priceopen""),"""")"),1885.0)</f>
        <v>1885</v>
      </c>
      <c r="X814" s="22">
        <f>IFERROR(__xludf.DUMMYFUNCTION("IFERROR(GOOGLEFINANCE(A814,""high""),"""")"),1960.0)</f>
        <v>1960</v>
      </c>
      <c r="Y814" s="22" t="str">
        <f>IFERROR(__xludf.DUMMYFUNCTION("IFERROR(GOOGLEFINANCE(A814,""low""),"""")"),"")</f>
        <v/>
      </c>
      <c r="Z814" s="22">
        <f>IFERROR(__xludf.DUMMYFUNCTION("IFERROR(GOOGLEFINANCE(A814,""volume""),"""")"),2.69819E7)</f>
        <v>26981900</v>
      </c>
      <c r="AA814" s="24" t="str">
        <f>VLOOKUP(A814,Metrik!$C$2:$Y$959,5,0)</f>
        <v>Apparel &amp; Luxury Goods</v>
      </c>
      <c r="AB814" s="24" t="str">
        <f>VLOOKUP(A814,Metrik!$C$2:$Y$959,3,0)</f>
        <v>Consumer Cyclicals</v>
      </c>
    </row>
    <row r="815">
      <c r="A815" s="14" t="s">
        <v>456</v>
      </c>
      <c r="B815" s="14" t="str">
        <f t="array" ref="B815">VLOOKUP(A815,{Metrik!$C$2:$C$998,Metrik!$B$2:$B$998},2,0)</f>
        <v>Hartadinata Abadi Tbk.</v>
      </c>
      <c r="C815" s="15">
        <f>IFERROR(__xludf.DUMMYFUNCTION("GOOGLEFINANCE(""IDX:""&amp;A815,""price"")"),1950.0)</f>
        <v>1950</v>
      </c>
      <c r="D815" s="16" t="str">
        <f>IFERROR(__xludf.DUMMYFUNCTION("IF(A815="""","""",
SPARKLINE(
INDEX(
GOOGLEFINANCE(""IDX:""&amp;A815,""close"",TODAY()-365,TODAY()),
,2
),
{""linewidth"",1}
))
"),"#N/A")</f>
        <v>#N/A</v>
      </c>
      <c r="E815" s="14" t="s">
        <v>161</v>
      </c>
      <c r="F815" s="14" t="s">
        <v>76</v>
      </c>
      <c r="G815" s="24">
        <f t="shared" si="6"/>
        <v>8</v>
      </c>
      <c r="H815" s="19">
        <f>VLOOKUP(A815,Metrik!$C$2:$Y$959,8,0)</f>
        <v>9.1</v>
      </c>
      <c r="I815" s="20">
        <f>VLOOKUP(A815,Metrik!$C$2:$Y$959,9,0)</f>
        <v>3.1</v>
      </c>
      <c r="J815" s="20">
        <f>VLOOKUP(A815,Metrik!$C$2:$Y$959,10,0)</f>
        <v>34.5</v>
      </c>
      <c r="K815" s="20">
        <f>VLOOKUP(A815,Metrik!$C$2:$Y$959,11,0)</f>
        <v>9.2</v>
      </c>
      <c r="L815" s="20">
        <f>VLOOKUP(A815,Metrik!$C$2:$Y$959,12,0)</f>
        <v>2.8</v>
      </c>
      <c r="M815" s="20">
        <f>VLOOKUP(A815,Metrik!$C$2:$Y$959,19,0)</f>
        <v>6.3</v>
      </c>
      <c r="N815" s="21"/>
      <c r="O815" s="21"/>
      <c r="P815" s="21"/>
      <c r="Q815" s="21"/>
      <c r="R815" s="21"/>
      <c r="S815" s="21"/>
      <c r="T815" s="21"/>
      <c r="U815" s="22">
        <f>IFERROR(__xludf.DUMMYFUNCTION("IFERROR(GOOGLEFINANCE(A815,""closeyest""),"""")"),1750.0)</f>
        <v>1750</v>
      </c>
      <c r="V815" s="23">
        <f>IFERROR(__xludf.DUMMYFUNCTION("IFERROR(GOOGLEFINANCE(A815,""changepct""),"""")"),11.43)</f>
        <v>11.43</v>
      </c>
      <c r="W815" s="22">
        <f>IFERROR(__xludf.DUMMYFUNCTION("IFERROR(GOOGLEFINANCE(A815,""priceopen""),"""")"),1885.0)</f>
        <v>1885</v>
      </c>
      <c r="X815" s="22">
        <f>IFERROR(__xludf.DUMMYFUNCTION("IFERROR(GOOGLEFINANCE(A815,""high""),"""")"),1960.0)</f>
        <v>1960</v>
      </c>
      <c r="Y815" s="22" t="str">
        <f>IFERROR(__xludf.DUMMYFUNCTION("IFERROR(GOOGLEFINANCE(A815,""low""),"""")"),"")</f>
        <v/>
      </c>
      <c r="Z815" s="22">
        <f>IFERROR(__xludf.DUMMYFUNCTION("IFERROR(GOOGLEFINANCE(A815,""volume""),"""")"),2.69819E7)</f>
        <v>26981900</v>
      </c>
      <c r="AA815" s="24" t="str">
        <f>VLOOKUP(A815,Metrik!$C$2:$Y$959,5,0)</f>
        <v>Apparel &amp; Luxury Goods</v>
      </c>
      <c r="AB815" s="24" t="str">
        <f>VLOOKUP(A815,Metrik!$C$2:$Y$959,3,0)</f>
        <v>Consumer Cyclicals</v>
      </c>
    </row>
    <row r="816">
      <c r="A816" s="14" t="s">
        <v>456</v>
      </c>
      <c r="B816" s="14" t="str">
        <f t="array" ref="B816">VLOOKUP(A816,{Metrik!$C$2:$C$998,Metrik!$B$2:$B$998},2,0)</f>
        <v>Hartadinata Abadi Tbk.</v>
      </c>
      <c r="C816" s="15">
        <f>IFERROR(__xludf.DUMMYFUNCTION("GOOGLEFINANCE(""IDX:""&amp;A816,""price"")"),1950.0)</f>
        <v>1950</v>
      </c>
      <c r="D816" s="16" t="str">
        <f>IFERROR(__xludf.DUMMYFUNCTION("IF(A816="""","""",
SPARKLINE(
INDEX(
GOOGLEFINANCE(""IDX:""&amp;A816,""close"",TODAY()-365,TODAY()),
,2
),
{""linewidth"",1}
))
"),"#N/A")</f>
        <v>#N/A</v>
      </c>
      <c r="E816" s="14" t="s">
        <v>41</v>
      </c>
      <c r="F816" s="14" t="s">
        <v>34</v>
      </c>
      <c r="G816" s="24">
        <f t="shared" si="6"/>
        <v>8</v>
      </c>
      <c r="H816" s="19">
        <f>VLOOKUP(A816,Metrik!$C$2:$Y$959,8,0)</f>
        <v>9.1</v>
      </c>
      <c r="I816" s="20">
        <f>VLOOKUP(A816,Metrik!$C$2:$Y$959,9,0)</f>
        <v>3.1</v>
      </c>
      <c r="J816" s="20">
        <f>VLOOKUP(A816,Metrik!$C$2:$Y$959,10,0)</f>
        <v>34.5</v>
      </c>
      <c r="K816" s="20">
        <f>VLOOKUP(A816,Metrik!$C$2:$Y$959,11,0)</f>
        <v>9.2</v>
      </c>
      <c r="L816" s="20">
        <f>VLOOKUP(A816,Metrik!$C$2:$Y$959,12,0)</f>
        <v>2.8</v>
      </c>
      <c r="M816" s="20">
        <f>VLOOKUP(A816,Metrik!$C$2:$Y$959,19,0)</f>
        <v>6.3</v>
      </c>
      <c r="N816" s="21"/>
      <c r="O816" s="21"/>
      <c r="P816" s="21"/>
      <c r="Q816" s="21"/>
      <c r="R816" s="21"/>
      <c r="S816" s="21"/>
      <c r="T816" s="21"/>
      <c r="U816" s="22">
        <f>IFERROR(__xludf.DUMMYFUNCTION("IFERROR(GOOGLEFINANCE(A816,""closeyest""),"""")"),1750.0)</f>
        <v>1750</v>
      </c>
      <c r="V816" s="23">
        <f>IFERROR(__xludf.DUMMYFUNCTION("IFERROR(GOOGLEFINANCE(A816,""changepct""),"""")"),11.43)</f>
        <v>11.43</v>
      </c>
      <c r="W816" s="22">
        <f>IFERROR(__xludf.DUMMYFUNCTION("IFERROR(GOOGLEFINANCE(A816,""priceopen""),"""")"),1885.0)</f>
        <v>1885</v>
      </c>
      <c r="X816" s="22">
        <f>IFERROR(__xludf.DUMMYFUNCTION("IFERROR(GOOGLEFINANCE(A816,""high""),"""")"),1960.0)</f>
        <v>1960</v>
      </c>
      <c r="Y816" s="22" t="str">
        <f>IFERROR(__xludf.DUMMYFUNCTION("IFERROR(GOOGLEFINANCE(A816,""low""),"""")"),"")</f>
        <v/>
      </c>
      <c r="Z816" s="22">
        <f>IFERROR(__xludf.DUMMYFUNCTION("IFERROR(GOOGLEFINANCE(A816,""volume""),"""")"),2.69819E7)</f>
        <v>26981900</v>
      </c>
      <c r="AA816" s="24" t="str">
        <f>VLOOKUP(A816,Metrik!$C$2:$Y$959,5,0)</f>
        <v>Apparel &amp; Luxury Goods</v>
      </c>
      <c r="AB816" s="24" t="str">
        <f>VLOOKUP(A816,Metrik!$C$2:$Y$959,3,0)</f>
        <v>Consumer Cyclicals</v>
      </c>
    </row>
    <row r="817">
      <c r="A817" s="17" t="s">
        <v>456</v>
      </c>
      <c r="B817" s="14" t="str">
        <f t="array" ref="B817">VLOOKUP(A817,{Metrik!$C$2:$C$998,Metrik!$B$2:$B$998},2,0)</f>
        <v>Hartadinata Abadi Tbk.</v>
      </c>
      <c r="C817" s="15">
        <f>IFERROR(__xludf.DUMMYFUNCTION("GOOGLEFINANCE(""IDX:""&amp;A817,""price"")"),1950.0)</f>
        <v>1950</v>
      </c>
      <c r="D817" s="16" t="str">
        <f>IFERROR(__xludf.DUMMYFUNCTION("IF(A817="""","""",
SPARKLINE(
INDEX(
GOOGLEFINANCE(""IDX:""&amp;A817,""close"",TODAY()-365,TODAY()),
,2
),
{""linewidth"",1}
))
"),"#N/A")</f>
        <v>#N/A</v>
      </c>
      <c r="E817" s="14" t="s">
        <v>39</v>
      </c>
      <c r="F817" s="25">
        <v>46356.0</v>
      </c>
      <c r="G817" s="18">
        <f t="shared" si="6"/>
        <v>8</v>
      </c>
      <c r="H817" s="19">
        <f>VLOOKUP(A817,Metrik!$C$2:$Y$959,8,0)</f>
        <v>9.1</v>
      </c>
      <c r="I817" s="20">
        <f>VLOOKUP(A817,Metrik!$C$2:$Y$959,9,0)</f>
        <v>3.1</v>
      </c>
      <c r="J817" s="20">
        <f>VLOOKUP(A817,Metrik!$C$2:$Y$959,10,0)</f>
        <v>34.5</v>
      </c>
      <c r="K817" s="20">
        <f>VLOOKUP(A817,Metrik!$C$2:$Y$959,11,0)</f>
        <v>9.2</v>
      </c>
      <c r="L817" s="20">
        <f>VLOOKUP(A817,Metrik!$C$2:$Y$959,12,0)</f>
        <v>2.8</v>
      </c>
      <c r="M817" s="20">
        <f>VLOOKUP(A817,Metrik!$C$2:$Y$959,19,0)</f>
        <v>6.3</v>
      </c>
      <c r="N817" s="21"/>
      <c r="O817" s="21"/>
      <c r="P817" s="21"/>
      <c r="Q817" s="21"/>
      <c r="R817" s="21"/>
      <c r="S817" s="21"/>
      <c r="T817" s="21"/>
      <c r="U817" s="22">
        <f>IFERROR(__xludf.DUMMYFUNCTION("IFERROR(GOOGLEFINANCE(A817,""closeyest""),"""")"),1750.0)</f>
        <v>1750</v>
      </c>
      <c r="V817" s="23">
        <f>IFERROR(__xludf.DUMMYFUNCTION("IFERROR(GOOGLEFINANCE(A817,""changepct""),"""")"),11.43)</f>
        <v>11.43</v>
      </c>
      <c r="W817" s="22">
        <f>IFERROR(__xludf.DUMMYFUNCTION("IFERROR(GOOGLEFINANCE(A817,""priceopen""),"""")"),1885.0)</f>
        <v>1885</v>
      </c>
      <c r="X817" s="22">
        <f>IFERROR(__xludf.DUMMYFUNCTION("IFERROR(GOOGLEFINANCE(A817,""high""),"""")"),1960.0)</f>
        <v>1960</v>
      </c>
      <c r="Y817" s="22" t="str">
        <f>IFERROR(__xludf.DUMMYFUNCTION("IFERROR(GOOGLEFINANCE(A817,""low""),"""")"),"")</f>
        <v/>
      </c>
      <c r="Z817" s="22">
        <f>IFERROR(__xludf.DUMMYFUNCTION("IFERROR(GOOGLEFINANCE(A817,""volume""),"""")"),2.69819E7)</f>
        <v>26981900</v>
      </c>
      <c r="AA817" s="24" t="str">
        <f>VLOOKUP(A817,Metrik!$C$2:$Y$959,5,0)</f>
        <v>Apparel &amp; Luxury Goods</v>
      </c>
      <c r="AB817" s="24" t="str">
        <f>VLOOKUP(A817,Metrik!$C$2:$Y$959,3,0)</f>
        <v>Consumer Cyclicals</v>
      </c>
    </row>
    <row r="818">
      <c r="A818" s="14" t="s">
        <v>457</v>
      </c>
      <c r="B818" s="14" t="str">
        <f t="array" ref="B818">VLOOKUP(A818,{Metrik!$C$2:$C$998,Metrik!$B$2:$B$998},2,0)</f>
        <v>Harum Energy Tbk.</v>
      </c>
      <c r="C818" s="15">
        <f>IFERROR(__xludf.DUMMYFUNCTION("GOOGLEFINANCE(""IDX:""&amp;A818,""price"")"),785.0)</f>
        <v>785</v>
      </c>
      <c r="D818" s="16" t="str">
        <f>IFERROR(__xludf.DUMMYFUNCTION("IF(A818="""","""",
SPARKLINE(
INDEX(
GOOGLEFINANCE(""IDX:""&amp;A818,""close"",TODAY()-365,TODAY()),
,2
),
{""linewidth"",1}
))
"),"#N/A")</f>
        <v>#N/A</v>
      </c>
      <c r="E818" s="14" t="s">
        <v>65</v>
      </c>
      <c r="F818" s="25">
        <v>46356.0</v>
      </c>
      <c r="G818" s="24">
        <f t="shared" si="6"/>
        <v>5</v>
      </c>
      <c r="H818" s="19">
        <f>VLOOKUP(A818,Metrik!$C$2:$Y$959,8,0)</f>
        <v>15.5</v>
      </c>
      <c r="I818" s="20">
        <f>VLOOKUP(A818,Metrik!$C$2:$Y$959,9,0)</f>
        <v>0.34</v>
      </c>
      <c r="J818" s="20">
        <f>VLOOKUP(A818,Metrik!$C$2:$Y$959,10,0)</f>
        <v>2.2</v>
      </c>
      <c r="K818" s="20">
        <f>VLOOKUP(A818,Metrik!$C$2:$Y$959,11,0)</f>
        <v>1.1</v>
      </c>
      <c r="L818" s="20">
        <f>VLOOKUP(A818,Metrik!$C$2:$Y$959,12,0)</f>
        <v>1</v>
      </c>
      <c r="M818" s="20">
        <f>VLOOKUP(A818,Metrik!$C$2:$Y$959,19,0)</f>
        <v>11.7</v>
      </c>
      <c r="N818" s="21"/>
      <c r="O818" s="21"/>
      <c r="P818" s="21"/>
      <c r="Q818" s="21"/>
      <c r="R818" s="21"/>
      <c r="S818" s="21"/>
      <c r="T818" s="21"/>
      <c r="U818" s="22">
        <f>IFERROR(__xludf.DUMMYFUNCTION("IFERROR(GOOGLEFINANCE(A818,""closeyest""),"""")"),710.0)</f>
        <v>710</v>
      </c>
      <c r="V818" s="23" t="str">
        <f>IFERROR(__xludf.DUMMYFUNCTION("IFERROR(GOOGLEFINANCE(A818,""changepct""),"""")"),"")</f>
        <v/>
      </c>
      <c r="W818" s="22">
        <f>IFERROR(__xludf.DUMMYFUNCTION("IFERROR(GOOGLEFINANCE(A818,""priceopen""),"""")"),730.0)</f>
        <v>730</v>
      </c>
      <c r="X818" s="22">
        <f>IFERROR(__xludf.DUMMYFUNCTION("IFERROR(GOOGLEFINANCE(A818,""high""),"""")"),800.0)</f>
        <v>800</v>
      </c>
      <c r="Y818" s="22" t="str">
        <f>IFERROR(__xludf.DUMMYFUNCTION("IFERROR(GOOGLEFINANCE(A818,""low""),"""")"),"")</f>
        <v/>
      </c>
      <c r="Z818" s="22">
        <f>IFERROR(__xludf.DUMMYFUNCTION("IFERROR(GOOGLEFINANCE(A818,""volume""),"""")"),1.86317E7)</f>
        <v>18631700</v>
      </c>
      <c r="AA818" s="24" t="str">
        <f>VLOOKUP(A818,Metrik!$C$2:$Y$959,5,0)</f>
        <v>Coal</v>
      </c>
      <c r="AB818" s="24" t="str">
        <f>VLOOKUP(A818,Metrik!$C$2:$Y$959,3,0)</f>
        <v>Energy</v>
      </c>
    </row>
    <row r="819">
      <c r="A819" s="14" t="s">
        <v>457</v>
      </c>
      <c r="B819" s="14" t="str">
        <f t="array" ref="B819">VLOOKUP(A819,{Metrik!$C$2:$C$998,Metrik!$B$2:$B$998},2,0)</f>
        <v>Harum Energy Tbk.</v>
      </c>
      <c r="C819" s="15">
        <f>IFERROR(__xludf.DUMMYFUNCTION("GOOGLEFINANCE(""IDX:""&amp;A819,""price"")"),785.0)</f>
        <v>785</v>
      </c>
      <c r="D819" s="16" t="str">
        <f>IFERROR(__xludf.DUMMYFUNCTION("IF(A819="""","""",
SPARKLINE(
INDEX(
GOOGLEFINANCE(""IDX:""&amp;A819,""close"",TODAY()-365,TODAY()),
,2
),
{""linewidth"",1}
))
"),"#N/A")</f>
        <v>#N/A</v>
      </c>
      <c r="E819" s="14" t="s">
        <v>28</v>
      </c>
      <c r="F819" s="17" t="s">
        <v>29</v>
      </c>
      <c r="G819" s="24">
        <f t="shared" si="6"/>
        <v>5</v>
      </c>
      <c r="H819" s="19">
        <f>VLOOKUP(A819,Metrik!$C$2:$Y$959,8,0)</f>
        <v>15.5</v>
      </c>
      <c r="I819" s="20">
        <f>VLOOKUP(A819,Metrik!$C$2:$Y$959,9,0)</f>
        <v>0.34</v>
      </c>
      <c r="J819" s="20">
        <f>VLOOKUP(A819,Metrik!$C$2:$Y$959,10,0)</f>
        <v>2.2</v>
      </c>
      <c r="K819" s="20">
        <f>VLOOKUP(A819,Metrik!$C$2:$Y$959,11,0)</f>
        <v>1.1</v>
      </c>
      <c r="L819" s="20">
        <f>VLOOKUP(A819,Metrik!$C$2:$Y$959,12,0)</f>
        <v>1</v>
      </c>
      <c r="M819" s="20">
        <f>VLOOKUP(A819,Metrik!$C$2:$Y$959,19,0)</f>
        <v>11.7</v>
      </c>
      <c r="N819" s="21"/>
      <c r="O819" s="21"/>
      <c r="P819" s="21"/>
      <c r="Q819" s="21"/>
      <c r="R819" s="21"/>
      <c r="S819" s="21"/>
      <c r="T819" s="21"/>
      <c r="U819" s="22">
        <f>IFERROR(__xludf.DUMMYFUNCTION("IFERROR(GOOGLEFINANCE(A819,""closeyest""),"""")"),710.0)</f>
        <v>710</v>
      </c>
      <c r="V819" s="23" t="str">
        <f>IFERROR(__xludf.DUMMYFUNCTION("IFERROR(GOOGLEFINANCE(A819,""changepct""),"""")"),"")</f>
        <v/>
      </c>
      <c r="W819" s="22">
        <f>IFERROR(__xludf.DUMMYFUNCTION("IFERROR(GOOGLEFINANCE(A819,""priceopen""),"""")"),730.0)</f>
        <v>730</v>
      </c>
      <c r="X819" s="22">
        <f>IFERROR(__xludf.DUMMYFUNCTION("IFERROR(GOOGLEFINANCE(A819,""high""),"""")"),800.0)</f>
        <v>800</v>
      </c>
      <c r="Y819" s="22" t="str">
        <f>IFERROR(__xludf.DUMMYFUNCTION("IFERROR(GOOGLEFINANCE(A819,""low""),"""")"),"")</f>
        <v/>
      </c>
      <c r="Z819" s="22">
        <f>IFERROR(__xludf.DUMMYFUNCTION("IFERROR(GOOGLEFINANCE(A819,""volume""),"""")"),1.86317E7)</f>
        <v>18631700</v>
      </c>
      <c r="AA819" s="24" t="str">
        <f>VLOOKUP(A819,Metrik!$C$2:$Y$959,5,0)</f>
        <v>Coal</v>
      </c>
      <c r="AB819" s="24" t="str">
        <f>VLOOKUP(A819,Metrik!$C$2:$Y$959,3,0)</f>
        <v>Energy</v>
      </c>
    </row>
    <row r="820">
      <c r="A820" s="14" t="s">
        <v>457</v>
      </c>
      <c r="B820" s="14" t="str">
        <f t="array" ref="B820">VLOOKUP(A820,{Metrik!$C$2:$C$998,Metrik!$B$2:$B$998},2,0)</f>
        <v>Harum Energy Tbk.</v>
      </c>
      <c r="C820" s="15">
        <f>IFERROR(__xludf.DUMMYFUNCTION("GOOGLEFINANCE(""IDX:""&amp;A820,""price"")"),785.0)</f>
        <v>785</v>
      </c>
      <c r="D820" s="16" t="str">
        <f>IFERROR(__xludf.DUMMYFUNCTION("IF(A820="""","""",
SPARKLINE(
INDEX(
GOOGLEFINANCE(""IDX:""&amp;A820,""close"",TODAY()-365,TODAY()),
,2
),
{""linewidth"",1}
))
"),"#N/A")</f>
        <v>#N/A</v>
      </c>
      <c r="E820" s="14" t="s">
        <v>32</v>
      </c>
      <c r="F820" s="14" t="s">
        <v>29</v>
      </c>
      <c r="G820" s="24">
        <f t="shared" si="6"/>
        <v>5</v>
      </c>
      <c r="H820" s="19">
        <f>VLOOKUP(A820,Metrik!$C$2:$Y$959,8,0)</f>
        <v>15.5</v>
      </c>
      <c r="I820" s="20">
        <f>VLOOKUP(A820,Metrik!$C$2:$Y$959,9,0)</f>
        <v>0.34</v>
      </c>
      <c r="J820" s="20">
        <f>VLOOKUP(A820,Metrik!$C$2:$Y$959,10,0)</f>
        <v>2.2</v>
      </c>
      <c r="K820" s="20">
        <f>VLOOKUP(A820,Metrik!$C$2:$Y$959,11,0)</f>
        <v>1.1</v>
      </c>
      <c r="L820" s="20">
        <f>VLOOKUP(A820,Metrik!$C$2:$Y$959,12,0)</f>
        <v>1</v>
      </c>
      <c r="M820" s="20">
        <f>VLOOKUP(A820,Metrik!$C$2:$Y$959,19,0)</f>
        <v>11.7</v>
      </c>
      <c r="N820" s="21"/>
      <c r="O820" s="21"/>
      <c r="P820" s="21"/>
      <c r="Q820" s="21"/>
      <c r="R820" s="21"/>
      <c r="S820" s="21"/>
      <c r="T820" s="21"/>
      <c r="U820" s="22">
        <f>IFERROR(__xludf.DUMMYFUNCTION("IFERROR(GOOGLEFINANCE(A820,""closeyest""),"""")"),710.0)</f>
        <v>710</v>
      </c>
      <c r="V820" s="23" t="str">
        <f>IFERROR(__xludf.DUMMYFUNCTION("IFERROR(GOOGLEFINANCE(A820,""changepct""),"""")"),"")</f>
        <v/>
      </c>
      <c r="W820" s="22">
        <f>IFERROR(__xludf.DUMMYFUNCTION("IFERROR(GOOGLEFINANCE(A820,""priceopen""),"""")"),730.0)</f>
        <v>730</v>
      </c>
      <c r="X820" s="22">
        <f>IFERROR(__xludf.DUMMYFUNCTION("IFERROR(GOOGLEFINANCE(A820,""high""),"""")"),800.0)</f>
        <v>800</v>
      </c>
      <c r="Y820" s="22" t="str">
        <f>IFERROR(__xludf.DUMMYFUNCTION("IFERROR(GOOGLEFINANCE(A820,""low""),"""")"),"")</f>
        <v/>
      </c>
      <c r="Z820" s="22">
        <f>IFERROR(__xludf.DUMMYFUNCTION("IFERROR(GOOGLEFINANCE(A820,""volume""),"""")"),1.86317E7)</f>
        <v>18631700</v>
      </c>
      <c r="AA820" s="24" t="str">
        <f>VLOOKUP(A820,Metrik!$C$2:$Y$959,5,0)</f>
        <v>Coal</v>
      </c>
      <c r="AB820" s="24" t="str">
        <f>VLOOKUP(A820,Metrik!$C$2:$Y$959,3,0)</f>
        <v>Energy</v>
      </c>
    </row>
    <row r="821">
      <c r="A821" s="14" t="s">
        <v>457</v>
      </c>
      <c r="B821" s="14" t="str">
        <f t="array" ref="B821">VLOOKUP(A821,{Metrik!$C$2:$C$998,Metrik!$B$2:$B$998},2,0)</f>
        <v>Harum Energy Tbk.</v>
      </c>
      <c r="C821" s="15">
        <f>IFERROR(__xludf.DUMMYFUNCTION("GOOGLEFINANCE(""IDX:""&amp;A821,""price"")"),785.0)</f>
        <v>785</v>
      </c>
      <c r="D821" s="16" t="str">
        <f>IFERROR(__xludf.DUMMYFUNCTION("IF(A821="""","""",
SPARKLINE(
INDEX(
GOOGLEFINANCE(""IDX:""&amp;A821,""close"",TODAY()-365,TODAY()),
,2
),
{""linewidth"",1}
))
"),"#N/A")</f>
        <v>#N/A</v>
      </c>
      <c r="E821" s="14" t="s">
        <v>41</v>
      </c>
      <c r="F821" s="14" t="s">
        <v>34</v>
      </c>
      <c r="G821" s="24">
        <f t="shared" si="6"/>
        <v>5</v>
      </c>
      <c r="H821" s="19">
        <f>VLOOKUP(A821,Metrik!$C$2:$Y$959,8,0)</f>
        <v>15.5</v>
      </c>
      <c r="I821" s="20">
        <f>VLOOKUP(A821,Metrik!$C$2:$Y$959,9,0)</f>
        <v>0.34</v>
      </c>
      <c r="J821" s="20">
        <f>VLOOKUP(A821,Metrik!$C$2:$Y$959,10,0)</f>
        <v>2.2</v>
      </c>
      <c r="K821" s="20">
        <f>VLOOKUP(A821,Metrik!$C$2:$Y$959,11,0)</f>
        <v>1.1</v>
      </c>
      <c r="L821" s="20">
        <f>VLOOKUP(A821,Metrik!$C$2:$Y$959,12,0)</f>
        <v>1</v>
      </c>
      <c r="M821" s="20">
        <f>VLOOKUP(A821,Metrik!$C$2:$Y$959,19,0)</f>
        <v>11.7</v>
      </c>
      <c r="N821" s="21"/>
      <c r="O821" s="21"/>
      <c r="P821" s="21"/>
      <c r="Q821" s="21"/>
      <c r="R821" s="21"/>
      <c r="S821" s="21"/>
      <c r="T821" s="21"/>
      <c r="U821" s="22">
        <f>IFERROR(__xludf.DUMMYFUNCTION("IFERROR(GOOGLEFINANCE(A821,""closeyest""),"""")"),710.0)</f>
        <v>710</v>
      </c>
      <c r="V821" s="23" t="str">
        <f>IFERROR(__xludf.DUMMYFUNCTION("IFERROR(GOOGLEFINANCE(A821,""changepct""),"""")"),"")</f>
        <v/>
      </c>
      <c r="W821" s="22">
        <f>IFERROR(__xludf.DUMMYFUNCTION("IFERROR(GOOGLEFINANCE(A821,""priceopen""),"""")"),730.0)</f>
        <v>730</v>
      </c>
      <c r="X821" s="22">
        <f>IFERROR(__xludf.DUMMYFUNCTION("IFERROR(GOOGLEFINANCE(A821,""high""),"""")"),800.0)</f>
        <v>800</v>
      </c>
      <c r="Y821" s="22" t="str">
        <f>IFERROR(__xludf.DUMMYFUNCTION("IFERROR(GOOGLEFINANCE(A821,""low""),"""")"),"")</f>
        <v/>
      </c>
      <c r="Z821" s="22">
        <f>IFERROR(__xludf.DUMMYFUNCTION("IFERROR(GOOGLEFINANCE(A821,""volume""),"""")"),1.86317E7)</f>
        <v>18631700</v>
      </c>
      <c r="AA821" s="24" t="str">
        <f>VLOOKUP(A821,Metrik!$C$2:$Y$959,5,0)</f>
        <v>Coal</v>
      </c>
      <c r="AB821" s="24" t="str">
        <f>VLOOKUP(A821,Metrik!$C$2:$Y$959,3,0)</f>
        <v>Energy</v>
      </c>
    </row>
    <row r="822">
      <c r="A822" s="14" t="s">
        <v>457</v>
      </c>
      <c r="B822" s="14" t="str">
        <f t="array" ref="B822">VLOOKUP(A822,{Metrik!$C$2:$C$998,Metrik!$B$2:$B$998},2,0)</f>
        <v>Harum Energy Tbk.</v>
      </c>
      <c r="C822" s="15">
        <f>IFERROR(__xludf.DUMMYFUNCTION("GOOGLEFINANCE(""IDX:""&amp;A822,""price"")"),785.0)</f>
        <v>785</v>
      </c>
      <c r="D822" s="16" t="str">
        <f>IFERROR(__xludf.DUMMYFUNCTION("IF(A822="""","""",
SPARKLINE(
INDEX(
GOOGLEFINANCE(""IDX:""&amp;A822,""close"",TODAY()-365,TODAY()),
,2
),
{""linewidth"",1}
))
"),"#N/A")</f>
        <v>#N/A</v>
      </c>
      <c r="E822" s="14" t="s">
        <v>39</v>
      </c>
      <c r="F822" s="25">
        <v>46356.0</v>
      </c>
      <c r="G822" s="24">
        <f t="shared" si="6"/>
        <v>5</v>
      </c>
      <c r="H822" s="19">
        <f>VLOOKUP(A822,Metrik!$C$2:$Y$959,8,0)</f>
        <v>15.5</v>
      </c>
      <c r="I822" s="20">
        <f>VLOOKUP(A822,Metrik!$C$2:$Y$959,9,0)</f>
        <v>0.34</v>
      </c>
      <c r="J822" s="20">
        <f>VLOOKUP(A822,Metrik!$C$2:$Y$959,10,0)</f>
        <v>2.2</v>
      </c>
      <c r="K822" s="20">
        <f>VLOOKUP(A822,Metrik!$C$2:$Y$959,11,0)</f>
        <v>1.1</v>
      </c>
      <c r="L822" s="20">
        <f>VLOOKUP(A822,Metrik!$C$2:$Y$959,12,0)</f>
        <v>1</v>
      </c>
      <c r="M822" s="20">
        <f>VLOOKUP(A822,Metrik!$C$2:$Y$959,19,0)</f>
        <v>11.7</v>
      </c>
      <c r="N822" s="21"/>
      <c r="O822" s="21"/>
      <c r="P822" s="21"/>
      <c r="Q822" s="21"/>
      <c r="R822" s="21"/>
      <c r="S822" s="21"/>
      <c r="T822" s="21"/>
      <c r="U822" s="22">
        <f>IFERROR(__xludf.DUMMYFUNCTION("IFERROR(GOOGLEFINANCE(A822,""closeyest""),"""")"),710.0)</f>
        <v>710</v>
      </c>
      <c r="V822" s="23" t="str">
        <f>IFERROR(__xludf.DUMMYFUNCTION("IFERROR(GOOGLEFINANCE(A822,""changepct""),"""")"),"")</f>
        <v/>
      </c>
      <c r="W822" s="22">
        <f>IFERROR(__xludf.DUMMYFUNCTION("IFERROR(GOOGLEFINANCE(A822,""priceopen""),"""")"),730.0)</f>
        <v>730</v>
      </c>
      <c r="X822" s="22">
        <f>IFERROR(__xludf.DUMMYFUNCTION("IFERROR(GOOGLEFINANCE(A822,""high""),"""")"),800.0)</f>
        <v>800</v>
      </c>
      <c r="Y822" s="22" t="str">
        <f>IFERROR(__xludf.DUMMYFUNCTION("IFERROR(GOOGLEFINANCE(A822,""low""),"""")"),"")</f>
        <v/>
      </c>
      <c r="Z822" s="22">
        <f>IFERROR(__xludf.DUMMYFUNCTION("IFERROR(GOOGLEFINANCE(A822,""volume""),"""")"),1.86317E7)</f>
        <v>18631700</v>
      </c>
      <c r="AA822" s="24" t="str">
        <f>VLOOKUP(A822,Metrik!$C$2:$Y$959,5,0)</f>
        <v>Coal</v>
      </c>
      <c r="AB822" s="24" t="str">
        <f>VLOOKUP(A822,Metrik!$C$2:$Y$959,3,0)</f>
        <v>Energy</v>
      </c>
    </row>
    <row r="823">
      <c r="A823" s="14" t="s">
        <v>458</v>
      </c>
      <c r="B823" s="14" t="str">
        <f t="array" ref="B823">VLOOKUP(A823,{Metrik!$C$2:$C$998,Metrik!$B$2:$B$998},2,0)</f>
        <v>PT Humpuss Maritim Internasional Tbk</v>
      </c>
      <c r="C823" s="15">
        <f>IFERROR(__xludf.DUMMYFUNCTION("GOOGLEFINANCE(""IDX:""&amp;A823,""price"")"),125.0)</f>
        <v>125</v>
      </c>
      <c r="D823" s="16" t="str">
        <f>IFERROR(__xludf.DUMMYFUNCTION("IF(A823="""","""",
SPARKLINE(
INDEX(
GOOGLEFINANCE(""IDX:""&amp;A823,""close"",TODAY()-365,TODAY()),
,2
),
{""linewidth"",1}
))
"),"#N/A")</f>
        <v>#N/A</v>
      </c>
      <c r="E823" s="26"/>
      <c r="F823" s="26"/>
      <c r="G823" s="24">
        <f t="shared" si="6"/>
        <v>0</v>
      </c>
      <c r="H823" s="19">
        <f>VLOOKUP(A823,Metrik!$C$2:$Y$959,8,0)</f>
        <v>14.4</v>
      </c>
      <c r="I823" s="20">
        <f>VLOOKUP(A823,Metrik!$C$2:$Y$959,9,0)</f>
        <v>0.9</v>
      </c>
      <c r="J823" s="20">
        <f>VLOOKUP(A823,Metrik!$C$2:$Y$959,10,0)</f>
        <v>6.2</v>
      </c>
      <c r="K823" s="20">
        <f>VLOOKUP(A823,Metrik!$C$2:$Y$959,11,0)</f>
        <v>3.4</v>
      </c>
      <c r="L823" s="20">
        <f>VLOOKUP(A823,Metrik!$C$2:$Y$959,12,0)</f>
        <v>0.83</v>
      </c>
      <c r="M823" s="20">
        <f>VLOOKUP(A823,Metrik!$C$2:$Y$959,19,0)</f>
        <v>11.4</v>
      </c>
      <c r="N823" s="21"/>
      <c r="O823" s="21"/>
      <c r="P823" s="21"/>
      <c r="Q823" s="21"/>
      <c r="R823" s="21"/>
      <c r="S823" s="21"/>
      <c r="T823" s="21"/>
      <c r="U823" s="22">
        <f>IFERROR(__xludf.DUMMYFUNCTION("IFERROR(GOOGLEFINANCE(A823,""closeyest""),"""")"),114.0)</f>
        <v>114</v>
      </c>
      <c r="V823" s="23">
        <f>IFERROR(__xludf.DUMMYFUNCTION("IFERROR(GOOGLEFINANCE(A823,""changepct""),"""")"),9.65)</f>
        <v>9.65</v>
      </c>
      <c r="W823" s="22">
        <f>IFERROR(__xludf.DUMMYFUNCTION("IFERROR(GOOGLEFINANCE(A823,""priceopen""),"""")"),114.0)</f>
        <v>114</v>
      </c>
      <c r="X823" s="22">
        <f>IFERROR(__xludf.DUMMYFUNCTION("IFERROR(GOOGLEFINANCE(A823,""high""),"""")"),127.0)</f>
        <v>127</v>
      </c>
      <c r="Y823" s="22">
        <f>IFERROR(__xludf.DUMMYFUNCTION("IFERROR(GOOGLEFINANCE(A823,""low""),"""")"),114.0)</f>
        <v>114</v>
      </c>
      <c r="Z823" s="22" t="str">
        <f>IFERROR(__xludf.DUMMYFUNCTION("IFERROR(GOOGLEFINANCE(A823,""volume""),"""")"),"")</f>
        <v/>
      </c>
      <c r="AA823" s="24" t="str">
        <f>VLOOKUP(A823,Metrik!$C$2:$Y$959,5,0)</f>
        <v>Oil &amp; Gas</v>
      </c>
      <c r="AB823" s="24" t="str">
        <f>VLOOKUP(A823,Metrik!$C$2:$Y$959,3,0)</f>
        <v>Energy</v>
      </c>
    </row>
    <row r="824">
      <c r="A824" s="14" t="s">
        <v>459</v>
      </c>
      <c r="B824" s="14" t="str">
        <f t="array" ref="B824">VLOOKUP(A824,{Metrik!$C$2:$C$998,Metrik!$B$2:$B$998},2,0)</f>
        <v>Ecocare Indo Pasifik Tbk.</v>
      </c>
      <c r="C824" s="15">
        <f>IFERROR(__xludf.DUMMYFUNCTION("GOOGLEFINANCE(""IDX:""&amp;A824,""price"")"),142.0)</f>
        <v>142</v>
      </c>
      <c r="D824" s="16" t="str">
        <f>IFERROR(__xludf.DUMMYFUNCTION("IF(A824="""","""",
SPARKLINE(
INDEX(
GOOGLEFINANCE(""IDX:""&amp;A824,""close"",TODAY()-365,TODAY()),
,2
),
{""linewidth"",1}
))
"),"#N/A")</f>
        <v>#N/A</v>
      </c>
      <c r="E824" s="26"/>
      <c r="F824" s="26"/>
      <c r="G824" s="24">
        <f t="shared" si="6"/>
        <v>0</v>
      </c>
      <c r="H824" s="19">
        <f>VLOOKUP(A824,Metrik!$C$2:$Y$959,8,0)</f>
        <v>17.4</v>
      </c>
      <c r="I824" s="20">
        <f>VLOOKUP(A824,Metrik!$C$2:$Y$959,9,0)</f>
        <v>2.1</v>
      </c>
      <c r="J824" s="20">
        <f>VLOOKUP(A824,Metrik!$C$2:$Y$959,10,0)</f>
        <v>12.3</v>
      </c>
      <c r="K824" s="20">
        <f>VLOOKUP(A824,Metrik!$C$2:$Y$959,11,0)</f>
        <v>8.7</v>
      </c>
      <c r="L824" s="20">
        <f>VLOOKUP(A824,Metrik!$C$2:$Y$959,12,0)</f>
        <v>0.41</v>
      </c>
      <c r="M824" s="20">
        <f>VLOOKUP(A824,Metrik!$C$2:$Y$959,19,0)</f>
        <v>21</v>
      </c>
      <c r="N824" s="21"/>
      <c r="O824" s="21"/>
      <c r="P824" s="21"/>
      <c r="Q824" s="21"/>
      <c r="R824" s="21"/>
      <c r="S824" s="21"/>
      <c r="T824" s="21"/>
      <c r="U824" s="22">
        <f>IFERROR(__xludf.DUMMYFUNCTION("IFERROR(GOOGLEFINANCE(A824,""closeyest""),"""")"),0.0)</f>
        <v>0</v>
      </c>
      <c r="V824" s="23">
        <f>IFERROR(__xludf.DUMMYFUNCTION("IFERROR(GOOGLEFINANCE(A824,""changepct""),"""")"),0.0)</f>
        <v>0</v>
      </c>
      <c r="W824" s="22" t="str">
        <f>IFERROR(__xludf.DUMMYFUNCTION("IFERROR(GOOGLEFINANCE(A824,""priceopen""),"""")"),"")</f>
        <v/>
      </c>
      <c r="X824" s="22" t="str">
        <f>IFERROR(__xludf.DUMMYFUNCTION("IFERROR(GOOGLEFINANCE(A824,""high""),"""")"),"")</f>
        <v/>
      </c>
      <c r="Y824" s="22" t="str">
        <f>IFERROR(__xludf.DUMMYFUNCTION("IFERROR(GOOGLEFINANCE(A824,""low""),"""")"),"")</f>
        <v/>
      </c>
      <c r="Z824" s="22">
        <f>IFERROR(__xludf.DUMMYFUNCTION("IFERROR(GOOGLEFINANCE(A824,""volume""),"""")"),26.0)</f>
        <v>26</v>
      </c>
      <c r="AA824" s="24" t="str">
        <f>VLOOKUP(A824,Metrik!$C$2:$Y$959,5,0)</f>
        <v>Commercial Services</v>
      </c>
      <c r="AB824" s="24" t="str">
        <f>VLOOKUP(A824,Metrik!$C$2:$Y$959,3,0)</f>
        <v>Industrials</v>
      </c>
    </row>
    <row r="825">
      <c r="A825" s="14" t="s">
        <v>460</v>
      </c>
      <c r="B825" s="14" t="str">
        <f t="array" ref="B825">VLOOKUP(A825,{Metrik!$C$2:$C$998,Metrik!$B$2:$B$998},2,0)</f>
        <v>MNC Energy Investments Tbk.</v>
      </c>
      <c r="C825" s="15">
        <f>IFERROR(__xludf.DUMMYFUNCTION("GOOGLEFINANCE(""IDX:""&amp;A825,""price"")"),63.0)</f>
        <v>63</v>
      </c>
      <c r="D825" s="16" t="str">
        <f>IFERROR(__xludf.DUMMYFUNCTION("IF(A825="""","""",
SPARKLINE(
INDEX(
GOOGLEFINANCE(""IDX:""&amp;A825,""close"",TODAY()-365,TODAY()),
,2
),
{""linewidth"",1}
))
"),"#N/A")</f>
        <v>#N/A</v>
      </c>
      <c r="E825" s="26"/>
      <c r="F825" s="26"/>
      <c r="G825" s="24">
        <f t="shared" si="6"/>
        <v>0</v>
      </c>
      <c r="H825" s="19">
        <f>VLOOKUP(A825,Metrik!$C$2:$Y$959,8,0)</f>
        <v>19.6</v>
      </c>
      <c r="I825" s="20">
        <f>VLOOKUP(A825,Metrik!$C$2:$Y$959,9,0)</f>
        <v>0.93</v>
      </c>
      <c r="J825" s="20">
        <f>VLOOKUP(A825,Metrik!$C$2:$Y$959,10,0)</f>
        <v>4.7</v>
      </c>
      <c r="K825" s="20">
        <f>VLOOKUP(A825,Metrik!$C$2:$Y$959,11,0)</f>
        <v>2.6</v>
      </c>
      <c r="L825" s="20">
        <f>VLOOKUP(A825,Metrik!$C$2:$Y$959,12,0)</f>
        <v>0.81</v>
      </c>
      <c r="M825" s="20">
        <f>VLOOKUP(A825,Metrik!$C$2:$Y$959,19,0)</f>
        <v>29.5</v>
      </c>
      <c r="N825" s="21"/>
      <c r="O825" s="21"/>
      <c r="P825" s="21"/>
      <c r="Q825" s="21"/>
      <c r="R825" s="21"/>
      <c r="S825" s="21"/>
      <c r="T825" s="21"/>
      <c r="U825" s="22">
        <f>IFERROR(__xludf.DUMMYFUNCTION("IFERROR(GOOGLEFINANCE(A825,""closeyest""),"""")"),60.0)</f>
        <v>60</v>
      </c>
      <c r="V825" s="23">
        <f>IFERROR(__xludf.DUMMYFUNCTION("IFERROR(GOOGLEFINANCE(A825,""changepct""),"""")"),5.0)</f>
        <v>5</v>
      </c>
      <c r="W825" s="22">
        <f>IFERROR(__xludf.DUMMYFUNCTION("IFERROR(GOOGLEFINANCE(A825,""priceopen""),"""")"),60.0)</f>
        <v>60</v>
      </c>
      <c r="X825" s="22">
        <f>IFERROR(__xludf.DUMMYFUNCTION("IFERROR(GOOGLEFINANCE(A825,""high""),"""")"),65.0)</f>
        <v>65</v>
      </c>
      <c r="Y825" s="22">
        <f>IFERROR(__xludf.DUMMYFUNCTION("IFERROR(GOOGLEFINANCE(A825,""low""),"""")"),60.0)</f>
        <v>60</v>
      </c>
      <c r="Z825" s="22">
        <f>IFERROR(__xludf.DUMMYFUNCTION("IFERROR(GOOGLEFINANCE(A825,""volume""),"""")"),1.781557E8)</f>
        <v>178155700</v>
      </c>
      <c r="AA825" s="24" t="str">
        <f>VLOOKUP(A825,Metrik!$C$2:$Y$959,5,0)</f>
        <v>Coal</v>
      </c>
      <c r="AB825" s="24" t="str">
        <f>VLOOKUP(A825,Metrik!$C$2:$Y$959,3,0)</f>
        <v>Energy</v>
      </c>
    </row>
    <row r="826">
      <c r="A826" s="14" t="s">
        <v>461</v>
      </c>
      <c r="B826" s="14" t="str">
        <f t="array" ref="B826">VLOOKUP(A826,{Metrik!$C$2:$C$998,Metrik!$B$2:$B$998},2,0)</f>
        <v>Intan Baru Prana Tbk.</v>
      </c>
      <c r="C826" s="15">
        <f>IFERROR(__xludf.DUMMYFUNCTION("GOOGLEFINANCE(""IDX:""&amp;A826,""price"")"),58.0)</f>
        <v>58</v>
      </c>
      <c r="D826" s="16" t="str">
        <f>IFERROR(__xludf.DUMMYFUNCTION("IF(A826="""","""",
SPARKLINE(
INDEX(
GOOGLEFINANCE(""IDX:""&amp;A826,""close"",TODAY()-365,TODAY()),
,2
),
{""linewidth"",1}
))
"),"#N/A")</f>
        <v>#N/A</v>
      </c>
      <c r="E826" s="26"/>
      <c r="F826" s="26"/>
      <c r="G826" s="24">
        <f t="shared" si="6"/>
        <v>0</v>
      </c>
      <c r="H826" s="19">
        <f>VLOOKUP(A826,Metrik!$C$2:$Y$959,8,0)</f>
        <v>-4.2</v>
      </c>
      <c r="I826" s="20">
        <f>VLOOKUP(A826,Metrik!$C$2:$Y$959,9,0)</f>
        <v>-0.14</v>
      </c>
      <c r="J826" s="20">
        <f>VLOOKUP(A826,Metrik!$C$2:$Y$959,10,0)</f>
        <v>0</v>
      </c>
      <c r="K826" s="20">
        <f>VLOOKUP(A826,Metrik!$C$2:$Y$959,11,0)</f>
        <v>-5.2</v>
      </c>
      <c r="L826" s="20">
        <f>VLOOKUP(A826,Metrik!$C$2:$Y$959,12,0)</f>
        <v>-1.6</v>
      </c>
      <c r="M826" s="20">
        <f>VLOOKUP(A826,Metrik!$C$2:$Y$959,19,0)</f>
        <v>-47.2</v>
      </c>
      <c r="N826" s="21"/>
      <c r="O826" s="21"/>
      <c r="P826" s="21"/>
      <c r="Q826" s="21"/>
      <c r="R826" s="21"/>
      <c r="S826" s="21"/>
      <c r="T826" s="21"/>
      <c r="U826" s="22">
        <f>IFERROR(__xludf.DUMMYFUNCTION("IFERROR(GOOGLEFINANCE(A826,""closeyest""),"""")"),59.0)</f>
        <v>59</v>
      </c>
      <c r="V826" s="23">
        <f>IFERROR(__xludf.DUMMYFUNCTION("IFERROR(GOOGLEFINANCE(A826,""changepct""),"""")"),-1.69)</f>
        <v>-1.69</v>
      </c>
      <c r="W826" s="22">
        <f>IFERROR(__xludf.DUMMYFUNCTION("IFERROR(GOOGLEFINANCE(A826,""priceopen""),"""")"),59.0)</f>
        <v>59</v>
      </c>
      <c r="X826" s="22">
        <f>IFERROR(__xludf.DUMMYFUNCTION("IFERROR(GOOGLEFINANCE(A826,""high""),"""")"),62.0)</f>
        <v>62</v>
      </c>
      <c r="Y826" s="22">
        <f>IFERROR(__xludf.DUMMYFUNCTION("IFERROR(GOOGLEFINANCE(A826,""low""),"""")"),58.0)</f>
        <v>58</v>
      </c>
      <c r="Z826" s="22">
        <f>IFERROR(__xludf.DUMMYFUNCTION("IFERROR(GOOGLEFINANCE(A826,""volume""),"""")"),112600.0)</f>
        <v>112600</v>
      </c>
      <c r="AA826" s="24" t="str">
        <f>VLOOKUP(A826,Metrik!$C$2:$Y$959,5,0)</f>
        <v>Machinery</v>
      </c>
      <c r="AB826" s="24" t="str">
        <f>VLOOKUP(A826,Metrik!$C$2:$Y$959,3,0)</f>
        <v>Industrials</v>
      </c>
    </row>
    <row r="827">
      <c r="A827" s="14" t="s">
        <v>462</v>
      </c>
      <c r="B827" s="14" t="str">
        <f t="array" ref="B827">VLOOKUP(A827,{Metrik!$C$2:$C$998,Metrik!$B$2:$B$998},2,0)</f>
        <v>Indo Boga Sukses Tbk.</v>
      </c>
      <c r="C827" s="15">
        <f>IFERROR(__xludf.DUMMYFUNCTION("GOOGLEFINANCE(""IDX:""&amp;A827,""price"")"),83.0)</f>
        <v>83</v>
      </c>
      <c r="D827" s="16" t="str">
        <f>IFERROR(__xludf.DUMMYFUNCTION("IF(A827="""","""",
SPARKLINE(
INDEX(
GOOGLEFINANCE(""IDX:""&amp;A827,""close"",TODAY()-365,TODAY()),
,2
),
{""linewidth"",1}
))
"),"#N/A")</f>
        <v>#N/A</v>
      </c>
      <c r="E827" s="26"/>
      <c r="F827" s="26"/>
      <c r="G827" s="24">
        <f t="shared" si="6"/>
        <v>0</v>
      </c>
      <c r="H827" s="19">
        <f>VLOOKUP(A827,Metrik!$C$2:$Y$959,8,0)</f>
        <v>350</v>
      </c>
      <c r="I827" s="20">
        <f>VLOOKUP(A827,Metrik!$C$2:$Y$959,9,0)</f>
        <v>2.2</v>
      </c>
      <c r="J827" s="20">
        <f>VLOOKUP(A827,Metrik!$C$2:$Y$959,10,0)</f>
        <v>0.62</v>
      </c>
      <c r="K827" s="20">
        <f>VLOOKUP(A827,Metrik!$C$2:$Y$959,11,0)</f>
        <v>0.58</v>
      </c>
      <c r="L827" s="20">
        <f>VLOOKUP(A827,Metrik!$C$2:$Y$959,12,0)</f>
        <v>0.07</v>
      </c>
      <c r="M827" s="20">
        <f>VLOOKUP(A827,Metrik!$C$2:$Y$959,19,0)</f>
        <v>5</v>
      </c>
      <c r="N827" s="21"/>
      <c r="O827" s="21"/>
      <c r="P827" s="21"/>
      <c r="Q827" s="21"/>
      <c r="R827" s="21"/>
      <c r="S827" s="21"/>
      <c r="T827" s="21"/>
      <c r="U827" s="22">
        <f>IFERROR(__xludf.DUMMYFUNCTION("IFERROR(GOOGLEFINANCE(A827,""closeyest""),"""")"),84.0)</f>
        <v>84</v>
      </c>
      <c r="V827" s="23">
        <f>IFERROR(__xludf.DUMMYFUNCTION("IFERROR(GOOGLEFINANCE(A827,""changepct""),"""")"),-1.19)</f>
        <v>-1.19</v>
      </c>
      <c r="W827" s="22">
        <f>IFERROR(__xludf.DUMMYFUNCTION("IFERROR(GOOGLEFINANCE(A827,""priceopen""),"""")"),84.0)</f>
        <v>84</v>
      </c>
      <c r="X827" s="22">
        <f>IFERROR(__xludf.DUMMYFUNCTION("IFERROR(GOOGLEFINANCE(A827,""high""),"""")"),88.0)</f>
        <v>88</v>
      </c>
      <c r="Y827" s="22">
        <f>IFERROR(__xludf.DUMMYFUNCTION("IFERROR(GOOGLEFINANCE(A827,""low""),"""")"),81.0)</f>
        <v>81</v>
      </c>
      <c r="Z827" s="22">
        <f>IFERROR(__xludf.DUMMYFUNCTION("IFERROR(GOOGLEFINANCE(A827,""volume""),"""")"),5170800.0)</f>
        <v>5170800</v>
      </c>
      <c r="AA827" s="24" t="str">
        <f>VLOOKUP(A827,Metrik!$C$2:$Y$959,5,0)</f>
        <v>Agricultural Products</v>
      </c>
      <c r="AB827" s="24" t="str">
        <f>VLOOKUP(A827,Metrik!$C$2:$Y$959,3,0)</f>
        <v>Consumer Non-Cyclicals</v>
      </c>
    </row>
    <row r="828">
      <c r="A828" s="14" t="s">
        <v>463</v>
      </c>
      <c r="B828" s="14" t="str">
        <f t="array" ref="B828">VLOOKUP(A828,{Metrik!$C$2:$C$998,Metrik!$B$2:$B$998},2,0)</f>
        <v>Inti Bangun Sejahtera Tbk</v>
      </c>
      <c r="C828" s="15">
        <f>IFERROR(__xludf.DUMMYFUNCTION("GOOGLEFINANCE(""IDX:""&amp;A828,""price"")"),8475.0)</f>
        <v>8475</v>
      </c>
      <c r="D828" s="16" t="str">
        <f>IFERROR(__xludf.DUMMYFUNCTION("IF(A828="""","""",
SPARKLINE(
INDEX(
GOOGLEFINANCE(""IDX:""&amp;A828,""close"",TODAY()-365,TODAY()),
,2
),
{""linewidth"",1}
))
"),"#N/A")</f>
        <v>#N/A</v>
      </c>
      <c r="E828" s="26"/>
      <c r="F828" s="26"/>
      <c r="G828" s="24">
        <f t="shared" si="6"/>
        <v>0</v>
      </c>
      <c r="H828" s="19">
        <f>VLOOKUP(A828,Metrik!$C$2:$Y$959,8,0)</f>
        <v>27.8</v>
      </c>
      <c r="I828" s="20">
        <f>VLOOKUP(A828,Metrik!$C$2:$Y$959,9,0)</f>
        <v>4.4</v>
      </c>
      <c r="J828" s="20">
        <f>VLOOKUP(A828,Metrik!$C$2:$Y$959,10,0)</f>
        <v>16</v>
      </c>
      <c r="K828" s="20">
        <f>VLOOKUP(A828,Metrik!$C$2:$Y$959,11,0)</f>
        <v>10.4</v>
      </c>
      <c r="L828" s="20">
        <f>VLOOKUP(A828,Metrik!$C$2:$Y$959,12,0)</f>
        <v>0.53</v>
      </c>
      <c r="M828" s="20">
        <f>VLOOKUP(A828,Metrik!$C$2:$Y$959,19,0)</f>
        <v>47.2</v>
      </c>
      <c r="N828" s="21"/>
      <c r="O828" s="21"/>
      <c r="P828" s="21"/>
      <c r="Q828" s="21"/>
      <c r="R828" s="21"/>
      <c r="S828" s="21"/>
      <c r="T828" s="21"/>
      <c r="U828" s="22">
        <f>IFERROR(__xludf.DUMMYFUNCTION("IFERROR(GOOGLEFINANCE(A828,""closeyest""),"""")"),91.85)</f>
        <v>91.85</v>
      </c>
      <c r="V828" s="23">
        <f>IFERROR(__xludf.DUMMYFUNCTION("IFERROR(GOOGLEFINANCE(A828,""changepct""),"""")"),3.43)</f>
        <v>3.43</v>
      </c>
      <c r="W828" s="22">
        <f>IFERROR(__xludf.DUMMYFUNCTION("IFERROR(GOOGLEFINANCE(A828,""priceopen""),"""")"),91.55)</f>
        <v>91.55</v>
      </c>
      <c r="X828" s="22">
        <f>IFERROR(__xludf.DUMMYFUNCTION("IFERROR(GOOGLEFINANCE(A828,""high""),"""")"),97.3)</f>
        <v>97.3</v>
      </c>
      <c r="Y828" s="22">
        <f>IFERROR(__xludf.DUMMYFUNCTION("IFERROR(GOOGLEFINANCE(A828,""low""),"""")"),91.55)</f>
        <v>91.55</v>
      </c>
      <c r="Z828" s="22">
        <f>IFERROR(__xludf.DUMMYFUNCTION("IFERROR(GOOGLEFINANCE(A828,""volume""),"""")"),791717.0)</f>
        <v>791717</v>
      </c>
      <c r="AA828" s="24" t="str">
        <f>VLOOKUP(A828,Metrik!$C$2:$Y$959,5,0)</f>
        <v>Wireless Telecommunication Services</v>
      </c>
      <c r="AB828" s="24" t="str">
        <f>VLOOKUP(A828,Metrik!$C$2:$Y$959,3,0)</f>
        <v>Infrastructures</v>
      </c>
    </row>
    <row r="829">
      <c r="A829" s="14" t="s">
        <v>464</v>
      </c>
      <c r="B829" s="14" t="str">
        <f t="array" ref="B829">VLOOKUP(A829,{Metrik!$C$2:$C$998,Metrik!$B$2:$B$998},2,0)</f>
        <v>Indofood CBP Sukses Makmur Tbk.</v>
      </c>
      <c r="C829" s="15">
        <f>IFERROR(__xludf.DUMMYFUNCTION("GOOGLEFINANCE(""IDX:""&amp;A829,""price"")"),6350.0)</f>
        <v>6350</v>
      </c>
      <c r="D829" s="16" t="str">
        <f>IFERROR(__xludf.DUMMYFUNCTION("IF(A829="""","""",
SPARKLINE(
INDEX(
GOOGLEFINANCE(""IDX:""&amp;A829,""close"",TODAY()-365,TODAY()),
,2
),
{""linewidth"",1}
))
"),"#N/A")</f>
        <v>#N/A</v>
      </c>
      <c r="E829" s="14" t="s">
        <v>47</v>
      </c>
      <c r="F829" s="25">
        <v>46356.0</v>
      </c>
      <c r="G829" s="24">
        <f t="shared" si="6"/>
        <v>16</v>
      </c>
      <c r="H829" s="19">
        <f>VLOOKUP(A829,Metrik!$C$2:$Y$959,8,0)</f>
        <v>9.1</v>
      </c>
      <c r="I829" s="20">
        <f>VLOOKUP(A829,Metrik!$C$2:$Y$959,9,0)</f>
        <v>1.1</v>
      </c>
      <c r="J829" s="20">
        <f>VLOOKUP(A829,Metrik!$C$2:$Y$959,10,0)</f>
        <v>11.9</v>
      </c>
      <c r="K829" s="20">
        <f>VLOOKUP(A829,Metrik!$C$2:$Y$959,11,0)</f>
        <v>6.5</v>
      </c>
      <c r="L829" s="20">
        <f>VLOOKUP(A829,Metrik!$C$2:$Y$959,12,0)</f>
        <v>0.82</v>
      </c>
      <c r="M829" s="20">
        <f>VLOOKUP(A829,Metrik!$C$2:$Y$959,19,0)</f>
        <v>42.1</v>
      </c>
      <c r="N829" s="21"/>
      <c r="O829" s="21"/>
      <c r="P829" s="21"/>
      <c r="Q829" s="21"/>
      <c r="R829" s="21"/>
      <c r="S829" s="21"/>
      <c r="T829" s="21"/>
      <c r="U829" s="22">
        <f>IFERROR(__xludf.DUMMYFUNCTION("IFERROR(GOOGLEFINANCE(A829,""closeyest""),"""")"),6250.0)</f>
        <v>6250</v>
      </c>
      <c r="V829" s="23">
        <f>IFERROR(__xludf.DUMMYFUNCTION("IFERROR(GOOGLEFINANCE(A829,""changepct""),"""")"),1.6)</f>
        <v>1.6</v>
      </c>
      <c r="W829" s="22">
        <f>IFERROR(__xludf.DUMMYFUNCTION("IFERROR(GOOGLEFINANCE(A829,""priceopen""),"""")"),6275.0)</f>
        <v>6275</v>
      </c>
      <c r="X829" s="22">
        <f>IFERROR(__xludf.DUMMYFUNCTION("IFERROR(GOOGLEFINANCE(A829,""high""),"""")"),6450.0)</f>
        <v>6450</v>
      </c>
      <c r="Y829" s="22">
        <f>IFERROR(__xludf.DUMMYFUNCTION("IFERROR(GOOGLEFINANCE(A829,""low""),"""")"),6175.0)</f>
        <v>6175</v>
      </c>
      <c r="Z829" s="22">
        <f>IFERROR(__xludf.DUMMYFUNCTION("IFERROR(GOOGLEFINANCE(A829,""volume""),"""")"),1.39841E7)</f>
        <v>13984100</v>
      </c>
      <c r="AA829" s="24" t="str">
        <f>VLOOKUP(A829,Metrik!$C$2:$Y$959,5,0)</f>
        <v>Processed Foods</v>
      </c>
      <c r="AB829" s="24" t="str">
        <f>VLOOKUP(A829,Metrik!$C$2:$Y$959,3,0)</f>
        <v>Consumer Non-Cyclicals</v>
      </c>
    </row>
    <row r="830">
      <c r="A830" s="14" t="s">
        <v>464</v>
      </c>
      <c r="B830" s="14" t="str">
        <f t="array" ref="B830">VLOOKUP(A830,{Metrik!$C$2:$C$998,Metrik!$B$2:$B$998},2,0)</f>
        <v>Indofood CBP Sukses Makmur Tbk.</v>
      </c>
      <c r="C830" s="15">
        <f>IFERROR(__xludf.DUMMYFUNCTION("GOOGLEFINANCE(""IDX:""&amp;A830,""price"")"),6350.0)</f>
        <v>6350</v>
      </c>
      <c r="D830" s="16" t="str">
        <f>IFERROR(__xludf.DUMMYFUNCTION("IF(A830="""","""",
SPARKLINE(
INDEX(
GOOGLEFINANCE(""IDX:""&amp;A830,""close"",TODAY()-365,TODAY()),
,2
),
{""linewidth"",1}
))
"),"#N/A")</f>
        <v>#N/A</v>
      </c>
      <c r="E830" s="14" t="s">
        <v>65</v>
      </c>
      <c r="F830" s="25">
        <v>46356.0</v>
      </c>
      <c r="G830" s="24">
        <f t="shared" si="6"/>
        <v>16</v>
      </c>
      <c r="H830" s="19">
        <f>VLOOKUP(A830,Metrik!$C$2:$Y$959,8,0)</f>
        <v>9.1</v>
      </c>
      <c r="I830" s="20">
        <f>VLOOKUP(A830,Metrik!$C$2:$Y$959,9,0)</f>
        <v>1.1</v>
      </c>
      <c r="J830" s="20">
        <f>VLOOKUP(A830,Metrik!$C$2:$Y$959,10,0)</f>
        <v>11.9</v>
      </c>
      <c r="K830" s="20">
        <f>VLOOKUP(A830,Metrik!$C$2:$Y$959,11,0)</f>
        <v>6.5</v>
      </c>
      <c r="L830" s="20">
        <f>VLOOKUP(A830,Metrik!$C$2:$Y$959,12,0)</f>
        <v>0.82</v>
      </c>
      <c r="M830" s="20">
        <f>VLOOKUP(A830,Metrik!$C$2:$Y$959,19,0)</f>
        <v>42.1</v>
      </c>
      <c r="N830" s="21"/>
      <c r="O830" s="21"/>
      <c r="P830" s="21"/>
      <c r="Q830" s="21"/>
      <c r="R830" s="21"/>
      <c r="S830" s="21"/>
      <c r="T830" s="21"/>
      <c r="U830" s="22">
        <f>IFERROR(__xludf.DUMMYFUNCTION("IFERROR(GOOGLEFINANCE(A830,""closeyest""),"""")"),6250.0)</f>
        <v>6250</v>
      </c>
      <c r="V830" s="23">
        <f>IFERROR(__xludf.DUMMYFUNCTION("IFERROR(GOOGLEFINANCE(A830,""changepct""),"""")"),1.6)</f>
        <v>1.6</v>
      </c>
      <c r="W830" s="22">
        <f>IFERROR(__xludf.DUMMYFUNCTION("IFERROR(GOOGLEFINANCE(A830,""priceopen""),"""")"),6275.0)</f>
        <v>6275</v>
      </c>
      <c r="X830" s="22">
        <f>IFERROR(__xludf.DUMMYFUNCTION("IFERROR(GOOGLEFINANCE(A830,""high""),"""")"),6450.0)</f>
        <v>6450</v>
      </c>
      <c r="Y830" s="22">
        <f>IFERROR(__xludf.DUMMYFUNCTION("IFERROR(GOOGLEFINANCE(A830,""low""),"""")"),6175.0)</f>
        <v>6175</v>
      </c>
      <c r="Z830" s="22">
        <f>IFERROR(__xludf.DUMMYFUNCTION("IFERROR(GOOGLEFINANCE(A830,""volume""),"""")"),1.39841E7)</f>
        <v>13984100</v>
      </c>
      <c r="AA830" s="24" t="str">
        <f>VLOOKUP(A830,Metrik!$C$2:$Y$959,5,0)</f>
        <v>Processed Foods</v>
      </c>
      <c r="AB830" s="24" t="str">
        <f>VLOOKUP(A830,Metrik!$C$2:$Y$959,3,0)</f>
        <v>Consumer Non-Cyclicals</v>
      </c>
    </row>
    <row r="831">
      <c r="A831" s="14" t="s">
        <v>464</v>
      </c>
      <c r="B831" s="14" t="str">
        <f t="array" ref="B831">VLOOKUP(A831,{Metrik!$C$2:$C$998,Metrik!$B$2:$B$998},2,0)</f>
        <v>Indofood CBP Sukses Makmur Tbk.</v>
      </c>
      <c r="C831" s="15">
        <f>IFERROR(__xludf.DUMMYFUNCTION("GOOGLEFINANCE(""IDX:""&amp;A831,""price"")"),6350.0)</f>
        <v>6350</v>
      </c>
      <c r="D831" s="16" t="str">
        <f>IFERROR(__xludf.DUMMYFUNCTION("IF(A831="""","""",
SPARKLINE(
INDEX(
GOOGLEFINANCE(""IDX:""&amp;A831,""close"",TODAY()-365,TODAY()),
,2
),
{""linewidth"",1}
))
"),"#N/A")</f>
        <v>#N/A</v>
      </c>
      <c r="E831" s="14" t="s">
        <v>55</v>
      </c>
      <c r="F831" s="25">
        <v>46356.0</v>
      </c>
      <c r="G831" s="24">
        <f t="shared" si="6"/>
        <v>16</v>
      </c>
      <c r="H831" s="19">
        <f>VLOOKUP(A831,Metrik!$C$2:$Y$959,8,0)</f>
        <v>9.1</v>
      </c>
      <c r="I831" s="20">
        <f>VLOOKUP(A831,Metrik!$C$2:$Y$959,9,0)</f>
        <v>1.1</v>
      </c>
      <c r="J831" s="20">
        <f>VLOOKUP(A831,Metrik!$C$2:$Y$959,10,0)</f>
        <v>11.9</v>
      </c>
      <c r="K831" s="20">
        <f>VLOOKUP(A831,Metrik!$C$2:$Y$959,11,0)</f>
        <v>6.5</v>
      </c>
      <c r="L831" s="20">
        <f>VLOOKUP(A831,Metrik!$C$2:$Y$959,12,0)</f>
        <v>0.82</v>
      </c>
      <c r="M831" s="20">
        <f>VLOOKUP(A831,Metrik!$C$2:$Y$959,19,0)</f>
        <v>42.1</v>
      </c>
      <c r="N831" s="21"/>
      <c r="O831" s="21"/>
      <c r="P831" s="21"/>
      <c r="Q831" s="21"/>
      <c r="R831" s="21"/>
      <c r="S831" s="21"/>
      <c r="T831" s="21"/>
      <c r="U831" s="22">
        <f>IFERROR(__xludf.DUMMYFUNCTION("IFERROR(GOOGLEFINANCE(A831,""closeyest""),"""")"),6250.0)</f>
        <v>6250</v>
      </c>
      <c r="V831" s="23">
        <f>IFERROR(__xludf.DUMMYFUNCTION("IFERROR(GOOGLEFINANCE(A831,""changepct""),"""")"),1.6)</f>
        <v>1.6</v>
      </c>
      <c r="W831" s="22">
        <f>IFERROR(__xludf.DUMMYFUNCTION("IFERROR(GOOGLEFINANCE(A831,""priceopen""),"""")"),6275.0)</f>
        <v>6275</v>
      </c>
      <c r="X831" s="22">
        <f>IFERROR(__xludf.DUMMYFUNCTION("IFERROR(GOOGLEFINANCE(A831,""high""),"""")"),6450.0)</f>
        <v>6450</v>
      </c>
      <c r="Y831" s="22">
        <f>IFERROR(__xludf.DUMMYFUNCTION("IFERROR(GOOGLEFINANCE(A831,""low""),"""")"),6175.0)</f>
        <v>6175</v>
      </c>
      <c r="Z831" s="22">
        <f>IFERROR(__xludf.DUMMYFUNCTION("IFERROR(GOOGLEFINANCE(A831,""volume""),"""")"),1.39841E7)</f>
        <v>13984100</v>
      </c>
      <c r="AA831" s="24" t="str">
        <f>VLOOKUP(A831,Metrik!$C$2:$Y$959,5,0)</f>
        <v>Processed Foods</v>
      </c>
      <c r="AB831" s="24" t="str">
        <f>VLOOKUP(A831,Metrik!$C$2:$Y$959,3,0)</f>
        <v>Consumer Non-Cyclicals</v>
      </c>
    </row>
    <row r="832">
      <c r="A832" s="14" t="s">
        <v>464</v>
      </c>
      <c r="B832" s="14" t="str">
        <f t="array" ref="B832">VLOOKUP(A832,{Metrik!$C$2:$C$998,Metrik!$B$2:$B$998},2,0)</f>
        <v>Indofood CBP Sukses Makmur Tbk.</v>
      </c>
      <c r="C832" s="15">
        <f>IFERROR(__xludf.DUMMYFUNCTION("GOOGLEFINANCE(""IDX:""&amp;A832,""price"")"),6350.0)</f>
        <v>6350</v>
      </c>
      <c r="D832" s="16" t="str">
        <f>IFERROR(__xludf.DUMMYFUNCTION("IF(A832="""","""",
SPARKLINE(
INDEX(
GOOGLEFINANCE(""IDX:""&amp;A832,""close"",TODAY()-365,TODAY()),
,2
),
{""linewidth"",1}
))
"),"#N/A")</f>
        <v>#N/A</v>
      </c>
      <c r="E832" s="14" t="s">
        <v>68</v>
      </c>
      <c r="F832" s="14" t="s">
        <v>34</v>
      </c>
      <c r="G832" s="24">
        <f t="shared" si="6"/>
        <v>16</v>
      </c>
      <c r="H832" s="19">
        <f>VLOOKUP(A832,Metrik!$C$2:$Y$959,8,0)</f>
        <v>9.1</v>
      </c>
      <c r="I832" s="20">
        <f>VLOOKUP(A832,Metrik!$C$2:$Y$959,9,0)</f>
        <v>1.1</v>
      </c>
      <c r="J832" s="20">
        <f>VLOOKUP(A832,Metrik!$C$2:$Y$959,10,0)</f>
        <v>11.9</v>
      </c>
      <c r="K832" s="20">
        <f>VLOOKUP(A832,Metrik!$C$2:$Y$959,11,0)</f>
        <v>6.5</v>
      </c>
      <c r="L832" s="20">
        <f>VLOOKUP(A832,Metrik!$C$2:$Y$959,12,0)</f>
        <v>0.82</v>
      </c>
      <c r="M832" s="20">
        <f>VLOOKUP(A832,Metrik!$C$2:$Y$959,19,0)</f>
        <v>42.1</v>
      </c>
      <c r="N832" s="21"/>
      <c r="O832" s="21"/>
      <c r="P832" s="21"/>
      <c r="Q832" s="21"/>
      <c r="R832" s="21"/>
      <c r="S832" s="21"/>
      <c r="T832" s="21"/>
      <c r="U832" s="22">
        <f>IFERROR(__xludf.DUMMYFUNCTION("IFERROR(GOOGLEFINANCE(A832,""closeyest""),"""")"),6250.0)</f>
        <v>6250</v>
      </c>
      <c r="V832" s="23">
        <f>IFERROR(__xludf.DUMMYFUNCTION("IFERROR(GOOGLEFINANCE(A832,""changepct""),"""")"),1.6)</f>
        <v>1.6</v>
      </c>
      <c r="W832" s="22">
        <f>IFERROR(__xludf.DUMMYFUNCTION("IFERROR(GOOGLEFINANCE(A832,""priceopen""),"""")"),6275.0)</f>
        <v>6275</v>
      </c>
      <c r="X832" s="22">
        <f>IFERROR(__xludf.DUMMYFUNCTION("IFERROR(GOOGLEFINANCE(A832,""high""),"""")"),6450.0)</f>
        <v>6450</v>
      </c>
      <c r="Y832" s="22">
        <f>IFERROR(__xludf.DUMMYFUNCTION("IFERROR(GOOGLEFINANCE(A832,""low""),"""")"),6175.0)</f>
        <v>6175</v>
      </c>
      <c r="Z832" s="22">
        <f>IFERROR(__xludf.DUMMYFUNCTION("IFERROR(GOOGLEFINANCE(A832,""volume""),"""")"),1.39841E7)</f>
        <v>13984100</v>
      </c>
      <c r="AA832" s="24" t="str">
        <f>VLOOKUP(A832,Metrik!$C$2:$Y$959,5,0)</f>
        <v>Processed Foods</v>
      </c>
      <c r="AB832" s="24" t="str">
        <f>VLOOKUP(A832,Metrik!$C$2:$Y$959,3,0)</f>
        <v>Consumer Non-Cyclicals</v>
      </c>
    </row>
    <row r="833">
      <c r="A833" s="14" t="s">
        <v>464</v>
      </c>
      <c r="B833" s="14" t="str">
        <f t="array" ref="B833">VLOOKUP(A833,{Metrik!$C$2:$C$998,Metrik!$B$2:$B$998},2,0)</f>
        <v>Indofood CBP Sukses Makmur Tbk.</v>
      </c>
      <c r="C833" s="15">
        <f>IFERROR(__xludf.DUMMYFUNCTION("GOOGLEFINANCE(""IDX:""&amp;A833,""price"")"),6350.0)</f>
        <v>6350</v>
      </c>
      <c r="D833" s="16" t="str">
        <f>IFERROR(__xludf.DUMMYFUNCTION("IF(A833="""","""",
SPARKLINE(
INDEX(
GOOGLEFINANCE(""IDX:""&amp;A833,""close"",TODAY()-365,TODAY()),
,2
),
{""linewidth"",1}
))
"),"#N/A")</f>
        <v>#N/A</v>
      </c>
      <c r="E833" s="14" t="s">
        <v>32</v>
      </c>
      <c r="F833" s="14" t="s">
        <v>29</v>
      </c>
      <c r="G833" s="24">
        <f t="shared" si="6"/>
        <v>16</v>
      </c>
      <c r="H833" s="19">
        <f>VLOOKUP(A833,Metrik!$C$2:$Y$959,8,0)</f>
        <v>9.1</v>
      </c>
      <c r="I833" s="20">
        <f>VLOOKUP(A833,Metrik!$C$2:$Y$959,9,0)</f>
        <v>1.1</v>
      </c>
      <c r="J833" s="20">
        <f>VLOOKUP(A833,Metrik!$C$2:$Y$959,10,0)</f>
        <v>11.9</v>
      </c>
      <c r="K833" s="20">
        <f>VLOOKUP(A833,Metrik!$C$2:$Y$959,11,0)</f>
        <v>6.5</v>
      </c>
      <c r="L833" s="20">
        <f>VLOOKUP(A833,Metrik!$C$2:$Y$959,12,0)</f>
        <v>0.82</v>
      </c>
      <c r="M833" s="20">
        <f>VLOOKUP(A833,Metrik!$C$2:$Y$959,19,0)</f>
        <v>42.1</v>
      </c>
      <c r="N833" s="21"/>
      <c r="O833" s="21"/>
      <c r="P833" s="21"/>
      <c r="Q833" s="21"/>
      <c r="R833" s="21"/>
      <c r="S833" s="21"/>
      <c r="T833" s="21"/>
      <c r="U833" s="22">
        <f>IFERROR(__xludf.DUMMYFUNCTION("IFERROR(GOOGLEFINANCE(A833,""closeyest""),"""")"),6250.0)</f>
        <v>6250</v>
      </c>
      <c r="V833" s="23">
        <f>IFERROR(__xludf.DUMMYFUNCTION("IFERROR(GOOGLEFINANCE(A833,""changepct""),"""")"),1.6)</f>
        <v>1.6</v>
      </c>
      <c r="W833" s="22">
        <f>IFERROR(__xludf.DUMMYFUNCTION("IFERROR(GOOGLEFINANCE(A833,""priceopen""),"""")"),6275.0)</f>
        <v>6275</v>
      </c>
      <c r="X833" s="22">
        <f>IFERROR(__xludf.DUMMYFUNCTION("IFERROR(GOOGLEFINANCE(A833,""high""),"""")"),6450.0)</f>
        <v>6450</v>
      </c>
      <c r="Y833" s="22">
        <f>IFERROR(__xludf.DUMMYFUNCTION("IFERROR(GOOGLEFINANCE(A833,""low""),"""")"),6175.0)</f>
        <v>6175</v>
      </c>
      <c r="Z833" s="22">
        <f>IFERROR(__xludf.DUMMYFUNCTION("IFERROR(GOOGLEFINANCE(A833,""volume""),"""")"),1.39841E7)</f>
        <v>13984100</v>
      </c>
      <c r="AA833" s="24" t="str">
        <f>VLOOKUP(A833,Metrik!$C$2:$Y$959,5,0)</f>
        <v>Processed Foods</v>
      </c>
      <c r="AB833" s="24" t="str">
        <f>VLOOKUP(A833,Metrik!$C$2:$Y$959,3,0)</f>
        <v>Consumer Non-Cyclicals</v>
      </c>
    </row>
    <row r="834">
      <c r="A834" s="14" t="s">
        <v>464</v>
      </c>
      <c r="B834" s="14" t="str">
        <f t="array" ref="B834">VLOOKUP(A834,{Metrik!$C$2:$C$998,Metrik!$B$2:$B$998},2,0)</f>
        <v>Indofood CBP Sukses Makmur Tbk.</v>
      </c>
      <c r="C834" s="15">
        <f>IFERROR(__xludf.DUMMYFUNCTION("GOOGLEFINANCE(""IDX:""&amp;A834,""price"")"),6350.0)</f>
        <v>6350</v>
      </c>
      <c r="D834" s="16" t="str">
        <f>IFERROR(__xludf.DUMMYFUNCTION("IF(A834="""","""",
SPARKLINE(
INDEX(
GOOGLEFINANCE(""IDX:""&amp;A834,""close"",TODAY()-365,TODAY()),
,2
),
{""linewidth"",1}
))
"),"#N/A")</f>
        <v>#N/A</v>
      </c>
      <c r="E834" s="14" t="s">
        <v>84</v>
      </c>
      <c r="F834" s="17" t="s">
        <v>51</v>
      </c>
      <c r="G834" s="24">
        <f t="shared" si="6"/>
        <v>16</v>
      </c>
      <c r="H834" s="19">
        <f>VLOOKUP(A834,Metrik!$C$2:$Y$959,8,0)</f>
        <v>9.1</v>
      </c>
      <c r="I834" s="20">
        <f>VLOOKUP(A834,Metrik!$C$2:$Y$959,9,0)</f>
        <v>1.1</v>
      </c>
      <c r="J834" s="20">
        <f>VLOOKUP(A834,Metrik!$C$2:$Y$959,10,0)</f>
        <v>11.9</v>
      </c>
      <c r="K834" s="20">
        <f>VLOOKUP(A834,Metrik!$C$2:$Y$959,11,0)</f>
        <v>6.5</v>
      </c>
      <c r="L834" s="20">
        <f>VLOOKUP(A834,Metrik!$C$2:$Y$959,12,0)</f>
        <v>0.82</v>
      </c>
      <c r="M834" s="20">
        <f>VLOOKUP(A834,Metrik!$C$2:$Y$959,19,0)</f>
        <v>42.1</v>
      </c>
      <c r="N834" s="21"/>
      <c r="O834" s="21"/>
      <c r="P834" s="21"/>
      <c r="Q834" s="21"/>
      <c r="R834" s="21"/>
      <c r="S834" s="21"/>
      <c r="T834" s="21"/>
      <c r="U834" s="22">
        <f>IFERROR(__xludf.DUMMYFUNCTION("IFERROR(GOOGLEFINANCE(A834,""closeyest""),"""")"),6250.0)</f>
        <v>6250</v>
      </c>
      <c r="V834" s="23">
        <f>IFERROR(__xludf.DUMMYFUNCTION("IFERROR(GOOGLEFINANCE(A834,""changepct""),"""")"),1.6)</f>
        <v>1.6</v>
      </c>
      <c r="W834" s="22">
        <f>IFERROR(__xludf.DUMMYFUNCTION("IFERROR(GOOGLEFINANCE(A834,""priceopen""),"""")"),6275.0)</f>
        <v>6275</v>
      </c>
      <c r="X834" s="22">
        <f>IFERROR(__xludf.DUMMYFUNCTION("IFERROR(GOOGLEFINANCE(A834,""high""),"""")"),6450.0)</f>
        <v>6450</v>
      </c>
      <c r="Y834" s="22">
        <f>IFERROR(__xludf.DUMMYFUNCTION("IFERROR(GOOGLEFINANCE(A834,""low""),"""")"),6175.0)</f>
        <v>6175</v>
      </c>
      <c r="Z834" s="22">
        <f>IFERROR(__xludf.DUMMYFUNCTION("IFERROR(GOOGLEFINANCE(A834,""volume""),"""")"),1.39841E7)</f>
        <v>13984100</v>
      </c>
      <c r="AA834" s="24" t="str">
        <f>VLOOKUP(A834,Metrik!$C$2:$Y$959,5,0)</f>
        <v>Processed Foods</v>
      </c>
      <c r="AB834" s="24" t="str">
        <f>VLOOKUP(A834,Metrik!$C$2:$Y$959,3,0)</f>
        <v>Consumer Non-Cyclicals</v>
      </c>
    </row>
    <row r="835">
      <c r="A835" s="14" t="s">
        <v>464</v>
      </c>
      <c r="B835" s="14" t="str">
        <f t="array" ref="B835">VLOOKUP(A835,{Metrik!$C$2:$C$998,Metrik!$B$2:$B$998},2,0)</f>
        <v>Indofood CBP Sukses Makmur Tbk.</v>
      </c>
      <c r="C835" s="15">
        <f>IFERROR(__xludf.DUMMYFUNCTION("GOOGLEFINANCE(""IDX:""&amp;A835,""price"")"),6350.0)</f>
        <v>6350</v>
      </c>
      <c r="D835" s="16" t="str">
        <f>IFERROR(__xludf.DUMMYFUNCTION("IF(A835="""","""",
SPARKLINE(
INDEX(
GOOGLEFINANCE(""IDX:""&amp;A835,""close"",TODAY()-365,TODAY()),
,2
),
{""linewidth"",1}
))
"),"#N/A")</f>
        <v>#N/A</v>
      </c>
      <c r="E835" s="14" t="s">
        <v>102</v>
      </c>
      <c r="F835" s="27" t="s">
        <v>53</v>
      </c>
      <c r="G835" s="24">
        <f t="shared" si="6"/>
        <v>16</v>
      </c>
      <c r="H835" s="19">
        <f>VLOOKUP(A835,Metrik!$C$2:$Y$959,8,0)</f>
        <v>9.1</v>
      </c>
      <c r="I835" s="20">
        <f>VLOOKUP(A835,Metrik!$C$2:$Y$959,9,0)</f>
        <v>1.1</v>
      </c>
      <c r="J835" s="20">
        <f>VLOOKUP(A835,Metrik!$C$2:$Y$959,10,0)</f>
        <v>11.9</v>
      </c>
      <c r="K835" s="20">
        <f>VLOOKUP(A835,Metrik!$C$2:$Y$959,11,0)</f>
        <v>6.5</v>
      </c>
      <c r="L835" s="20">
        <f>VLOOKUP(A835,Metrik!$C$2:$Y$959,12,0)</f>
        <v>0.82</v>
      </c>
      <c r="M835" s="20">
        <f>VLOOKUP(A835,Metrik!$C$2:$Y$959,19,0)</f>
        <v>42.1</v>
      </c>
      <c r="N835" s="21"/>
      <c r="O835" s="21"/>
      <c r="P835" s="21"/>
      <c r="Q835" s="21"/>
      <c r="R835" s="21"/>
      <c r="S835" s="21"/>
      <c r="T835" s="21"/>
      <c r="U835" s="22">
        <f>IFERROR(__xludf.DUMMYFUNCTION("IFERROR(GOOGLEFINANCE(A835,""closeyest""),"""")"),6250.0)</f>
        <v>6250</v>
      </c>
      <c r="V835" s="23">
        <f>IFERROR(__xludf.DUMMYFUNCTION("IFERROR(GOOGLEFINANCE(A835,""changepct""),"""")"),1.6)</f>
        <v>1.6</v>
      </c>
      <c r="W835" s="22">
        <f>IFERROR(__xludf.DUMMYFUNCTION("IFERROR(GOOGLEFINANCE(A835,""priceopen""),"""")"),6275.0)</f>
        <v>6275</v>
      </c>
      <c r="X835" s="22">
        <f>IFERROR(__xludf.DUMMYFUNCTION("IFERROR(GOOGLEFINANCE(A835,""high""),"""")"),6450.0)</f>
        <v>6450</v>
      </c>
      <c r="Y835" s="22">
        <f>IFERROR(__xludf.DUMMYFUNCTION("IFERROR(GOOGLEFINANCE(A835,""low""),"""")"),6175.0)</f>
        <v>6175</v>
      </c>
      <c r="Z835" s="22">
        <f>IFERROR(__xludf.DUMMYFUNCTION("IFERROR(GOOGLEFINANCE(A835,""volume""),"""")"),1.39841E7)</f>
        <v>13984100</v>
      </c>
      <c r="AA835" s="24" t="str">
        <f>VLOOKUP(A835,Metrik!$C$2:$Y$959,5,0)</f>
        <v>Processed Foods</v>
      </c>
      <c r="AB835" s="24" t="str">
        <f>VLOOKUP(A835,Metrik!$C$2:$Y$959,3,0)</f>
        <v>Consumer Non-Cyclicals</v>
      </c>
    </row>
    <row r="836">
      <c r="A836" s="14" t="s">
        <v>464</v>
      </c>
      <c r="B836" s="14" t="str">
        <f t="array" ref="B836">VLOOKUP(A836,{Metrik!$C$2:$C$998,Metrik!$B$2:$B$998},2,0)</f>
        <v>Indofood CBP Sukses Makmur Tbk.</v>
      </c>
      <c r="C836" s="15">
        <f>IFERROR(__xludf.DUMMYFUNCTION("GOOGLEFINANCE(""IDX:""&amp;A836,""price"")"),6350.0)</f>
        <v>6350</v>
      </c>
      <c r="D836" s="16" t="str">
        <f>IFERROR(__xludf.DUMMYFUNCTION("IF(A836="""","""",
SPARKLINE(
INDEX(
GOOGLEFINANCE(""IDX:""&amp;A836,""close"",TODAY()-365,TODAY()),
,2
),
{""linewidth"",1}
))
"),"#N/A")</f>
        <v>#N/A</v>
      </c>
      <c r="E836" s="14" t="s">
        <v>30</v>
      </c>
      <c r="F836" s="17" t="s">
        <v>29</v>
      </c>
      <c r="G836" s="24">
        <f t="shared" si="6"/>
        <v>16</v>
      </c>
      <c r="H836" s="19">
        <f>VLOOKUP(A836,Metrik!$C$2:$Y$959,8,0)</f>
        <v>9.1</v>
      </c>
      <c r="I836" s="20">
        <f>VLOOKUP(A836,Metrik!$C$2:$Y$959,9,0)</f>
        <v>1.1</v>
      </c>
      <c r="J836" s="20">
        <f>VLOOKUP(A836,Metrik!$C$2:$Y$959,10,0)</f>
        <v>11.9</v>
      </c>
      <c r="K836" s="20">
        <f>VLOOKUP(A836,Metrik!$C$2:$Y$959,11,0)</f>
        <v>6.5</v>
      </c>
      <c r="L836" s="20">
        <f>VLOOKUP(A836,Metrik!$C$2:$Y$959,12,0)</f>
        <v>0.82</v>
      </c>
      <c r="M836" s="20">
        <f>VLOOKUP(A836,Metrik!$C$2:$Y$959,19,0)</f>
        <v>42.1</v>
      </c>
      <c r="N836" s="21"/>
      <c r="O836" s="21"/>
      <c r="P836" s="21"/>
      <c r="Q836" s="21"/>
      <c r="R836" s="21"/>
      <c r="S836" s="21"/>
      <c r="T836" s="21"/>
      <c r="U836" s="22">
        <f>IFERROR(__xludf.DUMMYFUNCTION("IFERROR(GOOGLEFINANCE(A836,""closeyest""),"""")"),6250.0)</f>
        <v>6250</v>
      </c>
      <c r="V836" s="23">
        <f>IFERROR(__xludf.DUMMYFUNCTION("IFERROR(GOOGLEFINANCE(A836,""changepct""),"""")"),1.6)</f>
        <v>1.6</v>
      </c>
      <c r="W836" s="22">
        <f>IFERROR(__xludf.DUMMYFUNCTION("IFERROR(GOOGLEFINANCE(A836,""priceopen""),"""")"),6275.0)</f>
        <v>6275</v>
      </c>
      <c r="X836" s="22">
        <f>IFERROR(__xludf.DUMMYFUNCTION("IFERROR(GOOGLEFINANCE(A836,""high""),"""")"),6450.0)</f>
        <v>6450</v>
      </c>
      <c r="Y836" s="22">
        <f>IFERROR(__xludf.DUMMYFUNCTION("IFERROR(GOOGLEFINANCE(A836,""low""),"""")"),6175.0)</f>
        <v>6175</v>
      </c>
      <c r="Z836" s="22">
        <f>IFERROR(__xludf.DUMMYFUNCTION("IFERROR(GOOGLEFINANCE(A836,""volume""),"""")"),1.39841E7)</f>
        <v>13984100</v>
      </c>
      <c r="AA836" s="24" t="str">
        <f>VLOOKUP(A836,Metrik!$C$2:$Y$959,5,0)</f>
        <v>Processed Foods</v>
      </c>
      <c r="AB836" s="24" t="str">
        <f>VLOOKUP(A836,Metrik!$C$2:$Y$959,3,0)</f>
        <v>Consumer Non-Cyclicals</v>
      </c>
    </row>
    <row r="837">
      <c r="A837" s="14" t="s">
        <v>464</v>
      </c>
      <c r="B837" s="14" t="str">
        <f t="array" ref="B837">VLOOKUP(A837,{Metrik!$C$2:$C$998,Metrik!$B$2:$B$998},2,0)</f>
        <v>Indofood CBP Sukses Makmur Tbk.</v>
      </c>
      <c r="C837" s="15">
        <f>IFERROR(__xludf.DUMMYFUNCTION("GOOGLEFINANCE(""IDX:""&amp;A837,""price"")"),6350.0)</f>
        <v>6350</v>
      </c>
      <c r="D837" s="16" t="str">
        <f>IFERROR(__xludf.DUMMYFUNCTION("IF(A837="""","""",
SPARKLINE(
INDEX(
GOOGLEFINANCE(""IDX:""&amp;A837,""close"",TODAY()-365,TODAY()),
,2
),
{""linewidth"",1}
))
"),"#N/A")</f>
        <v>#N/A</v>
      </c>
      <c r="E837" s="14" t="s">
        <v>31</v>
      </c>
      <c r="F837" s="17" t="s">
        <v>29</v>
      </c>
      <c r="G837" s="24">
        <f t="shared" si="6"/>
        <v>16</v>
      </c>
      <c r="H837" s="19">
        <f>VLOOKUP(A837,Metrik!$C$2:$Y$959,8,0)</f>
        <v>9.1</v>
      </c>
      <c r="I837" s="20">
        <f>VLOOKUP(A837,Metrik!$C$2:$Y$959,9,0)</f>
        <v>1.1</v>
      </c>
      <c r="J837" s="20">
        <f>VLOOKUP(A837,Metrik!$C$2:$Y$959,10,0)</f>
        <v>11.9</v>
      </c>
      <c r="K837" s="20">
        <f>VLOOKUP(A837,Metrik!$C$2:$Y$959,11,0)</f>
        <v>6.5</v>
      </c>
      <c r="L837" s="20">
        <f>VLOOKUP(A837,Metrik!$C$2:$Y$959,12,0)</f>
        <v>0.82</v>
      </c>
      <c r="M837" s="20">
        <f>VLOOKUP(A837,Metrik!$C$2:$Y$959,19,0)</f>
        <v>42.1</v>
      </c>
      <c r="N837" s="21"/>
      <c r="O837" s="21"/>
      <c r="P837" s="21"/>
      <c r="Q837" s="21"/>
      <c r="R837" s="21"/>
      <c r="S837" s="21"/>
      <c r="T837" s="21"/>
      <c r="U837" s="22">
        <f>IFERROR(__xludf.DUMMYFUNCTION("IFERROR(GOOGLEFINANCE(A837,""closeyest""),"""")"),6250.0)</f>
        <v>6250</v>
      </c>
      <c r="V837" s="23">
        <f>IFERROR(__xludf.DUMMYFUNCTION("IFERROR(GOOGLEFINANCE(A837,""changepct""),"""")"),1.6)</f>
        <v>1.6</v>
      </c>
      <c r="W837" s="22">
        <f>IFERROR(__xludf.DUMMYFUNCTION("IFERROR(GOOGLEFINANCE(A837,""priceopen""),"""")"),6275.0)</f>
        <v>6275</v>
      </c>
      <c r="X837" s="22">
        <f>IFERROR(__xludf.DUMMYFUNCTION("IFERROR(GOOGLEFINANCE(A837,""high""),"""")"),6450.0)</f>
        <v>6450</v>
      </c>
      <c r="Y837" s="22">
        <f>IFERROR(__xludf.DUMMYFUNCTION("IFERROR(GOOGLEFINANCE(A837,""low""),"""")"),6175.0)</f>
        <v>6175</v>
      </c>
      <c r="Z837" s="22">
        <f>IFERROR(__xludf.DUMMYFUNCTION("IFERROR(GOOGLEFINANCE(A837,""volume""),"""")"),1.39841E7)</f>
        <v>13984100</v>
      </c>
      <c r="AA837" s="24" t="str">
        <f>VLOOKUP(A837,Metrik!$C$2:$Y$959,5,0)</f>
        <v>Processed Foods</v>
      </c>
      <c r="AB837" s="24" t="str">
        <f>VLOOKUP(A837,Metrik!$C$2:$Y$959,3,0)</f>
        <v>Consumer Non-Cyclicals</v>
      </c>
    </row>
    <row r="838">
      <c r="A838" s="14" t="s">
        <v>464</v>
      </c>
      <c r="B838" s="14" t="str">
        <f t="array" ref="B838">VLOOKUP(A838,{Metrik!$C$2:$C$998,Metrik!$B$2:$B$998},2,0)</f>
        <v>Indofood CBP Sukses Makmur Tbk.</v>
      </c>
      <c r="C838" s="15">
        <f>IFERROR(__xludf.DUMMYFUNCTION("GOOGLEFINANCE(""IDX:""&amp;A838,""price"")"),6350.0)</f>
        <v>6350</v>
      </c>
      <c r="D838" s="16" t="str">
        <f>IFERROR(__xludf.DUMMYFUNCTION("IF(A838="""","""",
SPARKLINE(
INDEX(
GOOGLEFINANCE(""IDX:""&amp;A838,""close"",TODAY()-365,TODAY()),
,2
),
{""linewidth"",1}
))
"),"#N/A")</f>
        <v>#N/A</v>
      </c>
      <c r="E838" s="14" t="s">
        <v>28</v>
      </c>
      <c r="F838" s="17" t="s">
        <v>29</v>
      </c>
      <c r="G838" s="24">
        <f t="shared" si="6"/>
        <v>16</v>
      </c>
      <c r="H838" s="19">
        <f>VLOOKUP(A838,Metrik!$C$2:$Y$959,8,0)</f>
        <v>9.1</v>
      </c>
      <c r="I838" s="20">
        <f>VLOOKUP(A838,Metrik!$C$2:$Y$959,9,0)</f>
        <v>1.1</v>
      </c>
      <c r="J838" s="20">
        <f>VLOOKUP(A838,Metrik!$C$2:$Y$959,10,0)</f>
        <v>11.9</v>
      </c>
      <c r="K838" s="20">
        <f>VLOOKUP(A838,Metrik!$C$2:$Y$959,11,0)</f>
        <v>6.5</v>
      </c>
      <c r="L838" s="20">
        <f>VLOOKUP(A838,Metrik!$C$2:$Y$959,12,0)</f>
        <v>0.82</v>
      </c>
      <c r="M838" s="20">
        <f>VLOOKUP(A838,Metrik!$C$2:$Y$959,19,0)</f>
        <v>42.1</v>
      </c>
      <c r="N838" s="21"/>
      <c r="O838" s="21"/>
      <c r="P838" s="21"/>
      <c r="Q838" s="21"/>
      <c r="R838" s="21"/>
      <c r="S838" s="21"/>
      <c r="T838" s="21"/>
      <c r="U838" s="22">
        <f>IFERROR(__xludf.DUMMYFUNCTION("IFERROR(GOOGLEFINANCE(A838,""closeyest""),"""")"),6250.0)</f>
        <v>6250</v>
      </c>
      <c r="V838" s="23">
        <f>IFERROR(__xludf.DUMMYFUNCTION("IFERROR(GOOGLEFINANCE(A838,""changepct""),"""")"),1.6)</f>
        <v>1.6</v>
      </c>
      <c r="W838" s="22">
        <f>IFERROR(__xludf.DUMMYFUNCTION("IFERROR(GOOGLEFINANCE(A838,""priceopen""),"""")"),6275.0)</f>
        <v>6275</v>
      </c>
      <c r="X838" s="22">
        <f>IFERROR(__xludf.DUMMYFUNCTION("IFERROR(GOOGLEFINANCE(A838,""high""),"""")"),6450.0)</f>
        <v>6450</v>
      </c>
      <c r="Y838" s="22">
        <f>IFERROR(__xludf.DUMMYFUNCTION("IFERROR(GOOGLEFINANCE(A838,""low""),"""")"),6175.0)</f>
        <v>6175</v>
      </c>
      <c r="Z838" s="22">
        <f>IFERROR(__xludf.DUMMYFUNCTION("IFERROR(GOOGLEFINANCE(A838,""volume""),"""")"),1.39841E7)</f>
        <v>13984100</v>
      </c>
      <c r="AA838" s="24" t="str">
        <f>VLOOKUP(A838,Metrik!$C$2:$Y$959,5,0)</f>
        <v>Processed Foods</v>
      </c>
      <c r="AB838" s="24" t="str">
        <f>VLOOKUP(A838,Metrik!$C$2:$Y$959,3,0)</f>
        <v>Consumer Non-Cyclicals</v>
      </c>
    </row>
    <row r="839">
      <c r="A839" s="17" t="s">
        <v>464</v>
      </c>
      <c r="B839" s="14" t="str">
        <f t="array" ref="B839">VLOOKUP(A839,{Metrik!$C$2:$C$998,Metrik!$B$2:$B$998},2,0)</f>
        <v>Indofood CBP Sukses Makmur Tbk.</v>
      </c>
      <c r="C839" s="15">
        <f>IFERROR(__xludf.DUMMYFUNCTION("GOOGLEFINANCE(""IDX:""&amp;A839,""price"")"),6350.0)</f>
        <v>6350</v>
      </c>
      <c r="D839" s="16" t="str">
        <f>IFERROR(__xludf.DUMMYFUNCTION("IF(A839="""","""",
SPARKLINE(
INDEX(
GOOGLEFINANCE(""IDX:""&amp;A839,""close"",TODAY()-365,TODAY()),
,2
),
{""linewidth"",1}
))
"),"#N/A")</f>
        <v>#N/A</v>
      </c>
      <c r="E839" s="14" t="s">
        <v>67</v>
      </c>
      <c r="F839" s="17" t="s">
        <v>51</v>
      </c>
      <c r="G839" s="38">
        <f>COUNTIFS($B$2:$B$1933,B839,$E$2:$E$1933,"&lt;&gt;")</f>
        <v>16</v>
      </c>
      <c r="H839" s="19">
        <f>VLOOKUP(A839,Metrik!$C$2:$Y$959,8,0)</f>
        <v>9.1</v>
      </c>
      <c r="I839" s="20">
        <f>VLOOKUP(A839,Metrik!$C$2:$Y$959,9,0)</f>
        <v>1.1</v>
      </c>
      <c r="J839" s="20">
        <f>VLOOKUP(A839,Metrik!$C$2:$Y$959,10,0)</f>
        <v>11.9</v>
      </c>
      <c r="K839" s="20">
        <f>VLOOKUP(A839,Metrik!$C$2:$Y$959,11,0)</f>
        <v>6.5</v>
      </c>
      <c r="L839" s="20">
        <f>VLOOKUP(A839,Metrik!$C$2:$Y$959,12,0)</f>
        <v>0.82</v>
      </c>
      <c r="M839" s="20">
        <f>VLOOKUP(A839,Metrik!$C$2:$Y$959,19,0)</f>
        <v>42.1</v>
      </c>
      <c r="N839" s="46"/>
      <c r="O839" s="46"/>
      <c r="P839" s="46"/>
      <c r="Q839" s="46"/>
      <c r="R839" s="46"/>
      <c r="S839" s="46"/>
      <c r="T839" s="46"/>
      <c r="U839" s="22">
        <f>IFERROR(__xludf.DUMMYFUNCTION("IFERROR(GOOGLEFINANCE(A839,""closeyest""),"""")"),6250.0)</f>
        <v>6250</v>
      </c>
      <c r="V839" s="23">
        <f>IFERROR(__xludf.DUMMYFUNCTION("IFERROR(GOOGLEFINANCE(A839,""changepct""),"""")"),1.6)</f>
        <v>1.6</v>
      </c>
      <c r="W839" s="22">
        <f>IFERROR(__xludf.DUMMYFUNCTION("IFERROR(GOOGLEFINANCE(A839,""priceopen""),"""")"),6275.0)</f>
        <v>6275</v>
      </c>
      <c r="X839" s="22">
        <f>IFERROR(__xludf.DUMMYFUNCTION("IFERROR(GOOGLEFINANCE(A839,""high""),"""")"),6450.0)</f>
        <v>6450</v>
      </c>
      <c r="Y839" s="22">
        <f>IFERROR(__xludf.DUMMYFUNCTION("IFERROR(GOOGLEFINANCE(A839,""low""),"""")"),6175.0)</f>
        <v>6175</v>
      </c>
      <c r="Z839" s="22">
        <f>IFERROR(__xludf.DUMMYFUNCTION("IFERROR(GOOGLEFINANCE(A839,""volume""),"""")"),1.39841E7)</f>
        <v>13984100</v>
      </c>
      <c r="AA839" s="24" t="str">
        <f>VLOOKUP(A839,Metrik!$C$2:$Y$959,5,0)</f>
        <v>Processed Foods</v>
      </c>
      <c r="AB839" s="24" t="str">
        <f>VLOOKUP(A839,Metrik!$C$2:$Y$959,3,0)</f>
        <v>Consumer Non-Cyclicals</v>
      </c>
    </row>
    <row r="840">
      <c r="A840" s="48" t="s">
        <v>464</v>
      </c>
      <c r="B840" s="14" t="str">
        <f t="array" ref="B840">VLOOKUP(A840,{Metrik!$C$2:$C$998,Metrik!$B$2:$B$998},2,0)</f>
        <v>Indofood CBP Sukses Makmur Tbk.</v>
      </c>
      <c r="C840" s="15">
        <f>IFERROR(__xludf.DUMMYFUNCTION("GOOGLEFINANCE(""IDX:""&amp;A840,""price"")"),6350.0)</f>
        <v>6350</v>
      </c>
      <c r="D840" s="16" t="str">
        <f>IFERROR(__xludf.DUMMYFUNCTION("IF(A840="""","""",
SPARKLINE(
INDEX(
GOOGLEFINANCE(""IDX:""&amp;A840,""close"",TODAY()-365,TODAY()),
,2
),
{""linewidth"",1}
))
"),"#N/A")</f>
        <v>#N/A</v>
      </c>
      <c r="E840" s="17" t="s">
        <v>69</v>
      </c>
      <c r="F840" s="17" t="s">
        <v>70</v>
      </c>
      <c r="G840" s="24">
        <f t="shared" ref="G840:G1161" si="7">COUNTIFS($B$2:$B$1937,B840,$E$2:$E$1937,"&lt;&gt;")</f>
        <v>16</v>
      </c>
      <c r="H840" s="19">
        <f>VLOOKUP(A840,Metrik!$C$2:$Y$959,8,0)</f>
        <v>9.1</v>
      </c>
      <c r="I840" s="20">
        <f>VLOOKUP(A840,Metrik!$C$2:$Y$959,9,0)</f>
        <v>1.1</v>
      </c>
      <c r="J840" s="20">
        <f>VLOOKUP(A840,Metrik!$C$2:$Y$959,10,0)</f>
        <v>11.9</v>
      </c>
      <c r="K840" s="20">
        <f>VLOOKUP(A840,Metrik!$C$2:$Y$959,11,0)</f>
        <v>6.5</v>
      </c>
      <c r="L840" s="20">
        <f>VLOOKUP(A840,Metrik!$C$2:$Y$959,12,0)</f>
        <v>0.82</v>
      </c>
      <c r="M840" s="20">
        <f>VLOOKUP(A840,Metrik!$C$2:$Y$959,19,0)</f>
        <v>42.1</v>
      </c>
      <c r="N840" s="21"/>
      <c r="O840" s="21"/>
      <c r="P840" s="21"/>
      <c r="Q840" s="21"/>
      <c r="R840" s="21"/>
      <c r="S840" s="21"/>
      <c r="T840" s="21"/>
      <c r="U840" s="22">
        <f>IFERROR(__xludf.DUMMYFUNCTION("IFERROR(GOOGLEFINANCE(A840,""closeyest""),"""")"),6250.0)</f>
        <v>6250</v>
      </c>
      <c r="V840" s="23">
        <f>IFERROR(__xludf.DUMMYFUNCTION("IFERROR(GOOGLEFINANCE(A840,""changepct""),"""")"),1.6)</f>
        <v>1.6</v>
      </c>
      <c r="W840" s="22">
        <f>IFERROR(__xludf.DUMMYFUNCTION("IFERROR(GOOGLEFINANCE(A840,""priceopen""),"""")"),6275.0)</f>
        <v>6275</v>
      </c>
      <c r="X840" s="22">
        <f>IFERROR(__xludf.DUMMYFUNCTION("IFERROR(GOOGLEFINANCE(A840,""high""),"""")"),6450.0)</f>
        <v>6450</v>
      </c>
      <c r="Y840" s="22">
        <f>IFERROR(__xludf.DUMMYFUNCTION("IFERROR(GOOGLEFINANCE(A840,""low""),"""")"),6175.0)</f>
        <v>6175</v>
      </c>
      <c r="Z840" s="22">
        <f>IFERROR(__xludf.DUMMYFUNCTION("IFERROR(GOOGLEFINANCE(A840,""volume""),"""")"),1.39841E7)</f>
        <v>13984100</v>
      </c>
      <c r="AA840" s="24" t="str">
        <f>VLOOKUP(A840,Metrik!$C$2:$Y$959,5,0)</f>
        <v>Processed Foods</v>
      </c>
      <c r="AB840" s="24" t="str">
        <f>VLOOKUP(A840,Metrik!$C$2:$Y$959,3,0)</f>
        <v>Consumer Non-Cyclicals</v>
      </c>
    </row>
    <row r="841">
      <c r="A841" s="14" t="s">
        <v>464</v>
      </c>
      <c r="B841" s="14" t="str">
        <f t="array" ref="B841">VLOOKUP(A841,{Metrik!$C$2:$C$998,Metrik!$B$2:$B$998},2,0)</f>
        <v>Indofood CBP Sukses Makmur Tbk.</v>
      </c>
      <c r="C841" s="15">
        <f>IFERROR(__xludf.DUMMYFUNCTION("GOOGLEFINANCE(""IDX:""&amp;A841,""price"")"),6350.0)</f>
        <v>6350</v>
      </c>
      <c r="D841" s="16" t="str">
        <f>IFERROR(__xludf.DUMMYFUNCTION("IF(A841="""","""",
SPARKLINE(
INDEX(
GOOGLEFINANCE(""IDX:""&amp;A841,""close"",TODAY()-365,TODAY()),
,2
),
{""linewidth"",1}
))
"),"#N/A")</f>
        <v>#N/A</v>
      </c>
      <c r="E841" s="14" t="s">
        <v>86</v>
      </c>
      <c r="F841" s="25">
        <v>46356.0</v>
      </c>
      <c r="G841" s="24">
        <f t="shared" si="7"/>
        <v>16</v>
      </c>
      <c r="H841" s="19">
        <f>VLOOKUP(A841,Metrik!$C$2:$Y$959,8,0)</f>
        <v>9.1</v>
      </c>
      <c r="I841" s="20">
        <f>VLOOKUP(A841,Metrik!$C$2:$Y$959,9,0)</f>
        <v>1.1</v>
      </c>
      <c r="J841" s="20">
        <f>VLOOKUP(A841,Metrik!$C$2:$Y$959,10,0)</f>
        <v>11.9</v>
      </c>
      <c r="K841" s="20">
        <f>VLOOKUP(A841,Metrik!$C$2:$Y$959,11,0)</f>
        <v>6.5</v>
      </c>
      <c r="L841" s="20">
        <f>VLOOKUP(A841,Metrik!$C$2:$Y$959,12,0)</f>
        <v>0.82</v>
      </c>
      <c r="M841" s="20">
        <f>VLOOKUP(A841,Metrik!$C$2:$Y$959,19,0)</f>
        <v>42.1</v>
      </c>
      <c r="N841" s="21"/>
      <c r="O841" s="21"/>
      <c r="P841" s="21"/>
      <c r="Q841" s="21"/>
      <c r="R841" s="21"/>
      <c r="S841" s="21"/>
      <c r="T841" s="21"/>
      <c r="U841" s="22">
        <f>IFERROR(__xludf.DUMMYFUNCTION("IFERROR(GOOGLEFINANCE(A841,""closeyest""),"""")"),6250.0)</f>
        <v>6250</v>
      </c>
      <c r="V841" s="23">
        <f>IFERROR(__xludf.DUMMYFUNCTION("IFERROR(GOOGLEFINANCE(A841,""changepct""),"""")"),1.6)</f>
        <v>1.6</v>
      </c>
      <c r="W841" s="22">
        <f>IFERROR(__xludf.DUMMYFUNCTION("IFERROR(GOOGLEFINANCE(A841,""priceopen""),"""")"),6275.0)</f>
        <v>6275</v>
      </c>
      <c r="X841" s="22">
        <f>IFERROR(__xludf.DUMMYFUNCTION("IFERROR(GOOGLEFINANCE(A841,""high""),"""")"),6450.0)</f>
        <v>6450</v>
      </c>
      <c r="Y841" s="22">
        <f>IFERROR(__xludf.DUMMYFUNCTION("IFERROR(GOOGLEFINANCE(A841,""low""),"""")"),6175.0)</f>
        <v>6175</v>
      </c>
      <c r="Z841" s="22">
        <f>IFERROR(__xludf.DUMMYFUNCTION("IFERROR(GOOGLEFINANCE(A841,""volume""),"""")"),1.39841E7)</f>
        <v>13984100</v>
      </c>
      <c r="AA841" s="24" t="str">
        <f>VLOOKUP(A841,Metrik!$C$2:$Y$959,5,0)</f>
        <v>Processed Foods</v>
      </c>
      <c r="AB841" s="24" t="str">
        <f>VLOOKUP(A841,Metrik!$C$2:$Y$959,3,0)</f>
        <v>Consumer Non-Cyclicals</v>
      </c>
    </row>
    <row r="842">
      <c r="A842" s="14" t="s">
        <v>464</v>
      </c>
      <c r="B842" s="14" t="str">
        <f t="array" ref="B842">VLOOKUP(A842,{Metrik!$C$2:$C$998,Metrik!$B$2:$B$998},2,0)</f>
        <v>Indofood CBP Sukses Makmur Tbk.</v>
      </c>
      <c r="C842" s="15">
        <f>IFERROR(__xludf.DUMMYFUNCTION("GOOGLEFINANCE(""IDX:""&amp;A842,""price"")"),6350.0)</f>
        <v>6350</v>
      </c>
      <c r="D842" s="16" t="str">
        <f>IFERROR(__xludf.DUMMYFUNCTION("IF(A842="""","""",
SPARKLINE(
INDEX(
GOOGLEFINANCE(""IDX:""&amp;A842,""close"",TODAY()-365,TODAY()),
,2
),
{""linewidth"",1}
))
"),"#N/A")</f>
        <v>#N/A</v>
      </c>
      <c r="E842" s="14" t="s">
        <v>42</v>
      </c>
      <c r="F842" s="25">
        <v>46356.0</v>
      </c>
      <c r="G842" s="24">
        <f t="shared" si="7"/>
        <v>16</v>
      </c>
      <c r="H842" s="19">
        <f>VLOOKUP(A842,Metrik!$C$2:$Y$959,8,0)</f>
        <v>9.1</v>
      </c>
      <c r="I842" s="20">
        <f>VLOOKUP(A842,Metrik!$C$2:$Y$959,9,0)</f>
        <v>1.1</v>
      </c>
      <c r="J842" s="20">
        <f>VLOOKUP(A842,Metrik!$C$2:$Y$959,10,0)</f>
        <v>11.9</v>
      </c>
      <c r="K842" s="20">
        <f>VLOOKUP(A842,Metrik!$C$2:$Y$959,11,0)</f>
        <v>6.5</v>
      </c>
      <c r="L842" s="20">
        <f>VLOOKUP(A842,Metrik!$C$2:$Y$959,12,0)</f>
        <v>0.82</v>
      </c>
      <c r="M842" s="20">
        <f>VLOOKUP(A842,Metrik!$C$2:$Y$959,19,0)</f>
        <v>42.1</v>
      </c>
      <c r="N842" s="21"/>
      <c r="O842" s="21"/>
      <c r="P842" s="21"/>
      <c r="Q842" s="21"/>
      <c r="R842" s="21"/>
      <c r="S842" s="21"/>
      <c r="T842" s="21"/>
      <c r="U842" s="22">
        <f>IFERROR(__xludf.DUMMYFUNCTION("IFERROR(GOOGLEFINANCE(A842,""closeyest""),"""")"),6250.0)</f>
        <v>6250</v>
      </c>
      <c r="V842" s="23">
        <f>IFERROR(__xludf.DUMMYFUNCTION("IFERROR(GOOGLEFINANCE(A842,""changepct""),"""")"),1.6)</f>
        <v>1.6</v>
      </c>
      <c r="W842" s="22">
        <f>IFERROR(__xludf.DUMMYFUNCTION("IFERROR(GOOGLEFINANCE(A842,""priceopen""),"""")"),6275.0)</f>
        <v>6275</v>
      </c>
      <c r="X842" s="22">
        <f>IFERROR(__xludf.DUMMYFUNCTION("IFERROR(GOOGLEFINANCE(A842,""high""),"""")"),6450.0)</f>
        <v>6450</v>
      </c>
      <c r="Y842" s="22">
        <f>IFERROR(__xludf.DUMMYFUNCTION("IFERROR(GOOGLEFINANCE(A842,""low""),"""")"),6175.0)</f>
        <v>6175</v>
      </c>
      <c r="Z842" s="22">
        <f>IFERROR(__xludf.DUMMYFUNCTION("IFERROR(GOOGLEFINANCE(A842,""volume""),"""")"),1.39841E7)</f>
        <v>13984100</v>
      </c>
      <c r="AA842" s="24" t="str">
        <f>VLOOKUP(A842,Metrik!$C$2:$Y$959,5,0)</f>
        <v>Processed Foods</v>
      </c>
      <c r="AB842" s="24" t="str">
        <f>VLOOKUP(A842,Metrik!$C$2:$Y$959,3,0)</f>
        <v>Consumer Non-Cyclicals</v>
      </c>
    </row>
    <row r="843">
      <c r="A843" s="14" t="s">
        <v>464</v>
      </c>
      <c r="B843" s="14" t="str">
        <f t="array" ref="B843">VLOOKUP(A843,{Metrik!$C$2:$C$998,Metrik!$B$2:$B$998},2,0)</f>
        <v>Indofood CBP Sukses Makmur Tbk.</v>
      </c>
      <c r="C843" s="15">
        <f>IFERROR(__xludf.DUMMYFUNCTION("GOOGLEFINANCE(""IDX:""&amp;A843,""price"")"),6350.0)</f>
        <v>6350</v>
      </c>
      <c r="D843" s="16" t="str">
        <f>IFERROR(__xludf.DUMMYFUNCTION("IF(A843="""","""",
SPARKLINE(
INDEX(
GOOGLEFINANCE(""IDX:""&amp;A843,""close"",TODAY()-365,TODAY()),
,2
),
{""linewidth"",1}
))
"),"#N/A")</f>
        <v>#N/A</v>
      </c>
      <c r="E843" s="14" t="s">
        <v>38</v>
      </c>
      <c r="F843" s="25">
        <v>46356.0</v>
      </c>
      <c r="G843" s="24">
        <f t="shared" si="7"/>
        <v>16</v>
      </c>
      <c r="H843" s="19">
        <f>VLOOKUP(A843,Metrik!$C$2:$Y$959,8,0)</f>
        <v>9.1</v>
      </c>
      <c r="I843" s="20">
        <f>VLOOKUP(A843,Metrik!$C$2:$Y$959,9,0)</f>
        <v>1.1</v>
      </c>
      <c r="J843" s="20">
        <f>VLOOKUP(A843,Metrik!$C$2:$Y$959,10,0)</f>
        <v>11.9</v>
      </c>
      <c r="K843" s="20">
        <f>VLOOKUP(A843,Metrik!$C$2:$Y$959,11,0)</f>
        <v>6.5</v>
      </c>
      <c r="L843" s="20">
        <f>VLOOKUP(A843,Metrik!$C$2:$Y$959,12,0)</f>
        <v>0.82</v>
      </c>
      <c r="M843" s="20">
        <f>VLOOKUP(A843,Metrik!$C$2:$Y$959,19,0)</f>
        <v>42.1</v>
      </c>
      <c r="N843" s="21"/>
      <c r="O843" s="21"/>
      <c r="P843" s="21"/>
      <c r="Q843" s="21"/>
      <c r="R843" s="21"/>
      <c r="S843" s="21"/>
      <c r="T843" s="21"/>
      <c r="U843" s="22">
        <f>IFERROR(__xludf.DUMMYFUNCTION("IFERROR(GOOGLEFINANCE(A843,""closeyest""),"""")"),6250.0)</f>
        <v>6250</v>
      </c>
      <c r="V843" s="23">
        <f>IFERROR(__xludf.DUMMYFUNCTION("IFERROR(GOOGLEFINANCE(A843,""changepct""),"""")"),1.6)</f>
        <v>1.6</v>
      </c>
      <c r="W843" s="22">
        <f>IFERROR(__xludf.DUMMYFUNCTION("IFERROR(GOOGLEFINANCE(A843,""priceopen""),"""")"),6275.0)</f>
        <v>6275</v>
      </c>
      <c r="X843" s="22">
        <f>IFERROR(__xludf.DUMMYFUNCTION("IFERROR(GOOGLEFINANCE(A843,""high""),"""")"),6450.0)</f>
        <v>6450</v>
      </c>
      <c r="Y843" s="22">
        <f>IFERROR(__xludf.DUMMYFUNCTION("IFERROR(GOOGLEFINANCE(A843,""low""),"""")"),6175.0)</f>
        <v>6175</v>
      </c>
      <c r="Z843" s="22">
        <f>IFERROR(__xludf.DUMMYFUNCTION("IFERROR(GOOGLEFINANCE(A843,""volume""),"""")"),1.39841E7)</f>
        <v>13984100</v>
      </c>
      <c r="AA843" s="24" t="str">
        <f>VLOOKUP(A843,Metrik!$C$2:$Y$959,5,0)</f>
        <v>Processed Foods</v>
      </c>
      <c r="AB843" s="24" t="str">
        <f>VLOOKUP(A843,Metrik!$C$2:$Y$959,3,0)</f>
        <v>Consumer Non-Cyclicals</v>
      </c>
    </row>
    <row r="844">
      <c r="A844" s="14" t="s">
        <v>464</v>
      </c>
      <c r="B844" s="14" t="str">
        <f t="array" ref="B844">VLOOKUP(A844,{Metrik!$C$2:$C$998,Metrik!$B$2:$B$998},2,0)</f>
        <v>Indofood CBP Sukses Makmur Tbk.</v>
      </c>
      <c r="C844" s="15">
        <f>IFERROR(__xludf.DUMMYFUNCTION("GOOGLEFINANCE(""IDX:""&amp;A844,""price"")"),6350.0)</f>
        <v>6350</v>
      </c>
      <c r="D844" s="16" t="str">
        <f>IFERROR(__xludf.DUMMYFUNCTION("IF(A844="""","""",
SPARKLINE(
INDEX(
GOOGLEFINANCE(""IDX:""&amp;A844,""close"",TODAY()-365,TODAY()),
,2
),
{""linewidth"",1}
))
"),"#N/A")</f>
        <v>#N/A</v>
      </c>
      <c r="E844" s="14" t="s">
        <v>39</v>
      </c>
      <c r="F844" s="25">
        <v>46356.0</v>
      </c>
      <c r="G844" s="24">
        <f t="shared" si="7"/>
        <v>16</v>
      </c>
      <c r="H844" s="19">
        <f>VLOOKUP(A844,Metrik!$C$2:$Y$959,8,0)</f>
        <v>9.1</v>
      </c>
      <c r="I844" s="20">
        <f>VLOOKUP(A844,Metrik!$C$2:$Y$959,9,0)</f>
        <v>1.1</v>
      </c>
      <c r="J844" s="20">
        <f>VLOOKUP(A844,Metrik!$C$2:$Y$959,10,0)</f>
        <v>11.9</v>
      </c>
      <c r="K844" s="20">
        <f>VLOOKUP(A844,Metrik!$C$2:$Y$959,11,0)</f>
        <v>6.5</v>
      </c>
      <c r="L844" s="20">
        <f>VLOOKUP(A844,Metrik!$C$2:$Y$959,12,0)</f>
        <v>0.82</v>
      </c>
      <c r="M844" s="20">
        <f>VLOOKUP(A844,Metrik!$C$2:$Y$959,19,0)</f>
        <v>42.1</v>
      </c>
      <c r="N844" s="21"/>
      <c r="O844" s="21"/>
      <c r="P844" s="21"/>
      <c r="Q844" s="21"/>
      <c r="R844" s="21"/>
      <c r="S844" s="21"/>
      <c r="T844" s="21"/>
      <c r="U844" s="22">
        <f>IFERROR(__xludf.DUMMYFUNCTION("IFERROR(GOOGLEFINANCE(A844,""closeyest""),"""")"),6250.0)</f>
        <v>6250</v>
      </c>
      <c r="V844" s="23">
        <f>IFERROR(__xludf.DUMMYFUNCTION("IFERROR(GOOGLEFINANCE(A844,""changepct""),"""")"),1.6)</f>
        <v>1.6</v>
      </c>
      <c r="W844" s="22">
        <f>IFERROR(__xludf.DUMMYFUNCTION("IFERROR(GOOGLEFINANCE(A844,""priceopen""),"""")"),6275.0)</f>
        <v>6275</v>
      </c>
      <c r="X844" s="22">
        <f>IFERROR(__xludf.DUMMYFUNCTION("IFERROR(GOOGLEFINANCE(A844,""high""),"""")"),6450.0)</f>
        <v>6450</v>
      </c>
      <c r="Y844" s="22">
        <f>IFERROR(__xludf.DUMMYFUNCTION("IFERROR(GOOGLEFINANCE(A844,""low""),"""")"),6175.0)</f>
        <v>6175</v>
      </c>
      <c r="Z844" s="22">
        <f>IFERROR(__xludf.DUMMYFUNCTION("IFERROR(GOOGLEFINANCE(A844,""volume""),"""")"),1.39841E7)</f>
        <v>13984100</v>
      </c>
      <c r="AA844" s="24" t="str">
        <f>VLOOKUP(A844,Metrik!$C$2:$Y$959,5,0)</f>
        <v>Processed Foods</v>
      </c>
      <c r="AB844" s="24" t="str">
        <f>VLOOKUP(A844,Metrik!$C$2:$Y$959,3,0)</f>
        <v>Consumer Non-Cyclicals</v>
      </c>
    </row>
    <row r="845">
      <c r="A845" s="14" t="s">
        <v>465</v>
      </c>
      <c r="B845" s="14" t="str">
        <f t="array" ref="B845">VLOOKUP(A845,{Metrik!$C$2:$C$998,Metrik!$B$2:$B$998},2,0)</f>
        <v>Island Concepts Indonesia Tbk.</v>
      </c>
      <c r="C845" s="15" t="str">
        <f>IFERROR(__xludf.DUMMYFUNCTION("GOOGLEFINANCE(""IDX:""&amp;A845,""price"")"),"#N/A")</f>
        <v>#N/A</v>
      </c>
      <c r="D845" s="16" t="str">
        <f>IFERROR(__xludf.DUMMYFUNCTION("IF(A845="""","""",
SPARKLINE(
INDEX(
GOOGLEFINANCE(""IDX:""&amp;A845,""close"",TODAY()-365,TODAY()),
,2
),
{""linewidth"",1}
))
"),"#N/A")</f>
        <v>#N/A</v>
      </c>
      <c r="E845" s="26"/>
      <c r="F845" s="26"/>
      <c r="G845" s="24">
        <f t="shared" si="7"/>
        <v>0</v>
      </c>
      <c r="H845" s="19">
        <f>VLOOKUP(A845,Metrik!$C$2:$Y$959,8,0)</f>
        <v>30</v>
      </c>
      <c r="I845" s="20">
        <f>VLOOKUP(A845,Metrik!$C$2:$Y$959,9,0)</f>
        <v>0.51</v>
      </c>
      <c r="J845" s="20">
        <f>VLOOKUP(A845,Metrik!$C$2:$Y$959,10,0)</f>
        <v>1.7</v>
      </c>
      <c r="K845" s="20">
        <f>VLOOKUP(A845,Metrik!$C$2:$Y$959,11,0)</f>
        <v>1</v>
      </c>
      <c r="L845" s="20">
        <f>VLOOKUP(A845,Metrik!$C$2:$Y$959,12,0)</f>
        <v>0.65</v>
      </c>
      <c r="M845" s="20">
        <f>VLOOKUP(A845,Metrik!$C$2:$Y$959,19,0)</f>
        <v>6.4</v>
      </c>
      <c r="N845" s="21"/>
      <c r="O845" s="21"/>
      <c r="P845" s="21"/>
      <c r="Q845" s="21"/>
      <c r="R845" s="21"/>
      <c r="S845" s="21"/>
      <c r="T845" s="21"/>
      <c r="U845" s="22">
        <f>IFERROR(__xludf.DUMMYFUNCTION("IFERROR(GOOGLEFINANCE(A845,""closeyest""),"""")"),0.91)</f>
        <v>0.91</v>
      </c>
      <c r="V845" s="23">
        <f>IFERROR(__xludf.DUMMYFUNCTION("IFERROR(GOOGLEFINANCE(A845,""changepct""),"""")"),2.74)</f>
        <v>2.74</v>
      </c>
      <c r="W845" s="22">
        <f>IFERROR(__xludf.DUMMYFUNCTION("IFERROR(GOOGLEFINANCE(A845,""priceopen""),"""")"),0.86)</f>
        <v>0.86</v>
      </c>
      <c r="X845" s="22">
        <f>IFERROR(__xludf.DUMMYFUNCTION("IFERROR(GOOGLEFINANCE(A845,""high""),"""")"),0.97)</f>
        <v>0.97</v>
      </c>
      <c r="Y845" s="22">
        <f>IFERROR(__xludf.DUMMYFUNCTION("IFERROR(GOOGLEFINANCE(A845,""low""),"""")"),0.86)</f>
        <v>0.86</v>
      </c>
      <c r="Z845" s="22">
        <f>IFERROR(__xludf.DUMMYFUNCTION("IFERROR(GOOGLEFINANCE(A845,""volume""),"""")"),220743.0)</f>
        <v>220743</v>
      </c>
      <c r="AA845" s="24" t="str">
        <f>VLOOKUP(A845,Metrik!$C$2:$Y$959,5,0)</f>
        <v>Commercial Services</v>
      </c>
      <c r="AB845" s="24" t="str">
        <f>VLOOKUP(A845,Metrik!$C$2:$Y$959,3,0)</f>
        <v>Industrials</v>
      </c>
    </row>
    <row r="846">
      <c r="A846" s="14" t="s">
        <v>466</v>
      </c>
      <c r="B846" s="14" t="str">
        <f t="array" ref="B846">VLOOKUP(A846,{Metrik!$C$2:$C$998,Metrik!$B$2:$B$998},2,0)</f>
        <v>Idea Indonesia Akademi Tbk.</v>
      </c>
      <c r="C846" s="15">
        <f>IFERROR(__xludf.DUMMYFUNCTION("GOOGLEFINANCE(""IDX:""&amp;A846,""price"")"),64.0)</f>
        <v>64</v>
      </c>
      <c r="D846" s="16" t="str">
        <f>IFERROR(__xludf.DUMMYFUNCTION("IF(A846="""","""",
SPARKLINE(
INDEX(
GOOGLEFINANCE(""IDX:""&amp;A846,""close"",TODAY()-365,TODAY()),
,2
),
{""linewidth"",1}
))
"),"#N/A")</f>
        <v>#N/A</v>
      </c>
      <c r="E846" s="26"/>
      <c r="F846" s="26"/>
      <c r="G846" s="24">
        <f t="shared" si="7"/>
        <v>0</v>
      </c>
      <c r="H846" s="19">
        <f>VLOOKUP(A846,Metrik!$C$2:$Y$959,8,0)</f>
        <v>25.3</v>
      </c>
      <c r="I846" s="20">
        <f>VLOOKUP(A846,Metrik!$C$2:$Y$959,9,0)</f>
        <v>1.1</v>
      </c>
      <c r="J846" s="20">
        <f>VLOOKUP(A846,Metrik!$C$2:$Y$959,10,0)</f>
        <v>4.4</v>
      </c>
      <c r="K846" s="20">
        <f>VLOOKUP(A846,Metrik!$C$2:$Y$959,11,0)</f>
        <v>3.6</v>
      </c>
      <c r="L846" s="20">
        <f>VLOOKUP(A846,Metrik!$C$2:$Y$959,12,0)</f>
        <v>0.21</v>
      </c>
      <c r="M846" s="20">
        <f>VLOOKUP(A846,Metrik!$C$2:$Y$959,19,0)</f>
        <v>10.9</v>
      </c>
      <c r="N846" s="21"/>
      <c r="O846" s="21"/>
      <c r="P846" s="21"/>
      <c r="Q846" s="21"/>
      <c r="R846" s="21"/>
      <c r="S846" s="21"/>
      <c r="T846" s="21"/>
      <c r="U846" s="22">
        <f>IFERROR(__xludf.DUMMYFUNCTION("IFERROR(GOOGLEFINANCE(A846,""closeyest""),"""")"),0.03)</f>
        <v>0.03</v>
      </c>
      <c r="V846" s="23">
        <f>IFERROR(__xludf.DUMMYFUNCTION("IFERROR(GOOGLEFINANCE(A846,""changepct""),"""")"),0.0)</f>
        <v>0</v>
      </c>
      <c r="W846" s="22" t="str">
        <f>IFERROR(__xludf.DUMMYFUNCTION("IFERROR(GOOGLEFINANCE(A846,""priceopen""),"""")"),"")</f>
        <v/>
      </c>
      <c r="X846" s="22" t="str">
        <f>IFERROR(__xludf.DUMMYFUNCTION("IFERROR(GOOGLEFINANCE(A846,""high""),"""")"),"")</f>
        <v/>
      </c>
      <c r="Y846" s="22" t="str">
        <f>IFERROR(__xludf.DUMMYFUNCTION("IFERROR(GOOGLEFINANCE(A846,""low""),"""")"),"")</f>
        <v/>
      </c>
      <c r="Z846" s="22">
        <f>IFERROR(__xludf.DUMMYFUNCTION("IFERROR(GOOGLEFINANCE(A846,""volume""),"""")"),15.0)</f>
        <v>15</v>
      </c>
      <c r="AA846" s="24" t="str">
        <f>VLOOKUP(A846,Metrik!$C$2:$Y$959,5,0)</f>
        <v>Education &amp; Support Services</v>
      </c>
      <c r="AB846" s="24" t="str">
        <f>VLOOKUP(A846,Metrik!$C$2:$Y$959,3,0)</f>
        <v>Consumer Cyclicals</v>
      </c>
    </row>
    <row r="847">
      <c r="A847" s="14" t="s">
        <v>467</v>
      </c>
      <c r="B847" s="14" t="str">
        <f t="array" ref="B847">VLOOKUP(A847,{Metrik!$C$2:$C$998,Metrik!$B$2:$B$998},2,0)</f>
        <v>PT Indonesia Pondasi Raya Tbk.</v>
      </c>
      <c r="C847" s="15">
        <f>IFERROR(__xludf.DUMMYFUNCTION("GOOGLEFINANCE(""IDX:""&amp;A847,""price"")"),296.0)</f>
        <v>296</v>
      </c>
      <c r="D847" s="16" t="str">
        <f>IFERROR(__xludf.DUMMYFUNCTION("IF(A847="""","""",
SPARKLINE(
INDEX(
GOOGLEFINANCE(""IDX:""&amp;A847,""close"",TODAY()-365,TODAY()),
,2
),
{""linewidth"",1}
))
"),"#N/A")</f>
        <v>#N/A</v>
      </c>
      <c r="E847" s="26"/>
      <c r="F847" s="26"/>
      <c r="G847" s="24">
        <f t="shared" si="7"/>
        <v>0</v>
      </c>
      <c r="H847" s="19">
        <f>VLOOKUP(A847,Metrik!$C$2:$Y$959,8,0)</f>
        <v>20.2</v>
      </c>
      <c r="I847" s="20">
        <f>VLOOKUP(A847,Metrik!$C$2:$Y$959,9,0)</f>
        <v>0.86</v>
      </c>
      <c r="J847" s="20">
        <f>VLOOKUP(A847,Metrik!$C$2:$Y$959,10,0)</f>
        <v>4.2</v>
      </c>
      <c r="K847" s="20">
        <f>VLOOKUP(A847,Metrik!$C$2:$Y$959,11,0)</f>
        <v>1.7</v>
      </c>
      <c r="L847" s="20">
        <f>VLOOKUP(A847,Metrik!$C$2:$Y$959,12,0)</f>
        <v>1.5</v>
      </c>
      <c r="M847" s="20">
        <f>VLOOKUP(A847,Metrik!$C$2:$Y$959,19,0)</f>
        <v>7.4</v>
      </c>
      <c r="N847" s="21"/>
      <c r="O847" s="21"/>
      <c r="P847" s="21"/>
      <c r="Q847" s="21"/>
      <c r="R847" s="21"/>
      <c r="S847" s="21"/>
      <c r="T847" s="21"/>
      <c r="U847" s="22" t="str">
        <f>IFERROR(__xludf.DUMMYFUNCTION("IFERROR(GOOGLEFINANCE(A847,""closeyest""),"""")"),"")</f>
        <v/>
      </c>
      <c r="V847" s="23">
        <f>IFERROR(__xludf.DUMMYFUNCTION("IFERROR(GOOGLEFINANCE(A847,""changepct""),"""")"),-0.67)</f>
        <v>-0.67</v>
      </c>
      <c r="W847" s="22">
        <f>IFERROR(__xludf.DUMMYFUNCTION("IFERROR(GOOGLEFINANCE(A847,""priceopen""),"""")"),296.0)</f>
        <v>296</v>
      </c>
      <c r="X847" s="22">
        <f>IFERROR(__xludf.DUMMYFUNCTION("IFERROR(GOOGLEFINANCE(A847,""high""),"""")"),300.0)</f>
        <v>300</v>
      </c>
      <c r="Y847" s="22">
        <f>IFERROR(__xludf.DUMMYFUNCTION("IFERROR(GOOGLEFINANCE(A847,""low""),"""")"),296.0)</f>
        <v>296</v>
      </c>
      <c r="Z847" s="22">
        <f>IFERROR(__xludf.DUMMYFUNCTION("IFERROR(GOOGLEFINANCE(A847,""volume""),"""")"),147000.0)</f>
        <v>147000</v>
      </c>
      <c r="AA847" s="24" t="str">
        <f>VLOOKUP(A847,Metrik!$C$2:$Y$959,5,0)</f>
        <v>Heavy Constructions &amp; Civil Engineering</v>
      </c>
      <c r="AB847" s="24" t="str">
        <f>VLOOKUP(A847,Metrik!$C$2:$Y$959,3,0)</f>
        <v>Infrastructures</v>
      </c>
    </row>
    <row r="848">
      <c r="A848" s="14" t="s">
        <v>468</v>
      </c>
      <c r="B848" s="14" t="str">
        <f t="array" ref="B848">VLOOKUP(A848,{Metrik!$C$2:$C$998,Metrik!$B$2:$B$998},2,0)</f>
        <v>Indonesia Fibreboard Industry Tbk.</v>
      </c>
      <c r="C848" s="15">
        <f>IFERROR(__xludf.DUMMYFUNCTION("GOOGLEFINANCE(""IDX:""&amp;A848,""price"")"),222.0)</f>
        <v>222</v>
      </c>
      <c r="D848" s="16" t="str">
        <f>IFERROR(__xludf.DUMMYFUNCTION("IF(A848="""","""",
SPARKLINE(
INDEX(
GOOGLEFINANCE(""IDX:""&amp;A848,""close"",TODAY()-365,TODAY()),
,2
),
{""linewidth"",1}
))
"),"#N/A")</f>
        <v>#N/A</v>
      </c>
      <c r="E848" s="26"/>
      <c r="F848" s="26"/>
      <c r="G848" s="18">
        <f t="shared" si="7"/>
        <v>0</v>
      </c>
      <c r="H848" s="19">
        <f>VLOOKUP(A848,Metrik!$C$2:$Y$959,8,0)</f>
        <v>14.1</v>
      </c>
      <c r="I848" s="20">
        <f>VLOOKUP(A848,Metrik!$C$2:$Y$959,9,0)</f>
        <v>1.5</v>
      </c>
      <c r="J848" s="20">
        <f>VLOOKUP(A848,Metrik!$C$2:$Y$959,10,0)</f>
        <v>10.6</v>
      </c>
      <c r="K848" s="20">
        <f>VLOOKUP(A848,Metrik!$C$2:$Y$959,11,0)</f>
        <v>8.5</v>
      </c>
      <c r="L848" s="20">
        <f>VLOOKUP(A848,Metrik!$C$2:$Y$959,12,0)</f>
        <v>0.24</v>
      </c>
      <c r="M848" s="20">
        <f>VLOOKUP(A848,Metrik!$C$2:$Y$959,19,0)</f>
        <v>45.6</v>
      </c>
      <c r="N848" s="21"/>
      <c r="O848" s="21"/>
      <c r="P848" s="21"/>
      <c r="Q848" s="21"/>
      <c r="R848" s="21"/>
      <c r="S848" s="21"/>
      <c r="T848" s="21"/>
      <c r="U848" s="22">
        <f>IFERROR(__xludf.DUMMYFUNCTION("IFERROR(GOOGLEFINANCE(A848,""closeyest""),"""")"),224.0)</f>
        <v>224</v>
      </c>
      <c r="V848" s="23">
        <f>IFERROR(__xludf.DUMMYFUNCTION("IFERROR(GOOGLEFINANCE(A848,""changepct""),"""")"),-0.89)</f>
        <v>-0.89</v>
      </c>
      <c r="W848" s="22">
        <f>IFERROR(__xludf.DUMMYFUNCTION("IFERROR(GOOGLEFINANCE(A848,""priceopen""),"""")"),224.0)</f>
        <v>224</v>
      </c>
      <c r="X848" s="22">
        <f>IFERROR(__xludf.DUMMYFUNCTION("IFERROR(GOOGLEFINANCE(A848,""high""),"""")"),224.0)</f>
        <v>224</v>
      </c>
      <c r="Y848" s="22">
        <f>IFERROR(__xludf.DUMMYFUNCTION("IFERROR(GOOGLEFINANCE(A848,""low""),"""")"),218.0)</f>
        <v>218</v>
      </c>
      <c r="Z848" s="22">
        <f>IFERROR(__xludf.DUMMYFUNCTION("IFERROR(GOOGLEFINANCE(A848,""volume""),"""")"),39400.0)</f>
        <v>39400</v>
      </c>
      <c r="AA848" s="24" t="str">
        <f>VLOOKUP(A848,Metrik!$C$2:$Y$959,5,0)</f>
        <v>Forestry &amp; Paper</v>
      </c>
      <c r="AB848" s="24" t="str">
        <f>VLOOKUP(A848,Metrik!$C$2:$Y$959,3,0)</f>
        <v>Basic Materials</v>
      </c>
    </row>
    <row r="849">
      <c r="A849" s="14" t="s">
        <v>469</v>
      </c>
      <c r="B849" s="14" t="str">
        <f t="array" ref="B849">VLOOKUP(A849,{Metrik!$C$2:$C$998,Metrik!$B$2:$B$998},2,0)</f>
        <v>Ifishdeco Tbk.</v>
      </c>
      <c r="C849" s="15">
        <f>IFERROR(__xludf.DUMMYFUNCTION("GOOGLEFINANCE(""IDX:""&amp;A849,""price"")"),1075.0)</f>
        <v>1075</v>
      </c>
      <c r="D849" s="16" t="str">
        <f>IFERROR(__xludf.DUMMYFUNCTION("IF(A849="""","""",
SPARKLINE(
INDEX(
GOOGLEFINANCE(""IDX:""&amp;A849,""close"",TODAY()-365,TODAY()),
,2
),
{""linewidth"",1}
))
"),"#N/A")</f>
        <v>#N/A</v>
      </c>
      <c r="E849" s="26"/>
      <c r="F849" s="26"/>
      <c r="G849" s="24">
        <f t="shared" si="7"/>
        <v>0</v>
      </c>
      <c r="H849" s="19">
        <f>VLOOKUP(A849,Metrik!$C$2:$Y$959,8,0)</f>
        <v>51.9</v>
      </c>
      <c r="I849" s="20">
        <f>VLOOKUP(A849,Metrik!$C$2:$Y$959,9,0)</f>
        <v>3.4</v>
      </c>
      <c r="J849" s="20">
        <f>VLOOKUP(A849,Metrik!$C$2:$Y$959,10,0)</f>
        <v>6.6</v>
      </c>
      <c r="K849" s="20">
        <f>VLOOKUP(A849,Metrik!$C$2:$Y$959,11,0)</f>
        <v>5.5</v>
      </c>
      <c r="L849" s="20">
        <f>VLOOKUP(A849,Metrik!$C$2:$Y$959,12,0)</f>
        <v>0.19</v>
      </c>
      <c r="M849" s="20">
        <f>VLOOKUP(A849,Metrik!$C$2:$Y$959,19,0)</f>
        <v>20</v>
      </c>
      <c r="N849" s="21"/>
      <c r="O849" s="21"/>
      <c r="P849" s="21"/>
      <c r="Q849" s="21"/>
      <c r="R849" s="21"/>
      <c r="S849" s="21"/>
      <c r="T849" s="21"/>
      <c r="U849" s="22">
        <f>IFERROR(__xludf.DUMMYFUNCTION("IFERROR(GOOGLEFINANCE(A849,""closeyest""),"""")"),980.0)</f>
        <v>980</v>
      </c>
      <c r="V849" s="23">
        <f>IFERROR(__xludf.DUMMYFUNCTION("IFERROR(GOOGLEFINANCE(A849,""changepct""),"""")"),9.69)</f>
        <v>9.69</v>
      </c>
      <c r="W849" s="22">
        <f>IFERROR(__xludf.DUMMYFUNCTION("IFERROR(GOOGLEFINANCE(A849,""priceopen""),"""")"),1075.0)</f>
        <v>1075</v>
      </c>
      <c r="X849" s="22">
        <f>IFERROR(__xludf.DUMMYFUNCTION("IFERROR(GOOGLEFINANCE(A849,""high""),"""")"),1075.0)</f>
        <v>1075</v>
      </c>
      <c r="Y849" s="22">
        <f>IFERROR(__xludf.DUMMYFUNCTION("IFERROR(GOOGLEFINANCE(A849,""low""),"""")"),1075.0)</f>
        <v>1075</v>
      </c>
      <c r="Z849" s="22">
        <f>IFERROR(__xludf.DUMMYFUNCTION("IFERROR(GOOGLEFINANCE(A849,""volume""),"""")"),44800.0)</f>
        <v>44800</v>
      </c>
      <c r="AA849" s="24" t="str">
        <f>VLOOKUP(A849,Metrik!$C$2:$Y$959,5,0)</f>
        <v>Metals &amp; Minerals</v>
      </c>
      <c r="AB849" s="24" t="str">
        <f>VLOOKUP(A849,Metrik!$C$2:$Y$959,3,0)</f>
        <v>Basic Materials</v>
      </c>
    </row>
    <row r="850">
      <c r="A850" s="14" t="s">
        <v>470</v>
      </c>
      <c r="B850" s="14" t="str">
        <f t="array" ref="B850">VLOOKUP(A850,{Metrik!$C$2:$C$998,Metrik!$B$2:$B$998},2,0)</f>
        <v>Champion Pacific Indonesia Tbk.</v>
      </c>
      <c r="C850" s="15" t="str">
        <f>IFERROR(__xludf.DUMMYFUNCTION("GOOGLEFINANCE(""IDX:""&amp;A850,""price"")"),"#N/A")</f>
        <v>#N/A</v>
      </c>
      <c r="D850" s="16" t="str">
        <f>IFERROR(__xludf.DUMMYFUNCTION("IF(A850="""","""",
SPARKLINE(
INDEX(
GOOGLEFINANCE(""IDX:""&amp;A850,""close"",TODAY()-365,TODAY()),
,2
),
{""linewidth"",1}
))
"),"#N/A")</f>
        <v>#N/A</v>
      </c>
      <c r="E850" s="26"/>
      <c r="F850" s="26"/>
      <c r="G850" s="24">
        <f t="shared" si="7"/>
        <v>0</v>
      </c>
      <c r="H850" s="19">
        <f>VLOOKUP(A850,Metrik!$C$2:$Y$959,8,0)</f>
        <v>7.3</v>
      </c>
      <c r="I850" s="20">
        <f>VLOOKUP(A850,Metrik!$C$2:$Y$959,9,0)</f>
        <v>0.45</v>
      </c>
      <c r="J850" s="20">
        <f>VLOOKUP(A850,Metrik!$C$2:$Y$959,10,0)</f>
        <v>6.2</v>
      </c>
      <c r="K850" s="20">
        <f>VLOOKUP(A850,Metrik!$C$2:$Y$959,11,0)</f>
        <v>5.4</v>
      </c>
      <c r="L850" s="20">
        <f>VLOOKUP(A850,Metrik!$C$2:$Y$959,12,0)</f>
        <v>0.15</v>
      </c>
      <c r="M850" s="20">
        <f>VLOOKUP(A850,Metrik!$C$2:$Y$959,19,0)</f>
        <v>26.9</v>
      </c>
      <c r="N850" s="21"/>
      <c r="O850" s="21"/>
      <c r="P850" s="21"/>
      <c r="Q850" s="21"/>
      <c r="R850" s="21"/>
      <c r="S850" s="21"/>
      <c r="T850" s="21"/>
      <c r="U850" s="22">
        <f>IFERROR(__xludf.DUMMYFUNCTION("IFERROR(GOOGLEFINANCE(A850,""closeyest""),"""")"),416.0)</f>
        <v>416</v>
      </c>
      <c r="V850" s="23">
        <f>IFERROR(__xludf.DUMMYFUNCTION("IFERROR(GOOGLEFINANCE(A850,""changepct""),"""")"),1.92)</f>
        <v>1.92</v>
      </c>
      <c r="W850" s="22">
        <f>IFERROR(__xludf.DUMMYFUNCTION("IFERROR(GOOGLEFINANCE(A850,""priceopen""),"""")"),426.0)</f>
        <v>426</v>
      </c>
      <c r="X850" s="22">
        <f>IFERROR(__xludf.DUMMYFUNCTION("IFERROR(GOOGLEFINANCE(A850,""high""),"""")"),426.0)</f>
        <v>426</v>
      </c>
      <c r="Y850" s="22">
        <f>IFERROR(__xludf.DUMMYFUNCTION("IFERROR(GOOGLEFINANCE(A850,""low""),"""")"),416.0)</f>
        <v>416</v>
      </c>
      <c r="Z850" s="22">
        <f>IFERROR(__xludf.DUMMYFUNCTION("IFERROR(GOOGLEFINANCE(A850,""volume""),"""")"),5300.0)</f>
        <v>5300</v>
      </c>
      <c r="AA850" s="24" t="str">
        <f>VLOOKUP(A850,Metrik!$C$2:$Y$959,5,0)</f>
        <v>Containers &amp; Packaging</v>
      </c>
      <c r="AB850" s="24" t="str">
        <f>VLOOKUP(A850,Metrik!$C$2:$Y$959,3,0)</f>
        <v>Basic Materials</v>
      </c>
    </row>
    <row r="851">
      <c r="A851" s="14" t="s">
        <v>471</v>
      </c>
      <c r="B851" s="14" t="str">
        <f t="array" ref="B851">VLOOKUP(A851,{Metrik!$C$2:$C$998,Metrik!$B$2:$B$998},2,0)</f>
        <v>Inti Agri Resources Tbk</v>
      </c>
      <c r="C851" s="15">
        <f>IFERROR(__xludf.DUMMYFUNCTION("GOOGLEFINANCE(""IDX:""&amp;A851,""price"")"),50.0)</f>
        <v>50</v>
      </c>
      <c r="D851" s="16" t="str">
        <f>IFERROR(__xludf.DUMMYFUNCTION("IF(A851="""","""",
SPARKLINE(
INDEX(
GOOGLEFINANCE(""IDX:""&amp;A851,""close"",TODAY()-365,TODAY()),
,2
),
{""linewidth"",1}
))
"),"#N/A")</f>
        <v>#N/A</v>
      </c>
      <c r="E851" s="26"/>
      <c r="F851" s="26"/>
      <c r="G851" s="24">
        <f t="shared" si="7"/>
        <v>0</v>
      </c>
      <c r="H851" s="19">
        <f>VLOOKUP(A851,Metrik!$C$2:$Y$959,8,0)</f>
        <v>-150</v>
      </c>
      <c r="I851" s="20">
        <f>VLOOKUP(A851,Metrik!$C$2:$Y$959,9,0)</f>
        <v>10.7</v>
      </c>
      <c r="J851" s="20">
        <f>VLOOKUP(A851,Metrik!$C$2:$Y$959,10,0)</f>
        <v>-7.4</v>
      </c>
      <c r="K851" s="20">
        <f>VLOOKUP(A851,Metrik!$C$2:$Y$959,11,0)</f>
        <v>-6.4</v>
      </c>
      <c r="L851" s="20">
        <f>VLOOKUP(A851,Metrik!$C$2:$Y$959,12,0)</f>
        <v>0.14</v>
      </c>
      <c r="M851" s="20">
        <f>VLOOKUP(A851,Metrik!$C$2:$Y$959,19,0)</f>
        <v>-46000</v>
      </c>
      <c r="N851" s="21"/>
      <c r="O851" s="21"/>
      <c r="P851" s="21"/>
      <c r="Q851" s="21"/>
      <c r="R851" s="21"/>
      <c r="S851" s="21"/>
      <c r="T851" s="21"/>
      <c r="U851" s="22">
        <f>IFERROR(__xludf.DUMMYFUNCTION("IFERROR(GOOGLEFINANCE(A851,""closeyest""),"""")"),50.0)</f>
        <v>50</v>
      </c>
      <c r="V851" s="23">
        <f>IFERROR(__xludf.DUMMYFUNCTION("IFERROR(GOOGLEFINANCE(A851,""changepct""),"""")"),0.0)</f>
        <v>0</v>
      </c>
      <c r="W851" s="22" t="str">
        <f>IFERROR(__xludf.DUMMYFUNCTION("IFERROR(GOOGLEFINANCE(A851,""priceopen""),"""")"),"")</f>
        <v/>
      </c>
      <c r="X851" s="22" t="str">
        <f>IFERROR(__xludf.DUMMYFUNCTION("IFERROR(GOOGLEFINANCE(A851,""high""),"""")"),"")</f>
        <v/>
      </c>
      <c r="Y851" s="22" t="str">
        <f>IFERROR(__xludf.DUMMYFUNCTION("IFERROR(GOOGLEFINANCE(A851,""low""),"""")"),"")</f>
        <v/>
      </c>
      <c r="Z851" s="22">
        <f>IFERROR(__xludf.DUMMYFUNCTION("IFERROR(GOOGLEFINANCE(A851,""volume""),"""")"),0.0)</f>
        <v>0</v>
      </c>
      <c r="AA851" s="24" t="str">
        <f>VLOOKUP(A851,Metrik!$C$2:$Y$959,5,0)</f>
        <v>Sport Equipment &amp; Hobbies Goods</v>
      </c>
      <c r="AB851" s="24" t="str">
        <f>VLOOKUP(A851,Metrik!$C$2:$Y$959,3,0)</f>
        <v>Consumer Cyclicals</v>
      </c>
    </row>
    <row r="852">
      <c r="A852" s="14" t="s">
        <v>472</v>
      </c>
      <c r="B852" s="14" t="str">
        <f t="array" ref="B852">VLOOKUP(A852,{Metrik!$C$2:$C$998,Metrik!$B$2:$B$998},2,0)</f>
        <v>Intikeramik Alamasri Industri Tbk.</v>
      </c>
      <c r="C852" s="15">
        <f>IFERROR(__xludf.DUMMYFUNCTION("GOOGLEFINANCE(""IDX:""&amp;A852,""price"")"),20.0)</f>
        <v>20</v>
      </c>
      <c r="D852" s="16" t="str">
        <f>IFERROR(__xludf.DUMMYFUNCTION("IF(A852="""","""",
SPARKLINE(
INDEX(
GOOGLEFINANCE(""IDX:""&amp;A852,""close"",TODAY()-365,TODAY()),
,2
),
{""linewidth"",1}
))
"),"#N/A")</f>
        <v>#N/A</v>
      </c>
      <c r="E852" s="26"/>
      <c r="F852" s="26"/>
      <c r="G852" s="24">
        <f t="shared" si="7"/>
        <v>0</v>
      </c>
      <c r="H852" s="19">
        <f>VLOOKUP(A852,Metrik!$C$2:$Y$959,8,0)</f>
        <v>-5.2</v>
      </c>
      <c r="I852" s="20">
        <f>VLOOKUP(A852,Metrik!$C$2:$Y$959,9,0)</f>
        <v>0.46</v>
      </c>
      <c r="J852" s="20">
        <f>VLOOKUP(A852,Metrik!$C$2:$Y$959,10,0)</f>
        <v>-8.9</v>
      </c>
      <c r="K852" s="20">
        <f>VLOOKUP(A852,Metrik!$C$2:$Y$959,11,0)</f>
        <v>-5</v>
      </c>
      <c r="L852" s="20">
        <f>VLOOKUP(A852,Metrik!$C$2:$Y$959,12,0)</f>
        <v>0.78</v>
      </c>
      <c r="M852" s="20">
        <f>VLOOKUP(A852,Metrik!$C$2:$Y$959,19,0)</f>
        <v>-180</v>
      </c>
      <c r="N852" s="21"/>
      <c r="O852" s="21"/>
      <c r="P852" s="21"/>
      <c r="Q852" s="21"/>
      <c r="R852" s="21"/>
      <c r="S852" s="21"/>
      <c r="T852" s="21"/>
      <c r="U852" s="22">
        <f>IFERROR(__xludf.DUMMYFUNCTION("IFERROR(GOOGLEFINANCE(A852,""closeyest""),"""")"),19.0)</f>
        <v>19</v>
      </c>
      <c r="V852" s="23">
        <f>IFERROR(__xludf.DUMMYFUNCTION("IFERROR(GOOGLEFINANCE(A852,""changepct""),"""")"),5.26)</f>
        <v>5.26</v>
      </c>
      <c r="W852" s="22" t="str">
        <f>IFERROR(__xludf.DUMMYFUNCTION("IFERROR(GOOGLEFINANCE(A852,""priceopen""),"""")"),"")</f>
        <v/>
      </c>
      <c r="X852" s="22">
        <f>IFERROR(__xludf.DUMMYFUNCTION("IFERROR(GOOGLEFINANCE(A852,""high""),"""")"),20.0)</f>
        <v>20</v>
      </c>
      <c r="Y852" s="22">
        <f>IFERROR(__xludf.DUMMYFUNCTION("IFERROR(GOOGLEFINANCE(A852,""low""),"""")"),20.0)</f>
        <v>20</v>
      </c>
      <c r="Z852" s="22">
        <f>IFERROR(__xludf.DUMMYFUNCTION("IFERROR(GOOGLEFINANCE(A852,""volume""),"""")"),6312100.0)</f>
        <v>6312100</v>
      </c>
      <c r="AA852" s="24" t="str">
        <f>VLOOKUP(A852,Metrik!$C$2:$Y$959,5,0)</f>
        <v>Building Products &amp; Fixtures</v>
      </c>
      <c r="AB852" s="24" t="str">
        <f>VLOOKUP(A852,Metrik!$C$2:$Y$959,3,0)</f>
        <v>Industrials</v>
      </c>
    </row>
    <row r="853">
      <c r="A853" s="14" t="s">
        <v>473</v>
      </c>
      <c r="B853" s="14" t="str">
        <f t="array" ref="B853">VLOOKUP(A853,{Metrik!$C$2:$C$998,Metrik!$B$2:$B$998},2,0)</f>
        <v>Era Mandiri Cemerlang Tbk.</v>
      </c>
      <c r="C853" s="15">
        <f>IFERROR(__xludf.DUMMYFUNCTION("GOOGLEFINANCE(""IDX:""&amp;A853,""price"")"),72.0)</f>
        <v>72</v>
      </c>
      <c r="D853" s="16" t="str">
        <f>IFERROR(__xludf.DUMMYFUNCTION("IF(A853="""","""",
SPARKLINE(
INDEX(
GOOGLEFINANCE(""IDX:""&amp;A853,""close"",TODAY()-365,TODAY()),
,2
),
{""linewidth"",1}
))
"),"#N/A")</f>
        <v>#N/A</v>
      </c>
      <c r="E853" s="26"/>
      <c r="F853" s="26"/>
      <c r="G853" s="24">
        <f t="shared" si="7"/>
        <v>0</v>
      </c>
      <c r="H853" s="19">
        <f>VLOOKUP(A853,Metrik!$C$2:$Y$959,8,0)</f>
        <v>-170</v>
      </c>
      <c r="I853" s="20">
        <f>VLOOKUP(A853,Metrik!$C$2:$Y$959,9,0)</f>
        <v>0.93</v>
      </c>
      <c r="J853" s="20">
        <f>VLOOKUP(A853,Metrik!$C$2:$Y$959,10,0)</f>
        <v>-0.55</v>
      </c>
      <c r="K853" s="20">
        <f>VLOOKUP(A853,Metrik!$C$2:$Y$959,11,0)</f>
        <v>-0.32</v>
      </c>
      <c r="L853" s="20">
        <f>VLOOKUP(A853,Metrik!$C$2:$Y$959,12,0)</f>
        <v>0.74</v>
      </c>
      <c r="M853" s="20">
        <f>VLOOKUP(A853,Metrik!$C$2:$Y$959,19,0)</f>
        <v>-1.4</v>
      </c>
      <c r="N853" s="21"/>
      <c r="O853" s="21"/>
      <c r="P853" s="21"/>
      <c r="Q853" s="21"/>
      <c r="R853" s="21"/>
      <c r="S853" s="21"/>
      <c r="T853" s="21"/>
      <c r="U853" s="22">
        <f>IFERROR(__xludf.DUMMYFUNCTION("IFERROR(GOOGLEFINANCE(A853,""closeyest""),"""")"),69.0)</f>
        <v>69</v>
      </c>
      <c r="V853" s="23">
        <f>IFERROR(__xludf.DUMMYFUNCTION("IFERROR(GOOGLEFINANCE(A853,""changepct""),"""")"),4.35)</f>
        <v>4.35</v>
      </c>
      <c r="W853" s="22">
        <f>IFERROR(__xludf.DUMMYFUNCTION("IFERROR(GOOGLEFINANCE(A853,""priceopen""),"""")"),69.0)</f>
        <v>69</v>
      </c>
      <c r="X853" s="22">
        <f>IFERROR(__xludf.DUMMYFUNCTION("IFERROR(GOOGLEFINANCE(A853,""high""),"""")"),75.0)</f>
        <v>75</v>
      </c>
      <c r="Y853" s="22">
        <f>IFERROR(__xludf.DUMMYFUNCTION("IFERROR(GOOGLEFINANCE(A853,""low""),"""")"),69.0)</f>
        <v>69</v>
      </c>
      <c r="Z853" s="22">
        <f>IFERROR(__xludf.DUMMYFUNCTION("IFERROR(GOOGLEFINANCE(A853,""volume""),"""")"),1.23526E7)</f>
        <v>12352600</v>
      </c>
      <c r="AA853" s="24" t="str">
        <f>VLOOKUP(A853,Metrik!$C$2:$Y$959,5,0)</f>
        <v>Agricultural Products</v>
      </c>
      <c r="AB853" s="24" t="str">
        <f>VLOOKUP(A853,Metrik!$C$2:$Y$959,3,0)</f>
        <v>Consumer Non-Cyclicals</v>
      </c>
    </row>
    <row r="854">
      <c r="A854" s="14" t="s">
        <v>474</v>
      </c>
      <c r="B854" s="14" t="str">
        <f t="array" ref="B854">VLOOKUP(A854,{Metrik!$C$2:$C$998,Metrik!$B$2:$B$998},2,0)</f>
        <v>Sumi Indo Kabel Tbk.</v>
      </c>
      <c r="C854" s="15">
        <f>IFERROR(__xludf.DUMMYFUNCTION("GOOGLEFINANCE(""IDX:""&amp;A854,""price"")"),515.0)</f>
        <v>515</v>
      </c>
      <c r="D854" s="16" t="str">
        <f>IFERROR(__xludf.DUMMYFUNCTION("IF(A854="""","""",
SPARKLINE(
INDEX(
GOOGLEFINANCE(""IDX:""&amp;A854,""close"",TODAY()-365,TODAY()),
,2
),
{""linewidth"",1}
))
"),"#N/A")</f>
        <v>#N/A</v>
      </c>
      <c r="E854" s="26"/>
      <c r="F854" s="26"/>
      <c r="G854" s="24">
        <f t="shared" si="7"/>
        <v>0</v>
      </c>
      <c r="H854" s="19">
        <f>VLOOKUP(A854,Metrik!$C$2:$Y$959,8,0)</f>
        <v>4.1</v>
      </c>
      <c r="I854" s="20">
        <f>VLOOKUP(A854,Metrik!$C$2:$Y$959,9,0)</f>
        <v>0.43</v>
      </c>
      <c r="J854" s="20">
        <f>VLOOKUP(A854,Metrik!$C$2:$Y$959,10,0)</f>
        <v>10.6</v>
      </c>
      <c r="K854" s="20">
        <f>VLOOKUP(A854,Metrik!$C$2:$Y$959,11,0)</f>
        <v>8.2</v>
      </c>
      <c r="L854" s="20">
        <f>VLOOKUP(A854,Metrik!$C$2:$Y$959,12,0)</f>
        <v>0.3</v>
      </c>
      <c r="M854" s="20">
        <f>VLOOKUP(A854,Metrik!$C$2:$Y$959,19,0)</f>
        <v>5</v>
      </c>
      <c r="N854" s="21"/>
      <c r="O854" s="21"/>
      <c r="P854" s="21"/>
      <c r="Q854" s="21"/>
      <c r="R854" s="21"/>
      <c r="S854" s="21"/>
      <c r="T854" s="21"/>
      <c r="U854" s="22">
        <f>IFERROR(__xludf.DUMMYFUNCTION("IFERROR(GOOGLEFINANCE(A854,""closeyest""),"""")"),500.0)</f>
        <v>500</v>
      </c>
      <c r="V854" s="23">
        <f>IFERROR(__xludf.DUMMYFUNCTION("IFERROR(GOOGLEFINANCE(A854,""changepct""),"""")"),3.0)</f>
        <v>3</v>
      </c>
      <c r="W854" s="22">
        <f>IFERROR(__xludf.DUMMYFUNCTION("IFERROR(GOOGLEFINANCE(A854,""priceopen""),"""")"),498.0)</f>
        <v>498</v>
      </c>
      <c r="X854" s="22">
        <f>IFERROR(__xludf.DUMMYFUNCTION("IFERROR(GOOGLEFINANCE(A854,""high""),"""")"),520.0)</f>
        <v>520</v>
      </c>
      <c r="Y854" s="22">
        <f>IFERROR(__xludf.DUMMYFUNCTION("IFERROR(GOOGLEFINANCE(A854,""low""),"""")"),494.0)</f>
        <v>494</v>
      </c>
      <c r="Z854" s="22">
        <f>IFERROR(__xludf.DUMMYFUNCTION("IFERROR(GOOGLEFINANCE(A854,""volume""),"""")"),30500.0)</f>
        <v>30500</v>
      </c>
      <c r="AA854" s="24" t="str">
        <f>VLOOKUP(A854,Metrik!$C$2:$Y$959,5,0)</f>
        <v>Electrical</v>
      </c>
      <c r="AB854" s="24" t="str">
        <f>VLOOKUP(A854,Metrik!$C$2:$Y$959,3,0)</f>
        <v>Industrials</v>
      </c>
    </row>
    <row r="855">
      <c r="A855" s="14" t="s">
        <v>475</v>
      </c>
      <c r="B855" s="14" t="str">
        <f t="array" ref="B855">VLOOKUP(A855,{Metrik!$C$2:$C$998,Metrik!$B$2:$B$998},2,0)</f>
        <v>Ikapharmindo Putramas Tbk.</v>
      </c>
      <c r="C855" s="15">
        <f>IFERROR(__xludf.DUMMYFUNCTION("GOOGLEFINANCE(""IDX:""&amp;A855,""price"")"),181.0)</f>
        <v>181</v>
      </c>
      <c r="D855" s="16" t="str">
        <f>IFERROR(__xludf.DUMMYFUNCTION("IF(A855="""","""",
SPARKLINE(
INDEX(
GOOGLEFINANCE(""IDX:""&amp;A855,""close"",TODAY()-365,TODAY()),
,2
),
{""linewidth"",1}
))
"),"#N/A")</f>
        <v>#N/A</v>
      </c>
      <c r="E855" s="26"/>
      <c r="F855" s="26"/>
      <c r="G855" s="24">
        <f t="shared" si="7"/>
        <v>0</v>
      </c>
      <c r="H855" s="19">
        <f>VLOOKUP(A855,Metrik!$C$2:$Y$959,8,0)</f>
        <v>-11.8</v>
      </c>
      <c r="I855" s="20">
        <f>VLOOKUP(A855,Metrik!$C$2:$Y$959,9,0)</f>
        <v>1.4</v>
      </c>
      <c r="J855" s="20">
        <f>VLOOKUP(A855,Metrik!$C$2:$Y$959,10,0)</f>
        <v>-12.1</v>
      </c>
      <c r="K855" s="20">
        <f>VLOOKUP(A855,Metrik!$C$2:$Y$959,11,0)</f>
        <v>-5.6</v>
      </c>
      <c r="L855" s="20">
        <f>VLOOKUP(A855,Metrik!$C$2:$Y$959,12,0)</f>
        <v>1.2</v>
      </c>
      <c r="M855" s="20">
        <f>VLOOKUP(A855,Metrik!$C$2:$Y$959,19,0)</f>
        <v>-25.5</v>
      </c>
      <c r="N855" s="21"/>
      <c r="O855" s="21"/>
      <c r="P855" s="21"/>
      <c r="Q855" s="21"/>
      <c r="R855" s="21"/>
      <c r="S855" s="21"/>
      <c r="T855" s="21"/>
      <c r="U855" s="22">
        <f>IFERROR(__xludf.DUMMYFUNCTION("IFERROR(GOOGLEFINANCE(A855,""closeyest""),"""")"),175.0)</f>
        <v>175</v>
      </c>
      <c r="V855" s="23">
        <f>IFERROR(__xludf.DUMMYFUNCTION("IFERROR(GOOGLEFINANCE(A855,""changepct""),"""")"),3.43)</f>
        <v>3.43</v>
      </c>
      <c r="W855" s="22">
        <f>IFERROR(__xludf.DUMMYFUNCTION("IFERROR(GOOGLEFINANCE(A855,""priceopen""),"""")"),175.0)</f>
        <v>175</v>
      </c>
      <c r="X855" s="22">
        <f>IFERROR(__xludf.DUMMYFUNCTION("IFERROR(GOOGLEFINANCE(A855,""high""),"""")"),181.0)</f>
        <v>181</v>
      </c>
      <c r="Y855" s="22">
        <f>IFERROR(__xludf.DUMMYFUNCTION("IFERROR(GOOGLEFINANCE(A855,""low""),"""")"),172.0)</f>
        <v>172</v>
      </c>
      <c r="Z855" s="22">
        <f>IFERROR(__xludf.DUMMYFUNCTION("IFERROR(GOOGLEFINANCE(A855,""volume""),"""")"),27600.0)</f>
        <v>27600</v>
      </c>
      <c r="AA855" s="24" t="str">
        <f>VLOOKUP(A855,Metrik!$C$2:$Y$959,5,0)</f>
        <v>Pharmaceuticals</v>
      </c>
      <c r="AB855" s="24" t="str">
        <f>VLOOKUP(A855,Metrik!$C$2:$Y$959,3,0)</f>
        <v>Healthcare</v>
      </c>
    </row>
    <row r="856">
      <c r="A856" s="14" t="s">
        <v>476</v>
      </c>
      <c r="B856" s="14" t="str">
        <f t="array" ref="B856">VLOOKUP(A856,{Metrik!$C$2:$C$998,Metrik!$B$2:$B$998},2,0)</f>
        <v>Indomobil Sukses Internasional Tbk</v>
      </c>
      <c r="C856" s="15">
        <f>IFERROR(__xludf.DUMMYFUNCTION("GOOGLEFINANCE(""IDX:""&amp;A856,""price"")"),885.0)</f>
        <v>885</v>
      </c>
      <c r="D856" s="16" t="str">
        <f>IFERROR(__xludf.DUMMYFUNCTION("IF(A856="""","""",
SPARKLINE(
INDEX(
GOOGLEFINANCE(""IDX:""&amp;A856,""close"",TODAY()-365,TODAY()),
,2
),
{""linewidth"",1}
))
"),"#N/A")</f>
        <v>#N/A</v>
      </c>
      <c r="E856" s="26"/>
      <c r="F856" s="26"/>
      <c r="G856" s="24">
        <f t="shared" si="7"/>
        <v>0</v>
      </c>
      <c r="H856" s="19">
        <f>VLOOKUP(A856,Metrik!$C$2:$Y$959,8,0)</f>
        <v>28.7</v>
      </c>
      <c r="I856" s="20">
        <f>VLOOKUP(A856,Metrik!$C$2:$Y$959,9,0)</f>
        <v>0.23</v>
      </c>
      <c r="J856" s="20">
        <f>VLOOKUP(A856,Metrik!$C$2:$Y$959,10,0)</f>
        <v>0.79</v>
      </c>
      <c r="K856" s="20">
        <f>VLOOKUP(A856,Metrik!$C$2:$Y$959,11,0)</f>
        <v>0.16</v>
      </c>
      <c r="L856" s="20">
        <f>VLOOKUP(A856,Metrik!$C$2:$Y$959,12,0)</f>
        <v>4</v>
      </c>
      <c r="M856" s="20">
        <f>VLOOKUP(A856,Metrik!$C$2:$Y$959,19,0)</f>
        <v>1.5</v>
      </c>
      <c r="N856" s="21"/>
      <c r="O856" s="21"/>
      <c r="P856" s="21"/>
      <c r="Q856" s="21"/>
      <c r="R856" s="21"/>
      <c r="S856" s="21"/>
      <c r="T856" s="21"/>
      <c r="U856" s="22">
        <f>IFERROR(__xludf.DUMMYFUNCTION("IFERROR(GOOGLEFINANCE(A856,""closeyest""),"""")"),850.0)</f>
        <v>850</v>
      </c>
      <c r="V856" s="23">
        <f>IFERROR(__xludf.DUMMYFUNCTION("IFERROR(GOOGLEFINANCE(A856,""changepct""),"""")"),4.12)</f>
        <v>4.12</v>
      </c>
      <c r="W856" s="22">
        <f>IFERROR(__xludf.DUMMYFUNCTION("IFERROR(GOOGLEFINANCE(A856,""priceopen""),"""")"),850.0)</f>
        <v>850</v>
      </c>
      <c r="X856" s="22">
        <f>IFERROR(__xludf.DUMMYFUNCTION("IFERROR(GOOGLEFINANCE(A856,""high""),"""")"),900.0)</f>
        <v>900</v>
      </c>
      <c r="Y856" s="22">
        <f>IFERROR(__xludf.DUMMYFUNCTION("IFERROR(GOOGLEFINANCE(A856,""low""),"""")"),825.0)</f>
        <v>825</v>
      </c>
      <c r="Z856" s="22">
        <f>IFERROR(__xludf.DUMMYFUNCTION("IFERROR(GOOGLEFINANCE(A856,""volume""),"""")"),785500.0)</f>
        <v>785500</v>
      </c>
      <c r="AA856" s="24" t="str">
        <f>VLOOKUP(A856,Metrik!$C$2:$Y$959,5,0)</f>
        <v>Specialty Retail</v>
      </c>
      <c r="AB856" s="24" t="str">
        <f>VLOOKUP(A856,Metrik!$C$2:$Y$959,3,0)</f>
        <v>Consumer Cyclicals</v>
      </c>
    </row>
    <row r="857">
      <c r="A857" s="14" t="s">
        <v>477</v>
      </c>
      <c r="B857" s="14" t="str">
        <f t="array" ref="B857">VLOOKUP(A857,{Metrik!$C$2:$C$998,Metrik!$B$2:$B$998},2,0)</f>
        <v>Indomobil Multi Jasa Tbk.</v>
      </c>
      <c r="C857" s="15">
        <f>IFERROR(__xludf.DUMMYFUNCTION("GOOGLEFINANCE(""IDX:""&amp;A857,""price"")"),140.0)</f>
        <v>140</v>
      </c>
      <c r="D857" s="16" t="str">
        <f>IFERROR(__xludf.DUMMYFUNCTION("IF(A857="""","""",
SPARKLINE(
INDEX(
GOOGLEFINANCE(""IDX:""&amp;A857,""close"",TODAY()-365,TODAY()),
,2
),
{""linewidth"",1}
))
"),"#N/A")</f>
        <v>#N/A</v>
      </c>
      <c r="E857" s="26"/>
      <c r="F857" s="26"/>
      <c r="G857" s="24">
        <f t="shared" si="7"/>
        <v>0</v>
      </c>
      <c r="H857" s="19">
        <f>VLOOKUP(A857,Metrik!$C$2:$Y$959,8,0)</f>
        <v>10.4</v>
      </c>
      <c r="I857" s="20">
        <f>VLOOKUP(A857,Metrik!$C$2:$Y$959,9,0)</f>
        <v>0.31</v>
      </c>
      <c r="J857" s="20">
        <f>VLOOKUP(A857,Metrik!$C$2:$Y$959,10,0)</f>
        <v>3</v>
      </c>
      <c r="K857" s="20">
        <f>VLOOKUP(A857,Metrik!$C$2:$Y$959,11,0)</f>
        <v>0.48</v>
      </c>
      <c r="L857" s="20">
        <f>VLOOKUP(A857,Metrik!$C$2:$Y$959,12,0)</f>
        <v>5.3</v>
      </c>
      <c r="M857" s="20">
        <f>VLOOKUP(A857,Metrik!$C$2:$Y$959,19,0)</f>
        <v>9.8</v>
      </c>
      <c r="N857" s="21"/>
      <c r="O857" s="21"/>
      <c r="P857" s="21"/>
      <c r="Q857" s="21"/>
      <c r="R857" s="21"/>
      <c r="S857" s="21"/>
      <c r="T857" s="21"/>
      <c r="U857" s="22">
        <f>IFERROR(__xludf.DUMMYFUNCTION("IFERROR(GOOGLEFINANCE(A857,""closeyest""),"""")"),135.0)</f>
        <v>135</v>
      </c>
      <c r="V857" s="23">
        <f>IFERROR(__xludf.DUMMYFUNCTION("IFERROR(GOOGLEFINANCE(A857,""changepct""),"""")"),3.7)</f>
        <v>3.7</v>
      </c>
      <c r="W857" s="22" t="str">
        <f>IFERROR(__xludf.DUMMYFUNCTION("IFERROR(GOOGLEFINANCE(A857,""priceopen""),"""")"),"")</f>
        <v/>
      </c>
      <c r="X857" s="22">
        <f>IFERROR(__xludf.DUMMYFUNCTION("IFERROR(GOOGLEFINANCE(A857,""high""),"""")"),144.0)</f>
        <v>144</v>
      </c>
      <c r="Y857" s="22" t="str">
        <f>IFERROR(__xludf.DUMMYFUNCTION("IFERROR(GOOGLEFINANCE(A857,""low""),"""")"),"")</f>
        <v/>
      </c>
      <c r="Z857" s="22">
        <f>IFERROR(__xludf.DUMMYFUNCTION("IFERROR(GOOGLEFINANCE(A857,""volume""),"""")"),3619900.0)</f>
        <v>3619900</v>
      </c>
      <c r="AA857" s="24" t="str">
        <f>VLOOKUP(A857,Metrik!$C$2:$Y$959,5,0)</f>
        <v>Passenger Land Transportation</v>
      </c>
      <c r="AB857" s="24" t="str">
        <f>VLOOKUP(A857,Metrik!$C$2:$Y$959,3,0)</f>
        <v>Transportation &amp; Logistic</v>
      </c>
    </row>
    <row r="858">
      <c r="A858" s="14" t="s">
        <v>478</v>
      </c>
      <c r="B858" s="14" t="str">
        <f t="array" ref="B858">VLOOKUP(A858,{Metrik!$C$2:$C$998,Metrik!$B$2:$B$998},2,0)</f>
        <v>Impack Pratama Industri Tbk.</v>
      </c>
      <c r="C858" s="15">
        <f>IFERROR(__xludf.DUMMYFUNCTION("GOOGLEFINANCE(""IDX:""&amp;A858,""price"")"),1665.0)</f>
        <v>1665</v>
      </c>
      <c r="D858" s="16" t="str">
        <f>IFERROR(__xludf.DUMMYFUNCTION("IF(A858="""","""",
SPARKLINE(
INDEX(
GOOGLEFINANCE(""IDX:""&amp;A858,""close"",TODAY()-365,TODAY()),
,2
),
{""linewidth"",1}
))
"),"#N/A")</f>
        <v>#N/A</v>
      </c>
      <c r="E858" s="14" t="s">
        <v>32</v>
      </c>
      <c r="F858" s="14" t="s">
        <v>29</v>
      </c>
      <c r="G858" s="24">
        <f t="shared" si="7"/>
        <v>2</v>
      </c>
      <c r="H858" s="19">
        <f>VLOOKUP(A858,Metrik!$C$2:$Y$959,8,0)</f>
        <v>150</v>
      </c>
      <c r="I858" s="20">
        <f>VLOOKUP(A858,Metrik!$C$2:$Y$959,9,0)</f>
        <v>30.9</v>
      </c>
      <c r="J858" s="20">
        <f>VLOOKUP(A858,Metrik!$C$2:$Y$959,10,0)</f>
        <v>20.7</v>
      </c>
      <c r="K858" s="20">
        <f>VLOOKUP(A858,Metrik!$C$2:$Y$959,11,0)</f>
        <v>13</v>
      </c>
      <c r="L858" s="20">
        <f>VLOOKUP(A858,Metrik!$C$2:$Y$959,12,0)</f>
        <v>0.6</v>
      </c>
      <c r="M858" s="20">
        <f>VLOOKUP(A858,Metrik!$C$2:$Y$959,19,0)</f>
        <v>57</v>
      </c>
      <c r="N858" s="21"/>
      <c r="O858" s="21"/>
      <c r="P858" s="21"/>
      <c r="Q858" s="21"/>
      <c r="R858" s="21"/>
      <c r="S858" s="21"/>
      <c r="T858" s="21"/>
      <c r="U858" s="22">
        <f>IFERROR(__xludf.DUMMYFUNCTION("IFERROR(GOOGLEFINANCE(A858,""closeyest""),"""")"),1600.0)</f>
        <v>1600</v>
      </c>
      <c r="V858" s="23">
        <f>IFERROR(__xludf.DUMMYFUNCTION("IFERROR(GOOGLEFINANCE(A858,""changepct""),"""")"),4.06)</f>
        <v>4.06</v>
      </c>
      <c r="W858" s="22">
        <f>IFERROR(__xludf.DUMMYFUNCTION("IFERROR(GOOGLEFINANCE(A858,""priceopen""),"""")"),1635.0)</f>
        <v>1635</v>
      </c>
      <c r="X858" s="22">
        <f>IFERROR(__xludf.DUMMYFUNCTION("IFERROR(GOOGLEFINANCE(A858,""high""),"""")"),1745.0)</f>
        <v>1745</v>
      </c>
      <c r="Y858" s="22">
        <f>IFERROR(__xludf.DUMMYFUNCTION("IFERROR(GOOGLEFINANCE(A858,""low""),"""")"),1610.0)</f>
        <v>1610</v>
      </c>
      <c r="Z858" s="22">
        <f>IFERROR(__xludf.DUMMYFUNCTION("IFERROR(GOOGLEFINANCE(A858,""volume""),"""")"),4.41874E7)</f>
        <v>44187400</v>
      </c>
      <c r="AA858" s="24" t="str">
        <f>VLOOKUP(A858,Metrik!$C$2:$Y$959,5,0)</f>
        <v>Building Products &amp; Fixtures</v>
      </c>
      <c r="AB858" s="24" t="str">
        <f>VLOOKUP(A858,Metrik!$C$2:$Y$959,3,0)</f>
        <v>Industrials</v>
      </c>
    </row>
    <row r="859">
      <c r="A859" s="17" t="s">
        <v>478</v>
      </c>
      <c r="B859" s="14" t="str">
        <f t="array" ref="B859">VLOOKUP(A859,{Metrik!$C$2:$C$998,Metrik!$B$2:$B$998},2,0)</f>
        <v>Impack Pratama Industri Tbk.</v>
      </c>
      <c r="C859" s="15">
        <f>IFERROR(__xludf.DUMMYFUNCTION("GOOGLEFINANCE(""IDX:""&amp;A859,""price"")"),1665.0)</f>
        <v>1665</v>
      </c>
      <c r="D859" s="16" t="str">
        <f>IFERROR(__xludf.DUMMYFUNCTION("IF(A859="""","""",
SPARKLINE(
INDEX(
GOOGLEFINANCE(""IDX:""&amp;A859,""close"",TODAY()-365,TODAY()),
,2
),
{""linewidth"",1}
))
"),"#N/A")</f>
        <v>#N/A</v>
      </c>
      <c r="E859" s="14" t="s">
        <v>39</v>
      </c>
      <c r="F859" s="25">
        <v>46356.0</v>
      </c>
      <c r="G859" s="18">
        <f t="shared" si="7"/>
        <v>2</v>
      </c>
      <c r="H859" s="19">
        <f>VLOOKUP(A859,Metrik!$C$2:$Y$959,8,0)</f>
        <v>150</v>
      </c>
      <c r="I859" s="20">
        <f>VLOOKUP(A859,Metrik!$C$2:$Y$959,9,0)</f>
        <v>30.9</v>
      </c>
      <c r="J859" s="20">
        <f>VLOOKUP(A859,Metrik!$C$2:$Y$959,10,0)</f>
        <v>20.7</v>
      </c>
      <c r="K859" s="20">
        <f>VLOOKUP(A859,Metrik!$C$2:$Y$959,11,0)</f>
        <v>13</v>
      </c>
      <c r="L859" s="20">
        <f>VLOOKUP(A859,Metrik!$C$2:$Y$959,12,0)</f>
        <v>0.6</v>
      </c>
      <c r="M859" s="20">
        <f>VLOOKUP(A859,Metrik!$C$2:$Y$959,19,0)</f>
        <v>57</v>
      </c>
      <c r="N859" s="21"/>
      <c r="O859" s="21"/>
      <c r="P859" s="21"/>
      <c r="Q859" s="21"/>
      <c r="R859" s="21"/>
      <c r="S859" s="21"/>
      <c r="T859" s="21"/>
      <c r="U859" s="22">
        <f>IFERROR(__xludf.DUMMYFUNCTION("IFERROR(GOOGLEFINANCE(A859,""closeyest""),"""")"),1600.0)</f>
        <v>1600</v>
      </c>
      <c r="V859" s="23">
        <f>IFERROR(__xludf.DUMMYFUNCTION("IFERROR(GOOGLEFINANCE(A859,""changepct""),"""")"),4.06)</f>
        <v>4.06</v>
      </c>
      <c r="W859" s="22">
        <f>IFERROR(__xludf.DUMMYFUNCTION("IFERROR(GOOGLEFINANCE(A859,""priceopen""),"""")"),1635.0)</f>
        <v>1635</v>
      </c>
      <c r="X859" s="22">
        <f>IFERROR(__xludf.DUMMYFUNCTION("IFERROR(GOOGLEFINANCE(A859,""high""),"""")"),1745.0)</f>
        <v>1745</v>
      </c>
      <c r="Y859" s="22">
        <f>IFERROR(__xludf.DUMMYFUNCTION("IFERROR(GOOGLEFINANCE(A859,""low""),"""")"),1610.0)</f>
        <v>1610</v>
      </c>
      <c r="Z859" s="22">
        <f>IFERROR(__xludf.DUMMYFUNCTION("IFERROR(GOOGLEFINANCE(A859,""volume""),"""")"),4.41874E7)</f>
        <v>44187400</v>
      </c>
      <c r="AA859" s="24" t="str">
        <f>VLOOKUP(A859,Metrik!$C$2:$Y$959,5,0)</f>
        <v>Building Products &amp; Fixtures</v>
      </c>
      <c r="AB859" s="24" t="str">
        <f>VLOOKUP(A859,Metrik!$C$2:$Y$959,3,0)</f>
        <v>Industrials</v>
      </c>
    </row>
    <row r="860">
      <c r="A860" s="14" t="s">
        <v>479</v>
      </c>
      <c r="B860" s="14" t="str">
        <f t="array" ref="B860">VLOOKUP(A860,{Metrik!$C$2:$C$998,Metrik!$B$2:$B$998},2,0)</f>
        <v>Indofarma Tbk.</v>
      </c>
      <c r="C860" s="15">
        <f>IFERROR(__xludf.DUMMYFUNCTION("GOOGLEFINANCE(""IDX:""&amp;A860,""price"")"),126.0)</f>
        <v>126</v>
      </c>
      <c r="D860" s="16" t="str">
        <f>IFERROR(__xludf.DUMMYFUNCTION("IF(A860="""","""",
SPARKLINE(
INDEX(
GOOGLEFINANCE(""IDX:""&amp;A860,""close"",TODAY()-365,TODAY()),
,2
),
{""linewidth"",1}
))
"),"#N/A")</f>
        <v>#N/A</v>
      </c>
      <c r="E860" s="26"/>
      <c r="F860" s="26"/>
      <c r="G860" s="24">
        <f t="shared" si="7"/>
        <v>0</v>
      </c>
      <c r="H860" s="19">
        <f>VLOOKUP(A860,Metrik!$C$2:$Y$959,8,0)</f>
        <v>-5</v>
      </c>
      <c r="I860" s="20">
        <f>VLOOKUP(A860,Metrik!$C$2:$Y$959,9,0)</f>
        <v>-0.55</v>
      </c>
      <c r="J860" s="20">
        <f>VLOOKUP(A860,Metrik!$C$2:$Y$959,10,0)</f>
        <v>0</v>
      </c>
      <c r="K860" s="20">
        <f>VLOOKUP(A860,Metrik!$C$2:$Y$959,11,0)</f>
        <v>-14.6</v>
      </c>
      <c r="L860" s="20">
        <f>VLOOKUP(A860,Metrik!$C$2:$Y$959,12,0)</f>
        <v>-1.8</v>
      </c>
      <c r="M860" s="20">
        <f>VLOOKUP(A860,Metrik!$C$2:$Y$959,19,0)</f>
        <v>-51.5</v>
      </c>
      <c r="N860" s="21"/>
      <c r="O860" s="21"/>
      <c r="P860" s="21"/>
      <c r="Q860" s="21"/>
      <c r="R860" s="21"/>
      <c r="S860" s="21"/>
      <c r="T860" s="21"/>
      <c r="U860" s="22">
        <f>IFERROR(__xludf.DUMMYFUNCTION("IFERROR(GOOGLEFINANCE(A860,""closeyest""),"""")"),126.0)</f>
        <v>126</v>
      </c>
      <c r="V860" s="23">
        <f>IFERROR(__xludf.DUMMYFUNCTION("IFERROR(GOOGLEFINANCE(A860,""changepct""),"""")"),0.0)</f>
        <v>0</v>
      </c>
      <c r="W860" s="22" t="str">
        <f>IFERROR(__xludf.DUMMYFUNCTION("IFERROR(GOOGLEFINANCE(A860,""priceopen""),"""")"),"")</f>
        <v/>
      </c>
      <c r="X860" s="22" t="str">
        <f>IFERROR(__xludf.DUMMYFUNCTION("IFERROR(GOOGLEFINANCE(A860,""high""),"""")"),"")</f>
        <v/>
      </c>
      <c r="Y860" s="22" t="str">
        <f>IFERROR(__xludf.DUMMYFUNCTION("IFERROR(GOOGLEFINANCE(A860,""low""),"""")"),"")</f>
        <v/>
      </c>
      <c r="Z860" s="22">
        <f>IFERROR(__xludf.DUMMYFUNCTION("IFERROR(GOOGLEFINANCE(A860,""volume""),"""")"),0.0)</f>
        <v>0</v>
      </c>
      <c r="AA860" s="24" t="str">
        <f>VLOOKUP(A860,Metrik!$C$2:$Y$959,5,0)</f>
        <v>Pharmaceuticals</v>
      </c>
      <c r="AB860" s="24" t="str">
        <f>VLOOKUP(A860,Metrik!$C$2:$Y$959,3,0)</f>
        <v>Healthcare</v>
      </c>
    </row>
    <row r="861">
      <c r="A861" s="14" t="s">
        <v>480</v>
      </c>
      <c r="B861" s="14" t="str">
        <f t="array" ref="B861">VLOOKUP(A861,{Metrik!$C$2:$C$998,Metrik!$B$2:$B$998},2,0)</f>
        <v>Indal Aluminium Industry Tbk.</v>
      </c>
      <c r="C861" s="15">
        <f>IFERROR(__xludf.DUMMYFUNCTION("GOOGLEFINANCE(""IDX:""&amp;A861,""price"")"),128.0)</f>
        <v>128</v>
      </c>
      <c r="D861" s="16" t="str">
        <f>IFERROR(__xludf.DUMMYFUNCTION("IF(A861="""","""",
SPARKLINE(
INDEX(
GOOGLEFINANCE(""IDX:""&amp;A861,""close"",TODAY()-365,TODAY()),
,2
),
{""linewidth"",1}
))
"),"#N/A")</f>
        <v>#N/A</v>
      </c>
      <c r="E861" s="26"/>
      <c r="F861" s="26"/>
      <c r="G861" s="24">
        <f t="shared" si="7"/>
        <v>0</v>
      </c>
      <c r="H861" s="19">
        <f>VLOOKUP(A861,Metrik!$C$2:$Y$959,8,0)</f>
        <v>-1</v>
      </c>
      <c r="I861" s="20">
        <f>VLOOKUP(A861,Metrik!$C$2:$Y$959,9,0)</f>
        <v>1.5</v>
      </c>
      <c r="J861" s="20">
        <f>VLOOKUP(A861,Metrik!$C$2:$Y$959,10,0)</f>
        <v>-150</v>
      </c>
      <c r="K861" s="20">
        <f>VLOOKUP(A861,Metrik!$C$2:$Y$959,11,0)</f>
        <v>-9</v>
      </c>
      <c r="L861" s="20">
        <f>VLOOKUP(A861,Metrik!$C$2:$Y$959,12,0)</f>
        <v>15.7</v>
      </c>
      <c r="M861" s="20">
        <f>VLOOKUP(A861,Metrik!$C$2:$Y$959,19,0)</f>
        <v>-59.4</v>
      </c>
      <c r="N861" s="21"/>
      <c r="O861" s="21"/>
      <c r="P861" s="21"/>
      <c r="Q861" s="21"/>
      <c r="R861" s="21"/>
      <c r="S861" s="21"/>
      <c r="T861" s="21"/>
      <c r="U861" s="22">
        <f>IFERROR(__xludf.DUMMYFUNCTION("IFERROR(GOOGLEFINANCE(A861,""closeyest""),"""")"),50.01)</f>
        <v>50.01</v>
      </c>
      <c r="V861" s="23">
        <f>IFERROR(__xludf.DUMMYFUNCTION("IFERROR(GOOGLEFINANCE(A861,""changepct""),"""")"),0.62)</f>
        <v>0.62</v>
      </c>
      <c r="W861" s="22">
        <f>IFERROR(__xludf.DUMMYFUNCTION("IFERROR(GOOGLEFINANCE(A861,""priceopen""),"""")"),49.7)</f>
        <v>49.7</v>
      </c>
      <c r="X861" s="22">
        <f>IFERROR(__xludf.DUMMYFUNCTION("IFERROR(GOOGLEFINANCE(A861,""high""),"""")"),50.61)</f>
        <v>50.61</v>
      </c>
      <c r="Y861" s="22">
        <f>IFERROR(__xludf.DUMMYFUNCTION("IFERROR(GOOGLEFINANCE(A861,""low""),"""")"),49.63)</f>
        <v>49.63</v>
      </c>
      <c r="Z861" s="22">
        <f>IFERROR(__xludf.DUMMYFUNCTION("IFERROR(GOOGLEFINANCE(A861,""volume""),"""")"),2736.0)</f>
        <v>2736</v>
      </c>
      <c r="AA861" s="24" t="str">
        <f>VLOOKUP(A861,Metrik!$C$2:$Y$959,5,0)</f>
        <v>Metals &amp; Minerals</v>
      </c>
      <c r="AB861" s="24" t="str">
        <f>VLOOKUP(A861,Metrik!$C$2:$Y$959,3,0)</f>
        <v>Basic Materials</v>
      </c>
    </row>
    <row r="862">
      <c r="A862" s="14" t="s">
        <v>481</v>
      </c>
      <c r="B862" s="14" t="str">
        <f t="array" ref="B862">VLOOKUP(A862,{Metrik!$C$2:$C$998,Metrik!$B$2:$B$998},2,0)</f>
        <v>PT Indo Komoditi Korpora Tbk</v>
      </c>
      <c r="C862" s="15">
        <f>IFERROR(__xludf.DUMMYFUNCTION("GOOGLEFINANCE(""IDX:""&amp;A862,""price"")"),50.0)</f>
        <v>50</v>
      </c>
      <c r="D862" s="16" t="str">
        <f>IFERROR(__xludf.DUMMYFUNCTION("IF(A862="""","""",
SPARKLINE(
INDEX(
GOOGLEFINANCE(""IDX:""&amp;A862,""close"",TODAY()-365,TODAY()),
,2
),
{""linewidth"",1}
))
"),"#N/A")</f>
        <v>#N/A</v>
      </c>
      <c r="E862" s="26"/>
      <c r="F862" s="26"/>
      <c r="G862" s="24">
        <f t="shared" si="7"/>
        <v>0</v>
      </c>
      <c r="H862" s="19">
        <f>VLOOKUP(A862,Metrik!$C$2:$Y$959,8,0)</f>
        <v>-85.2</v>
      </c>
      <c r="I862" s="20">
        <f>VLOOKUP(A862,Metrik!$C$2:$Y$959,9,0)</f>
        <v>0.48</v>
      </c>
      <c r="J862" s="20">
        <f>VLOOKUP(A862,Metrik!$C$2:$Y$959,10,0)</f>
        <v>-0.56</v>
      </c>
      <c r="K862" s="20">
        <f>VLOOKUP(A862,Metrik!$C$2:$Y$959,11,0)</f>
        <v>-0.2</v>
      </c>
      <c r="L862" s="20">
        <f>VLOOKUP(A862,Metrik!$C$2:$Y$959,12,0)</f>
        <v>1.8</v>
      </c>
      <c r="M862" s="20">
        <f>VLOOKUP(A862,Metrik!$C$2:$Y$959,19,0)</f>
        <v>-0.79</v>
      </c>
      <c r="N862" s="21"/>
      <c r="O862" s="21"/>
      <c r="P862" s="21"/>
      <c r="Q862" s="21"/>
      <c r="R862" s="21"/>
      <c r="S862" s="21"/>
      <c r="T862" s="21"/>
      <c r="U862" s="22">
        <f>IFERROR(__xludf.DUMMYFUNCTION("IFERROR(GOOGLEFINANCE(A862,""closeyest""),"""")"),50.0)</f>
        <v>50</v>
      </c>
      <c r="V862" s="23">
        <f>IFERROR(__xludf.DUMMYFUNCTION("IFERROR(GOOGLEFINANCE(A862,""changepct""),"""")"),0.0)</f>
        <v>0</v>
      </c>
      <c r="W862" s="22">
        <f>IFERROR(__xludf.DUMMYFUNCTION("IFERROR(GOOGLEFINANCE(A862,""priceopen""),"""")"),50.0)</f>
        <v>50</v>
      </c>
      <c r="X862" s="22">
        <f>IFERROR(__xludf.DUMMYFUNCTION("IFERROR(GOOGLEFINANCE(A862,""high""),"""")"),50.0)</f>
        <v>50</v>
      </c>
      <c r="Y862" s="22">
        <f>IFERROR(__xludf.DUMMYFUNCTION("IFERROR(GOOGLEFINANCE(A862,""low""),"""")"),50.0)</f>
        <v>50</v>
      </c>
      <c r="Z862" s="22">
        <f>IFERROR(__xludf.DUMMYFUNCTION("IFERROR(GOOGLEFINANCE(A862,""volume""),"""")"),329200.0)</f>
        <v>329200</v>
      </c>
      <c r="AA862" s="24" t="str">
        <f>VLOOKUP(A862,Metrik!$C$2:$Y$959,5,0)</f>
        <v/>
      </c>
      <c r="AB862" s="24" t="str">
        <f>VLOOKUP(A862,Metrik!$C$2:$Y$959,3,0)</f>
        <v>BASIC INDUSTRY AND CHEMICALS</v>
      </c>
    </row>
    <row r="863">
      <c r="A863" s="14" t="s">
        <v>482</v>
      </c>
      <c r="B863" s="14" t="str">
        <f t="array" ref="B863">VLOOKUP(A863,{Metrik!$C$2:$C$998,Metrik!$B$2:$B$998},2,0)</f>
        <v>Intanwijaya Internasional Tbk</v>
      </c>
      <c r="C863" s="15">
        <f>IFERROR(__xludf.DUMMYFUNCTION("GOOGLEFINANCE(""IDX:""&amp;A863,""price"")"),635.0)</f>
        <v>635</v>
      </c>
      <c r="D863" s="16" t="str">
        <f>IFERROR(__xludf.DUMMYFUNCTION("IF(A863="""","""",
SPARKLINE(
INDEX(
GOOGLEFINANCE(""IDX:""&amp;A863,""close"",TODAY()-365,TODAY()),
,2
),
{""linewidth"",1}
))
"),"#N/A")</f>
        <v>#N/A</v>
      </c>
      <c r="E863" s="26"/>
      <c r="F863" s="26"/>
      <c r="G863" s="24">
        <f t="shared" si="7"/>
        <v>0</v>
      </c>
      <c r="H863" s="19">
        <f>VLOOKUP(A863,Metrik!$C$2:$Y$959,8,0)</f>
        <v>5.1</v>
      </c>
      <c r="I863" s="20">
        <f>VLOOKUP(A863,Metrik!$C$2:$Y$959,9,0)</f>
        <v>0.28</v>
      </c>
      <c r="J863" s="20">
        <f>VLOOKUP(A863,Metrik!$C$2:$Y$959,10,0)</f>
        <v>5.6</v>
      </c>
      <c r="K863" s="20">
        <f>VLOOKUP(A863,Metrik!$C$2:$Y$959,11,0)</f>
        <v>4.8</v>
      </c>
      <c r="L863" s="20">
        <f>VLOOKUP(A863,Metrik!$C$2:$Y$959,12,0)</f>
        <v>0.17</v>
      </c>
      <c r="M863" s="20">
        <f>VLOOKUP(A863,Metrik!$C$2:$Y$959,19,0)</f>
        <v>30</v>
      </c>
      <c r="N863" s="21"/>
      <c r="O863" s="21"/>
      <c r="P863" s="21"/>
      <c r="Q863" s="21"/>
      <c r="R863" s="21"/>
      <c r="S863" s="21"/>
      <c r="T863" s="21"/>
      <c r="U863" s="22">
        <f>IFERROR(__xludf.DUMMYFUNCTION("IFERROR(GOOGLEFINANCE(A863,""closeyest""),"""")"),610.0)</f>
        <v>610</v>
      </c>
      <c r="V863" s="23">
        <f>IFERROR(__xludf.DUMMYFUNCTION("IFERROR(GOOGLEFINANCE(A863,""changepct""),"""")"),4.1)</f>
        <v>4.1</v>
      </c>
      <c r="W863" s="22">
        <f>IFERROR(__xludf.DUMMYFUNCTION("IFERROR(GOOGLEFINANCE(A863,""priceopen""),"""")"),615.0)</f>
        <v>615</v>
      </c>
      <c r="X863" s="22">
        <f>IFERROR(__xludf.DUMMYFUNCTION("IFERROR(GOOGLEFINANCE(A863,""high""),"""")"),715.0)</f>
        <v>715</v>
      </c>
      <c r="Y863" s="22">
        <f>IFERROR(__xludf.DUMMYFUNCTION("IFERROR(GOOGLEFINANCE(A863,""low""),"""")"),615.0)</f>
        <v>615</v>
      </c>
      <c r="Z863" s="22">
        <f>IFERROR(__xludf.DUMMYFUNCTION("IFERROR(GOOGLEFINANCE(A863,""volume""),"""")"),154000.0)</f>
        <v>154000</v>
      </c>
      <c r="AA863" s="24" t="str">
        <f>VLOOKUP(A863,Metrik!$C$2:$Y$959,5,0)</f>
        <v>Chemicals</v>
      </c>
      <c r="AB863" s="24" t="str">
        <f>VLOOKUP(A863,Metrik!$C$2:$Y$959,3,0)</f>
        <v>Basic Materials</v>
      </c>
    </row>
    <row r="864">
      <c r="A864" s="14" t="s">
        <v>483</v>
      </c>
      <c r="B864" s="14" t="str">
        <f t="array" ref="B864">VLOOKUP(A864,{Metrik!$C$2:$C$998,Metrik!$B$2:$B$998},2,0)</f>
        <v>Vale Indonesia Tbk.</v>
      </c>
      <c r="C864" s="15">
        <f>IFERROR(__xludf.DUMMYFUNCTION("GOOGLEFINANCE(""IDX:""&amp;A864,""price"")"),4710.0)</f>
        <v>4710</v>
      </c>
      <c r="D864" s="16" t="str">
        <f>IFERROR(__xludf.DUMMYFUNCTION("IF(A864="""","""",
SPARKLINE(
INDEX(
GOOGLEFINANCE(""IDX:""&amp;A864,""close"",TODAY()-365,TODAY()),
,2
),
{""linewidth"",1}
))
"),"#N/A")</f>
        <v>#N/A</v>
      </c>
      <c r="E864" s="14" t="s">
        <v>47</v>
      </c>
      <c r="F864" s="25">
        <v>46356.0</v>
      </c>
      <c r="G864" s="24">
        <f t="shared" si="7"/>
        <v>14</v>
      </c>
      <c r="H864" s="19">
        <f>VLOOKUP(A864,Metrik!$C$2:$Y$959,8,0)</f>
        <v>30.1</v>
      </c>
      <c r="I864" s="20">
        <f>VLOOKUP(A864,Metrik!$C$2:$Y$959,9,0)</f>
        <v>1</v>
      </c>
      <c r="J864" s="20">
        <f>VLOOKUP(A864,Metrik!$C$2:$Y$959,10,0)</f>
        <v>3.5</v>
      </c>
      <c r="K864" s="20">
        <f>VLOOKUP(A864,Metrik!$C$2:$Y$959,11,0)</f>
        <v>2.9</v>
      </c>
      <c r="L864" s="20">
        <f>VLOOKUP(A864,Metrik!$C$2:$Y$959,12,0)</f>
        <v>0.19</v>
      </c>
      <c r="M864" s="20">
        <f>VLOOKUP(A864,Metrik!$C$2:$Y$959,19,0)</f>
        <v>38.6</v>
      </c>
      <c r="N864" s="21"/>
      <c r="O864" s="21"/>
      <c r="P864" s="21"/>
      <c r="Q864" s="21"/>
      <c r="R864" s="21"/>
      <c r="S864" s="21"/>
      <c r="T864" s="21"/>
      <c r="U864" s="22">
        <f>IFERROR(__xludf.DUMMYFUNCTION("IFERROR(GOOGLEFINANCE(A864,""closeyest""),"""")"),57.53)</f>
        <v>57.53</v>
      </c>
      <c r="V864" s="23">
        <f>IFERROR(__xludf.DUMMYFUNCTION("IFERROR(GOOGLEFINANCE(A864,""changepct""),"""")"),0.26)</f>
        <v>0.26</v>
      </c>
      <c r="W864" s="22">
        <f>IFERROR(__xludf.DUMMYFUNCTION("IFERROR(GOOGLEFINANCE(A864,""priceopen""),"""")"),57.97)</f>
        <v>57.97</v>
      </c>
      <c r="X864" s="22">
        <f>IFERROR(__xludf.DUMMYFUNCTION("IFERROR(GOOGLEFINANCE(A864,""high""),"""")"),58.06)</f>
        <v>58.06</v>
      </c>
      <c r="Y864" s="22">
        <f>IFERROR(__xludf.DUMMYFUNCTION("IFERROR(GOOGLEFINANCE(A864,""low""),"""")"),57.68)</f>
        <v>57.68</v>
      </c>
      <c r="Z864" s="22">
        <f>IFERROR(__xludf.DUMMYFUNCTION("IFERROR(GOOGLEFINANCE(A864,""volume""),"""")"),5034.0)</f>
        <v>5034</v>
      </c>
      <c r="AA864" s="24" t="str">
        <f>VLOOKUP(A864,Metrik!$C$2:$Y$959,5,0)</f>
        <v>Metals &amp; Minerals</v>
      </c>
      <c r="AB864" s="24" t="str">
        <f>VLOOKUP(A864,Metrik!$C$2:$Y$959,3,0)</f>
        <v>Basic Materials</v>
      </c>
    </row>
    <row r="865">
      <c r="A865" s="14" t="s">
        <v>483</v>
      </c>
      <c r="B865" s="14" t="str">
        <f t="array" ref="B865">VLOOKUP(A865,{Metrik!$C$2:$C$998,Metrik!$B$2:$B$998},2,0)</f>
        <v>Vale Indonesia Tbk.</v>
      </c>
      <c r="C865" s="15">
        <f>IFERROR(__xludf.DUMMYFUNCTION("GOOGLEFINANCE(""IDX:""&amp;A865,""price"")"),4710.0)</f>
        <v>4710</v>
      </c>
      <c r="D865" s="16" t="str">
        <f>IFERROR(__xludf.DUMMYFUNCTION("IF(A865="""","""",
SPARKLINE(
INDEX(
GOOGLEFINANCE(""IDX:""&amp;A865,""close"",TODAY()-365,TODAY()),
,2
),
{""linewidth"",1}
))
"),"#N/A")</f>
        <v>#N/A</v>
      </c>
      <c r="E865" s="14" t="s">
        <v>55</v>
      </c>
      <c r="F865" s="25">
        <v>46356.0</v>
      </c>
      <c r="G865" s="24">
        <f t="shared" si="7"/>
        <v>14</v>
      </c>
      <c r="H865" s="19">
        <f>VLOOKUP(A865,Metrik!$C$2:$Y$959,8,0)</f>
        <v>30.1</v>
      </c>
      <c r="I865" s="20">
        <f>VLOOKUP(A865,Metrik!$C$2:$Y$959,9,0)</f>
        <v>1</v>
      </c>
      <c r="J865" s="20">
        <f>VLOOKUP(A865,Metrik!$C$2:$Y$959,10,0)</f>
        <v>3.5</v>
      </c>
      <c r="K865" s="20">
        <f>VLOOKUP(A865,Metrik!$C$2:$Y$959,11,0)</f>
        <v>2.9</v>
      </c>
      <c r="L865" s="20">
        <f>VLOOKUP(A865,Metrik!$C$2:$Y$959,12,0)</f>
        <v>0.19</v>
      </c>
      <c r="M865" s="20">
        <f>VLOOKUP(A865,Metrik!$C$2:$Y$959,19,0)</f>
        <v>38.6</v>
      </c>
      <c r="N865" s="21"/>
      <c r="O865" s="21"/>
      <c r="P865" s="21"/>
      <c r="Q865" s="21"/>
      <c r="R865" s="21"/>
      <c r="S865" s="21"/>
      <c r="T865" s="21"/>
      <c r="U865" s="22">
        <f>IFERROR(__xludf.DUMMYFUNCTION("IFERROR(GOOGLEFINANCE(A865,""closeyest""),"""")"),57.53)</f>
        <v>57.53</v>
      </c>
      <c r="V865" s="23">
        <f>IFERROR(__xludf.DUMMYFUNCTION("IFERROR(GOOGLEFINANCE(A865,""changepct""),"""")"),0.26)</f>
        <v>0.26</v>
      </c>
      <c r="W865" s="22">
        <f>IFERROR(__xludf.DUMMYFUNCTION("IFERROR(GOOGLEFINANCE(A865,""priceopen""),"""")"),57.97)</f>
        <v>57.97</v>
      </c>
      <c r="X865" s="22">
        <f>IFERROR(__xludf.DUMMYFUNCTION("IFERROR(GOOGLEFINANCE(A865,""high""),"""")"),58.06)</f>
        <v>58.06</v>
      </c>
      <c r="Y865" s="22">
        <f>IFERROR(__xludf.DUMMYFUNCTION("IFERROR(GOOGLEFINANCE(A865,""low""),"""")"),57.68)</f>
        <v>57.68</v>
      </c>
      <c r="Z865" s="22">
        <f>IFERROR(__xludf.DUMMYFUNCTION("IFERROR(GOOGLEFINANCE(A865,""volume""),"""")"),5034.0)</f>
        <v>5034</v>
      </c>
      <c r="AA865" s="24" t="str">
        <f>VLOOKUP(A865,Metrik!$C$2:$Y$959,5,0)</f>
        <v>Metals &amp; Minerals</v>
      </c>
      <c r="AB865" s="24" t="str">
        <f>VLOOKUP(A865,Metrik!$C$2:$Y$959,3,0)</f>
        <v>Basic Materials</v>
      </c>
    </row>
    <row r="866">
      <c r="A866" s="17" t="s">
        <v>483</v>
      </c>
      <c r="B866" s="14" t="str">
        <f t="array" ref="B866">VLOOKUP(A866,{Metrik!$C$2:$C$998,Metrik!$B$2:$B$998},2,0)</f>
        <v>Vale Indonesia Tbk.</v>
      </c>
      <c r="C866" s="15">
        <f>IFERROR(__xludf.DUMMYFUNCTION("GOOGLEFINANCE(""IDX:""&amp;A866,""price"")"),4710.0)</f>
        <v>4710</v>
      </c>
      <c r="D866" s="16" t="str">
        <f>IFERROR(__xludf.DUMMYFUNCTION("IF(A866="""","""",
SPARKLINE(
INDEX(
GOOGLEFINANCE(""IDX:""&amp;A866,""close"",TODAY()-365,TODAY()),
,2
),
{""linewidth"",1}
))
"),"#N/A")</f>
        <v>#N/A</v>
      </c>
      <c r="E866" s="14" t="s">
        <v>50</v>
      </c>
      <c r="F866" s="17" t="s">
        <v>51</v>
      </c>
      <c r="G866" s="24">
        <f t="shared" si="7"/>
        <v>14</v>
      </c>
      <c r="H866" s="19">
        <f>VLOOKUP(A866,Metrik!$C$2:$Y$959,8,0)</f>
        <v>30.1</v>
      </c>
      <c r="I866" s="20">
        <f>VLOOKUP(A866,Metrik!$C$2:$Y$959,9,0)</f>
        <v>1</v>
      </c>
      <c r="J866" s="20">
        <f>VLOOKUP(A866,Metrik!$C$2:$Y$959,10,0)</f>
        <v>3.5</v>
      </c>
      <c r="K866" s="20">
        <f>VLOOKUP(A866,Metrik!$C$2:$Y$959,11,0)</f>
        <v>2.9</v>
      </c>
      <c r="L866" s="20">
        <f>VLOOKUP(A866,Metrik!$C$2:$Y$959,12,0)</f>
        <v>0.19</v>
      </c>
      <c r="M866" s="20">
        <f>VLOOKUP(A866,Metrik!$C$2:$Y$959,19,0)</f>
        <v>38.6</v>
      </c>
      <c r="N866" s="21"/>
      <c r="O866" s="21"/>
      <c r="P866" s="21"/>
      <c r="Q866" s="21"/>
      <c r="R866" s="21"/>
      <c r="S866" s="21"/>
      <c r="T866" s="21"/>
      <c r="U866" s="22">
        <f>IFERROR(__xludf.DUMMYFUNCTION("IFERROR(GOOGLEFINANCE(A866,""closeyest""),"""")"),57.53)</f>
        <v>57.53</v>
      </c>
      <c r="V866" s="23">
        <f>IFERROR(__xludf.DUMMYFUNCTION("IFERROR(GOOGLEFINANCE(A866,""changepct""),"""")"),0.26)</f>
        <v>0.26</v>
      </c>
      <c r="W866" s="22">
        <f>IFERROR(__xludf.DUMMYFUNCTION("IFERROR(GOOGLEFINANCE(A866,""priceopen""),"""")"),57.97)</f>
        <v>57.97</v>
      </c>
      <c r="X866" s="22">
        <f>IFERROR(__xludf.DUMMYFUNCTION("IFERROR(GOOGLEFINANCE(A866,""high""),"""")"),58.06)</f>
        <v>58.06</v>
      </c>
      <c r="Y866" s="22">
        <f>IFERROR(__xludf.DUMMYFUNCTION("IFERROR(GOOGLEFINANCE(A866,""low""),"""")"),57.68)</f>
        <v>57.68</v>
      </c>
      <c r="Z866" s="22">
        <f>IFERROR(__xludf.DUMMYFUNCTION("IFERROR(GOOGLEFINANCE(A866,""volume""),"""")"),5034.0)</f>
        <v>5034</v>
      </c>
      <c r="AA866" s="24" t="str">
        <f>VLOOKUP(A866,Metrik!$C$2:$Y$959,5,0)</f>
        <v>Metals &amp; Minerals</v>
      </c>
      <c r="AB866" s="24" t="str">
        <f>VLOOKUP(A866,Metrik!$C$2:$Y$959,3,0)</f>
        <v>Basic Materials</v>
      </c>
    </row>
    <row r="867">
      <c r="A867" s="14" t="s">
        <v>483</v>
      </c>
      <c r="B867" s="14" t="str">
        <f t="array" ref="B867">VLOOKUP(A867,{Metrik!$C$2:$C$998,Metrik!$B$2:$B$998},2,0)</f>
        <v>Vale Indonesia Tbk.</v>
      </c>
      <c r="C867" s="15">
        <f>IFERROR(__xludf.DUMMYFUNCTION("GOOGLEFINANCE(""IDX:""&amp;A867,""price"")"),4710.0)</f>
        <v>4710</v>
      </c>
      <c r="D867" s="16" t="str">
        <f>IFERROR(__xludf.DUMMYFUNCTION("IF(A867="""","""",
SPARKLINE(
INDEX(
GOOGLEFINANCE(""IDX:""&amp;A867,""close"",TODAY()-365,TODAY()),
,2
),
{""linewidth"",1}
))
"),"#N/A")</f>
        <v>#N/A</v>
      </c>
      <c r="E867" s="14" t="s">
        <v>68</v>
      </c>
      <c r="F867" s="14" t="s">
        <v>34</v>
      </c>
      <c r="G867" s="24">
        <f t="shared" si="7"/>
        <v>14</v>
      </c>
      <c r="H867" s="19">
        <f>VLOOKUP(A867,Metrik!$C$2:$Y$959,8,0)</f>
        <v>30.1</v>
      </c>
      <c r="I867" s="20">
        <f>VLOOKUP(A867,Metrik!$C$2:$Y$959,9,0)</f>
        <v>1</v>
      </c>
      <c r="J867" s="20">
        <f>VLOOKUP(A867,Metrik!$C$2:$Y$959,10,0)</f>
        <v>3.5</v>
      </c>
      <c r="K867" s="20">
        <f>VLOOKUP(A867,Metrik!$C$2:$Y$959,11,0)</f>
        <v>2.9</v>
      </c>
      <c r="L867" s="20">
        <f>VLOOKUP(A867,Metrik!$C$2:$Y$959,12,0)</f>
        <v>0.19</v>
      </c>
      <c r="M867" s="20">
        <f>VLOOKUP(A867,Metrik!$C$2:$Y$959,19,0)</f>
        <v>38.6</v>
      </c>
      <c r="N867" s="21"/>
      <c r="O867" s="21"/>
      <c r="P867" s="21"/>
      <c r="Q867" s="21"/>
      <c r="R867" s="21"/>
      <c r="S867" s="21"/>
      <c r="T867" s="21"/>
      <c r="U867" s="22">
        <f>IFERROR(__xludf.DUMMYFUNCTION("IFERROR(GOOGLEFINANCE(A867,""closeyest""),"""")"),57.53)</f>
        <v>57.53</v>
      </c>
      <c r="V867" s="23">
        <f>IFERROR(__xludf.DUMMYFUNCTION("IFERROR(GOOGLEFINANCE(A867,""changepct""),"""")"),0.26)</f>
        <v>0.26</v>
      </c>
      <c r="W867" s="22">
        <f>IFERROR(__xludf.DUMMYFUNCTION("IFERROR(GOOGLEFINANCE(A867,""priceopen""),"""")"),57.97)</f>
        <v>57.97</v>
      </c>
      <c r="X867" s="22">
        <f>IFERROR(__xludf.DUMMYFUNCTION("IFERROR(GOOGLEFINANCE(A867,""high""),"""")"),58.06)</f>
        <v>58.06</v>
      </c>
      <c r="Y867" s="22">
        <f>IFERROR(__xludf.DUMMYFUNCTION("IFERROR(GOOGLEFINANCE(A867,""low""),"""")"),57.68)</f>
        <v>57.68</v>
      </c>
      <c r="Z867" s="22">
        <f>IFERROR(__xludf.DUMMYFUNCTION("IFERROR(GOOGLEFINANCE(A867,""volume""),"""")"),5034.0)</f>
        <v>5034</v>
      </c>
      <c r="AA867" s="24" t="str">
        <f>VLOOKUP(A867,Metrik!$C$2:$Y$959,5,0)</f>
        <v>Metals &amp; Minerals</v>
      </c>
      <c r="AB867" s="24" t="str">
        <f>VLOOKUP(A867,Metrik!$C$2:$Y$959,3,0)</f>
        <v>Basic Materials</v>
      </c>
    </row>
    <row r="868">
      <c r="A868" s="14" t="s">
        <v>483</v>
      </c>
      <c r="B868" s="14" t="str">
        <f t="array" ref="B868">VLOOKUP(A868,{Metrik!$C$2:$C$998,Metrik!$B$2:$B$998},2,0)</f>
        <v>Vale Indonesia Tbk.</v>
      </c>
      <c r="C868" s="15">
        <f>IFERROR(__xludf.DUMMYFUNCTION("GOOGLEFINANCE(""IDX:""&amp;A868,""price"")"),4710.0)</f>
        <v>4710</v>
      </c>
      <c r="D868" s="16" t="str">
        <f>IFERROR(__xludf.DUMMYFUNCTION("IF(A868="""","""",
SPARKLINE(
INDEX(
GOOGLEFINANCE(""IDX:""&amp;A868,""close"",TODAY()-365,TODAY()),
,2
),
{""linewidth"",1}
))
"),"#N/A")</f>
        <v>#N/A</v>
      </c>
      <c r="E868" s="14" t="s">
        <v>52</v>
      </c>
      <c r="F868" s="27" t="s">
        <v>53</v>
      </c>
      <c r="G868" s="24">
        <f t="shared" si="7"/>
        <v>14</v>
      </c>
      <c r="H868" s="19">
        <f>VLOOKUP(A868,Metrik!$C$2:$Y$959,8,0)</f>
        <v>30.1</v>
      </c>
      <c r="I868" s="20">
        <f>VLOOKUP(A868,Metrik!$C$2:$Y$959,9,0)</f>
        <v>1</v>
      </c>
      <c r="J868" s="20">
        <f>VLOOKUP(A868,Metrik!$C$2:$Y$959,10,0)</f>
        <v>3.5</v>
      </c>
      <c r="K868" s="20">
        <f>VLOOKUP(A868,Metrik!$C$2:$Y$959,11,0)</f>
        <v>2.9</v>
      </c>
      <c r="L868" s="20">
        <f>VLOOKUP(A868,Metrik!$C$2:$Y$959,12,0)</f>
        <v>0.19</v>
      </c>
      <c r="M868" s="20">
        <f>VLOOKUP(A868,Metrik!$C$2:$Y$959,19,0)</f>
        <v>38.6</v>
      </c>
      <c r="N868" s="21"/>
      <c r="O868" s="21"/>
      <c r="P868" s="21"/>
      <c r="Q868" s="21"/>
      <c r="R868" s="21"/>
      <c r="S868" s="21"/>
      <c r="T868" s="21"/>
      <c r="U868" s="22">
        <f>IFERROR(__xludf.DUMMYFUNCTION("IFERROR(GOOGLEFINANCE(A868,""closeyest""),"""")"),57.53)</f>
        <v>57.53</v>
      </c>
      <c r="V868" s="23">
        <f>IFERROR(__xludf.DUMMYFUNCTION("IFERROR(GOOGLEFINANCE(A868,""changepct""),"""")"),0.26)</f>
        <v>0.26</v>
      </c>
      <c r="W868" s="22">
        <f>IFERROR(__xludf.DUMMYFUNCTION("IFERROR(GOOGLEFINANCE(A868,""priceopen""),"""")"),57.97)</f>
        <v>57.97</v>
      </c>
      <c r="X868" s="22">
        <f>IFERROR(__xludf.DUMMYFUNCTION("IFERROR(GOOGLEFINANCE(A868,""high""),"""")"),58.06)</f>
        <v>58.06</v>
      </c>
      <c r="Y868" s="22">
        <f>IFERROR(__xludf.DUMMYFUNCTION("IFERROR(GOOGLEFINANCE(A868,""low""),"""")"),57.68)</f>
        <v>57.68</v>
      </c>
      <c r="Z868" s="22">
        <f>IFERROR(__xludf.DUMMYFUNCTION("IFERROR(GOOGLEFINANCE(A868,""volume""),"""")"),5034.0)</f>
        <v>5034</v>
      </c>
      <c r="AA868" s="24" t="str">
        <f>VLOOKUP(A868,Metrik!$C$2:$Y$959,5,0)</f>
        <v>Metals &amp; Minerals</v>
      </c>
      <c r="AB868" s="24" t="str">
        <f>VLOOKUP(A868,Metrik!$C$2:$Y$959,3,0)</f>
        <v>Basic Materials</v>
      </c>
    </row>
    <row r="869">
      <c r="A869" s="14" t="s">
        <v>483</v>
      </c>
      <c r="B869" s="14" t="str">
        <f t="array" ref="B869">VLOOKUP(A869,{Metrik!$C$2:$C$998,Metrik!$B$2:$B$998},2,0)</f>
        <v>Vale Indonesia Tbk.</v>
      </c>
      <c r="C869" s="15">
        <f>IFERROR(__xludf.DUMMYFUNCTION("GOOGLEFINANCE(""IDX:""&amp;A869,""price"")"),4710.0)</f>
        <v>4710</v>
      </c>
      <c r="D869" s="16" t="str">
        <f>IFERROR(__xludf.DUMMYFUNCTION("IF(A869="""","""",
SPARKLINE(
INDEX(
GOOGLEFINANCE(""IDX:""&amp;A869,""close"",TODAY()-365,TODAY()),
,2
),
{""linewidth"",1}
))
"),"#N/A")</f>
        <v>#N/A</v>
      </c>
      <c r="E869" s="14" t="s">
        <v>32</v>
      </c>
      <c r="F869" s="14" t="s">
        <v>29</v>
      </c>
      <c r="G869" s="24">
        <f t="shared" si="7"/>
        <v>14</v>
      </c>
      <c r="H869" s="19">
        <f>VLOOKUP(A869,Metrik!$C$2:$Y$959,8,0)</f>
        <v>30.1</v>
      </c>
      <c r="I869" s="20">
        <f>VLOOKUP(A869,Metrik!$C$2:$Y$959,9,0)</f>
        <v>1</v>
      </c>
      <c r="J869" s="20">
        <f>VLOOKUP(A869,Metrik!$C$2:$Y$959,10,0)</f>
        <v>3.5</v>
      </c>
      <c r="K869" s="20">
        <f>VLOOKUP(A869,Metrik!$C$2:$Y$959,11,0)</f>
        <v>2.9</v>
      </c>
      <c r="L869" s="20">
        <f>VLOOKUP(A869,Metrik!$C$2:$Y$959,12,0)</f>
        <v>0.19</v>
      </c>
      <c r="M869" s="20">
        <f>VLOOKUP(A869,Metrik!$C$2:$Y$959,19,0)</f>
        <v>38.6</v>
      </c>
      <c r="N869" s="21"/>
      <c r="O869" s="21"/>
      <c r="P869" s="21"/>
      <c r="Q869" s="21"/>
      <c r="R869" s="21"/>
      <c r="S869" s="21"/>
      <c r="T869" s="21"/>
      <c r="U869" s="22">
        <f>IFERROR(__xludf.DUMMYFUNCTION("IFERROR(GOOGLEFINANCE(A869,""closeyest""),"""")"),57.53)</f>
        <v>57.53</v>
      </c>
      <c r="V869" s="23">
        <f>IFERROR(__xludf.DUMMYFUNCTION("IFERROR(GOOGLEFINANCE(A869,""changepct""),"""")"),0.26)</f>
        <v>0.26</v>
      </c>
      <c r="W869" s="22">
        <f>IFERROR(__xludf.DUMMYFUNCTION("IFERROR(GOOGLEFINANCE(A869,""priceopen""),"""")"),57.97)</f>
        <v>57.97</v>
      </c>
      <c r="X869" s="22">
        <f>IFERROR(__xludf.DUMMYFUNCTION("IFERROR(GOOGLEFINANCE(A869,""high""),"""")"),58.06)</f>
        <v>58.06</v>
      </c>
      <c r="Y869" s="22">
        <f>IFERROR(__xludf.DUMMYFUNCTION("IFERROR(GOOGLEFINANCE(A869,""low""),"""")"),57.68)</f>
        <v>57.68</v>
      </c>
      <c r="Z869" s="22">
        <f>IFERROR(__xludf.DUMMYFUNCTION("IFERROR(GOOGLEFINANCE(A869,""volume""),"""")"),5034.0)</f>
        <v>5034</v>
      </c>
      <c r="AA869" s="24" t="str">
        <f>VLOOKUP(A869,Metrik!$C$2:$Y$959,5,0)</f>
        <v>Metals &amp; Minerals</v>
      </c>
      <c r="AB869" s="24" t="str">
        <f>VLOOKUP(A869,Metrik!$C$2:$Y$959,3,0)</f>
        <v>Basic Materials</v>
      </c>
    </row>
    <row r="870">
      <c r="A870" s="14" t="s">
        <v>483</v>
      </c>
      <c r="B870" s="14" t="str">
        <f t="array" ref="B870">VLOOKUP(A870,{Metrik!$C$2:$C$998,Metrik!$B$2:$B$998},2,0)</f>
        <v>Vale Indonesia Tbk.</v>
      </c>
      <c r="C870" s="15">
        <f>IFERROR(__xludf.DUMMYFUNCTION("GOOGLEFINANCE(""IDX:""&amp;A870,""price"")"),4710.0)</f>
        <v>4710</v>
      </c>
      <c r="D870" s="16" t="str">
        <f>IFERROR(__xludf.DUMMYFUNCTION("IF(A870="""","""",
SPARKLINE(
INDEX(
GOOGLEFINANCE(""IDX:""&amp;A870,""close"",TODAY()-365,TODAY()),
,2
),
{""linewidth"",1}
))
"),"#N/A")</f>
        <v>#N/A</v>
      </c>
      <c r="E870" s="14" t="s">
        <v>31</v>
      </c>
      <c r="F870" s="17" t="s">
        <v>29</v>
      </c>
      <c r="G870" s="24">
        <f t="shared" si="7"/>
        <v>14</v>
      </c>
      <c r="H870" s="19">
        <f>VLOOKUP(A870,Metrik!$C$2:$Y$959,8,0)</f>
        <v>30.1</v>
      </c>
      <c r="I870" s="20">
        <f>VLOOKUP(A870,Metrik!$C$2:$Y$959,9,0)</f>
        <v>1</v>
      </c>
      <c r="J870" s="20">
        <f>VLOOKUP(A870,Metrik!$C$2:$Y$959,10,0)</f>
        <v>3.5</v>
      </c>
      <c r="K870" s="20">
        <f>VLOOKUP(A870,Metrik!$C$2:$Y$959,11,0)</f>
        <v>2.9</v>
      </c>
      <c r="L870" s="20">
        <f>VLOOKUP(A870,Metrik!$C$2:$Y$959,12,0)</f>
        <v>0.19</v>
      </c>
      <c r="M870" s="20">
        <f>VLOOKUP(A870,Metrik!$C$2:$Y$959,19,0)</f>
        <v>38.6</v>
      </c>
      <c r="N870" s="21"/>
      <c r="O870" s="21"/>
      <c r="P870" s="21"/>
      <c r="Q870" s="21"/>
      <c r="R870" s="21"/>
      <c r="S870" s="21"/>
      <c r="T870" s="21"/>
      <c r="U870" s="22">
        <f>IFERROR(__xludf.DUMMYFUNCTION("IFERROR(GOOGLEFINANCE(A870,""closeyest""),"""")"),57.53)</f>
        <v>57.53</v>
      </c>
      <c r="V870" s="23">
        <f>IFERROR(__xludf.DUMMYFUNCTION("IFERROR(GOOGLEFINANCE(A870,""changepct""),"""")"),0.26)</f>
        <v>0.26</v>
      </c>
      <c r="W870" s="22">
        <f>IFERROR(__xludf.DUMMYFUNCTION("IFERROR(GOOGLEFINANCE(A870,""priceopen""),"""")"),57.97)</f>
        <v>57.97</v>
      </c>
      <c r="X870" s="22">
        <f>IFERROR(__xludf.DUMMYFUNCTION("IFERROR(GOOGLEFINANCE(A870,""high""),"""")"),58.06)</f>
        <v>58.06</v>
      </c>
      <c r="Y870" s="22">
        <f>IFERROR(__xludf.DUMMYFUNCTION("IFERROR(GOOGLEFINANCE(A870,""low""),"""")"),57.68)</f>
        <v>57.68</v>
      </c>
      <c r="Z870" s="22">
        <f>IFERROR(__xludf.DUMMYFUNCTION("IFERROR(GOOGLEFINANCE(A870,""volume""),"""")"),5034.0)</f>
        <v>5034</v>
      </c>
      <c r="AA870" s="24" t="str">
        <f>VLOOKUP(A870,Metrik!$C$2:$Y$959,5,0)</f>
        <v>Metals &amp; Minerals</v>
      </c>
      <c r="AB870" s="24" t="str">
        <f>VLOOKUP(A870,Metrik!$C$2:$Y$959,3,0)</f>
        <v>Basic Materials</v>
      </c>
    </row>
    <row r="871">
      <c r="A871" s="14" t="s">
        <v>483</v>
      </c>
      <c r="B871" s="14" t="str">
        <f t="array" ref="B871">VLOOKUP(A871,{Metrik!$C$2:$C$998,Metrik!$B$2:$B$998},2,0)</f>
        <v>Vale Indonesia Tbk.</v>
      </c>
      <c r="C871" s="15">
        <f>IFERROR(__xludf.DUMMYFUNCTION("GOOGLEFINANCE(""IDX:""&amp;A871,""price"")"),4710.0)</f>
        <v>4710</v>
      </c>
      <c r="D871" s="16" t="str">
        <f>IFERROR(__xludf.DUMMYFUNCTION("IF(A871="""","""",
SPARKLINE(
INDEX(
GOOGLEFINANCE(""IDX:""&amp;A871,""close"",TODAY()-365,TODAY()),
,2
),
{""linewidth"",1}
))
"),"#N/A")</f>
        <v>#N/A</v>
      </c>
      <c r="E871" s="14" t="s">
        <v>28</v>
      </c>
      <c r="F871" s="17" t="s">
        <v>29</v>
      </c>
      <c r="G871" s="24">
        <f t="shared" si="7"/>
        <v>14</v>
      </c>
      <c r="H871" s="19">
        <f>VLOOKUP(A871,Metrik!$C$2:$Y$959,8,0)</f>
        <v>30.1</v>
      </c>
      <c r="I871" s="20">
        <f>VLOOKUP(A871,Metrik!$C$2:$Y$959,9,0)</f>
        <v>1</v>
      </c>
      <c r="J871" s="20">
        <f>VLOOKUP(A871,Metrik!$C$2:$Y$959,10,0)</f>
        <v>3.5</v>
      </c>
      <c r="K871" s="20">
        <f>VLOOKUP(A871,Metrik!$C$2:$Y$959,11,0)</f>
        <v>2.9</v>
      </c>
      <c r="L871" s="20">
        <f>VLOOKUP(A871,Metrik!$C$2:$Y$959,12,0)</f>
        <v>0.19</v>
      </c>
      <c r="M871" s="20">
        <f>VLOOKUP(A871,Metrik!$C$2:$Y$959,19,0)</f>
        <v>38.6</v>
      </c>
      <c r="N871" s="21"/>
      <c r="O871" s="21"/>
      <c r="P871" s="21"/>
      <c r="Q871" s="21"/>
      <c r="R871" s="21"/>
      <c r="S871" s="21"/>
      <c r="T871" s="21"/>
      <c r="U871" s="22">
        <f>IFERROR(__xludf.DUMMYFUNCTION("IFERROR(GOOGLEFINANCE(A871,""closeyest""),"""")"),57.53)</f>
        <v>57.53</v>
      </c>
      <c r="V871" s="23">
        <f>IFERROR(__xludf.DUMMYFUNCTION("IFERROR(GOOGLEFINANCE(A871,""changepct""),"""")"),0.26)</f>
        <v>0.26</v>
      </c>
      <c r="W871" s="22">
        <f>IFERROR(__xludf.DUMMYFUNCTION("IFERROR(GOOGLEFINANCE(A871,""priceopen""),"""")"),57.97)</f>
        <v>57.97</v>
      </c>
      <c r="X871" s="22">
        <f>IFERROR(__xludf.DUMMYFUNCTION("IFERROR(GOOGLEFINANCE(A871,""high""),"""")"),58.06)</f>
        <v>58.06</v>
      </c>
      <c r="Y871" s="22">
        <f>IFERROR(__xludf.DUMMYFUNCTION("IFERROR(GOOGLEFINANCE(A871,""low""),"""")"),57.68)</f>
        <v>57.68</v>
      </c>
      <c r="Z871" s="22">
        <f>IFERROR(__xludf.DUMMYFUNCTION("IFERROR(GOOGLEFINANCE(A871,""volume""),"""")"),5034.0)</f>
        <v>5034</v>
      </c>
      <c r="AA871" s="24" t="str">
        <f>VLOOKUP(A871,Metrik!$C$2:$Y$959,5,0)</f>
        <v>Metals &amp; Minerals</v>
      </c>
      <c r="AB871" s="24" t="str">
        <f>VLOOKUP(A871,Metrik!$C$2:$Y$959,3,0)</f>
        <v>Basic Materials</v>
      </c>
    </row>
    <row r="872">
      <c r="A872" s="14" t="s">
        <v>483</v>
      </c>
      <c r="B872" s="14" t="str">
        <f t="array" ref="B872">VLOOKUP(A872,{Metrik!$C$2:$C$998,Metrik!$B$2:$B$998},2,0)</f>
        <v>Vale Indonesia Tbk.</v>
      </c>
      <c r="C872" s="15">
        <f>IFERROR(__xludf.DUMMYFUNCTION("GOOGLEFINANCE(""IDX:""&amp;A872,""price"")"),4710.0)</f>
        <v>4710</v>
      </c>
      <c r="D872" s="16" t="str">
        <f>IFERROR(__xludf.DUMMYFUNCTION("IF(A872="""","""",
SPARKLINE(
INDEX(
GOOGLEFINANCE(""IDX:""&amp;A872,""close"",TODAY()-365,TODAY()),
,2
),
{""linewidth"",1}
))
"),"#N/A")</f>
        <v>#N/A</v>
      </c>
      <c r="E872" s="14" t="s">
        <v>30</v>
      </c>
      <c r="F872" s="17" t="s">
        <v>29</v>
      </c>
      <c r="G872" s="24">
        <f t="shared" si="7"/>
        <v>14</v>
      </c>
      <c r="H872" s="19">
        <f>VLOOKUP(A872,Metrik!$C$2:$Y$959,8,0)</f>
        <v>30.1</v>
      </c>
      <c r="I872" s="20">
        <f>VLOOKUP(A872,Metrik!$C$2:$Y$959,9,0)</f>
        <v>1</v>
      </c>
      <c r="J872" s="20">
        <f>VLOOKUP(A872,Metrik!$C$2:$Y$959,10,0)</f>
        <v>3.5</v>
      </c>
      <c r="K872" s="20">
        <f>VLOOKUP(A872,Metrik!$C$2:$Y$959,11,0)</f>
        <v>2.9</v>
      </c>
      <c r="L872" s="20">
        <f>VLOOKUP(A872,Metrik!$C$2:$Y$959,12,0)</f>
        <v>0.19</v>
      </c>
      <c r="M872" s="20">
        <f>VLOOKUP(A872,Metrik!$C$2:$Y$959,19,0)</f>
        <v>38.6</v>
      </c>
      <c r="N872" s="21"/>
      <c r="O872" s="21"/>
      <c r="P872" s="21"/>
      <c r="Q872" s="21"/>
      <c r="R872" s="21"/>
      <c r="S872" s="21"/>
      <c r="T872" s="21"/>
      <c r="U872" s="22">
        <f>IFERROR(__xludf.DUMMYFUNCTION("IFERROR(GOOGLEFINANCE(A872,""closeyest""),"""")"),57.53)</f>
        <v>57.53</v>
      </c>
      <c r="V872" s="23">
        <f>IFERROR(__xludf.DUMMYFUNCTION("IFERROR(GOOGLEFINANCE(A872,""changepct""),"""")"),0.26)</f>
        <v>0.26</v>
      </c>
      <c r="W872" s="22">
        <f>IFERROR(__xludf.DUMMYFUNCTION("IFERROR(GOOGLEFINANCE(A872,""priceopen""),"""")"),57.97)</f>
        <v>57.97</v>
      </c>
      <c r="X872" s="22">
        <f>IFERROR(__xludf.DUMMYFUNCTION("IFERROR(GOOGLEFINANCE(A872,""high""),"""")"),58.06)</f>
        <v>58.06</v>
      </c>
      <c r="Y872" s="22">
        <f>IFERROR(__xludf.DUMMYFUNCTION("IFERROR(GOOGLEFINANCE(A872,""low""),"""")"),57.68)</f>
        <v>57.68</v>
      </c>
      <c r="Z872" s="22">
        <f>IFERROR(__xludf.DUMMYFUNCTION("IFERROR(GOOGLEFINANCE(A872,""volume""),"""")"),5034.0)</f>
        <v>5034</v>
      </c>
      <c r="AA872" s="24" t="str">
        <f>VLOOKUP(A872,Metrik!$C$2:$Y$959,5,0)</f>
        <v>Metals &amp; Minerals</v>
      </c>
      <c r="AB872" s="24" t="str">
        <f>VLOOKUP(A872,Metrik!$C$2:$Y$959,3,0)</f>
        <v>Basic Materials</v>
      </c>
    </row>
    <row r="873">
      <c r="A873" s="14" t="s">
        <v>483</v>
      </c>
      <c r="B873" s="14" t="str">
        <f t="array" ref="B873">VLOOKUP(A873,{Metrik!$C$2:$C$998,Metrik!$B$2:$B$998},2,0)</f>
        <v>Vale Indonesia Tbk.</v>
      </c>
      <c r="C873" s="15">
        <f>IFERROR(__xludf.DUMMYFUNCTION("GOOGLEFINANCE(""IDX:""&amp;A873,""price"")"),4710.0)</f>
        <v>4710</v>
      </c>
      <c r="D873" s="16" t="str">
        <f>IFERROR(__xludf.DUMMYFUNCTION("IF(A873="""","""",
SPARKLINE(
INDEX(
GOOGLEFINANCE(""IDX:""&amp;A873,""close"",TODAY()-365,TODAY()),
,2
),
{""linewidth"",1}
))
"),"#N/A")</f>
        <v>#N/A</v>
      </c>
      <c r="E873" s="14" t="s">
        <v>67</v>
      </c>
      <c r="F873" s="17" t="s">
        <v>51</v>
      </c>
      <c r="G873" s="24">
        <f t="shared" si="7"/>
        <v>14</v>
      </c>
      <c r="H873" s="19">
        <f>VLOOKUP(A873,Metrik!$C$2:$Y$959,8,0)</f>
        <v>30.1</v>
      </c>
      <c r="I873" s="20">
        <f>VLOOKUP(A873,Metrik!$C$2:$Y$959,9,0)</f>
        <v>1</v>
      </c>
      <c r="J873" s="20">
        <f>VLOOKUP(A873,Metrik!$C$2:$Y$959,10,0)</f>
        <v>3.5</v>
      </c>
      <c r="K873" s="20">
        <f>VLOOKUP(A873,Metrik!$C$2:$Y$959,11,0)</f>
        <v>2.9</v>
      </c>
      <c r="L873" s="20">
        <f>VLOOKUP(A873,Metrik!$C$2:$Y$959,12,0)</f>
        <v>0.19</v>
      </c>
      <c r="M873" s="20">
        <f>VLOOKUP(A873,Metrik!$C$2:$Y$959,19,0)</f>
        <v>38.6</v>
      </c>
      <c r="N873" s="21"/>
      <c r="O873" s="21"/>
      <c r="P873" s="21"/>
      <c r="Q873" s="21"/>
      <c r="R873" s="21"/>
      <c r="S873" s="21"/>
      <c r="T873" s="21"/>
      <c r="U873" s="22">
        <f>IFERROR(__xludf.DUMMYFUNCTION("IFERROR(GOOGLEFINANCE(A873,""closeyest""),"""")"),57.53)</f>
        <v>57.53</v>
      </c>
      <c r="V873" s="23">
        <f>IFERROR(__xludf.DUMMYFUNCTION("IFERROR(GOOGLEFINANCE(A873,""changepct""),"""")"),0.26)</f>
        <v>0.26</v>
      </c>
      <c r="W873" s="22">
        <f>IFERROR(__xludf.DUMMYFUNCTION("IFERROR(GOOGLEFINANCE(A873,""priceopen""),"""")"),57.97)</f>
        <v>57.97</v>
      </c>
      <c r="X873" s="22">
        <f>IFERROR(__xludf.DUMMYFUNCTION("IFERROR(GOOGLEFINANCE(A873,""high""),"""")"),58.06)</f>
        <v>58.06</v>
      </c>
      <c r="Y873" s="22">
        <f>IFERROR(__xludf.DUMMYFUNCTION("IFERROR(GOOGLEFINANCE(A873,""low""),"""")"),57.68)</f>
        <v>57.68</v>
      </c>
      <c r="Z873" s="22">
        <f>IFERROR(__xludf.DUMMYFUNCTION("IFERROR(GOOGLEFINANCE(A873,""volume""),"""")"),5034.0)</f>
        <v>5034</v>
      </c>
      <c r="AA873" s="24" t="str">
        <f>VLOOKUP(A873,Metrik!$C$2:$Y$959,5,0)</f>
        <v>Metals &amp; Minerals</v>
      </c>
      <c r="AB873" s="24" t="str">
        <f>VLOOKUP(A873,Metrik!$C$2:$Y$959,3,0)</f>
        <v>Basic Materials</v>
      </c>
    </row>
    <row r="874">
      <c r="A874" s="14" t="s">
        <v>483</v>
      </c>
      <c r="B874" s="14" t="str">
        <f t="array" ref="B874">VLOOKUP(A874,{Metrik!$C$2:$C$998,Metrik!$B$2:$B$998},2,0)</f>
        <v>Vale Indonesia Tbk.</v>
      </c>
      <c r="C874" s="15">
        <f>IFERROR(__xludf.DUMMYFUNCTION("GOOGLEFINANCE(""IDX:""&amp;A874,""price"")"),4710.0)</f>
        <v>4710</v>
      </c>
      <c r="D874" s="16" t="str">
        <f>IFERROR(__xludf.DUMMYFUNCTION("IF(A874="""","""",
SPARKLINE(
INDEX(
GOOGLEFINANCE(""IDX:""&amp;A874,""close"",TODAY()-365,TODAY()),
,2
),
{""linewidth"",1}
))
"),"#N/A")</f>
        <v>#N/A</v>
      </c>
      <c r="E874" s="14" t="s">
        <v>84</v>
      </c>
      <c r="F874" s="17" t="s">
        <v>51</v>
      </c>
      <c r="G874" s="24">
        <f t="shared" si="7"/>
        <v>14</v>
      </c>
      <c r="H874" s="19">
        <f>VLOOKUP(A874,Metrik!$C$2:$Y$959,8,0)</f>
        <v>30.1</v>
      </c>
      <c r="I874" s="20">
        <f>VLOOKUP(A874,Metrik!$C$2:$Y$959,9,0)</f>
        <v>1</v>
      </c>
      <c r="J874" s="20">
        <f>VLOOKUP(A874,Metrik!$C$2:$Y$959,10,0)</f>
        <v>3.5</v>
      </c>
      <c r="K874" s="20">
        <f>VLOOKUP(A874,Metrik!$C$2:$Y$959,11,0)</f>
        <v>2.9</v>
      </c>
      <c r="L874" s="20">
        <f>VLOOKUP(A874,Metrik!$C$2:$Y$959,12,0)</f>
        <v>0.19</v>
      </c>
      <c r="M874" s="20">
        <f>VLOOKUP(A874,Metrik!$C$2:$Y$959,19,0)</f>
        <v>38.6</v>
      </c>
      <c r="N874" s="21"/>
      <c r="O874" s="21"/>
      <c r="P874" s="21"/>
      <c r="Q874" s="21"/>
      <c r="R874" s="21"/>
      <c r="S874" s="21"/>
      <c r="T874" s="21"/>
      <c r="U874" s="22">
        <f>IFERROR(__xludf.DUMMYFUNCTION("IFERROR(GOOGLEFINANCE(A874,""closeyest""),"""")"),57.53)</f>
        <v>57.53</v>
      </c>
      <c r="V874" s="23">
        <f>IFERROR(__xludf.DUMMYFUNCTION("IFERROR(GOOGLEFINANCE(A874,""changepct""),"""")"),0.26)</f>
        <v>0.26</v>
      </c>
      <c r="W874" s="22">
        <f>IFERROR(__xludf.DUMMYFUNCTION("IFERROR(GOOGLEFINANCE(A874,""priceopen""),"""")"),57.97)</f>
        <v>57.97</v>
      </c>
      <c r="X874" s="22">
        <f>IFERROR(__xludf.DUMMYFUNCTION("IFERROR(GOOGLEFINANCE(A874,""high""),"""")"),58.06)</f>
        <v>58.06</v>
      </c>
      <c r="Y874" s="22">
        <f>IFERROR(__xludf.DUMMYFUNCTION("IFERROR(GOOGLEFINANCE(A874,""low""),"""")"),57.68)</f>
        <v>57.68</v>
      </c>
      <c r="Z874" s="22">
        <f>IFERROR(__xludf.DUMMYFUNCTION("IFERROR(GOOGLEFINANCE(A874,""volume""),"""")"),5034.0)</f>
        <v>5034</v>
      </c>
      <c r="AA874" s="24" t="str">
        <f>VLOOKUP(A874,Metrik!$C$2:$Y$959,5,0)</f>
        <v>Metals &amp; Minerals</v>
      </c>
      <c r="AB874" s="24" t="str">
        <f>VLOOKUP(A874,Metrik!$C$2:$Y$959,3,0)</f>
        <v>Basic Materials</v>
      </c>
    </row>
    <row r="875">
      <c r="A875" s="48" t="s">
        <v>483</v>
      </c>
      <c r="B875" s="14" t="str">
        <f t="array" ref="B875">VLOOKUP(A875,{Metrik!$C$2:$C$998,Metrik!$B$2:$B$998},2,0)</f>
        <v>Vale Indonesia Tbk.</v>
      </c>
      <c r="C875" s="15">
        <f>IFERROR(__xludf.DUMMYFUNCTION("GOOGLEFINANCE(""IDX:""&amp;A875,""price"")"),4710.0)</f>
        <v>4710</v>
      </c>
      <c r="D875" s="16" t="str">
        <f>IFERROR(__xludf.DUMMYFUNCTION("IF(A875="""","""",
SPARKLINE(
INDEX(
GOOGLEFINANCE(""IDX:""&amp;A875,""close"",TODAY()-365,TODAY()),
,2
),
{""linewidth"",1}
))
"),"#N/A")</f>
        <v>#N/A</v>
      </c>
      <c r="E875" s="17" t="s">
        <v>69</v>
      </c>
      <c r="F875" s="17" t="s">
        <v>70</v>
      </c>
      <c r="G875" s="24">
        <f t="shared" si="7"/>
        <v>14</v>
      </c>
      <c r="H875" s="19">
        <f>VLOOKUP(A875,Metrik!$C$2:$Y$959,8,0)</f>
        <v>30.1</v>
      </c>
      <c r="I875" s="20">
        <f>VLOOKUP(A875,Metrik!$C$2:$Y$959,9,0)</f>
        <v>1</v>
      </c>
      <c r="J875" s="20">
        <f>VLOOKUP(A875,Metrik!$C$2:$Y$959,10,0)</f>
        <v>3.5</v>
      </c>
      <c r="K875" s="20">
        <f>VLOOKUP(A875,Metrik!$C$2:$Y$959,11,0)</f>
        <v>2.9</v>
      </c>
      <c r="L875" s="20">
        <f>VLOOKUP(A875,Metrik!$C$2:$Y$959,12,0)</f>
        <v>0.19</v>
      </c>
      <c r="M875" s="20">
        <f>VLOOKUP(A875,Metrik!$C$2:$Y$959,19,0)</f>
        <v>38.6</v>
      </c>
      <c r="N875" s="21"/>
      <c r="O875" s="21"/>
      <c r="P875" s="21"/>
      <c r="Q875" s="21"/>
      <c r="R875" s="21"/>
      <c r="S875" s="21"/>
      <c r="T875" s="21"/>
      <c r="U875" s="22">
        <f>IFERROR(__xludf.DUMMYFUNCTION("IFERROR(GOOGLEFINANCE(A875,""closeyest""),"""")"),57.53)</f>
        <v>57.53</v>
      </c>
      <c r="V875" s="23">
        <f>IFERROR(__xludf.DUMMYFUNCTION("IFERROR(GOOGLEFINANCE(A875,""changepct""),"""")"),0.26)</f>
        <v>0.26</v>
      </c>
      <c r="W875" s="22">
        <f>IFERROR(__xludf.DUMMYFUNCTION("IFERROR(GOOGLEFINANCE(A875,""priceopen""),"""")"),57.97)</f>
        <v>57.97</v>
      </c>
      <c r="X875" s="22">
        <f>IFERROR(__xludf.DUMMYFUNCTION("IFERROR(GOOGLEFINANCE(A875,""high""),"""")"),58.06)</f>
        <v>58.06</v>
      </c>
      <c r="Y875" s="22">
        <f>IFERROR(__xludf.DUMMYFUNCTION("IFERROR(GOOGLEFINANCE(A875,""low""),"""")"),57.68)</f>
        <v>57.68</v>
      </c>
      <c r="Z875" s="22">
        <f>IFERROR(__xludf.DUMMYFUNCTION("IFERROR(GOOGLEFINANCE(A875,""volume""),"""")"),5034.0)</f>
        <v>5034</v>
      </c>
      <c r="AA875" s="24" t="str">
        <f>VLOOKUP(A875,Metrik!$C$2:$Y$959,5,0)</f>
        <v>Metals &amp; Minerals</v>
      </c>
      <c r="AB875" s="24" t="str">
        <f>VLOOKUP(A875,Metrik!$C$2:$Y$959,3,0)</f>
        <v>Basic Materials</v>
      </c>
    </row>
    <row r="876">
      <c r="A876" s="17" t="s">
        <v>483</v>
      </c>
      <c r="B876" s="14" t="str">
        <f t="array" ref="B876">VLOOKUP(A876,{Metrik!$C$2:$C$998,Metrik!$B$2:$B$998},2,0)</f>
        <v>Vale Indonesia Tbk.</v>
      </c>
      <c r="C876" s="15">
        <f>IFERROR(__xludf.DUMMYFUNCTION("GOOGLEFINANCE(""IDX:""&amp;A876,""price"")"),4710.0)</f>
        <v>4710</v>
      </c>
      <c r="D876" s="16" t="str">
        <f>IFERROR(__xludf.DUMMYFUNCTION("IF(A876="""","""",
SPARKLINE(
INDEX(
GOOGLEFINANCE(""IDX:""&amp;A876,""close"",TODAY()-365,TODAY()),
,2
),
{""linewidth"",1}
))
"),"#N/A")</f>
        <v>#N/A</v>
      </c>
      <c r="E876" s="14" t="s">
        <v>35</v>
      </c>
      <c r="F876" s="17" t="s">
        <v>36</v>
      </c>
      <c r="G876" s="38">
        <f t="shared" si="7"/>
        <v>14</v>
      </c>
      <c r="H876" s="34">
        <f>VLOOKUP(A876,Metrik!$C$2:$Y$959,8,0)</f>
        <v>30.1</v>
      </c>
      <c r="I876" s="34">
        <f>VLOOKUP(A876,Metrik!$C$2:$Y$959,9,0)</f>
        <v>1</v>
      </c>
      <c r="J876" s="34">
        <f>VLOOKUP(A876,Metrik!$C$2:$Y$959,10,0)</f>
        <v>3.5</v>
      </c>
      <c r="K876" s="34">
        <f>VLOOKUP(A876,Metrik!$C$2:$Y$959,11,0)</f>
        <v>2.9</v>
      </c>
      <c r="L876" s="34">
        <f>VLOOKUP(A876,Metrik!$C$2:$Y$959,12,0)</f>
        <v>0.19</v>
      </c>
      <c r="M876" s="34">
        <f>VLOOKUP(A876,Metrik!$C$2:$Y$959,19,0)</f>
        <v>38.6</v>
      </c>
      <c r="N876" s="26"/>
      <c r="O876" s="26"/>
      <c r="P876" s="26"/>
      <c r="Q876" s="26"/>
      <c r="R876" s="26"/>
      <c r="S876" s="26"/>
      <c r="T876" s="26"/>
      <c r="U876" s="35">
        <f>IFERROR(__xludf.DUMMYFUNCTION("IFERROR(GOOGLEFINANCE(A876,""closeyest""),"""")"),57.53)</f>
        <v>57.53</v>
      </c>
      <c r="V876" s="36">
        <f>IFERROR(__xludf.DUMMYFUNCTION("IFERROR(GOOGLEFINANCE(A876,""changepct""),"""")"),0.26)</f>
        <v>0.26</v>
      </c>
      <c r="W876" s="35">
        <f>IFERROR(__xludf.DUMMYFUNCTION("IFERROR(GOOGLEFINANCE(A876,""priceopen""),"""")"),57.97)</f>
        <v>57.97</v>
      </c>
      <c r="X876" s="35">
        <f>IFERROR(__xludf.DUMMYFUNCTION("IFERROR(GOOGLEFINANCE(A876,""high""),"""")"),58.06)</f>
        <v>58.06</v>
      </c>
      <c r="Y876" s="35">
        <f>IFERROR(__xludf.DUMMYFUNCTION("IFERROR(GOOGLEFINANCE(A876,""low""),"""")"),57.68)</f>
        <v>57.68</v>
      </c>
      <c r="Z876" s="35">
        <f>IFERROR(__xludf.DUMMYFUNCTION("IFERROR(GOOGLEFINANCE(A876,""volume""),"""")"),5034.0)</f>
        <v>5034</v>
      </c>
      <c r="AA876" s="14" t="str">
        <f>VLOOKUP(A876,Metrik!$C$2:$Y$959,5,0)</f>
        <v>Metals &amp; Minerals</v>
      </c>
      <c r="AB876" s="14" t="str">
        <f>VLOOKUP(A876,Metrik!$C$2:$Y$959,3,0)</f>
        <v>Basic Materials</v>
      </c>
    </row>
    <row r="877">
      <c r="A877" s="14" t="s">
        <v>483</v>
      </c>
      <c r="B877" s="14" t="str">
        <f t="array" ref="B877">VLOOKUP(A877,{Metrik!$C$2:$C$998,Metrik!$B$2:$B$998},2,0)</f>
        <v>Vale Indonesia Tbk.</v>
      </c>
      <c r="C877" s="15">
        <f>IFERROR(__xludf.DUMMYFUNCTION("GOOGLEFINANCE(""IDX:""&amp;A877,""price"")"),4710.0)</f>
        <v>4710</v>
      </c>
      <c r="D877" s="16" t="str">
        <f>IFERROR(__xludf.DUMMYFUNCTION("IF(A877="""","""",
SPARKLINE(
INDEX(
GOOGLEFINANCE(""IDX:""&amp;A877,""close"",TODAY()-365,TODAY()),
,2
),
{""linewidth"",1}
))
"),"#N/A")</f>
        <v>#N/A</v>
      </c>
      <c r="E877" s="14" t="s">
        <v>42</v>
      </c>
      <c r="F877" s="25">
        <v>46356.0</v>
      </c>
      <c r="G877" s="24">
        <f t="shared" si="7"/>
        <v>14</v>
      </c>
      <c r="H877" s="19">
        <f>VLOOKUP(A877,Metrik!$C$2:$Y$959,8,0)</f>
        <v>30.1</v>
      </c>
      <c r="I877" s="20">
        <f>VLOOKUP(A877,Metrik!$C$2:$Y$959,9,0)</f>
        <v>1</v>
      </c>
      <c r="J877" s="20">
        <f>VLOOKUP(A877,Metrik!$C$2:$Y$959,10,0)</f>
        <v>3.5</v>
      </c>
      <c r="K877" s="20">
        <f>VLOOKUP(A877,Metrik!$C$2:$Y$959,11,0)</f>
        <v>2.9</v>
      </c>
      <c r="L877" s="20">
        <f>VLOOKUP(A877,Metrik!$C$2:$Y$959,12,0)</f>
        <v>0.19</v>
      </c>
      <c r="M877" s="20">
        <f>VLOOKUP(A877,Metrik!$C$2:$Y$959,19,0)</f>
        <v>38.6</v>
      </c>
      <c r="N877" s="21"/>
      <c r="O877" s="21"/>
      <c r="P877" s="21"/>
      <c r="Q877" s="21"/>
      <c r="R877" s="21"/>
      <c r="S877" s="21"/>
      <c r="T877" s="21"/>
      <c r="U877" s="22">
        <f>IFERROR(__xludf.DUMMYFUNCTION("IFERROR(GOOGLEFINANCE(A877,""closeyest""),"""")"),57.53)</f>
        <v>57.53</v>
      </c>
      <c r="V877" s="23">
        <f>IFERROR(__xludf.DUMMYFUNCTION("IFERROR(GOOGLEFINANCE(A877,""changepct""),"""")"),0.26)</f>
        <v>0.26</v>
      </c>
      <c r="W877" s="22">
        <f>IFERROR(__xludf.DUMMYFUNCTION("IFERROR(GOOGLEFINANCE(A877,""priceopen""),"""")"),57.97)</f>
        <v>57.97</v>
      </c>
      <c r="X877" s="22">
        <f>IFERROR(__xludf.DUMMYFUNCTION("IFERROR(GOOGLEFINANCE(A877,""high""),"""")"),58.06)</f>
        <v>58.06</v>
      </c>
      <c r="Y877" s="22">
        <f>IFERROR(__xludf.DUMMYFUNCTION("IFERROR(GOOGLEFINANCE(A877,""low""),"""")"),57.68)</f>
        <v>57.68</v>
      </c>
      <c r="Z877" s="22">
        <f>IFERROR(__xludf.DUMMYFUNCTION("IFERROR(GOOGLEFINANCE(A877,""volume""),"""")"),5034.0)</f>
        <v>5034</v>
      </c>
      <c r="AA877" s="24" t="str">
        <f>VLOOKUP(A877,Metrik!$C$2:$Y$959,5,0)</f>
        <v>Metals &amp; Minerals</v>
      </c>
      <c r="AB877" s="24" t="str">
        <f>VLOOKUP(A877,Metrik!$C$2:$Y$959,3,0)</f>
        <v>Basic Materials</v>
      </c>
    </row>
    <row r="878">
      <c r="A878" s="14" t="s">
        <v>484</v>
      </c>
      <c r="B878" s="14" t="str">
        <f t="array" ref="B878">VLOOKUP(A878,{Metrik!$C$2:$C$998,Metrik!$B$2:$B$998},2,0)</f>
        <v>Indofood Sukses Makmur Tbk.</v>
      </c>
      <c r="C878" s="15">
        <f>IFERROR(__xludf.DUMMYFUNCTION("GOOGLEFINANCE(""IDX:""&amp;A878,""price"")"),6425.0)</f>
        <v>6425</v>
      </c>
      <c r="D878" s="16" t="str">
        <f>IFERROR(__xludf.DUMMYFUNCTION("IF(A878="""","""",
SPARKLINE(
INDEX(
GOOGLEFINANCE(""IDX:""&amp;A878,""close"",TODAY()-365,TODAY()),
,2
),
{""linewidth"",1}
))
"),"#N/A")</f>
        <v>#N/A</v>
      </c>
      <c r="E878" s="14" t="s">
        <v>47</v>
      </c>
      <c r="F878" s="25">
        <v>46356.0</v>
      </c>
      <c r="G878" s="24">
        <f t="shared" si="7"/>
        <v>18</v>
      </c>
      <c r="H878" s="19">
        <f>VLOOKUP(A878,Metrik!$C$2:$Y$959,8,0)</f>
        <v>5.6</v>
      </c>
      <c r="I878" s="20">
        <f>VLOOKUP(A878,Metrik!$C$2:$Y$959,9,0)</f>
        <v>0.48</v>
      </c>
      <c r="J878" s="20">
        <f>VLOOKUP(A878,Metrik!$C$2:$Y$959,10,0)</f>
        <v>8.7</v>
      </c>
      <c r="K878" s="20">
        <f>VLOOKUP(A878,Metrik!$C$2:$Y$959,11,0)</f>
        <v>4.8</v>
      </c>
      <c r="L878" s="20">
        <f>VLOOKUP(A878,Metrik!$C$2:$Y$959,12,0)</f>
        <v>0.8</v>
      </c>
      <c r="M878" s="20">
        <f>VLOOKUP(A878,Metrik!$C$2:$Y$959,19,0)</f>
        <v>32.2</v>
      </c>
      <c r="N878" s="21"/>
      <c r="O878" s="21"/>
      <c r="P878" s="21"/>
      <c r="Q878" s="21"/>
      <c r="R878" s="21"/>
      <c r="S878" s="21"/>
      <c r="T878" s="21"/>
      <c r="U878" s="22">
        <f>IFERROR(__xludf.DUMMYFUNCTION("IFERROR(GOOGLEFINANCE(A878,""closeyest""),"""")"),6225.0)</f>
        <v>6225</v>
      </c>
      <c r="V878" s="23">
        <f>IFERROR(__xludf.DUMMYFUNCTION("IFERROR(GOOGLEFINANCE(A878,""changepct""),"""")"),3.21)</f>
        <v>3.21</v>
      </c>
      <c r="W878" s="22">
        <f>IFERROR(__xludf.DUMMYFUNCTION("IFERROR(GOOGLEFINANCE(A878,""priceopen""),"""")"),6275.0)</f>
        <v>6275</v>
      </c>
      <c r="X878" s="22">
        <f>IFERROR(__xludf.DUMMYFUNCTION("IFERROR(GOOGLEFINANCE(A878,""high""),"""")"),6675.0)</f>
        <v>6675</v>
      </c>
      <c r="Y878" s="22">
        <f>IFERROR(__xludf.DUMMYFUNCTION("IFERROR(GOOGLEFINANCE(A878,""low""),"""")"),6275.0)</f>
        <v>6275</v>
      </c>
      <c r="Z878" s="22">
        <f>IFERROR(__xludf.DUMMYFUNCTION("IFERROR(GOOGLEFINANCE(A878,""volume""),"""")"),1.19916E7)</f>
        <v>11991600</v>
      </c>
      <c r="AA878" s="24" t="str">
        <f>VLOOKUP(A878,Metrik!$C$2:$Y$959,5,0)</f>
        <v>Processed Foods</v>
      </c>
      <c r="AB878" s="24" t="str">
        <f>VLOOKUP(A878,Metrik!$C$2:$Y$959,3,0)</f>
        <v>Consumer Non-Cyclicals</v>
      </c>
    </row>
    <row r="879">
      <c r="A879" s="14" t="s">
        <v>484</v>
      </c>
      <c r="B879" s="14" t="str">
        <f t="array" ref="B879">VLOOKUP(A879,{Metrik!$C$2:$C$998,Metrik!$B$2:$B$998},2,0)</f>
        <v>Indofood Sukses Makmur Tbk.</v>
      </c>
      <c r="C879" s="15">
        <f>IFERROR(__xludf.DUMMYFUNCTION("GOOGLEFINANCE(""IDX:""&amp;A879,""price"")"),6425.0)</f>
        <v>6425</v>
      </c>
      <c r="D879" s="16" t="str">
        <f>IFERROR(__xludf.DUMMYFUNCTION("IF(A879="""","""",
SPARKLINE(
INDEX(
GOOGLEFINANCE(""IDX:""&amp;A879,""close"",TODAY()-365,TODAY()),
,2
),
{""linewidth"",1}
))
"),"#N/A")</f>
        <v>#N/A</v>
      </c>
      <c r="E879" s="14" t="s">
        <v>65</v>
      </c>
      <c r="F879" s="25">
        <v>46356.0</v>
      </c>
      <c r="G879" s="24">
        <f t="shared" si="7"/>
        <v>18</v>
      </c>
      <c r="H879" s="19">
        <f>VLOOKUP(A879,Metrik!$C$2:$Y$959,8,0)</f>
        <v>5.6</v>
      </c>
      <c r="I879" s="20">
        <f>VLOOKUP(A879,Metrik!$C$2:$Y$959,9,0)</f>
        <v>0.48</v>
      </c>
      <c r="J879" s="20">
        <f>VLOOKUP(A879,Metrik!$C$2:$Y$959,10,0)</f>
        <v>8.7</v>
      </c>
      <c r="K879" s="20">
        <f>VLOOKUP(A879,Metrik!$C$2:$Y$959,11,0)</f>
        <v>4.8</v>
      </c>
      <c r="L879" s="20">
        <f>VLOOKUP(A879,Metrik!$C$2:$Y$959,12,0)</f>
        <v>0.8</v>
      </c>
      <c r="M879" s="20">
        <f>VLOOKUP(A879,Metrik!$C$2:$Y$959,19,0)</f>
        <v>32.2</v>
      </c>
      <c r="N879" s="21"/>
      <c r="O879" s="21"/>
      <c r="P879" s="21"/>
      <c r="Q879" s="21"/>
      <c r="R879" s="21"/>
      <c r="S879" s="21"/>
      <c r="T879" s="21"/>
      <c r="U879" s="22">
        <f>IFERROR(__xludf.DUMMYFUNCTION("IFERROR(GOOGLEFINANCE(A879,""closeyest""),"""")"),6225.0)</f>
        <v>6225</v>
      </c>
      <c r="V879" s="23">
        <f>IFERROR(__xludf.DUMMYFUNCTION("IFERROR(GOOGLEFINANCE(A879,""changepct""),"""")"),3.21)</f>
        <v>3.21</v>
      </c>
      <c r="W879" s="22">
        <f>IFERROR(__xludf.DUMMYFUNCTION("IFERROR(GOOGLEFINANCE(A879,""priceopen""),"""")"),6275.0)</f>
        <v>6275</v>
      </c>
      <c r="X879" s="22">
        <f>IFERROR(__xludf.DUMMYFUNCTION("IFERROR(GOOGLEFINANCE(A879,""high""),"""")"),6675.0)</f>
        <v>6675</v>
      </c>
      <c r="Y879" s="22">
        <f>IFERROR(__xludf.DUMMYFUNCTION("IFERROR(GOOGLEFINANCE(A879,""low""),"""")"),6275.0)</f>
        <v>6275</v>
      </c>
      <c r="Z879" s="22">
        <f>IFERROR(__xludf.DUMMYFUNCTION("IFERROR(GOOGLEFINANCE(A879,""volume""),"""")"),1.19916E7)</f>
        <v>11991600</v>
      </c>
      <c r="AA879" s="24" t="str">
        <f>VLOOKUP(A879,Metrik!$C$2:$Y$959,5,0)</f>
        <v>Processed Foods</v>
      </c>
      <c r="AB879" s="24" t="str">
        <f>VLOOKUP(A879,Metrik!$C$2:$Y$959,3,0)</f>
        <v>Consumer Non-Cyclicals</v>
      </c>
    </row>
    <row r="880">
      <c r="A880" s="14" t="s">
        <v>484</v>
      </c>
      <c r="B880" s="14" t="str">
        <f t="array" ref="B880">VLOOKUP(A880,{Metrik!$C$2:$C$998,Metrik!$B$2:$B$998},2,0)</f>
        <v>Indofood Sukses Makmur Tbk.</v>
      </c>
      <c r="C880" s="15">
        <f>IFERROR(__xludf.DUMMYFUNCTION("GOOGLEFINANCE(""IDX:""&amp;A880,""price"")"),6425.0)</f>
        <v>6425</v>
      </c>
      <c r="D880" s="16" t="str">
        <f>IFERROR(__xludf.DUMMYFUNCTION("IF(A880="""","""",
SPARKLINE(
INDEX(
GOOGLEFINANCE(""IDX:""&amp;A880,""close"",TODAY()-365,TODAY()),
,2
),
{""linewidth"",1}
))
"),"#N/A")</f>
        <v>#N/A</v>
      </c>
      <c r="E880" s="14" t="s">
        <v>55</v>
      </c>
      <c r="F880" s="25">
        <v>46356.0</v>
      </c>
      <c r="G880" s="24">
        <f t="shared" si="7"/>
        <v>18</v>
      </c>
      <c r="H880" s="19">
        <f>VLOOKUP(A880,Metrik!$C$2:$Y$959,8,0)</f>
        <v>5.6</v>
      </c>
      <c r="I880" s="20">
        <f>VLOOKUP(A880,Metrik!$C$2:$Y$959,9,0)</f>
        <v>0.48</v>
      </c>
      <c r="J880" s="20">
        <f>VLOOKUP(A880,Metrik!$C$2:$Y$959,10,0)</f>
        <v>8.7</v>
      </c>
      <c r="K880" s="20">
        <f>VLOOKUP(A880,Metrik!$C$2:$Y$959,11,0)</f>
        <v>4.8</v>
      </c>
      <c r="L880" s="20">
        <f>VLOOKUP(A880,Metrik!$C$2:$Y$959,12,0)</f>
        <v>0.8</v>
      </c>
      <c r="M880" s="20">
        <f>VLOOKUP(A880,Metrik!$C$2:$Y$959,19,0)</f>
        <v>32.2</v>
      </c>
      <c r="N880" s="21"/>
      <c r="O880" s="21"/>
      <c r="P880" s="21"/>
      <c r="Q880" s="21"/>
      <c r="R880" s="21"/>
      <c r="S880" s="21"/>
      <c r="T880" s="21"/>
      <c r="U880" s="22">
        <f>IFERROR(__xludf.DUMMYFUNCTION("IFERROR(GOOGLEFINANCE(A880,""closeyest""),"""")"),6225.0)</f>
        <v>6225</v>
      </c>
      <c r="V880" s="23">
        <f>IFERROR(__xludf.DUMMYFUNCTION("IFERROR(GOOGLEFINANCE(A880,""changepct""),"""")"),3.21)</f>
        <v>3.21</v>
      </c>
      <c r="W880" s="22">
        <f>IFERROR(__xludf.DUMMYFUNCTION("IFERROR(GOOGLEFINANCE(A880,""priceopen""),"""")"),6275.0)</f>
        <v>6275</v>
      </c>
      <c r="X880" s="22">
        <f>IFERROR(__xludf.DUMMYFUNCTION("IFERROR(GOOGLEFINANCE(A880,""high""),"""")"),6675.0)</f>
        <v>6675</v>
      </c>
      <c r="Y880" s="22">
        <f>IFERROR(__xludf.DUMMYFUNCTION("IFERROR(GOOGLEFINANCE(A880,""low""),"""")"),6275.0)</f>
        <v>6275</v>
      </c>
      <c r="Z880" s="22">
        <f>IFERROR(__xludf.DUMMYFUNCTION("IFERROR(GOOGLEFINANCE(A880,""volume""),"""")"),1.19916E7)</f>
        <v>11991600</v>
      </c>
      <c r="AA880" s="24" t="str">
        <f>VLOOKUP(A880,Metrik!$C$2:$Y$959,5,0)</f>
        <v>Processed Foods</v>
      </c>
      <c r="AB880" s="24" t="str">
        <f>VLOOKUP(A880,Metrik!$C$2:$Y$959,3,0)</f>
        <v>Consumer Non-Cyclicals</v>
      </c>
    </row>
    <row r="881">
      <c r="A881" s="14" t="s">
        <v>484</v>
      </c>
      <c r="B881" s="14" t="str">
        <f t="array" ref="B881">VLOOKUP(A881,{Metrik!$C$2:$C$998,Metrik!$B$2:$B$998},2,0)</f>
        <v>Indofood Sukses Makmur Tbk.</v>
      </c>
      <c r="C881" s="15">
        <f>IFERROR(__xludf.DUMMYFUNCTION("GOOGLEFINANCE(""IDX:""&amp;A881,""price"")"),6425.0)</f>
        <v>6425</v>
      </c>
      <c r="D881" s="16" t="str">
        <f>IFERROR(__xludf.DUMMYFUNCTION("IF(A881="""","""",
SPARKLINE(
INDEX(
GOOGLEFINANCE(""IDX:""&amp;A881,""close"",TODAY()-365,TODAY()),
,2
),
{""linewidth"",1}
))
"),"#N/A")</f>
        <v>#N/A</v>
      </c>
      <c r="E881" s="14" t="s">
        <v>33</v>
      </c>
      <c r="F881" s="14" t="s">
        <v>34</v>
      </c>
      <c r="G881" s="24">
        <f t="shared" si="7"/>
        <v>18</v>
      </c>
      <c r="H881" s="19">
        <f>VLOOKUP(A881,Metrik!$C$2:$Y$959,8,0)</f>
        <v>5.6</v>
      </c>
      <c r="I881" s="20">
        <f>VLOOKUP(A881,Metrik!$C$2:$Y$959,9,0)</f>
        <v>0.48</v>
      </c>
      <c r="J881" s="20">
        <f>VLOOKUP(A881,Metrik!$C$2:$Y$959,10,0)</f>
        <v>8.7</v>
      </c>
      <c r="K881" s="20">
        <f>VLOOKUP(A881,Metrik!$C$2:$Y$959,11,0)</f>
        <v>4.8</v>
      </c>
      <c r="L881" s="20">
        <f>VLOOKUP(A881,Metrik!$C$2:$Y$959,12,0)</f>
        <v>0.8</v>
      </c>
      <c r="M881" s="20">
        <f>VLOOKUP(A881,Metrik!$C$2:$Y$959,19,0)</f>
        <v>32.2</v>
      </c>
      <c r="N881" s="21"/>
      <c r="O881" s="21"/>
      <c r="P881" s="21"/>
      <c r="Q881" s="21"/>
      <c r="R881" s="21"/>
      <c r="S881" s="21"/>
      <c r="T881" s="21"/>
      <c r="U881" s="22">
        <f>IFERROR(__xludf.DUMMYFUNCTION("IFERROR(GOOGLEFINANCE(A881,""closeyest""),"""")"),6225.0)</f>
        <v>6225</v>
      </c>
      <c r="V881" s="23">
        <f>IFERROR(__xludf.DUMMYFUNCTION("IFERROR(GOOGLEFINANCE(A881,""changepct""),"""")"),3.21)</f>
        <v>3.21</v>
      </c>
      <c r="W881" s="22">
        <f>IFERROR(__xludf.DUMMYFUNCTION("IFERROR(GOOGLEFINANCE(A881,""priceopen""),"""")"),6275.0)</f>
        <v>6275</v>
      </c>
      <c r="X881" s="22">
        <f>IFERROR(__xludf.DUMMYFUNCTION("IFERROR(GOOGLEFINANCE(A881,""high""),"""")"),6675.0)</f>
        <v>6675</v>
      </c>
      <c r="Y881" s="22">
        <f>IFERROR(__xludf.DUMMYFUNCTION("IFERROR(GOOGLEFINANCE(A881,""low""),"""")"),6275.0)</f>
        <v>6275</v>
      </c>
      <c r="Z881" s="22">
        <f>IFERROR(__xludf.DUMMYFUNCTION("IFERROR(GOOGLEFINANCE(A881,""volume""),"""")"),1.19916E7)</f>
        <v>11991600</v>
      </c>
      <c r="AA881" s="24" t="str">
        <f>VLOOKUP(A881,Metrik!$C$2:$Y$959,5,0)</f>
        <v>Processed Foods</v>
      </c>
      <c r="AB881" s="24" t="str">
        <f>VLOOKUP(A881,Metrik!$C$2:$Y$959,3,0)</f>
        <v>Consumer Non-Cyclicals</v>
      </c>
    </row>
    <row r="882">
      <c r="A882" s="14" t="s">
        <v>484</v>
      </c>
      <c r="B882" s="14" t="str">
        <f t="array" ref="B882">VLOOKUP(A882,{Metrik!$C$2:$C$998,Metrik!$B$2:$B$998},2,0)</f>
        <v>Indofood Sukses Makmur Tbk.</v>
      </c>
      <c r="C882" s="15">
        <f>IFERROR(__xludf.DUMMYFUNCTION("GOOGLEFINANCE(""IDX:""&amp;A882,""price"")"),6425.0)</f>
        <v>6425</v>
      </c>
      <c r="D882" s="16" t="str">
        <f>IFERROR(__xludf.DUMMYFUNCTION("IF(A882="""","""",
SPARKLINE(
INDEX(
GOOGLEFINANCE(""IDX:""&amp;A882,""close"",TODAY()-365,TODAY()),
,2
),
{""linewidth"",1}
))
"),"#N/A")</f>
        <v>#N/A</v>
      </c>
      <c r="E882" s="14" t="s">
        <v>68</v>
      </c>
      <c r="F882" s="14" t="s">
        <v>34</v>
      </c>
      <c r="G882" s="24">
        <f t="shared" si="7"/>
        <v>18</v>
      </c>
      <c r="H882" s="19">
        <f>VLOOKUP(A882,Metrik!$C$2:$Y$959,8,0)</f>
        <v>5.6</v>
      </c>
      <c r="I882" s="20">
        <f>VLOOKUP(A882,Metrik!$C$2:$Y$959,9,0)</f>
        <v>0.48</v>
      </c>
      <c r="J882" s="20">
        <f>VLOOKUP(A882,Metrik!$C$2:$Y$959,10,0)</f>
        <v>8.7</v>
      </c>
      <c r="K882" s="20">
        <f>VLOOKUP(A882,Metrik!$C$2:$Y$959,11,0)</f>
        <v>4.8</v>
      </c>
      <c r="L882" s="20">
        <f>VLOOKUP(A882,Metrik!$C$2:$Y$959,12,0)</f>
        <v>0.8</v>
      </c>
      <c r="M882" s="20">
        <f>VLOOKUP(A882,Metrik!$C$2:$Y$959,19,0)</f>
        <v>32.2</v>
      </c>
      <c r="N882" s="21"/>
      <c r="O882" s="21"/>
      <c r="P882" s="21"/>
      <c r="Q882" s="21"/>
      <c r="R882" s="21"/>
      <c r="S882" s="21"/>
      <c r="T882" s="21"/>
      <c r="U882" s="22">
        <f>IFERROR(__xludf.DUMMYFUNCTION("IFERROR(GOOGLEFINANCE(A882,""closeyest""),"""")"),6225.0)</f>
        <v>6225</v>
      </c>
      <c r="V882" s="23">
        <f>IFERROR(__xludf.DUMMYFUNCTION("IFERROR(GOOGLEFINANCE(A882,""changepct""),"""")"),3.21)</f>
        <v>3.21</v>
      </c>
      <c r="W882" s="22">
        <f>IFERROR(__xludf.DUMMYFUNCTION("IFERROR(GOOGLEFINANCE(A882,""priceopen""),"""")"),6275.0)</f>
        <v>6275</v>
      </c>
      <c r="X882" s="22">
        <f>IFERROR(__xludf.DUMMYFUNCTION("IFERROR(GOOGLEFINANCE(A882,""high""),"""")"),6675.0)</f>
        <v>6675</v>
      </c>
      <c r="Y882" s="22">
        <f>IFERROR(__xludf.DUMMYFUNCTION("IFERROR(GOOGLEFINANCE(A882,""low""),"""")"),6275.0)</f>
        <v>6275</v>
      </c>
      <c r="Z882" s="22">
        <f>IFERROR(__xludf.DUMMYFUNCTION("IFERROR(GOOGLEFINANCE(A882,""volume""),"""")"),1.19916E7)</f>
        <v>11991600</v>
      </c>
      <c r="AA882" s="24" t="str">
        <f>VLOOKUP(A882,Metrik!$C$2:$Y$959,5,0)</f>
        <v>Processed Foods</v>
      </c>
      <c r="AB882" s="24" t="str">
        <f>VLOOKUP(A882,Metrik!$C$2:$Y$959,3,0)</f>
        <v>Consumer Non-Cyclicals</v>
      </c>
    </row>
    <row r="883">
      <c r="A883" s="14" t="s">
        <v>484</v>
      </c>
      <c r="B883" s="14" t="str">
        <f t="array" ref="B883">VLOOKUP(A883,{Metrik!$C$2:$C$998,Metrik!$B$2:$B$998},2,0)</f>
        <v>Indofood Sukses Makmur Tbk.</v>
      </c>
      <c r="C883" s="15">
        <f>IFERROR(__xludf.DUMMYFUNCTION("GOOGLEFINANCE(""IDX:""&amp;A883,""price"")"),6425.0)</f>
        <v>6425</v>
      </c>
      <c r="D883" s="16" t="str">
        <f>IFERROR(__xludf.DUMMYFUNCTION("IF(A883="""","""",
SPARKLINE(
INDEX(
GOOGLEFINANCE(""IDX:""&amp;A883,""close"",TODAY()-365,TODAY()),
,2
),
{""linewidth"",1}
))
"),"#N/A")</f>
        <v>#N/A</v>
      </c>
      <c r="E883" s="14" t="s">
        <v>31</v>
      </c>
      <c r="F883" s="17" t="s">
        <v>29</v>
      </c>
      <c r="G883" s="24">
        <f t="shared" si="7"/>
        <v>18</v>
      </c>
      <c r="H883" s="19">
        <f>VLOOKUP(A883,Metrik!$C$2:$Y$959,8,0)</f>
        <v>5.6</v>
      </c>
      <c r="I883" s="20">
        <f>VLOOKUP(A883,Metrik!$C$2:$Y$959,9,0)</f>
        <v>0.48</v>
      </c>
      <c r="J883" s="20">
        <f>VLOOKUP(A883,Metrik!$C$2:$Y$959,10,0)</f>
        <v>8.7</v>
      </c>
      <c r="K883" s="20">
        <f>VLOOKUP(A883,Metrik!$C$2:$Y$959,11,0)</f>
        <v>4.8</v>
      </c>
      <c r="L883" s="20">
        <f>VLOOKUP(A883,Metrik!$C$2:$Y$959,12,0)</f>
        <v>0.8</v>
      </c>
      <c r="M883" s="20">
        <f>VLOOKUP(A883,Metrik!$C$2:$Y$959,19,0)</f>
        <v>32.2</v>
      </c>
      <c r="N883" s="21"/>
      <c r="O883" s="21"/>
      <c r="P883" s="21"/>
      <c r="Q883" s="21"/>
      <c r="R883" s="21"/>
      <c r="S883" s="21"/>
      <c r="T883" s="21"/>
      <c r="U883" s="22">
        <f>IFERROR(__xludf.DUMMYFUNCTION("IFERROR(GOOGLEFINANCE(A883,""closeyest""),"""")"),6225.0)</f>
        <v>6225</v>
      </c>
      <c r="V883" s="23">
        <f>IFERROR(__xludf.DUMMYFUNCTION("IFERROR(GOOGLEFINANCE(A883,""changepct""),"""")"),3.21)</f>
        <v>3.21</v>
      </c>
      <c r="W883" s="22">
        <f>IFERROR(__xludf.DUMMYFUNCTION("IFERROR(GOOGLEFINANCE(A883,""priceopen""),"""")"),6275.0)</f>
        <v>6275</v>
      </c>
      <c r="X883" s="22">
        <f>IFERROR(__xludf.DUMMYFUNCTION("IFERROR(GOOGLEFINANCE(A883,""high""),"""")"),6675.0)</f>
        <v>6675</v>
      </c>
      <c r="Y883" s="22">
        <f>IFERROR(__xludf.DUMMYFUNCTION("IFERROR(GOOGLEFINANCE(A883,""low""),"""")"),6275.0)</f>
        <v>6275</v>
      </c>
      <c r="Z883" s="22">
        <f>IFERROR(__xludf.DUMMYFUNCTION("IFERROR(GOOGLEFINANCE(A883,""volume""),"""")"),1.19916E7)</f>
        <v>11991600</v>
      </c>
      <c r="AA883" s="24" t="str">
        <f>VLOOKUP(A883,Metrik!$C$2:$Y$959,5,0)</f>
        <v>Processed Foods</v>
      </c>
      <c r="AB883" s="24" t="str">
        <f>VLOOKUP(A883,Metrik!$C$2:$Y$959,3,0)</f>
        <v>Consumer Non-Cyclicals</v>
      </c>
    </row>
    <row r="884">
      <c r="A884" s="14" t="s">
        <v>484</v>
      </c>
      <c r="B884" s="14" t="str">
        <f t="array" ref="B884">VLOOKUP(A884,{Metrik!$C$2:$C$998,Metrik!$B$2:$B$998},2,0)</f>
        <v>Indofood Sukses Makmur Tbk.</v>
      </c>
      <c r="C884" s="15">
        <f>IFERROR(__xludf.DUMMYFUNCTION("GOOGLEFINANCE(""IDX:""&amp;A884,""price"")"),6425.0)</f>
        <v>6425</v>
      </c>
      <c r="D884" s="16" t="str">
        <f>IFERROR(__xludf.DUMMYFUNCTION("IF(A884="""","""",
SPARKLINE(
INDEX(
GOOGLEFINANCE(""IDX:""&amp;A884,""close"",TODAY()-365,TODAY()),
,2
),
{""linewidth"",1}
))
"),"#N/A")</f>
        <v>#N/A</v>
      </c>
      <c r="E884" s="14" t="s">
        <v>28</v>
      </c>
      <c r="F884" s="17" t="s">
        <v>29</v>
      </c>
      <c r="G884" s="24">
        <f t="shared" si="7"/>
        <v>18</v>
      </c>
      <c r="H884" s="19">
        <f>VLOOKUP(A884,Metrik!$C$2:$Y$959,8,0)</f>
        <v>5.6</v>
      </c>
      <c r="I884" s="20">
        <f>VLOOKUP(A884,Metrik!$C$2:$Y$959,9,0)</f>
        <v>0.48</v>
      </c>
      <c r="J884" s="20">
        <f>VLOOKUP(A884,Metrik!$C$2:$Y$959,10,0)</f>
        <v>8.7</v>
      </c>
      <c r="K884" s="20">
        <f>VLOOKUP(A884,Metrik!$C$2:$Y$959,11,0)</f>
        <v>4.8</v>
      </c>
      <c r="L884" s="20">
        <f>VLOOKUP(A884,Metrik!$C$2:$Y$959,12,0)</f>
        <v>0.8</v>
      </c>
      <c r="M884" s="20">
        <f>VLOOKUP(A884,Metrik!$C$2:$Y$959,19,0)</f>
        <v>32.2</v>
      </c>
      <c r="N884" s="21"/>
      <c r="O884" s="21"/>
      <c r="P884" s="21"/>
      <c r="Q884" s="21"/>
      <c r="R884" s="21"/>
      <c r="S884" s="21"/>
      <c r="T884" s="21"/>
      <c r="U884" s="22">
        <f>IFERROR(__xludf.DUMMYFUNCTION("IFERROR(GOOGLEFINANCE(A884,""closeyest""),"""")"),6225.0)</f>
        <v>6225</v>
      </c>
      <c r="V884" s="23">
        <f>IFERROR(__xludf.DUMMYFUNCTION("IFERROR(GOOGLEFINANCE(A884,""changepct""),"""")"),3.21)</f>
        <v>3.21</v>
      </c>
      <c r="W884" s="22">
        <f>IFERROR(__xludf.DUMMYFUNCTION("IFERROR(GOOGLEFINANCE(A884,""priceopen""),"""")"),6275.0)</f>
        <v>6275</v>
      </c>
      <c r="X884" s="22">
        <f>IFERROR(__xludf.DUMMYFUNCTION("IFERROR(GOOGLEFINANCE(A884,""high""),"""")"),6675.0)</f>
        <v>6675</v>
      </c>
      <c r="Y884" s="22">
        <f>IFERROR(__xludf.DUMMYFUNCTION("IFERROR(GOOGLEFINANCE(A884,""low""),"""")"),6275.0)</f>
        <v>6275</v>
      </c>
      <c r="Z884" s="22">
        <f>IFERROR(__xludf.DUMMYFUNCTION("IFERROR(GOOGLEFINANCE(A884,""volume""),"""")"),1.19916E7)</f>
        <v>11991600</v>
      </c>
      <c r="AA884" s="24" t="str">
        <f>VLOOKUP(A884,Metrik!$C$2:$Y$959,5,0)</f>
        <v>Processed Foods</v>
      </c>
      <c r="AB884" s="24" t="str">
        <f>VLOOKUP(A884,Metrik!$C$2:$Y$959,3,0)</f>
        <v>Consumer Non-Cyclicals</v>
      </c>
    </row>
    <row r="885">
      <c r="A885" s="14" t="s">
        <v>484</v>
      </c>
      <c r="B885" s="14" t="str">
        <f t="array" ref="B885">VLOOKUP(A885,{Metrik!$C$2:$C$998,Metrik!$B$2:$B$998},2,0)</f>
        <v>Indofood Sukses Makmur Tbk.</v>
      </c>
      <c r="C885" s="15">
        <f>IFERROR(__xludf.DUMMYFUNCTION("GOOGLEFINANCE(""IDX:""&amp;A885,""price"")"),6425.0)</f>
        <v>6425</v>
      </c>
      <c r="D885" s="16" t="str">
        <f>IFERROR(__xludf.DUMMYFUNCTION("IF(A885="""","""",
SPARKLINE(
INDEX(
GOOGLEFINANCE(""IDX:""&amp;A885,""close"",TODAY()-365,TODAY()),
,2
),
{""linewidth"",1}
))
"),"#N/A")</f>
        <v>#N/A</v>
      </c>
      <c r="E885" s="14" t="s">
        <v>48</v>
      </c>
      <c r="F885" s="14" t="s">
        <v>49</v>
      </c>
      <c r="G885" s="24">
        <f t="shared" si="7"/>
        <v>18</v>
      </c>
      <c r="H885" s="19">
        <f>VLOOKUP(A885,Metrik!$C$2:$Y$959,8,0)</f>
        <v>5.6</v>
      </c>
      <c r="I885" s="20">
        <f>VLOOKUP(A885,Metrik!$C$2:$Y$959,9,0)</f>
        <v>0.48</v>
      </c>
      <c r="J885" s="20">
        <f>VLOOKUP(A885,Metrik!$C$2:$Y$959,10,0)</f>
        <v>8.7</v>
      </c>
      <c r="K885" s="20">
        <f>VLOOKUP(A885,Metrik!$C$2:$Y$959,11,0)</f>
        <v>4.8</v>
      </c>
      <c r="L885" s="20">
        <f>VLOOKUP(A885,Metrik!$C$2:$Y$959,12,0)</f>
        <v>0.8</v>
      </c>
      <c r="M885" s="20">
        <f>VLOOKUP(A885,Metrik!$C$2:$Y$959,19,0)</f>
        <v>32.2</v>
      </c>
      <c r="N885" s="21"/>
      <c r="O885" s="21"/>
      <c r="P885" s="21"/>
      <c r="Q885" s="21"/>
      <c r="R885" s="21"/>
      <c r="S885" s="21"/>
      <c r="T885" s="21"/>
      <c r="U885" s="22">
        <f>IFERROR(__xludf.DUMMYFUNCTION("IFERROR(GOOGLEFINANCE(A885,""closeyest""),"""")"),6225.0)</f>
        <v>6225</v>
      </c>
      <c r="V885" s="23">
        <f>IFERROR(__xludf.DUMMYFUNCTION("IFERROR(GOOGLEFINANCE(A885,""changepct""),"""")"),3.21)</f>
        <v>3.21</v>
      </c>
      <c r="W885" s="22">
        <f>IFERROR(__xludf.DUMMYFUNCTION("IFERROR(GOOGLEFINANCE(A885,""priceopen""),"""")"),6275.0)</f>
        <v>6275</v>
      </c>
      <c r="X885" s="22">
        <f>IFERROR(__xludf.DUMMYFUNCTION("IFERROR(GOOGLEFINANCE(A885,""high""),"""")"),6675.0)</f>
        <v>6675</v>
      </c>
      <c r="Y885" s="22">
        <f>IFERROR(__xludf.DUMMYFUNCTION("IFERROR(GOOGLEFINANCE(A885,""low""),"""")"),6275.0)</f>
        <v>6275</v>
      </c>
      <c r="Z885" s="22">
        <f>IFERROR(__xludf.DUMMYFUNCTION("IFERROR(GOOGLEFINANCE(A885,""volume""),"""")"),1.19916E7)</f>
        <v>11991600</v>
      </c>
      <c r="AA885" s="24" t="str">
        <f>VLOOKUP(A885,Metrik!$C$2:$Y$959,5,0)</f>
        <v>Processed Foods</v>
      </c>
      <c r="AB885" s="24" t="str">
        <f>VLOOKUP(A885,Metrik!$C$2:$Y$959,3,0)</f>
        <v>Consumer Non-Cyclicals</v>
      </c>
    </row>
    <row r="886">
      <c r="A886" s="14" t="s">
        <v>484</v>
      </c>
      <c r="B886" s="14" t="str">
        <f t="array" ref="B886">VLOOKUP(A886,{Metrik!$C$2:$C$998,Metrik!$B$2:$B$998},2,0)</f>
        <v>Indofood Sukses Makmur Tbk.</v>
      </c>
      <c r="C886" s="15">
        <f>IFERROR(__xludf.DUMMYFUNCTION("GOOGLEFINANCE(""IDX:""&amp;A886,""price"")"),6425.0)</f>
        <v>6425</v>
      </c>
      <c r="D886" s="16" t="str">
        <f>IFERROR(__xludf.DUMMYFUNCTION("IF(A886="""","""",
SPARKLINE(
INDEX(
GOOGLEFINANCE(""IDX:""&amp;A886,""close"",TODAY()-365,TODAY()),
,2
),
{""linewidth"",1}
))
"),"#N/A")</f>
        <v>#N/A</v>
      </c>
      <c r="E886" s="14" t="s">
        <v>30</v>
      </c>
      <c r="F886" s="17" t="s">
        <v>29</v>
      </c>
      <c r="G886" s="24">
        <f t="shared" si="7"/>
        <v>18</v>
      </c>
      <c r="H886" s="19">
        <f>VLOOKUP(A886,Metrik!$C$2:$Y$959,8,0)</f>
        <v>5.6</v>
      </c>
      <c r="I886" s="20">
        <f>VLOOKUP(A886,Metrik!$C$2:$Y$959,9,0)</f>
        <v>0.48</v>
      </c>
      <c r="J886" s="20">
        <f>VLOOKUP(A886,Metrik!$C$2:$Y$959,10,0)</f>
        <v>8.7</v>
      </c>
      <c r="K886" s="20">
        <f>VLOOKUP(A886,Metrik!$C$2:$Y$959,11,0)</f>
        <v>4.8</v>
      </c>
      <c r="L886" s="20">
        <f>VLOOKUP(A886,Metrik!$C$2:$Y$959,12,0)</f>
        <v>0.8</v>
      </c>
      <c r="M886" s="20">
        <f>VLOOKUP(A886,Metrik!$C$2:$Y$959,19,0)</f>
        <v>32.2</v>
      </c>
      <c r="N886" s="21"/>
      <c r="O886" s="21"/>
      <c r="P886" s="21"/>
      <c r="Q886" s="21"/>
      <c r="R886" s="21"/>
      <c r="S886" s="21"/>
      <c r="T886" s="21"/>
      <c r="U886" s="22">
        <f>IFERROR(__xludf.DUMMYFUNCTION("IFERROR(GOOGLEFINANCE(A886,""closeyest""),"""")"),6225.0)</f>
        <v>6225</v>
      </c>
      <c r="V886" s="23">
        <f>IFERROR(__xludf.DUMMYFUNCTION("IFERROR(GOOGLEFINANCE(A886,""changepct""),"""")"),3.21)</f>
        <v>3.21</v>
      </c>
      <c r="W886" s="22">
        <f>IFERROR(__xludf.DUMMYFUNCTION("IFERROR(GOOGLEFINANCE(A886,""priceopen""),"""")"),6275.0)</f>
        <v>6275</v>
      </c>
      <c r="X886" s="22">
        <f>IFERROR(__xludf.DUMMYFUNCTION("IFERROR(GOOGLEFINANCE(A886,""high""),"""")"),6675.0)</f>
        <v>6675</v>
      </c>
      <c r="Y886" s="22">
        <f>IFERROR(__xludf.DUMMYFUNCTION("IFERROR(GOOGLEFINANCE(A886,""low""),"""")"),6275.0)</f>
        <v>6275</v>
      </c>
      <c r="Z886" s="22">
        <f>IFERROR(__xludf.DUMMYFUNCTION("IFERROR(GOOGLEFINANCE(A886,""volume""),"""")"),1.19916E7)</f>
        <v>11991600</v>
      </c>
      <c r="AA886" s="24" t="str">
        <f>VLOOKUP(A886,Metrik!$C$2:$Y$959,5,0)</f>
        <v>Processed Foods</v>
      </c>
      <c r="AB886" s="24" t="str">
        <f>VLOOKUP(A886,Metrik!$C$2:$Y$959,3,0)</f>
        <v>Consumer Non-Cyclicals</v>
      </c>
    </row>
    <row r="887">
      <c r="A887" s="14" t="s">
        <v>484</v>
      </c>
      <c r="B887" s="14" t="str">
        <f t="array" ref="B887">VLOOKUP(A887,{Metrik!$C$2:$C$998,Metrik!$B$2:$B$998},2,0)</f>
        <v>Indofood Sukses Makmur Tbk.</v>
      </c>
      <c r="C887" s="15">
        <f>IFERROR(__xludf.DUMMYFUNCTION("GOOGLEFINANCE(""IDX:""&amp;A887,""price"")"),6425.0)</f>
        <v>6425</v>
      </c>
      <c r="D887" s="16" t="str">
        <f>IFERROR(__xludf.DUMMYFUNCTION("IF(A887="""","""",
SPARKLINE(
INDEX(
GOOGLEFINANCE(""IDX:""&amp;A887,""close"",TODAY()-365,TODAY()),
,2
),
{""linewidth"",1}
))
"),"#N/A")</f>
        <v>#N/A</v>
      </c>
      <c r="E887" s="14" t="s">
        <v>32</v>
      </c>
      <c r="F887" s="14" t="s">
        <v>29</v>
      </c>
      <c r="G887" s="24">
        <f t="shared" si="7"/>
        <v>18</v>
      </c>
      <c r="H887" s="19">
        <f>VLOOKUP(A887,Metrik!$C$2:$Y$959,8,0)</f>
        <v>5.6</v>
      </c>
      <c r="I887" s="20">
        <f>VLOOKUP(A887,Metrik!$C$2:$Y$959,9,0)</f>
        <v>0.48</v>
      </c>
      <c r="J887" s="20">
        <f>VLOOKUP(A887,Metrik!$C$2:$Y$959,10,0)</f>
        <v>8.7</v>
      </c>
      <c r="K887" s="20">
        <f>VLOOKUP(A887,Metrik!$C$2:$Y$959,11,0)</f>
        <v>4.8</v>
      </c>
      <c r="L887" s="20">
        <f>VLOOKUP(A887,Metrik!$C$2:$Y$959,12,0)</f>
        <v>0.8</v>
      </c>
      <c r="M887" s="20">
        <f>VLOOKUP(A887,Metrik!$C$2:$Y$959,19,0)</f>
        <v>32.2</v>
      </c>
      <c r="N887" s="21"/>
      <c r="O887" s="21"/>
      <c r="P887" s="21"/>
      <c r="Q887" s="21"/>
      <c r="R887" s="21"/>
      <c r="S887" s="21"/>
      <c r="T887" s="21"/>
      <c r="U887" s="22">
        <f>IFERROR(__xludf.DUMMYFUNCTION("IFERROR(GOOGLEFINANCE(A887,""closeyest""),"""")"),6225.0)</f>
        <v>6225</v>
      </c>
      <c r="V887" s="23">
        <f>IFERROR(__xludf.DUMMYFUNCTION("IFERROR(GOOGLEFINANCE(A887,""changepct""),"""")"),3.21)</f>
        <v>3.21</v>
      </c>
      <c r="W887" s="22">
        <f>IFERROR(__xludf.DUMMYFUNCTION("IFERROR(GOOGLEFINANCE(A887,""priceopen""),"""")"),6275.0)</f>
        <v>6275</v>
      </c>
      <c r="X887" s="22">
        <f>IFERROR(__xludf.DUMMYFUNCTION("IFERROR(GOOGLEFINANCE(A887,""high""),"""")"),6675.0)</f>
        <v>6675</v>
      </c>
      <c r="Y887" s="22">
        <f>IFERROR(__xludf.DUMMYFUNCTION("IFERROR(GOOGLEFINANCE(A887,""low""),"""")"),6275.0)</f>
        <v>6275</v>
      </c>
      <c r="Z887" s="22">
        <f>IFERROR(__xludf.DUMMYFUNCTION("IFERROR(GOOGLEFINANCE(A887,""volume""),"""")"),1.19916E7)</f>
        <v>11991600</v>
      </c>
      <c r="AA887" s="24" t="str">
        <f>VLOOKUP(A887,Metrik!$C$2:$Y$959,5,0)</f>
        <v>Processed Foods</v>
      </c>
      <c r="AB887" s="24" t="str">
        <f>VLOOKUP(A887,Metrik!$C$2:$Y$959,3,0)</f>
        <v>Consumer Non-Cyclicals</v>
      </c>
    </row>
    <row r="888">
      <c r="A888" s="14" t="s">
        <v>484</v>
      </c>
      <c r="B888" s="14" t="str">
        <f t="array" ref="B888">VLOOKUP(A888,{Metrik!$C$2:$C$998,Metrik!$B$2:$B$998},2,0)</f>
        <v>Indofood Sukses Makmur Tbk.</v>
      </c>
      <c r="C888" s="15">
        <f>IFERROR(__xludf.DUMMYFUNCTION("GOOGLEFINANCE(""IDX:""&amp;A888,""price"")"),6425.0)</f>
        <v>6425</v>
      </c>
      <c r="D888" s="16" t="str">
        <f>IFERROR(__xludf.DUMMYFUNCTION("IF(A888="""","""",
SPARKLINE(
INDEX(
GOOGLEFINANCE(""IDX:""&amp;A888,""close"",TODAY()-365,TODAY()),
,2
),
{""linewidth"",1}
))
"),"#N/A")</f>
        <v>#N/A</v>
      </c>
      <c r="E888" s="14" t="s">
        <v>84</v>
      </c>
      <c r="F888" s="17" t="s">
        <v>51</v>
      </c>
      <c r="G888" s="24">
        <f t="shared" si="7"/>
        <v>18</v>
      </c>
      <c r="H888" s="19">
        <f>VLOOKUP(A888,Metrik!$C$2:$Y$959,8,0)</f>
        <v>5.6</v>
      </c>
      <c r="I888" s="20">
        <f>VLOOKUP(A888,Metrik!$C$2:$Y$959,9,0)</f>
        <v>0.48</v>
      </c>
      <c r="J888" s="20">
        <f>VLOOKUP(A888,Metrik!$C$2:$Y$959,10,0)</f>
        <v>8.7</v>
      </c>
      <c r="K888" s="20">
        <f>VLOOKUP(A888,Metrik!$C$2:$Y$959,11,0)</f>
        <v>4.8</v>
      </c>
      <c r="L888" s="20">
        <f>VLOOKUP(A888,Metrik!$C$2:$Y$959,12,0)</f>
        <v>0.8</v>
      </c>
      <c r="M888" s="20">
        <f>VLOOKUP(A888,Metrik!$C$2:$Y$959,19,0)</f>
        <v>32.2</v>
      </c>
      <c r="N888" s="21"/>
      <c r="O888" s="21"/>
      <c r="P888" s="21"/>
      <c r="Q888" s="21"/>
      <c r="R888" s="21"/>
      <c r="S888" s="21"/>
      <c r="T888" s="21"/>
      <c r="U888" s="22">
        <f>IFERROR(__xludf.DUMMYFUNCTION("IFERROR(GOOGLEFINANCE(A888,""closeyest""),"""")"),6225.0)</f>
        <v>6225</v>
      </c>
      <c r="V888" s="23">
        <f>IFERROR(__xludf.DUMMYFUNCTION("IFERROR(GOOGLEFINANCE(A888,""changepct""),"""")"),3.21)</f>
        <v>3.21</v>
      </c>
      <c r="W888" s="22">
        <f>IFERROR(__xludf.DUMMYFUNCTION("IFERROR(GOOGLEFINANCE(A888,""priceopen""),"""")"),6275.0)</f>
        <v>6275</v>
      </c>
      <c r="X888" s="22">
        <f>IFERROR(__xludf.DUMMYFUNCTION("IFERROR(GOOGLEFINANCE(A888,""high""),"""")"),6675.0)</f>
        <v>6675</v>
      </c>
      <c r="Y888" s="22">
        <f>IFERROR(__xludf.DUMMYFUNCTION("IFERROR(GOOGLEFINANCE(A888,""low""),"""")"),6275.0)</f>
        <v>6275</v>
      </c>
      <c r="Z888" s="22">
        <f>IFERROR(__xludf.DUMMYFUNCTION("IFERROR(GOOGLEFINANCE(A888,""volume""),"""")"),1.19916E7)</f>
        <v>11991600</v>
      </c>
      <c r="AA888" s="24" t="str">
        <f>VLOOKUP(A888,Metrik!$C$2:$Y$959,5,0)</f>
        <v>Processed Foods</v>
      </c>
      <c r="AB888" s="24" t="str">
        <f>VLOOKUP(A888,Metrik!$C$2:$Y$959,3,0)</f>
        <v>Consumer Non-Cyclicals</v>
      </c>
    </row>
    <row r="889">
      <c r="A889" s="14" t="s">
        <v>484</v>
      </c>
      <c r="B889" s="14" t="str">
        <f t="array" ref="B889">VLOOKUP(A889,{Metrik!$C$2:$C$998,Metrik!$B$2:$B$998},2,0)</f>
        <v>Indofood Sukses Makmur Tbk.</v>
      </c>
      <c r="C889" s="15">
        <f>IFERROR(__xludf.DUMMYFUNCTION("GOOGLEFINANCE(""IDX:""&amp;A889,""price"")"),6425.0)</f>
        <v>6425</v>
      </c>
      <c r="D889" s="16" t="str">
        <f>IFERROR(__xludf.DUMMYFUNCTION("IF(A889="""","""",
SPARKLINE(
INDEX(
GOOGLEFINANCE(""IDX:""&amp;A889,""close"",TODAY()-365,TODAY()),
,2
),
{""linewidth"",1}
))
"),"#N/A")</f>
        <v>#N/A</v>
      </c>
      <c r="E889" s="14" t="s">
        <v>102</v>
      </c>
      <c r="F889" s="27" t="s">
        <v>53</v>
      </c>
      <c r="G889" s="24">
        <f t="shared" si="7"/>
        <v>18</v>
      </c>
      <c r="H889" s="19">
        <f>VLOOKUP(A889,Metrik!$C$2:$Y$959,8,0)</f>
        <v>5.6</v>
      </c>
      <c r="I889" s="20">
        <f>VLOOKUP(A889,Metrik!$C$2:$Y$959,9,0)</f>
        <v>0.48</v>
      </c>
      <c r="J889" s="20">
        <f>VLOOKUP(A889,Metrik!$C$2:$Y$959,10,0)</f>
        <v>8.7</v>
      </c>
      <c r="K889" s="20">
        <f>VLOOKUP(A889,Metrik!$C$2:$Y$959,11,0)</f>
        <v>4.8</v>
      </c>
      <c r="L889" s="20">
        <f>VLOOKUP(A889,Metrik!$C$2:$Y$959,12,0)</f>
        <v>0.8</v>
      </c>
      <c r="M889" s="20">
        <f>VLOOKUP(A889,Metrik!$C$2:$Y$959,19,0)</f>
        <v>32.2</v>
      </c>
      <c r="N889" s="21"/>
      <c r="O889" s="21"/>
      <c r="P889" s="21"/>
      <c r="Q889" s="21"/>
      <c r="R889" s="21"/>
      <c r="S889" s="21"/>
      <c r="T889" s="21"/>
      <c r="U889" s="22">
        <f>IFERROR(__xludf.DUMMYFUNCTION("IFERROR(GOOGLEFINANCE(A889,""closeyest""),"""")"),6225.0)</f>
        <v>6225</v>
      </c>
      <c r="V889" s="23">
        <f>IFERROR(__xludf.DUMMYFUNCTION("IFERROR(GOOGLEFINANCE(A889,""changepct""),"""")"),3.21)</f>
        <v>3.21</v>
      </c>
      <c r="W889" s="22">
        <f>IFERROR(__xludf.DUMMYFUNCTION("IFERROR(GOOGLEFINANCE(A889,""priceopen""),"""")"),6275.0)</f>
        <v>6275</v>
      </c>
      <c r="X889" s="22">
        <f>IFERROR(__xludf.DUMMYFUNCTION("IFERROR(GOOGLEFINANCE(A889,""high""),"""")"),6675.0)</f>
        <v>6675</v>
      </c>
      <c r="Y889" s="22">
        <f>IFERROR(__xludf.DUMMYFUNCTION("IFERROR(GOOGLEFINANCE(A889,""low""),"""")"),6275.0)</f>
        <v>6275</v>
      </c>
      <c r="Z889" s="22">
        <f>IFERROR(__xludf.DUMMYFUNCTION("IFERROR(GOOGLEFINANCE(A889,""volume""),"""")"),1.19916E7)</f>
        <v>11991600</v>
      </c>
      <c r="AA889" s="24" t="str">
        <f>VLOOKUP(A889,Metrik!$C$2:$Y$959,5,0)</f>
        <v>Processed Foods</v>
      </c>
      <c r="AB889" s="24" t="str">
        <f>VLOOKUP(A889,Metrik!$C$2:$Y$959,3,0)</f>
        <v>Consumer Non-Cyclicals</v>
      </c>
    </row>
    <row r="890">
      <c r="A890" s="48" t="s">
        <v>484</v>
      </c>
      <c r="B890" s="14" t="str">
        <f t="array" ref="B890">VLOOKUP(A890,{Metrik!$C$2:$C$998,Metrik!$B$2:$B$998},2,0)</f>
        <v>Indofood Sukses Makmur Tbk.</v>
      </c>
      <c r="C890" s="15">
        <f>IFERROR(__xludf.DUMMYFUNCTION("GOOGLEFINANCE(""IDX:""&amp;A890,""price"")"),6425.0)</f>
        <v>6425</v>
      </c>
      <c r="D890" s="16" t="str">
        <f>IFERROR(__xludf.DUMMYFUNCTION("IF(A890="""","""",
SPARKLINE(
INDEX(
GOOGLEFINANCE(""IDX:""&amp;A890,""close"",TODAY()-365,TODAY()),
,2
),
{""linewidth"",1}
))
"),"#N/A")</f>
        <v>#N/A</v>
      </c>
      <c r="E890" s="17" t="s">
        <v>69</v>
      </c>
      <c r="F890" s="17" t="s">
        <v>70</v>
      </c>
      <c r="G890" s="24">
        <f t="shared" si="7"/>
        <v>18</v>
      </c>
      <c r="H890" s="19">
        <f>VLOOKUP(A890,Metrik!$C$2:$Y$959,8,0)</f>
        <v>5.6</v>
      </c>
      <c r="I890" s="20">
        <f>VLOOKUP(A890,Metrik!$C$2:$Y$959,9,0)</f>
        <v>0.48</v>
      </c>
      <c r="J890" s="20">
        <f>VLOOKUP(A890,Metrik!$C$2:$Y$959,10,0)</f>
        <v>8.7</v>
      </c>
      <c r="K890" s="20">
        <f>VLOOKUP(A890,Metrik!$C$2:$Y$959,11,0)</f>
        <v>4.8</v>
      </c>
      <c r="L890" s="20">
        <f>VLOOKUP(A890,Metrik!$C$2:$Y$959,12,0)</f>
        <v>0.8</v>
      </c>
      <c r="M890" s="20">
        <f>VLOOKUP(A890,Metrik!$C$2:$Y$959,19,0)</f>
        <v>32.2</v>
      </c>
      <c r="N890" s="21"/>
      <c r="O890" s="21"/>
      <c r="P890" s="21"/>
      <c r="Q890" s="21"/>
      <c r="R890" s="21"/>
      <c r="S890" s="21"/>
      <c r="T890" s="21"/>
      <c r="U890" s="22">
        <f>IFERROR(__xludf.DUMMYFUNCTION("IFERROR(GOOGLEFINANCE(A890,""closeyest""),"""")"),6225.0)</f>
        <v>6225</v>
      </c>
      <c r="V890" s="23">
        <f>IFERROR(__xludf.DUMMYFUNCTION("IFERROR(GOOGLEFINANCE(A890,""changepct""),"""")"),3.21)</f>
        <v>3.21</v>
      </c>
      <c r="W890" s="22">
        <f>IFERROR(__xludf.DUMMYFUNCTION("IFERROR(GOOGLEFINANCE(A890,""priceopen""),"""")"),6275.0)</f>
        <v>6275</v>
      </c>
      <c r="X890" s="22">
        <f>IFERROR(__xludf.DUMMYFUNCTION("IFERROR(GOOGLEFINANCE(A890,""high""),"""")"),6675.0)</f>
        <v>6675</v>
      </c>
      <c r="Y890" s="22">
        <f>IFERROR(__xludf.DUMMYFUNCTION("IFERROR(GOOGLEFINANCE(A890,""low""),"""")"),6275.0)</f>
        <v>6275</v>
      </c>
      <c r="Z890" s="22">
        <f>IFERROR(__xludf.DUMMYFUNCTION("IFERROR(GOOGLEFINANCE(A890,""volume""),"""")"),1.19916E7)</f>
        <v>11991600</v>
      </c>
      <c r="AA890" s="24" t="str">
        <f>VLOOKUP(A890,Metrik!$C$2:$Y$959,5,0)</f>
        <v>Processed Foods</v>
      </c>
      <c r="AB890" s="24" t="str">
        <f>VLOOKUP(A890,Metrik!$C$2:$Y$959,3,0)</f>
        <v>Consumer Non-Cyclicals</v>
      </c>
    </row>
    <row r="891">
      <c r="A891" s="17" t="s">
        <v>484</v>
      </c>
      <c r="B891" s="14" t="str">
        <f t="array" ref="B891">VLOOKUP(A891,{Metrik!$C$2:$C$998,Metrik!$B$2:$B$998},2,0)</f>
        <v>Indofood Sukses Makmur Tbk.</v>
      </c>
      <c r="C891" s="15">
        <f>IFERROR(__xludf.DUMMYFUNCTION("GOOGLEFINANCE(""IDX:""&amp;A891,""price"")"),6425.0)</f>
        <v>6425</v>
      </c>
      <c r="D891" s="16" t="str">
        <f>IFERROR(__xludf.DUMMYFUNCTION("IF(A891="""","""",
SPARKLINE(
INDEX(
GOOGLEFINANCE(""IDX:""&amp;A891,""close"",TODAY()-365,TODAY()),
,2
),
{""linewidth"",1}
))
"),"#N/A")</f>
        <v>#N/A</v>
      </c>
      <c r="E891" s="14" t="s">
        <v>35</v>
      </c>
      <c r="F891" s="17" t="s">
        <v>36</v>
      </c>
      <c r="G891" s="38">
        <f t="shared" si="7"/>
        <v>18</v>
      </c>
      <c r="H891" s="34">
        <f>VLOOKUP(A891,Metrik!$C$2:$Y$959,8,0)</f>
        <v>5.6</v>
      </c>
      <c r="I891" s="34">
        <f>VLOOKUP(A891,Metrik!$C$2:$Y$959,9,0)</f>
        <v>0.48</v>
      </c>
      <c r="J891" s="34">
        <f>VLOOKUP(A891,Metrik!$C$2:$Y$959,10,0)</f>
        <v>8.7</v>
      </c>
      <c r="K891" s="34">
        <f>VLOOKUP(A891,Metrik!$C$2:$Y$959,11,0)</f>
        <v>4.8</v>
      </c>
      <c r="L891" s="34">
        <f>VLOOKUP(A891,Metrik!$C$2:$Y$959,12,0)</f>
        <v>0.8</v>
      </c>
      <c r="M891" s="34">
        <f>VLOOKUP(A891,Metrik!$C$2:$Y$959,19,0)</f>
        <v>32.2</v>
      </c>
      <c r="N891" s="26"/>
      <c r="O891" s="26"/>
      <c r="P891" s="26"/>
      <c r="Q891" s="26"/>
      <c r="R891" s="26"/>
      <c r="S891" s="26"/>
      <c r="T891" s="26"/>
      <c r="U891" s="35">
        <f>IFERROR(__xludf.DUMMYFUNCTION("IFERROR(GOOGLEFINANCE(A891,""closeyest""),"""")"),6225.0)</f>
        <v>6225</v>
      </c>
      <c r="V891" s="36">
        <f>IFERROR(__xludf.DUMMYFUNCTION("IFERROR(GOOGLEFINANCE(A891,""changepct""),"""")"),3.21)</f>
        <v>3.21</v>
      </c>
      <c r="W891" s="49">
        <f>IFERROR(__xludf.DUMMYFUNCTION("IFERROR(GOOGLEFINANCE(A891,""priceopen""),"""")"),6275.0)</f>
        <v>6275</v>
      </c>
      <c r="X891" s="35">
        <f>IFERROR(__xludf.DUMMYFUNCTION("IFERROR(GOOGLEFINANCE(A891,""high""),"""")"),6675.0)</f>
        <v>6675</v>
      </c>
      <c r="Y891" s="35">
        <f>IFERROR(__xludf.DUMMYFUNCTION("IFERROR(GOOGLEFINANCE(A891,""low""),"""")"),6275.0)</f>
        <v>6275</v>
      </c>
      <c r="Z891" s="35">
        <f>IFERROR(__xludf.DUMMYFUNCTION("IFERROR(GOOGLEFINANCE(A891,""volume""),"""")"),1.19916E7)</f>
        <v>11991600</v>
      </c>
      <c r="AA891" s="14" t="str">
        <f>VLOOKUP(A891,Metrik!$C$2:$Y$959,5,0)</f>
        <v>Processed Foods</v>
      </c>
      <c r="AB891" s="14" t="str">
        <f>VLOOKUP(A891,Metrik!$C$2:$Y$959,3,0)</f>
        <v>Consumer Non-Cyclicals</v>
      </c>
    </row>
    <row r="892">
      <c r="A892" s="14" t="s">
        <v>484</v>
      </c>
      <c r="B892" s="14" t="str">
        <f t="array" ref="B892">VLOOKUP(A892,{Metrik!$C$2:$C$998,Metrik!$B$2:$B$998},2,0)</f>
        <v>Indofood Sukses Makmur Tbk.</v>
      </c>
      <c r="C892" s="15">
        <f>IFERROR(__xludf.DUMMYFUNCTION("GOOGLEFINANCE(""IDX:""&amp;A892,""price"")"),6425.0)</f>
        <v>6425</v>
      </c>
      <c r="D892" s="16" t="str">
        <f>IFERROR(__xludf.DUMMYFUNCTION("IF(A892="""","""",
SPARKLINE(
INDEX(
GOOGLEFINANCE(""IDX:""&amp;A892,""close"",TODAY()-365,TODAY()),
,2
),
{""linewidth"",1}
))
"),"#N/A")</f>
        <v>#N/A</v>
      </c>
      <c r="E892" s="14" t="s">
        <v>86</v>
      </c>
      <c r="F892" s="25">
        <v>46356.0</v>
      </c>
      <c r="G892" s="24">
        <f t="shared" si="7"/>
        <v>18</v>
      </c>
      <c r="H892" s="19">
        <f>VLOOKUP(A892,Metrik!$C$2:$Y$959,8,0)</f>
        <v>5.6</v>
      </c>
      <c r="I892" s="20">
        <f>VLOOKUP(A892,Metrik!$C$2:$Y$959,9,0)</f>
        <v>0.48</v>
      </c>
      <c r="J892" s="20">
        <f>VLOOKUP(A892,Metrik!$C$2:$Y$959,10,0)</f>
        <v>8.7</v>
      </c>
      <c r="K892" s="20">
        <f>VLOOKUP(A892,Metrik!$C$2:$Y$959,11,0)</f>
        <v>4.8</v>
      </c>
      <c r="L892" s="20">
        <f>VLOOKUP(A892,Metrik!$C$2:$Y$959,12,0)</f>
        <v>0.8</v>
      </c>
      <c r="M892" s="20">
        <f>VLOOKUP(A892,Metrik!$C$2:$Y$959,19,0)</f>
        <v>32.2</v>
      </c>
      <c r="N892" s="21"/>
      <c r="O892" s="21"/>
      <c r="P892" s="21"/>
      <c r="Q892" s="21"/>
      <c r="R892" s="21"/>
      <c r="S892" s="21"/>
      <c r="T892" s="21"/>
      <c r="U892" s="22">
        <f>IFERROR(__xludf.DUMMYFUNCTION("IFERROR(GOOGLEFINANCE(A892,""closeyest""),"""")"),6225.0)</f>
        <v>6225</v>
      </c>
      <c r="V892" s="23">
        <f>IFERROR(__xludf.DUMMYFUNCTION("IFERROR(GOOGLEFINANCE(A892,""changepct""),"""")"),3.21)</f>
        <v>3.21</v>
      </c>
      <c r="W892" s="22">
        <f>IFERROR(__xludf.DUMMYFUNCTION("IFERROR(GOOGLEFINANCE(A892,""priceopen""),"""")"),6275.0)</f>
        <v>6275</v>
      </c>
      <c r="X892" s="22">
        <f>IFERROR(__xludf.DUMMYFUNCTION("IFERROR(GOOGLEFINANCE(A892,""high""),"""")"),6675.0)</f>
        <v>6675</v>
      </c>
      <c r="Y892" s="22">
        <f>IFERROR(__xludf.DUMMYFUNCTION("IFERROR(GOOGLEFINANCE(A892,""low""),"""")"),6275.0)</f>
        <v>6275</v>
      </c>
      <c r="Z892" s="22">
        <f>IFERROR(__xludf.DUMMYFUNCTION("IFERROR(GOOGLEFINANCE(A892,""volume""),"""")"),1.19916E7)</f>
        <v>11991600</v>
      </c>
      <c r="AA892" s="24" t="str">
        <f>VLOOKUP(A892,Metrik!$C$2:$Y$959,5,0)</f>
        <v>Processed Foods</v>
      </c>
      <c r="AB892" s="24" t="str">
        <f>VLOOKUP(A892,Metrik!$C$2:$Y$959,3,0)</f>
        <v>Consumer Non-Cyclicals</v>
      </c>
    </row>
    <row r="893">
      <c r="A893" s="14" t="s">
        <v>484</v>
      </c>
      <c r="B893" s="14" t="str">
        <f t="array" ref="B893">VLOOKUP(A893,{Metrik!$C$2:$C$998,Metrik!$B$2:$B$998},2,0)</f>
        <v>Indofood Sukses Makmur Tbk.</v>
      </c>
      <c r="C893" s="15">
        <f>IFERROR(__xludf.DUMMYFUNCTION("GOOGLEFINANCE(""IDX:""&amp;A893,""price"")"),6425.0)</f>
        <v>6425</v>
      </c>
      <c r="D893" s="16" t="str">
        <f>IFERROR(__xludf.DUMMYFUNCTION("IF(A893="""","""",
SPARKLINE(
INDEX(
GOOGLEFINANCE(""IDX:""&amp;A893,""close"",TODAY()-365,TODAY()),
,2
),
{""linewidth"",1}
))
"),"#N/A")</f>
        <v>#N/A</v>
      </c>
      <c r="E893" s="14" t="s">
        <v>42</v>
      </c>
      <c r="F893" s="25">
        <v>46356.0</v>
      </c>
      <c r="G893" s="24">
        <f t="shared" si="7"/>
        <v>18</v>
      </c>
      <c r="H893" s="19">
        <f>VLOOKUP(A893,Metrik!$C$2:$Y$959,8,0)</f>
        <v>5.6</v>
      </c>
      <c r="I893" s="20">
        <f>VLOOKUP(A893,Metrik!$C$2:$Y$959,9,0)</f>
        <v>0.48</v>
      </c>
      <c r="J893" s="20">
        <f>VLOOKUP(A893,Metrik!$C$2:$Y$959,10,0)</f>
        <v>8.7</v>
      </c>
      <c r="K893" s="20">
        <f>VLOOKUP(A893,Metrik!$C$2:$Y$959,11,0)</f>
        <v>4.8</v>
      </c>
      <c r="L893" s="20">
        <f>VLOOKUP(A893,Metrik!$C$2:$Y$959,12,0)</f>
        <v>0.8</v>
      </c>
      <c r="M893" s="20">
        <f>VLOOKUP(A893,Metrik!$C$2:$Y$959,19,0)</f>
        <v>32.2</v>
      </c>
      <c r="N893" s="21"/>
      <c r="O893" s="21"/>
      <c r="P893" s="21"/>
      <c r="Q893" s="21"/>
      <c r="R893" s="21"/>
      <c r="S893" s="21"/>
      <c r="T893" s="21"/>
      <c r="U893" s="22">
        <f>IFERROR(__xludf.DUMMYFUNCTION("IFERROR(GOOGLEFINANCE(A893,""closeyest""),"""")"),6225.0)</f>
        <v>6225</v>
      </c>
      <c r="V893" s="23">
        <f>IFERROR(__xludf.DUMMYFUNCTION("IFERROR(GOOGLEFINANCE(A893,""changepct""),"""")"),3.21)</f>
        <v>3.21</v>
      </c>
      <c r="W893" s="22">
        <f>IFERROR(__xludf.DUMMYFUNCTION("IFERROR(GOOGLEFINANCE(A893,""priceopen""),"""")"),6275.0)</f>
        <v>6275</v>
      </c>
      <c r="X893" s="22">
        <f>IFERROR(__xludf.DUMMYFUNCTION("IFERROR(GOOGLEFINANCE(A893,""high""),"""")"),6675.0)</f>
        <v>6675</v>
      </c>
      <c r="Y893" s="22">
        <f>IFERROR(__xludf.DUMMYFUNCTION("IFERROR(GOOGLEFINANCE(A893,""low""),"""")"),6275.0)</f>
        <v>6275</v>
      </c>
      <c r="Z893" s="22">
        <f>IFERROR(__xludf.DUMMYFUNCTION("IFERROR(GOOGLEFINANCE(A893,""volume""),"""")"),1.19916E7)</f>
        <v>11991600</v>
      </c>
      <c r="AA893" s="24" t="str">
        <f>VLOOKUP(A893,Metrik!$C$2:$Y$959,5,0)</f>
        <v>Processed Foods</v>
      </c>
      <c r="AB893" s="24" t="str">
        <f>VLOOKUP(A893,Metrik!$C$2:$Y$959,3,0)</f>
        <v>Consumer Non-Cyclicals</v>
      </c>
    </row>
    <row r="894">
      <c r="A894" s="14" t="s">
        <v>484</v>
      </c>
      <c r="B894" s="14" t="str">
        <f t="array" ref="B894">VLOOKUP(A894,{Metrik!$C$2:$C$998,Metrik!$B$2:$B$998},2,0)</f>
        <v>Indofood Sukses Makmur Tbk.</v>
      </c>
      <c r="C894" s="15">
        <f>IFERROR(__xludf.DUMMYFUNCTION("GOOGLEFINANCE(""IDX:""&amp;A894,""price"")"),6425.0)</f>
        <v>6425</v>
      </c>
      <c r="D894" s="16" t="str">
        <f>IFERROR(__xludf.DUMMYFUNCTION("IF(A894="""","""",
SPARKLINE(
INDEX(
GOOGLEFINANCE(""IDX:""&amp;A894,""close"",TODAY()-365,TODAY()),
,2
),
{""linewidth"",1}
))
"),"#N/A")</f>
        <v>#N/A</v>
      </c>
      <c r="E894" s="14" t="s">
        <v>38</v>
      </c>
      <c r="F894" s="25">
        <v>46356.0</v>
      </c>
      <c r="G894" s="24">
        <f t="shared" si="7"/>
        <v>18</v>
      </c>
      <c r="H894" s="19">
        <f>VLOOKUP(A894,Metrik!$C$2:$Y$959,8,0)</f>
        <v>5.6</v>
      </c>
      <c r="I894" s="20">
        <f>VLOOKUP(A894,Metrik!$C$2:$Y$959,9,0)</f>
        <v>0.48</v>
      </c>
      <c r="J894" s="20">
        <f>VLOOKUP(A894,Metrik!$C$2:$Y$959,10,0)</f>
        <v>8.7</v>
      </c>
      <c r="K894" s="20">
        <f>VLOOKUP(A894,Metrik!$C$2:$Y$959,11,0)</f>
        <v>4.8</v>
      </c>
      <c r="L894" s="20">
        <f>VLOOKUP(A894,Metrik!$C$2:$Y$959,12,0)</f>
        <v>0.8</v>
      </c>
      <c r="M894" s="20">
        <f>VLOOKUP(A894,Metrik!$C$2:$Y$959,19,0)</f>
        <v>32.2</v>
      </c>
      <c r="N894" s="21"/>
      <c r="O894" s="21"/>
      <c r="P894" s="21"/>
      <c r="Q894" s="21"/>
      <c r="R894" s="21"/>
      <c r="S894" s="21"/>
      <c r="T894" s="21"/>
      <c r="U894" s="22">
        <f>IFERROR(__xludf.DUMMYFUNCTION("IFERROR(GOOGLEFINANCE(A894,""closeyest""),"""")"),6225.0)</f>
        <v>6225</v>
      </c>
      <c r="V894" s="23">
        <f>IFERROR(__xludf.DUMMYFUNCTION("IFERROR(GOOGLEFINANCE(A894,""changepct""),"""")"),3.21)</f>
        <v>3.21</v>
      </c>
      <c r="W894" s="22">
        <f>IFERROR(__xludf.DUMMYFUNCTION("IFERROR(GOOGLEFINANCE(A894,""priceopen""),"""")"),6275.0)</f>
        <v>6275</v>
      </c>
      <c r="X894" s="22">
        <f>IFERROR(__xludf.DUMMYFUNCTION("IFERROR(GOOGLEFINANCE(A894,""high""),"""")"),6675.0)</f>
        <v>6675</v>
      </c>
      <c r="Y894" s="22">
        <f>IFERROR(__xludf.DUMMYFUNCTION("IFERROR(GOOGLEFINANCE(A894,""low""),"""")"),6275.0)</f>
        <v>6275</v>
      </c>
      <c r="Z894" s="22">
        <f>IFERROR(__xludf.DUMMYFUNCTION("IFERROR(GOOGLEFINANCE(A894,""volume""),"""")"),1.19916E7)</f>
        <v>11991600</v>
      </c>
      <c r="AA894" s="24" t="str">
        <f>VLOOKUP(A894,Metrik!$C$2:$Y$959,5,0)</f>
        <v>Processed Foods</v>
      </c>
      <c r="AB894" s="24" t="str">
        <f>VLOOKUP(A894,Metrik!$C$2:$Y$959,3,0)</f>
        <v>Consumer Non-Cyclicals</v>
      </c>
    </row>
    <row r="895">
      <c r="A895" s="14" t="s">
        <v>484</v>
      </c>
      <c r="B895" s="14" t="str">
        <f t="array" ref="B895">VLOOKUP(A895,{Metrik!$C$2:$C$998,Metrik!$B$2:$B$998},2,0)</f>
        <v>Indofood Sukses Makmur Tbk.</v>
      </c>
      <c r="C895" s="15">
        <f>IFERROR(__xludf.DUMMYFUNCTION("GOOGLEFINANCE(""IDX:""&amp;A895,""price"")"),6425.0)</f>
        <v>6425</v>
      </c>
      <c r="D895" s="16" t="str">
        <f>IFERROR(__xludf.DUMMYFUNCTION("IF(A895="""","""",
SPARKLINE(
INDEX(
GOOGLEFINANCE(""IDX:""&amp;A895,""close"",TODAY()-365,TODAY()),
,2
),
{""linewidth"",1}
))
"),"#N/A")</f>
        <v>#N/A</v>
      </c>
      <c r="E895" s="14" t="s">
        <v>39</v>
      </c>
      <c r="F895" s="25">
        <v>46356.0</v>
      </c>
      <c r="G895" s="24">
        <f t="shared" si="7"/>
        <v>18</v>
      </c>
      <c r="H895" s="19">
        <f>VLOOKUP(A895,Metrik!$C$2:$Y$959,8,0)</f>
        <v>5.6</v>
      </c>
      <c r="I895" s="20">
        <f>VLOOKUP(A895,Metrik!$C$2:$Y$959,9,0)</f>
        <v>0.48</v>
      </c>
      <c r="J895" s="20">
        <f>VLOOKUP(A895,Metrik!$C$2:$Y$959,10,0)</f>
        <v>8.7</v>
      </c>
      <c r="K895" s="20">
        <f>VLOOKUP(A895,Metrik!$C$2:$Y$959,11,0)</f>
        <v>4.8</v>
      </c>
      <c r="L895" s="20">
        <f>VLOOKUP(A895,Metrik!$C$2:$Y$959,12,0)</f>
        <v>0.8</v>
      </c>
      <c r="M895" s="20">
        <f>VLOOKUP(A895,Metrik!$C$2:$Y$959,19,0)</f>
        <v>32.2</v>
      </c>
      <c r="N895" s="21"/>
      <c r="O895" s="21"/>
      <c r="P895" s="21"/>
      <c r="Q895" s="21"/>
      <c r="R895" s="21"/>
      <c r="S895" s="21"/>
      <c r="T895" s="21"/>
      <c r="U895" s="22">
        <f>IFERROR(__xludf.DUMMYFUNCTION("IFERROR(GOOGLEFINANCE(A895,""closeyest""),"""")"),6225.0)</f>
        <v>6225</v>
      </c>
      <c r="V895" s="23">
        <f>IFERROR(__xludf.DUMMYFUNCTION("IFERROR(GOOGLEFINANCE(A895,""changepct""),"""")"),3.21)</f>
        <v>3.21</v>
      </c>
      <c r="W895" s="22">
        <f>IFERROR(__xludf.DUMMYFUNCTION("IFERROR(GOOGLEFINANCE(A895,""priceopen""),"""")"),6275.0)</f>
        <v>6275</v>
      </c>
      <c r="X895" s="22">
        <f>IFERROR(__xludf.DUMMYFUNCTION("IFERROR(GOOGLEFINANCE(A895,""high""),"""")"),6675.0)</f>
        <v>6675</v>
      </c>
      <c r="Y895" s="22">
        <f>IFERROR(__xludf.DUMMYFUNCTION("IFERROR(GOOGLEFINANCE(A895,""low""),"""")"),6275.0)</f>
        <v>6275</v>
      </c>
      <c r="Z895" s="22">
        <f>IFERROR(__xludf.DUMMYFUNCTION("IFERROR(GOOGLEFINANCE(A895,""volume""),"""")"),1.19916E7)</f>
        <v>11991600</v>
      </c>
      <c r="AA895" s="24" t="str">
        <f>VLOOKUP(A895,Metrik!$C$2:$Y$959,5,0)</f>
        <v>Processed Foods</v>
      </c>
      <c r="AB895" s="24" t="str">
        <f>VLOOKUP(A895,Metrik!$C$2:$Y$959,3,0)</f>
        <v>Consumer Non-Cyclicals</v>
      </c>
    </row>
    <row r="896">
      <c r="A896" s="14" t="s">
        <v>485</v>
      </c>
      <c r="B896" s="14" t="str">
        <f t="array" ref="B896">VLOOKUP(A896,{Metrik!$C$2:$C$998,Metrik!$B$2:$B$998},2,0)</f>
        <v>Royalindo Investa Wijaya Tbk.</v>
      </c>
      <c r="C896" s="15">
        <f>IFERROR(__xludf.DUMMYFUNCTION("GOOGLEFINANCE(""IDX:""&amp;A896,""price"")"),167.0)</f>
        <v>167</v>
      </c>
      <c r="D896" s="16" t="str">
        <f>IFERROR(__xludf.DUMMYFUNCTION("IF(A896="""","""",
SPARKLINE(
INDEX(
GOOGLEFINANCE(""IDX:""&amp;A896,""close"",TODAY()-365,TODAY()),
,2
),
{""linewidth"",1}
))
"),"#N/A")</f>
        <v>#N/A</v>
      </c>
      <c r="E896" s="26"/>
      <c r="F896" s="26"/>
      <c r="G896" s="24">
        <f t="shared" si="7"/>
        <v>0</v>
      </c>
      <c r="H896" s="19">
        <f>VLOOKUP(A896,Metrik!$C$2:$Y$959,8,0)</f>
        <v>22.1</v>
      </c>
      <c r="I896" s="20">
        <f>VLOOKUP(A896,Metrik!$C$2:$Y$959,9,0)</f>
        <v>0.63</v>
      </c>
      <c r="J896" s="20">
        <f>VLOOKUP(A896,Metrik!$C$2:$Y$959,10,0)</f>
        <v>2.9</v>
      </c>
      <c r="K896" s="20">
        <f>VLOOKUP(A896,Metrik!$C$2:$Y$959,11,0)</f>
        <v>2.8</v>
      </c>
      <c r="L896" s="20">
        <f>VLOOKUP(A896,Metrik!$C$2:$Y$959,12,0)</f>
        <v>0.01</v>
      </c>
      <c r="M896" s="20">
        <f>VLOOKUP(A896,Metrik!$C$2:$Y$959,19,0)</f>
        <v>480</v>
      </c>
      <c r="N896" s="21"/>
      <c r="O896" s="21"/>
      <c r="P896" s="21"/>
      <c r="Q896" s="21"/>
      <c r="R896" s="21"/>
      <c r="S896" s="21"/>
      <c r="T896" s="21"/>
      <c r="U896" s="22">
        <f>IFERROR(__xludf.DUMMYFUNCTION("IFERROR(GOOGLEFINANCE(A896,""closeyest""),"""")"),2.69)</f>
        <v>2.69</v>
      </c>
      <c r="V896" s="23">
        <f>IFERROR(__xludf.DUMMYFUNCTION("IFERROR(GOOGLEFINANCE(A896,""changepct""),"""")"),-2.97)</f>
        <v>-2.97</v>
      </c>
      <c r="W896" s="22">
        <f>IFERROR(__xludf.DUMMYFUNCTION("IFERROR(GOOGLEFINANCE(A896,""priceopen""),"""")"),2.68)</f>
        <v>2.68</v>
      </c>
      <c r="X896" s="22">
        <f>IFERROR(__xludf.DUMMYFUNCTION("IFERROR(GOOGLEFINANCE(A896,""high""),"""")"),2.75)</f>
        <v>2.75</v>
      </c>
      <c r="Y896" s="22">
        <f>IFERROR(__xludf.DUMMYFUNCTION("IFERROR(GOOGLEFINANCE(A896,""low""),"""")"),2.58)</f>
        <v>2.58</v>
      </c>
      <c r="Z896" s="22">
        <f>IFERROR(__xludf.DUMMYFUNCTION("IFERROR(GOOGLEFINANCE(A896,""volume""),"""")"),642345.0)</f>
        <v>642345</v>
      </c>
      <c r="AA896" s="24" t="str">
        <f>VLOOKUP(A896,Metrik!$C$2:$Y$959,5,0)</f>
        <v>Real Estate Management &amp; Development</v>
      </c>
      <c r="AB896" s="24" t="str">
        <f>VLOOKUP(A896,Metrik!$C$2:$Y$959,3,0)</f>
        <v>Properties &amp; Real Estate</v>
      </c>
    </row>
    <row r="897">
      <c r="A897" s="14" t="s">
        <v>486</v>
      </c>
      <c r="B897" s="14" t="str">
        <f t="array" ref="B897">VLOOKUP(A897,{Metrik!$C$2:$C$998,Metrik!$B$2:$B$998},2,0)</f>
        <v>Indorama Synthetics Tbk</v>
      </c>
      <c r="C897" s="15">
        <f>IFERROR(__xludf.DUMMYFUNCTION("GOOGLEFINANCE(""IDX:""&amp;A897,""price"")"),1805.0)</f>
        <v>1805</v>
      </c>
      <c r="D897" s="16" t="str">
        <f>IFERROR(__xludf.DUMMYFUNCTION("IF(A897="""","""",
SPARKLINE(
INDEX(
GOOGLEFINANCE(""IDX:""&amp;A897,""close"",TODAY()-365,TODAY()),
,2
),
{""linewidth"",1}
))
"),"#N/A")</f>
        <v>#N/A</v>
      </c>
      <c r="E897" s="26"/>
      <c r="F897" s="26"/>
      <c r="G897" s="24">
        <f t="shared" si="7"/>
        <v>0</v>
      </c>
      <c r="H897" s="19">
        <f>VLOOKUP(A897,Metrik!$C$2:$Y$959,8,0)</f>
        <v>-4.6</v>
      </c>
      <c r="I897" s="20">
        <f>VLOOKUP(A897,Metrik!$C$2:$Y$959,9,0)</f>
        <v>0.22</v>
      </c>
      <c r="J897" s="20">
        <f>VLOOKUP(A897,Metrik!$C$2:$Y$959,10,0)</f>
        <v>-4.9</v>
      </c>
      <c r="K897" s="20">
        <f>VLOOKUP(A897,Metrik!$C$2:$Y$959,11,0)</f>
        <v>-2.4</v>
      </c>
      <c r="L897" s="20">
        <f>VLOOKUP(A897,Metrik!$C$2:$Y$959,12,0)</f>
        <v>1.1</v>
      </c>
      <c r="M897" s="20">
        <f>VLOOKUP(A897,Metrik!$C$2:$Y$959,19,0)</f>
        <v>-9.5</v>
      </c>
      <c r="N897" s="21"/>
      <c r="O897" s="21"/>
      <c r="P897" s="21"/>
      <c r="Q897" s="21"/>
      <c r="R897" s="21"/>
      <c r="S897" s="21"/>
      <c r="T897" s="21"/>
      <c r="U897" s="22">
        <f>IFERROR(__xludf.DUMMYFUNCTION("IFERROR(GOOGLEFINANCE(A897,""closeyest""),"""")"),0.0)</f>
        <v>0</v>
      </c>
      <c r="V897" s="23">
        <f>IFERROR(__xludf.DUMMYFUNCTION("IFERROR(GOOGLEFINANCE(A897,""changepct""),"""")"),0.0)</f>
        <v>0</v>
      </c>
      <c r="W897" s="22" t="str">
        <f>IFERROR(__xludf.DUMMYFUNCTION("IFERROR(GOOGLEFINANCE(A897,""priceopen""),"""")"),"")</f>
        <v/>
      </c>
      <c r="X897" s="22" t="str">
        <f>IFERROR(__xludf.DUMMYFUNCTION("IFERROR(GOOGLEFINANCE(A897,""high""),"""")"),"")</f>
        <v/>
      </c>
      <c r="Y897" s="22" t="str">
        <f>IFERROR(__xludf.DUMMYFUNCTION("IFERROR(GOOGLEFINANCE(A897,""low""),"""")"),"")</f>
        <v/>
      </c>
      <c r="Z897" s="22">
        <f>IFERROR(__xludf.DUMMYFUNCTION("IFERROR(GOOGLEFINANCE(A897,""volume""),"""")"),0.0)</f>
        <v>0</v>
      </c>
      <c r="AA897" s="24" t="str">
        <f>VLOOKUP(A897,Metrik!$C$2:$Y$959,5,0)</f>
        <v>Apparel &amp; Luxury Goods</v>
      </c>
      <c r="AB897" s="24" t="str">
        <f>VLOOKUP(A897,Metrik!$C$2:$Y$959,3,0)</f>
        <v>Consumer Cyclicals</v>
      </c>
    </row>
    <row r="898">
      <c r="A898" s="14" t="s">
        <v>487</v>
      </c>
      <c r="B898" s="14" t="str">
        <f t="array" ref="B898">VLOOKUP(A898,{Metrik!$C$2:$C$998,Metrik!$B$2:$B$998},2,0)</f>
        <v>Indospring Tbk.</v>
      </c>
      <c r="C898" s="15">
        <f>IFERROR(__xludf.DUMMYFUNCTION("GOOGLEFINANCE(""IDX:""&amp;A898,""price"")"),272.0)</f>
        <v>272</v>
      </c>
      <c r="D898" s="16" t="str">
        <f>IFERROR(__xludf.DUMMYFUNCTION("IF(A898="""","""",
SPARKLINE(
INDEX(
GOOGLEFINANCE(""IDX:""&amp;A898,""close"",TODAY()-365,TODAY()),
,2
),
{""linewidth"",1}
))
"),"#N/A")</f>
        <v>#N/A</v>
      </c>
      <c r="E898" s="26"/>
      <c r="F898" s="26"/>
      <c r="G898" s="24">
        <f t="shared" si="7"/>
        <v>0</v>
      </c>
      <c r="H898" s="19">
        <f>VLOOKUP(A898,Metrik!$C$2:$Y$959,8,0)</f>
        <v>34.5</v>
      </c>
      <c r="I898" s="20">
        <f>VLOOKUP(A898,Metrik!$C$2:$Y$959,9,0)</f>
        <v>0.53</v>
      </c>
      <c r="J898" s="20">
        <f>VLOOKUP(A898,Metrik!$C$2:$Y$959,10,0)</f>
        <v>1.5</v>
      </c>
      <c r="K898" s="20">
        <f>VLOOKUP(A898,Metrik!$C$2:$Y$959,11,0)</f>
        <v>1.2</v>
      </c>
      <c r="L898" s="20">
        <f>VLOOKUP(A898,Metrik!$C$2:$Y$959,12,0)</f>
        <v>0.25</v>
      </c>
      <c r="M898" s="20">
        <f>VLOOKUP(A898,Metrik!$C$2:$Y$959,19,0)</f>
        <v>6.5</v>
      </c>
      <c r="N898" s="21"/>
      <c r="O898" s="21"/>
      <c r="P898" s="21"/>
      <c r="Q898" s="21"/>
      <c r="R898" s="21"/>
      <c r="S898" s="21"/>
      <c r="T898" s="21"/>
      <c r="U898" s="22">
        <f>IFERROR(__xludf.DUMMYFUNCTION("IFERROR(GOOGLEFINANCE(A898,""closeyest""),"""")"),40.84)</f>
        <v>40.84</v>
      </c>
      <c r="V898" s="23">
        <f>IFERROR(__xludf.DUMMYFUNCTION("IFERROR(GOOGLEFINANCE(A898,""changepct""),"""")"),0.22)</f>
        <v>0.22</v>
      </c>
      <c r="W898" s="22">
        <f>IFERROR(__xludf.DUMMYFUNCTION("IFERROR(GOOGLEFINANCE(A898,""priceopen""),"""")"),40.77)</f>
        <v>40.77</v>
      </c>
      <c r="X898" s="22">
        <f>IFERROR(__xludf.DUMMYFUNCTION("IFERROR(GOOGLEFINANCE(A898,""high""),"""")"),40.93)</f>
        <v>40.93</v>
      </c>
      <c r="Y898" s="22">
        <f>IFERROR(__xludf.DUMMYFUNCTION("IFERROR(GOOGLEFINANCE(A898,""low""),"""")"),40.77)</f>
        <v>40.77</v>
      </c>
      <c r="Z898" s="22" t="str">
        <f>IFERROR(__xludf.DUMMYFUNCTION("IFERROR(GOOGLEFINANCE(A898,""volume""),"""")"),"")</f>
        <v/>
      </c>
      <c r="AA898" s="24" t="str">
        <f>VLOOKUP(A898,Metrik!$C$2:$Y$959,5,0)</f>
        <v>Auto Components</v>
      </c>
      <c r="AB898" s="24" t="str">
        <f>VLOOKUP(A898,Metrik!$C$2:$Y$959,3,0)</f>
        <v>Consumer Cyclicals</v>
      </c>
    </row>
    <row r="899">
      <c r="A899" s="14" t="s">
        <v>488</v>
      </c>
      <c r="B899" s="14" t="str">
        <f t="array" ref="B899">VLOOKUP(A899,{Metrik!$C$2:$C$998,Metrik!$B$2:$B$998},2,0)</f>
        <v>Tanah Laut Tbk</v>
      </c>
      <c r="C899" s="15">
        <f>IFERROR(__xludf.DUMMYFUNCTION("GOOGLEFINANCE(""IDX:""&amp;A899,""price"")"),65.0)</f>
        <v>65</v>
      </c>
      <c r="D899" s="16" t="str">
        <f>IFERROR(__xludf.DUMMYFUNCTION("IF(A899="""","""",
SPARKLINE(
INDEX(
GOOGLEFINANCE(""IDX:""&amp;A899,""close"",TODAY()-365,TODAY()),
,2
),
{""linewidth"",1}
))
"),"#N/A")</f>
        <v>#N/A</v>
      </c>
      <c r="E899" s="26"/>
      <c r="F899" s="26"/>
      <c r="G899" s="24">
        <f t="shared" si="7"/>
        <v>0</v>
      </c>
      <c r="H899" s="19">
        <f>VLOOKUP(A899,Metrik!$C$2:$Y$959,8,0)</f>
        <v>-4.2</v>
      </c>
      <c r="I899" s="20">
        <f>VLOOKUP(A899,Metrik!$C$2:$Y$959,9,0)</f>
        <v>1.6</v>
      </c>
      <c r="J899" s="20">
        <f>VLOOKUP(A899,Metrik!$C$2:$Y$959,10,0)</f>
        <v>-37.4</v>
      </c>
      <c r="K899" s="20">
        <f>VLOOKUP(A899,Metrik!$C$2:$Y$959,11,0)</f>
        <v>-18.7</v>
      </c>
      <c r="L899" s="20">
        <f>VLOOKUP(A899,Metrik!$C$2:$Y$959,12,0)</f>
        <v>1</v>
      </c>
      <c r="M899" s="20">
        <f>VLOOKUP(A899,Metrik!$C$2:$Y$959,19,0)</f>
        <v>-4500</v>
      </c>
      <c r="N899" s="21"/>
      <c r="O899" s="21"/>
      <c r="P899" s="21"/>
      <c r="Q899" s="21"/>
      <c r="R899" s="21"/>
      <c r="S899" s="21"/>
      <c r="T899" s="21"/>
      <c r="U899" s="22">
        <f>IFERROR(__xludf.DUMMYFUNCTION("IFERROR(GOOGLEFINANCE(A899,""closeyest""),"""")"),60.0)</f>
        <v>60</v>
      </c>
      <c r="V899" s="23">
        <f>IFERROR(__xludf.DUMMYFUNCTION("IFERROR(GOOGLEFINANCE(A899,""changepct""),"""")"),8.33)</f>
        <v>8.33</v>
      </c>
      <c r="W899" s="22">
        <f>IFERROR(__xludf.DUMMYFUNCTION("IFERROR(GOOGLEFINANCE(A899,""priceopen""),"""")"),60.0)</f>
        <v>60</v>
      </c>
      <c r="X899" s="22">
        <f>IFERROR(__xludf.DUMMYFUNCTION("IFERROR(GOOGLEFINANCE(A899,""high""),"""")"),72.0)</f>
        <v>72</v>
      </c>
      <c r="Y899" s="22">
        <f>IFERROR(__xludf.DUMMYFUNCTION("IFERROR(GOOGLEFINANCE(A899,""low""),"""")"),59.0)</f>
        <v>59</v>
      </c>
      <c r="Z899" s="22">
        <f>IFERROR(__xludf.DUMMYFUNCTION("IFERROR(GOOGLEFINANCE(A899,""volume""),"""")"),1.15684E7)</f>
        <v>11568400</v>
      </c>
      <c r="AA899" s="24" t="str">
        <f>VLOOKUP(A899,Metrik!$C$2:$Y$959,5,0)</f>
        <v>Professional Services</v>
      </c>
      <c r="AB899" s="24" t="str">
        <f>VLOOKUP(A899,Metrik!$C$2:$Y$959,3,0)</f>
        <v>Industrials</v>
      </c>
    </row>
    <row r="900">
      <c r="A900" s="14" t="s">
        <v>489</v>
      </c>
      <c r="B900" s="14" t="str">
        <f t="array" ref="B900">VLOOKUP(A900,{Metrik!$C$2:$C$998,Metrik!$B$2:$B$998},2,0)</f>
        <v>Indika Energy Tbk.</v>
      </c>
      <c r="C900" s="15">
        <f>IFERROR(__xludf.DUMMYFUNCTION("GOOGLEFINANCE(""IDX:""&amp;A900,""price"")"),2260.0)</f>
        <v>2260</v>
      </c>
      <c r="D900" s="16" t="str">
        <f>IFERROR(__xludf.DUMMYFUNCTION("IF(A900="""","""",
SPARKLINE(
INDEX(
GOOGLEFINANCE(""IDX:""&amp;A900,""close"",TODAY()-365,TODAY()),
,2
),
{""linewidth"",1}
))
"),"#N/A")</f>
        <v>#N/A</v>
      </c>
      <c r="E900" s="14" t="s">
        <v>32</v>
      </c>
      <c r="F900" s="14" t="s">
        <v>29</v>
      </c>
      <c r="G900" s="24">
        <f t="shared" si="7"/>
        <v>4</v>
      </c>
      <c r="H900" s="19">
        <f>VLOOKUP(A900,Metrik!$C$2:$Y$959,8,0)</f>
        <v>68.9</v>
      </c>
      <c r="I900" s="20">
        <f>VLOOKUP(A900,Metrik!$C$2:$Y$959,9,0)</f>
        <v>0.52</v>
      </c>
      <c r="J900" s="20">
        <f>VLOOKUP(A900,Metrik!$C$2:$Y$959,10,0)</f>
        <v>0.75</v>
      </c>
      <c r="K900" s="20">
        <f>VLOOKUP(A900,Metrik!$C$2:$Y$959,11,0)</f>
        <v>0.34</v>
      </c>
      <c r="L900" s="20">
        <f>VLOOKUP(A900,Metrik!$C$2:$Y$959,12,0)</f>
        <v>1.2</v>
      </c>
      <c r="M900" s="20">
        <f>VLOOKUP(A900,Metrik!$C$2:$Y$959,19,0)</f>
        <v>2.1</v>
      </c>
      <c r="N900" s="21"/>
      <c r="O900" s="21"/>
      <c r="P900" s="21"/>
      <c r="Q900" s="21"/>
      <c r="R900" s="21"/>
      <c r="S900" s="21"/>
      <c r="T900" s="21"/>
      <c r="U900" s="22">
        <f>IFERROR(__xludf.DUMMYFUNCTION("IFERROR(GOOGLEFINANCE(A900,""closeyest""),"""")"),42.23)</f>
        <v>42.23</v>
      </c>
      <c r="V900" s="23">
        <f>IFERROR(__xludf.DUMMYFUNCTION("IFERROR(GOOGLEFINANCE(A900,""changepct""),"""")"),1.11)</f>
        <v>1.11</v>
      </c>
      <c r="W900" s="22">
        <f>IFERROR(__xludf.DUMMYFUNCTION("IFERROR(GOOGLEFINANCE(A900,""priceopen""),"""")"),42.69)</f>
        <v>42.69</v>
      </c>
      <c r="X900" s="22">
        <f>IFERROR(__xludf.DUMMYFUNCTION("IFERROR(GOOGLEFINANCE(A900,""high""),"""")"),42.9)</f>
        <v>42.9</v>
      </c>
      <c r="Y900" s="22">
        <f>IFERROR(__xludf.DUMMYFUNCTION("IFERROR(GOOGLEFINANCE(A900,""low""),"""")"),42.58)</f>
        <v>42.58</v>
      </c>
      <c r="Z900" s="22">
        <f>IFERROR(__xludf.DUMMYFUNCTION("IFERROR(GOOGLEFINANCE(A900,""volume""),"""")"),229335.0)</f>
        <v>229335</v>
      </c>
      <c r="AA900" s="24" t="str">
        <f>VLOOKUP(A900,Metrik!$C$2:$Y$959,5,0)</f>
        <v>Coal</v>
      </c>
      <c r="AB900" s="24" t="str">
        <f>VLOOKUP(A900,Metrik!$C$2:$Y$959,3,0)</f>
        <v>Energy</v>
      </c>
    </row>
    <row r="901">
      <c r="A901" s="14" t="s">
        <v>489</v>
      </c>
      <c r="B901" s="14" t="str">
        <f t="array" ref="B901">VLOOKUP(A901,{Metrik!$C$2:$C$998,Metrik!$B$2:$B$998},2,0)</f>
        <v>Indika Energy Tbk.</v>
      </c>
      <c r="C901" s="15">
        <f>IFERROR(__xludf.DUMMYFUNCTION("GOOGLEFINANCE(""IDX:""&amp;A901,""price"")"),2260.0)</f>
        <v>2260</v>
      </c>
      <c r="D901" s="16" t="str">
        <f>IFERROR(__xludf.DUMMYFUNCTION("IF(A901="""","""",
SPARKLINE(
INDEX(
GOOGLEFINANCE(""IDX:""&amp;A901,""close"",TODAY()-365,TODAY()),
,2
),
{""linewidth"",1}
))
"),"#N/A")</f>
        <v>#N/A</v>
      </c>
      <c r="E901" s="14" t="s">
        <v>28</v>
      </c>
      <c r="F901" s="17" t="s">
        <v>29</v>
      </c>
      <c r="G901" s="24">
        <f t="shared" si="7"/>
        <v>4</v>
      </c>
      <c r="H901" s="19">
        <f>VLOOKUP(A901,Metrik!$C$2:$Y$959,8,0)</f>
        <v>68.9</v>
      </c>
      <c r="I901" s="20">
        <f>VLOOKUP(A901,Metrik!$C$2:$Y$959,9,0)</f>
        <v>0.52</v>
      </c>
      <c r="J901" s="20">
        <f>VLOOKUP(A901,Metrik!$C$2:$Y$959,10,0)</f>
        <v>0.75</v>
      </c>
      <c r="K901" s="20">
        <f>VLOOKUP(A901,Metrik!$C$2:$Y$959,11,0)</f>
        <v>0.34</v>
      </c>
      <c r="L901" s="20">
        <f>VLOOKUP(A901,Metrik!$C$2:$Y$959,12,0)</f>
        <v>1.2</v>
      </c>
      <c r="M901" s="20">
        <f>VLOOKUP(A901,Metrik!$C$2:$Y$959,19,0)</f>
        <v>2.1</v>
      </c>
      <c r="N901" s="21"/>
      <c r="O901" s="21"/>
      <c r="P901" s="21"/>
      <c r="Q901" s="21"/>
      <c r="R901" s="21"/>
      <c r="S901" s="21"/>
      <c r="T901" s="21"/>
      <c r="U901" s="22">
        <f>IFERROR(__xludf.DUMMYFUNCTION("IFERROR(GOOGLEFINANCE(A901,""closeyest""),"""")"),42.23)</f>
        <v>42.23</v>
      </c>
      <c r="V901" s="23">
        <f>IFERROR(__xludf.DUMMYFUNCTION("IFERROR(GOOGLEFINANCE(A901,""changepct""),"""")"),1.11)</f>
        <v>1.11</v>
      </c>
      <c r="W901" s="22">
        <f>IFERROR(__xludf.DUMMYFUNCTION("IFERROR(GOOGLEFINANCE(A901,""priceopen""),"""")"),42.69)</f>
        <v>42.69</v>
      </c>
      <c r="X901" s="22">
        <f>IFERROR(__xludf.DUMMYFUNCTION("IFERROR(GOOGLEFINANCE(A901,""high""),"""")"),42.9)</f>
        <v>42.9</v>
      </c>
      <c r="Y901" s="22">
        <f>IFERROR(__xludf.DUMMYFUNCTION("IFERROR(GOOGLEFINANCE(A901,""low""),"""")"),42.58)</f>
        <v>42.58</v>
      </c>
      <c r="Z901" s="22">
        <f>IFERROR(__xludf.DUMMYFUNCTION("IFERROR(GOOGLEFINANCE(A901,""volume""),"""")"),229335.0)</f>
        <v>229335</v>
      </c>
      <c r="AA901" s="24" t="str">
        <f>VLOOKUP(A901,Metrik!$C$2:$Y$959,5,0)</f>
        <v>Coal</v>
      </c>
      <c r="AB901" s="24" t="str">
        <f>VLOOKUP(A901,Metrik!$C$2:$Y$959,3,0)</f>
        <v>Energy</v>
      </c>
    </row>
    <row r="902">
      <c r="A902" s="14" t="s">
        <v>489</v>
      </c>
      <c r="B902" s="14" t="str">
        <f t="array" ref="B902">VLOOKUP(A902,{Metrik!$C$2:$C$998,Metrik!$B$2:$B$998},2,0)</f>
        <v>Indika Energy Tbk.</v>
      </c>
      <c r="C902" s="15">
        <f>IFERROR(__xludf.DUMMYFUNCTION("GOOGLEFINANCE(""IDX:""&amp;A902,""price"")"),2260.0)</f>
        <v>2260</v>
      </c>
      <c r="D902" s="16" t="str">
        <f>IFERROR(__xludf.DUMMYFUNCTION("IF(A902="""","""",
SPARKLINE(
INDEX(
GOOGLEFINANCE(""IDX:""&amp;A902,""close"",TODAY()-365,TODAY()),
,2
),
{""linewidth"",1}
))
"),"#N/A")</f>
        <v>#N/A</v>
      </c>
      <c r="E902" s="14" t="s">
        <v>41</v>
      </c>
      <c r="F902" s="14" t="s">
        <v>34</v>
      </c>
      <c r="G902" s="24">
        <f t="shared" si="7"/>
        <v>4</v>
      </c>
      <c r="H902" s="19">
        <f>VLOOKUP(A902,Metrik!$C$2:$Y$959,8,0)</f>
        <v>68.9</v>
      </c>
      <c r="I902" s="20">
        <f>VLOOKUP(A902,Metrik!$C$2:$Y$959,9,0)</f>
        <v>0.52</v>
      </c>
      <c r="J902" s="20">
        <f>VLOOKUP(A902,Metrik!$C$2:$Y$959,10,0)</f>
        <v>0.75</v>
      </c>
      <c r="K902" s="20">
        <f>VLOOKUP(A902,Metrik!$C$2:$Y$959,11,0)</f>
        <v>0.34</v>
      </c>
      <c r="L902" s="20">
        <f>VLOOKUP(A902,Metrik!$C$2:$Y$959,12,0)</f>
        <v>1.2</v>
      </c>
      <c r="M902" s="20">
        <f>VLOOKUP(A902,Metrik!$C$2:$Y$959,19,0)</f>
        <v>2.1</v>
      </c>
      <c r="N902" s="21"/>
      <c r="O902" s="21"/>
      <c r="P902" s="21"/>
      <c r="Q902" s="21"/>
      <c r="R902" s="21"/>
      <c r="S902" s="21"/>
      <c r="T902" s="21"/>
      <c r="U902" s="22">
        <f>IFERROR(__xludf.DUMMYFUNCTION("IFERROR(GOOGLEFINANCE(A902,""closeyest""),"""")"),42.23)</f>
        <v>42.23</v>
      </c>
      <c r="V902" s="23">
        <f>IFERROR(__xludf.DUMMYFUNCTION("IFERROR(GOOGLEFINANCE(A902,""changepct""),"""")"),1.11)</f>
        <v>1.11</v>
      </c>
      <c r="W902" s="22">
        <f>IFERROR(__xludf.DUMMYFUNCTION("IFERROR(GOOGLEFINANCE(A902,""priceopen""),"""")"),42.69)</f>
        <v>42.69</v>
      </c>
      <c r="X902" s="22">
        <f>IFERROR(__xludf.DUMMYFUNCTION("IFERROR(GOOGLEFINANCE(A902,""high""),"""")"),42.9)</f>
        <v>42.9</v>
      </c>
      <c r="Y902" s="22">
        <f>IFERROR(__xludf.DUMMYFUNCTION("IFERROR(GOOGLEFINANCE(A902,""low""),"""")"),42.58)</f>
        <v>42.58</v>
      </c>
      <c r="Z902" s="22">
        <f>IFERROR(__xludf.DUMMYFUNCTION("IFERROR(GOOGLEFINANCE(A902,""volume""),"""")"),229335.0)</f>
        <v>229335</v>
      </c>
      <c r="AA902" s="24" t="str">
        <f>VLOOKUP(A902,Metrik!$C$2:$Y$959,5,0)</f>
        <v>Coal</v>
      </c>
      <c r="AB902" s="24" t="str">
        <f>VLOOKUP(A902,Metrik!$C$2:$Y$959,3,0)</f>
        <v>Energy</v>
      </c>
    </row>
    <row r="903">
      <c r="A903" s="14" t="s">
        <v>489</v>
      </c>
      <c r="B903" s="14" t="str">
        <f t="array" ref="B903">VLOOKUP(A903,{Metrik!$C$2:$C$998,Metrik!$B$2:$B$998},2,0)</f>
        <v>Indika Energy Tbk.</v>
      </c>
      <c r="C903" s="15">
        <f>IFERROR(__xludf.DUMMYFUNCTION("GOOGLEFINANCE(""IDX:""&amp;A903,""price"")"),2260.0)</f>
        <v>2260</v>
      </c>
      <c r="D903" s="16" t="str">
        <f>IFERROR(__xludf.DUMMYFUNCTION("IF(A903="""","""",
SPARKLINE(
INDEX(
GOOGLEFINANCE(""IDX:""&amp;A903,""close"",TODAY()-365,TODAY()),
,2
),
{""linewidth"",1}
))
"),"#N/A")</f>
        <v>#N/A</v>
      </c>
      <c r="E903" s="14" t="s">
        <v>39</v>
      </c>
      <c r="F903" s="25">
        <v>46356.0</v>
      </c>
      <c r="G903" s="24">
        <f t="shared" si="7"/>
        <v>4</v>
      </c>
      <c r="H903" s="19">
        <f>VLOOKUP(A903,Metrik!$C$2:$Y$959,8,0)</f>
        <v>68.9</v>
      </c>
      <c r="I903" s="20">
        <f>VLOOKUP(A903,Metrik!$C$2:$Y$959,9,0)</f>
        <v>0.52</v>
      </c>
      <c r="J903" s="20">
        <f>VLOOKUP(A903,Metrik!$C$2:$Y$959,10,0)</f>
        <v>0.75</v>
      </c>
      <c r="K903" s="20">
        <f>VLOOKUP(A903,Metrik!$C$2:$Y$959,11,0)</f>
        <v>0.34</v>
      </c>
      <c r="L903" s="20">
        <f>VLOOKUP(A903,Metrik!$C$2:$Y$959,12,0)</f>
        <v>1.2</v>
      </c>
      <c r="M903" s="20">
        <f>VLOOKUP(A903,Metrik!$C$2:$Y$959,19,0)</f>
        <v>2.1</v>
      </c>
      <c r="N903" s="21"/>
      <c r="O903" s="21"/>
      <c r="P903" s="21"/>
      <c r="Q903" s="21"/>
      <c r="R903" s="21"/>
      <c r="S903" s="21"/>
      <c r="T903" s="21"/>
      <c r="U903" s="22">
        <f>IFERROR(__xludf.DUMMYFUNCTION("IFERROR(GOOGLEFINANCE(A903,""closeyest""),"""")"),42.23)</f>
        <v>42.23</v>
      </c>
      <c r="V903" s="23">
        <f>IFERROR(__xludf.DUMMYFUNCTION("IFERROR(GOOGLEFINANCE(A903,""changepct""),"""")"),1.11)</f>
        <v>1.11</v>
      </c>
      <c r="W903" s="22">
        <f>IFERROR(__xludf.DUMMYFUNCTION("IFERROR(GOOGLEFINANCE(A903,""priceopen""),"""")"),42.69)</f>
        <v>42.69</v>
      </c>
      <c r="X903" s="22">
        <f>IFERROR(__xludf.DUMMYFUNCTION("IFERROR(GOOGLEFINANCE(A903,""high""),"""")"),42.9)</f>
        <v>42.9</v>
      </c>
      <c r="Y903" s="22">
        <f>IFERROR(__xludf.DUMMYFUNCTION("IFERROR(GOOGLEFINANCE(A903,""low""),"""")"),42.58)</f>
        <v>42.58</v>
      </c>
      <c r="Z903" s="22">
        <f>IFERROR(__xludf.DUMMYFUNCTION("IFERROR(GOOGLEFINANCE(A903,""volume""),"""")"),229335.0)</f>
        <v>229335</v>
      </c>
      <c r="AA903" s="24" t="str">
        <f>VLOOKUP(A903,Metrik!$C$2:$Y$959,5,0)</f>
        <v>Coal</v>
      </c>
      <c r="AB903" s="24" t="str">
        <f>VLOOKUP(A903,Metrik!$C$2:$Y$959,3,0)</f>
        <v>Energy</v>
      </c>
    </row>
    <row r="904">
      <c r="A904" s="14" t="s">
        <v>490</v>
      </c>
      <c r="B904" s="14" t="str">
        <f t="array" ref="B904">VLOOKUP(A904,{Metrik!$C$2:$C$998,Metrik!$B$2:$B$998},2,0)</f>
        <v>PT Sinergi Inti Andalan Prima Tbk.</v>
      </c>
      <c r="C904" s="15">
        <f>IFERROR(__xludf.DUMMYFUNCTION("GOOGLEFINANCE(""IDX:""&amp;A904,""price"")"),199.0)</f>
        <v>199</v>
      </c>
      <c r="D904" s="16" t="str">
        <f>IFERROR(__xludf.DUMMYFUNCTION("IF(A904="""","""",
SPARKLINE(
INDEX(
GOOGLEFINANCE(""IDX:""&amp;A904,""close"",TODAY()-365,TODAY()),
,2
),
{""linewidth"",1}
))
"),"#N/A")</f>
        <v>#N/A</v>
      </c>
      <c r="E904" s="14" t="s">
        <v>32</v>
      </c>
      <c r="F904" s="14" t="s">
        <v>29</v>
      </c>
      <c r="G904" s="24">
        <f t="shared" si="7"/>
        <v>2</v>
      </c>
      <c r="H904" s="19">
        <f>VLOOKUP(A904,Metrik!$C$2:$Y$959,8,0)</f>
        <v>140</v>
      </c>
      <c r="I904" s="20">
        <f>VLOOKUP(A904,Metrik!$C$2:$Y$959,9,0)</f>
        <v>1.4</v>
      </c>
      <c r="J904" s="20">
        <f>VLOOKUP(A904,Metrik!$C$2:$Y$959,10,0)</f>
        <v>0.98</v>
      </c>
      <c r="K904" s="20">
        <f>VLOOKUP(A904,Metrik!$C$2:$Y$959,11,0)</f>
        <v>0.64</v>
      </c>
      <c r="L904" s="20">
        <f>VLOOKUP(A904,Metrik!$C$2:$Y$959,12,0)</f>
        <v>0.52</v>
      </c>
      <c r="M904" s="20">
        <f>VLOOKUP(A904,Metrik!$C$2:$Y$959,19,0)</f>
        <v>9.5</v>
      </c>
      <c r="N904" s="21"/>
      <c r="O904" s="21"/>
      <c r="P904" s="21"/>
      <c r="Q904" s="21"/>
      <c r="R904" s="21"/>
      <c r="S904" s="21"/>
      <c r="T904" s="21"/>
      <c r="U904" s="22" t="str">
        <f>IFERROR(__xludf.DUMMYFUNCTION("IFERROR(GOOGLEFINANCE(A904,""closeyest""),"""")"),"")</f>
        <v/>
      </c>
      <c r="V904" s="23" t="str">
        <f>IFERROR(__xludf.DUMMYFUNCTION("IFERROR(GOOGLEFINANCE(A904,""changepct""),"""")"),"")</f>
        <v/>
      </c>
      <c r="W904" s="22" t="str">
        <f>IFERROR(__xludf.DUMMYFUNCTION("IFERROR(GOOGLEFINANCE(A904,""priceopen""),"""")"),"")</f>
        <v/>
      </c>
      <c r="X904" s="22" t="str">
        <f>IFERROR(__xludf.DUMMYFUNCTION("IFERROR(GOOGLEFINANCE(A904,""high""),"""")"),"")</f>
        <v/>
      </c>
      <c r="Y904" s="22" t="str">
        <f>IFERROR(__xludf.DUMMYFUNCTION("IFERROR(GOOGLEFINANCE(A904,""low""),"""")"),"")</f>
        <v/>
      </c>
      <c r="Z904" s="22" t="str">
        <f>IFERROR(__xludf.DUMMYFUNCTION("IFERROR(GOOGLEFINANCE(A904,""volume""),"""")"),"")</f>
        <v/>
      </c>
      <c r="AA904" s="24" t="str">
        <f>VLOOKUP(A904,Metrik!$C$2:$Y$959,5,0)</f>
        <v>Telecommunication Service</v>
      </c>
      <c r="AB904" s="24" t="str">
        <f>VLOOKUP(A904,Metrik!$C$2:$Y$959,3,0)</f>
        <v>Infrastructures</v>
      </c>
    </row>
    <row r="905">
      <c r="A905" s="14" t="s">
        <v>490</v>
      </c>
      <c r="B905" s="14" t="str">
        <f t="array" ref="B905">VLOOKUP(A905,{Metrik!$C$2:$C$998,Metrik!$B$2:$B$998},2,0)</f>
        <v>PT Sinergi Inti Andalan Prima Tbk.</v>
      </c>
      <c r="C905" s="15">
        <f>IFERROR(__xludf.DUMMYFUNCTION("GOOGLEFINANCE(""IDX:""&amp;A905,""price"")"),199.0)</f>
        <v>199</v>
      </c>
      <c r="D905" s="16" t="str">
        <f>IFERROR(__xludf.DUMMYFUNCTION("IF(A905="""","""",
SPARKLINE(
INDEX(
GOOGLEFINANCE(""IDX:""&amp;A905,""close"",TODAY()-365,TODAY()),
,2
),
{""linewidth"",1}
))
"),"#N/A")</f>
        <v>#N/A</v>
      </c>
      <c r="E905" s="14" t="s">
        <v>41</v>
      </c>
      <c r="F905" s="14" t="s">
        <v>34</v>
      </c>
      <c r="G905" s="24">
        <f t="shared" si="7"/>
        <v>2</v>
      </c>
      <c r="H905" s="19">
        <f>VLOOKUP(A905,Metrik!$C$2:$Y$959,8,0)</f>
        <v>140</v>
      </c>
      <c r="I905" s="20">
        <f>VLOOKUP(A905,Metrik!$C$2:$Y$959,9,0)</f>
        <v>1.4</v>
      </c>
      <c r="J905" s="20">
        <f>VLOOKUP(A905,Metrik!$C$2:$Y$959,10,0)</f>
        <v>0.98</v>
      </c>
      <c r="K905" s="20">
        <f>VLOOKUP(A905,Metrik!$C$2:$Y$959,11,0)</f>
        <v>0.64</v>
      </c>
      <c r="L905" s="20">
        <f>VLOOKUP(A905,Metrik!$C$2:$Y$959,12,0)</f>
        <v>0.52</v>
      </c>
      <c r="M905" s="20">
        <f>VLOOKUP(A905,Metrik!$C$2:$Y$959,19,0)</f>
        <v>9.5</v>
      </c>
      <c r="N905" s="21"/>
      <c r="O905" s="21"/>
      <c r="P905" s="21"/>
      <c r="Q905" s="21"/>
      <c r="R905" s="21"/>
      <c r="S905" s="21"/>
      <c r="T905" s="21"/>
      <c r="U905" s="22" t="str">
        <f>IFERROR(__xludf.DUMMYFUNCTION("IFERROR(GOOGLEFINANCE(A905,""closeyest""),"""")"),"")</f>
        <v/>
      </c>
      <c r="V905" s="23" t="str">
        <f>IFERROR(__xludf.DUMMYFUNCTION("IFERROR(GOOGLEFINANCE(A905,""changepct""),"""")"),"")</f>
        <v/>
      </c>
      <c r="W905" s="22" t="str">
        <f>IFERROR(__xludf.DUMMYFUNCTION("IFERROR(GOOGLEFINANCE(A905,""priceopen""),"""")"),"")</f>
        <v/>
      </c>
      <c r="X905" s="22" t="str">
        <f>IFERROR(__xludf.DUMMYFUNCTION("IFERROR(GOOGLEFINANCE(A905,""high""),"""")"),"")</f>
        <v/>
      </c>
      <c r="Y905" s="22" t="str">
        <f>IFERROR(__xludf.DUMMYFUNCTION("IFERROR(GOOGLEFINANCE(A905,""low""),"""")"),"")</f>
        <v/>
      </c>
      <c r="Z905" s="22" t="str">
        <f>IFERROR(__xludf.DUMMYFUNCTION("IFERROR(GOOGLEFINANCE(A905,""volume""),"""")"),"")</f>
        <v/>
      </c>
      <c r="AA905" s="24" t="str">
        <f>VLOOKUP(A905,Metrik!$C$2:$Y$959,5,0)</f>
        <v>Telecommunication Service</v>
      </c>
      <c r="AB905" s="24" t="str">
        <f>VLOOKUP(A905,Metrik!$C$2:$Y$959,3,0)</f>
        <v>Infrastructures</v>
      </c>
    </row>
    <row r="906">
      <c r="A906" s="14" t="s">
        <v>491</v>
      </c>
      <c r="B906" s="14" t="str">
        <f t="array" ref="B906">VLOOKUP(A906,{Metrik!$C$2:$C$998,Metrik!$B$2:$B$998},2,0)</f>
        <v>Indah Kiat Pulp &amp; Paper Tbk.</v>
      </c>
      <c r="C906" s="15">
        <f>IFERROR(__xludf.DUMMYFUNCTION("GOOGLEFINANCE(""IDX:""&amp;A906,""price"")"),7700.0)</f>
        <v>7700</v>
      </c>
      <c r="D906" s="16" t="str">
        <f>IFERROR(__xludf.DUMMYFUNCTION("IF(A906="""","""",
SPARKLINE(
INDEX(
GOOGLEFINANCE(""IDX:""&amp;A906,""close"",TODAY()-365,TODAY()),
,2
),
{""linewidth"",1}
))
"),"#N/A")</f>
        <v>#N/A</v>
      </c>
      <c r="E906" s="14" t="s">
        <v>65</v>
      </c>
      <c r="F906" s="25">
        <v>46356.0</v>
      </c>
      <c r="G906" s="24">
        <f t="shared" si="7"/>
        <v>16</v>
      </c>
      <c r="H906" s="19">
        <f>VLOOKUP(A906,Metrik!$C$2:$Y$959,8,0)</f>
        <v>5.3</v>
      </c>
      <c r="I906" s="20">
        <f>VLOOKUP(A906,Metrik!$C$2:$Y$959,9,0)</f>
        <v>0.35</v>
      </c>
      <c r="J906" s="20">
        <f>VLOOKUP(A906,Metrik!$C$2:$Y$959,10,0)</f>
        <v>6.7</v>
      </c>
      <c r="K906" s="20">
        <f>VLOOKUP(A906,Metrik!$C$2:$Y$959,11,0)</f>
        <v>3.7</v>
      </c>
      <c r="L906" s="20">
        <f>VLOOKUP(A906,Metrik!$C$2:$Y$959,12,0)</f>
        <v>0.81</v>
      </c>
      <c r="M906" s="20">
        <f>VLOOKUP(A906,Metrik!$C$2:$Y$959,19,0)</f>
        <v>57.2</v>
      </c>
      <c r="N906" s="21"/>
      <c r="O906" s="21"/>
      <c r="P906" s="21"/>
      <c r="Q906" s="21"/>
      <c r="R906" s="21"/>
      <c r="S906" s="21"/>
      <c r="T906" s="21"/>
      <c r="U906" s="22">
        <f>IFERROR(__xludf.DUMMYFUNCTION("IFERROR(GOOGLEFINANCE(A906,""closeyest""),"""")"),7550.0)</f>
        <v>7550</v>
      </c>
      <c r="V906" s="23">
        <f>IFERROR(__xludf.DUMMYFUNCTION("IFERROR(GOOGLEFINANCE(A906,""changepct""),"""")"),1.99)</f>
        <v>1.99</v>
      </c>
      <c r="W906" s="22">
        <f>IFERROR(__xludf.DUMMYFUNCTION("IFERROR(GOOGLEFINANCE(A906,""priceopen""),"""")"),7625.0)</f>
        <v>7625</v>
      </c>
      <c r="X906" s="22">
        <f>IFERROR(__xludf.DUMMYFUNCTION("IFERROR(GOOGLEFINANCE(A906,""high""),"""")"),7800.0)</f>
        <v>7800</v>
      </c>
      <c r="Y906" s="22">
        <f>IFERROR(__xludf.DUMMYFUNCTION("IFERROR(GOOGLEFINANCE(A906,""low""),"""")"),7575.0)</f>
        <v>7575</v>
      </c>
      <c r="Z906" s="22">
        <f>IFERROR(__xludf.DUMMYFUNCTION("IFERROR(GOOGLEFINANCE(A906,""volume""),"""")"),5343300.0)</f>
        <v>5343300</v>
      </c>
      <c r="AA906" s="24" t="str">
        <f>VLOOKUP(A906,Metrik!$C$2:$Y$959,5,0)</f>
        <v>Forestry &amp; Paper</v>
      </c>
      <c r="AB906" s="24" t="str">
        <f>VLOOKUP(A906,Metrik!$C$2:$Y$959,3,0)</f>
        <v>Basic Materials</v>
      </c>
    </row>
    <row r="907">
      <c r="A907" s="14" t="s">
        <v>491</v>
      </c>
      <c r="B907" s="14" t="str">
        <f t="array" ref="B907">VLOOKUP(A907,{Metrik!$C$2:$C$998,Metrik!$B$2:$B$998},2,0)</f>
        <v>Indah Kiat Pulp &amp; Paper Tbk.</v>
      </c>
      <c r="C907" s="15">
        <f>IFERROR(__xludf.DUMMYFUNCTION("GOOGLEFINANCE(""IDX:""&amp;A907,""price"")"),7700.0)</f>
        <v>7700</v>
      </c>
      <c r="D907" s="16" t="str">
        <f>IFERROR(__xludf.DUMMYFUNCTION("IF(A907="""","""",
SPARKLINE(
INDEX(
GOOGLEFINANCE(""IDX:""&amp;A907,""close"",TODAY()-365,TODAY()),
,2
),
{""linewidth"",1}
))
"),"#N/A")</f>
        <v>#N/A</v>
      </c>
      <c r="E907" s="14" t="s">
        <v>68</v>
      </c>
      <c r="F907" s="14" t="s">
        <v>34</v>
      </c>
      <c r="G907" s="24">
        <f t="shared" si="7"/>
        <v>16</v>
      </c>
      <c r="H907" s="19">
        <f>VLOOKUP(A907,Metrik!$C$2:$Y$959,8,0)</f>
        <v>5.3</v>
      </c>
      <c r="I907" s="20">
        <f>VLOOKUP(A907,Metrik!$C$2:$Y$959,9,0)</f>
        <v>0.35</v>
      </c>
      <c r="J907" s="20">
        <f>VLOOKUP(A907,Metrik!$C$2:$Y$959,10,0)</f>
        <v>6.7</v>
      </c>
      <c r="K907" s="20">
        <f>VLOOKUP(A907,Metrik!$C$2:$Y$959,11,0)</f>
        <v>3.7</v>
      </c>
      <c r="L907" s="20">
        <f>VLOOKUP(A907,Metrik!$C$2:$Y$959,12,0)</f>
        <v>0.81</v>
      </c>
      <c r="M907" s="20">
        <f>VLOOKUP(A907,Metrik!$C$2:$Y$959,19,0)</f>
        <v>57.2</v>
      </c>
      <c r="N907" s="21"/>
      <c r="O907" s="21"/>
      <c r="P907" s="21"/>
      <c r="Q907" s="21"/>
      <c r="R907" s="21"/>
      <c r="S907" s="21"/>
      <c r="T907" s="21"/>
      <c r="U907" s="22">
        <f>IFERROR(__xludf.DUMMYFUNCTION("IFERROR(GOOGLEFINANCE(A907,""closeyest""),"""")"),7550.0)</f>
        <v>7550</v>
      </c>
      <c r="V907" s="23">
        <f>IFERROR(__xludf.DUMMYFUNCTION("IFERROR(GOOGLEFINANCE(A907,""changepct""),"""")"),1.99)</f>
        <v>1.99</v>
      </c>
      <c r="W907" s="22">
        <f>IFERROR(__xludf.DUMMYFUNCTION("IFERROR(GOOGLEFINANCE(A907,""priceopen""),"""")"),7625.0)</f>
        <v>7625</v>
      </c>
      <c r="X907" s="22">
        <f>IFERROR(__xludf.DUMMYFUNCTION("IFERROR(GOOGLEFINANCE(A907,""high""),"""")"),7800.0)</f>
        <v>7800</v>
      </c>
      <c r="Y907" s="22">
        <f>IFERROR(__xludf.DUMMYFUNCTION("IFERROR(GOOGLEFINANCE(A907,""low""),"""")"),7575.0)</f>
        <v>7575</v>
      </c>
      <c r="Z907" s="22">
        <f>IFERROR(__xludf.DUMMYFUNCTION("IFERROR(GOOGLEFINANCE(A907,""volume""),"""")"),5343300.0)</f>
        <v>5343300</v>
      </c>
      <c r="AA907" s="24" t="str">
        <f>VLOOKUP(A907,Metrik!$C$2:$Y$959,5,0)</f>
        <v>Forestry &amp; Paper</v>
      </c>
      <c r="AB907" s="24" t="str">
        <f>VLOOKUP(A907,Metrik!$C$2:$Y$959,3,0)</f>
        <v>Basic Materials</v>
      </c>
    </row>
    <row r="908">
      <c r="A908" s="14" t="s">
        <v>491</v>
      </c>
      <c r="B908" s="14" t="str">
        <f t="array" ref="B908">VLOOKUP(A908,{Metrik!$C$2:$C$998,Metrik!$B$2:$B$998},2,0)</f>
        <v>Indah Kiat Pulp &amp; Paper Tbk.</v>
      </c>
      <c r="C908" s="15">
        <f>IFERROR(__xludf.DUMMYFUNCTION("GOOGLEFINANCE(""IDX:""&amp;A908,""price"")"),7700.0)</f>
        <v>7700</v>
      </c>
      <c r="D908" s="16" t="str">
        <f>IFERROR(__xludf.DUMMYFUNCTION("IF(A908="""","""",
SPARKLINE(
INDEX(
GOOGLEFINANCE(""IDX:""&amp;A908,""close"",TODAY()-365,TODAY()),
,2
),
{""linewidth"",1}
))
"),"#N/A")</f>
        <v>#N/A</v>
      </c>
      <c r="E908" s="14" t="s">
        <v>33</v>
      </c>
      <c r="F908" s="14" t="s">
        <v>34</v>
      </c>
      <c r="G908" s="24">
        <f t="shared" si="7"/>
        <v>16</v>
      </c>
      <c r="H908" s="19">
        <f>VLOOKUP(A908,Metrik!$C$2:$Y$959,8,0)</f>
        <v>5.3</v>
      </c>
      <c r="I908" s="20">
        <f>VLOOKUP(A908,Metrik!$C$2:$Y$959,9,0)</f>
        <v>0.35</v>
      </c>
      <c r="J908" s="20">
        <f>VLOOKUP(A908,Metrik!$C$2:$Y$959,10,0)</f>
        <v>6.7</v>
      </c>
      <c r="K908" s="20">
        <f>VLOOKUP(A908,Metrik!$C$2:$Y$959,11,0)</f>
        <v>3.7</v>
      </c>
      <c r="L908" s="20">
        <f>VLOOKUP(A908,Metrik!$C$2:$Y$959,12,0)</f>
        <v>0.81</v>
      </c>
      <c r="M908" s="20">
        <f>VLOOKUP(A908,Metrik!$C$2:$Y$959,19,0)</f>
        <v>57.2</v>
      </c>
      <c r="N908" s="21"/>
      <c r="O908" s="21"/>
      <c r="P908" s="21"/>
      <c r="Q908" s="21"/>
      <c r="R908" s="21"/>
      <c r="S908" s="21"/>
      <c r="T908" s="21"/>
      <c r="U908" s="22">
        <f>IFERROR(__xludf.DUMMYFUNCTION("IFERROR(GOOGLEFINANCE(A908,""closeyest""),"""")"),7550.0)</f>
        <v>7550</v>
      </c>
      <c r="V908" s="23">
        <f>IFERROR(__xludf.DUMMYFUNCTION("IFERROR(GOOGLEFINANCE(A908,""changepct""),"""")"),1.99)</f>
        <v>1.99</v>
      </c>
      <c r="W908" s="22">
        <f>IFERROR(__xludf.DUMMYFUNCTION("IFERROR(GOOGLEFINANCE(A908,""priceopen""),"""")"),7625.0)</f>
        <v>7625</v>
      </c>
      <c r="X908" s="22">
        <f>IFERROR(__xludf.DUMMYFUNCTION("IFERROR(GOOGLEFINANCE(A908,""high""),"""")"),7800.0)</f>
        <v>7800</v>
      </c>
      <c r="Y908" s="22">
        <f>IFERROR(__xludf.DUMMYFUNCTION("IFERROR(GOOGLEFINANCE(A908,""low""),"""")"),7575.0)</f>
        <v>7575</v>
      </c>
      <c r="Z908" s="22">
        <f>IFERROR(__xludf.DUMMYFUNCTION("IFERROR(GOOGLEFINANCE(A908,""volume""),"""")"),5343300.0)</f>
        <v>5343300</v>
      </c>
      <c r="AA908" s="24" t="str">
        <f>VLOOKUP(A908,Metrik!$C$2:$Y$959,5,0)</f>
        <v>Forestry &amp; Paper</v>
      </c>
      <c r="AB908" s="24" t="str">
        <f>VLOOKUP(A908,Metrik!$C$2:$Y$959,3,0)</f>
        <v>Basic Materials</v>
      </c>
    </row>
    <row r="909">
      <c r="A909" s="14" t="s">
        <v>491</v>
      </c>
      <c r="B909" s="14" t="str">
        <f t="array" ref="B909">VLOOKUP(A909,{Metrik!$C$2:$C$998,Metrik!$B$2:$B$998},2,0)</f>
        <v>Indah Kiat Pulp &amp; Paper Tbk.</v>
      </c>
      <c r="C909" s="15">
        <f>IFERROR(__xludf.DUMMYFUNCTION("GOOGLEFINANCE(""IDX:""&amp;A909,""price"")"),7700.0)</f>
        <v>7700</v>
      </c>
      <c r="D909" s="16" t="str">
        <f>IFERROR(__xludf.DUMMYFUNCTION("IF(A909="""","""",
SPARKLINE(
INDEX(
GOOGLEFINANCE(""IDX:""&amp;A909,""close"",TODAY()-365,TODAY()),
,2
),
{""linewidth"",1}
))
"),"#N/A")</f>
        <v>#N/A</v>
      </c>
      <c r="E909" s="14" t="s">
        <v>52</v>
      </c>
      <c r="F909" s="27" t="s">
        <v>53</v>
      </c>
      <c r="G909" s="24">
        <f t="shared" si="7"/>
        <v>16</v>
      </c>
      <c r="H909" s="19">
        <f>VLOOKUP(A909,Metrik!$C$2:$Y$959,8,0)</f>
        <v>5.3</v>
      </c>
      <c r="I909" s="20">
        <f>VLOOKUP(A909,Metrik!$C$2:$Y$959,9,0)</f>
        <v>0.35</v>
      </c>
      <c r="J909" s="20">
        <f>VLOOKUP(A909,Metrik!$C$2:$Y$959,10,0)</f>
        <v>6.7</v>
      </c>
      <c r="K909" s="20">
        <f>VLOOKUP(A909,Metrik!$C$2:$Y$959,11,0)</f>
        <v>3.7</v>
      </c>
      <c r="L909" s="20">
        <f>VLOOKUP(A909,Metrik!$C$2:$Y$959,12,0)</f>
        <v>0.81</v>
      </c>
      <c r="M909" s="20">
        <f>VLOOKUP(A909,Metrik!$C$2:$Y$959,19,0)</f>
        <v>57.2</v>
      </c>
      <c r="N909" s="21"/>
      <c r="O909" s="21"/>
      <c r="P909" s="21"/>
      <c r="Q909" s="21"/>
      <c r="R909" s="21"/>
      <c r="S909" s="21"/>
      <c r="T909" s="21"/>
      <c r="U909" s="22">
        <f>IFERROR(__xludf.DUMMYFUNCTION("IFERROR(GOOGLEFINANCE(A909,""closeyest""),"""")"),7550.0)</f>
        <v>7550</v>
      </c>
      <c r="V909" s="23">
        <f>IFERROR(__xludf.DUMMYFUNCTION("IFERROR(GOOGLEFINANCE(A909,""changepct""),"""")"),1.99)</f>
        <v>1.99</v>
      </c>
      <c r="W909" s="22">
        <f>IFERROR(__xludf.DUMMYFUNCTION("IFERROR(GOOGLEFINANCE(A909,""priceopen""),"""")"),7625.0)</f>
        <v>7625</v>
      </c>
      <c r="X909" s="22">
        <f>IFERROR(__xludf.DUMMYFUNCTION("IFERROR(GOOGLEFINANCE(A909,""high""),"""")"),7800.0)</f>
        <v>7800</v>
      </c>
      <c r="Y909" s="22">
        <f>IFERROR(__xludf.DUMMYFUNCTION("IFERROR(GOOGLEFINANCE(A909,""low""),"""")"),7575.0)</f>
        <v>7575</v>
      </c>
      <c r="Z909" s="22">
        <f>IFERROR(__xludf.DUMMYFUNCTION("IFERROR(GOOGLEFINANCE(A909,""volume""),"""")"),5343300.0)</f>
        <v>5343300</v>
      </c>
      <c r="AA909" s="24" t="str">
        <f>VLOOKUP(A909,Metrik!$C$2:$Y$959,5,0)</f>
        <v>Forestry &amp; Paper</v>
      </c>
      <c r="AB909" s="24" t="str">
        <f>VLOOKUP(A909,Metrik!$C$2:$Y$959,3,0)</f>
        <v>Basic Materials</v>
      </c>
    </row>
    <row r="910">
      <c r="A910" s="14" t="s">
        <v>491</v>
      </c>
      <c r="B910" s="14" t="str">
        <f t="array" ref="B910">VLOOKUP(A910,{Metrik!$C$2:$C$998,Metrik!$B$2:$B$998},2,0)</f>
        <v>Indah Kiat Pulp &amp; Paper Tbk.</v>
      </c>
      <c r="C910" s="15">
        <f>IFERROR(__xludf.DUMMYFUNCTION("GOOGLEFINANCE(""IDX:""&amp;A910,""price"")"),7700.0)</f>
        <v>7700</v>
      </c>
      <c r="D910" s="16" t="str">
        <f>IFERROR(__xludf.DUMMYFUNCTION("IF(A910="""","""",
SPARKLINE(
INDEX(
GOOGLEFINANCE(""IDX:""&amp;A910,""close"",TODAY()-365,TODAY()),
,2
),
{""linewidth"",1}
))
"),"#N/A")</f>
        <v>#N/A</v>
      </c>
      <c r="E910" s="14" t="s">
        <v>161</v>
      </c>
      <c r="F910" s="14" t="s">
        <v>76</v>
      </c>
      <c r="G910" s="24">
        <f t="shared" si="7"/>
        <v>16</v>
      </c>
      <c r="H910" s="19">
        <f>VLOOKUP(A910,Metrik!$C$2:$Y$959,8,0)</f>
        <v>5.3</v>
      </c>
      <c r="I910" s="20">
        <f>VLOOKUP(A910,Metrik!$C$2:$Y$959,9,0)</f>
        <v>0.35</v>
      </c>
      <c r="J910" s="20">
        <f>VLOOKUP(A910,Metrik!$C$2:$Y$959,10,0)</f>
        <v>6.7</v>
      </c>
      <c r="K910" s="20">
        <f>VLOOKUP(A910,Metrik!$C$2:$Y$959,11,0)</f>
        <v>3.7</v>
      </c>
      <c r="L910" s="20">
        <f>VLOOKUP(A910,Metrik!$C$2:$Y$959,12,0)</f>
        <v>0.81</v>
      </c>
      <c r="M910" s="20">
        <f>VLOOKUP(A910,Metrik!$C$2:$Y$959,19,0)</f>
        <v>57.2</v>
      </c>
      <c r="N910" s="21"/>
      <c r="O910" s="21"/>
      <c r="P910" s="21"/>
      <c r="Q910" s="21"/>
      <c r="R910" s="21"/>
      <c r="S910" s="21"/>
      <c r="T910" s="21"/>
      <c r="U910" s="22">
        <f>IFERROR(__xludf.DUMMYFUNCTION("IFERROR(GOOGLEFINANCE(A910,""closeyest""),"""")"),7550.0)</f>
        <v>7550</v>
      </c>
      <c r="V910" s="23">
        <f>IFERROR(__xludf.DUMMYFUNCTION("IFERROR(GOOGLEFINANCE(A910,""changepct""),"""")"),1.99)</f>
        <v>1.99</v>
      </c>
      <c r="W910" s="22">
        <f>IFERROR(__xludf.DUMMYFUNCTION("IFERROR(GOOGLEFINANCE(A910,""priceopen""),"""")"),7625.0)</f>
        <v>7625</v>
      </c>
      <c r="X910" s="22">
        <f>IFERROR(__xludf.DUMMYFUNCTION("IFERROR(GOOGLEFINANCE(A910,""high""),"""")"),7800.0)</f>
        <v>7800</v>
      </c>
      <c r="Y910" s="22">
        <f>IFERROR(__xludf.DUMMYFUNCTION("IFERROR(GOOGLEFINANCE(A910,""low""),"""")"),7575.0)</f>
        <v>7575</v>
      </c>
      <c r="Z910" s="22">
        <f>IFERROR(__xludf.DUMMYFUNCTION("IFERROR(GOOGLEFINANCE(A910,""volume""),"""")"),5343300.0)</f>
        <v>5343300</v>
      </c>
      <c r="AA910" s="24" t="str">
        <f>VLOOKUP(A910,Metrik!$C$2:$Y$959,5,0)</f>
        <v>Forestry &amp; Paper</v>
      </c>
      <c r="AB910" s="24" t="str">
        <f>VLOOKUP(A910,Metrik!$C$2:$Y$959,3,0)</f>
        <v>Basic Materials</v>
      </c>
    </row>
    <row r="911">
      <c r="A911" s="14" t="s">
        <v>491</v>
      </c>
      <c r="B911" s="14" t="str">
        <f t="array" ref="B911">VLOOKUP(A911,{Metrik!$C$2:$C$998,Metrik!$B$2:$B$998},2,0)</f>
        <v>Indah Kiat Pulp &amp; Paper Tbk.</v>
      </c>
      <c r="C911" s="15">
        <f>IFERROR(__xludf.DUMMYFUNCTION("GOOGLEFINANCE(""IDX:""&amp;A911,""price"")"),7700.0)</f>
        <v>7700</v>
      </c>
      <c r="D911" s="16" t="str">
        <f>IFERROR(__xludf.DUMMYFUNCTION("IF(A911="""","""",
SPARKLINE(
INDEX(
GOOGLEFINANCE(""IDX:""&amp;A911,""close"",TODAY()-365,TODAY()),
,2
),
{""linewidth"",1}
))
"),"#N/A")</f>
        <v>#N/A</v>
      </c>
      <c r="E911" s="14" t="s">
        <v>67</v>
      </c>
      <c r="F911" s="17" t="s">
        <v>51</v>
      </c>
      <c r="G911" s="24">
        <f t="shared" si="7"/>
        <v>16</v>
      </c>
      <c r="H911" s="19">
        <f>VLOOKUP(A911,Metrik!$C$2:$Y$959,8,0)</f>
        <v>5.3</v>
      </c>
      <c r="I911" s="20">
        <f>VLOOKUP(A911,Metrik!$C$2:$Y$959,9,0)</f>
        <v>0.35</v>
      </c>
      <c r="J911" s="20">
        <f>VLOOKUP(A911,Metrik!$C$2:$Y$959,10,0)</f>
        <v>6.7</v>
      </c>
      <c r="K911" s="20">
        <f>VLOOKUP(A911,Metrik!$C$2:$Y$959,11,0)</f>
        <v>3.7</v>
      </c>
      <c r="L911" s="20">
        <f>VLOOKUP(A911,Metrik!$C$2:$Y$959,12,0)</f>
        <v>0.81</v>
      </c>
      <c r="M911" s="20">
        <f>VLOOKUP(A911,Metrik!$C$2:$Y$959,19,0)</f>
        <v>57.2</v>
      </c>
      <c r="N911" s="21"/>
      <c r="O911" s="21"/>
      <c r="P911" s="21"/>
      <c r="Q911" s="21"/>
      <c r="R911" s="21"/>
      <c r="S911" s="21"/>
      <c r="T911" s="21"/>
      <c r="U911" s="22">
        <f>IFERROR(__xludf.DUMMYFUNCTION("IFERROR(GOOGLEFINANCE(A911,""closeyest""),"""")"),7550.0)</f>
        <v>7550</v>
      </c>
      <c r="V911" s="23">
        <f>IFERROR(__xludf.DUMMYFUNCTION("IFERROR(GOOGLEFINANCE(A911,""changepct""),"""")"),1.99)</f>
        <v>1.99</v>
      </c>
      <c r="W911" s="22">
        <f>IFERROR(__xludf.DUMMYFUNCTION("IFERROR(GOOGLEFINANCE(A911,""priceopen""),"""")"),7625.0)</f>
        <v>7625</v>
      </c>
      <c r="X911" s="22">
        <f>IFERROR(__xludf.DUMMYFUNCTION("IFERROR(GOOGLEFINANCE(A911,""high""),"""")"),7800.0)</f>
        <v>7800</v>
      </c>
      <c r="Y911" s="22">
        <f>IFERROR(__xludf.DUMMYFUNCTION("IFERROR(GOOGLEFINANCE(A911,""low""),"""")"),7575.0)</f>
        <v>7575</v>
      </c>
      <c r="Z911" s="22">
        <f>IFERROR(__xludf.DUMMYFUNCTION("IFERROR(GOOGLEFINANCE(A911,""volume""),"""")"),5343300.0)</f>
        <v>5343300</v>
      </c>
      <c r="AA911" s="24" t="str">
        <f>VLOOKUP(A911,Metrik!$C$2:$Y$959,5,0)</f>
        <v>Forestry &amp; Paper</v>
      </c>
      <c r="AB911" s="24" t="str">
        <f>VLOOKUP(A911,Metrik!$C$2:$Y$959,3,0)</f>
        <v>Basic Materials</v>
      </c>
    </row>
    <row r="912">
      <c r="A912" s="14" t="s">
        <v>491</v>
      </c>
      <c r="B912" s="14" t="str">
        <f t="array" ref="B912">VLOOKUP(A912,{Metrik!$C$2:$C$998,Metrik!$B$2:$B$998},2,0)</f>
        <v>Indah Kiat Pulp &amp; Paper Tbk.</v>
      </c>
      <c r="C912" s="15">
        <f>IFERROR(__xludf.DUMMYFUNCTION("GOOGLEFINANCE(""IDX:""&amp;A912,""price"")"),7700.0)</f>
        <v>7700</v>
      </c>
      <c r="D912" s="16" t="str">
        <f>IFERROR(__xludf.DUMMYFUNCTION("IF(A912="""","""",
SPARKLINE(
INDEX(
GOOGLEFINANCE(""IDX:""&amp;A912,""close"",TODAY()-365,TODAY()),
,2
),
{""linewidth"",1}
))
"),"#N/A")</f>
        <v>#N/A</v>
      </c>
      <c r="E912" s="14" t="s">
        <v>31</v>
      </c>
      <c r="F912" s="17" t="s">
        <v>29</v>
      </c>
      <c r="G912" s="24">
        <f t="shared" si="7"/>
        <v>16</v>
      </c>
      <c r="H912" s="19">
        <f>VLOOKUP(A912,Metrik!$C$2:$Y$959,8,0)</f>
        <v>5.3</v>
      </c>
      <c r="I912" s="20">
        <f>VLOOKUP(A912,Metrik!$C$2:$Y$959,9,0)</f>
        <v>0.35</v>
      </c>
      <c r="J912" s="20">
        <f>VLOOKUP(A912,Metrik!$C$2:$Y$959,10,0)</f>
        <v>6.7</v>
      </c>
      <c r="K912" s="20">
        <f>VLOOKUP(A912,Metrik!$C$2:$Y$959,11,0)</f>
        <v>3.7</v>
      </c>
      <c r="L912" s="20">
        <f>VLOOKUP(A912,Metrik!$C$2:$Y$959,12,0)</f>
        <v>0.81</v>
      </c>
      <c r="M912" s="20">
        <f>VLOOKUP(A912,Metrik!$C$2:$Y$959,19,0)</f>
        <v>57.2</v>
      </c>
      <c r="N912" s="21"/>
      <c r="O912" s="21"/>
      <c r="P912" s="21"/>
      <c r="Q912" s="21"/>
      <c r="R912" s="21"/>
      <c r="S912" s="21"/>
      <c r="T912" s="21"/>
      <c r="U912" s="22">
        <f>IFERROR(__xludf.DUMMYFUNCTION("IFERROR(GOOGLEFINANCE(A912,""closeyest""),"""")"),7550.0)</f>
        <v>7550</v>
      </c>
      <c r="V912" s="23">
        <f>IFERROR(__xludf.DUMMYFUNCTION("IFERROR(GOOGLEFINANCE(A912,""changepct""),"""")"),1.99)</f>
        <v>1.99</v>
      </c>
      <c r="W912" s="22">
        <f>IFERROR(__xludf.DUMMYFUNCTION("IFERROR(GOOGLEFINANCE(A912,""priceopen""),"""")"),7625.0)</f>
        <v>7625</v>
      </c>
      <c r="X912" s="22">
        <f>IFERROR(__xludf.DUMMYFUNCTION("IFERROR(GOOGLEFINANCE(A912,""high""),"""")"),7800.0)</f>
        <v>7800</v>
      </c>
      <c r="Y912" s="22">
        <f>IFERROR(__xludf.DUMMYFUNCTION("IFERROR(GOOGLEFINANCE(A912,""low""),"""")"),7575.0)</f>
        <v>7575</v>
      </c>
      <c r="Z912" s="22">
        <f>IFERROR(__xludf.DUMMYFUNCTION("IFERROR(GOOGLEFINANCE(A912,""volume""),"""")"),5343300.0)</f>
        <v>5343300</v>
      </c>
      <c r="AA912" s="24" t="str">
        <f>VLOOKUP(A912,Metrik!$C$2:$Y$959,5,0)</f>
        <v>Forestry &amp; Paper</v>
      </c>
      <c r="AB912" s="24" t="str">
        <f>VLOOKUP(A912,Metrik!$C$2:$Y$959,3,0)</f>
        <v>Basic Materials</v>
      </c>
    </row>
    <row r="913">
      <c r="A913" s="14" t="s">
        <v>491</v>
      </c>
      <c r="B913" s="14" t="str">
        <f t="array" ref="B913">VLOOKUP(A913,{Metrik!$C$2:$C$998,Metrik!$B$2:$B$998},2,0)</f>
        <v>Indah Kiat Pulp &amp; Paper Tbk.</v>
      </c>
      <c r="C913" s="15">
        <f>IFERROR(__xludf.DUMMYFUNCTION("GOOGLEFINANCE(""IDX:""&amp;A913,""price"")"),7700.0)</f>
        <v>7700</v>
      </c>
      <c r="D913" s="16" t="str">
        <f>IFERROR(__xludf.DUMMYFUNCTION("IF(A913="""","""",
SPARKLINE(
INDEX(
GOOGLEFINANCE(""IDX:""&amp;A913,""close"",TODAY()-365,TODAY()),
,2
),
{""linewidth"",1}
))
"),"#N/A")</f>
        <v>#N/A</v>
      </c>
      <c r="E913" s="14" t="s">
        <v>28</v>
      </c>
      <c r="F913" s="17" t="s">
        <v>29</v>
      </c>
      <c r="G913" s="24">
        <f t="shared" si="7"/>
        <v>16</v>
      </c>
      <c r="H913" s="19">
        <f>VLOOKUP(A913,Metrik!$C$2:$Y$959,8,0)</f>
        <v>5.3</v>
      </c>
      <c r="I913" s="20">
        <f>VLOOKUP(A913,Metrik!$C$2:$Y$959,9,0)</f>
        <v>0.35</v>
      </c>
      <c r="J913" s="20">
        <f>VLOOKUP(A913,Metrik!$C$2:$Y$959,10,0)</f>
        <v>6.7</v>
      </c>
      <c r="K913" s="20">
        <f>VLOOKUP(A913,Metrik!$C$2:$Y$959,11,0)</f>
        <v>3.7</v>
      </c>
      <c r="L913" s="20">
        <f>VLOOKUP(A913,Metrik!$C$2:$Y$959,12,0)</f>
        <v>0.81</v>
      </c>
      <c r="M913" s="20">
        <f>VLOOKUP(A913,Metrik!$C$2:$Y$959,19,0)</f>
        <v>57.2</v>
      </c>
      <c r="N913" s="21"/>
      <c r="O913" s="21"/>
      <c r="P913" s="21"/>
      <c r="Q913" s="21"/>
      <c r="R913" s="21"/>
      <c r="S913" s="21"/>
      <c r="T913" s="21"/>
      <c r="U913" s="22">
        <f>IFERROR(__xludf.DUMMYFUNCTION("IFERROR(GOOGLEFINANCE(A913,""closeyest""),"""")"),7550.0)</f>
        <v>7550</v>
      </c>
      <c r="V913" s="23">
        <f>IFERROR(__xludf.DUMMYFUNCTION("IFERROR(GOOGLEFINANCE(A913,""changepct""),"""")"),1.99)</f>
        <v>1.99</v>
      </c>
      <c r="W913" s="22">
        <f>IFERROR(__xludf.DUMMYFUNCTION("IFERROR(GOOGLEFINANCE(A913,""priceopen""),"""")"),7625.0)</f>
        <v>7625</v>
      </c>
      <c r="X913" s="22">
        <f>IFERROR(__xludf.DUMMYFUNCTION("IFERROR(GOOGLEFINANCE(A913,""high""),"""")"),7800.0)</f>
        <v>7800</v>
      </c>
      <c r="Y913" s="22">
        <f>IFERROR(__xludf.DUMMYFUNCTION("IFERROR(GOOGLEFINANCE(A913,""low""),"""")"),7575.0)</f>
        <v>7575</v>
      </c>
      <c r="Z913" s="22">
        <f>IFERROR(__xludf.DUMMYFUNCTION("IFERROR(GOOGLEFINANCE(A913,""volume""),"""")"),5343300.0)</f>
        <v>5343300</v>
      </c>
      <c r="AA913" s="24" t="str">
        <f>VLOOKUP(A913,Metrik!$C$2:$Y$959,5,0)</f>
        <v>Forestry &amp; Paper</v>
      </c>
      <c r="AB913" s="24" t="str">
        <f>VLOOKUP(A913,Metrik!$C$2:$Y$959,3,0)</f>
        <v>Basic Materials</v>
      </c>
    </row>
    <row r="914">
      <c r="A914" s="14" t="s">
        <v>491</v>
      </c>
      <c r="B914" s="14" t="str">
        <f t="array" ref="B914">VLOOKUP(A914,{Metrik!$C$2:$C$998,Metrik!$B$2:$B$998},2,0)</f>
        <v>Indah Kiat Pulp &amp; Paper Tbk.</v>
      </c>
      <c r="C914" s="15">
        <f>IFERROR(__xludf.DUMMYFUNCTION("GOOGLEFINANCE(""IDX:""&amp;A914,""price"")"),7700.0)</f>
        <v>7700</v>
      </c>
      <c r="D914" s="16" t="str">
        <f>IFERROR(__xludf.DUMMYFUNCTION("IF(A914="""","""",
SPARKLINE(
INDEX(
GOOGLEFINANCE(""IDX:""&amp;A914,""close"",TODAY()-365,TODAY()),
,2
),
{""linewidth"",1}
))
"),"#N/A")</f>
        <v>#N/A</v>
      </c>
      <c r="E914" s="14" t="s">
        <v>102</v>
      </c>
      <c r="F914" s="27" t="s">
        <v>53</v>
      </c>
      <c r="G914" s="24">
        <f t="shared" si="7"/>
        <v>16</v>
      </c>
      <c r="H914" s="19">
        <f>VLOOKUP(A914,Metrik!$C$2:$Y$959,8,0)</f>
        <v>5.3</v>
      </c>
      <c r="I914" s="20">
        <f>VLOOKUP(A914,Metrik!$C$2:$Y$959,9,0)</f>
        <v>0.35</v>
      </c>
      <c r="J914" s="20">
        <f>VLOOKUP(A914,Metrik!$C$2:$Y$959,10,0)</f>
        <v>6.7</v>
      </c>
      <c r="K914" s="20">
        <f>VLOOKUP(A914,Metrik!$C$2:$Y$959,11,0)</f>
        <v>3.7</v>
      </c>
      <c r="L914" s="20">
        <f>VLOOKUP(A914,Metrik!$C$2:$Y$959,12,0)</f>
        <v>0.81</v>
      </c>
      <c r="M914" s="20">
        <f>VLOOKUP(A914,Metrik!$C$2:$Y$959,19,0)</f>
        <v>57.2</v>
      </c>
      <c r="N914" s="21"/>
      <c r="O914" s="21"/>
      <c r="P914" s="21"/>
      <c r="Q914" s="21"/>
      <c r="R914" s="21"/>
      <c r="S914" s="21"/>
      <c r="T914" s="21"/>
      <c r="U914" s="22">
        <f>IFERROR(__xludf.DUMMYFUNCTION("IFERROR(GOOGLEFINANCE(A914,""closeyest""),"""")"),7550.0)</f>
        <v>7550</v>
      </c>
      <c r="V914" s="23">
        <f>IFERROR(__xludf.DUMMYFUNCTION("IFERROR(GOOGLEFINANCE(A914,""changepct""),"""")"),1.99)</f>
        <v>1.99</v>
      </c>
      <c r="W914" s="22">
        <f>IFERROR(__xludf.DUMMYFUNCTION("IFERROR(GOOGLEFINANCE(A914,""priceopen""),"""")"),7625.0)</f>
        <v>7625</v>
      </c>
      <c r="X914" s="22">
        <f>IFERROR(__xludf.DUMMYFUNCTION("IFERROR(GOOGLEFINANCE(A914,""high""),"""")"),7800.0)</f>
        <v>7800</v>
      </c>
      <c r="Y914" s="22">
        <f>IFERROR(__xludf.DUMMYFUNCTION("IFERROR(GOOGLEFINANCE(A914,""low""),"""")"),7575.0)</f>
        <v>7575</v>
      </c>
      <c r="Z914" s="22">
        <f>IFERROR(__xludf.DUMMYFUNCTION("IFERROR(GOOGLEFINANCE(A914,""volume""),"""")"),5343300.0)</f>
        <v>5343300</v>
      </c>
      <c r="AA914" s="24" t="str">
        <f>VLOOKUP(A914,Metrik!$C$2:$Y$959,5,0)</f>
        <v>Forestry &amp; Paper</v>
      </c>
      <c r="AB914" s="24" t="str">
        <f>VLOOKUP(A914,Metrik!$C$2:$Y$959,3,0)</f>
        <v>Basic Materials</v>
      </c>
    </row>
    <row r="915">
      <c r="A915" s="14" t="s">
        <v>491</v>
      </c>
      <c r="B915" s="14" t="str">
        <f t="array" ref="B915">VLOOKUP(A915,{Metrik!$C$2:$C$998,Metrik!$B$2:$B$998},2,0)</f>
        <v>Indah Kiat Pulp &amp; Paper Tbk.</v>
      </c>
      <c r="C915" s="15">
        <f>IFERROR(__xludf.DUMMYFUNCTION("GOOGLEFINANCE(""IDX:""&amp;A915,""price"")"),7700.0)</f>
        <v>7700</v>
      </c>
      <c r="D915" s="16" t="str">
        <f>IFERROR(__xludf.DUMMYFUNCTION("IF(A915="""","""",
SPARKLINE(
INDEX(
GOOGLEFINANCE(""IDX:""&amp;A915,""close"",TODAY()-365,TODAY()),
,2
),
{""linewidth"",1}
))
"),"#N/A")</f>
        <v>#N/A</v>
      </c>
      <c r="E915" s="14" t="s">
        <v>32</v>
      </c>
      <c r="F915" s="14" t="s">
        <v>29</v>
      </c>
      <c r="G915" s="24">
        <f t="shared" si="7"/>
        <v>16</v>
      </c>
      <c r="H915" s="19">
        <f>VLOOKUP(A915,Metrik!$C$2:$Y$959,8,0)</f>
        <v>5.3</v>
      </c>
      <c r="I915" s="20">
        <f>VLOOKUP(A915,Metrik!$C$2:$Y$959,9,0)</f>
        <v>0.35</v>
      </c>
      <c r="J915" s="20">
        <f>VLOOKUP(A915,Metrik!$C$2:$Y$959,10,0)</f>
        <v>6.7</v>
      </c>
      <c r="K915" s="20">
        <f>VLOOKUP(A915,Metrik!$C$2:$Y$959,11,0)</f>
        <v>3.7</v>
      </c>
      <c r="L915" s="20">
        <f>VLOOKUP(A915,Metrik!$C$2:$Y$959,12,0)</f>
        <v>0.81</v>
      </c>
      <c r="M915" s="20">
        <f>VLOOKUP(A915,Metrik!$C$2:$Y$959,19,0)</f>
        <v>57.2</v>
      </c>
      <c r="N915" s="21"/>
      <c r="O915" s="21"/>
      <c r="P915" s="21"/>
      <c r="Q915" s="21"/>
      <c r="R915" s="21"/>
      <c r="S915" s="21"/>
      <c r="T915" s="21"/>
      <c r="U915" s="22">
        <f>IFERROR(__xludf.DUMMYFUNCTION("IFERROR(GOOGLEFINANCE(A915,""closeyest""),"""")"),7550.0)</f>
        <v>7550</v>
      </c>
      <c r="V915" s="23">
        <f>IFERROR(__xludf.DUMMYFUNCTION("IFERROR(GOOGLEFINANCE(A915,""changepct""),"""")"),1.99)</f>
        <v>1.99</v>
      </c>
      <c r="W915" s="22">
        <f>IFERROR(__xludf.DUMMYFUNCTION("IFERROR(GOOGLEFINANCE(A915,""priceopen""),"""")"),7625.0)</f>
        <v>7625</v>
      </c>
      <c r="X915" s="22">
        <f>IFERROR(__xludf.DUMMYFUNCTION("IFERROR(GOOGLEFINANCE(A915,""high""),"""")"),7800.0)</f>
        <v>7800</v>
      </c>
      <c r="Y915" s="22">
        <f>IFERROR(__xludf.DUMMYFUNCTION("IFERROR(GOOGLEFINANCE(A915,""low""),"""")"),7575.0)</f>
        <v>7575</v>
      </c>
      <c r="Z915" s="22">
        <f>IFERROR(__xludf.DUMMYFUNCTION("IFERROR(GOOGLEFINANCE(A915,""volume""),"""")"),5343300.0)</f>
        <v>5343300</v>
      </c>
      <c r="AA915" s="24" t="str">
        <f>VLOOKUP(A915,Metrik!$C$2:$Y$959,5,0)</f>
        <v>Forestry &amp; Paper</v>
      </c>
      <c r="AB915" s="24" t="str">
        <f>VLOOKUP(A915,Metrik!$C$2:$Y$959,3,0)</f>
        <v>Basic Materials</v>
      </c>
    </row>
    <row r="916">
      <c r="A916" s="14" t="s">
        <v>491</v>
      </c>
      <c r="B916" s="14" t="str">
        <f t="array" ref="B916">VLOOKUP(A916,{Metrik!$C$2:$C$998,Metrik!$B$2:$B$998},2,0)</f>
        <v>Indah Kiat Pulp &amp; Paper Tbk.</v>
      </c>
      <c r="C916" s="15">
        <f>IFERROR(__xludf.DUMMYFUNCTION("GOOGLEFINANCE(""IDX:""&amp;A916,""price"")"),7700.0)</f>
        <v>7700</v>
      </c>
      <c r="D916" s="16" t="str">
        <f>IFERROR(__xludf.DUMMYFUNCTION("IF(A916="""","""",
SPARKLINE(
INDEX(
GOOGLEFINANCE(""IDX:""&amp;A916,""close"",TODAY()-365,TODAY()),
,2
),
{""linewidth"",1}
))
"),"#N/A")</f>
        <v>#N/A</v>
      </c>
      <c r="E916" s="14" t="s">
        <v>30</v>
      </c>
      <c r="F916" s="17" t="s">
        <v>29</v>
      </c>
      <c r="G916" s="24">
        <f t="shared" si="7"/>
        <v>16</v>
      </c>
      <c r="H916" s="19">
        <f>VLOOKUP(A916,Metrik!$C$2:$Y$959,8,0)</f>
        <v>5.3</v>
      </c>
      <c r="I916" s="20">
        <f>VLOOKUP(A916,Metrik!$C$2:$Y$959,9,0)</f>
        <v>0.35</v>
      </c>
      <c r="J916" s="20">
        <f>VLOOKUP(A916,Metrik!$C$2:$Y$959,10,0)</f>
        <v>6.7</v>
      </c>
      <c r="K916" s="20">
        <f>VLOOKUP(A916,Metrik!$C$2:$Y$959,11,0)</f>
        <v>3.7</v>
      </c>
      <c r="L916" s="20">
        <f>VLOOKUP(A916,Metrik!$C$2:$Y$959,12,0)</f>
        <v>0.81</v>
      </c>
      <c r="M916" s="20">
        <f>VLOOKUP(A916,Metrik!$C$2:$Y$959,19,0)</f>
        <v>57.2</v>
      </c>
      <c r="N916" s="21"/>
      <c r="O916" s="21"/>
      <c r="P916" s="21"/>
      <c r="Q916" s="21"/>
      <c r="R916" s="21"/>
      <c r="S916" s="21"/>
      <c r="T916" s="21"/>
      <c r="U916" s="22">
        <f>IFERROR(__xludf.DUMMYFUNCTION("IFERROR(GOOGLEFINANCE(A916,""closeyest""),"""")"),7550.0)</f>
        <v>7550</v>
      </c>
      <c r="V916" s="23">
        <f>IFERROR(__xludf.DUMMYFUNCTION("IFERROR(GOOGLEFINANCE(A916,""changepct""),"""")"),1.99)</f>
        <v>1.99</v>
      </c>
      <c r="W916" s="22">
        <f>IFERROR(__xludf.DUMMYFUNCTION("IFERROR(GOOGLEFINANCE(A916,""priceopen""),"""")"),7625.0)</f>
        <v>7625</v>
      </c>
      <c r="X916" s="22">
        <f>IFERROR(__xludf.DUMMYFUNCTION("IFERROR(GOOGLEFINANCE(A916,""high""),"""")"),7800.0)</f>
        <v>7800</v>
      </c>
      <c r="Y916" s="22">
        <f>IFERROR(__xludf.DUMMYFUNCTION("IFERROR(GOOGLEFINANCE(A916,""low""),"""")"),7575.0)</f>
        <v>7575</v>
      </c>
      <c r="Z916" s="22">
        <f>IFERROR(__xludf.DUMMYFUNCTION("IFERROR(GOOGLEFINANCE(A916,""volume""),"""")"),5343300.0)</f>
        <v>5343300</v>
      </c>
      <c r="AA916" s="24" t="str">
        <f>VLOOKUP(A916,Metrik!$C$2:$Y$959,5,0)</f>
        <v>Forestry &amp; Paper</v>
      </c>
      <c r="AB916" s="24" t="str">
        <f>VLOOKUP(A916,Metrik!$C$2:$Y$959,3,0)</f>
        <v>Basic Materials</v>
      </c>
    </row>
    <row r="917">
      <c r="A917" s="14" t="s">
        <v>491</v>
      </c>
      <c r="B917" s="14" t="str">
        <f t="array" ref="B917">VLOOKUP(A917,{Metrik!$C$2:$C$998,Metrik!$B$2:$B$998},2,0)</f>
        <v>Indah Kiat Pulp &amp; Paper Tbk.</v>
      </c>
      <c r="C917" s="15">
        <f>IFERROR(__xludf.DUMMYFUNCTION("GOOGLEFINANCE(""IDX:""&amp;A917,""price"")"),7700.0)</f>
        <v>7700</v>
      </c>
      <c r="D917" s="16" t="str">
        <f>IFERROR(__xludf.DUMMYFUNCTION("IF(A917="""","""",
SPARKLINE(
INDEX(
GOOGLEFINANCE(""IDX:""&amp;A917,""close"",TODAY()-365,TODAY()),
,2
),
{""linewidth"",1}
))
"),"#N/A")</f>
        <v>#N/A</v>
      </c>
      <c r="E917" s="14" t="s">
        <v>84</v>
      </c>
      <c r="F917" s="17" t="s">
        <v>51</v>
      </c>
      <c r="G917" s="24">
        <f t="shared" si="7"/>
        <v>16</v>
      </c>
      <c r="H917" s="19">
        <f>VLOOKUP(A917,Metrik!$C$2:$Y$959,8,0)</f>
        <v>5.3</v>
      </c>
      <c r="I917" s="20">
        <f>VLOOKUP(A917,Metrik!$C$2:$Y$959,9,0)</f>
        <v>0.35</v>
      </c>
      <c r="J917" s="20">
        <f>VLOOKUP(A917,Metrik!$C$2:$Y$959,10,0)</f>
        <v>6.7</v>
      </c>
      <c r="K917" s="20">
        <f>VLOOKUP(A917,Metrik!$C$2:$Y$959,11,0)</f>
        <v>3.7</v>
      </c>
      <c r="L917" s="20">
        <f>VLOOKUP(A917,Metrik!$C$2:$Y$959,12,0)</f>
        <v>0.81</v>
      </c>
      <c r="M917" s="20">
        <f>VLOOKUP(A917,Metrik!$C$2:$Y$959,19,0)</f>
        <v>57.2</v>
      </c>
      <c r="N917" s="21"/>
      <c r="O917" s="21"/>
      <c r="P917" s="21"/>
      <c r="Q917" s="21"/>
      <c r="R917" s="21"/>
      <c r="S917" s="21"/>
      <c r="T917" s="21"/>
      <c r="U917" s="22">
        <f>IFERROR(__xludf.DUMMYFUNCTION("IFERROR(GOOGLEFINANCE(A917,""closeyest""),"""")"),7550.0)</f>
        <v>7550</v>
      </c>
      <c r="V917" s="23">
        <f>IFERROR(__xludf.DUMMYFUNCTION("IFERROR(GOOGLEFINANCE(A917,""changepct""),"""")"),1.99)</f>
        <v>1.99</v>
      </c>
      <c r="W917" s="22">
        <f>IFERROR(__xludf.DUMMYFUNCTION("IFERROR(GOOGLEFINANCE(A917,""priceopen""),"""")"),7625.0)</f>
        <v>7625</v>
      </c>
      <c r="X917" s="22">
        <f>IFERROR(__xludf.DUMMYFUNCTION("IFERROR(GOOGLEFINANCE(A917,""high""),"""")"),7800.0)</f>
        <v>7800</v>
      </c>
      <c r="Y917" s="22">
        <f>IFERROR(__xludf.DUMMYFUNCTION("IFERROR(GOOGLEFINANCE(A917,""low""),"""")"),7575.0)</f>
        <v>7575</v>
      </c>
      <c r="Z917" s="22">
        <f>IFERROR(__xludf.DUMMYFUNCTION("IFERROR(GOOGLEFINANCE(A917,""volume""),"""")"),5343300.0)</f>
        <v>5343300</v>
      </c>
      <c r="AA917" s="24" t="str">
        <f>VLOOKUP(A917,Metrik!$C$2:$Y$959,5,0)</f>
        <v>Forestry &amp; Paper</v>
      </c>
      <c r="AB917" s="24" t="str">
        <f>VLOOKUP(A917,Metrik!$C$2:$Y$959,3,0)</f>
        <v>Basic Materials</v>
      </c>
    </row>
    <row r="918">
      <c r="A918" s="48" t="s">
        <v>491</v>
      </c>
      <c r="B918" s="14" t="str">
        <f t="array" ref="B918">VLOOKUP(A918,{Metrik!$C$2:$C$998,Metrik!$B$2:$B$998},2,0)</f>
        <v>Indah Kiat Pulp &amp; Paper Tbk.</v>
      </c>
      <c r="C918" s="15">
        <f>IFERROR(__xludf.DUMMYFUNCTION("GOOGLEFINANCE(""IDX:""&amp;A918,""price"")"),7700.0)</f>
        <v>7700</v>
      </c>
      <c r="D918" s="16" t="str">
        <f>IFERROR(__xludf.DUMMYFUNCTION("IF(A918="""","""",
SPARKLINE(
INDEX(
GOOGLEFINANCE(""IDX:""&amp;A918,""close"",TODAY()-365,TODAY()),
,2
),
{""linewidth"",1}
))
"),"#N/A")</f>
        <v>#N/A</v>
      </c>
      <c r="E918" s="17" t="s">
        <v>69</v>
      </c>
      <c r="F918" s="17" t="s">
        <v>70</v>
      </c>
      <c r="G918" s="24">
        <f t="shared" si="7"/>
        <v>16</v>
      </c>
      <c r="H918" s="19">
        <f>VLOOKUP(A918,Metrik!$C$2:$Y$959,8,0)</f>
        <v>5.3</v>
      </c>
      <c r="I918" s="20">
        <f>VLOOKUP(A918,Metrik!$C$2:$Y$959,9,0)</f>
        <v>0.35</v>
      </c>
      <c r="J918" s="20">
        <f>VLOOKUP(A918,Metrik!$C$2:$Y$959,10,0)</f>
        <v>6.7</v>
      </c>
      <c r="K918" s="20">
        <f>VLOOKUP(A918,Metrik!$C$2:$Y$959,11,0)</f>
        <v>3.7</v>
      </c>
      <c r="L918" s="20">
        <f>VLOOKUP(A918,Metrik!$C$2:$Y$959,12,0)</f>
        <v>0.81</v>
      </c>
      <c r="M918" s="20">
        <f>VLOOKUP(A918,Metrik!$C$2:$Y$959,19,0)</f>
        <v>57.2</v>
      </c>
      <c r="N918" s="21"/>
      <c r="O918" s="21"/>
      <c r="P918" s="21"/>
      <c r="Q918" s="21"/>
      <c r="R918" s="21"/>
      <c r="S918" s="21"/>
      <c r="T918" s="21"/>
      <c r="U918" s="22">
        <f>IFERROR(__xludf.DUMMYFUNCTION("IFERROR(GOOGLEFINANCE(A918,""closeyest""),"""")"),7550.0)</f>
        <v>7550</v>
      </c>
      <c r="V918" s="23">
        <f>IFERROR(__xludf.DUMMYFUNCTION("IFERROR(GOOGLEFINANCE(A918,""changepct""),"""")"),1.99)</f>
        <v>1.99</v>
      </c>
      <c r="W918" s="22">
        <f>IFERROR(__xludf.DUMMYFUNCTION("IFERROR(GOOGLEFINANCE(A918,""priceopen""),"""")"),7625.0)</f>
        <v>7625</v>
      </c>
      <c r="X918" s="22">
        <f>IFERROR(__xludf.DUMMYFUNCTION("IFERROR(GOOGLEFINANCE(A918,""high""),"""")"),7800.0)</f>
        <v>7800</v>
      </c>
      <c r="Y918" s="22">
        <f>IFERROR(__xludf.DUMMYFUNCTION("IFERROR(GOOGLEFINANCE(A918,""low""),"""")"),7575.0)</f>
        <v>7575</v>
      </c>
      <c r="Z918" s="22">
        <f>IFERROR(__xludf.DUMMYFUNCTION("IFERROR(GOOGLEFINANCE(A918,""volume""),"""")"),5343300.0)</f>
        <v>5343300</v>
      </c>
      <c r="AA918" s="24" t="str">
        <f>VLOOKUP(A918,Metrik!$C$2:$Y$959,5,0)</f>
        <v>Forestry &amp; Paper</v>
      </c>
      <c r="AB918" s="24" t="str">
        <f>VLOOKUP(A918,Metrik!$C$2:$Y$959,3,0)</f>
        <v>Basic Materials</v>
      </c>
    </row>
    <row r="919">
      <c r="A919" s="17" t="s">
        <v>491</v>
      </c>
      <c r="B919" s="14" t="str">
        <f t="array" ref="B919">VLOOKUP(A919,{Metrik!$C$2:$C$998,Metrik!$B$2:$B$998},2,0)</f>
        <v>Indah Kiat Pulp &amp; Paper Tbk.</v>
      </c>
      <c r="C919" s="15">
        <f>IFERROR(__xludf.DUMMYFUNCTION("GOOGLEFINANCE(""IDX:""&amp;A919,""price"")"),7700.0)</f>
        <v>7700</v>
      </c>
      <c r="D919" s="16" t="str">
        <f>IFERROR(__xludf.DUMMYFUNCTION("IF(A919="""","""",
SPARKLINE(
INDEX(
GOOGLEFINANCE(""IDX:""&amp;A919,""close"",TODAY()-365,TODAY()),
,2
),
{""linewidth"",1}
))
"),"#N/A")</f>
        <v>#N/A</v>
      </c>
      <c r="E919" s="14" t="s">
        <v>35</v>
      </c>
      <c r="F919" s="17" t="s">
        <v>36</v>
      </c>
      <c r="G919" s="38">
        <f t="shared" si="7"/>
        <v>16</v>
      </c>
      <c r="H919" s="34">
        <f>VLOOKUP(A919,Metrik!$C$2:$Y$959,8,0)</f>
        <v>5.3</v>
      </c>
      <c r="I919" s="34">
        <f>VLOOKUP(A919,Metrik!$C$2:$Y$959,9,0)</f>
        <v>0.35</v>
      </c>
      <c r="J919" s="34">
        <f>VLOOKUP(A919,Metrik!$C$2:$Y$959,10,0)</f>
        <v>6.7</v>
      </c>
      <c r="K919" s="34">
        <f>VLOOKUP(A919,Metrik!$C$2:$Y$959,11,0)</f>
        <v>3.7</v>
      </c>
      <c r="L919" s="34">
        <f>VLOOKUP(A919,Metrik!$C$2:$Y$959,12,0)</f>
        <v>0.81</v>
      </c>
      <c r="M919" s="34">
        <f>VLOOKUP(A919,Metrik!$C$2:$Y$959,19,0)</f>
        <v>57.2</v>
      </c>
      <c r="N919" s="26"/>
      <c r="O919" s="26"/>
      <c r="P919" s="26"/>
      <c r="Q919" s="26"/>
      <c r="R919" s="26"/>
      <c r="S919" s="26"/>
      <c r="T919" s="26"/>
      <c r="U919" s="35">
        <f>IFERROR(__xludf.DUMMYFUNCTION("IFERROR(GOOGLEFINANCE(A919,""closeyest""),"""")"),7550.0)</f>
        <v>7550</v>
      </c>
      <c r="V919" s="36">
        <f>IFERROR(__xludf.DUMMYFUNCTION("IFERROR(GOOGLEFINANCE(A919,""changepct""),"""")"),1.99)</f>
        <v>1.99</v>
      </c>
      <c r="W919" s="35">
        <f>IFERROR(__xludf.DUMMYFUNCTION("IFERROR(GOOGLEFINANCE(A919,""priceopen""),"""")"),7625.0)</f>
        <v>7625</v>
      </c>
      <c r="X919" s="35">
        <f>IFERROR(__xludf.DUMMYFUNCTION("IFERROR(GOOGLEFINANCE(A919,""high""),"""")"),7800.0)</f>
        <v>7800</v>
      </c>
      <c r="Y919" s="35">
        <f>IFERROR(__xludf.DUMMYFUNCTION("IFERROR(GOOGLEFINANCE(A919,""low""),"""")"),7575.0)</f>
        <v>7575</v>
      </c>
      <c r="Z919" s="35">
        <f>IFERROR(__xludf.DUMMYFUNCTION("IFERROR(GOOGLEFINANCE(A919,""volume""),"""")"),5343300.0)</f>
        <v>5343300</v>
      </c>
      <c r="AA919" s="14" t="str">
        <f>VLOOKUP(A919,Metrik!$C$2:$Y$959,5,0)</f>
        <v>Forestry &amp; Paper</v>
      </c>
      <c r="AB919" s="14" t="str">
        <f>VLOOKUP(A919,Metrik!$C$2:$Y$959,3,0)</f>
        <v>Basic Materials</v>
      </c>
    </row>
    <row r="920">
      <c r="A920" s="14" t="s">
        <v>491</v>
      </c>
      <c r="B920" s="14" t="str">
        <f t="array" ref="B920">VLOOKUP(A920,{Metrik!$C$2:$C$998,Metrik!$B$2:$B$998},2,0)</f>
        <v>Indah Kiat Pulp &amp; Paper Tbk.</v>
      </c>
      <c r="C920" s="15">
        <f>IFERROR(__xludf.DUMMYFUNCTION("GOOGLEFINANCE(""IDX:""&amp;A920,""price"")"),7700.0)</f>
        <v>7700</v>
      </c>
      <c r="D920" s="16" t="str">
        <f>IFERROR(__xludf.DUMMYFUNCTION("IF(A920="""","""",
SPARKLINE(
INDEX(
GOOGLEFINANCE(""IDX:""&amp;A920,""close"",TODAY()-365,TODAY()),
,2
),
{""linewidth"",1}
))
"),"#N/A")</f>
        <v>#N/A</v>
      </c>
      <c r="E920" s="14" t="s">
        <v>38</v>
      </c>
      <c r="F920" s="25">
        <v>46356.0</v>
      </c>
      <c r="G920" s="24">
        <f t="shared" si="7"/>
        <v>16</v>
      </c>
      <c r="H920" s="19">
        <f>VLOOKUP(A920,Metrik!$C$2:$Y$959,8,0)</f>
        <v>5.3</v>
      </c>
      <c r="I920" s="20">
        <f>VLOOKUP(A920,Metrik!$C$2:$Y$959,9,0)</f>
        <v>0.35</v>
      </c>
      <c r="J920" s="20">
        <f>VLOOKUP(A920,Metrik!$C$2:$Y$959,10,0)</f>
        <v>6.7</v>
      </c>
      <c r="K920" s="20">
        <f>VLOOKUP(A920,Metrik!$C$2:$Y$959,11,0)</f>
        <v>3.7</v>
      </c>
      <c r="L920" s="20">
        <f>VLOOKUP(A920,Metrik!$C$2:$Y$959,12,0)</f>
        <v>0.81</v>
      </c>
      <c r="M920" s="20">
        <f>VLOOKUP(A920,Metrik!$C$2:$Y$959,19,0)</f>
        <v>57.2</v>
      </c>
      <c r="N920" s="21"/>
      <c r="O920" s="21"/>
      <c r="P920" s="21"/>
      <c r="Q920" s="21"/>
      <c r="R920" s="21"/>
      <c r="S920" s="21"/>
      <c r="T920" s="21"/>
      <c r="U920" s="22">
        <f>IFERROR(__xludf.DUMMYFUNCTION("IFERROR(GOOGLEFINANCE(A920,""closeyest""),"""")"),7550.0)</f>
        <v>7550</v>
      </c>
      <c r="V920" s="23">
        <f>IFERROR(__xludf.DUMMYFUNCTION("IFERROR(GOOGLEFINANCE(A920,""changepct""),"""")"),1.99)</f>
        <v>1.99</v>
      </c>
      <c r="W920" s="22">
        <f>IFERROR(__xludf.DUMMYFUNCTION("IFERROR(GOOGLEFINANCE(A920,""priceopen""),"""")"),7625.0)</f>
        <v>7625</v>
      </c>
      <c r="X920" s="22">
        <f>IFERROR(__xludf.DUMMYFUNCTION("IFERROR(GOOGLEFINANCE(A920,""high""),"""")"),7800.0)</f>
        <v>7800</v>
      </c>
      <c r="Y920" s="22">
        <f>IFERROR(__xludf.DUMMYFUNCTION("IFERROR(GOOGLEFINANCE(A920,""low""),"""")"),7575.0)</f>
        <v>7575</v>
      </c>
      <c r="Z920" s="22">
        <f>IFERROR(__xludf.DUMMYFUNCTION("IFERROR(GOOGLEFINANCE(A920,""volume""),"""")"),5343300.0)</f>
        <v>5343300</v>
      </c>
      <c r="AA920" s="24" t="str">
        <f>VLOOKUP(A920,Metrik!$C$2:$Y$959,5,0)</f>
        <v>Forestry &amp; Paper</v>
      </c>
      <c r="AB920" s="24" t="str">
        <f>VLOOKUP(A920,Metrik!$C$2:$Y$959,3,0)</f>
        <v>Basic Materials</v>
      </c>
    </row>
    <row r="921">
      <c r="A921" s="14" t="s">
        <v>491</v>
      </c>
      <c r="B921" s="14" t="str">
        <f t="array" ref="B921">VLOOKUP(A921,{Metrik!$C$2:$C$998,Metrik!$B$2:$B$998},2,0)</f>
        <v>Indah Kiat Pulp &amp; Paper Tbk.</v>
      </c>
      <c r="C921" s="15">
        <f>IFERROR(__xludf.DUMMYFUNCTION("GOOGLEFINANCE(""IDX:""&amp;A921,""price"")"),7700.0)</f>
        <v>7700</v>
      </c>
      <c r="D921" s="16" t="str">
        <f>IFERROR(__xludf.DUMMYFUNCTION("IF(A921="""","""",
SPARKLINE(
INDEX(
GOOGLEFINANCE(""IDX:""&amp;A921,""close"",TODAY()-365,TODAY()),
,2
),
{""linewidth"",1}
))
"),"#N/A")</f>
        <v>#N/A</v>
      </c>
      <c r="E921" s="14" t="s">
        <v>39</v>
      </c>
      <c r="F921" s="25">
        <v>46356.0</v>
      </c>
      <c r="G921" s="24">
        <f t="shared" si="7"/>
        <v>16</v>
      </c>
      <c r="H921" s="19">
        <f>VLOOKUP(A921,Metrik!$C$2:$Y$959,8,0)</f>
        <v>5.3</v>
      </c>
      <c r="I921" s="20">
        <f>VLOOKUP(A921,Metrik!$C$2:$Y$959,9,0)</f>
        <v>0.35</v>
      </c>
      <c r="J921" s="20">
        <f>VLOOKUP(A921,Metrik!$C$2:$Y$959,10,0)</f>
        <v>6.7</v>
      </c>
      <c r="K921" s="20">
        <f>VLOOKUP(A921,Metrik!$C$2:$Y$959,11,0)</f>
        <v>3.7</v>
      </c>
      <c r="L921" s="20">
        <f>VLOOKUP(A921,Metrik!$C$2:$Y$959,12,0)</f>
        <v>0.81</v>
      </c>
      <c r="M921" s="20">
        <f>VLOOKUP(A921,Metrik!$C$2:$Y$959,19,0)</f>
        <v>57.2</v>
      </c>
      <c r="N921" s="21"/>
      <c r="O921" s="21"/>
      <c r="P921" s="21"/>
      <c r="Q921" s="21"/>
      <c r="R921" s="21"/>
      <c r="S921" s="21"/>
      <c r="T921" s="21"/>
      <c r="U921" s="22">
        <f>IFERROR(__xludf.DUMMYFUNCTION("IFERROR(GOOGLEFINANCE(A921,""closeyest""),"""")"),7550.0)</f>
        <v>7550</v>
      </c>
      <c r="V921" s="23">
        <f>IFERROR(__xludf.DUMMYFUNCTION("IFERROR(GOOGLEFINANCE(A921,""changepct""),"""")"),1.99)</f>
        <v>1.99</v>
      </c>
      <c r="W921" s="22">
        <f>IFERROR(__xludf.DUMMYFUNCTION("IFERROR(GOOGLEFINANCE(A921,""priceopen""),"""")"),7625.0)</f>
        <v>7625</v>
      </c>
      <c r="X921" s="22">
        <f>IFERROR(__xludf.DUMMYFUNCTION("IFERROR(GOOGLEFINANCE(A921,""high""),"""")"),7800.0)</f>
        <v>7800</v>
      </c>
      <c r="Y921" s="22">
        <f>IFERROR(__xludf.DUMMYFUNCTION("IFERROR(GOOGLEFINANCE(A921,""low""),"""")"),7575.0)</f>
        <v>7575</v>
      </c>
      <c r="Z921" s="22">
        <f>IFERROR(__xludf.DUMMYFUNCTION("IFERROR(GOOGLEFINANCE(A921,""volume""),"""")"),5343300.0)</f>
        <v>5343300</v>
      </c>
      <c r="AA921" s="24" t="str">
        <f>VLOOKUP(A921,Metrik!$C$2:$Y$959,5,0)</f>
        <v>Forestry &amp; Paper</v>
      </c>
      <c r="AB921" s="24" t="str">
        <f>VLOOKUP(A921,Metrik!$C$2:$Y$959,3,0)</f>
        <v>Basic Materials</v>
      </c>
    </row>
    <row r="922">
      <c r="A922" s="14" t="s">
        <v>492</v>
      </c>
      <c r="B922" s="14" t="str">
        <f t="array" ref="B922">VLOOKUP(A922,{Metrik!$C$2:$C$998,Metrik!$B$2:$B$998},2,0)</f>
        <v>Inocycle Technology Group Tbk.</v>
      </c>
      <c r="C922" s="15">
        <f>IFERROR(__xludf.DUMMYFUNCTION("GOOGLEFINANCE(""IDX:""&amp;A922,""price"")"),112.0)</f>
        <v>112</v>
      </c>
      <c r="D922" s="16" t="str">
        <f>IFERROR(__xludf.DUMMYFUNCTION("IF(A922="""","""",
SPARKLINE(
INDEX(
GOOGLEFINANCE(""IDX:""&amp;A922,""close"",TODAY()-365,TODAY()),
,2
),
{""linewidth"",1}
))
"),"#N/A")</f>
        <v>#N/A</v>
      </c>
      <c r="E922" s="26"/>
      <c r="F922" s="26"/>
      <c r="G922" s="24">
        <f t="shared" si="7"/>
        <v>0</v>
      </c>
      <c r="H922" s="19">
        <f>VLOOKUP(A922,Metrik!$C$2:$Y$959,8,0)</f>
        <v>4.9</v>
      </c>
      <c r="I922" s="20">
        <f>VLOOKUP(A922,Metrik!$C$2:$Y$959,9,0)</f>
        <v>0.66</v>
      </c>
      <c r="J922" s="20">
        <f>VLOOKUP(A922,Metrik!$C$2:$Y$959,10,0)</f>
        <v>13.6</v>
      </c>
      <c r="K922" s="20">
        <f>VLOOKUP(A922,Metrik!$C$2:$Y$959,11,0)</f>
        <v>4.6</v>
      </c>
      <c r="L922" s="20">
        <f>VLOOKUP(A922,Metrik!$C$2:$Y$959,12,0)</f>
        <v>2</v>
      </c>
      <c r="M922" s="20">
        <f>VLOOKUP(A922,Metrik!$C$2:$Y$959,19,0)</f>
        <v>26.2</v>
      </c>
      <c r="N922" s="21"/>
      <c r="O922" s="21"/>
      <c r="P922" s="21"/>
      <c r="Q922" s="21"/>
      <c r="R922" s="21"/>
      <c r="S922" s="21"/>
      <c r="T922" s="21"/>
      <c r="U922" s="22" t="str">
        <f>IFERROR(__xludf.DUMMYFUNCTION("IFERROR(GOOGLEFINANCE(A922,""closeyest""),"""")"),"")</f>
        <v/>
      </c>
      <c r="V922" s="23">
        <f>IFERROR(__xludf.DUMMYFUNCTION("IFERROR(GOOGLEFINANCE(A922,""changepct""),"""")"),1.57)</f>
        <v>1.57</v>
      </c>
      <c r="W922" s="22">
        <f>IFERROR(__xludf.DUMMYFUNCTION("IFERROR(GOOGLEFINANCE(A922,""priceopen""),"""")"),36.49)</f>
        <v>36.49</v>
      </c>
      <c r="X922" s="22">
        <f>IFERROR(__xludf.DUMMYFUNCTION("IFERROR(GOOGLEFINANCE(A922,""high""),"""")"),36.6)</f>
        <v>36.6</v>
      </c>
      <c r="Y922" s="22">
        <f>IFERROR(__xludf.DUMMYFUNCTION("IFERROR(GOOGLEFINANCE(A922,""low""),"""")"),36.49)</f>
        <v>36.49</v>
      </c>
      <c r="Z922" s="22">
        <f>IFERROR(__xludf.DUMMYFUNCTION("IFERROR(GOOGLEFINANCE(A922,""volume""),"""")"),175.0)</f>
        <v>175</v>
      </c>
      <c r="AA922" s="24" t="str">
        <f>VLOOKUP(A922,Metrik!$C$2:$Y$959,5,0)</f>
        <v>Apparel &amp; Luxury Goods</v>
      </c>
      <c r="AB922" s="24" t="str">
        <f>VLOOKUP(A922,Metrik!$C$2:$Y$959,3,0)</f>
        <v>Consumer Cyclicals</v>
      </c>
    </row>
    <row r="923">
      <c r="A923" s="14" t="s">
        <v>493</v>
      </c>
      <c r="B923" s="14" t="str">
        <f t="array" ref="B923">VLOOKUP(A923,{Metrik!$C$2:$C$998,Metrik!$B$2:$B$998},2,0)</f>
        <v>Bank Artha Graha Internasional Tbk</v>
      </c>
      <c r="C923" s="15">
        <f>IFERROR(__xludf.DUMMYFUNCTION("GOOGLEFINANCE(""IDX:""&amp;A923,""price"")"),132.0)</f>
        <v>132</v>
      </c>
      <c r="D923" s="16" t="str">
        <f>IFERROR(__xludf.DUMMYFUNCTION("IF(A923="""","""",
SPARKLINE(
INDEX(
GOOGLEFINANCE(""IDX:""&amp;A923,""close"",TODAY()-365,TODAY()),
,2
),
{""linewidth"",1}
))
"),"#N/A")</f>
        <v>#N/A</v>
      </c>
      <c r="E923" s="26"/>
      <c r="F923" s="26"/>
      <c r="G923" s="24">
        <f t="shared" si="7"/>
        <v>0</v>
      </c>
      <c r="H923" s="19">
        <f>VLOOKUP(A923,Metrik!$C$2:$Y$959,8,0)</f>
        <v>-5.3</v>
      </c>
      <c r="I923" s="20">
        <f>VLOOKUP(A923,Metrik!$C$2:$Y$959,9,0)</f>
        <v>0.73</v>
      </c>
      <c r="J923" s="20">
        <f>VLOOKUP(A923,Metrik!$C$2:$Y$959,10,0)</f>
        <v>-13.8</v>
      </c>
      <c r="K923" s="20">
        <f>VLOOKUP(A923,Metrik!$C$2:$Y$959,11,0)</f>
        <v>-1.7</v>
      </c>
      <c r="L923" s="20">
        <f>VLOOKUP(A923,Metrik!$C$2:$Y$959,12,0)</f>
        <v>6.9</v>
      </c>
      <c r="M923" s="20">
        <f>VLOOKUP(A923,Metrik!$C$2:$Y$959,19,0)</f>
        <v>-130</v>
      </c>
      <c r="N923" s="32">
        <v>2.78</v>
      </c>
      <c r="O923" s="32">
        <v>18.15</v>
      </c>
      <c r="P923" s="32">
        <v>43.23</v>
      </c>
      <c r="Q923" s="32">
        <v>0.85</v>
      </c>
      <c r="R923" s="32">
        <v>124.31</v>
      </c>
      <c r="S923" s="32">
        <v>95.12</v>
      </c>
      <c r="T923" s="32">
        <v>12.45</v>
      </c>
      <c r="U923" s="22">
        <f>IFERROR(__xludf.DUMMYFUNCTION("IFERROR(GOOGLEFINANCE(A923,""closeyest""),"""")"),130.0)</f>
        <v>130</v>
      </c>
      <c r="V923" s="23">
        <f>IFERROR(__xludf.DUMMYFUNCTION("IFERROR(GOOGLEFINANCE(A923,""changepct""),"""")"),1.54)</f>
        <v>1.54</v>
      </c>
      <c r="W923" s="22">
        <f>IFERROR(__xludf.DUMMYFUNCTION("IFERROR(GOOGLEFINANCE(A923,""priceopen""),"""")"),130.0)</f>
        <v>130</v>
      </c>
      <c r="X923" s="22">
        <f>IFERROR(__xludf.DUMMYFUNCTION("IFERROR(GOOGLEFINANCE(A923,""high""),"""")"),135.0)</f>
        <v>135</v>
      </c>
      <c r="Y923" s="22">
        <f>IFERROR(__xludf.DUMMYFUNCTION("IFERROR(GOOGLEFINANCE(A923,""low""),"""")"),130.0)</f>
        <v>130</v>
      </c>
      <c r="Z923" s="22">
        <f>IFERROR(__xludf.DUMMYFUNCTION("IFERROR(GOOGLEFINANCE(A923,""volume""),"""")"),2306700.0)</f>
        <v>2306700</v>
      </c>
      <c r="AA923" s="24" t="str">
        <f>VLOOKUP(A923,Metrik!$C$2:$Y$959,5,0)</f>
        <v>Banks</v>
      </c>
      <c r="AB923" s="24" t="str">
        <f>VLOOKUP(A923,Metrik!$C$2:$Y$959,3,0)</f>
        <v>Financials</v>
      </c>
    </row>
    <row r="924">
      <c r="A924" s="14" t="s">
        <v>494</v>
      </c>
      <c r="B924" s="14" t="str">
        <f t="array" ref="B924">VLOOKUP(A924,{Metrik!$C$2:$C$998,Metrik!$B$2:$B$998},2,0)</f>
        <v>Indonesian Paradise Property Tbk.</v>
      </c>
      <c r="C924" s="15" t="str">
        <f>IFERROR(__xludf.DUMMYFUNCTION("GOOGLEFINANCE(""IDX:""&amp;A924,""price"")"),"#N/A")</f>
        <v>#N/A</v>
      </c>
      <c r="D924" s="16" t="str">
        <f>IFERROR(__xludf.DUMMYFUNCTION("IF(A924="""","""",
SPARKLINE(
INDEX(
GOOGLEFINANCE(""IDX:""&amp;A924,""close"",TODAY()-365,TODAY()),
,2
),
{""linewidth"",1}
))
"),"#N/A")</f>
        <v>#N/A</v>
      </c>
      <c r="E924" s="26"/>
      <c r="F924" s="26"/>
      <c r="G924" s="24">
        <f t="shared" si="7"/>
        <v>0</v>
      </c>
      <c r="H924" s="19">
        <f>VLOOKUP(A924,Metrik!$C$2:$Y$959,8,0)</f>
        <v>-19.7</v>
      </c>
      <c r="I924" s="20">
        <f>VLOOKUP(A924,Metrik!$C$2:$Y$959,9,0)</f>
        <v>1.3</v>
      </c>
      <c r="J924" s="20">
        <f>VLOOKUP(A924,Metrik!$C$2:$Y$959,10,0)</f>
        <v>-6.6</v>
      </c>
      <c r="K924" s="20">
        <f>VLOOKUP(A924,Metrik!$C$2:$Y$959,11,0)</f>
        <v>-4.4</v>
      </c>
      <c r="L924" s="20">
        <f>VLOOKUP(A924,Metrik!$C$2:$Y$959,12,0)</f>
        <v>0.51</v>
      </c>
      <c r="M924" s="20">
        <f>VLOOKUP(A924,Metrik!$C$2:$Y$959,19,0)</f>
        <v>-140</v>
      </c>
      <c r="N924" s="21"/>
      <c r="O924" s="21"/>
      <c r="P924" s="21"/>
      <c r="Q924" s="21"/>
      <c r="R924" s="21"/>
      <c r="S924" s="21"/>
      <c r="T924" s="21"/>
      <c r="U924" s="22">
        <f>IFERROR(__xludf.DUMMYFUNCTION("IFERROR(GOOGLEFINANCE(A924,""closeyest""),"""")"),137.2)</f>
        <v>137.2</v>
      </c>
      <c r="V924" s="23">
        <f>IFERROR(__xludf.DUMMYFUNCTION("IFERROR(GOOGLEFINANCE(A924,""changepct""),"""")"),1.17)</f>
        <v>1.17</v>
      </c>
      <c r="W924" s="22">
        <f>IFERROR(__xludf.DUMMYFUNCTION("IFERROR(GOOGLEFINANCE(A924,""priceopen""),"""")"),138.6)</f>
        <v>138.6</v>
      </c>
      <c r="X924" s="22">
        <f>IFERROR(__xludf.DUMMYFUNCTION("IFERROR(GOOGLEFINANCE(A924,""high""),"""")"),140.2)</f>
        <v>140.2</v>
      </c>
      <c r="Y924" s="22">
        <f>IFERROR(__xludf.DUMMYFUNCTION("IFERROR(GOOGLEFINANCE(A924,""low""),"""")"),137.92)</f>
        <v>137.92</v>
      </c>
      <c r="Z924" s="22">
        <f>IFERROR(__xludf.DUMMYFUNCTION("IFERROR(GOOGLEFINANCE(A924,""volume""),"""")"),2656290.0)</f>
        <v>2656290</v>
      </c>
      <c r="AA924" s="24" t="str">
        <f>VLOOKUP(A924,Metrik!$C$2:$Y$959,5,0)</f>
        <v>Real Estate Management &amp; Development</v>
      </c>
      <c r="AB924" s="24" t="str">
        <f>VLOOKUP(A924,Metrik!$C$2:$Y$959,3,0)</f>
        <v>Properties &amp; Real Estate</v>
      </c>
    </row>
    <row r="925">
      <c r="A925" s="14" t="s">
        <v>495</v>
      </c>
      <c r="B925" s="14" t="str">
        <f t="array" ref="B925">VLOOKUP(A925,{Metrik!$C$2:$C$998,Metrik!$B$2:$B$998},2,0)</f>
        <v>Indah Prakasa Sentosa Tbk.</v>
      </c>
      <c r="C925" s="15">
        <f>IFERROR(__xludf.DUMMYFUNCTION("GOOGLEFINANCE(""IDX:""&amp;A925,""price"")"),700.0)</f>
        <v>700</v>
      </c>
      <c r="D925" s="16" t="str">
        <f>IFERROR(__xludf.DUMMYFUNCTION("IF(A925="""","""",
SPARKLINE(
INDEX(
GOOGLEFINANCE(""IDX:""&amp;A925,""close"",TODAY()-365,TODAY()),
,2
),
{""linewidth"",1}
))
"),"#N/A")</f>
        <v>#N/A</v>
      </c>
      <c r="E925" s="26"/>
      <c r="F925" s="26"/>
      <c r="G925" s="24">
        <f t="shared" si="7"/>
        <v>0</v>
      </c>
      <c r="H925" s="19">
        <f>VLOOKUP(A925,Metrik!$C$2:$Y$959,8,0)</f>
        <v>-20.3</v>
      </c>
      <c r="I925" s="20">
        <f>VLOOKUP(A925,Metrik!$C$2:$Y$959,9,0)</f>
        <v>-9.1</v>
      </c>
      <c r="J925" s="20">
        <f>VLOOKUP(A925,Metrik!$C$2:$Y$959,10,0)</f>
        <v>0</v>
      </c>
      <c r="K925" s="20">
        <f>VLOOKUP(A925,Metrik!$C$2:$Y$959,11,0)</f>
        <v>-14</v>
      </c>
      <c r="L925" s="20">
        <f>VLOOKUP(A925,Metrik!$C$2:$Y$959,12,0)</f>
        <v>-4.2</v>
      </c>
      <c r="M925" s="20">
        <f>VLOOKUP(A925,Metrik!$C$2:$Y$959,19,0)</f>
        <v>-32.8</v>
      </c>
      <c r="N925" s="21"/>
      <c r="O925" s="21"/>
      <c r="P925" s="21"/>
      <c r="Q925" s="21"/>
      <c r="R925" s="21"/>
      <c r="S925" s="21"/>
      <c r="T925" s="21"/>
      <c r="U925" s="22">
        <f>IFERROR(__xludf.DUMMYFUNCTION("IFERROR(GOOGLEFINANCE(A925,""closeyest""),"""")"),650.0)</f>
        <v>650</v>
      </c>
      <c r="V925" s="23">
        <f>IFERROR(__xludf.DUMMYFUNCTION("IFERROR(GOOGLEFINANCE(A925,""changepct""),"""")"),7.69)</f>
        <v>7.69</v>
      </c>
      <c r="W925" s="22" t="str">
        <f>IFERROR(__xludf.DUMMYFUNCTION("IFERROR(GOOGLEFINANCE(A925,""priceopen""),"""")"),"")</f>
        <v/>
      </c>
      <c r="X925" s="22">
        <f>IFERROR(__xludf.DUMMYFUNCTION("IFERROR(GOOGLEFINANCE(A925,""high""),"""")"),700.0)</f>
        <v>700</v>
      </c>
      <c r="Y925" s="22">
        <f>IFERROR(__xludf.DUMMYFUNCTION("IFERROR(GOOGLEFINANCE(A925,""low""),"""")"),645.0)</f>
        <v>645</v>
      </c>
      <c r="Z925" s="22">
        <f>IFERROR(__xludf.DUMMYFUNCTION("IFERROR(GOOGLEFINANCE(A925,""volume""),"""")"),194000.0)</f>
        <v>194000</v>
      </c>
      <c r="AA925" s="24" t="str">
        <f>VLOOKUP(A925,Metrik!$C$2:$Y$959,5,0)</f>
        <v>Oil &amp; Gas</v>
      </c>
      <c r="AB925" s="24" t="str">
        <f>VLOOKUP(A925,Metrik!$C$2:$Y$959,3,0)</f>
        <v>Energy</v>
      </c>
    </row>
    <row r="926">
      <c r="A926" s="14" t="s">
        <v>496</v>
      </c>
      <c r="B926" s="14" t="str">
        <f t="array" ref="B926">VLOOKUP(A926,{Metrik!$C$2:$C$998,Metrik!$B$2:$B$998},2,0)</f>
        <v>Intraco Penta Tbk.</v>
      </c>
      <c r="C926" s="15">
        <f>IFERROR(__xludf.DUMMYFUNCTION("GOOGLEFINANCE(""IDX:""&amp;A926,""price"")"),63.0)</f>
        <v>63</v>
      </c>
      <c r="D926" s="16" t="str">
        <f>IFERROR(__xludf.DUMMYFUNCTION("IF(A926="""","""",
SPARKLINE(
INDEX(
GOOGLEFINANCE(""IDX:""&amp;A926,""close"",TODAY()-365,TODAY()),
,2
),
{""linewidth"",1}
))
"),"#N/A")</f>
        <v>#N/A</v>
      </c>
      <c r="E926" s="26"/>
      <c r="F926" s="26"/>
      <c r="G926" s="24">
        <f t="shared" si="7"/>
        <v>0</v>
      </c>
      <c r="H926" s="19">
        <f>VLOOKUP(A926,Metrik!$C$2:$Y$959,8,0)</f>
        <v>-3</v>
      </c>
      <c r="I926" s="20">
        <f>VLOOKUP(A926,Metrik!$C$2:$Y$959,9,0)</f>
        <v>-0.11</v>
      </c>
      <c r="J926" s="20">
        <f>VLOOKUP(A926,Metrik!$C$2:$Y$959,10,0)</f>
        <v>0</v>
      </c>
      <c r="K926" s="20">
        <f>VLOOKUP(A926,Metrik!$C$2:$Y$959,11,0)</f>
        <v>-3.6</v>
      </c>
      <c r="L926" s="20">
        <f>VLOOKUP(A926,Metrik!$C$2:$Y$959,12,0)</f>
        <v>-2.1</v>
      </c>
      <c r="M926" s="20">
        <f>VLOOKUP(A926,Metrik!$C$2:$Y$959,19,0)</f>
        <v>-38.3</v>
      </c>
      <c r="N926" s="21"/>
      <c r="O926" s="21"/>
      <c r="P926" s="21"/>
      <c r="Q926" s="21"/>
      <c r="R926" s="21"/>
      <c r="S926" s="21"/>
      <c r="T926" s="21"/>
      <c r="U926" s="22">
        <f>IFERROR(__xludf.DUMMYFUNCTION("IFERROR(GOOGLEFINANCE(A926,""closeyest""),"""")"),23.2)</f>
        <v>23.2</v>
      </c>
      <c r="V926" s="23">
        <f>IFERROR(__xludf.DUMMYFUNCTION("IFERROR(GOOGLEFINANCE(A926,""changepct""),"""")"),3.02)</f>
        <v>3.02</v>
      </c>
      <c r="W926" s="22">
        <f>IFERROR(__xludf.DUMMYFUNCTION("IFERROR(GOOGLEFINANCE(A926,""priceopen""),"""")"),23.2)</f>
        <v>23.2</v>
      </c>
      <c r="X926" s="22">
        <f>IFERROR(__xludf.DUMMYFUNCTION("IFERROR(GOOGLEFINANCE(A926,""high""),"""")"),24.18)</f>
        <v>24.18</v>
      </c>
      <c r="Y926" s="22">
        <f>IFERROR(__xludf.DUMMYFUNCTION("IFERROR(GOOGLEFINANCE(A926,""low""),"""")"),22.3)</f>
        <v>22.3</v>
      </c>
      <c r="Z926" s="22">
        <f>IFERROR(__xludf.DUMMYFUNCTION("IFERROR(GOOGLEFINANCE(A926,""volume""),"""")"),943795.0)</f>
        <v>943795</v>
      </c>
      <c r="AA926" s="24" t="str">
        <f>VLOOKUP(A926,Metrik!$C$2:$Y$959,5,0)</f>
        <v>Machinery</v>
      </c>
      <c r="AB926" s="24" t="str">
        <f>VLOOKUP(A926,Metrik!$C$2:$Y$959,3,0)</f>
        <v>Industrials</v>
      </c>
    </row>
    <row r="927">
      <c r="A927" s="14" t="s">
        <v>497</v>
      </c>
      <c r="B927" s="14" t="str">
        <f t="array" ref="B927">VLOOKUP(A927,{Metrik!$C$2:$C$998,Metrik!$B$2:$B$998},2,0)</f>
        <v>Inter Delta Tbk</v>
      </c>
      <c r="C927" s="15">
        <f>IFERROR(__xludf.DUMMYFUNCTION("GOOGLEFINANCE(""IDX:""&amp;A927,""price"")"),234.0)</f>
        <v>234</v>
      </c>
      <c r="D927" s="16" t="str">
        <f>IFERROR(__xludf.DUMMYFUNCTION("IF(A927="""","""",
SPARKLINE(
INDEX(
GOOGLEFINANCE(""IDX:""&amp;A927,""close"",TODAY()-365,TODAY()),
,2
),
{""linewidth"",1}
))
"),"#N/A")</f>
        <v>#N/A</v>
      </c>
      <c r="E927" s="26"/>
      <c r="F927" s="26"/>
      <c r="G927" s="24">
        <f t="shared" si="7"/>
        <v>0</v>
      </c>
      <c r="H927" s="19">
        <f>VLOOKUP(A927,Metrik!$C$2:$Y$959,8,0)</f>
        <v>-51.9</v>
      </c>
      <c r="I927" s="20">
        <f>VLOOKUP(A927,Metrik!$C$2:$Y$959,9,0)</f>
        <v>4.2</v>
      </c>
      <c r="J927" s="20">
        <f>VLOOKUP(A927,Metrik!$C$2:$Y$959,10,0)</f>
        <v>-8.1</v>
      </c>
      <c r="K927" s="20">
        <f>VLOOKUP(A927,Metrik!$C$2:$Y$959,11,0)</f>
        <v>-7.5</v>
      </c>
      <c r="L927" s="20">
        <f>VLOOKUP(A927,Metrik!$C$2:$Y$959,12,0)</f>
        <v>0.07</v>
      </c>
      <c r="M927" s="20">
        <f>VLOOKUP(A927,Metrik!$C$2:$Y$959,19,0)</f>
        <v>-32.1</v>
      </c>
      <c r="N927" s="21"/>
      <c r="O927" s="21"/>
      <c r="P927" s="21"/>
      <c r="Q927" s="21"/>
      <c r="R927" s="21"/>
      <c r="S927" s="21"/>
      <c r="T927" s="21"/>
      <c r="U927" s="22">
        <f>IFERROR(__xludf.DUMMYFUNCTION("IFERROR(GOOGLEFINANCE(A927,""closeyest""),"""")"),224.0)</f>
        <v>224</v>
      </c>
      <c r="V927" s="23">
        <f>IFERROR(__xludf.DUMMYFUNCTION("IFERROR(GOOGLEFINANCE(A927,""changepct""),"""")"),4.46)</f>
        <v>4.46</v>
      </c>
      <c r="W927" s="22">
        <f>IFERROR(__xludf.DUMMYFUNCTION("IFERROR(GOOGLEFINANCE(A927,""priceopen""),"""")"),250.0)</f>
        <v>250</v>
      </c>
      <c r="X927" s="22">
        <f>IFERROR(__xludf.DUMMYFUNCTION("IFERROR(GOOGLEFINANCE(A927,""high""),"""")"),258.0)</f>
        <v>258</v>
      </c>
      <c r="Y927" s="22">
        <f>IFERROR(__xludf.DUMMYFUNCTION("IFERROR(GOOGLEFINANCE(A927,""low""),"""")"),228.0)</f>
        <v>228</v>
      </c>
      <c r="Z927" s="22">
        <f>IFERROR(__xludf.DUMMYFUNCTION("IFERROR(GOOGLEFINANCE(A927,""volume""),"""")"),78600.0)</f>
        <v>78600</v>
      </c>
      <c r="AA927" s="24" t="str">
        <f>VLOOKUP(A927,Metrik!$C$2:$Y$959,5,0)</f>
        <v>Forestry &amp; Paper</v>
      </c>
      <c r="AB927" s="24" t="str">
        <f>VLOOKUP(A927,Metrik!$C$2:$Y$959,3,0)</f>
        <v>Basic Materials</v>
      </c>
    </row>
    <row r="928">
      <c r="A928" s="14" t="s">
        <v>498</v>
      </c>
      <c r="B928" s="14" t="str">
        <f t="array" ref="B928">VLOOKUP(A928,{Metrik!$C$2:$C$998,Metrik!$B$2:$B$998},2,0)</f>
        <v>Indocement Tunggal Prakarsa Tbk.</v>
      </c>
      <c r="C928" s="15">
        <f>IFERROR(__xludf.DUMMYFUNCTION("GOOGLEFINANCE(""IDX:""&amp;A928,""price"")"),4110.0)</f>
        <v>4110</v>
      </c>
      <c r="D928" s="16" t="str">
        <f>IFERROR(__xludf.DUMMYFUNCTION("IF(A928="""","""",
SPARKLINE(
INDEX(
GOOGLEFINANCE(""IDX:""&amp;A928,""close"",TODAY()-365,TODAY()),
,2
),
{""linewidth"",1}
))
"),"#N/A")</f>
        <v>#N/A</v>
      </c>
      <c r="E928" s="14" t="s">
        <v>47</v>
      </c>
      <c r="F928" s="25">
        <v>46356.0</v>
      </c>
      <c r="G928" s="24">
        <f t="shared" si="7"/>
        <v>13</v>
      </c>
      <c r="H928" s="19">
        <f>VLOOKUP(A928,Metrik!$C$2:$Y$959,8,0)</f>
        <v>7.6</v>
      </c>
      <c r="I928" s="20">
        <f>VLOOKUP(A928,Metrik!$C$2:$Y$959,9,0)</f>
        <v>0.74</v>
      </c>
      <c r="J928" s="20">
        <f>VLOOKUP(A928,Metrik!$C$2:$Y$959,10,0)</f>
        <v>9.7</v>
      </c>
      <c r="K928" s="20">
        <f>VLOOKUP(A928,Metrik!$C$2:$Y$959,11,0)</f>
        <v>7.2</v>
      </c>
      <c r="L928" s="20">
        <f>VLOOKUP(A928,Metrik!$C$2:$Y$959,12,0)</f>
        <v>0.34</v>
      </c>
      <c r="M928" s="20">
        <f>VLOOKUP(A928,Metrik!$C$2:$Y$959,19,0)</f>
        <v>58.6</v>
      </c>
      <c r="N928" s="21"/>
      <c r="O928" s="21"/>
      <c r="P928" s="21"/>
      <c r="Q928" s="21"/>
      <c r="R928" s="21"/>
      <c r="S928" s="21"/>
      <c r="T928" s="21"/>
      <c r="U928" s="22">
        <f>IFERROR(__xludf.DUMMYFUNCTION("IFERROR(GOOGLEFINANCE(A928,""closeyest""),"""")"),4160.0)</f>
        <v>4160</v>
      </c>
      <c r="V928" s="23" t="str">
        <f>IFERROR(__xludf.DUMMYFUNCTION("IFERROR(GOOGLEFINANCE(A928,""changepct""),"""")"),"")</f>
        <v/>
      </c>
      <c r="W928" s="22">
        <f>IFERROR(__xludf.DUMMYFUNCTION("IFERROR(GOOGLEFINANCE(A928,""priceopen""),"""")"),4190.0)</f>
        <v>4190</v>
      </c>
      <c r="X928" s="22">
        <f>IFERROR(__xludf.DUMMYFUNCTION("IFERROR(GOOGLEFINANCE(A928,""high""),"""")"),4240.0)</f>
        <v>4240</v>
      </c>
      <c r="Y928" s="22">
        <f>IFERROR(__xludf.DUMMYFUNCTION("IFERROR(GOOGLEFINANCE(A928,""low""),"""")"),4090.0)</f>
        <v>4090</v>
      </c>
      <c r="Z928" s="22">
        <f>IFERROR(__xludf.DUMMYFUNCTION("IFERROR(GOOGLEFINANCE(A928,""volume""),"""")"),2337500.0)</f>
        <v>2337500</v>
      </c>
      <c r="AA928" s="24" t="str">
        <f>VLOOKUP(A928,Metrik!$C$2:$Y$959,5,0)</f>
        <v>Construction Materials</v>
      </c>
      <c r="AB928" s="24" t="str">
        <f>VLOOKUP(A928,Metrik!$C$2:$Y$959,3,0)</f>
        <v>Basic Materials</v>
      </c>
    </row>
    <row r="929">
      <c r="A929" s="14" t="s">
        <v>498</v>
      </c>
      <c r="B929" s="14" t="str">
        <f t="array" ref="B929">VLOOKUP(A929,{Metrik!$C$2:$C$998,Metrik!$B$2:$B$998},2,0)</f>
        <v>Indocement Tunggal Prakarsa Tbk.</v>
      </c>
      <c r="C929" s="15">
        <f>IFERROR(__xludf.DUMMYFUNCTION("GOOGLEFINANCE(""IDX:""&amp;A929,""price"")"),4110.0)</f>
        <v>4110</v>
      </c>
      <c r="D929" s="16" t="str">
        <f>IFERROR(__xludf.DUMMYFUNCTION("IF(A929="""","""",
SPARKLINE(
INDEX(
GOOGLEFINANCE(""IDX:""&amp;A929,""close"",TODAY()-365,TODAY()),
,2
),
{""linewidth"",1}
))
"),"#N/A")</f>
        <v>#N/A</v>
      </c>
      <c r="E929" s="14" t="s">
        <v>55</v>
      </c>
      <c r="F929" s="25">
        <v>46356.0</v>
      </c>
      <c r="G929" s="24">
        <f t="shared" si="7"/>
        <v>13</v>
      </c>
      <c r="H929" s="19">
        <f>VLOOKUP(A929,Metrik!$C$2:$Y$959,8,0)</f>
        <v>7.6</v>
      </c>
      <c r="I929" s="20">
        <f>VLOOKUP(A929,Metrik!$C$2:$Y$959,9,0)</f>
        <v>0.74</v>
      </c>
      <c r="J929" s="20">
        <f>VLOOKUP(A929,Metrik!$C$2:$Y$959,10,0)</f>
        <v>9.7</v>
      </c>
      <c r="K929" s="20">
        <f>VLOOKUP(A929,Metrik!$C$2:$Y$959,11,0)</f>
        <v>7.2</v>
      </c>
      <c r="L929" s="20">
        <f>VLOOKUP(A929,Metrik!$C$2:$Y$959,12,0)</f>
        <v>0.34</v>
      </c>
      <c r="M929" s="20">
        <f>VLOOKUP(A929,Metrik!$C$2:$Y$959,19,0)</f>
        <v>58.6</v>
      </c>
      <c r="N929" s="21"/>
      <c r="O929" s="21"/>
      <c r="P929" s="21"/>
      <c r="Q929" s="21"/>
      <c r="R929" s="21"/>
      <c r="S929" s="21"/>
      <c r="T929" s="21"/>
      <c r="U929" s="22">
        <f>IFERROR(__xludf.DUMMYFUNCTION("IFERROR(GOOGLEFINANCE(A929,""closeyest""),"""")"),4160.0)</f>
        <v>4160</v>
      </c>
      <c r="V929" s="23" t="str">
        <f>IFERROR(__xludf.DUMMYFUNCTION("IFERROR(GOOGLEFINANCE(A929,""changepct""),"""")"),"")</f>
        <v/>
      </c>
      <c r="W929" s="22">
        <f>IFERROR(__xludf.DUMMYFUNCTION("IFERROR(GOOGLEFINANCE(A929,""priceopen""),"""")"),4190.0)</f>
        <v>4190</v>
      </c>
      <c r="X929" s="22">
        <f>IFERROR(__xludf.DUMMYFUNCTION("IFERROR(GOOGLEFINANCE(A929,""high""),"""")"),4240.0)</f>
        <v>4240</v>
      </c>
      <c r="Y929" s="22">
        <f>IFERROR(__xludf.DUMMYFUNCTION("IFERROR(GOOGLEFINANCE(A929,""low""),"""")"),4090.0)</f>
        <v>4090</v>
      </c>
      <c r="Z929" s="22">
        <f>IFERROR(__xludf.DUMMYFUNCTION("IFERROR(GOOGLEFINANCE(A929,""volume""),"""")"),2337500.0)</f>
        <v>2337500</v>
      </c>
      <c r="AA929" s="24" t="str">
        <f>VLOOKUP(A929,Metrik!$C$2:$Y$959,5,0)</f>
        <v>Construction Materials</v>
      </c>
      <c r="AB929" s="24" t="str">
        <f>VLOOKUP(A929,Metrik!$C$2:$Y$959,3,0)</f>
        <v>Basic Materials</v>
      </c>
    </row>
    <row r="930">
      <c r="A930" s="14" t="s">
        <v>498</v>
      </c>
      <c r="B930" s="14" t="str">
        <f t="array" ref="B930">VLOOKUP(A930,{Metrik!$C$2:$C$998,Metrik!$B$2:$B$998},2,0)</f>
        <v>Indocement Tunggal Prakarsa Tbk.</v>
      </c>
      <c r="C930" s="15">
        <f>IFERROR(__xludf.DUMMYFUNCTION("GOOGLEFINANCE(""IDX:""&amp;A930,""price"")"),4110.0)</f>
        <v>4110</v>
      </c>
      <c r="D930" s="16" t="str">
        <f>IFERROR(__xludf.DUMMYFUNCTION("IF(A930="""","""",
SPARKLINE(
INDEX(
GOOGLEFINANCE(""IDX:""&amp;A930,""close"",TODAY()-365,TODAY()),
,2
),
{""linewidth"",1}
))
"),"#N/A")</f>
        <v>#N/A</v>
      </c>
      <c r="E930" s="14" t="s">
        <v>54</v>
      </c>
      <c r="F930" s="14" t="s">
        <v>34</v>
      </c>
      <c r="G930" s="24">
        <f t="shared" si="7"/>
        <v>13</v>
      </c>
      <c r="H930" s="19">
        <f>VLOOKUP(A930,Metrik!$C$2:$Y$959,8,0)</f>
        <v>7.6</v>
      </c>
      <c r="I930" s="20">
        <f>VLOOKUP(A930,Metrik!$C$2:$Y$959,9,0)</f>
        <v>0.74</v>
      </c>
      <c r="J930" s="20">
        <f>VLOOKUP(A930,Metrik!$C$2:$Y$959,10,0)</f>
        <v>9.7</v>
      </c>
      <c r="K930" s="20">
        <f>VLOOKUP(A930,Metrik!$C$2:$Y$959,11,0)</f>
        <v>7.2</v>
      </c>
      <c r="L930" s="20">
        <f>VLOOKUP(A930,Metrik!$C$2:$Y$959,12,0)</f>
        <v>0.34</v>
      </c>
      <c r="M930" s="20">
        <f>VLOOKUP(A930,Metrik!$C$2:$Y$959,19,0)</f>
        <v>58.6</v>
      </c>
      <c r="N930" s="21"/>
      <c r="O930" s="21"/>
      <c r="P930" s="21"/>
      <c r="Q930" s="21"/>
      <c r="R930" s="21"/>
      <c r="S930" s="21"/>
      <c r="T930" s="21"/>
      <c r="U930" s="22">
        <f>IFERROR(__xludf.DUMMYFUNCTION("IFERROR(GOOGLEFINANCE(A930,""closeyest""),"""")"),4160.0)</f>
        <v>4160</v>
      </c>
      <c r="V930" s="23" t="str">
        <f>IFERROR(__xludf.DUMMYFUNCTION("IFERROR(GOOGLEFINANCE(A930,""changepct""),"""")"),"")</f>
        <v/>
      </c>
      <c r="W930" s="22">
        <f>IFERROR(__xludf.DUMMYFUNCTION("IFERROR(GOOGLEFINANCE(A930,""priceopen""),"""")"),4190.0)</f>
        <v>4190</v>
      </c>
      <c r="X930" s="22">
        <f>IFERROR(__xludf.DUMMYFUNCTION("IFERROR(GOOGLEFINANCE(A930,""high""),"""")"),4240.0)</f>
        <v>4240</v>
      </c>
      <c r="Y930" s="22">
        <f>IFERROR(__xludf.DUMMYFUNCTION("IFERROR(GOOGLEFINANCE(A930,""low""),"""")"),4090.0)</f>
        <v>4090</v>
      </c>
      <c r="Z930" s="22">
        <f>IFERROR(__xludf.DUMMYFUNCTION("IFERROR(GOOGLEFINANCE(A930,""volume""),"""")"),2337500.0)</f>
        <v>2337500</v>
      </c>
      <c r="AA930" s="24" t="str">
        <f>VLOOKUP(A930,Metrik!$C$2:$Y$959,5,0)</f>
        <v>Construction Materials</v>
      </c>
      <c r="AB930" s="24" t="str">
        <f>VLOOKUP(A930,Metrik!$C$2:$Y$959,3,0)</f>
        <v>Basic Materials</v>
      </c>
    </row>
    <row r="931">
      <c r="A931" s="14" t="s">
        <v>498</v>
      </c>
      <c r="B931" s="14" t="str">
        <f t="array" ref="B931">VLOOKUP(A931,{Metrik!$C$2:$C$998,Metrik!$B$2:$B$998},2,0)</f>
        <v>Indocement Tunggal Prakarsa Tbk.</v>
      </c>
      <c r="C931" s="15">
        <f>IFERROR(__xludf.DUMMYFUNCTION("GOOGLEFINANCE(""IDX:""&amp;A931,""price"")"),4110.0)</f>
        <v>4110</v>
      </c>
      <c r="D931" s="16" t="str">
        <f>IFERROR(__xludf.DUMMYFUNCTION("IF(A931="""","""",
SPARKLINE(
INDEX(
GOOGLEFINANCE(""IDX:""&amp;A931,""close"",TODAY()-365,TODAY()),
,2
),
{""linewidth"",1}
))
"),"#N/A")</f>
        <v>#N/A</v>
      </c>
      <c r="E931" s="14" t="s">
        <v>33</v>
      </c>
      <c r="F931" s="14" t="s">
        <v>34</v>
      </c>
      <c r="G931" s="24">
        <f t="shared" si="7"/>
        <v>13</v>
      </c>
      <c r="H931" s="19">
        <f>VLOOKUP(A931,Metrik!$C$2:$Y$959,8,0)</f>
        <v>7.6</v>
      </c>
      <c r="I931" s="20">
        <f>VLOOKUP(A931,Metrik!$C$2:$Y$959,9,0)</f>
        <v>0.74</v>
      </c>
      <c r="J931" s="20">
        <f>VLOOKUP(A931,Metrik!$C$2:$Y$959,10,0)</f>
        <v>9.7</v>
      </c>
      <c r="K931" s="20">
        <f>VLOOKUP(A931,Metrik!$C$2:$Y$959,11,0)</f>
        <v>7.2</v>
      </c>
      <c r="L931" s="20">
        <f>VLOOKUP(A931,Metrik!$C$2:$Y$959,12,0)</f>
        <v>0.34</v>
      </c>
      <c r="M931" s="20">
        <f>VLOOKUP(A931,Metrik!$C$2:$Y$959,19,0)</f>
        <v>58.6</v>
      </c>
      <c r="N931" s="21"/>
      <c r="O931" s="21"/>
      <c r="P931" s="21"/>
      <c r="Q931" s="21"/>
      <c r="R931" s="21"/>
      <c r="S931" s="21"/>
      <c r="T931" s="21"/>
      <c r="U931" s="22">
        <f>IFERROR(__xludf.DUMMYFUNCTION("IFERROR(GOOGLEFINANCE(A931,""closeyest""),"""")"),4160.0)</f>
        <v>4160</v>
      </c>
      <c r="V931" s="23" t="str">
        <f>IFERROR(__xludf.DUMMYFUNCTION("IFERROR(GOOGLEFINANCE(A931,""changepct""),"""")"),"")</f>
        <v/>
      </c>
      <c r="W931" s="22">
        <f>IFERROR(__xludf.DUMMYFUNCTION("IFERROR(GOOGLEFINANCE(A931,""priceopen""),"""")"),4190.0)</f>
        <v>4190</v>
      </c>
      <c r="X931" s="22">
        <f>IFERROR(__xludf.DUMMYFUNCTION("IFERROR(GOOGLEFINANCE(A931,""high""),"""")"),4240.0)</f>
        <v>4240</v>
      </c>
      <c r="Y931" s="22">
        <f>IFERROR(__xludf.DUMMYFUNCTION("IFERROR(GOOGLEFINANCE(A931,""low""),"""")"),4090.0)</f>
        <v>4090</v>
      </c>
      <c r="Z931" s="22">
        <f>IFERROR(__xludf.DUMMYFUNCTION("IFERROR(GOOGLEFINANCE(A931,""volume""),"""")"),2337500.0)</f>
        <v>2337500</v>
      </c>
      <c r="AA931" s="24" t="str">
        <f>VLOOKUP(A931,Metrik!$C$2:$Y$959,5,0)</f>
        <v>Construction Materials</v>
      </c>
      <c r="AB931" s="24" t="str">
        <f>VLOOKUP(A931,Metrik!$C$2:$Y$959,3,0)</f>
        <v>Basic Materials</v>
      </c>
    </row>
    <row r="932">
      <c r="A932" s="14" t="s">
        <v>498</v>
      </c>
      <c r="B932" s="14" t="str">
        <f t="array" ref="B932">VLOOKUP(A932,{Metrik!$C$2:$C$998,Metrik!$B$2:$B$998},2,0)</f>
        <v>Indocement Tunggal Prakarsa Tbk.</v>
      </c>
      <c r="C932" s="15">
        <f>IFERROR(__xludf.DUMMYFUNCTION("GOOGLEFINANCE(""IDX:""&amp;A932,""price"")"),4110.0)</f>
        <v>4110</v>
      </c>
      <c r="D932" s="16" t="str">
        <f>IFERROR(__xludf.DUMMYFUNCTION("IF(A932="""","""",
SPARKLINE(
INDEX(
GOOGLEFINANCE(""IDX:""&amp;A932,""close"",TODAY()-365,TODAY()),
,2
),
{""linewidth"",1}
))
"),"#N/A")</f>
        <v>#N/A</v>
      </c>
      <c r="E932" s="14" t="s">
        <v>28</v>
      </c>
      <c r="F932" s="17" t="s">
        <v>29</v>
      </c>
      <c r="G932" s="24">
        <f t="shared" si="7"/>
        <v>13</v>
      </c>
      <c r="H932" s="19">
        <f>VLOOKUP(A932,Metrik!$C$2:$Y$959,8,0)</f>
        <v>7.6</v>
      </c>
      <c r="I932" s="20">
        <f>VLOOKUP(A932,Metrik!$C$2:$Y$959,9,0)</f>
        <v>0.74</v>
      </c>
      <c r="J932" s="20">
        <f>VLOOKUP(A932,Metrik!$C$2:$Y$959,10,0)</f>
        <v>9.7</v>
      </c>
      <c r="K932" s="20">
        <f>VLOOKUP(A932,Metrik!$C$2:$Y$959,11,0)</f>
        <v>7.2</v>
      </c>
      <c r="L932" s="20">
        <f>VLOOKUP(A932,Metrik!$C$2:$Y$959,12,0)</f>
        <v>0.34</v>
      </c>
      <c r="M932" s="20">
        <f>VLOOKUP(A932,Metrik!$C$2:$Y$959,19,0)</f>
        <v>58.6</v>
      </c>
      <c r="N932" s="21"/>
      <c r="O932" s="21"/>
      <c r="P932" s="21"/>
      <c r="Q932" s="21"/>
      <c r="R932" s="21"/>
      <c r="S932" s="21"/>
      <c r="T932" s="21"/>
      <c r="U932" s="22">
        <f>IFERROR(__xludf.DUMMYFUNCTION("IFERROR(GOOGLEFINANCE(A932,""closeyest""),"""")"),4160.0)</f>
        <v>4160</v>
      </c>
      <c r="V932" s="23" t="str">
        <f>IFERROR(__xludf.DUMMYFUNCTION("IFERROR(GOOGLEFINANCE(A932,""changepct""),"""")"),"")</f>
        <v/>
      </c>
      <c r="W932" s="22">
        <f>IFERROR(__xludf.DUMMYFUNCTION("IFERROR(GOOGLEFINANCE(A932,""priceopen""),"""")"),4190.0)</f>
        <v>4190</v>
      </c>
      <c r="X932" s="22">
        <f>IFERROR(__xludf.DUMMYFUNCTION("IFERROR(GOOGLEFINANCE(A932,""high""),"""")"),4240.0)</f>
        <v>4240</v>
      </c>
      <c r="Y932" s="22">
        <f>IFERROR(__xludf.DUMMYFUNCTION("IFERROR(GOOGLEFINANCE(A932,""low""),"""")"),4090.0)</f>
        <v>4090</v>
      </c>
      <c r="Z932" s="22">
        <f>IFERROR(__xludf.DUMMYFUNCTION("IFERROR(GOOGLEFINANCE(A932,""volume""),"""")"),2337500.0)</f>
        <v>2337500</v>
      </c>
      <c r="AA932" s="24" t="str">
        <f>VLOOKUP(A932,Metrik!$C$2:$Y$959,5,0)</f>
        <v>Construction Materials</v>
      </c>
      <c r="AB932" s="24" t="str">
        <f>VLOOKUP(A932,Metrik!$C$2:$Y$959,3,0)</f>
        <v>Basic Materials</v>
      </c>
    </row>
    <row r="933">
      <c r="A933" s="14" t="s">
        <v>498</v>
      </c>
      <c r="B933" s="14" t="str">
        <f t="array" ref="B933">VLOOKUP(A933,{Metrik!$C$2:$C$998,Metrik!$B$2:$B$998},2,0)</f>
        <v>Indocement Tunggal Prakarsa Tbk.</v>
      </c>
      <c r="C933" s="15">
        <f>IFERROR(__xludf.DUMMYFUNCTION("GOOGLEFINANCE(""IDX:""&amp;A933,""price"")"),4110.0)</f>
        <v>4110</v>
      </c>
      <c r="D933" s="16" t="str">
        <f>IFERROR(__xludf.DUMMYFUNCTION("IF(A933="""","""",
SPARKLINE(
INDEX(
GOOGLEFINANCE(""IDX:""&amp;A933,""close"",TODAY()-365,TODAY()),
,2
),
{""linewidth"",1}
))
"),"#N/A")</f>
        <v>#N/A</v>
      </c>
      <c r="E933" s="14" t="s">
        <v>32</v>
      </c>
      <c r="F933" s="14" t="s">
        <v>29</v>
      </c>
      <c r="G933" s="24">
        <f t="shared" si="7"/>
        <v>13</v>
      </c>
      <c r="H933" s="19">
        <f>VLOOKUP(A933,Metrik!$C$2:$Y$959,8,0)</f>
        <v>7.6</v>
      </c>
      <c r="I933" s="20">
        <f>VLOOKUP(A933,Metrik!$C$2:$Y$959,9,0)</f>
        <v>0.74</v>
      </c>
      <c r="J933" s="20">
        <f>VLOOKUP(A933,Metrik!$C$2:$Y$959,10,0)</f>
        <v>9.7</v>
      </c>
      <c r="K933" s="20">
        <f>VLOOKUP(A933,Metrik!$C$2:$Y$959,11,0)</f>
        <v>7.2</v>
      </c>
      <c r="L933" s="20">
        <f>VLOOKUP(A933,Metrik!$C$2:$Y$959,12,0)</f>
        <v>0.34</v>
      </c>
      <c r="M933" s="20">
        <f>VLOOKUP(A933,Metrik!$C$2:$Y$959,19,0)</f>
        <v>58.6</v>
      </c>
      <c r="N933" s="21"/>
      <c r="O933" s="21"/>
      <c r="P933" s="21"/>
      <c r="Q933" s="21"/>
      <c r="R933" s="21"/>
      <c r="S933" s="21"/>
      <c r="T933" s="21"/>
      <c r="U933" s="22">
        <f>IFERROR(__xludf.DUMMYFUNCTION("IFERROR(GOOGLEFINANCE(A933,""closeyest""),"""")"),4160.0)</f>
        <v>4160</v>
      </c>
      <c r="V933" s="23" t="str">
        <f>IFERROR(__xludf.DUMMYFUNCTION("IFERROR(GOOGLEFINANCE(A933,""changepct""),"""")"),"")</f>
        <v/>
      </c>
      <c r="W933" s="22">
        <f>IFERROR(__xludf.DUMMYFUNCTION("IFERROR(GOOGLEFINANCE(A933,""priceopen""),"""")"),4190.0)</f>
        <v>4190</v>
      </c>
      <c r="X933" s="22">
        <f>IFERROR(__xludf.DUMMYFUNCTION("IFERROR(GOOGLEFINANCE(A933,""high""),"""")"),4240.0)</f>
        <v>4240</v>
      </c>
      <c r="Y933" s="22">
        <f>IFERROR(__xludf.DUMMYFUNCTION("IFERROR(GOOGLEFINANCE(A933,""low""),"""")"),4090.0)</f>
        <v>4090</v>
      </c>
      <c r="Z933" s="22">
        <f>IFERROR(__xludf.DUMMYFUNCTION("IFERROR(GOOGLEFINANCE(A933,""volume""),"""")"),2337500.0)</f>
        <v>2337500</v>
      </c>
      <c r="AA933" s="24" t="str">
        <f>VLOOKUP(A933,Metrik!$C$2:$Y$959,5,0)</f>
        <v>Construction Materials</v>
      </c>
      <c r="AB933" s="24" t="str">
        <f>VLOOKUP(A933,Metrik!$C$2:$Y$959,3,0)</f>
        <v>Basic Materials</v>
      </c>
    </row>
    <row r="934">
      <c r="A934" s="14" t="s">
        <v>498</v>
      </c>
      <c r="B934" s="14" t="str">
        <f t="array" ref="B934">VLOOKUP(A934,{Metrik!$C$2:$C$998,Metrik!$B$2:$B$998},2,0)</f>
        <v>Indocement Tunggal Prakarsa Tbk.</v>
      </c>
      <c r="C934" s="15">
        <f>IFERROR(__xludf.DUMMYFUNCTION("GOOGLEFINANCE(""IDX:""&amp;A934,""price"")"),4110.0)</f>
        <v>4110</v>
      </c>
      <c r="D934" s="16" t="str">
        <f>IFERROR(__xludf.DUMMYFUNCTION("IF(A934="""","""",
SPARKLINE(
INDEX(
GOOGLEFINANCE(""IDX:""&amp;A934,""close"",TODAY()-365,TODAY()),
,2
),
{""linewidth"",1}
))
"),"#N/A")</f>
        <v>#N/A</v>
      </c>
      <c r="E934" s="14" t="s">
        <v>85</v>
      </c>
      <c r="F934" s="17" t="s">
        <v>51</v>
      </c>
      <c r="G934" s="24">
        <f t="shared" si="7"/>
        <v>13</v>
      </c>
      <c r="H934" s="19">
        <f>VLOOKUP(A934,Metrik!$C$2:$Y$959,8,0)</f>
        <v>7.6</v>
      </c>
      <c r="I934" s="20">
        <f>VLOOKUP(A934,Metrik!$C$2:$Y$959,9,0)</f>
        <v>0.74</v>
      </c>
      <c r="J934" s="20">
        <f>VLOOKUP(A934,Metrik!$C$2:$Y$959,10,0)</f>
        <v>9.7</v>
      </c>
      <c r="K934" s="20">
        <f>VLOOKUP(A934,Metrik!$C$2:$Y$959,11,0)</f>
        <v>7.2</v>
      </c>
      <c r="L934" s="20">
        <f>VLOOKUP(A934,Metrik!$C$2:$Y$959,12,0)</f>
        <v>0.34</v>
      </c>
      <c r="M934" s="20">
        <f>VLOOKUP(A934,Metrik!$C$2:$Y$959,19,0)</f>
        <v>58.6</v>
      </c>
      <c r="N934" s="21"/>
      <c r="O934" s="21"/>
      <c r="P934" s="21"/>
      <c r="Q934" s="21"/>
      <c r="R934" s="21"/>
      <c r="S934" s="21"/>
      <c r="T934" s="21"/>
      <c r="U934" s="22">
        <f>IFERROR(__xludf.DUMMYFUNCTION("IFERROR(GOOGLEFINANCE(A934,""closeyest""),"""")"),4160.0)</f>
        <v>4160</v>
      </c>
      <c r="V934" s="23" t="str">
        <f>IFERROR(__xludf.DUMMYFUNCTION("IFERROR(GOOGLEFINANCE(A934,""changepct""),"""")"),"")</f>
        <v/>
      </c>
      <c r="W934" s="22">
        <f>IFERROR(__xludf.DUMMYFUNCTION("IFERROR(GOOGLEFINANCE(A934,""priceopen""),"""")"),4190.0)</f>
        <v>4190</v>
      </c>
      <c r="X934" s="22">
        <f>IFERROR(__xludf.DUMMYFUNCTION("IFERROR(GOOGLEFINANCE(A934,""high""),"""")"),4240.0)</f>
        <v>4240</v>
      </c>
      <c r="Y934" s="22">
        <f>IFERROR(__xludf.DUMMYFUNCTION("IFERROR(GOOGLEFINANCE(A934,""low""),"""")"),4090.0)</f>
        <v>4090</v>
      </c>
      <c r="Z934" s="22">
        <f>IFERROR(__xludf.DUMMYFUNCTION("IFERROR(GOOGLEFINANCE(A934,""volume""),"""")"),2337500.0)</f>
        <v>2337500</v>
      </c>
      <c r="AA934" s="24" t="str">
        <f>VLOOKUP(A934,Metrik!$C$2:$Y$959,5,0)</f>
        <v>Construction Materials</v>
      </c>
      <c r="AB934" s="24" t="str">
        <f>VLOOKUP(A934,Metrik!$C$2:$Y$959,3,0)</f>
        <v>Basic Materials</v>
      </c>
    </row>
    <row r="935">
      <c r="A935" s="14" t="s">
        <v>498</v>
      </c>
      <c r="B935" s="14" t="str">
        <f t="array" ref="B935">VLOOKUP(A935,{Metrik!$C$2:$C$998,Metrik!$B$2:$B$998},2,0)</f>
        <v>Indocement Tunggal Prakarsa Tbk.</v>
      </c>
      <c r="C935" s="15">
        <f>IFERROR(__xludf.DUMMYFUNCTION("GOOGLEFINANCE(""IDX:""&amp;A935,""price"")"),4110.0)</f>
        <v>4110</v>
      </c>
      <c r="D935" s="16" t="str">
        <f>IFERROR(__xludf.DUMMYFUNCTION("IF(A935="""","""",
SPARKLINE(
INDEX(
GOOGLEFINANCE(""IDX:""&amp;A935,""close"",TODAY()-365,TODAY()),
,2
),
{""linewidth"",1}
))
"),"#N/A")</f>
        <v>#N/A</v>
      </c>
      <c r="E935" s="14" t="s">
        <v>41</v>
      </c>
      <c r="F935" s="14" t="s">
        <v>34</v>
      </c>
      <c r="G935" s="24">
        <f t="shared" si="7"/>
        <v>13</v>
      </c>
      <c r="H935" s="19">
        <f>VLOOKUP(A935,Metrik!$C$2:$Y$959,8,0)</f>
        <v>7.6</v>
      </c>
      <c r="I935" s="20">
        <f>VLOOKUP(A935,Metrik!$C$2:$Y$959,9,0)</f>
        <v>0.74</v>
      </c>
      <c r="J935" s="20">
        <f>VLOOKUP(A935,Metrik!$C$2:$Y$959,10,0)</f>
        <v>9.7</v>
      </c>
      <c r="K935" s="20">
        <f>VLOOKUP(A935,Metrik!$C$2:$Y$959,11,0)</f>
        <v>7.2</v>
      </c>
      <c r="L935" s="20">
        <f>VLOOKUP(A935,Metrik!$C$2:$Y$959,12,0)</f>
        <v>0.34</v>
      </c>
      <c r="M935" s="20">
        <f>VLOOKUP(A935,Metrik!$C$2:$Y$959,19,0)</f>
        <v>58.6</v>
      </c>
      <c r="N935" s="21"/>
      <c r="O935" s="21"/>
      <c r="P935" s="21"/>
      <c r="Q935" s="21"/>
      <c r="R935" s="21"/>
      <c r="S935" s="21"/>
      <c r="T935" s="21"/>
      <c r="U935" s="22">
        <f>IFERROR(__xludf.DUMMYFUNCTION("IFERROR(GOOGLEFINANCE(A935,""closeyest""),"""")"),4160.0)</f>
        <v>4160</v>
      </c>
      <c r="V935" s="23" t="str">
        <f>IFERROR(__xludf.DUMMYFUNCTION("IFERROR(GOOGLEFINANCE(A935,""changepct""),"""")"),"")</f>
        <v/>
      </c>
      <c r="W935" s="22">
        <f>IFERROR(__xludf.DUMMYFUNCTION("IFERROR(GOOGLEFINANCE(A935,""priceopen""),"""")"),4190.0)</f>
        <v>4190</v>
      </c>
      <c r="X935" s="22">
        <f>IFERROR(__xludf.DUMMYFUNCTION("IFERROR(GOOGLEFINANCE(A935,""high""),"""")"),4240.0)</f>
        <v>4240</v>
      </c>
      <c r="Y935" s="22">
        <f>IFERROR(__xludf.DUMMYFUNCTION("IFERROR(GOOGLEFINANCE(A935,""low""),"""")"),4090.0)</f>
        <v>4090</v>
      </c>
      <c r="Z935" s="22">
        <f>IFERROR(__xludf.DUMMYFUNCTION("IFERROR(GOOGLEFINANCE(A935,""volume""),"""")"),2337500.0)</f>
        <v>2337500</v>
      </c>
      <c r="AA935" s="24" t="str">
        <f>VLOOKUP(A935,Metrik!$C$2:$Y$959,5,0)</f>
        <v>Construction Materials</v>
      </c>
      <c r="AB935" s="24" t="str">
        <f>VLOOKUP(A935,Metrik!$C$2:$Y$959,3,0)</f>
        <v>Basic Materials</v>
      </c>
    </row>
    <row r="936">
      <c r="A936" s="48" t="s">
        <v>498</v>
      </c>
      <c r="B936" s="14" t="str">
        <f t="array" ref="B936">VLOOKUP(A936,{Metrik!$C$2:$C$998,Metrik!$B$2:$B$998},2,0)</f>
        <v>Indocement Tunggal Prakarsa Tbk.</v>
      </c>
      <c r="C936" s="15">
        <f>IFERROR(__xludf.DUMMYFUNCTION("GOOGLEFINANCE(""IDX:""&amp;A936,""price"")"),4110.0)</f>
        <v>4110</v>
      </c>
      <c r="D936" s="16" t="str">
        <f>IFERROR(__xludf.DUMMYFUNCTION("IF(A936="""","""",
SPARKLINE(
INDEX(
GOOGLEFINANCE(""IDX:""&amp;A936,""close"",TODAY()-365,TODAY()),
,2
),
{""linewidth"",1}
))
"),"#N/A")</f>
        <v>#N/A</v>
      </c>
      <c r="E936" s="17" t="s">
        <v>69</v>
      </c>
      <c r="F936" s="17" t="s">
        <v>70</v>
      </c>
      <c r="G936" s="24">
        <f t="shared" si="7"/>
        <v>13</v>
      </c>
      <c r="H936" s="19">
        <f>VLOOKUP(A936,Metrik!$C$2:$Y$959,8,0)</f>
        <v>7.6</v>
      </c>
      <c r="I936" s="20">
        <f>VLOOKUP(A936,Metrik!$C$2:$Y$959,9,0)</f>
        <v>0.74</v>
      </c>
      <c r="J936" s="20">
        <f>VLOOKUP(A936,Metrik!$C$2:$Y$959,10,0)</f>
        <v>9.7</v>
      </c>
      <c r="K936" s="20">
        <f>VLOOKUP(A936,Metrik!$C$2:$Y$959,11,0)</f>
        <v>7.2</v>
      </c>
      <c r="L936" s="20">
        <f>VLOOKUP(A936,Metrik!$C$2:$Y$959,12,0)</f>
        <v>0.34</v>
      </c>
      <c r="M936" s="20">
        <f>VLOOKUP(A936,Metrik!$C$2:$Y$959,19,0)</f>
        <v>58.6</v>
      </c>
      <c r="N936" s="21"/>
      <c r="O936" s="21"/>
      <c r="P936" s="21"/>
      <c r="Q936" s="21"/>
      <c r="R936" s="21"/>
      <c r="S936" s="21"/>
      <c r="T936" s="21"/>
      <c r="U936" s="22">
        <f>IFERROR(__xludf.DUMMYFUNCTION("IFERROR(GOOGLEFINANCE(A936,""closeyest""),"""")"),4160.0)</f>
        <v>4160</v>
      </c>
      <c r="V936" s="23" t="str">
        <f>IFERROR(__xludf.DUMMYFUNCTION("IFERROR(GOOGLEFINANCE(A936,""changepct""),"""")"),"")</f>
        <v/>
      </c>
      <c r="W936" s="22">
        <f>IFERROR(__xludf.DUMMYFUNCTION("IFERROR(GOOGLEFINANCE(A936,""priceopen""),"""")"),4190.0)</f>
        <v>4190</v>
      </c>
      <c r="X936" s="22">
        <f>IFERROR(__xludf.DUMMYFUNCTION("IFERROR(GOOGLEFINANCE(A936,""high""),"""")"),4240.0)</f>
        <v>4240</v>
      </c>
      <c r="Y936" s="22">
        <f>IFERROR(__xludf.DUMMYFUNCTION("IFERROR(GOOGLEFINANCE(A936,""low""),"""")"),4090.0)</f>
        <v>4090</v>
      </c>
      <c r="Z936" s="22">
        <f>IFERROR(__xludf.DUMMYFUNCTION("IFERROR(GOOGLEFINANCE(A936,""volume""),"""")"),2337500.0)</f>
        <v>2337500</v>
      </c>
      <c r="AA936" s="24" t="str">
        <f>VLOOKUP(A936,Metrik!$C$2:$Y$959,5,0)</f>
        <v>Construction Materials</v>
      </c>
      <c r="AB936" s="24" t="str">
        <f>VLOOKUP(A936,Metrik!$C$2:$Y$959,3,0)</f>
        <v>Basic Materials</v>
      </c>
    </row>
    <row r="937">
      <c r="A937" s="17" t="s">
        <v>498</v>
      </c>
      <c r="B937" s="14" t="str">
        <f t="array" ref="B937">VLOOKUP(A937,{Metrik!$C$2:$C$998,Metrik!$B$2:$B$998},2,0)</f>
        <v>Indocement Tunggal Prakarsa Tbk.</v>
      </c>
      <c r="C937" s="15">
        <f>IFERROR(__xludf.DUMMYFUNCTION("GOOGLEFINANCE(""IDX:""&amp;A937,""price"")"),4110.0)</f>
        <v>4110</v>
      </c>
      <c r="D937" s="16" t="str">
        <f>IFERROR(__xludf.DUMMYFUNCTION("IF(A937="""","""",
SPARKLINE(
INDEX(
GOOGLEFINANCE(""IDX:""&amp;A937,""close"",TODAY()-365,TODAY()),
,2
),
{""linewidth"",1}
))
"),"#N/A")</f>
        <v>#N/A</v>
      </c>
      <c r="E937" s="14" t="s">
        <v>35</v>
      </c>
      <c r="F937" s="17" t="s">
        <v>36</v>
      </c>
      <c r="G937" s="38">
        <f t="shared" si="7"/>
        <v>13</v>
      </c>
      <c r="H937" s="34">
        <f>VLOOKUP(A937,Metrik!$C$2:$Y$959,8,0)</f>
        <v>7.6</v>
      </c>
      <c r="I937" s="34">
        <f>VLOOKUP(A937,Metrik!$C$2:$Y$959,9,0)</f>
        <v>0.74</v>
      </c>
      <c r="J937" s="34">
        <f>VLOOKUP(A937,Metrik!$C$2:$Y$959,10,0)</f>
        <v>9.7</v>
      </c>
      <c r="K937" s="34">
        <f>VLOOKUP(A937,Metrik!$C$2:$Y$959,11,0)</f>
        <v>7.2</v>
      </c>
      <c r="L937" s="34">
        <f>VLOOKUP(A937,Metrik!$C$2:$Y$959,12,0)</f>
        <v>0.34</v>
      </c>
      <c r="M937" s="34">
        <f>VLOOKUP(A937,Metrik!$C$2:$Y$959,19,0)</f>
        <v>58.6</v>
      </c>
      <c r="N937" s="45">
        <v>5.4</v>
      </c>
      <c r="O937" s="45">
        <v>23.2</v>
      </c>
      <c r="P937" s="45">
        <v>83.0</v>
      </c>
      <c r="Q937" s="45">
        <v>1.9</v>
      </c>
      <c r="R937" s="45">
        <v>65.9</v>
      </c>
      <c r="S937" s="45">
        <v>42.4</v>
      </c>
      <c r="T937" s="45">
        <v>5.9</v>
      </c>
      <c r="U937" s="35">
        <f>IFERROR(__xludf.DUMMYFUNCTION("IFERROR(GOOGLEFINANCE(A937,""closeyest""),"""")"),4160.0)</f>
        <v>4160</v>
      </c>
      <c r="V937" s="36" t="str">
        <f>IFERROR(__xludf.DUMMYFUNCTION("IFERROR(GOOGLEFINANCE(A937,""changepct""),"""")"),"")</f>
        <v/>
      </c>
      <c r="W937" s="49">
        <f>IFERROR(__xludf.DUMMYFUNCTION("IFERROR(GOOGLEFINANCE(A937,""priceopen""),"""")"),4190.0)</f>
        <v>4190</v>
      </c>
      <c r="X937" s="35">
        <f>IFERROR(__xludf.DUMMYFUNCTION("IFERROR(GOOGLEFINANCE(A937,""high""),"""")"),4240.0)</f>
        <v>4240</v>
      </c>
      <c r="Y937" s="35">
        <f>IFERROR(__xludf.DUMMYFUNCTION("IFERROR(GOOGLEFINANCE(A937,""low""),"""")"),4090.0)</f>
        <v>4090</v>
      </c>
      <c r="Z937" s="35">
        <f>IFERROR(__xludf.DUMMYFUNCTION("IFERROR(GOOGLEFINANCE(A937,""volume""),"""")"),2337500.0)</f>
        <v>2337500</v>
      </c>
      <c r="AA937" s="14" t="str">
        <f>VLOOKUP(A937,Metrik!$C$2:$Y$959,5,0)</f>
        <v>Construction Materials</v>
      </c>
      <c r="AB937" s="14" t="str">
        <f>VLOOKUP(A937,Metrik!$C$2:$Y$959,3,0)</f>
        <v>Basic Materials</v>
      </c>
    </row>
    <row r="938">
      <c r="A938" s="14" t="s">
        <v>498</v>
      </c>
      <c r="B938" s="14" t="str">
        <f t="array" ref="B938">VLOOKUP(A938,{Metrik!$C$2:$C$998,Metrik!$B$2:$B$998},2,0)</f>
        <v>Indocement Tunggal Prakarsa Tbk.</v>
      </c>
      <c r="C938" s="15">
        <f>IFERROR(__xludf.DUMMYFUNCTION("GOOGLEFINANCE(""IDX:""&amp;A938,""price"")"),4110.0)</f>
        <v>4110</v>
      </c>
      <c r="D938" s="16" t="str">
        <f>IFERROR(__xludf.DUMMYFUNCTION("IF(A938="""","""",
SPARKLINE(
INDEX(
GOOGLEFINANCE(""IDX:""&amp;A938,""close"",TODAY()-365,TODAY()),
,2
),
{""linewidth"",1}
))
"),"#N/A")</f>
        <v>#N/A</v>
      </c>
      <c r="E938" s="14" t="s">
        <v>86</v>
      </c>
      <c r="F938" s="25">
        <v>46356.0</v>
      </c>
      <c r="G938" s="24">
        <f t="shared" si="7"/>
        <v>13</v>
      </c>
      <c r="H938" s="19">
        <f>VLOOKUP(A938,Metrik!$C$2:$Y$959,8,0)</f>
        <v>7.6</v>
      </c>
      <c r="I938" s="20">
        <f>VLOOKUP(A938,Metrik!$C$2:$Y$959,9,0)</f>
        <v>0.74</v>
      </c>
      <c r="J938" s="20">
        <f>VLOOKUP(A938,Metrik!$C$2:$Y$959,10,0)</f>
        <v>9.7</v>
      </c>
      <c r="K938" s="20">
        <f>VLOOKUP(A938,Metrik!$C$2:$Y$959,11,0)</f>
        <v>7.2</v>
      </c>
      <c r="L938" s="20">
        <f>VLOOKUP(A938,Metrik!$C$2:$Y$959,12,0)</f>
        <v>0.34</v>
      </c>
      <c r="M938" s="20">
        <f>VLOOKUP(A938,Metrik!$C$2:$Y$959,19,0)</f>
        <v>58.6</v>
      </c>
      <c r="N938" s="21"/>
      <c r="O938" s="21"/>
      <c r="P938" s="21"/>
      <c r="Q938" s="21"/>
      <c r="R938" s="21"/>
      <c r="S938" s="21"/>
      <c r="T938" s="21"/>
      <c r="U938" s="22">
        <f>IFERROR(__xludf.DUMMYFUNCTION("IFERROR(GOOGLEFINANCE(A938,""closeyest""),"""")"),4160.0)</f>
        <v>4160</v>
      </c>
      <c r="V938" s="23" t="str">
        <f>IFERROR(__xludf.DUMMYFUNCTION("IFERROR(GOOGLEFINANCE(A938,""changepct""),"""")"),"")</f>
        <v/>
      </c>
      <c r="W938" s="22">
        <f>IFERROR(__xludf.DUMMYFUNCTION("IFERROR(GOOGLEFINANCE(A938,""priceopen""),"""")"),4190.0)</f>
        <v>4190</v>
      </c>
      <c r="X938" s="22">
        <f>IFERROR(__xludf.DUMMYFUNCTION("IFERROR(GOOGLEFINANCE(A938,""high""),"""")"),4240.0)</f>
        <v>4240</v>
      </c>
      <c r="Y938" s="22">
        <f>IFERROR(__xludf.DUMMYFUNCTION("IFERROR(GOOGLEFINANCE(A938,""low""),"""")"),4090.0)</f>
        <v>4090</v>
      </c>
      <c r="Z938" s="22">
        <f>IFERROR(__xludf.DUMMYFUNCTION("IFERROR(GOOGLEFINANCE(A938,""volume""),"""")"),2337500.0)</f>
        <v>2337500</v>
      </c>
      <c r="AA938" s="24" t="str">
        <f>VLOOKUP(A938,Metrik!$C$2:$Y$959,5,0)</f>
        <v>Construction Materials</v>
      </c>
      <c r="AB938" s="24" t="str">
        <f>VLOOKUP(A938,Metrik!$C$2:$Y$959,3,0)</f>
        <v>Basic Materials</v>
      </c>
    </row>
    <row r="939">
      <c r="A939" s="14" t="s">
        <v>498</v>
      </c>
      <c r="B939" s="14" t="str">
        <f t="array" ref="B939">VLOOKUP(A939,{Metrik!$C$2:$C$998,Metrik!$B$2:$B$998},2,0)</f>
        <v>Indocement Tunggal Prakarsa Tbk.</v>
      </c>
      <c r="C939" s="15">
        <f>IFERROR(__xludf.DUMMYFUNCTION("GOOGLEFINANCE(""IDX:""&amp;A939,""price"")"),4110.0)</f>
        <v>4110</v>
      </c>
      <c r="D939" s="16" t="str">
        <f>IFERROR(__xludf.DUMMYFUNCTION("IF(A939="""","""",
SPARKLINE(
INDEX(
GOOGLEFINANCE(""IDX:""&amp;A939,""close"",TODAY()-365,TODAY()),
,2
),
{""linewidth"",1}
))
"),"#N/A")</f>
        <v>#N/A</v>
      </c>
      <c r="E939" s="14" t="s">
        <v>42</v>
      </c>
      <c r="F939" s="25">
        <v>46356.0</v>
      </c>
      <c r="G939" s="24">
        <f t="shared" si="7"/>
        <v>13</v>
      </c>
      <c r="H939" s="19">
        <f>VLOOKUP(A939,Metrik!$C$2:$Y$959,8,0)</f>
        <v>7.6</v>
      </c>
      <c r="I939" s="20">
        <f>VLOOKUP(A939,Metrik!$C$2:$Y$959,9,0)</f>
        <v>0.74</v>
      </c>
      <c r="J939" s="20">
        <f>VLOOKUP(A939,Metrik!$C$2:$Y$959,10,0)</f>
        <v>9.7</v>
      </c>
      <c r="K939" s="20">
        <f>VLOOKUP(A939,Metrik!$C$2:$Y$959,11,0)</f>
        <v>7.2</v>
      </c>
      <c r="L939" s="20">
        <f>VLOOKUP(A939,Metrik!$C$2:$Y$959,12,0)</f>
        <v>0.34</v>
      </c>
      <c r="M939" s="20">
        <f>VLOOKUP(A939,Metrik!$C$2:$Y$959,19,0)</f>
        <v>58.6</v>
      </c>
      <c r="N939" s="21"/>
      <c r="O939" s="21"/>
      <c r="P939" s="21"/>
      <c r="Q939" s="21"/>
      <c r="R939" s="21"/>
      <c r="S939" s="21"/>
      <c r="T939" s="21"/>
      <c r="U939" s="22">
        <f>IFERROR(__xludf.DUMMYFUNCTION("IFERROR(GOOGLEFINANCE(A939,""closeyest""),"""")"),4160.0)</f>
        <v>4160</v>
      </c>
      <c r="V939" s="23" t="str">
        <f>IFERROR(__xludf.DUMMYFUNCTION("IFERROR(GOOGLEFINANCE(A939,""changepct""),"""")"),"")</f>
        <v/>
      </c>
      <c r="W939" s="22">
        <f>IFERROR(__xludf.DUMMYFUNCTION("IFERROR(GOOGLEFINANCE(A939,""priceopen""),"""")"),4190.0)</f>
        <v>4190</v>
      </c>
      <c r="X939" s="22">
        <f>IFERROR(__xludf.DUMMYFUNCTION("IFERROR(GOOGLEFINANCE(A939,""high""),"""")"),4240.0)</f>
        <v>4240</v>
      </c>
      <c r="Y939" s="22">
        <f>IFERROR(__xludf.DUMMYFUNCTION("IFERROR(GOOGLEFINANCE(A939,""low""),"""")"),4090.0)</f>
        <v>4090</v>
      </c>
      <c r="Z939" s="22">
        <f>IFERROR(__xludf.DUMMYFUNCTION("IFERROR(GOOGLEFINANCE(A939,""volume""),"""")"),2337500.0)</f>
        <v>2337500</v>
      </c>
      <c r="AA939" s="24" t="str">
        <f>VLOOKUP(A939,Metrik!$C$2:$Y$959,5,0)</f>
        <v>Construction Materials</v>
      </c>
      <c r="AB939" s="24" t="str">
        <f>VLOOKUP(A939,Metrik!$C$2:$Y$959,3,0)</f>
        <v>Basic Materials</v>
      </c>
    </row>
    <row r="940">
      <c r="A940" s="14" t="s">
        <v>498</v>
      </c>
      <c r="B940" s="14" t="str">
        <f t="array" ref="B940">VLOOKUP(A940,{Metrik!$C$2:$C$998,Metrik!$B$2:$B$998},2,0)</f>
        <v>Indocement Tunggal Prakarsa Tbk.</v>
      </c>
      <c r="C940" s="15">
        <f>IFERROR(__xludf.DUMMYFUNCTION("GOOGLEFINANCE(""IDX:""&amp;A940,""price"")"),4110.0)</f>
        <v>4110</v>
      </c>
      <c r="D940" s="16" t="str">
        <f>IFERROR(__xludf.DUMMYFUNCTION("IF(A940="""","""",
SPARKLINE(
INDEX(
GOOGLEFINANCE(""IDX:""&amp;A940,""close"",TODAY()-365,TODAY()),
,2
),
{""linewidth"",1}
))
"),"#N/A")</f>
        <v>#N/A</v>
      </c>
      <c r="E940" s="14" t="s">
        <v>39</v>
      </c>
      <c r="F940" s="25">
        <v>46356.0</v>
      </c>
      <c r="G940" s="24">
        <f t="shared" si="7"/>
        <v>13</v>
      </c>
      <c r="H940" s="19">
        <f>VLOOKUP(A940,Metrik!$C$2:$Y$959,8,0)</f>
        <v>7.6</v>
      </c>
      <c r="I940" s="20">
        <f>VLOOKUP(A940,Metrik!$C$2:$Y$959,9,0)</f>
        <v>0.74</v>
      </c>
      <c r="J940" s="20">
        <f>VLOOKUP(A940,Metrik!$C$2:$Y$959,10,0)</f>
        <v>9.7</v>
      </c>
      <c r="K940" s="20">
        <f>VLOOKUP(A940,Metrik!$C$2:$Y$959,11,0)</f>
        <v>7.2</v>
      </c>
      <c r="L940" s="20">
        <f>VLOOKUP(A940,Metrik!$C$2:$Y$959,12,0)</f>
        <v>0.34</v>
      </c>
      <c r="M940" s="20">
        <f>VLOOKUP(A940,Metrik!$C$2:$Y$959,19,0)</f>
        <v>58.6</v>
      </c>
      <c r="N940" s="21"/>
      <c r="O940" s="21"/>
      <c r="P940" s="21"/>
      <c r="Q940" s="21"/>
      <c r="R940" s="21"/>
      <c r="S940" s="21"/>
      <c r="T940" s="21"/>
      <c r="U940" s="22">
        <f>IFERROR(__xludf.DUMMYFUNCTION("IFERROR(GOOGLEFINANCE(A940,""closeyest""),"""")"),4160.0)</f>
        <v>4160</v>
      </c>
      <c r="V940" s="23" t="str">
        <f>IFERROR(__xludf.DUMMYFUNCTION("IFERROR(GOOGLEFINANCE(A940,""changepct""),"""")"),"")</f>
        <v/>
      </c>
      <c r="W940" s="22">
        <f>IFERROR(__xludf.DUMMYFUNCTION("IFERROR(GOOGLEFINANCE(A940,""priceopen""),"""")"),4190.0)</f>
        <v>4190</v>
      </c>
      <c r="X940" s="22">
        <f>IFERROR(__xludf.DUMMYFUNCTION("IFERROR(GOOGLEFINANCE(A940,""high""),"""")"),4240.0)</f>
        <v>4240</v>
      </c>
      <c r="Y940" s="22">
        <f>IFERROR(__xludf.DUMMYFUNCTION("IFERROR(GOOGLEFINANCE(A940,""low""),"""")"),4090.0)</f>
        <v>4090</v>
      </c>
      <c r="Z940" s="22">
        <f>IFERROR(__xludf.DUMMYFUNCTION("IFERROR(GOOGLEFINANCE(A940,""volume""),"""")"),2337500.0)</f>
        <v>2337500</v>
      </c>
      <c r="AA940" s="24" t="str">
        <f>VLOOKUP(A940,Metrik!$C$2:$Y$959,5,0)</f>
        <v>Construction Materials</v>
      </c>
      <c r="AB940" s="24" t="str">
        <f>VLOOKUP(A940,Metrik!$C$2:$Y$959,3,0)</f>
        <v>Basic Materials</v>
      </c>
    </row>
    <row r="941">
      <c r="A941" s="14" t="s">
        <v>499</v>
      </c>
      <c r="B941" s="14" t="str">
        <f t="array" ref="B941">VLOOKUP(A941,{Metrik!$C$2:$C$998,Metrik!$B$2:$B$998},2,0)</f>
        <v>PT Sumber Sinergi Makmur Tbk</v>
      </c>
      <c r="C941" s="15">
        <f>IFERROR(__xludf.DUMMYFUNCTION("GOOGLEFINANCE(""IDX:""&amp;A941,""price"")"),52.0)</f>
        <v>52</v>
      </c>
      <c r="D941" s="16" t="str">
        <f>IFERROR(__xludf.DUMMYFUNCTION("IF(A941="""","""",
SPARKLINE(
INDEX(
GOOGLEFINANCE(""IDX:""&amp;A941,""close"",TODAY()-365,TODAY()),
,2
),
{""linewidth"",1}
))
"),"#N/A")</f>
        <v>#N/A</v>
      </c>
      <c r="E941" s="26"/>
      <c r="F941" s="26"/>
      <c r="G941" s="24">
        <f t="shared" si="7"/>
        <v>0</v>
      </c>
      <c r="H941" s="19">
        <f>VLOOKUP(A941,Metrik!$C$2:$Y$959,8,0)</f>
        <v>770</v>
      </c>
      <c r="I941" s="20">
        <f>VLOOKUP(A941,Metrik!$C$2:$Y$959,9,0)</f>
        <v>1.9</v>
      </c>
      <c r="J941" s="20">
        <f>VLOOKUP(A941,Metrik!$C$2:$Y$959,10,0)</f>
        <v>0.25</v>
      </c>
      <c r="K941" s="20">
        <f>VLOOKUP(A941,Metrik!$C$2:$Y$959,11,0)</f>
        <v>0.22</v>
      </c>
      <c r="L941" s="20">
        <f>VLOOKUP(A941,Metrik!$C$2:$Y$959,12,0)</f>
        <v>0.11</v>
      </c>
      <c r="M941" s="20">
        <f>VLOOKUP(A941,Metrik!$C$2:$Y$959,19,0)</f>
        <v>2.4</v>
      </c>
      <c r="N941" s="21"/>
      <c r="O941" s="21"/>
      <c r="P941" s="21"/>
      <c r="Q941" s="21"/>
      <c r="R941" s="21"/>
      <c r="S941" s="21"/>
      <c r="T941" s="21"/>
      <c r="U941" s="22">
        <f>IFERROR(__xludf.DUMMYFUNCTION("IFERROR(GOOGLEFINANCE(A941,""closeyest""),"""")"),52.0)</f>
        <v>52</v>
      </c>
      <c r="V941" s="23">
        <f>IFERROR(__xludf.DUMMYFUNCTION("IFERROR(GOOGLEFINANCE(A941,""changepct""),"""")"),0.0)</f>
        <v>0</v>
      </c>
      <c r="W941" s="22">
        <f>IFERROR(__xludf.DUMMYFUNCTION("IFERROR(GOOGLEFINANCE(A941,""priceopen""),"""")"),53.0)</f>
        <v>53</v>
      </c>
      <c r="X941" s="22">
        <f>IFERROR(__xludf.DUMMYFUNCTION("IFERROR(GOOGLEFINANCE(A941,""high""),"""")"),54.0)</f>
        <v>54</v>
      </c>
      <c r="Y941" s="22">
        <f>IFERROR(__xludf.DUMMYFUNCTION("IFERROR(GOOGLEFINANCE(A941,""low""),"""")"),52.0)</f>
        <v>52</v>
      </c>
      <c r="Z941" s="22">
        <f>IFERROR(__xludf.DUMMYFUNCTION("IFERROR(GOOGLEFINANCE(A941,""volume""),"""")"),8438000.0)</f>
        <v>8438000</v>
      </c>
      <c r="AA941" s="24" t="str">
        <f>VLOOKUP(A941,Metrik!$C$2:$Y$959,5,0)</f>
        <v>Electronic Equipment, Instruments &amp; Components</v>
      </c>
      <c r="AB941" s="24" t="str">
        <f>VLOOKUP(A941,Metrik!$C$2:$Y$959,3,0)</f>
        <v>Technology</v>
      </c>
    </row>
    <row r="942">
      <c r="A942" s="14" t="s">
        <v>500</v>
      </c>
      <c r="B942" s="14" t="str">
        <f t="array" ref="B942">VLOOKUP(A942,{Metrik!$C$2:$C$998,Metrik!$B$2:$B$998},2,0)</f>
        <v>Era Graharealty Tbk.</v>
      </c>
      <c r="C942" s="15">
        <f>IFERROR(__xludf.DUMMYFUNCTION("GOOGLEFINANCE(""IDX:""&amp;A942,""price"")"),160.0)</f>
        <v>160</v>
      </c>
      <c r="D942" s="16" t="str">
        <f>IFERROR(__xludf.DUMMYFUNCTION("IF(A942="""","""",
SPARKLINE(
INDEX(
GOOGLEFINANCE(""IDX:""&amp;A942,""close"",TODAY()-365,TODAY()),
,2
),
{""linewidth"",1}
))
"),"#N/A")</f>
        <v>#N/A</v>
      </c>
      <c r="E942" s="26"/>
      <c r="F942" s="26"/>
      <c r="G942" s="24">
        <f t="shared" si="7"/>
        <v>0</v>
      </c>
      <c r="H942" s="19">
        <f>VLOOKUP(A942,Metrik!$C$2:$Y$959,8,0)</f>
        <v>110</v>
      </c>
      <c r="I942" s="20">
        <f>VLOOKUP(A942,Metrik!$C$2:$Y$959,9,0)</f>
        <v>3.4</v>
      </c>
      <c r="J942" s="20">
        <f>VLOOKUP(A942,Metrik!$C$2:$Y$959,10,0)</f>
        <v>3</v>
      </c>
      <c r="K942" s="20">
        <f>VLOOKUP(A942,Metrik!$C$2:$Y$959,11,0)</f>
        <v>2.2</v>
      </c>
      <c r="L942" s="20">
        <f>VLOOKUP(A942,Metrik!$C$2:$Y$959,12,0)</f>
        <v>0.37</v>
      </c>
      <c r="M942" s="20">
        <f>VLOOKUP(A942,Metrik!$C$2:$Y$959,19,0)</f>
        <v>9.1</v>
      </c>
      <c r="N942" s="21"/>
      <c r="O942" s="21"/>
      <c r="P942" s="21"/>
      <c r="Q942" s="21"/>
      <c r="R942" s="21"/>
      <c r="S942" s="21"/>
      <c r="T942" s="21"/>
      <c r="U942" s="22">
        <f>IFERROR(__xludf.DUMMYFUNCTION("IFERROR(GOOGLEFINANCE(A942,""closeyest""),"""")"),82.03)</f>
        <v>82.03</v>
      </c>
      <c r="V942" s="23">
        <f>IFERROR(__xludf.DUMMYFUNCTION("IFERROR(GOOGLEFINANCE(A942,""changepct""),"""")"),0.55)</f>
        <v>0.55</v>
      </c>
      <c r="W942" s="22">
        <f>IFERROR(__xludf.DUMMYFUNCTION("IFERROR(GOOGLEFINANCE(A942,""priceopen""),"""")"),82.18)</f>
        <v>82.18</v>
      </c>
      <c r="X942" s="22">
        <f>IFERROR(__xludf.DUMMYFUNCTION("IFERROR(GOOGLEFINANCE(A942,""high""),"""")"),82.6)</f>
        <v>82.6</v>
      </c>
      <c r="Y942" s="22">
        <f>IFERROR(__xludf.DUMMYFUNCTION("IFERROR(GOOGLEFINANCE(A942,""low""),"""")"),82.02)</f>
        <v>82.02</v>
      </c>
      <c r="Z942" s="22">
        <f>IFERROR(__xludf.DUMMYFUNCTION("IFERROR(GOOGLEFINANCE(A942,""volume""),"""")"),6584.0)</f>
        <v>6584</v>
      </c>
      <c r="AA942" s="24" t="str">
        <f>VLOOKUP(A942,Metrik!$C$2:$Y$959,5,0)</f>
        <v>Real Estate Management &amp; Development</v>
      </c>
      <c r="AB942" s="24" t="str">
        <f>VLOOKUP(A942,Metrik!$C$2:$Y$959,3,0)</f>
        <v>Properties &amp; Real Estate</v>
      </c>
    </row>
    <row r="943">
      <c r="A943" s="17" t="s">
        <v>501</v>
      </c>
      <c r="B943" s="14" t="str">
        <f t="array" ref="B943">VLOOKUP(A943,{Metrik!$C$2:$C$998,Metrik!$B$2:$B$998},2,0)</f>
        <v>Indonesia Kendaraan Terminal Tbk.</v>
      </c>
      <c r="C943" s="15">
        <f>IFERROR(__xludf.DUMMYFUNCTION("GOOGLEFINANCE(""IDX:""&amp;A943,""price"")"),1215.0)</f>
        <v>1215</v>
      </c>
      <c r="D943" s="16" t="str">
        <f>IFERROR(__xludf.DUMMYFUNCTION("IF(A943="""","""",
SPARKLINE(
INDEX(
GOOGLEFINANCE(""IDX:""&amp;A943,""close"",TODAY()-365,TODAY()),
,2
),
{""linewidth"",1}
))
"),"#N/A")</f>
        <v>#N/A</v>
      </c>
      <c r="E943" s="14"/>
      <c r="F943" s="17"/>
      <c r="G943" s="18">
        <f t="shared" si="7"/>
        <v>0</v>
      </c>
      <c r="H943" s="19">
        <f>VLOOKUP(A943,Metrik!$C$2:$Y$959,8,0)</f>
        <v>8.5</v>
      </c>
      <c r="I943" s="20">
        <f>VLOOKUP(A943,Metrik!$C$2:$Y$959,9,0)</f>
        <v>1.6</v>
      </c>
      <c r="J943" s="20">
        <f>VLOOKUP(A943,Metrik!$C$2:$Y$959,10,0)</f>
        <v>18.3</v>
      </c>
      <c r="K943" s="20">
        <f>VLOOKUP(A943,Metrik!$C$2:$Y$959,11,0)</f>
        <v>12.7</v>
      </c>
      <c r="L943" s="20">
        <f>VLOOKUP(A943,Metrik!$C$2:$Y$959,12,0)</f>
        <v>0.44</v>
      </c>
      <c r="M943" s="20">
        <f>VLOOKUP(A943,Metrik!$C$2:$Y$959,19,0)</f>
        <v>130</v>
      </c>
      <c r="N943" s="21"/>
      <c r="O943" s="21"/>
      <c r="P943" s="21"/>
      <c r="Q943" s="21"/>
      <c r="R943" s="21"/>
      <c r="S943" s="21"/>
      <c r="T943" s="21"/>
      <c r="U943" s="22">
        <f>IFERROR(__xludf.DUMMYFUNCTION("IFERROR(GOOGLEFINANCE(A943,""closeyest""),"""")"),1205.0)</f>
        <v>1205</v>
      </c>
      <c r="V943" s="23">
        <f>IFERROR(__xludf.DUMMYFUNCTION("IFERROR(GOOGLEFINANCE(A943,""changepct""),"""")"),0.83)</f>
        <v>0.83</v>
      </c>
      <c r="W943" s="22">
        <f>IFERROR(__xludf.DUMMYFUNCTION("IFERROR(GOOGLEFINANCE(A943,""priceopen""),"""")"),1205.0)</f>
        <v>1205</v>
      </c>
      <c r="X943" s="22">
        <f>IFERROR(__xludf.DUMMYFUNCTION("IFERROR(GOOGLEFINANCE(A943,""high""),"""")"),1215.0)</f>
        <v>1215</v>
      </c>
      <c r="Y943" s="22">
        <f>IFERROR(__xludf.DUMMYFUNCTION("IFERROR(GOOGLEFINANCE(A943,""low""),"""")"),1195.0)</f>
        <v>1195</v>
      </c>
      <c r="Z943" s="22">
        <f>IFERROR(__xludf.DUMMYFUNCTION("IFERROR(GOOGLEFINANCE(A943,""volume""),"""")"),1892300.0)</f>
        <v>1892300</v>
      </c>
      <c r="AA943" s="24" t="str">
        <f>VLOOKUP(A943,Metrik!$C$2:$Y$959,5,0)</f>
        <v>Transport Infrastructure Operator</v>
      </c>
      <c r="AB943" s="24" t="str">
        <f>VLOOKUP(A943,Metrik!$C$2:$Y$959,3,0)</f>
        <v>Infrastructures</v>
      </c>
    </row>
    <row r="944">
      <c r="A944" s="17" t="s">
        <v>502</v>
      </c>
      <c r="B944" s="14" t="str">
        <f t="array" ref="B944">VLOOKUP(A944,{Metrik!$C$2:$C$998,Metrik!$B$2:$B$998},2,0)</f>
        <v>PT Jasa Armada Indonesia Tbk.</v>
      </c>
      <c r="C944" s="15">
        <f>IFERROR(__xludf.DUMMYFUNCTION("GOOGLEFINANCE(""IDX:""&amp;A944,""price"")"),316.0)</f>
        <v>316</v>
      </c>
      <c r="D944" s="16" t="str">
        <f>IFERROR(__xludf.DUMMYFUNCTION("IF(A944="""","""",
SPARKLINE(
INDEX(
GOOGLEFINANCE(""IDX:""&amp;A944,""close"",TODAY()-365,TODAY()),
,2
),
{""linewidth"",1}
))
"),"#N/A")</f>
        <v>#N/A</v>
      </c>
      <c r="E944" s="14" t="s">
        <v>106</v>
      </c>
      <c r="F944" s="25">
        <v>46356.0</v>
      </c>
      <c r="G944" s="24">
        <f t="shared" si="7"/>
        <v>1</v>
      </c>
      <c r="H944" s="19">
        <f>VLOOKUP(A944,Metrik!$C$2:$Y$959,8,0)</f>
        <v>8.7</v>
      </c>
      <c r="I944" s="20">
        <f>VLOOKUP(A944,Metrik!$C$2:$Y$959,9,0)</f>
        <v>1.2</v>
      </c>
      <c r="J944" s="20">
        <f>VLOOKUP(A944,Metrik!$C$2:$Y$959,10,0)</f>
        <v>14.1</v>
      </c>
      <c r="K944" s="20">
        <f>VLOOKUP(A944,Metrik!$C$2:$Y$959,11,0)</f>
        <v>11.1</v>
      </c>
      <c r="L944" s="20">
        <f>VLOOKUP(A944,Metrik!$C$2:$Y$959,12,0)</f>
        <v>0.27</v>
      </c>
      <c r="M944" s="20">
        <f>VLOOKUP(A944,Metrik!$C$2:$Y$959,19,0)</f>
        <v>57</v>
      </c>
      <c r="N944" s="21"/>
      <c r="O944" s="21"/>
      <c r="P944" s="21"/>
      <c r="Q944" s="21"/>
      <c r="R944" s="21"/>
      <c r="S944" s="21"/>
      <c r="T944" s="21"/>
      <c r="U944" s="22">
        <f>IFERROR(__xludf.DUMMYFUNCTION("IFERROR(GOOGLEFINANCE(A944,""closeyest""),"""")"),314.0)</f>
        <v>314</v>
      </c>
      <c r="V944" s="23">
        <f>IFERROR(__xludf.DUMMYFUNCTION("IFERROR(GOOGLEFINANCE(A944,""changepct""),"""")"),0.64)</f>
        <v>0.64</v>
      </c>
      <c r="W944" s="22">
        <f>IFERROR(__xludf.DUMMYFUNCTION("IFERROR(GOOGLEFINANCE(A944,""priceopen""),"""")"),314.0)</f>
        <v>314</v>
      </c>
      <c r="X944" s="22">
        <f>IFERROR(__xludf.DUMMYFUNCTION("IFERROR(GOOGLEFINANCE(A944,""high""),"""")"),316.0)</f>
        <v>316</v>
      </c>
      <c r="Y944" s="22">
        <f>IFERROR(__xludf.DUMMYFUNCTION("IFERROR(GOOGLEFINANCE(A944,""low""),"""")"),312.0)</f>
        <v>312</v>
      </c>
      <c r="Z944" s="22">
        <f>IFERROR(__xludf.DUMMYFUNCTION("IFERROR(GOOGLEFINANCE(A944,""volume""),"""")"),467600.0)</f>
        <v>467600</v>
      </c>
      <c r="AA944" s="24" t="str">
        <f>VLOOKUP(A944,Metrik!$C$2:$Y$959,5,0)</f>
        <v>Transport Infrastructure Operator</v>
      </c>
      <c r="AB944" s="24" t="str">
        <f>VLOOKUP(A944,Metrik!$C$2:$Y$959,3,0)</f>
        <v>Infrastructures</v>
      </c>
    </row>
    <row r="945">
      <c r="A945" s="14" t="s">
        <v>503</v>
      </c>
      <c r="B945" s="14" t="str">
        <f t="array" ref="B945">VLOOKUP(A945,{Metrik!$C$2:$C$998,Metrik!$B$2:$B$998},2,0)</f>
        <v>Indopoly Swakarsa Industry Tbk.</v>
      </c>
      <c r="C945" s="15">
        <f>IFERROR(__xludf.DUMMYFUNCTION("GOOGLEFINANCE(""IDX:""&amp;A945,""price"")"),107.0)</f>
        <v>107</v>
      </c>
      <c r="D945" s="16" t="str">
        <f>IFERROR(__xludf.DUMMYFUNCTION("IF(A945="""","""",
SPARKLINE(
INDEX(
GOOGLEFINANCE(""IDX:""&amp;A945,""close"",TODAY()-365,TODAY()),
,2
),
{""linewidth"",1}
))
"),"#N/A")</f>
        <v>#N/A</v>
      </c>
      <c r="E945" s="26"/>
      <c r="F945" s="26"/>
      <c r="G945" s="24">
        <f t="shared" si="7"/>
        <v>0</v>
      </c>
      <c r="H945" s="19">
        <f>VLOOKUP(A945,Metrik!$C$2:$Y$959,8,0)</f>
        <v>42.2</v>
      </c>
      <c r="I945" s="20">
        <f>VLOOKUP(A945,Metrik!$C$2:$Y$959,9,0)</f>
        <v>0.25</v>
      </c>
      <c r="J945" s="20">
        <f>VLOOKUP(A945,Metrik!$C$2:$Y$959,10,0)</f>
        <v>0.58</v>
      </c>
      <c r="K945" s="20">
        <f>VLOOKUP(A945,Metrik!$C$2:$Y$959,11,0)</f>
        <v>0.28</v>
      </c>
      <c r="L945" s="20">
        <f>VLOOKUP(A945,Metrik!$C$2:$Y$959,12,0)</f>
        <v>1.1</v>
      </c>
      <c r="M945" s="20">
        <f>VLOOKUP(A945,Metrik!$C$2:$Y$959,19,0)</f>
        <v>1.7</v>
      </c>
      <c r="N945" s="21"/>
      <c r="O945" s="21"/>
      <c r="P945" s="21"/>
      <c r="Q945" s="21"/>
      <c r="R945" s="21"/>
      <c r="S945" s="21"/>
      <c r="T945" s="21"/>
      <c r="U945" s="22">
        <f>IFERROR(__xludf.DUMMYFUNCTION("IFERROR(GOOGLEFINANCE(A945,""closeyest""),"""")"),37.1)</f>
        <v>37.1</v>
      </c>
      <c r="V945" s="23">
        <f>IFERROR(__xludf.DUMMYFUNCTION("IFERROR(GOOGLEFINANCE(A945,""changepct""),"""")"),3.54)</f>
        <v>3.54</v>
      </c>
      <c r="W945" s="22">
        <f>IFERROR(__xludf.DUMMYFUNCTION("IFERROR(GOOGLEFINANCE(A945,""priceopen""),"""")"),37.76)</f>
        <v>37.76</v>
      </c>
      <c r="X945" s="22">
        <f>IFERROR(__xludf.DUMMYFUNCTION("IFERROR(GOOGLEFINANCE(A945,""high""),"""")"),38.49)</f>
        <v>38.49</v>
      </c>
      <c r="Y945" s="22">
        <f>IFERROR(__xludf.DUMMYFUNCTION("IFERROR(GOOGLEFINANCE(A945,""low""),"""")"),37.46)</f>
        <v>37.46</v>
      </c>
      <c r="Z945" s="22">
        <f>IFERROR(__xludf.DUMMYFUNCTION("IFERROR(GOOGLEFINANCE(A945,""volume""),"""")"),20837.0)</f>
        <v>20837</v>
      </c>
      <c r="AA945" s="24" t="str">
        <f>VLOOKUP(A945,Metrik!$C$2:$Y$959,5,0)</f>
        <v>Containers &amp; Packaging</v>
      </c>
      <c r="AB945" s="24" t="str">
        <f>VLOOKUP(A945,Metrik!$C$2:$Y$959,3,0)</f>
        <v>Basic Materials</v>
      </c>
    </row>
    <row r="946">
      <c r="A946" s="14" t="s">
        <v>504</v>
      </c>
      <c r="B946" s="14" t="str">
        <f t="array" ref="B946">VLOOKUP(A946,{Metrik!$C$2:$C$998,Metrik!$B$2:$B$998},2,0)</f>
        <v>Indo Pureco Pratama Tbk.</v>
      </c>
      <c r="C946" s="15">
        <f>IFERROR(__xludf.DUMMYFUNCTION("GOOGLEFINANCE(""IDX:""&amp;A946,""price"")"),14.0)</f>
        <v>14</v>
      </c>
      <c r="D946" s="16" t="str">
        <f>IFERROR(__xludf.DUMMYFUNCTION("IF(A946="""","""",
SPARKLINE(
INDEX(
GOOGLEFINANCE(""IDX:""&amp;A946,""close"",TODAY()-365,TODAY()),
,2
),
{""linewidth"",1}
))
"),"#N/A")</f>
        <v>#N/A</v>
      </c>
      <c r="E946" s="26"/>
      <c r="F946" s="26"/>
      <c r="G946" s="24">
        <f t="shared" si="7"/>
        <v>0</v>
      </c>
      <c r="H946" s="19">
        <f>VLOOKUP(A946,Metrik!$C$2:$Y$959,8,0)</f>
        <v>0</v>
      </c>
      <c r="I946" s="20">
        <f>VLOOKUP(A946,Metrik!$C$2:$Y$959,9,0)</f>
        <v>0.22</v>
      </c>
      <c r="J946" s="20">
        <f>VLOOKUP(A946,Metrik!$C$2:$Y$959,10,0)</f>
        <v>0.64</v>
      </c>
      <c r="K946" s="20">
        <f>VLOOKUP(A946,Metrik!$C$2:$Y$959,11,0)</f>
        <v>0.61</v>
      </c>
      <c r="L946" s="20">
        <f>VLOOKUP(A946,Metrik!$C$2:$Y$959,12,0)</f>
        <v>0.05</v>
      </c>
      <c r="M946" s="20">
        <f>VLOOKUP(A946,Metrik!$C$2:$Y$959,19,0)</f>
        <v>9</v>
      </c>
      <c r="N946" s="21"/>
      <c r="O946" s="21"/>
      <c r="P946" s="21"/>
      <c r="Q946" s="21"/>
      <c r="R946" s="21"/>
      <c r="S946" s="21"/>
      <c r="T946" s="21"/>
      <c r="U946" s="22">
        <f>IFERROR(__xludf.DUMMYFUNCTION("IFERROR(GOOGLEFINANCE(A946,""closeyest""),"""")"),14.0)</f>
        <v>14</v>
      </c>
      <c r="V946" s="23">
        <f>IFERROR(__xludf.DUMMYFUNCTION("IFERROR(GOOGLEFINANCE(A946,""changepct""),"""")"),0.0)</f>
        <v>0</v>
      </c>
      <c r="W946" s="22" t="str">
        <f>IFERROR(__xludf.DUMMYFUNCTION("IFERROR(GOOGLEFINANCE(A946,""priceopen""),"""")"),"")</f>
        <v/>
      </c>
      <c r="X946" s="22" t="str">
        <f>IFERROR(__xludf.DUMMYFUNCTION("IFERROR(GOOGLEFINANCE(A946,""high""),"""")"),"")</f>
        <v/>
      </c>
      <c r="Y946" s="22" t="str">
        <f>IFERROR(__xludf.DUMMYFUNCTION("IFERROR(GOOGLEFINANCE(A946,""low""),"""")"),"")</f>
        <v/>
      </c>
      <c r="Z946" s="22">
        <f>IFERROR(__xludf.DUMMYFUNCTION("IFERROR(GOOGLEFINANCE(A946,""volume""),"""")"),0.0)</f>
        <v>0</v>
      </c>
      <c r="AA946" s="24" t="str">
        <f>VLOOKUP(A946,Metrik!$C$2:$Y$959,5,0)</f>
        <v>Agricultural Products</v>
      </c>
      <c r="AB946" s="24" t="str">
        <f>VLOOKUP(A946,Metrik!$C$2:$Y$959,3,0)</f>
        <v>Consumer Non-Cyclicals</v>
      </c>
    </row>
    <row r="947">
      <c r="A947" s="14" t="s">
        <v>505</v>
      </c>
      <c r="B947" s="14" t="str">
        <f t="array" ref="B947">VLOOKUP(A947,{Metrik!$C$2:$C$998,Metrik!$B$2:$B$998},2,0)</f>
        <v>MNC Vision Networks Tbk.</v>
      </c>
      <c r="C947" s="15">
        <f>IFERROR(__xludf.DUMMYFUNCTION("GOOGLEFINANCE(""IDX:""&amp;A947,""price"")"),28.0)</f>
        <v>28</v>
      </c>
      <c r="D947" s="16" t="str">
        <f>IFERROR(__xludf.DUMMYFUNCTION("IF(A947="""","""",
SPARKLINE(
INDEX(
GOOGLEFINANCE(""IDX:""&amp;A947,""close"",TODAY()-365,TODAY()),
,2
),
{""linewidth"",1}
))
"),"#N/A")</f>
        <v>#N/A</v>
      </c>
      <c r="E947" s="26"/>
      <c r="F947" s="26"/>
      <c r="G947" s="24">
        <f t="shared" si="7"/>
        <v>0</v>
      </c>
      <c r="H947" s="19">
        <f>VLOOKUP(A947,Metrik!$C$2:$Y$959,8,0)</f>
        <v>-8.6</v>
      </c>
      <c r="I947" s="20">
        <f>VLOOKUP(A947,Metrik!$C$2:$Y$959,9,0)</f>
        <v>0.24</v>
      </c>
      <c r="J947" s="20">
        <f>VLOOKUP(A947,Metrik!$C$2:$Y$959,10,0)</f>
        <v>-2.9</v>
      </c>
      <c r="K947" s="20">
        <f>VLOOKUP(A947,Metrik!$C$2:$Y$959,11,0)</f>
        <v>-2.5</v>
      </c>
      <c r="L947" s="20">
        <f>VLOOKUP(A947,Metrik!$C$2:$Y$959,12,0)</f>
        <v>0.16</v>
      </c>
      <c r="M947" s="20">
        <f>VLOOKUP(A947,Metrik!$C$2:$Y$959,19,0)</f>
        <v>-43.8</v>
      </c>
      <c r="N947" s="21"/>
      <c r="O947" s="21"/>
      <c r="P947" s="21"/>
      <c r="Q947" s="21"/>
      <c r="R947" s="21"/>
      <c r="S947" s="21"/>
      <c r="T947" s="21"/>
      <c r="U947" s="22">
        <f>IFERROR(__xludf.DUMMYFUNCTION("IFERROR(GOOGLEFINANCE(A947,""closeyest""),"""")"),30.0)</f>
        <v>30</v>
      </c>
      <c r="V947" s="23">
        <f>IFERROR(__xludf.DUMMYFUNCTION("IFERROR(GOOGLEFINANCE(A947,""changepct""),"""")"),-6.67)</f>
        <v>-6.67</v>
      </c>
      <c r="W947" s="22">
        <f>IFERROR(__xludf.DUMMYFUNCTION("IFERROR(GOOGLEFINANCE(A947,""priceopen""),"""")"),29.0)</f>
        <v>29</v>
      </c>
      <c r="X947" s="22">
        <f>IFERROR(__xludf.DUMMYFUNCTION("IFERROR(GOOGLEFINANCE(A947,""high""),"""")"),29.0)</f>
        <v>29</v>
      </c>
      <c r="Y947" s="22">
        <f>IFERROR(__xludf.DUMMYFUNCTION("IFERROR(GOOGLEFINANCE(A947,""low""),"""")"),27.0)</f>
        <v>27</v>
      </c>
      <c r="Z947" s="22">
        <f>IFERROR(__xludf.DUMMYFUNCTION("IFERROR(GOOGLEFINANCE(A947,""volume""),"""")"),2.93492E7)</f>
        <v>29349200</v>
      </c>
      <c r="AA947" s="24" t="str">
        <f>VLOOKUP(A947,Metrik!$C$2:$Y$959,5,0)</f>
        <v>Media</v>
      </c>
      <c r="AB947" s="24" t="str">
        <f>VLOOKUP(A947,Metrik!$C$2:$Y$959,3,0)</f>
        <v>Consumer Cyclicals</v>
      </c>
    </row>
    <row r="948">
      <c r="A948" s="14" t="s">
        <v>506</v>
      </c>
      <c r="B948" s="14" t="str">
        <f t="array" ref="B948">VLOOKUP(A948,{Metrik!$C$2:$C$998,Metrik!$B$2:$B$998},2,0)</f>
        <v>Itama Ranoraya Tbk.</v>
      </c>
      <c r="C948" s="15">
        <f>IFERROR(__xludf.DUMMYFUNCTION("GOOGLEFINANCE(""IDX:""&amp;A948,""price"")"),352.0)</f>
        <v>352</v>
      </c>
      <c r="D948" s="16" t="str">
        <f>IFERROR(__xludf.DUMMYFUNCTION("IF(A948="""","""",
SPARKLINE(
INDEX(
GOOGLEFINANCE(""IDX:""&amp;A948,""close"",TODAY()-365,TODAY()),
,2
),
{""linewidth"",1}
))
"),"#N/A")</f>
        <v>#N/A</v>
      </c>
      <c r="E948" s="26"/>
      <c r="F948" s="26"/>
      <c r="G948" s="24">
        <f t="shared" si="7"/>
        <v>0</v>
      </c>
      <c r="H948" s="19">
        <f>VLOOKUP(A948,Metrik!$C$2:$Y$959,8,0)</f>
        <v>9.2</v>
      </c>
      <c r="I948" s="20">
        <f>VLOOKUP(A948,Metrik!$C$2:$Y$959,9,0)</f>
        <v>1</v>
      </c>
      <c r="J948" s="20">
        <f>VLOOKUP(A948,Metrik!$C$2:$Y$959,10,0)</f>
        <v>11.2</v>
      </c>
      <c r="K948" s="20">
        <f>VLOOKUP(A948,Metrik!$C$2:$Y$959,11,0)</f>
        <v>2.6</v>
      </c>
      <c r="L948" s="20">
        <f>VLOOKUP(A948,Metrik!$C$2:$Y$959,12,0)</f>
        <v>3.4</v>
      </c>
      <c r="M948" s="20">
        <f>VLOOKUP(A948,Metrik!$C$2:$Y$959,19,0)</f>
        <v>27.1</v>
      </c>
      <c r="N948" s="21"/>
      <c r="O948" s="21"/>
      <c r="P948" s="21"/>
      <c r="Q948" s="21"/>
      <c r="R948" s="21"/>
      <c r="S948" s="21"/>
      <c r="T948" s="21"/>
      <c r="U948" s="22">
        <f>IFERROR(__xludf.DUMMYFUNCTION("IFERROR(GOOGLEFINANCE(A948,""closeyest""),"""")"),344.0)</f>
        <v>344</v>
      </c>
      <c r="V948" s="23">
        <f>IFERROR(__xludf.DUMMYFUNCTION("IFERROR(GOOGLEFINANCE(A948,""changepct""),"""")"),2.33)</f>
        <v>2.33</v>
      </c>
      <c r="W948" s="22">
        <f>IFERROR(__xludf.DUMMYFUNCTION("IFERROR(GOOGLEFINANCE(A948,""priceopen""),"""")"),344.0)</f>
        <v>344</v>
      </c>
      <c r="X948" s="22">
        <f>IFERROR(__xludf.DUMMYFUNCTION("IFERROR(GOOGLEFINANCE(A948,""high""),"""")"),358.0)</f>
        <v>358</v>
      </c>
      <c r="Y948" s="22">
        <f>IFERROR(__xludf.DUMMYFUNCTION("IFERROR(GOOGLEFINANCE(A948,""low""),"""")"),340.0)</f>
        <v>340</v>
      </c>
      <c r="Z948" s="22">
        <f>IFERROR(__xludf.DUMMYFUNCTION("IFERROR(GOOGLEFINANCE(A948,""volume""),"""")"),1441200.0)</f>
        <v>1441200</v>
      </c>
      <c r="AA948" s="24" t="str">
        <f>VLOOKUP(A948,Metrik!$C$2:$Y$959,5,0)</f>
        <v>Healthcare Equipment &amp; Supplies</v>
      </c>
      <c r="AB948" s="24" t="str">
        <f>VLOOKUP(A948,Metrik!$C$2:$Y$959,3,0)</f>
        <v>Healthcare</v>
      </c>
    </row>
    <row r="949">
      <c r="A949" s="14" t="s">
        <v>507</v>
      </c>
      <c r="B949" s="14" t="str">
        <f t="array" ref="B949">VLOOKUP(A949,{Metrik!$C$2:$C$998,Metrik!$B$2:$B$998},2,0)</f>
        <v>Folago Global Nusantara Tbk.</v>
      </c>
      <c r="C949" s="15">
        <f>IFERROR(__xludf.DUMMYFUNCTION("GOOGLEFINANCE(""IDX:""&amp;A949,""price"")"),294.0)</f>
        <v>294</v>
      </c>
      <c r="D949" s="16" t="str">
        <f>IFERROR(__xludf.DUMMYFUNCTION("IF(A949="""","""",
SPARKLINE(
INDEX(
GOOGLEFINANCE(""IDX:""&amp;A949,""close"",TODAY()-365,TODAY()),
,2
),
{""linewidth"",1}
))
"),"#N/A")</f>
        <v>#N/A</v>
      </c>
      <c r="E949" s="26"/>
      <c r="F949" s="26"/>
      <c r="G949" s="24">
        <f t="shared" si="7"/>
        <v>0</v>
      </c>
      <c r="H949" s="19">
        <f>VLOOKUP(A949,Metrik!$C$2:$Y$959,8,0)</f>
        <v>79.4</v>
      </c>
      <c r="I949" s="20">
        <f>VLOOKUP(A949,Metrik!$C$2:$Y$959,9,0)</f>
        <v>7.3</v>
      </c>
      <c r="J949" s="20">
        <f>VLOOKUP(A949,Metrik!$C$2:$Y$959,10,0)</f>
        <v>9.2</v>
      </c>
      <c r="K949" s="20">
        <f>VLOOKUP(A949,Metrik!$C$2:$Y$959,11,0)</f>
        <v>7.9</v>
      </c>
      <c r="L949" s="20">
        <f>VLOOKUP(A949,Metrik!$C$2:$Y$959,12,0)</f>
        <v>0.17</v>
      </c>
      <c r="M949" s="20">
        <f>VLOOKUP(A949,Metrik!$C$2:$Y$959,19,0)</f>
        <v>17.1</v>
      </c>
      <c r="N949" s="21"/>
      <c r="O949" s="21"/>
      <c r="P949" s="21"/>
      <c r="Q949" s="21"/>
      <c r="R949" s="21"/>
      <c r="S949" s="21"/>
      <c r="T949" s="21"/>
      <c r="U949" s="22">
        <f>IFERROR(__xludf.DUMMYFUNCTION("IFERROR(GOOGLEFINANCE(A949,""closeyest""),"""")"),282.0)</f>
        <v>282</v>
      </c>
      <c r="V949" s="23">
        <f>IFERROR(__xludf.DUMMYFUNCTION("IFERROR(GOOGLEFINANCE(A949,""changepct""),"""")"),4.26)</f>
        <v>4.26</v>
      </c>
      <c r="W949" s="22">
        <f>IFERROR(__xludf.DUMMYFUNCTION("IFERROR(GOOGLEFINANCE(A949,""priceopen""),"""")"),284.0)</f>
        <v>284</v>
      </c>
      <c r="X949" s="22">
        <f>IFERROR(__xludf.DUMMYFUNCTION("IFERROR(GOOGLEFINANCE(A949,""high""),"""")"),326.0)</f>
        <v>326</v>
      </c>
      <c r="Y949" s="22">
        <f>IFERROR(__xludf.DUMMYFUNCTION("IFERROR(GOOGLEFINANCE(A949,""low""),"""")"),284.0)</f>
        <v>284</v>
      </c>
      <c r="Z949" s="22">
        <f>IFERROR(__xludf.DUMMYFUNCTION("IFERROR(GOOGLEFINANCE(A949,""volume""),"""")"),8.61078E7)</f>
        <v>86107800</v>
      </c>
      <c r="AA949" s="24" t="str">
        <f>VLOOKUP(A949,Metrik!$C$2:$Y$959,5,0)</f>
        <v>Software</v>
      </c>
      <c r="AB949" s="24" t="str">
        <f>VLOOKUP(A949,Metrik!$C$2:$Y$959,3,0)</f>
        <v>Technology</v>
      </c>
    </row>
    <row r="950">
      <c r="A950" s="14" t="s">
        <v>508</v>
      </c>
      <c r="B950" s="14" t="str">
        <f t="array" ref="B950">VLOOKUP(A950,{Metrik!$C$2:$C$998,Metrik!$B$2:$B$998},2,0)</f>
        <v>Isra Presisi Indonesia Tbk.</v>
      </c>
      <c r="C950" s="15">
        <f>IFERROR(__xludf.DUMMYFUNCTION("GOOGLEFINANCE(""IDX:""&amp;A950,""price"")"),25.0)</f>
        <v>25</v>
      </c>
      <c r="D950" s="16" t="str">
        <f>IFERROR(__xludf.DUMMYFUNCTION("IF(A950="""","""",
SPARKLINE(
INDEX(
GOOGLEFINANCE(""IDX:""&amp;A950,""close"",TODAY()-365,TODAY()),
,2
),
{""linewidth"",1}
))
"),"#N/A")</f>
        <v>#N/A</v>
      </c>
      <c r="E950" s="26"/>
      <c r="F950" s="26"/>
      <c r="G950" s="24">
        <f t="shared" si="7"/>
        <v>0</v>
      </c>
      <c r="H950" s="19">
        <f>VLOOKUP(A950,Metrik!$C$2:$Y$959,8,0)</f>
        <v>64.5</v>
      </c>
      <c r="I950" s="20">
        <f>VLOOKUP(A950,Metrik!$C$2:$Y$959,9,0)</f>
        <v>0.61</v>
      </c>
      <c r="J950" s="20">
        <f>VLOOKUP(A950,Metrik!$C$2:$Y$959,10,0)</f>
        <v>0.94</v>
      </c>
      <c r="K950" s="20">
        <f>VLOOKUP(A950,Metrik!$C$2:$Y$959,11,0)</f>
        <v>0.89</v>
      </c>
      <c r="L950" s="20">
        <f>VLOOKUP(A950,Metrik!$C$2:$Y$959,12,0)</f>
        <v>0.05</v>
      </c>
      <c r="M950" s="20">
        <f>VLOOKUP(A950,Metrik!$C$2:$Y$959,19,0)</f>
        <v>6.7</v>
      </c>
      <c r="N950" s="21"/>
      <c r="O950" s="21"/>
      <c r="P950" s="21"/>
      <c r="Q950" s="21"/>
      <c r="R950" s="21"/>
      <c r="S950" s="21"/>
      <c r="T950" s="21"/>
      <c r="U950" s="22">
        <f>IFERROR(__xludf.DUMMYFUNCTION("IFERROR(GOOGLEFINANCE(A950,""closeyest""),"""")"),23.0)</f>
        <v>23</v>
      </c>
      <c r="V950" s="23">
        <f>IFERROR(__xludf.DUMMYFUNCTION("IFERROR(GOOGLEFINANCE(A950,""changepct""),"""")"),8.7)</f>
        <v>8.7</v>
      </c>
      <c r="W950" s="22">
        <f>IFERROR(__xludf.DUMMYFUNCTION("IFERROR(GOOGLEFINANCE(A950,""priceopen""),"""")"),24.0)</f>
        <v>24</v>
      </c>
      <c r="X950" s="22">
        <f>IFERROR(__xludf.DUMMYFUNCTION("IFERROR(GOOGLEFINANCE(A950,""high""),"""")"),25.0)</f>
        <v>25</v>
      </c>
      <c r="Y950" s="22">
        <f>IFERROR(__xludf.DUMMYFUNCTION("IFERROR(GOOGLEFINANCE(A950,""low""),"""")"),23.0)</f>
        <v>23</v>
      </c>
      <c r="Z950" s="22">
        <f>IFERROR(__xludf.DUMMYFUNCTION("IFERROR(GOOGLEFINANCE(A950,""volume""),"""")"),1.90384E7)</f>
        <v>19038400</v>
      </c>
      <c r="AA950" s="24" t="str">
        <f>VLOOKUP(A950,Metrik!$C$2:$Y$959,5,0)</f>
        <v>Auto Components</v>
      </c>
      <c r="AB950" s="24" t="str">
        <f>VLOOKUP(A950,Metrik!$C$2:$Y$959,3,0)</f>
        <v>Consumer Cyclicals</v>
      </c>
    </row>
    <row r="951">
      <c r="A951" s="17" t="s">
        <v>509</v>
      </c>
      <c r="B951" s="14" t="str">
        <f t="array" ref="B951">VLOOKUP(A951,{Metrik!$C$2:$C$998,Metrik!$B$2:$B$998},2,0)</f>
        <v>PT Indosat Tbk</v>
      </c>
      <c r="C951" s="15">
        <f>IFERROR(__xludf.DUMMYFUNCTION("GOOGLEFINANCE(""IDX:""&amp;A951,""price"")"),1855.0)</f>
        <v>1855</v>
      </c>
      <c r="D951" s="16" t="str">
        <f>IFERROR(__xludf.DUMMYFUNCTION("IF(A951="""","""",
SPARKLINE(
INDEX(
GOOGLEFINANCE(""IDX:""&amp;A951,""close"",TODAY()-365,TODAY()),
,2
),
{""linewidth"",1}
))
"),"#N/A")</f>
        <v>#N/A</v>
      </c>
      <c r="E951" s="14" t="s">
        <v>47</v>
      </c>
      <c r="F951" s="25">
        <v>46356.0</v>
      </c>
      <c r="G951" s="18">
        <f t="shared" si="7"/>
        <v>13</v>
      </c>
      <c r="H951" s="19">
        <f>VLOOKUP(A951,Metrik!$C$2:$Y$959,8,0)</f>
        <v>12.2</v>
      </c>
      <c r="I951" s="20">
        <f>VLOOKUP(A951,Metrik!$C$2:$Y$959,9,0)</f>
        <v>1.7</v>
      </c>
      <c r="J951" s="20">
        <f>VLOOKUP(A951,Metrik!$C$2:$Y$959,10,0)</f>
        <v>13.9</v>
      </c>
      <c r="K951" s="20">
        <f>VLOOKUP(A951,Metrik!$C$2:$Y$959,11,0)</f>
        <v>4.7</v>
      </c>
      <c r="L951" s="20">
        <f>VLOOKUP(A951,Metrik!$C$2:$Y$959,12,0)</f>
        <v>2</v>
      </c>
      <c r="M951" s="20">
        <f>VLOOKUP(A951,Metrik!$C$2:$Y$959,19,0)</f>
        <v>37.4</v>
      </c>
      <c r="N951" s="21"/>
      <c r="O951" s="21"/>
      <c r="P951" s="21"/>
      <c r="Q951" s="21"/>
      <c r="R951" s="21"/>
      <c r="S951" s="21"/>
      <c r="T951" s="21"/>
      <c r="U951" s="22">
        <f>IFERROR(__xludf.DUMMYFUNCTION("IFERROR(GOOGLEFINANCE(A951,""closeyest""),"""")"),1895.0)</f>
        <v>1895</v>
      </c>
      <c r="V951" s="23">
        <f>IFERROR(__xludf.DUMMYFUNCTION("IFERROR(GOOGLEFINANCE(A951,""changepct""),"""")"),-2.11)</f>
        <v>-2.11</v>
      </c>
      <c r="W951" s="22">
        <f>IFERROR(__xludf.DUMMYFUNCTION("IFERROR(GOOGLEFINANCE(A951,""priceopen""),"""")"),1905.0)</f>
        <v>1905</v>
      </c>
      <c r="X951" s="22">
        <f>IFERROR(__xludf.DUMMYFUNCTION("IFERROR(GOOGLEFINANCE(A951,""high""),"""")"),1915.0)</f>
        <v>1915</v>
      </c>
      <c r="Y951" s="22">
        <f>IFERROR(__xludf.DUMMYFUNCTION("IFERROR(GOOGLEFINANCE(A951,""low""),"""")"),1830.0)</f>
        <v>1830</v>
      </c>
      <c r="Z951" s="22">
        <f>IFERROR(__xludf.DUMMYFUNCTION("IFERROR(GOOGLEFINANCE(A951,""volume""),"""")"),3.08968E7)</f>
        <v>30896800</v>
      </c>
      <c r="AA951" s="24" t="str">
        <f>VLOOKUP(A951,Metrik!$C$2:$Y$959,5,0)</f>
        <v>Wireless Telecommunication Services</v>
      </c>
      <c r="AB951" s="24" t="str">
        <f>VLOOKUP(A951,Metrik!$C$2:$Y$959,3,0)</f>
        <v>Infrastructures</v>
      </c>
    </row>
    <row r="952">
      <c r="A952" s="14" t="s">
        <v>509</v>
      </c>
      <c r="B952" s="14" t="str">
        <f t="array" ref="B952">VLOOKUP(A952,{Metrik!$C$2:$C$998,Metrik!$B$2:$B$998},2,0)</f>
        <v>PT Indosat Tbk</v>
      </c>
      <c r="C952" s="15">
        <f>IFERROR(__xludf.DUMMYFUNCTION("GOOGLEFINANCE(""IDX:""&amp;A952,""price"")"),1855.0)</f>
        <v>1855</v>
      </c>
      <c r="D952" s="16" t="str">
        <f>IFERROR(__xludf.DUMMYFUNCTION("IF(A952="""","""",
SPARKLINE(
INDEX(
GOOGLEFINANCE(""IDX:""&amp;A952,""close"",TODAY()-365,TODAY()),
,2
),
{""linewidth"",1}
))
"),"#N/A")</f>
        <v>#N/A</v>
      </c>
      <c r="E952" s="14" t="s">
        <v>65</v>
      </c>
      <c r="F952" s="25">
        <v>46356.0</v>
      </c>
      <c r="G952" s="24">
        <f t="shared" si="7"/>
        <v>13</v>
      </c>
      <c r="H952" s="19">
        <f>VLOOKUP(A952,Metrik!$C$2:$Y$959,8,0)</f>
        <v>12.2</v>
      </c>
      <c r="I952" s="20">
        <f>VLOOKUP(A952,Metrik!$C$2:$Y$959,9,0)</f>
        <v>1.7</v>
      </c>
      <c r="J952" s="20">
        <f>VLOOKUP(A952,Metrik!$C$2:$Y$959,10,0)</f>
        <v>13.9</v>
      </c>
      <c r="K952" s="20">
        <f>VLOOKUP(A952,Metrik!$C$2:$Y$959,11,0)</f>
        <v>4.7</v>
      </c>
      <c r="L952" s="20">
        <f>VLOOKUP(A952,Metrik!$C$2:$Y$959,12,0)</f>
        <v>2</v>
      </c>
      <c r="M952" s="20">
        <f>VLOOKUP(A952,Metrik!$C$2:$Y$959,19,0)</f>
        <v>37.4</v>
      </c>
      <c r="N952" s="21"/>
      <c r="O952" s="21"/>
      <c r="P952" s="21"/>
      <c r="Q952" s="21"/>
      <c r="R952" s="21"/>
      <c r="S952" s="21"/>
      <c r="T952" s="21"/>
      <c r="U952" s="22">
        <f>IFERROR(__xludf.DUMMYFUNCTION("IFERROR(GOOGLEFINANCE(A952,""closeyest""),"""")"),1895.0)</f>
        <v>1895</v>
      </c>
      <c r="V952" s="23">
        <f>IFERROR(__xludf.DUMMYFUNCTION("IFERROR(GOOGLEFINANCE(A952,""changepct""),"""")"),-2.11)</f>
        <v>-2.11</v>
      </c>
      <c r="W952" s="22">
        <f>IFERROR(__xludf.DUMMYFUNCTION("IFERROR(GOOGLEFINANCE(A952,""priceopen""),"""")"),1905.0)</f>
        <v>1905</v>
      </c>
      <c r="X952" s="22">
        <f>IFERROR(__xludf.DUMMYFUNCTION("IFERROR(GOOGLEFINANCE(A952,""high""),"""")"),1915.0)</f>
        <v>1915</v>
      </c>
      <c r="Y952" s="22">
        <f>IFERROR(__xludf.DUMMYFUNCTION("IFERROR(GOOGLEFINANCE(A952,""low""),"""")"),1830.0)</f>
        <v>1830</v>
      </c>
      <c r="Z952" s="22">
        <f>IFERROR(__xludf.DUMMYFUNCTION("IFERROR(GOOGLEFINANCE(A952,""volume""),"""")"),3.08968E7)</f>
        <v>30896800</v>
      </c>
      <c r="AA952" s="24" t="str">
        <f>VLOOKUP(A952,Metrik!$C$2:$Y$959,5,0)</f>
        <v>Wireless Telecommunication Services</v>
      </c>
      <c r="AB952" s="24" t="str">
        <f>VLOOKUP(A952,Metrik!$C$2:$Y$959,3,0)</f>
        <v>Infrastructures</v>
      </c>
    </row>
    <row r="953">
      <c r="A953" s="17" t="s">
        <v>509</v>
      </c>
      <c r="B953" s="14" t="str">
        <f t="array" ref="B953">VLOOKUP(A953,{Metrik!$C$2:$C$998,Metrik!$B$2:$B$998},2,0)</f>
        <v>PT Indosat Tbk</v>
      </c>
      <c r="C953" s="15">
        <f>IFERROR(__xludf.DUMMYFUNCTION("GOOGLEFINANCE(""IDX:""&amp;A953,""price"")"),1855.0)</f>
        <v>1855</v>
      </c>
      <c r="D953" s="16" t="str">
        <f>IFERROR(__xludf.DUMMYFUNCTION("IF(A953="""","""",
SPARKLINE(
INDEX(
GOOGLEFINANCE(""IDX:""&amp;A953,""close"",TODAY()-365,TODAY()),
,2
),
{""linewidth"",1}
))
"),"#N/A")</f>
        <v>#N/A</v>
      </c>
      <c r="E953" s="14" t="s">
        <v>55</v>
      </c>
      <c r="F953" s="25">
        <v>46356.0</v>
      </c>
      <c r="G953" s="18">
        <f t="shared" si="7"/>
        <v>13</v>
      </c>
      <c r="H953" s="19">
        <f>VLOOKUP(A953,Metrik!$C$2:$Y$959,8,0)</f>
        <v>12.2</v>
      </c>
      <c r="I953" s="20">
        <f>VLOOKUP(A953,Metrik!$C$2:$Y$959,9,0)</f>
        <v>1.7</v>
      </c>
      <c r="J953" s="20">
        <f>VLOOKUP(A953,Metrik!$C$2:$Y$959,10,0)</f>
        <v>13.9</v>
      </c>
      <c r="K953" s="20">
        <f>VLOOKUP(A953,Metrik!$C$2:$Y$959,11,0)</f>
        <v>4.7</v>
      </c>
      <c r="L953" s="20">
        <f>VLOOKUP(A953,Metrik!$C$2:$Y$959,12,0)</f>
        <v>2</v>
      </c>
      <c r="M953" s="20">
        <f>VLOOKUP(A953,Metrik!$C$2:$Y$959,19,0)</f>
        <v>37.4</v>
      </c>
      <c r="N953" s="21"/>
      <c r="O953" s="21"/>
      <c r="P953" s="21"/>
      <c r="Q953" s="21"/>
      <c r="R953" s="21"/>
      <c r="S953" s="21"/>
      <c r="T953" s="21"/>
      <c r="U953" s="22">
        <f>IFERROR(__xludf.DUMMYFUNCTION("IFERROR(GOOGLEFINANCE(A953,""closeyest""),"""")"),1895.0)</f>
        <v>1895</v>
      </c>
      <c r="V953" s="23">
        <f>IFERROR(__xludf.DUMMYFUNCTION("IFERROR(GOOGLEFINANCE(A953,""changepct""),"""")"),-2.11)</f>
        <v>-2.11</v>
      </c>
      <c r="W953" s="22">
        <f>IFERROR(__xludf.DUMMYFUNCTION("IFERROR(GOOGLEFINANCE(A953,""priceopen""),"""")"),1905.0)</f>
        <v>1905</v>
      </c>
      <c r="X953" s="22">
        <f>IFERROR(__xludf.DUMMYFUNCTION("IFERROR(GOOGLEFINANCE(A953,""high""),"""")"),1915.0)</f>
        <v>1915</v>
      </c>
      <c r="Y953" s="22">
        <f>IFERROR(__xludf.DUMMYFUNCTION("IFERROR(GOOGLEFINANCE(A953,""low""),"""")"),1830.0)</f>
        <v>1830</v>
      </c>
      <c r="Z953" s="22">
        <f>IFERROR(__xludf.DUMMYFUNCTION("IFERROR(GOOGLEFINANCE(A953,""volume""),"""")"),3.08968E7)</f>
        <v>30896800</v>
      </c>
      <c r="AA953" s="24" t="str">
        <f>VLOOKUP(A953,Metrik!$C$2:$Y$959,5,0)</f>
        <v>Wireless Telecommunication Services</v>
      </c>
      <c r="AB953" s="24" t="str">
        <f>VLOOKUP(A953,Metrik!$C$2:$Y$959,3,0)</f>
        <v>Infrastructures</v>
      </c>
    </row>
    <row r="954">
      <c r="A954" s="14" t="s">
        <v>509</v>
      </c>
      <c r="B954" s="14" t="str">
        <f t="array" ref="B954">VLOOKUP(A954,{Metrik!$C$2:$C$998,Metrik!$B$2:$B$998},2,0)</f>
        <v>PT Indosat Tbk</v>
      </c>
      <c r="C954" s="15">
        <f>IFERROR(__xludf.DUMMYFUNCTION("GOOGLEFINANCE(""IDX:""&amp;A954,""price"")"),1855.0)</f>
        <v>1855</v>
      </c>
      <c r="D954" s="16" t="str">
        <f>IFERROR(__xludf.DUMMYFUNCTION("IF(A954="""","""",
SPARKLINE(
INDEX(
GOOGLEFINANCE(""IDX:""&amp;A954,""close"",TODAY()-365,TODAY()),
,2
),
{""linewidth"",1}
))
"),"#N/A")</f>
        <v>#N/A</v>
      </c>
      <c r="E954" s="14" t="s">
        <v>68</v>
      </c>
      <c r="F954" s="14" t="s">
        <v>34</v>
      </c>
      <c r="G954" s="24">
        <f t="shared" si="7"/>
        <v>13</v>
      </c>
      <c r="H954" s="19">
        <f>VLOOKUP(A954,Metrik!$C$2:$Y$959,8,0)</f>
        <v>12.2</v>
      </c>
      <c r="I954" s="20">
        <f>VLOOKUP(A954,Metrik!$C$2:$Y$959,9,0)</f>
        <v>1.7</v>
      </c>
      <c r="J954" s="20">
        <f>VLOOKUP(A954,Metrik!$C$2:$Y$959,10,0)</f>
        <v>13.9</v>
      </c>
      <c r="K954" s="20">
        <f>VLOOKUP(A954,Metrik!$C$2:$Y$959,11,0)</f>
        <v>4.7</v>
      </c>
      <c r="L954" s="20">
        <f>VLOOKUP(A954,Metrik!$C$2:$Y$959,12,0)</f>
        <v>2</v>
      </c>
      <c r="M954" s="20">
        <f>VLOOKUP(A954,Metrik!$C$2:$Y$959,19,0)</f>
        <v>37.4</v>
      </c>
      <c r="N954" s="21"/>
      <c r="O954" s="21"/>
      <c r="P954" s="21"/>
      <c r="Q954" s="21"/>
      <c r="R954" s="21"/>
      <c r="S954" s="21"/>
      <c r="T954" s="21"/>
      <c r="U954" s="22">
        <f>IFERROR(__xludf.DUMMYFUNCTION("IFERROR(GOOGLEFINANCE(A954,""closeyest""),"""")"),1895.0)</f>
        <v>1895</v>
      </c>
      <c r="V954" s="23">
        <f>IFERROR(__xludf.DUMMYFUNCTION("IFERROR(GOOGLEFINANCE(A954,""changepct""),"""")"),-2.11)</f>
        <v>-2.11</v>
      </c>
      <c r="W954" s="22">
        <f>IFERROR(__xludf.DUMMYFUNCTION("IFERROR(GOOGLEFINANCE(A954,""priceopen""),"""")"),1905.0)</f>
        <v>1905</v>
      </c>
      <c r="X954" s="22">
        <f>IFERROR(__xludf.DUMMYFUNCTION("IFERROR(GOOGLEFINANCE(A954,""high""),"""")"),1915.0)</f>
        <v>1915</v>
      </c>
      <c r="Y954" s="22">
        <f>IFERROR(__xludf.DUMMYFUNCTION("IFERROR(GOOGLEFINANCE(A954,""low""),"""")"),1830.0)</f>
        <v>1830</v>
      </c>
      <c r="Z954" s="22">
        <f>IFERROR(__xludf.DUMMYFUNCTION("IFERROR(GOOGLEFINANCE(A954,""volume""),"""")"),3.08968E7)</f>
        <v>30896800</v>
      </c>
      <c r="AA954" s="24" t="str">
        <f>VLOOKUP(A954,Metrik!$C$2:$Y$959,5,0)</f>
        <v>Wireless Telecommunication Services</v>
      </c>
      <c r="AB954" s="24" t="str">
        <f>VLOOKUP(A954,Metrik!$C$2:$Y$959,3,0)</f>
        <v>Infrastructures</v>
      </c>
    </row>
    <row r="955">
      <c r="A955" s="14" t="s">
        <v>509</v>
      </c>
      <c r="B955" s="14" t="str">
        <f t="array" ref="B955">VLOOKUP(A955,{Metrik!$C$2:$C$998,Metrik!$B$2:$B$998},2,0)</f>
        <v>PT Indosat Tbk</v>
      </c>
      <c r="C955" s="15">
        <f>IFERROR(__xludf.DUMMYFUNCTION("GOOGLEFINANCE(""IDX:""&amp;A955,""price"")"),1855.0)</f>
        <v>1855</v>
      </c>
      <c r="D955" s="16" t="str">
        <f>IFERROR(__xludf.DUMMYFUNCTION("IF(A955="""","""",
SPARKLINE(
INDEX(
GOOGLEFINANCE(""IDX:""&amp;A955,""close"",TODAY()-365,TODAY()),
,2
),
{""linewidth"",1}
))
"),"#N/A")</f>
        <v>#N/A</v>
      </c>
      <c r="E955" s="14" t="s">
        <v>161</v>
      </c>
      <c r="F955" s="14" t="s">
        <v>76</v>
      </c>
      <c r="G955" s="24">
        <f t="shared" si="7"/>
        <v>13</v>
      </c>
      <c r="H955" s="19">
        <f>VLOOKUP(A955,Metrik!$C$2:$Y$959,8,0)</f>
        <v>12.2</v>
      </c>
      <c r="I955" s="20">
        <f>VLOOKUP(A955,Metrik!$C$2:$Y$959,9,0)</f>
        <v>1.7</v>
      </c>
      <c r="J955" s="20">
        <f>VLOOKUP(A955,Metrik!$C$2:$Y$959,10,0)</f>
        <v>13.9</v>
      </c>
      <c r="K955" s="20">
        <f>VLOOKUP(A955,Metrik!$C$2:$Y$959,11,0)</f>
        <v>4.7</v>
      </c>
      <c r="L955" s="20">
        <f>VLOOKUP(A955,Metrik!$C$2:$Y$959,12,0)</f>
        <v>2</v>
      </c>
      <c r="M955" s="20">
        <f>VLOOKUP(A955,Metrik!$C$2:$Y$959,19,0)</f>
        <v>37.4</v>
      </c>
      <c r="N955" s="21"/>
      <c r="O955" s="21"/>
      <c r="P955" s="21"/>
      <c r="Q955" s="21"/>
      <c r="R955" s="21"/>
      <c r="S955" s="21"/>
      <c r="T955" s="21"/>
      <c r="U955" s="22">
        <f>IFERROR(__xludf.DUMMYFUNCTION("IFERROR(GOOGLEFINANCE(A955,""closeyest""),"""")"),1895.0)</f>
        <v>1895</v>
      </c>
      <c r="V955" s="23">
        <f>IFERROR(__xludf.DUMMYFUNCTION("IFERROR(GOOGLEFINANCE(A955,""changepct""),"""")"),-2.11)</f>
        <v>-2.11</v>
      </c>
      <c r="W955" s="22">
        <f>IFERROR(__xludf.DUMMYFUNCTION("IFERROR(GOOGLEFINANCE(A955,""priceopen""),"""")"),1905.0)</f>
        <v>1905</v>
      </c>
      <c r="X955" s="22">
        <f>IFERROR(__xludf.DUMMYFUNCTION("IFERROR(GOOGLEFINANCE(A955,""high""),"""")"),1915.0)</f>
        <v>1915</v>
      </c>
      <c r="Y955" s="22">
        <f>IFERROR(__xludf.DUMMYFUNCTION("IFERROR(GOOGLEFINANCE(A955,""low""),"""")"),1830.0)</f>
        <v>1830</v>
      </c>
      <c r="Z955" s="22">
        <f>IFERROR(__xludf.DUMMYFUNCTION("IFERROR(GOOGLEFINANCE(A955,""volume""),"""")"),3.08968E7)</f>
        <v>30896800</v>
      </c>
      <c r="AA955" s="24" t="str">
        <f>VLOOKUP(A955,Metrik!$C$2:$Y$959,5,0)</f>
        <v>Wireless Telecommunication Services</v>
      </c>
      <c r="AB955" s="24" t="str">
        <f>VLOOKUP(A955,Metrik!$C$2:$Y$959,3,0)</f>
        <v>Infrastructures</v>
      </c>
    </row>
    <row r="956">
      <c r="A956" s="14" t="s">
        <v>509</v>
      </c>
      <c r="B956" s="14" t="str">
        <f t="array" ref="B956">VLOOKUP(A956,{Metrik!$C$2:$C$998,Metrik!$B$2:$B$998},2,0)</f>
        <v>PT Indosat Tbk</v>
      </c>
      <c r="C956" s="15">
        <f>IFERROR(__xludf.DUMMYFUNCTION("GOOGLEFINANCE(""IDX:""&amp;A956,""price"")"),1855.0)</f>
        <v>1855</v>
      </c>
      <c r="D956" s="16" t="str">
        <f>IFERROR(__xludf.DUMMYFUNCTION("IF(A956="""","""",
SPARKLINE(
INDEX(
GOOGLEFINANCE(""IDX:""&amp;A956,""close"",TODAY()-365,TODAY()),
,2
),
{""linewidth"",1}
))
"),"#N/A")</f>
        <v>#N/A</v>
      </c>
      <c r="E956" s="14" t="s">
        <v>31</v>
      </c>
      <c r="F956" s="17" t="s">
        <v>29</v>
      </c>
      <c r="G956" s="24">
        <f t="shared" si="7"/>
        <v>13</v>
      </c>
      <c r="H956" s="19">
        <f>VLOOKUP(A956,Metrik!$C$2:$Y$959,8,0)</f>
        <v>12.2</v>
      </c>
      <c r="I956" s="20">
        <f>VLOOKUP(A956,Metrik!$C$2:$Y$959,9,0)</f>
        <v>1.7</v>
      </c>
      <c r="J956" s="20">
        <f>VLOOKUP(A956,Metrik!$C$2:$Y$959,10,0)</f>
        <v>13.9</v>
      </c>
      <c r="K956" s="20">
        <f>VLOOKUP(A956,Metrik!$C$2:$Y$959,11,0)</f>
        <v>4.7</v>
      </c>
      <c r="L956" s="20">
        <f>VLOOKUP(A956,Metrik!$C$2:$Y$959,12,0)</f>
        <v>2</v>
      </c>
      <c r="M956" s="20">
        <f>VLOOKUP(A956,Metrik!$C$2:$Y$959,19,0)</f>
        <v>37.4</v>
      </c>
      <c r="N956" s="21"/>
      <c r="O956" s="21"/>
      <c r="P956" s="21"/>
      <c r="Q956" s="21"/>
      <c r="R956" s="21"/>
      <c r="S956" s="21"/>
      <c r="T956" s="21"/>
      <c r="U956" s="22">
        <f>IFERROR(__xludf.DUMMYFUNCTION("IFERROR(GOOGLEFINANCE(A956,""closeyest""),"""")"),1895.0)</f>
        <v>1895</v>
      </c>
      <c r="V956" s="23">
        <f>IFERROR(__xludf.DUMMYFUNCTION("IFERROR(GOOGLEFINANCE(A956,""changepct""),"""")"),-2.11)</f>
        <v>-2.11</v>
      </c>
      <c r="W956" s="22">
        <f>IFERROR(__xludf.DUMMYFUNCTION("IFERROR(GOOGLEFINANCE(A956,""priceopen""),"""")"),1905.0)</f>
        <v>1905</v>
      </c>
      <c r="X956" s="22">
        <f>IFERROR(__xludf.DUMMYFUNCTION("IFERROR(GOOGLEFINANCE(A956,""high""),"""")"),1915.0)</f>
        <v>1915</v>
      </c>
      <c r="Y956" s="22">
        <f>IFERROR(__xludf.DUMMYFUNCTION("IFERROR(GOOGLEFINANCE(A956,""low""),"""")"),1830.0)</f>
        <v>1830</v>
      </c>
      <c r="Z956" s="22">
        <f>IFERROR(__xludf.DUMMYFUNCTION("IFERROR(GOOGLEFINANCE(A956,""volume""),"""")"),3.08968E7)</f>
        <v>30896800</v>
      </c>
      <c r="AA956" s="24" t="str">
        <f>VLOOKUP(A956,Metrik!$C$2:$Y$959,5,0)</f>
        <v>Wireless Telecommunication Services</v>
      </c>
      <c r="AB956" s="24" t="str">
        <f>VLOOKUP(A956,Metrik!$C$2:$Y$959,3,0)</f>
        <v>Infrastructures</v>
      </c>
    </row>
    <row r="957">
      <c r="A957" s="14" t="s">
        <v>509</v>
      </c>
      <c r="B957" s="14" t="str">
        <f t="array" ref="B957">VLOOKUP(A957,{Metrik!$C$2:$C$998,Metrik!$B$2:$B$998},2,0)</f>
        <v>PT Indosat Tbk</v>
      </c>
      <c r="C957" s="15">
        <f>IFERROR(__xludf.DUMMYFUNCTION("GOOGLEFINANCE(""IDX:""&amp;A957,""price"")"),1855.0)</f>
        <v>1855</v>
      </c>
      <c r="D957" s="16" t="str">
        <f>IFERROR(__xludf.DUMMYFUNCTION("IF(A957="""","""",
SPARKLINE(
INDEX(
GOOGLEFINANCE(""IDX:""&amp;A957,""close"",TODAY()-365,TODAY()),
,2
),
{""linewidth"",1}
))
"),"#N/A")</f>
        <v>#N/A</v>
      </c>
      <c r="E957" s="14" t="s">
        <v>32</v>
      </c>
      <c r="F957" s="14" t="s">
        <v>29</v>
      </c>
      <c r="G957" s="24">
        <f t="shared" si="7"/>
        <v>13</v>
      </c>
      <c r="H957" s="19">
        <f>VLOOKUP(A957,Metrik!$C$2:$Y$959,8,0)</f>
        <v>12.2</v>
      </c>
      <c r="I957" s="20">
        <f>VLOOKUP(A957,Metrik!$C$2:$Y$959,9,0)</f>
        <v>1.7</v>
      </c>
      <c r="J957" s="20">
        <f>VLOOKUP(A957,Metrik!$C$2:$Y$959,10,0)</f>
        <v>13.9</v>
      </c>
      <c r="K957" s="20">
        <f>VLOOKUP(A957,Metrik!$C$2:$Y$959,11,0)</f>
        <v>4.7</v>
      </c>
      <c r="L957" s="20">
        <f>VLOOKUP(A957,Metrik!$C$2:$Y$959,12,0)</f>
        <v>2</v>
      </c>
      <c r="M957" s="20">
        <f>VLOOKUP(A957,Metrik!$C$2:$Y$959,19,0)</f>
        <v>37.4</v>
      </c>
      <c r="N957" s="21"/>
      <c r="O957" s="21"/>
      <c r="P957" s="21"/>
      <c r="Q957" s="21"/>
      <c r="R957" s="21"/>
      <c r="S957" s="21"/>
      <c r="T957" s="21"/>
      <c r="U957" s="22">
        <f>IFERROR(__xludf.DUMMYFUNCTION("IFERROR(GOOGLEFINANCE(A957,""closeyest""),"""")"),1895.0)</f>
        <v>1895</v>
      </c>
      <c r="V957" s="23">
        <f>IFERROR(__xludf.DUMMYFUNCTION("IFERROR(GOOGLEFINANCE(A957,""changepct""),"""")"),-2.11)</f>
        <v>-2.11</v>
      </c>
      <c r="W957" s="22">
        <f>IFERROR(__xludf.DUMMYFUNCTION("IFERROR(GOOGLEFINANCE(A957,""priceopen""),"""")"),1905.0)</f>
        <v>1905</v>
      </c>
      <c r="X957" s="22">
        <f>IFERROR(__xludf.DUMMYFUNCTION("IFERROR(GOOGLEFINANCE(A957,""high""),"""")"),1915.0)</f>
        <v>1915</v>
      </c>
      <c r="Y957" s="22">
        <f>IFERROR(__xludf.DUMMYFUNCTION("IFERROR(GOOGLEFINANCE(A957,""low""),"""")"),1830.0)</f>
        <v>1830</v>
      </c>
      <c r="Z957" s="22">
        <f>IFERROR(__xludf.DUMMYFUNCTION("IFERROR(GOOGLEFINANCE(A957,""volume""),"""")"),3.08968E7)</f>
        <v>30896800</v>
      </c>
      <c r="AA957" s="24" t="str">
        <f>VLOOKUP(A957,Metrik!$C$2:$Y$959,5,0)</f>
        <v>Wireless Telecommunication Services</v>
      </c>
      <c r="AB957" s="24" t="str">
        <f>VLOOKUP(A957,Metrik!$C$2:$Y$959,3,0)</f>
        <v>Infrastructures</v>
      </c>
    </row>
    <row r="958">
      <c r="A958" s="14" t="s">
        <v>509</v>
      </c>
      <c r="B958" s="14" t="str">
        <f t="array" ref="B958">VLOOKUP(A958,{Metrik!$C$2:$C$998,Metrik!$B$2:$B$998},2,0)</f>
        <v>PT Indosat Tbk</v>
      </c>
      <c r="C958" s="15">
        <f>IFERROR(__xludf.DUMMYFUNCTION("GOOGLEFINANCE(""IDX:""&amp;A958,""price"")"),1855.0)</f>
        <v>1855</v>
      </c>
      <c r="D958" s="16" t="str">
        <f>IFERROR(__xludf.DUMMYFUNCTION("IF(A958="""","""",
SPARKLINE(
INDEX(
GOOGLEFINANCE(""IDX:""&amp;A958,""close"",TODAY()-365,TODAY()),
,2
),
{""linewidth"",1}
))
"),"#N/A")</f>
        <v>#N/A</v>
      </c>
      <c r="E958" s="14" t="s">
        <v>28</v>
      </c>
      <c r="F958" s="17" t="s">
        <v>29</v>
      </c>
      <c r="G958" s="24">
        <f t="shared" si="7"/>
        <v>13</v>
      </c>
      <c r="H958" s="19">
        <f>VLOOKUP(A958,Metrik!$C$2:$Y$959,8,0)</f>
        <v>12.2</v>
      </c>
      <c r="I958" s="20">
        <f>VLOOKUP(A958,Metrik!$C$2:$Y$959,9,0)</f>
        <v>1.7</v>
      </c>
      <c r="J958" s="20">
        <f>VLOOKUP(A958,Metrik!$C$2:$Y$959,10,0)</f>
        <v>13.9</v>
      </c>
      <c r="K958" s="20">
        <f>VLOOKUP(A958,Metrik!$C$2:$Y$959,11,0)</f>
        <v>4.7</v>
      </c>
      <c r="L958" s="20">
        <f>VLOOKUP(A958,Metrik!$C$2:$Y$959,12,0)</f>
        <v>2</v>
      </c>
      <c r="M958" s="20">
        <f>VLOOKUP(A958,Metrik!$C$2:$Y$959,19,0)</f>
        <v>37.4</v>
      </c>
      <c r="N958" s="21"/>
      <c r="O958" s="21"/>
      <c r="P958" s="21"/>
      <c r="Q958" s="21"/>
      <c r="R958" s="21"/>
      <c r="S958" s="21"/>
      <c r="T958" s="21"/>
      <c r="U958" s="22">
        <f>IFERROR(__xludf.DUMMYFUNCTION("IFERROR(GOOGLEFINANCE(A958,""closeyest""),"""")"),1895.0)</f>
        <v>1895</v>
      </c>
      <c r="V958" s="23">
        <f>IFERROR(__xludf.DUMMYFUNCTION("IFERROR(GOOGLEFINANCE(A958,""changepct""),"""")"),-2.11)</f>
        <v>-2.11</v>
      </c>
      <c r="W958" s="22">
        <f>IFERROR(__xludf.DUMMYFUNCTION("IFERROR(GOOGLEFINANCE(A958,""priceopen""),"""")"),1905.0)</f>
        <v>1905</v>
      </c>
      <c r="X958" s="22">
        <f>IFERROR(__xludf.DUMMYFUNCTION("IFERROR(GOOGLEFINANCE(A958,""high""),"""")"),1915.0)</f>
        <v>1915</v>
      </c>
      <c r="Y958" s="22">
        <f>IFERROR(__xludf.DUMMYFUNCTION("IFERROR(GOOGLEFINANCE(A958,""low""),"""")"),1830.0)</f>
        <v>1830</v>
      </c>
      <c r="Z958" s="22">
        <f>IFERROR(__xludf.DUMMYFUNCTION("IFERROR(GOOGLEFINANCE(A958,""volume""),"""")"),3.08968E7)</f>
        <v>30896800</v>
      </c>
      <c r="AA958" s="24" t="str">
        <f>VLOOKUP(A958,Metrik!$C$2:$Y$959,5,0)</f>
        <v>Wireless Telecommunication Services</v>
      </c>
      <c r="AB958" s="24" t="str">
        <f>VLOOKUP(A958,Metrik!$C$2:$Y$959,3,0)</f>
        <v>Infrastructures</v>
      </c>
    </row>
    <row r="959">
      <c r="A959" s="14" t="s">
        <v>509</v>
      </c>
      <c r="B959" s="14" t="str">
        <f t="array" ref="B959">VLOOKUP(A959,{Metrik!$C$2:$C$998,Metrik!$B$2:$B$998},2,0)</f>
        <v>PT Indosat Tbk</v>
      </c>
      <c r="C959" s="15">
        <f>IFERROR(__xludf.DUMMYFUNCTION("GOOGLEFINANCE(""IDX:""&amp;A959,""price"")"),1855.0)</f>
        <v>1855</v>
      </c>
      <c r="D959" s="16" t="str">
        <f>IFERROR(__xludf.DUMMYFUNCTION("IF(A959="""","""",
SPARKLINE(
INDEX(
GOOGLEFINANCE(""IDX:""&amp;A959,""close"",TODAY()-365,TODAY()),
,2
),
{""linewidth"",1}
))
"),"#N/A")</f>
        <v>#N/A</v>
      </c>
      <c r="E959" s="14" t="s">
        <v>85</v>
      </c>
      <c r="F959" s="17" t="s">
        <v>51</v>
      </c>
      <c r="G959" s="24">
        <f t="shared" si="7"/>
        <v>13</v>
      </c>
      <c r="H959" s="19">
        <f>VLOOKUP(A959,Metrik!$C$2:$Y$959,8,0)</f>
        <v>12.2</v>
      </c>
      <c r="I959" s="20">
        <f>VLOOKUP(A959,Metrik!$C$2:$Y$959,9,0)</f>
        <v>1.7</v>
      </c>
      <c r="J959" s="20">
        <f>VLOOKUP(A959,Metrik!$C$2:$Y$959,10,0)</f>
        <v>13.9</v>
      </c>
      <c r="K959" s="20">
        <f>VLOOKUP(A959,Metrik!$C$2:$Y$959,11,0)</f>
        <v>4.7</v>
      </c>
      <c r="L959" s="20">
        <f>VLOOKUP(A959,Metrik!$C$2:$Y$959,12,0)</f>
        <v>2</v>
      </c>
      <c r="M959" s="20">
        <f>VLOOKUP(A959,Metrik!$C$2:$Y$959,19,0)</f>
        <v>37.4</v>
      </c>
      <c r="N959" s="21"/>
      <c r="O959" s="21"/>
      <c r="P959" s="21"/>
      <c r="Q959" s="21"/>
      <c r="R959" s="21"/>
      <c r="S959" s="21"/>
      <c r="T959" s="21"/>
      <c r="U959" s="22">
        <f>IFERROR(__xludf.DUMMYFUNCTION("IFERROR(GOOGLEFINANCE(A959,""closeyest""),"""")"),1895.0)</f>
        <v>1895</v>
      </c>
      <c r="V959" s="23">
        <f>IFERROR(__xludf.DUMMYFUNCTION("IFERROR(GOOGLEFINANCE(A959,""changepct""),"""")"),-2.11)</f>
        <v>-2.11</v>
      </c>
      <c r="W959" s="22">
        <f>IFERROR(__xludf.DUMMYFUNCTION("IFERROR(GOOGLEFINANCE(A959,""priceopen""),"""")"),1905.0)</f>
        <v>1905</v>
      </c>
      <c r="X959" s="22">
        <f>IFERROR(__xludf.DUMMYFUNCTION("IFERROR(GOOGLEFINANCE(A959,""high""),"""")"),1915.0)</f>
        <v>1915</v>
      </c>
      <c r="Y959" s="22">
        <f>IFERROR(__xludf.DUMMYFUNCTION("IFERROR(GOOGLEFINANCE(A959,""low""),"""")"),1830.0)</f>
        <v>1830</v>
      </c>
      <c r="Z959" s="22">
        <f>IFERROR(__xludf.DUMMYFUNCTION("IFERROR(GOOGLEFINANCE(A959,""volume""),"""")"),3.08968E7)</f>
        <v>30896800</v>
      </c>
      <c r="AA959" s="24" t="str">
        <f>VLOOKUP(A959,Metrik!$C$2:$Y$959,5,0)</f>
        <v>Wireless Telecommunication Services</v>
      </c>
      <c r="AB959" s="24" t="str">
        <f>VLOOKUP(A959,Metrik!$C$2:$Y$959,3,0)</f>
        <v>Infrastructures</v>
      </c>
    </row>
    <row r="960">
      <c r="A960" s="14" t="s">
        <v>509</v>
      </c>
      <c r="B960" s="14" t="str">
        <f t="array" ref="B960">VLOOKUP(A960,{Metrik!$C$2:$C$998,Metrik!$B$2:$B$998},2,0)</f>
        <v>PT Indosat Tbk</v>
      </c>
      <c r="C960" s="15">
        <f>IFERROR(__xludf.DUMMYFUNCTION("GOOGLEFINANCE(""IDX:""&amp;A960,""price"")"),1855.0)</f>
        <v>1855</v>
      </c>
      <c r="D960" s="16" t="str">
        <f>IFERROR(__xludf.DUMMYFUNCTION("IF(A960="""","""",
SPARKLINE(
INDEX(
GOOGLEFINANCE(""IDX:""&amp;A960,""close"",TODAY()-365,TODAY()),
,2
),
{""linewidth"",1}
))
"),"#N/A")</f>
        <v>#N/A</v>
      </c>
      <c r="E960" s="14" t="s">
        <v>102</v>
      </c>
      <c r="F960" s="27" t="s">
        <v>53</v>
      </c>
      <c r="G960" s="24">
        <f t="shared" si="7"/>
        <v>13</v>
      </c>
      <c r="H960" s="19">
        <f>VLOOKUP(A960,Metrik!$C$2:$Y$959,8,0)</f>
        <v>12.2</v>
      </c>
      <c r="I960" s="20">
        <f>VLOOKUP(A960,Metrik!$C$2:$Y$959,9,0)</f>
        <v>1.7</v>
      </c>
      <c r="J960" s="20">
        <f>VLOOKUP(A960,Metrik!$C$2:$Y$959,10,0)</f>
        <v>13.9</v>
      </c>
      <c r="K960" s="20">
        <f>VLOOKUP(A960,Metrik!$C$2:$Y$959,11,0)</f>
        <v>4.7</v>
      </c>
      <c r="L960" s="20">
        <f>VLOOKUP(A960,Metrik!$C$2:$Y$959,12,0)</f>
        <v>2</v>
      </c>
      <c r="M960" s="20">
        <f>VLOOKUP(A960,Metrik!$C$2:$Y$959,19,0)</f>
        <v>37.4</v>
      </c>
      <c r="N960" s="21"/>
      <c r="O960" s="21"/>
      <c r="P960" s="21"/>
      <c r="Q960" s="21"/>
      <c r="R960" s="21"/>
      <c r="S960" s="21"/>
      <c r="T960" s="21"/>
      <c r="U960" s="22">
        <f>IFERROR(__xludf.DUMMYFUNCTION("IFERROR(GOOGLEFINANCE(A960,""closeyest""),"""")"),1895.0)</f>
        <v>1895</v>
      </c>
      <c r="V960" s="23">
        <f>IFERROR(__xludf.DUMMYFUNCTION("IFERROR(GOOGLEFINANCE(A960,""changepct""),"""")"),-2.11)</f>
        <v>-2.11</v>
      </c>
      <c r="W960" s="22">
        <f>IFERROR(__xludf.DUMMYFUNCTION("IFERROR(GOOGLEFINANCE(A960,""priceopen""),"""")"),1905.0)</f>
        <v>1905</v>
      </c>
      <c r="X960" s="22">
        <f>IFERROR(__xludf.DUMMYFUNCTION("IFERROR(GOOGLEFINANCE(A960,""high""),"""")"),1915.0)</f>
        <v>1915</v>
      </c>
      <c r="Y960" s="22">
        <f>IFERROR(__xludf.DUMMYFUNCTION("IFERROR(GOOGLEFINANCE(A960,""low""),"""")"),1830.0)</f>
        <v>1830</v>
      </c>
      <c r="Z960" s="22">
        <f>IFERROR(__xludf.DUMMYFUNCTION("IFERROR(GOOGLEFINANCE(A960,""volume""),"""")"),3.08968E7)</f>
        <v>30896800</v>
      </c>
      <c r="AA960" s="24" t="str">
        <f>VLOOKUP(A960,Metrik!$C$2:$Y$959,5,0)</f>
        <v>Wireless Telecommunication Services</v>
      </c>
      <c r="AB960" s="24" t="str">
        <f>VLOOKUP(A960,Metrik!$C$2:$Y$959,3,0)</f>
        <v>Infrastructures</v>
      </c>
    </row>
    <row r="961">
      <c r="A961" s="48" t="s">
        <v>509</v>
      </c>
      <c r="B961" s="14" t="str">
        <f t="array" ref="B961">VLOOKUP(A961,{Metrik!$C$2:$C$998,Metrik!$B$2:$B$998},2,0)</f>
        <v>PT Indosat Tbk</v>
      </c>
      <c r="C961" s="15">
        <f>IFERROR(__xludf.DUMMYFUNCTION("GOOGLEFINANCE(""IDX:""&amp;A961,""price"")"),1855.0)</f>
        <v>1855</v>
      </c>
      <c r="D961" s="16" t="str">
        <f>IFERROR(__xludf.DUMMYFUNCTION("IF(A961="""","""",
SPARKLINE(
INDEX(
GOOGLEFINANCE(""IDX:""&amp;A961,""close"",TODAY()-365,TODAY()),
,2
),
{""linewidth"",1}
))
"),"#N/A")</f>
        <v>#N/A</v>
      </c>
      <c r="E961" s="17" t="s">
        <v>69</v>
      </c>
      <c r="F961" s="17" t="s">
        <v>70</v>
      </c>
      <c r="G961" s="24">
        <f t="shared" si="7"/>
        <v>13</v>
      </c>
      <c r="H961" s="19">
        <f>VLOOKUP(A961,Metrik!$C$2:$Y$959,8,0)</f>
        <v>12.2</v>
      </c>
      <c r="I961" s="20">
        <f>VLOOKUP(A961,Metrik!$C$2:$Y$959,9,0)</f>
        <v>1.7</v>
      </c>
      <c r="J961" s="20">
        <f>VLOOKUP(A961,Metrik!$C$2:$Y$959,10,0)</f>
        <v>13.9</v>
      </c>
      <c r="K961" s="20">
        <f>VLOOKUP(A961,Metrik!$C$2:$Y$959,11,0)</f>
        <v>4.7</v>
      </c>
      <c r="L961" s="20">
        <f>VLOOKUP(A961,Metrik!$C$2:$Y$959,12,0)</f>
        <v>2</v>
      </c>
      <c r="M961" s="20">
        <f>VLOOKUP(A961,Metrik!$C$2:$Y$959,19,0)</f>
        <v>37.4</v>
      </c>
      <c r="N961" s="21"/>
      <c r="O961" s="21"/>
      <c r="P961" s="21"/>
      <c r="Q961" s="21"/>
      <c r="R961" s="21"/>
      <c r="S961" s="21"/>
      <c r="T961" s="21"/>
      <c r="U961" s="22">
        <f>IFERROR(__xludf.DUMMYFUNCTION("IFERROR(GOOGLEFINANCE(A961,""closeyest""),"""")"),1895.0)</f>
        <v>1895</v>
      </c>
      <c r="V961" s="23">
        <f>IFERROR(__xludf.DUMMYFUNCTION("IFERROR(GOOGLEFINANCE(A961,""changepct""),"""")"),-2.11)</f>
        <v>-2.11</v>
      </c>
      <c r="W961" s="22">
        <f>IFERROR(__xludf.DUMMYFUNCTION("IFERROR(GOOGLEFINANCE(A961,""priceopen""),"""")"),1905.0)</f>
        <v>1905</v>
      </c>
      <c r="X961" s="22">
        <f>IFERROR(__xludf.DUMMYFUNCTION("IFERROR(GOOGLEFINANCE(A961,""high""),"""")"),1915.0)</f>
        <v>1915</v>
      </c>
      <c r="Y961" s="22">
        <f>IFERROR(__xludf.DUMMYFUNCTION("IFERROR(GOOGLEFINANCE(A961,""low""),"""")"),1830.0)</f>
        <v>1830</v>
      </c>
      <c r="Z961" s="22">
        <f>IFERROR(__xludf.DUMMYFUNCTION("IFERROR(GOOGLEFINANCE(A961,""volume""),"""")"),3.08968E7)</f>
        <v>30896800</v>
      </c>
      <c r="AA961" s="24" t="str">
        <f>VLOOKUP(A961,Metrik!$C$2:$Y$959,5,0)</f>
        <v>Wireless Telecommunication Services</v>
      </c>
      <c r="AB961" s="24" t="str">
        <f>VLOOKUP(A961,Metrik!$C$2:$Y$959,3,0)</f>
        <v>Infrastructures</v>
      </c>
    </row>
    <row r="962">
      <c r="A962" s="17" t="s">
        <v>509</v>
      </c>
      <c r="B962" s="14" t="str">
        <f t="array" ref="B962">VLOOKUP(A962,{Metrik!$C$2:$C$998,Metrik!$B$2:$B$998},2,0)</f>
        <v>PT Indosat Tbk</v>
      </c>
      <c r="C962" s="15">
        <f>IFERROR(__xludf.DUMMYFUNCTION("GOOGLEFINANCE(""IDX:""&amp;A962,""price"")"),1855.0)</f>
        <v>1855</v>
      </c>
      <c r="D962" s="16" t="str">
        <f>IFERROR(__xludf.DUMMYFUNCTION("IF(A962="""","""",
SPARKLINE(
INDEX(
GOOGLEFINANCE(""IDX:""&amp;A962,""close"",TODAY()-365,TODAY()),
,2
),
{""linewidth"",1}
))
"),"#N/A")</f>
        <v>#N/A</v>
      </c>
      <c r="E962" s="14" t="s">
        <v>86</v>
      </c>
      <c r="F962" s="25">
        <v>46356.0</v>
      </c>
      <c r="G962" s="33">
        <f t="shared" si="7"/>
        <v>13</v>
      </c>
      <c r="H962" s="34">
        <f>VLOOKUP(A962,Metrik!$C$2:$Y$959,8,0)</f>
        <v>12.2</v>
      </c>
      <c r="I962" s="34">
        <f>VLOOKUP(A962,Metrik!$C$2:$Y$959,9,0)</f>
        <v>1.7</v>
      </c>
      <c r="J962" s="34">
        <f>VLOOKUP(A962,Metrik!$C$2:$Y$959,10,0)</f>
        <v>13.9</v>
      </c>
      <c r="K962" s="34">
        <f>VLOOKUP(A962,Metrik!$C$2:$Y$959,11,0)</f>
        <v>4.7</v>
      </c>
      <c r="L962" s="34">
        <f>VLOOKUP(A962,Metrik!$C$2:$Y$959,12,0)</f>
        <v>2</v>
      </c>
      <c r="M962" s="34">
        <f>VLOOKUP(A962,Metrik!$C$2:$Y$959,19,0)</f>
        <v>37.4</v>
      </c>
      <c r="N962" s="26"/>
      <c r="O962" s="26"/>
      <c r="P962" s="26"/>
      <c r="Q962" s="26"/>
      <c r="R962" s="26"/>
      <c r="S962" s="26"/>
      <c r="T962" s="26"/>
      <c r="U962" s="35">
        <f>IFERROR(__xludf.DUMMYFUNCTION("IFERROR(GOOGLEFINANCE(A962,""closeyest""),"""")"),1895.0)</f>
        <v>1895</v>
      </c>
      <c r="V962" s="36">
        <f>IFERROR(__xludf.DUMMYFUNCTION("IFERROR(GOOGLEFINANCE(A962,""changepct""),"""")"),-2.11)</f>
        <v>-2.11</v>
      </c>
      <c r="W962" s="35">
        <f>IFERROR(__xludf.DUMMYFUNCTION("IFERROR(GOOGLEFINANCE(A962,""priceopen""),"""")"),1905.0)</f>
        <v>1905</v>
      </c>
      <c r="X962" s="35">
        <f>IFERROR(__xludf.DUMMYFUNCTION("IFERROR(GOOGLEFINANCE(A962,""high""),"""")"),1915.0)</f>
        <v>1915</v>
      </c>
      <c r="Y962" s="35">
        <f>IFERROR(__xludf.DUMMYFUNCTION("IFERROR(GOOGLEFINANCE(A962,""low""),"""")"),1830.0)</f>
        <v>1830</v>
      </c>
      <c r="Z962" s="35">
        <f>IFERROR(__xludf.DUMMYFUNCTION("IFERROR(GOOGLEFINANCE(A962,""volume""),"""")"),3.08968E7)</f>
        <v>30896800</v>
      </c>
      <c r="AA962" s="14" t="str">
        <f>VLOOKUP(A962,Metrik!$C$2:$Y$959,5,0)</f>
        <v>Wireless Telecommunication Services</v>
      </c>
      <c r="AB962" s="14" t="str">
        <f>VLOOKUP(A962,Metrik!$C$2:$Y$959,3,0)</f>
        <v>Infrastructures</v>
      </c>
    </row>
    <row r="963">
      <c r="A963" s="14" t="s">
        <v>509</v>
      </c>
      <c r="B963" s="14" t="str">
        <f t="array" ref="B963">VLOOKUP(A963,{Metrik!$C$2:$C$998,Metrik!$B$2:$B$998},2,0)</f>
        <v>PT Indosat Tbk</v>
      </c>
      <c r="C963" s="15">
        <f>IFERROR(__xludf.DUMMYFUNCTION("GOOGLEFINANCE(""IDX:""&amp;A963,""price"")"),1855.0)</f>
        <v>1855</v>
      </c>
      <c r="D963" s="16" t="str">
        <f>IFERROR(__xludf.DUMMYFUNCTION("IF(A963="""","""",
SPARKLINE(
INDEX(
GOOGLEFINANCE(""IDX:""&amp;A963,""close"",TODAY()-365,TODAY()),
,2
),
{""linewidth"",1}
))
"),"#N/A")</f>
        <v>#N/A</v>
      </c>
      <c r="E963" s="14" t="s">
        <v>39</v>
      </c>
      <c r="F963" s="25">
        <v>46356.0</v>
      </c>
      <c r="G963" s="24">
        <f t="shared" si="7"/>
        <v>13</v>
      </c>
      <c r="H963" s="19">
        <f>VLOOKUP(A963,Metrik!$C$2:$Y$959,8,0)</f>
        <v>12.2</v>
      </c>
      <c r="I963" s="20">
        <f>VLOOKUP(A963,Metrik!$C$2:$Y$959,9,0)</f>
        <v>1.7</v>
      </c>
      <c r="J963" s="20">
        <f>VLOOKUP(A963,Metrik!$C$2:$Y$959,10,0)</f>
        <v>13.9</v>
      </c>
      <c r="K963" s="20">
        <f>VLOOKUP(A963,Metrik!$C$2:$Y$959,11,0)</f>
        <v>4.7</v>
      </c>
      <c r="L963" s="20">
        <f>VLOOKUP(A963,Metrik!$C$2:$Y$959,12,0)</f>
        <v>2</v>
      </c>
      <c r="M963" s="20">
        <f>VLOOKUP(A963,Metrik!$C$2:$Y$959,19,0)</f>
        <v>37.4</v>
      </c>
      <c r="N963" s="21"/>
      <c r="O963" s="21"/>
      <c r="P963" s="21"/>
      <c r="Q963" s="21"/>
      <c r="R963" s="21"/>
      <c r="S963" s="21"/>
      <c r="T963" s="21"/>
      <c r="U963" s="22">
        <f>IFERROR(__xludf.DUMMYFUNCTION("IFERROR(GOOGLEFINANCE(A963,""closeyest""),"""")"),1895.0)</f>
        <v>1895</v>
      </c>
      <c r="V963" s="23">
        <f>IFERROR(__xludf.DUMMYFUNCTION("IFERROR(GOOGLEFINANCE(A963,""changepct""),"""")"),-2.11)</f>
        <v>-2.11</v>
      </c>
      <c r="W963" s="22">
        <f>IFERROR(__xludf.DUMMYFUNCTION("IFERROR(GOOGLEFINANCE(A963,""priceopen""),"""")"),1905.0)</f>
        <v>1905</v>
      </c>
      <c r="X963" s="22">
        <f>IFERROR(__xludf.DUMMYFUNCTION("IFERROR(GOOGLEFINANCE(A963,""high""),"""")"),1915.0)</f>
        <v>1915</v>
      </c>
      <c r="Y963" s="22">
        <f>IFERROR(__xludf.DUMMYFUNCTION("IFERROR(GOOGLEFINANCE(A963,""low""),"""")"),1830.0)</f>
        <v>1830</v>
      </c>
      <c r="Z963" s="22">
        <f>IFERROR(__xludf.DUMMYFUNCTION("IFERROR(GOOGLEFINANCE(A963,""volume""),"""")"),3.08968E7)</f>
        <v>30896800</v>
      </c>
      <c r="AA963" s="24" t="str">
        <f>VLOOKUP(A963,Metrik!$C$2:$Y$959,5,0)</f>
        <v>Wireless Telecommunication Services</v>
      </c>
      <c r="AB963" s="24" t="str">
        <f>VLOOKUP(A963,Metrik!$C$2:$Y$959,3,0)</f>
        <v>Infrastructures</v>
      </c>
    </row>
    <row r="964">
      <c r="A964" s="14" t="s">
        <v>510</v>
      </c>
      <c r="B964" s="14" t="str">
        <f t="array" ref="B964">VLOOKUP(A964,{Metrik!$C$2:$C$998,Metrik!$B$2:$B$998},2,0)</f>
        <v>Indo American Seafoods Tbk.</v>
      </c>
      <c r="C964" s="15">
        <f>IFERROR(__xludf.DUMMYFUNCTION("GOOGLEFINANCE(""IDX:""&amp;A964,""price"")"),65.0)</f>
        <v>65</v>
      </c>
      <c r="D964" s="16" t="str">
        <f>IFERROR(__xludf.DUMMYFUNCTION("IF(A964="""","""",
SPARKLINE(
INDEX(
GOOGLEFINANCE(""IDX:""&amp;A964,""close"",TODAY()-365,TODAY()),
,2
),
{""linewidth"",1}
))
"),"#N/A")</f>
        <v>#N/A</v>
      </c>
      <c r="E964" s="26"/>
      <c r="F964" s="26"/>
      <c r="G964" s="24">
        <f t="shared" si="7"/>
        <v>0</v>
      </c>
      <c r="H964" s="19">
        <f>VLOOKUP(A964,Metrik!$C$2:$Y$959,8,0)</f>
        <v>7.6</v>
      </c>
      <c r="I964" s="20">
        <f>VLOOKUP(A964,Metrik!$C$2:$Y$959,9,0)</f>
        <v>0.52</v>
      </c>
      <c r="J964" s="20">
        <f>VLOOKUP(A964,Metrik!$C$2:$Y$959,10,0)</f>
        <v>6.9</v>
      </c>
      <c r="K964" s="20">
        <f>VLOOKUP(A964,Metrik!$C$2:$Y$959,11,0)</f>
        <v>2.9</v>
      </c>
      <c r="L964" s="20">
        <f>VLOOKUP(A964,Metrik!$C$2:$Y$959,12,0)</f>
        <v>1.3</v>
      </c>
      <c r="M964" s="20">
        <f>VLOOKUP(A964,Metrik!$C$2:$Y$959,19,0)</f>
        <v>7.1</v>
      </c>
      <c r="N964" s="21"/>
      <c r="O964" s="21"/>
      <c r="P964" s="21"/>
      <c r="Q964" s="21"/>
      <c r="R964" s="21"/>
      <c r="S964" s="21"/>
      <c r="T964" s="21"/>
      <c r="U964" s="22">
        <f>IFERROR(__xludf.DUMMYFUNCTION("IFERROR(GOOGLEFINANCE(A964,""closeyest""),"""")"),63.0)</f>
        <v>63</v>
      </c>
      <c r="V964" s="23">
        <f>IFERROR(__xludf.DUMMYFUNCTION("IFERROR(GOOGLEFINANCE(A964,""changepct""),"""")"),3.17)</f>
        <v>3.17</v>
      </c>
      <c r="W964" s="22">
        <f>IFERROR(__xludf.DUMMYFUNCTION("IFERROR(GOOGLEFINANCE(A964,""priceopen""),"""")"),63.0)</f>
        <v>63</v>
      </c>
      <c r="X964" s="22">
        <f>IFERROR(__xludf.DUMMYFUNCTION("IFERROR(GOOGLEFINANCE(A964,""high""),"""")"),66.0)</f>
        <v>66</v>
      </c>
      <c r="Y964" s="22">
        <f>IFERROR(__xludf.DUMMYFUNCTION("IFERROR(GOOGLEFINANCE(A964,""low""),"""")"),62.0)</f>
        <v>62</v>
      </c>
      <c r="Z964" s="22">
        <f>IFERROR(__xludf.DUMMYFUNCTION("IFERROR(GOOGLEFINANCE(A964,""volume""),"""")"),1613200.0)</f>
        <v>1613200</v>
      </c>
      <c r="AA964" s="24" t="str">
        <f>VLOOKUP(A964,Metrik!$C$2:$Y$959,5,0)</f>
        <v>Agricultural Products</v>
      </c>
      <c r="AB964" s="24" t="str">
        <f>VLOOKUP(A964,Metrik!$C$2:$Y$959,3,0)</f>
        <v>Consumer Non-Cyclicals</v>
      </c>
    </row>
    <row r="965">
      <c r="A965" s="14" t="s">
        <v>511</v>
      </c>
      <c r="B965" s="14" t="str">
        <f t="array" ref="B965">VLOOKUP(A965,{Metrik!$C$2:$C$998,Metrik!$B$2:$B$998},2,0)</f>
        <v>Steel Pipe Industry of Indonesia Tbk.</v>
      </c>
      <c r="C965" s="15">
        <f>IFERROR(__xludf.DUMMYFUNCTION("GOOGLEFINANCE(""IDX:""&amp;A965,""price"")"),398.0)</f>
        <v>398</v>
      </c>
      <c r="D965" s="16" t="str">
        <f>IFERROR(__xludf.DUMMYFUNCTION("IF(A965="""","""",
SPARKLINE(
INDEX(
GOOGLEFINANCE(""IDX:""&amp;A965,""close"",TODAY()-365,TODAY()),
,2
),
{""linewidth"",1}
))
"),"#N/A")</f>
        <v>#N/A</v>
      </c>
      <c r="E965" s="26"/>
      <c r="F965" s="26"/>
      <c r="G965" s="24">
        <f t="shared" si="7"/>
        <v>0</v>
      </c>
      <c r="H965" s="19">
        <f>VLOOKUP(A965,Metrik!$C$2:$Y$959,8,0)</f>
        <v>5.8</v>
      </c>
      <c r="I965" s="20">
        <f>VLOOKUP(A965,Metrik!$C$2:$Y$959,9,0)</f>
        <v>0.53</v>
      </c>
      <c r="J965" s="20">
        <f>VLOOKUP(A965,Metrik!$C$2:$Y$959,10,0)</f>
        <v>9.2</v>
      </c>
      <c r="K965" s="20">
        <f>VLOOKUP(A965,Metrik!$C$2:$Y$959,11,0)</f>
        <v>5.9</v>
      </c>
      <c r="L965" s="20">
        <f>VLOOKUP(A965,Metrik!$C$2:$Y$959,12,0)</f>
        <v>0.56</v>
      </c>
      <c r="M965" s="20">
        <f>VLOOKUP(A965,Metrik!$C$2:$Y$959,19,0)</f>
        <v>43.1</v>
      </c>
      <c r="N965" s="21"/>
      <c r="O965" s="21"/>
      <c r="P965" s="21"/>
      <c r="Q965" s="21"/>
      <c r="R965" s="21"/>
      <c r="S965" s="21"/>
      <c r="T965" s="21"/>
      <c r="U965" s="22" t="str">
        <f>IFERROR(__xludf.DUMMYFUNCTION("IFERROR(GOOGLEFINANCE(A965,""closeyest""),"""")"),"")</f>
        <v/>
      </c>
      <c r="V965" s="23">
        <f>IFERROR(__xludf.DUMMYFUNCTION("IFERROR(GOOGLEFINANCE(A965,""changepct""),"""")"),0.0)</f>
        <v>0</v>
      </c>
      <c r="W965" s="22">
        <f>IFERROR(__xludf.DUMMYFUNCTION("IFERROR(GOOGLEFINANCE(A965,""priceopen""),"""")"),400.0)</f>
        <v>400</v>
      </c>
      <c r="X965" s="22">
        <f>IFERROR(__xludf.DUMMYFUNCTION("IFERROR(GOOGLEFINANCE(A965,""high""),"""")"),404.0)</f>
        <v>404</v>
      </c>
      <c r="Y965" s="22">
        <f>IFERROR(__xludf.DUMMYFUNCTION("IFERROR(GOOGLEFINANCE(A965,""low""),"""")"),390.0)</f>
        <v>390</v>
      </c>
      <c r="Z965" s="22">
        <f>IFERROR(__xludf.DUMMYFUNCTION("IFERROR(GOOGLEFINANCE(A965,""volume""),"""")"),3069300.0)</f>
        <v>3069300</v>
      </c>
      <c r="AA965" s="24" t="str">
        <f>VLOOKUP(A965,Metrik!$C$2:$Y$959,5,0)</f>
        <v>Metals &amp; Minerals</v>
      </c>
      <c r="AB965" s="24" t="str">
        <f>VLOOKUP(A965,Metrik!$C$2:$Y$959,3,0)</f>
        <v>Basic Materials</v>
      </c>
    </row>
    <row r="966">
      <c r="A966" s="14" t="s">
        <v>512</v>
      </c>
      <c r="B966" s="14" t="str">
        <f t="array" ref="B966">VLOOKUP(A966,{Metrik!$C$2:$C$998,Metrik!$B$2:$B$998},2,0)</f>
        <v>Indonesian Tobacco Tbk.</v>
      </c>
      <c r="C966" s="15">
        <f>IFERROR(__xludf.DUMMYFUNCTION("GOOGLEFINANCE(""IDX:""&amp;A966,""price"")"),195.0)</f>
        <v>195</v>
      </c>
      <c r="D966" s="16" t="str">
        <f>IFERROR(__xludf.DUMMYFUNCTION("IF(A966="""","""",
SPARKLINE(
INDEX(
GOOGLEFINANCE(""IDX:""&amp;A966,""close"",TODAY()-365,TODAY()),
,2
),
{""linewidth"",1}
))
"),"#N/A")</f>
        <v>#N/A</v>
      </c>
      <c r="E966" s="26"/>
      <c r="F966" s="26"/>
      <c r="G966" s="24">
        <f t="shared" si="7"/>
        <v>0</v>
      </c>
      <c r="H966" s="19">
        <f>VLOOKUP(A966,Metrik!$C$2:$Y$959,8,0)</f>
        <v>9.9</v>
      </c>
      <c r="I966" s="20">
        <f>VLOOKUP(A966,Metrik!$C$2:$Y$959,9,0)</f>
        <v>0.42</v>
      </c>
      <c r="J966" s="20">
        <f>VLOOKUP(A966,Metrik!$C$2:$Y$959,10,0)</f>
        <v>4.3</v>
      </c>
      <c r="K966" s="20">
        <f>VLOOKUP(A966,Metrik!$C$2:$Y$959,11,0)</f>
        <v>3.2</v>
      </c>
      <c r="L966" s="20">
        <f>VLOOKUP(A966,Metrik!$C$2:$Y$959,12,0)</f>
        <v>0.34</v>
      </c>
      <c r="M966" s="20">
        <f>VLOOKUP(A966,Metrik!$C$2:$Y$959,19,0)</f>
        <v>30.4</v>
      </c>
      <c r="N966" s="21"/>
      <c r="O966" s="21"/>
      <c r="P966" s="21"/>
      <c r="Q966" s="21"/>
      <c r="R966" s="21"/>
      <c r="S966" s="21"/>
      <c r="T966" s="21"/>
      <c r="U966" s="22">
        <f>IFERROR(__xludf.DUMMYFUNCTION("IFERROR(GOOGLEFINANCE(A966,""closeyest""),"""")"),250.16)</f>
        <v>250.16</v>
      </c>
      <c r="V966" s="23">
        <f>IFERROR(__xludf.DUMMYFUNCTION("IFERROR(GOOGLEFINANCE(A966,""changepct""),"""")"),1.42)</f>
        <v>1.42</v>
      </c>
      <c r="W966" s="22">
        <f>IFERROR(__xludf.DUMMYFUNCTION("IFERROR(GOOGLEFINANCE(A966,""priceopen""),"""")"),252.47)</f>
        <v>252.47</v>
      </c>
      <c r="X966" s="22">
        <f>IFERROR(__xludf.DUMMYFUNCTION("IFERROR(GOOGLEFINANCE(A966,""high""),"""")"),256.15)</f>
        <v>256.15</v>
      </c>
      <c r="Y966" s="22">
        <f>IFERROR(__xludf.DUMMYFUNCTION("IFERROR(GOOGLEFINANCE(A966,""low""),"""")"),252.47)</f>
        <v>252.47</v>
      </c>
      <c r="Z966" s="22">
        <f>IFERROR(__xludf.DUMMYFUNCTION("IFERROR(GOOGLEFINANCE(A966,""volume""),"""")"),50251.0)</f>
        <v>50251</v>
      </c>
      <c r="AA966" s="24" t="str">
        <f>VLOOKUP(A966,Metrik!$C$2:$Y$959,5,0)</f>
        <v>Tobacco</v>
      </c>
      <c r="AB966" s="24" t="str">
        <f>VLOOKUP(A966,Metrik!$C$2:$Y$959,3,0)</f>
        <v>Consumer Non-Cyclicals</v>
      </c>
    </row>
    <row r="967">
      <c r="A967" s="14" t="s">
        <v>513</v>
      </c>
      <c r="B967" s="14" t="str">
        <f t="array" ref="B967">VLOOKUP(A967,{Metrik!$C$2:$C$998,Metrik!$B$2:$B$998},2,0)</f>
        <v>SUMBER ENERGI ANDALAN Tbk</v>
      </c>
      <c r="C967" s="15">
        <f>IFERROR(__xludf.DUMMYFUNCTION("GOOGLEFINANCE(""IDX:""&amp;A967,""price"")"),1480.0)</f>
        <v>1480</v>
      </c>
      <c r="D967" s="16" t="str">
        <f>IFERROR(__xludf.DUMMYFUNCTION("IF(A967="""","""",
SPARKLINE(
INDEX(
GOOGLEFINANCE(""IDX:""&amp;A967,""close"",TODAY()-365,TODAY()),
,2
),
{""linewidth"",1}
))
"),"#N/A")</f>
        <v>#N/A</v>
      </c>
      <c r="E967" s="26"/>
      <c r="F967" s="26"/>
      <c r="G967" s="24">
        <f t="shared" si="7"/>
        <v>0</v>
      </c>
      <c r="H967" s="19">
        <f>VLOOKUP(A967,Metrik!$C$2:$Y$959,8,0)</f>
        <v>45.6</v>
      </c>
      <c r="I967" s="20">
        <f>VLOOKUP(A967,Metrik!$C$2:$Y$959,9,0)</f>
        <v>0.47</v>
      </c>
      <c r="J967" s="20">
        <f>VLOOKUP(A967,Metrik!$C$2:$Y$959,10,0)</f>
        <v>1</v>
      </c>
      <c r="K967" s="20">
        <f>VLOOKUP(A967,Metrik!$C$2:$Y$959,11,0)</f>
        <v>0.86</v>
      </c>
      <c r="L967" s="20">
        <f>VLOOKUP(A967,Metrik!$C$2:$Y$959,12,0)</f>
        <v>0.2</v>
      </c>
      <c r="M967" s="20">
        <f>VLOOKUP(A967,Metrik!$C$2:$Y$959,19,0)</f>
        <v>300</v>
      </c>
      <c r="N967" s="21"/>
      <c r="O967" s="21"/>
      <c r="P967" s="21"/>
      <c r="Q967" s="21"/>
      <c r="R967" s="21"/>
      <c r="S967" s="21"/>
      <c r="T967" s="21"/>
      <c r="U967" s="22">
        <f>IFERROR(__xludf.DUMMYFUNCTION("IFERROR(GOOGLEFINANCE(A967,""closeyest""),"""")"),1480.0)</f>
        <v>1480</v>
      </c>
      <c r="V967" s="23">
        <f>IFERROR(__xludf.DUMMYFUNCTION("IFERROR(GOOGLEFINANCE(A967,""changepct""),"""")"),0.0)</f>
        <v>0</v>
      </c>
      <c r="W967" s="22">
        <f>IFERROR(__xludf.DUMMYFUNCTION("IFERROR(GOOGLEFINANCE(A967,""priceopen""),"""")"),1475.0)</f>
        <v>1475</v>
      </c>
      <c r="X967" s="22">
        <f>IFERROR(__xludf.DUMMYFUNCTION("IFERROR(GOOGLEFINANCE(A967,""high""),"""")"),1500.0)</f>
        <v>1500</v>
      </c>
      <c r="Y967" s="22">
        <f>IFERROR(__xludf.DUMMYFUNCTION("IFERROR(GOOGLEFINANCE(A967,""low""),"""")"),1450.0)</f>
        <v>1450</v>
      </c>
      <c r="Z967" s="22">
        <f>IFERROR(__xludf.DUMMYFUNCTION("IFERROR(GOOGLEFINANCE(A967,""volume""),"""")"),101300.0)</f>
        <v>101300</v>
      </c>
      <c r="AA967" s="24" t="str">
        <f>VLOOKUP(A967,Metrik!$C$2:$Y$959,5,0)</f>
        <v>Oil, Gas &amp; Coal Supports</v>
      </c>
      <c r="AB967" s="24" t="str">
        <f>VLOOKUP(A967,Metrik!$C$2:$Y$959,3,0)</f>
        <v>Energy</v>
      </c>
    </row>
    <row r="968">
      <c r="A968" s="14" t="s">
        <v>514</v>
      </c>
      <c r="B968" s="14" t="str">
        <f t="array" ref="B968">VLOOKUP(A968,{Metrik!$C$2:$C$998,Metrik!$B$2:$B$998},2,0)</f>
        <v>Indo Tambangraya Megah Tbk.</v>
      </c>
      <c r="C968" s="15">
        <f>IFERROR(__xludf.DUMMYFUNCTION("GOOGLEFINANCE(""IDX:""&amp;A968,""price"")"),23475.0)</f>
        <v>23475</v>
      </c>
      <c r="D968" s="16" t="str">
        <f>IFERROR(__xludf.DUMMYFUNCTION("IF(A968="""","""",
SPARKLINE(
INDEX(
GOOGLEFINANCE(""IDX:""&amp;A968,""close"",TODAY()-365,TODAY()),
,2
),
{""linewidth"",1}
))
"),"#N/A")</f>
        <v>#N/A</v>
      </c>
      <c r="E968" s="14" t="s">
        <v>65</v>
      </c>
      <c r="F968" s="25">
        <v>46356.0</v>
      </c>
      <c r="G968" s="28">
        <f t="shared" si="7"/>
        <v>12</v>
      </c>
      <c r="H968" s="19">
        <f>VLOOKUP(A968,Metrik!$C$2:$Y$959,8,0)</f>
        <v>8.2</v>
      </c>
      <c r="I968" s="20">
        <f>VLOOKUP(A968,Metrik!$C$2:$Y$959,9,0)</f>
        <v>0.76</v>
      </c>
      <c r="J968" s="20">
        <f>VLOOKUP(A968,Metrik!$C$2:$Y$959,10,0)</f>
        <v>9.3</v>
      </c>
      <c r="K968" s="20">
        <f>VLOOKUP(A968,Metrik!$C$2:$Y$959,11,0)</f>
        <v>7.5</v>
      </c>
      <c r="L968" s="20">
        <f>VLOOKUP(A968,Metrik!$C$2:$Y$959,12,0)</f>
        <v>0.25</v>
      </c>
      <c r="M968" s="20">
        <f>VLOOKUP(A968,Metrik!$C$2:$Y$959,19,0)</f>
        <v>36.2</v>
      </c>
      <c r="N968" s="21"/>
      <c r="O968" s="21"/>
      <c r="P968" s="21"/>
      <c r="Q968" s="21"/>
      <c r="R968" s="21"/>
      <c r="S968" s="21"/>
      <c r="T968" s="21"/>
      <c r="U968" s="22">
        <f>IFERROR(__xludf.DUMMYFUNCTION("IFERROR(GOOGLEFINANCE(A968,""closeyest""),"""")"),22350.0)</f>
        <v>22350</v>
      </c>
      <c r="V968" s="23">
        <f>IFERROR(__xludf.DUMMYFUNCTION("IFERROR(GOOGLEFINANCE(A968,""changepct""),"""")"),5.03)</f>
        <v>5.03</v>
      </c>
      <c r="W968" s="22">
        <f>IFERROR(__xludf.DUMMYFUNCTION("IFERROR(GOOGLEFINANCE(A968,""priceopen""),"""")"),22375.0)</f>
        <v>22375</v>
      </c>
      <c r="X968" s="22">
        <f>IFERROR(__xludf.DUMMYFUNCTION("IFERROR(GOOGLEFINANCE(A968,""high""),"""")"),23775.0)</f>
        <v>23775</v>
      </c>
      <c r="Y968" s="22">
        <f>IFERROR(__xludf.DUMMYFUNCTION("IFERROR(GOOGLEFINANCE(A968,""low""),"""")"),22375.0)</f>
        <v>22375</v>
      </c>
      <c r="Z968" s="22">
        <f>IFERROR(__xludf.DUMMYFUNCTION("IFERROR(GOOGLEFINANCE(A968,""volume""),"""")"),2791300.0)</f>
        <v>2791300</v>
      </c>
      <c r="AA968" s="24" t="str">
        <f>VLOOKUP(A968,Metrik!$C$2:$Y$959,5,0)</f>
        <v>Coal</v>
      </c>
      <c r="AB968" s="24" t="str">
        <f>VLOOKUP(A968,Metrik!$C$2:$Y$959,3,0)</f>
        <v>Energy</v>
      </c>
    </row>
    <row r="969">
      <c r="A969" s="14" t="s">
        <v>514</v>
      </c>
      <c r="B969" s="14" t="str">
        <f t="array" ref="B969">VLOOKUP(A969,{Metrik!$C$2:$C$998,Metrik!$B$2:$B$998},2,0)</f>
        <v>Indo Tambangraya Megah Tbk.</v>
      </c>
      <c r="C969" s="15">
        <f>IFERROR(__xludf.DUMMYFUNCTION("GOOGLEFINANCE(""IDX:""&amp;A969,""price"")"),23475.0)</f>
        <v>23475</v>
      </c>
      <c r="D969" s="16" t="str">
        <f>IFERROR(__xludf.DUMMYFUNCTION("IF(A969="""","""",
SPARKLINE(
INDEX(
GOOGLEFINANCE(""IDX:""&amp;A969,""close"",TODAY()-365,TODAY()),
,2
),
{""linewidth"",1}
))
"),"#N/A")</f>
        <v>#N/A</v>
      </c>
      <c r="E969" s="14" t="s">
        <v>42</v>
      </c>
      <c r="F969" s="25">
        <v>46356.0</v>
      </c>
      <c r="G969" s="28">
        <f t="shared" si="7"/>
        <v>12</v>
      </c>
      <c r="H969" s="19">
        <f>VLOOKUP(A969,Metrik!$C$2:$Y$959,8,0)</f>
        <v>8.2</v>
      </c>
      <c r="I969" s="20">
        <f>VLOOKUP(A969,Metrik!$C$2:$Y$959,9,0)</f>
        <v>0.76</v>
      </c>
      <c r="J969" s="20">
        <f>VLOOKUP(A969,Metrik!$C$2:$Y$959,10,0)</f>
        <v>9.3</v>
      </c>
      <c r="K969" s="20">
        <f>VLOOKUP(A969,Metrik!$C$2:$Y$959,11,0)</f>
        <v>7.5</v>
      </c>
      <c r="L969" s="20">
        <f>VLOOKUP(A969,Metrik!$C$2:$Y$959,12,0)</f>
        <v>0.25</v>
      </c>
      <c r="M969" s="20">
        <f>VLOOKUP(A969,Metrik!$C$2:$Y$959,19,0)</f>
        <v>36.2</v>
      </c>
      <c r="N969" s="21"/>
      <c r="O969" s="21"/>
      <c r="P969" s="21"/>
      <c r="Q969" s="21"/>
      <c r="R969" s="21"/>
      <c r="S969" s="21"/>
      <c r="T969" s="21"/>
      <c r="U969" s="22">
        <f>IFERROR(__xludf.DUMMYFUNCTION("IFERROR(GOOGLEFINANCE(A969,""closeyest""),"""")"),22350.0)</f>
        <v>22350</v>
      </c>
      <c r="V969" s="23">
        <f>IFERROR(__xludf.DUMMYFUNCTION("IFERROR(GOOGLEFINANCE(A969,""changepct""),"""")"),5.03)</f>
        <v>5.03</v>
      </c>
      <c r="W969" s="22">
        <f>IFERROR(__xludf.DUMMYFUNCTION("IFERROR(GOOGLEFINANCE(A969,""priceopen""),"""")"),22375.0)</f>
        <v>22375</v>
      </c>
      <c r="X969" s="22">
        <f>IFERROR(__xludf.DUMMYFUNCTION("IFERROR(GOOGLEFINANCE(A969,""high""),"""")"),23775.0)</f>
        <v>23775</v>
      </c>
      <c r="Y969" s="22">
        <f>IFERROR(__xludf.DUMMYFUNCTION("IFERROR(GOOGLEFINANCE(A969,""low""),"""")"),22375.0)</f>
        <v>22375</v>
      </c>
      <c r="Z969" s="22">
        <f>IFERROR(__xludf.DUMMYFUNCTION("IFERROR(GOOGLEFINANCE(A969,""volume""),"""")"),2791300.0)</f>
        <v>2791300</v>
      </c>
      <c r="AA969" s="24" t="str">
        <f>VLOOKUP(A969,Metrik!$C$2:$Y$959,5,0)</f>
        <v>Coal</v>
      </c>
      <c r="AB969" s="24" t="str">
        <f>VLOOKUP(A969,Metrik!$C$2:$Y$959,3,0)</f>
        <v>Energy</v>
      </c>
    </row>
    <row r="970">
      <c r="A970" s="14" t="s">
        <v>514</v>
      </c>
      <c r="B970" s="14" t="str">
        <f t="array" ref="B970">VLOOKUP(A970,{Metrik!$C$2:$C$998,Metrik!$B$2:$B$998},2,0)</f>
        <v>Indo Tambangraya Megah Tbk.</v>
      </c>
      <c r="C970" s="15">
        <f>IFERROR(__xludf.DUMMYFUNCTION("GOOGLEFINANCE(""IDX:""&amp;A970,""price"")"),23475.0)</f>
        <v>23475</v>
      </c>
      <c r="D970" s="16" t="str">
        <f>IFERROR(__xludf.DUMMYFUNCTION("IF(A970="""","""",
SPARKLINE(
INDEX(
GOOGLEFINANCE(""IDX:""&amp;A970,""close"",TODAY()-365,TODAY()),
,2
),
{""linewidth"",1}
))
"),"#N/A")</f>
        <v>#N/A</v>
      </c>
      <c r="E970" s="14" t="s">
        <v>68</v>
      </c>
      <c r="F970" s="14" t="s">
        <v>34</v>
      </c>
      <c r="G970" s="28">
        <f t="shared" si="7"/>
        <v>12</v>
      </c>
      <c r="H970" s="19">
        <f>VLOOKUP(A970,Metrik!$C$2:$Y$959,8,0)</f>
        <v>8.2</v>
      </c>
      <c r="I970" s="20">
        <f>VLOOKUP(A970,Metrik!$C$2:$Y$959,9,0)</f>
        <v>0.76</v>
      </c>
      <c r="J970" s="20">
        <f>VLOOKUP(A970,Metrik!$C$2:$Y$959,10,0)</f>
        <v>9.3</v>
      </c>
      <c r="K970" s="20">
        <f>VLOOKUP(A970,Metrik!$C$2:$Y$959,11,0)</f>
        <v>7.5</v>
      </c>
      <c r="L970" s="20">
        <f>VLOOKUP(A970,Metrik!$C$2:$Y$959,12,0)</f>
        <v>0.25</v>
      </c>
      <c r="M970" s="20">
        <f>VLOOKUP(A970,Metrik!$C$2:$Y$959,19,0)</f>
        <v>36.2</v>
      </c>
      <c r="N970" s="21"/>
      <c r="O970" s="21"/>
      <c r="P970" s="21"/>
      <c r="Q970" s="21"/>
      <c r="R970" s="21"/>
      <c r="S970" s="21"/>
      <c r="T970" s="21"/>
      <c r="U970" s="22">
        <f>IFERROR(__xludf.DUMMYFUNCTION("IFERROR(GOOGLEFINANCE(A970,""closeyest""),"""")"),22350.0)</f>
        <v>22350</v>
      </c>
      <c r="V970" s="23">
        <f>IFERROR(__xludf.DUMMYFUNCTION("IFERROR(GOOGLEFINANCE(A970,""changepct""),"""")"),5.03)</f>
        <v>5.03</v>
      </c>
      <c r="W970" s="22">
        <f>IFERROR(__xludf.DUMMYFUNCTION("IFERROR(GOOGLEFINANCE(A970,""priceopen""),"""")"),22375.0)</f>
        <v>22375</v>
      </c>
      <c r="X970" s="22">
        <f>IFERROR(__xludf.DUMMYFUNCTION("IFERROR(GOOGLEFINANCE(A970,""high""),"""")"),23775.0)</f>
        <v>23775</v>
      </c>
      <c r="Y970" s="22">
        <f>IFERROR(__xludf.DUMMYFUNCTION("IFERROR(GOOGLEFINANCE(A970,""low""),"""")"),22375.0)</f>
        <v>22375</v>
      </c>
      <c r="Z970" s="22">
        <f>IFERROR(__xludf.DUMMYFUNCTION("IFERROR(GOOGLEFINANCE(A970,""volume""),"""")"),2791300.0)</f>
        <v>2791300</v>
      </c>
      <c r="AA970" s="24" t="str">
        <f>VLOOKUP(A970,Metrik!$C$2:$Y$959,5,0)</f>
        <v>Coal</v>
      </c>
      <c r="AB970" s="24" t="str">
        <f>VLOOKUP(A970,Metrik!$C$2:$Y$959,3,0)</f>
        <v>Energy</v>
      </c>
    </row>
    <row r="971">
      <c r="A971" s="14" t="s">
        <v>514</v>
      </c>
      <c r="B971" s="14" t="str">
        <f t="array" ref="B971">VLOOKUP(A971,{Metrik!$C$2:$C$998,Metrik!$B$2:$B$998},2,0)</f>
        <v>Indo Tambangraya Megah Tbk.</v>
      </c>
      <c r="C971" s="15">
        <f>IFERROR(__xludf.DUMMYFUNCTION("GOOGLEFINANCE(""IDX:""&amp;A971,""price"")"),23475.0)</f>
        <v>23475</v>
      </c>
      <c r="D971" s="16" t="str">
        <f>IFERROR(__xludf.DUMMYFUNCTION("IF(A971="""","""",
SPARKLINE(
INDEX(
GOOGLEFINANCE(""IDX:""&amp;A971,""close"",TODAY()-365,TODAY()),
,2
),
{""linewidth"",1}
))
"),"#N/A")</f>
        <v>#N/A</v>
      </c>
      <c r="E971" s="14" t="s">
        <v>28</v>
      </c>
      <c r="F971" s="17" t="s">
        <v>29</v>
      </c>
      <c r="G971" s="28">
        <f t="shared" si="7"/>
        <v>12</v>
      </c>
      <c r="H971" s="19">
        <f>VLOOKUP(A971,Metrik!$C$2:$Y$959,8,0)</f>
        <v>8.2</v>
      </c>
      <c r="I971" s="20">
        <f>VLOOKUP(A971,Metrik!$C$2:$Y$959,9,0)</f>
        <v>0.76</v>
      </c>
      <c r="J971" s="20">
        <f>VLOOKUP(A971,Metrik!$C$2:$Y$959,10,0)</f>
        <v>9.3</v>
      </c>
      <c r="K971" s="20">
        <f>VLOOKUP(A971,Metrik!$C$2:$Y$959,11,0)</f>
        <v>7.5</v>
      </c>
      <c r="L971" s="20">
        <f>VLOOKUP(A971,Metrik!$C$2:$Y$959,12,0)</f>
        <v>0.25</v>
      </c>
      <c r="M971" s="20">
        <f>VLOOKUP(A971,Metrik!$C$2:$Y$959,19,0)</f>
        <v>36.2</v>
      </c>
      <c r="N971" s="21"/>
      <c r="O971" s="21"/>
      <c r="P971" s="21"/>
      <c r="Q971" s="21"/>
      <c r="R971" s="21"/>
      <c r="S971" s="21"/>
      <c r="T971" s="21"/>
      <c r="U971" s="22">
        <f>IFERROR(__xludf.DUMMYFUNCTION("IFERROR(GOOGLEFINANCE(A971,""closeyest""),"""")"),22350.0)</f>
        <v>22350</v>
      </c>
      <c r="V971" s="23">
        <f>IFERROR(__xludf.DUMMYFUNCTION("IFERROR(GOOGLEFINANCE(A971,""changepct""),"""")"),5.03)</f>
        <v>5.03</v>
      </c>
      <c r="W971" s="22">
        <f>IFERROR(__xludf.DUMMYFUNCTION("IFERROR(GOOGLEFINANCE(A971,""priceopen""),"""")"),22375.0)</f>
        <v>22375</v>
      </c>
      <c r="X971" s="22">
        <f>IFERROR(__xludf.DUMMYFUNCTION("IFERROR(GOOGLEFINANCE(A971,""high""),"""")"),23775.0)</f>
        <v>23775</v>
      </c>
      <c r="Y971" s="22">
        <f>IFERROR(__xludf.DUMMYFUNCTION("IFERROR(GOOGLEFINANCE(A971,""low""),"""")"),22375.0)</f>
        <v>22375</v>
      </c>
      <c r="Z971" s="22">
        <f>IFERROR(__xludf.DUMMYFUNCTION("IFERROR(GOOGLEFINANCE(A971,""volume""),"""")"),2791300.0)</f>
        <v>2791300</v>
      </c>
      <c r="AA971" s="24" t="str">
        <f>VLOOKUP(A971,Metrik!$C$2:$Y$959,5,0)</f>
        <v>Coal</v>
      </c>
      <c r="AB971" s="24" t="str">
        <f>VLOOKUP(A971,Metrik!$C$2:$Y$959,3,0)</f>
        <v>Energy</v>
      </c>
    </row>
    <row r="972">
      <c r="A972" s="14" t="s">
        <v>514</v>
      </c>
      <c r="B972" s="14" t="str">
        <f t="array" ref="B972">VLOOKUP(A972,{Metrik!$C$2:$C$998,Metrik!$B$2:$B$998},2,0)</f>
        <v>Indo Tambangraya Megah Tbk.</v>
      </c>
      <c r="C972" s="15">
        <f>IFERROR(__xludf.DUMMYFUNCTION("GOOGLEFINANCE(""IDX:""&amp;A972,""price"")"),23475.0)</f>
        <v>23475</v>
      </c>
      <c r="D972" s="16" t="str">
        <f>IFERROR(__xludf.DUMMYFUNCTION("IF(A972="""","""",
SPARKLINE(
INDEX(
GOOGLEFINANCE(""IDX:""&amp;A972,""close"",TODAY()-365,TODAY()),
,2
),
{""linewidth"",1}
))
"),"#N/A")</f>
        <v>#N/A</v>
      </c>
      <c r="E972" s="14" t="s">
        <v>48</v>
      </c>
      <c r="F972" s="14" t="s">
        <v>49</v>
      </c>
      <c r="G972" s="28">
        <f t="shared" si="7"/>
        <v>12</v>
      </c>
      <c r="H972" s="19">
        <f>VLOOKUP(A972,Metrik!$C$2:$Y$959,8,0)</f>
        <v>8.2</v>
      </c>
      <c r="I972" s="20">
        <f>VLOOKUP(A972,Metrik!$C$2:$Y$959,9,0)</f>
        <v>0.76</v>
      </c>
      <c r="J972" s="20">
        <f>VLOOKUP(A972,Metrik!$C$2:$Y$959,10,0)</f>
        <v>9.3</v>
      </c>
      <c r="K972" s="20">
        <f>VLOOKUP(A972,Metrik!$C$2:$Y$959,11,0)</f>
        <v>7.5</v>
      </c>
      <c r="L972" s="20">
        <f>VLOOKUP(A972,Metrik!$C$2:$Y$959,12,0)</f>
        <v>0.25</v>
      </c>
      <c r="M972" s="20">
        <f>VLOOKUP(A972,Metrik!$C$2:$Y$959,19,0)</f>
        <v>36.2</v>
      </c>
      <c r="N972" s="21"/>
      <c r="O972" s="21"/>
      <c r="P972" s="21"/>
      <c r="Q972" s="21"/>
      <c r="R972" s="21"/>
      <c r="S972" s="21"/>
      <c r="T972" s="21"/>
      <c r="U972" s="22">
        <f>IFERROR(__xludf.DUMMYFUNCTION("IFERROR(GOOGLEFINANCE(A972,""closeyest""),"""")"),22350.0)</f>
        <v>22350</v>
      </c>
      <c r="V972" s="23">
        <f>IFERROR(__xludf.DUMMYFUNCTION("IFERROR(GOOGLEFINANCE(A972,""changepct""),"""")"),5.03)</f>
        <v>5.03</v>
      </c>
      <c r="W972" s="22">
        <f>IFERROR(__xludf.DUMMYFUNCTION("IFERROR(GOOGLEFINANCE(A972,""priceopen""),"""")"),22375.0)</f>
        <v>22375</v>
      </c>
      <c r="X972" s="22">
        <f>IFERROR(__xludf.DUMMYFUNCTION("IFERROR(GOOGLEFINANCE(A972,""high""),"""")"),23775.0)</f>
        <v>23775</v>
      </c>
      <c r="Y972" s="22">
        <f>IFERROR(__xludf.DUMMYFUNCTION("IFERROR(GOOGLEFINANCE(A972,""low""),"""")"),22375.0)</f>
        <v>22375</v>
      </c>
      <c r="Z972" s="22">
        <f>IFERROR(__xludf.DUMMYFUNCTION("IFERROR(GOOGLEFINANCE(A972,""volume""),"""")"),2791300.0)</f>
        <v>2791300</v>
      </c>
      <c r="AA972" s="24" t="str">
        <f>VLOOKUP(A972,Metrik!$C$2:$Y$959,5,0)</f>
        <v>Coal</v>
      </c>
      <c r="AB972" s="24" t="str">
        <f>VLOOKUP(A972,Metrik!$C$2:$Y$959,3,0)</f>
        <v>Energy</v>
      </c>
    </row>
    <row r="973">
      <c r="A973" s="14" t="s">
        <v>514</v>
      </c>
      <c r="B973" s="14" t="str">
        <f t="array" ref="B973">VLOOKUP(A973,{Metrik!$C$2:$C$998,Metrik!$B$2:$B$998},2,0)</f>
        <v>Indo Tambangraya Megah Tbk.</v>
      </c>
      <c r="C973" s="15">
        <f>IFERROR(__xludf.DUMMYFUNCTION("GOOGLEFINANCE(""IDX:""&amp;A973,""price"")"),23475.0)</f>
        <v>23475</v>
      </c>
      <c r="D973" s="16" t="str">
        <f>IFERROR(__xludf.DUMMYFUNCTION("IF(A973="""","""",
SPARKLINE(
INDEX(
GOOGLEFINANCE(""IDX:""&amp;A973,""close"",TODAY()-365,TODAY()),
,2
),
{""linewidth"",1}
))
"),"#N/A")</f>
        <v>#N/A</v>
      </c>
      <c r="E973" s="14" t="s">
        <v>102</v>
      </c>
      <c r="F973" s="27" t="s">
        <v>53</v>
      </c>
      <c r="G973" s="28">
        <f t="shared" si="7"/>
        <v>12</v>
      </c>
      <c r="H973" s="19">
        <f>VLOOKUP(A973,Metrik!$C$2:$Y$959,8,0)</f>
        <v>8.2</v>
      </c>
      <c r="I973" s="20">
        <f>VLOOKUP(A973,Metrik!$C$2:$Y$959,9,0)</f>
        <v>0.76</v>
      </c>
      <c r="J973" s="20">
        <f>VLOOKUP(A973,Metrik!$C$2:$Y$959,10,0)</f>
        <v>9.3</v>
      </c>
      <c r="K973" s="20">
        <f>VLOOKUP(A973,Metrik!$C$2:$Y$959,11,0)</f>
        <v>7.5</v>
      </c>
      <c r="L973" s="20">
        <f>VLOOKUP(A973,Metrik!$C$2:$Y$959,12,0)</f>
        <v>0.25</v>
      </c>
      <c r="M973" s="20">
        <f>VLOOKUP(A973,Metrik!$C$2:$Y$959,19,0)</f>
        <v>36.2</v>
      </c>
      <c r="N973" s="21"/>
      <c r="O973" s="21"/>
      <c r="P973" s="21"/>
      <c r="Q973" s="21"/>
      <c r="R973" s="21"/>
      <c r="S973" s="21"/>
      <c r="T973" s="21"/>
      <c r="U973" s="22">
        <f>IFERROR(__xludf.DUMMYFUNCTION("IFERROR(GOOGLEFINANCE(A973,""closeyest""),"""")"),22350.0)</f>
        <v>22350</v>
      </c>
      <c r="V973" s="23">
        <f>IFERROR(__xludf.DUMMYFUNCTION("IFERROR(GOOGLEFINANCE(A973,""changepct""),"""")"),5.03)</f>
        <v>5.03</v>
      </c>
      <c r="W973" s="22">
        <f>IFERROR(__xludf.DUMMYFUNCTION("IFERROR(GOOGLEFINANCE(A973,""priceopen""),"""")"),22375.0)</f>
        <v>22375</v>
      </c>
      <c r="X973" s="22">
        <f>IFERROR(__xludf.DUMMYFUNCTION("IFERROR(GOOGLEFINANCE(A973,""high""),"""")"),23775.0)</f>
        <v>23775</v>
      </c>
      <c r="Y973" s="22">
        <f>IFERROR(__xludf.DUMMYFUNCTION("IFERROR(GOOGLEFINANCE(A973,""low""),"""")"),22375.0)</f>
        <v>22375</v>
      </c>
      <c r="Z973" s="22">
        <f>IFERROR(__xludf.DUMMYFUNCTION("IFERROR(GOOGLEFINANCE(A973,""volume""),"""")"),2791300.0)</f>
        <v>2791300</v>
      </c>
      <c r="AA973" s="24" t="str">
        <f>VLOOKUP(A973,Metrik!$C$2:$Y$959,5,0)</f>
        <v>Coal</v>
      </c>
      <c r="AB973" s="24" t="str">
        <f>VLOOKUP(A973,Metrik!$C$2:$Y$959,3,0)</f>
        <v>Energy</v>
      </c>
    </row>
    <row r="974">
      <c r="A974" s="14" t="s">
        <v>514</v>
      </c>
      <c r="B974" s="14" t="str">
        <f t="array" ref="B974">VLOOKUP(A974,{Metrik!$C$2:$C$998,Metrik!$B$2:$B$998},2,0)</f>
        <v>Indo Tambangraya Megah Tbk.</v>
      </c>
      <c r="C974" s="15">
        <f>IFERROR(__xludf.DUMMYFUNCTION("GOOGLEFINANCE(""IDX:""&amp;A974,""price"")"),23475.0)</f>
        <v>23475</v>
      </c>
      <c r="D974" s="16" t="str">
        <f>IFERROR(__xludf.DUMMYFUNCTION("IF(A974="""","""",
SPARKLINE(
INDEX(
GOOGLEFINANCE(""IDX:""&amp;A974,""close"",TODAY()-365,TODAY()),
,2
),
{""linewidth"",1}
))
"),"#N/A")</f>
        <v>#N/A</v>
      </c>
      <c r="E974" s="14" t="s">
        <v>31</v>
      </c>
      <c r="F974" s="17" t="s">
        <v>29</v>
      </c>
      <c r="G974" s="28">
        <f t="shared" si="7"/>
        <v>12</v>
      </c>
      <c r="H974" s="19">
        <f>VLOOKUP(A974,Metrik!$C$2:$Y$959,8,0)</f>
        <v>8.2</v>
      </c>
      <c r="I974" s="20">
        <f>VLOOKUP(A974,Metrik!$C$2:$Y$959,9,0)</f>
        <v>0.76</v>
      </c>
      <c r="J974" s="20">
        <f>VLOOKUP(A974,Metrik!$C$2:$Y$959,10,0)</f>
        <v>9.3</v>
      </c>
      <c r="K974" s="20">
        <f>VLOOKUP(A974,Metrik!$C$2:$Y$959,11,0)</f>
        <v>7.5</v>
      </c>
      <c r="L974" s="20">
        <f>VLOOKUP(A974,Metrik!$C$2:$Y$959,12,0)</f>
        <v>0.25</v>
      </c>
      <c r="M974" s="20">
        <f>VLOOKUP(A974,Metrik!$C$2:$Y$959,19,0)</f>
        <v>36.2</v>
      </c>
      <c r="N974" s="21"/>
      <c r="O974" s="21"/>
      <c r="P974" s="21"/>
      <c r="Q974" s="21"/>
      <c r="R974" s="21"/>
      <c r="S974" s="21"/>
      <c r="T974" s="21"/>
      <c r="U974" s="22">
        <f>IFERROR(__xludf.DUMMYFUNCTION("IFERROR(GOOGLEFINANCE(A974,""closeyest""),"""")"),22350.0)</f>
        <v>22350</v>
      </c>
      <c r="V974" s="23">
        <f>IFERROR(__xludf.DUMMYFUNCTION("IFERROR(GOOGLEFINANCE(A974,""changepct""),"""")"),5.03)</f>
        <v>5.03</v>
      </c>
      <c r="W974" s="22">
        <f>IFERROR(__xludf.DUMMYFUNCTION("IFERROR(GOOGLEFINANCE(A974,""priceopen""),"""")"),22375.0)</f>
        <v>22375</v>
      </c>
      <c r="X974" s="22">
        <f>IFERROR(__xludf.DUMMYFUNCTION("IFERROR(GOOGLEFINANCE(A974,""high""),"""")"),23775.0)</f>
        <v>23775</v>
      </c>
      <c r="Y974" s="22">
        <f>IFERROR(__xludf.DUMMYFUNCTION("IFERROR(GOOGLEFINANCE(A974,""low""),"""")"),22375.0)</f>
        <v>22375</v>
      </c>
      <c r="Z974" s="22">
        <f>IFERROR(__xludf.DUMMYFUNCTION("IFERROR(GOOGLEFINANCE(A974,""volume""),"""")"),2791300.0)</f>
        <v>2791300</v>
      </c>
      <c r="AA974" s="24" t="str">
        <f>VLOOKUP(A974,Metrik!$C$2:$Y$959,5,0)</f>
        <v>Coal</v>
      </c>
      <c r="AB974" s="24" t="str">
        <f>VLOOKUP(A974,Metrik!$C$2:$Y$959,3,0)</f>
        <v>Energy</v>
      </c>
    </row>
    <row r="975">
      <c r="A975" s="14" t="s">
        <v>514</v>
      </c>
      <c r="B975" s="14" t="str">
        <f t="array" ref="B975">VLOOKUP(A975,{Metrik!$C$2:$C$998,Metrik!$B$2:$B$998},2,0)</f>
        <v>Indo Tambangraya Megah Tbk.</v>
      </c>
      <c r="C975" s="15">
        <f>IFERROR(__xludf.DUMMYFUNCTION("GOOGLEFINANCE(""IDX:""&amp;A975,""price"")"),23475.0)</f>
        <v>23475</v>
      </c>
      <c r="D975" s="16" t="str">
        <f>IFERROR(__xludf.DUMMYFUNCTION("IF(A975="""","""",
SPARKLINE(
INDEX(
GOOGLEFINANCE(""IDX:""&amp;A975,""close"",TODAY()-365,TODAY()),
,2
),
{""linewidth"",1}
))
"),"#N/A")</f>
        <v>#N/A</v>
      </c>
      <c r="E975" s="14" t="s">
        <v>32</v>
      </c>
      <c r="F975" s="14" t="s">
        <v>29</v>
      </c>
      <c r="G975" s="28">
        <f t="shared" si="7"/>
        <v>12</v>
      </c>
      <c r="H975" s="19">
        <f>VLOOKUP(A975,Metrik!$C$2:$Y$959,8,0)</f>
        <v>8.2</v>
      </c>
      <c r="I975" s="20">
        <f>VLOOKUP(A975,Metrik!$C$2:$Y$959,9,0)</f>
        <v>0.76</v>
      </c>
      <c r="J975" s="20">
        <f>VLOOKUP(A975,Metrik!$C$2:$Y$959,10,0)</f>
        <v>9.3</v>
      </c>
      <c r="K975" s="20">
        <f>VLOOKUP(A975,Metrik!$C$2:$Y$959,11,0)</f>
        <v>7.5</v>
      </c>
      <c r="L975" s="20">
        <f>VLOOKUP(A975,Metrik!$C$2:$Y$959,12,0)</f>
        <v>0.25</v>
      </c>
      <c r="M975" s="20">
        <f>VLOOKUP(A975,Metrik!$C$2:$Y$959,19,0)</f>
        <v>36.2</v>
      </c>
      <c r="N975" s="21"/>
      <c r="O975" s="21"/>
      <c r="P975" s="21"/>
      <c r="Q975" s="21"/>
      <c r="R975" s="21"/>
      <c r="S975" s="21"/>
      <c r="T975" s="21"/>
      <c r="U975" s="22">
        <f>IFERROR(__xludf.DUMMYFUNCTION("IFERROR(GOOGLEFINANCE(A975,""closeyest""),"""")"),22350.0)</f>
        <v>22350</v>
      </c>
      <c r="V975" s="23">
        <f>IFERROR(__xludf.DUMMYFUNCTION("IFERROR(GOOGLEFINANCE(A975,""changepct""),"""")"),5.03)</f>
        <v>5.03</v>
      </c>
      <c r="W975" s="22">
        <f>IFERROR(__xludf.DUMMYFUNCTION("IFERROR(GOOGLEFINANCE(A975,""priceopen""),"""")"),22375.0)</f>
        <v>22375</v>
      </c>
      <c r="X975" s="22">
        <f>IFERROR(__xludf.DUMMYFUNCTION("IFERROR(GOOGLEFINANCE(A975,""high""),"""")"),23775.0)</f>
        <v>23775</v>
      </c>
      <c r="Y975" s="22">
        <f>IFERROR(__xludf.DUMMYFUNCTION("IFERROR(GOOGLEFINANCE(A975,""low""),"""")"),22375.0)</f>
        <v>22375</v>
      </c>
      <c r="Z975" s="22">
        <f>IFERROR(__xludf.DUMMYFUNCTION("IFERROR(GOOGLEFINANCE(A975,""volume""),"""")"),2791300.0)</f>
        <v>2791300</v>
      </c>
      <c r="AA975" s="24" t="str">
        <f>VLOOKUP(A975,Metrik!$C$2:$Y$959,5,0)</f>
        <v>Coal</v>
      </c>
      <c r="AB975" s="24" t="str">
        <f>VLOOKUP(A975,Metrik!$C$2:$Y$959,3,0)</f>
        <v>Energy</v>
      </c>
    </row>
    <row r="976">
      <c r="A976" s="14" t="s">
        <v>514</v>
      </c>
      <c r="B976" s="14" t="str">
        <f t="array" ref="B976">VLOOKUP(A976,{Metrik!$C$2:$C$998,Metrik!$B$2:$B$998},2,0)</f>
        <v>Indo Tambangraya Megah Tbk.</v>
      </c>
      <c r="C976" s="15">
        <f>IFERROR(__xludf.DUMMYFUNCTION("GOOGLEFINANCE(""IDX:""&amp;A976,""price"")"),23475.0)</f>
        <v>23475</v>
      </c>
      <c r="D976" s="16" t="str">
        <f>IFERROR(__xludf.DUMMYFUNCTION("IF(A976="""","""",
SPARKLINE(
INDEX(
GOOGLEFINANCE(""IDX:""&amp;A976,""close"",TODAY()-365,TODAY()),
,2
),
{""linewidth"",1}
))
"),"#N/A")</f>
        <v>#N/A</v>
      </c>
      <c r="E976" s="14" t="s">
        <v>33</v>
      </c>
      <c r="F976" s="14" t="s">
        <v>34</v>
      </c>
      <c r="G976" s="28">
        <f t="shared" si="7"/>
        <v>12</v>
      </c>
      <c r="H976" s="19">
        <f>VLOOKUP(A976,Metrik!$C$2:$Y$959,8,0)</f>
        <v>8.2</v>
      </c>
      <c r="I976" s="20">
        <f>VLOOKUP(A976,Metrik!$C$2:$Y$959,9,0)</f>
        <v>0.76</v>
      </c>
      <c r="J976" s="20">
        <f>VLOOKUP(A976,Metrik!$C$2:$Y$959,10,0)</f>
        <v>9.3</v>
      </c>
      <c r="K976" s="20">
        <f>VLOOKUP(A976,Metrik!$C$2:$Y$959,11,0)</f>
        <v>7.5</v>
      </c>
      <c r="L976" s="20">
        <f>VLOOKUP(A976,Metrik!$C$2:$Y$959,12,0)</f>
        <v>0.25</v>
      </c>
      <c r="M976" s="20">
        <f>VLOOKUP(A976,Metrik!$C$2:$Y$959,19,0)</f>
        <v>36.2</v>
      </c>
      <c r="N976" s="21"/>
      <c r="O976" s="21"/>
      <c r="P976" s="21"/>
      <c r="Q976" s="21"/>
      <c r="R976" s="21"/>
      <c r="S976" s="21"/>
      <c r="T976" s="21"/>
      <c r="U976" s="22">
        <f>IFERROR(__xludf.DUMMYFUNCTION("IFERROR(GOOGLEFINANCE(A976,""closeyest""),"""")"),22350.0)</f>
        <v>22350</v>
      </c>
      <c r="V976" s="23">
        <f>IFERROR(__xludf.DUMMYFUNCTION("IFERROR(GOOGLEFINANCE(A976,""changepct""),"""")"),5.03)</f>
        <v>5.03</v>
      </c>
      <c r="W976" s="22">
        <f>IFERROR(__xludf.DUMMYFUNCTION("IFERROR(GOOGLEFINANCE(A976,""priceopen""),"""")"),22375.0)</f>
        <v>22375</v>
      </c>
      <c r="X976" s="22">
        <f>IFERROR(__xludf.DUMMYFUNCTION("IFERROR(GOOGLEFINANCE(A976,""high""),"""")"),23775.0)</f>
        <v>23775</v>
      </c>
      <c r="Y976" s="22">
        <f>IFERROR(__xludf.DUMMYFUNCTION("IFERROR(GOOGLEFINANCE(A976,""low""),"""")"),22375.0)</f>
        <v>22375</v>
      </c>
      <c r="Z976" s="22">
        <f>IFERROR(__xludf.DUMMYFUNCTION("IFERROR(GOOGLEFINANCE(A976,""volume""),"""")"),2791300.0)</f>
        <v>2791300</v>
      </c>
      <c r="AA976" s="24" t="str">
        <f>VLOOKUP(A976,Metrik!$C$2:$Y$959,5,0)</f>
        <v>Coal</v>
      </c>
      <c r="AB976" s="24" t="str">
        <f>VLOOKUP(A976,Metrik!$C$2:$Y$959,3,0)</f>
        <v>Energy</v>
      </c>
    </row>
    <row r="977">
      <c r="A977" s="14" t="s">
        <v>514</v>
      </c>
      <c r="B977" s="14" t="str">
        <f t="array" ref="B977">VLOOKUP(A977,{Metrik!$C$2:$C$998,Metrik!$B$2:$B$998},2,0)</f>
        <v>Indo Tambangraya Megah Tbk.</v>
      </c>
      <c r="C977" s="15">
        <f>IFERROR(__xludf.DUMMYFUNCTION("GOOGLEFINANCE(""IDX:""&amp;A977,""price"")"),23475.0)</f>
        <v>23475</v>
      </c>
      <c r="D977" s="16" t="str">
        <f>IFERROR(__xludf.DUMMYFUNCTION("IF(A977="""","""",
SPARKLINE(
INDEX(
GOOGLEFINANCE(""IDX:""&amp;A977,""close"",TODAY()-365,TODAY()),
,2
),
{""linewidth"",1}
))
"),"#N/A")</f>
        <v>#N/A</v>
      </c>
      <c r="E977" s="14" t="s">
        <v>41</v>
      </c>
      <c r="F977" s="14" t="s">
        <v>34</v>
      </c>
      <c r="G977" s="28">
        <f t="shared" si="7"/>
        <v>12</v>
      </c>
      <c r="H977" s="19">
        <f>VLOOKUP(A977,Metrik!$C$2:$Y$959,8,0)</f>
        <v>8.2</v>
      </c>
      <c r="I977" s="20">
        <f>VLOOKUP(A977,Metrik!$C$2:$Y$959,9,0)</f>
        <v>0.76</v>
      </c>
      <c r="J977" s="20">
        <f>VLOOKUP(A977,Metrik!$C$2:$Y$959,10,0)</f>
        <v>9.3</v>
      </c>
      <c r="K977" s="20">
        <f>VLOOKUP(A977,Metrik!$C$2:$Y$959,11,0)</f>
        <v>7.5</v>
      </c>
      <c r="L977" s="20">
        <f>VLOOKUP(A977,Metrik!$C$2:$Y$959,12,0)</f>
        <v>0.25</v>
      </c>
      <c r="M977" s="20">
        <f>VLOOKUP(A977,Metrik!$C$2:$Y$959,19,0)</f>
        <v>36.2</v>
      </c>
      <c r="N977" s="21"/>
      <c r="O977" s="21"/>
      <c r="P977" s="21"/>
      <c r="Q977" s="21"/>
      <c r="R977" s="21"/>
      <c r="S977" s="21"/>
      <c r="T977" s="21"/>
      <c r="U977" s="22">
        <f>IFERROR(__xludf.DUMMYFUNCTION("IFERROR(GOOGLEFINANCE(A977,""closeyest""),"""")"),22350.0)</f>
        <v>22350</v>
      </c>
      <c r="V977" s="23">
        <f>IFERROR(__xludf.DUMMYFUNCTION("IFERROR(GOOGLEFINANCE(A977,""changepct""),"""")"),5.03)</f>
        <v>5.03</v>
      </c>
      <c r="W977" s="22">
        <f>IFERROR(__xludf.DUMMYFUNCTION("IFERROR(GOOGLEFINANCE(A977,""priceopen""),"""")"),22375.0)</f>
        <v>22375</v>
      </c>
      <c r="X977" s="22">
        <f>IFERROR(__xludf.DUMMYFUNCTION("IFERROR(GOOGLEFINANCE(A977,""high""),"""")"),23775.0)</f>
        <v>23775</v>
      </c>
      <c r="Y977" s="22">
        <f>IFERROR(__xludf.DUMMYFUNCTION("IFERROR(GOOGLEFINANCE(A977,""low""),"""")"),22375.0)</f>
        <v>22375</v>
      </c>
      <c r="Z977" s="22">
        <f>IFERROR(__xludf.DUMMYFUNCTION("IFERROR(GOOGLEFINANCE(A977,""volume""),"""")"),2791300.0)</f>
        <v>2791300</v>
      </c>
      <c r="AA977" s="24" t="str">
        <f>VLOOKUP(A977,Metrik!$C$2:$Y$959,5,0)</f>
        <v>Coal</v>
      </c>
      <c r="AB977" s="24" t="str">
        <f>VLOOKUP(A977,Metrik!$C$2:$Y$959,3,0)</f>
        <v>Energy</v>
      </c>
    </row>
    <row r="978">
      <c r="A978" s="17" t="s">
        <v>514</v>
      </c>
      <c r="B978" s="14" t="str">
        <f t="array" ref="B978">VLOOKUP(A978,{Metrik!$C$2:$C$998,Metrik!$B$2:$B$998},2,0)</f>
        <v>Indo Tambangraya Megah Tbk.</v>
      </c>
      <c r="C978" s="15">
        <f>IFERROR(__xludf.DUMMYFUNCTION("GOOGLEFINANCE(""IDX:""&amp;A978,""price"")"),23475.0)</f>
        <v>23475</v>
      </c>
      <c r="D978" s="16" t="str">
        <f>IFERROR(__xludf.DUMMYFUNCTION("IF(A978="""","""",
SPARKLINE(
INDEX(
GOOGLEFINANCE(""IDX:""&amp;A978,""close"",TODAY()-365,TODAY()),
,2
),
{""linewidth"",1}
))
"),"#N/A")</f>
        <v>#N/A</v>
      </c>
      <c r="E978" s="14" t="s">
        <v>35</v>
      </c>
      <c r="F978" s="17" t="s">
        <v>36</v>
      </c>
      <c r="G978" s="38">
        <f t="shared" si="7"/>
        <v>12</v>
      </c>
      <c r="H978" s="34">
        <f>VLOOKUP(A978,Metrik!$C$2:$Y$959,8,0)</f>
        <v>8.2</v>
      </c>
      <c r="I978" s="34">
        <f>VLOOKUP(A978,Metrik!$C$2:$Y$959,9,0)</f>
        <v>0.76</v>
      </c>
      <c r="J978" s="34">
        <f>VLOOKUP(A978,Metrik!$C$2:$Y$959,10,0)</f>
        <v>9.3</v>
      </c>
      <c r="K978" s="34">
        <f>VLOOKUP(A978,Metrik!$C$2:$Y$959,11,0)</f>
        <v>7.5</v>
      </c>
      <c r="L978" s="34">
        <f>VLOOKUP(A978,Metrik!$C$2:$Y$959,12,0)</f>
        <v>0.25</v>
      </c>
      <c r="M978" s="34">
        <f>VLOOKUP(A978,Metrik!$C$2:$Y$959,19,0)</f>
        <v>36.2</v>
      </c>
      <c r="N978" s="26"/>
      <c r="O978" s="26"/>
      <c r="P978" s="26"/>
      <c r="Q978" s="26"/>
      <c r="R978" s="26"/>
      <c r="S978" s="26"/>
      <c r="T978" s="26"/>
      <c r="U978" s="35">
        <f>IFERROR(__xludf.DUMMYFUNCTION("IFERROR(GOOGLEFINANCE(A978,""closeyest""),"""")"),22350.0)</f>
        <v>22350</v>
      </c>
      <c r="V978" s="36">
        <f>IFERROR(__xludf.DUMMYFUNCTION("IFERROR(GOOGLEFINANCE(A978,""changepct""),"""")"),5.03)</f>
        <v>5.03</v>
      </c>
      <c r="W978" s="35">
        <f>IFERROR(__xludf.DUMMYFUNCTION("IFERROR(GOOGLEFINANCE(A978,""priceopen""),"""")"),22375.0)</f>
        <v>22375</v>
      </c>
      <c r="X978" s="35">
        <f>IFERROR(__xludf.DUMMYFUNCTION("IFERROR(GOOGLEFINANCE(A978,""high""),"""")"),23775.0)</f>
        <v>23775</v>
      </c>
      <c r="Y978" s="35">
        <f>IFERROR(__xludf.DUMMYFUNCTION("IFERROR(GOOGLEFINANCE(A978,""low""),"""")"),22375.0)</f>
        <v>22375</v>
      </c>
      <c r="Z978" s="35">
        <f>IFERROR(__xludf.DUMMYFUNCTION("IFERROR(GOOGLEFINANCE(A978,""volume""),"""")"),2791300.0)</f>
        <v>2791300</v>
      </c>
      <c r="AA978" s="14" t="str">
        <f>VLOOKUP(A978,Metrik!$C$2:$Y$959,5,0)</f>
        <v>Coal</v>
      </c>
      <c r="AB978" s="14" t="str">
        <f>VLOOKUP(A978,Metrik!$C$2:$Y$959,3,0)</f>
        <v>Energy</v>
      </c>
    </row>
    <row r="979">
      <c r="A979" s="14" t="s">
        <v>514</v>
      </c>
      <c r="B979" s="14" t="str">
        <f t="array" ref="B979">VLOOKUP(A979,{Metrik!$C$2:$C$998,Metrik!$B$2:$B$998},2,0)</f>
        <v>Indo Tambangraya Megah Tbk.</v>
      </c>
      <c r="C979" s="15">
        <f>IFERROR(__xludf.DUMMYFUNCTION("GOOGLEFINANCE(""IDX:""&amp;A979,""price"")"),23475.0)</f>
        <v>23475</v>
      </c>
      <c r="D979" s="16" t="str">
        <f>IFERROR(__xludf.DUMMYFUNCTION("IF(A979="""","""",
SPARKLINE(
INDEX(
GOOGLEFINANCE(""IDX:""&amp;A979,""close"",TODAY()-365,TODAY()),
,2
),
{""linewidth"",1}
))
"),"#N/A")</f>
        <v>#N/A</v>
      </c>
      <c r="E979" s="14" t="s">
        <v>39</v>
      </c>
      <c r="F979" s="25">
        <v>46356.0</v>
      </c>
      <c r="G979" s="28">
        <f t="shared" si="7"/>
        <v>12</v>
      </c>
      <c r="H979" s="19">
        <f>VLOOKUP(A979,Metrik!$C$2:$Y$959,8,0)</f>
        <v>8.2</v>
      </c>
      <c r="I979" s="20">
        <f>VLOOKUP(A979,Metrik!$C$2:$Y$959,9,0)</f>
        <v>0.76</v>
      </c>
      <c r="J979" s="20">
        <f>VLOOKUP(A979,Metrik!$C$2:$Y$959,10,0)</f>
        <v>9.3</v>
      </c>
      <c r="K979" s="20">
        <f>VLOOKUP(A979,Metrik!$C$2:$Y$959,11,0)</f>
        <v>7.5</v>
      </c>
      <c r="L979" s="20">
        <f>VLOOKUP(A979,Metrik!$C$2:$Y$959,12,0)</f>
        <v>0.25</v>
      </c>
      <c r="M979" s="20">
        <f>VLOOKUP(A979,Metrik!$C$2:$Y$959,19,0)</f>
        <v>36.2</v>
      </c>
      <c r="N979" s="21"/>
      <c r="O979" s="21"/>
      <c r="P979" s="21"/>
      <c r="Q979" s="21"/>
      <c r="R979" s="21"/>
      <c r="S979" s="21"/>
      <c r="T979" s="21"/>
      <c r="U979" s="22">
        <f>IFERROR(__xludf.DUMMYFUNCTION("IFERROR(GOOGLEFINANCE(A979,""closeyest""),"""")"),22350.0)</f>
        <v>22350</v>
      </c>
      <c r="V979" s="23">
        <f>IFERROR(__xludf.DUMMYFUNCTION("IFERROR(GOOGLEFINANCE(A979,""changepct""),"""")"),5.03)</f>
        <v>5.03</v>
      </c>
      <c r="W979" s="22">
        <f>IFERROR(__xludf.DUMMYFUNCTION("IFERROR(GOOGLEFINANCE(A979,""priceopen""),"""")"),22375.0)</f>
        <v>22375</v>
      </c>
      <c r="X979" s="22">
        <f>IFERROR(__xludf.DUMMYFUNCTION("IFERROR(GOOGLEFINANCE(A979,""high""),"""")"),23775.0)</f>
        <v>23775</v>
      </c>
      <c r="Y979" s="22">
        <f>IFERROR(__xludf.DUMMYFUNCTION("IFERROR(GOOGLEFINANCE(A979,""low""),"""")"),22375.0)</f>
        <v>22375</v>
      </c>
      <c r="Z979" s="22">
        <f>IFERROR(__xludf.DUMMYFUNCTION("IFERROR(GOOGLEFINANCE(A979,""volume""),"""")"),2791300.0)</f>
        <v>2791300</v>
      </c>
      <c r="AA979" s="24" t="str">
        <f>VLOOKUP(A979,Metrik!$C$2:$Y$959,5,0)</f>
        <v>Coal</v>
      </c>
      <c r="AB979" s="24" t="str">
        <f>VLOOKUP(A979,Metrik!$C$2:$Y$959,3,0)</f>
        <v>Energy</v>
      </c>
    </row>
    <row r="980">
      <c r="A980" s="14" t="s">
        <v>515</v>
      </c>
      <c r="B980" s="14" t="str">
        <f t="array" ref="B980">VLOOKUP(A980,{Metrik!$C$2:$C$998,Metrik!$B$2:$B$998},2,0)</f>
        <v>Jhonlin Agro Raya Tbk.</v>
      </c>
      <c r="C980" s="15">
        <f>IFERROR(__xludf.DUMMYFUNCTION("GOOGLEFINANCE(""IDX:""&amp;A980,""price"")"),1610.0)</f>
        <v>1610</v>
      </c>
      <c r="D980" s="16" t="str">
        <f>IFERROR(__xludf.DUMMYFUNCTION("IF(A980="""","""",
SPARKLINE(
INDEX(
GOOGLEFINANCE(""IDX:""&amp;A980,""close"",TODAY()-365,TODAY()),
,2
),
{""linewidth"",1}
))
"),"#N/A")</f>
        <v>#N/A</v>
      </c>
      <c r="E980" s="26"/>
      <c r="F980" s="26"/>
      <c r="G980" s="24">
        <f t="shared" si="7"/>
        <v>0</v>
      </c>
      <c r="H980" s="19">
        <f>VLOOKUP(A980,Metrik!$C$2:$Y$959,8,0)</f>
        <v>59.6</v>
      </c>
      <c r="I980" s="20">
        <f>VLOOKUP(A980,Metrik!$C$2:$Y$959,9,0)</f>
        <v>7.6</v>
      </c>
      <c r="J980" s="20">
        <f>VLOOKUP(A980,Metrik!$C$2:$Y$959,10,0)</f>
        <v>12.8</v>
      </c>
      <c r="K980" s="20">
        <f>VLOOKUP(A980,Metrik!$C$2:$Y$959,11,0)</f>
        <v>6.3</v>
      </c>
      <c r="L980" s="20">
        <f>VLOOKUP(A980,Metrik!$C$2:$Y$959,12,0)</f>
        <v>1</v>
      </c>
      <c r="M980" s="20">
        <f>VLOOKUP(A980,Metrik!$C$2:$Y$959,19,0)</f>
        <v>32.2</v>
      </c>
      <c r="N980" s="21"/>
      <c r="O980" s="21"/>
      <c r="P980" s="21"/>
      <c r="Q980" s="21"/>
      <c r="R980" s="21"/>
      <c r="S980" s="21"/>
      <c r="T980" s="21"/>
      <c r="U980" s="22">
        <f>IFERROR(__xludf.DUMMYFUNCTION("IFERROR(GOOGLEFINANCE(A980,""closeyest""),"""")"),1515.0)</f>
        <v>1515</v>
      </c>
      <c r="V980" s="23" t="str">
        <f>IFERROR(__xludf.DUMMYFUNCTION("IFERROR(GOOGLEFINANCE(A980,""changepct""),"""")"),"")</f>
        <v/>
      </c>
      <c r="W980" s="22">
        <f>IFERROR(__xludf.DUMMYFUNCTION("IFERROR(GOOGLEFINANCE(A980,""priceopen""),"""")"),1520.0)</f>
        <v>1520</v>
      </c>
      <c r="X980" s="22">
        <f>IFERROR(__xludf.DUMMYFUNCTION("IFERROR(GOOGLEFINANCE(A980,""high""),"""")"),1675.0)</f>
        <v>1675</v>
      </c>
      <c r="Y980" s="22" t="str">
        <f>IFERROR(__xludf.DUMMYFUNCTION("IFERROR(GOOGLEFINANCE(A980,""low""),"""")"),"")</f>
        <v/>
      </c>
      <c r="Z980" s="22">
        <f>IFERROR(__xludf.DUMMYFUNCTION("IFERROR(GOOGLEFINANCE(A980,""volume""),"""")"),1607200.0)</f>
        <v>1607200</v>
      </c>
      <c r="AA980" s="24" t="str">
        <f>VLOOKUP(A980,Metrik!$C$2:$Y$959,5,0)</f>
        <v>Agricultural Products</v>
      </c>
      <c r="AB980" s="24" t="str">
        <f>VLOOKUP(A980,Metrik!$C$2:$Y$959,3,0)</f>
        <v>Consumer Non-Cyclicals</v>
      </c>
    </row>
    <row r="981">
      <c r="A981" s="14" t="s">
        <v>516</v>
      </c>
      <c r="B981" s="14" t="str">
        <f t="array" ref="B981">VLOOKUP(A981,{Metrik!$C$2:$C$998,Metrik!$B$2:$B$998},2,0)</f>
        <v>Jasnita Telekomindo Tbk.</v>
      </c>
      <c r="C981" s="15">
        <f>IFERROR(__xludf.DUMMYFUNCTION("GOOGLEFINANCE(""IDX:""&amp;A981,""price"")"),80.0)</f>
        <v>80</v>
      </c>
      <c r="D981" s="16" t="str">
        <f>IFERROR(__xludf.DUMMYFUNCTION("IF(A981="""","""",
SPARKLINE(
INDEX(
GOOGLEFINANCE(""IDX:""&amp;A981,""close"",TODAY()-365,TODAY()),
,2
),
{""linewidth"",1}
))
"),"#N/A")</f>
        <v>#N/A</v>
      </c>
      <c r="E981" s="26"/>
      <c r="F981" s="26"/>
      <c r="G981" s="24">
        <f t="shared" si="7"/>
        <v>0</v>
      </c>
      <c r="H981" s="19">
        <f>VLOOKUP(A981,Metrik!$C$2:$Y$959,8,0)</f>
        <v>-26.2</v>
      </c>
      <c r="I981" s="20">
        <f>VLOOKUP(A981,Metrik!$C$2:$Y$959,9,0)</f>
        <v>1</v>
      </c>
      <c r="J981" s="20">
        <f>VLOOKUP(A981,Metrik!$C$2:$Y$959,10,0)</f>
        <v>-3.8</v>
      </c>
      <c r="K981" s="20">
        <f>VLOOKUP(A981,Metrik!$C$2:$Y$959,11,0)</f>
        <v>-2</v>
      </c>
      <c r="L981" s="20">
        <f>VLOOKUP(A981,Metrik!$C$2:$Y$959,12,0)</f>
        <v>0.9</v>
      </c>
      <c r="M981" s="20">
        <f>VLOOKUP(A981,Metrik!$C$2:$Y$959,19,0)</f>
        <v>-6.3</v>
      </c>
      <c r="N981" s="21"/>
      <c r="O981" s="21"/>
      <c r="P981" s="21"/>
      <c r="Q981" s="21"/>
      <c r="R981" s="21"/>
      <c r="S981" s="21"/>
      <c r="T981" s="21"/>
      <c r="U981" s="22">
        <f>IFERROR(__xludf.DUMMYFUNCTION("IFERROR(GOOGLEFINANCE(A981,""closeyest""),"""")"),73.0)</f>
        <v>73</v>
      </c>
      <c r="V981" s="23">
        <f>IFERROR(__xludf.DUMMYFUNCTION("IFERROR(GOOGLEFINANCE(A981,""changepct""),"""")"),9.59)</f>
        <v>9.59</v>
      </c>
      <c r="W981" s="22">
        <f>IFERROR(__xludf.DUMMYFUNCTION("IFERROR(GOOGLEFINANCE(A981,""priceopen""),"""")"),73.0)</f>
        <v>73</v>
      </c>
      <c r="X981" s="22">
        <f>IFERROR(__xludf.DUMMYFUNCTION("IFERROR(GOOGLEFINANCE(A981,""high""),"""")"),81.0)</f>
        <v>81</v>
      </c>
      <c r="Y981" s="22">
        <f>IFERROR(__xludf.DUMMYFUNCTION("IFERROR(GOOGLEFINANCE(A981,""low""),"""")"),73.0)</f>
        <v>73</v>
      </c>
      <c r="Z981" s="22">
        <f>IFERROR(__xludf.DUMMYFUNCTION("IFERROR(GOOGLEFINANCE(A981,""volume""),"""")"),1.04917E7)</f>
        <v>10491700</v>
      </c>
      <c r="AA981" s="24" t="str">
        <f>VLOOKUP(A981,Metrik!$C$2:$Y$959,5,0)</f>
        <v>Telecommunication Service</v>
      </c>
      <c r="AB981" s="24" t="str">
        <f>VLOOKUP(A981,Metrik!$C$2:$Y$959,3,0)</f>
        <v>Infrastructures</v>
      </c>
    </row>
    <row r="982">
      <c r="A982" s="14" t="s">
        <v>517</v>
      </c>
      <c r="B982" s="14" t="str">
        <f t="array" ref="B982">VLOOKUP(A982,{Metrik!$C$2:$C$998,Metrik!$B$2:$B$998},2,0)</f>
        <v>PT Informasi Teknologi Indonesia Tbk.</v>
      </c>
      <c r="C982" s="15">
        <f>IFERROR(__xludf.DUMMYFUNCTION("GOOGLEFINANCE(""IDX:""&amp;A982,""price"")"),95.0)</f>
        <v>95</v>
      </c>
      <c r="D982" s="16" t="str">
        <f>IFERROR(__xludf.DUMMYFUNCTION("IF(A982="""","""",
SPARKLINE(
INDEX(
GOOGLEFINANCE(""IDX:""&amp;A982,""close"",TODAY()-365,TODAY()),
,2
),
{""linewidth"",1}
))
"),"#N/A")</f>
        <v>#N/A</v>
      </c>
      <c r="E982" s="26"/>
      <c r="F982" s="26"/>
      <c r="G982" s="24">
        <f t="shared" si="7"/>
        <v>0</v>
      </c>
      <c r="H982" s="19">
        <f>VLOOKUP(A982,Metrik!$C$2:$Y$959,8,0)</f>
        <v>18.2</v>
      </c>
      <c r="I982" s="20">
        <f>VLOOKUP(A982,Metrik!$C$2:$Y$959,9,0)</f>
        <v>1.9</v>
      </c>
      <c r="J982" s="20">
        <f>VLOOKUP(A982,Metrik!$C$2:$Y$959,10,0)</f>
        <v>10.2</v>
      </c>
      <c r="K982" s="20">
        <f>VLOOKUP(A982,Metrik!$C$2:$Y$959,11,0)</f>
        <v>3.8</v>
      </c>
      <c r="L982" s="20">
        <f>VLOOKUP(A982,Metrik!$C$2:$Y$959,12,0)</f>
        <v>1.7</v>
      </c>
      <c r="M982" s="20">
        <f>VLOOKUP(A982,Metrik!$C$2:$Y$959,19,0)</f>
        <v>10.5</v>
      </c>
      <c r="N982" s="21"/>
      <c r="O982" s="21"/>
      <c r="P982" s="21"/>
      <c r="Q982" s="21"/>
      <c r="R982" s="21"/>
      <c r="S982" s="21"/>
      <c r="T982" s="21"/>
      <c r="U982" s="22">
        <f>IFERROR(__xludf.DUMMYFUNCTION("IFERROR(GOOGLEFINANCE(A982,""closeyest""),"""")"),90.0)</f>
        <v>90</v>
      </c>
      <c r="V982" s="23">
        <f>IFERROR(__xludf.DUMMYFUNCTION("IFERROR(GOOGLEFINANCE(A982,""changepct""),"""")"),5.56)</f>
        <v>5.56</v>
      </c>
      <c r="W982" s="22">
        <f>IFERROR(__xludf.DUMMYFUNCTION("IFERROR(GOOGLEFINANCE(A982,""priceopen""),"""")"),92.0)</f>
        <v>92</v>
      </c>
      <c r="X982" s="22">
        <f>IFERROR(__xludf.DUMMYFUNCTION("IFERROR(GOOGLEFINANCE(A982,""high""),"""")"),97.0)</f>
        <v>97</v>
      </c>
      <c r="Y982" s="22">
        <f>IFERROR(__xludf.DUMMYFUNCTION("IFERROR(GOOGLEFINANCE(A982,""low""),"""")"),91.0)</f>
        <v>91</v>
      </c>
      <c r="Z982" s="22">
        <f>IFERROR(__xludf.DUMMYFUNCTION("IFERROR(GOOGLEFINANCE(A982,""volume""),"""")"),5213600.0)</f>
        <v>5213600</v>
      </c>
      <c r="AA982" s="24" t="str">
        <f>VLOOKUP(A982,Metrik!$C$2:$Y$959,5,0)</f>
        <v>Online Applications &amp; Services</v>
      </c>
      <c r="AB982" s="24" t="str">
        <f>VLOOKUP(A982,Metrik!$C$2:$Y$959,3,0)</f>
        <v>Technology</v>
      </c>
    </row>
    <row r="983">
      <c r="A983" s="14" t="s">
        <v>518</v>
      </c>
      <c r="B983" s="14" t="str">
        <f t="array" ref="B983">VLOOKUP(A983,{Metrik!$C$2:$C$998,Metrik!$B$2:$B$998},2,0)</f>
        <v>Jaya Agra Wattie Tbk</v>
      </c>
      <c r="C983" s="15">
        <f>IFERROR(__xludf.DUMMYFUNCTION("GOOGLEFINANCE(""IDX:""&amp;A983,""price"")"),118.0)</f>
        <v>118</v>
      </c>
      <c r="D983" s="16" t="str">
        <f>IFERROR(__xludf.DUMMYFUNCTION("IF(A983="""","""",
SPARKLINE(
INDEX(
GOOGLEFINANCE(""IDX:""&amp;A983,""close"",TODAY()-365,TODAY()),
,2
),
{""linewidth"",1}
))
"),"#N/A")</f>
        <v>#N/A</v>
      </c>
      <c r="E983" s="26"/>
      <c r="F983" s="26"/>
      <c r="G983" s="24">
        <f t="shared" si="7"/>
        <v>0</v>
      </c>
      <c r="H983" s="19">
        <f>VLOOKUP(A983,Metrik!$C$2:$Y$959,8,0)</f>
        <v>-28.7</v>
      </c>
      <c r="I983" s="20">
        <f>VLOOKUP(A983,Metrik!$C$2:$Y$959,9,0)</f>
        <v>1.6</v>
      </c>
      <c r="J983" s="20">
        <f>VLOOKUP(A983,Metrik!$C$2:$Y$959,10,0)</f>
        <v>-5.6</v>
      </c>
      <c r="K983" s="20">
        <f>VLOOKUP(A983,Metrik!$C$2:$Y$959,11,0)</f>
        <v>-1.9</v>
      </c>
      <c r="L983" s="20">
        <f>VLOOKUP(A983,Metrik!$C$2:$Y$959,12,0)</f>
        <v>2</v>
      </c>
      <c r="M983" s="20">
        <f>VLOOKUP(A983,Metrik!$C$2:$Y$959,19,0)</f>
        <v>-21.1</v>
      </c>
      <c r="N983" s="21"/>
      <c r="O983" s="21"/>
      <c r="P983" s="21"/>
      <c r="Q983" s="21"/>
      <c r="R983" s="21"/>
      <c r="S983" s="21"/>
      <c r="T983" s="21"/>
      <c r="U983" s="22">
        <f>IFERROR(__xludf.DUMMYFUNCTION("IFERROR(GOOGLEFINANCE(A983,""closeyest""),"""")"),117.0)</f>
        <v>117</v>
      </c>
      <c r="V983" s="23">
        <f>IFERROR(__xludf.DUMMYFUNCTION("IFERROR(GOOGLEFINANCE(A983,""changepct""),"""")"),0.85)</f>
        <v>0.85</v>
      </c>
      <c r="W983" s="22">
        <f>IFERROR(__xludf.DUMMYFUNCTION("IFERROR(GOOGLEFINANCE(A983,""priceopen""),"""")"),117.0)</f>
        <v>117</v>
      </c>
      <c r="X983" s="22">
        <f>IFERROR(__xludf.DUMMYFUNCTION("IFERROR(GOOGLEFINANCE(A983,""high""),"""")"),120.0)</f>
        <v>120</v>
      </c>
      <c r="Y983" s="22">
        <f>IFERROR(__xludf.DUMMYFUNCTION("IFERROR(GOOGLEFINANCE(A983,""low""),"""")"),113.0)</f>
        <v>113</v>
      </c>
      <c r="Z983" s="22">
        <f>IFERROR(__xludf.DUMMYFUNCTION("IFERROR(GOOGLEFINANCE(A983,""volume""),"""")"),1123400.0)</f>
        <v>1123400</v>
      </c>
      <c r="AA983" s="24" t="str">
        <f>VLOOKUP(A983,Metrik!$C$2:$Y$959,5,0)</f>
        <v>Agricultural Products</v>
      </c>
      <c r="AB983" s="24" t="str">
        <f>VLOOKUP(A983,Metrik!$C$2:$Y$959,3,0)</f>
        <v>Consumer Non-Cyclicals</v>
      </c>
    </row>
    <row r="984">
      <c r="A984" s="14" t="s">
        <v>519</v>
      </c>
      <c r="B984" s="14" t="str">
        <f t="array" ref="B984">VLOOKUP(A984,{Metrik!$C$2:$C$998,Metrik!$B$2:$B$998},2,0)</f>
        <v>Armada Berjaya Trans Tbk.</v>
      </c>
      <c r="C984" s="15">
        <f>IFERROR(__xludf.DUMMYFUNCTION("GOOGLEFINANCE(""IDX:""&amp;A984,""price"")"),121.0)</f>
        <v>121</v>
      </c>
      <c r="D984" s="16" t="str">
        <f>IFERROR(__xludf.DUMMYFUNCTION("IF(A984="""","""",
SPARKLINE(
INDEX(
GOOGLEFINANCE(""IDX:""&amp;A984,""close"",TODAY()-365,TODAY()),
,2
),
{""linewidth"",1}
))
"),"#N/A")</f>
        <v>#N/A</v>
      </c>
      <c r="E984" s="26"/>
      <c r="F984" s="26"/>
      <c r="G984" s="24">
        <f t="shared" si="7"/>
        <v>0</v>
      </c>
      <c r="H984" s="19">
        <f>VLOOKUP(A984,Metrik!$C$2:$Y$959,8,0)</f>
        <v>15.7</v>
      </c>
      <c r="I984" s="20">
        <f>VLOOKUP(A984,Metrik!$C$2:$Y$959,9,0)</f>
        <v>0.81</v>
      </c>
      <c r="J984" s="20">
        <f>VLOOKUP(A984,Metrik!$C$2:$Y$959,10,0)</f>
        <v>5.2</v>
      </c>
      <c r="K984" s="20">
        <f>VLOOKUP(A984,Metrik!$C$2:$Y$959,11,0)</f>
        <v>1.6</v>
      </c>
      <c r="L984" s="20">
        <f>VLOOKUP(A984,Metrik!$C$2:$Y$959,12,0)</f>
        <v>2.3</v>
      </c>
      <c r="M984" s="20">
        <f>VLOOKUP(A984,Metrik!$C$2:$Y$959,19,0)</f>
        <v>24.3</v>
      </c>
      <c r="N984" s="21"/>
      <c r="O984" s="21"/>
      <c r="P984" s="21"/>
      <c r="Q984" s="21"/>
      <c r="R984" s="21"/>
      <c r="S984" s="21"/>
      <c r="T984" s="21"/>
      <c r="U984" s="22">
        <f>IFERROR(__xludf.DUMMYFUNCTION("IFERROR(GOOGLEFINANCE(A984,""closeyest""),"""")"),118.0)</f>
        <v>118</v>
      </c>
      <c r="V984" s="23">
        <f>IFERROR(__xludf.DUMMYFUNCTION("IFERROR(GOOGLEFINANCE(A984,""changepct""),"""")"),2.54)</f>
        <v>2.54</v>
      </c>
      <c r="W984" s="22">
        <f>IFERROR(__xludf.DUMMYFUNCTION("IFERROR(GOOGLEFINANCE(A984,""priceopen""),"""")"),121.0)</f>
        <v>121</v>
      </c>
      <c r="X984" s="22">
        <f>IFERROR(__xludf.DUMMYFUNCTION("IFERROR(GOOGLEFINANCE(A984,""high""),"""")"),125.0)</f>
        <v>125</v>
      </c>
      <c r="Y984" s="22">
        <f>IFERROR(__xludf.DUMMYFUNCTION("IFERROR(GOOGLEFINANCE(A984,""low""),"""")"),118.0)</f>
        <v>118</v>
      </c>
      <c r="Z984" s="22">
        <f>IFERROR(__xludf.DUMMYFUNCTION("IFERROR(GOOGLEFINANCE(A984,""volume""),"""")"),1372800.0)</f>
        <v>1372800</v>
      </c>
      <c r="AA984" s="24" t="str">
        <f>VLOOKUP(A984,Metrik!$C$2:$Y$959,5,0)</f>
        <v>Logistics &amp; Deliveries</v>
      </c>
      <c r="AB984" s="24" t="str">
        <f>VLOOKUP(A984,Metrik!$C$2:$Y$959,3,0)</f>
        <v>Transportation &amp; Logistic</v>
      </c>
    </row>
    <row r="985">
      <c r="A985" s="14" t="s">
        <v>520</v>
      </c>
      <c r="B985" s="14" t="str">
        <f t="array" ref="B985">VLOOKUP(A985,{Metrik!$C$2:$C$998,Metrik!$B$2:$B$998},2,0)</f>
        <v>Jembo Cable Company Tbk.</v>
      </c>
      <c r="C985" s="15">
        <f>IFERROR(__xludf.DUMMYFUNCTION("GOOGLEFINANCE(""IDX:""&amp;A985,""price"")"),570.0)</f>
        <v>570</v>
      </c>
      <c r="D985" s="16" t="str">
        <f>IFERROR(__xludf.DUMMYFUNCTION("IF(A985="""","""",
SPARKLINE(
INDEX(
GOOGLEFINANCE(""IDX:""&amp;A985,""close"",TODAY()-365,TODAY()),
,2
),
{""linewidth"",1}
))
"),"#N/A")</f>
        <v>#N/A</v>
      </c>
      <c r="E985" s="26"/>
      <c r="F985" s="26"/>
      <c r="G985" s="24">
        <f t="shared" si="7"/>
        <v>0</v>
      </c>
      <c r="H985" s="19">
        <f>VLOOKUP(A985,Metrik!$C$2:$Y$959,8,0)</f>
        <v>5.9</v>
      </c>
      <c r="I985" s="20">
        <f>VLOOKUP(A985,Metrik!$C$2:$Y$959,9,0)</f>
        <v>0.44</v>
      </c>
      <c r="J985" s="20">
        <f>VLOOKUP(A985,Metrik!$C$2:$Y$959,10,0)</f>
        <v>7.4</v>
      </c>
      <c r="K985" s="20">
        <f>VLOOKUP(A985,Metrik!$C$2:$Y$959,11,0)</f>
        <v>2.7</v>
      </c>
      <c r="L985" s="20">
        <f>VLOOKUP(A985,Metrik!$C$2:$Y$959,12,0)</f>
        <v>1.8</v>
      </c>
      <c r="M985" s="20">
        <f>VLOOKUP(A985,Metrik!$C$2:$Y$959,19,0)</f>
        <v>7.8</v>
      </c>
      <c r="N985" s="21"/>
      <c r="O985" s="21"/>
      <c r="P985" s="21"/>
      <c r="Q985" s="21"/>
      <c r="R985" s="21"/>
      <c r="S985" s="21"/>
      <c r="T985" s="21"/>
      <c r="U985" s="22">
        <f>IFERROR(__xludf.DUMMYFUNCTION("IFERROR(GOOGLEFINANCE(A985,""closeyest""),"""")"),570.0)</f>
        <v>570</v>
      </c>
      <c r="V985" s="23">
        <f>IFERROR(__xludf.DUMMYFUNCTION("IFERROR(GOOGLEFINANCE(A985,""changepct""),"""")"),0.0)</f>
        <v>0</v>
      </c>
      <c r="W985" s="22">
        <f>IFERROR(__xludf.DUMMYFUNCTION("IFERROR(GOOGLEFINANCE(A985,""priceopen""),"""")"),570.0)</f>
        <v>570</v>
      </c>
      <c r="X985" s="22">
        <f>IFERROR(__xludf.DUMMYFUNCTION("IFERROR(GOOGLEFINANCE(A985,""high""),"""")"),570.0)</f>
        <v>570</v>
      </c>
      <c r="Y985" s="22">
        <f>IFERROR(__xludf.DUMMYFUNCTION("IFERROR(GOOGLEFINANCE(A985,""low""),"""")"),570.0)</f>
        <v>570</v>
      </c>
      <c r="Z985" s="22">
        <f>IFERROR(__xludf.DUMMYFUNCTION("IFERROR(GOOGLEFINANCE(A985,""volume""),"""")"),7100.0)</f>
        <v>7100</v>
      </c>
      <c r="AA985" s="24" t="str">
        <f>VLOOKUP(A985,Metrik!$C$2:$Y$959,5,0)</f>
        <v>Electrical</v>
      </c>
      <c r="AB985" s="24" t="str">
        <f>VLOOKUP(A985,Metrik!$C$2:$Y$959,3,0)</f>
        <v>Industrials</v>
      </c>
    </row>
    <row r="986">
      <c r="A986" s="14" t="s">
        <v>521</v>
      </c>
      <c r="B986" s="14" t="str">
        <f t="array" ref="B986">VLOOKUP(A986,{Metrik!$C$2:$C$998,Metrik!$B$2:$B$998},2,0)</f>
        <v>Graha Andrasentra Propertindo Tbk.</v>
      </c>
      <c r="C986" s="15">
        <f>IFERROR(__xludf.DUMMYFUNCTION("GOOGLEFINANCE(""IDX:""&amp;A986,""price"")"),57.0)</f>
        <v>57</v>
      </c>
      <c r="D986" s="16" t="str">
        <f>IFERROR(__xludf.DUMMYFUNCTION("IF(A986="""","""",
SPARKLINE(
INDEX(
GOOGLEFINANCE(""IDX:""&amp;A986,""close"",TODAY()-365,TODAY()),
,2
),
{""linewidth"",1}
))
"),"#N/A")</f>
        <v>#N/A</v>
      </c>
      <c r="E986" s="26"/>
      <c r="F986" s="26"/>
      <c r="G986" s="24">
        <f t="shared" si="7"/>
        <v>0</v>
      </c>
      <c r="H986" s="19">
        <f>VLOOKUP(A986,Metrik!$C$2:$Y$959,8,0)</f>
        <v>-35.4</v>
      </c>
      <c r="I986" s="20">
        <f>VLOOKUP(A986,Metrik!$C$2:$Y$959,9,0)</f>
        <v>1.3</v>
      </c>
      <c r="J986" s="20">
        <f>VLOOKUP(A986,Metrik!$C$2:$Y$959,10,0)</f>
        <v>-3.6</v>
      </c>
      <c r="K986" s="20">
        <f>VLOOKUP(A986,Metrik!$C$2:$Y$959,11,0)</f>
        <v>-2.6</v>
      </c>
      <c r="L986" s="20">
        <f>VLOOKUP(A986,Metrik!$C$2:$Y$959,12,0)</f>
        <v>0.4</v>
      </c>
      <c r="M986" s="20">
        <f>VLOOKUP(A986,Metrik!$C$2:$Y$959,19,0)</f>
        <v>-140</v>
      </c>
      <c r="N986" s="21"/>
      <c r="O986" s="21"/>
      <c r="P986" s="21"/>
      <c r="Q986" s="21"/>
      <c r="R986" s="21"/>
      <c r="S986" s="21"/>
      <c r="T986" s="21"/>
      <c r="U986" s="22">
        <f>IFERROR(__xludf.DUMMYFUNCTION("IFERROR(GOOGLEFINANCE(A986,""closeyest""),"""")"),53.0)</f>
        <v>53</v>
      </c>
      <c r="V986" s="23">
        <f>IFERROR(__xludf.DUMMYFUNCTION("IFERROR(GOOGLEFINANCE(A986,""changepct""),"""")"),7.55)</f>
        <v>7.55</v>
      </c>
      <c r="W986" s="22">
        <f>IFERROR(__xludf.DUMMYFUNCTION("IFERROR(GOOGLEFINANCE(A986,""priceopen""),"""")"),54.0)</f>
        <v>54</v>
      </c>
      <c r="X986" s="22">
        <f>IFERROR(__xludf.DUMMYFUNCTION("IFERROR(GOOGLEFINANCE(A986,""high""),"""")"),62.0)</f>
        <v>62</v>
      </c>
      <c r="Y986" s="22">
        <f>IFERROR(__xludf.DUMMYFUNCTION("IFERROR(GOOGLEFINANCE(A986,""low""),"""")"),53.0)</f>
        <v>53</v>
      </c>
      <c r="Z986" s="22">
        <f>IFERROR(__xludf.DUMMYFUNCTION("IFERROR(GOOGLEFINANCE(A986,""volume""),"""")"),7.930155E8)</f>
        <v>793015500</v>
      </c>
      <c r="AA986" s="24" t="str">
        <f>VLOOKUP(A986,Metrik!$C$2:$Y$959,5,0)</f>
        <v>Tourism &amp; Recreation</v>
      </c>
      <c r="AB986" s="24" t="str">
        <f>VLOOKUP(A986,Metrik!$C$2:$Y$959,3,0)</f>
        <v>Consumer Cyclicals</v>
      </c>
    </row>
    <row r="987">
      <c r="A987" s="14" t="s">
        <v>522</v>
      </c>
      <c r="B987" s="14" t="str">
        <f t="array" ref="B987">VLOOKUP(A987,{Metrik!$C$2:$C$998,Metrik!$B$2:$B$998},2,0)</f>
        <v>Jakarta International Hotels &amp; Development Tbk.</v>
      </c>
      <c r="C987" s="15">
        <f>IFERROR(__xludf.DUMMYFUNCTION("GOOGLEFINANCE(""IDX:""&amp;A987,""price"")"),408.0)</f>
        <v>408</v>
      </c>
      <c r="D987" s="16" t="str">
        <f>IFERROR(__xludf.DUMMYFUNCTION("IF(A987="""","""",
SPARKLINE(
INDEX(
GOOGLEFINANCE(""IDX:""&amp;A987,""close"",TODAY()-365,TODAY()),
,2
),
{""linewidth"",1}
))
"),"#N/A")</f>
        <v>#N/A</v>
      </c>
      <c r="E987" s="26"/>
      <c r="F987" s="26"/>
      <c r="G987" s="24">
        <f t="shared" si="7"/>
        <v>0</v>
      </c>
      <c r="H987" s="19">
        <f>VLOOKUP(A987,Metrik!$C$2:$Y$959,8,0)</f>
        <v>-5</v>
      </c>
      <c r="I987" s="20">
        <f>VLOOKUP(A987,Metrik!$C$2:$Y$959,9,0)</f>
        <v>0.22</v>
      </c>
      <c r="J987" s="20">
        <f>VLOOKUP(A987,Metrik!$C$2:$Y$959,10,0)</f>
        <v>-4.5</v>
      </c>
      <c r="K987" s="20">
        <f>VLOOKUP(A987,Metrik!$C$2:$Y$959,11,0)</f>
        <v>-2.9</v>
      </c>
      <c r="L987" s="20">
        <f>VLOOKUP(A987,Metrik!$C$2:$Y$959,12,0)</f>
        <v>0.53</v>
      </c>
      <c r="M987" s="20">
        <f>VLOOKUP(A987,Metrik!$C$2:$Y$959,19,0)</f>
        <v>-52.7</v>
      </c>
      <c r="N987" s="21"/>
      <c r="O987" s="21"/>
      <c r="P987" s="21"/>
      <c r="Q987" s="21"/>
      <c r="R987" s="21"/>
      <c r="S987" s="21"/>
      <c r="T987" s="21"/>
      <c r="U987" s="22">
        <f>IFERROR(__xludf.DUMMYFUNCTION("IFERROR(GOOGLEFINANCE(A987,""closeyest""),"""")"),388.0)</f>
        <v>388</v>
      </c>
      <c r="V987" s="23">
        <f>IFERROR(__xludf.DUMMYFUNCTION("IFERROR(GOOGLEFINANCE(A987,""changepct""),"""")"),5.15)</f>
        <v>5.15</v>
      </c>
      <c r="W987" s="22">
        <f>IFERROR(__xludf.DUMMYFUNCTION("IFERROR(GOOGLEFINANCE(A987,""priceopen""),"""")"),402.0)</f>
        <v>402</v>
      </c>
      <c r="X987" s="22">
        <f>IFERROR(__xludf.DUMMYFUNCTION("IFERROR(GOOGLEFINANCE(A987,""high""),"""")"),416.0)</f>
        <v>416</v>
      </c>
      <c r="Y987" s="22">
        <f>IFERROR(__xludf.DUMMYFUNCTION("IFERROR(GOOGLEFINANCE(A987,""low""),"""")"),390.0)</f>
        <v>390</v>
      </c>
      <c r="Z987" s="22">
        <f>IFERROR(__xludf.DUMMYFUNCTION("IFERROR(GOOGLEFINANCE(A987,""volume""),"""")"),650800.0)</f>
        <v>650800</v>
      </c>
      <c r="AA987" s="24" t="str">
        <f>VLOOKUP(A987,Metrik!$C$2:$Y$959,5,0)</f>
        <v>Tourism &amp; Recreation</v>
      </c>
      <c r="AB987" s="24" t="str">
        <f>VLOOKUP(A987,Metrik!$C$2:$Y$959,3,0)</f>
        <v>Consumer Cyclicals</v>
      </c>
    </row>
    <row r="988">
      <c r="A988" s="14" t="s">
        <v>523</v>
      </c>
      <c r="B988" s="14" t="str">
        <f t="array" ref="B988">VLOOKUP(A988,{Metrik!$C$2:$C$998,Metrik!$B$2:$B$998},2,0)</f>
        <v>Jaya Konstruksi Manggala Pratama Tbk</v>
      </c>
      <c r="C988" s="15">
        <f>IFERROR(__xludf.DUMMYFUNCTION("GOOGLEFINANCE(""IDX:""&amp;A988,""price"")"),68.0)</f>
        <v>68</v>
      </c>
      <c r="D988" s="16" t="str">
        <f>IFERROR(__xludf.DUMMYFUNCTION("IF(A988="""","""",
SPARKLINE(
INDEX(
GOOGLEFINANCE(""IDX:""&amp;A988,""close"",TODAY()-365,TODAY()),
,2
),
{""linewidth"",1}
))
"),"#N/A")</f>
        <v>#N/A</v>
      </c>
      <c r="E988" s="14" t="s">
        <v>106</v>
      </c>
      <c r="F988" s="25">
        <v>46356.0</v>
      </c>
      <c r="G988" s="24">
        <f t="shared" si="7"/>
        <v>1</v>
      </c>
      <c r="H988" s="19">
        <f>VLOOKUP(A988,Metrik!$C$2:$Y$959,8,0)</f>
        <v>8</v>
      </c>
      <c r="I988" s="20">
        <f>VLOOKUP(A988,Metrik!$C$2:$Y$959,9,0)</f>
        <v>0.35</v>
      </c>
      <c r="J988" s="20">
        <f>VLOOKUP(A988,Metrik!$C$2:$Y$959,10,0)</f>
        <v>4.4</v>
      </c>
      <c r="K988" s="20">
        <f>VLOOKUP(A988,Metrik!$C$2:$Y$959,11,0)</f>
        <v>3.3</v>
      </c>
      <c r="L988" s="20">
        <f>VLOOKUP(A988,Metrik!$C$2:$Y$959,12,0)</f>
        <v>0.34</v>
      </c>
      <c r="M988" s="20">
        <f>VLOOKUP(A988,Metrik!$C$2:$Y$959,19,0)</f>
        <v>15.6</v>
      </c>
      <c r="N988" s="21"/>
      <c r="O988" s="21"/>
      <c r="P988" s="21"/>
      <c r="Q988" s="21"/>
      <c r="R988" s="21"/>
      <c r="S988" s="21"/>
      <c r="T988" s="21"/>
      <c r="U988" s="22">
        <f>IFERROR(__xludf.DUMMYFUNCTION("IFERROR(GOOGLEFINANCE(A988,""closeyest""),"""")"),65.0)</f>
        <v>65</v>
      </c>
      <c r="V988" s="23">
        <f>IFERROR(__xludf.DUMMYFUNCTION("IFERROR(GOOGLEFINANCE(A988,""changepct""),"""")"),4.62)</f>
        <v>4.62</v>
      </c>
      <c r="W988" s="22">
        <f>IFERROR(__xludf.DUMMYFUNCTION("IFERROR(GOOGLEFINANCE(A988,""priceopen""),"""")"),67.0)</f>
        <v>67</v>
      </c>
      <c r="X988" s="22">
        <f>IFERROR(__xludf.DUMMYFUNCTION("IFERROR(GOOGLEFINANCE(A988,""high""),"""")"),69.0)</f>
        <v>69</v>
      </c>
      <c r="Y988" s="22">
        <f>IFERROR(__xludf.DUMMYFUNCTION("IFERROR(GOOGLEFINANCE(A988,""low""),"""")"),65.0)</f>
        <v>65</v>
      </c>
      <c r="Z988" s="22">
        <f>IFERROR(__xludf.DUMMYFUNCTION("IFERROR(GOOGLEFINANCE(A988,""volume""),"""")"),3213600.0)</f>
        <v>3213600</v>
      </c>
      <c r="AA988" s="24" t="str">
        <f>VLOOKUP(A988,Metrik!$C$2:$Y$959,5,0)</f>
        <v>Heavy Constructions &amp; Civil Engineering</v>
      </c>
      <c r="AB988" s="24" t="str">
        <f>VLOOKUP(A988,Metrik!$C$2:$Y$959,3,0)</f>
        <v>Infrastructures</v>
      </c>
    </row>
    <row r="989">
      <c r="A989" s="14" t="s">
        <v>524</v>
      </c>
      <c r="B989" s="14" t="str">
        <f t="array" ref="B989">VLOOKUP(A989,{Metrik!$C$2:$C$998,Metrik!$B$2:$B$998},2,0)</f>
        <v>Asuransi Jiwa Syariah Jasa Mitra Abadi Tbk.</v>
      </c>
      <c r="C989" s="15">
        <f>IFERROR(__xludf.DUMMYFUNCTION("GOOGLEFINANCE(""IDX:""&amp;A989,""price"")"),242.0)</f>
        <v>242</v>
      </c>
      <c r="D989" s="16" t="str">
        <f>IFERROR(__xludf.DUMMYFUNCTION("IF(A989="""","""",
SPARKLINE(
INDEX(
GOOGLEFINANCE(""IDX:""&amp;A989,""close"",TODAY()-365,TODAY()),
,2
),
{""linewidth"",1}
))
"),"#N/A")</f>
        <v>#N/A</v>
      </c>
      <c r="E989" s="26"/>
      <c r="F989" s="26"/>
      <c r="G989" s="24">
        <f t="shared" si="7"/>
        <v>0</v>
      </c>
      <c r="H989" s="19">
        <f>VLOOKUP(A989,Metrik!$C$2:$Y$959,8,0)</f>
        <v>57.8</v>
      </c>
      <c r="I989" s="20">
        <f>VLOOKUP(A989,Metrik!$C$2:$Y$959,9,0)</f>
        <v>2.2</v>
      </c>
      <c r="J989" s="20">
        <f>VLOOKUP(A989,Metrik!$C$2:$Y$959,10,0)</f>
        <v>3.8</v>
      </c>
      <c r="K989" s="20">
        <f>VLOOKUP(A989,Metrik!$C$2:$Y$959,11,0)</f>
        <v>1.2</v>
      </c>
      <c r="L989" s="20">
        <f>VLOOKUP(A989,Metrik!$C$2:$Y$959,12,0)</f>
        <v>2.6</v>
      </c>
      <c r="M989" s="20">
        <f>VLOOKUP(A989,Metrik!$C$2:$Y$959,19,0)</f>
        <v>8</v>
      </c>
      <c r="N989" s="21"/>
      <c r="O989" s="21"/>
      <c r="P989" s="21"/>
      <c r="Q989" s="21"/>
      <c r="R989" s="21"/>
      <c r="S989" s="21"/>
      <c r="T989" s="21"/>
      <c r="U989" s="22">
        <f>IFERROR(__xludf.DUMMYFUNCTION("IFERROR(GOOGLEFINANCE(A989,""closeyest""),"""")"),252.0)</f>
        <v>252</v>
      </c>
      <c r="V989" s="23">
        <f>IFERROR(__xludf.DUMMYFUNCTION("IFERROR(GOOGLEFINANCE(A989,""changepct""),"""")"),-3.97)</f>
        <v>-3.97</v>
      </c>
      <c r="W989" s="22">
        <f>IFERROR(__xludf.DUMMYFUNCTION("IFERROR(GOOGLEFINANCE(A989,""priceopen""),"""")"),242.0)</f>
        <v>242</v>
      </c>
      <c r="X989" s="22">
        <f>IFERROR(__xludf.DUMMYFUNCTION("IFERROR(GOOGLEFINANCE(A989,""high""),"""")"),250.0)</f>
        <v>250</v>
      </c>
      <c r="Y989" s="22">
        <f>IFERROR(__xludf.DUMMYFUNCTION("IFERROR(GOOGLEFINANCE(A989,""low""),"""")"),238.0)</f>
        <v>238</v>
      </c>
      <c r="Z989" s="22">
        <f>IFERROR(__xludf.DUMMYFUNCTION("IFERROR(GOOGLEFINANCE(A989,""volume""),"""")"),6198700.0)</f>
        <v>6198700</v>
      </c>
      <c r="AA989" s="24" t="str">
        <f>VLOOKUP(A989,Metrik!$C$2:$Y$959,5,0)</f>
        <v>Insurance</v>
      </c>
      <c r="AB989" s="24" t="str">
        <f>VLOOKUP(A989,Metrik!$C$2:$Y$959,3,0)</f>
        <v>Financials</v>
      </c>
    </row>
    <row r="990">
      <c r="A990" s="14" t="s">
        <v>525</v>
      </c>
      <c r="B990" s="14" t="str">
        <f t="array" ref="B990">VLOOKUP(A990,{Metrik!$C$2:$C$998,Metrik!$B$2:$B$998},2,0)</f>
        <v>Japfa Comfeed Indonesia Tbk.</v>
      </c>
      <c r="C990" s="15">
        <f>IFERROR(__xludf.DUMMYFUNCTION("GOOGLEFINANCE(""IDX:""&amp;A990,""price"")"),1905.0)</f>
        <v>1905</v>
      </c>
      <c r="D990" s="16" t="str">
        <f>IFERROR(__xludf.DUMMYFUNCTION("IF(A990="""","""",
SPARKLINE(
INDEX(
GOOGLEFINANCE(""IDX:""&amp;A990,""close"",TODAY()-365,TODAY()),
,2
),
{""linewidth"",1}
))
"),"#N/A")</f>
        <v>#N/A</v>
      </c>
      <c r="E990" s="14" t="s">
        <v>31</v>
      </c>
      <c r="F990" s="17" t="s">
        <v>29</v>
      </c>
      <c r="G990" s="18">
        <f t="shared" si="7"/>
        <v>13</v>
      </c>
      <c r="H990" s="19">
        <f>VLOOKUP(A990,Metrik!$C$2:$Y$959,8,0)</f>
        <v>5.6</v>
      </c>
      <c r="I990" s="20">
        <f>VLOOKUP(A990,Metrik!$C$2:$Y$959,9,0)</f>
        <v>1.3</v>
      </c>
      <c r="J990" s="20">
        <f>VLOOKUP(A990,Metrik!$C$2:$Y$959,10,0)</f>
        <v>23.3</v>
      </c>
      <c r="K990" s="20">
        <f>VLOOKUP(A990,Metrik!$C$2:$Y$959,11,0)</f>
        <v>13.1</v>
      </c>
      <c r="L990" s="20">
        <f>VLOOKUP(A990,Metrik!$C$2:$Y$959,12,0)</f>
        <v>0.79</v>
      </c>
      <c r="M990" s="20">
        <f>VLOOKUP(A990,Metrik!$C$2:$Y$959,19,0)</f>
        <v>29</v>
      </c>
      <c r="N990" s="21"/>
      <c r="O990" s="21"/>
      <c r="P990" s="21"/>
      <c r="Q990" s="21"/>
      <c r="R990" s="21"/>
      <c r="S990" s="21"/>
      <c r="T990" s="21"/>
      <c r="U990" s="22">
        <f>IFERROR(__xludf.DUMMYFUNCTION("IFERROR(GOOGLEFINANCE(A990,""closeyest""),"""")"),1860.0)</f>
        <v>1860</v>
      </c>
      <c r="V990" s="23">
        <f>IFERROR(__xludf.DUMMYFUNCTION("IFERROR(GOOGLEFINANCE(A990,""changepct""),"""")"),2.42)</f>
        <v>2.42</v>
      </c>
      <c r="W990" s="22">
        <f>IFERROR(__xludf.DUMMYFUNCTION("IFERROR(GOOGLEFINANCE(A990,""priceopen""),"""")"),1865.0)</f>
        <v>1865</v>
      </c>
      <c r="X990" s="22">
        <f>IFERROR(__xludf.DUMMYFUNCTION("IFERROR(GOOGLEFINANCE(A990,""high""),"""")"),1930.0)</f>
        <v>1930</v>
      </c>
      <c r="Y990" s="22">
        <f>IFERROR(__xludf.DUMMYFUNCTION("IFERROR(GOOGLEFINANCE(A990,""low""),"""")"),1840.0)</f>
        <v>1840</v>
      </c>
      <c r="Z990" s="22">
        <f>IFERROR(__xludf.DUMMYFUNCTION("IFERROR(GOOGLEFINANCE(A990,""volume""),"""")"),3.02073E7)</f>
        <v>30207300</v>
      </c>
      <c r="AA990" s="24" t="str">
        <f>VLOOKUP(A990,Metrik!$C$2:$Y$959,5,0)</f>
        <v>Agricultural Products</v>
      </c>
      <c r="AB990" s="24" t="str">
        <f>VLOOKUP(A990,Metrik!$C$2:$Y$959,3,0)</f>
        <v>Consumer Non-Cyclicals</v>
      </c>
    </row>
    <row r="991">
      <c r="A991" s="14" t="s">
        <v>525</v>
      </c>
      <c r="B991" s="14" t="str">
        <f t="array" ref="B991">VLOOKUP(A991,{Metrik!$C$2:$C$998,Metrik!$B$2:$B$998},2,0)</f>
        <v>Japfa Comfeed Indonesia Tbk.</v>
      </c>
      <c r="C991" s="15">
        <f>IFERROR(__xludf.DUMMYFUNCTION("GOOGLEFINANCE(""IDX:""&amp;A991,""price"")"),1905.0)</f>
        <v>1905</v>
      </c>
      <c r="D991" s="16" t="str">
        <f>IFERROR(__xludf.DUMMYFUNCTION("IF(A991="""","""",
SPARKLINE(
INDEX(
GOOGLEFINANCE(""IDX:""&amp;A991,""close"",TODAY()-365,TODAY()),
,2
),
{""linewidth"",1}
))
"),"#N/A")</f>
        <v>#N/A</v>
      </c>
      <c r="E991" s="14" t="s">
        <v>30</v>
      </c>
      <c r="F991" s="17" t="s">
        <v>29</v>
      </c>
      <c r="G991" s="18">
        <f t="shared" si="7"/>
        <v>13</v>
      </c>
      <c r="H991" s="19">
        <f>VLOOKUP(A991,Metrik!$C$2:$Y$959,8,0)</f>
        <v>5.6</v>
      </c>
      <c r="I991" s="20">
        <f>VLOOKUP(A991,Metrik!$C$2:$Y$959,9,0)</f>
        <v>1.3</v>
      </c>
      <c r="J991" s="20">
        <f>VLOOKUP(A991,Metrik!$C$2:$Y$959,10,0)</f>
        <v>23.3</v>
      </c>
      <c r="K991" s="20">
        <f>VLOOKUP(A991,Metrik!$C$2:$Y$959,11,0)</f>
        <v>13.1</v>
      </c>
      <c r="L991" s="20">
        <f>VLOOKUP(A991,Metrik!$C$2:$Y$959,12,0)</f>
        <v>0.79</v>
      </c>
      <c r="M991" s="20">
        <f>VLOOKUP(A991,Metrik!$C$2:$Y$959,19,0)</f>
        <v>29</v>
      </c>
      <c r="N991" s="21"/>
      <c r="O991" s="21"/>
      <c r="P991" s="21"/>
      <c r="Q991" s="21"/>
      <c r="R991" s="21"/>
      <c r="S991" s="21"/>
      <c r="T991" s="21"/>
      <c r="U991" s="22">
        <f>IFERROR(__xludf.DUMMYFUNCTION("IFERROR(GOOGLEFINANCE(A991,""closeyest""),"""")"),1860.0)</f>
        <v>1860</v>
      </c>
      <c r="V991" s="23">
        <f>IFERROR(__xludf.DUMMYFUNCTION("IFERROR(GOOGLEFINANCE(A991,""changepct""),"""")"),2.42)</f>
        <v>2.42</v>
      </c>
      <c r="W991" s="22">
        <f>IFERROR(__xludf.DUMMYFUNCTION("IFERROR(GOOGLEFINANCE(A991,""priceopen""),"""")"),1865.0)</f>
        <v>1865</v>
      </c>
      <c r="X991" s="22">
        <f>IFERROR(__xludf.DUMMYFUNCTION("IFERROR(GOOGLEFINANCE(A991,""high""),"""")"),1930.0)</f>
        <v>1930</v>
      </c>
      <c r="Y991" s="22">
        <f>IFERROR(__xludf.DUMMYFUNCTION("IFERROR(GOOGLEFINANCE(A991,""low""),"""")"),1840.0)</f>
        <v>1840</v>
      </c>
      <c r="Z991" s="22">
        <f>IFERROR(__xludf.DUMMYFUNCTION("IFERROR(GOOGLEFINANCE(A991,""volume""),"""")"),3.02073E7)</f>
        <v>30207300</v>
      </c>
      <c r="AA991" s="24" t="str">
        <f>VLOOKUP(A991,Metrik!$C$2:$Y$959,5,0)</f>
        <v>Agricultural Products</v>
      </c>
      <c r="AB991" s="24" t="str">
        <f>VLOOKUP(A991,Metrik!$C$2:$Y$959,3,0)</f>
        <v>Consumer Non-Cyclicals</v>
      </c>
    </row>
    <row r="992">
      <c r="A992" s="14" t="s">
        <v>525</v>
      </c>
      <c r="B992" s="14" t="str">
        <f t="array" ref="B992">VLOOKUP(A992,{Metrik!$C$2:$C$998,Metrik!$B$2:$B$998},2,0)</f>
        <v>Japfa Comfeed Indonesia Tbk.</v>
      </c>
      <c r="C992" s="15">
        <f>IFERROR(__xludf.DUMMYFUNCTION("GOOGLEFINANCE(""IDX:""&amp;A992,""price"")"),1905.0)</f>
        <v>1905</v>
      </c>
      <c r="D992" s="16" t="str">
        <f>IFERROR(__xludf.DUMMYFUNCTION("IF(A992="""","""",
SPARKLINE(
INDEX(
GOOGLEFINANCE(""IDX:""&amp;A992,""close"",TODAY()-365,TODAY()),
,2
),
{""linewidth"",1}
))
"),"#N/A")</f>
        <v>#N/A</v>
      </c>
      <c r="E992" s="14" t="s">
        <v>28</v>
      </c>
      <c r="F992" s="17" t="s">
        <v>29</v>
      </c>
      <c r="G992" s="18">
        <f t="shared" si="7"/>
        <v>13</v>
      </c>
      <c r="H992" s="19">
        <f>VLOOKUP(A992,Metrik!$C$2:$Y$959,8,0)</f>
        <v>5.6</v>
      </c>
      <c r="I992" s="20">
        <f>VLOOKUP(A992,Metrik!$C$2:$Y$959,9,0)</f>
        <v>1.3</v>
      </c>
      <c r="J992" s="20">
        <f>VLOOKUP(A992,Metrik!$C$2:$Y$959,10,0)</f>
        <v>23.3</v>
      </c>
      <c r="K992" s="20">
        <f>VLOOKUP(A992,Metrik!$C$2:$Y$959,11,0)</f>
        <v>13.1</v>
      </c>
      <c r="L992" s="20">
        <f>VLOOKUP(A992,Metrik!$C$2:$Y$959,12,0)</f>
        <v>0.79</v>
      </c>
      <c r="M992" s="20">
        <f>VLOOKUP(A992,Metrik!$C$2:$Y$959,19,0)</f>
        <v>29</v>
      </c>
      <c r="N992" s="21"/>
      <c r="O992" s="21"/>
      <c r="P992" s="21"/>
      <c r="Q992" s="21"/>
      <c r="R992" s="21"/>
      <c r="S992" s="21"/>
      <c r="T992" s="21"/>
      <c r="U992" s="22">
        <f>IFERROR(__xludf.DUMMYFUNCTION("IFERROR(GOOGLEFINANCE(A992,""closeyest""),"""")"),1860.0)</f>
        <v>1860</v>
      </c>
      <c r="V992" s="23">
        <f>IFERROR(__xludf.DUMMYFUNCTION("IFERROR(GOOGLEFINANCE(A992,""changepct""),"""")"),2.42)</f>
        <v>2.42</v>
      </c>
      <c r="W992" s="22">
        <f>IFERROR(__xludf.DUMMYFUNCTION("IFERROR(GOOGLEFINANCE(A992,""priceopen""),"""")"),1865.0)</f>
        <v>1865</v>
      </c>
      <c r="X992" s="22">
        <f>IFERROR(__xludf.DUMMYFUNCTION("IFERROR(GOOGLEFINANCE(A992,""high""),"""")"),1930.0)</f>
        <v>1930</v>
      </c>
      <c r="Y992" s="22">
        <f>IFERROR(__xludf.DUMMYFUNCTION("IFERROR(GOOGLEFINANCE(A992,""low""),"""")"),1840.0)</f>
        <v>1840</v>
      </c>
      <c r="Z992" s="22">
        <f>IFERROR(__xludf.DUMMYFUNCTION("IFERROR(GOOGLEFINANCE(A992,""volume""),"""")"),3.02073E7)</f>
        <v>30207300</v>
      </c>
      <c r="AA992" s="24" t="str">
        <f>VLOOKUP(A992,Metrik!$C$2:$Y$959,5,0)</f>
        <v>Agricultural Products</v>
      </c>
      <c r="AB992" s="24" t="str">
        <f>VLOOKUP(A992,Metrik!$C$2:$Y$959,3,0)</f>
        <v>Consumer Non-Cyclicals</v>
      </c>
    </row>
    <row r="993">
      <c r="A993" s="14" t="s">
        <v>525</v>
      </c>
      <c r="B993" s="14" t="str">
        <f t="array" ref="B993">VLOOKUP(A993,{Metrik!$C$2:$C$998,Metrik!$B$2:$B$998},2,0)</f>
        <v>Japfa Comfeed Indonesia Tbk.</v>
      </c>
      <c r="C993" s="15">
        <f>IFERROR(__xludf.DUMMYFUNCTION("GOOGLEFINANCE(""IDX:""&amp;A993,""price"")"),1905.0)</f>
        <v>1905</v>
      </c>
      <c r="D993" s="16" t="str">
        <f>IFERROR(__xludf.DUMMYFUNCTION("IF(A993="""","""",
SPARKLINE(
INDEX(
GOOGLEFINANCE(""IDX:""&amp;A993,""close"",TODAY()-365,TODAY()),
,2
),
{""linewidth"",1}
))
"),"#N/A")</f>
        <v>#N/A</v>
      </c>
      <c r="E993" s="14" t="s">
        <v>67</v>
      </c>
      <c r="F993" s="17" t="s">
        <v>51</v>
      </c>
      <c r="G993" s="18">
        <f t="shared" si="7"/>
        <v>13</v>
      </c>
      <c r="H993" s="19">
        <f>VLOOKUP(A993,Metrik!$C$2:$Y$959,8,0)</f>
        <v>5.6</v>
      </c>
      <c r="I993" s="20">
        <f>VLOOKUP(A993,Metrik!$C$2:$Y$959,9,0)</f>
        <v>1.3</v>
      </c>
      <c r="J993" s="20">
        <f>VLOOKUP(A993,Metrik!$C$2:$Y$959,10,0)</f>
        <v>23.3</v>
      </c>
      <c r="K993" s="20">
        <f>VLOOKUP(A993,Metrik!$C$2:$Y$959,11,0)</f>
        <v>13.1</v>
      </c>
      <c r="L993" s="20">
        <f>VLOOKUP(A993,Metrik!$C$2:$Y$959,12,0)</f>
        <v>0.79</v>
      </c>
      <c r="M993" s="20">
        <f>VLOOKUP(A993,Metrik!$C$2:$Y$959,19,0)</f>
        <v>29</v>
      </c>
      <c r="N993" s="21"/>
      <c r="O993" s="21"/>
      <c r="P993" s="21"/>
      <c r="Q993" s="21"/>
      <c r="R993" s="21"/>
      <c r="S993" s="21"/>
      <c r="T993" s="21"/>
      <c r="U993" s="22">
        <f>IFERROR(__xludf.DUMMYFUNCTION("IFERROR(GOOGLEFINANCE(A993,""closeyest""),"""")"),1860.0)</f>
        <v>1860</v>
      </c>
      <c r="V993" s="23">
        <f>IFERROR(__xludf.DUMMYFUNCTION("IFERROR(GOOGLEFINANCE(A993,""changepct""),"""")"),2.42)</f>
        <v>2.42</v>
      </c>
      <c r="W993" s="22">
        <f>IFERROR(__xludf.DUMMYFUNCTION("IFERROR(GOOGLEFINANCE(A993,""priceopen""),"""")"),1865.0)</f>
        <v>1865</v>
      </c>
      <c r="X993" s="22">
        <f>IFERROR(__xludf.DUMMYFUNCTION("IFERROR(GOOGLEFINANCE(A993,""high""),"""")"),1930.0)</f>
        <v>1930</v>
      </c>
      <c r="Y993" s="22">
        <f>IFERROR(__xludf.DUMMYFUNCTION("IFERROR(GOOGLEFINANCE(A993,""low""),"""")"),1840.0)</f>
        <v>1840</v>
      </c>
      <c r="Z993" s="22">
        <f>IFERROR(__xludf.DUMMYFUNCTION("IFERROR(GOOGLEFINANCE(A993,""volume""),"""")"),3.02073E7)</f>
        <v>30207300</v>
      </c>
      <c r="AA993" s="24" t="str">
        <f>VLOOKUP(A993,Metrik!$C$2:$Y$959,5,0)</f>
        <v>Agricultural Products</v>
      </c>
      <c r="AB993" s="24" t="str">
        <f>VLOOKUP(A993,Metrik!$C$2:$Y$959,3,0)</f>
        <v>Consumer Non-Cyclicals</v>
      </c>
    </row>
    <row r="994">
      <c r="A994" s="14" t="s">
        <v>525</v>
      </c>
      <c r="B994" s="14" t="str">
        <f t="array" ref="B994">VLOOKUP(A994,{Metrik!$C$2:$C$998,Metrik!$B$2:$B$998},2,0)</f>
        <v>Japfa Comfeed Indonesia Tbk.</v>
      </c>
      <c r="C994" s="15">
        <f>IFERROR(__xludf.DUMMYFUNCTION("GOOGLEFINANCE(""IDX:""&amp;A994,""price"")"),1905.0)</f>
        <v>1905</v>
      </c>
      <c r="D994" s="16" t="str">
        <f>IFERROR(__xludf.DUMMYFUNCTION("IF(A994="""","""",
SPARKLINE(
INDEX(
GOOGLEFINANCE(""IDX:""&amp;A994,""close"",TODAY()-365,TODAY()),
,2
),
{""linewidth"",1}
))
"),"#N/A")</f>
        <v>#N/A</v>
      </c>
      <c r="E994" s="14" t="s">
        <v>84</v>
      </c>
      <c r="F994" s="17" t="s">
        <v>51</v>
      </c>
      <c r="G994" s="18">
        <f t="shared" si="7"/>
        <v>13</v>
      </c>
      <c r="H994" s="19">
        <f>VLOOKUP(A994,Metrik!$C$2:$Y$959,8,0)</f>
        <v>5.6</v>
      </c>
      <c r="I994" s="20">
        <f>VLOOKUP(A994,Metrik!$C$2:$Y$959,9,0)</f>
        <v>1.3</v>
      </c>
      <c r="J994" s="20">
        <f>VLOOKUP(A994,Metrik!$C$2:$Y$959,10,0)</f>
        <v>23.3</v>
      </c>
      <c r="K994" s="20">
        <f>VLOOKUP(A994,Metrik!$C$2:$Y$959,11,0)</f>
        <v>13.1</v>
      </c>
      <c r="L994" s="20">
        <f>VLOOKUP(A994,Metrik!$C$2:$Y$959,12,0)</f>
        <v>0.79</v>
      </c>
      <c r="M994" s="20">
        <f>VLOOKUP(A994,Metrik!$C$2:$Y$959,19,0)</f>
        <v>29</v>
      </c>
      <c r="N994" s="21"/>
      <c r="O994" s="21"/>
      <c r="P994" s="21"/>
      <c r="Q994" s="21"/>
      <c r="R994" s="21"/>
      <c r="S994" s="21"/>
      <c r="T994" s="21"/>
      <c r="U994" s="22">
        <f>IFERROR(__xludf.DUMMYFUNCTION("IFERROR(GOOGLEFINANCE(A994,""closeyest""),"""")"),1860.0)</f>
        <v>1860</v>
      </c>
      <c r="V994" s="23">
        <f>IFERROR(__xludf.DUMMYFUNCTION("IFERROR(GOOGLEFINANCE(A994,""changepct""),"""")"),2.42)</f>
        <v>2.42</v>
      </c>
      <c r="W994" s="22">
        <f>IFERROR(__xludf.DUMMYFUNCTION("IFERROR(GOOGLEFINANCE(A994,""priceopen""),"""")"),1865.0)</f>
        <v>1865</v>
      </c>
      <c r="X994" s="22">
        <f>IFERROR(__xludf.DUMMYFUNCTION("IFERROR(GOOGLEFINANCE(A994,""high""),"""")"),1930.0)</f>
        <v>1930</v>
      </c>
      <c r="Y994" s="22">
        <f>IFERROR(__xludf.DUMMYFUNCTION("IFERROR(GOOGLEFINANCE(A994,""low""),"""")"),1840.0)</f>
        <v>1840</v>
      </c>
      <c r="Z994" s="22">
        <f>IFERROR(__xludf.DUMMYFUNCTION("IFERROR(GOOGLEFINANCE(A994,""volume""),"""")"),3.02073E7)</f>
        <v>30207300</v>
      </c>
      <c r="AA994" s="24" t="str">
        <f>VLOOKUP(A994,Metrik!$C$2:$Y$959,5,0)</f>
        <v>Agricultural Products</v>
      </c>
      <c r="AB994" s="24" t="str">
        <f>VLOOKUP(A994,Metrik!$C$2:$Y$959,3,0)</f>
        <v>Consumer Non-Cyclicals</v>
      </c>
    </row>
    <row r="995">
      <c r="A995" s="14" t="s">
        <v>525</v>
      </c>
      <c r="B995" s="14" t="str">
        <f t="array" ref="B995">VLOOKUP(A995,{Metrik!$C$2:$C$998,Metrik!$B$2:$B$998},2,0)</f>
        <v>Japfa Comfeed Indonesia Tbk.</v>
      </c>
      <c r="C995" s="15">
        <f>IFERROR(__xludf.DUMMYFUNCTION("GOOGLEFINANCE(""IDX:""&amp;A995,""price"")"),1905.0)</f>
        <v>1905</v>
      </c>
      <c r="D995" s="16" t="str">
        <f>IFERROR(__xludf.DUMMYFUNCTION("IF(A995="""","""",
SPARKLINE(
INDEX(
GOOGLEFINANCE(""IDX:""&amp;A995,""close"",TODAY()-365,TODAY()),
,2
),
{""linewidth"",1}
))
"),"#N/A")</f>
        <v>#N/A</v>
      </c>
      <c r="E995" s="14" t="s">
        <v>102</v>
      </c>
      <c r="F995" s="27" t="s">
        <v>53</v>
      </c>
      <c r="G995" s="18">
        <f t="shared" si="7"/>
        <v>13</v>
      </c>
      <c r="H995" s="19">
        <f>VLOOKUP(A995,Metrik!$C$2:$Y$959,8,0)</f>
        <v>5.6</v>
      </c>
      <c r="I995" s="20">
        <f>VLOOKUP(A995,Metrik!$C$2:$Y$959,9,0)</f>
        <v>1.3</v>
      </c>
      <c r="J995" s="20">
        <f>VLOOKUP(A995,Metrik!$C$2:$Y$959,10,0)</f>
        <v>23.3</v>
      </c>
      <c r="K995" s="20">
        <f>VLOOKUP(A995,Metrik!$C$2:$Y$959,11,0)</f>
        <v>13.1</v>
      </c>
      <c r="L995" s="20">
        <f>VLOOKUP(A995,Metrik!$C$2:$Y$959,12,0)</f>
        <v>0.79</v>
      </c>
      <c r="M995" s="20">
        <f>VLOOKUP(A995,Metrik!$C$2:$Y$959,19,0)</f>
        <v>29</v>
      </c>
      <c r="N995" s="21"/>
      <c r="O995" s="21"/>
      <c r="P995" s="21"/>
      <c r="Q995" s="21"/>
      <c r="R995" s="21"/>
      <c r="S995" s="21"/>
      <c r="T995" s="21"/>
      <c r="U995" s="22">
        <f>IFERROR(__xludf.DUMMYFUNCTION("IFERROR(GOOGLEFINANCE(A995,""closeyest""),"""")"),1860.0)</f>
        <v>1860</v>
      </c>
      <c r="V995" s="23">
        <f>IFERROR(__xludf.DUMMYFUNCTION("IFERROR(GOOGLEFINANCE(A995,""changepct""),"""")"),2.42)</f>
        <v>2.42</v>
      </c>
      <c r="W995" s="22">
        <f>IFERROR(__xludf.DUMMYFUNCTION("IFERROR(GOOGLEFINANCE(A995,""priceopen""),"""")"),1865.0)</f>
        <v>1865</v>
      </c>
      <c r="X995" s="22">
        <f>IFERROR(__xludf.DUMMYFUNCTION("IFERROR(GOOGLEFINANCE(A995,""high""),"""")"),1930.0)</f>
        <v>1930</v>
      </c>
      <c r="Y995" s="22">
        <f>IFERROR(__xludf.DUMMYFUNCTION("IFERROR(GOOGLEFINANCE(A995,""low""),"""")"),1840.0)</f>
        <v>1840</v>
      </c>
      <c r="Z995" s="22">
        <f>IFERROR(__xludf.DUMMYFUNCTION("IFERROR(GOOGLEFINANCE(A995,""volume""),"""")"),3.02073E7)</f>
        <v>30207300</v>
      </c>
      <c r="AA995" s="24" t="str">
        <f>VLOOKUP(A995,Metrik!$C$2:$Y$959,5,0)</f>
        <v>Agricultural Products</v>
      </c>
      <c r="AB995" s="24" t="str">
        <f>VLOOKUP(A995,Metrik!$C$2:$Y$959,3,0)</f>
        <v>Consumer Non-Cyclicals</v>
      </c>
    </row>
    <row r="996">
      <c r="A996" s="14" t="s">
        <v>525</v>
      </c>
      <c r="B996" s="14" t="str">
        <f t="array" ref="B996">VLOOKUP(A996,{Metrik!$C$2:$C$998,Metrik!$B$2:$B$998},2,0)</f>
        <v>Japfa Comfeed Indonesia Tbk.</v>
      </c>
      <c r="C996" s="15">
        <f>IFERROR(__xludf.DUMMYFUNCTION("GOOGLEFINANCE(""IDX:""&amp;A996,""price"")"),1905.0)</f>
        <v>1905</v>
      </c>
      <c r="D996" s="16" t="str">
        <f>IFERROR(__xludf.DUMMYFUNCTION("IF(A996="""","""",
SPARKLINE(
INDEX(
GOOGLEFINANCE(""IDX:""&amp;A996,""close"",TODAY()-365,TODAY()),
,2
),
{""linewidth"",1}
))
"),"#N/A")</f>
        <v>#N/A</v>
      </c>
      <c r="E996" s="14" t="s">
        <v>32</v>
      </c>
      <c r="F996" s="14" t="s">
        <v>29</v>
      </c>
      <c r="G996" s="18">
        <f t="shared" si="7"/>
        <v>13</v>
      </c>
      <c r="H996" s="19">
        <f>VLOOKUP(A996,Metrik!$C$2:$Y$959,8,0)</f>
        <v>5.6</v>
      </c>
      <c r="I996" s="20">
        <f>VLOOKUP(A996,Metrik!$C$2:$Y$959,9,0)</f>
        <v>1.3</v>
      </c>
      <c r="J996" s="20">
        <f>VLOOKUP(A996,Metrik!$C$2:$Y$959,10,0)</f>
        <v>23.3</v>
      </c>
      <c r="K996" s="20">
        <f>VLOOKUP(A996,Metrik!$C$2:$Y$959,11,0)</f>
        <v>13.1</v>
      </c>
      <c r="L996" s="20">
        <f>VLOOKUP(A996,Metrik!$C$2:$Y$959,12,0)</f>
        <v>0.79</v>
      </c>
      <c r="M996" s="20">
        <f>VLOOKUP(A996,Metrik!$C$2:$Y$959,19,0)</f>
        <v>29</v>
      </c>
      <c r="N996" s="21"/>
      <c r="O996" s="21"/>
      <c r="P996" s="21"/>
      <c r="Q996" s="21"/>
      <c r="R996" s="21"/>
      <c r="S996" s="21"/>
      <c r="T996" s="21"/>
      <c r="U996" s="22">
        <f>IFERROR(__xludf.DUMMYFUNCTION("IFERROR(GOOGLEFINANCE(A996,""closeyest""),"""")"),1860.0)</f>
        <v>1860</v>
      </c>
      <c r="V996" s="23">
        <f>IFERROR(__xludf.DUMMYFUNCTION("IFERROR(GOOGLEFINANCE(A996,""changepct""),"""")"),2.42)</f>
        <v>2.42</v>
      </c>
      <c r="W996" s="22">
        <f>IFERROR(__xludf.DUMMYFUNCTION("IFERROR(GOOGLEFINANCE(A996,""priceopen""),"""")"),1865.0)</f>
        <v>1865</v>
      </c>
      <c r="X996" s="22">
        <f>IFERROR(__xludf.DUMMYFUNCTION("IFERROR(GOOGLEFINANCE(A996,""high""),"""")"),1930.0)</f>
        <v>1930</v>
      </c>
      <c r="Y996" s="22">
        <f>IFERROR(__xludf.DUMMYFUNCTION("IFERROR(GOOGLEFINANCE(A996,""low""),"""")"),1840.0)</f>
        <v>1840</v>
      </c>
      <c r="Z996" s="22">
        <f>IFERROR(__xludf.DUMMYFUNCTION("IFERROR(GOOGLEFINANCE(A996,""volume""),"""")"),3.02073E7)</f>
        <v>30207300</v>
      </c>
      <c r="AA996" s="24" t="str">
        <f>VLOOKUP(A996,Metrik!$C$2:$Y$959,5,0)</f>
        <v>Agricultural Products</v>
      </c>
      <c r="AB996" s="24" t="str">
        <f>VLOOKUP(A996,Metrik!$C$2:$Y$959,3,0)</f>
        <v>Consumer Non-Cyclicals</v>
      </c>
    </row>
    <row r="997">
      <c r="A997" s="14" t="s">
        <v>525</v>
      </c>
      <c r="B997" s="14" t="str">
        <f t="array" ref="B997">VLOOKUP(A997,{Metrik!$C$2:$C$998,Metrik!$B$2:$B$998},2,0)</f>
        <v>Japfa Comfeed Indonesia Tbk.</v>
      </c>
      <c r="C997" s="15">
        <f>IFERROR(__xludf.DUMMYFUNCTION("GOOGLEFINANCE(""IDX:""&amp;A997,""price"")"),1905.0)</f>
        <v>1905</v>
      </c>
      <c r="D997" s="16" t="str">
        <f>IFERROR(__xludf.DUMMYFUNCTION("IF(A997="""","""",
SPARKLINE(
INDEX(
GOOGLEFINANCE(""IDX:""&amp;A997,""close"",TODAY()-365,TODAY()),
,2
),
{""linewidth"",1}
))
"),"#N/A")</f>
        <v>#N/A</v>
      </c>
      <c r="E997" s="14" t="s">
        <v>54</v>
      </c>
      <c r="F997" s="14" t="s">
        <v>34</v>
      </c>
      <c r="G997" s="18">
        <f t="shared" si="7"/>
        <v>13</v>
      </c>
      <c r="H997" s="19">
        <f>VLOOKUP(A997,Metrik!$C$2:$Y$959,8,0)</f>
        <v>5.6</v>
      </c>
      <c r="I997" s="20">
        <f>VLOOKUP(A997,Metrik!$C$2:$Y$959,9,0)</f>
        <v>1.3</v>
      </c>
      <c r="J997" s="20">
        <f>VLOOKUP(A997,Metrik!$C$2:$Y$959,10,0)</f>
        <v>23.3</v>
      </c>
      <c r="K997" s="20">
        <f>VLOOKUP(A997,Metrik!$C$2:$Y$959,11,0)</f>
        <v>13.1</v>
      </c>
      <c r="L997" s="20">
        <f>VLOOKUP(A997,Metrik!$C$2:$Y$959,12,0)</f>
        <v>0.79</v>
      </c>
      <c r="M997" s="20">
        <f>VLOOKUP(A997,Metrik!$C$2:$Y$959,19,0)</f>
        <v>29</v>
      </c>
      <c r="N997" s="21"/>
      <c r="O997" s="21"/>
      <c r="P997" s="21"/>
      <c r="Q997" s="21"/>
      <c r="R997" s="21"/>
      <c r="S997" s="21"/>
      <c r="T997" s="21"/>
      <c r="U997" s="22">
        <f>IFERROR(__xludf.DUMMYFUNCTION("IFERROR(GOOGLEFINANCE(A997,""closeyest""),"""")"),1860.0)</f>
        <v>1860</v>
      </c>
      <c r="V997" s="23">
        <f>IFERROR(__xludf.DUMMYFUNCTION("IFERROR(GOOGLEFINANCE(A997,""changepct""),"""")"),2.42)</f>
        <v>2.42</v>
      </c>
      <c r="W997" s="22">
        <f>IFERROR(__xludf.DUMMYFUNCTION("IFERROR(GOOGLEFINANCE(A997,""priceopen""),"""")"),1865.0)</f>
        <v>1865</v>
      </c>
      <c r="X997" s="22">
        <f>IFERROR(__xludf.DUMMYFUNCTION("IFERROR(GOOGLEFINANCE(A997,""high""),"""")"),1930.0)</f>
        <v>1930</v>
      </c>
      <c r="Y997" s="22">
        <f>IFERROR(__xludf.DUMMYFUNCTION("IFERROR(GOOGLEFINANCE(A997,""low""),"""")"),1840.0)</f>
        <v>1840</v>
      </c>
      <c r="Z997" s="22">
        <f>IFERROR(__xludf.DUMMYFUNCTION("IFERROR(GOOGLEFINANCE(A997,""volume""),"""")"),3.02073E7)</f>
        <v>30207300</v>
      </c>
      <c r="AA997" s="24" t="str">
        <f>VLOOKUP(A997,Metrik!$C$2:$Y$959,5,0)</f>
        <v>Agricultural Products</v>
      </c>
      <c r="AB997" s="24" t="str">
        <f>VLOOKUP(A997,Metrik!$C$2:$Y$959,3,0)</f>
        <v>Consumer Non-Cyclicals</v>
      </c>
    </row>
    <row r="998">
      <c r="A998" s="14" t="s">
        <v>525</v>
      </c>
      <c r="B998" s="14" t="str">
        <f t="array" ref="B998">VLOOKUP(A998,{Metrik!$C$2:$C$998,Metrik!$B$2:$B$998},2,0)</f>
        <v>Japfa Comfeed Indonesia Tbk.</v>
      </c>
      <c r="C998" s="15">
        <f>IFERROR(__xludf.DUMMYFUNCTION("GOOGLEFINANCE(""IDX:""&amp;A998,""price"")"),1905.0)</f>
        <v>1905</v>
      </c>
      <c r="D998" s="16" t="str">
        <f>IFERROR(__xludf.DUMMYFUNCTION("IF(A998="""","""",
SPARKLINE(
INDEX(
GOOGLEFINANCE(""IDX:""&amp;A998,""close"",TODAY()-365,TODAY()),
,2
),
{""linewidth"",1}
))
"),"#N/A")</f>
        <v>#N/A</v>
      </c>
      <c r="E998" s="14" t="s">
        <v>68</v>
      </c>
      <c r="F998" s="14" t="s">
        <v>34</v>
      </c>
      <c r="G998" s="18">
        <f t="shared" si="7"/>
        <v>13</v>
      </c>
      <c r="H998" s="19">
        <f>VLOOKUP(A998,Metrik!$C$2:$Y$959,8,0)</f>
        <v>5.6</v>
      </c>
      <c r="I998" s="20">
        <f>VLOOKUP(A998,Metrik!$C$2:$Y$959,9,0)</f>
        <v>1.3</v>
      </c>
      <c r="J998" s="20">
        <f>VLOOKUP(A998,Metrik!$C$2:$Y$959,10,0)</f>
        <v>23.3</v>
      </c>
      <c r="K998" s="20">
        <f>VLOOKUP(A998,Metrik!$C$2:$Y$959,11,0)</f>
        <v>13.1</v>
      </c>
      <c r="L998" s="20">
        <f>VLOOKUP(A998,Metrik!$C$2:$Y$959,12,0)</f>
        <v>0.79</v>
      </c>
      <c r="M998" s="20">
        <f>VLOOKUP(A998,Metrik!$C$2:$Y$959,19,0)</f>
        <v>29</v>
      </c>
      <c r="N998" s="21"/>
      <c r="O998" s="21"/>
      <c r="P998" s="21"/>
      <c r="Q998" s="21"/>
      <c r="R998" s="21"/>
      <c r="S998" s="21"/>
      <c r="T998" s="21"/>
      <c r="U998" s="22">
        <f>IFERROR(__xludf.DUMMYFUNCTION("IFERROR(GOOGLEFINANCE(A998,""closeyest""),"""")"),1860.0)</f>
        <v>1860</v>
      </c>
      <c r="V998" s="23">
        <f>IFERROR(__xludf.DUMMYFUNCTION("IFERROR(GOOGLEFINANCE(A998,""changepct""),"""")"),2.42)</f>
        <v>2.42</v>
      </c>
      <c r="W998" s="22">
        <f>IFERROR(__xludf.DUMMYFUNCTION("IFERROR(GOOGLEFINANCE(A998,""priceopen""),"""")"),1865.0)</f>
        <v>1865</v>
      </c>
      <c r="X998" s="22">
        <f>IFERROR(__xludf.DUMMYFUNCTION("IFERROR(GOOGLEFINANCE(A998,""high""),"""")"),1930.0)</f>
        <v>1930</v>
      </c>
      <c r="Y998" s="22">
        <f>IFERROR(__xludf.DUMMYFUNCTION("IFERROR(GOOGLEFINANCE(A998,""low""),"""")"),1840.0)</f>
        <v>1840</v>
      </c>
      <c r="Z998" s="22">
        <f>IFERROR(__xludf.DUMMYFUNCTION("IFERROR(GOOGLEFINANCE(A998,""volume""),"""")"),3.02073E7)</f>
        <v>30207300</v>
      </c>
      <c r="AA998" s="24" t="str">
        <f>VLOOKUP(A998,Metrik!$C$2:$Y$959,5,0)</f>
        <v>Agricultural Products</v>
      </c>
      <c r="AB998" s="24" t="str">
        <f>VLOOKUP(A998,Metrik!$C$2:$Y$959,3,0)</f>
        <v>Consumer Non-Cyclicals</v>
      </c>
    </row>
    <row r="999">
      <c r="A999" s="14" t="s">
        <v>525</v>
      </c>
      <c r="B999" s="14" t="str">
        <f t="array" ref="B999">VLOOKUP(A999,{Metrik!$C$2:$C$998,Metrik!$B$2:$B$998},2,0)</f>
        <v>Japfa Comfeed Indonesia Tbk.</v>
      </c>
      <c r="C999" s="15">
        <f>IFERROR(__xludf.DUMMYFUNCTION("GOOGLEFINANCE(""IDX:""&amp;A999,""price"")"),1905.0)</f>
        <v>1905</v>
      </c>
      <c r="D999" s="16" t="str">
        <f>IFERROR(__xludf.DUMMYFUNCTION("IF(A999="""","""",
SPARKLINE(
INDEX(
GOOGLEFINANCE(""IDX:""&amp;A999,""close"",TODAY()-365,TODAY()),
,2
),
{""linewidth"",1}
))
"),"#N/A")</f>
        <v>#N/A</v>
      </c>
      <c r="E999" s="14" t="s">
        <v>41</v>
      </c>
      <c r="F999" s="14" t="s">
        <v>34</v>
      </c>
      <c r="G999" s="18">
        <f t="shared" si="7"/>
        <v>13</v>
      </c>
      <c r="H999" s="19">
        <f>VLOOKUP(A999,Metrik!$C$2:$Y$959,8,0)</f>
        <v>5.6</v>
      </c>
      <c r="I999" s="20">
        <f>VLOOKUP(A999,Metrik!$C$2:$Y$959,9,0)</f>
        <v>1.3</v>
      </c>
      <c r="J999" s="20">
        <f>VLOOKUP(A999,Metrik!$C$2:$Y$959,10,0)</f>
        <v>23.3</v>
      </c>
      <c r="K999" s="20">
        <f>VLOOKUP(A999,Metrik!$C$2:$Y$959,11,0)</f>
        <v>13.1</v>
      </c>
      <c r="L999" s="20">
        <f>VLOOKUP(A999,Metrik!$C$2:$Y$959,12,0)</f>
        <v>0.79</v>
      </c>
      <c r="M999" s="20">
        <f>VLOOKUP(A999,Metrik!$C$2:$Y$959,19,0)</f>
        <v>29</v>
      </c>
      <c r="N999" s="21"/>
      <c r="O999" s="21"/>
      <c r="P999" s="21"/>
      <c r="Q999" s="21"/>
      <c r="R999" s="21"/>
      <c r="S999" s="21"/>
      <c r="T999" s="21"/>
      <c r="U999" s="22">
        <f>IFERROR(__xludf.DUMMYFUNCTION("IFERROR(GOOGLEFINANCE(A999,""closeyest""),"""")"),1860.0)</f>
        <v>1860</v>
      </c>
      <c r="V999" s="23">
        <f>IFERROR(__xludf.DUMMYFUNCTION("IFERROR(GOOGLEFINANCE(A999,""changepct""),"""")"),2.42)</f>
        <v>2.42</v>
      </c>
      <c r="W999" s="22">
        <f>IFERROR(__xludf.DUMMYFUNCTION("IFERROR(GOOGLEFINANCE(A999,""priceopen""),"""")"),1865.0)</f>
        <v>1865</v>
      </c>
      <c r="X999" s="22">
        <f>IFERROR(__xludf.DUMMYFUNCTION("IFERROR(GOOGLEFINANCE(A999,""high""),"""")"),1930.0)</f>
        <v>1930</v>
      </c>
      <c r="Y999" s="22">
        <f>IFERROR(__xludf.DUMMYFUNCTION("IFERROR(GOOGLEFINANCE(A999,""low""),"""")"),1840.0)</f>
        <v>1840</v>
      </c>
      <c r="Z999" s="22">
        <f>IFERROR(__xludf.DUMMYFUNCTION("IFERROR(GOOGLEFINANCE(A999,""volume""),"""")"),3.02073E7)</f>
        <v>30207300</v>
      </c>
      <c r="AA999" s="24" t="str">
        <f>VLOOKUP(A999,Metrik!$C$2:$Y$959,5,0)</f>
        <v>Agricultural Products</v>
      </c>
      <c r="AB999" s="24" t="str">
        <f>VLOOKUP(A999,Metrik!$C$2:$Y$959,3,0)</f>
        <v>Consumer Non-Cyclicals</v>
      </c>
    </row>
    <row r="1000">
      <c r="A1000" s="17" t="s">
        <v>525</v>
      </c>
      <c r="B1000" s="14" t="str">
        <f t="array" ref="B1000">VLOOKUP(A1000,{Metrik!$C$2:$C$998,Metrik!$B$2:$B$998},2,0)</f>
        <v>Japfa Comfeed Indonesia Tbk.</v>
      </c>
      <c r="C1000" s="15">
        <f>IFERROR(__xludf.DUMMYFUNCTION("GOOGLEFINANCE(""IDX:""&amp;A1000,""price"")"),1905.0)</f>
        <v>1905</v>
      </c>
      <c r="D1000" s="16" t="str">
        <f>IFERROR(__xludf.DUMMYFUNCTION("IF(A1000="""","""",
SPARKLINE(
INDEX(
GOOGLEFINANCE(""IDX:""&amp;A1000,""close"",TODAY()-365,TODAY()),
,2
),
{""linewidth"",1}
))
"),"#N/A")</f>
        <v>#N/A</v>
      </c>
      <c r="E1000" s="14" t="s">
        <v>35</v>
      </c>
      <c r="F1000" s="17" t="s">
        <v>36</v>
      </c>
      <c r="G1000" s="33">
        <f t="shared" si="7"/>
        <v>13</v>
      </c>
      <c r="H1000" s="34">
        <f>VLOOKUP(A1000,Metrik!$C$2:$Y$959,8,0)</f>
        <v>5.6</v>
      </c>
      <c r="I1000" s="34">
        <f>VLOOKUP(A1000,Metrik!$C$2:$Y$959,9,0)</f>
        <v>1.3</v>
      </c>
      <c r="J1000" s="34">
        <f>VLOOKUP(A1000,Metrik!$C$2:$Y$959,10,0)</f>
        <v>23.3</v>
      </c>
      <c r="K1000" s="34">
        <f>VLOOKUP(A1000,Metrik!$C$2:$Y$959,11,0)</f>
        <v>13.1</v>
      </c>
      <c r="L1000" s="34">
        <f>VLOOKUP(A1000,Metrik!$C$2:$Y$959,12,0)</f>
        <v>0.79</v>
      </c>
      <c r="M1000" s="34">
        <f>VLOOKUP(A1000,Metrik!$C$2:$Y$959,19,0)</f>
        <v>29</v>
      </c>
      <c r="N1000" s="26"/>
      <c r="O1000" s="26"/>
      <c r="P1000" s="26"/>
      <c r="Q1000" s="26"/>
      <c r="R1000" s="26"/>
      <c r="S1000" s="26"/>
      <c r="T1000" s="26"/>
      <c r="U1000" s="35">
        <f>IFERROR(__xludf.DUMMYFUNCTION("IFERROR(GOOGLEFINANCE(A1000,""closeyest""),"""")"),1860.0)</f>
        <v>1860</v>
      </c>
      <c r="V1000" s="36">
        <f>IFERROR(__xludf.DUMMYFUNCTION("IFERROR(GOOGLEFINANCE(A1000,""changepct""),"""")"),2.42)</f>
        <v>2.42</v>
      </c>
      <c r="W1000" s="35">
        <f>IFERROR(__xludf.DUMMYFUNCTION("IFERROR(GOOGLEFINANCE(A1000,""priceopen""),"""")"),1865.0)</f>
        <v>1865</v>
      </c>
      <c r="X1000" s="35">
        <f>IFERROR(__xludf.DUMMYFUNCTION("IFERROR(GOOGLEFINANCE(A1000,""high""),"""")"),1930.0)</f>
        <v>1930</v>
      </c>
      <c r="Y1000" s="35">
        <f>IFERROR(__xludf.DUMMYFUNCTION("IFERROR(GOOGLEFINANCE(A1000,""low""),"""")"),1840.0)</f>
        <v>1840</v>
      </c>
      <c r="Z1000" s="35">
        <f>IFERROR(__xludf.DUMMYFUNCTION("IFERROR(GOOGLEFINANCE(A1000,""volume""),"""")"),3.02073E7)</f>
        <v>30207300</v>
      </c>
      <c r="AA1000" s="14" t="str">
        <f>VLOOKUP(A1000,Metrik!$C$2:$Y$959,5,0)</f>
        <v>Agricultural Products</v>
      </c>
      <c r="AB1000" s="14" t="str">
        <f>VLOOKUP(A1000,Metrik!$C$2:$Y$959,3,0)</f>
        <v>Consumer Non-Cyclicals</v>
      </c>
    </row>
    <row r="1001">
      <c r="A1001" s="14" t="s">
        <v>525</v>
      </c>
      <c r="B1001" s="14" t="str">
        <f t="array" ref="B1001">VLOOKUP(A1001,{Metrik!$C$2:$C$998,Metrik!$B$2:$B$998},2,0)</f>
        <v>Japfa Comfeed Indonesia Tbk.</v>
      </c>
      <c r="C1001" s="15">
        <f>IFERROR(__xludf.DUMMYFUNCTION("GOOGLEFINANCE(""IDX:""&amp;A1001,""price"")"),1905.0)</f>
        <v>1905</v>
      </c>
      <c r="D1001" s="16" t="str">
        <f>IFERROR(__xludf.DUMMYFUNCTION("IF(A1001="""","""",
SPARKLINE(
INDEX(
GOOGLEFINANCE(""IDX:""&amp;A1001,""close"",TODAY()-365,TODAY()),
,2
),
{""linewidth"",1}
))
"),"#N/A")</f>
        <v>#N/A</v>
      </c>
      <c r="E1001" s="14" t="s">
        <v>38</v>
      </c>
      <c r="F1001" s="25">
        <v>46356.0</v>
      </c>
      <c r="G1001" s="18">
        <f t="shared" si="7"/>
        <v>13</v>
      </c>
      <c r="H1001" s="19">
        <f>VLOOKUP(A1001,Metrik!$C$2:$Y$959,8,0)</f>
        <v>5.6</v>
      </c>
      <c r="I1001" s="20">
        <f>VLOOKUP(A1001,Metrik!$C$2:$Y$959,9,0)</f>
        <v>1.3</v>
      </c>
      <c r="J1001" s="20">
        <f>VLOOKUP(A1001,Metrik!$C$2:$Y$959,10,0)</f>
        <v>23.3</v>
      </c>
      <c r="K1001" s="20">
        <f>VLOOKUP(A1001,Metrik!$C$2:$Y$959,11,0)</f>
        <v>13.1</v>
      </c>
      <c r="L1001" s="20">
        <f>VLOOKUP(A1001,Metrik!$C$2:$Y$959,12,0)</f>
        <v>0.79</v>
      </c>
      <c r="M1001" s="20">
        <f>VLOOKUP(A1001,Metrik!$C$2:$Y$959,19,0)</f>
        <v>29</v>
      </c>
      <c r="N1001" s="21"/>
      <c r="O1001" s="21"/>
      <c r="P1001" s="21"/>
      <c r="Q1001" s="21"/>
      <c r="R1001" s="21"/>
      <c r="S1001" s="21"/>
      <c r="T1001" s="21"/>
      <c r="U1001" s="22">
        <f>IFERROR(__xludf.DUMMYFUNCTION("IFERROR(GOOGLEFINANCE(A1001,""closeyest""),"""")"),1860.0)</f>
        <v>1860</v>
      </c>
      <c r="V1001" s="23">
        <f>IFERROR(__xludf.DUMMYFUNCTION("IFERROR(GOOGLEFINANCE(A1001,""changepct""),"""")"),2.42)</f>
        <v>2.42</v>
      </c>
      <c r="W1001" s="22">
        <f>IFERROR(__xludf.DUMMYFUNCTION("IFERROR(GOOGLEFINANCE(A1001,""priceopen""),"""")"),1865.0)</f>
        <v>1865</v>
      </c>
      <c r="X1001" s="22">
        <f>IFERROR(__xludf.DUMMYFUNCTION("IFERROR(GOOGLEFINANCE(A1001,""high""),"""")"),1930.0)</f>
        <v>1930</v>
      </c>
      <c r="Y1001" s="22">
        <f>IFERROR(__xludf.DUMMYFUNCTION("IFERROR(GOOGLEFINANCE(A1001,""low""),"""")"),1840.0)</f>
        <v>1840</v>
      </c>
      <c r="Z1001" s="22">
        <f>IFERROR(__xludf.DUMMYFUNCTION("IFERROR(GOOGLEFINANCE(A1001,""volume""),"""")"),3.02073E7)</f>
        <v>30207300</v>
      </c>
      <c r="AA1001" s="24" t="str">
        <f>VLOOKUP(A1001,Metrik!$C$2:$Y$959,5,0)</f>
        <v>Agricultural Products</v>
      </c>
      <c r="AB1001" s="24" t="str">
        <f>VLOOKUP(A1001,Metrik!$C$2:$Y$959,3,0)</f>
        <v>Consumer Non-Cyclicals</v>
      </c>
    </row>
    <row r="1002">
      <c r="A1002" s="14" t="s">
        <v>525</v>
      </c>
      <c r="B1002" s="14" t="str">
        <f t="array" ref="B1002">VLOOKUP(A1002,{Metrik!$C$2:$C$998,Metrik!$B$2:$B$998},2,0)</f>
        <v>Japfa Comfeed Indonesia Tbk.</v>
      </c>
      <c r="C1002" s="15">
        <f>IFERROR(__xludf.DUMMYFUNCTION("GOOGLEFINANCE(""IDX:""&amp;A1002,""price"")"),1905.0)</f>
        <v>1905</v>
      </c>
      <c r="D1002" s="16" t="str">
        <f>IFERROR(__xludf.DUMMYFUNCTION("IF(A1002="""","""",
SPARKLINE(
INDEX(
GOOGLEFINANCE(""IDX:""&amp;A1002,""close"",TODAY()-365,TODAY()),
,2
),
{""linewidth"",1}
))
"),"#N/A")</f>
        <v>#N/A</v>
      </c>
      <c r="E1002" s="14" t="s">
        <v>39</v>
      </c>
      <c r="F1002" s="25">
        <v>46356.0</v>
      </c>
      <c r="G1002" s="18">
        <f t="shared" si="7"/>
        <v>13</v>
      </c>
      <c r="H1002" s="19">
        <f>VLOOKUP(A1002,Metrik!$C$2:$Y$959,8,0)</f>
        <v>5.6</v>
      </c>
      <c r="I1002" s="20">
        <f>VLOOKUP(A1002,Metrik!$C$2:$Y$959,9,0)</f>
        <v>1.3</v>
      </c>
      <c r="J1002" s="20">
        <f>VLOOKUP(A1002,Metrik!$C$2:$Y$959,10,0)</f>
        <v>23.3</v>
      </c>
      <c r="K1002" s="20">
        <f>VLOOKUP(A1002,Metrik!$C$2:$Y$959,11,0)</f>
        <v>13.1</v>
      </c>
      <c r="L1002" s="20">
        <f>VLOOKUP(A1002,Metrik!$C$2:$Y$959,12,0)</f>
        <v>0.79</v>
      </c>
      <c r="M1002" s="20">
        <f>VLOOKUP(A1002,Metrik!$C$2:$Y$959,19,0)</f>
        <v>29</v>
      </c>
      <c r="N1002" s="21"/>
      <c r="O1002" s="21"/>
      <c r="P1002" s="21"/>
      <c r="Q1002" s="21"/>
      <c r="R1002" s="21"/>
      <c r="S1002" s="21"/>
      <c r="T1002" s="21"/>
      <c r="U1002" s="22">
        <f>IFERROR(__xludf.DUMMYFUNCTION("IFERROR(GOOGLEFINANCE(A1002,""closeyest""),"""")"),1860.0)</f>
        <v>1860</v>
      </c>
      <c r="V1002" s="23">
        <f>IFERROR(__xludf.DUMMYFUNCTION("IFERROR(GOOGLEFINANCE(A1002,""changepct""),"""")"),2.42)</f>
        <v>2.42</v>
      </c>
      <c r="W1002" s="22">
        <f>IFERROR(__xludf.DUMMYFUNCTION("IFERROR(GOOGLEFINANCE(A1002,""priceopen""),"""")"),1865.0)</f>
        <v>1865</v>
      </c>
      <c r="X1002" s="22">
        <f>IFERROR(__xludf.DUMMYFUNCTION("IFERROR(GOOGLEFINANCE(A1002,""high""),"""")"),1930.0)</f>
        <v>1930</v>
      </c>
      <c r="Y1002" s="22">
        <f>IFERROR(__xludf.DUMMYFUNCTION("IFERROR(GOOGLEFINANCE(A1002,""low""),"""")"),1840.0)</f>
        <v>1840</v>
      </c>
      <c r="Z1002" s="22">
        <f>IFERROR(__xludf.DUMMYFUNCTION("IFERROR(GOOGLEFINANCE(A1002,""volume""),"""")"),3.02073E7)</f>
        <v>30207300</v>
      </c>
      <c r="AA1002" s="24" t="str">
        <f>VLOOKUP(A1002,Metrik!$C$2:$Y$959,5,0)</f>
        <v>Agricultural Products</v>
      </c>
      <c r="AB1002" s="24" t="str">
        <f>VLOOKUP(A1002,Metrik!$C$2:$Y$959,3,0)</f>
        <v>Consumer Non-Cyclicals</v>
      </c>
    </row>
    <row r="1003">
      <c r="A1003" s="14" t="s">
        <v>526</v>
      </c>
      <c r="B1003" s="14" t="str">
        <f t="array" ref="B1003">VLOOKUP(A1003,{Metrik!$C$2:$C$998,Metrik!$B$2:$B$998},2,0)</f>
        <v>Jaya Real Property Tbk.</v>
      </c>
      <c r="C1003" s="15">
        <f>IFERROR(__xludf.DUMMYFUNCTION("GOOGLEFINANCE(""IDX:""&amp;A1003,""price"")"),1080.0)</f>
        <v>1080</v>
      </c>
      <c r="D1003" s="16" t="str">
        <f>IFERROR(__xludf.DUMMYFUNCTION("IF(A1003="""","""",
SPARKLINE(
INDEX(
GOOGLEFINANCE(""IDX:""&amp;A1003,""close"",TODAY()-365,TODAY()),
,2
),
{""linewidth"",1}
))
"),"#N/A")</f>
        <v>#N/A</v>
      </c>
      <c r="E1003" s="14" t="s">
        <v>106</v>
      </c>
      <c r="F1003" s="25">
        <v>46356.0</v>
      </c>
      <c r="G1003" s="24">
        <f t="shared" si="7"/>
        <v>1</v>
      </c>
      <c r="H1003" s="19">
        <f>VLOOKUP(A1003,Metrik!$C$2:$Y$959,8,0)</f>
        <v>10.6</v>
      </c>
      <c r="I1003" s="20">
        <f>VLOOKUP(A1003,Metrik!$C$2:$Y$959,9,0)</f>
        <v>1.3</v>
      </c>
      <c r="J1003" s="20">
        <f>VLOOKUP(A1003,Metrik!$C$2:$Y$959,10,0)</f>
        <v>11.9</v>
      </c>
      <c r="K1003" s="20">
        <f>VLOOKUP(A1003,Metrik!$C$2:$Y$959,11,0)</f>
        <v>8.7</v>
      </c>
      <c r="L1003" s="20">
        <f>VLOOKUP(A1003,Metrik!$C$2:$Y$959,12,0)</f>
        <v>0.36</v>
      </c>
      <c r="M1003" s="20">
        <f>VLOOKUP(A1003,Metrik!$C$2:$Y$959,19,0)</f>
        <v>180</v>
      </c>
      <c r="N1003" s="21"/>
      <c r="O1003" s="21"/>
      <c r="P1003" s="21"/>
      <c r="Q1003" s="21"/>
      <c r="R1003" s="21"/>
      <c r="S1003" s="21"/>
      <c r="T1003" s="21"/>
      <c r="U1003" s="22">
        <f>IFERROR(__xludf.DUMMYFUNCTION("IFERROR(GOOGLEFINANCE(A1003,""closeyest""),"""")"),1080.0)</f>
        <v>1080</v>
      </c>
      <c r="V1003" s="23">
        <f>IFERROR(__xludf.DUMMYFUNCTION("IFERROR(GOOGLEFINANCE(A1003,""changepct""),"""")"),0.0)</f>
        <v>0</v>
      </c>
      <c r="W1003" s="22">
        <f>IFERROR(__xludf.DUMMYFUNCTION("IFERROR(GOOGLEFINANCE(A1003,""priceopen""),"""")"),1080.0)</f>
        <v>1080</v>
      </c>
      <c r="X1003" s="22">
        <f>IFERROR(__xludf.DUMMYFUNCTION("IFERROR(GOOGLEFINANCE(A1003,""high""),"""")"),1085.0)</f>
        <v>1085</v>
      </c>
      <c r="Y1003" s="22">
        <f>IFERROR(__xludf.DUMMYFUNCTION("IFERROR(GOOGLEFINANCE(A1003,""low""),"""")"),1070.0)</f>
        <v>1070</v>
      </c>
      <c r="Z1003" s="22">
        <f>IFERROR(__xludf.DUMMYFUNCTION("IFERROR(GOOGLEFINANCE(A1003,""volume""),"""")"),365600.0)</f>
        <v>365600</v>
      </c>
      <c r="AA1003" s="24" t="str">
        <f>VLOOKUP(A1003,Metrik!$C$2:$Y$959,5,0)</f>
        <v>Real Estate Management &amp; Development</v>
      </c>
      <c r="AB1003" s="24" t="str">
        <f>VLOOKUP(A1003,Metrik!$C$2:$Y$959,3,0)</f>
        <v>Properties &amp; Real Estate</v>
      </c>
    </row>
    <row r="1004">
      <c r="A1004" s="14" t="s">
        <v>527</v>
      </c>
      <c r="B1004" s="14" t="str">
        <f t="array" ref="B1004">VLOOKUP(A1004,{Metrik!$C$2:$C$998,Metrik!$B$2:$B$998},2,0)</f>
        <v>Sky Energy Indonesia Tbk.</v>
      </c>
      <c r="C1004" s="15">
        <f>IFERROR(__xludf.DUMMYFUNCTION("GOOGLEFINANCE(""IDX:""&amp;A1004,""price"")"),52.0)</f>
        <v>52</v>
      </c>
      <c r="D1004" s="16" t="str">
        <f>IFERROR(__xludf.DUMMYFUNCTION("IF(A1004="""","""",
SPARKLINE(
INDEX(
GOOGLEFINANCE(""IDX:""&amp;A1004,""close"",TODAY()-365,TODAY()),
,2
),
{""linewidth"",1}
))
"),"#N/A")</f>
        <v>#N/A</v>
      </c>
      <c r="E1004" s="26"/>
      <c r="F1004" s="26"/>
      <c r="G1004" s="24">
        <f t="shared" si="7"/>
        <v>0</v>
      </c>
      <c r="H1004" s="19">
        <f>VLOOKUP(A1004,Metrik!$C$2:$Y$959,8,0)</f>
        <v>0</v>
      </c>
      <c r="I1004" s="20">
        <f>VLOOKUP(A1004,Metrik!$C$2:$Y$959,9,0)</f>
        <v>-7.8</v>
      </c>
      <c r="J1004" s="20">
        <f>VLOOKUP(A1004,Metrik!$C$2:$Y$959,10,0)</f>
        <v>0</v>
      </c>
      <c r="K1004" s="20">
        <f>VLOOKUP(A1004,Metrik!$C$2:$Y$959,11,0)</f>
        <v>-50.3</v>
      </c>
      <c r="L1004" s="20">
        <f>VLOOKUP(A1004,Metrik!$C$2:$Y$959,12,0)</f>
        <v>-19.1</v>
      </c>
      <c r="M1004" s="20">
        <f>VLOOKUP(A1004,Metrik!$C$2:$Y$959,19,0)</f>
        <v>-150</v>
      </c>
      <c r="N1004" s="21"/>
      <c r="O1004" s="21"/>
      <c r="P1004" s="21"/>
      <c r="Q1004" s="21"/>
      <c r="R1004" s="21"/>
      <c r="S1004" s="21"/>
      <c r="T1004" s="21"/>
      <c r="U1004" s="22">
        <f>IFERROR(__xludf.DUMMYFUNCTION("IFERROR(GOOGLEFINANCE(A1004,""closeyest""),"""")"),52.0)</f>
        <v>52</v>
      </c>
      <c r="V1004" s="23">
        <f>IFERROR(__xludf.DUMMYFUNCTION("IFERROR(GOOGLEFINANCE(A1004,""changepct""),"""")"),0.0)</f>
        <v>0</v>
      </c>
      <c r="W1004" s="22" t="str">
        <f>IFERROR(__xludf.DUMMYFUNCTION("IFERROR(GOOGLEFINANCE(A1004,""priceopen""),"""")"),"")</f>
        <v/>
      </c>
      <c r="X1004" s="22" t="str">
        <f>IFERROR(__xludf.DUMMYFUNCTION("IFERROR(GOOGLEFINANCE(A1004,""high""),"""")"),"")</f>
        <v/>
      </c>
      <c r="Y1004" s="22" t="str">
        <f>IFERROR(__xludf.DUMMYFUNCTION("IFERROR(GOOGLEFINANCE(A1004,""low""),"""")"),"")</f>
        <v/>
      </c>
      <c r="Z1004" s="22">
        <f>IFERROR(__xludf.DUMMYFUNCTION("IFERROR(GOOGLEFINANCE(A1004,""volume""),"""")"),0.0)</f>
        <v>0</v>
      </c>
      <c r="AA1004" s="24" t="str">
        <f>VLOOKUP(A1004,Metrik!$C$2:$Y$959,5,0)</f>
        <v>Alternative Energy Equipment</v>
      </c>
      <c r="AB1004" s="24" t="str">
        <f>VLOOKUP(A1004,Metrik!$C$2:$Y$959,3,0)</f>
        <v>Energy</v>
      </c>
    </row>
    <row r="1005">
      <c r="A1005" s="14" t="s">
        <v>528</v>
      </c>
      <c r="B1005" s="14" t="str">
        <f t="array" ref="B1005">VLOOKUP(A1005,{Metrik!$C$2:$C$998,Metrik!$B$2:$B$998},2,0)</f>
        <v>Jasa Marga (Persero) Tbk.</v>
      </c>
      <c r="C1005" s="15">
        <f>IFERROR(__xludf.DUMMYFUNCTION("GOOGLEFINANCE(""IDX:""&amp;A1005,""price"")"),2600.0)</f>
        <v>2600</v>
      </c>
      <c r="D1005" s="16" t="str">
        <f>IFERROR(__xludf.DUMMYFUNCTION("IF(A1005="""","""",
SPARKLINE(
INDEX(
GOOGLEFINANCE(""IDX:""&amp;A1005,""close"",TODAY()-365,TODAY()),
,2
),
{""linewidth"",1}
))
"),"#N/A")</f>
        <v>#N/A</v>
      </c>
      <c r="E1005" s="14" t="s">
        <v>47</v>
      </c>
      <c r="F1005" s="25">
        <v>46356.0</v>
      </c>
      <c r="G1005" s="24">
        <f t="shared" si="7"/>
        <v>17</v>
      </c>
      <c r="H1005" s="19">
        <f>VLOOKUP(A1005,Metrik!$C$2:$Y$959,8,0)</f>
        <v>6.2</v>
      </c>
      <c r="I1005" s="20">
        <f>VLOOKUP(A1005,Metrik!$C$2:$Y$959,9,0)</f>
        <v>0.34</v>
      </c>
      <c r="J1005" s="20">
        <f>VLOOKUP(A1005,Metrik!$C$2:$Y$959,10,0)</f>
        <v>5.5</v>
      </c>
      <c r="K1005" s="20">
        <f>VLOOKUP(A1005,Metrik!$C$2:$Y$959,11,0)</f>
        <v>2.2</v>
      </c>
      <c r="L1005" s="20">
        <f>VLOOKUP(A1005,Metrik!$C$2:$Y$959,12,0)</f>
        <v>1.5</v>
      </c>
      <c r="M1005" s="20">
        <f>VLOOKUP(A1005,Metrik!$C$2:$Y$959,19,0)</f>
        <v>54.4</v>
      </c>
      <c r="N1005" s="21"/>
      <c r="O1005" s="21"/>
      <c r="P1005" s="21"/>
      <c r="Q1005" s="21"/>
      <c r="R1005" s="21"/>
      <c r="S1005" s="21"/>
      <c r="T1005" s="21"/>
      <c r="U1005" s="22">
        <f>IFERROR(__xludf.DUMMYFUNCTION("IFERROR(GOOGLEFINANCE(A1005,""closeyest""),"""")"),2620.0)</f>
        <v>2620</v>
      </c>
      <c r="V1005" s="23">
        <f>IFERROR(__xludf.DUMMYFUNCTION("IFERROR(GOOGLEFINANCE(A1005,""changepct""),"""")"),-0.76)</f>
        <v>-0.76</v>
      </c>
      <c r="W1005" s="22">
        <f>IFERROR(__xludf.DUMMYFUNCTION("IFERROR(GOOGLEFINANCE(A1005,""priceopen""),"""")"),2630.0)</f>
        <v>2630</v>
      </c>
      <c r="X1005" s="22">
        <f>IFERROR(__xludf.DUMMYFUNCTION("IFERROR(GOOGLEFINANCE(A1005,""high""),"""")"),2650.0)</f>
        <v>2650</v>
      </c>
      <c r="Y1005" s="22">
        <f>IFERROR(__xludf.DUMMYFUNCTION("IFERROR(GOOGLEFINANCE(A1005,""low""),"""")"),2600.0)</f>
        <v>2600</v>
      </c>
      <c r="Z1005" s="22">
        <f>IFERROR(__xludf.DUMMYFUNCTION("IFERROR(GOOGLEFINANCE(A1005,""volume""),"""")"),9670400.0)</f>
        <v>9670400</v>
      </c>
      <c r="AA1005" s="24" t="str">
        <f>VLOOKUP(A1005,Metrik!$C$2:$Y$959,5,0)</f>
        <v>Transport Infrastructure Operator</v>
      </c>
      <c r="AB1005" s="24" t="str">
        <f>VLOOKUP(A1005,Metrik!$C$2:$Y$959,3,0)</f>
        <v>Infrastructures</v>
      </c>
    </row>
    <row r="1006">
      <c r="A1006" s="14" t="s">
        <v>528</v>
      </c>
      <c r="B1006" s="14" t="str">
        <f t="array" ref="B1006">VLOOKUP(A1006,{Metrik!$C$2:$C$998,Metrik!$B$2:$B$998},2,0)</f>
        <v>Jasa Marga (Persero) Tbk.</v>
      </c>
      <c r="C1006" s="15">
        <f>IFERROR(__xludf.DUMMYFUNCTION("GOOGLEFINANCE(""IDX:""&amp;A1006,""price"")"),2600.0)</f>
        <v>2600</v>
      </c>
      <c r="D1006" s="16" t="str">
        <f>IFERROR(__xludf.DUMMYFUNCTION("IF(A1006="""","""",
SPARKLINE(
INDEX(
GOOGLEFINANCE(""IDX:""&amp;A1006,""close"",TODAY()-365,TODAY()),
,2
),
{""linewidth"",1}
))
"),"#N/A")</f>
        <v>#N/A</v>
      </c>
      <c r="E1006" s="14" t="s">
        <v>106</v>
      </c>
      <c r="F1006" s="25">
        <v>46356.0</v>
      </c>
      <c r="G1006" s="24">
        <f t="shared" si="7"/>
        <v>17</v>
      </c>
      <c r="H1006" s="19">
        <f>VLOOKUP(A1006,Metrik!$C$2:$Y$959,8,0)</f>
        <v>6.2</v>
      </c>
      <c r="I1006" s="20">
        <f>VLOOKUP(A1006,Metrik!$C$2:$Y$959,9,0)</f>
        <v>0.34</v>
      </c>
      <c r="J1006" s="20">
        <f>VLOOKUP(A1006,Metrik!$C$2:$Y$959,10,0)</f>
        <v>5.5</v>
      </c>
      <c r="K1006" s="20">
        <f>VLOOKUP(A1006,Metrik!$C$2:$Y$959,11,0)</f>
        <v>2.2</v>
      </c>
      <c r="L1006" s="20">
        <f>VLOOKUP(A1006,Metrik!$C$2:$Y$959,12,0)</f>
        <v>1.5</v>
      </c>
      <c r="M1006" s="20">
        <f>VLOOKUP(A1006,Metrik!$C$2:$Y$959,19,0)</f>
        <v>54.4</v>
      </c>
      <c r="N1006" s="21"/>
      <c r="O1006" s="21"/>
      <c r="P1006" s="21"/>
      <c r="Q1006" s="21"/>
      <c r="R1006" s="21"/>
      <c r="S1006" s="21"/>
      <c r="T1006" s="21"/>
      <c r="U1006" s="22">
        <f>IFERROR(__xludf.DUMMYFUNCTION("IFERROR(GOOGLEFINANCE(A1006,""closeyest""),"""")"),2620.0)</f>
        <v>2620</v>
      </c>
      <c r="V1006" s="23">
        <f>IFERROR(__xludf.DUMMYFUNCTION("IFERROR(GOOGLEFINANCE(A1006,""changepct""),"""")"),-0.76)</f>
        <v>-0.76</v>
      </c>
      <c r="W1006" s="22">
        <f>IFERROR(__xludf.DUMMYFUNCTION("IFERROR(GOOGLEFINANCE(A1006,""priceopen""),"""")"),2630.0)</f>
        <v>2630</v>
      </c>
      <c r="X1006" s="22">
        <f>IFERROR(__xludf.DUMMYFUNCTION("IFERROR(GOOGLEFINANCE(A1006,""high""),"""")"),2650.0)</f>
        <v>2650</v>
      </c>
      <c r="Y1006" s="22">
        <f>IFERROR(__xludf.DUMMYFUNCTION("IFERROR(GOOGLEFINANCE(A1006,""low""),"""")"),2600.0)</f>
        <v>2600</v>
      </c>
      <c r="Z1006" s="22">
        <f>IFERROR(__xludf.DUMMYFUNCTION("IFERROR(GOOGLEFINANCE(A1006,""volume""),"""")"),9670400.0)</f>
        <v>9670400</v>
      </c>
      <c r="AA1006" s="24" t="str">
        <f>VLOOKUP(A1006,Metrik!$C$2:$Y$959,5,0)</f>
        <v>Transport Infrastructure Operator</v>
      </c>
      <c r="AB1006" s="24" t="str">
        <f>VLOOKUP(A1006,Metrik!$C$2:$Y$959,3,0)</f>
        <v>Infrastructures</v>
      </c>
    </row>
    <row r="1007">
      <c r="A1007" s="14" t="s">
        <v>528</v>
      </c>
      <c r="B1007" s="14" t="str">
        <f t="array" ref="B1007">VLOOKUP(A1007,{Metrik!$C$2:$C$998,Metrik!$B$2:$B$998},2,0)</f>
        <v>Jasa Marga (Persero) Tbk.</v>
      </c>
      <c r="C1007" s="15">
        <f>IFERROR(__xludf.DUMMYFUNCTION("GOOGLEFINANCE(""IDX:""&amp;A1007,""price"")"),2600.0)</f>
        <v>2600</v>
      </c>
      <c r="D1007" s="16" t="str">
        <f>IFERROR(__xludf.DUMMYFUNCTION("IF(A1007="""","""",
SPARKLINE(
INDEX(
GOOGLEFINANCE(""IDX:""&amp;A1007,""close"",TODAY()-365,TODAY()),
,2
),
{""linewidth"",1}
))
"),"#N/A")</f>
        <v>#N/A</v>
      </c>
      <c r="E1007" s="14" t="s">
        <v>42</v>
      </c>
      <c r="F1007" s="25">
        <v>46356.0</v>
      </c>
      <c r="G1007" s="24">
        <f t="shared" si="7"/>
        <v>17</v>
      </c>
      <c r="H1007" s="19">
        <f>VLOOKUP(A1007,Metrik!$C$2:$Y$959,8,0)</f>
        <v>6.2</v>
      </c>
      <c r="I1007" s="20">
        <f>VLOOKUP(A1007,Metrik!$C$2:$Y$959,9,0)</f>
        <v>0.34</v>
      </c>
      <c r="J1007" s="20">
        <f>VLOOKUP(A1007,Metrik!$C$2:$Y$959,10,0)</f>
        <v>5.5</v>
      </c>
      <c r="K1007" s="20">
        <f>VLOOKUP(A1007,Metrik!$C$2:$Y$959,11,0)</f>
        <v>2.2</v>
      </c>
      <c r="L1007" s="20">
        <f>VLOOKUP(A1007,Metrik!$C$2:$Y$959,12,0)</f>
        <v>1.5</v>
      </c>
      <c r="M1007" s="20">
        <f>VLOOKUP(A1007,Metrik!$C$2:$Y$959,19,0)</f>
        <v>54.4</v>
      </c>
      <c r="N1007" s="21"/>
      <c r="O1007" s="21"/>
      <c r="P1007" s="21"/>
      <c r="Q1007" s="21"/>
      <c r="R1007" s="21"/>
      <c r="S1007" s="21"/>
      <c r="T1007" s="21"/>
      <c r="U1007" s="22">
        <f>IFERROR(__xludf.DUMMYFUNCTION("IFERROR(GOOGLEFINANCE(A1007,""closeyest""),"""")"),2620.0)</f>
        <v>2620</v>
      </c>
      <c r="V1007" s="23">
        <f>IFERROR(__xludf.DUMMYFUNCTION("IFERROR(GOOGLEFINANCE(A1007,""changepct""),"""")"),-0.76)</f>
        <v>-0.76</v>
      </c>
      <c r="W1007" s="22">
        <f>IFERROR(__xludf.DUMMYFUNCTION("IFERROR(GOOGLEFINANCE(A1007,""priceopen""),"""")"),2630.0)</f>
        <v>2630</v>
      </c>
      <c r="X1007" s="22">
        <f>IFERROR(__xludf.DUMMYFUNCTION("IFERROR(GOOGLEFINANCE(A1007,""high""),"""")"),2650.0)</f>
        <v>2650</v>
      </c>
      <c r="Y1007" s="22">
        <f>IFERROR(__xludf.DUMMYFUNCTION("IFERROR(GOOGLEFINANCE(A1007,""low""),"""")"),2600.0)</f>
        <v>2600</v>
      </c>
      <c r="Z1007" s="22">
        <f>IFERROR(__xludf.DUMMYFUNCTION("IFERROR(GOOGLEFINANCE(A1007,""volume""),"""")"),9670400.0)</f>
        <v>9670400</v>
      </c>
      <c r="AA1007" s="24" t="str">
        <f>VLOOKUP(A1007,Metrik!$C$2:$Y$959,5,0)</f>
        <v>Transport Infrastructure Operator</v>
      </c>
      <c r="AB1007" s="24" t="str">
        <f>VLOOKUP(A1007,Metrik!$C$2:$Y$959,3,0)</f>
        <v>Infrastructures</v>
      </c>
    </row>
    <row r="1008">
      <c r="A1008" s="14" t="s">
        <v>528</v>
      </c>
      <c r="B1008" s="14" t="str">
        <f t="array" ref="B1008">VLOOKUP(A1008,{Metrik!$C$2:$C$998,Metrik!$B$2:$B$998},2,0)</f>
        <v>Jasa Marga (Persero) Tbk.</v>
      </c>
      <c r="C1008" s="15">
        <f>IFERROR(__xludf.DUMMYFUNCTION("GOOGLEFINANCE(""IDX:""&amp;A1008,""price"")"),2600.0)</f>
        <v>2600</v>
      </c>
      <c r="D1008" s="16" t="str">
        <f>IFERROR(__xludf.DUMMYFUNCTION("IF(A1008="""","""",
SPARKLINE(
INDEX(
GOOGLEFINANCE(""IDX:""&amp;A1008,""close"",TODAY()-365,TODAY()),
,2
),
{""linewidth"",1}
))
"),"#N/A")</f>
        <v>#N/A</v>
      </c>
      <c r="E1008" s="14" t="s">
        <v>55</v>
      </c>
      <c r="F1008" s="25">
        <v>46356.0</v>
      </c>
      <c r="G1008" s="24">
        <f t="shared" si="7"/>
        <v>17</v>
      </c>
      <c r="H1008" s="19">
        <f>VLOOKUP(A1008,Metrik!$C$2:$Y$959,8,0)</f>
        <v>6.2</v>
      </c>
      <c r="I1008" s="20">
        <f>VLOOKUP(A1008,Metrik!$C$2:$Y$959,9,0)</f>
        <v>0.34</v>
      </c>
      <c r="J1008" s="20">
        <f>VLOOKUP(A1008,Metrik!$C$2:$Y$959,10,0)</f>
        <v>5.5</v>
      </c>
      <c r="K1008" s="20">
        <f>VLOOKUP(A1008,Metrik!$C$2:$Y$959,11,0)</f>
        <v>2.2</v>
      </c>
      <c r="L1008" s="20">
        <f>VLOOKUP(A1008,Metrik!$C$2:$Y$959,12,0)</f>
        <v>1.5</v>
      </c>
      <c r="M1008" s="20">
        <f>VLOOKUP(A1008,Metrik!$C$2:$Y$959,19,0)</f>
        <v>54.4</v>
      </c>
      <c r="N1008" s="21"/>
      <c r="O1008" s="21"/>
      <c r="P1008" s="21"/>
      <c r="Q1008" s="21"/>
      <c r="R1008" s="21"/>
      <c r="S1008" s="21"/>
      <c r="T1008" s="21"/>
      <c r="U1008" s="22">
        <f>IFERROR(__xludf.DUMMYFUNCTION("IFERROR(GOOGLEFINANCE(A1008,""closeyest""),"""")"),2620.0)</f>
        <v>2620</v>
      </c>
      <c r="V1008" s="23">
        <f>IFERROR(__xludf.DUMMYFUNCTION("IFERROR(GOOGLEFINANCE(A1008,""changepct""),"""")"),-0.76)</f>
        <v>-0.76</v>
      </c>
      <c r="W1008" s="22">
        <f>IFERROR(__xludf.DUMMYFUNCTION("IFERROR(GOOGLEFINANCE(A1008,""priceopen""),"""")"),2630.0)</f>
        <v>2630</v>
      </c>
      <c r="X1008" s="22">
        <f>IFERROR(__xludf.DUMMYFUNCTION("IFERROR(GOOGLEFINANCE(A1008,""high""),"""")"),2650.0)</f>
        <v>2650</v>
      </c>
      <c r="Y1008" s="22">
        <f>IFERROR(__xludf.DUMMYFUNCTION("IFERROR(GOOGLEFINANCE(A1008,""low""),"""")"),2600.0)</f>
        <v>2600</v>
      </c>
      <c r="Z1008" s="22">
        <f>IFERROR(__xludf.DUMMYFUNCTION("IFERROR(GOOGLEFINANCE(A1008,""volume""),"""")"),9670400.0)</f>
        <v>9670400</v>
      </c>
      <c r="AA1008" s="24" t="str">
        <f>VLOOKUP(A1008,Metrik!$C$2:$Y$959,5,0)</f>
        <v>Transport Infrastructure Operator</v>
      </c>
      <c r="AB1008" s="24" t="str">
        <f>VLOOKUP(A1008,Metrik!$C$2:$Y$959,3,0)</f>
        <v>Infrastructures</v>
      </c>
    </row>
    <row r="1009">
      <c r="A1009" s="14" t="s">
        <v>528</v>
      </c>
      <c r="B1009" s="14" t="str">
        <f t="array" ref="B1009">VLOOKUP(A1009,{Metrik!$C$2:$C$998,Metrik!$B$2:$B$998},2,0)</f>
        <v>Jasa Marga (Persero) Tbk.</v>
      </c>
      <c r="C1009" s="15">
        <f>IFERROR(__xludf.DUMMYFUNCTION("GOOGLEFINANCE(""IDX:""&amp;A1009,""price"")"),2600.0)</f>
        <v>2600</v>
      </c>
      <c r="D1009" s="16" t="str">
        <f>IFERROR(__xludf.DUMMYFUNCTION("IF(A1009="""","""",
SPARKLINE(
INDEX(
GOOGLEFINANCE(""IDX:""&amp;A1009,""close"",TODAY()-365,TODAY()),
,2
),
{""linewidth"",1}
))
"),"#N/A")</f>
        <v>#N/A</v>
      </c>
      <c r="E1009" s="14" t="s">
        <v>161</v>
      </c>
      <c r="F1009" s="14" t="s">
        <v>76</v>
      </c>
      <c r="G1009" s="24">
        <f t="shared" si="7"/>
        <v>17</v>
      </c>
      <c r="H1009" s="19">
        <f>VLOOKUP(A1009,Metrik!$C$2:$Y$959,8,0)</f>
        <v>6.2</v>
      </c>
      <c r="I1009" s="20">
        <f>VLOOKUP(A1009,Metrik!$C$2:$Y$959,9,0)</f>
        <v>0.34</v>
      </c>
      <c r="J1009" s="20">
        <f>VLOOKUP(A1009,Metrik!$C$2:$Y$959,10,0)</f>
        <v>5.5</v>
      </c>
      <c r="K1009" s="20">
        <f>VLOOKUP(A1009,Metrik!$C$2:$Y$959,11,0)</f>
        <v>2.2</v>
      </c>
      <c r="L1009" s="20">
        <f>VLOOKUP(A1009,Metrik!$C$2:$Y$959,12,0)</f>
        <v>1.5</v>
      </c>
      <c r="M1009" s="20">
        <f>VLOOKUP(A1009,Metrik!$C$2:$Y$959,19,0)</f>
        <v>54.4</v>
      </c>
      <c r="N1009" s="21"/>
      <c r="O1009" s="21"/>
      <c r="P1009" s="21"/>
      <c r="Q1009" s="21"/>
      <c r="R1009" s="21"/>
      <c r="S1009" s="21"/>
      <c r="T1009" s="21"/>
      <c r="U1009" s="22">
        <f>IFERROR(__xludf.DUMMYFUNCTION("IFERROR(GOOGLEFINANCE(A1009,""closeyest""),"""")"),2620.0)</f>
        <v>2620</v>
      </c>
      <c r="V1009" s="23">
        <f>IFERROR(__xludf.DUMMYFUNCTION("IFERROR(GOOGLEFINANCE(A1009,""changepct""),"""")"),-0.76)</f>
        <v>-0.76</v>
      </c>
      <c r="W1009" s="22">
        <f>IFERROR(__xludf.DUMMYFUNCTION("IFERROR(GOOGLEFINANCE(A1009,""priceopen""),"""")"),2630.0)</f>
        <v>2630</v>
      </c>
      <c r="X1009" s="22">
        <f>IFERROR(__xludf.DUMMYFUNCTION("IFERROR(GOOGLEFINANCE(A1009,""high""),"""")"),2650.0)</f>
        <v>2650</v>
      </c>
      <c r="Y1009" s="22">
        <f>IFERROR(__xludf.DUMMYFUNCTION("IFERROR(GOOGLEFINANCE(A1009,""low""),"""")"),2600.0)</f>
        <v>2600</v>
      </c>
      <c r="Z1009" s="22">
        <f>IFERROR(__xludf.DUMMYFUNCTION("IFERROR(GOOGLEFINANCE(A1009,""volume""),"""")"),9670400.0)</f>
        <v>9670400</v>
      </c>
      <c r="AA1009" s="24" t="str">
        <f>VLOOKUP(A1009,Metrik!$C$2:$Y$959,5,0)</f>
        <v>Transport Infrastructure Operator</v>
      </c>
      <c r="AB1009" s="24" t="str">
        <f>VLOOKUP(A1009,Metrik!$C$2:$Y$959,3,0)</f>
        <v>Infrastructures</v>
      </c>
    </row>
    <row r="1010">
      <c r="A1010" s="14" t="s">
        <v>528</v>
      </c>
      <c r="B1010" s="14" t="str">
        <f t="array" ref="B1010">VLOOKUP(A1010,{Metrik!$C$2:$C$998,Metrik!$B$2:$B$998},2,0)</f>
        <v>Jasa Marga (Persero) Tbk.</v>
      </c>
      <c r="C1010" s="15">
        <f>IFERROR(__xludf.DUMMYFUNCTION("GOOGLEFINANCE(""IDX:""&amp;A1010,""price"")"),2600.0)</f>
        <v>2600</v>
      </c>
      <c r="D1010" s="16" t="str">
        <f>IFERROR(__xludf.DUMMYFUNCTION("IF(A1010="""","""",
SPARKLINE(
INDEX(
GOOGLEFINANCE(""IDX:""&amp;A1010,""close"",TODAY()-365,TODAY()),
,2
),
{""linewidth"",1}
))
"),"#N/A")</f>
        <v>#N/A</v>
      </c>
      <c r="E1010" s="14" t="s">
        <v>61</v>
      </c>
      <c r="F1010" s="14" t="s">
        <v>34</v>
      </c>
      <c r="G1010" s="24">
        <f t="shared" si="7"/>
        <v>17</v>
      </c>
      <c r="H1010" s="19">
        <f>VLOOKUP(A1010,Metrik!$C$2:$Y$959,8,0)</f>
        <v>6.2</v>
      </c>
      <c r="I1010" s="20">
        <f>VLOOKUP(A1010,Metrik!$C$2:$Y$959,9,0)</f>
        <v>0.34</v>
      </c>
      <c r="J1010" s="20">
        <f>VLOOKUP(A1010,Metrik!$C$2:$Y$959,10,0)</f>
        <v>5.5</v>
      </c>
      <c r="K1010" s="20">
        <f>VLOOKUP(A1010,Metrik!$C$2:$Y$959,11,0)</f>
        <v>2.2</v>
      </c>
      <c r="L1010" s="20">
        <f>VLOOKUP(A1010,Metrik!$C$2:$Y$959,12,0)</f>
        <v>1.5</v>
      </c>
      <c r="M1010" s="20">
        <f>VLOOKUP(A1010,Metrik!$C$2:$Y$959,19,0)</f>
        <v>54.4</v>
      </c>
      <c r="N1010" s="21"/>
      <c r="O1010" s="21"/>
      <c r="P1010" s="21"/>
      <c r="Q1010" s="21"/>
      <c r="R1010" s="21"/>
      <c r="S1010" s="21"/>
      <c r="T1010" s="21"/>
      <c r="U1010" s="22">
        <f>IFERROR(__xludf.DUMMYFUNCTION("IFERROR(GOOGLEFINANCE(A1010,""closeyest""),"""")"),2620.0)</f>
        <v>2620</v>
      </c>
      <c r="V1010" s="23">
        <f>IFERROR(__xludf.DUMMYFUNCTION("IFERROR(GOOGLEFINANCE(A1010,""changepct""),"""")"),-0.76)</f>
        <v>-0.76</v>
      </c>
      <c r="W1010" s="22">
        <f>IFERROR(__xludf.DUMMYFUNCTION("IFERROR(GOOGLEFINANCE(A1010,""priceopen""),"""")"),2630.0)</f>
        <v>2630</v>
      </c>
      <c r="X1010" s="22">
        <f>IFERROR(__xludf.DUMMYFUNCTION("IFERROR(GOOGLEFINANCE(A1010,""high""),"""")"),2650.0)</f>
        <v>2650</v>
      </c>
      <c r="Y1010" s="22">
        <f>IFERROR(__xludf.DUMMYFUNCTION("IFERROR(GOOGLEFINANCE(A1010,""low""),"""")"),2600.0)</f>
        <v>2600</v>
      </c>
      <c r="Z1010" s="22">
        <f>IFERROR(__xludf.DUMMYFUNCTION("IFERROR(GOOGLEFINANCE(A1010,""volume""),"""")"),9670400.0)</f>
        <v>9670400</v>
      </c>
      <c r="AA1010" s="24" t="str">
        <f>VLOOKUP(A1010,Metrik!$C$2:$Y$959,5,0)</f>
        <v>Transport Infrastructure Operator</v>
      </c>
      <c r="AB1010" s="24" t="str">
        <f>VLOOKUP(A1010,Metrik!$C$2:$Y$959,3,0)</f>
        <v>Infrastructures</v>
      </c>
    </row>
    <row r="1011">
      <c r="A1011" s="14" t="s">
        <v>528</v>
      </c>
      <c r="B1011" s="14" t="str">
        <f t="array" ref="B1011">VLOOKUP(A1011,{Metrik!$C$2:$C$998,Metrik!$B$2:$B$998},2,0)</f>
        <v>Jasa Marga (Persero) Tbk.</v>
      </c>
      <c r="C1011" s="15">
        <f>IFERROR(__xludf.DUMMYFUNCTION("GOOGLEFINANCE(""IDX:""&amp;A1011,""price"")"),2600.0)</f>
        <v>2600</v>
      </c>
      <c r="D1011" s="16" t="str">
        <f>IFERROR(__xludf.DUMMYFUNCTION("IF(A1011="""","""",
SPARKLINE(
INDEX(
GOOGLEFINANCE(""IDX:""&amp;A1011,""close"",TODAY()-365,TODAY()),
,2
),
{""linewidth"",1}
))
"),"#N/A")</f>
        <v>#N/A</v>
      </c>
      <c r="E1011" s="14" t="s">
        <v>32</v>
      </c>
      <c r="F1011" s="14" t="s">
        <v>29</v>
      </c>
      <c r="G1011" s="24">
        <f t="shared" si="7"/>
        <v>17</v>
      </c>
      <c r="H1011" s="19">
        <f>VLOOKUP(A1011,Metrik!$C$2:$Y$959,8,0)</f>
        <v>6.2</v>
      </c>
      <c r="I1011" s="20">
        <f>VLOOKUP(A1011,Metrik!$C$2:$Y$959,9,0)</f>
        <v>0.34</v>
      </c>
      <c r="J1011" s="20">
        <f>VLOOKUP(A1011,Metrik!$C$2:$Y$959,10,0)</f>
        <v>5.5</v>
      </c>
      <c r="K1011" s="20">
        <f>VLOOKUP(A1011,Metrik!$C$2:$Y$959,11,0)</f>
        <v>2.2</v>
      </c>
      <c r="L1011" s="20">
        <f>VLOOKUP(A1011,Metrik!$C$2:$Y$959,12,0)</f>
        <v>1.5</v>
      </c>
      <c r="M1011" s="20">
        <f>VLOOKUP(A1011,Metrik!$C$2:$Y$959,19,0)</f>
        <v>54.4</v>
      </c>
      <c r="N1011" s="21"/>
      <c r="O1011" s="21"/>
      <c r="P1011" s="21"/>
      <c r="Q1011" s="21"/>
      <c r="R1011" s="21"/>
      <c r="S1011" s="21"/>
      <c r="T1011" s="21"/>
      <c r="U1011" s="22">
        <f>IFERROR(__xludf.DUMMYFUNCTION("IFERROR(GOOGLEFINANCE(A1011,""closeyest""),"""")"),2620.0)</f>
        <v>2620</v>
      </c>
      <c r="V1011" s="23">
        <f>IFERROR(__xludf.DUMMYFUNCTION("IFERROR(GOOGLEFINANCE(A1011,""changepct""),"""")"),-0.76)</f>
        <v>-0.76</v>
      </c>
      <c r="W1011" s="22">
        <f>IFERROR(__xludf.DUMMYFUNCTION("IFERROR(GOOGLEFINANCE(A1011,""priceopen""),"""")"),2630.0)</f>
        <v>2630</v>
      </c>
      <c r="X1011" s="22">
        <f>IFERROR(__xludf.DUMMYFUNCTION("IFERROR(GOOGLEFINANCE(A1011,""high""),"""")"),2650.0)</f>
        <v>2650</v>
      </c>
      <c r="Y1011" s="22">
        <f>IFERROR(__xludf.DUMMYFUNCTION("IFERROR(GOOGLEFINANCE(A1011,""low""),"""")"),2600.0)</f>
        <v>2600</v>
      </c>
      <c r="Z1011" s="22">
        <f>IFERROR(__xludf.DUMMYFUNCTION("IFERROR(GOOGLEFINANCE(A1011,""volume""),"""")"),9670400.0)</f>
        <v>9670400</v>
      </c>
      <c r="AA1011" s="24" t="str">
        <f>VLOOKUP(A1011,Metrik!$C$2:$Y$959,5,0)</f>
        <v>Transport Infrastructure Operator</v>
      </c>
      <c r="AB1011" s="24" t="str">
        <f>VLOOKUP(A1011,Metrik!$C$2:$Y$959,3,0)</f>
        <v>Infrastructures</v>
      </c>
    </row>
    <row r="1012">
      <c r="A1012" s="14" t="s">
        <v>528</v>
      </c>
      <c r="B1012" s="14" t="str">
        <f t="array" ref="B1012">VLOOKUP(A1012,{Metrik!$C$2:$C$998,Metrik!$B$2:$B$998},2,0)</f>
        <v>Jasa Marga (Persero) Tbk.</v>
      </c>
      <c r="C1012" s="15">
        <f>IFERROR(__xludf.DUMMYFUNCTION("GOOGLEFINANCE(""IDX:""&amp;A1012,""price"")"),2600.0)</f>
        <v>2600</v>
      </c>
      <c r="D1012" s="16" t="str">
        <f>IFERROR(__xludf.DUMMYFUNCTION("IF(A1012="""","""",
SPARKLINE(
INDEX(
GOOGLEFINANCE(""IDX:""&amp;A1012,""close"",TODAY()-365,TODAY()),
,2
),
{""linewidth"",1}
))
"),"#N/A")</f>
        <v>#N/A</v>
      </c>
      <c r="E1012" s="14" t="s">
        <v>28</v>
      </c>
      <c r="F1012" s="17" t="s">
        <v>29</v>
      </c>
      <c r="G1012" s="24">
        <f t="shared" si="7"/>
        <v>17</v>
      </c>
      <c r="H1012" s="19">
        <f>VLOOKUP(A1012,Metrik!$C$2:$Y$959,8,0)</f>
        <v>6.2</v>
      </c>
      <c r="I1012" s="20">
        <f>VLOOKUP(A1012,Metrik!$C$2:$Y$959,9,0)</f>
        <v>0.34</v>
      </c>
      <c r="J1012" s="20">
        <f>VLOOKUP(A1012,Metrik!$C$2:$Y$959,10,0)</f>
        <v>5.5</v>
      </c>
      <c r="K1012" s="20">
        <f>VLOOKUP(A1012,Metrik!$C$2:$Y$959,11,0)</f>
        <v>2.2</v>
      </c>
      <c r="L1012" s="20">
        <f>VLOOKUP(A1012,Metrik!$C$2:$Y$959,12,0)</f>
        <v>1.5</v>
      </c>
      <c r="M1012" s="20">
        <f>VLOOKUP(A1012,Metrik!$C$2:$Y$959,19,0)</f>
        <v>54.4</v>
      </c>
      <c r="N1012" s="21"/>
      <c r="O1012" s="21"/>
      <c r="P1012" s="21"/>
      <c r="Q1012" s="21"/>
      <c r="R1012" s="21"/>
      <c r="S1012" s="21"/>
      <c r="T1012" s="21"/>
      <c r="U1012" s="22">
        <f>IFERROR(__xludf.DUMMYFUNCTION("IFERROR(GOOGLEFINANCE(A1012,""closeyest""),"""")"),2620.0)</f>
        <v>2620</v>
      </c>
      <c r="V1012" s="23">
        <f>IFERROR(__xludf.DUMMYFUNCTION("IFERROR(GOOGLEFINANCE(A1012,""changepct""),"""")"),-0.76)</f>
        <v>-0.76</v>
      </c>
      <c r="W1012" s="22">
        <f>IFERROR(__xludf.DUMMYFUNCTION("IFERROR(GOOGLEFINANCE(A1012,""priceopen""),"""")"),2630.0)</f>
        <v>2630</v>
      </c>
      <c r="X1012" s="22">
        <f>IFERROR(__xludf.DUMMYFUNCTION("IFERROR(GOOGLEFINANCE(A1012,""high""),"""")"),2650.0)</f>
        <v>2650</v>
      </c>
      <c r="Y1012" s="22">
        <f>IFERROR(__xludf.DUMMYFUNCTION("IFERROR(GOOGLEFINANCE(A1012,""low""),"""")"),2600.0)</f>
        <v>2600</v>
      </c>
      <c r="Z1012" s="22">
        <f>IFERROR(__xludf.DUMMYFUNCTION("IFERROR(GOOGLEFINANCE(A1012,""volume""),"""")"),9670400.0)</f>
        <v>9670400</v>
      </c>
      <c r="AA1012" s="24" t="str">
        <f>VLOOKUP(A1012,Metrik!$C$2:$Y$959,5,0)</f>
        <v>Transport Infrastructure Operator</v>
      </c>
      <c r="AB1012" s="24" t="str">
        <f>VLOOKUP(A1012,Metrik!$C$2:$Y$959,3,0)</f>
        <v>Infrastructures</v>
      </c>
    </row>
    <row r="1013">
      <c r="A1013" s="14" t="s">
        <v>528</v>
      </c>
      <c r="B1013" s="14" t="str">
        <f t="array" ref="B1013">VLOOKUP(A1013,{Metrik!$C$2:$C$998,Metrik!$B$2:$B$998},2,0)</f>
        <v>Jasa Marga (Persero) Tbk.</v>
      </c>
      <c r="C1013" s="15">
        <f>IFERROR(__xludf.DUMMYFUNCTION("GOOGLEFINANCE(""IDX:""&amp;A1013,""price"")"),2600.0)</f>
        <v>2600</v>
      </c>
      <c r="D1013" s="16" t="str">
        <f>IFERROR(__xludf.DUMMYFUNCTION("IF(A1013="""","""",
SPARKLINE(
INDEX(
GOOGLEFINANCE(""IDX:""&amp;A1013,""close"",TODAY()-365,TODAY()),
,2
),
{""linewidth"",1}
))
"),"#N/A")</f>
        <v>#N/A</v>
      </c>
      <c r="E1013" s="14" t="s">
        <v>85</v>
      </c>
      <c r="F1013" s="17" t="s">
        <v>51</v>
      </c>
      <c r="G1013" s="24">
        <f t="shared" si="7"/>
        <v>17</v>
      </c>
      <c r="H1013" s="19">
        <f>VLOOKUP(A1013,Metrik!$C$2:$Y$959,8,0)</f>
        <v>6.2</v>
      </c>
      <c r="I1013" s="20">
        <f>VLOOKUP(A1013,Metrik!$C$2:$Y$959,9,0)</f>
        <v>0.34</v>
      </c>
      <c r="J1013" s="20">
        <f>VLOOKUP(A1013,Metrik!$C$2:$Y$959,10,0)</f>
        <v>5.5</v>
      </c>
      <c r="K1013" s="20">
        <f>VLOOKUP(A1013,Metrik!$C$2:$Y$959,11,0)</f>
        <v>2.2</v>
      </c>
      <c r="L1013" s="20">
        <f>VLOOKUP(A1013,Metrik!$C$2:$Y$959,12,0)</f>
        <v>1.5</v>
      </c>
      <c r="M1013" s="20">
        <f>VLOOKUP(A1013,Metrik!$C$2:$Y$959,19,0)</f>
        <v>54.4</v>
      </c>
      <c r="N1013" s="21"/>
      <c r="O1013" s="21"/>
      <c r="P1013" s="21"/>
      <c r="Q1013" s="21"/>
      <c r="R1013" s="21"/>
      <c r="S1013" s="21"/>
      <c r="T1013" s="21"/>
      <c r="U1013" s="22">
        <f>IFERROR(__xludf.DUMMYFUNCTION("IFERROR(GOOGLEFINANCE(A1013,""closeyest""),"""")"),2620.0)</f>
        <v>2620</v>
      </c>
      <c r="V1013" s="23">
        <f>IFERROR(__xludf.DUMMYFUNCTION("IFERROR(GOOGLEFINANCE(A1013,""changepct""),"""")"),-0.76)</f>
        <v>-0.76</v>
      </c>
      <c r="W1013" s="22">
        <f>IFERROR(__xludf.DUMMYFUNCTION("IFERROR(GOOGLEFINANCE(A1013,""priceopen""),"""")"),2630.0)</f>
        <v>2630</v>
      </c>
      <c r="X1013" s="22">
        <f>IFERROR(__xludf.DUMMYFUNCTION("IFERROR(GOOGLEFINANCE(A1013,""high""),"""")"),2650.0)</f>
        <v>2650</v>
      </c>
      <c r="Y1013" s="22">
        <f>IFERROR(__xludf.DUMMYFUNCTION("IFERROR(GOOGLEFINANCE(A1013,""low""),"""")"),2600.0)</f>
        <v>2600</v>
      </c>
      <c r="Z1013" s="22">
        <f>IFERROR(__xludf.DUMMYFUNCTION("IFERROR(GOOGLEFINANCE(A1013,""volume""),"""")"),9670400.0)</f>
        <v>9670400</v>
      </c>
      <c r="AA1013" s="24" t="str">
        <f>VLOOKUP(A1013,Metrik!$C$2:$Y$959,5,0)</f>
        <v>Transport Infrastructure Operator</v>
      </c>
      <c r="AB1013" s="24" t="str">
        <f>VLOOKUP(A1013,Metrik!$C$2:$Y$959,3,0)</f>
        <v>Infrastructures</v>
      </c>
    </row>
    <row r="1014">
      <c r="A1014" s="14" t="s">
        <v>528</v>
      </c>
      <c r="B1014" s="14" t="str">
        <f t="array" ref="B1014">VLOOKUP(A1014,{Metrik!$C$2:$C$998,Metrik!$B$2:$B$998},2,0)</f>
        <v>Jasa Marga (Persero) Tbk.</v>
      </c>
      <c r="C1014" s="15">
        <f>IFERROR(__xludf.DUMMYFUNCTION("GOOGLEFINANCE(""IDX:""&amp;A1014,""price"")"),2600.0)</f>
        <v>2600</v>
      </c>
      <c r="D1014" s="16" t="str">
        <f>IFERROR(__xludf.DUMMYFUNCTION("IF(A1014="""","""",
SPARKLINE(
INDEX(
GOOGLEFINANCE(""IDX:""&amp;A1014,""close"",TODAY()-365,TODAY()),
,2
),
{""linewidth"",1}
))
"),"#N/A")</f>
        <v>#N/A</v>
      </c>
      <c r="E1014" s="14" t="s">
        <v>50</v>
      </c>
      <c r="F1014" s="17" t="s">
        <v>51</v>
      </c>
      <c r="G1014" s="24">
        <f t="shared" si="7"/>
        <v>17</v>
      </c>
      <c r="H1014" s="19">
        <f>VLOOKUP(A1014,Metrik!$C$2:$Y$959,8,0)</f>
        <v>6.2</v>
      </c>
      <c r="I1014" s="20">
        <f>VLOOKUP(A1014,Metrik!$C$2:$Y$959,9,0)</f>
        <v>0.34</v>
      </c>
      <c r="J1014" s="20">
        <f>VLOOKUP(A1014,Metrik!$C$2:$Y$959,10,0)</f>
        <v>5.5</v>
      </c>
      <c r="K1014" s="20">
        <f>VLOOKUP(A1014,Metrik!$C$2:$Y$959,11,0)</f>
        <v>2.2</v>
      </c>
      <c r="L1014" s="20">
        <f>VLOOKUP(A1014,Metrik!$C$2:$Y$959,12,0)</f>
        <v>1.5</v>
      </c>
      <c r="M1014" s="20">
        <f>VLOOKUP(A1014,Metrik!$C$2:$Y$959,19,0)</f>
        <v>54.4</v>
      </c>
      <c r="N1014" s="21"/>
      <c r="O1014" s="21"/>
      <c r="P1014" s="21"/>
      <c r="Q1014" s="21"/>
      <c r="R1014" s="21"/>
      <c r="S1014" s="21"/>
      <c r="T1014" s="21"/>
      <c r="U1014" s="22">
        <f>IFERROR(__xludf.DUMMYFUNCTION("IFERROR(GOOGLEFINANCE(A1014,""closeyest""),"""")"),2620.0)</f>
        <v>2620</v>
      </c>
      <c r="V1014" s="23">
        <f>IFERROR(__xludf.DUMMYFUNCTION("IFERROR(GOOGLEFINANCE(A1014,""changepct""),"""")"),-0.76)</f>
        <v>-0.76</v>
      </c>
      <c r="W1014" s="22">
        <f>IFERROR(__xludf.DUMMYFUNCTION("IFERROR(GOOGLEFINANCE(A1014,""priceopen""),"""")"),2630.0)</f>
        <v>2630</v>
      </c>
      <c r="X1014" s="22">
        <f>IFERROR(__xludf.DUMMYFUNCTION("IFERROR(GOOGLEFINANCE(A1014,""high""),"""")"),2650.0)</f>
        <v>2650</v>
      </c>
      <c r="Y1014" s="22">
        <f>IFERROR(__xludf.DUMMYFUNCTION("IFERROR(GOOGLEFINANCE(A1014,""low""),"""")"),2600.0)</f>
        <v>2600</v>
      </c>
      <c r="Z1014" s="22">
        <f>IFERROR(__xludf.DUMMYFUNCTION("IFERROR(GOOGLEFINANCE(A1014,""volume""),"""")"),9670400.0)</f>
        <v>9670400</v>
      </c>
      <c r="AA1014" s="24" t="str">
        <f>VLOOKUP(A1014,Metrik!$C$2:$Y$959,5,0)</f>
        <v>Transport Infrastructure Operator</v>
      </c>
      <c r="AB1014" s="24" t="str">
        <f>VLOOKUP(A1014,Metrik!$C$2:$Y$959,3,0)</f>
        <v>Infrastructures</v>
      </c>
    </row>
    <row r="1015">
      <c r="A1015" s="14" t="s">
        <v>528</v>
      </c>
      <c r="B1015" s="14" t="str">
        <f t="array" ref="B1015">VLOOKUP(A1015,{Metrik!$C$2:$C$998,Metrik!$B$2:$B$998},2,0)</f>
        <v>Jasa Marga (Persero) Tbk.</v>
      </c>
      <c r="C1015" s="15">
        <f>IFERROR(__xludf.DUMMYFUNCTION("GOOGLEFINANCE(""IDX:""&amp;A1015,""price"")"),2600.0)</f>
        <v>2600</v>
      </c>
      <c r="D1015" s="16" t="str">
        <f>IFERROR(__xludf.DUMMYFUNCTION("IF(A1015="""","""",
SPARKLINE(
INDEX(
GOOGLEFINANCE(""IDX:""&amp;A1015,""close"",TODAY()-365,TODAY()),
,2
),
{""linewidth"",1}
))
"),"#N/A")</f>
        <v>#N/A</v>
      </c>
      <c r="E1015" s="14" t="s">
        <v>33</v>
      </c>
      <c r="F1015" s="14" t="s">
        <v>34</v>
      </c>
      <c r="G1015" s="24">
        <f t="shared" si="7"/>
        <v>17</v>
      </c>
      <c r="H1015" s="19">
        <f>VLOOKUP(A1015,Metrik!$C$2:$Y$959,8,0)</f>
        <v>6.2</v>
      </c>
      <c r="I1015" s="20">
        <f>VLOOKUP(A1015,Metrik!$C$2:$Y$959,9,0)</f>
        <v>0.34</v>
      </c>
      <c r="J1015" s="20">
        <f>VLOOKUP(A1015,Metrik!$C$2:$Y$959,10,0)</f>
        <v>5.5</v>
      </c>
      <c r="K1015" s="20">
        <f>VLOOKUP(A1015,Metrik!$C$2:$Y$959,11,0)</f>
        <v>2.2</v>
      </c>
      <c r="L1015" s="20">
        <f>VLOOKUP(A1015,Metrik!$C$2:$Y$959,12,0)</f>
        <v>1.5</v>
      </c>
      <c r="M1015" s="20">
        <f>VLOOKUP(A1015,Metrik!$C$2:$Y$959,19,0)</f>
        <v>54.4</v>
      </c>
      <c r="N1015" s="21"/>
      <c r="O1015" s="21"/>
      <c r="P1015" s="21"/>
      <c r="Q1015" s="21"/>
      <c r="R1015" s="21"/>
      <c r="S1015" s="21"/>
      <c r="T1015" s="21"/>
      <c r="U1015" s="22">
        <f>IFERROR(__xludf.DUMMYFUNCTION("IFERROR(GOOGLEFINANCE(A1015,""closeyest""),"""")"),2620.0)</f>
        <v>2620</v>
      </c>
      <c r="V1015" s="23">
        <f>IFERROR(__xludf.DUMMYFUNCTION("IFERROR(GOOGLEFINANCE(A1015,""changepct""),"""")"),-0.76)</f>
        <v>-0.76</v>
      </c>
      <c r="W1015" s="22">
        <f>IFERROR(__xludf.DUMMYFUNCTION("IFERROR(GOOGLEFINANCE(A1015,""priceopen""),"""")"),2630.0)</f>
        <v>2630</v>
      </c>
      <c r="X1015" s="22">
        <f>IFERROR(__xludf.DUMMYFUNCTION("IFERROR(GOOGLEFINANCE(A1015,""high""),"""")"),2650.0)</f>
        <v>2650</v>
      </c>
      <c r="Y1015" s="22">
        <f>IFERROR(__xludf.DUMMYFUNCTION("IFERROR(GOOGLEFINANCE(A1015,""low""),"""")"),2600.0)</f>
        <v>2600</v>
      </c>
      <c r="Z1015" s="22">
        <f>IFERROR(__xludf.DUMMYFUNCTION("IFERROR(GOOGLEFINANCE(A1015,""volume""),"""")"),9670400.0)</f>
        <v>9670400</v>
      </c>
      <c r="AA1015" s="24" t="str">
        <f>VLOOKUP(A1015,Metrik!$C$2:$Y$959,5,0)</f>
        <v>Transport Infrastructure Operator</v>
      </c>
      <c r="AB1015" s="24" t="str">
        <f>VLOOKUP(A1015,Metrik!$C$2:$Y$959,3,0)</f>
        <v>Infrastructures</v>
      </c>
    </row>
    <row r="1016">
      <c r="A1016" s="14" t="s">
        <v>528</v>
      </c>
      <c r="B1016" s="14" t="str">
        <f t="array" ref="B1016">VLOOKUP(A1016,{Metrik!$C$2:$C$998,Metrik!$B$2:$B$998},2,0)</f>
        <v>Jasa Marga (Persero) Tbk.</v>
      </c>
      <c r="C1016" s="15">
        <f>IFERROR(__xludf.DUMMYFUNCTION("GOOGLEFINANCE(""IDX:""&amp;A1016,""price"")"),2600.0)</f>
        <v>2600</v>
      </c>
      <c r="D1016" s="16" t="str">
        <f>IFERROR(__xludf.DUMMYFUNCTION("IF(A1016="""","""",
SPARKLINE(
INDEX(
GOOGLEFINANCE(""IDX:""&amp;A1016,""close"",TODAY()-365,TODAY()),
,2
),
{""linewidth"",1}
))
"),"#N/A")</f>
        <v>#N/A</v>
      </c>
      <c r="E1016" s="14" t="s">
        <v>102</v>
      </c>
      <c r="F1016" s="27" t="s">
        <v>53</v>
      </c>
      <c r="G1016" s="24">
        <f t="shared" si="7"/>
        <v>17</v>
      </c>
      <c r="H1016" s="19">
        <f>VLOOKUP(A1016,Metrik!$C$2:$Y$959,8,0)</f>
        <v>6.2</v>
      </c>
      <c r="I1016" s="20">
        <f>VLOOKUP(A1016,Metrik!$C$2:$Y$959,9,0)</f>
        <v>0.34</v>
      </c>
      <c r="J1016" s="20">
        <f>VLOOKUP(A1016,Metrik!$C$2:$Y$959,10,0)</f>
        <v>5.5</v>
      </c>
      <c r="K1016" s="20">
        <f>VLOOKUP(A1016,Metrik!$C$2:$Y$959,11,0)</f>
        <v>2.2</v>
      </c>
      <c r="L1016" s="20">
        <f>VLOOKUP(A1016,Metrik!$C$2:$Y$959,12,0)</f>
        <v>1.5</v>
      </c>
      <c r="M1016" s="20">
        <f>VLOOKUP(A1016,Metrik!$C$2:$Y$959,19,0)</f>
        <v>54.4</v>
      </c>
      <c r="N1016" s="21"/>
      <c r="O1016" s="21"/>
      <c r="P1016" s="21"/>
      <c r="Q1016" s="21"/>
      <c r="R1016" s="21"/>
      <c r="S1016" s="21"/>
      <c r="T1016" s="21"/>
      <c r="U1016" s="22">
        <f>IFERROR(__xludf.DUMMYFUNCTION("IFERROR(GOOGLEFINANCE(A1016,""closeyest""),"""")"),2620.0)</f>
        <v>2620</v>
      </c>
      <c r="V1016" s="23">
        <f>IFERROR(__xludf.DUMMYFUNCTION("IFERROR(GOOGLEFINANCE(A1016,""changepct""),"""")"),-0.76)</f>
        <v>-0.76</v>
      </c>
      <c r="W1016" s="22">
        <f>IFERROR(__xludf.DUMMYFUNCTION("IFERROR(GOOGLEFINANCE(A1016,""priceopen""),"""")"),2630.0)</f>
        <v>2630</v>
      </c>
      <c r="X1016" s="22">
        <f>IFERROR(__xludf.DUMMYFUNCTION("IFERROR(GOOGLEFINANCE(A1016,""high""),"""")"),2650.0)</f>
        <v>2650</v>
      </c>
      <c r="Y1016" s="22">
        <f>IFERROR(__xludf.DUMMYFUNCTION("IFERROR(GOOGLEFINANCE(A1016,""low""),"""")"),2600.0)</f>
        <v>2600</v>
      </c>
      <c r="Z1016" s="22">
        <f>IFERROR(__xludf.DUMMYFUNCTION("IFERROR(GOOGLEFINANCE(A1016,""volume""),"""")"),9670400.0)</f>
        <v>9670400</v>
      </c>
      <c r="AA1016" s="24" t="str">
        <f>VLOOKUP(A1016,Metrik!$C$2:$Y$959,5,0)</f>
        <v>Transport Infrastructure Operator</v>
      </c>
      <c r="AB1016" s="24" t="str">
        <f>VLOOKUP(A1016,Metrik!$C$2:$Y$959,3,0)</f>
        <v>Infrastructures</v>
      </c>
    </row>
    <row r="1017">
      <c r="A1017" s="14" t="s">
        <v>528</v>
      </c>
      <c r="B1017" s="14" t="str">
        <f t="array" ref="B1017">VLOOKUP(A1017,{Metrik!$C$2:$C$998,Metrik!$B$2:$B$998},2,0)</f>
        <v>Jasa Marga (Persero) Tbk.</v>
      </c>
      <c r="C1017" s="15">
        <f>IFERROR(__xludf.DUMMYFUNCTION("GOOGLEFINANCE(""IDX:""&amp;A1017,""price"")"),2600.0)</f>
        <v>2600</v>
      </c>
      <c r="D1017" s="16" t="str">
        <f>IFERROR(__xludf.DUMMYFUNCTION("IF(A1017="""","""",
SPARKLINE(
INDEX(
GOOGLEFINANCE(""IDX:""&amp;A1017,""close"",TODAY()-365,TODAY()),
,2
),
{""linewidth"",1}
))
"),"#N/A")</f>
        <v>#N/A</v>
      </c>
      <c r="E1017" s="14" t="s">
        <v>41</v>
      </c>
      <c r="F1017" s="14" t="s">
        <v>34</v>
      </c>
      <c r="G1017" s="24">
        <f t="shared" si="7"/>
        <v>17</v>
      </c>
      <c r="H1017" s="19">
        <f>VLOOKUP(A1017,Metrik!$C$2:$Y$959,8,0)</f>
        <v>6.2</v>
      </c>
      <c r="I1017" s="20">
        <f>VLOOKUP(A1017,Metrik!$C$2:$Y$959,9,0)</f>
        <v>0.34</v>
      </c>
      <c r="J1017" s="20">
        <f>VLOOKUP(A1017,Metrik!$C$2:$Y$959,10,0)</f>
        <v>5.5</v>
      </c>
      <c r="K1017" s="20">
        <f>VLOOKUP(A1017,Metrik!$C$2:$Y$959,11,0)</f>
        <v>2.2</v>
      </c>
      <c r="L1017" s="20">
        <f>VLOOKUP(A1017,Metrik!$C$2:$Y$959,12,0)</f>
        <v>1.5</v>
      </c>
      <c r="M1017" s="20">
        <f>VLOOKUP(A1017,Metrik!$C$2:$Y$959,19,0)</f>
        <v>54.4</v>
      </c>
      <c r="N1017" s="21"/>
      <c r="O1017" s="21"/>
      <c r="P1017" s="21"/>
      <c r="Q1017" s="21"/>
      <c r="R1017" s="21"/>
      <c r="S1017" s="21"/>
      <c r="T1017" s="21"/>
      <c r="U1017" s="22">
        <f>IFERROR(__xludf.DUMMYFUNCTION("IFERROR(GOOGLEFINANCE(A1017,""closeyest""),"""")"),2620.0)</f>
        <v>2620</v>
      </c>
      <c r="V1017" s="23">
        <f>IFERROR(__xludf.DUMMYFUNCTION("IFERROR(GOOGLEFINANCE(A1017,""changepct""),"""")"),-0.76)</f>
        <v>-0.76</v>
      </c>
      <c r="W1017" s="22">
        <f>IFERROR(__xludf.DUMMYFUNCTION("IFERROR(GOOGLEFINANCE(A1017,""priceopen""),"""")"),2630.0)</f>
        <v>2630</v>
      </c>
      <c r="X1017" s="22">
        <f>IFERROR(__xludf.DUMMYFUNCTION("IFERROR(GOOGLEFINANCE(A1017,""high""),"""")"),2650.0)</f>
        <v>2650</v>
      </c>
      <c r="Y1017" s="22">
        <f>IFERROR(__xludf.DUMMYFUNCTION("IFERROR(GOOGLEFINANCE(A1017,""low""),"""")"),2600.0)</f>
        <v>2600</v>
      </c>
      <c r="Z1017" s="22">
        <f>IFERROR(__xludf.DUMMYFUNCTION("IFERROR(GOOGLEFINANCE(A1017,""volume""),"""")"),9670400.0)</f>
        <v>9670400</v>
      </c>
      <c r="AA1017" s="24" t="str">
        <f>VLOOKUP(A1017,Metrik!$C$2:$Y$959,5,0)</f>
        <v>Transport Infrastructure Operator</v>
      </c>
      <c r="AB1017" s="24" t="str">
        <f>VLOOKUP(A1017,Metrik!$C$2:$Y$959,3,0)</f>
        <v>Infrastructures</v>
      </c>
    </row>
    <row r="1018">
      <c r="A1018" s="48" t="s">
        <v>528</v>
      </c>
      <c r="B1018" s="14" t="str">
        <f t="array" ref="B1018">VLOOKUP(A1018,{Metrik!$C$2:$C$998,Metrik!$B$2:$B$998},2,0)</f>
        <v>Jasa Marga (Persero) Tbk.</v>
      </c>
      <c r="C1018" s="15">
        <f>IFERROR(__xludf.DUMMYFUNCTION("GOOGLEFINANCE(""IDX:""&amp;A1018,""price"")"),2600.0)</f>
        <v>2600</v>
      </c>
      <c r="D1018" s="16" t="str">
        <f>IFERROR(__xludf.DUMMYFUNCTION("IF(A1018="""","""",
SPARKLINE(
INDEX(
GOOGLEFINANCE(""IDX:""&amp;A1018,""close"",TODAY()-365,TODAY()),
,2
),
{""linewidth"",1}
))
"),"#N/A")</f>
        <v>#N/A</v>
      </c>
      <c r="E1018" s="17" t="s">
        <v>69</v>
      </c>
      <c r="F1018" s="17" t="s">
        <v>70</v>
      </c>
      <c r="G1018" s="24">
        <f t="shared" si="7"/>
        <v>17</v>
      </c>
      <c r="H1018" s="19">
        <f>VLOOKUP(A1018,Metrik!$C$2:$Y$959,8,0)</f>
        <v>6.2</v>
      </c>
      <c r="I1018" s="20">
        <f>VLOOKUP(A1018,Metrik!$C$2:$Y$959,9,0)</f>
        <v>0.34</v>
      </c>
      <c r="J1018" s="20">
        <f>VLOOKUP(A1018,Metrik!$C$2:$Y$959,10,0)</f>
        <v>5.5</v>
      </c>
      <c r="K1018" s="20">
        <f>VLOOKUP(A1018,Metrik!$C$2:$Y$959,11,0)</f>
        <v>2.2</v>
      </c>
      <c r="L1018" s="20">
        <f>VLOOKUP(A1018,Metrik!$C$2:$Y$959,12,0)</f>
        <v>1.5</v>
      </c>
      <c r="M1018" s="20">
        <f>VLOOKUP(A1018,Metrik!$C$2:$Y$959,19,0)</f>
        <v>54.4</v>
      </c>
      <c r="N1018" s="21"/>
      <c r="O1018" s="21"/>
      <c r="P1018" s="21"/>
      <c r="Q1018" s="21"/>
      <c r="R1018" s="21"/>
      <c r="S1018" s="21"/>
      <c r="T1018" s="21"/>
      <c r="U1018" s="22">
        <f>IFERROR(__xludf.DUMMYFUNCTION("IFERROR(GOOGLEFINANCE(A1018,""closeyest""),"""")"),2620.0)</f>
        <v>2620</v>
      </c>
      <c r="V1018" s="23">
        <f>IFERROR(__xludf.DUMMYFUNCTION("IFERROR(GOOGLEFINANCE(A1018,""changepct""),"""")"),-0.76)</f>
        <v>-0.76</v>
      </c>
      <c r="W1018" s="22">
        <f>IFERROR(__xludf.DUMMYFUNCTION("IFERROR(GOOGLEFINANCE(A1018,""priceopen""),"""")"),2630.0)</f>
        <v>2630</v>
      </c>
      <c r="X1018" s="22">
        <f>IFERROR(__xludf.DUMMYFUNCTION("IFERROR(GOOGLEFINANCE(A1018,""high""),"""")"),2650.0)</f>
        <v>2650</v>
      </c>
      <c r="Y1018" s="22">
        <f>IFERROR(__xludf.DUMMYFUNCTION("IFERROR(GOOGLEFINANCE(A1018,""low""),"""")"),2600.0)</f>
        <v>2600</v>
      </c>
      <c r="Z1018" s="22">
        <f>IFERROR(__xludf.DUMMYFUNCTION("IFERROR(GOOGLEFINANCE(A1018,""volume""),"""")"),9670400.0)</f>
        <v>9670400</v>
      </c>
      <c r="AA1018" s="24" t="str">
        <f>VLOOKUP(A1018,Metrik!$C$2:$Y$959,5,0)</f>
        <v>Transport Infrastructure Operator</v>
      </c>
      <c r="AB1018" s="24" t="str">
        <f>VLOOKUP(A1018,Metrik!$C$2:$Y$959,3,0)</f>
        <v>Infrastructures</v>
      </c>
    </row>
    <row r="1019">
      <c r="A1019" s="17" t="s">
        <v>528</v>
      </c>
      <c r="B1019" s="14" t="str">
        <f t="array" ref="B1019">VLOOKUP(A1019,{Metrik!$C$2:$C$998,Metrik!$B$2:$B$998},2,0)</f>
        <v>Jasa Marga (Persero) Tbk.</v>
      </c>
      <c r="C1019" s="15">
        <f>IFERROR(__xludf.DUMMYFUNCTION("GOOGLEFINANCE(""IDX:""&amp;A1019,""price"")"),2600.0)</f>
        <v>2600</v>
      </c>
      <c r="D1019" s="16" t="str">
        <f>IFERROR(__xludf.DUMMYFUNCTION("IF(A1019="""","""",
SPARKLINE(
INDEX(
GOOGLEFINANCE(""IDX:""&amp;A1019,""close"",TODAY()-365,TODAY()),
,2
),
{""linewidth"",1}
))
"),"#N/A")</f>
        <v>#N/A</v>
      </c>
      <c r="E1019" s="14" t="s">
        <v>35</v>
      </c>
      <c r="F1019" s="17" t="s">
        <v>36</v>
      </c>
      <c r="G1019" s="33">
        <f t="shared" si="7"/>
        <v>17</v>
      </c>
      <c r="H1019" s="34">
        <f>VLOOKUP(A1019,Metrik!$C$2:$Y$959,8,0)</f>
        <v>6.2</v>
      </c>
      <c r="I1019" s="34">
        <f>VLOOKUP(A1019,Metrik!$C$2:$Y$959,9,0)</f>
        <v>0.34</v>
      </c>
      <c r="J1019" s="34">
        <f>VLOOKUP(A1019,Metrik!$C$2:$Y$959,10,0)</f>
        <v>5.5</v>
      </c>
      <c r="K1019" s="34">
        <f>VLOOKUP(A1019,Metrik!$C$2:$Y$959,11,0)</f>
        <v>2.2</v>
      </c>
      <c r="L1019" s="34">
        <f>VLOOKUP(A1019,Metrik!$C$2:$Y$959,12,0)</f>
        <v>1.5</v>
      </c>
      <c r="M1019" s="34">
        <f>VLOOKUP(A1019,Metrik!$C$2:$Y$959,19,0)</f>
        <v>54.4</v>
      </c>
      <c r="N1019" s="26"/>
      <c r="O1019" s="26"/>
      <c r="P1019" s="26"/>
      <c r="Q1019" s="26"/>
      <c r="R1019" s="26"/>
      <c r="S1019" s="26"/>
      <c r="T1019" s="26"/>
      <c r="U1019" s="35">
        <f>IFERROR(__xludf.DUMMYFUNCTION("IFERROR(GOOGLEFINANCE(A1019,""closeyest""),"""")"),2620.0)</f>
        <v>2620</v>
      </c>
      <c r="V1019" s="36">
        <f>IFERROR(__xludf.DUMMYFUNCTION("IFERROR(GOOGLEFINANCE(A1019,""changepct""),"""")"),-0.76)</f>
        <v>-0.76</v>
      </c>
      <c r="W1019" s="35">
        <f>IFERROR(__xludf.DUMMYFUNCTION("IFERROR(GOOGLEFINANCE(A1019,""priceopen""),"""")"),2630.0)</f>
        <v>2630</v>
      </c>
      <c r="X1019" s="49">
        <f>IFERROR(__xludf.DUMMYFUNCTION("IFERROR(GOOGLEFINANCE(A1019,""high""),"""")"),2650.0)</f>
        <v>2650</v>
      </c>
      <c r="Y1019" s="35">
        <f>IFERROR(__xludf.DUMMYFUNCTION("IFERROR(GOOGLEFINANCE(A1019,""low""),"""")"),2600.0)</f>
        <v>2600</v>
      </c>
      <c r="Z1019" s="35">
        <f>IFERROR(__xludf.DUMMYFUNCTION("IFERROR(GOOGLEFINANCE(A1019,""volume""),"""")"),9670400.0)</f>
        <v>9670400</v>
      </c>
      <c r="AA1019" s="14" t="str">
        <f>VLOOKUP(A1019,Metrik!$C$2:$Y$959,5,0)</f>
        <v>Transport Infrastructure Operator</v>
      </c>
      <c r="AB1019" s="14" t="str">
        <f>VLOOKUP(A1019,Metrik!$C$2:$Y$959,3,0)</f>
        <v>Infrastructures</v>
      </c>
    </row>
    <row r="1020">
      <c r="A1020" s="14" t="s">
        <v>528</v>
      </c>
      <c r="B1020" s="14" t="str">
        <f t="array" ref="B1020">VLOOKUP(A1020,{Metrik!$C$2:$C$998,Metrik!$B$2:$B$998},2,0)</f>
        <v>Jasa Marga (Persero) Tbk.</v>
      </c>
      <c r="C1020" s="15">
        <f>IFERROR(__xludf.DUMMYFUNCTION("GOOGLEFINANCE(""IDX:""&amp;A1020,""price"")"),2600.0)</f>
        <v>2600</v>
      </c>
      <c r="D1020" s="16" t="str">
        <f>IFERROR(__xludf.DUMMYFUNCTION("IF(A1020="""","""",
SPARKLINE(
INDEX(
GOOGLEFINANCE(""IDX:""&amp;A1020,""close"",TODAY()-365,TODAY()),
,2
),
{""linewidth"",1}
))
"),"#N/A")</f>
        <v>#N/A</v>
      </c>
      <c r="E1020" s="14" t="s">
        <v>86</v>
      </c>
      <c r="F1020" s="25">
        <v>46356.0</v>
      </c>
      <c r="G1020" s="24">
        <f t="shared" si="7"/>
        <v>17</v>
      </c>
      <c r="H1020" s="19">
        <f>VLOOKUP(A1020,Metrik!$C$2:$Y$959,8,0)</f>
        <v>6.2</v>
      </c>
      <c r="I1020" s="20">
        <f>VLOOKUP(A1020,Metrik!$C$2:$Y$959,9,0)</f>
        <v>0.34</v>
      </c>
      <c r="J1020" s="20">
        <f>VLOOKUP(A1020,Metrik!$C$2:$Y$959,10,0)</f>
        <v>5.5</v>
      </c>
      <c r="K1020" s="20">
        <f>VLOOKUP(A1020,Metrik!$C$2:$Y$959,11,0)</f>
        <v>2.2</v>
      </c>
      <c r="L1020" s="20">
        <f>VLOOKUP(A1020,Metrik!$C$2:$Y$959,12,0)</f>
        <v>1.5</v>
      </c>
      <c r="M1020" s="20">
        <f>VLOOKUP(A1020,Metrik!$C$2:$Y$959,19,0)</f>
        <v>54.4</v>
      </c>
      <c r="N1020" s="21"/>
      <c r="O1020" s="21"/>
      <c r="P1020" s="21"/>
      <c r="Q1020" s="21"/>
      <c r="R1020" s="21"/>
      <c r="S1020" s="21"/>
      <c r="T1020" s="21"/>
      <c r="U1020" s="22">
        <f>IFERROR(__xludf.DUMMYFUNCTION("IFERROR(GOOGLEFINANCE(A1020,""closeyest""),"""")"),2620.0)</f>
        <v>2620</v>
      </c>
      <c r="V1020" s="23">
        <f>IFERROR(__xludf.DUMMYFUNCTION("IFERROR(GOOGLEFINANCE(A1020,""changepct""),"""")"),-0.76)</f>
        <v>-0.76</v>
      </c>
      <c r="W1020" s="22">
        <f>IFERROR(__xludf.DUMMYFUNCTION("IFERROR(GOOGLEFINANCE(A1020,""priceopen""),"""")"),2630.0)</f>
        <v>2630</v>
      </c>
      <c r="X1020" s="22">
        <f>IFERROR(__xludf.DUMMYFUNCTION("IFERROR(GOOGLEFINANCE(A1020,""high""),"""")"),2650.0)</f>
        <v>2650</v>
      </c>
      <c r="Y1020" s="22">
        <f>IFERROR(__xludf.DUMMYFUNCTION("IFERROR(GOOGLEFINANCE(A1020,""low""),"""")"),2600.0)</f>
        <v>2600</v>
      </c>
      <c r="Z1020" s="22">
        <f>IFERROR(__xludf.DUMMYFUNCTION("IFERROR(GOOGLEFINANCE(A1020,""volume""),"""")"),9670400.0)</f>
        <v>9670400</v>
      </c>
      <c r="AA1020" s="24" t="str">
        <f>VLOOKUP(A1020,Metrik!$C$2:$Y$959,5,0)</f>
        <v>Transport Infrastructure Operator</v>
      </c>
      <c r="AB1020" s="24" t="str">
        <f>VLOOKUP(A1020,Metrik!$C$2:$Y$959,3,0)</f>
        <v>Infrastructures</v>
      </c>
    </row>
    <row r="1021">
      <c r="A1021" s="14" t="s">
        <v>528</v>
      </c>
      <c r="B1021" s="14" t="str">
        <f t="array" ref="B1021">VLOOKUP(A1021,{Metrik!$C$2:$C$998,Metrik!$B$2:$B$998},2,0)</f>
        <v>Jasa Marga (Persero) Tbk.</v>
      </c>
      <c r="C1021" s="15">
        <f>IFERROR(__xludf.DUMMYFUNCTION("GOOGLEFINANCE(""IDX:""&amp;A1021,""price"")"),2600.0)</f>
        <v>2600</v>
      </c>
      <c r="D1021" s="16" t="str">
        <f>IFERROR(__xludf.DUMMYFUNCTION("IF(A1021="""","""",
SPARKLINE(
INDEX(
GOOGLEFINANCE(""IDX:""&amp;A1021,""close"",TODAY()-365,TODAY()),
,2
),
{""linewidth"",1}
))
"),"#N/A")</f>
        <v>#N/A</v>
      </c>
      <c r="E1021" s="14" t="s">
        <v>39</v>
      </c>
      <c r="F1021" s="25">
        <v>46356.0</v>
      </c>
      <c r="G1021" s="24">
        <f t="shared" si="7"/>
        <v>17</v>
      </c>
      <c r="H1021" s="19">
        <f>VLOOKUP(A1021,Metrik!$C$2:$Y$959,8,0)</f>
        <v>6.2</v>
      </c>
      <c r="I1021" s="20">
        <f>VLOOKUP(A1021,Metrik!$C$2:$Y$959,9,0)</f>
        <v>0.34</v>
      </c>
      <c r="J1021" s="20">
        <f>VLOOKUP(A1021,Metrik!$C$2:$Y$959,10,0)</f>
        <v>5.5</v>
      </c>
      <c r="K1021" s="20">
        <f>VLOOKUP(A1021,Metrik!$C$2:$Y$959,11,0)</f>
        <v>2.2</v>
      </c>
      <c r="L1021" s="20">
        <f>VLOOKUP(A1021,Metrik!$C$2:$Y$959,12,0)</f>
        <v>1.5</v>
      </c>
      <c r="M1021" s="20">
        <f>VLOOKUP(A1021,Metrik!$C$2:$Y$959,19,0)</f>
        <v>54.4</v>
      </c>
      <c r="N1021" s="21"/>
      <c r="O1021" s="21"/>
      <c r="P1021" s="21"/>
      <c r="Q1021" s="21"/>
      <c r="R1021" s="21"/>
      <c r="S1021" s="21"/>
      <c r="T1021" s="21"/>
      <c r="U1021" s="22">
        <f>IFERROR(__xludf.DUMMYFUNCTION("IFERROR(GOOGLEFINANCE(A1021,""closeyest""),"""")"),2620.0)</f>
        <v>2620</v>
      </c>
      <c r="V1021" s="23">
        <f>IFERROR(__xludf.DUMMYFUNCTION("IFERROR(GOOGLEFINANCE(A1021,""changepct""),"""")"),-0.76)</f>
        <v>-0.76</v>
      </c>
      <c r="W1021" s="22">
        <f>IFERROR(__xludf.DUMMYFUNCTION("IFERROR(GOOGLEFINANCE(A1021,""priceopen""),"""")"),2630.0)</f>
        <v>2630</v>
      </c>
      <c r="X1021" s="22">
        <f>IFERROR(__xludf.DUMMYFUNCTION("IFERROR(GOOGLEFINANCE(A1021,""high""),"""")"),2650.0)</f>
        <v>2650</v>
      </c>
      <c r="Y1021" s="22">
        <f>IFERROR(__xludf.DUMMYFUNCTION("IFERROR(GOOGLEFINANCE(A1021,""low""),"""")"),2600.0)</f>
        <v>2600</v>
      </c>
      <c r="Z1021" s="22">
        <f>IFERROR(__xludf.DUMMYFUNCTION("IFERROR(GOOGLEFINANCE(A1021,""volume""),"""")"),9670400.0)</f>
        <v>9670400</v>
      </c>
      <c r="AA1021" s="24" t="str">
        <f>VLOOKUP(A1021,Metrik!$C$2:$Y$959,5,0)</f>
        <v>Transport Infrastructure Operator</v>
      </c>
      <c r="AB1021" s="24" t="str">
        <f>VLOOKUP(A1021,Metrik!$C$2:$Y$959,3,0)</f>
        <v>Infrastructures</v>
      </c>
    </row>
    <row r="1022">
      <c r="A1022" s="14" t="s">
        <v>529</v>
      </c>
      <c r="B1022" s="14" t="str">
        <f t="array" ref="B1022">VLOOKUP(A1022,{Metrik!$C$2:$C$998,Metrik!$B$2:$B$998},2,0)</f>
        <v>Jakarta Setiabudi Internasional Tbk.</v>
      </c>
      <c r="C1022" s="15">
        <f>IFERROR(__xludf.DUMMYFUNCTION("GOOGLEFINANCE(""IDX:""&amp;A1022,""price"")"),1170.0)</f>
        <v>1170</v>
      </c>
      <c r="D1022" s="16" t="str">
        <f>IFERROR(__xludf.DUMMYFUNCTION("IF(A1022="""","""",
SPARKLINE(
INDEX(
GOOGLEFINANCE(""IDX:""&amp;A1022,""close"",TODAY()-365,TODAY()),
,2
),
{""linewidth"",1}
))
"),"#N/A")</f>
        <v>#N/A</v>
      </c>
      <c r="E1022" s="26"/>
      <c r="F1022" s="26"/>
      <c r="G1022" s="24">
        <f t="shared" si="7"/>
        <v>0</v>
      </c>
      <c r="H1022" s="19">
        <f>VLOOKUP(A1022,Metrik!$C$2:$Y$959,8,0)</f>
        <v>7.7</v>
      </c>
      <c r="I1022" s="20">
        <f>VLOOKUP(A1022,Metrik!$C$2:$Y$959,9,0)</f>
        <v>0.88</v>
      </c>
      <c r="J1022" s="20">
        <f>VLOOKUP(A1022,Metrik!$C$2:$Y$959,10,0)</f>
        <v>11.4</v>
      </c>
      <c r="K1022" s="20">
        <f>VLOOKUP(A1022,Metrik!$C$2:$Y$959,11,0)</f>
        <v>5.8</v>
      </c>
      <c r="L1022" s="20">
        <f>VLOOKUP(A1022,Metrik!$C$2:$Y$959,12,0)</f>
        <v>0.98</v>
      </c>
      <c r="M1022" s="20">
        <f>VLOOKUP(A1022,Metrik!$C$2:$Y$959,19,0)</f>
        <v>55.8</v>
      </c>
      <c r="N1022" s="21"/>
      <c r="O1022" s="21"/>
      <c r="P1022" s="21"/>
      <c r="Q1022" s="21"/>
      <c r="R1022" s="21"/>
      <c r="S1022" s="21"/>
      <c r="T1022" s="21"/>
      <c r="U1022" s="22">
        <f>IFERROR(__xludf.DUMMYFUNCTION("IFERROR(GOOGLEFINANCE(A1022,""closeyest""),"""")"),1145.0)</f>
        <v>1145</v>
      </c>
      <c r="V1022" s="23">
        <f>IFERROR(__xludf.DUMMYFUNCTION("IFERROR(GOOGLEFINANCE(A1022,""changepct""),"""")"),2.18)</f>
        <v>2.18</v>
      </c>
      <c r="W1022" s="22">
        <f>IFERROR(__xludf.DUMMYFUNCTION("IFERROR(GOOGLEFINANCE(A1022,""priceopen""),"""")"),1165.0)</f>
        <v>1165</v>
      </c>
      <c r="X1022" s="22">
        <f>IFERROR(__xludf.DUMMYFUNCTION("IFERROR(GOOGLEFINANCE(A1022,""high""),"""")"),1365.0)</f>
        <v>1365</v>
      </c>
      <c r="Y1022" s="22">
        <f>IFERROR(__xludf.DUMMYFUNCTION("IFERROR(GOOGLEFINANCE(A1022,""low""),"""")"),1130.0)</f>
        <v>1130</v>
      </c>
      <c r="Z1022" s="22">
        <f>IFERROR(__xludf.DUMMYFUNCTION("IFERROR(GOOGLEFINANCE(A1022,""volume""),"""")"),44000.0)</f>
        <v>44000</v>
      </c>
      <c r="AA1022" s="24" t="str">
        <f>VLOOKUP(A1022,Metrik!$C$2:$Y$959,5,0)</f>
        <v>Tourism &amp; Recreation</v>
      </c>
      <c r="AB1022" s="24" t="str">
        <f>VLOOKUP(A1022,Metrik!$C$2:$Y$959,3,0)</f>
        <v>Consumer Cyclicals</v>
      </c>
    </row>
    <row r="1023">
      <c r="A1023" s="14" t="s">
        <v>530</v>
      </c>
      <c r="B1023" s="14" t="str">
        <f t="array" ref="B1023">VLOOKUP(A1023,{Metrik!$C$2:$C$998,Metrik!$B$2:$B$998},2,0)</f>
        <v>Jasuindo Tiga Perkasa Tbk.</v>
      </c>
      <c r="C1023" s="15">
        <f>IFERROR(__xludf.DUMMYFUNCTION("GOOGLEFINANCE(""IDX:""&amp;A1023,""price"")"),605.0)</f>
        <v>605</v>
      </c>
      <c r="D1023" s="16" t="str">
        <f>IFERROR(__xludf.DUMMYFUNCTION("IF(A1023="""","""",
SPARKLINE(
INDEX(
GOOGLEFINANCE(""IDX:""&amp;A1023,""close"",TODAY()-365,TODAY()),
,2
),
{""linewidth"",1}
))
"),"#N/A")</f>
        <v>#N/A</v>
      </c>
      <c r="E1023" s="26"/>
      <c r="F1023" s="26"/>
      <c r="G1023" s="28">
        <f t="shared" si="7"/>
        <v>0</v>
      </c>
      <c r="H1023" s="19">
        <f>VLOOKUP(A1023,Metrik!$C$2:$Y$959,8,0)</f>
        <v>13.5</v>
      </c>
      <c r="I1023" s="20">
        <f>VLOOKUP(A1023,Metrik!$C$2:$Y$959,9,0)</f>
        <v>2.9</v>
      </c>
      <c r="J1023" s="20">
        <f>VLOOKUP(A1023,Metrik!$C$2:$Y$959,10,0)</f>
        <v>21.6</v>
      </c>
      <c r="K1023" s="20">
        <f>VLOOKUP(A1023,Metrik!$C$2:$Y$959,11,0)</f>
        <v>12.4</v>
      </c>
      <c r="L1023" s="20">
        <f>VLOOKUP(A1023,Metrik!$C$2:$Y$959,12,0)</f>
        <v>0.74</v>
      </c>
      <c r="M1023" s="20">
        <f>VLOOKUP(A1023,Metrik!$C$2:$Y$959,19,0)</f>
        <v>120</v>
      </c>
      <c r="N1023" s="21"/>
      <c r="O1023" s="21"/>
      <c r="P1023" s="21"/>
      <c r="Q1023" s="21"/>
      <c r="R1023" s="21"/>
      <c r="S1023" s="21"/>
      <c r="T1023" s="21"/>
      <c r="U1023" s="22">
        <f>IFERROR(__xludf.DUMMYFUNCTION("IFERROR(GOOGLEFINANCE(A1023,""closeyest""),"""")"),585.0)</f>
        <v>585</v>
      </c>
      <c r="V1023" s="23">
        <f>IFERROR(__xludf.DUMMYFUNCTION("IFERROR(GOOGLEFINANCE(A1023,""changepct""),"""")"),3.42)</f>
        <v>3.42</v>
      </c>
      <c r="W1023" s="22">
        <f>IFERROR(__xludf.DUMMYFUNCTION("IFERROR(GOOGLEFINANCE(A1023,""priceopen""),"""")"),580.0)</f>
        <v>580</v>
      </c>
      <c r="X1023" s="22">
        <f>IFERROR(__xludf.DUMMYFUNCTION("IFERROR(GOOGLEFINANCE(A1023,""high""),"""")"),605.0)</f>
        <v>605</v>
      </c>
      <c r="Y1023" s="22">
        <f>IFERROR(__xludf.DUMMYFUNCTION("IFERROR(GOOGLEFINANCE(A1023,""low""),"""")"),580.0)</f>
        <v>580</v>
      </c>
      <c r="Z1023" s="22">
        <f>IFERROR(__xludf.DUMMYFUNCTION("IFERROR(GOOGLEFINANCE(A1023,""volume""),"""")"),3171100.0)</f>
        <v>3171100</v>
      </c>
      <c r="AA1023" s="24" t="str">
        <f>VLOOKUP(A1023,Metrik!$C$2:$Y$959,5,0)</f>
        <v>Commercial Services</v>
      </c>
      <c r="AB1023" s="24" t="str">
        <f>VLOOKUP(A1023,Metrik!$C$2:$Y$959,3,0)</f>
        <v>Industrials</v>
      </c>
    </row>
    <row r="1024">
      <c r="A1024" s="14" t="s">
        <v>531</v>
      </c>
      <c r="B1024" s="14" t="str">
        <f t="array" ref="B1024">VLOOKUP(A1024,{Metrik!$C$2:$C$998,Metrik!$B$2:$B$998},2,0)</f>
        <v>Kimia Farma Tbk.</v>
      </c>
      <c r="C1024" s="15">
        <f>IFERROR(__xludf.DUMMYFUNCTION("GOOGLEFINANCE(""IDX:""&amp;A1024,""price"")"),444.0)</f>
        <v>444</v>
      </c>
      <c r="D1024" s="16" t="str">
        <f>IFERROR(__xludf.DUMMYFUNCTION("IF(A1024="""","""",
SPARKLINE(
INDEX(
GOOGLEFINANCE(""IDX:""&amp;A1024,""close"",TODAY()-365,TODAY()),
,2
),
{""linewidth"",1}
))
"),"#N/A")</f>
        <v>#N/A</v>
      </c>
      <c r="E1024" s="26"/>
      <c r="F1024" s="26"/>
      <c r="G1024" s="24">
        <f t="shared" si="7"/>
        <v>0</v>
      </c>
      <c r="H1024" s="19">
        <f>VLOOKUP(A1024,Metrik!$C$2:$Y$959,8,0)</f>
        <v>-16.9</v>
      </c>
      <c r="I1024" s="20">
        <f>VLOOKUP(A1024,Metrik!$C$2:$Y$959,9,0)</f>
        <v>0.93</v>
      </c>
      <c r="J1024" s="20">
        <f>VLOOKUP(A1024,Metrik!$C$2:$Y$959,10,0)</f>
        <v>-5.5</v>
      </c>
      <c r="K1024" s="20">
        <f>VLOOKUP(A1024,Metrik!$C$2:$Y$959,11,0)</f>
        <v>-1.1</v>
      </c>
      <c r="L1024" s="20">
        <f>VLOOKUP(A1024,Metrik!$C$2:$Y$959,12,0)</f>
        <v>4</v>
      </c>
      <c r="M1024" s="20">
        <f>VLOOKUP(A1024,Metrik!$C$2:$Y$959,19,0)</f>
        <v>-7.8</v>
      </c>
      <c r="N1024" s="21"/>
      <c r="O1024" s="21"/>
      <c r="P1024" s="21"/>
      <c r="Q1024" s="21"/>
      <c r="R1024" s="21"/>
      <c r="S1024" s="21"/>
      <c r="T1024" s="21"/>
      <c r="U1024" s="22">
        <f>IFERROR(__xludf.DUMMYFUNCTION("IFERROR(GOOGLEFINANCE(A1024,""closeyest""),"""")"),426.0)</f>
        <v>426</v>
      </c>
      <c r="V1024" s="23">
        <f>IFERROR(__xludf.DUMMYFUNCTION("IFERROR(GOOGLEFINANCE(A1024,""changepct""),"""")"),4.23)</f>
        <v>4.23</v>
      </c>
      <c r="W1024" s="22">
        <f>IFERROR(__xludf.DUMMYFUNCTION("IFERROR(GOOGLEFINANCE(A1024,""priceopen""),"""")"),428.0)</f>
        <v>428</v>
      </c>
      <c r="X1024" s="22">
        <f>IFERROR(__xludf.DUMMYFUNCTION("IFERROR(GOOGLEFINANCE(A1024,""high""),"""")"),446.0)</f>
        <v>446</v>
      </c>
      <c r="Y1024" s="22">
        <f>IFERROR(__xludf.DUMMYFUNCTION("IFERROR(GOOGLEFINANCE(A1024,""low""),"""")"),426.0)</f>
        <v>426</v>
      </c>
      <c r="Z1024" s="22">
        <f>IFERROR(__xludf.DUMMYFUNCTION("IFERROR(GOOGLEFINANCE(A1024,""volume""),"""")"),531500.0)</f>
        <v>531500</v>
      </c>
      <c r="AA1024" s="24" t="str">
        <f>VLOOKUP(A1024,Metrik!$C$2:$Y$959,5,0)</f>
        <v>Pharmaceuticals</v>
      </c>
      <c r="AB1024" s="24" t="str">
        <f>VLOOKUP(A1024,Metrik!$C$2:$Y$959,3,0)</f>
        <v>Healthcare</v>
      </c>
    </row>
    <row r="1025">
      <c r="A1025" s="14" t="s">
        <v>532</v>
      </c>
      <c r="B1025" s="14" t="str">
        <f t="array" ref="B1025">VLOOKUP(A1025,{Metrik!$C$2:$C$998,Metrik!$B$2:$B$998},2,0)</f>
        <v>Jantra Grupo Indonesia Tbk.</v>
      </c>
      <c r="C1025" s="15">
        <f>IFERROR(__xludf.DUMMYFUNCTION("GOOGLEFINANCE(""IDX:""&amp;A1025,""price"")"),91.0)</f>
        <v>91</v>
      </c>
      <c r="D1025" s="16" t="str">
        <f>IFERROR(__xludf.DUMMYFUNCTION("IF(A1025="""","""",
SPARKLINE(
INDEX(
GOOGLEFINANCE(""IDX:""&amp;A1025,""close"",TODAY()-365,TODAY()),
,2
),
{""linewidth"",1}
))
"),"#N/A")</f>
        <v>#N/A</v>
      </c>
      <c r="E1025" s="26"/>
      <c r="F1025" s="26"/>
      <c r="G1025" s="24">
        <f t="shared" si="7"/>
        <v>0</v>
      </c>
      <c r="H1025" s="19">
        <f>VLOOKUP(A1025,Metrik!$C$2:$Y$959,8,0)</f>
        <v>15.9</v>
      </c>
      <c r="I1025" s="20">
        <f>VLOOKUP(A1025,Metrik!$C$2:$Y$959,9,0)</f>
        <v>1.6</v>
      </c>
      <c r="J1025" s="20">
        <f>VLOOKUP(A1025,Metrik!$C$2:$Y$959,10,0)</f>
        <v>9.9</v>
      </c>
      <c r="K1025" s="20">
        <f>VLOOKUP(A1025,Metrik!$C$2:$Y$959,11,0)</f>
        <v>8.6</v>
      </c>
      <c r="L1025" s="20">
        <f>VLOOKUP(A1025,Metrik!$C$2:$Y$959,12,0)</f>
        <v>0.15</v>
      </c>
      <c r="M1025" s="20">
        <f>VLOOKUP(A1025,Metrik!$C$2:$Y$959,19,0)</f>
        <v>66.4</v>
      </c>
      <c r="N1025" s="21"/>
      <c r="O1025" s="21"/>
      <c r="P1025" s="21"/>
      <c r="Q1025" s="21"/>
      <c r="R1025" s="21"/>
      <c r="S1025" s="21"/>
      <c r="T1025" s="21"/>
      <c r="U1025" s="22">
        <f>IFERROR(__xludf.DUMMYFUNCTION("IFERROR(GOOGLEFINANCE(A1025,""closeyest""),"""")"),89.0)</f>
        <v>89</v>
      </c>
      <c r="V1025" s="23">
        <f>IFERROR(__xludf.DUMMYFUNCTION("IFERROR(GOOGLEFINANCE(A1025,""changepct""),"""")"),2.25)</f>
        <v>2.25</v>
      </c>
      <c r="W1025" s="22">
        <f>IFERROR(__xludf.DUMMYFUNCTION("IFERROR(GOOGLEFINANCE(A1025,""priceopen""),"""")"),89.0)</f>
        <v>89</v>
      </c>
      <c r="X1025" s="22">
        <f>IFERROR(__xludf.DUMMYFUNCTION("IFERROR(GOOGLEFINANCE(A1025,""high""),"""")"),95.0)</f>
        <v>95</v>
      </c>
      <c r="Y1025" s="22">
        <f>IFERROR(__xludf.DUMMYFUNCTION("IFERROR(GOOGLEFINANCE(A1025,""low""),"""")"),89.0)</f>
        <v>89</v>
      </c>
      <c r="Z1025" s="22">
        <f>IFERROR(__xludf.DUMMYFUNCTION("IFERROR(GOOGLEFINANCE(A1025,""volume""),"""")"),7.85515E7)</f>
        <v>78551500</v>
      </c>
      <c r="AA1025" s="24" t="str">
        <f>VLOOKUP(A1025,Metrik!$C$2:$Y$959,5,0)</f>
        <v>Auto Components</v>
      </c>
      <c r="AB1025" s="24" t="str">
        <f>VLOOKUP(A1025,Metrik!$C$2:$Y$959,3,0)</f>
        <v>Consumer Cyclicals</v>
      </c>
    </row>
    <row r="1026">
      <c r="A1026" s="14" t="s">
        <v>533</v>
      </c>
      <c r="B1026" s="14" t="str">
        <f t="array" ref="B1026">VLOOKUP(A1026,{Metrik!$C$2:$C$998,Metrik!$B$2:$B$998},2,0)</f>
        <v>Meratus Jasa Prima Tbk.</v>
      </c>
      <c r="C1026" s="15">
        <f>IFERROR(__xludf.DUMMYFUNCTION("GOOGLEFINANCE(""IDX:""&amp;A1026,""price"")"),274.0)</f>
        <v>274</v>
      </c>
      <c r="D1026" s="16" t="str">
        <f>IFERROR(__xludf.DUMMYFUNCTION("IF(A1026="""","""",
SPARKLINE(
INDEX(
GOOGLEFINANCE(""IDX:""&amp;A1026,""close"",TODAY()-365,TODAY()),
,2
),
{""linewidth"",1}
))
"),"#N/A")</f>
        <v>#N/A</v>
      </c>
      <c r="E1026" s="26"/>
      <c r="F1026" s="26"/>
      <c r="G1026" s="24">
        <f t="shared" si="7"/>
        <v>0</v>
      </c>
      <c r="H1026" s="19">
        <f>VLOOKUP(A1026,Metrik!$C$2:$Y$959,8,0)</f>
        <v>-64.5</v>
      </c>
      <c r="I1026" s="20">
        <f>VLOOKUP(A1026,Metrik!$C$2:$Y$959,9,0)</f>
        <v>-0.29</v>
      </c>
      <c r="J1026" s="20">
        <f>VLOOKUP(A1026,Metrik!$C$2:$Y$959,10,0)</f>
        <v>0</v>
      </c>
      <c r="K1026" s="20">
        <f>VLOOKUP(A1026,Metrik!$C$2:$Y$959,11,0)</f>
        <v>-1.1</v>
      </c>
      <c r="L1026" s="20">
        <f>VLOOKUP(A1026,Metrik!$C$2:$Y$959,12,0)</f>
        <v>-1.4</v>
      </c>
      <c r="M1026" s="20">
        <f>VLOOKUP(A1026,Metrik!$C$2:$Y$959,19,0)</f>
        <v>-10.9</v>
      </c>
      <c r="N1026" s="21"/>
      <c r="O1026" s="21"/>
      <c r="P1026" s="21"/>
      <c r="Q1026" s="21"/>
      <c r="R1026" s="21"/>
      <c r="S1026" s="21"/>
      <c r="T1026" s="21"/>
      <c r="U1026" s="22">
        <f>IFERROR(__xludf.DUMMYFUNCTION("IFERROR(GOOGLEFINANCE(A1026,""closeyest""),"""")"),250.0)</f>
        <v>250</v>
      </c>
      <c r="V1026" s="23">
        <f>IFERROR(__xludf.DUMMYFUNCTION("IFERROR(GOOGLEFINANCE(A1026,""changepct""),"""")"),9.6)</f>
        <v>9.6</v>
      </c>
      <c r="W1026" s="22">
        <f>IFERROR(__xludf.DUMMYFUNCTION("IFERROR(GOOGLEFINANCE(A1026,""priceopen""),"""")"),274.0)</f>
        <v>274</v>
      </c>
      <c r="X1026" s="22">
        <f>IFERROR(__xludf.DUMMYFUNCTION("IFERROR(GOOGLEFINANCE(A1026,""high""),"""")"),274.0)</f>
        <v>274</v>
      </c>
      <c r="Y1026" s="22">
        <f>IFERROR(__xludf.DUMMYFUNCTION("IFERROR(GOOGLEFINANCE(A1026,""low""),"""")"),274.0)</f>
        <v>274</v>
      </c>
      <c r="Z1026" s="22">
        <f>IFERROR(__xludf.DUMMYFUNCTION("IFERROR(GOOGLEFINANCE(A1026,""volume""),"""")"),315100.0)</f>
        <v>315100</v>
      </c>
      <c r="AA1026" s="24" t="str">
        <f>VLOOKUP(A1026,Metrik!$C$2:$Y$959,5,0)</f>
        <v>Transport Infrastructure Operator</v>
      </c>
      <c r="AB1026" s="24" t="str">
        <f>VLOOKUP(A1026,Metrik!$C$2:$Y$959,3,0)</f>
        <v>Infrastructures</v>
      </c>
    </row>
    <row r="1027">
      <c r="A1027" s="14" t="s">
        <v>534</v>
      </c>
      <c r="B1027" s="14" t="str">
        <f t="array" ref="B1027">VLOOKUP(A1027,{Metrik!$C$2:$C$998,Metrik!$B$2:$B$998},2,0)</f>
        <v>Darmi Bersaudara Tbk.</v>
      </c>
      <c r="C1027" s="15">
        <f>IFERROR(__xludf.DUMMYFUNCTION("GOOGLEFINANCE(""IDX:""&amp;A1027,""price"")"),18.0)</f>
        <v>18</v>
      </c>
      <c r="D1027" s="16" t="str">
        <f>IFERROR(__xludf.DUMMYFUNCTION("IF(A1027="""","""",
SPARKLINE(
INDEX(
GOOGLEFINANCE(""IDX:""&amp;A1027,""close"",TODAY()-365,TODAY()),
,2
),
{""linewidth"",1}
))
"),"#N/A")</f>
        <v>#N/A</v>
      </c>
      <c r="E1027" s="26"/>
      <c r="F1027" s="26"/>
      <c r="G1027" s="24">
        <f t="shared" si="7"/>
        <v>0</v>
      </c>
      <c r="H1027" s="19">
        <f>VLOOKUP(A1027,Metrik!$C$2:$Y$959,8,0)</f>
        <v>0</v>
      </c>
      <c r="I1027" s="20">
        <f>VLOOKUP(A1027,Metrik!$C$2:$Y$959,9,0)</f>
        <v>0.15</v>
      </c>
      <c r="J1027" s="20">
        <f>VLOOKUP(A1027,Metrik!$C$2:$Y$959,10,0)</f>
        <v>0.99</v>
      </c>
      <c r="K1027" s="20">
        <f>VLOOKUP(A1027,Metrik!$C$2:$Y$959,11,0)</f>
        <v>0.82</v>
      </c>
      <c r="L1027" s="20">
        <f>VLOOKUP(A1027,Metrik!$C$2:$Y$959,12,0)</f>
        <v>0.22</v>
      </c>
      <c r="M1027" s="20">
        <f>VLOOKUP(A1027,Metrik!$C$2:$Y$959,19,0)</f>
        <v>12</v>
      </c>
      <c r="N1027" s="21"/>
      <c r="O1027" s="21"/>
      <c r="P1027" s="21"/>
      <c r="Q1027" s="21"/>
      <c r="R1027" s="21"/>
      <c r="S1027" s="21"/>
      <c r="T1027" s="21"/>
      <c r="U1027" s="22">
        <f>IFERROR(__xludf.DUMMYFUNCTION("IFERROR(GOOGLEFINANCE(A1027,""closeyest""),"""")"),18.0)</f>
        <v>18</v>
      </c>
      <c r="V1027" s="23">
        <f>IFERROR(__xludf.DUMMYFUNCTION("IFERROR(GOOGLEFINANCE(A1027,""changepct""),"""")"),0.0)</f>
        <v>0</v>
      </c>
      <c r="W1027" s="22" t="str">
        <f>IFERROR(__xludf.DUMMYFUNCTION("IFERROR(GOOGLEFINANCE(A1027,""priceopen""),"""")"),"")</f>
        <v/>
      </c>
      <c r="X1027" s="22" t="str">
        <f>IFERROR(__xludf.DUMMYFUNCTION("IFERROR(GOOGLEFINANCE(A1027,""high""),"""")"),"")</f>
        <v/>
      </c>
      <c r="Y1027" s="22" t="str">
        <f>IFERROR(__xludf.DUMMYFUNCTION("IFERROR(GOOGLEFINANCE(A1027,""low""),"""")"),"")</f>
        <v/>
      </c>
      <c r="Z1027" s="22">
        <f>IFERROR(__xludf.DUMMYFUNCTION("IFERROR(GOOGLEFINANCE(A1027,""volume""),"""")"),0.0)</f>
        <v>0</v>
      </c>
      <c r="AA1027" s="24" t="str">
        <f>VLOOKUP(A1027,Metrik!$C$2:$Y$959,5,0)</f>
        <v>Forestry &amp; Paper</v>
      </c>
      <c r="AB1027" s="24" t="str">
        <f>VLOOKUP(A1027,Metrik!$C$2:$Y$959,3,0)</f>
        <v>Basic Materials</v>
      </c>
    </row>
    <row r="1028">
      <c r="A1028" s="14" t="s">
        <v>535</v>
      </c>
      <c r="B1028" s="14" t="str">
        <f t="array" ref="B1028">VLOOKUP(A1028,{Metrik!$C$2:$C$998,Metrik!$B$2:$B$998},2,0)</f>
        <v>Karya Bersama Anugerah Tbk.</v>
      </c>
      <c r="C1028" s="15">
        <f>IFERROR(__xludf.DUMMYFUNCTION("GOOGLEFINANCE(""IDX:""&amp;A1028,""price"")"),38.0)</f>
        <v>38</v>
      </c>
      <c r="D1028" s="16" t="str">
        <f>IFERROR(__xludf.DUMMYFUNCTION("IF(A1028="""","""",
SPARKLINE(
INDEX(
GOOGLEFINANCE(""IDX:""&amp;A1028,""close"",TODAY()-365,TODAY()),
,2
),
{""linewidth"",1}
))
"),"#N/A")</f>
        <v>#N/A</v>
      </c>
      <c r="E1028" s="26"/>
      <c r="F1028" s="26"/>
      <c r="G1028" s="24">
        <f t="shared" si="7"/>
        <v>0</v>
      </c>
      <c r="H1028" s="19">
        <f>VLOOKUP(A1028,Metrik!$C$2:$Y$959,8,0)</f>
        <v>-36.9</v>
      </c>
      <c r="I1028" s="20">
        <f>VLOOKUP(A1028,Metrik!$C$2:$Y$959,9,0)</f>
        <v>0.85</v>
      </c>
      <c r="J1028" s="20">
        <f>VLOOKUP(A1028,Metrik!$C$2:$Y$959,10,0)</f>
        <v>-2.3</v>
      </c>
      <c r="K1028" s="20">
        <f>VLOOKUP(A1028,Metrik!$C$2:$Y$959,11,0)</f>
        <v>-2</v>
      </c>
      <c r="L1028" s="20">
        <f>VLOOKUP(A1028,Metrik!$C$2:$Y$959,12,0)</f>
        <v>0.17</v>
      </c>
      <c r="M1028" s="20">
        <f>VLOOKUP(A1028,Metrik!$C$2:$Y$959,19,0)</f>
        <v>-380</v>
      </c>
      <c r="N1028" s="21"/>
      <c r="O1028" s="21"/>
      <c r="P1028" s="21"/>
      <c r="Q1028" s="21"/>
      <c r="R1028" s="21"/>
      <c r="S1028" s="21"/>
      <c r="T1028" s="21"/>
      <c r="U1028" s="22">
        <f>IFERROR(__xludf.DUMMYFUNCTION("IFERROR(GOOGLEFINANCE(A1028,""closeyest""),"""")"),38.0)</f>
        <v>38</v>
      </c>
      <c r="V1028" s="23">
        <f>IFERROR(__xludf.DUMMYFUNCTION("IFERROR(GOOGLEFINANCE(A1028,""changepct""),"""")"),0.0)</f>
        <v>0</v>
      </c>
      <c r="W1028" s="22">
        <f>IFERROR(__xludf.DUMMYFUNCTION("IFERROR(GOOGLEFINANCE(A1028,""priceopen""),"""")"),38.0)</f>
        <v>38</v>
      </c>
      <c r="X1028" s="22">
        <f>IFERROR(__xludf.DUMMYFUNCTION("IFERROR(GOOGLEFINANCE(A1028,""high""),"""")"),38.0)</f>
        <v>38</v>
      </c>
      <c r="Y1028" s="22">
        <f>IFERROR(__xludf.DUMMYFUNCTION("IFERROR(GOOGLEFINANCE(A1028,""low""),"""")"),38.0)</f>
        <v>38</v>
      </c>
      <c r="Z1028" s="22">
        <f>IFERROR(__xludf.DUMMYFUNCTION("IFERROR(GOOGLEFINANCE(A1028,""volume""),"""")"),1.03014E7)</f>
        <v>10301400</v>
      </c>
      <c r="AA1028" s="24" t="str">
        <f>VLOOKUP(A1028,Metrik!$C$2:$Y$959,5,0)</f>
        <v>Real Estate Management &amp; Development</v>
      </c>
      <c r="AB1028" s="24" t="str">
        <f>VLOOKUP(A1028,Metrik!$C$2:$Y$959,3,0)</f>
        <v>Properties &amp; Real Estate</v>
      </c>
    </row>
    <row r="1029">
      <c r="A1029" s="14" t="s">
        <v>536</v>
      </c>
      <c r="B1029" s="14" t="str">
        <f t="array" ref="B1029">VLOOKUP(A1029,{Metrik!$C$2:$C$998,Metrik!$B$2:$B$998},2,0)</f>
        <v>KMI Wire &amp; Cable Tbk.</v>
      </c>
      <c r="C1029" s="15">
        <f>IFERROR(__xludf.DUMMYFUNCTION("GOOGLEFINANCE(""IDX:""&amp;A1029,""price"")"),318.0)</f>
        <v>318</v>
      </c>
      <c r="D1029" s="16" t="str">
        <f>IFERROR(__xludf.DUMMYFUNCTION("IF(A1029="""","""",
SPARKLINE(
INDEX(
GOOGLEFINANCE(""IDX:""&amp;A1029,""close"",TODAY()-365,TODAY()),
,2
),
{""linewidth"",1}
))
"),"#N/A")</f>
        <v>#N/A</v>
      </c>
      <c r="E1029" s="26"/>
      <c r="F1029" s="26"/>
      <c r="G1029" s="24">
        <f t="shared" si="7"/>
        <v>0</v>
      </c>
      <c r="H1029" s="19">
        <f>VLOOKUP(A1029,Metrik!$C$2:$Y$959,8,0)</f>
        <v>6.5</v>
      </c>
      <c r="I1029" s="20">
        <f>VLOOKUP(A1029,Metrik!$C$2:$Y$959,9,0)</f>
        <v>0.43</v>
      </c>
      <c r="J1029" s="20">
        <f>VLOOKUP(A1029,Metrik!$C$2:$Y$959,10,0)</f>
        <v>6.6</v>
      </c>
      <c r="K1029" s="20">
        <f>VLOOKUP(A1029,Metrik!$C$2:$Y$959,11,0)</f>
        <v>5.7</v>
      </c>
      <c r="L1029" s="20">
        <f>VLOOKUP(A1029,Metrik!$C$2:$Y$959,12,0)</f>
        <v>0.17</v>
      </c>
      <c r="M1029" s="20">
        <f>VLOOKUP(A1029,Metrik!$C$2:$Y$959,19,0)</f>
        <v>22.7</v>
      </c>
      <c r="N1029" s="21"/>
      <c r="O1029" s="21"/>
      <c r="P1029" s="21"/>
      <c r="Q1029" s="21"/>
      <c r="R1029" s="21"/>
      <c r="S1029" s="21"/>
      <c r="T1029" s="21"/>
      <c r="U1029" s="22">
        <f>IFERROR(__xludf.DUMMYFUNCTION("IFERROR(GOOGLEFINANCE(A1029,""closeyest""),"""")"),312.0)</f>
        <v>312</v>
      </c>
      <c r="V1029" s="23">
        <f>IFERROR(__xludf.DUMMYFUNCTION("IFERROR(GOOGLEFINANCE(A1029,""changepct""),"""")"),1.92)</f>
        <v>1.92</v>
      </c>
      <c r="W1029" s="22">
        <f>IFERROR(__xludf.DUMMYFUNCTION("IFERROR(GOOGLEFINANCE(A1029,""priceopen""),"""")"),316.0)</f>
        <v>316</v>
      </c>
      <c r="X1029" s="22">
        <f>IFERROR(__xludf.DUMMYFUNCTION("IFERROR(GOOGLEFINANCE(A1029,""high""),"""")"),328.0)</f>
        <v>328</v>
      </c>
      <c r="Y1029" s="22">
        <f>IFERROR(__xludf.DUMMYFUNCTION("IFERROR(GOOGLEFINANCE(A1029,""low""),"""")"),316.0)</f>
        <v>316</v>
      </c>
      <c r="Z1029" s="22">
        <f>IFERROR(__xludf.DUMMYFUNCTION("IFERROR(GOOGLEFINANCE(A1029,""volume""),"""")"),530100.0)</f>
        <v>530100</v>
      </c>
      <c r="AA1029" s="24" t="str">
        <f>VLOOKUP(A1029,Metrik!$C$2:$Y$959,5,0)</f>
        <v>Electrical</v>
      </c>
      <c r="AB1029" s="24" t="str">
        <f>VLOOKUP(A1029,Metrik!$C$2:$Y$959,3,0)</f>
        <v>Industrials</v>
      </c>
    </row>
    <row r="1030">
      <c r="A1030" s="14" t="s">
        <v>537</v>
      </c>
      <c r="B1030" s="14" t="str">
        <f t="array" ref="B1030">VLOOKUP(A1030,{Metrik!$C$2:$C$998,Metrik!$B$2:$B$998},2,0)</f>
        <v>Kabelindo Murni Tbk.</v>
      </c>
      <c r="C1030" s="15">
        <f>IFERROR(__xludf.DUMMYFUNCTION("GOOGLEFINANCE(""IDX:""&amp;A1030,""price"")"),288.0)</f>
        <v>288</v>
      </c>
      <c r="D1030" s="16" t="str">
        <f>IFERROR(__xludf.DUMMYFUNCTION("IF(A1030="""","""",
SPARKLINE(
INDEX(
GOOGLEFINANCE(""IDX:""&amp;A1030,""close"",TODAY()-365,TODAY()),
,2
),
{""linewidth"",1}
))
"),"#N/A")</f>
        <v>#N/A</v>
      </c>
      <c r="E1030" s="26"/>
      <c r="F1030" s="26"/>
      <c r="G1030" s="24">
        <f t="shared" si="7"/>
        <v>0</v>
      </c>
      <c r="H1030" s="19">
        <f>VLOOKUP(A1030,Metrik!$C$2:$Y$959,8,0)</f>
        <v>18</v>
      </c>
      <c r="I1030" s="20">
        <f>VLOOKUP(A1030,Metrik!$C$2:$Y$959,9,0)</f>
        <v>0.23</v>
      </c>
      <c r="J1030" s="20">
        <f>VLOOKUP(A1030,Metrik!$C$2:$Y$959,10,0)</f>
        <v>1.3</v>
      </c>
      <c r="K1030" s="20">
        <f>VLOOKUP(A1030,Metrik!$C$2:$Y$959,11,0)</f>
        <v>0.95</v>
      </c>
      <c r="L1030" s="20">
        <f>VLOOKUP(A1030,Metrik!$C$2:$Y$959,12,0)</f>
        <v>0.36</v>
      </c>
      <c r="M1030" s="20">
        <f>VLOOKUP(A1030,Metrik!$C$2:$Y$959,19,0)</f>
        <v>2.7</v>
      </c>
      <c r="N1030" s="21"/>
      <c r="O1030" s="21"/>
      <c r="P1030" s="21"/>
      <c r="Q1030" s="21"/>
      <c r="R1030" s="21"/>
      <c r="S1030" s="21"/>
      <c r="T1030" s="21"/>
      <c r="U1030" s="22">
        <f>IFERROR(__xludf.DUMMYFUNCTION("IFERROR(GOOGLEFINANCE(A1030,""closeyest""),"""")"),278.0)</f>
        <v>278</v>
      </c>
      <c r="V1030" s="23">
        <f>IFERROR(__xludf.DUMMYFUNCTION("IFERROR(GOOGLEFINANCE(A1030,""changepct""),"""")"),3.6)</f>
        <v>3.6</v>
      </c>
      <c r="W1030" s="22">
        <f>IFERROR(__xludf.DUMMYFUNCTION("IFERROR(GOOGLEFINANCE(A1030,""priceopen""),"""")"),288.0)</f>
        <v>288</v>
      </c>
      <c r="X1030" s="22">
        <f>IFERROR(__xludf.DUMMYFUNCTION("IFERROR(GOOGLEFINANCE(A1030,""high""),"""")"),292.0)</f>
        <v>292</v>
      </c>
      <c r="Y1030" s="22">
        <f>IFERROR(__xludf.DUMMYFUNCTION("IFERROR(GOOGLEFINANCE(A1030,""low""),"""")"),288.0)</f>
        <v>288</v>
      </c>
      <c r="Z1030" s="22">
        <f>IFERROR(__xludf.DUMMYFUNCTION("IFERROR(GOOGLEFINANCE(A1030,""volume""),"""")"),50900.0)</f>
        <v>50900</v>
      </c>
      <c r="AA1030" s="24" t="str">
        <f>VLOOKUP(A1030,Metrik!$C$2:$Y$959,5,0)</f>
        <v>Electrical</v>
      </c>
      <c r="AB1030" s="24" t="str">
        <f>VLOOKUP(A1030,Metrik!$C$2:$Y$959,3,0)</f>
        <v>Industrials</v>
      </c>
    </row>
    <row r="1031">
      <c r="A1031" s="14" t="s">
        <v>538</v>
      </c>
      <c r="B1031" s="14" t="str">
        <f t="array" ref="B1031">VLOOKUP(A1031,{Metrik!$C$2:$C$998,Metrik!$B$2:$B$998},2,0)</f>
        <v>First Media Tbk.</v>
      </c>
      <c r="C1031" s="15">
        <f>IFERROR(__xludf.DUMMYFUNCTION("GOOGLEFINANCE(""IDX:""&amp;A1031,""price"")"),97.0)</f>
        <v>97</v>
      </c>
      <c r="D1031" s="16" t="str">
        <f>IFERROR(__xludf.DUMMYFUNCTION("IF(A1031="""","""",
SPARKLINE(
INDEX(
GOOGLEFINANCE(""IDX:""&amp;A1031,""close"",TODAY()-365,TODAY()),
,2
),
{""linewidth"",1}
))
"),"#N/A")</f>
        <v>#N/A</v>
      </c>
      <c r="E1031" s="26"/>
      <c r="F1031" s="26"/>
      <c r="G1031" s="24">
        <f t="shared" si="7"/>
        <v>0</v>
      </c>
      <c r="H1031" s="19">
        <f>VLOOKUP(A1031,Metrik!$C$2:$Y$959,8,0)</f>
        <v>61.7</v>
      </c>
      <c r="I1031" s="20">
        <f>VLOOKUP(A1031,Metrik!$C$2:$Y$959,9,0)</f>
        <v>0.33</v>
      </c>
      <c r="J1031" s="20">
        <f>VLOOKUP(A1031,Metrik!$C$2:$Y$959,10,0)</f>
        <v>0.54</v>
      </c>
      <c r="K1031" s="20">
        <f>VLOOKUP(A1031,Metrik!$C$2:$Y$959,11,0)</f>
        <v>0.14</v>
      </c>
      <c r="L1031" s="20">
        <f>VLOOKUP(A1031,Metrik!$C$2:$Y$959,12,0)</f>
        <v>3</v>
      </c>
      <c r="M1031" s="20">
        <f>VLOOKUP(A1031,Metrik!$C$2:$Y$959,19,0)</f>
        <v>1370</v>
      </c>
      <c r="N1031" s="21"/>
      <c r="O1031" s="21"/>
      <c r="P1031" s="21"/>
      <c r="Q1031" s="21"/>
      <c r="R1031" s="21"/>
      <c r="S1031" s="21"/>
      <c r="T1031" s="21"/>
      <c r="U1031" s="22">
        <f>IFERROR(__xludf.DUMMYFUNCTION("IFERROR(GOOGLEFINANCE(A1031,""closeyest""),"""")"),102.0)</f>
        <v>102</v>
      </c>
      <c r="V1031" s="23">
        <f>IFERROR(__xludf.DUMMYFUNCTION("IFERROR(GOOGLEFINANCE(A1031,""changepct""),"""")"),-4.9)</f>
        <v>-4.9</v>
      </c>
      <c r="W1031" s="22">
        <f>IFERROR(__xludf.DUMMYFUNCTION("IFERROR(GOOGLEFINANCE(A1031,""priceopen""),"""")"),102.0)</f>
        <v>102</v>
      </c>
      <c r="X1031" s="22">
        <f>IFERROR(__xludf.DUMMYFUNCTION("IFERROR(GOOGLEFINANCE(A1031,""high""),"""")"),104.0)</f>
        <v>104</v>
      </c>
      <c r="Y1031" s="22">
        <f>IFERROR(__xludf.DUMMYFUNCTION("IFERROR(GOOGLEFINANCE(A1031,""low""),"""")"),93.0)</f>
        <v>93</v>
      </c>
      <c r="Z1031" s="22">
        <f>IFERROR(__xludf.DUMMYFUNCTION("IFERROR(GOOGLEFINANCE(A1031,""volume""),"""")"),2.30299E7)</f>
        <v>23029900</v>
      </c>
      <c r="AA1031" s="24" t="str">
        <f>VLOOKUP(A1031,Metrik!$C$2:$Y$959,5,0)</f>
        <v>Telecommunication Service</v>
      </c>
      <c r="AB1031" s="24" t="str">
        <f>VLOOKUP(A1031,Metrik!$C$2:$Y$959,3,0)</f>
        <v>Infrastructures</v>
      </c>
    </row>
    <row r="1032">
      <c r="A1032" s="14" t="s">
        <v>539</v>
      </c>
      <c r="B1032" s="14" t="str">
        <f t="array" ref="B1032">VLOOKUP(A1032,{Metrik!$C$2:$C$998,Metrik!$B$2:$B$998},2,0)</f>
        <v>Kertas Basuki Rachmat Indonesia Tbk.</v>
      </c>
      <c r="C1032" s="15">
        <f>IFERROR(__xludf.DUMMYFUNCTION("GOOGLEFINANCE(""IDX:""&amp;A1032,""price"")"),50.0)</f>
        <v>50</v>
      </c>
      <c r="D1032" s="16" t="str">
        <f>IFERROR(__xludf.DUMMYFUNCTION("IF(A1032="""","""",
SPARKLINE(
INDEX(
GOOGLEFINANCE(""IDX:""&amp;A1032,""close"",TODAY()-365,TODAY()),
,2
),
{""linewidth"",1}
))
"),"#N/A")</f>
        <v>#N/A</v>
      </c>
      <c r="E1032" s="26"/>
      <c r="F1032" s="26"/>
      <c r="G1032" s="24">
        <f t="shared" si="7"/>
        <v>0</v>
      </c>
      <c r="H1032" s="19">
        <f>VLOOKUP(A1032,Metrik!$C$2:$Y$959,8,0)</f>
        <v>0</v>
      </c>
      <c r="I1032" s="20">
        <f>VLOOKUP(A1032,Metrik!$C$2:$Y$959,9,0)</f>
        <v>3.2</v>
      </c>
      <c r="J1032" s="20">
        <f>VLOOKUP(A1032,Metrik!$C$2:$Y$959,10,0)</f>
        <v>-25.2</v>
      </c>
      <c r="K1032" s="20">
        <f>VLOOKUP(A1032,Metrik!$C$2:$Y$959,11,0)</f>
        <v>-3.4</v>
      </c>
      <c r="L1032" s="20">
        <f>VLOOKUP(A1032,Metrik!$C$2:$Y$959,12,0)</f>
        <v>6.5</v>
      </c>
      <c r="M1032" s="20">
        <f>VLOOKUP(A1032,Metrik!$C$2:$Y$959,19,0)</f>
        <v>-8950</v>
      </c>
      <c r="N1032" s="21"/>
      <c r="O1032" s="21"/>
      <c r="P1032" s="21"/>
      <c r="Q1032" s="21"/>
      <c r="R1032" s="21"/>
      <c r="S1032" s="21"/>
      <c r="T1032" s="21"/>
      <c r="U1032" s="22">
        <f>IFERROR(__xludf.DUMMYFUNCTION("IFERROR(GOOGLEFINANCE(A1032,""closeyest""),"""")"),50.0)</f>
        <v>50</v>
      </c>
      <c r="V1032" s="23">
        <f>IFERROR(__xludf.DUMMYFUNCTION("IFERROR(GOOGLEFINANCE(A1032,""changepct""),"""")"),0.0)</f>
        <v>0</v>
      </c>
      <c r="W1032" s="22" t="str">
        <f>IFERROR(__xludf.DUMMYFUNCTION("IFERROR(GOOGLEFINANCE(A1032,""priceopen""),"""")"),"")</f>
        <v/>
      </c>
      <c r="X1032" s="22" t="str">
        <f>IFERROR(__xludf.DUMMYFUNCTION("IFERROR(GOOGLEFINANCE(A1032,""high""),"""")"),"")</f>
        <v/>
      </c>
      <c r="Y1032" s="22" t="str">
        <f>IFERROR(__xludf.DUMMYFUNCTION("IFERROR(GOOGLEFINANCE(A1032,""low""),"""")"),"")</f>
        <v/>
      </c>
      <c r="Z1032" s="22">
        <f>IFERROR(__xludf.DUMMYFUNCTION("IFERROR(GOOGLEFINANCE(A1032,""volume""),"""")"),0.0)</f>
        <v>0</v>
      </c>
      <c r="AA1032" s="24" t="str">
        <f>VLOOKUP(A1032,Metrik!$C$2:$Y$959,5,0)</f>
        <v>Forestry &amp; Paper</v>
      </c>
      <c r="AB1032" s="24" t="str">
        <f>VLOOKUP(A1032,Metrik!$C$2:$Y$959,3,0)</f>
        <v>Basic Materials</v>
      </c>
    </row>
    <row r="1033">
      <c r="A1033" s="14" t="s">
        <v>540</v>
      </c>
      <c r="B1033" s="14" t="str">
        <f t="array" ref="B1033">VLOOKUP(A1033,{Metrik!$C$2:$C$998,Metrik!$B$2:$B$998},2,0)</f>
        <v>Kedawung Setia Industrial Tbk.</v>
      </c>
      <c r="C1033" s="15">
        <f>IFERROR(__xludf.DUMMYFUNCTION("GOOGLEFINANCE(""IDX:""&amp;A1033,""price"")"),444.0)</f>
        <v>444</v>
      </c>
      <c r="D1033" s="16" t="str">
        <f>IFERROR(__xludf.DUMMYFUNCTION("IF(A1033="""","""",
SPARKLINE(
INDEX(
GOOGLEFINANCE(""IDX:""&amp;A1033,""close"",TODAY()-365,TODAY()),
,2
),
{""linewidth"",1}
))
"),"#N/A")</f>
        <v>#N/A</v>
      </c>
      <c r="E1033" s="26"/>
      <c r="F1033" s="26"/>
      <c r="G1033" s="24">
        <f t="shared" si="7"/>
        <v>0</v>
      </c>
      <c r="H1033" s="19">
        <f>VLOOKUP(A1033,Metrik!$C$2:$Y$959,8,0)</f>
        <v>24.6</v>
      </c>
      <c r="I1033" s="20">
        <f>VLOOKUP(A1033,Metrik!$C$2:$Y$959,9,0)</f>
        <v>0.91</v>
      </c>
      <c r="J1033" s="20">
        <f>VLOOKUP(A1033,Metrik!$C$2:$Y$959,10,0)</f>
        <v>3.7</v>
      </c>
      <c r="K1033" s="20">
        <f>VLOOKUP(A1033,Metrik!$C$2:$Y$959,11,0)</f>
        <v>2.5</v>
      </c>
      <c r="L1033" s="20">
        <f>VLOOKUP(A1033,Metrik!$C$2:$Y$959,12,0)</f>
        <v>0.49</v>
      </c>
      <c r="M1033" s="20">
        <f>VLOOKUP(A1033,Metrik!$C$2:$Y$959,19,0)</f>
        <v>6.2</v>
      </c>
      <c r="N1033" s="21"/>
      <c r="O1033" s="21"/>
      <c r="P1033" s="21"/>
      <c r="Q1033" s="21"/>
      <c r="R1033" s="21"/>
      <c r="S1033" s="21"/>
      <c r="T1033" s="21"/>
      <c r="U1033" s="22">
        <f>IFERROR(__xludf.DUMMYFUNCTION("IFERROR(GOOGLEFINANCE(A1033,""closeyest""),"""")"),432.0)</f>
        <v>432</v>
      </c>
      <c r="V1033" s="23">
        <f>IFERROR(__xludf.DUMMYFUNCTION("IFERROR(GOOGLEFINANCE(A1033,""changepct""),"""")"),2.78)</f>
        <v>2.78</v>
      </c>
      <c r="W1033" s="22">
        <f>IFERROR(__xludf.DUMMYFUNCTION("IFERROR(GOOGLEFINANCE(A1033,""priceopen""),"""")"),432.0)</f>
        <v>432</v>
      </c>
      <c r="X1033" s="22">
        <f>IFERROR(__xludf.DUMMYFUNCTION("IFERROR(GOOGLEFINANCE(A1033,""high""),"""")"),446.0)</f>
        <v>446</v>
      </c>
      <c r="Y1033" s="22">
        <f>IFERROR(__xludf.DUMMYFUNCTION("IFERROR(GOOGLEFINANCE(A1033,""low""),"""")"),410.0)</f>
        <v>410</v>
      </c>
      <c r="Z1033" s="22">
        <f>IFERROR(__xludf.DUMMYFUNCTION("IFERROR(GOOGLEFINANCE(A1033,""volume""),"""")"),27400.0)</f>
        <v>27400</v>
      </c>
      <c r="AA1033" s="24" t="str">
        <f>VLOOKUP(A1033,Metrik!$C$2:$Y$959,5,0)</f>
        <v>Containers &amp; Packaging</v>
      </c>
      <c r="AB1033" s="24" t="str">
        <f>VLOOKUP(A1033,Metrik!$C$2:$Y$959,3,0)</f>
        <v>Basic Materials</v>
      </c>
    </row>
    <row r="1034">
      <c r="A1034" s="14" t="s">
        <v>541</v>
      </c>
      <c r="B1034" s="14" t="str">
        <f t="array" ref="B1034">VLOOKUP(A1034,{Metrik!$C$2:$C$998,Metrik!$B$2:$B$998},2,0)</f>
        <v>Puri Sentul Permai Tbk.</v>
      </c>
      <c r="C1034" s="15">
        <f>IFERROR(__xludf.DUMMYFUNCTION("GOOGLEFINANCE(""IDX:""&amp;A1034,""price"")"),740.0)</f>
        <v>740</v>
      </c>
      <c r="D1034" s="16" t="str">
        <f>IFERROR(__xludf.DUMMYFUNCTION("IF(A1034="""","""",
SPARKLINE(
INDEX(
GOOGLEFINANCE(""IDX:""&amp;A1034,""close"",TODAY()-365,TODAY()),
,2
),
{""linewidth"",1}
))
"),"#N/A")</f>
        <v>#N/A</v>
      </c>
      <c r="E1034" s="26"/>
      <c r="F1034" s="26"/>
      <c r="G1034" s="24">
        <f t="shared" si="7"/>
        <v>0</v>
      </c>
      <c r="H1034" s="19">
        <f>VLOOKUP(A1034,Metrik!$C$2:$Y$959,8,0)</f>
        <v>420</v>
      </c>
      <c r="I1034" s="20">
        <f>VLOOKUP(A1034,Metrik!$C$2:$Y$959,9,0)</f>
        <v>15.5</v>
      </c>
      <c r="J1034" s="20">
        <f>VLOOKUP(A1034,Metrik!$C$2:$Y$959,10,0)</f>
        <v>3.7</v>
      </c>
      <c r="K1034" s="20">
        <f>VLOOKUP(A1034,Metrik!$C$2:$Y$959,11,0)</f>
        <v>3.1</v>
      </c>
      <c r="L1034" s="20">
        <f>VLOOKUP(A1034,Metrik!$C$2:$Y$959,12,0)</f>
        <v>0.19</v>
      </c>
      <c r="M1034" s="20">
        <f>VLOOKUP(A1034,Metrik!$C$2:$Y$959,19,0)</f>
        <v>27.6</v>
      </c>
      <c r="N1034" s="21"/>
      <c r="O1034" s="21"/>
      <c r="P1034" s="21"/>
      <c r="Q1034" s="21"/>
      <c r="R1034" s="21"/>
      <c r="S1034" s="21"/>
      <c r="T1034" s="21"/>
      <c r="U1034" s="22">
        <f>IFERROR(__xludf.DUMMYFUNCTION("IFERROR(GOOGLEFINANCE(A1034,""closeyest""),"""")"),735.0)</f>
        <v>735</v>
      </c>
      <c r="V1034" s="23">
        <f>IFERROR(__xludf.DUMMYFUNCTION("IFERROR(GOOGLEFINANCE(A1034,""changepct""),"""")"),0.68)</f>
        <v>0.68</v>
      </c>
      <c r="W1034" s="22">
        <f>IFERROR(__xludf.DUMMYFUNCTION("IFERROR(GOOGLEFINANCE(A1034,""priceopen""),"""")"),725.0)</f>
        <v>725</v>
      </c>
      <c r="X1034" s="22" t="str">
        <f>IFERROR(__xludf.DUMMYFUNCTION("IFERROR(GOOGLEFINANCE(A1034,""high""),"""")"),"")</f>
        <v/>
      </c>
      <c r="Y1034" s="22">
        <f>IFERROR(__xludf.DUMMYFUNCTION("IFERROR(GOOGLEFINANCE(A1034,""low""),"""")"),720.0)</f>
        <v>720</v>
      </c>
      <c r="Z1034" s="22">
        <f>IFERROR(__xludf.DUMMYFUNCTION("IFERROR(GOOGLEFINANCE(A1034,""volume""),"""")"),354300.0)</f>
        <v>354300</v>
      </c>
      <c r="AA1034" s="24" t="str">
        <f>VLOOKUP(A1034,Metrik!$C$2:$Y$959,5,0)</f>
        <v>Tourism &amp; Recreation</v>
      </c>
      <c r="AB1034" s="24" t="str">
        <f>VLOOKUP(A1034,Metrik!$C$2:$Y$959,3,0)</f>
        <v>Consumer Cyclicals</v>
      </c>
    </row>
    <row r="1035">
      <c r="A1035" s="17" t="s">
        <v>542</v>
      </c>
      <c r="B1035" s="14" t="str">
        <f t="array" ref="B1035">VLOOKUP(A1035,{Metrik!$C$2:$C$998,Metrik!$B$2:$B$998},2,0)</f>
        <v>Kencana Energi Lestari Tbk.</v>
      </c>
      <c r="C1035" s="15">
        <f>IFERROR(__xludf.DUMMYFUNCTION("GOOGLEFINANCE(""IDX:""&amp;A1035,""price"")"),845.0)</f>
        <v>845</v>
      </c>
      <c r="D1035" s="16" t="str">
        <f>IFERROR(__xludf.DUMMYFUNCTION("IF(A1035="""","""",
SPARKLINE(
INDEX(
GOOGLEFINANCE(""IDX:""&amp;A1035,""close"",TODAY()-365,TODAY()),
,2
),
{""linewidth"",1}
))
"),"#N/A")</f>
        <v>#N/A</v>
      </c>
      <c r="E1035" s="17" t="s">
        <v>175</v>
      </c>
      <c r="F1035" s="14" t="s">
        <v>34</v>
      </c>
      <c r="G1035" s="18">
        <f t="shared" si="7"/>
        <v>1</v>
      </c>
      <c r="H1035" s="19">
        <f>VLOOKUP(A1035,Metrik!$C$2:$Y$959,8,0)</f>
        <v>25.1</v>
      </c>
      <c r="I1035" s="20">
        <f>VLOOKUP(A1035,Metrik!$C$2:$Y$959,9,0)</f>
        <v>0.91</v>
      </c>
      <c r="J1035" s="20">
        <f>VLOOKUP(A1035,Metrik!$C$2:$Y$959,10,0)</f>
        <v>3.6</v>
      </c>
      <c r="K1035" s="20">
        <f>VLOOKUP(A1035,Metrik!$C$2:$Y$959,11,0)</f>
        <v>2</v>
      </c>
      <c r="L1035" s="20">
        <f>VLOOKUP(A1035,Metrik!$C$2:$Y$959,12,0)</f>
        <v>0.77</v>
      </c>
      <c r="M1035" s="20">
        <f>VLOOKUP(A1035,Metrik!$C$2:$Y$959,19,0)</f>
        <v>82.1</v>
      </c>
      <c r="N1035" s="21"/>
      <c r="O1035" s="21"/>
      <c r="P1035" s="21"/>
      <c r="Q1035" s="21"/>
      <c r="R1035" s="21"/>
      <c r="S1035" s="21"/>
      <c r="T1035" s="21"/>
      <c r="U1035" s="22">
        <f>IFERROR(__xludf.DUMMYFUNCTION("IFERROR(GOOGLEFINANCE(A1035,""closeyest""),"""")"),810.0)</f>
        <v>810</v>
      </c>
      <c r="V1035" s="23">
        <f>IFERROR(__xludf.DUMMYFUNCTION("IFERROR(GOOGLEFINANCE(A1035,""changepct""),"""")"),4.32)</f>
        <v>4.32</v>
      </c>
      <c r="W1035" s="22">
        <f>IFERROR(__xludf.DUMMYFUNCTION("IFERROR(GOOGLEFINANCE(A1035,""priceopen""),"""")"),810.0)</f>
        <v>810</v>
      </c>
      <c r="X1035" s="22">
        <f>IFERROR(__xludf.DUMMYFUNCTION("IFERROR(GOOGLEFINANCE(A1035,""high""),"""")"),855.0)</f>
        <v>855</v>
      </c>
      <c r="Y1035" s="22">
        <f>IFERROR(__xludf.DUMMYFUNCTION("IFERROR(GOOGLEFINANCE(A1035,""low""),"""")"),810.0)</f>
        <v>810</v>
      </c>
      <c r="Z1035" s="22">
        <f>IFERROR(__xludf.DUMMYFUNCTION("IFERROR(GOOGLEFINANCE(A1035,""volume""),"""")"),1.11651E7)</f>
        <v>11165100</v>
      </c>
      <c r="AA1035" s="24" t="str">
        <f>VLOOKUP(A1035,Metrik!$C$2:$Y$959,5,0)</f>
        <v>Electric Utilities</v>
      </c>
      <c r="AB1035" s="24" t="str">
        <f>VLOOKUP(A1035,Metrik!$C$2:$Y$959,3,0)</f>
        <v>Infrastructures</v>
      </c>
    </row>
    <row r="1036">
      <c r="A1036" s="14" t="s">
        <v>543</v>
      </c>
      <c r="B1036" s="14" t="str">
        <f t="array" ref="B1036">VLOOKUP(A1036,{Metrik!$C$2:$C$998,Metrik!$B$2:$B$998},2,0)</f>
        <v>Mulia Boga Raya Tbk.</v>
      </c>
      <c r="C1036" s="15">
        <f>IFERROR(__xludf.DUMMYFUNCTION("GOOGLEFINANCE(""IDX:""&amp;A1036,""price"")"),600.0)</f>
        <v>600</v>
      </c>
      <c r="D1036" s="16" t="str">
        <f>IFERROR(__xludf.DUMMYFUNCTION("IF(A1036="""","""",
SPARKLINE(
INDEX(
GOOGLEFINANCE(""IDX:""&amp;A1036,""close"",TODAY()-365,TODAY()),
,2
),
{""linewidth"",1}
))
"),"#N/A")</f>
        <v>#N/A</v>
      </c>
      <c r="E1036" s="26"/>
      <c r="F1036" s="26"/>
      <c r="G1036" s="24">
        <f t="shared" si="7"/>
        <v>0</v>
      </c>
      <c r="H1036" s="19">
        <f>VLOOKUP(A1036,Metrik!$C$2:$Y$959,8,0)</f>
        <v>18.8</v>
      </c>
      <c r="I1036" s="20">
        <f>VLOOKUP(A1036,Metrik!$C$2:$Y$959,9,0)</f>
        <v>3.8</v>
      </c>
      <c r="J1036" s="20">
        <f>VLOOKUP(A1036,Metrik!$C$2:$Y$959,10,0)</f>
        <v>20</v>
      </c>
      <c r="K1036" s="20">
        <f>VLOOKUP(A1036,Metrik!$C$2:$Y$959,11,0)</f>
        <v>13.5</v>
      </c>
      <c r="L1036" s="20">
        <f>VLOOKUP(A1036,Metrik!$C$2:$Y$959,12,0)</f>
        <v>0.48</v>
      </c>
      <c r="M1036" s="20">
        <f>VLOOKUP(A1036,Metrik!$C$2:$Y$959,19,0)</f>
        <v>37.8</v>
      </c>
      <c r="N1036" s="21"/>
      <c r="O1036" s="21"/>
      <c r="P1036" s="21"/>
      <c r="Q1036" s="21"/>
      <c r="R1036" s="21"/>
      <c r="S1036" s="21"/>
      <c r="T1036" s="21"/>
      <c r="U1036" s="22">
        <f>IFERROR(__xludf.DUMMYFUNCTION("IFERROR(GOOGLEFINANCE(A1036,""closeyest""),"""")"),605.0)</f>
        <v>605</v>
      </c>
      <c r="V1036" s="23">
        <f>IFERROR(__xludf.DUMMYFUNCTION("IFERROR(GOOGLEFINANCE(A1036,""changepct""),"""")"),-0.83)</f>
        <v>-0.83</v>
      </c>
      <c r="W1036" s="22">
        <f>IFERROR(__xludf.DUMMYFUNCTION("IFERROR(GOOGLEFINANCE(A1036,""priceopen""),"""")"),605.0)</f>
        <v>605</v>
      </c>
      <c r="X1036" s="22">
        <f>IFERROR(__xludf.DUMMYFUNCTION("IFERROR(GOOGLEFINANCE(A1036,""high""),"""")"),615.0)</f>
        <v>615</v>
      </c>
      <c r="Y1036" s="22">
        <f>IFERROR(__xludf.DUMMYFUNCTION("IFERROR(GOOGLEFINANCE(A1036,""low""),"""")"),600.0)</f>
        <v>600</v>
      </c>
      <c r="Z1036" s="22">
        <f>IFERROR(__xludf.DUMMYFUNCTION("IFERROR(GOOGLEFINANCE(A1036,""volume""),"""")"),246000.0)</f>
        <v>246000</v>
      </c>
      <c r="AA1036" s="24" t="str">
        <f>VLOOKUP(A1036,Metrik!$C$2:$Y$959,5,0)</f>
        <v>Processed Foods</v>
      </c>
      <c r="AB1036" s="24" t="str">
        <f>VLOOKUP(A1036,Metrik!$C$2:$Y$959,3,0)</f>
        <v>Consumer Non-Cyclicals</v>
      </c>
    </row>
    <row r="1037">
      <c r="A1037" s="14" t="s">
        <v>544</v>
      </c>
      <c r="B1037" s="14" t="str">
        <f t="array" ref="B1037">VLOOKUP(A1037,{Metrik!$C$2:$C$998,Metrik!$B$2:$B$998},2,0)</f>
        <v>Kedaung Indah Can Tbk</v>
      </c>
      <c r="C1037" s="15">
        <f>IFERROR(__xludf.DUMMYFUNCTION("GOOGLEFINANCE(""IDX:""&amp;A1037,""price"")"),173.0)</f>
        <v>173</v>
      </c>
      <c r="D1037" s="16" t="str">
        <f>IFERROR(__xludf.DUMMYFUNCTION("IF(A1037="""","""",
SPARKLINE(
INDEX(
GOOGLEFINANCE(""IDX:""&amp;A1037,""close"",TODAY()-365,TODAY()),
,2
),
{""linewidth"",1}
))
"),"#N/A")</f>
        <v>#N/A</v>
      </c>
      <c r="E1037" s="26"/>
      <c r="F1037" s="26"/>
      <c r="G1037" s="24">
        <f t="shared" si="7"/>
        <v>0</v>
      </c>
      <c r="H1037" s="19">
        <f>VLOOKUP(A1037,Metrik!$C$2:$Y$959,8,0)</f>
        <v>-9.1</v>
      </c>
      <c r="I1037" s="20">
        <f>VLOOKUP(A1037,Metrik!$C$2:$Y$959,9,0)</f>
        <v>0.5</v>
      </c>
      <c r="J1037" s="20">
        <f>VLOOKUP(A1037,Metrik!$C$2:$Y$959,10,0)</f>
        <v>-5.5</v>
      </c>
      <c r="K1037" s="20">
        <f>VLOOKUP(A1037,Metrik!$C$2:$Y$959,11,0)</f>
        <v>-2.8</v>
      </c>
      <c r="L1037" s="20">
        <f>VLOOKUP(A1037,Metrik!$C$2:$Y$959,12,0)</f>
        <v>0.93</v>
      </c>
      <c r="M1037" s="20">
        <f>VLOOKUP(A1037,Metrik!$C$2:$Y$959,19,0)</f>
        <v>-28.7</v>
      </c>
      <c r="N1037" s="21"/>
      <c r="O1037" s="21"/>
      <c r="P1037" s="21"/>
      <c r="Q1037" s="21"/>
      <c r="R1037" s="21"/>
      <c r="S1037" s="21"/>
      <c r="T1037" s="21"/>
      <c r="U1037" s="22">
        <f>IFERROR(__xludf.DUMMYFUNCTION("IFERROR(GOOGLEFINANCE(A1037,""closeyest""),"""")"),169.0)</f>
        <v>169</v>
      </c>
      <c r="V1037" s="23">
        <f>IFERROR(__xludf.DUMMYFUNCTION("IFERROR(GOOGLEFINANCE(A1037,""changepct""),"""")"),2.37)</f>
        <v>2.37</v>
      </c>
      <c r="W1037" s="22">
        <f>IFERROR(__xludf.DUMMYFUNCTION("IFERROR(GOOGLEFINANCE(A1037,""priceopen""),"""")"),165.0)</f>
        <v>165</v>
      </c>
      <c r="X1037" s="22">
        <f>IFERROR(__xludf.DUMMYFUNCTION("IFERROR(GOOGLEFINANCE(A1037,""high""),"""")"),176.0)</f>
        <v>176</v>
      </c>
      <c r="Y1037" s="22">
        <f>IFERROR(__xludf.DUMMYFUNCTION("IFERROR(GOOGLEFINANCE(A1037,""low""),"""")"),160.0)</f>
        <v>160</v>
      </c>
      <c r="Z1037" s="22">
        <f>IFERROR(__xludf.DUMMYFUNCTION("IFERROR(GOOGLEFINANCE(A1037,""volume""),"""")"),111700.0)</f>
        <v>111700</v>
      </c>
      <c r="AA1037" s="24" t="str">
        <f>VLOOKUP(A1037,Metrik!$C$2:$Y$959,5,0)</f>
        <v>Household Goods</v>
      </c>
      <c r="AB1037" s="24" t="str">
        <f>VLOOKUP(A1037,Metrik!$C$2:$Y$959,3,0)</f>
        <v>Consumer Cyclicals</v>
      </c>
    </row>
    <row r="1038">
      <c r="A1038" s="14" t="s">
        <v>545</v>
      </c>
      <c r="B1038" s="14" t="str">
        <f t="array" ref="B1038">VLOOKUP(A1038,{Metrik!$C$2:$C$998,Metrik!$B$2:$B$998},2,0)</f>
        <v>Kawasan Industri Jababeka Tbk.</v>
      </c>
      <c r="C1038" s="15">
        <f>IFERROR(__xludf.DUMMYFUNCTION("GOOGLEFINANCE(""IDX:""&amp;A1038,""price"")"),116.0)</f>
        <v>116</v>
      </c>
      <c r="D1038" s="16" t="str">
        <f>IFERROR(__xludf.DUMMYFUNCTION("IF(A1038="""","""",
SPARKLINE(
INDEX(
GOOGLEFINANCE(""IDX:""&amp;A1038,""close"",TODAY()-365,TODAY()),
,2
),
{""linewidth"",1}
))
"),"#N/A")</f>
        <v>#N/A</v>
      </c>
      <c r="E1038" s="14" t="s">
        <v>68</v>
      </c>
      <c r="F1038" s="14" t="s">
        <v>34</v>
      </c>
      <c r="G1038" s="24">
        <f t="shared" si="7"/>
        <v>5</v>
      </c>
      <c r="H1038" s="19">
        <f>VLOOKUP(A1038,Metrik!$C$2:$Y$959,8,0)</f>
        <v>5.9</v>
      </c>
      <c r="I1038" s="20">
        <f>VLOOKUP(A1038,Metrik!$C$2:$Y$959,9,0)</f>
        <v>0.31</v>
      </c>
      <c r="J1038" s="20">
        <f>VLOOKUP(A1038,Metrik!$C$2:$Y$959,10,0)</f>
        <v>5.3</v>
      </c>
      <c r="K1038" s="20">
        <f>VLOOKUP(A1038,Metrik!$C$2:$Y$959,11,0)</f>
        <v>2.9</v>
      </c>
      <c r="L1038" s="20">
        <f>VLOOKUP(A1038,Metrik!$C$2:$Y$959,12,0)</f>
        <v>0.85</v>
      </c>
      <c r="M1038" s="20">
        <f>VLOOKUP(A1038,Metrik!$C$2:$Y$959,19,0)</f>
        <v>36.7</v>
      </c>
      <c r="N1038" s="21"/>
      <c r="O1038" s="21"/>
      <c r="P1038" s="21"/>
      <c r="Q1038" s="21"/>
      <c r="R1038" s="21"/>
      <c r="S1038" s="21"/>
      <c r="T1038" s="21"/>
      <c r="U1038" s="22">
        <f>IFERROR(__xludf.DUMMYFUNCTION("IFERROR(GOOGLEFINANCE(A1038,""closeyest""),"""")"),114.0)</f>
        <v>114</v>
      </c>
      <c r="V1038" s="23">
        <f>IFERROR(__xludf.DUMMYFUNCTION("IFERROR(GOOGLEFINANCE(A1038,""changepct""),"""")"),1.75)</f>
        <v>1.75</v>
      </c>
      <c r="W1038" s="22">
        <f>IFERROR(__xludf.DUMMYFUNCTION("IFERROR(GOOGLEFINANCE(A1038,""priceopen""),"""")"),115.0)</f>
        <v>115</v>
      </c>
      <c r="X1038" s="22">
        <f>IFERROR(__xludf.DUMMYFUNCTION("IFERROR(GOOGLEFINANCE(A1038,""high""),"""")"),117.0)</f>
        <v>117</v>
      </c>
      <c r="Y1038" s="22">
        <f>IFERROR(__xludf.DUMMYFUNCTION("IFERROR(GOOGLEFINANCE(A1038,""low""),"""")"),114.0)</f>
        <v>114</v>
      </c>
      <c r="Z1038" s="22">
        <f>IFERROR(__xludf.DUMMYFUNCTION("IFERROR(GOOGLEFINANCE(A1038,""volume""),"""")"),7.49258E7)</f>
        <v>74925800</v>
      </c>
      <c r="AA1038" s="24" t="str">
        <f>VLOOKUP(A1038,Metrik!$C$2:$Y$959,5,0)</f>
        <v>Real Estate Management &amp; Development</v>
      </c>
      <c r="AB1038" s="24" t="str">
        <f>VLOOKUP(A1038,Metrik!$C$2:$Y$959,3,0)</f>
        <v>Properties &amp; Real Estate</v>
      </c>
    </row>
    <row r="1039">
      <c r="A1039" s="14" t="s">
        <v>545</v>
      </c>
      <c r="B1039" s="14" t="str">
        <f t="array" ref="B1039">VLOOKUP(A1039,{Metrik!$C$2:$C$998,Metrik!$B$2:$B$998},2,0)</f>
        <v>Kawasan Industri Jababeka Tbk.</v>
      </c>
      <c r="C1039" s="15">
        <f>IFERROR(__xludf.DUMMYFUNCTION("GOOGLEFINANCE(""IDX:""&amp;A1039,""price"")"),116.0)</f>
        <v>116</v>
      </c>
      <c r="D1039" s="16" t="str">
        <f>IFERROR(__xludf.DUMMYFUNCTION("IF(A1039="""","""",
SPARKLINE(
INDEX(
GOOGLEFINANCE(""IDX:""&amp;A1039,""close"",TODAY()-365,TODAY()),
,2
),
{""linewidth"",1}
))
"),"#N/A")</f>
        <v>#N/A</v>
      </c>
      <c r="E1039" s="14" t="s">
        <v>28</v>
      </c>
      <c r="F1039" s="17" t="s">
        <v>29</v>
      </c>
      <c r="G1039" s="24">
        <f t="shared" si="7"/>
        <v>5</v>
      </c>
      <c r="H1039" s="19">
        <f>VLOOKUP(A1039,Metrik!$C$2:$Y$959,8,0)</f>
        <v>5.9</v>
      </c>
      <c r="I1039" s="20">
        <f>VLOOKUP(A1039,Metrik!$C$2:$Y$959,9,0)</f>
        <v>0.31</v>
      </c>
      <c r="J1039" s="20">
        <f>VLOOKUP(A1039,Metrik!$C$2:$Y$959,10,0)</f>
        <v>5.3</v>
      </c>
      <c r="K1039" s="20">
        <f>VLOOKUP(A1039,Metrik!$C$2:$Y$959,11,0)</f>
        <v>2.9</v>
      </c>
      <c r="L1039" s="20">
        <f>VLOOKUP(A1039,Metrik!$C$2:$Y$959,12,0)</f>
        <v>0.85</v>
      </c>
      <c r="M1039" s="20">
        <f>VLOOKUP(A1039,Metrik!$C$2:$Y$959,19,0)</f>
        <v>36.7</v>
      </c>
      <c r="N1039" s="21"/>
      <c r="O1039" s="21"/>
      <c r="P1039" s="21"/>
      <c r="Q1039" s="21"/>
      <c r="R1039" s="21"/>
      <c r="S1039" s="21"/>
      <c r="T1039" s="21"/>
      <c r="U1039" s="22">
        <f>IFERROR(__xludf.DUMMYFUNCTION("IFERROR(GOOGLEFINANCE(A1039,""closeyest""),"""")"),114.0)</f>
        <v>114</v>
      </c>
      <c r="V1039" s="23">
        <f>IFERROR(__xludf.DUMMYFUNCTION("IFERROR(GOOGLEFINANCE(A1039,""changepct""),"""")"),1.75)</f>
        <v>1.75</v>
      </c>
      <c r="W1039" s="22">
        <f>IFERROR(__xludf.DUMMYFUNCTION("IFERROR(GOOGLEFINANCE(A1039,""priceopen""),"""")"),115.0)</f>
        <v>115</v>
      </c>
      <c r="X1039" s="22">
        <f>IFERROR(__xludf.DUMMYFUNCTION("IFERROR(GOOGLEFINANCE(A1039,""high""),"""")"),117.0)</f>
        <v>117</v>
      </c>
      <c r="Y1039" s="22">
        <f>IFERROR(__xludf.DUMMYFUNCTION("IFERROR(GOOGLEFINANCE(A1039,""low""),"""")"),114.0)</f>
        <v>114</v>
      </c>
      <c r="Z1039" s="22">
        <f>IFERROR(__xludf.DUMMYFUNCTION("IFERROR(GOOGLEFINANCE(A1039,""volume""),"""")"),7.49258E7)</f>
        <v>74925800</v>
      </c>
      <c r="AA1039" s="24" t="str">
        <f>VLOOKUP(A1039,Metrik!$C$2:$Y$959,5,0)</f>
        <v>Real Estate Management &amp; Development</v>
      </c>
      <c r="AB1039" s="24" t="str">
        <f>VLOOKUP(A1039,Metrik!$C$2:$Y$959,3,0)</f>
        <v>Properties &amp; Real Estate</v>
      </c>
    </row>
    <row r="1040">
      <c r="A1040" s="14" t="s">
        <v>545</v>
      </c>
      <c r="B1040" s="14" t="str">
        <f t="array" ref="B1040">VLOOKUP(A1040,{Metrik!$C$2:$C$998,Metrik!$B$2:$B$998},2,0)</f>
        <v>Kawasan Industri Jababeka Tbk.</v>
      </c>
      <c r="C1040" s="15">
        <f>IFERROR(__xludf.DUMMYFUNCTION("GOOGLEFINANCE(""IDX:""&amp;A1040,""price"")"),116.0)</f>
        <v>116</v>
      </c>
      <c r="D1040" s="16" t="str">
        <f>IFERROR(__xludf.DUMMYFUNCTION("IF(A1040="""","""",
SPARKLINE(
INDEX(
GOOGLEFINANCE(""IDX:""&amp;A1040,""close"",TODAY()-365,TODAY()),
,2
),
{""linewidth"",1}
))
"),"#N/A")</f>
        <v>#N/A</v>
      </c>
      <c r="E1040" s="14" t="s">
        <v>32</v>
      </c>
      <c r="F1040" s="14" t="s">
        <v>29</v>
      </c>
      <c r="G1040" s="24">
        <f t="shared" si="7"/>
        <v>5</v>
      </c>
      <c r="H1040" s="19">
        <f>VLOOKUP(A1040,Metrik!$C$2:$Y$959,8,0)</f>
        <v>5.9</v>
      </c>
      <c r="I1040" s="20">
        <f>VLOOKUP(A1040,Metrik!$C$2:$Y$959,9,0)</f>
        <v>0.31</v>
      </c>
      <c r="J1040" s="20">
        <f>VLOOKUP(A1040,Metrik!$C$2:$Y$959,10,0)</f>
        <v>5.3</v>
      </c>
      <c r="K1040" s="20">
        <f>VLOOKUP(A1040,Metrik!$C$2:$Y$959,11,0)</f>
        <v>2.9</v>
      </c>
      <c r="L1040" s="20">
        <f>VLOOKUP(A1040,Metrik!$C$2:$Y$959,12,0)</f>
        <v>0.85</v>
      </c>
      <c r="M1040" s="20">
        <f>VLOOKUP(A1040,Metrik!$C$2:$Y$959,19,0)</f>
        <v>36.7</v>
      </c>
      <c r="N1040" s="21"/>
      <c r="O1040" s="21"/>
      <c r="P1040" s="21"/>
      <c r="Q1040" s="21"/>
      <c r="R1040" s="21"/>
      <c r="S1040" s="21"/>
      <c r="T1040" s="21"/>
      <c r="U1040" s="22">
        <f>IFERROR(__xludf.DUMMYFUNCTION("IFERROR(GOOGLEFINANCE(A1040,""closeyest""),"""")"),114.0)</f>
        <v>114</v>
      </c>
      <c r="V1040" s="23">
        <f>IFERROR(__xludf.DUMMYFUNCTION("IFERROR(GOOGLEFINANCE(A1040,""changepct""),"""")"),1.75)</f>
        <v>1.75</v>
      </c>
      <c r="W1040" s="22">
        <f>IFERROR(__xludf.DUMMYFUNCTION("IFERROR(GOOGLEFINANCE(A1040,""priceopen""),"""")"),115.0)</f>
        <v>115</v>
      </c>
      <c r="X1040" s="22">
        <f>IFERROR(__xludf.DUMMYFUNCTION("IFERROR(GOOGLEFINANCE(A1040,""high""),"""")"),117.0)</f>
        <v>117</v>
      </c>
      <c r="Y1040" s="22">
        <f>IFERROR(__xludf.DUMMYFUNCTION("IFERROR(GOOGLEFINANCE(A1040,""low""),"""")"),114.0)</f>
        <v>114</v>
      </c>
      <c r="Z1040" s="22">
        <f>IFERROR(__xludf.DUMMYFUNCTION("IFERROR(GOOGLEFINANCE(A1040,""volume""),"""")"),7.49258E7)</f>
        <v>74925800</v>
      </c>
      <c r="AA1040" s="24" t="str">
        <f>VLOOKUP(A1040,Metrik!$C$2:$Y$959,5,0)</f>
        <v>Real Estate Management &amp; Development</v>
      </c>
      <c r="AB1040" s="24" t="str">
        <f>VLOOKUP(A1040,Metrik!$C$2:$Y$959,3,0)</f>
        <v>Properties &amp; Real Estate</v>
      </c>
    </row>
    <row r="1041">
      <c r="A1041" s="14" t="s">
        <v>545</v>
      </c>
      <c r="B1041" s="14" t="str">
        <f t="array" ref="B1041">VLOOKUP(A1041,{Metrik!$C$2:$C$998,Metrik!$B$2:$B$998},2,0)</f>
        <v>Kawasan Industri Jababeka Tbk.</v>
      </c>
      <c r="C1041" s="15">
        <f>IFERROR(__xludf.DUMMYFUNCTION("GOOGLEFINANCE(""IDX:""&amp;A1041,""price"")"),116.0)</f>
        <v>116</v>
      </c>
      <c r="D1041" s="16" t="str">
        <f>IFERROR(__xludf.DUMMYFUNCTION("IF(A1041="""","""",
SPARKLINE(
INDEX(
GOOGLEFINANCE(""IDX:""&amp;A1041,""close"",TODAY()-365,TODAY()),
,2
),
{""linewidth"",1}
))
"),"#N/A")</f>
        <v>#N/A</v>
      </c>
      <c r="E1041" s="14" t="s">
        <v>50</v>
      </c>
      <c r="F1041" s="17" t="s">
        <v>51</v>
      </c>
      <c r="G1041" s="24">
        <f t="shared" si="7"/>
        <v>5</v>
      </c>
      <c r="H1041" s="19">
        <f>VLOOKUP(A1041,Metrik!$C$2:$Y$959,8,0)</f>
        <v>5.9</v>
      </c>
      <c r="I1041" s="20">
        <f>VLOOKUP(A1041,Metrik!$C$2:$Y$959,9,0)</f>
        <v>0.31</v>
      </c>
      <c r="J1041" s="20">
        <f>VLOOKUP(A1041,Metrik!$C$2:$Y$959,10,0)</f>
        <v>5.3</v>
      </c>
      <c r="K1041" s="20">
        <f>VLOOKUP(A1041,Metrik!$C$2:$Y$959,11,0)</f>
        <v>2.9</v>
      </c>
      <c r="L1041" s="20">
        <f>VLOOKUP(A1041,Metrik!$C$2:$Y$959,12,0)</f>
        <v>0.85</v>
      </c>
      <c r="M1041" s="20">
        <f>VLOOKUP(A1041,Metrik!$C$2:$Y$959,19,0)</f>
        <v>36.7</v>
      </c>
      <c r="N1041" s="21"/>
      <c r="O1041" s="21"/>
      <c r="P1041" s="21"/>
      <c r="Q1041" s="21"/>
      <c r="R1041" s="21"/>
      <c r="S1041" s="21"/>
      <c r="T1041" s="21"/>
      <c r="U1041" s="22">
        <f>IFERROR(__xludf.DUMMYFUNCTION("IFERROR(GOOGLEFINANCE(A1041,""closeyest""),"""")"),114.0)</f>
        <v>114</v>
      </c>
      <c r="V1041" s="23">
        <f>IFERROR(__xludf.DUMMYFUNCTION("IFERROR(GOOGLEFINANCE(A1041,""changepct""),"""")"),1.75)</f>
        <v>1.75</v>
      </c>
      <c r="W1041" s="22">
        <f>IFERROR(__xludf.DUMMYFUNCTION("IFERROR(GOOGLEFINANCE(A1041,""priceopen""),"""")"),115.0)</f>
        <v>115</v>
      </c>
      <c r="X1041" s="22">
        <f>IFERROR(__xludf.DUMMYFUNCTION("IFERROR(GOOGLEFINANCE(A1041,""high""),"""")"),117.0)</f>
        <v>117</v>
      </c>
      <c r="Y1041" s="22">
        <f>IFERROR(__xludf.DUMMYFUNCTION("IFERROR(GOOGLEFINANCE(A1041,""low""),"""")"),114.0)</f>
        <v>114</v>
      </c>
      <c r="Z1041" s="22">
        <f>IFERROR(__xludf.DUMMYFUNCTION("IFERROR(GOOGLEFINANCE(A1041,""volume""),"""")"),7.49258E7)</f>
        <v>74925800</v>
      </c>
      <c r="AA1041" s="24" t="str">
        <f>VLOOKUP(A1041,Metrik!$C$2:$Y$959,5,0)</f>
        <v>Real Estate Management &amp; Development</v>
      </c>
      <c r="AB1041" s="24" t="str">
        <f>VLOOKUP(A1041,Metrik!$C$2:$Y$959,3,0)</f>
        <v>Properties &amp; Real Estate</v>
      </c>
    </row>
    <row r="1042">
      <c r="A1042" s="14" t="s">
        <v>545</v>
      </c>
      <c r="B1042" s="14" t="str">
        <f t="array" ref="B1042">VLOOKUP(A1042,{Metrik!$C$2:$C$998,Metrik!$B$2:$B$998},2,0)</f>
        <v>Kawasan Industri Jababeka Tbk.</v>
      </c>
      <c r="C1042" s="15">
        <f>IFERROR(__xludf.DUMMYFUNCTION("GOOGLEFINANCE(""IDX:""&amp;A1042,""price"")"),116.0)</f>
        <v>116</v>
      </c>
      <c r="D1042" s="16" t="str">
        <f>IFERROR(__xludf.DUMMYFUNCTION("IF(A1042="""","""",
SPARKLINE(
INDEX(
GOOGLEFINANCE(""IDX:""&amp;A1042,""close"",TODAY()-365,TODAY()),
,2
),
{""linewidth"",1}
))
"),"#N/A")</f>
        <v>#N/A</v>
      </c>
      <c r="E1042" s="14" t="s">
        <v>39</v>
      </c>
      <c r="F1042" s="25">
        <v>46356.0</v>
      </c>
      <c r="G1042" s="24">
        <f t="shared" si="7"/>
        <v>5</v>
      </c>
      <c r="H1042" s="19">
        <f>VLOOKUP(A1042,Metrik!$C$2:$Y$959,8,0)</f>
        <v>5.9</v>
      </c>
      <c r="I1042" s="20">
        <f>VLOOKUP(A1042,Metrik!$C$2:$Y$959,9,0)</f>
        <v>0.31</v>
      </c>
      <c r="J1042" s="20">
        <f>VLOOKUP(A1042,Metrik!$C$2:$Y$959,10,0)</f>
        <v>5.3</v>
      </c>
      <c r="K1042" s="20">
        <f>VLOOKUP(A1042,Metrik!$C$2:$Y$959,11,0)</f>
        <v>2.9</v>
      </c>
      <c r="L1042" s="20">
        <f>VLOOKUP(A1042,Metrik!$C$2:$Y$959,12,0)</f>
        <v>0.85</v>
      </c>
      <c r="M1042" s="20">
        <f>VLOOKUP(A1042,Metrik!$C$2:$Y$959,19,0)</f>
        <v>36.7</v>
      </c>
      <c r="N1042" s="21"/>
      <c r="O1042" s="21"/>
      <c r="P1042" s="21"/>
      <c r="Q1042" s="21"/>
      <c r="R1042" s="21"/>
      <c r="S1042" s="21"/>
      <c r="T1042" s="21"/>
      <c r="U1042" s="22">
        <f>IFERROR(__xludf.DUMMYFUNCTION("IFERROR(GOOGLEFINANCE(A1042,""closeyest""),"""")"),114.0)</f>
        <v>114</v>
      </c>
      <c r="V1042" s="23">
        <f>IFERROR(__xludf.DUMMYFUNCTION("IFERROR(GOOGLEFINANCE(A1042,""changepct""),"""")"),1.75)</f>
        <v>1.75</v>
      </c>
      <c r="W1042" s="22">
        <f>IFERROR(__xludf.DUMMYFUNCTION("IFERROR(GOOGLEFINANCE(A1042,""priceopen""),"""")"),115.0)</f>
        <v>115</v>
      </c>
      <c r="X1042" s="22">
        <f>IFERROR(__xludf.DUMMYFUNCTION("IFERROR(GOOGLEFINANCE(A1042,""high""),"""")"),117.0)</f>
        <v>117</v>
      </c>
      <c r="Y1042" s="22">
        <f>IFERROR(__xludf.DUMMYFUNCTION("IFERROR(GOOGLEFINANCE(A1042,""low""),"""")"),114.0)</f>
        <v>114</v>
      </c>
      <c r="Z1042" s="22">
        <f>IFERROR(__xludf.DUMMYFUNCTION("IFERROR(GOOGLEFINANCE(A1042,""volume""),"""")"),7.49258E7)</f>
        <v>74925800</v>
      </c>
      <c r="AA1042" s="24" t="str">
        <f>VLOOKUP(A1042,Metrik!$C$2:$Y$959,5,0)</f>
        <v>Real Estate Management &amp; Development</v>
      </c>
      <c r="AB1042" s="24" t="str">
        <f>VLOOKUP(A1042,Metrik!$C$2:$Y$959,3,0)</f>
        <v>Properties &amp; Real Estate</v>
      </c>
    </row>
    <row r="1043">
      <c r="A1043" s="14" t="s">
        <v>546</v>
      </c>
      <c r="B1043" s="14" t="str">
        <f t="array" ref="B1043">VLOOKUP(A1043,{Metrik!$C$2:$C$998,Metrik!$B$2:$B$998},2,0)</f>
        <v>PT Hoffmen Cleanindo Tbk</v>
      </c>
      <c r="C1043" s="15">
        <f>IFERROR(__xludf.DUMMYFUNCTION("GOOGLEFINANCE(""IDX:""&amp;A1043,""price"")"),460.0)</f>
        <v>460</v>
      </c>
      <c r="D1043" s="16" t="str">
        <f>IFERROR(__xludf.DUMMYFUNCTION("IF(A1043="""","""",
SPARKLINE(
INDEX(
GOOGLEFINANCE(""IDX:""&amp;A1043,""close"",TODAY()-365,TODAY()),
,2
),
{""linewidth"",1}
))
"),"#N/A")</f>
        <v>#N/A</v>
      </c>
      <c r="E1043" s="26"/>
      <c r="F1043" s="26"/>
      <c r="G1043" s="24">
        <f t="shared" si="7"/>
        <v>0</v>
      </c>
      <c r="H1043" s="19">
        <f>VLOOKUP(A1043,Metrik!$C$2:$Y$959,8,0)</f>
        <v>260</v>
      </c>
      <c r="I1043" s="20">
        <f>VLOOKUP(A1043,Metrik!$C$2:$Y$959,9,0)</f>
        <v>21.4</v>
      </c>
      <c r="J1043" s="20">
        <f>VLOOKUP(A1043,Metrik!$C$2:$Y$959,10,0)</f>
        <v>8.2</v>
      </c>
      <c r="K1043" s="20">
        <f>VLOOKUP(A1043,Metrik!$C$2:$Y$959,11,0)</f>
        <v>4</v>
      </c>
      <c r="L1043" s="20">
        <f>VLOOKUP(A1043,Metrik!$C$2:$Y$959,12,0)</f>
        <v>1</v>
      </c>
      <c r="M1043" s="20">
        <f>VLOOKUP(A1043,Metrik!$C$2:$Y$959,19,0)</f>
        <v>4.6</v>
      </c>
      <c r="N1043" s="21"/>
      <c r="O1043" s="21"/>
      <c r="P1043" s="21"/>
      <c r="Q1043" s="21"/>
      <c r="R1043" s="21"/>
      <c r="S1043" s="21"/>
      <c r="T1043" s="21"/>
      <c r="U1043" s="22">
        <f>IFERROR(__xludf.DUMMYFUNCTION("IFERROR(GOOGLEFINANCE(A1043,""closeyest""),"""")"),0.52)</f>
        <v>0.52</v>
      </c>
      <c r="V1043" s="23">
        <f>IFERROR(__xludf.DUMMYFUNCTION("IFERROR(GOOGLEFINANCE(A1043,""changepct""),"""")"),5.77)</f>
        <v>5.77</v>
      </c>
      <c r="W1043" s="22">
        <f>IFERROR(__xludf.DUMMYFUNCTION("IFERROR(GOOGLEFINANCE(A1043,""priceopen""),"""")"),0.54)</f>
        <v>0.54</v>
      </c>
      <c r="X1043" s="22" t="str">
        <f>IFERROR(__xludf.DUMMYFUNCTION("IFERROR(GOOGLEFINANCE(A1043,""high""),"""")"),"")</f>
        <v/>
      </c>
      <c r="Y1043" s="22">
        <f>IFERROR(__xludf.DUMMYFUNCTION("IFERROR(GOOGLEFINANCE(A1043,""low""),"""")"),0.54)</f>
        <v>0.54</v>
      </c>
      <c r="Z1043" s="22">
        <f>IFERROR(__xludf.DUMMYFUNCTION("IFERROR(GOOGLEFINANCE(A1043,""volume""),"""")"),13500.0)</f>
        <v>13500</v>
      </c>
      <c r="AA1043" s="24" t="str">
        <f>VLOOKUP(A1043,Metrik!$C$2:$Y$959,5,0)</f>
        <v>Professional Services</v>
      </c>
      <c r="AB1043" s="24" t="str">
        <f>VLOOKUP(A1043,Metrik!$C$2:$Y$959,3,0)</f>
        <v>Industrials</v>
      </c>
    </row>
    <row r="1044">
      <c r="A1044" s="14" t="s">
        <v>547</v>
      </c>
      <c r="B1044" s="14" t="str">
        <f t="array" ref="B1044">VLOOKUP(A1044,{Metrik!$C$2:$C$998,Metrik!$B$2:$B$998},2,0)</f>
        <v>PT Kino Indonesia Tbk</v>
      </c>
      <c r="C1044" s="15">
        <f>IFERROR(__xludf.DUMMYFUNCTION("GOOGLEFINANCE(""IDX:""&amp;A1044,""price"")"),1115.0)</f>
        <v>1115</v>
      </c>
      <c r="D1044" s="16" t="str">
        <f>IFERROR(__xludf.DUMMYFUNCTION("IF(A1044="""","""",
SPARKLINE(
INDEX(
GOOGLEFINANCE(""IDX:""&amp;A1044,""close"",TODAY()-365,TODAY()),
,2
),
{""linewidth"",1}
))
"),"#N/A")</f>
        <v>#N/A</v>
      </c>
      <c r="E1044" s="26"/>
      <c r="F1044" s="26"/>
      <c r="G1044" s="24">
        <f t="shared" si="7"/>
        <v>0</v>
      </c>
      <c r="H1044" s="19">
        <f>VLOOKUP(A1044,Metrik!$C$2:$Y$959,8,0)</f>
        <v>11.1</v>
      </c>
      <c r="I1044" s="20">
        <f>VLOOKUP(A1044,Metrik!$C$2:$Y$959,9,0)</f>
        <v>0.91</v>
      </c>
      <c r="J1044" s="20">
        <f>VLOOKUP(A1044,Metrik!$C$2:$Y$959,10,0)</f>
        <v>8.2</v>
      </c>
      <c r="K1044" s="20">
        <f>VLOOKUP(A1044,Metrik!$C$2:$Y$959,11,0)</f>
        <v>3.2</v>
      </c>
      <c r="L1044" s="20">
        <f>VLOOKUP(A1044,Metrik!$C$2:$Y$959,12,0)</f>
        <v>1.6</v>
      </c>
      <c r="M1044" s="20">
        <f>VLOOKUP(A1044,Metrik!$C$2:$Y$959,19,0)</f>
        <v>11.8</v>
      </c>
      <c r="N1044" s="21"/>
      <c r="O1044" s="21"/>
      <c r="P1044" s="21"/>
      <c r="Q1044" s="21"/>
      <c r="R1044" s="21"/>
      <c r="S1044" s="21"/>
      <c r="T1044" s="21"/>
      <c r="U1044" s="22">
        <f>IFERROR(__xludf.DUMMYFUNCTION("IFERROR(GOOGLEFINANCE(A1044,""closeyest""),"""")"),1110.0)</f>
        <v>1110</v>
      </c>
      <c r="V1044" s="23">
        <f>IFERROR(__xludf.DUMMYFUNCTION("IFERROR(GOOGLEFINANCE(A1044,""changepct""),"""")"),0.45)</f>
        <v>0.45</v>
      </c>
      <c r="W1044" s="22">
        <f>IFERROR(__xludf.DUMMYFUNCTION("IFERROR(GOOGLEFINANCE(A1044,""priceopen""),"""")"),1105.0)</f>
        <v>1105</v>
      </c>
      <c r="X1044" s="22">
        <f>IFERROR(__xludf.DUMMYFUNCTION("IFERROR(GOOGLEFINANCE(A1044,""high""),"""")"),1120.0)</f>
        <v>1120</v>
      </c>
      <c r="Y1044" s="22">
        <f>IFERROR(__xludf.DUMMYFUNCTION("IFERROR(GOOGLEFINANCE(A1044,""low""),"""")"),1105.0)</f>
        <v>1105</v>
      </c>
      <c r="Z1044" s="22">
        <f>IFERROR(__xludf.DUMMYFUNCTION("IFERROR(GOOGLEFINANCE(A1044,""volume""),"""")"),700.0)</f>
        <v>700</v>
      </c>
      <c r="AA1044" s="24" t="str">
        <f>VLOOKUP(A1044,Metrik!$C$2:$Y$959,5,0)</f>
        <v>Personal Care Products</v>
      </c>
      <c r="AB1044" s="24" t="str">
        <f>VLOOKUP(A1044,Metrik!$C$2:$Y$959,3,0)</f>
        <v>Consumer Non-Cyclicals</v>
      </c>
    </row>
    <row r="1045">
      <c r="A1045" s="14" t="s">
        <v>548</v>
      </c>
      <c r="B1045" s="14" t="str">
        <f t="array" ref="B1045">VLOOKUP(A1045,{Metrik!$C$2:$C$998,Metrik!$B$2:$B$998},2,0)</f>
        <v>Kioson Komersial Indonesia Tbk.</v>
      </c>
      <c r="C1045" s="15">
        <f>IFERROR(__xludf.DUMMYFUNCTION("GOOGLEFINANCE(""IDX:""&amp;A1045,""price"")"),91.0)</f>
        <v>91</v>
      </c>
      <c r="D1045" s="16" t="str">
        <f>IFERROR(__xludf.DUMMYFUNCTION("IF(A1045="""","""",
SPARKLINE(
INDEX(
GOOGLEFINANCE(""IDX:""&amp;A1045,""close"",TODAY()-365,TODAY()),
,2
),
{""linewidth"",1}
))
"),"#N/A")</f>
        <v>#N/A</v>
      </c>
      <c r="E1045" s="26"/>
      <c r="F1045" s="26"/>
      <c r="G1045" s="24">
        <f t="shared" si="7"/>
        <v>0</v>
      </c>
      <c r="H1045" s="19">
        <f>VLOOKUP(A1045,Metrik!$C$2:$Y$959,8,0)</f>
        <v>74.3</v>
      </c>
      <c r="I1045" s="20">
        <f>VLOOKUP(A1045,Metrik!$C$2:$Y$959,9,0)</f>
        <v>0.66</v>
      </c>
      <c r="J1045" s="20">
        <f>VLOOKUP(A1045,Metrik!$C$2:$Y$959,10,0)</f>
        <v>0.89</v>
      </c>
      <c r="K1045" s="20">
        <f>VLOOKUP(A1045,Metrik!$C$2:$Y$959,11,0)</f>
        <v>0.82</v>
      </c>
      <c r="L1045" s="20">
        <f>VLOOKUP(A1045,Metrik!$C$2:$Y$959,12,0)</f>
        <v>0.08</v>
      </c>
      <c r="M1045" s="20">
        <f>VLOOKUP(A1045,Metrik!$C$2:$Y$959,19,0)</f>
        <v>66.1</v>
      </c>
      <c r="N1045" s="21"/>
      <c r="O1045" s="21"/>
      <c r="P1045" s="21"/>
      <c r="Q1045" s="21"/>
      <c r="R1045" s="21"/>
      <c r="S1045" s="21"/>
      <c r="T1045" s="21"/>
      <c r="U1045" s="22">
        <f>IFERROR(__xludf.DUMMYFUNCTION("IFERROR(GOOGLEFINANCE(A1045,""closeyest""),"""")"),68.0)</f>
        <v>68</v>
      </c>
      <c r="V1045" s="23">
        <f>IFERROR(__xludf.DUMMYFUNCTION("IFERROR(GOOGLEFINANCE(A1045,""changepct""),"""")"),33.82)</f>
        <v>33.82</v>
      </c>
      <c r="W1045" s="22">
        <f>IFERROR(__xludf.DUMMYFUNCTION("IFERROR(GOOGLEFINANCE(A1045,""priceopen""),"""")"),68.0)</f>
        <v>68</v>
      </c>
      <c r="X1045" s="22">
        <f>IFERROR(__xludf.DUMMYFUNCTION("IFERROR(GOOGLEFINANCE(A1045,""high""),"""")"),91.0)</f>
        <v>91</v>
      </c>
      <c r="Y1045" s="22">
        <f>IFERROR(__xludf.DUMMYFUNCTION("IFERROR(GOOGLEFINANCE(A1045,""low""),"""")"),67.0)</f>
        <v>67</v>
      </c>
      <c r="Z1045" s="22">
        <f>IFERROR(__xludf.DUMMYFUNCTION("IFERROR(GOOGLEFINANCE(A1045,""volume""),"""")"),4.91683E7)</f>
        <v>49168300</v>
      </c>
      <c r="AA1045" s="24" t="str">
        <f>VLOOKUP(A1045,Metrik!$C$2:$Y$959,5,0)</f>
        <v>Online Applications &amp; Services</v>
      </c>
      <c r="AB1045" s="24" t="str">
        <f>VLOOKUP(A1045,Metrik!$C$2:$Y$959,3,0)</f>
        <v>Technology</v>
      </c>
    </row>
    <row r="1046">
      <c r="A1046" s="14" t="s">
        <v>549</v>
      </c>
      <c r="B1046" s="14" t="str">
        <f t="array" ref="B1046">VLOOKUP(A1046,{Metrik!$C$2:$C$998,Metrik!$B$2:$B$998},2,0)</f>
        <v>Krida Jaringan Nusantara Tbk.</v>
      </c>
      <c r="C1046" s="15">
        <f>IFERROR(__xludf.DUMMYFUNCTION("GOOGLEFINANCE(""IDX:""&amp;A1046,""price"")"),115.0)</f>
        <v>115</v>
      </c>
      <c r="D1046" s="16" t="str">
        <f>IFERROR(__xludf.DUMMYFUNCTION("IF(A1046="""","""",
SPARKLINE(
INDEX(
GOOGLEFINANCE(""IDX:""&amp;A1046,""close"",TODAY()-365,TODAY()),
,2
),
{""linewidth"",1}
))
"),"#N/A")</f>
        <v>#N/A</v>
      </c>
      <c r="E1046" s="26"/>
      <c r="F1046" s="26"/>
      <c r="G1046" s="24">
        <f t="shared" si="7"/>
        <v>0</v>
      </c>
      <c r="H1046" s="19">
        <f>VLOOKUP(A1046,Metrik!$C$2:$Y$959,8,0)</f>
        <v>5920</v>
      </c>
      <c r="I1046" s="20">
        <f>VLOOKUP(A1046,Metrik!$C$2:$Y$959,9,0)</f>
        <v>1.7</v>
      </c>
      <c r="J1046" s="20">
        <f>VLOOKUP(A1046,Metrik!$C$2:$Y$959,10,0)</f>
        <v>0.03</v>
      </c>
      <c r="K1046" s="20">
        <f>VLOOKUP(A1046,Metrik!$C$2:$Y$959,11,0)</f>
        <v>0.03</v>
      </c>
      <c r="L1046" s="20">
        <f>VLOOKUP(A1046,Metrik!$C$2:$Y$959,12,0)</f>
        <v>0.07</v>
      </c>
      <c r="M1046" s="20">
        <f>VLOOKUP(A1046,Metrik!$C$2:$Y$959,19,0)</f>
        <v>1.8</v>
      </c>
      <c r="N1046" s="21"/>
      <c r="O1046" s="21"/>
      <c r="P1046" s="21"/>
      <c r="Q1046" s="21"/>
      <c r="R1046" s="21"/>
      <c r="S1046" s="21"/>
      <c r="T1046" s="21"/>
      <c r="U1046" s="22">
        <f>IFERROR(__xludf.DUMMYFUNCTION("IFERROR(GOOGLEFINANCE(A1046,""closeyest""),"""")"),115.0)</f>
        <v>115</v>
      </c>
      <c r="V1046" s="23">
        <f>IFERROR(__xludf.DUMMYFUNCTION("IFERROR(GOOGLEFINANCE(A1046,""changepct""),"""")"),0.0)</f>
        <v>0</v>
      </c>
      <c r="W1046" s="22">
        <f>IFERROR(__xludf.DUMMYFUNCTION("IFERROR(GOOGLEFINANCE(A1046,""priceopen""),"""")"),115.0)</f>
        <v>115</v>
      </c>
      <c r="X1046" s="22">
        <f>IFERROR(__xludf.DUMMYFUNCTION("IFERROR(GOOGLEFINANCE(A1046,""high""),"""")"),119.0)</f>
        <v>119</v>
      </c>
      <c r="Y1046" s="22">
        <f>IFERROR(__xludf.DUMMYFUNCTION("IFERROR(GOOGLEFINANCE(A1046,""low""),"""")"),114.0)</f>
        <v>114</v>
      </c>
      <c r="Z1046" s="22">
        <f>IFERROR(__xludf.DUMMYFUNCTION("IFERROR(GOOGLEFINANCE(A1046,""volume""),"""")"),6240800.0)</f>
        <v>6240800</v>
      </c>
      <c r="AA1046" s="24" t="str">
        <f>VLOOKUP(A1046,Metrik!$C$2:$Y$959,5,0)</f>
        <v>Logistics &amp; Deliveries</v>
      </c>
      <c r="AB1046" s="24" t="str">
        <f>VLOOKUP(A1046,Metrik!$C$2:$Y$959,3,0)</f>
        <v>Transportation &amp; Logistic</v>
      </c>
    </row>
    <row r="1047">
      <c r="A1047" s="14" t="s">
        <v>550</v>
      </c>
      <c r="B1047" s="14" t="str">
        <f t="array" ref="B1047">VLOOKUP(A1047,{Metrik!$C$2:$C$998,Metrik!$B$2:$B$998},2,0)</f>
        <v>Kusuma Kemindo Sentosa Tbk.</v>
      </c>
      <c r="C1047" s="15">
        <f>IFERROR(__xludf.DUMMYFUNCTION("GOOGLEFINANCE(""IDX:""&amp;A1047,""price"")"),44.0)</f>
        <v>44</v>
      </c>
      <c r="D1047" s="16" t="str">
        <f>IFERROR(__xludf.DUMMYFUNCTION("IF(A1047="""","""",
SPARKLINE(
INDEX(
GOOGLEFINANCE(""IDX:""&amp;A1047,""close"",TODAY()-365,TODAY()),
,2
),
{""linewidth"",1}
))
"),"#N/A")</f>
        <v>#N/A</v>
      </c>
      <c r="E1047" s="26"/>
      <c r="F1047" s="26"/>
      <c r="G1047" s="24">
        <f t="shared" si="7"/>
        <v>0</v>
      </c>
      <c r="H1047" s="19">
        <f>VLOOKUP(A1047,Metrik!$C$2:$Y$959,8,0)</f>
        <v>-42.5</v>
      </c>
      <c r="I1047" s="20">
        <f>VLOOKUP(A1047,Metrik!$C$2:$Y$959,9,0)</f>
        <v>1.1</v>
      </c>
      <c r="J1047" s="20">
        <f>VLOOKUP(A1047,Metrik!$C$2:$Y$959,10,0)</f>
        <v>-2.6</v>
      </c>
      <c r="K1047" s="20">
        <f>VLOOKUP(A1047,Metrik!$C$2:$Y$959,11,0)</f>
        <v>-1.2</v>
      </c>
      <c r="L1047" s="20">
        <f>VLOOKUP(A1047,Metrik!$C$2:$Y$959,12,0)</f>
        <v>1.2</v>
      </c>
      <c r="M1047" s="20">
        <f>VLOOKUP(A1047,Metrik!$C$2:$Y$959,19,0)</f>
        <v>-3.1</v>
      </c>
      <c r="N1047" s="21"/>
      <c r="O1047" s="21"/>
      <c r="P1047" s="21"/>
      <c r="Q1047" s="21"/>
      <c r="R1047" s="21"/>
      <c r="S1047" s="21"/>
      <c r="T1047" s="21"/>
      <c r="U1047" s="22">
        <f>IFERROR(__xludf.DUMMYFUNCTION("IFERROR(GOOGLEFINANCE(A1047,""closeyest""),"""")"),42.0)</f>
        <v>42</v>
      </c>
      <c r="V1047" s="23">
        <f>IFERROR(__xludf.DUMMYFUNCTION("IFERROR(GOOGLEFINANCE(A1047,""changepct""),"""")"),4.76)</f>
        <v>4.76</v>
      </c>
      <c r="W1047" s="22">
        <f>IFERROR(__xludf.DUMMYFUNCTION("IFERROR(GOOGLEFINANCE(A1047,""priceopen""),"""")"),42.0)</f>
        <v>42</v>
      </c>
      <c r="X1047" s="22">
        <f>IFERROR(__xludf.DUMMYFUNCTION("IFERROR(GOOGLEFINANCE(A1047,""high""),"""")"),44.0)</f>
        <v>44</v>
      </c>
      <c r="Y1047" s="22">
        <f>IFERROR(__xludf.DUMMYFUNCTION("IFERROR(GOOGLEFINANCE(A1047,""low""),"""")"),42.0)</f>
        <v>42</v>
      </c>
      <c r="Z1047" s="22">
        <f>IFERROR(__xludf.DUMMYFUNCTION("IFERROR(GOOGLEFINANCE(A1047,""volume""),"""")"),2966800.0)</f>
        <v>2966800</v>
      </c>
      <c r="AA1047" s="24" t="str">
        <f>VLOOKUP(A1047,Metrik!$C$2:$Y$959,5,0)</f>
        <v>Chemicals</v>
      </c>
      <c r="AB1047" s="24" t="str">
        <f>VLOOKUP(A1047,Metrik!$C$2:$Y$959,3,0)</f>
        <v>Basic Materials</v>
      </c>
    </row>
    <row r="1048">
      <c r="A1048" s="14" t="s">
        <v>551</v>
      </c>
      <c r="B1048" s="14" t="str">
        <f t="array" ref="B1048">VLOOKUP(A1048,{Metrik!$C$2:$C$998,Metrik!$B$2:$B$998},2,0)</f>
        <v>Resource Alam Indonesia Tbk.</v>
      </c>
      <c r="C1048" s="15">
        <f>IFERROR(__xludf.DUMMYFUNCTION("GOOGLEFINANCE(""IDX:""&amp;A1048,""price"")"),280.0)</f>
        <v>280</v>
      </c>
      <c r="D1048" s="16" t="str">
        <f>IFERROR(__xludf.DUMMYFUNCTION("IF(A1048="""","""",
SPARKLINE(
INDEX(
GOOGLEFINANCE(""IDX:""&amp;A1048,""close"",TODAY()-365,TODAY()),
,2
),
{""linewidth"",1}
))
"),"#N/A")</f>
        <v>#N/A</v>
      </c>
      <c r="E1048" s="26"/>
      <c r="F1048" s="26"/>
      <c r="G1048" s="24">
        <f t="shared" si="7"/>
        <v>0</v>
      </c>
      <c r="H1048" s="19">
        <f>VLOOKUP(A1048,Metrik!$C$2:$Y$959,8,0)</f>
        <v>31.1</v>
      </c>
      <c r="I1048" s="20">
        <f>VLOOKUP(A1048,Metrik!$C$2:$Y$959,9,0)</f>
        <v>0.56</v>
      </c>
      <c r="J1048" s="20">
        <f>VLOOKUP(A1048,Metrik!$C$2:$Y$959,10,0)</f>
        <v>1.8</v>
      </c>
      <c r="K1048" s="20">
        <f>VLOOKUP(A1048,Metrik!$C$2:$Y$959,11,0)</f>
        <v>1.5</v>
      </c>
      <c r="L1048" s="20">
        <f>VLOOKUP(A1048,Metrik!$C$2:$Y$959,12,0)</f>
        <v>0.17</v>
      </c>
      <c r="M1048" s="20">
        <f>VLOOKUP(A1048,Metrik!$C$2:$Y$959,19,0)</f>
        <v>8.6</v>
      </c>
      <c r="N1048" s="21"/>
      <c r="O1048" s="21"/>
      <c r="P1048" s="21"/>
      <c r="Q1048" s="21"/>
      <c r="R1048" s="21"/>
      <c r="S1048" s="21"/>
      <c r="T1048" s="21"/>
      <c r="U1048" s="22">
        <f>IFERROR(__xludf.DUMMYFUNCTION("IFERROR(GOOGLEFINANCE(A1048,""closeyest""),"""")"),264.0)</f>
        <v>264</v>
      </c>
      <c r="V1048" s="23">
        <f>IFERROR(__xludf.DUMMYFUNCTION("IFERROR(GOOGLEFINANCE(A1048,""changepct""),"""")"),6.06)</f>
        <v>6.06</v>
      </c>
      <c r="W1048" s="22">
        <f>IFERROR(__xludf.DUMMYFUNCTION("IFERROR(GOOGLEFINANCE(A1048,""priceopen""),"""")"),266.0)</f>
        <v>266</v>
      </c>
      <c r="X1048" s="22">
        <f>IFERROR(__xludf.DUMMYFUNCTION("IFERROR(GOOGLEFINANCE(A1048,""high""),"""")"),284.0)</f>
        <v>284</v>
      </c>
      <c r="Y1048" s="22">
        <f>IFERROR(__xludf.DUMMYFUNCTION("IFERROR(GOOGLEFINANCE(A1048,""low""),"""")"),264.0)</f>
        <v>264</v>
      </c>
      <c r="Z1048" s="22">
        <f>IFERROR(__xludf.DUMMYFUNCTION("IFERROR(GOOGLEFINANCE(A1048,""volume""),"""")"),1952600.0)</f>
        <v>1952600</v>
      </c>
      <c r="AA1048" s="24" t="str">
        <f>VLOOKUP(A1048,Metrik!$C$2:$Y$959,5,0)</f>
        <v>Coal</v>
      </c>
      <c r="AB1048" s="24" t="str">
        <f>VLOOKUP(A1048,Metrik!$C$2:$Y$959,3,0)</f>
        <v>Energy</v>
      </c>
    </row>
    <row r="1049">
      <c r="A1049" s="14" t="s">
        <v>552</v>
      </c>
      <c r="B1049" s="14" t="str">
        <f t="array" ref="B1049">VLOOKUP(A1049,{Metrik!$C$2:$C$998,Metrik!$B$2:$B$998},2,0)</f>
        <v>PT Pelayaran Kurnia Lautan Semesta Tbk</v>
      </c>
      <c r="C1049" s="15">
        <f>IFERROR(__xludf.DUMMYFUNCTION("GOOGLEFINANCE(""IDX:""&amp;A1049,""price"")"),68.0)</f>
        <v>68</v>
      </c>
      <c r="D1049" s="16" t="str">
        <f>IFERROR(__xludf.DUMMYFUNCTION("IF(A1049="""","""",
SPARKLINE(
INDEX(
GOOGLEFINANCE(""IDX:""&amp;A1049,""close"",TODAY()-365,TODAY()),
,2
),
{""linewidth"",1}
))
"),"#N/A")</f>
        <v>#N/A</v>
      </c>
      <c r="E1049" s="26"/>
      <c r="F1049" s="26"/>
      <c r="G1049" s="18">
        <f t="shared" si="7"/>
        <v>0</v>
      </c>
      <c r="H1049" s="19">
        <f>VLOOKUP(A1049,Metrik!$C$2:$Y$959,8,0)</f>
        <v>12.4</v>
      </c>
      <c r="I1049" s="20">
        <f>VLOOKUP(A1049,Metrik!$C$2:$Y$959,9,0)</f>
        <v>0.96</v>
      </c>
      <c r="J1049" s="20">
        <f>VLOOKUP(A1049,Metrik!$C$2:$Y$959,10,0)</f>
        <v>7.7</v>
      </c>
      <c r="K1049" s="20">
        <f>VLOOKUP(A1049,Metrik!$C$2:$Y$959,11,0)</f>
        <v>4.6</v>
      </c>
      <c r="L1049" s="20">
        <f>VLOOKUP(A1049,Metrik!$C$2:$Y$959,12,0)</f>
        <v>0.7</v>
      </c>
      <c r="M1049" s="20">
        <f>VLOOKUP(A1049,Metrik!$C$2:$Y$959,19,0)</f>
        <v>46.7</v>
      </c>
      <c r="N1049" s="21"/>
      <c r="O1049" s="21"/>
      <c r="P1049" s="21"/>
      <c r="Q1049" s="21"/>
      <c r="R1049" s="21"/>
      <c r="S1049" s="21"/>
      <c r="T1049" s="21"/>
      <c r="U1049" s="22">
        <f>IFERROR(__xludf.DUMMYFUNCTION("IFERROR(GOOGLEFINANCE(A1049,""closeyest""),"""")"),66.0)</f>
        <v>66</v>
      </c>
      <c r="V1049" s="23">
        <f>IFERROR(__xludf.DUMMYFUNCTION("IFERROR(GOOGLEFINANCE(A1049,""changepct""),"""")"),3.03)</f>
        <v>3.03</v>
      </c>
      <c r="W1049" s="22">
        <f>IFERROR(__xludf.DUMMYFUNCTION("IFERROR(GOOGLEFINANCE(A1049,""priceopen""),"""")"),67.0)</f>
        <v>67</v>
      </c>
      <c r="X1049" s="22">
        <f>IFERROR(__xludf.DUMMYFUNCTION("IFERROR(GOOGLEFINANCE(A1049,""high""),"""")"),70.0)</f>
        <v>70</v>
      </c>
      <c r="Y1049" s="22">
        <f>IFERROR(__xludf.DUMMYFUNCTION("IFERROR(GOOGLEFINANCE(A1049,""low""),"""")"),66.0)</f>
        <v>66</v>
      </c>
      <c r="Z1049" s="22">
        <f>IFERROR(__xludf.DUMMYFUNCTION("IFERROR(GOOGLEFINANCE(A1049,""volume""),"""")"),1.01755E7)</f>
        <v>10175500</v>
      </c>
      <c r="AA1049" s="24" t="str">
        <f>VLOOKUP(A1049,Metrik!$C$2:$Y$959,5,0)</f>
        <v>Logistics &amp; Deliveries</v>
      </c>
      <c r="AB1049" s="24" t="str">
        <f>VLOOKUP(A1049,Metrik!$C$2:$Y$959,3,0)</f>
        <v>Transportation &amp; Logistic</v>
      </c>
    </row>
    <row r="1050">
      <c r="A1050" s="14" t="s">
        <v>553</v>
      </c>
      <c r="B1050" s="14" t="str">
        <f t="array" ref="B1050">VLOOKUP(A1050,{Metrik!$C$2:$C$998,Metrik!$B$2:$B$998},2,0)</f>
        <v>Kalbe Farma Tbk.</v>
      </c>
      <c r="C1050" s="15">
        <f>IFERROR(__xludf.DUMMYFUNCTION("GOOGLEFINANCE(""IDX:""&amp;A1050,""price"")"),740.0)</f>
        <v>740</v>
      </c>
      <c r="D1050" s="16" t="str">
        <f>IFERROR(__xludf.DUMMYFUNCTION("IF(A1050="""","""",
SPARKLINE(
INDEX(
GOOGLEFINANCE(""IDX:""&amp;A1050,""close"",TODAY()-365,TODAY()),
,2
),
{""linewidth"",1}
))
"),"#N/A")</f>
        <v>#N/A</v>
      </c>
      <c r="E1050" s="14" t="s">
        <v>47</v>
      </c>
      <c r="F1050" s="25">
        <v>46356.0</v>
      </c>
      <c r="G1050" s="18">
        <f t="shared" si="7"/>
        <v>17</v>
      </c>
      <c r="H1050" s="19">
        <f>VLOOKUP(A1050,Metrik!$C$2:$Y$959,8,0)</f>
        <v>10</v>
      </c>
      <c r="I1050" s="20">
        <f>VLOOKUP(A1050,Metrik!$C$2:$Y$959,9,0)</f>
        <v>1.4</v>
      </c>
      <c r="J1050" s="20">
        <f>VLOOKUP(A1050,Metrik!$C$2:$Y$959,10,0)</f>
        <v>14.1</v>
      </c>
      <c r="K1050" s="20">
        <f>VLOOKUP(A1050,Metrik!$C$2:$Y$959,11,0)</f>
        <v>11.3</v>
      </c>
      <c r="L1050" s="20">
        <f>VLOOKUP(A1050,Metrik!$C$2:$Y$959,12,0)</f>
        <v>0.24</v>
      </c>
      <c r="M1050" s="20">
        <f>VLOOKUP(A1050,Metrik!$C$2:$Y$959,19,0)</f>
        <v>37.4</v>
      </c>
      <c r="N1050" s="21"/>
      <c r="O1050" s="21"/>
      <c r="P1050" s="21"/>
      <c r="Q1050" s="21"/>
      <c r="R1050" s="21"/>
      <c r="S1050" s="21"/>
      <c r="T1050" s="21"/>
      <c r="U1050" s="22">
        <f>IFERROR(__xludf.DUMMYFUNCTION("IFERROR(GOOGLEFINANCE(A1050,""closeyest""),"""")"),725.0)</f>
        <v>725</v>
      </c>
      <c r="V1050" s="23">
        <f>IFERROR(__xludf.DUMMYFUNCTION("IFERROR(GOOGLEFINANCE(A1050,""changepct""),"""")"),2.07)</f>
        <v>2.07</v>
      </c>
      <c r="W1050" s="22">
        <f>IFERROR(__xludf.DUMMYFUNCTION("IFERROR(GOOGLEFINANCE(A1050,""priceopen""),"""")"),760.0)</f>
        <v>760</v>
      </c>
      <c r="X1050" s="22">
        <f>IFERROR(__xludf.DUMMYFUNCTION("IFERROR(GOOGLEFINANCE(A1050,""high""),"""")"),760.0)</f>
        <v>760</v>
      </c>
      <c r="Y1050" s="22">
        <f>IFERROR(__xludf.DUMMYFUNCTION("IFERROR(GOOGLEFINANCE(A1050,""low""),"""")"),715.0)</f>
        <v>715</v>
      </c>
      <c r="Z1050" s="22">
        <f>IFERROR(__xludf.DUMMYFUNCTION("IFERROR(GOOGLEFINANCE(A1050,""volume""),"""")"),9.27412E7)</f>
        <v>92741200</v>
      </c>
      <c r="AA1050" s="24" t="str">
        <f>VLOOKUP(A1050,Metrik!$C$2:$Y$959,5,0)</f>
        <v>Pharmaceuticals</v>
      </c>
      <c r="AB1050" s="24" t="str">
        <f>VLOOKUP(A1050,Metrik!$C$2:$Y$959,3,0)</f>
        <v>Healthcare</v>
      </c>
    </row>
    <row r="1051">
      <c r="A1051" s="17" t="s">
        <v>553</v>
      </c>
      <c r="B1051" s="14" t="str">
        <f t="array" ref="B1051">VLOOKUP(A1051,{Metrik!$C$2:$C$998,Metrik!$B$2:$B$998},2,0)</f>
        <v>Kalbe Farma Tbk.</v>
      </c>
      <c r="C1051" s="15">
        <f>IFERROR(__xludf.DUMMYFUNCTION("GOOGLEFINANCE(""IDX:""&amp;A1051,""price"")"),740.0)</f>
        <v>740</v>
      </c>
      <c r="D1051" s="16" t="str">
        <f>IFERROR(__xludf.DUMMYFUNCTION("IF(A1051="""","""",
SPARKLINE(
INDEX(
GOOGLEFINANCE(""IDX:""&amp;A1051,""close"",TODAY()-365,TODAY()),
,2
),
{""linewidth"",1}
))
"),"#N/A")</f>
        <v>#N/A</v>
      </c>
      <c r="E1051" s="14" t="s">
        <v>65</v>
      </c>
      <c r="F1051" s="37">
        <v>46356.0</v>
      </c>
      <c r="G1051" s="38">
        <f t="shared" si="7"/>
        <v>17</v>
      </c>
      <c r="H1051" s="34">
        <f>VLOOKUP(A1051,Metrik!$C$2:$Y$959,8,0)</f>
        <v>10</v>
      </c>
      <c r="I1051" s="34">
        <f>VLOOKUP(A1051,Metrik!$C$2:$Y$959,9,0)</f>
        <v>1.4</v>
      </c>
      <c r="J1051" s="34">
        <f>VLOOKUP(A1051,Metrik!$C$2:$Y$959,10,0)</f>
        <v>14.1</v>
      </c>
      <c r="K1051" s="34">
        <f>VLOOKUP(A1051,Metrik!$C$2:$Y$959,11,0)</f>
        <v>11.3</v>
      </c>
      <c r="L1051" s="34">
        <f>VLOOKUP(A1051,Metrik!$C$2:$Y$959,12,0)</f>
        <v>0.24</v>
      </c>
      <c r="M1051" s="34">
        <f>VLOOKUP(A1051,Metrik!$C$2:$Y$959,19,0)</f>
        <v>37.4</v>
      </c>
      <c r="N1051" s="26"/>
      <c r="O1051" s="26"/>
      <c r="P1051" s="26"/>
      <c r="Q1051" s="26"/>
      <c r="R1051" s="26"/>
      <c r="S1051" s="26"/>
      <c r="T1051" s="26"/>
      <c r="U1051" s="35">
        <f>IFERROR(__xludf.DUMMYFUNCTION("IFERROR(GOOGLEFINANCE(A1051,""closeyest""),"""")"),725.0)</f>
        <v>725</v>
      </c>
      <c r="V1051" s="36">
        <f>IFERROR(__xludf.DUMMYFUNCTION("IFERROR(GOOGLEFINANCE(A1051,""changepct""),"""")"),2.07)</f>
        <v>2.07</v>
      </c>
      <c r="W1051" s="35">
        <f>IFERROR(__xludf.DUMMYFUNCTION("IFERROR(GOOGLEFINANCE(A1051,""priceopen""),"""")"),760.0)</f>
        <v>760</v>
      </c>
      <c r="X1051" s="35">
        <f>IFERROR(__xludf.DUMMYFUNCTION("IFERROR(GOOGLEFINANCE(A1051,""high""),"""")"),760.0)</f>
        <v>760</v>
      </c>
      <c r="Y1051" s="35">
        <f>IFERROR(__xludf.DUMMYFUNCTION("IFERROR(GOOGLEFINANCE(A1051,""low""),"""")"),715.0)</f>
        <v>715</v>
      </c>
      <c r="Z1051" s="35">
        <f>IFERROR(__xludf.DUMMYFUNCTION("IFERROR(GOOGLEFINANCE(A1051,""volume""),"""")"),9.27412E7)</f>
        <v>92741200</v>
      </c>
      <c r="AA1051" s="14" t="str">
        <f>VLOOKUP(A1051,Metrik!$C$2:$Y$959,5,0)</f>
        <v>Pharmaceuticals</v>
      </c>
      <c r="AB1051" s="14" t="str">
        <f>VLOOKUP(A1051,Metrik!$C$2:$Y$959,3,0)</f>
        <v>Healthcare</v>
      </c>
    </row>
    <row r="1052">
      <c r="A1052" s="14" t="s">
        <v>553</v>
      </c>
      <c r="B1052" s="14" t="str">
        <f t="array" ref="B1052">VLOOKUP(A1052,{Metrik!$C$2:$C$998,Metrik!$B$2:$B$998},2,0)</f>
        <v>Kalbe Farma Tbk.</v>
      </c>
      <c r="C1052" s="15">
        <f>IFERROR(__xludf.DUMMYFUNCTION("GOOGLEFINANCE(""IDX:""&amp;A1052,""price"")"),740.0)</f>
        <v>740</v>
      </c>
      <c r="D1052" s="16" t="str">
        <f>IFERROR(__xludf.DUMMYFUNCTION("IF(A1052="""","""",
SPARKLINE(
INDEX(
GOOGLEFINANCE(""IDX:""&amp;A1052,""close"",TODAY()-365,TODAY()),
,2
),
{""linewidth"",1}
))
"),"#N/A")</f>
        <v>#N/A</v>
      </c>
      <c r="E1052" s="14" t="s">
        <v>42</v>
      </c>
      <c r="F1052" s="25">
        <v>46356.0</v>
      </c>
      <c r="G1052" s="18">
        <f t="shared" si="7"/>
        <v>17</v>
      </c>
      <c r="H1052" s="19">
        <f>VLOOKUP(A1052,Metrik!$C$2:$Y$959,8,0)</f>
        <v>10</v>
      </c>
      <c r="I1052" s="20">
        <f>VLOOKUP(A1052,Metrik!$C$2:$Y$959,9,0)</f>
        <v>1.4</v>
      </c>
      <c r="J1052" s="20">
        <f>VLOOKUP(A1052,Metrik!$C$2:$Y$959,10,0)</f>
        <v>14.1</v>
      </c>
      <c r="K1052" s="20">
        <f>VLOOKUP(A1052,Metrik!$C$2:$Y$959,11,0)</f>
        <v>11.3</v>
      </c>
      <c r="L1052" s="20">
        <f>VLOOKUP(A1052,Metrik!$C$2:$Y$959,12,0)</f>
        <v>0.24</v>
      </c>
      <c r="M1052" s="20">
        <f>VLOOKUP(A1052,Metrik!$C$2:$Y$959,19,0)</f>
        <v>37.4</v>
      </c>
      <c r="N1052" s="21"/>
      <c r="O1052" s="21"/>
      <c r="P1052" s="21"/>
      <c r="Q1052" s="21"/>
      <c r="R1052" s="21"/>
      <c r="S1052" s="21"/>
      <c r="T1052" s="21"/>
      <c r="U1052" s="22">
        <f>IFERROR(__xludf.DUMMYFUNCTION("IFERROR(GOOGLEFINANCE(A1052,""closeyest""),"""")"),725.0)</f>
        <v>725</v>
      </c>
      <c r="V1052" s="23">
        <f>IFERROR(__xludf.DUMMYFUNCTION("IFERROR(GOOGLEFINANCE(A1052,""changepct""),"""")"),2.07)</f>
        <v>2.07</v>
      </c>
      <c r="W1052" s="22">
        <f>IFERROR(__xludf.DUMMYFUNCTION("IFERROR(GOOGLEFINANCE(A1052,""priceopen""),"""")"),760.0)</f>
        <v>760</v>
      </c>
      <c r="X1052" s="22">
        <f>IFERROR(__xludf.DUMMYFUNCTION("IFERROR(GOOGLEFINANCE(A1052,""high""),"""")"),760.0)</f>
        <v>760</v>
      </c>
      <c r="Y1052" s="22">
        <f>IFERROR(__xludf.DUMMYFUNCTION("IFERROR(GOOGLEFINANCE(A1052,""low""),"""")"),715.0)</f>
        <v>715</v>
      </c>
      <c r="Z1052" s="22">
        <f>IFERROR(__xludf.DUMMYFUNCTION("IFERROR(GOOGLEFINANCE(A1052,""volume""),"""")"),9.27412E7)</f>
        <v>92741200</v>
      </c>
      <c r="AA1052" s="24" t="str">
        <f>VLOOKUP(A1052,Metrik!$C$2:$Y$959,5,0)</f>
        <v>Pharmaceuticals</v>
      </c>
      <c r="AB1052" s="24" t="str">
        <f>VLOOKUP(A1052,Metrik!$C$2:$Y$959,3,0)</f>
        <v>Healthcare</v>
      </c>
    </row>
    <row r="1053">
      <c r="A1053" s="14" t="s">
        <v>553</v>
      </c>
      <c r="B1053" s="14" t="str">
        <f t="array" ref="B1053">VLOOKUP(A1053,{Metrik!$C$2:$C$998,Metrik!$B$2:$B$998},2,0)</f>
        <v>Kalbe Farma Tbk.</v>
      </c>
      <c r="C1053" s="15">
        <f>IFERROR(__xludf.DUMMYFUNCTION("GOOGLEFINANCE(""IDX:""&amp;A1053,""price"")"),740.0)</f>
        <v>740</v>
      </c>
      <c r="D1053" s="16" t="str">
        <f>IFERROR(__xludf.DUMMYFUNCTION("IF(A1053="""","""",
SPARKLINE(
INDEX(
GOOGLEFINANCE(""IDX:""&amp;A1053,""close"",TODAY()-365,TODAY()),
,2
),
{""linewidth"",1}
))
"),"#N/A")</f>
        <v>#N/A</v>
      </c>
      <c r="E1053" s="14" t="s">
        <v>55</v>
      </c>
      <c r="F1053" s="25">
        <v>46356.0</v>
      </c>
      <c r="G1053" s="18">
        <f t="shared" si="7"/>
        <v>17</v>
      </c>
      <c r="H1053" s="19">
        <f>VLOOKUP(A1053,Metrik!$C$2:$Y$959,8,0)</f>
        <v>10</v>
      </c>
      <c r="I1053" s="20">
        <f>VLOOKUP(A1053,Metrik!$C$2:$Y$959,9,0)</f>
        <v>1.4</v>
      </c>
      <c r="J1053" s="20">
        <f>VLOOKUP(A1053,Metrik!$C$2:$Y$959,10,0)</f>
        <v>14.1</v>
      </c>
      <c r="K1053" s="20">
        <f>VLOOKUP(A1053,Metrik!$C$2:$Y$959,11,0)</f>
        <v>11.3</v>
      </c>
      <c r="L1053" s="20">
        <f>VLOOKUP(A1053,Metrik!$C$2:$Y$959,12,0)</f>
        <v>0.24</v>
      </c>
      <c r="M1053" s="20">
        <f>VLOOKUP(A1053,Metrik!$C$2:$Y$959,19,0)</f>
        <v>37.4</v>
      </c>
      <c r="N1053" s="21"/>
      <c r="O1053" s="21"/>
      <c r="P1053" s="21"/>
      <c r="Q1053" s="21"/>
      <c r="R1053" s="21"/>
      <c r="S1053" s="21"/>
      <c r="T1053" s="21"/>
      <c r="U1053" s="22">
        <f>IFERROR(__xludf.DUMMYFUNCTION("IFERROR(GOOGLEFINANCE(A1053,""closeyest""),"""")"),725.0)</f>
        <v>725</v>
      </c>
      <c r="V1053" s="23">
        <f>IFERROR(__xludf.DUMMYFUNCTION("IFERROR(GOOGLEFINANCE(A1053,""changepct""),"""")"),2.07)</f>
        <v>2.07</v>
      </c>
      <c r="W1053" s="22">
        <f>IFERROR(__xludf.DUMMYFUNCTION("IFERROR(GOOGLEFINANCE(A1053,""priceopen""),"""")"),760.0)</f>
        <v>760</v>
      </c>
      <c r="X1053" s="22">
        <f>IFERROR(__xludf.DUMMYFUNCTION("IFERROR(GOOGLEFINANCE(A1053,""high""),"""")"),760.0)</f>
        <v>760</v>
      </c>
      <c r="Y1053" s="22">
        <f>IFERROR(__xludf.DUMMYFUNCTION("IFERROR(GOOGLEFINANCE(A1053,""low""),"""")"),715.0)</f>
        <v>715</v>
      </c>
      <c r="Z1053" s="22">
        <f>IFERROR(__xludf.DUMMYFUNCTION("IFERROR(GOOGLEFINANCE(A1053,""volume""),"""")"),9.27412E7)</f>
        <v>92741200</v>
      </c>
      <c r="AA1053" s="24" t="str">
        <f>VLOOKUP(A1053,Metrik!$C$2:$Y$959,5,0)</f>
        <v>Pharmaceuticals</v>
      </c>
      <c r="AB1053" s="24" t="str">
        <f>VLOOKUP(A1053,Metrik!$C$2:$Y$959,3,0)</f>
        <v>Healthcare</v>
      </c>
    </row>
    <row r="1054">
      <c r="A1054" s="14" t="s">
        <v>553</v>
      </c>
      <c r="B1054" s="14" t="str">
        <f t="array" ref="B1054">VLOOKUP(A1054,{Metrik!$C$2:$C$998,Metrik!$B$2:$B$998},2,0)</f>
        <v>Kalbe Farma Tbk.</v>
      </c>
      <c r="C1054" s="15">
        <f>IFERROR(__xludf.DUMMYFUNCTION("GOOGLEFINANCE(""IDX:""&amp;A1054,""price"")"),740.0)</f>
        <v>740</v>
      </c>
      <c r="D1054" s="16" t="str">
        <f>IFERROR(__xludf.DUMMYFUNCTION("IF(A1054="""","""",
SPARKLINE(
INDEX(
GOOGLEFINANCE(""IDX:""&amp;A1054,""close"",TODAY()-365,TODAY()),
,2
),
{""linewidth"",1}
))
"),"#N/A")</f>
        <v>#N/A</v>
      </c>
      <c r="E1054" s="14" t="s">
        <v>31</v>
      </c>
      <c r="F1054" s="17" t="s">
        <v>29</v>
      </c>
      <c r="G1054" s="18">
        <f t="shared" si="7"/>
        <v>17</v>
      </c>
      <c r="H1054" s="19">
        <f>VLOOKUP(A1054,Metrik!$C$2:$Y$959,8,0)</f>
        <v>10</v>
      </c>
      <c r="I1054" s="20">
        <f>VLOOKUP(A1054,Metrik!$C$2:$Y$959,9,0)</f>
        <v>1.4</v>
      </c>
      <c r="J1054" s="20">
        <f>VLOOKUP(A1054,Metrik!$C$2:$Y$959,10,0)</f>
        <v>14.1</v>
      </c>
      <c r="K1054" s="20">
        <f>VLOOKUP(A1054,Metrik!$C$2:$Y$959,11,0)</f>
        <v>11.3</v>
      </c>
      <c r="L1054" s="20">
        <f>VLOOKUP(A1054,Metrik!$C$2:$Y$959,12,0)</f>
        <v>0.24</v>
      </c>
      <c r="M1054" s="20">
        <f>VLOOKUP(A1054,Metrik!$C$2:$Y$959,19,0)</f>
        <v>37.4</v>
      </c>
      <c r="N1054" s="21"/>
      <c r="O1054" s="21"/>
      <c r="P1054" s="21"/>
      <c r="Q1054" s="21"/>
      <c r="R1054" s="21"/>
      <c r="S1054" s="21"/>
      <c r="T1054" s="21"/>
      <c r="U1054" s="22">
        <f>IFERROR(__xludf.DUMMYFUNCTION("IFERROR(GOOGLEFINANCE(A1054,""closeyest""),"""")"),725.0)</f>
        <v>725</v>
      </c>
      <c r="V1054" s="23">
        <f>IFERROR(__xludf.DUMMYFUNCTION("IFERROR(GOOGLEFINANCE(A1054,""changepct""),"""")"),2.07)</f>
        <v>2.07</v>
      </c>
      <c r="W1054" s="22">
        <f>IFERROR(__xludf.DUMMYFUNCTION("IFERROR(GOOGLEFINANCE(A1054,""priceopen""),"""")"),760.0)</f>
        <v>760</v>
      </c>
      <c r="X1054" s="22">
        <f>IFERROR(__xludf.DUMMYFUNCTION("IFERROR(GOOGLEFINANCE(A1054,""high""),"""")"),760.0)</f>
        <v>760</v>
      </c>
      <c r="Y1054" s="22">
        <f>IFERROR(__xludf.DUMMYFUNCTION("IFERROR(GOOGLEFINANCE(A1054,""low""),"""")"),715.0)</f>
        <v>715</v>
      </c>
      <c r="Z1054" s="22">
        <f>IFERROR(__xludf.DUMMYFUNCTION("IFERROR(GOOGLEFINANCE(A1054,""volume""),"""")"),9.27412E7)</f>
        <v>92741200</v>
      </c>
      <c r="AA1054" s="24" t="str">
        <f>VLOOKUP(A1054,Metrik!$C$2:$Y$959,5,0)</f>
        <v>Pharmaceuticals</v>
      </c>
      <c r="AB1054" s="24" t="str">
        <f>VLOOKUP(A1054,Metrik!$C$2:$Y$959,3,0)</f>
        <v>Healthcare</v>
      </c>
    </row>
    <row r="1055">
      <c r="A1055" s="14" t="s">
        <v>553</v>
      </c>
      <c r="B1055" s="14" t="str">
        <f t="array" ref="B1055">VLOOKUP(A1055,{Metrik!$C$2:$C$998,Metrik!$B$2:$B$998},2,0)</f>
        <v>Kalbe Farma Tbk.</v>
      </c>
      <c r="C1055" s="15">
        <f>IFERROR(__xludf.DUMMYFUNCTION("GOOGLEFINANCE(""IDX:""&amp;A1055,""price"")"),740.0)</f>
        <v>740</v>
      </c>
      <c r="D1055" s="16" t="str">
        <f>IFERROR(__xludf.DUMMYFUNCTION("IF(A1055="""","""",
SPARKLINE(
INDEX(
GOOGLEFINANCE(""IDX:""&amp;A1055,""close"",TODAY()-365,TODAY()),
,2
),
{""linewidth"",1}
))
"),"#N/A")</f>
        <v>#N/A</v>
      </c>
      <c r="E1055" s="14" t="s">
        <v>84</v>
      </c>
      <c r="F1055" s="17" t="s">
        <v>51</v>
      </c>
      <c r="G1055" s="18">
        <f t="shared" si="7"/>
        <v>17</v>
      </c>
      <c r="H1055" s="19">
        <f>VLOOKUP(A1055,Metrik!$C$2:$Y$959,8,0)</f>
        <v>10</v>
      </c>
      <c r="I1055" s="20">
        <f>VLOOKUP(A1055,Metrik!$C$2:$Y$959,9,0)</f>
        <v>1.4</v>
      </c>
      <c r="J1055" s="20">
        <f>VLOOKUP(A1055,Metrik!$C$2:$Y$959,10,0)</f>
        <v>14.1</v>
      </c>
      <c r="K1055" s="20">
        <f>VLOOKUP(A1055,Metrik!$C$2:$Y$959,11,0)</f>
        <v>11.3</v>
      </c>
      <c r="L1055" s="20">
        <f>VLOOKUP(A1055,Metrik!$C$2:$Y$959,12,0)</f>
        <v>0.24</v>
      </c>
      <c r="M1055" s="20">
        <f>VLOOKUP(A1055,Metrik!$C$2:$Y$959,19,0)</f>
        <v>37.4</v>
      </c>
      <c r="N1055" s="21"/>
      <c r="O1055" s="21"/>
      <c r="P1055" s="21"/>
      <c r="Q1055" s="21"/>
      <c r="R1055" s="21"/>
      <c r="S1055" s="21"/>
      <c r="T1055" s="21"/>
      <c r="U1055" s="22">
        <f>IFERROR(__xludf.DUMMYFUNCTION("IFERROR(GOOGLEFINANCE(A1055,""closeyest""),"""")"),725.0)</f>
        <v>725</v>
      </c>
      <c r="V1055" s="23">
        <f>IFERROR(__xludf.DUMMYFUNCTION("IFERROR(GOOGLEFINANCE(A1055,""changepct""),"""")"),2.07)</f>
        <v>2.07</v>
      </c>
      <c r="W1055" s="22">
        <f>IFERROR(__xludf.DUMMYFUNCTION("IFERROR(GOOGLEFINANCE(A1055,""priceopen""),"""")"),760.0)</f>
        <v>760</v>
      </c>
      <c r="X1055" s="22">
        <f>IFERROR(__xludf.DUMMYFUNCTION("IFERROR(GOOGLEFINANCE(A1055,""high""),"""")"),760.0)</f>
        <v>760</v>
      </c>
      <c r="Y1055" s="22">
        <f>IFERROR(__xludf.DUMMYFUNCTION("IFERROR(GOOGLEFINANCE(A1055,""low""),"""")"),715.0)</f>
        <v>715</v>
      </c>
      <c r="Z1055" s="22">
        <f>IFERROR(__xludf.DUMMYFUNCTION("IFERROR(GOOGLEFINANCE(A1055,""volume""),"""")"),9.27412E7)</f>
        <v>92741200</v>
      </c>
      <c r="AA1055" s="24" t="str">
        <f>VLOOKUP(A1055,Metrik!$C$2:$Y$959,5,0)</f>
        <v>Pharmaceuticals</v>
      </c>
      <c r="AB1055" s="24" t="str">
        <f>VLOOKUP(A1055,Metrik!$C$2:$Y$959,3,0)</f>
        <v>Healthcare</v>
      </c>
    </row>
    <row r="1056">
      <c r="A1056" s="14" t="s">
        <v>553</v>
      </c>
      <c r="B1056" s="14" t="str">
        <f t="array" ref="B1056">VLOOKUP(A1056,{Metrik!$C$2:$C$998,Metrik!$B$2:$B$998},2,0)</f>
        <v>Kalbe Farma Tbk.</v>
      </c>
      <c r="C1056" s="15">
        <f>IFERROR(__xludf.DUMMYFUNCTION("GOOGLEFINANCE(""IDX:""&amp;A1056,""price"")"),740.0)</f>
        <v>740</v>
      </c>
      <c r="D1056" s="16" t="str">
        <f>IFERROR(__xludf.DUMMYFUNCTION("IF(A1056="""","""",
SPARKLINE(
INDEX(
GOOGLEFINANCE(""IDX:""&amp;A1056,""close"",TODAY()-365,TODAY()),
,2
),
{""linewidth"",1}
))
"),"#N/A")</f>
        <v>#N/A</v>
      </c>
      <c r="E1056" s="14" t="s">
        <v>30</v>
      </c>
      <c r="F1056" s="17" t="s">
        <v>29</v>
      </c>
      <c r="G1056" s="18">
        <f t="shared" si="7"/>
        <v>17</v>
      </c>
      <c r="H1056" s="19">
        <f>VLOOKUP(A1056,Metrik!$C$2:$Y$959,8,0)</f>
        <v>10</v>
      </c>
      <c r="I1056" s="20">
        <f>VLOOKUP(A1056,Metrik!$C$2:$Y$959,9,0)</f>
        <v>1.4</v>
      </c>
      <c r="J1056" s="20">
        <f>VLOOKUP(A1056,Metrik!$C$2:$Y$959,10,0)</f>
        <v>14.1</v>
      </c>
      <c r="K1056" s="20">
        <f>VLOOKUP(A1056,Metrik!$C$2:$Y$959,11,0)</f>
        <v>11.3</v>
      </c>
      <c r="L1056" s="20">
        <f>VLOOKUP(A1056,Metrik!$C$2:$Y$959,12,0)</f>
        <v>0.24</v>
      </c>
      <c r="M1056" s="20">
        <f>VLOOKUP(A1056,Metrik!$C$2:$Y$959,19,0)</f>
        <v>37.4</v>
      </c>
      <c r="N1056" s="21"/>
      <c r="O1056" s="21"/>
      <c r="P1056" s="21"/>
      <c r="Q1056" s="21"/>
      <c r="R1056" s="21"/>
      <c r="S1056" s="21"/>
      <c r="T1056" s="21"/>
      <c r="U1056" s="22">
        <f>IFERROR(__xludf.DUMMYFUNCTION("IFERROR(GOOGLEFINANCE(A1056,""closeyest""),"""")"),725.0)</f>
        <v>725</v>
      </c>
      <c r="V1056" s="23">
        <f>IFERROR(__xludf.DUMMYFUNCTION("IFERROR(GOOGLEFINANCE(A1056,""changepct""),"""")"),2.07)</f>
        <v>2.07</v>
      </c>
      <c r="W1056" s="22">
        <f>IFERROR(__xludf.DUMMYFUNCTION("IFERROR(GOOGLEFINANCE(A1056,""priceopen""),"""")"),760.0)</f>
        <v>760</v>
      </c>
      <c r="X1056" s="22">
        <f>IFERROR(__xludf.DUMMYFUNCTION("IFERROR(GOOGLEFINANCE(A1056,""high""),"""")"),760.0)</f>
        <v>760</v>
      </c>
      <c r="Y1056" s="22">
        <f>IFERROR(__xludf.DUMMYFUNCTION("IFERROR(GOOGLEFINANCE(A1056,""low""),"""")"),715.0)</f>
        <v>715</v>
      </c>
      <c r="Z1056" s="22">
        <f>IFERROR(__xludf.DUMMYFUNCTION("IFERROR(GOOGLEFINANCE(A1056,""volume""),"""")"),9.27412E7)</f>
        <v>92741200</v>
      </c>
      <c r="AA1056" s="24" t="str">
        <f>VLOOKUP(A1056,Metrik!$C$2:$Y$959,5,0)</f>
        <v>Pharmaceuticals</v>
      </c>
      <c r="AB1056" s="24" t="str">
        <f>VLOOKUP(A1056,Metrik!$C$2:$Y$959,3,0)</f>
        <v>Healthcare</v>
      </c>
    </row>
    <row r="1057">
      <c r="A1057" s="14" t="s">
        <v>553</v>
      </c>
      <c r="B1057" s="14" t="str">
        <f t="array" ref="B1057">VLOOKUP(A1057,{Metrik!$C$2:$C$998,Metrik!$B$2:$B$998},2,0)</f>
        <v>Kalbe Farma Tbk.</v>
      </c>
      <c r="C1057" s="15">
        <f>IFERROR(__xludf.DUMMYFUNCTION("GOOGLEFINANCE(""IDX:""&amp;A1057,""price"")"),740.0)</f>
        <v>740</v>
      </c>
      <c r="D1057" s="16" t="str">
        <f>IFERROR(__xludf.DUMMYFUNCTION("IF(A1057="""","""",
SPARKLINE(
INDEX(
GOOGLEFINANCE(""IDX:""&amp;A1057,""close"",TODAY()-365,TODAY()),
,2
),
{""linewidth"",1}
))
"),"#N/A")</f>
        <v>#N/A</v>
      </c>
      <c r="E1057" s="14" t="s">
        <v>28</v>
      </c>
      <c r="F1057" s="17" t="s">
        <v>29</v>
      </c>
      <c r="G1057" s="18">
        <f t="shared" si="7"/>
        <v>17</v>
      </c>
      <c r="H1057" s="19">
        <f>VLOOKUP(A1057,Metrik!$C$2:$Y$959,8,0)</f>
        <v>10</v>
      </c>
      <c r="I1057" s="20">
        <f>VLOOKUP(A1057,Metrik!$C$2:$Y$959,9,0)</f>
        <v>1.4</v>
      </c>
      <c r="J1057" s="20">
        <f>VLOOKUP(A1057,Metrik!$C$2:$Y$959,10,0)</f>
        <v>14.1</v>
      </c>
      <c r="K1057" s="20">
        <f>VLOOKUP(A1057,Metrik!$C$2:$Y$959,11,0)</f>
        <v>11.3</v>
      </c>
      <c r="L1057" s="20">
        <f>VLOOKUP(A1057,Metrik!$C$2:$Y$959,12,0)</f>
        <v>0.24</v>
      </c>
      <c r="M1057" s="20">
        <f>VLOOKUP(A1057,Metrik!$C$2:$Y$959,19,0)</f>
        <v>37.4</v>
      </c>
      <c r="N1057" s="21"/>
      <c r="O1057" s="21"/>
      <c r="P1057" s="21"/>
      <c r="Q1057" s="21"/>
      <c r="R1057" s="21"/>
      <c r="S1057" s="21"/>
      <c r="T1057" s="21"/>
      <c r="U1057" s="22">
        <f>IFERROR(__xludf.DUMMYFUNCTION("IFERROR(GOOGLEFINANCE(A1057,""closeyest""),"""")"),725.0)</f>
        <v>725</v>
      </c>
      <c r="V1057" s="23">
        <f>IFERROR(__xludf.DUMMYFUNCTION("IFERROR(GOOGLEFINANCE(A1057,""changepct""),"""")"),2.07)</f>
        <v>2.07</v>
      </c>
      <c r="W1057" s="22">
        <f>IFERROR(__xludf.DUMMYFUNCTION("IFERROR(GOOGLEFINANCE(A1057,""priceopen""),"""")"),760.0)</f>
        <v>760</v>
      </c>
      <c r="X1057" s="22">
        <f>IFERROR(__xludf.DUMMYFUNCTION("IFERROR(GOOGLEFINANCE(A1057,""high""),"""")"),760.0)</f>
        <v>760</v>
      </c>
      <c r="Y1057" s="22">
        <f>IFERROR(__xludf.DUMMYFUNCTION("IFERROR(GOOGLEFINANCE(A1057,""low""),"""")"),715.0)</f>
        <v>715</v>
      </c>
      <c r="Z1057" s="22">
        <f>IFERROR(__xludf.DUMMYFUNCTION("IFERROR(GOOGLEFINANCE(A1057,""volume""),"""")"),9.27412E7)</f>
        <v>92741200</v>
      </c>
      <c r="AA1057" s="24" t="str">
        <f>VLOOKUP(A1057,Metrik!$C$2:$Y$959,5,0)</f>
        <v>Pharmaceuticals</v>
      </c>
      <c r="AB1057" s="24" t="str">
        <f>VLOOKUP(A1057,Metrik!$C$2:$Y$959,3,0)</f>
        <v>Healthcare</v>
      </c>
    </row>
    <row r="1058">
      <c r="A1058" s="14" t="s">
        <v>553</v>
      </c>
      <c r="B1058" s="14" t="str">
        <f t="array" ref="B1058">VLOOKUP(A1058,{Metrik!$C$2:$C$998,Metrik!$B$2:$B$998},2,0)</f>
        <v>Kalbe Farma Tbk.</v>
      </c>
      <c r="C1058" s="15">
        <f>IFERROR(__xludf.DUMMYFUNCTION("GOOGLEFINANCE(""IDX:""&amp;A1058,""price"")"),740.0)</f>
        <v>740</v>
      </c>
      <c r="D1058" s="16" t="str">
        <f>IFERROR(__xludf.DUMMYFUNCTION("IF(A1058="""","""",
SPARKLINE(
INDEX(
GOOGLEFINANCE(""IDX:""&amp;A1058,""close"",TODAY()-365,TODAY()),
,2
),
{""linewidth"",1}
))
"),"#N/A")</f>
        <v>#N/A</v>
      </c>
      <c r="E1058" s="14" t="s">
        <v>67</v>
      </c>
      <c r="F1058" s="17" t="s">
        <v>51</v>
      </c>
      <c r="G1058" s="18">
        <f t="shared" si="7"/>
        <v>17</v>
      </c>
      <c r="H1058" s="19">
        <f>VLOOKUP(A1058,Metrik!$C$2:$Y$959,8,0)</f>
        <v>10</v>
      </c>
      <c r="I1058" s="20">
        <f>VLOOKUP(A1058,Metrik!$C$2:$Y$959,9,0)</f>
        <v>1.4</v>
      </c>
      <c r="J1058" s="20">
        <f>VLOOKUP(A1058,Metrik!$C$2:$Y$959,10,0)</f>
        <v>14.1</v>
      </c>
      <c r="K1058" s="20">
        <f>VLOOKUP(A1058,Metrik!$C$2:$Y$959,11,0)</f>
        <v>11.3</v>
      </c>
      <c r="L1058" s="20">
        <f>VLOOKUP(A1058,Metrik!$C$2:$Y$959,12,0)</f>
        <v>0.24</v>
      </c>
      <c r="M1058" s="20">
        <f>VLOOKUP(A1058,Metrik!$C$2:$Y$959,19,0)</f>
        <v>37.4</v>
      </c>
      <c r="N1058" s="21"/>
      <c r="O1058" s="21"/>
      <c r="P1058" s="21"/>
      <c r="Q1058" s="21"/>
      <c r="R1058" s="21"/>
      <c r="S1058" s="21"/>
      <c r="T1058" s="21"/>
      <c r="U1058" s="22">
        <f>IFERROR(__xludf.DUMMYFUNCTION("IFERROR(GOOGLEFINANCE(A1058,""closeyest""),"""")"),725.0)</f>
        <v>725</v>
      </c>
      <c r="V1058" s="23">
        <f>IFERROR(__xludf.DUMMYFUNCTION("IFERROR(GOOGLEFINANCE(A1058,""changepct""),"""")"),2.07)</f>
        <v>2.07</v>
      </c>
      <c r="W1058" s="22">
        <f>IFERROR(__xludf.DUMMYFUNCTION("IFERROR(GOOGLEFINANCE(A1058,""priceopen""),"""")"),760.0)</f>
        <v>760</v>
      </c>
      <c r="X1058" s="22">
        <f>IFERROR(__xludf.DUMMYFUNCTION("IFERROR(GOOGLEFINANCE(A1058,""high""),"""")"),760.0)</f>
        <v>760</v>
      </c>
      <c r="Y1058" s="22">
        <f>IFERROR(__xludf.DUMMYFUNCTION("IFERROR(GOOGLEFINANCE(A1058,""low""),"""")"),715.0)</f>
        <v>715</v>
      </c>
      <c r="Z1058" s="22">
        <f>IFERROR(__xludf.DUMMYFUNCTION("IFERROR(GOOGLEFINANCE(A1058,""volume""),"""")"),9.27412E7)</f>
        <v>92741200</v>
      </c>
      <c r="AA1058" s="24" t="str">
        <f>VLOOKUP(A1058,Metrik!$C$2:$Y$959,5,0)</f>
        <v>Pharmaceuticals</v>
      </c>
      <c r="AB1058" s="24" t="str">
        <f>VLOOKUP(A1058,Metrik!$C$2:$Y$959,3,0)</f>
        <v>Healthcare</v>
      </c>
    </row>
    <row r="1059">
      <c r="A1059" s="14" t="s">
        <v>553</v>
      </c>
      <c r="B1059" s="14" t="str">
        <f t="array" ref="B1059">VLOOKUP(A1059,{Metrik!$C$2:$C$998,Metrik!$B$2:$B$998},2,0)</f>
        <v>Kalbe Farma Tbk.</v>
      </c>
      <c r="C1059" s="15">
        <f>IFERROR(__xludf.DUMMYFUNCTION("GOOGLEFINANCE(""IDX:""&amp;A1059,""price"")"),740.0)</f>
        <v>740</v>
      </c>
      <c r="D1059" s="16" t="str">
        <f>IFERROR(__xludf.DUMMYFUNCTION("IF(A1059="""","""",
SPARKLINE(
INDEX(
GOOGLEFINANCE(""IDX:""&amp;A1059,""close"",TODAY()-365,TODAY()),
,2
),
{""linewidth"",1}
))
"),"#N/A")</f>
        <v>#N/A</v>
      </c>
      <c r="E1059" s="14" t="s">
        <v>102</v>
      </c>
      <c r="F1059" s="27" t="s">
        <v>53</v>
      </c>
      <c r="G1059" s="18">
        <f t="shared" si="7"/>
        <v>17</v>
      </c>
      <c r="H1059" s="19">
        <f>VLOOKUP(A1059,Metrik!$C$2:$Y$959,8,0)</f>
        <v>10</v>
      </c>
      <c r="I1059" s="20">
        <f>VLOOKUP(A1059,Metrik!$C$2:$Y$959,9,0)</f>
        <v>1.4</v>
      </c>
      <c r="J1059" s="20">
        <f>VLOOKUP(A1059,Metrik!$C$2:$Y$959,10,0)</f>
        <v>14.1</v>
      </c>
      <c r="K1059" s="20">
        <f>VLOOKUP(A1059,Metrik!$C$2:$Y$959,11,0)</f>
        <v>11.3</v>
      </c>
      <c r="L1059" s="20">
        <f>VLOOKUP(A1059,Metrik!$C$2:$Y$959,12,0)</f>
        <v>0.24</v>
      </c>
      <c r="M1059" s="20">
        <f>VLOOKUP(A1059,Metrik!$C$2:$Y$959,19,0)</f>
        <v>37.4</v>
      </c>
      <c r="N1059" s="21"/>
      <c r="O1059" s="21"/>
      <c r="P1059" s="21"/>
      <c r="Q1059" s="21"/>
      <c r="R1059" s="21"/>
      <c r="S1059" s="21"/>
      <c r="T1059" s="21"/>
      <c r="U1059" s="22">
        <f>IFERROR(__xludf.DUMMYFUNCTION("IFERROR(GOOGLEFINANCE(A1059,""closeyest""),"""")"),725.0)</f>
        <v>725</v>
      </c>
      <c r="V1059" s="23">
        <f>IFERROR(__xludf.DUMMYFUNCTION("IFERROR(GOOGLEFINANCE(A1059,""changepct""),"""")"),2.07)</f>
        <v>2.07</v>
      </c>
      <c r="W1059" s="22">
        <f>IFERROR(__xludf.DUMMYFUNCTION("IFERROR(GOOGLEFINANCE(A1059,""priceopen""),"""")"),760.0)</f>
        <v>760</v>
      </c>
      <c r="X1059" s="22">
        <f>IFERROR(__xludf.DUMMYFUNCTION("IFERROR(GOOGLEFINANCE(A1059,""high""),"""")"),760.0)</f>
        <v>760</v>
      </c>
      <c r="Y1059" s="22">
        <f>IFERROR(__xludf.DUMMYFUNCTION("IFERROR(GOOGLEFINANCE(A1059,""low""),"""")"),715.0)</f>
        <v>715</v>
      </c>
      <c r="Z1059" s="22">
        <f>IFERROR(__xludf.DUMMYFUNCTION("IFERROR(GOOGLEFINANCE(A1059,""volume""),"""")"),9.27412E7)</f>
        <v>92741200</v>
      </c>
      <c r="AA1059" s="24" t="str">
        <f>VLOOKUP(A1059,Metrik!$C$2:$Y$959,5,0)</f>
        <v>Pharmaceuticals</v>
      </c>
      <c r="AB1059" s="24" t="str">
        <f>VLOOKUP(A1059,Metrik!$C$2:$Y$959,3,0)</f>
        <v>Healthcare</v>
      </c>
    </row>
    <row r="1060">
      <c r="A1060" s="14" t="s">
        <v>553</v>
      </c>
      <c r="B1060" s="14" t="str">
        <f t="array" ref="B1060">VLOOKUP(A1060,{Metrik!$C$2:$C$998,Metrik!$B$2:$B$998},2,0)</f>
        <v>Kalbe Farma Tbk.</v>
      </c>
      <c r="C1060" s="15">
        <f>IFERROR(__xludf.DUMMYFUNCTION("GOOGLEFINANCE(""IDX:""&amp;A1060,""price"")"),740.0)</f>
        <v>740</v>
      </c>
      <c r="D1060" s="16" t="str">
        <f>IFERROR(__xludf.DUMMYFUNCTION("IF(A1060="""","""",
SPARKLINE(
INDEX(
GOOGLEFINANCE(""IDX:""&amp;A1060,""close"",TODAY()-365,TODAY()),
,2
),
{""linewidth"",1}
))
"),"#N/A")</f>
        <v>#N/A</v>
      </c>
      <c r="E1060" s="14" t="s">
        <v>32</v>
      </c>
      <c r="F1060" s="14" t="s">
        <v>29</v>
      </c>
      <c r="G1060" s="18">
        <f t="shared" si="7"/>
        <v>17</v>
      </c>
      <c r="H1060" s="19">
        <f>VLOOKUP(A1060,Metrik!$C$2:$Y$959,8,0)</f>
        <v>10</v>
      </c>
      <c r="I1060" s="20">
        <f>VLOOKUP(A1060,Metrik!$C$2:$Y$959,9,0)</f>
        <v>1.4</v>
      </c>
      <c r="J1060" s="20">
        <f>VLOOKUP(A1060,Metrik!$C$2:$Y$959,10,0)</f>
        <v>14.1</v>
      </c>
      <c r="K1060" s="20">
        <f>VLOOKUP(A1060,Metrik!$C$2:$Y$959,11,0)</f>
        <v>11.3</v>
      </c>
      <c r="L1060" s="20">
        <f>VLOOKUP(A1060,Metrik!$C$2:$Y$959,12,0)</f>
        <v>0.24</v>
      </c>
      <c r="M1060" s="20">
        <f>VLOOKUP(A1060,Metrik!$C$2:$Y$959,19,0)</f>
        <v>37.4</v>
      </c>
      <c r="N1060" s="21"/>
      <c r="O1060" s="21"/>
      <c r="P1060" s="21"/>
      <c r="Q1060" s="21"/>
      <c r="R1060" s="21"/>
      <c r="S1060" s="21"/>
      <c r="T1060" s="21"/>
      <c r="U1060" s="22">
        <f>IFERROR(__xludf.DUMMYFUNCTION("IFERROR(GOOGLEFINANCE(A1060,""closeyest""),"""")"),725.0)</f>
        <v>725</v>
      </c>
      <c r="V1060" s="23">
        <f>IFERROR(__xludf.DUMMYFUNCTION("IFERROR(GOOGLEFINANCE(A1060,""changepct""),"""")"),2.07)</f>
        <v>2.07</v>
      </c>
      <c r="W1060" s="22">
        <f>IFERROR(__xludf.DUMMYFUNCTION("IFERROR(GOOGLEFINANCE(A1060,""priceopen""),"""")"),760.0)</f>
        <v>760</v>
      </c>
      <c r="X1060" s="22">
        <f>IFERROR(__xludf.DUMMYFUNCTION("IFERROR(GOOGLEFINANCE(A1060,""high""),"""")"),760.0)</f>
        <v>760</v>
      </c>
      <c r="Y1060" s="22">
        <f>IFERROR(__xludf.DUMMYFUNCTION("IFERROR(GOOGLEFINANCE(A1060,""low""),"""")"),715.0)</f>
        <v>715</v>
      </c>
      <c r="Z1060" s="22">
        <f>IFERROR(__xludf.DUMMYFUNCTION("IFERROR(GOOGLEFINANCE(A1060,""volume""),"""")"),9.27412E7)</f>
        <v>92741200</v>
      </c>
      <c r="AA1060" s="24" t="str">
        <f>VLOOKUP(A1060,Metrik!$C$2:$Y$959,5,0)</f>
        <v>Pharmaceuticals</v>
      </c>
      <c r="AB1060" s="24" t="str">
        <f>VLOOKUP(A1060,Metrik!$C$2:$Y$959,3,0)</f>
        <v>Healthcare</v>
      </c>
    </row>
    <row r="1061">
      <c r="A1061" s="14" t="s">
        <v>553</v>
      </c>
      <c r="B1061" s="14" t="str">
        <f t="array" ref="B1061">VLOOKUP(A1061,{Metrik!$C$2:$C$998,Metrik!$B$2:$B$998},2,0)</f>
        <v>Kalbe Farma Tbk.</v>
      </c>
      <c r="C1061" s="15">
        <f>IFERROR(__xludf.DUMMYFUNCTION("GOOGLEFINANCE(""IDX:""&amp;A1061,""price"")"),740.0)</f>
        <v>740</v>
      </c>
      <c r="D1061" s="16" t="str">
        <f>IFERROR(__xludf.DUMMYFUNCTION("IF(A1061="""","""",
SPARKLINE(
INDEX(
GOOGLEFINANCE(""IDX:""&amp;A1061,""close"",TODAY()-365,TODAY()),
,2
),
{""linewidth"",1}
))
"),"#N/A")</f>
        <v>#N/A</v>
      </c>
      <c r="E1061" s="14" t="s">
        <v>54</v>
      </c>
      <c r="F1061" s="14" t="s">
        <v>34</v>
      </c>
      <c r="G1061" s="18">
        <f t="shared" si="7"/>
        <v>17</v>
      </c>
      <c r="H1061" s="19">
        <f>VLOOKUP(A1061,Metrik!$C$2:$Y$959,8,0)</f>
        <v>10</v>
      </c>
      <c r="I1061" s="20">
        <f>VLOOKUP(A1061,Metrik!$C$2:$Y$959,9,0)</f>
        <v>1.4</v>
      </c>
      <c r="J1061" s="20">
        <f>VLOOKUP(A1061,Metrik!$C$2:$Y$959,10,0)</f>
        <v>14.1</v>
      </c>
      <c r="K1061" s="20">
        <f>VLOOKUP(A1061,Metrik!$C$2:$Y$959,11,0)</f>
        <v>11.3</v>
      </c>
      <c r="L1061" s="20">
        <f>VLOOKUP(A1061,Metrik!$C$2:$Y$959,12,0)</f>
        <v>0.24</v>
      </c>
      <c r="M1061" s="20">
        <f>VLOOKUP(A1061,Metrik!$C$2:$Y$959,19,0)</f>
        <v>37.4</v>
      </c>
      <c r="N1061" s="21"/>
      <c r="O1061" s="21"/>
      <c r="P1061" s="21"/>
      <c r="Q1061" s="21"/>
      <c r="R1061" s="21"/>
      <c r="S1061" s="21"/>
      <c r="T1061" s="21"/>
      <c r="U1061" s="22">
        <f>IFERROR(__xludf.DUMMYFUNCTION("IFERROR(GOOGLEFINANCE(A1061,""closeyest""),"""")"),725.0)</f>
        <v>725</v>
      </c>
      <c r="V1061" s="23">
        <f>IFERROR(__xludf.DUMMYFUNCTION("IFERROR(GOOGLEFINANCE(A1061,""changepct""),"""")"),2.07)</f>
        <v>2.07</v>
      </c>
      <c r="W1061" s="22">
        <f>IFERROR(__xludf.DUMMYFUNCTION("IFERROR(GOOGLEFINANCE(A1061,""priceopen""),"""")"),760.0)</f>
        <v>760</v>
      </c>
      <c r="X1061" s="22">
        <f>IFERROR(__xludf.DUMMYFUNCTION("IFERROR(GOOGLEFINANCE(A1061,""high""),"""")"),760.0)</f>
        <v>760</v>
      </c>
      <c r="Y1061" s="22">
        <f>IFERROR(__xludf.DUMMYFUNCTION("IFERROR(GOOGLEFINANCE(A1061,""low""),"""")"),715.0)</f>
        <v>715</v>
      </c>
      <c r="Z1061" s="22">
        <f>IFERROR(__xludf.DUMMYFUNCTION("IFERROR(GOOGLEFINANCE(A1061,""volume""),"""")"),9.27412E7)</f>
        <v>92741200</v>
      </c>
      <c r="AA1061" s="24" t="str">
        <f>VLOOKUP(A1061,Metrik!$C$2:$Y$959,5,0)</f>
        <v>Pharmaceuticals</v>
      </c>
      <c r="AB1061" s="24" t="str">
        <f>VLOOKUP(A1061,Metrik!$C$2:$Y$959,3,0)</f>
        <v>Healthcare</v>
      </c>
    </row>
    <row r="1062">
      <c r="A1062" s="48" t="s">
        <v>553</v>
      </c>
      <c r="B1062" s="14" t="str">
        <f t="array" ref="B1062">VLOOKUP(A1062,{Metrik!$C$2:$C$998,Metrik!$B$2:$B$998},2,0)</f>
        <v>Kalbe Farma Tbk.</v>
      </c>
      <c r="C1062" s="15">
        <f>IFERROR(__xludf.DUMMYFUNCTION("GOOGLEFINANCE(""IDX:""&amp;A1062,""price"")"),740.0)</f>
        <v>740</v>
      </c>
      <c r="D1062" s="16" t="str">
        <f>IFERROR(__xludf.DUMMYFUNCTION("IF(A1062="""","""",
SPARKLINE(
INDEX(
GOOGLEFINANCE(""IDX:""&amp;A1062,""close"",TODAY()-365,TODAY()),
,2
),
{""linewidth"",1}
))
"),"#N/A")</f>
        <v>#N/A</v>
      </c>
      <c r="E1062" s="17" t="s">
        <v>69</v>
      </c>
      <c r="F1062" s="17" t="s">
        <v>70</v>
      </c>
      <c r="G1062" s="24">
        <f t="shared" si="7"/>
        <v>17</v>
      </c>
      <c r="H1062" s="19">
        <f>VLOOKUP(A1062,Metrik!$C$2:$Y$959,8,0)</f>
        <v>10</v>
      </c>
      <c r="I1062" s="20">
        <f>VLOOKUP(A1062,Metrik!$C$2:$Y$959,9,0)</f>
        <v>1.4</v>
      </c>
      <c r="J1062" s="20">
        <f>VLOOKUP(A1062,Metrik!$C$2:$Y$959,10,0)</f>
        <v>14.1</v>
      </c>
      <c r="K1062" s="20">
        <f>VLOOKUP(A1062,Metrik!$C$2:$Y$959,11,0)</f>
        <v>11.3</v>
      </c>
      <c r="L1062" s="20">
        <f>VLOOKUP(A1062,Metrik!$C$2:$Y$959,12,0)</f>
        <v>0.24</v>
      </c>
      <c r="M1062" s="20">
        <f>VLOOKUP(A1062,Metrik!$C$2:$Y$959,19,0)</f>
        <v>37.4</v>
      </c>
      <c r="N1062" s="21"/>
      <c r="O1062" s="21"/>
      <c r="P1062" s="21"/>
      <c r="Q1062" s="21"/>
      <c r="R1062" s="21"/>
      <c r="S1062" s="21"/>
      <c r="T1062" s="21"/>
      <c r="U1062" s="22">
        <f>IFERROR(__xludf.DUMMYFUNCTION("IFERROR(GOOGLEFINANCE(A1062,""closeyest""),"""")"),725.0)</f>
        <v>725</v>
      </c>
      <c r="V1062" s="23">
        <f>IFERROR(__xludf.DUMMYFUNCTION("IFERROR(GOOGLEFINANCE(A1062,""changepct""),"""")"),2.07)</f>
        <v>2.07</v>
      </c>
      <c r="W1062" s="22">
        <f>IFERROR(__xludf.DUMMYFUNCTION("IFERROR(GOOGLEFINANCE(A1062,""priceopen""),"""")"),760.0)</f>
        <v>760</v>
      </c>
      <c r="X1062" s="22">
        <f>IFERROR(__xludf.DUMMYFUNCTION("IFERROR(GOOGLEFINANCE(A1062,""high""),"""")"),760.0)</f>
        <v>760</v>
      </c>
      <c r="Y1062" s="22">
        <f>IFERROR(__xludf.DUMMYFUNCTION("IFERROR(GOOGLEFINANCE(A1062,""low""),"""")"),715.0)</f>
        <v>715</v>
      </c>
      <c r="Z1062" s="22">
        <f>IFERROR(__xludf.DUMMYFUNCTION("IFERROR(GOOGLEFINANCE(A1062,""volume""),"""")"),9.27412E7)</f>
        <v>92741200</v>
      </c>
      <c r="AA1062" s="24" t="str">
        <f>VLOOKUP(A1062,Metrik!$C$2:$Y$959,5,0)</f>
        <v>Pharmaceuticals</v>
      </c>
      <c r="AB1062" s="24" t="str">
        <f>VLOOKUP(A1062,Metrik!$C$2:$Y$959,3,0)</f>
        <v>Healthcare</v>
      </c>
    </row>
    <row r="1063">
      <c r="A1063" s="17" t="s">
        <v>553</v>
      </c>
      <c r="B1063" s="14" t="str">
        <f t="array" ref="B1063">VLOOKUP(A1063,{Metrik!$C$2:$C$998,Metrik!$B$2:$B$998},2,0)</f>
        <v>Kalbe Farma Tbk.</v>
      </c>
      <c r="C1063" s="15">
        <f>IFERROR(__xludf.DUMMYFUNCTION("GOOGLEFINANCE(""IDX:""&amp;A1063,""price"")"),740.0)</f>
        <v>740</v>
      </c>
      <c r="D1063" s="16" t="str">
        <f>IFERROR(__xludf.DUMMYFUNCTION("IF(A1063="""","""",
SPARKLINE(
INDEX(
GOOGLEFINANCE(""IDX:""&amp;A1063,""close"",TODAY()-365,TODAY()),
,2
),
{""linewidth"",1}
))
"),"#N/A")</f>
        <v>#N/A</v>
      </c>
      <c r="E1063" s="14" t="s">
        <v>35</v>
      </c>
      <c r="F1063" s="17" t="s">
        <v>36</v>
      </c>
      <c r="G1063" s="38">
        <f t="shared" si="7"/>
        <v>17</v>
      </c>
      <c r="H1063" s="34">
        <f>VLOOKUP(A1063,Metrik!$C$2:$Y$959,8,0)</f>
        <v>10</v>
      </c>
      <c r="I1063" s="34">
        <f>VLOOKUP(A1063,Metrik!$C$2:$Y$959,9,0)</f>
        <v>1.4</v>
      </c>
      <c r="J1063" s="34">
        <f>VLOOKUP(A1063,Metrik!$C$2:$Y$959,10,0)</f>
        <v>14.1</v>
      </c>
      <c r="K1063" s="34">
        <f>VLOOKUP(A1063,Metrik!$C$2:$Y$959,11,0)</f>
        <v>11.3</v>
      </c>
      <c r="L1063" s="34">
        <f>VLOOKUP(A1063,Metrik!$C$2:$Y$959,12,0)</f>
        <v>0.24</v>
      </c>
      <c r="M1063" s="34">
        <f>VLOOKUP(A1063,Metrik!$C$2:$Y$959,19,0)</f>
        <v>37.4</v>
      </c>
      <c r="N1063" s="45"/>
      <c r="O1063" s="45"/>
      <c r="P1063" s="45"/>
      <c r="Q1063" s="45"/>
      <c r="R1063" s="45"/>
      <c r="S1063" s="45"/>
      <c r="T1063" s="45"/>
      <c r="U1063" s="35">
        <f>IFERROR(__xludf.DUMMYFUNCTION("IFERROR(GOOGLEFINANCE(A1063,""closeyest""),"""")"),725.0)</f>
        <v>725</v>
      </c>
      <c r="V1063" s="36">
        <f>IFERROR(__xludf.DUMMYFUNCTION("IFERROR(GOOGLEFINANCE(A1063,""changepct""),"""")"),2.07)</f>
        <v>2.07</v>
      </c>
      <c r="W1063" s="35">
        <f>IFERROR(__xludf.DUMMYFUNCTION("IFERROR(GOOGLEFINANCE(A1063,""priceopen""),"""")"),760.0)</f>
        <v>760</v>
      </c>
      <c r="X1063" s="35">
        <f>IFERROR(__xludf.DUMMYFUNCTION("IFERROR(GOOGLEFINANCE(A1063,""high""),"""")"),760.0)</f>
        <v>760</v>
      </c>
      <c r="Y1063" s="35">
        <f>IFERROR(__xludf.DUMMYFUNCTION("IFERROR(GOOGLEFINANCE(A1063,""low""),"""")"),715.0)</f>
        <v>715</v>
      </c>
      <c r="Z1063" s="35">
        <f>IFERROR(__xludf.DUMMYFUNCTION("IFERROR(GOOGLEFINANCE(A1063,""volume""),"""")"),9.27412E7)</f>
        <v>92741200</v>
      </c>
      <c r="AA1063" s="14" t="str">
        <f>VLOOKUP(A1063,Metrik!$C$2:$Y$959,5,0)</f>
        <v>Pharmaceuticals</v>
      </c>
      <c r="AB1063" s="14" t="str">
        <f>VLOOKUP(A1063,Metrik!$C$2:$Y$959,3,0)</f>
        <v>Healthcare</v>
      </c>
    </row>
    <row r="1064">
      <c r="A1064" s="14" t="s">
        <v>553</v>
      </c>
      <c r="B1064" s="14" t="str">
        <f t="array" ref="B1064">VLOOKUP(A1064,{Metrik!$C$2:$C$998,Metrik!$B$2:$B$998},2,0)</f>
        <v>Kalbe Farma Tbk.</v>
      </c>
      <c r="C1064" s="15">
        <f>IFERROR(__xludf.DUMMYFUNCTION("GOOGLEFINANCE(""IDX:""&amp;A1064,""price"")"),740.0)</f>
        <v>740</v>
      </c>
      <c r="D1064" s="16" t="str">
        <f>IFERROR(__xludf.DUMMYFUNCTION("IF(A1064="""","""",
SPARKLINE(
INDEX(
GOOGLEFINANCE(""IDX:""&amp;A1064,""close"",TODAY()-365,TODAY()),
,2
),
{""linewidth"",1}
))
"),"#N/A")</f>
        <v>#N/A</v>
      </c>
      <c r="E1064" s="14" t="s">
        <v>86</v>
      </c>
      <c r="F1064" s="25">
        <v>46356.0</v>
      </c>
      <c r="G1064" s="18">
        <f t="shared" si="7"/>
        <v>17</v>
      </c>
      <c r="H1064" s="19">
        <f>VLOOKUP(A1064,Metrik!$C$2:$Y$959,8,0)</f>
        <v>10</v>
      </c>
      <c r="I1064" s="20">
        <f>VLOOKUP(A1064,Metrik!$C$2:$Y$959,9,0)</f>
        <v>1.4</v>
      </c>
      <c r="J1064" s="20">
        <f>VLOOKUP(A1064,Metrik!$C$2:$Y$959,10,0)</f>
        <v>14.1</v>
      </c>
      <c r="K1064" s="20">
        <f>VLOOKUP(A1064,Metrik!$C$2:$Y$959,11,0)</f>
        <v>11.3</v>
      </c>
      <c r="L1064" s="20">
        <f>VLOOKUP(A1064,Metrik!$C$2:$Y$959,12,0)</f>
        <v>0.24</v>
      </c>
      <c r="M1064" s="20">
        <f>VLOOKUP(A1064,Metrik!$C$2:$Y$959,19,0)</f>
        <v>37.4</v>
      </c>
      <c r="N1064" s="21"/>
      <c r="O1064" s="21"/>
      <c r="P1064" s="21"/>
      <c r="Q1064" s="21"/>
      <c r="R1064" s="21"/>
      <c r="S1064" s="21"/>
      <c r="T1064" s="21"/>
      <c r="U1064" s="22">
        <f>IFERROR(__xludf.DUMMYFUNCTION("IFERROR(GOOGLEFINANCE(A1064,""closeyest""),"""")"),725.0)</f>
        <v>725</v>
      </c>
      <c r="V1064" s="23">
        <f>IFERROR(__xludf.DUMMYFUNCTION("IFERROR(GOOGLEFINANCE(A1064,""changepct""),"""")"),2.07)</f>
        <v>2.07</v>
      </c>
      <c r="W1064" s="22">
        <f>IFERROR(__xludf.DUMMYFUNCTION("IFERROR(GOOGLEFINANCE(A1064,""priceopen""),"""")"),760.0)</f>
        <v>760</v>
      </c>
      <c r="X1064" s="22">
        <f>IFERROR(__xludf.DUMMYFUNCTION("IFERROR(GOOGLEFINANCE(A1064,""high""),"""")"),760.0)</f>
        <v>760</v>
      </c>
      <c r="Y1064" s="22">
        <f>IFERROR(__xludf.DUMMYFUNCTION("IFERROR(GOOGLEFINANCE(A1064,""low""),"""")"),715.0)</f>
        <v>715</v>
      </c>
      <c r="Z1064" s="22">
        <f>IFERROR(__xludf.DUMMYFUNCTION("IFERROR(GOOGLEFINANCE(A1064,""volume""),"""")"),9.27412E7)</f>
        <v>92741200</v>
      </c>
      <c r="AA1064" s="24" t="str">
        <f>VLOOKUP(A1064,Metrik!$C$2:$Y$959,5,0)</f>
        <v>Pharmaceuticals</v>
      </c>
      <c r="AB1064" s="24" t="str">
        <f>VLOOKUP(A1064,Metrik!$C$2:$Y$959,3,0)</f>
        <v>Healthcare</v>
      </c>
    </row>
    <row r="1065">
      <c r="A1065" s="14" t="s">
        <v>553</v>
      </c>
      <c r="B1065" s="14" t="str">
        <f t="array" ref="B1065">VLOOKUP(A1065,{Metrik!$C$2:$C$998,Metrik!$B$2:$B$998},2,0)</f>
        <v>Kalbe Farma Tbk.</v>
      </c>
      <c r="C1065" s="15">
        <f>IFERROR(__xludf.DUMMYFUNCTION("GOOGLEFINANCE(""IDX:""&amp;A1065,""price"")"),740.0)</f>
        <v>740</v>
      </c>
      <c r="D1065" s="16" t="str">
        <f>IFERROR(__xludf.DUMMYFUNCTION("IF(A1065="""","""",
SPARKLINE(
INDEX(
GOOGLEFINANCE(""IDX:""&amp;A1065,""close"",TODAY()-365,TODAY()),
,2
),
{""linewidth"",1}
))
"),"#N/A")</f>
        <v>#N/A</v>
      </c>
      <c r="E1065" s="14" t="s">
        <v>38</v>
      </c>
      <c r="F1065" s="25">
        <v>46356.0</v>
      </c>
      <c r="G1065" s="18">
        <f t="shared" si="7"/>
        <v>17</v>
      </c>
      <c r="H1065" s="19">
        <f>VLOOKUP(A1065,Metrik!$C$2:$Y$959,8,0)</f>
        <v>10</v>
      </c>
      <c r="I1065" s="20">
        <f>VLOOKUP(A1065,Metrik!$C$2:$Y$959,9,0)</f>
        <v>1.4</v>
      </c>
      <c r="J1065" s="20">
        <f>VLOOKUP(A1065,Metrik!$C$2:$Y$959,10,0)</f>
        <v>14.1</v>
      </c>
      <c r="K1065" s="20">
        <f>VLOOKUP(A1065,Metrik!$C$2:$Y$959,11,0)</f>
        <v>11.3</v>
      </c>
      <c r="L1065" s="20">
        <f>VLOOKUP(A1065,Metrik!$C$2:$Y$959,12,0)</f>
        <v>0.24</v>
      </c>
      <c r="M1065" s="20">
        <f>VLOOKUP(A1065,Metrik!$C$2:$Y$959,19,0)</f>
        <v>37.4</v>
      </c>
      <c r="N1065" s="21"/>
      <c r="O1065" s="21"/>
      <c r="P1065" s="21"/>
      <c r="Q1065" s="21"/>
      <c r="R1065" s="21"/>
      <c r="S1065" s="21"/>
      <c r="T1065" s="21"/>
      <c r="U1065" s="22">
        <f>IFERROR(__xludf.DUMMYFUNCTION("IFERROR(GOOGLEFINANCE(A1065,""closeyest""),"""")"),725.0)</f>
        <v>725</v>
      </c>
      <c r="V1065" s="23">
        <f>IFERROR(__xludf.DUMMYFUNCTION("IFERROR(GOOGLEFINANCE(A1065,""changepct""),"""")"),2.07)</f>
        <v>2.07</v>
      </c>
      <c r="W1065" s="22">
        <f>IFERROR(__xludf.DUMMYFUNCTION("IFERROR(GOOGLEFINANCE(A1065,""priceopen""),"""")"),760.0)</f>
        <v>760</v>
      </c>
      <c r="X1065" s="22">
        <f>IFERROR(__xludf.DUMMYFUNCTION("IFERROR(GOOGLEFINANCE(A1065,""high""),"""")"),760.0)</f>
        <v>760</v>
      </c>
      <c r="Y1065" s="22">
        <f>IFERROR(__xludf.DUMMYFUNCTION("IFERROR(GOOGLEFINANCE(A1065,""low""),"""")"),715.0)</f>
        <v>715</v>
      </c>
      <c r="Z1065" s="22">
        <f>IFERROR(__xludf.DUMMYFUNCTION("IFERROR(GOOGLEFINANCE(A1065,""volume""),"""")"),9.27412E7)</f>
        <v>92741200</v>
      </c>
      <c r="AA1065" s="24" t="str">
        <f>VLOOKUP(A1065,Metrik!$C$2:$Y$959,5,0)</f>
        <v>Pharmaceuticals</v>
      </c>
      <c r="AB1065" s="24" t="str">
        <f>VLOOKUP(A1065,Metrik!$C$2:$Y$959,3,0)</f>
        <v>Healthcare</v>
      </c>
    </row>
    <row r="1066">
      <c r="A1066" s="14" t="s">
        <v>553</v>
      </c>
      <c r="B1066" s="14" t="str">
        <f t="array" ref="B1066">VLOOKUP(A1066,{Metrik!$C$2:$C$998,Metrik!$B$2:$B$998},2,0)</f>
        <v>Kalbe Farma Tbk.</v>
      </c>
      <c r="C1066" s="15">
        <f>IFERROR(__xludf.DUMMYFUNCTION("GOOGLEFINANCE(""IDX:""&amp;A1066,""price"")"),740.0)</f>
        <v>740</v>
      </c>
      <c r="D1066" s="16" t="str">
        <f>IFERROR(__xludf.DUMMYFUNCTION("IF(A1066="""","""",
SPARKLINE(
INDEX(
GOOGLEFINANCE(""IDX:""&amp;A1066,""close"",TODAY()-365,TODAY()),
,2
),
{""linewidth"",1}
))
"),"#N/A")</f>
        <v>#N/A</v>
      </c>
      <c r="E1066" s="14" t="s">
        <v>39</v>
      </c>
      <c r="F1066" s="25">
        <v>46356.0</v>
      </c>
      <c r="G1066" s="18">
        <f t="shared" si="7"/>
        <v>17</v>
      </c>
      <c r="H1066" s="19">
        <f>VLOOKUP(A1066,Metrik!$C$2:$Y$959,8,0)</f>
        <v>10</v>
      </c>
      <c r="I1066" s="20">
        <f>VLOOKUP(A1066,Metrik!$C$2:$Y$959,9,0)</f>
        <v>1.4</v>
      </c>
      <c r="J1066" s="20">
        <f>VLOOKUP(A1066,Metrik!$C$2:$Y$959,10,0)</f>
        <v>14.1</v>
      </c>
      <c r="K1066" s="20">
        <f>VLOOKUP(A1066,Metrik!$C$2:$Y$959,11,0)</f>
        <v>11.3</v>
      </c>
      <c r="L1066" s="20">
        <f>VLOOKUP(A1066,Metrik!$C$2:$Y$959,12,0)</f>
        <v>0.24</v>
      </c>
      <c r="M1066" s="20">
        <f>VLOOKUP(A1066,Metrik!$C$2:$Y$959,19,0)</f>
        <v>37.4</v>
      </c>
      <c r="N1066" s="21"/>
      <c r="O1066" s="21"/>
      <c r="P1066" s="21"/>
      <c r="Q1066" s="21"/>
      <c r="R1066" s="21"/>
      <c r="S1066" s="21"/>
      <c r="T1066" s="21"/>
      <c r="U1066" s="22">
        <f>IFERROR(__xludf.DUMMYFUNCTION("IFERROR(GOOGLEFINANCE(A1066,""closeyest""),"""")"),725.0)</f>
        <v>725</v>
      </c>
      <c r="V1066" s="23">
        <f>IFERROR(__xludf.DUMMYFUNCTION("IFERROR(GOOGLEFINANCE(A1066,""changepct""),"""")"),2.07)</f>
        <v>2.07</v>
      </c>
      <c r="W1066" s="22">
        <f>IFERROR(__xludf.DUMMYFUNCTION("IFERROR(GOOGLEFINANCE(A1066,""priceopen""),"""")"),760.0)</f>
        <v>760</v>
      </c>
      <c r="X1066" s="22">
        <f>IFERROR(__xludf.DUMMYFUNCTION("IFERROR(GOOGLEFINANCE(A1066,""high""),"""")"),760.0)</f>
        <v>760</v>
      </c>
      <c r="Y1066" s="22">
        <f>IFERROR(__xludf.DUMMYFUNCTION("IFERROR(GOOGLEFINANCE(A1066,""low""),"""")"),715.0)</f>
        <v>715</v>
      </c>
      <c r="Z1066" s="22">
        <f>IFERROR(__xludf.DUMMYFUNCTION("IFERROR(GOOGLEFINANCE(A1066,""volume""),"""")"),9.27412E7)</f>
        <v>92741200</v>
      </c>
      <c r="AA1066" s="24" t="str">
        <f>VLOOKUP(A1066,Metrik!$C$2:$Y$959,5,0)</f>
        <v>Pharmaceuticals</v>
      </c>
      <c r="AB1066" s="24" t="str">
        <f>VLOOKUP(A1066,Metrik!$C$2:$Y$959,3,0)</f>
        <v>Healthcare</v>
      </c>
    </row>
    <row r="1067">
      <c r="A1067" s="14" t="s">
        <v>554</v>
      </c>
      <c r="B1067" s="14" t="str">
        <f t="array" ref="B1067">VLOOKUP(A1067,{Metrik!$C$2:$C$998,Metrik!$B$2:$B$998},2,0)</f>
        <v>Klinko Karya Imaji Tbk.</v>
      </c>
      <c r="C1067" s="15">
        <f>IFERROR(__xludf.DUMMYFUNCTION("GOOGLEFINANCE(""IDX:""&amp;A1067,""price"")"),102.0)</f>
        <v>102</v>
      </c>
      <c r="D1067" s="16" t="str">
        <f>IFERROR(__xludf.DUMMYFUNCTION("IF(A1067="""","""",
SPARKLINE(
INDEX(
GOOGLEFINANCE(""IDX:""&amp;A1067,""close"",TODAY()-365,TODAY()),
,2
),
{""linewidth"",1}
))
"),"#N/A")</f>
        <v>#N/A</v>
      </c>
      <c r="E1067" s="26"/>
      <c r="F1067" s="26"/>
      <c r="G1067" s="24">
        <f t="shared" si="7"/>
        <v>0</v>
      </c>
      <c r="H1067" s="19">
        <f>VLOOKUP(A1067,Metrik!$C$2:$Y$959,8,0)</f>
        <v>-35</v>
      </c>
      <c r="I1067" s="20">
        <f>VLOOKUP(A1067,Metrik!$C$2:$Y$959,9,0)</f>
        <v>5.2</v>
      </c>
      <c r="J1067" s="20">
        <f>VLOOKUP(A1067,Metrik!$C$2:$Y$959,10,0)</f>
        <v>-15</v>
      </c>
      <c r="K1067" s="20">
        <f>VLOOKUP(A1067,Metrik!$C$2:$Y$959,11,0)</f>
        <v>-14.2</v>
      </c>
      <c r="L1067" s="20">
        <f>VLOOKUP(A1067,Metrik!$C$2:$Y$959,12,0)</f>
        <v>0.05</v>
      </c>
      <c r="M1067" s="20">
        <f>VLOOKUP(A1067,Metrik!$C$2:$Y$959,19,0)</f>
        <v>-54.8</v>
      </c>
      <c r="N1067" s="21"/>
      <c r="O1067" s="21"/>
      <c r="P1067" s="21"/>
      <c r="Q1067" s="21"/>
      <c r="R1067" s="21"/>
      <c r="S1067" s="21"/>
      <c r="T1067" s="21"/>
      <c r="U1067" s="22">
        <f>IFERROR(__xludf.DUMMYFUNCTION("IFERROR(GOOGLEFINANCE(A1067,""closeyest""),"""")"),101.0)</f>
        <v>101</v>
      </c>
      <c r="V1067" s="23">
        <f>IFERROR(__xludf.DUMMYFUNCTION("IFERROR(GOOGLEFINANCE(A1067,""changepct""),"""")"),0.99)</f>
        <v>0.99</v>
      </c>
      <c r="W1067" s="22">
        <f>IFERROR(__xludf.DUMMYFUNCTION("IFERROR(GOOGLEFINANCE(A1067,""priceopen""),"""")"),102.0)</f>
        <v>102</v>
      </c>
      <c r="X1067" s="22">
        <f>IFERROR(__xludf.DUMMYFUNCTION("IFERROR(GOOGLEFINANCE(A1067,""high""),"""")"),103.0)</f>
        <v>103</v>
      </c>
      <c r="Y1067" s="22">
        <f>IFERROR(__xludf.DUMMYFUNCTION("IFERROR(GOOGLEFINANCE(A1067,""low""),"""")"),100.0)</f>
        <v>100</v>
      </c>
      <c r="Z1067" s="22">
        <f>IFERROR(__xludf.DUMMYFUNCTION("IFERROR(GOOGLEFINANCE(A1067,""volume""),"""")"),16400.0)</f>
        <v>16400</v>
      </c>
      <c r="AA1067" s="24" t="str">
        <f>VLOOKUP(A1067,Metrik!$C$2:$Y$959,5,0)</f>
        <v>Specialty Retail</v>
      </c>
      <c r="AB1067" s="24" t="str">
        <f>VLOOKUP(A1067,Metrik!$C$2:$Y$959,3,0)</f>
        <v>Consumer Cyclicals</v>
      </c>
    </row>
    <row r="1068">
      <c r="A1068" s="14" t="s">
        <v>555</v>
      </c>
      <c r="B1068" s="14" t="str">
        <f t="array" ref="B1068">VLOOKUP(A1068,{Metrik!$C$2:$C$998,Metrik!$B$2:$B$998},2,0)</f>
        <v>Kurniamitra Duta Sentosa Tbk.</v>
      </c>
      <c r="C1068" s="15">
        <f>IFERROR(__xludf.DUMMYFUNCTION("GOOGLEFINANCE(""IDX:""&amp;A1068,""price"")"),525.0)</f>
        <v>525</v>
      </c>
      <c r="D1068" s="16" t="str">
        <f>IFERROR(__xludf.DUMMYFUNCTION("IF(A1068="""","""",
SPARKLINE(
INDEX(
GOOGLEFINANCE(""IDX:""&amp;A1068,""close"",TODAY()-365,TODAY()),
,2
),
{""linewidth"",1}
))
"),"#N/A")</f>
        <v>#N/A</v>
      </c>
      <c r="E1068" s="26"/>
      <c r="F1068" s="26"/>
      <c r="G1068" s="18">
        <f t="shared" si="7"/>
        <v>0</v>
      </c>
      <c r="H1068" s="19">
        <f>VLOOKUP(A1068,Metrik!$C$2:$Y$959,8,0)</f>
        <v>8.2</v>
      </c>
      <c r="I1068" s="20">
        <f>VLOOKUP(A1068,Metrik!$C$2:$Y$959,9,0)</f>
        <v>1.7</v>
      </c>
      <c r="J1068" s="20">
        <f>VLOOKUP(A1068,Metrik!$C$2:$Y$959,10,0)</f>
        <v>20.3</v>
      </c>
      <c r="K1068" s="20">
        <f>VLOOKUP(A1068,Metrik!$C$2:$Y$959,11,0)</f>
        <v>16.6</v>
      </c>
      <c r="L1068" s="20">
        <f>VLOOKUP(A1068,Metrik!$C$2:$Y$959,12,0)</f>
        <v>0.22</v>
      </c>
      <c r="M1068" s="20">
        <f>VLOOKUP(A1068,Metrik!$C$2:$Y$959,19,0)</f>
        <v>50</v>
      </c>
      <c r="N1068" s="21"/>
      <c r="O1068" s="21"/>
      <c r="P1068" s="21"/>
      <c r="Q1068" s="21"/>
      <c r="R1068" s="21"/>
      <c r="S1068" s="21"/>
      <c r="T1068" s="21"/>
      <c r="U1068" s="22">
        <f>IFERROR(__xludf.DUMMYFUNCTION("IFERROR(GOOGLEFINANCE(A1068,""closeyest""),"""")"),525.0)</f>
        <v>525</v>
      </c>
      <c r="V1068" s="23">
        <f>IFERROR(__xludf.DUMMYFUNCTION("IFERROR(GOOGLEFINANCE(A1068,""changepct""),"""")"),0.0)</f>
        <v>0</v>
      </c>
      <c r="W1068" s="22">
        <f>IFERROR(__xludf.DUMMYFUNCTION("IFERROR(GOOGLEFINANCE(A1068,""priceopen""),"""")"),530.0)</f>
        <v>530</v>
      </c>
      <c r="X1068" s="22">
        <f>IFERROR(__xludf.DUMMYFUNCTION("IFERROR(GOOGLEFINANCE(A1068,""high""),"""")"),530.0)</f>
        <v>530</v>
      </c>
      <c r="Y1068" s="22">
        <f>IFERROR(__xludf.DUMMYFUNCTION("IFERROR(GOOGLEFINANCE(A1068,""low""),"""")"),510.0)</f>
        <v>510</v>
      </c>
      <c r="Z1068" s="22">
        <f>IFERROR(__xludf.DUMMYFUNCTION("IFERROR(GOOGLEFINANCE(A1068,""volume""),"""")"),51200.0)</f>
        <v>51200</v>
      </c>
      <c r="AA1068" s="24" t="str">
        <f>VLOOKUP(A1068,Metrik!$C$2:$Y$959,5,0)</f>
        <v>Food &amp; Staples Retailing</v>
      </c>
      <c r="AB1068" s="24" t="str">
        <f>VLOOKUP(A1068,Metrik!$C$2:$Y$959,3,0)</f>
        <v>Consumer Non-Cyclicals</v>
      </c>
    </row>
    <row r="1069">
      <c r="A1069" s="14" t="s">
        <v>556</v>
      </c>
      <c r="B1069" s="14" t="str">
        <f t="array" ref="B1069">VLOOKUP(A1069,{Metrik!$C$2:$C$998,Metrik!$B$2:$B$998},2,0)</f>
        <v>PT Kirana Megatara Tbk.</v>
      </c>
      <c r="C1069" s="15">
        <f>IFERROR(__xludf.DUMMYFUNCTION("GOOGLEFINANCE(""IDX:""&amp;A1069,""price"")"),230.0)</f>
        <v>230</v>
      </c>
      <c r="D1069" s="16" t="str">
        <f>IFERROR(__xludf.DUMMYFUNCTION("IF(A1069="""","""",
SPARKLINE(
INDEX(
GOOGLEFINANCE(""IDX:""&amp;A1069,""close"",TODAY()-365,TODAY()),
,2
),
{""linewidth"",1}
))
"),"#N/A")</f>
        <v>#N/A</v>
      </c>
      <c r="E1069" s="26"/>
      <c r="F1069" s="26"/>
      <c r="G1069" s="24">
        <f t="shared" si="7"/>
        <v>0</v>
      </c>
      <c r="H1069" s="19">
        <f>VLOOKUP(A1069,Metrik!$C$2:$Y$959,8,0)</f>
        <v>30.8</v>
      </c>
      <c r="I1069" s="20">
        <f>VLOOKUP(A1069,Metrik!$C$2:$Y$959,9,0)</f>
        <v>0.83</v>
      </c>
      <c r="J1069" s="20">
        <f>VLOOKUP(A1069,Metrik!$C$2:$Y$959,10,0)</f>
        <v>2.7</v>
      </c>
      <c r="K1069" s="20">
        <f>VLOOKUP(A1069,Metrik!$C$2:$Y$959,11,0)</f>
        <v>1.1</v>
      </c>
      <c r="L1069" s="20">
        <f>VLOOKUP(A1069,Metrik!$C$2:$Y$959,12,0)</f>
        <v>1.4</v>
      </c>
      <c r="M1069" s="20">
        <f>VLOOKUP(A1069,Metrik!$C$2:$Y$959,19,0)</f>
        <v>2.1</v>
      </c>
      <c r="N1069" s="21"/>
      <c r="O1069" s="21"/>
      <c r="P1069" s="21"/>
      <c r="Q1069" s="21"/>
      <c r="R1069" s="21"/>
      <c r="S1069" s="21"/>
      <c r="T1069" s="21"/>
      <c r="U1069" s="22">
        <f>IFERROR(__xludf.DUMMYFUNCTION("IFERROR(GOOGLEFINANCE(A1069,""closeyest""),"""")"),226.0)</f>
        <v>226</v>
      </c>
      <c r="V1069" s="23">
        <f>IFERROR(__xludf.DUMMYFUNCTION("IFERROR(GOOGLEFINANCE(A1069,""changepct""),"""")"),1.77)</f>
        <v>1.77</v>
      </c>
      <c r="W1069" s="22">
        <f>IFERROR(__xludf.DUMMYFUNCTION("IFERROR(GOOGLEFINANCE(A1069,""priceopen""),"""")"),226.0)</f>
        <v>226</v>
      </c>
      <c r="X1069" s="22">
        <f>IFERROR(__xludf.DUMMYFUNCTION("IFERROR(GOOGLEFINANCE(A1069,""high""),"""")"),238.0)</f>
        <v>238</v>
      </c>
      <c r="Y1069" s="22">
        <f>IFERROR(__xludf.DUMMYFUNCTION("IFERROR(GOOGLEFINANCE(A1069,""low""),"""")"),226.0)</f>
        <v>226</v>
      </c>
      <c r="Z1069" s="22">
        <f>IFERROR(__xludf.DUMMYFUNCTION("IFERROR(GOOGLEFINANCE(A1069,""volume""),"""")"),27500.0)</f>
        <v>27500</v>
      </c>
      <c r="AA1069" s="24" t="str">
        <f>VLOOKUP(A1069,Metrik!$C$2:$Y$959,5,0)</f>
        <v>Forestry &amp; Paper</v>
      </c>
      <c r="AB1069" s="24" t="str">
        <f>VLOOKUP(A1069,Metrik!$C$2:$Y$959,3,0)</f>
        <v>Basic Materials</v>
      </c>
    </row>
    <row r="1070">
      <c r="A1070" s="14" t="s">
        <v>557</v>
      </c>
      <c r="B1070" s="14" t="str">
        <f t="array" ref="B1070">VLOOKUP(A1070,{Metrik!$C$2:$C$998,Metrik!$B$2:$B$998},2,0)</f>
        <v>Kobexindo Tractors Tbk.</v>
      </c>
      <c r="C1070" s="15">
        <f>IFERROR(__xludf.DUMMYFUNCTION("GOOGLEFINANCE(""IDX:""&amp;A1070,""price"")"),142.0)</f>
        <v>142</v>
      </c>
      <c r="D1070" s="16" t="str">
        <f>IFERROR(__xludf.DUMMYFUNCTION("IF(A1070="""","""",
SPARKLINE(
INDEX(
GOOGLEFINANCE(""IDX:""&amp;A1070,""close"",TODAY()-365,TODAY()),
,2
),
{""linewidth"",1}
))
"),"#N/A")</f>
        <v>#N/A</v>
      </c>
      <c r="E1070" s="26"/>
      <c r="F1070" s="26"/>
      <c r="G1070" s="24">
        <f t="shared" si="7"/>
        <v>0</v>
      </c>
      <c r="H1070" s="19">
        <f>VLOOKUP(A1070,Metrik!$C$2:$Y$959,8,0)</f>
        <v>-2.8</v>
      </c>
      <c r="I1070" s="20">
        <f>VLOOKUP(A1070,Metrik!$C$2:$Y$959,9,0)</f>
        <v>0.67</v>
      </c>
      <c r="J1070" s="20">
        <f>VLOOKUP(A1070,Metrik!$C$2:$Y$959,10,0)</f>
        <v>-23.9</v>
      </c>
      <c r="K1070" s="20">
        <f>VLOOKUP(A1070,Metrik!$C$2:$Y$959,11,0)</f>
        <v>-3.8</v>
      </c>
      <c r="L1070" s="20">
        <f>VLOOKUP(A1070,Metrik!$C$2:$Y$959,12,0)</f>
        <v>5.3</v>
      </c>
      <c r="M1070" s="20">
        <f>VLOOKUP(A1070,Metrik!$C$2:$Y$959,19,0)</f>
        <v>-28.3</v>
      </c>
      <c r="N1070" s="21"/>
      <c r="O1070" s="21"/>
      <c r="P1070" s="21"/>
      <c r="Q1070" s="21"/>
      <c r="R1070" s="21"/>
      <c r="S1070" s="21"/>
      <c r="T1070" s="21"/>
      <c r="U1070" s="22">
        <f>IFERROR(__xludf.DUMMYFUNCTION("IFERROR(GOOGLEFINANCE(A1070,""closeyest""),"""")"),141.0)</f>
        <v>141</v>
      </c>
      <c r="V1070" s="23">
        <f>IFERROR(__xludf.DUMMYFUNCTION("IFERROR(GOOGLEFINANCE(A1070,""changepct""),"""")"),0.71)</f>
        <v>0.71</v>
      </c>
      <c r="W1070" s="22">
        <f>IFERROR(__xludf.DUMMYFUNCTION("IFERROR(GOOGLEFINANCE(A1070,""priceopen""),"""")"),141.0)</f>
        <v>141</v>
      </c>
      <c r="X1070" s="22">
        <f>IFERROR(__xludf.DUMMYFUNCTION("IFERROR(GOOGLEFINANCE(A1070,""high""),"""")"),147.0)</f>
        <v>147</v>
      </c>
      <c r="Y1070" s="22">
        <f>IFERROR(__xludf.DUMMYFUNCTION("IFERROR(GOOGLEFINANCE(A1070,""low""),"""")"),141.0)</f>
        <v>141</v>
      </c>
      <c r="Z1070" s="22">
        <f>IFERROR(__xludf.DUMMYFUNCTION("IFERROR(GOOGLEFINANCE(A1070,""volume""),"""")"),2294600.0)</f>
        <v>2294600</v>
      </c>
      <c r="AA1070" s="24" t="str">
        <f>VLOOKUP(A1070,Metrik!$C$2:$Y$959,5,0)</f>
        <v>Machinery</v>
      </c>
      <c r="AB1070" s="24" t="str">
        <f>VLOOKUP(A1070,Metrik!$C$2:$Y$959,3,0)</f>
        <v>Industrials</v>
      </c>
    </row>
    <row r="1071">
      <c r="A1071" s="14" t="s">
        <v>558</v>
      </c>
      <c r="B1071" s="14" t="str">
        <f t="array" ref="B1071">VLOOKUP(A1071,{Metrik!$C$2:$C$998,Metrik!$B$2:$B$998},2,0)</f>
        <v>PT Kokoh Exa Nusantara</v>
      </c>
      <c r="C1071" s="15">
        <f>IFERROR(__xludf.DUMMYFUNCTION("GOOGLEFINANCE(""IDX:""&amp;A1071,""price"")"),88.0)</f>
        <v>88</v>
      </c>
      <c r="D1071" s="16" t="str">
        <f>IFERROR(__xludf.DUMMYFUNCTION("IF(A1071="""","""",
SPARKLINE(
INDEX(
GOOGLEFINANCE(""IDX:""&amp;A1071,""close"",TODAY()-365,TODAY()),
,2
),
{""linewidth"",1}
))
"),"#N/A")</f>
        <v>#N/A</v>
      </c>
      <c r="E1071" s="26"/>
      <c r="F1071" s="26"/>
      <c r="G1071" s="24">
        <f t="shared" si="7"/>
        <v>0</v>
      </c>
      <c r="H1071" s="19">
        <f>VLOOKUP(A1071,Metrik!$C$2:$Y$959,8,0)</f>
        <v>30.6</v>
      </c>
      <c r="I1071" s="20">
        <f>VLOOKUP(A1071,Metrik!$C$2:$Y$959,9,0)</f>
        <v>3.1</v>
      </c>
      <c r="J1071" s="20">
        <f>VLOOKUP(A1071,Metrik!$C$2:$Y$959,10,0)</f>
        <v>10</v>
      </c>
      <c r="K1071" s="20">
        <f>VLOOKUP(A1071,Metrik!$C$2:$Y$959,11,0)</f>
        <v>9.3</v>
      </c>
      <c r="L1071" s="20">
        <f>VLOOKUP(A1071,Metrik!$C$2:$Y$959,12,0)</f>
        <v>0.07</v>
      </c>
      <c r="M1071" s="20">
        <f>VLOOKUP(A1071,Metrik!$C$2:$Y$959,19,0)</f>
        <v>150</v>
      </c>
      <c r="N1071" s="21"/>
      <c r="O1071" s="21"/>
      <c r="P1071" s="21"/>
      <c r="Q1071" s="21"/>
      <c r="R1071" s="21"/>
      <c r="S1071" s="21"/>
      <c r="T1071" s="21"/>
      <c r="U1071" s="22">
        <f>IFERROR(__xludf.DUMMYFUNCTION("IFERROR(GOOGLEFINANCE(A1071,""closeyest""),"""")"),81.0)</f>
        <v>81</v>
      </c>
      <c r="V1071" s="23" t="str">
        <f>IFERROR(__xludf.DUMMYFUNCTION("IFERROR(GOOGLEFINANCE(A1071,""changepct""),"""")"),"")</f>
        <v/>
      </c>
      <c r="W1071" s="22">
        <f>IFERROR(__xludf.DUMMYFUNCTION("IFERROR(GOOGLEFINANCE(A1071,""priceopen""),"""")"),81.0)</f>
        <v>81</v>
      </c>
      <c r="X1071" s="22">
        <f>IFERROR(__xludf.DUMMYFUNCTION("IFERROR(GOOGLEFINANCE(A1071,""high""),"""")"),97.0)</f>
        <v>97</v>
      </c>
      <c r="Y1071" s="22">
        <f>IFERROR(__xludf.DUMMYFUNCTION("IFERROR(GOOGLEFINANCE(A1071,""low""),"""")"),81.0)</f>
        <v>81</v>
      </c>
      <c r="Z1071" s="22">
        <f>IFERROR(__xludf.DUMMYFUNCTION("IFERROR(GOOGLEFINANCE(A1071,""volume""),"""")"),2.90694E7)</f>
        <v>29069400</v>
      </c>
      <c r="AA1071" s="24" t="str">
        <f>VLOOKUP(A1071,Metrik!$C$2:$Y$959,5,0)</f>
        <v>Real Estate Management &amp; Development</v>
      </c>
      <c r="AB1071" s="24" t="str">
        <f>VLOOKUP(A1071,Metrik!$C$2:$Y$959,3,0)</f>
        <v>Properties &amp; Real Estate</v>
      </c>
    </row>
    <row r="1072">
      <c r="A1072" s="14" t="s">
        <v>559</v>
      </c>
      <c r="B1072" s="14" t="str">
        <f t="array" ref="B1072">VLOOKUP(A1072,{Metrik!$C$2:$C$998,Metrik!$B$2:$B$998},2,0)</f>
        <v>Kokoh Inti Arebama Tbk</v>
      </c>
      <c r="C1072" s="15">
        <f>IFERROR(__xludf.DUMMYFUNCTION("GOOGLEFINANCE(""IDX:""&amp;A1072,""price"")"),74.0)</f>
        <v>74</v>
      </c>
      <c r="D1072" s="16" t="str">
        <f>IFERROR(__xludf.DUMMYFUNCTION("IF(A1072="""","""",
SPARKLINE(
INDEX(
GOOGLEFINANCE(""IDX:""&amp;A1072,""close"",TODAY()-365,TODAY()),
,2
),
{""linewidth"",1}
))
"),"#N/A")</f>
        <v>#N/A</v>
      </c>
      <c r="E1072" s="26"/>
      <c r="F1072" s="26"/>
      <c r="G1072" s="24">
        <f t="shared" si="7"/>
        <v>0</v>
      </c>
      <c r="H1072" s="19">
        <f>VLOOKUP(A1072,Metrik!$C$2:$Y$959,8,0)</f>
        <v>-14</v>
      </c>
      <c r="I1072" s="20">
        <f>VLOOKUP(A1072,Metrik!$C$2:$Y$959,9,0)</f>
        <v>-0.8</v>
      </c>
      <c r="J1072" s="20">
        <f>VLOOKUP(A1072,Metrik!$C$2:$Y$959,10,0)</f>
        <v>0</v>
      </c>
      <c r="K1072" s="20">
        <f>VLOOKUP(A1072,Metrik!$C$2:$Y$959,11,0)</f>
        <v>-0.72</v>
      </c>
      <c r="L1072" s="20">
        <f>VLOOKUP(A1072,Metrik!$C$2:$Y$959,12,0)</f>
        <v>-8.9</v>
      </c>
      <c r="M1072" s="20">
        <f>VLOOKUP(A1072,Metrik!$C$2:$Y$959,19,0)</f>
        <v>-0.79</v>
      </c>
      <c r="N1072" s="21"/>
      <c r="O1072" s="21"/>
      <c r="P1072" s="21"/>
      <c r="Q1072" s="21"/>
      <c r="R1072" s="21"/>
      <c r="S1072" s="21"/>
      <c r="T1072" s="21"/>
      <c r="U1072" s="22">
        <f>IFERROR(__xludf.DUMMYFUNCTION("IFERROR(GOOGLEFINANCE(A1072,""closeyest""),"""")"),74.0)</f>
        <v>74</v>
      </c>
      <c r="V1072" s="23">
        <f>IFERROR(__xludf.DUMMYFUNCTION("IFERROR(GOOGLEFINANCE(A1072,""changepct""),"""")"),0.0)</f>
        <v>0</v>
      </c>
      <c r="W1072" s="22">
        <f>IFERROR(__xludf.DUMMYFUNCTION("IFERROR(GOOGLEFINANCE(A1072,""priceopen""),"""")"),74.0)</f>
        <v>74</v>
      </c>
      <c r="X1072" s="22">
        <f>IFERROR(__xludf.DUMMYFUNCTION("IFERROR(GOOGLEFINANCE(A1072,""high""),"""")"),74.0)</f>
        <v>74</v>
      </c>
      <c r="Y1072" s="22">
        <f>IFERROR(__xludf.DUMMYFUNCTION("IFERROR(GOOGLEFINANCE(A1072,""low""),"""")"),74.0)</f>
        <v>74</v>
      </c>
      <c r="Z1072" s="22">
        <f>IFERROR(__xludf.DUMMYFUNCTION("IFERROR(GOOGLEFINANCE(A1072,""volume""),"""")"),73600.0)</f>
        <v>73600</v>
      </c>
      <c r="AA1072" s="24" t="str">
        <f>VLOOKUP(A1072,Metrik!$C$2:$Y$959,5,0)</f>
        <v>Building Products &amp; Fixtures</v>
      </c>
      <c r="AB1072" s="24" t="str">
        <f>VLOOKUP(A1072,Metrik!$C$2:$Y$959,3,0)</f>
        <v>Industrials</v>
      </c>
    </row>
    <row r="1073">
      <c r="A1073" s="14" t="s">
        <v>560</v>
      </c>
      <c r="B1073" s="14" t="str">
        <f t="array" ref="B1073">VLOOKUP(A1073,{Metrik!$C$2:$C$998,Metrik!$B$2:$B$998},2,0)</f>
        <v>PT Koka Indonesia Tbk.</v>
      </c>
      <c r="C1073" s="15">
        <f>IFERROR(__xludf.DUMMYFUNCTION("GOOGLEFINANCE(""IDX:""&amp;A1073,""price"")"),94.0)</f>
        <v>94</v>
      </c>
      <c r="D1073" s="16" t="str">
        <f>IFERROR(__xludf.DUMMYFUNCTION("IF(A1073="""","""",
SPARKLINE(
INDEX(
GOOGLEFINANCE(""IDX:""&amp;A1073,""close"",TODAY()-365,TODAY()),
,2
),
{""linewidth"",1}
))
"),"#N/A")</f>
        <v>#N/A</v>
      </c>
      <c r="E1073" s="26"/>
      <c r="F1073" s="26"/>
      <c r="G1073" s="24">
        <f t="shared" si="7"/>
        <v>0</v>
      </c>
      <c r="H1073" s="19">
        <f>VLOOKUP(A1073,Metrik!$C$2:$Y$959,8,0)</f>
        <v>-11.6</v>
      </c>
      <c r="I1073" s="20">
        <f>VLOOKUP(A1073,Metrik!$C$2:$Y$959,9,0)</f>
        <v>2.2</v>
      </c>
      <c r="J1073" s="20">
        <f>VLOOKUP(A1073,Metrik!$C$2:$Y$959,10,0)</f>
        <v>-18.6</v>
      </c>
      <c r="K1073" s="20">
        <f>VLOOKUP(A1073,Metrik!$C$2:$Y$959,11,0)</f>
        <v>-15.7</v>
      </c>
      <c r="L1073" s="20">
        <f>VLOOKUP(A1073,Metrik!$C$2:$Y$959,12,0)</f>
        <v>0.19</v>
      </c>
      <c r="M1073" s="20">
        <f>VLOOKUP(A1073,Metrik!$C$2:$Y$959,19,0)</f>
        <v>-960</v>
      </c>
      <c r="N1073" s="21"/>
      <c r="O1073" s="21"/>
      <c r="P1073" s="21"/>
      <c r="Q1073" s="21"/>
      <c r="R1073" s="21"/>
      <c r="S1073" s="21"/>
      <c r="T1073" s="21"/>
      <c r="U1073" s="22">
        <f>IFERROR(__xludf.DUMMYFUNCTION("IFERROR(GOOGLEFINANCE(A1073,""closeyest""),"""")"),89.0)</f>
        <v>89</v>
      </c>
      <c r="V1073" s="23">
        <f>IFERROR(__xludf.DUMMYFUNCTION("IFERROR(GOOGLEFINANCE(A1073,""changepct""),"""")"),5.62)</f>
        <v>5.62</v>
      </c>
      <c r="W1073" s="22">
        <f>IFERROR(__xludf.DUMMYFUNCTION("IFERROR(GOOGLEFINANCE(A1073,""priceopen""),"""")"),98.0)</f>
        <v>98</v>
      </c>
      <c r="X1073" s="22">
        <f>IFERROR(__xludf.DUMMYFUNCTION("IFERROR(GOOGLEFINANCE(A1073,""high""),"""")"),100.0)</f>
        <v>100</v>
      </c>
      <c r="Y1073" s="22">
        <f>IFERROR(__xludf.DUMMYFUNCTION("IFERROR(GOOGLEFINANCE(A1073,""low""),"""")"),88.0)</f>
        <v>88</v>
      </c>
      <c r="Z1073" s="22">
        <f>IFERROR(__xludf.DUMMYFUNCTION("IFERROR(GOOGLEFINANCE(A1073,""volume""),"""")"),3.49418E7)</f>
        <v>34941800</v>
      </c>
      <c r="AA1073" s="24" t="str">
        <f>VLOOKUP(A1073,Metrik!$C$2:$Y$959,5,0)</f>
        <v>Heavy Constructions &amp; Civil Engineering</v>
      </c>
      <c r="AB1073" s="24" t="str">
        <f>VLOOKUP(A1073,Metrik!$C$2:$Y$959,3,0)</f>
        <v>Infrastructures</v>
      </c>
    </row>
    <row r="1074">
      <c r="A1074" s="14" t="s">
        <v>561</v>
      </c>
      <c r="B1074" s="14" t="str">
        <f t="array" ref="B1074">VLOOKUP(A1074,{Metrik!$C$2:$C$998,Metrik!$B$2:$B$998},2,0)</f>
        <v>Perdana Bangun Pusaka Tbk</v>
      </c>
      <c r="C1074" s="15">
        <f>IFERROR(__xludf.DUMMYFUNCTION("GOOGLEFINANCE(""IDX:""&amp;A1074,""price"")"),2320.0)</f>
        <v>2320</v>
      </c>
      <c r="D1074" s="16" t="str">
        <f>IFERROR(__xludf.DUMMYFUNCTION("IF(A1074="""","""",
SPARKLINE(
INDEX(
GOOGLEFINANCE(""IDX:""&amp;A1074,""close"",TODAY()-365,TODAY()),
,2
),
{""linewidth"",1}
))
"),"#N/A")</f>
        <v>#N/A</v>
      </c>
      <c r="E1074" s="26"/>
      <c r="F1074" s="26"/>
      <c r="G1074" s="24">
        <f t="shared" si="7"/>
        <v>0</v>
      </c>
      <c r="H1074" s="19">
        <f>VLOOKUP(A1074,Metrik!$C$2:$Y$959,8,0)</f>
        <v>37.7</v>
      </c>
      <c r="I1074" s="20">
        <f>VLOOKUP(A1074,Metrik!$C$2:$Y$959,9,0)</f>
        <v>4.2</v>
      </c>
      <c r="J1074" s="20">
        <f>VLOOKUP(A1074,Metrik!$C$2:$Y$959,10,0)</f>
        <v>11.3</v>
      </c>
      <c r="K1074" s="20">
        <f>VLOOKUP(A1074,Metrik!$C$2:$Y$959,11,0)</f>
        <v>10.3</v>
      </c>
      <c r="L1074" s="20">
        <f>VLOOKUP(A1074,Metrik!$C$2:$Y$959,12,0)</f>
        <v>0.09</v>
      </c>
      <c r="M1074" s="20">
        <f>VLOOKUP(A1074,Metrik!$C$2:$Y$959,19,0)</f>
        <v>30.2</v>
      </c>
      <c r="N1074" s="21"/>
      <c r="O1074" s="21"/>
      <c r="P1074" s="21"/>
      <c r="Q1074" s="21"/>
      <c r="R1074" s="21"/>
      <c r="S1074" s="21"/>
      <c r="T1074" s="21"/>
      <c r="U1074" s="22">
        <f>IFERROR(__xludf.DUMMYFUNCTION("IFERROR(GOOGLEFINANCE(A1074,""closeyest""),"""")"),2280.0)</f>
        <v>2280</v>
      </c>
      <c r="V1074" s="23">
        <f>IFERROR(__xludf.DUMMYFUNCTION("IFERROR(GOOGLEFINANCE(A1074,""changepct""),"""")"),1.75)</f>
        <v>1.75</v>
      </c>
      <c r="W1074" s="22">
        <f>IFERROR(__xludf.DUMMYFUNCTION("IFERROR(GOOGLEFINANCE(A1074,""priceopen""),"""")"),2280.0)</f>
        <v>2280</v>
      </c>
      <c r="X1074" s="22">
        <f>IFERROR(__xludf.DUMMYFUNCTION("IFERROR(GOOGLEFINANCE(A1074,""high""),"""")"),2450.0)</f>
        <v>2450</v>
      </c>
      <c r="Y1074" s="22">
        <f>IFERROR(__xludf.DUMMYFUNCTION("IFERROR(GOOGLEFINANCE(A1074,""low""),"""")"),2200.0)</f>
        <v>2200</v>
      </c>
      <c r="Z1074" s="22">
        <f>IFERROR(__xludf.DUMMYFUNCTION("IFERROR(GOOGLEFINANCE(A1074,""volume""),"""")"),59200.0)</f>
        <v>59200</v>
      </c>
      <c r="AA1074" s="24" t="str">
        <f>VLOOKUP(A1074,Metrik!$C$2:$Y$959,5,0)</f>
        <v>Commercial Services</v>
      </c>
      <c r="AB1074" s="24" t="str">
        <f>VLOOKUP(A1074,Metrik!$C$2:$Y$959,3,0)</f>
        <v>Industrials</v>
      </c>
    </row>
    <row r="1075">
      <c r="A1075" s="14" t="s">
        <v>562</v>
      </c>
      <c r="B1075" s="14" t="str">
        <f t="array" ref="B1075">VLOOKUP(A1075,{Metrik!$C$2:$C$998,Metrik!$B$2:$B$998},2,0)</f>
        <v>Mitra Energi Persada Tbk.</v>
      </c>
      <c r="C1075" s="15">
        <f>IFERROR(__xludf.DUMMYFUNCTION("GOOGLEFINANCE(""IDX:""&amp;A1075,""price"")"),187.0)</f>
        <v>187</v>
      </c>
      <c r="D1075" s="16" t="str">
        <f>IFERROR(__xludf.DUMMYFUNCTION("IF(A1075="""","""",
SPARKLINE(
INDEX(
GOOGLEFINANCE(""IDX:""&amp;A1075,""close"",TODAY()-365,TODAY()),
,2
),
{""linewidth"",1}
))
"),"#N/A")</f>
        <v>#N/A</v>
      </c>
      <c r="E1075" s="26"/>
      <c r="F1075" s="26"/>
      <c r="G1075" s="24">
        <f t="shared" si="7"/>
        <v>0</v>
      </c>
      <c r="H1075" s="19">
        <f>VLOOKUP(A1075,Metrik!$C$2:$Y$959,8,0)</f>
        <v>120</v>
      </c>
      <c r="I1075" s="20">
        <f>VLOOKUP(A1075,Metrik!$C$2:$Y$959,9,0)</f>
        <v>1.8</v>
      </c>
      <c r="J1075" s="20">
        <f>VLOOKUP(A1075,Metrik!$C$2:$Y$959,10,0)</f>
        <v>1.5</v>
      </c>
      <c r="K1075" s="20">
        <f>VLOOKUP(A1075,Metrik!$C$2:$Y$959,11,0)</f>
        <v>0.4</v>
      </c>
      <c r="L1075" s="20">
        <f>VLOOKUP(A1075,Metrik!$C$2:$Y$959,12,0)</f>
        <v>2.8</v>
      </c>
      <c r="M1075" s="20">
        <f>VLOOKUP(A1075,Metrik!$C$2:$Y$959,19,0)</f>
        <v>1.6</v>
      </c>
      <c r="N1075" s="21"/>
      <c r="O1075" s="21"/>
      <c r="P1075" s="21"/>
      <c r="Q1075" s="21"/>
      <c r="R1075" s="21"/>
      <c r="S1075" s="21"/>
      <c r="T1075" s="21"/>
      <c r="U1075" s="22">
        <f>IFERROR(__xludf.DUMMYFUNCTION("IFERROR(GOOGLEFINANCE(A1075,""closeyest""),"""")"),202.0)</f>
        <v>202</v>
      </c>
      <c r="V1075" s="23">
        <f>IFERROR(__xludf.DUMMYFUNCTION("IFERROR(GOOGLEFINANCE(A1075,""changepct""),"""")"),-7.43)</f>
        <v>-7.43</v>
      </c>
      <c r="W1075" s="22">
        <f>IFERROR(__xludf.DUMMYFUNCTION("IFERROR(GOOGLEFINANCE(A1075,""priceopen""),"""")"),216.0)</f>
        <v>216</v>
      </c>
      <c r="X1075" s="22">
        <f>IFERROR(__xludf.DUMMYFUNCTION("IFERROR(GOOGLEFINANCE(A1075,""high""),"""")"),240.0)</f>
        <v>240</v>
      </c>
      <c r="Y1075" s="22">
        <f>IFERROR(__xludf.DUMMYFUNCTION("IFERROR(GOOGLEFINANCE(A1075,""low""),"""")"),180.0)</f>
        <v>180</v>
      </c>
      <c r="Z1075" s="22">
        <f>IFERROR(__xludf.DUMMYFUNCTION("IFERROR(GOOGLEFINANCE(A1075,""volume""),"""")"),5035400.0)</f>
        <v>5035400</v>
      </c>
      <c r="AA1075" s="24" t="str">
        <f>VLOOKUP(A1075,Metrik!$C$2:$Y$959,5,0)</f>
        <v>Oil &amp; Gas</v>
      </c>
      <c r="AB1075" s="24" t="str">
        <f>VLOOKUP(A1075,Metrik!$C$2:$Y$959,3,0)</f>
        <v>Energy</v>
      </c>
    </row>
    <row r="1076">
      <c r="A1076" s="14" t="s">
        <v>563</v>
      </c>
      <c r="B1076" s="14" t="str">
        <f t="array" ref="B1076">VLOOKUP(A1076,{Metrik!$C$2:$C$998,Metrik!$B$2:$B$998},2,0)</f>
        <v>DMS Propertindo Tbk.</v>
      </c>
      <c r="C1076" s="15">
        <f>IFERROR(__xludf.DUMMYFUNCTION("GOOGLEFINANCE(""IDX:""&amp;A1076,""price"")"),89.0)</f>
        <v>89</v>
      </c>
      <c r="D1076" s="16" t="str">
        <f>IFERROR(__xludf.DUMMYFUNCTION("IF(A1076="""","""",
SPARKLINE(
INDEX(
GOOGLEFINANCE(""IDX:""&amp;A1076,""close"",TODAY()-365,TODAY()),
,2
),
{""linewidth"",1}
))
"),"#N/A")</f>
        <v>#N/A</v>
      </c>
      <c r="E1076" s="26"/>
      <c r="F1076" s="26"/>
      <c r="G1076" s="24">
        <f t="shared" si="7"/>
        <v>0</v>
      </c>
      <c r="H1076" s="19">
        <f>VLOOKUP(A1076,Metrik!$C$2:$Y$959,8,0)</f>
        <v>22</v>
      </c>
      <c r="I1076" s="20">
        <f>VLOOKUP(A1076,Metrik!$C$2:$Y$959,9,0)</f>
        <v>0.93</v>
      </c>
      <c r="J1076" s="20">
        <f>VLOOKUP(A1076,Metrik!$C$2:$Y$959,10,0)</f>
        <v>4.3</v>
      </c>
      <c r="K1076" s="20">
        <f>VLOOKUP(A1076,Metrik!$C$2:$Y$959,11,0)</f>
        <v>2.8</v>
      </c>
      <c r="L1076" s="20">
        <f>VLOOKUP(A1076,Metrik!$C$2:$Y$959,12,0)</f>
        <v>0.52</v>
      </c>
      <c r="M1076" s="20">
        <f>VLOOKUP(A1076,Metrik!$C$2:$Y$959,19,0)</f>
        <v>160</v>
      </c>
      <c r="N1076" s="21"/>
      <c r="O1076" s="21"/>
      <c r="P1076" s="21"/>
      <c r="Q1076" s="21"/>
      <c r="R1076" s="21"/>
      <c r="S1076" s="21"/>
      <c r="T1076" s="21"/>
      <c r="U1076" s="22">
        <f>IFERROR(__xludf.DUMMYFUNCTION("IFERROR(GOOGLEFINANCE(A1076,""closeyest""),"""")"),82.0)</f>
        <v>82</v>
      </c>
      <c r="V1076" s="23">
        <f>IFERROR(__xludf.DUMMYFUNCTION("IFERROR(GOOGLEFINANCE(A1076,""changepct""),"""")"),8.54)</f>
        <v>8.54</v>
      </c>
      <c r="W1076" s="22">
        <f>IFERROR(__xludf.DUMMYFUNCTION("IFERROR(GOOGLEFINANCE(A1076,""priceopen""),"""")"),83.0)</f>
        <v>83</v>
      </c>
      <c r="X1076" s="22">
        <f>IFERROR(__xludf.DUMMYFUNCTION("IFERROR(GOOGLEFINANCE(A1076,""high""),"""")"),96.0)</f>
        <v>96</v>
      </c>
      <c r="Y1076" s="22">
        <f>IFERROR(__xludf.DUMMYFUNCTION("IFERROR(GOOGLEFINANCE(A1076,""low""),"""")"),83.0)</f>
        <v>83</v>
      </c>
      <c r="Z1076" s="22">
        <f>IFERROR(__xludf.DUMMYFUNCTION("IFERROR(GOOGLEFINANCE(A1076,""volume""),"""")"),2.736528E8)</f>
        <v>273652800</v>
      </c>
      <c r="AA1076" s="24" t="str">
        <f>VLOOKUP(A1076,Metrik!$C$2:$Y$959,5,0)</f>
        <v>Tourism &amp; Recreation</v>
      </c>
      <c r="AB1076" s="24" t="str">
        <f>VLOOKUP(A1076,Metrik!$C$2:$Y$959,3,0)</f>
        <v>Consumer Cyclicals</v>
      </c>
    </row>
    <row r="1077">
      <c r="A1077" s="14" t="s">
        <v>564</v>
      </c>
      <c r="B1077" s="14" t="str">
        <f t="array" ref="B1077">VLOOKUP(A1077,{Metrik!$C$2:$C$998,Metrik!$B$2:$B$998},2,0)</f>
        <v>MNC Tourism Indonesia Tbk.</v>
      </c>
      <c r="C1077" s="15">
        <f>IFERROR(__xludf.DUMMYFUNCTION("GOOGLEFINANCE(""IDX:""&amp;A1077,""price"")"),85.0)</f>
        <v>85</v>
      </c>
      <c r="D1077" s="16" t="str">
        <f>IFERROR(__xludf.DUMMYFUNCTION("IF(A1077="""","""",
SPARKLINE(
INDEX(
GOOGLEFINANCE(""IDX:""&amp;A1077,""close"",TODAY()-365,TODAY()),
,2
),
{""linewidth"",1}
))
"),"#N/A")</f>
        <v>#N/A</v>
      </c>
      <c r="E1077" s="14" t="s">
        <v>28</v>
      </c>
      <c r="F1077" s="17" t="s">
        <v>29</v>
      </c>
      <c r="G1077" s="24">
        <f t="shared" si="7"/>
        <v>6</v>
      </c>
      <c r="H1077" s="19">
        <f>VLOOKUP(A1077,Metrik!$C$2:$Y$959,8,0)</f>
        <v>12.4</v>
      </c>
      <c r="I1077" s="20">
        <f>VLOOKUP(A1077,Metrik!$C$2:$Y$959,9,0)</f>
        <v>0.32</v>
      </c>
      <c r="J1077" s="20">
        <f>VLOOKUP(A1077,Metrik!$C$2:$Y$959,10,0)</f>
        <v>2.6</v>
      </c>
      <c r="K1077" s="20">
        <f>VLOOKUP(A1077,Metrik!$C$2:$Y$959,11,0)</f>
        <v>2.1</v>
      </c>
      <c r="L1077" s="20">
        <f>VLOOKUP(A1077,Metrik!$C$2:$Y$959,12,0)</f>
        <v>0.24</v>
      </c>
      <c r="M1077" s="20">
        <f>VLOOKUP(A1077,Metrik!$C$2:$Y$959,19,0)</f>
        <v>130</v>
      </c>
      <c r="N1077" s="21"/>
      <c r="O1077" s="21"/>
      <c r="P1077" s="21"/>
      <c r="Q1077" s="21"/>
      <c r="R1077" s="21"/>
      <c r="S1077" s="21"/>
      <c r="T1077" s="21"/>
      <c r="U1077" s="22">
        <f>IFERROR(__xludf.DUMMYFUNCTION("IFERROR(GOOGLEFINANCE(A1077,""closeyest""),"""")"),83.0)</f>
        <v>83</v>
      </c>
      <c r="V1077" s="23">
        <f>IFERROR(__xludf.DUMMYFUNCTION("IFERROR(GOOGLEFINANCE(A1077,""changepct""),"""")"),2.41)</f>
        <v>2.41</v>
      </c>
      <c r="W1077" s="22">
        <f>IFERROR(__xludf.DUMMYFUNCTION("IFERROR(GOOGLEFINANCE(A1077,""priceopen""),"""")"),83.0)</f>
        <v>83</v>
      </c>
      <c r="X1077" s="22">
        <f>IFERROR(__xludf.DUMMYFUNCTION("IFERROR(GOOGLEFINANCE(A1077,""high""),"""")"),86.0)</f>
        <v>86</v>
      </c>
      <c r="Y1077" s="22">
        <f>IFERROR(__xludf.DUMMYFUNCTION("IFERROR(GOOGLEFINANCE(A1077,""low""),"""")"),82.0)</f>
        <v>82</v>
      </c>
      <c r="Z1077" s="22">
        <f>IFERROR(__xludf.DUMMYFUNCTION("IFERROR(GOOGLEFINANCE(A1077,""volume""),"""")"),6.49875E7)</f>
        <v>64987500</v>
      </c>
      <c r="AA1077" s="24" t="str">
        <f>VLOOKUP(A1077,Metrik!$C$2:$Y$959,5,0)</f>
        <v>Tourism &amp; Recreation</v>
      </c>
      <c r="AB1077" s="24" t="str">
        <f>VLOOKUP(A1077,Metrik!$C$2:$Y$959,3,0)</f>
        <v>Consumer Cyclicals</v>
      </c>
    </row>
    <row r="1078">
      <c r="A1078" s="14" t="s">
        <v>564</v>
      </c>
      <c r="B1078" s="14" t="str">
        <f t="array" ref="B1078">VLOOKUP(A1078,{Metrik!$C$2:$C$998,Metrik!$B$2:$B$998},2,0)</f>
        <v>MNC Tourism Indonesia Tbk.</v>
      </c>
      <c r="C1078" s="15">
        <f>IFERROR(__xludf.DUMMYFUNCTION("GOOGLEFINANCE(""IDX:""&amp;A1078,""price"")"),85.0)</f>
        <v>85</v>
      </c>
      <c r="D1078" s="16" t="str">
        <f>IFERROR(__xludf.DUMMYFUNCTION("IF(A1078="""","""",
SPARKLINE(
INDEX(
GOOGLEFINANCE(""IDX:""&amp;A1078,""close"",TODAY()-365,TODAY()),
,2
),
{""linewidth"",1}
))
"),"#N/A")</f>
        <v>#N/A</v>
      </c>
      <c r="E1078" s="14" t="s">
        <v>32</v>
      </c>
      <c r="F1078" s="14" t="s">
        <v>29</v>
      </c>
      <c r="G1078" s="24">
        <f t="shared" si="7"/>
        <v>6</v>
      </c>
      <c r="H1078" s="19">
        <f>VLOOKUP(A1078,Metrik!$C$2:$Y$959,8,0)</f>
        <v>12.4</v>
      </c>
      <c r="I1078" s="20">
        <f>VLOOKUP(A1078,Metrik!$C$2:$Y$959,9,0)</f>
        <v>0.32</v>
      </c>
      <c r="J1078" s="20">
        <f>VLOOKUP(A1078,Metrik!$C$2:$Y$959,10,0)</f>
        <v>2.6</v>
      </c>
      <c r="K1078" s="20">
        <f>VLOOKUP(A1078,Metrik!$C$2:$Y$959,11,0)</f>
        <v>2.1</v>
      </c>
      <c r="L1078" s="20">
        <f>VLOOKUP(A1078,Metrik!$C$2:$Y$959,12,0)</f>
        <v>0.24</v>
      </c>
      <c r="M1078" s="20">
        <f>VLOOKUP(A1078,Metrik!$C$2:$Y$959,19,0)</f>
        <v>130</v>
      </c>
      <c r="N1078" s="21"/>
      <c r="O1078" s="21"/>
      <c r="P1078" s="21"/>
      <c r="Q1078" s="21"/>
      <c r="R1078" s="21"/>
      <c r="S1078" s="21"/>
      <c r="T1078" s="21"/>
      <c r="U1078" s="22">
        <f>IFERROR(__xludf.DUMMYFUNCTION("IFERROR(GOOGLEFINANCE(A1078,""closeyest""),"""")"),83.0)</f>
        <v>83</v>
      </c>
      <c r="V1078" s="23">
        <f>IFERROR(__xludf.DUMMYFUNCTION("IFERROR(GOOGLEFINANCE(A1078,""changepct""),"""")"),2.41)</f>
        <v>2.41</v>
      </c>
      <c r="W1078" s="22">
        <f>IFERROR(__xludf.DUMMYFUNCTION("IFERROR(GOOGLEFINANCE(A1078,""priceopen""),"""")"),83.0)</f>
        <v>83</v>
      </c>
      <c r="X1078" s="22">
        <f>IFERROR(__xludf.DUMMYFUNCTION("IFERROR(GOOGLEFINANCE(A1078,""high""),"""")"),86.0)</f>
        <v>86</v>
      </c>
      <c r="Y1078" s="22">
        <f>IFERROR(__xludf.DUMMYFUNCTION("IFERROR(GOOGLEFINANCE(A1078,""low""),"""")"),82.0)</f>
        <v>82</v>
      </c>
      <c r="Z1078" s="22">
        <f>IFERROR(__xludf.DUMMYFUNCTION("IFERROR(GOOGLEFINANCE(A1078,""volume""),"""")"),6.49875E7)</f>
        <v>64987500</v>
      </c>
      <c r="AA1078" s="24" t="str">
        <f>VLOOKUP(A1078,Metrik!$C$2:$Y$959,5,0)</f>
        <v>Tourism &amp; Recreation</v>
      </c>
      <c r="AB1078" s="24" t="str">
        <f>VLOOKUP(A1078,Metrik!$C$2:$Y$959,3,0)</f>
        <v>Consumer Cyclicals</v>
      </c>
    </row>
    <row r="1079">
      <c r="A1079" s="14" t="s">
        <v>564</v>
      </c>
      <c r="B1079" s="14" t="str">
        <f t="array" ref="B1079">VLOOKUP(A1079,{Metrik!$C$2:$C$998,Metrik!$B$2:$B$998},2,0)</f>
        <v>MNC Tourism Indonesia Tbk.</v>
      </c>
      <c r="C1079" s="15">
        <f>IFERROR(__xludf.DUMMYFUNCTION("GOOGLEFINANCE(""IDX:""&amp;A1079,""price"")"),85.0)</f>
        <v>85</v>
      </c>
      <c r="D1079" s="16" t="str">
        <f>IFERROR(__xludf.DUMMYFUNCTION("IF(A1079="""","""",
SPARKLINE(
INDEX(
GOOGLEFINANCE(""IDX:""&amp;A1079,""close"",TODAY()-365,TODAY()),
,2
),
{""linewidth"",1}
))
"),"#N/A")</f>
        <v>#N/A</v>
      </c>
      <c r="E1079" s="14" t="s">
        <v>33</v>
      </c>
      <c r="F1079" s="14" t="s">
        <v>34</v>
      </c>
      <c r="G1079" s="24">
        <f t="shared" si="7"/>
        <v>6</v>
      </c>
      <c r="H1079" s="19">
        <f>VLOOKUP(A1079,Metrik!$C$2:$Y$959,8,0)</f>
        <v>12.4</v>
      </c>
      <c r="I1079" s="20">
        <f>VLOOKUP(A1079,Metrik!$C$2:$Y$959,9,0)</f>
        <v>0.32</v>
      </c>
      <c r="J1079" s="20">
        <f>VLOOKUP(A1079,Metrik!$C$2:$Y$959,10,0)</f>
        <v>2.6</v>
      </c>
      <c r="K1079" s="20">
        <f>VLOOKUP(A1079,Metrik!$C$2:$Y$959,11,0)</f>
        <v>2.1</v>
      </c>
      <c r="L1079" s="20">
        <f>VLOOKUP(A1079,Metrik!$C$2:$Y$959,12,0)</f>
        <v>0.24</v>
      </c>
      <c r="M1079" s="20">
        <f>VLOOKUP(A1079,Metrik!$C$2:$Y$959,19,0)</f>
        <v>130</v>
      </c>
      <c r="N1079" s="21"/>
      <c r="O1079" s="21"/>
      <c r="P1079" s="21"/>
      <c r="Q1079" s="21"/>
      <c r="R1079" s="21"/>
      <c r="S1079" s="21"/>
      <c r="T1079" s="21"/>
      <c r="U1079" s="22">
        <f>IFERROR(__xludf.DUMMYFUNCTION("IFERROR(GOOGLEFINANCE(A1079,""closeyest""),"""")"),83.0)</f>
        <v>83</v>
      </c>
      <c r="V1079" s="23">
        <f>IFERROR(__xludf.DUMMYFUNCTION("IFERROR(GOOGLEFINANCE(A1079,""changepct""),"""")"),2.41)</f>
        <v>2.41</v>
      </c>
      <c r="W1079" s="22">
        <f>IFERROR(__xludf.DUMMYFUNCTION("IFERROR(GOOGLEFINANCE(A1079,""priceopen""),"""")"),83.0)</f>
        <v>83</v>
      </c>
      <c r="X1079" s="22">
        <f>IFERROR(__xludf.DUMMYFUNCTION("IFERROR(GOOGLEFINANCE(A1079,""high""),"""")"),86.0)</f>
        <v>86</v>
      </c>
      <c r="Y1079" s="22">
        <f>IFERROR(__xludf.DUMMYFUNCTION("IFERROR(GOOGLEFINANCE(A1079,""low""),"""")"),82.0)</f>
        <v>82</v>
      </c>
      <c r="Z1079" s="22">
        <f>IFERROR(__xludf.DUMMYFUNCTION("IFERROR(GOOGLEFINANCE(A1079,""volume""),"""")"),6.49875E7)</f>
        <v>64987500</v>
      </c>
      <c r="AA1079" s="24" t="str">
        <f>VLOOKUP(A1079,Metrik!$C$2:$Y$959,5,0)</f>
        <v>Tourism &amp; Recreation</v>
      </c>
      <c r="AB1079" s="24" t="str">
        <f>VLOOKUP(A1079,Metrik!$C$2:$Y$959,3,0)</f>
        <v>Consumer Cyclicals</v>
      </c>
    </row>
    <row r="1080">
      <c r="A1080" s="17" t="s">
        <v>564</v>
      </c>
      <c r="B1080" s="14" t="str">
        <f t="array" ref="B1080">VLOOKUP(A1080,{Metrik!$C$2:$C$998,Metrik!$B$2:$B$998},2,0)</f>
        <v>MNC Tourism Indonesia Tbk.</v>
      </c>
      <c r="C1080" s="15">
        <f>IFERROR(__xludf.DUMMYFUNCTION("GOOGLEFINANCE(""IDX:""&amp;A1080,""price"")"),85.0)</f>
        <v>85</v>
      </c>
      <c r="D1080" s="16" t="str">
        <f>IFERROR(__xludf.DUMMYFUNCTION("IF(A1080="""","""",
SPARKLINE(
INDEX(
GOOGLEFINANCE(""IDX:""&amp;A1080,""close"",TODAY()-365,TODAY()),
,2
),
{""linewidth"",1}
))
"),"#N/A")</f>
        <v>#N/A</v>
      </c>
      <c r="E1080" s="14" t="s">
        <v>50</v>
      </c>
      <c r="F1080" s="17" t="s">
        <v>51</v>
      </c>
      <c r="G1080" s="24">
        <f t="shared" si="7"/>
        <v>6</v>
      </c>
      <c r="H1080" s="19">
        <f>VLOOKUP(A1080,Metrik!$C$2:$Y$959,8,0)</f>
        <v>12.4</v>
      </c>
      <c r="I1080" s="20">
        <f>VLOOKUP(A1080,Metrik!$C$2:$Y$959,9,0)</f>
        <v>0.32</v>
      </c>
      <c r="J1080" s="20">
        <f>VLOOKUP(A1080,Metrik!$C$2:$Y$959,10,0)</f>
        <v>2.6</v>
      </c>
      <c r="K1080" s="20">
        <f>VLOOKUP(A1080,Metrik!$C$2:$Y$959,11,0)</f>
        <v>2.1</v>
      </c>
      <c r="L1080" s="20">
        <f>VLOOKUP(A1080,Metrik!$C$2:$Y$959,12,0)</f>
        <v>0.24</v>
      </c>
      <c r="M1080" s="20">
        <f>VLOOKUP(A1080,Metrik!$C$2:$Y$959,19,0)</f>
        <v>130</v>
      </c>
      <c r="N1080" s="21"/>
      <c r="O1080" s="21"/>
      <c r="P1080" s="21"/>
      <c r="Q1080" s="21"/>
      <c r="R1080" s="21"/>
      <c r="S1080" s="21"/>
      <c r="T1080" s="21"/>
      <c r="U1080" s="22">
        <f>IFERROR(__xludf.DUMMYFUNCTION("IFERROR(GOOGLEFINANCE(A1080,""closeyest""),"""")"),83.0)</f>
        <v>83</v>
      </c>
      <c r="V1080" s="23">
        <f>IFERROR(__xludf.DUMMYFUNCTION("IFERROR(GOOGLEFINANCE(A1080,""changepct""),"""")"),2.41)</f>
        <v>2.41</v>
      </c>
      <c r="W1080" s="22">
        <f>IFERROR(__xludf.DUMMYFUNCTION("IFERROR(GOOGLEFINANCE(A1080,""priceopen""),"""")"),83.0)</f>
        <v>83</v>
      </c>
      <c r="X1080" s="22">
        <f>IFERROR(__xludf.DUMMYFUNCTION("IFERROR(GOOGLEFINANCE(A1080,""high""),"""")"),86.0)</f>
        <v>86</v>
      </c>
      <c r="Y1080" s="22">
        <f>IFERROR(__xludf.DUMMYFUNCTION("IFERROR(GOOGLEFINANCE(A1080,""low""),"""")"),82.0)</f>
        <v>82</v>
      </c>
      <c r="Z1080" s="22">
        <f>IFERROR(__xludf.DUMMYFUNCTION("IFERROR(GOOGLEFINANCE(A1080,""volume""),"""")"),6.49875E7)</f>
        <v>64987500</v>
      </c>
      <c r="AA1080" s="24" t="str">
        <f>VLOOKUP(A1080,Metrik!$C$2:$Y$959,5,0)</f>
        <v>Tourism &amp; Recreation</v>
      </c>
      <c r="AB1080" s="24" t="str">
        <f>VLOOKUP(A1080,Metrik!$C$2:$Y$959,3,0)</f>
        <v>Consumer Cyclicals</v>
      </c>
    </row>
    <row r="1081">
      <c r="A1081" s="17" t="s">
        <v>564</v>
      </c>
      <c r="B1081" s="14" t="str">
        <f t="array" ref="B1081">VLOOKUP(A1081,{Metrik!$C$2:$C$998,Metrik!$B$2:$B$998},2,0)</f>
        <v>MNC Tourism Indonesia Tbk.</v>
      </c>
      <c r="C1081" s="15">
        <f>IFERROR(__xludf.DUMMYFUNCTION("GOOGLEFINANCE(""IDX:""&amp;A1081,""price"")"),85.0)</f>
        <v>85</v>
      </c>
      <c r="D1081" s="16" t="str">
        <f>IFERROR(__xludf.DUMMYFUNCTION("IF(A1081="""","""",
SPARKLINE(
INDEX(
GOOGLEFINANCE(""IDX:""&amp;A1081,""close"",TODAY()-365,TODAY()),
,2
),
{""linewidth"",1}
))
"),"#N/A")</f>
        <v>#N/A</v>
      </c>
      <c r="E1081" s="14" t="s">
        <v>35</v>
      </c>
      <c r="F1081" s="17" t="s">
        <v>36</v>
      </c>
      <c r="G1081" s="38">
        <f t="shared" si="7"/>
        <v>6</v>
      </c>
      <c r="H1081" s="34">
        <f>VLOOKUP(A1081,Metrik!$C$2:$Y$959,8,0)</f>
        <v>12.4</v>
      </c>
      <c r="I1081" s="34">
        <f>VLOOKUP(A1081,Metrik!$C$2:$Y$959,9,0)</f>
        <v>0.32</v>
      </c>
      <c r="J1081" s="34">
        <f>VLOOKUP(A1081,Metrik!$C$2:$Y$959,10,0)</f>
        <v>2.6</v>
      </c>
      <c r="K1081" s="34">
        <f>VLOOKUP(A1081,Metrik!$C$2:$Y$959,11,0)</f>
        <v>2.1</v>
      </c>
      <c r="L1081" s="34">
        <f>VLOOKUP(A1081,Metrik!$C$2:$Y$959,12,0)</f>
        <v>0.24</v>
      </c>
      <c r="M1081" s="34">
        <f>VLOOKUP(A1081,Metrik!$C$2:$Y$959,19,0)</f>
        <v>130</v>
      </c>
      <c r="N1081" s="26"/>
      <c r="O1081" s="26"/>
      <c r="P1081" s="26"/>
      <c r="Q1081" s="26"/>
      <c r="R1081" s="26"/>
      <c r="S1081" s="26"/>
      <c r="T1081" s="26"/>
      <c r="U1081" s="35">
        <f>IFERROR(__xludf.DUMMYFUNCTION("IFERROR(GOOGLEFINANCE(A1081,""closeyest""),"""")"),83.0)</f>
        <v>83</v>
      </c>
      <c r="V1081" s="36">
        <f>IFERROR(__xludf.DUMMYFUNCTION("IFERROR(GOOGLEFINANCE(A1081,""changepct""),"""")"),2.41)</f>
        <v>2.41</v>
      </c>
      <c r="W1081" s="35">
        <f>IFERROR(__xludf.DUMMYFUNCTION("IFERROR(GOOGLEFINANCE(A1081,""priceopen""),"""")"),83.0)</f>
        <v>83</v>
      </c>
      <c r="X1081" s="35">
        <f>IFERROR(__xludf.DUMMYFUNCTION("IFERROR(GOOGLEFINANCE(A1081,""high""),"""")"),86.0)</f>
        <v>86</v>
      </c>
      <c r="Y1081" s="35">
        <f>IFERROR(__xludf.DUMMYFUNCTION("IFERROR(GOOGLEFINANCE(A1081,""low""),"""")"),82.0)</f>
        <v>82</v>
      </c>
      <c r="Z1081" s="35">
        <f>IFERROR(__xludf.DUMMYFUNCTION("IFERROR(GOOGLEFINANCE(A1081,""volume""),"""")"),6.49875E7)</f>
        <v>64987500</v>
      </c>
      <c r="AA1081" s="14" t="str">
        <f>VLOOKUP(A1081,Metrik!$C$2:$Y$959,5,0)</f>
        <v>Tourism &amp; Recreation</v>
      </c>
      <c r="AB1081" s="14" t="str">
        <f>VLOOKUP(A1081,Metrik!$C$2:$Y$959,3,0)</f>
        <v>Consumer Cyclicals</v>
      </c>
    </row>
    <row r="1082">
      <c r="A1082" s="14" t="s">
        <v>564</v>
      </c>
      <c r="B1082" s="14" t="str">
        <f t="array" ref="B1082">VLOOKUP(A1082,{Metrik!$C$2:$C$998,Metrik!$B$2:$B$998},2,0)</f>
        <v>MNC Tourism Indonesia Tbk.</v>
      </c>
      <c r="C1082" s="15">
        <f>IFERROR(__xludf.DUMMYFUNCTION("GOOGLEFINANCE(""IDX:""&amp;A1082,""price"")"),85.0)</f>
        <v>85</v>
      </c>
      <c r="D1082" s="16" t="str">
        <f>IFERROR(__xludf.DUMMYFUNCTION("IF(A1082="""","""",
SPARKLINE(
INDEX(
GOOGLEFINANCE(""IDX:""&amp;A1082,""close"",TODAY()-365,TODAY()),
,2
),
{""linewidth"",1}
))
"),"#N/A")</f>
        <v>#N/A</v>
      </c>
      <c r="E1082" s="14" t="s">
        <v>39</v>
      </c>
      <c r="F1082" s="25">
        <v>46356.0</v>
      </c>
      <c r="G1082" s="24">
        <f t="shared" si="7"/>
        <v>6</v>
      </c>
      <c r="H1082" s="19">
        <f>VLOOKUP(A1082,Metrik!$C$2:$Y$959,8,0)</f>
        <v>12.4</v>
      </c>
      <c r="I1082" s="20">
        <f>VLOOKUP(A1082,Metrik!$C$2:$Y$959,9,0)</f>
        <v>0.32</v>
      </c>
      <c r="J1082" s="20">
        <f>VLOOKUP(A1082,Metrik!$C$2:$Y$959,10,0)</f>
        <v>2.6</v>
      </c>
      <c r="K1082" s="20">
        <f>VLOOKUP(A1082,Metrik!$C$2:$Y$959,11,0)</f>
        <v>2.1</v>
      </c>
      <c r="L1082" s="20">
        <f>VLOOKUP(A1082,Metrik!$C$2:$Y$959,12,0)</f>
        <v>0.24</v>
      </c>
      <c r="M1082" s="20">
        <f>VLOOKUP(A1082,Metrik!$C$2:$Y$959,19,0)</f>
        <v>130</v>
      </c>
      <c r="N1082" s="21"/>
      <c r="O1082" s="21"/>
      <c r="P1082" s="21"/>
      <c r="Q1082" s="21"/>
      <c r="R1082" s="21"/>
      <c r="S1082" s="21"/>
      <c r="T1082" s="21"/>
      <c r="U1082" s="22">
        <f>IFERROR(__xludf.DUMMYFUNCTION("IFERROR(GOOGLEFINANCE(A1082,""closeyest""),"""")"),83.0)</f>
        <v>83</v>
      </c>
      <c r="V1082" s="23">
        <f>IFERROR(__xludf.DUMMYFUNCTION("IFERROR(GOOGLEFINANCE(A1082,""changepct""),"""")"),2.41)</f>
        <v>2.41</v>
      </c>
      <c r="W1082" s="22">
        <f>IFERROR(__xludf.DUMMYFUNCTION("IFERROR(GOOGLEFINANCE(A1082,""priceopen""),"""")"),83.0)</f>
        <v>83</v>
      </c>
      <c r="X1082" s="22">
        <f>IFERROR(__xludf.DUMMYFUNCTION("IFERROR(GOOGLEFINANCE(A1082,""high""),"""")"),86.0)</f>
        <v>86</v>
      </c>
      <c r="Y1082" s="22">
        <f>IFERROR(__xludf.DUMMYFUNCTION("IFERROR(GOOGLEFINANCE(A1082,""low""),"""")"),82.0)</f>
        <v>82</v>
      </c>
      <c r="Z1082" s="22">
        <f>IFERROR(__xludf.DUMMYFUNCTION("IFERROR(GOOGLEFINANCE(A1082,""volume""),"""")"),6.49875E7)</f>
        <v>64987500</v>
      </c>
      <c r="AA1082" s="24" t="str">
        <f>VLOOKUP(A1082,Metrik!$C$2:$Y$959,5,0)</f>
        <v>Tourism &amp; Recreation</v>
      </c>
      <c r="AB1082" s="24" t="str">
        <f>VLOOKUP(A1082,Metrik!$C$2:$Y$959,3,0)</f>
        <v>Consumer Cyclicals</v>
      </c>
    </row>
    <row r="1083">
      <c r="A1083" s="14" t="s">
        <v>565</v>
      </c>
      <c r="B1083" s="14" t="str">
        <f t="array" ref="B1083">VLOOKUP(A1083,{Metrik!$C$2:$C$998,Metrik!$B$2:$B$998},2,0)</f>
        <v>Krakatau Steel (Persero) Tbk.</v>
      </c>
      <c r="C1083" s="15">
        <f>IFERROR(__xludf.DUMMYFUNCTION("GOOGLEFINANCE(""IDX:""&amp;A1083,""price"")"),195.0)</f>
        <v>195</v>
      </c>
      <c r="D1083" s="16" t="str">
        <f>IFERROR(__xludf.DUMMYFUNCTION("IF(A1083="""","""",
SPARKLINE(
INDEX(
GOOGLEFINANCE(""IDX:""&amp;A1083,""close"",TODAY()-365,TODAY()),
,2
),
{""linewidth"",1}
))
"),"#N/A")</f>
        <v>#N/A</v>
      </c>
      <c r="E1083" s="26"/>
      <c r="F1083" s="26"/>
      <c r="G1083" s="24">
        <f t="shared" si="7"/>
        <v>0</v>
      </c>
      <c r="H1083" s="19">
        <f>VLOOKUP(A1083,Metrik!$C$2:$Y$959,8,0)</f>
        <v>0.66</v>
      </c>
      <c r="I1083" s="20">
        <f>VLOOKUP(A1083,Metrik!$C$2:$Y$959,9,0)</f>
        <v>0.33</v>
      </c>
      <c r="J1083" s="20">
        <f>VLOOKUP(A1083,Metrik!$C$2:$Y$959,10,0)</f>
        <v>49.6</v>
      </c>
      <c r="K1083" s="20">
        <f>VLOOKUP(A1083,Metrik!$C$2:$Y$959,11,0)</f>
        <v>12.7</v>
      </c>
      <c r="L1083" s="20">
        <f>VLOOKUP(A1083,Metrik!$C$2:$Y$959,12,0)</f>
        <v>2.9</v>
      </c>
      <c r="M1083" s="20">
        <f>VLOOKUP(A1083,Metrik!$C$2:$Y$959,19,0)</f>
        <v>140</v>
      </c>
      <c r="N1083" s="21"/>
      <c r="O1083" s="21"/>
      <c r="P1083" s="21"/>
      <c r="Q1083" s="21"/>
      <c r="R1083" s="21"/>
      <c r="S1083" s="21"/>
      <c r="T1083" s="21"/>
      <c r="U1083" s="22">
        <f>IFERROR(__xludf.DUMMYFUNCTION("IFERROR(GOOGLEFINANCE(A1083,""closeyest""),"""")"),195.0)</f>
        <v>195</v>
      </c>
      <c r="V1083" s="23">
        <f>IFERROR(__xludf.DUMMYFUNCTION("IFERROR(GOOGLEFINANCE(A1083,""changepct""),"""")"),0.0)</f>
        <v>0</v>
      </c>
      <c r="W1083" s="22">
        <f>IFERROR(__xludf.DUMMYFUNCTION("IFERROR(GOOGLEFINANCE(A1083,""priceopen""),"""")"),195.0)</f>
        <v>195</v>
      </c>
      <c r="X1083" s="22">
        <f>IFERROR(__xludf.DUMMYFUNCTION("IFERROR(GOOGLEFINANCE(A1083,""high""),"""")"),202.0)</f>
        <v>202</v>
      </c>
      <c r="Y1083" s="22">
        <f>IFERROR(__xludf.DUMMYFUNCTION("IFERROR(GOOGLEFINANCE(A1083,""low""),"""")"),192.0)</f>
        <v>192</v>
      </c>
      <c r="Z1083" s="22">
        <f>IFERROR(__xludf.DUMMYFUNCTION("IFERROR(GOOGLEFINANCE(A1083,""volume""),"""")"),1.12653E7)</f>
        <v>11265300</v>
      </c>
      <c r="AA1083" s="24" t="str">
        <f>VLOOKUP(A1083,Metrik!$C$2:$Y$959,5,0)</f>
        <v>Metals &amp; Minerals</v>
      </c>
      <c r="AB1083" s="24" t="str">
        <f>VLOOKUP(A1083,Metrik!$C$2:$Y$959,3,0)</f>
        <v>Basic Materials</v>
      </c>
    </row>
    <row r="1084">
      <c r="A1084" s="14" t="s">
        <v>566</v>
      </c>
      <c r="B1084" s="14" t="str">
        <f t="array" ref="B1084">VLOOKUP(A1084,{Metrik!$C$2:$C$998,Metrik!$B$2:$B$998},2,0)</f>
        <v>Quantum Clovera Investama Tbk.</v>
      </c>
      <c r="C1084" s="15">
        <f>IFERROR(__xludf.DUMMYFUNCTION("GOOGLEFINANCE(""IDX:""&amp;A1084,""price"")"),13.0)</f>
        <v>13</v>
      </c>
      <c r="D1084" s="16" t="str">
        <f>IFERROR(__xludf.DUMMYFUNCTION("IF(A1084="""","""",
SPARKLINE(
INDEX(
GOOGLEFINANCE(""IDX:""&amp;A1084,""close"",TODAY()-365,TODAY()),
,2
),
{""linewidth"",1}
))
"),"#N/A")</f>
        <v>#N/A</v>
      </c>
      <c r="E1084" s="26"/>
      <c r="F1084" s="26"/>
      <c r="G1084" s="24">
        <f t="shared" si="7"/>
        <v>0</v>
      </c>
      <c r="H1084" s="19">
        <f>VLOOKUP(A1084,Metrik!$C$2:$Y$959,8,0)</f>
        <v>-1.9</v>
      </c>
      <c r="I1084" s="20">
        <f>VLOOKUP(A1084,Metrik!$C$2:$Y$959,9,0)</f>
        <v>0.16</v>
      </c>
      <c r="J1084" s="20">
        <f>VLOOKUP(A1084,Metrik!$C$2:$Y$959,10,0)</f>
        <v>-8.7</v>
      </c>
      <c r="K1084" s="20">
        <f>VLOOKUP(A1084,Metrik!$C$2:$Y$959,11,0)</f>
        <v>-6</v>
      </c>
      <c r="L1084" s="20">
        <f>VLOOKUP(A1084,Metrik!$C$2:$Y$959,12,0)</f>
        <v>0.45</v>
      </c>
      <c r="M1084" s="20">
        <f>VLOOKUP(A1084,Metrik!$C$2:$Y$959,19,0)</f>
        <v>-19.4</v>
      </c>
      <c r="N1084" s="21"/>
      <c r="O1084" s="21"/>
      <c r="P1084" s="21"/>
      <c r="Q1084" s="21"/>
      <c r="R1084" s="21"/>
      <c r="S1084" s="21"/>
      <c r="T1084" s="21"/>
      <c r="U1084" s="22">
        <f>IFERROR(__xludf.DUMMYFUNCTION("IFERROR(GOOGLEFINANCE(A1084,""closeyest""),"""")"),12.0)</f>
        <v>12</v>
      </c>
      <c r="V1084" s="23">
        <f>IFERROR(__xludf.DUMMYFUNCTION("IFERROR(GOOGLEFINANCE(A1084,""changepct""),"""")"),8.33)</f>
        <v>8.33</v>
      </c>
      <c r="W1084" s="22">
        <f>IFERROR(__xludf.DUMMYFUNCTION("IFERROR(GOOGLEFINANCE(A1084,""priceopen""),"""")"),13.0)</f>
        <v>13</v>
      </c>
      <c r="X1084" s="22">
        <f>IFERROR(__xludf.DUMMYFUNCTION("IFERROR(GOOGLEFINANCE(A1084,""high""),"""")"),13.0)</f>
        <v>13</v>
      </c>
      <c r="Y1084" s="22">
        <f>IFERROR(__xludf.DUMMYFUNCTION("IFERROR(GOOGLEFINANCE(A1084,""low""),"""")"),13.0)</f>
        <v>13</v>
      </c>
      <c r="Z1084" s="22">
        <f>IFERROR(__xludf.DUMMYFUNCTION("IFERROR(GOOGLEFINANCE(A1084,""volume""),"""")"),2.38087E7)</f>
        <v>23808700</v>
      </c>
      <c r="AA1084" s="24" t="str">
        <f>VLOOKUP(A1084,Metrik!$C$2:$Y$959,5,0)</f>
        <v>Online Applications &amp; Services</v>
      </c>
      <c r="AB1084" s="24" t="str">
        <f>VLOOKUP(A1084,Metrik!$C$2:$Y$959,3,0)</f>
        <v>Technology</v>
      </c>
    </row>
    <row r="1085">
      <c r="A1085" s="14" t="s">
        <v>567</v>
      </c>
      <c r="B1085" s="14" t="str">
        <f t="array" ref="B1085">VLOOKUP(A1085,{Metrik!$C$2:$C$998,Metrik!$B$2:$B$998},2,0)</f>
        <v>Bangun Karya Perkasa Jaya Tbk.</v>
      </c>
      <c r="C1085" s="15">
        <f>IFERROR(__xludf.DUMMYFUNCTION("GOOGLEFINANCE(""IDX:""&amp;A1085,""price"")"),59.0)</f>
        <v>59</v>
      </c>
      <c r="D1085" s="16" t="str">
        <f>IFERROR(__xludf.DUMMYFUNCTION("IF(A1085="""","""",
SPARKLINE(
INDEX(
GOOGLEFINANCE(""IDX:""&amp;A1085,""close"",TODAY()-365,TODAY()),
,2
),
{""linewidth"",1}
))
"),"#N/A")</f>
        <v>#N/A</v>
      </c>
      <c r="E1085" s="26"/>
      <c r="F1085" s="26"/>
      <c r="G1085" s="24">
        <f t="shared" si="7"/>
        <v>0</v>
      </c>
      <c r="H1085" s="19">
        <f>VLOOKUP(A1085,Metrik!$C$2:$Y$959,8,0)</f>
        <v>-1.4</v>
      </c>
      <c r="I1085" s="20">
        <f>VLOOKUP(A1085,Metrik!$C$2:$Y$959,9,0)</f>
        <v>3.1</v>
      </c>
      <c r="J1085" s="20">
        <f>VLOOKUP(A1085,Metrik!$C$2:$Y$959,10,0)</f>
        <v>-220</v>
      </c>
      <c r="K1085" s="20">
        <f>VLOOKUP(A1085,Metrik!$C$2:$Y$959,11,0)</f>
        <v>-55.1</v>
      </c>
      <c r="L1085" s="20">
        <f>VLOOKUP(A1085,Metrik!$C$2:$Y$959,12,0)</f>
        <v>3</v>
      </c>
      <c r="M1085" s="20">
        <f>VLOOKUP(A1085,Metrik!$C$2:$Y$959,19,0)</f>
        <v>-89.1</v>
      </c>
      <c r="N1085" s="21"/>
      <c r="O1085" s="21"/>
      <c r="P1085" s="21"/>
      <c r="Q1085" s="21"/>
      <c r="R1085" s="21"/>
      <c r="S1085" s="21"/>
      <c r="T1085" s="21"/>
      <c r="U1085" s="22">
        <f>IFERROR(__xludf.DUMMYFUNCTION("IFERROR(GOOGLEFINANCE(A1085,""closeyest""),"""")"),56.0)</f>
        <v>56</v>
      </c>
      <c r="V1085" s="23">
        <f>IFERROR(__xludf.DUMMYFUNCTION("IFERROR(GOOGLEFINANCE(A1085,""changepct""),"""")"),5.36)</f>
        <v>5.36</v>
      </c>
      <c r="W1085" s="22">
        <f>IFERROR(__xludf.DUMMYFUNCTION("IFERROR(GOOGLEFINANCE(A1085,""priceopen""),"""")"),56.0)</f>
        <v>56</v>
      </c>
      <c r="X1085" s="22">
        <f>IFERROR(__xludf.DUMMYFUNCTION("IFERROR(GOOGLEFINANCE(A1085,""high""),"""")"),60.0)</f>
        <v>60</v>
      </c>
      <c r="Y1085" s="22">
        <f>IFERROR(__xludf.DUMMYFUNCTION("IFERROR(GOOGLEFINANCE(A1085,""low""),"""")"),56.0)</f>
        <v>56</v>
      </c>
      <c r="Z1085" s="22">
        <f>IFERROR(__xludf.DUMMYFUNCTION("IFERROR(GOOGLEFINANCE(A1085,""volume""),"""")"),1.96445E7)</f>
        <v>19644500</v>
      </c>
      <c r="AA1085" s="24" t="str">
        <f>VLOOKUP(A1085,Metrik!$C$2:$Y$959,5,0)</f>
        <v>Heavy Constructions &amp; Civil Engineering</v>
      </c>
      <c r="AB1085" s="24" t="str">
        <f>VLOOKUP(A1085,Metrik!$C$2:$Y$959,3,0)</f>
        <v>Infrastructures</v>
      </c>
    </row>
    <row r="1086">
      <c r="A1086" s="14" t="s">
        <v>568</v>
      </c>
      <c r="B1086" s="14" t="str">
        <f t="array" ref="B1086">VLOOKUP(A1086,{Metrik!$C$2:$C$998,Metrik!$B$2:$B$998},2,0)</f>
        <v>Kentanix Supra International Tbk.</v>
      </c>
      <c r="C1086" s="15">
        <f>IFERROR(__xludf.DUMMYFUNCTION("GOOGLEFINANCE(""IDX:""&amp;A1086,""price"")"),354.0)</f>
        <v>354</v>
      </c>
      <c r="D1086" s="16" t="str">
        <f>IFERROR(__xludf.DUMMYFUNCTION("IF(A1086="""","""",
SPARKLINE(
INDEX(
GOOGLEFINANCE(""IDX:""&amp;A1086,""close"",TODAY()-365,TODAY()),
,2
),
{""linewidth"",1}
))
"),"#N/A")</f>
        <v>#N/A</v>
      </c>
      <c r="E1086" s="26"/>
      <c r="F1086" s="26"/>
      <c r="G1086" s="24">
        <f t="shared" si="7"/>
        <v>0</v>
      </c>
      <c r="H1086" s="19">
        <f>VLOOKUP(A1086,Metrik!$C$2:$Y$959,8,0)</f>
        <v>61</v>
      </c>
      <c r="I1086" s="20">
        <f>VLOOKUP(A1086,Metrik!$C$2:$Y$959,9,0)</f>
        <v>0.53</v>
      </c>
      <c r="J1086" s="20">
        <f>VLOOKUP(A1086,Metrik!$C$2:$Y$959,10,0)</f>
        <v>0.87</v>
      </c>
      <c r="K1086" s="20">
        <f>VLOOKUP(A1086,Metrik!$C$2:$Y$959,11,0)</f>
        <v>0.86</v>
      </c>
      <c r="L1086" s="20">
        <f>VLOOKUP(A1086,Metrik!$C$2:$Y$959,12,0)</f>
        <v>0.01</v>
      </c>
      <c r="M1086" s="20">
        <f>VLOOKUP(A1086,Metrik!$C$2:$Y$959,19,0)</f>
        <v>110</v>
      </c>
      <c r="N1086" s="21"/>
      <c r="O1086" s="21"/>
      <c r="P1086" s="21"/>
      <c r="Q1086" s="21"/>
      <c r="R1086" s="21"/>
      <c r="S1086" s="21"/>
      <c r="T1086" s="21"/>
      <c r="U1086" s="22">
        <f>IFERROR(__xludf.DUMMYFUNCTION("IFERROR(GOOGLEFINANCE(A1086,""closeyest""),"""")"),338.0)</f>
        <v>338</v>
      </c>
      <c r="V1086" s="23">
        <f>IFERROR(__xludf.DUMMYFUNCTION("IFERROR(GOOGLEFINANCE(A1086,""changepct""),"""")"),4.73)</f>
        <v>4.73</v>
      </c>
      <c r="W1086" s="22">
        <f>IFERROR(__xludf.DUMMYFUNCTION("IFERROR(GOOGLEFINANCE(A1086,""priceopen""),"""")"),334.0)</f>
        <v>334</v>
      </c>
      <c r="X1086" s="22">
        <f>IFERROR(__xludf.DUMMYFUNCTION("IFERROR(GOOGLEFINANCE(A1086,""high""),"""")"),354.0)</f>
        <v>354</v>
      </c>
      <c r="Y1086" s="22">
        <f>IFERROR(__xludf.DUMMYFUNCTION("IFERROR(GOOGLEFINANCE(A1086,""low""),"""")"),328.0)</f>
        <v>328</v>
      </c>
      <c r="Z1086" s="22">
        <f>IFERROR(__xludf.DUMMYFUNCTION("IFERROR(GOOGLEFINANCE(A1086,""volume""),"""")"),69600.0)</f>
        <v>69600</v>
      </c>
      <c r="AA1086" s="24" t="str">
        <f>VLOOKUP(A1086,Metrik!$C$2:$Y$959,5,0)</f>
        <v>Real Estate Management &amp; Development</v>
      </c>
      <c r="AB1086" s="24" t="str">
        <f>VLOOKUP(A1086,Metrik!$C$2:$Y$959,3,0)</f>
        <v>Properties &amp; Real Estate</v>
      </c>
    </row>
    <row r="1087">
      <c r="A1087" s="14" t="s">
        <v>569</v>
      </c>
      <c r="B1087" s="14" t="str">
        <f t="array" ref="B1087">VLOOKUP(A1087,{Metrik!$C$2:$C$998,Metrik!$B$2:$B$998},2,0)</f>
        <v>Ace Oldfields Tbk.</v>
      </c>
      <c r="C1087" s="15">
        <f>IFERROR(__xludf.DUMMYFUNCTION("GOOGLEFINANCE(""IDX:""&amp;A1087,""price"")"),93.0)</f>
        <v>93</v>
      </c>
      <c r="D1087" s="16" t="str">
        <f>IFERROR(__xludf.DUMMYFUNCTION("IF(A1087="""","""",
SPARKLINE(
INDEX(
GOOGLEFINANCE(""IDX:""&amp;A1087,""close"",TODAY()-365,TODAY()),
,2
),
{""linewidth"",1}
))
"),"#N/A")</f>
        <v>#N/A</v>
      </c>
      <c r="E1087" s="26"/>
      <c r="F1087" s="26"/>
      <c r="G1087" s="24">
        <f t="shared" si="7"/>
        <v>0</v>
      </c>
      <c r="H1087" s="19">
        <f>VLOOKUP(A1087,Metrik!$C$2:$Y$959,8,0)</f>
        <v>12.1</v>
      </c>
      <c r="I1087" s="20">
        <f>VLOOKUP(A1087,Metrik!$C$2:$Y$959,9,0)</f>
        <v>0.69</v>
      </c>
      <c r="J1087" s="20">
        <f>VLOOKUP(A1087,Metrik!$C$2:$Y$959,10,0)</f>
        <v>5.7</v>
      </c>
      <c r="K1087" s="20">
        <f>VLOOKUP(A1087,Metrik!$C$2:$Y$959,11,0)</f>
        <v>3.2</v>
      </c>
      <c r="L1087" s="20">
        <f>VLOOKUP(A1087,Metrik!$C$2:$Y$959,12,0)</f>
        <v>0.81</v>
      </c>
      <c r="M1087" s="20">
        <f>VLOOKUP(A1087,Metrik!$C$2:$Y$959,19,0)</f>
        <v>37.4</v>
      </c>
      <c r="N1087" s="21"/>
      <c r="O1087" s="21"/>
      <c r="P1087" s="21"/>
      <c r="Q1087" s="21"/>
      <c r="R1087" s="21"/>
      <c r="S1087" s="21"/>
      <c r="T1087" s="21"/>
      <c r="U1087" s="22">
        <f>IFERROR(__xludf.DUMMYFUNCTION("IFERROR(GOOGLEFINANCE(A1087,""closeyest""),"""")"),91.0)</f>
        <v>91</v>
      </c>
      <c r="V1087" s="23">
        <f>IFERROR(__xludf.DUMMYFUNCTION("IFERROR(GOOGLEFINANCE(A1087,""changepct""),"""")"),2.2)</f>
        <v>2.2</v>
      </c>
      <c r="W1087" s="22">
        <f>IFERROR(__xludf.DUMMYFUNCTION("IFERROR(GOOGLEFINANCE(A1087,""priceopen""),"""")"),93.0)</f>
        <v>93</v>
      </c>
      <c r="X1087" s="22">
        <f>IFERROR(__xludf.DUMMYFUNCTION("IFERROR(GOOGLEFINANCE(A1087,""high""),"""")"),96.0)</f>
        <v>96</v>
      </c>
      <c r="Y1087" s="22">
        <f>IFERROR(__xludf.DUMMYFUNCTION("IFERROR(GOOGLEFINANCE(A1087,""low""),"""")"),90.0)</f>
        <v>90</v>
      </c>
      <c r="Z1087" s="22">
        <f>IFERROR(__xludf.DUMMYFUNCTION("IFERROR(GOOGLEFINANCE(A1087,""volume""),"""")"),4.79996E7)</f>
        <v>47999600</v>
      </c>
      <c r="AA1087" s="24" t="str">
        <f>VLOOKUP(A1087,Metrik!$C$2:$Y$959,5,0)</f>
        <v>Building Products &amp; Fixtures</v>
      </c>
      <c r="AB1087" s="24" t="str">
        <f>VLOOKUP(A1087,Metrik!$C$2:$Y$959,3,0)</f>
        <v>Industrials</v>
      </c>
    </row>
    <row r="1088">
      <c r="A1088" s="14" t="s">
        <v>570</v>
      </c>
      <c r="B1088" s="14" t="str">
        <f t="array" ref="B1088">VLOOKUP(A1088,{Metrik!$C$2:$C$998,Metrik!$B$2:$B$998},2,0)</f>
        <v>Green Power Group Tbk.</v>
      </c>
      <c r="C1088" s="15">
        <f>IFERROR(__xludf.DUMMYFUNCTION("GOOGLEFINANCE(""IDX:""&amp;A1088,""price"")"),86.0)</f>
        <v>86</v>
      </c>
      <c r="D1088" s="16" t="str">
        <f>IFERROR(__xludf.DUMMYFUNCTION("IF(A1088="""","""",
SPARKLINE(
INDEX(
GOOGLEFINANCE(""IDX:""&amp;A1088,""close"",TODAY()-365,TODAY()),
,2
),
{""linewidth"",1}
))
"),"#N/A")</f>
        <v>#N/A</v>
      </c>
      <c r="E1088" s="26"/>
      <c r="F1088" s="26"/>
      <c r="G1088" s="24">
        <f t="shared" si="7"/>
        <v>0</v>
      </c>
      <c r="H1088" s="19">
        <f>VLOOKUP(A1088,Metrik!$C$2:$Y$959,8,0)</f>
        <v>450</v>
      </c>
      <c r="I1088" s="20">
        <f>VLOOKUP(A1088,Metrik!$C$2:$Y$959,9,0)</f>
        <v>0.88</v>
      </c>
      <c r="J1088" s="20">
        <f>VLOOKUP(A1088,Metrik!$C$2:$Y$959,10,0)</f>
        <v>0.2</v>
      </c>
      <c r="K1088" s="20">
        <f>VLOOKUP(A1088,Metrik!$C$2:$Y$959,11,0)</f>
        <v>0.15</v>
      </c>
      <c r="L1088" s="20">
        <f>VLOOKUP(A1088,Metrik!$C$2:$Y$959,12,0)</f>
        <v>0.34</v>
      </c>
      <c r="M1088" s="20">
        <f>VLOOKUP(A1088,Metrik!$C$2:$Y$959,19,0)</f>
        <v>0.74</v>
      </c>
      <c r="N1088" s="21"/>
      <c r="O1088" s="21"/>
      <c r="P1088" s="21"/>
      <c r="Q1088" s="21"/>
      <c r="R1088" s="21"/>
      <c r="S1088" s="21"/>
      <c r="T1088" s="21"/>
      <c r="U1088" s="22">
        <f>IFERROR(__xludf.DUMMYFUNCTION("IFERROR(GOOGLEFINANCE(A1088,""closeyest""),"""")"),82.0)</f>
        <v>82</v>
      </c>
      <c r="V1088" s="23">
        <f>IFERROR(__xludf.DUMMYFUNCTION("IFERROR(GOOGLEFINANCE(A1088,""changepct""),"""")"),4.88)</f>
        <v>4.88</v>
      </c>
      <c r="W1088" s="22">
        <f>IFERROR(__xludf.DUMMYFUNCTION("IFERROR(GOOGLEFINANCE(A1088,""priceopen""),"""")"),83.0)</f>
        <v>83</v>
      </c>
      <c r="X1088" s="22">
        <f>IFERROR(__xludf.DUMMYFUNCTION("IFERROR(GOOGLEFINANCE(A1088,""high""),"""")"),90.0)</f>
        <v>90</v>
      </c>
      <c r="Y1088" s="22">
        <f>IFERROR(__xludf.DUMMYFUNCTION("IFERROR(GOOGLEFINANCE(A1088,""low""),"""")"),82.0)</f>
        <v>82</v>
      </c>
      <c r="Z1088" s="22">
        <f>IFERROR(__xludf.DUMMYFUNCTION("IFERROR(GOOGLEFINANCE(A1088,""volume""),"""")"),9498400.0)</f>
        <v>9498400</v>
      </c>
      <c r="AA1088" s="24" t="str">
        <f>VLOOKUP(A1088,Metrik!$C$2:$Y$959,5,0)</f>
        <v>Machinery</v>
      </c>
      <c r="AB1088" s="24" t="str">
        <f>VLOOKUP(A1088,Metrik!$C$2:$Y$959,3,0)</f>
        <v>Industrials</v>
      </c>
    </row>
    <row r="1089">
      <c r="A1089" s="14" t="s">
        <v>571</v>
      </c>
      <c r="B1089" s="14" t="str">
        <f t="array" ref="B1089">VLOOKUP(A1089,{Metrik!$C$2:$C$998,Metrik!$B$2:$B$998},2,0)</f>
        <v>UBC Medical Indonesia Tbk.</v>
      </c>
      <c r="C1089" s="15">
        <f>IFERROR(__xludf.DUMMYFUNCTION("GOOGLEFINANCE(""IDX:""&amp;A1089,""price"")"),140.0)</f>
        <v>140</v>
      </c>
      <c r="D1089" s="16" t="str">
        <f>IFERROR(__xludf.DUMMYFUNCTION("IF(A1089="""","""",
SPARKLINE(
INDEX(
GOOGLEFINANCE(""IDX:""&amp;A1089,""close"",TODAY()-365,TODAY()),
,2
),
{""linewidth"",1}
))
"),"#N/A")</f>
        <v>#N/A</v>
      </c>
      <c r="E1089" s="26"/>
      <c r="F1089" s="26"/>
      <c r="G1089" s="24">
        <f t="shared" si="7"/>
        <v>0</v>
      </c>
      <c r="H1089" s="19">
        <f>VLOOKUP(A1089,Metrik!$C$2:$Y$959,8,0)</f>
        <v>44.8</v>
      </c>
      <c r="I1089" s="20">
        <f>VLOOKUP(A1089,Metrik!$C$2:$Y$959,9,0)</f>
        <v>3.5</v>
      </c>
      <c r="J1089" s="20">
        <f>VLOOKUP(A1089,Metrik!$C$2:$Y$959,10,0)</f>
        <v>7.9</v>
      </c>
      <c r="K1089" s="20">
        <f>VLOOKUP(A1089,Metrik!$C$2:$Y$959,11,0)</f>
        <v>5.5</v>
      </c>
      <c r="L1089" s="20">
        <f>VLOOKUP(A1089,Metrik!$C$2:$Y$959,12,0)</f>
        <v>0.43</v>
      </c>
      <c r="M1089" s="20">
        <f>VLOOKUP(A1089,Metrik!$C$2:$Y$959,19,0)</f>
        <v>30.2</v>
      </c>
      <c r="N1089" s="21"/>
      <c r="O1089" s="21"/>
      <c r="P1089" s="21"/>
      <c r="Q1089" s="21"/>
      <c r="R1089" s="21"/>
      <c r="S1089" s="21"/>
      <c r="T1089" s="21"/>
      <c r="U1089" s="22">
        <f>IFERROR(__xludf.DUMMYFUNCTION("IFERROR(GOOGLEFINANCE(A1089,""closeyest""),"""")"),0.07)</f>
        <v>0.07</v>
      </c>
      <c r="V1089" s="23">
        <f>IFERROR(__xludf.DUMMYFUNCTION("IFERROR(GOOGLEFINANCE(A1089,""changepct""),"""")"),7.14)</f>
        <v>7.14</v>
      </c>
      <c r="W1089" s="22">
        <f>IFERROR(__xludf.DUMMYFUNCTION("IFERROR(GOOGLEFINANCE(A1089,""priceopen""),"""")"),0.08)</f>
        <v>0.08</v>
      </c>
      <c r="X1089" s="22">
        <f>IFERROR(__xludf.DUMMYFUNCTION("IFERROR(GOOGLEFINANCE(A1089,""high""),"""")"),0.08)</f>
        <v>0.08</v>
      </c>
      <c r="Y1089" s="22">
        <f>IFERROR(__xludf.DUMMYFUNCTION("IFERROR(GOOGLEFINANCE(A1089,""low""),"""")"),0.07)</f>
        <v>0.07</v>
      </c>
      <c r="Z1089" s="22">
        <f>IFERROR(__xludf.DUMMYFUNCTION("IFERROR(GOOGLEFINANCE(A1089,""volume""),"""")"),76864.0)</f>
        <v>76864</v>
      </c>
      <c r="AA1089" s="24" t="str">
        <f>VLOOKUP(A1089,Metrik!$C$2:$Y$959,5,0)</f>
        <v>Healthcare Equipment &amp; Supplies</v>
      </c>
      <c r="AB1089" s="24" t="str">
        <f>VLOOKUP(A1089,Metrik!$C$2:$Y$959,3,0)</f>
        <v>Healthcare</v>
      </c>
    </row>
    <row r="1090">
      <c r="A1090" s="14" t="s">
        <v>572</v>
      </c>
      <c r="B1090" s="14" t="str">
        <f t="array" ref="B1090">VLOOKUP(A1090,{Metrik!$C$2:$C$998,Metrik!$B$2:$B$998},2,0)</f>
        <v>PT Jasa Berdikari Logistics Tbk</v>
      </c>
      <c r="C1090" s="15">
        <f>IFERROR(__xludf.DUMMYFUNCTION("GOOGLEFINANCE(""IDX:""&amp;A1090,""price"")"),59.0)</f>
        <v>59</v>
      </c>
      <c r="D1090" s="16" t="str">
        <f>IFERROR(__xludf.DUMMYFUNCTION("IF(A1090="""","""",
SPARKLINE(
INDEX(
GOOGLEFINANCE(""IDX:""&amp;A1090,""close"",TODAY()-365,TODAY()),
,2
),
{""linewidth"",1}
))
"),"#N/A")</f>
        <v>#N/A</v>
      </c>
      <c r="E1090" s="26"/>
      <c r="F1090" s="26"/>
      <c r="G1090" s="24">
        <f t="shared" si="7"/>
        <v>0</v>
      </c>
      <c r="H1090" s="19">
        <f>VLOOKUP(A1090,Metrik!$C$2:$Y$959,8,0)</f>
        <v>16.9</v>
      </c>
      <c r="I1090" s="20">
        <f>VLOOKUP(A1090,Metrik!$C$2:$Y$959,9,0)</f>
        <v>1.1</v>
      </c>
      <c r="J1090" s="20">
        <f>VLOOKUP(A1090,Metrik!$C$2:$Y$959,10,0)</f>
        <v>6.5</v>
      </c>
      <c r="K1090" s="20">
        <f>VLOOKUP(A1090,Metrik!$C$2:$Y$959,11,0)</f>
        <v>3.6</v>
      </c>
      <c r="L1090" s="20">
        <f>VLOOKUP(A1090,Metrik!$C$2:$Y$959,12,0)</f>
        <v>0.78</v>
      </c>
      <c r="M1090" s="20">
        <f>VLOOKUP(A1090,Metrik!$C$2:$Y$959,19,0)</f>
        <v>18.2</v>
      </c>
      <c r="N1090" s="21"/>
      <c r="O1090" s="21"/>
      <c r="P1090" s="21"/>
      <c r="Q1090" s="21"/>
      <c r="R1090" s="21"/>
      <c r="S1090" s="21"/>
      <c r="T1090" s="21"/>
      <c r="U1090" s="22">
        <f>IFERROR(__xludf.DUMMYFUNCTION("IFERROR(GOOGLEFINANCE(A1090,""closeyest""),"""")"),56.0)</f>
        <v>56</v>
      </c>
      <c r="V1090" s="23">
        <f>IFERROR(__xludf.DUMMYFUNCTION("IFERROR(GOOGLEFINANCE(A1090,""changepct""),"""")"),5.36)</f>
        <v>5.36</v>
      </c>
      <c r="W1090" s="22">
        <f>IFERROR(__xludf.DUMMYFUNCTION("IFERROR(GOOGLEFINANCE(A1090,""priceopen""),"""")"),55.0)</f>
        <v>55</v>
      </c>
      <c r="X1090" s="22">
        <f>IFERROR(__xludf.DUMMYFUNCTION("IFERROR(GOOGLEFINANCE(A1090,""high""),"""")"),61.0)</f>
        <v>61</v>
      </c>
      <c r="Y1090" s="22">
        <f>IFERROR(__xludf.DUMMYFUNCTION("IFERROR(GOOGLEFINANCE(A1090,""low""),"""")"),55.0)</f>
        <v>55</v>
      </c>
      <c r="Z1090" s="22">
        <f>IFERROR(__xludf.DUMMYFUNCTION("IFERROR(GOOGLEFINANCE(A1090,""volume""),"""")"),2.48022E7)</f>
        <v>24802200</v>
      </c>
      <c r="AA1090" s="24" t="str">
        <f>VLOOKUP(A1090,Metrik!$C$2:$Y$959,5,0)</f>
        <v>Logistics &amp; Deliveries</v>
      </c>
      <c r="AB1090" s="24" t="str">
        <f>VLOOKUP(A1090,Metrik!$C$2:$Y$959,3,0)</f>
        <v>Transportation &amp; Logistic</v>
      </c>
    </row>
    <row r="1091">
      <c r="A1091" s="14" t="s">
        <v>573</v>
      </c>
      <c r="B1091" s="14" t="str">
        <f t="array" ref="B1091">VLOOKUP(A1091,{Metrik!$C$2:$C$998,Metrik!$B$2:$B$998},2,0)</f>
        <v>Trimitra Propertindo Tbk.</v>
      </c>
      <c r="C1091" s="15">
        <f>IFERROR(__xludf.DUMMYFUNCTION("GOOGLEFINANCE(""IDX:""&amp;A1091,""price"")"),55.0)</f>
        <v>55</v>
      </c>
      <c r="D1091" s="16" t="str">
        <f>IFERROR(__xludf.DUMMYFUNCTION("IF(A1091="""","""",
SPARKLINE(
INDEX(
GOOGLEFINANCE(""IDX:""&amp;A1091,""close"",TODAY()-365,TODAY()),
,2
),
{""linewidth"",1}
))
"),"#N/A")</f>
        <v>#N/A</v>
      </c>
      <c r="E1091" s="26"/>
      <c r="F1091" s="26"/>
      <c r="G1091" s="24">
        <f t="shared" si="7"/>
        <v>0</v>
      </c>
      <c r="H1091" s="19">
        <f>VLOOKUP(A1091,Metrik!$C$2:$Y$959,8,0)</f>
        <v>83.8</v>
      </c>
      <c r="I1091" s="20">
        <f>VLOOKUP(A1091,Metrik!$C$2:$Y$959,9,0)</f>
        <v>0.38</v>
      </c>
      <c r="J1091" s="20">
        <f>VLOOKUP(A1091,Metrik!$C$2:$Y$959,10,0)</f>
        <v>0.45</v>
      </c>
      <c r="K1091" s="20">
        <f>VLOOKUP(A1091,Metrik!$C$2:$Y$959,11,0)</f>
        <v>0.25</v>
      </c>
      <c r="L1091" s="20">
        <f>VLOOKUP(A1091,Metrik!$C$2:$Y$959,12,0)</f>
        <v>0.77</v>
      </c>
      <c r="M1091" s="20">
        <f>VLOOKUP(A1091,Metrik!$C$2:$Y$959,19,0)</f>
        <v>21.1</v>
      </c>
      <c r="N1091" s="21"/>
      <c r="O1091" s="21"/>
      <c r="P1091" s="21"/>
      <c r="Q1091" s="21"/>
      <c r="R1091" s="21"/>
      <c r="S1091" s="21"/>
      <c r="T1091" s="21"/>
      <c r="U1091" s="22">
        <f>IFERROR(__xludf.DUMMYFUNCTION("IFERROR(GOOGLEFINANCE(A1091,""closeyest""),"""")"),9.0)</f>
        <v>9</v>
      </c>
      <c r="V1091" s="23">
        <f>IFERROR(__xludf.DUMMYFUNCTION("IFERROR(GOOGLEFINANCE(A1091,""changepct""),"""")"),-0.44)</f>
        <v>-0.44</v>
      </c>
      <c r="W1091" s="22">
        <f>IFERROR(__xludf.DUMMYFUNCTION("IFERROR(GOOGLEFINANCE(A1091,""priceopen""),"""")"),9.06)</f>
        <v>9.06</v>
      </c>
      <c r="X1091" s="22">
        <f>IFERROR(__xludf.DUMMYFUNCTION("IFERROR(GOOGLEFINANCE(A1091,""high""),"""")"),9.09)</f>
        <v>9.09</v>
      </c>
      <c r="Y1091" s="22">
        <f>IFERROR(__xludf.DUMMYFUNCTION("IFERROR(GOOGLEFINANCE(A1091,""low""),"""")"),8.93)</f>
        <v>8.93</v>
      </c>
      <c r="Z1091" s="22">
        <f>IFERROR(__xludf.DUMMYFUNCTION("IFERROR(GOOGLEFINANCE(A1091,""volume""),"""")"),690627.0)</f>
        <v>690627</v>
      </c>
      <c r="AA1091" s="24" t="str">
        <f>VLOOKUP(A1091,Metrik!$C$2:$Y$959,5,0)</f>
        <v>Real Estate Management &amp; Development</v>
      </c>
      <c r="AB1091" s="24" t="str">
        <f>VLOOKUP(A1091,Metrik!$C$2:$Y$959,3,0)</f>
        <v>Properties &amp; Real Estate</v>
      </c>
    </row>
    <row r="1092">
      <c r="A1092" s="14" t="s">
        <v>574</v>
      </c>
      <c r="B1092" s="14" t="str">
        <f t="array" ref="B1092">VLOOKUP(A1092,{Metrik!$C$2:$C$998,Metrik!$B$2:$B$998},2,0)</f>
        <v>Leyand International Tbk.</v>
      </c>
      <c r="C1092" s="15">
        <f>IFERROR(__xludf.DUMMYFUNCTION("GOOGLEFINANCE(""IDX:""&amp;A1092,""price"")"),61.0)</f>
        <v>61</v>
      </c>
      <c r="D1092" s="16" t="str">
        <f>IFERROR(__xludf.DUMMYFUNCTION("IF(A1092="""","""",
SPARKLINE(
INDEX(
GOOGLEFINANCE(""IDX:""&amp;A1092,""close"",TODAY()-365,TODAY()),
,2
),
{""linewidth"",1}
))
"),"#N/A")</f>
        <v>#N/A</v>
      </c>
      <c r="E1092" s="26"/>
      <c r="F1092" s="26"/>
      <c r="G1092" s="24">
        <f t="shared" si="7"/>
        <v>0</v>
      </c>
      <c r="H1092" s="19">
        <f>VLOOKUP(A1092,Metrik!$C$2:$Y$959,8,0)</f>
        <v>-40.8</v>
      </c>
      <c r="I1092" s="20">
        <f>VLOOKUP(A1092,Metrik!$C$2:$Y$959,9,0)</f>
        <v>15.1</v>
      </c>
      <c r="J1092" s="20">
        <f>VLOOKUP(A1092,Metrik!$C$2:$Y$959,10,0)</f>
        <v>-37.1</v>
      </c>
      <c r="K1092" s="20">
        <f>VLOOKUP(A1092,Metrik!$C$2:$Y$959,11,0)</f>
        <v>-5</v>
      </c>
      <c r="L1092" s="20">
        <f>VLOOKUP(A1092,Metrik!$C$2:$Y$959,12,0)</f>
        <v>6.4</v>
      </c>
      <c r="M1092" s="20">
        <f>VLOOKUP(A1092,Metrik!$C$2:$Y$959,19,0)</f>
        <v>-430</v>
      </c>
      <c r="N1092" s="21"/>
      <c r="O1092" s="21"/>
      <c r="P1092" s="21"/>
      <c r="Q1092" s="21"/>
      <c r="R1092" s="21"/>
      <c r="S1092" s="21"/>
      <c r="T1092" s="21"/>
      <c r="U1092" s="22">
        <f>IFERROR(__xludf.DUMMYFUNCTION("IFERROR(GOOGLEFINANCE(A1092,""closeyest""),"""")"),65.0)</f>
        <v>65</v>
      </c>
      <c r="V1092" s="23">
        <f>IFERROR(__xludf.DUMMYFUNCTION("IFERROR(GOOGLEFINANCE(A1092,""changepct""),"""")"),-6.15)</f>
        <v>-6.15</v>
      </c>
      <c r="W1092" s="22">
        <f>IFERROR(__xludf.DUMMYFUNCTION("IFERROR(GOOGLEFINANCE(A1092,""priceopen""),"""")"),65.0)</f>
        <v>65</v>
      </c>
      <c r="X1092" s="22">
        <f>IFERROR(__xludf.DUMMYFUNCTION("IFERROR(GOOGLEFINANCE(A1092,""high""),"""")"),66.0)</f>
        <v>66</v>
      </c>
      <c r="Y1092" s="22">
        <f>IFERROR(__xludf.DUMMYFUNCTION("IFERROR(GOOGLEFINANCE(A1092,""low""),"""")"),60.0)</f>
        <v>60</v>
      </c>
      <c r="Z1092" s="22">
        <f>IFERROR(__xludf.DUMMYFUNCTION("IFERROR(GOOGLEFINANCE(A1092,""volume""),"""")"),4.45771E7)</f>
        <v>44577100</v>
      </c>
      <c r="AA1092" s="24" t="str">
        <f>VLOOKUP(A1092,Metrik!$C$2:$Y$959,5,0)</f>
        <v>Food &amp; Staples Retailing</v>
      </c>
      <c r="AB1092" s="24" t="str">
        <f>VLOOKUP(A1092,Metrik!$C$2:$Y$959,3,0)</f>
        <v>Consumer Non-Cyclicals</v>
      </c>
    </row>
    <row r="1093">
      <c r="A1093" s="14" t="s">
        <v>575</v>
      </c>
      <c r="B1093" s="14" t="str">
        <f t="array" ref="B1093">VLOOKUP(A1093,{Metrik!$C$2:$C$998,Metrik!$B$2:$B$998},2,0)</f>
        <v>Eureka Prima Jakarta Tbk.</v>
      </c>
      <c r="C1093" s="15">
        <f>IFERROR(__xludf.DUMMYFUNCTION("GOOGLEFINANCE(""IDX:""&amp;A1093,""price"")"),114.0)</f>
        <v>114</v>
      </c>
      <c r="D1093" s="16" t="str">
        <f>IFERROR(__xludf.DUMMYFUNCTION("IF(A1093="""","""",
SPARKLINE(
INDEX(
GOOGLEFINANCE(""IDX:""&amp;A1093,""close"",TODAY()-365,TODAY()),
,2
),
{""linewidth"",1}
))
"),"#N/A")</f>
        <v>#N/A</v>
      </c>
      <c r="E1093" s="26"/>
      <c r="F1093" s="26"/>
      <c r="G1093" s="24">
        <f t="shared" si="7"/>
        <v>0</v>
      </c>
      <c r="H1093" s="19">
        <f>VLOOKUP(A1093,Metrik!$C$2:$Y$959,8,0)</f>
        <v>0</v>
      </c>
      <c r="I1093" s="20">
        <f>VLOOKUP(A1093,Metrik!$C$2:$Y$959,9,0)</f>
        <v>0.4</v>
      </c>
      <c r="J1093" s="20">
        <f>VLOOKUP(A1093,Metrik!$C$2:$Y$959,10,0)</f>
        <v>0.02</v>
      </c>
      <c r="K1093" s="20">
        <f>VLOOKUP(A1093,Metrik!$C$2:$Y$959,11,0)</f>
        <v>0.02</v>
      </c>
      <c r="L1093" s="20">
        <f>VLOOKUP(A1093,Metrik!$C$2:$Y$959,12,0)</f>
        <v>0.03</v>
      </c>
      <c r="M1093" s="20">
        <f>VLOOKUP(A1093,Metrik!$C$2:$Y$959,19,0)</f>
        <v>19.5</v>
      </c>
      <c r="N1093" s="21"/>
      <c r="O1093" s="21"/>
      <c r="P1093" s="21"/>
      <c r="Q1093" s="21"/>
      <c r="R1093" s="21"/>
      <c r="S1093" s="21"/>
      <c r="T1093" s="21"/>
      <c r="U1093" s="22">
        <f>IFERROR(__xludf.DUMMYFUNCTION("IFERROR(GOOGLEFINANCE(A1093,""closeyest""),"""")"),114.0)</f>
        <v>114</v>
      </c>
      <c r="V1093" s="23">
        <f>IFERROR(__xludf.DUMMYFUNCTION("IFERROR(GOOGLEFINANCE(A1093,""changepct""),"""")"),0.0)</f>
        <v>0</v>
      </c>
      <c r="W1093" s="22" t="str">
        <f>IFERROR(__xludf.DUMMYFUNCTION("IFERROR(GOOGLEFINANCE(A1093,""priceopen""),"""")"),"")</f>
        <v/>
      </c>
      <c r="X1093" s="22" t="str">
        <f>IFERROR(__xludf.DUMMYFUNCTION("IFERROR(GOOGLEFINANCE(A1093,""high""),"""")"),"")</f>
        <v/>
      </c>
      <c r="Y1093" s="22" t="str">
        <f>IFERROR(__xludf.DUMMYFUNCTION("IFERROR(GOOGLEFINANCE(A1093,""low""),"""")"),"")</f>
        <v/>
      </c>
      <c r="Z1093" s="22">
        <f>IFERROR(__xludf.DUMMYFUNCTION("IFERROR(GOOGLEFINANCE(A1093,""volume""),"""")"),0.0)</f>
        <v>0</v>
      </c>
      <c r="AA1093" s="24" t="str">
        <f>VLOOKUP(A1093,Metrik!$C$2:$Y$959,5,0)</f>
        <v>Real Estate Management &amp; Development</v>
      </c>
      <c r="AB1093" s="24" t="str">
        <f>VLOOKUP(A1093,Metrik!$C$2:$Y$959,3,0)</f>
        <v>Properties &amp; Real Estate</v>
      </c>
    </row>
    <row r="1094">
      <c r="A1094" s="14" t="s">
        <v>576</v>
      </c>
      <c r="B1094" s="14" t="str">
        <f t="array" ref="B1094">VLOOKUP(A1094,{Metrik!$C$2:$C$998,Metrik!$B$2:$B$998},2,0)</f>
        <v>LCK Global Kedaton Tbk.</v>
      </c>
      <c r="C1094" s="15">
        <f>IFERROR(__xludf.DUMMYFUNCTION("GOOGLEFINANCE(""IDX:""&amp;A1094,""price"")"),131.0)</f>
        <v>131</v>
      </c>
      <c r="D1094" s="16" t="str">
        <f>IFERROR(__xludf.DUMMYFUNCTION("IF(A1094="""","""",
SPARKLINE(
INDEX(
GOOGLEFINANCE(""IDX:""&amp;A1094,""close"",TODAY()-365,TODAY()),
,2
),
{""linewidth"",1}
))
"),"#N/A")</f>
        <v>#N/A</v>
      </c>
      <c r="E1094" s="26"/>
      <c r="F1094" s="26"/>
      <c r="G1094" s="24">
        <f t="shared" si="7"/>
        <v>0</v>
      </c>
      <c r="H1094" s="19">
        <f>VLOOKUP(A1094,Metrik!$C$2:$Y$959,8,0)</f>
        <v>48</v>
      </c>
      <c r="I1094" s="20">
        <f>VLOOKUP(A1094,Metrik!$C$2:$Y$959,9,0)</f>
        <v>0.79</v>
      </c>
      <c r="J1094" s="20">
        <f>VLOOKUP(A1094,Metrik!$C$2:$Y$959,10,0)</f>
        <v>1.7</v>
      </c>
      <c r="K1094" s="20">
        <f>VLOOKUP(A1094,Metrik!$C$2:$Y$959,11,0)</f>
        <v>1.6</v>
      </c>
      <c r="L1094" s="20">
        <f>VLOOKUP(A1094,Metrik!$C$2:$Y$959,12,0)</f>
        <v>0.05</v>
      </c>
      <c r="M1094" s="20">
        <f>VLOOKUP(A1094,Metrik!$C$2:$Y$959,19,0)</f>
        <v>720</v>
      </c>
      <c r="N1094" s="21"/>
      <c r="O1094" s="21"/>
      <c r="P1094" s="21"/>
      <c r="Q1094" s="21"/>
      <c r="R1094" s="21"/>
      <c r="S1094" s="21"/>
      <c r="T1094" s="21"/>
      <c r="U1094" s="22">
        <f>IFERROR(__xludf.DUMMYFUNCTION("IFERROR(GOOGLEFINANCE(A1094,""closeyest""),"""")"),153.0)</f>
        <v>153</v>
      </c>
      <c r="V1094" s="23">
        <f>IFERROR(__xludf.DUMMYFUNCTION("IFERROR(GOOGLEFINANCE(A1094,""changepct""),"""")"),-14.38)</f>
        <v>-14.38</v>
      </c>
      <c r="W1094" s="22">
        <f>IFERROR(__xludf.DUMMYFUNCTION("IFERROR(GOOGLEFINANCE(A1094,""priceopen""),"""")"),153.0)</f>
        <v>153</v>
      </c>
      <c r="X1094" s="22">
        <f>IFERROR(__xludf.DUMMYFUNCTION("IFERROR(GOOGLEFINANCE(A1094,""high""),"""")"),163.0)</f>
        <v>163</v>
      </c>
      <c r="Y1094" s="22">
        <f>IFERROR(__xludf.DUMMYFUNCTION("IFERROR(GOOGLEFINANCE(A1094,""low""),"""")"),131.0)</f>
        <v>131</v>
      </c>
      <c r="Z1094" s="22">
        <f>IFERROR(__xludf.DUMMYFUNCTION("IFERROR(GOOGLEFINANCE(A1094,""volume""),"""")"),4.411753E8)</f>
        <v>441175300</v>
      </c>
      <c r="AA1094" s="24" t="str">
        <f>VLOOKUP(A1094,Metrik!$C$2:$Y$959,5,0)</f>
        <v>Wireless Telecommunication Services</v>
      </c>
      <c r="AB1094" s="24" t="str">
        <f>VLOOKUP(A1094,Metrik!$C$2:$Y$959,3,0)</f>
        <v>Infrastructures</v>
      </c>
    </row>
    <row r="1095">
      <c r="A1095" s="14" t="s">
        <v>577</v>
      </c>
      <c r="B1095" s="14" t="str">
        <f t="array" ref="B1095">VLOOKUP(A1095,{Metrik!$C$2:$C$998,Metrik!$B$2:$B$998},2,0)</f>
        <v>Logindo Samudramakmur Tbk.</v>
      </c>
      <c r="C1095" s="15">
        <f>IFERROR(__xludf.DUMMYFUNCTION("GOOGLEFINANCE(""IDX:""&amp;A1095,""price"")"),97.0)</f>
        <v>97</v>
      </c>
      <c r="D1095" s="16" t="str">
        <f>IFERROR(__xludf.DUMMYFUNCTION("IF(A1095="""","""",
SPARKLINE(
INDEX(
GOOGLEFINANCE(""IDX:""&amp;A1095,""close"",TODAY()-365,TODAY()),
,2
),
{""linewidth"",1}
))
"),"#N/A")</f>
        <v>#N/A</v>
      </c>
      <c r="E1095" s="26"/>
      <c r="F1095" s="26"/>
      <c r="G1095" s="24">
        <f t="shared" si="7"/>
        <v>0</v>
      </c>
      <c r="H1095" s="19">
        <f>VLOOKUP(A1095,Metrik!$C$2:$Y$959,8,0)</f>
        <v>3.1</v>
      </c>
      <c r="I1095" s="20">
        <f>VLOOKUP(A1095,Metrik!$C$2:$Y$959,9,0)</f>
        <v>0.62</v>
      </c>
      <c r="J1095" s="20">
        <f>VLOOKUP(A1095,Metrik!$C$2:$Y$959,10,0)</f>
        <v>20.1</v>
      </c>
      <c r="K1095" s="20">
        <f>VLOOKUP(A1095,Metrik!$C$2:$Y$959,11,0)</f>
        <v>10.8</v>
      </c>
      <c r="L1095" s="20">
        <f>VLOOKUP(A1095,Metrik!$C$2:$Y$959,12,0)</f>
        <v>0.87</v>
      </c>
      <c r="M1095" s="20">
        <f>VLOOKUP(A1095,Metrik!$C$2:$Y$959,19,0)</f>
        <v>150</v>
      </c>
      <c r="N1095" s="21"/>
      <c r="O1095" s="21"/>
      <c r="P1095" s="21"/>
      <c r="Q1095" s="21"/>
      <c r="R1095" s="21"/>
      <c r="S1095" s="21"/>
      <c r="T1095" s="21"/>
      <c r="U1095" s="22">
        <f>IFERROR(__xludf.DUMMYFUNCTION("IFERROR(GOOGLEFINANCE(A1095,""closeyest""),"""")"),20.61)</f>
        <v>20.61</v>
      </c>
      <c r="V1095" s="23">
        <f>IFERROR(__xludf.DUMMYFUNCTION("IFERROR(GOOGLEFINANCE(A1095,""changepct""),"""")"),-1.89)</f>
        <v>-1.89</v>
      </c>
      <c r="W1095" s="22" t="str">
        <f>IFERROR(__xludf.DUMMYFUNCTION("IFERROR(GOOGLEFINANCE(A1095,""priceopen""),"""")"),"")</f>
        <v/>
      </c>
      <c r="X1095" s="22" t="str">
        <f>IFERROR(__xludf.DUMMYFUNCTION("IFERROR(GOOGLEFINANCE(A1095,""high""),"""")"),"")</f>
        <v/>
      </c>
      <c r="Y1095" s="22" t="str">
        <f>IFERROR(__xludf.DUMMYFUNCTION("IFERROR(GOOGLEFINANCE(A1095,""low""),"""")"),"")</f>
        <v/>
      </c>
      <c r="Z1095" s="22">
        <f>IFERROR(__xludf.DUMMYFUNCTION("IFERROR(GOOGLEFINANCE(A1095,""volume""),"""")"),0.0)</f>
        <v>0</v>
      </c>
      <c r="AA1095" s="24" t="str">
        <f>VLOOKUP(A1095,Metrik!$C$2:$Y$959,5,0)</f>
        <v>Oil &amp; Gas</v>
      </c>
      <c r="AB1095" s="24" t="str">
        <f>VLOOKUP(A1095,Metrik!$C$2:$Y$959,3,0)</f>
        <v>Energy</v>
      </c>
    </row>
    <row r="1096">
      <c r="A1096" s="14" t="s">
        <v>578</v>
      </c>
      <c r="B1096" s="14" t="str">
        <f t="array" ref="B1096">VLOOKUP(A1096,{Metrik!$C$2:$C$998,Metrik!$B$2:$B$998},2,0)</f>
        <v>Imago Mulia Persada Tbk.</v>
      </c>
      <c r="C1096" s="15">
        <f>IFERROR(__xludf.DUMMYFUNCTION("GOOGLEFINANCE(""IDX:""&amp;A1096,""price"")"),498.0)</f>
        <v>498</v>
      </c>
      <c r="D1096" s="16" t="str">
        <f>IFERROR(__xludf.DUMMYFUNCTION("IF(A1096="""","""",
SPARKLINE(
INDEX(
GOOGLEFINANCE(""IDX:""&amp;A1096,""close"",TODAY()-365,TODAY()),
,2
),
{""linewidth"",1}
))
"),"#N/A")</f>
        <v>#N/A</v>
      </c>
      <c r="E1096" s="26"/>
      <c r="F1096" s="26"/>
      <c r="G1096" s="24">
        <f t="shared" si="7"/>
        <v>0</v>
      </c>
      <c r="H1096" s="19">
        <f>VLOOKUP(A1096,Metrik!$C$2:$Y$959,8,0)</f>
        <v>31.6</v>
      </c>
      <c r="I1096" s="20">
        <f>VLOOKUP(A1096,Metrik!$C$2:$Y$959,9,0)</f>
        <v>7.7</v>
      </c>
      <c r="J1096" s="20">
        <f>VLOOKUP(A1096,Metrik!$C$2:$Y$959,10,0)</f>
        <v>24.3</v>
      </c>
      <c r="K1096" s="20">
        <f>VLOOKUP(A1096,Metrik!$C$2:$Y$959,11,0)</f>
        <v>11.5</v>
      </c>
      <c r="L1096" s="20">
        <f>VLOOKUP(A1096,Metrik!$C$2:$Y$959,12,0)</f>
        <v>1.1</v>
      </c>
      <c r="M1096" s="20">
        <f>VLOOKUP(A1096,Metrik!$C$2:$Y$959,19,0)</f>
        <v>12.2</v>
      </c>
      <c r="N1096" s="21"/>
      <c r="O1096" s="21"/>
      <c r="P1096" s="21"/>
      <c r="Q1096" s="21"/>
      <c r="R1096" s="21"/>
      <c r="S1096" s="21"/>
      <c r="T1096" s="21"/>
      <c r="U1096" s="22">
        <f>IFERROR(__xludf.DUMMYFUNCTION("IFERROR(GOOGLEFINANCE(A1096,""closeyest""),"""")"),468.0)</f>
        <v>468</v>
      </c>
      <c r="V1096" s="23">
        <f>IFERROR(__xludf.DUMMYFUNCTION("IFERROR(GOOGLEFINANCE(A1096,""changepct""),"""")"),6.41)</f>
        <v>6.41</v>
      </c>
      <c r="W1096" s="22">
        <f>IFERROR(__xludf.DUMMYFUNCTION("IFERROR(GOOGLEFINANCE(A1096,""priceopen""),"""")"),468.0)</f>
        <v>468</v>
      </c>
      <c r="X1096" s="22">
        <f>IFERROR(__xludf.DUMMYFUNCTION("IFERROR(GOOGLEFINANCE(A1096,""high""),"""")"),498.0)</f>
        <v>498</v>
      </c>
      <c r="Y1096" s="22">
        <f>IFERROR(__xludf.DUMMYFUNCTION("IFERROR(GOOGLEFINANCE(A1096,""low""),"""")"),450.0)</f>
        <v>450</v>
      </c>
      <c r="Z1096" s="22">
        <f>IFERROR(__xludf.DUMMYFUNCTION("IFERROR(GOOGLEFINANCE(A1096,""volume""),"""")"),20700.0)</f>
        <v>20700</v>
      </c>
      <c r="AA1096" s="24" t="str">
        <f>VLOOKUP(A1096,Metrik!$C$2:$Y$959,5,0)</f>
        <v>Household Goods</v>
      </c>
      <c r="AB1096" s="24" t="str">
        <f>VLOOKUP(A1096,Metrik!$C$2:$Y$959,3,0)</f>
        <v>Consumer Cyclicals</v>
      </c>
    </row>
    <row r="1097">
      <c r="A1097" s="14" t="s">
        <v>579</v>
      </c>
      <c r="B1097" s="14" t="str">
        <f t="array" ref="B1097">VLOOKUP(A1097,{Metrik!$C$2:$C$998,Metrik!$B$2:$B$998},2,0)</f>
        <v>MSIG Life Insurance Indonesia Tbk.</v>
      </c>
      <c r="C1097" s="15">
        <f>IFERROR(__xludf.DUMMYFUNCTION("GOOGLEFINANCE(""IDX:""&amp;A1097,""price"")"),5700.0)</f>
        <v>5700</v>
      </c>
      <c r="D1097" s="16" t="str">
        <f>IFERROR(__xludf.DUMMYFUNCTION("IF(A1097="""","""",
SPARKLINE(
INDEX(
GOOGLEFINANCE(""IDX:""&amp;A1097,""close"",TODAY()-365,TODAY()),
,2
),
{""linewidth"",1}
))
"),"#N/A")</f>
        <v>#N/A</v>
      </c>
      <c r="E1097" s="26"/>
      <c r="F1097" s="26"/>
      <c r="G1097" s="24">
        <f t="shared" si="7"/>
        <v>0</v>
      </c>
      <c r="H1097" s="19">
        <f>VLOOKUP(A1097,Metrik!$C$2:$Y$959,8,0)</f>
        <v>47</v>
      </c>
      <c r="I1097" s="20">
        <f>VLOOKUP(A1097,Metrik!$C$2:$Y$959,9,0)</f>
        <v>1.5</v>
      </c>
      <c r="J1097" s="20">
        <f>VLOOKUP(A1097,Metrik!$C$2:$Y$959,10,0)</f>
        <v>3.2</v>
      </c>
      <c r="K1097" s="20">
        <f>VLOOKUP(A1097,Metrik!$C$2:$Y$959,11,0)</f>
        <v>1.7</v>
      </c>
      <c r="L1097" s="20">
        <f>VLOOKUP(A1097,Metrik!$C$2:$Y$959,12,0)</f>
        <v>0.86</v>
      </c>
      <c r="M1097" s="20">
        <f>VLOOKUP(A1097,Metrik!$C$2:$Y$959,19,0)</f>
        <v>47.9</v>
      </c>
      <c r="N1097" s="21"/>
      <c r="O1097" s="21"/>
      <c r="P1097" s="21"/>
      <c r="Q1097" s="21"/>
      <c r="R1097" s="21"/>
      <c r="S1097" s="21"/>
      <c r="T1097" s="21"/>
      <c r="U1097" s="22">
        <f>IFERROR(__xludf.DUMMYFUNCTION("IFERROR(GOOGLEFINANCE(A1097,""closeyest""),"""")"),17.18)</f>
        <v>17.18</v>
      </c>
      <c r="V1097" s="23">
        <f>IFERROR(__xludf.DUMMYFUNCTION("IFERROR(GOOGLEFINANCE(A1097,""changepct""),"""")"),-9.14)</f>
        <v>-9.14</v>
      </c>
      <c r="W1097" s="22">
        <f>IFERROR(__xludf.DUMMYFUNCTION("IFERROR(GOOGLEFINANCE(A1097,""priceopen""),"""")"),17.12)</f>
        <v>17.12</v>
      </c>
      <c r="X1097" s="22">
        <f>IFERROR(__xludf.DUMMYFUNCTION("IFERROR(GOOGLEFINANCE(A1097,""high""),"""")"),17.2)</f>
        <v>17.2</v>
      </c>
      <c r="Y1097" s="22">
        <f>IFERROR(__xludf.DUMMYFUNCTION("IFERROR(GOOGLEFINANCE(A1097,""low""),"""")"),15.33)</f>
        <v>15.33</v>
      </c>
      <c r="Z1097" s="22">
        <f>IFERROR(__xludf.DUMMYFUNCTION("IFERROR(GOOGLEFINANCE(A1097,""volume""),"""")"),786152.0)</f>
        <v>786152</v>
      </c>
      <c r="AA1097" s="24" t="str">
        <f>VLOOKUP(A1097,Metrik!$C$2:$Y$959,5,0)</f>
        <v>Insurance</v>
      </c>
      <c r="AB1097" s="24" t="str">
        <f>VLOOKUP(A1097,Metrik!$C$2:$Y$959,3,0)</f>
        <v>Financials</v>
      </c>
    </row>
    <row r="1098">
      <c r="A1098" s="14" t="s">
        <v>580</v>
      </c>
      <c r="B1098" s="14" t="str">
        <f t="array" ref="B1098">VLOOKUP(A1098,{Metrik!$C$2:$C$998,Metrik!$B$2:$B$998},2,0)</f>
        <v>Link Net Tbk.</v>
      </c>
      <c r="C1098" s="15">
        <f>IFERROR(__xludf.DUMMYFUNCTION("GOOGLEFINANCE(""IDX:""&amp;A1098,""price"")"),1330.0)</f>
        <v>1330</v>
      </c>
      <c r="D1098" s="16" t="str">
        <f>IFERROR(__xludf.DUMMYFUNCTION("IF(A1098="""","""",
SPARKLINE(
INDEX(
GOOGLEFINANCE(""IDX:""&amp;A1098,""close"",TODAY()-365,TODAY()),
,2
),
{""linewidth"",1}
))
"),"#N/A")</f>
        <v>#N/A</v>
      </c>
      <c r="E1098" s="26"/>
      <c r="F1098" s="26"/>
      <c r="G1098" s="24">
        <f t="shared" si="7"/>
        <v>0</v>
      </c>
      <c r="H1098" s="19">
        <f>VLOOKUP(A1098,Metrik!$C$2:$Y$959,8,0)</f>
        <v>-2.1</v>
      </c>
      <c r="I1098" s="20">
        <f>VLOOKUP(A1098,Metrik!$C$2:$Y$959,9,0)</f>
        <v>1</v>
      </c>
      <c r="J1098" s="20">
        <f>VLOOKUP(A1098,Metrik!$C$2:$Y$959,10,0)</f>
        <v>-48.8</v>
      </c>
      <c r="K1098" s="20">
        <f>VLOOKUP(A1098,Metrik!$C$2:$Y$959,11,0)</f>
        <v>-11.2</v>
      </c>
      <c r="L1098" s="20">
        <f>VLOOKUP(A1098,Metrik!$C$2:$Y$959,12,0)</f>
        <v>3.4</v>
      </c>
      <c r="M1098" s="20">
        <f>VLOOKUP(A1098,Metrik!$C$2:$Y$959,19,0)</f>
        <v>-230</v>
      </c>
      <c r="N1098" s="21"/>
      <c r="O1098" s="21"/>
      <c r="P1098" s="21"/>
      <c r="Q1098" s="21"/>
      <c r="R1098" s="21"/>
      <c r="S1098" s="21"/>
      <c r="T1098" s="21"/>
      <c r="U1098" s="22">
        <f>IFERROR(__xludf.DUMMYFUNCTION("IFERROR(GOOGLEFINANCE(A1098,""closeyest""),"""")"),4.47)</f>
        <v>4.47</v>
      </c>
      <c r="V1098" s="23">
        <f>IFERROR(__xludf.DUMMYFUNCTION("IFERROR(GOOGLEFINANCE(A1098,""changepct""),"""")"),-1.79)</f>
        <v>-1.79</v>
      </c>
      <c r="W1098" s="22">
        <f>IFERROR(__xludf.DUMMYFUNCTION("IFERROR(GOOGLEFINANCE(A1098,""priceopen""),"""")"),4.46)</f>
        <v>4.46</v>
      </c>
      <c r="X1098" s="22">
        <f>IFERROR(__xludf.DUMMYFUNCTION("IFERROR(GOOGLEFINANCE(A1098,""high""),"""")"),4.53)</f>
        <v>4.53</v>
      </c>
      <c r="Y1098" s="22">
        <f>IFERROR(__xludf.DUMMYFUNCTION("IFERROR(GOOGLEFINANCE(A1098,""low""),"""")"),4.32)</f>
        <v>4.32</v>
      </c>
      <c r="Z1098" s="22">
        <f>IFERROR(__xludf.DUMMYFUNCTION("IFERROR(GOOGLEFINANCE(A1098,""volume""),"""")"),8511.0)</f>
        <v>8511</v>
      </c>
      <c r="AA1098" s="24" t="str">
        <f>VLOOKUP(A1098,Metrik!$C$2:$Y$959,5,0)</f>
        <v>Telecommunication Service</v>
      </c>
      <c r="AB1098" s="24" t="str">
        <f>VLOOKUP(A1098,Metrik!$C$2:$Y$959,3,0)</f>
        <v>Infrastructures</v>
      </c>
    </row>
    <row r="1099">
      <c r="A1099" s="14" t="s">
        <v>581</v>
      </c>
      <c r="B1099" s="14" t="str">
        <f t="array" ref="B1099">VLOOKUP(A1099,{Metrik!$C$2:$C$998,Metrik!$B$2:$B$998},2,0)</f>
        <v>Lion Metal Works Tbk.</v>
      </c>
      <c r="C1099" s="15">
        <f>IFERROR(__xludf.DUMMYFUNCTION("GOOGLEFINANCE(""IDX:""&amp;A1099,""price"")"),330.0)</f>
        <v>330</v>
      </c>
      <c r="D1099" s="16" t="str">
        <f>IFERROR(__xludf.DUMMYFUNCTION("IF(A1099="""","""",
SPARKLINE(
INDEX(
GOOGLEFINANCE(""IDX:""&amp;A1099,""close"",TODAY()-365,TODAY()),
,2
),
{""linewidth"",1}
))
"),"#N/A")</f>
        <v>#N/A</v>
      </c>
      <c r="E1099" s="26"/>
      <c r="F1099" s="26"/>
      <c r="G1099" s="24">
        <f t="shared" si="7"/>
        <v>0</v>
      </c>
      <c r="H1099" s="19">
        <f>VLOOKUP(A1099,Metrik!$C$2:$Y$959,8,0)</f>
        <v>-8.6</v>
      </c>
      <c r="I1099" s="20">
        <f>VLOOKUP(A1099,Metrik!$C$2:$Y$959,9,0)</f>
        <v>0.43</v>
      </c>
      <c r="J1099" s="20">
        <f>VLOOKUP(A1099,Metrik!$C$2:$Y$959,10,0)</f>
        <v>-5</v>
      </c>
      <c r="K1099" s="20">
        <f>VLOOKUP(A1099,Metrik!$C$2:$Y$959,11,0)</f>
        <v>-3.8</v>
      </c>
      <c r="L1099" s="20">
        <f>VLOOKUP(A1099,Metrik!$C$2:$Y$959,12,0)</f>
        <v>0.31</v>
      </c>
      <c r="M1099" s="20">
        <f>VLOOKUP(A1099,Metrik!$C$2:$Y$959,19,0)</f>
        <v>-34.4</v>
      </c>
      <c r="N1099" s="21"/>
      <c r="O1099" s="21"/>
      <c r="P1099" s="21"/>
      <c r="Q1099" s="21"/>
      <c r="R1099" s="21"/>
      <c r="S1099" s="21"/>
      <c r="T1099" s="21"/>
      <c r="U1099" s="22">
        <f>IFERROR(__xludf.DUMMYFUNCTION("IFERROR(GOOGLEFINANCE(A1099,""closeyest""),"""")"),13.92)</f>
        <v>13.92</v>
      </c>
      <c r="V1099" s="23">
        <f>IFERROR(__xludf.DUMMYFUNCTION("IFERROR(GOOGLEFINANCE(A1099,""changepct""),"""")"),2.87)</f>
        <v>2.87</v>
      </c>
      <c r="W1099" s="22">
        <f>IFERROR(__xludf.DUMMYFUNCTION("IFERROR(GOOGLEFINANCE(A1099,""priceopen""),"""")"),13.96)</f>
        <v>13.96</v>
      </c>
      <c r="X1099" s="22">
        <f>IFERROR(__xludf.DUMMYFUNCTION("IFERROR(GOOGLEFINANCE(A1099,""high""),"""")"),14.49)</f>
        <v>14.49</v>
      </c>
      <c r="Y1099" s="22">
        <f>IFERROR(__xludf.DUMMYFUNCTION("IFERROR(GOOGLEFINANCE(A1099,""low""),"""")"),13.62)</f>
        <v>13.62</v>
      </c>
      <c r="Z1099" s="22">
        <f>IFERROR(__xludf.DUMMYFUNCTION("IFERROR(GOOGLEFINANCE(A1099,""volume""),"""")"),3302163.0)</f>
        <v>3302163</v>
      </c>
      <c r="AA1099" s="24" t="str">
        <f>VLOOKUP(A1099,Metrik!$C$2:$Y$959,5,0)</f>
        <v>Commercial Services</v>
      </c>
      <c r="AB1099" s="24" t="str">
        <f>VLOOKUP(A1099,Metrik!$C$2:$Y$959,3,0)</f>
        <v>Industrials</v>
      </c>
    </row>
    <row r="1100">
      <c r="A1100" s="14" t="s">
        <v>582</v>
      </c>
      <c r="B1100" s="14" t="str">
        <f t="array" ref="B1100">VLOOKUP(A1100,{Metrik!$C$2:$C$998,Metrik!$B$2:$B$998},2,0)</f>
        <v>Homeco Victoria Makmur Tbk.</v>
      </c>
      <c r="C1100" s="15">
        <f>IFERROR(__xludf.DUMMYFUNCTION("GOOGLEFINANCE(""IDX:""&amp;A1100,""price"")"),250.0)</f>
        <v>250</v>
      </c>
      <c r="D1100" s="16" t="str">
        <f>IFERROR(__xludf.DUMMYFUNCTION("IF(A1100="""","""",
SPARKLINE(
INDEX(
GOOGLEFINANCE(""IDX:""&amp;A1100,""close"",TODAY()-365,TODAY()),
,2
),
{""linewidth"",1}
))
"),"#N/A")</f>
        <v>#N/A</v>
      </c>
      <c r="E1100" s="26"/>
      <c r="F1100" s="26"/>
      <c r="G1100" s="24">
        <f t="shared" si="7"/>
        <v>0</v>
      </c>
      <c r="H1100" s="19">
        <f>VLOOKUP(A1100,Metrik!$C$2:$Y$959,8,0)</f>
        <v>630</v>
      </c>
      <c r="I1100" s="20">
        <f>VLOOKUP(A1100,Metrik!$C$2:$Y$959,9,0)</f>
        <v>2.8</v>
      </c>
      <c r="J1100" s="20">
        <f>VLOOKUP(A1100,Metrik!$C$2:$Y$959,10,0)</f>
        <v>0.45</v>
      </c>
      <c r="K1100" s="20">
        <f>VLOOKUP(A1100,Metrik!$C$2:$Y$959,11,0)</f>
        <v>0.29</v>
      </c>
      <c r="L1100" s="20">
        <f>VLOOKUP(A1100,Metrik!$C$2:$Y$959,12,0)</f>
        <v>0.56</v>
      </c>
      <c r="M1100" s="20">
        <f>VLOOKUP(A1100,Metrik!$C$2:$Y$959,19,0)</f>
        <v>3.3</v>
      </c>
      <c r="N1100" s="21"/>
      <c r="O1100" s="21"/>
      <c r="P1100" s="21"/>
      <c r="Q1100" s="21"/>
      <c r="R1100" s="21"/>
      <c r="S1100" s="21"/>
      <c r="T1100" s="21"/>
      <c r="U1100" s="22">
        <f>IFERROR(__xludf.DUMMYFUNCTION("IFERROR(GOOGLEFINANCE(A1100,""closeyest""),"""")"),9.45)</f>
        <v>9.45</v>
      </c>
      <c r="V1100" s="23">
        <f>IFERROR(__xludf.DUMMYFUNCTION("IFERROR(GOOGLEFINANCE(A1100,""changepct""),"""")"),4.82)</f>
        <v>4.82</v>
      </c>
      <c r="W1100" s="22">
        <f>IFERROR(__xludf.DUMMYFUNCTION("IFERROR(GOOGLEFINANCE(A1100,""priceopen""),"""")"),9.25)</f>
        <v>9.25</v>
      </c>
      <c r="X1100" s="22">
        <f>IFERROR(__xludf.DUMMYFUNCTION("IFERROR(GOOGLEFINANCE(A1100,""high""),"""")"),9.9)</f>
        <v>9.9</v>
      </c>
      <c r="Y1100" s="22">
        <f>IFERROR(__xludf.DUMMYFUNCTION("IFERROR(GOOGLEFINANCE(A1100,""low""),"""")"),9.18)</f>
        <v>9.18</v>
      </c>
      <c r="Z1100" s="22">
        <f>IFERROR(__xludf.DUMMYFUNCTION("IFERROR(GOOGLEFINANCE(A1100,""volume""),"""")"),7282.0)</f>
        <v>7282</v>
      </c>
      <c r="AA1100" s="24" t="str">
        <f>VLOOKUP(A1100,Metrik!$C$2:$Y$959,5,0)</f>
        <v>Household Goods</v>
      </c>
      <c r="AB1100" s="24" t="str">
        <f>VLOOKUP(A1100,Metrik!$C$2:$Y$959,3,0)</f>
        <v>Consumer Cyclicals</v>
      </c>
    </row>
    <row r="1101">
      <c r="A1101" s="14" t="s">
        <v>583</v>
      </c>
      <c r="B1101" s="14" t="str">
        <f t="array" ref="B1101">VLOOKUP(A1101,{Metrik!$C$2:$C$998,Metrik!$B$2:$B$998},2,0)</f>
        <v>Limas Indonesia Makmur Tbk</v>
      </c>
      <c r="C1101" s="15">
        <f>IFERROR(__xludf.DUMMYFUNCTION("GOOGLEFINANCE(""IDX:""&amp;A1101,""price"")"),50.0)</f>
        <v>50</v>
      </c>
      <c r="D1101" s="16" t="str">
        <f>IFERROR(__xludf.DUMMYFUNCTION("IF(A1101="""","""",
SPARKLINE(
INDEX(
GOOGLEFINANCE(""IDX:""&amp;A1101,""close"",TODAY()-365,TODAY()),
,2
),
{""linewidth"",1}
))
"),"#N/A")</f>
        <v>#N/A</v>
      </c>
      <c r="E1101" s="26"/>
      <c r="F1101" s="26"/>
      <c r="G1101" s="24">
        <f t="shared" si="7"/>
        <v>0</v>
      </c>
      <c r="H1101" s="19">
        <f>VLOOKUP(A1101,Metrik!$C$2:$Y$959,8,0)</f>
        <v>0</v>
      </c>
      <c r="I1101" s="20">
        <f>VLOOKUP(A1101,Metrik!$C$2:$Y$959,9,0)</f>
        <v>0.32</v>
      </c>
      <c r="J1101" s="20">
        <f>VLOOKUP(A1101,Metrik!$C$2:$Y$959,10,0)</f>
        <v>1.6</v>
      </c>
      <c r="K1101" s="20">
        <f>VLOOKUP(A1101,Metrik!$C$2:$Y$959,11,0)</f>
        <v>0.59</v>
      </c>
      <c r="L1101" s="20">
        <f>VLOOKUP(A1101,Metrik!$C$2:$Y$959,12,0)</f>
        <v>1.8</v>
      </c>
      <c r="M1101" s="20">
        <f>VLOOKUP(A1101,Metrik!$C$2:$Y$959,19,0)</f>
        <v>6.4</v>
      </c>
      <c r="N1101" s="21"/>
      <c r="O1101" s="21"/>
      <c r="P1101" s="21"/>
      <c r="Q1101" s="21"/>
      <c r="R1101" s="21"/>
      <c r="S1101" s="21"/>
      <c r="T1101" s="21"/>
      <c r="U1101" s="22">
        <f>IFERROR(__xludf.DUMMYFUNCTION("IFERROR(GOOGLEFINANCE(A1101,""closeyest""),"""")"),50.0)</f>
        <v>50</v>
      </c>
      <c r="V1101" s="23">
        <f>IFERROR(__xludf.DUMMYFUNCTION("IFERROR(GOOGLEFINANCE(A1101,""changepct""),"""")"),0.0)</f>
        <v>0</v>
      </c>
      <c r="W1101" s="22" t="str">
        <f>IFERROR(__xludf.DUMMYFUNCTION("IFERROR(GOOGLEFINANCE(A1101,""priceopen""),"""")"),"")</f>
        <v/>
      </c>
      <c r="X1101" s="22" t="str">
        <f>IFERROR(__xludf.DUMMYFUNCTION("IFERROR(GOOGLEFINANCE(A1101,""high""),"""")"),"")</f>
        <v/>
      </c>
      <c r="Y1101" s="22" t="str">
        <f>IFERROR(__xludf.DUMMYFUNCTION("IFERROR(GOOGLEFINANCE(A1101,""low""),"""")"),"")</f>
        <v/>
      </c>
      <c r="Z1101" s="22">
        <f>IFERROR(__xludf.DUMMYFUNCTION("IFERROR(GOOGLEFINANCE(A1101,""volume""),"""")"),0.0)</f>
        <v>0</v>
      </c>
      <c r="AA1101" s="24" t="str">
        <f>VLOOKUP(A1101,Metrik!$C$2:$Y$959,5,0)</f>
        <v>IT Services &amp; Consulting</v>
      </c>
      <c r="AB1101" s="24" t="str">
        <f>VLOOKUP(A1101,Metrik!$C$2:$Y$959,3,0)</f>
        <v>Technology</v>
      </c>
    </row>
    <row r="1102">
      <c r="A1102" s="14" t="s">
        <v>584</v>
      </c>
      <c r="B1102" s="14" t="str">
        <f t="array" ref="B1102">VLOOKUP(A1102,{Metrik!$C$2:$C$998,Metrik!$B$2:$B$998},2,0)</f>
        <v>PT Lupromax Pelumas Indonesia Tbk.</v>
      </c>
      <c r="C1102" s="15">
        <f>IFERROR(__xludf.DUMMYFUNCTION("GOOGLEFINANCE(""IDX:""&amp;A1102,""price"")"),81.0)</f>
        <v>81</v>
      </c>
      <c r="D1102" s="16" t="str">
        <f>IFERROR(__xludf.DUMMYFUNCTION("IF(A1102="""","""",
SPARKLINE(
INDEX(
GOOGLEFINANCE(""IDX:""&amp;A1102,""close"",TODAY()-365,TODAY()),
,2
),
{""linewidth"",1}
))
"),"#N/A")</f>
        <v>#N/A</v>
      </c>
      <c r="E1102" s="26"/>
      <c r="F1102" s="26"/>
      <c r="G1102" s="24">
        <f t="shared" si="7"/>
        <v>0</v>
      </c>
      <c r="H1102" s="19">
        <f>VLOOKUP(A1102,Metrik!$C$2:$Y$959,8,0)</f>
        <v>100</v>
      </c>
      <c r="I1102" s="20">
        <f>VLOOKUP(A1102,Metrik!$C$2:$Y$959,9,0)</f>
        <v>1.5</v>
      </c>
      <c r="J1102" s="20">
        <f>VLOOKUP(A1102,Metrik!$C$2:$Y$959,10,0)</f>
        <v>1.4</v>
      </c>
      <c r="K1102" s="20">
        <f>VLOOKUP(A1102,Metrik!$C$2:$Y$959,11,0)</f>
        <v>1</v>
      </c>
      <c r="L1102" s="20">
        <f>VLOOKUP(A1102,Metrik!$C$2:$Y$959,12,0)</f>
        <v>0.38</v>
      </c>
      <c r="M1102" s="20">
        <f>VLOOKUP(A1102,Metrik!$C$2:$Y$959,19,0)</f>
        <v>1.1</v>
      </c>
      <c r="N1102" s="21"/>
      <c r="O1102" s="21"/>
      <c r="P1102" s="21"/>
      <c r="Q1102" s="21"/>
      <c r="R1102" s="21"/>
      <c r="S1102" s="21"/>
      <c r="T1102" s="21"/>
      <c r="U1102" s="22">
        <f>IFERROR(__xludf.DUMMYFUNCTION("IFERROR(GOOGLEFINANCE(A1102,""closeyest""),"""")"),13.36)</f>
        <v>13.36</v>
      </c>
      <c r="V1102" s="23">
        <f>IFERROR(__xludf.DUMMYFUNCTION("IFERROR(GOOGLEFINANCE(A1102,""changepct""),"""")"),0.22)</f>
        <v>0.22</v>
      </c>
      <c r="W1102" s="22">
        <f>IFERROR(__xludf.DUMMYFUNCTION("IFERROR(GOOGLEFINANCE(A1102,""priceopen""),"""")"),13.45)</f>
        <v>13.45</v>
      </c>
      <c r="X1102" s="22">
        <f>IFERROR(__xludf.DUMMYFUNCTION("IFERROR(GOOGLEFINANCE(A1102,""high""),"""")"),13.45)</f>
        <v>13.45</v>
      </c>
      <c r="Y1102" s="22">
        <f>IFERROR(__xludf.DUMMYFUNCTION("IFERROR(GOOGLEFINANCE(A1102,""low""),"""")"),13.35)</f>
        <v>13.35</v>
      </c>
      <c r="Z1102" s="22">
        <f>IFERROR(__xludf.DUMMYFUNCTION("IFERROR(GOOGLEFINANCE(A1102,""volume""),"""")"),40825.0)</f>
        <v>40825</v>
      </c>
      <c r="AA1102" s="24" t="str">
        <f>VLOOKUP(A1102,Metrik!$C$2:$Y$959,5,0)</f>
        <v>Auto Components</v>
      </c>
      <c r="AB1102" s="24" t="str">
        <f>VLOOKUP(A1102,Metrik!$C$2:$Y$959,3,0)</f>
        <v>Consumer Cyclicals</v>
      </c>
    </row>
    <row r="1103">
      <c r="A1103" s="14" t="s">
        <v>585</v>
      </c>
      <c r="B1103" s="14" t="str">
        <f t="array" ref="B1103">VLOOKUP(A1103,{Metrik!$C$2:$C$998,Metrik!$B$2:$B$998},2,0)</f>
        <v>Langgeng Makmur Industri Tbk</v>
      </c>
      <c r="C1103" s="15">
        <f>IFERROR(__xludf.DUMMYFUNCTION("GOOGLEFINANCE(""IDX:""&amp;A1103,""price"")"),137.0)</f>
        <v>137</v>
      </c>
      <c r="D1103" s="16" t="str">
        <f>IFERROR(__xludf.DUMMYFUNCTION("IF(A1103="""","""",
SPARKLINE(
INDEX(
GOOGLEFINANCE(""IDX:""&amp;A1103,""close"",TODAY()-365,TODAY()),
,2
),
{""linewidth"",1}
))
"),"#N/A")</f>
        <v>#N/A</v>
      </c>
      <c r="E1103" s="26"/>
      <c r="F1103" s="26"/>
      <c r="G1103" s="24">
        <f t="shared" si="7"/>
        <v>0</v>
      </c>
      <c r="H1103" s="19">
        <f>VLOOKUP(A1103,Metrik!$C$2:$Y$959,8,0)</f>
        <v>-1.7</v>
      </c>
      <c r="I1103" s="20">
        <f>VLOOKUP(A1103,Metrik!$C$2:$Y$959,9,0)</f>
        <v>4.1</v>
      </c>
      <c r="J1103" s="20">
        <f>VLOOKUP(A1103,Metrik!$C$2:$Y$959,10,0)</f>
        <v>-250</v>
      </c>
      <c r="K1103" s="20">
        <f>VLOOKUP(A1103,Metrik!$C$2:$Y$959,11,0)</f>
        <v>-15.1</v>
      </c>
      <c r="L1103" s="20">
        <f>VLOOKUP(A1103,Metrik!$C$2:$Y$959,12,0)</f>
        <v>15.4</v>
      </c>
      <c r="M1103" s="20">
        <f>VLOOKUP(A1103,Metrik!$C$2:$Y$959,19,0)</f>
        <v>-130</v>
      </c>
      <c r="N1103" s="21"/>
      <c r="O1103" s="21"/>
      <c r="P1103" s="21"/>
      <c r="Q1103" s="21"/>
      <c r="R1103" s="21"/>
      <c r="S1103" s="21"/>
      <c r="T1103" s="21"/>
      <c r="U1103" s="22">
        <f>IFERROR(__xludf.DUMMYFUNCTION("IFERROR(GOOGLEFINANCE(A1103,""closeyest""),"""")"),130.0)</f>
        <v>130</v>
      </c>
      <c r="V1103" s="23">
        <f>IFERROR(__xludf.DUMMYFUNCTION("IFERROR(GOOGLEFINANCE(A1103,""changepct""),"""")"),5.38)</f>
        <v>5.38</v>
      </c>
      <c r="W1103" s="22">
        <f>IFERROR(__xludf.DUMMYFUNCTION("IFERROR(GOOGLEFINANCE(A1103,""priceopen""),"""")"),129.0)</f>
        <v>129</v>
      </c>
      <c r="X1103" s="22">
        <f>IFERROR(__xludf.DUMMYFUNCTION("IFERROR(GOOGLEFINANCE(A1103,""high""),"""")"),137.0)</f>
        <v>137</v>
      </c>
      <c r="Y1103" s="22">
        <f>IFERROR(__xludf.DUMMYFUNCTION("IFERROR(GOOGLEFINANCE(A1103,""low""),"""")"),129.0)</f>
        <v>129</v>
      </c>
      <c r="Z1103" s="22">
        <f>IFERROR(__xludf.DUMMYFUNCTION("IFERROR(GOOGLEFINANCE(A1103,""volume""),"""")"),175100.0)</f>
        <v>175100</v>
      </c>
      <c r="AA1103" s="24" t="str">
        <f>VLOOKUP(A1103,Metrik!$C$2:$Y$959,5,0)</f>
        <v>Household Goods</v>
      </c>
      <c r="AB1103" s="24" t="str">
        <f>VLOOKUP(A1103,Metrik!$C$2:$Y$959,3,0)</f>
        <v>Consumer Cyclicals</v>
      </c>
    </row>
    <row r="1104">
      <c r="A1104" s="14" t="s">
        <v>586</v>
      </c>
      <c r="B1104" s="14" t="str">
        <f t="array" ref="B1104">VLOOKUP(A1104,{Metrik!$C$2:$C$998,Metrik!$B$2:$B$998},2,0)</f>
        <v>Lionmesh Prima Tbk.</v>
      </c>
      <c r="C1104" s="15">
        <f>IFERROR(__xludf.DUMMYFUNCTION("GOOGLEFINANCE(""IDX:""&amp;A1104,""price"")"),256.0)</f>
        <v>256</v>
      </c>
      <c r="D1104" s="16" t="str">
        <f>IFERROR(__xludf.DUMMYFUNCTION("IF(A1104="""","""",
SPARKLINE(
INDEX(
GOOGLEFINANCE(""IDX:""&amp;A1104,""close"",TODAY()-365,TODAY()),
,2
),
{""linewidth"",1}
))
"),"#N/A")</f>
        <v>#N/A</v>
      </c>
      <c r="E1104" s="26"/>
      <c r="F1104" s="26"/>
      <c r="G1104" s="24">
        <f t="shared" si="7"/>
        <v>0</v>
      </c>
      <c r="H1104" s="19">
        <f>VLOOKUP(A1104,Metrik!$C$2:$Y$959,8,0)</f>
        <v>-5.1</v>
      </c>
      <c r="I1104" s="20">
        <f>VLOOKUP(A1104,Metrik!$C$2:$Y$959,9,0)</f>
        <v>0.27</v>
      </c>
      <c r="J1104" s="20">
        <f>VLOOKUP(A1104,Metrik!$C$2:$Y$959,10,0)</f>
        <v>-5.3</v>
      </c>
      <c r="K1104" s="20">
        <f>VLOOKUP(A1104,Metrik!$C$2:$Y$959,11,0)</f>
        <v>-4.4</v>
      </c>
      <c r="L1104" s="20">
        <f>VLOOKUP(A1104,Metrik!$C$2:$Y$959,12,0)</f>
        <v>0.18</v>
      </c>
      <c r="M1104" s="20">
        <f>VLOOKUP(A1104,Metrik!$C$2:$Y$959,19,0)</f>
        <v>-27.9</v>
      </c>
      <c r="N1104" s="21"/>
      <c r="O1104" s="21"/>
      <c r="P1104" s="21"/>
      <c r="Q1104" s="21"/>
      <c r="R1104" s="21"/>
      <c r="S1104" s="21"/>
      <c r="T1104" s="21"/>
      <c r="U1104" s="22">
        <f>IFERROR(__xludf.DUMMYFUNCTION("IFERROR(GOOGLEFINANCE(A1104,""closeyest""),"""")"),256.0)</f>
        <v>256</v>
      </c>
      <c r="V1104" s="23">
        <f>IFERROR(__xludf.DUMMYFUNCTION("IFERROR(GOOGLEFINANCE(A1104,""changepct""),"""")"),0.0)</f>
        <v>0</v>
      </c>
      <c r="W1104" s="22" t="str">
        <f>IFERROR(__xludf.DUMMYFUNCTION("IFERROR(GOOGLEFINANCE(A1104,""priceopen""),"""")"),"")</f>
        <v/>
      </c>
      <c r="X1104" s="22" t="str">
        <f>IFERROR(__xludf.DUMMYFUNCTION("IFERROR(GOOGLEFINANCE(A1104,""high""),"""")"),"")</f>
        <v/>
      </c>
      <c r="Y1104" s="22" t="str">
        <f>IFERROR(__xludf.DUMMYFUNCTION("IFERROR(GOOGLEFINANCE(A1104,""low""),"""")"),"")</f>
        <v/>
      </c>
      <c r="Z1104" s="22">
        <f>IFERROR(__xludf.DUMMYFUNCTION("IFERROR(GOOGLEFINANCE(A1104,""volume""),"""")"),0.0)</f>
        <v>0</v>
      </c>
      <c r="AA1104" s="24" t="str">
        <f>VLOOKUP(A1104,Metrik!$C$2:$Y$959,5,0)</f>
        <v>Metals &amp; Minerals</v>
      </c>
      <c r="AB1104" s="24" t="str">
        <f>VLOOKUP(A1104,Metrik!$C$2:$Y$959,3,0)</f>
        <v>Basic Materials</v>
      </c>
    </row>
    <row r="1105">
      <c r="A1105" s="14" t="s">
        <v>587</v>
      </c>
      <c r="B1105" s="14" t="str">
        <f t="array" ref="B1105">VLOOKUP(A1105,{Metrik!$C$2:$C$998,Metrik!$B$2:$B$998},2,0)</f>
        <v>PT Logisticsplus International Tbk</v>
      </c>
      <c r="C1105" s="15">
        <f>IFERROR(__xludf.DUMMYFUNCTION("GOOGLEFINANCE(""IDX:""&amp;A1105,""price"")"),62.0)</f>
        <v>62</v>
      </c>
      <c r="D1105" s="16" t="str">
        <f>IFERROR(__xludf.DUMMYFUNCTION("IF(A1105="""","""",
SPARKLINE(
INDEX(
GOOGLEFINANCE(""IDX:""&amp;A1105,""close"",TODAY()-365,TODAY()),
,2
),
{""linewidth"",1}
))
"),"#N/A")</f>
        <v>#N/A</v>
      </c>
      <c r="E1105" s="26"/>
      <c r="F1105" s="26"/>
      <c r="G1105" s="24">
        <f t="shared" si="7"/>
        <v>0</v>
      </c>
      <c r="H1105" s="19">
        <f>VLOOKUP(A1105,Metrik!$C$2:$Y$959,8,0)</f>
        <v>31.3</v>
      </c>
      <c r="I1105" s="20">
        <f>VLOOKUP(A1105,Metrik!$C$2:$Y$959,9,0)</f>
        <v>1.8</v>
      </c>
      <c r="J1105" s="20">
        <f>VLOOKUP(A1105,Metrik!$C$2:$Y$959,10,0)</f>
        <v>5.6</v>
      </c>
      <c r="K1105" s="20">
        <f>VLOOKUP(A1105,Metrik!$C$2:$Y$959,11,0)</f>
        <v>3.3</v>
      </c>
      <c r="L1105" s="20">
        <f>VLOOKUP(A1105,Metrik!$C$2:$Y$959,12,0)</f>
        <v>0.73</v>
      </c>
      <c r="M1105" s="20">
        <f>VLOOKUP(A1105,Metrik!$C$2:$Y$959,19,0)</f>
        <v>2.7</v>
      </c>
      <c r="N1105" s="21"/>
      <c r="O1105" s="21"/>
      <c r="P1105" s="21"/>
      <c r="Q1105" s="21"/>
      <c r="R1105" s="21"/>
      <c r="S1105" s="21"/>
      <c r="T1105" s="21"/>
      <c r="U1105" s="22">
        <f>IFERROR(__xludf.DUMMYFUNCTION("IFERROR(GOOGLEFINANCE(A1105,""closeyest""),"""")"),60.0)</f>
        <v>60</v>
      </c>
      <c r="V1105" s="23">
        <f>IFERROR(__xludf.DUMMYFUNCTION("IFERROR(GOOGLEFINANCE(A1105,""changepct""),"""")"),3.33)</f>
        <v>3.33</v>
      </c>
      <c r="W1105" s="22">
        <f>IFERROR(__xludf.DUMMYFUNCTION("IFERROR(GOOGLEFINANCE(A1105,""priceopen""),"""")"),62.0)</f>
        <v>62</v>
      </c>
      <c r="X1105" s="22">
        <f>IFERROR(__xludf.DUMMYFUNCTION("IFERROR(GOOGLEFINANCE(A1105,""high""),"""")"),65.0)</f>
        <v>65</v>
      </c>
      <c r="Y1105" s="22">
        <f>IFERROR(__xludf.DUMMYFUNCTION("IFERROR(GOOGLEFINANCE(A1105,""low""),"""")"),58.0)</f>
        <v>58</v>
      </c>
      <c r="Z1105" s="22">
        <f>IFERROR(__xludf.DUMMYFUNCTION("IFERROR(GOOGLEFINANCE(A1105,""volume""),"""")"),2177100.0)</f>
        <v>2177100</v>
      </c>
      <c r="AA1105" s="24" t="str">
        <f>VLOOKUP(A1105,Metrik!$C$2:$Y$959,5,0)</f>
        <v>Logistics &amp; Deliveries</v>
      </c>
      <c r="AB1105" s="24" t="str">
        <f>VLOOKUP(A1105,Metrik!$C$2:$Y$959,3,0)</f>
        <v>Transportation &amp; Logistic</v>
      </c>
    </row>
    <row r="1106">
      <c r="A1106" s="14" t="s">
        <v>588</v>
      </c>
      <c r="B1106" s="14" t="str">
        <f t="array" ref="B1106">VLOOKUP(A1106,{Metrik!$C$2:$C$998,Metrik!$B$2:$B$998},2,0)</f>
        <v>Lippo Cikarang Tbk</v>
      </c>
      <c r="C1106" s="15">
        <f>IFERROR(__xludf.DUMMYFUNCTION("GOOGLEFINANCE(""IDX:""&amp;A1106,""price"")"),520.0)</f>
        <v>520</v>
      </c>
      <c r="D1106" s="16" t="str">
        <f>IFERROR(__xludf.DUMMYFUNCTION("IF(A1106="""","""",
SPARKLINE(
INDEX(
GOOGLEFINANCE(""IDX:""&amp;A1106,""close"",TODAY()-365,TODAY()),
,2
),
{""linewidth"",1}
))
"),"#N/A")</f>
        <v>#N/A</v>
      </c>
      <c r="E1106" s="26"/>
      <c r="F1106" s="26"/>
      <c r="G1106" s="24">
        <f t="shared" si="7"/>
        <v>0</v>
      </c>
      <c r="H1106" s="19">
        <f>VLOOKUP(A1106,Metrik!$C$2:$Y$959,8,0)</f>
        <v>16.9</v>
      </c>
      <c r="I1106" s="20">
        <f>VLOOKUP(A1106,Metrik!$C$2:$Y$959,9,0)</f>
        <v>0.38</v>
      </c>
      <c r="J1106" s="20">
        <f>VLOOKUP(A1106,Metrik!$C$2:$Y$959,10,0)</f>
        <v>2.3</v>
      </c>
      <c r="K1106" s="20">
        <f>VLOOKUP(A1106,Metrik!$C$2:$Y$959,11,0)</f>
        <v>1.4</v>
      </c>
      <c r="L1106" s="20">
        <f>VLOOKUP(A1106,Metrik!$C$2:$Y$959,12,0)</f>
        <v>0.65</v>
      </c>
      <c r="M1106" s="20">
        <f>VLOOKUP(A1106,Metrik!$C$2:$Y$959,19,0)</f>
        <v>20</v>
      </c>
      <c r="N1106" s="21"/>
      <c r="O1106" s="21"/>
      <c r="P1106" s="21"/>
      <c r="Q1106" s="21"/>
      <c r="R1106" s="21"/>
      <c r="S1106" s="21"/>
      <c r="T1106" s="21"/>
      <c r="U1106" s="22">
        <f>IFERROR(__xludf.DUMMYFUNCTION("IFERROR(GOOGLEFINANCE(A1106,""closeyest""),"""")"),520.0)</f>
        <v>520</v>
      </c>
      <c r="V1106" s="23">
        <f>IFERROR(__xludf.DUMMYFUNCTION("IFERROR(GOOGLEFINANCE(A1106,""changepct""),"""")"),0.0)</f>
        <v>0</v>
      </c>
      <c r="W1106" s="22">
        <f>IFERROR(__xludf.DUMMYFUNCTION("IFERROR(GOOGLEFINANCE(A1106,""priceopen""),"""")"),550.0)</f>
        <v>550</v>
      </c>
      <c r="X1106" s="22">
        <f>IFERROR(__xludf.DUMMYFUNCTION("IFERROR(GOOGLEFINANCE(A1106,""high""),"""")"),550.0)</f>
        <v>550</v>
      </c>
      <c r="Y1106" s="22" t="str">
        <f>IFERROR(__xludf.DUMMYFUNCTION("IFERROR(GOOGLEFINANCE(A1106,""low""),"""")"),"")</f>
        <v/>
      </c>
      <c r="Z1106" s="22">
        <f>IFERROR(__xludf.DUMMYFUNCTION("IFERROR(GOOGLEFINANCE(A1106,""volume""),"""")"),332300.0)</f>
        <v>332300</v>
      </c>
      <c r="AA1106" s="24" t="str">
        <f>VLOOKUP(A1106,Metrik!$C$2:$Y$959,5,0)</f>
        <v>Real Estate Management &amp; Development</v>
      </c>
      <c r="AB1106" s="24" t="str">
        <f>VLOOKUP(A1106,Metrik!$C$2:$Y$959,3,0)</f>
        <v>Properties &amp; Real Estate</v>
      </c>
    </row>
    <row r="1107">
      <c r="A1107" s="14" t="s">
        <v>589</v>
      </c>
      <c r="B1107" s="14" t="str">
        <f t="array" ref="B1107">VLOOKUP(A1107,{Metrik!$C$2:$C$998,Metrik!$B$2:$B$998},2,0)</f>
        <v>Lippo General Insurance Tbk.</v>
      </c>
      <c r="C1107" s="15">
        <f>IFERROR(__xludf.DUMMYFUNCTION("GOOGLEFINANCE(""IDX:""&amp;A1107,""price"")"),660.0)</f>
        <v>660</v>
      </c>
      <c r="D1107" s="16" t="str">
        <f>IFERROR(__xludf.DUMMYFUNCTION("IF(A1107="""","""",
SPARKLINE(
INDEX(
GOOGLEFINANCE(""IDX:""&amp;A1107,""close"",TODAY()-365,TODAY()),
,2
),
{""linewidth"",1}
))
"),"#N/A")</f>
        <v>#N/A</v>
      </c>
      <c r="E1107" s="26"/>
      <c r="F1107" s="26"/>
      <c r="G1107" s="24">
        <f t="shared" si="7"/>
        <v>0</v>
      </c>
      <c r="H1107" s="19">
        <f>VLOOKUP(A1107,Metrik!$C$2:$Y$959,8,0)</f>
        <v>14</v>
      </c>
      <c r="I1107" s="20">
        <f>VLOOKUP(A1107,Metrik!$C$2:$Y$959,9,0)</f>
        <v>2</v>
      </c>
      <c r="J1107" s="20">
        <f>VLOOKUP(A1107,Metrik!$C$2:$Y$959,10,0)</f>
        <v>14</v>
      </c>
      <c r="K1107" s="20">
        <f>VLOOKUP(A1107,Metrik!$C$2:$Y$959,11,0)</f>
        <v>4.2</v>
      </c>
      <c r="L1107" s="20">
        <f>VLOOKUP(A1107,Metrik!$C$2:$Y$959,12,0)</f>
        <v>2.3</v>
      </c>
      <c r="M1107" s="20">
        <f>VLOOKUP(A1107,Metrik!$C$2:$Y$959,19,0)</f>
        <v>13</v>
      </c>
      <c r="N1107" s="21"/>
      <c r="O1107" s="21"/>
      <c r="P1107" s="21"/>
      <c r="Q1107" s="21"/>
      <c r="R1107" s="21"/>
      <c r="S1107" s="21"/>
      <c r="T1107" s="21"/>
      <c r="U1107" s="22">
        <f>IFERROR(__xludf.DUMMYFUNCTION("IFERROR(GOOGLEFINANCE(A1107,""closeyest""),"""")"),660.0)</f>
        <v>660</v>
      </c>
      <c r="V1107" s="23">
        <f>IFERROR(__xludf.DUMMYFUNCTION("IFERROR(GOOGLEFINANCE(A1107,""changepct""),"""")"),0.0)</f>
        <v>0</v>
      </c>
      <c r="W1107" s="22">
        <f>IFERROR(__xludf.DUMMYFUNCTION("IFERROR(GOOGLEFINANCE(A1107,""priceopen""),"""")"),675.0)</f>
        <v>675</v>
      </c>
      <c r="X1107" s="22">
        <f>IFERROR(__xludf.DUMMYFUNCTION("IFERROR(GOOGLEFINANCE(A1107,""high""),"""")"),675.0)</f>
        <v>675</v>
      </c>
      <c r="Y1107" s="22">
        <f>IFERROR(__xludf.DUMMYFUNCTION("IFERROR(GOOGLEFINANCE(A1107,""low""),"""")"),605.0)</f>
        <v>605</v>
      </c>
      <c r="Z1107" s="22">
        <f>IFERROR(__xludf.DUMMYFUNCTION("IFERROR(GOOGLEFINANCE(A1107,""volume""),"""")"),8300.0)</f>
        <v>8300</v>
      </c>
      <c r="AA1107" s="24" t="str">
        <f>VLOOKUP(A1107,Metrik!$C$2:$Y$959,5,0)</f>
        <v>Insurance</v>
      </c>
      <c r="AB1107" s="24" t="str">
        <f>VLOOKUP(A1107,Metrik!$C$2:$Y$959,3,0)</f>
        <v>Financials</v>
      </c>
    </row>
    <row r="1108">
      <c r="A1108" s="14" t="s">
        <v>590</v>
      </c>
      <c r="B1108" s="14" t="str">
        <f t="array" ref="B1108">VLOOKUP(A1108,{Metrik!$C$2:$C$998,Metrik!$B$2:$B$998},2,0)</f>
        <v>Multi Prima Sejahtera Tbk</v>
      </c>
      <c r="C1108" s="15">
        <f>IFERROR(__xludf.DUMMYFUNCTION("GOOGLEFINANCE(""IDX:""&amp;A1108,""price"")"),396.0)</f>
        <v>396</v>
      </c>
      <c r="D1108" s="16" t="str">
        <f>IFERROR(__xludf.DUMMYFUNCTION("IF(A1108="""","""",
SPARKLINE(
INDEX(
GOOGLEFINANCE(""IDX:""&amp;A1108,""close"",TODAY()-365,TODAY()),
,2
),
{""linewidth"",1}
))
"),"#N/A")</f>
        <v>#N/A</v>
      </c>
      <c r="E1108" s="26"/>
      <c r="F1108" s="26"/>
      <c r="G1108" s="24">
        <f t="shared" si="7"/>
        <v>0</v>
      </c>
      <c r="H1108" s="19">
        <f>VLOOKUP(A1108,Metrik!$C$2:$Y$959,8,0)</f>
        <v>5.3</v>
      </c>
      <c r="I1108" s="20">
        <f>VLOOKUP(A1108,Metrik!$C$2:$Y$959,9,0)</f>
        <v>0.47</v>
      </c>
      <c r="J1108" s="20">
        <f>VLOOKUP(A1108,Metrik!$C$2:$Y$959,10,0)</f>
        <v>9</v>
      </c>
      <c r="K1108" s="20">
        <f>VLOOKUP(A1108,Metrik!$C$2:$Y$959,11,0)</f>
        <v>8.3</v>
      </c>
      <c r="L1108" s="20">
        <f>VLOOKUP(A1108,Metrik!$C$2:$Y$959,12,0)</f>
        <v>0.09</v>
      </c>
      <c r="M1108" s="20">
        <f>VLOOKUP(A1108,Metrik!$C$2:$Y$959,19,0)</f>
        <v>77</v>
      </c>
      <c r="N1108" s="21"/>
      <c r="O1108" s="21"/>
      <c r="P1108" s="21"/>
      <c r="Q1108" s="21"/>
      <c r="R1108" s="21"/>
      <c r="S1108" s="21"/>
      <c r="T1108" s="21"/>
      <c r="U1108" s="22">
        <f>IFERROR(__xludf.DUMMYFUNCTION("IFERROR(GOOGLEFINANCE(A1108,""closeyest""),"""")"),390.0)</f>
        <v>390</v>
      </c>
      <c r="V1108" s="23">
        <f>IFERROR(__xludf.DUMMYFUNCTION("IFERROR(GOOGLEFINANCE(A1108,""changepct""),"""")"),1.54)</f>
        <v>1.54</v>
      </c>
      <c r="W1108" s="22">
        <f>IFERROR(__xludf.DUMMYFUNCTION("IFERROR(GOOGLEFINANCE(A1108,""priceopen""),"""")"),390.0)</f>
        <v>390</v>
      </c>
      <c r="X1108" s="22">
        <f>IFERROR(__xludf.DUMMYFUNCTION("IFERROR(GOOGLEFINANCE(A1108,""high""),"""")"),396.0)</f>
        <v>396</v>
      </c>
      <c r="Y1108" s="22">
        <f>IFERROR(__xludf.DUMMYFUNCTION("IFERROR(GOOGLEFINANCE(A1108,""low""),"""")"),390.0)</f>
        <v>390</v>
      </c>
      <c r="Z1108" s="22">
        <f>IFERROR(__xludf.DUMMYFUNCTION("IFERROR(GOOGLEFINANCE(A1108,""volume""),"""")"),31700.0)</f>
        <v>31700</v>
      </c>
      <c r="AA1108" s="24" t="str">
        <f>VLOOKUP(A1108,Metrik!$C$2:$Y$959,5,0)</f>
        <v>Auto Components</v>
      </c>
      <c r="AB1108" s="24" t="str">
        <f>VLOOKUP(A1108,Metrik!$C$2:$Y$959,3,0)</f>
        <v>Consumer Cyclicals</v>
      </c>
    </row>
    <row r="1109">
      <c r="A1109" s="14" t="s">
        <v>591</v>
      </c>
      <c r="B1109" s="14" t="str">
        <f t="array" ref="B1109">VLOOKUP(A1109,{Metrik!$C$2:$C$998,Metrik!$B$2:$B$998},2,0)</f>
        <v>Lippo Karawaci Tbk.</v>
      </c>
      <c r="C1109" s="15">
        <f>IFERROR(__xludf.DUMMYFUNCTION("GOOGLEFINANCE(""IDX:""&amp;A1109,""price"")"),64.0)</f>
        <v>64</v>
      </c>
      <c r="D1109" s="16" t="str">
        <f>IFERROR(__xludf.DUMMYFUNCTION("IF(A1109="""","""",
SPARKLINE(
INDEX(
GOOGLEFINANCE(""IDX:""&amp;A1109,""close"",TODAY()-365,TODAY()),
,2
),
{""linewidth"",1}
))
"),"#N/A")</f>
        <v>#N/A</v>
      </c>
      <c r="E1109" s="26"/>
      <c r="F1109" s="26"/>
      <c r="G1109" s="24">
        <f t="shared" si="7"/>
        <v>0</v>
      </c>
      <c r="H1109" s="19">
        <f>VLOOKUP(A1109,Metrik!$C$2:$Y$959,8,0)</f>
        <v>12</v>
      </c>
      <c r="I1109" s="20">
        <f>VLOOKUP(A1109,Metrik!$C$2:$Y$959,9,0)</f>
        <v>0.16</v>
      </c>
      <c r="J1109" s="20">
        <f>VLOOKUP(A1109,Metrik!$C$2:$Y$959,10,0)</f>
        <v>1.3</v>
      </c>
      <c r="K1109" s="20">
        <f>VLOOKUP(A1109,Metrik!$C$2:$Y$959,11,0)</f>
        <v>0.84</v>
      </c>
      <c r="L1109" s="20">
        <f>VLOOKUP(A1109,Metrik!$C$2:$Y$959,12,0)</f>
        <v>0.59</v>
      </c>
      <c r="M1109" s="20">
        <f>VLOOKUP(A1109,Metrik!$C$2:$Y$959,19,0)</f>
        <v>22.6</v>
      </c>
      <c r="N1109" s="21"/>
      <c r="O1109" s="21"/>
      <c r="P1109" s="21"/>
      <c r="Q1109" s="21"/>
      <c r="R1109" s="21"/>
      <c r="S1109" s="21"/>
      <c r="T1109" s="21"/>
      <c r="U1109" s="22">
        <f>IFERROR(__xludf.DUMMYFUNCTION("IFERROR(GOOGLEFINANCE(A1109,""closeyest""),"""")"),61.0)</f>
        <v>61</v>
      </c>
      <c r="V1109" s="23">
        <f>IFERROR(__xludf.DUMMYFUNCTION("IFERROR(GOOGLEFINANCE(A1109,""changepct""),"""")"),4.92)</f>
        <v>4.92</v>
      </c>
      <c r="W1109" s="22" t="str">
        <f>IFERROR(__xludf.DUMMYFUNCTION("IFERROR(GOOGLEFINANCE(A1109,""priceopen""),"""")"),"")</f>
        <v/>
      </c>
      <c r="X1109" s="22">
        <f>IFERROR(__xludf.DUMMYFUNCTION("IFERROR(GOOGLEFINANCE(A1109,""high""),"""")"),65.0)</f>
        <v>65</v>
      </c>
      <c r="Y1109" s="22">
        <f>IFERROR(__xludf.DUMMYFUNCTION("IFERROR(GOOGLEFINANCE(A1109,""low""),"""")"),62.0)</f>
        <v>62</v>
      </c>
      <c r="Z1109" s="22">
        <f>IFERROR(__xludf.DUMMYFUNCTION("IFERROR(GOOGLEFINANCE(A1109,""volume""),"""")"),7.68738E7)</f>
        <v>76873800</v>
      </c>
      <c r="AA1109" s="24" t="str">
        <f>VLOOKUP(A1109,Metrik!$C$2:$Y$959,5,0)</f>
        <v>Real Estate Management &amp; Development</v>
      </c>
      <c r="AB1109" s="24" t="str">
        <f>VLOOKUP(A1109,Metrik!$C$2:$Y$959,3,0)</f>
        <v>Properties &amp; Real Estate</v>
      </c>
    </row>
    <row r="1110">
      <c r="A1110" s="14" t="s">
        <v>592</v>
      </c>
      <c r="B1110" s="14" t="str">
        <f t="array" ref="B1110">VLOOKUP(A1110,{Metrik!$C$2:$C$998,Metrik!$B$2:$B$998},2,0)</f>
        <v>Star Pacific Tbk</v>
      </c>
      <c r="C1110" s="15">
        <f>IFERROR(__xludf.DUMMYFUNCTION("GOOGLEFINANCE(""IDX:""&amp;A1110,""price"")"),246.0)</f>
        <v>246</v>
      </c>
      <c r="D1110" s="16" t="str">
        <f>IFERROR(__xludf.DUMMYFUNCTION("IF(A1110="""","""",
SPARKLINE(
INDEX(
GOOGLEFINANCE(""IDX:""&amp;A1110,""close"",TODAY()-365,TODAY()),
,2
),
{""linewidth"",1}
))
"),"#N/A")</f>
        <v>#N/A</v>
      </c>
      <c r="E1110" s="26"/>
      <c r="F1110" s="26"/>
      <c r="G1110" s="24">
        <f t="shared" si="7"/>
        <v>0</v>
      </c>
      <c r="H1110" s="19">
        <f>VLOOKUP(A1110,Metrik!$C$2:$Y$959,8,0)</f>
        <v>0.34</v>
      </c>
      <c r="I1110" s="20">
        <f>VLOOKUP(A1110,Metrik!$C$2:$Y$959,9,0)</f>
        <v>0.15</v>
      </c>
      <c r="J1110" s="20">
        <f>VLOOKUP(A1110,Metrik!$C$2:$Y$959,10,0)</f>
        <v>44.1</v>
      </c>
      <c r="K1110" s="20">
        <f>VLOOKUP(A1110,Metrik!$C$2:$Y$959,11,0)</f>
        <v>43.6</v>
      </c>
      <c r="L1110" s="20">
        <f>VLOOKUP(A1110,Metrik!$C$2:$Y$959,12,0)</f>
        <v>0.01</v>
      </c>
      <c r="M1110" s="20">
        <f>VLOOKUP(A1110,Metrik!$C$2:$Y$959,19,0)</f>
        <v>34000</v>
      </c>
      <c r="N1110" s="21"/>
      <c r="O1110" s="21"/>
      <c r="P1110" s="21"/>
      <c r="Q1110" s="21"/>
      <c r="R1110" s="21"/>
      <c r="S1110" s="21"/>
      <c r="T1110" s="21"/>
      <c r="U1110" s="22">
        <f>IFERROR(__xludf.DUMMYFUNCTION("IFERROR(GOOGLEFINANCE(A1110,""closeyest""),"""")"),240.0)</f>
        <v>240</v>
      </c>
      <c r="V1110" s="23">
        <f>IFERROR(__xludf.DUMMYFUNCTION("IFERROR(GOOGLEFINANCE(A1110,""changepct""),"""")"),2.5)</f>
        <v>2.5</v>
      </c>
      <c r="W1110" s="22" t="str">
        <f>IFERROR(__xludf.DUMMYFUNCTION("IFERROR(GOOGLEFINANCE(A1110,""priceopen""),"""")"),"")</f>
        <v/>
      </c>
      <c r="X1110" s="22">
        <f>IFERROR(__xludf.DUMMYFUNCTION("IFERROR(GOOGLEFINANCE(A1110,""high""),"""")"),246.0)</f>
        <v>246</v>
      </c>
      <c r="Y1110" s="22">
        <f>IFERROR(__xludf.DUMMYFUNCTION("IFERROR(GOOGLEFINANCE(A1110,""low""),"""")"),224.0)</f>
        <v>224</v>
      </c>
      <c r="Z1110" s="22">
        <f>IFERROR(__xludf.DUMMYFUNCTION("IFERROR(GOOGLEFINANCE(A1110,""volume""),"""")"),83400.0)</f>
        <v>83400</v>
      </c>
      <c r="AA1110" s="24" t="str">
        <f>VLOOKUP(A1110,Metrik!$C$2:$Y$959,5,0)</f>
        <v>Real Estate Management &amp; Development</v>
      </c>
      <c r="AB1110" s="24" t="str">
        <f>VLOOKUP(A1110,Metrik!$C$2:$Y$959,3,0)</f>
        <v>Properties &amp; Real Estate</v>
      </c>
    </row>
    <row r="1111">
      <c r="A1111" s="14" t="s">
        <v>593</v>
      </c>
      <c r="B1111" s="14" t="str">
        <f t="array" ref="B1111">VLOOKUP(A1111,{Metrik!$C$2:$C$998,Metrik!$B$2:$B$998},2,0)</f>
        <v>MDS Retailing Tbk.</v>
      </c>
      <c r="C1111" s="15">
        <f>IFERROR(__xludf.DUMMYFUNCTION("GOOGLEFINANCE(""IDX:""&amp;A1111,""price"")"),1595.0)</f>
        <v>1595</v>
      </c>
      <c r="D1111" s="16" t="str">
        <f>IFERROR(__xludf.DUMMYFUNCTION("IF(A1111="""","""",
SPARKLINE(
INDEX(
GOOGLEFINANCE(""IDX:""&amp;A1111,""close"",TODAY()-365,TODAY()),
,2
),
{""linewidth"",1}
))
"),"#N/A")</f>
        <v>#N/A</v>
      </c>
      <c r="E1111" s="26"/>
      <c r="F1111" s="26"/>
      <c r="G1111" s="24">
        <f t="shared" si="7"/>
        <v>0</v>
      </c>
      <c r="H1111" s="19">
        <f>VLOOKUP(A1111,Metrik!$C$2:$Y$959,8,0)</f>
        <v>4.7</v>
      </c>
      <c r="I1111" s="20">
        <f>VLOOKUP(A1111,Metrik!$C$2:$Y$959,9,0)</f>
        <v>3.6</v>
      </c>
      <c r="J1111" s="20">
        <f>VLOOKUP(A1111,Metrik!$C$2:$Y$959,10,0)</f>
        <v>76.8</v>
      </c>
      <c r="K1111" s="20">
        <f>VLOOKUP(A1111,Metrik!$C$2:$Y$959,11,0)</f>
        <v>11.3</v>
      </c>
      <c r="L1111" s="20">
        <f>VLOOKUP(A1111,Metrik!$C$2:$Y$959,12,0)</f>
        <v>5.8</v>
      </c>
      <c r="M1111" s="20">
        <f>VLOOKUP(A1111,Metrik!$C$2:$Y$959,19,0)</f>
        <v>31.1</v>
      </c>
      <c r="N1111" s="21"/>
      <c r="O1111" s="21"/>
      <c r="P1111" s="21"/>
      <c r="Q1111" s="21"/>
      <c r="R1111" s="21"/>
      <c r="S1111" s="21"/>
      <c r="T1111" s="21"/>
      <c r="U1111" s="22">
        <f>IFERROR(__xludf.DUMMYFUNCTION("IFERROR(GOOGLEFINANCE(A1111,""closeyest""),"""")"),1540.0)</f>
        <v>1540</v>
      </c>
      <c r="V1111" s="23">
        <f>IFERROR(__xludf.DUMMYFUNCTION("IFERROR(GOOGLEFINANCE(A1111,""changepct""),"""")"),3.57)</f>
        <v>3.57</v>
      </c>
      <c r="W1111" s="22">
        <f>IFERROR(__xludf.DUMMYFUNCTION("IFERROR(GOOGLEFINANCE(A1111,""priceopen""),"""")"),1540.0)</f>
        <v>1540</v>
      </c>
      <c r="X1111" s="22">
        <f>IFERROR(__xludf.DUMMYFUNCTION("IFERROR(GOOGLEFINANCE(A1111,""high""),"""")"),1595.0)</f>
        <v>1595</v>
      </c>
      <c r="Y1111" s="22">
        <f>IFERROR(__xludf.DUMMYFUNCTION("IFERROR(GOOGLEFINANCE(A1111,""low""),"""")"),1540.0)</f>
        <v>1540</v>
      </c>
      <c r="Z1111" s="22">
        <f>IFERROR(__xludf.DUMMYFUNCTION("IFERROR(GOOGLEFINANCE(A1111,""volume""),"""")"),1279900.0)</f>
        <v>1279900</v>
      </c>
      <c r="AA1111" s="24" t="str">
        <f>VLOOKUP(A1111,Metrik!$C$2:$Y$959,5,0)</f>
        <v>Department Stores</v>
      </c>
      <c r="AB1111" s="24" t="str">
        <f>VLOOKUP(A1111,Metrik!$C$2:$Y$959,3,0)</f>
        <v>Consumer Cyclicals</v>
      </c>
    </row>
    <row r="1112">
      <c r="A1112" s="14" t="s">
        <v>594</v>
      </c>
      <c r="B1112" s="14" t="str">
        <f t="array" ref="B1112">VLOOKUP(A1112,{Metrik!$C$2:$C$998,Metrik!$B$2:$B$998},2,0)</f>
        <v>PT Lenox Pasifik Investama Tbk</v>
      </c>
      <c r="C1112" s="15">
        <f>IFERROR(__xludf.DUMMYFUNCTION("GOOGLEFINANCE(""IDX:""&amp;A1112,""price"")"),68.0)</f>
        <v>68</v>
      </c>
      <c r="D1112" s="16" t="str">
        <f>IFERROR(__xludf.DUMMYFUNCTION("IF(A1112="""","""",
SPARKLINE(
INDEX(
GOOGLEFINANCE(""IDX:""&amp;A1112,""close"",TODAY()-365,TODAY()),
,2
),
{""linewidth"",1}
))
"),"#N/A")</f>
        <v>#N/A</v>
      </c>
      <c r="E1112" s="26"/>
      <c r="F1112" s="26"/>
      <c r="G1112" s="18">
        <f t="shared" si="7"/>
        <v>0</v>
      </c>
      <c r="H1112" s="19">
        <f>VLOOKUP(A1112,Metrik!$C$2:$Y$959,8,0)</f>
        <v>13.1</v>
      </c>
      <c r="I1112" s="20">
        <f>VLOOKUP(A1112,Metrik!$C$2:$Y$959,9,0)</f>
        <v>0.26</v>
      </c>
      <c r="J1112" s="20">
        <f>VLOOKUP(A1112,Metrik!$C$2:$Y$959,10,0)</f>
        <v>2</v>
      </c>
      <c r="K1112" s="20">
        <f>VLOOKUP(A1112,Metrik!$C$2:$Y$959,11,0)</f>
        <v>2</v>
      </c>
      <c r="L1112" s="20">
        <f>VLOOKUP(A1112,Metrik!$C$2:$Y$959,12,0)</f>
        <v>0</v>
      </c>
      <c r="M1112" s="20">
        <f>VLOOKUP(A1112,Metrik!$C$2:$Y$959,19,0)</f>
        <v>16000</v>
      </c>
      <c r="N1112" s="21"/>
      <c r="O1112" s="21"/>
      <c r="P1112" s="21"/>
      <c r="Q1112" s="21"/>
      <c r="R1112" s="21"/>
      <c r="S1112" s="21"/>
      <c r="T1112" s="21"/>
      <c r="U1112" s="22">
        <f>IFERROR(__xludf.DUMMYFUNCTION("IFERROR(GOOGLEFINANCE(A1112,""closeyest""),"""")"),66.0)</f>
        <v>66</v>
      </c>
      <c r="V1112" s="23">
        <f>IFERROR(__xludf.DUMMYFUNCTION("IFERROR(GOOGLEFINANCE(A1112,""changepct""),"""")"),3.03)</f>
        <v>3.03</v>
      </c>
      <c r="W1112" s="22">
        <f>IFERROR(__xludf.DUMMYFUNCTION("IFERROR(GOOGLEFINANCE(A1112,""priceopen""),"""")"),67.0)</f>
        <v>67</v>
      </c>
      <c r="X1112" s="22">
        <f>IFERROR(__xludf.DUMMYFUNCTION("IFERROR(GOOGLEFINANCE(A1112,""high""),"""")"),71.0)</f>
        <v>71</v>
      </c>
      <c r="Y1112" s="22">
        <f>IFERROR(__xludf.DUMMYFUNCTION("IFERROR(GOOGLEFINANCE(A1112,""low""),"""")"),67.0)</f>
        <v>67</v>
      </c>
      <c r="Z1112" s="22">
        <f>IFERROR(__xludf.DUMMYFUNCTION("IFERROR(GOOGLEFINANCE(A1112,""volume""),"""")"),1177900.0)</f>
        <v>1177900</v>
      </c>
      <c r="AA1112" s="24" t="str">
        <f>VLOOKUP(A1112,Metrik!$C$2:$Y$959,5,0)</f>
        <v>Holding &amp; Investment Companies</v>
      </c>
      <c r="AB1112" s="24" t="str">
        <f>VLOOKUP(A1112,Metrik!$C$2:$Y$959,3,0)</f>
        <v>Financials</v>
      </c>
    </row>
    <row r="1113">
      <c r="A1113" s="14" t="s">
        <v>595</v>
      </c>
      <c r="B1113" s="14" t="str">
        <f t="array" ref="B1113">VLOOKUP(A1113,{Metrik!$C$2:$C$998,Metrik!$B$2:$B$998},2,0)</f>
        <v>PT Eka Sari Lorena Transport Tbk.</v>
      </c>
      <c r="C1113" s="15">
        <f>IFERROR(__xludf.DUMMYFUNCTION("GOOGLEFINANCE(""IDX:""&amp;A1113,""price"")"),181.0)</f>
        <v>181</v>
      </c>
      <c r="D1113" s="16" t="str">
        <f>IFERROR(__xludf.DUMMYFUNCTION("IF(A1113="""","""",
SPARKLINE(
INDEX(
GOOGLEFINANCE(""IDX:""&amp;A1113,""close"",TODAY()-365,TODAY()),
,2
),
{""linewidth"",1}
))
"),"#N/A")</f>
        <v>#N/A</v>
      </c>
      <c r="E1113" s="26"/>
      <c r="F1113" s="26"/>
      <c r="G1113" s="24">
        <f t="shared" si="7"/>
        <v>0</v>
      </c>
      <c r="H1113" s="19">
        <f>VLOOKUP(A1113,Metrik!$C$2:$Y$959,8,0)</f>
        <v>-2.9</v>
      </c>
      <c r="I1113" s="20">
        <f>VLOOKUP(A1113,Metrik!$C$2:$Y$959,9,0)</f>
        <v>0.26</v>
      </c>
      <c r="J1113" s="20">
        <f>VLOOKUP(A1113,Metrik!$C$2:$Y$959,10,0)</f>
        <v>-8.8</v>
      </c>
      <c r="K1113" s="20">
        <f>VLOOKUP(A1113,Metrik!$C$2:$Y$959,11,0)</f>
        <v>-7.7</v>
      </c>
      <c r="L1113" s="20">
        <f>VLOOKUP(A1113,Metrik!$C$2:$Y$959,12,0)</f>
        <v>0.14</v>
      </c>
      <c r="M1113" s="20">
        <f>VLOOKUP(A1113,Metrik!$C$2:$Y$959,19,0)</f>
        <v>-160</v>
      </c>
      <c r="N1113" s="21"/>
      <c r="O1113" s="21"/>
      <c r="P1113" s="21"/>
      <c r="Q1113" s="21"/>
      <c r="R1113" s="21"/>
      <c r="S1113" s="21"/>
      <c r="T1113" s="21"/>
      <c r="U1113" s="22">
        <f>IFERROR(__xludf.DUMMYFUNCTION("IFERROR(GOOGLEFINANCE(A1113,""closeyest""),"""")"),174.0)</f>
        <v>174</v>
      </c>
      <c r="V1113" s="23" t="str">
        <f>IFERROR(__xludf.DUMMYFUNCTION("IFERROR(GOOGLEFINANCE(A1113,""changepct""),"""")"),"")</f>
        <v/>
      </c>
      <c r="W1113" s="22">
        <f>IFERROR(__xludf.DUMMYFUNCTION("IFERROR(GOOGLEFINANCE(A1113,""priceopen""),"""")"),173.0)</f>
        <v>173</v>
      </c>
      <c r="X1113" s="22">
        <f>IFERROR(__xludf.DUMMYFUNCTION("IFERROR(GOOGLEFINANCE(A1113,""high""),"""")"),182.0)</f>
        <v>182</v>
      </c>
      <c r="Y1113" s="22">
        <f>IFERROR(__xludf.DUMMYFUNCTION("IFERROR(GOOGLEFINANCE(A1113,""low""),"""")"),173.0)</f>
        <v>173</v>
      </c>
      <c r="Z1113" s="22">
        <f>IFERROR(__xludf.DUMMYFUNCTION("IFERROR(GOOGLEFINANCE(A1113,""volume""),"""")"),264800.0)</f>
        <v>264800</v>
      </c>
      <c r="AA1113" s="24" t="str">
        <f>VLOOKUP(A1113,Metrik!$C$2:$Y$959,5,0)</f>
        <v>Passenger Land Transportation</v>
      </c>
      <c r="AB1113" s="24" t="str">
        <f>VLOOKUP(A1113,Metrik!$C$2:$Y$959,3,0)</f>
        <v>Transportation &amp; Logistic</v>
      </c>
    </row>
    <row r="1114">
      <c r="A1114" s="14" t="s">
        <v>596</v>
      </c>
      <c r="B1114" s="14" t="str">
        <f t="array" ref="B1114">VLOOKUP(A1114,{Metrik!$C$2:$C$998,Metrik!$B$2:$B$998},2,0)</f>
        <v>PP London Sumatra Indonesia Tbk</v>
      </c>
      <c r="C1114" s="15">
        <f>IFERROR(__xludf.DUMMYFUNCTION("GOOGLEFINANCE(""IDX:""&amp;A1114,""price"")"),1250.0)</f>
        <v>1250</v>
      </c>
      <c r="D1114" s="16" t="str">
        <f>IFERROR(__xludf.DUMMYFUNCTION("IF(A1114="""","""",
SPARKLINE(
INDEX(
GOOGLEFINANCE(""IDX:""&amp;A1114,""close"",TODAY()-365,TODAY()),
,2
),
{""linewidth"",1}
))
"),"#N/A")</f>
        <v>#N/A</v>
      </c>
      <c r="E1114" s="14" t="s">
        <v>65</v>
      </c>
      <c r="F1114" s="25">
        <v>46356.0</v>
      </c>
      <c r="G1114" s="18">
        <f t="shared" si="7"/>
        <v>5</v>
      </c>
      <c r="H1114" s="19">
        <f>VLOOKUP(A1114,Metrik!$C$2:$Y$959,8,0)</f>
        <v>4.7</v>
      </c>
      <c r="I1114" s="20">
        <f>VLOOKUP(A1114,Metrik!$C$2:$Y$959,9,0)</f>
        <v>0.61</v>
      </c>
      <c r="J1114" s="20">
        <f>VLOOKUP(A1114,Metrik!$C$2:$Y$959,10,0)</f>
        <v>13.1</v>
      </c>
      <c r="K1114" s="20">
        <f>VLOOKUP(A1114,Metrik!$C$2:$Y$959,11,0)</f>
        <v>12</v>
      </c>
      <c r="L1114" s="20">
        <f>VLOOKUP(A1114,Metrik!$C$2:$Y$959,12,0)</f>
        <v>0.1</v>
      </c>
      <c r="M1114" s="20">
        <f>VLOOKUP(A1114,Metrik!$C$2:$Y$959,19,0)</f>
        <v>140</v>
      </c>
      <c r="N1114" s="21"/>
      <c r="O1114" s="21"/>
      <c r="P1114" s="21"/>
      <c r="Q1114" s="21"/>
      <c r="R1114" s="21"/>
      <c r="S1114" s="21"/>
      <c r="T1114" s="21"/>
      <c r="U1114" s="22">
        <f>IFERROR(__xludf.DUMMYFUNCTION("IFERROR(GOOGLEFINANCE(A1114,""closeyest""),"""")"),1195.0)</f>
        <v>1195</v>
      </c>
      <c r="V1114" s="23">
        <f>IFERROR(__xludf.DUMMYFUNCTION("IFERROR(GOOGLEFINANCE(A1114,""changepct""),"""")"),4.6)</f>
        <v>4.6</v>
      </c>
      <c r="W1114" s="22">
        <f>IFERROR(__xludf.DUMMYFUNCTION("IFERROR(GOOGLEFINANCE(A1114,""priceopen""),"""")"),1200.0)</f>
        <v>1200</v>
      </c>
      <c r="X1114" s="22">
        <f>IFERROR(__xludf.DUMMYFUNCTION("IFERROR(GOOGLEFINANCE(A1114,""high""),"""")"),1285.0)</f>
        <v>1285</v>
      </c>
      <c r="Y1114" s="22">
        <f>IFERROR(__xludf.DUMMYFUNCTION("IFERROR(GOOGLEFINANCE(A1114,""low""),"""")"),1200.0)</f>
        <v>1200</v>
      </c>
      <c r="Z1114" s="22">
        <f>IFERROR(__xludf.DUMMYFUNCTION("IFERROR(GOOGLEFINANCE(A1114,""volume""),"""")"),1.92242E7)</f>
        <v>19224200</v>
      </c>
      <c r="AA1114" s="24" t="str">
        <f>VLOOKUP(A1114,Metrik!$C$2:$Y$959,5,0)</f>
        <v>Agricultural Products</v>
      </c>
      <c r="AB1114" s="24" t="str">
        <f>VLOOKUP(A1114,Metrik!$C$2:$Y$959,3,0)</f>
        <v>Consumer Non-Cyclicals</v>
      </c>
    </row>
    <row r="1115">
      <c r="A1115" s="14" t="s">
        <v>596</v>
      </c>
      <c r="B1115" s="14" t="str">
        <f t="array" ref="B1115">VLOOKUP(A1115,{Metrik!$C$2:$C$998,Metrik!$B$2:$B$998},2,0)</f>
        <v>PP London Sumatra Indonesia Tbk</v>
      </c>
      <c r="C1115" s="15">
        <f>IFERROR(__xludf.DUMMYFUNCTION("GOOGLEFINANCE(""IDX:""&amp;A1115,""price"")"),1250.0)</f>
        <v>1250</v>
      </c>
      <c r="D1115" s="16" t="str">
        <f>IFERROR(__xludf.DUMMYFUNCTION("IF(A1115="""","""",
SPARKLINE(
INDEX(
GOOGLEFINANCE(""IDX:""&amp;A1115,""close"",TODAY()-365,TODAY()),
,2
),
{""linewidth"",1}
))
"),"#N/A")</f>
        <v>#N/A</v>
      </c>
      <c r="E1115" s="14" t="s">
        <v>55</v>
      </c>
      <c r="F1115" s="25">
        <v>46356.0</v>
      </c>
      <c r="G1115" s="18">
        <f t="shared" si="7"/>
        <v>5</v>
      </c>
      <c r="H1115" s="19">
        <f>VLOOKUP(A1115,Metrik!$C$2:$Y$959,8,0)</f>
        <v>4.7</v>
      </c>
      <c r="I1115" s="20">
        <f>VLOOKUP(A1115,Metrik!$C$2:$Y$959,9,0)</f>
        <v>0.61</v>
      </c>
      <c r="J1115" s="20">
        <f>VLOOKUP(A1115,Metrik!$C$2:$Y$959,10,0)</f>
        <v>13.1</v>
      </c>
      <c r="K1115" s="20">
        <f>VLOOKUP(A1115,Metrik!$C$2:$Y$959,11,0)</f>
        <v>12</v>
      </c>
      <c r="L1115" s="20">
        <f>VLOOKUP(A1115,Metrik!$C$2:$Y$959,12,0)</f>
        <v>0.1</v>
      </c>
      <c r="M1115" s="20">
        <f>VLOOKUP(A1115,Metrik!$C$2:$Y$959,19,0)</f>
        <v>140</v>
      </c>
      <c r="N1115" s="21"/>
      <c r="O1115" s="21"/>
      <c r="P1115" s="21"/>
      <c r="Q1115" s="21"/>
      <c r="R1115" s="21"/>
      <c r="S1115" s="21"/>
      <c r="T1115" s="21"/>
      <c r="U1115" s="22">
        <f>IFERROR(__xludf.DUMMYFUNCTION("IFERROR(GOOGLEFINANCE(A1115,""closeyest""),"""")"),1195.0)</f>
        <v>1195</v>
      </c>
      <c r="V1115" s="23">
        <f>IFERROR(__xludf.DUMMYFUNCTION("IFERROR(GOOGLEFINANCE(A1115,""changepct""),"""")"),4.6)</f>
        <v>4.6</v>
      </c>
      <c r="W1115" s="22">
        <f>IFERROR(__xludf.DUMMYFUNCTION("IFERROR(GOOGLEFINANCE(A1115,""priceopen""),"""")"),1200.0)</f>
        <v>1200</v>
      </c>
      <c r="X1115" s="22">
        <f>IFERROR(__xludf.DUMMYFUNCTION("IFERROR(GOOGLEFINANCE(A1115,""high""),"""")"),1285.0)</f>
        <v>1285</v>
      </c>
      <c r="Y1115" s="22">
        <f>IFERROR(__xludf.DUMMYFUNCTION("IFERROR(GOOGLEFINANCE(A1115,""low""),"""")"),1200.0)</f>
        <v>1200</v>
      </c>
      <c r="Z1115" s="22">
        <f>IFERROR(__xludf.DUMMYFUNCTION("IFERROR(GOOGLEFINANCE(A1115,""volume""),"""")"),1.92242E7)</f>
        <v>19224200</v>
      </c>
      <c r="AA1115" s="24" t="str">
        <f>VLOOKUP(A1115,Metrik!$C$2:$Y$959,5,0)</f>
        <v>Agricultural Products</v>
      </c>
      <c r="AB1115" s="24" t="str">
        <f>VLOOKUP(A1115,Metrik!$C$2:$Y$959,3,0)</f>
        <v>Consumer Non-Cyclicals</v>
      </c>
    </row>
    <row r="1116">
      <c r="A1116" s="14" t="s">
        <v>596</v>
      </c>
      <c r="B1116" s="14" t="str">
        <f t="array" ref="B1116">VLOOKUP(A1116,{Metrik!$C$2:$C$998,Metrik!$B$2:$B$998},2,0)</f>
        <v>PP London Sumatra Indonesia Tbk</v>
      </c>
      <c r="C1116" s="15">
        <f>IFERROR(__xludf.DUMMYFUNCTION("GOOGLEFINANCE(""IDX:""&amp;A1116,""price"")"),1250.0)</f>
        <v>1250</v>
      </c>
      <c r="D1116" s="16" t="str">
        <f>IFERROR(__xludf.DUMMYFUNCTION("IF(A1116="""","""",
SPARKLINE(
INDEX(
GOOGLEFINANCE(""IDX:""&amp;A1116,""close"",TODAY()-365,TODAY()),
,2
),
{""linewidth"",1}
))
"),"#N/A")</f>
        <v>#N/A</v>
      </c>
      <c r="E1116" s="14" t="s">
        <v>102</v>
      </c>
      <c r="F1116" s="27" t="s">
        <v>53</v>
      </c>
      <c r="G1116" s="18">
        <f t="shared" si="7"/>
        <v>5</v>
      </c>
      <c r="H1116" s="19">
        <f>VLOOKUP(A1116,Metrik!$C$2:$Y$959,8,0)</f>
        <v>4.7</v>
      </c>
      <c r="I1116" s="20">
        <f>VLOOKUP(A1116,Metrik!$C$2:$Y$959,9,0)</f>
        <v>0.61</v>
      </c>
      <c r="J1116" s="20">
        <f>VLOOKUP(A1116,Metrik!$C$2:$Y$959,10,0)</f>
        <v>13.1</v>
      </c>
      <c r="K1116" s="20">
        <f>VLOOKUP(A1116,Metrik!$C$2:$Y$959,11,0)</f>
        <v>12</v>
      </c>
      <c r="L1116" s="20">
        <f>VLOOKUP(A1116,Metrik!$C$2:$Y$959,12,0)</f>
        <v>0.1</v>
      </c>
      <c r="M1116" s="20">
        <f>VLOOKUP(A1116,Metrik!$C$2:$Y$959,19,0)</f>
        <v>140</v>
      </c>
      <c r="N1116" s="21"/>
      <c r="O1116" s="21"/>
      <c r="P1116" s="21"/>
      <c r="Q1116" s="21"/>
      <c r="R1116" s="21"/>
      <c r="S1116" s="21"/>
      <c r="T1116" s="21"/>
      <c r="U1116" s="22">
        <f>IFERROR(__xludf.DUMMYFUNCTION("IFERROR(GOOGLEFINANCE(A1116,""closeyest""),"""")"),1195.0)</f>
        <v>1195</v>
      </c>
      <c r="V1116" s="23">
        <f>IFERROR(__xludf.DUMMYFUNCTION("IFERROR(GOOGLEFINANCE(A1116,""changepct""),"""")"),4.6)</f>
        <v>4.6</v>
      </c>
      <c r="W1116" s="22">
        <f>IFERROR(__xludf.DUMMYFUNCTION("IFERROR(GOOGLEFINANCE(A1116,""priceopen""),"""")"),1200.0)</f>
        <v>1200</v>
      </c>
      <c r="X1116" s="22">
        <f>IFERROR(__xludf.DUMMYFUNCTION("IFERROR(GOOGLEFINANCE(A1116,""high""),"""")"),1285.0)</f>
        <v>1285</v>
      </c>
      <c r="Y1116" s="22">
        <f>IFERROR(__xludf.DUMMYFUNCTION("IFERROR(GOOGLEFINANCE(A1116,""low""),"""")"),1200.0)</f>
        <v>1200</v>
      </c>
      <c r="Z1116" s="22">
        <f>IFERROR(__xludf.DUMMYFUNCTION("IFERROR(GOOGLEFINANCE(A1116,""volume""),"""")"),1.92242E7)</f>
        <v>19224200</v>
      </c>
      <c r="AA1116" s="24" t="str">
        <f>VLOOKUP(A1116,Metrik!$C$2:$Y$959,5,0)</f>
        <v>Agricultural Products</v>
      </c>
      <c r="AB1116" s="24" t="str">
        <f>VLOOKUP(A1116,Metrik!$C$2:$Y$959,3,0)</f>
        <v>Consumer Non-Cyclicals</v>
      </c>
    </row>
    <row r="1117">
      <c r="A1117" s="14" t="s">
        <v>596</v>
      </c>
      <c r="B1117" s="14" t="str">
        <f t="array" ref="B1117">VLOOKUP(A1117,{Metrik!$C$2:$C$998,Metrik!$B$2:$B$998},2,0)</f>
        <v>PP London Sumatra Indonesia Tbk</v>
      </c>
      <c r="C1117" s="15">
        <f>IFERROR(__xludf.DUMMYFUNCTION("GOOGLEFINANCE(""IDX:""&amp;A1117,""price"")"),1250.0)</f>
        <v>1250</v>
      </c>
      <c r="D1117" s="16" t="str">
        <f>IFERROR(__xludf.DUMMYFUNCTION("IF(A1117="""","""",
SPARKLINE(
INDEX(
GOOGLEFINANCE(""IDX:""&amp;A1117,""close"",TODAY()-365,TODAY()),
,2
),
{""linewidth"",1}
))
"),"#N/A")</f>
        <v>#N/A</v>
      </c>
      <c r="E1117" s="14" t="s">
        <v>41</v>
      </c>
      <c r="F1117" s="14" t="s">
        <v>34</v>
      </c>
      <c r="G1117" s="18">
        <f t="shared" si="7"/>
        <v>5</v>
      </c>
      <c r="H1117" s="19">
        <f>VLOOKUP(A1117,Metrik!$C$2:$Y$959,8,0)</f>
        <v>4.7</v>
      </c>
      <c r="I1117" s="20">
        <f>VLOOKUP(A1117,Metrik!$C$2:$Y$959,9,0)</f>
        <v>0.61</v>
      </c>
      <c r="J1117" s="20">
        <f>VLOOKUP(A1117,Metrik!$C$2:$Y$959,10,0)</f>
        <v>13.1</v>
      </c>
      <c r="K1117" s="20">
        <f>VLOOKUP(A1117,Metrik!$C$2:$Y$959,11,0)</f>
        <v>12</v>
      </c>
      <c r="L1117" s="20">
        <f>VLOOKUP(A1117,Metrik!$C$2:$Y$959,12,0)</f>
        <v>0.1</v>
      </c>
      <c r="M1117" s="20">
        <f>VLOOKUP(A1117,Metrik!$C$2:$Y$959,19,0)</f>
        <v>140</v>
      </c>
      <c r="N1117" s="21"/>
      <c r="O1117" s="21"/>
      <c r="P1117" s="21"/>
      <c r="Q1117" s="21"/>
      <c r="R1117" s="21"/>
      <c r="S1117" s="21"/>
      <c r="T1117" s="21"/>
      <c r="U1117" s="22">
        <f>IFERROR(__xludf.DUMMYFUNCTION("IFERROR(GOOGLEFINANCE(A1117,""closeyest""),"""")"),1195.0)</f>
        <v>1195</v>
      </c>
      <c r="V1117" s="23">
        <f>IFERROR(__xludf.DUMMYFUNCTION("IFERROR(GOOGLEFINANCE(A1117,""changepct""),"""")"),4.6)</f>
        <v>4.6</v>
      </c>
      <c r="W1117" s="22">
        <f>IFERROR(__xludf.DUMMYFUNCTION("IFERROR(GOOGLEFINANCE(A1117,""priceopen""),"""")"),1200.0)</f>
        <v>1200</v>
      </c>
      <c r="X1117" s="22">
        <f>IFERROR(__xludf.DUMMYFUNCTION("IFERROR(GOOGLEFINANCE(A1117,""high""),"""")"),1285.0)</f>
        <v>1285</v>
      </c>
      <c r="Y1117" s="22">
        <f>IFERROR(__xludf.DUMMYFUNCTION("IFERROR(GOOGLEFINANCE(A1117,""low""),"""")"),1200.0)</f>
        <v>1200</v>
      </c>
      <c r="Z1117" s="22">
        <f>IFERROR(__xludf.DUMMYFUNCTION("IFERROR(GOOGLEFINANCE(A1117,""volume""),"""")"),1.92242E7)</f>
        <v>19224200</v>
      </c>
      <c r="AA1117" s="24" t="str">
        <f>VLOOKUP(A1117,Metrik!$C$2:$Y$959,5,0)</f>
        <v>Agricultural Products</v>
      </c>
      <c r="AB1117" s="24" t="str">
        <f>VLOOKUP(A1117,Metrik!$C$2:$Y$959,3,0)</f>
        <v>Consumer Non-Cyclicals</v>
      </c>
    </row>
    <row r="1118">
      <c r="A1118" s="14" t="s">
        <v>596</v>
      </c>
      <c r="B1118" s="14" t="str">
        <f t="array" ref="B1118">VLOOKUP(A1118,{Metrik!$C$2:$C$998,Metrik!$B$2:$B$998},2,0)</f>
        <v>PP London Sumatra Indonesia Tbk</v>
      </c>
      <c r="C1118" s="15">
        <f>IFERROR(__xludf.DUMMYFUNCTION("GOOGLEFINANCE(""IDX:""&amp;A1118,""price"")"),1250.0)</f>
        <v>1250</v>
      </c>
      <c r="D1118" s="16" t="str">
        <f>IFERROR(__xludf.DUMMYFUNCTION("IF(A1118="""","""",
SPARKLINE(
INDEX(
GOOGLEFINANCE(""IDX:""&amp;A1118,""close"",TODAY()-365,TODAY()),
,2
),
{""linewidth"",1}
))
"),"#N/A")</f>
        <v>#N/A</v>
      </c>
      <c r="E1118" s="14" t="s">
        <v>39</v>
      </c>
      <c r="F1118" s="25">
        <v>46356.0</v>
      </c>
      <c r="G1118" s="18">
        <f t="shared" si="7"/>
        <v>5</v>
      </c>
      <c r="H1118" s="19">
        <f>VLOOKUP(A1118,Metrik!$C$2:$Y$959,8,0)</f>
        <v>4.7</v>
      </c>
      <c r="I1118" s="20">
        <f>VLOOKUP(A1118,Metrik!$C$2:$Y$959,9,0)</f>
        <v>0.61</v>
      </c>
      <c r="J1118" s="20">
        <f>VLOOKUP(A1118,Metrik!$C$2:$Y$959,10,0)</f>
        <v>13.1</v>
      </c>
      <c r="K1118" s="20">
        <f>VLOOKUP(A1118,Metrik!$C$2:$Y$959,11,0)</f>
        <v>12</v>
      </c>
      <c r="L1118" s="20">
        <f>VLOOKUP(A1118,Metrik!$C$2:$Y$959,12,0)</f>
        <v>0.1</v>
      </c>
      <c r="M1118" s="20">
        <f>VLOOKUP(A1118,Metrik!$C$2:$Y$959,19,0)</f>
        <v>140</v>
      </c>
      <c r="N1118" s="21"/>
      <c r="O1118" s="21"/>
      <c r="P1118" s="21"/>
      <c r="Q1118" s="21"/>
      <c r="R1118" s="21"/>
      <c r="S1118" s="21"/>
      <c r="T1118" s="21"/>
      <c r="U1118" s="22">
        <f>IFERROR(__xludf.DUMMYFUNCTION("IFERROR(GOOGLEFINANCE(A1118,""closeyest""),"""")"),1195.0)</f>
        <v>1195</v>
      </c>
      <c r="V1118" s="23">
        <f>IFERROR(__xludf.DUMMYFUNCTION("IFERROR(GOOGLEFINANCE(A1118,""changepct""),"""")"),4.6)</f>
        <v>4.6</v>
      </c>
      <c r="W1118" s="22">
        <f>IFERROR(__xludf.DUMMYFUNCTION("IFERROR(GOOGLEFINANCE(A1118,""priceopen""),"""")"),1200.0)</f>
        <v>1200</v>
      </c>
      <c r="X1118" s="22">
        <f>IFERROR(__xludf.DUMMYFUNCTION("IFERROR(GOOGLEFINANCE(A1118,""high""),"""")"),1285.0)</f>
        <v>1285</v>
      </c>
      <c r="Y1118" s="22">
        <f>IFERROR(__xludf.DUMMYFUNCTION("IFERROR(GOOGLEFINANCE(A1118,""low""),"""")"),1200.0)</f>
        <v>1200</v>
      </c>
      <c r="Z1118" s="22">
        <f>IFERROR(__xludf.DUMMYFUNCTION("IFERROR(GOOGLEFINANCE(A1118,""volume""),"""")"),1.92242E7)</f>
        <v>19224200</v>
      </c>
      <c r="AA1118" s="24" t="str">
        <f>VLOOKUP(A1118,Metrik!$C$2:$Y$959,5,0)</f>
        <v>Agricultural Products</v>
      </c>
      <c r="AB1118" s="24" t="str">
        <f>VLOOKUP(A1118,Metrik!$C$2:$Y$959,3,0)</f>
        <v>Consumer Non-Cyclicals</v>
      </c>
    </row>
    <row r="1119">
      <c r="A1119" s="14" t="s">
        <v>597</v>
      </c>
      <c r="B1119" s="14" t="str">
        <f t="array" ref="B1119">VLOOKUP(A1119,{Metrik!$C$2:$C$998,Metrik!$B$2:$B$998},2,0)</f>
        <v>Lautan Luas Tbk.</v>
      </c>
      <c r="C1119" s="15">
        <f>IFERROR(__xludf.DUMMYFUNCTION("GOOGLEFINANCE(""IDX:""&amp;A1119,""price"")"),715.0)</f>
        <v>715</v>
      </c>
      <c r="D1119" s="16" t="str">
        <f>IFERROR(__xludf.DUMMYFUNCTION("IF(A1119="""","""",
SPARKLINE(
INDEX(
GOOGLEFINANCE(""IDX:""&amp;A1119,""close"",TODAY()-365,TODAY()),
,2
),
{""linewidth"",1}
))
"),"#N/A")</f>
        <v>#N/A</v>
      </c>
      <c r="E1119" s="26"/>
      <c r="F1119" s="26"/>
      <c r="G1119" s="24">
        <f t="shared" si="7"/>
        <v>0</v>
      </c>
      <c r="H1119" s="19">
        <f>VLOOKUP(A1119,Metrik!$C$2:$Y$959,8,0)</f>
        <v>8.1</v>
      </c>
      <c r="I1119" s="20">
        <f>VLOOKUP(A1119,Metrik!$C$2:$Y$959,9,0)</f>
        <v>0.35</v>
      </c>
      <c r="J1119" s="20">
        <f>VLOOKUP(A1119,Metrik!$C$2:$Y$959,10,0)</f>
        <v>4.3</v>
      </c>
      <c r="K1119" s="20">
        <f>VLOOKUP(A1119,Metrik!$C$2:$Y$959,11,0)</f>
        <v>2.1</v>
      </c>
      <c r="L1119" s="20">
        <f>VLOOKUP(A1119,Metrik!$C$2:$Y$959,12,0)</f>
        <v>1</v>
      </c>
      <c r="M1119" s="20">
        <f>VLOOKUP(A1119,Metrik!$C$2:$Y$959,19,0)</f>
        <v>6.6</v>
      </c>
      <c r="N1119" s="21"/>
      <c r="O1119" s="21"/>
      <c r="P1119" s="21"/>
      <c r="Q1119" s="21"/>
      <c r="R1119" s="21"/>
      <c r="S1119" s="21"/>
      <c r="T1119" s="21"/>
      <c r="U1119" s="22">
        <f>IFERROR(__xludf.DUMMYFUNCTION("IFERROR(GOOGLEFINANCE(A1119,""closeyest""),"""")"),710.0)</f>
        <v>710</v>
      </c>
      <c r="V1119" s="23">
        <f>IFERROR(__xludf.DUMMYFUNCTION("IFERROR(GOOGLEFINANCE(A1119,""changepct""),"""")"),0.7)</f>
        <v>0.7</v>
      </c>
      <c r="W1119" s="22">
        <f>IFERROR(__xludf.DUMMYFUNCTION("IFERROR(GOOGLEFINANCE(A1119,""priceopen""),"""")"),710.0)</f>
        <v>710</v>
      </c>
      <c r="X1119" s="22">
        <f>IFERROR(__xludf.DUMMYFUNCTION("IFERROR(GOOGLEFINANCE(A1119,""high""),"""")"),760.0)</f>
        <v>760</v>
      </c>
      <c r="Y1119" s="22">
        <f>IFERROR(__xludf.DUMMYFUNCTION("IFERROR(GOOGLEFINANCE(A1119,""low""),"""")"),670.0)</f>
        <v>670</v>
      </c>
      <c r="Z1119" s="22">
        <f>IFERROR(__xludf.DUMMYFUNCTION("IFERROR(GOOGLEFINANCE(A1119,""volume""),"""")"),101400.0)</f>
        <v>101400</v>
      </c>
      <c r="AA1119" s="24" t="str">
        <f>VLOOKUP(A1119,Metrik!$C$2:$Y$959,5,0)</f>
        <v>Chemicals</v>
      </c>
      <c r="AB1119" s="24" t="str">
        <f>VLOOKUP(A1119,Metrik!$C$2:$Y$959,3,0)</f>
        <v>Basic Materials</v>
      </c>
    </row>
    <row r="1120">
      <c r="A1120" s="14" t="s">
        <v>598</v>
      </c>
      <c r="B1120" s="14" t="str">
        <f t="array" ref="B1120">VLOOKUP(A1120,{Metrik!$C$2:$C$998,Metrik!$B$2:$B$998},2,0)</f>
        <v>Sentral Mitra Informatika Tbk.</v>
      </c>
      <c r="C1120" s="15">
        <f>IFERROR(__xludf.DUMMYFUNCTION("GOOGLEFINANCE(""IDX:""&amp;A1120,""price"")"),101.0)</f>
        <v>101</v>
      </c>
      <c r="D1120" s="16" t="str">
        <f>IFERROR(__xludf.DUMMYFUNCTION("IF(A1120="""","""",
SPARKLINE(
INDEX(
GOOGLEFINANCE(""IDX:""&amp;A1120,""close"",TODAY()-365,TODAY()),
,2
),
{""linewidth"",1}
))
"),"#N/A")</f>
        <v>#N/A</v>
      </c>
      <c r="E1120" s="26"/>
      <c r="F1120" s="26"/>
      <c r="G1120" s="24">
        <f t="shared" si="7"/>
        <v>0</v>
      </c>
      <c r="H1120" s="19">
        <f>VLOOKUP(A1120,Metrik!$C$2:$Y$959,8,0)</f>
        <v>-5.9</v>
      </c>
      <c r="I1120" s="20">
        <f>VLOOKUP(A1120,Metrik!$C$2:$Y$959,9,0)</f>
        <v>0.69</v>
      </c>
      <c r="J1120" s="20">
        <f>VLOOKUP(A1120,Metrik!$C$2:$Y$959,10,0)</f>
        <v>-11.7</v>
      </c>
      <c r="K1120" s="20">
        <f>VLOOKUP(A1120,Metrik!$C$2:$Y$959,11,0)</f>
        <v>-9.2</v>
      </c>
      <c r="L1120" s="20">
        <f>VLOOKUP(A1120,Metrik!$C$2:$Y$959,12,0)</f>
        <v>0.27</v>
      </c>
      <c r="M1120" s="20">
        <f>VLOOKUP(A1120,Metrik!$C$2:$Y$959,19,0)</f>
        <v>-24</v>
      </c>
      <c r="N1120" s="21"/>
      <c r="O1120" s="21"/>
      <c r="P1120" s="21"/>
      <c r="Q1120" s="21"/>
      <c r="R1120" s="21"/>
      <c r="S1120" s="21"/>
      <c r="T1120" s="21"/>
      <c r="U1120" s="22">
        <f>IFERROR(__xludf.DUMMYFUNCTION("IFERROR(GOOGLEFINANCE(A1120,""closeyest""),"""")"),8.81)</f>
        <v>8.81</v>
      </c>
      <c r="V1120" s="23">
        <f>IFERROR(__xludf.DUMMYFUNCTION("IFERROR(GOOGLEFINANCE(A1120,""changepct""),"""")"),-0.57)</f>
        <v>-0.57</v>
      </c>
      <c r="W1120" s="22">
        <f>IFERROR(__xludf.DUMMYFUNCTION("IFERROR(GOOGLEFINANCE(A1120,""priceopen""),"""")"),8.8)</f>
        <v>8.8</v>
      </c>
      <c r="X1120" s="22">
        <f>IFERROR(__xludf.DUMMYFUNCTION("IFERROR(GOOGLEFINANCE(A1120,""high""),"""")"),9.01)</f>
        <v>9.01</v>
      </c>
      <c r="Y1120" s="22">
        <f>IFERROR(__xludf.DUMMYFUNCTION("IFERROR(GOOGLEFINANCE(A1120,""low""),"""")"),8.73)</f>
        <v>8.73</v>
      </c>
      <c r="Z1120" s="22">
        <f>IFERROR(__xludf.DUMMYFUNCTION("IFERROR(GOOGLEFINANCE(A1120,""volume""),"""")"),133776.0)</f>
        <v>133776</v>
      </c>
      <c r="AA1120" s="24" t="str">
        <f>VLOOKUP(A1120,Metrik!$C$2:$Y$959,5,0)</f>
        <v>Computer Hardware</v>
      </c>
      <c r="AB1120" s="24" t="str">
        <f>VLOOKUP(A1120,Metrik!$C$2:$Y$959,3,0)</f>
        <v>Technology</v>
      </c>
    </row>
    <row r="1121">
      <c r="A1121" s="14" t="s">
        <v>599</v>
      </c>
      <c r="B1121" s="14" t="str">
        <f t="array" ref="B1121">VLOOKUP(A1121,{Metrik!$C$2:$C$998,Metrik!$B$2:$B$998},2,0)</f>
        <v>Lima Dua Lima Tiga Tbk.</v>
      </c>
      <c r="C1121" s="15">
        <f>IFERROR(__xludf.DUMMYFUNCTION("GOOGLEFINANCE(""IDX:""&amp;A1121,""price"")"),1490.0)</f>
        <v>1490</v>
      </c>
      <c r="D1121" s="16" t="str">
        <f>IFERROR(__xludf.DUMMYFUNCTION("IF(A1121="""","""",
SPARKLINE(
INDEX(
GOOGLEFINANCE(""IDX:""&amp;A1121,""close"",TODAY()-365,TODAY()),
,2
),
{""linewidth"",1}
))
"),"#N/A")</f>
        <v>#N/A</v>
      </c>
      <c r="E1121" s="26"/>
      <c r="F1121" s="26"/>
      <c r="G1121" s="24">
        <f t="shared" si="7"/>
        <v>0</v>
      </c>
      <c r="H1121" s="19">
        <f>VLOOKUP(A1121,Metrik!$C$2:$Y$959,8,0)</f>
        <v>-35.8</v>
      </c>
      <c r="I1121" s="20">
        <f>VLOOKUP(A1121,Metrik!$C$2:$Y$959,9,0)</f>
        <v>60.1</v>
      </c>
      <c r="J1121" s="20">
        <f>VLOOKUP(A1121,Metrik!$C$2:$Y$959,10,0)</f>
        <v>-170</v>
      </c>
      <c r="K1121" s="20">
        <f>VLOOKUP(A1121,Metrik!$C$2:$Y$959,11,0)</f>
        <v>-51.8</v>
      </c>
      <c r="L1121" s="20">
        <f>VLOOKUP(A1121,Metrik!$C$2:$Y$959,12,0)</f>
        <v>2.2</v>
      </c>
      <c r="M1121" s="20">
        <f>VLOOKUP(A1121,Metrik!$C$2:$Y$959,19,0)</f>
        <v>-52.4</v>
      </c>
      <c r="N1121" s="21"/>
      <c r="O1121" s="21"/>
      <c r="P1121" s="21"/>
      <c r="Q1121" s="21"/>
      <c r="R1121" s="21"/>
      <c r="S1121" s="21"/>
      <c r="T1121" s="21"/>
      <c r="U1121" s="22">
        <f>IFERROR(__xludf.DUMMYFUNCTION("IFERROR(GOOGLEFINANCE(A1121,""closeyest""),"""")"),0.89)</f>
        <v>0.89</v>
      </c>
      <c r="V1121" s="23">
        <f>IFERROR(__xludf.DUMMYFUNCTION("IFERROR(GOOGLEFINANCE(A1121,""changepct""),"""")"),-2.1)</f>
        <v>-2.1</v>
      </c>
      <c r="W1121" s="22">
        <f>IFERROR(__xludf.DUMMYFUNCTION("IFERROR(GOOGLEFINANCE(A1121,""priceopen""),"""")"),0.88)</f>
        <v>0.88</v>
      </c>
      <c r="X1121" s="22">
        <f>IFERROR(__xludf.DUMMYFUNCTION("IFERROR(GOOGLEFINANCE(A1121,""high""),"""")"),0.92)</f>
        <v>0.92</v>
      </c>
      <c r="Y1121" s="22">
        <f>IFERROR(__xludf.DUMMYFUNCTION("IFERROR(GOOGLEFINANCE(A1121,""low""),"""")"),0.87)</f>
        <v>0.87</v>
      </c>
      <c r="Z1121" s="22">
        <f>IFERROR(__xludf.DUMMYFUNCTION("IFERROR(GOOGLEFINANCE(A1121,""volume""),"""")"),59685.0)</f>
        <v>59685</v>
      </c>
      <c r="AA1121" s="24" t="str">
        <f>VLOOKUP(A1121,Metrik!$C$2:$Y$959,5,0)</f>
        <v>Tourism &amp; Recreation</v>
      </c>
      <c r="AB1121" s="24" t="str">
        <f>VLOOKUP(A1121,Metrik!$C$2:$Y$959,3,0)</f>
        <v>Consumer Cyclicals</v>
      </c>
    </row>
    <row r="1122">
      <c r="A1122" s="14" t="s">
        <v>600</v>
      </c>
      <c r="B1122" s="14" t="str">
        <f t="array" ref="B1122">VLOOKUP(A1122,{Metrik!$C$2:$C$998,Metrik!$B$2:$B$998},2,0)</f>
        <v>Marga Abhinaya Abadi Tbk.</v>
      </c>
      <c r="C1122" s="15">
        <f>IFERROR(__xludf.DUMMYFUNCTION("GOOGLEFINANCE(""IDX:""&amp;A1122,""price"")"),50.0)</f>
        <v>50</v>
      </c>
      <c r="D1122" s="16" t="str">
        <f>IFERROR(__xludf.DUMMYFUNCTION("IF(A1122="""","""",
SPARKLINE(
INDEX(
GOOGLEFINANCE(""IDX:""&amp;A1122,""close"",TODAY()-365,TODAY()),
,2
),
{""linewidth"",1}
))
"),"#N/A")</f>
        <v>#N/A</v>
      </c>
      <c r="E1122" s="26"/>
      <c r="F1122" s="26"/>
      <c r="G1122" s="24">
        <f t="shared" si="7"/>
        <v>0</v>
      </c>
      <c r="H1122" s="19">
        <f>VLOOKUP(A1122,Metrik!$C$2:$Y$959,8,0)</f>
        <v>0</v>
      </c>
      <c r="I1122" s="20">
        <f>VLOOKUP(A1122,Metrik!$C$2:$Y$959,9,0)</f>
        <v>2.7</v>
      </c>
      <c r="J1122" s="20">
        <f>VLOOKUP(A1122,Metrik!$C$2:$Y$959,10,0)</f>
        <v>-92.1</v>
      </c>
      <c r="K1122" s="20">
        <f>VLOOKUP(A1122,Metrik!$C$2:$Y$959,11,0)</f>
        <v>-11.8</v>
      </c>
      <c r="L1122" s="20">
        <f>VLOOKUP(A1122,Metrik!$C$2:$Y$959,12,0)</f>
        <v>6.8</v>
      </c>
      <c r="M1122" s="20">
        <f>VLOOKUP(A1122,Metrik!$C$2:$Y$959,19,0)</f>
        <v>-580</v>
      </c>
      <c r="N1122" s="21"/>
      <c r="O1122" s="21"/>
      <c r="P1122" s="21"/>
      <c r="Q1122" s="21"/>
      <c r="R1122" s="21"/>
      <c r="S1122" s="21"/>
      <c r="T1122" s="21"/>
      <c r="U1122" s="22">
        <f>IFERROR(__xludf.DUMMYFUNCTION("IFERROR(GOOGLEFINANCE(A1122,""closeyest""),"""")"),50.0)</f>
        <v>50</v>
      </c>
      <c r="V1122" s="23">
        <f>IFERROR(__xludf.DUMMYFUNCTION("IFERROR(GOOGLEFINANCE(A1122,""changepct""),"""")"),0.0)</f>
        <v>0</v>
      </c>
      <c r="W1122" s="22" t="str">
        <f>IFERROR(__xludf.DUMMYFUNCTION("IFERROR(GOOGLEFINANCE(A1122,""priceopen""),"""")"),"")</f>
        <v/>
      </c>
      <c r="X1122" s="22" t="str">
        <f>IFERROR(__xludf.DUMMYFUNCTION("IFERROR(GOOGLEFINANCE(A1122,""high""),"""")"),"")</f>
        <v/>
      </c>
      <c r="Y1122" s="22" t="str">
        <f>IFERROR(__xludf.DUMMYFUNCTION("IFERROR(GOOGLEFINANCE(A1122,""low""),"""")"),"")</f>
        <v/>
      </c>
      <c r="Z1122" s="22">
        <f>IFERROR(__xludf.DUMMYFUNCTION("IFERROR(GOOGLEFINANCE(A1122,""volume""),"""")"),0.0)</f>
        <v>0</v>
      </c>
      <c r="AA1122" s="24" t="str">
        <f>VLOOKUP(A1122,Metrik!$C$2:$Y$959,5,0)</f>
        <v>Tourism &amp; Recreation</v>
      </c>
      <c r="AB1122" s="24" t="str">
        <f>VLOOKUP(A1122,Metrik!$C$2:$Y$959,3,0)</f>
        <v>Consumer Cyclicals</v>
      </c>
    </row>
    <row r="1123">
      <c r="A1123" s="14" t="s">
        <v>601</v>
      </c>
      <c r="B1123" s="14" t="str">
        <f t="array" ref="B1123">VLOOKUP(A1123,{Metrik!$C$2:$C$998,Metrik!$B$2:$B$998},2,0)</f>
        <v>Multi Agro Gemilang Plantation Tbk</v>
      </c>
      <c r="C1123" s="15">
        <f>IFERROR(__xludf.DUMMYFUNCTION("GOOGLEFINANCE(""IDX:""&amp;A1123,""price"")"),50.0)</f>
        <v>50</v>
      </c>
      <c r="D1123" s="16" t="str">
        <f>IFERROR(__xludf.DUMMYFUNCTION("IF(A1123="""","""",
SPARKLINE(
INDEX(
GOOGLEFINANCE(""IDX:""&amp;A1123,""close"",TODAY()-365,TODAY()),
,2
),
{""linewidth"",1}
))
"),"#N/A")</f>
        <v>#N/A</v>
      </c>
      <c r="E1123" s="26"/>
      <c r="F1123" s="26"/>
      <c r="G1123" s="24">
        <f t="shared" si="7"/>
        <v>0</v>
      </c>
      <c r="H1123" s="19">
        <f>VLOOKUP(A1123,Metrik!$C$2:$Y$959,8,0)</f>
        <v>0</v>
      </c>
      <c r="I1123" s="20">
        <f>VLOOKUP(A1123,Metrik!$C$2:$Y$959,9,0)</f>
        <v>5.9</v>
      </c>
      <c r="J1123" s="20">
        <f>VLOOKUP(A1123,Metrik!$C$2:$Y$959,10,0)</f>
        <v>-83.7</v>
      </c>
      <c r="K1123" s="20">
        <f>VLOOKUP(A1123,Metrik!$C$2:$Y$959,11,0)</f>
        <v>-7.6</v>
      </c>
      <c r="L1123" s="20">
        <f>VLOOKUP(A1123,Metrik!$C$2:$Y$959,12,0)</f>
        <v>10.1</v>
      </c>
      <c r="M1123" s="20">
        <f>VLOOKUP(A1123,Metrik!$C$2:$Y$959,19,0)</f>
        <v>-200</v>
      </c>
      <c r="N1123" s="21"/>
      <c r="O1123" s="21"/>
      <c r="P1123" s="21"/>
      <c r="Q1123" s="21"/>
      <c r="R1123" s="21"/>
      <c r="S1123" s="21"/>
      <c r="T1123" s="21"/>
      <c r="U1123" s="22">
        <f>IFERROR(__xludf.DUMMYFUNCTION("IFERROR(GOOGLEFINANCE(A1123,""closeyest""),"""")"),50.0)</f>
        <v>50</v>
      </c>
      <c r="V1123" s="23">
        <f>IFERROR(__xludf.DUMMYFUNCTION("IFERROR(GOOGLEFINANCE(A1123,""changepct""),"""")"),0.0)</f>
        <v>0</v>
      </c>
      <c r="W1123" s="22" t="str">
        <f>IFERROR(__xludf.DUMMYFUNCTION("IFERROR(GOOGLEFINANCE(A1123,""priceopen""),"""")"),"")</f>
        <v/>
      </c>
      <c r="X1123" s="22" t="str">
        <f>IFERROR(__xludf.DUMMYFUNCTION("IFERROR(GOOGLEFINANCE(A1123,""high""),"""")"),"")</f>
        <v/>
      </c>
      <c r="Y1123" s="22" t="str">
        <f>IFERROR(__xludf.DUMMYFUNCTION("IFERROR(GOOGLEFINANCE(A1123,""low""),"""")"),"")</f>
        <v/>
      </c>
      <c r="Z1123" s="22">
        <f>IFERROR(__xludf.DUMMYFUNCTION("IFERROR(GOOGLEFINANCE(A1123,""volume""),"""")"),0.0)</f>
        <v>0</v>
      </c>
      <c r="AA1123" s="24" t="str">
        <f>VLOOKUP(A1123,Metrik!$C$2:$Y$959,5,0)</f>
        <v>Agricultural Products</v>
      </c>
      <c r="AB1123" s="24" t="str">
        <f>VLOOKUP(A1123,Metrik!$C$2:$Y$959,3,0)</f>
        <v>Consumer Non-Cyclicals</v>
      </c>
    </row>
    <row r="1124">
      <c r="A1124" s="14" t="s">
        <v>602</v>
      </c>
      <c r="B1124" s="14" t="str">
        <f t="array" ref="B1124">VLOOKUP(A1124,{Metrik!$C$2:$C$998,Metrik!$B$2:$B$998},2,0)</f>
        <v>PT Mandiri Herindo Adiperkasa Tbk</v>
      </c>
      <c r="C1124" s="15">
        <f>IFERROR(__xludf.DUMMYFUNCTION("GOOGLEFINANCE(""IDX:""&amp;A1124,""price"")"),134.0)</f>
        <v>134</v>
      </c>
      <c r="D1124" s="16" t="str">
        <f>IFERROR(__xludf.DUMMYFUNCTION("IF(A1124="""","""",
SPARKLINE(
INDEX(
GOOGLEFINANCE(""IDX:""&amp;A1124,""close"",TODAY()-365,TODAY()),
,2
),
{""linewidth"",1}
))
"),"#N/A")</f>
        <v>#N/A</v>
      </c>
      <c r="E1124" s="26"/>
      <c r="F1124" s="26"/>
      <c r="G1124" s="24">
        <f t="shared" si="7"/>
        <v>0</v>
      </c>
      <c r="H1124" s="19">
        <f>VLOOKUP(A1124,Metrik!$C$2:$Y$959,8,0)</f>
        <v>7.6</v>
      </c>
      <c r="I1124" s="20">
        <f>VLOOKUP(A1124,Metrik!$C$2:$Y$959,9,0)</f>
        <v>1.2</v>
      </c>
      <c r="J1124" s="20">
        <f>VLOOKUP(A1124,Metrik!$C$2:$Y$959,10,0)</f>
        <v>16</v>
      </c>
      <c r="K1124" s="20">
        <f>VLOOKUP(A1124,Metrik!$C$2:$Y$959,11,0)</f>
        <v>10.6</v>
      </c>
      <c r="L1124" s="20">
        <f>VLOOKUP(A1124,Metrik!$C$2:$Y$959,12,0)</f>
        <v>0.52</v>
      </c>
      <c r="M1124" s="20">
        <f>VLOOKUP(A1124,Metrik!$C$2:$Y$959,19,0)</f>
        <v>44</v>
      </c>
      <c r="N1124" s="21"/>
      <c r="O1124" s="21"/>
      <c r="P1124" s="21"/>
      <c r="Q1124" s="21"/>
      <c r="R1124" s="21"/>
      <c r="S1124" s="21"/>
      <c r="T1124" s="21"/>
      <c r="U1124" s="22">
        <f>IFERROR(__xludf.DUMMYFUNCTION("IFERROR(GOOGLEFINANCE(A1124,""closeyest""),"""")"),129.0)</f>
        <v>129</v>
      </c>
      <c r="V1124" s="23">
        <f>IFERROR(__xludf.DUMMYFUNCTION("IFERROR(GOOGLEFINANCE(A1124,""changepct""),"""")"),3.88)</f>
        <v>3.88</v>
      </c>
      <c r="W1124" s="22">
        <f>IFERROR(__xludf.DUMMYFUNCTION("IFERROR(GOOGLEFINANCE(A1124,""priceopen""),"""")"),129.0)</f>
        <v>129</v>
      </c>
      <c r="X1124" s="22">
        <f>IFERROR(__xludf.DUMMYFUNCTION("IFERROR(GOOGLEFINANCE(A1124,""high""),"""")"),135.0)</f>
        <v>135</v>
      </c>
      <c r="Y1124" s="22">
        <f>IFERROR(__xludf.DUMMYFUNCTION("IFERROR(GOOGLEFINANCE(A1124,""low""),"""")"),128.0)</f>
        <v>128</v>
      </c>
      <c r="Z1124" s="22">
        <f>IFERROR(__xludf.DUMMYFUNCTION("IFERROR(GOOGLEFINANCE(A1124,""volume""),"""")"),1820200.0)</f>
        <v>1820200</v>
      </c>
      <c r="AA1124" s="24" t="str">
        <f>VLOOKUP(A1124,Metrik!$C$2:$Y$959,5,0)</f>
        <v>Coal</v>
      </c>
      <c r="AB1124" s="24" t="str">
        <f>VLOOKUP(A1124,Metrik!$C$2:$Y$959,3,0)</f>
        <v>Energy</v>
      </c>
    </row>
    <row r="1125">
      <c r="A1125" s="14" t="s">
        <v>603</v>
      </c>
      <c r="B1125" s="14" t="str">
        <f t="array" ref="B1125">VLOOKUP(A1125,{Metrik!$C$2:$C$998,Metrik!$B$2:$B$998},2,0)</f>
        <v>Malindo Feedmill Tbk.</v>
      </c>
      <c r="C1125" s="15">
        <f>IFERROR(__xludf.DUMMYFUNCTION("GOOGLEFINANCE(""IDX:""&amp;A1125,""price"")"),685.0)</f>
        <v>685</v>
      </c>
      <c r="D1125" s="16" t="str">
        <f>IFERROR(__xludf.DUMMYFUNCTION("IF(A1125="""","""",
SPARKLINE(
INDEX(
GOOGLEFINANCE(""IDX:""&amp;A1125,""close"",TODAY()-365,TODAY()),
,2
),
{""linewidth"",1}
))
"),"#N/A")</f>
        <v>#N/A</v>
      </c>
      <c r="E1125" s="26"/>
      <c r="F1125" s="26"/>
      <c r="G1125" s="24">
        <f t="shared" si="7"/>
        <v>0</v>
      </c>
      <c r="H1125" s="19">
        <f>VLOOKUP(A1125,Metrik!$C$2:$Y$959,8,0)</f>
        <v>4.1</v>
      </c>
      <c r="I1125" s="20">
        <f>VLOOKUP(A1125,Metrik!$C$2:$Y$959,9,0)</f>
        <v>0.62</v>
      </c>
      <c r="J1125" s="20">
        <f>VLOOKUP(A1125,Metrik!$C$2:$Y$959,10,0)</f>
        <v>15.1</v>
      </c>
      <c r="K1125" s="20">
        <f>VLOOKUP(A1125,Metrik!$C$2:$Y$959,11,0)</f>
        <v>7.4</v>
      </c>
      <c r="L1125" s="20">
        <f>VLOOKUP(A1125,Metrik!$C$2:$Y$959,12,0)</f>
        <v>1</v>
      </c>
      <c r="M1125" s="20">
        <f>VLOOKUP(A1125,Metrik!$C$2:$Y$959,19,0)</f>
        <v>12.3</v>
      </c>
      <c r="N1125" s="21"/>
      <c r="O1125" s="21"/>
      <c r="P1125" s="21"/>
      <c r="Q1125" s="21"/>
      <c r="R1125" s="21"/>
      <c r="S1125" s="21"/>
      <c r="T1125" s="21"/>
      <c r="U1125" s="22">
        <f>IFERROR(__xludf.DUMMYFUNCTION("IFERROR(GOOGLEFINANCE(A1125,""closeyest""),"""")"),51.74)</f>
        <v>51.74</v>
      </c>
      <c r="V1125" s="23">
        <f>IFERROR(__xludf.DUMMYFUNCTION("IFERROR(GOOGLEFINANCE(A1125,""changepct""),"""")"),0.54)</f>
        <v>0.54</v>
      </c>
      <c r="W1125" s="22">
        <f>IFERROR(__xludf.DUMMYFUNCTION("IFERROR(GOOGLEFINANCE(A1125,""priceopen""),"""")"),51.9)</f>
        <v>51.9</v>
      </c>
      <c r="X1125" s="22">
        <f>IFERROR(__xludf.DUMMYFUNCTION("IFERROR(GOOGLEFINANCE(A1125,""high""),"""")"),52.45)</f>
        <v>52.45</v>
      </c>
      <c r="Y1125" s="22">
        <f>IFERROR(__xludf.DUMMYFUNCTION("IFERROR(GOOGLEFINANCE(A1125,""low""),"""")"),51.5)</f>
        <v>51.5</v>
      </c>
      <c r="Z1125" s="22">
        <f>IFERROR(__xludf.DUMMYFUNCTION("IFERROR(GOOGLEFINANCE(A1125,""volume""),"""")"),385627.0)</f>
        <v>385627</v>
      </c>
      <c r="AA1125" s="24" t="str">
        <f>VLOOKUP(A1125,Metrik!$C$2:$Y$959,5,0)</f>
        <v>Agricultural Products</v>
      </c>
      <c r="AB1125" s="24" t="str">
        <f>VLOOKUP(A1125,Metrik!$C$2:$Y$959,3,0)</f>
        <v>Consumer Non-Cyclicals</v>
      </c>
    </row>
    <row r="1126">
      <c r="A1126" s="14" t="s">
        <v>604</v>
      </c>
      <c r="B1126" s="14" t="str">
        <f t="array" ref="B1126">VLOOKUP(A1126,{Metrik!$C$2:$C$998,Metrik!$B$2:$B$998},2,0)</f>
        <v>Manggung Polahraya Tbk.</v>
      </c>
      <c r="C1126" s="15">
        <f>IFERROR(__xludf.DUMMYFUNCTION("GOOGLEFINANCE(""IDX:""&amp;A1126,""price"")"),42.0)</f>
        <v>42</v>
      </c>
      <c r="D1126" s="16" t="str">
        <f>IFERROR(__xludf.DUMMYFUNCTION("IF(A1126="""","""",
SPARKLINE(
INDEX(
GOOGLEFINANCE(""IDX:""&amp;A1126,""close"",TODAY()-365,TODAY()),
,2
),
{""linewidth"",1}
))
"),"#N/A")</f>
        <v>#N/A</v>
      </c>
      <c r="E1126" s="26"/>
      <c r="F1126" s="26"/>
      <c r="G1126" s="24">
        <f t="shared" si="7"/>
        <v>0</v>
      </c>
      <c r="H1126" s="19">
        <f>VLOOKUP(A1126,Metrik!$C$2:$Y$959,8,0)</f>
        <v>-14.3</v>
      </c>
      <c r="I1126" s="20">
        <f>VLOOKUP(A1126,Metrik!$C$2:$Y$959,9,0)</f>
        <v>1.4</v>
      </c>
      <c r="J1126" s="20">
        <f>VLOOKUP(A1126,Metrik!$C$2:$Y$959,10,0)</f>
        <v>-9.5</v>
      </c>
      <c r="K1126" s="20">
        <f>VLOOKUP(A1126,Metrik!$C$2:$Y$959,11,0)</f>
        <v>-7.8</v>
      </c>
      <c r="L1126" s="20">
        <f>VLOOKUP(A1126,Metrik!$C$2:$Y$959,12,0)</f>
        <v>0.22</v>
      </c>
      <c r="M1126" s="20">
        <f>VLOOKUP(A1126,Metrik!$C$2:$Y$959,19,0)</f>
        <v>-390</v>
      </c>
      <c r="N1126" s="21"/>
      <c r="O1126" s="21"/>
      <c r="P1126" s="21"/>
      <c r="Q1126" s="21"/>
      <c r="R1126" s="21"/>
      <c r="S1126" s="21"/>
      <c r="T1126" s="21"/>
      <c r="U1126" s="22">
        <f>IFERROR(__xludf.DUMMYFUNCTION("IFERROR(GOOGLEFINANCE(A1126,""closeyest""),"""")"),42.0)</f>
        <v>42</v>
      </c>
      <c r="V1126" s="23">
        <f>IFERROR(__xludf.DUMMYFUNCTION("IFERROR(GOOGLEFINANCE(A1126,""changepct""),"""")"),0.0)</f>
        <v>0</v>
      </c>
      <c r="W1126" s="22">
        <f>IFERROR(__xludf.DUMMYFUNCTION("IFERROR(GOOGLEFINANCE(A1126,""priceopen""),"""")"),42.0)</f>
        <v>42</v>
      </c>
      <c r="X1126" s="22">
        <f>IFERROR(__xludf.DUMMYFUNCTION("IFERROR(GOOGLEFINANCE(A1126,""high""),"""")"),42.0)</f>
        <v>42</v>
      </c>
      <c r="Y1126" s="22">
        <f>IFERROR(__xludf.DUMMYFUNCTION("IFERROR(GOOGLEFINANCE(A1126,""low""),"""")"),41.0)</f>
        <v>41</v>
      </c>
      <c r="Z1126" s="22">
        <f>IFERROR(__xludf.DUMMYFUNCTION("IFERROR(GOOGLEFINANCE(A1126,""volume""),"""")"),5273100.0)</f>
        <v>5273100</v>
      </c>
      <c r="AA1126" s="24" t="str">
        <f>VLOOKUP(A1126,Metrik!$C$2:$Y$959,5,0)</f>
        <v>Heavy Constructions &amp; Civil Engineering</v>
      </c>
      <c r="AB1126" s="24" t="str">
        <f>VLOOKUP(A1126,Metrik!$C$2:$Y$959,3,0)</f>
        <v>Infrastructures</v>
      </c>
    </row>
    <row r="1127">
      <c r="A1127" s="14" t="s">
        <v>605</v>
      </c>
      <c r="B1127" s="14" t="str">
        <f t="array" ref="B1127">VLOOKUP(A1127,{Metrik!$C$2:$C$998,Metrik!$B$2:$B$998},2,0)</f>
        <v>Map Aktif Adiperkasa Tbk.</v>
      </c>
      <c r="C1127" s="15">
        <f>IFERROR(__xludf.DUMMYFUNCTION("GOOGLEFINANCE(""IDX:""&amp;A1127,""price"")"),565.0)</f>
        <v>565</v>
      </c>
      <c r="D1127" s="16" t="str">
        <f>IFERROR(__xludf.DUMMYFUNCTION("IF(A1127="""","""",
SPARKLINE(
INDEX(
GOOGLEFINANCE(""IDX:""&amp;A1127,""close"",TODAY()-365,TODAY()),
,2
),
{""linewidth"",1}
))
"),"#N/A")</f>
        <v>#N/A</v>
      </c>
      <c r="E1127" s="14" t="s">
        <v>65</v>
      </c>
      <c r="F1127" s="25">
        <v>46356.0</v>
      </c>
      <c r="G1127" s="18">
        <f t="shared" si="7"/>
        <v>9</v>
      </c>
      <c r="H1127" s="19">
        <f>VLOOKUP(A1127,Metrik!$C$2:$Y$959,8,0)</f>
        <v>9.9</v>
      </c>
      <c r="I1127" s="20">
        <f>VLOOKUP(A1127,Metrik!$C$2:$Y$959,9,0)</f>
        <v>2</v>
      </c>
      <c r="J1127" s="20">
        <f>VLOOKUP(A1127,Metrik!$C$2:$Y$959,10,0)</f>
        <v>20</v>
      </c>
      <c r="K1127" s="20">
        <f>VLOOKUP(A1127,Metrik!$C$2:$Y$959,11,0)</f>
        <v>12.7</v>
      </c>
      <c r="L1127" s="20">
        <f>VLOOKUP(A1127,Metrik!$C$2:$Y$959,12,0)</f>
        <v>0.57</v>
      </c>
      <c r="M1127" s="20">
        <f>VLOOKUP(A1127,Metrik!$C$2:$Y$959,19,0)</f>
        <v>37.4</v>
      </c>
      <c r="N1127" s="21"/>
      <c r="O1127" s="21"/>
      <c r="P1127" s="21"/>
      <c r="Q1127" s="21"/>
      <c r="R1127" s="21"/>
      <c r="S1127" s="21"/>
      <c r="T1127" s="21"/>
      <c r="U1127" s="22">
        <f>IFERROR(__xludf.DUMMYFUNCTION("IFERROR(GOOGLEFINANCE(A1127,""closeyest""),"""")"),565.0)</f>
        <v>565</v>
      </c>
      <c r="V1127" s="23">
        <f>IFERROR(__xludf.DUMMYFUNCTION("IFERROR(GOOGLEFINANCE(A1127,""changepct""),"""")"),0.0)</f>
        <v>0</v>
      </c>
      <c r="W1127" s="22">
        <f>IFERROR(__xludf.DUMMYFUNCTION("IFERROR(GOOGLEFINANCE(A1127,""priceopen""),"""")"),565.0)</f>
        <v>565</v>
      </c>
      <c r="X1127" s="22">
        <f>IFERROR(__xludf.DUMMYFUNCTION("IFERROR(GOOGLEFINANCE(A1127,""high""),"""")"),570.0)</f>
        <v>570</v>
      </c>
      <c r="Y1127" s="22">
        <f>IFERROR(__xludf.DUMMYFUNCTION("IFERROR(GOOGLEFINANCE(A1127,""low""),"""")"),545.0)</f>
        <v>545</v>
      </c>
      <c r="Z1127" s="22">
        <f>IFERROR(__xludf.DUMMYFUNCTION("IFERROR(GOOGLEFINANCE(A1127,""volume""),"""")"),2.25304E7)</f>
        <v>22530400</v>
      </c>
      <c r="AA1127" s="24" t="str">
        <f>VLOOKUP(A1127,Metrik!$C$2:$Y$959,5,0)</f>
        <v>Specialty Retail</v>
      </c>
      <c r="AB1127" s="24" t="str">
        <f>VLOOKUP(A1127,Metrik!$C$2:$Y$959,3,0)</f>
        <v>Consumer Cyclicals</v>
      </c>
    </row>
    <row r="1128">
      <c r="A1128" s="14" t="s">
        <v>605</v>
      </c>
      <c r="B1128" s="14" t="str">
        <f t="array" ref="B1128">VLOOKUP(A1128,{Metrik!$C$2:$C$998,Metrik!$B$2:$B$998},2,0)</f>
        <v>Map Aktif Adiperkasa Tbk.</v>
      </c>
      <c r="C1128" s="15">
        <f>IFERROR(__xludf.DUMMYFUNCTION("GOOGLEFINANCE(""IDX:""&amp;A1128,""price"")"),565.0)</f>
        <v>565</v>
      </c>
      <c r="D1128" s="16" t="str">
        <f>IFERROR(__xludf.DUMMYFUNCTION("IF(A1128="""","""",
SPARKLINE(
INDEX(
GOOGLEFINANCE(""IDX:""&amp;A1128,""close"",TODAY()-365,TODAY()),
,2
),
{""linewidth"",1}
))
"),"#N/A")</f>
        <v>#N/A</v>
      </c>
      <c r="E1128" s="14" t="s">
        <v>50</v>
      </c>
      <c r="F1128" s="17" t="s">
        <v>51</v>
      </c>
      <c r="G1128" s="18">
        <f t="shared" si="7"/>
        <v>9</v>
      </c>
      <c r="H1128" s="19">
        <f>VLOOKUP(A1128,Metrik!$C$2:$Y$959,8,0)</f>
        <v>9.9</v>
      </c>
      <c r="I1128" s="20">
        <f>VLOOKUP(A1128,Metrik!$C$2:$Y$959,9,0)</f>
        <v>2</v>
      </c>
      <c r="J1128" s="20">
        <f>VLOOKUP(A1128,Metrik!$C$2:$Y$959,10,0)</f>
        <v>20</v>
      </c>
      <c r="K1128" s="20">
        <f>VLOOKUP(A1128,Metrik!$C$2:$Y$959,11,0)</f>
        <v>12.7</v>
      </c>
      <c r="L1128" s="20">
        <f>VLOOKUP(A1128,Metrik!$C$2:$Y$959,12,0)</f>
        <v>0.57</v>
      </c>
      <c r="M1128" s="20">
        <f>VLOOKUP(A1128,Metrik!$C$2:$Y$959,19,0)</f>
        <v>37.4</v>
      </c>
      <c r="N1128" s="21"/>
      <c r="O1128" s="21"/>
      <c r="P1128" s="21"/>
      <c r="Q1128" s="21"/>
      <c r="R1128" s="21"/>
      <c r="S1128" s="21"/>
      <c r="T1128" s="21"/>
      <c r="U1128" s="22">
        <f>IFERROR(__xludf.DUMMYFUNCTION("IFERROR(GOOGLEFINANCE(A1128,""closeyest""),"""")"),565.0)</f>
        <v>565</v>
      </c>
      <c r="V1128" s="23">
        <f>IFERROR(__xludf.DUMMYFUNCTION("IFERROR(GOOGLEFINANCE(A1128,""changepct""),"""")"),0.0)</f>
        <v>0</v>
      </c>
      <c r="W1128" s="22">
        <f>IFERROR(__xludf.DUMMYFUNCTION("IFERROR(GOOGLEFINANCE(A1128,""priceopen""),"""")"),565.0)</f>
        <v>565</v>
      </c>
      <c r="X1128" s="22">
        <f>IFERROR(__xludf.DUMMYFUNCTION("IFERROR(GOOGLEFINANCE(A1128,""high""),"""")"),570.0)</f>
        <v>570</v>
      </c>
      <c r="Y1128" s="22">
        <f>IFERROR(__xludf.DUMMYFUNCTION("IFERROR(GOOGLEFINANCE(A1128,""low""),"""")"),545.0)</f>
        <v>545</v>
      </c>
      <c r="Z1128" s="22">
        <f>IFERROR(__xludf.DUMMYFUNCTION("IFERROR(GOOGLEFINANCE(A1128,""volume""),"""")"),2.25304E7)</f>
        <v>22530400</v>
      </c>
      <c r="AA1128" s="24" t="str">
        <f>VLOOKUP(A1128,Metrik!$C$2:$Y$959,5,0)</f>
        <v>Specialty Retail</v>
      </c>
      <c r="AB1128" s="24" t="str">
        <f>VLOOKUP(A1128,Metrik!$C$2:$Y$959,3,0)</f>
        <v>Consumer Cyclicals</v>
      </c>
    </row>
    <row r="1129">
      <c r="A1129" s="14" t="s">
        <v>605</v>
      </c>
      <c r="B1129" s="14" t="str">
        <f t="array" ref="B1129">VLOOKUP(A1129,{Metrik!$C$2:$C$998,Metrik!$B$2:$B$998},2,0)</f>
        <v>Map Aktif Adiperkasa Tbk.</v>
      </c>
      <c r="C1129" s="15">
        <f>IFERROR(__xludf.DUMMYFUNCTION("GOOGLEFINANCE(""IDX:""&amp;A1129,""price"")"),565.0)</f>
        <v>565</v>
      </c>
      <c r="D1129" s="16" t="str">
        <f>IFERROR(__xludf.DUMMYFUNCTION("IF(A1129="""","""",
SPARKLINE(
INDEX(
GOOGLEFINANCE(""IDX:""&amp;A1129,""close"",TODAY()-365,TODAY()),
,2
),
{""linewidth"",1}
))
"),"#N/A")</f>
        <v>#N/A</v>
      </c>
      <c r="E1129" s="14" t="s">
        <v>28</v>
      </c>
      <c r="F1129" s="17" t="s">
        <v>29</v>
      </c>
      <c r="G1129" s="18">
        <f t="shared" si="7"/>
        <v>9</v>
      </c>
      <c r="H1129" s="19">
        <f>VLOOKUP(A1129,Metrik!$C$2:$Y$959,8,0)</f>
        <v>9.9</v>
      </c>
      <c r="I1129" s="20">
        <f>VLOOKUP(A1129,Metrik!$C$2:$Y$959,9,0)</f>
        <v>2</v>
      </c>
      <c r="J1129" s="20">
        <f>VLOOKUP(A1129,Metrik!$C$2:$Y$959,10,0)</f>
        <v>20</v>
      </c>
      <c r="K1129" s="20">
        <f>VLOOKUP(A1129,Metrik!$C$2:$Y$959,11,0)</f>
        <v>12.7</v>
      </c>
      <c r="L1129" s="20">
        <f>VLOOKUP(A1129,Metrik!$C$2:$Y$959,12,0)</f>
        <v>0.57</v>
      </c>
      <c r="M1129" s="20">
        <f>VLOOKUP(A1129,Metrik!$C$2:$Y$959,19,0)</f>
        <v>37.4</v>
      </c>
      <c r="N1129" s="21"/>
      <c r="O1129" s="21"/>
      <c r="P1129" s="21"/>
      <c r="Q1129" s="21"/>
      <c r="R1129" s="21"/>
      <c r="S1129" s="21"/>
      <c r="T1129" s="21"/>
      <c r="U1129" s="22">
        <f>IFERROR(__xludf.DUMMYFUNCTION("IFERROR(GOOGLEFINANCE(A1129,""closeyest""),"""")"),565.0)</f>
        <v>565</v>
      </c>
      <c r="V1129" s="23">
        <f>IFERROR(__xludf.DUMMYFUNCTION("IFERROR(GOOGLEFINANCE(A1129,""changepct""),"""")"),0.0)</f>
        <v>0</v>
      </c>
      <c r="W1129" s="22">
        <f>IFERROR(__xludf.DUMMYFUNCTION("IFERROR(GOOGLEFINANCE(A1129,""priceopen""),"""")"),565.0)</f>
        <v>565</v>
      </c>
      <c r="X1129" s="22">
        <f>IFERROR(__xludf.DUMMYFUNCTION("IFERROR(GOOGLEFINANCE(A1129,""high""),"""")"),570.0)</f>
        <v>570</v>
      </c>
      <c r="Y1129" s="22">
        <f>IFERROR(__xludf.DUMMYFUNCTION("IFERROR(GOOGLEFINANCE(A1129,""low""),"""")"),545.0)</f>
        <v>545</v>
      </c>
      <c r="Z1129" s="22">
        <f>IFERROR(__xludf.DUMMYFUNCTION("IFERROR(GOOGLEFINANCE(A1129,""volume""),"""")"),2.25304E7)</f>
        <v>22530400</v>
      </c>
      <c r="AA1129" s="24" t="str">
        <f>VLOOKUP(A1129,Metrik!$C$2:$Y$959,5,0)</f>
        <v>Specialty Retail</v>
      </c>
      <c r="AB1129" s="24" t="str">
        <f>VLOOKUP(A1129,Metrik!$C$2:$Y$959,3,0)</f>
        <v>Consumer Cyclicals</v>
      </c>
    </row>
    <row r="1130">
      <c r="A1130" s="14" t="s">
        <v>605</v>
      </c>
      <c r="B1130" s="14" t="str">
        <f t="array" ref="B1130">VLOOKUP(A1130,{Metrik!$C$2:$C$998,Metrik!$B$2:$B$998},2,0)</f>
        <v>Map Aktif Adiperkasa Tbk.</v>
      </c>
      <c r="C1130" s="15">
        <f>IFERROR(__xludf.DUMMYFUNCTION("GOOGLEFINANCE(""IDX:""&amp;A1130,""price"")"),565.0)</f>
        <v>565</v>
      </c>
      <c r="D1130" s="16" t="str">
        <f>IFERROR(__xludf.DUMMYFUNCTION("IF(A1130="""","""",
SPARKLINE(
INDEX(
GOOGLEFINANCE(""IDX:""&amp;A1130,""close"",TODAY()-365,TODAY()),
,2
),
{""linewidth"",1}
))
"),"#N/A")</f>
        <v>#N/A</v>
      </c>
      <c r="E1130" s="14" t="s">
        <v>52</v>
      </c>
      <c r="F1130" s="27" t="s">
        <v>53</v>
      </c>
      <c r="G1130" s="18">
        <f t="shared" si="7"/>
        <v>9</v>
      </c>
      <c r="H1130" s="19">
        <f>VLOOKUP(A1130,Metrik!$C$2:$Y$959,8,0)</f>
        <v>9.9</v>
      </c>
      <c r="I1130" s="20">
        <f>VLOOKUP(A1130,Metrik!$C$2:$Y$959,9,0)</f>
        <v>2</v>
      </c>
      <c r="J1130" s="20">
        <f>VLOOKUP(A1130,Metrik!$C$2:$Y$959,10,0)</f>
        <v>20</v>
      </c>
      <c r="K1130" s="20">
        <f>VLOOKUP(A1130,Metrik!$C$2:$Y$959,11,0)</f>
        <v>12.7</v>
      </c>
      <c r="L1130" s="20">
        <f>VLOOKUP(A1130,Metrik!$C$2:$Y$959,12,0)</f>
        <v>0.57</v>
      </c>
      <c r="M1130" s="20">
        <f>VLOOKUP(A1130,Metrik!$C$2:$Y$959,19,0)</f>
        <v>37.4</v>
      </c>
      <c r="N1130" s="21"/>
      <c r="O1130" s="21"/>
      <c r="P1130" s="21"/>
      <c r="Q1130" s="21"/>
      <c r="R1130" s="21"/>
      <c r="S1130" s="21"/>
      <c r="T1130" s="21"/>
      <c r="U1130" s="22">
        <f>IFERROR(__xludf.DUMMYFUNCTION("IFERROR(GOOGLEFINANCE(A1130,""closeyest""),"""")"),565.0)</f>
        <v>565</v>
      </c>
      <c r="V1130" s="23">
        <f>IFERROR(__xludf.DUMMYFUNCTION("IFERROR(GOOGLEFINANCE(A1130,""changepct""),"""")"),0.0)</f>
        <v>0</v>
      </c>
      <c r="W1130" s="22">
        <f>IFERROR(__xludf.DUMMYFUNCTION("IFERROR(GOOGLEFINANCE(A1130,""priceopen""),"""")"),565.0)</f>
        <v>565</v>
      </c>
      <c r="X1130" s="22">
        <f>IFERROR(__xludf.DUMMYFUNCTION("IFERROR(GOOGLEFINANCE(A1130,""high""),"""")"),570.0)</f>
        <v>570</v>
      </c>
      <c r="Y1130" s="22">
        <f>IFERROR(__xludf.DUMMYFUNCTION("IFERROR(GOOGLEFINANCE(A1130,""low""),"""")"),545.0)</f>
        <v>545</v>
      </c>
      <c r="Z1130" s="22">
        <f>IFERROR(__xludf.DUMMYFUNCTION("IFERROR(GOOGLEFINANCE(A1130,""volume""),"""")"),2.25304E7)</f>
        <v>22530400</v>
      </c>
      <c r="AA1130" s="24" t="str">
        <f>VLOOKUP(A1130,Metrik!$C$2:$Y$959,5,0)</f>
        <v>Specialty Retail</v>
      </c>
      <c r="AB1130" s="24" t="str">
        <f>VLOOKUP(A1130,Metrik!$C$2:$Y$959,3,0)</f>
        <v>Consumer Cyclicals</v>
      </c>
    </row>
    <row r="1131">
      <c r="A1131" s="14" t="s">
        <v>605</v>
      </c>
      <c r="B1131" s="14" t="str">
        <f t="array" ref="B1131">VLOOKUP(A1131,{Metrik!$C$2:$C$998,Metrik!$B$2:$B$998},2,0)</f>
        <v>Map Aktif Adiperkasa Tbk.</v>
      </c>
      <c r="C1131" s="15">
        <f>IFERROR(__xludf.DUMMYFUNCTION("GOOGLEFINANCE(""IDX:""&amp;A1131,""price"")"),565.0)</f>
        <v>565</v>
      </c>
      <c r="D1131" s="16" t="str">
        <f>IFERROR(__xludf.DUMMYFUNCTION("IF(A1131="""","""",
SPARKLINE(
INDEX(
GOOGLEFINANCE(""IDX:""&amp;A1131,""close"",TODAY()-365,TODAY()),
,2
),
{""linewidth"",1}
))
"),"#N/A")</f>
        <v>#N/A</v>
      </c>
      <c r="E1131" s="14" t="s">
        <v>32</v>
      </c>
      <c r="F1131" s="14" t="s">
        <v>29</v>
      </c>
      <c r="G1131" s="18">
        <f t="shared" si="7"/>
        <v>9</v>
      </c>
      <c r="H1131" s="19">
        <f>VLOOKUP(A1131,Metrik!$C$2:$Y$959,8,0)</f>
        <v>9.9</v>
      </c>
      <c r="I1131" s="20">
        <f>VLOOKUP(A1131,Metrik!$C$2:$Y$959,9,0)</f>
        <v>2</v>
      </c>
      <c r="J1131" s="20">
        <f>VLOOKUP(A1131,Metrik!$C$2:$Y$959,10,0)</f>
        <v>20</v>
      </c>
      <c r="K1131" s="20">
        <f>VLOOKUP(A1131,Metrik!$C$2:$Y$959,11,0)</f>
        <v>12.7</v>
      </c>
      <c r="L1131" s="20">
        <f>VLOOKUP(A1131,Metrik!$C$2:$Y$959,12,0)</f>
        <v>0.57</v>
      </c>
      <c r="M1131" s="20">
        <f>VLOOKUP(A1131,Metrik!$C$2:$Y$959,19,0)</f>
        <v>37.4</v>
      </c>
      <c r="N1131" s="21"/>
      <c r="O1131" s="21"/>
      <c r="P1131" s="21"/>
      <c r="Q1131" s="21"/>
      <c r="R1131" s="21"/>
      <c r="S1131" s="21"/>
      <c r="T1131" s="21"/>
      <c r="U1131" s="22">
        <f>IFERROR(__xludf.DUMMYFUNCTION("IFERROR(GOOGLEFINANCE(A1131,""closeyest""),"""")"),565.0)</f>
        <v>565</v>
      </c>
      <c r="V1131" s="23">
        <f>IFERROR(__xludf.DUMMYFUNCTION("IFERROR(GOOGLEFINANCE(A1131,""changepct""),"""")"),0.0)</f>
        <v>0</v>
      </c>
      <c r="W1131" s="22">
        <f>IFERROR(__xludf.DUMMYFUNCTION("IFERROR(GOOGLEFINANCE(A1131,""priceopen""),"""")"),565.0)</f>
        <v>565</v>
      </c>
      <c r="X1131" s="22">
        <f>IFERROR(__xludf.DUMMYFUNCTION("IFERROR(GOOGLEFINANCE(A1131,""high""),"""")"),570.0)</f>
        <v>570</v>
      </c>
      <c r="Y1131" s="22">
        <f>IFERROR(__xludf.DUMMYFUNCTION("IFERROR(GOOGLEFINANCE(A1131,""low""),"""")"),545.0)</f>
        <v>545</v>
      </c>
      <c r="Z1131" s="22">
        <f>IFERROR(__xludf.DUMMYFUNCTION("IFERROR(GOOGLEFINANCE(A1131,""volume""),"""")"),2.25304E7)</f>
        <v>22530400</v>
      </c>
      <c r="AA1131" s="24" t="str">
        <f>VLOOKUP(A1131,Metrik!$C$2:$Y$959,5,0)</f>
        <v>Specialty Retail</v>
      </c>
      <c r="AB1131" s="24" t="str">
        <f>VLOOKUP(A1131,Metrik!$C$2:$Y$959,3,0)</f>
        <v>Consumer Cyclicals</v>
      </c>
    </row>
    <row r="1132">
      <c r="A1132" s="14" t="s">
        <v>605</v>
      </c>
      <c r="B1132" s="14" t="str">
        <f t="array" ref="B1132">VLOOKUP(A1132,{Metrik!$C$2:$C$998,Metrik!$B$2:$B$998},2,0)</f>
        <v>Map Aktif Adiperkasa Tbk.</v>
      </c>
      <c r="C1132" s="15">
        <f>IFERROR(__xludf.DUMMYFUNCTION("GOOGLEFINANCE(""IDX:""&amp;A1132,""price"")"),565.0)</f>
        <v>565</v>
      </c>
      <c r="D1132" s="16" t="str">
        <f>IFERROR(__xludf.DUMMYFUNCTION("IF(A1132="""","""",
SPARKLINE(
INDEX(
GOOGLEFINANCE(""IDX:""&amp;A1132,""close"",TODAY()-365,TODAY()),
,2
),
{""linewidth"",1}
))
"),"#N/A")</f>
        <v>#N/A</v>
      </c>
      <c r="E1132" s="14" t="s">
        <v>68</v>
      </c>
      <c r="F1132" s="14" t="s">
        <v>34</v>
      </c>
      <c r="G1132" s="18">
        <f t="shared" si="7"/>
        <v>9</v>
      </c>
      <c r="H1132" s="19">
        <f>VLOOKUP(A1132,Metrik!$C$2:$Y$959,8,0)</f>
        <v>9.9</v>
      </c>
      <c r="I1132" s="20">
        <f>VLOOKUP(A1132,Metrik!$C$2:$Y$959,9,0)</f>
        <v>2</v>
      </c>
      <c r="J1132" s="20">
        <f>VLOOKUP(A1132,Metrik!$C$2:$Y$959,10,0)</f>
        <v>20</v>
      </c>
      <c r="K1132" s="20">
        <f>VLOOKUP(A1132,Metrik!$C$2:$Y$959,11,0)</f>
        <v>12.7</v>
      </c>
      <c r="L1132" s="20">
        <f>VLOOKUP(A1132,Metrik!$C$2:$Y$959,12,0)</f>
        <v>0.57</v>
      </c>
      <c r="M1132" s="20">
        <f>VLOOKUP(A1132,Metrik!$C$2:$Y$959,19,0)</f>
        <v>37.4</v>
      </c>
      <c r="N1132" s="21"/>
      <c r="O1132" s="21"/>
      <c r="P1132" s="21"/>
      <c r="Q1132" s="21"/>
      <c r="R1132" s="21"/>
      <c r="S1132" s="21"/>
      <c r="T1132" s="21"/>
      <c r="U1132" s="22">
        <f>IFERROR(__xludf.DUMMYFUNCTION("IFERROR(GOOGLEFINANCE(A1132,""closeyest""),"""")"),565.0)</f>
        <v>565</v>
      </c>
      <c r="V1132" s="23">
        <f>IFERROR(__xludf.DUMMYFUNCTION("IFERROR(GOOGLEFINANCE(A1132,""changepct""),"""")"),0.0)</f>
        <v>0</v>
      </c>
      <c r="W1132" s="22">
        <f>IFERROR(__xludf.DUMMYFUNCTION("IFERROR(GOOGLEFINANCE(A1132,""priceopen""),"""")"),565.0)</f>
        <v>565</v>
      </c>
      <c r="X1132" s="22">
        <f>IFERROR(__xludf.DUMMYFUNCTION("IFERROR(GOOGLEFINANCE(A1132,""high""),"""")"),570.0)</f>
        <v>570</v>
      </c>
      <c r="Y1132" s="22">
        <f>IFERROR(__xludf.DUMMYFUNCTION("IFERROR(GOOGLEFINANCE(A1132,""low""),"""")"),545.0)</f>
        <v>545</v>
      </c>
      <c r="Z1132" s="22">
        <f>IFERROR(__xludf.DUMMYFUNCTION("IFERROR(GOOGLEFINANCE(A1132,""volume""),"""")"),2.25304E7)</f>
        <v>22530400</v>
      </c>
      <c r="AA1132" s="24" t="str">
        <f>VLOOKUP(A1132,Metrik!$C$2:$Y$959,5,0)</f>
        <v>Specialty Retail</v>
      </c>
      <c r="AB1132" s="24" t="str">
        <f>VLOOKUP(A1132,Metrik!$C$2:$Y$959,3,0)</f>
        <v>Consumer Cyclicals</v>
      </c>
    </row>
    <row r="1133">
      <c r="A1133" s="14" t="s">
        <v>605</v>
      </c>
      <c r="B1133" s="14" t="str">
        <f t="array" ref="B1133">VLOOKUP(A1133,{Metrik!$C$2:$C$998,Metrik!$B$2:$B$998},2,0)</f>
        <v>Map Aktif Adiperkasa Tbk.</v>
      </c>
      <c r="C1133" s="15">
        <f>IFERROR(__xludf.DUMMYFUNCTION("GOOGLEFINANCE(""IDX:""&amp;A1133,""price"")"),565.0)</f>
        <v>565</v>
      </c>
      <c r="D1133" s="16" t="str">
        <f>IFERROR(__xludf.DUMMYFUNCTION("IF(A1133="""","""",
SPARKLINE(
INDEX(
GOOGLEFINANCE(""IDX:""&amp;A1133,""close"",TODAY()-365,TODAY()),
,2
),
{""linewidth"",1}
))
"),"#N/A")</f>
        <v>#N/A</v>
      </c>
      <c r="E1133" s="14" t="s">
        <v>41</v>
      </c>
      <c r="F1133" s="14" t="s">
        <v>34</v>
      </c>
      <c r="G1133" s="18">
        <f t="shared" si="7"/>
        <v>9</v>
      </c>
      <c r="H1133" s="19">
        <f>VLOOKUP(A1133,Metrik!$C$2:$Y$959,8,0)</f>
        <v>9.9</v>
      </c>
      <c r="I1133" s="20">
        <f>VLOOKUP(A1133,Metrik!$C$2:$Y$959,9,0)</f>
        <v>2</v>
      </c>
      <c r="J1133" s="20">
        <f>VLOOKUP(A1133,Metrik!$C$2:$Y$959,10,0)</f>
        <v>20</v>
      </c>
      <c r="K1133" s="20">
        <f>VLOOKUP(A1133,Metrik!$C$2:$Y$959,11,0)</f>
        <v>12.7</v>
      </c>
      <c r="L1133" s="20">
        <f>VLOOKUP(A1133,Metrik!$C$2:$Y$959,12,0)</f>
        <v>0.57</v>
      </c>
      <c r="M1133" s="20">
        <f>VLOOKUP(A1133,Metrik!$C$2:$Y$959,19,0)</f>
        <v>37.4</v>
      </c>
      <c r="N1133" s="21"/>
      <c r="O1133" s="21"/>
      <c r="P1133" s="21"/>
      <c r="Q1133" s="21"/>
      <c r="R1133" s="21"/>
      <c r="S1133" s="21"/>
      <c r="T1133" s="21"/>
      <c r="U1133" s="22">
        <f>IFERROR(__xludf.DUMMYFUNCTION("IFERROR(GOOGLEFINANCE(A1133,""closeyest""),"""")"),565.0)</f>
        <v>565</v>
      </c>
      <c r="V1133" s="23">
        <f>IFERROR(__xludf.DUMMYFUNCTION("IFERROR(GOOGLEFINANCE(A1133,""changepct""),"""")"),0.0)</f>
        <v>0</v>
      </c>
      <c r="W1133" s="22">
        <f>IFERROR(__xludf.DUMMYFUNCTION("IFERROR(GOOGLEFINANCE(A1133,""priceopen""),"""")"),565.0)</f>
        <v>565</v>
      </c>
      <c r="X1133" s="22">
        <f>IFERROR(__xludf.DUMMYFUNCTION("IFERROR(GOOGLEFINANCE(A1133,""high""),"""")"),570.0)</f>
        <v>570</v>
      </c>
      <c r="Y1133" s="22">
        <f>IFERROR(__xludf.DUMMYFUNCTION("IFERROR(GOOGLEFINANCE(A1133,""low""),"""")"),545.0)</f>
        <v>545</v>
      </c>
      <c r="Z1133" s="22">
        <f>IFERROR(__xludf.DUMMYFUNCTION("IFERROR(GOOGLEFINANCE(A1133,""volume""),"""")"),2.25304E7)</f>
        <v>22530400</v>
      </c>
      <c r="AA1133" s="24" t="str">
        <f>VLOOKUP(A1133,Metrik!$C$2:$Y$959,5,0)</f>
        <v>Specialty Retail</v>
      </c>
      <c r="AB1133" s="24" t="str">
        <f>VLOOKUP(A1133,Metrik!$C$2:$Y$959,3,0)</f>
        <v>Consumer Cyclicals</v>
      </c>
    </row>
    <row r="1134">
      <c r="A1134" s="17" t="s">
        <v>605</v>
      </c>
      <c r="B1134" s="14" t="str">
        <f t="array" ref="B1134">VLOOKUP(A1134,{Metrik!$C$2:$C$998,Metrik!$B$2:$B$998},2,0)</f>
        <v>Map Aktif Adiperkasa Tbk.</v>
      </c>
      <c r="C1134" s="15">
        <f>IFERROR(__xludf.DUMMYFUNCTION("GOOGLEFINANCE(""IDX:""&amp;A1134,""price"")"),565.0)</f>
        <v>565</v>
      </c>
      <c r="D1134" s="16" t="str">
        <f>IFERROR(__xludf.DUMMYFUNCTION("IF(A1134="""","""",
SPARKLINE(
INDEX(
GOOGLEFINANCE(""IDX:""&amp;A1134,""close"",TODAY()-365,TODAY()),
,2
),
{""linewidth"",1}
))
"),"#N/A")</f>
        <v>#N/A</v>
      </c>
      <c r="E1134" s="14" t="s">
        <v>35</v>
      </c>
      <c r="F1134" s="17" t="s">
        <v>36</v>
      </c>
      <c r="G1134" s="38">
        <f t="shared" si="7"/>
        <v>9</v>
      </c>
      <c r="H1134" s="34">
        <f>VLOOKUP(A1134,Metrik!$C$2:$Y$959,8,0)</f>
        <v>9.9</v>
      </c>
      <c r="I1134" s="34">
        <f>VLOOKUP(A1134,Metrik!$C$2:$Y$959,9,0)</f>
        <v>2</v>
      </c>
      <c r="J1134" s="34">
        <f>VLOOKUP(A1134,Metrik!$C$2:$Y$959,10,0)</f>
        <v>20</v>
      </c>
      <c r="K1134" s="34">
        <f>VLOOKUP(A1134,Metrik!$C$2:$Y$959,11,0)</f>
        <v>12.7</v>
      </c>
      <c r="L1134" s="34">
        <f>VLOOKUP(A1134,Metrik!$C$2:$Y$959,12,0)</f>
        <v>0.57</v>
      </c>
      <c r="M1134" s="34">
        <f>VLOOKUP(A1134,Metrik!$C$2:$Y$959,19,0)</f>
        <v>37.4</v>
      </c>
      <c r="N1134" s="26"/>
      <c r="O1134" s="26"/>
      <c r="P1134" s="26"/>
      <c r="Q1134" s="26"/>
      <c r="R1134" s="26"/>
      <c r="S1134" s="26"/>
      <c r="T1134" s="26"/>
      <c r="U1134" s="35">
        <f>IFERROR(__xludf.DUMMYFUNCTION("IFERROR(GOOGLEFINANCE(A1134,""closeyest""),"""")"),565.0)</f>
        <v>565</v>
      </c>
      <c r="V1134" s="36">
        <f>IFERROR(__xludf.DUMMYFUNCTION("IFERROR(GOOGLEFINANCE(A1134,""changepct""),"""")"),0.0)</f>
        <v>0</v>
      </c>
      <c r="W1134" s="35">
        <f>IFERROR(__xludf.DUMMYFUNCTION("IFERROR(GOOGLEFINANCE(A1134,""priceopen""),"""")"),565.0)</f>
        <v>565</v>
      </c>
      <c r="X1134" s="35">
        <f>IFERROR(__xludf.DUMMYFUNCTION("IFERROR(GOOGLEFINANCE(A1134,""high""),"""")"),570.0)</f>
        <v>570</v>
      </c>
      <c r="Y1134" s="35">
        <f>IFERROR(__xludf.DUMMYFUNCTION("IFERROR(GOOGLEFINANCE(A1134,""low""),"""")"),545.0)</f>
        <v>545</v>
      </c>
      <c r="Z1134" s="35">
        <f>IFERROR(__xludf.DUMMYFUNCTION("IFERROR(GOOGLEFINANCE(A1134,""volume""),"""")"),2.25304E7)</f>
        <v>22530400</v>
      </c>
      <c r="AA1134" s="14" t="str">
        <f>VLOOKUP(A1134,Metrik!$C$2:$Y$959,5,0)</f>
        <v>Specialty Retail</v>
      </c>
      <c r="AB1134" s="14" t="str">
        <f>VLOOKUP(A1134,Metrik!$C$2:$Y$959,3,0)</f>
        <v>Consumer Cyclicals</v>
      </c>
    </row>
    <row r="1135">
      <c r="A1135" s="14" t="s">
        <v>605</v>
      </c>
      <c r="B1135" s="14" t="str">
        <f t="array" ref="B1135">VLOOKUP(A1135,{Metrik!$C$2:$C$998,Metrik!$B$2:$B$998},2,0)</f>
        <v>Map Aktif Adiperkasa Tbk.</v>
      </c>
      <c r="C1135" s="15">
        <f>IFERROR(__xludf.DUMMYFUNCTION("GOOGLEFINANCE(""IDX:""&amp;A1135,""price"")"),565.0)</f>
        <v>565</v>
      </c>
      <c r="D1135" s="16" t="str">
        <f>IFERROR(__xludf.DUMMYFUNCTION("IF(A1135="""","""",
SPARKLINE(
INDEX(
GOOGLEFINANCE(""IDX:""&amp;A1135,""close"",TODAY()-365,TODAY()),
,2
),
{""linewidth"",1}
))
"),"#N/A")</f>
        <v>#N/A</v>
      </c>
      <c r="E1135" s="14" t="s">
        <v>39</v>
      </c>
      <c r="F1135" s="25">
        <v>46356.0</v>
      </c>
      <c r="G1135" s="18">
        <f t="shared" si="7"/>
        <v>9</v>
      </c>
      <c r="H1135" s="19">
        <f>VLOOKUP(A1135,Metrik!$C$2:$Y$959,8,0)</f>
        <v>9.9</v>
      </c>
      <c r="I1135" s="20">
        <f>VLOOKUP(A1135,Metrik!$C$2:$Y$959,9,0)</f>
        <v>2</v>
      </c>
      <c r="J1135" s="20">
        <f>VLOOKUP(A1135,Metrik!$C$2:$Y$959,10,0)</f>
        <v>20</v>
      </c>
      <c r="K1135" s="20">
        <f>VLOOKUP(A1135,Metrik!$C$2:$Y$959,11,0)</f>
        <v>12.7</v>
      </c>
      <c r="L1135" s="20">
        <f>VLOOKUP(A1135,Metrik!$C$2:$Y$959,12,0)</f>
        <v>0.57</v>
      </c>
      <c r="M1135" s="20">
        <f>VLOOKUP(A1135,Metrik!$C$2:$Y$959,19,0)</f>
        <v>37.4</v>
      </c>
      <c r="N1135" s="21"/>
      <c r="O1135" s="21"/>
      <c r="P1135" s="21"/>
      <c r="Q1135" s="21"/>
      <c r="R1135" s="21"/>
      <c r="S1135" s="21"/>
      <c r="T1135" s="21"/>
      <c r="U1135" s="22">
        <f>IFERROR(__xludf.DUMMYFUNCTION("IFERROR(GOOGLEFINANCE(A1135,""closeyest""),"""")"),565.0)</f>
        <v>565</v>
      </c>
      <c r="V1135" s="23">
        <f>IFERROR(__xludf.DUMMYFUNCTION("IFERROR(GOOGLEFINANCE(A1135,""changepct""),"""")"),0.0)</f>
        <v>0</v>
      </c>
      <c r="W1135" s="22">
        <f>IFERROR(__xludf.DUMMYFUNCTION("IFERROR(GOOGLEFINANCE(A1135,""priceopen""),"""")"),565.0)</f>
        <v>565</v>
      </c>
      <c r="X1135" s="22">
        <f>IFERROR(__xludf.DUMMYFUNCTION("IFERROR(GOOGLEFINANCE(A1135,""high""),"""")"),570.0)</f>
        <v>570</v>
      </c>
      <c r="Y1135" s="22">
        <f>IFERROR(__xludf.DUMMYFUNCTION("IFERROR(GOOGLEFINANCE(A1135,""low""),"""")"),545.0)</f>
        <v>545</v>
      </c>
      <c r="Z1135" s="22">
        <f>IFERROR(__xludf.DUMMYFUNCTION("IFERROR(GOOGLEFINANCE(A1135,""volume""),"""")"),2.25304E7)</f>
        <v>22530400</v>
      </c>
      <c r="AA1135" s="24" t="str">
        <f>VLOOKUP(A1135,Metrik!$C$2:$Y$959,5,0)</f>
        <v>Specialty Retail</v>
      </c>
      <c r="AB1135" s="24" t="str">
        <f>VLOOKUP(A1135,Metrik!$C$2:$Y$959,3,0)</f>
        <v>Consumer Cyclicals</v>
      </c>
    </row>
    <row r="1136">
      <c r="A1136" s="14" t="s">
        <v>606</v>
      </c>
      <c r="B1136" s="14" t="str">
        <f t="array" ref="B1136">VLOOKUP(A1136,{Metrik!$C$2:$C$998,Metrik!$B$2:$B$998},2,0)</f>
        <v>MAP Boga Adiperkasa Tbk.</v>
      </c>
      <c r="C1136" s="15">
        <f>IFERROR(__xludf.DUMMYFUNCTION("GOOGLEFINANCE(""IDX:""&amp;A1136,""price"")"),1150.0)</f>
        <v>1150</v>
      </c>
      <c r="D1136" s="16" t="str">
        <f>IFERROR(__xludf.DUMMYFUNCTION("IF(A1136="""","""",
SPARKLINE(
INDEX(
GOOGLEFINANCE(""IDX:""&amp;A1136,""close"",TODAY()-365,TODAY()),
,2
),
{""linewidth"",1}
))
"),"#N/A")</f>
        <v>#N/A</v>
      </c>
      <c r="E1136" s="26"/>
      <c r="F1136" s="26"/>
      <c r="G1136" s="24">
        <f t="shared" si="7"/>
        <v>0</v>
      </c>
      <c r="H1136" s="19">
        <f>VLOOKUP(A1136,Metrik!$C$2:$Y$959,8,0)</f>
        <v>-23.6</v>
      </c>
      <c r="I1136" s="20">
        <f>VLOOKUP(A1136,Metrik!$C$2:$Y$959,9,0)</f>
        <v>2.6</v>
      </c>
      <c r="J1136" s="20">
        <f>VLOOKUP(A1136,Metrik!$C$2:$Y$959,10,0)</f>
        <v>-11.1</v>
      </c>
      <c r="K1136" s="20">
        <f>VLOOKUP(A1136,Metrik!$C$2:$Y$959,11,0)</f>
        <v>-5.5</v>
      </c>
      <c r="L1136" s="20">
        <f>VLOOKUP(A1136,Metrik!$C$2:$Y$959,12,0)</f>
        <v>1</v>
      </c>
      <c r="M1136" s="20">
        <f>VLOOKUP(A1136,Metrik!$C$2:$Y$959,19,0)</f>
        <v>-18.5</v>
      </c>
      <c r="N1136" s="21"/>
      <c r="O1136" s="21"/>
      <c r="P1136" s="21"/>
      <c r="Q1136" s="21"/>
      <c r="R1136" s="21"/>
      <c r="S1136" s="21"/>
      <c r="T1136" s="21"/>
      <c r="U1136" s="22">
        <f>IFERROR(__xludf.DUMMYFUNCTION("IFERROR(GOOGLEFINANCE(A1136,""closeyest""),"""")"),1200.0)</f>
        <v>1200</v>
      </c>
      <c r="V1136" s="23">
        <f>IFERROR(__xludf.DUMMYFUNCTION("IFERROR(GOOGLEFINANCE(A1136,""changepct""),"""")"),-4.17)</f>
        <v>-4.17</v>
      </c>
      <c r="W1136" s="22">
        <f>IFERROR(__xludf.DUMMYFUNCTION("IFERROR(GOOGLEFINANCE(A1136,""priceopen""),"""")"),1205.0)</f>
        <v>1205</v>
      </c>
      <c r="X1136" s="22">
        <f>IFERROR(__xludf.DUMMYFUNCTION("IFERROR(GOOGLEFINANCE(A1136,""high""),"""")"),1205.0)</f>
        <v>1205</v>
      </c>
      <c r="Y1136" s="22">
        <f>IFERROR(__xludf.DUMMYFUNCTION("IFERROR(GOOGLEFINANCE(A1136,""low""),"""")"),1150.0)</f>
        <v>1150</v>
      </c>
      <c r="Z1136" s="22">
        <f>IFERROR(__xludf.DUMMYFUNCTION("IFERROR(GOOGLEFINANCE(A1136,""volume""),"""")"),2100.0)</f>
        <v>2100</v>
      </c>
      <c r="AA1136" s="24" t="str">
        <f>VLOOKUP(A1136,Metrik!$C$2:$Y$959,5,0)</f>
        <v>Tourism &amp; Recreation</v>
      </c>
      <c r="AB1136" s="24" t="str">
        <f>VLOOKUP(A1136,Metrik!$C$2:$Y$959,3,0)</f>
        <v>Consumer Cyclicals</v>
      </c>
    </row>
    <row r="1137">
      <c r="A1137" s="14" t="s">
        <v>607</v>
      </c>
      <c r="B1137" s="14" t="str">
        <f t="array" ref="B1137">VLOOKUP(A1137,{Metrik!$C$2:$C$998,Metrik!$B$2:$B$998},2,0)</f>
        <v>Mitra Adiperkasa Tbk.</v>
      </c>
      <c r="C1137" s="15">
        <f>IFERROR(__xludf.DUMMYFUNCTION("GOOGLEFINANCE(""IDX:""&amp;A1137,""price"")"),1490.0)</f>
        <v>1490</v>
      </c>
      <c r="D1137" s="16" t="str">
        <f>IFERROR(__xludf.DUMMYFUNCTION("IF(A1137="""","""",
SPARKLINE(
INDEX(
GOOGLEFINANCE(""IDX:""&amp;A1137,""close"",TODAY()-365,TODAY()),
,2
),
{""linewidth"",1}
))
"),"#N/A")</f>
        <v>#N/A</v>
      </c>
      <c r="E1137" s="14" t="s">
        <v>55</v>
      </c>
      <c r="F1137" s="25">
        <v>46356.0</v>
      </c>
      <c r="G1137" s="24">
        <f t="shared" si="7"/>
        <v>12</v>
      </c>
      <c r="H1137" s="19">
        <f>VLOOKUP(A1137,Metrik!$C$2:$Y$959,8,0)</f>
        <v>10.4</v>
      </c>
      <c r="I1137" s="20">
        <f>VLOOKUP(A1137,Metrik!$C$2:$Y$959,9,0)</f>
        <v>1.4</v>
      </c>
      <c r="J1137" s="20">
        <f>VLOOKUP(A1137,Metrik!$C$2:$Y$959,10,0)</f>
        <v>13.3</v>
      </c>
      <c r="K1137" s="20">
        <f>VLOOKUP(A1137,Metrik!$C$2:$Y$959,11,0)</f>
        <v>7</v>
      </c>
      <c r="L1137" s="20">
        <f>VLOOKUP(A1137,Metrik!$C$2:$Y$959,12,0)</f>
        <v>0.9</v>
      </c>
      <c r="M1137" s="20">
        <f>VLOOKUP(A1137,Metrik!$C$2:$Y$959,19,0)</f>
        <v>19.4</v>
      </c>
      <c r="N1137" s="21"/>
      <c r="O1137" s="21"/>
      <c r="P1137" s="21"/>
      <c r="Q1137" s="21"/>
      <c r="R1137" s="21"/>
      <c r="S1137" s="21"/>
      <c r="T1137" s="21"/>
      <c r="U1137" s="22">
        <f>IFERROR(__xludf.DUMMYFUNCTION("IFERROR(GOOGLEFINANCE(A1137,""closeyest""),"""")"),1485.0)</f>
        <v>1485</v>
      </c>
      <c r="V1137" s="23">
        <f>IFERROR(__xludf.DUMMYFUNCTION("IFERROR(GOOGLEFINANCE(A1137,""changepct""),"""")"),0.34)</f>
        <v>0.34</v>
      </c>
      <c r="W1137" s="22">
        <f>IFERROR(__xludf.DUMMYFUNCTION("IFERROR(GOOGLEFINANCE(A1137,""priceopen""),"""")"),1485.0)</f>
        <v>1485</v>
      </c>
      <c r="X1137" s="22">
        <f>IFERROR(__xludf.DUMMYFUNCTION("IFERROR(GOOGLEFINANCE(A1137,""high""),"""")"),1490.0)</f>
        <v>1490</v>
      </c>
      <c r="Y1137" s="22">
        <f>IFERROR(__xludf.DUMMYFUNCTION("IFERROR(GOOGLEFINANCE(A1137,""low""),"""")"),1485.0)</f>
        <v>1485</v>
      </c>
      <c r="Z1137" s="22">
        <f>IFERROR(__xludf.DUMMYFUNCTION("IFERROR(GOOGLEFINANCE(A1137,""volume""),"""")"),7.35949E7)</f>
        <v>73594900</v>
      </c>
      <c r="AA1137" s="24" t="str">
        <f>VLOOKUP(A1137,Metrik!$C$2:$Y$959,5,0)</f>
        <v>Specialty Retail</v>
      </c>
      <c r="AB1137" s="24" t="str">
        <f>VLOOKUP(A1137,Metrik!$C$2:$Y$959,3,0)</f>
        <v>Consumer Cyclicals</v>
      </c>
    </row>
    <row r="1138">
      <c r="A1138" s="14" t="s">
        <v>607</v>
      </c>
      <c r="B1138" s="14" t="str">
        <f t="array" ref="B1138">VLOOKUP(A1138,{Metrik!$C$2:$C$998,Metrik!$B$2:$B$998},2,0)</f>
        <v>Mitra Adiperkasa Tbk.</v>
      </c>
      <c r="C1138" s="15">
        <f>IFERROR(__xludf.DUMMYFUNCTION("GOOGLEFINANCE(""IDX:""&amp;A1138,""price"")"),1490.0)</f>
        <v>1490</v>
      </c>
      <c r="D1138" s="16" t="str">
        <f>IFERROR(__xludf.DUMMYFUNCTION("IF(A1138="""","""",
SPARKLINE(
INDEX(
GOOGLEFINANCE(""IDX:""&amp;A1138,""close"",TODAY()-365,TODAY()),
,2
),
{""linewidth"",1}
))
"),"#N/A")</f>
        <v>#N/A</v>
      </c>
      <c r="E1138" s="14" t="s">
        <v>52</v>
      </c>
      <c r="F1138" s="27" t="s">
        <v>53</v>
      </c>
      <c r="G1138" s="24">
        <f t="shared" si="7"/>
        <v>12</v>
      </c>
      <c r="H1138" s="19">
        <f>VLOOKUP(A1138,Metrik!$C$2:$Y$959,8,0)</f>
        <v>10.4</v>
      </c>
      <c r="I1138" s="20">
        <f>VLOOKUP(A1138,Metrik!$C$2:$Y$959,9,0)</f>
        <v>1.4</v>
      </c>
      <c r="J1138" s="20">
        <f>VLOOKUP(A1138,Metrik!$C$2:$Y$959,10,0)</f>
        <v>13.3</v>
      </c>
      <c r="K1138" s="20">
        <f>VLOOKUP(A1138,Metrik!$C$2:$Y$959,11,0)</f>
        <v>7</v>
      </c>
      <c r="L1138" s="20">
        <f>VLOOKUP(A1138,Metrik!$C$2:$Y$959,12,0)</f>
        <v>0.9</v>
      </c>
      <c r="M1138" s="20">
        <f>VLOOKUP(A1138,Metrik!$C$2:$Y$959,19,0)</f>
        <v>19.4</v>
      </c>
      <c r="N1138" s="21"/>
      <c r="O1138" s="21"/>
      <c r="P1138" s="21"/>
      <c r="Q1138" s="21"/>
      <c r="R1138" s="21"/>
      <c r="S1138" s="21"/>
      <c r="T1138" s="21"/>
      <c r="U1138" s="22">
        <f>IFERROR(__xludf.DUMMYFUNCTION("IFERROR(GOOGLEFINANCE(A1138,""closeyest""),"""")"),1485.0)</f>
        <v>1485</v>
      </c>
      <c r="V1138" s="23">
        <f>IFERROR(__xludf.DUMMYFUNCTION("IFERROR(GOOGLEFINANCE(A1138,""changepct""),"""")"),0.34)</f>
        <v>0.34</v>
      </c>
      <c r="W1138" s="22">
        <f>IFERROR(__xludf.DUMMYFUNCTION("IFERROR(GOOGLEFINANCE(A1138,""priceopen""),"""")"),1485.0)</f>
        <v>1485</v>
      </c>
      <c r="X1138" s="22">
        <f>IFERROR(__xludf.DUMMYFUNCTION("IFERROR(GOOGLEFINANCE(A1138,""high""),"""")"),1490.0)</f>
        <v>1490</v>
      </c>
      <c r="Y1138" s="22">
        <f>IFERROR(__xludf.DUMMYFUNCTION("IFERROR(GOOGLEFINANCE(A1138,""low""),"""")"),1485.0)</f>
        <v>1485</v>
      </c>
      <c r="Z1138" s="22">
        <f>IFERROR(__xludf.DUMMYFUNCTION("IFERROR(GOOGLEFINANCE(A1138,""volume""),"""")"),7.35949E7)</f>
        <v>73594900</v>
      </c>
      <c r="AA1138" s="24" t="str">
        <f>VLOOKUP(A1138,Metrik!$C$2:$Y$959,5,0)</f>
        <v>Specialty Retail</v>
      </c>
      <c r="AB1138" s="24" t="str">
        <f>VLOOKUP(A1138,Metrik!$C$2:$Y$959,3,0)</f>
        <v>Consumer Cyclicals</v>
      </c>
    </row>
    <row r="1139">
      <c r="A1139" s="14" t="s">
        <v>607</v>
      </c>
      <c r="B1139" s="14" t="str">
        <f t="array" ref="B1139">VLOOKUP(A1139,{Metrik!$C$2:$C$998,Metrik!$B$2:$B$998},2,0)</f>
        <v>Mitra Adiperkasa Tbk.</v>
      </c>
      <c r="C1139" s="15">
        <f>IFERROR(__xludf.DUMMYFUNCTION("GOOGLEFINANCE(""IDX:""&amp;A1139,""price"")"),1490.0)</f>
        <v>1490</v>
      </c>
      <c r="D1139" s="16" t="str">
        <f>IFERROR(__xludf.DUMMYFUNCTION("IF(A1139="""","""",
SPARKLINE(
INDEX(
GOOGLEFINANCE(""IDX:""&amp;A1139,""close"",TODAY()-365,TODAY()),
,2
),
{""linewidth"",1}
))
"),"#N/A")</f>
        <v>#N/A</v>
      </c>
      <c r="E1139" s="14" t="s">
        <v>28</v>
      </c>
      <c r="F1139" s="17" t="s">
        <v>29</v>
      </c>
      <c r="G1139" s="24">
        <f t="shared" si="7"/>
        <v>12</v>
      </c>
      <c r="H1139" s="19">
        <f>VLOOKUP(A1139,Metrik!$C$2:$Y$959,8,0)</f>
        <v>10.4</v>
      </c>
      <c r="I1139" s="20">
        <f>VLOOKUP(A1139,Metrik!$C$2:$Y$959,9,0)</f>
        <v>1.4</v>
      </c>
      <c r="J1139" s="20">
        <f>VLOOKUP(A1139,Metrik!$C$2:$Y$959,10,0)</f>
        <v>13.3</v>
      </c>
      <c r="K1139" s="20">
        <f>VLOOKUP(A1139,Metrik!$C$2:$Y$959,11,0)</f>
        <v>7</v>
      </c>
      <c r="L1139" s="20">
        <f>VLOOKUP(A1139,Metrik!$C$2:$Y$959,12,0)</f>
        <v>0.9</v>
      </c>
      <c r="M1139" s="20">
        <f>VLOOKUP(A1139,Metrik!$C$2:$Y$959,19,0)</f>
        <v>19.4</v>
      </c>
      <c r="N1139" s="21"/>
      <c r="O1139" s="21"/>
      <c r="P1139" s="21"/>
      <c r="Q1139" s="21"/>
      <c r="R1139" s="21"/>
      <c r="S1139" s="21"/>
      <c r="T1139" s="21"/>
      <c r="U1139" s="22">
        <f>IFERROR(__xludf.DUMMYFUNCTION("IFERROR(GOOGLEFINANCE(A1139,""closeyest""),"""")"),1485.0)</f>
        <v>1485</v>
      </c>
      <c r="V1139" s="23">
        <f>IFERROR(__xludf.DUMMYFUNCTION("IFERROR(GOOGLEFINANCE(A1139,""changepct""),"""")"),0.34)</f>
        <v>0.34</v>
      </c>
      <c r="W1139" s="22">
        <f>IFERROR(__xludf.DUMMYFUNCTION("IFERROR(GOOGLEFINANCE(A1139,""priceopen""),"""")"),1485.0)</f>
        <v>1485</v>
      </c>
      <c r="X1139" s="22">
        <f>IFERROR(__xludf.DUMMYFUNCTION("IFERROR(GOOGLEFINANCE(A1139,""high""),"""")"),1490.0)</f>
        <v>1490</v>
      </c>
      <c r="Y1139" s="22">
        <f>IFERROR(__xludf.DUMMYFUNCTION("IFERROR(GOOGLEFINANCE(A1139,""low""),"""")"),1485.0)</f>
        <v>1485</v>
      </c>
      <c r="Z1139" s="22">
        <f>IFERROR(__xludf.DUMMYFUNCTION("IFERROR(GOOGLEFINANCE(A1139,""volume""),"""")"),7.35949E7)</f>
        <v>73594900</v>
      </c>
      <c r="AA1139" s="24" t="str">
        <f>VLOOKUP(A1139,Metrik!$C$2:$Y$959,5,0)</f>
        <v>Specialty Retail</v>
      </c>
      <c r="AB1139" s="24" t="str">
        <f>VLOOKUP(A1139,Metrik!$C$2:$Y$959,3,0)</f>
        <v>Consumer Cyclicals</v>
      </c>
    </row>
    <row r="1140">
      <c r="A1140" s="14" t="s">
        <v>607</v>
      </c>
      <c r="B1140" s="14" t="str">
        <f t="array" ref="B1140">VLOOKUP(A1140,{Metrik!$C$2:$C$998,Metrik!$B$2:$B$998},2,0)</f>
        <v>Mitra Adiperkasa Tbk.</v>
      </c>
      <c r="C1140" s="15">
        <f>IFERROR(__xludf.DUMMYFUNCTION("GOOGLEFINANCE(""IDX:""&amp;A1140,""price"")"),1490.0)</f>
        <v>1490</v>
      </c>
      <c r="D1140" s="16" t="str">
        <f>IFERROR(__xludf.DUMMYFUNCTION("IF(A1140="""","""",
SPARKLINE(
INDEX(
GOOGLEFINANCE(""IDX:""&amp;A1140,""close"",TODAY()-365,TODAY()),
,2
),
{""linewidth"",1}
))
"),"#N/A")</f>
        <v>#N/A</v>
      </c>
      <c r="E1140" s="14" t="s">
        <v>31</v>
      </c>
      <c r="F1140" s="17" t="s">
        <v>29</v>
      </c>
      <c r="G1140" s="24">
        <f t="shared" si="7"/>
        <v>12</v>
      </c>
      <c r="H1140" s="19">
        <f>VLOOKUP(A1140,Metrik!$C$2:$Y$959,8,0)</f>
        <v>10.4</v>
      </c>
      <c r="I1140" s="20">
        <f>VLOOKUP(A1140,Metrik!$C$2:$Y$959,9,0)</f>
        <v>1.4</v>
      </c>
      <c r="J1140" s="20">
        <f>VLOOKUP(A1140,Metrik!$C$2:$Y$959,10,0)</f>
        <v>13.3</v>
      </c>
      <c r="K1140" s="20">
        <f>VLOOKUP(A1140,Metrik!$C$2:$Y$959,11,0)</f>
        <v>7</v>
      </c>
      <c r="L1140" s="20">
        <f>VLOOKUP(A1140,Metrik!$C$2:$Y$959,12,0)</f>
        <v>0.9</v>
      </c>
      <c r="M1140" s="20">
        <f>VLOOKUP(A1140,Metrik!$C$2:$Y$959,19,0)</f>
        <v>19.4</v>
      </c>
      <c r="N1140" s="21"/>
      <c r="O1140" s="21"/>
      <c r="P1140" s="21"/>
      <c r="Q1140" s="21"/>
      <c r="R1140" s="21"/>
      <c r="S1140" s="21"/>
      <c r="T1140" s="21"/>
      <c r="U1140" s="22">
        <f>IFERROR(__xludf.DUMMYFUNCTION("IFERROR(GOOGLEFINANCE(A1140,""closeyest""),"""")"),1485.0)</f>
        <v>1485</v>
      </c>
      <c r="V1140" s="23">
        <f>IFERROR(__xludf.DUMMYFUNCTION("IFERROR(GOOGLEFINANCE(A1140,""changepct""),"""")"),0.34)</f>
        <v>0.34</v>
      </c>
      <c r="W1140" s="22">
        <f>IFERROR(__xludf.DUMMYFUNCTION("IFERROR(GOOGLEFINANCE(A1140,""priceopen""),"""")"),1485.0)</f>
        <v>1485</v>
      </c>
      <c r="X1140" s="22">
        <f>IFERROR(__xludf.DUMMYFUNCTION("IFERROR(GOOGLEFINANCE(A1140,""high""),"""")"),1490.0)</f>
        <v>1490</v>
      </c>
      <c r="Y1140" s="22">
        <f>IFERROR(__xludf.DUMMYFUNCTION("IFERROR(GOOGLEFINANCE(A1140,""low""),"""")"),1485.0)</f>
        <v>1485</v>
      </c>
      <c r="Z1140" s="22">
        <f>IFERROR(__xludf.DUMMYFUNCTION("IFERROR(GOOGLEFINANCE(A1140,""volume""),"""")"),7.35949E7)</f>
        <v>73594900</v>
      </c>
      <c r="AA1140" s="24" t="str">
        <f>VLOOKUP(A1140,Metrik!$C$2:$Y$959,5,0)</f>
        <v>Specialty Retail</v>
      </c>
      <c r="AB1140" s="24" t="str">
        <f>VLOOKUP(A1140,Metrik!$C$2:$Y$959,3,0)</f>
        <v>Consumer Cyclicals</v>
      </c>
    </row>
    <row r="1141">
      <c r="A1141" s="14" t="s">
        <v>607</v>
      </c>
      <c r="B1141" s="14" t="str">
        <f t="array" ref="B1141">VLOOKUP(A1141,{Metrik!$C$2:$C$998,Metrik!$B$2:$B$998},2,0)</f>
        <v>Mitra Adiperkasa Tbk.</v>
      </c>
      <c r="C1141" s="15">
        <f>IFERROR(__xludf.DUMMYFUNCTION("GOOGLEFINANCE(""IDX:""&amp;A1141,""price"")"),1490.0)</f>
        <v>1490</v>
      </c>
      <c r="D1141" s="16" t="str">
        <f>IFERROR(__xludf.DUMMYFUNCTION("IF(A1141="""","""",
SPARKLINE(
INDEX(
GOOGLEFINANCE(""IDX:""&amp;A1141,""close"",TODAY()-365,TODAY()),
,2
),
{""linewidth"",1}
))
"),"#N/A")</f>
        <v>#N/A</v>
      </c>
      <c r="E1141" s="14" t="s">
        <v>32</v>
      </c>
      <c r="F1141" s="14" t="s">
        <v>29</v>
      </c>
      <c r="G1141" s="24">
        <f t="shared" si="7"/>
        <v>12</v>
      </c>
      <c r="H1141" s="19">
        <f>VLOOKUP(A1141,Metrik!$C$2:$Y$959,8,0)</f>
        <v>10.4</v>
      </c>
      <c r="I1141" s="20">
        <f>VLOOKUP(A1141,Metrik!$C$2:$Y$959,9,0)</f>
        <v>1.4</v>
      </c>
      <c r="J1141" s="20">
        <f>VLOOKUP(A1141,Metrik!$C$2:$Y$959,10,0)</f>
        <v>13.3</v>
      </c>
      <c r="K1141" s="20">
        <f>VLOOKUP(A1141,Metrik!$C$2:$Y$959,11,0)</f>
        <v>7</v>
      </c>
      <c r="L1141" s="20">
        <f>VLOOKUP(A1141,Metrik!$C$2:$Y$959,12,0)</f>
        <v>0.9</v>
      </c>
      <c r="M1141" s="20">
        <f>VLOOKUP(A1141,Metrik!$C$2:$Y$959,19,0)</f>
        <v>19.4</v>
      </c>
      <c r="N1141" s="21"/>
      <c r="O1141" s="21"/>
      <c r="P1141" s="21"/>
      <c r="Q1141" s="21"/>
      <c r="R1141" s="21"/>
      <c r="S1141" s="21"/>
      <c r="T1141" s="21"/>
      <c r="U1141" s="22">
        <f>IFERROR(__xludf.DUMMYFUNCTION("IFERROR(GOOGLEFINANCE(A1141,""closeyest""),"""")"),1485.0)</f>
        <v>1485</v>
      </c>
      <c r="V1141" s="23">
        <f>IFERROR(__xludf.DUMMYFUNCTION("IFERROR(GOOGLEFINANCE(A1141,""changepct""),"""")"),0.34)</f>
        <v>0.34</v>
      </c>
      <c r="W1141" s="22">
        <f>IFERROR(__xludf.DUMMYFUNCTION("IFERROR(GOOGLEFINANCE(A1141,""priceopen""),"""")"),1485.0)</f>
        <v>1485</v>
      </c>
      <c r="X1141" s="22">
        <f>IFERROR(__xludf.DUMMYFUNCTION("IFERROR(GOOGLEFINANCE(A1141,""high""),"""")"),1490.0)</f>
        <v>1490</v>
      </c>
      <c r="Y1141" s="22">
        <f>IFERROR(__xludf.DUMMYFUNCTION("IFERROR(GOOGLEFINANCE(A1141,""low""),"""")"),1485.0)</f>
        <v>1485</v>
      </c>
      <c r="Z1141" s="22">
        <f>IFERROR(__xludf.DUMMYFUNCTION("IFERROR(GOOGLEFINANCE(A1141,""volume""),"""")"),7.35949E7)</f>
        <v>73594900</v>
      </c>
      <c r="AA1141" s="24" t="str">
        <f>VLOOKUP(A1141,Metrik!$C$2:$Y$959,5,0)</f>
        <v>Specialty Retail</v>
      </c>
      <c r="AB1141" s="24" t="str">
        <f>VLOOKUP(A1141,Metrik!$C$2:$Y$959,3,0)</f>
        <v>Consumer Cyclicals</v>
      </c>
    </row>
    <row r="1142">
      <c r="A1142" s="14" t="s">
        <v>607</v>
      </c>
      <c r="B1142" s="14" t="str">
        <f t="array" ref="B1142">VLOOKUP(A1142,{Metrik!$C$2:$C$998,Metrik!$B$2:$B$998},2,0)</f>
        <v>Mitra Adiperkasa Tbk.</v>
      </c>
      <c r="C1142" s="15">
        <f>IFERROR(__xludf.DUMMYFUNCTION("GOOGLEFINANCE(""IDX:""&amp;A1142,""price"")"),1490.0)</f>
        <v>1490</v>
      </c>
      <c r="D1142" s="16" t="str">
        <f>IFERROR(__xludf.DUMMYFUNCTION("IF(A1142="""","""",
SPARKLINE(
INDEX(
GOOGLEFINANCE(""IDX:""&amp;A1142,""close"",TODAY()-365,TODAY()),
,2
),
{""linewidth"",1}
))
"),"#N/A")</f>
        <v>#N/A</v>
      </c>
      <c r="E1142" s="14" t="s">
        <v>67</v>
      </c>
      <c r="F1142" s="17" t="s">
        <v>51</v>
      </c>
      <c r="G1142" s="24">
        <f t="shared" si="7"/>
        <v>12</v>
      </c>
      <c r="H1142" s="19">
        <f>VLOOKUP(A1142,Metrik!$C$2:$Y$959,8,0)</f>
        <v>10.4</v>
      </c>
      <c r="I1142" s="20">
        <f>VLOOKUP(A1142,Metrik!$C$2:$Y$959,9,0)</f>
        <v>1.4</v>
      </c>
      <c r="J1142" s="20">
        <f>VLOOKUP(A1142,Metrik!$C$2:$Y$959,10,0)</f>
        <v>13.3</v>
      </c>
      <c r="K1142" s="20">
        <f>VLOOKUP(A1142,Metrik!$C$2:$Y$959,11,0)</f>
        <v>7</v>
      </c>
      <c r="L1142" s="20">
        <f>VLOOKUP(A1142,Metrik!$C$2:$Y$959,12,0)</f>
        <v>0.9</v>
      </c>
      <c r="M1142" s="20">
        <f>VLOOKUP(A1142,Metrik!$C$2:$Y$959,19,0)</f>
        <v>19.4</v>
      </c>
      <c r="N1142" s="21"/>
      <c r="O1142" s="21"/>
      <c r="P1142" s="21"/>
      <c r="Q1142" s="21"/>
      <c r="R1142" s="21"/>
      <c r="S1142" s="21"/>
      <c r="T1142" s="21"/>
      <c r="U1142" s="22">
        <f>IFERROR(__xludf.DUMMYFUNCTION("IFERROR(GOOGLEFINANCE(A1142,""closeyest""),"""")"),1485.0)</f>
        <v>1485</v>
      </c>
      <c r="V1142" s="23">
        <f>IFERROR(__xludf.DUMMYFUNCTION("IFERROR(GOOGLEFINANCE(A1142,""changepct""),"""")"),0.34)</f>
        <v>0.34</v>
      </c>
      <c r="W1142" s="22">
        <f>IFERROR(__xludf.DUMMYFUNCTION("IFERROR(GOOGLEFINANCE(A1142,""priceopen""),"""")"),1485.0)</f>
        <v>1485</v>
      </c>
      <c r="X1142" s="22">
        <f>IFERROR(__xludf.DUMMYFUNCTION("IFERROR(GOOGLEFINANCE(A1142,""high""),"""")"),1490.0)</f>
        <v>1490</v>
      </c>
      <c r="Y1142" s="22">
        <f>IFERROR(__xludf.DUMMYFUNCTION("IFERROR(GOOGLEFINANCE(A1142,""low""),"""")"),1485.0)</f>
        <v>1485</v>
      </c>
      <c r="Z1142" s="22">
        <f>IFERROR(__xludf.DUMMYFUNCTION("IFERROR(GOOGLEFINANCE(A1142,""volume""),"""")"),7.35949E7)</f>
        <v>73594900</v>
      </c>
      <c r="AA1142" s="24" t="str">
        <f>VLOOKUP(A1142,Metrik!$C$2:$Y$959,5,0)</f>
        <v>Specialty Retail</v>
      </c>
      <c r="AB1142" s="24" t="str">
        <f>VLOOKUP(A1142,Metrik!$C$2:$Y$959,3,0)</f>
        <v>Consumer Cyclicals</v>
      </c>
    </row>
    <row r="1143">
      <c r="A1143" s="14" t="s">
        <v>607</v>
      </c>
      <c r="B1143" s="14" t="str">
        <f t="array" ref="B1143">VLOOKUP(A1143,{Metrik!$C$2:$C$998,Metrik!$B$2:$B$998},2,0)</f>
        <v>Mitra Adiperkasa Tbk.</v>
      </c>
      <c r="C1143" s="15">
        <f>IFERROR(__xludf.DUMMYFUNCTION("GOOGLEFINANCE(""IDX:""&amp;A1143,""price"")"),1490.0)</f>
        <v>1490</v>
      </c>
      <c r="D1143" s="16" t="str">
        <f>IFERROR(__xludf.DUMMYFUNCTION("IF(A1143="""","""",
SPARKLINE(
INDEX(
GOOGLEFINANCE(""IDX:""&amp;A1143,""close"",TODAY()-365,TODAY()),
,2
),
{""linewidth"",1}
))
"),"#N/A")</f>
        <v>#N/A</v>
      </c>
      <c r="E1143" s="14" t="s">
        <v>84</v>
      </c>
      <c r="F1143" s="17" t="s">
        <v>51</v>
      </c>
      <c r="G1143" s="24">
        <f t="shared" si="7"/>
        <v>12</v>
      </c>
      <c r="H1143" s="19">
        <f>VLOOKUP(A1143,Metrik!$C$2:$Y$959,8,0)</f>
        <v>10.4</v>
      </c>
      <c r="I1143" s="20">
        <f>VLOOKUP(A1143,Metrik!$C$2:$Y$959,9,0)</f>
        <v>1.4</v>
      </c>
      <c r="J1143" s="20">
        <f>VLOOKUP(A1143,Metrik!$C$2:$Y$959,10,0)</f>
        <v>13.3</v>
      </c>
      <c r="K1143" s="20">
        <f>VLOOKUP(A1143,Metrik!$C$2:$Y$959,11,0)</f>
        <v>7</v>
      </c>
      <c r="L1143" s="20">
        <f>VLOOKUP(A1143,Metrik!$C$2:$Y$959,12,0)</f>
        <v>0.9</v>
      </c>
      <c r="M1143" s="20">
        <f>VLOOKUP(A1143,Metrik!$C$2:$Y$959,19,0)</f>
        <v>19.4</v>
      </c>
      <c r="N1143" s="21"/>
      <c r="O1143" s="21"/>
      <c r="P1143" s="21"/>
      <c r="Q1143" s="21"/>
      <c r="R1143" s="21"/>
      <c r="S1143" s="21"/>
      <c r="T1143" s="21"/>
      <c r="U1143" s="22">
        <f>IFERROR(__xludf.DUMMYFUNCTION("IFERROR(GOOGLEFINANCE(A1143,""closeyest""),"""")"),1485.0)</f>
        <v>1485</v>
      </c>
      <c r="V1143" s="23">
        <f>IFERROR(__xludf.DUMMYFUNCTION("IFERROR(GOOGLEFINANCE(A1143,""changepct""),"""")"),0.34)</f>
        <v>0.34</v>
      </c>
      <c r="W1143" s="22">
        <f>IFERROR(__xludf.DUMMYFUNCTION("IFERROR(GOOGLEFINANCE(A1143,""priceopen""),"""")"),1485.0)</f>
        <v>1485</v>
      </c>
      <c r="X1143" s="22">
        <f>IFERROR(__xludf.DUMMYFUNCTION("IFERROR(GOOGLEFINANCE(A1143,""high""),"""")"),1490.0)</f>
        <v>1490</v>
      </c>
      <c r="Y1143" s="22">
        <f>IFERROR(__xludf.DUMMYFUNCTION("IFERROR(GOOGLEFINANCE(A1143,""low""),"""")"),1485.0)</f>
        <v>1485</v>
      </c>
      <c r="Z1143" s="22">
        <f>IFERROR(__xludf.DUMMYFUNCTION("IFERROR(GOOGLEFINANCE(A1143,""volume""),"""")"),7.35949E7)</f>
        <v>73594900</v>
      </c>
      <c r="AA1143" s="24" t="str">
        <f>VLOOKUP(A1143,Metrik!$C$2:$Y$959,5,0)</f>
        <v>Specialty Retail</v>
      </c>
      <c r="AB1143" s="24" t="str">
        <f>VLOOKUP(A1143,Metrik!$C$2:$Y$959,3,0)</f>
        <v>Consumer Cyclicals</v>
      </c>
    </row>
    <row r="1144">
      <c r="A1144" s="14" t="s">
        <v>607</v>
      </c>
      <c r="B1144" s="14" t="str">
        <f t="array" ref="B1144">VLOOKUP(A1144,{Metrik!$C$2:$C$998,Metrik!$B$2:$B$998},2,0)</f>
        <v>Mitra Adiperkasa Tbk.</v>
      </c>
      <c r="C1144" s="15">
        <f>IFERROR(__xludf.DUMMYFUNCTION("GOOGLEFINANCE(""IDX:""&amp;A1144,""price"")"),1490.0)</f>
        <v>1490</v>
      </c>
      <c r="D1144" s="16" t="str">
        <f>IFERROR(__xludf.DUMMYFUNCTION("IF(A1144="""","""",
SPARKLINE(
INDEX(
GOOGLEFINANCE(""IDX:""&amp;A1144,""close"",TODAY()-365,TODAY()),
,2
),
{""linewidth"",1}
))
"),"#N/A")</f>
        <v>#N/A</v>
      </c>
      <c r="E1144" s="14" t="s">
        <v>50</v>
      </c>
      <c r="F1144" s="17" t="s">
        <v>51</v>
      </c>
      <c r="G1144" s="24">
        <f t="shared" si="7"/>
        <v>12</v>
      </c>
      <c r="H1144" s="19">
        <f>VLOOKUP(A1144,Metrik!$C$2:$Y$959,8,0)</f>
        <v>10.4</v>
      </c>
      <c r="I1144" s="20">
        <f>VLOOKUP(A1144,Metrik!$C$2:$Y$959,9,0)</f>
        <v>1.4</v>
      </c>
      <c r="J1144" s="20">
        <f>VLOOKUP(A1144,Metrik!$C$2:$Y$959,10,0)</f>
        <v>13.3</v>
      </c>
      <c r="K1144" s="20">
        <f>VLOOKUP(A1144,Metrik!$C$2:$Y$959,11,0)</f>
        <v>7</v>
      </c>
      <c r="L1144" s="20">
        <f>VLOOKUP(A1144,Metrik!$C$2:$Y$959,12,0)</f>
        <v>0.9</v>
      </c>
      <c r="M1144" s="20">
        <f>VLOOKUP(A1144,Metrik!$C$2:$Y$959,19,0)</f>
        <v>19.4</v>
      </c>
      <c r="N1144" s="21"/>
      <c r="O1144" s="21"/>
      <c r="P1144" s="21"/>
      <c r="Q1144" s="21"/>
      <c r="R1144" s="21"/>
      <c r="S1144" s="21"/>
      <c r="T1144" s="21"/>
      <c r="U1144" s="22">
        <f>IFERROR(__xludf.DUMMYFUNCTION("IFERROR(GOOGLEFINANCE(A1144,""closeyest""),"""")"),1485.0)</f>
        <v>1485</v>
      </c>
      <c r="V1144" s="23">
        <f>IFERROR(__xludf.DUMMYFUNCTION("IFERROR(GOOGLEFINANCE(A1144,""changepct""),"""")"),0.34)</f>
        <v>0.34</v>
      </c>
      <c r="W1144" s="22">
        <f>IFERROR(__xludf.DUMMYFUNCTION("IFERROR(GOOGLEFINANCE(A1144,""priceopen""),"""")"),1485.0)</f>
        <v>1485</v>
      </c>
      <c r="X1144" s="22">
        <f>IFERROR(__xludf.DUMMYFUNCTION("IFERROR(GOOGLEFINANCE(A1144,""high""),"""")"),1490.0)</f>
        <v>1490</v>
      </c>
      <c r="Y1144" s="22">
        <f>IFERROR(__xludf.DUMMYFUNCTION("IFERROR(GOOGLEFINANCE(A1144,""low""),"""")"),1485.0)</f>
        <v>1485</v>
      </c>
      <c r="Z1144" s="22">
        <f>IFERROR(__xludf.DUMMYFUNCTION("IFERROR(GOOGLEFINANCE(A1144,""volume""),"""")"),7.35949E7)</f>
        <v>73594900</v>
      </c>
      <c r="AA1144" s="24" t="str">
        <f>VLOOKUP(A1144,Metrik!$C$2:$Y$959,5,0)</f>
        <v>Specialty Retail</v>
      </c>
      <c r="AB1144" s="24" t="str">
        <f>VLOOKUP(A1144,Metrik!$C$2:$Y$959,3,0)</f>
        <v>Consumer Cyclicals</v>
      </c>
    </row>
    <row r="1145">
      <c r="A1145" s="14" t="s">
        <v>607</v>
      </c>
      <c r="B1145" s="14" t="str">
        <f t="array" ref="B1145">VLOOKUP(A1145,{Metrik!$C$2:$C$998,Metrik!$B$2:$B$998},2,0)</f>
        <v>Mitra Adiperkasa Tbk.</v>
      </c>
      <c r="C1145" s="15">
        <f>IFERROR(__xludf.DUMMYFUNCTION("GOOGLEFINANCE(""IDX:""&amp;A1145,""price"")"),1490.0)</f>
        <v>1490</v>
      </c>
      <c r="D1145" s="16" t="str">
        <f>IFERROR(__xludf.DUMMYFUNCTION("IF(A1145="""","""",
SPARKLINE(
INDEX(
GOOGLEFINANCE(""IDX:""&amp;A1145,""close"",TODAY()-365,TODAY()),
,2
),
{""linewidth"",1}
))
"),"#N/A")</f>
        <v>#N/A</v>
      </c>
      <c r="E1145" s="14" t="s">
        <v>33</v>
      </c>
      <c r="F1145" s="14" t="s">
        <v>34</v>
      </c>
      <c r="G1145" s="24">
        <f t="shared" si="7"/>
        <v>12</v>
      </c>
      <c r="H1145" s="19">
        <f>VLOOKUP(A1145,Metrik!$C$2:$Y$959,8,0)</f>
        <v>10.4</v>
      </c>
      <c r="I1145" s="20">
        <f>VLOOKUP(A1145,Metrik!$C$2:$Y$959,9,0)</f>
        <v>1.4</v>
      </c>
      <c r="J1145" s="20">
        <f>VLOOKUP(A1145,Metrik!$C$2:$Y$959,10,0)</f>
        <v>13.3</v>
      </c>
      <c r="K1145" s="20">
        <f>VLOOKUP(A1145,Metrik!$C$2:$Y$959,11,0)</f>
        <v>7</v>
      </c>
      <c r="L1145" s="20">
        <f>VLOOKUP(A1145,Metrik!$C$2:$Y$959,12,0)</f>
        <v>0.9</v>
      </c>
      <c r="M1145" s="20">
        <f>VLOOKUP(A1145,Metrik!$C$2:$Y$959,19,0)</f>
        <v>19.4</v>
      </c>
      <c r="N1145" s="21"/>
      <c r="O1145" s="21"/>
      <c r="P1145" s="21"/>
      <c r="Q1145" s="21"/>
      <c r="R1145" s="21"/>
      <c r="S1145" s="21"/>
      <c r="T1145" s="21"/>
      <c r="U1145" s="22">
        <f>IFERROR(__xludf.DUMMYFUNCTION("IFERROR(GOOGLEFINANCE(A1145,""closeyest""),"""")"),1485.0)</f>
        <v>1485</v>
      </c>
      <c r="V1145" s="23">
        <f>IFERROR(__xludf.DUMMYFUNCTION("IFERROR(GOOGLEFINANCE(A1145,""changepct""),"""")"),0.34)</f>
        <v>0.34</v>
      </c>
      <c r="W1145" s="22">
        <f>IFERROR(__xludf.DUMMYFUNCTION("IFERROR(GOOGLEFINANCE(A1145,""priceopen""),"""")"),1485.0)</f>
        <v>1485</v>
      </c>
      <c r="X1145" s="22">
        <f>IFERROR(__xludf.DUMMYFUNCTION("IFERROR(GOOGLEFINANCE(A1145,""high""),"""")"),1490.0)</f>
        <v>1490</v>
      </c>
      <c r="Y1145" s="22">
        <f>IFERROR(__xludf.DUMMYFUNCTION("IFERROR(GOOGLEFINANCE(A1145,""low""),"""")"),1485.0)</f>
        <v>1485</v>
      </c>
      <c r="Z1145" s="22">
        <f>IFERROR(__xludf.DUMMYFUNCTION("IFERROR(GOOGLEFINANCE(A1145,""volume""),"""")"),7.35949E7)</f>
        <v>73594900</v>
      </c>
      <c r="AA1145" s="24" t="str">
        <f>VLOOKUP(A1145,Metrik!$C$2:$Y$959,5,0)</f>
        <v>Specialty Retail</v>
      </c>
      <c r="AB1145" s="24" t="str">
        <f>VLOOKUP(A1145,Metrik!$C$2:$Y$959,3,0)</f>
        <v>Consumer Cyclicals</v>
      </c>
    </row>
    <row r="1146">
      <c r="A1146" s="14" t="s">
        <v>607</v>
      </c>
      <c r="B1146" s="14" t="str">
        <f t="array" ref="B1146">VLOOKUP(A1146,{Metrik!$C$2:$C$998,Metrik!$B$2:$B$998},2,0)</f>
        <v>Mitra Adiperkasa Tbk.</v>
      </c>
      <c r="C1146" s="15">
        <f>IFERROR(__xludf.DUMMYFUNCTION("GOOGLEFINANCE(""IDX:""&amp;A1146,""price"")"),1490.0)</f>
        <v>1490</v>
      </c>
      <c r="D1146" s="16" t="str">
        <f>IFERROR(__xludf.DUMMYFUNCTION("IF(A1146="""","""",
SPARKLINE(
INDEX(
GOOGLEFINANCE(""IDX:""&amp;A1146,""close"",TODAY()-365,TODAY()),
,2
),
{""linewidth"",1}
))
"),"#N/A")</f>
        <v>#N/A</v>
      </c>
      <c r="E1146" s="14" t="s">
        <v>41</v>
      </c>
      <c r="F1146" s="14" t="s">
        <v>34</v>
      </c>
      <c r="G1146" s="24">
        <f t="shared" si="7"/>
        <v>12</v>
      </c>
      <c r="H1146" s="19">
        <f>VLOOKUP(A1146,Metrik!$C$2:$Y$959,8,0)</f>
        <v>10.4</v>
      </c>
      <c r="I1146" s="20">
        <f>VLOOKUP(A1146,Metrik!$C$2:$Y$959,9,0)</f>
        <v>1.4</v>
      </c>
      <c r="J1146" s="20">
        <f>VLOOKUP(A1146,Metrik!$C$2:$Y$959,10,0)</f>
        <v>13.3</v>
      </c>
      <c r="K1146" s="20">
        <f>VLOOKUP(A1146,Metrik!$C$2:$Y$959,11,0)</f>
        <v>7</v>
      </c>
      <c r="L1146" s="20">
        <f>VLOOKUP(A1146,Metrik!$C$2:$Y$959,12,0)</f>
        <v>0.9</v>
      </c>
      <c r="M1146" s="20">
        <f>VLOOKUP(A1146,Metrik!$C$2:$Y$959,19,0)</f>
        <v>19.4</v>
      </c>
      <c r="N1146" s="21"/>
      <c r="O1146" s="21"/>
      <c r="P1146" s="21"/>
      <c r="Q1146" s="21"/>
      <c r="R1146" s="21"/>
      <c r="S1146" s="21"/>
      <c r="T1146" s="21"/>
      <c r="U1146" s="22">
        <f>IFERROR(__xludf.DUMMYFUNCTION("IFERROR(GOOGLEFINANCE(A1146,""closeyest""),"""")"),1485.0)</f>
        <v>1485</v>
      </c>
      <c r="V1146" s="23">
        <f>IFERROR(__xludf.DUMMYFUNCTION("IFERROR(GOOGLEFINANCE(A1146,""changepct""),"""")"),0.34)</f>
        <v>0.34</v>
      </c>
      <c r="W1146" s="22">
        <f>IFERROR(__xludf.DUMMYFUNCTION("IFERROR(GOOGLEFINANCE(A1146,""priceopen""),"""")"),1485.0)</f>
        <v>1485</v>
      </c>
      <c r="X1146" s="22">
        <f>IFERROR(__xludf.DUMMYFUNCTION("IFERROR(GOOGLEFINANCE(A1146,""high""),"""")"),1490.0)</f>
        <v>1490</v>
      </c>
      <c r="Y1146" s="22">
        <f>IFERROR(__xludf.DUMMYFUNCTION("IFERROR(GOOGLEFINANCE(A1146,""low""),"""")"),1485.0)</f>
        <v>1485</v>
      </c>
      <c r="Z1146" s="22">
        <f>IFERROR(__xludf.DUMMYFUNCTION("IFERROR(GOOGLEFINANCE(A1146,""volume""),"""")"),7.35949E7)</f>
        <v>73594900</v>
      </c>
      <c r="AA1146" s="24" t="str">
        <f>VLOOKUP(A1146,Metrik!$C$2:$Y$959,5,0)</f>
        <v>Specialty Retail</v>
      </c>
      <c r="AB1146" s="24" t="str">
        <f>VLOOKUP(A1146,Metrik!$C$2:$Y$959,3,0)</f>
        <v>Consumer Cyclicals</v>
      </c>
    </row>
    <row r="1147">
      <c r="A1147" s="17" t="s">
        <v>607</v>
      </c>
      <c r="B1147" s="14" t="str">
        <f t="array" ref="B1147">VLOOKUP(A1147,{Metrik!$C$2:$C$998,Metrik!$B$2:$B$998},2,0)</f>
        <v>Mitra Adiperkasa Tbk.</v>
      </c>
      <c r="C1147" s="15">
        <f>IFERROR(__xludf.DUMMYFUNCTION("GOOGLEFINANCE(""IDX:""&amp;A1147,""price"")"),1490.0)</f>
        <v>1490</v>
      </c>
      <c r="D1147" s="16" t="str">
        <f>IFERROR(__xludf.DUMMYFUNCTION("IF(A1147="""","""",
SPARKLINE(
INDEX(
GOOGLEFINANCE(""IDX:""&amp;A1147,""close"",TODAY()-365,TODAY()),
,2
),
{""linewidth"",1}
))
"),"#N/A")</f>
        <v>#N/A</v>
      </c>
      <c r="E1147" s="14" t="s">
        <v>35</v>
      </c>
      <c r="F1147" s="17" t="s">
        <v>36</v>
      </c>
      <c r="G1147" s="38">
        <f t="shared" si="7"/>
        <v>12</v>
      </c>
      <c r="H1147" s="34">
        <f>VLOOKUP(A1147,Metrik!$C$2:$Y$959,8,0)</f>
        <v>10.4</v>
      </c>
      <c r="I1147" s="34">
        <f>VLOOKUP(A1147,Metrik!$C$2:$Y$959,9,0)</f>
        <v>1.4</v>
      </c>
      <c r="J1147" s="34">
        <f>VLOOKUP(A1147,Metrik!$C$2:$Y$959,10,0)</f>
        <v>13.3</v>
      </c>
      <c r="K1147" s="34">
        <f>VLOOKUP(A1147,Metrik!$C$2:$Y$959,11,0)</f>
        <v>7</v>
      </c>
      <c r="L1147" s="34">
        <f>VLOOKUP(A1147,Metrik!$C$2:$Y$959,12,0)</f>
        <v>0.9</v>
      </c>
      <c r="M1147" s="34">
        <f>VLOOKUP(A1147,Metrik!$C$2:$Y$959,19,0)</f>
        <v>19.4</v>
      </c>
      <c r="N1147" s="26"/>
      <c r="O1147" s="26"/>
      <c r="P1147" s="26"/>
      <c r="Q1147" s="26"/>
      <c r="R1147" s="26"/>
      <c r="S1147" s="26"/>
      <c r="T1147" s="26"/>
      <c r="U1147" s="35">
        <f>IFERROR(__xludf.DUMMYFUNCTION("IFERROR(GOOGLEFINANCE(A1147,""closeyest""),"""")"),1485.0)</f>
        <v>1485</v>
      </c>
      <c r="V1147" s="36">
        <f>IFERROR(__xludf.DUMMYFUNCTION("IFERROR(GOOGLEFINANCE(A1147,""changepct""),"""")"),0.34)</f>
        <v>0.34</v>
      </c>
      <c r="W1147" s="49">
        <f>IFERROR(__xludf.DUMMYFUNCTION("IFERROR(GOOGLEFINANCE(A1147,""priceopen""),"""")"),1485.0)</f>
        <v>1485</v>
      </c>
      <c r="X1147" s="35">
        <f>IFERROR(__xludf.DUMMYFUNCTION("IFERROR(GOOGLEFINANCE(A1147,""high""),"""")"),1490.0)</f>
        <v>1490</v>
      </c>
      <c r="Y1147" s="35">
        <f>IFERROR(__xludf.DUMMYFUNCTION("IFERROR(GOOGLEFINANCE(A1147,""low""),"""")"),1485.0)</f>
        <v>1485</v>
      </c>
      <c r="Z1147" s="35">
        <f>IFERROR(__xludf.DUMMYFUNCTION("IFERROR(GOOGLEFINANCE(A1147,""volume""),"""")"),7.35949E7)</f>
        <v>73594900</v>
      </c>
      <c r="AA1147" s="14" t="str">
        <f>VLOOKUP(A1147,Metrik!$C$2:$Y$959,5,0)</f>
        <v>Specialty Retail</v>
      </c>
      <c r="AB1147" s="14" t="str">
        <f>VLOOKUP(A1147,Metrik!$C$2:$Y$959,3,0)</f>
        <v>Consumer Cyclicals</v>
      </c>
    </row>
    <row r="1148">
      <c r="A1148" s="14" t="s">
        <v>607</v>
      </c>
      <c r="B1148" s="14" t="str">
        <f t="array" ref="B1148">VLOOKUP(A1148,{Metrik!$C$2:$C$998,Metrik!$B$2:$B$998},2,0)</f>
        <v>Mitra Adiperkasa Tbk.</v>
      </c>
      <c r="C1148" s="15">
        <f>IFERROR(__xludf.DUMMYFUNCTION("GOOGLEFINANCE(""IDX:""&amp;A1148,""price"")"),1490.0)</f>
        <v>1490</v>
      </c>
      <c r="D1148" s="16" t="str">
        <f>IFERROR(__xludf.DUMMYFUNCTION("IF(A1148="""","""",
SPARKLINE(
INDEX(
GOOGLEFINANCE(""IDX:""&amp;A1148,""close"",TODAY()-365,TODAY()),
,2
),
{""linewidth"",1}
))
"),"#N/A")</f>
        <v>#N/A</v>
      </c>
      <c r="E1148" s="14" t="s">
        <v>39</v>
      </c>
      <c r="F1148" s="25">
        <v>46356.0</v>
      </c>
      <c r="G1148" s="24">
        <f t="shared" si="7"/>
        <v>12</v>
      </c>
      <c r="H1148" s="19">
        <f>VLOOKUP(A1148,Metrik!$C$2:$Y$959,8,0)</f>
        <v>10.4</v>
      </c>
      <c r="I1148" s="20">
        <f>VLOOKUP(A1148,Metrik!$C$2:$Y$959,9,0)</f>
        <v>1.4</v>
      </c>
      <c r="J1148" s="20">
        <f>VLOOKUP(A1148,Metrik!$C$2:$Y$959,10,0)</f>
        <v>13.3</v>
      </c>
      <c r="K1148" s="20">
        <f>VLOOKUP(A1148,Metrik!$C$2:$Y$959,11,0)</f>
        <v>7</v>
      </c>
      <c r="L1148" s="20">
        <f>VLOOKUP(A1148,Metrik!$C$2:$Y$959,12,0)</f>
        <v>0.9</v>
      </c>
      <c r="M1148" s="20">
        <f>VLOOKUP(A1148,Metrik!$C$2:$Y$959,19,0)</f>
        <v>19.4</v>
      </c>
      <c r="N1148" s="21"/>
      <c r="O1148" s="21"/>
      <c r="P1148" s="21"/>
      <c r="Q1148" s="21"/>
      <c r="R1148" s="21"/>
      <c r="S1148" s="21"/>
      <c r="T1148" s="21"/>
      <c r="U1148" s="22">
        <f>IFERROR(__xludf.DUMMYFUNCTION("IFERROR(GOOGLEFINANCE(A1148,""closeyest""),"""")"),1485.0)</f>
        <v>1485</v>
      </c>
      <c r="V1148" s="23">
        <f>IFERROR(__xludf.DUMMYFUNCTION("IFERROR(GOOGLEFINANCE(A1148,""changepct""),"""")"),0.34)</f>
        <v>0.34</v>
      </c>
      <c r="W1148" s="22">
        <f>IFERROR(__xludf.DUMMYFUNCTION("IFERROR(GOOGLEFINANCE(A1148,""priceopen""),"""")"),1485.0)</f>
        <v>1485</v>
      </c>
      <c r="X1148" s="22">
        <f>IFERROR(__xludf.DUMMYFUNCTION("IFERROR(GOOGLEFINANCE(A1148,""high""),"""")"),1490.0)</f>
        <v>1490</v>
      </c>
      <c r="Y1148" s="22">
        <f>IFERROR(__xludf.DUMMYFUNCTION("IFERROR(GOOGLEFINANCE(A1148,""low""),"""")"),1485.0)</f>
        <v>1485</v>
      </c>
      <c r="Z1148" s="22">
        <f>IFERROR(__xludf.DUMMYFUNCTION("IFERROR(GOOGLEFINANCE(A1148,""volume""),"""")"),7.35949E7)</f>
        <v>73594900</v>
      </c>
      <c r="AA1148" s="24" t="str">
        <f>VLOOKUP(A1148,Metrik!$C$2:$Y$959,5,0)</f>
        <v>Specialty Retail</v>
      </c>
      <c r="AB1148" s="24" t="str">
        <f>VLOOKUP(A1148,Metrik!$C$2:$Y$959,3,0)</f>
        <v>Consumer Cyclicals</v>
      </c>
    </row>
    <row r="1149">
      <c r="A1149" s="14" t="s">
        <v>608</v>
      </c>
      <c r="B1149" s="14" t="str">
        <f t="array" ref="B1149">VLOOKUP(A1149,{Metrik!$C$2:$C$998,Metrik!$B$2:$B$998},2,0)</f>
        <v>Mahaka Radio Integra Tbk.</v>
      </c>
      <c r="C1149" s="15">
        <f>IFERROR(__xludf.DUMMYFUNCTION("GOOGLEFINANCE(""IDX:""&amp;A1149,""price"")"),23.0)</f>
        <v>23</v>
      </c>
      <c r="D1149" s="16" t="str">
        <f>IFERROR(__xludf.DUMMYFUNCTION("IF(A1149="""","""",
SPARKLINE(
INDEX(
GOOGLEFINANCE(""IDX:""&amp;A1149,""close"",TODAY()-365,TODAY()),
,2
),
{""linewidth"",1}
))
"),"#N/A")</f>
        <v>#N/A</v>
      </c>
      <c r="E1149" s="26"/>
      <c r="F1149" s="26"/>
      <c r="G1149" s="24">
        <f t="shared" si="7"/>
        <v>0</v>
      </c>
      <c r="H1149" s="19">
        <f>VLOOKUP(A1149,Metrik!$C$2:$Y$959,8,0)</f>
        <v>-4.7</v>
      </c>
      <c r="I1149" s="20">
        <f>VLOOKUP(A1149,Metrik!$C$2:$Y$959,9,0)</f>
        <v>-1.3</v>
      </c>
      <c r="J1149" s="20">
        <f>VLOOKUP(A1149,Metrik!$C$2:$Y$959,10,0)</f>
        <v>0</v>
      </c>
      <c r="K1149" s="20">
        <f>VLOOKUP(A1149,Metrik!$C$2:$Y$959,11,0)</f>
        <v>-9.3</v>
      </c>
      <c r="L1149" s="20">
        <f>VLOOKUP(A1149,Metrik!$C$2:$Y$959,12,0)</f>
        <v>-3.9</v>
      </c>
      <c r="M1149" s="20">
        <f>VLOOKUP(A1149,Metrik!$C$2:$Y$959,19,0)</f>
        <v>-83</v>
      </c>
      <c r="N1149" s="21"/>
      <c r="O1149" s="21"/>
      <c r="P1149" s="21"/>
      <c r="Q1149" s="21"/>
      <c r="R1149" s="21"/>
      <c r="S1149" s="21"/>
      <c r="T1149" s="21"/>
      <c r="U1149" s="22">
        <f>IFERROR(__xludf.DUMMYFUNCTION("IFERROR(GOOGLEFINANCE(A1149,""closeyest""),"""")"),8.01)</f>
        <v>8.01</v>
      </c>
      <c r="V1149" s="23">
        <f>IFERROR(__xludf.DUMMYFUNCTION("IFERROR(GOOGLEFINANCE(A1149,""changepct""),"""")"),-0.25)</f>
        <v>-0.25</v>
      </c>
      <c r="W1149" s="22">
        <f>IFERROR(__xludf.DUMMYFUNCTION("IFERROR(GOOGLEFINANCE(A1149,""priceopen""),"""")"),8.18)</f>
        <v>8.18</v>
      </c>
      <c r="X1149" s="22">
        <f>IFERROR(__xludf.DUMMYFUNCTION("IFERROR(GOOGLEFINANCE(A1149,""high""),"""")"),8.25)</f>
        <v>8.25</v>
      </c>
      <c r="Y1149" s="22">
        <f>IFERROR(__xludf.DUMMYFUNCTION("IFERROR(GOOGLEFINANCE(A1149,""low""),"""")"),7.9)</f>
        <v>7.9</v>
      </c>
      <c r="Z1149" s="22">
        <f>IFERROR(__xludf.DUMMYFUNCTION("IFERROR(GOOGLEFINANCE(A1149,""volume""),"""")"),108227.0)</f>
        <v>108227</v>
      </c>
      <c r="AA1149" s="24" t="str">
        <f>VLOOKUP(A1149,Metrik!$C$2:$Y$959,5,0)</f>
        <v>Media</v>
      </c>
      <c r="AB1149" s="24" t="str">
        <f>VLOOKUP(A1149,Metrik!$C$2:$Y$959,3,0)</f>
        <v>Consumer Cyclicals</v>
      </c>
    </row>
    <row r="1150">
      <c r="A1150" s="14" t="s">
        <v>609</v>
      </c>
      <c r="B1150" s="14" t="str">
        <f t="array" ref="B1150">VLOOKUP(A1150,{Metrik!$C$2:$C$998,Metrik!$B$2:$B$998},2,0)</f>
        <v>PT Mark Dynamics Indonesia Tbk.</v>
      </c>
      <c r="C1150" s="15">
        <f>IFERROR(__xludf.DUMMYFUNCTION("GOOGLEFINANCE(""IDX:""&amp;A1150,""price"")"),850.0)</f>
        <v>850</v>
      </c>
      <c r="D1150" s="16" t="str">
        <f>IFERROR(__xludf.DUMMYFUNCTION("IF(A1150="""","""",
SPARKLINE(
INDEX(
GOOGLEFINANCE(""IDX:""&amp;A1150,""close"",TODAY()-365,TODAY()),
,2
),
{""linewidth"",1}
))
"),"#N/A")</f>
        <v>#N/A</v>
      </c>
      <c r="E1150" s="14" t="s">
        <v>39</v>
      </c>
      <c r="F1150" s="25">
        <v>46356.0</v>
      </c>
      <c r="G1150" s="24">
        <f t="shared" si="7"/>
        <v>1</v>
      </c>
      <c r="H1150" s="19">
        <f>VLOOKUP(A1150,Metrik!$C$2:$Y$959,8,0)</f>
        <v>10.2</v>
      </c>
      <c r="I1150" s="20">
        <f>VLOOKUP(A1150,Metrik!$C$2:$Y$959,9,0)</f>
        <v>3.1</v>
      </c>
      <c r="J1150" s="20">
        <f>VLOOKUP(A1150,Metrik!$C$2:$Y$959,10,0)</f>
        <v>30.2</v>
      </c>
      <c r="K1150" s="20">
        <f>VLOOKUP(A1150,Metrik!$C$2:$Y$959,11,0)</f>
        <v>27.6</v>
      </c>
      <c r="L1150" s="20">
        <f>VLOOKUP(A1150,Metrik!$C$2:$Y$959,12,0)</f>
        <v>0.1</v>
      </c>
      <c r="M1150" s="20">
        <f>VLOOKUP(A1150,Metrik!$C$2:$Y$959,19,0)</f>
        <v>120</v>
      </c>
      <c r="N1150" s="21"/>
      <c r="O1150" s="21"/>
      <c r="P1150" s="21"/>
      <c r="Q1150" s="21"/>
      <c r="R1150" s="21"/>
      <c r="S1150" s="21"/>
      <c r="T1150" s="21"/>
      <c r="U1150" s="22">
        <f>IFERROR(__xludf.DUMMYFUNCTION("IFERROR(GOOGLEFINANCE(A1150,""closeyest""),"""")"),0.0)</f>
        <v>0</v>
      </c>
      <c r="V1150" s="23">
        <f>IFERROR(__xludf.DUMMYFUNCTION("IFERROR(GOOGLEFINANCE(A1150,""changepct""),"""")"),42.86)</f>
        <v>42.86</v>
      </c>
      <c r="W1150" s="22">
        <f>IFERROR(__xludf.DUMMYFUNCTION("IFERROR(GOOGLEFINANCE(A1150,""priceopen""),"""")"),0.0)</f>
        <v>0</v>
      </c>
      <c r="X1150" s="22">
        <f>IFERROR(__xludf.DUMMYFUNCTION("IFERROR(GOOGLEFINANCE(A1150,""high""),"""")"),0.0)</f>
        <v>0</v>
      </c>
      <c r="Y1150" s="22">
        <f>IFERROR(__xludf.DUMMYFUNCTION("IFERROR(GOOGLEFINANCE(A1150,""low""),"""")"),0.0)</f>
        <v>0</v>
      </c>
      <c r="Z1150" s="22">
        <f>IFERROR(__xludf.DUMMYFUNCTION("IFERROR(GOOGLEFINANCE(A1150,""volume""),"""")"),4687.0)</f>
        <v>4687</v>
      </c>
      <c r="AA1150" s="24" t="str">
        <f>VLOOKUP(A1150,Metrik!$C$2:$Y$959,5,0)</f>
        <v>Machinery</v>
      </c>
      <c r="AB1150" s="24" t="str">
        <f>VLOOKUP(A1150,Metrik!$C$2:$Y$959,3,0)</f>
        <v>Industrials</v>
      </c>
    </row>
    <row r="1151">
      <c r="A1151" s="14" t="s">
        <v>610</v>
      </c>
      <c r="B1151" s="14" t="str">
        <f t="array" ref="B1151">VLOOKUP(A1151,{Metrik!$C$2:$C$998,Metrik!$B$2:$B$998},2,0)</f>
        <v>Bank Multiarta Sentosa Tbk.</v>
      </c>
      <c r="C1151" s="15">
        <f>IFERROR(__xludf.DUMMYFUNCTION("GOOGLEFINANCE(""IDX:""&amp;A1151,""price"")"),3380.0)</f>
        <v>3380</v>
      </c>
      <c r="D1151" s="16" t="str">
        <f>IFERROR(__xludf.DUMMYFUNCTION("IF(A1151="""","""",
SPARKLINE(
INDEX(
GOOGLEFINANCE(""IDX:""&amp;A1151,""close"",TODAY()-365,TODAY()),
,2
),
{""linewidth"",1}
))
"),"#N/A")</f>
        <v>#N/A</v>
      </c>
      <c r="E1151" s="26"/>
      <c r="F1151" s="26"/>
      <c r="G1151" s="24">
        <f t="shared" si="7"/>
        <v>0</v>
      </c>
      <c r="H1151" s="19">
        <f>VLOOKUP(A1151,Metrik!$C$2:$Y$959,8,0)</f>
        <v>22.6</v>
      </c>
      <c r="I1151" s="20">
        <f>VLOOKUP(A1151,Metrik!$C$2:$Y$959,9,0)</f>
        <v>1.1</v>
      </c>
      <c r="J1151" s="20">
        <f>VLOOKUP(A1151,Metrik!$C$2:$Y$959,10,0)</f>
        <v>5.1</v>
      </c>
      <c r="K1151" s="20">
        <f>VLOOKUP(A1151,Metrik!$C$2:$Y$959,11,0)</f>
        <v>0.61</v>
      </c>
      <c r="L1151" s="20">
        <f>VLOOKUP(A1151,Metrik!$C$2:$Y$959,12,0)</f>
        <v>7.3</v>
      </c>
      <c r="M1151" s="20">
        <f>VLOOKUP(A1151,Metrik!$C$2:$Y$959,19,0)</f>
        <v>41.3</v>
      </c>
      <c r="N1151" s="32">
        <v>3.45</v>
      </c>
      <c r="O1151" s="32">
        <v>28.12</v>
      </c>
      <c r="P1151" s="32">
        <v>81.15</v>
      </c>
      <c r="Q1151" s="32">
        <v>1.98</v>
      </c>
      <c r="R1151" s="32">
        <v>83.12</v>
      </c>
      <c r="S1151" s="32">
        <v>54.15</v>
      </c>
      <c r="T1151" s="32">
        <v>6.12</v>
      </c>
      <c r="U1151" s="22">
        <f>IFERROR(__xludf.DUMMYFUNCTION("IFERROR(GOOGLEFINANCE(A1151,""closeyest""),"""")"),3350.0)</f>
        <v>3350</v>
      </c>
      <c r="V1151" s="23">
        <f>IFERROR(__xludf.DUMMYFUNCTION("IFERROR(GOOGLEFINANCE(A1151,""changepct""),"""")"),0.9)</f>
        <v>0.9</v>
      </c>
      <c r="W1151" s="22">
        <f>IFERROR(__xludf.DUMMYFUNCTION("IFERROR(GOOGLEFINANCE(A1151,""priceopen""),"""")"),3450.0)</f>
        <v>3450</v>
      </c>
      <c r="X1151" s="22">
        <f>IFERROR(__xludf.DUMMYFUNCTION("IFERROR(GOOGLEFINANCE(A1151,""high""),"""")"),3450.0)</f>
        <v>3450</v>
      </c>
      <c r="Y1151" s="22">
        <f>IFERROR(__xludf.DUMMYFUNCTION("IFERROR(GOOGLEFINANCE(A1151,""low""),"""")"),3370.0)</f>
        <v>3370</v>
      </c>
      <c r="Z1151" s="22">
        <f>IFERROR(__xludf.DUMMYFUNCTION("IFERROR(GOOGLEFINANCE(A1151,""volume""),"""")"),9100.0)</f>
        <v>9100</v>
      </c>
      <c r="AA1151" s="24" t="str">
        <f>VLOOKUP(A1151,Metrik!$C$2:$Y$959,5,0)</f>
        <v>Banks</v>
      </c>
      <c r="AB1151" s="24" t="str">
        <f>VLOOKUP(A1151,Metrik!$C$2:$Y$959,3,0)</f>
        <v>Financials</v>
      </c>
    </row>
    <row r="1152">
      <c r="A1152" s="14" t="s">
        <v>611</v>
      </c>
      <c r="B1152" s="14" t="str">
        <f t="array" ref="B1152">VLOOKUP(A1152,{Metrik!$C$2:$C$998,Metrik!$B$2:$B$998},2,0)</f>
        <v>PT Maxindo Karya Anugerah Tbk</v>
      </c>
      <c r="C1152" s="15">
        <f>IFERROR(__xludf.DUMMYFUNCTION("GOOGLEFINANCE(""IDX:""&amp;A1152,""price"")"),50.0)</f>
        <v>50</v>
      </c>
      <c r="D1152" s="16" t="str">
        <f>IFERROR(__xludf.DUMMYFUNCTION("IF(A1152="""","""",
SPARKLINE(
INDEX(
GOOGLEFINANCE(""IDX:""&amp;A1152,""close"",TODAY()-365,TODAY()),
,2
),
{""linewidth"",1}
))
"),"#N/A")</f>
        <v>#N/A</v>
      </c>
      <c r="E1152" s="26"/>
      <c r="F1152" s="26"/>
      <c r="G1152" s="24">
        <f t="shared" si="7"/>
        <v>0</v>
      </c>
      <c r="H1152" s="19">
        <f>VLOOKUP(A1152,Metrik!$C$2:$Y$959,8,0)</f>
        <v>-49.6</v>
      </c>
      <c r="I1152" s="20">
        <f>VLOOKUP(A1152,Metrik!$C$2:$Y$959,9,0)</f>
        <v>3.5</v>
      </c>
      <c r="J1152" s="20">
        <f>VLOOKUP(A1152,Metrik!$C$2:$Y$959,10,0)</f>
        <v>-7</v>
      </c>
      <c r="K1152" s="20">
        <f>VLOOKUP(A1152,Metrik!$C$2:$Y$959,11,0)</f>
        <v>-3.3</v>
      </c>
      <c r="L1152" s="20">
        <f>VLOOKUP(A1152,Metrik!$C$2:$Y$959,12,0)</f>
        <v>1.2</v>
      </c>
      <c r="M1152" s="20">
        <f>VLOOKUP(A1152,Metrik!$C$2:$Y$959,19,0)</f>
        <v>-26.5</v>
      </c>
      <c r="N1152" s="21"/>
      <c r="O1152" s="21"/>
      <c r="P1152" s="21"/>
      <c r="Q1152" s="21"/>
      <c r="R1152" s="21"/>
      <c r="S1152" s="21"/>
      <c r="T1152" s="21"/>
      <c r="U1152" s="22">
        <f>IFERROR(__xludf.DUMMYFUNCTION("IFERROR(GOOGLEFINANCE(A1152,""closeyest""),"""")"),9.0)</f>
        <v>9</v>
      </c>
      <c r="V1152" s="23">
        <f>IFERROR(__xludf.DUMMYFUNCTION("IFERROR(GOOGLEFINANCE(A1152,""changepct""),"""")"),-0.33)</f>
        <v>-0.33</v>
      </c>
      <c r="W1152" s="22">
        <f>IFERROR(__xludf.DUMMYFUNCTION("IFERROR(GOOGLEFINANCE(A1152,""priceopen""),"""")"),9.1)</f>
        <v>9.1</v>
      </c>
      <c r="X1152" s="22">
        <f>IFERROR(__xludf.DUMMYFUNCTION("IFERROR(GOOGLEFINANCE(A1152,""high""),"""")"),9.1)</f>
        <v>9.1</v>
      </c>
      <c r="Y1152" s="22">
        <f>IFERROR(__xludf.DUMMYFUNCTION("IFERROR(GOOGLEFINANCE(A1152,""low""),"""")"),8.9)</f>
        <v>8.9</v>
      </c>
      <c r="Z1152" s="22">
        <f>IFERROR(__xludf.DUMMYFUNCTION("IFERROR(GOOGLEFINANCE(A1152,""volume""),"""")"),15140.0)</f>
        <v>15140</v>
      </c>
      <c r="AA1152" s="24" t="str">
        <f>VLOOKUP(A1152,Metrik!$C$2:$Y$959,5,0)</f>
        <v>Processed Foods</v>
      </c>
      <c r="AB1152" s="24" t="str">
        <f>VLOOKUP(A1152,Metrik!$C$2:$Y$959,3,0)</f>
        <v>Consumer Non-Cyclicals</v>
      </c>
    </row>
    <row r="1153">
      <c r="A1153" s="17" t="s">
        <v>612</v>
      </c>
      <c r="B1153" s="14" t="str">
        <f t="array" ref="B1153">VLOOKUP(A1153,{Metrik!$C$2:$C$998,Metrik!$B$2:$B$998},2,0)</f>
        <v>PT Bank Mayapada Internasional Tbk</v>
      </c>
      <c r="C1153" s="15">
        <f>IFERROR(__xludf.DUMMYFUNCTION("GOOGLEFINANCE(""IDX:""&amp;A1153,""price"")"),186.0)</f>
        <v>186</v>
      </c>
      <c r="D1153" s="16" t="str">
        <f>IFERROR(__xludf.DUMMYFUNCTION("IF(A1153="""","""",
SPARKLINE(
INDEX(
GOOGLEFINANCE(""IDX:""&amp;A1153,""close"",TODAY()-365,TODAY()),
,2
),
{""linewidth"",1}
))
"),"#N/A")</f>
        <v>#N/A</v>
      </c>
      <c r="E1153" s="14"/>
      <c r="F1153" s="17"/>
      <c r="G1153" s="18">
        <f t="shared" si="7"/>
        <v>0</v>
      </c>
      <c r="H1153" s="19">
        <f>VLOOKUP(A1153,Metrik!$C$2:$Y$959,8,0)</f>
        <v>87.6</v>
      </c>
      <c r="I1153" s="20">
        <f>VLOOKUP(A1153,Metrik!$C$2:$Y$959,9,0)</f>
        <v>0.26</v>
      </c>
      <c r="J1153" s="20">
        <f>VLOOKUP(A1153,Metrik!$C$2:$Y$959,10,0)</f>
        <v>0.29</v>
      </c>
      <c r="K1153" s="20">
        <f>VLOOKUP(A1153,Metrik!$C$2:$Y$959,11,0)</f>
        <v>0.03</v>
      </c>
      <c r="L1153" s="20">
        <f>VLOOKUP(A1153,Metrik!$C$2:$Y$959,12,0)</f>
        <v>7.9</v>
      </c>
      <c r="M1153" s="20">
        <f>VLOOKUP(A1153,Metrik!$C$2:$Y$959,19,0)</f>
        <v>1.8</v>
      </c>
      <c r="N1153" s="32">
        <v>3.67</v>
      </c>
      <c r="O1153" s="32">
        <v>10.1</v>
      </c>
      <c r="P1153" s="32">
        <v>77.93</v>
      </c>
      <c r="Q1153" s="32">
        <v>3.47</v>
      </c>
      <c r="R1153" s="32">
        <v>99.15</v>
      </c>
      <c r="S1153" s="32">
        <v>85.12</v>
      </c>
      <c r="T1153" s="32">
        <v>11.4</v>
      </c>
      <c r="U1153" s="22">
        <f>IFERROR(__xludf.DUMMYFUNCTION("IFERROR(GOOGLEFINANCE(A1153,""closeyest""),"""")"),180.0)</f>
        <v>180</v>
      </c>
      <c r="V1153" s="23" t="str">
        <f>IFERROR(__xludf.DUMMYFUNCTION("IFERROR(GOOGLEFINANCE(A1153,""changepct""),"""")"),"")</f>
        <v/>
      </c>
      <c r="W1153" s="22">
        <f>IFERROR(__xludf.DUMMYFUNCTION("IFERROR(GOOGLEFINANCE(A1153,""priceopen""),"""")"),181.0)</f>
        <v>181</v>
      </c>
      <c r="X1153" s="22">
        <f>IFERROR(__xludf.DUMMYFUNCTION("IFERROR(GOOGLEFINANCE(A1153,""high""),"""")"),193.0)</f>
        <v>193</v>
      </c>
      <c r="Y1153" s="22">
        <f>IFERROR(__xludf.DUMMYFUNCTION("IFERROR(GOOGLEFINANCE(A1153,""low""),"""")"),181.0)</f>
        <v>181</v>
      </c>
      <c r="Z1153" s="22">
        <f>IFERROR(__xludf.DUMMYFUNCTION("IFERROR(GOOGLEFINANCE(A1153,""volume""),"""")"),2247500.0)</f>
        <v>2247500</v>
      </c>
      <c r="AA1153" s="24" t="str">
        <f>VLOOKUP(A1153,Metrik!$C$2:$Y$959,5,0)</f>
        <v>Banks</v>
      </c>
      <c r="AB1153" s="24" t="str">
        <f>VLOOKUP(A1153,Metrik!$C$2:$Y$959,3,0)</f>
        <v>Financials</v>
      </c>
    </row>
    <row r="1154">
      <c r="A1154" s="14" t="s">
        <v>613</v>
      </c>
      <c r="B1154" s="14" t="str">
        <f t="array" ref="B1154">VLOOKUP(A1154,{Metrik!$C$2:$C$998,Metrik!$B$2:$B$998},2,0)</f>
        <v>Mitrabara Adiperdana Tbk.</v>
      </c>
      <c r="C1154" s="15">
        <f>IFERROR(__xludf.DUMMYFUNCTION("GOOGLEFINANCE(""IDX:""&amp;A1154,""price"")"),1450.0)</f>
        <v>1450</v>
      </c>
      <c r="D1154" s="16" t="str">
        <f>IFERROR(__xludf.DUMMYFUNCTION("IF(A1154="""","""",
SPARKLINE(
INDEX(
GOOGLEFINANCE(""IDX:""&amp;A1154,""close"",TODAY()-365,TODAY()),
,2
),
{""linewidth"",1}
))
"),"#N/A")</f>
        <v>#N/A</v>
      </c>
      <c r="E1154" s="26"/>
      <c r="F1154" s="26"/>
      <c r="G1154" s="24">
        <f t="shared" si="7"/>
        <v>0</v>
      </c>
      <c r="H1154" s="19">
        <f>VLOOKUP(A1154,Metrik!$C$2:$Y$959,8,0)</f>
        <v>63.5</v>
      </c>
      <c r="I1154" s="20">
        <f>VLOOKUP(A1154,Metrik!$C$2:$Y$959,9,0)</f>
        <v>0.59</v>
      </c>
      <c r="J1154" s="20">
        <f>VLOOKUP(A1154,Metrik!$C$2:$Y$959,10,0)</f>
        <v>0.92</v>
      </c>
      <c r="K1154" s="20">
        <f>VLOOKUP(A1154,Metrik!$C$2:$Y$959,11,0)</f>
        <v>0.67</v>
      </c>
      <c r="L1154" s="20">
        <f>VLOOKUP(A1154,Metrik!$C$2:$Y$959,12,0)</f>
        <v>0.37</v>
      </c>
      <c r="M1154" s="20">
        <f>VLOOKUP(A1154,Metrik!$C$2:$Y$959,19,0)</f>
        <v>3.7</v>
      </c>
      <c r="N1154" s="21"/>
      <c r="O1154" s="21"/>
      <c r="P1154" s="21"/>
      <c r="Q1154" s="21"/>
      <c r="R1154" s="21"/>
      <c r="S1154" s="21"/>
      <c r="T1154" s="21"/>
      <c r="U1154" s="22">
        <f>IFERROR(__xludf.DUMMYFUNCTION("IFERROR(GOOGLEFINANCE(A1154,""closeyest""),"""")"),10.3)</f>
        <v>10.3</v>
      </c>
      <c r="V1154" s="23">
        <f>IFERROR(__xludf.DUMMYFUNCTION("IFERROR(GOOGLEFINANCE(A1154,""changepct""),"""")"),0.58)</f>
        <v>0.58</v>
      </c>
      <c r="W1154" s="22">
        <f>IFERROR(__xludf.DUMMYFUNCTION("IFERROR(GOOGLEFINANCE(A1154,""priceopen""),"""")"),10.36)</f>
        <v>10.36</v>
      </c>
      <c r="X1154" s="22">
        <f>IFERROR(__xludf.DUMMYFUNCTION("IFERROR(GOOGLEFINANCE(A1154,""high""),"""")"),10.47)</f>
        <v>10.47</v>
      </c>
      <c r="Y1154" s="22">
        <f>IFERROR(__xludf.DUMMYFUNCTION("IFERROR(GOOGLEFINANCE(A1154,""low""),"""")"),10.36)</f>
        <v>10.36</v>
      </c>
      <c r="Z1154" s="22">
        <f>IFERROR(__xludf.DUMMYFUNCTION("IFERROR(GOOGLEFINANCE(A1154,""volume""),"""")"),7100.0)</f>
        <v>7100</v>
      </c>
      <c r="AA1154" s="24" t="str">
        <f>VLOOKUP(A1154,Metrik!$C$2:$Y$959,5,0)</f>
        <v>Coal</v>
      </c>
      <c r="AB1154" s="24" t="str">
        <f>VLOOKUP(A1154,Metrik!$C$2:$Y$959,3,0)</f>
        <v>Energy</v>
      </c>
    </row>
    <row r="1155">
      <c r="A1155" s="17" t="s">
        <v>614</v>
      </c>
      <c r="B1155" s="14" t="str">
        <f t="array" ref="B1155">VLOOKUP(A1155,{Metrik!$C$2:$C$998,Metrik!$B$2:$B$998},2,0)</f>
        <v>PT Merdeka Battery Materials Tbk</v>
      </c>
      <c r="C1155" s="15">
        <f>IFERROR(__xludf.DUMMYFUNCTION("GOOGLEFINANCE(""IDX:""&amp;A1155,""price"")"),482.0)</f>
        <v>482</v>
      </c>
      <c r="D1155" s="16" t="str">
        <f>IFERROR(__xludf.DUMMYFUNCTION("IF(A1155="""","""",
SPARKLINE(
INDEX(
GOOGLEFINANCE(""IDX:""&amp;A1155,""close"",TODAY()-365,TODAY()),
,2
),
{""linewidth"",1}
))
"),"#N/A")</f>
        <v>#N/A</v>
      </c>
      <c r="E1155" s="14" t="s">
        <v>55</v>
      </c>
      <c r="F1155" s="25">
        <v>46356.0</v>
      </c>
      <c r="G1155" s="18">
        <f t="shared" si="7"/>
        <v>10</v>
      </c>
      <c r="H1155" s="19">
        <f>VLOOKUP(A1155,Metrik!$C$2:$Y$959,8,0)</f>
        <v>100</v>
      </c>
      <c r="I1155" s="20">
        <f>VLOOKUP(A1155,Metrik!$C$2:$Y$959,9,0)</f>
        <v>1.3</v>
      </c>
      <c r="J1155" s="20">
        <f>VLOOKUP(A1155,Metrik!$C$2:$Y$959,10,0)</f>
        <v>1.3</v>
      </c>
      <c r="K1155" s="20">
        <f>VLOOKUP(A1155,Metrik!$C$2:$Y$959,11,0)</f>
        <v>0.79</v>
      </c>
      <c r="L1155" s="20">
        <f>VLOOKUP(A1155,Metrik!$C$2:$Y$959,12,0)</f>
        <v>0.59</v>
      </c>
      <c r="M1155" s="20">
        <f>VLOOKUP(A1155,Metrik!$C$2:$Y$959,19,0)</f>
        <v>2.1</v>
      </c>
      <c r="N1155" s="21"/>
      <c r="O1155" s="21"/>
      <c r="P1155" s="21"/>
      <c r="Q1155" s="21"/>
      <c r="R1155" s="21"/>
      <c r="S1155" s="21"/>
      <c r="T1155" s="21"/>
      <c r="U1155" s="22">
        <f>IFERROR(__xludf.DUMMYFUNCTION("IFERROR(GOOGLEFINANCE(A1155,""closeyest""),"""")"),448.0)</f>
        <v>448</v>
      </c>
      <c r="V1155" s="23">
        <f>IFERROR(__xludf.DUMMYFUNCTION("IFERROR(GOOGLEFINANCE(A1155,""changepct""),"""")"),7.59)</f>
        <v>7.59</v>
      </c>
      <c r="W1155" s="22">
        <f>IFERROR(__xludf.DUMMYFUNCTION("IFERROR(GOOGLEFINANCE(A1155,""priceopen""),"""")"),452.0)</f>
        <v>452</v>
      </c>
      <c r="X1155" s="22">
        <f>IFERROR(__xludf.DUMMYFUNCTION("IFERROR(GOOGLEFINANCE(A1155,""high""),"""")"),486.0)</f>
        <v>486</v>
      </c>
      <c r="Y1155" s="22">
        <f>IFERROR(__xludf.DUMMYFUNCTION("IFERROR(GOOGLEFINANCE(A1155,""low""),"""")"),452.0)</f>
        <v>452</v>
      </c>
      <c r="Z1155" s="22">
        <f>IFERROR(__xludf.DUMMYFUNCTION("IFERROR(GOOGLEFINANCE(A1155,""volume""),"""")"),2.026719E8)</f>
        <v>202671900</v>
      </c>
      <c r="AA1155" s="24" t="str">
        <f>VLOOKUP(A1155,Metrik!$C$2:$Y$959,5,0)</f>
        <v>Metals &amp; Minerals</v>
      </c>
      <c r="AB1155" s="24" t="str">
        <f>VLOOKUP(A1155,Metrik!$C$2:$Y$959,3,0)</f>
        <v>Basic Materials</v>
      </c>
    </row>
    <row r="1156">
      <c r="A1156" s="14" t="s">
        <v>614</v>
      </c>
      <c r="B1156" s="14" t="str">
        <f t="array" ref="B1156">VLOOKUP(A1156,{Metrik!$C$2:$C$998,Metrik!$B$2:$B$998},2,0)</f>
        <v>PT Merdeka Battery Materials Tbk</v>
      </c>
      <c r="C1156" s="15">
        <f>IFERROR(__xludf.DUMMYFUNCTION("GOOGLEFINANCE(""IDX:""&amp;A1156,""price"")"),482.0)</f>
        <v>482</v>
      </c>
      <c r="D1156" s="16" t="str">
        <f>IFERROR(__xludf.DUMMYFUNCTION("IF(A1156="""","""",
SPARKLINE(
INDEX(
GOOGLEFINANCE(""IDX:""&amp;A1156,""close"",TODAY()-365,TODAY()),
,2
),
{""linewidth"",1}
))
"),"#N/A")</f>
        <v>#N/A</v>
      </c>
      <c r="E1156" s="14" t="s">
        <v>161</v>
      </c>
      <c r="F1156" s="14" t="s">
        <v>76</v>
      </c>
      <c r="G1156" s="24">
        <f t="shared" si="7"/>
        <v>10</v>
      </c>
      <c r="H1156" s="19">
        <f>VLOOKUP(A1156,Metrik!$C$2:$Y$959,8,0)</f>
        <v>100</v>
      </c>
      <c r="I1156" s="20">
        <f>VLOOKUP(A1156,Metrik!$C$2:$Y$959,9,0)</f>
        <v>1.3</v>
      </c>
      <c r="J1156" s="20">
        <f>VLOOKUP(A1156,Metrik!$C$2:$Y$959,10,0)</f>
        <v>1.3</v>
      </c>
      <c r="K1156" s="20">
        <f>VLOOKUP(A1156,Metrik!$C$2:$Y$959,11,0)</f>
        <v>0.79</v>
      </c>
      <c r="L1156" s="20">
        <f>VLOOKUP(A1156,Metrik!$C$2:$Y$959,12,0)</f>
        <v>0.59</v>
      </c>
      <c r="M1156" s="20">
        <f>VLOOKUP(A1156,Metrik!$C$2:$Y$959,19,0)</f>
        <v>2.1</v>
      </c>
      <c r="N1156" s="21"/>
      <c r="O1156" s="21"/>
      <c r="P1156" s="21"/>
      <c r="Q1156" s="21"/>
      <c r="R1156" s="21"/>
      <c r="S1156" s="21"/>
      <c r="T1156" s="21"/>
      <c r="U1156" s="22">
        <f>IFERROR(__xludf.DUMMYFUNCTION("IFERROR(GOOGLEFINANCE(A1156,""closeyest""),"""")"),448.0)</f>
        <v>448</v>
      </c>
      <c r="V1156" s="23">
        <f>IFERROR(__xludf.DUMMYFUNCTION("IFERROR(GOOGLEFINANCE(A1156,""changepct""),"""")"),7.59)</f>
        <v>7.59</v>
      </c>
      <c r="W1156" s="22">
        <f>IFERROR(__xludf.DUMMYFUNCTION("IFERROR(GOOGLEFINANCE(A1156,""priceopen""),"""")"),452.0)</f>
        <v>452</v>
      </c>
      <c r="X1156" s="22">
        <f>IFERROR(__xludf.DUMMYFUNCTION("IFERROR(GOOGLEFINANCE(A1156,""high""),"""")"),486.0)</f>
        <v>486</v>
      </c>
      <c r="Y1156" s="22">
        <f>IFERROR(__xludf.DUMMYFUNCTION("IFERROR(GOOGLEFINANCE(A1156,""low""),"""")"),452.0)</f>
        <v>452</v>
      </c>
      <c r="Z1156" s="22">
        <f>IFERROR(__xludf.DUMMYFUNCTION("IFERROR(GOOGLEFINANCE(A1156,""volume""),"""")"),2.026719E8)</f>
        <v>202671900</v>
      </c>
      <c r="AA1156" s="24" t="str">
        <f>VLOOKUP(A1156,Metrik!$C$2:$Y$959,5,0)</f>
        <v>Metals &amp; Minerals</v>
      </c>
      <c r="AB1156" s="24" t="str">
        <f>VLOOKUP(A1156,Metrik!$C$2:$Y$959,3,0)</f>
        <v>Basic Materials</v>
      </c>
    </row>
    <row r="1157">
      <c r="A1157" s="14" t="s">
        <v>614</v>
      </c>
      <c r="B1157" s="14" t="str">
        <f t="array" ref="B1157">VLOOKUP(A1157,{Metrik!$C$2:$C$998,Metrik!$B$2:$B$998},2,0)</f>
        <v>PT Merdeka Battery Materials Tbk</v>
      </c>
      <c r="C1157" s="15">
        <f>IFERROR(__xludf.DUMMYFUNCTION("GOOGLEFINANCE(""IDX:""&amp;A1157,""price"")"),482.0)</f>
        <v>482</v>
      </c>
      <c r="D1157" s="16" t="str">
        <f>IFERROR(__xludf.DUMMYFUNCTION("IF(A1157="""","""",
SPARKLINE(
INDEX(
GOOGLEFINANCE(""IDX:""&amp;A1157,""close"",TODAY()-365,TODAY()),
,2
),
{""linewidth"",1}
))
"),"#N/A")</f>
        <v>#N/A</v>
      </c>
      <c r="E1157" s="14" t="s">
        <v>28</v>
      </c>
      <c r="F1157" s="17" t="s">
        <v>29</v>
      </c>
      <c r="G1157" s="24">
        <f t="shared" si="7"/>
        <v>10</v>
      </c>
      <c r="H1157" s="19">
        <f>VLOOKUP(A1157,Metrik!$C$2:$Y$959,8,0)</f>
        <v>100</v>
      </c>
      <c r="I1157" s="20">
        <f>VLOOKUP(A1157,Metrik!$C$2:$Y$959,9,0)</f>
        <v>1.3</v>
      </c>
      <c r="J1157" s="20">
        <f>VLOOKUP(A1157,Metrik!$C$2:$Y$959,10,0)</f>
        <v>1.3</v>
      </c>
      <c r="K1157" s="20">
        <f>VLOOKUP(A1157,Metrik!$C$2:$Y$959,11,0)</f>
        <v>0.79</v>
      </c>
      <c r="L1157" s="20">
        <f>VLOOKUP(A1157,Metrik!$C$2:$Y$959,12,0)</f>
        <v>0.59</v>
      </c>
      <c r="M1157" s="20">
        <f>VLOOKUP(A1157,Metrik!$C$2:$Y$959,19,0)</f>
        <v>2.1</v>
      </c>
      <c r="N1157" s="21"/>
      <c r="O1157" s="21"/>
      <c r="P1157" s="21"/>
      <c r="Q1157" s="21"/>
      <c r="R1157" s="21"/>
      <c r="S1157" s="21"/>
      <c r="T1157" s="21"/>
      <c r="U1157" s="22">
        <f>IFERROR(__xludf.DUMMYFUNCTION("IFERROR(GOOGLEFINANCE(A1157,""closeyest""),"""")"),448.0)</f>
        <v>448</v>
      </c>
      <c r="V1157" s="23">
        <f>IFERROR(__xludf.DUMMYFUNCTION("IFERROR(GOOGLEFINANCE(A1157,""changepct""),"""")"),7.59)</f>
        <v>7.59</v>
      </c>
      <c r="W1157" s="22">
        <f>IFERROR(__xludf.DUMMYFUNCTION("IFERROR(GOOGLEFINANCE(A1157,""priceopen""),"""")"),452.0)</f>
        <v>452</v>
      </c>
      <c r="X1157" s="22">
        <f>IFERROR(__xludf.DUMMYFUNCTION("IFERROR(GOOGLEFINANCE(A1157,""high""),"""")"),486.0)</f>
        <v>486</v>
      </c>
      <c r="Y1157" s="22">
        <f>IFERROR(__xludf.DUMMYFUNCTION("IFERROR(GOOGLEFINANCE(A1157,""low""),"""")"),452.0)</f>
        <v>452</v>
      </c>
      <c r="Z1157" s="22">
        <f>IFERROR(__xludf.DUMMYFUNCTION("IFERROR(GOOGLEFINANCE(A1157,""volume""),"""")"),2.026719E8)</f>
        <v>202671900</v>
      </c>
      <c r="AA1157" s="24" t="str">
        <f>VLOOKUP(A1157,Metrik!$C$2:$Y$959,5,0)</f>
        <v>Metals &amp; Minerals</v>
      </c>
      <c r="AB1157" s="24" t="str">
        <f>VLOOKUP(A1157,Metrik!$C$2:$Y$959,3,0)</f>
        <v>Basic Materials</v>
      </c>
    </row>
    <row r="1158">
      <c r="A1158" s="14" t="s">
        <v>614</v>
      </c>
      <c r="B1158" s="14" t="str">
        <f t="array" ref="B1158">VLOOKUP(A1158,{Metrik!$C$2:$C$998,Metrik!$B$2:$B$998},2,0)</f>
        <v>PT Merdeka Battery Materials Tbk</v>
      </c>
      <c r="C1158" s="15">
        <f>IFERROR(__xludf.DUMMYFUNCTION("GOOGLEFINANCE(""IDX:""&amp;A1158,""price"")"),482.0)</f>
        <v>482</v>
      </c>
      <c r="D1158" s="16" t="str">
        <f>IFERROR(__xludf.DUMMYFUNCTION("IF(A1158="""","""",
SPARKLINE(
INDEX(
GOOGLEFINANCE(""IDX:""&amp;A1158,""close"",TODAY()-365,TODAY()),
,2
),
{""linewidth"",1}
))
"),"#N/A")</f>
        <v>#N/A</v>
      </c>
      <c r="E1158" s="14" t="s">
        <v>30</v>
      </c>
      <c r="F1158" s="17" t="s">
        <v>29</v>
      </c>
      <c r="G1158" s="24">
        <f t="shared" si="7"/>
        <v>10</v>
      </c>
      <c r="H1158" s="19">
        <f>VLOOKUP(A1158,Metrik!$C$2:$Y$959,8,0)</f>
        <v>100</v>
      </c>
      <c r="I1158" s="20">
        <f>VLOOKUP(A1158,Metrik!$C$2:$Y$959,9,0)</f>
        <v>1.3</v>
      </c>
      <c r="J1158" s="20">
        <f>VLOOKUP(A1158,Metrik!$C$2:$Y$959,10,0)</f>
        <v>1.3</v>
      </c>
      <c r="K1158" s="20">
        <f>VLOOKUP(A1158,Metrik!$C$2:$Y$959,11,0)</f>
        <v>0.79</v>
      </c>
      <c r="L1158" s="20">
        <f>VLOOKUP(A1158,Metrik!$C$2:$Y$959,12,0)</f>
        <v>0.59</v>
      </c>
      <c r="M1158" s="20">
        <f>VLOOKUP(A1158,Metrik!$C$2:$Y$959,19,0)</f>
        <v>2.1</v>
      </c>
      <c r="N1158" s="21"/>
      <c r="O1158" s="21"/>
      <c r="P1158" s="21"/>
      <c r="Q1158" s="21"/>
      <c r="R1158" s="21"/>
      <c r="S1158" s="21"/>
      <c r="T1158" s="21"/>
      <c r="U1158" s="22">
        <f>IFERROR(__xludf.DUMMYFUNCTION("IFERROR(GOOGLEFINANCE(A1158,""closeyest""),"""")"),448.0)</f>
        <v>448</v>
      </c>
      <c r="V1158" s="23">
        <f>IFERROR(__xludf.DUMMYFUNCTION("IFERROR(GOOGLEFINANCE(A1158,""changepct""),"""")"),7.59)</f>
        <v>7.59</v>
      </c>
      <c r="W1158" s="22">
        <f>IFERROR(__xludf.DUMMYFUNCTION("IFERROR(GOOGLEFINANCE(A1158,""priceopen""),"""")"),452.0)</f>
        <v>452</v>
      </c>
      <c r="X1158" s="22">
        <f>IFERROR(__xludf.DUMMYFUNCTION("IFERROR(GOOGLEFINANCE(A1158,""high""),"""")"),486.0)</f>
        <v>486</v>
      </c>
      <c r="Y1158" s="22">
        <f>IFERROR(__xludf.DUMMYFUNCTION("IFERROR(GOOGLEFINANCE(A1158,""low""),"""")"),452.0)</f>
        <v>452</v>
      </c>
      <c r="Z1158" s="22">
        <f>IFERROR(__xludf.DUMMYFUNCTION("IFERROR(GOOGLEFINANCE(A1158,""volume""),"""")"),2.026719E8)</f>
        <v>202671900</v>
      </c>
      <c r="AA1158" s="24" t="str">
        <f>VLOOKUP(A1158,Metrik!$C$2:$Y$959,5,0)</f>
        <v>Metals &amp; Minerals</v>
      </c>
      <c r="AB1158" s="24" t="str">
        <f>VLOOKUP(A1158,Metrik!$C$2:$Y$959,3,0)</f>
        <v>Basic Materials</v>
      </c>
    </row>
    <row r="1159">
      <c r="A1159" s="14" t="s">
        <v>614</v>
      </c>
      <c r="B1159" s="14" t="str">
        <f t="array" ref="B1159">VLOOKUP(A1159,{Metrik!$C$2:$C$998,Metrik!$B$2:$B$998},2,0)</f>
        <v>PT Merdeka Battery Materials Tbk</v>
      </c>
      <c r="C1159" s="15">
        <f>IFERROR(__xludf.DUMMYFUNCTION("GOOGLEFINANCE(""IDX:""&amp;A1159,""price"")"),482.0)</f>
        <v>482</v>
      </c>
      <c r="D1159" s="16" t="str">
        <f>IFERROR(__xludf.DUMMYFUNCTION("IF(A1159="""","""",
SPARKLINE(
INDEX(
GOOGLEFINANCE(""IDX:""&amp;A1159,""close"",TODAY()-365,TODAY()),
,2
),
{""linewidth"",1}
))
"),"#N/A")</f>
        <v>#N/A</v>
      </c>
      <c r="E1159" s="14" t="s">
        <v>31</v>
      </c>
      <c r="F1159" s="17" t="s">
        <v>29</v>
      </c>
      <c r="G1159" s="24">
        <f t="shared" si="7"/>
        <v>10</v>
      </c>
      <c r="H1159" s="19">
        <f>VLOOKUP(A1159,Metrik!$C$2:$Y$959,8,0)</f>
        <v>100</v>
      </c>
      <c r="I1159" s="20">
        <f>VLOOKUP(A1159,Metrik!$C$2:$Y$959,9,0)</f>
        <v>1.3</v>
      </c>
      <c r="J1159" s="20">
        <f>VLOOKUP(A1159,Metrik!$C$2:$Y$959,10,0)</f>
        <v>1.3</v>
      </c>
      <c r="K1159" s="20">
        <f>VLOOKUP(A1159,Metrik!$C$2:$Y$959,11,0)</f>
        <v>0.79</v>
      </c>
      <c r="L1159" s="20">
        <f>VLOOKUP(A1159,Metrik!$C$2:$Y$959,12,0)</f>
        <v>0.59</v>
      </c>
      <c r="M1159" s="20">
        <f>VLOOKUP(A1159,Metrik!$C$2:$Y$959,19,0)</f>
        <v>2.1</v>
      </c>
      <c r="N1159" s="21"/>
      <c r="O1159" s="21"/>
      <c r="P1159" s="21"/>
      <c r="Q1159" s="21"/>
      <c r="R1159" s="21"/>
      <c r="S1159" s="21"/>
      <c r="T1159" s="21"/>
      <c r="U1159" s="22">
        <f>IFERROR(__xludf.DUMMYFUNCTION("IFERROR(GOOGLEFINANCE(A1159,""closeyest""),"""")"),448.0)</f>
        <v>448</v>
      </c>
      <c r="V1159" s="23">
        <f>IFERROR(__xludf.DUMMYFUNCTION("IFERROR(GOOGLEFINANCE(A1159,""changepct""),"""")"),7.59)</f>
        <v>7.59</v>
      </c>
      <c r="W1159" s="22">
        <f>IFERROR(__xludf.DUMMYFUNCTION("IFERROR(GOOGLEFINANCE(A1159,""priceopen""),"""")"),452.0)</f>
        <v>452</v>
      </c>
      <c r="X1159" s="22">
        <f>IFERROR(__xludf.DUMMYFUNCTION("IFERROR(GOOGLEFINANCE(A1159,""high""),"""")"),486.0)</f>
        <v>486</v>
      </c>
      <c r="Y1159" s="22">
        <f>IFERROR(__xludf.DUMMYFUNCTION("IFERROR(GOOGLEFINANCE(A1159,""low""),"""")"),452.0)</f>
        <v>452</v>
      </c>
      <c r="Z1159" s="22">
        <f>IFERROR(__xludf.DUMMYFUNCTION("IFERROR(GOOGLEFINANCE(A1159,""volume""),"""")"),2.026719E8)</f>
        <v>202671900</v>
      </c>
      <c r="AA1159" s="24" t="str">
        <f>VLOOKUP(A1159,Metrik!$C$2:$Y$959,5,0)</f>
        <v>Metals &amp; Minerals</v>
      </c>
      <c r="AB1159" s="24" t="str">
        <f>VLOOKUP(A1159,Metrik!$C$2:$Y$959,3,0)</f>
        <v>Basic Materials</v>
      </c>
    </row>
    <row r="1160">
      <c r="A1160" s="14" t="s">
        <v>614</v>
      </c>
      <c r="B1160" s="14" t="str">
        <f t="array" ref="B1160">VLOOKUP(A1160,{Metrik!$C$2:$C$998,Metrik!$B$2:$B$998},2,0)</f>
        <v>PT Merdeka Battery Materials Tbk</v>
      </c>
      <c r="C1160" s="15">
        <f>IFERROR(__xludf.DUMMYFUNCTION("GOOGLEFINANCE(""IDX:""&amp;A1160,""price"")"),482.0)</f>
        <v>482</v>
      </c>
      <c r="D1160" s="16" t="str">
        <f>IFERROR(__xludf.DUMMYFUNCTION("IF(A1160="""","""",
SPARKLINE(
INDEX(
GOOGLEFINANCE(""IDX:""&amp;A1160,""close"",TODAY()-365,TODAY()),
,2
),
{""linewidth"",1}
))
"),"#N/A")</f>
        <v>#N/A</v>
      </c>
      <c r="E1160" s="14" t="s">
        <v>32</v>
      </c>
      <c r="F1160" s="14" t="s">
        <v>29</v>
      </c>
      <c r="G1160" s="24">
        <f t="shared" si="7"/>
        <v>10</v>
      </c>
      <c r="H1160" s="19">
        <f>VLOOKUP(A1160,Metrik!$C$2:$Y$959,8,0)</f>
        <v>100</v>
      </c>
      <c r="I1160" s="20">
        <f>VLOOKUP(A1160,Metrik!$C$2:$Y$959,9,0)</f>
        <v>1.3</v>
      </c>
      <c r="J1160" s="20">
        <f>VLOOKUP(A1160,Metrik!$C$2:$Y$959,10,0)</f>
        <v>1.3</v>
      </c>
      <c r="K1160" s="20">
        <f>VLOOKUP(A1160,Metrik!$C$2:$Y$959,11,0)</f>
        <v>0.79</v>
      </c>
      <c r="L1160" s="20">
        <f>VLOOKUP(A1160,Metrik!$C$2:$Y$959,12,0)</f>
        <v>0.59</v>
      </c>
      <c r="M1160" s="20">
        <f>VLOOKUP(A1160,Metrik!$C$2:$Y$959,19,0)</f>
        <v>2.1</v>
      </c>
      <c r="N1160" s="21"/>
      <c r="O1160" s="21"/>
      <c r="P1160" s="21"/>
      <c r="Q1160" s="21"/>
      <c r="R1160" s="21"/>
      <c r="S1160" s="21"/>
      <c r="T1160" s="21"/>
      <c r="U1160" s="22">
        <f>IFERROR(__xludf.DUMMYFUNCTION("IFERROR(GOOGLEFINANCE(A1160,""closeyest""),"""")"),448.0)</f>
        <v>448</v>
      </c>
      <c r="V1160" s="23">
        <f>IFERROR(__xludf.DUMMYFUNCTION("IFERROR(GOOGLEFINANCE(A1160,""changepct""),"""")"),7.59)</f>
        <v>7.59</v>
      </c>
      <c r="W1160" s="22">
        <f>IFERROR(__xludf.DUMMYFUNCTION("IFERROR(GOOGLEFINANCE(A1160,""priceopen""),"""")"),452.0)</f>
        <v>452</v>
      </c>
      <c r="X1160" s="22">
        <f>IFERROR(__xludf.DUMMYFUNCTION("IFERROR(GOOGLEFINANCE(A1160,""high""),"""")"),486.0)</f>
        <v>486</v>
      </c>
      <c r="Y1160" s="22">
        <f>IFERROR(__xludf.DUMMYFUNCTION("IFERROR(GOOGLEFINANCE(A1160,""low""),"""")"),452.0)</f>
        <v>452</v>
      </c>
      <c r="Z1160" s="22">
        <f>IFERROR(__xludf.DUMMYFUNCTION("IFERROR(GOOGLEFINANCE(A1160,""volume""),"""")"),2.026719E8)</f>
        <v>202671900</v>
      </c>
      <c r="AA1160" s="24" t="str">
        <f>VLOOKUP(A1160,Metrik!$C$2:$Y$959,5,0)</f>
        <v>Metals &amp; Minerals</v>
      </c>
      <c r="AB1160" s="24" t="str">
        <f>VLOOKUP(A1160,Metrik!$C$2:$Y$959,3,0)</f>
        <v>Basic Materials</v>
      </c>
    </row>
    <row r="1161">
      <c r="A1161" s="14" t="s">
        <v>614</v>
      </c>
      <c r="B1161" s="14" t="str">
        <f t="array" ref="B1161">VLOOKUP(A1161,{Metrik!$C$2:$C$998,Metrik!$B$2:$B$998},2,0)</f>
        <v>PT Merdeka Battery Materials Tbk</v>
      </c>
      <c r="C1161" s="15">
        <f>IFERROR(__xludf.DUMMYFUNCTION("GOOGLEFINANCE(""IDX:""&amp;A1161,""price"")"),482.0)</f>
        <v>482</v>
      </c>
      <c r="D1161" s="16" t="str">
        <f>IFERROR(__xludf.DUMMYFUNCTION("IF(A1161="""","""",
SPARKLINE(
INDEX(
GOOGLEFINANCE(""IDX:""&amp;A1161,""close"",TODAY()-365,TODAY()),
,2
),
{""linewidth"",1}
))
"),"#N/A")</f>
        <v>#N/A</v>
      </c>
      <c r="E1161" s="14" t="s">
        <v>52</v>
      </c>
      <c r="F1161" s="27" t="s">
        <v>53</v>
      </c>
      <c r="G1161" s="24">
        <f t="shared" si="7"/>
        <v>10</v>
      </c>
      <c r="H1161" s="19">
        <f>VLOOKUP(A1161,Metrik!$C$2:$Y$959,8,0)</f>
        <v>100</v>
      </c>
      <c r="I1161" s="20">
        <f>VLOOKUP(A1161,Metrik!$C$2:$Y$959,9,0)</f>
        <v>1.3</v>
      </c>
      <c r="J1161" s="20">
        <f>VLOOKUP(A1161,Metrik!$C$2:$Y$959,10,0)</f>
        <v>1.3</v>
      </c>
      <c r="K1161" s="20">
        <f>VLOOKUP(A1161,Metrik!$C$2:$Y$959,11,0)</f>
        <v>0.79</v>
      </c>
      <c r="L1161" s="20">
        <f>VLOOKUP(A1161,Metrik!$C$2:$Y$959,12,0)</f>
        <v>0.59</v>
      </c>
      <c r="M1161" s="20">
        <f>VLOOKUP(A1161,Metrik!$C$2:$Y$959,19,0)</f>
        <v>2.1</v>
      </c>
      <c r="N1161" s="21"/>
      <c r="O1161" s="21"/>
      <c r="P1161" s="21"/>
      <c r="Q1161" s="21"/>
      <c r="R1161" s="21"/>
      <c r="S1161" s="21"/>
      <c r="T1161" s="21"/>
      <c r="U1161" s="22">
        <f>IFERROR(__xludf.DUMMYFUNCTION("IFERROR(GOOGLEFINANCE(A1161,""closeyest""),"""")"),448.0)</f>
        <v>448</v>
      </c>
      <c r="V1161" s="23">
        <f>IFERROR(__xludf.DUMMYFUNCTION("IFERROR(GOOGLEFINANCE(A1161,""changepct""),"""")"),7.59)</f>
        <v>7.59</v>
      </c>
      <c r="W1161" s="22">
        <f>IFERROR(__xludf.DUMMYFUNCTION("IFERROR(GOOGLEFINANCE(A1161,""priceopen""),"""")"),452.0)</f>
        <v>452</v>
      </c>
      <c r="X1161" s="22">
        <f>IFERROR(__xludf.DUMMYFUNCTION("IFERROR(GOOGLEFINANCE(A1161,""high""),"""")"),486.0)</f>
        <v>486</v>
      </c>
      <c r="Y1161" s="22">
        <f>IFERROR(__xludf.DUMMYFUNCTION("IFERROR(GOOGLEFINANCE(A1161,""low""),"""")"),452.0)</f>
        <v>452</v>
      </c>
      <c r="Z1161" s="22">
        <f>IFERROR(__xludf.DUMMYFUNCTION("IFERROR(GOOGLEFINANCE(A1161,""volume""),"""")"),2.026719E8)</f>
        <v>202671900</v>
      </c>
      <c r="AA1161" s="24" t="str">
        <f>VLOOKUP(A1161,Metrik!$C$2:$Y$959,5,0)</f>
        <v>Metals &amp; Minerals</v>
      </c>
      <c r="AB1161" s="24" t="str">
        <f>VLOOKUP(A1161,Metrik!$C$2:$Y$959,3,0)</f>
        <v>Basic Materials</v>
      </c>
    </row>
    <row r="1162">
      <c r="A1162" s="17" t="s">
        <v>614</v>
      </c>
      <c r="B1162" s="14" t="str">
        <f t="array" ref="B1162">VLOOKUP(A1162,{Metrik!$C$2:$C$998,Metrik!$B$2:$B$998},2,0)</f>
        <v>PT Merdeka Battery Materials Tbk</v>
      </c>
      <c r="C1162" s="15">
        <f>IFERROR(__xludf.DUMMYFUNCTION("GOOGLEFINANCE(""IDX:""&amp;A1162,""price"")"),482.0)</f>
        <v>482</v>
      </c>
      <c r="D1162" s="16" t="str">
        <f>IFERROR(__xludf.DUMMYFUNCTION("IF(A1162="""","""",
SPARKLINE(
INDEX(
GOOGLEFINANCE(""IDX:""&amp;A1162,""close"",TODAY()-365,TODAY()),
,2
),
{""linewidth"",1}
))
"),"#N/A")</f>
        <v>#N/A</v>
      </c>
      <c r="E1162" s="14" t="s">
        <v>67</v>
      </c>
      <c r="F1162" s="17" t="s">
        <v>51</v>
      </c>
      <c r="G1162" s="38">
        <f>COUNTIFS($B$2:$B$1932,B1162,$E$2:$E$1932,"&lt;&gt;")</f>
        <v>10</v>
      </c>
      <c r="H1162" s="19">
        <f>VLOOKUP(A1162,Metrik!$C$2:$Y$959,8,0)</f>
        <v>100</v>
      </c>
      <c r="I1162" s="20">
        <f>VLOOKUP(A1162,Metrik!$C$2:$Y$959,9,0)</f>
        <v>1.3</v>
      </c>
      <c r="J1162" s="20">
        <f>VLOOKUP(A1162,Metrik!$C$2:$Y$959,10,0)</f>
        <v>1.3</v>
      </c>
      <c r="K1162" s="20">
        <f>VLOOKUP(A1162,Metrik!$C$2:$Y$959,11,0)</f>
        <v>0.79</v>
      </c>
      <c r="L1162" s="20">
        <f>VLOOKUP(A1162,Metrik!$C$2:$Y$959,12,0)</f>
        <v>0.59</v>
      </c>
      <c r="M1162" s="20">
        <f>VLOOKUP(A1162,Metrik!$C$2:$Y$959,19,0)</f>
        <v>2.1</v>
      </c>
      <c r="N1162" s="46"/>
      <c r="O1162" s="46"/>
      <c r="P1162" s="46"/>
      <c r="Q1162" s="46"/>
      <c r="R1162" s="46"/>
      <c r="S1162" s="46"/>
      <c r="T1162" s="46"/>
      <c r="U1162" s="22">
        <f>IFERROR(__xludf.DUMMYFUNCTION("IFERROR(GOOGLEFINANCE(A1162,""closeyest""),"""")"),448.0)</f>
        <v>448</v>
      </c>
      <c r="V1162" s="23">
        <f>IFERROR(__xludf.DUMMYFUNCTION("IFERROR(GOOGLEFINANCE(A1162,""changepct""),"""")"),7.59)</f>
        <v>7.59</v>
      </c>
      <c r="W1162" s="22">
        <f>IFERROR(__xludf.DUMMYFUNCTION("IFERROR(GOOGLEFINANCE(A1162,""priceopen""),"""")"),452.0)</f>
        <v>452</v>
      </c>
      <c r="X1162" s="22">
        <f>IFERROR(__xludf.DUMMYFUNCTION("IFERROR(GOOGLEFINANCE(A1162,""high""),"""")"),486.0)</f>
        <v>486</v>
      </c>
      <c r="Y1162" s="22">
        <f>IFERROR(__xludf.DUMMYFUNCTION("IFERROR(GOOGLEFINANCE(A1162,""low""),"""")"),452.0)</f>
        <v>452</v>
      </c>
      <c r="Z1162" s="22">
        <f>IFERROR(__xludf.DUMMYFUNCTION("IFERROR(GOOGLEFINANCE(A1162,""volume""),"""")"),2.026719E8)</f>
        <v>202671900</v>
      </c>
      <c r="AA1162" s="24" t="str">
        <f>VLOOKUP(A1162,Metrik!$C$2:$Y$959,5,0)</f>
        <v>Metals &amp; Minerals</v>
      </c>
      <c r="AB1162" s="24" t="str">
        <f>VLOOKUP(A1162,Metrik!$C$2:$Y$959,3,0)</f>
        <v>Basic Materials</v>
      </c>
    </row>
    <row r="1163">
      <c r="A1163" s="14" t="s">
        <v>614</v>
      </c>
      <c r="B1163" s="14" t="str">
        <f t="array" ref="B1163">VLOOKUP(A1163,{Metrik!$C$2:$C$998,Metrik!$B$2:$B$998},2,0)</f>
        <v>PT Merdeka Battery Materials Tbk</v>
      </c>
      <c r="C1163" s="15">
        <f>IFERROR(__xludf.DUMMYFUNCTION("GOOGLEFINANCE(""IDX:""&amp;A1163,""price"")"),482.0)</f>
        <v>482</v>
      </c>
      <c r="D1163" s="16" t="str">
        <f>IFERROR(__xludf.DUMMYFUNCTION("IF(A1163="""","""",
SPARKLINE(
INDEX(
GOOGLEFINANCE(""IDX:""&amp;A1163,""close"",TODAY()-365,TODAY()),
,2
),
{""linewidth"",1}
))
"),"#N/A")</f>
        <v>#N/A</v>
      </c>
      <c r="E1163" s="14" t="s">
        <v>38</v>
      </c>
      <c r="F1163" s="25">
        <v>46356.0</v>
      </c>
      <c r="G1163" s="24">
        <f t="shared" ref="G1163:G1368" si="8">COUNTIFS($B$2:$B$1937,B1163,$E$2:$E$1937,"&lt;&gt;")</f>
        <v>10</v>
      </c>
      <c r="H1163" s="19">
        <f>VLOOKUP(A1163,Metrik!$C$2:$Y$959,8,0)</f>
        <v>100</v>
      </c>
      <c r="I1163" s="20">
        <f>VLOOKUP(A1163,Metrik!$C$2:$Y$959,9,0)</f>
        <v>1.3</v>
      </c>
      <c r="J1163" s="20">
        <f>VLOOKUP(A1163,Metrik!$C$2:$Y$959,10,0)</f>
        <v>1.3</v>
      </c>
      <c r="K1163" s="20">
        <f>VLOOKUP(A1163,Metrik!$C$2:$Y$959,11,0)</f>
        <v>0.79</v>
      </c>
      <c r="L1163" s="20">
        <f>VLOOKUP(A1163,Metrik!$C$2:$Y$959,12,0)</f>
        <v>0.59</v>
      </c>
      <c r="M1163" s="20">
        <f>VLOOKUP(A1163,Metrik!$C$2:$Y$959,19,0)</f>
        <v>2.1</v>
      </c>
      <c r="N1163" s="21"/>
      <c r="O1163" s="21"/>
      <c r="P1163" s="21"/>
      <c r="Q1163" s="21"/>
      <c r="R1163" s="21"/>
      <c r="S1163" s="21"/>
      <c r="T1163" s="21"/>
      <c r="U1163" s="22">
        <f>IFERROR(__xludf.DUMMYFUNCTION("IFERROR(GOOGLEFINANCE(A1163,""closeyest""),"""")"),448.0)</f>
        <v>448</v>
      </c>
      <c r="V1163" s="23">
        <f>IFERROR(__xludf.DUMMYFUNCTION("IFERROR(GOOGLEFINANCE(A1163,""changepct""),"""")"),7.59)</f>
        <v>7.59</v>
      </c>
      <c r="W1163" s="22">
        <f>IFERROR(__xludf.DUMMYFUNCTION("IFERROR(GOOGLEFINANCE(A1163,""priceopen""),"""")"),452.0)</f>
        <v>452</v>
      </c>
      <c r="X1163" s="22">
        <f>IFERROR(__xludf.DUMMYFUNCTION("IFERROR(GOOGLEFINANCE(A1163,""high""),"""")"),486.0)</f>
        <v>486</v>
      </c>
      <c r="Y1163" s="22">
        <f>IFERROR(__xludf.DUMMYFUNCTION("IFERROR(GOOGLEFINANCE(A1163,""low""),"""")"),452.0)</f>
        <v>452</v>
      </c>
      <c r="Z1163" s="22">
        <f>IFERROR(__xludf.DUMMYFUNCTION("IFERROR(GOOGLEFINANCE(A1163,""volume""),"""")"),2.026719E8)</f>
        <v>202671900</v>
      </c>
      <c r="AA1163" s="24" t="str">
        <f>VLOOKUP(A1163,Metrik!$C$2:$Y$959,5,0)</f>
        <v>Metals &amp; Minerals</v>
      </c>
      <c r="AB1163" s="24" t="str">
        <f>VLOOKUP(A1163,Metrik!$C$2:$Y$959,3,0)</f>
        <v>Basic Materials</v>
      </c>
    </row>
    <row r="1164">
      <c r="A1164" s="14" t="s">
        <v>614</v>
      </c>
      <c r="B1164" s="14" t="str">
        <f t="array" ref="B1164">VLOOKUP(A1164,{Metrik!$C$2:$C$998,Metrik!$B$2:$B$998},2,0)</f>
        <v>PT Merdeka Battery Materials Tbk</v>
      </c>
      <c r="C1164" s="15">
        <f>IFERROR(__xludf.DUMMYFUNCTION("GOOGLEFINANCE(""IDX:""&amp;A1164,""price"")"),482.0)</f>
        <v>482</v>
      </c>
      <c r="D1164" s="16" t="str">
        <f>IFERROR(__xludf.DUMMYFUNCTION("IF(A1164="""","""",
SPARKLINE(
INDEX(
GOOGLEFINANCE(""IDX:""&amp;A1164,""close"",TODAY()-365,TODAY()),
,2
),
{""linewidth"",1}
))
"),"#N/A")</f>
        <v>#N/A</v>
      </c>
      <c r="E1164" s="14" t="s">
        <v>39</v>
      </c>
      <c r="F1164" s="25">
        <v>46356.0</v>
      </c>
      <c r="G1164" s="24">
        <f t="shared" si="8"/>
        <v>10</v>
      </c>
      <c r="H1164" s="19">
        <f>VLOOKUP(A1164,Metrik!$C$2:$Y$959,8,0)</f>
        <v>100</v>
      </c>
      <c r="I1164" s="20">
        <f>VLOOKUP(A1164,Metrik!$C$2:$Y$959,9,0)</f>
        <v>1.3</v>
      </c>
      <c r="J1164" s="20">
        <f>VLOOKUP(A1164,Metrik!$C$2:$Y$959,10,0)</f>
        <v>1.3</v>
      </c>
      <c r="K1164" s="20">
        <f>VLOOKUP(A1164,Metrik!$C$2:$Y$959,11,0)</f>
        <v>0.79</v>
      </c>
      <c r="L1164" s="20">
        <f>VLOOKUP(A1164,Metrik!$C$2:$Y$959,12,0)</f>
        <v>0.59</v>
      </c>
      <c r="M1164" s="20">
        <f>VLOOKUP(A1164,Metrik!$C$2:$Y$959,19,0)</f>
        <v>2.1</v>
      </c>
      <c r="N1164" s="21"/>
      <c r="O1164" s="21"/>
      <c r="P1164" s="21"/>
      <c r="Q1164" s="21"/>
      <c r="R1164" s="21"/>
      <c r="S1164" s="21"/>
      <c r="T1164" s="21"/>
      <c r="U1164" s="22">
        <f>IFERROR(__xludf.DUMMYFUNCTION("IFERROR(GOOGLEFINANCE(A1164,""closeyest""),"""")"),448.0)</f>
        <v>448</v>
      </c>
      <c r="V1164" s="23">
        <f>IFERROR(__xludf.DUMMYFUNCTION("IFERROR(GOOGLEFINANCE(A1164,""changepct""),"""")"),7.59)</f>
        <v>7.59</v>
      </c>
      <c r="W1164" s="22">
        <f>IFERROR(__xludf.DUMMYFUNCTION("IFERROR(GOOGLEFINANCE(A1164,""priceopen""),"""")"),452.0)</f>
        <v>452</v>
      </c>
      <c r="X1164" s="22">
        <f>IFERROR(__xludf.DUMMYFUNCTION("IFERROR(GOOGLEFINANCE(A1164,""high""),"""")"),486.0)</f>
        <v>486</v>
      </c>
      <c r="Y1164" s="22">
        <f>IFERROR(__xludf.DUMMYFUNCTION("IFERROR(GOOGLEFINANCE(A1164,""low""),"""")"),452.0)</f>
        <v>452</v>
      </c>
      <c r="Z1164" s="22">
        <f>IFERROR(__xludf.DUMMYFUNCTION("IFERROR(GOOGLEFINANCE(A1164,""volume""),"""")"),2.026719E8)</f>
        <v>202671900</v>
      </c>
      <c r="AA1164" s="24" t="str">
        <f>VLOOKUP(A1164,Metrik!$C$2:$Y$959,5,0)</f>
        <v>Metals &amp; Minerals</v>
      </c>
      <c r="AB1164" s="24" t="str">
        <f>VLOOKUP(A1164,Metrik!$C$2:$Y$959,3,0)</f>
        <v>Basic Materials</v>
      </c>
    </row>
    <row r="1165">
      <c r="A1165" s="14" t="s">
        <v>615</v>
      </c>
      <c r="B1165" s="14" t="str">
        <f t="array" ref="B1165">VLOOKUP(A1165,{Metrik!$C$2:$C$998,Metrik!$B$2:$B$998},2,0)</f>
        <v>Mitrabahtera Segara Sejati Tbk.</v>
      </c>
      <c r="C1165" s="15" t="str">
        <f>IFERROR(__xludf.DUMMYFUNCTION("GOOGLEFINANCE(""IDX:""&amp;A1165,""price"")"),"#N/A")</f>
        <v>#N/A</v>
      </c>
      <c r="D1165" s="16" t="str">
        <f>IFERROR(__xludf.DUMMYFUNCTION("IF(A1165="""","""",
SPARKLINE(
INDEX(
GOOGLEFINANCE(""IDX:""&amp;A1165,""close"",TODAY()-365,TODAY()),
,2
),
{""linewidth"",1}
))
"),"#N/A")</f>
        <v>#N/A</v>
      </c>
      <c r="E1165" s="26"/>
      <c r="F1165" s="26"/>
      <c r="G1165" s="24">
        <f t="shared" si="8"/>
        <v>0</v>
      </c>
      <c r="H1165" s="19">
        <f>VLOOKUP(A1165,Metrik!$C$2:$Y$959,8,0)</f>
        <v>17</v>
      </c>
      <c r="I1165" s="20">
        <f>VLOOKUP(A1165,Metrik!$C$2:$Y$959,9,0)</f>
        <v>1.1</v>
      </c>
      <c r="J1165" s="20">
        <f>VLOOKUP(A1165,Metrik!$C$2:$Y$959,10,0)</f>
        <v>6.4</v>
      </c>
      <c r="K1165" s="20">
        <f>VLOOKUP(A1165,Metrik!$C$2:$Y$959,11,0)</f>
        <v>5.9</v>
      </c>
      <c r="L1165" s="20">
        <f>VLOOKUP(A1165,Metrik!$C$2:$Y$959,12,0)</f>
        <v>0.09</v>
      </c>
      <c r="M1165" s="20">
        <f>VLOOKUP(A1165,Metrik!$C$2:$Y$959,19,0)</f>
        <v>140</v>
      </c>
      <c r="N1165" s="21"/>
      <c r="O1165" s="21"/>
      <c r="P1165" s="21"/>
      <c r="Q1165" s="21"/>
      <c r="R1165" s="21"/>
      <c r="S1165" s="21"/>
      <c r="T1165" s="21"/>
      <c r="U1165" s="22">
        <f>IFERROR(__xludf.DUMMYFUNCTION("IFERROR(GOOGLEFINANCE(A1165,""closeyest""),"""")"),2390.0)</f>
        <v>2390</v>
      </c>
      <c r="V1165" s="23">
        <f>IFERROR(__xludf.DUMMYFUNCTION("IFERROR(GOOGLEFINANCE(A1165,""changepct""),"""")"),6.28)</f>
        <v>6.28</v>
      </c>
      <c r="W1165" s="22" t="str">
        <f>IFERROR(__xludf.DUMMYFUNCTION("IFERROR(GOOGLEFINANCE(A1165,""priceopen""),"""")"),"")</f>
        <v/>
      </c>
      <c r="X1165" s="22">
        <f>IFERROR(__xludf.DUMMYFUNCTION("IFERROR(GOOGLEFINANCE(A1165,""high""),"""")"),2600.0)</f>
        <v>2600</v>
      </c>
      <c r="Y1165" s="22">
        <f>IFERROR(__xludf.DUMMYFUNCTION("IFERROR(GOOGLEFINANCE(A1165,""low""),"""")"),2340.0)</f>
        <v>2340</v>
      </c>
      <c r="Z1165" s="22">
        <f>IFERROR(__xludf.DUMMYFUNCTION("IFERROR(GOOGLEFINANCE(A1165,""volume""),"""")"),4192000.0)</f>
        <v>4192000</v>
      </c>
      <c r="AA1165" s="24" t="str">
        <f>VLOOKUP(A1165,Metrik!$C$2:$Y$959,5,0)</f>
        <v>Coal</v>
      </c>
      <c r="AB1165" s="24" t="str">
        <f>VLOOKUP(A1165,Metrik!$C$2:$Y$959,3,0)</f>
        <v>Energy</v>
      </c>
    </row>
    <row r="1166">
      <c r="A1166" s="14" t="s">
        <v>616</v>
      </c>
      <c r="B1166" s="14" t="str">
        <f t="array" ref="B1166">VLOOKUP(A1166,{Metrik!$C$2:$C$998,Metrik!$B$2:$B$998},2,0)</f>
        <v>Martina Berto Tbk</v>
      </c>
      <c r="C1166" s="15">
        <f>IFERROR(__xludf.DUMMYFUNCTION("GOOGLEFINANCE(""IDX:""&amp;A1166,""price"")"),115.0)</f>
        <v>115</v>
      </c>
      <c r="D1166" s="16" t="str">
        <f>IFERROR(__xludf.DUMMYFUNCTION("IF(A1166="""","""",
SPARKLINE(
INDEX(
GOOGLEFINANCE(""IDX:""&amp;A1166,""close"",TODAY()-365,TODAY()),
,2
),
{""linewidth"",1}
))
"),"#N/A")</f>
        <v>#N/A</v>
      </c>
      <c r="E1166" s="26"/>
      <c r="F1166" s="26"/>
      <c r="G1166" s="24">
        <f t="shared" si="8"/>
        <v>0</v>
      </c>
      <c r="H1166" s="19">
        <f>VLOOKUP(A1166,Metrik!$C$2:$Y$959,8,0)</f>
        <v>-9.1</v>
      </c>
      <c r="I1166" s="20">
        <f>VLOOKUP(A1166,Metrik!$C$2:$Y$959,9,0)</f>
        <v>0.35</v>
      </c>
      <c r="J1166" s="20">
        <f>VLOOKUP(A1166,Metrik!$C$2:$Y$959,10,0)</f>
        <v>-3.8</v>
      </c>
      <c r="K1166" s="20">
        <f>VLOOKUP(A1166,Metrik!$C$2:$Y$959,11,0)</f>
        <v>-2</v>
      </c>
      <c r="L1166" s="20">
        <f>VLOOKUP(A1166,Metrik!$C$2:$Y$959,12,0)</f>
        <v>0.9</v>
      </c>
      <c r="M1166" s="20">
        <f>VLOOKUP(A1166,Metrik!$C$2:$Y$959,19,0)</f>
        <v>-11.7</v>
      </c>
      <c r="N1166" s="21"/>
      <c r="O1166" s="21"/>
      <c r="P1166" s="21"/>
      <c r="Q1166" s="21"/>
      <c r="R1166" s="21"/>
      <c r="S1166" s="21"/>
      <c r="T1166" s="21"/>
      <c r="U1166" s="22">
        <f>IFERROR(__xludf.DUMMYFUNCTION("IFERROR(GOOGLEFINANCE(A1166,""closeyest""),"""")"),103.0)</f>
        <v>103</v>
      </c>
      <c r="V1166" s="23">
        <f>IFERROR(__xludf.DUMMYFUNCTION("IFERROR(GOOGLEFINANCE(A1166,""changepct""),"""")"),11.65)</f>
        <v>11.65</v>
      </c>
      <c r="W1166" s="22">
        <f>IFERROR(__xludf.DUMMYFUNCTION("IFERROR(GOOGLEFINANCE(A1166,""priceopen""),"""")"),101.0)</f>
        <v>101</v>
      </c>
      <c r="X1166" s="22">
        <f>IFERROR(__xludf.DUMMYFUNCTION("IFERROR(GOOGLEFINANCE(A1166,""high""),"""")"),128.0)</f>
        <v>128</v>
      </c>
      <c r="Y1166" s="22">
        <f>IFERROR(__xludf.DUMMYFUNCTION("IFERROR(GOOGLEFINANCE(A1166,""low""),"""")"),101.0)</f>
        <v>101</v>
      </c>
      <c r="Z1166" s="22">
        <f>IFERROR(__xludf.DUMMYFUNCTION("IFERROR(GOOGLEFINANCE(A1166,""volume""),"""")"),2516600.0)</f>
        <v>2516600</v>
      </c>
      <c r="AA1166" s="24" t="str">
        <f>VLOOKUP(A1166,Metrik!$C$2:$Y$959,5,0)</f>
        <v>Personal Care Products</v>
      </c>
      <c r="AB1166" s="24" t="str">
        <f>VLOOKUP(A1166,Metrik!$C$2:$Y$959,3,0)</f>
        <v>Consumer Non-Cyclicals</v>
      </c>
    </row>
    <row r="1167">
      <c r="A1167" s="14" t="s">
        <v>617</v>
      </c>
      <c r="B1167" s="14" t="str">
        <f t="array" ref="B1167">VLOOKUP(A1167,{Metrik!$C$2:$C$998,Metrik!$B$2:$B$998},2,0)</f>
        <v>M Cash Integrasi Tbk.</v>
      </c>
      <c r="C1167" s="15">
        <f>IFERROR(__xludf.DUMMYFUNCTION("GOOGLEFINANCE(""IDX:""&amp;A1167,""price"")"),194.0)</f>
        <v>194</v>
      </c>
      <c r="D1167" s="16" t="str">
        <f>IFERROR(__xludf.DUMMYFUNCTION("IF(A1167="""","""",
SPARKLINE(
INDEX(
GOOGLEFINANCE(""IDX:""&amp;A1167,""close"",TODAY()-365,TODAY()),
,2
),
{""linewidth"",1}
))
"),"#N/A")</f>
        <v>#N/A</v>
      </c>
      <c r="E1167" s="26"/>
      <c r="F1167" s="26"/>
      <c r="G1167" s="24">
        <f t="shared" si="8"/>
        <v>0</v>
      </c>
      <c r="H1167" s="19">
        <f>VLOOKUP(A1167,Metrik!$C$2:$Y$959,8,0)</f>
        <v>-4.9</v>
      </c>
      <c r="I1167" s="20">
        <f>VLOOKUP(A1167,Metrik!$C$2:$Y$959,9,0)</f>
        <v>0.2</v>
      </c>
      <c r="J1167" s="20">
        <f>VLOOKUP(A1167,Metrik!$C$2:$Y$959,10,0)</f>
        <v>-4.2</v>
      </c>
      <c r="K1167" s="20">
        <f>VLOOKUP(A1167,Metrik!$C$2:$Y$959,11,0)</f>
        <v>-2.4</v>
      </c>
      <c r="L1167" s="20">
        <f>VLOOKUP(A1167,Metrik!$C$2:$Y$959,12,0)</f>
        <v>0.75</v>
      </c>
      <c r="M1167" s="20">
        <f>VLOOKUP(A1167,Metrik!$C$2:$Y$959,19,0)</f>
        <v>-5.3</v>
      </c>
      <c r="N1167" s="21"/>
      <c r="O1167" s="21"/>
      <c r="P1167" s="21"/>
      <c r="Q1167" s="21"/>
      <c r="R1167" s="21"/>
      <c r="S1167" s="21"/>
      <c r="T1167" s="21"/>
      <c r="U1167" s="22">
        <f>IFERROR(__xludf.DUMMYFUNCTION("IFERROR(GOOGLEFINANCE(A1167,""closeyest""),"""")"),180.0)</f>
        <v>180</v>
      </c>
      <c r="V1167" s="23">
        <f>IFERROR(__xludf.DUMMYFUNCTION("IFERROR(GOOGLEFINANCE(A1167,""changepct""),"""")"),7.78)</f>
        <v>7.78</v>
      </c>
      <c r="W1167" s="22">
        <f>IFERROR(__xludf.DUMMYFUNCTION("IFERROR(GOOGLEFINANCE(A1167,""priceopen""),"""")"),180.0)</f>
        <v>180</v>
      </c>
      <c r="X1167" s="22">
        <f>IFERROR(__xludf.DUMMYFUNCTION("IFERROR(GOOGLEFINANCE(A1167,""high""),"""")"),195.0)</f>
        <v>195</v>
      </c>
      <c r="Y1167" s="22">
        <f>IFERROR(__xludf.DUMMYFUNCTION("IFERROR(GOOGLEFINANCE(A1167,""low""),"""")"),179.0)</f>
        <v>179</v>
      </c>
      <c r="Z1167" s="22">
        <f>IFERROR(__xludf.DUMMYFUNCTION("IFERROR(GOOGLEFINANCE(A1167,""volume""),"""")"),512000.0)</f>
        <v>512000</v>
      </c>
      <c r="AA1167" s="24" t="str">
        <f>VLOOKUP(A1167,Metrik!$C$2:$Y$959,5,0)</f>
        <v>Online Applications &amp; Services</v>
      </c>
      <c r="AB1167" s="24" t="str">
        <f>VLOOKUP(A1167,Metrik!$C$2:$Y$959,3,0)</f>
        <v>Technology</v>
      </c>
    </row>
    <row r="1168">
      <c r="A1168" s="14" t="s">
        <v>618</v>
      </c>
      <c r="B1168" s="14" t="str">
        <f t="array" ref="B1168">VLOOKUP(A1168,{Metrik!$C$2:$C$998,Metrik!$B$2:$B$998},2,0)</f>
        <v>Prima Andalan Mandiri Tbk.</v>
      </c>
      <c r="C1168" s="15">
        <f>IFERROR(__xludf.DUMMYFUNCTION("GOOGLEFINANCE(""IDX:""&amp;A1168,""price"")"),3650.0)</f>
        <v>3650</v>
      </c>
      <c r="D1168" s="16" t="str">
        <f>IFERROR(__xludf.DUMMYFUNCTION("IF(A1168="""","""",
SPARKLINE(
INDEX(
GOOGLEFINANCE(""IDX:""&amp;A1168,""close"",TODAY()-365,TODAY()),
,2
),
{""linewidth"",1}
))
"),"#N/A")</f>
        <v>#N/A</v>
      </c>
      <c r="E1168" s="26"/>
      <c r="F1168" s="26"/>
      <c r="G1168" s="24">
        <f t="shared" si="8"/>
        <v>0</v>
      </c>
      <c r="H1168" s="19">
        <f>VLOOKUP(A1168,Metrik!$C$2:$Y$959,8,0)</f>
        <v>10</v>
      </c>
      <c r="I1168" s="20">
        <f>VLOOKUP(A1168,Metrik!$C$2:$Y$959,9,0)</f>
        <v>1.3</v>
      </c>
      <c r="J1168" s="20">
        <f>VLOOKUP(A1168,Metrik!$C$2:$Y$959,10,0)</f>
        <v>12.6</v>
      </c>
      <c r="K1168" s="20">
        <f>VLOOKUP(A1168,Metrik!$C$2:$Y$959,11,0)</f>
        <v>10.1</v>
      </c>
      <c r="L1168" s="20">
        <f>VLOOKUP(A1168,Metrik!$C$2:$Y$959,12,0)</f>
        <v>0.25</v>
      </c>
      <c r="M1168" s="20">
        <f>VLOOKUP(A1168,Metrik!$C$2:$Y$959,19,0)</f>
        <v>46.6</v>
      </c>
      <c r="N1168" s="21"/>
      <c r="O1168" s="21"/>
      <c r="P1168" s="21"/>
      <c r="Q1168" s="21"/>
      <c r="R1168" s="21"/>
      <c r="S1168" s="21"/>
      <c r="T1168" s="21"/>
      <c r="U1168" s="22">
        <f>IFERROR(__xludf.DUMMYFUNCTION("IFERROR(GOOGLEFINANCE(A1168,""closeyest""),"""")"),3290.0)</f>
        <v>3290</v>
      </c>
      <c r="V1168" s="23">
        <f>IFERROR(__xludf.DUMMYFUNCTION("IFERROR(GOOGLEFINANCE(A1168,""changepct""),"""")"),10.94)</f>
        <v>10.94</v>
      </c>
      <c r="W1168" s="22">
        <f>IFERROR(__xludf.DUMMYFUNCTION("IFERROR(GOOGLEFINANCE(A1168,""priceopen""),"""")"),3290.0)</f>
        <v>3290</v>
      </c>
      <c r="X1168" s="22">
        <f>IFERROR(__xludf.DUMMYFUNCTION("IFERROR(GOOGLEFINANCE(A1168,""high""),"""")"),3670.0)</f>
        <v>3670</v>
      </c>
      <c r="Y1168" s="22">
        <f>IFERROR(__xludf.DUMMYFUNCTION("IFERROR(GOOGLEFINANCE(A1168,""low""),"""")"),3290.0)</f>
        <v>3290</v>
      </c>
      <c r="Z1168" s="22">
        <f>IFERROR(__xludf.DUMMYFUNCTION("IFERROR(GOOGLEFINANCE(A1168,""volume""),"""")"),100900.0)</f>
        <v>100900</v>
      </c>
      <c r="AA1168" s="24" t="str">
        <f>VLOOKUP(A1168,Metrik!$C$2:$Y$959,5,0)</f>
        <v>Coal</v>
      </c>
      <c r="AB1168" s="24" t="str">
        <f>VLOOKUP(A1168,Metrik!$C$2:$Y$959,3,0)</f>
        <v>Energy</v>
      </c>
    </row>
    <row r="1169">
      <c r="A1169" s="14" t="s">
        <v>619</v>
      </c>
      <c r="B1169" s="14" t="str">
        <f t="array" ref="B1169">VLOOKUP(A1169,{Metrik!$C$2:$C$998,Metrik!$B$2:$B$998},2,0)</f>
        <v>PT Bank China Construction Bank Indonesia Tbk</v>
      </c>
      <c r="C1169" s="15">
        <f>IFERROR(__xludf.DUMMYFUNCTION("GOOGLEFINANCE(""IDX:""&amp;A1169,""price"")"),64.0)</f>
        <v>64</v>
      </c>
      <c r="D1169" s="16" t="str">
        <f>IFERROR(__xludf.DUMMYFUNCTION("IF(A1169="""","""",
SPARKLINE(
INDEX(
GOOGLEFINANCE(""IDX:""&amp;A1169,""close"",TODAY()-365,TODAY()),
,2
),
{""linewidth"",1}
))
"),"#N/A")</f>
        <v>#N/A</v>
      </c>
      <c r="E1169" s="26"/>
      <c r="F1169" s="26"/>
      <c r="G1169" s="24">
        <f t="shared" si="8"/>
        <v>0</v>
      </c>
      <c r="H1169" s="19">
        <f>VLOOKUP(A1169,Metrik!$C$2:$Y$959,8,0)</f>
        <v>8.7</v>
      </c>
      <c r="I1169" s="20">
        <f>VLOOKUP(A1169,Metrik!$C$2:$Y$959,9,0)</f>
        <v>0.36</v>
      </c>
      <c r="J1169" s="20">
        <f>VLOOKUP(A1169,Metrik!$C$2:$Y$959,10,0)</f>
        <v>4.2</v>
      </c>
      <c r="K1169" s="20">
        <f>VLOOKUP(A1169,Metrik!$C$2:$Y$959,11,0)</f>
        <v>0.81</v>
      </c>
      <c r="L1169" s="20">
        <f>VLOOKUP(A1169,Metrik!$C$2:$Y$959,12,0)</f>
        <v>4.1</v>
      </c>
      <c r="M1169" s="20">
        <f>VLOOKUP(A1169,Metrik!$C$2:$Y$959,19,0)</f>
        <v>54.2</v>
      </c>
      <c r="N1169" s="32">
        <v>2.98</v>
      </c>
      <c r="O1169" s="32">
        <v>29.48</v>
      </c>
      <c r="P1169" s="32">
        <v>84.15</v>
      </c>
      <c r="Q1169" s="32">
        <v>2.11</v>
      </c>
      <c r="R1169" s="32">
        <v>88.4</v>
      </c>
      <c r="S1169" s="32">
        <v>52.15</v>
      </c>
      <c r="T1169" s="32">
        <v>7.12</v>
      </c>
      <c r="U1169" s="22" t="str">
        <f>IFERROR(__xludf.DUMMYFUNCTION("IFERROR(GOOGLEFINANCE(A1169,""closeyest""),"""")"),"")</f>
        <v/>
      </c>
      <c r="V1169" s="23">
        <f>IFERROR(__xludf.DUMMYFUNCTION("IFERROR(GOOGLEFINANCE(A1169,""changepct""),"""")"),-0.4)</f>
        <v>-0.4</v>
      </c>
      <c r="W1169" s="22" t="str">
        <f>IFERROR(__xludf.DUMMYFUNCTION("IFERROR(GOOGLEFINANCE(A1169,""priceopen""),"""")"),"")</f>
        <v/>
      </c>
      <c r="X1169" s="22" t="str">
        <f>IFERROR(__xludf.DUMMYFUNCTION("IFERROR(GOOGLEFINANCE(A1169,""high""),"""")"),"")</f>
        <v/>
      </c>
      <c r="Y1169" s="22" t="str">
        <f>IFERROR(__xludf.DUMMYFUNCTION("IFERROR(GOOGLEFINANCE(A1169,""low""),"""")"),"")</f>
        <v/>
      </c>
      <c r="Z1169" s="22" t="str">
        <f>IFERROR(__xludf.DUMMYFUNCTION("IFERROR(GOOGLEFINANCE(A1169,""volume""),"""")"),"")</f>
        <v/>
      </c>
      <c r="AA1169" s="24" t="str">
        <f>VLOOKUP(A1169,Metrik!$C$2:$Y$959,5,0)</f>
        <v>Banks</v>
      </c>
      <c r="AB1169" s="24" t="str">
        <f>VLOOKUP(A1169,Metrik!$C$2:$Y$959,3,0)</f>
        <v>Financials</v>
      </c>
    </row>
    <row r="1170">
      <c r="A1170" s="14" t="s">
        <v>620</v>
      </c>
      <c r="B1170" s="14" t="str">
        <f t="array" ref="B1170">VLOOKUP(A1170,{Metrik!$C$2:$C$998,Metrik!$B$2:$B$998},2,0)</f>
        <v>Intermedia Capital Tbk.</v>
      </c>
      <c r="C1170" s="15">
        <f>IFERROR(__xludf.DUMMYFUNCTION("GOOGLEFINANCE(""IDX:""&amp;A1170,""price"")"),72.0)</f>
        <v>72</v>
      </c>
      <c r="D1170" s="16" t="str">
        <f>IFERROR(__xludf.DUMMYFUNCTION("IF(A1170="""","""",
SPARKLINE(
INDEX(
GOOGLEFINANCE(""IDX:""&amp;A1170,""close"",TODAY()-365,TODAY()),
,2
),
{""linewidth"",1}
))
"),"#N/A")</f>
        <v>#N/A</v>
      </c>
      <c r="E1170" s="26"/>
      <c r="F1170" s="26"/>
      <c r="G1170" s="24">
        <f t="shared" si="8"/>
        <v>0</v>
      </c>
      <c r="H1170" s="19">
        <f>VLOOKUP(A1170,Metrik!$C$2:$Y$959,8,0)</f>
        <v>-72</v>
      </c>
      <c r="I1170" s="20">
        <f>VLOOKUP(A1170,Metrik!$C$2:$Y$959,9,0)</f>
        <v>3.6</v>
      </c>
      <c r="J1170" s="20">
        <f>VLOOKUP(A1170,Metrik!$C$2:$Y$959,10,0)</f>
        <v>-5</v>
      </c>
      <c r="K1170" s="20">
        <f>VLOOKUP(A1170,Metrik!$C$2:$Y$959,11,0)</f>
        <v>-1.4</v>
      </c>
      <c r="L1170" s="20">
        <f>VLOOKUP(A1170,Metrik!$C$2:$Y$959,12,0)</f>
        <v>2.5</v>
      </c>
      <c r="M1170" s="20">
        <f>VLOOKUP(A1170,Metrik!$C$2:$Y$959,19,0)</f>
        <v>-7.8</v>
      </c>
      <c r="N1170" s="21"/>
      <c r="O1170" s="21"/>
      <c r="P1170" s="21"/>
      <c r="Q1170" s="21"/>
      <c r="R1170" s="21"/>
      <c r="S1170" s="21"/>
      <c r="T1170" s="21"/>
      <c r="U1170" s="22">
        <f>IFERROR(__xludf.DUMMYFUNCTION("IFERROR(GOOGLEFINANCE(A1170,""closeyest""),"""")"),0.82)</f>
        <v>0.82</v>
      </c>
      <c r="V1170" s="23">
        <f>IFERROR(__xludf.DUMMYFUNCTION("IFERROR(GOOGLEFINANCE(A1170,""changepct""),"""")"),-8.7)</f>
        <v>-8.7</v>
      </c>
      <c r="W1170" s="22">
        <f>IFERROR(__xludf.DUMMYFUNCTION("IFERROR(GOOGLEFINANCE(A1170,""priceopen""),"""")"),0.8)</f>
        <v>0.8</v>
      </c>
      <c r="X1170" s="22">
        <f>IFERROR(__xludf.DUMMYFUNCTION("IFERROR(GOOGLEFINANCE(A1170,""high""),"""")"),0.86)</f>
        <v>0.86</v>
      </c>
      <c r="Y1170" s="22">
        <f>IFERROR(__xludf.DUMMYFUNCTION("IFERROR(GOOGLEFINANCE(A1170,""low""),"""")"),0.73)</f>
        <v>0.73</v>
      </c>
      <c r="Z1170" s="22">
        <f>IFERROR(__xludf.DUMMYFUNCTION("IFERROR(GOOGLEFINANCE(A1170,""volume""),"""")"),175450.0)</f>
        <v>175450</v>
      </c>
      <c r="AA1170" s="24" t="str">
        <f>VLOOKUP(A1170,Metrik!$C$2:$Y$959,5,0)</f>
        <v>Media</v>
      </c>
      <c r="AB1170" s="24" t="str">
        <f>VLOOKUP(A1170,Metrik!$C$2:$Y$959,3,0)</f>
        <v>Consumer Cyclicals</v>
      </c>
    </row>
    <row r="1171">
      <c r="A1171" s="14" t="s">
        <v>621</v>
      </c>
      <c r="B1171" s="14" t="str">
        <f t="array" ref="B1171">VLOOKUP(A1171,{Metrik!$C$2:$C$998,Metrik!$B$2:$B$998},2,0)</f>
        <v>Daya Intiguna Yasa Tbk.</v>
      </c>
      <c r="C1171" s="15">
        <f>IFERROR(__xludf.DUMMYFUNCTION("GOOGLEFINANCE(""IDX:""&amp;A1171,""price"")"),850.0)</f>
        <v>850</v>
      </c>
      <c r="D1171" s="16" t="str">
        <f>IFERROR(__xludf.DUMMYFUNCTION("IF(A1171="""","""",
SPARKLINE(
INDEX(
GOOGLEFINANCE(""IDX:""&amp;A1171,""close"",TODAY()-365,TODAY()),
,2
),
{""linewidth"",1}
))
"),"#N/A")</f>
        <v>#N/A</v>
      </c>
      <c r="E1171" s="26"/>
      <c r="F1171" s="26"/>
      <c r="G1171" s="24">
        <f t="shared" si="8"/>
        <v>0</v>
      </c>
      <c r="H1171" s="19">
        <f>VLOOKUP(A1171,Metrik!$C$2:$Y$959,8,0)</f>
        <v>18.7</v>
      </c>
      <c r="I1171" s="20">
        <f>VLOOKUP(A1171,Metrik!$C$2:$Y$959,9,0)</f>
        <v>4.9</v>
      </c>
      <c r="J1171" s="20">
        <f>VLOOKUP(A1171,Metrik!$C$2:$Y$959,10,0)</f>
        <v>26.3</v>
      </c>
      <c r="K1171" s="20">
        <f>VLOOKUP(A1171,Metrik!$C$2:$Y$959,11,0)</f>
        <v>15.4</v>
      </c>
      <c r="L1171" s="20">
        <f>VLOOKUP(A1171,Metrik!$C$2:$Y$959,12,0)</f>
        <v>0.7</v>
      </c>
      <c r="M1171" s="20">
        <f>VLOOKUP(A1171,Metrik!$C$2:$Y$959,19,0)</f>
        <v>50.3</v>
      </c>
      <c r="N1171" s="21"/>
      <c r="O1171" s="21"/>
      <c r="P1171" s="21"/>
      <c r="Q1171" s="21"/>
      <c r="R1171" s="21"/>
      <c r="S1171" s="21"/>
      <c r="T1171" s="21"/>
      <c r="U1171" s="22">
        <f>IFERROR(__xludf.DUMMYFUNCTION("IFERROR(GOOGLEFINANCE(A1171,""closeyest""),"""")"),850.0)</f>
        <v>850</v>
      </c>
      <c r="V1171" s="23">
        <f>IFERROR(__xludf.DUMMYFUNCTION("IFERROR(GOOGLEFINANCE(A1171,""changepct""),"""")"),0.0)</f>
        <v>0</v>
      </c>
      <c r="W1171" s="22">
        <f>IFERROR(__xludf.DUMMYFUNCTION("IFERROR(GOOGLEFINANCE(A1171,""priceopen""),"""")"),850.0)</f>
        <v>850</v>
      </c>
      <c r="X1171" s="22">
        <f>IFERROR(__xludf.DUMMYFUNCTION("IFERROR(GOOGLEFINANCE(A1171,""high""),"""")"),885.0)</f>
        <v>885</v>
      </c>
      <c r="Y1171" s="22">
        <f>IFERROR(__xludf.DUMMYFUNCTION("IFERROR(GOOGLEFINANCE(A1171,""low""),"""")"),830.0)</f>
        <v>830</v>
      </c>
      <c r="Z1171" s="22">
        <f>IFERROR(__xludf.DUMMYFUNCTION("IFERROR(GOOGLEFINANCE(A1171,""volume""),"""")"),3173900.0)</f>
        <v>3173900</v>
      </c>
      <c r="AA1171" s="24" t="str">
        <f>VLOOKUP(A1171,Metrik!$C$2:$Y$959,5,0)</f>
        <v>Specialty Retail</v>
      </c>
      <c r="AB1171" s="24" t="str">
        <f>VLOOKUP(A1171,Metrik!$C$2:$Y$959,3,0)</f>
        <v>Consumer Cyclicals</v>
      </c>
    </row>
    <row r="1172">
      <c r="A1172" s="14" t="s">
        <v>622</v>
      </c>
      <c r="B1172" s="14" t="str">
        <f t="array" ref="B1172">VLOOKUP(A1172,{Metrik!$C$2:$C$998,Metrik!$B$2:$B$998},2,0)</f>
        <v>Merdeka Copper Gold Tbk.</v>
      </c>
      <c r="C1172" s="15">
        <f>IFERROR(__xludf.DUMMYFUNCTION("GOOGLEFINANCE(""IDX:""&amp;A1172,""price"")"),2540.0)</f>
        <v>2540</v>
      </c>
      <c r="D1172" s="16" t="str">
        <f>IFERROR(__xludf.DUMMYFUNCTION("IF(A1172="""","""",
SPARKLINE(
INDEX(
GOOGLEFINANCE(""IDX:""&amp;A1172,""close"",TODAY()-365,TODAY()),
,2
),
{""linewidth"",1}
))
"),"#N/A")</f>
        <v>#N/A</v>
      </c>
      <c r="E1172" s="14" t="s">
        <v>38</v>
      </c>
      <c r="F1172" s="25">
        <v>46356.0</v>
      </c>
      <c r="G1172" s="24">
        <f t="shared" si="8"/>
        <v>11</v>
      </c>
      <c r="H1172" s="19">
        <f>VLOOKUP(A1172,Metrik!$C$2:$Y$959,8,0)</f>
        <v>-60.9</v>
      </c>
      <c r="I1172" s="20">
        <f>VLOOKUP(A1172,Metrik!$C$2:$Y$959,9,0)</f>
        <v>1.3</v>
      </c>
      <c r="J1172" s="20">
        <f>VLOOKUP(A1172,Metrik!$C$2:$Y$959,10,0)</f>
        <v>-2.1</v>
      </c>
      <c r="K1172" s="20">
        <f>VLOOKUP(A1172,Metrik!$C$2:$Y$959,11,0)</f>
        <v>-1.1</v>
      </c>
      <c r="L1172" s="20">
        <f>VLOOKUP(A1172,Metrik!$C$2:$Y$959,12,0)</f>
        <v>0.95</v>
      </c>
      <c r="M1172" s="20">
        <f>VLOOKUP(A1172,Metrik!$C$2:$Y$959,19,0)</f>
        <v>-3.3</v>
      </c>
      <c r="N1172" s="21"/>
      <c r="O1172" s="21"/>
      <c r="P1172" s="21"/>
      <c r="Q1172" s="21"/>
      <c r="R1172" s="21"/>
      <c r="S1172" s="21"/>
      <c r="T1172" s="21"/>
      <c r="U1172" s="22">
        <f>IFERROR(__xludf.DUMMYFUNCTION("IFERROR(GOOGLEFINANCE(A1172,""closeyest""),"""")"),2470.0)</f>
        <v>2470</v>
      </c>
      <c r="V1172" s="23" t="str">
        <f>IFERROR(__xludf.DUMMYFUNCTION("IFERROR(GOOGLEFINANCE(A1172,""changepct""),"""")"),"")</f>
        <v/>
      </c>
      <c r="W1172" s="22">
        <f>IFERROR(__xludf.DUMMYFUNCTION("IFERROR(GOOGLEFINANCE(A1172,""priceopen""),"""")"),2520.0)</f>
        <v>2520</v>
      </c>
      <c r="X1172" s="22" t="str">
        <f>IFERROR(__xludf.DUMMYFUNCTION("IFERROR(GOOGLEFINANCE(A1172,""high""),"""")"),"")</f>
        <v/>
      </c>
      <c r="Y1172" s="22">
        <f>IFERROR(__xludf.DUMMYFUNCTION("IFERROR(GOOGLEFINANCE(A1172,""low""),"""")"),2520.0)</f>
        <v>2520</v>
      </c>
      <c r="Z1172" s="22" t="str">
        <f>IFERROR(__xludf.DUMMYFUNCTION("IFERROR(GOOGLEFINANCE(A1172,""volume""),"""")"),"")</f>
        <v/>
      </c>
      <c r="AA1172" s="24" t="str">
        <f>VLOOKUP(A1172,Metrik!$C$2:$Y$959,5,0)</f>
        <v>Metals &amp; Minerals</v>
      </c>
      <c r="AB1172" s="24" t="str">
        <f>VLOOKUP(A1172,Metrik!$C$2:$Y$959,3,0)</f>
        <v>Basic Materials</v>
      </c>
    </row>
    <row r="1173">
      <c r="A1173" s="14" t="s">
        <v>622</v>
      </c>
      <c r="B1173" s="14" t="str">
        <f t="array" ref="B1173">VLOOKUP(A1173,{Metrik!$C$2:$C$998,Metrik!$B$2:$B$998},2,0)</f>
        <v>Merdeka Copper Gold Tbk.</v>
      </c>
      <c r="C1173" s="15">
        <f>IFERROR(__xludf.DUMMYFUNCTION("GOOGLEFINANCE(""IDX:""&amp;A1173,""price"")"),2540.0)</f>
        <v>2540</v>
      </c>
      <c r="D1173" s="16" t="str">
        <f>IFERROR(__xludf.DUMMYFUNCTION("IF(A1173="""","""",
SPARKLINE(
INDEX(
GOOGLEFINANCE(""IDX:""&amp;A1173,""close"",TODAY()-365,TODAY()),
,2
),
{""linewidth"",1}
))
"),"#N/A")</f>
        <v>#N/A</v>
      </c>
      <c r="E1173" s="14" t="s">
        <v>161</v>
      </c>
      <c r="F1173" s="14" t="s">
        <v>76</v>
      </c>
      <c r="G1173" s="24">
        <f t="shared" si="8"/>
        <v>11</v>
      </c>
      <c r="H1173" s="19">
        <f>VLOOKUP(A1173,Metrik!$C$2:$Y$959,8,0)</f>
        <v>-60.9</v>
      </c>
      <c r="I1173" s="20">
        <f>VLOOKUP(A1173,Metrik!$C$2:$Y$959,9,0)</f>
        <v>1.3</v>
      </c>
      <c r="J1173" s="20">
        <f>VLOOKUP(A1173,Metrik!$C$2:$Y$959,10,0)</f>
        <v>-2.1</v>
      </c>
      <c r="K1173" s="20">
        <f>VLOOKUP(A1173,Metrik!$C$2:$Y$959,11,0)</f>
        <v>-1.1</v>
      </c>
      <c r="L1173" s="20">
        <f>VLOOKUP(A1173,Metrik!$C$2:$Y$959,12,0)</f>
        <v>0.95</v>
      </c>
      <c r="M1173" s="20">
        <f>VLOOKUP(A1173,Metrik!$C$2:$Y$959,19,0)</f>
        <v>-3.3</v>
      </c>
      <c r="N1173" s="21"/>
      <c r="O1173" s="21"/>
      <c r="P1173" s="21"/>
      <c r="Q1173" s="21"/>
      <c r="R1173" s="21"/>
      <c r="S1173" s="21"/>
      <c r="T1173" s="21"/>
      <c r="U1173" s="22">
        <f>IFERROR(__xludf.DUMMYFUNCTION("IFERROR(GOOGLEFINANCE(A1173,""closeyest""),"""")"),2470.0)</f>
        <v>2470</v>
      </c>
      <c r="V1173" s="23" t="str">
        <f>IFERROR(__xludf.DUMMYFUNCTION("IFERROR(GOOGLEFINANCE(A1173,""changepct""),"""")"),"")</f>
        <v/>
      </c>
      <c r="W1173" s="22">
        <f>IFERROR(__xludf.DUMMYFUNCTION("IFERROR(GOOGLEFINANCE(A1173,""priceopen""),"""")"),2520.0)</f>
        <v>2520</v>
      </c>
      <c r="X1173" s="22" t="str">
        <f>IFERROR(__xludf.DUMMYFUNCTION("IFERROR(GOOGLEFINANCE(A1173,""high""),"""")"),"")</f>
        <v/>
      </c>
      <c r="Y1173" s="22">
        <f>IFERROR(__xludf.DUMMYFUNCTION("IFERROR(GOOGLEFINANCE(A1173,""low""),"""")"),2520.0)</f>
        <v>2520</v>
      </c>
      <c r="Z1173" s="22" t="str">
        <f>IFERROR(__xludf.DUMMYFUNCTION("IFERROR(GOOGLEFINANCE(A1173,""volume""),"""")"),"")</f>
        <v/>
      </c>
      <c r="AA1173" s="24" t="str">
        <f>VLOOKUP(A1173,Metrik!$C$2:$Y$959,5,0)</f>
        <v>Metals &amp; Minerals</v>
      </c>
      <c r="AB1173" s="24" t="str">
        <f>VLOOKUP(A1173,Metrik!$C$2:$Y$959,3,0)</f>
        <v>Basic Materials</v>
      </c>
    </row>
    <row r="1174">
      <c r="A1174" s="14" t="s">
        <v>622</v>
      </c>
      <c r="B1174" s="14" t="str">
        <f t="array" ref="B1174">VLOOKUP(A1174,{Metrik!$C$2:$C$998,Metrik!$B$2:$B$998},2,0)</f>
        <v>Merdeka Copper Gold Tbk.</v>
      </c>
      <c r="C1174" s="15">
        <f>IFERROR(__xludf.DUMMYFUNCTION("GOOGLEFINANCE(""IDX:""&amp;A1174,""price"")"),2540.0)</f>
        <v>2540</v>
      </c>
      <c r="D1174" s="16" t="str">
        <f>IFERROR(__xludf.DUMMYFUNCTION("IF(A1174="""","""",
SPARKLINE(
INDEX(
GOOGLEFINANCE(""IDX:""&amp;A1174,""close"",TODAY()-365,TODAY()),
,2
),
{""linewidth"",1}
))
"),"#N/A")</f>
        <v>#N/A</v>
      </c>
      <c r="E1174" s="14" t="s">
        <v>31</v>
      </c>
      <c r="F1174" s="17" t="s">
        <v>29</v>
      </c>
      <c r="G1174" s="24">
        <f t="shared" si="8"/>
        <v>11</v>
      </c>
      <c r="H1174" s="19">
        <f>VLOOKUP(A1174,Metrik!$C$2:$Y$959,8,0)</f>
        <v>-60.9</v>
      </c>
      <c r="I1174" s="20">
        <f>VLOOKUP(A1174,Metrik!$C$2:$Y$959,9,0)</f>
        <v>1.3</v>
      </c>
      <c r="J1174" s="20">
        <f>VLOOKUP(A1174,Metrik!$C$2:$Y$959,10,0)</f>
        <v>-2.1</v>
      </c>
      <c r="K1174" s="20">
        <f>VLOOKUP(A1174,Metrik!$C$2:$Y$959,11,0)</f>
        <v>-1.1</v>
      </c>
      <c r="L1174" s="20">
        <f>VLOOKUP(A1174,Metrik!$C$2:$Y$959,12,0)</f>
        <v>0.95</v>
      </c>
      <c r="M1174" s="20">
        <f>VLOOKUP(A1174,Metrik!$C$2:$Y$959,19,0)</f>
        <v>-3.3</v>
      </c>
      <c r="N1174" s="21"/>
      <c r="O1174" s="21"/>
      <c r="P1174" s="21"/>
      <c r="Q1174" s="21"/>
      <c r="R1174" s="21"/>
      <c r="S1174" s="21"/>
      <c r="T1174" s="21"/>
      <c r="U1174" s="22">
        <f>IFERROR(__xludf.DUMMYFUNCTION("IFERROR(GOOGLEFINANCE(A1174,""closeyest""),"""")"),2470.0)</f>
        <v>2470</v>
      </c>
      <c r="V1174" s="23" t="str">
        <f>IFERROR(__xludf.DUMMYFUNCTION("IFERROR(GOOGLEFINANCE(A1174,""changepct""),"""")"),"")</f>
        <v/>
      </c>
      <c r="W1174" s="22">
        <f>IFERROR(__xludf.DUMMYFUNCTION("IFERROR(GOOGLEFINANCE(A1174,""priceopen""),"""")"),2520.0)</f>
        <v>2520</v>
      </c>
      <c r="X1174" s="22" t="str">
        <f>IFERROR(__xludf.DUMMYFUNCTION("IFERROR(GOOGLEFINANCE(A1174,""high""),"""")"),"")</f>
        <v/>
      </c>
      <c r="Y1174" s="22">
        <f>IFERROR(__xludf.DUMMYFUNCTION("IFERROR(GOOGLEFINANCE(A1174,""low""),"""")"),2520.0)</f>
        <v>2520</v>
      </c>
      <c r="Z1174" s="22" t="str">
        <f>IFERROR(__xludf.DUMMYFUNCTION("IFERROR(GOOGLEFINANCE(A1174,""volume""),"""")"),"")</f>
        <v/>
      </c>
      <c r="AA1174" s="24" t="str">
        <f>VLOOKUP(A1174,Metrik!$C$2:$Y$959,5,0)</f>
        <v>Metals &amp; Minerals</v>
      </c>
      <c r="AB1174" s="24" t="str">
        <f>VLOOKUP(A1174,Metrik!$C$2:$Y$959,3,0)</f>
        <v>Basic Materials</v>
      </c>
    </row>
    <row r="1175">
      <c r="A1175" s="14" t="s">
        <v>622</v>
      </c>
      <c r="B1175" s="14" t="str">
        <f t="array" ref="B1175">VLOOKUP(A1175,{Metrik!$C$2:$C$998,Metrik!$B$2:$B$998},2,0)</f>
        <v>Merdeka Copper Gold Tbk.</v>
      </c>
      <c r="C1175" s="15">
        <f>IFERROR(__xludf.DUMMYFUNCTION("GOOGLEFINANCE(""IDX:""&amp;A1175,""price"")"),2540.0)</f>
        <v>2540</v>
      </c>
      <c r="D1175" s="16" t="str">
        <f>IFERROR(__xludf.DUMMYFUNCTION("IF(A1175="""","""",
SPARKLINE(
INDEX(
GOOGLEFINANCE(""IDX:""&amp;A1175,""close"",TODAY()-365,TODAY()),
,2
),
{""linewidth"",1}
))
"),"#N/A")</f>
        <v>#N/A</v>
      </c>
      <c r="E1175" s="14" t="s">
        <v>28</v>
      </c>
      <c r="F1175" s="17" t="s">
        <v>29</v>
      </c>
      <c r="G1175" s="24">
        <f t="shared" si="8"/>
        <v>11</v>
      </c>
      <c r="H1175" s="19">
        <f>VLOOKUP(A1175,Metrik!$C$2:$Y$959,8,0)</f>
        <v>-60.9</v>
      </c>
      <c r="I1175" s="20">
        <f>VLOOKUP(A1175,Metrik!$C$2:$Y$959,9,0)</f>
        <v>1.3</v>
      </c>
      <c r="J1175" s="20">
        <f>VLOOKUP(A1175,Metrik!$C$2:$Y$959,10,0)</f>
        <v>-2.1</v>
      </c>
      <c r="K1175" s="20">
        <f>VLOOKUP(A1175,Metrik!$C$2:$Y$959,11,0)</f>
        <v>-1.1</v>
      </c>
      <c r="L1175" s="20">
        <f>VLOOKUP(A1175,Metrik!$C$2:$Y$959,12,0)</f>
        <v>0.95</v>
      </c>
      <c r="M1175" s="20">
        <f>VLOOKUP(A1175,Metrik!$C$2:$Y$959,19,0)</f>
        <v>-3.3</v>
      </c>
      <c r="N1175" s="21"/>
      <c r="O1175" s="21"/>
      <c r="P1175" s="21"/>
      <c r="Q1175" s="21"/>
      <c r="R1175" s="21"/>
      <c r="S1175" s="21"/>
      <c r="T1175" s="21"/>
      <c r="U1175" s="22">
        <f>IFERROR(__xludf.DUMMYFUNCTION("IFERROR(GOOGLEFINANCE(A1175,""closeyest""),"""")"),2470.0)</f>
        <v>2470</v>
      </c>
      <c r="V1175" s="23" t="str">
        <f>IFERROR(__xludf.DUMMYFUNCTION("IFERROR(GOOGLEFINANCE(A1175,""changepct""),"""")"),"")</f>
        <v/>
      </c>
      <c r="W1175" s="22">
        <f>IFERROR(__xludf.DUMMYFUNCTION("IFERROR(GOOGLEFINANCE(A1175,""priceopen""),"""")"),2520.0)</f>
        <v>2520</v>
      </c>
      <c r="X1175" s="22" t="str">
        <f>IFERROR(__xludf.DUMMYFUNCTION("IFERROR(GOOGLEFINANCE(A1175,""high""),"""")"),"")</f>
        <v/>
      </c>
      <c r="Y1175" s="22">
        <f>IFERROR(__xludf.DUMMYFUNCTION("IFERROR(GOOGLEFINANCE(A1175,""low""),"""")"),2520.0)</f>
        <v>2520</v>
      </c>
      <c r="Z1175" s="22" t="str">
        <f>IFERROR(__xludf.DUMMYFUNCTION("IFERROR(GOOGLEFINANCE(A1175,""volume""),"""")"),"")</f>
        <v/>
      </c>
      <c r="AA1175" s="24" t="str">
        <f>VLOOKUP(A1175,Metrik!$C$2:$Y$959,5,0)</f>
        <v>Metals &amp; Minerals</v>
      </c>
      <c r="AB1175" s="24" t="str">
        <f>VLOOKUP(A1175,Metrik!$C$2:$Y$959,3,0)</f>
        <v>Basic Materials</v>
      </c>
    </row>
    <row r="1176">
      <c r="A1176" s="14" t="s">
        <v>622</v>
      </c>
      <c r="B1176" s="14" t="str">
        <f t="array" ref="B1176">VLOOKUP(A1176,{Metrik!$C$2:$C$998,Metrik!$B$2:$B$998},2,0)</f>
        <v>Merdeka Copper Gold Tbk.</v>
      </c>
      <c r="C1176" s="15">
        <f>IFERROR(__xludf.DUMMYFUNCTION("GOOGLEFINANCE(""IDX:""&amp;A1176,""price"")"),2540.0)</f>
        <v>2540</v>
      </c>
      <c r="D1176" s="16" t="str">
        <f>IFERROR(__xludf.DUMMYFUNCTION("IF(A1176="""","""",
SPARKLINE(
INDEX(
GOOGLEFINANCE(""IDX:""&amp;A1176,""close"",TODAY()-365,TODAY()),
,2
),
{""linewidth"",1}
))
"),"#N/A")</f>
        <v>#N/A</v>
      </c>
      <c r="E1176" s="14" t="s">
        <v>84</v>
      </c>
      <c r="F1176" s="17" t="s">
        <v>51</v>
      </c>
      <c r="G1176" s="24">
        <f t="shared" si="8"/>
        <v>11</v>
      </c>
      <c r="H1176" s="19">
        <f>VLOOKUP(A1176,Metrik!$C$2:$Y$959,8,0)</f>
        <v>-60.9</v>
      </c>
      <c r="I1176" s="20">
        <f>VLOOKUP(A1176,Metrik!$C$2:$Y$959,9,0)</f>
        <v>1.3</v>
      </c>
      <c r="J1176" s="20">
        <f>VLOOKUP(A1176,Metrik!$C$2:$Y$959,10,0)</f>
        <v>-2.1</v>
      </c>
      <c r="K1176" s="20">
        <f>VLOOKUP(A1176,Metrik!$C$2:$Y$959,11,0)</f>
        <v>-1.1</v>
      </c>
      <c r="L1176" s="20">
        <f>VLOOKUP(A1176,Metrik!$C$2:$Y$959,12,0)</f>
        <v>0.95</v>
      </c>
      <c r="M1176" s="20">
        <f>VLOOKUP(A1176,Metrik!$C$2:$Y$959,19,0)</f>
        <v>-3.3</v>
      </c>
      <c r="N1176" s="21"/>
      <c r="O1176" s="21"/>
      <c r="P1176" s="21"/>
      <c r="Q1176" s="21"/>
      <c r="R1176" s="21"/>
      <c r="S1176" s="21"/>
      <c r="T1176" s="21"/>
      <c r="U1176" s="22">
        <f>IFERROR(__xludf.DUMMYFUNCTION("IFERROR(GOOGLEFINANCE(A1176,""closeyest""),"""")"),2470.0)</f>
        <v>2470</v>
      </c>
      <c r="V1176" s="23" t="str">
        <f>IFERROR(__xludf.DUMMYFUNCTION("IFERROR(GOOGLEFINANCE(A1176,""changepct""),"""")"),"")</f>
        <v/>
      </c>
      <c r="W1176" s="22">
        <f>IFERROR(__xludf.DUMMYFUNCTION("IFERROR(GOOGLEFINANCE(A1176,""priceopen""),"""")"),2520.0)</f>
        <v>2520</v>
      </c>
      <c r="X1176" s="22" t="str">
        <f>IFERROR(__xludf.DUMMYFUNCTION("IFERROR(GOOGLEFINANCE(A1176,""high""),"""")"),"")</f>
        <v/>
      </c>
      <c r="Y1176" s="22">
        <f>IFERROR(__xludf.DUMMYFUNCTION("IFERROR(GOOGLEFINANCE(A1176,""low""),"""")"),2520.0)</f>
        <v>2520</v>
      </c>
      <c r="Z1176" s="22" t="str">
        <f>IFERROR(__xludf.DUMMYFUNCTION("IFERROR(GOOGLEFINANCE(A1176,""volume""),"""")"),"")</f>
        <v/>
      </c>
      <c r="AA1176" s="24" t="str">
        <f>VLOOKUP(A1176,Metrik!$C$2:$Y$959,5,0)</f>
        <v>Metals &amp; Minerals</v>
      </c>
      <c r="AB1176" s="24" t="str">
        <f>VLOOKUP(A1176,Metrik!$C$2:$Y$959,3,0)</f>
        <v>Basic Materials</v>
      </c>
    </row>
    <row r="1177">
      <c r="A1177" s="14" t="s">
        <v>622</v>
      </c>
      <c r="B1177" s="14" t="str">
        <f t="array" ref="B1177">VLOOKUP(A1177,{Metrik!$C$2:$C$998,Metrik!$B$2:$B$998},2,0)</f>
        <v>Merdeka Copper Gold Tbk.</v>
      </c>
      <c r="C1177" s="15">
        <f>IFERROR(__xludf.DUMMYFUNCTION("GOOGLEFINANCE(""IDX:""&amp;A1177,""price"")"),2540.0)</f>
        <v>2540</v>
      </c>
      <c r="D1177" s="16" t="str">
        <f>IFERROR(__xludf.DUMMYFUNCTION("IF(A1177="""","""",
SPARKLINE(
INDEX(
GOOGLEFINANCE(""IDX:""&amp;A1177,""close"",TODAY()-365,TODAY()),
,2
),
{""linewidth"",1}
))
"),"#N/A")</f>
        <v>#N/A</v>
      </c>
      <c r="E1177" s="14" t="s">
        <v>32</v>
      </c>
      <c r="F1177" s="14" t="s">
        <v>29</v>
      </c>
      <c r="G1177" s="24">
        <f t="shared" si="8"/>
        <v>11</v>
      </c>
      <c r="H1177" s="19">
        <f>VLOOKUP(A1177,Metrik!$C$2:$Y$959,8,0)</f>
        <v>-60.9</v>
      </c>
      <c r="I1177" s="20">
        <f>VLOOKUP(A1177,Metrik!$C$2:$Y$959,9,0)</f>
        <v>1.3</v>
      </c>
      <c r="J1177" s="20">
        <f>VLOOKUP(A1177,Metrik!$C$2:$Y$959,10,0)</f>
        <v>-2.1</v>
      </c>
      <c r="K1177" s="20">
        <f>VLOOKUP(A1177,Metrik!$C$2:$Y$959,11,0)</f>
        <v>-1.1</v>
      </c>
      <c r="L1177" s="20">
        <f>VLOOKUP(A1177,Metrik!$C$2:$Y$959,12,0)</f>
        <v>0.95</v>
      </c>
      <c r="M1177" s="20">
        <f>VLOOKUP(A1177,Metrik!$C$2:$Y$959,19,0)</f>
        <v>-3.3</v>
      </c>
      <c r="N1177" s="21"/>
      <c r="O1177" s="21"/>
      <c r="P1177" s="21"/>
      <c r="Q1177" s="21"/>
      <c r="R1177" s="21"/>
      <c r="S1177" s="21"/>
      <c r="T1177" s="21"/>
      <c r="U1177" s="22">
        <f>IFERROR(__xludf.DUMMYFUNCTION("IFERROR(GOOGLEFINANCE(A1177,""closeyest""),"""")"),2470.0)</f>
        <v>2470</v>
      </c>
      <c r="V1177" s="23" t="str">
        <f>IFERROR(__xludf.DUMMYFUNCTION("IFERROR(GOOGLEFINANCE(A1177,""changepct""),"""")"),"")</f>
        <v/>
      </c>
      <c r="W1177" s="22">
        <f>IFERROR(__xludf.DUMMYFUNCTION("IFERROR(GOOGLEFINANCE(A1177,""priceopen""),"""")"),2520.0)</f>
        <v>2520</v>
      </c>
      <c r="X1177" s="22" t="str">
        <f>IFERROR(__xludf.DUMMYFUNCTION("IFERROR(GOOGLEFINANCE(A1177,""high""),"""")"),"")</f>
        <v/>
      </c>
      <c r="Y1177" s="22">
        <f>IFERROR(__xludf.DUMMYFUNCTION("IFERROR(GOOGLEFINANCE(A1177,""low""),"""")"),2520.0)</f>
        <v>2520</v>
      </c>
      <c r="Z1177" s="22" t="str">
        <f>IFERROR(__xludf.DUMMYFUNCTION("IFERROR(GOOGLEFINANCE(A1177,""volume""),"""")"),"")</f>
        <v/>
      </c>
      <c r="AA1177" s="24" t="str">
        <f>VLOOKUP(A1177,Metrik!$C$2:$Y$959,5,0)</f>
        <v>Metals &amp; Minerals</v>
      </c>
      <c r="AB1177" s="24" t="str">
        <f>VLOOKUP(A1177,Metrik!$C$2:$Y$959,3,0)</f>
        <v>Basic Materials</v>
      </c>
    </row>
    <row r="1178">
      <c r="A1178" s="14" t="s">
        <v>622</v>
      </c>
      <c r="B1178" s="14" t="str">
        <f t="array" ref="B1178">VLOOKUP(A1178,{Metrik!$C$2:$C$998,Metrik!$B$2:$B$998},2,0)</f>
        <v>Merdeka Copper Gold Tbk.</v>
      </c>
      <c r="C1178" s="15">
        <f>IFERROR(__xludf.DUMMYFUNCTION("GOOGLEFINANCE(""IDX:""&amp;A1178,""price"")"),2540.0)</f>
        <v>2540</v>
      </c>
      <c r="D1178" s="16" t="str">
        <f>IFERROR(__xludf.DUMMYFUNCTION("IF(A1178="""","""",
SPARKLINE(
INDEX(
GOOGLEFINANCE(""IDX:""&amp;A1178,""close"",TODAY()-365,TODAY()),
,2
),
{""linewidth"",1}
))
"),"#N/A")</f>
        <v>#N/A</v>
      </c>
      <c r="E1178" s="14" t="s">
        <v>30</v>
      </c>
      <c r="F1178" s="17" t="s">
        <v>29</v>
      </c>
      <c r="G1178" s="24">
        <f t="shared" si="8"/>
        <v>11</v>
      </c>
      <c r="H1178" s="19">
        <f>VLOOKUP(A1178,Metrik!$C$2:$Y$959,8,0)</f>
        <v>-60.9</v>
      </c>
      <c r="I1178" s="20">
        <f>VLOOKUP(A1178,Metrik!$C$2:$Y$959,9,0)</f>
        <v>1.3</v>
      </c>
      <c r="J1178" s="20">
        <f>VLOOKUP(A1178,Metrik!$C$2:$Y$959,10,0)</f>
        <v>-2.1</v>
      </c>
      <c r="K1178" s="20">
        <f>VLOOKUP(A1178,Metrik!$C$2:$Y$959,11,0)</f>
        <v>-1.1</v>
      </c>
      <c r="L1178" s="20">
        <f>VLOOKUP(A1178,Metrik!$C$2:$Y$959,12,0)</f>
        <v>0.95</v>
      </c>
      <c r="M1178" s="20">
        <f>VLOOKUP(A1178,Metrik!$C$2:$Y$959,19,0)</f>
        <v>-3.3</v>
      </c>
      <c r="N1178" s="21"/>
      <c r="O1178" s="21"/>
      <c r="P1178" s="21"/>
      <c r="Q1178" s="21"/>
      <c r="R1178" s="21"/>
      <c r="S1178" s="21"/>
      <c r="T1178" s="21"/>
      <c r="U1178" s="22">
        <f>IFERROR(__xludf.DUMMYFUNCTION("IFERROR(GOOGLEFINANCE(A1178,""closeyest""),"""")"),2470.0)</f>
        <v>2470</v>
      </c>
      <c r="V1178" s="23" t="str">
        <f>IFERROR(__xludf.DUMMYFUNCTION("IFERROR(GOOGLEFINANCE(A1178,""changepct""),"""")"),"")</f>
        <v/>
      </c>
      <c r="W1178" s="22">
        <f>IFERROR(__xludf.DUMMYFUNCTION("IFERROR(GOOGLEFINANCE(A1178,""priceopen""),"""")"),2520.0)</f>
        <v>2520</v>
      </c>
      <c r="X1178" s="22" t="str">
        <f>IFERROR(__xludf.DUMMYFUNCTION("IFERROR(GOOGLEFINANCE(A1178,""high""),"""")"),"")</f>
        <v/>
      </c>
      <c r="Y1178" s="22">
        <f>IFERROR(__xludf.DUMMYFUNCTION("IFERROR(GOOGLEFINANCE(A1178,""low""),"""")"),2520.0)</f>
        <v>2520</v>
      </c>
      <c r="Z1178" s="22" t="str">
        <f>IFERROR(__xludf.DUMMYFUNCTION("IFERROR(GOOGLEFINANCE(A1178,""volume""),"""")"),"")</f>
        <v/>
      </c>
      <c r="AA1178" s="24" t="str">
        <f>VLOOKUP(A1178,Metrik!$C$2:$Y$959,5,0)</f>
        <v>Metals &amp; Minerals</v>
      </c>
      <c r="AB1178" s="24" t="str">
        <f>VLOOKUP(A1178,Metrik!$C$2:$Y$959,3,0)</f>
        <v>Basic Materials</v>
      </c>
    </row>
    <row r="1179">
      <c r="A1179" s="14" t="s">
        <v>622</v>
      </c>
      <c r="B1179" s="14" t="str">
        <f t="array" ref="B1179">VLOOKUP(A1179,{Metrik!$C$2:$C$998,Metrik!$B$2:$B$998},2,0)</f>
        <v>Merdeka Copper Gold Tbk.</v>
      </c>
      <c r="C1179" s="15">
        <f>IFERROR(__xludf.DUMMYFUNCTION("GOOGLEFINANCE(""IDX:""&amp;A1179,""price"")"),2540.0)</f>
        <v>2540</v>
      </c>
      <c r="D1179" s="16" t="str">
        <f>IFERROR(__xludf.DUMMYFUNCTION("IF(A1179="""","""",
SPARKLINE(
INDEX(
GOOGLEFINANCE(""IDX:""&amp;A1179,""close"",TODAY()-365,TODAY()),
,2
),
{""linewidth"",1}
))
"),"#N/A")</f>
        <v>#N/A</v>
      </c>
      <c r="E1179" s="14" t="s">
        <v>52</v>
      </c>
      <c r="F1179" s="27" t="s">
        <v>53</v>
      </c>
      <c r="G1179" s="24">
        <f t="shared" si="8"/>
        <v>11</v>
      </c>
      <c r="H1179" s="19">
        <f>VLOOKUP(A1179,Metrik!$C$2:$Y$959,8,0)</f>
        <v>-60.9</v>
      </c>
      <c r="I1179" s="20">
        <f>VLOOKUP(A1179,Metrik!$C$2:$Y$959,9,0)</f>
        <v>1.3</v>
      </c>
      <c r="J1179" s="20">
        <f>VLOOKUP(A1179,Metrik!$C$2:$Y$959,10,0)</f>
        <v>-2.1</v>
      </c>
      <c r="K1179" s="20">
        <f>VLOOKUP(A1179,Metrik!$C$2:$Y$959,11,0)</f>
        <v>-1.1</v>
      </c>
      <c r="L1179" s="20">
        <f>VLOOKUP(A1179,Metrik!$C$2:$Y$959,12,0)</f>
        <v>0.95</v>
      </c>
      <c r="M1179" s="20">
        <f>VLOOKUP(A1179,Metrik!$C$2:$Y$959,19,0)</f>
        <v>-3.3</v>
      </c>
      <c r="N1179" s="21"/>
      <c r="O1179" s="21"/>
      <c r="P1179" s="21"/>
      <c r="Q1179" s="21"/>
      <c r="R1179" s="21"/>
      <c r="S1179" s="21"/>
      <c r="T1179" s="21"/>
      <c r="U1179" s="22">
        <f>IFERROR(__xludf.DUMMYFUNCTION("IFERROR(GOOGLEFINANCE(A1179,""closeyest""),"""")"),2470.0)</f>
        <v>2470</v>
      </c>
      <c r="V1179" s="23" t="str">
        <f>IFERROR(__xludf.DUMMYFUNCTION("IFERROR(GOOGLEFINANCE(A1179,""changepct""),"""")"),"")</f>
        <v/>
      </c>
      <c r="W1179" s="22">
        <f>IFERROR(__xludf.DUMMYFUNCTION("IFERROR(GOOGLEFINANCE(A1179,""priceopen""),"""")"),2520.0)</f>
        <v>2520</v>
      </c>
      <c r="X1179" s="22" t="str">
        <f>IFERROR(__xludf.DUMMYFUNCTION("IFERROR(GOOGLEFINANCE(A1179,""high""),"""")"),"")</f>
        <v/>
      </c>
      <c r="Y1179" s="22">
        <f>IFERROR(__xludf.DUMMYFUNCTION("IFERROR(GOOGLEFINANCE(A1179,""low""),"""")"),2520.0)</f>
        <v>2520</v>
      </c>
      <c r="Z1179" s="22" t="str">
        <f>IFERROR(__xludf.DUMMYFUNCTION("IFERROR(GOOGLEFINANCE(A1179,""volume""),"""")"),"")</f>
        <v/>
      </c>
      <c r="AA1179" s="24" t="str">
        <f>VLOOKUP(A1179,Metrik!$C$2:$Y$959,5,0)</f>
        <v>Metals &amp; Minerals</v>
      </c>
      <c r="AB1179" s="24" t="str">
        <f>VLOOKUP(A1179,Metrik!$C$2:$Y$959,3,0)</f>
        <v>Basic Materials</v>
      </c>
    </row>
    <row r="1180">
      <c r="A1180" s="48" t="s">
        <v>622</v>
      </c>
      <c r="B1180" s="14" t="str">
        <f t="array" ref="B1180">VLOOKUP(A1180,{Metrik!$C$2:$C$998,Metrik!$B$2:$B$998},2,0)</f>
        <v>Merdeka Copper Gold Tbk.</v>
      </c>
      <c r="C1180" s="15">
        <f>IFERROR(__xludf.DUMMYFUNCTION("GOOGLEFINANCE(""IDX:""&amp;A1180,""price"")"),2540.0)</f>
        <v>2540</v>
      </c>
      <c r="D1180" s="16" t="str">
        <f>IFERROR(__xludf.DUMMYFUNCTION("IF(A1180="""","""",
SPARKLINE(
INDEX(
GOOGLEFINANCE(""IDX:""&amp;A1180,""close"",TODAY()-365,TODAY()),
,2
),
{""linewidth"",1}
))
"),"#N/A")</f>
        <v>#N/A</v>
      </c>
      <c r="E1180" s="17" t="s">
        <v>69</v>
      </c>
      <c r="F1180" s="17" t="s">
        <v>70</v>
      </c>
      <c r="G1180" s="24">
        <f t="shared" si="8"/>
        <v>11</v>
      </c>
      <c r="H1180" s="19">
        <f>VLOOKUP(A1180,Metrik!$C$2:$Y$959,8,0)</f>
        <v>-60.9</v>
      </c>
      <c r="I1180" s="20">
        <f>VLOOKUP(A1180,Metrik!$C$2:$Y$959,9,0)</f>
        <v>1.3</v>
      </c>
      <c r="J1180" s="20">
        <f>VLOOKUP(A1180,Metrik!$C$2:$Y$959,10,0)</f>
        <v>-2.1</v>
      </c>
      <c r="K1180" s="20">
        <f>VLOOKUP(A1180,Metrik!$C$2:$Y$959,11,0)</f>
        <v>-1.1</v>
      </c>
      <c r="L1180" s="20">
        <f>VLOOKUP(A1180,Metrik!$C$2:$Y$959,12,0)</f>
        <v>0.95</v>
      </c>
      <c r="M1180" s="20">
        <f>VLOOKUP(A1180,Metrik!$C$2:$Y$959,19,0)</f>
        <v>-3.3</v>
      </c>
      <c r="N1180" s="21"/>
      <c r="O1180" s="21"/>
      <c r="P1180" s="21"/>
      <c r="Q1180" s="21"/>
      <c r="R1180" s="21"/>
      <c r="S1180" s="21"/>
      <c r="T1180" s="21"/>
      <c r="U1180" s="22">
        <f>IFERROR(__xludf.DUMMYFUNCTION("IFERROR(GOOGLEFINANCE(A1180,""closeyest""),"""")"),2470.0)</f>
        <v>2470</v>
      </c>
      <c r="V1180" s="23" t="str">
        <f>IFERROR(__xludf.DUMMYFUNCTION("IFERROR(GOOGLEFINANCE(A1180,""changepct""),"""")"),"")</f>
        <v/>
      </c>
      <c r="W1180" s="22">
        <f>IFERROR(__xludf.DUMMYFUNCTION("IFERROR(GOOGLEFINANCE(A1180,""priceopen""),"""")"),2520.0)</f>
        <v>2520</v>
      </c>
      <c r="X1180" s="22" t="str">
        <f>IFERROR(__xludf.DUMMYFUNCTION("IFERROR(GOOGLEFINANCE(A1180,""high""),"""")"),"")</f>
        <v/>
      </c>
      <c r="Y1180" s="22">
        <f>IFERROR(__xludf.DUMMYFUNCTION("IFERROR(GOOGLEFINANCE(A1180,""low""),"""")"),2520.0)</f>
        <v>2520</v>
      </c>
      <c r="Z1180" s="22" t="str">
        <f>IFERROR(__xludf.DUMMYFUNCTION("IFERROR(GOOGLEFINANCE(A1180,""volume""),"""")"),"")</f>
        <v/>
      </c>
      <c r="AA1180" s="24" t="str">
        <f>VLOOKUP(A1180,Metrik!$C$2:$Y$959,5,0)</f>
        <v>Metals &amp; Minerals</v>
      </c>
      <c r="AB1180" s="24" t="str">
        <f>VLOOKUP(A1180,Metrik!$C$2:$Y$959,3,0)</f>
        <v>Basic Materials</v>
      </c>
    </row>
    <row r="1181">
      <c r="A1181" s="17" t="s">
        <v>622</v>
      </c>
      <c r="B1181" s="14" t="str">
        <f t="array" ref="B1181">VLOOKUP(A1181,{Metrik!$C$2:$C$998,Metrik!$B$2:$B$998},2,0)</f>
        <v>Merdeka Copper Gold Tbk.</v>
      </c>
      <c r="C1181" s="15">
        <f>IFERROR(__xludf.DUMMYFUNCTION("GOOGLEFINANCE(""IDX:""&amp;A1181,""price"")"),2540.0)</f>
        <v>2540</v>
      </c>
      <c r="D1181" s="16" t="str">
        <f>IFERROR(__xludf.DUMMYFUNCTION("IF(A1181="""","""",
SPARKLINE(
INDEX(
GOOGLEFINANCE(""IDX:""&amp;A1181,""close"",TODAY()-365,TODAY()),
,2
),
{""linewidth"",1}
))
"),"#N/A")</f>
        <v>#N/A</v>
      </c>
      <c r="E1181" s="14" t="s">
        <v>35</v>
      </c>
      <c r="F1181" s="17" t="s">
        <v>36</v>
      </c>
      <c r="G1181" s="38">
        <f t="shared" si="8"/>
        <v>11</v>
      </c>
      <c r="H1181" s="34">
        <f>VLOOKUP(A1181,Metrik!$C$2:$Y$959,8,0)</f>
        <v>-60.9</v>
      </c>
      <c r="I1181" s="34">
        <f>VLOOKUP(A1181,Metrik!$C$2:$Y$959,9,0)</f>
        <v>1.3</v>
      </c>
      <c r="J1181" s="34">
        <f>VLOOKUP(A1181,Metrik!$C$2:$Y$959,10,0)</f>
        <v>-2.1</v>
      </c>
      <c r="K1181" s="34">
        <f>VLOOKUP(A1181,Metrik!$C$2:$Y$959,11,0)</f>
        <v>-1.1</v>
      </c>
      <c r="L1181" s="34">
        <f>VLOOKUP(A1181,Metrik!$C$2:$Y$959,12,0)</f>
        <v>0.95</v>
      </c>
      <c r="M1181" s="34">
        <f>VLOOKUP(A1181,Metrik!$C$2:$Y$959,19,0)</f>
        <v>-3.3</v>
      </c>
      <c r="N1181" s="26"/>
      <c r="O1181" s="26"/>
      <c r="P1181" s="26"/>
      <c r="Q1181" s="26"/>
      <c r="R1181" s="26"/>
      <c r="S1181" s="26"/>
      <c r="T1181" s="26"/>
      <c r="U1181" s="35">
        <f>IFERROR(__xludf.DUMMYFUNCTION("IFERROR(GOOGLEFINANCE(A1181,""closeyest""),"""")"),2470.0)</f>
        <v>2470</v>
      </c>
      <c r="V1181" s="36" t="str">
        <f>IFERROR(__xludf.DUMMYFUNCTION("IFERROR(GOOGLEFINANCE(A1181,""changepct""),"""")"),"")</f>
        <v/>
      </c>
      <c r="W1181" s="35">
        <f>IFERROR(__xludf.DUMMYFUNCTION("IFERROR(GOOGLEFINANCE(A1181,""priceopen""),"""")"),2520.0)</f>
        <v>2520</v>
      </c>
      <c r="X1181" s="35" t="str">
        <f>IFERROR(__xludf.DUMMYFUNCTION("IFERROR(GOOGLEFINANCE(A1181,""high""),"""")"),"")</f>
        <v/>
      </c>
      <c r="Y1181" s="35">
        <f>IFERROR(__xludf.DUMMYFUNCTION("IFERROR(GOOGLEFINANCE(A1181,""low""),"""")"),2520.0)</f>
        <v>2520</v>
      </c>
      <c r="Z1181" s="35" t="str">
        <f>IFERROR(__xludf.DUMMYFUNCTION("IFERROR(GOOGLEFINANCE(A1181,""volume""),"""")"),"")</f>
        <v/>
      </c>
      <c r="AA1181" s="14" t="str">
        <f>VLOOKUP(A1181,Metrik!$C$2:$Y$959,5,0)</f>
        <v>Metals &amp; Minerals</v>
      </c>
      <c r="AB1181" s="14" t="str">
        <f>VLOOKUP(A1181,Metrik!$C$2:$Y$959,3,0)</f>
        <v>Basic Materials</v>
      </c>
    </row>
    <row r="1182">
      <c r="A1182" s="14" t="s">
        <v>622</v>
      </c>
      <c r="B1182" s="14" t="str">
        <f t="array" ref="B1182">VLOOKUP(A1182,{Metrik!$C$2:$C$998,Metrik!$B$2:$B$998},2,0)</f>
        <v>Merdeka Copper Gold Tbk.</v>
      </c>
      <c r="C1182" s="15">
        <f>IFERROR(__xludf.DUMMYFUNCTION("GOOGLEFINANCE(""IDX:""&amp;A1182,""price"")"),2540.0)</f>
        <v>2540</v>
      </c>
      <c r="D1182" s="16" t="str">
        <f>IFERROR(__xludf.DUMMYFUNCTION("IF(A1182="""","""",
SPARKLINE(
INDEX(
GOOGLEFINANCE(""IDX:""&amp;A1182,""close"",TODAY()-365,TODAY()),
,2
),
{""linewidth"",1}
))
"),"#N/A")</f>
        <v>#N/A</v>
      </c>
      <c r="E1182" s="14" t="s">
        <v>39</v>
      </c>
      <c r="F1182" s="25">
        <v>46356.0</v>
      </c>
      <c r="G1182" s="24">
        <f t="shared" si="8"/>
        <v>11</v>
      </c>
      <c r="H1182" s="19">
        <f>VLOOKUP(A1182,Metrik!$C$2:$Y$959,8,0)</f>
        <v>-60.9</v>
      </c>
      <c r="I1182" s="20">
        <f>VLOOKUP(A1182,Metrik!$C$2:$Y$959,9,0)</f>
        <v>1.3</v>
      </c>
      <c r="J1182" s="20">
        <f>VLOOKUP(A1182,Metrik!$C$2:$Y$959,10,0)</f>
        <v>-2.1</v>
      </c>
      <c r="K1182" s="20">
        <f>VLOOKUP(A1182,Metrik!$C$2:$Y$959,11,0)</f>
        <v>-1.1</v>
      </c>
      <c r="L1182" s="20">
        <f>VLOOKUP(A1182,Metrik!$C$2:$Y$959,12,0)</f>
        <v>0.95</v>
      </c>
      <c r="M1182" s="20">
        <f>VLOOKUP(A1182,Metrik!$C$2:$Y$959,19,0)</f>
        <v>-3.3</v>
      </c>
      <c r="N1182" s="21"/>
      <c r="O1182" s="21"/>
      <c r="P1182" s="21"/>
      <c r="Q1182" s="21"/>
      <c r="R1182" s="21"/>
      <c r="S1182" s="21"/>
      <c r="T1182" s="21"/>
      <c r="U1182" s="22">
        <f>IFERROR(__xludf.DUMMYFUNCTION("IFERROR(GOOGLEFINANCE(A1182,""closeyest""),"""")"),2470.0)</f>
        <v>2470</v>
      </c>
      <c r="V1182" s="23" t="str">
        <f>IFERROR(__xludf.DUMMYFUNCTION("IFERROR(GOOGLEFINANCE(A1182,""changepct""),"""")"),"")</f>
        <v/>
      </c>
      <c r="W1182" s="22">
        <f>IFERROR(__xludf.DUMMYFUNCTION("IFERROR(GOOGLEFINANCE(A1182,""priceopen""),"""")"),2520.0)</f>
        <v>2520</v>
      </c>
      <c r="X1182" s="22" t="str">
        <f>IFERROR(__xludf.DUMMYFUNCTION("IFERROR(GOOGLEFINANCE(A1182,""high""),"""")"),"")</f>
        <v/>
      </c>
      <c r="Y1182" s="22">
        <f>IFERROR(__xludf.DUMMYFUNCTION("IFERROR(GOOGLEFINANCE(A1182,""low""),"""")"),2520.0)</f>
        <v>2520</v>
      </c>
      <c r="Z1182" s="22" t="str">
        <f>IFERROR(__xludf.DUMMYFUNCTION("IFERROR(GOOGLEFINANCE(A1182,""volume""),"""")"),"")</f>
        <v/>
      </c>
      <c r="AA1182" s="24" t="str">
        <f>VLOOKUP(A1182,Metrik!$C$2:$Y$959,5,0)</f>
        <v>Metals &amp; Minerals</v>
      </c>
      <c r="AB1182" s="24" t="str">
        <f>VLOOKUP(A1182,Metrik!$C$2:$Y$959,3,0)</f>
        <v>Basic Materials</v>
      </c>
    </row>
    <row r="1183">
      <c r="A1183" s="14" t="s">
        <v>623</v>
      </c>
      <c r="B1183" s="14" t="str">
        <f t="array" ref="B1183">VLOOKUP(A1183,{Metrik!$C$2:$C$998,Metrik!$B$2:$B$998},2,0)</f>
        <v>Emdeki Utama Tbk.</v>
      </c>
      <c r="C1183" s="15">
        <f>IFERROR(__xludf.DUMMYFUNCTION("GOOGLEFINANCE(""IDX:""&amp;A1183,""price"")"),178.0)</f>
        <v>178</v>
      </c>
      <c r="D1183" s="16" t="str">
        <f>IFERROR(__xludf.DUMMYFUNCTION("IF(A1183="""","""",
SPARKLINE(
INDEX(
GOOGLEFINANCE(""IDX:""&amp;A1183,""close"",TODAY()-365,TODAY()),
,2
),
{""linewidth"",1}
))
"),"#N/A")</f>
        <v>#N/A</v>
      </c>
      <c r="E1183" s="26"/>
      <c r="F1183" s="26"/>
      <c r="G1183" s="24">
        <f t="shared" si="8"/>
        <v>0</v>
      </c>
      <c r="H1183" s="19">
        <f>VLOOKUP(A1183,Metrik!$C$2:$Y$959,8,0)</f>
        <v>15.4</v>
      </c>
      <c r="I1183" s="20">
        <f>VLOOKUP(A1183,Metrik!$C$2:$Y$959,9,0)</f>
        <v>0.47</v>
      </c>
      <c r="J1183" s="20">
        <f>VLOOKUP(A1183,Metrik!$C$2:$Y$959,10,0)</f>
        <v>3.1</v>
      </c>
      <c r="K1183" s="20">
        <f>VLOOKUP(A1183,Metrik!$C$2:$Y$959,11,0)</f>
        <v>2.9</v>
      </c>
      <c r="L1183" s="20">
        <f>VLOOKUP(A1183,Metrik!$C$2:$Y$959,12,0)</f>
        <v>0.07</v>
      </c>
      <c r="M1183" s="20">
        <f>VLOOKUP(A1183,Metrik!$C$2:$Y$959,19,0)</f>
        <v>42.9</v>
      </c>
      <c r="N1183" s="21"/>
      <c r="O1183" s="21"/>
      <c r="P1183" s="21"/>
      <c r="Q1183" s="21"/>
      <c r="R1183" s="21"/>
      <c r="S1183" s="21"/>
      <c r="T1183" s="21"/>
      <c r="U1183" s="22">
        <f>IFERROR(__xludf.DUMMYFUNCTION("IFERROR(GOOGLEFINANCE(A1183,""closeyest""),"""")"),173.0)</f>
        <v>173</v>
      </c>
      <c r="V1183" s="23">
        <f>IFERROR(__xludf.DUMMYFUNCTION("IFERROR(GOOGLEFINANCE(A1183,""changepct""),"""")"),2.89)</f>
        <v>2.89</v>
      </c>
      <c r="W1183" s="22">
        <f>IFERROR(__xludf.DUMMYFUNCTION("IFERROR(GOOGLEFINANCE(A1183,""priceopen""),"""")"),171.0)</f>
        <v>171</v>
      </c>
      <c r="X1183" s="22">
        <f>IFERROR(__xludf.DUMMYFUNCTION("IFERROR(GOOGLEFINANCE(A1183,""high""),"""")"),178.0)</f>
        <v>178</v>
      </c>
      <c r="Y1183" s="22">
        <f>IFERROR(__xludf.DUMMYFUNCTION("IFERROR(GOOGLEFINANCE(A1183,""low""),"""")"),171.0)</f>
        <v>171</v>
      </c>
      <c r="Z1183" s="22">
        <f>IFERROR(__xludf.DUMMYFUNCTION("IFERROR(GOOGLEFINANCE(A1183,""volume""),"""")"),90200.0)</f>
        <v>90200</v>
      </c>
      <c r="AA1183" s="24" t="str">
        <f>VLOOKUP(A1183,Metrik!$C$2:$Y$959,5,0)</f>
        <v>Chemicals</v>
      </c>
      <c r="AB1183" s="24" t="str">
        <f>VLOOKUP(A1183,Metrik!$C$2:$Y$959,3,0)</f>
        <v>Basic Materials</v>
      </c>
    </row>
    <row r="1184">
      <c r="A1184" s="14" t="s">
        <v>624</v>
      </c>
      <c r="B1184" s="14" t="str">
        <f t="array" ref="B1184">VLOOKUP(A1184,{Metrik!$C$2:$C$998,Metrik!$B$2:$B$998},2,0)</f>
        <v>Medela Potentia Tbk.</v>
      </c>
      <c r="C1184" s="15">
        <f>IFERROR(__xludf.DUMMYFUNCTION("GOOGLEFINANCE(""IDX:""&amp;A1184,""price"")"),200.0)</f>
        <v>200</v>
      </c>
      <c r="D1184" s="16" t="str">
        <f>IFERROR(__xludf.DUMMYFUNCTION("IF(A1184="""","""",
SPARKLINE(
INDEX(
GOOGLEFINANCE(""IDX:""&amp;A1184,""close"",TODAY()-365,TODAY()),
,2
),
{""linewidth"",1}
))
"),"#N/A")</f>
        <v>#N/A</v>
      </c>
      <c r="E1184" s="26"/>
      <c r="F1184" s="26"/>
      <c r="G1184" s="24">
        <f t="shared" si="8"/>
        <v>0</v>
      </c>
      <c r="H1184" s="19">
        <f>VLOOKUP(A1184,Metrik!$C$2:$Y$959,8,0)</f>
        <v>7.2</v>
      </c>
      <c r="I1184" s="20">
        <f>VLOOKUP(A1184,Metrik!$C$2:$Y$959,9,0)</f>
        <v>0.89</v>
      </c>
      <c r="J1184" s="20">
        <f>VLOOKUP(A1184,Metrik!$C$2:$Y$959,10,0)</f>
        <v>12.4</v>
      </c>
      <c r="K1184" s="20">
        <f>VLOOKUP(A1184,Metrik!$C$2:$Y$959,11,0)</f>
        <v>5.8</v>
      </c>
      <c r="L1184" s="20">
        <f>VLOOKUP(A1184,Metrik!$C$2:$Y$959,12,0)</f>
        <v>1.1</v>
      </c>
      <c r="M1184" s="20">
        <f>VLOOKUP(A1184,Metrik!$C$2:$Y$959,19,0)</f>
        <v>9.9</v>
      </c>
      <c r="N1184" s="21"/>
      <c r="O1184" s="21"/>
      <c r="P1184" s="21"/>
      <c r="Q1184" s="21"/>
      <c r="R1184" s="21"/>
      <c r="S1184" s="21"/>
      <c r="T1184" s="21"/>
      <c r="U1184" s="22">
        <f>IFERROR(__xludf.DUMMYFUNCTION("IFERROR(GOOGLEFINANCE(A1184,""closeyest""),"""")"),196.0)</f>
        <v>196</v>
      </c>
      <c r="V1184" s="23">
        <f>IFERROR(__xludf.DUMMYFUNCTION("IFERROR(GOOGLEFINANCE(A1184,""changepct""),"""")"),2.04)</f>
        <v>2.04</v>
      </c>
      <c r="W1184" s="22">
        <f>IFERROR(__xludf.DUMMYFUNCTION("IFERROR(GOOGLEFINANCE(A1184,""priceopen""),"""")"),197.0)</f>
        <v>197</v>
      </c>
      <c r="X1184" s="22">
        <f>IFERROR(__xludf.DUMMYFUNCTION("IFERROR(GOOGLEFINANCE(A1184,""high""),"""")"),202.0)</f>
        <v>202</v>
      </c>
      <c r="Y1184" s="22">
        <f>IFERROR(__xludf.DUMMYFUNCTION("IFERROR(GOOGLEFINANCE(A1184,""low""),"""")"),197.0)</f>
        <v>197</v>
      </c>
      <c r="Z1184" s="22">
        <f>IFERROR(__xludf.DUMMYFUNCTION("IFERROR(GOOGLEFINANCE(A1184,""volume""),"""")"),2800100.0)</f>
        <v>2800100</v>
      </c>
      <c r="AA1184" s="24" t="str">
        <f>VLOOKUP(A1184,Metrik!$C$2:$Y$959,5,0)</f>
        <v>Pharmaceuticals</v>
      </c>
      <c r="AB1184" s="24" t="str">
        <f>VLOOKUP(A1184,Metrik!$C$2:$Y$959,3,0)</f>
        <v>Healthcare</v>
      </c>
    </row>
    <row r="1185">
      <c r="A1185" s="14" t="s">
        <v>625</v>
      </c>
      <c r="B1185" s="14" t="str">
        <f t="array" ref="B1185">VLOOKUP(A1185,{Metrik!$C$2:$C$998,Metrik!$B$2:$B$998},2,0)</f>
        <v>Modernland Realty Tbk.</v>
      </c>
      <c r="C1185" s="15">
        <f>IFERROR(__xludf.DUMMYFUNCTION("GOOGLEFINANCE(""IDX:""&amp;A1185,""price"")"),52.0)</f>
        <v>52</v>
      </c>
      <c r="D1185" s="16" t="str">
        <f>IFERROR(__xludf.DUMMYFUNCTION("IF(A1185="""","""",
SPARKLINE(
INDEX(
GOOGLEFINANCE(""IDX:""&amp;A1185,""close"",TODAY()-365,TODAY()),
,2
),
{""linewidth"",1}
))
"),"#N/A")</f>
        <v>#N/A</v>
      </c>
      <c r="E1185" s="26"/>
      <c r="F1185" s="26"/>
      <c r="G1185" s="24">
        <f t="shared" si="8"/>
        <v>0</v>
      </c>
      <c r="H1185" s="19">
        <f>VLOOKUP(A1185,Metrik!$C$2:$Y$959,8,0)</f>
        <v>-0.84</v>
      </c>
      <c r="I1185" s="20">
        <f>VLOOKUP(A1185,Metrik!$C$2:$Y$959,9,0)</f>
        <v>0.18</v>
      </c>
      <c r="J1185" s="20">
        <f>VLOOKUP(A1185,Metrik!$C$2:$Y$959,10,0)</f>
        <v>-21.6</v>
      </c>
      <c r="K1185" s="20">
        <f>VLOOKUP(A1185,Metrik!$C$2:$Y$959,11,0)</f>
        <v>-5.7</v>
      </c>
      <c r="L1185" s="20">
        <f>VLOOKUP(A1185,Metrik!$C$2:$Y$959,12,0)</f>
        <v>2.8</v>
      </c>
      <c r="M1185" s="20">
        <f>VLOOKUP(A1185,Metrik!$C$2:$Y$959,19,0)</f>
        <v>-530</v>
      </c>
      <c r="N1185" s="21"/>
      <c r="O1185" s="21"/>
      <c r="P1185" s="21"/>
      <c r="Q1185" s="21"/>
      <c r="R1185" s="21"/>
      <c r="S1185" s="21"/>
      <c r="T1185" s="21"/>
      <c r="U1185" s="22">
        <f>IFERROR(__xludf.DUMMYFUNCTION("IFERROR(GOOGLEFINANCE(A1185,""closeyest""),"""")"),37.13)</f>
        <v>37.13</v>
      </c>
      <c r="V1185" s="23">
        <f>IFERROR(__xludf.DUMMYFUNCTION("IFERROR(GOOGLEFINANCE(A1185,""changepct""),"""")"),-1.4)</f>
        <v>-1.4</v>
      </c>
      <c r="W1185" s="22">
        <f>IFERROR(__xludf.DUMMYFUNCTION("IFERROR(GOOGLEFINANCE(A1185,""priceopen""),"""")"),35.94)</f>
        <v>35.94</v>
      </c>
      <c r="X1185" s="22">
        <f>IFERROR(__xludf.DUMMYFUNCTION("IFERROR(GOOGLEFINANCE(A1185,""high""),"""")"),36.74)</f>
        <v>36.74</v>
      </c>
      <c r="Y1185" s="22">
        <f>IFERROR(__xludf.DUMMYFUNCTION("IFERROR(GOOGLEFINANCE(A1185,""low""),"""")"),34.95)</f>
        <v>34.95</v>
      </c>
      <c r="Z1185" s="22">
        <f>IFERROR(__xludf.DUMMYFUNCTION("IFERROR(GOOGLEFINANCE(A1185,""volume""),"""")"),1.2484668E7)</f>
        <v>12484668</v>
      </c>
      <c r="AA1185" s="24" t="str">
        <f>VLOOKUP(A1185,Metrik!$C$2:$Y$959,5,0)</f>
        <v>Real Estate Management &amp; Development</v>
      </c>
      <c r="AB1185" s="24" t="str">
        <f>VLOOKUP(A1185,Metrik!$C$2:$Y$959,3,0)</f>
        <v>Properties &amp; Real Estate</v>
      </c>
    </row>
    <row r="1186">
      <c r="A1186" s="14" t="s">
        <v>626</v>
      </c>
      <c r="B1186" s="14" t="str">
        <f t="array" ref="B1186">VLOOKUP(A1186,{Metrik!$C$2:$C$998,Metrik!$B$2:$B$998},2,0)</f>
        <v>Modern Internasional Tbk.</v>
      </c>
      <c r="C1186" s="15">
        <f>IFERROR(__xludf.DUMMYFUNCTION("GOOGLEFINANCE(""IDX:""&amp;A1186,""price"")"),29.0)</f>
        <v>29</v>
      </c>
      <c r="D1186" s="16" t="str">
        <f>IFERROR(__xludf.DUMMYFUNCTION("IF(A1186="""","""",
SPARKLINE(
INDEX(
GOOGLEFINANCE(""IDX:""&amp;A1186,""close"",TODAY()-365,TODAY()),
,2
),
{""linewidth"",1}
))
"),"#N/A")</f>
        <v>#N/A</v>
      </c>
      <c r="E1186" s="26"/>
      <c r="F1186" s="26"/>
      <c r="G1186" s="24">
        <f t="shared" si="8"/>
        <v>0</v>
      </c>
      <c r="H1186" s="19">
        <f>VLOOKUP(A1186,Metrik!$C$2:$Y$959,8,0)</f>
        <v>2.4</v>
      </c>
      <c r="I1186" s="20">
        <f>VLOOKUP(A1186,Metrik!$C$2:$Y$959,9,0)</f>
        <v>-1.2</v>
      </c>
      <c r="J1186" s="20">
        <f>VLOOKUP(A1186,Metrik!$C$2:$Y$959,10,0)</f>
        <v>0</v>
      </c>
      <c r="K1186" s="20">
        <f>VLOOKUP(A1186,Metrik!$C$2:$Y$959,11,0)</f>
        <v>59.1</v>
      </c>
      <c r="L1186" s="20">
        <f>VLOOKUP(A1186,Metrik!$C$2:$Y$959,12,0)</f>
        <v>-1.9</v>
      </c>
      <c r="M1186" s="20">
        <f>VLOOKUP(A1186,Metrik!$C$2:$Y$959,19,0)</f>
        <v>1330</v>
      </c>
      <c r="N1186" s="21"/>
      <c r="O1186" s="21"/>
      <c r="P1186" s="21"/>
      <c r="Q1186" s="21"/>
      <c r="R1186" s="21"/>
      <c r="S1186" s="21"/>
      <c r="T1186" s="21"/>
      <c r="U1186" s="22">
        <f>IFERROR(__xludf.DUMMYFUNCTION("IFERROR(GOOGLEFINANCE(A1186,""closeyest""),"""")"),29.0)</f>
        <v>29</v>
      </c>
      <c r="V1186" s="23">
        <f>IFERROR(__xludf.DUMMYFUNCTION("IFERROR(GOOGLEFINANCE(A1186,""changepct""),"""")"),0.0)</f>
        <v>0</v>
      </c>
      <c r="W1186" s="22">
        <f>IFERROR(__xludf.DUMMYFUNCTION("IFERROR(GOOGLEFINANCE(A1186,""priceopen""),"""")"),28.0)</f>
        <v>28</v>
      </c>
      <c r="X1186" s="22">
        <f>IFERROR(__xludf.DUMMYFUNCTION("IFERROR(GOOGLEFINANCE(A1186,""high""),"""")"),29.0)</f>
        <v>29</v>
      </c>
      <c r="Y1186" s="22">
        <f>IFERROR(__xludf.DUMMYFUNCTION("IFERROR(GOOGLEFINANCE(A1186,""low""),"""")"),28.0)</f>
        <v>28</v>
      </c>
      <c r="Z1186" s="22">
        <f>IFERROR(__xludf.DUMMYFUNCTION("IFERROR(GOOGLEFINANCE(A1186,""volume""),"""")"),2861800.0)</f>
        <v>2861800</v>
      </c>
      <c r="AA1186" s="24" t="str">
        <f>VLOOKUP(A1186,Metrik!$C$2:$Y$959,5,0)</f>
        <v>Commercial Services</v>
      </c>
      <c r="AB1186" s="24" t="str">
        <f>VLOOKUP(A1186,Metrik!$C$2:$Y$959,3,0)</f>
        <v>Industrials</v>
      </c>
    </row>
    <row r="1187">
      <c r="A1187" s="14" t="s">
        <v>627</v>
      </c>
      <c r="B1187" s="14" t="str">
        <f t="array" ref="B1187">VLOOKUP(A1187,{Metrik!$C$2:$C$998,Metrik!$B$2:$B$998},2,0)</f>
        <v>Medco Energi Internasional Tbk.</v>
      </c>
      <c r="C1187" s="15">
        <f>IFERROR(__xludf.DUMMYFUNCTION("GOOGLEFINANCE(""IDX:""&amp;A1187,""price"")"),1225.0)</f>
        <v>1225</v>
      </c>
      <c r="D1187" s="16" t="str">
        <f>IFERROR(__xludf.DUMMYFUNCTION("IF(A1187="""","""",
SPARKLINE(
INDEX(
GOOGLEFINANCE(""IDX:""&amp;A1187,""close"",TODAY()-365,TODAY()),
,2
),
{""linewidth"",1}
))
"),"#N/A")</f>
        <v>#N/A</v>
      </c>
      <c r="E1187" s="14" t="s">
        <v>47</v>
      </c>
      <c r="F1187" s="25">
        <v>46356.0</v>
      </c>
      <c r="G1187" s="24">
        <f t="shared" si="8"/>
        <v>17</v>
      </c>
      <c r="H1187" s="19">
        <f>VLOOKUP(A1187,Metrik!$C$2:$Y$959,8,0)</f>
        <v>11.9</v>
      </c>
      <c r="I1187" s="20">
        <f>VLOOKUP(A1187,Metrik!$C$2:$Y$959,9,0)</f>
        <v>0.74</v>
      </c>
      <c r="J1187" s="20">
        <f>VLOOKUP(A1187,Metrik!$C$2:$Y$959,10,0)</f>
        <v>6.2</v>
      </c>
      <c r="K1187" s="20">
        <f>VLOOKUP(A1187,Metrik!$C$2:$Y$959,11,0)</f>
        <v>1.8</v>
      </c>
      <c r="L1187" s="20">
        <f>VLOOKUP(A1187,Metrik!$C$2:$Y$959,12,0)</f>
        <v>2.4</v>
      </c>
      <c r="M1187" s="20">
        <f>VLOOKUP(A1187,Metrik!$C$2:$Y$959,19,0)</f>
        <v>22.4</v>
      </c>
      <c r="N1187" s="21"/>
      <c r="O1187" s="21"/>
      <c r="P1187" s="21"/>
      <c r="Q1187" s="21"/>
      <c r="R1187" s="21"/>
      <c r="S1187" s="21"/>
      <c r="T1187" s="21"/>
      <c r="U1187" s="22">
        <f>IFERROR(__xludf.DUMMYFUNCTION("IFERROR(GOOGLEFINANCE(A1187,""closeyest""),"""")"),1215.0)</f>
        <v>1215</v>
      </c>
      <c r="V1187" s="23" t="str">
        <f>IFERROR(__xludf.DUMMYFUNCTION("IFERROR(GOOGLEFINANCE(A1187,""changepct""),"""")"),"")</f>
        <v/>
      </c>
      <c r="W1187" s="22">
        <f>IFERROR(__xludf.DUMMYFUNCTION("IFERROR(GOOGLEFINANCE(A1187,""priceopen""),"""")"),1185.0)</f>
        <v>1185</v>
      </c>
      <c r="X1187" s="22">
        <f>IFERROR(__xludf.DUMMYFUNCTION("IFERROR(GOOGLEFINANCE(A1187,""high""),"""")"),1265.0)</f>
        <v>1265</v>
      </c>
      <c r="Y1187" s="22">
        <f>IFERROR(__xludf.DUMMYFUNCTION("IFERROR(GOOGLEFINANCE(A1187,""low""),"""")"),1185.0)</f>
        <v>1185</v>
      </c>
      <c r="Z1187" s="22">
        <f>IFERROR(__xludf.DUMMYFUNCTION("IFERROR(GOOGLEFINANCE(A1187,""volume""),"""")"),9.68519E7)</f>
        <v>96851900</v>
      </c>
      <c r="AA1187" s="24" t="str">
        <f>VLOOKUP(A1187,Metrik!$C$2:$Y$959,5,0)</f>
        <v>Oil &amp; Gas</v>
      </c>
      <c r="AB1187" s="24" t="str">
        <f>VLOOKUP(A1187,Metrik!$C$2:$Y$959,3,0)</f>
        <v>Energy</v>
      </c>
    </row>
    <row r="1188">
      <c r="A1188" s="14" t="s">
        <v>627</v>
      </c>
      <c r="B1188" s="14" t="str">
        <f t="array" ref="B1188">VLOOKUP(A1188,{Metrik!$C$2:$C$998,Metrik!$B$2:$B$998},2,0)</f>
        <v>Medco Energi Internasional Tbk.</v>
      </c>
      <c r="C1188" s="15">
        <f>IFERROR(__xludf.DUMMYFUNCTION("GOOGLEFINANCE(""IDX:""&amp;A1188,""price"")"),1225.0)</f>
        <v>1225</v>
      </c>
      <c r="D1188" s="16" t="str">
        <f>IFERROR(__xludf.DUMMYFUNCTION("IF(A1188="""","""",
SPARKLINE(
INDEX(
GOOGLEFINANCE(""IDX:""&amp;A1188,""close"",TODAY()-365,TODAY()),
,2
),
{""linewidth"",1}
))
"),"#N/A")</f>
        <v>#N/A</v>
      </c>
      <c r="E1188" s="14" t="s">
        <v>65</v>
      </c>
      <c r="F1188" s="25">
        <v>46356.0</v>
      </c>
      <c r="G1188" s="24">
        <f t="shared" si="8"/>
        <v>17</v>
      </c>
      <c r="H1188" s="19">
        <f>VLOOKUP(A1188,Metrik!$C$2:$Y$959,8,0)</f>
        <v>11.9</v>
      </c>
      <c r="I1188" s="20">
        <f>VLOOKUP(A1188,Metrik!$C$2:$Y$959,9,0)</f>
        <v>0.74</v>
      </c>
      <c r="J1188" s="20">
        <f>VLOOKUP(A1188,Metrik!$C$2:$Y$959,10,0)</f>
        <v>6.2</v>
      </c>
      <c r="K1188" s="20">
        <f>VLOOKUP(A1188,Metrik!$C$2:$Y$959,11,0)</f>
        <v>1.8</v>
      </c>
      <c r="L1188" s="20">
        <f>VLOOKUP(A1188,Metrik!$C$2:$Y$959,12,0)</f>
        <v>2.4</v>
      </c>
      <c r="M1188" s="20">
        <f>VLOOKUP(A1188,Metrik!$C$2:$Y$959,19,0)</f>
        <v>22.4</v>
      </c>
      <c r="N1188" s="21"/>
      <c r="O1188" s="21"/>
      <c r="P1188" s="21"/>
      <c r="Q1188" s="21"/>
      <c r="R1188" s="21"/>
      <c r="S1188" s="21"/>
      <c r="T1188" s="21"/>
      <c r="U1188" s="22">
        <f>IFERROR(__xludf.DUMMYFUNCTION("IFERROR(GOOGLEFINANCE(A1188,""closeyest""),"""")"),1215.0)</f>
        <v>1215</v>
      </c>
      <c r="V1188" s="23" t="str">
        <f>IFERROR(__xludf.DUMMYFUNCTION("IFERROR(GOOGLEFINANCE(A1188,""changepct""),"""")"),"")</f>
        <v/>
      </c>
      <c r="W1188" s="22">
        <f>IFERROR(__xludf.DUMMYFUNCTION("IFERROR(GOOGLEFINANCE(A1188,""priceopen""),"""")"),1185.0)</f>
        <v>1185</v>
      </c>
      <c r="X1188" s="22">
        <f>IFERROR(__xludf.DUMMYFUNCTION("IFERROR(GOOGLEFINANCE(A1188,""high""),"""")"),1265.0)</f>
        <v>1265</v>
      </c>
      <c r="Y1188" s="22">
        <f>IFERROR(__xludf.DUMMYFUNCTION("IFERROR(GOOGLEFINANCE(A1188,""low""),"""")"),1185.0)</f>
        <v>1185</v>
      </c>
      <c r="Z1188" s="22">
        <f>IFERROR(__xludf.DUMMYFUNCTION("IFERROR(GOOGLEFINANCE(A1188,""volume""),"""")"),9.68519E7)</f>
        <v>96851900</v>
      </c>
      <c r="AA1188" s="24" t="str">
        <f>VLOOKUP(A1188,Metrik!$C$2:$Y$959,5,0)</f>
        <v>Oil &amp; Gas</v>
      </c>
      <c r="AB1188" s="24" t="str">
        <f>VLOOKUP(A1188,Metrik!$C$2:$Y$959,3,0)</f>
        <v>Energy</v>
      </c>
    </row>
    <row r="1189">
      <c r="A1189" s="14" t="s">
        <v>627</v>
      </c>
      <c r="B1189" s="14" t="str">
        <f t="array" ref="B1189">VLOOKUP(A1189,{Metrik!$C$2:$C$998,Metrik!$B$2:$B$998},2,0)</f>
        <v>Medco Energi Internasional Tbk.</v>
      </c>
      <c r="C1189" s="15">
        <f>IFERROR(__xludf.DUMMYFUNCTION("GOOGLEFINANCE(""IDX:""&amp;A1189,""price"")"),1225.0)</f>
        <v>1225</v>
      </c>
      <c r="D1189" s="16" t="str">
        <f>IFERROR(__xludf.DUMMYFUNCTION("IF(A1189="""","""",
SPARKLINE(
INDEX(
GOOGLEFINANCE(""IDX:""&amp;A1189,""close"",TODAY()-365,TODAY()),
,2
),
{""linewidth"",1}
))
"),"#N/A")</f>
        <v>#N/A</v>
      </c>
      <c r="E1189" s="14" t="s">
        <v>38</v>
      </c>
      <c r="F1189" s="25">
        <v>46356.0</v>
      </c>
      <c r="G1189" s="24">
        <f t="shared" si="8"/>
        <v>17</v>
      </c>
      <c r="H1189" s="19">
        <f>VLOOKUP(A1189,Metrik!$C$2:$Y$959,8,0)</f>
        <v>11.9</v>
      </c>
      <c r="I1189" s="20">
        <f>VLOOKUP(A1189,Metrik!$C$2:$Y$959,9,0)</f>
        <v>0.74</v>
      </c>
      <c r="J1189" s="20">
        <f>VLOOKUP(A1189,Metrik!$C$2:$Y$959,10,0)</f>
        <v>6.2</v>
      </c>
      <c r="K1189" s="20">
        <f>VLOOKUP(A1189,Metrik!$C$2:$Y$959,11,0)</f>
        <v>1.8</v>
      </c>
      <c r="L1189" s="20">
        <f>VLOOKUP(A1189,Metrik!$C$2:$Y$959,12,0)</f>
        <v>2.4</v>
      </c>
      <c r="M1189" s="20">
        <f>VLOOKUP(A1189,Metrik!$C$2:$Y$959,19,0)</f>
        <v>22.4</v>
      </c>
      <c r="N1189" s="21"/>
      <c r="O1189" s="21"/>
      <c r="P1189" s="21"/>
      <c r="Q1189" s="21"/>
      <c r="R1189" s="21"/>
      <c r="S1189" s="21"/>
      <c r="T1189" s="21"/>
      <c r="U1189" s="22">
        <f>IFERROR(__xludf.DUMMYFUNCTION("IFERROR(GOOGLEFINANCE(A1189,""closeyest""),"""")"),1215.0)</f>
        <v>1215</v>
      </c>
      <c r="V1189" s="23" t="str">
        <f>IFERROR(__xludf.DUMMYFUNCTION("IFERROR(GOOGLEFINANCE(A1189,""changepct""),"""")"),"")</f>
        <v/>
      </c>
      <c r="W1189" s="22">
        <f>IFERROR(__xludf.DUMMYFUNCTION("IFERROR(GOOGLEFINANCE(A1189,""priceopen""),"""")"),1185.0)</f>
        <v>1185</v>
      </c>
      <c r="X1189" s="22">
        <f>IFERROR(__xludf.DUMMYFUNCTION("IFERROR(GOOGLEFINANCE(A1189,""high""),"""")"),1265.0)</f>
        <v>1265</v>
      </c>
      <c r="Y1189" s="22">
        <f>IFERROR(__xludf.DUMMYFUNCTION("IFERROR(GOOGLEFINANCE(A1189,""low""),"""")"),1185.0)</f>
        <v>1185</v>
      </c>
      <c r="Z1189" s="22">
        <f>IFERROR(__xludf.DUMMYFUNCTION("IFERROR(GOOGLEFINANCE(A1189,""volume""),"""")"),9.68519E7)</f>
        <v>96851900</v>
      </c>
      <c r="AA1189" s="24" t="str">
        <f>VLOOKUP(A1189,Metrik!$C$2:$Y$959,5,0)</f>
        <v>Oil &amp; Gas</v>
      </c>
      <c r="AB1189" s="24" t="str">
        <f>VLOOKUP(A1189,Metrik!$C$2:$Y$959,3,0)</f>
        <v>Energy</v>
      </c>
    </row>
    <row r="1190">
      <c r="A1190" s="14" t="s">
        <v>627</v>
      </c>
      <c r="B1190" s="14" t="str">
        <f t="array" ref="B1190">VLOOKUP(A1190,{Metrik!$C$2:$C$998,Metrik!$B$2:$B$998},2,0)</f>
        <v>Medco Energi Internasional Tbk.</v>
      </c>
      <c r="C1190" s="15">
        <f>IFERROR(__xludf.DUMMYFUNCTION("GOOGLEFINANCE(""IDX:""&amp;A1190,""price"")"),1225.0)</f>
        <v>1225</v>
      </c>
      <c r="D1190" s="16" t="str">
        <f>IFERROR(__xludf.DUMMYFUNCTION("IF(A1190="""","""",
SPARKLINE(
INDEX(
GOOGLEFINANCE(""IDX:""&amp;A1190,""close"",TODAY()-365,TODAY()),
,2
),
{""linewidth"",1}
))
"),"#N/A")</f>
        <v>#N/A</v>
      </c>
      <c r="E1190" s="14" t="s">
        <v>55</v>
      </c>
      <c r="F1190" s="25">
        <v>46356.0</v>
      </c>
      <c r="G1190" s="24">
        <f t="shared" si="8"/>
        <v>17</v>
      </c>
      <c r="H1190" s="19">
        <f>VLOOKUP(A1190,Metrik!$C$2:$Y$959,8,0)</f>
        <v>11.9</v>
      </c>
      <c r="I1190" s="20">
        <f>VLOOKUP(A1190,Metrik!$C$2:$Y$959,9,0)</f>
        <v>0.74</v>
      </c>
      <c r="J1190" s="20">
        <f>VLOOKUP(A1190,Metrik!$C$2:$Y$959,10,0)</f>
        <v>6.2</v>
      </c>
      <c r="K1190" s="20">
        <f>VLOOKUP(A1190,Metrik!$C$2:$Y$959,11,0)</f>
        <v>1.8</v>
      </c>
      <c r="L1190" s="20">
        <f>VLOOKUP(A1190,Metrik!$C$2:$Y$959,12,0)</f>
        <v>2.4</v>
      </c>
      <c r="M1190" s="20">
        <f>VLOOKUP(A1190,Metrik!$C$2:$Y$959,19,0)</f>
        <v>22.4</v>
      </c>
      <c r="N1190" s="21"/>
      <c r="O1190" s="21"/>
      <c r="P1190" s="21"/>
      <c r="Q1190" s="21"/>
      <c r="R1190" s="21"/>
      <c r="S1190" s="21"/>
      <c r="T1190" s="21"/>
      <c r="U1190" s="22">
        <f>IFERROR(__xludf.DUMMYFUNCTION("IFERROR(GOOGLEFINANCE(A1190,""closeyest""),"""")"),1215.0)</f>
        <v>1215</v>
      </c>
      <c r="V1190" s="23" t="str">
        <f>IFERROR(__xludf.DUMMYFUNCTION("IFERROR(GOOGLEFINANCE(A1190,""changepct""),"""")"),"")</f>
        <v/>
      </c>
      <c r="W1190" s="22">
        <f>IFERROR(__xludf.DUMMYFUNCTION("IFERROR(GOOGLEFINANCE(A1190,""priceopen""),"""")"),1185.0)</f>
        <v>1185</v>
      </c>
      <c r="X1190" s="22">
        <f>IFERROR(__xludf.DUMMYFUNCTION("IFERROR(GOOGLEFINANCE(A1190,""high""),"""")"),1265.0)</f>
        <v>1265</v>
      </c>
      <c r="Y1190" s="22">
        <f>IFERROR(__xludf.DUMMYFUNCTION("IFERROR(GOOGLEFINANCE(A1190,""low""),"""")"),1185.0)</f>
        <v>1185</v>
      </c>
      <c r="Z1190" s="22">
        <f>IFERROR(__xludf.DUMMYFUNCTION("IFERROR(GOOGLEFINANCE(A1190,""volume""),"""")"),9.68519E7)</f>
        <v>96851900</v>
      </c>
      <c r="AA1190" s="24" t="str">
        <f>VLOOKUP(A1190,Metrik!$C$2:$Y$959,5,0)</f>
        <v>Oil &amp; Gas</v>
      </c>
      <c r="AB1190" s="24" t="str">
        <f>VLOOKUP(A1190,Metrik!$C$2:$Y$959,3,0)</f>
        <v>Energy</v>
      </c>
    </row>
    <row r="1191">
      <c r="A1191" s="14" t="s">
        <v>627</v>
      </c>
      <c r="B1191" s="14" t="str">
        <f t="array" ref="B1191">VLOOKUP(A1191,{Metrik!$C$2:$C$998,Metrik!$B$2:$B$998},2,0)</f>
        <v>Medco Energi Internasional Tbk.</v>
      </c>
      <c r="C1191" s="15">
        <f>IFERROR(__xludf.DUMMYFUNCTION("GOOGLEFINANCE(""IDX:""&amp;A1191,""price"")"),1225.0)</f>
        <v>1225</v>
      </c>
      <c r="D1191" s="16" t="str">
        <f>IFERROR(__xludf.DUMMYFUNCTION("IF(A1191="""","""",
SPARKLINE(
INDEX(
GOOGLEFINANCE(""IDX:""&amp;A1191,""close"",TODAY()-365,TODAY()),
,2
),
{""linewidth"",1}
))
"),"#N/A")</f>
        <v>#N/A</v>
      </c>
      <c r="E1191" s="14" t="s">
        <v>68</v>
      </c>
      <c r="F1191" s="14" t="s">
        <v>34</v>
      </c>
      <c r="G1191" s="24">
        <f t="shared" si="8"/>
        <v>17</v>
      </c>
      <c r="H1191" s="19">
        <f>VLOOKUP(A1191,Metrik!$C$2:$Y$959,8,0)</f>
        <v>11.9</v>
      </c>
      <c r="I1191" s="20">
        <f>VLOOKUP(A1191,Metrik!$C$2:$Y$959,9,0)</f>
        <v>0.74</v>
      </c>
      <c r="J1191" s="20">
        <f>VLOOKUP(A1191,Metrik!$C$2:$Y$959,10,0)</f>
        <v>6.2</v>
      </c>
      <c r="K1191" s="20">
        <f>VLOOKUP(A1191,Metrik!$C$2:$Y$959,11,0)</f>
        <v>1.8</v>
      </c>
      <c r="L1191" s="20">
        <f>VLOOKUP(A1191,Metrik!$C$2:$Y$959,12,0)</f>
        <v>2.4</v>
      </c>
      <c r="M1191" s="20">
        <f>VLOOKUP(A1191,Metrik!$C$2:$Y$959,19,0)</f>
        <v>22.4</v>
      </c>
      <c r="N1191" s="21"/>
      <c r="O1191" s="21"/>
      <c r="P1191" s="21"/>
      <c r="Q1191" s="21"/>
      <c r="R1191" s="21"/>
      <c r="S1191" s="21"/>
      <c r="T1191" s="21"/>
      <c r="U1191" s="22">
        <f>IFERROR(__xludf.DUMMYFUNCTION("IFERROR(GOOGLEFINANCE(A1191,""closeyest""),"""")"),1215.0)</f>
        <v>1215</v>
      </c>
      <c r="V1191" s="23" t="str">
        <f>IFERROR(__xludf.DUMMYFUNCTION("IFERROR(GOOGLEFINANCE(A1191,""changepct""),"""")"),"")</f>
        <v/>
      </c>
      <c r="W1191" s="22">
        <f>IFERROR(__xludf.DUMMYFUNCTION("IFERROR(GOOGLEFINANCE(A1191,""priceopen""),"""")"),1185.0)</f>
        <v>1185</v>
      </c>
      <c r="X1191" s="22">
        <f>IFERROR(__xludf.DUMMYFUNCTION("IFERROR(GOOGLEFINANCE(A1191,""high""),"""")"),1265.0)</f>
        <v>1265</v>
      </c>
      <c r="Y1191" s="22">
        <f>IFERROR(__xludf.DUMMYFUNCTION("IFERROR(GOOGLEFINANCE(A1191,""low""),"""")"),1185.0)</f>
        <v>1185</v>
      </c>
      <c r="Z1191" s="22">
        <f>IFERROR(__xludf.DUMMYFUNCTION("IFERROR(GOOGLEFINANCE(A1191,""volume""),"""")"),9.68519E7)</f>
        <v>96851900</v>
      </c>
      <c r="AA1191" s="24" t="str">
        <f>VLOOKUP(A1191,Metrik!$C$2:$Y$959,5,0)</f>
        <v>Oil &amp; Gas</v>
      </c>
      <c r="AB1191" s="24" t="str">
        <f>VLOOKUP(A1191,Metrik!$C$2:$Y$959,3,0)</f>
        <v>Energy</v>
      </c>
    </row>
    <row r="1192">
      <c r="A1192" s="14" t="s">
        <v>627</v>
      </c>
      <c r="B1192" s="14" t="str">
        <f t="array" ref="B1192">VLOOKUP(A1192,{Metrik!$C$2:$C$998,Metrik!$B$2:$B$998},2,0)</f>
        <v>Medco Energi Internasional Tbk.</v>
      </c>
      <c r="C1192" s="15">
        <f>IFERROR(__xludf.DUMMYFUNCTION("GOOGLEFINANCE(""IDX:""&amp;A1192,""price"")"),1225.0)</f>
        <v>1225</v>
      </c>
      <c r="D1192" s="16" t="str">
        <f>IFERROR(__xludf.DUMMYFUNCTION("IF(A1192="""","""",
SPARKLINE(
INDEX(
GOOGLEFINANCE(""IDX:""&amp;A1192,""close"",TODAY()-365,TODAY()),
,2
),
{""linewidth"",1}
))
"),"#N/A")</f>
        <v>#N/A</v>
      </c>
      <c r="E1192" s="14" t="s">
        <v>161</v>
      </c>
      <c r="F1192" s="14" t="s">
        <v>76</v>
      </c>
      <c r="G1192" s="24">
        <f t="shared" si="8"/>
        <v>17</v>
      </c>
      <c r="H1192" s="19">
        <f>VLOOKUP(A1192,Metrik!$C$2:$Y$959,8,0)</f>
        <v>11.9</v>
      </c>
      <c r="I1192" s="20">
        <f>VLOOKUP(A1192,Metrik!$C$2:$Y$959,9,0)</f>
        <v>0.74</v>
      </c>
      <c r="J1192" s="20">
        <f>VLOOKUP(A1192,Metrik!$C$2:$Y$959,10,0)</f>
        <v>6.2</v>
      </c>
      <c r="K1192" s="20">
        <f>VLOOKUP(A1192,Metrik!$C$2:$Y$959,11,0)</f>
        <v>1.8</v>
      </c>
      <c r="L1192" s="20">
        <f>VLOOKUP(A1192,Metrik!$C$2:$Y$959,12,0)</f>
        <v>2.4</v>
      </c>
      <c r="M1192" s="20">
        <f>VLOOKUP(A1192,Metrik!$C$2:$Y$959,19,0)</f>
        <v>22.4</v>
      </c>
      <c r="N1192" s="21"/>
      <c r="O1192" s="21"/>
      <c r="P1192" s="21"/>
      <c r="Q1192" s="21"/>
      <c r="R1192" s="21"/>
      <c r="S1192" s="21"/>
      <c r="T1192" s="21"/>
      <c r="U1192" s="22">
        <f>IFERROR(__xludf.DUMMYFUNCTION("IFERROR(GOOGLEFINANCE(A1192,""closeyest""),"""")"),1215.0)</f>
        <v>1215</v>
      </c>
      <c r="V1192" s="23" t="str">
        <f>IFERROR(__xludf.DUMMYFUNCTION("IFERROR(GOOGLEFINANCE(A1192,""changepct""),"""")"),"")</f>
        <v/>
      </c>
      <c r="W1192" s="22">
        <f>IFERROR(__xludf.DUMMYFUNCTION("IFERROR(GOOGLEFINANCE(A1192,""priceopen""),"""")"),1185.0)</f>
        <v>1185</v>
      </c>
      <c r="X1192" s="22">
        <f>IFERROR(__xludf.DUMMYFUNCTION("IFERROR(GOOGLEFINANCE(A1192,""high""),"""")"),1265.0)</f>
        <v>1265</v>
      </c>
      <c r="Y1192" s="22">
        <f>IFERROR(__xludf.DUMMYFUNCTION("IFERROR(GOOGLEFINANCE(A1192,""low""),"""")"),1185.0)</f>
        <v>1185</v>
      </c>
      <c r="Z1192" s="22">
        <f>IFERROR(__xludf.DUMMYFUNCTION("IFERROR(GOOGLEFINANCE(A1192,""volume""),"""")"),9.68519E7)</f>
        <v>96851900</v>
      </c>
      <c r="AA1192" s="24" t="str">
        <f>VLOOKUP(A1192,Metrik!$C$2:$Y$959,5,0)</f>
        <v>Oil &amp; Gas</v>
      </c>
      <c r="AB1192" s="24" t="str">
        <f>VLOOKUP(A1192,Metrik!$C$2:$Y$959,3,0)</f>
        <v>Energy</v>
      </c>
    </row>
    <row r="1193">
      <c r="A1193" s="14" t="s">
        <v>627</v>
      </c>
      <c r="B1193" s="14" t="str">
        <f t="array" ref="B1193">VLOOKUP(A1193,{Metrik!$C$2:$C$998,Metrik!$B$2:$B$998},2,0)</f>
        <v>Medco Energi Internasional Tbk.</v>
      </c>
      <c r="C1193" s="15">
        <f>IFERROR(__xludf.DUMMYFUNCTION("GOOGLEFINANCE(""IDX:""&amp;A1193,""price"")"),1225.0)</f>
        <v>1225</v>
      </c>
      <c r="D1193" s="16" t="str">
        <f>IFERROR(__xludf.DUMMYFUNCTION("IF(A1193="""","""",
SPARKLINE(
INDEX(
GOOGLEFINANCE(""IDX:""&amp;A1193,""close"",TODAY()-365,TODAY()),
,2
),
{""linewidth"",1}
))
"),"#N/A")</f>
        <v>#N/A</v>
      </c>
      <c r="E1193" s="14" t="s">
        <v>31</v>
      </c>
      <c r="F1193" s="17" t="s">
        <v>29</v>
      </c>
      <c r="G1193" s="24">
        <f t="shared" si="8"/>
        <v>17</v>
      </c>
      <c r="H1193" s="19">
        <f>VLOOKUP(A1193,Metrik!$C$2:$Y$959,8,0)</f>
        <v>11.9</v>
      </c>
      <c r="I1193" s="20">
        <f>VLOOKUP(A1193,Metrik!$C$2:$Y$959,9,0)</f>
        <v>0.74</v>
      </c>
      <c r="J1193" s="20">
        <f>VLOOKUP(A1193,Metrik!$C$2:$Y$959,10,0)</f>
        <v>6.2</v>
      </c>
      <c r="K1193" s="20">
        <f>VLOOKUP(A1193,Metrik!$C$2:$Y$959,11,0)</f>
        <v>1.8</v>
      </c>
      <c r="L1193" s="20">
        <f>VLOOKUP(A1193,Metrik!$C$2:$Y$959,12,0)</f>
        <v>2.4</v>
      </c>
      <c r="M1193" s="20">
        <f>VLOOKUP(A1193,Metrik!$C$2:$Y$959,19,0)</f>
        <v>22.4</v>
      </c>
      <c r="N1193" s="21"/>
      <c r="O1193" s="21"/>
      <c r="P1193" s="21"/>
      <c r="Q1193" s="21"/>
      <c r="R1193" s="21"/>
      <c r="S1193" s="21"/>
      <c r="T1193" s="21"/>
      <c r="U1193" s="22">
        <f>IFERROR(__xludf.DUMMYFUNCTION("IFERROR(GOOGLEFINANCE(A1193,""closeyest""),"""")"),1215.0)</f>
        <v>1215</v>
      </c>
      <c r="V1193" s="23" t="str">
        <f>IFERROR(__xludf.DUMMYFUNCTION("IFERROR(GOOGLEFINANCE(A1193,""changepct""),"""")"),"")</f>
        <v/>
      </c>
      <c r="W1193" s="22">
        <f>IFERROR(__xludf.DUMMYFUNCTION("IFERROR(GOOGLEFINANCE(A1193,""priceopen""),"""")"),1185.0)</f>
        <v>1185</v>
      </c>
      <c r="X1193" s="22">
        <f>IFERROR(__xludf.DUMMYFUNCTION("IFERROR(GOOGLEFINANCE(A1193,""high""),"""")"),1265.0)</f>
        <v>1265</v>
      </c>
      <c r="Y1193" s="22">
        <f>IFERROR(__xludf.DUMMYFUNCTION("IFERROR(GOOGLEFINANCE(A1193,""low""),"""")"),1185.0)</f>
        <v>1185</v>
      </c>
      <c r="Z1193" s="22">
        <f>IFERROR(__xludf.DUMMYFUNCTION("IFERROR(GOOGLEFINANCE(A1193,""volume""),"""")"),9.68519E7)</f>
        <v>96851900</v>
      </c>
      <c r="AA1193" s="24" t="str">
        <f>VLOOKUP(A1193,Metrik!$C$2:$Y$959,5,0)</f>
        <v>Oil &amp; Gas</v>
      </c>
      <c r="AB1193" s="24" t="str">
        <f>VLOOKUP(A1193,Metrik!$C$2:$Y$959,3,0)</f>
        <v>Energy</v>
      </c>
    </row>
    <row r="1194">
      <c r="A1194" s="14" t="s">
        <v>627</v>
      </c>
      <c r="B1194" s="14" t="str">
        <f t="array" ref="B1194">VLOOKUP(A1194,{Metrik!$C$2:$C$998,Metrik!$B$2:$B$998},2,0)</f>
        <v>Medco Energi Internasional Tbk.</v>
      </c>
      <c r="C1194" s="15">
        <f>IFERROR(__xludf.DUMMYFUNCTION("GOOGLEFINANCE(""IDX:""&amp;A1194,""price"")"),1225.0)</f>
        <v>1225</v>
      </c>
      <c r="D1194" s="16" t="str">
        <f>IFERROR(__xludf.DUMMYFUNCTION("IF(A1194="""","""",
SPARKLINE(
INDEX(
GOOGLEFINANCE(""IDX:""&amp;A1194,""close"",TODAY()-365,TODAY()),
,2
),
{""linewidth"",1}
))
"),"#N/A")</f>
        <v>#N/A</v>
      </c>
      <c r="E1194" s="14" t="s">
        <v>28</v>
      </c>
      <c r="F1194" s="17" t="s">
        <v>29</v>
      </c>
      <c r="G1194" s="24">
        <f t="shared" si="8"/>
        <v>17</v>
      </c>
      <c r="H1194" s="19">
        <f>VLOOKUP(A1194,Metrik!$C$2:$Y$959,8,0)</f>
        <v>11.9</v>
      </c>
      <c r="I1194" s="20">
        <f>VLOOKUP(A1194,Metrik!$C$2:$Y$959,9,0)</f>
        <v>0.74</v>
      </c>
      <c r="J1194" s="20">
        <f>VLOOKUP(A1194,Metrik!$C$2:$Y$959,10,0)</f>
        <v>6.2</v>
      </c>
      <c r="K1194" s="20">
        <f>VLOOKUP(A1194,Metrik!$C$2:$Y$959,11,0)</f>
        <v>1.8</v>
      </c>
      <c r="L1194" s="20">
        <f>VLOOKUP(A1194,Metrik!$C$2:$Y$959,12,0)</f>
        <v>2.4</v>
      </c>
      <c r="M1194" s="20">
        <f>VLOOKUP(A1194,Metrik!$C$2:$Y$959,19,0)</f>
        <v>22.4</v>
      </c>
      <c r="N1194" s="21"/>
      <c r="O1194" s="21"/>
      <c r="P1194" s="21"/>
      <c r="Q1194" s="21"/>
      <c r="R1194" s="21"/>
      <c r="S1194" s="21"/>
      <c r="T1194" s="21"/>
      <c r="U1194" s="22">
        <f>IFERROR(__xludf.DUMMYFUNCTION("IFERROR(GOOGLEFINANCE(A1194,""closeyest""),"""")"),1215.0)</f>
        <v>1215</v>
      </c>
      <c r="V1194" s="23" t="str">
        <f>IFERROR(__xludf.DUMMYFUNCTION("IFERROR(GOOGLEFINANCE(A1194,""changepct""),"""")"),"")</f>
        <v/>
      </c>
      <c r="W1194" s="22">
        <f>IFERROR(__xludf.DUMMYFUNCTION("IFERROR(GOOGLEFINANCE(A1194,""priceopen""),"""")"),1185.0)</f>
        <v>1185</v>
      </c>
      <c r="X1194" s="22">
        <f>IFERROR(__xludf.DUMMYFUNCTION("IFERROR(GOOGLEFINANCE(A1194,""high""),"""")"),1265.0)</f>
        <v>1265</v>
      </c>
      <c r="Y1194" s="22">
        <f>IFERROR(__xludf.DUMMYFUNCTION("IFERROR(GOOGLEFINANCE(A1194,""low""),"""")"),1185.0)</f>
        <v>1185</v>
      </c>
      <c r="Z1194" s="22">
        <f>IFERROR(__xludf.DUMMYFUNCTION("IFERROR(GOOGLEFINANCE(A1194,""volume""),"""")"),9.68519E7)</f>
        <v>96851900</v>
      </c>
      <c r="AA1194" s="24" t="str">
        <f>VLOOKUP(A1194,Metrik!$C$2:$Y$959,5,0)</f>
        <v>Oil &amp; Gas</v>
      </c>
      <c r="AB1194" s="24" t="str">
        <f>VLOOKUP(A1194,Metrik!$C$2:$Y$959,3,0)</f>
        <v>Energy</v>
      </c>
    </row>
    <row r="1195">
      <c r="A1195" s="14" t="s">
        <v>627</v>
      </c>
      <c r="B1195" s="14" t="str">
        <f t="array" ref="B1195">VLOOKUP(A1195,{Metrik!$C$2:$C$998,Metrik!$B$2:$B$998},2,0)</f>
        <v>Medco Energi Internasional Tbk.</v>
      </c>
      <c r="C1195" s="15">
        <f>IFERROR(__xludf.DUMMYFUNCTION("GOOGLEFINANCE(""IDX:""&amp;A1195,""price"")"),1225.0)</f>
        <v>1225</v>
      </c>
      <c r="D1195" s="16" t="str">
        <f>IFERROR(__xludf.DUMMYFUNCTION("IF(A1195="""","""",
SPARKLINE(
INDEX(
GOOGLEFINANCE(""IDX:""&amp;A1195,""close"",TODAY()-365,TODAY()),
,2
),
{""linewidth"",1}
))
"),"#N/A")</f>
        <v>#N/A</v>
      </c>
      <c r="E1195" s="14" t="s">
        <v>102</v>
      </c>
      <c r="F1195" s="27" t="s">
        <v>53</v>
      </c>
      <c r="G1195" s="24">
        <f t="shared" si="8"/>
        <v>17</v>
      </c>
      <c r="H1195" s="19">
        <f>VLOOKUP(A1195,Metrik!$C$2:$Y$959,8,0)</f>
        <v>11.9</v>
      </c>
      <c r="I1195" s="20">
        <f>VLOOKUP(A1195,Metrik!$C$2:$Y$959,9,0)</f>
        <v>0.74</v>
      </c>
      <c r="J1195" s="20">
        <f>VLOOKUP(A1195,Metrik!$C$2:$Y$959,10,0)</f>
        <v>6.2</v>
      </c>
      <c r="K1195" s="20">
        <f>VLOOKUP(A1195,Metrik!$C$2:$Y$959,11,0)</f>
        <v>1.8</v>
      </c>
      <c r="L1195" s="20">
        <f>VLOOKUP(A1195,Metrik!$C$2:$Y$959,12,0)</f>
        <v>2.4</v>
      </c>
      <c r="M1195" s="20">
        <f>VLOOKUP(A1195,Metrik!$C$2:$Y$959,19,0)</f>
        <v>22.4</v>
      </c>
      <c r="N1195" s="21"/>
      <c r="O1195" s="21"/>
      <c r="P1195" s="21"/>
      <c r="Q1195" s="21"/>
      <c r="R1195" s="21"/>
      <c r="S1195" s="21"/>
      <c r="T1195" s="21"/>
      <c r="U1195" s="22">
        <f>IFERROR(__xludf.DUMMYFUNCTION("IFERROR(GOOGLEFINANCE(A1195,""closeyest""),"""")"),1215.0)</f>
        <v>1215</v>
      </c>
      <c r="V1195" s="23" t="str">
        <f>IFERROR(__xludf.DUMMYFUNCTION("IFERROR(GOOGLEFINANCE(A1195,""changepct""),"""")"),"")</f>
        <v/>
      </c>
      <c r="W1195" s="22">
        <f>IFERROR(__xludf.DUMMYFUNCTION("IFERROR(GOOGLEFINANCE(A1195,""priceopen""),"""")"),1185.0)</f>
        <v>1185</v>
      </c>
      <c r="X1195" s="22">
        <f>IFERROR(__xludf.DUMMYFUNCTION("IFERROR(GOOGLEFINANCE(A1195,""high""),"""")"),1265.0)</f>
        <v>1265</v>
      </c>
      <c r="Y1195" s="22">
        <f>IFERROR(__xludf.DUMMYFUNCTION("IFERROR(GOOGLEFINANCE(A1195,""low""),"""")"),1185.0)</f>
        <v>1185</v>
      </c>
      <c r="Z1195" s="22">
        <f>IFERROR(__xludf.DUMMYFUNCTION("IFERROR(GOOGLEFINANCE(A1195,""volume""),"""")"),9.68519E7)</f>
        <v>96851900</v>
      </c>
      <c r="AA1195" s="24" t="str">
        <f>VLOOKUP(A1195,Metrik!$C$2:$Y$959,5,0)</f>
        <v>Oil &amp; Gas</v>
      </c>
      <c r="AB1195" s="24" t="str">
        <f>VLOOKUP(A1195,Metrik!$C$2:$Y$959,3,0)</f>
        <v>Energy</v>
      </c>
    </row>
    <row r="1196">
      <c r="A1196" s="14" t="s">
        <v>627</v>
      </c>
      <c r="B1196" s="14" t="str">
        <f t="array" ref="B1196">VLOOKUP(A1196,{Metrik!$C$2:$C$998,Metrik!$B$2:$B$998},2,0)</f>
        <v>Medco Energi Internasional Tbk.</v>
      </c>
      <c r="C1196" s="15">
        <f>IFERROR(__xludf.DUMMYFUNCTION("GOOGLEFINANCE(""IDX:""&amp;A1196,""price"")"),1225.0)</f>
        <v>1225</v>
      </c>
      <c r="D1196" s="16" t="str">
        <f>IFERROR(__xludf.DUMMYFUNCTION("IF(A1196="""","""",
SPARKLINE(
INDEX(
GOOGLEFINANCE(""IDX:""&amp;A1196,""close"",TODAY()-365,TODAY()),
,2
),
{""linewidth"",1}
))
"),"#N/A")</f>
        <v>#N/A</v>
      </c>
      <c r="E1196" s="14" t="s">
        <v>85</v>
      </c>
      <c r="F1196" s="17" t="s">
        <v>51</v>
      </c>
      <c r="G1196" s="24">
        <f t="shared" si="8"/>
        <v>17</v>
      </c>
      <c r="H1196" s="19">
        <f>VLOOKUP(A1196,Metrik!$C$2:$Y$959,8,0)</f>
        <v>11.9</v>
      </c>
      <c r="I1196" s="20">
        <f>VLOOKUP(A1196,Metrik!$C$2:$Y$959,9,0)</f>
        <v>0.74</v>
      </c>
      <c r="J1196" s="20">
        <f>VLOOKUP(A1196,Metrik!$C$2:$Y$959,10,0)</f>
        <v>6.2</v>
      </c>
      <c r="K1196" s="20">
        <f>VLOOKUP(A1196,Metrik!$C$2:$Y$959,11,0)</f>
        <v>1.8</v>
      </c>
      <c r="L1196" s="20">
        <f>VLOOKUP(A1196,Metrik!$C$2:$Y$959,12,0)</f>
        <v>2.4</v>
      </c>
      <c r="M1196" s="20">
        <f>VLOOKUP(A1196,Metrik!$C$2:$Y$959,19,0)</f>
        <v>22.4</v>
      </c>
      <c r="N1196" s="21"/>
      <c r="O1196" s="21"/>
      <c r="P1196" s="21"/>
      <c r="Q1196" s="21"/>
      <c r="R1196" s="21"/>
      <c r="S1196" s="21"/>
      <c r="T1196" s="21"/>
      <c r="U1196" s="22">
        <f>IFERROR(__xludf.DUMMYFUNCTION("IFERROR(GOOGLEFINANCE(A1196,""closeyest""),"""")"),1215.0)</f>
        <v>1215</v>
      </c>
      <c r="V1196" s="23" t="str">
        <f>IFERROR(__xludf.DUMMYFUNCTION("IFERROR(GOOGLEFINANCE(A1196,""changepct""),"""")"),"")</f>
        <v/>
      </c>
      <c r="W1196" s="22">
        <f>IFERROR(__xludf.DUMMYFUNCTION("IFERROR(GOOGLEFINANCE(A1196,""priceopen""),"""")"),1185.0)</f>
        <v>1185</v>
      </c>
      <c r="X1196" s="22">
        <f>IFERROR(__xludf.DUMMYFUNCTION("IFERROR(GOOGLEFINANCE(A1196,""high""),"""")"),1265.0)</f>
        <v>1265</v>
      </c>
      <c r="Y1196" s="22">
        <f>IFERROR(__xludf.DUMMYFUNCTION("IFERROR(GOOGLEFINANCE(A1196,""low""),"""")"),1185.0)</f>
        <v>1185</v>
      </c>
      <c r="Z1196" s="22">
        <f>IFERROR(__xludf.DUMMYFUNCTION("IFERROR(GOOGLEFINANCE(A1196,""volume""),"""")"),9.68519E7)</f>
        <v>96851900</v>
      </c>
      <c r="AA1196" s="24" t="str">
        <f>VLOOKUP(A1196,Metrik!$C$2:$Y$959,5,0)</f>
        <v>Oil &amp; Gas</v>
      </c>
      <c r="AB1196" s="24" t="str">
        <f>VLOOKUP(A1196,Metrik!$C$2:$Y$959,3,0)</f>
        <v>Energy</v>
      </c>
    </row>
    <row r="1197">
      <c r="A1197" s="14" t="s">
        <v>627</v>
      </c>
      <c r="B1197" s="14" t="str">
        <f t="array" ref="B1197">VLOOKUP(A1197,{Metrik!$C$2:$C$998,Metrik!$B$2:$B$998},2,0)</f>
        <v>Medco Energi Internasional Tbk.</v>
      </c>
      <c r="C1197" s="15">
        <f>IFERROR(__xludf.DUMMYFUNCTION("GOOGLEFINANCE(""IDX:""&amp;A1197,""price"")"),1225.0)</f>
        <v>1225</v>
      </c>
      <c r="D1197" s="16" t="str">
        <f>IFERROR(__xludf.DUMMYFUNCTION("IF(A1197="""","""",
SPARKLINE(
INDEX(
GOOGLEFINANCE(""IDX:""&amp;A1197,""close"",TODAY()-365,TODAY()),
,2
),
{""linewidth"",1}
))
"),"#N/A")</f>
        <v>#N/A</v>
      </c>
      <c r="E1197" s="14" t="s">
        <v>30</v>
      </c>
      <c r="F1197" s="17" t="s">
        <v>29</v>
      </c>
      <c r="G1197" s="24">
        <f t="shared" si="8"/>
        <v>17</v>
      </c>
      <c r="H1197" s="19">
        <f>VLOOKUP(A1197,Metrik!$C$2:$Y$959,8,0)</f>
        <v>11.9</v>
      </c>
      <c r="I1197" s="20">
        <f>VLOOKUP(A1197,Metrik!$C$2:$Y$959,9,0)</f>
        <v>0.74</v>
      </c>
      <c r="J1197" s="20">
        <f>VLOOKUP(A1197,Metrik!$C$2:$Y$959,10,0)</f>
        <v>6.2</v>
      </c>
      <c r="K1197" s="20">
        <f>VLOOKUP(A1197,Metrik!$C$2:$Y$959,11,0)</f>
        <v>1.8</v>
      </c>
      <c r="L1197" s="20">
        <f>VLOOKUP(A1197,Metrik!$C$2:$Y$959,12,0)</f>
        <v>2.4</v>
      </c>
      <c r="M1197" s="20">
        <f>VLOOKUP(A1197,Metrik!$C$2:$Y$959,19,0)</f>
        <v>22.4</v>
      </c>
      <c r="N1197" s="21"/>
      <c r="O1197" s="21"/>
      <c r="P1197" s="21"/>
      <c r="Q1197" s="21"/>
      <c r="R1197" s="21"/>
      <c r="S1197" s="21"/>
      <c r="T1197" s="21"/>
      <c r="U1197" s="22">
        <f>IFERROR(__xludf.DUMMYFUNCTION("IFERROR(GOOGLEFINANCE(A1197,""closeyest""),"""")"),1215.0)</f>
        <v>1215</v>
      </c>
      <c r="V1197" s="23" t="str">
        <f>IFERROR(__xludf.DUMMYFUNCTION("IFERROR(GOOGLEFINANCE(A1197,""changepct""),"""")"),"")</f>
        <v/>
      </c>
      <c r="W1197" s="22">
        <f>IFERROR(__xludf.DUMMYFUNCTION("IFERROR(GOOGLEFINANCE(A1197,""priceopen""),"""")"),1185.0)</f>
        <v>1185</v>
      </c>
      <c r="X1197" s="22">
        <f>IFERROR(__xludf.DUMMYFUNCTION("IFERROR(GOOGLEFINANCE(A1197,""high""),"""")"),1265.0)</f>
        <v>1265</v>
      </c>
      <c r="Y1197" s="22">
        <f>IFERROR(__xludf.DUMMYFUNCTION("IFERROR(GOOGLEFINANCE(A1197,""low""),"""")"),1185.0)</f>
        <v>1185</v>
      </c>
      <c r="Z1197" s="22">
        <f>IFERROR(__xludf.DUMMYFUNCTION("IFERROR(GOOGLEFINANCE(A1197,""volume""),"""")"),9.68519E7)</f>
        <v>96851900</v>
      </c>
      <c r="AA1197" s="24" t="str">
        <f>VLOOKUP(A1197,Metrik!$C$2:$Y$959,5,0)</f>
        <v>Oil &amp; Gas</v>
      </c>
      <c r="AB1197" s="24" t="str">
        <f>VLOOKUP(A1197,Metrik!$C$2:$Y$959,3,0)</f>
        <v>Energy</v>
      </c>
    </row>
    <row r="1198">
      <c r="A1198" s="14" t="s">
        <v>627</v>
      </c>
      <c r="B1198" s="14" t="str">
        <f t="array" ref="B1198">VLOOKUP(A1198,{Metrik!$C$2:$C$998,Metrik!$B$2:$B$998},2,0)</f>
        <v>Medco Energi Internasional Tbk.</v>
      </c>
      <c r="C1198" s="15">
        <f>IFERROR(__xludf.DUMMYFUNCTION("GOOGLEFINANCE(""IDX:""&amp;A1198,""price"")"),1225.0)</f>
        <v>1225</v>
      </c>
      <c r="D1198" s="16" t="str">
        <f>IFERROR(__xludf.DUMMYFUNCTION("IF(A1198="""","""",
SPARKLINE(
INDEX(
GOOGLEFINANCE(""IDX:""&amp;A1198,""close"",TODAY()-365,TODAY()),
,2
),
{""linewidth"",1}
))
"),"#N/A")</f>
        <v>#N/A</v>
      </c>
      <c r="E1198" s="14" t="s">
        <v>32</v>
      </c>
      <c r="F1198" s="14" t="s">
        <v>29</v>
      </c>
      <c r="G1198" s="24">
        <f t="shared" si="8"/>
        <v>17</v>
      </c>
      <c r="H1198" s="19">
        <f>VLOOKUP(A1198,Metrik!$C$2:$Y$959,8,0)</f>
        <v>11.9</v>
      </c>
      <c r="I1198" s="20">
        <f>VLOOKUP(A1198,Metrik!$C$2:$Y$959,9,0)</f>
        <v>0.74</v>
      </c>
      <c r="J1198" s="20">
        <f>VLOOKUP(A1198,Metrik!$C$2:$Y$959,10,0)</f>
        <v>6.2</v>
      </c>
      <c r="K1198" s="20">
        <f>VLOOKUP(A1198,Metrik!$C$2:$Y$959,11,0)</f>
        <v>1.8</v>
      </c>
      <c r="L1198" s="20">
        <f>VLOOKUP(A1198,Metrik!$C$2:$Y$959,12,0)</f>
        <v>2.4</v>
      </c>
      <c r="M1198" s="20">
        <f>VLOOKUP(A1198,Metrik!$C$2:$Y$959,19,0)</f>
        <v>22.4</v>
      </c>
      <c r="N1198" s="21"/>
      <c r="O1198" s="21"/>
      <c r="P1198" s="21"/>
      <c r="Q1198" s="21"/>
      <c r="R1198" s="21"/>
      <c r="S1198" s="21"/>
      <c r="T1198" s="21"/>
      <c r="U1198" s="22">
        <f>IFERROR(__xludf.DUMMYFUNCTION("IFERROR(GOOGLEFINANCE(A1198,""closeyest""),"""")"),1215.0)</f>
        <v>1215</v>
      </c>
      <c r="V1198" s="23" t="str">
        <f>IFERROR(__xludf.DUMMYFUNCTION("IFERROR(GOOGLEFINANCE(A1198,""changepct""),"""")"),"")</f>
        <v/>
      </c>
      <c r="W1198" s="22">
        <f>IFERROR(__xludf.DUMMYFUNCTION("IFERROR(GOOGLEFINANCE(A1198,""priceopen""),"""")"),1185.0)</f>
        <v>1185</v>
      </c>
      <c r="X1198" s="22">
        <f>IFERROR(__xludf.DUMMYFUNCTION("IFERROR(GOOGLEFINANCE(A1198,""high""),"""")"),1265.0)</f>
        <v>1265</v>
      </c>
      <c r="Y1198" s="22">
        <f>IFERROR(__xludf.DUMMYFUNCTION("IFERROR(GOOGLEFINANCE(A1198,""low""),"""")"),1185.0)</f>
        <v>1185</v>
      </c>
      <c r="Z1198" s="22">
        <f>IFERROR(__xludf.DUMMYFUNCTION("IFERROR(GOOGLEFINANCE(A1198,""volume""),"""")"),9.68519E7)</f>
        <v>96851900</v>
      </c>
      <c r="AA1198" s="24" t="str">
        <f>VLOOKUP(A1198,Metrik!$C$2:$Y$959,5,0)</f>
        <v>Oil &amp; Gas</v>
      </c>
      <c r="AB1198" s="24" t="str">
        <f>VLOOKUP(A1198,Metrik!$C$2:$Y$959,3,0)</f>
        <v>Energy</v>
      </c>
    </row>
    <row r="1199">
      <c r="A1199" s="14" t="s">
        <v>627</v>
      </c>
      <c r="B1199" s="14" t="str">
        <f t="array" ref="B1199">VLOOKUP(A1199,{Metrik!$C$2:$C$998,Metrik!$B$2:$B$998},2,0)</f>
        <v>Medco Energi Internasional Tbk.</v>
      </c>
      <c r="C1199" s="15">
        <f>IFERROR(__xludf.DUMMYFUNCTION("GOOGLEFINANCE(""IDX:""&amp;A1199,""price"")"),1225.0)</f>
        <v>1225</v>
      </c>
      <c r="D1199" s="16" t="str">
        <f>IFERROR(__xludf.DUMMYFUNCTION("IF(A1199="""","""",
SPARKLINE(
INDEX(
GOOGLEFINANCE(""IDX:""&amp;A1199,""close"",TODAY()-365,TODAY()),
,2
),
{""linewidth"",1}
))
"),"#N/A")</f>
        <v>#N/A</v>
      </c>
      <c r="E1199" s="14" t="s">
        <v>67</v>
      </c>
      <c r="F1199" s="17" t="s">
        <v>51</v>
      </c>
      <c r="G1199" s="24">
        <f t="shared" si="8"/>
        <v>17</v>
      </c>
      <c r="H1199" s="19">
        <f>VLOOKUP(A1199,Metrik!$C$2:$Y$959,8,0)</f>
        <v>11.9</v>
      </c>
      <c r="I1199" s="20">
        <f>VLOOKUP(A1199,Metrik!$C$2:$Y$959,9,0)</f>
        <v>0.74</v>
      </c>
      <c r="J1199" s="20">
        <f>VLOOKUP(A1199,Metrik!$C$2:$Y$959,10,0)</f>
        <v>6.2</v>
      </c>
      <c r="K1199" s="20">
        <f>VLOOKUP(A1199,Metrik!$C$2:$Y$959,11,0)</f>
        <v>1.8</v>
      </c>
      <c r="L1199" s="20">
        <f>VLOOKUP(A1199,Metrik!$C$2:$Y$959,12,0)</f>
        <v>2.4</v>
      </c>
      <c r="M1199" s="20">
        <f>VLOOKUP(A1199,Metrik!$C$2:$Y$959,19,0)</f>
        <v>22.4</v>
      </c>
      <c r="N1199" s="21"/>
      <c r="O1199" s="21"/>
      <c r="P1199" s="21"/>
      <c r="Q1199" s="21"/>
      <c r="R1199" s="21"/>
      <c r="S1199" s="21"/>
      <c r="T1199" s="21"/>
      <c r="U1199" s="22">
        <f>IFERROR(__xludf.DUMMYFUNCTION("IFERROR(GOOGLEFINANCE(A1199,""closeyest""),"""")"),1215.0)</f>
        <v>1215</v>
      </c>
      <c r="V1199" s="23" t="str">
        <f>IFERROR(__xludf.DUMMYFUNCTION("IFERROR(GOOGLEFINANCE(A1199,""changepct""),"""")"),"")</f>
        <v/>
      </c>
      <c r="W1199" s="22">
        <f>IFERROR(__xludf.DUMMYFUNCTION("IFERROR(GOOGLEFINANCE(A1199,""priceopen""),"""")"),1185.0)</f>
        <v>1185</v>
      </c>
      <c r="X1199" s="22">
        <f>IFERROR(__xludf.DUMMYFUNCTION("IFERROR(GOOGLEFINANCE(A1199,""high""),"""")"),1265.0)</f>
        <v>1265</v>
      </c>
      <c r="Y1199" s="22">
        <f>IFERROR(__xludf.DUMMYFUNCTION("IFERROR(GOOGLEFINANCE(A1199,""low""),"""")"),1185.0)</f>
        <v>1185</v>
      </c>
      <c r="Z1199" s="22">
        <f>IFERROR(__xludf.DUMMYFUNCTION("IFERROR(GOOGLEFINANCE(A1199,""volume""),"""")"),9.68519E7)</f>
        <v>96851900</v>
      </c>
      <c r="AA1199" s="24" t="str">
        <f>VLOOKUP(A1199,Metrik!$C$2:$Y$959,5,0)</f>
        <v>Oil &amp; Gas</v>
      </c>
      <c r="AB1199" s="24" t="str">
        <f>VLOOKUP(A1199,Metrik!$C$2:$Y$959,3,0)</f>
        <v>Energy</v>
      </c>
    </row>
    <row r="1200">
      <c r="A1200" s="14" t="s">
        <v>627</v>
      </c>
      <c r="B1200" s="14" t="str">
        <f t="array" ref="B1200">VLOOKUP(A1200,{Metrik!$C$2:$C$998,Metrik!$B$2:$B$998},2,0)</f>
        <v>Medco Energi Internasional Tbk.</v>
      </c>
      <c r="C1200" s="15">
        <f>IFERROR(__xludf.DUMMYFUNCTION("GOOGLEFINANCE(""IDX:""&amp;A1200,""price"")"),1225.0)</f>
        <v>1225</v>
      </c>
      <c r="D1200" s="16" t="str">
        <f>IFERROR(__xludf.DUMMYFUNCTION("IF(A1200="""","""",
SPARKLINE(
INDEX(
GOOGLEFINANCE(""IDX:""&amp;A1200,""close"",TODAY()-365,TODAY()),
,2
),
{""linewidth"",1}
))
"),"#N/A")</f>
        <v>#N/A</v>
      </c>
      <c r="E1200" s="14" t="s">
        <v>33</v>
      </c>
      <c r="F1200" s="14" t="s">
        <v>34</v>
      </c>
      <c r="G1200" s="24">
        <f t="shared" si="8"/>
        <v>17</v>
      </c>
      <c r="H1200" s="19">
        <f>VLOOKUP(A1200,Metrik!$C$2:$Y$959,8,0)</f>
        <v>11.9</v>
      </c>
      <c r="I1200" s="20">
        <f>VLOOKUP(A1200,Metrik!$C$2:$Y$959,9,0)</f>
        <v>0.74</v>
      </c>
      <c r="J1200" s="20">
        <f>VLOOKUP(A1200,Metrik!$C$2:$Y$959,10,0)</f>
        <v>6.2</v>
      </c>
      <c r="K1200" s="20">
        <f>VLOOKUP(A1200,Metrik!$C$2:$Y$959,11,0)</f>
        <v>1.8</v>
      </c>
      <c r="L1200" s="20">
        <f>VLOOKUP(A1200,Metrik!$C$2:$Y$959,12,0)</f>
        <v>2.4</v>
      </c>
      <c r="M1200" s="20">
        <f>VLOOKUP(A1200,Metrik!$C$2:$Y$959,19,0)</f>
        <v>22.4</v>
      </c>
      <c r="N1200" s="21"/>
      <c r="O1200" s="21"/>
      <c r="P1200" s="21"/>
      <c r="Q1200" s="21"/>
      <c r="R1200" s="21"/>
      <c r="S1200" s="21"/>
      <c r="T1200" s="21"/>
      <c r="U1200" s="22">
        <f>IFERROR(__xludf.DUMMYFUNCTION("IFERROR(GOOGLEFINANCE(A1200,""closeyest""),"""")"),1215.0)</f>
        <v>1215</v>
      </c>
      <c r="V1200" s="23" t="str">
        <f>IFERROR(__xludf.DUMMYFUNCTION("IFERROR(GOOGLEFINANCE(A1200,""changepct""),"""")"),"")</f>
        <v/>
      </c>
      <c r="W1200" s="22">
        <f>IFERROR(__xludf.DUMMYFUNCTION("IFERROR(GOOGLEFINANCE(A1200,""priceopen""),"""")"),1185.0)</f>
        <v>1185</v>
      </c>
      <c r="X1200" s="22">
        <f>IFERROR(__xludf.DUMMYFUNCTION("IFERROR(GOOGLEFINANCE(A1200,""high""),"""")"),1265.0)</f>
        <v>1265</v>
      </c>
      <c r="Y1200" s="22">
        <f>IFERROR(__xludf.DUMMYFUNCTION("IFERROR(GOOGLEFINANCE(A1200,""low""),"""")"),1185.0)</f>
        <v>1185</v>
      </c>
      <c r="Z1200" s="22">
        <f>IFERROR(__xludf.DUMMYFUNCTION("IFERROR(GOOGLEFINANCE(A1200,""volume""),"""")"),9.68519E7)</f>
        <v>96851900</v>
      </c>
      <c r="AA1200" s="24" t="str">
        <f>VLOOKUP(A1200,Metrik!$C$2:$Y$959,5,0)</f>
        <v>Oil &amp; Gas</v>
      </c>
      <c r="AB1200" s="24" t="str">
        <f>VLOOKUP(A1200,Metrik!$C$2:$Y$959,3,0)</f>
        <v>Energy</v>
      </c>
    </row>
    <row r="1201">
      <c r="A1201" s="14" t="s">
        <v>627</v>
      </c>
      <c r="B1201" s="14" t="str">
        <f t="array" ref="B1201">VLOOKUP(A1201,{Metrik!$C$2:$C$998,Metrik!$B$2:$B$998},2,0)</f>
        <v>Medco Energi Internasional Tbk.</v>
      </c>
      <c r="C1201" s="15">
        <f>IFERROR(__xludf.DUMMYFUNCTION("GOOGLEFINANCE(""IDX:""&amp;A1201,""price"")"),1225.0)</f>
        <v>1225</v>
      </c>
      <c r="D1201" s="16" t="str">
        <f>IFERROR(__xludf.DUMMYFUNCTION("IF(A1201="""","""",
SPARKLINE(
INDEX(
GOOGLEFINANCE(""IDX:""&amp;A1201,""close"",TODAY()-365,TODAY()),
,2
),
{""linewidth"",1}
))
"),"#N/A")</f>
        <v>#N/A</v>
      </c>
      <c r="E1201" s="14" t="s">
        <v>41</v>
      </c>
      <c r="F1201" s="14" t="s">
        <v>34</v>
      </c>
      <c r="G1201" s="24">
        <f t="shared" si="8"/>
        <v>17</v>
      </c>
      <c r="H1201" s="19">
        <f>VLOOKUP(A1201,Metrik!$C$2:$Y$959,8,0)</f>
        <v>11.9</v>
      </c>
      <c r="I1201" s="20">
        <f>VLOOKUP(A1201,Metrik!$C$2:$Y$959,9,0)</f>
        <v>0.74</v>
      </c>
      <c r="J1201" s="20">
        <f>VLOOKUP(A1201,Metrik!$C$2:$Y$959,10,0)</f>
        <v>6.2</v>
      </c>
      <c r="K1201" s="20">
        <f>VLOOKUP(A1201,Metrik!$C$2:$Y$959,11,0)</f>
        <v>1.8</v>
      </c>
      <c r="L1201" s="20">
        <f>VLOOKUP(A1201,Metrik!$C$2:$Y$959,12,0)</f>
        <v>2.4</v>
      </c>
      <c r="M1201" s="20">
        <f>VLOOKUP(A1201,Metrik!$C$2:$Y$959,19,0)</f>
        <v>22.4</v>
      </c>
      <c r="N1201" s="21"/>
      <c r="O1201" s="21"/>
      <c r="P1201" s="21"/>
      <c r="Q1201" s="21"/>
      <c r="R1201" s="21"/>
      <c r="S1201" s="21"/>
      <c r="T1201" s="21"/>
      <c r="U1201" s="22">
        <f>IFERROR(__xludf.DUMMYFUNCTION("IFERROR(GOOGLEFINANCE(A1201,""closeyest""),"""")"),1215.0)</f>
        <v>1215</v>
      </c>
      <c r="V1201" s="23" t="str">
        <f>IFERROR(__xludf.DUMMYFUNCTION("IFERROR(GOOGLEFINANCE(A1201,""changepct""),"""")"),"")</f>
        <v/>
      </c>
      <c r="W1201" s="22">
        <f>IFERROR(__xludf.DUMMYFUNCTION("IFERROR(GOOGLEFINANCE(A1201,""priceopen""),"""")"),1185.0)</f>
        <v>1185</v>
      </c>
      <c r="X1201" s="22">
        <f>IFERROR(__xludf.DUMMYFUNCTION("IFERROR(GOOGLEFINANCE(A1201,""high""),"""")"),1265.0)</f>
        <v>1265</v>
      </c>
      <c r="Y1201" s="22">
        <f>IFERROR(__xludf.DUMMYFUNCTION("IFERROR(GOOGLEFINANCE(A1201,""low""),"""")"),1185.0)</f>
        <v>1185</v>
      </c>
      <c r="Z1201" s="22">
        <f>IFERROR(__xludf.DUMMYFUNCTION("IFERROR(GOOGLEFINANCE(A1201,""volume""),"""")"),9.68519E7)</f>
        <v>96851900</v>
      </c>
      <c r="AA1201" s="24" t="str">
        <f>VLOOKUP(A1201,Metrik!$C$2:$Y$959,5,0)</f>
        <v>Oil &amp; Gas</v>
      </c>
      <c r="AB1201" s="24" t="str">
        <f>VLOOKUP(A1201,Metrik!$C$2:$Y$959,3,0)</f>
        <v>Energy</v>
      </c>
    </row>
    <row r="1202">
      <c r="A1202" s="17" t="s">
        <v>627</v>
      </c>
      <c r="B1202" s="14" t="str">
        <f t="array" ref="B1202">VLOOKUP(A1202,{Metrik!$C$2:$C$998,Metrik!$B$2:$B$998},2,0)</f>
        <v>Medco Energi Internasional Tbk.</v>
      </c>
      <c r="C1202" s="15">
        <f>IFERROR(__xludf.DUMMYFUNCTION("GOOGLEFINANCE(""IDX:""&amp;A1202,""price"")"),1225.0)</f>
        <v>1225</v>
      </c>
      <c r="D1202" s="16" t="str">
        <f>IFERROR(__xludf.DUMMYFUNCTION("IF(A1202="""","""",
SPARKLINE(
INDEX(
GOOGLEFINANCE(""IDX:""&amp;A1202,""close"",TODAY()-365,TODAY()),
,2
),
{""linewidth"",1}
))
"),"#N/A")</f>
        <v>#N/A</v>
      </c>
      <c r="E1202" s="14" t="s">
        <v>35</v>
      </c>
      <c r="F1202" s="17" t="s">
        <v>36</v>
      </c>
      <c r="G1202" s="38">
        <f t="shared" si="8"/>
        <v>17</v>
      </c>
      <c r="H1202" s="34">
        <f>VLOOKUP(A1202,Metrik!$C$2:$Y$959,8,0)</f>
        <v>11.9</v>
      </c>
      <c r="I1202" s="34">
        <f>VLOOKUP(A1202,Metrik!$C$2:$Y$959,9,0)</f>
        <v>0.74</v>
      </c>
      <c r="J1202" s="34">
        <f>VLOOKUP(A1202,Metrik!$C$2:$Y$959,10,0)</f>
        <v>6.2</v>
      </c>
      <c r="K1202" s="34">
        <f>VLOOKUP(A1202,Metrik!$C$2:$Y$959,11,0)</f>
        <v>1.8</v>
      </c>
      <c r="L1202" s="34">
        <f>VLOOKUP(A1202,Metrik!$C$2:$Y$959,12,0)</f>
        <v>2.4</v>
      </c>
      <c r="M1202" s="34">
        <f>VLOOKUP(A1202,Metrik!$C$2:$Y$959,19,0)</f>
        <v>22.4</v>
      </c>
      <c r="N1202" s="26"/>
      <c r="O1202" s="26"/>
      <c r="P1202" s="26"/>
      <c r="Q1202" s="26"/>
      <c r="R1202" s="26"/>
      <c r="S1202" s="26"/>
      <c r="T1202" s="26"/>
      <c r="U1202" s="35">
        <f>IFERROR(__xludf.DUMMYFUNCTION("IFERROR(GOOGLEFINANCE(A1202,""closeyest""),"""")"),1215.0)</f>
        <v>1215</v>
      </c>
      <c r="V1202" s="36" t="str">
        <f>IFERROR(__xludf.DUMMYFUNCTION("IFERROR(GOOGLEFINANCE(A1202,""changepct""),"""")"),"")</f>
        <v/>
      </c>
      <c r="W1202" s="35">
        <f>IFERROR(__xludf.DUMMYFUNCTION("IFERROR(GOOGLEFINANCE(A1202,""priceopen""),"""")"),1185.0)</f>
        <v>1185</v>
      </c>
      <c r="X1202" s="35">
        <f>IFERROR(__xludf.DUMMYFUNCTION("IFERROR(GOOGLEFINANCE(A1202,""high""),"""")"),1265.0)</f>
        <v>1265</v>
      </c>
      <c r="Y1202" s="35">
        <f>IFERROR(__xludf.DUMMYFUNCTION("IFERROR(GOOGLEFINANCE(A1202,""low""),"""")"),1185.0)</f>
        <v>1185</v>
      </c>
      <c r="Z1202" s="35">
        <f>IFERROR(__xludf.DUMMYFUNCTION("IFERROR(GOOGLEFINANCE(A1202,""volume""),"""")"),9.68519E7)</f>
        <v>96851900</v>
      </c>
      <c r="AA1202" s="14" t="str">
        <f>VLOOKUP(A1202,Metrik!$C$2:$Y$959,5,0)</f>
        <v>Oil &amp; Gas</v>
      </c>
      <c r="AB1202" s="14" t="str">
        <f>VLOOKUP(A1202,Metrik!$C$2:$Y$959,3,0)</f>
        <v>Energy</v>
      </c>
    </row>
    <row r="1203">
      <c r="A1203" s="14" t="s">
        <v>627</v>
      </c>
      <c r="B1203" s="14" t="str">
        <f t="array" ref="B1203">VLOOKUP(A1203,{Metrik!$C$2:$C$998,Metrik!$B$2:$B$998},2,0)</f>
        <v>Medco Energi Internasional Tbk.</v>
      </c>
      <c r="C1203" s="15">
        <f>IFERROR(__xludf.DUMMYFUNCTION("GOOGLEFINANCE(""IDX:""&amp;A1203,""price"")"),1225.0)</f>
        <v>1225</v>
      </c>
      <c r="D1203" s="16" t="str">
        <f>IFERROR(__xludf.DUMMYFUNCTION("IF(A1203="""","""",
SPARKLINE(
INDEX(
GOOGLEFINANCE(""IDX:""&amp;A1203,""close"",TODAY()-365,TODAY()),
,2
),
{""linewidth"",1}
))
"),"#N/A")</f>
        <v>#N/A</v>
      </c>
      <c r="E1203" s="14" t="s">
        <v>39</v>
      </c>
      <c r="F1203" s="25">
        <v>46356.0</v>
      </c>
      <c r="G1203" s="24">
        <f t="shared" si="8"/>
        <v>17</v>
      </c>
      <c r="H1203" s="19">
        <f>VLOOKUP(A1203,Metrik!$C$2:$Y$959,8,0)</f>
        <v>11.9</v>
      </c>
      <c r="I1203" s="20">
        <f>VLOOKUP(A1203,Metrik!$C$2:$Y$959,9,0)</f>
        <v>0.74</v>
      </c>
      <c r="J1203" s="20">
        <f>VLOOKUP(A1203,Metrik!$C$2:$Y$959,10,0)</f>
        <v>6.2</v>
      </c>
      <c r="K1203" s="20">
        <f>VLOOKUP(A1203,Metrik!$C$2:$Y$959,11,0)</f>
        <v>1.8</v>
      </c>
      <c r="L1203" s="20">
        <f>VLOOKUP(A1203,Metrik!$C$2:$Y$959,12,0)</f>
        <v>2.4</v>
      </c>
      <c r="M1203" s="20">
        <f>VLOOKUP(A1203,Metrik!$C$2:$Y$959,19,0)</f>
        <v>22.4</v>
      </c>
      <c r="N1203" s="21"/>
      <c r="O1203" s="21"/>
      <c r="P1203" s="21"/>
      <c r="Q1203" s="21"/>
      <c r="R1203" s="21"/>
      <c r="S1203" s="21"/>
      <c r="T1203" s="21"/>
      <c r="U1203" s="22">
        <f>IFERROR(__xludf.DUMMYFUNCTION("IFERROR(GOOGLEFINANCE(A1203,""closeyest""),"""")"),1215.0)</f>
        <v>1215</v>
      </c>
      <c r="V1203" s="23" t="str">
        <f>IFERROR(__xludf.DUMMYFUNCTION("IFERROR(GOOGLEFINANCE(A1203,""changepct""),"""")"),"")</f>
        <v/>
      </c>
      <c r="W1203" s="22">
        <f>IFERROR(__xludf.DUMMYFUNCTION("IFERROR(GOOGLEFINANCE(A1203,""priceopen""),"""")"),1185.0)</f>
        <v>1185</v>
      </c>
      <c r="X1203" s="22">
        <f>IFERROR(__xludf.DUMMYFUNCTION("IFERROR(GOOGLEFINANCE(A1203,""high""),"""")"),1265.0)</f>
        <v>1265</v>
      </c>
      <c r="Y1203" s="22">
        <f>IFERROR(__xludf.DUMMYFUNCTION("IFERROR(GOOGLEFINANCE(A1203,""low""),"""")"),1185.0)</f>
        <v>1185</v>
      </c>
      <c r="Z1203" s="22">
        <f>IFERROR(__xludf.DUMMYFUNCTION("IFERROR(GOOGLEFINANCE(A1203,""volume""),"""")"),9.68519E7)</f>
        <v>96851900</v>
      </c>
      <c r="AA1203" s="24" t="str">
        <f>VLOOKUP(A1203,Metrik!$C$2:$Y$959,5,0)</f>
        <v>Oil &amp; Gas</v>
      </c>
      <c r="AB1203" s="24" t="str">
        <f>VLOOKUP(A1203,Metrik!$C$2:$Y$959,3,0)</f>
        <v>Energy</v>
      </c>
    </row>
    <row r="1204">
      <c r="A1204" s="14" t="s">
        <v>628</v>
      </c>
      <c r="B1204" s="14" t="str">
        <f t="array" ref="B1204">VLOOKUP(A1204,{Metrik!$C$2:$C$998,Metrik!$B$2:$B$998},2,0)</f>
        <v>Hetzer Medical Indonesia Tbk.</v>
      </c>
      <c r="C1204" s="15">
        <f>IFERROR(__xludf.DUMMYFUNCTION("GOOGLEFINANCE(""IDX:""&amp;A1204,""price"")"),73.0)</f>
        <v>73</v>
      </c>
      <c r="D1204" s="16" t="str">
        <f>IFERROR(__xludf.DUMMYFUNCTION("IF(A1204="""","""",
SPARKLINE(
INDEX(
GOOGLEFINANCE(""IDX:""&amp;A1204,""close"",TODAY()-365,TODAY()),
,2
),
{""linewidth"",1}
))
"),"#N/A")</f>
        <v>#N/A</v>
      </c>
      <c r="E1204" s="26"/>
      <c r="F1204" s="26"/>
      <c r="G1204" s="24">
        <f t="shared" si="8"/>
        <v>0</v>
      </c>
      <c r="H1204" s="19">
        <f>VLOOKUP(A1204,Metrik!$C$2:$Y$959,8,0)</f>
        <v>-22.5</v>
      </c>
      <c r="I1204" s="20">
        <f>VLOOKUP(A1204,Metrik!$C$2:$Y$959,9,0)</f>
        <v>2.9</v>
      </c>
      <c r="J1204" s="20">
        <f>VLOOKUP(A1204,Metrik!$C$2:$Y$959,10,0)</f>
        <v>-12.8</v>
      </c>
      <c r="K1204" s="20">
        <f>VLOOKUP(A1204,Metrik!$C$2:$Y$959,11,0)</f>
        <v>-9.8</v>
      </c>
      <c r="L1204" s="20">
        <f>VLOOKUP(A1204,Metrik!$C$2:$Y$959,12,0)</f>
        <v>0.31</v>
      </c>
      <c r="M1204" s="20">
        <f>VLOOKUP(A1204,Metrik!$C$2:$Y$959,19,0)</f>
        <v>-130</v>
      </c>
      <c r="N1204" s="21"/>
      <c r="O1204" s="21"/>
      <c r="P1204" s="21"/>
      <c r="Q1204" s="21"/>
      <c r="R1204" s="21"/>
      <c r="S1204" s="21"/>
      <c r="T1204" s="21"/>
      <c r="U1204" s="22">
        <f>IFERROR(__xludf.DUMMYFUNCTION("IFERROR(GOOGLEFINANCE(A1204,""closeyest""),"""")"),69.0)</f>
        <v>69</v>
      </c>
      <c r="V1204" s="23">
        <f>IFERROR(__xludf.DUMMYFUNCTION("IFERROR(GOOGLEFINANCE(A1204,""changepct""),"""")"),5.8)</f>
        <v>5.8</v>
      </c>
      <c r="W1204" s="22">
        <f>IFERROR(__xludf.DUMMYFUNCTION("IFERROR(GOOGLEFINANCE(A1204,""priceopen""),"""")"),69.0)</f>
        <v>69</v>
      </c>
      <c r="X1204" s="22">
        <f>IFERROR(__xludf.DUMMYFUNCTION("IFERROR(GOOGLEFINANCE(A1204,""high""),"""")"),74.0)</f>
        <v>74</v>
      </c>
      <c r="Y1204" s="22">
        <f>IFERROR(__xludf.DUMMYFUNCTION("IFERROR(GOOGLEFINANCE(A1204,""low""),"""")"),68.0)</f>
        <v>68</v>
      </c>
      <c r="Z1204" s="22">
        <f>IFERROR(__xludf.DUMMYFUNCTION("IFERROR(GOOGLEFINANCE(A1204,""volume""),"""")"),3.2076E7)</f>
        <v>32076000</v>
      </c>
      <c r="AA1204" s="24" t="str">
        <f>VLOOKUP(A1204,Metrik!$C$2:$Y$959,5,0)</f>
        <v>Healthcare Equipment &amp; Supplies</v>
      </c>
      <c r="AB1204" s="24" t="str">
        <f>VLOOKUP(A1204,Metrik!$C$2:$Y$959,3,0)</f>
        <v>Healthcare</v>
      </c>
    </row>
    <row r="1205">
      <c r="A1205" s="14" t="s">
        <v>629</v>
      </c>
      <c r="B1205" s="14" t="str">
        <f t="array" ref="B1205">VLOOKUP(A1205,{Metrik!$C$2:$C$998,Metrik!$B$2:$B$998},2,0)</f>
        <v>Bank Mega Tbk</v>
      </c>
      <c r="C1205" s="15">
        <f>IFERROR(__xludf.DUMMYFUNCTION("GOOGLEFINANCE(""IDX:""&amp;A1205,""price"")"),2010.0)</f>
        <v>2010</v>
      </c>
      <c r="D1205" s="16" t="str">
        <f>IFERROR(__xludf.DUMMYFUNCTION("IF(A1205="""","""",
SPARKLINE(
INDEX(
GOOGLEFINANCE(""IDX:""&amp;A1205,""close"",TODAY()-365,TODAY()),
,2
),
{""linewidth"",1}
))
"),"#N/A")</f>
        <v>#N/A</v>
      </c>
      <c r="E1205" s="26"/>
      <c r="F1205" s="26"/>
      <c r="G1205" s="24">
        <f t="shared" si="8"/>
        <v>0</v>
      </c>
      <c r="H1205" s="19">
        <f>VLOOKUP(A1205,Metrik!$C$2:$Y$959,8,0)</f>
        <v>12.1</v>
      </c>
      <c r="I1205" s="20">
        <f>VLOOKUP(A1205,Metrik!$C$2:$Y$959,9,0)</f>
        <v>1.7</v>
      </c>
      <c r="J1205" s="20">
        <f>VLOOKUP(A1205,Metrik!$C$2:$Y$959,10,0)</f>
        <v>14.3</v>
      </c>
      <c r="K1205" s="20">
        <f>VLOOKUP(A1205,Metrik!$C$2:$Y$959,11,0)</f>
        <v>2.6</v>
      </c>
      <c r="L1205" s="20">
        <f>VLOOKUP(A1205,Metrik!$C$2:$Y$959,12,0)</f>
        <v>4.5</v>
      </c>
      <c r="M1205" s="20">
        <f>VLOOKUP(A1205,Metrik!$C$2:$Y$959,19,0)</f>
        <v>130</v>
      </c>
      <c r="N1205" s="32">
        <v>5.12</v>
      </c>
      <c r="O1205" s="32">
        <v>26.85</v>
      </c>
      <c r="P1205" s="32">
        <v>68.4</v>
      </c>
      <c r="Q1205" s="32">
        <v>1.62</v>
      </c>
      <c r="R1205" s="32">
        <v>69.58</v>
      </c>
      <c r="S1205" s="32">
        <v>43.22</v>
      </c>
      <c r="T1205" s="32">
        <v>6.15</v>
      </c>
      <c r="U1205" s="22">
        <f>IFERROR(__xludf.DUMMYFUNCTION("IFERROR(GOOGLEFINANCE(A1205,""closeyest""),"""")"),0.37)</f>
        <v>0.37</v>
      </c>
      <c r="V1205" s="23">
        <f>IFERROR(__xludf.DUMMYFUNCTION("IFERROR(GOOGLEFINANCE(A1205,""changepct""),"""")"),0.0)</f>
        <v>0</v>
      </c>
      <c r="W1205" s="22" t="str">
        <f>IFERROR(__xludf.DUMMYFUNCTION("IFERROR(GOOGLEFINANCE(A1205,""priceopen""),"""")"),"")</f>
        <v/>
      </c>
      <c r="X1205" s="22" t="str">
        <f>IFERROR(__xludf.DUMMYFUNCTION("IFERROR(GOOGLEFINANCE(A1205,""high""),"""")"),"")</f>
        <v/>
      </c>
      <c r="Y1205" s="22" t="str">
        <f>IFERROR(__xludf.DUMMYFUNCTION("IFERROR(GOOGLEFINANCE(A1205,""low""),"""")"),"")</f>
        <v/>
      </c>
      <c r="Z1205" s="22">
        <f>IFERROR(__xludf.DUMMYFUNCTION("IFERROR(GOOGLEFINANCE(A1205,""volume""),"""")"),0.0)</f>
        <v>0</v>
      </c>
      <c r="AA1205" s="24" t="str">
        <f>VLOOKUP(A1205,Metrik!$C$2:$Y$959,5,0)</f>
        <v>Banks</v>
      </c>
      <c r="AB1205" s="24" t="str">
        <f>VLOOKUP(A1205,Metrik!$C$2:$Y$959,3,0)</f>
        <v>Financials</v>
      </c>
    </row>
    <row r="1206">
      <c r="A1206" s="14" t="s">
        <v>630</v>
      </c>
      <c r="B1206" s="14" t="str">
        <f t="array" ref="B1206">VLOOKUP(A1206,{Metrik!$C$2:$C$998,Metrik!$B$2:$B$998},2,0)</f>
        <v>Harta Djaya Karya Tbk.</v>
      </c>
      <c r="C1206" s="15">
        <f>IFERROR(__xludf.DUMMYFUNCTION("GOOGLEFINANCE(""IDX:""&amp;A1206,""price"")"),80.0)</f>
        <v>80</v>
      </c>
      <c r="D1206" s="16" t="str">
        <f>IFERROR(__xludf.DUMMYFUNCTION("IF(A1206="""","""",
SPARKLINE(
INDEX(
GOOGLEFINANCE(""IDX:""&amp;A1206,""close"",TODAY()-365,TODAY()),
,2
),
{""linewidth"",1}
))
"),"#N/A")</f>
        <v>#N/A</v>
      </c>
      <c r="E1206" s="26"/>
      <c r="F1206" s="26"/>
      <c r="G1206" s="24">
        <f t="shared" si="8"/>
        <v>0</v>
      </c>
      <c r="H1206" s="19">
        <f>VLOOKUP(A1206,Metrik!$C$2:$Y$959,8,0)</f>
        <v>-11.3</v>
      </c>
      <c r="I1206" s="20">
        <f>VLOOKUP(A1206,Metrik!$C$2:$Y$959,9,0)</f>
        <v>3.9</v>
      </c>
      <c r="J1206" s="20">
        <f>VLOOKUP(A1206,Metrik!$C$2:$Y$959,10,0)</f>
        <v>-34</v>
      </c>
      <c r="K1206" s="20">
        <f>VLOOKUP(A1206,Metrik!$C$2:$Y$959,11,0)</f>
        <v>-24.4</v>
      </c>
      <c r="L1206" s="20">
        <f>VLOOKUP(A1206,Metrik!$C$2:$Y$959,12,0)</f>
        <v>0.4</v>
      </c>
      <c r="M1206" s="20">
        <f>VLOOKUP(A1206,Metrik!$C$2:$Y$959,19,0)</f>
        <v>-77</v>
      </c>
      <c r="N1206" s="21"/>
      <c r="O1206" s="21"/>
      <c r="P1206" s="21"/>
      <c r="Q1206" s="21"/>
      <c r="R1206" s="21"/>
      <c r="S1206" s="21"/>
      <c r="T1206" s="21"/>
      <c r="U1206" s="22">
        <f>IFERROR(__xludf.DUMMYFUNCTION("IFERROR(GOOGLEFINANCE(A1206,""closeyest""),"""")"),79.0)</f>
        <v>79</v>
      </c>
      <c r="V1206" s="23">
        <f>IFERROR(__xludf.DUMMYFUNCTION("IFERROR(GOOGLEFINANCE(A1206,""changepct""),"""")"),1.27)</f>
        <v>1.27</v>
      </c>
      <c r="W1206" s="22">
        <f>IFERROR(__xludf.DUMMYFUNCTION("IFERROR(GOOGLEFINANCE(A1206,""priceopen""),"""")"),80.0)</f>
        <v>80</v>
      </c>
      <c r="X1206" s="22">
        <f>IFERROR(__xludf.DUMMYFUNCTION("IFERROR(GOOGLEFINANCE(A1206,""high""),"""")"),82.0)</f>
        <v>82</v>
      </c>
      <c r="Y1206" s="22">
        <f>IFERROR(__xludf.DUMMYFUNCTION("IFERROR(GOOGLEFINANCE(A1206,""low""),"""")"),77.0)</f>
        <v>77</v>
      </c>
      <c r="Z1206" s="22">
        <f>IFERROR(__xludf.DUMMYFUNCTION("IFERROR(GOOGLEFINANCE(A1206,""volume""),"""")"),1.41574E7)</f>
        <v>14157400</v>
      </c>
      <c r="AA1206" s="24" t="str">
        <f>VLOOKUP(A1206,Metrik!$C$2:$Y$959,5,0)</f>
        <v>Household Goods</v>
      </c>
      <c r="AB1206" s="24" t="str">
        <f>VLOOKUP(A1206,Metrik!$C$2:$Y$959,3,0)</f>
        <v>Consumer Cyclicals</v>
      </c>
    </row>
    <row r="1207">
      <c r="A1207" s="14" t="s">
        <v>631</v>
      </c>
      <c r="B1207" s="14" t="str">
        <f t="array" ref="B1207">VLOOKUP(A1207,{Metrik!$C$2:$C$998,Metrik!$B$2:$B$998},2,0)</f>
        <v>PT Menn Teknologi Indonesia Tbk.</v>
      </c>
      <c r="C1207" s="15">
        <f>IFERROR(__xludf.DUMMYFUNCTION("GOOGLEFINANCE(""IDX:""&amp;A1207,""price"")"),53.0)</f>
        <v>53</v>
      </c>
      <c r="D1207" s="16" t="str">
        <f>IFERROR(__xludf.DUMMYFUNCTION("IF(A1207="""","""",
SPARKLINE(
INDEX(
GOOGLEFINANCE(""IDX:""&amp;A1207,""close"",TODAY()-365,TODAY()),
,2
),
{""linewidth"",1}
))
"),"#N/A")</f>
        <v>#N/A</v>
      </c>
      <c r="E1207" s="26"/>
      <c r="F1207" s="26"/>
      <c r="G1207" s="24">
        <f t="shared" si="8"/>
        <v>0</v>
      </c>
      <c r="H1207" s="19">
        <f>VLOOKUP(A1207,Metrik!$C$2:$Y$959,8,0)</f>
        <v>-20.2</v>
      </c>
      <c r="I1207" s="20">
        <f>VLOOKUP(A1207,Metrik!$C$2:$Y$959,9,0)</f>
        <v>1.9</v>
      </c>
      <c r="J1207" s="20">
        <f>VLOOKUP(A1207,Metrik!$C$2:$Y$959,10,0)</f>
        <v>-9.6</v>
      </c>
      <c r="K1207" s="20">
        <f>VLOOKUP(A1207,Metrik!$C$2:$Y$959,11,0)</f>
        <v>-9.6</v>
      </c>
      <c r="L1207" s="20">
        <f>VLOOKUP(A1207,Metrik!$C$2:$Y$959,12,0)</f>
        <v>0</v>
      </c>
      <c r="M1207" s="20">
        <f>VLOOKUP(A1207,Metrik!$C$2:$Y$959,19,0)</f>
        <v>-520</v>
      </c>
      <c r="N1207" s="21"/>
      <c r="O1207" s="21"/>
      <c r="P1207" s="21"/>
      <c r="Q1207" s="21"/>
      <c r="R1207" s="21"/>
      <c r="S1207" s="21"/>
      <c r="T1207" s="21"/>
      <c r="U1207" s="22">
        <f>IFERROR(__xludf.DUMMYFUNCTION("IFERROR(GOOGLEFINANCE(A1207,""closeyest""),"""")"),53.0)</f>
        <v>53</v>
      </c>
      <c r="V1207" s="23">
        <f>IFERROR(__xludf.DUMMYFUNCTION("IFERROR(GOOGLEFINANCE(A1207,""changepct""),"""")"),0.0)</f>
        <v>0</v>
      </c>
      <c r="W1207" s="22" t="str">
        <f>IFERROR(__xludf.DUMMYFUNCTION("IFERROR(GOOGLEFINANCE(A1207,""priceopen""),"""")"),"")</f>
        <v/>
      </c>
      <c r="X1207" s="22" t="str">
        <f>IFERROR(__xludf.DUMMYFUNCTION("IFERROR(GOOGLEFINANCE(A1207,""high""),"""")"),"")</f>
        <v/>
      </c>
      <c r="Y1207" s="22" t="str">
        <f>IFERROR(__xludf.DUMMYFUNCTION("IFERROR(GOOGLEFINANCE(A1207,""low""),"""")"),"")</f>
        <v/>
      </c>
      <c r="Z1207" s="22">
        <f>IFERROR(__xludf.DUMMYFUNCTION("IFERROR(GOOGLEFINANCE(A1207,""volume""),"""")"),0.0)</f>
        <v>0</v>
      </c>
      <c r="AA1207" s="24" t="str">
        <f>VLOOKUP(A1207,Metrik!$C$2:$Y$959,5,0)</f>
        <v>Electronic Equipment, Instruments &amp; Components</v>
      </c>
      <c r="AB1207" s="24" t="str">
        <f>VLOOKUP(A1207,Metrik!$C$2:$Y$959,3,0)</f>
        <v>Technology</v>
      </c>
    </row>
    <row r="1208">
      <c r="A1208" s="14" t="s">
        <v>632</v>
      </c>
      <c r="B1208" s="14" t="str">
        <f t="array" ref="B1208">VLOOKUP(A1208,{Metrik!$C$2:$C$998,Metrik!$B$2:$B$998},2,0)</f>
        <v>Merry Riana Edukasi Tbk.</v>
      </c>
      <c r="C1208" s="15">
        <f>IFERROR(__xludf.DUMMYFUNCTION("GOOGLEFINANCE(""IDX:""&amp;A1208,""price"")"),109.0)</f>
        <v>109</v>
      </c>
      <c r="D1208" s="16" t="str">
        <f>IFERROR(__xludf.DUMMYFUNCTION("IF(A1208="""","""",
SPARKLINE(
INDEX(
GOOGLEFINANCE(""IDX:""&amp;A1208,""close"",TODAY()-365,TODAY()),
,2
),
{""linewidth"",1}
))
"),"#N/A")</f>
        <v>#N/A</v>
      </c>
      <c r="E1208" s="26"/>
      <c r="F1208" s="26"/>
      <c r="G1208" s="24">
        <f t="shared" si="8"/>
        <v>0</v>
      </c>
      <c r="H1208" s="19">
        <f>VLOOKUP(A1208,Metrik!$C$2:$Y$959,8,0)</f>
        <v>44.2</v>
      </c>
      <c r="I1208" s="20">
        <f>VLOOKUP(A1208,Metrik!$C$2:$Y$959,9,0)</f>
        <v>2.9</v>
      </c>
      <c r="J1208" s="20">
        <f>VLOOKUP(A1208,Metrik!$C$2:$Y$959,10,0)</f>
        <v>6.5</v>
      </c>
      <c r="K1208" s="20">
        <f>VLOOKUP(A1208,Metrik!$C$2:$Y$959,11,0)</f>
        <v>5.2</v>
      </c>
      <c r="L1208" s="20">
        <f>VLOOKUP(A1208,Metrik!$C$2:$Y$959,12,0)</f>
        <v>0.25</v>
      </c>
      <c r="M1208" s="20">
        <f>VLOOKUP(A1208,Metrik!$C$2:$Y$959,19,0)</f>
        <v>29</v>
      </c>
      <c r="N1208" s="21"/>
      <c r="O1208" s="21"/>
      <c r="P1208" s="21"/>
      <c r="Q1208" s="21"/>
      <c r="R1208" s="21"/>
      <c r="S1208" s="21"/>
      <c r="T1208" s="21"/>
      <c r="U1208" s="22">
        <f>IFERROR(__xludf.DUMMYFUNCTION("IFERROR(GOOGLEFINANCE(A1208,""closeyest""),"""")"),107.0)</f>
        <v>107</v>
      </c>
      <c r="V1208" s="23">
        <f>IFERROR(__xludf.DUMMYFUNCTION("IFERROR(GOOGLEFINANCE(A1208,""changepct""),"""")"),1.87)</f>
        <v>1.87</v>
      </c>
      <c r="W1208" s="22">
        <f>IFERROR(__xludf.DUMMYFUNCTION("IFERROR(GOOGLEFINANCE(A1208,""priceopen""),"""")"),108.0)</f>
        <v>108</v>
      </c>
      <c r="X1208" s="22">
        <f>IFERROR(__xludf.DUMMYFUNCTION("IFERROR(GOOGLEFINANCE(A1208,""high""),"""")"),115.0)</f>
        <v>115</v>
      </c>
      <c r="Y1208" s="22">
        <f>IFERROR(__xludf.DUMMYFUNCTION("IFERROR(GOOGLEFINANCE(A1208,""low""),"""")"),108.0)</f>
        <v>108</v>
      </c>
      <c r="Z1208" s="22">
        <f>IFERROR(__xludf.DUMMYFUNCTION("IFERROR(GOOGLEFINANCE(A1208,""volume""),"""")"),568700.0)</f>
        <v>568700</v>
      </c>
      <c r="AA1208" s="24" t="str">
        <f>VLOOKUP(A1208,Metrik!$C$2:$Y$959,5,0)</f>
        <v>Education &amp; Support Services</v>
      </c>
      <c r="AB1208" s="24" t="str">
        <f>VLOOKUP(A1208,Metrik!$C$2:$Y$959,3,0)</f>
        <v>Consumer Cyclicals</v>
      </c>
    </row>
    <row r="1209">
      <c r="A1209" s="14" t="s">
        <v>633</v>
      </c>
      <c r="B1209" s="14" t="str">
        <f t="array" ref="B1209">VLOOKUP(A1209,{Metrik!$C$2:$C$998,Metrik!$B$2:$B$998},2,0)</f>
        <v>Merck Tbk.</v>
      </c>
      <c r="C1209" s="15">
        <f>IFERROR(__xludf.DUMMYFUNCTION("GOOGLEFINANCE(""IDX:""&amp;A1209,""price"")"),3500.0)</f>
        <v>3500</v>
      </c>
      <c r="D1209" s="16" t="str">
        <f>IFERROR(__xludf.DUMMYFUNCTION("IF(A1209="""","""",
SPARKLINE(
INDEX(
GOOGLEFINANCE(""IDX:""&amp;A1209,""close"",TODAY()-365,TODAY()),
,2
),
{""linewidth"",1}
))
"),"#N/A")</f>
        <v>#N/A</v>
      </c>
      <c r="E1209" s="26"/>
      <c r="F1209" s="26"/>
      <c r="G1209" s="18">
        <f t="shared" si="8"/>
        <v>0</v>
      </c>
      <c r="H1209" s="19">
        <f>VLOOKUP(A1209,Metrik!$C$2:$Y$959,8,0)</f>
        <v>5.9</v>
      </c>
      <c r="I1209" s="20">
        <f>VLOOKUP(A1209,Metrik!$C$2:$Y$959,9,0)</f>
        <v>1.7</v>
      </c>
      <c r="J1209" s="20">
        <f>VLOOKUP(A1209,Metrik!$C$2:$Y$959,10,0)</f>
        <v>28.4</v>
      </c>
      <c r="K1209" s="20">
        <f>VLOOKUP(A1209,Metrik!$C$2:$Y$959,11,0)</f>
        <v>22.4</v>
      </c>
      <c r="L1209" s="20">
        <f>VLOOKUP(A1209,Metrik!$C$2:$Y$959,12,0)</f>
        <v>0.27</v>
      </c>
      <c r="M1209" s="20">
        <f>VLOOKUP(A1209,Metrik!$C$2:$Y$959,19,0)</f>
        <v>100</v>
      </c>
      <c r="N1209" s="21"/>
      <c r="O1209" s="21"/>
      <c r="P1209" s="21"/>
      <c r="Q1209" s="21"/>
      <c r="R1209" s="21"/>
      <c r="S1209" s="21"/>
      <c r="T1209" s="21"/>
      <c r="U1209" s="22">
        <f>IFERROR(__xludf.DUMMYFUNCTION("IFERROR(GOOGLEFINANCE(A1209,""closeyest""),"""")"),3420.0)</f>
        <v>3420</v>
      </c>
      <c r="V1209" s="23">
        <f>IFERROR(__xludf.DUMMYFUNCTION("IFERROR(GOOGLEFINANCE(A1209,""changepct""),"""")"),2.34)</f>
        <v>2.34</v>
      </c>
      <c r="W1209" s="22">
        <f>IFERROR(__xludf.DUMMYFUNCTION("IFERROR(GOOGLEFINANCE(A1209,""priceopen""),"""")"),3420.0)</f>
        <v>3420</v>
      </c>
      <c r="X1209" s="22">
        <f>IFERROR(__xludf.DUMMYFUNCTION("IFERROR(GOOGLEFINANCE(A1209,""high""),"""")"),3590.0)</f>
        <v>3590</v>
      </c>
      <c r="Y1209" s="22">
        <f>IFERROR(__xludf.DUMMYFUNCTION("IFERROR(GOOGLEFINANCE(A1209,""low""),"""")"),3390.0)</f>
        <v>3390</v>
      </c>
      <c r="Z1209" s="22">
        <f>IFERROR(__xludf.DUMMYFUNCTION("IFERROR(GOOGLEFINANCE(A1209,""volume""),"""")"),90000.0)</f>
        <v>90000</v>
      </c>
      <c r="AA1209" s="24" t="str">
        <f>VLOOKUP(A1209,Metrik!$C$2:$Y$959,5,0)</f>
        <v>Pharmaceuticals</v>
      </c>
      <c r="AB1209" s="24" t="str">
        <f>VLOOKUP(A1209,Metrik!$C$2:$Y$959,3,0)</f>
        <v>Healthcare</v>
      </c>
    </row>
    <row r="1210">
      <c r="A1210" s="14" t="s">
        <v>634</v>
      </c>
      <c r="B1210" s="14" t="str">
        <f t="array" ref="B1210">VLOOKUP(A1210,{Metrik!$C$2:$C$998,Metrik!$B$2:$B$998},2,0)</f>
        <v>Nusantara Infrastructure Tbk.</v>
      </c>
      <c r="C1210" s="15">
        <f>IFERROR(__xludf.DUMMYFUNCTION("GOOGLEFINANCE(""IDX:""&amp;A1210,""price"")"),238.0)</f>
        <v>238</v>
      </c>
      <c r="D1210" s="16" t="str">
        <f>IFERROR(__xludf.DUMMYFUNCTION("IF(A1210="""","""",
SPARKLINE(
INDEX(
GOOGLEFINANCE(""IDX:""&amp;A1210,""close"",TODAY()-365,TODAY()),
,2
),
{""linewidth"",1}
))
"),"#N/A")</f>
        <v>#N/A</v>
      </c>
      <c r="E1210" s="26"/>
      <c r="F1210" s="26"/>
      <c r="G1210" s="24">
        <f t="shared" si="8"/>
        <v>0</v>
      </c>
      <c r="H1210" s="19">
        <f>VLOOKUP(A1210,Metrik!$C$2:$Y$959,8,0)</f>
        <v>44.7</v>
      </c>
      <c r="I1210" s="20">
        <f>VLOOKUP(A1210,Metrik!$C$2:$Y$959,9,0)</f>
        <v>1</v>
      </c>
      <c r="J1210" s="20">
        <f>VLOOKUP(A1210,Metrik!$C$2:$Y$959,10,0)</f>
        <v>2.3</v>
      </c>
      <c r="K1210" s="20">
        <f>VLOOKUP(A1210,Metrik!$C$2:$Y$959,11,0)</f>
        <v>2.1</v>
      </c>
      <c r="L1210" s="20">
        <f>VLOOKUP(A1210,Metrik!$C$2:$Y$959,12,0)</f>
        <v>0.12</v>
      </c>
      <c r="M1210" s="20">
        <f>VLOOKUP(A1210,Metrik!$C$2:$Y$959,19,0)</f>
        <v>150</v>
      </c>
      <c r="N1210" s="21"/>
      <c r="O1210" s="21"/>
      <c r="P1210" s="21"/>
      <c r="Q1210" s="21"/>
      <c r="R1210" s="21"/>
      <c r="S1210" s="21"/>
      <c r="T1210" s="21"/>
      <c r="U1210" s="22">
        <f>IFERROR(__xludf.DUMMYFUNCTION("IFERROR(GOOGLEFINANCE(A1210,""closeyest""),"""")"),568.43)</f>
        <v>568.43</v>
      </c>
      <c r="V1210" s="23">
        <f>IFERROR(__xludf.DUMMYFUNCTION("IFERROR(GOOGLEFINANCE(A1210,""changepct""),"""")"),-0.26)</f>
        <v>-0.26</v>
      </c>
      <c r="W1210" s="22">
        <f>IFERROR(__xludf.DUMMYFUNCTION("IFERROR(GOOGLEFINANCE(A1210,""priceopen""),"""")"),572.95)</f>
        <v>572.95</v>
      </c>
      <c r="X1210" s="22">
        <f>IFERROR(__xludf.DUMMYFUNCTION("IFERROR(GOOGLEFINANCE(A1210,""high""),"""")"),576.07)</f>
        <v>576.07</v>
      </c>
      <c r="Y1210" s="22">
        <f>IFERROR(__xludf.DUMMYFUNCTION("IFERROR(GOOGLEFINANCE(A1210,""low""),"""")"),560.9)</f>
        <v>560.9</v>
      </c>
      <c r="Z1210" s="22">
        <f>IFERROR(__xludf.DUMMYFUNCTION("IFERROR(GOOGLEFINANCE(A1210,""volume""),"""")"),1.4347769E7)</f>
        <v>14347769</v>
      </c>
      <c r="AA1210" s="24" t="str">
        <f>VLOOKUP(A1210,Metrik!$C$2:$Y$959,5,0)</f>
        <v>Transport Infrastructure Operator</v>
      </c>
      <c r="AB1210" s="24" t="str">
        <f>VLOOKUP(A1210,Metrik!$C$2:$Y$959,3,0)</f>
        <v>Infrastructures</v>
      </c>
    </row>
    <row r="1211">
      <c r="A1211" s="14" t="s">
        <v>635</v>
      </c>
      <c r="B1211" s="14" t="str">
        <f t="array" ref="B1211">VLOOKUP(A1211,{Metrik!$C$2:$C$998,Metrik!$B$2:$B$998},2,0)</f>
        <v>Multifiling Mitra Indonesia Tbk.</v>
      </c>
      <c r="C1211" s="15">
        <f>IFERROR(__xludf.DUMMYFUNCTION("GOOGLEFINANCE(""IDX:""&amp;A1211,""price"")"),1300.0)</f>
        <v>1300</v>
      </c>
      <c r="D1211" s="16" t="str">
        <f>IFERROR(__xludf.DUMMYFUNCTION("IF(A1211="""","""",
SPARKLINE(
INDEX(
GOOGLEFINANCE(""IDX:""&amp;A1211,""close"",TODAY()-365,TODAY()),
,2
),
{""linewidth"",1}
))
"),"#N/A")</f>
        <v>#N/A</v>
      </c>
      <c r="E1211" s="26"/>
      <c r="F1211" s="26"/>
      <c r="G1211" s="24">
        <f t="shared" si="8"/>
        <v>0</v>
      </c>
      <c r="H1211" s="19">
        <f>VLOOKUP(A1211,Metrik!$C$2:$Y$959,8,0)</f>
        <v>48.2</v>
      </c>
      <c r="I1211" s="20">
        <f>VLOOKUP(A1211,Metrik!$C$2:$Y$959,9,0)</f>
        <v>7.7</v>
      </c>
      <c r="J1211" s="20">
        <f>VLOOKUP(A1211,Metrik!$C$2:$Y$959,10,0)</f>
        <v>15.9</v>
      </c>
      <c r="K1211" s="20">
        <f>VLOOKUP(A1211,Metrik!$C$2:$Y$959,11,0)</f>
        <v>4.6</v>
      </c>
      <c r="L1211" s="20">
        <f>VLOOKUP(A1211,Metrik!$C$2:$Y$959,12,0)</f>
        <v>2.5</v>
      </c>
      <c r="M1211" s="20">
        <f>VLOOKUP(A1211,Metrik!$C$2:$Y$959,19,0)</f>
        <v>47.1</v>
      </c>
      <c r="N1211" s="21"/>
      <c r="O1211" s="21"/>
      <c r="P1211" s="21"/>
      <c r="Q1211" s="21"/>
      <c r="R1211" s="21"/>
      <c r="S1211" s="21"/>
      <c r="T1211" s="21"/>
      <c r="U1211" s="22">
        <f>IFERROR(__xludf.DUMMYFUNCTION("IFERROR(GOOGLEFINANCE(A1211,""closeyest""),"""")"),1300.0)</f>
        <v>1300</v>
      </c>
      <c r="V1211" s="23">
        <f>IFERROR(__xludf.DUMMYFUNCTION("IFERROR(GOOGLEFINANCE(A1211,""changepct""),"""")"),0.0)</f>
        <v>0</v>
      </c>
      <c r="W1211" s="22" t="str">
        <f>IFERROR(__xludf.DUMMYFUNCTION("IFERROR(GOOGLEFINANCE(A1211,""priceopen""),"""")"),"")</f>
        <v/>
      </c>
      <c r="X1211" s="22" t="str">
        <f>IFERROR(__xludf.DUMMYFUNCTION("IFERROR(GOOGLEFINANCE(A1211,""high""),"""")"),"")</f>
        <v/>
      </c>
      <c r="Y1211" s="22" t="str">
        <f>IFERROR(__xludf.DUMMYFUNCTION("IFERROR(GOOGLEFINANCE(A1211,""low""),"""")"),"")</f>
        <v/>
      </c>
      <c r="Z1211" s="22">
        <f>IFERROR(__xludf.DUMMYFUNCTION("IFERROR(GOOGLEFINANCE(A1211,""volume""),"""")"),0.0)</f>
        <v>0</v>
      </c>
      <c r="AA1211" s="24" t="str">
        <f>VLOOKUP(A1211,Metrik!$C$2:$Y$959,5,0)</f>
        <v>Commercial Services</v>
      </c>
      <c r="AB1211" s="24" t="str">
        <f>VLOOKUP(A1211,Metrik!$C$2:$Y$959,3,0)</f>
        <v>Industrials</v>
      </c>
    </row>
    <row r="1212">
      <c r="A1212" s="14" t="s">
        <v>636</v>
      </c>
      <c r="B1212" s="14" t="str">
        <f t="array" ref="B1212">VLOOKUP(A1212,{Metrik!$C$2:$C$998,Metrik!$B$2:$B$998},2,0)</f>
        <v>Panca Anugrah Wisesa Tbk.</v>
      </c>
      <c r="C1212" s="15">
        <f>IFERROR(__xludf.DUMMYFUNCTION("GOOGLEFINANCE(""IDX:""&amp;A1212,""price"")"),8500.0)</f>
        <v>8500</v>
      </c>
      <c r="D1212" s="16" t="str">
        <f>IFERROR(__xludf.DUMMYFUNCTION("IF(A1212="""","""",
SPARKLINE(
INDEX(
GOOGLEFINANCE(""IDX:""&amp;A1212,""close"",TODAY()-365,TODAY()),
,2
),
{""linewidth"",1}
))
"),"#N/A")</f>
        <v>#N/A</v>
      </c>
      <c r="E1212" s="26"/>
      <c r="F1212" s="26"/>
      <c r="G1212" s="24">
        <f t="shared" si="8"/>
        <v>0</v>
      </c>
      <c r="H1212" s="19">
        <f>VLOOKUP(A1212,Metrik!$C$2:$Y$959,8,0)</f>
        <v>-1420</v>
      </c>
      <c r="I1212" s="20">
        <f>VLOOKUP(A1212,Metrik!$C$2:$Y$959,9,0)</f>
        <v>100</v>
      </c>
      <c r="J1212" s="20">
        <f>VLOOKUP(A1212,Metrik!$C$2:$Y$959,10,0)</f>
        <v>-7</v>
      </c>
      <c r="K1212" s="20">
        <f>VLOOKUP(A1212,Metrik!$C$2:$Y$959,11,0)</f>
        <v>-4.8</v>
      </c>
      <c r="L1212" s="20">
        <f>VLOOKUP(A1212,Metrik!$C$2:$Y$959,12,0)</f>
        <v>0.47</v>
      </c>
      <c r="M1212" s="20">
        <f>VLOOKUP(A1212,Metrik!$C$2:$Y$959,19,0)</f>
        <v>-7.1</v>
      </c>
      <c r="N1212" s="21"/>
      <c r="O1212" s="21"/>
      <c r="P1212" s="21"/>
      <c r="Q1212" s="21"/>
      <c r="R1212" s="21"/>
      <c r="S1212" s="21"/>
      <c r="T1212" s="21"/>
      <c r="U1212" s="22">
        <f>IFERROR(__xludf.DUMMYFUNCTION("IFERROR(GOOGLEFINANCE(A1212,""closeyest""),"""")"),8350.0)</f>
        <v>8350</v>
      </c>
      <c r="V1212" s="23">
        <f>IFERROR(__xludf.DUMMYFUNCTION("IFERROR(GOOGLEFINANCE(A1212,""changepct""),"""")"),1.8)</f>
        <v>1.8</v>
      </c>
      <c r="W1212" s="22">
        <f>IFERROR(__xludf.DUMMYFUNCTION("IFERROR(GOOGLEFINANCE(A1212,""priceopen""),"""")"),8100.0)</f>
        <v>8100</v>
      </c>
      <c r="X1212" s="22">
        <f>IFERROR(__xludf.DUMMYFUNCTION("IFERROR(GOOGLEFINANCE(A1212,""high""),"""")"),8600.0)</f>
        <v>8600</v>
      </c>
      <c r="Y1212" s="22">
        <f>IFERROR(__xludf.DUMMYFUNCTION("IFERROR(GOOGLEFINANCE(A1212,""low""),"""")"),8100.0)</f>
        <v>8100</v>
      </c>
      <c r="Z1212" s="22">
        <f>IFERROR(__xludf.DUMMYFUNCTION("IFERROR(GOOGLEFINANCE(A1212,""volume""),"""")"),132400.0)</f>
        <v>132400</v>
      </c>
      <c r="AA1212" s="24" t="str">
        <f>VLOOKUP(A1212,Metrik!$C$2:$Y$959,5,0)</f>
        <v>Household Goods</v>
      </c>
      <c r="AB1212" s="24" t="str">
        <f>VLOOKUP(A1212,Metrik!$C$2:$Y$959,3,0)</f>
        <v>Consumer Cyclicals</v>
      </c>
    </row>
    <row r="1213">
      <c r="A1213" s="14" t="s">
        <v>637</v>
      </c>
      <c r="B1213" s="14" t="str">
        <f t="array" ref="B1213">VLOOKUP(A1213,{Metrik!$C$2:$C$998,Metrik!$B$2:$B$998},2,0)</f>
        <v>PT Magna Investama Mandiri Tbk</v>
      </c>
      <c r="C1213" s="15">
        <f>IFERROR(__xludf.DUMMYFUNCTION("GOOGLEFINANCE(""IDX:""&amp;A1213,""price"")"),77.0)</f>
        <v>77</v>
      </c>
      <c r="D1213" s="16" t="str">
        <f>IFERROR(__xludf.DUMMYFUNCTION("IF(A1213="""","""",
SPARKLINE(
INDEX(
GOOGLEFINANCE(""IDX:""&amp;A1213,""close"",TODAY()-365,TODAY()),
,2
),
{""linewidth"",1}
))
"),"#N/A")</f>
        <v>#N/A</v>
      </c>
      <c r="E1213" s="26"/>
      <c r="F1213" s="26"/>
      <c r="G1213" s="24">
        <f t="shared" si="8"/>
        <v>0</v>
      </c>
      <c r="H1213" s="19">
        <f>VLOOKUP(A1213,Metrik!$C$2:$Y$959,8,0)</f>
        <v>240</v>
      </c>
      <c r="I1213" s="20">
        <f>VLOOKUP(A1213,Metrik!$C$2:$Y$959,9,0)</f>
        <v>8.2</v>
      </c>
      <c r="J1213" s="20">
        <f>VLOOKUP(A1213,Metrik!$C$2:$Y$959,10,0)</f>
        <v>3.5</v>
      </c>
      <c r="K1213" s="20">
        <f>VLOOKUP(A1213,Metrik!$C$2:$Y$959,11,0)</f>
        <v>1.2</v>
      </c>
      <c r="L1213" s="20">
        <f>VLOOKUP(A1213,Metrik!$C$2:$Y$959,12,0)</f>
        <v>2</v>
      </c>
      <c r="M1213" s="20">
        <f>VLOOKUP(A1213,Metrik!$C$2:$Y$959,19,0)</f>
        <v>2.9</v>
      </c>
      <c r="N1213" s="21"/>
      <c r="O1213" s="21"/>
      <c r="P1213" s="21"/>
      <c r="Q1213" s="21"/>
      <c r="R1213" s="21"/>
      <c r="S1213" s="21"/>
      <c r="T1213" s="21"/>
      <c r="U1213" s="22">
        <f>IFERROR(__xludf.DUMMYFUNCTION("IFERROR(GOOGLEFINANCE(A1213,""closeyest""),"""")"),73.0)</f>
        <v>73</v>
      </c>
      <c r="V1213" s="23">
        <f>IFERROR(__xludf.DUMMYFUNCTION("IFERROR(GOOGLEFINANCE(A1213,""changepct""),"""")"),5.48)</f>
        <v>5.48</v>
      </c>
      <c r="W1213" s="22">
        <f>IFERROR(__xludf.DUMMYFUNCTION("IFERROR(GOOGLEFINANCE(A1213,""priceopen""),"""")"),73.0)</f>
        <v>73</v>
      </c>
      <c r="X1213" s="22">
        <f>IFERROR(__xludf.DUMMYFUNCTION("IFERROR(GOOGLEFINANCE(A1213,""high""),"""")"),79.0)</f>
        <v>79</v>
      </c>
      <c r="Y1213" s="22">
        <f>IFERROR(__xludf.DUMMYFUNCTION("IFERROR(GOOGLEFINANCE(A1213,""low""),"""")"),73.0)</f>
        <v>73</v>
      </c>
      <c r="Z1213" s="22">
        <f>IFERROR(__xludf.DUMMYFUNCTION("IFERROR(GOOGLEFINANCE(A1213,""volume""),"""")"),920500.0)</f>
        <v>920500</v>
      </c>
      <c r="AA1213" s="24" t="str">
        <f>VLOOKUP(A1213,Metrik!$C$2:$Y$959,5,0)</f>
        <v>Holding &amp; Investment Companies</v>
      </c>
      <c r="AB1213" s="24" t="str">
        <f>VLOOKUP(A1213,Metrik!$C$2:$Y$959,3,0)</f>
        <v>Financials</v>
      </c>
    </row>
    <row r="1214">
      <c r="A1214" s="14" t="s">
        <v>638</v>
      </c>
      <c r="B1214" s="14" t="str">
        <f t="array" ref="B1214">VLOOKUP(A1214,{Metrik!$C$2:$C$998,Metrik!$B$2:$B$998},2,0)</f>
        <v>Mahkota Group Tbk.</v>
      </c>
      <c r="C1214" s="15">
        <f>IFERROR(__xludf.DUMMYFUNCTION("GOOGLEFINANCE(""IDX:""&amp;A1214,""price"")"),685.0)</f>
        <v>685</v>
      </c>
      <c r="D1214" s="16" t="str">
        <f>IFERROR(__xludf.DUMMYFUNCTION("IF(A1214="""","""",
SPARKLINE(
INDEX(
GOOGLEFINANCE(""IDX:""&amp;A1214,""close"",TODAY()-365,TODAY()),
,2
),
{""linewidth"",1}
))
"),"#N/A")</f>
        <v>#N/A</v>
      </c>
      <c r="E1214" s="26"/>
      <c r="F1214" s="26"/>
      <c r="G1214" s="24">
        <f t="shared" si="8"/>
        <v>0</v>
      </c>
      <c r="H1214" s="19">
        <f>VLOOKUP(A1214,Metrik!$C$2:$Y$959,8,0)</f>
        <v>-47.3</v>
      </c>
      <c r="I1214" s="20">
        <f>VLOOKUP(A1214,Metrik!$C$2:$Y$959,9,0)</f>
        <v>5.8</v>
      </c>
      <c r="J1214" s="20">
        <f>VLOOKUP(A1214,Metrik!$C$2:$Y$959,10,0)</f>
        <v>-12.2</v>
      </c>
      <c r="K1214" s="20">
        <f>VLOOKUP(A1214,Metrik!$C$2:$Y$959,11,0)</f>
        <v>-1.8</v>
      </c>
      <c r="L1214" s="20">
        <f>VLOOKUP(A1214,Metrik!$C$2:$Y$959,12,0)</f>
        <v>5.8</v>
      </c>
      <c r="M1214" s="20">
        <f>VLOOKUP(A1214,Metrik!$C$2:$Y$959,19,0)</f>
        <v>-3.1</v>
      </c>
      <c r="N1214" s="21"/>
      <c r="O1214" s="21"/>
      <c r="P1214" s="21"/>
      <c r="Q1214" s="21"/>
      <c r="R1214" s="21"/>
      <c r="S1214" s="21"/>
      <c r="T1214" s="21"/>
      <c r="U1214" s="22">
        <f>IFERROR(__xludf.DUMMYFUNCTION("IFERROR(GOOGLEFINANCE(A1214,""closeyest""),"""")"),0.49)</f>
        <v>0.49</v>
      </c>
      <c r="V1214" s="23">
        <f>IFERROR(__xludf.DUMMYFUNCTION("IFERROR(GOOGLEFINANCE(A1214,""changepct""),"""")"),1.03)</f>
        <v>1.03</v>
      </c>
      <c r="W1214" s="22">
        <f>IFERROR(__xludf.DUMMYFUNCTION("IFERROR(GOOGLEFINANCE(A1214,""priceopen""),"""")"),0.49)</f>
        <v>0.49</v>
      </c>
      <c r="X1214" s="22">
        <f>IFERROR(__xludf.DUMMYFUNCTION("IFERROR(GOOGLEFINANCE(A1214,""high""),"""")"),0.49)</f>
        <v>0.49</v>
      </c>
      <c r="Y1214" s="22">
        <f>IFERROR(__xludf.DUMMYFUNCTION("IFERROR(GOOGLEFINANCE(A1214,""low""),"""")"),0.46)</f>
        <v>0.46</v>
      </c>
      <c r="Z1214" s="22">
        <f>IFERROR(__xludf.DUMMYFUNCTION("IFERROR(GOOGLEFINANCE(A1214,""volume""),"""")"),18814.0)</f>
        <v>18814</v>
      </c>
      <c r="AA1214" s="24" t="str">
        <f>VLOOKUP(A1214,Metrik!$C$2:$Y$959,5,0)</f>
        <v>Agricultural Products</v>
      </c>
      <c r="AB1214" s="24" t="str">
        <f>VLOOKUP(A1214,Metrik!$C$2:$Y$959,3,0)</f>
        <v>Consumer Non-Cyclicals</v>
      </c>
    </row>
    <row r="1215">
      <c r="A1215" s="14" t="s">
        <v>639</v>
      </c>
      <c r="B1215" s="14" t="str">
        <f t="array" ref="B1215">VLOOKUP(A1215,{Metrik!$C$2:$C$998,Metrik!$B$2:$B$998},2,0)</f>
        <v>Multi Hanna Kreasindo Tbk.</v>
      </c>
      <c r="C1215" s="15">
        <f>IFERROR(__xludf.DUMMYFUNCTION("GOOGLEFINANCE(""IDX:""&amp;A1215,""price"")"),121.0)</f>
        <v>121</v>
      </c>
      <c r="D1215" s="16" t="str">
        <f>IFERROR(__xludf.DUMMYFUNCTION("IF(A1215="""","""",
SPARKLINE(
INDEX(
GOOGLEFINANCE(""IDX:""&amp;A1215,""close"",TODAY()-365,TODAY()),
,2
),
{""linewidth"",1}
))
"),"#N/A")</f>
        <v>#N/A</v>
      </c>
      <c r="E1215" s="26"/>
      <c r="F1215" s="26"/>
      <c r="G1215" s="24">
        <f t="shared" si="8"/>
        <v>0</v>
      </c>
      <c r="H1215" s="19">
        <f>VLOOKUP(A1215,Metrik!$C$2:$Y$959,8,0)</f>
        <v>15</v>
      </c>
      <c r="I1215" s="20">
        <f>VLOOKUP(A1215,Metrik!$C$2:$Y$959,9,0)</f>
        <v>1</v>
      </c>
      <c r="J1215" s="20">
        <f>VLOOKUP(A1215,Metrik!$C$2:$Y$959,10,0)</f>
        <v>6.7</v>
      </c>
      <c r="K1215" s="20">
        <f>VLOOKUP(A1215,Metrik!$C$2:$Y$959,11,0)</f>
        <v>6.4</v>
      </c>
      <c r="L1215" s="20">
        <f>VLOOKUP(A1215,Metrik!$C$2:$Y$959,12,0)</f>
        <v>0.05</v>
      </c>
      <c r="M1215" s="20">
        <f>VLOOKUP(A1215,Metrik!$C$2:$Y$959,19,0)</f>
        <v>93.6</v>
      </c>
      <c r="N1215" s="21"/>
      <c r="O1215" s="21"/>
      <c r="P1215" s="21"/>
      <c r="Q1215" s="21"/>
      <c r="R1215" s="21"/>
      <c r="S1215" s="21"/>
      <c r="T1215" s="21"/>
      <c r="U1215" s="22" t="str">
        <f>IFERROR(__xludf.DUMMYFUNCTION("IFERROR(GOOGLEFINANCE(A1215,""closeyest""),"""")"),"")</f>
        <v/>
      </c>
      <c r="V1215" s="23">
        <f>IFERROR(__xludf.DUMMYFUNCTION("IFERROR(GOOGLEFINANCE(A1215,""changepct""),"""")"),1.68)</f>
        <v>1.68</v>
      </c>
      <c r="W1215" s="22">
        <f>IFERROR(__xludf.DUMMYFUNCTION("IFERROR(GOOGLEFINANCE(A1215,""priceopen""),"""")"),119.0)</f>
        <v>119</v>
      </c>
      <c r="X1215" s="22">
        <f>IFERROR(__xludf.DUMMYFUNCTION("IFERROR(GOOGLEFINANCE(A1215,""high""),"""")"),128.0)</f>
        <v>128</v>
      </c>
      <c r="Y1215" s="22">
        <f>IFERROR(__xludf.DUMMYFUNCTION("IFERROR(GOOGLEFINANCE(A1215,""low""),"""")"),119.0)</f>
        <v>119</v>
      </c>
      <c r="Z1215" s="22">
        <f>IFERROR(__xludf.DUMMYFUNCTION("IFERROR(GOOGLEFINANCE(A1215,""volume""),"""")"),6067000.0)</f>
        <v>6067000</v>
      </c>
      <c r="AA1215" s="24" t="str">
        <f>VLOOKUP(A1215,Metrik!$C$2:$Y$959,5,0)</f>
        <v>Commercial Services</v>
      </c>
      <c r="AB1215" s="24" t="str">
        <f>VLOOKUP(A1215,Metrik!$C$2:$Y$959,3,0)</f>
        <v>Industrials</v>
      </c>
    </row>
    <row r="1216">
      <c r="A1216" s="14" t="s">
        <v>640</v>
      </c>
      <c r="B1216" s="14" t="str">
        <f t="array" ref="B1216">VLOOKUP(A1216,{Metrik!$C$2:$C$998,Metrik!$B$2:$B$998},2,0)</f>
        <v>Multi Indocitra Tbk</v>
      </c>
      <c r="C1216" s="15">
        <f>IFERROR(__xludf.DUMMYFUNCTION("GOOGLEFINANCE(""IDX:""&amp;A1216,""price"")"),498.0)</f>
        <v>498</v>
      </c>
      <c r="D1216" s="16" t="str">
        <f>IFERROR(__xludf.DUMMYFUNCTION("IF(A1216="""","""",
SPARKLINE(
INDEX(
GOOGLEFINANCE(""IDX:""&amp;A1216,""close"",TODAY()-365,TODAY()),
,2
),
{""linewidth"",1}
))
"),"#N/A")</f>
        <v>#N/A</v>
      </c>
      <c r="E1216" s="26"/>
      <c r="F1216" s="26"/>
      <c r="G1216" s="24">
        <f t="shared" si="8"/>
        <v>0</v>
      </c>
      <c r="H1216" s="19">
        <f>VLOOKUP(A1216,Metrik!$C$2:$Y$959,8,0)</f>
        <v>7.5</v>
      </c>
      <c r="I1216" s="20">
        <f>VLOOKUP(A1216,Metrik!$C$2:$Y$959,9,0)</f>
        <v>0.31</v>
      </c>
      <c r="J1216" s="20">
        <f>VLOOKUP(A1216,Metrik!$C$2:$Y$959,10,0)</f>
        <v>4.2</v>
      </c>
      <c r="K1216" s="20">
        <f>VLOOKUP(A1216,Metrik!$C$2:$Y$959,11,0)</f>
        <v>2.7</v>
      </c>
      <c r="L1216" s="20">
        <f>VLOOKUP(A1216,Metrik!$C$2:$Y$959,12,0)</f>
        <v>0.53</v>
      </c>
      <c r="M1216" s="20">
        <f>VLOOKUP(A1216,Metrik!$C$2:$Y$959,19,0)</f>
        <v>12.3</v>
      </c>
      <c r="N1216" s="21"/>
      <c r="O1216" s="21"/>
      <c r="P1216" s="21"/>
      <c r="Q1216" s="21"/>
      <c r="R1216" s="21"/>
      <c r="S1216" s="21"/>
      <c r="T1216" s="21"/>
      <c r="U1216" s="22">
        <f>IFERROR(__xludf.DUMMYFUNCTION("IFERROR(GOOGLEFINANCE(A1216,""closeyest""),"""")"),498.0)</f>
        <v>498</v>
      </c>
      <c r="V1216" s="23">
        <f>IFERROR(__xludf.DUMMYFUNCTION("IFERROR(GOOGLEFINANCE(A1216,""changepct""),"""")"),0.0)</f>
        <v>0</v>
      </c>
      <c r="W1216" s="22">
        <f>IFERROR(__xludf.DUMMYFUNCTION("IFERROR(GOOGLEFINANCE(A1216,""priceopen""),"""")"),496.0)</f>
        <v>496</v>
      </c>
      <c r="X1216" s="22">
        <f>IFERROR(__xludf.DUMMYFUNCTION("IFERROR(GOOGLEFINANCE(A1216,""high""),"""")"),498.0)</f>
        <v>498</v>
      </c>
      <c r="Y1216" s="22">
        <f>IFERROR(__xludf.DUMMYFUNCTION("IFERROR(GOOGLEFINANCE(A1216,""low""),"""")"),496.0)</f>
        <v>496</v>
      </c>
      <c r="Z1216" s="22">
        <f>IFERROR(__xludf.DUMMYFUNCTION("IFERROR(GOOGLEFINANCE(A1216,""volume""),"""")"),1800.0)</f>
        <v>1800</v>
      </c>
      <c r="AA1216" s="24" t="str">
        <f>VLOOKUP(A1216,Metrik!$C$2:$Y$959,5,0)</f>
        <v>Household Goods</v>
      </c>
      <c r="AB1216" s="24" t="str">
        <f>VLOOKUP(A1216,Metrik!$C$2:$Y$959,3,0)</f>
        <v>Consumer Cyclicals</v>
      </c>
    </row>
    <row r="1217">
      <c r="A1217" s="17" t="s">
        <v>641</v>
      </c>
      <c r="B1217" s="14" t="str">
        <f t="array" ref="B1217">VLOOKUP(A1217,{Metrik!$C$2:$C$998,Metrik!$B$2:$B$998},2,0)</f>
        <v>Midi Utama Indonesia Tbk</v>
      </c>
      <c r="C1217" s="15">
        <f>IFERROR(__xludf.DUMMYFUNCTION("GOOGLEFINANCE(""IDX:""&amp;A1217,""price"")"),300.0)</f>
        <v>300</v>
      </c>
      <c r="D1217" s="16" t="str">
        <f>IFERROR(__xludf.DUMMYFUNCTION("IF(A1217="""","""",
SPARKLINE(
INDEX(
GOOGLEFINANCE(""IDX:""&amp;A1217,""close"",TODAY()-365,TODAY()),
,2
),
{""linewidth"",1}
))
"),"#N/A")</f>
        <v>#N/A</v>
      </c>
      <c r="E1217" s="17" t="s">
        <v>175</v>
      </c>
      <c r="F1217" s="14" t="s">
        <v>34</v>
      </c>
      <c r="G1217" s="18">
        <f t="shared" si="8"/>
        <v>2</v>
      </c>
      <c r="H1217" s="19">
        <f>VLOOKUP(A1217,Metrik!$C$2:$Y$959,8,0)</f>
        <v>10.6</v>
      </c>
      <c r="I1217" s="20">
        <f>VLOOKUP(A1217,Metrik!$C$2:$Y$959,9,0)</f>
        <v>1.9</v>
      </c>
      <c r="J1217" s="20">
        <f>VLOOKUP(A1217,Metrik!$C$2:$Y$959,10,0)</f>
        <v>18.1</v>
      </c>
      <c r="K1217" s="20">
        <f>VLOOKUP(A1217,Metrik!$C$2:$Y$959,11,0)</f>
        <v>9</v>
      </c>
      <c r="L1217" s="20">
        <f>VLOOKUP(A1217,Metrik!$C$2:$Y$959,12,0)</f>
        <v>1</v>
      </c>
      <c r="M1217" s="20">
        <f>VLOOKUP(A1217,Metrik!$C$2:$Y$959,19,0)</f>
        <v>14.8</v>
      </c>
      <c r="N1217" s="21"/>
      <c r="O1217" s="21"/>
      <c r="P1217" s="21"/>
      <c r="Q1217" s="21"/>
      <c r="R1217" s="21"/>
      <c r="S1217" s="21"/>
      <c r="T1217" s="21"/>
      <c r="U1217" s="22">
        <f>IFERROR(__xludf.DUMMYFUNCTION("IFERROR(GOOGLEFINANCE(A1217,""closeyest""),"""")"),296.0)</f>
        <v>296</v>
      </c>
      <c r="V1217" s="23">
        <f>IFERROR(__xludf.DUMMYFUNCTION("IFERROR(GOOGLEFINANCE(A1217,""changepct""),"""")"),1.35)</f>
        <v>1.35</v>
      </c>
      <c r="W1217" s="22">
        <f>IFERROR(__xludf.DUMMYFUNCTION("IFERROR(GOOGLEFINANCE(A1217,""priceopen""),"""")"),300.0)</f>
        <v>300</v>
      </c>
      <c r="X1217" s="22">
        <f>IFERROR(__xludf.DUMMYFUNCTION("IFERROR(GOOGLEFINANCE(A1217,""high""),"""")"),302.0)</f>
        <v>302</v>
      </c>
      <c r="Y1217" s="22">
        <f>IFERROR(__xludf.DUMMYFUNCTION("IFERROR(GOOGLEFINANCE(A1217,""low""),"""")"),290.0)</f>
        <v>290</v>
      </c>
      <c r="Z1217" s="22">
        <f>IFERROR(__xludf.DUMMYFUNCTION("IFERROR(GOOGLEFINANCE(A1217,""volume""),"""")"),1.07133E7)</f>
        <v>10713300</v>
      </c>
      <c r="AA1217" s="24" t="str">
        <f>VLOOKUP(A1217,Metrik!$C$2:$Y$959,5,0)</f>
        <v>Food &amp; Staples Retailing</v>
      </c>
      <c r="AB1217" s="24" t="str">
        <f>VLOOKUP(A1217,Metrik!$C$2:$Y$959,3,0)</f>
        <v>Consumer Non-Cyclicals</v>
      </c>
    </row>
    <row r="1218">
      <c r="A1218" s="14" t="s">
        <v>641</v>
      </c>
      <c r="B1218" s="14" t="str">
        <f t="array" ref="B1218">VLOOKUP(A1218,{Metrik!$C$2:$C$998,Metrik!$B$2:$B$998},2,0)</f>
        <v>Midi Utama Indonesia Tbk</v>
      </c>
      <c r="C1218" s="15">
        <f>IFERROR(__xludf.DUMMYFUNCTION("GOOGLEFINANCE(""IDX:""&amp;A1218,""price"")"),300.0)</f>
        <v>300</v>
      </c>
      <c r="D1218" s="16" t="str">
        <f>IFERROR(__xludf.DUMMYFUNCTION("IF(A1218="""","""",
SPARKLINE(
INDEX(
GOOGLEFINANCE(""IDX:""&amp;A1218,""close"",TODAY()-365,TODAY()),
,2
),
{""linewidth"",1}
))
"),"#N/A")</f>
        <v>#N/A</v>
      </c>
      <c r="E1218" s="14" t="s">
        <v>41</v>
      </c>
      <c r="F1218" s="14" t="s">
        <v>34</v>
      </c>
      <c r="G1218" s="24">
        <f t="shared" si="8"/>
        <v>2</v>
      </c>
      <c r="H1218" s="19">
        <f>VLOOKUP(A1218,Metrik!$C$2:$Y$959,8,0)</f>
        <v>10.6</v>
      </c>
      <c r="I1218" s="20">
        <f>VLOOKUP(A1218,Metrik!$C$2:$Y$959,9,0)</f>
        <v>1.9</v>
      </c>
      <c r="J1218" s="20">
        <f>VLOOKUP(A1218,Metrik!$C$2:$Y$959,10,0)</f>
        <v>18.1</v>
      </c>
      <c r="K1218" s="20">
        <f>VLOOKUP(A1218,Metrik!$C$2:$Y$959,11,0)</f>
        <v>9</v>
      </c>
      <c r="L1218" s="20">
        <f>VLOOKUP(A1218,Metrik!$C$2:$Y$959,12,0)</f>
        <v>1</v>
      </c>
      <c r="M1218" s="20">
        <f>VLOOKUP(A1218,Metrik!$C$2:$Y$959,19,0)</f>
        <v>14.8</v>
      </c>
      <c r="N1218" s="21"/>
      <c r="O1218" s="21"/>
      <c r="P1218" s="21"/>
      <c r="Q1218" s="21"/>
      <c r="R1218" s="21"/>
      <c r="S1218" s="21"/>
      <c r="T1218" s="21"/>
      <c r="U1218" s="22">
        <f>IFERROR(__xludf.DUMMYFUNCTION("IFERROR(GOOGLEFINANCE(A1218,""closeyest""),"""")"),296.0)</f>
        <v>296</v>
      </c>
      <c r="V1218" s="23">
        <f>IFERROR(__xludf.DUMMYFUNCTION("IFERROR(GOOGLEFINANCE(A1218,""changepct""),"""")"),1.35)</f>
        <v>1.35</v>
      </c>
      <c r="W1218" s="22">
        <f>IFERROR(__xludf.DUMMYFUNCTION("IFERROR(GOOGLEFINANCE(A1218,""priceopen""),"""")"),300.0)</f>
        <v>300</v>
      </c>
      <c r="X1218" s="22">
        <f>IFERROR(__xludf.DUMMYFUNCTION("IFERROR(GOOGLEFINANCE(A1218,""high""),"""")"),302.0)</f>
        <v>302</v>
      </c>
      <c r="Y1218" s="22">
        <f>IFERROR(__xludf.DUMMYFUNCTION("IFERROR(GOOGLEFINANCE(A1218,""low""),"""")"),290.0)</f>
        <v>290</v>
      </c>
      <c r="Z1218" s="22">
        <f>IFERROR(__xludf.DUMMYFUNCTION("IFERROR(GOOGLEFINANCE(A1218,""volume""),"""")"),1.07133E7)</f>
        <v>10713300</v>
      </c>
      <c r="AA1218" s="24" t="str">
        <f>VLOOKUP(A1218,Metrik!$C$2:$Y$959,5,0)</f>
        <v>Food &amp; Staples Retailing</v>
      </c>
      <c r="AB1218" s="24" t="str">
        <f>VLOOKUP(A1218,Metrik!$C$2:$Y$959,3,0)</f>
        <v>Consumer Non-Cyclicals</v>
      </c>
    </row>
    <row r="1219">
      <c r="A1219" s="14" t="s">
        <v>642</v>
      </c>
      <c r="B1219" s="14" t="str">
        <f t="array" ref="B1219">VLOOKUP(A1219,{Metrik!$C$2:$C$998,Metrik!$B$2:$B$998},2,0)</f>
        <v>PT Mitra Keluarga Karyasehat Tbk.</v>
      </c>
      <c r="C1219" s="15">
        <f>IFERROR(__xludf.DUMMYFUNCTION("GOOGLEFINANCE(""IDX:""&amp;A1219,""price"")"),1530.0)</f>
        <v>1530</v>
      </c>
      <c r="D1219" s="16" t="str">
        <f>IFERROR(__xludf.DUMMYFUNCTION("IF(A1219="""","""",
SPARKLINE(
INDEX(
GOOGLEFINANCE(""IDX:""&amp;A1219,""close"",TODAY()-365,TODAY()),
,2
),
{""linewidth"",1}
))
"),"#N/A")</f>
        <v>#N/A</v>
      </c>
      <c r="E1219" s="14" t="s">
        <v>54</v>
      </c>
      <c r="F1219" s="14" t="s">
        <v>34</v>
      </c>
      <c r="G1219" s="24">
        <f t="shared" si="8"/>
        <v>10</v>
      </c>
      <c r="H1219" s="19">
        <f>VLOOKUP(A1219,Metrik!$C$2:$Y$959,8,0)</f>
        <v>16.3</v>
      </c>
      <c r="I1219" s="20">
        <f>VLOOKUP(A1219,Metrik!$C$2:$Y$959,9,0)</f>
        <v>2.7</v>
      </c>
      <c r="J1219" s="20">
        <f>VLOOKUP(A1219,Metrik!$C$2:$Y$959,10,0)</f>
        <v>16.2</v>
      </c>
      <c r="K1219" s="20">
        <f>VLOOKUP(A1219,Metrik!$C$2:$Y$959,11,0)</f>
        <v>14.3</v>
      </c>
      <c r="L1219" s="20">
        <f>VLOOKUP(A1219,Metrik!$C$2:$Y$959,12,0)</f>
        <v>0.13</v>
      </c>
      <c r="M1219" s="20">
        <f>VLOOKUP(A1219,Metrik!$C$2:$Y$959,19,0)</f>
        <v>100</v>
      </c>
      <c r="N1219" s="21"/>
      <c r="O1219" s="21"/>
      <c r="P1219" s="21"/>
      <c r="Q1219" s="21"/>
      <c r="R1219" s="21"/>
      <c r="S1219" s="21"/>
      <c r="T1219" s="21"/>
      <c r="U1219" s="22">
        <f>IFERROR(__xludf.DUMMYFUNCTION("IFERROR(GOOGLEFINANCE(A1219,""closeyest""),"""")"),1500.0)</f>
        <v>1500</v>
      </c>
      <c r="V1219" s="23">
        <f>IFERROR(__xludf.DUMMYFUNCTION("IFERROR(GOOGLEFINANCE(A1219,""changepct""),"""")"),2.0)</f>
        <v>2</v>
      </c>
      <c r="W1219" s="22">
        <f>IFERROR(__xludf.DUMMYFUNCTION("IFERROR(GOOGLEFINANCE(A1219,""priceopen""),"""")"),1500.0)</f>
        <v>1500</v>
      </c>
      <c r="X1219" s="22">
        <f>IFERROR(__xludf.DUMMYFUNCTION("IFERROR(GOOGLEFINANCE(A1219,""high""),"""")"),1570.0)</f>
        <v>1570</v>
      </c>
      <c r="Y1219" s="22">
        <f>IFERROR(__xludf.DUMMYFUNCTION("IFERROR(GOOGLEFINANCE(A1219,""low""),"""")"),1500.0)</f>
        <v>1500</v>
      </c>
      <c r="Z1219" s="22">
        <f>IFERROR(__xludf.DUMMYFUNCTION("IFERROR(GOOGLEFINANCE(A1219,""volume""),"""")"),3752200.0)</f>
        <v>3752200</v>
      </c>
      <c r="AA1219" s="24" t="str">
        <f>VLOOKUP(A1219,Metrik!$C$2:$Y$959,5,0)</f>
        <v>Healthcare Providers</v>
      </c>
      <c r="AB1219" s="24" t="str">
        <f>VLOOKUP(A1219,Metrik!$C$2:$Y$959,3,0)</f>
        <v>Healthcare</v>
      </c>
    </row>
    <row r="1220">
      <c r="A1220" s="14" t="s">
        <v>642</v>
      </c>
      <c r="B1220" s="14" t="str">
        <f t="array" ref="B1220">VLOOKUP(A1220,{Metrik!$C$2:$C$998,Metrik!$B$2:$B$998},2,0)</f>
        <v>PT Mitra Keluarga Karyasehat Tbk.</v>
      </c>
      <c r="C1220" s="15">
        <f>IFERROR(__xludf.DUMMYFUNCTION("GOOGLEFINANCE(""IDX:""&amp;A1220,""price"")"),1530.0)</f>
        <v>1530</v>
      </c>
      <c r="D1220" s="16" t="str">
        <f>IFERROR(__xludf.DUMMYFUNCTION("IF(A1220="""","""",
SPARKLINE(
INDEX(
GOOGLEFINANCE(""IDX:""&amp;A1220,""close"",TODAY()-365,TODAY()),
,2
),
{""linewidth"",1}
))
"),"#N/A")</f>
        <v>#N/A</v>
      </c>
      <c r="E1220" s="14" t="s">
        <v>32</v>
      </c>
      <c r="F1220" s="14" t="s">
        <v>29</v>
      </c>
      <c r="G1220" s="24">
        <f t="shared" si="8"/>
        <v>10</v>
      </c>
      <c r="H1220" s="19">
        <f>VLOOKUP(A1220,Metrik!$C$2:$Y$959,8,0)</f>
        <v>16.3</v>
      </c>
      <c r="I1220" s="20">
        <f>VLOOKUP(A1220,Metrik!$C$2:$Y$959,9,0)</f>
        <v>2.7</v>
      </c>
      <c r="J1220" s="20">
        <f>VLOOKUP(A1220,Metrik!$C$2:$Y$959,10,0)</f>
        <v>16.2</v>
      </c>
      <c r="K1220" s="20">
        <f>VLOOKUP(A1220,Metrik!$C$2:$Y$959,11,0)</f>
        <v>14.3</v>
      </c>
      <c r="L1220" s="20">
        <f>VLOOKUP(A1220,Metrik!$C$2:$Y$959,12,0)</f>
        <v>0.13</v>
      </c>
      <c r="M1220" s="20">
        <f>VLOOKUP(A1220,Metrik!$C$2:$Y$959,19,0)</f>
        <v>100</v>
      </c>
      <c r="N1220" s="21"/>
      <c r="O1220" s="21"/>
      <c r="P1220" s="21"/>
      <c r="Q1220" s="21"/>
      <c r="R1220" s="21"/>
      <c r="S1220" s="21"/>
      <c r="T1220" s="21"/>
      <c r="U1220" s="22">
        <f>IFERROR(__xludf.DUMMYFUNCTION("IFERROR(GOOGLEFINANCE(A1220,""closeyest""),"""")"),1500.0)</f>
        <v>1500</v>
      </c>
      <c r="V1220" s="23">
        <f>IFERROR(__xludf.DUMMYFUNCTION("IFERROR(GOOGLEFINANCE(A1220,""changepct""),"""")"),2.0)</f>
        <v>2</v>
      </c>
      <c r="W1220" s="22">
        <f>IFERROR(__xludf.DUMMYFUNCTION("IFERROR(GOOGLEFINANCE(A1220,""priceopen""),"""")"),1500.0)</f>
        <v>1500</v>
      </c>
      <c r="X1220" s="22">
        <f>IFERROR(__xludf.DUMMYFUNCTION("IFERROR(GOOGLEFINANCE(A1220,""high""),"""")"),1570.0)</f>
        <v>1570</v>
      </c>
      <c r="Y1220" s="22">
        <f>IFERROR(__xludf.DUMMYFUNCTION("IFERROR(GOOGLEFINANCE(A1220,""low""),"""")"),1500.0)</f>
        <v>1500</v>
      </c>
      <c r="Z1220" s="22">
        <f>IFERROR(__xludf.DUMMYFUNCTION("IFERROR(GOOGLEFINANCE(A1220,""volume""),"""")"),3752200.0)</f>
        <v>3752200</v>
      </c>
      <c r="AA1220" s="24" t="str">
        <f>VLOOKUP(A1220,Metrik!$C$2:$Y$959,5,0)</f>
        <v>Healthcare Providers</v>
      </c>
      <c r="AB1220" s="24" t="str">
        <f>VLOOKUP(A1220,Metrik!$C$2:$Y$959,3,0)</f>
        <v>Healthcare</v>
      </c>
    </row>
    <row r="1221">
      <c r="A1221" s="14" t="s">
        <v>642</v>
      </c>
      <c r="B1221" s="14" t="str">
        <f t="array" ref="B1221">VLOOKUP(A1221,{Metrik!$C$2:$C$998,Metrik!$B$2:$B$998},2,0)</f>
        <v>PT Mitra Keluarga Karyasehat Tbk.</v>
      </c>
      <c r="C1221" s="15">
        <f>IFERROR(__xludf.DUMMYFUNCTION("GOOGLEFINANCE(""IDX:""&amp;A1221,""price"")"),1530.0)</f>
        <v>1530</v>
      </c>
      <c r="D1221" s="16" t="str">
        <f>IFERROR(__xludf.DUMMYFUNCTION("IF(A1221="""","""",
SPARKLINE(
INDEX(
GOOGLEFINANCE(""IDX:""&amp;A1221,""close"",TODAY()-365,TODAY()),
,2
),
{""linewidth"",1}
))
"),"#N/A")</f>
        <v>#N/A</v>
      </c>
      <c r="E1221" s="14" t="s">
        <v>102</v>
      </c>
      <c r="F1221" s="27" t="s">
        <v>53</v>
      </c>
      <c r="G1221" s="24">
        <f t="shared" si="8"/>
        <v>10</v>
      </c>
      <c r="H1221" s="19">
        <f>VLOOKUP(A1221,Metrik!$C$2:$Y$959,8,0)</f>
        <v>16.3</v>
      </c>
      <c r="I1221" s="20">
        <f>VLOOKUP(A1221,Metrik!$C$2:$Y$959,9,0)</f>
        <v>2.7</v>
      </c>
      <c r="J1221" s="20">
        <f>VLOOKUP(A1221,Metrik!$C$2:$Y$959,10,0)</f>
        <v>16.2</v>
      </c>
      <c r="K1221" s="20">
        <f>VLOOKUP(A1221,Metrik!$C$2:$Y$959,11,0)</f>
        <v>14.3</v>
      </c>
      <c r="L1221" s="20">
        <f>VLOOKUP(A1221,Metrik!$C$2:$Y$959,12,0)</f>
        <v>0.13</v>
      </c>
      <c r="M1221" s="20">
        <f>VLOOKUP(A1221,Metrik!$C$2:$Y$959,19,0)</f>
        <v>100</v>
      </c>
      <c r="N1221" s="21"/>
      <c r="O1221" s="21"/>
      <c r="P1221" s="21"/>
      <c r="Q1221" s="21"/>
      <c r="R1221" s="21"/>
      <c r="S1221" s="21"/>
      <c r="T1221" s="21"/>
      <c r="U1221" s="22">
        <f>IFERROR(__xludf.DUMMYFUNCTION("IFERROR(GOOGLEFINANCE(A1221,""closeyest""),"""")"),1500.0)</f>
        <v>1500</v>
      </c>
      <c r="V1221" s="23">
        <f>IFERROR(__xludf.DUMMYFUNCTION("IFERROR(GOOGLEFINANCE(A1221,""changepct""),"""")"),2.0)</f>
        <v>2</v>
      </c>
      <c r="W1221" s="22">
        <f>IFERROR(__xludf.DUMMYFUNCTION("IFERROR(GOOGLEFINANCE(A1221,""priceopen""),"""")"),1500.0)</f>
        <v>1500</v>
      </c>
      <c r="X1221" s="22">
        <f>IFERROR(__xludf.DUMMYFUNCTION("IFERROR(GOOGLEFINANCE(A1221,""high""),"""")"),1570.0)</f>
        <v>1570</v>
      </c>
      <c r="Y1221" s="22">
        <f>IFERROR(__xludf.DUMMYFUNCTION("IFERROR(GOOGLEFINANCE(A1221,""low""),"""")"),1500.0)</f>
        <v>1500</v>
      </c>
      <c r="Z1221" s="22">
        <f>IFERROR(__xludf.DUMMYFUNCTION("IFERROR(GOOGLEFINANCE(A1221,""volume""),"""")"),3752200.0)</f>
        <v>3752200</v>
      </c>
      <c r="AA1221" s="24" t="str">
        <f>VLOOKUP(A1221,Metrik!$C$2:$Y$959,5,0)</f>
        <v>Healthcare Providers</v>
      </c>
      <c r="AB1221" s="24" t="str">
        <f>VLOOKUP(A1221,Metrik!$C$2:$Y$959,3,0)</f>
        <v>Healthcare</v>
      </c>
    </row>
    <row r="1222">
      <c r="A1222" s="14" t="s">
        <v>642</v>
      </c>
      <c r="B1222" s="14" t="str">
        <f t="array" ref="B1222">VLOOKUP(A1222,{Metrik!$C$2:$C$998,Metrik!$B$2:$B$998},2,0)</f>
        <v>PT Mitra Keluarga Karyasehat Tbk.</v>
      </c>
      <c r="C1222" s="15">
        <f>IFERROR(__xludf.DUMMYFUNCTION("GOOGLEFINANCE(""IDX:""&amp;A1222,""price"")"),1530.0)</f>
        <v>1530</v>
      </c>
      <c r="D1222" s="16" t="str">
        <f>IFERROR(__xludf.DUMMYFUNCTION("IF(A1222="""","""",
SPARKLINE(
INDEX(
GOOGLEFINANCE(""IDX:""&amp;A1222,""close"",TODAY()-365,TODAY()),
,2
),
{""linewidth"",1}
))
"),"#N/A")</f>
        <v>#N/A</v>
      </c>
      <c r="E1222" s="14" t="s">
        <v>84</v>
      </c>
      <c r="F1222" s="17" t="s">
        <v>51</v>
      </c>
      <c r="G1222" s="24">
        <f t="shared" si="8"/>
        <v>10</v>
      </c>
      <c r="H1222" s="19">
        <f>VLOOKUP(A1222,Metrik!$C$2:$Y$959,8,0)</f>
        <v>16.3</v>
      </c>
      <c r="I1222" s="20">
        <f>VLOOKUP(A1222,Metrik!$C$2:$Y$959,9,0)</f>
        <v>2.7</v>
      </c>
      <c r="J1222" s="20">
        <f>VLOOKUP(A1222,Metrik!$C$2:$Y$959,10,0)</f>
        <v>16.2</v>
      </c>
      <c r="K1222" s="20">
        <f>VLOOKUP(A1222,Metrik!$C$2:$Y$959,11,0)</f>
        <v>14.3</v>
      </c>
      <c r="L1222" s="20">
        <f>VLOOKUP(A1222,Metrik!$C$2:$Y$959,12,0)</f>
        <v>0.13</v>
      </c>
      <c r="M1222" s="20">
        <f>VLOOKUP(A1222,Metrik!$C$2:$Y$959,19,0)</f>
        <v>100</v>
      </c>
      <c r="N1222" s="21"/>
      <c r="O1222" s="21"/>
      <c r="P1222" s="21"/>
      <c r="Q1222" s="21"/>
      <c r="R1222" s="21"/>
      <c r="S1222" s="21"/>
      <c r="T1222" s="21"/>
      <c r="U1222" s="22">
        <f>IFERROR(__xludf.DUMMYFUNCTION("IFERROR(GOOGLEFINANCE(A1222,""closeyest""),"""")"),1500.0)</f>
        <v>1500</v>
      </c>
      <c r="V1222" s="23">
        <f>IFERROR(__xludf.DUMMYFUNCTION("IFERROR(GOOGLEFINANCE(A1222,""changepct""),"""")"),2.0)</f>
        <v>2</v>
      </c>
      <c r="W1222" s="22">
        <f>IFERROR(__xludf.DUMMYFUNCTION("IFERROR(GOOGLEFINANCE(A1222,""priceopen""),"""")"),1500.0)</f>
        <v>1500</v>
      </c>
      <c r="X1222" s="22">
        <f>IFERROR(__xludf.DUMMYFUNCTION("IFERROR(GOOGLEFINANCE(A1222,""high""),"""")"),1570.0)</f>
        <v>1570</v>
      </c>
      <c r="Y1222" s="22">
        <f>IFERROR(__xludf.DUMMYFUNCTION("IFERROR(GOOGLEFINANCE(A1222,""low""),"""")"),1500.0)</f>
        <v>1500</v>
      </c>
      <c r="Z1222" s="22">
        <f>IFERROR(__xludf.DUMMYFUNCTION("IFERROR(GOOGLEFINANCE(A1222,""volume""),"""")"),3752200.0)</f>
        <v>3752200</v>
      </c>
      <c r="AA1222" s="24" t="str">
        <f>VLOOKUP(A1222,Metrik!$C$2:$Y$959,5,0)</f>
        <v>Healthcare Providers</v>
      </c>
      <c r="AB1222" s="24" t="str">
        <f>VLOOKUP(A1222,Metrik!$C$2:$Y$959,3,0)</f>
        <v>Healthcare</v>
      </c>
    </row>
    <row r="1223">
      <c r="A1223" s="14" t="s">
        <v>642</v>
      </c>
      <c r="B1223" s="14" t="str">
        <f t="array" ref="B1223">VLOOKUP(A1223,{Metrik!$C$2:$C$998,Metrik!$B$2:$B$998},2,0)</f>
        <v>PT Mitra Keluarga Karyasehat Tbk.</v>
      </c>
      <c r="C1223" s="15">
        <f>IFERROR(__xludf.DUMMYFUNCTION("GOOGLEFINANCE(""IDX:""&amp;A1223,""price"")"),1530.0)</f>
        <v>1530</v>
      </c>
      <c r="D1223" s="16" t="str">
        <f>IFERROR(__xludf.DUMMYFUNCTION("IF(A1223="""","""",
SPARKLINE(
INDEX(
GOOGLEFINANCE(""IDX:""&amp;A1223,""close"",TODAY()-365,TODAY()),
,2
),
{""linewidth"",1}
))
"),"#N/A")</f>
        <v>#N/A</v>
      </c>
      <c r="E1223" s="14" t="s">
        <v>28</v>
      </c>
      <c r="F1223" s="17" t="s">
        <v>29</v>
      </c>
      <c r="G1223" s="24">
        <f t="shared" si="8"/>
        <v>10</v>
      </c>
      <c r="H1223" s="19">
        <f>VLOOKUP(A1223,Metrik!$C$2:$Y$959,8,0)</f>
        <v>16.3</v>
      </c>
      <c r="I1223" s="20">
        <f>VLOOKUP(A1223,Metrik!$C$2:$Y$959,9,0)</f>
        <v>2.7</v>
      </c>
      <c r="J1223" s="20">
        <f>VLOOKUP(A1223,Metrik!$C$2:$Y$959,10,0)</f>
        <v>16.2</v>
      </c>
      <c r="K1223" s="20">
        <f>VLOOKUP(A1223,Metrik!$C$2:$Y$959,11,0)</f>
        <v>14.3</v>
      </c>
      <c r="L1223" s="20">
        <f>VLOOKUP(A1223,Metrik!$C$2:$Y$959,12,0)</f>
        <v>0.13</v>
      </c>
      <c r="M1223" s="20">
        <f>VLOOKUP(A1223,Metrik!$C$2:$Y$959,19,0)</f>
        <v>100</v>
      </c>
      <c r="N1223" s="21"/>
      <c r="O1223" s="21"/>
      <c r="P1223" s="21"/>
      <c r="Q1223" s="21"/>
      <c r="R1223" s="21"/>
      <c r="S1223" s="21"/>
      <c r="T1223" s="21"/>
      <c r="U1223" s="22">
        <f>IFERROR(__xludf.DUMMYFUNCTION("IFERROR(GOOGLEFINANCE(A1223,""closeyest""),"""")"),1500.0)</f>
        <v>1500</v>
      </c>
      <c r="V1223" s="23">
        <f>IFERROR(__xludf.DUMMYFUNCTION("IFERROR(GOOGLEFINANCE(A1223,""changepct""),"""")"),2.0)</f>
        <v>2</v>
      </c>
      <c r="W1223" s="22">
        <f>IFERROR(__xludf.DUMMYFUNCTION("IFERROR(GOOGLEFINANCE(A1223,""priceopen""),"""")"),1500.0)</f>
        <v>1500</v>
      </c>
      <c r="X1223" s="22">
        <f>IFERROR(__xludf.DUMMYFUNCTION("IFERROR(GOOGLEFINANCE(A1223,""high""),"""")"),1570.0)</f>
        <v>1570</v>
      </c>
      <c r="Y1223" s="22">
        <f>IFERROR(__xludf.DUMMYFUNCTION("IFERROR(GOOGLEFINANCE(A1223,""low""),"""")"),1500.0)</f>
        <v>1500</v>
      </c>
      <c r="Z1223" s="22">
        <f>IFERROR(__xludf.DUMMYFUNCTION("IFERROR(GOOGLEFINANCE(A1223,""volume""),"""")"),3752200.0)</f>
        <v>3752200</v>
      </c>
      <c r="AA1223" s="24" t="str">
        <f>VLOOKUP(A1223,Metrik!$C$2:$Y$959,5,0)</f>
        <v>Healthcare Providers</v>
      </c>
      <c r="AB1223" s="24" t="str">
        <f>VLOOKUP(A1223,Metrik!$C$2:$Y$959,3,0)</f>
        <v>Healthcare</v>
      </c>
    </row>
    <row r="1224">
      <c r="A1224" s="14" t="s">
        <v>642</v>
      </c>
      <c r="B1224" s="14" t="str">
        <f t="array" ref="B1224">VLOOKUP(A1224,{Metrik!$C$2:$C$998,Metrik!$B$2:$B$998},2,0)</f>
        <v>PT Mitra Keluarga Karyasehat Tbk.</v>
      </c>
      <c r="C1224" s="15">
        <f>IFERROR(__xludf.DUMMYFUNCTION("GOOGLEFINANCE(""IDX:""&amp;A1224,""price"")"),1530.0)</f>
        <v>1530</v>
      </c>
      <c r="D1224" s="16" t="str">
        <f>IFERROR(__xludf.DUMMYFUNCTION("IF(A1224="""","""",
SPARKLINE(
INDEX(
GOOGLEFINANCE(""IDX:""&amp;A1224,""close"",TODAY()-365,TODAY()),
,2
),
{""linewidth"",1}
))
"),"#N/A")</f>
        <v>#N/A</v>
      </c>
      <c r="E1224" s="14" t="s">
        <v>67</v>
      </c>
      <c r="F1224" s="17" t="s">
        <v>51</v>
      </c>
      <c r="G1224" s="24">
        <f t="shared" si="8"/>
        <v>10</v>
      </c>
      <c r="H1224" s="19">
        <f>VLOOKUP(A1224,Metrik!$C$2:$Y$959,8,0)</f>
        <v>16.3</v>
      </c>
      <c r="I1224" s="20">
        <f>VLOOKUP(A1224,Metrik!$C$2:$Y$959,9,0)</f>
        <v>2.7</v>
      </c>
      <c r="J1224" s="20">
        <f>VLOOKUP(A1224,Metrik!$C$2:$Y$959,10,0)</f>
        <v>16.2</v>
      </c>
      <c r="K1224" s="20">
        <f>VLOOKUP(A1224,Metrik!$C$2:$Y$959,11,0)</f>
        <v>14.3</v>
      </c>
      <c r="L1224" s="20">
        <f>VLOOKUP(A1224,Metrik!$C$2:$Y$959,12,0)</f>
        <v>0.13</v>
      </c>
      <c r="M1224" s="20">
        <f>VLOOKUP(A1224,Metrik!$C$2:$Y$959,19,0)</f>
        <v>100</v>
      </c>
      <c r="N1224" s="21"/>
      <c r="O1224" s="21"/>
      <c r="P1224" s="21"/>
      <c r="Q1224" s="21"/>
      <c r="R1224" s="21"/>
      <c r="S1224" s="21"/>
      <c r="T1224" s="21"/>
      <c r="U1224" s="22">
        <f>IFERROR(__xludf.DUMMYFUNCTION("IFERROR(GOOGLEFINANCE(A1224,""closeyest""),"""")"),1500.0)</f>
        <v>1500</v>
      </c>
      <c r="V1224" s="23">
        <f>IFERROR(__xludf.DUMMYFUNCTION("IFERROR(GOOGLEFINANCE(A1224,""changepct""),"""")"),2.0)</f>
        <v>2</v>
      </c>
      <c r="W1224" s="22">
        <f>IFERROR(__xludf.DUMMYFUNCTION("IFERROR(GOOGLEFINANCE(A1224,""priceopen""),"""")"),1500.0)</f>
        <v>1500</v>
      </c>
      <c r="X1224" s="22">
        <f>IFERROR(__xludf.DUMMYFUNCTION("IFERROR(GOOGLEFINANCE(A1224,""high""),"""")"),1570.0)</f>
        <v>1570</v>
      </c>
      <c r="Y1224" s="22">
        <f>IFERROR(__xludf.DUMMYFUNCTION("IFERROR(GOOGLEFINANCE(A1224,""low""),"""")"),1500.0)</f>
        <v>1500</v>
      </c>
      <c r="Z1224" s="22">
        <f>IFERROR(__xludf.DUMMYFUNCTION("IFERROR(GOOGLEFINANCE(A1224,""volume""),"""")"),3752200.0)</f>
        <v>3752200</v>
      </c>
      <c r="AA1224" s="24" t="str">
        <f>VLOOKUP(A1224,Metrik!$C$2:$Y$959,5,0)</f>
        <v>Healthcare Providers</v>
      </c>
      <c r="AB1224" s="24" t="str">
        <f>VLOOKUP(A1224,Metrik!$C$2:$Y$959,3,0)</f>
        <v>Healthcare</v>
      </c>
    </row>
    <row r="1225">
      <c r="A1225" s="14" t="s">
        <v>642</v>
      </c>
      <c r="B1225" s="14" t="str">
        <f t="array" ref="B1225">VLOOKUP(A1225,{Metrik!$C$2:$C$998,Metrik!$B$2:$B$998},2,0)</f>
        <v>PT Mitra Keluarga Karyasehat Tbk.</v>
      </c>
      <c r="C1225" s="15">
        <f>IFERROR(__xludf.DUMMYFUNCTION("GOOGLEFINANCE(""IDX:""&amp;A1225,""price"")"),1530.0)</f>
        <v>1530</v>
      </c>
      <c r="D1225" s="16" t="str">
        <f>IFERROR(__xludf.DUMMYFUNCTION("IF(A1225="""","""",
SPARKLINE(
INDEX(
GOOGLEFINANCE(""IDX:""&amp;A1225,""close"",TODAY()-365,TODAY()),
,2
),
{""linewidth"",1}
))
"),"#N/A")</f>
        <v>#N/A</v>
      </c>
      <c r="E1225" s="14" t="s">
        <v>50</v>
      </c>
      <c r="F1225" s="17" t="s">
        <v>51</v>
      </c>
      <c r="G1225" s="24">
        <f t="shared" si="8"/>
        <v>10</v>
      </c>
      <c r="H1225" s="19">
        <f>VLOOKUP(A1225,Metrik!$C$2:$Y$959,8,0)</f>
        <v>16.3</v>
      </c>
      <c r="I1225" s="20">
        <f>VLOOKUP(A1225,Metrik!$C$2:$Y$959,9,0)</f>
        <v>2.7</v>
      </c>
      <c r="J1225" s="20">
        <f>VLOOKUP(A1225,Metrik!$C$2:$Y$959,10,0)</f>
        <v>16.2</v>
      </c>
      <c r="K1225" s="20">
        <f>VLOOKUP(A1225,Metrik!$C$2:$Y$959,11,0)</f>
        <v>14.3</v>
      </c>
      <c r="L1225" s="20">
        <f>VLOOKUP(A1225,Metrik!$C$2:$Y$959,12,0)</f>
        <v>0.13</v>
      </c>
      <c r="M1225" s="20">
        <f>VLOOKUP(A1225,Metrik!$C$2:$Y$959,19,0)</f>
        <v>100</v>
      </c>
      <c r="N1225" s="21"/>
      <c r="O1225" s="21"/>
      <c r="P1225" s="21"/>
      <c r="Q1225" s="21"/>
      <c r="R1225" s="21"/>
      <c r="S1225" s="21"/>
      <c r="T1225" s="21"/>
      <c r="U1225" s="22">
        <f>IFERROR(__xludf.DUMMYFUNCTION("IFERROR(GOOGLEFINANCE(A1225,""closeyest""),"""")"),1500.0)</f>
        <v>1500</v>
      </c>
      <c r="V1225" s="23">
        <f>IFERROR(__xludf.DUMMYFUNCTION("IFERROR(GOOGLEFINANCE(A1225,""changepct""),"""")"),2.0)</f>
        <v>2</v>
      </c>
      <c r="W1225" s="22">
        <f>IFERROR(__xludf.DUMMYFUNCTION("IFERROR(GOOGLEFINANCE(A1225,""priceopen""),"""")"),1500.0)</f>
        <v>1500</v>
      </c>
      <c r="X1225" s="22">
        <f>IFERROR(__xludf.DUMMYFUNCTION("IFERROR(GOOGLEFINANCE(A1225,""high""),"""")"),1570.0)</f>
        <v>1570</v>
      </c>
      <c r="Y1225" s="22">
        <f>IFERROR(__xludf.DUMMYFUNCTION("IFERROR(GOOGLEFINANCE(A1225,""low""),"""")"),1500.0)</f>
        <v>1500</v>
      </c>
      <c r="Z1225" s="22">
        <f>IFERROR(__xludf.DUMMYFUNCTION("IFERROR(GOOGLEFINANCE(A1225,""volume""),"""")"),3752200.0)</f>
        <v>3752200</v>
      </c>
      <c r="AA1225" s="24" t="str">
        <f>VLOOKUP(A1225,Metrik!$C$2:$Y$959,5,0)</f>
        <v>Healthcare Providers</v>
      </c>
      <c r="AB1225" s="24" t="str">
        <f>VLOOKUP(A1225,Metrik!$C$2:$Y$959,3,0)</f>
        <v>Healthcare</v>
      </c>
    </row>
    <row r="1226">
      <c r="A1226" s="14" t="s">
        <v>642</v>
      </c>
      <c r="B1226" s="14" t="str">
        <f t="array" ref="B1226">VLOOKUP(A1226,{Metrik!$C$2:$C$998,Metrik!$B$2:$B$998},2,0)</f>
        <v>PT Mitra Keluarga Karyasehat Tbk.</v>
      </c>
      <c r="C1226" s="15">
        <f>IFERROR(__xludf.DUMMYFUNCTION("GOOGLEFINANCE(""IDX:""&amp;A1226,""price"")"),1530.0)</f>
        <v>1530</v>
      </c>
      <c r="D1226" s="16" t="str">
        <f>IFERROR(__xludf.DUMMYFUNCTION("IF(A1226="""","""",
SPARKLINE(
INDEX(
GOOGLEFINANCE(""IDX:""&amp;A1226,""close"",TODAY()-365,TODAY()),
,2
),
{""linewidth"",1}
))
"),"#N/A")</f>
        <v>#N/A</v>
      </c>
      <c r="E1226" s="14" t="s">
        <v>41</v>
      </c>
      <c r="F1226" s="14" t="s">
        <v>34</v>
      </c>
      <c r="G1226" s="24">
        <f t="shared" si="8"/>
        <v>10</v>
      </c>
      <c r="H1226" s="19">
        <f>VLOOKUP(A1226,Metrik!$C$2:$Y$959,8,0)</f>
        <v>16.3</v>
      </c>
      <c r="I1226" s="20">
        <f>VLOOKUP(A1226,Metrik!$C$2:$Y$959,9,0)</f>
        <v>2.7</v>
      </c>
      <c r="J1226" s="20">
        <f>VLOOKUP(A1226,Metrik!$C$2:$Y$959,10,0)</f>
        <v>16.2</v>
      </c>
      <c r="K1226" s="20">
        <f>VLOOKUP(A1226,Metrik!$C$2:$Y$959,11,0)</f>
        <v>14.3</v>
      </c>
      <c r="L1226" s="20">
        <f>VLOOKUP(A1226,Metrik!$C$2:$Y$959,12,0)</f>
        <v>0.13</v>
      </c>
      <c r="M1226" s="20">
        <f>VLOOKUP(A1226,Metrik!$C$2:$Y$959,19,0)</f>
        <v>100</v>
      </c>
      <c r="N1226" s="21"/>
      <c r="O1226" s="21"/>
      <c r="P1226" s="21"/>
      <c r="Q1226" s="21"/>
      <c r="R1226" s="21"/>
      <c r="S1226" s="21"/>
      <c r="T1226" s="21"/>
      <c r="U1226" s="22">
        <f>IFERROR(__xludf.DUMMYFUNCTION("IFERROR(GOOGLEFINANCE(A1226,""closeyest""),"""")"),1500.0)</f>
        <v>1500</v>
      </c>
      <c r="V1226" s="23">
        <f>IFERROR(__xludf.DUMMYFUNCTION("IFERROR(GOOGLEFINANCE(A1226,""changepct""),"""")"),2.0)</f>
        <v>2</v>
      </c>
      <c r="W1226" s="22">
        <f>IFERROR(__xludf.DUMMYFUNCTION("IFERROR(GOOGLEFINANCE(A1226,""priceopen""),"""")"),1500.0)</f>
        <v>1500</v>
      </c>
      <c r="X1226" s="22">
        <f>IFERROR(__xludf.DUMMYFUNCTION("IFERROR(GOOGLEFINANCE(A1226,""high""),"""")"),1570.0)</f>
        <v>1570</v>
      </c>
      <c r="Y1226" s="22">
        <f>IFERROR(__xludf.DUMMYFUNCTION("IFERROR(GOOGLEFINANCE(A1226,""low""),"""")"),1500.0)</f>
        <v>1500</v>
      </c>
      <c r="Z1226" s="22">
        <f>IFERROR(__xludf.DUMMYFUNCTION("IFERROR(GOOGLEFINANCE(A1226,""volume""),"""")"),3752200.0)</f>
        <v>3752200</v>
      </c>
      <c r="AA1226" s="24" t="str">
        <f>VLOOKUP(A1226,Metrik!$C$2:$Y$959,5,0)</f>
        <v>Healthcare Providers</v>
      </c>
      <c r="AB1226" s="24" t="str">
        <f>VLOOKUP(A1226,Metrik!$C$2:$Y$959,3,0)</f>
        <v>Healthcare</v>
      </c>
    </row>
    <row r="1227">
      <c r="A1227" s="17" t="s">
        <v>642</v>
      </c>
      <c r="B1227" s="14" t="str">
        <f t="array" ref="B1227">VLOOKUP(A1227,{Metrik!$C$2:$C$998,Metrik!$B$2:$B$998},2,0)</f>
        <v>PT Mitra Keluarga Karyasehat Tbk.</v>
      </c>
      <c r="C1227" s="15">
        <f>IFERROR(__xludf.DUMMYFUNCTION("GOOGLEFINANCE(""IDX:""&amp;A1227,""price"")"),1530.0)</f>
        <v>1530</v>
      </c>
      <c r="D1227" s="16" t="str">
        <f>IFERROR(__xludf.DUMMYFUNCTION("IF(A1227="""","""",
SPARKLINE(
INDEX(
GOOGLEFINANCE(""IDX:""&amp;A1227,""close"",TODAY()-365,TODAY()),
,2
),
{""linewidth"",1}
))
"),"#N/A")</f>
        <v>#N/A</v>
      </c>
      <c r="E1227" s="14" t="s">
        <v>85</v>
      </c>
      <c r="F1227" s="17" t="s">
        <v>51</v>
      </c>
      <c r="G1227" s="24">
        <f t="shared" si="8"/>
        <v>10</v>
      </c>
      <c r="H1227" s="19">
        <f>VLOOKUP(A1227,Metrik!$C$2:$Y$959,8,0)</f>
        <v>16.3</v>
      </c>
      <c r="I1227" s="20">
        <f>VLOOKUP(A1227,Metrik!$C$2:$Y$959,9,0)</f>
        <v>2.7</v>
      </c>
      <c r="J1227" s="20">
        <f>VLOOKUP(A1227,Metrik!$C$2:$Y$959,10,0)</f>
        <v>16.2</v>
      </c>
      <c r="K1227" s="20">
        <f>VLOOKUP(A1227,Metrik!$C$2:$Y$959,11,0)</f>
        <v>14.3</v>
      </c>
      <c r="L1227" s="20">
        <f>VLOOKUP(A1227,Metrik!$C$2:$Y$959,12,0)</f>
        <v>0.13</v>
      </c>
      <c r="M1227" s="20">
        <f>VLOOKUP(A1227,Metrik!$C$2:$Y$959,19,0)</f>
        <v>100</v>
      </c>
      <c r="N1227" s="21"/>
      <c r="O1227" s="21"/>
      <c r="P1227" s="21"/>
      <c r="Q1227" s="21"/>
      <c r="R1227" s="21"/>
      <c r="S1227" s="21"/>
      <c r="T1227" s="21"/>
      <c r="U1227" s="22">
        <f>IFERROR(__xludf.DUMMYFUNCTION("IFERROR(GOOGLEFINANCE(A1227,""closeyest""),"""")"),1500.0)</f>
        <v>1500</v>
      </c>
      <c r="V1227" s="23">
        <f>IFERROR(__xludf.DUMMYFUNCTION("IFERROR(GOOGLEFINANCE(A1227,""changepct""),"""")"),2.0)</f>
        <v>2</v>
      </c>
      <c r="W1227" s="22">
        <f>IFERROR(__xludf.DUMMYFUNCTION("IFERROR(GOOGLEFINANCE(A1227,""priceopen""),"""")"),1500.0)</f>
        <v>1500</v>
      </c>
      <c r="X1227" s="22">
        <f>IFERROR(__xludf.DUMMYFUNCTION("IFERROR(GOOGLEFINANCE(A1227,""high""),"""")"),1570.0)</f>
        <v>1570</v>
      </c>
      <c r="Y1227" s="22">
        <f>IFERROR(__xludf.DUMMYFUNCTION("IFERROR(GOOGLEFINANCE(A1227,""low""),"""")"),1500.0)</f>
        <v>1500</v>
      </c>
      <c r="Z1227" s="22">
        <f>IFERROR(__xludf.DUMMYFUNCTION("IFERROR(GOOGLEFINANCE(A1227,""volume""),"""")"),3752200.0)</f>
        <v>3752200</v>
      </c>
      <c r="AA1227" s="24" t="str">
        <f>VLOOKUP(A1227,Metrik!$C$2:$Y$959,5,0)</f>
        <v>Healthcare Providers</v>
      </c>
      <c r="AB1227" s="24" t="str">
        <f>VLOOKUP(A1227,Metrik!$C$2:$Y$959,3,0)</f>
        <v>Healthcare</v>
      </c>
    </row>
    <row r="1228">
      <c r="A1228" s="14" t="s">
        <v>642</v>
      </c>
      <c r="B1228" s="14" t="str">
        <f t="array" ref="B1228">VLOOKUP(A1228,{Metrik!$C$2:$C$998,Metrik!$B$2:$B$998},2,0)</f>
        <v>PT Mitra Keluarga Karyasehat Tbk.</v>
      </c>
      <c r="C1228" s="15">
        <f>IFERROR(__xludf.DUMMYFUNCTION("GOOGLEFINANCE(""IDX:""&amp;A1228,""price"")"),1530.0)</f>
        <v>1530</v>
      </c>
      <c r="D1228" s="16" t="str">
        <f>IFERROR(__xludf.DUMMYFUNCTION("IF(A1228="""","""",
SPARKLINE(
INDEX(
GOOGLEFINANCE(""IDX:""&amp;A1228,""close"",TODAY()-365,TODAY()),
,2
),
{""linewidth"",1}
))
"),"#N/A")</f>
        <v>#N/A</v>
      </c>
      <c r="E1228" s="14" t="s">
        <v>39</v>
      </c>
      <c r="F1228" s="25">
        <v>46356.0</v>
      </c>
      <c r="G1228" s="24">
        <f t="shared" si="8"/>
        <v>10</v>
      </c>
      <c r="H1228" s="19">
        <f>VLOOKUP(A1228,Metrik!$C$2:$Y$959,8,0)</f>
        <v>16.3</v>
      </c>
      <c r="I1228" s="20">
        <f>VLOOKUP(A1228,Metrik!$C$2:$Y$959,9,0)</f>
        <v>2.7</v>
      </c>
      <c r="J1228" s="20">
        <f>VLOOKUP(A1228,Metrik!$C$2:$Y$959,10,0)</f>
        <v>16.2</v>
      </c>
      <c r="K1228" s="20">
        <f>VLOOKUP(A1228,Metrik!$C$2:$Y$959,11,0)</f>
        <v>14.3</v>
      </c>
      <c r="L1228" s="20">
        <f>VLOOKUP(A1228,Metrik!$C$2:$Y$959,12,0)</f>
        <v>0.13</v>
      </c>
      <c r="M1228" s="20">
        <f>VLOOKUP(A1228,Metrik!$C$2:$Y$959,19,0)</f>
        <v>100</v>
      </c>
      <c r="N1228" s="21"/>
      <c r="O1228" s="21"/>
      <c r="P1228" s="21"/>
      <c r="Q1228" s="21"/>
      <c r="R1228" s="21"/>
      <c r="S1228" s="21"/>
      <c r="T1228" s="21"/>
      <c r="U1228" s="22">
        <f>IFERROR(__xludf.DUMMYFUNCTION("IFERROR(GOOGLEFINANCE(A1228,""closeyest""),"""")"),1500.0)</f>
        <v>1500</v>
      </c>
      <c r="V1228" s="23">
        <f>IFERROR(__xludf.DUMMYFUNCTION("IFERROR(GOOGLEFINANCE(A1228,""changepct""),"""")"),2.0)</f>
        <v>2</v>
      </c>
      <c r="W1228" s="22">
        <f>IFERROR(__xludf.DUMMYFUNCTION("IFERROR(GOOGLEFINANCE(A1228,""priceopen""),"""")"),1500.0)</f>
        <v>1500</v>
      </c>
      <c r="X1228" s="22">
        <f>IFERROR(__xludf.DUMMYFUNCTION("IFERROR(GOOGLEFINANCE(A1228,""high""),"""")"),1570.0)</f>
        <v>1570</v>
      </c>
      <c r="Y1228" s="22">
        <f>IFERROR(__xludf.DUMMYFUNCTION("IFERROR(GOOGLEFINANCE(A1228,""low""),"""")"),1500.0)</f>
        <v>1500</v>
      </c>
      <c r="Z1228" s="22">
        <f>IFERROR(__xludf.DUMMYFUNCTION("IFERROR(GOOGLEFINANCE(A1228,""volume""),"""")"),3752200.0)</f>
        <v>3752200</v>
      </c>
      <c r="AA1228" s="24" t="str">
        <f>VLOOKUP(A1228,Metrik!$C$2:$Y$959,5,0)</f>
        <v>Healthcare Providers</v>
      </c>
      <c r="AB1228" s="24" t="str">
        <f>VLOOKUP(A1228,Metrik!$C$2:$Y$959,3,0)</f>
        <v>Healthcare</v>
      </c>
    </row>
    <row r="1229">
      <c r="A1229" s="14" t="s">
        <v>643</v>
      </c>
      <c r="B1229" s="14" t="str">
        <f t="array" ref="B1229">VLOOKUP(A1229,{Metrik!$C$2:$C$998,Metrik!$B$2:$B$998},2,0)</f>
        <v>Sanurhasta Mitra Tbk.</v>
      </c>
      <c r="C1229" s="15">
        <f>IFERROR(__xludf.DUMMYFUNCTION("GOOGLEFINANCE(""IDX:""&amp;A1229,""price"")"),288.0)</f>
        <v>288</v>
      </c>
      <c r="D1229" s="16" t="str">
        <f>IFERROR(__xludf.DUMMYFUNCTION("IF(A1229="""","""",
SPARKLINE(
INDEX(
GOOGLEFINANCE(""IDX:""&amp;A1229,""close"",TODAY()-365,TODAY()),
,2
),
{""linewidth"",1}
))
"),"#N/A")</f>
        <v>#N/A</v>
      </c>
      <c r="E1229" s="26"/>
      <c r="F1229" s="26"/>
      <c r="G1229" s="24">
        <f t="shared" si="8"/>
        <v>0</v>
      </c>
      <c r="H1229" s="19">
        <f>VLOOKUP(A1229,Metrik!$C$2:$Y$959,8,0)</f>
        <v>-2030</v>
      </c>
      <c r="I1229" s="20">
        <f>VLOOKUP(A1229,Metrik!$C$2:$Y$959,9,0)</f>
        <v>13.2</v>
      </c>
      <c r="J1229" s="20">
        <f>VLOOKUP(A1229,Metrik!$C$2:$Y$959,10,0)</f>
        <v>-0.65</v>
      </c>
      <c r="K1229" s="20">
        <f>VLOOKUP(A1229,Metrik!$C$2:$Y$959,11,0)</f>
        <v>-0.64</v>
      </c>
      <c r="L1229" s="20">
        <f>VLOOKUP(A1229,Metrik!$C$2:$Y$959,12,0)</f>
        <v>0.01</v>
      </c>
      <c r="M1229" s="20">
        <f>VLOOKUP(A1229,Metrik!$C$2:$Y$959,19,0)</f>
        <v>-86.9</v>
      </c>
      <c r="N1229" s="21"/>
      <c r="O1229" s="21"/>
      <c r="P1229" s="21"/>
      <c r="Q1229" s="21"/>
      <c r="R1229" s="21"/>
      <c r="S1229" s="21"/>
      <c r="T1229" s="21"/>
      <c r="U1229" s="22" t="str">
        <f>IFERROR(__xludf.DUMMYFUNCTION("IFERROR(GOOGLEFINANCE(A1229,""closeyest""),"""")"),"")</f>
        <v/>
      </c>
      <c r="V1229" s="23" t="str">
        <f>IFERROR(__xludf.DUMMYFUNCTION("IFERROR(GOOGLEFINANCE(A1229,""changepct""),"""")"),"")</f>
        <v/>
      </c>
      <c r="W1229" s="22" t="str">
        <f>IFERROR(__xludf.DUMMYFUNCTION("IFERROR(GOOGLEFINANCE(A1229,""priceopen""),"""")"),"")</f>
        <v/>
      </c>
      <c r="X1229" s="22" t="str">
        <f>IFERROR(__xludf.DUMMYFUNCTION("IFERROR(GOOGLEFINANCE(A1229,""high""),"""")"),"")</f>
        <v/>
      </c>
      <c r="Y1229" s="22" t="str">
        <f>IFERROR(__xludf.DUMMYFUNCTION("IFERROR(GOOGLEFINANCE(A1229,""low""),"""")"),"")</f>
        <v/>
      </c>
      <c r="Z1229" s="22">
        <f>IFERROR(__xludf.DUMMYFUNCTION("IFERROR(GOOGLEFINANCE(A1229,""volume""),"""")"),0.0)</f>
        <v>0</v>
      </c>
      <c r="AA1229" s="24" t="str">
        <f>VLOOKUP(A1229,Metrik!$C$2:$Y$959,5,0)</f>
        <v>Tourism &amp; Recreation</v>
      </c>
      <c r="AB1229" s="24" t="str">
        <f>VLOOKUP(A1229,Metrik!$C$2:$Y$959,3,0)</f>
        <v>Consumer Cyclicals</v>
      </c>
    </row>
    <row r="1230">
      <c r="A1230" s="14" t="s">
        <v>644</v>
      </c>
      <c r="B1230" s="14" t="str">
        <f t="array" ref="B1230">VLOOKUP(A1230,{Metrik!$C$2:$C$998,Metrik!$B$2:$B$998},2,0)</f>
        <v>Sinar Terang Mandiri Tbk.</v>
      </c>
      <c r="C1230" s="15">
        <f>IFERROR(__xludf.DUMMYFUNCTION("GOOGLEFINANCE(""IDX:""&amp;A1230,""price"")"),216.0)</f>
        <v>216</v>
      </c>
      <c r="D1230" s="16" t="str">
        <f>IFERROR(__xludf.DUMMYFUNCTION("IF(A1230="""","""",
SPARKLINE(
INDEX(
GOOGLEFINANCE(""IDX:""&amp;A1230,""close"",TODAY()-365,TODAY()),
,2
),
{""linewidth"",1}
))
"),"#N/A")</f>
        <v>#N/A</v>
      </c>
      <c r="E1230" s="26"/>
      <c r="F1230" s="26"/>
      <c r="G1230" s="18">
        <f t="shared" si="8"/>
        <v>0</v>
      </c>
      <c r="H1230" s="19">
        <f>VLOOKUP(A1230,Metrik!$C$2:$Y$959,8,0)</f>
        <v>4.9</v>
      </c>
      <c r="I1230" s="20">
        <f>VLOOKUP(A1230,Metrik!$C$2:$Y$959,9,0)</f>
        <v>0.99</v>
      </c>
      <c r="J1230" s="20">
        <f>VLOOKUP(A1230,Metrik!$C$2:$Y$959,10,0)</f>
        <v>20.2</v>
      </c>
      <c r="K1230" s="20">
        <f>VLOOKUP(A1230,Metrik!$C$2:$Y$959,11,0)</f>
        <v>10.2</v>
      </c>
      <c r="L1230" s="20">
        <f>VLOOKUP(A1230,Metrik!$C$2:$Y$959,12,0)</f>
        <v>0.99</v>
      </c>
      <c r="M1230" s="20">
        <f>VLOOKUP(A1230,Metrik!$C$2:$Y$959,19,0)</f>
        <v>29.8</v>
      </c>
      <c r="N1230" s="21"/>
      <c r="O1230" s="21"/>
      <c r="P1230" s="21"/>
      <c r="Q1230" s="21"/>
      <c r="R1230" s="21"/>
      <c r="S1230" s="21"/>
      <c r="T1230" s="21"/>
      <c r="U1230" s="22">
        <f>IFERROR(__xludf.DUMMYFUNCTION("IFERROR(GOOGLEFINANCE(A1230,""closeyest""),"""")"),2.69)</f>
        <v>2.69</v>
      </c>
      <c r="V1230" s="23">
        <f>IFERROR(__xludf.DUMMYFUNCTION("IFERROR(GOOGLEFINANCE(A1230,""changepct""),"""")"),-1.49)</f>
        <v>-1.49</v>
      </c>
      <c r="W1230" s="22">
        <f>IFERROR(__xludf.DUMMYFUNCTION("IFERROR(GOOGLEFINANCE(A1230,""priceopen""),"""")"),2.66)</f>
        <v>2.66</v>
      </c>
      <c r="X1230" s="22">
        <f>IFERROR(__xludf.DUMMYFUNCTION("IFERROR(GOOGLEFINANCE(A1230,""high""),"""")"),2.75)</f>
        <v>2.75</v>
      </c>
      <c r="Y1230" s="22">
        <f>IFERROR(__xludf.DUMMYFUNCTION("IFERROR(GOOGLEFINANCE(A1230,""low""),"""")"),2.62)</f>
        <v>2.62</v>
      </c>
      <c r="Z1230" s="22">
        <f>IFERROR(__xludf.DUMMYFUNCTION("IFERROR(GOOGLEFINANCE(A1230,""volume""),"""")"),54396.0)</f>
        <v>54396</v>
      </c>
      <c r="AA1230" s="24" t="str">
        <f>VLOOKUP(A1230,Metrik!$C$2:$Y$959,5,0)</f>
        <v>Metals &amp; Minerals</v>
      </c>
      <c r="AB1230" s="24" t="str">
        <f>VLOOKUP(A1230,Metrik!$C$2:$Y$959,3,0)</f>
        <v>Basic Materials</v>
      </c>
    </row>
    <row r="1231">
      <c r="A1231" s="14" t="s">
        <v>645</v>
      </c>
      <c r="B1231" s="14" t="str">
        <f t="array" ref="B1231">VLOOKUP(A1231,{Metrik!$C$2:$C$998,Metrik!$B$2:$B$998},2,0)</f>
        <v>Mitra International Resources Tbk</v>
      </c>
      <c r="C1231" s="15">
        <f>IFERROR(__xludf.DUMMYFUNCTION("GOOGLEFINANCE(""IDX:""&amp;A1231,""price"")"),22.0)</f>
        <v>22</v>
      </c>
      <c r="D1231" s="16" t="str">
        <f>IFERROR(__xludf.DUMMYFUNCTION("IF(A1231="""","""",
SPARKLINE(
INDEX(
GOOGLEFINANCE(""IDX:""&amp;A1231,""close"",TODAY()-365,TODAY()),
,2
),
{""linewidth"",1}
))
"),"#N/A")</f>
        <v>#N/A</v>
      </c>
      <c r="E1231" s="26"/>
      <c r="F1231" s="26"/>
      <c r="G1231" s="24">
        <f t="shared" si="8"/>
        <v>0</v>
      </c>
      <c r="H1231" s="19">
        <f>VLOOKUP(A1231,Metrik!$C$2:$Y$959,8,0)</f>
        <v>-10.5</v>
      </c>
      <c r="I1231" s="20">
        <f>VLOOKUP(A1231,Metrik!$C$2:$Y$959,9,0)</f>
        <v>0.55</v>
      </c>
      <c r="J1231" s="20">
        <f>VLOOKUP(A1231,Metrik!$C$2:$Y$959,10,0)</f>
        <v>-5.3</v>
      </c>
      <c r="K1231" s="20">
        <f>VLOOKUP(A1231,Metrik!$C$2:$Y$959,11,0)</f>
        <v>-3.3</v>
      </c>
      <c r="L1231" s="20">
        <f>VLOOKUP(A1231,Metrik!$C$2:$Y$959,12,0)</f>
        <v>0.6</v>
      </c>
      <c r="M1231" s="20">
        <f>VLOOKUP(A1231,Metrik!$C$2:$Y$959,19,0)</f>
        <v>-56.3</v>
      </c>
      <c r="N1231" s="21"/>
      <c r="O1231" s="21"/>
      <c r="P1231" s="21"/>
      <c r="Q1231" s="21"/>
      <c r="R1231" s="21"/>
      <c r="S1231" s="21"/>
      <c r="T1231" s="21"/>
      <c r="U1231" s="22">
        <f>IFERROR(__xludf.DUMMYFUNCTION("IFERROR(GOOGLEFINANCE(A1231,""closeyest""),"""")"),0.96)</f>
        <v>0.96</v>
      </c>
      <c r="V1231" s="23">
        <f>IFERROR(__xludf.DUMMYFUNCTION("IFERROR(GOOGLEFINANCE(A1231,""changepct""),"""")"),-2.08)</f>
        <v>-2.08</v>
      </c>
      <c r="W1231" s="22">
        <f>IFERROR(__xludf.DUMMYFUNCTION("IFERROR(GOOGLEFINANCE(A1231,""priceopen""),"""")"),0.96)</f>
        <v>0.96</v>
      </c>
      <c r="X1231" s="22">
        <f>IFERROR(__xludf.DUMMYFUNCTION("IFERROR(GOOGLEFINANCE(A1231,""high""),"""")"),0.98)</f>
        <v>0.98</v>
      </c>
      <c r="Y1231" s="22">
        <f>IFERROR(__xludf.DUMMYFUNCTION("IFERROR(GOOGLEFINANCE(A1231,""low""),"""")"),0.94)</f>
        <v>0.94</v>
      </c>
      <c r="Z1231" s="22" t="str">
        <f>IFERROR(__xludf.DUMMYFUNCTION("IFERROR(GOOGLEFINANCE(A1231,""volume""),"""")"),"")</f>
        <v/>
      </c>
      <c r="AA1231" s="24" t="str">
        <f>VLOOKUP(A1231,Metrik!$C$2:$Y$959,5,0)</f>
        <v>Logistics &amp; Deliveries</v>
      </c>
      <c r="AB1231" s="24" t="str">
        <f>VLOOKUP(A1231,Metrik!$C$2:$Y$959,3,0)</f>
        <v>Transportation &amp; Logistic</v>
      </c>
    </row>
    <row r="1232">
      <c r="A1232" s="14" t="s">
        <v>646</v>
      </c>
      <c r="B1232" s="14" t="str">
        <f t="array" ref="B1232">VLOOKUP(A1232,{Metrik!$C$2:$C$998,Metrik!$B$2:$B$998},2,0)</f>
        <v>Mitra Investindo Tbk.</v>
      </c>
      <c r="C1232" s="15">
        <f>IFERROR(__xludf.DUMMYFUNCTION("GOOGLEFINANCE(""IDX:""&amp;A1232,""price"")"),166.0)</f>
        <v>166</v>
      </c>
      <c r="D1232" s="16" t="str">
        <f>IFERROR(__xludf.DUMMYFUNCTION("IF(A1232="""","""",
SPARKLINE(
INDEX(
GOOGLEFINANCE(""IDX:""&amp;A1232,""close"",TODAY()-365,TODAY()),
,2
),
{""linewidth"",1}
))
"),"#N/A")</f>
        <v>#N/A</v>
      </c>
      <c r="E1232" s="26"/>
      <c r="F1232" s="26"/>
      <c r="G1232" s="24">
        <f t="shared" si="8"/>
        <v>0</v>
      </c>
      <c r="H1232" s="19">
        <f>VLOOKUP(A1232,Metrik!$C$2:$Y$959,8,0)</f>
        <v>55.1</v>
      </c>
      <c r="I1232" s="20">
        <f>VLOOKUP(A1232,Metrik!$C$2:$Y$959,9,0)</f>
        <v>1.4</v>
      </c>
      <c r="J1232" s="20">
        <f>VLOOKUP(A1232,Metrik!$C$2:$Y$959,10,0)</f>
        <v>2.5</v>
      </c>
      <c r="K1232" s="20">
        <f>VLOOKUP(A1232,Metrik!$C$2:$Y$959,11,0)</f>
        <v>2.2</v>
      </c>
      <c r="L1232" s="20">
        <f>VLOOKUP(A1232,Metrik!$C$2:$Y$959,12,0)</f>
        <v>0.16</v>
      </c>
      <c r="M1232" s="20">
        <f>VLOOKUP(A1232,Metrik!$C$2:$Y$959,19,0)</f>
        <v>30.6</v>
      </c>
      <c r="N1232" s="21"/>
      <c r="O1232" s="21"/>
      <c r="P1232" s="21"/>
      <c r="Q1232" s="21"/>
      <c r="R1232" s="21"/>
      <c r="S1232" s="21"/>
      <c r="T1232" s="21"/>
      <c r="U1232" s="22">
        <f>IFERROR(__xludf.DUMMYFUNCTION("IFERROR(GOOGLEFINANCE(A1232,""closeyest""),"""")"),0.09)</f>
        <v>0.09</v>
      </c>
      <c r="V1232" s="23">
        <f>IFERROR(__xludf.DUMMYFUNCTION("IFERROR(GOOGLEFINANCE(A1232,""changepct""),"""")"),-9.09)</f>
        <v>-9.09</v>
      </c>
      <c r="W1232" s="22">
        <f>IFERROR(__xludf.DUMMYFUNCTION("IFERROR(GOOGLEFINANCE(A1232,""priceopen""),"""")"),0.07)</f>
        <v>0.07</v>
      </c>
      <c r="X1232" s="22">
        <f>IFERROR(__xludf.DUMMYFUNCTION("IFERROR(GOOGLEFINANCE(A1232,""high""),"""")"),0.09)</f>
        <v>0.09</v>
      </c>
      <c r="Y1232" s="22">
        <f>IFERROR(__xludf.DUMMYFUNCTION("IFERROR(GOOGLEFINANCE(A1232,""low""),"""")"),0.06)</f>
        <v>0.06</v>
      </c>
      <c r="Z1232" s="22">
        <f>IFERROR(__xludf.DUMMYFUNCTION("IFERROR(GOOGLEFINANCE(A1232,""volume""),"""")"),52830.0)</f>
        <v>52830</v>
      </c>
      <c r="AA1232" s="24" t="str">
        <f>VLOOKUP(A1232,Metrik!$C$2:$Y$959,5,0)</f>
        <v>Logistics &amp; Deliveries</v>
      </c>
      <c r="AB1232" s="24" t="str">
        <f>VLOOKUP(A1232,Metrik!$C$2:$Y$959,3,0)</f>
        <v>Transportation &amp; Logistic</v>
      </c>
    </row>
    <row r="1233">
      <c r="A1233" s="14" t="s">
        <v>647</v>
      </c>
      <c r="B1233" s="14" t="str">
        <f t="array" ref="B1233">VLOOKUP(A1233,{Metrik!$C$2:$C$998,Metrik!$B$2:$B$998},2,0)</f>
        <v>Multikarya Asia Pasifik Raya Tbk.</v>
      </c>
      <c r="C1233" s="15">
        <f>IFERROR(__xludf.DUMMYFUNCTION("GOOGLEFINANCE(""IDX:""&amp;A1233,""price"")"),1045.0)</f>
        <v>1045</v>
      </c>
      <c r="D1233" s="16" t="str">
        <f>IFERROR(__xludf.DUMMYFUNCTION("IF(A1233="""","""",
SPARKLINE(
INDEX(
GOOGLEFINANCE(""IDX:""&amp;A1233,""close"",TODAY()-365,TODAY()),
,2
),
{""linewidth"",1}
))
"),"#N/A")</f>
        <v>#N/A</v>
      </c>
      <c r="E1233" s="26"/>
      <c r="F1233" s="26"/>
      <c r="G1233" s="24">
        <f t="shared" si="8"/>
        <v>0</v>
      </c>
      <c r="H1233" s="19">
        <f>VLOOKUP(A1233,Metrik!$C$2:$Y$959,8,0)</f>
        <v>81.1</v>
      </c>
      <c r="I1233" s="20">
        <f>VLOOKUP(A1233,Metrik!$C$2:$Y$959,9,0)</f>
        <v>10.6</v>
      </c>
      <c r="J1233" s="20">
        <f>VLOOKUP(A1233,Metrik!$C$2:$Y$959,10,0)</f>
        <v>13</v>
      </c>
      <c r="K1233" s="20">
        <f>VLOOKUP(A1233,Metrik!$C$2:$Y$959,11,0)</f>
        <v>8</v>
      </c>
      <c r="L1233" s="20">
        <f>VLOOKUP(A1233,Metrik!$C$2:$Y$959,12,0)</f>
        <v>0.62</v>
      </c>
      <c r="M1233" s="20">
        <f>VLOOKUP(A1233,Metrik!$C$2:$Y$959,19,0)</f>
        <v>47.7</v>
      </c>
      <c r="N1233" s="21"/>
      <c r="O1233" s="21"/>
      <c r="P1233" s="21"/>
      <c r="Q1233" s="21"/>
      <c r="R1233" s="21"/>
      <c r="S1233" s="21"/>
      <c r="T1233" s="21"/>
      <c r="U1233" s="22">
        <f>IFERROR(__xludf.DUMMYFUNCTION("IFERROR(GOOGLEFINANCE(A1233,""closeyest""),"""")"),1050.0)</f>
        <v>1050</v>
      </c>
      <c r="V1233" s="23">
        <f>IFERROR(__xludf.DUMMYFUNCTION("IFERROR(GOOGLEFINANCE(A1233,""changepct""),"""")"),-0.48)</f>
        <v>-0.48</v>
      </c>
      <c r="W1233" s="22">
        <f>IFERROR(__xludf.DUMMYFUNCTION("IFERROR(GOOGLEFINANCE(A1233,""priceopen""),"""")"),1045.0)</f>
        <v>1045</v>
      </c>
      <c r="X1233" s="22">
        <f>IFERROR(__xludf.DUMMYFUNCTION("IFERROR(GOOGLEFINANCE(A1233,""high""),"""")"),1050.0)</f>
        <v>1050</v>
      </c>
      <c r="Y1233" s="22">
        <f>IFERROR(__xludf.DUMMYFUNCTION("IFERROR(GOOGLEFINANCE(A1233,""low""),"""")"),1045.0)</f>
        <v>1045</v>
      </c>
      <c r="Z1233" s="22">
        <f>IFERROR(__xludf.DUMMYFUNCTION("IFERROR(GOOGLEFINANCE(A1233,""volume""),"""")"),170300.0)</f>
        <v>170300</v>
      </c>
      <c r="AA1233" s="24" t="str">
        <f>VLOOKUP(A1233,Metrik!$C$2:$Y$959,5,0)</f>
        <v>Oil, Gas &amp; Coal Supports</v>
      </c>
      <c r="AB1233" s="24" t="str">
        <f>VLOOKUP(A1233,Metrik!$C$2:$Y$959,3,0)</f>
        <v>Energy</v>
      </c>
    </row>
    <row r="1234">
      <c r="A1234" s="14" t="s">
        <v>648</v>
      </c>
      <c r="B1234" s="14" t="str">
        <f t="array" ref="B1234">VLOOKUP(A1234,{Metrik!$C$2:$C$998,Metrik!$B$2:$B$998},2,0)</f>
        <v>Mitra Komunikasi Nusantara Tbk.</v>
      </c>
      <c r="C1234" s="15">
        <f>IFERROR(__xludf.DUMMYFUNCTION("GOOGLEFINANCE(""IDX:""&amp;A1234,""price"")"),1.0)</f>
        <v>1</v>
      </c>
      <c r="D1234" s="16" t="str">
        <f>IFERROR(__xludf.DUMMYFUNCTION("IF(A1234="""","""",
SPARKLINE(
INDEX(
GOOGLEFINANCE(""IDX:""&amp;A1234,""close"",TODAY()-365,TODAY()),
,2
),
{""linewidth"",1}
))
"),"#N/A")</f>
        <v>#N/A</v>
      </c>
      <c r="E1234" s="26"/>
      <c r="F1234" s="26"/>
      <c r="G1234" s="24">
        <f t="shared" si="8"/>
        <v>0</v>
      </c>
      <c r="H1234" s="19">
        <f>VLOOKUP(A1234,Metrik!$C$2:$Y$959,8,0)</f>
        <v>-3.6</v>
      </c>
      <c r="I1234" s="20">
        <f>VLOOKUP(A1234,Metrik!$C$2:$Y$959,9,0)</f>
        <v>-0.75</v>
      </c>
      <c r="J1234" s="20">
        <f>VLOOKUP(A1234,Metrik!$C$2:$Y$959,10,0)</f>
        <v>0</v>
      </c>
      <c r="K1234" s="20">
        <f>VLOOKUP(A1234,Metrik!$C$2:$Y$959,11,0)</f>
        <v>-0.19</v>
      </c>
      <c r="L1234" s="20">
        <f>VLOOKUP(A1234,Metrik!$C$2:$Y$959,12,0)</f>
        <v>-110</v>
      </c>
      <c r="M1234" s="20">
        <f>VLOOKUP(A1234,Metrik!$C$2:$Y$959,19,0)</f>
        <v>-41.6</v>
      </c>
      <c r="N1234" s="21"/>
      <c r="O1234" s="21"/>
      <c r="P1234" s="21"/>
      <c r="Q1234" s="21"/>
      <c r="R1234" s="21"/>
      <c r="S1234" s="21"/>
      <c r="T1234" s="21"/>
      <c r="U1234" s="22">
        <f>IFERROR(__xludf.DUMMYFUNCTION("IFERROR(GOOGLEFINANCE(A1234,""closeyest""),"""")"),1.0)</f>
        <v>1</v>
      </c>
      <c r="V1234" s="23">
        <f>IFERROR(__xludf.DUMMYFUNCTION("IFERROR(GOOGLEFINANCE(A1234,""changepct""),"""")"),0.0)</f>
        <v>0</v>
      </c>
      <c r="W1234" s="22" t="str">
        <f>IFERROR(__xludf.DUMMYFUNCTION("IFERROR(GOOGLEFINANCE(A1234,""priceopen""),"""")"),"")</f>
        <v/>
      </c>
      <c r="X1234" s="22" t="str">
        <f>IFERROR(__xludf.DUMMYFUNCTION("IFERROR(GOOGLEFINANCE(A1234,""high""),"""")"),"")</f>
        <v/>
      </c>
      <c r="Y1234" s="22" t="str">
        <f>IFERROR(__xludf.DUMMYFUNCTION("IFERROR(GOOGLEFINANCE(A1234,""low""),"""")"),"")</f>
        <v/>
      </c>
      <c r="Z1234" s="22">
        <f>IFERROR(__xludf.DUMMYFUNCTION("IFERROR(GOOGLEFINANCE(A1234,""volume""),"""")"),0.0)</f>
        <v>0</v>
      </c>
      <c r="AA1234" s="24" t="str">
        <f>VLOOKUP(A1234,Metrik!$C$2:$Y$959,5,0)</f>
        <v>Consumer Distributors</v>
      </c>
      <c r="AB1234" s="24" t="str">
        <f>VLOOKUP(A1234,Metrik!$C$2:$Y$959,3,0)</f>
        <v>Consumer Cyclicals</v>
      </c>
    </row>
    <row r="1235">
      <c r="A1235" s="14" t="s">
        <v>649</v>
      </c>
      <c r="B1235" s="14" t="str">
        <f t="array" ref="B1235">VLOOKUP(A1235,{Metrik!$C$2:$C$998,Metrik!$B$2:$B$998},2,0)</f>
        <v>Metropolitan Kentjana Tbk.</v>
      </c>
      <c r="C1235" s="15">
        <f>IFERROR(__xludf.DUMMYFUNCTION("GOOGLEFINANCE(""IDX:""&amp;A1235,""price"")"),21850.0)</f>
        <v>21850</v>
      </c>
      <c r="D1235" s="16" t="str">
        <f>IFERROR(__xludf.DUMMYFUNCTION("IF(A1235="""","""",
SPARKLINE(
INDEX(
GOOGLEFINANCE(""IDX:""&amp;A1235,""close"",TODAY()-365,TODAY()),
,2
),
{""linewidth"",1}
))
"),"#N/A")</f>
        <v>#N/A</v>
      </c>
      <c r="E1235" s="26"/>
      <c r="F1235" s="26"/>
      <c r="G1235" s="24">
        <f t="shared" si="8"/>
        <v>0</v>
      </c>
      <c r="H1235" s="19">
        <f>VLOOKUP(A1235,Metrik!$C$2:$Y$959,8,0)</f>
        <v>17.8</v>
      </c>
      <c r="I1235" s="20">
        <f>VLOOKUP(A1235,Metrik!$C$2:$Y$959,9,0)</f>
        <v>2.6</v>
      </c>
      <c r="J1235" s="20">
        <f>VLOOKUP(A1235,Metrik!$C$2:$Y$959,10,0)</f>
        <v>14.5</v>
      </c>
      <c r="K1235" s="20">
        <f>VLOOKUP(A1235,Metrik!$C$2:$Y$959,11,0)</f>
        <v>11.8</v>
      </c>
      <c r="L1235" s="20">
        <f>VLOOKUP(A1235,Metrik!$C$2:$Y$959,12,0)</f>
        <v>0.23</v>
      </c>
      <c r="M1235" s="20">
        <f>VLOOKUP(A1235,Metrik!$C$2:$Y$959,19,0)</f>
        <v>170</v>
      </c>
      <c r="N1235" s="21"/>
      <c r="O1235" s="21"/>
      <c r="P1235" s="21"/>
      <c r="Q1235" s="21"/>
      <c r="R1235" s="21"/>
      <c r="S1235" s="21"/>
      <c r="T1235" s="21"/>
      <c r="U1235" s="22">
        <f>IFERROR(__xludf.DUMMYFUNCTION("IFERROR(GOOGLEFINANCE(A1235,""closeyest""),"""")"),21825.0)</f>
        <v>21825</v>
      </c>
      <c r="V1235" s="23">
        <f>IFERROR(__xludf.DUMMYFUNCTION("IFERROR(GOOGLEFINANCE(A1235,""changepct""),"""")"),0.11)</f>
        <v>0.11</v>
      </c>
      <c r="W1235" s="22">
        <f>IFERROR(__xludf.DUMMYFUNCTION("IFERROR(GOOGLEFINANCE(A1235,""priceopen""),"""")"),21750.0)</f>
        <v>21750</v>
      </c>
      <c r="X1235" s="22">
        <f>IFERROR(__xludf.DUMMYFUNCTION("IFERROR(GOOGLEFINANCE(A1235,""high""),"""")"),21850.0)</f>
        <v>21850</v>
      </c>
      <c r="Y1235" s="22">
        <f>IFERROR(__xludf.DUMMYFUNCTION("IFERROR(GOOGLEFINANCE(A1235,""low""),"""")"),21750.0)</f>
        <v>21750</v>
      </c>
      <c r="Z1235" s="22">
        <f>IFERROR(__xludf.DUMMYFUNCTION("IFERROR(GOOGLEFINANCE(A1235,""volume""),"""")"),41000.0)</f>
        <v>41000</v>
      </c>
      <c r="AA1235" s="24" t="str">
        <f>VLOOKUP(A1235,Metrik!$C$2:$Y$959,5,0)</f>
        <v>Real Estate Management &amp; Development</v>
      </c>
      <c r="AB1235" s="24" t="str">
        <f>VLOOKUP(A1235,Metrik!$C$2:$Y$959,3,0)</f>
        <v>Properties &amp; Real Estate</v>
      </c>
    </row>
    <row r="1236">
      <c r="A1236" s="14" t="s">
        <v>650</v>
      </c>
      <c r="B1236" s="14" t="str">
        <f t="array" ref="B1236">VLOOKUP(A1236,{Metrik!$C$2:$C$998,Metrik!$B$2:$B$998},2,0)</f>
        <v>Menthobi Karyatama Raya Tbk.</v>
      </c>
      <c r="C1236" s="15">
        <f>IFERROR(__xludf.DUMMYFUNCTION("GOOGLEFINANCE(""IDX:""&amp;A1236,""price"")"),123.0)</f>
        <v>123</v>
      </c>
      <c r="D1236" s="16" t="str">
        <f>IFERROR(__xludf.DUMMYFUNCTION("IF(A1236="""","""",
SPARKLINE(
INDEX(
GOOGLEFINANCE(""IDX:""&amp;A1236,""close"",TODAY()-365,TODAY()),
,2
),
{""linewidth"",1}
))
"),"#N/A")</f>
        <v>#N/A</v>
      </c>
      <c r="E1236" s="26"/>
      <c r="F1236" s="26"/>
      <c r="G1236" s="24">
        <f t="shared" si="8"/>
        <v>0</v>
      </c>
      <c r="H1236" s="19">
        <f>VLOOKUP(A1236,Metrik!$C$2:$Y$959,8,0)</f>
        <v>26.3</v>
      </c>
      <c r="I1236" s="20">
        <f>VLOOKUP(A1236,Metrik!$C$2:$Y$959,9,0)</f>
        <v>2.2</v>
      </c>
      <c r="J1236" s="20">
        <f>VLOOKUP(A1236,Metrik!$C$2:$Y$959,10,0)</f>
        <v>8.5</v>
      </c>
      <c r="K1236" s="20">
        <f>VLOOKUP(A1236,Metrik!$C$2:$Y$959,11,0)</f>
        <v>3.8</v>
      </c>
      <c r="L1236" s="20">
        <f>VLOOKUP(A1236,Metrik!$C$2:$Y$959,12,0)</f>
        <v>1.3</v>
      </c>
      <c r="M1236" s="20">
        <f>VLOOKUP(A1236,Metrik!$C$2:$Y$959,19,0)</f>
        <v>17.8</v>
      </c>
      <c r="N1236" s="21"/>
      <c r="O1236" s="21"/>
      <c r="P1236" s="21"/>
      <c r="Q1236" s="21"/>
      <c r="R1236" s="21"/>
      <c r="S1236" s="21"/>
      <c r="T1236" s="21"/>
      <c r="U1236" s="22">
        <f>IFERROR(__xludf.DUMMYFUNCTION("IFERROR(GOOGLEFINANCE(A1236,""closeyest""),"""")"),123.0)</f>
        <v>123</v>
      </c>
      <c r="V1236" s="23">
        <f>IFERROR(__xludf.DUMMYFUNCTION("IFERROR(GOOGLEFINANCE(A1236,""changepct""),"""")"),0.0)</f>
        <v>0</v>
      </c>
      <c r="W1236" s="22">
        <f>IFERROR(__xludf.DUMMYFUNCTION("IFERROR(GOOGLEFINANCE(A1236,""priceopen""),"""")"),125.0)</f>
        <v>125</v>
      </c>
      <c r="X1236" s="22">
        <f>IFERROR(__xludf.DUMMYFUNCTION("IFERROR(GOOGLEFINANCE(A1236,""high""),"""")"),125.0)</f>
        <v>125</v>
      </c>
      <c r="Y1236" s="22">
        <f>IFERROR(__xludf.DUMMYFUNCTION("IFERROR(GOOGLEFINANCE(A1236,""low""),"""")"),114.0)</f>
        <v>114</v>
      </c>
      <c r="Z1236" s="22">
        <f>IFERROR(__xludf.DUMMYFUNCTION("IFERROR(GOOGLEFINANCE(A1236,""volume""),"""")"),175000.0)</f>
        <v>175000</v>
      </c>
      <c r="AA1236" s="24" t="str">
        <f>VLOOKUP(A1236,Metrik!$C$2:$Y$959,5,0)</f>
        <v>Agricultural Products</v>
      </c>
      <c r="AB1236" s="24" t="str">
        <f>VLOOKUP(A1236,Metrik!$C$2:$Y$959,3,0)</f>
        <v>Consumer Non-Cyclicals</v>
      </c>
    </row>
    <row r="1237">
      <c r="A1237" s="17" t="s">
        <v>651</v>
      </c>
      <c r="B1237" s="14" t="str">
        <f t="array" ref="B1237">VLOOKUP(A1237,{Metrik!$C$2:$C$998,Metrik!$B$2:$B$998},2,0)</f>
        <v>Multi Bintang Indonesia Tbk.</v>
      </c>
      <c r="C1237" s="15">
        <f>IFERROR(__xludf.DUMMYFUNCTION("GOOGLEFINANCE(""IDX:""&amp;A1237,""price"")"),6000.0)</f>
        <v>6000</v>
      </c>
      <c r="D1237" s="16" t="str">
        <f>IFERROR(__xludf.DUMMYFUNCTION("IF(A1237="""","""",
SPARKLINE(
INDEX(
GOOGLEFINANCE(""IDX:""&amp;A1237,""close"",TODAY()-365,TODAY()),
,2
),
{""linewidth"",1}
))
"),"#N/A")</f>
        <v>#N/A</v>
      </c>
      <c r="E1237" s="17" t="s">
        <v>175</v>
      </c>
      <c r="F1237" s="14" t="s">
        <v>34</v>
      </c>
      <c r="G1237" s="18">
        <f t="shared" si="8"/>
        <v>1</v>
      </c>
      <c r="H1237" s="19">
        <f>VLOOKUP(A1237,Metrik!$C$2:$Y$959,8,0)</f>
        <v>10.4</v>
      </c>
      <c r="I1237" s="20">
        <f>VLOOKUP(A1237,Metrik!$C$2:$Y$959,9,0)</f>
        <v>8</v>
      </c>
      <c r="J1237" s="20">
        <f>VLOOKUP(A1237,Metrik!$C$2:$Y$959,10,0)</f>
        <v>76.7</v>
      </c>
      <c r="K1237" s="20">
        <f>VLOOKUP(A1237,Metrik!$C$2:$Y$959,11,0)</f>
        <v>33.6</v>
      </c>
      <c r="L1237" s="20">
        <f>VLOOKUP(A1237,Metrik!$C$2:$Y$959,12,0)</f>
        <v>1.3</v>
      </c>
      <c r="M1237" s="20">
        <f>VLOOKUP(A1237,Metrik!$C$2:$Y$959,19,0)</f>
        <v>160</v>
      </c>
      <c r="N1237" s="21"/>
      <c r="O1237" s="21"/>
      <c r="P1237" s="21"/>
      <c r="Q1237" s="21"/>
      <c r="R1237" s="21"/>
      <c r="S1237" s="21"/>
      <c r="T1237" s="21"/>
      <c r="U1237" s="22">
        <f>IFERROR(__xludf.DUMMYFUNCTION("IFERROR(GOOGLEFINANCE(A1237,""closeyest""),"""")"),6000.0)</f>
        <v>6000</v>
      </c>
      <c r="V1237" s="23">
        <f>IFERROR(__xludf.DUMMYFUNCTION("IFERROR(GOOGLEFINANCE(A1237,""changepct""),"""")"),0.0)</f>
        <v>0</v>
      </c>
      <c r="W1237" s="22">
        <f>IFERROR(__xludf.DUMMYFUNCTION("IFERROR(GOOGLEFINANCE(A1237,""priceopen""),"""")"),6000.0)</f>
        <v>6000</v>
      </c>
      <c r="X1237" s="22">
        <f>IFERROR(__xludf.DUMMYFUNCTION("IFERROR(GOOGLEFINANCE(A1237,""high""),"""")"),6025.0)</f>
        <v>6025</v>
      </c>
      <c r="Y1237" s="22">
        <f>IFERROR(__xludf.DUMMYFUNCTION("IFERROR(GOOGLEFINANCE(A1237,""low""),"""")"),5975.0)</f>
        <v>5975</v>
      </c>
      <c r="Z1237" s="22">
        <f>IFERROR(__xludf.DUMMYFUNCTION("IFERROR(GOOGLEFINANCE(A1237,""volume""),"""")"),162700.0)</f>
        <v>162700</v>
      </c>
      <c r="AA1237" s="24" t="str">
        <f>VLOOKUP(A1237,Metrik!$C$2:$Y$959,5,0)</f>
        <v>Beverages</v>
      </c>
      <c r="AB1237" s="24" t="str">
        <f>VLOOKUP(A1237,Metrik!$C$2:$Y$959,3,0)</f>
        <v>Consumer Non-Cyclicals</v>
      </c>
    </row>
    <row r="1238">
      <c r="A1238" s="14" t="s">
        <v>652</v>
      </c>
      <c r="B1238" s="14" t="str">
        <f t="array" ref="B1238">VLOOKUP(A1238,{Metrik!$C$2:$C$998,Metrik!$B$2:$B$998},2,0)</f>
        <v>Mulia Industrindo Tbk</v>
      </c>
      <c r="C1238" s="15">
        <f>IFERROR(__xludf.DUMMYFUNCTION("GOOGLEFINANCE(""IDX:""&amp;A1238,""price"")"),236.0)</f>
        <v>236</v>
      </c>
      <c r="D1238" s="16" t="str">
        <f>IFERROR(__xludf.DUMMYFUNCTION("IF(A1238="""","""",
SPARKLINE(
INDEX(
GOOGLEFINANCE(""IDX:""&amp;A1238,""close"",TODAY()-365,TODAY()),
,2
),
{""linewidth"",1}
))
"),"#N/A")</f>
        <v>#N/A</v>
      </c>
      <c r="E1238" s="26"/>
      <c r="F1238" s="26"/>
      <c r="G1238" s="24">
        <f t="shared" si="8"/>
        <v>0</v>
      </c>
      <c r="H1238" s="19">
        <f>VLOOKUP(A1238,Metrik!$C$2:$Y$959,8,0)</f>
        <v>-20.9</v>
      </c>
      <c r="I1238" s="20">
        <f>VLOOKUP(A1238,Metrik!$C$2:$Y$959,9,0)</f>
        <v>0.31</v>
      </c>
      <c r="J1238" s="20">
        <f>VLOOKUP(A1238,Metrik!$C$2:$Y$959,10,0)</f>
        <v>-1.5</v>
      </c>
      <c r="K1238" s="20">
        <f>VLOOKUP(A1238,Metrik!$C$2:$Y$959,11,0)</f>
        <v>-1.1</v>
      </c>
      <c r="L1238" s="20">
        <f>VLOOKUP(A1238,Metrik!$C$2:$Y$959,12,0)</f>
        <v>0.38</v>
      </c>
      <c r="M1238" s="20">
        <f>VLOOKUP(A1238,Metrik!$C$2:$Y$959,19,0)</f>
        <v>-8.9</v>
      </c>
      <c r="N1238" s="21"/>
      <c r="O1238" s="21"/>
      <c r="P1238" s="21"/>
      <c r="Q1238" s="21"/>
      <c r="R1238" s="21"/>
      <c r="S1238" s="21"/>
      <c r="T1238" s="21"/>
      <c r="U1238" s="22">
        <f>IFERROR(__xludf.DUMMYFUNCTION("IFERROR(GOOGLEFINANCE(A1238,""closeyest""),"""")"),236.0)</f>
        <v>236</v>
      </c>
      <c r="V1238" s="23">
        <f>IFERROR(__xludf.DUMMYFUNCTION("IFERROR(GOOGLEFINANCE(A1238,""changepct""),"""")"),0.0)</f>
        <v>0</v>
      </c>
      <c r="W1238" s="22">
        <f>IFERROR(__xludf.DUMMYFUNCTION("IFERROR(GOOGLEFINANCE(A1238,""priceopen""),"""")"),236.0)</f>
        <v>236</v>
      </c>
      <c r="X1238" s="22">
        <f>IFERROR(__xludf.DUMMYFUNCTION("IFERROR(GOOGLEFINANCE(A1238,""high""),"""")"),236.0)</f>
        <v>236</v>
      </c>
      <c r="Y1238" s="22">
        <f>IFERROR(__xludf.DUMMYFUNCTION("IFERROR(GOOGLEFINANCE(A1238,""low""),"""")"),234.0)</f>
        <v>234</v>
      </c>
      <c r="Z1238" s="22" t="str">
        <f>IFERROR(__xludf.DUMMYFUNCTION("IFERROR(GOOGLEFINANCE(A1238,""volume""),"""")"),"")</f>
        <v/>
      </c>
      <c r="AA1238" s="24" t="str">
        <f>VLOOKUP(A1238,Metrik!$C$2:$Y$959,5,0)</f>
        <v>Building Products &amp; Fixtures</v>
      </c>
      <c r="AB1238" s="24" t="str">
        <f>VLOOKUP(A1238,Metrik!$C$2:$Y$959,3,0)</f>
        <v>Industrials</v>
      </c>
    </row>
    <row r="1239">
      <c r="A1239" s="14" t="s">
        <v>653</v>
      </c>
      <c r="B1239" s="14" t="str">
        <f t="array" ref="B1239">VLOOKUP(A1239,{Metrik!$C$2:$C$998,Metrik!$B$2:$B$998},2,0)</f>
        <v>Multipolar Tbk</v>
      </c>
      <c r="C1239" s="15">
        <f>IFERROR(__xludf.DUMMYFUNCTION("GOOGLEFINANCE(""IDX:""&amp;A1239,""price"")"),80.0)</f>
        <v>80</v>
      </c>
      <c r="D1239" s="16" t="str">
        <f>IFERROR(__xludf.DUMMYFUNCTION("IF(A1239="""","""",
SPARKLINE(
INDEX(
GOOGLEFINANCE(""IDX:""&amp;A1239,""close"",TODAY()-365,TODAY()),
,2
),
{""linewidth"",1}
))
"),"#N/A")</f>
        <v>#N/A</v>
      </c>
      <c r="E1239" s="26"/>
      <c r="F1239" s="26"/>
      <c r="G1239" s="24">
        <f t="shared" si="8"/>
        <v>0</v>
      </c>
      <c r="H1239" s="19">
        <f>VLOOKUP(A1239,Metrik!$C$2:$Y$959,8,0)</f>
        <v>-27.6</v>
      </c>
      <c r="I1239" s="20">
        <f>VLOOKUP(A1239,Metrik!$C$2:$Y$959,9,0)</f>
        <v>0.25</v>
      </c>
      <c r="J1239" s="20">
        <f>VLOOKUP(A1239,Metrik!$C$2:$Y$959,10,0)</f>
        <v>-0.92</v>
      </c>
      <c r="K1239" s="20">
        <f>VLOOKUP(A1239,Metrik!$C$2:$Y$959,11,0)</f>
        <v>-0.34</v>
      </c>
      <c r="L1239" s="20">
        <f>VLOOKUP(A1239,Metrik!$C$2:$Y$959,12,0)</f>
        <v>1.7</v>
      </c>
      <c r="M1239" s="20">
        <f>VLOOKUP(A1239,Metrik!$C$2:$Y$959,19,0)</f>
        <v>-1.5</v>
      </c>
      <c r="N1239" s="21"/>
      <c r="O1239" s="21"/>
      <c r="P1239" s="21"/>
      <c r="Q1239" s="21"/>
      <c r="R1239" s="21"/>
      <c r="S1239" s="21"/>
      <c r="T1239" s="21"/>
      <c r="U1239" s="22">
        <f>IFERROR(__xludf.DUMMYFUNCTION("IFERROR(GOOGLEFINANCE(A1239,""closeyest""),"""")"),77.0)</f>
        <v>77</v>
      </c>
      <c r="V1239" s="23">
        <f>IFERROR(__xludf.DUMMYFUNCTION("IFERROR(GOOGLEFINANCE(A1239,""changepct""),"""")"),3.9)</f>
        <v>3.9</v>
      </c>
      <c r="W1239" s="22">
        <f>IFERROR(__xludf.DUMMYFUNCTION("IFERROR(GOOGLEFINANCE(A1239,""priceopen""),"""")"),80.0)</f>
        <v>80</v>
      </c>
      <c r="X1239" s="22">
        <f>IFERROR(__xludf.DUMMYFUNCTION("IFERROR(GOOGLEFINANCE(A1239,""high""),"""")"),81.0)</f>
        <v>81</v>
      </c>
      <c r="Y1239" s="22">
        <f>IFERROR(__xludf.DUMMYFUNCTION("IFERROR(GOOGLEFINANCE(A1239,""low""),"""")"),79.0)</f>
        <v>79</v>
      </c>
      <c r="Z1239" s="22">
        <f>IFERROR(__xludf.DUMMYFUNCTION("IFERROR(GOOGLEFINANCE(A1239,""volume""),"""")"),1.30549E7)</f>
        <v>13054900</v>
      </c>
      <c r="AA1239" s="24" t="str">
        <f>VLOOKUP(A1239,Metrik!$C$2:$Y$959,5,0)</f>
        <v>Multi-sector Holdings</v>
      </c>
      <c r="AB1239" s="24" t="str">
        <f>VLOOKUP(A1239,Metrik!$C$2:$Y$959,3,0)</f>
        <v>Industrials</v>
      </c>
    </row>
    <row r="1240">
      <c r="A1240" s="14" t="s">
        <v>654</v>
      </c>
      <c r="B1240" s="14" t="str">
        <f t="array" ref="B1240">VLOOKUP(A1240,{Metrik!$C$2:$C$998,Metrik!$B$2:$B$998},2,0)</f>
        <v>Multipolar Technology Tbk.</v>
      </c>
      <c r="C1240" s="15">
        <f>IFERROR(__xludf.DUMMYFUNCTION("GOOGLEFINANCE(""IDX:""&amp;A1240,""price"")"),20200.0)</f>
        <v>20200</v>
      </c>
      <c r="D1240" s="16" t="str">
        <f>IFERROR(__xludf.DUMMYFUNCTION("IF(A1240="""","""",
SPARKLINE(
INDEX(
GOOGLEFINANCE(""IDX:""&amp;A1240,""close"",TODAY()-365,TODAY()),
,2
),
{""linewidth"",1}
))
"),"#N/A")</f>
        <v>#N/A</v>
      </c>
      <c r="E1240" s="26"/>
      <c r="F1240" s="26"/>
      <c r="G1240" s="24">
        <f t="shared" si="8"/>
        <v>0</v>
      </c>
      <c r="H1240" s="19">
        <f>VLOOKUP(A1240,Metrik!$C$2:$Y$959,8,0)</f>
        <v>120</v>
      </c>
      <c r="I1240" s="20">
        <f>VLOOKUP(A1240,Metrik!$C$2:$Y$959,9,0)</f>
        <v>45.2</v>
      </c>
      <c r="J1240" s="20">
        <f>VLOOKUP(A1240,Metrik!$C$2:$Y$959,10,0)</f>
        <v>38.4</v>
      </c>
      <c r="K1240" s="20">
        <f>VLOOKUP(A1240,Metrik!$C$2:$Y$959,11,0)</f>
        <v>7.8</v>
      </c>
      <c r="L1240" s="20">
        <f>VLOOKUP(A1240,Metrik!$C$2:$Y$959,12,0)</f>
        <v>3.9</v>
      </c>
      <c r="M1240" s="20">
        <f>VLOOKUP(A1240,Metrik!$C$2:$Y$959,19,0)</f>
        <v>36.1</v>
      </c>
      <c r="N1240" s="21"/>
      <c r="O1240" s="21"/>
      <c r="P1240" s="21"/>
      <c r="Q1240" s="21"/>
      <c r="R1240" s="21"/>
      <c r="S1240" s="21"/>
      <c r="T1240" s="21"/>
      <c r="U1240" s="22">
        <f>IFERROR(__xludf.DUMMYFUNCTION("IFERROR(GOOGLEFINANCE(A1240,""closeyest""),"""")"),20400.0)</f>
        <v>20400</v>
      </c>
      <c r="V1240" s="23">
        <f>IFERROR(__xludf.DUMMYFUNCTION("IFERROR(GOOGLEFINANCE(A1240,""changepct""),"""")"),-0.98)</f>
        <v>-0.98</v>
      </c>
      <c r="W1240" s="22" t="str">
        <f>IFERROR(__xludf.DUMMYFUNCTION("IFERROR(GOOGLEFINANCE(A1240,""priceopen""),"""")"),"")</f>
        <v/>
      </c>
      <c r="X1240" s="22">
        <f>IFERROR(__xludf.DUMMYFUNCTION("IFERROR(GOOGLEFINANCE(A1240,""high""),"""")"),22175.0)</f>
        <v>22175</v>
      </c>
      <c r="Y1240" s="22">
        <f>IFERROR(__xludf.DUMMYFUNCTION("IFERROR(GOOGLEFINANCE(A1240,""low""),"""")"),20175.0)</f>
        <v>20175</v>
      </c>
      <c r="Z1240" s="22">
        <f>IFERROR(__xludf.DUMMYFUNCTION("IFERROR(GOOGLEFINANCE(A1240,""volume""),"""")"),74800.0)</f>
        <v>74800</v>
      </c>
      <c r="AA1240" s="24" t="str">
        <f>VLOOKUP(A1240,Metrik!$C$2:$Y$959,5,0)</f>
        <v>IT Services &amp; Consulting</v>
      </c>
      <c r="AB1240" s="24" t="str">
        <f>VLOOKUP(A1240,Metrik!$C$2:$Y$959,3,0)</f>
        <v>Technology</v>
      </c>
    </row>
    <row r="1241">
      <c r="A1241" s="14" t="s">
        <v>655</v>
      </c>
      <c r="B1241" s="14" t="str">
        <f t="array" ref="B1241">VLOOKUP(A1241,{Metrik!$C$2:$C$998,Metrik!$B$2:$B$998},2,0)</f>
        <v>PT Multi Medika Internasional Tbk</v>
      </c>
      <c r="C1241" s="15" t="str">
        <f>IFERROR(__xludf.DUMMYFUNCTION("GOOGLEFINANCE(""IDX:""&amp;A1241,""price"")"),"#N/A")</f>
        <v>#N/A</v>
      </c>
      <c r="D1241" s="16" t="str">
        <f>IFERROR(__xludf.DUMMYFUNCTION("IF(A1241="""","""",
SPARKLINE(
INDEX(
GOOGLEFINANCE(""IDX:""&amp;A1241,""close"",TODAY()-365,TODAY()),
,2
),
{""linewidth"",1}
))
"),"#N/A")</f>
        <v>#N/A</v>
      </c>
      <c r="E1241" s="26"/>
      <c r="F1241" s="26"/>
      <c r="G1241" s="24">
        <f t="shared" si="8"/>
        <v>0</v>
      </c>
      <c r="H1241" s="19">
        <f>VLOOKUP(A1241,Metrik!$C$2:$Y$959,8,0)</f>
        <v>370</v>
      </c>
      <c r="I1241" s="20">
        <f>VLOOKUP(A1241,Metrik!$C$2:$Y$959,9,0)</f>
        <v>10.8</v>
      </c>
      <c r="J1241" s="20">
        <f>VLOOKUP(A1241,Metrik!$C$2:$Y$959,10,0)</f>
        <v>2.9</v>
      </c>
      <c r="K1241" s="20">
        <f>VLOOKUP(A1241,Metrik!$C$2:$Y$959,11,0)</f>
        <v>1.3</v>
      </c>
      <c r="L1241" s="20">
        <f>VLOOKUP(A1241,Metrik!$C$2:$Y$959,12,0)</f>
        <v>1.3</v>
      </c>
      <c r="M1241" s="20">
        <f>VLOOKUP(A1241,Metrik!$C$2:$Y$959,19,0)</f>
        <v>11</v>
      </c>
      <c r="N1241" s="21"/>
      <c r="O1241" s="21"/>
      <c r="P1241" s="21"/>
      <c r="Q1241" s="21"/>
      <c r="R1241" s="21"/>
      <c r="S1241" s="21"/>
      <c r="T1241" s="21"/>
      <c r="U1241" s="22">
        <f>IFERROR(__xludf.DUMMYFUNCTION("IFERROR(GOOGLEFINANCE(A1241,""closeyest""),"""")"),750.0)</f>
        <v>750</v>
      </c>
      <c r="V1241" s="23">
        <f>IFERROR(__xludf.DUMMYFUNCTION("IFERROR(GOOGLEFINANCE(A1241,""changepct""),"""")"),0.0)</f>
        <v>0</v>
      </c>
      <c r="W1241" s="22" t="str">
        <f>IFERROR(__xludf.DUMMYFUNCTION("IFERROR(GOOGLEFINANCE(A1241,""priceopen""),"""")"),"")</f>
        <v/>
      </c>
      <c r="X1241" s="22" t="str">
        <f>IFERROR(__xludf.DUMMYFUNCTION("IFERROR(GOOGLEFINANCE(A1241,""high""),"""")"),"")</f>
        <v/>
      </c>
      <c r="Y1241" s="22" t="str">
        <f>IFERROR(__xludf.DUMMYFUNCTION("IFERROR(GOOGLEFINANCE(A1241,""low""),"""")"),"")</f>
        <v/>
      </c>
      <c r="Z1241" s="22">
        <f>IFERROR(__xludf.DUMMYFUNCTION("IFERROR(GOOGLEFINANCE(A1241,""volume""),"""")"),0.0)</f>
        <v>0</v>
      </c>
      <c r="AA1241" s="24" t="str">
        <f>VLOOKUP(A1241,Metrik!$C$2:$Y$959,5,0)</f>
        <v>Healthcare Equipment &amp; Supplies</v>
      </c>
      <c r="AB1241" s="24" t="str">
        <f>VLOOKUP(A1241,Metrik!$C$2:$Y$959,3,0)</f>
        <v>Healthcare</v>
      </c>
    </row>
    <row r="1242">
      <c r="A1242" s="17" t="s">
        <v>656</v>
      </c>
      <c r="B1242" s="14" t="str">
        <f t="array" ref="B1242">VLOOKUP(A1242,{Metrik!$C$2:$C$998,Metrik!$B$2:$B$998},2,0)</f>
        <v>Mega Manunggal Property Tbk.</v>
      </c>
      <c r="C1242" s="15">
        <f>IFERROR(__xludf.DUMMYFUNCTION("GOOGLEFINANCE(""IDX:""&amp;A1242,""price"")"),308.0)</f>
        <v>308</v>
      </c>
      <c r="D1242" s="16" t="str">
        <f>IFERROR(__xludf.DUMMYFUNCTION("IF(A1242="""","""",
SPARKLINE(
INDEX(
GOOGLEFINANCE(""IDX:""&amp;A1242,""close"",TODAY()-365,TODAY()),
,2
),
{""linewidth"",1}
))
"),"#N/A")</f>
        <v>#N/A</v>
      </c>
      <c r="E1242" s="14"/>
      <c r="F1242" s="17"/>
      <c r="G1242" s="18">
        <f t="shared" si="8"/>
        <v>0</v>
      </c>
      <c r="H1242" s="19">
        <f>VLOOKUP(A1242,Metrik!$C$2:$Y$959,8,0)</f>
        <v>25.1</v>
      </c>
      <c r="I1242" s="20">
        <f>VLOOKUP(A1242,Metrik!$C$2:$Y$959,9,0)</f>
        <v>0.45</v>
      </c>
      <c r="J1242" s="20">
        <f>VLOOKUP(A1242,Metrik!$C$2:$Y$959,10,0)</f>
        <v>1.8</v>
      </c>
      <c r="K1242" s="20">
        <f>VLOOKUP(A1242,Metrik!$C$2:$Y$959,11,0)</f>
        <v>1.3</v>
      </c>
      <c r="L1242" s="20">
        <f>VLOOKUP(A1242,Metrik!$C$2:$Y$959,12,0)</f>
        <v>0.38</v>
      </c>
      <c r="M1242" s="20">
        <f>VLOOKUP(A1242,Metrik!$C$2:$Y$959,19,0)</f>
        <v>92.8</v>
      </c>
      <c r="N1242" s="21"/>
      <c r="O1242" s="21"/>
      <c r="P1242" s="21"/>
      <c r="Q1242" s="21"/>
      <c r="R1242" s="21"/>
      <c r="S1242" s="21"/>
      <c r="T1242" s="21"/>
      <c r="U1242" s="22">
        <f>IFERROR(__xludf.DUMMYFUNCTION("IFERROR(GOOGLEFINANCE(A1242,""closeyest""),"""")"),2.94)</f>
        <v>2.94</v>
      </c>
      <c r="V1242" s="23">
        <f>IFERROR(__xludf.DUMMYFUNCTION("IFERROR(GOOGLEFINANCE(A1242,""changepct""),"""")"),-8.67)</f>
        <v>-8.67</v>
      </c>
      <c r="W1242" s="22">
        <f>IFERROR(__xludf.DUMMYFUNCTION("IFERROR(GOOGLEFINANCE(A1242,""priceopen""),"""")"),2.92)</f>
        <v>2.92</v>
      </c>
      <c r="X1242" s="22">
        <f>IFERROR(__xludf.DUMMYFUNCTION("IFERROR(GOOGLEFINANCE(A1242,""high""),"""")"),2.97)</f>
        <v>2.97</v>
      </c>
      <c r="Y1242" s="22" t="str">
        <f>IFERROR(__xludf.DUMMYFUNCTION("IFERROR(GOOGLEFINANCE(A1242,""low""),"""")"),"")</f>
        <v/>
      </c>
      <c r="Z1242" s="22">
        <f>IFERROR(__xludf.DUMMYFUNCTION("IFERROR(GOOGLEFINANCE(A1242,""volume""),"""")"),70569.0)</f>
        <v>70569</v>
      </c>
      <c r="AA1242" s="24" t="str">
        <f>VLOOKUP(A1242,Metrik!$C$2:$Y$959,5,0)</f>
        <v>Real Estate Management &amp; Development</v>
      </c>
      <c r="AB1242" s="24" t="str">
        <f>VLOOKUP(A1242,Metrik!$C$2:$Y$959,3,0)</f>
        <v>Properties &amp; Real Estate</v>
      </c>
    </row>
    <row r="1243">
      <c r="A1243" s="14" t="s">
        <v>657</v>
      </c>
      <c r="B1243" s="14" t="str">
        <f t="array" ref="B1243">VLOOKUP(A1243,{Metrik!$C$2:$C$998,Metrik!$B$2:$B$998},2,0)</f>
        <v>Media Nusantara Citra Tbk.</v>
      </c>
      <c r="C1243" s="15">
        <f>IFERROR(__xludf.DUMMYFUNCTION("GOOGLEFINANCE(""IDX:""&amp;A1243,""price"")"),214.0)</f>
        <v>214</v>
      </c>
      <c r="D1243" s="16" t="str">
        <f>IFERROR(__xludf.DUMMYFUNCTION("IF(A1243="""","""",
SPARKLINE(
INDEX(
GOOGLEFINANCE(""IDX:""&amp;A1243,""close"",TODAY()-365,TODAY()),
,2
),
{""linewidth"",1}
))
"),"#N/A")</f>
        <v>#N/A</v>
      </c>
      <c r="E1243" s="14" t="s">
        <v>84</v>
      </c>
      <c r="F1243" s="17" t="s">
        <v>51</v>
      </c>
      <c r="G1243" s="24">
        <f t="shared" si="8"/>
        <v>2</v>
      </c>
      <c r="H1243" s="19">
        <f>VLOOKUP(A1243,Metrik!$C$2:$Y$959,8,0)</f>
        <v>2.5</v>
      </c>
      <c r="I1243" s="20">
        <f>VLOOKUP(A1243,Metrik!$C$2:$Y$959,9,0)</f>
        <v>0.14</v>
      </c>
      <c r="J1243" s="20">
        <f>VLOOKUP(A1243,Metrik!$C$2:$Y$959,10,0)</f>
        <v>5.4</v>
      </c>
      <c r="K1243" s="20">
        <f>VLOOKUP(A1243,Metrik!$C$2:$Y$959,11,0)</f>
        <v>5</v>
      </c>
      <c r="L1243" s="20">
        <f>VLOOKUP(A1243,Metrik!$C$2:$Y$959,12,0)</f>
        <v>0.08</v>
      </c>
      <c r="M1243" s="20">
        <f>VLOOKUP(A1243,Metrik!$C$2:$Y$959,19,0)</f>
        <v>67.4</v>
      </c>
      <c r="N1243" s="21"/>
      <c r="O1243" s="21"/>
      <c r="P1243" s="21"/>
      <c r="Q1243" s="21"/>
      <c r="R1243" s="21"/>
      <c r="S1243" s="21"/>
      <c r="T1243" s="21"/>
      <c r="U1243" s="22">
        <f>IFERROR(__xludf.DUMMYFUNCTION("IFERROR(GOOGLEFINANCE(A1243,""closeyest""),"""")"),210.0)</f>
        <v>210</v>
      </c>
      <c r="V1243" s="23">
        <f>IFERROR(__xludf.DUMMYFUNCTION("IFERROR(GOOGLEFINANCE(A1243,""changepct""),"""")"),1.9)</f>
        <v>1.9</v>
      </c>
      <c r="W1243" s="22">
        <f>IFERROR(__xludf.DUMMYFUNCTION("IFERROR(GOOGLEFINANCE(A1243,""priceopen""),"""")"),212.0)</f>
        <v>212</v>
      </c>
      <c r="X1243" s="22">
        <f>IFERROR(__xludf.DUMMYFUNCTION("IFERROR(GOOGLEFINANCE(A1243,""high""),"""")"),216.0)</f>
        <v>216</v>
      </c>
      <c r="Y1243" s="22">
        <f>IFERROR(__xludf.DUMMYFUNCTION("IFERROR(GOOGLEFINANCE(A1243,""low""),"""")"),210.0)</f>
        <v>210</v>
      </c>
      <c r="Z1243" s="22">
        <f>IFERROR(__xludf.DUMMYFUNCTION("IFERROR(GOOGLEFINANCE(A1243,""volume""),"""")"),1.66235E7)</f>
        <v>16623500</v>
      </c>
      <c r="AA1243" s="24" t="str">
        <f>VLOOKUP(A1243,Metrik!$C$2:$Y$959,5,0)</f>
        <v>Media</v>
      </c>
      <c r="AB1243" s="24" t="str">
        <f>VLOOKUP(A1243,Metrik!$C$2:$Y$959,3,0)</f>
        <v>Consumer Cyclicals</v>
      </c>
    </row>
    <row r="1244">
      <c r="A1244" s="14" t="s">
        <v>657</v>
      </c>
      <c r="B1244" s="14" t="str">
        <f t="array" ref="B1244">VLOOKUP(A1244,{Metrik!$C$2:$C$998,Metrik!$B$2:$B$998},2,0)</f>
        <v>Media Nusantara Citra Tbk.</v>
      </c>
      <c r="C1244" s="15">
        <f>IFERROR(__xludf.DUMMYFUNCTION("GOOGLEFINANCE(""IDX:""&amp;A1244,""price"")"),214.0)</f>
        <v>214</v>
      </c>
      <c r="D1244" s="16" t="str">
        <f>IFERROR(__xludf.DUMMYFUNCTION("IF(A1244="""","""",
SPARKLINE(
INDEX(
GOOGLEFINANCE(""IDX:""&amp;A1244,""close"",TODAY()-365,TODAY()),
,2
),
{""linewidth"",1}
))
"),"#N/A")</f>
        <v>#N/A</v>
      </c>
      <c r="E1244" s="14" t="s">
        <v>41</v>
      </c>
      <c r="F1244" s="14" t="s">
        <v>34</v>
      </c>
      <c r="G1244" s="24">
        <f t="shared" si="8"/>
        <v>2</v>
      </c>
      <c r="H1244" s="19">
        <f>VLOOKUP(A1244,Metrik!$C$2:$Y$959,8,0)</f>
        <v>2.5</v>
      </c>
      <c r="I1244" s="20">
        <f>VLOOKUP(A1244,Metrik!$C$2:$Y$959,9,0)</f>
        <v>0.14</v>
      </c>
      <c r="J1244" s="20">
        <f>VLOOKUP(A1244,Metrik!$C$2:$Y$959,10,0)</f>
        <v>5.4</v>
      </c>
      <c r="K1244" s="20">
        <f>VLOOKUP(A1244,Metrik!$C$2:$Y$959,11,0)</f>
        <v>5</v>
      </c>
      <c r="L1244" s="20">
        <f>VLOOKUP(A1244,Metrik!$C$2:$Y$959,12,0)</f>
        <v>0.08</v>
      </c>
      <c r="M1244" s="20">
        <f>VLOOKUP(A1244,Metrik!$C$2:$Y$959,19,0)</f>
        <v>67.4</v>
      </c>
      <c r="N1244" s="21"/>
      <c r="O1244" s="21"/>
      <c r="P1244" s="21"/>
      <c r="Q1244" s="21"/>
      <c r="R1244" s="21"/>
      <c r="S1244" s="21"/>
      <c r="T1244" s="21"/>
      <c r="U1244" s="22">
        <f>IFERROR(__xludf.DUMMYFUNCTION("IFERROR(GOOGLEFINANCE(A1244,""closeyest""),"""")"),210.0)</f>
        <v>210</v>
      </c>
      <c r="V1244" s="23">
        <f>IFERROR(__xludf.DUMMYFUNCTION("IFERROR(GOOGLEFINANCE(A1244,""changepct""),"""")"),1.9)</f>
        <v>1.9</v>
      </c>
      <c r="W1244" s="22">
        <f>IFERROR(__xludf.DUMMYFUNCTION("IFERROR(GOOGLEFINANCE(A1244,""priceopen""),"""")"),212.0)</f>
        <v>212</v>
      </c>
      <c r="X1244" s="22">
        <f>IFERROR(__xludf.DUMMYFUNCTION("IFERROR(GOOGLEFINANCE(A1244,""high""),"""")"),216.0)</f>
        <v>216</v>
      </c>
      <c r="Y1244" s="22">
        <f>IFERROR(__xludf.DUMMYFUNCTION("IFERROR(GOOGLEFINANCE(A1244,""low""),"""")"),210.0)</f>
        <v>210</v>
      </c>
      <c r="Z1244" s="22">
        <f>IFERROR(__xludf.DUMMYFUNCTION("IFERROR(GOOGLEFINANCE(A1244,""volume""),"""")"),1.66235E7)</f>
        <v>16623500</v>
      </c>
      <c r="AA1244" s="24" t="str">
        <f>VLOOKUP(A1244,Metrik!$C$2:$Y$959,5,0)</f>
        <v>Media</v>
      </c>
      <c r="AB1244" s="24" t="str">
        <f>VLOOKUP(A1244,Metrik!$C$2:$Y$959,3,0)</f>
        <v>Consumer Cyclicals</v>
      </c>
    </row>
    <row r="1245">
      <c r="A1245" s="14" t="s">
        <v>658</v>
      </c>
      <c r="B1245" s="14" t="str">
        <f t="array" ref="B1245">VLOOKUP(A1245,{Metrik!$C$2:$C$998,Metrik!$B$2:$B$998},2,0)</f>
        <v>Madusari Murni Indah Tbk.</v>
      </c>
      <c r="C1245" s="15">
        <f>IFERROR(__xludf.DUMMYFUNCTION("GOOGLEFINANCE(""IDX:""&amp;A1245,""price"")"),234.0)</f>
        <v>234</v>
      </c>
      <c r="D1245" s="16" t="str">
        <f>IFERROR(__xludf.DUMMYFUNCTION("IF(A1245="""","""",
SPARKLINE(
INDEX(
GOOGLEFINANCE(""IDX:""&amp;A1245,""close"",TODAY()-365,TODAY()),
,2
),
{""linewidth"",1}
))
"),"#N/A")</f>
        <v>#N/A</v>
      </c>
      <c r="E1245" s="26"/>
      <c r="F1245" s="26"/>
      <c r="G1245" s="24">
        <f t="shared" si="8"/>
        <v>0</v>
      </c>
      <c r="H1245" s="19">
        <f>VLOOKUP(A1245,Metrik!$C$2:$Y$959,8,0)</f>
        <v>6.3</v>
      </c>
      <c r="I1245" s="20">
        <f>VLOOKUP(A1245,Metrik!$C$2:$Y$959,9,0)</f>
        <v>0.41</v>
      </c>
      <c r="J1245" s="20">
        <f>VLOOKUP(A1245,Metrik!$C$2:$Y$959,10,0)</f>
        <v>6.6</v>
      </c>
      <c r="K1245" s="20">
        <f>VLOOKUP(A1245,Metrik!$C$2:$Y$959,11,0)</f>
        <v>5.9</v>
      </c>
      <c r="L1245" s="20">
        <f>VLOOKUP(A1245,Metrik!$C$2:$Y$959,12,0)</f>
        <v>0.11</v>
      </c>
      <c r="M1245" s="20">
        <f>VLOOKUP(A1245,Metrik!$C$2:$Y$959,19,0)</f>
        <v>30.3</v>
      </c>
      <c r="N1245" s="21"/>
      <c r="O1245" s="21"/>
      <c r="P1245" s="21"/>
      <c r="Q1245" s="21"/>
      <c r="R1245" s="21"/>
      <c r="S1245" s="21"/>
      <c r="T1245" s="21"/>
      <c r="U1245" s="22">
        <f>IFERROR(__xludf.DUMMYFUNCTION("IFERROR(GOOGLEFINANCE(A1245,""closeyest""),"""")"),2805.0)</f>
        <v>2805</v>
      </c>
      <c r="V1245" s="23">
        <f>IFERROR(__xludf.DUMMYFUNCTION("IFERROR(GOOGLEFINANCE(A1245,""changepct""),"""")"),-4.46)</f>
        <v>-4.46</v>
      </c>
      <c r="W1245" s="22">
        <f>IFERROR(__xludf.DUMMYFUNCTION("IFERROR(GOOGLEFINANCE(A1245,""priceopen""),"""")"),2850.0)</f>
        <v>2850</v>
      </c>
      <c r="X1245" s="22">
        <f>IFERROR(__xludf.DUMMYFUNCTION("IFERROR(GOOGLEFINANCE(A1245,""high""),"""")"),2850.0)</f>
        <v>2850</v>
      </c>
      <c r="Y1245" s="22">
        <f>IFERROR(__xludf.DUMMYFUNCTION("IFERROR(GOOGLEFINANCE(A1245,""low""),"""")"),2610.0)</f>
        <v>2610</v>
      </c>
      <c r="Z1245" s="22">
        <f>IFERROR(__xludf.DUMMYFUNCTION("IFERROR(GOOGLEFINANCE(A1245,""volume""),"""")"),26414.0)</f>
        <v>26414</v>
      </c>
      <c r="AA1245" s="24" t="str">
        <f>VLOOKUP(A1245,Metrik!$C$2:$Y$959,5,0)</f>
        <v>Chemicals</v>
      </c>
      <c r="AB1245" s="24" t="str">
        <f>VLOOKUP(A1245,Metrik!$C$2:$Y$959,3,0)</f>
        <v>Basic Materials</v>
      </c>
    </row>
    <row r="1246">
      <c r="A1246" s="14" t="s">
        <v>659</v>
      </c>
      <c r="B1246" s="14" t="str">
        <f t="array" ref="B1246">VLOOKUP(A1246,{Metrik!$C$2:$C$998,Metrik!$B$2:$B$998},2,0)</f>
        <v>Ekamas Mora Republik Tbk.</v>
      </c>
      <c r="C1246" s="15">
        <f>IFERROR(__xludf.DUMMYFUNCTION("GOOGLEFINANCE(""IDX:""&amp;A1246,""price"")"),6325.0)</f>
        <v>6325</v>
      </c>
      <c r="D1246" s="16" t="str">
        <f>IFERROR(__xludf.DUMMYFUNCTION("IF(A1246="""","""",
SPARKLINE(
INDEX(
GOOGLEFINANCE(""IDX:""&amp;A1246,""close"",TODAY()-365,TODAY()),
,2
),
{""linewidth"",1}
))
"),"#N/A")</f>
        <v>#N/A</v>
      </c>
      <c r="E1246" s="26"/>
      <c r="F1246" s="26"/>
      <c r="G1246" s="24">
        <f t="shared" si="8"/>
        <v>0</v>
      </c>
      <c r="H1246" s="19">
        <f>VLOOKUP(A1246,Metrik!$C$2:$Y$959,8,0)</f>
        <v>700</v>
      </c>
      <c r="I1246" s="20">
        <f>VLOOKUP(A1246,Metrik!$C$2:$Y$959,9,0)</f>
        <v>40.9</v>
      </c>
      <c r="J1246" s="20">
        <f>VLOOKUP(A1246,Metrik!$C$2:$Y$959,10,0)</f>
        <v>5.9</v>
      </c>
      <c r="K1246" s="20">
        <f>VLOOKUP(A1246,Metrik!$C$2:$Y$959,11,0)</f>
        <v>3.2</v>
      </c>
      <c r="L1246" s="20">
        <f>VLOOKUP(A1246,Metrik!$C$2:$Y$959,12,0)</f>
        <v>0.85</v>
      </c>
      <c r="M1246" s="20">
        <f>VLOOKUP(A1246,Metrik!$C$2:$Y$959,19,0)</f>
        <v>49.1</v>
      </c>
      <c r="N1246" s="21"/>
      <c r="O1246" s="21"/>
      <c r="P1246" s="21"/>
      <c r="Q1246" s="21"/>
      <c r="R1246" s="21"/>
      <c r="S1246" s="21"/>
      <c r="T1246" s="21"/>
      <c r="U1246" s="22">
        <f>IFERROR(__xludf.DUMMYFUNCTION("IFERROR(GOOGLEFINANCE(A1246,""closeyest""),"""")"),6325.0)</f>
        <v>6325</v>
      </c>
      <c r="V1246" s="23">
        <f>IFERROR(__xludf.DUMMYFUNCTION("IFERROR(GOOGLEFINANCE(A1246,""changepct""),"""")"),0.0)</f>
        <v>0</v>
      </c>
      <c r="W1246" s="22">
        <f>IFERROR(__xludf.DUMMYFUNCTION("IFERROR(GOOGLEFINANCE(A1246,""priceopen""),"""")"),6350.0)</f>
        <v>6350</v>
      </c>
      <c r="X1246" s="22">
        <f>IFERROR(__xludf.DUMMYFUNCTION("IFERROR(GOOGLEFINANCE(A1246,""high""),"""")"),6575.0)</f>
        <v>6575</v>
      </c>
      <c r="Y1246" s="22">
        <f>IFERROR(__xludf.DUMMYFUNCTION("IFERROR(GOOGLEFINANCE(A1246,""low""),"""")"),6150.0)</f>
        <v>6150</v>
      </c>
      <c r="Z1246" s="22">
        <f>IFERROR(__xludf.DUMMYFUNCTION("IFERROR(GOOGLEFINANCE(A1246,""volume""),"""")"),347600.0)</f>
        <v>347600</v>
      </c>
      <c r="AA1246" s="24" t="str">
        <f>VLOOKUP(A1246,Metrik!$C$2:$Y$959,5,0)</f>
        <v>Telecommunication Service</v>
      </c>
      <c r="AB1246" s="24" t="str">
        <f>VLOOKUP(A1246,Metrik!$C$2:$Y$959,3,0)</f>
        <v>Infrastructures</v>
      </c>
    </row>
    <row r="1247">
      <c r="A1247" s="14" t="s">
        <v>660</v>
      </c>
      <c r="B1247" s="14" t="str">
        <f t="array" ref="B1247">VLOOKUP(A1247,{Metrik!$C$2:$C$998,Metrik!$B$2:$B$998},2,0)</f>
        <v>Mitra Pedagang Indonesia Tbk.</v>
      </c>
      <c r="C1247" s="15">
        <f>IFERROR(__xludf.DUMMYFUNCTION("GOOGLEFINANCE(""IDX:""&amp;A1247,""price"")"),85.0)</f>
        <v>85</v>
      </c>
      <c r="D1247" s="16" t="str">
        <f>IFERROR(__xludf.DUMMYFUNCTION("IF(A1247="""","""",
SPARKLINE(
INDEX(
GOOGLEFINANCE(""IDX:""&amp;A1247,""close"",TODAY()-365,TODAY()),
,2
),
{""linewidth"",1}
))
"),"#N/A")</f>
        <v>#N/A</v>
      </c>
      <c r="E1247" s="26"/>
      <c r="F1247" s="26"/>
      <c r="G1247" s="24">
        <f t="shared" si="8"/>
        <v>0</v>
      </c>
      <c r="H1247" s="19">
        <f>VLOOKUP(A1247,Metrik!$C$2:$Y$959,8,0)</f>
        <v>15.1</v>
      </c>
      <c r="I1247" s="20">
        <f>VLOOKUP(A1247,Metrik!$C$2:$Y$959,9,0)</f>
        <v>0.84</v>
      </c>
      <c r="J1247" s="20">
        <f>VLOOKUP(A1247,Metrik!$C$2:$Y$959,10,0)</f>
        <v>5.6</v>
      </c>
      <c r="K1247" s="20">
        <f>VLOOKUP(A1247,Metrik!$C$2:$Y$959,11,0)</f>
        <v>5.1</v>
      </c>
      <c r="L1247" s="20">
        <f>VLOOKUP(A1247,Metrik!$C$2:$Y$959,12,0)</f>
        <v>0.1</v>
      </c>
      <c r="M1247" s="20">
        <f>VLOOKUP(A1247,Metrik!$C$2:$Y$959,19,0)</f>
        <v>1.6</v>
      </c>
      <c r="N1247" s="21"/>
      <c r="O1247" s="21"/>
      <c r="P1247" s="21"/>
      <c r="Q1247" s="21"/>
      <c r="R1247" s="21"/>
      <c r="S1247" s="21"/>
      <c r="T1247" s="21"/>
      <c r="U1247" s="22">
        <f>IFERROR(__xludf.DUMMYFUNCTION("IFERROR(GOOGLEFINANCE(A1247,""closeyest""),"""")"),82.0)</f>
        <v>82</v>
      </c>
      <c r="V1247" s="23">
        <f>IFERROR(__xludf.DUMMYFUNCTION("IFERROR(GOOGLEFINANCE(A1247,""changepct""),"""")"),3.66)</f>
        <v>3.66</v>
      </c>
      <c r="W1247" s="22">
        <f>IFERROR(__xludf.DUMMYFUNCTION("IFERROR(GOOGLEFINANCE(A1247,""priceopen""),"""")"),82.0)</f>
        <v>82</v>
      </c>
      <c r="X1247" s="22">
        <f>IFERROR(__xludf.DUMMYFUNCTION("IFERROR(GOOGLEFINANCE(A1247,""high""),"""")"),85.0)</f>
        <v>85</v>
      </c>
      <c r="Y1247" s="22">
        <f>IFERROR(__xludf.DUMMYFUNCTION("IFERROR(GOOGLEFINANCE(A1247,""low""),"""")"),82.0)</f>
        <v>82</v>
      </c>
      <c r="Z1247" s="22">
        <f>IFERROR(__xludf.DUMMYFUNCTION("IFERROR(GOOGLEFINANCE(A1247,""volume""),"""")"),3165000.0)</f>
        <v>3165000</v>
      </c>
      <c r="AA1247" s="24" t="str">
        <f>VLOOKUP(A1247,Metrik!$C$2:$Y$959,5,0)</f>
        <v>Online Applications &amp; Services</v>
      </c>
      <c r="AB1247" s="24" t="str">
        <f>VLOOKUP(A1247,Metrik!$C$2:$Y$959,3,0)</f>
        <v>Technology</v>
      </c>
    </row>
    <row r="1248">
      <c r="A1248" s="17" t="s">
        <v>661</v>
      </c>
      <c r="B1248" s="14" t="str">
        <f t="array" ref="B1248">VLOOKUP(A1248,{Metrik!$C$2:$C$998,Metrik!$B$2:$B$998},2,0)</f>
        <v>PT Mitra Pinasthika Mustika Tbk.</v>
      </c>
      <c r="C1248" s="15">
        <f>IFERROR(__xludf.DUMMYFUNCTION("GOOGLEFINANCE(""IDX:""&amp;A1248,""price"")"),945.0)</f>
        <v>945</v>
      </c>
      <c r="D1248" s="16" t="str">
        <f>IFERROR(__xludf.DUMMYFUNCTION("IF(A1248="""","""",
SPARKLINE(
INDEX(
GOOGLEFINANCE(""IDX:""&amp;A1248,""close"",TODAY()-365,TODAY()),
,2
),
{""linewidth"",1}
))
"),"#N/A")</f>
        <v>#N/A</v>
      </c>
      <c r="E1248" s="14"/>
      <c r="F1248" s="17"/>
      <c r="G1248" s="18">
        <f t="shared" si="8"/>
        <v>0</v>
      </c>
      <c r="H1248" s="19">
        <f>VLOOKUP(A1248,Metrik!$C$2:$Y$959,8,0)</f>
        <v>10.3</v>
      </c>
      <c r="I1248" s="20">
        <f>VLOOKUP(A1248,Metrik!$C$2:$Y$959,9,0)</f>
        <v>0.81</v>
      </c>
      <c r="J1248" s="20">
        <f>VLOOKUP(A1248,Metrik!$C$2:$Y$959,10,0)</f>
        <v>7.8</v>
      </c>
      <c r="K1248" s="20">
        <f>VLOOKUP(A1248,Metrik!$C$2:$Y$959,11,0)</f>
        <v>5.8</v>
      </c>
      <c r="L1248" s="20">
        <f>VLOOKUP(A1248,Metrik!$C$2:$Y$959,12,0)</f>
        <v>0.35</v>
      </c>
      <c r="M1248" s="20">
        <f>VLOOKUP(A1248,Metrik!$C$2:$Y$959,19,0)</f>
        <v>12</v>
      </c>
      <c r="N1248" s="21"/>
      <c r="O1248" s="21"/>
      <c r="P1248" s="21"/>
      <c r="Q1248" s="21"/>
      <c r="R1248" s="21"/>
      <c r="S1248" s="21"/>
      <c r="T1248" s="21"/>
      <c r="U1248" s="22">
        <f>IFERROR(__xludf.DUMMYFUNCTION("IFERROR(GOOGLEFINANCE(A1248,""closeyest""),"""")"),925.0)</f>
        <v>925</v>
      </c>
      <c r="V1248" s="23">
        <f>IFERROR(__xludf.DUMMYFUNCTION("IFERROR(GOOGLEFINANCE(A1248,""changepct""),"""")"),2.16)</f>
        <v>2.16</v>
      </c>
      <c r="W1248" s="22">
        <f>IFERROR(__xludf.DUMMYFUNCTION("IFERROR(GOOGLEFINANCE(A1248,""priceopen""),"""")"),925.0)</f>
        <v>925</v>
      </c>
      <c r="X1248" s="22">
        <f>IFERROR(__xludf.DUMMYFUNCTION("IFERROR(GOOGLEFINANCE(A1248,""high""),"""")"),945.0)</f>
        <v>945</v>
      </c>
      <c r="Y1248" s="22">
        <f>IFERROR(__xludf.DUMMYFUNCTION("IFERROR(GOOGLEFINANCE(A1248,""low""),"""")"),925.0)</f>
        <v>925</v>
      </c>
      <c r="Z1248" s="22">
        <f>IFERROR(__xludf.DUMMYFUNCTION("IFERROR(GOOGLEFINANCE(A1248,""volume""),"""")"),7391800.0)</f>
        <v>7391800</v>
      </c>
      <c r="AA1248" s="24" t="str">
        <f>VLOOKUP(A1248,Metrik!$C$2:$Y$959,5,0)</f>
        <v>Specialty Retail</v>
      </c>
      <c r="AB1248" s="24" t="str">
        <f>VLOOKUP(A1248,Metrik!$C$2:$Y$959,3,0)</f>
        <v>Consumer Cyclicals</v>
      </c>
    </row>
    <row r="1249">
      <c r="A1249" s="14" t="s">
        <v>662</v>
      </c>
      <c r="B1249" s="14" t="str">
        <f t="array" ref="B1249">VLOOKUP(A1249,{Metrik!$C$2:$C$998,Metrik!$B$2:$B$998},2,0)</f>
        <v>Megapower Makmur Tbk.</v>
      </c>
      <c r="C1249" s="15">
        <f>IFERROR(__xludf.DUMMYFUNCTION("GOOGLEFINANCE(""IDX:""&amp;A1249,""price"")"),97.0)</f>
        <v>97</v>
      </c>
      <c r="D1249" s="16" t="str">
        <f>IFERROR(__xludf.DUMMYFUNCTION("IF(A1249="""","""",
SPARKLINE(
INDEX(
GOOGLEFINANCE(""IDX:""&amp;A1249,""close"",TODAY()-365,TODAY()),
,2
),
{""linewidth"",1}
))
"),"#N/A")</f>
        <v>#N/A</v>
      </c>
      <c r="E1249" s="26"/>
      <c r="F1249" s="26"/>
      <c r="G1249" s="24">
        <f t="shared" si="8"/>
        <v>0</v>
      </c>
      <c r="H1249" s="19">
        <f>VLOOKUP(A1249,Metrik!$C$2:$Y$959,8,0)</f>
        <v>-6.7</v>
      </c>
      <c r="I1249" s="20">
        <f>VLOOKUP(A1249,Metrik!$C$2:$Y$959,9,0)</f>
        <v>0.93</v>
      </c>
      <c r="J1249" s="20">
        <f>VLOOKUP(A1249,Metrik!$C$2:$Y$959,10,0)</f>
        <v>-14</v>
      </c>
      <c r="K1249" s="20">
        <f>VLOOKUP(A1249,Metrik!$C$2:$Y$959,11,0)</f>
        <v>-10.4</v>
      </c>
      <c r="L1249" s="20">
        <f>VLOOKUP(A1249,Metrik!$C$2:$Y$959,12,0)</f>
        <v>0.35</v>
      </c>
      <c r="M1249" s="20">
        <f>VLOOKUP(A1249,Metrik!$C$2:$Y$959,19,0)</f>
        <v>-400</v>
      </c>
      <c r="N1249" s="21"/>
      <c r="O1249" s="21"/>
      <c r="P1249" s="21"/>
      <c r="Q1249" s="21"/>
      <c r="R1249" s="21"/>
      <c r="S1249" s="21"/>
      <c r="T1249" s="21"/>
      <c r="U1249" s="22">
        <f>IFERROR(__xludf.DUMMYFUNCTION("IFERROR(GOOGLEFINANCE(A1249,""closeyest""),"""")"),96.0)</f>
        <v>96</v>
      </c>
      <c r="V1249" s="23">
        <f>IFERROR(__xludf.DUMMYFUNCTION("IFERROR(GOOGLEFINANCE(A1249,""changepct""),"""")"),1.04)</f>
        <v>1.04</v>
      </c>
      <c r="W1249" s="22">
        <f>IFERROR(__xludf.DUMMYFUNCTION("IFERROR(GOOGLEFINANCE(A1249,""priceopen""),"""")"),94.0)</f>
        <v>94</v>
      </c>
      <c r="X1249" s="22">
        <f>IFERROR(__xludf.DUMMYFUNCTION("IFERROR(GOOGLEFINANCE(A1249,""high""),"""")"),100.0)</f>
        <v>100</v>
      </c>
      <c r="Y1249" s="22">
        <f>IFERROR(__xludf.DUMMYFUNCTION("IFERROR(GOOGLEFINANCE(A1249,""low""),"""")"),94.0)</f>
        <v>94</v>
      </c>
      <c r="Z1249" s="22">
        <f>IFERROR(__xludf.DUMMYFUNCTION("IFERROR(GOOGLEFINANCE(A1249,""volume""),"""")"),5406200.0)</f>
        <v>5406200</v>
      </c>
      <c r="AA1249" s="24" t="str">
        <f>VLOOKUP(A1249,Metrik!$C$2:$Y$959,5,0)</f>
        <v>Electric Utilities</v>
      </c>
      <c r="AB1249" s="24" t="str">
        <f>VLOOKUP(A1249,Metrik!$C$2:$Y$959,3,0)</f>
        <v>Infrastructures</v>
      </c>
    </row>
    <row r="1250">
      <c r="A1250" s="14" t="s">
        <v>663</v>
      </c>
      <c r="B1250" s="14" t="str">
        <f t="array" ref="B1250">VLOOKUP(A1250,{Metrik!$C$2:$C$998,Metrik!$B$2:$B$998},2,0)</f>
        <v>Matahari Putra Prima Tbk</v>
      </c>
      <c r="C1250" s="15">
        <f>IFERROR(__xludf.DUMMYFUNCTION("GOOGLEFINANCE(""IDX:""&amp;A1250,""price"")"),41.0)</f>
        <v>41</v>
      </c>
      <c r="D1250" s="16" t="str">
        <f>IFERROR(__xludf.DUMMYFUNCTION("IF(A1250="""","""",
SPARKLINE(
INDEX(
GOOGLEFINANCE(""IDX:""&amp;A1250,""close"",TODAY()-365,TODAY()),
,2
),
{""linewidth"",1}
))
"),"#N/A")</f>
        <v>#N/A</v>
      </c>
      <c r="E1250" s="26"/>
      <c r="F1250" s="26"/>
      <c r="G1250" s="24">
        <f t="shared" si="8"/>
        <v>0</v>
      </c>
      <c r="H1250" s="19">
        <f>VLOOKUP(A1250,Metrik!$C$2:$Y$959,8,0)</f>
        <v>-4.9</v>
      </c>
      <c r="I1250" s="20">
        <f>VLOOKUP(A1250,Metrik!$C$2:$Y$959,9,0)</f>
        <v>-1040</v>
      </c>
      <c r="J1250" s="20">
        <f>VLOOKUP(A1250,Metrik!$C$2:$Y$959,10,0)</f>
        <v>0</v>
      </c>
      <c r="K1250" s="20">
        <f>VLOOKUP(A1250,Metrik!$C$2:$Y$959,11,0)</f>
        <v>-4</v>
      </c>
      <c r="L1250" s="20">
        <f>VLOOKUP(A1250,Metrik!$C$2:$Y$959,12,0)</f>
        <v>-5380</v>
      </c>
      <c r="M1250" s="20">
        <f>VLOOKUP(A1250,Metrik!$C$2:$Y$959,19,0)</f>
        <v>-5.8</v>
      </c>
      <c r="N1250" s="21"/>
      <c r="O1250" s="21"/>
      <c r="P1250" s="21"/>
      <c r="Q1250" s="21"/>
      <c r="R1250" s="21"/>
      <c r="S1250" s="21"/>
      <c r="T1250" s="21"/>
      <c r="U1250" s="22">
        <f>IFERROR(__xludf.DUMMYFUNCTION("IFERROR(GOOGLEFINANCE(A1250,""closeyest""),"""")"),40.0)</f>
        <v>40</v>
      </c>
      <c r="V1250" s="23">
        <f>IFERROR(__xludf.DUMMYFUNCTION("IFERROR(GOOGLEFINANCE(A1250,""changepct""),"""")"),2.5)</f>
        <v>2.5</v>
      </c>
      <c r="W1250" s="22">
        <f>IFERROR(__xludf.DUMMYFUNCTION("IFERROR(GOOGLEFINANCE(A1250,""priceopen""),"""")"),39.0)</f>
        <v>39</v>
      </c>
      <c r="X1250" s="22">
        <f>IFERROR(__xludf.DUMMYFUNCTION("IFERROR(GOOGLEFINANCE(A1250,""high""),"""")"),41.0)</f>
        <v>41</v>
      </c>
      <c r="Y1250" s="22">
        <f>IFERROR(__xludf.DUMMYFUNCTION("IFERROR(GOOGLEFINANCE(A1250,""low""),"""")"),39.0)</f>
        <v>39</v>
      </c>
      <c r="Z1250" s="22">
        <f>IFERROR(__xludf.DUMMYFUNCTION("IFERROR(GOOGLEFINANCE(A1250,""volume""),"""")"),2.82772E7)</f>
        <v>28277200</v>
      </c>
      <c r="AA1250" s="24" t="str">
        <f>VLOOKUP(A1250,Metrik!$C$2:$Y$959,5,0)</f>
        <v>Food &amp; Staples Retailing</v>
      </c>
      <c r="AB1250" s="24" t="str">
        <f>VLOOKUP(A1250,Metrik!$C$2:$Y$959,3,0)</f>
        <v>Consumer Non-Cyclicals</v>
      </c>
    </row>
    <row r="1251">
      <c r="A1251" s="14" t="s">
        <v>664</v>
      </c>
      <c r="B1251" s="14" t="str">
        <f t="array" ref="B1251">VLOOKUP(A1251,{Metrik!$C$2:$C$998,Metrik!$B$2:$B$998},2,0)</f>
        <v>Maha Properti Indonesia Tbk.</v>
      </c>
      <c r="C1251" s="15">
        <f>IFERROR(__xludf.DUMMYFUNCTION("GOOGLEFINANCE(""IDX:""&amp;A1251,""price"")"),7000.0)</f>
        <v>7000</v>
      </c>
      <c r="D1251" s="16" t="str">
        <f>IFERROR(__xludf.DUMMYFUNCTION("IF(A1251="""","""",
SPARKLINE(
INDEX(
GOOGLEFINANCE(""IDX:""&amp;A1251,""close"",TODAY()-365,TODAY()),
,2
),
{""linewidth"",1}
))
"),"#N/A")</f>
        <v>#N/A</v>
      </c>
      <c r="E1251" s="26"/>
      <c r="F1251" s="26"/>
      <c r="G1251" s="24">
        <f t="shared" si="8"/>
        <v>0</v>
      </c>
      <c r="H1251" s="19">
        <f>VLOOKUP(A1251,Metrik!$C$2:$Y$959,8,0)</f>
        <v>-1510</v>
      </c>
      <c r="I1251" s="20">
        <f>VLOOKUP(A1251,Metrik!$C$2:$Y$959,9,0)</f>
        <v>76</v>
      </c>
      <c r="J1251" s="20">
        <f>VLOOKUP(A1251,Metrik!$C$2:$Y$959,10,0)</f>
        <v>-5</v>
      </c>
      <c r="K1251" s="20">
        <f>VLOOKUP(A1251,Metrik!$C$2:$Y$959,11,0)</f>
        <v>-3.5</v>
      </c>
      <c r="L1251" s="20">
        <f>VLOOKUP(A1251,Metrik!$C$2:$Y$959,12,0)</f>
        <v>0.42</v>
      </c>
      <c r="M1251" s="20">
        <f>VLOOKUP(A1251,Metrik!$C$2:$Y$959,19,0)</f>
        <v>-5390</v>
      </c>
      <c r="N1251" s="21"/>
      <c r="O1251" s="21"/>
      <c r="P1251" s="21"/>
      <c r="Q1251" s="21"/>
      <c r="R1251" s="21"/>
      <c r="S1251" s="21"/>
      <c r="T1251" s="21"/>
      <c r="U1251" s="22">
        <f>IFERROR(__xludf.DUMMYFUNCTION("IFERROR(GOOGLEFINANCE(A1251,""closeyest""),"""")"),32.64)</f>
        <v>32.64</v>
      </c>
      <c r="V1251" s="23">
        <f>IFERROR(__xludf.DUMMYFUNCTION("IFERROR(GOOGLEFINANCE(A1251,""changepct""),"""")"),0.07)</f>
        <v>0.07</v>
      </c>
      <c r="W1251" s="22">
        <f>IFERROR(__xludf.DUMMYFUNCTION("IFERROR(GOOGLEFINANCE(A1251,""priceopen""),"""")"),32.64)</f>
        <v>32.64</v>
      </c>
      <c r="X1251" s="22">
        <f>IFERROR(__xludf.DUMMYFUNCTION("IFERROR(GOOGLEFINANCE(A1251,""high""),"""")"),32.66)</f>
        <v>32.66</v>
      </c>
      <c r="Y1251" s="22">
        <f>IFERROR(__xludf.DUMMYFUNCTION("IFERROR(GOOGLEFINANCE(A1251,""low""),"""")"),32.64)</f>
        <v>32.64</v>
      </c>
      <c r="Z1251" s="22">
        <f>IFERROR(__xludf.DUMMYFUNCTION("IFERROR(GOOGLEFINANCE(A1251,""volume""),"""")"),43.0)</f>
        <v>43</v>
      </c>
      <c r="AA1251" s="24" t="str">
        <f>VLOOKUP(A1251,Metrik!$C$2:$Y$959,5,0)</f>
        <v>Real Estate Management &amp; Development</v>
      </c>
      <c r="AB1251" s="24" t="str">
        <f>VLOOKUP(A1251,Metrik!$C$2:$Y$959,3,0)</f>
        <v>Properties &amp; Real Estate</v>
      </c>
    </row>
    <row r="1252">
      <c r="A1252" s="14" t="s">
        <v>665</v>
      </c>
      <c r="B1252" s="14" t="str">
        <f t="array" ref="B1252">VLOOKUP(A1252,{Metrik!$C$2:$C$998,Metrik!$B$2:$B$998},2,0)</f>
        <v>PT MPX Logistics International Tbk</v>
      </c>
      <c r="C1252" s="15">
        <f>IFERROR(__xludf.DUMMYFUNCTION("GOOGLEFINANCE(""IDX:""&amp;A1252,""price"")"),145.0)</f>
        <v>145</v>
      </c>
      <c r="D1252" s="16" t="str">
        <f>IFERROR(__xludf.DUMMYFUNCTION("IF(A1252="""","""",
SPARKLINE(
INDEX(
GOOGLEFINANCE(""IDX:""&amp;A1252,""close"",TODAY()-365,TODAY()),
,2
),
{""linewidth"",1}
))
"),"#N/A")</f>
        <v>#N/A</v>
      </c>
      <c r="E1252" s="26"/>
      <c r="F1252" s="26"/>
      <c r="G1252" s="24">
        <f t="shared" si="8"/>
        <v>0</v>
      </c>
      <c r="H1252" s="19">
        <f>VLOOKUP(A1252,Metrik!$C$2:$Y$959,8,0)</f>
        <v>-40.9</v>
      </c>
      <c r="I1252" s="20">
        <f>VLOOKUP(A1252,Metrik!$C$2:$Y$959,9,0)</f>
        <v>3.4</v>
      </c>
      <c r="J1252" s="20">
        <f>VLOOKUP(A1252,Metrik!$C$2:$Y$959,10,0)</f>
        <v>-8.3</v>
      </c>
      <c r="K1252" s="20">
        <f>VLOOKUP(A1252,Metrik!$C$2:$Y$959,11,0)</f>
        <v>-3.7</v>
      </c>
      <c r="L1252" s="20">
        <f>VLOOKUP(A1252,Metrik!$C$2:$Y$959,12,0)</f>
        <v>1.2</v>
      </c>
      <c r="M1252" s="20">
        <f>VLOOKUP(A1252,Metrik!$C$2:$Y$959,19,0)</f>
        <v>-21</v>
      </c>
      <c r="N1252" s="21"/>
      <c r="O1252" s="21"/>
      <c r="P1252" s="21"/>
      <c r="Q1252" s="21"/>
      <c r="R1252" s="21"/>
      <c r="S1252" s="21"/>
      <c r="T1252" s="21"/>
      <c r="U1252" s="22">
        <f>IFERROR(__xludf.DUMMYFUNCTION("IFERROR(GOOGLEFINANCE(A1252,""closeyest""),"""")"),145.0)</f>
        <v>145</v>
      </c>
      <c r="V1252" s="23">
        <f>IFERROR(__xludf.DUMMYFUNCTION("IFERROR(GOOGLEFINANCE(A1252,""changepct""),"""")"),0.0)</f>
        <v>0</v>
      </c>
      <c r="W1252" s="22">
        <f>IFERROR(__xludf.DUMMYFUNCTION("IFERROR(GOOGLEFINANCE(A1252,""priceopen""),"""")"),145.0)</f>
        <v>145</v>
      </c>
      <c r="X1252" s="22">
        <f>IFERROR(__xludf.DUMMYFUNCTION("IFERROR(GOOGLEFINANCE(A1252,""high""),"""")"),150.0)</f>
        <v>150</v>
      </c>
      <c r="Y1252" s="22">
        <f>IFERROR(__xludf.DUMMYFUNCTION("IFERROR(GOOGLEFINANCE(A1252,""low""),"""")"),139.0)</f>
        <v>139</v>
      </c>
      <c r="Z1252" s="22">
        <f>IFERROR(__xludf.DUMMYFUNCTION("IFERROR(GOOGLEFINANCE(A1252,""volume""),"""")"),478600.0)</f>
        <v>478600</v>
      </c>
      <c r="AA1252" s="24" t="str">
        <f>VLOOKUP(A1252,Metrik!$C$2:$Y$959,5,0)</f>
        <v>Logistics &amp; Deliveries</v>
      </c>
      <c r="AB1252" s="24" t="str">
        <f>VLOOKUP(A1252,Metrik!$C$2:$Y$959,3,0)</f>
        <v>Transportation &amp; Logistic</v>
      </c>
    </row>
    <row r="1253">
      <c r="A1253" s="14" t="s">
        <v>666</v>
      </c>
      <c r="B1253" s="14" t="str">
        <f t="array" ref="B1253">VLOOKUP(A1253,{Metrik!$C$2:$C$998,Metrik!$B$2:$B$998},2,0)</f>
        <v>Mustika Ratu Tbk</v>
      </c>
      <c r="C1253" s="15">
        <f>IFERROR(__xludf.DUMMYFUNCTION("GOOGLEFINANCE(""IDX:""&amp;A1253,""price"")"),450.0)</f>
        <v>450</v>
      </c>
      <c r="D1253" s="16" t="str">
        <f>IFERROR(__xludf.DUMMYFUNCTION("IF(A1253="""","""",
SPARKLINE(
INDEX(
GOOGLEFINANCE(""IDX:""&amp;A1253,""close"",TODAY()-365,TODAY()),
,2
),
{""linewidth"",1}
))
"),"#N/A")</f>
        <v>#N/A</v>
      </c>
      <c r="E1253" s="26"/>
      <c r="F1253" s="26"/>
      <c r="G1253" s="24">
        <f t="shared" si="8"/>
        <v>0</v>
      </c>
      <c r="H1253" s="19">
        <f>VLOOKUP(A1253,Metrik!$C$2:$Y$959,8,0)</f>
        <v>150</v>
      </c>
      <c r="I1253" s="20">
        <f>VLOOKUP(A1253,Metrik!$C$2:$Y$959,9,0)</f>
        <v>0.3</v>
      </c>
      <c r="J1253" s="20">
        <f>VLOOKUP(A1253,Metrik!$C$2:$Y$959,10,0)</f>
        <v>0.2</v>
      </c>
      <c r="K1253" s="20">
        <f>VLOOKUP(A1253,Metrik!$C$2:$Y$959,11,0)</f>
        <v>0.15</v>
      </c>
      <c r="L1253" s="20">
        <f>VLOOKUP(A1253,Metrik!$C$2:$Y$959,12,0)</f>
        <v>0.37</v>
      </c>
      <c r="M1253" s="20">
        <f>VLOOKUP(A1253,Metrik!$C$2:$Y$959,19,0)</f>
        <v>1</v>
      </c>
      <c r="N1253" s="21"/>
      <c r="O1253" s="21"/>
      <c r="P1253" s="21"/>
      <c r="Q1253" s="21"/>
      <c r="R1253" s="21"/>
      <c r="S1253" s="21"/>
      <c r="T1253" s="21"/>
      <c r="U1253" s="22">
        <f>IFERROR(__xludf.DUMMYFUNCTION("IFERROR(GOOGLEFINANCE(A1253,""closeyest""),"""")"),430.0)</f>
        <v>430</v>
      </c>
      <c r="V1253" s="23">
        <f>IFERROR(__xludf.DUMMYFUNCTION("IFERROR(GOOGLEFINANCE(A1253,""changepct""),"""")"),4.65)</f>
        <v>4.65</v>
      </c>
      <c r="W1253" s="22">
        <f>IFERROR(__xludf.DUMMYFUNCTION("IFERROR(GOOGLEFINANCE(A1253,""priceopen""),"""")"),440.0)</f>
        <v>440</v>
      </c>
      <c r="X1253" s="22">
        <f>IFERROR(__xludf.DUMMYFUNCTION("IFERROR(GOOGLEFINANCE(A1253,""high""),"""")"),450.0)</f>
        <v>450</v>
      </c>
      <c r="Y1253" s="22">
        <f>IFERROR(__xludf.DUMMYFUNCTION("IFERROR(GOOGLEFINANCE(A1253,""low""),"""")"),430.0)</f>
        <v>430</v>
      </c>
      <c r="Z1253" s="22">
        <f>IFERROR(__xludf.DUMMYFUNCTION("IFERROR(GOOGLEFINANCE(A1253,""volume""),"""")"),294300.0)</f>
        <v>294300</v>
      </c>
      <c r="AA1253" s="24" t="str">
        <f>VLOOKUP(A1253,Metrik!$C$2:$Y$959,5,0)</f>
        <v>Personal Care Products</v>
      </c>
      <c r="AB1253" s="24" t="str">
        <f>VLOOKUP(A1253,Metrik!$C$2:$Y$959,3,0)</f>
        <v>Consumer Non-Cyclicals</v>
      </c>
    </row>
    <row r="1254">
      <c r="A1254" s="14" t="s">
        <v>667</v>
      </c>
      <c r="B1254" s="14" t="str">
        <f t="array" ref="B1254">VLOOKUP(A1254,{Metrik!$C$2:$C$998,Metrik!$B$2:$B$998},2,0)</f>
        <v>Maskapai Reasuransi Indonesia Tbk</v>
      </c>
      <c r="C1254" s="15">
        <f>IFERROR(__xludf.DUMMYFUNCTION("GOOGLEFINANCE(""IDX:""&amp;A1254,""price"")"),985.0)</f>
        <v>985</v>
      </c>
      <c r="D1254" s="16" t="str">
        <f>IFERROR(__xludf.DUMMYFUNCTION("IF(A1254="""","""",
SPARKLINE(
INDEX(
GOOGLEFINANCE(""IDX:""&amp;A1254,""close"",TODAY()-365,TODAY()),
,2
),
{""linewidth"",1}
))
"),"#N/A")</f>
        <v>#N/A</v>
      </c>
      <c r="E1254" s="26"/>
      <c r="F1254" s="26"/>
      <c r="G1254" s="24">
        <f t="shared" si="8"/>
        <v>0</v>
      </c>
      <c r="H1254" s="19">
        <f>VLOOKUP(A1254,Metrik!$C$2:$Y$959,8,0)</f>
        <v>5.5</v>
      </c>
      <c r="I1254" s="20">
        <f>VLOOKUP(A1254,Metrik!$C$2:$Y$959,9,0)</f>
        <v>0.31</v>
      </c>
      <c r="J1254" s="20">
        <f>VLOOKUP(A1254,Metrik!$C$2:$Y$959,10,0)</f>
        <v>5.6</v>
      </c>
      <c r="K1254" s="20">
        <f>VLOOKUP(A1254,Metrik!$C$2:$Y$959,11,0)</f>
        <v>1.7</v>
      </c>
      <c r="L1254" s="20">
        <f>VLOOKUP(A1254,Metrik!$C$2:$Y$959,12,0)</f>
        <v>2.3</v>
      </c>
      <c r="M1254" s="20">
        <f>VLOOKUP(A1254,Metrik!$C$2:$Y$959,19,0)</f>
        <v>3.1</v>
      </c>
      <c r="N1254" s="21"/>
      <c r="O1254" s="21"/>
      <c r="P1254" s="21"/>
      <c r="Q1254" s="21"/>
      <c r="R1254" s="21"/>
      <c r="S1254" s="21"/>
      <c r="T1254" s="21"/>
      <c r="U1254" s="22">
        <f>IFERROR(__xludf.DUMMYFUNCTION("IFERROR(GOOGLEFINANCE(A1254,""closeyest""),"""")"),970.0)</f>
        <v>970</v>
      </c>
      <c r="V1254" s="23">
        <f>IFERROR(__xludf.DUMMYFUNCTION("IFERROR(GOOGLEFINANCE(A1254,""changepct""),"""")"),1.55)</f>
        <v>1.55</v>
      </c>
      <c r="W1254" s="22">
        <f>IFERROR(__xludf.DUMMYFUNCTION("IFERROR(GOOGLEFINANCE(A1254,""priceopen""),"""")"),1000.0)</f>
        <v>1000</v>
      </c>
      <c r="X1254" s="22">
        <f>IFERROR(__xludf.DUMMYFUNCTION("IFERROR(GOOGLEFINANCE(A1254,""high""),"""")"),1000.0)</f>
        <v>1000</v>
      </c>
      <c r="Y1254" s="22">
        <f>IFERROR(__xludf.DUMMYFUNCTION("IFERROR(GOOGLEFINANCE(A1254,""low""),"""")"),965.0)</f>
        <v>965</v>
      </c>
      <c r="Z1254" s="22">
        <f>IFERROR(__xludf.DUMMYFUNCTION("IFERROR(GOOGLEFINANCE(A1254,""volume""),"""")"),40800.0)</f>
        <v>40800</v>
      </c>
      <c r="AA1254" s="24" t="str">
        <f>VLOOKUP(A1254,Metrik!$C$2:$Y$959,5,0)</f>
        <v>Insurance</v>
      </c>
      <c r="AB1254" s="24" t="str">
        <f>VLOOKUP(A1254,Metrik!$C$2:$Y$959,3,0)</f>
        <v>Financials</v>
      </c>
    </row>
    <row r="1255">
      <c r="A1255" s="14" t="s">
        <v>668</v>
      </c>
      <c r="B1255" s="14" t="str">
        <f t="array" ref="B1255">VLOOKUP(A1255,{Metrik!$C$2:$C$998,Metrik!$B$2:$B$998},2,0)</f>
        <v>PT Multisarana Intan Eduka Tbk</v>
      </c>
      <c r="C1255" s="15">
        <f>IFERROR(__xludf.DUMMYFUNCTION("GOOGLEFINANCE(""IDX:""&amp;A1255,""price"")"),97.0)</f>
        <v>97</v>
      </c>
      <c r="D1255" s="16" t="str">
        <f>IFERROR(__xludf.DUMMYFUNCTION("IF(A1255="""","""",
SPARKLINE(
INDEX(
GOOGLEFINANCE(""IDX:""&amp;A1255,""close"",TODAY()-365,TODAY()),
,2
),
{""linewidth"",1}
))
"),"#N/A")</f>
        <v>#N/A</v>
      </c>
      <c r="E1255" s="26"/>
      <c r="F1255" s="26"/>
      <c r="G1255" s="24">
        <f t="shared" si="8"/>
        <v>0</v>
      </c>
      <c r="H1255" s="19">
        <f>VLOOKUP(A1255,Metrik!$C$2:$Y$959,8,0)</f>
        <v>310</v>
      </c>
      <c r="I1255" s="20">
        <f>VLOOKUP(A1255,Metrik!$C$2:$Y$959,9,0)</f>
        <v>1.9</v>
      </c>
      <c r="J1255" s="20">
        <f>VLOOKUP(A1255,Metrik!$C$2:$Y$959,10,0)</f>
        <v>0.61</v>
      </c>
      <c r="K1255" s="20">
        <f>VLOOKUP(A1255,Metrik!$C$2:$Y$959,11,0)</f>
        <v>0.55</v>
      </c>
      <c r="L1255" s="20">
        <f>VLOOKUP(A1255,Metrik!$C$2:$Y$959,12,0)</f>
        <v>0.1</v>
      </c>
      <c r="M1255" s="20">
        <f>VLOOKUP(A1255,Metrik!$C$2:$Y$959,19,0)</f>
        <v>38.6</v>
      </c>
      <c r="N1255" s="21"/>
      <c r="O1255" s="21"/>
      <c r="P1255" s="21"/>
      <c r="Q1255" s="21"/>
      <c r="R1255" s="21"/>
      <c r="S1255" s="21"/>
      <c r="T1255" s="21"/>
      <c r="U1255" s="22">
        <f>IFERROR(__xludf.DUMMYFUNCTION("IFERROR(GOOGLEFINANCE(A1255,""closeyest""),"""")"),89.0)</f>
        <v>89</v>
      </c>
      <c r="V1255" s="23">
        <f>IFERROR(__xludf.DUMMYFUNCTION("IFERROR(GOOGLEFINANCE(A1255,""changepct""),"""")"),8.99)</f>
        <v>8.99</v>
      </c>
      <c r="W1255" s="22">
        <f>IFERROR(__xludf.DUMMYFUNCTION("IFERROR(GOOGLEFINANCE(A1255,""priceopen""),"""")"),82.0)</f>
        <v>82</v>
      </c>
      <c r="X1255" s="22">
        <f>IFERROR(__xludf.DUMMYFUNCTION("IFERROR(GOOGLEFINANCE(A1255,""high""),"""")"),97.0)</f>
        <v>97</v>
      </c>
      <c r="Y1255" s="22">
        <f>IFERROR(__xludf.DUMMYFUNCTION("IFERROR(GOOGLEFINANCE(A1255,""low""),"""")"),81.0)</f>
        <v>81</v>
      </c>
      <c r="Z1255" s="22">
        <f>IFERROR(__xludf.DUMMYFUNCTION("IFERROR(GOOGLEFINANCE(A1255,""volume""),"""")"),1.89444E7)</f>
        <v>18944400</v>
      </c>
      <c r="AA1255" s="24" t="str">
        <f>VLOOKUP(A1255,Metrik!$C$2:$Y$959,5,0)</f>
        <v>Real Estate Management &amp; Development</v>
      </c>
      <c r="AB1255" s="24" t="str">
        <f>VLOOKUP(A1255,Metrik!$C$2:$Y$959,3,0)</f>
        <v>Properties &amp; Real Estate</v>
      </c>
    </row>
    <row r="1256">
      <c r="A1256" s="14" t="s">
        <v>669</v>
      </c>
      <c r="B1256" s="14" t="str">
        <f t="array" ref="B1256">VLOOKUP(A1256,{Metrik!$C$2:$C$998,Metrik!$B$2:$B$998},2,0)</f>
        <v>MNC Digital Entertainment Tbk.</v>
      </c>
      <c r="C1256" s="15">
        <f>IFERROR(__xludf.DUMMYFUNCTION("GOOGLEFINANCE(""IDX:""&amp;A1256,""price"")"),530.0)</f>
        <v>530</v>
      </c>
      <c r="D1256" s="16" t="str">
        <f>IFERROR(__xludf.DUMMYFUNCTION("IF(A1256="""","""",
SPARKLINE(
INDEX(
GOOGLEFINANCE(""IDX:""&amp;A1256,""close"",TODAY()-365,TODAY()),
,2
),
{""linewidth"",1}
))
"),"#N/A")</f>
        <v>#N/A</v>
      </c>
      <c r="E1256" s="14" t="s">
        <v>84</v>
      </c>
      <c r="F1256" s="17" t="s">
        <v>51</v>
      </c>
      <c r="G1256" s="24">
        <f t="shared" si="8"/>
        <v>1</v>
      </c>
      <c r="H1256" s="19">
        <f>VLOOKUP(A1256,Metrik!$C$2:$Y$959,8,0)</f>
        <v>24.5</v>
      </c>
      <c r="I1256" s="20">
        <f>VLOOKUP(A1256,Metrik!$C$2:$Y$959,9,0)</f>
        <v>3.6</v>
      </c>
      <c r="J1256" s="20">
        <f>VLOOKUP(A1256,Metrik!$C$2:$Y$959,10,0)</f>
        <v>14.5</v>
      </c>
      <c r="K1256" s="20">
        <f>VLOOKUP(A1256,Metrik!$C$2:$Y$959,11,0)</f>
        <v>12.1</v>
      </c>
      <c r="L1256" s="20">
        <f>VLOOKUP(A1256,Metrik!$C$2:$Y$959,12,0)</f>
        <v>0.2</v>
      </c>
      <c r="M1256" s="20">
        <f>VLOOKUP(A1256,Metrik!$C$2:$Y$959,19,0)</f>
        <v>95.3</v>
      </c>
      <c r="N1256" s="21"/>
      <c r="O1256" s="21"/>
      <c r="P1256" s="21"/>
      <c r="Q1256" s="21"/>
      <c r="R1256" s="21"/>
      <c r="S1256" s="21"/>
      <c r="T1256" s="21"/>
      <c r="U1256" s="22">
        <f>IFERROR(__xludf.DUMMYFUNCTION("IFERROR(GOOGLEFINANCE(A1256,""closeyest""),"""")"),510.0)</f>
        <v>510</v>
      </c>
      <c r="V1256" s="23">
        <f>IFERROR(__xludf.DUMMYFUNCTION("IFERROR(GOOGLEFINANCE(A1256,""changepct""),"""")"),3.92)</f>
        <v>3.92</v>
      </c>
      <c r="W1256" s="22">
        <f>IFERROR(__xludf.DUMMYFUNCTION("IFERROR(GOOGLEFINANCE(A1256,""priceopen""),"""")"),510.0)</f>
        <v>510</v>
      </c>
      <c r="X1256" s="22">
        <f>IFERROR(__xludf.DUMMYFUNCTION("IFERROR(GOOGLEFINANCE(A1256,""high""),"""")"),530.0)</f>
        <v>530</v>
      </c>
      <c r="Y1256" s="22">
        <f>IFERROR(__xludf.DUMMYFUNCTION("IFERROR(GOOGLEFINANCE(A1256,""low""),"""")"),500.0)</f>
        <v>500</v>
      </c>
      <c r="Z1256" s="22">
        <f>IFERROR(__xludf.DUMMYFUNCTION("IFERROR(GOOGLEFINANCE(A1256,""volume""),"""")"),2.47986E7)</f>
        <v>24798600</v>
      </c>
      <c r="AA1256" s="24" t="str">
        <f>VLOOKUP(A1256,Metrik!$C$2:$Y$959,5,0)</f>
        <v>Entertainment &amp; Movie Production</v>
      </c>
      <c r="AB1256" s="24" t="str">
        <f>VLOOKUP(A1256,Metrik!$C$2:$Y$959,3,0)</f>
        <v>Consumer Cyclicals</v>
      </c>
    </row>
    <row r="1257">
      <c r="A1257" s="14" t="s">
        <v>670</v>
      </c>
      <c r="B1257" s="14" t="str">
        <f t="array" ref="B1257">VLOOKUP(A1257,{Metrik!$C$2:$C$998,Metrik!$B$2:$B$998},2,0)</f>
        <v>Multi Spunindo Jaya Tbk.</v>
      </c>
      <c r="C1257" s="15">
        <f>IFERROR(__xludf.DUMMYFUNCTION("GOOGLEFINANCE(""IDX:""&amp;A1257,""price"")"),414.0)</f>
        <v>414</v>
      </c>
      <c r="D1257" s="16" t="str">
        <f>IFERROR(__xludf.DUMMYFUNCTION("IF(A1257="""","""",
SPARKLINE(
INDEX(
GOOGLEFINANCE(""IDX:""&amp;A1257,""close"",TODAY()-365,TODAY()),
,2
),
{""linewidth"",1}
))
"),"#N/A")</f>
        <v>#N/A</v>
      </c>
      <c r="E1257" s="26"/>
      <c r="F1257" s="26"/>
      <c r="G1257" s="24">
        <f t="shared" si="8"/>
        <v>0</v>
      </c>
      <c r="H1257" s="19">
        <f>VLOOKUP(A1257,Metrik!$C$2:$Y$959,8,0)</f>
        <v>22.1</v>
      </c>
      <c r="I1257" s="20">
        <f>VLOOKUP(A1257,Metrik!$C$2:$Y$959,9,0)</f>
        <v>1.6</v>
      </c>
      <c r="J1257" s="20">
        <f>VLOOKUP(A1257,Metrik!$C$2:$Y$959,10,0)</f>
        <v>7.3</v>
      </c>
      <c r="K1257" s="20">
        <f>VLOOKUP(A1257,Metrik!$C$2:$Y$959,11,0)</f>
        <v>5.9</v>
      </c>
      <c r="L1257" s="20">
        <f>VLOOKUP(A1257,Metrik!$C$2:$Y$959,12,0)</f>
        <v>0.24</v>
      </c>
      <c r="M1257" s="20">
        <f>VLOOKUP(A1257,Metrik!$C$2:$Y$959,19,0)</f>
        <v>41.9</v>
      </c>
      <c r="N1257" s="21"/>
      <c r="O1257" s="21"/>
      <c r="P1257" s="21"/>
      <c r="Q1257" s="21"/>
      <c r="R1257" s="21"/>
      <c r="S1257" s="21"/>
      <c r="T1257" s="21"/>
      <c r="U1257" s="22">
        <f>IFERROR(__xludf.DUMMYFUNCTION("IFERROR(GOOGLEFINANCE(A1257,""closeyest""),"""")"),398.0)</f>
        <v>398</v>
      </c>
      <c r="V1257" s="23">
        <f>IFERROR(__xludf.DUMMYFUNCTION("IFERROR(GOOGLEFINANCE(A1257,""changepct""),"""")"),4.02)</f>
        <v>4.02</v>
      </c>
      <c r="W1257" s="22">
        <f>IFERROR(__xludf.DUMMYFUNCTION("IFERROR(GOOGLEFINANCE(A1257,""priceopen""),"""")"),392.0)</f>
        <v>392</v>
      </c>
      <c r="X1257" s="22">
        <f>IFERROR(__xludf.DUMMYFUNCTION("IFERROR(GOOGLEFINANCE(A1257,""high""),"""")"),436.0)</f>
        <v>436</v>
      </c>
      <c r="Y1257" s="22">
        <f>IFERROR(__xludf.DUMMYFUNCTION("IFERROR(GOOGLEFINANCE(A1257,""low""),"""")"),390.0)</f>
        <v>390</v>
      </c>
      <c r="Z1257" s="22" t="str">
        <f>IFERROR(__xludf.DUMMYFUNCTION("IFERROR(GOOGLEFINANCE(A1257,""volume""),"""")"),"")</f>
        <v/>
      </c>
      <c r="AA1257" s="24" t="str">
        <f>VLOOKUP(A1257,Metrik!$C$2:$Y$959,5,0)</f>
        <v>Personal Care Products</v>
      </c>
      <c r="AB1257" s="24" t="str">
        <f>VLOOKUP(A1257,Metrik!$C$2:$Y$959,3,0)</f>
        <v>Consumer Non-Cyclicals</v>
      </c>
    </row>
    <row r="1258">
      <c r="A1258" s="14" t="s">
        <v>671</v>
      </c>
      <c r="B1258" s="14" t="str">
        <f t="array" ref="B1258">VLOOKUP(A1258,{Metrik!$C$2:$C$998,Metrik!$B$2:$B$998},2,0)</f>
        <v>MNC Sky Vision Tbk.</v>
      </c>
      <c r="C1258" s="15">
        <f>IFERROR(__xludf.DUMMYFUNCTION("GOOGLEFINANCE(""IDX:""&amp;A1258,""price"")"),62.0)</f>
        <v>62</v>
      </c>
      <c r="D1258" s="16" t="str">
        <f>IFERROR(__xludf.DUMMYFUNCTION("IF(A1258="""","""",
SPARKLINE(
INDEX(
GOOGLEFINANCE(""IDX:""&amp;A1258,""close"",TODAY()-365,TODAY()),
,2
),
{""linewidth"",1}
))
"),"#N/A")</f>
        <v>#N/A</v>
      </c>
      <c r="E1258" s="26"/>
      <c r="F1258" s="26"/>
      <c r="G1258" s="24">
        <f t="shared" si="8"/>
        <v>0</v>
      </c>
      <c r="H1258" s="19">
        <f>VLOOKUP(A1258,Metrik!$C$2:$Y$959,8,0)</f>
        <v>-3.9</v>
      </c>
      <c r="I1258" s="20">
        <f>VLOOKUP(A1258,Metrik!$C$2:$Y$959,9,0)</f>
        <v>0.16</v>
      </c>
      <c r="J1258" s="20">
        <f>VLOOKUP(A1258,Metrik!$C$2:$Y$959,10,0)</f>
        <v>-4.2</v>
      </c>
      <c r="K1258" s="20">
        <f>VLOOKUP(A1258,Metrik!$C$2:$Y$959,11,0)</f>
        <v>-2.6</v>
      </c>
      <c r="L1258" s="20">
        <f>VLOOKUP(A1258,Metrik!$C$2:$Y$959,12,0)</f>
        <v>0.64</v>
      </c>
      <c r="M1258" s="20">
        <f>VLOOKUP(A1258,Metrik!$C$2:$Y$959,19,0)</f>
        <v>-49.5</v>
      </c>
      <c r="N1258" s="21"/>
      <c r="O1258" s="21"/>
      <c r="P1258" s="21"/>
      <c r="Q1258" s="21"/>
      <c r="R1258" s="21"/>
      <c r="S1258" s="21"/>
      <c r="T1258" s="21"/>
      <c r="U1258" s="22">
        <f>IFERROR(__xludf.DUMMYFUNCTION("IFERROR(GOOGLEFINANCE(A1258,""closeyest""),"""")"),62.0)</f>
        <v>62</v>
      </c>
      <c r="V1258" s="23">
        <f>IFERROR(__xludf.DUMMYFUNCTION("IFERROR(GOOGLEFINANCE(A1258,""changepct""),"""")"),0.0)</f>
        <v>0</v>
      </c>
      <c r="W1258" s="22">
        <f>IFERROR(__xludf.DUMMYFUNCTION("IFERROR(GOOGLEFINANCE(A1258,""priceopen""),"""")"),62.0)</f>
        <v>62</v>
      </c>
      <c r="X1258" s="22">
        <f>IFERROR(__xludf.DUMMYFUNCTION("IFERROR(GOOGLEFINANCE(A1258,""high""),"""")"),65.0)</f>
        <v>65</v>
      </c>
      <c r="Y1258" s="22">
        <f>IFERROR(__xludf.DUMMYFUNCTION("IFERROR(GOOGLEFINANCE(A1258,""low""),"""")"),62.0)</f>
        <v>62</v>
      </c>
      <c r="Z1258" s="22">
        <f>IFERROR(__xludf.DUMMYFUNCTION("IFERROR(GOOGLEFINANCE(A1258,""volume""),"""")"),7739000.0)</f>
        <v>7739000</v>
      </c>
      <c r="AA1258" s="24" t="str">
        <f>VLOOKUP(A1258,Metrik!$C$2:$Y$959,5,0)</f>
        <v>Media</v>
      </c>
      <c r="AB1258" s="24" t="str">
        <f>VLOOKUP(A1258,Metrik!$C$2:$Y$959,3,0)</f>
        <v>Consumer Cyclicals</v>
      </c>
    </row>
    <row r="1259">
      <c r="A1259" s="17" t="s">
        <v>672</v>
      </c>
      <c r="B1259" s="14" t="str">
        <f t="array" ref="B1259">VLOOKUP(A1259,{Metrik!$C$2:$C$998,Metrik!$B$2:$B$998},2,0)</f>
        <v>Mastersystem Infotama Tbk.</v>
      </c>
      <c r="C1259" s="15">
        <f>IFERROR(__xludf.DUMMYFUNCTION("GOOGLEFINANCE(""IDX:""&amp;A1259,""price"")"),1210.0)</f>
        <v>1210</v>
      </c>
      <c r="D1259" s="16" t="str">
        <f>IFERROR(__xludf.DUMMYFUNCTION("IF(A1259="""","""",
SPARKLINE(
INDEX(
GOOGLEFINANCE(""IDX:""&amp;A1259,""close"",TODAY()-365,TODAY()),
,2
),
{""linewidth"",1}
))
"),"#N/A")</f>
        <v>#N/A</v>
      </c>
      <c r="E1259" s="14"/>
      <c r="F1259" s="17"/>
      <c r="G1259" s="18">
        <f t="shared" si="8"/>
        <v>0</v>
      </c>
      <c r="H1259" s="19">
        <f>VLOOKUP(A1259,Metrik!$C$2:$Y$959,8,0)</f>
        <v>7.9</v>
      </c>
      <c r="I1259" s="20">
        <f>VLOOKUP(A1259,Metrik!$C$2:$Y$959,9,0)</f>
        <v>1.8</v>
      </c>
      <c r="J1259" s="20">
        <f>VLOOKUP(A1259,Metrik!$C$2:$Y$959,10,0)</f>
        <v>22.5</v>
      </c>
      <c r="K1259" s="20">
        <f>VLOOKUP(A1259,Metrik!$C$2:$Y$959,11,0)</f>
        <v>15.9</v>
      </c>
      <c r="L1259" s="20">
        <f>VLOOKUP(A1259,Metrik!$C$2:$Y$959,12,0)</f>
        <v>0.42</v>
      </c>
      <c r="M1259" s="20">
        <f>VLOOKUP(A1259,Metrik!$C$2:$Y$959,19,0)</f>
        <v>49.3</v>
      </c>
      <c r="N1259" s="21"/>
      <c r="O1259" s="21"/>
      <c r="P1259" s="21"/>
      <c r="Q1259" s="21"/>
      <c r="R1259" s="21"/>
      <c r="S1259" s="21"/>
      <c r="T1259" s="21"/>
      <c r="U1259" s="22">
        <f>IFERROR(__xludf.DUMMYFUNCTION("IFERROR(GOOGLEFINANCE(A1259,""closeyest""),"""")"),20.24)</f>
        <v>20.24</v>
      </c>
      <c r="V1259" s="23">
        <f>IFERROR(__xludf.DUMMYFUNCTION("IFERROR(GOOGLEFINANCE(A1259,""changepct""),"""")"),0.25)</f>
        <v>0.25</v>
      </c>
      <c r="W1259" s="22">
        <f>IFERROR(__xludf.DUMMYFUNCTION("IFERROR(GOOGLEFINANCE(A1259,""priceopen""),"""")"),20.28)</f>
        <v>20.28</v>
      </c>
      <c r="X1259" s="22">
        <f>IFERROR(__xludf.DUMMYFUNCTION("IFERROR(GOOGLEFINANCE(A1259,""high""),"""")"),20.29)</f>
        <v>20.29</v>
      </c>
      <c r="Y1259" s="22">
        <f>IFERROR(__xludf.DUMMYFUNCTION("IFERROR(GOOGLEFINANCE(A1259,""low""),"""")"),20.16)</f>
        <v>20.16</v>
      </c>
      <c r="Z1259" s="22">
        <f>IFERROR(__xludf.DUMMYFUNCTION("IFERROR(GOOGLEFINANCE(A1259,""volume""),"""")"),1411.0)</f>
        <v>1411</v>
      </c>
      <c r="AA1259" s="24" t="str">
        <f>VLOOKUP(A1259,Metrik!$C$2:$Y$959,5,0)</f>
        <v>Networking Equipment</v>
      </c>
      <c r="AB1259" s="24" t="str">
        <f>VLOOKUP(A1259,Metrik!$C$2:$Y$959,3,0)</f>
        <v>Technology</v>
      </c>
    </row>
    <row r="1260">
      <c r="A1260" s="17" t="s">
        <v>673</v>
      </c>
      <c r="B1260" s="14" t="str">
        <f t="array" ref="B1260">VLOOKUP(A1260,{Metrik!$C$2:$C$998,Metrik!$B$2:$B$998},2,0)</f>
        <v>Metrodata Electronics Tbk.</v>
      </c>
      <c r="C1260" s="15">
        <f>IFERROR(__xludf.DUMMYFUNCTION("GOOGLEFINANCE(""IDX:""&amp;A1260,""price"")"),535.0)</f>
        <v>535</v>
      </c>
      <c r="D1260" s="16" t="str">
        <f>IFERROR(__xludf.DUMMYFUNCTION("IF(A1260="""","""",
SPARKLINE(
INDEX(
GOOGLEFINANCE(""IDX:""&amp;A1260,""close"",TODAY()-365,TODAY()),
,2
),
{""linewidth"",1}
))
"),"#N/A")</f>
        <v>#N/A</v>
      </c>
      <c r="E1260" s="14"/>
      <c r="F1260" s="17"/>
      <c r="G1260" s="18">
        <f t="shared" si="8"/>
        <v>0</v>
      </c>
      <c r="H1260" s="19">
        <f>VLOOKUP(A1260,Metrik!$C$2:$Y$959,8,0)</f>
        <v>8</v>
      </c>
      <c r="I1260" s="20">
        <f>VLOOKUP(A1260,Metrik!$C$2:$Y$959,9,0)</f>
        <v>1</v>
      </c>
      <c r="J1260" s="20">
        <f>VLOOKUP(A1260,Metrik!$C$2:$Y$959,10,0)</f>
        <v>12.5</v>
      </c>
      <c r="K1260" s="20">
        <f>VLOOKUP(A1260,Metrik!$C$2:$Y$959,11,0)</f>
        <v>5.6</v>
      </c>
      <c r="L1260" s="20">
        <f>VLOOKUP(A1260,Metrik!$C$2:$Y$959,12,0)</f>
        <v>1.2</v>
      </c>
      <c r="M1260" s="20">
        <f>VLOOKUP(A1260,Metrik!$C$2:$Y$959,19,0)</f>
        <v>12.2</v>
      </c>
      <c r="N1260" s="21"/>
      <c r="O1260" s="21"/>
      <c r="P1260" s="21"/>
      <c r="Q1260" s="21"/>
      <c r="R1260" s="21"/>
      <c r="S1260" s="21"/>
      <c r="T1260" s="21"/>
      <c r="U1260" s="22">
        <f>IFERROR(__xludf.DUMMYFUNCTION("IFERROR(GOOGLEFINANCE(A1260,""closeyest""),"""")"),510.0)</f>
        <v>510</v>
      </c>
      <c r="V1260" s="23">
        <f>IFERROR(__xludf.DUMMYFUNCTION("IFERROR(GOOGLEFINANCE(A1260,""changepct""),"""")"),4.9)</f>
        <v>4.9</v>
      </c>
      <c r="W1260" s="22">
        <f>IFERROR(__xludf.DUMMYFUNCTION("IFERROR(GOOGLEFINANCE(A1260,""priceopen""),"""")"),510.0)</f>
        <v>510</v>
      </c>
      <c r="X1260" s="22">
        <f>IFERROR(__xludf.DUMMYFUNCTION("IFERROR(GOOGLEFINANCE(A1260,""high""),"""")"),550.0)</f>
        <v>550</v>
      </c>
      <c r="Y1260" s="22">
        <f>IFERROR(__xludf.DUMMYFUNCTION("IFERROR(GOOGLEFINANCE(A1260,""low""),"""")"),510.0)</f>
        <v>510</v>
      </c>
      <c r="Z1260" s="22">
        <f>IFERROR(__xludf.DUMMYFUNCTION("IFERROR(GOOGLEFINANCE(A1260,""volume""),"""")"),3419300.0)</f>
        <v>3419300</v>
      </c>
      <c r="AA1260" s="24" t="str">
        <f>VLOOKUP(A1260,Metrik!$C$2:$Y$959,5,0)</f>
        <v>Computer Hardware</v>
      </c>
      <c r="AB1260" s="24" t="str">
        <f>VLOOKUP(A1260,Metrik!$C$2:$Y$959,3,0)</f>
        <v>Technology</v>
      </c>
    </row>
    <row r="1261">
      <c r="A1261" s="14" t="s">
        <v>674</v>
      </c>
      <c r="B1261" s="14" t="str">
        <f t="array" ref="B1261">VLOOKUP(A1261,{Metrik!$C$2:$C$998,Metrik!$B$2:$B$998},2,0)</f>
        <v>Dayamitra Telekomunikasi Tbk.</v>
      </c>
      <c r="C1261" s="15">
        <f>IFERROR(__xludf.DUMMYFUNCTION("GOOGLEFINANCE(""IDX:""&amp;A1261,""price"")"),498.0)</f>
        <v>498</v>
      </c>
      <c r="D1261" s="16" t="str">
        <f>IFERROR(__xludf.DUMMYFUNCTION("IF(A1261="""","""",
SPARKLINE(
INDEX(
GOOGLEFINANCE(""IDX:""&amp;A1261,""close"",TODAY()-365,TODAY()),
,2
),
{""linewidth"",1}
))
"),"#N/A")</f>
        <v>#N/A</v>
      </c>
      <c r="E1261" s="14" t="s">
        <v>47</v>
      </c>
      <c r="F1261" s="25">
        <v>46356.0</v>
      </c>
      <c r="G1261" s="24">
        <f t="shared" si="8"/>
        <v>10</v>
      </c>
      <c r="H1261" s="19">
        <f>VLOOKUP(A1261,Metrik!$C$2:$Y$959,8,0)</f>
        <v>20.3</v>
      </c>
      <c r="I1261" s="20">
        <f>VLOOKUP(A1261,Metrik!$C$2:$Y$959,9,0)</f>
        <v>1.3</v>
      </c>
      <c r="J1261" s="20">
        <f>VLOOKUP(A1261,Metrik!$C$2:$Y$959,10,0)</f>
        <v>6.4</v>
      </c>
      <c r="K1261" s="20">
        <f>VLOOKUP(A1261,Metrik!$C$2:$Y$959,11,0)</f>
        <v>3.5</v>
      </c>
      <c r="L1261" s="20">
        <f>VLOOKUP(A1261,Metrik!$C$2:$Y$959,12,0)</f>
        <v>0.8</v>
      </c>
      <c r="M1261" s="20">
        <f>VLOOKUP(A1261,Metrik!$C$2:$Y$959,19,0)</f>
        <v>93.2</v>
      </c>
      <c r="N1261" s="21"/>
      <c r="O1261" s="21"/>
      <c r="P1261" s="21"/>
      <c r="Q1261" s="21"/>
      <c r="R1261" s="21"/>
      <c r="S1261" s="21"/>
      <c r="T1261" s="21"/>
      <c r="U1261" s="22">
        <f>IFERROR(__xludf.DUMMYFUNCTION("IFERROR(GOOGLEFINANCE(A1261,""closeyest""),"""")"),500.0)</f>
        <v>500</v>
      </c>
      <c r="V1261" s="23">
        <f>IFERROR(__xludf.DUMMYFUNCTION("IFERROR(GOOGLEFINANCE(A1261,""changepct""),"""")"),-0.4)</f>
        <v>-0.4</v>
      </c>
      <c r="W1261" s="22">
        <f>IFERROR(__xludf.DUMMYFUNCTION("IFERROR(GOOGLEFINANCE(A1261,""priceopen""),"""")"),498.0)</f>
        <v>498</v>
      </c>
      <c r="X1261" s="22">
        <f>IFERROR(__xludf.DUMMYFUNCTION("IFERROR(GOOGLEFINANCE(A1261,""high""),"""")"),500.0)</f>
        <v>500</v>
      </c>
      <c r="Y1261" s="22">
        <f>IFERROR(__xludf.DUMMYFUNCTION("IFERROR(GOOGLEFINANCE(A1261,""low""),"""")"),492.0)</f>
        <v>492</v>
      </c>
      <c r="Z1261" s="22">
        <f>IFERROR(__xludf.DUMMYFUNCTION("IFERROR(GOOGLEFINANCE(A1261,""volume""),"""")"),3.27236E7)</f>
        <v>32723600</v>
      </c>
      <c r="AA1261" s="24" t="str">
        <f>VLOOKUP(A1261,Metrik!$C$2:$Y$959,5,0)</f>
        <v>Wireless Telecommunication Services</v>
      </c>
      <c r="AB1261" s="24" t="str">
        <f>VLOOKUP(A1261,Metrik!$C$2:$Y$959,3,0)</f>
        <v>Infrastructures</v>
      </c>
    </row>
    <row r="1262">
      <c r="A1262" s="14" t="s">
        <v>674</v>
      </c>
      <c r="B1262" s="14" t="str">
        <f t="array" ref="B1262">VLOOKUP(A1262,{Metrik!$C$2:$C$998,Metrik!$B$2:$B$998},2,0)</f>
        <v>Dayamitra Telekomunikasi Tbk.</v>
      </c>
      <c r="C1262" s="15">
        <f>IFERROR(__xludf.DUMMYFUNCTION("GOOGLEFINANCE(""IDX:""&amp;A1262,""price"")"),498.0)</f>
        <v>498</v>
      </c>
      <c r="D1262" s="16" t="str">
        <f>IFERROR(__xludf.DUMMYFUNCTION("IF(A1262="""","""",
SPARKLINE(
INDEX(
GOOGLEFINANCE(""IDX:""&amp;A1262,""close"",TODAY()-365,TODAY()),
,2
),
{""linewidth"",1}
))
"),"#N/A")</f>
        <v>#N/A</v>
      </c>
      <c r="E1262" s="14" t="s">
        <v>106</v>
      </c>
      <c r="F1262" s="25">
        <v>46356.0</v>
      </c>
      <c r="G1262" s="24">
        <f t="shared" si="8"/>
        <v>10</v>
      </c>
      <c r="H1262" s="19">
        <f>VLOOKUP(A1262,Metrik!$C$2:$Y$959,8,0)</f>
        <v>20.3</v>
      </c>
      <c r="I1262" s="20">
        <f>VLOOKUP(A1262,Metrik!$C$2:$Y$959,9,0)</f>
        <v>1.3</v>
      </c>
      <c r="J1262" s="20">
        <f>VLOOKUP(A1262,Metrik!$C$2:$Y$959,10,0)</f>
        <v>6.4</v>
      </c>
      <c r="K1262" s="20">
        <f>VLOOKUP(A1262,Metrik!$C$2:$Y$959,11,0)</f>
        <v>3.5</v>
      </c>
      <c r="L1262" s="20">
        <f>VLOOKUP(A1262,Metrik!$C$2:$Y$959,12,0)</f>
        <v>0.8</v>
      </c>
      <c r="M1262" s="20">
        <f>VLOOKUP(A1262,Metrik!$C$2:$Y$959,19,0)</f>
        <v>93.2</v>
      </c>
      <c r="N1262" s="21"/>
      <c r="O1262" s="21"/>
      <c r="P1262" s="21"/>
      <c r="Q1262" s="21"/>
      <c r="R1262" s="21"/>
      <c r="S1262" s="21"/>
      <c r="T1262" s="21"/>
      <c r="U1262" s="22">
        <f>IFERROR(__xludf.DUMMYFUNCTION("IFERROR(GOOGLEFINANCE(A1262,""closeyest""),"""")"),500.0)</f>
        <v>500</v>
      </c>
      <c r="V1262" s="23">
        <f>IFERROR(__xludf.DUMMYFUNCTION("IFERROR(GOOGLEFINANCE(A1262,""changepct""),"""")"),-0.4)</f>
        <v>-0.4</v>
      </c>
      <c r="W1262" s="22">
        <f>IFERROR(__xludf.DUMMYFUNCTION("IFERROR(GOOGLEFINANCE(A1262,""priceopen""),"""")"),498.0)</f>
        <v>498</v>
      </c>
      <c r="X1262" s="22">
        <f>IFERROR(__xludf.DUMMYFUNCTION("IFERROR(GOOGLEFINANCE(A1262,""high""),"""")"),500.0)</f>
        <v>500</v>
      </c>
      <c r="Y1262" s="22">
        <f>IFERROR(__xludf.DUMMYFUNCTION("IFERROR(GOOGLEFINANCE(A1262,""low""),"""")"),492.0)</f>
        <v>492</v>
      </c>
      <c r="Z1262" s="22">
        <f>IFERROR(__xludf.DUMMYFUNCTION("IFERROR(GOOGLEFINANCE(A1262,""volume""),"""")"),3.27236E7)</f>
        <v>32723600</v>
      </c>
      <c r="AA1262" s="24" t="str">
        <f>VLOOKUP(A1262,Metrik!$C$2:$Y$959,5,0)</f>
        <v>Wireless Telecommunication Services</v>
      </c>
      <c r="AB1262" s="24" t="str">
        <f>VLOOKUP(A1262,Metrik!$C$2:$Y$959,3,0)</f>
        <v>Infrastructures</v>
      </c>
    </row>
    <row r="1263">
      <c r="A1263" s="14" t="s">
        <v>674</v>
      </c>
      <c r="B1263" s="14" t="str">
        <f t="array" ref="B1263">VLOOKUP(A1263,{Metrik!$C$2:$C$998,Metrik!$B$2:$B$998},2,0)</f>
        <v>Dayamitra Telekomunikasi Tbk.</v>
      </c>
      <c r="C1263" s="15">
        <f>IFERROR(__xludf.DUMMYFUNCTION("GOOGLEFINANCE(""IDX:""&amp;A1263,""price"")"),498.0)</f>
        <v>498</v>
      </c>
      <c r="D1263" s="16" t="str">
        <f>IFERROR(__xludf.DUMMYFUNCTION("IF(A1263="""","""",
SPARKLINE(
INDEX(
GOOGLEFINANCE(""IDX:""&amp;A1263,""close"",TODAY()-365,TODAY()),
,2
),
{""linewidth"",1}
))
"),"#N/A")</f>
        <v>#N/A</v>
      </c>
      <c r="E1263" s="14" t="s">
        <v>55</v>
      </c>
      <c r="F1263" s="25">
        <v>46356.0</v>
      </c>
      <c r="G1263" s="24">
        <f t="shared" si="8"/>
        <v>10</v>
      </c>
      <c r="H1263" s="19">
        <f>VLOOKUP(A1263,Metrik!$C$2:$Y$959,8,0)</f>
        <v>20.3</v>
      </c>
      <c r="I1263" s="20">
        <f>VLOOKUP(A1263,Metrik!$C$2:$Y$959,9,0)</f>
        <v>1.3</v>
      </c>
      <c r="J1263" s="20">
        <f>VLOOKUP(A1263,Metrik!$C$2:$Y$959,10,0)</f>
        <v>6.4</v>
      </c>
      <c r="K1263" s="20">
        <f>VLOOKUP(A1263,Metrik!$C$2:$Y$959,11,0)</f>
        <v>3.5</v>
      </c>
      <c r="L1263" s="20">
        <f>VLOOKUP(A1263,Metrik!$C$2:$Y$959,12,0)</f>
        <v>0.8</v>
      </c>
      <c r="M1263" s="20">
        <f>VLOOKUP(A1263,Metrik!$C$2:$Y$959,19,0)</f>
        <v>93.2</v>
      </c>
      <c r="N1263" s="21"/>
      <c r="O1263" s="21"/>
      <c r="P1263" s="21"/>
      <c r="Q1263" s="21"/>
      <c r="R1263" s="21"/>
      <c r="S1263" s="21"/>
      <c r="T1263" s="21"/>
      <c r="U1263" s="22">
        <f>IFERROR(__xludf.DUMMYFUNCTION("IFERROR(GOOGLEFINANCE(A1263,""closeyest""),"""")"),500.0)</f>
        <v>500</v>
      </c>
      <c r="V1263" s="23">
        <f>IFERROR(__xludf.DUMMYFUNCTION("IFERROR(GOOGLEFINANCE(A1263,""changepct""),"""")"),-0.4)</f>
        <v>-0.4</v>
      </c>
      <c r="W1263" s="22">
        <f>IFERROR(__xludf.DUMMYFUNCTION("IFERROR(GOOGLEFINANCE(A1263,""priceopen""),"""")"),498.0)</f>
        <v>498</v>
      </c>
      <c r="X1263" s="22">
        <f>IFERROR(__xludf.DUMMYFUNCTION("IFERROR(GOOGLEFINANCE(A1263,""high""),"""")"),500.0)</f>
        <v>500</v>
      </c>
      <c r="Y1263" s="22">
        <f>IFERROR(__xludf.DUMMYFUNCTION("IFERROR(GOOGLEFINANCE(A1263,""low""),"""")"),492.0)</f>
        <v>492</v>
      </c>
      <c r="Z1263" s="22">
        <f>IFERROR(__xludf.DUMMYFUNCTION("IFERROR(GOOGLEFINANCE(A1263,""volume""),"""")"),3.27236E7)</f>
        <v>32723600</v>
      </c>
      <c r="AA1263" s="24" t="str">
        <f>VLOOKUP(A1263,Metrik!$C$2:$Y$959,5,0)</f>
        <v>Wireless Telecommunication Services</v>
      </c>
      <c r="AB1263" s="24" t="str">
        <f>VLOOKUP(A1263,Metrik!$C$2:$Y$959,3,0)</f>
        <v>Infrastructures</v>
      </c>
    </row>
    <row r="1264">
      <c r="A1264" s="14" t="s">
        <v>674</v>
      </c>
      <c r="B1264" s="14" t="str">
        <f t="array" ref="B1264">VLOOKUP(A1264,{Metrik!$C$2:$C$998,Metrik!$B$2:$B$998},2,0)</f>
        <v>Dayamitra Telekomunikasi Tbk.</v>
      </c>
      <c r="C1264" s="15">
        <f>IFERROR(__xludf.DUMMYFUNCTION("GOOGLEFINANCE(""IDX:""&amp;A1264,""price"")"),498.0)</f>
        <v>498</v>
      </c>
      <c r="D1264" s="16" t="str">
        <f>IFERROR(__xludf.DUMMYFUNCTION("IF(A1264="""","""",
SPARKLINE(
INDEX(
GOOGLEFINANCE(""IDX:""&amp;A1264,""close"",TODAY()-365,TODAY()),
,2
),
{""linewidth"",1}
))
"),"#N/A")</f>
        <v>#N/A</v>
      </c>
      <c r="E1264" s="14" t="s">
        <v>61</v>
      </c>
      <c r="F1264" s="14" t="s">
        <v>34</v>
      </c>
      <c r="G1264" s="24">
        <f t="shared" si="8"/>
        <v>10</v>
      </c>
      <c r="H1264" s="19">
        <f>VLOOKUP(A1264,Metrik!$C$2:$Y$959,8,0)</f>
        <v>20.3</v>
      </c>
      <c r="I1264" s="20">
        <f>VLOOKUP(A1264,Metrik!$C$2:$Y$959,9,0)</f>
        <v>1.3</v>
      </c>
      <c r="J1264" s="20">
        <f>VLOOKUP(A1264,Metrik!$C$2:$Y$959,10,0)</f>
        <v>6.4</v>
      </c>
      <c r="K1264" s="20">
        <f>VLOOKUP(A1264,Metrik!$C$2:$Y$959,11,0)</f>
        <v>3.5</v>
      </c>
      <c r="L1264" s="20">
        <f>VLOOKUP(A1264,Metrik!$C$2:$Y$959,12,0)</f>
        <v>0.8</v>
      </c>
      <c r="M1264" s="20">
        <f>VLOOKUP(A1264,Metrik!$C$2:$Y$959,19,0)</f>
        <v>93.2</v>
      </c>
      <c r="N1264" s="21"/>
      <c r="O1264" s="21"/>
      <c r="P1264" s="21"/>
      <c r="Q1264" s="21"/>
      <c r="R1264" s="21"/>
      <c r="S1264" s="21"/>
      <c r="T1264" s="21"/>
      <c r="U1264" s="22">
        <f>IFERROR(__xludf.DUMMYFUNCTION("IFERROR(GOOGLEFINANCE(A1264,""closeyest""),"""")"),500.0)</f>
        <v>500</v>
      </c>
      <c r="V1264" s="23">
        <f>IFERROR(__xludf.DUMMYFUNCTION("IFERROR(GOOGLEFINANCE(A1264,""changepct""),"""")"),-0.4)</f>
        <v>-0.4</v>
      </c>
      <c r="W1264" s="22">
        <f>IFERROR(__xludf.DUMMYFUNCTION("IFERROR(GOOGLEFINANCE(A1264,""priceopen""),"""")"),498.0)</f>
        <v>498</v>
      </c>
      <c r="X1264" s="22">
        <f>IFERROR(__xludf.DUMMYFUNCTION("IFERROR(GOOGLEFINANCE(A1264,""high""),"""")"),500.0)</f>
        <v>500</v>
      </c>
      <c r="Y1264" s="22">
        <f>IFERROR(__xludf.DUMMYFUNCTION("IFERROR(GOOGLEFINANCE(A1264,""low""),"""")"),492.0)</f>
        <v>492</v>
      </c>
      <c r="Z1264" s="22">
        <f>IFERROR(__xludf.DUMMYFUNCTION("IFERROR(GOOGLEFINANCE(A1264,""volume""),"""")"),3.27236E7)</f>
        <v>32723600</v>
      </c>
      <c r="AA1264" s="24" t="str">
        <f>VLOOKUP(A1264,Metrik!$C$2:$Y$959,5,0)</f>
        <v>Wireless Telecommunication Services</v>
      </c>
      <c r="AB1264" s="24" t="str">
        <f>VLOOKUP(A1264,Metrik!$C$2:$Y$959,3,0)</f>
        <v>Infrastructures</v>
      </c>
    </row>
    <row r="1265">
      <c r="A1265" s="14" t="s">
        <v>674</v>
      </c>
      <c r="B1265" s="14" t="str">
        <f t="array" ref="B1265">VLOOKUP(A1265,{Metrik!$C$2:$C$998,Metrik!$B$2:$B$998},2,0)</f>
        <v>Dayamitra Telekomunikasi Tbk.</v>
      </c>
      <c r="C1265" s="15">
        <f>IFERROR(__xludf.DUMMYFUNCTION("GOOGLEFINANCE(""IDX:""&amp;A1265,""price"")"),498.0)</f>
        <v>498</v>
      </c>
      <c r="D1265" s="16" t="str">
        <f>IFERROR(__xludf.DUMMYFUNCTION("IF(A1265="""","""",
SPARKLINE(
INDEX(
GOOGLEFINANCE(""IDX:""&amp;A1265,""close"",TODAY()-365,TODAY()),
,2
),
{""linewidth"",1}
))
"),"#N/A")</f>
        <v>#N/A</v>
      </c>
      <c r="E1265" s="14" t="s">
        <v>84</v>
      </c>
      <c r="F1265" s="17" t="s">
        <v>51</v>
      </c>
      <c r="G1265" s="24">
        <f t="shared" si="8"/>
        <v>10</v>
      </c>
      <c r="H1265" s="19">
        <f>VLOOKUP(A1265,Metrik!$C$2:$Y$959,8,0)</f>
        <v>20.3</v>
      </c>
      <c r="I1265" s="20">
        <f>VLOOKUP(A1265,Metrik!$C$2:$Y$959,9,0)</f>
        <v>1.3</v>
      </c>
      <c r="J1265" s="20">
        <f>VLOOKUP(A1265,Metrik!$C$2:$Y$959,10,0)</f>
        <v>6.4</v>
      </c>
      <c r="K1265" s="20">
        <f>VLOOKUP(A1265,Metrik!$C$2:$Y$959,11,0)</f>
        <v>3.5</v>
      </c>
      <c r="L1265" s="20">
        <f>VLOOKUP(A1265,Metrik!$C$2:$Y$959,12,0)</f>
        <v>0.8</v>
      </c>
      <c r="M1265" s="20">
        <f>VLOOKUP(A1265,Metrik!$C$2:$Y$959,19,0)</f>
        <v>93.2</v>
      </c>
      <c r="N1265" s="21"/>
      <c r="O1265" s="21"/>
      <c r="P1265" s="21"/>
      <c r="Q1265" s="21"/>
      <c r="R1265" s="21"/>
      <c r="S1265" s="21"/>
      <c r="T1265" s="21"/>
      <c r="U1265" s="22">
        <f>IFERROR(__xludf.DUMMYFUNCTION("IFERROR(GOOGLEFINANCE(A1265,""closeyest""),"""")"),500.0)</f>
        <v>500</v>
      </c>
      <c r="V1265" s="23">
        <f>IFERROR(__xludf.DUMMYFUNCTION("IFERROR(GOOGLEFINANCE(A1265,""changepct""),"""")"),-0.4)</f>
        <v>-0.4</v>
      </c>
      <c r="W1265" s="22">
        <f>IFERROR(__xludf.DUMMYFUNCTION("IFERROR(GOOGLEFINANCE(A1265,""priceopen""),"""")"),498.0)</f>
        <v>498</v>
      </c>
      <c r="X1265" s="22">
        <f>IFERROR(__xludf.DUMMYFUNCTION("IFERROR(GOOGLEFINANCE(A1265,""high""),"""")"),500.0)</f>
        <v>500</v>
      </c>
      <c r="Y1265" s="22">
        <f>IFERROR(__xludf.DUMMYFUNCTION("IFERROR(GOOGLEFINANCE(A1265,""low""),"""")"),492.0)</f>
        <v>492</v>
      </c>
      <c r="Z1265" s="22">
        <f>IFERROR(__xludf.DUMMYFUNCTION("IFERROR(GOOGLEFINANCE(A1265,""volume""),"""")"),3.27236E7)</f>
        <v>32723600</v>
      </c>
      <c r="AA1265" s="24" t="str">
        <f>VLOOKUP(A1265,Metrik!$C$2:$Y$959,5,0)</f>
        <v>Wireless Telecommunication Services</v>
      </c>
      <c r="AB1265" s="24" t="str">
        <f>VLOOKUP(A1265,Metrik!$C$2:$Y$959,3,0)</f>
        <v>Infrastructures</v>
      </c>
    </row>
    <row r="1266">
      <c r="A1266" s="14" t="s">
        <v>674</v>
      </c>
      <c r="B1266" s="14" t="str">
        <f t="array" ref="B1266">VLOOKUP(A1266,{Metrik!$C$2:$C$998,Metrik!$B$2:$B$998},2,0)</f>
        <v>Dayamitra Telekomunikasi Tbk.</v>
      </c>
      <c r="C1266" s="15">
        <f>IFERROR(__xludf.DUMMYFUNCTION("GOOGLEFINANCE(""IDX:""&amp;A1266,""price"")"),498.0)</f>
        <v>498</v>
      </c>
      <c r="D1266" s="16" t="str">
        <f>IFERROR(__xludf.DUMMYFUNCTION("IF(A1266="""","""",
SPARKLINE(
INDEX(
GOOGLEFINANCE(""IDX:""&amp;A1266,""close"",TODAY()-365,TODAY()),
,2
),
{""linewidth"",1}
))
"),"#N/A")</f>
        <v>#N/A</v>
      </c>
      <c r="E1266" s="14" t="s">
        <v>32</v>
      </c>
      <c r="F1266" s="14" t="s">
        <v>29</v>
      </c>
      <c r="G1266" s="24">
        <f t="shared" si="8"/>
        <v>10</v>
      </c>
      <c r="H1266" s="19">
        <f>VLOOKUP(A1266,Metrik!$C$2:$Y$959,8,0)</f>
        <v>20.3</v>
      </c>
      <c r="I1266" s="20">
        <f>VLOOKUP(A1266,Metrik!$C$2:$Y$959,9,0)</f>
        <v>1.3</v>
      </c>
      <c r="J1266" s="20">
        <f>VLOOKUP(A1266,Metrik!$C$2:$Y$959,10,0)</f>
        <v>6.4</v>
      </c>
      <c r="K1266" s="20">
        <f>VLOOKUP(A1266,Metrik!$C$2:$Y$959,11,0)</f>
        <v>3.5</v>
      </c>
      <c r="L1266" s="20">
        <f>VLOOKUP(A1266,Metrik!$C$2:$Y$959,12,0)</f>
        <v>0.8</v>
      </c>
      <c r="M1266" s="20">
        <f>VLOOKUP(A1266,Metrik!$C$2:$Y$959,19,0)</f>
        <v>93.2</v>
      </c>
      <c r="N1266" s="21"/>
      <c r="O1266" s="21"/>
      <c r="P1266" s="21"/>
      <c r="Q1266" s="21"/>
      <c r="R1266" s="21"/>
      <c r="S1266" s="21"/>
      <c r="T1266" s="21"/>
      <c r="U1266" s="22">
        <f>IFERROR(__xludf.DUMMYFUNCTION("IFERROR(GOOGLEFINANCE(A1266,""closeyest""),"""")"),500.0)</f>
        <v>500</v>
      </c>
      <c r="V1266" s="23">
        <f>IFERROR(__xludf.DUMMYFUNCTION("IFERROR(GOOGLEFINANCE(A1266,""changepct""),"""")"),-0.4)</f>
        <v>-0.4</v>
      </c>
      <c r="W1266" s="22">
        <f>IFERROR(__xludf.DUMMYFUNCTION("IFERROR(GOOGLEFINANCE(A1266,""priceopen""),"""")"),498.0)</f>
        <v>498</v>
      </c>
      <c r="X1266" s="22">
        <f>IFERROR(__xludf.DUMMYFUNCTION("IFERROR(GOOGLEFINANCE(A1266,""high""),"""")"),500.0)</f>
        <v>500</v>
      </c>
      <c r="Y1266" s="22">
        <f>IFERROR(__xludf.DUMMYFUNCTION("IFERROR(GOOGLEFINANCE(A1266,""low""),"""")"),492.0)</f>
        <v>492</v>
      </c>
      <c r="Z1266" s="22">
        <f>IFERROR(__xludf.DUMMYFUNCTION("IFERROR(GOOGLEFINANCE(A1266,""volume""),"""")"),3.27236E7)</f>
        <v>32723600</v>
      </c>
      <c r="AA1266" s="24" t="str">
        <f>VLOOKUP(A1266,Metrik!$C$2:$Y$959,5,0)</f>
        <v>Wireless Telecommunication Services</v>
      </c>
      <c r="AB1266" s="24" t="str">
        <f>VLOOKUP(A1266,Metrik!$C$2:$Y$959,3,0)</f>
        <v>Infrastructures</v>
      </c>
    </row>
    <row r="1267">
      <c r="A1267" s="48" t="s">
        <v>674</v>
      </c>
      <c r="B1267" s="14" t="str">
        <f t="array" ref="B1267">VLOOKUP(A1267,{Metrik!$C$2:$C$998,Metrik!$B$2:$B$998},2,0)</f>
        <v>Dayamitra Telekomunikasi Tbk.</v>
      </c>
      <c r="C1267" s="15">
        <f>IFERROR(__xludf.DUMMYFUNCTION("GOOGLEFINANCE(""IDX:""&amp;A1267,""price"")"),498.0)</f>
        <v>498</v>
      </c>
      <c r="D1267" s="16" t="str">
        <f>IFERROR(__xludf.DUMMYFUNCTION("IF(A1267="""","""",
SPARKLINE(
INDEX(
GOOGLEFINANCE(""IDX:""&amp;A1267,""close"",TODAY()-365,TODAY()),
,2
),
{""linewidth"",1}
))
"),"#N/A")</f>
        <v>#N/A</v>
      </c>
      <c r="E1267" s="17" t="s">
        <v>69</v>
      </c>
      <c r="F1267" s="17" t="s">
        <v>70</v>
      </c>
      <c r="G1267" s="24">
        <f t="shared" si="8"/>
        <v>10</v>
      </c>
      <c r="H1267" s="19">
        <f>VLOOKUP(A1267,Metrik!$C$2:$Y$959,8,0)</f>
        <v>20.3</v>
      </c>
      <c r="I1267" s="20">
        <f>VLOOKUP(A1267,Metrik!$C$2:$Y$959,9,0)</f>
        <v>1.3</v>
      </c>
      <c r="J1267" s="20">
        <f>VLOOKUP(A1267,Metrik!$C$2:$Y$959,10,0)</f>
        <v>6.4</v>
      </c>
      <c r="K1267" s="20">
        <f>VLOOKUP(A1267,Metrik!$C$2:$Y$959,11,0)</f>
        <v>3.5</v>
      </c>
      <c r="L1267" s="20">
        <f>VLOOKUP(A1267,Metrik!$C$2:$Y$959,12,0)</f>
        <v>0.8</v>
      </c>
      <c r="M1267" s="20">
        <f>VLOOKUP(A1267,Metrik!$C$2:$Y$959,19,0)</f>
        <v>93.2</v>
      </c>
      <c r="N1267" s="21"/>
      <c r="O1267" s="21"/>
      <c r="P1267" s="21"/>
      <c r="Q1267" s="21"/>
      <c r="R1267" s="21"/>
      <c r="S1267" s="21"/>
      <c r="T1267" s="21"/>
      <c r="U1267" s="22">
        <f>IFERROR(__xludf.DUMMYFUNCTION("IFERROR(GOOGLEFINANCE(A1267,""closeyest""),"""")"),500.0)</f>
        <v>500</v>
      </c>
      <c r="V1267" s="23">
        <f>IFERROR(__xludf.DUMMYFUNCTION("IFERROR(GOOGLEFINANCE(A1267,""changepct""),"""")"),-0.4)</f>
        <v>-0.4</v>
      </c>
      <c r="W1267" s="22">
        <f>IFERROR(__xludf.DUMMYFUNCTION("IFERROR(GOOGLEFINANCE(A1267,""priceopen""),"""")"),498.0)</f>
        <v>498</v>
      </c>
      <c r="X1267" s="22">
        <f>IFERROR(__xludf.DUMMYFUNCTION("IFERROR(GOOGLEFINANCE(A1267,""high""),"""")"),500.0)</f>
        <v>500</v>
      </c>
      <c r="Y1267" s="22">
        <f>IFERROR(__xludf.DUMMYFUNCTION("IFERROR(GOOGLEFINANCE(A1267,""low""),"""")"),492.0)</f>
        <v>492</v>
      </c>
      <c r="Z1267" s="22">
        <f>IFERROR(__xludf.DUMMYFUNCTION("IFERROR(GOOGLEFINANCE(A1267,""volume""),"""")"),3.27236E7)</f>
        <v>32723600</v>
      </c>
      <c r="AA1267" s="24" t="str">
        <f>VLOOKUP(A1267,Metrik!$C$2:$Y$959,5,0)</f>
        <v>Wireless Telecommunication Services</v>
      </c>
      <c r="AB1267" s="24" t="str">
        <f>VLOOKUP(A1267,Metrik!$C$2:$Y$959,3,0)</f>
        <v>Infrastructures</v>
      </c>
    </row>
    <row r="1268">
      <c r="A1268" s="17" t="s">
        <v>674</v>
      </c>
      <c r="B1268" s="14" t="str">
        <f t="array" ref="B1268">VLOOKUP(A1268,{Metrik!$C$2:$C$998,Metrik!$B$2:$B$998},2,0)</f>
        <v>Dayamitra Telekomunikasi Tbk.</v>
      </c>
      <c r="C1268" s="15">
        <f>IFERROR(__xludf.DUMMYFUNCTION("GOOGLEFINANCE(""IDX:""&amp;A1268,""price"")"),498.0)</f>
        <v>498</v>
      </c>
      <c r="D1268" s="16" t="str">
        <f>IFERROR(__xludf.DUMMYFUNCTION("IF(A1268="""","""",
SPARKLINE(
INDEX(
GOOGLEFINANCE(""IDX:""&amp;A1268,""close"",TODAY()-365,TODAY()),
,2
),
{""linewidth"",1}
))
"),"#N/A")</f>
        <v>#N/A</v>
      </c>
      <c r="E1268" s="14" t="s">
        <v>35</v>
      </c>
      <c r="F1268" s="17" t="s">
        <v>36</v>
      </c>
      <c r="G1268" s="38">
        <f t="shared" si="8"/>
        <v>10</v>
      </c>
      <c r="H1268" s="34">
        <f>VLOOKUP(A1268,Metrik!$C$2:$Y$959,8,0)</f>
        <v>20.3</v>
      </c>
      <c r="I1268" s="34">
        <f>VLOOKUP(A1268,Metrik!$C$2:$Y$959,9,0)</f>
        <v>1.3</v>
      </c>
      <c r="J1268" s="34">
        <f>VLOOKUP(A1268,Metrik!$C$2:$Y$959,10,0)</f>
        <v>6.4</v>
      </c>
      <c r="K1268" s="34">
        <f>VLOOKUP(A1268,Metrik!$C$2:$Y$959,11,0)</f>
        <v>3.5</v>
      </c>
      <c r="L1268" s="34">
        <f>VLOOKUP(A1268,Metrik!$C$2:$Y$959,12,0)</f>
        <v>0.8</v>
      </c>
      <c r="M1268" s="34">
        <f>VLOOKUP(A1268,Metrik!$C$2:$Y$959,19,0)</f>
        <v>93.2</v>
      </c>
      <c r="N1268" s="26"/>
      <c r="O1268" s="26"/>
      <c r="P1268" s="26"/>
      <c r="Q1268" s="26"/>
      <c r="R1268" s="26"/>
      <c r="S1268" s="26"/>
      <c r="T1268" s="26"/>
      <c r="U1268" s="35">
        <f>IFERROR(__xludf.DUMMYFUNCTION("IFERROR(GOOGLEFINANCE(A1268,""closeyest""),"""")"),500.0)</f>
        <v>500</v>
      </c>
      <c r="V1268" s="36">
        <f>IFERROR(__xludf.DUMMYFUNCTION("IFERROR(GOOGLEFINANCE(A1268,""changepct""),"""")"),-0.4)</f>
        <v>-0.4</v>
      </c>
      <c r="W1268" s="35">
        <f>IFERROR(__xludf.DUMMYFUNCTION("IFERROR(GOOGLEFINANCE(A1268,""priceopen""),"""")"),498.0)</f>
        <v>498</v>
      </c>
      <c r="X1268" s="35">
        <f>IFERROR(__xludf.DUMMYFUNCTION("IFERROR(GOOGLEFINANCE(A1268,""high""),"""")"),500.0)</f>
        <v>500</v>
      </c>
      <c r="Y1268" s="35">
        <f>IFERROR(__xludf.DUMMYFUNCTION("IFERROR(GOOGLEFINANCE(A1268,""low""),"""")"),492.0)</f>
        <v>492</v>
      </c>
      <c r="Z1268" s="35">
        <f>IFERROR(__xludf.DUMMYFUNCTION("IFERROR(GOOGLEFINANCE(A1268,""volume""),"""")"),3.27236E7)</f>
        <v>32723600</v>
      </c>
      <c r="AA1268" s="14" t="str">
        <f>VLOOKUP(A1268,Metrik!$C$2:$Y$959,5,0)</f>
        <v>Wireless Telecommunication Services</v>
      </c>
      <c r="AB1268" s="14" t="str">
        <f>VLOOKUP(A1268,Metrik!$C$2:$Y$959,3,0)</f>
        <v>Infrastructures</v>
      </c>
    </row>
    <row r="1269">
      <c r="A1269" s="14" t="s">
        <v>674</v>
      </c>
      <c r="B1269" s="14" t="str">
        <f t="array" ref="B1269">VLOOKUP(A1269,{Metrik!$C$2:$C$998,Metrik!$B$2:$B$998},2,0)</f>
        <v>Dayamitra Telekomunikasi Tbk.</v>
      </c>
      <c r="C1269" s="15">
        <f>IFERROR(__xludf.DUMMYFUNCTION("GOOGLEFINANCE(""IDX:""&amp;A1269,""price"")"),498.0)</f>
        <v>498</v>
      </c>
      <c r="D1269" s="16" t="str">
        <f>IFERROR(__xludf.DUMMYFUNCTION("IF(A1269="""","""",
SPARKLINE(
INDEX(
GOOGLEFINANCE(""IDX:""&amp;A1269,""close"",TODAY()-365,TODAY()),
,2
),
{""linewidth"",1}
))
"),"#N/A")</f>
        <v>#N/A</v>
      </c>
      <c r="E1269" s="14" t="s">
        <v>86</v>
      </c>
      <c r="F1269" s="25">
        <v>46356.0</v>
      </c>
      <c r="G1269" s="24">
        <f t="shared" si="8"/>
        <v>10</v>
      </c>
      <c r="H1269" s="19">
        <f>VLOOKUP(A1269,Metrik!$C$2:$Y$959,8,0)</f>
        <v>20.3</v>
      </c>
      <c r="I1269" s="20">
        <f>VLOOKUP(A1269,Metrik!$C$2:$Y$959,9,0)</f>
        <v>1.3</v>
      </c>
      <c r="J1269" s="20">
        <f>VLOOKUP(A1269,Metrik!$C$2:$Y$959,10,0)</f>
        <v>6.4</v>
      </c>
      <c r="K1269" s="20">
        <f>VLOOKUP(A1269,Metrik!$C$2:$Y$959,11,0)</f>
        <v>3.5</v>
      </c>
      <c r="L1269" s="20">
        <f>VLOOKUP(A1269,Metrik!$C$2:$Y$959,12,0)</f>
        <v>0.8</v>
      </c>
      <c r="M1269" s="20">
        <f>VLOOKUP(A1269,Metrik!$C$2:$Y$959,19,0)</f>
        <v>93.2</v>
      </c>
      <c r="N1269" s="21"/>
      <c r="O1269" s="21"/>
      <c r="P1269" s="21"/>
      <c r="Q1269" s="21"/>
      <c r="R1269" s="21"/>
      <c r="S1269" s="21"/>
      <c r="T1269" s="21"/>
      <c r="U1269" s="22">
        <f>IFERROR(__xludf.DUMMYFUNCTION("IFERROR(GOOGLEFINANCE(A1269,""closeyest""),"""")"),500.0)</f>
        <v>500</v>
      </c>
      <c r="V1269" s="23">
        <f>IFERROR(__xludf.DUMMYFUNCTION("IFERROR(GOOGLEFINANCE(A1269,""changepct""),"""")"),-0.4)</f>
        <v>-0.4</v>
      </c>
      <c r="W1269" s="22">
        <f>IFERROR(__xludf.DUMMYFUNCTION("IFERROR(GOOGLEFINANCE(A1269,""priceopen""),"""")"),498.0)</f>
        <v>498</v>
      </c>
      <c r="X1269" s="22">
        <f>IFERROR(__xludf.DUMMYFUNCTION("IFERROR(GOOGLEFINANCE(A1269,""high""),"""")"),500.0)</f>
        <v>500</v>
      </c>
      <c r="Y1269" s="22">
        <f>IFERROR(__xludf.DUMMYFUNCTION("IFERROR(GOOGLEFINANCE(A1269,""low""),"""")"),492.0)</f>
        <v>492</v>
      </c>
      <c r="Z1269" s="22">
        <f>IFERROR(__xludf.DUMMYFUNCTION("IFERROR(GOOGLEFINANCE(A1269,""volume""),"""")"),3.27236E7)</f>
        <v>32723600</v>
      </c>
      <c r="AA1269" s="24" t="str">
        <f>VLOOKUP(A1269,Metrik!$C$2:$Y$959,5,0)</f>
        <v>Wireless Telecommunication Services</v>
      </c>
      <c r="AB1269" s="24" t="str">
        <f>VLOOKUP(A1269,Metrik!$C$2:$Y$959,3,0)</f>
        <v>Infrastructures</v>
      </c>
    </row>
    <row r="1270">
      <c r="A1270" s="14" t="s">
        <v>674</v>
      </c>
      <c r="B1270" s="14" t="str">
        <f t="array" ref="B1270">VLOOKUP(A1270,{Metrik!$C$2:$C$998,Metrik!$B$2:$B$998},2,0)</f>
        <v>Dayamitra Telekomunikasi Tbk.</v>
      </c>
      <c r="C1270" s="15">
        <f>IFERROR(__xludf.DUMMYFUNCTION("GOOGLEFINANCE(""IDX:""&amp;A1270,""price"")"),498.0)</f>
        <v>498</v>
      </c>
      <c r="D1270" s="16" t="str">
        <f>IFERROR(__xludf.DUMMYFUNCTION("IF(A1270="""","""",
SPARKLINE(
INDEX(
GOOGLEFINANCE(""IDX:""&amp;A1270,""close"",TODAY()-365,TODAY()),
,2
),
{""linewidth"",1}
))
"),"#N/A")</f>
        <v>#N/A</v>
      </c>
      <c r="E1270" s="14" t="s">
        <v>39</v>
      </c>
      <c r="F1270" s="25">
        <v>46356.0</v>
      </c>
      <c r="G1270" s="24">
        <f t="shared" si="8"/>
        <v>10</v>
      </c>
      <c r="H1270" s="19">
        <f>VLOOKUP(A1270,Metrik!$C$2:$Y$959,8,0)</f>
        <v>20.3</v>
      </c>
      <c r="I1270" s="20">
        <f>VLOOKUP(A1270,Metrik!$C$2:$Y$959,9,0)</f>
        <v>1.3</v>
      </c>
      <c r="J1270" s="20">
        <f>VLOOKUP(A1270,Metrik!$C$2:$Y$959,10,0)</f>
        <v>6.4</v>
      </c>
      <c r="K1270" s="20">
        <f>VLOOKUP(A1270,Metrik!$C$2:$Y$959,11,0)</f>
        <v>3.5</v>
      </c>
      <c r="L1270" s="20">
        <f>VLOOKUP(A1270,Metrik!$C$2:$Y$959,12,0)</f>
        <v>0.8</v>
      </c>
      <c r="M1270" s="20">
        <f>VLOOKUP(A1270,Metrik!$C$2:$Y$959,19,0)</f>
        <v>93.2</v>
      </c>
      <c r="N1270" s="21"/>
      <c r="O1270" s="21"/>
      <c r="P1270" s="21"/>
      <c r="Q1270" s="21"/>
      <c r="R1270" s="21"/>
      <c r="S1270" s="21"/>
      <c r="T1270" s="21"/>
      <c r="U1270" s="22">
        <f>IFERROR(__xludf.DUMMYFUNCTION("IFERROR(GOOGLEFINANCE(A1270,""closeyest""),"""")"),500.0)</f>
        <v>500</v>
      </c>
      <c r="V1270" s="23">
        <f>IFERROR(__xludf.DUMMYFUNCTION("IFERROR(GOOGLEFINANCE(A1270,""changepct""),"""")"),-0.4)</f>
        <v>-0.4</v>
      </c>
      <c r="W1270" s="22">
        <f>IFERROR(__xludf.DUMMYFUNCTION("IFERROR(GOOGLEFINANCE(A1270,""priceopen""),"""")"),498.0)</f>
        <v>498</v>
      </c>
      <c r="X1270" s="22">
        <f>IFERROR(__xludf.DUMMYFUNCTION("IFERROR(GOOGLEFINANCE(A1270,""high""),"""")"),500.0)</f>
        <v>500</v>
      </c>
      <c r="Y1270" s="22">
        <f>IFERROR(__xludf.DUMMYFUNCTION("IFERROR(GOOGLEFINANCE(A1270,""low""),"""")"),492.0)</f>
        <v>492</v>
      </c>
      <c r="Z1270" s="22">
        <f>IFERROR(__xludf.DUMMYFUNCTION("IFERROR(GOOGLEFINANCE(A1270,""volume""),"""")"),3.27236E7)</f>
        <v>32723600</v>
      </c>
      <c r="AA1270" s="24" t="str">
        <f>VLOOKUP(A1270,Metrik!$C$2:$Y$959,5,0)</f>
        <v>Wireless Telecommunication Services</v>
      </c>
      <c r="AB1270" s="24" t="str">
        <f>VLOOKUP(A1270,Metrik!$C$2:$Y$959,3,0)</f>
        <v>Infrastructures</v>
      </c>
    </row>
    <row r="1271">
      <c r="A1271" s="14" t="s">
        <v>675</v>
      </c>
      <c r="B1271" s="14" t="str">
        <f t="array" ref="B1271">VLOOKUP(A1271,{Metrik!$C$2:$C$998,Metrik!$B$2:$B$998},2,0)</f>
        <v>Capitalinc Investment Tbk.</v>
      </c>
      <c r="C1271" s="15">
        <f>IFERROR(__xludf.DUMMYFUNCTION("GOOGLEFINANCE(""IDX:""&amp;A1271,""price"")"),15.0)</f>
        <v>15</v>
      </c>
      <c r="D1271" s="16" t="str">
        <f>IFERROR(__xludf.DUMMYFUNCTION("IF(A1271="""","""",
SPARKLINE(
INDEX(
GOOGLEFINANCE(""IDX:""&amp;A1271,""close"",TODAY()-365,TODAY()),
,2
),
{""linewidth"",1}
))
"),"#N/A")</f>
        <v>#N/A</v>
      </c>
      <c r="E1271" s="26"/>
      <c r="F1271" s="26"/>
      <c r="G1271" s="24">
        <f t="shared" si="8"/>
        <v>0</v>
      </c>
      <c r="H1271" s="19">
        <f>VLOOKUP(A1271,Metrik!$C$2:$Y$959,8,0)</f>
        <v>-6.9</v>
      </c>
      <c r="I1271" s="20">
        <f>VLOOKUP(A1271,Metrik!$C$2:$Y$959,9,0)</f>
        <v>-1.1</v>
      </c>
      <c r="J1271" s="20">
        <f>VLOOKUP(A1271,Metrik!$C$2:$Y$959,10,0)</f>
        <v>0</v>
      </c>
      <c r="K1271" s="20">
        <f>VLOOKUP(A1271,Metrik!$C$2:$Y$959,11,0)</f>
        <v>-16.1</v>
      </c>
      <c r="L1271" s="20">
        <f>VLOOKUP(A1271,Metrik!$C$2:$Y$959,12,0)</f>
        <v>-2</v>
      </c>
      <c r="M1271" s="20">
        <f>VLOOKUP(A1271,Metrik!$C$2:$Y$959,19,0)</f>
        <v>-20.4</v>
      </c>
      <c r="N1271" s="21"/>
      <c r="O1271" s="21"/>
      <c r="P1271" s="21"/>
      <c r="Q1271" s="21"/>
      <c r="R1271" s="21"/>
      <c r="S1271" s="21"/>
      <c r="T1271" s="21"/>
      <c r="U1271" s="22">
        <f>IFERROR(__xludf.DUMMYFUNCTION("IFERROR(GOOGLEFINANCE(A1271,""closeyest""),"""")"),14.0)</f>
        <v>14</v>
      </c>
      <c r="V1271" s="23">
        <f>IFERROR(__xludf.DUMMYFUNCTION("IFERROR(GOOGLEFINANCE(A1271,""changepct""),"""")"),7.14)</f>
        <v>7.14</v>
      </c>
      <c r="W1271" s="22">
        <f>IFERROR(__xludf.DUMMYFUNCTION("IFERROR(GOOGLEFINANCE(A1271,""priceopen""),"""")"),15.0)</f>
        <v>15</v>
      </c>
      <c r="X1271" s="22">
        <f>IFERROR(__xludf.DUMMYFUNCTION("IFERROR(GOOGLEFINANCE(A1271,""high""),"""")"),15.0)</f>
        <v>15</v>
      </c>
      <c r="Y1271" s="22">
        <f>IFERROR(__xludf.DUMMYFUNCTION("IFERROR(GOOGLEFINANCE(A1271,""low""),"""")"),15.0)</f>
        <v>15</v>
      </c>
      <c r="Z1271" s="22">
        <f>IFERROR(__xludf.DUMMYFUNCTION("IFERROR(GOOGLEFINANCE(A1271,""volume""),"""")"),1.63752E7)</f>
        <v>16375200</v>
      </c>
      <c r="AA1271" s="24" t="str">
        <f>VLOOKUP(A1271,Metrik!$C$2:$Y$959,5,0)</f>
        <v>Oil &amp; Gas</v>
      </c>
      <c r="AB1271" s="24" t="str">
        <f>VLOOKUP(A1271,Metrik!$C$2:$Y$959,3,0)</f>
        <v>Energy</v>
      </c>
    </row>
    <row r="1272">
      <c r="A1272" s="14" t="s">
        <v>676</v>
      </c>
      <c r="B1272" s="14" t="str">
        <f t="array" ref="B1272">VLOOKUP(A1272,{Metrik!$C$2:$C$998,Metrik!$B$2:$B$998},2,0)</f>
        <v>Metropolitan Land Tbk.</v>
      </c>
      <c r="C1272" s="15">
        <f>IFERROR(__xludf.DUMMYFUNCTION("GOOGLEFINANCE(""IDX:""&amp;A1272,""price"")"),488.0)</f>
        <v>488</v>
      </c>
      <c r="D1272" s="16" t="str">
        <f>IFERROR(__xludf.DUMMYFUNCTION("IF(A1272="""","""",
SPARKLINE(
INDEX(
GOOGLEFINANCE(""IDX:""&amp;A1272,""close"",TODAY()-365,TODAY()),
,2
),
{""linewidth"",1}
))
"),"#N/A")</f>
        <v>#N/A</v>
      </c>
      <c r="E1272" s="26"/>
      <c r="F1272" s="26"/>
      <c r="G1272" s="24">
        <f t="shared" si="8"/>
        <v>0</v>
      </c>
      <c r="H1272" s="19">
        <f>VLOOKUP(A1272,Metrik!$C$2:$Y$959,8,0)</f>
        <v>9.8</v>
      </c>
      <c r="I1272" s="20">
        <f>VLOOKUP(A1272,Metrik!$C$2:$Y$959,9,0)</f>
        <v>0.64</v>
      </c>
      <c r="J1272" s="20">
        <f>VLOOKUP(A1272,Metrik!$C$2:$Y$959,10,0)</f>
        <v>6.6</v>
      </c>
      <c r="K1272" s="20">
        <f>VLOOKUP(A1272,Metrik!$C$2:$Y$959,11,0)</f>
        <v>4.9</v>
      </c>
      <c r="L1272" s="20">
        <f>VLOOKUP(A1272,Metrik!$C$2:$Y$959,12,0)</f>
        <v>0.35</v>
      </c>
      <c r="M1272" s="20">
        <f>VLOOKUP(A1272,Metrik!$C$2:$Y$959,19,0)</f>
        <v>110</v>
      </c>
      <c r="N1272" s="21"/>
      <c r="O1272" s="21"/>
      <c r="P1272" s="21"/>
      <c r="Q1272" s="21"/>
      <c r="R1272" s="21"/>
      <c r="S1272" s="21"/>
      <c r="T1272" s="21"/>
      <c r="U1272" s="22">
        <f>IFERROR(__xludf.DUMMYFUNCTION("IFERROR(GOOGLEFINANCE(A1272,""closeyest""),"""")"),353.5)</f>
        <v>353.5</v>
      </c>
      <c r="V1272" s="23">
        <f>IFERROR(__xludf.DUMMYFUNCTION("IFERROR(GOOGLEFINANCE(A1272,""changepct""),"""")"),-0.76)</f>
        <v>-0.76</v>
      </c>
      <c r="W1272" s="22">
        <f>IFERROR(__xludf.DUMMYFUNCTION("IFERROR(GOOGLEFINANCE(A1272,""priceopen""),"""")"),355.9)</f>
        <v>355.9</v>
      </c>
      <c r="X1272" s="22">
        <f>IFERROR(__xludf.DUMMYFUNCTION("IFERROR(GOOGLEFINANCE(A1272,""high""),"""")"),355.9)</f>
        <v>355.9</v>
      </c>
      <c r="Y1272" s="22">
        <f>IFERROR(__xludf.DUMMYFUNCTION("IFERROR(GOOGLEFINANCE(A1272,""low""),"""")"),350.8)</f>
        <v>350.8</v>
      </c>
      <c r="Z1272" s="22">
        <f>IFERROR(__xludf.DUMMYFUNCTION("IFERROR(GOOGLEFINANCE(A1272,""volume""),"""")"),1.0)</f>
        <v>1</v>
      </c>
      <c r="AA1272" s="24" t="str">
        <f>VLOOKUP(A1272,Metrik!$C$2:$Y$959,5,0)</f>
        <v>Real Estate Management &amp; Development</v>
      </c>
      <c r="AB1272" s="24" t="str">
        <f>VLOOKUP(A1272,Metrik!$C$2:$Y$959,3,0)</f>
        <v>Properties &amp; Real Estate</v>
      </c>
    </row>
    <row r="1273">
      <c r="A1273" s="14" t="s">
        <v>677</v>
      </c>
      <c r="B1273" s="14" t="str">
        <f t="array" ref="B1273">VLOOKUP(A1273,{Metrik!$C$2:$C$998,Metrik!$B$2:$B$998},2,0)</f>
        <v>Murni Sadar Tbk.</v>
      </c>
      <c r="C1273" s="15">
        <f>IFERROR(__xludf.DUMMYFUNCTION("GOOGLEFINANCE(""IDX:""&amp;A1273,""price"")"),985.0)</f>
        <v>985</v>
      </c>
      <c r="D1273" s="16" t="str">
        <f>IFERROR(__xludf.DUMMYFUNCTION("IF(A1273="""","""",
SPARKLINE(
INDEX(
GOOGLEFINANCE(""IDX:""&amp;A1273,""close"",TODAY()-365,TODAY()),
,2
),
{""linewidth"",1}
))
"),"#N/A")</f>
        <v>#N/A</v>
      </c>
      <c r="E1273" s="26"/>
      <c r="F1273" s="26"/>
      <c r="G1273" s="24">
        <f t="shared" si="8"/>
        <v>0</v>
      </c>
      <c r="H1273" s="19">
        <f>VLOOKUP(A1273,Metrik!$C$2:$Y$959,8,0)</f>
        <v>48.1</v>
      </c>
      <c r="I1273" s="20">
        <f>VLOOKUP(A1273,Metrik!$C$2:$Y$959,9,0)</f>
        <v>1.3</v>
      </c>
      <c r="J1273" s="20">
        <f>VLOOKUP(A1273,Metrik!$C$2:$Y$959,10,0)</f>
        <v>2.6</v>
      </c>
      <c r="K1273" s="20">
        <f>VLOOKUP(A1273,Metrik!$C$2:$Y$959,11,0)</f>
        <v>1.5</v>
      </c>
      <c r="L1273" s="20">
        <f>VLOOKUP(A1273,Metrik!$C$2:$Y$959,12,0)</f>
        <v>0.79</v>
      </c>
      <c r="M1273" s="20">
        <f>VLOOKUP(A1273,Metrik!$C$2:$Y$959,19,0)</f>
        <v>10.7</v>
      </c>
      <c r="N1273" s="21"/>
      <c r="O1273" s="21"/>
      <c r="P1273" s="21"/>
      <c r="Q1273" s="21"/>
      <c r="R1273" s="21"/>
      <c r="S1273" s="21"/>
      <c r="T1273" s="21"/>
      <c r="U1273" s="22">
        <f>IFERROR(__xludf.DUMMYFUNCTION("IFERROR(GOOGLEFINANCE(A1273,""closeyest""),"""")"),930.0)</f>
        <v>930</v>
      </c>
      <c r="V1273" s="23">
        <f>IFERROR(__xludf.DUMMYFUNCTION("IFERROR(GOOGLEFINANCE(A1273,""changepct""),"""")"),5.91)</f>
        <v>5.91</v>
      </c>
      <c r="W1273" s="22">
        <f>IFERROR(__xludf.DUMMYFUNCTION("IFERROR(GOOGLEFINANCE(A1273,""priceopen""),"""")"),935.0)</f>
        <v>935</v>
      </c>
      <c r="X1273" s="22">
        <f>IFERROR(__xludf.DUMMYFUNCTION("IFERROR(GOOGLEFINANCE(A1273,""high""),"""")"),1000.0)</f>
        <v>1000</v>
      </c>
      <c r="Y1273" s="22" t="str">
        <f>IFERROR(__xludf.DUMMYFUNCTION("IFERROR(GOOGLEFINANCE(A1273,""low""),"""")"),"")</f>
        <v/>
      </c>
      <c r="Z1273" s="22">
        <f>IFERROR(__xludf.DUMMYFUNCTION("IFERROR(GOOGLEFINANCE(A1273,""volume""),"""")"),5000.0)</f>
        <v>5000</v>
      </c>
      <c r="AA1273" s="24" t="str">
        <f>VLOOKUP(A1273,Metrik!$C$2:$Y$959,5,0)</f>
        <v>Healthcare Providers</v>
      </c>
      <c r="AB1273" s="24" t="str">
        <f>VLOOKUP(A1273,Metrik!$C$2:$Y$959,3,0)</f>
        <v>Healthcare</v>
      </c>
    </row>
    <row r="1274">
      <c r="A1274" s="14" t="s">
        <v>678</v>
      </c>
      <c r="B1274" s="14" t="str">
        <f t="array" ref="B1274">VLOOKUP(A1274,{Metrik!$C$2:$C$998,Metrik!$B$2:$B$998},2,0)</f>
        <v>Meta Epsi Tbk.</v>
      </c>
      <c r="C1274" s="15">
        <f>IFERROR(__xludf.DUMMYFUNCTION("GOOGLEFINANCE(""IDX:""&amp;A1274,""price"")"),81.0)</f>
        <v>81</v>
      </c>
      <c r="D1274" s="16" t="str">
        <f>IFERROR(__xludf.DUMMYFUNCTION("IF(A1274="""","""",
SPARKLINE(
INDEX(
GOOGLEFINANCE(""IDX:""&amp;A1274,""close"",TODAY()-365,TODAY()),
,2
),
{""linewidth"",1}
))
"),"#N/A")</f>
        <v>#N/A</v>
      </c>
      <c r="E1274" s="26"/>
      <c r="F1274" s="26"/>
      <c r="G1274" s="24">
        <f t="shared" si="8"/>
        <v>0</v>
      </c>
      <c r="H1274" s="19">
        <f>VLOOKUP(A1274,Metrik!$C$2:$Y$959,8,0)</f>
        <v>-55.8</v>
      </c>
      <c r="I1274" s="20">
        <f>VLOOKUP(A1274,Metrik!$C$2:$Y$959,9,0)</f>
        <v>4.3</v>
      </c>
      <c r="J1274" s="20">
        <f>VLOOKUP(A1274,Metrik!$C$2:$Y$959,10,0)</f>
        <v>-7.6</v>
      </c>
      <c r="K1274" s="20">
        <f>VLOOKUP(A1274,Metrik!$C$2:$Y$959,11,0)</f>
        <v>-3.8</v>
      </c>
      <c r="L1274" s="20">
        <f>VLOOKUP(A1274,Metrik!$C$2:$Y$959,12,0)</f>
        <v>0.99</v>
      </c>
      <c r="M1274" s="20">
        <f>VLOOKUP(A1274,Metrik!$C$2:$Y$959,19,0)</f>
        <v>0</v>
      </c>
      <c r="N1274" s="21"/>
      <c r="O1274" s="21"/>
      <c r="P1274" s="21"/>
      <c r="Q1274" s="21"/>
      <c r="R1274" s="21"/>
      <c r="S1274" s="21"/>
      <c r="T1274" s="21"/>
      <c r="U1274" s="22">
        <f>IFERROR(__xludf.DUMMYFUNCTION("IFERROR(GOOGLEFINANCE(A1274,""closeyest""),"""")"),81.0)</f>
        <v>81</v>
      </c>
      <c r="V1274" s="23">
        <f>IFERROR(__xludf.DUMMYFUNCTION("IFERROR(GOOGLEFINANCE(A1274,""changepct""),"""")"),0.0)</f>
        <v>0</v>
      </c>
      <c r="W1274" s="22" t="str">
        <f>IFERROR(__xludf.DUMMYFUNCTION("IFERROR(GOOGLEFINANCE(A1274,""priceopen""),"""")"),"")</f>
        <v/>
      </c>
      <c r="X1274" s="22" t="str">
        <f>IFERROR(__xludf.DUMMYFUNCTION("IFERROR(GOOGLEFINANCE(A1274,""high""),"""")"),"")</f>
        <v/>
      </c>
      <c r="Y1274" s="22" t="str">
        <f>IFERROR(__xludf.DUMMYFUNCTION("IFERROR(GOOGLEFINANCE(A1274,""low""),"""")"),"")</f>
        <v/>
      </c>
      <c r="Z1274" s="22">
        <f>IFERROR(__xludf.DUMMYFUNCTION("IFERROR(GOOGLEFINANCE(A1274,""volume""),"""")"),0.0)</f>
        <v>0</v>
      </c>
      <c r="AA1274" s="24" t="str">
        <f>VLOOKUP(A1274,Metrik!$C$2:$Y$959,5,0)</f>
        <v>Heavy Constructions &amp; Civil Engineering</v>
      </c>
      <c r="AB1274" s="24" t="str">
        <f>VLOOKUP(A1274,Metrik!$C$2:$Y$959,3,0)</f>
        <v>Infrastructures</v>
      </c>
    </row>
    <row r="1275">
      <c r="A1275" s="14" t="s">
        <v>679</v>
      </c>
      <c r="B1275" s="14" t="str">
        <f t="array" ref="B1275">VLOOKUP(A1275,{Metrik!$C$2:$C$998,Metrik!$B$2:$B$998},2,0)</f>
        <v>PT Mitra Pemuda Tbk.</v>
      </c>
      <c r="C1275" s="15">
        <f>IFERROR(__xludf.DUMMYFUNCTION("GOOGLEFINANCE(""IDX:""&amp;A1275,""price"")"),244.0)</f>
        <v>244</v>
      </c>
      <c r="D1275" s="16" t="str">
        <f>IFERROR(__xludf.DUMMYFUNCTION("IF(A1275="""","""",
SPARKLINE(
INDEX(
GOOGLEFINANCE(""IDX:""&amp;A1275,""close"",TODAY()-365,TODAY()),
,2
),
{""linewidth"",1}
))
"),"#N/A")</f>
        <v>#N/A</v>
      </c>
      <c r="E1275" s="26"/>
      <c r="F1275" s="26"/>
      <c r="G1275" s="24">
        <f t="shared" si="8"/>
        <v>0</v>
      </c>
      <c r="H1275" s="19">
        <f>VLOOKUP(A1275,Metrik!$C$2:$Y$959,8,0)</f>
        <v>0</v>
      </c>
      <c r="I1275" s="20">
        <f>VLOOKUP(A1275,Metrik!$C$2:$Y$959,9,0)</f>
        <v>-2.6</v>
      </c>
      <c r="J1275" s="20">
        <f>VLOOKUP(A1275,Metrik!$C$2:$Y$959,10,0)</f>
        <v>0</v>
      </c>
      <c r="K1275" s="20">
        <f>VLOOKUP(A1275,Metrik!$C$2:$Y$959,11,0)</f>
        <v>-56.6</v>
      </c>
      <c r="L1275" s="20">
        <f>VLOOKUP(A1275,Metrik!$C$2:$Y$959,12,0)</f>
        <v>-2.9</v>
      </c>
      <c r="M1275" s="20">
        <f>VLOOKUP(A1275,Metrik!$C$2:$Y$959,19,0)</f>
        <v>-1460</v>
      </c>
      <c r="N1275" s="21"/>
      <c r="O1275" s="21"/>
      <c r="P1275" s="21"/>
      <c r="Q1275" s="21"/>
      <c r="R1275" s="21"/>
      <c r="S1275" s="21"/>
      <c r="T1275" s="21"/>
      <c r="U1275" s="22">
        <f>IFERROR(__xludf.DUMMYFUNCTION("IFERROR(GOOGLEFINANCE(A1275,""closeyest""),"""")"),26.4)</f>
        <v>26.4</v>
      </c>
      <c r="V1275" s="23">
        <f>IFERROR(__xludf.DUMMYFUNCTION("IFERROR(GOOGLEFINANCE(A1275,""changepct""),"""")"),0.36)</f>
        <v>0.36</v>
      </c>
      <c r="W1275" s="22">
        <f>IFERROR(__xludf.DUMMYFUNCTION("IFERROR(GOOGLEFINANCE(A1275,""priceopen""),"""")"),26.4)</f>
        <v>26.4</v>
      </c>
      <c r="X1275" s="22">
        <f>IFERROR(__xludf.DUMMYFUNCTION("IFERROR(GOOGLEFINANCE(A1275,""high""),"""")"),26.49)</f>
        <v>26.49</v>
      </c>
      <c r="Y1275" s="22">
        <f>IFERROR(__xludf.DUMMYFUNCTION("IFERROR(GOOGLEFINANCE(A1275,""low""),"""")"),26.4)</f>
        <v>26.4</v>
      </c>
      <c r="Z1275" s="22">
        <f>IFERROR(__xludf.DUMMYFUNCTION("IFERROR(GOOGLEFINANCE(A1275,""volume""),"""")"),38.0)</f>
        <v>38</v>
      </c>
      <c r="AA1275" s="24" t="str">
        <f>VLOOKUP(A1275,Metrik!$C$2:$Y$959,5,0)</f>
        <v>Heavy Constructions &amp; Civil Engineering</v>
      </c>
      <c r="AB1275" s="24" t="str">
        <f>VLOOKUP(A1275,Metrik!$C$2:$Y$959,3,0)</f>
        <v>Infrastructures</v>
      </c>
    </row>
    <row r="1276">
      <c r="A1276" s="14" t="s">
        <v>680</v>
      </c>
      <c r="B1276" s="14" t="str">
        <f t="array" ref="B1276">VLOOKUP(A1276,{Metrik!$C$2:$C$998,Metrik!$B$2:$B$998},2,0)</f>
        <v>Metro Realty Tbk.</v>
      </c>
      <c r="C1276" s="15">
        <f>IFERROR(__xludf.DUMMYFUNCTION("GOOGLEFINANCE(""IDX:""&amp;A1276,""price"")"),500.0)</f>
        <v>500</v>
      </c>
      <c r="D1276" s="16" t="str">
        <f>IFERROR(__xludf.DUMMYFUNCTION("IF(A1276="""","""",
SPARKLINE(
INDEX(
GOOGLEFINANCE(""IDX:""&amp;A1276,""close"",TODAY()-365,TODAY()),
,2
),
{""linewidth"",1}
))
"),"#N/A")</f>
        <v>#N/A</v>
      </c>
      <c r="E1276" s="26"/>
      <c r="F1276" s="26"/>
      <c r="G1276" s="24">
        <f t="shared" si="8"/>
        <v>0</v>
      </c>
      <c r="H1276" s="19">
        <f>VLOOKUP(A1276,Metrik!$C$2:$Y$959,8,0)</f>
        <v>-1970</v>
      </c>
      <c r="I1276" s="20">
        <f>VLOOKUP(A1276,Metrik!$C$2:$Y$959,9,0)</f>
        <v>4.1</v>
      </c>
      <c r="J1276" s="20">
        <f>VLOOKUP(A1276,Metrik!$C$2:$Y$959,10,0)</f>
        <v>-0.21</v>
      </c>
      <c r="K1276" s="20">
        <f>VLOOKUP(A1276,Metrik!$C$2:$Y$959,11,0)</f>
        <v>-0.13</v>
      </c>
      <c r="L1276" s="20">
        <f>VLOOKUP(A1276,Metrik!$C$2:$Y$959,12,0)</f>
        <v>0.62</v>
      </c>
      <c r="M1276" s="20">
        <f>VLOOKUP(A1276,Metrik!$C$2:$Y$959,19,0)</f>
        <v>-0.18</v>
      </c>
      <c r="N1276" s="21"/>
      <c r="O1276" s="21"/>
      <c r="P1276" s="21"/>
      <c r="Q1276" s="21"/>
      <c r="R1276" s="21"/>
      <c r="S1276" s="21"/>
      <c r="T1276" s="21"/>
      <c r="U1276" s="22">
        <f>IFERROR(__xludf.DUMMYFUNCTION("IFERROR(GOOGLEFINANCE(A1276,""closeyest""),"""")"),500.0)</f>
        <v>500</v>
      </c>
      <c r="V1276" s="23">
        <f>IFERROR(__xludf.DUMMYFUNCTION("IFERROR(GOOGLEFINANCE(A1276,""changepct""),"""")"),0.0)</f>
        <v>0</v>
      </c>
      <c r="W1276" s="22" t="str">
        <f>IFERROR(__xludf.DUMMYFUNCTION("IFERROR(GOOGLEFINANCE(A1276,""priceopen""),"""")"),"")</f>
        <v/>
      </c>
      <c r="X1276" s="22" t="str">
        <f>IFERROR(__xludf.DUMMYFUNCTION("IFERROR(GOOGLEFINANCE(A1276,""high""),"""")"),"")</f>
        <v/>
      </c>
      <c r="Y1276" s="22" t="str">
        <f>IFERROR(__xludf.DUMMYFUNCTION("IFERROR(GOOGLEFINANCE(A1276,""low""),"""")"),"")</f>
        <v/>
      </c>
      <c r="Z1276" s="22">
        <f>IFERROR(__xludf.DUMMYFUNCTION("IFERROR(GOOGLEFINANCE(A1276,""volume""),"""")"),0.0)</f>
        <v>0</v>
      </c>
      <c r="AA1276" s="24" t="str">
        <f>VLOOKUP(A1276,Metrik!$C$2:$Y$959,5,0)</f>
        <v>Real Estate Management &amp; Development</v>
      </c>
      <c r="AB1276" s="24" t="str">
        <f>VLOOKUP(A1276,Metrik!$C$2:$Y$959,3,0)</f>
        <v>Properties &amp; Real Estate</v>
      </c>
    </row>
    <row r="1277">
      <c r="A1277" s="14" t="s">
        <v>681</v>
      </c>
      <c r="B1277" s="14" t="str">
        <f t="array" ref="B1277">VLOOKUP(A1277,{Metrik!$C$2:$C$998,Metrik!$B$2:$B$998},2,0)</f>
        <v>Malacca Trust Wuwungan Insurance Tbk.</v>
      </c>
      <c r="C1277" s="15">
        <f>IFERROR(__xludf.DUMMYFUNCTION("GOOGLEFINANCE(""IDX:""&amp;A1277,""price"")"),266.0)</f>
        <v>266</v>
      </c>
      <c r="D1277" s="16" t="str">
        <f>IFERROR(__xludf.DUMMYFUNCTION("IF(A1277="""","""",
SPARKLINE(
INDEX(
GOOGLEFINANCE(""IDX:""&amp;A1277,""close"",TODAY()-365,TODAY()),
,2
),
{""linewidth"",1}
))
"),"#N/A")</f>
        <v>#N/A</v>
      </c>
      <c r="E1277" s="26"/>
      <c r="F1277" s="26"/>
      <c r="G1277" s="24">
        <f t="shared" si="8"/>
        <v>0</v>
      </c>
      <c r="H1277" s="19">
        <f>VLOOKUP(A1277,Metrik!$C$2:$Y$959,8,0)</f>
        <v>15.3</v>
      </c>
      <c r="I1277" s="20">
        <f>VLOOKUP(A1277,Metrik!$C$2:$Y$959,9,0)</f>
        <v>1.9</v>
      </c>
      <c r="J1277" s="20">
        <f>VLOOKUP(A1277,Metrik!$C$2:$Y$959,10,0)</f>
        <v>12.3</v>
      </c>
      <c r="K1277" s="20">
        <f>VLOOKUP(A1277,Metrik!$C$2:$Y$959,11,0)</f>
        <v>1.5</v>
      </c>
      <c r="L1277" s="20">
        <f>VLOOKUP(A1277,Metrik!$C$2:$Y$959,12,0)</f>
        <v>7</v>
      </c>
      <c r="M1277" s="20">
        <f>VLOOKUP(A1277,Metrik!$C$2:$Y$959,19,0)</f>
        <v>10.4</v>
      </c>
      <c r="N1277" s="21"/>
      <c r="O1277" s="21"/>
      <c r="P1277" s="21"/>
      <c r="Q1277" s="21"/>
      <c r="R1277" s="21"/>
      <c r="S1277" s="21"/>
      <c r="T1277" s="21"/>
      <c r="U1277" s="22">
        <f>IFERROR(__xludf.DUMMYFUNCTION("IFERROR(GOOGLEFINANCE(A1277,""closeyest""),"""")"),257.86)</f>
        <v>257.86</v>
      </c>
      <c r="V1277" s="23">
        <f>IFERROR(__xludf.DUMMYFUNCTION("IFERROR(GOOGLEFINANCE(A1277,""changepct""),"""")"),3.16)</f>
        <v>3.16</v>
      </c>
      <c r="W1277" s="22">
        <f>IFERROR(__xludf.DUMMYFUNCTION("IFERROR(GOOGLEFINANCE(A1277,""priceopen""),"""")"),258.0)</f>
        <v>258</v>
      </c>
      <c r="X1277" s="22">
        <f>IFERROR(__xludf.DUMMYFUNCTION("IFERROR(GOOGLEFINANCE(A1277,""high""),"""")"),266.0)</f>
        <v>266</v>
      </c>
      <c r="Y1277" s="22">
        <f>IFERROR(__xludf.DUMMYFUNCTION("IFERROR(GOOGLEFINANCE(A1277,""low""),"""")"),246.0)</f>
        <v>246</v>
      </c>
      <c r="Z1277" s="22">
        <f>IFERROR(__xludf.DUMMYFUNCTION("IFERROR(GOOGLEFINANCE(A1277,""volume""),"""")"),15900.0)</f>
        <v>15900</v>
      </c>
      <c r="AA1277" s="24" t="str">
        <f>VLOOKUP(A1277,Metrik!$C$2:$Y$959,5,0)</f>
        <v>Insurance</v>
      </c>
      <c r="AB1277" s="24" t="str">
        <f>VLOOKUP(A1277,Metrik!$C$2:$Y$959,3,0)</f>
        <v>Financials</v>
      </c>
    </row>
    <row r="1278">
      <c r="A1278" s="14" t="s">
        <v>682</v>
      </c>
      <c r="B1278" s="14" t="str">
        <f t="array" ref="B1278">VLOOKUP(A1278,{Metrik!$C$2:$C$998,Metrik!$B$2:$B$998},2,0)</f>
        <v>PT Mutuagung Lestari Tbk</v>
      </c>
      <c r="C1278" s="15">
        <f>IFERROR(__xludf.DUMMYFUNCTION("GOOGLEFINANCE(""IDX:""&amp;A1278,""price"")"),105.0)</f>
        <v>105</v>
      </c>
      <c r="D1278" s="16" t="str">
        <f>IFERROR(__xludf.DUMMYFUNCTION("IF(A1278="""","""",
SPARKLINE(
INDEX(
GOOGLEFINANCE(""IDX:""&amp;A1278,""close"",TODAY()-365,TODAY()),
,2
),
{""linewidth"",1}
))
"),"#N/A")</f>
        <v>#N/A</v>
      </c>
      <c r="E1278" s="26"/>
      <c r="F1278" s="26"/>
      <c r="G1278" s="24">
        <f t="shared" si="8"/>
        <v>0</v>
      </c>
      <c r="H1278" s="19">
        <f>VLOOKUP(A1278,Metrik!$C$2:$Y$959,8,0)</f>
        <v>14.2</v>
      </c>
      <c r="I1278" s="20">
        <f>VLOOKUP(A1278,Metrik!$C$2:$Y$959,9,0)</f>
        <v>1.4</v>
      </c>
      <c r="J1278" s="20">
        <f>VLOOKUP(A1278,Metrik!$C$2:$Y$959,10,0)</f>
        <v>9.8</v>
      </c>
      <c r="K1278" s="20">
        <f>VLOOKUP(A1278,Metrik!$C$2:$Y$959,11,0)</f>
        <v>7</v>
      </c>
      <c r="L1278" s="20">
        <f>VLOOKUP(A1278,Metrik!$C$2:$Y$959,12,0)</f>
        <v>0.39</v>
      </c>
      <c r="M1278" s="20">
        <f>VLOOKUP(A1278,Metrik!$C$2:$Y$959,19,0)</f>
        <v>34</v>
      </c>
      <c r="N1278" s="21"/>
      <c r="O1278" s="21"/>
      <c r="P1278" s="21"/>
      <c r="Q1278" s="21"/>
      <c r="R1278" s="21"/>
      <c r="S1278" s="21"/>
      <c r="T1278" s="21"/>
      <c r="U1278" s="22">
        <f>IFERROR(__xludf.DUMMYFUNCTION("IFERROR(GOOGLEFINANCE(A1278,""closeyest""),"""")"),105.0)</f>
        <v>105</v>
      </c>
      <c r="V1278" s="23">
        <f>IFERROR(__xludf.DUMMYFUNCTION("IFERROR(GOOGLEFINANCE(A1278,""changepct""),"""")"),0.0)</f>
        <v>0</v>
      </c>
      <c r="W1278" s="22">
        <f>IFERROR(__xludf.DUMMYFUNCTION("IFERROR(GOOGLEFINANCE(A1278,""priceopen""),"""")"),107.0)</f>
        <v>107</v>
      </c>
      <c r="X1278" s="22">
        <f>IFERROR(__xludf.DUMMYFUNCTION("IFERROR(GOOGLEFINANCE(A1278,""high""),"""")"),110.0)</f>
        <v>110</v>
      </c>
      <c r="Y1278" s="22">
        <f>IFERROR(__xludf.DUMMYFUNCTION("IFERROR(GOOGLEFINANCE(A1278,""low""),"""")"),105.0)</f>
        <v>105</v>
      </c>
      <c r="Z1278" s="22">
        <f>IFERROR(__xludf.DUMMYFUNCTION("IFERROR(GOOGLEFINANCE(A1278,""volume""),"""")"),9337400.0)</f>
        <v>9337400</v>
      </c>
      <c r="AA1278" s="24" t="str">
        <f>VLOOKUP(A1278,Metrik!$C$2:$Y$959,5,0)</f>
        <v>Professional Services</v>
      </c>
      <c r="AB1278" s="24" t="str">
        <f>VLOOKUP(A1278,Metrik!$C$2:$Y$959,3,0)</f>
        <v>Industrials</v>
      </c>
    </row>
    <row r="1279">
      <c r="A1279" s="14" t="s">
        <v>683</v>
      </c>
      <c r="B1279" s="14" t="str">
        <f t="array" ref="B1279">VLOOKUP(A1279,{Metrik!$C$2:$C$998,Metrik!$B$2:$B$998},2,0)</f>
        <v>Samindo Resources Tbk</v>
      </c>
      <c r="C1279" s="15">
        <f>IFERROR(__xludf.DUMMYFUNCTION("GOOGLEFINANCE(""IDX:""&amp;A1279,""price"")"),1020.0)</f>
        <v>1020</v>
      </c>
      <c r="D1279" s="16" t="str">
        <f>IFERROR(__xludf.DUMMYFUNCTION("IF(A1279="""","""",
SPARKLINE(
INDEX(
GOOGLEFINANCE(""IDX:""&amp;A1279,""close"",TODAY()-365,TODAY()),
,2
),
{""linewidth"",1}
))
"),"#N/A")</f>
        <v>#N/A</v>
      </c>
      <c r="E1279" s="26"/>
      <c r="F1279" s="26"/>
      <c r="G1279" s="24">
        <f t="shared" si="8"/>
        <v>0</v>
      </c>
      <c r="H1279" s="19">
        <f>VLOOKUP(A1279,Metrik!$C$2:$Y$959,8,0)</f>
        <v>10.3</v>
      </c>
      <c r="I1279" s="20">
        <f>VLOOKUP(A1279,Metrik!$C$2:$Y$959,9,0)</f>
        <v>0.82</v>
      </c>
      <c r="J1279" s="20">
        <f>VLOOKUP(A1279,Metrik!$C$2:$Y$959,10,0)</f>
        <v>8</v>
      </c>
      <c r="K1279" s="20">
        <f>VLOOKUP(A1279,Metrik!$C$2:$Y$959,11,0)</f>
        <v>6.7</v>
      </c>
      <c r="L1279" s="20">
        <f>VLOOKUP(A1279,Metrik!$C$2:$Y$959,12,0)</f>
        <v>0.21</v>
      </c>
      <c r="M1279" s="20">
        <f>VLOOKUP(A1279,Metrik!$C$2:$Y$959,19,0)</f>
        <v>36.2</v>
      </c>
      <c r="N1279" s="21"/>
      <c r="O1279" s="21"/>
      <c r="P1279" s="21"/>
      <c r="Q1279" s="21"/>
      <c r="R1279" s="21"/>
      <c r="S1279" s="21"/>
      <c r="T1279" s="21"/>
      <c r="U1279" s="22">
        <f>IFERROR(__xludf.DUMMYFUNCTION("IFERROR(GOOGLEFINANCE(A1279,""closeyest""),"""")"),1050.0)</f>
        <v>1050</v>
      </c>
      <c r="V1279" s="23">
        <f>IFERROR(__xludf.DUMMYFUNCTION("IFERROR(GOOGLEFINANCE(A1279,""changepct""),"""")"),-2.86)</f>
        <v>-2.86</v>
      </c>
      <c r="W1279" s="22">
        <f>IFERROR(__xludf.DUMMYFUNCTION("IFERROR(GOOGLEFINANCE(A1279,""priceopen""),"""")"),1050.0)</f>
        <v>1050</v>
      </c>
      <c r="X1279" s="22">
        <f>IFERROR(__xludf.DUMMYFUNCTION("IFERROR(GOOGLEFINANCE(A1279,""high""),"""")"),1080.0)</f>
        <v>1080</v>
      </c>
      <c r="Y1279" s="22">
        <f>IFERROR(__xludf.DUMMYFUNCTION("IFERROR(GOOGLEFINANCE(A1279,""low""),"""")"),980.0)</f>
        <v>980</v>
      </c>
      <c r="Z1279" s="22">
        <f>IFERROR(__xludf.DUMMYFUNCTION("IFERROR(GOOGLEFINANCE(A1279,""volume""),"""")"),63200.0)</f>
        <v>63200</v>
      </c>
      <c r="AA1279" s="24" t="str">
        <f>VLOOKUP(A1279,Metrik!$C$2:$Y$959,5,0)</f>
        <v>Oil, Gas &amp; Coal Supports</v>
      </c>
      <c r="AB1279" s="24" t="str">
        <f>VLOOKUP(A1279,Metrik!$C$2:$Y$959,3,0)</f>
        <v>Energy</v>
      </c>
    </row>
    <row r="1280">
      <c r="A1280" s="17" t="s">
        <v>684</v>
      </c>
      <c r="B1280" s="14" t="str">
        <f t="array" ref="B1280">VLOOKUP(A1280,{Metrik!$C$2:$C$998,Metrik!$B$2:$B$998},2,0)</f>
        <v>Mayora Indah Tbk.</v>
      </c>
      <c r="C1280" s="15">
        <f>IFERROR(__xludf.DUMMYFUNCTION("GOOGLEFINANCE(""IDX:""&amp;A1280,""price"")"),1700.0)</f>
        <v>1700</v>
      </c>
      <c r="D1280" s="16" t="str">
        <f>IFERROR(__xludf.DUMMYFUNCTION("IF(A1280="""","""",
SPARKLINE(
INDEX(
GOOGLEFINANCE(""IDX:""&amp;A1280,""close"",TODAY()-365,TODAY()),
,2
),
{""linewidth"",1}
))
"),"#N/A")</f>
        <v>#N/A</v>
      </c>
      <c r="E1280" s="14" t="s">
        <v>47</v>
      </c>
      <c r="F1280" s="25">
        <v>46356.0</v>
      </c>
      <c r="G1280" s="18">
        <f t="shared" si="8"/>
        <v>10</v>
      </c>
      <c r="H1280" s="19">
        <f>VLOOKUP(A1280,Metrik!$C$2:$Y$959,8,0)</f>
        <v>13.2</v>
      </c>
      <c r="I1280" s="20">
        <f>VLOOKUP(A1280,Metrik!$C$2:$Y$959,9,0)</f>
        <v>2.1</v>
      </c>
      <c r="J1280" s="20">
        <f>VLOOKUP(A1280,Metrik!$C$2:$Y$959,10,0)</f>
        <v>16.3</v>
      </c>
      <c r="K1280" s="20">
        <f>VLOOKUP(A1280,Metrik!$C$2:$Y$959,11,0)</f>
        <v>10.9</v>
      </c>
      <c r="L1280" s="20">
        <f>VLOOKUP(A1280,Metrik!$C$2:$Y$959,12,0)</f>
        <v>0.49</v>
      </c>
      <c r="M1280" s="20">
        <f>VLOOKUP(A1280,Metrik!$C$2:$Y$959,19,0)</f>
        <v>33.2</v>
      </c>
      <c r="N1280" s="21"/>
      <c r="O1280" s="21"/>
      <c r="P1280" s="21"/>
      <c r="Q1280" s="21"/>
      <c r="R1280" s="21"/>
      <c r="S1280" s="21"/>
      <c r="T1280" s="21"/>
      <c r="U1280" s="22">
        <f>IFERROR(__xludf.DUMMYFUNCTION("IFERROR(GOOGLEFINANCE(A1280,""closeyest""),"""")"),1645.0)</f>
        <v>1645</v>
      </c>
      <c r="V1280" s="23">
        <f>IFERROR(__xludf.DUMMYFUNCTION("IFERROR(GOOGLEFINANCE(A1280,""changepct""),"""")"),3.34)</f>
        <v>3.34</v>
      </c>
      <c r="W1280" s="22">
        <f>IFERROR(__xludf.DUMMYFUNCTION("IFERROR(GOOGLEFINANCE(A1280,""priceopen""),"""")"),1645.0)</f>
        <v>1645</v>
      </c>
      <c r="X1280" s="22">
        <f>IFERROR(__xludf.DUMMYFUNCTION("IFERROR(GOOGLEFINANCE(A1280,""high""),"""")"),1700.0)</f>
        <v>1700</v>
      </c>
      <c r="Y1280" s="22">
        <f>IFERROR(__xludf.DUMMYFUNCTION("IFERROR(GOOGLEFINANCE(A1280,""low""),"""")"),1630.0)</f>
        <v>1630</v>
      </c>
      <c r="Z1280" s="22">
        <f>IFERROR(__xludf.DUMMYFUNCTION("IFERROR(GOOGLEFINANCE(A1280,""volume""),"""")"),7817400.0)</f>
        <v>7817400</v>
      </c>
      <c r="AA1280" s="24" t="str">
        <f>VLOOKUP(A1280,Metrik!$C$2:$Y$959,5,0)</f>
        <v>Processed Foods</v>
      </c>
      <c r="AB1280" s="24" t="str">
        <f>VLOOKUP(A1280,Metrik!$C$2:$Y$959,3,0)</f>
        <v>Consumer Non-Cyclicals</v>
      </c>
    </row>
    <row r="1281">
      <c r="A1281" s="14" t="s">
        <v>684</v>
      </c>
      <c r="B1281" s="14" t="str">
        <f t="array" ref="B1281">VLOOKUP(A1281,{Metrik!$C$2:$C$998,Metrik!$B$2:$B$998},2,0)</f>
        <v>Mayora Indah Tbk.</v>
      </c>
      <c r="C1281" s="15">
        <f>IFERROR(__xludf.DUMMYFUNCTION("GOOGLEFINANCE(""IDX:""&amp;A1281,""price"")"),1700.0)</f>
        <v>1700</v>
      </c>
      <c r="D1281" s="16" t="str">
        <f>IFERROR(__xludf.DUMMYFUNCTION("IF(A1281="""","""",
SPARKLINE(
INDEX(
GOOGLEFINANCE(""IDX:""&amp;A1281,""close"",TODAY()-365,TODAY()),
,2
),
{""linewidth"",1}
))
"),"#N/A")</f>
        <v>#N/A</v>
      </c>
      <c r="E1281" s="14" t="s">
        <v>42</v>
      </c>
      <c r="F1281" s="25">
        <v>46356.0</v>
      </c>
      <c r="G1281" s="24">
        <f t="shared" si="8"/>
        <v>10</v>
      </c>
      <c r="H1281" s="19">
        <f>VLOOKUP(A1281,Metrik!$C$2:$Y$959,8,0)</f>
        <v>13.2</v>
      </c>
      <c r="I1281" s="20">
        <f>VLOOKUP(A1281,Metrik!$C$2:$Y$959,9,0)</f>
        <v>2.1</v>
      </c>
      <c r="J1281" s="20">
        <f>VLOOKUP(A1281,Metrik!$C$2:$Y$959,10,0)</f>
        <v>16.3</v>
      </c>
      <c r="K1281" s="20">
        <f>VLOOKUP(A1281,Metrik!$C$2:$Y$959,11,0)</f>
        <v>10.9</v>
      </c>
      <c r="L1281" s="20">
        <f>VLOOKUP(A1281,Metrik!$C$2:$Y$959,12,0)</f>
        <v>0.49</v>
      </c>
      <c r="M1281" s="20">
        <f>VLOOKUP(A1281,Metrik!$C$2:$Y$959,19,0)</f>
        <v>33.2</v>
      </c>
      <c r="N1281" s="21"/>
      <c r="O1281" s="21"/>
      <c r="P1281" s="21"/>
      <c r="Q1281" s="21"/>
      <c r="R1281" s="21"/>
      <c r="S1281" s="21"/>
      <c r="T1281" s="21"/>
      <c r="U1281" s="22">
        <f>IFERROR(__xludf.DUMMYFUNCTION("IFERROR(GOOGLEFINANCE(A1281,""closeyest""),"""")"),1645.0)</f>
        <v>1645</v>
      </c>
      <c r="V1281" s="23">
        <f>IFERROR(__xludf.DUMMYFUNCTION("IFERROR(GOOGLEFINANCE(A1281,""changepct""),"""")"),3.34)</f>
        <v>3.34</v>
      </c>
      <c r="W1281" s="22">
        <f>IFERROR(__xludf.DUMMYFUNCTION("IFERROR(GOOGLEFINANCE(A1281,""priceopen""),"""")"),1645.0)</f>
        <v>1645</v>
      </c>
      <c r="X1281" s="22">
        <f>IFERROR(__xludf.DUMMYFUNCTION("IFERROR(GOOGLEFINANCE(A1281,""high""),"""")"),1700.0)</f>
        <v>1700</v>
      </c>
      <c r="Y1281" s="22">
        <f>IFERROR(__xludf.DUMMYFUNCTION("IFERROR(GOOGLEFINANCE(A1281,""low""),"""")"),1630.0)</f>
        <v>1630</v>
      </c>
      <c r="Z1281" s="22">
        <f>IFERROR(__xludf.DUMMYFUNCTION("IFERROR(GOOGLEFINANCE(A1281,""volume""),"""")"),7817400.0)</f>
        <v>7817400</v>
      </c>
      <c r="AA1281" s="24" t="str">
        <f>VLOOKUP(A1281,Metrik!$C$2:$Y$959,5,0)</f>
        <v>Processed Foods</v>
      </c>
      <c r="AB1281" s="24" t="str">
        <f>VLOOKUP(A1281,Metrik!$C$2:$Y$959,3,0)</f>
        <v>Consumer Non-Cyclicals</v>
      </c>
    </row>
    <row r="1282">
      <c r="A1282" s="14" t="s">
        <v>684</v>
      </c>
      <c r="B1282" s="14" t="str">
        <f t="array" ref="B1282">VLOOKUP(A1282,{Metrik!$C$2:$C$998,Metrik!$B$2:$B$998},2,0)</f>
        <v>Mayora Indah Tbk.</v>
      </c>
      <c r="C1282" s="15">
        <f>IFERROR(__xludf.DUMMYFUNCTION("GOOGLEFINANCE(""IDX:""&amp;A1282,""price"")"),1700.0)</f>
        <v>1700</v>
      </c>
      <c r="D1282" s="16" t="str">
        <f>IFERROR(__xludf.DUMMYFUNCTION("IF(A1282="""","""",
SPARKLINE(
INDEX(
GOOGLEFINANCE(""IDX:""&amp;A1282,""close"",TODAY()-365,TODAY()),
,2
),
{""linewidth"",1}
))
"),"#N/A")</f>
        <v>#N/A</v>
      </c>
      <c r="E1282" s="14" t="s">
        <v>54</v>
      </c>
      <c r="F1282" s="14" t="s">
        <v>34</v>
      </c>
      <c r="G1282" s="24">
        <f t="shared" si="8"/>
        <v>10</v>
      </c>
      <c r="H1282" s="19">
        <f>VLOOKUP(A1282,Metrik!$C$2:$Y$959,8,0)</f>
        <v>13.2</v>
      </c>
      <c r="I1282" s="20">
        <f>VLOOKUP(A1282,Metrik!$C$2:$Y$959,9,0)</f>
        <v>2.1</v>
      </c>
      <c r="J1282" s="20">
        <f>VLOOKUP(A1282,Metrik!$C$2:$Y$959,10,0)</f>
        <v>16.3</v>
      </c>
      <c r="K1282" s="20">
        <f>VLOOKUP(A1282,Metrik!$C$2:$Y$959,11,0)</f>
        <v>10.9</v>
      </c>
      <c r="L1282" s="20">
        <f>VLOOKUP(A1282,Metrik!$C$2:$Y$959,12,0)</f>
        <v>0.49</v>
      </c>
      <c r="M1282" s="20">
        <f>VLOOKUP(A1282,Metrik!$C$2:$Y$959,19,0)</f>
        <v>33.2</v>
      </c>
      <c r="N1282" s="21"/>
      <c r="O1282" s="21"/>
      <c r="P1282" s="21"/>
      <c r="Q1282" s="21"/>
      <c r="R1282" s="21"/>
      <c r="S1282" s="21"/>
      <c r="T1282" s="21"/>
      <c r="U1282" s="22">
        <f>IFERROR(__xludf.DUMMYFUNCTION("IFERROR(GOOGLEFINANCE(A1282,""closeyest""),"""")"),1645.0)</f>
        <v>1645</v>
      </c>
      <c r="V1282" s="23">
        <f>IFERROR(__xludf.DUMMYFUNCTION("IFERROR(GOOGLEFINANCE(A1282,""changepct""),"""")"),3.34)</f>
        <v>3.34</v>
      </c>
      <c r="W1282" s="22">
        <f>IFERROR(__xludf.DUMMYFUNCTION("IFERROR(GOOGLEFINANCE(A1282,""priceopen""),"""")"),1645.0)</f>
        <v>1645</v>
      </c>
      <c r="X1282" s="22">
        <f>IFERROR(__xludf.DUMMYFUNCTION("IFERROR(GOOGLEFINANCE(A1282,""high""),"""")"),1700.0)</f>
        <v>1700</v>
      </c>
      <c r="Y1282" s="22">
        <f>IFERROR(__xludf.DUMMYFUNCTION("IFERROR(GOOGLEFINANCE(A1282,""low""),"""")"),1630.0)</f>
        <v>1630</v>
      </c>
      <c r="Z1282" s="22">
        <f>IFERROR(__xludf.DUMMYFUNCTION("IFERROR(GOOGLEFINANCE(A1282,""volume""),"""")"),7817400.0)</f>
        <v>7817400</v>
      </c>
      <c r="AA1282" s="24" t="str">
        <f>VLOOKUP(A1282,Metrik!$C$2:$Y$959,5,0)</f>
        <v>Processed Foods</v>
      </c>
      <c r="AB1282" s="24" t="str">
        <f>VLOOKUP(A1282,Metrik!$C$2:$Y$959,3,0)</f>
        <v>Consumer Non-Cyclicals</v>
      </c>
    </row>
    <row r="1283">
      <c r="A1283" s="14" t="s">
        <v>684</v>
      </c>
      <c r="B1283" s="14" t="str">
        <f t="array" ref="B1283">VLOOKUP(A1283,{Metrik!$C$2:$C$998,Metrik!$B$2:$B$998},2,0)</f>
        <v>Mayora Indah Tbk.</v>
      </c>
      <c r="C1283" s="15">
        <f>IFERROR(__xludf.DUMMYFUNCTION("GOOGLEFINANCE(""IDX:""&amp;A1283,""price"")"),1700.0)</f>
        <v>1700</v>
      </c>
      <c r="D1283" s="16" t="str">
        <f>IFERROR(__xludf.DUMMYFUNCTION("IF(A1283="""","""",
SPARKLINE(
INDEX(
GOOGLEFINANCE(""IDX:""&amp;A1283,""close"",TODAY()-365,TODAY()),
,2
),
{""linewidth"",1}
))
"),"#N/A")</f>
        <v>#N/A</v>
      </c>
      <c r="E1283" s="14" t="s">
        <v>161</v>
      </c>
      <c r="F1283" s="14" t="s">
        <v>76</v>
      </c>
      <c r="G1283" s="24">
        <f t="shared" si="8"/>
        <v>10</v>
      </c>
      <c r="H1283" s="19">
        <f>VLOOKUP(A1283,Metrik!$C$2:$Y$959,8,0)</f>
        <v>13.2</v>
      </c>
      <c r="I1283" s="20">
        <f>VLOOKUP(A1283,Metrik!$C$2:$Y$959,9,0)</f>
        <v>2.1</v>
      </c>
      <c r="J1283" s="20">
        <f>VLOOKUP(A1283,Metrik!$C$2:$Y$959,10,0)</f>
        <v>16.3</v>
      </c>
      <c r="K1283" s="20">
        <f>VLOOKUP(A1283,Metrik!$C$2:$Y$959,11,0)</f>
        <v>10.9</v>
      </c>
      <c r="L1283" s="20">
        <f>VLOOKUP(A1283,Metrik!$C$2:$Y$959,12,0)</f>
        <v>0.49</v>
      </c>
      <c r="M1283" s="20">
        <f>VLOOKUP(A1283,Metrik!$C$2:$Y$959,19,0)</f>
        <v>33.2</v>
      </c>
      <c r="N1283" s="21"/>
      <c r="O1283" s="21"/>
      <c r="P1283" s="21"/>
      <c r="Q1283" s="21"/>
      <c r="R1283" s="21"/>
      <c r="S1283" s="21"/>
      <c r="T1283" s="21"/>
      <c r="U1283" s="22">
        <f>IFERROR(__xludf.DUMMYFUNCTION("IFERROR(GOOGLEFINANCE(A1283,""closeyest""),"""")"),1645.0)</f>
        <v>1645</v>
      </c>
      <c r="V1283" s="23">
        <f>IFERROR(__xludf.DUMMYFUNCTION("IFERROR(GOOGLEFINANCE(A1283,""changepct""),"""")"),3.34)</f>
        <v>3.34</v>
      </c>
      <c r="W1283" s="22">
        <f>IFERROR(__xludf.DUMMYFUNCTION("IFERROR(GOOGLEFINANCE(A1283,""priceopen""),"""")"),1645.0)</f>
        <v>1645</v>
      </c>
      <c r="X1283" s="22">
        <f>IFERROR(__xludf.DUMMYFUNCTION("IFERROR(GOOGLEFINANCE(A1283,""high""),"""")"),1700.0)</f>
        <v>1700</v>
      </c>
      <c r="Y1283" s="22">
        <f>IFERROR(__xludf.DUMMYFUNCTION("IFERROR(GOOGLEFINANCE(A1283,""low""),"""")"),1630.0)</f>
        <v>1630</v>
      </c>
      <c r="Z1283" s="22">
        <f>IFERROR(__xludf.DUMMYFUNCTION("IFERROR(GOOGLEFINANCE(A1283,""volume""),"""")"),7817400.0)</f>
        <v>7817400</v>
      </c>
      <c r="AA1283" s="24" t="str">
        <f>VLOOKUP(A1283,Metrik!$C$2:$Y$959,5,0)</f>
        <v>Processed Foods</v>
      </c>
      <c r="AB1283" s="24" t="str">
        <f>VLOOKUP(A1283,Metrik!$C$2:$Y$959,3,0)</f>
        <v>Consumer Non-Cyclicals</v>
      </c>
    </row>
    <row r="1284">
      <c r="A1284" s="14" t="s">
        <v>684</v>
      </c>
      <c r="B1284" s="14" t="str">
        <f t="array" ref="B1284">VLOOKUP(A1284,{Metrik!$C$2:$C$998,Metrik!$B$2:$B$998},2,0)</f>
        <v>Mayora Indah Tbk.</v>
      </c>
      <c r="C1284" s="15">
        <f>IFERROR(__xludf.DUMMYFUNCTION("GOOGLEFINANCE(""IDX:""&amp;A1284,""price"")"),1700.0)</f>
        <v>1700</v>
      </c>
      <c r="D1284" s="16" t="str">
        <f>IFERROR(__xludf.DUMMYFUNCTION("IF(A1284="""","""",
SPARKLINE(
INDEX(
GOOGLEFINANCE(""IDX:""&amp;A1284,""close"",TODAY()-365,TODAY()),
,2
),
{""linewidth"",1}
))
"),"#N/A")</f>
        <v>#N/A</v>
      </c>
      <c r="E1284" s="14" t="s">
        <v>28</v>
      </c>
      <c r="F1284" s="17" t="s">
        <v>29</v>
      </c>
      <c r="G1284" s="24">
        <f t="shared" si="8"/>
        <v>10</v>
      </c>
      <c r="H1284" s="19">
        <f>VLOOKUP(A1284,Metrik!$C$2:$Y$959,8,0)</f>
        <v>13.2</v>
      </c>
      <c r="I1284" s="20">
        <f>VLOOKUP(A1284,Metrik!$C$2:$Y$959,9,0)</f>
        <v>2.1</v>
      </c>
      <c r="J1284" s="20">
        <f>VLOOKUP(A1284,Metrik!$C$2:$Y$959,10,0)</f>
        <v>16.3</v>
      </c>
      <c r="K1284" s="20">
        <f>VLOOKUP(A1284,Metrik!$C$2:$Y$959,11,0)</f>
        <v>10.9</v>
      </c>
      <c r="L1284" s="20">
        <f>VLOOKUP(A1284,Metrik!$C$2:$Y$959,12,0)</f>
        <v>0.49</v>
      </c>
      <c r="M1284" s="20">
        <f>VLOOKUP(A1284,Metrik!$C$2:$Y$959,19,0)</f>
        <v>33.2</v>
      </c>
      <c r="N1284" s="21"/>
      <c r="O1284" s="21"/>
      <c r="P1284" s="21"/>
      <c r="Q1284" s="21"/>
      <c r="R1284" s="21"/>
      <c r="S1284" s="21"/>
      <c r="T1284" s="21"/>
      <c r="U1284" s="22">
        <f>IFERROR(__xludf.DUMMYFUNCTION("IFERROR(GOOGLEFINANCE(A1284,""closeyest""),"""")"),1645.0)</f>
        <v>1645</v>
      </c>
      <c r="V1284" s="23">
        <f>IFERROR(__xludf.DUMMYFUNCTION("IFERROR(GOOGLEFINANCE(A1284,""changepct""),"""")"),3.34)</f>
        <v>3.34</v>
      </c>
      <c r="W1284" s="22">
        <f>IFERROR(__xludf.DUMMYFUNCTION("IFERROR(GOOGLEFINANCE(A1284,""priceopen""),"""")"),1645.0)</f>
        <v>1645</v>
      </c>
      <c r="X1284" s="22">
        <f>IFERROR(__xludf.DUMMYFUNCTION("IFERROR(GOOGLEFINANCE(A1284,""high""),"""")"),1700.0)</f>
        <v>1700</v>
      </c>
      <c r="Y1284" s="22">
        <f>IFERROR(__xludf.DUMMYFUNCTION("IFERROR(GOOGLEFINANCE(A1284,""low""),"""")"),1630.0)</f>
        <v>1630</v>
      </c>
      <c r="Z1284" s="22">
        <f>IFERROR(__xludf.DUMMYFUNCTION("IFERROR(GOOGLEFINANCE(A1284,""volume""),"""")"),7817400.0)</f>
        <v>7817400</v>
      </c>
      <c r="AA1284" s="24" t="str">
        <f>VLOOKUP(A1284,Metrik!$C$2:$Y$959,5,0)</f>
        <v>Processed Foods</v>
      </c>
      <c r="AB1284" s="24" t="str">
        <f>VLOOKUP(A1284,Metrik!$C$2:$Y$959,3,0)</f>
        <v>Consumer Non-Cyclicals</v>
      </c>
    </row>
    <row r="1285">
      <c r="A1285" s="14" t="s">
        <v>684</v>
      </c>
      <c r="B1285" s="14" t="str">
        <f t="array" ref="B1285">VLOOKUP(A1285,{Metrik!$C$2:$C$998,Metrik!$B$2:$B$998},2,0)</f>
        <v>Mayora Indah Tbk.</v>
      </c>
      <c r="C1285" s="15">
        <f>IFERROR(__xludf.DUMMYFUNCTION("GOOGLEFINANCE(""IDX:""&amp;A1285,""price"")"),1700.0)</f>
        <v>1700</v>
      </c>
      <c r="D1285" s="16" t="str">
        <f>IFERROR(__xludf.DUMMYFUNCTION("IF(A1285="""","""",
SPARKLINE(
INDEX(
GOOGLEFINANCE(""IDX:""&amp;A1285,""close"",TODAY()-365,TODAY()),
,2
),
{""linewidth"",1}
))
"),"#N/A")</f>
        <v>#N/A</v>
      </c>
      <c r="E1285" s="14" t="s">
        <v>84</v>
      </c>
      <c r="F1285" s="17" t="s">
        <v>51</v>
      </c>
      <c r="G1285" s="24">
        <f t="shared" si="8"/>
        <v>10</v>
      </c>
      <c r="H1285" s="19">
        <f>VLOOKUP(A1285,Metrik!$C$2:$Y$959,8,0)</f>
        <v>13.2</v>
      </c>
      <c r="I1285" s="20">
        <f>VLOOKUP(A1285,Metrik!$C$2:$Y$959,9,0)</f>
        <v>2.1</v>
      </c>
      <c r="J1285" s="20">
        <f>VLOOKUP(A1285,Metrik!$C$2:$Y$959,10,0)</f>
        <v>16.3</v>
      </c>
      <c r="K1285" s="20">
        <f>VLOOKUP(A1285,Metrik!$C$2:$Y$959,11,0)</f>
        <v>10.9</v>
      </c>
      <c r="L1285" s="20">
        <f>VLOOKUP(A1285,Metrik!$C$2:$Y$959,12,0)</f>
        <v>0.49</v>
      </c>
      <c r="M1285" s="20">
        <f>VLOOKUP(A1285,Metrik!$C$2:$Y$959,19,0)</f>
        <v>33.2</v>
      </c>
      <c r="N1285" s="21"/>
      <c r="O1285" s="21"/>
      <c r="P1285" s="21"/>
      <c r="Q1285" s="21"/>
      <c r="R1285" s="21"/>
      <c r="S1285" s="21"/>
      <c r="T1285" s="21"/>
      <c r="U1285" s="22">
        <f>IFERROR(__xludf.DUMMYFUNCTION("IFERROR(GOOGLEFINANCE(A1285,""closeyest""),"""")"),1645.0)</f>
        <v>1645</v>
      </c>
      <c r="V1285" s="23">
        <f>IFERROR(__xludf.DUMMYFUNCTION("IFERROR(GOOGLEFINANCE(A1285,""changepct""),"""")"),3.34)</f>
        <v>3.34</v>
      </c>
      <c r="W1285" s="22">
        <f>IFERROR(__xludf.DUMMYFUNCTION("IFERROR(GOOGLEFINANCE(A1285,""priceopen""),"""")"),1645.0)</f>
        <v>1645</v>
      </c>
      <c r="X1285" s="22">
        <f>IFERROR(__xludf.DUMMYFUNCTION("IFERROR(GOOGLEFINANCE(A1285,""high""),"""")"),1700.0)</f>
        <v>1700</v>
      </c>
      <c r="Y1285" s="22">
        <f>IFERROR(__xludf.DUMMYFUNCTION("IFERROR(GOOGLEFINANCE(A1285,""low""),"""")"),1630.0)</f>
        <v>1630</v>
      </c>
      <c r="Z1285" s="22">
        <f>IFERROR(__xludf.DUMMYFUNCTION("IFERROR(GOOGLEFINANCE(A1285,""volume""),"""")"),7817400.0)</f>
        <v>7817400</v>
      </c>
      <c r="AA1285" s="24" t="str">
        <f>VLOOKUP(A1285,Metrik!$C$2:$Y$959,5,0)</f>
        <v>Processed Foods</v>
      </c>
      <c r="AB1285" s="24" t="str">
        <f>VLOOKUP(A1285,Metrik!$C$2:$Y$959,3,0)</f>
        <v>Consumer Non-Cyclicals</v>
      </c>
    </row>
    <row r="1286">
      <c r="A1286" s="14" t="s">
        <v>684</v>
      </c>
      <c r="B1286" s="14" t="str">
        <f t="array" ref="B1286">VLOOKUP(A1286,{Metrik!$C$2:$C$998,Metrik!$B$2:$B$998},2,0)</f>
        <v>Mayora Indah Tbk.</v>
      </c>
      <c r="C1286" s="15">
        <f>IFERROR(__xludf.DUMMYFUNCTION("GOOGLEFINANCE(""IDX:""&amp;A1286,""price"")"),1700.0)</f>
        <v>1700</v>
      </c>
      <c r="D1286" s="16" t="str">
        <f>IFERROR(__xludf.DUMMYFUNCTION("IF(A1286="""","""",
SPARKLINE(
INDEX(
GOOGLEFINANCE(""IDX:""&amp;A1286,""close"",TODAY()-365,TODAY()),
,2
),
{""linewidth"",1}
))
"),"#N/A")</f>
        <v>#N/A</v>
      </c>
      <c r="E1286" s="14" t="s">
        <v>32</v>
      </c>
      <c r="F1286" s="14" t="s">
        <v>29</v>
      </c>
      <c r="G1286" s="24">
        <f t="shared" si="8"/>
        <v>10</v>
      </c>
      <c r="H1286" s="19">
        <f>VLOOKUP(A1286,Metrik!$C$2:$Y$959,8,0)</f>
        <v>13.2</v>
      </c>
      <c r="I1286" s="20">
        <f>VLOOKUP(A1286,Metrik!$C$2:$Y$959,9,0)</f>
        <v>2.1</v>
      </c>
      <c r="J1286" s="20">
        <f>VLOOKUP(A1286,Metrik!$C$2:$Y$959,10,0)</f>
        <v>16.3</v>
      </c>
      <c r="K1286" s="20">
        <f>VLOOKUP(A1286,Metrik!$C$2:$Y$959,11,0)</f>
        <v>10.9</v>
      </c>
      <c r="L1286" s="20">
        <f>VLOOKUP(A1286,Metrik!$C$2:$Y$959,12,0)</f>
        <v>0.49</v>
      </c>
      <c r="M1286" s="20">
        <f>VLOOKUP(A1286,Metrik!$C$2:$Y$959,19,0)</f>
        <v>33.2</v>
      </c>
      <c r="N1286" s="21"/>
      <c r="O1286" s="21"/>
      <c r="P1286" s="21"/>
      <c r="Q1286" s="21"/>
      <c r="R1286" s="21"/>
      <c r="S1286" s="21"/>
      <c r="T1286" s="21"/>
      <c r="U1286" s="22">
        <f>IFERROR(__xludf.DUMMYFUNCTION("IFERROR(GOOGLEFINANCE(A1286,""closeyest""),"""")"),1645.0)</f>
        <v>1645</v>
      </c>
      <c r="V1286" s="23">
        <f>IFERROR(__xludf.DUMMYFUNCTION("IFERROR(GOOGLEFINANCE(A1286,""changepct""),"""")"),3.34)</f>
        <v>3.34</v>
      </c>
      <c r="W1286" s="22">
        <f>IFERROR(__xludf.DUMMYFUNCTION("IFERROR(GOOGLEFINANCE(A1286,""priceopen""),"""")"),1645.0)</f>
        <v>1645</v>
      </c>
      <c r="X1286" s="22">
        <f>IFERROR(__xludf.DUMMYFUNCTION("IFERROR(GOOGLEFINANCE(A1286,""high""),"""")"),1700.0)</f>
        <v>1700</v>
      </c>
      <c r="Y1286" s="22">
        <f>IFERROR(__xludf.DUMMYFUNCTION("IFERROR(GOOGLEFINANCE(A1286,""low""),"""")"),1630.0)</f>
        <v>1630</v>
      </c>
      <c r="Z1286" s="22">
        <f>IFERROR(__xludf.DUMMYFUNCTION("IFERROR(GOOGLEFINANCE(A1286,""volume""),"""")"),7817400.0)</f>
        <v>7817400</v>
      </c>
      <c r="AA1286" s="24" t="str">
        <f>VLOOKUP(A1286,Metrik!$C$2:$Y$959,5,0)</f>
        <v>Processed Foods</v>
      </c>
      <c r="AB1286" s="24" t="str">
        <f>VLOOKUP(A1286,Metrik!$C$2:$Y$959,3,0)</f>
        <v>Consumer Non-Cyclicals</v>
      </c>
    </row>
    <row r="1287">
      <c r="A1287" s="14" t="s">
        <v>684</v>
      </c>
      <c r="B1287" s="14" t="str">
        <f t="array" ref="B1287">VLOOKUP(A1287,{Metrik!$C$2:$C$998,Metrik!$B$2:$B$998},2,0)</f>
        <v>Mayora Indah Tbk.</v>
      </c>
      <c r="C1287" s="15">
        <f>IFERROR(__xludf.DUMMYFUNCTION("GOOGLEFINANCE(""IDX:""&amp;A1287,""price"")"),1700.0)</f>
        <v>1700</v>
      </c>
      <c r="D1287" s="16" t="str">
        <f>IFERROR(__xludf.DUMMYFUNCTION("IF(A1287="""","""",
SPARKLINE(
INDEX(
GOOGLEFINANCE(""IDX:""&amp;A1287,""close"",TODAY()-365,TODAY()),
,2
),
{""linewidth"",1}
))
"),"#N/A")</f>
        <v>#N/A</v>
      </c>
      <c r="E1287" s="14" t="s">
        <v>41</v>
      </c>
      <c r="F1287" s="14" t="s">
        <v>34</v>
      </c>
      <c r="G1287" s="24">
        <f t="shared" si="8"/>
        <v>10</v>
      </c>
      <c r="H1287" s="19">
        <f>VLOOKUP(A1287,Metrik!$C$2:$Y$959,8,0)</f>
        <v>13.2</v>
      </c>
      <c r="I1287" s="20">
        <f>VLOOKUP(A1287,Metrik!$C$2:$Y$959,9,0)</f>
        <v>2.1</v>
      </c>
      <c r="J1287" s="20">
        <f>VLOOKUP(A1287,Metrik!$C$2:$Y$959,10,0)</f>
        <v>16.3</v>
      </c>
      <c r="K1287" s="20">
        <f>VLOOKUP(A1287,Metrik!$C$2:$Y$959,11,0)</f>
        <v>10.9</v>
      </c>
      <c r="L1287" s="20">
        <f>VLOOKUP(A1287,Metrik!$C$2:$Y$959,12,0)</f>
        <v>0.49</v>
      </c>
      <c r="M1287" s="20">
        <f>VLOOKUP(A1287,Metrik!$C$2:$Y$959,19,0)</f>
        <v>33.2</v>
      </c>
      <c r="N1287" s="21"/>
      <c r="O1287" s="21"/>
      <c r="P1287" s="21"/>
      <c r="Q1287" s="21"/>
      <c r="R1287" s="21"/>
      <c r="S1287" s="21"/>
      <c r="T1287" s="21"/>
      <c r="U1287" s="22">
        <f>IFERROR(__xludf.DUMMYFUNCTION("IFERROR(GOOGLEFINANCE(A1287,""closeyest""),"""")"),1645.0)</f>
        <v>1645</v>
      </c>
      <c r="V1287" s="23">
        <f>IFERROR(__xludf.DUMMYFUNCTION("IFERROR(GOOGLEFINANCE(A1287,""changepct""),"""")"),3.34)</f>
        <v>3.34</v>
      </c>
      <c r="W1287" s="22">
        <f>IFERROR(__xludf.DUMMYFUNCTION("IFERROR(GOOGLEFINANCE(A1287,""priceopen""),"""")"),1645.0)</f>
        <v>1645</v>
      </c>
      <c r="X1287" s="22">
        <f>IFERROR(__xludf.DUMMYFUNCTION("IFERROR(GOOGLEFINANCE(A1287,""high""),"""")"),1700.0)</f>
        <v>1700</v>
      </c>
      <c r="Y1287" s="22">
        <f>IFERROR(__xludf.DUMMYFUNCTION("IFERROR(GOOGLEFINANCE(A1287,""low""),"""")"),1630.0)</f>
        <v>1630</v>
      </c>
      <c r="Z1287" s="22">
        <f>IFERROR(__xludf.DUMMYFUNCTION("IFERROR(GOOGLEFINANCE(A1287,""volume""),"""")"),7817400.0)</f>
        <v>7817400</v>
      </c>
      <c r="AA1287" s="24" t="str">
        <f>VLOOKUP(A1287,Metrik!$C$2:$Y$959,5,0)</f>
        <v>Processed Foods</v>
      </c>
      <c r="AB1287" s="24" t="str">
        <f>VLOOKUP(A1287,Metrik!$C$2:$Y$959,3,0)</f>
        <v>Consumer Non-Cyclicals</v>
      </c>
    </row>
    <row r="1288">
      <c r="A1288" s="48" t="s">
        <v>684</v>
      </c>
      <c r="B1288" s="14" t="str">
        <f t="array" ref="B1288">VLOOKUP(A1288,{Metrik!$C$2:$C$998,Metrik!$B$2:$B$998},2,0)</f>
        <v>Mayora Indah Tbk.</v>
      </c>
      <c r="C1288" s="15">
        <f>IFERROR(__xludf.DUMMYFUNCTION("GOOGLEFINANCE(""IDX:""&amp;A1288,""price"")"),1700.0)</f>
        <v>1700</v>
      </c>
      <c r="D1288" s="16" t="str">
        <f>IFERROR(__xludf.DUMMYFUNCTION("IF(A1288="""","""",
SPARKLINE(
INDEX(
GOOGLEFINANCE(""IDX:""&amp;A1288,""close"",TODAY()-365,TODAY()),
,2
),
{""linewidth"",1}
))
"),"#N/A")</f>
        <v>#N/A</v>
      </c>
      <c r="E1288" s="17" t="s">
        <v>69</v>
      </c>
      <c r="F1288" s="17" t="s">
        <v>70</v>
      </c>
      <c r="G1288" s="24">
        <f t="shared" si="8"/>
        <v>10</v>
      </c>
      <c r="H1288" s="19">
        <f>VLOOKUP(A1288,Metrik!$C$2:$Y$959,8,0)</f>
        <v>13.2</v>
      </c>
      <c r="I1288" s="20">
        <f>VLOOKUP(A1288,Metrik!$C$2:$Y$959,9,0)</f>
        <v>2.1</v>
      </c>
      <c r="J1288" s="20">
        <f>VLOOKUP(A1288,Metrik!$C$2:$Y$959,10,0)</f>
        <v>16.3</v>
      </c>
      <c r="K1288" s="20">
        <f>VLOOKUP(A1288,Metrik!$C$2:$Y$959,11,0)</f>
        <v>10.9</v>
      </c>
      <c r="L1288" s="20">
        <f>VLOOKUP(A1288,Metrik!$C$2:$Y$959,12,0)</f>
        <v>0.49</v>
      </c>
      <c r="M1288" s="20">
        <f>VLOOKUP(A1288,Metrik!$C$2:$Y$959,19,0)</f>
        <v>33.2</v>
      </c>
      <c r="N1288" s="21"/>
      <c r="O1288" s="21"/>
      <c r="P1288" s="21"/>
      <c r="Q1288" s="21"/>
      <c r="R1288" s="21"/>
      <c r="S1288" s="21"/>
      <c r="T1288" s="21"/>
      <c r="U1288" s="22">
        <f>IFERROR(__xludf.DUMMYFUNCTION("IFERROR(GOOGLEFINANCE(A1288,""closeyest""),"""")"),1645.0)</f>
        <v>1645</v>
      </c>
      <c r="V1288" s="23">
        <f>IFERROR(__xludf.DUMMYFUNCTION("IFERROR(GOOGLEFINANCE(A1288,""changepct""),"""")"),3.34)</f>
        <v>3.34</v>
      </c>
      <c r="W1288" s="22">
        <f>IFERROR(__xludf.DUMMYFUNCTION("IFERROR(GOOGLEFINANCE(A1288,""priceopen""),"""")"),1645.0)</f>
        <v>1645</v>
      </c>
      <c r="X1288" s="22">
        <f>IFERROR(__xludf.DUMMYFUNCTION("IFERROR(GOOGLEFINANCE(A1288,""high""),"""")"),1700.0)</f>
        <v>1700</v>
      </c>
      <c r="Y1288" s="22">
        <f>IFERROR(__xludf.DUMMYFUNCTION("IFERROR(GOOGLEFINANCE(A1288,""low""),"""")"),1630.0)</f>
        <v>1630</v>
      </c>
      <c r="Z1288" s="22">
        <f>IFERROR(__xludf.DUMMYFUNCTION("IFERROR(GOOGLEFINANCE(A1288,""volume""),"""")"),7817400.0)</f>
        <v>7817400</v>
      </c>
      <c r="AA1288" s="24" t="str">
        <f>VLOOKUP(A1288,Metrik!$C$2:$Y$959,5,0)</f>
        <v>Processed Foods</v>
      </c>
      <c r="AB1288" s="24" t="str">
        <f>VLOOKUP(A1288,Metrik!$C$2:$Y$959,3,0)</f>
        <v>Consumer Non-Cyclicals</v>
      </c>
    </row>
    <row r="1289">
      <c r="A1289" s="14" t="s">
        <v>684</v>
      </c>
      <c r="B1289" s="14" t="str">
        <f t="array" ref="B1289">VLOOKUP(A1289,{Metrik!$C$2:$C$998,Metrik!$B$2:$B$998},2,0)</f>
        <v>Mayora Indah Tbk.</v>
      </c>
      <c r="C1289" s="15">
        <f>IFERROR(__xludf.DUMMYFUNCTION("GOOGLEFINANCE(""IDX:""&amp;A1289,""price"")"),1700.0)</f>
        <v>1700</v>
      </c>
      <c r="D1289" s="16" t="str">
        <f>IFERROR(__xludf.DUMMYFUNCTION("IF(A1289="""","""",
SPARKLINE(
INDEX(
GOOGLEFINANCE(""IDX:""&amp;A1289,""close"",TODAY()-365,TODAY()),
,2
),
{""linewidth"",1}
))
"),"#N/A")</f>
        <v>#N/A</v>
      </c>
      <c r="E1289" s="14" t="s">
        <v>39</v>
      </c>
      <c r="F1289" s="25">
        <v>46356.0</v>
      </c>
      <c r="G1289" s="24">
        <f t="shared" si="8"/>
        <v>10</v>
      </c>
      <c r="H1289" s="19">
        <f>VLOOKUP(A1289,Metrik!$C$2:$Y$959,8,0)</f>
        <v>13.2</v>
      </c>
      <c r="I1289" s="20">
        <f>VLOOKUP(A1289,Metrik!$C$2:$Y$959,9,0)</f>
        <v>2.1</v>
      </c>
      <c r="J1289" s="20">
        <f>VLOOKUP(A1289,Metrik!$C$2:$Y$959,10,0)</f>
        <v>16.3</v>
      </c>
      <c r="K1289" s="20">
        <f>VLOOKUP(A1289,Metrik!$C$2:$Y$959,11,0)</f>
        <v>10.9</v>
      </c>
      <c r="L1289" s="20">
        <f>VLOOKUP(A1289,Metrik!$C$2:$Y$959,12,0)</f>
        <v>0.49</v>
      </c>
      <c r="M1289" s="20">
        <f>VLOOKUP(A1289,Metrik!$C$2:$Y$959,19,0)</f>
        <v>33.2</v>
      </c>
      <c r="N1289" s="21"/>
      <c r="O1289" s="21"/>
      <c r="P1289" s="21"/>
      <c r="Q1289" s="21"/>
      <c r="R1289" s="21"/>
      <c r="S1289" s="21"/>
      <c r="T1289" s="21"/>
      <c r="U1289" s="22">
        <f>IFERROR(__xludf.DUMMYFUNCTION("IFERROR(GOOGLEFINANCE(A1289,""closeyest""),"""")"),1645.0)</f>
        <v>1645</v>
      </c>
      <c r="V1289" s="23">
        <f>IFERROR(__xludf.DUMMYFUNCTION("IFERROR(GOOGLEFINANCE(A1289,""changepct""),"""")"),3.34)</f>
        <v>3.34</v>
      </c>
      <c r="W1289" s="22">
        <f>IFERROR(__xludf.DUMMYFUNCTION("IFERROR(GOOGLEFINANCE(A1289,""priceopen""),"""")"),1645.0)</f>
        <v>1645</v>
      </c>
      <c r="X1289" s="22">
        <f>IFERROR(__xludf.DUMMYFUNCTION("IFERROR(GOOGLEFINANCE(A1289,""high""),"""")"),1700.0)</f>
        <v>1700</v>
      </c>
      <c r="Y1289" s="22">
        <f>IFERROR(__xludf.DUMMYFUNCTION("IFERROR(GOOGLEFINANCE(A1289,""low""),"""")"),1630.0)</f>
        <v>1630</v>
      </c>
      <c r="Z1289" s="22">
        <f>IFERROR(__xludf.DUMMYFUNCTION("IFERROR(GOOGLEFINANCE(A1289,""volume""),"""")"),7817400.0)</f>
        <v>7817400</v>
      </c>
      <c r="AA1289" s="24" t="str">
        <f>VLOOKUP(A1289,Metrik!$C$2:$Y$959,5,0)</f>
        <v>Processed Foods</v>
      </c>
      <c r="AB1289" s="24" t="str">
        <f>VLOOKUP(A1289,Metrik!$C$2:$Y$959,3,0)</f>
        <v>Consumer Non-Cyclicals</v>
      </c>
    </row>
    <row r="1290">
      <c r="A1290" s="14" t="s">
        <v>685</v>
      </c>
      <c r="B1290" s="14" t="str">
        <f t="array" ref="B1290">VLOOKUP(A1290,{Metrik!$C$2:$C$998,Metrik!$B$2:$B$998},2,0)</f>
        <v>PT Asia Pacific Investama Tbk.</v>
      </c>
      <c r="C1290" s="15" t="str">
        <f>IFERROR(__xludf.DUMMYFUNCTION("GOOGLEFINANCE(""IDX:""&amp;A1290,""price"")"),"#N/A")</f>
        <v>#N/A</v>
      </c>
      <c r="D1290" s="16" t="str">
        <f>IFERROR(__xludf.DUMMYFUNCTION("IF(A1290="""","""",
SPARKLINE(
INDEX(
GOOGLEFINANCE(""IDX:""&amp;A1290,""close"",TODAY()-365,TODAY()),
,2
),
{""linewidth"",1}
))
"),"#N/A")</f>
        <v>#N/A</v>
      </c>
      <c r="E1290" s="26"/>
      <c r="F1290" s="26"/>
      <c r="G1290" s="24">
        <f t="shared" si="8"/>
        <v>0</v>
      </c>
      <c r="H1290" s="19">
        <f>VLOOKUP(A1290,Metrik!$C$2:$Y$959,8,0)</f>
        <v>-38.8</v>
      </c>
      <c r="I1290" s="20">
        <f>VLOOKUP(A1290,Metrik!$C$2:$Y$959,9,0)</f>
        <v>-0.62</v>
      </c>
      <c r="J1290" s="20">
        <f>VLOOKUP(A1290,Metrik!$C$2:$Y$959,10,0)</f>
        <v>0</v>
      </c>
      <c r="K1290" s="20">
        <f>VLOOKUP(A1290,Metrik!$C$2:$Y$959,11,0)</f>
        <v>-0.29</v>
      </c>
      <c r="L1290" s="20">
        <f>VLOOKUP(A1290,Metrik!$C$2:$Y$959,12,0)</f>
        <v>-6.6</v>
      </c>
      <c r="M1290" s="20">
        <f>VLOOKUP(A1290,Metrik!$C$2:$Y$959,19,0)</f>
        <v>-4.4</v>
      </c>
      <c r="N1290" s="21"/>
      <c r="O1290" s="21"/>
      <c r="P1290" s="21"/>
      <c r="Q1290" s="21"/>
      <c r="R1290" s="21"/>
      <c r="S1290" s="21"/>
      <c r="T1290" s="21"/>
      <c r="U1290" s="22">
        <f>IFERROR(__xludf.DUMMYFUNCTION("IFERROR(GOOGLEFINANCE(A1290,""closeyest""),"""")"),49.0)</f>
        <v>49</v>
      </c>
      <c r="V1290" s="23">
        <f>IFERROR(__xludf.DUMMYFUNCTION("IFERROR(GOOGLEFINANCE(A1290,""changepct""),"""")"),0.0)</f>
        <v>0</v>
      </c>
      <c r="W1290" s="22">
        <f>IFERROR(__xludf.DUMMYFUNCTION("IFERROR(GOOGLEFINANCE(A1290,""priceopen""),"""")"),48.0)</f>
        <v>48</v>
      </c>
      <c r="X1290" s="22">
        <f>IFERROR(__xludf.DUMMYFUNCTION("IFERROR(GOOGLEFINANCE(A1290,""high""),"""")"),49.0)</f>
        <v>49</v>
      </c>
      <c r="Y1290" s="22">
        <f>IFERROR(__xludf.DUMMYFUNCTION("IFERROR(GOOGLEFINANCE(A1290,""low""),"""")"),48.0)</f>
        <v>48</v>
      </c>
      <c r="Z1290" s="22">
        <f>IFERROR(__xludf.DUMMYFUNCTION("IFERROR(GOOGLEFINANCE(A1290,""volume""),"""")"),48700.0)</f>
        <v>48700</v>
      </c>
      <c r="AA1290" s="24" t="str">
        <f>VLOOKUP(A1290,Metrik!$C$2:$Y$959,5,0)</f>
        <v>Apparel &amp; Luxury Goods</v>
      </c>
      <c r="AB1290" s="24" t="str">
        <f>VLOOKUP(A1290,Metrik!$C$2:$Y$959,3,0)</f>
        <v>Consumer Cyclicals</v>
      </c>
    </row>
    <row r="1291">
      <c r="A1291" s="14" t="s">
        <v>686</v>
      </c>
      <c r="B1291" s="14" t="str">
        <f t="array" ref="B1291">VLOOKUP(A1291,{Metrik!$C$2:$C$998,Metrik!$B$2:$B$998},2,0)</f>
        <v>Adiwarna Anugerah Abadi Tbk.</v>
      </c>
      <c r="C1291" s="15">
        <f>IFERROR(__xludf.DUMMYFUNCTION("GOOGLEFINANCE(""IDX:""&amp;A1291,""price"")"),82.0)</f>
        <v>82</v>
      </c>
      <c r="D1291" s="16" t="str">
        <f>IFERROR(__xludf.DUMMYFUNCTION("IF(A1291="""","""",
SPARKLINE(
INDEX(
GOOGLEFINANCE(""IDX:""&amp;A1291,""close"",TODAY()-365,TODAY()),
,2
),
{""linewidth"",1}
))
"),"#N/A")</f>
        <v>#N/A</v>
      </c>
      <c r="E1291" s="26"/>
      <c r="F1291" s="26"/>
      <c r="G1291" s="18">
        <f t="shared" si="8"/>
        <v>0</v>
      </c>
      <c r="H1291" s="19">
        <f>VLOOKUP(A1291,Metrik!$C$2:$Y$959,8,0)</f>
        <v>9.5</v>
      </c>
      <c r="I1291" s="20">
        <f>VLOOKUP(A1291,Metrik!$C$2:$Y$959,9,0)</f>
        <v>1.4</v>
      </c>
      <c r="J1291" s="20">
        <f>VLOOKUP(A1291,Metrik!$C$2:$Y$959,10,0)</f>
        <v>14.4</v>
      </c>
      <c r="K1291" s="20">
        <f>VLOOKUP(A1291,Metrik!$C$2:$Y$959,11,0)</f>
        <v>12</v>
      </c>
      <c r="L1291" s="20">
        <f>VLOOKUP(A1291,Metrik!$C$2:$Y$959,12,0)</f>
        <v>0.2</v>
      </c>
      <c r="M1291" s="20">
        <f>VLOOKUP(A1291,Metrik!$C$2:$Y$959,19,0)</f>
        <v>47.5</v>
      </c>
      <c r="N1291" s="21"/>
      <c r="O1291" s="21"/>
      <c r="P1291" s="21"/>
      <c r="Q1291" s="21"/>
      <c r="R1291" s="21"/>
      <c r="S1291" s="21"/>
      <c r="T1291" s="21"/>
      <c r="U1291" s="22">
        <f>IFERROR(__xludf.DUMMYFUNCTION("IFERROR(GOOGLEFINANCE(A1291,""closeyest""),"""")"),79.0)</f>
        <v>79</v>
      </c>
      <c r="V1291" s="23">
        <f>IFERROR(__xludf.DUMMYFUNCTION("IFERROR(GOOGLEFINANCE(A1291,""changepct""),"""")"),3.8)</f>
        <v>3.8</v>
      </c>
      <c r="W1291" s="22">
        <f>IFERROR(__xludf.DUMMYFUNCTION("IFERROR(GOOGLEFINANCE(A1291,""priceopen""),"""")"),79.0)</f>
        <v>79</v>
      </c>
      <c r="X1291" s="22">
        <f>IFERROR(__xludf.DUMMYFUNCTION("IFERROR(GOOGLEFINANCE(A1291,""high""),"""")"),84.0)</f>
        <v>84</v>
      </c>
      <c r="Y1291" s="22">
        <f>IFERROR(__xludf.DUMMYFUNCTION("IFERROR(GOOGLEFINANCE(A1291,""low""),"""")"),79.0)</f>
        <v>79</v>
      </c>
      <c r="Z1291" s="22">
        <f>IFERROR(__xludf.DUMMYFUNCTION("IFERROR(GOOGLEFINANCE(A1291,""volume""),"""")"),2504800.0)</f>
        <v>2504800</v>
      </c>
      <c r="AA1291" s="24" t="str">
        <f>VLOOKUP(A1291,Metrik!$C$2:$Y$959,5,0)</f>
        <v>Diversified Industrial Trading</v>
      </c>
      <c r="AB1291" s="24" t="str">
        <f>VLOOKUP(A1291,Metrik!$C$2:$Y$959,3,0)</f>
        <v>Industrials</v>
      </c>
    </row>
    <row r="1292">
      <c r="A1292" s="14" t="s">
        <v>687</v>
      </c>
      <c r="B1292" s="14" t="str">
        <f t="array" ref="B1292">VLOOKUP(A1292,{Metrik!$C$2:$C$998,Metrik!$B$2:$B$998},2,0)</f>
        <v>Nanotech Indonesia Global Tbk.</v>
      </c>
      <c r="C1292" s="15" t="str">
        <f>IFERROR(__xludf.DUMMYFUNCTION("GOOGLEFINANCE(""IDX:""&amp;A1292,""price"")"),"#N/A")</f>
        <v>#N/A</v>
      </c>
      <c r="D1292" s="16" t="str">
        <f>IFERROR(__xludf.DUMMYFUNCTION("IF(A1292="""","""",
SPARKLINE(
INDEX(
GOOGLEFINANCE(""IDX:""&amp;A1292,""close"",TODAY()-365,TODAY()),
,2
),
{""linewidth"",1}
))
"),"#N/A")</f>
        <v>#N/A</v>
      </c>
      <c r="E1292" s="26"/>
      <c r="F1292" s="26"/>
      <c r="G1292" s="24">
        <f t="shared" si="8"/>
        <v>0</v>
      </c>
      <c r="H1292" s="19">
        <f>VLOOKUP(A1292,Metrik!$C$2:$Y$959,8,0)</f>
        <v>54.2</v>
      </c>
      <c r="I1292" s="20">
        <f>VLOOKUP(A1292,Metrik!$C$2:$Y$959,9,0)</f>
        <v>0.65</v>
      </c>
      <c r="J1292" s="20">
        <f>VLOOKUP(A1292,Metrik!$C$2:$Y$959,10,0)</f>
        <v>1.2</v>
      </c>
      <c r="K1292" s="20">
        <f>VLOOKUP(A1292,Metrik!$C$2:$Y$959,11,0)</f>
        <v>0.98</v>
      </c>
      <c r="L1292" s="20">
        <f>VLOOKUP(A1292,Metrik!$C$2:$Y$959,12,0)</f>
        <v>0.21</v>
      </c>
      <c r="M1292" s="20">
        <f>VLOOKUP(A1292,Metrik!$C$2:$Y$959,19,0)</f>
        <v>2.9</v>
      </c>
      <c r="N1292" s="21"/>
      <c r="O1292" s="21"/>
      <c r="P1292" s="21"/>
      <c r="Q1292" s="21"/>
      <c r="R1292" s="21"/>
      <c r="S1292" s="21"/>
      <c r="T1292" s="21"/>
      <c r="U1292" s="22">
        <f>IFERROR(__xludf.DUMMYFUNCTION("IFERROR(GOOGLEFINANCE(A1292,""closeyest""),"""")"),2.2)</f>
        <v>2.2</v>
      </c>
      <c r="V1292" s="23">
        <f>IFERROR(__xludf.DUMMYFUNCTION("IFERROR(GOOGLEFINANCE(A1292,""changepct""),"""")"),36.36)</f>
        <v>36.36</v>
      </c>
      <c r="W1292" s="22">
        <f>IFERROR(__xludf.DUMMYFUNCTION("IFERROR(GOOGLEFINANCE(A1292,""priceopen""),"""")"),2.3)</f>
        <v>2.3</v>
      </c>
      <c r="X1292" s="22">
        <f>IFERROR(__xludf.DUMMYFUNCTION("IFERROR(GOOGLEFINANCE(A1292,""high""),"""")"),3.0)</f>
        <v>3</v>
      </c>
      <c r="Y1292" s="22">
        <f>IFERROR(__xludf.DUMMYFUNCTION("IFERROR(GOOGLEFINANCE(A1292,""low""),"""")"),2.24)</f>
        <v>2.24</v>
      </c>
      <c r="Z1292" s="22">
        <f>IFERROR(__xludf.DUMMYFUNCTION("IFERROR(GOOGLEFINANCE(A1292,""volume""),"""")"),5679787.0)</f>
        <v>5679787</v>
      </c>
      <c r="AA1292" s="24" t="str">
        <f>VLOOKUP(A1292,Metrik!$C$2:$Y$959,5,0)</f>
        <v>Personal Care Products</v>
      </c>
      <c r="AB1292" s="24" t="str">
        <f>VLOOKUP(A1292,Metrik!$C$2:$Y$959,3,0)</f>
        <v>Consumer Non-Cyclicals</v>
      </c>
    </row>
    <row r="1293">
      <c r="A1293" s="14" t="s">
        <v>688</v>
      </c>
      <c r="B1293" s="14" t="str">
        <f t="array" ref="B1293">VLOOKUP(A1293,{Metrik!$C$2:$C$998,Metrik!$B$2:$B$998},2,0)</f>
        <v>Andalan Perkasa Abadi Tbk.</v>
      </c>
      <c r="C1293" s="15">
        <f>IFERROR(__xludf.DUMMYFUNCTION("GOOGLEFINANCE(""IDX:""&amp;A1293,""price"")"),34.0)</f>
        <v>34</v>
      </c>
      <c r="D1293" s="16" t="str">
        <f>IFERROR(__xludf.DUMMYFUNCTION("IF(A1293="""","""",
SPARKLINE(
INDEX(
GOOGLEFINANCE(""IDX:""&amp;A1293,""close"",TODAY()-365,TODAY()),
,2
),
{""linewidth"",1}
))
"),"#N/A")</f>
        <v>#N/A</v>
      </c>
      <c r="E1293" s="26"/>
      <c r="F1293" s="26"/>
      <c r="G1293" s="24">
        <f t="shared" si="8"/>
        <v>0</v>
      </c>
      <c r="H1293" s="19">
        <f>VLOOKUP(A1293,Metrik!$C$2:$Y$959,8,0)</f>
        <v>220</v>
      </c>
      <c r="I1293" s="20">
        <f>VLOOKUP(A1293,Metrik!$C$2:$Y$959,9,0)</f>
        <v>0.37</v>
      </c>
      <c r="J1293" s="20">
        <f>VLOOKUP(A1293,Metrik!$C$2:$Y$959,10,0)</f>
        <v>0.17</v>
      </c>
      <c r="K1293" s="20">
        <f>VLOOKUP(A1293,Metrik!$C$2:$Y$959,11,0)</f>
        <v>0.16</v>
      </c>
      <c r="L1293" s="20">
        <f>VLOOKUP(A1293,Metrik!$C$2:$Y$959,12,0)</f>
        <v>0.02</v>
      </c>
      <c r="M1293" s="20">
        <f>VLOOKUP(A1293,Metrik!$C$2:$Y$959,19,0)</f>
        <v>240</v>
      </c>
      <c r="N1293" s="21"/>
      <c r="O1293" s="21"/>
      <c r="P1293" s="21"/>
      <c r="Q1293" s="21"/>
      <c r="R1293" s="21"/>
      <c r="S1293" s="21"/>
      <c r="T1293" s="21"/>
      <c r="U1293" s="22">
        <f>IFERROR(__xludf.DUMMYFUNCTION("IFERROR(GOOGLEFINANCE(A1293,""closeyest""),"""")"),35.24)</f>
        <v>35.24</v>
      </c>
      <c r="V1293" s="23">
        <f>IFERROR(__xludf.DUMMYFUNCTION("IFERROR(GOOGLEFINANCE(A1293,""changepct""),"""")"),-9.39)</f>
        <v>-9.39</v>
      </c>
      <c r="W1293" s="22">
        <f>IFERROR(__xludf.DUMMYFUNCTION("IFERROR(GOOGLEFINANCE(A1293,""priceopen""),"""")"),35.23)</f>
        <v>35.23</v>
      </c>
      <c r="X1293" s="22">
        <f>IFERROR(__xludf.DUMMYFUNCTION("IFERROR(GOOGLEFINANCE(A1293,""high""),"""")"),35.26)</f>
        <v>35.26</v>
      </c>
      <c r="Y1293" s="22">
        <f>IFERROR(__xludf.DUMMYFUNCTION("IFERROR(GOOGLEFINANCE(A1293,""low""),"""")"),31.41)</f>
        <v>31.41</v>
      </c>
      <c r="Z1293" s="22">
        <f>IFERROR(__xludf.DUMMYFUNCTION("IFERROR(GOOGLEFINANCE(A1293,""volume""),"""")"),6998039.0)</f>
        <v>6998039</v>
      </c>
      <c r="AA1293" s="24" t="str">
        <f>VLOOKUP(A1293,Metrik!$C$2:$Y$959,5,0)</f>
        <v>Real Estate Management &amp; Development</v>
      </c>
      <c r="AB1293" s="24" t="str">
        <f>VLOOKUP(A1293,Metrik!$C$2:$Y$959,3,0)</f>
        <v>Properties &amp; Real Estate</v>
      </c>
    </row>
    <row r="1294">
      <c r="A1294" s="14" t="s">
        <v>689</v>
      </c>
      <c r="B1294" s="14" t="str">
        <f t="array" ref="B1294">VLOOKUP(A1294,{Metrik!$C$2:$C$998,Metrik!$B$2:$B$998},2,0)</f>
        <v>Wahana Inti Makmur Tbk.</v>
      </c>
      <c r="C1294" s="15">
        <f>IFERROR(__xludf.DUMMYFUNCTION("GOOGLEFINANCE(""IDX:""&amp;A1294,""price"")"),104.0)</f>
        <v>104</v>
      </c>
      <c r="D1294" s="16" t="str">
        <f>IFERROR(__xludf.DUMMYFUNCTION("IF(A1294="""","""",
SPARKLINE(
INDEX(
GOOGLEFINANCE(""IDX:""&amp;A1294,""close"",TODAY()-365,TODAY()),
,2
),
{""linewidth"",1}
))
"),"#N/A")</f>
        <v>#N/A</v>
      </c>
      <c r="E1294" s="26"/>
      <c r="F1294" s="26"/>
      <c r="G1294" s="24">
        <f t="shared" si="8"/>
        <v>0</v>
      </c>
      <c r="H1294" s="19">
        <f>VLOOKUP(A1294,Metrik!$C$2:$Y$959,8,0)</f>
        <v>-22.9</v>
      </c>
      <c r="I1294" s="20">
        <f>VLOOKUP(A1294,Metrik!$C$2:$Y$959,9,0)</f>
        <v>1.8</v>
      </c>
      <c r="J1294" s="20">
        <f>VLOOKUP(A1294,Metrik!$C$2:$Y$959,10,0)</f>
        <v>-7.9</v>
      </c>
      <c r="K1294" s="20">
        <f>VLOOKUP(A1294,Metrik!$C$2:$Y$959,11,0)</f>
        <v>-6.6</v>
      </c>
      <c r="L1294" s="20">
        <f>VLOOKUP(A1294,Metrik!$C$2:$Y$959,12,0)</f>
        <v>0.2</v>
      </c>
      <c r="M1294" s="20">
        <f>VLOOKUP(A1294,Metrik!$C$2:$Y$959,19,0)</f>
        <v>-51.1</v>
      </c>
      <c r="N1294" s="21"/>
      <c r="O1294" s="21"/>
      <c r="P1294" s="21"/>
      <c r="Q1294" s="21"/>
      <c r="R1294" s="21"/>
      <c r="S1294" s="21"/>
      <c r="T1294" s="21"/>
      <c r="U1294" s="22">
        <f>IFERROR(__xludf.DUMMYFUNCTION("IFERROR(GOOGLEFINANCE(A1294,""closeyest""),"""")"),99.0)</f>
        <v>99</v>
      </c>
      <c r="V1294" s="23">
        <f>IFERROR(__xludf.DUMMYFUNCTION("IFERROR(GOOGLEFINANCE(A1294,""changepct""),"""")"),5.05)</f>
        <v>5.05</v>
      </c>
      <c r="W1294" s="22">
        <f>IFERROR(__xludf.DUMMYFUNCTION("IFERROR(GOOGLEFINANCE(A1294,""priceopen""),"""")"),100.0)</f>
        <v>100</v>
      </c>
      <c r="X1294" s="22">
        <f>IFERROR(__xludf.DUMMYFUNCTION("IFERROR(GOOGLEFINANCE(A1294,""high""),"""")"),105.0)</f>
        <v>105</v>
      </c>
      <c r="Y1294" s="22">
        <f>IFERROR(__xludf.DUMMYFUNCTION("IFERROR(GOOGLEFINANCE(A1294,""low""),"""")"),99.0)</f>
        <v>99</v>
      </c>
      <c r="Z1294" s="22">
        <f>IFERROR(__xludf.DUMMYFUNCTION("IFERROR(GOOGLEFINANCE(A1294,""volume""),"""")"),1918500.0)</f>
        <v>1918500</v>
      </c>
      <c r="AA1294" s="24" t="str">
        <f>VLOOKUP(A1294,Metrik!$C$2:$Y$959,5,0)</f>
        <v>Processed Foods</v>
      </c>
      <c r="AB1294" s="24" t="str">
        <f>VLOOKUP(A1294,Metrik!$C$2:$Y$959,3,0)</f>
        <v>Consumer Non-Cyclicals</v>
      </c>
    </row>
    <row r="1295">
      <c r="A1295" s="14" t="s">
        <v>690</v>
      </c>
      <c r="B1295" s="14" t="str">
        <f t="array" ref="B1295">VLOOKUP(A1295,{Metrik!$C$2:$C$998,Metrik!$B$2:$B$998},2,0)</f>
        <v>Olympus Strategic Indonesia Tbk.</v>
      </c>
      <c r="C1295" s="15">
        <f>IFERROR(__xludf.DUMMYFUNCTION("GOOGLEFINANCE(""IDX:""&amp;A1295,""price"")"),590.0)</f>
        <v>590</v>
      </c>
      <c r="D1295" s="16" t="str">
        <f>IFERROR(__xludf.DUMMYFUNCTION("IF(A1295="""","""",
SPARKLINE(
INDEX(
GOOGLEFINANCE(""IDX:""&amp;A1295,""close"",TODAY()-365,TODAY()),
,2
),
{""linewidth"",1}
))
"),"#N/A")</f>
        <v>#N/A</v>
      </c>
      <c r="E1295" s="26"/>
      <c r="F1295" s="26"/>
      <c r="G1295" s="24">
        <f t="shared" si="8"/>
        <v>0</v>
      </c>
      <c r="H1295" s="19">
        <f>VLOOKUP(A1295,Metrik!$C$2:$Y$959,8,0)</f>
        <v>-57.1</v>
      </c>
      <c r="I1295" s="20">
        <f>VLOOKUP(A1295,Metrik!$C$2:$Y$959,9,0)</f>
        <v>2.4</v>
      </c>
      <c r="J1295" s="20">
        <f>VLOOKUP(A1295,Metrik!$C$2:$Y$959,10,0)</f>
        <v>-4.2</v>
      </c>
      <c r="K1295" s="20">
        <f>VLOOKUP(A1295,Metrik!$C$2:$Y$959,11,0)</f>
        <v>-1.9</v>
      </c>
      <c r="L1295" s="20">
        <f>VLOOKUP(A1295,Metrik!$C$2:$Y$959,12,0)</f>
        <v>1.2</v>
      </c>
      <c r="M1295" s="20">
        <f>VLOOKUP(A1295,Metrik!$C$2:$Y$959,19,0)</f>
        <v>-24.2</v>
      </c>
      <c r="N1295" s="21"/>
      <c r="O1295" s="21"/>
      <c r="P1295" s="21"/>
      <c r="Q1295" s="21"/>
      <c r="R1295" s="21"/>
      <c r="S1295" s="21"/>
      <c r="T1295" s="21"/>
      <c r="U1295" s="22">
        <f>IFERROR(__xludf.DUMMYFUNCTION("IFERROR(GOOGLEFINANCE(A1295,""closeyest""),"""")"),40.04)</f>
        <v>40.04</v>
      </c>
      <c r="V1295" s="23" t="str">
        <f>IFERROR(__xludf.DUMMYFUNCTION("IFERROR(GOOGLEFINANCE(A1295,""changepct""),"""")"),"")</f>
        <v/>
      </c>
      <c r="W1295" s="22">
        <f>IFERROR(__xludf.DUMMYFUNCTION("IFERROR(GOOGLEFINANCE(A1295,""priceopen""),"""")"),40.11)</f>
        <v>40.11</v>
      </c>
      <c r="X1295" s="22">
        <f>IFERROR(__xludf.DUMMYFUNCTION("IFERROR(GOOGLEFINANCE(A1295,""high""),"""")"),40.11)</f>
        <v>40.11</v>
      </c>
      <c r="Y1295" s="22">
        <f>IFERROR(__xludf.DUMMYFUNCTION("IFERROR(GOOGLEFINANCE(A1295,""low""),"""")"),39.8)</f>
        <v>39.8</v>
      </c>
      <c r="Z1295" s="22">
        <f>IFERROR(__xludf.DUMMYFUNCTION("IFERROR(GOOGLEFINANCE(A1295,""volume""),"""")"),16896.0)</f>
        <v>16896</v>
      </c>
      <c r="AA1295" s="24" t="str">
        <f>VLOOKUP(A1295,Metrik!$C$2:$Y$959,5,0)</f>
        <v>Tourism &amp; Recreation</v>
      </c>
      <c r="AB1295" s="24" t="str">
        <f>VLOOKUP(A1295,Metrik!$C$2:$Y$959,3,0)</f>
        <v>Consumer Cyclicals</v>
      </c>
    </row>
    <row r="1296">
      <c r="A1296" s="14" t="s">
        <v>691</v>
      </c>
      <c r="B1296" s="14" t="str">
        <f t="array" ref="B1296">VLOOKUP(A1296,{Metrik!$C$2:$C$998,Metrik!$B$2:$B$998},2,0)</f>
        <v>PT Hassana Boga Sejahtera Tbk</v>
      </c>
      <c r="C1296" s="15">
        <f>IFERROR(__xludf.DUMMYFUNCTION("GOOGLEFINANCE(""IDX:""&amp;A1296,""price"")"),55.0)</f>
        <v>55</v>
      </c>
      <c r="D1296" s="16" t="str">
        <f>IFERROR(__xludf.DUMMYFUNCTION("IF(A1296="""","""",
SPARKLINE(
INDEX(
GOOGLEFINANCE(""IDX:""&amp;A1296,""close"",TODAY()-365,TODAY()),
,2
),
{""linewidth"",1}
))
"),"#N/A")</f>
        <v>#N/A</v>
      </c>
      <c r="E1296" s="26"/>
      <c r="F1296" s="26"/>
      <c r="G1296" s="24">
        <f t="shared" si="8"/>
        <v>0</v>
      </c>
      <c r="H1296" s="19">
        <f>VLOOKUP(A1296,Metrik!$C$2:$Y$959,8,0)</f>
        <v>-30.3</v>
      </c>
      <c r="I1296" s="20">
        <f>VLOOKUP(A1296,Metrik!$C$2:$Y$959,9,0)</f>
        <v>2</v>
      </c>
      <c r="J1296" s="20">
        <f>VLOOKUP(A1296,Metrik!$C$2:$Y$959,10,0)</f>
        <v>-6.5</v>
      </c>
      <c r="K1296" s="20">
        <f>VLOOKUP(A1296,Metrik!$C$2:$Y$959,11,0)</f>
        <v>-6.3</v>
      </c>
      <c r="L1296" s="20">
        <f>VLOOKUP(A1296,Metrik!$C$2:$Y$959,12,0)</f>
        <v>0.04</v>
      </c>
      <c r="M1296" s="20">
        <f>VLOOKUP(A1296,Metrik!$C$2:$Y$959,19,0)</f>
        <v>-18</v>
      </c>
      <c r="N1296" s="21"/>
      <c r="O1296" s="21"/>
      <c r="P1296" s="21"/>
      <c r="Q1296" s="21"/>
      <c r="R1296" s="21"/>
      <c r="S1296" s="21"/>
      <c r="T1296" s="21"/>
      <c r="U1296" s="22">
        <f>IFERROR(__xludf.DUMMYFUNCTION("IFERROR(GOOGLEFINANCE(A1296,""closeyest""),"""")"),57.0)</f>
        <v>57</v>
      </c>
      <c r="V1296" s="23">
        <f>IFERROR(__xludf.DUMMYFUNCTION("IFERROR(GOOGLEFINANCE(A1296,""changepct""),"""")"),-3.51)</f>
        <v>-3.51</v>
      </c>
      <c r="W1296" s="22">
        <f>IFERROR(__xludf.DUMMYFUNCTION("IFERROR(GOOGLEFINANCE(A1296,""priceopen""),"""")"),57.0)</f>
        <v>57</v>
      </c>
      <c r="X1296" s="22">
        <f>IFERROR(__xludf.DUMMYFUNCTION("IFERROR(GOOGLEFINANCE(A1296,""high""),"""")"),58.0)</f>
        <v>58</v>
      </c>
      <c r="Y1296" s="22">
        <f>IFERROR(__xludf.DUMMYFUNCTION("IFERROR(GOOGLEFINANCE(A1296,""low""),"""")"),54.0)</f>
        <v>54</v>
      </c>
      <c r="Z1296" s="22">
        <f>IFERROR(__xludf.DUMMYFUNCTION("IFERROR(GOOGLEFINANCE(A1296,""volume""),"""")"),1.38311E7)</f>
        <v>13831100</v>
      </c>
      <c r="AA1296" s="24" t="str">
        <f>VLOOKUP(A1296,Metrik!$C$2:$Y$959,5,0)</f>
        <v>Processed Foods</v>
      </c>
      <c r="AB1296" s="24" t="str">
        <f>VLOOKUP(A1296,Metrik!$C$2:$Y$959,3,0)</f>
        <v>Consumer Non-Cyclicals</v>
      </c>
    </row>
    <row r="1297">
      <c r="A1297" s="14" t="s">
        <v>692</v>
      </c>
      <c r="B1297" s="14" t="str">
        <f t="array" ref="B1297">VLOOKUP(A1297,{Metrik!$C$2:$C$998,Metrik!$B$2:$B$998},2,0)</f>
        <v>PT Trimegah Bangun Persada Tbk.</v>
      </c>
      <c r="C1297" s="15">
        <f>IFERROR(__xludf.DUMMYFUNCTION("GOOGLEFINANCE(""IDX:""&amp;A1297,""price"")"),890.0)</f>
        <v>890</v>
      </c>
      <c r="D1297" s="16" t="str">
        <f>IFERROR(__xludf.DUMMYFUNCTION("IF(A1297="""","""",
SPARKLINE(
INDEX(
GOOGLEFINANCE(""IDX:""&amp;A1297,""close"",TODAY()-365,TODAY()),
,2
),
{""linewidth"",1}
))
"),"#N/A")</f>
        <v>#N/A</v>
      </c>
      <c r="E1297" s="14" t="s">
        <v>32</v>
      </c>
      <c r="F1297" s="14" t="s">
        <v>29</v>
      </c>
      <c r="G1297" s="18">
        <f t="shared" si="8"/>
        <v>4</v>
      </c>
      <c r="H1297" s="19">
        <f>VLOOKUP(A1297,Metrik!$C$2:$Y$959,8,0)</f>
        <v>5.6</v>
      </c>
      <c r="I1297" s="20">
        <f>VLOOKUP(A1297,Metrik!$C$2:$Y$959,9,0)</f>
        <v>1.1</v>
      </c>
      <c r="J1297" s="20">
        <f>VLOOKUP(A1297,Metrik!$C$2:$Y$959,10,0)</f>
        <v>20</v>
      </c>
      <c r="K1297" s="20">
        <f>VLOOKUP(A1297,Metrik!$C$2:$Y$959,11,0)</f>
        <v>15.4</v>
      </c>
      <c r="L1297" s="20">
        <f>VLOOKUP(A1297,Metrik!$C$2:$Y$959,12,0)</f>
        <v>0.3</v>
      </c>
      <c r="M1297" s="20">
        <f>VLOOKUP(A1297,Metrik!$C$2:$Y$959,19,0)</f>
        <v>150</v>
      </c>
      <c r="N1297" s="21"/>
      <c r="O1297" s="21"/>
      <c r="P1297" s="21"/>
      <c r="Q1297" s="21"/>
      <c r="R1297" s="21"/>
      <c r="S1297" s="21"/>
      <c r="T1297" s="21"/>
      <c r="U1297" s="22">
        <f>IFERROR(__xludf.DUMMYFUNCTION("IFERROR(GOOGLEFINANCE(A1297,""closeyest""),"""")"),785.0)</f>
        <v>785</v>
      </c>
      <c r="V1297" s="23">
        <f>IFERROR(__xludf.DUMMYFUNCTION("IFERROR(GOOGLEFINANCE(A1297,""changepct""),"""")"),13.38)</f>
        <v>13.38</v>
      </c>
      <c r="W1297" s="22">
        <f>IFERROR(__xludf.DUMMYFUNCTION("IFERROR(GOOGLEFINANCE(A1297,""priceopen""),"""")"),790.0)</f>
        <v>790</v>
      </c>
      <c r="X1297" s="22">
        <f>IFERROR(__xludf.DUMMYFUNCTION("IFERROR(GOOGLEFINANCE(A1297,""high""),"""")"),890.0)</f>
        <v>890</v>
      </c>
      <c r="Y1297" s="22">
        <f>IFERROR(__xludf.DUMMYFUNCTION("IFERROR(GOOGLEFINANCE(A1297,""low""),"""")"),790.0)</f>
        <v>790</v>
      </c>
      <c r="Z1297" s="22">
        <f>IFERROR(__xludf.DUMMYFUNCTION("IFERROR(GOOGLEFINANCE(A1297,""volume""),"""")"),6.33863E7)</f>
        <v>63386300</v>
      </c>
      <c r="AA1297" s="24" t="str">
        <f>VLOOKUP(A1297,Metrik!$C$2:$Y$959,5,0)</f>
        <v>Metals &amp; Minerals</v>
      </c>
      <c r="AB1297" s="24" t="str">
        <f>VLOOKUP(A1297,Metrik!$C$2:$Y$959,3,0)</f>
        <v>Basic Materials</v>
      </c>
    </row>
    <row r="1298">
      <c r="A1298" s="14" t="s">
        <v>692</v>
      </c>
      <c r="B1298" s="14" t="str">
        <f t="array" ref="B1298">VLOOKUP(A1298,{Metrik!$C$2:$C$998,Metrik!$B$2:$B$998},2,0)</f>
        <v>PT Trimegah Bangun Persada Tbk.</v>
      </c>
      <c r="C1298" s="15">
        <f>IFERROR(__xludf.DUMMYFUNCTION("GOOGLEFINANCE(""IDX:""&amp;A1298,""price"")"),890.0)</f>
        <v>890</v>
      </c>
      <c r="D1298" s="16" t="str">
        <f>IFERROR(__xludf.DUMMYFUNCTION("IF(A1298="""","""",
SPARKLINE(
INDEX(
GOOGLEFINANCE(""IDX:""&amp;A1298,""close"",TODAY()-365,TODAY()),
,2
),
{""linewidth"",1}
))
"),"#N/A")</f>
        <v>#N/A</v>
      </c>
      <c r="E1298" s="14" t="s">
        <v>54</v>
      </c>
      <c r="F1298" s="14" t="s">
        <v>34</v>
      </c>
      <c r="G1298" s="18">
        <f t="shared" si="8"/>
        <v>4</v>
      </c>
      <c r="H1298" s="19">
        <f>VLOOKUP(A1298,Metrik!$C$2:$Y$959,8,0)</f>
        <v>5.6</v>
      </c>
      <c r="I1298" s="20">
        <f>VLOOKUP(A1298,Metrik!$C$2:$Y$959,9,0)</f>
        <v>1.1</v>
      </c>
      <c r="J1298" s="20">
        <f>VLOOKUP(A1298,Metrik!$C$2:$Y$959,10,0)</f>
        <v>20</v>
      </c>
      <c r="K1298" s="20">
        <f>VLOOKUP(A1298,Metrik!$C$2:$Y$959,11,0)</f>
        <v>15.4</v>
      </c>
      <c r="L1298" s="20">
        <f>VLOOKUP(A1298,Metrik!$C$2:$Y$959,12,0)</f>
        <v>0.3</v>
      </c>
      <c r="M1298" s="20">
        <f>VLOOKUP(A1298,Metrik!$C$2:$Y$959,19,0)</f>
        <v>150</v>
      </c>
      <c r="N1298" s="21"/>
      <c r="O1298" s="21"/>
      <c r="P1298" s="21"/>
      <c r="Q1298" s="21"/>
      <c r="R1298" s="21"/>
      <c r="S1298" s="21"/>
      <c r="T1298" s="21"/>
      <c r="U1298" s="22">
        <f>IFERROR(__xludf.DUMMYFUNCTION("IFERROR(GOOGLEFINANCE(A1298,""closeyest""),"""")"),785.0)</f>
        <v>785</v>
      </c>
      <c r="V1298" s="23">
        <f>IFERROR(__xludf.DUMMYFUNCTION("IFERROR(GOOGLEFINANCE(A1298,""changepct""),"""")"),13.38)</f>
        <v>13.38</v>
      </c>
      <c r="W1298" s="22">
        <f>IFERROR(__xludf.DUMMYFUNCTION("IFERROR(GOOGLEFINANCE(A1298,""priceopen""),"""")"),790.0)</f>
        <v>790</v>
      </c>
      <c r="X1298" s="22">
        <f>IFERROR(__xludf.DUMMYFUNCTION("IFERROR(GOOGLEFINANCE(A1298,""high""),"""")"),890.0)</f>
        <v>890</v>
      </c>
      <c r="Y1298" s="22">
        <f>IFERROR(__xludf.DUMMYFUNCTION("IFERROR(GOOGLEFINANCE(A1298,""low""),"""")"),790.0)</f>
        <v>790</v>
      </c>
      <c r="Z1298" s="22">
        <f>IFERROR(__xludf.DUMMYFUNCTION("IFERROR(GOOGLEFINANCE(A1298,""volume""),"""")"),6.33863E7)</f>
        <v>63386300</v>
      </c>
      <c r="AA1298" s="24" t="str">
        <f>VLOOKUP(A1298,Metrik!$C$2:$Y$959,5,0)</f>
        <v>Metals &amp; Minerals</v>
      </c>
      <c r="AB1298" s="24" t="str">
        <f>VLOOKUP(A1298,Metrik!$C$2:$Y$959,3,0)</f>
        <v>Basic Materials</v>
      </c>
    </row>
    <row r="1299">
      <c r="A1299" s="14" t="s">
        <v>692</v>
      </c>
      <c r="B1299" s="14" t="str">
        <f t="array" ref="B1299">VLOOKUP(A1299,{Metrik!$C$2:$C$998,Metrik!$B$2:$B$998},2,0)</f>
        <v>PT Trimegah Bangun Persada Tbk.</v>
      </c>
      <c r="C1299" s="15">
        <f>IFERROR(__xludf.DUMMYFUNCTION("GOOGLEFINANCE(""IDX:""&amp;A1299,""price"")"),890.0)</f>
        <v>890</v>
      </c>
      <c r="D1299" s="16" t="str">
        <f>IFERROR(__xludf.DUMMYFUNCTION("IF(A1299="""","""",
SPARKLINE(
INDEX(
GOOGLEFINANCE(""IDX:""&amp;A1299,""close"",TODAY()-365,TODAY()),
,2
),
{""linewidth"",1}
))
"),"#N/A")</f>
        <v>#N/A</v>
      </c>
      <c r="E1299" s="14" t="s">
        <v>33</v>
      </c>
      <c r="F1299" s="14" t="s">
        <v>34</v>
      </c>
      <c r="G1299" s="18">
        <f t="shared" si="8"/>
        <v>4</v>
      </c>
      <c r="H1299" s="19">
        <f>VLOOKUP(A1299,Metrik!$C$2:$Y$959,8,0)</f>
        <v>5.6</v>
      </c>
      <c r="I1299" s="20">
        <f>VLOOKUP(A1299,Metrik!$C$2:$Y$959,9,0)</f>
        <v>1.1</v>
      </c>
      <c r="J1299" s="20">
        <f>VLOOKUP(A1299,Metrik!$C$2:$Y$959,10,0)</f>
        <v>20</v>
      </c>
      <c r="K1299" s="20">
        <f>VLOOKUP(A1299,Metrik!$C$2:$Y$959,11,0)</f>
        <v>15.4</v>
      </c>
      <c r="L1299" s="20">
        <f>VLOOKUP(A1299,Metrik!$C$2:$Y$959,12,0)</f>
        <v>0.3</v>
      </c>
      <c r="M1299" s="20">
        <f>VLOOKUP(A1299,Metrik!$C$2:$Y$959,19,0)</f>
        <v>150</v>
      </c>
      <c r="N1299" s="21"/>
      <c r="O1299" s="21"/>
      <c r="P1299" s="21"/>
      <c r="Q1299" s="21"/>
      <c r="R1299" s="21"/>
      <c r="S1299" s="21"/>
      <c r="T1299" s="21"/>
      <c r="U1299" s="22">
        <f>IFERROR(__xludf.DUMMYFUNCTION("IFERROR(GOOGLEFINANCE(A1299,""closeyest""),"""")"),785.0)</f>
        <v>785</v>
      </c>
      <c r="V1299" s="23">
        <f>IFERROR(__xludf.DUMMYFUNCTION("IFERROR(GOOGLEFINANCE(A1299,""changepct""),"""")"),13.38)</f>
        <v>13.38</v>
      </c>
      <c r="W1299" s="22">
        <f>IFERROR(__xludf.DUMMYFUNCTION("IFERROR(GOOGLEFINANCE(A1299,""priceopen""),"""")"),790.0)</f>
        <v>790</v>
      </c>
      <c r="X1299" s="22">
        <f>IFERROR(__xludf.DUMMYFUNCTION("IFERROR(GOOGLEFINANCE(A1299,""high""),"""")"),890.0)</f>
        <v>890</v>
      </c>
      <c r="Y1299" s="22">
        <f>IFERROR(__xludf.DUMMYFUNCTION("IFERROR(GOOGLEFINANCE(A1299,""low""),"""")"),790.0)</f>
        <v>790</v>
      </c>
      <c r="Z1299" s="22">
        <f>IFERROR(__xludf.DUMMYFUNCTION("IFERROR(GOOGLEFINANCE(A1299,""volume""),"""")"),6.33863E7)</f>
        <v>63386300</v>
      </c>
      <c r="AA1299" s="24" t="str">
        <f>VLOOKUP(A1299,Metrik!$C$2:$Y$959,5,0)</f>
        <v>Metals &amp; Minerals</v>
      </c>
      <c r="AB1299" s="24" t="str">
        <f>VLOOKUP(A1299,Metrik!$C$2:$Y$959,3,0)</f>
        <v>Basic Materials</v>
      </c>
    </row>
    <row r="1300">
      <c r="A1300" s="48" t="s">
        <v>692</v>
      </c>
      <c r="B1300" s="14" t="str">
        <f t="array" ref="B1300">VLOOKUP(A1300,{Metrik!$C$2:$C$998,Metrik!$B$2:$B$998},2,0)</f>
        <v>PT Trimegah Bangun Persada Tbk.</v>
      </c>
      <c r="C1300" s="15">
        <f>IFERROR(__xludf.DUMMYFUNCTION("GOOGLEFINANCE(""IDX:""&amp;A1300,""price"")"),890.0)</f>
        <v>890</v>
      </c>
      <c r="D1300" s="16" t="str">
        <f>IFERROR(__xludf.DUMMYFUNCTION("IF(A1300="""","""",
SPARKLINE(
INDEX(
GOOGLEFINANCE(""IDX:""&amp;A1300,""close"",TODAY()-365,TODAY()),
,2
),
{""linewidth"",1}
))
"),"#N/A")</f>
        <v>#N/A</v>
      </c>
      <c r="E1300" s="17" t="s">
        <v>69</v>
      </c>
      <c r="F1300" s="17" t="s">
        <v>70</v>
      </c>
      <c r="G1300" s="24">
        <f t="shared" si="8"/>
        <v>4</v>
      </c>
      <c r="H1300" s="19">
        <f>VLOOKUP(A1300,Metrik!$C$2:$Y$959,8,0)</f>
        <v>5.6</v>
      </c>
      <c r="I1300" s="20">
        <f>VLOOKUP(A1300,Metrik!$C$2:$Y$959,9,0)</f>
        <v>1.1</v>
      </c>
      <c r="J1300" s="20">
        <f>VLOOKUP(A1300,Metrik!$C$2:$Y$959,10,0)</f>
        <v>20</v>
      </c>
      <c r="K1300" s="20">
        <f>VLOOKUP(A1300,Metrik!$C$2:$Y$959,11,0)</f>
        <v>15.4</v>
      </c>
      <c r="L1300" s="20">
        <f>VLOOKUP(A1300,Metrik!$C$2:$Y$959,12,0)</f>
        <v>0.3</v>
      </c>
      <c r="M1300" s="20">
        <f>VLOOKUP(A1300,Metrik!$C$2:$Y$959,19,0)</f>
        <v>150</v>
      </c>
      <c r="N1300" s="21"/>
      <c r="O1300" s="21"/>
      <c r="P1300" s="21"/>
      <c r="Q1300" s="21"/>
      <c r="R1300" s="21"/>
      <c r="S1300" s="21"/>
      <c r="T1300" s="21"/>
      <c r="U1300" s="22">
        <f>IFERROR(__xludf.DUMMYFUNCTION("IFERROR(GOOGLEFINANCE(A1300,""closeyest""),"""")"),785.0)</f>
        <v>785</v>
      </c>
      <c r="V1300" s="23">
        <f>IFERROR(__xludf.DUMMYFUNCTION("IFERROR(GOOGLEFINANCE(A1300,""changepct""),"""")"),13.38)</f>
        <v>13.38</v>
      </c>
      <c r="W1300" s="22">
        <f>IFERROR(__xludf.DUMMYFUNCTION("IFERROR(GOOGLEFINANCE(A1300,""priceopen""),"""")"),790.0)</f>
        <v>790</v>
      </c>
      <c r="X1300" s="22">
        <f>IFERROR(__xludf.DUMMYFUNCTION("IFERROR(GOOGLEFINANCE(A1300,""high""),"""")"),890.0)</f>
        <v>890</v>
      </c>
      <c r="Y1300" s="22">
        <f>IFERROR(__xludf.DUMMYFUNCTION("IFERROR(GOOGLEFINANCE(A1300,""low""),"""")"),790.0)</f>
        <v>790</v>
      </c>
      <c r="Z1300" s="22">
        <f>IFERROR(__xludf.DUMMYFUNCTION("IFERROR(GOOGLEFINANCE(A1300,""volume""),"""")"),6.33863E7)</f>
        <v>63386300</v>
      </c>
      <c r="AA1300" s="24" t="str">
        <f>VLOOKUP(A1300,Metrik!$C$2:$Y$959,5,0)</f>
        <v>Metals &amp; Minerals</v>
      </c>
      <c r="AB1300" s="24" t="str">
        <f>VLOOKUP(A1300,Metrik!$C$2:$Y$959,3,0)</f>
        <v>Basic Materials</v>
      </c>
    </row>
    <row r="1301">
      <c r="A1301" s="14" t="s">
        <v>693</v>
      </c>
      <c r="B1301" s="14" t="str">
        <f t="array" ref="B1301">VLOOKUP(A1301,{Metrik!$C$2:$C$998,Metrik!$B$2:$B$998},2,0)</f>
        <v>Pelayaran Nelly Dwi Putri Tbk</v>
      </c>
      <c r="C1301" s="15">
        <f>IFERROR(__xludf.DUMMYFUNCTION("GOOGLEFINANCE(""IDX:""&amp;A1301,""price"")"),195.0)</f>
        <v>195</v>
      </c>
      <c r="D1301" s="16" t="str">
        <f>IFERROR(__xludf.DUMMYFUNCTION("IF(A1301="""","""",
SPARKLINE(
INDEX(
GOOGLEFINANCE(""IDX:""&amp;A1301,""close"",TODAY()-365,TODAY()),
,2
),
{""linewidth"",1}
))
"),"#N/A")</f>
        <v>#N/A</v>
      </c>
      <c r="E1301" s="26"/>
      <c r="F1301" s="26"/>
      <c r="G1301" s="24">
        <f t="shared" si="8"/>
        <v>0</v>
      </c>
      <c r="H1301" s="19">
        <f>VLOOKUP(A1301,Metrik!$C$2:$Y$959,8,0)</f>
        <v>-77</v>
      </c>
      <c r="I1301" s="20">
        <f>VLOOKUP(A1301,Metrik!$C$2:$Y$959,9,0)</f>
        <v>0.61</v>
      </c>
      <c r="J1301" s="20">
        <f>VLOOKUP(A1301,Metrik!$C$2:$Y$959,10,0)</f>
        <v>-0.79</v>
      </c>
      <c r="K1301" s="20">
        <f>VLOOKUP(A1301,Metrik!$C$2:$Y$959,11,0)</f>
        <v>-0.61</v>
      </c>
      <c r="L1301" s="20">
        <f>VLOOKUP(A1301,Metrik!$C$2:$Y$959,12,0)</f>
        <v>0.28</v>
      </c>
      <c r="M1301" s="20">
        <f>VLOOKUP(A1301,Metrik!$C$2:$Y$959,19,0)</f>
        <v>-15.7</v>
      </c>
      <c r="N1301" s="21"/>
      <c r="O1301" s="21"/>
      <c r="P1301" s="21"/>
      <c r="Q1301" s="21"/>
      <c r="R1301" s="21"/>
      <c r="S1301" s="21"/>
      <c r="T1301" s="21"/>
      <c r="U1301" s="22">
        <f>IFERROR(__xludf.DUMMYFUNCTION("IFERROR(GOOGLEFINANCE(A1301,""closeyest""),"""")"),175.0)</f>
        <v>175</v>
      </c>
      <c r="V1301" s="23" t="str">
        <f>IFERROR(__xludf.DUMMYFUNCTION("IFERROR(GOOGLEFINANCE(A1301,""changepct""),"""")"),"")</f>
        <v/>
      </c>
      <c r="W1301" s="22">
        <f>IFERROR(__xludf.DUMMYFUNCTION("IFERROR(GOOGLEFINANCE(A1301,""priceopen""),"""")"),178.0)</f>
        <v>178</v>
      </c>
      <c r="X1301" s="22">
        <f>IFERROR(__xludf.DUMMYFUNCTION("IFERROR(GOOGLEFINANCE(A1301,""high""),"""")"),230.0)</f>
        <v>230</v>
      </c>
      <c r="Y1301" s="22">
        <f>IFERROR(__xludf.DUMMYFUNCTION("IFERROR(GOOGLEFINANCE(A1301,""low""),"""")"),174.0)</f>
        <v>174</v>
      </c>
      <c r="Z1301" s="22">
        <f>IFERROR(__xludf.DUMMYFUNCTION("IFERROR(GOOGLEFINANCE(A1301,""volume""),"""")"),7056100.0)</f>
        <v>7056100</v>
      </c>
      <c r="AA1301" s="24" t="str">
        <f>VLOOKUP(A1301,Metrik!$C$2:$Y$959,5,0)</f>
        <v>Logistics &amp; Deliveries</v>
      </c>
      <c r="AB1301" s="24" t="str">
        <f>VLOOKUP(A1301,Metrik!$C$2:$Y$959,3,0)</f>
        <v>Transportation &amp; Logistic</v>
      </c>
    </row>
    <row r="1302">
      <c r="A1302" s="14" t="s">
        <v>694</v>
      </c>
      <c r="B1302" s="14" t="str">
        <f t="array" ref="B1302">VLOOKUP(A1302,{Metrik!$C$2:$C$998,Metrik!$B$2:$B$998},2,0)</f>
        <v>Esta Indonesia Tbk.</v>
      </c>
      <c r="C1302" s="15">
        <f>IFERROR(__xludf.DUMMYFUNCTION("GOOGLEFINANCE(""IDX:""&amp;A1302,""price"")"),560.0)</f>
        <v>560</v>
      </c>
      <c r="D1302" s="16" t="str">
        <f>IFERROR(__xludf.DUMMYFUNCTION("IF(A1302="""","""",
SPARKLINE(
INDEX(
GOOGLEFINANCE(""IDX:""&amp;A1302,""close"",TODAY()-365,TODAY()),
,2
),
{""linewidth"",1}
))
"),"#N/A")</f>
        <v>#N/A</v>
      </c>
      <c r="E1302" s="26"/>
      <c r="F1302" s="26"/>
      <c r="G1302" s="24">
        <f t="shared" si="8"/>
        <v>0</v>
      </c>
      <c r="H1302" s="19">
        <f>VLOOKUP(A1302,Metrik!$C$2:$Y$959,8,0)</f>
        <v>84.3</v>
      </c>
      <c r="I1302" s="20">
        <f>VLOOKUP(A1302,Metrik!$C$2:$Y$959,9,0)</f>
        <v>5.6</v>
      </c>
      <c r="J1302" s="20">
        <f>VLOOKUP(A1302,Metrik!$C$2:$Y$959,10,0)</f>
        <v>6.6</v>
      </c>
      <c r="K1302" s="20">
        <f>VLOOKUP(A1302,Metrik!$C$2:$Y$959,11,0)</f>
        <v>6</v>
      </c>
      <c r="L1302" s="20">
        <f>VLOOKUP(A1302,Metrik!$C$2:$Y$959,12,0)</f>
        <v>0.09</v>
      </c>
      <c r="M1302" s="20">
        <f>VLOOKUP(A1302,Metrik!$C$2:$Y$959,19,0)</f>
        <v>26.3</v>
      </c>
      <c r="N1302" s="21"/>
      <c r="O1302" s="21"/>
      <c r="P1302" s="21"/>
      <c r="Q1302" s="21"/>
      <c r="R1302" s="21"/>
      <c r="S1302" s="21"/>
      <c r="T1302" s="21"/>
      <c r="U1302" s="22">
        <f>IFERROR(__xludf.DUMMYFUNCTION("IFERROR(GOOGLEFINANCE(A1302,""closeyest""),"""")"),520.0)</f>
        <v>520</v>
      </c>
      <c r="V1302" s="23">
        <f>IFERROR(__xludf.DUMMYFUNCTION("IFERROR(GOOGLEFINANCE(A1302,""changepct""),"""")"),7.69)</f>
        <v>7.69</v>
      </c>
      <c r="W1302" s="22">
        <f>IFERROR(__xludf.DUMMYFUNCTION("IFERROR(GOOGLEFINANCE(A1302,""priceopen""),"""")"),520.0)</f>
        <v>520</v>
      </c>
      <c r="X1302" s="22">
        <f>IFERROR(__xludf.DUMMYFUNCTION("IFERROR(GOOGLEFINANCE(A1302,""high""),"""")"),565.0)</f>
        <v>565</v>
      </c>
      <c r="Y1302" s="22">
        <f>IFERROR(__xludf.DUMMYFUNCTION("IFERROR(GOOGLEFINANCE(A1302,""low""),"""")"),515.0)</f>
        <v>515</v>
      </c>
      <c r="Z1302" s="22" t="str">
        <f>IFERROR(__xludf.DUMMYFUNCTION("IFERROR(GOOGLEFINANCE(A1302,""volume""),"""")"),"")</f>
        <v/>
      </c>
      <c r="AA1302" s="24" t="str">
        <f>VLOOKUP(A1302,Metrik!$C$2:$Y$959,5,0)</f>
        <v>Agricultural Products</v>
      </c>
      <c r="AB1302" s="24" t="str">
        <f>VLOOKUP(A1302,Metrik!$C$2:$Y$959,3,0)</f>
        <v>Consumer Non-Cyclicals</v>
      </c>
    </row>
    <row r="1303">
      <c r="A1303" s="14" t="s">
        <v>695</v>
      </c>
      <c r="B1303" s="14" t="str">
        <f t="array" ref="B1303">VLOOKUP(A1303,{Metrik!$C$2:$C$998,Metrik!$B$2:$B$998},2,0)</f>
        <v>MDTV Media Technologies Tbk.</v>
      </c>
      <c r="C1303" s="15">
        <f>IFERROR(__xludf.DUMMYFUNCTION("GOOGLEFINANCE(""IDX:""&amp;A1303,""price"")"),55.0)</f>
        <v>55</v>
      </c>
      <c r="D1303" s="16" t="str">
        <f>IFERROR(__xludf.DUMMYFUNCTION("IF(A1303="""","""",
SPARKLINE(
INDEX(
GOOGLEFINANCE(""IDX:""&amp;A1303,""close"",TODAY()-365,TODAY()),
,2
),
{""linewidth"",1}
))
"),"#N/A")</f>
        <v>#N/A</v>
      </c>
      <c r="E1303" s="26"/>
      <c r="F1303" s="26"/>
      <c r="G1303" s="24">
        <f t="shared" si="8"/>
        <v>0</v>
      </c>
      <c r="H1303" s="19">
        <f>VLOOKUP(A1303,Metrik!$C$2:$Y$959,8,0)</f>
        <v>-10.6</v>
      </c>
      <c r="I1303" s="20">
        <f>VLOOKUP(A1303,Metrik!$C$2:$Y$959,9,0)</f>
        <v>7.5</v>
      </c>
      <c r="J1303" s="20">
        <f>VLOOKUP(A1303,Metrik!$C$2:$Y$959,10,0)</f>
        <v>-71</v>
      </c>
      <c r="K1303" s="20">
        <f>VLOOKUP(A1303,Metrik!$C$2:$Y$959,11,0)</f>
        <v>-30.6</v>
      </c>
      <c r="L1303" s="20">
        <f>VLOOKUP(A1303,Metrik!$C$2:$Y$959,12,0)</f>
        <v>1.3</v>
      </c>
      <c r="M1303" s="20">
        <f>VLOOKUP(A1303,Metrik!$C$2:$Y$959,19,0)</f>
        <v>-980</v>
      </c>
      <c r="N1303" s="21"/>
      <c r="O1303" s="21"/>
      <c r="P1303" s="21"/>
      <c r="Q1303" s="21"/>
      <c r="R1303" s="21"/>
      <c r="S1303" s="21"/>
      <c r="T1303" s="21"/>
      <c r="U1303" s="22">
        <f>IFERROR(__xludf.DUMMYFUNCTION("IFERROR(GOOGLEFINANCE(A1303,""closeyest""),"""")"),54.0)</f>
        <v>54</v>
      </c>
      <c r="V1303" s="23">
        <f>IFERROR(__xludf.DUMMYFUNCTION("IFERROR(GOOGLEFINANCE(A1303,""changepct""),"""")"),1.85)</f>
        <v>1.85</v>
      </c>
      <c r="W1303" s="22">
        <f>IFERROR(__xludf.DUMMYFUNCTION("IFERROR(GOOGLEFINANCE(A1303,""priceopen""),"""")"),53.0)</f>
        <v>53</v>
      </c>
      <c r="X1303" s="22">
        <f>IFERROR(__xludf.DUMMYFUNCTION("IFERROR(GOOGLEFINANCE(A1303,""high""),"""")"),58.0)</f>
        <v>58</v>
      </c>
      <c r="Y1303" s="22">
        <f>IFERROR(__xludf.DUMMYFUNCTION("IFERROR(GOOGLEFINANCE(A1303,""low""),"""")"),53.0)</f>
        <v>53</v>
      </c>
      <c r="Z1303" s="22">
        <f>IFERROR(__xludf.DUMMYFUNCTION("IFERROR(GOOGLEFINANCE(A1303,""volume""),"""")"),3.7046E7)</f>
        <v>37046000</v>
      </c>
      <c r="AA1303" s="24" t="str">
        <f>VLOOKUP(A1303,Metrik!$C$2:$Y$959,5,0)</f>
        <v>Media</v>
      </c>
      <c r="AB1303" s="24" t="str">
        <f>VLOOKUP(A1303,Metrik!$C$2:$Y$959,3,0)</f>
        <v>Consumer Cyclicals</v>
      </c>
    </row>
    <row r="1304">
      <c r="A1304" s="14" t="s">
        <v>696</v>
      </c>
      <c r="B1304" s="14" t="str">
        <f t="array" ref="B1304">VLOOKUP(A1304,{Metrik!$C$2:$C$998,Metrik!$B$2:$B$998},2,0)</f>
        <v>NFC Indonesia Tbk.</v>
      </c>
      <c r="C1304" s="15">
        <f>IFERROR(__xludf.DUMMYFUNCTION("GOOGLEFINANCE(""IDX:""&amp;A1304,""price"")"),1685.0)</f>
        <v>1685</v>
      </c>
      <c r="D1304" s="16" t="str">
        <f>IFERROR(__xludf.DUMMYFUNCTION("IF(A1304="""","""",
SPARKLINE(
INDEX(
GOOGLEFINANCE(""IDX:""&amp;A1304,""close"",TODAY()-365,TODAY()),
,2
),
{""linewidth"",1}
))
"),"#N/A")</f>
        <v>#N/A</v>
      </c>
      <c r="E1304" s="26"/>
      <c r="F1304" s="26"/>
      <c r="G1304" s="24">
        <f t="shared" si="8"/>
        <v>0</v>
      </c>
      <c r="H1304" s="19">
        <f>VLOOKUP(A1304,Metrik!$C$2:$Y$959,8,0)</f>
        <v>-1790</v>
      </c>
      <c r="I1304" s="20">
        <f>VLOOKUP(A1304,Metrik!$C$2:$Y$959,9,0)</f>
        <v>1.6</v>
      </c>
      <c r="J1304" s="20">
        <f>VLOOKUP(A1304,Metrik!$C$2:$Y$959,10,0)</f>
        <v>-0.09</v>
      </c>
      <c r="K1304" s="20">
        <f>VLOOKUP(A1304,Metrik!$C$2:$Y$959,11,0)</f>
        <v>-0.04</v>
      </c>
      <c r="L1304" s="20">
        <f>VLOOKUP(A1304,Metrik!$C$2:$Y$959,12,0)</f>
        <v>0.93</v>
      </c>
      <c r="M1304" s="20">
        <f>VLOOKUP(A1304,Metrik!$C$2:$Y$959,19,0)</f>
        <v>-0.09</v>
      </c>
      <c r="N1304" s="21"/>
      <c r="O1304" s="21"/>
      <c r="P1304" s="21"/>
      <c r="Q1304" s="21"/>
      <c r="R1304" s="21"/>
      <c r="S1304" s="21"/>
      <c r="T1304" s="21"/>
      <c r="U1304" s="22">
        <f>IFERROR(__xludf.DUMMYFUNCTION("IFERROR(GOOGLEFINANCE(A1304,""closeyest""),"""")"),1685.0)</f>
        <v>1685</v>
      </c>
      <c r="V1304" s="23">
        <f>IFERROR(__xludf.DUMMYFUNCTION("IFERROR(GOOGLEFINANCE(A1304,""changepct""),"""")"),0.0)</f>
        <v>0</v>
      </c>
      <c r="W1304" s="22">
        <f>IFERROR(__xludf.DUMMYFUNCTION("IFERROR(GOOGLEFINANCE(A1304,""priceopen""),"""")"),1585.0)</f>
        <v>1585</v>
      </c>
      <c r="X1304" s="22">
        <f>IFERROR(__xludf.DUMMYFUNCTION("IFERROR(GOOGLEFINANCE(A1304,""high""),"""")"),1685.0)</f>
        <v>1685</v>
      </c>
      <c r="Y1304" s="22">
        <f>IFERROR(__xludf.DUMMYFUNCTION("IFERROR(GOOGLEFINANCE(A1304,""low""),"""")"),1585.0)</f>
        <v>1585</v>
      </c>
      <c r="Z1304" s="22">
        <f>IFERROR(__xludf.DUMMYFUNCTION("IFERROR(GOOGLEFINANCE(A1304,""volume""),"""")"),14000.0)</f>
        <v>14000</v>
      </c>
      <c r="AA1304" s="24" t="str">
        <f>VLOOKUP(A1304,Metrik!$C$2:$Y$959,5,0)</f>
        <v>Online Applications &amp; Services</v>
      </c>
      <c r="AB1304" s="24" t="str">
        <f>VLOOKUP(A1304,Metrik!$C$2:$Y$959,3,0)</f>
        <v>Technology</v>
      </c>
    </row>
    <row r="1305">
      <c r="A1305" s="14" t="s">
        <v>697</v>
      </c>
      <c r="B1305" s="14" t="str">
        <f t="array" ref="B1305">VLOOKUP(A1305,{Metrik!$C$2:$C$998,Metrik!$B$2:$B$998},2,0)</f>
        <v>Adhi Kartiko Pratama Tbk.</v>
      </c>
      <c r="C1305" s="15">
        <f>IFERROR(__xludf.DUMMYFUNCTION("GOOGLEFINANCE(""IDX:""&amp;A1305,""price"")"),274.0)</f>
        <v>274</v>
      </c>
      <c r="D1305" s="16" t="str">
        <f>IFERROR(__xludf.DUMMYFUNCTION("IF(A1305="""","""",
SPARKLINE(
INDEX(
GOOGLEFINANCE(""IDX:""&amp;A1305,""close"",TODAY()-365,TODAY()),
,2
),
{""linewidth"",1}
))
"),"#N/A")</f>
        <v>#N/A</v>
      </c>
      <c r="E1305" s="26"/>
      <c r="F1305" s="26"/>
      <c r="G1305" s="24">
        <f t="shared" si="8"/>
        <v>0</v>
      </c>
      <c r="H1305" s="19">
        <f>VLOOKUP(A1305,Metrik!$C$2:$Y$959,8,0)</f>
        <v>-90.7</v>
      </c>
      <c r="I1305" s="20">
        <f>VLOOKUP(A1305,Metrik!$C$2:$Y$959,9,0)</f>
        <v>8.3</v>
      </c>
      <c r="J1305" s="20">
        <f>VLOOKUP(A1305,Metrik!$C$2:$Y$959,10,0)</f>
        <v>-9.1</v>
      </c>
      <c r="K1305" s="20">
        <f>VLOOKUP(A1305,Metrik!$C$2:$Y$959,11,0)</f>
        <v>-2.4</v>
      </c>
      <c r="L1305" s="20">
        <f>VLOOKUP(A1305,Metrik!$C$2:$Y$959,12,0)</f>
        <v>2.9</v>
      </c>
      <c r="M1305" s="20">
        <f>VLOOKUP(A1305,Metrik!$C$2:$Y$959,19,0)</f>
        <v>-5</v>
      </c>
      <c r="N1305" s="21"/>
      <c r="O1305" s="21"/>
      <c r="P1305" s="21"/>
      <c r="Q1305" s="21"/>
      <c r="R1305" s="21"/>
      <c r="S1305" s="21"/>
      <c r="T1305" s="21"/>
      <c r="U1305" s="22">
        <f>IFERROR(__xludf.DUMMYFUNCTION("IFERROR(GOOGLEFINANCE(A1305,""closeyest""),"""")"),88.08)</f>
        <v>88.08</v>
      </c>
      <c r="V1305" s="23">
        <f>IFERROR(__xludf.DUMMYFUNCTION("IFERROR(GOOGLEFINANCE(A1305,""changepct""),"""")"),0.72)</f>
        <v>0.72</v>
      </c>
      <c r="W1305" s="22">
        <f>IFERROR(__xludf.DUMMYFUNCTION("IFERROR(GOOGLEFINANCE(A1305,""priceopen""),"""")"),87.24)</f>
        <v>87.24</v>
      </c>
      <c r="X1305" s="22">
        <f>IFERROR(__xludf.DUMMYFUNCTION("IFERROR(GOOGLEFINANCE(A1305,""high""),"""")"),88.97)</f>
        <v>88.97</v>
      </c>
      <c r="Y1305" s="22">
        <f>IFERROR(__xludf.DUMMYFUNCTION("IFERROR(GOOGLEFINANCE(A1305,""low""),"""")"),85.8)</f>
        <v>85.8</v>
      </c>
      <c r="Z1305" s="22">
        <f>IFERROR(__xludf.DUMMYFUNCTION("IFERROR(GOOGLEFINANCE(A1305,""volume""),"""")"),735364.0)</f>
        <v>735364</v>
      </c>
      <c r="AA1305" s="24" t="str">
        <f>VLOOKUP(A1305,Metrik!$C$2:$Y$959,5,0)</f>
        <v>Metals &amp; Minerals</v>
      </c>
      <c r="AB1305" s="24" t="str">
        <f>VLOOKUP(A1305,Metrik!$C$2:$Y$959,3,0)</f>
        <v>Basic Materials</v>
      </c>
    </row>
    <row r="1306">
      <c r="A1306" s="14" t="s">
        <v>698</v>
      </c>
      <c r="B1306" s="14" t="str">
        <f t="array" ref="B1306">VLOOKUP(A1306,{Metrik!$C$2:$C$998,Metrik!$B$2:$B$998},2,0)</f>
        <v>Charnic Capital Tbk.</v>
      </c>
      <c r="C1306" s="15">
        <f>IFERROR(__xludf.DUMMYFUNCTION("GOOGLEFINANCE(""IDX:""&amp;A1306,""price"")"),1040.0)</f>
        <v>1040</v>
      </c>
      <c r="D1306" s="16" t="str">
        <f>IFERROR(__xludf.DUMMYFUNCTION("IF(A1306="""","""",
SPARKLINE(
INDEX(
GOOGLEFINANCE(""IDX:""&amp;A1306,""close"",TODAY()-365,TODAY()),
,2
),
{""linewidth"",1}
))
"),"#N/A")</f>
        <v>#N/A</v>
      </c>
      <c r="E1306" s="26"/>
      <c r="F1306" s="26"/>
      <c r="G1306" s="18">
        <f t="shared" si="8"/>
        <v>0</v>
      </c>
      <c r="H1306" s="19">
        <f>VLOOKUP(A1306,Metrik!$C$2:$Y$959,8,0)</f>
        <v>8</v>
      </c>
      <c r="I1306" s="20">
        <f>VLOOKUP(A1306,Metrik!$C$2:$Y$959,9,0)</f>
        <v>2.4</v>
      </c>
      <c r="J1306" s="20">
        <f>VLOOKUP(A1306,Metrik!$C$2:$Y$959,10,0)</f>
        <v>29.5</v>
      </c>
      <c r="K1306" s="20">
        <f>VLOOKUP(A1306,Metrik!$C$2:$Y$959,11,0)</f>
        <v>29.1</v>
      </c>
      <c r="L1306" s="20">
        <f>VLOOKUP(A1306,Metrik!$C$2:$Y$959,12,0)</f>
        <v>0.01</v>
      </c>
      <c r="M1306" s="20">
        <f>VLOOKUP(A1306,Metrik!$C$2:$Y$959,19,0)</f>
        <v>0</v>
      </c>
      <c r="N1306" s="21"/>
      <c r="O1306" s="21"/>
      <c r="P1306" s="21"/>
      <c r="Q1306" s="21"/>
      <c r="R1306" s="21"/>
      <c r="S1306" s="21"/>
      <c r="T1306" s="21"/>
      <c r="U1306" s="22">
        <f>IFERROR(__xludf.DUMMYFUNCTION("IFERROR(GOOGLEFINANCE(A1306,""closeyest""),"""")"),1020.0)</f>
        <v>1020</v>
      </c>
      <c r="V1306" s="23">
        <f>IFERROR(__xludf.DUMMYFUNCTION("IFERROR(GOOGLEFINANCE(A1306,""changepct""),"""")"),1.96)</f>
        <v>1.96</v>
      </c>
      <c r="W1306" s="22">
        <f>IFERROR(__xludf.DUMMYFUNCTION("IFERROR(GOOGLEFINANCE(A1306,""priceopen""),"""")"),1070.0)</f>
        <v>1070</v>
      </c>
      <c r="X1306" s="22" t="str">
        <f>IFERROR(__xludf.DUMMYFUNCTION("IFERROR(GOOGLEFINANCE(A1306,""high""),"""")"),"")</f>
        <v/>
      </c>
      <c r="Y1306" s="22">
        <f>IFERROR(__xludf.DUMMYFUNCTION("IFERROR(GOOGLEFINANCE(A1306,""low""),"""")"),1040.0)</f>
        <v>1040</v>
      </c>
      <c r="Z1306" s="22">
        <f>IFERROR(__xludf.DUMMYFUNCTION("IFERROR(GOOGLEFINANCE(A1306,""volume""),"""")"),200.0)</f>
        <v>200</v>
      </c>
      <c r="AA1306" s="24" t="str">
        <f>VLOOKUP(A1306,Metrik!$C$2:$Y$959,5,0)</f>
        <v>Holding &amp; Investment Companies</v>
      </c>
      <c r="AB1306" s="24" t="str">
        <f>VLOOKUP(A1306,Metrik!$C$2:$Y$959,3,0)</f>
        <v>Financials</v>
      </c>
    </row>
    <row r="1307">
      <c r="A1307" s="14" t="s">
        <v>699</v>
      </c>
      <c r="B1307" s="14" t="str">
        <f t="array" ref="B1307">VLOOKUP(A1307,{Metrik!$C$2:$C$998,Metrik!$B$2:$B$998},2,0)</f>
        <v>PAM Mineral Tbk.</v>
      </c>
      <c r="C1307" s="15">
        <f>IFERROR(__xludf.DUMMYFUNCTION("GOOGLEFINANCE(""IDX:""&amp;A1307,""price"")"),610.0)</f>
        <v>610</v>
      </c>
      <c r="D1307" s="16" t="str">
        <f>IFERROR(__xludf.DUMMYFUNCTION("IF(A1307="""","""",
SPARKLINE(
INDEX(
GOOGLEFINANCE(""IDX:""&amp;A1307,""close"",TODAY()-365,TODAY()),
,2
),
{""linewidth"",1}
))
"),"#N/A")</f>
        <v>#N/A</v>
      </c>
      <c r="E1307" s="26"/>
      <c r="F1307" s="26"/>
      <c r="G1307" s="24">
        <f t="shared" si="8"/>
        <v>0</v>
      </c>
      <c r="H1307" s="19">
        <f>VLOOKUP(A1307,Metrik!$C$2:$Y$959,8,0)</f>
        <v>22.4</v>
      </c>
      <c r="I1307" s="20">
        <f>VLOOKUP(A1307,Metrik!$C$2:$Y$959,9,0)</f>
        <v>6.8</v>
      </c>
      <c r="J1307" s="20">
        <f>VLOOKUP(A1307,Metrik!$C$2:$Y$959,10,0)</f>
        <v>30.2</v>
      </c>
      <c r="K1307" s="20">
        <f>VLOOKUP(A1307,Metrik!$C$2:$Y$959,11,0)</f>
        <v>25.3</v>
      </c>
      <c r="L1307" s="20">
        <f>VLOOKUP(A1307,Metrik!$C$2:$Y$959,12,0)</f>
        <v>0.19</v>
      </c>
      <c r="M1307" s="20">
        <f>VLOOKUP(A1307,Metrik!$C$2:$Y$959,19,0)</f>
        <v>91.6</v>
      </c>
      <c r="N1307" s="21"/>
      <c r="O1307" s="21"/>
      <c r="P1307" s="21"/>
      <c r="Q1307" s="21"/>
      <c r="R1307" s="21"/>
      <c r="S1307" s="21"/>
      <c r="T1307" s="21"/>
      <c r="U1307" s="22">
        <f>IFERROR(__xludf.DUMMYFUNCTION("IFERROR(GOOGLEFINANCE(A1307,""closeyest""),"""")"),970.0)</f>
        <v>970</v>
      </c>
      <c r="V1307" s="23">
        <f>IFERROR(__xludf.DUMMYFUNCTION("IFERROR(GOOGLEFINANCE(A1307,""changepct""),"""")"),1.65)</f>
        <v>1.65</v>
      </c>
      <c r="W1307" s="22">
        <f>IFERROR(__xludf.DUMMYFUNCTION("IFERROR(GOOGLEFINANCE(A1307,""priceopen""),"""")"),976.0)</f>
        <v>976</v>
      </c>
      <c r="X1307" s="22">
        <f>IFERROR(__xludf.DUMMYFUNCTION("IFERROR(GOOGLEFINANCE(A1307,""high""),"""")"),986.0)</f>
        <v>986</v>
      </c>
      <c r="Y1307" s="22" t="str">
        <f>IFERROR(__xludf.DUMMYFUNCTION("IFERROR(GOOGLEFINANCE(A1307,""low""),"""")"),"")</f>
        <v/>
      </c>
      <c r="Z1307" s="22">
        <f>IFERROR(__xludf.DUMMYFUNCTION("IFERROR(GOOGLEFINANCE(A1307,""volume""),"""")"),44888.0)</f>
        <v>44888</v>
      </c>
      <c r="AA1307" s="24" t="str">
        <f>VLOOKUP(A1307,Metrik!$C$2:$Y$959,5,0)</f>
        <v>Metals &amp; Minerals</v>
      </c>
      <c r="AB1307" s="24" t="str">
        <f>VLOOKUP(A1307,Metrik!$C$2:$Y$959,3,0)</f>
        <v>Basic Materials</v>
      </c>
    </row>
    <row r="1308">
      <c r="A1308" s="17" t="s">
        <v>700</v>
      </c>
      <c r="B1308" s="14" t="str">
        <f t="array" ref="B1308">VLOOKUP(A1308,{Metrik!$C$2:$C$998,Metrik!$B$2:$B$998},2,0)</f>
        <v>Pelat Timah Nusantara Tbk.</v>
      </c>
      <c r="C1308" s="15">
        <f>IFERROR(__xludf.DUMMYFUNCTION("GOOGLEFINANCE(""IDX:""&amp;A1308,""price"")"),192.0)</f>
        <v>192</v>
      </c>
      <c r="D1308" s="16" t="str">
        <f>IFERROR(__xludf.DUMMYFUNCTION("IF(A1308="""","""",
SPARKLINE(
INDEX(
GOOGLEFINANCE(""IDX:""&amp;A1308,""close"",TODAY()-365,TODAY()),
,2
),
{""linewidth"",1}
))
"),"#N/A")</f>
        <v>#N/A</v>
      </c>
      <c r="E1308" s="14" t="s">
        <v>106</v>
      </c>
      <c r="F1308" s="25">
        <v>46356.0</v>
      </c>
      <c r="G1308" s="18">
        <f t="shared" si="8"/>
        <v>1</v>
      </c>
      <c r="H1308" s="19">
        <f>VLOOKUP(A1308,Metrik!$C$2:$Y$959,8,0)</f>
        <v>22.1</v>
      </c>
      <c r="I1308" s="20">
        <f>VLOOKUP(A1308,Metrik!$C$2:$Y$959,9,0)</f>
        <v>0.65</v>
      </c>
      <c r="J1308" s="20">
        <f>VLOOKUP(A1308,Metrik!$C$2:$Y$959,10,0)</f>
        <v>2.9</v>
      </c>
      <c r="K1308" s="20">
        <f>VLOOKUP(A1308,Metrik!$C$2:$Y$959,11,0)</f>
        <v>1.5</v>
      </c>
      <c r="L1308" s="20">
        <f>VLOOKUP(A1308,Metrik!$C$2:$Y$959,12,0)</f>
        <v>0.92</v>
      </c>
      <c r="M1308" s="20">
        <f>VLOOKUP(A1308,Metrik!$C$2:$Y$959,19,0)</f>
        <v>5.1</v>
      </c>
      <c r="N1308" s="21"/>
      <c r="O1308" s="21"/>
      <c r="P1308" s="21"/>
      <c r="Q1308" s="21"/>
      <c r="R1308" s="21"/>
      <c r="S1308" s="21"/>
      <c r="T1308" s="21"/>
      <c r="U1308" s="22">
        <f>IFERROR(__xludf.DUMMYFUNCTION("IFERROR(GOOGLEFINANCE(A1308,""closeyest""),"""")"),13.82)</f>
        <v>13.82</v>
      </c>
      <c r="V1308" s="23">
        <f>IFERROR(__xludf.DUMMYFUNCTION("IFERROR(GOOGLEFINANCE(A1308,""changepct""),"""")"),2.68)</f>
        <v>2.68</v>
      </c>
      <c r="W1308" s="22">
        <f>IFERROR(__xludf.DUMMYFUNCTION("IFERROR(GOOGLEFINANCE(A1308,""priceopen""),"""")"),14.08)</f>
        <v>14.08</v>
      </c>
      <c r="X1308" s="22">
        <f>IFERROR(__xludf.DUMMYFUNCTION("IFERROR(GOOGLEFINANCE(A1308,""high""),"""")"),14.32)</f>
        <v>14.32</v>
      </c>
      <c r="Y1308" s="22">
        <f>IFERROR(__xludf.DUMMYFUNCTION("IFERROR(GOOGLEFINANCE(A1308,""low""),"""")"),14.02)</f>
        <v>14.02</v>
      </c>
      <c r="Z1308" s="22">
        <f>IFERROR(__xludf.DUMMYFUNCTION("IFERROR(GOOGLEFINANCE(A1308,""volume""),"""")"),42526.0)</f>
        <v>42526</v>
      </c>
      <c r="AA1308" s="24" t="str">
        <f>VLOOKUP(A1308,Metrik!$C$2:$Y$959,5,0)</f>
        <v>Metals &amp; Minerals</v>
      </c>
      <c r="AB1308" s="24" t="str">
        <f>VLOOKUP(A1308,Metrik!$C$2:$Y$959,3,0)</f>
        <v>Basic Materials</v>
      </c>
    </row>
    <row r="1309">
      <c r="A1309" s="14" t="s">
        <v>701</v>
      </c>
      <c r="B1309" s="14" t="str">
        <f t="array" ref="B1309">VLOOKUP(A1309,{Metrik!$C$2:$C$998,Metrik!$B$2:$B$998},2,0)</f>
        <v>PT Techno9 Indonesia Tbk</v>
      </c>
      <c r="C1309" s="15">
        <f>IFERROR(__xludf.DUMMYFUNCTION("GOOGLEFINANCE(""IDX:""&amp;A1309,""price"")"),81.0)</f>
        <v>81</v>
      </c>
      <c r="D1309" s="16" t="str">
        <f>IFERROR(__xludf.DUMMYFUNCTION("IF(A1309="""","""",
SPARKLINE(
INDEX(
GOOGLEFINANCE(""IDX:""&amp;A1309,""close"",TODAY()-365,TODAY()),
,2
),
{""linewidth"",1}
))
"),"#N/A")</f>
        <v>#N/A</v>
      </c>
      <c r="E1309" s="26"/>
      <c r="F1309" s="26"/>
      <c r="G1309" s="24">
        <f t="shared" si="8"/>
        <v>0</v>
      </c>
      <c r="H1309" s="19">
        <f>VLOOKUP(A1309,Metrik!$C$2:$Y$959,8,0)</f>
        <v>-32.5</v>
      </c>
      <c r="I1309" s="20">
        <f>VLOOKUP(A1309,Metrik!$C$2:$Y$959,9,0)</f>
        <v>6.6</v>
      </c>
      <c r="J1309" s="20">
        <f>VLOOKUP(A1309,Metrik!$C$2:$Y$959,10,0)</f>
        <v>-20.3</v>
      </c>
      <c r="K1309" s="20">
        <f>VLOOKUP(A1309,Metrik!$C$2:$Y$959,11,0)</f>
        <v>-18.6</v>
      </c>
      <c r="L1309" s="20">
        <f>VLOOKUP(A1309,Metrik!$C$2:$Y$959,12,0)</f>
        <v>0.09</v>
      </c>
      <c r="M1309" s="20">
        <f>VLOOKUP(A1309,Metrik!$C$2:$Y$959,19,0)</f>
        <v>-560</v>
      </c>
      <c r="N1309" s="21"/>
      <c r="O1309" s="21"/>
      <c r="P1309" s="21"/>
      <c r="Q1309" s="21"/>
      <c r="R1309" s="21"/>
      <c r="S1309" s="21"/>
      <c r="T1309" s="21"/>
      <c r="U1309" s="22">
        <f>IFERROR(__xludf.DUMMYFUNCTION("IFERROR(GOOGLEFINANCE(A1309,""closeyest""),"""")"),9.92)</f>
        <v>9.92</v>
      </c>
      <c r="V1309" s="23">
        <f>IFERROR(__xludf.DUMMYFUNCTION("IFERROR(GOOGLEFINANCE(A1309,""changepct""),"""")"),4.94)</f>
        <v>4.94</v>
      </c>
      <c r="W1309" s="22">
        <f>IFERROR(__xludf.DUMMYFUNCTION("IFERROR(GOOGLEFINANCE(A1309,""priceopen""),"""")"),10.02)</f>
        <v>10.02</v>
      </c>
      <c r="X1309" s="22">
        <f>IFERROR(__xludf.DUMMYFUNCTION("IFERROR(GOOGLEFINANCE(A1309,""high""),"""")"),10.55)</f>
        <v>10.55</v>
      </c>
      <c r="Y1309" s="22">
        <f>IFERROR(__xludf.DUMMYFUNCTION("IFERROR(GOOGLEFINANCE(A1309,""low""),"""")"),10.02)</f>
        <v>10.02</v>
      </c>
      <c r="Z1309" s="22">
        <f>IFERROR(__xludf.DUMMYFUNCTION("IFERROR(GOOGLEFINANCE(A1309,""volume""),"""")"),48874.0)</f>
        <v>48874</v>
      </c>
      <c r="AA1309" s="24" t="str">
        <f>VLOOKUP(A1309,Metrik!$C$2:$Y$959,5,0)</f>
        <v>Computer Hardware</v>
      </c>
      <c r="AB1309" s="24" t="str">
        <f>VLOOKUP(A1309,Metrik!$C$2:$Y$959,3,0)</f>
        <v>Technology</v>
      </c>
    </row>
    <row r="1310">
      <c r="A1310" s="14" t="s">
        <v>702</v>
      </c>
      <c r="B1310" s="14" t="str">
        <f t="array" ref="B1310">VLOOKUP(A1310,{Metrik!$C$2:$C$998,Metrik!$B$2:$B$998},2,0)</f>
        <v>City Retail Developments Tbk.</v>
      </c>
      <c r="C1310" s="15">
        <f>IFERROR(__xludf.DUMMYFUNCTION("GOOGLEFINANCE(""IDX:""&amp;A1310,""price"")"),151.0)</f>
        <v>151</v>
      </c>
      <c r="D1310" s="16" t="str">
        <f>IFERROR(__xludf.DUMMYFUNCTION("IF(A1310="""","""",
SPARKLINE(
INDEX(
GOOGLEFINANCE(""IDX:""&amp;A1310,""close"",TODAY()-365,TODAY()),
,2
),
{""linewidth"",1}
))
"),"#N/A")</f>
        <v>#N/A</v>
      </c>
      <c r="E1310" s="26"/>
      <c r="F1310" s="26"/>
      <c r="G1310" s="24">
        <f t="shared" si="8"/>
        <v>0</v>
      </c>
      <c r="H1310" s="19">
        <f>VLOOKUP(A1310,Metrik!$C$2:$Y$959,8,0)</f>
        <v>-18.6</v>
      </c>
      <c r="I1310" s="20">
        <f>VLOOKUP(A1310,Metrik!$C$2:$Y$959,9,0)</f>
        <v>0.77</v>
      </c>
      <c r="J1310" s="20">
        <f>VLOOKUP(A1310,Metrik!$C$2:$Y$959,10,0)</f>
        <v>-4.1</v>
      </c>
      <c r="K1310" s="20">
        <f>VLOOKUP(A1310,Metrik!$C$2:$Y$959,11,0)</f>
        <v>-1.4</v>
      </c>
      <c r="L1310" s="20">
        <f>VLOOKUP(A1310,Metrik!$C$2:$Y$959,12,0)</f>
        <v>2.1</v>
      </c>
      <c r="M1310" s="20">
        <f>VLOOKUP(A1310,Metrik!$C$2:$Y$959,19,0)</f>
        <v>-47.2</v>
      </c>
      <c r="N1310" s="21"/>
      <c r="O1310" s="21"/>
      <c r="P1310" s="21"/>
      <c r="Q1310" s="21"/>
      <c r="R1310" s="21"/>
      <c r="S1310" s="21"/>
      <c r="T1310" s="21"/>
      <c r="U1310" s="22">
        <f>IFERROR(__xludf.DUMMYFUNCTION("IFERROR(GOOGLEFINANCE(A1310,""closeyest""),"""")"),148.0)</f>
        <v>148</v>
      </c>
      <c r="V1310" s="23">
        <f>IFERROR(__xludf.DUMMYFUNCTION("IFERROR(GOOGLEFINANCE(A1310,""changepct""),"""")"),2.03)</f>
        <v>2.03</v>
      </c>
      <c r="W1310" s="22">
        <f>IFERROR(__xludf.DUMMYFUNCTION("IFERROR(GOOGLEFINANCE(A1310,""priceopen""),"""")"),146.0)</f>
        <v>146</v>
      </c>
      <c r="X1310" s="22">
        <f>IFERROR(__xludf.DUMMYFUNCTION("IFERROR(GOOGLEFINANCE(A1310,""high""),"""")"),160.0)</f>
        <v>160</v>
      </c>
      <c r="Y1310" s="22">
        <f>IFERROR(__xludf.DUMMYFUNCTION("IFERROR(GOOGLEFINANCE(A1310,""low""),"""")"),142.0)</f>
        <v>142</v>
      </c>
      <c r="Z1310" s="22">
        <f>IFERROR(__xludf.DUMMYFUNCTION("IFERROR(GOOGLEFINANCE(A1310,""volume""),"""")"),740700.0)</f>
        <v>740700</v>
      </c>
      <c r="AA1310" s="24" t="str">
        <f>VLOOKUP(A1310,Metrik!$C$2:$Y$959,5,0)</f>
        <v>Real Estate Management &amp; Development</v>
      </c>
      <c r="AB1310" s="24" t="str">
        <f>VLOOKUP(A1310,Metrik!$C$2:$Y$959,3,0)</f>
        <v>Properties &amp; Real Estate</v>
      </c>
    </row>
    <row r="1311">
      <c r="A1311" s="14" t="s">
        <v>703</v>
      </c>
      <c r="B1311" s="14" t="str">
        <f t="array" ref="B1311">VLOOKUP(A1311,{Metrik!$C$2:$C$998,Metrik!$B$2:$B$998},2,0)</f>
        <v>PT Bank OCBC NISP Tbk</v>
      </c>
      <c r="C1311" s="15">
        <f>IFERROR(__xludf.DUMMYFUNCTION("GOOGLEFINANCE(""IDX:""&amp;A1311,""price"")"),1230.0)</f>
        <v>1230</v>
      </c>
      <c r="D1311" s="16" t="str">
        <f>IFERROR(__xludf.DUMMYFUNCTION("IF(A1311="""","""",
SPARKLINE(
INDEX(
GOOGLEFINANCE(""IDX:""&amp;A1311,""close"",TODAY()-365,TODAY()),
,2
),
{""linewidth"",1}
))
"),"#N/A")</f>
        <v>#N/A</v>
      </c>
      <c r="E1311" s="14" t="s">
        <v>47</v>
      </c>
      <c r="F1311" s="25">
        <v>46356.0</v>
      </c>
      <c r="G1311" s="24">
        <f t="shared" si="8"/>
        <v>4</v>
      </c>
      <c r="H1311" s="19">
        <f>VLOOKUP(A1311,Metrik!$C$2:$Y$959,8,0)</f>
        <v>5.8</v>
      </c>
      <c r="I1311" s="20">
        <f>VLOOKUP(A1311,Metrik!$C$2:$Y$959,9,0)</f>
        <v>0.67</v>
      </c>
      <c r="J1311" s="20">
        <f>VLOOKUP(A1311,Metrik!$C$2:$Y$959,10,0)</f>
        <v>11.5</v>
      </c>
      <c r="K1311" s="20">
        <f>VLOOKUP(A1311,Metrik!$C$2:$Y$959,11,0)</f>
        <v>1.6</v>
      </c>
      <c r="L1311" s="20">
        <f>VLOOKUP(A1311,Metrik!$C$2:$Y$959,12,0)</f>
        <v>6</v>
      </c>
      <c r="M1311" s="20">
        <f>VLOOKUP(A1311,Metrik!$C$2:$Y$959,19,0)</f>
        <v>100</v>
      </c>
      <c r="N1311" s="29">
        <v>5.4</v>
      </c>
      <c r="O1311" s="29">
        <v>23.2</v>
      </c>
      <c r="P1311" s="29">
        <v>83.0</v>
      </c>
      <c r="Q1311" s="29">
        <v>1.9</v>
      </c>
      <c r="R1311" s="29">
        <v>65.9</v>
      </c>
      <c r="S1311" s="29">
        <v>42.4</v>
      </c>
      <c r="T1311" s="29">
        <v>5.9</v>
      </c>
      <c r="U1311" s="22">
        <f>IFERROR(__xludf.DUMMYFUNCTION("IFERROR(GOOGLEFINANCE(A1311,""closeyest""),"""")"),1195.0)</f>
        <v>1195</v>
      </c>
      <c r="V1311" s="23">
        <f>IFERROR(__xludf.DUMMYFUNCTION("IFERROR(GOOGLEFINANCE(A1311,""changepct""),"""")"),2.93)</f>
        <v>2.93</v>
      </c>
      <c r="W1311" s="22">
        <f>IFERROR(__xludf.DUMMYFUNCTION("IFERROR(GOOGLEFINANCE(A1311,""priceopen""),"""")"),1200.0)</f>
        <v>1200</v>
      </c>
      <c r="X1311" s="22">
        <f>IFERROR(__xludf.DUMMYFUNCTION("IFERROR(GOOGLEFINANCE(A1311,""high""),"""")"),1235.0)</f>
        <v>1235</v>
      </c>
      <c r="Y1311" s="22">
        <f>IFERROR(__xludf.DUMMYFUNCTION("IFERROR(GOOGLEFINANCE(A1311,""low""),"""")"),1190.0)</f>
        <v>1190</v>
      </c>
      <c r="Z1311" s="22">
        <f>IFERROR(__xludf.DUMMYFUNCTION("IFERROR(GOOGLEFINANCE(A1311,""volume""),"""")"),4781000.0)</f>
        <v>4781000</v>
      </c>
      <c r="AA1311" s="24" t="str">
        <f>VLOOKUP(A1311,Metrik!$C$2:$Y$959,5,0)</f>
        <v>Banks</v>
      </c>
      <c r="AB1311" s="24" t="str">
        <f>VLOOKUP(A1311,Metrik!$C$2:$Y$959,3,0)</f>
        <v>Financials</v>
      </c>
    </row>
    <row r="1312">
      <c r="A1312" s="14" t="s">
        <v>703</v>
      </c>
      <c r="B1312" s="14" t="str">
        <f t="array" ref="B1312">VLOOKUP(A1312,{Metrik!$C$2:$C$998,Metrik!$B$2:$B$998},2,0)</f>
        <v>PT Bank OCBC NISP Tbk</v>
      </c>
      <c r="C1312" s="15">
        <f>IFERROR(__xludf.DUMMYFUNCTION("GOOGLEFINANCE(""IDX:""&amp;A1312,""price"")"),1230.0)</f>
        <v>1230</v>
      </c>
      <c r="D1312" s="16" t="str">
        <f>IFERROR(__xludf.DUMMYFUNCTION("IF(A1312="""","""",
SPARKLINE(
INDEX(
GOOGLEFINANCE(""IDX:""&amp;A1312,""close"",TODAY()-365,TODAY()),
,2
),
{""linewidth"",1}
))
"),"#N/A")</f>
        <v>#N/A</v>
      </c>
      <c r="E1312" s="14" t="s">
        <v>55</v>
      </c>
      <c r="F1312" s="25">
        <v>46356.0</v>
      </c>
      <c r="G1312" s="24">
        <f t="shared" si="8"/>
        <v>4</v>
      </c>
      <c r="H1312" s="19">
        <f>VLOOKUP(A1312,Metrik!$C$2:$Y$959,8,0)</f>
        <v>5.8</v>
      </c>
      <c r="I1312" s="20">
        <f>VLOOKUP(A1312,Metrik!$C$2:$Y$959,9,0)</f>
        <v>0.67</v>
      </c>
      <c r="J1312" s="20">
        <f>VLOOKUP(A1312,Metrik!$C$2:$Y$959,10,0)</f>
        <v>11.5</v>
      </c>
      <c r="K1312" s="20">
        <f>VLOOKUP(A1312,Metrik!$C$2:$Y$959,11,0)</f>
        <v>1.6</v>
      </c>
      <c r="L1312" s="20">
        <f>VLOOKUP(A1312,Metrik!$C$2:$Y$959,12,0)</f>
        <v>6</v>
      </c>
      <c r="M1312" s="20">
        <f>VLOOKUP(A1312,Metrik!$C$2:$Y$959,19,0)</f>
        <v>100</v>
      </c>
      <c r="N1312" s="29">
        <v>5.4</v>
      </c>
      <c r="O1312" s="29">
        <v>23.2</v>
      </c>
      <c r="P1312" s="29">
        <v>83.0</v>
      </c>
      <c r="Q1312" s="29">
        <v>1.9</v>
      </c>
      <c r="R1312" s="29">
        <v>65.9</v>
      </c>
      <c r="S1312" s="29">
        <v>42.4</v>
      </c>
      <c r="T1312" s="29">
        <v>5.9</v>
      </c>
      <c r="U1312" s="22">
        <f>IFERROR(__xludf.DUMMYFUNCTION("IFERROR(GOOGLEFINANCE(A1312,""closeyest""),"""")"),1195.0)</f>
        <v>1195</v>
      </c>
      <c r="V1312" s="23">
        <f>IFERROR(__xludf.DUMMYFUNCTION("IFERROR(GOOGLEFINANCE(A1312,""changepct""),"""")"),2.93)</f>
        <v>2.93</v>
      </c>
      <c r="W1312" s="22">
        <f>IFERROR(__xludf.DUMMYFUNCTION("IFERROR(GOOGLEFINANCE(A1312,""priceopen""),"""")"),1200.0)</f>
        <v>1200</v>
      </c>
      <c r="X1312" s="22">
        <f>IFERROR(__xludf.DUMMYFUNCTION("IFERROR(GOOGLEFINANCE(A1312,""high""),"""")"),1235.0)</f>
        <v>1235</v>
      </c>
      <c r="Y1312" s="22">
        <f>IFERROR(__xludf.DUMMYFUNCTION("IFERROR(GOOGLEFINANCE(A1312,""low""),"""")"),1190.0)</f>
        <v>1190</v>
      </c>
      <c r="Z1312" s="22">
        <f>IFERROR(__xludf.DUMMYFUNCTION("IFERROR(GOOGLEFINANCE(A1312,""volume""),"""")"),4781000.0)</f>
        <v>4781000</v>
      </c>
      <c r="AA1312" s="24" t="str">
        <f>VLOOKUP(A1312,Metrik!$C$2:$Y$959,5,0)</f>
        <v>Banks</v>
      </c>
      <c r="AB1312" s="24" t="str">
        <f>VLOOKUP(A1312,Metrik!$C$2:$Y$959,3,0)</f>
        <v>Financials</v>
      </c>
    </row>
    <row r="1313">
      <c r="A1313" s="14" t="s">
        <v>703</v>
      </c>
      <c r="B1313" s="14" t="str">
        <f t="array" ref="B1313">VLOOKUP(A1313,{Metrik!$C$2:$C$998,Metrik!$B$2:$B$998},2,0)</f>
        <v>PT Bank OCBC NISP Tbk</v>
      </c>
      <c r="C1313" s="15">
        <f>IFERROR(__xludf.DUMMYFUNCTION("GOOGLEFINANCE(""IDX:""&amp;A1313,""price"")"),1230.0)</f>
        <v>1230</v>
      </c>
      <c r="D1313" s="16" t="str">
        <f>IFERROR(__xludf.DUMMYFUNCTION("IF(A1313="""","""",
SPARKLINE(
INDEX(
GOOGLEFINANCE(""IDX:""&amp;A1313,""close"",TODAY()-365,TODAY()),
,2
),
{""linewidth"",1}
))
"),"#N/A")</f>
        <v>#N/A</v>
      </c>
      <c r="E1313" s="14" t="s">
        <v>102</v>
      </c>
      <c r="F1313" s="27" t="s">
        <v>53</v>
      </c>
      <c r="G1313" s="24">
        <f t="shared" si="8"/>
        <v>4</v>
      </c>
      <c r="H1313" s="19">
        <f>VLOOKUP(A1313,Metrik!$C$2:$Y$959,8,0)</f>
        <v>5.8</v>
      </c>
      <c r="I1313" s="20">
        <f>VLOOKUP(A1313,Metrik!$C$2:$Y$959,9,0)</f>
        <v>0.67</v>
      </c>
      <c r="J1313" s="20">
        <f>VLOOKUP(A1313,Metrik!$C$2:$Y$959,10,0)</f>
        <v>11.5</v>
      </c>
      <c r="K1313" s="20">
        <f>VLOOKUP(A1313,Metrik!$C$2:$Y$959,11,0)</f>
        <v>1.6</v>
      </c>
      <c r="L1313" s="20">
        <f>VLOOKUP(A1313,Metrik!$C$2:$Y$959,12,0)</f>
        <v>6</v>
      </c>
      <c r="M1313" s="20">
        <f>VLOOKUP(A1313,Metrik!$C$2:$Y$959,19,0)</f>
        <v>100</v>
      </c>
      <c r="N1313" s="29">
        <v>5.4</v>
      </c>
      <c r="O1313" s="29">
        <v>23.2</v>
      </c>
      <c r="P1313" s="29">
        <v>83.0</v>
      </c>
      <c r="Q1313" s="29">
        <v>1.9</v>
      </c>
      <c r="R1313" s="29">
        <v>65.9</v>
      </c>
      <c r="S1313" s="29">
        <v>42.4</v>
      </c>
      <c r="T1313" s="29">
        <v>5.9</v>
      </c>
      <c r="U1313" s="22">
        <f>IFERROR(__xludf.DUMMYFUNCTION("IFERROR(GOOGLEFINANCE(A1313,""closeyest""),"""")"),1195.0)</f>
        <v>1195</v>
      </c>
      <c r="V1313" s="23">
        <f>IFERROR(__xludf.DUMMYFUNCTION("IFERROR(GOOGLEFINANCE(A1313,""changepct""),"""")"),2.93)</f>
        <v>2.93</v>
      </c>
      <c r="W1313" s="22">
        <f>IFERROR(__xludf.DUMMYFUNCTION("IFERROR(GOOGLEFINANCE(A1313,""priceopen""),"""")"),1200.0)</f>
        <v>1200</v>
      </c>
      <c r="X1313" s="22">
        <f>IFERROR(__xludf.DUMMYFUNCTION("IFERROR(GOOGLEFINANCE(A1313,""high""),"""")"),1235.0)</f>
        <v>1235</v>
      </c>
      <c r="Y1313" s="22">
        <f>IFERROR(__xludf.DUMMYFUNCTION("IFERROR(GOOGLEFINANCE(A1313,""low""),"""")"),1190.0)</f>
        <v>1190</v>
      </c>
      <c r="Z1313" s="22">
        <f>IFERROR(__xludf.DUMMYFUNCTION("IFERROR(GOOGLEFINANCE(A1313,""volume""),"""")"),4781000.0)</f>
        <v>4781000</v>
      </c>
      <c r="AA1313" s="24" t="str">
        <f>VLOOKUP(A1313,Metrik!$C$2:$Y$959,5,0)</f>
        <v>Banks</v>
      </c>
      <c r="AB1313" s="24" t="str">
        <f>VLOOKUP(A1313,Metrik!$C$2:$Y$959,3,0)</f>
        <v>Financials</v>
      </c>
    </row>
    <row r="1314">
      <c r="A1314" s="14" t="s">
        <v>703</v>
      </c>
      <c r="B1314" s="14" t="str">
        <f t="array" ref="B1314">VLOOKUP(A1314,{Metrik!$C$2:$C$998,Metrik!$B$2:$B$998},2,0)</f>
        <v>PT Bank OCBC NISP Tbk</v>
      </c>
      <c r="C1314" s="15">
        <f>IFERROR(__xludf.DUMMYFUNCTION("GOOGLEFINANCE(""IDX:""&amp;A1314,""price"")"),1230.0)</f>
        <v>1230</v>
      </c>
      <c r="D1314" s="16" t="str">
        <f>IFERROR(__xludf.DUMMYFUNCTION("IF(A1314="""","""",
SPARKLINE(
INDEX(
GOOGLEFINANCE(""IDX:""&amp;A1314,""close"",TODAY()-365,TODAY()),
,2
),
{""linewidth"",1}
))
"),"#N/A")</f>
        <v>#N/A</v>
      </c>
      <c r="E1314" s="14" t="s">
        <v>75</v>
      </c>
      <c r="F1314" s="14" t="s">
        <v>76</v>
      </c>
      <c r="G1314" s="24">
        <f t="shared" si="8"/>
        <v>4</v>
      </c>
      <c r="H1314" s="19">
        <f>VLOOKUP(A1314,Metrik!$C$2:$Y$959,8,0)</f>
        <v>5.8</v>
      </c>
      <c r="I1314" s="20">
        <f>VLOOKUP(A1314,Metrik!$C$2:$Y$959,9,0)</f>
        <v>0.67</v>
      </c>
      <c r="J1314" s="20">
        <f>VLOOKUP(A1314,Metrik!$C$2:$Y$959,10,0)</f>
        <v>11.5</v>
      </c>
      <c r="K1314" s="20">
        <f>VLOOKUP(A1314,Metrik!$C$2:$Y$959,11,0)</f>
        <v>1.6</v>
      </c>
      <c r="L1314" s="20">
        <f>VLOOKUP(A1314,Metrik!$C$2:$Y$959,12,0)</f>
        <v>6</v>
      </c>
      <c r="M1314" s="20">
        <f>VLOOKUP(A1314,Metrik!$C$2:$Y$959,19,0)</f>
        <v>100</v>
      </c>
      <c r="N1314" s="29">
        <v>5.4</v>
      </c>
      <c r="O1314" s="29">
        <v>23.2</v>
      </c>
      <c r="P1314" s="29">
        <v>83.0</v>
      </c>
      <c r="Q1314" s="29">
        <v>1.9</v>
      </c>
      <c r="R1314" s="29">
        <v>65.9</v>
      </c>
      <c r="S1314" s="29">
        <v>42.4</v>
      </c>
      <c r="T1314" s="29">
        <v>5.9</v>
      </c>
      <c r="U1314" s="22">
        <f>IFERROR(__xludf.DUMMYFUNCTION("IFERROR(GOOGLEFINANCE(A1314,""closeyest""),"""")"),1195.0)</f>
        <v>1195</v>
      </c>
      <c r="V1314" s="23">
        <f>IFERROR(__xludf.DUMMYFUNCTION("IFERROR(GOOGLEFINANCE(A1314,""changepct""),"""")"),2.93)</f>
        <v>2.93</v>
      </c>
      <c r="W1314" s="22">
        <f>IFERROR(__xludf.DUMMYFUNCTION("IFERROR(GOOGLEFINANCE(A1314,""priceopen""),"""")"),1200.0)</f>
        <v>1200</v>
      </c>
      <c r="X1314" s="22">
        <f>IFERROR(__xludf.DUMMYFUNCTION("IFERROR(GOOGLEFINANCE(A1314,""high""),"""")"),1235.0)</f>
        <v>1235</v>
      </c>
      <c r="Y1314" s="22">
        <f>IFERROR(__xludf.DUMMYFUNCTION("IFERROR(GOOGLEFINANCE(A1314,""low""),"""")"),1190.0)</f>
        <v>1190</v>
      </c>
      <c r="Z1314" s="22">
        <f>IFERROR(__xludf.DUMMYFUNCTION("IFERROR(GOOGLEFINANCE(A1314,""volume""),"""")"),4781000.0)</f>
        <v>4781000</v>
      </c>
      <c r="AA1314" s="24" t="str">
        <f>VLOOKUP(A1314,Metrik!$C$2:$Y$959,5,0)</f>
        <v>Banks</v>
      </c>
      <c r="AB1314" s="24" t="str">
        <f>VLOOKUP(A1314,Metrik!$C$2:$Y$959,3,0)</f>
        <v>Financials</v>
      </c>
    </row>
    <row r="1315">
      <c r="A1315" s="14" t="s">
        <v>704</v>
      </c>
      <c r="B1315" s="14" t="str">
        <f t="array" ref="B1315">VLOOKUP(A1315,{Metrik!$C$2:$C$998,Metrik!$B$2:$B$998},2,0)</f>
        <v>PT Bank Nationalnobu Tbk.</v>
      </c>
      <c r="C1315" s="15">
        <f>IFERROR(__xludf.DUMMYFUNCTION("GOOGLEFINANCE(""IDX:""&amp;A1315,""price"")"),440.0)</f>
        <v>440</v>
      </c>
      <c r="D1315" s="16" t="str">
        <f>IFERROR(__xludf.DUMMYFUNCTION("IF(A1315="""","""",
SPARKLINE(
INDEX(
GOOGLEFINANCE(""IDX:""&amp;A1315,""close"",TODAY()-365,TODAY()),
,2
),
{""linewidth"",1}
))
"),"#N/A")</f>
        <v>#N/A</v>
      </c>
      <c r="E1315" s="26"/>
      <c r="F1315" s="26"/>
      <c r="G1315" s="24">
        <f t="shared" si="8"/>
        <v>0</v>
      </c>
      <c r="H1315" s="19">
        <f>VLOOKUP(A1315,Metrik!$C$2:$Y$959,8,0)</f>
        <v>6.6</v>
      </c>
      <c r="I1315" s="20">
        <f>VLOOKUP(A1315,Metrik!$C$2:$Y$959,9,0)</f>
        <v>0.8</v>
      </c>
      <c r="J1315" s="20">
        <f>VLOOKUP(A1315,Metrik!$C$2:$Y$959,10,0)</f>
        <v>12.2</v>
      </c>
      <c r="K1315" s="20">
        <f>VLOOKUP(A1315,Metrik!$C$2:$Y$959,11,0)</f>
        <v>1.3</v>
      </c>
      <c r="L1315" s="20">
        <f>VLOOKUP(A1315,Metrik!$C$2:$Y$959,12,0)</f>
        <v>8.8</v>
      </c>
      <c r="M1315" s="20">
        <f>VLOOKUP(A1315,Metrik!$C$2:$Y$959,19,0)</f>
        <v>63.3</v>
      </c>
      <c r="N1315" s="41"/>
      <c r="O1315" s="32">
        <v>23.84</v>
      </c>
      <c r="P1315" s="41"/>
      <c r="Q1315" s="41"/>
      <c r="R1315" s="41"/>
      <c r="S1315" s="41"/>
      <c r="T1315" s="41"/>
      <c r="U1315" s="22">
        <f>IFERROR(__xludf.DUMMYFUNCTION("IFERROR(GOOGLEFINANCE(A1315,""closeyest""),"""")"),426.0)</f>
        <v>426</v>
      </c>
      <c r="V1315" s="23">
        <f>IFERROR(__xludf.DUMMYFUNCTION("IFERROR(GOOGLEFINANCE(A1315,""changepct""),"""")"),3.29)</f>
        <v>3.29</v>
      </c>
      <c r="W1315" s="22">
        <f>IFERROR(__xludf.DUMMYFUNCTION("IFERROR(GOOGLEFINANCE(A1315,""priceopen""),"""")"),430.0)</f>
        <v>430</v>
      </c>
      <c r="X1315" s="22">
        <f>IFERROR(__xludf.DUMMYFUNCTION("IFERROR(GOOGLEFINANCE(A1315,""high""),"""")"),454.0)</f>
        <v>454</v>
      </c>
      <c r="Y1315" s="22">
        <f>IFERROR(__xludf.DUMMYFUNCTION("IFERROR(GOOGLEFINANCE(A1315,""low""),"""")"),430.0)</f>
        <v>430</v>
      </c>
      <c r="Z1315" s="22">
        <f>IFERROR(__xludf.DUMMYFUNCTION("IFERROR(GOOGLEFINANCE(A1315,""volume""),"""")"),1907900.0)</f>
        <v>1907900</v>
      </c>
      <c r="AA1315" s="24" t="str">
        <f>VLOOKUP(A1315,Metrik!$C$2:$Y$959,5,0)</f>
        <v>Banks</v>
      </c>
      <c r="AB1315" s="24" t="str">
        <f>VLOOKUP(A1315,Metrik!$C$2:$Y$959,3,0)</f>
        <v>Financials</v>
      </c>
    </row>
    <row r="1316">
      <c r="A1316" s="14" t="s">
        <v>705</v>
      </c>
      <c r="B1316" s="14" t="str">
        <f t="array" ref="B1316">VLOOKUP(A1316,{Metrik!$C$2:$C$998,Metrik!$B$2:$B$998},2,0)</f>
        <v>Nusa Palapa Gemilang Tbk.</v>
      </c>
      <c r="C1316" s="15">
        <f>IFERROR(__xludf.DUMMYFUNCTION("GOOGLEFINANCE(""IDX:""&amp;A1316,""price"")"),61.0)</f>
        <v>61</v>
      </c>
      <c r="D1316" s="16" t="str">
        <f>IFERROR(__xludf.DUMMYFUNCTION("IF(A1316="""","""",
SPARKLINE(
INDEX(
GOOGLEFINANCE(""IDX:""&amp;A1316,""close"",TODAY()-365,TODAY()),
,2
),
{""linewidth"",1}
))
"),"#N/A")</f>
        <v>#N/A</v>
      </c>
      <c r="E1316" s="26"/>
      <c r="F1316" s="26"/>
      <c r="G1316" s="24">
        <f t="shared" si="8"/>
        <v>0</v>
      </c>
      <c r="H1316" s="19">
        <f>VLOOKUP(A1316,Metrik!$C$2:$Y$959,8,0)</f>
        <v>54.1</v>
      </c>
      <c r="I1316" s="20">
        <f>VLOOKUP(A1316,Metrik!$C$2:$Y$959,9,0)</f>
        <v>0.83</v>
      </c>
      <c r="J1316" s="20">
        <f>VLOOKUP(A1316,Metrik!$C$2:$Y$959,10,0)</f>
        <v>1.5</v>
      </c>
      <c r="K1316" s="20">
        <f>VLOOKUP(A1316,Metrik!$C$2:$Y$959,11,0)</f>
        <v>1.1</v>
      </c>
      <c r="L1316" s="20">
        <f>VLOOKUP(A1316,Metrik!$C$2:$Y$959,12,0)</f>
        <v>0.38</v>
      </c>
      <c r="M1316" s="20">
        <f>VLOOKUP(A1316,Metrik!$C$2:$Y$959,19,0)</f>
        <v>2.8</v>
      </c>
      <c r="N1316" s="21"/>
      <c r="O1316" s="21"/>
      <c r="P1316" s="21"/>
      <c r="Q1316" s="21"/>
      <c r="R1316" s="21"/>
      <c r="S1316" s="21"/>
      <c r="T1316" s="21"/>
      <c r="U1316" s="22">
        <f>IFERROR(__xludf.DUMMYFUNCTION("IFERROR(GOOGLEFINANCE(A1316,""closeyest""),"""")"),65.0)</f>
        <v>65</v>
      </c>
      <c r="V1316" s="23">
        <f>IFERROR(__xludf.DUMMYFUNCTION("IFERROR(GOOGLEFINANCE(A1316,""changepct""),"""")"),-6.15)</f>
        <v>-6.15</v>
      </c>
      <c r="W1316" s="22">
        <f>IFERROR(__xludf.DUMMYFUNCTION("IFERROR(GOOGLEFINANCE(A1316,""priceopen""),"""")"),67.0)</f>
        <v>67</v>
      </c>
      <c r="X1316" s="22">
        <f>IFERROR(__xludf.DUMMYFUNCTION("IFERROR(GOOGLEFINANCE(A1316,""high""),"""")"),69.0)</f>
        <v>69</v>
      </c>
      <c r="Y1316" s="22">
        <f>IFERROR(__xludf.DUMMYFUNCTION("IFERROR(GOOGLEFINANCE(A1316,""low""),"""")"),61.0)</f>
        <v>61</v>
      </c>
      <c r="Z1316" s="22">
        <f>IFERROR(__xludf.DUMMYFUNCTION("IFERROR(GOOGLEFINANCE(A1316,""volume""),"""")"),4.26308E7)</f>
        <v>42630800</v>
      </c>
      <c r="AA1316" s="24" t="str">
        <f>VLOOKUP(A1316,Metrik!$C$2:$Y$959,5,0)</f>
        <v>Chemicals</v>
      </c>
      <c r="AB1316" s="24" t="str">
        <f>VLOOKUP(A1316,Metrik!$C$2:$Y$959,3,0)</f>
        <v>Basic Materials</v>
      </c>
    </row>
    <row r="1317">
      <c r="A1317" s="14" t="s">
        <v>706</v>
      </c>
      <c r="B1317" s="14" t="str">
        <f t="array" ref="B1317">VLOOKUP(A1317,{Metrik!$C$2:$C$998,Metrik!$B$2:$B$998},2,0)</f>
        <v>PT Nusa Raya Cipta Tbk.</v>
      </c>
      <c r="C1317" s="15" t="str">
        <f>IFERROR(__xludf.DUMMYFUNCTION("GOOGLEFINANCE(""IDX:""&amp;A1317,""price"")"),"#N/A")</f>
        <v>#N/A</v>
      </c>
      <c r="D1317" s="16" t="str">
        <f>IFERROR(__xludf.DUMMYFUNCTION("IF(A1317="""","""",
SPARKLINE(
INDEX(
GOOGLEFINANCE(""IDX:""&amp;A1317,""close"",TODAY()-365,TODAY()),
,2
),
{""linewidth"",1}
))
"),"#N/A")</f>
        <v>#N/A</v>
      </c>
      <c r="E1317" s="26"/>
      <c r="F1317" s="26"/>
      <c r="G1317" s="24">
        <f t="shared" si="8"/>
        <v>0</v>
      </c>
      <c r="H1317" s="19">
        <f>VLOOKUP(A1317,Metrik!$C$2:$Y$959,8,0)</f>
        <v>7.1</v>
      </c>
      <c r="I1317" s="20">
        <f>VLOOKUP(A1317,Metrik!$C$2:$Y$959,9,0)</f>
        <v>0.87</v>
      </c>
      <c r="J1317" s="20">
        <f>VLOOKUP(A1317,Metrik!$C$2:$Y$959,10,0)</f>
        <v>12.3</v>
      </c>
      <c r="K1317" s="20">
        <f>VLOOKUP(A1317,Metrik!$C$2:$Y$959,11,0)</f>
        <v>5.9</v>
      </c>
      <c r="L1317" s="20">
        <f>VLOOKUP(A1317,Metrik!$C$2:$Y$959,12,0)</f>
        <v>1.1</v>
      </c>
      <c r="M1317" s="20">
        <f>VLOOKUP(A1317,Metrik!$C$2:$Y$959,19,0)</f>
        <v>20.7</v>
      </c>
      <c r="N1317" s="21"/>
      <c r="O1317" s="21"/>
      <c r="P1317" s="21"/>
      <c r="Q1317" s="21"/>
      <c r="R1317" s="21"/>
      <c r="S1317" s="21"/>
      <c r="T1317" s="21"/>
      <c r="U1317" s="22">
        <f>IFERROR(__xludf.DUMMYFUNCTION("IFERROR(GOOGLEFINANCE(A1317,""closeyest""),"""")"),400.0)</f>
        <v>400</v>
      </c>
      <c r="V1317" s="23">
        <f>IFERROR(__xludf.DUMMYFUNCTION("IFERROR(GOOGLEFINANCE(A1317,""changepct""),"""")"),3.5)</f>
        <v>3.5</v>
      </c>
      <c r="W1317" s="22">
        <f>IFERROR(__xludf.DUMMYFUNCTION("IFERROR(GOOGLEFINANCE(A1317,""priceopen""),"""")"),400.0)</f>
        <v>400</v>
      </c>
      <c r="X1317" s="22">
        <f>IFERROR(__xludf.DUMMYFUNCTION("IFERROR(GOOGLEFINANCE(A1317,""high""),"""")"),422.0)</f>
        <v>422</v>
      </c>
      <c r="Y1317" s="22">
        <f>IFERROR(__xludf.DUMMYFUNCTION("IFERROR(GOOGLEFINANCE(A1317,""low""),"""")"),400.0)</f>
        <v>400</v>
      </c>
      <c r="Z1317" s="22">
        <f>IFERROR(__xludf.DUMMYFUNCTION("IFERROR(GOOGLEFINANCE(A1317,""volume""),"""")"),4115900.0)</f>
        <v>4115900</v>
      </c>
      <c r="AA1317" s="24" t="str">
        <f>VLOOKUP(A1317,Metrik!$C$2:$Y$959,5,0)</f>
        <v>Heavy Constructions &amp; Civil Engineering</v>
      </c>
      <c r="AB1317" s="24" t="str">
        <f>VLOOKUP(A1317,Metrik!$C$2:$Y$959,3,0)</f>
        <v>Infrastructures</v>
      </c>
    </row>
    <row r="1318">
      <c r="A1318" s="14" t="s">
        <v>707</v>
      </c>
      <c r="B1318" s="14" t="str">
        <f t="array" ref="B1318">VLOOKUP(A1318,{Metrik!$C$2:$C$998,Metrik!$B$2:$B$998},2,0)</f>
        <v>PT Nusantara Sawit Sejahtera Tbk</v>
      </c>
      <c r="C1318" s="15">
        <f>IFERROR(__xludf.DUMMYFUNCTION("GOOGLEFINANCE(""IDX:""&amp;A1318,""price"")"),442.0)</f>
        <v>442</v>
      </c>
      <c r="D1318" s="16" t="str">
        <f>IFERROR(__xludf.DUMMYFUNCTION("IF(A1318="""","""",
SPARKLINE(
INDEX(
GOOGLEFINANCE(""IDX:""&amp;A1318,""close"",TODAY()-365,TODAY()),
,2
),
{""linewidth"",1}
))
"),"#N/A")</f>
        <v>#N/A</v>
      </c>
      <c r="E1318" s="26"/>
      <c r="F1318" s="26"/>
      <c r="G1318" s="24">
        <f t="shared" si="8"/>
        <v>0</v>
      </c>
      <c r="H1318" s="19">
        <f>VLOOKUP(A1318,Metrik!$C$2:$Y$959,8,0)</f>
        <v>17.5</v>
      </c>
      <c r="I1318" s="20">
        <f>VLOOKUP(A1318,Metrik!$C$2:$Y$959,9,0)</f>
        <v>5.3</v>
      </c>
      <c r="J1318" s="20">
        <f>VLOOKUP(A1318,Metrik!$C$2:$Y$959,10,0)</f>
        <v>30.1</v>
      </c>
      <c r="K1318" s="20">
        <f>VLOOKUP(A1318,Metrik!$C$2:$Y$959,11,0)</f>
        <v>14.8</v>
      </c>
      <c r="L1318" s="20">
        <f>VLOOKUP(A1318,Metrik!$C$2:$Y$959,12,0)</f>
        <v>1</v>
      </c>
      <c r="M1318" s="20">
        <f>VLOOKUP(A1318,Metrik!$C$2:$Y$959,19,0)</f>
        <v>120</v>
      </c>
      <c r="N1318" s="21"/>
      <c r="O1318" s="21"/>
      <c r="P1318" s="21"/>
      <c r="Q1318" s="21"/>
      <c r="R1318" s="21"/>
      <c r="S1318" s="21"/>
      <c r="T1318" s="21"/>
      <c r="U1318" s="22">
        <f>IFERROR(__xludf.DUMMYFUNCTION("IFERROR(GOOGLEFINANCE(A1318,""closeyest""),"""")"),366.0)</f>
        <v>366</v>
      </c>
      <c r="V1318" s="23">
        <f>IFERROR(__xludf.DUMMYFUNCTION("IFERROR(GOOGLEFINANCE(A1318,""changepct""),"""")"),20.77)</f>
        <v>20.77</v>
      </c>
      <c r="W1318" s="22">
        <f>IFERROR(__xludf.DUMMYFUNCTION("IFERROR(GOOGLEFINANCE(A1318,""priceopen""),"""")"),370.0)</f>
        <v>370</v>
      </c>
      <c r="X1318" s="22">
        <f>IFERROR(__xludf.DUMMYFUNCTION("IFERROR(GOOGLEFINANCE(A1318,""high""),"""")"),454.0)</f>
        <v>454</v>
      </c>
      <c r="Y1318" s="22">
        <f>IFERROR(__xludf.DUMMYFUNCTION("IFERROR(GOOGLEFINANCE(A1318,""low""),"""")"),370.0)</f>
        <v>370</v>
      </c>
      <c r="Z1318" s="22">
        <f>IFERROR(__xludf.DUMMYFUNCTION("IFERROR(GOOGLEFINANCE(A1318,""volume""),"""")"),2.78514E7)</f>
        <v>27851400</v>
      </c>
      <c r="AA1318" s="24" t="str">
        <f>VLOOKUP(A1318,Metrik!$C$2:$Y$959,5,0)</f>
        <v>Agricultural Products</v>
      </c>
      <c r="AB1318" s="24" t="str">
        <f>VLOOKUP(A1318,Metrik!$C$2:$Y$959,3,0)</f>
        <v>Consumer Non-Cyclicals</v>
      </c>
    </row>
    <row r="1319">
      <c r="A1319" s="14" t="s">
        <v>708</v>
      </c>
      <c r="B1319" s="14" t="str">
        <f t="array" ref="B1319">VLOOKUP(A1319,{Metrik!$C$2:$C$998,Metrik!$B$2:$B$998},2,0)</f>
        <v>Nusatama Berkah Tbk.</v>
      </c>
      <c r="C1319" s="15" t="str">
        <f>IFERROR(__xludf.DUMMYFUNCTION("GOOGLEFINANCE(""IDX:""&amp;A1319,""price"")"),"#N/A")</f>
        <v>#N/A</v>
      </c>
      <c r="D1319" s="16" t="str">
        <f>IFERROR(__xludf.DUMMYFUNCTION("IF(A1319="""","""",
SPARKLINE(
INDEX(
GOOGLEFINANCE(""IDX:""&amp;A1319,""close"",TODAY()-365,TODAY()),
,2
),
{""linewidth"",1}
))
"),"#N/A")</f>
        <v>#N/A</v>
      </c>
      <c r="E1319" s="26"/>
      <c r="F1319" s="26"/>
      <c r="G1319" s="24">
        <f t="shared" si="8"/>
        <v>0</v>
      </c>
      <c r="H1319" s="19">
        <f>VLOOKUP(A1319,Metrik!$C$2:$Y$959,8,0)</f>
        <v>-170</v>
      </c>
      <c r="I1319" s="20">
        <f>VLOOKUP(A1319,Metrik!$C$2:$Y$959,9,0)</f>
        <v>2.2</v>
      </c>
      <c r="J1319" s="20">
        <f>VLOOKUP(A1319,Metrik!$C$2:$Y$959,10,0)</f>
        <v>-1.3</v>
      </c>
      <c r="K1319" s="20">
        <f>VLOOKUP(A1319,Metrik!$C$2:$Y$959,11,0)</f>
        <v>-0.79</v>
      </c>
      <c r="L1319" s="20">
        <f>VLOOKUP(A1319,Metrik!$C$2:$Y$959,12,0)</f>
        <v>0.63</v>
      </c>
      <c r="M1319" s="20">
        <f>VLOOKUP(A1319,Metrik!$C$2:$Y$959,19,0)</f>
        <v>-7.7</v>
      </c>
      <c r="N1319" s="21"/>
      <c r="O1319" s="21"/>
      <c r="P1319" s="21"/>
      <c r="Q1319" s="21"/>
      <c r="R1319" s="21"/>
      <c r="S1319" s="21"/>
      <c r="T1319" s="21"/>
      <c r="U1319" s="22">
        <f>IFERROR(__xludf.DUMMYFUNCTION("IFERROR(GOOGLEFINANCE(A1319,""closeyest""),"""")"),55.0)</f>
        <v>55</v>
      </c>
      <c r="V1319" s="23">
        <f>IFERROR(__xludf.DUMMYFUNCTION("IFERROR(GOOGLEFINANCE(A1319,""changepct""),"""")"),7.27)</f>
        <v>7.27</v>
      </c>
      <c r="W1319" s="22">
        <f>IFERROR(__xludf.DUMMYFUNCTION("IFERROR(GOOGLEFINANCE(A1319,""priceopen""),"""")"),56.0)</f>
        <v>56</v>
      </c>
      <c r="X1319" s="22">
        <f>IFERROR(__xludf.DUMMYFUNCTION("IFERROR(GOOGLEFINANCE(A1319,""high""),"""")"),63.0)</f>
        <v>63</v>
      </c>
      <c r="Y1319" s="22">
        <f>IFERROR(__xludf.DUMMYFUNCTION("IFERROR(GOOGLEFINANCE(A1319,""low""),"""")"),56.0)</f>
        <v>56</v>
      </c>
      <c r="Z1319" s="22">
        <f>IFERROR(__xludf.DUMMYFUNCTION("IFERROR(GOOGLEFINANCE(A1319,""volume""),"""")"),4.63036E7)</f>
        <v>46303600</v>
      </c>
      <c r="AA1319" s="24" t="str">
        <f>VLOOKUP(A1319,Metrik!$C$2:$Y$959,5,0)</f>
        <v>Machinery</v>
      </c>
      <c r="AB1319" s="24" t="str">
        <f>VLOOKUP(A1319,Metrik!$C$2:$Y$959,3,0)</f>
        <v>Industrials</v>
      </c>
    </row>
    <row r="1320">
      <c r="A1320" s="14" t="s">
        <v>709</v>
      </c>
      <c r="B1320" s="14" t="str">
        <f t="array" ref="B1320">VLOOKUP(A1320,{Metrik!$C$2:$C$998,Metrik!$B$2:$B$998},2,0)</f>
        <v>Sinergi Megah Internusa Tbk.</v>
      </c>
      <c r="C1320" s="15">
        <f>IFERROR(__xludf.DUMMYFUNCTION("GOOGLEFINANCE(""IDX:""&amp;A1320,""price"")"),50.0)</f>
        <v>50</v>
      </c>
      <c r="D1320" s="16" t="str">
        <f>IFERROR(__xludf.DUMMYFUNCTION("IF(A1320="""","""",
SPARKLINE(
INDEX(
GOOGLEFINANCE(""IDX:""&amp;A1320,""close"",TODAY()-365,TODAY()),
,2
),
{""linewidth"",1}
))
"),"#N/A")</f>
        <v>#N/A</v>
      </c>
      <c r="E1320" s="26"/>
      <c r="F1320" s="26"/>
      <c r="G1320" s="24">
        <f t="shared" si="8"/>
        <v>0</v>
      </c>
      <c r="H1320" s="19">
        <f>VLOOKUP(A1320,Metrik!$C$2:$Y$959,8,0)</f>
        <v>0</v>
      </c>
      <c r="I1320" s="20">
        <f>VLOOKUP(A1320,Metrik!$C$2:$Y$959,9,0)</f>
        <v>0.51</v>
      </c>
      <c r="J1320" s="20">
        <f>VLOOKUP(A1320,Metrik!$C$2:$Y$959,10,0)</f>
        <v>-1.6</v>
      </c>
      <c r="K1320" s="20">
        <f>VLOOKUP(A1320,Metrik!$C$2:$Y$959,11,0)</f>
        <v>-1.4</v>
      </c>
      <c r="L1320" s="20">
        <f>VLOOKUP(A1320,Metrik!$C$2:$Y$959,12,0)</f>
        <v>0.09</v>
      </c>
      <c r="M1320" s="20">
        <f>VLOOKUP(A1320,Metrik!$C$2:$Y$959,19,0)</f>
        <v>-130</v>
      </c>
      <c r="N1320" s="21"/>
      <c r="O1320" s="21"/>
      <c r="P1320" s="21"/>
      <c r="Q1320" s="21"/>
      <c r="R1320" s="21"/>
      <c r="S1320" s="21"/>
      <c r="T1320" s="21"/>
      <c r="U1320" s="22">
        <f>IFERROR(__xludf.DUMMYFUNCTION("IFERROR(GOOGLEFINANCE(A1320,""closeyest""),"""")"),23.16)</f>
        <v>23.16</v>
      </c>
      <c r="V1320" s="23">
        <f>IFERROR(__xludf.DUMMYFUNCTION("IFERROR(GOOGLEFINANCE(A1320,""changepct""),"""")"),-0.06)</f>
        <v>-0.06</v>
      </c>
      <c r="W1320" s="22">
        <f>IFERROR(__xludf.DUMMYFUNCTION("IFERROR(GOOGLEFINANCE(A1320,""priceopen""),"""")"),23.14)</f>
        <v>23.14</v>
      </c>
      <c r="X1320" s="22">
        <f>IFERROR(__xludf.DUMMYFUNCTION("IFERROR(GOOGLEFINANCE(A1320,""high""),"""")"),23.15)</f>
        <v>23.15</v>
      </c>
      <c r="Y1320" s="22" t="str">
        <f>IFERROR(__xludf.DUMMYFUNCTION("IFERROR(GOOGLEFINANCE(A1320,""low""),"""")"),"")</f>
        <v/>
      </c>
      <c r="Z1320" s="22">
        <f>IFERROR(__xludf.DUMMYFUNCTION("IFERROR(GOOGLEFINANCE(A1320,""volume""),"""")"),101.0)</f>
        <v>101</v>
      </c>
      <c r="AA1320" s="24" t="str">
        <f>VLOOKUP(A1320,Metrik!$C$2:$Y$959,5,0)</f>
        <v>Tourism &amp; Recreation</v>
      </c>
      <c r="AB1320" s="24" t="str">
        <f>VLOOKUP(A1320,Metrik!$C$2:$Y$959,3,0)</f>
        <v>Consumer Cyclicals</v>
      </c>
    </row>
    <row r="1321">
      <c r="A1321" s="14" t="s">
        <v>710</v>
      </c>
      <c r="B1321" s="14" t="str">
        <f t="array" ref="B1321">VLOOKUP(A1321,{Metrik!$C$2:$C$998,Metrik!$B$2:$B$998},2,0)</f>
        <v>Nusantara Almazia Tbk.</v>
      </c>
      <c r="C1321" s="15">
        <f>IFERROR(__xludf.DUMMYFUNCTION("GOOGLEFINANCE(""IDX:""&amp;A1321,""price"")"),177.0)</f>
        <v>177</v>
      </c>
      <c r="D1321" s="16" t="str">
        <f>IFERROR(__xludf.DUMMYFUNCTION("IF(A1321="""","""",
SPARKLINE(
INDEX(
GOOGLEFINANCE(""IDX:""&amp;A1321,""close"",TODAY()-365,TODAY()),
,2
),
{""linewidth"",1}
))
"),"#N/A")</f>
        <v>#N/A</v>
      </c>
      <c r="E1321" s="26"/>
      <c r="F1321" s="26"/>
      <c r="G1321" s="24">
        <f t="shared" si="8"/>
        <v>0</v>
      </c>
      <c r="H1321" s="19">
        <f>VLOOKUP(A1321,Metrik!$C$2:$Y$959,8,0)</f>
        <v>-21.2</v>
      </c>
      <c r="I1321" s="20">
        <f>VLOOKUP(A1321,Metrik!$C$2:$Y$959,9,0)</f>
        <v>0.61</v>
      </c>
      <c r="J1321" s="20">
        <f>VLOOKUP(A1321,Metrik!$C$2:$Y$959,10,0)</f>
        <v>-2.9</v>
      </c>
      <c r="K1321" s="20">
        <f>VLOOKUP(A1321,Metrik!$C$2:$Y$959,11,0)</f>
        <v>-2.5</v>
      </c>
      <c r="L1321" s="20">
        <f>VLOOKUP(A1321,Metrik!$C$2:$Y$959,12,0)</f>
        <v>0.17</v>
      </c>
      <c r="M1321" s="20">
        <f>VLOOKUP(A1321,Metrik!$C$2:$Y$959,19,0)</f>
        <v>-310</v>
      </c>
      <c r="N1321" s="21"/>
      <c r="O1321" s="21"/>
      <c r="P1321" s="21"/>
      <c r="Q1321" s="21"/>
      <c r="R1321" s="21"/>
      <c r="S1321" s="21"/>
      <c r="T1321" s="21"/>
      <c r="U1321" s="22">
        <f>IFERROR(__xludf.DUMMYFUNCTION("IFERROR(GOOGLEFINANCE(A1321,""closeyest""),"""")"),168.0)</f>
        <v>168</v>
      </c>
      <c r="V1321" s="23">
        <f>IFERROR(__xludf.DUMMYFUNCTION("IFERROR(GOOGLEFINANCE(A1321,""changepct""),"""")"),5.36)</f>
        <v>5.36</v>
      </c>
      <c r="W1321" s="22">
        <f>IFERROR(__xludf.DUMMYFUNCTION("IFERROR(GOOGLEFINANCE(A1321,""priceopen""),"""")"),170.0)</f>
        <v>170</v>
      </c>
      <c r="X1321" s="22">
        <f>IFERROR(__xludf.DUMMYFUNCTION("IFERROR(GOOGLEFINANCE(A1321,""high""),"""")"),183.0)</f>
        <v>183</v>
      </c>
      <c r="Y1321" s="22" t="str">
        <f>IFERROR(__xludf.DUMMYFUNCTION("IFERROR(GOOGLEFINANCE(A1321,""low""),"""")"),"")</f>
        <v/>
      </c>
      <c r="Z1321" s="22">
        <f>IFERROR(__xludf.DUMMYFUNCTION("IFERROR(GOOGLEFINANCE(A1321,""volume""),"""")"),1.2398E7)</f>
        <v>12398000</v>
      </c>
      <c r="AA1321" s="24" t="str">
        <f>VLOOKUP(A1321,Metrik!$C$2:$Y$959,5,0)</f>
        <v>Real Estate Management &amp; Development</v>
      </c>
      <c r="AB1321" s="24" t="str">
        <f>VLOOKUP(A1321,Metrik!$C$2:$Y$959,3,0)</f>
        <v>Properties &amp; Real Estate</v>
      </c>
    </row>
    <row r="1322">
      <c r="A1322" s="14" t="s">
        <v>711</v>
      </c>
      <c r="B1322" s="14" t="str">
        <f t="array" ref="B1322">VLOOKUP(A1322,{Metrik!$C$2:$C$998,Metrik!$B$2:$B$998},2,0)</f>
        <v>PT Protech Mitra Perkasa Tbk</v>
      </c>
      <c r="C1322" s="15">
        <f>IFERROR(__xludf.DUMMYFUNCTION("GOOGLEFINANCE(""IDX:""&amp;A1322,""price"")"),260.0)</f>
        <v>260</v>
      </c>
      <c r="D1322" s="16" t="str">
        <f>IFERROR(__xludf.DUMMYFUNCTION("IF(A1322="""","""",
SPARKLINE(
INDEX(
GOOGLEFINANCE(""IDX:""&amp;A1322,""close"",TODAY()-365,TODAY()),
,2
),
{""linewidth"",1}
))
"),"#N/A")</f>
        <v>#N/A</v>
      </c>
      <c r="E1322" s="26"/>
      <c r="F1322" s="26"/>
      <c r="G1322" s="24">
        <f t="shared" si="8"/>
        <v>0</v>
      </c>
      <c r="H1322" s="19">
        <f>VLOOKUP(A1322,Metrik!$C$2:$Y$959,8,0)</f>
        <v>-29.1</v>
      </c>
      <c r="I1322" s="20">
        <f>VLOOKUP(A1322,Metrik!$C$2:$Y$959,9,0)</f>
        <v>3.8</v>
      </c>
      <c r="J1322" s="20">
        <f>VLOOKUP(A1322,Metrik!$C$2:$Y$959,10,0)</f>
        <v>-13</v>
      </c>
      <c r="K1322" s="20">
        <f>VLOOKUP(A1322,Metrik!$C$2:$Y$959,11,0)</f>
        <v>-11.5</v>
      </c>
      <c r="L1322" s="20">
        <f>VLOOKUP(A1322,Metrik!$C$2:$Y$959,12,0)</f>
        <v>0.13</v>
      </c>
      <c r="M1322" s="20">
        <f>VLOOKUP(A1322,Metrik!$C$2:$Y$959,19,0)</f>
        <v>-250</v>
      </c>
      <c r="N1322" s="21"/>
      <c r="O1322" s="21"/>
      <c r="P1322" s="21"/>
      <c r="Q1322" s="21"/>
      <c r="R1322" s="21"/>
      <c r="S1322" s="21"/>
      <c r="T1322" s="21"/>
      <c r="U1322" s="22">
        <f>IFERROR(__xludf.DUMMYFUNCTION("IFERROR(GOOGLEFINANCE(A1322,""closeyest""),"""")"),236.0)</f>
        <v>236</v>
      </c>
      <c r="V1322" s="23">
        <f>IFERROR(__xludf.DUMMYFUNCTION("IFERROR(GOOGLEFINANCE(A1322,""changepct""),"""")"),10.17)</f>
        <v>10.17</v>
      </c>
      <c r="W1322" s="22">
        <f>IFERROR(__xludf.DUMMYFUNCTION("IFERROR(GOOGLEFINANCE(A1322,""priceopen""),"""")"),240.0)</f>
        <v>240</v>
      </c>
      <c r="X1322" s="22">
        <f>IFERROR(__xludf.DUMMYFUNCTION("IFERROR(GOOGLEFINANCE(A1322,""high""),"""")"),262.0)</f>
        <v>262</v>
      </c>
      <c r="Y1322" s="22">
        <f>IFERROR(__xludf.DUMMYFUNCTION("IFERROR(GOOGLEFINANCE(A1322,""low""),"""")"),240.0)</f>
        <v>240</v>
      </c>
      <c r="Z1322" s="22">
        <f>IFERROR(__xludf.DUMMYFUNCTION("IFERROR(GOOGLEFINANCE(A1322,""volume""),"""")"),4.55852E7)</f>
        <v>45585200</v>
      </c>
      <c r="AA1322" s="24" t="str">
        <f>VLOOKUP(A1322,Metrik!$C$2:$Y$959,5,0)</f>
        <v>Wireless Telecommunication Services</v>
      </c>
      <c r="AB1322" s="24" t="str">
        <f>VLOOKUP(A1322,Metrik!$C$2:$Y$959,3,0)</f>
        <v>Infrastructures</v>
      </c>
    </row>
    <row r="1323">
      <c r="A1323" s="14" t="s">
        <v>712</v>
      </c>
      <c r="B1323" s="14" t="str">
        <f t="array" ref="B1323">VLOOKUP(A1323,{Metrik!$C$2:$C$998,Metrik!$B$2:$B$998},2,0)</f>
        <v>Brigit Biofarmaka Teknologi Tbk.</v>
      </c>
      <c r="C1323" s="15">
        <f>IFERROR(__xludf.DUMMYFUNCTION("GOOGLEFINANCE(""IDX:""&amp;A1323,""price"")"),234.0)</f>
        <v>234</v>
      </c>
      <c r="D1323" s="16" t="str">
        <f>IFERROR(__xludf.DUMMYFUNCTION("IF(A1323="""","""",
SPARKLINE(
INDEX(
GOOGLEFINANCE(""IDX:""&amp;A1323,""close"",TODAY()-365,TODAY()),
,2
),
{""linewidth"",1}
))
"),"#N/A")</f>
        <v>#N/A</v>
      </c>
      <c r="E1323" s="26"/>
      <c r="F1323" s="26"/>
      <c r="G1323" s="18">
        <f t="shared" si="8"/>
        <v>0</v>
      </c>
      <c r="H1323" s="19">
        <f>VLOOKUP(A1323,Metrik!$C$2:$Y$959,8,0)</f>
        <v>10</v>
      </c>
      <c r="I1323" s="20">
        <f>VLOOKUP(A1323,Metrik!$C$2:$Y$959,9,0)</f>
        <v>1.3</v>
      </c>
      <c r="J1323" s="20">
        <f>VLOOKUP(A1323,Metrik!$C$2:$Y$959,10,0)</f>
        <v>13.2</v>
      </c>
      <c r="K1323" s="20">
        <f>VLOOKUP(A1323,Metrik!$C$2:$Y$959,11,0)</f>
        <v>11.3</v>
      </c>
      <c r="L1323" s="20">
        <f>VLOOKUP(A1323,Metrik!$C$2:$Y$959,12,0)</f>
        <v>0.17</v>
      </c>
      <c r="M1323" s="20">
        <f>VLOOKUP(A1323,Metrik!$C$2:$Y$959,19,0)</f>
        <v>43</v>
      </c>
      <c r="N1323" s="21"/>
      <c r="O1323" s="21"/>
      <c r="P1323" s="21"/>
      <c r="Q1323" s="21"/>
      <c r="R1323" s="21"/>
      <c r="S1323" s="21"/>
      <c r="T1323" s="21"/>
      <c r="U1323" s="22">
        <f>IFERROR(__xludf.DUMMYFUNCTION("IFERROR(GOOGLEFINANCE(A1323,""closeyest""),"""")"),230.0)</f>
        <v>230</v>
      </c>
      <c r="V1323" s="23">
        <f>IFERROR(__xludf.DUMMYFUNCTION("IFERROR(GOOGLEFINANCE(A1323,""changepct""),"""")"),1.74)</f>
        <v>1.74</v>
      </c>
      <c r="W1323" s="22">
        <f>IFERROR(__xludf.DUMMYFUNCTION("IFERROR(GOOGLEFINANCE(A1323,""priceopen""),"""")"),230.0)</f>
        <v>230</v>
      </c>
      <c r="X1323" s="22">
        <f>IFERROR(__xludf.DUMMYFUNCTION("IFERROR(GOOGLEFINANCE(A1323,""high""),"""")"),244.0)</f>
        <v>244</v>
      </c>
      <c r="Y1323" s="22">
        <f>IFERROR(__xludf.DUMMYFUNCTION("IFERROR(GOOGLEFINANCE(A1323,""low""),"""")"),228.0)</f>
        <v>228</v>
      </c>
      <c r="Z1323" s="22">
        <f>IFERROR(__xludf.DUMMYFUNCTION("IFERROR(GOOGLEFINANCE(A1323,""volume""),"""")"),244500.0)</f>
        <v>244500</v>
      </c>
      <c r="AA1323" s="24" t="str">
        <f>VLOOKUP(A1323,Metrik!$C$2:$Y$959,5,0)</f>
        <v>Pharmaceuticals</v>
      </c>
      <c r="AB1323" s="24" t="str">
        <f>VLOOKUP(A1323,Metrik!$C$2:$Y$959,3,0)</f>
        <v>Healthcare</v>
      </c>
    </row>
    <row r="1324">
      <c r="A1324" s="14" t="s">
        <v>713</v>
      </c>
      <c r="B1324" s="14" t="str">
        <f t="array" ref="B1324">VLOOKUP(A1324,{Metrik!$C$2:$C$998,Metrik!$B$2:$B$998},2,0)</f>
        <v>OBM Drilchem Tbk.</v>
      </c>
      <c r="C1324" s="15">
        <f>IFERROR(__xludf.DUMMYFUNCTION("GOOGLEFINANCE(""IDX:""&amp;A1324,""price"")"),164.0)</f>
        <v>164</v>
      </c>
      <c r="D1324" s="16" t="str">
        <f>IFERROR(__xludf.DUMMYFUNCTION("IF(A1324="""","""",
SPARKLINE(
INDEX(
GOOGLEFINANCE(""IDX:""&amp;A1324,""close"",TODAY()-365,TODAY()),
,2
),
{""linewidth"",1}
))
"),"#N/A")</f>
        <v>#N/A</v>
      </c>
      <c r="E1324" s="26"/>
      <c r="F1324" s="26"/>
      <c r="G1324" s="18">
        <f t="shared" si="8"/>
        <v>0</v>
      </c>
      <c r="H1324" s="19">
        <f>VLOOKUP(A1324,Metrik!$C$2:$Y$959,8,0)</f>
        <v>4.9</v>
      </c>
      <c r="I1324" s="20">
        <f>VLOOKUP(A1324,Metrik!$C$2:$Y$959,9,0)</f>
        <v>0.8</v>
      </c>
      <c r="J1324" s="20">
        <f>VLOOKUP(A1324,Metrik!$C$2:$Y$959,10,0)</f>
        <v>16.3</v>
      </c>
      <c r="K1324" s="20">
        <f>VLOOKUP(A1324,Metrik!$C$2:$Y$959,11,0)</f>
        <v>14.8</v>
      </c>
      <c r="L1324" s="20">
        <f>VLOOKUP(A1324,Metrik!$C$2:$Y$959,12,0)</f>
        <v>0.1</v>
      </c>
      <c r="M1324" s="20">
        <f>VLOOKUP(A1324,Metrik!$C$2:$Y$959,19,0)</f>
        <v>19.7</v>
      </c>
      <c r="N1324" s="21"/>
      <c r="O1324" s="21"/>
      <c r="P1324" s="21"/>
      <c r="Q1324" s="21"/>
      <c r="R1324" s="21"/>
      <c r="S1324" s="21"/>
      <c r="T1324" s="21"/>
      <c r="U1324" s="22">
        <f>IFERROR(__xludf.DUMMYFUNCTION("IFERROR(GOOGLEFINANCE(A1324,""closeyest""),"""")"),164.0)</f>
        <v>164</v>
      </c>
      <c r="V1324" s="23">
        <f>IFERROR(__xludf.DUMMYFUNCTION("IFERROR(GOOGLEFINANCE(A1324,""changepct""),"""")"),0.0)</f>
        <v>0</v>
      </c>
      <c r="W1324" s="22">
        <f>IFERROR(__xludf.DUMMYFUNCTION("IFERROR(GOOGLEFINANCE(A1324,""priceopen""),"""")"),164.0)</f>
        <v>164</v>
      </c>
      <c r="X1324" s="22">
        <f>IFERROR(__xludf.DUMMYFUNCTION("IFERROR(GOOGLEFINANCE(A1324,""high""),"""")"),167.0)</f>
        <v>167</v>
      </c>
      <c r="Y1324" s="22">
        <f>IFERROR(__xludf.DUMMYFUNCTION("IFERROR(GOOGLEFINANCE(A1324,""low""),"""")"),152.0)</f>
        <v>152</v>
      </c>
      <c r="Z1324" s="22">
        <f>IFERROR(__xludf.DUMMYFUNCTION("IFERROR(GOOGLEFINANCE(A1324,""volume""),"""")"),956400.0)</f>
        <v>956400</v>
      </c>
      <c r="AA1324" s="24" t="str">
        <f>VLOOKUP(A1324,Metrik!$C$2:$Y$959,5,0)</f>
        <v>Chemicals</v>
      </c>
      <c r="AB1324" s="24" t="str">
        <f>VLOOKUP(A1324,Metrik!$C$2:$Y$959,3,0)</f>
        <v>Basic Materials</v>
      </c>
    </row>
    <row r="1325">
      <c r="A1325" s="14" t="s">
        <v>714</v>
      </c>
      <c r="B1325" s="14" t="str">
        <f t="array" ref="B1325">VLOOKUP(A1325,{Metrik!$C$2:$C$998,Metrik!$B$2:$B$998},2,0)</f>
        <v>Onix Capital Tbk.</v>
      </c>
      <c r="C1325" s="15">
        <f>IFERROR(__xludf.DUMMYFUNCTION("GOOGLEFINANCE(""IDX:""&amp;A1325,""price"")"),159.0)</f>
        <v>159</v>
      </c>
      <c r="D1325" s="16" t="str">
        <f>IFERROR(__xludf.DUMMYFUNCTION("IF(A1325="""","""",
SPARKLINE(
INDEX(
GOOGLEFINANCE(""IDX:""&amp;A1325,""close"",TODAY()-365,TODAY()),
,2
),
{""linewidth"",1}
))
"),"#N/A")</f>
        <v>#N/A</v>
      </c>
      <c r="E1325" s="26"/>
      <c r="F1325" s="26"/>
      <c r="G1325" s="24">
        <f t="shared" si="8"/>
        <v>0</v>
      </c>
      <c r="H1325" s="19">
        <f>VLOOKUP(A1325,Metrik!$C$2:$Y$959,8,0)</f>
        <v>-1.9</v>
      </c>
      <c r="I1325" s="20">
        <f>VLOOKUP(A1325,Metrik!$C$2:$Y$959,9,0)</f>
        <v>-0.15</v>
      </c>
      <c r="J1325" s="20">
        <f>VLOOKUP(A1325,Metrik!$C$2:$Y$959,10,0)</f>
        <v>0</v>
      </c>
      <c r="K1325" s="20">
        <f>VLOOKUP(A1325,Metrik!$C$2:$Y$959,11,0)</f>
        <v>-280</v>
      </c>
      <c r="L1325" s="20">
        <f>VLOOKUP(A1325,Metrik!$C$2:$Y$959,12,0)</f>
        <v>-1</v>
      </c>
      <c r="M1325" s="20">
        <f>VLOOKUP(A1325,Metrik!$C$2:$Y$959,19,0)</f>
        <v>0</v>
      </c>
      <c r="N1325" s="21"/>
      <c r="O1325" s="21"/>
      <c r="P1325" s="21"/>
      <c r="Q1325" s="21"/>
      <c r="R1325" s="21"/>
      <c r="S1325" s="21"/>
      <c r="T1325" s="21"/>
      <c r="U1325" s="22">
        <f>IFERROR(__xludf.DUMMYFUNCTION("IFERROR(GOOGLEFINANCE(A1325,""closeyest""),"""")"),159.0)</f>
        <v>159</v>
      </c>
      <c r="V1325" s="23">
        <f>IFERROR(__xludf.DUMMYFUNCTION("IFERROR(GOOGLEFINANCE(A1325,""changepct""),"""")"),0.0)</f>
        <v>0</v>
      </c>
      <c r="W1325" s="22" t="str">
        <f>IFERROR(__xludf.DUMMYFUNCTION("IFERROR(GOOGLEFINANCE(A1325,""priceopen""),"""")"),"")</f>
        <v/>
      </c>
      <c r="X1325" s="22" t="str">
        <f>IFERROR(__xludf.DUMMYFUNCTION("IFERROR(GOOGLEFINANCE(A1325,""high""),"""")"),"")</f>
        <v/>
      </c>
      <c r="Y1325" s="22" t="str">
        <f>IFERROR(__xludf.DUMMYFUNCTION("IFERROR(GOOGLEFINANCE(A1325,""low""),"""")"),"")</f>
        <v/>
      </c>
      <c r="Z1325" s="22">
        <f>IFERROR(__xludf.DUMMYFUNCTION("IFERROR(GOOGLEFINANCE(A1325,""volume""),"""")"),0.0)</f>
        <v>0</v>
      </c>
      <c r="AA1325" s="24" t="str">
        <f>VLOOKUP(A1325,Metrik!$C$2:$Y$959,5,0)</f>
        <v>Holding &amp; Investment Companies</v>
      </c>
      <c r="AB1325" s="24" t="str">
        <f>VLOOKUP(A1325,Metrik!$C$2:$Y$959,3,0)</f>
        <v>Financials</v>
      </c>
    </row>
    <row r="1326">
      <c r="A1326" s="14" t="s">
        <v>715</v>
      </c>
      <c r="B1326" s="14" t="str">
        <f t="array" ref="B1326">VLOOKUP(A1326,{Metrik!$C$2:$C$998,Metrik!$B$2:$B$998},2,0)</f>
        <v>Indo Oil Perkasa Tbk.</v>
      </c>
      <c r="C1326" s="15">
        <f>IFERROR(__xludf.DUMMYFUNCTION("GOOGLEFINANCE(""IDX:""&amp;A1326,""price"")"),202.0)</f>
        <v>202</v>
      </c>
      <c r="D1326" s="16" t="str">
        <f>IFERROR(__xludf.DUMMYFUNCTION("IF(A1326="""","""",
SPARKLINE(
INDEX(
GOOGLEFINANCE(""IDX:""&amp;A1326,""close"",TODAY()-365,TODAY()),
,2
),
{""linewidth"",1}
))
"),"#N/A")</f>
        <v>#N/A</v>
      </c>
      <c r="E1326" s="26"/>
      <c r="F1326" s="26"/>
      <c r="G1326" s="24">
        <f t="shared" si="8"/>
        <v>0</v>
      </c>
      <c r="H1326" s="19">
        <f>VLOOKUP(A1326,Metrik!$C$2:$Y$959,8,0)</f>
        <v>8.2</v>
      </c>
      <c r="I1326" s="20">
        <f>VLOOKUP(A1326,Metrik!$C$2:$Y$959,9,0)</f>
        <v>0.84</v>
      </c>
      <c r="J1326" s="20">
        <f>VLOOKUP(A1326,Metrik!$C$2:$Y$959,10,0)</f>
        <v>10.2</v>
      </c>
      <c r="K1326" s="20">
        <f>VLOOKUP(A1326,Metrik!$C$2:$Y$959,11,0)</f>
        <v>3.4</v>
      </c>
      <c r="L1326" s="20">
        <f>VLOOKUP(A1326,Metrik!$C$2:$Y$959,12,0)</f>
        <v>2</v>
      </c>
      <c r="M1326" s="20">
        <f>VLOOKUP(A1326,Metrik!$C$2:$Y$959,19,0)</f>
        <v>3.5</v>
      </c>
      <c r="N1326" s="21"/>
      <c r="O1326" s="21"/>
      <c r="P1326" s="21"/>
      <c r="Q1326" s="21"/>
      <c r="R1326" s="21"/>
      <c r="S1326" s="21"/>
      <c r="T1326" s="21"/>
      <c r="U1326" s="22">
        <f>IFERROR(__xludf.DUMMYFUNCTION("IFERROR(GOOGLEFINANCE(A1326,""closeyest""),"""")"),0.05)</f>
        <v>0.05</v>
      </c>
      <c r="V1326" s="23">
        <f>IFERROR(__xludf.DUMMYFUNCTION("IFERROR(GOOGLEFINANCE(A1326,""changepct""),"""")"),0.0)</f>
        <v>0</v>
      </c>
      <c r="W1326" s="22">
        <f>IFERROR(__xludf.DUMMYFUNCTION("IFERROR(GOOGLEFINANCE(A1326,""priceopen""),"""")"),0.05)</f>
        <v>0.05</v>
      </c>
      <c r="X1326" s="22">
        <f>IFERROR(__xludf.DUMMYFUNCTION("IFERROR(GOOGLEFINANCE(A1326,""high""),"""")"),0.05)</f>
        <v>0.05</v>
      </c>
      <c r="Y1326" s="22">
        <f>IFERROR(__xludf.DUMMYFUNCTION("IFERROR(GOOGLEFINANCE(A1326,""low""),"""")"),0.05)</f>
        <v>0.05</v>
      </c>
      <c r="Z1326" s="22">
        <f>IFERROR(__xludf.DUMMYFUNCTION("IFERROR(GOOGLEFINANCE(A1326,""volume""),"""")"),12000.0)</f>
        <v>12000</v>
      </c>
      <c r="AA1326" s="24" t="str">
        <f>VLOOKUP(A1326,Metrik!$C$2:$Y$959,5,0)</f>
        <v>Agricultural Products</v>
      </c>
      <c r="AB1326" s="24" t="str">
        <f>VLOOKUP(A1326,Metrik!$C$2:$Y$959,3,0)</f>
        <v>Consumer Non-Cyclicals</v>
      </c>
    </row>
    <row r="1327">
      <c r="A1327" s="14" t="s">
        <v>716</v>
      </c>
      <c r="B1327" s="14" t="str">
        <f t="array" ref="B1327">VLOOKUP(A1327,{Metrik!$C$2:$C$998,Metrik!$B$2:$B$998},2,0)</f>
        <v>Ancora Indonesia Resources Tbk.</v>
      </c>
      <c r="C1327" s="15">
        <f>IFERROR(__xludf.DUMMYFUNCTION("GOOGLEFINANCE(""IDX:""&amp;A1327,""price"")"),95.0)</f>
        <v>95</v>
      </c>
      <c r="D1327" s="16" t="str">
        <f>IFERROR(__xludf.DUMMYFUNCTION("IF(A1327="""","""",
SPARKLINE(
INDEX(
GOOGLEFINANCE(""IDX:""&amp;A1327,""close"",TODAY()-365,TODAY()),
,2
),
{""linewidth"",1}
))
"),"#N/A")</f>
        <v>#N/A</v>
      </c>
      <c r="E1327" s="26"/>
      <c r="F1327" s="26"/>
      <c r="G1327" s="24">
        <f t="shared" si="8"/>
        <v>0</v>
      </c>
      <c r="H1327" s="19">
        <f>VLOOKUP(A1327,Metrik!$C$2:$Y$959,8,0)</f>
        <v>-3.7</v>
      </c>
      <c r="I1327" s="20">
        <f>VLOOKUP(A1327,Metrik!$C$2:$Y$959,9,0)</f>
        <v>0.26</v>
      </c>
      <c r="J1327" s="20">
        <f>VLOOKUP(A1327,Metrik!$C$2:$Y$959,10,0)</f>
        <v>-6.9</v>
      </c>
      <c r="K1327" s="20">
        <f>VLOOKUP(A1327,Metrik!$C$2:$Y$959,11,0)</f>
        <v>-2.5</v>
      </c>
      <c r="L1327" s="20">
        <f>VLOOKUP(A1327,Metrik!$C$2:$Y$959,12,0)</f>
        <v>1.8</v>
      </c>
      <c r="M1327" s="20">
        <f>VLOOKUP(A1327,Metrik!$C$2:$Y$959,19,0)</f>
        <v>-10.6</v>
      </c>
      <c r="N1327" s="21"/>
      <c r="O1327" s="21"/>
      <c r="P1327" s="21"/>
      <c r="Q1327" s="21"/>
      <c r="R1327" s="21"/>
      <c r="S1327" s="21"/>
      <c r="T1327" s="21"/>
      <c r="U1327" s="22">
        <f>IFERROR(__xludf.DUMMYFUNCTION("IFERROR(GOOGLEFINANCE(A1327,""closeyest""),"""")"),90.0)</f>
        <v>90</v>
      </c>
      <c r="V1327" s="23">
        <f>IFERROR(__xludf.DUMMYFUNCTION("IFERROR(GOOGLEFINANCE(A1327,""changepct""),"""")"),5.56)</f>
        <v>5.56</v>
      </c>
      <c r="W1327" s="22">
        <f>IFERROR(__xludf.DUMMYFUNCTION("IFERROR(GOOGLEFINANCE(A1327,""priceopen""),"""")"),90.0)</f>
        <v>90</v>
      </c>
      <c r="X1327" s="22">
        <f>IFERROR(__xludf.DUMMYFUNCTION("IFERROR(GOOGLEFINANCE(A1327,""high""),"""")"),97.0)</f>
        <v>97</v>
      </c>
      <c r="Y1327" s="22">
        <f>IFERROR(__xludf.DUMMYFUNCTION("IFERROR(GOOGLEFINANCE(A1327,""low""),"""")"),90.0)</f>
        <v>90</v>
      </c>
      <c r="Z1327" s="22">
        <f>IFERROR(__xludf.DUMMYFUNCTION("IFERROR(GOOGLEFINANCE(A1327,""volume""),"""")"),2631100.0)</f>
        <v>2631100</v>
      </c>
      <c r="AA1327" s="24" t="str">
        <f>VLOOKUP(A1327,Metrik!$C$2:$Y$959,5,0)</f>
        <v>Chemicals</v>
      </c>
      <c r="AB1327" s="24" t="str">
        <f>VLOOKUP(A1327,Metrik!$C$2:$Y$959,3,0)</f>
        <v>Basic Materials</v>
      </c>
    </row>
    <row r="1328">
      <c r="A1328" s="14" t="s">
        <v>717</v>
      </c>
      <c r="B1328" s="14" t="str">
        <f t="array" ref="B1328">VLOOKUP(A1328,{Metrik!$C$2:$C$998,Metrik!$B$2:$B$998},2,0)</f>
        <v>Oscar Mitra Sukses Sejahtera Tbk.</v>
      </c>
      <c r="C1328" s="15">
        <f>IFERROR(__xludf.DUMMYFUNCTION("GOOGLEFINANCE(""IDX:""&amp;A1328,""price"")"),51.0)</f>
        <v>51</v>
      </c>
      <c r="D1328" s="16" t="str">
        <f>IFERROR(__xludf.DUMMYFUNCTION("IF(A1328="""","""",
SPARKLINE(
INDEX(
GOOGLEFINANCE(""IDX:""&amp;A1328,""close"",TODAY()-365,TODAY()),
,2
),
{""linewidth"",1}
))
"),"#N/A")</f>
        <v>#N/A</v>
      </c>
      <c r="E1328" s="26"/>
      <c r="F1328" s="26"/>
      <c r="G1328" s="24">
        <f t="shared" si="8"/>
        <v>0</v>
      </c>
      <c r="H1328" s="19">
        <f>VLOOKUP(A1328,Metrik!$C$2:$Y$959,8,0)</f>
        <v>-12.4</v>
      </c>
      <c r="I1328" s="20">
        <f>VLOOKUP(A1328,Metrik!$C$2:$Y$959,9,0)</f>
        <v>2.8</v>
      </c>
      <c r="J1328" s="20">
        <f>VLOOKUP(A1328,Metrik!$C$2:$Y$959,10,0)</f>
        <v>-22.2</v>
      </c>
      <c r="K1328" s="20">
        <f>VLOOKUP(A1328,Metrik!$C$2:$Y$959,11,0)</f>
        <v>-20.2</v>
      </c>
      <c r="L1328" s="20">
        <f>VLOOKUP(A1328,Metrik!$C$2:$Y$959,12,0)</f>
        <v>0.1</v>
      </c>
      <c r="M1328" s="20">
        <f>VLOOKUP(A1328,Metrik!$C$2:$Y$959,19,0)</f>
        <v>-81.1</v>
      </c>
      <c r="N1328" s="21"/>
      <c r="O1328" s="21"/>
      <c r="P1328" s="21"/>
      <c r="Q1328" s="21"/>
      <c r="R1328" s="21"/>
      <c r="S1328" s="21"/>
      <c r="T1328" s="21"/>
      <c r="U1328" s="22">
        <f>IFERROR(__xludf.DUMMYFUNCTION("IFERROR(GOOGLEFINANCE(A1328,""closeyest""),"""")"),52.0)</f>
        <v>52</v>
      </c>
      <c r="V1328" s="23">
        <f>IFERROR(__xludf.DUMMYFUNCTION("IFERROR(GOOGLEFINANCE(A1328,""changepct""),"""")"),-1.92)</f>
        <v>-1.92</v>
      </c>
      <c r="W1328" s="22">
        <f>IFERROR(__xludf.DUMMYFUNCTION("IFERROR(GOOGLEFINANCE(A1328,""priceopen""),"""")"),57.0)</f>
        <v>57</v>
      </c>
      <c r="X1328" s="22">
        <f>IFERROR(__xludf.DUMMYFUNCTION("IFERROR(GOOGLEFINANCE(A1328,""high""),"""")"),57.0)</f>
        <v>57</v>
      </c>
      <c r="Y1328" s="22">
        <f>IFERROR(__xludf.DUMMYFUNCTION("IFERROR(GOOGLEFINANCE(A1328,""low""),"""")"),50.0)</f>
        <v>50</v>
      </c>
      <c r="Z1328" s="22">
        <f>IFERROR(__xludf.DUMMYFUNCTION("IFERROR(GOOGLEFINANCE(A1328,""volume""),"""")"),3746200.0)</f>
        <v>3746200</v>
      </c>
      <c r="AA1328" s="24" t="str">
        <f>VLOOKUP(A1328,Metrik!$C$2:$Y$959,5,0)</f>
        <v>Household Goods</v>
      </c>
      <c r="AB1328" s="24" t="str">
        <f>VLOOKUP(A1328,Metrik!$C$2:$Y$959,3,0)</f>
        <v>Consumer Cyclicals</v>
      </c>
    </row>
    <row r="1329">
      <c r="A1329" s="14" t="s">
        <v>718</v>
      </c>
      <c r="B1329" s="14" t="str">
        <f t="array" ref="B1329">VLOOKUP(A1329,{Metrik!$C$2:$C$998,Metrik!$B$2:$B$998},2,0)</f>
        <v>Jayamas Medica Industri Tbk.</v>
      </c>
      <c r="C1329" s="15">
        <f>IFERROR(__xludf.DUMMYFUNCTION("GOOGLEFINANCE(""IDX:""&amp;A1329,""price"")"),196.0)</f>
        <v>196</v>
      </c>
      <c r="D1329" s="16" t="str">
        <f>IFERROR(__xludf.DUMMYFUNCTION("IF(A1329="""","""",
SPARKLINE(
INDEX(
GOOGLEFINANCE(""IDX:""&amp;A1329,""close"",TODAY()-365,TODAY()),
,2
),
{""linewidth"",1}
))
"),"#N/A")</f>
        <v>#N/A</v>
      </c>
      <c r="E1329" s="26"/>
      <c r="F1329" s="26"/>
      <c r="G1329" s="24">
        <f t="shared" si="8"/>
        <v>0</v>
      </c>
      <c r="H1329" s="19">
        <f>VLOOKUP(A1329,Metrik!$C$2:$Y$959,8,0)</f>
        <v>15.9</v>
      </c>
      <c r="I1329" s="20">
        <f>VLOOKUP(A1329,Metrik!$C$2:$Y$959,9,0)</f>
        <v>2.2</v>
      </c>
      <c r="J1329" s="20">
        <f>VLOOKUP(A1329,Metrik!$C$2:$Y$959,10,0)</f>
        <v>13.8</v>
      </c>
      <c r="K1329" s="20">
        <f>VLOOKUP(A1329,Metrik!$C$2:$Y$959,11,0)</f>
        <v>11.8</v>
      </c>
      <c r="L1329" s="20">
        <f>VLOOKUP(A1329,Metrik!$C$2:$Y$959,12,0)</f>
        <v>0.16</v>
      </c>
      <c r="M1329" s="20">
        <f>VLOOKUP(A1329,Metrik!$C$2:$Y$959,19,0)</f>
        <v>68.6</v>
      </c>
      <c r="N1329" s="21"/>
      <c r="O1329" s="21"/>
      <c r="P1329" s="21"/>
      <c r="Q1329" s="21"/>
      <c r="R1329" s="21"/>
      <c r="S1329" s="21"/>
      <c r="T1329" s="21"/>
      <c r="U1329" s="22">
        <f>IFERROR(__xludf.DUMMYFUNCTION("IFERROR(GOOGLEFINANCE(A1329,""closeyest""),"""")"),196.0)</f>
        <v>196</v>
      </c>
      <c r="V1329" s="23">
        <f>IFERROR(__xludf.DUMMYFUNCTION("IFERROR(GOOGLEFINANCE(A1329,""changepct""),"""")"),0.0)</f>
        <v>0</v>
      </c>
      <c r="W1329" s="22">
        <f>IFERROR(__xludf.DUMMYFUNCTION("IFERROR(GOOGLEFINANCE(A1329,""priceopen""),"""")"),200.0)</f>
        <v>200</v>
      </c>
      <c r="X1329" s="22">
        <f>IFERROR(__xludf.DUMMYFUNCTION("IFERROR(GOOGLEFINANCE(A1329,""high""),"""")"),206.0)</f>
        <v>206</v>
      </c>
      <c r="Y1329" s="22">
        <f>IFERROR(__xludf.DUMMYFUNCTION("IFERROR(GOOGLEFINANCE(A1329,""low""),"""")"),195.0)</f>
        <v>195</v>
      </c>
      <c r="Z1329" s="22">
        <f>IFERROR(__xludf.DUMMYFUNCTION("IFERROR(GOOGLEFINANCE(A1329,""volume""),"""")"),4.45154E7)</f>
        <v>44515400</v>
      </c>
      <c r="AA1329" s="24" t="str">
        <f>VLOOKUP(A1329,Metrik!$C$2:$Y$959,5,0)</f>
        <v>Healthcare Equipment &amp; Supplies</v>
      </c>
      <c r="AB1329" s="24" t="str">
        <f>VLOOKUP(A1329,Metrik!$C$2:$Y$959,3,0)</f>
        <v>Healthcare</v>
      </c>
    </row>
    <row r="1330">
      <c r="A1330" s="14" t="s">
        <v>719</v>
      </c>
      <c r="B1330" s="14" t="str">
        <f t="array" ref="B1330">VLOOKUP(A1330,{Metrik!$C$2:$C$998,Metrik!$B$2:$B$998},2,0)</f>
        <v>Indonesia Prima Property Tbk</v>
      </c>
      <c r="C1330" s="15">
        <f>IFERROR(__xludf.DUMMYFUNCTION("GOOGLEFINANCE(""IDX:""&amp;A1330,""price"")"),1075.0)</f>
        <v>1075</v>
      </c>
      <c r="D1330" s="16" t="str">
        <f>IFERROR(__xludf.DUMMYFUNCTION("IF(A1330="""","""",
SPARKLINE(
INDEX(
GOOGLEFINANCE(""IDX:""&amp;A1330,""close"",TODAY()-365,TODAY()),
,2
),
{""linewidth"",1}
))
"),"#N/A")</f>
        <v>#N/A</v>
      </c>
      <c r="E1330" s="26"/>
      <c r="F1330" s="26"/>
      <c r="G1330" s="24">
        <f t="shared" si="8"/>
        <v>0</v>
      </c>
      <c r="H1330" s="19">
        <f>VLOOKUP(A1330,Metrik!$C$2:$Y$959,8,0)</f>
        <v>-16.8</v>
      </c>
      <c r="I1330" s="20">
        <f>VLOOKUP(A1330,Metrik!$C$2:$Y$959,9,0)</f>
        <v>0.94</v>
      </c>
      <c r="J1330" s="20">
        <f>VLOOKUP(A1330,Metrik!$C$2:$Y$959,10,0)</f>
        <v>-5.6</v>
      </c>
      <c r="K1330" s="20">
        <f>VLOOKUP(A1330,Metrik!$C$2:$Y$959,11,0)</f>
        <v>-4.6</v>
      </c>
      <c r="L1330" s="20">
        <f>VLOOKUP(A1330,Metrik!$C$2:$Y$959,12,0)</f>
        <v>0.22</v>
      </c>
      <c r="M1330" s="20">
        <f>VLOOKUP(A1330,Metrik!$C$2:$Y$959,19,0)</f>
        <v>-1870</v>
      </c>
      <c r="N1330" s="21"/>
      <c r="O1330" s="21"/>
      <c r="P1330" s="21"/>
      <c r="Q1330" s="21"/>
      <c r="R1330" s="21"/>
      <c r="S1330" s="21"/>
      <c r="T1330" s="21"/>
      <c r="U1330" s="22">
        <f>IFERROR(__xludf.DUMMYFUNCTION("IFERROR(GOOGLEFINANCE(A1330,""closeyest""),"""")"),995.0)</f>
        <v>995</v>
      </c>
      <c r="V1330" s="23">
        <f>IFERROR(__xludf.DUMMYFUNCTION("IFERROR(GOOGLEFINANCE(A1330,""changepct""),"""")"),8.04)</f>
        <v>8.04</v>
      </c>
      <c r="W1330" s="22">
        <f>IFERROR(__xludf.DUMMYFUNCTION("IFERROR(GOOGLEFINANCE(A1330,""priceopen""),"""")"),995.0)</f>
        <v>995</v>
      </c>
      <c r="X1330" s="22">
        <f>IFERROR(__xludf.DUMMYFUNCTION("IFERROR(GOOGLEFINANCE(A1330,""high""),"""")"),1080.0)</f>
        <v>1080</v>
      </c>
      <c r="Y1330" s="22">
        <f>IFERROR(__xludf.DUMMYFUNCTION("IFERROR(GOOGLEFINANCE(A1330,""low""),"""")"),995.0)</f>
        <v>995</v>
      </c>
      <c r="Z1330" s="22">
        <f>IFERROR(__xludf.DUMMYFUNCTION("IFERROR(GOOGLEFINANCE(A1330,""volume""),"""")"),3100.0)</f>
        <v>3100</v>
      </c>
      <c r="AA1330" s="24" t="str">
        <f>VLOOKUP(A1330,Metrik!$C$2:$Y$959,5,0)</f>
        <v>Real Estate Management &amp; Development</v>
      </c>
      <c r="AB1330" s="24" t="str">
        <f>VLOOKUP(A1330,Metrik!$C$2:$Y$959,3,0)</f>
        <v>Properties &amp; Real Estate</v>
      </c>
    </row>
    <row r="1331">
      <c r="A1331" s="14" t="s">
        <v>720</v>
      </c>
      <c r="B1331" s="14" t="str">
        <f t="array" ref="B1331">VLOOKUP(A1331,{Metrik!$C$2:$C$998,Metrik!$B$2:$B$998},2,0)</f>
        <v>Optima Prima Metal Sinergi Tbk.</v>
      </c>
      <c r="C1331" s="15">
        <f>IFERROR(__xludf.DUMMYFUNCTION("GOOGLEFINANCE(""IDX:""&amp;A1331,""price"")"),91.0)</f>
        <v>91</v>
      </c>
      <c r="D1331" s="16" t="str">
        <f>IFERROR(__xludf.DUMMYFUNCTION("IF(A1331="""","""",
SPARKLINE(
INDEX(
GOOGLEFINANCE(""IDX:""&amp;A1331,""close"",TODAY()-365,TODAY()),
,2
),
{""linewidth"",1}
))
"),"#N/A")</f>
        <v>#N/A</v>
      </c>
      <c r="E1331" s="26"/>
      <c r="F1331" s="26"/>
      <c r="G1331" s="24">
        <f t="shared" si="8"/>
        <v>0</v>
      </c>
      <c r="H1331" s="19">
        <f>VLOOKUP(A1331,Metrik!$C$2:$Y$959,8,0)</f>
        <v>-16.9</v>
      </c>
      <c r="I1331" s="20">
        <f>VLOOKUP(A1331,Metrik!$C$2:$Y$959,9,0)</f>
        <v>1.5</v>
      </c>
      <c r="J1331" s="20">
        <f>VLOOKUP(A1331,Metrik!$C$2:$Y$959,10,0)</f>
        <v>-8.9</v>
      </c>
      <c r="K1331" s="20">
        <f>VLOOKUP(A1331,Metrik!$C$2:$Y$959,11,0)</f>
        <v>-8.7</v>
      </c>
      <c r="L1331" s="20">
        <f>VLOOKUP(A1331,Metrik!$C$2:$Y$959,12,0)</f>
        <v>0.02</v>
      </c>
      <c r="M1331" s="20">
        <f>VLOOKUP(A1331,Metrik!$C$2:$Y$959,19,0)</f>
        <v>-620</v>
      </c>
      <c r="N1331" s="21"/>
      <c r="O1331" s="21"/>
      <c r="P1331" s="21"/>
      <c r="Q1331" s="21"/>
      <c r="R1331" s="21"/>
      <c r="S1331" s="21"/>
      <c r="T1331" s="21"/>
      <c r="U1331" s="22">
        <f>IFERROR(__xludf.DUMMYFUNCTION("IFERROR(GOOGLEFINANCE(A1331,""closeyest""),"""")"),91.0)</f>
        <v>91</v>
      </c>
      <c r="V1331" s="23">
        <f>IFERROR(__xludf.DUMMYFUNCTION("IFERROR(GOOGLEFINANCE(A1331,""changepct""),"""")"),0.0)</f>
        <v>0</v>
      </c>
      <c r="W1331" s="22">
        <f>IFERROR(__xludf.DUMMYFUNCTION("IFERROR(GOOGLEFINANCE(A1331,""priceopen""),"""")"),96.0)</f>
        <v>96</v>
      </c>
      <c r="X1331" s="22">
        <f>IFERROR(__xludf.DUMMYFUNCTION("IFERROR(GOOGLEFINANCE(A1331,""high""),"""")"),96.0)</f>
        <v>96</v>
      </c>
      <c r="Y1331" s="22">
        <f>IFERROR(__xludf.DUMMYFUNCTION("IFERROR(GOOGLEFINANCE(A1331,""low""),"""")"),86.0)</f>
        <v>86</v>
      </c>
      <c r="Z1331" s="22">
        <f>IFERROR(__xludf.DUMMYFUNCTION("IFERROR(GOOGLEFINANCE(A1331,""volume""),"""")"),4196800.0)</f>
        <v>4196800</v>
      </c>
      <c r="AA1331" s="24" t="str">
        <f>VLOOKUP(A1331,Metrik!$C$2:$Y$959,5,0)</f>
        <v>Metals &amp; Minerals</v>
      </c>
      <c r="AB1331" s="24" t="str">
        <f>VLOOKUP(A1331,Metrik!$C$2:$Y$959,3,0)</f>
        <v>Basic Materials</v>
      </c>
    </row>
    <row r="1332">
      <c r="A1332" s="14" t="s">
        <v>721</v>
      </c>
      <c r="B1332" s="14" t="str">
        <f t="array" ref="B1332">VLOOKUP(A1332,{Metrik!$C$2:$C$998,Metrik!$B$2:$B$998},2,0)</f>
        <v>Abadi Nusantara Hijau Investama Tbk.</v>
      </c>
      <c r="C1332" s="15">
        <f>IFERROR(__xludf.DUMMYFUNCTION("GOOGLEFINANCE(""IDX:""&amp;A1332,""price"")"),252.0)</f>
        <v>252</v>
      </c>
      <c r="D1332" s="16" t="str">
        <f>IFERROR(__xludf.DUMMYFUNCTION("IF(A1332="""","""",
SPARKLINE(
INDEX(
GOOGLEFINANCE(""IDX:""&amp;A1332,""close"",TODAY()-365,TODAY()),
,2
),
{""linewidth"",1}
))
"),"#N/A")</f>
        <v>#N/A</v>
      </c>
      <c r="E1332" s="26"/>
      <c r="F1332" s="26"/>
      <c r="G1332" s="24">
        <f t="shared" si="8"/>
        <v>0</v>
      </c>
      <c r="H1332" s="19">
        <f>VLOOKUP(A1332,Metrik!$C$2:$Y$959,8,0)</f>
        <v>350</v>
      </c>
      <c r="I1332" s="20">
        <f>VLOOKUP(A1332,Metrik!$C$2:$Y$959,9,0)</f>
        <v>94.5</v>
      </c>
      <c r="J1332" s="20">
        <f>VLOOKUP(A1332,Metrik!$C$2:$Y$959,10,0)</f>
        <v>27.1</v>
      </c>
      <c r="K1332" s="20">
        <f>VLOOKUP(A1332,Metrik!$C$2:$Y$959,11,0)</f>
        <v>0.95</v>
      </c>
      <c r="L1332" s="20">
        <f>VLOOKUP(A1332,Metrik!$C$2:$Y$959,12,0)</f>
        <v>27.4</v>
      </c>
      <c r="M1332" s="20">
        <f>VLOOKUP(A1332,Metrik!$C$2:$Y$959,19,0)</f>
        <v>13.2</v>
      </c>
      <c r="N1332" s="21"/>
      <c r="O1332" s="21"/>
      <c r="P1332" s="21"/>
      <c r="Q1332" s="21"/>
      <c r="R1332" s="21"/>
      <c r="S1332" s="21"/>
      <c r="T1332" s="21"/>
      <c r="U1332" s="22">
        <f>IFERROR(__xludf.DUMMYFUNCTION("IFERROR(GOOGLEFINANCE(A1332,""closeyest""),"""")"),7.14)</f>
        <v>7.14</v>
      </c>
      <c r="V1332" s="23">
        <f>IFERROR(__xludf.DUMMYFUNCTION("IFERROR(GOOGLEFINANCE(A1332,""changepct""),"""")"),2.24)</f>
        <v>2.24</v>
      </c>
      <c r="W1332" s="22">
        <f>IFERROR(__xludf.DUMMYFUNCTION("IFERROR(GOOGLEFINANCE(A1332,""priceopen""),"""")"),7.23)</f>
        <v>7.23</v>
      </c>
      <c r="X1332" s="22">
        <f>IFERROR(__xludf.DUMMYFUNCTION("IFERROR(GOOGLEFINANCE(A1332,""high""),"""")"),7.4)</f>
        <v>7.4</v>
      </c>
      <c r="Y1332" s="22">
        <f>IFERROR(__xludf.DUMMYFUNCTION("IFERROR(GOOGLEFINANCE(A1332,""low""),"""")"),7.13)</f>
        <v>7.13</v>
      </c>
      <c r="Z1332" s="22">
        <f>IFERROR(__xludf.DUMMYFUNCTION("IFERROR(GOOGLEFINANCE(A1332,""volume""),"""")"),450320.0)</f>
        <v>450320</v>
      </c>
      <c r="AA1332" s="24" t="str">
        <f>VLOOKUP(A1332,Metrik!$C$2:$Y$959,5,0)</f>
        <v>Containers &amp; Packaging</v>
      </c>
      <c r="AB1332" s="24" t="str">
        <f>VLOOKUP(A1332,Metrik!$C$2:$Y$959,3,0)</f>
        <v>Basic Materials</v>
      </c>
    </row>
    <row r="1333">
      <c r="A1333" s="14" t="s">
        <v>722</v>
      </c>
      <c r="B1333" s="14" t="str">
        <f t="array" ref="B1333">VLOOKUP(A1333,{Metrik!$C$2:$C$998,Metrik!$B$2:$B$998},2,0)</f>
        <v>PT Personel Alih Daya Tbk</v>
      </c>
      <c r="C1333" s="15">
        <f>IFERROR(__xludf.DUMMYFUNCTION("GOOGLEFINANCE(""IDX:""&amp;A1333,""price"")"),127.0)</f>
        <v>127</v>
      </c>
      <c r="D1333" s="16" t="str">
        <f>IFERROR(__xludf.DUMMYFUNCTION("IF(A1333="""","""",
SPARKLINE(
INDEX(
GOOGLEFINANCE(""IDX:""&amp;A1333,""close"",TODAY()-365,TODAY()),
,2
),
{""linewidth"",1}
))
"),"#N/A")</f>
        <v>#N/A</v>
      </c>
      <c r="E1333" s="26"/>
      <c r="F1333" s="26"/>
      <c r="G1333" s="24">
        <f t="shared" si="8"/>
        <v>0</v>
      </c>
      <c r="H1333" s="19">
        <f>VLOOKUP(A1333,Metrik!$C$2:$Y$959,8,0)</f>
        <v>84.3</v>
      </c>
      <c r="I1333" s="20">
        <f>VLOOKUP(A1333,Metrik!$C$2:$Y$959,9,0)</f>
        <v>3.6</v>
      </c>
      <c r="J1333" s="20">
        <f>VLOOKUP(A1333,Metrik!$C$2:$Y$959,10,0)</f>
        <v>4.2</v>
      </c>
      <c r="K1333" s="20">
        <f>VLOOKUP(A1333,Metrik!$C$2:$Y$959,11,0)</f>
        <v>1.5</v>
      </c>
      <c r="L1333" s="20">
        <f>VLOOKUP(A1333,Metrik!$C$2:$Y$959,12,0)</f>
        <v>1.9</v>
      </c>
      <c r="M1333" s="20">
        <f>VLOOKUP(A1333,Metrik!$C$2:$Y$959,19,0)</f>
        <v>1.1</v>
      </c>
      <c r="N1333" s="21"/>
      <c r="O1333" s="21"/>
      <c r="P1333" s="21"/>
      <c r="Q1333" s="21"/>
      <c r="R1333" s="21"/>
      <c r="S1333" s="21"/>
      <c r="T1333" s="21"/>
      <c r="U1333" s="22">
        <f>IFERROR(__xludf.DUMMYFUNCTION("IFERROR(GOOGLEFINANCE(A1333,""closeyest""),"""")"),108.0)</f>
        <v>108</v>
      </c>
      <c r="V1333" s="23">
        <f>IFERROR(__xludf.DUMMYFUNCTION("IFERROR(GOOGLEFINANCE(A1333,""changepct""),"""")"),17.59)</f>
        <v>17.59</v>
      </c>
      <c r="W1333" s="22">
        <f>IFERROR(__xludf.DUMMYFUNCTION("IFERROR(GOOGLEFINANCE(A1333,""priceopen""),"""")"),110.0)</f>
        <v>110</v>
      </c>
      <c r="X1333" s="22">
        <f>IFERROR(__xludf.DUMMYFUNCTION("IFERROR(GOOGLEFINANCE(A1333,""high""),"""")"),143.0)</f>
        <v>143</v>
      </c>
      <c r="Y1333" s="22">
        <f>IFERROR(__xludf.DUMMYFUNCTION("IFERROR(GOOGLEFINANCE(A1333,""low""),"""")"),110.0)</f>
        <v>110</v>
      </c>
      <c r="Z1333" s="22">
        <f>IFERROR(__xludf.DUMMYFUNCTION("IFERROR(GOOGLEFINANCE(A1333,""volume""),"""")"),6.79645E7)</f>
        <v>67964500</v>
      </c>
      <c r="AA1333" s="24" t="str">
        <f>VLOOKUP(A1333,Metrik!$C$2:$Y$959,5,0)</f>
        <v>Professional Services</v>
      </c>
      <c r="AB1333" s="24" t="str">
        <f>VLOOKUP(A1333,Metrik!$C$2:$Y$959,3,0)</f>
        <v>Industrials</v>
      </c>
    </row>
    <row r="1334">
      <c r="A1334" s="14" t="s">
        <v>723</v>
      </c>
      <c r="B1334" s="14" t="str">
        <f t="array" ref="B1334">VLOOKUP(A1334,{Metrik!$C$2:$C$998,Metrik!$B$2:$B$998},2,0)</f>
        <v>Minna Padi Investama Sekuritas Tbk.</v>
      </c>
      <c r="C1334" s="15">
        <f>IFERROR(__xludf.DUMMYFUNCTION("GOOGLEFINANCE(""IDX:""&amp;A1334,""price"")"),74.0)</f>
        <v>74</v>
      </c>
      <c r="D1334" s="16" t="str">
        <f>IFERROR(__xludf.DUMMYFUNCTION("IF(A1334="""","""",
SPARKLINE(
INDEX(
GOOGLEFINANCE(""IDX:""&amp;A1334,""close"",TODAY()-365,TODAY()),
,2
),
{""linewidth"",1}
))
"),"#N/A")</f>
        <v>#N/A</v>
      </c>
      <c r="E1334" s="26"/>
      <c r="F1334" s="26"/>
      <c r="G1334" s="24">
        <f t="shared" si="8"/>
        <v>0</v>
      </c>
      <c r="H1334" s="19">
        <f>VLOOKUP(A1334,Metrik!$C$2:$Y$959,8,0)</f>
        <v>110</v>
      </c>
      <c r="I1334" s="20">
        <f>VLOOKUP(A1334,Metrik!$C$2:$Y$959,9,0)</f>
        <v>6.3</v>
      </c>
      <c r="J1334" s="20">
        <f>VLOOKUP(A1334,Metrik!$C$2:$Y$959,10,0)</f>
        <v>5.7</v>
      </c>
      <c r="K1334" s="20">
        <f>VLOOKUP(A1334,Metrik!$C$2:$Y$959,11,0)</f>
        <v>4.4</v>
      </c>
      <c r="L1334" s="20">
        <f>VLOOKUP(A1334,Metrik!$C$2:$Y$959,12,0)</f>
        <v>0.29</v>
      </c>
      <c r="M1334" s="20">
        <f>VLOOKUP(A1334,Metrik!$C$2:$Y$959,19,0)</f>
        <v>67.6</v>
      </c>
      <c r="N1334" s="21"/>
      <c r="O1334" s="21"/>
      <c r="P1334" s="21"/>
      <c r="Q1334" s="21"/>
      <c r="R1334" s="21"/>
      <c r="S1334" s="21"/>
      <c r="T1334" s="21"/>
      <c r="U1334" s="22">
        <f>IFERROR(__xludf.DUMMYFUNCTION("IFERROR(GOOGLEFINANCE(A1334,""closeyest""),"""")"),68.0)</f>
        <v>68</v>
      </c>
      <c r="V1334" s="23">
        <f>IFERROR(__xludf.DUMMYFUNCTION("IFERROR(GOOGLEFINANCE(A1334,""changepct""),"""")"),8.82)</f>
        <v>8.82</v>
      </c>
      <c r="W1334" s="22">
        <f>IFERROR(__xludf.DUMMYFUNCTION("IFERROR(GOOGLEFINANCE(A1334,""priceopen""),"""")"),69.0)</f>
        <v>69</v>
      </c>
      <c r="X1334" s="22">
        <f>IFERROR(__xludf.DUMMYFUNCTION("IFERROR(GOOGLEFINANCE(A1334,""high""),"""")"),78.0)</f>
        <v>78</v>
      </c>
      <c r="Y1334" s="22">
        <f>IFERROR(__xludf.DUMMYFUNCTION("IFERROR(GOOGLEFINANCE(A1334,""low""),"""")"),68.0)</f>
        <v>68</v>
      </c>
      <c r="Z1334" s="22">
        <f>IFERROR(__xludf.DUMMYFUNCTION("IFERROR(GOOGLEFINANCE(A1334,""volume""),"""")"),2.60888E8)</f>
        <v>260888000</v>
      </c>
      <c r="AA1334" s="24" t="str">
        <f>VLOOKUP(A1334,Metrik!$C$2:$Y$959,5,0)</f>
        <v>Investment Services</v>
      </c>
      <c r="AB1334" s="24" t="str">
        <f>VLOOKUP(A1334,Metrik!$C$2:$Y$959,3,0)</f>
        <v>Financials</v>
      </c>
    </row>
    <row r="1335">
      <c r="A1335" s="14" t="s">
        <v>724</v>
      </c>
      <c r="B1335" s="14" t="str">
        <f t="array" ref="B1335">VLOOKUP(A1335,{Metrik!$C$2:$C$998,Metrik!$B$2:$B$998},2,0)</f>
        <v>PT Provident Investasi Bersama Tbk</v>
      </c>
      <c r="C1335" s="15">
        <f>IFERROR(__xludf.DUMMYFUNCTION("GOOGLEFINANCE(""IDX:""&amp;A1335,""price"")"),328.0)</f>
        <v>328</v>
      </c>
      <c r="D1335" s="16" t="str">
        <f>IFERROR(__xludf.DUMMYFUNCTION("IF(A1335="""","""",
SPARKLINE(
INDEX(
GOOGLEFINANCE(""IDX:""&amp;A1335,""close"",TODAY()-365,TODAY()),
,2
),
{""linewidth"",1}
))
"),"#N/A")</f>
        <v>#N/A</v>
      </c>
      <c r="E1335" s="26"/>
      <c r="F1335" s="26"/>
      <c r="G1335" s="24">
        <f t="shared" si="8"/>
        <v>0</v>
      </c>
      <c r="H1335" s="19">
        <f>VLOOKUP(A1335,Metrik!$C$2:$Y$959,8,0)</f>
        <v>0.96</v>
      </c>
      <c r="I1335" s="20">
        <f>VLOOKUP(A1335,Metrik!$C$2:$Y$959,9,0)</f>
        <v>0.65</v>
      </c>
      <c r="J1335" s="20">
        <f>VLOOKUP(A1335,Metrik!$C$2:$Y$959,10,0)</f>
        <v>67.7</v>
      </c>
      <c r="K1335" s="20">
        <f>VLOOKUP(A1335,Metrik!$C$2:$Y$959,11,0)</f>
        <v>48.5</v>
      </c>
      <c r="L1335" s="20">
        <f>VLOOKUP(A1335,Metrik!$C$2:$Y$959,12,0)</f>
        <v>0.4</v>
      </c>
      <c r="M1335" s="20">
        <f>VLOOKUP(A1335,Metrik!$C$2:$Y$959,19,0)</f>
        <v>140000</v>
      </c>
      <c r="N1335" s="21"/>
      <c r="O1335" s="21"/>
      <c r="P1335" s="21"/>
      <c r="Q1335" s="21"/>
      <c r="R1335" s="21"/>
      <c r="S1335" s="21"/>
      <c r="T1335" s="21"/>
      <c r="U1335" s="22">
        <f>IFERROR(__xludf.DUMMYFUNCTION("IFERROR(GOOGLEFINANCE(A1335,""closeyest""),"""")"),155.0)</f>
        <v>155</v>
      </c>
      <c r="V1335" s="23">
        <f>IFERROR(__xludf.DUMMYFUNCTION("IFERROR(GOOGLEFINANCE(A1335,""changepct""),"""")"),-0.65)</f>
        <v>-0.65</v>
      </c>
      <c r="W1335" s="22">
        <f>IFERROR(__xludf.DUMMYFUNCTION("IFERROR(GOOGLEFINANCE(A1335,""priceopen""),"""")"),165.0)</f>
        <v>165</v>
      </c>
      <c r="X1335" s="22">
        <f>IFERROR(__xludf.DUMMYFUNCTION("IFERROR(GOOGLEFINANCE(A1335,""high""),"""")"),165.0)</f>
        <v>165</v>
      </c>
      <c r="Y1335" s="22">
        <f>IFERROR(__xludf.DUMMYFUNCTION("IFERROR(GOOGLEFINANCE(A1335,""low""),"""")"),145.0)</f>
        <v>145</v>
      </c>
      <c r="Z1335" s="22">
        <f>IFERROR(__xludf.DUMMYFUNCTION("IFERROR(GOOGLEFINANCE(A1335,""volume""),"""")"),75433.0)</f>
        <v>75433</v>
      </c>
      <c r="AA1335" s="24" t="str">
        <f>VLOOKUP(A1335,Metrik!$C$2:$Y$959,5,0)</f>
        <v>Agricultural Products</v>
      </c>
      <c r="AB1335" s="24" t="str">
        <f>VLOOKUP(A1335,Metrik!$C$2:$Y$959,3,0)</f>
        <v>Consumer Non-Cyclicals</v>
      </c>
    </row>
    <row r="1336">
      <c r="A1336" s="14" t="s">
        <v>725</v>
      </c>
      <c r="B1336" s="14" t="str">
        <f t="array" ref="B1336">VLOOKUP(A1336,{Metrik!$C$2:$C$998,Metrik!$B$2:$B$998},2,0)</f>
        <v>Bima Sakti Pertiwi Tbk.</v>
      </c>
      <c r="C1336" s="15">
        <f>IFERROR(__xludf.DUMMYFUNCTION("GOOGLEFINANCE(""IDX:""&amp;A1336,""price"")"),51.0)</f>
        <v>51</v>
      </c>
      <c r="D1336" s="16" t="str">
        <f>IFERROR(__xludf.DUMMYFUNCTION("IF(A1336="""","""",
SPARKLINE(
INDEX(
GOOGLEFINANCE(""IDX:""&amp;A1336,""close"",TODAY()-365,TODAY()),
,2
),
{""linewidth"",1}
))
"),"#N/A")</f>
        <v>#N/A</v>
      </c>
      <c r="E1336" s="26"/>
      <c r="F1336" s="26"/>
      <c r="G1336" s="24">
        <f t="shared" si="8"/>
        <v>0</v>
      </c>
      <c r="H1336" s="19">
        <f>VLOOKUP(A1336,Metrik!$C$2:$Y$959,8,0)</f>
        <v>-340</v>
      </c>
      <c r="I1336" s="20">
        <f>VLOOKUP(A1336,Metrik!$C$2:$Y$959,9,0)</f>
        <v>0.38</v>
      </c>
      <c r="J1336" s="20">
        <f>VLOOKUP(A1336,Metrik!$C$2:$Y$959,10,0)</f>
        <v>-0.11</v>
      </c>
      <c r="K1336" s="20">
        <f>VLOOKUP(A1336,Metrik!$C$2:$Y$959,11,0)</f>
        <v>-0.08</v>
      </c>
      <c r="L1336" s="20">
        <f>VLOOKUP(A1336,Metrik!$C$2:$Y$959,12,0)</f>
        <v>0.38</v>
      </c>
      <c r="M1336" s="20">
        <f>VLOOKUP(A1336,Metrik!$C$2:$Y$959,19,0)</f>
        <v>-4.2</v>
      </c>
      <c r="N1336" s="21"/>
      <c r="O1336" s="21"/>
      <c r="P1336" s="21"/>
      <c r="Q1336" s="21"/>
      <c r="R1336" s="21"/>
      <c r="S1336" s="21"/>
      <c r="T1336" s="21"/>
      <c r="U1336" s="22">
        <f>IFERROR(__xludf.DUMMYFUNCTION("IFERROR(GOOGLEFINANCE(A1336,""closeyest""),"""")"),50.0)</f>
        <v>50</v>
      </c>
      <c r="V1336" s="23">
        <f>IFERROR(__xludf.DUMMYFUNCTION("IFERROR(GOOGLEFINANCE(A1336,""changepct""),"""")"),2.0)</f>
        <v>2</v>
      </c>
      <c r="W1336" s="22">
        <f>IFERROR(__xludf.DUMMYFUNCTION("IFERROR(GOOGLEFINANCE(A1336,""priceopen""),"""")"),50.0)</f>
        <v>50</v>
      </c>
      <c r="X1336" s="22">
        <f>IFERROR(__xludf.DUMMYFUNCTION("IFERROR(GOOGLEFINANCE(A1336,""high""),"""")"),53.0)</f>
        <v>53</v>
      </c>
      <c r="Y1336" s="22">
        <f>IFERROR(__xludf.DUMMYFUNCTION("IFERROR(GOOGLEFINANCE(A1336,""low""),"""")"),50.0)</f>
        <v>50</v>
      </c>
      <c r="Z1336" s="22">
        <f>IFERROR(__xludf.DUMMYFUNCTION("IFERROR(GOOGLEFINANCE(A1336,""volume""),"""")"),6881100.0)</f>
        <v>6881100</v>
      </c>
      <c r="AA1336" s="24" t="str">
        <f>VLOOKUP(A1336,Metrik!$C$2:$Y$959,5,0)</f>
        <v>Real Estate Management &amp; Development</v>
      </c>
      <c r="AB1336" s="24" t="str">
        <f>VLOOKUP(A1336,Metrik!$C$2:$Y$959,3,0)</f>
        <v>Properties &amp; Real Estate</v>
      </c>
    </row>
    <row r="1337">
      <c r="A1337" s="14" t="s">
        <v>726</v>
      </c>
      <c r="B1337" s="14" t="str">
        <f t="array" ref="B1337">VLOOKUP(A1337,{Metrik!$C$2:$C$998,Metrik!$B$2:$B$998},2,0)</f>
        <v>Pantai Indah Kapuk Dua Tbk.</v>
      </c>
      <c r="C1337" s="15">
        <f>IFERROR(__xludf.DUMMYFUNCTION("GOOGLEFINANCE(""IDX:""&amp;A1337,""price"")"),6850.0)</f>
        <v>6850</v>
      </c>
      <c r="D1337" s="16" t="str">
        <f>IFERROR(__xludf.DUMMYFUNCTION("IF(A1337="""","""",
SPARKLINE(
INDEX(
GOOGLEFINANCE(""IDX:""&amp;A1337,""close"",TODAY()-365,TODAY()),
,2
),
{""linewidth"",1}
))
"),"#N/A")</f>
        <v>#N/A</v>
      </c>
      <c r="E1337" s="14" t="s">
        <v>52</v>
      </c>
      <c r="F1337" s="27" t="s">
        <v>53</v>
      </c>
      <c r="G1337" s="24">
        <f t="shared" si="8"/>
        <v>3</v>
      </c>
      <c r="H1337" s="19">
        <f>VLOOKUP(A1337,Metrik!$C$2:$Y$959,8,0)</f>
        <v>79.7</v>
      </c>
      <c r="I1337" s="20">
        <f>VLOOKUP(A1337,Metrik!$C$2:$Y$959,9,0)</f>
        <v>4.2</v>
      </c>
      <c r="J1337" s="20">
        <f>VLOOKUP(A1337,Metrik!$C$2:$Y$959,10,0)</f>
        <v>5.2</v>
      </c>
      <c r="K1337" s="20">
        <f>VLOOKUP(A1337,Metrik!$C$2:$Y$959,11,0)</f>
        <v>3.3</v>
      </c>
      <c r="L1337" s="20">
        <f>VLOOKUP(A1337,Metrik!$C$2:$Y$959,12,0)</f>
        <v>0.57</v>
      </c>
      <c r="M1337" s="20">
        <f>VLOOKUP(A1337,Metrik!$C$2:$Y$959,19,0)</f>
        <v>150</v>
      </c>
      <c r="N1337" s="21"/>
      <c r="O1337" s="21"/>
      <c r="P1337" s="21"/>
      <c r="Q1337" s="21"/>
      <c r="R1337" s="21"/>
      <c r="S1337" s="21"/>
      <c r="T1337" s="21"/>
      <c r="U1337" s="22">
        <f>IFERROR(__xludf.DUMMYFUNCTION("IFERROR(GOOGLEFINANCE(A1337,""closeyest""),"""")"),6275.0)</f>
        <v>6275</v>
      </c>
      <c r="V1337" s="23">
        <f>IFERROR(__xludf.DUMMYFUNCTION("IFERROR(GOOGLEFINANCE(A1337,""changepct""),"""")"),9.16)</f>
        <v>9.16</v>
      </c>
      <c r="W1337" s="22" t="str">
        <f>IFERROR(__xludf.DUMMYFUNCTION("IFERROR(GOOGLEFINANCE(A1337,""priceopen""),"""")"),"")</f>
        <v/>
      </c>
      <c r="X1337" s="22">
        <f>IFERROR(__xludf.DUMMYFUNCTION("IFERROR(GOOGLEFINANCE(A1337,""high""),"""")"),6850.0)</f>
        <v>6850</v>
      </c>
      <c r="Y1337" s="22">
        <f>IFERROR(__xludf.DUMMYFUNCTION("IFERROR(GOOGLEFINANCE(A1337,""low""),"""")"),6300.0)</f>
        <v>6300</v>
      </c>
      <c r="Z1337" s="22">
        <f>IFERROR(__xludf.DUMMYFUNCTION("IFERROR(GOOGLEFINANCE(A1337,""volume""),"""")"),5972800.0)</f>
        <v>5972800</v>
      </c>
      <c r="AA1337" s="24" t="str">
        <f>VLOOKUP(A1337,Metrik!$C$2:$Y$959,5,0)</f>
        <v>Real Estate Management &amp; Development</v>
      </c>
      <c r="AB1337" s="24" t="str">
        <f>VLOOKUP(A1337,Metrik!$C$2:$Y$959,3,0)</f>
        <v>Properties &amp; Real Estate</v>
      </c>
    </row>
    <row r="1338">
      <c r="A1338" s="14" t="s">
        <v>726</v>
      </c>
      <c r="B1338" s="14" t="str">
        <f t="array" ref="B1338">VLOOKUP(A1338,{Metrik!$C$2:$C$998,Metrik!$B$2:$B$998},2,0)</f>
        <v>Pantai Indah Kapuk Dua Tbk.</v>
      </c>
      <c r="C1338" s="15">
        <f>IFERROR(__xludf.DUMMYFUNCTION("GOOGLEFINANCE(""IDX:""&amp;A1338,""price"")"),6850.0)</f>
        <v>6850</v>
      </c>
      <c r="D1338" s="16" t="str">
        <f>IFERROR(__xludf.DUMMYFUNCTION("IF(A1338="""","""",
SPARKLINE(
INDEX(
GOOGLEFINANCE(""IDX:""&amp;A1338,""close"",TODAY()-365,TODAY()),
,2
),
{""linewidth"",1}
))
"),"#N/A")</f>
        <v>#N/A</v>
      </c>
      <c r="E1338" s="14" t="s">
        <v>32</v>
      </c>
      <c r="F1338" s="14" t="s">
        <v>29</v>
      </c>
      <c r="G1338" s="24">
        <f t="shared" si="8"/>
        <v>3</v>
      </c>
      <c r="H1338" s="19">
        <f>VLOOKUP(A1338,Metrik!$C$2:$Y$959,8,0)</f>
        <v>79.7</v>
      </c>
      <c r="I1338" s="20">
        <f>VLOOKUP(A1338,Metrik!$C$2:$Y$959,9,0)</f>
        <v>4.2</v>
      </c>
      <c r="J1338" s="20">
        <f>VLOOKUP(A1338,Metrik!$C$2:$Y$959,10,0)</f>
        <v>5.2</v>
      </c>
      <c r="K1338" s="20">
        <f>VLOOKUP(A1338,Metrik!$C$2:$Y$959,11,0)</f>
        <v>3.3</v>
      </c>
      <c r="L1338" s="20">
        <f>VLOOKUP(A1338,Metrik!$C$2:$Y$959,12,0)</f>
        <v>0.57</v>
      </c>
      <c r="M1338" s="20">
        <f>VLOOKUP(A1338,Metrik!$C$2:$Y$959,19,0)</f>
        <v>150</v>
      </c>
      <c r="N1338" s="21"/>
      <c r="O1338" s="21"/>
      <c r="P1338" s="21"/>
      <c r="Q1338" s="21"/>
      <c r="R1338" s="21"/>
      <c r="S1338" s="21"/>
      <c r="T1338" s="21"/>
      <c r="U1338" s="22">
        <f>IFERROR(__xludf.DUMMYFUNCTION("IFERROR(GOOGLEFINANCE(A1338,""closeyest""),"""")"),6275.0)</f>
        <v>6275</v>
      </c>
      <c r="V1338" s="23">
        <f>IFERROR(__xludf.DUMMYFUNCTION("IFERROR(GOOGLEFINANCE(A1338,""changepct""),"""")"),9.16)</f>
        <v>9.16</v>
      </c>
      <c r="W1338" s="22" t="str">
        <f>IFERROR(__xludf.DUMMYFUNCTION("IFERROR(GOOGLEFINANCE(A1338,""priceopen""),"""")"),"")</f>
        <v/>
      </c>
      <c r="X1338" s="22">
        <f>IFERROR(__xludf.DUMMYFUNCTION("IFERROR(GOOGLEFINANCE(A1338,""high""),"""")"),6850.0)</f>
        <v>6850</v>
      </c>
      <c r="Y1338" s="22">
        <f>IFERROR(__xludf.DUMMYFUNCTION("IFERROR(GOOGLEFINANCE(A1338,""low""),"""")"),6300.0)</f>
        <v>6300</v>
      </c>
      <c r="Z1338" s="22">
        <f>IFERROR(__xludf.DUMMYFUNCTION("IFERROR(GOOGLEFINANCE(A1338,""volume""),"""")"),5972800.0)</f>
        <v>5972800</v>
      </c>
      <c r="AA1338" s="24" t="str">
        <f>VLOOKUP(A1338,Metrik!$C$2:$Y$959,5,0)</f>
        <v>Real Estate Management &amp; Development</v>
      </c>
      <c r="AB1338" s="24" t="str">
        <f>VLOOKUP(A1338,Metrik!$C$2:$Y$959,3,0)</f>
        <v>Properties &amp; Real Estate</v>
      </c>
    </row>
    <row r="1339">
      <c r="A1339" s="14" t="s">
        <v>726</v>
      </c>
      <c r="B1339" s="14" t="str">
        <f t="array" ref="B1339">VLOOKUP(A1339,{Metrik!$C$2:$C$998,Metrik!$B$2:$B$998},2,0)</f>
        <v>Pantai Indah Kapuk Dua Tbk.</v>
      </c>
      <c r="C1339" s="15">
        <f>IFERROR(__xludf.DUMMYFUNCTION("GOOGLEFINANCE(""IDX:""&amp;A1339,""price"")"),6850.0)</f>
        <v>6850</v>
      </c>
      <c r="D1339" s="16" t="str">
        <f>IFERROR(__xludf.DUMMYFUNCTION("IF(A1339="""","""",
SPARKLINE(
INDEX(
GOOGLEFINANCE(""IDX:""&amp;A1339,""close"",TODAY()-365,TODAY()),
,2
),
{""linewidth"",1}
))
"),"#N/A")</f>
        <v>#N/A</v>
      </c>
      <c r="E1339" s="14" t="s">
        <v>28</v>
      </c>
      <c r="F1339" s="17" t="s">
        <v>29</v>
      </c>
      <c r="G1339" s="24">
        <f t="shared" si="8"/>
        <v>3</v>
      </c>
      <c r="H1339" s="19">
        <f>VLOOKUP(A1339,Metrik!$C$2:$Y$959,8,0)</f>
        <v>79.7</v>
      </c>
      <c r="I1339" s="20">
        <f>VLOOKUP(A1339,Metrik!$C$2:$Y$959,9,0)</f>
        <v>4.2</v>
      </c>
      <c r="J1339" s="20">
        <f>VLOOKUP(A1339,Metrik!$C$2:$Y$959,10,0)</f>
        <v>5.2</v>
      </c>
      <c r="K1339" s="20">
        <f>VLOOKUP(A1339,Metrik!$C$2:$Y$959,11,0)</f>
        <v>3.3</v>
      </c>
      <c r="L1339" s="20">
        <f>VLOOKUP(A1339,Metrik!$C$2:$Y$959,12,0)</f>
        <v>0.57</v>
      </c>
      <c r="M1339" s="20">
        <f>VLOOKUP(A1339,Metrik!$C$2:$Y$959,19,0)</f>
        <v>150</v>
      </c>
      <c r="N1339" s="21"/>
      <c r="O1339" s="21"/>
      <c r="P1339" s="21"/>
      <c r="Q1339" s="21"/>
      <c r="R1339" s="21"/>
      <c r="S1339" s="21"/>
      <c r="T1339" s="21"/>
      <c r="U1339" s="22">
        <f>IFERROR(__xludf.DUMMYFUNCTION("IFERROR(GOOGLEFINANCE(A1339,""closeyest""),"""")"),6275.0)</f>
        <v>6275</v>
      </c>
      <c r="V1339" s="23">
        <f>IFERROR(__xludf.DUMMYFUNCTION("IFERROR(GOOGLEFINANCE(A1339,""changepct""),"""")"),9.16)</f>
        <v>9.16</v>
      </c>
      <c r="W1339" s="22" t="str">
        <f>IFERROR(__xludf.DUMMYFUNCTION("IFERROR(GOOGLEFINANCE(A1339,""priceopen""),"""")"),"")</f>
        <v/>
      </c>
      <c r="X1339" s="22">
        <f>IFERROR(__xludf.DUMMYFUNCTION("IFERROR(GOOGLEFINANCE(A1339,""high""),"""")"),6850.0)</f>
        <v>6850</v>
      </c>
      <c r="Y1339" s="22">
        <f>IFERROR(__xludf.DUMMYFUNCTION("IFERROR(GOOGLEFINANCE(A1339,""low""),"""")"),6300.0)</f>
        <v>6300</v>
      </c>
      <c r="Z1339" s="22">
        <f>IFERROR(__xludf.DUMMYFUNCTION("IFERROR(GOOGLEFINANCE(A1339,""volume""),"""")"),5972800.0)</f>
        <v>5972800</v>
      </c>
      <c r="AA1339" s="24" t="str">
        <f>VLOOKUP(A1339,Metrik!$C$2:$Y$959,5,0)</f>
        <v>Real Estate Management &amp; Development</v>
      </c>
      <c r="AB1339" s="24" t="str">
        <f>VLOOKUP(A1339,Metrik!$C$2:$Y$959,3,0)</f>
        <v>Properties &amp; Real Estate</v>
      </c>
    </row>
    <row r="1340">
      <c r="A1340" s="14" t="s">
        <v>727</v>
      </c>
      <c r="B1340" s="14" t="str">
        <f t="array" ref="B1340">VLOOKUP(A1340,{Metrik!$C$2:$C$998,Metrik!$B$2:$B$998},2,0)</f>
        <v>Panorama Sentrawisata Tbk.</v>
      </c>
      <c r="C1340" s="15">
        <f>IFERROR(__xludf.DUMMYFUNCTION("GOOGLEFINANCE(""IDX:""&amp;A1340,""price"")"),450.0)</f>
        <v>450</v>
      </c>
      <c r="D1340" s="16" t="str">
        <f>IFERROR(__xludf.DUMMYFUNCTION("IF(A1340="""","""",
SPARKLINE(
INDEX(
GOOGLEFINANCE(""IDX:""&amp;A1340,""close"",TODAY()-365,TODAY()),
,2
),
{""linewidth"",1}
))
"),"#N/A")</f>
        <v>#N/A</v>
      </c>
      <c r="E1340" s="26"/>
      <c r="F1340" s="26"/>
      <c r="G1340" s="18">
        <f t="shared" si="8"/>
        <v>0</v>
      </c>
      <c r="H1340" s="19">
        <f>VLOOKUP(A1340,Metrik!$C$2:$Y$959,8,0)</f>
        <v>7.4</v>
      </c>
      <c r="I1340" s="20">
        <f>VLOOKUP(A1340,Metrik!$C$2:$Y$959,9,0)</f>
        <v>0.52</v>
      </c>
      <c r="J1340" s="20">
        <f>VLOOKUP(A1340,Metrik!$C$2:$Y$959,10,0)</f>
        <v>7</v>
      </c>
      <c r="K1340" s="20">
        <f>VLOOKUP(A1340,Metrik!$C$2:$Y$959,11,0)</f>
        <v>4.4</v>
      </c>
      <c r="L1340" s="20">
        <f>VLOOKUP(A1340,Metrik!$C$2:$Y$959,12,0)</f>
        <v>0.59</v>
      </c>
      <c r="M1340" s="20">
        <f>VLOOKUP(A1340,Metrik!$C$2:$Y$959,19,0)</f>
        <v>9</v>
      </c>
      <c r="N1340" s="21"/>
      <c r="O1340" s="21"/>
      <c r="P1340" s="21"/>
      <c r="Q1340" s="21"/>
      <c r="R1340" s="21"/>
      <c r="S1340" s="21"/>
      <c r="T1340" s="21"/>
      <c r="U1340" s="22">
        <f>IFERROR(__xludf.DUMMYFUNCTION("IFERROR(GOOGLEFINANCE(A1340,""closeyest""),"""")"),16.12)</f>
        <v>16.12</v>
      </c>
      <c r="V1340" s="23">
        <f>IFERROR(__xludf.DUMMYFUNCTION("IFERROR(GOOGLEFINANCE(A1340,""changepct""),"""")"),-1.92)</f>
        <v>-1.92</v>
      </c>
      <c r="W1340" s="22">
        <f>IFERROR(__xludf.DUMMYFUNCTION("IFERROR(GOOGLEFINANCE(A1340,""priceopen""),"""")"),15.75)</f>
        <v>15.75</v>
      </c>
      <c r="X1340" s="22">
        <f>IFERROR(__xludf.DUMMYFUNCTION("IFERROR(GOOGLEFINANCE(A1340,""high""),"""")"),16.15)</f>
        <v>16.15</v>
      </c>
      <c r="Y1340" s="22">
        <f>IFERROR(__xludf.DUMMYFUNCTION("IFERROR(GOOGLEFINANCE(A1340,""low""),"""")"),14.79)</f>
        <v>14.79</v>
      </c>
      <c r="Z1340" s="22">
        <f>IFERROR(__xludf.DUMMYFUNCTION("IFERROR(GOOGLEFINANCE(A1340,""volume""),"""")"),4730612.0)</f>
        <v>4730612</v>
      </c>
      <c r="AA1340" s="24" t="str">
        <f>VLOOKUP(A1340,Metrik!$C$2:$Y$959,5,0)</f>
        <v>Tourism &amp; Recreation</v>
      </c>
      <c r="AB1340" s="24" t="str">
        <f>VLOOKUP(A1340,Metrik!$C$2:$Y$959,3,0)</f>
        <v>Consumer Cyclicals</v>
      </c>
    </row>
    <row r="1341">
      <c r="A1341" s="14" t="s">
        <v>728</v>
      </c>
      <c r="B1341" s="14" t="str">
        <f t="array" ref="B1341">VLOOKUP(A1341,{Metrik!$C$2:$C$998,Metrik!$B$2:$B$998},2,0)</f>
        <v>Panin Sekuritas Tbk.</v>
      </c>
      <c r="C1341" s="15">
        <f>IFERROR(__xludf.DUMMYFUNCTION("GOOGLEFINANCE(""IDX:""&amp;A1341,""price"")"),1675.0)</f>
        <v>1675</v>
      </c>
      <c r="D1341" s="16" t="str">
        <f>IFERROR(__xludf.DUMMYFUNCTION("IF(A1341="""","""",
SPARKLINE(
INDEX(
GOOGLEFINANCE(""IDX:""&amp;A1341,""close"",TODAY()-365,TODAY()),
,2
),
{""linewidth"",1}
))
"),"#N/A")</f>
        <v>#N/A</v>
      </c>
      <c r="E1341" s="26"/>
      <c r="F1341" s="26"/>
      <c r="G1341" s="24">
        <f t="shared" si="8"/>
        <v>0</v>
      </c>
      <c r="H1341" s="19">
        <f>VLOOKUP(A1341,Metrik!$C$2:$Y$959,8,0)</f>
        <v>5.7</v>
      </c>
      <c r="I1341" s="20">
        <f>VLOOKUP(A1341,Metrik!$C$2:$Y$959,9,0)</f>
        <v>0.75</v>
      </c>
      <c r="J1341" s="20">
        <f>VLOOKUP(A1341,Metrik!$C$2:$Y$959,10,0)</f>
        <v>13.3</v>
      </c>
      <c r="K1341" s="20">
        <f>VLOOKUP(A1341,Metrik!$C$2:$Y$959,11,0)</f>
        <v>9.1</v>
      </c>
      <c r="L1341" s="20">
        <f>VLOOKUP(A1341,Metrik!$C$2:$Y$959,12,0)</f>
        <v>0.45</v>
      </c>
      <c r="M1341" s="20">
        <f>VLOOKUP(A1341,Metrik!$C$2:$Y$959,19,0)</f>
        <v>250</v>
      </c>
      <c r="N1341" s="21"/>
      <c r="O1341" s="21"/>
      <c r="P1341" s="21"/>
      <c r="Q1341" s="21"/>
      <c r="R1341" s="21"/>
      <c r="S1341" s="21"/>
      <c r="T1341" s="21"/>
      <c r="U1341" s="22">
        <f>IFERROR(__xludf.DUMMYFUNCTION("IFERROR(GOOGLEFINANCE(A1341,""closeyest""),"""")"),1650.0)</f>
        <v>1650</v>
      </c>
      <c r="V1341" s="23">
        <f>IFERROR(__xludf.DUMMYFUNCTION("IFERROR(GOOGLEFINANCE(A1341,""changepct""),"""")"),1.52)</f>
        <v>1.52</v>
      </c>
      <c r="W1341" s="22">
        <f>IFERROR(__xludf.DUMMYFUNCTION("IFERROR(GOOGLEFINANCE(A1341,""priceopen""),"""")"),1645.0)</f>
        <v>1645</v>
      </c>
      <c r="X1341" s="22">
        <f>IFERROR(__xludf.DUMMYFUNCTION("IFERROR(GOOGLEFINANCE(A1341,""high""),"""")"),1710.0)</f>
        <v>1710</v>
      </c>
      <c r="Y1341" s="22">
        <f>IFERROR(__xludf.DUMMYFUNCTION("IFERROR(GOOGLEFINANCE(A1341,""low""),"""")"),1645.0)</f>
        <v>1645</v>
      </c>
      <c r="Z1341" s="22">
        <f>IFERROR(__xludf.DUMMYFUNCTION("IFERROR(GOOGLEFINANCE(A1341,""volume""),"""")"),159100.0)</f>
        <v>159100</v>
      </c>
      <c r="AA1341" s="24" t="str">
        <f>VLOOKUP(A1341,Metrik!$C$2:$Y$959,5,0)</f>
        <v>Investment Services</v>
      </c>
      <c r="AB1341" s="24" t="str">
        <f>VLOOKUP(A1341,Metrik!$C$2:$Y$959,3,0)</f>
        <v>Financials</v>
      </c>
    </row>
    <row r="1342">
      <c r="A1342" s="14" t="s">
        <v>729</v>
      </c>
      <c r="B1342" s="14" t="str">
        <f t="array" ref="B1342">VLOOKUP(A1342,{Metrik!$C$2:$C$998,Metrik!$B$2:$B$998},2,0)</f>
        <v>Cipta Perdana Lancar Tbk.</v>
      </c>
      <c r="C1342" s="15">
        <f>IFERROR(__xludf.DUMMYFUNCTION("GOOGLEFINANCE(""IDX:""&amp;A1342,""price"")"),100.0)</f>
        <v>100</v>
      </c>
      <c r="D1342" s="16" t="str">
        <f>IFERROR(__xludf.DUMMYFUNCTION("IF(A1342="""","""",
SPARKLINE(
INDEX(
GOOGLEFINANCE(""IDX:""&amp;A1342,""close"",TODAY()-365,TODAY()),
,2
),
{""linewidth"",1}
))
"),"#N/A")</f>
        <v>#N/A</v>
      </c>
      <c r="E1342" s="26"/>
      <c r="F1342" s="26"/>
      <c r="G1342" s="28">
        <f t="shared" si="8"/>
        <v>0</v>
      </c>
      <c r="H1342" s="19">
        <f>VLOOKUP(A1342,Metrik!$C$2:$Y$959,8,0)</f>
        <v>9</v>
      </c>
      <c r="I1342" s="20">
        <f>VLOOKUP(A1342,Metrik!$C$2:$Y$959,9,0)</f>
        <v>1.4</v>
      </c>
      <c r="J1342" s="20">
        <f>VLOOKUP(A1342,Metrik!$C$2:$Y$959,10,0)</f>
        <v>15.4</v>
      </c>
      <c r="K1342" s="20">
        <f>VLOOKUP(A1342,Metrik!$C$2:$Y$959,11,0)</f>
        <v>7.6</v>
      </c>
      <c r="L1342" s="20">
        <f>VLOOKUP(A1342,Metrik!$C$2:$Y$959,12,0)</f>
        <v>1</v>
      </c>
      <c r="M1342" s="20">
        <f>VLOOKUP(A1342,Metrik!$C$2:$Y$959,19,0)</f>
        <v>32.3</v>
      </c>
      <c r="N1342" s="21"/>
      <c r="O1342" s="21"/>
      <c r="P1342" s="21"/>
      <c r="Q1342" s="21"/>
      <c r="R1342" s="21"/>
      <c r="S1342" s="21"/>
      <c r="T1342" s="21"/>
      <c r="U1342" s="22">
        <f>IFERROR(__xludf.DUMMYFUNCTION("IFERROR(GOOGLEFINANCE(A1342,""closeyest""),"""")"),80.0)</f>
        <v>80</v>
      </c>
      <c r="V1342" s="23">
        <f>IFERROR(__xludf.DUMMYFUNCTION("IFERROR(GOOGLEFINANCE(A1342,""changepct""),"""")"),25.0)</f>
        <v>25</v>
      </c>
      <c r="W1342" s="22">
        <f>IFERROR(__xludf.DUMMYFUNCTION("IFERROR(GOOGLEFINANCE(A1342,""priceopen""),"""")"),83.0)</f>
        <v>83</v>
      </c>
      <c r="X1342" s="22">
        <f>IFERROR(__xludf.DUMMYFUNCTION("IFERROR(GOOGLEFINANCE(A1342,""high""),"""")"),104.0)</f>
        <v>104</v>
      </c>
      <c r="Y1342" s="22">
        <f>IFERROR(__xludf.DUMMYFUNCTION("IFERROR(GOOGLEFINANCE(A1342,""low""),"""")"),80.0)</f>
        <v>80</v>
      </c>
      <c r="Z1342" s="22">
        <f>IFERROR(__xludf.DUMMYFUNCTION("IFERROR(GOOGLEFINANCE(A1342,""volume""),"""")"),2.75423E7)</f>
        <v>27542300</v>
      </c>
      <c r="AA1342" s="24" t="str">
        <f>VLOOKUP(A1342,Metrik!$C$2:$Y$959,5,0)</f>
        <v>Auto Components</v>
      </c>
      <c r="AB1342" s="24" t="str">
        <f>VLOOKUP(A1342,Metrik!$C$2:$Y$959,3,0)</f>
        <v>Consumer Cyclicals</v>
      </c>
    </row>
    <row r="1343">
      <c r="A1343" s="14" t="s">
        <v>730</v>
      </c>
      <c r="B1343" s="14" t="str">
        <f t="array" ref="B1343">VLOOKUP(A1343,{Metrik!$C$2:$C$998,Metrik!$B$2:$B$998},2,0)</f>
        <v>Panca Budi Idaman Tbk.</v>
      </c>
      <c r="C1343" s="15">
        <f>IFERROR(__xludf.DUMMYFUNCTION("GOOGLEFINANCE(""IDX:""&amp;A1343,""price"")"),476.0)</f>
        <v>476</v>
      </c>
      <c r="D1343" s="16" t="str">
        <f>IFERROR(__xludf.DUMMYFUNCTION("IF(A1343="""","""",
SPARKLINE(
INDEX(
GOOGLEFINANCE(""IDX:""&amp;A1343,""close"",TODAY()-365,TODAY()),
,2
),
{""linewidth"",1}
))
"),"#N/A")</f>
        <v>#N/A</v>
      </c>
      <c r="E1343" s="26"/>
      <c r="F1343" s="26"/>
      <c r="G1343" s="18">
        <f t="shared" si="8"/>
        <v>0</v>
      </c>
      <c r="H1343" s="19">
        <f>VLOOKUP(A1343,Metrik!$C$2:$Y$959,8,0)</f>
        <v>8.8</v>
      </c>
      <c r="I1343" s="20">
        <f>VLOOKUP(A1343,Metrik!$C$2:$Y$959,9,0)</f>
        <v>1.2</v>
      </c>
      <c r="J1343" s="20">
        <f>VLOOKUP(A1343,Metrik!$C$2:$Y$959,10,0)</f>
        <v>13.8</v>
      </c>
      <c r="K1343" s="20">
        <f>VLOOKUP(A1343,Metrik!$C$2:$Y$959,11,0)</f>
        <v>11.6</v>
      </c>
      <c r="L1343" s="20">
        <f>VLOOKUP(A1343,Metrik!$C$2:$Y$959,12,0)</f>
        <v>0.19</v>
      </c>
      <c r="M1343" s="20">
        <f>VLOOKUP(A1343,Metrik!$C$2:$Y$959,19,0)</f>
        <v>32.8</v>
      </c>
      <c r="N1343" s="21"/>
      <c r="O1343" s="21"/>
      <c r="P1343" s="21"/>
      <c r="Q1343" s="21"/>
      <c r="R1343" s="21"/>
      <c r="S1343" s="21"/>
      <c r="T1343" s="21"/>
      <c r="U1343" s="22">
        <f>IFERROR(__xludf.DUMMYFUNCTION("IFERROR(GOOGLEFINANCE(A1343,""closeyest""),"""")"),472.0)</f>
        <v>472</v>
      </c>
      <c r="V1343" s="23">
        <f>IFERROR(__xludf.DUMMYFUNCTION("IFERROR(GOOGLEFINANCE(A1343,""changepct""),"""")"),0.85)</f>
        <v>0.85</v>
      </c>
      <c r="W1343" s="22">
        <f>IFERROR(__xludf.DUMMYFUNCTION("IFERROR(GOOGLEFINANCE(A1343,""priceopen""),"""")"),472.0)</f>
        <v>472</v>
      </c>
      <c r="X1343" s="22">
        <f>IFERROR(__xludf.DUMMYFUNCTION("IFERROR(GOOGLEFINANCE(A1343,""high""),"""")"),478.0)</f>
        <v>478</v>
      </c>
      <c r="Y1343" s="22">
        <f>IFERROR(__xludf.DUMMYFUNCTION("IFERROR(GOOGLEFINANCE(A1343,""low""),"""")"),468.0)</f>
        <v>468</v>
      </c>
      <c r="Z1343" s="22">
        <f>IFERROR(__xludf.DUMMYFUNCTION("IFERROR(GOOGLEFINANCE(A1343,""volume""),"""")"),388900.0)</f>
        <v>388900</v>
      </c>
      <c r="AA1343" s="24" t="str">
        <f>VLOOKUP(A1343,Metrik!$C$2:$Y$959,5,0)</f>
        <v>Containers &amp; Packaging</v>
      </c>
      <c r="AB1343" s="24" t="str">
        <f>VLOOKUP(A1343,Metrik!$C$2:$Y$959,3,0)</f>
        <v>Basic Materials</v>
      </c>
    </row>
    <row r="1344">
      <c r="A1344" s="14" t="s">
        <v>731</v>
      </c>
      <c r="B1344" s="14" t="str">
        <f t="array" ref="B1344">VLOOKUP(A1344,{Metrik!$C$2:$C$998,Metrik!$B$2:$B$998},2,0)</f>
        <v>Pan Brothers Tbk.</v>
      </c>
      <c r="C1344" s="15">
        <f>IFERROR(__xludf.DUMMYFUNCTION("GOOGLEFINANCE(""IDX:""&amp;A1344,""price"")"),29.0)</f>
        <v>29</v>
      </c>
      <c r="D1344" s="16" t="str">
        <f>IFERROR(__xludf.DUMMYFUNCTION("IF(A1344="""","""",
SPARKLINE(
INDEX(
GOOGLEFINANCE(""IDX:""&amp;A1344,""close"",TODAY()-365,TODAY()),
,2
),
{""linewidth"",1}
))
"),"#N/A")</f>
        <v>#N/A</v>
      </c>
      <c r="E1344" s="26"/>
      <c r="F1344" s="26"/>
      <c r="G1344" s="18">
        <f t="shared" si="8"/>
        <v>0</v>
      </c>
      <c r="H1344" s="19">
        <f>VLOOKUP(A1344,Metrik!$C$2:$Y$959,8,0)</f>
        <v>-0.56</v>
      </c>
      <c r="I1344" s="20">
        <f>VLOOKUP(A1344,Metrik!$C$2:$Y$959,9,0)</f>
        <v>0.65</v>
      </c>
      <c r="J1344" s="20">
        <f>VLOOKUP(A1344,Metrik!$C$2:$Y$959,10,0)</f>
        <v>-120</v>
      </c>
      <c r="K1344" s="20">
        <f>VLOOKUP(A1344,Metrik!$C$2:$Y$959,11,0)</f>
        <v>-31.9</v>
      </c>
      <c r="L1344" s="20">
        <f>VLOOKUP(A1344,Metrik!$C$2:$Y$959,12,0)</f>
        <v>2.7</v>
      </c>
      <c r="M1344" s="20">
        <f>VLOOKUP(A1344,Metrik!$C$2:$Y$959,19,0)</f>
        <v>-120</v>
      </c>
      <c r="N1344" s="21"/>
      <c r="O1344" s="21"/>
      <c r="P1344" s="21"/>
      <c r="Q1344" s="21"/>
      <c r="R1344" s="21"/>
      <c r="S1344" s="21"/>
      <c r="T1344" s="21"/>
      <c r="U1344" s="22">
        <f>IFERROR(__xludf.DUMMYFUNCTION("IFERROR(GOOGLEFINANCE(A1344,""closeyest""),"""")"),27.0)</f>
        <v>27</v>
      </c>
      <c r="V1344" s="23">
        <f>IFERROR(__xludf.DUMMYFUNCTION("IFERROR(GOOGLEFINANCE(A1344,""changepct""),"""")"),7.41)</f>
        <v>7.41</v>
      </c>
      <c r="W1344" s="22">
        <f>IFERROR(__xludf.DUMMYFUNCTION("IFERROR(GOOGLEFINANCE(A1344,""priceopen""),"""")"),28.0)</f>
        <v>28</v>
      </c>
      <c r="X1344" s="22">
        <f>IFERROR(__xludf.DUMMYFUNCTION("IFERROR(GOOGLEFINANCE(A1344,""high""),"""")"),29.0)</f>
        <v>29</v>
      </c>
      <c r="Y1344" s="22">
        <f>IFERROR(__xludf.DUMMYFUNCTION("IFERROR(GOOGLEFINANCE(A1344,""low""),"""")"),28.0)</f>
        <v>28</v>
      </c>
      <c r="Z1344" s="22">
        <f>IFERROR(__xludf.DUMMYFUNCTION("IFERROR(GOOGLEFINANCE(A1344,""volume""),"""")"),2795700.0)</f>
        <v>2795700</v>
      </c>
      <c r="AA1344" s="24" t="str">
        <f>VLOOKUP(A1344,Metrik!$C$2:$Y$959,5,0)</f>
        <v>Apparel &amp; Luxury Goods</v>
      </c>
      <c r="AB1344" s="24" t="str">
        <f>VLOOKUP(A1344,Metrik!$C$2:$Y$959,3,0)</f>
        <v>Consumer Cyclicals</v>
      </c>
    </row>
    <row r="1345">
      <c r="A1345" s="14" t="s">
        <v>732</v>
      </c>
      <c r="B1345" s="14" t="str">
        <f t="array" ref="B1345">VLOOKUP(A1345,{Metrik!$C$2:$C$998,Metrik!$B$2:$B$998},2,0)</f>
        <v>PT Paramita Bangun Sarana Tbk</v>
      </c>
      <c r="C1345" s="15">
        <f>IFERROR(__xludf.DUMMYFUNCTION("GOOGLEFINANCE(""IDX:""&amp;A1345,""price"")"),710.0)</f>
        <v>710</v>
      </c>
      <c r="D1345" s="16" t="str">
        <f>IFERROR(__xludf.DUMMYFUNCTION("IF(A1345="""","""",
SPARKLINE(
INDEX(
GOOGLEFINANCE(""IDX:""&amp;A1345,""close"",TODAY()-365,TODAY()),
,2
),
{""linewidth"",1}
))
"),"#N/A")</f>
        <v>#N/A</v>
      </c>
      <c r="E1345" s="26"/>
      <c r="F1345" s="26"/>
      <c r="G1345" s="24">
        <f t="shared" si="8"/>
        <v>0</v>
      </c>
      <c r="H1345" s="19">
        <f>VLOOKUP(A1345,Metrik!$C$2:$Y$959,8,0)</f>
        <v>8.8</v>
      </c>
      <c r="I1345" s="20">
        <f>VLOOKUP(A1345,Metrik!$C$2:$Y$959,9,0)</f>
        <v>2.9</v>
      </c>
      <c r="J1345" s="20">
        <f>VLOOKUP(A1345,Metrik!$C$2:$Y$959,10,0)</f>
        <v>32.4</v>
      </c>
      <c r="K1345" s="20">
        <f>VLOOKUP(A1345,Metrik!$C$2:$Y$959,11,0)</f>
        <v>21.1</v>
      </c>
      <c r="L1345" s="20">
        <f>VLOOKUP(A1345,Metrik!$C$2:$Y$959,12,0)</f>
        <v>0.54</v>
      </c>
      <c r="M1345" s="20">
        <f>VLOOKUP(A1345,Metrik!$C$2:$Y$959,19,0)</f>
        <v>72</v>
      </c>
      <c r="N1345" s="21"/>
      <c r="O1345" s="21"/>
      <c r="P1345" s="21"/>
      <c r="Q1345" s="21"/>
      <c r="R1345" s="21"/>
      <c r="S1345" s="21"/>
      <c r="T1345" s="21"/>
      <c r="U1345" s="22">
        <f>IFERROR(__xludf.DUMMYFUNCTION("IFERROR(GOOGLEFINANCE(A1345,""closeyest""),"""")"),695.0)</f>
        <v>695</v>
      </c>
      <c r="V1345" s="23">
        <f>IFERROR(__xludf.DUMMYFUNCTION("IFERROR(GOOGLEFINANCE(A1345,""changepct""),"""")"),2.16)</f>
        <v>2.16</v>
      </c>
      <c r="W1345" s="22">
        <f>IFERROR(__xludf.DUMMYFUNCTION("IFERROR(GOOGLEFINANCE(A1345,""priceopen""),"""")"),695.0)</f>
        <v>695</v>
      </c>
      <c r="X1345" s="22">
        <f>IFERROR(__xludf.DUMMYFUNCTION("IFERROR(GOOGLEFINANCE(A1345,""high""),"""")"),750.0)</f>
        <v>750</v>
      </c>
      <c r="Y1345" s="22">
        <f>IFERROR(__xludf.DUMMYFUNCTION("IFERROR(GOOGLEFINANCE(A1345,""low""),"""")"),695.0)</f>
        <v>695</v>
      </c>
      <c r="Z1345" s="22">
        <f>IFERROR(__xludf.DUMMYFUNCTION("IFERROR(GOOGLEFINANCE(A1345,""volume""),"""")"),501800.0)</f>
        <v>501800</v>
      </c>
      <c r="AA1345" s="24" t="str">
        <f>VLOOKUP(A1345,Metrik!$C$2:$Y$959,5,0)</f>
        <v>Heavy Constructions &amp; Civil Engineering</v>
      </c>
      <c r="AB1345" s="24" t="str">
        <f>VLOOKUP(A1345,Metrik!$C$2:$Y$959,3,0)</f>
        <v>Infrastructures</v>
      </c>
    </row>
    <row r="1346">
      <c r="A1346" s="14" t="s">
        <v>733</v>
      </c>
      <c r="B1346" s="14" t="str">
        <f t="array" ref="B1346">VLOOKUP(A1346,{Metrik!$C$2:$C$998,Metrik!$B$2:$B$998},2,0)</f>
        <v>Prima Cakrawala Abadi Tbk.</v>
      </c>
      <c r="C1346" s="15">
        <f>IFERROR(__xludf.DUMMYFUNCTION("GOOGLEFINANCE(""IDX:""&amp;A1346,""price"")"),39.0)</f>
        <v>39</v>
      </c>
      <c r="D1346" s="16" t="str">
        <f>IFERROR(__xludf.DUMMYFUNCTION("IF(A1346="""","""",
SPARKLINE(
INDEX(
GOOGLEFINANCE(""IDX:""&amp;A1346,""close"",TODAY()-365,TODAY()),
,2
),
{""linewidth"",1}
))
"),"#N/A")</f>
        <v>#N/A</v>
      </c>
      <c r="E1346" s="26"/>
      <c r="F1346" s="26"/>
      <c r="G1346" s="24">
        <f t="shared" si="8"/>
        <v>0</v>
      </c>
      <c r="H1346" s="19">
        <f>VLOOKUP(A1346,Metrik!$C$2:$Y$959,8,0)</f>
        <v>-3.6</v>
      </c>
      <c r="I1346" s="20">
        <f>VLOOKUP(A1346,Metrik!$C$2:$Y$959,9,0)</f>
        <v>0.74</v>
      </c>
      <c r="J1346" s="20">
        <f>VLOOKUP(A1346,Metrik!$C$2:$Y$959,10,0)</f>
        <v>-20.7</v>
      </c>
      <c r="K1346" s="20">
        <f>VLOOKUP(A1346,Metrik!$C$2:$Y$959,11,0)</f>
        <v>-13.9</v>
      </c>
      <c r="L1346" s="20">
        <f>VLOOKUP(A1346,Metrik!$C$2:$Y$959,12,0)</f>
        <v>0.49</v>
      </c>
      <c r="M1346" s="20">
        <f>VLOOKUP(A1346,Metrik!$C$2:$Y$959,19,0)</f>
        <v>-21</v>
      </c>
      <c r="N1346" s="21"/>
      <c r="O1346" s="21"/>
      <c r="P1346" s="21"/>
      <c r="Q1346" s="21"/>
      <c r="R1346" s="21"/>
      <c r="S1346" s="21"/>
      <c r="T1346" s="21"/>
      <c r="U1346" s="22">
        <f>IFERROR(__xludf.DUMMYFUNCTION("IFERROR(GOOGLEFINANCE(A1346,""closeyest""),"""")"),117.58)</f>
        <v>117.58</v>
      </c>
      <c r="V1346" s="23">
        <f>IFERROR(__xludf.DUMMYFUNCTION("IFERROR(GOOGLEFINANCE(A1346,""changepct""),"""")"),0.8)</f>
        <v>0.8</v>
      </c>
      <c r="W1346" s="22">
        <f>IFERROR(__xludf.DUMMYFUNCTION("IFERROR(GOOGLEFINANCE(A1346,""priceopen""),"""")"),118.25)</f>
        <v>118.25</v>
      </c>
      <c r="X1346" s="22">
        <f>IFERROR(__xludf.DUMMYFUNCTION("IFERROR(GOOGLEFINANCE(A1346,""high""),"""")"),119.1)</f>
        <v>119.1</v>
      </c>
      <c r="Y1346" s="22">
        <f>IFERROR(__xludf.DUMMYFUNCTION("IFERROR(GOOGLEFINANCE(A1346,""low""),"""")"),117.0)</f>
        <v>117</v>
      </c>
      <c r="Z1346" s="22">
        <f>IFERROR(__xludf.DUMMYFUNCTION("IFERROR(GOOGLEFINANCE(A1346,""volume""),"""")"),2618234.0)</f>
        <v>2618234</v>
      </c>
      <c r="AA1346" s="24" t="str">
        <f>VLOOKUP(A1346,Metrik!$C$2:$Y$959,5,0)</f>
        <v>Food &amp; Staples Retailing</v>
      </c>
      <c r="AB1346" s="24" t="str">
        <f>VLOOKUP(A1346,Metrik!$C$2:$Y$959,3,0)</f>
        <v>Consumer Non-Cyclicals</v>
      </c>
    </row>
    <row r="1347">
      <c r="A1347" s="14" t="s">
        <v>734</v>
      </c>
      <c r="B1347" s="14" t="str">
        <f t="array" ref="B1347">VLOOKUP(A1347,{Metrik!$C$2:$C$998,Metrik!$B$2:$B$998},2,0)</f>
        <v>Destinasi Tirta Nusantara Tbk</v>
      </c>
      <c r="C1347" s="15">
        <f>IFERROR(__xludf.DUMMYFUNCTION("GOOGLEFINANCE(""IDX:""&amp;A1347,""price"")"),510.0)</f>
        <v>510</v>
      </c>
      <c r="D1347" s="16" t="str">
        <f>IFERROR(__xludf.DUMMYFUNCTION("IF(A1347="""","""",
SPARKLINE(
INDEX(
GOOGLEFINANCE(""IDX:""&amp;A1347,""close"",TODAY()-365,TODAY()),
,2
),
{""linewidth"",1}
))
"),"#N/A")</f>
        <v>#N/A</v>
      </c>
      <c r="E1347" s="26"/>
      <c r="F1347" s="26"/>
      <c r="G1347" s="24">
        <f t="shared" si="8"/>
        <v>0</v>
      </c>
      <c r="H1347" s="19">
        <f>VLOOKUP(A1347,Metrik!$C$2:$Y$959,8,0)</f>
        <v>11.3</v>
      </c>
      <c r="I1347" s="20">
        <f>VLOOKUP(A1347,Metrik!$C$2:$Y$959,9,0)</f>
        <v>2.9</v>
      </c>
      <c r="J1347" s="20">
        <f>VLOOKUP(A1347,Metrik!$C$2:$Y$959,10,0)</f>
        <v>25.7</v>
      </c>
      <c r="K1347" s="20">
        <f>VLOOKUP(A1347,Metrik!$C$2:$Y$959,11,0)</f>
        <v>9</v>
      </c>
      <c r="L1347" s="20">
        <f>VLOOKUP(A1347,Metrik!$C$2:$Y$959,12,0)</f>
        <v>1.9</v>
      </c>
      <c r="M1347" s="20">
        <f>VLOOKUP(A1347,Metrik!$C$2:$Y$959,19,0)</f>
        <v>15.5</v>
      </c>
      <c r="N1347" s="21"/>
      <c r="O1347" s="21"/>
      <c r="P1347" s="21"/>
      <c r="Q1347" s="21"/>
      <c r="R1347" s="21"/>
      <c r="S1347" s="21"/>
      <c r="T1347" s="21"/>
      <c r="U1347" s="22">
        <f>IFERROR(__xludf.DUMMYFUNCTION("IFERROR(GOOGLEFINANCE(A1347,""closeyest""),"""")"),505.0)</f>
        <v>505</v>
      </c>
      <c r="V1347" s="23">
        <f>IFERROR(__xludf.DUMMYFUNCTION("IFERROR(GOOGLEFINANCE(A1347,""changepct""),"""")"),0.99)</f>
        <v>0.99</v>
      </c>
      <c r="W1347" s="22">
        <f>IFERROR(__xludf.DUMMYFUNCTION("IFERROR(GOOGLEFINANCE(A1347,""priceopen""),"""")"),505.0)</f>
        <v>505</v>
      </c>
      <c r="X1347" s="22">
        <f>IFERROR(__xludf.DUMMYFUNCTION("IFERROR(GOOGLEFINANCE(A1347,""high""),"""")"),510.0)</f>
        <v>510</v>
      </c>
      <c r="Y1347" s="22">
        <f>IFERROR(__xludf.DUMMYFUNCTION("IFERROR(GOOGLEFINANCE(A1347,""low""),"""")"),505.0)</f>
        <v>505</v>
      </c>
      <c r="Z1347" s="22">
        <f>IFERROR(__xludf.DUMMYFUNCTION("IFERROR(GOOGLEFINANCE(A1347,""volume""),"""")"),2900.0)</f>
        <v>2900</v>
      </c>
      <c r="AA1347" s="24" t="str">
        <f>VLOOKUP(A1347,Metrik!$C$2:$Y$959,5,0)</f>
        <v>Tourism &amp; Recreation</v>
      </c>
      <c r="AB1347" s="24" t="str">
        <f>VLOOKUP(A1347,Metrik!$C$2:$Y$959,3,0)</f>
        <v>Consumer Cyclicals</v>
      </c>
    </row>
    <row r="1348">
      <c r="A1348" s="14" t="s">
        <v>735</v>
      </c>
      <c r="B1348" s="14" t="str">
        <f t="array" ref="B1348">VLOOKUP(A1348,{Metrik!$C$2:$C$998,Metrik!$B$2:$B$998},2,0)</f>
        <v>Primadaya Plastisindo Tbk.</v>
      </c>
      <c r="C1348" s="15">
        <f>IFERROR(__xludf.DUMMYFUNCTION("GOOGLEFINANCE(""IDX:""&amp;A1348,""price"")"),254.0)</f>
        <v>254</v>
      </c>
      <c r="D1348" s="16" t="str">
        <f>IFERROR(__xludf.DUMMYFUNCTION("IF(A1348="""","""",
SPARKLINE(
INDEX(
GOOGLEFINANCE(""IDX:""&amp;A1348,""close"",TODAY()-365,TODAY()),
,2
),
{""linewidth"",1}
))
"),"#N/A")</f>
        <v>#N/A</v>
      </c>
      <c r="E1348" s="26"/>
      <c r="F1348" s="26"/>
      <c r="G1348" s="24">
        <f t="shared" si="8"/>
        <v>0</v>
      </c>
      <c r="H1348" s="19">
        <f>VLOOKUP(A1348,Metrik!$C$2:$Y$959,8,0)</f>
        <v>20.3</v>
      </c>
      <c r="I1348" s="20">
        <f>VLOOKUP(A1348,Metrik!$C$2:$Y$959,9,0)</f>
        <v>1.9</v>
      </c>
      <c r="J1348" s="20">
        <f>VLOOKUP(A1348,Metrik!$C$2:$Y$959,10,0)</f>
        <v>9.5</v>
      </c>
      <c r="K1348" s="20">
        <f>VLOOKUP(A1348,Metrik!$C$2:$Y$959,11,0)</f>
        <v>6.5</v>
      </c>
      <c r="L1348" s="20">
        <f>VLOOKUP(A1348,Metrik!$C$2:$Y$959,12,0)</f>
        <v>0.46</v>
      </c>
      <c r="M1348" s="20">
        <f>VLOOKUP(A1348,Metrik!$C$2:$Y$959,19,0)</f>
        <v>25.1</v>
      </c>
      <c r="N1348" s="21"/>
      <c r="O1348" s="21"/>
      <c r="P1348" s="21"/>
      <c r="Q1348" s="21"/>
      <c r="R1348" s="21"/>
      <c r="S1348" s="21"/>
      <c r="T1348" s="21"/>
      <c r="U1348" s="22">
        <f>IFERROR(__xludf.DUMMYFUNCTION("IFERROR(GOOGLEFINANCE(A1348,""closeyest""),"""")"),244.0)</f>
        <v>244</v>
      </c>
      <c r="V1348" s="23">
        <f>IFERROR(__xludf.DUMMYFUNCTION("IFERROR(GOOGLEFINANCE(A1348,""changepct""),"""")"),4.1)</f>
        <v>4.1</v>
      </c>
      <c r="W1348" s="22">
        <f>IFERROR(__xludf.DUMMYFUNCTION("IFERROR(GOOGLEFINANCE(A1348,""priceopen""),"""")"),268.0)</f>
        <v>268</v>
      </c>
      <c r="X1348" s="22">
        <f>IFERROR(__xludf.DUMMYFUNCTION("IFERROR(GOOGLEFINANCE(A1348,""high""),"""")"),268.0)</f>
        <v>268</v>
      </c>
      <c r="Y1348" s="22">
        <f>IFERROR(__xludf.DUMMYFUNCTION("IFERROR(GOOGLEFINANCE(A1348,""low""),"""")"),242.0)</f>
        <v>242</v>
      </c>
      <c r="Z1348" s="22">
        <f>IFERROR(__xludf.DUMMYFUNCTION("IFERROR(GOOGLEFINANCE(A1348,""volume""),"""")"),192700.0)</f>
        <v>192700</v>
      </c>
      <c r="AA1348" s="24" t="str">
        <f>VLOOKUP(A1348,Metrik!$C$2:$Y$959,5,0)</f>
        <v>Containers &amp; Packaging</v>
      </c>
      <c r="AB1348" s="24" t="str">
        <f>VLOOKUP(A1348,Metrik!$C$2:$Y$959,3,0)</f>
        <v>Basic Materials</v>
      </c>
    </row>
    <row r="1349">
      <c r="A1349" s="14" t="s">
        <v>736</v>
      </c>
      <c r="B1349" s="14" t="str">
        <f t="array" ref="B1349">VLOOKUP(A1349,{Metrik!$C$2:$C$998,Metrik!$B$2:$B$998},2,0)</f>
        <v>Panca Global Kapital Tbk.</v>
      </c>
      <c r="C1349" s="15">
        <f>IFERROR(__xludf.DUMMYFUNCTION("GOOGLEFINANCE(""IDX:""&amp;A1349,""price"")"),105.0)</f>
        <v>105</v>
      </c>
      <c r="D1349" s="16" t="str">
        <f>IFERROR(__xludf.DUMMYFUNCTION("IF(A1349="""","""",
SPARKLINE(
INDEX(
GOOGLEFINANCE(""IDX:""&amp;A1349,""close"",TODAY()-365,TODAY()),
,2
),
{""linewidth"",1}
))
"),"#N/A")</f>
        <v>#N/A</v>
      </c>
      <c r="E1349" s="26"/>
      <c r="F1349" s="26"/>
      <c r="G1349" s="24">
        <f t="shared" si="8"/>
        <v>0</v>
      </c>
      <c r="H1349" s="19">
        <f>VLOOKUP(A1349,Metrik!$C$2:$Y$959,8,0)</f>
        <v>-6.5</v>
      </c>
      <c r="I1349" s="20">
        <f>VLOOKUP(A1349,Metrik!$C$2:$Y$959,9,0)</f>
        <v>2.3</v>
      </c>
      <c r="J1349" s="20">
        <f>VLOOKUP(A1349,Metrik!$C$2:$Y$959,10,0)</f>
        <v>-35.7</v>
      </c>
      <c r="K1349" s="20">
        <f>VLOOKUP(A1349,Metrik!$C$2:$Y$959,11,0)</f>
        <v>-30.6</v>
      </c>
      <c r="L1349" s="20">
        <f>VLOOKUP(A1349,Metrik!$C$2:$Y$959,12,0)</f>
        <v>0.17</v>
      </c>
      <c r="M1349" s="20">
        <f>VLOOKUP(A1349,Metrik!$C$2:$Y$959,19,0)</f>
        <v>0</v>
      </c>
      <c r="N1349" s="21"/>
      <c r="O1349" s="21"/>
      <c r="P1349" s="21"/>
      <c r="Q1349" s="21"/>
      <c r="R1349" s="21"/>
      <c r="S1349" s="21"/>
      <c r="T1349" s="21"/>
      <c r="U1349" s="22">
        <f>IFERROR(__xludf.DUMMYFUNCTION("IFERROR(GOOGLEFINANCE(A1349,""closeyest""),"""")"),100.0)</f>
        <v>100</v>
      </c>
      <c r="V1349" s="23">
        <f>IFERROR(__xludf.DUMMYFUNCTION("IFERROR(GOOGLEFINANCE(A1349,""changepct""),"""")"),5.0)</f>
        <v>5</v>
      </c>
      <c r="W1349" s="22">
        <f>IFERROR(__xludf.DUMMYFUNCTION("IFERROR(GOOGLEFINANCE(A1349,""priceopen""),"""")"),98.0)</f>
        <v>98</v>
      </c>
      <c r="X1349" s="22">
        <f>IFERROR(__xludf.DUMMYFUNCTION("IFERROR(GOOGLEFINANCE(A1349,""high""),"""")"),114.0)</f>
        <v>114</v>
      </c>
      <c r="Y1349" s="22">
        <f>IFERROR(__xludf.DUMMYFUNCTION("IFERROR(GOOGLEFINANCE(A1349,""low""),"""")"),98.0)</f>
        <v>98</v>
      </c>
      <c r="Z1349" s="22">
        <f>IFERROR(__xludf.DUMMYFUNCTION("IFERROR(GOOGLEFINANCE(A1349,""volume""),"""")"),1424100.0)</f>
        <v>1424100</v>
      </c>
      <c r="AA1349" s="24" t="str">
        <f>VLOOKUP(A1349,Metrik!$C$2:$Y$959,5,0)</f>
        <v>Holding &amp; Investment Companies</v>
      </c>
      <c r="AB1349" s="24" t="str">
        <f>VLOOKUP(A1349,Metrik!$C$2:$Y$959,3,0)</f>
        <v>Financials</v>
      </c>
    </row>
    <row r="1350">
      <c r="A1350" s="14" t="s">
        <v>737</v>
      </c>
      <c r="B1350" s="14" t="str">
        <f t="array" ref="B1350">VLOOKUP(A1350,{Metrik!$C$2:$C$998,Metrik!$B$2:$B$998},2,0)</f>
        <v>Phapros Tbk.</v>
      </c>
      <c r="C1350" s="15">
        <f>IFERROR(__xludf.DUMMYFUNCTION("GOOGLEFINANCE(""IDX:""&amp;A1350,""price"")"),244.0)</f>
        <v>244</v>
      </c>
      <c r="D1350" s="16" t="str">
        <f>IFERROR(__xludf.DUMMYFUNCTION("IF(A1350="""","""",
SPARKLINE(
INDEX(
GOOGLEFINANCE(""IDX:""&amp;A1350,""close"",TODAY()-365,TODAY()),
,2
),
{""linewidth"",1}
))
"),"#N/A")</f>
        <v>#N/A</v>
      </c>
      <c r="E1350" s="26"/>
      <c r="F1350" s="26"/>
      <c r="G1350" s="24">
        <f t="shared" si="8"/>
        <v>0</v>
      </c>
      <c r="H1350" s="19">
        <f>VLOOKUP(A1350,Metrik!$C$2:$Y$959,8,0)</f>
        <v>6.5</v>
      </c>
      <c r="I1350" s="20">
        <f>VLOOKUP(A1350,Metrik!$C$2:$Y$959,9,0)</f>
        <v>0.54</v>
      </c>
      <c r="J1350" s="20">
        <f>VLOOKUP(A1350,Metrik!$C$2:$Y$959,10,0)</f>
        <v>8.3</v>
      </c>
      <c r="K1350" s="20">
        <f>VLOOKUP(A1350,Metrik!$C$2:$Y$959,11,0)</f>
        <v>2.5</v>
      </c>
      <c r="L1350" s="20">
        <f>VLOOKUP(A1350,Metrik!$C$2:$Y$959,12,0)</f>
        <v>2.3</v>
      </c>
      <c r="M1350" s="20">
        <f>VLOOKUP(A1350,Metrik!$C$2:$Y$959,19,0)</f>
        <v>16</v>
      </c>
      <c r="N1350" s="21"/>
      <c r="O1350" s="21"/>
      <c r="P1350" s="21"/>
      <c r="Q1350" s="21"/>
      <c r="R1350" s="21"/>
      <c r="S1350" s="21"/>
      <c r="T1350" s="21"/>
      <c r="U1350" s="22">
        <f>IFERROR(__xludf.DUMMYFUNCTION("IFERROR(GOOGLEFINANCE(A1350,""closeyest""),"""")"),230.0)</f>
        <v>230</v>
      </c>
      <c r="V1350" s="23">
        <f>IFERROR(__xludf.DUMMYFUNCTION("IFERROR(GOOGLEFINANCE(A1350,""changepct""),"""")"),6.09)</f>
        <v>6.09</v>
      </c>
      <c r="W1350" s="22">
        <f>IFERROR(__xludf.DUMMYFUNCTION("IFERROR(GOOGLEFINANCE(A1350,""priceopen""),"""")"),238.0)</f>
        <v>238</v>
      </c>
      <c r="X1350" s="22">
        <f>IFERROR(__xludf.DUMMYFUNCTION("IFERROR(GOOGLEFINANCE(A1350,""high""),"""")"),264.0)</f>
        <v>264</v>
      </c>
      <c r="Y1350" s="22">
        <f>IFERROR(__xludf.DUMMYFUNCTION("IFERROR(GOOGLEFINANCE(A1350,""low""),"""")"),234.0)</f>
        <v>234</v>
      </c>
      <c r="Z1350" s="22">
        <f>IFERROR(__xludf.DUMMYFUNCTION("IFERROR(GOOGLEFINANCE(A1350,""volume""),"""")"),361100.0)</f>
        <v>361100</v>
      </c>
      <c r="AA1350" s="24" t="str">
        <f>VLOOKUP(A1350,Metrik!$C$2:$Y$959,5,0)</f>
        <v>Pharmaceuticals</v>
      </c>
      <c r="AB1350" s="24" t="str">
        <f>VLOOKUP(A1350,Metrik!$C$2:$Y$959,3,0)</f>
        <v>Healthcare</v>
      </c>
    </row>
    <row r="1351">
      <c r="A1351" s="14" t="s">
        <v>738</v>
      </c>
      <c r="B1351" s="14" t="str">
        <f t="array" ref="B1351">VLOOKUP(A1351,{Metrik!$C$2:$C$998,Metrik!$B$2:$B$998},2,0)</f>
        <v>PT Penta Valent Tbk</v>
      </c>
      <c r="C1351" s="15">
        <f>IFERROR(__xludf.DUMMYFUNCTION("GOOGLEFINANCE(""IDX:""&amp;A1351,""price"")"),312.0)</f>
        <v>312</v>
      </c>
      <c r="D1351" s="16" t="str">
        <f>IFERROR(__xludf.DUMMYFUNCTION("IF(A1351="""","""",
SPARKLINE(
INDEX(
GOOGLEFINANCE(""IDX:""&amp;A1351,""close"",TODAY()-365,TODAY()),
,2
),
{""linewidth"",1}
))
"),"#N/A")</f>
        <v>#N/A</v>
      </c>
      <c r="E1351" s="26"/>
      <c r="F1351" s="26"/>
      <c r="G1351" s="24">
        <f t="shared" si="8"/>
        <v>0</v>
      </c>
      <c r="H1351" s="19">
        <f>VLOOKUP(A1351,Metrik!$C$2:$Y$959,8,0)</f>
        <v>10.5</v>
      </c>
      <c r="I1351" s="20">
        <f>VLOOKUP(A1351,Metrik!$C$2:$Y$959,9,0)</f>
        <v>1.6</v>
      </c>
      <c r="J1351" s="20">
        <f>VLOOKUP(A1351,Metrik!$C$2:$Y$959,10,0)</f>
        <v>15.5</v>
      </c>
      <c r="K1351" s="20">
        <f>VLOOKUP(A1351,Metrik!$C$2:$Y$959,11,0)</f>
        <v>4.1</v>
      </c>
      <c r="L1351" s="20">
        <f>VLOOKUP(A1351,Metrik!$C$2:$Y$959,12,0)</f>
        <v>2.8</v>
      </c>
      <c r="M1351" s="20">
        <f>VLOOKUP(A1351,Metrik!$C$2:$Y$959,19,0)</f>
        <v>6.4</v>
      </c>
      <c r="N1351" s="21"/>
      <c r="O1351" s="21"/>
      <c r="P1351" s="21"/>
      <c r="Q1351" s="21"/>
      <c r="R1351" s="21"/>
      <c r="S1351" s="21"/>
      <c r="T1351" s="21"/>
      <c r="U1351" s="22">
        <f>IFERROR(__xludf.DUMMYFUNCTION("IFERROR(GOOGLEFINANCE(A1351,""closeyest""),"""")"),300.0)</f>
        <v>300</v>
      </c>
      <c r="V1351" s="23">
        <f>IFERROR(__xludf.DUMMYFUNCTION("IFERROR(GOOGLEFINANCE(A1351,""changepct""),"""")"),4.0)</f>
        <v>4</v>
      </c>
      <c r="W1351" s="22">
        <f>IFERROR(__xludf.DUMMYFUNCTION("IFERROR(GOOGLEFINANCE(A1351,""priceopen""),"""")"),290.0)</f>
        <v>290</v>
      </c>
      <c r="X1351" s="22">
        <f>IFERROR(__xludf.DUMMYFUNCTION("IFERROR(GOOGLEFINANCE(A1351,""high""),"""")"),318.0)</f>
        <v>318</v>
      </c>
      <c r="Y1351" s="22">
        <f>IFERROR(__xludf.DUMMYFUNCTION("IFERROR(GOOGLEFINANCE(A1351,""low""),"""")"),290.0)</f>
        <v>290</v>
      </c>
      <c r="Z1351" s="22">
        <f>IFERROR(__xludf.DUMMYFUNCTION("IFERROR(GOOGLEFINANCE(A1351,""volume""),"""")"),13700.0)</f>
        <v>13700</v>
      </c>
      <c r="AA1351" s="24" t="str">
        <f>VLOOKUP(A1351,Metrik!$C$2:$Y$959,5,0)</f>
        <v>Pharmaceuticals</v>
      </c>
      <c r="AB1351" s="24" t="str">
        <f>VLOOKUP(A1351,Metrik!$C$2:$Y$959,3,0)</f>
        <v>Healthcare</v>
      </c>
    </row>
    <row r="1352">
      <c r="A1352" s="14" t="s">
        <v>739</v>
      </c>
      <c r="B1352" s="14" t="str">
        <f t="array" ref="B1352">VLOOKUP(A1352,{Metrik!$C$2:$C$998,Metrik!$B$2:$B$998},2,0)</f>
        <v>Perusahaan Gas Negara (Persero) Tbk.</v>
      </c>
      <c r="C1352" s="15">
        <f>IFERROR(__xludf.DUMMYFUNCTION("GOOGLEFINANCE(""IDX:""&amp;A1352,""price"")"),1530.0)</f>
        <v>1530</v>
      </c>
      <c r="D1352" s="16" t="str">
        <f>IFERROR(__xludf.DUMMYFUNCTION("IF(A1352="""","""",
SPARKLINE(
INDEX(
GOOGLEFINANCE(""IDX:""&amp;A1352,""close"",TODAY()-365,TODAY()),
,2
),
{""linewidth"",1}
))
"),"#N/A")</f>
        <v>#N/A</v>
      </c>
      <c r="E1352" s="14" t="s">
        <v>47</v>
      </c>
      <c r="F1352" s="25">
        <v>46356.0</v>
      </c>
      <c r="G1352" s="24">
        <f t="shared" si="8"/>
        <v>22</v>
      </c>
      <c r="H1352" s="19">
        <f>VLOOKUP(A1352,Metrik!$C$2:$Y$959,8,0)</f>
        <v>10.7</v>
      </c>
      <c r="I1352" s="20">
        <f>VLOOKUP(A1352,Metrik!$C$2:$Y$959,9,0)</f>
        <v>0.7</v>
      </c>
      <c r="J1352" s="20">
        <f>VLOOKUP(A1352,Metrik!$C$2:$Y$959,10,0)</f>
        <v>6.5</v>
      </c>
      <c r="K1352" s="20">
        <f>VLOOKUP(A1352,Metrik!$C$2:$Y$959,11,0)</f>
        <v>3.9</v>
      </c>
      <c r="L1352" s="20">
        <f>VLOOKUP(A1352,Metrik!$C$2:$Y$959,12,0)</f>
        <v>0.66</v>
      </c>
      <c r="M1352" s="20">
        <f>VLOOKUP(A1352,Metrik!$C$2:$Y$959,19,0)</f>
        <v>26.1</v>
      </c>
      <c r="N1352" s="21"/>
      <c r="O1352" s="21"/>
      <c r="P1352" s="21"/>
      <c r="Q1352" s="21"/>
      <c r="R1352" s="21"/>
      <c r="S1352" s="21"/>
      <c r="T1352" s="21"/>
      <c r="U1352" s="22">
        <f>IFERROR(__xludf.DUMMYFUNCTION("IFERROR(GOOGLEFINANCE(A1352,""closeyest""),"""")"),1500.0)</f>
        <v>1500</v>
      </c>
      <c r="V1352" s="23">
        <f>IFERROR(__xludf.DUMMYFUNCTION("IFERROR(GOOGLEFINANCE(A1352,""changepct""),"""")"),2.0)</f>
        <v>2</v>
      </c>
      <c r="W1352" s="22">
        <f>IFERROR(__xludf.DUMMYFUNCTION("IFERROR(GOOGLEFINANCE(A1352,""priceopen""),"""")"),1550.0)</f>
        <v>1550</v>
      </c>
      <c r="X1352" s="22">
        <f>IFERROR(__xludf.DUMMYFUNCTION("IFERROR(GOOGLEFINANCE(A1352,""high""),"""")"),1560.0)</f>
        <v>1560</v>
      </c>
      <c r="Y1352" s="22">
        <f>IFERROR(__xludf.DUMMYFUNCTION("IFERROR(GOOGLEFINANCE(A1352,""low""),"""")"),1510.0)</f>
        <v>1510</v>
      </c>
      <c r="Z1352" s="22" t="str">
        <f>IFERROR(__xludf.DUMMYFUNCTION("IFERROR(GOOGLEFINANCE(A1352,""volume""),"""")"),"")</f>
        <v/>
      </c>
      <c r="AA1352" s="24" t="str">
        <f>VLOOKUP(A1352,Metrik!$C$2:$Y$959,5,0)</f>
        <v>Oil &amp; Gas</v>
      </c>
      <c r="AB1352" s="24" t="str">
        <f>VLOOKUP(A1352,Metrik!$C$2:$Y$959,3,0)</f>
        <v>Energy</v>
      </c>
    </row>
    <row r="1353">
      <c r="A1353" s="14" t="s">
        <v>739</v>
      </c>
      <c r="B1353" s="14" t="str">
        <f t="array" ref="B1353">VLOOKUP(A1353,{Metrik!$C$2:$C$998,Metrik!$B$2:$B$998},2,0)</f>
        <v>Perusahaan Gas Negara (Persero) Tbk.</v>
      </c>
      <c r="C1353" s="15">
        <f>IFERROR(__xludf.DUMMYFUNCTION("GOOGLEFINANCE(""IDX:""&amp;A1353,""price"")"),1530.0)</f>
        <v>1530</v>
      </c>
      <c r="D1353" s="16" t="str">
        <f>IFERROR(__xludf.DUMMYFUNCTION("IF(A1353="""","""",
SPARKLINE(
INDEX(
GOOGLEFINANCE(""IDX:""&amp;A1353,""close"",TODAY()-365,TODAY()),
,2
),
{""linewidth"",1}
))
"),"#N/A")</f>
        <v>#N/A</v>
      </c>
      <c r="E1353" s="14" t="s">
        <v>106</v>
      </c>
      <c r="F1353" s="25">
        <v>46356.0</v>
      </c>
      <c r="G1353" s="24">
        <f t="shared" si="8"/>
        <v>22</v>
      </c>
      <c r="H1353" s="19">
        <f>VLOOKUP(A1353,Metrik!$C$2:$Y$959,8,0)</f>
        <v>10.7</v>
      </c>
      <c r="I1353" s="20">
        <f>VLOOKUP(A1353,Metrik!$C$2:$Y$959,9,0)</f>
        <v>0.7</v>
      </c>
      <c r="J1353" s="20">
        <f>VLOOKUP(A1353,Metrik!$C$2:$Y$959,10,0)</f>
        <v>6.5</v>
      </c>
      <c r="K1353" s="20">
        <f>VLOOKUP(A1353,Metrik!$C$2:$Y$959,11,0)</f>
        <v>3.9</v>
      </c>
      <c r="L1353" s="20">
        <f>VLOOKUP(A1353,Metrik!$C$2:$Y$959,12,0)</f>
        <v>0.66</v>
      </c>
      <c r="M1353" s="20">
        <f>VLOOKUP(A1353,Metrik!$C$2:$Y$959,19,0)</f>
        <v>26.1</v>
      </c>
      <c r="N1353" s="21"/>
      <c r="O1353" s="21"/>
      <c r="P1353" s="21"/>
      <c r="Q1353" s="21"/>
      <c r="R1353" s="21"/>
      <c r="S1353" s="21"/>
      <c r="T1353" s="21"/>
      <c r="U1353" s="22">
        <f>IFERROR(__xludf.DUMMYFUNCTION("IFERROR(GOOGLEFINANCE(A1353,""closeyest""),"""")"),1500.0)</f>
        <v>1500</v>
      </c>
      <c r="V1353" s="23">
        <f>IFERROR(__xludf.DUMMYFUNCTION("IFERROR(GOOGLEFINANCE(A1353,""changepct""),"""")"),2.0)</f>
        <v>2</v>
      </c>
      <c r="W1353" s="22">
        <f>IFERROR(__xludf.DUMMYFUNCTION("IFERROR(GOOGLEFINANCE(A1353,""priceopen""),"""")"),1550.0)</f>
        <v>1550</v>
      </c>
      <c r="X1353" s="22">
        <f>IFERROR(__xludf.DUMMYFUNCTION("IFERROR(GOOGLEFINANCE(A1353,""high""),"""")"),1560.0)</f>
        <v>1560</v>
      </c>
      <c r="Y1353" s="22">
        <f>IFERROR(__xludf.DUMMYFUNCTION("IFERROR(GOOGLEFINANCE(A1353,""low""),"""")"),1510.0)</f>
        <v>1510</v>
      </c>
      <c r="Z1353" s="22" t="str">
        <f>IFERROR(__xludf.DUMMYFUNCTION("IFERROR(GOOGLEFINANCE(A1353,""volume""),"""")"),"")</f>
        <v/>
      </c>
      <c r="AA1353" s="24" t="str">
        <f>VLOOKUP(A1353,Metrik!$C$2:$Y$959,5,0)</f>
        <v>Oil &amp; Gas</v>
      </c>
      <c r="AB1353" s="24" t="str">
        <f>VLOOKUP(A1353,Metrik!$C$2:$Y$959,3,0)</f>
        <v>Energy</v>
      </c>
    </row>
    <row r="1354">
      <c r="A1354" s="14" t="s">
        <v>739</v>
      </c>
      <c r="B1354" s="14" t="str">
        <f t="array" ref="B1354">VLOOKUP(A1354,{Metrik!$C$2:$C$998,Metrik!$B$2:$B$998},2,0)</f>
        <v>Perusahaan Gas Negara (Persero) Tbk.</v>
      </c>
      <c r="C1354" s="15">
        <f>IFERROR(__xludf.DUMMYFUNCTION("GOOGLEFINANCE(""IDX:""&amp;A1354,""price"")"),1530.0)</f>
        <v>1530</v>
      </c>
      <c r="D1354" s="16" t="str">
        <f>IFERROR(__xludf.DUMMYFUNCTION("IF(A1354="""","""",
SPARKLINE(
INDEX(
GOOGLEFINANCE(""IDX:""&amp;A1354,""close"",TODAY()-365,TODAY()),
,2
),
{""linewidth"",1}
))
"),"#N/A")</f>
        <v>#N/A</v>
      </c>
      <c r="E1354" s="14" t="s">
        <v>65</v>
      </c>
      <c r="F1354" s="25">
        <v>46356.0</v>
      </c>
      <c r="G1354" s="24">
        <f t="shared" si="8"/>
        <v>22</v>
      </c>
      <c r="H1354" s="19">
        <f>VLOOKUP(A1354,Metrik!$C$2:$Y$959,8,0)</f>
        <v>10.7</v>
      </c>
      <c r="I1354" s="20">
        <f>VLOOKUP(A1354,Metrik!$C$2:$Y$959,9,0)</f>
        <v>0.7</v>
      </c>
      <c r="J1354" s="20">
        <f>VLOOKUP(A1354,Metrik!$C$2:$Y$959,10,0)</f>
        <v>6.5</v>
      </c>
      <c r="K1354" s="20">
        <f>VLOOKUP(A1354,Metrik!$C$2:$Y$959,11,0)</f>
        <v>3.9</v>
      </c>
      <c r="L1354" s="20">
        <f>VLOOKUP(A1354,Metrik!$C$2:$Y$959,12,0)</f>
        <v>0.66</v>
      </c>
      <c r="M1354" s="20">
        <f>VLOOKUP(A1354,Metrik!$C$2:$Y$959,19,0)</f>
        <v>26.1</v>
      </c>
      <c r="N1354" s="21"/>
      <c r="O1354" s="21"/>
      <c r="P1354" s="21"/>
      <c r="Q1354" s="21"/>
      <c r="R1354" s="21"/>
      <c r="S1354" s="21"/>
      <c r="T1354" s="21"/>
      <c r="U1354" s="22">
        <f>IFERROR(__xludf.DUMMYFUNCTION("IFERROR(GOOGLEFINANCE(A1354,""closeyest""),"""")"),1500.0)</f>
        <v>1500</v>
      </c>
      <c r="V1354" s="23">
        <f>IFERROR(__xludf.DUMMYFUNCTION("IFERROR(GOOGLEFINANCE(A1354,""changepct""),"""")"),2.0)</f>
        <v>2</v>
      </c>
      <c r="W1354" s="22">
        <f>IFERROR(__xludf.DUMMYFUNCTION("IFERROR(GOOGLEFINANCE(A1354,""priceopen""),"""")"),1550.0)</f>
        <v>1550</v>
      </c>
      <c r="X1354" s="22">
        <f>IFERROR(__xludf.DUMMYFUNCTION("IFERROR(GOOGLEFINANCE(A1354,""high""),"""")"),1560.0)</f>
        <v>1560</v>
      </c>
      <c r="Y1354" s="22">
        <f>IFERROR(__xludf.DUMMYFUNCTION("IFERROR(GOOGLEFINANCE(A1354,""low""),"""")"),1510.0)</f>
        <v>1510</v>
      </c>
      <c r="Z1354" s="22" t="str">
        <f>IFERROR(__xludf.DUMMYFUNCTION("IFERROR(GOOGLEFINANCE(A1354,""volume""),"""")"),"")</f>
        <v/>
      </c>
      <c r="AA1354" s="24" t="str">
        <f>VLOOKUP(A1354,Metrik!$C$2:$Y$959,5,0)</f>
        <v>Oil &amp; Gas</v>
      </c>
      <c r="AB1354" s="24" t="str">
        <f>VLOOKUP(A1354,Metrik!$C$2:$Y$959,3,0)</f>
        <v>Energy</v>
      </c>
    </row>
    <row r="1355">
      <c r="A1355" s="14" t="s">
        <v>739</v>
      </c>
      <c r="B1355" s="14" t="str">
        <f t="array" ref="B1355">VLOOKUP(A1355,{Metrik!$C$2:$C$998,Metrik!$B$2:$B$998},2,0)</f>
        <v>Perusahaan Gas Negara (Persero) Tbk.</v>
      </c>
      <c r="C1355" s="15">
        <f>IFERROR(__xludf.DUMMYFUNCTION("GOOGLEFINANCE(""IDX:""&amp;A1355,""price"")"),1530.0)</f>
        <v>1530</v>
      </c>
      <c r="D1355" s="16" t="str">
        <f>IFERROR(__xludf.DUMMYFUNCTION("IF(A1355="""","""",
SPARKLINE(
INDEX(
GOOGLEFINANCE(""IDX:""&amp;A1355,""close"",TODAY()-365,TODAY()),
,2
),
{""linewidth"",1}
))
"),"#N/A")</f>
        <v>#N/A</v>
      </c>
      <c r="E1355" s="14" t="s">
        <v>42</v>
      </c>
      <c r="F1355" s="25">
        <v>46356.0</v>
      </c>
      <c r="G1355" s="24">
        <f t="shared" si="8"/>
        <v>22</v>
      </c>
      <c r="H1355" s="19">
        <f>VLOOKUP(A1355,Metrik!$C$2:$Y$959,8,0)</f>
        <v>10.7</v>
      </c>
      <c r="I1355" s="20">
        <f>VLOOKUP(A1355,Metrik!$C$2:$Y$959,9,0)</f>
        <v>0.7</v>
      </c>
      <c r="J1355" s="20">
        <f>VLOOKUP(A1355,Metrik!$C$2:$Y$959,10,0)</f>
        <v>6.5</v>
      </c>
      <c r="K1355" s="20">
        <f>VLOOKUP(A1355,Metrik!$C$2:$Y$959,11,0)</f>
        <v>3.9</v>
      </c>
      <c r="L1355" s="20">
        <f>VLOOKUP(A1355,Metrik!$C$2:$Y$959,12,0)</f>
        <v>0.66</v>
      </c>
      <c r="M1355" s="20">
        <f>VLOOKUP(A1355,Metrik!$C$2:$Y$959,19,0)</f>
        <v>26.1</v>
      </c>
      <c r="N1355" s="21"/>
      <c r="O1355" s="21"/>
      <c r="P1355" s="21"/>
      <c r="Q1355" s="21"/>
      <c r="R1355" s="21"/>
      <c r="S1355" s="21"/>
      <c r="T1355" s="21"/>
      <c r="U1355" s="22">
        <f>IFERROR(__xludf.DUMMYFUNCTION("IFERROR(GOOGLEFINANCE(A1355,""closeyest""),"""")"),1500.0)</f>
        <v>1500</v>
      </c>
      <c r="V1355" s="23">
        <f>IFERROR(__xludf.DUMMYFUNCTION("IFERROR(GOOGLEFINANCE(A1355,""changepct""),"""")"),2.0)</f>
        <v>2</v>
      </c>
      <c r="W1355" s="22">
        <f>IFERROR(__xludf.DUMMYFUNCTION("IFERROR(GOOGLEFINANCE(A1355,""priceopen""),"""")"),1550.0)</f>
        <v>1550</v>
      </c>
      <c r="X1355" s="22">
        <f>IFERROR(__xludf.DUMMYFUNCTION("IFERROR(GOOGLEFINANCE(A1355,""high""),"""")"),1560.0)</f>
        <v>1560</v>
      </c>
      <c r="Y1355" s="22">
        <f>IFERROR(__xludf.DUMMYFUNCTION("IFERROR(GOOGLEFINANCE(A1355,""low""),"""")"),1510.0)</f>
        <v>1510</v>
      </c>
      <c r="Z1355" s="22" t="str">
        <f>IFERROR(__xludf.DUMMYFUNCTION("IFERROR(GOOGLEFINANCE(A1355,""volume""),"""")"),"")</f>
        <v/>
      </c>
      <c r="AA1355" s="24" t="str">
        <f>VLOOKUP(A1355,Metrik!$C$2:$Y$959,5,0)</f>
        <v>Oil &amp; Gas</v>
      </c>
      <c r="AB1355" s="24" t="str">
        <f>VLOOKUP(A1355,Metrik!$C$2:$Y$959,3,0)</f>
        <v>Energy</v>
      </c>
    </row>
    <row r="1356">
      <c r="A1356" s="14" t="s">
        <v>739</v>
      </c>
      <c r="B1356" s="14" t="str">
        <f t="array" ref="B1356">VLOOKUP(A1356,{Metrik!$C$2:$C$998,Metrik!$B$2:$B$998},2,0)</f>
        <v>Perusahaan Gas Negara (Persero) Tbk.</v>
      </c>
      <c r="C1356" s="15">
        <f>IFERROR(__xludf.DUMMYFUNCTION("GOOGLEFINANCE(""IDX:""&amp;A1356,""price"")"),1530.0)</f>
        <v>1530</v>
      </c>
      <c r="D1356" s="16" t="str">
        <f>IFERROR(__xludf.DUMMYFUNCTION("IF(A1356="""","""",
SPARKLINE(
INDEX(
GOOGLEFINANCE(""IDX:""&amp;A1356,""close"",TODAY()-365,TODAY()),
,2
),
{""linewidth"",1}
))
"),"#N/A")</f>
        <v>#N/A</v>
      </c>
      <c r="E1356" s="14" t="s">
        <v>38</v>
      </c>
      <c r="F1356" s="25">
        <v>46356.0</v>
      </c>
      <c r="G1356" s="24">
        <f t="shared" si="8"/>
        <v>22</v>
      </c>
      <c r="H1356" s="19">
        <f>VLOOKUP(A1356,Metrik!$C$2:$Y$959,8,0)</f>
        <v>10.7</v>
      </c>
      <c r="I1356" s="20">
        <f>VLOOKUP(A1356,Metrik!$C$2:$Y$959,9,0)</f>
        <v>0.7</v>
      </c>
      <c r="J1356" s="20">
        <f>VLOOKUP(A1356,Metrik!$C$2:$Y$959,10,0)</f>
        <v>6.5</v>
      </c>
      <c r="K1356" s="20">
        <f>VLOOKUP(A1356,Metrik!$C$2:$Y$959,11,0)</f>
        <v>3.9</v>
      </c>
      <c r="L1356" s="20">
        <f>VLOOKUP(A1356,Metrik!$C$2:$Y$959,12,0)</f>
        <v>0.66</v>
      </c>
      <c r="M1356" s="20">
        <f>VLOOKUP(A1356,Metrik!$C$2:$Y$959,19,0)</f>
        <v>26.1</v>
      </c>
      <c r="N1356" s="21"/>
      <c r="O1356" s="21"/>
      <c r="P1356" s="21"/>
      <c r="Q1356" s="21"/>
      <c r="R1356" s="21"/>
      <c r="S1356" s="21"/>
      <c r="T1356" s="21"/>
      <c r="U1356" s="22">
        <f>IFERROR(__xludf.DUMMYFUNCTION("IFERROR(GOOGLEFINANCE(A1356,""closeyest""),"""")"),1500.0)</f>
        <v>1500</v>
      </c>
      <c r="V1356" s="23">
        <f>IFERROR(__xludf.DUMMYFUNCTION("IFERROR(GOOGLEFINANCE(A1356,""changepct""),"""")"),2.0)</f>
        <v>2</v>
      </c>
      <c r="W1356" s="22">
        <f>IFERROR(__xludf.DUMMYFUNCTION("IFERROR(GOOGLEFINANCE(A1356,""priceopen""),"""")"),1550.0)</f>
        <v>1550</v>
      </c>
      <c r="X1356" s="22">
        <f>IFERROR(__xludf.DUMMYFUNCTION("IFERROR(GOOGLEFINANCE(A1356,""high""),"""")"),1560.0)</f>
        <v>1560</v>
      </c>
      <c r="Y1356" s="22">
        <f>IFERROR(__xludf.DUMMYFUNCTION("IFERROR(GOOGLEFINANCE(A1356,""low""),"""")"),1510.0)</f>
        <v>1510</v>
      </c>
      <c r="Z1356" s="22" t="str">
        <f>IFERROR(__xludf.DUMMYFUNCTION("IFERROR(GOOGLEFINANCE(A1356,""volume""),"""")"),"")</f>
        <v/>
      </c>
      <c r="AA1356" s="24" t="str">
        <f>VLOOKUP(A1356,Metrik!$C$2:$Y$959,5,0)</f>
        <v>Oil &amp; Gas</v>
      </c>
      <c r="AB1356" s="24" t="str">
        <f>VLOOKUP(A1356,Metrik!$C$2:$Y$959,3,0)</f>
        <v>Energy</v>
      </c>
    </row>
    <row r="1357">
      <c r="A1357" s="14" t="s">
        <v>739</v>
      </c>
      <c r="B1357" s="14" t="str">
        <f t="array" ref="B1357">VLOOKUP(A1357,{Metrik!$C$2:$C$998,Metrik!$B$2:$B$998},2,0)</f>
        <v>Perusahaan Gas Negara (Persero) Tbk.</v>
      </c>
      <c r="C1357" s="15">
        <f>IFERROR(__xludf.DUMMYFUNCTION("GOOGLEFINANCE(""IDX:""&amp;A1357,""price"")"),1530.0)</f>
        <v>1530</v>
      </c>
      <c r="D1357" s="16" t="str">
        <f>IFERROR(__xludf.DUMMYFUNCTION("IF(A1357="""","""",
SPARKLINE(
INDEX(
GOOGLEFINANCE(""IDX:""&amp;A1357,""close"",TODAY()-365,TODAY()),
,2
),
{""linewidth"",1}
))
"),"#N/A")</f>
        <v>#N/A</v>
      </c>
      <c r="E1357" s="14" t="s">
        <v>55</v>
      </c>
      <c r="F1357" s="25">
        <v>46356.0</v>
      </c>
      <c r="G1357" s="24">
        <f t="shared" si="8"/>
        <v>22</v>
      </c>
      <c r="H1357" s="19">
        <f>VLOOKUP(A1357,Metrik!$C$2:$Y$959,8,0)</f>
        <v>10.7</v>
      </c>
      <c r="I1357" s="20">
        <f>VLOOKUP(A1357,Metrik!$C$2:$Y$959,9,0)</f>
        <v>0.7</v>
      </c>
      <c r="J1357" s="20">
        <f>VLOOKUP(A1357,Metrik!$C$2:$Y$959,10,0)</f>
        <v>6.5</v>
      </c>
      <c r="K1357" s="20">
        <f>VLOOKUP(A1357,Metrik!$C$2:$Y$959,11,0)</f>
        <v>3.9</v>
      </c>
      <c r="L1357" s="20">
        <f>VLOOKUP(A1357,Metrik!$C$2:$Y$959,12,0)</f>
        <v>0.66</v>
      </c>
      <c r="M1357" s="20">
        <f>VLOOKUP(A1357,Metrik!$C$2:$Y$959,19,0)</f>
        <v>26.1</v>
      </c>
      <c r="N1357" s="21"/>
      <c r="O1357" s="21"/>
      <c r="P1357" s="21"/>
      <c r="Q1357" s="21"/>
      <c r="R1357" s="21"/>
      <c r="S1357" s="21"/>
      <c r="T1357" s="21"/>
      <c r="U1357" s="22">
        <f>IFERROR(__xludf.DUMMYFUNCTION("IFERROR(GOOGLEFINANCE(A1357,""closeyest""),"""")"),1500.0)</f>
        <v>1500</v>
      </c>
      <c r="V1357" s="23">
        <f>IFERROR(__xludf.DUMMYFUNCTION("IFERROR(GOOGLEFINANCE(A1357,""changepct""),"""")"),2.0)</f>
        <v>2</v>
      </c>
      <c r="W1357" s="22">
        <f>IFERROR(__xludf.DUMMYFUNCTION("IFERROR(GOOGLEFINANCE(A1357,""priceopen""),"""")"),1550.0)</f>
        <v>1550</v>
      </c>
      <c r="X1357" s="22">
        <f>IFERROR(__xludf.DUMMYFUNCTION("IFERROR(GOOGLEFINANCE(A1357,""high""),"""")"),1560.0)</f>
        <v>1560</v>
      </c>
      <c r="Y1357" s="22">
        <f>IFERROR(__xludf.DUMMYFUNCTION("IFERROR(GOOGLEFINANCE(A1357,""low""),"""")"),1510.0)</f>
        <v>1510</v>
      </c>
      <c r="Z1357" s="22" t="str">
        <f>IFERROR(__xludf.DUMMYFUNCTION("IFERROR(GOOGLEFINANCE(A1357,""volume""),"""")"),"")</f>
        <v/>
      </c>
      <c r="AA1357" s="24" t="str">
        <f>VLOOKUP(A1357,Metrik!$C$2:$Y$959,5,0)</f>
        <v>Oil &amp; Gas</v>
      </c>
      <c r="AB1357" s="24" t="str">
        <f>VLOOKUP(A1357,Metrik!$C$2:$Y$959,3,0)</f>
        <v>Energy</v>
      </c>
    </row>
    <row r="1358">
      <c r="A1358" s="14" t="s">
        <v>739</v>
      </c>
      <c r="B1358" s="14" t="str">
        <f t="array" ref="B1358">VLOOKUP(A1358,{Metrik!$C$2:$C$998,Metrik!$B$2:$B$998},2,0)</f>
        <v>Perusahaan Gas Negara (Persero) Tbk.</v>
      </c>
      <c r="C1358" s="15">
        <f>IFERROR(__xludf.DUMMYFUNCTION("GOOGLEFINANCE(""IDX:""&amp;A1358,""price"")"),1530.0)</f>
        <v>1530</v>
      </c>
      <c r="D1358" s="16" t="str">
        <f>IFERROR(__xludf.DUMMYFUNCTION("IF(A1358="""","""",
SPARKLINE(
INDEX(
GOOGLEFINANCE(""IDX:""&amp;A1358,""close"",TODAY()-365,TODAY()),
,2
),
{""linewidth"",1}
))
"),"#N/A")</f>
        <v>#N/A</v>
      </c>
      <c r="E1358" s="14" t="s">
        <v>48</v>
      </c>
      <c r="F1358" s="14" t="s">
        <v>49</v>
      </c>
      <c r="G1358" s="24">
        <f t="shared" si="8"/>
        <v>22</v>
      </c>
      <c r="H1358" s="19">
        <f>VLOOKUP(A1358,Metrik!$C$2:$Y$959,8,0)</f>
        <v>10.7</v>
      </c>
      <c r="I1358" s="20">
        <f>VLOOKUP(A1358,Metrik!$C$2:$Y$959,9,0)</f>
        <v>0.7</v>
      </c>
      <c r="J1358" s="20">
        <f>VLOOKUP(A1358,Metrik!$C$2:$Y$959,10,0)</f>
        <v>6.5</v>
      </c>
      <c r="K1358" s="20">
        <f>VLOOKUP(A1358,Metrik!$C$2:$Y$959,11,0)</f>
        <v>3.9</v>
      </c>
      <c r="L1358" s="20">
        <f>VLOOKUP(A1358,Metrik!$C$2:$Y$959,12,0)</f>
        <v>0.66</v>
      </c>
      <c r="M1358" s="20">
        <f>VLOOKUP(A1358,Metrik!$C$2:$Y$959,19,0)</f>
        <v>26.1</v>
      </c>
      <c r="N1358" s="21"/>
      <c r="O1358" s="21"/>
      <c r="P1358" s="21"/>
      <c r="Q1358" s="21"/>
      <c r="R1358" s="21"/>
      <c r="S1358" s="21"/>
      <c r="T1358" s="21"/>
      <c r="U1358" s="22">
        <f>IFERROR(__xludf.DUMMYFUNCTION("IFERROR(GOOGLEFINANCE(A1358,""closeyest""),"""")"),1500.0)</f>
        <v>1500</v>
      </c>
      <c r="V1358" s="23">
        <f>IFERROR(__xludf.DUMMYFUNCTION("IFERROR(GOOGLEFINANCE(A1358,""changepct""),"""")"),2.0)</f>
        <v>2</v>
      </c>
      <c r="W1358" s="22">
        <f>IFERROR(__xludf.DUMMYFUNCTION("IFERROR(GOOGLEFINANCE(A1358,""priceopen""),"""")"),1550.0)</f>
        <v>1550</v>
      </c>
      <c r="X1358" s="22">
        <f>IFERROR(__xludf.DUMMYFUNCTION("IFERROR(GOOGLEFINANCE(A1358,""high""),"""")"),1560.0)</f>
        <v>1560</v>
      </c>
      <c r="Y1358" s="22">
        <f>IFERROR(__xludf.DUMMYFUNCTION("IFERROR(GOOGLEFINANCE(A1358,""low""),"""")"),1510.0)</f>
        <v>1510</v>
      </c>
      <c r="Z1358" s="22" t="str">
        <f>IFERROR(__xludf.DUMMYFUNCTION("IFERROR(GOOGLEFINANCE(A1358,""volume""),"""")"),"")</f>
        <v/>
      </c>
      <c r="AA1358" s="24" t="str">
        <f>VLOOKUP(A1358,Metrik!$C$2:$Y$959,5,0)</f>
        <v>Oil &amp; Gas</v>
      </c>
      <c r="AB1358" s="24" t="str">
        <f>VLOOKUP(A1358,Metrik!$C$2:$Y$959,3,0)</f>
        <v>Energy</v>
      </c>
    </row>
    <row r="1359">
      <c r="A1359" s="14" t="s">
        <v>739</v>
      </c>
      <c r="B1359" s="14" t="str">
        <f t="array" ref="B1359">VLOOKUP(A1359,{Metrik!$C$2:$C$998,Metrik!$B$2:$B$998},2,0)</f>
        <v>Perusahaan Gas Negara (Persero) Tbk.</v>
      </c>
      <c r="C1359" s="15">
        <f>IFERROR(__xludf.DUMMYFUNCTION("GOOGLEFINANCE(""IDX:""&amp;A1359,""price"")"),1530.0)</f>
        <v>1530</v>
      </c>
      <c r="D1359" s="16" t="str">
        <f>IFERROR(__xludf.DUMMYFUNCTION("IF(A1359="""","""",
SPARKLINE(
INDEX(
GOOGLEFINANCE(""IDX:""&amp;A1359,""close"",TODAY()-365,TODAY()),
,2
),
{""linewidth"",1}
))
"),"#N/A")</f>
        <v>#N/A</v>
      </c>
      <c r="E1359" s="14" t="s">
        <v>68</v>
      </c>
      <c r="F1359" s="14" t="s">
        <v>34</v>
      </c>
      <c r="G1359" s="24">
        <f t="shared" si="8"/>
        <v>22</v>
      </c>
      <c r="H1359" s="19">
        <f>VLOOKUP(A1359,Metrik!$C$2:$Y$959,8,0)</f>
        <v>10.7</v>
      </c>
      <c r="I1359" s="20">
        <f>VLOOKUP(A1359,Metrik!$C$2:$Y$959,9,0)</f>
        <v>0.7</v>
      </c>
      <c r="J1359" s="20">
        <f>VLOOKUP(A1359,Metrik!$C$2:$Y$959,10,0)</f>
        <v>6.5</v>
      </c>
      <c r="K1359" s="20">
        <f>VLOOKUP(A1359,Metrik!$C$2:$Y$959,11,0)</f>
        <v>3.9</v>
      </c>
      <c r="L1359" s="20">
        <f>VLOOKUP(A1359,Metrik!$C$2:$Y$959,12,0)</f>
        <v>0.66</v>
      </c>
      <c r="M1359" s="20">
        <f>VLOOKUP(A1359,Metrik!$C$2:$Y$959,19,0)</f>
        <v>26.1</v>
      </c>
      <c r="N1359" s="21"/>
      <c r="O1359" s="21"/>
      <c r="P1359" s="21"/>
      <c r="Q1359" s="21"/>
      <c r="R1359" s="21"/>
      <c r="S1359" s="21"/>
      <c r="T1359" s="21"/>
      <c r="U1359" s="22">
        <f>IFERROR(__xludf.DUMMYFUNCTION("IFERROR(GOOGLEFINANCE(A1359,""closeyest""),"""")"),1500.0)</f>
        <v>1500</v>
      </c>
      <c r="V1359" s="23">
        <f>IFERROR(__xludf.DUMMYFUNCTION("IFERROR(GOOGLEFINANCE(A1359,""changepct""),"""")"),2.0)</f>
        <v>2</v>
      </c>
      <c r="W1359" s="22">
        <f>IFERROR(__xludf.DUMMYFUNCTION("IFERROR(GOOGLEFINANCE(A1359,""priceopen""),"""")"),1550.0)</f>
        <v>1550</v>
      </c>
      <c r="X1359" s="22">
        <f>IFERROR(__xludf.DUMMYFUNCTION("IFERROR(GOOGLEFINANCE(A1359,""high""),"""")"),1560.0)</f>
        <v>1560</v>
      </c>
      <c r="Y1359" s="22">
        <f>IFERROR(__xludf.DUMMYFUNCTION("IFERROR(GOOGLEFINANCE(A1359,""low""),"""")"),1510.0)</f>
        <v>1510</v>
      </c>
      <c r="Z1359" s="22" t="str">
        <f>IFERROR(__xludf.DUMMYFUNCTION("IFERROR(GOOGLEFINANCE(A1359,""volume""),"""")"),"")</f>
        <v/>
      </c>
      <c r="AA1359" s="24" t="str">
        <f>VLOOKUP(A1359,Metrik!$C$2:$Y$959,5,0)</f>
        <v>Oil &amp; Gas</v>
      </c>
      <c r="AB1359" s="24" t="str">
        <f>VLOOKUP(A1359,Metrik!$C$2:$Y$959,3,0)</f>
        <v>Energy</v>
      </c>
    </row>
    <row r="1360">
      <c r="A1360" s="14" t="s">
        <v>739</v>
      </c>
      <c r="B1360" s="14" t="str">
        <f t="array" ref="B1360">VLOOKUP(A1360,{Metrik!$C$2:$C$998,Metrik!$B$2:$B$998},2,0)</f>
        <v>Perusahaan Gas Negara (Persero) Tbk.</v>
      </c>
      <c r="C1360" s="15">
        <f>IFERROR(__xludf.DUMMYFUNCTION("GOOGLEFINANCE(""IDX:""&amp;A1360,""price"")"),1530.0)</f>
        <v>1530</v>
      </c>
      <c r="D1360" s="16" t="str">
        <f>IFERROR(__xludf.DUMMYFUNCTION("IF(A1360="""","""",
SPARKLINE(
INDEX(
GOOGLEFINANCE(""IDX:""&amp;A1360,""close"",TODAY()-365,TODAY()),
,2
),
{""linewidth"",1}
))
"),"#N/A")</f>
        <v>#N/A</v>
      </c>
      <c r="E1360" s="14" t="s">
        <v>61</v>
      </c>
      <c r="F1360" s="14" t="s">
        <v>34</v>
      </c>
      <c r="G1360" s="24">
        <f t="shared" si="8"/>
        <v>22</v>
      </c>
      <c r="H1360" s="19">
        <f>VLOOKUP(A1360,Metrik!$C$2:$Y$959,8,0)</f>
        <v>10.7</v>
      </c>
      <c r="I1360" s="20">
        <f>VLOOKUP(A1360,Metrik!$C$2:$Y$959,9,0)</f>
        <v>0.7</v>
      </c>
      <c r="J1360" s="20">
        <f>VLOOKUP(A1360,Metrik!$C$2:$Y$959,10,0)</f>
        <v>6.5</v>
      </c>
      <c r="K1360" s="20">
        <f>VLOOKUP(A1360,Metrik!$C$2:$Y$959,11,0)</f>
        <v>3.9</v>
      </c>
      <c r="L1360" s="20">
        <f>VLOOKUP(A1360,Metrik!$C$2:$Y$959,12,0)</f>
        <v>0.66</v>
      </c>
      <c r="M1360" s="20">
        <f>VLOOKUP(A1360,Metrik!$C$2:$Y$959,19,0)</f>
        <v>26.1</v>
      </c>
      <c r="N1360" s="21"/>
      <c r="O1360" s="21"/>
      <c r="P1360" s="21"/>
      <c r="Q1360" s="21"/>
      <c r="R1360" s="21"/>
      <c r="S1360" s="21"/>
      <c r="T1360" s="21"/>
      <c r="U1360" s="22">
        <f>IFERROR(__xludf.DUMMYFUNCTION("IFERROR(GOOGLEFINANCE(A1360,""closeyest""),"""")"),1500.0)</f>
        <v>1500</v>
      </c>
      <c r="V1360" s="23">
        <f>IFERROR(__xludf.DUMMYFUNCTION("IFERROR(GOOGLEFINANCE(A1360,""changepct""),"""")"),2.0)</f>
        <v>2</v>
      </c>
      <c r="W1360" s="22">
        <f>IFERROR(__xludf.DUMMYFUNCTION("IFERROR(GOOGLEFINANCE(A1360,""priceopen""),"""")"),1550.0)</f>
        <v>1550</v>
      </c>
      <c r="X1360" s="22">
        <f>IFERROR(__xludf.DUMMYFUNCTION("IFERROR(GOOGLEFINANCE(A1360,""high""),"""")"),1560.0)</f>
        <v>1560</v>
      </c>
      <c r="Y1360" s="22">
        <f>IFERROR(__xludf.DUMMYFUNCTION("IFERROR(GOOGLEFINANCE(A1360,""low""),"""")"),1510.0)</f>
        <v>1510</v>
      </c>
      <c r="Z1360" s="22" t="str">
        <f>IFERROR(__xludf.DUMMYFUNCTION("IFERROR(GOOGLEFINANCE(A1360,""volume""),"""")"),"")</f>
        <v/>
      </c>
      <c r="AA1360" s="24" t="str">
        <f>VLOOKUP(A1360,Metrik!$C$2:$Y$959,5,0)</f>
        <v>Oil &amp; Gas</v>
      </c>
      <c r="AB1360" s="24" t="str">
        <f>VLOOKUP(A1360,Metrik!$C$2:$Y$959,3,0)</f>
        <v>Energy</v>
      </c>
    </row>
    <row r="1361">
      <c r="A1361" s="14" t="s">
        <v>739</v>
      </c>
      <c r="B1361" s="14" t="str">
        <f t="array" ref="B1361">VLOOKUP(A1361,{Metrik!$C$2:$C$998,Metrik!$B$2:$B$998},2,0)</f>
        <v>Perusahaan Gas Negara (Persero) Tbk.</v>
      </c>
      <c r="C1361" s="15">
        <f>IFERROR(__xludf.DUMMYFUNCTION("GOOGLEFINANCE(""IDX:""&amp;A1361,""price"")"),1530.0)</f>
        <v>1530</v>
      </c>
      <c r="D1361" s="16" t="str">
        <f>IFERROR(__xludf.DUMMYFUNCTION("IF(A1361="""","""",
SPARKLINE(
INDEX(
GOOGLEFINANCE(""IDX:""&amp;A1361,""close"",TODAY()-365,TODAY()),
,2
),
{""linewidth"",1}
))
"),"#N/A")</f>
        <v>#N/A</v>
      </c>
      <c r="E1361" s="14" t="s">
        <v>32</v>
      </c>
      <c r="F1361" s="14" t="s">
        <v>29</v>
      </c>
      <c r="G1361" s="24">
        <f t="shared" si="8"/>
        <v>22</v>
      </c>
      <c r="H1361" s="19">
        <f>VLOOKUP(A1361,Metrik!$C$2:$Y$959,8,0)</f>
        <v>10.7</v>
      </c>
      <c r="I1361" s="20">
        <f>VLOOKUP(A1361,Metrik!$C$2:$Y$959,9,0)</f>
        <v>0.7</v>
      </c>
      <c r="J1361" s="20">
        <f>VLOOKUP(A1361,Metrik!$C$2:$Y$959,10,0)</f>
        <v>6.5</v>
      </c>
      <c r="K1361" s="20">
        <f>VLOOKUP(A1361,Metrik!$C$2:$Y$959,11,0)</f>
        <v>3.9</v>
      </c>
      <c r="L1361" s="20">
        <f>VLOOKUP(A1361,Metrik!$C$2:$Y$959,12,0)</f>
        <v>0.66</v>
      </c>
      <c r="M1361" s="20">
        <f>VLOOKUP(A1361,Metrik!$C$2:$Y$959,19,0)</f>
        <v>26.1</v>
      </c>
      <c r="N1361" s="21"/>
      <c r="O1361" s="21"/>
      <c r="P1361" s="21"/>
      <c r="Q1361" s="21"/>
      <c r="R1361" s="21"/>
      <c r="S1361" s="21"/>
      <c r="T1361" s="21"/>
      <c r="U1361" s="22">
        <f>IFERROR(__xludf.DUMMYFUNCTION("IFERROR(GOOGLEFINANCE(A1361,""closeyest""),"""")"),1500.0)</f>
        <v>1500</v>
      </c>
      <c r="V1361" s="23">
        <f>IFERROR(__xludf.DUMMYFUNCTION("IFERROR(GOOGLEFINANCE(A1361,""changepct""),"""")"),2.0)</f>
        <v>2</v>
      </c>
      <c r="W1361" s="22">
        <f>IFERROR(__xludf.DUMMYFUNCTION("IFERROR(GOOGLEFINANCE(A1361,""priceopen""),"""")"),1550.0)</f>
        <v>1550</v>
      </c>
      <c r="X1361" s="22">
        <f>IFERROR(__xludf.DUMMYFUNCTION("IFERROR(GOOGLEFINANCE(A1361,""high""),"""")"),1560.0)</f>
        <v>1560</v>
      </c>
      <c r="Y1361" s="22">
        <f>IFERROR(__xludf.DUMMYFUNCTION("IFERROR(GOOGLEFINANCE(A1361,""low""),"""")"),1510.0)</f>
        <v>1510</v>
      </c>
      <c r="Z1361" s="22" t="str">
        <f>IFERROR(__xludf.DUMMYFUNCTION("IFERROR(GOOGLEFINANCE(A1361,""volume""),"""")"),"")</f>
        <v/>
      </c>
      <c r="AA1361" s="24" t="str">
        <f>VLOOKUP(A1361,Metrik!$C$2:$Y$959,5,0)</f>
        <v>Oil &amp; Gas</v>
      </c>
      <c r="AB1361" s="24" t="str">
        <f>VLOOKUP(A1361,Metrik!$C$2:$Y$959,3,0)</f>
        <v>Energy</v>
      </c>
    </row>
    <row r="1362">
      <c r="A1362" s="14" t="s">
        <v>739</v>
      </c>
      <c r="B1362" s="14" t="str">
        <f t="array" ref="B1362">VLOOKUP(A1362,{Metrik!$C$2:$C$998,Metrik!$B$2:$B$998},2,0)</f>
        <v>Perusahaan Gas Negara (Persero) Tbk.</v>
      </c>
      <c r="C1362" s="15">
        <f>IFERROR(__xludf.DUMMYFUNCTION("GOOGLEFINANCE(""IDX:""&amp;A1362,""price"")"),1530.0)</f>
        <v>1530</v>
      </c>
      <c r="D1362" s="16" t="str">
        <f>IFERROR(__xludf.DUMMYFUNCTION("IF(A1362="""","""",
SPARKLINE(
INDEX(
GOOGLEFINANCE(""IDX:""&amp;A1362,""close"",TODAY()-365,TODAY()),
,2
),
{""linewidth"",1}
))
"),"#N/A")</f>
        <v>#N/A</v>
      </c>
      <c r="E1362" s="14" t="s">
        <v>31</v>
      </c>
      <c r="F1362" s="17" t="s">
        <v>29</v>
      </c>
      <c r="G1362" s="24">
        <f t="shared" si="8"/>
        <v>22</v>
      </c>
      <c r="H1362" s="19">
        <f>VLOOKUP(A1362,Metrik!$C$2:$Y$959,8,0)</f>
        <v>10.7</v>
      </c>
      <c r="I1362" s="20">
        <f>VLOOKUP(A1362,Metrik!$C$2:$Y$959,9,0)</f>
        <v>0.7</v>
      </c>
      <c r="J1362" s="20">
        <f>VLOOKUP(A1362,Metrik!$C$2:$Y$959,10,0)</f>
        <v>6.5</v>
      </c>
      <c r="K1362" s="20">
        <f>VLOOKUP(A1362,Metrik!$C$2:$Y$959,11,0)</f>
        <v>3.9</v>
      </c>
      <c r="L1362" s="20">
        <f>VLOOKUP(A1362,Metrik!$C$2:$Y$959,12,0)</f>
        <v>0.66</v>
      </c>
      <c r="M1362" s="20">
        <f>VLOOKUP(A1362,Metrik!$C$2:$Y$959,19,0)</f>
        <v>26.1</v>
      </c>
      <c r="N1362" s="21"/>
      <c r="O1362" s="21"/>
      <c r="P1362" s="21"/>
      <c r="Q1362" s="21"/>
      <c r="R1362" s="21"/>
      <c r="S1362" s="21"/>
      <c r="T1362" s="21"/>
      <c r="U1362" s="22">
        <f>IFERROR(__xludf.DUMMYFUNCTION("IFERROR(GOOGLEFINANCE(A1362,""closeyest""),"""")"),1500.0)</f>
        <v>1500</v>
      </c>
      <c r="V1362" s="23">
        <f>IFERROR(__xludf.DUMMYFUNCTION("IFERROR(GOOGLEFINANCE(A1362,""changepct""),"""")"),2.0)</f>
        <v>2</v>
      </c>
      <c r="W1362" s="22">
        <f>IFERROR(__xludf.DUMMYFUNCTION("IFERROR(GOOGLEFINANCE(A1362,""priceopen""),"""")"),1550.0)</f>
        <v>1550</v>
      </c>
      <c r="X1362" s="22">
        <f>IFERROR(__xludf.DUMMYFUNCTION("IFERROR(GOOGLEFINANCE(A1362,""high""),"""")"),1560.0)</f>
        <v>1560</v>
      </c>
      <c r="Y1362" s="22">
        <f>IFERROR(__xludf.DUMMYFUNCTION("IFERROR(GOOGLEFINANCE(A1362,""low""),"""")"),1510.0)</f>
        <v>1510</v>
      </c>
      <c r="Z1362" s="22" t="str">
        <f>IFERROR(__xludf.DUMMYFUNCTION("IFERROR(GOOGLEFINANCE(A1362,""volume""),"""")"),"")</f>
        <v/>
      </c>
      <c r="AA1362" s="24" t="str">
        <f>VLOOKUP(A1362,Metrik!$C$2:$Y$959,5,0)</f>
        <v>Oil &amp; Gas</v>
      </c>
      <c r="AB1362" s="24" t="str">
        <f>VLOOKUP(A1362,Metrik!$C$2:$Y$959,3,0)</f>
        <v>Energy</v>
      </c>
    </row>
    <row r="1363">
      <c r="A1363" s="14" t="s">
        <v>739</v>
      </c>
      <c r="B1363" s="14" t="str">
        <f t="array" ref="B1363">VLOOKUP(A1363,{Metrik!$C$2:$C$998,Metrik!$B$2:$B$998},2,0)</f>
        <v>Perusahaan Gas Negara (Persero) Tbk.</v>
      </c>
      <c r="C1363" s="15">
        <f>IFERROR(__xludf.DUMMYFUNCTION("GOOGLEFINANCE(""IDX:""&amp;A1363,""price"")"),1530.0)</f>
        <v>1530</v>
      </c>
      <c r="D1363" s="16" t="str">
        <f>IFERROR(__xludf.DUMMYFUNCTION("IF(A1363="""","""",
SPARKLINE(
INDEX(
GOOGLEFINANCE(""IDX:""&amp;A1363,""close"",TODAY()-365,TODAY()),
,2
),
{""linewidth"",1}
))
"),"#N/A")</f>
        <v>#N/A</v>
      </c>
      <c r="E1363" s="14" t="s">
        <v>28</v>
      </c>
      <c r="F1363" s="17" t="s">
        <v>29</v>
      </c>
      <c r="G1363" s="24">
        <f t="shared" si="8"/>
        <v>22</v>
      </c>
      <c r="H1363" s="19">
        <f>VLOOKUP(A1363,Metrik!$C$2:$Y$959,8,0)</f>
        <v>10.7</v>
      </c>
      <c r="I1363" s="20">
        <f>VLOOKUP(A1363,Metrik!$C$2:$Y$959,9,0)</f>
        <v>0.7</v>
      </c>
      <c r="J1363" s="20">
        <f>VLOOKUP(A1363,Metrik!$C$2:$Y$959,10,0)</f>
        <v>6.5</v>
      </c>
      <c r="K1363" s="20">
        <f>VLOOKUP(A1363,Metrik!$C$2:$Y$959,11,0)</f>
        <v>3.9</v>
      </c>
      <c r="L1363" s="20">
        <f>VLOOKUP(A1363,Metrik!$C$2:$Y$959,12,0)</f>
        <v>0.66</v>
      </c>
      <c r="M1363" s="20">
        <f>VLOOKUP(A1363,Metrik!$C$2:$Y$959,19,0)</f>
        <v>26.1</v>
      </c>
      <c r="N1363" s="21"/>
      <c r="O1363" s="21"/>
      <c r="P1363" s="21"/>
      <c r="Q1363" s="21"/>
      <c r="R1363" s="21"/>
      <c r="S1363" s="21"/>
      <c r="T1363" s="21"/>
      <c r="U1363" s="22">
        <f>IFERROR(__xludf.DUMMYFUNCTION("IFERROR(GOOGLEFINANCE(A1363,""closeyest""),"""")"),1500.0)</f>
        <v>1500</v>
      </c>
      <c r="V1363" s="23">
        <f>IFERROR(__xludf.DUMMYFUNCTION("IFERROR(GOOGLEFINANCE(A1363,""changepct""),"""")"),2.0)</f>
        <v>2</v>
      </c>
      <c r="W1363" s="22">
        <f>IFERROR(__xludf.DUMMYFUNCTION("IFERROR(GOOGLEFINANCE(A1363,""priceopen""),"""")"),1550.0)</f>
        <v>1550</v>
      </c>
      <c r="X1363" s="22">
        <f>IFERROR(__xludf.DUMMYFUNCTION("IFERROR(GOOGLEFINANCE(A1363,""high""),"""")"),1560.0)</f>
        <v>1560</v>
      </c>
      <c r="Y1363" s="22">
        <f>IFERROR(__xludf.DUMMYFUNCTION("IFERROR(GOOGLEFINANCE(A1363,""low""),"""")"),1510.0)</f>
        <v>1510</v>
      </c>
      <c r="Z1363" s="22" t="str">
        <f>IFERROR(__xludf.DUMMYFUNCTION("IFERROR(GOOGLEFINANCE(A1363,""volume""),"""")"),"")</f>
        <v/>
      </c>
      <c r="AA1363" s="24" t="str">
        <f>VLOOKUP(A1363,Metrik!$C$2:$Y$959,5,0)</f>
        <v>Oil &amp; Gas</v>
      </c>
      <c r="AB1363" s="24" t="str">
        <f>VLOOKUP(A1363,Metrik!$C$2:$Y$959,3,0)</f>
        <v>Energy</v>
      </c>
    </row>
    <row r="1364">
      <c r="A1364" s="14" t="s">
        <v>739</v>
      </c>
      <c r="B1364" s="14" t="str">
        <f t="array" ref="B1364">VLOOKUP(A1364,{Metrik!$C$2:$C$998,Metrik!$B$2:$B$998},2,0)</f>
        <v>Perusahaan Gas Negara (Persero) Tbk.</v>
      </c>
      <c r="C1364" s="15">
        <f>IFERROR(__xludf.DUMMYFUNCTION("GOOGLEFINANCE(""IDX:""&amp;A1364,""price"")"),1530.0)</f>
        <v>1530</v>
      </c>
      <c r="D1364" s="16" t="str">
        <f>IFERROR(__xludf.DUMMYFUNCTION("IF(A1364="""","""",
SPARKLINE(
INDEX(
GOOGLEFINANCE(""IDX:""&amp;A1364,""close"",TODAY()-365,TODAY()),
,2
),
{""linewidth"",1}
))
"),"#N/A")</f>
        <v>#N/A</v>
      </c>
      <c r="E1364" s="14" t="s">
        <v>30</v>
      </c>
      <c r="F1364" s="17" t="s">
        <v>29</v>
      </c>
      <c r="G1364" s="24">
        <f t="shared" si="8"/>
        <v>22</v>
      </c>
      <c r="H1364" s="19">
        <f>VLOOKUP(A1364,Metrik!$C$2:$Y$959,8,0)</f>
        <v>10.7</v>
      </c>
      <c r="I1364" s="20">
        <f>VLOOKUP(A1364,Metrik!$C$2:$Y$959,9,0)</f>
        <v>0.7</v>
      </c>
      <c r="J1364" s="20">
        <f>VLOOKUP(A1364,Metrik!$C$2:$Y$959,10,0)</f>
        <v>6.5</v>
      </c>
      <c r="K1364" s="20">
        <f>VLOOKUP(A1364,Metrik!$C$2:$Y$959,11,0)</f>
        <v>3.9</v>
      </c>
      <c r="L1364" s="20">
        <f>VLOOKUP(A1364,Metrik!$C$2:$Y$959,12,0)</f>
        <v>0.66</v>
      </c>
      <c r="M1364" s="20">
        <f>VLOOKUP(A1364,Metrik!$C$2:$Y$959,19,0)</f>
        <v>26.1</v>
      </c>
      <c r="N1364" s="21"/>
      <c r="O1364" s="21"/>
      <c r="P1364" s="21"/>
      <c r="Q1364" s="21"/>
      <c r="R1364" s="21"/>
      <c r="S1364" s="21"/>
      <c r="T1364" s="21"/>
      <c r="U1364" s="22">
        <f>IFERROR(__xludf.DUMMYFUNCTION("IFERROR(GOOGLEFINANCE(A1364,""closeyest""),"""")"),1500.0)</f>
        <v>1500</v>
      </c>
      <c r="V1364" s="23">
        <f>IFERROR(__xludf.DUMMYFUNCTION("IFERROR(GOOGLEFINANCE(A1364,""changepct""),"""")"),2.0)</f>
        <v>2</v>
      </c>
      <c r="W1364" s="22">
        <f>IFERROR(__xludf.DUMMYFUNCTION("IFERROR(GOOGLEFINANCE(A1364,""priceopen""),"""")"),1550.0)</f>
        <v>1550</v>
      </c>
      <c r="X1364" s="22">
        <f>IFERROR(__xludf.DUMMYFUNCTION("IFERROR(GOOGLEFINANCE(A1364,""high""),"""")"),1560.0)</f>
        <v>1560</v>
      </c>
      <c r="Y1364" s="22">
        <f>IFERROR(__xludf.DUMMYFUNCTION("IFERROR(GOOGLEFINANCE(A1364,""low""),"""")"),1510.0)</f>
        <v>1510</v>
      </c>
      <c r="Z1364" s="22" t="str">
        <f>IFERROR(__xludf.DUMMYFUNCTION("IFERROR(GOOGLEFINANCE(A1364,""volume""),"""")"),"")</f>
        <v/>
      </c>
      <c r="AA1364" s="24" t="str">
        <f>VLOOKUP(A1364,Metrik!$C$2:$Y$959,5,0)</f>
        <v>Oil &amp; Gas</v>
      </c>
      <c r="AB1364" s="24" t="str">
        <f>VLOOKUP(A1364,Metrik!$C$2:$Y$959,3,0)</f>
        <v>Energy</v>
      </c>
    </row>
    <row r="1365">
      <c r="A1365" s="14" t="s">
        <v>739</v>
      </c>
      <c r="B1365" s="14" t="str">
        <f t="array" ref="B1365">VLOOKUP(A1365,{Metrik!$C$2:$C$998,Metrik!$B$2:$B$998},2,0)</f>
        <v>Perusahaan Gas Negara (Persero) Tbk.</v>
      </c>
      <c r="C1365" s="15">
        <f>IFERROR(__xludf.DUMMYFUNCTION("GOOGLEFINANCE(""IDX:""&amp;A1365,""price"")"),1530.0)</f>
        <v>1530</v>
      </c>
      <c r="D1365" s="16" t="str">
        <f>IFERROR(__xludf.DUMMYFUNCTION("IF(A1365="""","""",
SPARKLINE(
INDEX(
GOOGLEFINANCE(""IDX:""&amp;A1365,""close"",TODAY()-365,TODAY()),
,2
),
{""linewidth"",1}
))
"),"#N/A")</f>
        <v>#N/A</v>
      </c>
      <c r="E1365" s="14" t="s">
        <v>33</v>
      </c>
      <c r="F1365" s="14" t="s">
        <v>34</v>
      </c>
      <c r="G1365" s="24">
        <f t="shared" si="8"/>
        <v>22</v>
      </c>
      <c r="H1365" s="19">
        <f>VLOOKUP(A1365,Metrik!$C$2:$Y$959,8,0)</f>
        <v>10.7</v>
      </c>
      <c r="I1365" s="20">
        <f>VLOOKUP(A1365,Metrik!$C$2:$Y$959,9,0)</f>
        <v>0.7</v>
      </c>
      <c r="J1365" s="20">
        <f>VLOOKUP(A1365,Metrik!$C$2:$Y$959,10,0)</f>
        <v>6.5</v>
      </c>
      <c r="K1365" s="20">
        <f>VLOOKUP(A1365,Metrik!$C$2:$Y$959,11,0)</f>
        <v>3.9</v>
      </c>
      <c r="L1365" s="20">
        <f>VLOOKUP(A1365,Metrik!$C$2:$Y$959,12,0)</f>
        <v>0.66</v>
      </c>
      <c r="M1365" s="20">
        <f>VLOOKUP(A1365,Metrik!$C$2:$Y$959,19,0)</f>
        <v>26.1</v>
      </c>
      <c r="N1365" s="21"/>
      <c r="O1365" s="21"/>
      <c r="P1365" s="21"/>
      <c r="Q1365" s="21"/>
      <c r="R1365" s="21"/>
      <c r="S1365" s="21"/>
      <c r="T1365" s="21"/>
      <c r="U1365" s="22">
        <f>IFERROR(__xludf.DUMMYFUNCTION("IFERROR(GOOGLEFINANCE(A1365,""closeyest""),"""")"),1500.0)</f>
        <v>1500</v>
      </c>
      <c r="V1365" s="23">
        <f>IFERROR(__xludf.DUMMYFUNCTION("IFERROR(GOOGLEFINANCE(A1365,""changepct""),"""")"),2.0)</f>
        <v>2</v>
      </c>
      <c r="W1365" s="22">
        <f>IFERROR(__xludf.DUMMYFUNCTION("IFERROR(GOOGLEFINANCE(A1365,""priceopen""),"""")"),1550.0)</f>
        <v>1550</v>
      </c>
      <c r="X1365" s="22">
        <f>IFERROR(__xludf.DUMMYFUNCTION("IFERROR(GOOGLEFINANCE(A1365,""high""),"""")"),1560.0)</f>
        <v>1560</v>
      </c>
      <c r="Y1365" s="22">
        <f>IFERROR(__xludf.DUMMYFUNCTION("IFERROR(GOOGLEFINANCE(A1365,""low""),"""")"),1510.0)</f>
        <v>1510</v>
      </c>
      <c r="Z1365" s="22" t="str">
        <f>IFERROR(__xludf.DUMMYFUNCTION("IFERROR(GOOGLEFINANCE(A1365,""volume""),"""")"),"")</f>
        <v/>
      </c>
      <c r="AA1365" s="24" t="str">
        <f>VLOOKUP(A1365,Metrik!$C$2:$Y$959,5,0)</f>
        <v>Oil &amp; Gas</v>
      </c>
      <c r="AB1365" s="24" t="str">
        <f>VLOOKUP(A1365,Metrik!$C$2:$Y$959,3,0)</f>
        <v>Energy</v>
      </c>
    </row>
    <row r="1366">
      <c r="A1366" s="14" t="s">
        <v>739</v>
      </c>
      <c r="B1366" s="14" t="str">
        <f t="array" ref="B1366">VLOOKUP(A1366,{Metrik!$C$2:$C$998,Metrik!$B$2:$B$998},2,0)</f>
        <v>Perusahaan Gas Negara (Persero) Tbk.</v>
      </c>
      <c r="C1366" s="15">
        <f>IFERROR(__xludf.DUMMYFUNCTION("GOOGLEFINANCE(""IDX:""&amp;A1366,""price"")"),1530.0)</f>
        <v>1530</v>
      </c>
      <c r="D1366" s="16" t="str">
        <f>IFERROR(__xludf.DUMMYFUNCTION("IF(A1366="""","""",
SPARKLINE(
INDEX(
GOOGLEFINANCE(""IDX:""&amp;A1366,""close"",TODAY()-365,TODAY()),
,2
),
{""linewidth"",1}
))
"),"#N/A")</f>
        <v>#N/A</v>
      </c>
      <c r="E1366" s="14" t="s">
        <v>85</v>
      </c>
      <c r="F1366" s="17" t="s">
        <v>51</v>
      </c>
      <c r="G1366" s="24">
        <f t="shared" si="8"/>
        <v>22</v>
      </c>
      <c r="H1366" s="19">
        <f>VLOOKUP(A1366,Metrik!$C$2:$Y$959,8,0)</f>
        <v>10.7</v>
      </c>
      <c r="I1366" s="20">
        <f>VLOOKUP(A1366,Metrik!$C$2:$Y$959,9,0)</f>
        <v>0.7</v>
      </c>
      <c r="J1366" s="20">
        <f>VLOOKUP(A1366,Metrik!$C$2:$Y$959,10,0)</f>
        <v>6.5</v>
      </c>
      <c r="K1366" s="20">
        <f>VLOOKUP(A1366,Metrik!$C$2:$Y$959,11,0)</f>
        <v>3.9</v>
      </c>
      <c r="L1366" s="20">
        <f>VLOOKUP(A1366,Metrik!$C$2:$Y$959,12,0)</f>
        <v>0.66</v>
      </c>
      <c r="M1366" s="20">
        <f>VLOOKUP(A1366,Metrik!$C$2:$Y$959,19,0)</f>
        <v>26.1</v>
      </c>
      <c r="N1366" s="21"/>
      <c r="O1366" s="21"/>
      <c r="P1366" s="21"/>
      <c r="Q1366" s="21"/>
      <c r="R1366" s="21"/>
      <c r="S1366" s="21"/>
      <c r="T1366" s="21"/>
      <c r="U1366" s="22">
        <f>IFERROR(__xludf.DUMMYFUNCTION("IFERROR(GOOGLEFINANCE(A1366,""closeyest""),"""")"),1500.0)</f>
        <v>1500</v>
      </c>
      <c r="V1366" s="23">
        <f>IFERROR(__xludf.DUMMYFUNCTION("IFERROR(GOOGLEFINANCE(A1366,""changepct""),"""")"),2.0)</f>
        <v>2</v>
      </c>
      <c r="W1366" s="22">
        <f>IFERROR(__xludf.DUMMYFUNCTION("IFERROR(GOOGLEFINANCE(A1366,""priceopen""),"""")"),1550.0)</f>
        <v>1550</v>
      </c>
      <c r="X1366" s="22">
        <f>IFERROR(__xludf.DUMMYFUNCTION("IFERROR(GOOGLEFINANCE(A1366,""high""),"""")"),1560.0)</f>
        <v>1560</v>
      </c>
      <c r="Y1366" s="22">
        <f>IFERROR(__xludf.DUMMYFUNCTION("IFERROR(GOOGLEFINANCE(A1366,""low""),"""")"),1510.0)</f>
        <v>1510</v>
      </c>
      <c r="Z1366" s="22" t="str">
        <f>IFERROR(__xludf.DUMMYFUNCTION("IFERROR(GOOGLEFINANCE(A1366,""volume""),"""")"),"")</f>
        <v/>
      </c>
      <c r="AA1366" s="24" t="str">
        <f>VLOOKUP(A1366,Metrik!$C$2:$Y$959,5,0)</f>
        <v>Oil &amp; Gas</v>
      </c>
      <c r="AB1366" s="24" t="str">
        <f>VLOOKUP(A1366,Metrik!$C$2:$Y$959,3,0)</f>
        <v>Energy</v>
      </c>
    </row>
    <row r="1367">
      <c r="A1367" s="14" t="s">
        <v>739</v>
      </c>
      <c r="B1367" s="14" t="str">
        <f t="array" ref="B1367">VLOOKUP(A1367,{Metrik!$C$2:$C$998,Metrik!$B$2:$B$998},2,0)</f>
        <v>Perusahaan Gas Negara (Persero) Tbk.</v>
      </c>
      <c r="C1367" s="15">
        <f>IFERROR(__xludf.DUMMYFUNCTION("GOOGLEFINANCE(""IDX:""&amp;A1367,""price"")"),1530.0)</f>
        <v>1530</v>
      </c>
      <c r="D1367" s="16" t="str">
        <f>IFERROR(__xludf.DUMMYFUNCTION("IF(A1367="""","""",
SPARKLINE(
INDEX(
GOOGLEFINANCE(""IDX:""&amp;A1367,""close"",TODAY()-365,TODAY()),
,2
),
{""linewidth"",1}
))
"),"#N/A")</f>
        <v>#N/A</v>
      </c>
      <c r="E1367" s="14" t="s">
        <v>102</v>
      </c>
      <c r="F1367" s="27" t="s">
        <v>53</v>
      </c>
      <c r="G1367" s="24">
        <f t="shared" si="8"/>
        <v>22</v>
      </c>
      <c r="H1367" s="19">
        <f>VLOOKUP(A1367,Metrik!$C$2:$Y$959,8,0)</f>
        <v>10.7</v>
      </c>
      <c r="I1367" s="20">
        <f>VLOOKUP(A1367,Metrik!$C$2:$Y$959,9,0)</f>
        <v>0.7</v>
      </c>
      <c r="J1367" s="20">
        <f>VLOOKUP(A1367,Metrik!$C$2:$Y$959,10,0)</f>
        <v>6.5</v>
      </c>
      <c r="K1367" s="20">
        <f>VLOOKUP(A1367,Metrik!$C$2:$Y$959,11,0)</f>
        <v>3.9</v>
      </c>
      <c r="L1367" s="20">
        <f>VLOOKUP(A1367,Metrik!$C$2:$Y$959,12,0)</f>
        <v>0.66</v>
      </c>
      <c r="M1367" s="20">
        <f>VLOOKUP(A1367,Metrik!$C$2:$Y$959,19,0)</f>
        <v>26.1</v>
      </c>
      <c r="N1367" s="21"/>
      <c r="O1367" s="21"/>
      <c r="P1367" s="21"/>
      <c r="Q1367" s="21"/>
      <c r="R1367" s="21"/>
      <c r="S1367" s="21"/>
      <c r="T1367" s="21"/>
      <c r="U1367" s="22">
        <f>IFERROR(__xludf.DUMMYFUNCTION("IFERROR(GOOGLEFINANCE(A1367,""closeyest""),"""")"),1500.0)</f>
        <v>1500</v>
      </c>
      <c r="V1367" s="23">
        <f>IFERROR(__xludf.DUMMYFUNCTION("IFERROR(GOOGLEFINANCE(A1367,""changepct""),"""")"),2.0)</f>
        <v>2</v>
      </c>
      <c r="W1367" s="22">
        <f>IFERROR(__xludf.DUMMYFUNCTION("IFERROR(GOOGLEFINANCE(A1367,""priceopen""),"""")"),1550.0)</f>
        <v>1550</v>
      </c>
      <c r="X1367" s="22">
        <f>IFERROR(__xludf.DUMMYFUNCTION("IFERROR(GOOGLEFINANCE(A1367,""high""),"""")"),1560.0)</f>
        <v>1560</v>
      </c>
      <c r="Y1367" s="22">
        <f>IFERROR(__xludf.DUMMYFUNCTION("IFERROR(GOOGLEFINANCE(A1367,""low""),"""")"),1510.0)</f>
        <v>1510</v>
      </c>
      <c r="Z1367" s="22" t="str">
        <f>IFERROR(__xludf.DUMMYFUNCTION("IFERROR(GOOGLEFINANCE(A1367,""volume""),"""")"),"")</f>
        <v/>
      </c>
      <c r="AA1367" s="24" t="str">
        <f>VLOOKUP(A1367,Metrik!$C$2:$Y$959,5,0)</f>
        <v>Oil &amp; Gas</v>
      </c>
      <c r="AB1367" s="24" t="str">
        <f>VLOOKUP(A1367,Metrik!$C$2:$Y$959,3,0)</f>
        <v>Energy</v>
      </c>
    </row>
    <row r="1368">
      <c r="A1368" s="14" t="s">
        <v>739</v>
      </c>
      <c r="B1368" s="14" t="str">
        <f t="array" ref="B1368">VLOOKUP(A1368,{Metrik!$C$2:$C$998,Metrik!$B$2:$B$998},2,0)</f>
        <v>Perusahaan Gas Negara (Persero) Tbk.</v>
      </c>
      <c r="C1368" s="15">
        <f>IFERROR(__xludf.DUMMYFUNCTION("GOOGLEFINANCE(""IDX:""&amp;A1368,""price"")"),1530.0)</f>
        <v>1530</v>
      </c>
      <c r="D1368" s="16" t="str">
        <f>IFERROR(__xludf.DUMMYFUNCTION("IF(A1368="""","""",
SPARKLINE(
INDEX(
GOOGLEFINANCE(""IDX:""&amp;A1368,""close"",TODAY()-365,TODAY()),
,2
),
{""linewidth"",1}
))
"),"#N/A")</f>
        <v>#N/A</v>
      </c>
      <c r="E1368" s="14" t="s">
        <v>41</v>
      </c>
      <c r="F1368" s="14" t="s">
        <v>34</v>
      </c>
      <c r="G1368" s="24">
        <f t="shared" si="8"/>
        <v>22</v>
      </c>
      <c r="H1368" s="19">
        <f>VLOOKUP(A1368,Metrik!$C$2:$Y$959,8,0)</f>
        <v>10.7</v>
      </c>
      <c r="I1368" s="20">
        <f>VLOOKUP(A1368,Metrik!$C$2:$Y$959,9,0)</f>
        <v>0.7</v>
      </c>
      <c r="J1368" s="20">
        <f>VLOOKUP(A1368,Metrik!$C$2:$Y$959,10,0)</f>
        <v>6.5</v>
      </c>
      <c r="K1368" s="20">
        <f>VLOOKUP(A1368,Metrik!$C$2:$Y$959,11,0)</f>
        <v>3.9</v>
      </c>
      <c r="L1368" s="20">
        <f>VLOOKUP(A1368,Metrik!$C$2:$Y$959,12,0)</f>
        <v>0.66</v>
      </c>
      <c r="M1368" s="20">
        <f>VLOOKUP(A1368,Metrik!$C$2:$Y$959,19,0)</f>
        <v>26.1</v>
      </c>
      <c r="N1368" s="21"/>
      <c r="O1368" s="21"/>
      <c r="P1368" s="21"/>
      <c r="Q1368" s="21"/>
      <c r="R1368" s="21"/>
      <c r="S1368" s="21"/>
      <c r="T1368" s="21"/>
      <c r="U1368" s="22">
        <f>IFERROR(__xludf.DUMMYFUNCTION("IFERROR(GOOGLEFINANCE(A1368,""closeyest""),"""")"),1500.0)</f>
        <v>1500</v>
      </c>
      <c r="V1368" s="23">
        <f>IFERROR(__xludf.DUMMYFUNCTION("IFERROR(GOOGLEFINANCE(A1368,""changepct""),"""")"),2.0)</f>
        <v>2</v>
      </c>
      <c r="W1368" s="22">
        <f>IFERROR(__xludf.DUMMYFUNCTION("IFERROR(GOOGLEFINANCE(A1368,""priceopen""),"""")"),1550.0)</f>
        <v>1550</v>
      </c>
      <c r="X1368" s="22">
        <f>IFERROR(__xludf.DUMMYFUNCTION("IFERROR(GOOGLEFINANCE(A1368,""high""),"""")"),1560.0)</f>
        <v>1560</v>
      </c>
      <c r="Y1368" s="22">
        <f>IFERROR(__xludf.DUMMYFUNCTION("IFERROR(GOOGLEFINANCE(A1368,""low""),"""")"),1510.0)</f>
        <v>1510</v>
      </c>
      <c r="Z1368" s="22" t="str">
        <f>IFERROR(__xludf.DUMMYFUNCTION("IFERROR(GOOGLEFINANCE(A1368,""volume""),"""")"),"")</f>
        <v/>
      </c>
      <c r="AA1368" s="24" t="str">
        <f>VLOOKUP(A1368,Metrik!$C$2:$Y$959,5,0)</f>
        <v>Oil &amp; Gas</v>
      </c>
      <c r="AB1368" s="24" t="str">
        <f>VLOOKUP(A1368,Metrik!$C$2:$Y$959,3,0)</f>
        <v>Energy</v>
      </c>
    </row>
    <row r="1369">
      <c r="A1369" s="17" t="s">
        <v>739</v>
      </c>
      <c r="B1369" s="14" t="str">
        <f t="array" ref="B1369">VLOOKUP(A1369,{Metrik!$C$2:$C$998,Metrik!$B$2:$B$998},2,0)</f>
        <v>Perusahaan Gas Negara (Persero) Tbk.</v>
      </c>
      <c r="C1369" s="15">
        <f>IFERROR(__xludf.DUMMYFUNCTION("GOOGLEFINANCE(""IDX:""&amp;A1369,""price"")"),1530.0)</f>
        <v>1530</v>
      </c>
      <c r="D1369" s="16" t="str">
        <f>IFERROR(__xludf.DUMMYFUNCTION("IF(A1369="""","""",
SPARKLINE(
INDEX(
GOOGLEFINANCE(""IDX:""&amp;A1369,""close"",TODAY()-365,TODAY()),
,2
),
{""linewidth"",1}
))
"),"#N/A")</f>
        <v>#N/A</v>
      </c>
      <c r="E1369" s="14" t="s">
        <v>67</v>
      </c>
      <c r="F1369" s="17" t="s">
        <v>51</v>
      </c>
      <c r="G1369" s="33">
        <f>COUNTIFS($B$2:$B$1931,B1369,$E$2:$E$1931,"&lt;&gt;")</f>
        <v>22</v>
      </c>
      <c r="H1369" s="19">
        <f>VLOOKUP(A1369,Metrik!$C$2:$Y$959,8,0)</f>
        <v>10.7</v>
      </c>
      <c r="I1369" s="20">
        <f>VLOOKUP(A1369,Metrik!$C$2:$Y$959,9,0)</f>
        <v>0.7</v>
      </c>
      <c r="J1369" s="20">
        <f>VLOOKUP(A1369,Metrik!$C$2:$Y$959,10,0)</f>
        <v>6.5</v>
      </c>
      <c r="K1369" s="20">
        <f>VLOOKUP(A1369,Metrik!$C$2:$Y$959,11,0)</f>
        <v>3.9</v>
      </c>
      <c r="L1369" s="20">
        <f>VLOOKUP(A1369,Metrik!$C$2:$Y$959,12,0)</f>
        <v>0.66</v>
      </c>
      <c r="M1369" s="20">
        <f>VLOOKUP(A1369,Metrik!$C$2:$Y$959,19,0)</f>
        <v>26.1</v>
      </c>
      <c r="N1369" s="46"/>
      <c r="O1369" s="46"/>
      <c r="P1369" s="46"/>
      <c r="Q1369" s="46"/>
      <c r="R1369" s="46"/>
      <c r="S1369" s="46"/>
      <c r="T1369" s="46"/>
      <c r="U1369" s="22">
        <f>IFERROR(__xludf.DUMMYFUNCTION("IFERROR(GOOGLEFINANCE(A1369,""closeyest""),"""")"),1500.0)</f>
        <v>1500</v>
      </c>
      <c r="V1369" s="23">
        <f>IFERROR(__xludf.DUMMYFUNCTION("IFERROR(GOOGLEFINANCE(A1369,""changepct""),"""")"),2.0)</f>
        <v>2</v>
      </c>
      <c r="W1369" s="22">
        <f>IFERROR(__xludf.DUMMYFUNCTION("IFERROR(GOOGLEFINANCE(A1369,""priceopen""),"""")"),1550.0)</f>
        <v>1550</v>
      </c>
      <c r="X1369" s="22">
        <f>IFERROR(__xludf.DUMMYFUNCTION("IFERROR(GOOGLEFINANCE(A1369,""high""),"""")"),1560.0)</f>
        <v>1560</v>
      </c>
      <c r="Y1369" s="22">
        <f>IFERROR(__xludf.DUMMYFUNCTION("IFERROR(GOOGLEFINANCE(A1369,""low""),"""")"),1510.0)</f>
        <v>1510</v>
      </c>
      <c r="Z1369" s="22" t="str">
        <f>IFERROR(__xludf.DUMMYFUNCTION("IFERROR(GOOGLEFINANCE(A1369,""volume""),"""")"),"")</f>
        <v/>
      </c>
      <c r="AA1369" s="24" t="str">
        <f>VLOOKUP(A1369,Metrik!$C$2:$Y$959,5,0)</f>
        <v>Oil &amp; Gas</v>
      </c>
      <c r="AB1369" s="24" t="str">
        <f>VLOOKUP(A1369,Metrik!$C$2:$Y$959,3,0)</f>
        <v>Energy</v>
      </c>
    </row>
    <row r="1370">
      <c r="A1370" s="48" t="s">
        <v>739</v>
      </c>
      <c r="B1370" s="14" t="str">
        <f t="array" ref="B1370">VLOOKUP(A1370,{Metrik!$C$2:$C$998,Metrik!$B$2:$B$998},2,0)</f>
        <v>Perusahaan Gas Negara (Persero) Tbk.</v>
      </c>
      <c r="C1370" s="15">
        <f>IFERROR(__xludf.DUMMYFUNCTION("GOOGLEFINANCE(""IDX:""&amp;A1370,""price"")"),1530.0)</f>
        <v>1530</v>
      </c>
      <c r="D1370" s="16" t="str">
        <f>IFERROR(__xludf.DUMMYFUNCTION("IF(A1370="""","""",
SPARKLINE(
INDEX(
GOOGLEFINANCE(""IDX:""&amp;A1370,""close"",TODAY()-365,TODAY()),
,2
),
{""linewidth"",1}
))
"),"#N/A")</f>
        <v>#N/A</v>
      </c>
      <c r="E1370" s="17" t="s">
        <v>69</v>
      </c>
      <c r="F1370" s="17" t="s">
        <v>70</v>
      </c>
      <c r="G1370" s="24">
        <f t="shared" ref="G1370:G1673" si="9">COUNTIFS($B$2:$B$1937,B1370,$E$2:$E$1937,"&lt;&gt;")</f>
        <v>22</v>
      </c>
      <c r="H1370" s="19">
        <f>VLOOKUP(A1370,Metrik!$C$2:$Y$959,8,0)</f>
        <v>10.7</v>
      </c>
      <c r="I1370" s="20">
        <f>VLOOKUP(A1370,Metrik!$C$2:$Y$959,9,0)</f>
        <v>0.7</v>
      </c>
      <c r="J1370" s="20">
        <f>VLOOKUP(A1370,Metrik!$C$2:$Y$959,10,0)</f>
        <v>6.5</v>
      </c>
      <c r="K1370" s="20">
        <f>VLOOKUP(A1370,Metrik!$C$2:$Y$959,11,0)</f>
        <v>3.9</v>
      </c>
      <c r="L1370" s="20">
        <f>VLOOKUP(A1370,Metrik!$C$2:$Y$959,12,0)</f>
        <v>0.66</v>
      </c>
      <c r="M1370" s="20">
        <f>VLOOKUP(A1370,Metrik!$C$2:$Y$959,19,0)</f>
        <v>26.1</v>
      </c>
      <c r="N1370" s="21"/>
      <c r="O1370" s="21"/>
      <c r="P1370" s="21"/>
      <c r="Q1370" s="21"/>
      <c r="R1370" s="21"/>
      <c r="S1370" s="21"/>
      <c r="T1370" s="21"/>
      <c r="U1370" s="22">
        <f>IFERROR(__xludf.DUMMYFUNCTION("IFERROR(GOOGLEFINANCE(A1370,""closeyest""),"""")"),1500.0)</f>
        <v>1500</v>
      </c>
      <c r="V1370" s="23">
        <f>IFERROR(__xludf.DUMMYFUNCTION("IFERROR(GOOGLEFINANCE(A1370,""changepct""),"""")"),2.0)</f>
        <v>2</v>
      </c>
      <c r="W1370" s="22">
        <f>IFERROR(__xludf.DUMMYFUNCTION("IFERROR(GOOGLEFINANCE(A1370,""priceopen""),"""")"),1550.0)</f>
        <v>1550</v>
      </c>
      <c r="X1370" s="22">
        <f>IFERROR(__xludf.DUMMYFUNCTION("IFERROR(GOOGLEFINANCE(A1370,""high""),"""")"),1560.0)</f>
        <v>1560</v>
      </c>
      <c r="Y1370" s="22">
        <f>IFERROR(__xludf.DUMMYFUNCTION("IFERROR(GOOGLEFINANCE(A1370,""low""),"""")"),1510.0)</f>
        <v>1510</v>
      </c>
      <c r="Z1370" s="22" t="str">
        <f>IFERROR(__xludf.DUMMYFUNCTION("IFERROR(GOOGLEFINANCE(A1370,""volume""),"""")"),"")</f>
        <v/>
      </c>
      <c r="AA1370" s="24" t="str">
        <f>VLOOKUP(A1370,Metrik!$C$2:$Y$959,5,0)</f>
        <v>Oil &amp; Gas</v>
      </c>
      <c r="AB1370" s="24" t="str">
        <f>VLOOKUP(A1370,Metrik!$C$2:$Y$959,3,0)</f>
        <v>Energy</v>
      </c>
    </row>
    <row r="1371">
      <c r="A1371" s="17" t="s">
        <v>739</v>
      </c>
      <c r="B1371" s="14" t="str">
        <f t="array" ref="B1371">VLOOKUP(A1371,{Metrik!$C$2:$C$998,Metrik!$B$2:$B$998},2,0)</f>
        <v>Perusahaan Gas Negara (Persero) Tbk.</v>
      </c>
      <c r="C1371" s="15">
        <f>IFERROR(__xludf.DUMMYFUNCTION("GOOGLEFINANCE(""IDX:""&amp;A1371,""price"")"),1530.0)</f>
        <v>1530</v>
      </c>
      <c r="D1371" s="16" t="str">
        <f>IFERROR(__xludf.DUMMYFUNCTION("IF(A1371="""","""",
SPARKLINE(
INDEX(
GOOGLEFINANCE(""IDX:""&amp;A1371,""close"",TODAY()-365,TODAY()),
,2
),
{""linewidth"",1}
))
"),"#N/A")</f>
        <v>#N/A</v>
      </c>
      <c r="E1371" s="14" t="s">
        <v>35</v>
      </c>
      <c r="F1371" s="17" t="s">
        <v>36</v>
      </c>
      <c r="G1371" s="38">
        <f t="shared" si="9"/>
        <v>22</v>
      </c>
      <c r="H1371" s="34">
        <f>VLOOKUP(A1371,Metrik!$C$2:$Y$959,8,0)</f>
        <v>10.7</v>
      </c>
      <c r="I1371" s="34">
        <f>VLOOKUP(A1371,Metrik!$C$2:$Y$959,9,0)</f>
        <v>0.7</v>
      </c>
      <c r="J1371" s="34">
        <f>VLOOKUP(A1371,Metrik!$C$2:$Y$959,10,0)</f>
        <v>6.5</v>
      </c>
      <c r="K1371" s="34">
        <f>VLOOKUP(A1371,Metrik!$C$2:$Y$959,11,0)</f>
        <v>3.9</v>
      </c>
      <c r="L1371" s="34">
        <f>VLOOKUP(A1371,Metrik!$C$2:$Y$959,12,0)</f>
        <v>0.66</v>
      </c>
      <c r="M1371" s="34">
        <f>VLOOKUP(A1371,Metrik!$C$2:$Y$959,19,0)</f>
        <v>26.1</v>
      </c>
      <c r="N1371" s="45">
        <v>5.4</v>
      </c>
      <c r="O1371" s="45">
        <v>23.2</v>
      </c>
      <c r="P1371" s="45">
        <v>83.0</v>
      </c>
      <c r="Q1371" s="45">
        <v>1.9</v>
      </c>
      <c r="R1371" s="45">
        <v>65.9</v>
      </c>
      <c r="S1371" s="45">
        <v>42.4</v>
      </c>
      <c r="T1371" s="45">
        <v>5.9</v>
      </c>
      <c r="U1371" s="35">
        <f>IFERROR(__xludf.DUMMYFUNCTION("IFERROR(GOOGLEFINANCE(A1371,""closeyest""),"""")"),1500.0)</f>
        <v>1500</v>
      </c>
      <c r="V1371" s="36">
        <f>IFERROR(__xludf.DUMMYFUNCTION("IFERROR(GOOGLEFINANCE(A1371,""changepct""),"""")"),2.0)</f>
        <v>2</v>
      </c>
      <c r="W1371" s="49">
        <f>IFERROR(__xludf.DUMMYFUNCTION("IFERROR(GOOGLEFINANCE(A1371,""priceopen""),"""")"),1550.0)</f>
        <v>1550</v>
      </c>
      <c r="X1371" s="35">
        <f>IFERROR(__xludf.DUMMYFUNCTION("IFERROR(GOOGLEFINANCE(A1371,""high""),"""")"),1560.0)</f>
        <v>1560</v>
      </c>
      <c r="Y1371" s="35">
        <f>IFERROR(__xludf.DUMMYFUNCTION("IFERROR(GOOGLEFINANCE(A1371,""low""),"""")"),1510.0)</f>
        <v>1510</v>
      </c>
      <c r="Z1371" s="35" t="str">
        <f>IFERROR(__xludf.DUMMYFUNCTION("IFERROR(GOOGLEFINANCE(A1371,""volume""),"""")"),"")</f>
        <v/>
      </c>
      <c r="AA1371" s="14" t="str">
        <f>VLOOKUP(A1371,Metrik!$C$2:$Y$959,5,0)</f>
        <v>Oil &amp; Gas</v>
      </c>
      <c r="AB1371" s="14" t="str">
        <f>VLOOKUP(A1371,Metrik!$C$2:$Y$959,3,0)</f>
        <v>Energy</v>
      </c>
    </row>
    <row r="1372">
      <c r="A1372" s="14" t="s">
        <v>739</v>
      </c>
      <c r="B1372" s="14" t="str">
        <f t="array" ref="B1372">VLOOKUP(A1372,{Metrik!$C$2:$C$998,Metrik!$B$2:$B$998},2,0)</f>
        <v>Perusahaan Gas Negara (Persero) Tbk.</v>
      </c>
      <c r="C1372" s="15">
        <f>IFERROR(__xludf.DUMMYFUNCTION("GOOGLEFINANCE(""IDX:""&amp;A1372,""price"")"),1530.0)</f>
        <v>1530</v>
      </c>
      <c r="D1372" s="16" t="str">
        <f>IFERROR(__xludf.DUMMYFUNCTION("IF(A1372="""","""",
SPARKLINE(
INDEX(
GOOGLEFINANCE(""IDX:""&amp;A1372,""close"",TODAY()-365,TODAY()),
,2
),
{""linewidth"",1}
))
"),"#N/A")</f>
        <v>#N/A</v>
      </c>
      <c r="E1372" s="14" t="s">
        <v>86</v>
      </c>
      <c r="F1372" s="25">
        <v>46356.0</v>
      </c>
      <c r="G1372" s="24">
        <f t="shared" si="9"/>
        <v>22</v>
      </c>
      <c r="H1372" s="19">
        <f>VLOOKUP(A1372,Metrik!$C$2:$Y$959,8,0)</f>
        <v>10.7</v>
      </c>
      <c r="I1372" s="20">
        <f>VLOOKUP(A1372,Metrik!$C$2:$Y$959,9,0)</f>
        <v>0.7</v>
      </c>
      <c r="J1372" s="20">
        <f>VLOOKUP(A1372,Metrik!$C$2:$Y$959,10,0)</f>
        <v>6.5</v>
      </c>
      <c r="K1372" s="20">
        <f>VLOOKUP(A1372,Metrik!$C$2:$Y$959,11,0)</f>
        <v>3.9</v>
      </c>
      <c r="L1372" s="20">
        <f>VLOOKUP(A1372,Metrik!$C$2:$Y$959,12,0)</f>
        <v>0.66</v>
      </c>
      <c r="M1372" s="20">
        <f>VLOOKUP(A1372,Metrik!$C$2:$Y$959,19,0)</f>
        <v>26.1</v>
      </c>
      <c r="N1372" s="21"/>
      <c r="O1372" s="21"/>
      <c r="P1372" s="21"/>
      <c r="Q1372" s="21"/>
      <c r="R1372" s="21"/>
      <c r="S1372" s="21"/>
      <c r="T1372" s="21"/>
      <c r="U1372" s="22">
        <f>IFERROR(__xludf.DUMMYFUNCTION("IFERROR(GOOGLEFINANCE(A1372,""closeyest""),"""")"),1500.0)</f>
        <v>1500</v>
      </c>
      <c r="V1372" s="23">
        <f>IFERROR(__xludf.DUMMYFUNCTION("IFERROR(GOOGLEFINANCE(A1372,""changepct""),"""")"),2.0)</f>
        <v>2</v>
      </c>
      <c r="W1372" s="22">
        <f>IFERROR(__xludf.DUMMYFUNCTION("IFERROR(GOOGLEFINANCE(A1372,""priceopen""),"""")"),1550.0)</f>
        <v>1550</v>
      </c>
      <c r="X1372" s="22">
        <f>IFERROR(__xludf.DUMMYFUNCTION("IFERROR(GOOGLEFINANCE(A1372,""high""),"""")"),1560.0)</f>
        <v>1560</v>
      </c>
      <c r="Y1372" s="22">
        <f>IFERROR(__xludf.DUMMYFUNCTION("IFERROR(GOOGLEFINANCE(A1372,""low""),"""")"),1510.0)</f>
        <v>1510</v>
      </c>
      <c r="Z1372" s="22" t="str">
        <f>IFERROR(__xludf.DUMMYFUNCTION("IFERROR(GOOGLEFINANCE(A1372,""volume""),"""")"),"")</f>
        <v/>
      </c>
      <c r="AA1372" s="24" t="str">
        <f>VLOOKUP(A1372,Metrik!$C$2:$Y$959,5,0)</f>
        <v>Oil &amp; Gas</v>
      </c>
      <c r="AB1372" s="24" t="str">
        <f>VLOOKUP(A1372,Metrik!$C$2:$Y$959,3,0)</f>
        <v>Energy</v>
      </c>
    </row>
    <row r="1373">
      <c r="A1373" s="14" t="s">
        <v>739</v>
      </c>
      <c r="B1373" s="14" t="str">
        <f t="array" ref="B1373">VLOOKUP(A1373,{Metrik!$C$2:$C$998,Metrik!$B$2:$B$998},2,0)</f>
        <v>Perusahaan Gas Negara (Persero) Tbk.</v>
      </c>
      <c r="C1373" s="15">
        <f>IFERROR(__xludf.DUMMYFUNCTION("GOOGLEFINANCE(""IDX:""&amp;A1373,""price"")"),1530.0)</f>
        <v>1530</v>
      </c>
      <c r="D1373" s="16" t="str">
        <f>IFERROR(__xludf.DUMMYFUNCTION("IF(A1373="""","""",
SPARKLINE(
INDEX(
GOOGLEFINANCE(""IDX:""&amp;A1373,""close"",TODAY()-365,TODAY()),
,2
),
{""linewidth"",1}
))
"),"#N/A")</f>
        <v>#N/A</v>
      </c>
      <c r="E1373" s="14" t="s">
        <v>39</v>
      </c>
      <c r="F1373" s="25">
        <v>46356.0</v>
      </c>
      <c r="G1373" s="24">
        <f t="shared" si="9"/>
        <v>22</v>
      </c>
      <c r="H1373" s="19">
        <f>VLOOKUP(A1373,Metrik!$C$2:$Y$959,8,0)</f>
        <v>10.7</v>
      </c>
      <c r="I1373" s="20">
        <f>VLOOKUP(A1373,Metrik!$C$2:$Y$959,9,0)</f>
        <v>0.7</v>
      </c>
      <c r="J1373" s="20">
        <f>VLOOKUP(A1373,Metrik!$C$2:$Y$959,10,0)</f>
        <v>6.5</v>
      </c>
      <c r="K1373" s="20">
        <f>VLOOKUP(A1373,Metrik!$C$2:$Y$959,11,0)</f>
        <v>3.9</v>
      </c>
      <c r="L1373" s="20">
        <f>VLOOKUP(A1373,Metrik!$C$2:$Y$959,12,0)</f>
        <v>0.66</v>
      </c>
      <c r="M1373" s="20">
        <f>VLOOKUP(A1373,Metrik!$C$2:$Y$959,19,0)</f>
        <v>26.1</v>
      </c>
      <c r="N1373" s="21"/>
      <c r="O1373" s="21"/>
      <c r="P1373" s="21"/>
      <c r="Q1373" s="21"/>
      <c r="R1373" s="21"/>
      <c r="S1373" s="21"/>
      <c r="T1373" s="21"/>
      <c r="U1373" s="22">
        <f>IFERROR(__xludf.DUMMYFUNCTION("IFERROR(GOOGLEFINANCE(A1373,""closeyest""),"""")"),1500.0)</f>
        <v>1500</v>
      </c>
      <c r="V1373" s="23">
        <f>IFERROR(__xludf.DUMMYFUNCTION("IFERROR(GOOGLEFINANCE(A1373,""changepct""),"""")"),2.0)</f>
        <v>2</v>
      </c>
      <c r="W1373" s="22">
        <f>IFERROR(__xludf.DUMMYFUNCTION("IFERROR(GOOGLEFINANCE(A1373,""priceopen""),"""")"),1550.0)</f>
        <v>1550</v>
      </c>
      <c r="X1373" s="22">
        <f>IFERROR(__xludf.DUMMYFUNCTION("IFERROR(GOOGLEFINANCE(A1373,""high""),"""")"),1560.0)</f>
        <v>1560</v>
      </c>
      <c r="Y1373" s="22">
        <f>IFERROR(__xludf.DUMMYFUNCTION("IFERROR(GOOGLEFINANCE(A1373,""low""),"""")"),1510.0)</f>
        <v>1510</v>
      </c>
      <c r="Z1373" s="22" t="str">
        <f>IFERROR(__xludf.DUMMYFUNCTION("IFERROR(GOOGLEFINANCE(A1373,""volume""),"""")"),"")</f>
        <v/>
      </c>
      <c r="AA1373" s="24" t="str">
        <f>VLOOKUP(A1373,Metrik!$C$2:$Y$959,5,0)</f>
        <v>Oil &amp; Gas</v>
      </c>
      <c r="AB1373" s="24" t="str">
        <f>VLOOKUP(A1373,Metrik!$C$2:$Y$959,3,0)</f>
        <v>Energy</v>
      </c>
    </row>
    <row r="1374">
      <c r="A1374" s="14" t="s">
        <v>740</v>
      </c>
      <c r="B1374" s="14" t="str">
        <f t="array" ref="B1374">VLOOKUP(A1374,{Metrik!$C$2:$C$998,Metrik!$B$2:$B$998},2,0)</f>
        <v>PT Pertamina Geothermal Energy Tbk</v>
      </c>
      <c r="C1374" s="15">
        <f>IFERROR(__xludf.DUMMYFUNCTION("GOOGLEFINANCE(""IDX:""&amp;A1374,""price"")"),865.0)</f>
        <v>865</v>
      </c>
      <c r="D1374" s="16" t="str">
        <f>IFERROR(__xludf.DUMMYFUNCTION("IF(A1374="""","""",
SPARKLINE(
INDEX(
GOOGLEFINANCE(""IDX:""&amp;A1374,""close"",TODAY()-365,TODAY()),
,2
),
{""linewidth"",1}
))
"),"#N/A")</f>
        <v>#N/A</v>
      </c>
      <c r="E1374" s="14" t="s">
        <v>47</v>
      </c>
      <c r="F1374" s="25">
        <v>46356.0</v>
      </c>
      <c r="G1374" s="24">
        <f t="shared" si="9"/>
        <v>13</v>
      </c>
      <c r="H1374" s="19">
        <f>VLOOKUP(A1374,Metrik!$C$2:$Y$959,8,0)</f>
        <v>14.8</v>
      </c>
      <c r="I1374" s="20">
        <f>VLOOKUP(A1374,Metrik!$C$2:$Y$959,9,0)</f>
        <v>1.1</v>
      </c>
      <c r="J1374" s="20">
        <f>VLOOKUP(A1374,Metrik!$C$2:$Y$959,10,0)</f>
        <v>7.1</v>
      </c>
      <c r="K1374" s="20">
        <f>VLOOKUP(A1374,Metrik!$C$2:$Y$959,11,0)</f>
        <v>4.9</v>
      </c>
      <c r="L1374" s="20">
        <f>VLOOKUP(A1374,Metrik!$C$2:$Y$959,12,0)</f>
        <v>0.46</v>
      </c>
      <c r="M1374" s="20">
        <f>VLOOKUP(A1374,Metrik!$C$2:$Y$959,19,0)</f>
        <v>130</v>
      </c>
      <c r="N1374" s="21"/>
      <c r="O1374" s="21"/>
      <c r="P1374" s="21"/>
      <c r="Q1374" s="21"/>
      <c r="R1374" s="21"/>
      <c r="S1374" s="21"/>
      <c r="T1374" s="21"/>
      <c r="U1374" s="22">
        <f>IFERROR(__xludf.DUMMYFUNCTION("IFERROR(GOOGLEFINANCE(A1374,""closeyest""),"""")"),825.0)</f>
        <v>825</v>
      </c>
      <c r="V1374" s="23">
        <f>IFERROR(__xludf.DUMMYFUNCTION("IFERROR(GOOGLEFINANCE(A1374,""changepct""),"""")"),4.85)</f>
        <v>4.85</v>
      </c>
      <c r="W1374" s="22" t="str">
        <f>IFERROR(__xludf.DUMMYFUNCTION("IFERROR(GOOGLEFINANCE(A1374,""priceopen""),"""")"),"")</f>
        <v/>
      </c>
      <c r="X1374" s="22">
        <f>IFERROR(__xludf.DUMMYFUNCTION("IFERROR(GOOGLEFINANCE(A1374,""high""),"""")"),875.0)</f>
        <v>875</v>
      </c>
      <c r="Y1374" s="22">
        <f>IFERROR(__xludf.DUMMYFUNCTION("IFERROR(GOOGLEFINANCE(A1374,""low""),"""")"),840.0)</f>
        <v>840</v>
      </c>
      <c r="Z1374" s="22">
        <f>IFERROR(__xludf.DUMMYFUNCTION("IFERROR(GOOGLEFINANCE(A1374,""volume""),"""")"),1.15913E7)</f>
        <v>11591300</v>
      </c>
      <c r="AA1374" s="24" t="str">
        <f>VLOOKUP(A1374,Metrik!$C$2:$Y$959,5,0)</f>
        <v>Electric Utilities</v>
      </c>
      <c r="AB1374" s="24" t="str">
        <f>VLOOKUP(A1374,Metrik!$C$2:$Y$959,3,0)</f>
        <v>Infrastructures</v>
      </c>
    </row>
    <row r="1375">
      <c r="A1375" s="14" t="s">
        <v>740</v>
      </c>
      <c r="B1375" s="14" t="str">
        <f t="array" ref="B1375">VLOOKUP(A1375,{Metrik!$C$2:$C$998,Metrik!$B$2:$B$998},2,0)</f>
        <v>PT Pertamina Geothermal Energy Tbk</v>
      </c>
      <c r="C1375" s="15">
        <f>IFERROR(__xludf.DUMMYFUNCTION("GOOGLEFINANCE(""IDX:""&amp;A1375,""price"")"),865.0)</f>
        <v>865</v>
      </c>
      <c r="D1375" s="16" t="str">
        <f>IFERROR(__xludf.DUMMYFUNCTION("IF(A1375="""","""",
SPARKLINE(
INDEX(
GOOGLEFINANCE(""IDX:""&amp;A1375,""close"",TODAY()-365,TODAY()),
,2
),
{""linewidth"",1}
))
"),"#N/A")</f>
        <v>#N/A</v>
      </c>
      <c r="E1375" s="14" t="s">
        <v>55</v>
      </c>
      <c r="F1375" s="25">
        <v>46356.0</v>
      </c>
      <c r="G1375" s="24">
        <f t="shared" si="9"/>
        <v>13</v>
      </c>
      <c r="H1375" s="19">
        <f>VLOOKUP(A1375,Metrik!$C$2:$Y$959,8,0)</f>
        <v>14.8</v>
      </c>
      <c r="I1375" s="20">
        <f>VLOOKUP(A1375,Metrik!$C$2:$Y$959,9,0)</f>
        <v>1.1</v>
      </c>
      <c r="J1375" s="20">
        <f>VLOOKUP(A1375,Metrik!$C$2:$Y$959,10,0)</f>
        <v>7.1</v>
      </c>
      <c r="K1375" s="20">
        <f>VLOOKUP(A1375,Metrik!$C$2:$Y$959,11,0)</f>
        <v>4.9</v>
      </c>
      <c r="L1375" s="20">
        <f>VLOOKUP(A1375,Metrik!$C$2:$Y$959,12,0)</f>
        <v>0.46</v>
      </c>
      <c r="M1375" s="20">
        <f>VLOOKUP(A1375,Metrik!$C$2:$Y$959,19,0)</f>
        <v>130</v>
      </c>
      <c r="N1375" s="21"/>
      <c r="O1375" s="21"/>
      <c r="P1375" s="21"/>
      <c r="Q1375" s="21"/>
      <c r="R1375" s="21"/>
      <c r="S1375" s="21"/>
      <c r="T1375" s="21"/>
      <c r="U1375" s="22">
        <f>IFERROR(__xludf.DUMMYFUNCTION("IFERROR(GOOGLEFINANCE(A1375,""closeyest""),"""")"),825.0)</f>
        <v>825</v>
      </c>
      <c r="V1375" s="23">
        <f>IFERROR(__xludf.DUMMYFUNCTION("IFERROR(GOOGLEFINANCE(A1375,""changepct""),"""")"),4.85)</f>
        <v>4.85</v>
      </c>
      <c r="W1375" s="22" t="str">
        <f>IFERROR(__xludf.DUMMYFUNCTION("IFERROR(GOOGLEFINANCE(A1375,""priceopen""),"""")"),"")</f>
        <v/>
      </c>
      <c r="X1375" s="22">
        <f>IFERROR(__xludf.DUMMYFUNCTION("IFERROR(GOOGLEFINANCE(A1375,""high""),"""")"),875.0)</f>
        <v>875</v>
      </c>
      <c r="Y1375" s="22">
        <f>IFERROR(__xludf.DUMMYFUNCTION("IFERROR(GOOGLEFINANCE(A1375,""low""),"""")"),840.0)</f>
        <v>840</v>
      </c>
      <c r="Z1375" s="22">
        <f>IFERROR(__xludf.DUMMYFUNCTION("IFERROR(GOOGLEFINANCE(A1375,""volume""),"""")"),1.15913E7)</f>
        <v>11591300</v>
      </c>
      <c r="AA1375" s="24" t="str">
        <f>VLOOKUP(A1375,Metrik!$C$2:$Y$959,5,0)</f>
        <v>Electric Utilities</v>
      </c>
      <c r="AB1375" s="24" t="str">
        <f>VLOOKUP(A1375,Metrik!$C$2:$Y$959,3,0)</f>
        <v>Infrastructures</v>
      </c>
    </row>
    <row r="1376">
      <c r="A1376" s="14" t="s">
        <v>740</v>
      </c>
      <c r="B1376" s="14" t="str">
        <f t="array" ref="B1376">VLOOKUP(A1376,{Metrik!$C$2:$C$998,Metrik!$B$2:$B$998},2,0)</f>
        <v>PT Pertamina Geothermal Energy Tbk</v>
      </c>
      <c r="C1376" s="15">
        <f>IFERROR(__xludf.DUMMYFUNCTION("GOOGLEFINANCE(""IDX:""&amp;A1376,""price"")"),865.0)</f>
        <v>865</v>
      </c>
      <c r="D1376" s="16" t="str">
        <f>IFERROR(__xludf.DUMMYFUNCTION("IF(A1376="""","""",
SPARKLINE(
INDEX(
GOOGLEFINANCE(""IDX:""&amp;A1376,""close"",TODAY()-365,TODAY()),
,2
),
{""linewidth"",1}
))
"),"#N/A")</f>
        <v>#N/A</v>
      </c>
      <c r="E1376" s="14" t="s">
        <v>54</v>
      </c>
      <c r="F1376" s="14" t="s">
        <v>34</v>
      </c>
      <c r="G1376" s="24">
        <f t="shared" si="9"/>
        <v>13</v>
      </c>
      <c r="H1376" s="19">
        <f>VLOOKUP(A1376,Metrik!$C$2:$Y$959,8,0)</f>
        <v>14.8</v>
      </c>
      <c r="I1376" s="20">
        <f>VLOOKUP(A1376,Metrik!$C$2:$Y$959,9,0)</f>
        <v>1.1</v>
      </c>
      <c r="J1376" s="20">
        <f>VLOOKUP(A1376,Metrik!$C$2:$Y$959,10,0)</f>
        <v>7.1</v>
      </c>
      <c r="K1376" s="20">
        <f>VLOOKUP(A1376,Metrik!$C$2:$Y$959,11,0)</f>
        <v>4.9</v>
      </c>
      <c r="L1376" s="20">
        <f>VLOOKUP(A1376,Metrik!$C$2:$Y$959,12,0)</f>
        <v>0.46</v>
      </c>
      <c r="M1376" s="20">
        <f>VLOOKUP(A1376,Metrik!$C$2:$Y$959,19,0)</f>
        <v>130</v>
      </c>
      <c r="N1376" s="21"/>
      <c r="O1376" s="21"/>
      <c r="P1376" s="21"/>
      <c r="Q1376" s="21"/>
      <c r="R1376" s="21"/>
      <c r="S1376" s="21"/>
      <c r="T1376" s="21"/>
      <c r="U1376" s="22">
        <f>IFERROR(__xludf.DUMMYFUNCTION("IFERROR(GOOGLEFINANCE(A1376,""closeyest""),"""")"),825.0)</f>
        <v>825</v>
      </c>
      <c r="V1376" s="23">
        <f>IFERROR(__xludf.DUMMYFUNCTION("IFERROR(GOOGLEFINANCE(A1376,""changepct""),"""")"),4.85)</f>
        <v>4.85</v>
      </c>
      <c r="W1376" s="22" t="str">
        <f>IFERROR(__xludf.DUMMYFUNCTION("IFERROR(GOOGLEFINANCE(A1376,""priceopen""),"""")"),"")</f>
        <v/>
      </c>
      <c r="X1376" s="22">
        <f>IFERROR(__xludf.DUMMYFUNCTION("IFERROR(GOOGLEFINANCE(A1376,""high""),"""")"),875.0)</f>
        <v>875</v>
      </c>
      <c r="Y1376" s="22">
        <f>IFERROR(__xludf.DUMMYFUNCTION("IFERROR(GOOGLEFINANCE(A1376,""low""),"""")"),840.0)</f>
        <v>840</v>
      </c>
      <c r="Z1376" s="22">
        <f>IFERROR(__xludf.DUMMYFUNCTION("IFERROR(GOOGLEFINANCE(A1376,""volume""),"""")"),1.15913E7)</f>
        <v>11591300</v>
      </c>
      <c r="AA1376" s="24" t="str">
        <f>VLOOKUP(A1376,Metrik!$C$2:$Y$959,5,0)</f>
        <v>Electric Utilities</v>
      </c>
      <c r="AB1376" s="24" t="str">
        <f>VLOOKUP(A1376,Metrik!$C$2:$Y$959,3,0)</f>
        <v>Infrastructures</v>
      </c>
    </row>
    <row r="1377">
      <c r="A1377" s="14" t="s">
        <v>740</v>
      </c>
      <c r="B1377" s="14" t="str">
        <f t="array" ref="B1377">VLOOKUP(A1377,{Metrik!$C$2:$C$998,Metrik!$B$2:$B$998},2,0)</f>
        <v>PT Pertamina Geothermal Energy Tbk</v>
      </c>
      <c r="C1377" s="15">
        <f>IFERROR(__xludf.DUMMYFUNCTION("GOOGLEFINANCE(""IDX:""&amp;A1377,""price"")"),865.0)</f>
        <v>865</v>
      </c>
      <c r="D1377" s="16" t="str">
        <f>IFERROR(__xludf.DUMMYFUNCTION("IF(A1377="""","""",
SPARKLINE(
INDEX(
GOOGLEFINANCE(""IDX:""&amp;A1377,""close"",TODAY()-365,TODAY()),
,2
),
{""linewidth"",1}
))
"),"#N/A")</f>
        <v>#N/A</v>
      </c>
      <c r="E1377" s="14" t="s">
        <v>61</v>
      </c>
      <c r="F1377" s="14" t="s">
        <v>34</v>
      </c>
      <c r="G1377" s="24">
        <f t="shared" si="9"/>
        <v>13</v>
      </c>
      <c r="H1377" s="19">
        <f>VLOOKUP(A1377,Metrik!$C$2:$Y$959,8,0)</f>
        <v>14.8</v>
      </c>
      <c r="I1377" s="20">
        <f>VLOOKUP(A1377,Metrik!$C$2:$Y$959,9,0)</f>
        <v>1.1</v>
      </c>
      <c r="J1377" s="20">
        <f>VLOOKUP(A1377,Metrik!$C$2:$Y$959,10,0)</f>
        <v>7.1</v>
      </c>
      <c r="K1377" s="20">
        <f>VLOOKUP(A1377,Metrik!$C$2:$Y$959,11,0)</f>
        <v>4.9</v>
      </c>
      <c r="L1377" s="20">
        <f>VLOOKUP(A1377,Metrik!$C$2:$Y$959,12,0)</f>
        <v>0.46</v>
      </c>
      <c r="M1377" s="20">
        <f>VLOOKUP(A1377,Metrik!$C$2:$Y$959,19,0)</f>
        <v>130</v>
      </c>
      <c r="N1377" s="21"/>
      <c r="O1377" s="21"/>
      <c r="P1377" s="21"/>
      <c r="Q1377" s="21"/>
      <c r="R1377" s="21"/>
      <c r="S1377" s="21"/>
      <c r="T1377" s="21"/>
      <c r="U1377" s="22">
        <f>IFERROR(__xludf.DUMMYFUNCTION("IFERROR(GOOGLEFINANCE(A1377,""closeyest""),"""")"),825.0)</f>
        <v>825</v>
      </c>
      <c r="V1377" s="23">
        <f>IFERROR(__xludf.DUMMYFUNCTION("IFERROR(GOOGLEFINANCE(A1377,""changepct""),"""")"),4.85)</f>
        <v>4.85</v>
      </c>
      <c r="W1377" s="22" t="str">
        <f>IFERROR(__xludf.DUMMYFUNCTION("IFERROR(GOOGLEFINANCE(A1377,""priceopen""),"""")"),"")</f>
        <v/>
      </c>
      <c r="X1377" s="22">
        <f>IFERROR(__xludf.DUMMYFUNCTION("IFERROR(GOOGLEFINANCE(A1377,""high""),"""")"),875.0)</f>
        <v>875</v>
      </c>
      <c r="Y1377" s="22">
        <f>IFERROR(__xludf.DUMMYFUNCTION("IFERROR(GOOGLEFINANCE(A1377,""low""),"""")"),840.0)</f>
        <v>840</v>
      </c>
      <c r="Z1377" s="22">
        <f>IFERROR(__xludf.DUMMYFUNCTION("IFERROR(GOOGLEFINANCE(A1377,""volume""),"""")"),1.15913E7)</f>
        <v>11591300</v>
      </c>
      <c r="AA1377" s="24" t="str">
        <f>VLOOKUP(A1377,Metrik!$C$2:$Y$959,5,0)</f>
        <v>Electric Utilities</v>
      </c>
      <c r="AB1377" s="24" t="str">
        <f>VLOOKUP(A1377,Metrik!$C$2:$Y$959,3,0)</f>
        <v>Infrastructures</v>
      </c>
    </row>
    <row r="1378">
      <c r="A1378" s="14" t="s">
        <v>740</v>
      </c>
      <c r="B1378" s="14" t="str">
        <f t="array" ref="B1378">VLOOKUP(A1378,{Metrik!$C$2:$C$998,Metrik!$B$2:$B$998},2,0)</f>
        <v>PT Pertamina Geothermal Energy Tbk</v>
      </c>
      <c r="C1378" s="15">
        <f>IFERROR(__xludf.DUMMYFUNCTION("GOOGLEFINANCE(""IDX:""&amp;A1378,""price"")"),865.0)</f>
        <v>865</v>
      </c>
      <c r="D1378" s="16" t="str">
        <f>IFERROR(__xludf.DUMMYFUNCTION("IF(A1378="""","""",
SPARKLINE(
INDEX(
GOOGLEFINANCE(""IDX:""&amp;A1378,""close"",TODAY()-365,TODAY()),
,2
),
{""linewidth"",1}
))
"),"#N/A")</f>
        <v>#N/A</v>
      </c>
      <c r="E1378" s="14" t="s">
        <v>30</v>
      </c>
      <c r="F1378" s="17" t="s">
        <v>29</v>
      </c>
      <c r="G1378" s="24">
        <f t="shared" si="9"/>
        <v>13</v>
      </c>
      <c r="H1378" s="19">
        <f>VLOOKUP(A1378,Metrik!$C$2:$Y$959,8,0)</f>
        <v>14.8</v>
      </c>
      <c r="I1378" s="20">
        <f>VLOOKUP(A1378,Metrik!$C$2:$Y$959,9,0)</f>
        <v>1.1</v>
      </c>
      <c r="J1378" s="20">
        <f>VLOOKUP(A1378,Metrik!$C$2:$Y$959,10,0)</f>
        <v>7.1</v>
      </c>
      <c r="K1378" s="20">
        <f>VLOOKUP(A1378,Metrik!$C$2:$Y$959,11,0)</f>
        <v>4.9</v>
      </c>
      <c r="L1378" s="20">
        <f>VLOOKUP(A1378,Metrik!$C$2:$Y$959,12,0)</f>
        <v>0.46</v>
      </c>
      <c r="M1378" s="20">
        <f>VLOOKUP(A1378,Metrik!$C$2:$Y$959,19,0)</f>
        <v>130</v>
      </c>
      <c r="N1378" s="21"/>
      <c r="O1378" s="21"/>
      <c r="P1378" s="21"/>
      <c r="Q1378" s="21"/>
      <c r="R1378" s="21"/>
      <c r="S1378" s="21"/>
      <c r="T1378" s="21"/>
      <c r="U1378" s="22">
        <f>IFERROR(__xludf.DUMMYFUNCTION("IFERROR(GOOGLEFINANCE(A1378,""closeyest""),"""")"),825.0)</f>
        <v>825</v>
      </c>
      <c r="V1378" s="23">
        <f>IFERROR(__xludf.DUMMYFUNCTION("IFERROR(GOOGLEFINANCE(A1378,""changepct""),"""")"),4.85)</f>
        <v>4.85</v>
      </c>
      <c r="W1378" s="22" t="str">
        <f>IFERROR(__xludf.DUMMYFUNCTION("IFERROR(GOOGLEFINANCE(A1378,""priceopen""),"""")"),"")</f>
        <v/>
      </c>
      <c r="X1378" s="22">
        <f>IFERROR(__xludf.DUMMYFUNCTION("IFERROR(GOOGLEFINANCE(A1378,""high""),"""")"),875.0)</f>
        <v>875</v>
      </c>
      <c r="Y1378" s="22">
        <f>IFERROR(__xludf.DUMMYFUNCTION("IFERROR(GOOGLEFINANCE(A1378,""low""),"""")"),840.0)</f>
        <v>840</v>
      </c>
      <c r="Z1378" s="22">
        <f>IFERROR(__xludf.DUMMYFUNCTION("IFERROR(GOOGLEFINANCE(A1378,""volume""),"""")"),1.15913E7)</f>
        <v>11591300</v>
      </c>
      <c r="AA1378" s="24" t="str">
        <f>VLOOKUP(A1378,Metrik!$C$2:$Y$959,5,0)</f>
        <v>Electric Utilities</v>
      </c>
      <c r="AB1378" s="24" t="str">
        <f>VLOOKUP(A1378,Metrik!$C$2:$Y$959,3,0)</f>
        <v>Infrastructures</v>
      </c>
    </row>
    <row r="1379">
      <c r="A1379" s="14" t="s">
        <v>740</v>
      </c>
      <c r="B1379" s="14" t="str">
        <f t="array" ref="B1379">VLOOKUP(A1379,{Metrik!$C$2:$C$998,Metrik!$B$2:$B$998},2,0)</f>
        <v>PT Pertamina Geothermal Energy Tbk</v>
      </c>
      <c r="C1379" s="15">
        <f>IFERROR(__xludf.DUMMYFUNCTION("GOOGLEFINANCE(""IDX:""&amp;A1379,""price"")"),865.0)</f>
        <v>865</v>
      </c>
      <c r="D1379" s="16" t="str">
        <f>IFERROR(__xludf.DUMMYFUNCTION("IF(A1379="""","""",
SPARKLINE(
INDEX(
GOOGLEFINANCE(""IDX:""&amp;A1379,""close"",TODAY()-365,TODAY()),
,2
),
{""linewidth"",1}
))
"),"#N/A")</f>
        <v>#N/A</v>
      </c>
      <c r="E1379" s="14" t="s">
        <v>28</v>
      </c>
      <c r="F1379" s="17" t="s">
        <v>29</v>
      </c>
      <c r="G1379" s="24">
        <f t="shared" si="9"/>
        <v>13</v>
      </c>
      <c r="H1379" s="19">
        <f>VLOOKUP(A1379,Metrik!$C$2:$Y$959,8,0)</f>
        <v>14.8</v>
      </c>
      <c r="I1379" s="20">
        <f>VLOOKUP(A1379,Metrik!$C$2:$Y$959,9,0)</f>
        <v>1.1</v>
      </c>
      <c r="J1379" s="20">
        <f>VLOOKUP(A1379,Metrik!$C$2:$Y$959,10,0)</f>
        <v>7.1</v>
      </c>
      <c r="K1379" s="20">
        <f>VLOOKUP(A1379,Metrik!$C$2:$Y$959,11,0)</f>
        <v>4.9</v>
      </c>
      <c r="L1379" s="20">
        <f>VLOOKUP(A1379,Metrik!$C$2:$Y$959,12,0)</f>
        <v>0.46</v>
      </c>
      <c r="M1379" s="20">
        <f>VLOOKUP(A1379,Metrik!$C$2:$Y$959,19,0)</f>
        <v>130</v>
      </c>
      <c r="N1379" s="21"/>
      <c r="O1379" s="21"/>
      <c r="P1379" s="21"/>
      <c r="Q1379" s="21"/>
      <c r="R1379" s="21"/>
      <c r="S1379" s="21"/>
      <c r="T1379" s="21"/>
      <c r="U1379" s="22">
        <f>IFERROR(__xludf.DUMMYFUNCTION("IFERROR(GOOGLEFINANCE(A1379,""closeyest""),"""")"),825.0)</f>
        <v>825</v>
      </c>
      <c r="V1379" s="23">
        <f>IFERROR(__xludf.DUMMYFUNCTION("IFERROR(GOOGLEFINANCE(A1379,""changepct""),"""")"),4.85)</f>
        <v>4.85</v>
      </c>
      <c r="W1379" s="22" t="str">
        <f>IFERROR(__xludf.DUMMYFUNCTION("IFERROR(GOOGLEFINANCE(A1379,""priceopen""),"""")"),"")</f>
        <v/>
      </c>
      <c r="X1379" s="22">
        <f>IFERROR(__xludf.DUMMYFUNCTION("IFERROR(GOOGLEFINANCE(A1379,""high""),"""")"),875.0)</f>
        <v>875</v>
      </c>
      <c r="Y1379" s="22">
        <f>IFERROR(__xludf.DUMMYFUNCTION("IFERROR(GOOGLEFINANCE(A1379,""low""),"""")"),840.0)</f>
        <v>840</v>
      </c>
      <c r="Z1379" s="22">
        <f>IFERROR(__xludf.DUMMYFUNCTION("IFERROR(GOOGLEFINANCE(A1379,""volume""),"""")"),1.15913E7)</f>
        <v>11591300</v>
      </c>
      <c r="AA1379" s="24" t="str">
        <f>VLOOKUP(A1379,Metrik!$C$2:$Y$959,5,0)</f>
        <v>Electric Utilities</v>
      </c>
      <c r="AB1379" s="24" t="str">
        <f>VLOOKUP(A1379,Metrik!$C$2:$Y$959,3,0)</f>
        <v>Infrastructures</v>
      </c>
    </row>
    <row r="1380">
      <c r="A1380" s="14" t="s">
        <v>740</v>
      </c>
      <c r="B1380" s="14" t="str">
        <f t="array" ref="B1380">VLOOKUP(A1380,{Metrik!$C$2:$C$998,Metrik!$B$2:$B$998},2,0)</f>
        <v>PT Pertamina Geothermal Energy Tbk</v>
      </c>
      <c r="C1380" s="15">
        <f>IFERROR(__xludf.DUMMYFUNCTION("GOOGLEFINANCE(""IDX:""&amp;A1380,""price"")"),865.0)</f>
        <v>865</v>
      </c>
      <c r="D1380" s="16" t="str">
        <f>IFERROR(__xludf.DUMMYFUNCTION("IF(A1380="""","""",
SPARKLINE(
INDEX(
GOOGLEFINANCE(""IDX:""&amp;A1380,""close"",TODAY()-365,TODAY()),
,2
),
{""linewidth"",1}
))
"),"#N/A")</f>
        <v>#N/A</v>
      </c>
      <c r="E1380" s="14" t="s">
        <v>32</v>
      </c>
      <c r="F1380" s="14" t="s">
        <v>29</v>
      </c>
      <c r="G1380" s="24">
        <f t="shared" si="9"/>
        <v>13</v>
      </c>
      <c r="H1380" s="19">
        <f>VLOOKUP(A1380,Metrik!$C$2:$Y$959,8,0)</f>
        <v>14.8</v>
      </c>
      <c r="I1380" s="20">
        <f>VLOOKUP(A1380,Metrik!$C$2:$Y$959,9,0)</f>
        <v>1.1</v>
      </c>
      <c r="J1380" s="20">
        <f>VLOOKUP(A1380,Metrik!$C$2:$Y$959,10,0)</f>
        <v>7.1</v>
      </c>
      <c r="K1380" s="20">
        <f>VLOOKUP(A1380,Metrik!$C$2:$Y$959,11,0)</f>
        <v>4.9</v>
      </c>
      <c r="L1380" s="20">
        <f>VLOOKUP(A1380,Metrik!$C$2:$Y$959,12,0)</f>
        <v>0.46</v>
      </c>
      <c r="M1380" s="20">
        <f>VLOOKUP(A1380,Metrik!$C$2:$Y$959,19,0)</f>
        <v>130</v>
      </c>
      <c r="N1380" s="21"/>
      <c r="O1380" s="21"/>
      <c r="P1380" s="21"/>
      <c r="Q1380" s="21"/>
      <c r="R1380" s="21"/>
      <c r="S1380" s="21"/>
      <c r="T1380" s="21"/>
      <c r="U1380" s="22">
        <f>IFERROR(__xludf.DUMMYFUNCTION("IFERROR(GOOGLEFINANCE(A1380,""closeyest""),"""")"),825.0)</f>
        <v>825</v>
      </c>
      <c r="V1380" s="23">
        <f>IFERROR(__xludf.DUMMYFUNCTION("IFERROR(GOOGLEFINANCE(A1380,""changepct""),"""")"),4.85)</f>
        <v>4.85</v>
      </c>
      <c r="W1380" s="22" t="str">
        <f>IFERROR(__xludf.DUMMYFUNCTION("IFERROR(GOOGLEFINANCE(A1380,""priceopen""),"""")"),"")</f>
        <v/>
      </c>
      <c r="X1380" s="22">
        <f>IFERROR(__xludf.DUMMYFUNCTION("IFERROR(GOOGLEFINANCE(A1380,""high""),"""")"),875.0)</f>
        <v>875</v>
      </c>
      <c r="Y1380" s="22">
        <f>IFERROR(__xludf.DUMMYFUNCTION("IFERROR(GOOGLEFINANCE(A1380,""low""),"""")"),840.0)</f>
        <v>840</v>
      </c>
      <c r="Z1380" s="22">
        <f>IFERROR(__xludf.DUMMYFUNCTION("IFERROR(GOOGLEFINANCE(A1380,""volume""),"""")"),1.15913E7)</f>
        <v>11591300</v>
      </c>
      <c r="AA1380" s="24" t="str">
        <f>VLOOKUP(A1380,Metrik!$C$2:$Y$959,5,0)</f>
        <v>Electric Utilities</v>
      </c>
      <c r="AB1380" s="24" t="str">
        <f>VLOOKUP(A1380,Metrik!$C$2:$Y$959,3,0)</f>
        <v>Infrastructures</v>
      </c>
    </row>
    <row r="1381">
      <c r="A1381" s="14" t="s">
        <v>740</v>
      </c>
      <c r="B1381" s="14" t="str">
        <f t="array" ref="B1381">VLOOKUP(A1381,{Metrik!$C$2:$C$998,Metrik!$B$2:$B$998},2,0)</f>
        <v>PT Pertamina Geothermal Energy Tbk</v>
      </c>
      <c r="C1381" s="15">
        <f>IFERROR(__xludf.DUMMYFUNCTION("GOOGLEFINANCE(""IDX:""&amp;A1381,""price"")"),865.0)</f>
        <v>865</v>
      </c>
      <c r="D1381" s="16" t="str">
        <f>IFERROR(__xludf.DUMMYFUNCTION("IF(A1381="""","""",
SPARKLINE(
INDEX(
GOOGLEFINANCE(""IDX:""&amp;A1381,""close"",TODAY()-365,TODAY()),
,2
),
{""linewidth"",1}
))
"),"#N/A")</f>
        <v>#N/A</v>
      </c>
      <c r="E1381" s="14" t="s">
        <v>31</v>
      </c>
      <c r="F1381" s="17" t="s">
        <v>29</v>
      </c>
      <c r="G1381" s="24">
        <f t="shared" si="9"/>
        <v>13</v>
      </c>
      <c r="H1381" s="19">
        <f>VLOOKUP(A1381,Metrik!$C$2:$Y$959,8,0)</f>
        <v>14.8</v>
      </c>
      <c r="I1381" s="20">
        <f>VLOOKUP(A1381,Metrik!$C$2:$Y$959,9,0)</f>
        <v>1.1</v>
      </c>
      <c r="J1381" s="20">
        <f>VLOOKUP(A1381,Metrik!$C$2:$Y$959,10,0)</f>
        <v>7.1</v>
      </c>
      <c r="K1381" s="20">
        <f>VLOOKUP(A1381,Metrik!$C$2:$Y$959,11,0)</f>
        <v>4.9</v>
      </c>
      <c r="L1381" s="20">
        <f>VLOOKUP(A1381,Metrik!$C$2:$Y$959,12,0)</f>
        <v>0.46</v>
      </c>
      <c r="M1381" s="20">
        <f>VLOOKUP(A1381,Metrik!$C$2:$Y$959,19,0)</f>
        <v>130</v>
      </c>
      <c r="N1381" s="21"/>
      <c r="O1381" s="21"/>
      <c r="P1381" s="21"/>
      <c r="Q1381" s="21"/>
      <c r="R1381" s="21"/>
      <c r="S1381" s="21"/>
      <c r="T1381" s="21"/>
      <c r="U1381" s="22">
        <f>IFERROR(__xludf.DUMMYFUNCTION("IFERROR(GOOGLEFINANCE(A1381,""closeyest""),"""")"),825.0)</f>
        <v>825</v>
      </c>
      <c r="V1381" s="23">
        <f>IFERROR(__xludf.DUMMYFUNCTION("IFERROR(GOOGLEFINANCE(A1381,""changepct""),"""")"),4.85)</f>
        <v>4.85</v>
      </c>
      <c r="W1381" s="22" t="str">
        <f>IFERROR(__xludf.DUMMYFUNCTION("IFERROR(GOOGLEFINANCE(A1381,""priceopen""),"""")"),"")</f>
        <v/>
      </c>
      <c r="X1381" s="22">
        <f>IFERROR(__xludf.DUMMYFUNCTION("IFERROR(GOOGLEFINANCE(A1381,""high""),"""")"),875.0)</f>
        <v>875</v>
      </c>
      <c r="Y1381" s="22">
        <f>IFERROR(__xludf.DUMMYFUNCTION("IFERROR(GOOGLEFINANCE(A1381,""low""),"""")"),840.0)</f>
        <v>840</v>
      </c>
      <c r="Z1381" s="22">
        <f>IFERROR(__xludf.DUMMYFUNCTION("IFERROR(GOOGLEFINANCE(A1381,""volume""),"""")"),1.15913E7)</f>
        <v>11591300</v>
      </c>
      <c r="AA1381" s="24" t="str">
        <f>VLOOKUP(A1381,Metrik!$C$2:$Y$959,5,0)</f>
        <v>Electric Utilities</v>
      </c>
      <c r="AB1381" s="24" t="str">
        <f>VLOOKUP(A1381,Metrik!$C$2:$Y$959,3,0)</f>
        <v>Infrastructures</v>
      </c>
    </row>
    <row r="1382">
      <c r="A1382" s="14" t="s">
        <v>740</v>
      </c>
      <c r="B1382" s="14" t="str">
        <f t="array" ref="B1382">VLOOKUP(A1382,{Metrik!$C$2:$C$998,Metrik!$B$2:$B$998},2,0)</f>
        <v>PT Pertamina Geothermal Energy Tbk</v>
      </c>
      <c r="C1382" s="15">
        <f>IFERROR(__xludf.DUMMYFUNCTION("GOOGLEFINANCE(""IDX:""&amp;A1382,""price"")"),865.0)</f>
        <v>865</v>
      </c>
      <c r="D1382" s="16" t="str">
        <f>IFERROR(__xludf.DUMMYFUNCTION("IF(A1382="""","""",
SPARKLINE(
INDEX(
GOOGLEFINANCE(""IDX:""&amp;A1382,""close"",TODAY()-365,TODAY()),
,2
),
{""linewidth"",1}
))
"),"#N/A")</f>
        <v>#N/A</v>
      </c>
      <c r="E1382" s="14" t="s">
        <v>84</v>
      </c>
      <c r="F1382" s="17" t="s">
        <v>51</v>
      </c>
      <c r="G1382" s="24">
        <f t="shared" si="9"/>
        <v>13</v>
      </c>
      <c r="H1382" s="19">
        <f>VLOOKUP(A1382,Metrik!$C$2:$Y$959,8,0)</f>
        <v>14.8</v>
      </c>
      <c r="I1382" s="20">
        <f>VLOOKUP(A1382,Metrik!$C$2:$Y$959,9,0)</f>
        <v>1.1</v>
      </c>
      <c r="J1382" s="20">
        <f>VLOOKUP(A1382,Metrik!$C$2:$Y$959,10,0)</f>
        <v>7.1</v>
      </c>
      <c r="K1382" s="20">
        <f>VLOOKUP(A1382,Metrik!$C$2:$Y$959,11,0)</f>
        <v>4.9</v>
      </c>
      <c r="L1382" s="20">
        <f>VLOOKUP(A1382,Metrik!$C$2:$Y$959,12,0)</f>
        <v>0.46</v>
      </c>
      <c r="M1382" s="20">
        <f>VLOOKUP(A1382,Metrik!$C$2:$Y$959,19,0)</f>
        <v>130</v>
      </c>
      <c r="N1382" s="21"/>
      <c r="O1382" s="21"/>
      <c r="P1382" s="21"/>
      <c r="Q1382" s="21"/>
      <c r="R1382" s="21"/>
      <c r="S1382" s="21"/>
      <c r="T1382" s="21"/>
      <c r="U1382" s="22">
        <f>IFERROR(__xludf.DUMMYFUNCTION("IFERROR(GOOGLEFINANCE(A1382,""closeyest""),"""")"),825.0)</f>
        <v>825</v>
      </c>
      <c r="V1382" s="23">
        <f>IFERROR(__xludf.DUMMYFUNCTION("IFERROR(GOOGLEFINANCE(A1382,""changepct""),"""")"),4.85)</f>
        <v>4.85</v>
      </c>
      <c r="W1382" s="22" t="str">
        <f>IFERROR(__xludf.DUMMYFUNCTION("IFERROR(GOOGLEFINANCE(A1382,""priceopen""),"""")"),"")</f>
        <v/>
      </c>
      <c r="X1382" s="22">
        <f>IFERROR(__xludf.DUMMYFUNCTION("IFERROR(GOOGLEFINANCE(A1382,""high""),"""")"),875.0)</f>
        <v>875</v>
      </c>
      <c r="Y1382" s="22">
        <f>IFERROR(__xludf.DUMMYFUNCTION("IFERROR(GOOGLEFINANCE(A1382,""low""),"""")"),840.0)</f>
        <v>840</v>
      </c>
      <c r="Z1382" s="22">
        <f>IFERROR(__xludf.DUMMYFUNCTION("IFERROR(GOOGLEFINANCE(A1382,""volume""),"""")"),1.15913E7)</f>
        <v>11591300</v>
      </c>
      <c r="AA1382" s="24" t="str">
        <f>VLOOKUP(A1382,Metrik!$C$2:$Y$959,5,0)</f>
        <v>Electric Utilities</v>
      </c>
      <c r="AB1382" s="24" t="str">
        <f>VLOOKUP(A1382,Metrik!$C$2:$Y$959,3,0)</f>
        <v>Infrastructures</v>
      </c>
    </row>
    <row r="1383">
      <c r="A1383" s="14" t="s">
        <v>740</v>
      </c>
      <c r="B1383" s="14" t="str">
        <f t="array" ref="B1383">VLOOKUP(A1383,{Metrik!$C$2:$C$998,Metrik!$B$2:$B$998},2,0)</f>
        <v>PT Pertamina Geothermal Energy Tbk</v>
      </c>
      <c r="C1383" s="15">
        <f>IFERROR(__xludf.DUMMYFUNCTION("GOOGLEFINANCE(""IDX:""&amp;A1383,""price"")"),865.0)</f>
        <v>865</v>
      </c>
      <c r="D1383" s="16" t="str">
        <f>IFERROR(__xludf.DUMMYFUNCTION("IF(A1383="""","""",
SPARKLINE(
INDEX(
GOOGLEFINANCE(""IDX:""&amp;A1383,""close"",TODAY()-365,TODAY()),
,2
),
{""linewidth"",1}
))
"),"#N/A")</f>
        <v>#N/A</v>
      </c>
      <c r="E1383" s="14" t="s">
        <v>85</v>
      </c>
      <c r="F1383" s="17" t="s">
        <v>51</v>
      </c>
      <c r="G1383" s="24">
        <f t="shared" si="9"/>
        <v>13</v>
      </c>
      <c r="H1383" s="19">
        <f>VLOOKUP(A1383,Metrik!$C$2:$Y$959,8,0)</f>
        <v>14.8</v>
      </c>
      <c r="I1383" s="20">
        <f>VLOOKUP(A1383,Metrik!$C$2:$Y$959,9,0)</f>
        <v>1.1</v>
      </c>
      <c r="J1383" s="20">
        <f>VLOOKUP(A1383,Metrik!$C$2:$Y$959,10,0)</f>
        <v>7.1</v>
      </c>
      <c r="K1383" s="20">
        <f>VLOOKUP(A1383,Metrik!$C$2:$Y$959,11,0)</f>
        <v>4.9</v>
      </c>
      <c r="L1383" s="20">
        <f>VLOOKUP(A1383,Metrik!$C$2:$Y$959,12,0)</f>
        <v>0.46</v>
      </c>
      <c r="M1383" s="20">
        <f>VLOOKUP(A1383,Metrik!$C$2:$Y$959,19,0)</f>
        <v>130</v>
      </c>
      <c r="N1383" s="21"/>
      <c r="O1383" s="21"/>
      <c r="P1383" s="21"/>
      <c r="Q1383" s="21"/>
      <c r="R1383" s="21"/>
      <c r="S1383" s="21"/>
      <c r="T1383" s="21"/>
      <c r="U1383" s="22">
        <f>IFERROR(__xludf.DUMMYFUNCTION("IFERROR(GOOGLEFINANCE(A1383,""closeyest""),"""")"),825.0)</f>
        <v>825</v>
      </c>
      <c r="V1383" s="23">
        <f>IFERROR(__xludf.DUMMYFUNCTION("IFERROR(GOOGLEFINANCE(A1383,""changepct""),"""")"),4.85)</f>
        <v>4.85</v>
      </c>
      <c r="W1383" s="22" t="str">
        <f>IFERROR(__xludf.DUMMYFUNCTION("IFERROR(GOOGLEFINANCE(A1383,""priceopen""),"""")"),"")</f>
        <v/>
      </c>
      <c r="X1383" s="22">
        <f>IFERROR(__xludf.DUMMYFUNCTION("IFERROR(GOOGLEFINANCE(A1383,""high""),"""")"),875.0)</f>
        <v>875</v>
      </c>
      <c r="Y1383" s="22">
        <f>IFERROR(__xludf.DUMMYFUNCTION("IFERROR(GOOGLEFINANCE(A1383,""low""),"""")"),840.0)</f>
        <v>840</v>
      </c>
      <c r="Z1383" s="22">
        <f>IFERROR(__xludf.DUMMYFUNCTION("IFERROR(GOOGLEFINANCE(A1383,""volume""),"""")"),1.15913E7)</f>
        <v>11591300</v>
      </c>
      <c r="AA1383" s="24" t="str">
        <f>VLOOKUP(A1383,Metrik!$C$2:$Y$959,5,0)</f>
        <v>Electric Utilities</v>
      </c>
      <c r="AB1383" s="24" t="str">
        <f>VLOOKUP(A1383,Metrik!$C$2:$Y$959,3,0)</f>
        <v>Infrastructures</v>
      </c>
    </row>
    <row r="1384">
      <c r="A1384" s="14" t="s">
        <v>740</v>
      </c>
      <c r="B1384" s="14" t="str">
        <f t="array" ref="B1384">VLOOKUP(A1384,{Metrik!$C$2:$C$998,Metrik!$B$2:$B$998},2,0)</f>
        <v>PT Pertamina Geothermal Energy Tbk</v>
      </c>
      <c r="C1384" s="15">
        <f>IFERROR(__xludf.DUMMYFUNCTION("GOOGLEFINANCE(""IDX:""&amp;A1384,""price"")"),865.0)</f>
        <v>865</v>
      </c>
      <c r="D1384" s="16" t="str">
        <f>IFERROR(__xludf.DUMMYFUNCTION("IF(A1384="""","""",
SPARKLINE(
INDEX(
GOOGLEFINANCE(""IDX:""&amp;A1384,""close"",TODAY()-365,TODAY()),
,2
),
{""linewidth"",1}
))
"),"#N/A")</f>
        <v>#N/A</v>
      </c>
      <c r="E1384" s="14" t="s">
        <v>50</v>
      </c>
      <c r="F1384" s="17" t="s">
        <v>51</v>
      </c>
      <c r="G1384" s="24">
        <f t="shared" si="9"/>
        <v>13</v>
      </c>
      <c r="H1384" s="19">
        <f>VLOOKUP(A1384,Metrik!$C$2:$Y$959,8,0)</f>
        <v>14.8</v>
      </c>
      <c r="I1384" s="20">
        <f>VLOOKUP(A1384,Metrik!$C$2:$Y$959,9,0)</f>
        <v>1.1</v>
      </c>
      <c r="J1384" s="20">
        <f>VLOOKUP(A1384,Metrik!$C$2:$Y$959,10,0)</f>
        <v>7.1</v>
      </c>
      <c r="K1384" s="20">
        <f>VLOOKUP(A1384,Metrik!$C$2:$Y$959,11,0)</f>
        <v>4.9</v>
      </c>
      <c r="L1384" s="20">
        <f>VLOOKUP(A1384,Metrik!$C$2:$Y$959,12,0)</f>
        <v>0.46</v>
      </c>
      <c r="M1384" s="20">
        <f>VLOOKUP(A1384,Metrik!$C$2:$Y$959,19,0)</f>
        <v>130</v>
      </c>
      <c r="N1384" s="21"/>
      <c r="O1384" s="21"/>
      <c r="P1384" s="21"/>
      <c r="Q1384" s="21"/>
      <c r="R1384" s="21"/>
      <c r="S1384" s="21"/>
      <c r="T1384" s="21"/>
      <c r="U1384" s="22">
        <f>IFERROR(__xludf.DUMMYFUNCTION("IFERROR(GOOGLEFINANCE(A1384,""closeyest""),"""")"),825.0)</f>
        <v>825</v>
      </c>
      <c r="V1384" s="23">
        <f>IFERROR(__xludf.DUMMYFUNCTION("IFERROR(GOOGLEFINANCE(A1384,""changepct""),"""")"),4.85)</f>
        <v>4.85</v>
      </c>
      <c r="W1384" s="22" t="str">
        <f>IFERROR(__xludf.DUMMYFUNCTION("IFERROR(GOOGLEFINANCE(A1384,""priceopen""),"""")"),"")</f>
        <v/>
      </c>
      <c r="X1384" s="22">
        <f>IFERROR(__xludf.DUMMYFUNCTION("IFERROR(GOOGLEFINANCE(A1384,""high""),"""")"),875.0)</f>
        <v>875</v>
      </c>
      <c r="Y1384" s="22">
        <f>IFERROR(__xludf.DUMMYFUNCTION("IFERROR(GOOGLEFINANCE(A1384,""low""),"""")"),840.0)</f>
        <v>840</v>
      </c>
      <c r="Z1384" s="22">
        <f>IFERROR(__xludf.DUMMYFUNCTION("IFERROR(GOOGLEFINANCE(A1384,""volume""),"""")"),1.15913E7)</f>
        <v>11591300</v>
      </c>
      <c r="AA1384" s="24" t="str">
        <f>VLOOKUP(A1384,Metrik!$C$2:$Y$959,5,0)</f>
        <v>Electric Utilities</v>
      </c>
      <c r="AB1384" s="24" t="str">
        <f>VLOOKUP(A1384,Metrik!$C$2:$Y$959,3,0)</f>
        <v>Infrastructures</v>
      </c>
    </row>
    <row r="1385">
      <c r="A1385" s="14" t="s">
        <v>740</v>
      </c>
      <c r="B1385" s="14" t="str">
        <f t="array" ref="B1385">VLOOKUP(A1385,{Metrik!$C$2:$C$998,Metrik!$B$2:$B$998},2,0)</f>
        <v>PT Pertamina Geothermal Energy Tbk</v>
      </c>
      <c r="C1385" s="15">
        <f>IFERROR(__xludf.DUMMYFUNCTION("GOOGLEFINANCE(""IDX:""&amp;A1385,""price"")"),865.0)</f>
        <v>865</v>
      </c>
      <c r="D1385" s="16" t="str">
        <f>IFERROR(__xludf.DUMMYFUNCTION("IF(A1385="""","""",
SPARKLINE(
INDEX(
GOOGLEFINANCE(""IDX:""&amp;A1385,""close"",TODAY()-365,TODAY()),
,2
),
{""linewidth"",1}
))
"),"#N/A")</f>
        <v>#N/A</v>
      </c>
      <c r="E1385" s="14" t="s">
        <v>41</v>
      </c>
      <c r="F1385" s="14" t="s">
        <v>34</v>
      </c>
      <c r="G1385" s="24">
        <f t="shared" si="9"/>
        <v>13</v>
      </c>
      <c r="H1385" s="19">
        <f>VLOOKUP(A1385,Metrik!$C$2:$Y$959,8,0)</f>
        <v>14.8</v>
      </c>
      <c r="I1385" s="20">
        <f>VLOOKUP(A1385,Metrik!$C$2:$Y$959,9,0)</f>
        <v>1.1</v>
      </c>
      <c r="J1385" s="20">
        <f>VLOOKUP(A1385,Metrik!$C$2:$Y$959,10,0)</f>
        <v>7.1</v>
      </c>
      <c r="K1385" s="20">
        <f>VLOOKUP(A1385,Metrik!$C$2:$Y$959,11,0)</f>
        <v>4.9</v>
      </c>
      <c r="L1385" s="20">
        <f>VLOOKUP(A1385,Metrik!$C$2:$Y$959,12,0)</f>
        <v>0.46</v>
      </c>
      <c r="M1385" s="20">
        <f>VLOOKUP(A1385,Metrik!$C$2:$Y$959,19,0)</f>
        <v>130</v>
      </c>
      <c r="N1385" s="21"/>
      <c r="O1385" s="21"/>
      <c r="P1385" s="21"/>
      <c r="Q1385" s="21"/>
      <c r="R1385" s="21"/>
      <c r="S1385" s="21"/>
      <c r="T1385" s="21"/>
      <c r="U1385" s="22">
        <f>IFERROR(__xludf.DUMMYFUNCTION("IFERROR(GOOGLEFINANCE(A1385,""closeyest""),"""")"),825.0)</f>
        <v>825</v>
      </c>
      <c r="V1385" s="23">
        <f>IFERROR(__xludf.DUMMYFUNCTION("IFERROR(GOOGLEFINANCE(A1385,""changepct""),"""")"),4.85)</f>
        <v>4.85</v>
      </c>
      <c r="W1385" s="22" t="str">
        <f>IFERROR(__xludf.DUMMYFUNCTION("IFERROR(GOOGLEFINANCE(A1385,""priceopen""),"""")"),"")</f>
        <v/>
      </c>
      <c r="X1385" s="22">
        <f>IFERROR(__xludf.DUMMYFUNCTION("IFERROR(GOOGLEFINANCE(A1385,""high""),"""")"),875.0)</f>
        <v>875</v>
      </c>
      <c r="Y1385" s="22">
        <f>IFERROR(__xludf.DUMMYFUNCTION("IFERROR(GOOGLEFINANCE(A1385,""low""),"""")"),840.0)</f>
        <v>840</v>
      </c>
      <c r="Z1385" s="22">
        <f>IFERROR(__xludf.DUMMYFUNCTION("IFERROR(GOOGLEFINANCE(A1385,""volume""),"""")"),1.15913E7)</f>
        <v>11591300</v>
      </c>
      <c r="AA1385" s="24" t="str">
        <f>VLOOKUP(A1385,Metrik!$C$2:$Y$959,5,0)</f>
        <v>Electric Utilities</v>
      </c>
      <c r="AB1385" s="24" t="str">
        <f>VLOOKUP(A1385,Metrik!$C$2:$Y$959,3,0)</f>
        <v>Infrastructures</v>
      </c>
    </row>
    <row r="1386">
      <c r="A1386" s="14" t="s">
        <v>740</v>
      </c>
      <c r="B1386" s="14" t="str">
        <f t="array" ref="B1386">VLOOKUP(A1386,{Metrik!$C$2:$C$998,Metrik!$B$2:$B$998},2,0)</f>
        <v>PT Pertamina Geothermal Energy Tbk</v>
      </c>
      <c r="C1386" s="15">
        <f>IFERROR(__xludf.DUMMYFUNCTION("GOOGLEFINANCE(""IDX:""&amp;A1386,""price"")"),865.0)</f>
        <v>865</v>
      </c>
      <c r="D1386" s="16" t="str">
        <f>IFERROR(__xludf.DUMMYFUNCTION("IF(A1386="""","""",
SPARKLINE(
INDEX(
GOOGLEFINANCE(""IDX:""&amp;A1386,""close"",TODAY()-365,TODAY()),
,2
),
{""linewidth"",1}
))
"),"#N/A")</f>
        <v>#N/A</v>
      </c>
      <c r="E1386" s="14" t="s">
        <v>86</v>
      </c>
      <c r="F1386" s="25">
        <v>46356.0</v>
      </c>
      <c r="G1386" s="24">
        <f t="shared" si="9"/>
        <v>13</v>
      </c>
      <c r="H1386" s="19">
        <f>VLOOKUP(A1386,Metrik!$C$2:$Y$959,8,0)</f>
        <v>14.8</v>
      </c>
      <c r="I1386" s="20">
        <f>VLOOKUP(A1386,Metrik!$C$2:$Y$959,9,0)</f>
        <v>1.1</v>
      </c>
      <c r="J1386" s="20">
        <f>VLOOKUP(A1386,Metrik!$C$2:$Y$959,10,0)</f>
        <v>7.1</v>
      </c>
      <c r="K1386" s="20">
        <f>VLOOKUP(A1386,Metrik!$C$2:$Y$959,11,0)</f>
        <v>4.9</v>
      </c>
      <c r="L1386" s="20">
        <f>VLOOKUP(A1386,Metrik!$C$2:$Y$959,12,0)</f>
        <v>0.46</v>
      </c>
      <c r="M1386" s="20">
        <f>VLOOKUP(A1386,Metrik!$C$2:$Y$959,19,0)</f>
        <v>130</v>
      </c>
      <c r="N1386" s="21"/>
      <c r="O1386" s="21"/>
      <c r="P1386" s="21"/>
      <c r="Q1386" s="21"/>
      <c r="R1386" s="21"/>
      <c r="S1386" s="21"/>
      <c r="T1386" s="21"/>
      <c r="U1386" s="22">
        <f>IFERROR(__xludf.DUMMYFUNCTION("IFERROR(GOOGLEFINANCE(A1386,""closeyest""),"""")"),825.0)</f>
        <v>825</v>
      </c>
      <c r="V1386" s="23">
        <f>IFERROR(__xludf.DUMMYFUNCTION("IFERROR(GOOGLEFINANCE(A1386,""changepct""),"""")"),4.85)</f>
        <v>4.85</v>
      </c>
      <c r="W1386" s="22" t="str">
        <f>IFERROR(__xludf.DUMMYFUNCTION("IFERROR(GOOGLEFINANCE(A1386,""priceopen""),"""")"),"")</f>
        <v/>
      </c>
      <c r="X1386" s="22">
        <f>IFERROR(__xludf.DUMMYFUNCTION("IFERROR(GOOGLEFINANCE(A1386,""high""),"""")"),875.0)</f>
        <v>875</v>
      </c>
      <c r="Y1386" s="22">
        <f>IFERROR(__xludf.DUMMYFUNCTION("IFERROR(GOOGLEFINANCE(A1386,""low""),"""")"),840.0)</f>
        <v>840</v>
      </c>
      <c r="Z1386" s="22">
        <f>IFERROR(__xludf.DUMMYFUNCTION("IFERROR(GOOGLEFINANCE(A1386,""volume""),"""")"),1.15913E7)</f>
        <v>11591300</v>
      </c>
      <c r="AA1386" s="24" t="str">
        <f>VLOOKUP(A1386,Metrik!$C$2:$Y$959,5,0)</f>
        <v>Electric Utilities</v>
      </c>
      <c r="AB1386" s="24" t="str">
        <f>VLOOKUP(A1386,Metrik!$C$2:$Y$959,3,0)</f>
        <v>Infrastructures</v>
      </c>
    </row>
    <row r="1387">
      <c r="A1387" s="14" t="s">
        <v>741</v>
      </c>
      <c r="B1387" s="14" t="str">
        <f t="array" ref="B1387">VLOOKUP(A1387,{Metrik!$C$2:$C$998,Metrik!$B$2:$B$998},2,0)</f>
        <v>Bahtera Bumi Raya Tbk.</v>
      </c>
      <c r="C1387" s="15">
        <f>IFERROR(__xludf.DUMMYFUNCTION("GOOGLEFINANCE(""IDX:""&amp;A1387,""price"")"),790.0)</f>
        <v>790</v>
      </c>
      <c r="D1387" s="16" t="str">
        <f>IFERROR(__xludf.DUMMYFUNCTION("IF(A1387="""","""",
SPARKLINE(
INDEX(
GOOGLEFINANCE(""IDX:""&amp;A1387,""close"",TODAY()-365,TODAY()),
,2
),
{""linewidth"",1}
))
"),"#N/A")</f>
        <v>#N/A</v>
      </c>
      <c r="E1387" s="26"/>
      <c r="F1387" s="26"/>
      <c r="G1387" s="24">
        <f t="shared" si="9"/>
        <v>0</v>
      </c>
      <c r="H1387" s="19">
        <f>VLOOKUP(A1387,Metrik!$C$2:$Y$959,8,0)</f>
        <v>-100</v>
      </c>
      <c r="I1387" s="20">
        <f>VLOOKUP(A1387,Metrik!$C$2:$Y$959,9,0)</f>
        <v>-350</v>
      </c>
      <c r="J1387" s="20">
        <f>VLOOKUP(A1387,Metrik!$C$2:$Y$959,10,0)</f>
        <v>0</v>
      </c>
      <c r="K1387" s="20">
        <f>VLOOKUP(A1387,Metrik!$C$2:$Y$959,11,0)</f>
        <v>-22.4</v>
      </c>
      <c r="L1387" s="20">
        <f>VLOOKUP(A1387,Metrik!$C$2:$Y$959,12,0)</f>
        <v>-16.2</v>
      </c>
      <c r="M1387" s="20">
        <f>VLOOKUP(A1387,Metrik!$C$2:$Y$959,19,0)</f>
        <v>-24.3</v>
      </c>
      <c r="N1387" s="21"/>
      <c r="O1387" s="21"/>
      <c r="P1387" s="21"/>
      <c r="Q1387" s="21"/>
      <c r="R1387" s="21"/>
      <c r="S1387" s="21"/>
      <c r="T1387" s="21"/>
      <c r="U1387" s="22">
        <f>IFERROR(__xludf.DUMMYFUNCTION("IFERROR(GOOGLEFINANCE(A1387,""closeyest""),"""")"),795.0)</f>
        <v>795</v>
      </c>
      <c r="V1387" s="23">
        <f>IFERROR(__xludf.DUMMYFUNCTION("IFERROR(GOOGLEFINANCE(A1387,""changepct""),"""")"),-0.63)</f>
        <v>-0.63</v>
      </c>
      <c r="W1387" s="22">
        <f>IFERROR(__xludf.DUMMYFUNCTION("IFERROR(GOOGLEFINANCE(A1387,""priceopen""),"""")"),795.0)</f>
        <v>795</v>
      </c>
      <c r="X1387" s="22">
        <f>IFERROR(__xludf.DUMMYFUNCTION("IFERROR(GOOGLEFINANCE(A1387,""high""),"""")"),795.0)</f>
        <v>795</v>
      </c>
      <c r="Y1387" s="22">
        <f>IFERROR(__xludf.DUMMYFUNCTION("IFERROR(GOOGLEFINANCE(A1387,""low""),"""")"),790.0)</f>
        <v>790</v>
      </c>
      <c r="Z1387" s="22">
        <f>IFERROR(__xludf.DUMMYFUNCTION("IFERROR(GOOGLEFINANCE(A1387,""volume""),"""")"),155800.0)</f>
        <v>155800</v>
      </c>
      <c r="AA1387" s="24" t="str">
        <f>VLOOKUP(A1387,Metrik!$C$2:$Y$959,5,0)</f>
        <v>Online Applications &amp; Services</v>
      </c>
      <c r="AB1387" s="24" t="str">
        <f>VLOOKUP(A1387,Metrik!$C$2:$Y$959,3,0)</f>
        <v>Technology</v>
      </c>
    </row>
    <row r="1388">
      <c r="A1388" s="14" t="s">
        <v>742</v>
      </c>
      <c r="B1388" s="14" t="str">
        <f t="array" ref="B1388">VLOOKUP(A1388,{Metrik!$C$2:$C$998,Metrik!$B$2:$B$998},2,0)</f>
        <v>Pembangunan Graha Lestari Indah Tbk.</v>
      </c>
      <c r="C1388" s="15">
        <f>IFERROR(__xludf.DUMMYFUNCTION("GOOGLEFINANCE(""IDX:""&amp;A1388,""price"")"),186.0)</f>
        <v>186</v>
      </c>
      <c r="D1388" s="16" t="str">
        <f>IFERROR(__xludf.DUMMYFUNCTION("IF(A1388="""","""",
SPARKLINE(
INDEX(
GOOGLEFINANCE(""IDX:""&amp;A1388,""close"",TODAY()-365,TODAY()),
,2
),
{""linewidth"",1}
))
"),"#N/A")</f>
        <v>#N/A</v>
      </c>
      <c r="E1388" s="26"/>
      <c r="F1388" s="26"/>
      <c r="G1388" s="24">
        <f t="shared" si="9"/>
        <v>0</v>
      </c>
      <c r="H1388" s="19">
        <f>VLOOKUP(A1388,Metrik!$C$2:$Y$959,8,0)</f>
        <v>-32.3</v>
      </c>
      <c r="I1388" s="20">
        <f>VLOOKUP(A1388,Metrik!$C$2:$Y$959,9,0)</f>
        <v>6.8</v>
      </c>
      <c r="J1388" s="20">
        <f>VLOOKUP(A1388,Metrik!$C$2:$Y$959,10,0)</f>
        <v>-21</v>
      </c>
      <c r="K1388" s="20">
        <f>VLOOKUP(A1388,Metrik!$C$2:$Y$959,11,0)</f>
        <v>-7.6</v>
      </c>
      <c r="L1388" s="20">
        <f>VLOOKUP(A1388,Metrik!$C$2:$Y$959,12,0)</f>
        <v>1.8</v>
      </c>
      <c r="M1388" s="20">
        <f>VLOOKUP(A1388,Metrik!$C$2:$Y$959,19,0)</f>
        <v>-49</v>
      </c>
      <c r="N1388" s="21"/>
      <c r="O1388" s="21"/>
      <c r="P1388" s="21"/>
      <c r="Q1388" s="21"/>
      <c r="R1388" s="21"/>
      <c r="S1388" s="21"/>
      <c r="T1388" s="21"/>
      <c r="U1388" s="22">
        <f>IFERROR(__xludf.DUMMYFUNCTION("IFERROR(GOOGLEFINANCE(A1388,""closeyest""),"""")"),184.0)</f>
        <v>184</v>
      </c>
      <c r="V1388" s="23">
        <f>IFERROR(__xludf.DUMMYFUNCTION("IFERROR(GOOGLEFINANCE(A1388,""changepct""),"""")"),1.09)</f>
        <v>1.09</v>
      </c>
      <c r="W1388" s="22">
        <f>IFERROR(__xludf.DUMMYFUNCTION("IFERROR(GOOGLEFINANCE(A1388,""priceopen""),"""")"),190.0)</f>
        <v>190</v>
      </c>
      <c r="X1388" s="22">
        <f>IFERROR(__xludf.DUMMYFUNCTION("IFERROR(GOOGLEFINANCE(A1388,""high""),"""")"),190.0)</f>
        <v>190</v>
      </c>
      <c r="Y1388" s="22">
        <f>IFERROR(__xludf.DUMMYFUNCTION("IFERROR(GOOGLEFINANCE(A1388,""low""),"""")"),174.0)</f>
        <v>174</v>
      </c>
      <c r="Z1388" s="22">
        <f>IFERROR(__xludf.DUMMYFUNCTION("IFERROR(GOOGLEFINANCE(A1388,""volume""),"""")"),48700.0)</f>
        <v>48700</v>
      </c>
      <c r="AA1388" s="24" t="str">
        <f>VLOOKUP(A1388,Metrik!$C$2:$Y$959,5,0)</f>
        <v>Tourism &amp; Recreation</v>
      </c>
      <c r="AB1388" s="24" t="str">
        <f>VLOOKUP(A1388,Metrik!$C$2:$Y$959,3,0)</f>
        <v>Consumer Cyclicals</v>
      </c>
    </row>
    <row r="1389">
      <c r="A1389" s="14" t="s">
        <v>743</v>
      </c>
      <c r="B1389" s="14" t="str">
        <f t="array" ref="B1389">VLOOKUP(A1389,{Metrik!$C$2:$C$998,Metrik!$B$2:$B$998},2,0)</f>
        <v>Pradiksi Gunatama Tbk.</v>
      </c>
      <c r="C1389" s="15">
        <f>IFERROR(__xludf.DUMMYFUNCTION("GOOGLEFINANCE(""IDX:""&amp;A1389,""price"")"),7625.0)</f>
        <v>7625</v>
      </c>
      <c r="D1389" s="16" t="str">
        <f>IFERROR(__xludf.DUMMYFUNCTION("IF(A1389="""","""",
SPARKLINE(
INDEX(
GOOGLEFINANCE(""IDX:""&amp;A1389,""close"",TODAY()-365,TODAY()),
,2
),
{""linewidth"",1}
))
"),"#N/A")</f>
        <v>#N/A</v>
      </c>
      <c r="E1389" s="26"/>
      <c r="F1389" s="26"/>
      <c r="G1389" s="24">
        <f t="shared" si="9"/>
        <v>0</v>
      </c>
      <c r="H1389" s="19">
        <f>VLOOKUP(A1389,Metrik!$C$2:$Y$959,8,0)</f>
        <v>300</v>
      </c>
      <c r="I1389" s="20">
        <f>VLOOKUP(A1389,Metrik!$C$2:$Y$959,9,0)</f>
        <v>22.1</v>
      </c>
      <c r="J1389" s="20">
        <f>VLOOKUP(A1389,Metrik!$C$2:$Y$959,10,0)</f>
        <v>7.5</v>
      </c>
      <c r="K1389" s="20">
        <f>VLOOKUP(A1389,Metrik!$C$2:$Y$959,11,0)</f>
        <v>5.8</v>
      </c>
      <c r="L1389" s="20">
        <f>VLOOKUP(A1389,Metrik!$C$2:$Y$959,12,0)</f>
        <v>0.29</v>
      </c>
      <c r="M1389" s="20">
        <f>VLOOKUP(A1389,Metrik!$C$2:$Y$959,19,0)</f>
        <v>87.9</v>
      </c>
      <c r="N1389" s="21"/>
      <c r="O1389" s="21"/>
      <c r="P1389" s="21"/>
      <c r="Q1389" s="21"/>
      <c r="R1389" s="21"/>
      <c r="S1389" s="21"/>
      <c r="T1389" s="21"/>
      <c r="U1389" s="22">
        <f>IFERROR(__xludf.DUMMYFUNCTION("IFERROR(GOOGLEFINANCE(A1389,""closeyest""),"""")"),7350.0)</f>
        <v>7350</v>
      </c>
      <c r="V1389" s="23">
        <f>IFERROR(__xludf.DUMMYFUNCTION("IFERROR(GOOGLEFINANCE(A1389,""changepct""),"""")"),3.74)</f>
        <v>3.74</v>
      </c>
      <c r="W1389" s="22">
        <f>IFERROR(__xludf.DUMMYFUNCTION("IFERROR(GOOGLEFINANCE(A1389,""priceopen""),"""")"),7350.0)</f>
        <v>7350</v>
      </c>
      <c r="X1389" s="22">
        <f>IFERROR(__xludf.DUMMYFUNCTION("IFERROR(GOOGLEFINANCE(A1389,""high""),"""")"),8400.0)</f>
        <v>8400</v>
      </c>
      <c r="Y1389" s="22">
        <f>IFERROR(__xludf.DUMMYFUNCTION("IFERROR(GOOGLEFINANCE(A1389,""low""),"""")"),7350.0)</f>
        <v>7350</v>
      </c>
      <c r="Z1389" s="22">
        <f>IFERROR(__xludf.DUMMYFUNCTION("IFERROR(GOOGLEFINANCE(A1389,""volume""),"""")"),27100.0)</f>
        <v>27100</v>
      </c>
      <c r="AA1389" s="24" t="str">
        <f>VLOOKUP(A1389,Metrik!$C$2:$Y$959,5,0)</f>
        <v>Agricultural Products</v>
      </c>
      <c r="AB1389" s="24" t="str">
        <f>VLOOKUP(A1389,Metrik!$C$2:$Y$959,3,0)</f>
        <v>Consumer Non-Cyclicals</v>
      </c>
    </row>
    <row r="1390">
      <c r="A1390" s="14" t="s">
        <v>744</v>
      </c>
      <c r="B1390" s="14" t="str">
        <f t="array" ref="B1390">VLOOKUP(A1390,{Metrik!$C$2:$C$998,Metrik!$B$2:$B$998},2,0)</f>
        <v>Pelangi Indah Canindo Tbk</v>
      </c>
      <c r="C1390" s="15">
        <f>IFERROR(__xludf.DUMMYFUNCTION("GOOGLEFINANCE(""IDX:""&amp;A1390,""price"")"),126.0)</f>
        <v>126</v>
      </c>
      <c r="D1390" s="16" t="str">
        <f>IFERROR(__xludf.DUMMYFUNCTION("IF(A1390="""","""",
SPARKLINE(
INDEX(
GOOGLEFINANCE(""IDX:""&amp;A1390,""close"",TODAY()-365,TODAY()),
,2
),
{""linewidth"",1}
))
"),"#N/A")</f>
        <v>#N/A</v>
      </c>
      <c r="E1390" s="26"/>
      <c r="F1390" s="26"/>
      <c r="G1390" s="24">
        <f t="shared" si="9"/>
        <v>0</v>
      </c>
      <c r="H1390" s="19">
        <f>VLOOKUP(A1390,Metrik!$C$2:$Y$959,8,0)</f>
        <v>19.6</v>
      </c>
      <c r="I1390" s="20">
        <f>VLOOKUP(A1390,Metrik!$C$2:$Y$959,9,0)</f>
        <v>0.38</v>
      </c>
      <c r="J1390" s="20">
        <f>VLOOKUP(A1390,Metrik!$C$2:$Y$959,10,0)</f>
        <v>2</v>
      </c>
      <c r="K1390" s="20">
        <f>VLOOKUP(A1390,Metrik!$C$2:$Y$959,11,0)</f>
        <v>0.61</v>
      </c>
      <c r="L1390" s="20">
        <f>VLOOKUP(A1390,Metrik!$C$2:$Y$959,12,0)</f>
        <v>2.2</v>
      </c>
      <c r="M1390" s="20">
        <f>VLOOKUP(A1390,Metrik!$C$2:$Y$959,19,0)</f>
        <v>3</v>
      </c>
      <c r="N1390" s="21"/>
      <c r="O1390" s="21"/>
      <c r="P1390" s="21"/>
      <c r="Q1390" s="21"/>
      <c r="R1390" s="21"/>
      <c r="S1390" s="21"/>
      <c r="T1390" s="21"/>
      <c r="U1390" s="22" t="str">
        <f>IFERROR(__xludf.DUMMYFUNCTION("IFERROR(GOOGLEFINANCE(A1390,""closeyest""),"""")"),"")</f>
        <v/>
      </c>
      <c r="V1390" s="23" t="str">
        <f>IFERROR(__xludf.DUMMYFUNCTION("IFERROR(GOOGLEFINANCE(A1390,""changepct""),"""")"),"")</f>
        <v/>
      </c>
      <c r="W1390" s="22" t="str">
        <f>IFERROR(__xludf.DUMMYFUNCTION("IFERROR(GOOGLEFINANCE(A1390,""priceopen""),"""")"),"")</f>
        <v/>
      </c>
      <c r="X1390" s="22" t="str">
        <f>IFERROR(__xludf.DUMMYFUNCTION("IFERROR(GOOGLEFINANCE(A1390,""high""),"""")"),"")</f>
        <v/>
      </c>
      <c r="Y1390" s="22" t="str">
        <f>IFERROR(__xludf.DUMMYFUNCTION("IFERROR(GOOGLEFINANCE(A1390,""low""),"""")"),"")</f>
        <v/>
      </c>
      <c r="Z1390" s="22" t="str">
        <f>IFERROR(__xludf.DUMMYFUNCTION("IFERROR(GOOGLEFINANCE(A1390,""volume""),"""")"),"")</f>
        <v/>
      </c>
      <c r="AA1390" s="24" t="str">
        <f>VLOOKUP(A1390,Metrik!$C$2:$Y$959,5,0)</f>
        <v>Containers &amp; Packaging</v>
      </c>
      <c r="AB1390" s="24" t="str">
        <f>VLOOKUP(A1390,Metrik!$C$2:$Y$959,3,0)</f>
        <v>Basic Materials</v>
      </c>
    </row>
    <row r="1391">
      <c r="A1391" s="14" t="s">
        <v>745</v>
      </c>
      <c r="B1391" s="14" t="str">
        <f t="array" ref="B1391">VLOOKUP(A1391,{Metrik!$C$2:$C$998,Metrik!$B$2:$B$998},2,0)</f>
        <v>PT Multi Makmur Lemindo Tbk.</v>
      </c>
      <c r="C1391" s="15">
        <f>IFERROR(__xludf.DUMMYFUNCTION("GOOGLEFINANCE(""IDX:""&amp;A1391,""price"")"),111.0)</f>
        <v>111</v>
      </c>
      <c r="D1391" s="16" t="str">
        <f>IFERROR(__xludf.DUMMYFUNCTION("IF(A1391="""","""",
SPARKLINE(
INDEX(
GOOGLEFINANCE(""IDX:""&amp;A1391,""close"",TODAY()-365,TODAY()),
,2
),
{""linewidth"",1}
))
"),"#N/A")</f>
        <v>#N/A</v>
      </c>
      <c r="E1391" s="26"/>
      <c r="F1391" s="26"/>
      <c r="G1391" s="24">
        <f t="shared" si="9"/>
        <v>0</v>
      </c>
      <c r="H1391" s="19">
        <f>VLOOKUP(A1391,Metrik!$C$2:$Y$959,8,0)</f>
        <v>110</v>
      </c>
      <c r="I1391" s="20">
        <f>VLOOKUP(A1391,Metrik!$C$2:$Y$959,9,0)</f>
        <v>2.7</v>
      </c>
      <c r="J1391" s="20">
        <f>VLOOKUP(A1391,Metrik!$C$2:$Y$959,10,0)</f>
        <v>2.5</v>
      </c>
      <c r="K1391" s="20">
        <f>VLOOKUP(A1391,Metrik!$C$2:$Y$959,11,0)</f>
        <v>2.1</v>
      </c>
      <c r="L1391" s="20">
        <f>VLOOKUP(A1391,Metrik!$C$2:$Y$959,12,0)</f>
        <v>0.16</v>
      </c>
      <c r="M1391" s="20">
        <f>VLOOKUP(A1391,Metrik!$C$2:$Y$959,19,0)</f>
        <v>14.2</v>
      </c>
      <c r="N1391" s="21"/>
      <c r="O1391" s="21"/>
      <c r="P1391" s="21"/>
      <c r="Q1391" s="21"/>
      <c r="R1391" s="21"/>
      <c r="S1391" s="21"/>
      <c r="T1391" s="21"/>
      <c r="U1391" s="22">
        <f>IFERROR(__xludf.DUMMYFUNCTION("IFERROR(GOOGLEFINANCE(A1391,""closeyest""),"""")"),100.0)</f>
        <v>100</v>
      </c>
      <c r="V1391" s="23">
        <f>IFERROR(__xludf.DUMMYFUNCTION("IFERROR(GOOGLEFINANCE(A1391,""changepct""),"""")"),11.0)</f>
        <v>11</v>
      </c>
      <c r="W1391" s="22">
        <f>IFERROR(__xludf.DUMMYFUNCTION("IFERROR(GOOGLEFINANCE(A1391,""priceopen""),"""")"),97.0)</f>
        <v>97</v>
      </c>
      <c r="X1391" s="22">
        <f>IFERROR(__xludf.DUMMYFUNCTION("IFERROR(GOOGLEFINANCE(A1391,""high""),"""")"),113.0)</f>
        <v>113</v>
      </c>
      <c r="Y1391" s="22">
        <f>IFERROR(__xludf.DUMMYFUNCTION("IFERROR(GOOGLEFINANCE(A1391,""low""),"""")"),94.0)</f>
        <v>94</v>
      </c>
      <c r="Z1391" s="22">
        <f>IFERROR(__xludf.DUMMYFUNCTION("IFERROR(GOOGLEFINANCE(A1391,""volume""),"""")"),8.88907E7)</f>
        <v>88890700</v>
      </c>
      <c r="AA1391" s="24" t="str">
        <f>VLOOKUP(A1391,Metrik!$C$2:$Y$959,5,0)</f>
        <v>Building Products &amp; Fixtures</v>
      </c>
      <c r="AB1391" s="24" t="str">
        <f>VLOOKUP(A1391,Metrik!$C$2:$Y$959,3,0)</f>
        <v>Industrials</v>
      </c>
    </row>
    <row r="1392">
      <c r="A1392" s="14" t="s">
        <v>746</v>
      </c>
      <c r="B1392" s="14" t="str">
        <f t="array" ref="B1392">VLOOKUP(A1392,{Metrik!$C$2:$C$998,Metrik!$B$2:$B$998},2,0)</f>
        <v>Pembangunan Jaya Ancol Tbk.</v>
      </c>
      <c r="C1392" s="15">
        <f>IFERROR(__xludf.DUMMYFUNCTION("GOOGLEFINANCE(""IDX:""&amp;A1392,""price"")"),440.0)</f>
        <v>440</v>
      </c>
      <c r="D1392" s="16" t="str">
        <f>IFERROR(__xludf.DUMMYFUNCTION("IF(A1392="""","""",
SPARKLINE(
INDEX(
GOOGLEFINANCE(""IDX:""&amp;A1392,""close"",TODAY()-365,TODAY()),
,2
),
{""linewidth"",1}
))
"),"#N/A")</f>
        <v>#N/A</v>
      </c>
      <c r="E1392" s="26"/>
      <c r="F1392" s="26"/>
      <c r="G1392" s="24">
        <f t="shared" si="9"/>
        <v>0</v>
      </c>
      <c r="H1392" s="19">
        <f>VLOOKUP(A1392,Metrik!$C$2:$Y$959,8,0)</f>
        <v>5</v>
      </c>
      <c r="I1392" s="20">
        <f>VLOOKUP(A1392,Metrik!$C$2:$Y$959,9,0)</f>
        <v>0.42</v>
      </c>
      <c r="J1392" s="20">
        <f>VLOOKUP(A1392,Metrik!$C$2:$Y$959,10,0)</f>
        <v>8.4</v>
      </c>
      <c r="K1392" s="20">
        <f>VLOOKUP(A1392,Metrik!$C$2:$Y$959,11,0)</f>
        <v>4.3</v>
      </c>
      <c r="L1392" s="20">
        <f>VLOOKUP(A1392,Metrik!$C$2:$Y$959,12,0)</f>
        <v>0.94</v>
      </c>
      <c r="M1392" s="20">
        <f>VLOOKUP(A1392,Metrik!$C$2:$Y$959,19,0)</f>
        <v>73.5</v>
      </c>
      <c r="N1392" s="21"/>
      <c r="O1392" s="21"/>
      <c r="P1392" s="21"/>
      <c r="Q1392" s="21"/>
      <c r="R1392" s="21"/>
      <c r="S1392" s="21"/>
      <c r="T1392" s="21"/>
      <c r="U1392" s="22">
        <f>IFERROR(__xludf.DUMMYFUNCTION("IFERROR(GOOGLEFINANCE(A1392,""closeyest""),"""")"),428.0)</f>
        <v>428</v>
      </c>
      <c r="V1392" s="23">
        <f>IFERROR(__xludf.DUMMYFUNCTION("IFERROR(GOOGLEFINANCE(A1392,""changepct""),"""")"),2.8)</f>
        <v>2.8</v>
      </c>
      <c r="W1392" s="22">
        <f>IFERROR(__xludf.DUMMYFUNCTION("IFERROR(GOOGLEFINANCE(A1392,""priceopen""),"""")"),436.0)</f>
        <v>436</v>
      </c>
      <c r="X1392" s="22">
        <f>IFERROR(__xludf.DUMMYFUNCTION("IFERROR(GOOGLEFINANCE(A1392,""high""),"""")"),444.0)</f>
        <v>444</v>
      </c>
      <c r="Y1392" s="22">
        <f>IFERROR(__xludf.DUMMYFUNCTION("IFERROR(GOOGLEFINANCE(A1392,""low""),"""")"),434.0)</f>
        <v>434</v>
      </c>
      <c r="Z1392" s="22">
        <f>IFERROR(__xludf.DUMMYFUNCTION("IFERROR(GOOGLEFINANCE(A1392,""volume""),"""")"),18800.0)</f>
        <v>18800</v>
      </c>
      <c r="AA1392" s="24" t="str">
        <f>VLOOKUP(A1392,Metrik!$C$2:$Y$959,5,0)</f>
        <v>Tourism &amp; Recreation</v>
      </c>
      <c r="AB1392" s="24" t="str">
        <f>VLOOKUP(A1392,Metrik!$C$2:$Y$959,3,0)</f>
        <v>Consumer Cyclicals</v>
      </c>
    </row>
    <row r="1393">
      <c r="A1393" s="14" t="s">
        <v>747</v>
      </c>
      <c r="B1393" s="14" t="str">
        <f t="array" ref="B1393">VLOOKUP(A1393,{Metrik!$C$2:$C$998,Metrik!$B$2:$B$998},2,0)</f>
        <v>Pelayaran Jaya Hidup Baru Tbk.</v>
      </c>
      <c r="C1393" s="15">
        <f>IFERROR(__xludf.DUMMYFUNCTION("GOOGLEFINANCE(""IDX:""&amp;A1393,""price"")"),177.0)</f>
        <v>177</v>
      </c>
      <c r="D1393" s="16" t="str">
        <f>IFERROR(__xludf.DUMMYFUNCTION("IF(A1393="""","""",
SPARKLINE(
INDEX(
GOOGLEFINANCE(""IDX:""&amp;A1393,""close"",TODAY()-365,TODAY()),
,2
),
{""linewidth"",1}
))
"),"#N/A")</f>
        <v>#N/A</v>
      </c>
      <c r="E1393" s="26"/>
      <c r="F1393" s="26"/>
      <c r="G1393" s="24">
        <f t="shared" si="9"/>
        <v>0</v>
      </c>
      <c r="H1393" s="19">
        <f>VLOOKUP(A1393,Metrik!$C$2:$Y$959,8,0)</f>
        <v>28.7</v>
      </c>
      <c r="I1393" s="20">
        <f>VLOOKUP(A1393,Metrik!$C$2:$Y$959,9,0)</f>
        <v>1.1</v>
      </c>
      <c r="J1393" s="20">
        <f>VLOOKUP(A1393,Metrik!$C$2:$Y$959,10,0)</f>
        <v>3.9</v>
      </c>
      <c r="K1393" s="20">
        <f>VLOOKUP(A1393,Metrik!$C$2:$Y$959,11,0)</f>
        <v>0</v>
      </c>
      <c r="L1393" s="20">
        <f>VLOOKUP(A1393,Metrik!$C$2:$Y$959,12,0)</f>
        <v>0.05</v>
      </c>
      <c r="M1393" s="20">
        <f>VLOOKUP(A1393,Metrik!$C$2:$Y$959,19,0)</f>
        <v>74.4</v>
      </c>
      <c r="N1393" s="21"/>
      <c r="O1393" s="21"/>
      <c r="P1393" s="21"/>
      <c r="Q1393" s="21"/>
      <c r="R1393" s="21"/>
      <c r="S1393" s="21"/>
      <c r="T1393" s="21"/>
      <c r="U1393" s="22">
        <f>IFERROR(__xludf.DUMMYFUNCTION("IFERROR(GOOGLEFINANCE(A1393,""closeyest""),"""")"),172.0)</f>
        <v>172</v>
      </c>
      <c r="V1393" s="23">
        <f>IFERROR(__xludf.DUMMYFUNCTION("IFERROR(GOOGLEFINANCE(A1393,""changepct""),"""")"),2.91)</f>
        <v>2.91</v>
      </c>
      <c r="W1393" s="22">
        <f>IFERROR(__xludf.DUMMYFUNCTION("IFERROR(GOOGLEFINANCE(A1393,""priceopen""),"""")"),174.0)</f>
        <v>174</v>
      </c>
      <c r="X1393" s="22">
        <f>IFERROR(__xludf.DUMMYFUNCTION("IFERROR(GOOGLEFINANCE(A1393,""high""),"""")"),180.0)</f>
        <v>180</v>
      </c>
      <c r="Y1393" s="22">
        <f>IFERROR(__xludf.DUMMYFUNCTION("IFERROR(GOOGLEFINANCE(A1393,""low""),"""")"),173.0)</f>
        <v>173</v>
      </c>
      <c r="Z1393" s="22">
        <f>IFERROR(__xludf.DUMMYFUNCTION("IFERROR(GOOGLEFINANCE(A1393,""volume""),"""")"),3101300.0)</f>
        <v>3101300</v>
      </c>
      <c r="AA1393" s="24" t="str">
        <f>VLOOKUP(A1393,Metrik!$C$2:$Y$959,5,0)</f>
        <v>Logistics &amp; Deliveries</v>
      </c>
      <c r="AB1393" s="24" t="str">
        <f>VLOOKUP(A1393,Metrik!$C$2:$Y$959,3,0)</f>
        <v>Transportation &amp; Logistic</v>
      </c>
    </row>
    <row r="1394">
      <c r="A1394" s="14" t="s">
        <v>748</v>
      </c>
      <c r="B1394" s="14" t="str">
        <f t="array" ref="B1394">VLOOKUP(A1394,{Metrik!$C$2:$C$998,Metrik!$B$2:$B$998},2,0)</f>
        <v>Paragon Karya Perkasa Tbk.</v>
      </c>
      <c r="C1394" s="15">
        <f>IFERROR(__xludf.DUMMYFUNCTION("GOOGLEFINANCE(""IDX:""&amp;A1394,""price"")"),2670.0)</f>
        <v>2670</v>
      </c>
      <c r="D1394" s="16" t="str">
        <f>IFERROR(__xludf.DUMMYFUNCTION("IF(A1394="""","""",
SPARKLINE(
INDEX(
GOOGLEFINANCE(""IDX:""&amp;A1394,""close"",TODAY()-365,TODAY()),
,2
),
{""linewidth"",1}
))
"),"#N/A")</f>
        <v>#N/A</v>
      </c>
      <c r="E1394" s="26"/>
      <c r="F1394" s="26"/>
      <c r="G1394" s="24">
        <f t="shared" si="9"/>
        <v>0</v>
      </c>
      <c r="H1394" s="19">
        <f>VLOOKUP(A1394,Metrik!$C$2:$Y$959,8,0)</f>
        <v>63.5</v>
      </c>
      <c r="I1394" s="20">
        <f>VLOOKUP(A1394,Metrik!$C$2:$Y$959,9,0)</f>
        <v>10.5</v>
      </c>
      <c r="J1394" s="20">
        <f>VLOOKUP(A1394,Metrik!$C$2:$Y$959,10,0)</f>
        <v>16.5</v>
      </c>
      <c r="K1394" s="20">
        <f>VLOOKUP(A1394,Metrik!$C$2:$Y$959,11,0)</f>
        <v>7.9</v>
      </c>
      <c r="L1394" s="20">
        <f>VLOOKUP(A1394,Metrik!$C$2:$Y$959,12,0)</f>
        <v>1.1</v>
      </c>
      <c r="M1394" s="20">
        <f>VLOOKUP(A1394,Metrik!$C$2:$Y$959,19,0)</f>
        <v>28.4</v>
      </c>
      <c r="N1394" s="21"/>
      <c r="O1394" s="21"/>
      <c r="P1394" s="21"/>
      <c r="Q1394" s="21"/>
      <c r="R1394" s="21"/>
      <c r="S1394" s="21"/>
      <c r="T1394" s="21"/>
      <c r="U1394" s="22">
        <f>IFERROR(__xludf.DUMMYFUNCTION("IFERROR(GOOGLEFINANCE(A1394,""closeyest""),"""")"),2680.0)</f>
        <v>2680</v>
      </c>
      <c r="V1394" s="23">
        <f>IFERROR(__xludf.DUMMYFUNCTION("IFERROR(GOOGLEFINANCE(A1394,""changepct""),"""")"),-0.37)</f>
        <v>-0.37</v>
      </c>
      <c r="W1394" s="22">
        <f>IFERROR(__xludf.DUMMYFUNCTION("IFERROR(GOOGLEFINANCE(A1394,""priceopen""),"""")"),2600.0)</f>
        <v>2600</v>
      </c>
      <c r="X1394" s="22">
        <f>IFERROR(__xludf.DUMMYFUNCTION("IFERROR(GOOGLEFINANCE(A1394,""high""),"""")"),2760.0)</f>
        <v>2760</v>
      </c>
      <c r="Y1394" s="22" t="str">
        <f>IFERROR(__xludf.DUMMYFUNCTION("IFERROR(GOOGLEFINANCE(A1394,""low""),"""")"),"")</f>
        <v/>
      </c>
      <c r="Z1394" s="22">
        <f>IFERROR(__xludf.DUMMYFUNCTION("IFERROR(GOOGLEFINANCE(A1394,""volume""),"""")"),864700.0)</f>
        <v>864700</v>
      </c>
      <c r="AA1394" s="24" t="str">
        <f>VLOOKUP(A1394,Metrik!$C$2:$Y$959,5,0)</f>
        <v>Oil, Gas &amp; Coal Supports</v>
      </c>
      <c r="AB1394" s="24" t="str">
        <f>VLOOKUP(A1394,Metrik!$C$2:$Y$959,3,0)</f>
        <v>Energy</v>
      </c>
    </row>
    <row r="1395">
      <c r="A1395" s="14" t="s">
        <v>749</v>
      </c>
      <c r="B1395" s="14" t="str">
        <f t="array" ref="B1395">VLOOKUP(A1395,{Metrik!$C$2:$C$998,Metrik!$B$2:$B$998},2,0)</f>
        <v>Planet Properindo Jaya Tbk.</v>
      </c>
      <c r="C1395" s="15">
        <f>IFERROR(__xludf.DUMMYFUNCTION("GOOGLEFINANCE(""IDX:""&amp;A1395,""price"")"),39.0)</f>
        <v>39</v>
      </c>
      <c r="D1395" s="16" t="str">
        <f>IFERROR(__xludf.DUMMYFUNCTION("IF(A1395="""","""",
SPARKLINE(
INDEX(
GOOGLEFINANCE(""IDX:""&amp;A1395,""close"",TODAY()-365,TODAY()),
,2
),
{""linewidth"",1}
))
"),"#N/A")</f>
        <v>#N/A</v>
      </c>
      <c r="E1395" s="26"/>
      <c r="F1395" s="26"/>
      <c r="G1395" s="24">
        <f t="shared" si="9"/>
        <v>0</v>
      </c>
      <c r="H1395" s="19">
        <f>VLOOKUP(A1395,Metrik!$C$2:$Y$959,8,0)</f>
        <v>-6.7</v>
      </c>
      <c r="I1395" s="20">
        <f>VLOOKUP(A1395,Metrik!$C$2:$Y$959,9,0)</f>
        <v>0.67</v>
      </c>
      <c r="J1395" s="20">
        <f>VLOOKUP(A1395,Metrik!$C$2:$Y$959,10,0)</f>
        <v>-9.9</v>
      </c>
      <c r="K1395" s="20">
        <f>VLOOKUP(A1395,Metrik!$C$2:$Y$959,11,0)</f>
        <v>-6.7</v>
      </c>
      <c r="L1395" s="20">
        <f>VLOOKUP(A1395,Metrik!$C$2:$Y$959,12,0)</f>
        <v>0.48</v>
      </c>
      <c r="M1395" s="20">
        <f>VLOOKUP(A1395,Metrik!$C$2:$Y$959,19,0)</f>
        <v>-42.1</v>
      </c>
      <c r="N1395" s="21"/>
      <c r="O1395" s="21"/>
      <c r="P1395" s="21"/>
      <c r="Q1395" s="21"/>
      <c r="R1395" s="21"/>
      <c r="S1395" s="21"/>
      <c r="T1395" s="21"/>
      <c r="U1395" s="22">
        <f>IFERROR(__xludf.DUMMYFUNCTION("IFERROR(GOOGLEFINANCE(A1395,""closeyest""),"""")"),0.37)</f>
        <v>0.37</v>
      </c>
      <c r="V1395" s="23">
        <f>IFERROR(__xludf.DUMMYFUNCTION("IFERROR(GOOGLEFINANCE(A1395,""changepct""),"""")"),-5.41)</f>
        <v>-5.41</v>
      </c>
      <c r="W1395" s="22">
        <f>IFERROR(__xludf.DUMMYFUNCTION("IFERROR(GOOGLEFINANCE(A1395,""priceopen""),"""")"),0.35)</f>
        <v>0.35</v>
      </c>
      <c r="X1395" s="22">
        <f>IFERROR(__xludf.DUMMYFUNCTION("IFERROR(GOOGLEFINANCE(A1395,""high""),"""")"),0.35)</f>
        <v>0.35</v>
      </c>
      <c r="Y1395" s="22">
        <f>IFERROR(__xludf.DUMMYFUNCTION("IFERROR(GOOGLEFINANCE(A1395,""low""),"""")"),0.35)</f>
        <v>0.35</v>
      </c>
      <c r="Z1395" s="22">
        <f>IFERROR(__xludf.DUMMYFUNCTION("IFERROR(GOOGLEFINANCE(A1395,""volume""),"""")"),2375.0)</f>
        <v>2375</v>
      </c>
      <c r="AA1395" s="24" t="str">
        <f>VLOOKUP(A1395,Metrik!$C$2:$Y$959,5,0)</f>
        <v>Tourism &amp; Recreation</v>
      </c>
      <c r="AB1395" s="24" t="str">
        <f>VLOOKUP(A1395,Metrik!$C$2:$Y$959,3,0)</f>
        <v>Consumer Cyclicals</v>
      </c>
    </row>
    <row r="1396">
      <c r="A1396" s="14" t="s">
        <v>750</v>
      </c>
      <c r="B1396" s="14" t="str">
        <f t="array" ref="B1396">VLOOKUP(A1396,{Metrik!$C$2:$C$998,Metrik!$B$2:$B$998},2,0)</f>
        <v>Polaris Investama Tbk</v>
      </c>
      <c r="C1396" s="15">
        <f>IFERROR(__xludf.DUMMYFUNCTION("GOOGLEFINANCE(""IDX:""&amp;A1396,""price"")"),50.0)</f>
        <v>50</v>
      </c>
      <c r="D1396" s="16" t="str">
        <f>IFERROR(__xludf.DUMMYFUNCTION("IF(A1396="""","""",
SPARKLINE(
INDEX(
GOOGLEFINANCE(""IDX:""&amp;A1396,""close"",TODAY()-365,TODAY()),
,2
),
{""linewidth"",1}
))
"),"#N/A")</f>
        <v>#N/A</v>
      </c>
      <c r="E1396" s="26"/>
      <c r="F1396" s="26"/>
      <c r="G1396" s="24">
        <f t="shared" si="9"/>
        <v>0</v>
      </c>
      <c r="H1396" s="19">
        <f>VLOOKUP(A1396,Metrik!$C$2:$Y$959,8,0)</f>
        <v>0</v>
      </c>
      <c r="I1396" s="20">
        <f>VLOOKUP(A1396,Metrik!$C$2:$Y$959,9,0)</f>
        <v>0.38</v>
      </c>
      <c r="J1396" s="20">
        <f>VLOOKUP(A1396,Metrik!$C$2:$Y$959,10,0)</f>
        <v>-0.24</v>
      </c>
      <c r="K1396" s="20">
        <f>VLOOKUP(A1396,Metrik!$C$2:$Y$959,11,0)</f>
        <v>-0.2</v>
      </c>
      <c r="L1396" s="20">
        <f>VLOOKUP(A1396,Metrik!$C$2:$Y$959,12,0)</f>
        <v>0.2</v>
      </c>
      <c r="M1396" s="20">
        <f>VLOOKUP(A1396,Metrik!$C$2:$Y$959,19,0)</f>
        <v>-18.9</v>
      </c>
      <c r="N1396" s="21"/>
      <c r="O1396" s="21"/>
      <c r="P1396" s="21"/>
      <c r="Q1396" s="21"/>
      <c r="R1396" s="21"/>
      <c r="S1396" s="21"/>
      <c r="T1396" s="21"/>
      <c r="U1396" s="22">
        <f>IFERROR(__xludf.DUMMYFUNCTION("IFERROR(GOOGLEFINANCE(A1396,""closeyest""),"""")"),0.2)</f>
        <v>0.2</v>
      </c>
      <c r="V1396" s="23">
        <f>IFERROR(__xludf.DUMMYFUNCTION("IFERROR(GOOGLEFINANCE(A1396,""changepct""),"""")"),-2.5)</f>
        <v>-2.5</v>
      </c>
      <c r="W1396" s="22">
        <f>IFERROR(__xludf.DUMMYFUNCTION("IFERROR(GOOGLEFINANCE(A1396,""priceopen""),"""")"),0.19)</f>
        <v>0.19</v>
      </c>
      <c r="X1396" s="22">
        <f>IFERROR(__xludf.DUMMYFUNCTION("IFERROR(GOOGLEFINANCE(A1396,""high""),"""")"),0.21)</f>
        <v>0.21</v>
      </c>
      <c r="Y1396" s="22">
        <f>IFERROR(__xludf.DUMMYFUNCTION("IFERROR(GOOGLEFINANCE(A1396,""low""),"""")"),0.19)</f>
        <v>0.19</v>
      </c>
      <c r="Z1396" s="22">
        <f>IFERROR(__xludf.DUMMYFUNCTION("IFERROR(GOOGLEFINANCE(A1396,""volume""),"""")"),361526.0)</f>
        <v>361526</v>
      </c>
      <c r="AA1396" s="24" t="str">
        <f>VLOOKUP(A1396,Metrik!$C$2:$Y$959,5,0)</f>
        <v>Holding &amp; Investment Companies</v>
      </c>
      <c r="AB1396" s="24" t="str">
        <f>VLOOKUP(A1396,Metrik!$C$2:$Y$959,3,0)</f>
        <v>Financials</v>
      </c>
    </row>
    <row r="1397">
      <c r="A1397" s="14" t="s">
        <v>751</v>
      </c>
      <c r="B1397" s="14" t="str">
        <f t="array" ref="B1397">VLOOKUP(A1397,{Metrik!$C$2:$C$998,Metrik!$B$2:$B$998},2,0)</f>
        <v>Plaza Indonesia Realty Tbk.</v>
      </c>
      <c r="C1397" s="15">
        <f>IFERROR(__xludf.DUMMYFUNCTION("GOOGLEFINANCE(""IDX:""&amp;A1397,""price"")"),2510.0)</f>
        <v>2510</v>
      </c>
      <c r="D1397" s="16" t="str">
        <f>IFERROR(__xludf.DUMMYFUNCTION("IF(A1397="""","""",
SPARKLINE(
INDEX(
GOOGLEFINANCE(""IDX:""&amp;A1397,""close"",TODAY()-365,TODAY()),
,2
),
{""linewidth"",1}
))
"),"#N/A")</f>
        <v>#N/A</v>
      </c>
      <c r="E1397" s="26"/>
      <c r="F1397" s="26"/>
      <c r="G1397" s="24">
        <f t="shared" si="9"/>
        <v>0</v>
      </c>
      <c r="H1397" s="19">
        <f>VLOOKUP(A1397,Metrik!$C$2:$Y$959,8,0)</f>
        <v>13.6</v>
      </c>
      <c r="I1397" s="20">
        <f>VLOOKUP(A1397,Metrik!$C$2:$Y$959,9,0)</f>
        <v>0.77</v>
      </c>
      <c r="J1397" s="20">
        <f>VLOOKUP(A1397,Metrik!$C$2:$Y$959,10,0)</f>
        <v>5.7</v>
      </c>
      <c r="K1397" s="20">
        <f>VLOOKUP(A1397,Metrik!$C$2:$Y$959,11,0)</f>
        <v>5</v>
      </c>
      <c r="L1397" s="20">
        <f>VLOOKUP(A1397,Metrik!$C$2:$Y$959,12,0)</f>
        <v>0.13</v>
      </c>
      <c r="M1397" s="20">
        <f>VLOOKUP(A1397,Metrik!$C$2:$Y$959,19,0)</f>
        <v>180</v>
      </c>
      <c r="N1397" s="21"/>
      <c r="O1397" s="21"/>
      <c r="P1397" s="21"/>
      <c r="Q1397" s="21"/>
      <c r="R1397" s="21"/>
      <c r="S1397" s="21"/>
      <c r="T1397" s="21"/>
      <c r="U1397" s="22">
        <f>IFERROR(__xludf.DUMMYFUNCTION("IFERROR(GOOGLEFINANCE(A1397,""closeyest""),"""")"),2510.0)</f>
        <v>2510</v>
      </c>
      <c r="V1397" s="23">
        <f>IFERROR(__xludf.DUMMYFUNCTION("IFERROR(GOOGLEFINANCE(A1397,""changepct""),"""")"),0.0)</f>
        <v>0</v>
      </c>
      <c r="W1397" s="22" t="str">
        <f>IFERROR(__xludf.DUMMYFUNCTION("IFERROR(GOOGLEFINANCE(A1397,""priceopen""),"""")"),"")</f>
        <v/>
      </c>
      <c r="X1397" s="22" t="str">
        <f>IFERROR(__xludf.DUMMYFUNCTION("IFERROR(GOOGLEFINANCE(A1397,""high""),"""")"),"")</f>
        <v/>
      </c>
      <c r="Y1397" s="22" t="str">
        <f>IFERROR(__xludf.DUMMYFUNCTION("IFERROR(GOOGLEFINANCE(A1397,""low""),"""")"),"")</f>
        <v/>
      </c>
      <c r="Z1397" s="22">
        <f>IFERROR(__xludf.DUMMYFUNCTION("IFERROR(GOOGLEFINANCE(A1397,""volume""),"""")"),0.0)</f>
        <v>0</v>
      </c>
      <c r="AA1397" s="24" t="str">
        <f>VLOOKUP(A1397,Metrik!$C$2:$Y$959,5,0)</f>
        <v>Real Estate Management &amp; Development</v>
      </c>
      <c r="AB1397" s="24" t="str">
        <f>VLOOKUP(A1397,Metrik!$C$2:$Y$959,3,0)</f>
        <v>Properties &amp; Real Estate</v>
      </c>
    </row>
    <row r="1398">
      <c r="A1398" s="14" t="s">
        <v>752</v>
      </c>
      <c r="B1398" s="14" t="str">
        <f t="array" ref="B1398">VLOOKUP(A1398,{Metrik!$C$2:$C$998,Metrik!$B$2:$B$998},2,0)</f>
        <v>Putra Mandiri Jembar Tbk.</v>
      </c>
      <c r="C1398" s="15">
        <f>IFERROR(__xludf.DUMMYFUNCTION("GOOGLEFINANCE(""IDX:""&amp;A1398,""price"")"),106.0)</f>
        <v>106</v>
      </c>
      <c r="D1398" s="16" t="str">
        <f>IFERROR(__xludf.DUMMYFUNCTION("IF(A1398="""","""",
SPARKLINE(
INDEX(
GOOGLEFINANCE(""IDX:""&amp;A1398,""close"",TODAY()-365,TODAY()),
,2
),
{""linewidth"",1}
))
"),"#N/A")</f>
        <v>#N/A</v>
      </c>
      <c r="E1398" s="26"/>
      <c r="F1398" s="26"/>
      <c r="G1398" s="24">
        <f t="shared" si="9"/>
        <v>0</v>
      </c>
      <c r="H1398" s="19">
        <f>VLOOKUP(A1398,Metrik!$C$2:$Y$959,8,0)</f>
        <v>11.7</v>
      </c>
      <c r="I1398" s="20">
        <f>VLOOKUP(A1398,Metrik!$C$2:$Y$959,9,0)</f>
        <v>0.47</v>
      </c>
      <c r="J1398" s="20">
        <f>VLOOKUP(A1398,Metrik!$C$2:$Y$959,10,0)</f>
        <v>4.1</v>
      </c>
      <c r="K1398" s="20">
        <f>VLOOKUP(A1398,Metrik!$C$2:$Y$959,11,0)</f>
        <v>1.6</v>
      </c>
      <c r="L1398" s="20">
        <f>VLOOKUP(A1398,Metrik!$C$2:$Y$959,12,0)</f>
        <v>1.5</v>
      </c>
      <c r="M1398" s="20">
        <f>VLOOKUP(A1398,Metrik!$C$2:$Y$959,19,0)</f>
        <v>5.5</v>
      </c>
      <c r="N1398" s="21"/>
      <c r="O1398" s="21"/>
      <c r="P1398" s="21"/>
      <c r="Q1398" s="21"/>
      <c r="R1398" s="21"/>
      <c r="S1398" s="21"/>
      <c r="T1398" s="21"/>
      <c r="U1398" s="22">
        <f>IFERROR(__xludf.DUMMYFUNCTION("IFERROR(GOOGLEFINANCE(A1398,""closeyest""),"""")"),106.0)</f>
        <v>106</v>
      </c>
      <c r="V1398" s="23">
        <f>IFERROR(__xludf.DUMMYFUNCTION("IFERROR(GOOGLEFINANCE(A1398,""changepct""),"""")"),0.0)</f>
        <v>0</v>
      </c>
      <c r="W1398" s="22">
        <f>IFERROR(__xludf.DUMMYFUNCTION("IFERROR(GOOGLEFINANCE(A1398,""priceopen""),"""")"),106.0)</f>
        <v>106</v>
      </c>
      <c r="X1398" s="22">
        <f>IFERROR(__xludf.DUMMYFUNCTION("IFERROR(GOOGLEFINANCE(A1398,""high""),"""")"),112.0)</f>
        <v>112</v>
      </c>
      <c r="Y1398" s="22">
        <f>IFERROR(__xludf.DUMMYFUNCTION("IFERROR(GOOGLEFINANCE(A1398,""low""),"""")"),105.0)</f>
        <v>105</v>
      </c>
      <c r="Z1398" s="22">
        <f>IFERROR(__xludf.DUMMYFUNCTION("IFERROR(GOOGLEFINANCE(A1398,""volume""),"""")"),857400.0)</f>
        <v>857400</v>
      </c>
      <c r="AA1398" s="24" t="str">
        <f>VLOOKUP(A1398,Metrik!$C$2:$Y$959,5,0)</f>
        <v>Specialty Retail</v>
      </c>
      <c r="AB1398" s="24" t="str">
        <f>VLOOKUP(A1398,Metrik!$C$2:$Y$959,3,0)</f>
        <v>Consumer Cyclicals</v>
      </c>
    </row>
    <row r="1399">
      <c r="A1399" s="14" t="s">
        <v>753</v>
      </c>
      <c r="B1399" s="14" t="str">
        <f t="array" ref="B1399">VLOOKUP(A1399,{Metrik!$C$2:$C$998,Metrik!$B$2:$B$998},2,0)</f>
        <v>Panca Mitra Multiperdana Tbk.</v>
      </c>
      <c r="C1399" s="15">
        <f>IFERROR(__xludf.DUMMYFUNCTION("GOOGLEFINANCE(""IDX:""&amp;A1399,""price"")"),50.0)</f>
        <v>50</v>
      </c>
      <c r="D1399" s="16" t="str">
        <f>IFERROR(__xludf.DUMMYFUNCTION("IF(A1399="""","""",
SPARKLINE(
INDEX(
GOOGLEFINANCE(""IDX:""&amp;A1399,""close"",TODAY()-365,TODAY()),
,2
),
{""linewidth"",1}
))
"),"#N/A")</f>
        <v>#N/A</v>
      </c>
      <c r="E1399" s="26"/>
      <c r="F1399" s="26"/>
      <c r="G1399" s="24">
        <f t="shared" si="9"/>
        <v>0</v>
      </c>
      <c r="H1399" s="19">
        <f>VLOOKUP(A1399,Metrik!$C$2:$Y$959,8,0)</f>
        <v>-0.05</v>
      </c>
      <c r="I1399" s="20">
        <f>VLOOKUP(A1399,Metrik!$C$2:$Y$959,9,0)</f>
        <v>-0.1</v>
      </c>
      <c r="J1399" s="20">
        <f>VLOOKUP(A1399,Metrik!$C$2:$Y$959,10,0)</f>
        <v>0</v>
      </c>
      <c r="K1399" s="20">
        <f>VLOOKUP(A1399,Metrik!$C$2:$Y$959,11,0)</f>
        <v>-92.3</v>
      </c>
      <c r="L1399" s="20">
        <f>VLOOKUP(A1399,Metrik!$C$2:$Y$959,12,0)</f>
        <v>-3.1</v>
      </c>
      <c r="M1399" s="20">
        <f>VLOOKUP(A1399,Metrik!$C$2:$Y$959,19,0)</f>
        <v>-460</v>
      </c>
      <c r="N1399" s="21"/>
      <c r="O1399" s="21"/>
      <c r="P1399" s="21"/>
      <c r="Q1399" s="21"/>
      <c r="R1399" s="21"/>
      <c r="S1399" s="21"/>
      <c r="T1399" s="21"/>
      <c r="U1399" s="22">
        <f>IFERROR(__xludf.DUMMYFUNCTION("IFERROR(GOOGLEFINANCE(A1399,""closeyest""),"""")"),50.0)</f>
        <v>50</v>
      </c>
      <c r="V1399" s="23">
        <f>IFERROR(__xludf.DUMMYFUNCTION("IFERROR(GOOGLEFINANCE(A1399,""changepct""),"""")"),0.0)</f>
        <v>0</v>
      </c>
      <c r="W1399" s="22" t="str">
        <f>IFERROR(__xludf.DUMMYFUNCTION("IFERROR(GOOGLEFINANCE(A1399,""priceopen""),"""")"),"")</f>
        <v/>
      </c>
      <c r="X1399" s="22" t="str">
        <f>IFERROR(__xludf.DUMMYFUNCTION("IFERROR(GOOGLEFINANCE(A1399,""high""),"""")"),"")</f>
        <v/>
      </c>
      <c r="Y1399" s="22" t="str">
        <f>IFERROR(__xludf.DUMMYFUNCTION("IFERROR(GOOGLEFINANCE(A1399,""low""),"""")"),"")</f>
        <v/>
      </c>
      <c r="Z1399" s="22">
        <f>IFERROR(__xludf.DUMMYFUNCTION("IFERROR(GOOGLEFINANCE(A1399,""volume""),"""")"),0.0)</f>
        <v>0</v>
      </c>
      <c r="AA1399" s="24" t="str">
        <f>VLOOKUP(A1399,Metrik!$C$2:$Y$959,5,0)</f>
        <v>Processed Foods</v>
      </c>
      <c r="AB1399" s="24" t="str">
        <f>VLOOKUP(A1399,Metrik!$C$2:$Y$959,3,0)</f>
        <v>Consumer Non-Cyclicals</v>
      </c>
    </row>
    <row r="1400">
      <c r="A1400" s="14" t="s">
        <v>754</v>
      </c>
      <c r="B1400" s="14" t="str">
        <f t="array" ref="B1400">VLOOKUP(A1400,{Metrik!$C$2:$C$998,Metrik!$B$2:$B$998},2,0)</f>
        <v>Prima Multi Usaha Indonesia Tbk.</v>
      </c>
      <c r="C1400" s="15">
        <f>IFERROR(__xludf.DUMMYFUNCTION("GOOGLEFINANCE(""IDX:""&amp;A1400,""price"")"),68.0)</f>
        <v>68</v>
      </c>
      <c r="D1400" s="16" t="str">
        <f>IFERROR(__xludf.DUMMYFUNCTION("IF(A1400="""","""",
SPARKLINE(
INDEX(
GOOGLEFINANCE(""IDX:""&amp;A1400,""close"",TODAY()-365,TODAY()),
,2
),
{""linewidth"",1}
))
"),"#N/A")</f>
        <v>#N/A</v>
      </c>
      <c r="E1400" s="26"/>
      <c r="F1400" s="26"/>
      <c r="G1400" s="24">
        <f t="shared" si="9"/>
        <v>0</v>
      </c>
      <c r="H1400" s="19">
        <f>VLOOKUP(A1400,Metrik!$C$2:$Y$959,8,0)</f>
        <v>10.2</v>
      </c>
      <c r="I1400" s="20">
        <f>VLOOKUP(A1400,Metrik!$C$2:$Y$959,9,0)</f>
        <v>0.9</v>
      </c>
      <c r="J1400" s="20">
        <f>VLOOKUP(A1400,Metrik!$C$2:$Y$959,10,0)</f>
        <v>8.8</v>
      </c>
      <c r="K1400" s="20">
        <f>VLOOKUP(A1400,Metrik!$C$2:$Y$959,11,0)</f>
        <v>6.7</v>
      </c>
      <c r="L1400" s="20">
        <f>VLOOKUP(A1400,Metrik!$C$2:$Y$959,12,0)</f>
        <v>0.31</v>
      </c>
      <c r="M1400" s="20">
        <f>VLOOKUP(A1400,Metrik!$C$2:$Y$959,19,0)</f>
        <v>3.5</v>
      </c>
      <c r="N1400" s="21"/>
      <c r="O1400" s="21"/>
      <c r="P1400" s="21"/>
      <c r="Q1400" s="21"/>
      <c r="R1400" s="21"/>
      <c r="S1400" s="21"/>
      <c r="T1400" s="21"/>
      <c r="U1400" s="22">
        <f>IFERROR(__xludf.DUMMYFUNCTION("IFERROR(GOOGLEFINANCE(A1400,""closeyest""),"""")"),65.0)</f>
        <v>65</v>
      </c>
      <c r="V1400" s="23" t="str">
        <f>IFERROR(__xludf.DUMMYFUNCTION("IFERROR(GOOGLEFINANCE(A1400,""changepct""),"""")"),"")</f>
        <v/>
      </c>
      <c r="W1400" s="22" t="str">
        <f>IFERROR(__xludf.DUMMYFUNCTION("IFERROR(GOOGLEFINANCE(A1400,""priceopen""),"""")"),"")</f>
        <v/>
      </c>
      <c r="X1400" s="22">
        <f>IFERROR(__xludf.DUMMYFUNCTION("IFERROR(GOOGLEFINANCE(A1400,""high""),"""")"),70.0)</f>
        <v>70</v>
      </c>
      <c r="Y1400" s="22">
        <f>IFERROR(__xludf.DUMMYFUNCTION("IFERROR(GOOGLEFINANCE(A1400,""low""),"""")"),65.0)</f>
        <v>65</v>
      </c>
      <c r="Z1400" s="22">
        <f>IFERROR(__xludf.DUMMYFUNCTION("IFERROR(GOOGLEFINANCE(A1400,""volume""),"""")"),2309400.0)</f>
        <v>2309400</v>
      </c>
      <c r="AA1400" s="24" t="str">
        <f>VLOOKUP(A1400,Metrik!$C$2:$Y$959,5,0)</f>
        <v>Consumer Distributors</v>
      </c>
      <c r="AB1400" s="24" t="str">
        <f>VLOOKUP(A1400,Metrik!$C$2:$Y$959,3,0)</f>
        <v>Consumer Cyclicals</v>
      </c>
    </row>
    <row r="1401">
      <c r="A1401" s="14" t="s">
        <v>755</v>
      </c>
      <c r="B1401" s="14" t="str">
        <f t="array" ref="B1401">VLOOKUP(A1401,{Metrik!$C$2:$C$998,Metrik!$B$2:$B$998},2,0)</f>
        <v>Bank Pan Indonesia Tbk</v>
      </c>
      <c r="C1401" s="15" t="str">
        <f>IFERROR(__xludf.DUMMYFUNCTION("GOOGLEFINANCE(""IDX:""&amp;A1401,""price"")"),"#N/A")</f>
        <v>#N/A</v>
      </c>
      <c r="D1401" s="16" t="str">
        <f>IFERROR(__xludf.DUMMYFUNCTION("IF(A1401="""","""",
SPARKLINE(
INDEX(
GOOGLEFINANCE(""IDX:""&amp;A1401,""close"",TODAY()-365,TODAY()),
,2
),
{""linewidth"",1}
))
"),"#N/A")</f>
        <v>#N/A</v>
      </c>
      <c r="E1401" s="14" t="s">
        <v>75</v>
      </c>
      <c r="F1401" s="14" t="s">
        <v>76</v>
      </c>
      <c r="G1401" s="24">
        <f t="shared" si="9"/>
        <v>3</v>
      </c>
      <c r="H1401" s="19">
        <f>VLOOKUP(A1401,Metrik!$C$2:$Y$959,8,0)</f>
        <v>8.4</v>
      </c>
      <c r="I1401" s="20">
        <f>VLOOKUP(A1401,Metrik!$C$2:$Y$959,9,0)</f>
        <v>0.39</v>
      </c>
      <c r="J1401" s="20">
        <f>VLOOKUP(A1401,Metrik!$C$2:$Y$959,10,0)</f>
        <v>4.7</v>
      </c>
      <c r="K1401" s="20">
        <f>VLOOKUP(A1401,Metrik!$C$2:$Y$959,11,0)</f>
        <v>1.2</v>
      </c>
      <c r="L1401" s="20">
        <f>VLOOKUP(A1401,Metrik!$C$2:$Y$959,12,0)</f>
        <v>2.6</v>
      </c>
      <c r="M1401" s="20">
        <f>VLOOKUP(A1401,Metrik!$C$2:$Y$959,19,0)</f>
        <v>70.4</v>
      </c>
      <c r="N1401" s="44">
        <v>3.67</v>
      </c>
      <c r="O1401" s="44">
        <v>32.41</v>
      </c>
      <c r="P1401" s="44">
        <v>87.4</v>
      </c>
      <c r="Q1401" s="44">
        <v>3.03</v>
      </c>
      <c r="R1401" s="44">
        <v>81.11</v>
      </c>
      <c r="S1401" s="44">
        <v>50.49</v>
      </c>
      <c r="T1401" s="44">
        <v>9.47</v>
      </c>
      <c r="U1401" s="22">
        <f>IFERROR(__xludf.DUMMYFUNCTION("IFERROR(GOOGLEFINANCE(A1401,""closeyest""),"""")"),915.0)</f>
        <v>915</v>
      </c>
      <c r="V1401" s="23">
        <f>IFERROR(__xludf.DUMMYFUNCTION("IFERROR(GOOGLEFINANCE(A1401,""changepct""),"""")"),0.0)</f>
        <v>0</v>
      </c>
      <c r="W1401" s="22">
        <f>IFERROR(__xludf.DUMMYFUNCTION("IFERROR(GOOGLEFINANCE(A1401,""priceopen""),"""")"),930.0)</f>
        <v>930</v>
      </c>
      <c r="X1401" s="22">
        <f>IFERROR(__xludf.DUMMYFUNCTION("IFERROR(GOOGLEFINANCE(A1401,""high""),"""")"),940.0)</f>
        <v>940</v>
      </c>
      <c r="Y1401" s="22">
        <f>IFERROR(__xludf.DUMMYFUNCTION("IFERROR(GOOGLEFINANCE(A1401,""low""),"""")"),915.0)</f>
        <v>915</v>
      </c>
      <c r="Z1401" s="22">
        <f>IFERROR(__xludf.DUMMYFUNCTION("IFERROR(GOOGLEFINANCE(A1401,""volume""),"""")"),527900.0)</f>
        <v>527900</v>
      </c>
      <c r="AA1401" s="24" t="str">
        <f>VLOOKUP(A1401,Metrik!$C$2:$Y$959,5,0)</f>
        <v>Banks</v>
      </c>
      <c r="AB1401" s="24" t="str">
        <f>VLOOKUP(A1401,Metrik!$C$2:$Y$959,3,0)</f>
        <v>Financials</v>
      </c>
    </row>
    <row r="1402">
      <c r="A1402" s="14" t="s">
        <v>755</v>
      </c>
      <c r="B1402" s="14" t="str">
        <f t="array" ref="B1402">VLOOKUP(A1402,{Metrik!$C$2:$C$998,Metrik!$B$2:$B$998},2,0)</f>
        <v>Bank Pan Indonesia Tbk</v>
      </c>
      <c r="C1402" s="15" t="str">
        <f>IFERROR(__xludf.DUMMYFUNCTION("GOOGLEFINANCE(""IDX:""&amp;A1402,""price"")"),"#N/A")</f>
        <v>#N/A</v>
      </c>
      <c r="D1402" s="16" t="str">
        <f>IFERROR(__xludf.DUMMYFUNCTION("IF(A1402="""","""",
SPARKLINE(
INDEX(
GOOGLEFINANCE(""IDX:""&amp;A1402,""close"",TODAY()-365,TODAY()),
,2
),
{""linewidth"",1}
))
"),"#N/A")</f>
        <v>#N/A</v>
      </c>
      <c r="E1402" s="14" t="s">
        <v>161</v>
      </c>
      <c r="F1402" s="14" t="s">
        <v>76</v>
      </c>
      <c r="G1402" s="24">
        <f t="shared" si="9"/>
        <v>3</v>
      </c>
      <c r="H1402" s="19">
        <f>VLOOKUP(A1402,Metrik!$C$2:$Y$959,8,0)</f>
        <v>8.4</v>
      </c>
      <c r="I1402" s="20">
        <f>VLOOKUP(A1402,Metrik!$C$2:$Y$959,9,0)</f>
        <v>0.39</v>
      </c>
      <c r="J1402" s="20">
        <f>VLOOKUP(A1402,Metrik!$C$2:$Y$959,10,0)</f>
        <v>4.7</v>
      </c>
      <c r="K1402" s="20">
        <f>VLOOKUP(A1402,Metrik!$C$2:$Y$959,11,0)</f>
        <v>1.2</v>
      </c>
      <c r="L1402" s="20">
        <f>VLOOKUP(A1402,Metrik!$C$2:$Y$959,12,0)</f>
        <v>2.6</v>
      </c>
      <c r="M1402" s="20">
        <f>VLOOKUP(A1402,Metrik!$C$2:$Y$959,19,0)</f>
        <v>70.4</v>
      </c>
      <c r="N1402" s="44">
        <v>3.67</v>
      </c>
      <c r="O1402" s="44">
        <v>32.41</v>
      </c>
      <c r="P1402" s="44">
        <v>87.4</v>
      </c>
      <c r="Q1402" s="44">
        <v>3.03</v>
      </c>
      <c r="R1402" s="44">
        <v>81.11</v>
      </c>
      <c r="S1402" s="44">
        <v>50.49</v>
      </c>
      <c r="T1402" s="44">
        <v>9.47</v>
      </c>
      <c r="U1402" s="22">
        <f>IFERROR(__xludf.DUMMYFUNCTION("IFERROR(GOOGLEFINANCE(A1402,""closeyest""),"""")"),915.0)</f>
        <v>915</v>
      </c>
      <c r="V1402" s="23">
        <f>IFERROR(__xludf.DUMMYFUNCTION("IFERROR(GOOGLEFINANCE(A1402,""changepct""),"""")"),0.0)</f>
        <v>0</v>
      </c>
      <c r="W1402" s="22">
        <f>IFERROR(__xludf.DUMMYFUNCTION("IFERROR(GOOGLEFINANCE(A1402,""priceopen""),"""")"),930.0)</f>
        <v>930</v>
      </c>
      <c r="X1402" s="22">
        <f>IFERROR(__xludf.DUMMYFUNCTION("IFERROR(GOOGLEFINANCE(A1402,""high""),"""")"),940.0)</f>
        <v>940</v>
      </c>
      <c r="Y1402" s="22">
        <f>IFERROR(__xludf.DUMMYFUNCTION("IFERROR(GOOGLEFINANCE(A1402,""low""),"""")"),915.0)</f>
        <v>915</v>
      </c>
      <c r="Z1402" s="22">
        <f>IFERROR(__xludf.DUMMYFUNCTION("IFERROR(GOOGLEFINANCE(A1402,""volume""),"""")"),527900.0)</f>
        <v>527900</v>
      </c>
      <c r="AA1402" s="24" t="str">
        <f>VLOOKUP(A1402,Metrik!$C$2:$Y$959,5,0)</f>
        <v>Banks</v>
      </c>
      <c r="AB1402" s="24" t="str">
        <f>VLOOKUP(A1402,Metrik!$C$2:$Y$959,3,0)</f>
        <v>Financials</v>
      </c>
    </row>
    <row r="1403">
      <c r="A1403" s="14" t="s">
        <v>755</v>
      </c>
      <c r="B1403" s="14" t="str">
        <f t="array" ref="B1403">VLOOKUP(A1403,{Metrik!$C$2:$C$998,Metrik!$B$2:$B$998},2,0)</f>
        <v>Bank Pan Indonesia Tbk</v>
      </c>
      <c r="C1403" s="15" t="str">
        <f>IFERROR(__xludf.DUMMYFUNCTION("GOOGLEFINANCE(""IDX:""&amp;A1403,""price"")"),"#N/A")</f>
        <v>#N/A</v>
      </c>
      <c r="D1403" s="16" t="str">
        <f>IFERROR(__xludf.DUMMYFUNCTION("IF(A1403="""","""",
SPARKLINE(
INDEX(
GOOGLEFINANCE(""IDX:""&amp;A1403,""close"",TODAY()-365,TODAY()),
,2
),
{""linewidth"",1}
))
"),"#N/A")</f>
        <v>#N/A</v>
      </c>
      <c r="E1403" s="14" t="s">
        <v>162</v>
      </c>
      <c r="F1403" s="14" t="s">
        <v>76</v>
      </c>
      <c r="G1403" s="24">
        <f t="shared" si="9"/>
        <v>3</v>
      </c>
      <c r="H1403" s="19">
        <f>VLOOKUP(A1403,Metrik!$C$2:$Y$959,8,0)</f>
        <v>8.4</v>
      </c>
      <c r="I1403" s="20">
        <f>VLOOKUP(A1403,Metrik!$C$2:$Y$959,9,0)</f>
        <v>0.39</v>
      </c>
      <c r="J1403" s="20">
        <f>VLOOKUP(A1403,Metrik!$C$2:$Y$959,10,0)</f>
        <v>4.7</v>
      </c>
      <c r="K1403" s="20">
        <f>VLOOKUP(A1403,Metrik!$C$2:$Y$959,11,0)</f>
        <v>1.2</v>
      </c>
      <c r="L1403" s="20">
        <f>VLOOKUP(A1403,Metrik!$C$2:$Y$959,12,0)</f>
        <v>2.6</v>
      </c>
      <c r="M1403" s="20">
        <f>VLOOKUP(A1403,Metrik!$C$2:$Y$959,19,0)</f>
        <v>70.4</v>
      </c>
      <c r="N1403" s="44">
        <v>3.67</v>
      </c>
      <c r="O1403" s="44">
        <v>32.41</v>
      </c>
      <c r="P1403" s="44">
        <v>87.4</v>
      </c>
      <c r="Q1403" s="44">
        <v>3.03</v>
      </c>
      <c r="R1403" s="44">
        <v>81.11</v>
      </c>
      <c r="S1403" s="44">
        <v>50.49</v>
      </c>
      <c r="T1403" s="44">
        <v>9.47</v>
      </c>
      <c r="U1403" s="22">
        <f>IFERROR(__xludf.DUMMYFUNCTION("IFERROR(GOOGLEFINANCE(A1403,""closeyest""),"""")"),915.0)</f>
        <v>915</v>
      </c>
      <c r="V1403" s="23">
        <f>IFERROR(__xludf.DUMMYFUNCTION("IFERROR(GOOGLEFINANCE(A1403,""changepct""),"""")"),0.0)</f>
        <v>0</v>
      </c>
      <c r="W1403" s="22">
        <f>IFERROR(__xludf.DUMMYFUNCTION("IFERROR(GOOGLEFINANCE(A1403,""priceopen""),"""")"),930.0)</f>
        <v>930</v>
      </c>
      <c r="X1403" s="22">
        <f>IFERROR(__xludf.DUMMYFUNCTION("IFERROR(GOOGLEFINANCE(A1403,""high""),"""")"),940.0)</f>
        <v>940</v>
      </c>
      <c r="Y1403" s="22">
        <f>IFERROR(__xludf.DUMMYFUNCTION("IFERROR(GOOGLEFINANCE(A1403,""low""),"""")"),915.0)</f>
        <v>915</v>
      </c>
      <c r="Z1403" s="22">
        <f>IFERROR(__xludf.DUMMYFUNCTION("IFERROR(GOOGLEFINANCE(A1403,""volume""),"""")"),527900.0)</f>
        <v>527900</v>
      </c>
      <c r="AA1403" s="24" t="str">
        <f>VLOOKUP(A1403,Metrik!$C$2:$Y$959,5,0)</f>
        <v>Banks</v>
      </c>
      <c r="AB1403" s="24" t="str">
        <f>VLOOKUP(A1403,Metrik!$C$2:$Y$959,3,0)</f>
        <v>Financials</v>
      </c>
    </row>
    <row r="1404">
      <c r="A1404" s="14" t="s">
        <v>756</v>
      </c>
      <c r="B1404" s="14" t="str">
        <f t="array" ref="B1404">VLOOKUP(A1404,{Metrik!$C$2:$C$998,Metrik!$B$2:$B$998},2,0)</f>
        <v>PT Bank Panin Dubai Syariah Tbk.</v>
      </c>
      <c r="C1404" s="15">
        <f>IFERROR(__xludf.DUMMYFUNCTION("GOOGLEFINANCE(""IDX:""&amp;A1404,""price"")"),50.0)</f>
        <v>50</v>
      </c>
      <c r="D1404" s="16" t="str">
        <f>IFERROR(__xludf.DUMMYFUNCTION("IF(A1404="""","""",
SPARKLINE(
INDEX(
GOOGLEFINANCE(""IDX:""&amp;A1404,""close"",TODAY()-365,TODAY()),
,2
),
{""linewidth"",1}
))
"),"#N/A")</f>
        <v>#N/A</v>
      </c>
      <c r="E1404" s="26"/>
      <c r="F1404" s="26"/>
      <c r="G1404" s="24">
        <f t="shared" si="9"/>
        <v>0</v>
      </c>
      <c r="H1404" s="19">
        <f>VLOOKUP(A1404,Metrik!$C$2:$Y$959,8,0)</f>
        <v>34</v>
      </c>
      <c r="I1404" s="20">
        <f>VLOOKUP(A1404,Metrik!$C$2:$Y$959,9,0)</f>
        <v>0.65</v>
      </c>
      <c r="J1404" s="20">
        <f>VLOOKUP(A1404,Metrik!$C$2:$Y$959,10,0)</f>
        <v>1.9</v>
      </c>
      <c r="K1404" s="20">
        <f>VLOOKUP(A1404,Metrik!$C$2:$Y$959,11,0)</f>
        <v>0.29</v>
      </c>
      <c r="L1404" s="20">
        <f>VLOOKUP(A1404,Metrik!$C$2:$Y$959,12,0)</f>
        <v>0.39</v>
      </c>
      <c r="M1404" s="20">
        <f>VLOOKUP(A1404,Metrik!$C$2:$Y$959,19,0)</f>
        <v>39.7</v>
      </c>
      <c r="N1404" s="41"/>
      <c r="O1404" s="32">
        <v>21.94</v>
      </c>
      <c r="P1404" s="41"/>
      <c r="Q1404" s="32">
        <v>3.25</v>
      </c>
      <c r="R1404" s="41"/>
      <c r="S1404" s="41"/>
      <c r="T1404" s="41"/>
      <c r="U1404" s="22">
        <f>IFERROR(__xludf.DUMMYFUNCTION("IFERROR(GOOGLEFINANCE(A1404,""closeyest""),"""")"),50.0)</f>
        <v>50</v>
      </c>
      <c r="V1404" s="23">
        <f>IFERROR(__xludf.DUMMYFUNCTION("IFERROR(GOOGLEFINANCE(A1404,""changepct""),"""")"),0.0)</f>
        <v>0</v>
      </c>
      <c r="W1404" s="22">
        <f>IFERROR(__xludf.DUMMYFUNCTION("IFERROR(GOOGLEFINANCE(A1404,""priceopen""),"""")"),50.0)</f>
        <v>50</v>
      </c>
      <c r="X1404" s="22" t="str">
        <f>IFERROR(__xludf.DUMMYFUNCTION("IFERROR(GOOGLEFINANCE(A1404,""high""),"""")"),"")</f>
        <v/>
      </c>
      <c r="Y1404" s="22">
        <f>IFERROR(__xludf.DUMMYFUNCTION("IFERROR(GOOGLEFINANCE(A1404,""low""),"""")"),50.0)</f>
        <v>50</v>
      </c>
      <c r="Z1404" s="22">
        <f>IFERROR(__xludf.DUMMYFUNCTION("IFERROR(GOOGLEFINANCE(A1404,""volume""),"""")"),1.67367E7)</f>
        <v>16736700</v>
      </c>
      <c r="AA1404" s="24" t="str">
        <f>VLOOKUP(A1404,Metrik!$C$2:$Y$959,5,0)</f>
        <v>Banks</v>
      </c>
      <c r="AB1404" s="24" t="str">
        <f>VLOOKUP(A1404,Metrik!$C$2:$Y$959,3,0)</f>
        <v>Financials</v>
      </c>
    </row>
    <row r="1405">
      <c r="A1405" s="14" t="s">
        <v>757</v>
      </c>
      <c r="B1405" s="14" t="str">
        <f t="array" ref="B1405">VLOOKUP(A1405,{Metrik!$C$2:$C$998,Metrik!$B$2:$B$998},2,0)</f>
        <v>Pinago Utama Tbk.</v>
      </c>
      <c r="C1405" s="15" t="str">
        <f>IFERROR(__xludf.DUMMYFUNCTION("GOOGLEFINANCE(""IDX:""&amp;A1405,""price"")"),"#N/A")</f>
        <v>#N/A</v>
      </c>
      <c r="D1405" s="16" t="str">
        <f>IFERROR(__xludf.DUMMYFUNCTION("IF(A1405="""","""",
SPARKLINE(
INDEX(
GOOGLEFINANCE(""IDX:""&amp;A1405,""close"",TODAY()-365,TODAY()),
,2
),
{""linewidth"",1}
))
"),"#N/A")</f>
        <v>#N/A</v>
      </c>
      <c r="E1405" s="26"/>
      <c r="F1405" s="26"/>
      <c r="G1405" s="18">
        <f t="shared" si="9"/>
        <v>0</v>
      </c>
      <c r="H1405" s="19">
        <f>VLOOKUP(A1405,Metrik!$C$2:$Y$959,8,0)</f>
        <v>10</v>
      </c>
      <c r="I1405" s="20">
        <f>VLOOKUP(A1405,Metrik!$C$2:$Y$959,9,0)</f>
        <v>2.4</v>
      </c>
      <c r="J1405" s="20">
        <f>VLOOKUP(A1405,Metrik!$C$2:$Y$959,10,0)</f>
        <v>24</v>
      </c>
      <c r="K1405" s="20">
        <f>VLOOKUP(A1405,Metrik!$C$2:$Y$959,11,0)</f>
        <v>16.2</v>
      </c>
      <c r="L1405" s="20">
        <f>VLOOKUP(A1405,Metrik!$C$2:$Y$959,12,0)</f>
        <v>0.48</v>
      </c>
      <c r="M1405" s="20">
        <f>VLOOKUP(A1405,Metrik!$C$2:$Y$959,19,0)</f>
        <v>47.9</v>
      </c>
      <c r="N1405" s="21"/>
      <c r="O1405" s="21"/>
      <c r="P1405" s="21"/>
      <c r="Q1405" s="21"/>
      <c r="R1405" s="21"/>
      <c r="S1405" s="21"/>
      <c r="T1405" s="21"/>
      <c r="U1405" s="22">
        <f>IFERROR(__xludf.DUMMYFUNCTION("IFERROR(GOOGLEFINANCE(A1405,""closeyest""),"""")"),3410.0)</f>
        <v>3410</v>
      </c>
      <c r="V1405" s="23">
        <f>IFERROR(__xludf.DUMMYFUNCTION("IFERROR(GOOGLEFINANCE(A1405,""changepct""),"""")"),0.59)</f>
        <v>0.59</v>
      </c>
      <c r="W1405" s="22">
        <f>IFERROR(__xludf.DUMMYFUNCTION("IFERROR(GOOGLEFINANCE(A1405,""priceopen""),"""")"),3410.0)</f>
        <v>3410</v>
      </c>
      <c r="X1405" s="22">
        <f>IFERROR(__xludf.DUMMYFUNCTION("IFERROR(GOOGLEFINANCE(A1405,""high""),"""")"),3460.0)</f>
        <v>3460</v>
      </c>
      <c r="Y1405" s="22">
        <f>IFERROR(__xludf.DUMMYFUNCTION("IFERROR(GOOGLEFINANCE(A1405,""low""),"""")"),3410.0)</f>
        <v>3410</v>
      </c>
      <c r="Z1405" s="22">
        <f>IFERROR(__xludf.DUMMYFUNCTION("IFERROR(GOOGLEFINANCE(A1405,""volume""),"""")"),5700.0)</f>
        <v>5700</v>
      </c>
      <c r="AA1405" s="24" t="str">
        <f>VLOOKUP(A1405,Metrik!$C$2:$Y$959,5,0)</f>
        <v>Agricultural Products</v>
      </c>
      <c r="AB1405" s="24" t="str">
        <f>VLOOKUP(A1405,Metrik!$C$2:$Y$959,3,0)</f>
        <v>Consumer Non-Cyclicals</v>
      </c>
    </row>
    <row r="1406">
      <c r="A1406" s="14" t="s">
        <v>758</v>
      </c>
      <c r="B1406" s="14" t="str">
        <f t="array" ref="B1406">VLOOKUP(A1406,{Metrik!$C$2:$C$998,Metrik!$B$2:$B$998},2,0)</f>
        <v>Paninvest Tbk.</v>
      </c>
      <c r="C1406" s="15">
        <f>IFERROR(__xludf.DUMMYFUNCTION("GOOGLEFINANCE(""IDX:""&amp;A1406,""price"")"),710.0)</f>
        <v>710</v>
      </c>
      <c r="D1406" s="16" t="str">
        <f>IFERROR(__xludf.DUMMYFUNCTION("IF(A1406="""","""",
SPARKLINE(
INDEX(
GOOGLEFINANCE(""IDX:""&amp;A1406,""close"",TODAY()-365,TODAY()),
,2
),
{""linewidth"",1}
))
"),"#N/A")</f>
        <v>#N/A</v>
      </c>
      <c r="E1406" s="26"/>
      <c r="F1406" s="26"/>
      <c r="G1406" s="24">
        <f t="shared" si="9"/>
        <v>0</v>
      </c>
      <c r="H1406" s="19">
        <f>VLOOKUP(A1406,Metrik!$C$2:$Y$959,8,0)</f>
        <v>2.6</v>
      </c>
      <c r="I1406" s="20">
        <f>VLOOKUP(A1406,Metrik!$C$2:$Y$959,9,0)</f>
        <v>0.04</v>
      </c>
      <c r="J1406" s="20">
        <f>VLOOKUP(A1406,Metrik!$C$2:$Y$959,10,0)</f>
        <v>1.7</v>
      </c>
      <c r="K1406" s="20">
        <f>VLOOKUP(A1406,Metrik!$C$2:$Y$959,11,0)</f>
        <v>0.5</v>
      </c>
      <c r="L1406" s="20">
        <f>VLOOKUP(A1406,Metrik!$C$2:$Y$959,12,0)</f>
        <v>2.2</v>
      </c>
      <c r="M1406" s="20">
        <f>VLOOKUP(A1406,Metrik!$C$2:$Y$959,19,0)</f>
        <v>34.8</v>
      </c>
      <c r="N1406" s="21"/>
      <c r="O1406" s="21"/>
      <c r="P1406" s="21"/>
      <c r="Q1406" s="21"/>
      <c r="R1406" s="21"/>
      <c r="S1406" s="21"/>
      <c r="T1406" s="21"/>
      <c r="U1406" s="22">
        <f>IFERROR(__xludf.DUMMYFUNCTION("IFERROR(GOOGLEFINANCE(A1406,""closeyest""),"""")"),700.0)</f>
        <v>700</v>
      </c>
      <c r="V1406" s="23">
        <f>IFERROR(__xludf.DUMMYFUNCTION("IFERROR(GOOGLEFINANCE(A1406,""changepct""),"""")"),1.43)</f>
        <v>1.43</v>
      </c>
      <c r="W1406" s="22">
        <f>IFERROR(__xludf.DUMMYFUNCTION("IFERROR(GOOGLEFINANCE(A1406,""priceopen""),"""")"),695.0)</f>
        <v>695</v>
      </c>
      <c r="X1406" s="22">
        <f>IFERROR(__xludf.DUMMYFUNCTION("IFERROR(GOOGLEFINANCE(A1406,""high""),"""")"),715.0)</f>
        <v>715</v>
      </c>
      <c r="Y1406" s="22">
        <f>IFERROR(__xludf.DUMMYFUNCTION("IFERROR(GOOGLEFINANCE(A1406,""low""),"""")"),695.0)</f>
        <v>695</v>
      </c>
      <c r="Z1406" s="22" t="str">
        <f>IFERROR(__xludf.DUMMYFUNCTION("IFERROR(GOOGLEFINANCE(A1406,""volume""),"""")"),"")</f>
        <v/>
      </c>
      <c r="AA1406" s="24" t="str">
        <f>VLOOKUP(A1406,Metrik!$C$2:$Y$959,5,0)</f>
        <v>Insurance</v>
      </c>
      <c r="AB1406" s="24" t="str">
        <f>VLOOKUP(A1406,Metrik!$C$2:$Y$959,3,0)</f>
        <v>Financials</v>
      </c>
    </row>
    <row r="1407">
      <c r="A1407" s="14" t="s">
        <v>759</v>
      </c>
      <c r="B1407" s="14" t="str">
        <f t="array" ref="B1407">VLOOKUP(A1407,{Metrik!$C$2:$C$998,Metrik!$B$2:$B$998},2,0)</f>
        <v>Panin Financial Tbk.</v>
      </c>
      <c r="C1407" s="15" t="str">
        <f>IFERROR(__xludf.DUMMYFUNCTION("GOOGLEFINANCE(""IDX:""&amp;A1407,""price"")"),"#N/A")</f>
        <v>#N/A</v>
      </c>
      <c r="D1407" s="16" t="str">
        <f>IFERROR(__xludf.DUMMYFUNCTION("IF(A1407="""","""",
SPARKLINE(
INDEX(
GOOGLEFINANCE(""IDX:""&amp;A1407,""close"",TODAY()-365,TODAY()),
,2
),
{""linewidth"",1}
))
"),"#N/A")</f>
        <v>#N/A</v>
      </c>
      <c r="E1407" s="14" t="s">
        <v>52</v>
      </c>
      <c r="F1407" s="27" t="s">
        <v>53</v>
      </c>
      <c r="G1407" s="24">
        <f t="shared" si="9"/>
        <v>4</v>
      </c>
      <c r="H1407" s="19">
        <f>VLOOKUP(A1407,Metrik!$C$2:$Y$959,8,0)</f>
        <v>3.6</v>
      </c>
      <c r="I1407" s="20">
        <f>VLOOKUP(A1407,Metrik!$C$2:$Y$959,9,0)</f>
        <v>0.11</v>
      </c>
      <c r="J1407" s="20">
        <f>VLOOKUP(A1407,Metrik!$C$2:$Y$959,10,0)</f>
        <v>3.1</v>
      </c>
      <c r="K1407" s="20">
        <f>VLOOKUP(A1407,Metrik!$C$2:$Y$959,11,0)</f>
        <v>0.88</v>
      </c>
      <c r="L1407" s="20">
        <f>VLOOKUP(A1407,Metrik!$C$2:$Y$959,12,0)</f>
        <v>2.3</v>
      </c>
      <c r="M1407" s="20">
        <f>VLOOKUP(A1407,Metrik!$C$2:$Y$959,19,0)</f>
        <v>62.6</v>
      </c>
      <c r="N1407" s="21"/>
      <c r="O1407" s="21"/>
      <c r="P1407" s="21"/>
      <c r="Q1407" s="21"/>
      <c r="R1407" s="21"/>
      <c r="S1407" s="21"/>
      <c r="T1407" s="21"/>
      <c r="U1407" s="22">
        <f>IFERROR(__xludf.DUMMYFUNCTION("IFERROR(GOOGLEFINANCE(A1407,""closeyest""),"""")"),206.0)</f>
        <v>206</v>
      </c>
      <c r="V1407" s="23">
        <f>IFERROR(__xludf.DUMMYFUNCTION("IFERROR(GOOGLEFINANCE(A1407,""changepct""),"""")"),2.91)</f>
        <v>2.91</v>
      </c>
      <c r="W1407" s="22">
        <f>IFERROR(__xludf.DUMMYFUNCTION("IFERROR(GOOGLEFINANCE(A1407,""priceopen""),"""")"),208.0)</f>
        <v>208</v>
      </c>
      <c r="X1407" s="22">
        <f>IFERROR(__xludf.DUMMYFUNCTION("IFERROR(GOOGLEFINANCE(A1407,""high""),"""")"),216.0)</f>
        <v>216</v>
      </c>
      <c r="Y1407" s="22">
        <f>IFERROR(__xludf.DUMMYFUNCTION("IFERROR(GOOGLEFINANCE(A1407,""low""),"""")"),208.0)</f>
        <v>208</v>
      </c>
      <c r="Z1407" s="22">
        <f>IFERROR(__xludf.DUMMYFUNCTION("IFERROR(GOOGLEFINANCE(A1407,""volume""),"""")"),7.09446E7)</f>
        <v>70944600</v>
      </c>
      <c r="AA1407" s="24" t="str">
        <f>VLOOKUP(A1407,Metrik!$C$2:$Y$959,5,0)</f>
        <v>Insurance</v>
      </c>
      <c r="AB1407" s="24" t="str">
        <f>VLOOKUP(A1407,Metrik!$C$2:$Y$959,3,0)</f>
        <v>Financials</v>
      </c>
    </row>
    <row r="1408">
      <c r="A1408" s="14" t="s">
        <v>759</v>
      </c>
      <c r="B1408" s="14" t="str">
        <f t="array" ref="B1408">VLOOKUP(A1408,{Metrik!$C$2:$C$998,Metrik!$B$2:$B$998},2,0)</f>
        <v>Panin Financial Tbk.</v>
      </c>
      <c r="C1408" s="15" t="str">
        <f>IFERROR(__xludf.DUMMYFUNCTION("GOOGLEFINANCE(""IDX:""&amp;A1408,""price"")"),"#N/A")</f>
        <v>#N/A</v>
      </c>
      <c r="D1408" s="16" t="str">
        <f>IFERROR(__xludf.DUMMYFUNCTION("IF(A1408="""","""",
SPARKLINE(
INDEX(
GOOGLEFINANCE(""IDX:""&amp;A1408,""close"",TODAY()-365,TODAY()),
,2
),
{""linewidth"",1}
))
"),"#N/A")</f>
        <v>#N/A</v>
      </c>
      <c r="E1408" s="14" t="s">
        <v>33</v>
      </c>
      <c r="F1408" s="14" t="s">
        <v>34</v>
      </c>
      <c r="G1408" s="24">
        <f t="shared" si="9"/>
        <v>4</v>
      </c>
      <c r="H1408" s="19">
        <f>VLOOKUP(A1408,Metrik!$C$2:$Y$959,8,0)</f>
        <v>3.6</v>
      </c>
      <c r="I1408" s="20">
        <f>VLOOKUP(A1408,Metrik!$C$2:$Y$959,9,0)</f>
        <v>0.11</v>
      </c>
      <c r="J1408" s="20">
        <f>VLOOKUP(A1408,Metrik!$C$2:$Y$959,10,0)</f>
        <v>3.1</v>
      </c>
      <c r="K1408" s="20">
        <f>VLOOKUP(A1408,Metrik!$C$2:$Y$959,11,0)</f>
        <v>0.88</v>
      </c>
      <c r="L1408" s="20">
        <f>VLOOKUP(A1408,Metrik!$C$2:$Y$959,12,0)</f>
        <v>2.3</v>
      </c>
      <c r="M1408" s="20">
        <f>VLOOKUP(A1408,Metrik!$C$2:$Y$959,19,0)</f>
        <v>62.6</v>
      </c>
      <c r="N1408" s="21"/>
      <c r="O1408" s="21"/>
      <c r="P1408" s="21"/>
      <c r="Q1408" s="21"/>
      <c r="R1408" s="21"/>
      <c r="S1408" s="21"/>
      <c r="T1408" s="21"/>
      <c r="U1408" s="22">
        <f>IFERROR(__xludf.DUMMYFUNCTION("IFERROR(GOOGLEFINANCE(A1408,""closeyest""),"""")"),206.0)</f>
        <v>206</v>
      </c>
      <c r="V1408" s="23">
        <f>IFERROR(__xludf.DUMMYFUNCTION("IFERROR(GOOGLEFINANCE(A1408,""changepct""),"""")"),2.91)</f>
        <v>2.91</v>
      </c>
      <c r="W1408" s="22">
        <f>IFERROR(__xludf.DUMMYFUNCTION("IFERROR(GOOGLEFINANCE(A1408,""priceopen""),"""")"),208.0)</f>
        <v>208</v>
      </c>
      <c r="X1408" s="22">
        <f>IFERROR(__xludf.DUMMYFUNCTION("IFERROR(GOOGLEFINANCE(A1408,""high""),"""")"),216.0)</f>
        <v>216</v>
      </c>
      <c r="Y1408" s="22">
        <f>IFERROR(__xludf.DUMMYFUNCTION("IFERROR(GOOGLEFINANCE(A1408,""low""),"""")"),208.0)</f>
        <v>208</v>
      </c>
      <c r="Z1408" s="22">
        <f>IFERROR(__xludf.DUMMYFUNCTION("IFERROR(GOOGLEFINANCE(A1408,""volume""),"""")"),7.09446E7)</f>
        <v>70944600</v>
      </c>
      <c r="AA1408" s="24" t="str">
        <f>VLOOKUP(A1408,Metrik!$C$2:$Y$959,5,0)</f>
        <v>Insurance</v>
      </c>
      <c r="AB1408" s="24" t="str">
        <f>VLOOKUP(A1408,Metrik!$C$2:$Y$959,3,0)</f>
        <v>Financials</v>
      </c>
    </row>
    <row r="1409">
      <c r="A1409" s="14" t="s">
        <v>759</v>
      </c>
      <c r="B1409" s="14" t="str">
        <f t="array" ref="B1409">VLOOKUP(A1409,{Metrik!$C$2:$C$998,Metrik!$B$2:$B$998},2,0)</f>
        <v>Panin Financial Tbk.</v>
      </c>
      <c r="C1409" s="15" t="str">
        <f>IFERROR(__xludf.DUMMYFUNCTION("GOOGLEFINANCE(""IDX:""&amp;A1409,""price"")"),"#N/A")</f>
        <v>#N/A</v>
      </c>
      <c r="D1409" s="16" t="str">
        <f>IFERROR(__xludf.DUMMYFUNCTION("IF(A1409="""","""",
SPARKLINE(
INDEX(
GOOGLEFINANCE(""IDX:""&amp;A1409,""close"",TODAY()-365,TODAY()),
,2
),
{""linewidth"",1}
))
"),"#N/A")</f>
        <v>#N/A</v>
      </c>
      <c r="E1409" s="14" t="s">
        <v>28</v>
      </c>
      <c r="F1409" s="17" t="s">
        <v>29</v>
      </c>
      <c r="G1409" s="24">
        <f t="shared" si="9"/>
        <v>4</v>
      </c>
      <c r="H1409" s="19">
        <f>VLOOKUP(A1409,Metrik!$C$2:$Y$959,8,0)</f>
        <v>3.6</v>
      </c>
      <c r="I1409" s="20">
        <f>VLOOKUP(A1409,Metrik!$C$2:$Y$959,9,0)</f>
        <v>0.11</v>
      </c>
      <c r="J1409" s="20">
        <f>VLOOKUP(A1409,Metrik!$C$2:$Y$959,10,0)</f>
        <v>3.1</v>
      </c>
      <c r="K1409" s="20">
        <f>VLOOKUP(A1409,Metrik!$C$2:$Y$959,11,0)</f>
        <v>0.88</v>
      </c>
      <c r="L1409" s="20">
        <f>VLOOKUP(A1409,Metrik!$C$2:$Y$959,12,0)</f>
        <v>2.3</v>
      </c>
      <c r="M1409" s="20">
        <f>VLOOKUP(A1409,Metrik!$C$2:$Y$959,19,0)</f>
        <v>62.6</v>
      </c>
      <c r="N1409" s="21"/>
      <c r="O1409" s="21"/>
      <c r="P1409" s="21"/>
      <c r="Q1409" s="21"/>
      <c r="R1409" s="21"/>
      <c r="S1409" s="21"/>
      <c r="T1409" s="21"/>
      <c r="U1409" s="22">
        <f>IFERROR(__xludf.DUMMYFUNCTION("IFERROR(GOOGLEFINANCE(A1409,""closeyest""),"""")"),206.0)</f>
        <v>206</v>
      </c>
      <c r="V1409" s="23">
        <f>IFERROR(__xludf.DUMMYFUNCTION("IFERROR(GOOGLEFINANCE(A1409,""changepct""),"""")"),2.91)</f>
        <v>2.91</v>
      </c>
      <c r="W1409" s="22">
        <f>IFERROR(__xludf.DUMMYFUNCTION("IFERROR(GOOGLEFINANCE(A1409,""priceopen""),"""")"),208.0)</f>
        <v>208</v>
      </c>
      <c r="X1409" s="22">
        <f>IFERROR(__xludf.DUMMYFUNCTION("IFERROR(GOOGLEFINANCE(A1409,""high""),"""")"),216.0)</f>
        <v>216</v>
      </c>
      <c r="Y1409" s="22">
        <f>IFERROR(__xludf.DUMMYFUNCTION("IFERROR(GOOGLEFINANCE(A1409,""low""),"""")"),208.0)</f>
        <v>208</v>
      </c>
      <c r="Z1409" s="22">
        <f>IFERROR(__xludf.DUMMYFUNCTION("IFERROR(GOOGLEFINANCE(A1409,""volume""),"""")"),7.09446E7)</f>
        <v>70944600</v>
      </c>
      <c r="AA1409" s="24" t="str">
        <f>VLOOKUP(A1409,Metrik!$C$2:$Y$959,5,0)</f>
        <v>Insurance</v>
      </c>
      <c r="AB1409" s="24" t="str">
        <f>VLOOKUP(A1409,Metrik!$C$2:$Y$959,3,0)</f>
        <v>Financials</v>
      </c>
    </row>
    <row r="1410">
      <c r="A1410" s="14" t="s">
        <v>759</v>
      </c>
      <c r="B1410" s="14" t="str">
        <f t="array" ref="B1410">VLOOKUP(A1410,{Metrik!$C$2:$C$998,Metrik!$B$2:$B$998},2,0)</f>
        <v>Panin Financial Tbk.</v>
      </c>
      <c r="C1410" s="15" t="str">
        <f>IFERROR(__xludf.DUMMYFUNCTION("GOOGLEFINANCE(""IDX:""&amp;A1410,""price"")"),"#N/A")</f>
        <v>#N/A</v>
      </c>
      <c r="D1410" s="16" t="str">
        <f>IFERROR(__xludf.DUMMYFUNCTION("IF(A1410="""","""",
SPARKLINE(
INDEX(
GOOGLEFINANCE(""IDX:""&amp;A1410,""close"",TODAY()-365,TODAY()),
,2
),
{""linewidth"",1}
))
"),"#N/A")</f>
        <v>#N/A</v>
      </c>
      <c r="E1410" s="14" t="s">
        <v>32</v>
      </c>
      <c r="F1410" s="14" t="s">
        <v>29</v>
      </c>
      <c r="G1410" s="24">
        <f t="shared" si="9"/>
        <v>4</v>
      </c>
      <c r="H1410" s="19">
        <f>VLOOKUP(A1410,Metrik!$C$2:$Y$959,8,0)</f>
        <v>3.6</v>
      </c>
      <c r="I1410" s="20">
        <f>VLOOKUP(A1410,Metrik!$C$2:$Y$959,9,0)</f>
        <v>0.11</v>
      </c>
      <c r="J1410" s="20">
        <f>VLOOKUP(A1410,Metrik!$C$2:$Y$959,10,0)</f>
        <v>3.1</v>
      </c>
      <c r="K1410" s="20">
        <f>VLOOKUP(A1410,Metrik!$C$2:$Y$959,11,0)</f>
        <v>0.88</v>
      </c>
      <c r="L1410" s="20">
        <f>VLOOKUP(A1410,Metrik!$C$2:$Y$959,12,0)</f>
        <v>2.3</v>
      </c>
      <c r="M1410" s="20">
        <f>VLOOKUP(A1410,Metrik!$C$2:$Y$959,19,0)</f>
        <v>62.6</v>
      </c>
      <c r="N1410" s="21"/>
      <c r="O1410" s="21"/>
      <c r="P1410" s="21"/>
      <c r="Q1410" s="21"/>
      <c r="R1410" s="21"/>
      <c r="S1410" s="21"/>
      <c r="T1410" s="21"/>
      <c r="U1410" s="22">
        <f>IFERROR(__xludf.DUMMYFUNCTION("IFERROR(GOOGLEFINANCE(A1410,""closeyest""),"""")"),206.0)</f>
        <v>206</v>
      </c>
      <c r="V1410" s="23">
        <f>IFERROR(__xludf.DUMMYFUNCTION("IFERROR(GOOGLEFINANCE(A1410,""changepct""),"""")"),2.91)</f>
        <v>2.91</v>
      </c>
      <c r="W1410" s="22">
        <f>IFERROR(__xludf.DUMMYFUNCTION("IFERROR(GOOGLEFINANCE(A1410,""priceopen""),"""")"),208.0)</f>
        <v>208</v>
      </c>
      <c r="X1410" s="22">
        <f>IFERROR(__xludf.DUMMYFUNCTION("IFERROR(GOOGLEFINANCE(A1410,""high""),"""")"),216.0)</f>
        <v>216</v>
      </c>
      <c r="Y1410" s="22">
        <f>IFERROR(__xludf.DUMMYFUNCTION("IFERROR(GOOGLEFINANCE(A1410,""low""),"""")"),208.0)</f>
        <v>208</v>
      </c>
      <c r="Z1410" s="22">
        <f>IFERROR(__xludf.DUMMYFUNCTION("IFERROR(GOOGLEFINANCE(A1410,""volume""),"""")"),7.09446E7)</f>
        <v>70944600</v>
      </c>
      <c r="AA1410" s="24" t="str">
        <f>VLOOKUP(A1410,Metrik!$C$2:$Y$959,5,0)</f>
        <v>Insurance</v>
      </c>
      <c r="AB1410" s="24" t="str">
        <f>VLOOKUP(A1410,Metrik!$C$2:$Y$959,3,0)</f>
        <v>Financials</v>
      </c>
    </row>
    <row r="1411">
      <c r="A1411" s="14" t="s">
        <v>760</v>
      </c>
      <c r="B1411" s="14" t="str">
        <f t="array" ref="B1411">VLOOKUP(A1411,{Metrik!$C$2:$C$998,Metrik!$B$2:$B$998},2,0)</f>
        <v>Pudjiadi &amp; Sons Tbk.</v>
      </c>
      <c r="C1411" s="15">
        <f>IFERROR(__xludf.DUMMYFUNCTION("GOOGLEFINANCE(""IDX:""&amp;A1411,""price"")"),545.0)</f>
        <v>545</v>
      </c>
      <c r="D1411" s="16" t="str">
        <f>IFERROR(__xludf.DUMMYFUNCTION("IF(A1411="""","""",
SPARKLINE(
INDEX(
GOOGLEFINANCE(""IDX:""&amp;A1411,""close"",TODAY()-365,TODAY()),
,2
),
{""linewidth"",1}
))
"),"#N/A")</f>
        <v>#N/A</v>
      </c>
      <c r="E1411" s="26"/>
      <c r="F1411" s="26"/>
      <c r="G1411" s="24">
        <f t="shared" si="9"/>
        <v>0</v>
      </c>
      <c r="H1411" s="19">
        <f>VLOOKUP(A1411,Metrik!$C$2:$Y$959,8,0)</f>
        <v>-32.6</v>
      </c>
      <c r="I1411" s="20">
        <f>VLOOKUP(A1411,Metrik!$C$2:$Y$959,9,0)</f>
        <v>2.3</v>
      </c>
      <c r="J1411" s="20">
        <f>VLOOKUP(A1411,Metrik!$C$2:$Y$959,10,0)</f>
        <v>-6.9</v>
      </c>
      <c r="K1411" s="20">
        <f>VLOOKUP(A1411,Metrik!$C$2:$Y$959,11,0)</f>
        <v>-3.3</v>
      </c>
      <c r="L1411" s="20">
        <f>VLOOKUP(A1411,Metrik!$C$2:$Y$959,12,0)</f>
        <v>1.1</v>
      </c>
      <c r="M1411" s="20">
        <f>VLOOKUP(A1411,Metrik!$C$2:$Y$959,19,0)</f>
        <v>-30.3</v>
      </c>
      <c r="N1411" s="21"/>
      <c r="O1411" s="21"/>
      <c r="P1411" s="21"/>
      <c r="Q1411" s="21"/>
      <c r="R1411" s="21"/>
      <c r="S1411" s="21"/>
      <c r="T1411" s="21"/>
      <c r="U1411" s="22">
        <f>IFERROR(__xludf.DUMMYFUNCTION("IFERROR(GOOGLEFINANCE(A1411,""closeyest""),"""")"),515.0)</f>
        <v>515</v>
      </c>
      <c r="V1411" s="23">
        <f>IFERROR(__xludf.DUMMYFUNCTION("IFERROR(GOOGLEFINANCE(A1411,""changepct""),"""")"),5.83)</f>
        <v>5.83</v>
      </c>
      <c r="W1411" s="22">
        <f>IFERROR(__xludf.DUMMYFUNCTION("IFERROR(GOOGLEFINANCE(A1411,""priceopen""),"""")"),530.0)</f>
        <v>530</v>
      </c>
      <c r="X1411" s="22" t="str">
        <f>IFERROR(__xludf.DUMMYFUNCTION("IFERROR(GOOGLEFINANCE(A1411,""high""),"""")"),"")</f>
        <v/>
      </c>
      <c r="Y1411" s="22">
        <f>IFERROR(__xludf.DUMMYFUNCTION("IFERROR(GOOGLEFINANCE(A1411,""low""),"""")"),480.0)</f>
        <v>480</v>
      </c>
      <c r="Z1411" s="22">
        <f>IFERROR(__xludf.DUMMYFUNCTION("IFERROR(GOOGLEFINANCE(A1411,""volume""),"""")"),54900.0)</f>
        <v>54900</v>
      </c>
      <c r="AA1411" s="24" t="str">
        <f>VLOOKUP(A1411,Metrik!$C$2:$Y$959,5,0)</f>
        <v>Tourism &amp; Recreation</v>
      </c>
      <c r="AB1411" s="24" t="str">
        <f>VLOOKUP(A1411,Metrik!$C$2:$Y$959,3,0)</f>
        <v>Consumer Cyclicals</v>
      </c>
    </row>
    <row r="1412">
      <c r="A1412" s="14" t="s">
        <v>761</v>
      </c>
      <c r="B1412" s="14" t="str">
        <f t="array" ref="B1412">VLOOKUP(A1412,{Metrik!$C$2:$C$998,Metrik!$B$2:$B$998},2,0)</f>
        <v>Pool Advista Finance Tbk.</v>
      </c>
      <c r="C1412" s="15">
        <f>IFERROR(__xludf.DUMMYFUNCTION("GOOGLEFINANCE(""IDX:""&amp;A1412,""price"")"),55.0)</f>
        <v>55</v>
      </c>
      <c r="D1412" s="16" t="str">
        <f>IFERROR(__xludf.DUMMYFUNCTION("IF(A1412="""","""",
SPARKLINE(
INDEX(
GOOGLEFINANCE(""IDX:""&amp;A1412,""close"",TODAY()-365,TODAY()),
,2
),
{""linewidth"",1}
))
"),"#N/A")</f>
        <v>#N/A</v>
      </c>
      <c r="E1412" s="26"/>
      <c r="F1412" s="26"/>
      <c r="G1412" s="24">
        <f t="shared" si="9"/>
        <v>0</v>
      </c>
      <c r="H1412" s="19">
        <f>VLOOKUP(A1412,Metrik!$C$2:$Y$959,8,0)</f>
        <v>69.2</v>
      </c>
      <c r="I1412" s="20">
        <f>VLOOKUP(A1412,Metrik!$C$2:$Y$959,9,0)</f>
        <v>0.92</v>
      </c>
      <c r="J1412" s="20">
        <f>VLOOKUP(A1412,Metrik!$C$2:$Y$959,10,0)</f>
        <v>1.3</v>
      </c>
      <c r="K1412" s="20">
        <f>VLOOKUP(A1412,Metrik!$C$2:$Y$959,11,0)</f>
        <v>1.3</v>
      </c>
      <c r="L1412" s="20">
        <f>VLOOKUP(A1412,Metrik!$C$2:$Y$959,12,0)</f>
        <v>0.04</v>
      </c>
      <c r="M1412" s="20">
        <f>VLOOKUP(A1412,Metrik!$C$2:$Y$959,19,0)</f>
        <v>82.7</v>
      </c>
      <c r="N1412" s="21"/>
      <c r="O1412" s="21"/>
      <c r="P1412" s="21"/>
      <c r="Q1412" s="21"/>
      <c r="R1412" s="21"/>
      <c r="S1412" s="21"/>
      <c r="T1412" s="21"/>
      <c r="U1412" s="22">
        <f>IFERROR(__xludf.DUMMYFUNCTION("IFERROR(GOOGLEFINANCE(A1412,""closeyest""),"""")"),1.7)</f>
        <v>1.7</v>
      </c>
      <c r="V1412" s="23">
        <f>IFERROR(__xludf.DUMMYFUNCTION("IFERROR(GOOGLEFINANCE(A1412,""changepct""),"""")"),6.47)</f>
        <v>6.47</v>
      </c>
      <c r="W1412" s="22">
        <f>IFERROR(__xludf.DUMMYFUNCTION("IFERROR(GOOGLEFINANCE(A1412,""priceopen""),"""")"),1.73)</f>
        <v>1.73</v>
      </c>
      <c r="X1412" s="22">
        <f>IFERROR(__xludf.DUMMYFUNCTION("IFERROR(GOOGLEFINANCE(A1412,""high""),"""")"),1.9)</f>
        <v>1.9</v>
      </c>
      <c r="Y1412" s="22">
        <f>IFERROR(__xludf.DUMMYFUNCTION("IFERROR(GOOGLEFINANCE(A1412,""low""),"""")"),1.73)</f>
        <v>1.73</v>
      </c>
      <c r="Z1412" s="22">
        <f>IFERROR(__xludf.DUMMYFUNCTION("IFERROR(GOOGLEFINANCE(A1412,""volume""),"""")"),117120.0)</f>
        <v>117120</v>
      </c>
      <c r="AA1412" s="24" t="str">
        <f>VLOOKUP(A1412,Metrik!$C$2:$Y$959,5,0)</f>
        <v>Consumer Financing</v>
      </c>
      <c r="AB1412" s="24" t="str">
        <f>VLOOKUP(A1412,Metrik!$C$2:$Y$959,3,0)</f>
        <v>Financials</v>
      </c>
    </row>
    <row r="1413">
      <c r="A1413" s="14" t="s">
        <v>762</v>
      </c>
      <c r="B1413" s="14" t="str">
        <f t="array" ref="B1413">VLOOKUP(A1413,{Metrik!$C$2:$C$998,Metrik!$B$2:$B$998},2,0)</f>
        <v>Pollux Hotels Group Tbk.</v>
      </c>
      <c r="C1413" s="15">
        <f>IFERROR(__xludf.DUMMYFUNCTION("GOOGLEFINANCE(""IDX:""&amp;A1413,""price"")"),815.0)</f>
        <v>815</v>
      </c>
      <c r="D1413" s="16" t="str">
        <f>IFERROR(__xludf.DUMMYFUNCTION("IF(A1413="""","""",
SPARKLINE(
INDEX(
GOOGLEFINANCE(""IDX:""&amp;A1413,""close"",TODAY()-365,TODAY()),
,2
),
{""linewidth"",1}
))
"),"#N/A")</f>
        <v>#N/A</v>
      </c>
      <c r="E1413" s="26"/>
      <c r="F1413" s="26"/>
      <c r="G1413" s="24">
        <f t="shared" si="9"/>
        <v>0</v>
      </c>
      <c r="H1413" s="19">
        <f>VLOOKUP(A1413,Metrik!$C$2:$Y$959,8,0)</f>
        <v>26.3</v>
      </c>
      <c r="I1413" s="20">
        <f>VLOOKUP(A1413,Metrik!$C$2:$Y$959,9,0)</f>
        <v>0.84</v>
      </c>
      <c r="J1413" s="20">
        <f>VLOOKUP(A1413,Metrik!$C$2:$Y$959,10,0)</f>
        <v>3.2</v>
      </c>
      <c r="K1413" s="20">
        <f>VLOOKUP(A1413,Metrik!$C$2:$Y$959,11,0)</f>
        <v>1.6</v>
      </c>
      <c r="L1413" s="20">
        <f>VLOOKUP(A1413,Metrik!$C$2:$Y$959,12,0)</f>
        <v>0.98</v>
      </c>
      <c r="M1413" s="20">
        <f>VLOOKUP(A1413,Metrik!$C$2:$Y$959,19,0)</f>
        <v>59.7</v>
      </c>
      <c r="N1413" s="21"/>
      <c r="O1413" s="21"/>
      <c r="P1413" s="21"/>
      <c r="Q1413" s="21"/>
      <c r="R1413" s="21"/>
      <c r="S1413" s="21"/>
      <c r="T1413" s="21"/>
      <c r="U1413" s="22">
        <f>IFERROR(__xludf.DUMMYFUNCTION("IFERROR(GOOGLEFINANCE(A1413,""closeyest""),"""")"),825.0)</f>
        <v>825</v>
      </c>
      <c r="V1413" s="23">
        <f>IFERROR(__xludf.DUMMYFUNCTION("IFERROR(GOOGLEFINANCE(A1413,""changepct""),"""")"),-1.21)</f>
        <v>-1.21</v>
      </c>
      <c r="W1413" s="22">
        <f>IFERROR(__xludf.DUMMYFUNCTION("IFERROR(GOOGLEFINANCE(A1413,""priceopen""),"""")"),735.0)</f>
        <v>735</v>
      </c>
      <c r="X1413" s="22">
        <f>IFERROR(__xludf.DUMMYFUNCTION("IFERROR(GOOGLEFINANCE(A1413,""high""),"""")"),825.0)</f>
        <v>825</v>
      </c>
      <c r="Y1413" s="22">
        <f>IFERROR(__xludf.DUMMYFUNCTION("IFERROR(GOOGLEFINANCE(A1413,""low""),"""")"),730.0)</f>
        <v>730</v>
      </c>
      <c r="Z1413" s="22">
        <f>IFERROR(__xludf.DUMMYFUNCTION("IFERROR(GOOGLEFINANCE(A1413,""volume""),"""")"),3800.0)</f>
        <v>3800</v>
      </c>
      <c r="AA1413" s="24" t="str">
        <f>VLOOKUP(A1413,Metrik!$C$2:$Y$959,5,0)</f>
        <v>Real Estate Management &amp; Development</v>
      </c>
      <c r="AB1413" s="24" t="str">
        <f>VLOOKUP(A1413,Metrik!$C$2:$Y$959,3,0)</f>
        <v>Properties &amp; Real Estate</v>
      </c>
    </row>
    <row r="1414">
      <c r="A1414" s="14" t="s">
        <v>763</v>
      </c>
      <c r="B1414" s="14" t="str">
        <f t="array" ref="B1414">VLOOKUP(A1414,{Metrik!$C$2:$C$998,Metrik!$B$2:$B$998},2,0)</f>
        <v>Pollux Properties Indonesia Tbk.</v>
      </c>
      <c r="C1414" s="15">
        <f>IFERROR(__xludf.DUMMYFUNCTION("GOOGLEFINANCE(""IDX:""&amp;A1414,""price"")"),112.0)</f>
        <v>112</v>
      </c>
      <c r="D1414" s="16" t="str">
        <f>IFERROR(__xludf.DUMMYFUNCTION("IF(A1414="""","""",
SPARKLINE(
INDEX(
GOOGLEFINANCE(""IDX:""&amp;A1414,""close"",TODAY()-365,TODAY()),
,2
),
{""linewidth"",1}
))
"),"#N/A")</f>
        <v>#N/A</v>
      </c>
      <c r="E1414" s="26"/>
      <c r="F1414" s="26"/>
      <c r="G1414" s="24">
        <f t="shared" si="9"/>
        <v>0</v>
      </c>
      <c r="H1414" s="19">
        <f>VLOOKUP(A1414,Metrik!$C$2:$Y$959,8,0)</f>
        <v>20.9</v>
      </c>
      <c r="I1414" s="20">
        <f>VLOOKUP(A1414,Metrik!$C$2:$Y$959,9,0)</f>
        <v>0.49</v>
      </c>
      <c r="J1414" s="20">
        <f>VLOOKUP(A1414,Metrik!$C$2:$Y$959,10,0)</f>
        <v>2.3</v>
      </c>
      <c r="K1414" s="20">
        <f>VLOOKUP(A1414,Metrik!$C$2:$Y$959,11,0)</f>
        <v>0.92</v>
      </c>
      <c r="L1414" s="20">
        <f>VLOOKUP(A1414,Metrik!$C$2:$Y$959,12,0)</f>
        <v>0.32</v>
      </c>
      <c r="M1414" s="20">
        <f>VLOOKUP(A1414,Metrik!$C$2:$Y$959,19,0)</f>
        <v>20.7</v>
      </c>
      <c r="N1414" s="21"/>
      <c r="O1414" s="21"/>
      <c r="P1414" s="21"/>
      <c r="Q1414" s="21"/>
      <c r="R1414" s="21"/>
      <c r="S1414" s="21"/>
      <c r="T1414" s="21"/>
      <c r="U1414" s="22">
        <f>IFERROR(__xludf.DUMMYFUNCTION("IFERROR(GOOGLEFINANCE(A1414,""closeyest""),"""")"),290.0)</f>
        <v>290</v>
      </c>
      <c r="V1414" s="23">
        <f>IFERROR(__xludf.DUMMYFUNCTION("IFERROR(GOOGLEFINANCE(A1414,""changepct""),"""")"),0.0)</f>
        <v>0</v>
      </c>
      <c r="W1414" s="22">
        <f>IFERROR(__xludf.DUMMYFUNCTION("IFERROR(GOOGLEFINANCE(A1414,""priceopen""),"""")"),290.0)</f>
        <v>290</v>
      </c>
      <c r="X1414" s="22">
        <f>IFERROR(__xludf.DUMMYFUNCTION("IFERROR(GOOGLEFINANCE(A1414,""high""),"""")"),290.0)</f>
        <v>290</v>
      </c>
      <c r="Y1414" s="22">
        <f>IFERROR(__xludf.DUMMYFUNCTION("IFERROR(GOOGLEFINANCE(A1414,""low""),"""")"),290.0)</f>
        <v>290</v>
      </c>
      <c r="Z1414" s="22">
        <f>IFERROR(__xludf.DUMMYFUNCTION("IFERROR(GOOGLEFINANCE(A1414,""volume""),"""")"),6085.0)</f>
        <v>6085</v>
      </c>
      <c r="AA1414" s="24" t="str">
        <f>VLOOKUP(A1414,Metrik!$C$2:$Y$959,5,0)</f>
        <v>Real Estate Management &amp; Development</v>
      </c>
      <c r="AB1414" s="24" t="str">
        <f>VLOOKUP(A1414,Metrik!$C$2:$Y$959,3,0)</f>
        <v>Properties &amp; Real Estate</v>
      </c>
    </row>
    <row r="1415">
      <c r="A1415" s="14" t="s">
        <v>764</v>
      </c>
      <c r="B1415" s="14" t="str">
        <f t="array" ref="B1415">VLOOKUP(A1415,{Metrik!$C$2:$C$998,Metrik!$B$2:$B$998},2,0)</f>
        <v>Golden Flower Tbk.</v>
      </c>
      <c r="C1415" s="15">
        <f>IFERROR(__xludf.DUMMYFUNCTION("GOOGLEFINANCE(""IDX:""&amp;A1415,""price"")"),14025.0)</f>
        <v>14025</v>
      </c>
      <c r="D1415" s="16" t="str">
        <f>IFERROR(__xludf.DUMMYFUNCTION("IF(A1415="""","""",
SPARKLINE(
INDEX(
GOOGLEFINANCE(""IDX:""&amp;A1415,""close"",TODAY()-365,TODAY()),
,2
),
{""linewidth"",1}
))
"),"#N/A")</f>
        <v>#N/A</v>
      </c>
      <c r="E1415" s="26"/>
      <c r="F1415" s="26"/>
      <c r="G1415" s="24">
        <f t="shared" si="9"/>
        <v>0</v>
      </c>
      <c r="H1415" s="19">
        <f>VLOOKUP(A1415,Metrik!$C$2:$Y$959,8,0)</f>
        <v>-220</v>
      </c>
      <c r="I1415" s="20">
        <f>VLOOKUP(A1415,Metrik!$C$2:$Y$959,9,0)</f>
        <v>67</v>
      </c>
      <c r="J1415" s="20">
        <f>VLOOKUP(A1415,Metrik!$C$2:$Y$959,10,0)</f>
        <v>-30.1</v>
      </c>
      <c r="K1415" s="20">
        <f>VLOOKUP(A1415,Metrik!$C$2:$Y$959,11,0)</f>
        <v>-8.9</v>
      </c>
      <c r="L1415" s="20">
        <f>VLOOKUP(A1415,Metrik!$C$2:$Y$959,12,0)</f>
        <v>1.1</v>
      </c>
      <c r="M1415" s="20">
        <f>VLOOKUP(A1415,Metrik!$C$2:$Y$959,19,0)</f>
        <v>-22.6</v>
      </c>
      <c r="N1415" s="21"/>
      <c r="O1415" s="21"/>
      <c r="P1415" s="21"/>
      <c r="Q1415" s="21"/>
      <c r="R1415" s="21"/>
      <c r="S1415" s="21"/>
      <c r="T1415" s="21"/>
      <c r="U1415" s="22">
        <f>IFERROR(__xludf.DUMMYFUNCTION("IFERROR(GOOGLEFINANCE(A1415,""closeyest""),"""")"),11700.0)</f>
        <v>11700</v>
      </c>
      <c r="V1415" s="23">
        <f>IFERROR(__xludf.DUMMYFUNCTION("IFERROR(GOOGLEFINANCE(A1415,""changepct""),"""")"),19.87)</f>
        <v>19.87</v>
      </c>
      <c r="W1415" s="22">
        <f>IFERROR(__xludf.DUMMYFUNCTION("IFERROR(GOOGLEFINANCE(A1415,""priceopen""),"""")"),12125.0)</f>
        <v>12125</v>
      </c>
      <c r="X1415" s="22">
        <f>IFERROR(__xludf.DUMMYFUNCTION("IFERROR(GOOGLEFINANCE(A1415,""high""),"""")"),14025.0)</f>
        <v>14025</v>
      </c>
      <c r="Y1415" s="22">
        <f>IFERROR(__xludf.DUMMYFUNCTION("IFERROR(GOOGLEFINANCE(A1415,""low""),"""")"),12125.0)</f>
        <v>12125</v>
      </c>
      <c r="Z1415" s="22">
        <f>IFERROR(__xludf.DUMMYFUNCTION("IFERROR(GOOGLEFINANCE(A1415,""volume""),"""")"),29300.0)</f>
        <v>29300</v>
      </c>
      <c r="AA1415" s="24" t="str">
        <f>VLOOKUP(A1415,Metrik!$C$2:$Y$959,5,0)</f>
        <v>Apparel &amp; Luxury Goods</v>
      </c>
      <c r="AB1415" s="24" t="str">
        <f>VLOOKUP(A1415,Metrik!$C$2:$Y$959,3,0)</f>
        <v>Consumer Cyclicals</v>
      </c>
    </row>
    <row r="1416">
      <c r="A1416" s="14" t="s">
        <v>765</v>
      </c>
      <c r="B1416" s="14" t="str">
        <f t="array" ref="B1416">VLOOKUP(A1416,{Metrik!$C$2:$C$998,Metrik!$B$2:$B$998},2,0)</f>
        <v>Asia Pacific Fibers Tbk</v>
      </c>
      <c r="C1416" s="15">
        <f>IFERROR(__xludf.DUMMYFUNCTION("GOOGLEFINANCE(""IDX:""&amp;A1416,""price"")"),32.0)</f>
        <v>32</v>
      </c>
      <c r="D1416" s="16" t="str">
        <f>IFERROR(__xludf.DUMMYFUNCTION("IF(A1416="""","""",
SPARKLINE(
INDEX(
GOOGLEFINANCE(""IDX:""&amp;A1416,""close"",TODAY()-365,TODAY()),
,2
),
{""linewidth"",1}
))
"),"#N/A")</f>
        <v>#N/A</v>
      </c>
      <c r="E1416" s="26"/>
      <c r="F1416" s="26"/>
      <c r="G1416" s="24">
        <f t="shared" si="9"/>
        <v>0</v>
      </c>
      <c r="H1416" s="19">
        <f>VLOOKUP(A1416,Metrik!$C$2:$Y$959,8,0)</f>
        <v>-0.23</v>
      </c>
      <c r="I1416" s="20">
        <f>VLOOKUP(A1416,Metrik!$C$2:$Y$959,9,0)</f>
        <v>0</v>
      </c>
      <c r="J1416" s="20">
        <f>VLOOKUP(A1416,Metrik!$C$2:$Y$959,10,0)</f>
        <v>0</v>
      </c>
      <c r="K1416" s="20">
        <f>VLOOKUP(A1416,Metrik!$C$2:$Y$959,11,0)</f>
        <v>-26</v>
      </c>
      <c r="L1416" s="20">
        <f>VLOOKUP(A1416,Metrik!$C$2:$Y$959,12,0)</f>
        <v>-1.1</v>
      </c>
      <c r="M1416" s="20">
        <f>VLOOKUP(A1416,Metrik!$C$2:$Y$959,19,0)</f>
        <v>-200</v>
      </c>
      <c r="N1416" s="21"/>
      <c r="O1416" s="21"/>
      <c r="P1416" s="21"/>
      <c r="Q1416" s="21"/>
      <c r="R1416" s="21"/>
      <c r="S1416" s="21"/>
      <c r="T1416" s="21"/>
      <c r="U1416" s="22">
        <f>IFERROR(__xludf.DUMMYFUNCTION("IFERROR(GOOGLEFINANCE(A1416,""closeyest""),"""")"),0.79)</f>
        <v>0.79</v>
      </c>
      <c r="V1416" s="23">
        <f>IFERROR(__xludf.DUMMYFUNCTION("IFERROR(GOOGLEFINANCE(A1416,""changepct""),"""")"),1.92)</f>
        <v>1.92</v>
      </c>
      <c r="W1416" s="22">
        <f>IFERROR(__xludf.DUMMYFUNCTION("IFERROR(GOOGLEFINANCE(A1416,""priceopen""),"""")"),0.81)</f>
        <v>0.81</v>
      </c>
      <c r="X1416" s="22">
        <f>IFERROR(__xludf.DUMMYFUNCTION("IFERROR(GOOGLEFINANCE(A1416,""high""),"""")"),0.81)</f>
        <v>0.81</v>
      </c>
      <c r="Y1416" s="22">
        <f>IFERROR(__xludf.DUMMYFUNCTION("IFERROR(GOOGLEFINANCE(A1416,""low""),"""")"),0.81)</f>
        <v>0.81</v>
      </c>
      <c r="Z1416" s="22">
        <f>IFERROR(__xludf.DUMMYFUNCTION("IFERROR(GOOGLEFINANCE(A1416,""volume""),"""")"),1.0)</f>
        <v>1</v>
      </c>
      <c r="AA1416" s="24" t="str">
        <f>VLOOKUP(A1416,Metrik!$C$2:$Y$959,5,0)</f>
        <v>Apparel &amp; Luxury Goods</v>
      </c>
      <c r="AB1416" s="24" t="str">
        <f>VLOOKUP(A1416,Metrik!$C$2:$Y$959,3,0)</f>
        <v>Consumer Cyclicals</v>
      </c>
    </row>
    <row r="1417">
      <c r="A1417" s="14" t="s">
        <v>766</v>
      </c>
      <c r="B1417" s="14" t="str">
        <f t="array" ref="B1417">VLOOKUP(A1417,{Metrik!$C$2:$C$998,Metrik!$B$2:$B$998},2,0)</f>
        <v>Pool Advista Indonesia Tbk.</v>
      </c>
      <c r="C1417" s="15" t="str">
        <f>IFERROR(__xludf.DUMMYFUNCTION("GOOGLEFINANCE(""IDX:""&amp;A1417,""price"")"),"#N/A")</f>
        <v>#N/A</v>
      </c>
      <c r="D1417" s="16" t="str">
        <f>IFERROR(__xludf.DUMMYFUNCTION("IF(A1417="""","""",
SPARKLINE(
INDEX(
GOOGLEFINANCE(""IDX:""&amp;A1417,""close"",TODAY()-365,TODAY()),
,2
),
{""linewidth"",1}
))
"),"#N/A")</f>
        <v>#N/A</v>
      </c>
      <c r="E1417" s="26"/>
      <c r="F1417" s="26"/>
      <c r="G1417" s="24">
        <f t="shared" si="9"/>
        <v>0</v>
      </c>
      <c r="H1417" s="19">
        <f>VLOOKUP(A1417,Metrik!$C$2:$Y$959,8,0)</f>
        <v>0</v>
      </c>
      <c r="I1417" s="20">
        <f>VLOOKUP(A1417,Metrik!$C$2:$Y$959,9,0)</f>
        <v>0.28</v>
      </c>
      <c r="J1417" s="20">
        <f>VLOOKUP(A1417,Metrik!$C$2:$Y$959,10,0)</f>
        <v>-8.4</v>
      </c>
      <c r="K1417" s="20">
        <f>VLOOKUP(A1417,Metrik!$C$2:$Y$959,11,0)</f>
        <v>-8.2</v>
      </c>
      <c r="L1417" s="20">
        <f>VLOOKUP(A1417,Metrik!$C$2:$Y$959,12,0)</f>
        <v>0.03</v>
      </c>
      <c r="M1417" s="20">
        <f>VLOOKUP(A1417,Metrik!$C$2:$Y$959,19,0)</f>
        <v>-290</v>
      </c>
      <c r="N1417" s="21"/>
      <c r="O1417" s="21"/>
      <c r="P1417" s="21"/>
      <c r="Q1417" s="21"/>
      <c r="R1417" s="21"/>
      <c r="S1417" s="21"/>
      <c r="T1417" s="21"/>
      <c r="U1417" s="22">
        <f>IFERROR(__xludf.DUMMYFUNCTION("IFERROR(GOOGLEFINANCE(A1417,""closeyest""),"""")"),192.34)</f>
        <v>192.34</v>
      </c>
      <c r="V1417" s="23">
        <f>IFERROR(__xludf.DUMMYFUNCTION("IFERROR(GOOGLEFINANCE(A1417,""changepct""),"""")"),1.38)</f>
        <v>1.38</v>
      </c>
      <c r="W1417" s="22">
        <f>IFERROR(__xludf.DUMMYFUNCTION("IFERROR(GOOGLEFINANCE(A1417,""priceopen""),"""")"),191.93)</f>
        <v>191.93</v>
      </c>
      <c r="X1417" s="22">
        <f>IFERROR(__xludf.DUMMYFUNCTION("IFERROR(GOOGLEFINANCE(A1417,""high""),"""")"),197.21)</f>
        <v>197.21</v>
      </c>
      <c r="Y1417" s="22">
        <f>IFERROR(__xludf.DUMMYFUNCTION("IFERROR(GOOGLEFINANCE(A1417,""low""),"""")"),190.98)</f>
        <v>190.98</v>
      </c>
      <c r="Z1417" s="22">
        <f>IFERROR(__xludf.DUMMYFUNCTION("IFERROR(GOOGLEFINANCE(A1417,""volume""),"""")"),677414.0)</f>
        <v>677414</v>
      </c>
      <c r="AA1417" s="24" t="str">
        <f>VLOOKUP(A1417,Metrik!$C$2:$Y$959,5,0)</f>
        <v>Holding &amp; Investment Companies</v>
      </c>
      <c r="AB1417" s="24" t="str">
        <f>VLOOKUP(A1417,Metrik!$C$2:$Y$959,3,0)</f>
        <v>Financials</v>
      </c>
    </row>
    <row r="1418">
      <c r="A1418" s="14" t="s">
        <v>767</v>
      </c>
      <c r="B1418" s="14" t="str">
        <f t="array" ref="B1418">VLOOKUP(A1418,{Metrik!$C$2:$C$998,Metrik!$B$2:$B$998},2,0)</f>
        <v>PT Nusantara Pelabuhan Handal Tbk.</v>
      </c>
      <c r="C1418" s="15">
        <f>IFERROR(__xludf.DUMMYFUNCTION("GOOGLEFINANCE(""IDX:""&amp;A1418,""price"")"),890.0)</f>
        <v>890</v>
      </c>
      <c r="D1418" s="16" t="str">
        <f>IFERROR(__xludf.DUMMYFUNCTION("IF(A1418="""","""",
SPARKLINE(
INDEX(
GOOGLEFINANCE(""IDX:""&amp;A1418,""close"",TODAY()-365,TODAY()),
,2
),
{""linewidth"",1}
))
"),"#N/A")</f>
        <v>#N/A</v>
      </c>
      <c r="E1418" s="26"/>
      <c r="F1418" s="26"/>
      <c r="G1418" s="24">
        <f t="shared" si="9"/>
        <v>0</v>
      </c>
      <c r="H1418" s="19">
        <f>VLOOKUP(A1418,Metrik!$C$2:$Y$959,8,0)</f>
        <v>21.5</v>
      </c>
      <c r="I1418" s="20">
        <f>VLOOKUP(A1418,Metrik!$C$2:$Y$959,9,0)</f>
        <v>2.1</v>
      </c>
      <c r="J1418" s="20">
        <f>VLOOKUP(A1418,Metrik!$C$2:$Y$959,10,0)</f>
        <v>9.7</v>
      </c>
      <c r="K1418" s="20">
        <f>VLOOKUP(A1418,Metrik!$C$2:$Y$959,11,0)</f>
        <v>5.3</v>
      </c>
      <c r="L1418" s="20">
        <f>VLOOKUP(A1418,Metrik!$C$2:$Y$959,12,0)</f>
        <v>0.85</v>
      </c>
      <c r="M1418" s="20">
        <f>VLOOKUP(A1418,Metrik!$C$2:$Y$959,19,0)</f>
        <v>45.6</v>
      </c>
      <c r="N1418" s="21"/>
      <c r="O1418" s="21"/>
      <c r="P1418" s="21"/>
      <c r="Q1418" s="21"/>
      <c r="R1418" s="21"/>
      <c r="S1418" s="21"/>
      <c r="T1418" s="21"/>
      <c r="U1418" s="22" t="str">
        <f>IFERROR(__xludf.DUMMYFUNCTION("IFERROR(GOOGLEFINANCE(A1418,""closeyest""),"""")"),"")</f>
        <v/>
      </c>
      <c r="V1418" s="23" t="str">
        <f>IFERROR(__xludf.DUMMYFUNCTION("IFERROR(GOOGLEFINANCE(A1418,""changepct""),"""")"),"")</f>
        <v/>
      </c>
      <c r="W1418" s="22" t="str">
        <f>IFERROR(__xludf.DUMMYFUNCTION("IFERROR(GOOGLEFINANCE(A1418,""priceopen""),"""")"),"")</f>
        <v/>
      </c>
      <c r="X1418" s="22" t="str">
        <f>IFERROR(__xludf.DUMMYFUNCTION("IFERROR(GOOGLEFINANCE(A1418,""high""),"""")"),"")</f>
        <v/>
      </c>
      <c r="Y1418" s="22" t="str">
        <f>IFERROR(__xludf.DUMMYFUNCTION("IFERROR(GOOGLEFINANCE(A1418,""low""),"""")"),"")</f>
        <v/>
      </c>
      <c r="Z1418" s="22" t="str">
        <f>IFERROR(__xludf.DUMMYFUNCTION("IFERROR(GOOGLEFINANCE(A1418,""volume""),"""")"),"")</f>
        <v/>
      </c>
      <c r="AA1418" s="24" t="str">
        <f>VLOOKUP(A1418,Metrik!$C$2:$Y$959,5,0)</f>
        <v>Transport Infrastructure Operator</v>
      </c>
      <c r="AB1418" s="24" t="str">
        <f>VLOOKUP(A1418,Metrik!$C$2:$Y$959,3,0)</f>
        <v>Infrastructures</v>
      </c>
    </row>
    <row r="1419">
      <c r="A1419" s="14" t="s">
        <v>768</v>
      </c>
      <c r="B1419" s="14" t="str">
        <f t="array" ref="B1419">VLOOKUP(A1419,{Metrik!$C$2:$C$998,Metrik!$B$2:$B$998},2,0)</f>
        <v>Bliss Properti Indonesia Tbk.</v>
      </c>
      <c r="C1419" s="15">
        <f>IFERROR(__xludf.DUMMYFUNCTION("GOOGLEFINANCE(""IDX:""&amp;A1419,""price"")"),50.0)</f>
        <v>50</v>
      </c>
      <c r="D1419" s="16" t="str">
        <f>IFERROR(__xludf.DUMMYFUNCTION("IF(A1419="""","""",
SPARKLINE(
INDEX(
GOOGLEFINANCE(""IDX:""&amp;A1419,""close"",TODAY()-365,TODAY()),
,2
),
{""linewidth"",1}
))
"),"#N/A")</f>
        <v>#N/A</v>
      </c>
      <c r="E1419" s="26"/>
      <c r="F1419" s="26"/>
      <c r="G1419" s="24">
        <f t="shared" si="9"/>
        <v>0</v>
      </c>
      <c r="H1419" s="19">
        <f>VLOOKUP(A1419,Metrik!$C$2:$Y$959,8,0)</f>
        <v>-3.5</v>
      </c>
      <c r="I1419" s="20">
        <f>VLOOKUP(A1419,Metrik!$C$2:$Y$959,9,0)</f>
        <v>-0.77</v>
      </c>
      <c r="J1419" s="20">
        <f>VLOOKUP(A1419,Metrik!$C$2:$Y$959,10,0)</f>
        <v>0</v>
      </c>
      <c r="K1419" s="20">
        <f>VLOOKUP(A1419,Metrik!$C$2:$Y$959,11,0)</f>
        <v>-17.2</v>
      </c>
      <c r="L1419" s="20">
        <f>VLOOKUP(A1419,Metrik!$C$2:$Y$959,12,0)</f>
        <v>-2.3</v>
      </c>
      <c r="M1419" s="20">
        <f>VLOOKUP(A1419,Metrik!$C$2:$Y$959,19,0)</f>
        <v>-930</v>
      </c>
      <c r="N1419" s="21"/>
      <c r="O1419" s="21"/>
      <c r="P1419" s="21"/>
      <c r="Q1419" s="21"/>
      <c r="R1419" s="21"/>
      <c r="S1419" s="21"/>
      <c r="T1419" s="21"/>
      <c r="U1419" s="22">
        <f>IFERROR(__xludf.DUMMYFUNCTION("IFERROR(GOOGLEFINANCE(A1419,""closeyest""),"""")"),50.0)</f>
        <v>50</v>
      </c>
      <c r="V1419" s="23">
        <f>IFERROR(__xludf.DUMMYFUNCTION("IFERROR(GOOGLEFINANCE(A1419,""changepct""),"""")"),0.0)</f>
        <v>0</v>
      </c>
      <c r="W1419" s="22" t="str">
        <f>IFERROR(__xludf.DUMMYFUNCTION("IFERROR(GOOGLEFINANCE(A1419,""priceopen""),"""")"),"")</f>
        <v/>
      </c>
      <c r="X1419" s="22" t="str">
        <f>IFERROR(__xludf.DUMMYFUNCTION("IFERROR(GOOGLEFINANCE(A1419,""high""),"""")"),"")</f>
        <v/>
      </c>
      <c r="Y1419" s="22" t="str">
        <f>IFERROR(__xludf.DUMMYFUNCTION("IFERROR(GOOGLEFINANCE(A1419,""low""),"""")"),"")</f>
        <v/>
      </c>
      <c r="Z1419" s="22">
        <f>IFERROR(__xludf.DUMMYFUNCTION("IFERROR(GOOGLEFINANCE(A1419,""volume""),"""")"),0.0)</f>
        <v>0</v>
      </c>
      <c r="AA1419" s="24" t="str">
        <f>VLOOKUP(A1419,Metrik!$C$2:$Y$959,5,0)</f>
        <v>Real Estate Management &amp; Development</v>
      </c>
      <c r="AB1419" s="24" t="str">
        <f>VLOOKUP(A1419,Metrik!$C$2:$Y$959,3,0)</f>
        <v>Properties &amp; Real Estate</v>
      </c>
    </row>
    <row r="1420">
      <c r="A1420" s="14" t="s">
        <v>769</v>
      </c>
      <c r="B1420" s="14" t="str">
        <f t="array" ref="B1420">VLOOKUP(A1420,{Metrik!$C$2:$C$998,Metrik!$B$2:$B$998},2,0)</f>
        <v>Cikarang Listrindo Tbk.</v>
      </c>
      <c r="C1420" s="15">
        <f>IFERROR(__xludf.DUMMYFUNCTION("GOOGLEFINANCE(""IDX:""&amp;A1420,""price"")"),685.0)</f>
        <v>685</v>
      </c>
      <c r="D1420" s="16" t="str">
        <f>IFERROR(__xludf.DUMMYFUNCTION("IF(A1420="""","""",
SPARKLINE(
INDEX(
GOOGLEFINANCE(""IDX:""&amp;A1420,""close"",TODAY()-365,TODAY()),
,2
),
{""linewidth"",1}
))
"),"#N/A")</f>
        <v>#N/A</v>
      </c>
      <c r="E1420" s="14" t="s">
        <v>47</v>
      </c>
      <c r="F1420" s="25">
        <v>46356.0</v>
      </c>
      <c r="G1420" s="24">
        <f t="shared" si="9"/>
        <v>3</v>
      </c>
      <c r="H1420" s="19">
        <f>VLOOKUP(A1420,Metrik!$C$2:$Y$959,8,0)</f>
        <v>9.3</v>
      </c>
      <c r="I1420" s="20">
        <f>VLOOKUP(A1420,Metrik!$C$2:$Y$959,9,0)</f>
        <v>0.92</v>
      </c>
      <c r="J1420" s="20">
        <f>VLOOKUP(A1420,Metrik!$C$2:$Y$959,10,0)</f>
        <v>9.9</v>
      </c>
      <c r="K1420" s="20">
        <f>VLOOKUP(A1420,Metrik!$C$2:$Y$959,11,0)</f>
        <v>6</v>
      </c>
      <c r="L1420" s="20">
        <f>VLOOKUP(A1420,Metrik!$C$2:$Y$959,12,0)</f>
        <v>0.64</v>
      </c>
      <c r="M1420" s="20">
        <f>VLOOKUP(A1420,Metrik!$C$2:$Y$959,19,0)</f>
        <v>56.3</v>
      </c>
      <c r="N1420" s="21"/>
      <c r="O1420" s="21"/>
      <c r="P1420" s="21"/>
      <c r="Q1420" s="21"/>
      <c r="R1420" s="21"/>
      <c r="S1420" s="21"/>
      <c r="T1420" s="21"/>
      <c r="U1420" s="22">
        <f>IFERROR(__xludf.DUMMYFUNCTION("IFERROR(GOOGLEFINANCE(A1420,""closeyest""),"""")"),26.71)</f>
        <v>26.71</v>
      </c>
      <c r="V1420" s="23">
        <f>IFERROR(__xludf.DUMMYFUNCTION("IFERROR(GOOGLEFINANCE(A1420,""changepct""),"""")"),1.54)</f>
        <v>1.54</v>
      </c>
      <c r="W1420" s="22">
        <f>IFERROR(__xludf.DUMMYFUNCTION("IFERROR(GOOGLEFINANCE(A1420,""priceopen""),"""")"),26.87)</f>
        <v>26.87</v>
      </c>
      <c r="X1420" s="22" t="str">
        <f>IFERROR(__xludf.DUMMYFUNCTION("IFERROR(GOOGLEFINANCE(A1420,""high""),"""")"),"")</f>
        <v/>
      </c>
      <c r="Y1420" s="22">
        <f>IFERROR(__xludf.DUMMYFUNCTION("IFERROR(GOOGLEFINANCE(A1420,""low""),"""")"),26.87)</f>
        <v>26.87</v>
      </c>
      <c r="Z1420" s="22">
        <f>IFERROR(__xludf.DUMMYFUNCTION("IFERROR(GOOGLEFINANCE(A1420,""volume""),"""")"),11702.0)</f>
        <v>11702</v>
      </c>
      <c r="AA1420" s="24" t="str">
        <f>VLOOKUP(A1420,Metrik!$C$2:$Y$959,5,0)</f>
        <v>Electric Utilities</v>
      </c>
      <c r="AB1420" s="24" t="str">
        <f>VLOOKUP(A1420,Metrik!$C$2:$Y$959,3,0)</f>
        <v>Infrastructures</v>
      </c>
    </row>
    <row r="1421">
      <c r="A1421" s="14" t="s">
        <v>769</v>
      </c>
      <c r="B1421" s="14" t="str">
        <f t="array" ref="B1421">VLOOKUP(A1421,{Metrik!$C$2:$C$998,Metrik!$B$2:$B$998},2,0)</f>
        <v>Cikarang Listrindo Tbk.</v>
      </c>
      <c r="C1421" s="15">
        <f>IFERROR(__xludf.DUMMYFUNCTION("GOOGLEFINANCE(""IDX:""&amp;A1421,""price"")"),685.0)</f>
        <v>685</v>
      </c>
      <c r="D1421" s="16" t="str">
        <f>IFERROR(__xludf.DUMMYFUNCTION("IF(A1421="""","""",
SPARKLINE(
INDEX(
GOOGLEFINANCE(""IDX:""&amp;A1421,""close"",TODAY()-365,TODAY()),
,2
),
{""linewidth"",1}
))
"),"#N/A")</f>
        <v>#N/A</v>
      </c>
      <c r="E1421" s="14" t="s">
        <v>55</v>
      </c>
      <c r="F1421" s="25">
        <v>46356.0</v>
      </c>
      <c r="G1421" s="24">
        <f t="shared" si="9"/>
        <v>3</v>
      </c>
      <c r="H1421" s="19">
        <f>VLOOKUP(A1421,Metrik!$C$2:$Y$959,8,0)</f>
        <v>9.3</v>
      </c>
      <c r="I1421" s="20">
        <f>VLOOKUP(A1421,Metrik!$C$2:$Y$959,9,0)</f>
        <v>0.92</v>
      </c>
      <c r="J1421" s="20">
        <f>VLOOKUP(A1421,Metrik!$C$2:$Y$959,10,0)</f>
        <v>9.9</v>
      </c>
      <c r="K1421" s="20">
        <f>VLOOKUP(A1421,Metrik!$C$2:$Y$959,11,0)</f>
        <v>6</v>
      </c>
      <c r="L1421" s="20">
        <f>VLOOKUP(A1421,Metrik!$C$2:$Y$959,12,0)</f>
        <v>0.64</v>
      </c>
      <c r="M1421" s="20">
        <f>VLOOKUP(A1421,Metrik!$C$2:$Y$959,19,0)</f>
        <v>56.3</v>
      </c>
      <c r="N1421" s="21"/>
      <c r="O1421" s="21"/>
      <c r="P1421" s="21"/>
      <c r="Q1421" s="21"/>
      <c r="R1421" s="21"/>
      <c r="S1421" s="21"/>
      <c r="T1421" s="21"/>
      <c r="U1421" s="22">
        <f>IFERROR(__xludf.DUMMYFUNCTION("IFERROR(GOOGLEFINANCE(A1421,""closeyest""),"""")"),26.71)</f>
        <v>26.71</v>
      </c>
      <c r="V1421" s="23">
        <f>IFERROR(__xludf.DUMMYFUNCTION("IFERROR(GOOGLEFINANCE(A1421,""changepct""),"""")"),1.54)</f>
        <v>1.54</v>
      </c>
      <c r="W1421" s="22">
        <f>IFERROR(__xludf.DUMMYFUNCTION("IFERROR(GOOGLEFINANCE(A1421,""priceopen""),"""")"),26.87)</f>
        <v>26.87</v>
      </c>
      <c r="X1421" s="22" t="str">
        <f>IFERROR(__xludf.DUMMYFUNCTION("IFERROR(GOOGLEFINANCE(A1421,""high""),"""")"),"")</f>
        <v/>
      </c>
      <c r="Y1421" s="22">
        <f>IFERROR(__xludf.DUMMYFUNCTION("IFERROR(GOOGLEFINANCE(A1421,""low""),"""")"),26.87)</f>
        <v>26.87</v>
      </c>
      <c r="Z1421" s="22">
        <f>IFERROR(__xludf.DUMMYFUNCTION("IFERROR(GOOGLEFINANCE(A1421,""volume""),"""")"),11702.0)</f>
        <v>11702</v>
      </c>
      <c r="AA1421" s="24" t="str">
        <f>VLOOKUP(A1421,Metrik!$C$2:$Y$959,5,0)</f>
        <v>Electric Utilities</v>
      </c>
      <c r="AB1421" s="24" t="str">
        <f>VLOOKUP(A1421,Metrik!$C$2:$Y$959,3,0)</f>
        <v>Infrastructures</v>
      </c>
    </row>
    <row r="1422">
      <c r="A1422" s="14" t="s">
        <v>769</v>
      </c>
      <c r="B1422" s="14" t="str">
        <f t="array" ref="B1422">VLOOKUP(A1422,{Metrik!$C$2:$C$998,Metrik!$B$2:$B$998},2,0)</f>
        <v>Cikarang Listrindo Tbk.</v>
      </c>
      <c r="C1422" s="15">
        <f>IFERROR(__xludf.DUMMYFUNCTION("GOOGLEFINANCE(""IDX:""&amp;A1422,""price"")"),685.0)</f>
        <v>685</v>
      </c>
      <c r="D1422" s="16" t="str">
        <f>IFERROR(__xludf.DUMMYFUNCTION("IF(A1422="""","""",
SPARKLINE(
INDEX(
GOOGLEFINANCE(""IDX:""&amp;A1422,""close"",TODAY()-365,TODAY()),
,2
),
{""linewidth"",1}
))
"),"#N/A")</f>
        <v>#N/A</v>
      </c>
      <c r="E1422" s="14" t="s">
        <v>86</v>
      </c>
      <c r="F1422" s="25">
        <v>46356.0</v>
      </c>
      <c r="G1422" s="24">
        <f t="shared" si="9"/>
        <v>3</v>
      </c>
      <c r="H1422" s="19">
        <f>VLOOKUP(A1422,Metrik!$C$2:$Y$959,8,0)</f>
        <v>9.3</v>
      </c>
      <c r="I1422" s="20">
        <f>VLOOKUP(A1422,Metrik!$C$2:$Y$959,9,0)</f>
        <v>0.92</v>
      </c>
      <c r="J1422" s="20">
        <f>VLOOKUP(A1422,Metrik!$C$2:$Y$959,10,0)</f>
        <v>9.9</v>
      </c>
      <c r="K1422" s="20">
        <f>VLOOKUP(A1422,Metrik!$C$2:$Y$959,11,0)</f>
        <v>6</v>
      </c>
      <c r="L1422" s="20">
        <f>VLOOKUP(A1422,Metrik!$C$2:$Y$959,12,0)</f>
        <v>0.64</v>
      </c>
      <c r="M1422" s="20">
        <f>VLOOKUP(A1422,Metrik!$C$2:$Y$959,19,0)</f>
        <v>56.3</v>
      </c>
      <c r="N1422" s="21"/>
      <c r="O1422" s="21"/>
      <c r="P1422" s="21"/>
      <c r="Q1422" s="21"/>
      <c r="R1422" s="21"/>
      <c r="S1422" s="21"/>
      <c r="T1422" s="21"/>
      <c r="U1422" s="22">
        <f>IFERROR(__xludf.DUMMYFUNCTION("IFERROR(GOOGLEFINANCE(A1422,""closeyest""),"""")"),26.71)</f>
        <v>26.71</v>
      </c>
      <c r="V1422" s="23">
        <f>IFERROR(__xludf.DUMMYFUNCTION("IFERROR(GOOGLEFINANCE(A1422,""changepct""),"""")"),1.54)</f>
        <v>1.54</v>
      </c>
      <c r="W1422" s="22">
        <f>IFERROR(__xludf.DUMMYFUNCTION("IFERROR(GOOGLEFINANCE(A1422,""priceopen""),"""")"),26.87)</f>
        <v>26.87</v>
      </c>
      <c r="X1422" s="22" t="str">
        <f>IFERROR(__xludf.DUMMYFUNCTION("IFERROR(GOOGLEFINANCE(A1422,""high""),"""")"),"")</f>
        <v/>
      </c>
      <c r="Y1422" s="22">
        <f>IFERROR(__xludf.DUMMYFUNCTION("IFERROR(GOOGLEFINANCE(A1422,""low""),"""")"),26.87)</f>
        <v>26.87</v>
      </c>
      <c r="Z1422" s="22">
        <f>IFERROR(__xludf.DUMMYFUNCTION("IFERROR(GOOGLEFINANCE(A1422,""volume""),"""")"),11702.0)</f>
        <v>11702</v>
      </c>
      <c r="AA1422" s="24" t="str">
        <f>VLOOKUP(A1422,Metrik!$C$2:$Y$959,5,0)</f>
        <v>Electric Utilities</v>
      </c>
      <c r="AB1422" s="24" t="str">
        <f>VLOOKUP(A1422,Metrik!$C$2:$Y$959,3,0)</f>
        <v>Infrastructures</v>
      </c>
    </row>
    <row r="1423">
      <c r="A1423" s="14" t="s">
        <v>770</v>
      </c>
      <c r="B1423" s="14" t="str">
        <f t="array" ref="B1423">VLOOKUP(A1423,{Metrik!$C$2:$C$998,Metrik!$B$2:$B$998},2,0)</f>
        <v>Prima Globalindo Logistik Tbk.</v>
      </c>
      <c r="C1423" s="15">
        <f>IFERROR(__xludf.DUMMYFUNCTION("GOOGLEFINANCE(""IDX:""&amp;A1423,""price"")"),162.0)</f>
        <v>162</v>
      </c>
      <c r="D1423" s="16" t="str">
        <f>IFERROR(__xludf.DUMMYFUNCTION("IF(A1423="""","""",
SPARKLINE(
INDEX(
GOOGLEFINANCE(""IDX:""&amp;A1423,""close"",TODAY()-365,TODAY()),
,2
),
{""linewidth"",1}
))
"),"#N/A")</f>
        <v>#N/A</v>
      </c>
      <c r="E1423" s="26"/>
      <c r="F1423" s="26"/>
      <c r="G1423" s="24">
        <f t="shared" si="9"/>
        <v>0</v>
      </c>
      <c r="H1423" s="19">
        <f>VLOOKUP(A1423,Metrik!$C$2:$Y$959,8,0)</f>
        <v>27.1</v>
      </c>
      <c r="I1423" s="20">
        <f>VLOOKUP(A1423,Metrik!$C$2:$Y$959,9,0)</f>
        <v>1.3</v>
      </c>
      <c r="J1423" s="20">
        <f>VLOOKUP(A1423,Metrik!$C$2:$Y$959,10,0)</f>
        <v>4.9</v>
      </c>
      <c r="K1423" s="20">
        <f>VLOOKUP(A1423,Metrik!$C$2:$Y$959,11,0)</f>
        <v>1.7</v>
      </c>
      <c r="L1423" s="20">
        <f>VLOOKUP(A1423,Metrik!$C$2:$Y$959,12,0)</f>
        <v>1.9</v>
      </c>
      <c r="M1423" s="20">
        <f>VLOOKUP(A1423,Metrik!$C$2:$Y$959,19,0)</f>
        <v>4.1</v>
      </c>
      <c r="N1423" s="21"/>
      <c r="O1423" s="21"/>
      <c r="P1423" s="21"/>
      <c r="Q1423" s="21"/>
      <c r="R1423" s="21"/>
      <c r="S1423" s="21"/>
      <c r="T1423" s="21"/>
      <c r="U1423" s="22">
        <f>IFERROR(__xludf.DUMMYFUNCTION("IFERROR(GOOGLEFINANCE(A1423,""closeyest""),"""")"),156.0)</f>
        <v>156</v>
      </c>
      <c r="V1423" s="23">
        <f>IFERROR(__xludf.DUMMYFUNCTION("IFERROR(GOOGLEFINANCE(A1423,""changepct""),"""")"),3.85)</f>
        <v>3.85</v>
      </c>
      <c r="W1423" s="22">
        <f>IFERROR(__xludf.DUMMYFUNCTION("IFERROR(GOOGLEFINANCE(A1423,""priceopen""),"""")"),156.0)</f>
        <v>156</v>
      </c>
      <c r="X1423" s="22">
        <f>IFERROR(__xludf.DUMMYFUNCTION("IFERROR(GOOGLEFINANCE(A1423,""high""),"""")"),164.0)</f>
        <v>164</v>
      </c>
      <c r="Y1423" s="22">
        <f>IFERROR(__xludf.DUMMYFUNCTION("IFERROR(GOOGLEFINANCE(A1423,""low""),"""")"),154.0)</f>
        <v>154</v>
      </c>
      <c r="Z1423" s="22">
        <f>IFERROR(__xludf.DUMMYFUNCTION("IFERROR(GOOGLEFINANCE(A1423,""volume""),"""")"),1147900.0)</f>
        <v>1147900</v>
      </c>
      <c r="AA1423" s="24" t="str">
        <f>VLOOKUP(A1423,Metrik!$C$2:$Y$959,5,0)</f>
        <v>Logistics &amp; Deliveries</v>
      </c>
      <c r="AB1423" s="24" t="str">
        <f>VLOOKUP(A1423,Metrik!$C$2:$Y$959,3,0)</f>
        <v>Transportation &amp; Logistic</v>
      </c>
    </row>
    <row r="1424">
      <c r="A1424" s="14" t="s">
        <v>771</v>
      </c>
      <c r="B1424" s="14" t="str">
        <f t="array" ref="B1424">VLOOKUP(A1424,{Metrik!$C$2:$C$998,Metrik!$B$2:$B$998},2,0)</f>
        <v>PT PP Presisi Tbk.</v>
      </c>
      <c r="C1424" s="15">
        <f>IFERROR(__xludf.DUMMYFUNCTION("GOOGLEFINANCE(""IDX:""&amp;A1424,""price"")"),93.0)</f>
        <v>93</v>
      </c>
      <c r="D1424" s="16" t="str">
        <f>IFERROR(__xludf.DUMMYFUNCTION("IF(A1424="""","""",
SPARKLINE(
INDEX(
GOOGLEFINANCE(""IDX:""&amp;A1424,""close"",TODAY()-365,TODAY()),
,2
),
{""linewidth"",1}
))
"),"#N/A")</f>
        <v>#N/A</v>
      </c>
      <c r="E1424" s="26"/>
      <c r="F1424" s="26"/>
      <c r="G1424" s="24">
        <f t="shared" si="9"/>
        <v>0</v>
      </c>
      <c r="H1424" s="19">
        <f>VLOOKUP(A1424,Metrik!$C$2:$Y$959,8,0)</f>
        <v>-0.7</v>
      </c>
      <c r="I1424" s="20">
        <f>VLOOKUP(A1424,Metrik!$C$2:$Y$959,9,0)</f>
        <v>0.48</v>
      </c>
      <c r="J1424" s="20">
        <f>VLOOKUP(A1424,Metrik!$C$2:$Y$959,10,0)</f>
        <v>-69.3</v>
      </c>
      <c r="K1424" s="20">
        <f>VLOOKUP(A1424,Metrik!$C$2:$Y$959,11,0)</f>
        <v>-22.5</v>
      </c>
      <c r="L1424" s="20">
        <f>VLOOKUP(A1424,Metrik!$C$2:$Y$959,12,0)</f>
        <v>2.1</v>
      </c>
      <c r="M1424" s="20">
        <f>VLOOKUP(A1424,Metrik!$C$2:$Y$959,19,0)</f>
        <v>-130</v>
      </c>
      <c r="N1424" s="21"/>
      <c r="O1424" s="21"/>
      <c r="P1424" s="21"/>
      <c r="Q1424" s="21"/>
      <c r="R1424" s="21"/>
      <c r="S1424" s="21"/>
      <c r="T1424" s="21"/>
      <c r="U1424" s="22" t="str">
        <f>IFERROR(__xludf.DUMMYFUNCTION("IFERROR(GOOGLEFINANCE(A1424,""closeyest""),"""")"),"")</f>
        <v/>
      </c>
      <c r="V1424" s="23">
        <f>IFERROR(__xludf.DUMMYFUNCTION("IFERROR(GOOGLEFINANCE(A1424,""changepct""),"""")"),16.25)</f>
        <v>16.25</v>
      </c>
      <c r="W1424" s="22">
        <f>IFERROR(__xludf.DUMMYFUNCTION("IFERROR(GOOGLEFINANCE(A1424,""priceopen""),"""")"),82.0)</f>
        <v>82</v>
      </c>
      <c r="X1424" s="22">
        <f>IFERROR(__xludf.DUMMYFUNCTION("IFERROR(GOOGLEFINANCE(A1424,""high""),"""")"),108.0)</f>
        <v>108</v>
      </c>
      <c r="Y1424" s="22">
        <f>IFERROR(__xludf.DUMMYFUNCTION("IFERROR(GOOGLEFINANCE(A1424,""low""),"""")"),80.0)</f>
        <v>80</v>
      </c>
      <c r="Z1424" s="22">
        <f>IFERROR(__xludf.DUMMYFUNCTION("IFERROR(GOOGLEFINANCE(A1424,""volume""),"""")"),4.241985E8)</f>
        <v>424198500</v>
      </c>
      <c r="AA1424" s="24" t="str">
        <f>VLOOKUP(A1424,Metrik!$C$2:$Y$959,5,0)</f>
        <v>Heavy Constructions &amp; Civil Engineering</v>
      </c>
      <c r="AB1424" s="24" t="str">
        <f>VLOOKUP(A1424,Metrik!$C$2:$Y$959,3,0)</f>
        <v>Infrastructures</v>
      </c>
    </row>
    <row r="1425">
      <c r="A1425" s="14" t="s">
        <v>772</v>
      </c>
      <c r="B1425" s="14" t="str">
        <f t="array" ref="B1425">VLOOKUP(A1425,{Metrik!$C$2:$C$998,Metrik!$B$2:$B$998},2,0)</f>
        <v>PT Paperocks Indonesia Tbk.</v>
      </c>
      <c r="C1425" s="15">
        <f>IFERROR(__xludf.DUMMYFUNCTION("GOOGLEFINANCE(""IDX:""&amp;A1425,""price"")"),147.0)</f>
        <v>147</v>
      </c>
      <c r="D1425" s="16" t="str">
        <f>IFERROR(__xludf.DUMMYFUNCTION("IF(A1425="""","""",
SPARKLINE(
INDEX(
GOOGLEFINANCE(""IDX:""&amp;A1425,""close"",TODAY()-365,TODAY()),
,2
),
{""linewidth"",1}
))
"),"#N/A")</f>
        <v>#N/A</v>
      </c>
      <c r="E1425" s="26"/>
      <c r="F1425" s="26"/>
      <c r="G1425" s="24">
        <f t="shared" si="9"/>
        <v>0</v>
      </c>
      <c r="H1425" s="19">
        <f>VLOOKUP(A1425,Metrik!$C$2:$Y$959,8,0)</f>
        <v>69</v>
      </c>
      <c r="I1425" s="20">
        <f>VLOOKUP(A1425,Metrik!$C$2:$Y$959,9,0)</f>
        <v>1.6</v>
      </c>
      <c r="J1425" s="20">
        <f>VLOOKUP(A1425,Metrik!$C$2:$Y$959,10,0)</f>
        <v>2.4</v>
      </c>
      <c r="K1425" s="20">
        <f>VLOOKUP(A1425,Metrik!$C$2:$Y$959,11,0)</f>
        <v>1.9</v>
      </c>
      <c r="L1425" s="20">
        <f>VLOOKUP(A1425,Metrik!$C$2:$Y$959,12,0)</f>
        <v>0.27</v>
      </c>
      <c r="M1425" s="20">
        <f>VLOOKUP(A1425,Metrik!$C$2:$Y$959,19,0)</f>
        <v>7.1</v>
      </c>
      <c r="N1425" s="21"/>
      <c r="O1425" s="21"/>
      <c r="P1425" s="21"/>
      <c r="Q1425" s="21"/>
      <c r="R1425" s="21"/>
      <c r="S1425" s="21"/>
      <c r="T1425" s="21"/>
      <c r="U1425" s="22">
        <f>IFERROR(__xludf.DUMMYFUNCTION("IFERROR(GOOGLEFINANCE(A1425,""closeyest""),"""")"),140.0)</f>
        <v>140</v>
      </c>
      <c r="V1425" s="23">
        <f>IFERROR(__xludf.DUMMYFUNCTION("IFERROR(GOOGLEFINANCE(A1425,""changepct""),"""")"),5.0)</f>
        <v>5</v>
      </c>
      <c r="W1425" s="22">
        <f>IFERROR(__xludf.DUMMYFUNCTION("IFERROR(GOOGLEFINANCE(A1425,""priceopen""),"""")"),140.0)</f>
        <v>140</v>
      </c>
      <c r="X1425" s="22">
        <f>IFERROR(__xludf.DUMMYFUNCTION("IFERROR(GOOGLEFINANCE(A1425,""high""),"""")"),149.0)</f>
        <v>149</v>
      </c>
      <c r="Y1425" s="22">
        <f>IFERROR(__xludf.DUMMYFUNCTION("IFERROR(GOOGLEFINANCE(A1425,""low""),"""")"),140.0)</f>
        <v>140</v>
      </c>
      <c r="Z1425" s="22">
        <f>IFERROR(__xludf.DUMMYFUNCTION("IFERROR(GOOGLEFINANCE(A1425,""volume""),"""")"),1278600.0)</f>
        <v>1278600</v>
      </c>
      <c r="AA1425" s="24" t="str">
        <f>VLOOKUP(A1425,Metrik!$C$2:$Y$959,5,0)</f>
        <v>Containers &amp; Packaging</v>
      </c>
      <c r="AB1425" s="24" t="str">
        <f>VLOOKUP(A1425,Metrik!$C$2:$Y$959,3,0)</f>
        <v>Basic Materials</v>
      </c>
    </row>
    <row r="1426">
      <c r="A1426" s="14" t="s">
        <v>773</v>
      </c>
      <c r="B1426" s="14" t="str">
        <f t="array" ref="B1426">VLOOKUP(A1426,{Metrik!$C$2:$C$998,Metrik!$B$2:$B$998},2,0)</f>
        <v>PP Properti Tbk.</v>
      </c>
      <c r="C1426" s="15">
        <f>IFERROR(__xludf.DUMMYFUNCTION("GOOGLEFINANCE(""IDX:""&amp;A1426,""price"")"),14.0)</f>
        <v>14</v>
      </c>
      <c r="D1426" s="16" t="str">
        <f>IFERROR(__xludf.DUMMYFUNCTION("IF(A1426="""","""",
SPARKLINE(
INDEX(
GOOGLEFINANCE(""IDX:""&amp;A1426,""close"",TODAY()-365,TODAY()),
,2
),
{""linewidth"",1}
))
"),"#N/A")</f>
        <v>#N/A</v>
      </c>
      <c r="E1426" s="26"/>
      <c r="F1426" s="26"/>
      <c r="G1426" s="24">
        <f t="shared" si="9"/>
        <v>0</v>
      </c>
      <c r="H1426" s="19">
        <f>VLOOKUP(A1426,Metrik!$C$2:$Y$959,8,0)</f>
        <v>-0.18</v>
      </c>
      <c r="I1426" s="20">
        <f>VLOOKUP(A1426,Metrik!$C$2:$Y$959,9,0)</f>
        <v>0.15</v>
      </c>
      <c r="J1426" s="20">
        <f>VLOOKUP(A1426,Metrik!$C$2:$Y$959,10,0)</f>
        <v>-83.3</v>
      </c>
      <c r="K1426" s="20">
        <f>VLOOKUP(A1426,Metrik!$C$2:$Y$959,11,0)</f>
        <v>-47.8</v>
      </c>
      <c r="L1426" s="20">
        <f>VLOOKUP(A1426,Metrik!$C$2:$Y$959,12,0)</f>
        <v>0.74</v>
      </c>
      <c r="M1426" s="20">
        <f>VLOOKUP(A1426,Metrik!$C$2:$Y$959,19,0)</f>
        <v>-6420</v>
      </c>
      <c r="N1426" s="21"/>
      <c r="O1426" s="21"/>
      <c r="P1426" s="21"/>
      <c r="Q1426" s="21"/>
      <c r="R1426" s="21"/>
      <c r="S1426" s="21"/>
      <c r="T1426" s="21"/>
      <c r="U1426" s="22">
        <f>IFERROR(__xludf.DUMMYFUNCTION("IFERROR(GOOGLEFINANCE(A1426,""closeyest""),"""")"),13.0)</f>
        <v>13</v>
      </c>
      <c r="V1426" s="23">
        <f>IFERROR(__xludf.DUMMYFUNCTION("IFERROR(GOOGLEFINANCE(A1426,""changepct""),"""")"),7.69)</f>
        <v>7.69</v>
      </c>
      <c r="W1426" s="22">
        <f>IFERROR(__xludf.DUMMYFUNCTION("IFERROR(GOOGLEFINANCE(A1426,""priceopen""),"""")"),13.0)</f>
        <v>13</v>
      </c>
      <c r="X1426" s="22">
        <f>IFERROR(__xludf.DUMMYFUNCTION("IFERROR(GOOGLEFINANCE(A1426,""high""),"""")"),14.0)</f>
        <v>14</v>
      </c>
      <c r="Y1426" s="22">
        <f>IFERROR(__xludf.DUMMYFUNCTION("IFERROR(GOOGLEFINANCE(A1426,""low""),"""")"),13.0)</f>
        <v>13</v>
      </c>
      <c r="Z1426" s="22">
        <f>IFERROR(__xludf.DUMMYFUNCTION("IFERROR(GOOGLEFINANCE(A1426,""volume""),"""")"),4.31589E7)</f>
        <v>43158900</v>
      </c>
      <c r="AA1426" s="24" t="str">
        <f>VLOOKUP(A1426,Metrik!$C$2:$Y$959,5,0)</f>
        <v>Real Estate Management &amp; Development</v>
      </c>
      <c r="AB1426" s="24" t="str">
        <f>VLOOKUP(A1426,Metrik!$C$2:$Y$959,3,0)</f>
        <v>Properties &amp; Real Estate</v>
      </c>
    </row>
    <row r="1427">
      <c r="A1427" s="14" t="s">
        <v>774</v>
      </c>
      <c r="B1427" s="14" t="str">
        <f t="array" ref="B1427">VLOOKUP(A1427,{Metrik!$C$2:$C$998,Metrik!$B$2:$B$998},2,0)</f>
        <v>Famon Awal Bros Sedaya Tbk.</v>
      </c>
      <c r="C1427" s="15" t="str">
        <f>IFERROR(__xludf.DUMMYFUNCTION("GOOGLEFINANCE(""IDX:""&amp;A1427,""price"")"),"#N/A")</f>
        <v>#N/A</v>
      </c>
      <c r="D1427" s="16" t="str">
        <f>IFERROR(__xludf.DUMMYFUNCTION("IF(A1427="""","""",
SPARKLINE(
INDEX(
GOOGLEFINANCE(""IDX:""&amp;A1427,""close"",TODAY()-365,TODAY()),
,2
),
{""linewidth"",1}
))
"),"#N/A")</f>
        <v>#N/A</v>
      </c>
      <c r="E1427" s="26"/>
      <c r="F1427" s="26"/>
      <c r="G1427" s="24">
        <f t="shared" si="9"/>
        <v>0</v>
      </c>
      <c r="H1427" s="19">
        <f>VLOOKUP(A1427,Metrik!$C$2:$Y$959,8,0)</f>
        <v>52.6</v>
      </c>
      <c r="I1427" s="20">
        <f>VLOOKUP(A1427,Metrik!$C$2:$Y$959,9,0)</f>
        <v>2.9</v>
      </c>
      <c r="J1427" s="20">
        <f>VLOOKUP(A1427,Metrik!$C$2:$Y$959,10,0)</f>
        <v>5.5</v>
      </c>
      <c r="K1427" s="20">
        <f>VLOOKUP(A1427,Metrik!$C$2:$Y$959,11,0)</f>
        <v>3.1</v>
      </c>
      <c r="L1427" s="20">
        <f>VLOOKUP(A1427,Metrik!$C$2:$Y$959,12,0)</f>
        <v>0.77</v>
      </c>
      <c r="M1427" s="20">
        <f>VLOOKUP(A1427,Metrik!$C$2:$Y$959,19,0)</f>
        <v>27.9</v>
      </c>
      <c r="N1427" s="21"/>
      <c r="O1427" s="21"/>
      <c r="P1427" s="21"/>
      <c r="Q1427" s="21"/>
      <c r="R1427" s="21"/>
      <c r="S1427" s="21"/>
      <c r="T1427" s="21"/>
      <c r="U1427" s="22">
        <f>IFERROR(__xludf.DUMMYFUNCTION("IFERROR(GOOGLEFINANCE(A1427,""closeyest""),"""")"),35.45)</f>
        <v>35.45</v>
      </c>
      <c r="V1427" s="23">
        <f>IFERROR(__xludf.DUMMYFUNCTION("IFERROR(GOOGLEFINANCE(A1427,""changepct""),"""")"),0.59)</f>
        <v>0.59</v>
      </c>
      <c r="W1427" s="22">
        <f>IFERROR(__xludf.DUMMYFUNCTION("IFERROR(GOOGLEFINANCE(A1427,""priceopen""),"""")"),35.54)</f>
        <v>35.54</v>
      </c>
      <c r="X1427" s="22">
        <f>IFERROR(__xludf.DUMMYFUNCTION("IFERROR(GOOGLEFINANCE(A1427,""high""),"""")"),35.83)</f>
        <v>35.83</v>
      </c>
      <c r="Y1427" s="22">
        <f>IFERROR(__xludf.DUMMYFUNCTION("IFERROR(GOOGLEFINANCE(A1427,""low""),"""")"),35.54)</f>
        <v>35.54</v>
      </c>
      <c r="Z1427" s="22">
        <f>IFERROR(__xludf.DUMMYFUNCTION("IFERROR(GOOGLEFINANCE(A1427,""volume""),"""")"),868.0)</f>
        <v>868</v>
      </c>
      <c r="AA1427" s="24" t="str">
        <f>VLOOKUP(A1427,Metrik!$C$2:$Y$959,5,0)</f>
        <v>Healthcare Providers</v>
      </c>
      <c r="AB1427" s="24" t="str">
        <f>VLOOKUP(A1427,Metrik!$C$2:$Y$959,3,0)</f>
        <v>Healthcare</v>
      </c>
    </row>
    <row r="1428">
      <c r="A1428" s="17" t="s">
        <v>775</v>
      </c>
      <c r="B1428" s="14" t="str">
        <f t="array" ref="B1428">VLOOKUP(A1428,{Metrik!$C$2:$C$998,Metrik!$B$2:$B$998},2,0)</f>
        <v>PT Prodia Widyahusada Tbk.</v>
      </c>
      <c r="C1428" s="15">
        <f>IFERROR(__xludf.DUMMYFUNCTION("GOOGLEFINANCE(""IDX:""&amp;A1428,""price"")"),2440.0)</f>
        <v>2440</v>
      </c>
      <c r="D1428" s="16" t="str">
        <f>IFERROR(__xludf.DUMMYFUNCTION("IF(A1428="""","""",
SPARKLINE(
INDEX(
GOOGLEFINANCE(""IDX:""&amp;A1428,""close"",TODAY()-365,TODAY()),
,2
),
{""linewidth"",1}
))
"),"#N/A")</f>
        <v>#N/A</v>
      </c>
      <c r="E1428" s="14"/>
      <c r="F1428" s="17"/>
      <c r="G1428" s="18">
        <f t="shared" si="9"/>
        <v>0</v>
      </c>
      <c r="H1428" s="19">
        <f>VLOOKUP(A1428,Metrik!$C$2:$Y$959,8,0)</f>
        <v>10.9</v>
      </c>
      <c r="I1428" s="20">
        <f>VLOOKUP(A1428,Metrik!$C$2:$Y$959,9,0)</f>
        <v>0.98</v>
      </c>
      <c r="J1428" s="20">
        <f>VLOOKUP(A1428,Metrik!$C$2:$Y$959,10,0)</f>
        <v>9</v>
      </c>
      <c r="K1428" s="20">
        <f>VLOOKUP(A1428,Metrik!$C$2:$Y$959,11,0)</f>
        <v>8.1</v>
      </c>
      <c r="L1428" s="20">
        <f>VLOOKUP(A1428,Metrik!$C$2:$Y$959,12,0)</f>
        <v>0.11</v>
      </c>
      <c r="M1428" s="20">
        <f>VLOOKUP(A1428,Metrik!$C$2:$Y$959,19,0)</f>
        <v>43.3</v>
      </c>
      <c r="N1428" s="21"/>
      <c r="O1428" s="21"/>
      <c r="P1428" s="21"/>
      <c r="Q1428" s="21"/>
      <c r="R1428" s="21"/>
      <c r="S1428" s="21"/>
      <c r="T1428" s="21"/>
      <c r="U1428" s="22">
        <f>IFERROR(__xludf.DUMMYFUNCTION("IFERROR(GOOGLEFINANCE(A1428,""closeyest""),"""")"),2410.0)</f>
        <v>2410</v>
      </c>
      <c r="V1428" s="23">
        <f>IFERROR(__xludf.DUMMYFUNCTION("IFERROR(GOOGLEFINANCE(A1428,""changepct""),"""")"),1.24)</f>
        <v>1.24</v>
      </c>
      <c r="W1428" s="22">
        <f>IFERROR(__xludf.DUMMYFUNCTION("IFERROR(GOOGLEFINANCE(A1428,""priceopen""),"""")"),2410.0)</f>
        <v>2410</v>
      </c>
      <c r="X1428" s="22">
        <f>IFERROR(__xludf.DUMMYFUNCTION("IFERROR(GOOGLEFINANCE(A1428,""high""),"""")"),2440.0)</f>
        <v>2440</v>
      </c>
      <c r="Y1428" s="22">
        <f>IFERROR(__xludf.DUMMYFUNCTION("IFERROR(GOOGLEFINANCE(A1428,""low""),"""")"),2390.0)</f>
        <v>2390</v>
      </c>
      <c r="Z1428" s="22">
        <f>IFERROR(__xludf.DUMMYFUNCTION("IFERROR(GOOGLEFINANCE(A1428,""volume""),"""")"),120400.0)</f>
        <v>120400</v>
      </c>
      <c r="AA1428" s="24" t="str">
        <f>VLOOKUP(A1428,Metrik!$C$2:$Y$959,5,0)</f>
        <v>Healthcare Providers</v>
      </c>
      <c r="AB1428" s="24" t="str">
        <f>VLOOKUP(A1428,Metrik!$C$2:$Y$959,3,0)</f>
        <v>Healthcare</v>
      </c>
    </row>
    <row r="1429">
      <c r="A1429" s="14" t="s">
        <v>776</v>
      </c>
      <c r="B1429" s="14" t="str">
        <f t="array" ref="B1429">VLOOKUP(A1429,{Metrik!$C$2:$C$998,Metrik!$B$2:$B$998},2,0)</f>
        <v>Royal Prima Tbk.</v>
      </c>
      <c r="C1429" s="15">
        <f>IFERROR(__xludf.DUMMYFUNCTION("GOOGLEFINANCE(""IDX:""&amp;A1429,""price"")"),79.0)</f>
        <v>79</v>
      </c>
      <c r="D1429" s="16" t="str">
        <f>IFERROR(__xludf.DUMMYFUNCTION("IF(A1429="""","""",
SPARKLINE(
INDEX(
GOOGLEFINANCE(""IDX:""&amp;A1429,""close"",TODAY()-365,TODAY()),
,2
),
{""linewidth"",1}
))
"),"#N/A")</f>
        <v>#N/A</v>
      </c>
      <c r="E1429" s="26"/>
      <c r="F1429" s="26"/>
      <c r="G1429" s="24">
        <f t="shared" si="9"/>
        <v>0</v>
      </c>
      <c r="H1429" s="19">
        <f>VLOOKUP(A1429,Metrik!$C$2:$Y$959,8,0)</f>
        <v>-14.4</v>
      </c>
      <c r="I1429" s="20">
        <f>VLOOKUP(A1429,Metrik!$C$2:$Y$959,9,0)</f>
        <v>0.3</v>
      </c>
      <c r="J1429" s="20">
        <f>VLOOKUP(A1429,Metrik!$C$2:$Y$959,10,0)</f>
        <v>-2.1</v>
      </c>
      <c r="K1429" s="20">
        <f>VLOOKUP(A1429,Metrik!$C$2:$Y$959,11,0)</f>
        <v>-1.9</v>
      </c>
      <c r="L1429" s="20">
        <f>VLOOKUP(A1429,Metrik!$C$2:$Y$959,12,0)</f>
        <v>0.11</v>
      </c>
      <c r="M1429" s="20">
        <f>VLOOKUP(A1429,Metrik!$C$2:$Y$959,19,0)</f>
        <v>-27.2</v>
      </c>
      <c r="N1429" s="21"/>
      <c r="O1429" s="21"/>
      <c r="P1429" s="21"/>
      <c r="Q1429" s="21"/>
      <c r="R1429" s="21"/>
      <c r="S1429" s="21"/>
      <c r="T1429" s="21"/>
      <c r="U1429" s="22">
        <f>IFERROR(__xludf.DUMMYFUNCTION("IFERROR(GOOGLEFINANCE(A1429,""closeyest""),"""")"),94.5)</f>
        <v>94.5</v>
      </c>
      <c r="V1429" s="23">
        <f>IFERROR(__xludf.DUMMYFUNCTION("IFERROR(GOOGLEFINANCE(A1429,""changepct""),"""")"),4.39)</f>
        <v>4.39</v>
      </c>
      <c r="W1429" s="22">
        <f>IFERROR(__xludf.DUMMYFUNCTION("IFERROR(GOOGLEFINANCE(A1429,""priceopen""),"""")"),94.53)</f>
        <v>94.53</v>
      </c>
      <c r="X1429" s="22">
        <f>IFERROR(__xludf.DUMMYFUNCTION("IFERROR(GOOGLEFINANCE(A1429,""high""),"""")"),99.98)</f>
        <v>99.98</v>
      </c>
      <c r="Y1429" s="22">
        <f>IFERROR(__xludf.DUMMYFUNCTION("IFERROR(GOOGLEFINANCE(A1429,""low""),"""")"),93.2)</f>
        <v>93.2</v>
      </c>
      <c r="Z1429" s="22">
        <f>IFERROR(__xludf.DUMMYFUNCTION("IFERROR(GOOGLEFINANCE(A1429,""volume""),"""")"),1772391.0)</f>
        <v>1772391</v>
      </c>
      <c r="AA1429" s="24" t="str">
        <f>VLOOKUP(A1429,Metrik!$C$2:$Y$959,5,0)</f>
        <v>Healthcare Providers</v>
      </c>
      <c r="AB1429" s="24" t="str">
        <f>VLOOKUP(A1429,Metrik!$C$2:$Y$959,3,0)</f>
        <v>Healthcare</v>
      </c>
    </row>
    <row r="1430">
      <c r="A1430" s="14" t="s">
        <v>777</v>
      </c>
      <c r="B1430" s="14" t="str">
        <f t="array" ref="B1430">VLOOKUP(A1430,{Metrik!$C$2:$C$998,Metrik!$B$2:$B$998},2,0)</f>
        <v>J Resources Asia Pasifik Tbk.</v>
      </c>
      <c r="C1430" s="15">
        <f>IFERROR(__xludf.DUMMYFUNCTION("GOOGLEFINANCE(""IDX:""&amp;A1430,""price"")"),468.0)</f>
        <v>468</v>
      </c>
      <c r="D1430" s="16" t="str">
        <f>IFERROR(__xludf.DUMMYFUNCTION("IF(A1430="""","""",
SPARKLINE(
INDEX(
GOOGLEFINANCE(""IDX:""&amp;A1430,""close"",TODAY()-365,TODAY()),
,2
),
{""linewidth"",1}
))
"),"#N/A")</f>
        <v>#N/A</v>
      </c>
      <c r="E1430" s="14" t="s">
        <v>32</v>
      </c>
      <c r="F1430" s="14" t="s">
        <v>29</v>
      </c>
      <c r="G1430" s="24">
        <f t="shared" si="9"/>
        <v>1</v>
      </c>
      <c r="H1430" s="19">
        <f>VLOOKUP(A1430,Metrik!$C$2:$Y$959,8,0)</f>
        <v>20.7</v>
      </c>
      <c r="I1430" s="20">
        <f>VLOOKUP(A1430,Metrik!$C$2:$Y$959,9,0)</f>
        <v>1.7</v>
      </c>
      <c r="J1430" s="20">
        <f>VLOOKUP(A1430,Metrik!$C$2:$Y$959,10,0)</f>
        <v>8</v>
      </c>
      <c r="K1430" s="20">
        <f>VLOOKUP(A1430,Metrik!$C$2:$Y$959,11,0)</f>
        <v>4.4</v>
      </c>
      <c r="L1430" s="20">
        <f>VLOOKUP(A1430,Metrik!$C$2:$Y$959,12,0)</f>
        <v>0.81</v>
      </c>
      <c r="M1430" s="20">
        <f>VLOOKUP(A1430,Metrik!$C$2:$Y$959,19,0)</f>
        <v>12.6</v>
      </c>
      <c r="N1430" s="21"/>
      <c r="O1430" s="21"/>
      <c r="P1430" s="21"/>
      <c r="Q1430" s="21"/>
      <c r="R1430" s="21"/>
      <c r="S1430" s="21"/>
      <c r="T1430" s="21"/>
      <c r="U1430" s="22">
        <f>IFERROR(__xludf.DUMMYFUNCTION("IFERROR(GOOGLEFINANCE(A1430,""closeyest""),"""")"),445.0)</f>
        <v>445</v>
      </c>
      <c r="V1430" s="23">
        <f>IFERROR(__xludf.DUMMYFUNCTION("IFERROR(GOOGLEFINANCE(A1430,""changepct""),"""")"),5.17)</f>
        <v>5.17</v>
      </c>
      <c r="W1430" s="22">
        <f>IFERROR(__xludf.DUMMYFUNCTION("IFERROR(GOOGLEFINANCE(A1430,""priceopen""),"""")"),468.0)</f>
        <v>468</v>
      </c>
      <c r="X1430" s="22">
        <f>IFERROR(__xludf.DUMMYFUNCTION("IFERROR(GOOGLEFINANCE(A1430,""high""),"""")"),468.0)</f>
        <v>468</v>
      </c>
      <c r="Y1430" s="22" t="str">
        <f>IFERROR(__xludf.DUMMYFUNCTION("IFERROR(GOOGLEFINANCE(A1430,""low""),"""")"),"")</f>
        <v/>
      </c>
      <c r="Z1430" s="22">
        <f>IFERROR(__xludf.DUMMYFUNCTION("IFERROR(GOOGLEFINANCE(A1430,""volume""),"""")"),3.49898E7)</f>
        <v>34989800</v>
      </c>
      <c r="AA1430" s="24" t="str">
        <f>VLOOKUP(A1430,Metrik!$C$2:$Y$959,5,0)</f>
        <v>Metals &amp; Minerals</v>
      </c>
      <c r="AB1430" s="24" t="str">
        <f>VLOOKUP(A1430,Metrik!$C$2:$Y$959,3,0)</f>
        <v>Basic Materials</v>
      </c>
    </row>
    <row r="1431">
      <c r="A1431" s="14" t="s">
        <v>778</v>
      </c>
      <c r="B1431" s="14" t="str">
        <f t="array" ref="B1431">VLOOKUP(A1431,{Metrik!$C$2:$C$998,Metrik!$B$2:$B$998},2,0)</f>
        <v>Pancaran Samudera Transport Tbk.</v>
      </c>
      <c r="C1431" s="15">
        <f>IFERROR(__xludf.DUMMYFUNCTION("GOOGLEFINANCE(""IDX:""&amp;A1431,""price"")"),850.0)</f>
        <v>850</v>
      </c>
      <c r="D1431" s="16" t="str">
        <f>IFERROR(__xludf.DUMMYFUNCTION("IF(A1431="""","""",
SPARKLINE(
INDEX(
GOOGLEFINANCE(""IDX:""&amp;A1431,""close"",TODAY()-365,TODAY()),
,2
),
{""linewidth"",1}
))
"),"#N/A")</f>
        <v>#N/A</v>
      </c>
      <c r="E1431" s="26"/>
      <c r="F1431" s="26"/>
      <c r="G1431" s="24">
        <f t="shared" si="9"/>
        <v>0</v>
      </c>
      <c r="H1431" s="19">
        <f>VLOOKUP(A1431,Metrik!$C$2:$Y$959,8,0)</f>
        <v>-45</v>
      </c>
      <c r="I1431" s="20">
        <f>VLOOKUP(A1431,Metrik!$C$2:$Y$959,9,0)</f>
        <v>0.9</v>
      </c>
      <c r="J1431" s="20">
        <f>VLOOKUP(A1431,Metrik!$C$2:$Y$959,10,0)</f>
        <v>-2</v>
      </c>
      <c r="K1431" s="20">
        <f>VLOOKUP(A1431,Metrik!$C$2:$Y$959,11,0)</f>
        <v>-1.5</v>
      </c>
      <c r="L1431" s="20">
        <f>VLOOKUP(A1431,Metrik!$C$2:$Y$959,12,0)</f>
        <v>0.29</v>
      </c>
      <c r="M1431" s="20">
        <f>VLOOKUP(A1431,Metrik!$C$2:$Y$959,19,0)</f>
        <v>-13.8</v>
      </c>
      <c r="N1431" s="21"/>
      <c r="O1431" s="21"/>
      <c r="P1431" s="21"/>
      <c r="Q1431" s="21"/>
      <c r="R1431" s="21"/>
      <c r="S1431" s="21"/>
      <c r="T1431" s="21"/>
      <c r="U1431" s="22">
        <f>IFERROR(__xludf.DUMMYFUNCTION("IFERROR(GOOGLEFINANCE(A1431,""closeyest""),"""")"),850.0)</f>
        <v>850</v>
      </c>
      <c r="V1431" s="23">
        <f>IFERROR(__xludf.DUMMYFUNCTION("IFERROR(GOOGLEFINANCE(A1431,""changepct""),"""")"),0.0)</f>
        <v>0</v>
      </c>
      <c r="W1431" s="22">
        <f>IFERROR(__xludf.DUMMYFUNCTION("IFERROR(GOOGLEFINANCE(A1431,""priceopen""),"""")"),850.0)</f>
        <v>850</v>
      </c>
      <c r="X1431" s="22">
        <f>IFERROR(__xludf.DUMMYFUNCTION("IFERROR(GOOGLEFINANCE(A1431,""high""),"""")"),900.0)</f>
        <v>900</v>
      </c>
      <c r="Y1431" s="22">
        <f>IFERROR(__xludf.DUMMYFUNCTION("IFERROR(GOOGLEFINANCE(A1431,""low""),"""")"),800.0)</f>
        <v>800</v>
      </c>
      <c r="Z1431" s="22" t="str">
        <f>IFERROR(__xludf.DUMMYFUNCTION("IFERROR(GOOGLEFINANCE(A1431,""volume""),"""")"),"")</f>
        <v/>
      </c>
      <c r="AA1431" s="24" t="str">
        <f>VLOOKUP(A1431,Metrik!$C$2:$Y$959,5,0)</f>
        <v>Coal</v>
      </c>
      <c r="AB1431" s="24" t="str">
        <f>VLOOKUP(A1431,Metrik!$C$2:$Y$959,3,0)</f>
        <v>Energy</v>
      </c>
    </row>
    <row r="1432">
      <c r="A1432" s="14" t="s">
        <v>779</v>
      </c>
      <c r="B1432" s="14" t="str">
        <f t="array" ref="B1432">VLOOKUP(A1432,{Metrik!$C$2:$C$998,Metrik!$B$2:$B$998},2,0)</f>
        <v>Prasidha Aneka Niaga Tbk</v>
      </c>
      <c r="C1432" s="15" t="str">
        <f>IFERROR(__xludf.DUMMYFUNCTION("GOOGLEFINANCE(""IDX:""&amp;A1432,""price"")"),"#N/A")</f>
        <v>#N/A</v>
      </c>
      <c r="D1432" s="16" t="str">
        <f>IFERROR(__xludf.DUMMYFUNCTION("IF(A1432="""","""",
SPARKLINE(
INDEX(
GOOGLEFINANCE(""IDX:""&amp;A1432,""close"",TODAY()-365,TODAY()),
,2
),
{""linewidth"",1}
))
"),"#N/A")</f>
        <v>#N/A</v>
      </c>
      <c r="E1432" s="26"/>
      <c r="F1432" s="26"/>
      <c r="G1432" s="24">
        <f t="shared" si="9"/>
        <v>0</v>
      </c>
      <c r="H1432" s="19">
        <f>VLOOKUP(A1432,Metrik!$C$2:$Y$959,8,0)</f>
        <v>-6.8</v>
      </c>
      <c r="I1432" s="20">
        <f>VLOOKUP(A1432,Metrik!$C$2:$Y$959,9,0)</f>
        <v>13.4</v>
      </c>
      <c r="J1432" s="20">
        <f>VLOOKUP(A1432,Metrik!$C$2:$Y$959,10,0)</f>
        <v>-200</v>
      </c>
      <c r="K1432" s="20">
        <f>VLOOKUP(A1432,Metrik!$C$2:$Y$959,11,0)</f>
        <v>-20.3</v>
      </c>
      <c r="L1432" s="20">
        <f>VLOOKUP(A1432,Metrik!$C$2:$Y$959,12,0)</f>
        <v>8.7</v>
      </c>
      <c r="M1432" s="20">
        <f>VLOOKUP(A1432,Metrik!$C$2:$Y$959,19,0)</f>
        <v>-680</v>
      </c>
      <c r="N1432" s="21"/>
      <c r="O1432" s="21"/>
      <c r="P1432" s="21"/>
      <c r="Q1432" s="21"/>
      <c r="R1432" s="21"/>
      <c r="S1432" s="21"/>
      <c r="T1432" s="21"/>
      <c r="U1432" s="22">
        <f>IFERROR(__xludf.DUMMYFUNCTION("IFERROR(GOOGLEFINANCE(A1432,""closeyest""),"""")"),113.0)</f>
        <v>113</v>
      </c>
      <c r="V1432" s="23">
        <f>IFERROR(__xludf.DUMMYFUNCTION("IFERROR(GOOGLEFINANCE(A1432,""changepct""),"""")"),1.77)</f>
        <v>1.77</v>
      </c>
      <c r="W1432" s="22">
        <f>IFERROR(__xludf.DUMMYFUNCTION("IFERROR(GOOGLEFINANCE(A1432,""priceopen""),"""")"),112.0)</f>
        <v>112</v>
      </c>
      <c r="X1432" s="22">
        <f>IFERROR(__xludf.DUMMYFUNCTION("IFERROR(GOOGLEFINANCE(A1432,""high""),"""")"),126.0)</f>
        <v>126</v>
      </c>
      <c r="Y1432" s="22">
        <f>IFERROR(__xludf.DUMMYFUNCTION("IFERROR(GOOGLEFINANCE(A1432,""low""),"""")"),111.0)</f>
        <v>111</v>
      </c>
      <c r="Z1432" s="22">
        <f>IFERROR(__xludf.DUMMYFUNCTION("IFERROR(GOOGLEFINANCE(A1432,""volume""),"""")"),1.695E7)</f>
        <v>16950000</v>
      </c>
      <c r="AA1432" s="24" t="str">
        <f>VLOOKUP(A1432,Metrik!$C$2:$Y$959,5,0)</f>
        <v>Processed Foods</v>
      </c>
      <c r="AB1432" s="24" t="str">
        <f>VLOOKUP(A1432,Metrik!$C$2:$Y$959,3,0)</f>
        <v>Consumer Non-Cyclicals</v>
      </c>
    </row>
    <row r="1433">
      <c r="A1433" s="14" t="s">
        <v>780</v>
      </c>
      <c r="B1433" s="14" t="str">
        <f t="array" ref="B1433">VLOOKUP(A1433,{Metrik!$C$2:$C$998,Metrik!$B$2:$B$998},2,0)</f>
        <v>Palma Serasih Tbk.</v>
      </c>
      <c r="C1433" s="15">
        <f>IFERROR(__xludf.DUMMYFUNCTION("GOOGLEFINANCE(""IDX:""&amp;A1433,""price"")"),190.0)</f>
        <v>190</v>
      </c>
      <c r="D1433" s="16" t="str">
        <f>IFERROR(__xludf.DUMMYFUNCTION("IF(A1433="""","""",
SPARKLINE(
INDEX(
GOOGLEFINANCE(""IDX:""&amp;A1433,""close"",TODAY()-365,TODAY()),
,2
),
{""linewidth"",1}
))
"),"#N/A")</f>
        <v>#N/A</v>
      </c>
      <c r="E1433" s="26"/>
      <c r="F1433" s="26"/>
      <c r="G1433" s="18">
        <f t="shared" si="9"/>
        <v>0</v>
      </c>
      <c r="H1433" s="19">
        <f>VLOOKUP(A1433,Metrik!$C$2:$Y$959,8,0)</f>
        <v>8.4</v>
      </c>
      <c r="I1433" s="20">
        <f>VLOOKUP(A1433,Metrik!$C$2:$Y$959,9,0)</f>
        <v>1.3</v>
      </c>
      <c r="J1433" s="20">
        <f>VLOOKUP(A1433,Metrik!$C$2:$Y$959,10,0)</f>
        <v>15.3</v>
      </c>
      <c r="K1433" s="20">
        <f>VLOOKUP(A1433,Metrik!$C$2:$Y$959,11,0)</f>
        <v>13.2</v>
      </c>
      <c r="L1433" s="20">
        <f>VLOOKUP(A1433,Metrik!$C$2:$Y$959,12,0)</f>
        <v>0.16</v>
      </c>
      <c r="M1433" s="20">
        <f>VLOOKUP(A1433,Metrik!$C$2:$Y$959,19,0)</f>
        <v>81.4</v>
      </c>
      <c r="N1433" s="21"/>
      <c r="O1433" s="21"/>
      <c r="P1433" s="21"/>
      <c r="Q1433" s="21"/>
      <c r="R1433" s="21"/>
      <c r="S1433" s="21"/>
      <c r="T1433" s="21"/>
      <c r="U1433" s="22">
        <f>IFERROR(__xludf.DUMMYFUNCTION("IFERROR(GOOGLEFINANCE(A1433,""closeyest""),"""")"),190.0)</f>
        <v>190</v>
      </c>
      <c r="V1433" s="23">
        <f>IFERROR(__xludf.DUMMYFUNCTION("IFERROR(GOOGLEFINANCE(A1433,""changepct""),"""")"),0.0)</f>
        <v>0</v>
      </c>
      <c r="W1433" s="22">
        <f>IFERROR(__xludf.DUMMYFUNCTION("IFERROR(GOOGLEFINANCE(A1433,""priceopen""),"""")"),192.0)</f>
        <v>192</v>
      </c>
      <c r="X1433" s="22">
        <f>IFERROR(__xludf.DUMMYFUNCTION("IFERROR(GOOGLEFINANCE(A1433,""high""),"""")"),194.0)</f>
        <v>194</v>
      </c>
      <c r="Y1433" s="22">
        <f>IFERROR(__xludf.DUMMYFUNCTION("IFERROR(GOOGLEFINANCE(A1433,""low""),"""")"),190.0)</f>
        <v>190</v>
      </c>
      <c r="Z1433" s="22">
        <f>IFERROR(__xludf.DUMMYFUNCTION("IFERROR(GOOGLEFINANCE(A1433,""volume""),"""")"),338700.0)</f>
        <v>338700</v>
      </c>
      <c r="AA1433" s="24" t="str">
        <f>VLOOKUP(A1433,Metrik!$C$2:$Y$959,5,0)</f>
        <v>Agricultural Products</v>
      </c>
      <c r="AB1433" s="24" t="str">
        <f>VLOOKUP(A1433,Metrik!$C$2:$Y$959,3,0)</f>
        <v>Consumer Non-Cyclicals</v>
      </c>
    </row>
    <row r="1434">
      <c r="A1434" s="14" t="s">
        <v>781</v>
      </c>
      <c r="B1434" s="14" t="str">
        <f t="array" ref="B1434">VLOOKUP(A1434,{Metrik!$C$2:$C$998,Metrik!$B$2:$B$998},2,0)</f>
        <v>Red Planet Indonesia Tbk.</v>
      </c>
      <c r="C1434" s="15">
        <f>IFERROR(__xludf.DUMMYFUNCTION("GOOGLEFINANCE(""IDX:""&amp;A1434,""price"")"),189.0)</f>
        <v>189</v>
      </c>
      <c r="D1434" s="16" t="str">
        <f>IFERROR(__xludf.DUMMYFUNCTION("IF(A1434="""","""",
SPARKLINE(
INDEX(
GOOGLEFINANCE(""IDX:""&amp;A1434,""close"",TODAY()-365,TODAY()),
,2
),
{""linewidth"",1}
))
"),"#N/A")</f>
        <v>#N/A</v>
      </c>
      <c r="E1434" s="26"/>
      <c r="F1434" s="26"/>
      <c r="G1434" s="24">
        <f t="shared" si="9"/>
        <v>0</v>
      </c>
      <c r="H1434" s="19">
        <f>VLOOKUP(A1434,Metrik!$C$2:$Y$959,8,0)</f>
        <v>-200</v>
      </c>
      <c r="I1434" s="20">
        <f>VLOOKUP(A1434,Metrik!$C$2:$Y$959,9,0)</f>
        <v>7.2</v>
      </c>
      <c r="J1434" s="20">
        <f>VLOOKUP(A1434,Metrik!$C$2:$Y$959,10,0)</f>
        <v>-3.7</v>
      </c>
      <c r="K1434" s="20">
        <f>VLOOKUP(A1434,Metrik!$C$2:$Y$959,11,0)</f>
        <v>-3.2</v>
      </c>
      <c r="L1434" s="20">
        <f>VLOOKUP(A1434,Metrik!$C$2:$Y$959,12,0)</f>
        <v>0.14</v>
      </c>
      <c r="M1434" s="20">
        <f>VLOOKUP(A1434,Metrik!$C$2:$Y$959,19,0)</f>
        <v>-100</v>
      </c>
      <c r="N1434" s="21"/>
      <c r="O1434" s="21"/>
      <c r="P1434" s="21"/>
      <c r="Q1434" s="21"/>
      <c r="R1434" s="21"/>
      <c r="S1434" s="21"/>
      <c r="T1434" s="21"/>
      <c r="U1434" s="22">
        <f>IFERROR(__xludf.DUMMYFUNCTION("IFERROR(GOOGLEFINANCE(A1434,""closeyest""),"""")"),180.0)</f>
        <v>180</v>
      </c>
      <c r="V1434" s="23">
        <f>IFERROR(__xludf.DUMMYFUNCTION("IFERROR(GOOGLEFINANCE(A1434,""changepct""),"""")"),5.0)</f>
        <v>5</v>
      </c>
      <c r="W1434" s="22">
        <f>IFERROR(__xludf.DUMMYFUNCTION("IFERROR(GOOGLEFINANCE(A1434,""priceopen""),"""")"),181.0)</f>
        <v>181</v>
      </c>
      <c r="X1434" s="22">
        <f>IFERROR(__xludf.DUMMYFUNCTION("IFERROR(GOOGLEFINANCE(A1434,""high""),"""")"),194.0)</f>
        <v>194</v>
      </c>
      <c r="Y1434" s="22">
        <f>IFERROR(__xludf.DUMMYFUNCTION("IFERROR(GOOGLEFINANCE(A1434,""low""),"""")"),181.0)</f>
        <v>181</v>
      </c>
      <c r="Z1434" s="22">
        <f>IFERROR(__xludf.DUMMYFUNCTION("IFERROR(GOOGLEFINANCE(A1434,""volume""),"""")"),2.47477E7)</f>
        <v>24747700</v>
      </c>
      <c r="AA1434" s="24" t="str">
        <f>VLOOKUP(A1434,Metrik!$C$2:$Y$959,5,0)</f>
        <v>Tourism &amp; Recreation</v>
      </c>
      <c r="AB1434" s="24" t="str">
        <f>VLOOKUP(A1434,Metrik!$C$2:$Y$959,3,0)</f>
        <v>Consumer Cyclicals</v>
      </c>
    </row>
    <row r="1435">
      <c r="A1435" s="14" t="s">
        <v>782</v>
      </c>
      <c r="B1435" s="14" t="str">
        <f t="array" ref="B1435">VLOOKUP(A1435,{Metrik!$C$2:$C$998,Metrik!$B$2:$B$998},2,0)</f>
        <v>IMC Pelita Logistik Tbk.</v>
      </c>
      <c r="C1435" s="15">
        <f>IFERROR(__xludf.DUMMYFUNCTION("GOOGLEFINANCE(""IDX:""&amp;A1435,""price"")"),296.0)</f>
        <v>296</v>
      </c>
      <c r="D1435" s="16" t="str">
        <f>IFERROR(__xludf.DUMMYFUNCTION("IF(A1435="""","""",
SPARKLINE(
INDEX(
GOOGLEFINANCE(""IDX:""&amp;A1435,""close"",TODAY()-365,TODAY()),
,2
),
{""linewidth"",1}
))
"),"#N/A")</f>
        <v>#N/A</v>
      </c>
      <c r="E1435" s="26"/>
      <c r="F1435" s="26"/>
      <c r="G1435" s="24">
        <f t="shared" si="9"/>
        <v>0</v>
      </c>
      <c r="H1435" s="19">
        <f>VLOOKUP(A1435,Metrik!$C$2:$Y$959,8,0)</f>
        <v>-160</v>
      </c>
      <c r="I1435" s="20">
        <f>VLOOKUP(A1435,Metrik!$C$2:$Y$959,9,0)</f>
        <v>0.63</v>
      </c>
      <c r="J1435" s="20">
        <f>VLOOKUP(A1435,Metrik!$C$2:$Y$959,10,0)</f>
        <v>-0.39</v>
      </c>
      <c r="K1435" s="20">
        <f>VLOOKUP(A1435,Metrik!$C$2:$Y$959,11,0)</f>
        <v>-0.34</v>
      </c>
      <c r="L1435" s="20">
        <f>VLOOKUP(A1435,Metrik!$C$2:$Y$959,12,0)</f>
        <v>0.13</v>
      </c>
      <c r="M1435" s="20">
        <f>VLOOKUP(A1435,Metrik!$C$2:$Y$959,19,0)</f>
        <v>-5.5</v>
      </c>
      <c r="N1435" s="21"/>
      <c r="O1435" s="21"/>
      <c r="P1435" s="21"/>
      <c r="Q1435" s="21"/>
      <c r="R1435" s="21"/>
      <c r="S1435" s="21"/>
      <c r="T1435" s="21"/>
      <c r="U1435" s="22">
        <f>IFERROR(__xludf.DUMMYFUNCTION("IFERROR(GOOGLEFINANCE(A1435,""closeyest""),"""")"),290.0)</f>
        <v>290</v>
      </c>
      <c r="V1435" s="23">
        <f>IFERROR(__xludf.DUMMYFUNCTION("IFERROR(GOOGLEFINANCE(A1435,""changepct""),"""")"),2.07)</f>
        <v>2.07</v>
      </c>
      <c r="W1435" s="22">
        <f>IFERROR(__xludf.DUMMYFUNCTION("IFERROR(GOOGLEFINANCE(A1435,""priceopen""),"""")"),290.0)</f>
        <v>290</v>
      </c>
      <c r="X1435" s="22">
        <f>IFERROR(__xludf.DUMMYFUNCTION("IFERROR(GOOGLEFINANCE(A1435,""high""),"""")"),298.0)</f>
        <v>298</v>
      </c>
      <c r="Y1435" s="22">
        <f>IFERROR(__xludf.DUMMYFUNCTION("IFERROR(GOOGLEFINANCE(A1435,""low""),"""")"),286.0)</f>
        <v>286</v>
      </c>
      <c r="Z1435" s="22">
        <f>IFERROR(__xludf.DUMMYFUNCTION("IFERROR(GOOGLEFINANCE(A1435,""volume""),"""")"),61300.0)</f>
        <v>61300</v>
      </c>
      <c r="AA1435" s="24" t="str">
        <f>VLOOKUP(A1435,Metrik!$C$2:$Y$959,5,0)</f>
        <v>Coal</v>
      </c>
      <c r="AB1435" s="24" t="str">
        <f>VLOOKUP(A1435,Metrik!$C$2:$Y$959,3,0)</f>
        <v>Energy</v>
      </c>
    </row>
    <row r="1436">
      <c r="A1436" s="14" t="s">
        <v>783</v>
      </c>
      <c r="B1436" s="14" t="str">
        <f t="array" ref="B1436">VLOOKUP(A1436,{Metrik!$C$2:$C$998,Metrik!$B$2:$B$998},2,0)</f>
        <v>Bukit Asam (Persero) Tbk.</v>
      </c>
      <c r="C1436" s="15">
        <f>IFERROR(__xludf.DUMMYFUNCTION("GOOGLEFINANCE(""IDX:""&amp;A1436,""price"")"),2620.0)</f>
        <v>2620</v>
      </c>
      <c r="D1436" s="16" t="str">
        <f>IFERROR(__xludf.DUMMYFUNCTION("IF(A1436="""","""",
SPARKLINE(
INDEX(
GOOGLEFINANCE(""IDX:""&amp;A1436,""close"",TODAY()-365,TODAY()),
,2
),
{""linewidth"",1}
))
"),"#N/A")</f>
        <v>#N/A</v>
      </c>
      <c r="E1436" s="14" t="s">
        <v>106</v>
      </c>
      <c r="F1436" s="25">
        <v>46356.0</v>
      </c>
      <c r="G1436" s="18">
        <f t="shared" si="9"/>
        <v>18</v>
      </c>
      <c r="H1436" s="19">
        <f>VLOOKUP(A1436,Metrik!$C$2:$Y$959,8,0)</f>
        <v>9.6</v>
      </c>
      <c r="I1436" s="20">
        <f>VLOOKUP(A1436,Metrik!$C$2:$Y$959,9,0)</f>
        <v>1.4</v>
      </c>
      <c r="J1436" s="20">
        <f>VLOOKUP(A1436,Metrik!$C$2:$Y$959,10,0)</f>
        <v>14.1</v>
      </c>
      <c r="K1436" s="20">
        <f>VLOOKUP(A1436,Metrik!$C$2:$Y$959,11,0)</f>
        <v>7.7</v>
      </c>
      <c r="L1436" s="20">
        <f>VLOOKUP(A1436,Metrik!$C$2:$Y$959,12,0)</f>
        <v>0.83</v>
      </c>
      <c r="M1436" s="20">
        <f>VLOOKUP(A1436,Metrik!$C$2:$Y$959,19,0)</f>
        <v>33.6</v>
      </c>
      <c r="N1436" s="21"/>
      <c r="O1436" s="21"/>
      <c r="P1436" s="21"/>
      <c r="Q1436" s="21"/>
      <c r="R1436" s="21"/>
      <c r="S1436" s="21"/>
      <c r="T1436" s="21"/>
      <c r="U1436" s="22">
        <f>IFERROR(__xludf.DUMMYFUNCTION("IFERROR(GOOGLEFINANCE(A1436,""closeyest""),"""")"),2630.0)</f>
        <v>2630</v>
      </c>
      <c r="V1436" s="23">
        <f>IFERROR(__xludf.DUMMYFUNCTION("IFERROR(GOOGLEFINANCE(A1436,""changepct""),"""")"),-0.38)</f>
        <v>-0.38</v>
      </c>
      <c r="W1436" s="22">
        <f>IFERROR(__xludf.DUMMYFUNCTION("IFERROR(GOOGLEFINANCE(A1436,""priceopen""),"""")"),2600.0)</f>
        <v>2600</v>
      </c>
      <c r="X1436" s="22">
        <f>IFERROR(__xludf.DUMMYFUNCTION("IFERROR(GOOGLEFINANCE(A1436,""high""),"""")"),2670.0)</f>
        <v>2670</v>
      </c>
      <c r="Y1436" s="22">
        <f>IFERROR(__xludf.DUMMYFUNCTION("IFERROR(GOOGLEFINANCE(A1436,""low""),"""")"),2550.0)</f>
        <v>2550</v>
      </c>
      <c r="Z1436" s="22">
        <f>IFERROR(__xludf.DUMMYFUNCTION("IFERROR(GOOGLEFINANCE(A1436,""volume""),"""")"),4.6138E7)</f>
        <v>46138000</v>
      </c>
      <c r="AA1436" s="24" t="str">
        <f>VLOOKUP(A1436,Metrik!$C$2:$Y$959,5,0)</f>
        <v>Coal</v>
      </c>
      <c r="AB1436" s="24" t="str">
        <f>VLOOKUP(A1436,Metrik!$C$2:$Y$959,3,0)</f>
        <v>Energy</v>
      </c>
    </row>
    <row r="1437">
      <c r="A1437" s="14" t="s">
        <v>783</v>
      </c>
      <c r="B1437" s="14" t="str">
        <f t="array" ref="B1437">VLOOKUP(A1437,{Metrik!$C$2:$C$998,Metrik!$B$2:$B$998},2,0)</f>
        <v>Bukit Asam (Persero) Tbk.</v>
      </c>
      <c r="C1437" s="15">
        <f>IFERROR(__xludf.DUMMYFUNCTION("GOOGLEFINANCE(""IDX:""&amp;A1437,""price"")"),2620.0)</f>
        <v>2620</v>
      </c>
      <c r="D1437" s="16" t="str">
        <f>IFERROR(__xludf.DUMMYFUNCTION("IF(A1437="""","""",
SPARKLINE(
INDEX(
GOOGLEFINANCE(""IDX:""&amp;A1437,""close"",TODAY()-365,TODAY()),
,2
),
{""linewidth"",1}
))
"),"#N/A")</f>
        <v>#N/A</v>
      </c>
      <c r="E1437" s="14" t="s">
        <v>65</v>
      </c>
      <c r="F1437" s="25">
        <v>46356.0</v>
      </c>
      <c r="G1437" s="18">
        <f t="shared" si="9"/>
        <v>18</v>
      </c>
      <c r="H1437" s="19">
        <f>VLOOKUP(A1437,Metrik!$C$2:$Y$959,8,0)</f>
        <v>9.6</v>
      </c>
      <c r="I1437" s="20">
        <f>VLOOKUP(A1437,Metrik!$C$2:$Y$959,9,0)</f>
        <v>1.4</v>
      </c>
      <c r="J1437" s="20">
        <f>VLOOKUP(A1437,Metrik!$C$2:$Y$959,10,0)</f>
        <v>14.1</v>
      </c>
      <c r="K1437" s="20">
        <f>VLOOKUP(A1437,Metrik!$C$2:$Y$959,11,0)</f>
        <v>7.7</v>
      </c>
      <c r="L1437" s="20">
        <f>VLOOKUP(A1437,Metrik!$C$2:$Y$959,12,0)</f>
        <v>0.83</v>
      </c>
      <c r="M1437" s="20">
        <f>VLOOKUP(A1437,Metrik!$C$2:$Y$959,19,0)</f>
        <v>33.6</v>
      </c>
      <c r="N1437" s="21"/>
      <c r="O1437" s="21"/>
      <c r="P1437" s="21"/>
      <c r="Q1437" s="21"/>
      <c r="R1437" s="21"/>
      <c r="S1437" s="21"/>
      <c r="T1437" s="21"/>
      <c r="U1437" s="22">
        <f>IFERROR(__xludf.DUMMYFUNCTION("IFERROR(GOOGLEFINANCE(A1437,""closeyest""),"""")"),2630.0)</f>
        <v>2630</v>
      </c>
      <c r="V1437" s="23">
        <f>IFERROR(__xludf.DUMMYFUNCTION("IFERROR(GOOGLEFINANCE(A1437,""changepct""),"""")"),-0.38)</f>
        <v>-0.38</v>
      </c>
      <c r="W1437" s="22">
        <f>IFERROR(__xludf.DUMMYFUNCTION("IFERROR(GOOGLEFINANCE(A1437,""priceopen""),"""")"),2600.0)</f>
        <v>2600</v>
      </c>
      <c r="X1437" s="22">
        <f>IFERROR(__xludf.DUMMYFUNCTION("IFERROR(GOOGLEFINANCE(A1437,""high""),"""")"),2670.0)</f>
        <v>2670</v>
      </c>
      <c r="Y1437" s="22">
        <f>IFERROR(__xludf.DUMMYFUNCTION("IFERROR(GOOGLEFINANCE(A1437,""low""),"""")"),2550.0)</f>
        <v>2550</v>
      </c>
      <c r="Z1437" s="22">
        <f>IFERROR(__xludf.DUMMYFUNCTION("IFERROR(GOOGLEFINANCE(A1437,""volume""),"""")"),4.6138E7)</f>
        <v>46138000</v>
      </c>
      <c r="AA1437" s="24" t="str">
        <f>VLOOKUP(A1437,Metrik!$C$2:$Y$959,5,0)</f>
        <v>Coal</v>
      </c>
      <c r="AB1437" s="24" t="str">
        <f>VLOOKUP(A1437,Metrik!$C$2:$Y$959,3,0)</f>
        <v>Energy</v>
      </c>
    </row>
    <row r="1438">
      <c r="A1438" s="14" t="s">
        <v>783</v>
      </c>
      <c r="B1438" s="14" t="str">
        <f t="array" ref="B1438">VLOOKUP(A1438,{Metrik!$C$2:$C$998,Metrik!$B$2:$B$998},2,0)</f>
        <v>Bukit Asam (Persero) Tbk.</v>
      </c>
      <c r="C1438" s="15">
        <f>IFERROR(__xludf.DUMMYFUNCTION("GOOGLEFINANCE(""IDX:""&amp;A1438,""price"")"),2620.0)</f>
        <v>2620</v>
      </c>
      <c r="D1438" s="16" t="str">
        <f>IFERROR(__xludf.DUMMYFUNCTION("IF(A1438="""","""",
SPARKLINE(
INDEX(
GOOGLEFINANCE(""IDX:""&amp;A1438,""close"",TODAY()-365,TODAY()),
,2
),
{""linewidth"",1}
))
"),"#N/A")</f>
        <v>#N/A</v>
      </c>
      <c r="E1438" s="14" t="s">
        <v>42</v>
      </c>
      <c r="F1438" s="25">
        <v>46356.0</v>
      </c>
      <c r="G1438" s="18">
        <f t="shared" si="9"/>
        <v>18</v>
      </c>
      <c r="H1438" s="19">
        <f>VLOOKUP(A1438,Metrik!$C$2:$Y$959,8,0)</f>
        <v>9.6</v>
      </c>
      <c r="I1438" s="20">
        <f>VLOOKUP(A1438,Metrik!$C$2:$Y$959,9,0)</f>
        <v>1.4</v>
      </c>
      <c r="J1438" s="20">
        <f>VLOOKUP(A1438,Metrik!$C$2:$Y$959,10,0)</f>
        <v>14.1</v>
      </c>
      <c r="K1438" s="20">
        <f>VLOOKUP(A1438,Metrik!$C$2:$Y$959,11,0)</f>
        <v>7.7</v>
      </c>
      <c r="L1438" s="20">
        <f>VLOOKUP(A1438,Metrik!$C$2:$Y$959,12,0)</f>
        <v>0.83</v>
      </c>
      <c r="M1438" s="20">
        <f>VLOOKUP(A1438,Metrik!$C$2:$Y$959,19,0)</f>
        <v>33.6</v>
      </c>
      <c r="N1438" s="21"/>
      <c r="O1438" s="21"/>
      <c r="P1438" s="21"/>
      <c r="Q1438" s="21"/>
      <c r="R1438" s="21"/>
      <c r="S1438" s="21"/>
      <c r="T1438" s="21"/>
      <c r="U1438" s="22">
        <f>IFERROR(__xludf.DUMMYFUNCTION("IFERROR(GOOGLEFINANCE(A1438,""closeyest""),"""")"),2630.0)</f>
        <v>2630</v>
      </c>
      <c r="V1438" s="23">
        <f>IFERROR(__xludf.DUMMYFUNCTION("IFERROR(GOOGLEFINANCE(A1438,""changepct""),"""")"),-0.38)</f>
        <v>-0.38</v>
      </c>
      <c r="W1438" s="22">
        <f>IFERROR(__xludf.DUMMYFUNCTION("IFERROR(GOOGLEFINANCE(A1438,""priceopen""),"""")"),2600.0)</f>
        <v>2600</v>
      </c>
      <c r="X1438" s="22">
        <f>IFERROR(__xludf.DUMMYFUNCTION("IFERROR(GOOGLEFINANCE(A1438,""high""),"""")"),2670.0)</f>
        <v>2670</v>
      </c>
      <c r="Y1438" s="22">
        <f>IFERROR(__xludf.DUMMYFUNCTION("IFERROR(GOOGLEFINANCE(A1438,""low""),"""")"),2550.0)</f>
        <v>2550</v>
      </c>
      <c r="Z1438" s="22">
        <f>IFERROR(__xludf.DUMMYFUNCTION("IFERROR(GOOGLEFINANCE(A1438,""volume""),"""")"),4.6138E7)</f>
        <v>46138000</v>
      </c>
      <c r="AA1438" s="24" t="str">
        <f>VLOOKUP(A1438,Metrik!$C$2:$Y$959,5,0)</f>
        <v>Coal</v>
      </c>
      <c r="AB1438" s="24" t="str">
        <f>VLOOKUP(A1438,Metrik!$C$2:$Y$959,3,0)</f>
        <v>Energy</v>
      </c>
    </row>
    <row r="1439">
      <c r="A1439" s="14" t="s">
        <v>783</v>
      </c>
      <c r="B1439" s="14" t="str">
        <f t="array" ref="B1439">VLOOKUP(A1439,{Metrik!$C$2:$C$998,Metrik!$B$2:$B$998},2,0)</f>
        <v>Bukit Asam (Persero) Tbk.</v>
      </c>
      <c r="C1439" s="15">
        <f>IFERROR(__xludf.DUMMYFUNCTION("GOOGLEFINANCE(""IDX:""&amp;A1439,""price"")"),2620.0)</f>
        <v>2620</v>
      </c>
      <c r="D1439" s="16" t="str">
        <f>IFERROR(__xludf.DUMMYFUNCTION("IF(A1439="""","""",
SPARKLINE(
INDEX(
GOOGLEFINANCE(""IDX:""&amp;A1439,""close"",TODAY()-365,TODAY()),
,2
),
{""linewidth"",1}
))
"),"#N/A")</f>
        <v>#N/A</v>
      </c>
      <c r="E1439" s="14" t="s">
        <v>38</v>
      </c>
      <c r="F1439" s="25">
        <v>46356.0</v>
      </c>
      <c r="G1439" s="18">
        <f t="shared" si="9"/>
        <v>18</v>
      </c>
      <c r="H1439" s="19">
        <f>VLOOKUP(A1439,Metrik!$C$2:$Y$959,8,0)</f>
        <v>9.6</v>
      </c>
      <c r="I1439" s="20">
        <f>VLOOKUP(A1439,Metrik!$C$2:$Y$959,9,0)</f>
        <v>1.4</v>
      </c>
      <c r="J1439" s="20">
        <f>VLOOKUP(A1439,Metrik!$C$2:$Y$959,10,0)</f>
        <v>14.1</v>
      </c>
      <c r="K1439" s="20">
        <f>VLOOKUP(A1439,Metrik!$C$2:$Y$959,11,0)</f>
        <v>7.7</v>
      </c>
      <c r="L1439" s="20">
        <f>VLOOKUP(A1439,Metrik!$C$2:$Y$959,12,0)</f>
        <v>0.83</v>
      </c>
      <c r="M1439" s="20">
        <f>VLOOKUP(A1439,Metrik!$C$2:$Y$959,19,0)</f>
        <v>33.6</v>
      </c>
      <c r="N1439" s="21"/>
      <c r="O1439" s="21"/>
      <c r="P1439" s="21"/>
      <c r="Q1439" s="21"/>
      <c r="R1439" s="21"/>
      <c r="S1439" s="21"/>
      <c r="T1439" s="21"/>
      <c r="U1439" s="22">
        <f>IFERROR(__xludf.DUMMYFUNCTION("IFERROR(GOOGLEFINANCE(A1439,""closeyest""),"""")"),2630.0)</f>
        <v>2630</v>
      </c>
      <c r="V1439" s="23">
        <f>IFERROR(__xludf.DUMMYFUNCTION("IFERROR(GOOGLEFINANCE(A1439,""changepct""),"""")"),-0.38)</f>
        <v>-0.38</v>
      </c>
      <c r="W1439" s="22">
        <f>IFERROR(__xludf.DUMMYFUNCTION("IFERROR(GOOGLEFINANCE(A1439,""priceopen""),"""")"),2600.0)</f>
        <v>2600</v>
      </c>
      <c r="X1439" s="22">
        <f>IFERROR(__xludf.DUMMYFUNCTION("IFERROR(GOOGLEFINANCE(A1439,""high""),"""")"),2670.0)</f>
        <v>2670</v>
      </c>
      <c r="Y1439" s="22">
        <f>IFERROR(__xludf.DUMMYFUNCTION("IFERROR(GOOGLEFINANCE(A1439,""low""),"""")"),2550.0)</f>
        <v>2550</v>
      </c>
      <c r="Z1439" s="22">
        <f>IFERROR(__xludf.DUMMYFUNCTION("IFERROR(GOOGLEFINANCE(A1439,""volume""),"""")"),4.6138E7)</f>
        <v>46138000</v>
      </c>
      <c r="AA1439" s="24" t="str">
        <f>VLOOKUP(A1439,Metrik!$C$2:$Y$959,5,0)</f>
        <v>Coal</v>
      </c>
      <c r="AB1439" s="24" t="str">
        <f>VLOOKUP(A1439,Metrik!$C$2:$Y$959,3,0)</f>
        <v>Energy</v>
      </c>
    </row>
    <row r="1440">
      <c r="A1440" s="17" t="s">
        <v>783</v>
      </c>
      <c r="B1440" s="14" t="str">
        <f t="array" ref="B1440">VLOOKUP(A1440,{Metrik!$C$2:$C$998,Metrik!$B$2:$B$998},2,0)</f>
        <v>Bukit Asam (Persero) Tbk.</v>
      </c>
      <c r="C1440" s="15">
        <f>IFERROR(__xludf.DUMMYFUNCTION("GOOGLEFINANCE(""IDX:""&amp;A1440,""price"")"),2620.0)</f>
        <v>2620</v>
      </c>
      <c r="D1440" s="16" t="str">
        <f>IFERROR(__xludf.DUMMYFUNCTION("IF(A1440="""","""",
SPARKLINE(
INDEX(
GOOGLEFINANCE(""IDX:""&amp;A1440,""close"",TODAY()-365,TODAY()),
,2
),
{""linewidth"",1}
))
"),"#N/A")</f>
        <v>#N/A</v>
      </c>
      <c r="E1440" s="14" t="s">
        <v>84</v>
      </c>
      <c r="F1440" s="17" t="s">
        <v>51</v>
      </c>
      <c r="G1440" s="24">
        <f t="shared" si="9"/>
        <v>18</v>
      </c>
      <c r="H1440" s="19">
        <f>VLOOKUP(A1440,Metrik!$C$2:$Y$959,8,0)</f>
        <v>9.6</v>
      </c>
      <c r="I1440" s="20">
        <f>VLOOKUP(A1440,Metrik!$C$2:$Y$959,9,0)</f>
        <v>1.4</v>
      </c>
      <c r="J1440" s="20">
        <f>VLOOKUP(A1440,Metrik!$C$2:$Y$959,10,0)</f>
        <v>14.1</v>
      </c>
      <c r="K1440" s="20">
        <f>VLOOKUP(A1440,Metrik!$C$2:$Y$959,11,0)</f>
        <v>7.7</v>
      </c>
      <c r="L1440" s="20">
        <f>VLOOKUP(A1440,Metrik!$C$2:$Y$959,12,0)</f>
        <v>0.83</v>
      </c>
      <c r="M1440" s="20">
        <f>VLOOKUP(A1440,Metrik!$C$2:$Y$959,19,0)</f>
        <v>33.6</v>
      </c>
      <c r="N1440" s="21"/>
      <c r="O1440" s="21"/>
      <c r="P1440" s="21"/>
      <c r="Q1440" s="21"/>
      <c r="R1440" s="21"/>
      <c r="S1440" s="21"/>
      <c r="T1440" s="21"/>
      <c r="U1440" s="22">
        <f>IFERROR(__xludf.DUMMYFUNCTION("IFERROR(GOOGLEFINANCE(A1440,""closeyest""),"""")"),2630.0)</f>
        <v>2630</v>
      </c>
      <c r="V1440" s="23">
        <f>IFERROR(__xludf.DUMMYFUNCTION("IFERROR(GOOGLEFINANCE(A1440,""changepct""),"""")"),-0.38)</f>
        <v>-0.38</v>
      </c>
      <c r="W1440" s="22">
        <f>IFERROR(__xludf.DUMMYFUNCTION("IFERROR(GOOGLEFINANCE(A1440,""priceopen""),"""")"),2600.0)</f>
        <v>2600</v>
      </c>
      <c r="X1440" s="22">
        <f>IFERROR(__xludf.DUMMYFUNCTION("IFERROR(GOOGLEFINANCE(A1440,""high""),"""")"),2670.0)</f>
        <v>2670</v>
      </c>
      <c r="Y1440" s="22">
        <f>IFERROR(__xludf.DUMMYFUNCTION("IFERROR(GOOGLEFINANCE(A1440,""low""),"""")"),2550.0)</f>
        <v>2550</v>
      </c>
      <c r="Z1440" s="22">
        <f>IFERROR(__xludf.DUMMYFUNCTION("IFERROR(GOOGLEFINANCE(A1440,""volume""),"""")"),4.6138E7)</f>
        <v>46138000</v>
      </c>
      <c r="AA1440" s="24" t="str">
        <f>VLOOKUP(A1440,Metrik!$C$2:$Y$959,5,0)</f>
        <v>Coal</v>
      </c>
      <c r="AB1440" s="24" t="str">
        <f>VLOOKUP(A1440,Metrik!$C$2:$Y$959,3,0)</f>
        <v>Energy</v>
      </c>
    </row>
    <row r="1441">
      <c r="A1441" s="14" t="s">
        <v>783</v>
      </c>
      <c r="B1441" s="14" t="str">
        <f t="array" ref="B1441">VLOOKUP(A1441,{Metrik!$C$2:$C$998,Metrik!$B$2:$B$998},2,0)</f>
        <v>Bukit Asam (Persero) Tbk.</v>
      </c>
      <c r="C1441" s="15">
        <f>IFERROR(__xludf.DUMMYFUNCTION("GOOGLEFINANCE(""IDX:""&amp;A1441,""price"")"),2620.0)</f>
        <v>2620</v>
      </c>
      <c r="D1441" s="16" t="str">
        <f>IFERROR(__xludf.DUMMYFUNCTION("IF(A1441="""","""",
SPARKLINE(
INDEX(
GOOGLEFINANCE(""IDX:""&amp;A1441,""close"",TODAY()-365,TODAY()),
,2
),
{""linewidth"",1}
))
"),"#N/A")</f>
        <v>#N/A</v>
      </c>
      <c r="E1441" s="14" t="s">
        <v>48</v>
      </c>
      <c r="F1441" s="14" t="s">
        <v>49</v>
      </c>
      <c r="G1441" s="18">
        <f t="shared" si="9"/>
        <v>18</v>
      </c>
      <c r="H1441" s="19">
        <f>VLOOKUP(A1441,Metrik!$C$2:$Y$959,8,0)</f>
        <v>9.6</v>
      </c>
      <c r="I1441" s="20">
        <f>VLOOKUP(A1441,Metrik!$C$2:$Y$959,9,0)</f>
        <v>1.4</v>
      </c>
      <c r="J1441" s="20">
        <f>VLOOKUP(A1441,Metrik!$C$2:$Y$959,10,0)</f>
        <v>14.1</v>
      </c>
      <c r="K1441" s="20">
        <f>VLOOKUP(A1441,Metrik!$C$2:$Y$959,11,0)</f>
        <v>7.7</v>
      </c>
      <c r="L1441" s="20">
        <f>VLOOKUP(A1441,Metrik!$C$2:$Y$959,12,0)</f>
        <v>0.83</v>
      </c>
      <c r="M1441" s="20">
        <f>VLOOKUP(A1441,Metrik!$C$2:$Y$959,19,0)</f>
        <v>33.6</v>
      </c>
      <c r="N1441" s="21"/>
      <c r="O1441" s="21"/>
      <c r="P1441" s="21"/>
      <c r="Q1441" s="21"/>
      <c r="R1441" s="21"/>
      <c r="S1441" s="21"/>
      <c r="T1441" s="21"/>
      <c r="U1441" s="22">
        <f>IFERROR(__xludf.DUMMYFUNCTION("IFERROR(GOOGLEFINANCE(A1441,""closeyest""),"""")"),2630.0)</f>
        <v>2630</v>
      </c>
      <c r="V1441" s="23">
        <f>IFERROR(__xludf.DUMMYFUNCTION("IFERROR(GOOGLEFINANCE(A1441,""changepct""),"""")"),-0.38)</f>
        <v>-0.38</v>
      </c>
      <c r="W1441" s="22">
        <f>IFERROR(__xludf.DUMMYFUNCTION("IFERROR(GOOGLEFINANCE(A1441,""priceopen""),"""")"),2600.0)</f>
        <v>2600</v>
      </c>
      <c r="X1441" s="22">
        <f>IFERROR(__xludf.DUMMYFUNCTION("IFERROR(GOOGLEFINANCE(A1441,""high""),"""")"),2670.0)</f>
        <v>2670</v>
      </c>
      <c r="Y1441" s="22">
        <f>IFERROR(__xludf.DUMMYFUNCTION("IFERROR(GOOGLEFINANCE(A1441,""low""),"""")"),2550.0)</f>
        <v>2550</v>
      </c>
      <c r="Z1441" s="22">
        <f>IFERROR(__xludf.DUMMYFUNCTION("IFERROR(GOOGLEFINANCE(A1441,""volume""),"""")"),4.6138E7)</f>
        <v>46138000</v>
      </c>
      <c r="AA1441" s="24" t="str">
        <f>VLOOKUP(A1441,Metrik!$C$2:$Y$959,5,0)</f>
        <v>Coal</v>
      </c>
      <c r="AB1441" s="24" t="str">
        <f>VLOOKUP(A1441,Metrik!$C$2:$Y$959,3,0)</f>
        <v>Energy</v>
      </c>
    </row>
    <row r="1442">
      <c r="A1442" s="14" t="s">
        <v>783</v>
      </c>
      <c r="B1442" s="14" t="str">
        <f t="array" ref="B1442">VLOOKUP(A1442,{Metrik!$C$2:$C$998,Metrik!$B$2:$B$998},2,0)</f>
        <v>Bukit Asam (Persero) Tbk.</v>
      </c>
      <c r="C1442" s="15">
        <f>IFERROR(__xludf.DUMMYFUNCTION("GOOGLEFINANCE(""IDX:""&amp;A1442,""price"")"),2620.0)</f>
        <v>2620</v>
      </c>
      <c r="D1442" s="16" t="str">
        <f>IFERROR(__xludf.DUMMYFUNCTION("IF(A1442="""","""",
SPARKLINE(
INDEX(
GOOGLEFINANCE(""IDX:""&amp;A1442,""close"",TODAY()-365,TODAY()),
,2
),
{""linewidth"",1}
))
"),"#N/A")</f>
        <v>#N/A</v>
      </c>
      <c r="E1442" s="14" t="s">
        <v>28</v>
      </c>
      <c r="F1442" s="17" t="s">
        <v>29</v>
      </c>
      <c r="G1442" s="18">
        <f t="shared" si="9"/>
        <v>18</v>
      </c>
      <c r="H1442" s="19">
        <f>VLOOKUP(A1442,Metrik!$C$2:$Y$959,8,0)</f>
        <v>9.6</v>
      </c>
      <c r="I1442" s="20">
        <f>VLOOKUP(A1442,Metrik!$C$2:$Y$959,9,0)</f>
        <v>1.4</v>
      </c>
      <c r="J1442" s="20">
        <f>VLOOKUP(A1442,Metrik!$C$2:$Y$959,10,0)</f>
        <v>14.1</v>
      </c>
      <c r="K1442" s="20">
        <f>VLOOKUP(A1442,Metrik!$C$2:$Y$959,11,0)</f>
        <v>7.7</v>
      </c>
      <c r="L1442" s="20">
        <f>VLOOKUP(A1442,Metrik!$C$2:$Y$959,12,0)</f>
        <v>0.83</v>
      </c>
      <c r="M1442" s="20">
        <f>VLOOKUP(A1442,Metrik!$C$2:$Y$959,19,0)</f>
        <v>33.6</v>
      </c>
      <c r="N1442" s="21"/>
      <c r="O1442" s="21"/>
      <c r="P1442" s="21"/>
      <c r="Q1442" s="21"/>
      <c r="R1442" s="21"/>
      <c r="S1442" s="21"/>
      <c r="T1442" s="21"/>
      <c r="U1442" s="22">
        <f>IFERROR(__xludf.DUMMYFUNCTION("IFERROR(GOOGLEFINANCE(A1442,""closeyest""),"""")"),2630.0)</f>
        <v>2630</v>
      </c>
      <c r="V1442" s="23">
        <f>IFERROR(__xludf.DUMMYFUNCTION("IFERROR(GOOGLEFINANCE(A1442,""changepct""),"""")"),-0.38)</f>
        <v>-0.38</v>
      </c>
      <c r="W1442" s="22">
        <f>IFERROR(__xludf.DUMMYFUNCTION("IFERROR(GOOGLEFINANCE(A1442,""priceopen""),"""")"),2600.0)</f>
        <v>2600</v>
      </c>
      <c r="X1442" s="22">
        <f>IFERROR(__xludf.DUMMYFUNCTION("IFERROR(GOOGLEFINANCE(A1442,""high""),"""")"),2670.0)</f>
        <v>2670</v>
      </c>
      <c r="Y1442" s="22">
        <f>IFERROR(__xludf.DUMMYFUNCTION("IFERROR(GOOGLEFINANCE(A1442,""low""),"""")"),2550.0)</f>
        <v>2550</v>
      </c>
      <c r="Z1442" s="22">
        <f>IFERROR(__xludf.DUMMYFUNCTION("IFERROR(GOOGLEFINANCE(A1442,""volume""),"""")"),4.6138E7)</f>
        <v>46138000</v>
      </c>
      <c r="AA1442" s="24" t="str">
        <f>VLOOKUP(A1442,Metrik!$C$2:$Y$959,5,0)</f>
        <v>Coal</v>
      </c>
      <c r="AB1442" s="24" t="str">
        <f>VLOOKUP(A1442,Metrik!$C$2:$Y$959,3,0)</f>
        <v>Energy</v>
      </c>
    </row>
    <row r="1443">
      <c r="A1443" s="14" t="s">
        <v>783</v>
      </c>
      <c r="B1443" s="14" t="str">
        <f t="array" ref="B1443">VLOOKUP(A1443,{Metrik!$C$2:$C$998,Metrik!$B$2:$B$998},2,0)</f>
        <v>Bukit Asam (Persero) Tbk.</v>
      </c>
      <c r="C1443" s="15">
        <f>IFERROR(__xludf.DUMMYFUNCTION("GOOGLEFINANCE(""IDX:""&amp;A1443,""price"")"),2620.0)</f>
        <v>2620</v>
      </c>
      <c r="D1443" s="16" t="str">
        <f>IFERROR(__xludf.DUMMYFUNCTION("IF(A1443="""","""",
SPARKLINE(
INDEX(
GOOGLEFINANCE(""IDX:""&amp;A1443,""close"",TODAY()-365,TODAY()),
,2
),
{""linewidth"",1}
))
"),"#N/A")</f>
        <v>#N/A</v>
      </c>
      <c r="E1443" s="14" t="s">
        <v>30</v>
      </c>
      <c r="F1443" s="17" t="s">
        <v>29</v>
      </c>
      <c r="G1443" s="18">
        <f t="shared" si="9"/>
        <v>18</v>
      </c>
      <c r="H1443" s="19">
        <f>VLOOKUP(A1443,Metrik!$C$2:$Y$959,8,0)</f>
        <v>9.6</v>
      </c>
      <c r="I1443" s="20">
        <f>VLOOKUP(A1443,Metrik!$C$2:$Y$959,9,0)</f>
        <v>1.4</v>
      </c>
      <c r="J1443" s="20">
        <f>VLOOKUP(A1443,Metrik!$C$2:$Y$959,10,0)</f>
        <v>14.1</v>
      </c>
      <c r="K1443" s="20">
        <f>VLOOKUP(A1443,Metrik!$C$2:$Y$959,11,0)</f>
        <v>7.7</v>
      </c>
      <c r="L1443" s="20">
        <f>VLOOKUP(A1443,Metrik!$C$2:$Y$959,12,0)</f>
        <v>0.83</v>
      </c>
      <c r="M1443" s="20">
        <f>VLOOKUP(A1443,Metrik!$C$2:$Y$959,19,0)</f>
        <v>33.6</v>
      </c>
      <c r="N1443" s="21"/>
      <c r="O1443" s="21"/>
      <c r="P1443" s="21"/>
      <c r="Q1443" s="21"/>
      <c r="R1443" s="21"/>
      <c r="S1443" s="21"/>
      <c r="T1443" s="21"/>
      <c r="U1443" s="22">
        <f>IFERROR(__xludf.DUMMYFUNCTION("IFERROR(GOOGLEFINANCE(A1443,""closeyest""),"""")"),2630.0)</f>
        <v>2630</v>
      </c>
      <c r="V1443" s="23">
        <f>IFERROR(__xludf.DUMMYFUNCTION("IFERROR(GOOGLEFINANCE(A1443,""changepct""),"""")"),-0.38)</f>
        <v>-0.38</v>
      </c>
      <c r="W1443" s="22">
        <f>IFERROR(__xludf.DUMMYFUNCTION("IFERROR(GOOGLEFINANCE(A1443,""priceopen""),"""")"),2600.0)</f>
        <v>2600</v>
      </c>
      <c r="X1443" s="22">
        <f>IFERROR(__xludf.DUMMYFUNCTION("IFERROR(GOOGLEFINANCE(A1443,""high""),"""")"),2670.0)</f>
        <v>2670</v>
      </c>
      <c r="Y1443" s="22">
        <f>IFERROR(__xludf.DUMMYFUNCTION("IFERROR(GOOGLEFINANCE(A1443,""low""),"""")"),2550.0)</f>
        <v>2550</v>
      </c>
      <c r="Z1443" s="22">
        <f>IFERROR(__xludf.DUMMYFUNCTION("IFERROR(GOOGLEFINANCE(A1443,""volume""),"""")"),4.6138E7)</f>
        <v>46138000</v>
      </c>
      <c r="AA1443" s="24" t="str">
        <f>VLOOKUP(A1443,Metrik!$C$2:$Y$959,5,0)</f>
        <v>Coal</v>
      </c>
      <c r="AB1443" s="24" t="str">
        <f>VLOOKUP(A1443,Metrik!$C$2:$Y$959,3,0)</f>
        <v>Energy</v>
      </c>
    </row>
    <row r="1444">
      <c r="A1444" s="14" t="s">
        <v>783</v>
      </c>
      <c r="B1444" s="14" t="str">
        <f t="array" ref="B1444">VLOOKUP(A1444,{Metrik!$C$2:$C$998,Metrik!$B$2:$B$998},2,0)</f>
        <v>Bukit Asam (Persero) Tbk.</v>
      </c>
      <c r="C1444" s="15">
        <f>IFERROR(__xludf.DUMMYFUNCTION("GOOGLEFINANCE(""IDX:""&amp;A1444,""price"")"),2620.0)</f>
        <v>2620</v>
      </c>
      <c r="D1444" s="16" t="str">
        <f>IFERROR(__xludf.DUMMYFUNCTION("IF(A1444="""","""",
SPARKLINE(
INDEX(
GOOGLEFINANCE(""IDX:""&amp;A1444,""close"",TODAY()-365,TODAY()),
,2
),
{""linewidth"",1}
))
"),"#N/A")</f>
        <v>#N/A</v>
      </c>
      <c r="E1444" s="14" t="s">
        <v>31</v>
      </c>
      <c r="F1444" s="17" t="s">
        <v>29</v>
      </c>
      <c r="G1444" s="18">
        <f t="shared" si="9"/>
        <v>18</v>
      </c>
      <c r="H1444" s="19">
        <f>VLOOKUP(A1444,Metrik!$C$2:$Y$959,8,0)</f>
        <v>9.6</v>
      </c>
      <c r="I1444" s="20">
        <f>VLOOKUP(A1444,Metrik!$C$2:$Y$959,9,0)</f>
        <v>1.4</v>
      </c>
      <c r="J1444" s="20">
        <f>VLOOKUP(A1444,Metrik!$C$2:$Y$959,10,0)</f>
        <v>14.1</v>
      </c>
      <c r="K1444" s="20">
        <f>VLOOKUP(A1444,Metrik!$C$2:$Y$959,11,0)</f>
        <v>7.7</v>
      </c>
      <c r="L1444" s="20">
        <f>VLOOKUP(A1444,Metrik!$C$2:$Y$959,12,0)</f>
        <v>0.83</v>
      </c>
      <c r="M1444" s="20">
        <f>VLOOKUP(A1444,Metrik!$C$2:$Y$959,19,0)</f>
        <v>33.6</v>
      </c>
      <c r="N1444" s="21"/>
      <c r="O1444" s="21"/>
      <c r="P1444" s="21"/>
      <c r="Q1444" s="21"/>
      <c r="R1444" s="21"/>
      <c r="S1444" s="21"/>
      <c r="T1444" s="21"/>
      <c r="U1444" s="22">
        <f>IFERROR(__xludf.DUMMYFUNCTION("IFERROR(GOOGLEFINANCE(A1444,""closeyest""),"""")"),2630.0)</f>
        <v>2630</v>
      </c>
      <c r="V1444" s="23">
        <f>IFERROR(__xludf.DUMMYFUNCTION("IFERROR(GOOGLEFINANCE(A1444,""changepct""),"""")"),-0.38)</f>
        <v>-0.38</v>
      </c>
      <c r="W1444" s="22">
        <f>IFERROR(__xludf.DUMMYFUNCTION("IFERROR(GOOGLEFINANCE(A1444,""priceopen""),"""")"),2600.0)</f>
        <v>2600</v>
      </c>
      <c r="X1444" s="22">
        <f>IFERROR(__xludf.DUMMYFUNCTION("IFERROR(GOOGLEFINANCE(A1444,""high""),"""")"),2670.0)</f>
        <v>2670</v>
      </c>
      <c r="Y1444" s="22">
        <f>IFERROR(__xludf.DUMMYFUNCTION("IFERROR(GOOGLEFINANCE(A1444,""low""),"""")"),2550.0)</f>
        <v>2550</v>
      </c>
      <c r="Z1444" s="22">
        <f>IFERROR(__xludf.DUMMYFUNCTION("IFERROR(GOOGLEFINANCE(A1444,""volume""),"""")"),4.6138E7)</f>
        <v>46138000</v>
      </c>
      <c r="AA1444" s="24" t="str">
        <f>VLOOKUP(A1444,Metrik!$C$2:$Y$959,5,0)</f>
        <v>Coal</v>
      </c>
      <c r="AB1444" s="24" t="str">
        <f>VLOOKUP(A1444,Metrik!$C$2:$Y$959,3,0)</f>
        <v>Energy</v>
      </c>
    </row>
    <row r="1445">
      <c r="A1445" s="14" t="s">
        <v>783</v>
      </c>
      <c r="B1445" s="14" t="str">
        <f t="array" ref="B1445">VLOOKUP(A1445,{Metrik!$C$2:$C$998,Metrik!$B$2:$B$998},2,0)</f>
        <v>Bukit Asam (Persero) Tbk.</v>
      </c>
      <c r="C1445" s="15">
        <f>IFERROR(__xludf.DUMMYFUNCTION("GOOGLEFINANCE(""IDX:""&amp;A1445,""price"")"),2620.0)</f>
        <v>2620</v>
      </c>
      <c r="D1445" s="16" t="str">
        <f>IFERROR(__xludf.DUMMYFUNCTION("IF(A1445="""","""",
SPARKLINE(
INDEX(
GOOGLEFINANCE(""IDX:""&amp;A1445,""close"",TODAY()-365,TODAY()),
,2
),
{""linewidth"",1}
))
"),"#N/A")</f>
        <v>#N/A</v>
      </c>
      <c r="E1445" s="14" t="s">
        <v>67</v>
      </c>
      <c r="F1445" s="17" t="s">
        <v>51</v>
      </c>
      <c r="G1445" s="18">
        <f t="shared" si="9"/>
        <v>18</v>
      </c>
      <c r="H1445" s="19">
        <f>VLOOKUP(A1445,Metrik!$C$2:$Y$959,8,0)</f>
        <v>9.6</v>
      </c>
      <c r="I1445" s="20">
        <f>VLOOKUP(A1445,Metrik!$C$2:$Y$959,9,0)</f>
        <v>1.4</v>
      </c>
      <c r="J1445" s="20">
        <f>VLOOKUP(A1445,Metrik!$C$2:$Y$959,10,0)</f>
        <v>14.1</v>
      </c>
      <c r="K1445" s="20">
        <f>VLOOKUP(A1445,Metrik!$C$2:$Y$959,11,0)</f>
        <v>7.7</v>
      </c>
      <c r="L1445" s="20">
        <f>VLOOKUP(A1445,Metrik!$C$2:$Y$959,12,0)</f>
        <v>0.83</v>
      </c>
      <c r="M1445" s="20">
        <f>VLOOKUP(A1445,Metrik!$C$2:$Y$959,19,0)</f>
        <v>33.6</v>
      </c>
      <c r="N1445" s="21"/>
      <c r="O1445" s="21"/>
      <c r="P1445" s="21"/>
      <c r="Q1445" s="21"/>
      <c r="R1445" s="21"/>
      <c r="S1445" s="21"/>
      <c r="T1445" s="21"/>
      <c r="U1445" s="22">
        <f>IFERROR(__xludf.DUMMYFUNCTION("IFERROR(GOOGLEFINANCE(A1445,""closeyest""),"""")"),2630.0)</f>
        <v>2630</v>
      </c>
      <c r="V1445" s="23">
        <f>IFERROR(__xludf.DUMMYFUNCTION("IFERROR(GOOGLEFINANCE(A1445,""changepct""),"""")"),-0.38)</f>
        <v>-0.38</v>
      </c>
      <c r="W1445" s="22">
        <f>IFERROR(__xludf.DUMMYFUNCTION("IFERROR(GOOGLEFINANCE(A1445,""priceopen""),"""")"),2600.0)</f>
        <v>2600</v>
      </c>
      <c r="X1445" s="22">
        <f>IFERROR(__xludf.DUMMYFUNCTION("IFERROR(GOOGLEFINANCE(A1445,""high""),"""")"),2670.0)</f>
        <v>2670</v>
      </c>
      <c r="Y1445" s="22">
        <f>IFERROR(__xludf.DUMMYFUNCTION("IFERROR(GOOGLEFINANCE(A1445,""low""),"""")"),2550.0)</f>
        <v>2550</v>
      </c>
      <c r="Z1445" s="22">
        <f>IFERROR(__xludf.DUMMYFUNCTION("IFERROR(GOOGLEFINANCE(A1445,""volume""),"""")"),4.6138E7)</f>
        <v>46138000</v>
      </c>
      <c r="AA1445" s="24" t="str">
        <f>VLOOKUP(A1445,Metrik!$C$2:$Y$959,5,0)</f>
        <v>Coal</v>
      </c>
      <c r="AB1445" s="24" t="str">
        <f>VLOOKUP(A1445,Metrik!$C$2:$Y$959,3,0)</f>
        <v>Energy</v>
      </c>
    </row>
    <row r="1446">
      <c r="A1446" s="14" t="s">
        <v>783</v>
      </c>
      <c r="B1446" s="14" t="str">
        <f t="array" ref="B1446">VLOOKUP(A1446,{Metrik!$C$2:$C$998,Metrik!$B$2:$B$998},2,0)</f>
        <v>Bukit Asam (Persero) Tbk.</v>
      </c>
      <c r="C1446" s="15">
        <f>IFERROR(__xludf.DUMMYFUNCTION("GOOGLEFINANCE(""IDX:""&amp;A1446,""price"")"),2620.0)</f>
        <v>2620</v>
      </c>
      <c r="D1446" s="16" t="str">
        <f>IFERROR(__xludf.DUMMYFUNCTION("IF(A1446="""","""",
SPARKLINE(
INDEX(
GOOGLEFINANCE(""IDX:""&amp;A1446,""close"",TODAY()-365,TODAY()),
,2
),
{""linewidth"",1}
))
"),"#N/A")</f>
        <v>#N/A</v>
      </c>
      <c r="E1446" s="14" t="s">
        <v>32</v>
      </c>
      <c r="F1446" s="14" t="s">
        <v>29</v>
      </c>
      <c r="G1446" s="18">
        <f t="shared" si="9"/>
        <v>18</v>
      </c>
      <c r="H1446" s="19">
        <f>VLOOKUP(A1446,Metrik!$C$2:$Y$959,8,0)</f>
        <v>9.6</v>
      </c>
      <c r="I1446" s="20">
        <f>VLOOKUP(A1446,Metrik!$C$2:$Y$959,9,0)</f>
        <v>1.4</v>
      </c>
      <c r="J1446" s="20">
        <f>VLOOKUP(A1446,Metrik!$C$2:$Y$959,10,0)</f>
        <v>14.1</v>
      </c>
      <c r="K1446" s="20">
        <f>VLOOKUP(A1446,Metrik!$C$2:$Y$959,11,0)</f>
        <v>7.7</v>
      </c>
      <c r="L1446" s="20">
        <f>VLOOKUP(A1446,Metrik!$C$2:$Y$959,12,0)</f>
        <v>0.83</v>
      </c>
      <c r="M1446" s="20">
        <f>VLOOKUP(A1446,Metrik!$C$2:$Y$959,19,0)</f>
        <v>33.6</v>
      </c>
      <c r="N1446" s="21"/>
      <c r="O1446" s="21"/>
      <c r="P1446" s="21"/>
      <c r="Q1446" s="21"/>
      <c r="R1446" s="21"/>
      <c r="S1446" s="21"/>
      <c r="T1446" s="21"/>
      <c r="U1446" s="22">
        <f>IFERROR(__xludf.DUMMYFUNCTION("IFERROR(GOOGLEFINANCE(A1446,""closeyest""),"""")"),2630.0)</f>
        <v>2630</v>
      </c>
      <c r="V1446" s="23">
        <f>IFERROR(__xludf.DUMMYFUNCTION("IFERROR(GOOGLEFINANCE(A1446,""changepct""),"""")"),-0.38)</f>
        <v>-0.38</v>
      </c>
      <c r="W1446" s="22">
        <f>IFERROR(__xludf.DUMMYFUNCTION("IFERROR(GOOGLEFINANCE(A1446,""priceopen""),"""")"),2600.0)</f>
        <v>2600</v>
      </c>
      <c r="X1446" s="22">
        <f>IFERROR(__xludf.DUMMYFUNCTION("IFERROR(GOOGLEFINANCE(A1446,""high""),"""")"),2670.0)</f>
        <v>2670</v>
      </c>
      <c r="Y1446" s="22">
        <f>IFERROR(__xludf.DUMMYFUNCTION("IFERROR(GOOGLEFINANCE(A1446,""low""),"""")"),2550.0)</f>
        <v>2550</v>
      </c>
      <c r="Z1446" s="22">
        <f>IFERROR(__xludf.DUMMYFUNCTION("IFERROR(GOOGLEFINANCE(A1446,""volume""),"""")"),4.6138E7)</f>
        <v>46138000</v>
      </c>
      <c r="AA1446" s="24" t="str">
        <f>VLOOKUP(A1446,Metrik!$C$2:$Y$959,5,0)</f>
        <v>Coal</v>
      </c>
      <c r="AB1446" s="24" t="str">
        <f>VLOOKUP(A1446,Metrik!$C$2:$Y$959,3,0)</f>
        <v>Energy</v>
      </c>
    </row>
    <row r="1447">
      <c r="A1447" s="14" t="s">
        <v>783</v>
      </c>
      <c r="B1447" s="14" t="str">
        <f t="array" ref="B1447">VLOOKUP(A1447,{Metrik!$C$2:$C$998,Metrik!$B$2:$B$998},2,0)</f>
        <v>Bukit Asam (Persero) Tbk.</v>
      </c>
      <c r="C1447" s="15">
        <f>IFERROR(__xludf.DUMMYFUNCTION("GOOGLEFINANCE(""IDX:""&amp;A1447,""price"")"),2620.0)</f>
        <v>2620</v>
      </c>
      <c r="D1447" s="16" t="str">
        <f>IFERROR(__xludf.DUMMYFUNCTION("IF(A1447="""","""",
SPARKLINE(
INDEX(
GOOGLEFINANCE(""IDX:""&amp;A1447,""close"",TODAY()-365,TODAY()),
,2
),
{""linewidth"",1}
))
"),"#N/A")</f>
        <v>#N/A</v>
      </c>
      <c r="E1447" s="14" t="s">
        <v>54</v>
      </c>
      <c r="F1447" s="14" t="s">
        <v>34</v>
      </c>
      <c r="G1447" s="18">
        <f t="shared" si="9"/>
        <v>18</v>
      </c>
      <c r="H1447" s="19">
        <f>VLOOKUP(A1447,Metrik!$C$2:$Y$959,8,0)</f>
        <v>9.6</v>
      </c>
      <c r="I1447" s="20">
        <f>VLOOKUP(A1447,Metrik!$C$2:$Y$959,9,0)</f>
        <v>1.4</v>
      </c>
      <c r="J1447" s="20">
        <f>VLOOKUP(A1447,Metrik!$C$2:$Y$959,10,0)</f>
        <v>14.1</v>
      </c>
      <c r="K1447" s="20">
        <f>VLOOKUP(A1447,Metrik!$C$2:$Y$959,11,0)</f>
        <v>7.7</v>
      </c>
      <c r="L1447" s="20">
        <f>VLOOKUP(A1447,Metrik!$C$2:$Y$959,12,0)</f>
        <v>0.83</v>
      </c>
      <c r="M1447" s="20">
        <f>VLOOKUP(A1447,Metrik!$C$2:$Y$959,19,0)</f>
        <v>33.6</v>
      </c>
      <c r="N1447" s="21"/>
      <c r="O1447" s="21"/>
      <c r="P1447" s="21"/>
      <c r="Q1447" s="21"/>
      <c r="R1447" s="21"/>
      <c r="S1447" s="21"/>
      <c r="T1447" s="21"/>
      <c r="U1447" s="22">
        <f>IFERROR(__xludf.DUMMYFUNCTION("IFERROR(GOOGLEFINANCE(A1447,""closeyest""),"""")"),2630.0)</f>
        <v>2630</v>
      </c>
      <c r="V1447" s="23">
        <f>IFERROR(__xludf.DUMMYFUNCTION("IFERROR(GOOGLEFINANCE(A1447,""changepct""),"""")"),-0.38)</f>
        <v>-0.38</v>
      </c>
      <c r="W1447" s="22">
        <f>IFERROR(__xludf.DUMMYFUNCTION("IFERROR(GOOGLEFINANCE(A1447,""priceopen""),"""")"),2600.0)</f>
        <v>2600</v>
      </c>
      <c r="X1447" s="22">
        <f>IFERROR(__xludf.DUMMYFUNCTION("IFERROR(GOOGLEFINANCE(A1447,""high""),"""")"),2670.0)</f>
        <v>2670</v>
      </c>
      <c r="Y1447" s="22">
        <f>IFERROR(__xludf.DUMMYFUNCTION("IFERROR(GOOGLEFINANCE(A1447,""low""),"""")"),2550.0)</f>
        <v>2550</v>
      </c>
      <c r="Z1447" s="22">
        <f>IFERROR(__xludf.DUMMYFUNCTION("IFERROR(GOOGLEFINANCE(A1447,""volume""),"""")"),4.6138E7)</f>
        <v>46138000</v>
      </c>
      <c r="AA1447" s="24" t="str">
        <f>VLOOKUP(A1447,Metrik!$C$2:$Y$959,5,0)</f>
        <v>Coal</v>
      </c>
      <c r="AB1447" s="24" t="str">
        <f>VLOOKUP(A1447,Metrik!$C$2:$Y$959,3,0)</f>
        <v>Energy</v>
      </c>
    </row>
    <row r="1448">
      <c r="A1448" s="14" t="s">
        <v>783</v>
      </c>
      <c r="B1448" s="14" t="str">
        <f t="array" ref="B1448">VLOOKUP(A1448,{Metrik!$C$2:$C$998,Metrik!$B$2:$B$998},2,0)</f>
        <v>Bukit Asam (Persero) Tbk.</v>
      </c>
      <c r="C1448" s="15">
        <f>IFERROR(__xludf.DUMMYFUNCTION("GOOGLEFINANCE(""IDX:""&amp;A1448,""price"")"),2620.0)</f>
        <v>2620</v>
      </c>
      <c r="D1448" s="16" t="str">
        <f>IFERROR(__xludf.DUMMYFUNCTION("IF(A1448="""","""",
SPARKLINE(
INDEX(
GOOGLEFINANCE(""IDX:""&amp;A1448,""close"",TODAY()-365,TODAY()),
,2
),
{""linewidth"",1}
))
"),"#N/A")</f>
        <v>#N/A</v>
      </c>
      <c r="E1448" s="14" t="s">
        <v>61</v>
      </c>
      <c r="F1448" s="14" t="s">
        <v>34</v>
      </c>
      <c r="G1448" s="18">
        <f t="shared" si="9"/>
        <v>18</v>
      </c>
      <c r="H1448" s="19">
        <f>VLOOKUP(A1448,Metrik!$C$2:$Y$959,8,0)</f>
        <v>9.6</v>
      </c>
      <c r="I1448" s="20">
        <f>VLOOKUP(A1448,Metrik!$C$2:$Y$959,9,0)</f>
        <v>1.4</v>
      </c>
      <c r="J1448" s="20">
        <f>VLOOKUP(A1448,Metrik!$C$2:$Y$959,10,0)</f>
        <v>14.1</v>
      </c>
      <c r="K1448" s="20">
        <f>VLOOKUP(A1448,Metrik!$C$2:$Y$959,11,0)</f>
        <v>7.7</v>
      </c>
      <c r="L1448" s="20">
        <f>VLOOKUP(A1448,Metrik!$C$2:$Y$959,12,0)</f>
        <v>0.83</v>
      </c>
      <c r="M1448" s="20">
        <f>VLOOKUP(A1448,Metrik!$C$2:$Y$959,19,0)</f>
        <v>33.6</v>
      </c>
      <c r="N1448" s="21"/>
      <c r="O1448" s="21"/>
      <c r="P1448" s="21"/>
      <c r="Q1448" s="21"/>
      <c r="R1448" s="21"/>
      <c r="S1448" s="21"/>
      <c r="T1448" s="21"/>
      <c r="U1448" s="22">
        <f>IFERROR(__xludf.DUMMYFUNCTION("IFERROR(GOOGLEFINANCE(A1448,""closeyest""),"""")"),2630.0)</f>
        <v>2630</v>
      </c>
      <c r="V1448" s="23">
        <f>IFERROR(__xludf.DUMMYFUNCTION("IFERROR(GOOGLEFINANCE(A1448,""changepct""),"""")"),-0.38)</f>
        <v>-0.38</v>
      </c>
      <c r="W1448" s="22">
        <f>IFERROR(__xludf.DUMMYFUNCTION("IFERROR(GOOGLEFINANCE(A1448,""priceopen""),"""")"),2600.0)</f>
        <v>2600</v>
      </c>
      <c r="X1448" s="22">
        <f>IFERROR(__xludf.DUMMYFUNCTION("IFERROR(GOOGLEFINANCE(A1448,""high""),"""")"),2670.0)</f>
        <v>2670</v>
      </c>
      <c r="Y1448" s="22">
        <f>IFERROR(__xludf.DUMMYFUNCTION("IFERROR(GOOGLEFINANCE(A1448,""low""),"""")"),2550.0)</f>
        <v>2550</v>
      </c>
      <c r="Z1448" s="22">
        <f>IFERROR(__xludf.DUMMYFUNCTION("IFERROR(GOOGLEFINANCE(A1448,""volume""),"""")"),4.6138E7)</f>
        <v>46138000</v>
      </c>
      <c r="AA1448" s="24" t="str">
        <f>VLOOKUP(A1448,Metrik!$C$2:$Y$959,5,0)</f>
        <v>Coal</v>
      </c>
      <c r="AB1448" s="24" t="str">
        <f>VLOOKUP(A1448,Metrik!$C$2:$Y$959,3,0)</f>
        <v>Energy</v>
      </c>
    </row>
    <row r="1449">
      <c r="A1449" s="14" t="s">
        <v>783</v>
      </c>
      <c r="B1449" s="14" t="str">
        <f t="array" ref="B1449">VLOOKUP(A1449,{Metrik!$C$2:$C$998,Metrik!$B$2:$B$998},2,0)</f>
        <v>Bukit Asam (Persero) Tbk.</v>
      </c>
      <c r="C1449" s="15">
        <f>IFERROR(__xludf.DUMMYFUNCTION("GOOGLEFINANCE(""IDX:""&amp;A1449,""price"")"),2620.0)</f>
        <v>2620</v>
      </c>
      <c r="D1449" s="16" t="str">
        <f>IFERROR(__xludf.DUMMYFUNCTION("IF(A1449="""","""",
SPARKLINE(
INDEX(
GOOGLEFINANCE(""IDX:""&amp;A1449,""close"",TODAY()-365,TODAY()),
,2
),
{""linewidth"",1}
))
"),"#N/A")</f>
        <v>#N/A</v>
      </c>
      <c r="E1449" s="14" t="s">
        <v>33</v>
      </c>
      <c r="F1449" s="14" t="s">
        <v>34</v>
      </c>
      <c r="G1449" s="18">
        <f t="shared" si="9"/>
        <v>18</v>
      </c>
      <c r="H1449" s="19">
        <f>VLOOKUP(A1449,Metrik!$C$2:$Y$959,8,0)</f>
        <v>9.6</v>
      </c>
      <c r="I1449" s="20">
        <f>VLOOKUP(A1449,Metrik!$C$2:$Y$959,9,0)</f>
        <v>1.4</v>
      </c>
      <c r="J1449" s="20">
        <f>VLOOKUP(A1449,Metrik!$C$2:$Y$959,10,0)</f>
        <v>14.1</v>
      </c>
      <c r="K1449" s="20">
        <f>VLOOKUP(A1449,Metrik!$C$2:$Y$959,11,0)</f>
        <v>7.7</v>
      </c>
      <c r="L1449" s="20">
        <f>VLOOKUP(A1449,Metrik!$C$2:$Y$959,12,0)</f>
        <v>0.83</v>
      </c>
      <c r="M1449" s="20">
        <f>VLOOKUP(A1449,Metrik!$C$2:$Y$959,19,0)</f>
        <v>33.6</v>
      </c>
      <c r="N1449" s="21"/>
      <c r="O1449" s="21"/>
      <c r="P1449" s="21"/>
      <c r="Q1449" s="21"/>
      <c r="R1449" s="21"/>
      <c r="S1449" s="21"/>
      <c r="T1449" s="21"/>
      <c r="U1449" s="22">
        <f>IFERROR(__xludf.DUMMYFUNCTION("IFERROR(GOOGLEFINANCE(A1449,""closeyest""),"""")"),2630.0)</f>
        <v>2630</v>
      </c>
      <c r="V1449" s="23">
        <f>IFERROR(__xludf.DUMMYFUNCTION("IFERROR(GOOGLEFINANCE(A1449,""changepct""),"""")"),-0.38)</f>
        <v>-0.38</v>
      </c>
      <c r="W1449" s="22">
        <f>IFERROR(__xludf.DUMMYFUNCTION("IFERROR(GOOGLEFINANCE(A1449,""priceopen""),"""")"),2600.0)</f>
        <v>2600</v>
      </c>
      <c r="X1449" s="22">
        <f>IFERROR(__xludf.DUMMYFUNCTION("IFERROR(GOOGLEFINANCE(A1449,""high""),"""")"),2670.0)</f>
        <v>2670</v>
      </c>
      <c r="Y1449" s="22">
        <f>IFERROR(__xludf.DUMMYFUNCTION("IFERROR(GOOGLEFINANCE(A1449,""low""),"""")"),2550.0)</f>
        <v>2550</v>
      </c>
      <c r="Z1449" s="22">
        <f>IFERROR(__xludf.DUMMYFUNCTION("IFERROR(GOOGLEFINANCE(A1449,""volume""),"""")"),4.6138E7)</f>
        <v>46138000</v>
      </c>
      <c r="AA1449" s="24" t="str">
        <f>VLOOKUP(A1449,Metrik!$C$2:$Y$959,5,0)</f>
        <v>Coal</v>
      </c>
      <c r="AB1449" s="24" t="str">
        <f>VLOOKUP(A1449,Metrik!$C$2:$Y$959,3,0)</f>
        <v>Energy</v>
      </c>
    </row>
    <row r="1450">
      <c r="A1450" s="14" t="s">
        <v>783</v>
      </c>
      <c r="B1450" s="14" t="str">
        <f t="array" ref="B1450">VLOOKUP(A1450,{Metrik!$C$2:$C$998,Metrik!$B$2:$B$998},2,0)</f>
        <v>Bukit Asam (Persero) Tbk.</v>
      </c>
      <c r="C1450" s="15">
        <f>IFERROR(__xludf.DUMMYFUNCTION("GOOGLEFINANCE(""IDX:""&amp;A1450,""price"")"),2620.0)</f>
        <v>2620</v>
      </c>
      <c r="D1450" s="16" t="str">
        <f>IFERROR(__xludf.DUMMYFUNCTION("IF(A1450="""","""",
SPARKLINE(
INDEX(
GOOGLEFINANCE(""IDX:""&amp;A1450,""close"",TODAY()-365,TODAY()),
,2
),
{""linewidth"",1}
))
"),"#N/A")</f>
        <v>#N/A</v>
      </c>
      <c r="E1450" s="14" t="s">
        <v>41</v>
      </c>
      <c r="F1450" s="14" t="s">
        <v>34</v>
      </c>
      <c r="G1450" s="18">
        <f t="shared" si="9"/>
        <v>18</v>
      </c>
      <c r="H1450" s="19">
        <f>VLOOKUP(A1450,Metrik!$C$2:$Y$959,8,0)</f>
        <v>9.6</v>
      </c>
      <c r="I1450" s="20">
        <f>VLOOKUP(A1450,Metrik!$C$2:$Y$959,9,0)</f>
        <v>1.4</v>
      </c>
      <c r="J1450" s="20">
        <f>VLOOKUP(A1450,Metrik!$C$2:$Y$959,10,0)</f>
        <v>14.1</v>
      </c>
      <c r="K1450" s="20">
        <f>VLOOKUP(A1450,Metrik!$C$2:$Y$959,11,0)</f>
        <v>7.7</v>
      </c>
      <c r="L1450" s="20">
        <f>VLOOKUP(A1450,Metrik!$C$2:$Y$959,12,0)</f>
        <v>0.83</v>
      </c>
      <c r="M1450" s="20">
        <f>VLOOKUP(A1450,Metrik!$C$2:$Y$959,19,0)</f>
        <v>33.6</v>
      </c>
      <c r="N1450" s="21"/>
      <c r="O1450" s="21"/>
      <c r="P1450" s="21"/>
      <c r="Q1450" s="21"/>
      <c r="R1450" s="21"/>
      <c r="S1450" s="21"/>
      <c r="T1450" s="21"/>
      <c r="U1450" s="22">
        <f>IFERROR(__xludf.DUMMYFUNCTION("IFERROR(GOOGLEFINANCE(A1450,""closeyest""),"""")"),2630.0)</f>
        <v>2630</v>
      </c>
      <c r="V1450" s="23">
        <f>IFERROR(__xludf.DUMMYFUNCTION("IFERROR(GOOGLEFINANCE(A1450,""changepct""),"""")"),-0.38)</f>
        <v>-0.38</v>
      </c>
      <c r="W1450" s="22">
        <f>IFERROR(__xludf.DUMMYFUNCTION("IFERROR(GOOGLEFINANCE(A1450,""priceopen""),"""")"),2600.0)</f>
        <v>2600</v>
      </c>
      <c r="X1450" s="22">
        <f>IFERROR(__xludf.DUMMYFUNCTION("IFERROR(GOOGLEFINANCE(A1450,""high""),"""")"),2670.0)</f>
        <v>2670</v>
      </c>
      <c r="Y1450" s="22">
        <f>IFERROR(__xludf.DUMMYFUNCTION("IFERROR(GOOGLEFINANCE(A1450,""low""),"""")"),2550.0)</f>
        <v>2550</v>
      </c>
      <c r="Z1450" s="22">
        <f>IFERROR(__xludf.DUMMYFUNCTION("IFERROR(GOOGLEFINANCE(A1450,""volume""),"""")"),4.6138E7)</f>
        <v>46138000</v>
      </c>
      <c r="AA1450" s="24" t="str">
        <f>VLOOKUP(A1450,Metrik!$C$2:$Y$959,5,0)</f>
        <v>Coal</v>
      </c>
      <c r="AB1450" s="24" t="str">
        <f>VLOOKUP(A1450,Metrik!$C$2:$Y$959,3,0)</f>
        <v>Energy</v>
      </c>
    </row>
    <row r="1451">
      <c r="A1451" s="48" t="s">
        <v>783</v>
      </c>
      <c r="B1451" s="14" t="str">
        <f t="array" ref="B1451">VLOOKUP(A1451,{Metrik!$C$2:$C$998,Metrik!$B$2:$B$998},2,0)</f>
        <v>Bukit Asam (Persero) Tbk.</v>
      </c>
      <c r="C1451" s="15">
        <f>IFERROR(__xludf.DUMMYFUNCTION("GOOGLEFINANCE(""IDX:""&amp;A1451,""price"")"),2620.0)</f>
        <v>2620</v>
      </c>
      <c r="D1451" s="16" t="str">
        <f>IFERROR(__xludf.DUMMYFUNCTION("IF(A1451="""","""",
SPARKLINE(
INDEX(
GOOGLEFINANCE(""IDX:""&amp;A1451,""close"",TODAY()-365,TODAY()),
,2
),
{""linewidth"",1}
))
"),"#N/A")</f>
        <v>#N/A</v>
      </c>
      <c r="E1451" s="17" t="s">
        <v>69</v>
      </c>
      <c r="F1451" s="17" t="s">
        <v>70</v>
      </c>
      <c r="G1451" s="24">
        <f t="shared" si="9"/>
        <v>18</v>
      </c>
      <c r="H1451" s="19">
        <f>VLOOKUP(A1451,Metrik!$C$2:$Y$959,8,0)</f>
        <v>9.6</v>
      </c>
      <c r="I1451" s="20">
        <f>VLOOKUP(A1451,Metrik!$C$2:$Y$959,9,0)</f>
        <v>1.4</v>
      </c>
      <c r="J1451" s="20">
        <f>VLOOKUP(A1451,Metrik!$C$2:$Y$959,10,0)</f>
        <v>14.1</v>
      </c>
      <c r="K1451" s="20">
        <f>VLOOKUP(A1451,Metrik!$C$2:$Y$959,11,0)</f>
        <v>7.7</v>
      </c>
      <c r="L1451" s="20">
        <f>VLOOKUP(A1451,Metrik!$C$2:$Y$959,12,0)</f>
        <v>0.83</v>
      </c>
      <c r="M1451" s="20">
        <f>VLOOKUP(A1451,Metrik!$C$2:$Y$959,19,0)</f>
        <v>33.6</v>
      </c>
      <c r="N1451" s="21"/>
      <c r="O1451" s="21"/>
      <c r="P1451" s="21"/>
      <c r="Q1451" s="21"/>
      <c r="R1451" s="21"/>
      <c r="S1451" s="21"/>
      <c r="T1451" s="21"/>
      <c r="U1451" s="22">
        <f>IFERROR(__xludf.DUMMYFUNCTION("IFERROR(GOOGLEFINANCE(A1451,""closeyest""),"""")"),2630.0)</f>
        <v>2630</v>
      </c>
      <c r="V1451" s="23">
        <f>IFERROR(__xludf.DUMMYFUNCTION("IFERROR(GOOGLEFINANCE(A1451,""changepct""),"""")"),-0.38)</f>
        <v>-0.38</v>
      </c>
      <c r="W1451" s="22">
        <f>IFERROR(__xludf.DUMMYFUNCTION("IFERROR(GOOGLEFINANCE(A1451,""priceopen""),"""")"),2600.0)</f>
        <v>2600</v>
      </c>
      <c r="X1451" s="22">
        <f>IFERROR(__xludf.DUMMYFUNCTION("IFERROR(GOOGLEFINANCE(A1451,""high""),"""")"),2670.0)</f>
        <v>2670</v>
      </c>
      <c r="Y1451" s="22">
        <f>IFERROR(__xludf.DUMMYFUNCTION("IFERROR(GOOGLEFINANCE(A1451,""low""),"""")"),2550.0)</f>
        <v>2550</v>
      </c>
      <c r="Z1451" s="22">
        <f>IFERROR(__xludf.DUMMYFUNCTION("IFERROR(GOOGLEFINANCE(A1451,""volume""),"""")"),4.6138E7)</f>
        <v>46138000</v>
      </c>
      <c r="AA1451" s="24" t="str">
        <f>VLOOKUP(A1451,Metrik!$C$2:$Y$959,5,0)</f>
        <v>Coal</v>
      </c>
      <c r="AB1451" s="24" t="str">
        <f>VLOOKUP(A1451,Metrik!$C$2:$Y$959,3,0)</f>
        <v>Energy</v>
      </c>
    </row>
    <row r="1452">
      <c r="A1452" s="17" t="s">
        <v>783</v>
      </c>
      <c r="B1452" s="14" t="str">
        <f t="array" ref="B1452">VLOOKUP(A1452,{Metrik!$C$2:$C$998,Metrik!$B$2:$B$998},2,0)</f>
        <v>Bukit Asam (Persero) Tbk.</v>
      </c>
      <c r="C1452" s="15">
        <f>IFERROR(__xludf.DUMMYFUNCTION("GOOGLEFINANCE(""IDX:""&amp;A1452,""price"")"),2620.0)</f>
        <v>2620</v>
      </c>
      <c r="D1452" s="16" t="str">
        <f>IFERROR(__xludf.DUMMYFUNCTION("IF(A1452="""","""",
SPARKLINE(
INDEX(
GOOGLEFINANCE(""IDX:""&amp;A1452,""close"",TODAY()-365,TODAY()),
,2
),
{""linewidth"",1}
))
"),"#N/A")</f>
        <v>#N/A</v>
      </c>
      <c r="E1452" s="14" t="s">
        <v>35</v>
      </c>
      <c r="F1452" s="17" t="s">
        <v>36</v>
      </c>
      <c r="G1452" s="38">
        <f t="shared" si="9"/>
        <v>18</v>
      </c>
      <c r="H1452" s="34">
        <f>VLOOKUP(A1452,Metrik!$C$2:$Y$959,8,0)</f>
        <v>9.6</v>
      </c>
      <c r="I1452" s="34">
        <f>VLOOKUP(A1452,Metrik!$C$2:$Y$959,9,0)</f>
        <v>1.4</v>
      </c>
      <c r="J1452" s="34">
        <f>VLOOKUP(A1452,Metrik!$C$2:$Y$959,10,0)</f>
        <v>14.1</v>
      </c>
      <c r="K1452" s="34">
        <f>VLOOKUP(A1452,Metrik!$C$2:$Y$959,11,0)</f>
        <v>7.7</v>
      </c>
      <c r="L1452" s="34">
        <f>VLOOKUP(A1452,Metrik!$C$2:$Y$959,12,0)</f>
        <v>0.83</v>
      </c>
      <c r="M1452" s="34">
        <f>VLOOKUP(A1452,Metrik!$C$2:$Y$959,19,0)</f>
        <v>33.6</v>
      </c>
      <c r="N1452" s="26"/>
      <c r="O1452" s="26"/>
      <c r="P1452" s="26"/>
      <c r="Q1452" s="26"/>
      <c r="R1452" s="26"/>
      <c r="S1452" s="26"/>
      <c r="T1452" s="26"/>
      <c r="U1452" s="35">
        <f>IFERROR(__xludf.DUMMYFUNCTION("IFERROR(GOOGLEFINANCE(A1452,""closeyest""),"""")"),2630.0)</f>
        <v>2630</v>
      </c>
      <c r="V1452" s="36">
        <f>IFERROR(__xludf.DUMMYFUNCTION("IFERROR(GOOGLEFINANCE(A1452,""changepct""),"""")"),-0.38)</f>
        <v>-0.38</v>
      </c>
      <c r="W1452" s="35">
        <f>IFERROR(__xludf.DUMMYFUNCTION("IFERROR(GOOGLEFINANCE(A1452,""priceopen""),"""")"),2600.0)</f>
        <v>2600</v>
      </c>
      <c r="X1452" s="35">
        <f>IFERROR(__xludf.DUMMYFUNCTION("IFERROR(GOOGLEFINANCE(A1452,""high""),"""")"),2670.0)</f>
        <v>2670</v>
      </c>
      <c r="Y1452" s="35">
        <f>IFERROR(__xludf.DUMMYFUNCTION("IFERROR(GOOGLEFINANCE(A1452,""low""),"""")"),2550.0)</f>
        <v>2550</v>
      </c>
      <c r="Z1452" s="35">
        <f>IFERROR(__xludf.DUMMYFUNCTION("IFERROR(GOOGLEFINANCE(A1452,""volume""),"""")"),4.6138E7)</f>
        <v>46138000</v>
      </c>
      <c r="AA1452" s="14" t="str">
        <f>VLOOKUP(A1452,Metrik!$C$2:$Y$959,5,0)</f>
        <v>Coal</v>
      </c>
      <c r="AB1452" s="14" t="str">
        <f>VLOOKUP(A1452,Metrik!$C$2:$Y$959,3,0)</f>
        <v>Energy</v>
      </c>
    </row>
    <row r="1453">
      <c r="A1453" s="14" t="s">
        <v>783</v>
      </c>
      <c r="B1453" s="14" t="str">
        <f t="array" ref="B1453">VLOOKUP(A1453,{Metrik!$C$2:$C$998,Metrik!$B$2:$B$998},2,0)</f>
        <v>Bukit Asam (Persero) Tbk.</v>
      </c>
      <c r="C1453" s="15">
        <f>IFERROR(__xludf.DUMMYFUNCTION("GOOGLEFINANCE(""IDX:""&amp;A1453,""price"")"),2620.0)</f>
        <v>2620</v>
      </c>
      <c r="D1453" s="16" t="str">
        <f>IFERROR(__xludf.DUMMYFUNCTION("IF(A1453="""","""",
SPARKLINE(
INDEX(
GOOGLEFINANCE(""IDX:""&amp;A1453,""close"",TODAY()-365,TODAY()),
,2
),
{""linewidth"",1}
))
"),"#N/A")</f>
        <v>#N/A</v>
      </c>
      <c r="E1453" s="14" t="s">
        <v>39</v>
      </c>
      <c r="F1453" s="25">
        <v>46356.0</v>
      </c>
      <c r="G1453" s="18">
        <f t="shared" si="9"/>
        <v>18</v>
      </c>
      <c r="H1453" s="19">
        <f>VLOOKUP(A1453,Metrik!$C$2:$Y$959,8,0)</f>
        <v>9.6</v>
      </c>
      <c r="I1453" s="20">
        <f>VLOOKUP(A1453,Metrik!$C$2:$Y$959,9,0)</f>
        <v>1.4</v>
      </c>
      <c r="J1453" s="20">
        <f>VLOOKUP(A1453,Metrik!$C$2:$Y$959,10,0)</f>
        <v>14.1</v>
      </c>
      <c r="K1453" s="20">
        <f>VLOOKUP(A1453,Metrik!$C$2:$Y$959,11,0)</f>
        <v>7.7</v>
      </c>
      <c r="L1453" s="20">
        <f>VLOOKUP(A1453,Metrik!$C$2:$Y$959,12,0)</f>
        <v>0.83</v>
      </c>
      <c r="M1453" s="20">
        <f>VLOOKUP(A1453,Metrik!$C$2:$Y$959,19,0)</f>
        <v>33.6</v>
      </c>
      <c r="N1453" s="21"/>
      <c r="O1453" s="21"/>
      <c r="P1453" s="21"/>
      <c r="Q1453" s="21"/>
      <c r="R1453" s="21"/>
      <c r="S1453" s="21"/>
      <c r="T1453" s="21"/>
      <c r="U1453" s="22">
        <f>IFERROR(__xludf.DUMMYFUNCTION("IFERROR(GOOGLEFINANCE(A1453,""closeyest""),"""")"),2630.0)</f>
        <v>2630</v>
      </c>
      <c r="V1453" s="23">
        <f>IFERROR(__xludf.DUMMYFUNCTION("IFERROR(GOOGLEFINANCE(A1453,""changepct""),"""")"),-0.38)</f>
        <v>-0.38</v>
      </c>
      <c r="W1453" s="22">
        <f>IFERROR(__xludf.DUMMYFUNCTION("IFERROR(GOOGLEFINANCE(A1453,""priceopen""),"""")"),2600.0)</f>
        <v>2600</v>
      </c>
      <c r="X1453" s="22">
        <f>IFERROR(__xludf.DUMMYFUNCTION("IFERROR(GOOGLEFINANCE(A1453,""high""),"""")"),2670.0)</f>
        <v>2670</v>
      </c>
      <c r="Y1453" s="22">
        <f>IFERROR(__xludf.DUMMYFUNCTION("IFERROR(GOOGLEFINANCE(A1453,""low""),"""")"),2550.0)</f>
        <v>2550</v>
      </c>
      <c r="Z1453" s="22">
        <f>IFERROR(__xludf.DUMMYFUNCTION("IFERROR(GOOGLEFINANCE(A1453,""volume""),"""")"),4.6138E7)</f>
        <v>46138000</v>
      </c>
      <c r="AA1453" s="24" t="str">
        <f>VLOOKUP(A1453,Metrik!$C$2:$Y$959,5,0)</f>
        <v>Coal</v>
      </c>
      <c r="AB1453" s="24" t="str">
        <f>VLOOKUP(A1453,Metrik!$C$2:$Y$959,3,0)</f>
        <v>Energy</v>
      </c>
    </row>
    <row r="1454">
      <c r="A1454" s="14" t="s">
        <v>784</v>
      </c>
      <c r="B1454" s="14" t="str">
        <f t="array" ref="B1454">VLOOKUP(A1454,{Metrik!$C$2:$C$998,Metrik!$B$2:$B$998},2,0)</f>
        <v>Djasa Ubersakti Tbk.</v>
      </c>
      <c r="C1454" s="15">
        <f>IFERROR(__xludf.DUMMYFUNCTION("GOOGLEFINANCE(""IDX:""&amp;A1454,""price"")"),70.0)</f>
        <v>70</v>
      </c>
      <c r="D1454" s="16" t="str">
        <f>IFERROR(__xludf.DUMMYFUNCTION("IF(A1454="""","""",
SPARKLINE(
INDEX(
GOOGLEFINANCE(""IDX:""&amp;A1454,""close"",TODAY()-365,TODAY()),
,2
),
{""linewidth"",1}
))
"),"#N/A")</f>
        <v>#N/A</v>
      </c>
      <c r="E1454" s="26"/>
      <c r="F1454" s="26"/>
      <c r="G1454" s="24">
        <f t="shared" si="9"/>
        <v>0</v>
      </c>
      <c r="H1454" s="19">
        <f>VLOOKUP(A1454,Metrik!$C$2:$Y$959,8,0)</f>
        <v>-4.2</v>
      </c>
      <c r="I1454" s="20">
        <f>VLOOKUP(A1454,Metrik!$C$2:$Y$959,9,0)</f>
        <v>-13.5</v>
      </c>
      <c r="J1454" s="20">
        <f>VLOOKUP(A1454,Metrik!$C$2:$Y$959,10,0)</f>
        <v>0</v>
      </c>
      <c r="K1454" s="20">
        <f>VLOOKUP(A1454,Metrik!$C$2:$Y$959,11,0)</f>
        <v>-20.8</v>
      </c>
      <c r="L1454" s="20">
        <f>VLOOKUP(A1454,Metrik!$C$2:$Y$959,12,0)</f>
        <v>-16.7</v>
      </c>
      <c r="M1454" s="20">
        <f>VLOOKUP(A1454,Metrik!$C$2:$Y$959,19,0)</f>
        <v>-50.9</v>
      </c>
      <c r="N1454" s="21"/>
      <c r="O1454" s="21"/>
      <c r="P1454" s="21"/>
      <c r="Q1454" s="21"/>
      <c r="R1454" s="21"/>
      <c r="S1454" s="21"/>
      <c r="T1454" s="21"/>
      <c r="U1454" s="22">
        <f>IFERROR(__xludf.DUMMYFUNCTION("IFERROR(GOOGLEFINANCE(A1454,""closeyest""),"""")"),70.0)</f>
        <v>70</v>
      </c>
      <c r="V1454" s="23">
        <f>IFERROR(__xludf.DUMMYFUNCTION("IFERROR(GOOGLEFINANCE(A1454,""changepct""),"""")"),0.0)</f>
        <v>0</v>
      </c>
      <c r="W1454" s="22" t="str">
        <f>IFERROR(__xludf.DUMMYFUNCTION("IFERROR(GOOGLEFINANCE(A1454,""priceopen""),"""")"),"")</f>
        <v/>
      </c>
      <c r="X1454" s="22" t="str">
        <f>IFERROR(__xludf.DUMMYFUNCTION("IFERROR(GOOGLEFINANCE(A1454,""high""),"""")"),"")</f>
        <v/>
      </c>
      <c r="Y1454" s="22" t="str">
        <f>IFERROR(__xludf.DUMMYFUNCTION("IFERROR(GOOGLEFINANCE(A1454,""low""),"""")"),"")</f>
        <v/>
      </c>
      <c r="Z1454" s="22">
        <f>IFERROR(__xludf.DUMMYFUNCTION("IFERROR(GOOGLEFINANCE(A1454,""volume""),"""")"),0.0)</f>
        <v>0</v>
      </c>
      <c r="AA1454" s="24" t="str">
        <f>VLOOKUP(A1454,Metrik!$C$2:$Y$959,5,0)</f>
        <v>Heavy Constructions &amp; Civil Engineering</v>
      </c>
      <c r="AB1454" s="24" t="str">
        <f>VLOOKUP(A1454,Metrik!$C$2:$Y$959,3,0)</f>
        <v>Infrastructures</v>
      </c>
    </row>
    <row r="1455">
      <c r="A1455" s="14" t="s">
        <v>785</v>
      </c>
      <c r="B1455" s="14" t="str">
        <f t="array" ref="B1455">VLOOKUP(A1455,{Metrik!$C$2:$C$998,Metrik!$B$2:$B$998},2,0)</f>
        <v>Indo Straits Tbk.</v>
      </c>
      <c r="C1455" s="15">
        <f>IFERROR(__xludf.DUMMYFUNCTION("GOOGLEFINANCE(""IDX:""&amp;A1455,""price"")"),290.0)</f>
        <v>290</v>
      </c>
      <c r="D1455" s="16" t="str">
        <f>IFERROR(__xludf.DUMMYFUNCTION("IF(A1455="""","""",
SPARKLINE(
INDEX(
GOOGLEFINANCE(""IDX:""&amp;A1455,""close"",TODAY()-365,TODAY()),
,2
),
{""linewidth"",1}
))
"),"#N/A")</f>
        <v>#N/A</v>
      </c>
      <c r="E1455" s="26"/>
      <c r="F1455" s="26"/>
      <c r="G1455" s="24">
        <f t="shared" si="9"/>
        <v>0</v>
      </c>
      <c r="H1455" s="19">
        <f>VLOOKUP(A1455,Metrik!$C$2:$Y$959,8,0)</f>
        <v>-23.9</v>
      </c>
      <c r="I1455" s="20">
        <f>VLOOKUP(A1455,Metrik!$C$2:$Y$959,9,0)</f>
        <v>0.47</v>
      </c>
      <c r="J1455" s="20">
        <f>VLOOKUP(A1455,Metrik!$C$2:$Y$959,10,0)</f>
        <v>-2</v>
      </c>
      <c r="K1455" s="20">
        <f>VLOOKUP(A1455,Metrik!$C$2:$Y$959,11,0)</f>
        <v>-1.3</v>
      </c>
      <c r="L1455" s="20">
        <f>VLOOKUP(A1455,Metrik!$C$2:$Y$959,12,0)</f>
        <v>0.51</v>
      </c>
      <c r="M1455" s="20">
        <f>VLOOKUP(A1455,Metrik!$C$2:$Y$959,19,0)</f>
        <v>-13.7</v>
      </c>
      <c r="N1455" s="21"/>
      <c r="O1455" s="21"/>
      <c r="P1455" s="21"/>
      <c r="Q1455" s="21"/>
      <c r="R1455" s="21"/>
      <c r="S1455" s="21"/>
      <c r="T1455" s="21"/>
      <c r="U1455" s="22">
        <f>IFERROR(__xludf.DUMMYFUNCTION("IFERROR(GOOGLEFINANCE(A1455,""closeyest""),"""")"),290.0)</f>
        <v>290</v>
      </c>
      <c r="V1455" s="23">
        <f>IFERROR(__xludf.DUMMYFUNCTION("IFERROR(GOOGLEFINANCE(A1455,""changepct""),"""")"),0.0)</f>
        <v>0</v>
      </c>
      <c r="W1455" s="22">
        <f>IFERROR(__xludf.DUMMYFUNCTION("IFERROR(GOOGLEFINANCE(A1455,""priceopen""),"""")"),282.0)</f>
        <v>282</v>
      </c>
      <c r="X1455" s="22">
        <f>IFERROR(__xludf.DUMMYFUNCTION("IFERROR(GOOGLEFINANCE(A1455,""high""),"""")"),292.0)</f>
        <v>292</v>
      </c>
      <c r="Y1455" s="22">
        <f>IFERROR(__xludf.DUMMYFUNCTION("IFERROR(GOOGLEFINANCE(A1455,""low""),"""")"),280.0)</f>
        <v>280</v>
      </c>
      <c r="Z1455" s="22">
        <f>IFERROR(__xludf.DUMMYFUNCTION("IFERROR(GOOGLEFINANCE(A1455,""volume""),"""")"),50200.0)</f>
        <v>50200</v>
      </c>
      <c r="AA1455" s="24" t="str">
        <f>VLOOKUP(A1455,Metrik!$C$2:$Y$959,5,0)</f>
        <v>Coal</v>
      </c>
      <c r="AB1455" s="24" t="str">
        <f>VLOOKUP(A1455,Metrik!$C$2:$Y$959,3,0)</f>
        <v>Energy</v>
      </c>
    </row>
    <row r="1456">
      <c r="A1456" s="17" t="s">
        <v>786</v>
      </c>
      <c r="B1456" s="14" t="str">
        <f t="array" ref="B1456">VLOOKUP(A1456,{Metrik!$C$2:$C$998,Metrik!$B$2:$B$998},2,0)</f>
        <v>PT Mitra Pack Tbk.</v>
      </c>
      <c r="C1456" s="15">
        <f>IFERROR(__xludf.DUMMYFUNCTION("GOOGLEFINANCE(""IDX:""&amp;A1456,""price"")"),59.0)</f>
        <v>59</v>
      </c>
      <c r="D1456" s="16" t="str">
        <f>IFERROR(__xludf.DUMMYFUNCTION("IF(A1456="""","""",
SPARKLINE(
INDEX(
GOOGLEFINANCE(""IDX:""&amp;A1456,""close"",TODAY()-365,TODAY()),
,2
),
{""linewidth"",1}
))
"),"#N/A")</f>
        <v>#N/A</v>
      </c>
      <c r="E1456" s="14"/>
      <c r="F1456" s="17"/>
      <c r="G1456" s="18">
        <f t="shared" si="9"/>
        <v>0</v>
      </c>
      <c r="H1456" s="19">
        <f>VLOOKUP(A1456,Metrik!$C$2:$Y$959,8,0)</f>
        <v>-3.7</v>
      </c>
      <c r="I1456" s="20">
        <f>VLOOKUP(A1456,Metrik!$C$2:$Y$959,9,0)</f>
        <v>1.1</v>
      </c>
      <c r="J1456" s="20">
        <f>VLOOKUP(A1456,Metrik!$C$2:$Y$959,10,0)</f>
        <v>-30.2</v>
      </c>
      <c r="K1456" s="20">
        <f>VLOOKUP(A1456,Metrik!$C$2:$Y$959,11,0)</f>
        <v>-19.5</v>
      </c>
      <c r="L1456" s="20">
        <f>VLOOKUP(A1456,Metrik!$C$2:$Y$959,12,0)</f>
        <v>0.55</v>
      </c>
      <c r="M1456" s="20">
        <f>VLOOKUP(A1456,Metrik!$C$2:$Y$959,19,0)</f>
        <v>-120</v>
      </c>
      <c r="N1456" s="21"/>
      <c r="O1456" s="21"/>
      <c r="P1456" s="21"/>
      <c r="Q1456" s="21"/>
      <c r="R1456" s="21"/>
      <c r="S1456" s="21"/>
      <c r="T1456" s="21"/>
      <c r="U1456" s="22">
        <f>IFERROR(__xludf.DUMMYFUNCTION("IFERROR(GOOGLEFINANCE(A1456,""closeyest""),"""")"),55.0)</f>
        <v>55</v>
      </c>
      <c r="V1456" s="23">
        <f>IFERROR(__xludf.DUMMYFUNCTION("IFERROR(GOOGLEFINANCE(A1456,""changepct""),"""")"),7.27)</f>
        <v>7.27</v>
      </c>
      <c r="W1456" s="22">
        <f>IFERROR(__xludf.DUMMYFUNCTION("IFERROR(GOOGLEFINANCE(A1456,""priceopen""),"""")"),55.0)</f>
        <v>55</v>
      </c>
      <c r="X1456" s="22">
        <f>IFERROR(__xludf.DUMMYFUNCTION("IFERROR(GOOGLEFINANCE(A1456,""high""),"""")"),59.0)</f>
        <v>59</v>
      </c>
      <c r="Y1456" s="22">
        <f>IFERROR(__xludf.DUMMYFUNCTION("IFERROR(GOOGLEFINANCE(A1456,""low""),"""")"),54.0)</f>
        <v>54</v>
      </c>
      <c r="Z1456" s="22">
        <f>IFERROR(__xludf.DUMMYFUNCTION("IFERROR(GOOGLEFINANCE(A1456,""volume""),"""")"),4095400.0)</f>
        <v>4095400</v>
      </c>
      <c r="AA1456" s="24" t="str">
        <f>VLOOKUP(A1456,Metrik!$C$2:$Y$959,5,0)</f>
        <v>Machinery</v>
      </c>
      <c r="AB1456" s="24" t="str">
        <f>VLOOKUP(A1456,Metrik!$C$2:$Y$959,3,0)</f>
        <v>Industrials</v>
      </c>
    </row>
    <row r="1457">
      <c r="A1457" s="14" t="s">
        <v>787</v>
      </c>
      <c r="B1457" s="14" t="str">
        <f t="array" ref="B1457">VLOOKUP(A1457,{Metrik!$C$2:$C$998,Metrik!$B$2:$B$998},2,0)</f>
        <v>Master Print Tbk.</v>
      </c>
      <c r="C1457" s="15" t="str">
        <f>IFERROR(__xludf.DUMMYFUNCTION("GOOGLEFINANCE(""IDX:""&amp;A1457,""price"")"),"#N/A")</f>
        <v>#N/A</v>
      </c>
      <c r="D1457" s="16" t="str">
        <f>IFERROR(__xludf.DUMMYFUNCTION("IF(A1457="""","""",
SPARKLINE(
INDEX(
GOOGLEFINANCE(""IDX:""&amp;A1457,""close"",TODAY()-365,TODAY()),
,2
),
{""linewidth"",1}
))
"),"#N/A")</f>
        <v>#N/A</v>
      </c>
      <c r="E1457" s="26"/>
      <c r="F1457" s="26"/>
      <c r="G1457" s="24">
        <f t="shared" si="9"/>
        <v>0</v>
      </c>
      <c r="H1457" s="19">
        <f>VLOOKUP(A1457,Metrik!$C$2:$Y$959,8,0)</f>
        <v>-30.5</v>
      </c>
      <c r="I1457" s="20">
        <f>VLOOKUP(A1457,Metrik!$C$2:$Y$959,9,0)</f>
        <v>9.3</v>
      </c>
      <c r="J1457" s="20">
        <f>VLOOKUP(A1457,Metrik!$C$2:$Y$959,10,0)</f>
        <v>-30.4</v>
      </c>
      <c r="K1457" s="20">
        <f>VLOOKUP(A1457,Metrik!$C$2:$Y$959,11,0)</f>
        <v>0</v>
      </c>
      <c r="L1457" s="20">
        <f>VLOOKUP(A1457,Metrik!$C$2:$Y$959,12,0)</f>
        <v>0.59</v>
      </c>
      <c r="M1457" s="20">
        <f>VLOOKUP(A1457,Metrik!$C$2:$Y$959,19,0)</f>
        <v>-79.5</v>
      </c>
      <c r="N1457" s="21"/>
      <c r="O1457" s="21"/>
      <c r="P1457" s="21"/>
      <c r="Q1457" s="21"/>
      <c r="R1457" s="21"/>
      <c r="S1457" s="21"/>
      <c r="T1457" s="21"/>
      <c r="U1457" s="22">
        <f>IFERROR(__xludf.DUMMYFUNCTION("IFERROR(GOOGLEFINANCE(A1457,""closeyest""),"""")"),374.0)</f>
        <v>374</v>
      </c>
      <c r="V1457" s="23">
        <f>IFERROR(__xludf.DUMMYFUNCTION("IFERROR(GOOGLEFINANCE(A1457,""changepct""),"""")"),0.0)</f>
        <v>0</v>
      </c>
      <c r="W1457" s="22" t="str">
        <f>IFERROR(__xludf.DUMMYFUNCTION("IFERROR(GOOGLEFINANCE(A1457,""priceopen""),"""")"),"")</f>
        <v/>
      </c>
      <c r="X1457" s="22" t="str">
        <f>IFERROR(__xludf.DUMMYFUNCTION("IFERROR(GOOGLEFINANCE(A1457,""high""),"""")"),"")</f>
        <v/>
      </c>
      <c r="Y1457" s="22" t="str">
        <f>IFERROR(__xludf.DUMMYFUNCTION("IFERROR(GOOGLEFINANCE(A1457,""low""),"""")"),"")</f>
        <v/>
      </c>
      <c r="Z1457" s="22">
        <f>IFERROR(__xludf.DUMMYFUNCTION("IFERROR(GOOGLEFINANCE(A1457,""volume""),"""")"),0.0)</f>
        <v>0</v>
      </c>
      <c r="AA1457" s="24" t="str">
        <f>VLOOKUP(A1457,Metrik!$C$2:$Y$959,5,0)</f>
        <v>Containers &amp; Packaging</v>
      </c>
      <c r="AB1457" s="24" t="str">
        <f>VLOOKUP(A1457,Metrik!$C$2:$Y$959,3,0)</f>
        <v>Basic Materials</v>
      </c>
    </row>
    <row r="1458">
      <c r="A1458" s="14" t="s">
        <v>788</v>
      </c>
      <c r="B1458" s="14" t="str">
        <f t="array" ref="B1458">VLOOKUP(A1458,{Metrik!$C$2:$C$998,Metrik!$B$2:$B$998},2,0)</f>
        <v>PP (Persero) Tbk</v>
      </c>
      <c r="C1458" s="15">
        <f>IFERROR(__xludf.DUMMYFUNCTION("GOOGLEFINANCE(""IDX:""&amp;A1458,""price"")"),202.0)</f>
        <v>202</v>
      </c>
      <c r="D1458" s="16" t="str">
        <f>IFERROR(__xludf.DUMMYFUNCTION("IF(A1458="""","""",
SPARKLINE(
INDEX(
GOOGLEFINANCE(""IDX:""&amp;A1458,""close"",TODAY()-365,TODAY()),
,2
),
{""linewidth"",1}
))
"),"#N/A")</f>
        <v>#N/A</v>
      </c>
      <c r="E1458" s="14" t="s">
        <v>106</v>
      </c>
      <c r="F1458" s="25">
        <v>46356.0</v>
      </c>
      <c r="G1458" s="24">
        <f t="shared" si="9"/>
        <v>4</v>
      </c>
      <c r="H1458" s="19">
        <f>VLOOKUP(A1458,Metrik!$C$2:$Y$959,8,0)</f>
        <v>-0.21</v>
      </c>
      <c r="I1458" s="20">
        <f>VLOOKUP(A1458,Metrik!$C$2:$Y$959,9,0)</f>
        <v>0.29</v>
      </c>
      <c r="J1458" s="20">
        <f>VLOOKUP(A1458,Metrik!$C$2:$Y$959,10,0)</f>
        <v>-140</v>
      </c>
      <c r="K1458" s="20">
        <f>VLOOKUP(A1458,Metrik!$C$2:$Y$959,11,0)</f>
        <v>-14.5</v>
      </c>
      <c r="L1458" s="20">
        <f>VLOOKUP(A1458,Metrik!$C$2:$Y$959,12,0)</f>
        <v>8.7</v>
      </c>
      <c r="M1458" s="20">
        <f>VLOOKUP(A1458,Metrik!$C$2:$Y$959,19,0)</f>
        <v>-210</v>
      </c>
      <c r="N1458" s="21"/>
      <c r="O1458" s="21"/>
      <c r="P1458" s="21"/>
      <c r="Q1458" s="21"/>
      <c r="R1458" s="21"/>
      <c r="S1458" s="21"/>
      <c r="T1458" s="21"/>
      <c r="U1458" s="22">
        <f>IFERROR(__xludf.DUMMYFUNCTION("IFERROR(GOOGLEFINANCE(A1458,""closeyest""),"""")"),199.0)</f>
        <v>199</v>
      </c>
      <c r="V1458" s="23">
        <f>IFERROR(__xludf.DUMMYFUNCTION("IFERROR(GOOGLEFINANCE(A1458,""changepct""),"""")"),1.51)</f>
        <v>1.51</v>
      </c>
      <c r="W1458" s="22">
        <f>IFERROR(__xludf.DUMMYFUNCTION("IFERROR(GOOGLEFINANCE(A1458,""priceopen""),"""")"),200.0)</f>
        <v>200</v>
      </c>
      <c r="X1458" s="22">
        <f>IFERROR(__xludf.DUMMYFUNCTION("IFERROR(GOOGLEFINANCE(A1458,""high""),"""")"),206.0)</f>
        <v>206</v>
      </c>
      <c r="Y1458" s="22">
        <f>IFERROR(__xludf.DUMMYFUNCTION("IFERROR(GOOGLEFINANCE(A1458,""low""),"""")"),198.0)</f>
        <v>198</v>
      </c>
      <c r="Z1458" s="22">
        <f>IFERROR(__xludf.DUMMYFUNCTION("IFERROR(GOOGLEFINANCE(A1458,""volume""),"""")"),5378500.0)</f>
        <v>5378500</v>
      </c>
      <c r="AA1458" s="24" t="str">
        <f>VLOOKUP(A1458,Metrik!$C$2:$Y$959,5,0)</f>
        <v>Heavy Constructions &amp; Civil Engineering</v>
      </c>
      <c r="AB1458" s="24" t="str">
        <f>VLOOKUP(A1458,Metrik!$C$2:$Y$959,3,0)</f>
        <v>Infrastructures</v>
      </c>
    </row>
    <row r="1459">
      <c r="A1459" s="14" t="s">
        <v>788</v>
      </c>
      <c r="B1459" s="14" t="str">
        <f t="array" ref="B1459">VLOOKUP(A1459,{Metrik!$C$2:$C$998,Metrik!$B$2:$B$998},2,0)</f>
        <v>PP (Persero) Tbk</v>
      </c>
      <c r="C1459" s="15">
        <f>IFERROR(__xludf.DUMMYFUNCTION("GOOGLEFINANCE(""IDX:""&amp;A1459,""price"")"),202.0)</f>
        <v>202</v>
      </c>
      <c r="D1459" s="16" t="str">
        <f>IFERROR(__xludf.DUMMYFUNCTION("IF(A1459="""","""",
SPARKLINE(
INDEX(
GOOGLEFINANCE(""IDX:""&amp;A1459,""close"",TODAY()-365,TODAY()),
,2
),
{""linewidth"",1}
))
"),"#N/A")</f>
        <v>#N/A</v>
      </c>
      <c r="E1459" s="14" t="s">
        <v>55</v>
      </c>
      <c r="F1459" s="25">
        <v>46356.0</v>
      </c>
      <c r="G1459" s="24">
        <f t="shared" si="9"/>
        <v>4</v>
      </c>
      <c r="H1459" s="19">
        <f>VLOOKUP(A1459,Metrik!$C$2:$Y$959,8,0)</f>
        <v>-0.21</v>
      </c>
      <c r="I1459" s="20">
        <f>VLOOKUP(A1459,Metrik!$C$2:$Y$959,9,0)</f>
        <v>0.29</v>
      </c>
      <c r="J1459" s="20">
        <f>VLOOKUP(A1459,Metrik!$C$2:$Y$959,10,0)</f>
        <v>-140</v>
      </c>
      <c r="K1459" s="20">
        <f>VLOOKUP(A1459,Metrik!$C$2:$Y$959,11,0)</f>
        <v>-14.5</v>
      </c>
      <c r="L1459" s="20">
        <f>VLOOKUP(A1459,Metrik!$C$2:$Y$959,12,0)</f>
        <v>8.7</v>
      </c>
      <c r="M1459" s="20">
        <f>VLOOKUP(A1459,Metrik!$C$2:$Y$959,19,0)</f>
        <v>-210</v>
      </c>
      <c r="N1459" s="21"/>
      <c r="O1459" s="21"/>
      <c r="P1459" s="21"/>
      <c r="Q1459" s="21"/>
      <c r="R1459" s="21"/>
      <c r="S1459" s="21"/>
      <c r="T1459" s="21"/>
      <c r="U1459" s="22">
        <f>IFERROR(__xludf.DUMMYFUNCTION("IFERROR(GOOGLEFINANCE(A1459,""closeyest""),"""")"),199.0)</f>
        <v>199</v>
      </c>
      <c r="V1459" s="23">
        <f>IFERROR(__xludf.DUMMYFUNCTION("IFERROR(GOOGLEFINANCE(A1459,""changepct""),"""")"),1.51)</f>
        <v>1.51</v>
      </c>
      <c r="W1459" s="22">
        <f>IFERROR(__xludf.DUMMYFUNCTION("IFERROR(GOOGLEFINANCE(A1459,""priceopen""),"""")"),200.0)</f>
        <v>200</v>
      </c>
      <c r="X1459" s="22">
        <f>IFERROR(__xludf.DUMMYFUNCTION("IFERROR(GOOGLEFINANCE(A1459,""high""),"""")"),206.0)</f>
        <v>206</v>
      </c>
      <c r="Y1459" s="22">
        <f>IFERROR(__xludf.DUMMYFUNCTION("IFERROR(GOOGLEFINANCE(A1459,""low""),"""")"),198.0)</f>
        <v>198</v>
      </c>
      <c r="Z1459" s="22">
        <f>IFERROR(__xludf.DUMMYFUNCTION("IFERROR(GOOGLEFINANCE(A1459,""volume""),"""")"),5378500.0)</f>
        <v>5378500</v>
      </c>
      <c r="AA1459" s="24" t="str">
        <f>VLOOKUP(A1459,Metrik!$C$2:$Y$959,5,0)</f>
        <v>Heavy Constructions &amp; Civil Engineering</v>
      </c>
      <c r="AB1459" s="24" t="str">
        <f>VLOOKUP(A1459,Metrik!$C$2:$Y$959,3,0)</f>
        <v>Infrastructures</v>
      </c>
    </row>
    <row r="1460">
      <c r="A1460" s="14" t="s">
        <v>788</v>
      </c>
      <c r="B1460" s="14" t="str">
        <f t="array" ref="B1460">VLOOKUP(A1460,{Metrik!$C$2:$C$998,Metrik!$B$2:$B$998},2,0)</f>
        <v>PP (Persero) Tbk</v>
      </c>
      <c r="C1460" s="15">
        <f>IFERROR(__xludf.DUMMYFUNCTION("GOOGLEFINANCE(""IDX:""&amp;A1460,""price"")"),202.0)</f>
        <v>202</v>
      </c>
      <c r="D1460" s="16" t="str">
        <f>IFERROR(__xludf.DUMMYFUNCTION("IF(A1460="""","""",
SPARKLINE(
INDEX(
GOOGLEFINANCE(""IDX:""&amp;A1460,""close"",TODAY()-365,TODAY()),
,2
),
{""linewidth"",1}
))
"),"#N/A")</f>
        <v>#N/A</v>
      </c>
      <c r="E1460" s="14" t="s">
        <v>61</v>
      </c>
      <c r="F1460" s="14" t="s">
        <v>34</v>
      </c>
      <c r="G1460" s="24">
        <f t="shared" si="9"/>
        <v>4</v>
      </c>
      <c r="H1460" s="19">
        <f>VLOOKUP(A1460,Metrik!$C$2:$Y$959,8,0)</f>
        <v>-0.21</v>
      </c>
      <c r="I1460" s="20">
        <f>VLOOKUP(A1460,Metrik!$C$2:$Y$959,9,0)</f>
        <v>0.29</v>
      </c>
      <c r="J1460" s="20">
        <f>VLOOKUP(A1460,Metrik!$C$2:$Y$959,10,0)</f>
        <v>-140</v>
      </c>
      <c r="K1460" s="20">
        <f>VLOOKUP(A1460,Metrik!$C$2:$Y$959,11,0)</f>
        <v>-14.5</v>
      </c>
      <c r="L1460" s="20">
        <f>VLOOKUP(A1460,Metrik!$C$2:$Y$959,12,0)</f>
        <v>8.7</v>
      </c>
      <c r="M1460" s="20">
        <f>VLOOKUP(A1460,Metrik!$C$2:$Y$959,19,0)</f>
        <v>-210</v>
      </c>
      <c r="N1460" s="21"/>
      <c r="O1460" s="21"/>
      <c r="P1460" s="21"/>
      <c r="Q1460" s="21"/>
      <c r="R1460" s="21"/>
      <c r="S1460" s="21"/>
      <c r="T1460" s="21"/>
      <c r="U1460" s="22">
        <f>IFERROR(__xludf.DUMMYFUNCTION("IFERROR(GOOGLEFINANCE(A1460,""closeyest""),"""")"),199.0)</f>
        <v>199</v>
      </c>
      <c r="V1460" s="23">
        <f>IFERROR(__xludf.DUMMYFUNCTION("IFERROR(GOOGLEFINANCE(A1460,""changepct""),"""")"),1.51)</f>
        <v>1.51</v>
      </c>
      <c r="W1460" s="22">
        <f>IFERROR(__xludf.DUMMYFUNCTION("IFERROR(GOOGLEFINANCE(A1460,""priceopen""),"""")"),200.0)</f>
        <v>200</v>
      </c>
      <c r="X1460" s="22">
        <f>IFERROR(__xludf.DUMMYFUNCTION("IFERROR(GOOGLEFINANCE(A1460,""high""),"""")"),206.0)</f>
        <v>206</v>
      </c>
      <c r="Y1460" s="22">
        <f>IFERROR(__xludf.DUMMYFUNCTION("IFERROR(GOOGLEFINANCE(A1460,""low""),"""")"),198.0)</f>
        <v>198</v>
      </c>
      <c r="Z1460" s="22">
        <f>IFERROR(__xludf.DUMMYFUNCTION("IFERROR(GOOGLEFINANCE(A1460,""volume""),"""")"),5378500.0)</f>
        <v>5378500</v>
      </c>
      <c r="AA1460" s="24" t="str">
        <f>VLOOKUP(A1460,Metrik!$C$2:$Y$959,5,0)</f>
        <v>Heavy Constructions &amp; Civil Engineering</v>
      </c>
      <c r="AB1460" s="24" t="str">
        <f>VLOOKUP(A1460,Metrik!$C$2:$Y$959,3,0)</f>
        <v>Infrastructures</v>
      </c>
    </row>
    <row r="1461">
      <c r="A1461" s="14" t="s">
        <v>788</v>
      </c>
      <c r="B1461" s="14" t="str">
        <f t="array" ref="B1461">VLOOKUP(A1461,{Metrik!$C$2:$C$998,Metrik!$B$2:$B$998},2,0)</f>
        <v>PP (Persero) Tbk</v>
      </c>
      <c r="C1461" s="15">
        <f>IFERROR(__xludf.DUMMYFUNCTION("GOOGLEFINANCE(""IDX:""&amp;A1461,""price"")"),202.0)</f>
        <v>202</v>
      </c>
      <c r="D1461" s="16" t="str">
        <f>IFERROR(__xludf.DUMMYFUNCTION("IF(A1461="""","""",
SPARKLINE(
INDEX(
GOOGLEFINANCE(""IDX:""&amp;A1461,""close"",TODAY()-365,TODAY()),
,2
),
{""linewidth"",1}
))
"),"#N/A")</f>
        <v>#N/A</v>
      </c>
      <c r="E1461" s="14" t="s">
        <v>41</v>
      </c>
      <c r="F1461" s="14" t="s">
        <v>34</v>
      </c>
      <c r="G1461" s="24">
        <f t="shared" si="9"/>
        <v>4</v>
      </c>
      <c r="H1461" s="19">
        <f>VLOOKUP(A1461,Metrik!$C$2:$Y$959,8,0)</f>
        <v>-0.21</v>
      </c>
      <c r="I1461" s="20">
        <f>VLOOKUP(A1461,Metrik!$C$2:$Y$959,9,0)</f>
        <v>0.29</v>
      </c>
      <c r="J1461" s="20">
        <f>VLOOKUP(A1461,Metrik!$C$2:$Y$959,10,0)</f>
        <v>-140</v>
      </c>
      <c r="K1461" s="20">
        <f>VLOOKUP(A1461,Metrik!$C$2:$Y$959,11,0)</f>
        <v>-14.5</v>
      </c>
      <c r="L1461" s="20">
        <f>VLOOKUP(A1461,Metrik!$C$2:$Y$959,12,0)</f>
        <v>8.7</v>
      </c>
      <c r="M1461" s="20">
        <f>VLOOKUP(A1461,Metrik!$C$2:$Y$959,19,0)</f>
        <v>-210</v>
      </c>
      <c r="N1461" s="21"/>
      <c r="O1461" s="21"/>
      <c r="P1461" s="21"/>
      <c r="Q1461" s="21"/>
      <c r="R1461" s="21"/>
      <c r="S1461" s="21"/>
      <c r="T1461" s="21"/>
      <c r="U1461" s="22">
        <f>IFERROR(__xludf.DUMMYFUNCTION("IFERROR(GOOGLEFINANCE(A1461,""closeyest""),"""")"),199.0)</f>
        <v>199</v>
      </c>
      <c r="V1461" s="23">
        <f>IFERROR(__xludf.DUMMYFUNCTION("IFERROR(GOOGLEFINANCE(A1461,""changepct""),"""")"),1.51)</f>
        <v>1.51</v>
      </c>
      <c r="W1461" s="22">
        <f>IFERROR(__xludf.DUMMYFUNCTION("IFERROR(GOOGLEFINANCE(A1461,""priceopen""),"""")"),200.0)</f>
        <v>200</v>
      </c>
      <c r="X1461" s="22">
        <f>IFERROR(__xludf.DUMMYFUNCTION("IFERROR(GOOGLEFINANCE(A1461,""high""),"""")"),206.0)</f>
        <v>206</v>
      </c>
      <c r="Y1461" s="22">
        <f>IFERROR(__xludf.DUMMYFUNCTION("IFERROR(GOOGLEFINANCE(A1461,""low""),"""")"),198.0)</f>
        <v>198</v>
      </c>
      <c r="Z1461" s="22">
        <f>IFERROR(__xludf.DUMMYFUNCTION("IFERROR(GOOGLEFINANCE(A1461,""volume""),"""")"),5378500.0)</f>
        <v>5378500</v>
      </c>
      <c r="AA1461" s="24" t="str">
        <f>VLOOKUP(A1461,Metrik!$C$2:$Y$959,5,0)</f>
        <v>Heavy Constructions &amp; Civil Engineering</v>
      </c>
      <c r="AB1461" s="24" t="str">
        <f>VLOOKUP(A1461,Metrik!$C$2:$Y$959,3,0)</f>
        <v>Infrastructures</v>
      </c>
    </row>
    <row r="1462">
      <c r="A1462" s="14" t="s">
        <v>789</v>
      </c>
      <c r="B1462" s="14" t="str">
        <f t="array" ref="B1462">VLOOKUP(A1462,{Metrik!$C$2:$C$998,Metrik!$B$2:$B$998},2,0)</f>
        <v>PT Pulau Subur Tbk.</v>
      </c>
      <c r="C1462" s="15">
        <f>IFERROR(__xludf.DUMMYFUNCTION("GOOGLEFINANCE(""IDX:""&amp;A1462,""price"")"),113.0)</f>
        <v>113</v>
      </c>
      <c r="D1462" s="16" t="str">
        <f>IFERROR(__xludf.DUMMYFUNCTION("IF(A1462="""","""",
SPARKLINE(
INDEX(
GOOGLEFINANCE(""IDX:""&amp;A1462,""close"",TODAY()-365,TODAY()),
,2
),
{""linewidth"",1}
))
"),"#N/A")</f>
        <v>#N/A</v>
      </c>
      <c r="E1462" s="26"/>
      <c r="F1462" s="26"/>
      <c r="G1462" s="18">
        <f t="shared" si="9"/>
        <v>0</v>
      </c>
      <c r="H1462" s="19">
        <f>VLOOKUP(A1462,Metrik!$C$2:$Y$959,8,0)</f>
        <v>36.9</v>
      </c>
      <c r="I1462" s="20">
        <f>VLOOKUP(A1462,Metrik!$C$2:$Y$959,9,0)</f>
        <v>1.7</v>
      </c>
      <c r="J1462" s="20">
        <f>VLOOKUP(A1462,Metrik!$C$2:$Y$959,10,0)</f>
        <v>4.5</v>
      </c>
      <c r="K1462" s="20">
        <f>VLOOKUP(A1462,Metrik!$C$2:$Y$959,11,0)</f>
        <v>4.4</v>
      </c>
      <c r="L1462" s="20">
        <f>VLOOKUP(A1462,Metrik!$C$2:$Y$959,12,0)</f>
        <v>0.02</v>
      </c>
      <c r="M1462" s="20">
        <f>VLOOKUP(A1462,Metrik!$C$2:$Y$959,19,0)</f>
        <v>79.9</v>
      </c>
      <c r="N1462" s="21"/>
      <c r="O1462" s="21"/>
      <c r="P1462" s="21"/>
      <c r="Q1462" s="21"/>
      <c r="R1462" s="21"/>
      <c r="S1462" s="21"/>
      <c r="T1462" s="21"/>
      <c r="U1462" s="22">
        <f>IFERROR(__xludf.DUMMYFUNCTION("IFERROR(GOOGLEFINANCE(A1462,""closeyest""),"""")"),106.0)</f>
        <v>106</v>
      </c>
      <c r="V1462" s="23">
        <f>IFERROR(__xludf.DUMMYFUNCTION("IFERROR(GOOGLEFINANCE(A1462,""changepct""),"""")"),6.6)</f>
        <v>6.6</v>
      </c>
      <c r="W1462" s="22">
        <f>IFERROR(__xludf.DUMMYFUNCTION("IFERROR(GOOGLEFINANCE(A1462,""priceopen""),"""")"),107.0)</f>
        <v>107</v>
      </c>
      <c r="X1462" s="22">
        <f>IFERROR(__xludf.DUMMYFUNCTION("IFERROR(GOOGLEFINANCE(A1462,""high""),"""")"),120.0)</f>
        <v>120</v>
      </c>
      <c r="Y1462" s="22">
        <f>IFERROR(__xludf.DUMMYFUNCTION("IFERROR(GOOGLEFINANCE(A1462,""low""),"""")"),106.0)</f>
        <v>106</v>
      </c>
      <c r="Z1462" s="22">
        <f>IFERROR(__xludf.DUMMYFUNCTION("IFERROR(GOOGLEFINANCE(A1462,""volume""),"""")"),3531000.0)</f>
        <v>3531000</v>
      </c>
      <c r="AA1462" s="24" t="str">
        <f>VLOOKUP(A1462,Metrik!$C$2:$Y$959,5,0)</f>
        <v>Agricultural Products</v>
      </c>
      <c r="AB1462" s="24" t="str">
        <f>VLOOKUP(A1462,Metrik!$C$2:$Y$959,3,0)</f>
        <v>Consumer Non-Cyclicals</v>
      </c>
    </row>
    <row r="1463">
      <c r="A1463" s="14" t="s">
        <v>790</v>
      </c>
      <c r="B1463" s="14" t="str">
        <f t="array" ref="B1463">VLOOKUP(A1463,{Metrik!$C$2:$C$998,Metrik!$B$2:$B$998},2,0)</f>
        <v>Pratama Widya Tbk.</v>
      </c>
      <c r="C1463" s="15">
        <f>IFERROR(__xludf.DUMMYFUNCTION("GOOGLEFINANCE(""IDX:""&amp;A1463,""price"")"),940.0)</f>
        <v>940</v>
      </c>
      <c r="D1463" s="16" t="str">
        <f>IFERROR(__xludf.DUMMYFUNCTION("IF(A1463="""","""",
SPARKLINE(
INDEX(
GOOGLEFINANCE(""IDX:""&amp;A1463,""close"",TODAY()-365,TODAY()),
,2
),
{""linewidth"",1}
))
"),"#N/A")</f>
        <v>#N/A</v>
      </c>
      <c r="E1463" s="26"/>
      <c r="F1463" s="26"/>
      <c r="G1463" s="24">
        <f t="shared" si="9"/>
        <v>0</v>
      </c>
      <c r="H1463" s="19">
        <f>VLOOKUP(A1463,Metrik!$C$2:$Y$959,8,0)</f>
        <v>20.4</v>
      </c>
      <c r="I1463" s="20">
        <f>VLOOKUP(A1463,Metrik!$C$2:$Y$959,9,0)</f>
        <v>1.2</v>
      </c>
      <c r="J1463" s="20">
        <f>VLOOKUP(A1463,Metrik!$C$2:$Y$959,10,0)</f>
        <v>6</v>
      </c>
      <c r="K1463" s="20">
        <f>VLOOKUP(A1463,Metrik!$C$2:$Y$959,11,0)</f>
        <v>5.3</v>
      </c>
      <c r="L1463" s="20">
        <f>VLOOKUP(A1463,Metrik!$C$2:$Y$959,12,0)</f>
        <v>0.13</v>
      </c>
      <c r="M1463" s="20">
        <f>VLOOKUP(A1463,Metrik!$C$2:$Y$959,19,0)</f>
        <v>52.7</v>
      </c>
      <c r="N1463" s="21"/>
      <c r="O1463" s="21"/>
      <c r="P1463" s="21"/>
      <c r="Q1463" s="21"/>
      <c r="R1463" s="21"/>
      <c r="S1463" s="21"/>
      <c r="T1463" s="21"/>
      <c r="U1463" s="22">
        <f>IFERROR(__xludf.DUMMYFUNCTION("IFERROR(GOOGLEFINANCE(A1463,""closeyest""),"""")"),930.0)</f>
        <v>930</v>
      </c>
      <c r="V1463" s="23">
        <f>IFERROR(__xludf.DUMMYFUNCTION("IFERROR(GOOGLEFINANCE(A1463,""changepct""),"""")"),1.08)</f>
        <v>1.08</v>
      </c>
      <c r="W1463" s="22">
        <f>IFERROR(__xludf.DUMMYFUNCTION("IFERROR(GOOGLEFINANCE(A1463,""priceopen""),"""")"),935.0)</f>
        <v>935</v>
      </c>
      <c r="X1463" s="22">
        <f>IFERROR(__xludf.DUMMYFUNCTION("IFERROR(GOOGLEFINANCE(A1463,""high""),"""")"),940.0)</f>
        <v>940</v>
      </c>
      <c r="Y1463" s="22">
        <f>IFERROR(__xludf.DUMMYFUNCTION("IFERROR(GOOGLEFINANCE(A1463,""low""),"""")"),935.0)</f>
        <v>935</v>
      </c>
      <c r="Z1463" s="22">
        <f>IFERROR(__xludf.DUMMYFUNCTION("IFERROR(GOOGLEFINANCE(A1463,""volume""),"""")"),11800.0)</f>
        <v>11800</v>
      </c>
      <c r="AA1463" s="24" t="str">
        <f>VLOOKUP(A1463,Metrik!$C$2:$Y$959,5,0)</f>
        <v>Heavy Constructions &amp; Civil Engineering</v>
      </c>
      <c r="AB1463" s="24" t="str">
        <f>VLOOKUP(A1463,Metrik!$C$2:$Y$959,3,0)</f>
        <v>Infrastructures</v>
      </c>
    </row>
    <row r="1464">
      <c r="A1464" s="14" t="s">
        <v>791</v>
      </c>
      <c r="B1464" s="14" t="str">
        <f t="array" ref="B1464">VLOOKUP(A1464,{Metrik!$C$2:$C$998,Metrik!$B$2:$B$998},2,0)</f>
        <v>Petrosea Tbk</v>
      </c>
      <c r="C1464" s="15">
        <f>IFERROR(__xludf.DUMMYFUNCTION("GOOGLEFINANCE(""IDX:""&amp;A1464,""price"")"),4180.0)</f>
        <v>4180</v>
      </c>
      <c r="D1464" s="16" t="str">
        <f>IFERROR(__xludf.DUMMYFUNCTION("IF(A1464="""","""",
SPARKLINE(
INDEX(
GOOGLEFINANCE(""IDX:""&amp;A1464,""close"",TODAY()-365,TODAY()),
,2
),
{""linewidth"",1}
))
"),"#N/A")</f>
        <v>#N/A</v>
      </c>
      <c r="E1464" s="14" t="s">
        <v>161</v>
      </c>
      <c r="F1464" s="14" t="s">
        <v>76</v>
      </c>
      <c r="G1464" s="24">
        <f t="shared" si="9"/>
        <v>4</v>
      </c>
      <c r="H1464" s="19">
        <f>VLOOKUP(A1464,Metrik!$C$2:$Y$959,8,0)</f>
        <v>95.8</v>
      </c>
      <c r="I1464" s="20">
        <f>VLOOKUP(A1464,Metrik!$C$2:$Y$959,9,0)</f>
        <v>9</v>
      </c>
      <c r="J1464" s="20">
        <f>VLOOKUP(A1464,Metrik!$C$2:$Y$959,10,0)</f>
        <v>9.4</v>
      </c>
      <c r="K1464" s="20">
        <f>VLOOKUP(A1464,Metrik!$C$2:$Y$959,11,0)</f>
        <v>1.8</v>
      </c>
      <c r="L1464" s="20">
        <f>VLOOKUP(A1464,Metrik!$C$2:$Y$959,12,0)</f>
        <v>4.2</v>
      </c>
      <c r="M1464" s="20">
        <f>VLOOKUP(A1464,Metrik!$C$2:$Y$959,19,0)</f>
        <v>10.2</v>
      </c>
      <c r="N1464" s="21"/>
      <c r="O1464" s="21"/>
      <c r="P1464" s="21"/>
      <c r="Q1464" s="21"/>
      <c r="R1464" s="21"/>
      <c r="S1464" s="21"/>
      <c r="T1464" s="21"/>
      <c r="U1464" s="22">
        <f>IFERROR(__xludf.DUMMYFUNCTION("IFERROR(GOOGLEFINANCE(A1464,""closeyest""),"""")"),4010.0)</f>
        <v>4010</v>
      </c>
      <c r="V1464" s="23">
        <f>IFERROR(__xludf.DUMMYFUNCTION("IFERROR(GOOGLEFINANCE(A1464,""changepct""),"""")"),4.24)</f>
        <v>4.24</v>
      </c>
      <c r="W1464" s="22">
        <f>IFERROR(__xludf.DUMMYFUNCTION("IFERROR(GOOGLEFINANCE(A1464,""priceopen""),"""")"),4150.0)</f>
        <v>4150</v>
      </c>
      <c r="X1464" s="22">
        <f>IFERROR(__xludf.DUMMYFUNCTION("IFERROR(GOOGLEFINANCE(A1464,""high""),"""")"),4340.0)</f>
        <v>4340</v>
      </c>
      <c r="Y1464" s="22">
        <f>IFERROR(__xludf.DUMMYFUNCTION("IFERROR(GOOGLEFINANCE(A1464,""low""),"""")"),4150.0)</f>
        <v>4150</v>
      </c>
      <c r="Z1464" s="22">
        <f>IFERROR(__xludf.DUMMYFUNCTION("IFERROR(GOOGLEFINANCE(A1464,""volume""),"""")"),6.47057E7)</f>
        <v>64705700</v>
      </c>
      <c r="AA1464" s="24" t="str">
        <f>VLOOKUP(A1464,Metrik!$C$2:$Y$959,5,0)</f>
        <v>Oil, Gas &amp; Coal Supports</v>
      </c>
      <c r="AB1464" s="24" t="str">
        <f>VLOOKUP(A1464,Metrik!$C$2:$Y$959,3,0)</f>
        <v>Energy</v>
      </c>
    </row>
    <row r="1465">
      <c r="A1465" s="14" t="s">
        <v>791</v>
      </c>
      <c r="B1465" s="14" t="str">
        <f t="array" ref="B1465">VLOOKUP(A1465,{Metrik!$C$2:$C$998,Metrik!$B$2:$B$998},2,0)</f>
        <v>Petrosea Tbk</v>
      </c>
      <c r="C1465" s="15">
        <f>IFERROR(__xludf.DUMMYFUNCTION("GOOGLEFINANCE(""IDX:""&amp;A1465,""price"")"),4180.0)</f>
        <v>4180</v>
      </c>
      <c r="D1465" s="16" t="str">
        <f>IFERROR(__xludf.DUMMYFUNCTION("IF(A1465="""","""",
SPARKLINE(
INDEX(
GOOGLEFINANCE(""IDX:""&amp;A1465,""close"",TODAY()-365,TODAY()),
,2
),
{""linewidth"",1}
))
"),"#N/A")</f>
        <v>#N/A</v>
      </c>
      <c r="E1465" s="14" t="s">
        <v>28</v>
      </c>
      <c r="F1465" s="17" t="s">
        <v>29</v>
      </c>
      <c r="G1465" s="24">
        <f t="shared" si="9"/>
        <v>4</v>
      </c>
      <c r="H1465" s="19">
        <f>VLOOKUP(A1465,Metrik!$C$2:$Y$959,8,0)</f>
        <v>95.8</v>
      </c>
      <c r="I1465" s="20">
        <f>VLOOKUP(A1465,Metrik!$C$2:$Y$959,9,0)</f>
        <v>9</v>
      </c>
      <c r="J1465" s="20">
        <f>VLOOKUP(A1465,Metrik!$C$2:$Y$959,10,0)</f>
        <v>9.4</v>
      </c>
      <c r="K1465" s="20">
        <f>VLOOKUP(A1465,Metrik!$C$2:$Y$959,11,0)</f>
        <v>1.8</v>
      </c>
      <c r="L1465" s="20">
        <f>VLOOKUP(A1465,Metrik!$C$2:$Y$959,12,0)</f>
        <v>4.2</v>
      </c>
      <c r="M1465" s="20">
        <f>VLOOKUP(A1465,Metrik!$C$2:$Y$959,19,0)</f>
        <v>10.2</v>
      </c>
      <c r="N1465" s="21"/>
      <c r="O1465" s="21"/>
      <c r="P1465" s="21"/>
      <c r="Q1465" s="21"/>
      <c r="R1465" s="21"/>
      <c r="S1465" s="21"/>
      <c r="T1465" s="21"/>
      <c r="U1465" s="22">
        <f>IFERROR(__xludf.DUMMYFUNCTION("IFERROR(GOOGLEFINANCE(A1465,""closeyest""),"""")"),4010.0)</f>
        <v>4010</v>
      </c>
      <c r="V1465" s="23">
        <f>IFERROR(__xludf.DUMMYFUNCTION("IFERROR(GOOGLEFINANCE(A1465,""changepct""),"""")"),4.24)</f>
        <v>4.24</v>
      </c>
      <c r="W1465" s="22">
        <f>IFERROR(__xludf.DUMMYFUNCTION("IFERROR(GOOGLEFINANCE(A1465,""priceopen""),"""")"),4150.0)</f>
        <v>4150</v>
      </c>
      <c r="X1465" s="22">
        <f>IFERROR(__xludf.DUMMYFUNCTION("IFERROR(GOOGLEFINANCE(A1465,""high""),"""")"),4340.0)</f>
        <v>4340</v>
      </c>
      <c r="Y1465" s="22">
        <f>IFERROR(__xludf.DUMMYFUNCTION("IFERROR(GOOGLEFINANCE(A1465,""low""),"""")"),4150.0)</f>
        <v>4150</v>
      </c>
      <c r="Z1465" s="22">
        <f>IFERROR(__xludf.DUMMYFUNCTION("IFERROR(GOOGLEFINANCE(A1465,""volume""),"""")"),6.47057E7)</f>
        <v>64705700</v>
      </c>
      <c r="AA1465" s="24" t="str">
        <f>VLOOKUP(A1465,Metrik!$C$2:$Y$959,5,0)</f>
        <v>Oil, Gas &amp; Coal Supports</v>
      </c>
      <c r="AB1465" s="24" t="str">
        <f>VLOOKUP(A1465,Metrik!$C$2:$Y$959,3,0)</f>
        <v>Energy</v>
      </c>
    </row>
    <row r="1466">
      <c r="A1466" s="14" t="s">
        <v>791</v>
      </c>
      <c r="B1466" s="14" t="str">
        <f t="array" ref="B1466">VLOOKUP(A1466,{Metrik!$C$2:$C$998,Metrik!$B$2:$B$998},2,0)</f>
        <v>Petrosea Tbk</v>
      </c>
      <c r="C1466" s="15">
        <f>IFERROR(__xludf.DUMMYFUNCTION("GOOGLEFINANCE(""IDX:""&amp;A1466,""price"")"),4180.0)</f>
        <v>4180</v>
      </c>
      <c r="D1466" s="16" t="str">
        <f>IFERROR(__xludf.DUMMYFUNCTION("IF(A1466="""","""",
SPARKLINE(
INDEX(
GOOGLEFINANCE(""IDX:""&amp;A1466,""close"",TODAY()-365,TODAY()),
,2
),
{""linewidth"",1}
))
"),"#N/A")</f>
        <v>#N/A</v>
      </c>
      <c r="E1466" s="14" t="s">
        <v>32</v>
      </c>
      <c r="F1466" s="14" t="s">
        <v>29</v>
      </c>
      <c r="G1466" s="24">
        <f t="shared" si="9"/>
        <v>4</v>
      </c>
      <c r="H1466" s="19">
        <f>VLOOKUP(A1466,Metrik!$C$2:$Y$959,8,0)</f>
        <v>95.8</v>
      </c>
      <c r="I1466" s="20">
        <f>VLOOKUP(A1466,Metrik!$C$2:$Y$959,9,0)</f>
        <v>9</v>
      </c>
      <c r="J1466" s="20">
        <f>VLOOKUP(A1466,Metrik!$C$2:$Y$959,10,0)</f>
        <v>9.4</v>
      </c>
      <c r="K1466" s="20">
        <f>VLOOKUP(A1466,Metrik!$C$2:$Y$959,11,0)</f>
        <v>1.8</v>
      </c>
      <c r="L1466" s="20">
        <f>VLOOKUP(A1466,Metrik!$C$2:$Y$959,12,0)</f>
        <v>4.2</v>
      </c>
      <c r="M1466" s="20">
        <f>VLOOKUP(A1466,Metrik!$C$2:$Y$959,19,0)</f>
        <v>10.2</v>
      </c>
      <c r="N1466" s="21"/>
      <c r="O1466" s="21"/>
      <c r="P1466" s="21"/>
      <c r="Q1466" s="21"/>
      <c r="R1466" s="21"/>
      <c r="S1466" s="21"/>
      <c r="T1466" s="21"/>
      <c r="U1466" s="22">
        <f>IFERROR(__xludf.DUMMYFUNCTION("IFERROR(GOOGLEFINANCE(A1466,""closeyest""),"""")"),4010.0)</f>
        <v>4010</v>
      </c>
      <c r="V1466" s="23">
        <f>IFERROR(__xludf.DUMMYFUNCTION("IFERROR(GOOGLEFINANCE(A1466,""changepct""),"""")"),4.24)</f>
        <v>4.24</v>
      </c>
      <c r="W1466" s="22">
        <f>IFERROR(__xludf.DUMMYFUNCTION("IFERROR(GOOGLEFINANCE(A1466,""priceopen""),"""")"),4150.0)</f>
        <v>4150</v>
      </c>
      <c r="X1466" s="22">
        <f>IFERROR(__xludf.DUMMYFUNCTION("IFERROR(GOOGLEFINANCE(A1466,""high""),"""")"),4340.0)</f>
        <v>4340</v>
      </c>
      <c r="Y1466" s="22">
        <f>IFERROR(__xludf.DUMMYFUNCTION("IFERROR(GOOGLEFINANCE(A1466,""low""),"""")"),4150.0)</f>
        <v>4150</v>
      </c>
      <c r="Z1466" s="22">
        <f>IFERROR(__xludf.DUMMYFUNCTION("IFERROR(GOOGLEFINANCE(A1466,""volume""),"""")"),6.47057E7)</f>
        <v>64705700</v>
      </c>
      <c r="AA1466" s="24" t="str">
        <f>VLOOKUP(A1466,Metrik!$C$2:$Y$959,5,0)</f>
        <v>Oil, Gas &amp; Coal Supports</v>
      </c>
      <c r="AB1466" s="24" t="str">
        <f>VLOOKUP(A1466,Metrik!$C$2:$Y$959,3,0)</f>
        <v>Energy</v>
      </c>
    </row>
    <row r="1467">
      <c r="A1467" s="17" t="s">
        <v>791</v>
      </c>
      <c r="B1467" s="14" t="str">
        <f t="array" ref="B1467">VLOOKUP(A1467,{Metrik!$C$2:$C$998,Metrik!$B$2:$B$998},2,0)</f>
        <v>Petrosea Tbk</v>
      </c>
      <c r="C1467" s="15">
        <f>IFERROR(__xludf.DUMMYFUNCTION("GOOGLEFINANCE(""IDX:""&amp;A1467,""price"")"),4180.0)</f>
        <v>4180</v>
      </c>
      <c r="D1467" s="16" t="str">
        <f>IFERROR(__xludf.DUMMYFUNCTION("IF(A1467="""","""",
SPARKLINE(
INDEX(
GOOGLEFINANCE(""IDX:""&amp;A1467,""close"",TODAY()-365,TODAY()),
,2
),
{""linewidth"",1}
))
"),"#N/A")</f>
        <v>#N/A</v>
      </c>
      <c r="E1467" s="14" t="s">
        <v>35</v>
      </c>
      <c r="F1467" s="17" t="s">
        <v>36</v>
      </c>
      <c r="G1467" s="38">
        <f t="shared" si="9"/>
        <v>4</v>
      </c>
      <c r="H1467" s="34">
        <f>VLOOKUP(A1467,Metrik!$C$2:$Y$959,8,0)</f>
        <v>95.8</v>
      </c>
      <c r="I1467" s="34">
        <f>VLOOKUP(A1467,Metrik!$C$2:$Y$959,9,0)</f>
        <v>9</v>
      </c>
      <c r="J1467" s="34">
        <f>VLOOKUP(A1467,Metrik!$C$2:$Y$959,10,0)</f>
        <v>9.4</v>
      </c>
      <c r="K1467" s="34">
        <f>VLOOKUP(A1467,Metrik!$C$2:$Y$959,11,0)</f>
        <v>1.8</v>
      </c>
      <c r="L1467" s="34">
        <f>VLOOKUP(A1467,Metrik!$C$2:$Y$959,12,0)</f>
        <v>4.2</v>
      </c>
      <c r="M1467" s="34">
        <f>VLOOKUP(A1467,Metrik!$C$2:$Y$959,19,0)</f>
        <v>10.2</v>
      </c>
      <c r="N1467" s="26"/>
      <c r="O1467" s="26"/>
      <c r="P1467" s="26"/>
      <c r="Q1467" s="26"/>
      <c r="R1467" s="26"/>
      <c r="S1467" s="26"/>
      <c r="T1467" s="26"/>
      <c r="U1467" s="35">
        <f>IFERROR(__xludf.DUMMYFUNCTION("IFERROR(GOOGLEFINANCE(A1467,""closeyest""),"""")"),4010.0)</f>
        <v>4010</v>
      </c>
      <c r="V1467" s="36">
        <f>IFERROR(__xludf.DUMMYFUNCTION("IFERROR(GOOGLEFINANCE(A1467,""changepct""),"""")"),4.24)</f>
        <v>4.24</v>
      </c>
      <c r="W1467" s="49">
        <f>IFERROR(__xludf.DUMMYFUNCTION("IFERROR(GOOGLEFINANCE(A1467,""priceopen""),"""")"),4150.0)</f>
        <v>4150</v>
      </c>
      <c r="X1467" s="35">
        <f>IFERROR(__xludf.DUMMYFUNCTION("IFERROR(GOOGLEFINANCE(A1467,""high""),"""")"),4340.0)</f>
        <v>4340</v>
      </c>
      <c r="Y1467" s="35">
        <f>IFERROR(__xludf.DUMMYFUNCTION("IFERROR(GOOGLEFINANCE(A1467,""low""),"""")"),4150.0)</f>
        <v>4150</v>
      </c>
      <c r="Z1467" s="35">
        <f>IFERROR(__xludf.DUMMYFUNCTION("IFERROR(GOOGLEFINANCE(A1467,""volume""),"""")"),6.47057E7)</f>
        <v>64705700</v>
      </c>
      <c r="AA1467" s="14" t="str">
        <f>VLOOKUP(A1467,Metrik!$C$2:$Y$959,5,0)</f>
        <v>Oil, Gas &amp; Coal Supports</v>
      </c>
      <c r="AB1467" s="14" t="str">
        <f>VLOOKUP(A1467,Metrik!$C$2:$Y$959,3,0)</f>
        <v>Energy</v>
      </c>
    </row>
    <row r="1468">
      <c r="A1468" s="14" t="s">
        <v>792</v>
      </c>
      <c r="B1468" s="14" t="str">
        <f t="array" ref="B1468">VLOOKUP(A1468,{Metrik!$C$2:$C$998,Metrik!$B$2:$B$998},2,0)</f>
        <v>Sat Nusapersada Tbk</v>
      </c>
      <c r="C1468" s="15">
        <f>IFERROR(__xludf.DUMMYFUNCTION("GOOGLEFINANCE(""IDX:""&amp;A1468,""price"")"),228.0)</f>
        <v>228</v>
      </c>
      <c r="D1468" s="16" t="str">
        <f>IFERROR(__xludf.DUMMYFUNCTION("IF(A1468="""","""",
SPARKLINE(
INDEX(
GOOGLEFINANCE(""IDX:""&amp;A1468,""close"",TODAY()-365,TODAY()),
,2
),
{""linewidth"",1}
))
"),"#N/A")</f>
        <v>#N/A</v>
      </c>
      <c r="E1468" s="26"/>
      <c r="F1468" s="26"/>
      <c r="G1468" s="24">
        <f t="shared" si="9"/>
        <v>0</v>
      </c>
      <c r="H1468" s="19">
        <f>VLOOKUP(A1468,Metrik!$C$2:$Y$959,8,0)</f>
        <v>5.5</v>
      </c>
      <c r="I1468" s="20">
        <f>VLOOKUP(A1468,Metrik!$C$2:$Y$959,9,0)</f>
        <v>0.65</v>
      </c>
      <c r="J1468" s="20">
        <f>VLOOKUP(A1468,Metrik!$C$2:$Y$959,10,0)</f>
        <v>11.9</v>
      </c>
      <c r="K1468" s="20">
        <f>VLOOKUP(A1468,Metrik!$C$2:$Y$959,11,0)</f>
        <v>6.3</v>
      </c>
      <c r="L1468" s="20">
        <f>VLOOKUP(A1468,Metrik!$C$2:$Y$959,12,0)</f>
        <v>0.9</v>
      </c>
      <c r="M1468" s="20">
        <f>VLOOKUP(A1468,Metrik!$C$2:$Y$959,19,0)</f>
        <v>21.3</v>
      </c>
      <c r="N1468" s="21"/>
      <c r="O1468" s="21"/>
      <c r="P1468" s="21"/>
      <c r="Q1468" s="21"/>
      <c r="R1468" s="21"/>
      <c r="S1468" s="21"/>
      <c r="T1468" s="21"/>
      <c r="U1468" s="22">
        <f>IFERROR(__xludf.DUMMYFUNCTION("IFERROR(GOOGLEFINANCE(A1468,""closeyest""),"""")"),226.0)</f>
        <v>226</v>
      </c>
      <c r="V1468" s="23">
        <f>IFERROR(__xludf.DUMMYFUNCTION("IFERROR(GOOGLEFINANCE(A1468,""changepct""),"""")"),0.88)</f>
        <v>0.88</v>
      </c>
      <c r="W1468" s="22">
        <f>IFERROR(__xludf.DUMMYFUNCTION("IFERROR(GOOGLEFINANCE(A1468,""priceopen""),"""")"),234.0)</f>
        <v>234</v>
      </c>
      <c r="X1468" s="22">
        <f>IFERROR(__xludf.DUMMYFUNCTION("IFERROR(GOOGLEFINANCE(A1468,""high""),"""")"),238.0)</f>
        <v>238</v>
      </c>
      <c r="Y1468" s="22">
        <f>IFERROR(__xludf.DUMMYFUNCTION("IFERROR(GOOGLEFINANCE(A1468,""low""),"""")"),222.0)</f>
        <v>222</v>
      </c>
      <c r="Z1468" s="22">
        <f>IFERROR(__xludf.DUMMYFUNCTION("IFERROR(GOOGLEFINANCE(A1468,""volume""),"""")"),1168300.0)</f>
        <v>1168300</v>
      </c>
      <c r="AA1468" s="24" t="str">
        <f>VLOOKUP(A1468,Metrik!$C$2:$Y$959,5,0)</f>
        <v>Networking Equipment</v>
      </c>
      <c r="AB1468" s="24" t="str">
        <f>VLOOKUP(A1468,Metrik!$C$2:$Y$959,3,0)</f>
        <v>Technology</v>
      </c>
    </row>
    <row r="1469">
      <c r="A1469" s="14" t="s">
        <v>793</v>
      </c>
      <c r="B1469" s="14" t="str">
        <f t="array" ref="B1469">VLOOKUP(A1469,{Metrik!$C$2:$C$998,Metrik!$B$2:$B$998},2,0)</f>
        <v>Pioneerindo Gourmet International Tbk.</v>
      </c>
      <c r="C1469" s="15">
        <f>IFERROR(__xludf.DUMMYFUNCTION("GOOGLEFINANCE(""IDX:""&amp;A1469,""price"")"),900.0)</f>
        <v>900</v>
      </c>
      <c r="D1469" s="16" t="str">
        <f>IFERROR(__xludf.DUMMYFUNCTION("IF(A1469="""","""",
SPARKLINE(
INDEX(
GOOGLEFINANCE(""IDX:""&amp;A1469,""close"",TODAY()-365,TODAY()),
,2
),
{""linewidth"",1}
))
"),"#N/A")</f>
        <v>#N/A</v>
      </c>
      <c r="E1469" s="26"/>
      <c r="F1469" s="26"/>
      <c r="G1469" s="24">
        <f t="shared" si="9"/>
        <v>0</v>
      </c>
      <c r="H1469" s="19">
        <f>VLOOKUP(A1469,Metrik!$C$2:$Y$959,8,0)</f>
        <v>5.4</v>
      </c>
      <c r="I1469" s="20">
        <f>VLOOKUP(A1469,Metrik!$C$2:$Y$959,9,0)</f>
        <v>0.97</v>
      </c>
      <c r="J1469" s="20">
        <f>VLOOKUP(A1469,Metrik!$C$2:$Y$959,10,0)</f>
        <v>17.8</v>
      </c>
      <c r="K1469" s="20">
        <f>VLOOKUP(A1469,Metrik!$C$2:$Y$959,11,0)</f>
        <v>9.2</v>
      </c>
      <c r="L1469" s="20">
        <f>VLOOKUP(A1469,Metrik!$C$2:$Y$959,12,0)</f>
        <v>0.93</v>
      </c>
      <c r="M1469" s="20">
        <f>VLOOKUP(A1469,Metrik!$C$2:$Y$959,19,0)</f>
        <v>17.7</v>
      </c>
      <c r="N1469" s="21"/>
      <c r="O1469" s="21"/>
      <c r="P1469" s="21"/>
      <c r="Q1469" s="21"/>
      <c r="R1469" s="21"/>
      <c r="S1469" s="21"/>
      <c r="T1469" s="21"/>
      <c r="U1469" s="22">
        <f>IFERROR(__xludf.DUMMYFUNCTION("IFERROR(GOOGLEFINANCE(A1469,""closeyest""),"""")"),900.0)</f>
        <v>900</v>
      </c>
      <c r="V1469" s="23">
        <f>IFERROR(__xludf.DUMMYFUNCTION("IFERROR(GOOGLEFINANCE(A1469,""changepct""),"""")"),0.0)</f>
        <v>0</v>
      </c>
      <c r="W1469" s="22">
        <f>IFERROR(__xludf.DUMMYFUNCTION("IFERROR(GOOGLEFINANCE(A1469,""priceopen""),"""")"),900.0)</f>
        <v>900</v>
      </c>
      <c r="X1469" s="22">
        <f>IFERROR(__xludf.DUMMYFUNCTION("IFERROR(GOOGLEFINANCE(A1469,""high""),"""")"),920.0)</f>
        <v>920</v>
      </c>
      <c r="Y1469" s="22">
        <f>IFERROR(__xludf.DUMMYFUNCTION("IFERROR(GOOGLEFINANCE(A1469,""low""),"""")"),900.0)</f>
        <v>900</v>
      </c>
      <c r="Z1469" s="22" t="str">
        <f>IFERROR(__xludf.DUMMYFUNCTION("IFERROR(GOOGLEFINANCE(A1469,""volume""),"""")"),"")</f>
        <v/>
      </c>
      <c r="AA1469" s="24" t="str">
        <f>VLOOKUP(A1469,Metrik!$C$2:$Y$959,5,0)</f>
        <v>Tourism &amp; Recreation</v>
      </c>
      <c r="AB1469" s="24" t="str">
        <f>VLOOKUP(A1469,Metrik!$C$2:$Y$959,3,0)</f>
        <v>Consumer Cyclicals</v>
      </c>
    </row>
    <row r="1470">
      <c r="A1470" s="14" t="s">
        <v>794</v>
      </c>
      <c r="B1470" s="14" t="str">
        <f t="array" ref="B1470">VLOOKUP(A1470,{Metrik!$C$2:$C$998,Metrik!$B$2:$B$998},2,0)</f>
        <v>Pudjiadi Prestige Tbk.</v>
      </c>
      <c r="C1470" s="15">
        <f>IFERROR(__xludf.DUMMYFUNCTION("GOOGLEFINANCE(""IDX:""&amp;A1470,""price"")"),310.0)</f>
        <v>310</v>
      </c>
      <c r="D1470" s="16" t="str">
        <f>IFERROR(__xludf.DUMMYFUNCTION("IF(A1470="""","""",
SPARKLINE(
INDEX(
GOOGLEFINANCE(""IDX:""&amp;A1470,""close"",TODAY()-365,TODAY()),
,2
),
{""linewidth"",1}
))
"),"#N/A")</f>
        <v>#N/A</v>
      </c>
      <c r="E1470" s="26"/>
      <c r="F1470" s="26"/>
      <c r="G1470" s="24">
        <f t="shared" si="9"/>
        <v>0</v>
      </c>
      <c r="H1470" s="19">
        <f>VLOOKUP(A1470,Metrik!$C$2:$Y$959,8,0)</f>
        <v>390</v>
      </c>
      <c r="I1470" s="20">
        <f>VLOOKUP(A1470,Metrik!$C$2:$Y$959,9,0)</f>
        <v>0.46</v>
      </c>
      <c r="J1470" s="20">
        <f>VLOOKUP(A1470,Metrik!$C$2:$Y$959,10,0)</f>
        <v>0.12</v>
      </c>
      <c r="K1470" s="20">
        <f>VLOOKUP(A1470,Metrik!$C$2:$Y$959,11,0)</f>
        <v>0.11</v>
      </c>
      <c r="L1470" s="20">
        <f>VLOOKUP(A1470,Metrik!$C$2:$Y$959,12,0)</f>
        <v>0.07</v>
      </c>
      <c r="M1470" s="20">
        <f>VLOOKUP(A1470,Metrik!$C$2:$Y$959,19,0)</f>
        <v>6.2</v>
      </c>
      <c r="N1470" s="21"/>
      <c r="O1470" s="21"/>
      <c r="P1470" s="21"/>
      <c r="Q1470" s="21"/>
      <c r="R1470" s="21"/>
      <c r="S1470" s="21"/>
      <c r="T1470" s="21"/>
      <c r="U1470" s="22">
        <f>IFERROR(__xludf.DUMMYFUNCTION("IFERROR(GOOGLEFINANCE(A1470,""closeyest""),"""")"),284.0)</f>
        <v>284</v>
      </c>
      <c r="V1470" s="23">
        <f>IFERROR(__xludf.DUMMYFUNCTION("IFERROR(GOOGLEFINANCE(A1470,""changepct""),"""")"),9.15)</f>
        <v>9.15</v>
      </c>
      <c r="W1470" s="22">
        <f>IFERROR(__xludf.DUMMYFUNCTION("IFERROR(GOOGLEFINANCE(A1470,""priceopen""),"""")"),284.0)</f>
        <v>284</v>
      </c>
      <c r="X1470" s="22">
        <f>IFERROR(__xludf.DUMMYFUNCTION("IFERROR(GOOGLEFINANCE(A1470,""high""),"""")"),316.0)</f>
        <v>316</v>
      </c>
      <c r="Y1470" s="22">
        <f>IFERROR(__xludf.DUMMYFUNCTION("IFERROR(GOOGLEFINANCE(A1470,""low""),"""")"),284.0)</f>
        <v>284</v>
      </c>
      <c r="Z1470" s="22">
        <f>IFERROR(__xludf.DUMMYFUNCTION("IFERROR(GOOGLEFINANCE(A1470,""volume""),"""")"),361500.0)</f>
        <v>361500</v>
      </c>
      <c r="AA1470" s="24" t="str">
        <f>VLOOKUP(A1470,Metrik!$C$2:$Y$959,5,0)</f>
        <v>Real Estate Management &amp; Development</v>
      </c>
      <c r="AB1470" s="24" t="str">
        <f>VLOOKUP(A1470,Metrik!$C$2:$Y$959,3,0)</f>
        <v>Properties &amp; Real Estate</v>
      </c>
    </row>
    <row r="1471">
      <c r="A1471" s="14" t="s">
        <v>795</v>
      </c>
      <c r="B1471" s="14" t="str">
        <f t="array" ref="B1471">VLOOKUP(A1471,{Metrik!$C$2:$C$998,Metrik!$B$2:$B$998},2,0)</f>
        <v>Putra Rajawali Kencana Tbk.</v>
      </c>
      <c r="C1471" s="15">
        <f>IFERROR(__xludf.DUMMYFUNCTION("GOOGLEFINANCE(""IDX:""&amp;A1471,""price"")"),33.0)</f>
        <v>33</v>
      </c>
      <c r="D1471" s="16" t="str">
        <f>IFERROR(__xludf.DUMMYFUNCTION("IF(A1471="""","""",
SPARKLINE(
INDEX(
GOOGLEFINANCE(""IDX:""&amp;A1471,""close"",TODAY()-365,TODAY()),
,2
),
{""linewidth"",1}
))
"),"#N/A")</f>
        <v>#N/A</v>
      </c>
      <c r="E1471" s="26"/>
      <c r="F1471" s="26"/>
      <c r="G1471" s="24">
        <f t="shared" si="9"/>
        <v>0</v>
      </c>
      <c r="H1471" s="19">
        <f>VLOOKUP(A1471,Metrik!$C$2:$Y$959,8,0)</f>
        <v>32.5</v>
      </c>
      <c r="I1471" s="20">
        <f>VLOOKUP(A1471,Metrik!$C$2:$Y$959,9,0)</f>
        <v>0.47</v>
      </c>
      <c r="J1471" s="20">
        <f>VLOOKUP(A1471,Metrik!$C$2:$Y$959,10,0)</f>
        <v>1.4</v>
      </c>
      <c r="K1471" s="20">
        <f>VLOOKUP(A1471,Metrik!$C$2:$Y$959,11,0)</f>
        <v>1.1</v>
      </c>
      <c r="L1471" s="20">
        <f>VLOOKUP(A1471,Metrik!$C$2:$Y$959,12,0)</f>
        <v>0.25</v>
      </c>
      <c r="M1471" s="20">
        <f>VLOOKUP(A1471,Metrik!$C$2:$Y$959,19,0)</f>
        <v>6</v>
      </c>
      <c r="N1471" s="21"/>
      <c r="O1471" s="21"/>
      <c r="P1471" s="21"/>
      <c r="Q1471" s="21"/>
      <c r="R1471" s="21"/>
      <c r="S1471" s="21"/>
      <c r="T1471" s="21"/>
      <c r="U1471" s="22">
        <f>IFERROR(__xludf.DUMMYFUNCTION("IFERROR(GOOGLEFINANCE(A1471,""closeyest""),"""")"),0.0)</f>
        <v>0</v>
      </c>
      <c r="V1471" s="23">
        <f>IFERROR(__xludf.DUMMYFUNCTION("IFERROR(GOOGLEFINANCE(A1471,""changepct""),"""")"),0.0)</f>
        <v>0</v>
      </c>
      <c r="W1471" s="22">
        <f>IFERROR(__xludf.DUMMYFUNCTION("IFERROR(GOOGLEFINANCE(A1471,""priceopen""),"""")"),0.0)</f>
        <v>0</v>
      </c>
      <c r="X1471" s="22">
        <f>IFERROR(__xludf.DUMMYFUNCTION("IFERROR(GOOGLEFINANCE(A1471,""high""),"""")"),0.0)</f>
        <v>0</v>
      </c>
      <c r="Y1471" s="22">
        <f>IFERROR(__xludf.DUMMYFUNCTION("IFERROR(GOOGLEFINANCE(A1471,""low""),"""")"),0.0)</f>
        <v>0</v>
      </c>
      <c r="Z1471" s="22">
        <f>IFERROR(__xludf.DUMMYFUNCTION("IFERROR(GOOGLEFINANCE(A1471,""volume""),"""")"),76000.0)</f>
        <v>76000</v>
      </c>
      <c r="AA1471" s="24" t="str">
        <f>VLOOKUP(A1471,Metrik!$C$2:$Y$959,5,0)</f>
        <v>Logistics &amp; Deliveries</v>
      </c>
      <c r="AB1471" s="24" t="str">
        <f>VLOOKUP(A1471,Metrik!$C$2:$Y$959,3,0)</f>
        <v>Transportation &amp; Logistic</v>
      </c>
    </row>
    <row r="1472">
      <c r="A1472" s="14" t="s">
        <v>796</v>
      </c>
      <c r="B1472" s="14" t="str">
        <f t="array" ref="B1472">VLOOKUP(A1472,{Metrik!$C$2:$C$998,Metrik!$B$2:$B$998},2,0)</f>
        <v>Trinitan Metals and Minerals Tbk.</v>
      </c>
      <c r="C1472" s="15">
        <f>IFERROR(__xludf.DUMMYFUNCTION("GOOGLEFINANCE(""IDX:""&amp;A1472,""price"")"),51.0)</f>
        <v>51</v>
      </c>
      <c r="D1472" s="16" t="str">
        <f>IFERROR(__xludf.DUMMYFUNCTION("IF(A1472="""","""",
SPARKLINE(
INDEX(
GOOGLEFINANCE(""IDX:""&amp;A1472,""close"",TODAY()-365,TODAY()),
,2
),
{""linewidth"",1}
))
"),"#N/A")</f>
        <v>#N/A</v>
      </c>
      <c r="E1472" s="26"/>
      <c r="F1472" s="26"/>
      <c r="G1472" s="24">
        <f t="shared" si="9"/>
        <v>0</v>
      </c>
      <c r="H1472" s="19">
        <f>VLOOKUP(A1472,Metrik!$C$2:$Y$959,8,0)</f>
        <v>0</v>
      </c>
      <c r="I1472" s="20">
        <f>VLOOKUP(A1472,Metrik!$C$2:$Y$959,9,0)</f>
        <v>-0.53</v>
      </c>
      <c r="J1472" s="20">
        <f>VLOOKUP(A1472,Metrik!$C$2:$Y$959,10,0)</f>
        <v>0</v>
      </c>
      <c r="K1472" s="20">
        <f>VLOOKUP(A1472,Metrik!$C$2:$Y$959,11,0)</f>
        <v>-9.8</v>
      </c>
      <c r="L1472" s="20">
        <f>VLOOKUP(A1472,Metrik!$C$2:$Y$959,12,0)</f>
        <v>-6.6</v>
      </c>
      <c r="M1472" s="20">
        <f>VLOOKUP(A1472,Metrik!$C$2:$Y$959,19,0)</f>
        <v>-120</v>
      </c>
      <c r="N1472" s="21"/>
      <c r="O1472" s="21"/>
      <c r="P1472" s="21"/>
      <c r="Q1472" s="21"/>
      <c r="R1472" s="21"/>
      <c r="S1472" s="21"/>
      <c r="T1472" s="21"/>
      <c r="U1472" s="22">
        <f>IFERROR(__xludf.DUMMYFUNCTION("IFERROR(GOOGLEFINANCE(A1472,""closeyest""),"""")"),0.07)</f>
        <v>0.07</v>
      </c>
      <c r="V1472" s="23">
        <f>IFERROR(__xludf.DUMMYFUNCTION("IFERROR(GOOGLEFINANCE(A1472,""changepct""),"""")"),-6.43)</f>
        <v>-6.43</v>
      </c>
      <c r="W1472" s="22">
        <f>IFERROR(__xludf.DUMMYFUNCTION("IFERROR(GOOGLEFINANCE(A1472,""priceopen""),"""")"),0.06)</f>
        <v>0.06</v>
      </c>
      <c r="X1472" s="22">
        <f>IFERROR(__xludf.DUMMYFUNCTION("IFERROR(GOOGLEFINANCE(A1472,""high""),"""")"),0.07)</f>
        <v>0.07</v>
      </c>
      <c r="Y1472" s="22">
        <f>IFERROR(__xludf.DUMMYFUNCTION("IFERROR(GOOGLEFINANCE(A1472,""low""),"""")"),0.06)</f>
        <v>0.06</v>
      </c>
      <c r="Z1472" s="22">
        <f>IFERROR(__xludf.DUMMYFUNCTION("IFERROR(GOOGLEFINANCE(A1472,""volume""),"""")"),22864.0)</f>
        <v>22864</v>
      </c>
      <c r="AA1472" s="24" t="str">
        <f>VLOOKUP(A1472,Metrik!$C$2:$Y$959,5,0)</f>
        <v>Metals &amp; Minerals</v>
      </c>
      <c r="AB1472" s="24" t="str">
        <f>VLOOKUP(A1472,Metrik!$C$2:$Y$959,3,0)</f>
        <v>Basic Materials</v>
      </c>
    </row>
    <row r="1473">
      <c r="A1473" s="14" t="s">
        <v>797</v>
      </c>
      <c r="B1473" s="14" t="str">
        <f t="array" ref="B1473">VLOOKUP(A1473,{Metrik!$C$2:$C$998,Metrik!$B$2:$B$998},2,0)</f>
        <v>Puri Global Sukses Tbk.</v>
      </c>
      <c r="C1473" s="15">
        <f>IFERROR(__xludf.DUMMYFUNCTION("GOOGLEFINANCE(""IDX:""&amp;A1473,""price"")"),126.0)</f>
        <v>126</v>
      </c>
      <c r="D1473" s="16" t="str">
        <f>IFERROR(__xludf.DUMMYFUNCTION("IF(A1473="""","""",
SPARKLINE(
INDEX(
GOOGLEFINANCE(""IDX:""&amp;A1473,""close"",TODAY()-365,TODAY()),
,2
),
{""linewidth"",1}
))
"),"#N/A")</f>
        <v>#N/A</v>
      </c>
      <c r="E1473" s="26"/>
      <c r="F1473" s="26"/>
      <c r="G1473" s="24">
        <f t="shared" si="9"/>
        <v>0</v>
      </c>
      <c r="H1473" s="19">
        <f>VLOOKUP(A1473,Metrik!$C$2:$Y$959,8,0)</f>
        <v>-180</v>
      </c>
      <c r="I1473" s="20">
        <f>VLOOKUP(A1473,Metrik!$C$2:$Y$959,9,0)</f>
        <v>1.2</v>
      </c>
      <c r="J1473" s="20">
        <f>VLOOKUP(A1473,Metrik!$C$2:$Y$959,10,0)</f>
        <v>-0.66</v>
      </c>
      <c r="K1473" s="20">
        <f>VLOOKUP(A1473,Metrik!$C$2:$Y$959,11,0)</f>
        <v>-0.11</v>
      </c>
      <c r="L1473" s="20">
        <f>VLOOKUP(A1473,Metrik!$C$2:$Y$959,12,0)</f>
        <v>4.9</v>
      </c>
      <c r="M1473" s="20">
        <f>VLOOKUP(A1473,Metrik!$C$2:$Y$959,19,0)</f>
        <v>-4.9</v>
      </c>
      <c r="N1473" s="21"/>
      <c r="O1473" s="21"/>
      <c r="P1473" s="21"/>
      <c r="Q1473" s="21"/>
      <c r="R1473" s="21"/>
      <c r="S1473" s="21"/>
      <c r="T1473" s="21"/>
      <c r="U1473" s="22">
        <f>IFERROR(__xludf.DUMMYFUNCTION("IFERROR(GOOGLEFINANCE(A1473,""closeyest""),"""")"),127.0)</f>
        <v>127</v>
      </c>
      <c r="V1473" s="23">
        <f>IFERROR(__xludf.DUMMYFUNCTION("IFERROR(GOOGLEFINANCE(A1473,""changepct""),"""")"),-0.79)</f>
        <v>-0.79</v>
      </c>
      <c r="W1473" s="22">
        <f>IFERROR(__xludf.DUMMYFUNCTION("IFERROR(GOOGLEFINANCE(A1473,""priceopen""),"""")"),127.0)</f>
        <v>127</v>
      </c>
      <c r="X1473" s="22">
        <f>IFERROR(__xludf.DUMMYFUNCTION("IFERROR(GOOGLEFINANCE(A1473,""high""),"""")"),171.0)</f>
        <v>171</v>
      </c>
      <c r="Y1473" s="22">
        <f>IFERROR(__xludf.DUMMYFUNCTION("IFERROR(GOOGLEFINANCE(A1473,""low""),"""")"),124.0)</f>
        <v>124</v>
      </c>
      <c r="Z1473" s="22">
        <f>IFERROR(__xludf.DUMMYFUNCTION("IFERROR(GOOGLEFINANCE(A1473,""volume""),"""")"),9541500.0)</f>
        <v>9541500</v>
      </c>
      <c r="AA1473" s="24" t="str">
        <f>VLOOKUP(A1473,Metrik!$C$2:$Y$959,5,0)</f>
        <v>Real Estate Management &amp; Development</v>
      </c>
      <c r="AB1473" s="24" t="str">
        <f>VLOOKUP(A1473,Metrik!$C$2:$Y$959,3,0)</f>
        <v>Properties &amp; Real Estate</v>
      </c>
    </row>
    <row r="1474">
      <c r="A1474" s="14" t="s">
        <v>798</v>
      </c>
      <c r="B1474" s="14" t="str">
        <f t="array" ref="B1474">VLOOKUP(A1474,{Metrik!$C$2:$C$998,Metrik!$B$2:$B$998},2,0)</f>
        <v>Pakuwon Jati Tbk.</v>
      </c>
      <c r="C1474" s="15">
        <f>IFERROR(__xludf.DUMMYFUNCTION("GOOGLEFINANCE(""IDX:""&amp;A1474,""price"")"),262.0)</f>
        <v>262</v>
      </c>
      <c r="D1474" s="16" t="str">
        <f>IFERROR(__xludf.DUMMYFUNCTION("IF(A1474="""","""",
SPARKLINE(
INDEX(
GOOGLEFINANCE(""IDX:""&amp;A1474,""close"",TODAY()-365,TODAY()),
,2
),
{""linewidth"",1}
))
"),"#N/A")</f>
        <v>#N/A</v>
      </c>
      <c r="E1474" s="14" t="s">
        <v>47</v>
      </c>
      <c r="F1474" s="25">
        <v>46356.0</v>
      </c>
      <c r="G1474" s="24">
        <f t="shared" si="9"/>
        <v>12</v>
      </c>
      <c r="H1474" s="19">
        <f>VLOOKUP(A1474,Metrik!$C$2:$Y$959,8,0)</f>
        <v>5.7</v>
      </c>
      <c r="I1474" s="20">
        <f>VLOOKUP(A1474,Metrik!$C$2:$Y$959,9,0)</f>
        <v>0.52</v>
      </c>
      <c r="J1474" s="20">
        <f>VLOOKUP(A1474,Metrik!$C$2:$Y$959,10,0)</f>
        <v>9</v>
      </c>
      <c r="K1474" s="20">
        <f>VLOOKUP(A1474,Metrik!$C$2:$Y$959,11,0)</f>
        <v>6.6</v>
      </c>
      <c r="L1474" s="20">
        <f>VLOOKUP(A1474,Metrik!$C$2:$Y$959,12,0)</f>
        <v>0.37</v>
      </c>
      <c r="M1474" s="20">
        <f>VLOOKUP(A1474,Metrik!$C$2:$Y$959,19,0)</f>
        <v>150</v>
      </c>
      <c r="N1474" s="21"/>
      <c r="O1474" s="21"/>
      <c r="P1474" s="21"/>
      <c r="Q1474" s="21"/>
      <c r="R1474" s="21"/>
      <c r="S1474" s="21"/>
      <c r="T1474" s="21"/>
      <c r="U1474" s="22">
        <f>IFERROR(__xludf.DUMMYFUNCTION("IFERROR(GOOGLEFINANCE(A1474,""closeyest""),"""")"),256.0)</f>
        <v>256</v>
      </c>
      <c r="V1474" s="23">
        <f>IFERROR(__xludf.DUMMYFUNCTION("IFERROR(GOOGLEFINANCE(A1474,""changepct""),"""")"),2.34)</f>
        <v>2.34</v>
      </c>
      <c r="W1474" s="22">
        <f>IFERROR(__xludf.DUMMYFUNCTION("IFERROR(GOOGLEFINANCE(A1474,""priceopen""),"""")"),260.0)</f>
        <v>260</v>
      </c>
      <c r="X1474" s="22">
        <f>IFERROR(__xludf.DUMMYFUNCTION("IFERROR(GOOGLEFINANCE(A1474,""high""),"""")"),266.0)</f>
        <v>266</v>
      </c>
      <c r="Y1474" s="22">
        <f>IFERROR(__xludf.DUMMYFUNCTION("IFERROR(GOOGLEFINANCE(A1474,""low""),"""")"),258.0)</f>
        <v>258</v>
      </c>
      <c r="Z1474" s="22">
        <f>IFERROR(__xludf.DUMMYFUNCTION("IFERROR(GOOGLEFINANCE(A1474,""volume""),"""")"),4.69874E7)</f>
        <v>46987400</v>
      </c>
      <c r="AA1474" s="24" t="str">
        <f>VLOOKUP(A1474,Metrik!$C$2:$Y$959,5,0)</f>
        <v>Real Estate Management &amp; Development</v>
      </c>
      <c r="AB1474" s="24" t="str">
        <f>VLOOKUP(A1474,Metrik!$C$2:$Y$959,3,0)</f>
        <v>Properties &amp; Real Estate</v>
      </c>
    </row>
    <row r="1475">
      <c r="A1475" s="14" t="s">
        <v>798</v>
      </c>
      <c r="B1475" s="14" t="str">
        <f t="array" ref="B1475">VLOOKUP(A1475,{Metrik!$C$2:$C$998,Metrik!$B$2:$B$998},2,0)</f>
        <v>Pakuwon Jati Tbk.</v>
      </c>
      <c r="C1475" s="15">
        <f>IFERROR(__xludf.DUMMYFUNCTION("GOOGLEFINANCE(""IDX:""&amp;A1475,""price"")"),262.0)</f>
        <v>262</v>
      </c>
      <c r="D1475" s="16" t="str">
        <f>IFERROR(__xludf.DUMMYFUNCTION("IF(A1475="""","""",
SPARKLINE(
INDEX(
GOOGLEFINANCE(""IDX:""&amp;A1475,""close"",TODAY()-365,TODAY()),
,2
),
{""linewidth"",1}
))
"),"#N/A")</f>
        <v>#N/A</v>
      </c>
      <c r="E1475" s="14" t="s">
        <v>55</v>
      </c>
      <c r="F1475" s="25">
        <v>46356.0</v>
      </c>
      <c r="G1475" s="24">
        <f t="shared" si="9"/>
        <v>12</v>
      </c>
      <c r="H1475" s="19">
        <f>VLOOKUP(A1475,Metrik!$C$2:$Y$959,8,0)</f>
        <v>5.7</v>
      </c>
      <c r="I1475" s="20">
        <f>VLOOKUP(A1475,Metrik!$C$2:$Y$959,9,0)</f>
        <v>0.52</v>
      </c>
      <c r="J1475" s="20">
        <f>VLOOKUP(A1475,Metrik!$C$2:$Y$959,10,0)</f>
        <v>9</v>
      </c>
      <c r="K1475" s="20">
        <f>VLOOKUP(A1475,Metrik!$C$2:$Y$959,11,0)</f>
        <v>6.6</v>
      </c>
      <c r="L1475" s="20">
        <f>VLOOKUP(A1475,Metrik!$C$2:$Y$959,12,0)</f>
        <v>0.37</v>
      </c>
      <c r="M1475" s="20">
        <f>VLOOKUP(A1475,Metrik!$C$2:$Y$959,19,0)</f>
        <v>150</v>
      </c>
      <c r="N1475" s="21"/>
      <c r="O1475" s="21"/>
      <c r="P1475" s="21"/>
      <c r="Q1475" s="21"/>
      <c r="R1475" s="21"/>
      <c r="S1475" s="21"/>
      <c r="T1475" s="21"/>
      <c r="U1475" s="22">
        <f>IFERROR(__xludf.DUMMYFUNCTION("IFERROR(GOOGLEFINANCE(A1475,""closeyest""),"""")"),256.0)</f>
        <v>256</v>
      </c>
      <c r="V1475" s="23">
        <f>IFERROR(__xludf.DUMMYFUNCTION("IFERROR(GOOGLEFINANCE(A1475,""changepct""),"""")"),2.34)</f>
        <v>2.34</v>
      </c>
      <c r="W1475" s="22">
        <f>IFERROR(__xludf.DUMMYFUNCTION("IFERROR(GOOGLEFINANCE(A1475,""priceopen""),"""")"),260.0)</f>
        <v>260</v>
      </c>
      <c r="X1475" s="22">
        <f>IFERROR(__xludf.DUMMYFUNCTION("IFERROR(GOOGLEFINANCE(A1475,""high""),"""")"),266.0)</f>
        <v>266</v>
      </c>
      <c r="Y1475" s="22">
        <f>IFERROR(__xludf.DUMMYFUNCTION("IFERROR(GOOGLEFINANCE(A1475,""low""),"""")"),258.0)</f>
        <v>258</v>
      </c>
      <c r="Z1475" s="22">
        <f>IFERROR(__xludf.DUMMYFUNCTION("IFERROR(GOOGLEFINANCE(A1475,""volume""),"""")"),4.69874E7)</f>
        <v>46987400</v>
      </c>
      <c r="AA1475" s="24" t="str">
        <f>VLOOKUP(A1475,Metrik!$C$2:$Y$959,5,0)</f>
        <v>Real Estate Management &amp; Development</v>
      </c>
      <c r="AB1475" s="24" t="str">
        <f>VLOOKUP(A1475,Metrik!$C$2:$Y$959,3,0)</f>
        <v>Properties &amp; Real Estate</v>
      </c>
    </row>
    <row r="1476">
      <c r="A1476" s="14" t="s">
        <v>798</v>
      </c>
      <c r="B1476" s="14" t="str">
        <f t="array" ref="B1476">VLOOKUP(A1476,{Metrik!$C$2:$C$998,Metrik!$B$2:$B$998},2,0)</f>
        <v>Pakuwon Jati Tbk.</v>
      </c>
      <c r="C1476" s="15">
        <f>IFERROR(__xludf.DUMMYFUNCTION("GOOGLEFINANCE(""IDX:""&amp;A1476,""price"")"),262.0)</f>
        <v>262</v>
      </c>
      <c r="D1476" s="16" t="str">
        <f>IFERROR(__xludf.DUMMYFUNCTION("IF(A1476="""","""",
SPARKLINE(
INDEX(
GOOGLEFINANCE(""IDX:""&amp;A1476,""close"",TODAY()-365,TODAY()),
,2
),
{""linewidth"",1}
))
"),"#N/A")</f>
        <v>#N/A</v>
      </c>
      <c r="E1476" s="14" t="s">
        <v>54</v>
      </c>
      <c r="F1476" s="14" t="s">
        <v>34</v>
      </c>
      <c r="G1476" s="24">
        <f t="shared" si="9"/>
        <v>12</v>
      </c>
      <c r="H1476" s="19">
        <f>VLOOKUP(A1476,Metrik!$C$2:$Y$959,8,0)</f>
        <v>5.7</v>
      </c>
      <c r="I1476" s="20">
        <f>VLOOKUP(A1476,Metrik!$C$2:$Y$959,9,0)</f>
        <v>0.52</v>
      </c>
      <c r="J1476" s="20">
        <f>VLOOKUP(A1476,Metrik!$C$2:$Y$959,10,0)</f>
        <v>9</v>
      </c>
      <c r="K1476" s="20">
        <f>VLOOKUP(A1476,Metrik!$C$2:$Y$959,11,0)</f>
        <v>6.6</v>
      </c>
      <c r="L1476" s="20">
        <f>VLOOKUP(A1476,Metrik!$C$2:$Y$959,12,0)</f>
        <v>0.37</v>
      </c>
      <c r="M1476" s="20">
        <f>VLOOKUP(A1476,Metrik!$C$2:$Y$959,19,0)</f>
        <v>150</v>
      </c>
      <c r="N1476" s="21"/>
      <c r="O1476" s="21"/>
      <c r="P1476" s="21"/>
      <c r="Q1476" s="21"/>
      <c r="R1476" s="21"/>
      <c r="S1476" s="21"/>
      <c r="T1476" s="21"/>
      <c r="U1476" s="22">
        <f>IFERROR(__xludf.DUMMYFUNCTION("IFERROR(GOOGLEFINANCE(A1476,""closeyest""),"""")"),256.0)</f>
        <v>256</v>
      </c>
      <c r="V1476" s="23">
        <f>IFERROR(__xludf.DUMMYFUNCTION("IFERROR(GOOGLEFINANCE(A1476,""changepct""),"""")"),2.34)</f>
        <v>2.34</v>
      </c>
      <c r="W1476" s="22">
        <f>IFERROR(__xludf.DUMMYFUNCTION("IFERROR(GOOGLEFINANCE(A1476,""priceopen""),"""")"),260.0)</f>
        <v>260</v>
      </c>
      <c r="X1476" s="22">
        <f>IFERROR(__xludf.DUMMYFUNCTION("IFERROR(GOOGLEFINANCE(A1476,""high""),"""")"),266.0)</f>
        <v>266</v>
      </c>
      <c r="Y1476" s="22">
        <f>IFERROR(__xludf.DUMMYFUNCTION("IFERROR(GOOGLEFINANCE(A1476,""low""),"""")"),258.0)</f>
        <v>258</v>
      </c>
      <c r="Z1476" s="22">
        <f>IFERROR(__xludf.DUMMYFUNCTION("IFERROR(GOOGLEFINANCE(A1476,""volume""),"""")"),4.69874E7)</f>
        <v>46987400</v>
      </c>
      <c r="AA1476" s="24" t="str">
        <f>VLOOKUP(A1476,Metrik!$C$2:$Y$959,5,0)</f>
        <v>Real Estate Management &amp; Development</v>
      </c>
      <c r="AB1476" s="24" t="str">
        <f>VLOOKUP(A1476,Metrik!$C$2:$Y$959,3,0)</f>
        <v>Properties &amp; Real Estate</v>
      </c>
    </row>
    <row r="1477">
      <c r="A1477" s="14" t="s">
        <v>798</v>
      </c>
      <c r="B1477" s="14" t="str">
        <f t="array" ref="B1477">VLOOKUP(A1477,{Metrik!$C$2:$C$998,Metrik!$B$2:$B$998},2,0)</f>
        <v>Pakuwon Jati Tbk.</v>
      </c>
      <c r="C1477" s="15">
        <f>IFERROR(__xludf.DUMMYFUNCTION("GOOGLEFINANCE(""IDX:""&amp;A1477,""price"")"),262.0)</f>
        <v>262</v>
      </c>
      <c r="D1477" s="16" t="str">
        <f>IFERROR(__xludf.DUMMYFUNCTION("IF(A1477="""","""",
SPARKLINE(
INDEX(
GOOGLEFINANCE(""IDX:""&amp;A1477,""close"",TODAY()-365,TODAY()),
,2
),
{""linewidth"",1}
))
"),"#N/A")</f>
        <v>#N/A</v>
      </c>
      <c r="E1477" s="14" t="s">
        <v>32</v>
      </c>
      <c r="F1477" s="14" t="s">
        <v>29</v>
      </c>
      <c r="G1477" s="24">
        <f t="shared" si="9"/>
        <v>12</v>
      </c>
      <c r="H1477" s="19">
        <f>VLOOKUP(A1477,Metrik!$C$2:$Y$959,8,0)</f>
        <v>5.7</v>
      </c>
      <c r="I1477" s="20">
        <f>VLOOKUP(A1477,Metrik!$C$2:$Y$959,9,0)</f>
        <v>0.52</v>
      </c>
      <c r="J1477" s="20">
        <f>VLOOKUP(A1477,Metrik!$C$2:$Y$959,10,0)</f>
        <v>9</v>
      </c>
      <c r="K1477" s="20">
        <f>VLOOKUP(A1477,Metrik!$C$2:$Y$959,11,0)</f>
        <v>6.6</v>
      </c>
      <c r="L1477" s="20">
        <f>VLOOKUP(A1477,Metrik!$C$2:$Y$959,12,0)</f>
        <v>0.37</v>
      </c>
      <c r="M1477" s="20">
        <f>VLOOKUP(A1477,Metrik!$C$2:$Y$959,19,0)</f>
        <v>150</v>
      </c>
      <c r="N1477" s="21"/>
      <c r="O1477" s="21"/>
      <c r="P1477" s="21"/>
      <c r="Q1477" s="21"/>
      <c r="R1477" s="21"/>
      <c r="S1477" s="21"/>
      <c r="T1477" s="21"/>
      <c r="U1477" s="22">
        <f>IFERROR(__xludf.DUMMYFUNCTION("IFERROR(GOOGLEFINANCE(A1477,""closeyest""),"""")"),256.0)</f>
        <v>256</v>
      </c>
      <c r="V1477" s="23">
        <f>IFERROR(__xludf.DUMMYFUNCTION("IFERROR(GOOGLEFINANCE(A1477,""changepct""),"""")"),2.34)</f>
        <v>2.34</v>
      </c>
      <c r="W1477" s="22">
        <f>IFERROR(__xludf.DUMMYFUNCTION("IFERROR(GOOGLEFINANCE(A1477,""priceopen""),"""")"),260.0)</f>
        <v>260</v>
      </c>
      <c r="X1477" s="22">
        <f>IFERROR(__xludf.DUMMYFUNCTION("IFERROR(GOOGLEFINANCE(A1477,""high""),"""")"),266.0)</f>
        <v>266</v>
      </c>
      <c r="Y1477" s="22">
        <f>IFERROR(__xludf.DUMMYFUNCTION("IFERROR(GOOGLEFINANCE(A1477,""low""),"""")"),258.0)</f>
        <v>258</v>
      </c>
      <c r="Z1477" s="22">
        <f>IFERROR(__xludf.DUMMYFUNCTION("IFERROR(GOOGLEFINANCE(A1477,""volume""),"""")"),4.69874E7)</f>
        <v>46987400</v>
      </c>
      <c r="AA1477" s="24" t="str">
        <f>VLOOKUP(A1477,Metrik!$C$2:$Y$959,5,0)</f>
        <v>Real Estate Management &amp; Development</v>
      </c>
      <c r="AB1477" s="24" t="str">
        <f>VLOOKUP(A1477,Metrik!$C$2:$Y$959,3,0)</f>
        <v>Properties &amp; Real Estate</v>
      </c>
    </row>
    <row r="1478">
      <c r="A1478" s="14" t="s">
        <v>798</v>
      </c>
      <c r="B1478" s="14" t="str">
        <f t="array" ref="B1478">VLOOKUP(A1478,{Metrik!$C$2:$C$998,Metrik!$B$2:$B$998},2,0)</f>
        <v>Pakuwon Jati Tbk.</v>
      </c>
      <c r="C1478" s="15">
        <f>IFERROR(__xludf.DUMMYFUNCTION("GOOGLEFINANCE(""IDX:""&amp;A1478,""price"")"),262.0)</f>
        <v>262</v>
      </c>
      <c r="D1478" s="16" t="str">
        <f>IFERROR(__xludf.DUMMYFUNCTION("IF(A1478="""","""",
SPARKLINE(
INDEX(
GOOGLEFINANCE(""IDX:""&amp;A1478,""close"",TODAY()-365,TODAY()),
,2
),
{""linewidth"",1}
))
"),"#N/A")</f>
        <v>#N/A</v>
      </c>
      <c r="E1478" s="14" t="s">
        <v>52</v>
      </c>
      <c r="F1478" s="27" t="s">
        <v>53</v>
      </c>
      <c r="G1478" s="24">
        <f t="shared" si="9"/>
        <v>12</v>
      </c>
      <c r="H1478" s="19">
        <f>VLOOKUP(A1478,Metrik!$C$2:$Y$959,8,0)</f>
        <v>5.7</v>
      </c>
      <c r="I1478" s="20">
        <f>VLOOKUP(A1478,Metrik!$C$2:$Y$959,9,0)</f>
        <v>0.52</v>
      </c>
      <c r="J1478" s="20">
        <f>VLOOKUP(A1478,Metrik!$C$2:$Y$959,10,0)</f>
        <v>9</v>
      </c>
      <c r="K1478" s="20">
        <f>VLOOKUP(A1478,Metrik!$C$2:$Y$959,11,0)</f>
        <v>6.6</v>
      </c>
      <c r="L1478" s="20">
        <f>VLOOKUP(A1478,Metrik!$C$2:$Y$959,12,0)</f>
        <v>0.37</v>
      </c>
      <c r="M1478" s="20">
        <f>VLOOKUP(A1478,Metrik!$C$2:$Y$959,19,0)</f>
        <v>150</v>
      </c>
      <c r="N1478" s="21"/>
      <c r="O1478" s="21"/>
      <c r="P1478" s="21"/>
      <c r="Q1478" s="21"/>
      <c r="R1478" s="21"/>
      <c r="S1478" s="21"/>
      <c r="T1478" s="21"/>
      <c r="U1478" s="22">
        <f>IFERROR(__xludf.DUMMYFUNCTION("IFERROR(GOOGLEFINANCE(A1478,""closeyest""),"""")"),256.0)</f>
        <v>256</v>
      </c>
      <c r="V1478" s="23">
        <f>IFERROR(__xludf.DUMMYFUNCTION("IFERROR(GOOGLEFINANCE(A1478,""changepct""),"""")"),2.34)</f>
        <v>2.34</v>
      </c>
      <c r="W1478" s="22">
        <f>IFERROR(__xludf.DUMMYFUNCTION("IFERROR(GOOGLEFINANCE(A1478,""priceopen""),"""")"),260.0)</f>
        <v>260</v>
      </c>
      <c r="X1478" s="22">
        <f>IFERROR(__xludf.DUMMYFUNCTION("IFERROR(GOOGLEFINANCE(A1478,""high""),"""")"),266.0)</f>
        <v>266</v>
      </c>
      <c r="Y1478" s="22">
        <f>IFERROR(__xludf.DUMMYFUNCTION("IFERROR(GOOGLEFINANCE(A1478,""low""),"""")"),258.0)</f>
        <v>258</v>
      </c>
      <c r="Z1478" s="22">
        <f>IFERROR(__xludf.DUMMYFUNCTION("IFERROR(GOOGLEFINANCE(A1478,""volume""),"""")"),4.69874E7)</f>
        <v>46987400</v>
      </c>
      <c r="AA1478" s="24" t="str">
        <f>VLOOKUP(A1478,Metrik!$C$2:$Y$959,5,0)</f>
        <v>Real Estate Management &amp; Development</v>
      </c>
      <c r="AB1478" s="24" t="str">
        <f>VLOOKUP(A1478,Metrik!$C$2:$Y$959,3,0)</f>
        <v>Properties &amp; Real Estate</v>
      </c>
    </row>
    <row r="1479">
      <c r="A1479" s="14" t="s">
        <v>798</v>
      </c>
      <c r="B1479" s="14" t="str">
        <f t="array" ref="B1479">VLOOKUP(A1479,{Metrik!$C$2:$C$998,Metrik!$B$2:$B$998},2,0)</f>
        <v>Pakuwon Jati Tbk.</v>
      </c>
      <c r="C1479" s="15">
        <f>IFERROR(__xludf.DUMMYFUNCTION("GOOGLEFINANCE(""IDX:""&amp;A1479,""price"")"),262.0)</f>
        <v>262</v>
      </c>
      <c r="D1479" s="16" t="str">
        <f>IFERROR(__xludf.DUMMYFUNCTION("IF(A1479="""","""",
SPARKLINE(
INDEX(
GOOGLEFINANCE(""IDX:""&amp;A1479,""close"",TODAY()-365,TODAY()),
,2
),
{""linewidth"",1}
))
"),"#N/A")</f>
        <v>#N/A</v>
      </c>
      <c r="E1479" s="14" t="s">
        <v>28</v>
      </c>
      <c r="F1479" s="17" t="s">
        <v>29</v>
      </c>
      <c r="G1479" s="24">
        <f t="shared" si="9"/>
        <v>12</v>
      </c>
      <c r="H1479" s="19">
        <f>VLOOKUP(A1479,Metrik!$C$2:$Y$959,8,0)</f>
        <v>5.7</v>
      </c>
      <c r="I1479" s="20">
        <f>VLOOKUP(A1479,Metrik!$C$2:$Y$959,9,0)</f>
        <v>0.52</v>
      </c>
      <c r="J1479" s="20">
        <f>VLOOKUP(A1479,Metrik!$C$2:$Y$959,10,0)</f>
        <v>9</v>
      </c>
      <c r="K1479" s="20">
        <f>VLOOKUP(A1479,Metrik!$C$2:$Y$959,11,0)</f>
        <v>6.6</v>
      </c>
      <c r="L1479" s="20">
        <f>VLOOKUP(A1479,Metrik!$C$2:$Y$959,12,0)</f>
        <v>0.37</v>
      </c>
      <c r="M1479" s="20">
        <f>VLOOKUP(A1479,Metrik!$C$2:$Y$959,19,0)</f>
        <v>150</v>
      </c>
      <c r="N1479" s="21"/>
      <c r="O1479" s="21"/>
      <c r="P1479" s="21"/>
      <c r="Q1479" s="21"/>
      <c r="R1479" s="21"/>
      <c r="S1479" s="21"/>
      <c r="T1479" s="21"/>
      <c r="U1479" s="22">
        <f>IFERROR(__xludf.DUMMYFUNCTION("IFERROR(GOOGLEFINANCE(A1479,""closeyest""),"""")"),256.0)</f>
        <v>256</v>
      </c>
      <c r="V1479" s="23">
        <f>IFERROR(__xludf.DUMMYFUNCTION("IFERROR(GOOGLEFINANCE(A1479,""changepct""),"""")"),2.34)</f>
        <v>2.34</v>
      </c>
      <c r="W1479" s="22">
        <f>IFERROR(__xludf.DUMMYFUNCTION("IFERROR(GOOGLEFINANCE(A1479,""priceopen""),"""")"),260.0)</f>
        <v>260</v>
      </c>
      <c r="X1479" s="22">
        <f>IFERROR(__xludf.DUMMYFUNCTION("IFERROR(GOOGLEFINANCE(A1479,""high""),"""")"),266.0)</f>
        <v>266</v>
      </c>
      <c r="Y1479" s="22">
        <f>IFERROR(__xludf.DUMMYFUNCTION("IFERROR(GOOGLEFINANCE(A1479,""low""),"""")"),258.0)</f>
        <v>258</v>
      </c>
      <c r="Z1479" s="22">
        <f>IFERROR(__xludf.DUMMYFUNCTION("IFERROR(GOOGLEFINANCE(A1479,""volume""),"""")"),4.69874E7)</f>
        <v>46987400</v>
      </c>
      <c r="AA1479" s="24" t="str">
        <f>VLOOKUP(A1479,Metrik!$C$2:$Y$959,5,0)</f>
        <v>Real Estate Management &amp; Development</v>
      </c>
      <c r="AB1479" s="24" t="str">
        <f>VLOOKUP(A1479,Metrik!$C$2:$Y$959,3,0)</f>
        <v>Properties &amp; Real Estate</v>
      </c>
    </row>
    <row r="1480">
      <c r="A1480" s="14" t="s">
        <v>798</v>
      </c>
      <c r="B1480" s="14" t="str">
        <f t="array" ref="B1480">VLOOKUP(A1480,{Metrik!$C$2:$C$998,Metrik!$B$2:$B$998},2,0)</f>
        <v>Pakuwon Jati Tbk.</v>
      </c>
      <c r="C1480" s="15">
        <f>IFERROR(__xludf.DUMMYFUNCTION("GOOGLEFINANCE(""IDX:""&amp;A1480,""price"")"),262.0)</f>
        <v>262</v>
      </c>
      <c r="D1480" s="16" t="str">
        <f>IFERROR(__xludf.DUMMYFUNCTION("IF(A1480="""","""",
SPARKLINE(
INDEX(
GOOGLEFINANCE(""IDX:""&amp;A1480,""close"",TODAY()-365,TODAY()),
,2
),
{""linewidth"",1}
))
"),"#N/A")</f>
        <v>#N/A</v>
      </c>
      <c r="E1480" s="14" t="s">
        <v>84</v>
      </c>
      <c r="F1480" s="17" t="s">
        <v>51</v>
      </c>
      <c r="G1480" s="24">
        <f t="shared" si="9"/>
        <v>12</v>
      </c>
      <c r="H1480" s="19">
        <f>VLOOKUP(A1480,Metrik!$C$2:$Y$959,8,0)</f>
        <v>5.7</v>
      </c>
      <c r="I1480" s="20">
        <f>VLOOKUP(A1480,Metrik!$C$2:$Y$959,9,0)</f>
        <v>0.52</v>
      </c>
      <c r="J1480" s="20">
        <f>VLOOKUP(A1480,Metrik!$C$2:$Y$959,10,0)</f>
        <v>9</v>
      </c>
      <c r="K1480" s="20">
        <f>VLOOKUP(A1480,Metrik!$C$2:$Y$959,11,0)</f>
        <v>6.6</v>
      </c>
      <c r="L1480" s="20">
        <f>VLOOKUP(A1480,Metrik!$C$2:$Y$959,12,0)</f>
        <v>0.37</v>
      </c>
      <c r="M1480" s="20">
        <f>VLOOKUP(A1480,Metrik!$C$2:$Y$959,19,0)</f>
        <v>150</v>
      </c>
      <c r="N1480" s="21"/>
      <c r="O1480" s="21"/>
      <c r="P1480" s="21"/>
      <c r="Q1480" s="21"/>
      <c r="R1480" s="21"/>
      <c r="S1480" s="21"/>
      <c r="T1480" s="21"/>
      <c r="U1480" s="22">
        <f>IFERROR(__xludf.DUMMYFUNCTION("IFERROR(GOOGLEFINANCE(A1480,""closeyest""),"""")"),256.0)</f>
        <v>256</v>
      </c>
      <c r="V1480" s="23">
        <f>IFERROR(__xludf.DUMMYFUNCTION("IFERROR(GOOGLEFINANCE(A1480,""changepct""),"""")"),2.34)</f>
        <v>2.34</v>
      </c>
      <c r="W1480" s="22">
        <f>IFERROR(__xludf.DUMMYFUNCTION("IFERROR(GOOGLEFINANCE(A1480,""priceopen""),"""")"),260.0)</f>
        <v>260</v>
      </c>
      <c r="X1480" s="22">
        <f>IFERROR(__xludf.DUMMYFUNCTION("IFERROR(GOOGLEFINANCE(A1480,""high""),"""")"),266.0)</f>
        <v>266</v>
      </c>
      <c r="Y1480" s="22">
        <f>IFERROR(__xludf.DUMMYFUNCTION("IFERROR(GOOGLEFINANCE(A1480,""low""),"""")"),258.0)</f>
        <v>258</v>
      </c>
      <c r="Z1480" s="22">
        <f>IFERROR(__xludf.DUMMYFUNCTION("IFERROR(GOOGLEFINANCE(A1480,""volume""),"""")"),4.69874E7)</f>
        <v>46987400</v>
      </c>
      <c r="AA1480" s="24" t="str">
        <f>VLOOKUP(A1480,Metrik!$C$2:$Y$959,5,0)</f>
        <v>Real Estate Management &amp; Development</v>
      </c>
      <c r="AB1480" s="24" t="str">
        <f>VLOOKUP(A1480,Metrik!$C$2:$Y$959,3,0)</f>
        <v>Properties &amp; Real Estate</v>
      </c>
    </row>
    <row r="1481">
      <c r="A1481" s="14" t="s">
        <v>798</v>
      </c>
      <c r="B1481" s="14" t="str">
        <f t="array" ref="B1481">VLOOKUP(A1481,{Metrik!$C$2:$C$998,Metrik!$B$2:$B$998},2,0)</f>
        <v>Pakuwon Jati Tbk.</v>
      </c>
      <c r="C1481" s="15">
        <f>IFERROR(__xludf.DUMMYFUNCTION("GOOGLEFINANCE(""IDX:""&amp;A1481,""price"")"),262.0)</f>
        <v>262</v>
      </c>
      <c r="D1481" s="16" t="str">
        <f>IFERROR(__xludf.DUMMYFUNCTION("IF(A1481="""","""",
SPARKLINE(
INDEX(
GOOGLEFINANCE(""IDX:""&amp;A1481,""close"",TODAY()-365,TODAY()),
,2
),
{""linewidth"",1}
))
"),"#N/A")</f>
        <v>#N/A</v>
      </c>
      <c r="E1481" s="14" t="s">
        <v>50</v>
      </c>
      <c r="F1481" s="17" t="s">
        <v>51</v>
      </c>
      <c r="G1481" s="24">
        <f t="shared" si="9"/>
        <v>12</v>
      </c>
      <c r="H1481" s="19">
        <f>VLOOKUP(A1481,Metrik!$C$2:$Y$959,8,0)</f>
        <v>5.7</v>
      </c>
      <c r="I1481" s="20">
        <f>VLOOKUP(A1481,Metrik!$C$2:$Y$959,9,0)</f>
        <v>0.52</v>
      </c>
      <c r="J1481" s="20">
        <f>VLOOKUP(A1481,Metrik!$C$2:$Y$959,10,0)</f>
        <v>9</v>
      </c>
      <c r="K1481" s="20">
        <f>VLOOKUP(A1481,Metrik!$C$2:$Y$959,11,0)</f>
        <v>6.6</v>
      </c>
      <c r="L1481" s="20">
        <f>VLOOKUP(A1481,Metrik!$C$2:$Y$959,12,0)</f>
        <v>0.37</v>
      </c>
      <c r="M1481" s="20">
        <f>VLOOKUP(A1481,Metrik!$C$2:$Y$959,19,0)</f>
        <v>150</v>
      </c>
      <c r="N1481" s="21"/>
      <c r="O1481" s="21"/>
      <c r="P1481" s="21"/>
      <c r="Q1481" s="21"/>
      <c r="R1481" s="21"/>
      <c r="S1481" s="21"/>
      <c r="T1481" s="21"/>
      <c r="U1481" s="22">
        <f>IFERROR(__xludf.DUMMYFUNCTION("IFERROR(GOOGLEFINANCE(A1481,""closeyest""),"""")"),256.0)</f>
        <v>256</v>
      </c>
      <c r="V1481" s="23">
        <f>IFERROR(__xludf.DUMMYFUNCTION("IFERROR(GOOGLEFINANCE(A1481,""changepct""),"""")"),2.34)</f>
        <v>2.34</v>
      </c>
      <c r="W1481" s="22">
        <f>IFERROR(__xludf.DUMMYFUNCTION("IFERROR(GOOGLEFINANCE(A1481,""priceopen""),"""")"),260.0)</f>
        <v>260</v>
      </c>
      <c r="X1481" s="22">
        <f>IFERROR(__xludf.DUMMYFUNCTION("IFERROR(GOOGLEFINANCE(A1481,""high""),"""")"),266.0)</f>
        <v>266</v>
      </c>
      <c r="Y1481" s="22">
        <f>IFERROR(__xludf.DUMMYFUNCTION("IFERROR(GOOGLEFINANCE(A1481,""low""),"""")"),258.0)</f>
        <v>258</v>
      </c>
      <c r="Z1481" s="22">
        <f>IFERROR(__xludf.DUMMYFUNCTION("IFERROR(GOOGLEFINANCE(A1481,""volume""),"""")"),4.69874E7)</f>
        <v>46987400</v>
      </c>
      <c r="AA1481" s="24" t="str">
        <f>VLOOKUP(A1481,Metrik!$C$2:$Y$959,5,0)</f>
        <v>Real Estate Management &amp; Development</v>
      </c>
      <c r="AB1481" s="24" t="str">
        <f>VLOOKUP(A1481,Metrik!$C$2:$Y$959,3,0)</f>
        <v>Properties &amp; Real Estate</v>
      </c>
    </row>
    <row r="1482">
      <c r="A1482" s="14" t="s">
        <v>798</v>
      </c>
      <c r="B1482" s="14" t="str">
        <f t="array" ref="B1482">VLOOKUP(A1482,{Metrik!$C$2:$C$998,Metrik!$B$2:$B$998},2,0)</f>
        <v>Pakuwon Jati Tbk.</v>
      </c>
      <c r="C1482" s="15">
        <f>IFERROR(__xludf.DUMMYFUNCTION("GOOGLEFINANCE(""IDX:""&amp;A1482,""price"")"),262.0)</f>
        <v>262</v>
      </c>
      <c r="D1482" s="16" t="str">
        <f>IFERROR(__xludf.DUMMYFUNCTION("IF(A1482="""","""",
SPARKLINE(
INDEX(
GOOGLEFINANCE(""IDX:""&amp;A1482,""close"",TODAY()-365,TODAY()),
,2
),
{""linewidth"",1}
))
"),"#N/A")</f>
        <v>#N/A</v>
      </c>
      <c r="E1482" s="14" t="s">
        <v>33</v>
      </c>
      <c r="F1482" s="14" t="s">
        <v>34</v>
      </c>
      <c r="G1482" s="24">
        <f t="shared" si="9"/>
        <v>12</v>
      </c>
      <c r="H1482" s="19">
        <f>VLOOKUP(A1482,Metrik!$C$2:$Y$959,8,0)</f>
        <v>5.7</v>
      </c>
      <c r="I1482" s="20">
        <f>VLOOKUP(A1482,Metrik!$C$2:$Y$959,9,0)</f>
        <v>0.52</v>
      </c>
      <c r="J1482" s="20">
        <f>VLOOKUP(A1482,Metrik!$C$2:$Y$959,10,0)</f>
        <v>9</v>
      </c>
      <c r="K1482" s="20">
        <f>VLOOKUP(A1482,Metrik!$C$2:$Y$959,11,0)</f>
        <v>6.6</v>
      </c>
      <c r="L1482" s="20">
        <f>VLOOKUP(A1482,Metrik!$C$2:$Y$959,12,0)</f>
        <v>0.37</v>
      </c>
      <c r="M1482" s="20">
        <f>VLOOKUP(A1482,Metrik!$C$2:$Y$959,19,0)</f>
        <v>150</v>
      </c>
      <c r="N1482" s="21"/>
      <c r="O1482" s="21"/>
      <c r="P1482" s="21"/>
      <c r="Q1482" s="21"/>
      <c r="R1482" s="21"/>
      <c r="S1482" s="21"/>
      <c r="T1482" s="21"/>
      <c r="U1482" s="22">
        <f>IFERROR(__xludf.DUMMYFUNCTION("IFERROR(GOOGLEFINANCE(A1482,""closeyest""),"""")"),256.0)</f>
        <v>256</v>
      </c>
      <c r="V1482" s="23">
        <f>IFERROR(__xludf.DUMMYFUNCTION("IFERROR(GOOGLEFINANCE(A1482,""changepct""),"""")"),2.34)</f>
        <v>2.34</v>
      </c>
      <c r="W1482" s="22">
        <f>IFERROR(__xludf.DUMMYFUNCTION("IFERROR(GOOGLEFINANCE(A1482,""priceopen""),"""")"),260.0)</f>
        <v>260</v>
      </c>
      <c r="X1482" s="22">
        <f>IFERROR(__xludf.DUMMYFUNCTION("IFERROR(GOOGLEFINANCE(A1482,""high""),"""")"),266.0)</f>
        <v>266</v>
      </c>
      <c r="Y1482" s="22">
        <f>IFERROR(__xludf.DUMMYFUNCTION("IFERROR(GOOGLEFINANCE(A1482,""low""),"""")"),258.0)</f>
        <v>258</v>
      </c>
      <c r="Z1482" s="22">
        <f>IFERROR(__xludf.DUMMYFUNCTION("IFERROR(GOOGLEFINANCE(A1482,""volume""),"""")"),4.69874E7)</f>
        <v>46987400</v>
      </c>
      <c r="AA1482" s="24" t="str">
        <f>VLOOKUP(A1482,Metrik!$C$2:$Y$959,5,0)</f>
        <v>Real Estate Management &amp; Development</v>
      </c>
      <c r="AB1482" s="24" t="str">
        <f>VLOOKUP(A1482,Metrik!$C$2:$Y$959,3,0)</f>
        <v>Properties &amp; Real Estate</v>
      </c>
    </row>
    <row r="1483">
      <c r="A1483" s="14" t="s">
        <v>798</v>
      </c>
      <c r="B1483" s="14" t="str">
        <f t="array" ref="B1483">VLOOKUP(A1483,{Metrik!$C$2:$C$998,Metrik!$B$2:$B$998},2,0)</f>
        <v>Pakuwon Jati Tbk.</v>
      </c>
      <c r="C1483" s="15">
        <f>IFERROR(__xludf.DUMMYFUNCTION("GOOGLEFINANCE(""IDX:""&amp;A1483,""price"")"),262.0)</f>
        <v>262</v>
      </c>
      <c r="D1483" s="16" t="str">
        <f>IFERROR(__xludf.DUMMYFUNCTION("IF(A1483="""","""",
SPARKLINE(
INDEX(
GOOGLEFINANCE(""IDX:""&amp;A1483,""close"",TODAY()-365,TODAY()),
,2
),
{""linewidth"",1}
))
"),"#N/A")</f>
        <v>#N/A</v>
      </c>
      <c r="E1483" s="14" t="s">
        <v>41</v>
      </c>
      <c r="F1483" s="14" t="s">
        <v>34</v>
      </c>
      <c r="G1483" s="24">
        <f t="shared" si="9"/>
        <v>12</v>
      </c>
      <c r="H1483" s="19">
        <f>VLOOKUP(A1483,Metrik!$C$2:$Y$959,8,0)</f>
        <v>5.7</v>
      </c>
      <c r="I1483" s="20">
        <f>VLOOKUP(A1483,Metrik!$C$2:$Y$959,9,0)</f>
        <v>0.52</v>
      </c>
      <c r="J1483" s="20">
        <f>VLOOKUP(A1483,Metrik!$C$2:$Y$959,10,0)</f>
        <v>9</v>
      </c>
      <c r="K1483" s="20">
        <f>VLOOKUP(A1483,Metrik!$C$2:$Y$959,11,0)</f>
        <v>6.6</v>
      </c>
      <c r="L1483" s="20">
        <f>VLOOKUP(A1483,Metrik!$C$2:$Y$959,12,0)</f>
        <v>0.37</v>
      </c>
      <c r="M1483" s="20">
        <f>VLOOKUP(A1483,Metrik!$C$2:$Y$959,19,0)</f>
        <v>150</v>
      </c>
      <c r="N1483" s="21"/>
      <c r="O1483" s="21"/>
      <c r="P1483" s="21"/>
      <c r="Q1483" s="21"/>
      <c r="R1483" s="21"/>
      <c r="S1483" s="21"/>
      <c r="T1483" s="21"/>
      <c r="U1483" s="22">
        <f>IFERROR(__xludf.DUMMYFUNCTION("IFERROR(GOOGLEFINANCE(A1483,""closeyest""),"""")"),256.0)</f>
        <v>256</v>
      </c>
      <c r="V1483" s="23">
        <f>IFERROR(__xludf.DUMMYFUNCTION("IFERROR(GOOGLEFINANCE(A1483,""changepct""),"""")"),2.34)</f>
        <v>2.34</v>
      </c>
      <c r="W1483" s="22">
        <f>IFERROR(__xludf.DUMMYFUNCTION("IFERROR(GOOGLEFINANCE(A1483,""priceopen""),"""")"),260.0)</f>
        <v>260</v>
      </c>
      <c r="X1483" s="22">
        <f>IFERROR(__xludf.DUMMYFUNCTION("IFERROR(GOOGLEFINANCE(A1483,""high""),"""")"),266.0)</f>
        <v>266</v>
      </c>
      <c r="Y1483" s="22">
        <f>IFERROR(__xludf.DUMMYFUNCTION("IFERROR(GOOGLEFINANCE(A1483,""low""),"""")"),258.0)</f>
        <v>258</v>
      </c>
      <c r="Z1483" s="22">
        <f>IFERROR(__xludf.DUMMYFUNCTION("IFERROR(GOOGLEFINANCE(A1483,""volume""),"""")"),4.69874E7)</f>
        <v>46987400</v>
      </c>
      <c r="AA1483" s="24" t="str">
        <f>VLOOKUP(A1483,Metrik!$C$2:$Y$959,5,0)</f>
        <v>Real Estate Management &amp; Development</v>
      </c>
      <c r="AB1483" s="24" t="str">
        <f>VLOOKUP(A1483,Metrik!$C$2:$Y$959,3,0)</f>
        <v>Properties &amp; Real Estate</v>
      </c>
    </row>
    <row r="1484">
      <c r="A1484" s="17" t="s">
        <v>798</v>
      </c>
      <c r="B1484" s="14" t="str">
        <f t="array" ref="B1484">VLOOKUP(A1484,{Metrik!$C$2:$C$998,Metrik!$B$2:$B$998},2,0)</f>
        <v>Pakuwon Jati Tbk.</v>
      </c>
      <c r="C1484" s="15">
        <f>IFERROR(__xludf.DUMMYFUNCTION("GOOGLEFINANCE(""IDX:""&amp;A1484,""price"")"),262.0)</f>
        <v>262</v>
      </c>
      <c r="D1484" s="16" t="str">
        <f>IFERROR(__xludf.DUMMYFUNCTION("IF(A1484="""","""",
SPARKLINE(
INDEX(
GOOGLEFINANCE(""IDX:""&amp;A1484,""close"",TODAY()-365,TODAY()),
,2
),
{""linewidth"",1}
))
"),"#N/A")</f>
        <v>#N/A</v>
      </c>
      <c r="E1484" s="14" t="s">
        <v>35</v>
      </c>
      <c r="F1484" s="17" t="s">
        <v>36</v>
      </c>
      <c r="G1484" s="38">
        <f t="shared" si="9"/>
        <v>12</v>
      </c>
      <c r="H1484" s="34">
        <f>VLOOKUP(A1484,Metrik!$C$2:$Y$959,8,0)</f>
        <v>5.7</v>
      </c>
      <c r="I1484" s="34">
        <f>VLOOKUP(A1484,Metrik!$C$2:$Y$959,9,0)</f>
        <v>0.52</v>
      </c>
      <c r="J1484" s="34">
        <f>VLOOKUP(A1484,Metrik!$C$2:$Y$959,10,0)</f>
        <v>9</v>
      </c>
      <c r="K1484" s="34">
        <f>VLOOKUP(A1484,Metrik!$C$2:$Y$959,11,0)</f>
        <v>6.6</v>
      </c>
      <c r="L1484" s="34">
        <f>VLOOKUP(A1484,Metrik!$C$2:$Y$959,12,0)</f>
        <v>0.37</v>
      </c>
      <c r="M1484" s="34">
        <f>VLOOKUP(A1484,Metrik!$C$2:$Y$959,19,0)</f>
        <v>150</v>
      </c>
      <c r="N1484" s="26"/>
      <c r="O1484" s="26"/>
      <c r="P1484" s="26"/>
      <c r="Q1484" s="26"/>
      <c r="R1484" s="26"/>
      <c r="S1484" s="26"/>
      <c r="T1484" s="26"/>
      <c r="U1484" s="35">
        <f>IFERROR(__xludf.DUMMYFUNCTION("IFERROR(GOOGLEFINANCE(A1484,""closeyest""),"""")"),256.0)</f>
        <v>256</v>
      </c>
      <c r="V1484" s="36">
        <f>IFERROR(__xludf.DUMMYFUNCTION("IFERROR(GOOGLEFINANCE(A1484,""changepct""),"""")"),2.34)</f>
        <v>2.34</v>
      </c>
      <c r="W1484" s="35">
        <f>IFERROR(__xludf.DUMMYFUNCTION("IFERROR(GOOGLEFINANCE(A1484,""priceopen""),"""")"),260.0)</f>
        <v>260</v>
      </c>
      <c r="X1484" s="35">
        <f>IFERROR(__xludf.DUMMYFUNCTION("IFERROR(GOOGLEFINANCE(A1484,""high""),"""")"),266.0)</f>
        <v>266</v>
      </c>
      <c r="Y1484" s="35">
        <f>IFERROR(__xludf.DUMMYFUNCTION("IFERROR(GOOGLEFINANCE(A1484,""low""),"""")"),258.0)</f>
        <v>258</v>
      </c>
      <c r="Z1484" s="35">
        <f>IFERROR(__xludf.DUMMYFUNCTION("IFERROR(GOOGLEFINANCE(A1484,""volume""),"""")"),4.69874E7)</f>
        <v>46987400</v>
      </c>
      <c r="AA1484" s="14" t="str">
        <f>VLOOKUP(A1484,Metrik!$C$2:$Y$959,5,0)</f>
        <v>Real Estate Management &amp; Development</v>
      </c>
      <c r="AB1484" s="14" t="str">
        <f>VLOOKUP(A1484,Metrik!$C$2:$Y$959,3,0)</f>
        <v>Properties &amp; Real Estate</v>
      </c>
    </row>
    <row r="1485">
      <c r="A1485" s="14" t="s">
        <v>798</v>
      </c>
      <c r="B1485" s="14" t="str">
        <f t="array" ref="B1485">VLOOKUP(A1485,{Metrik!$C$2:$C$998,Metrik!$B$2:$B$998},2,0)</f>
        <v>Pakuwon Jati Tbk.</v>
      </c>
      <c r="C1485" s="15">
        <f>IFERROR(__xludf.DUMMYFUNCTION("GOOGLEFINANCE(""IDX:""&amp;A1485,""price"")"),262.0)</f>
        <v>262</v>
      </c>
      <c r="D1485" s="16" t="str">
        <f>IFERROR(__xludf.DUMMYFUNCTION("IF(A1485="""","""",
SPARKLINE(
INDEX(
GOOGLEFINANCE(""IDX:""&amp;A1485,""close"",TODAY()-365,TODAY()),
,2
),
{""linewidth"",1}
))
"),"#N/A")</f>
        <v>#N/A</v>
      </c>
      <c r="E1485" s="14" t="s">
        <v>86</v>
      </c>
      <c r="F1485" s="25">
        <v>46356.0</v>
      </c>
      <c r="G1485" s="24">
        <f t="shared" si="9"/>
        <v>12</v>
      </c>
      <c r="H1485" s="19">
        <f>VLOOKUP(A1485,Metrik!$C$2:$Y$959,8,0)</f>
        <v>5.7</v>
      </c>
      <c r="I1485" s="20">
        <f>VLOOKUP(A1485,Metrik!$C$2:$Y$959,9,0)</f>
        <v>0.52</v>
      </c>
      <c r="J1485" s="20">
        <f>VLOOKUP(A1485,Metrik!$C$2:$Y$959,10,0)</f>
        <v>9</v>
      </c>
      <c r="K1485" s="20">
        <f>VLOOKUP(A1485,Metrik!$C$2:$Y$959,11,0)</f>
        <v>6.6</v>
      </c>
      <c r="L1485" s="20">
        <f>VLOOKUP(A1485,Metrik!$C$2:$Y$959,12,0)</f>
        <v>0.37</v>
      </c>
      <c r="M1485" s="20">
        <f>VLOOKUP(A1485,Metrik!$C$2:$Y$959,19,0)</f>
        <v>150</v>
      </c>
      <c r="N1485" s="21"/>
      <c r="O1485" s="21"/>
      <c r="P1485" s="21"/>
      <c r="Q1485" s="21"/>
      <c r="R1485" s="21"/>
      <c r="S1485" s="21"/>
      <c r="T1485" s="21"/>
      <c r="U1485" s="22">
        <f>IFERROR(__xludf.DUMMYFUNCTION("IFERROR(GOOGLEFINANCE(A1485,""closeyest""),"""")"),256.0)</f>
        <v>256</v>
      </c>
      <c r="V1485" s="23">
        <f>IFERROR(__xludf.DUMMYFUNCTION("IFERROR(GOOGLEFINANCE(A1485,""changepct""),"""")"),2.34)</f>
        <v>2.34</v>
      </c>
      <c r="W1485" s="22">
        <f>IFERROR(__xludf.DUMMYFUNCTION("IFERROR(GOOGLEFINANCE(A1485,""priceopen""),"""")"),260.0)</f>
        <v>260</v>
      </c>
      <c r="X1485" s="22">
        <f>IFERROR(__xludf.DUMMYFUNCTION("IFERROR(GOOGLEFINANCE(A1485,""high""),"""")"),266.0)</f>
        <v>266</v>
      </c>
      <c r="Y1485" s="22">
        <f>IFERROR(__xludf.DUMMYFUNCTION("IFERROR(GOOGLEFINANCE(A1485,""low""),"""")"),258.0)</f>
        <v>258</v>
      </c>
      <c r="Z1485" s="22">
        <f>IFERROR(__xludf.DUMMYFUNCTION("IFERROR(GOOGLEFINANCE(A1485,""volume""),"""")"),4.69874E7)</f>
        <v>46987400</v>
      </c>
      <c r="AA1485" s="24" t="str">
        <f>VLOOKUP(A1485,Metrik!$C$2:$Y$959,5,0)</f>
        <v>Real Estate Management &amp; Development</v>
      </c>
      <c r="AB1485" s="24" t="str">
        <f>VLOOKUP(A1485,Metrik!$C$2:$Y$959,3,0)</f>
        <v>Properties &amp; Real Estate</v>
      </c>
    </row>
    <row r="1486">
      <c r="A1486" s="14" t="s">
        <v>799</v>
      </c>
      <c r="B1486" s="14" t="str">
        <f t="array" ref="B1486">VLOOKUP(A1486,{Metrik!$C$2:$C$998,Metrik!$B$2:$B$998},2,0)</f>
        <v>Pyridam Farma Tbk</v>
      </c>
      <c r="C1486" s="15">
        <f>IFERROR(__xludf.DUMMYFUNCTION("GOOGLEFINANCE(""IDX:""&amp;A1486,""price"")"),194.0)</f>
        <v>194</v>
      </c>
      <c r="D1486" s="16" t="str">
        <f>IFERROR(__xludf.DUMMYFUNCTION("IF(A1486="""","""",
SPARKLINE(
INDEX(
GOOGLEFINANCE(""IDX:""&amp;A1486,""close"",TODAY()-365,TODAY()),
,2
),
{""linewidth"",1}
))
"),"#N/A")</f>
        <v>#N/A</v>
      </c>
      <c r="E1486" s="26"/>
      <c r="F1486" s="26"/>
      <c r="G1486" s="24">
        <f t="shared" si="9"/>
        <v>0</v>
      </c>
      <c r="H1486" s="19">
        <f>VLOOKUP(A1486,Metrik!$C$2:$Y$959,8,0)</f>
        <v>-6.9</v>
      </c>
      <c r="I1486" s="20">
        <f>VLOOKUP(A1486,Metrik!$C$2:$Y$959,9,0)</f>
        <v>2.7</v>
      </c>
      <c r="J1486" s="20">
        <f>VLOOKUP(A1486,Metrik!$C$2:$Y$959,10,0)</f>
        <v>-38.5</v>
      </c>
      <c r="K1486" s="20">
        <f>VLOOKUP(A1486,Metrik!$C$2:$Y$959,11,0)</f>
        <v>-5.6</v>
      </c>
      <c r="L1486" s="20">
        <f>VLOOKUP(A1486,Metrik!$C$2:$Y$959,12,0)</f>
        <v>5.9</v>
      </c>
      <c r="M1486" s="20">
        <f>VLOOKUP(A1486,Metrik!$C$2:$Y$959,19,0)</f>
        <v>-13.8</v>
      </c>
      <c r="N1486" s="21"/>
      <c r="O1486" s="21"/>
      <c r="P1486" s="21"/>
      <c r="Q1486" s="21"/>
      <c r="R1486" s="21"/>
      <c r="S1486" s="21"/>
      <c r="T1486" s="21"/>
      <c r="U1486" s="22">
        <f>IFERROR(__xludf.DUMMYFUNCTION("IFERROR(GOOGLEFINANCE(A1486,""closeyest""),"""")"),193.0)</f>
        <v>193</v>
      </c>
      <c r="V1486" s="23">
        <f>IFERROR(__xludf.DUMMYFUNCTION("IFERROR(GOOGLEFINANCE(A1486,""changepct""),"""")"),0.52)</f>
        <v>0.52</v>
      </c>
      <c r="W1486" s="22">
        <f>IFERROR(__xludf.DUMMYFUNCTION("IFERROR(GOOGLEFINANCE(A1486,""priceopen""),"""")"),184.0)</f>
        <v>184</v>
      </c>
      <c r="X1486" s="22">
        <f>IFERROR(__xludf.DUMMYFUNCTION("IFERROR(GOOGLEFINANCE(A1486,""high""),"""")"),197.0)</f>
        <v>197</v>
      </c>
      <c r="Y1486" s="22">
        <f>IFERROR(__xludf.DUMMYFUNCTION("IFERROR(GOOGLEFINANCE(A1486,""low""),"""")"),176.0)</f>
        <v>176</v>
      </c>
      <c r="Z1486" s="22">
        <f>IFERROR(__xludf.DUMMYFUNCTION("IFERROR(GOOGLEFINANCE(A1486,""volume""),"""")"),2.64503E7)</f>
        <v>26450300</v>
      </c>
      <c r="AA1486" s="24" t="str">
        <f>VLOOKUP(A1486,Metrik!$C$2:$Y$959,5,0)</f>
        <v>Pharmaceuticals</v>
      </c>
      <c r="AB1486" s="24" t="str">
        <f>VLOOKUP(A1486,Metrik!$C$2:$Y$959,3,0)</f>
        <v>Healthcare</v>
      </c>
    </row>
    <row r="1487">
      <c r="A1487" s="14" t="s">
        <v>800</v>
      </c>
      <c r="B1487" s="14" t="str">
        <f t="array" ref="B1487">VLOOKUP(A1487,{Metrik!$C$2:$C$998,Metrik!$B$2:$B$998},2,0)</f>
        <v>Sarimelati Kencana Tbk.</v>
      </c>
      <c r="C1487" s="15">
        <f>IFERROR(__xludf.DUMMYFUNCTION("GOOGLEFINANCE(""IDX:""&amp;A1487,""price"")"),188.0)</f>
        <v>188</v>
      </c>
      <c r="D1487" s="16" t="str">
        <f>IFERROR(__xludf.DUMMYFUNCTION("IF(A1487="""","""",
SPARKLINE(
INDEX(
GOOGLEFINANCE(""IDX:""&amp;A1487,""close"",TODAY()-365,TODAY()),
,2
),
{""linewidth"",1}
))
"),"#N/A")</f>
        <v>#N/A</v>
      </c>
      <c r="E1487" s="26"/>
      <c r="F1487" s="26"/>
      <c r="G1487" s="24">
        <f t="shared" si="9"/>
        <v>0</v>
      </c>
      <c r="H1487" s="19">
        <f>VLOOKUP(A1487,Metrik!$C$2:$Y$959,8,0)</f>
        <v>18.9</v>
      </c>
      <c r="I1487" s="20">
        <f>VLOOKUP(A1487,Metrik!$C$2:$Y$959,9,0)</f>
        <v>0.55</v>
      </c>
      <c r="J1487" s="20">
        <f>VLOOKUP(A1487,Metrik!$C$2:$Y$959,10,0)</f>
        <v>2.9</v>
      </c>
      <c r="K1487" s="20">
        <f>VLOOKUP(A1487,Metrik!$C$2:$Y$959,11,0)</f>
        <v>1.6</v>
      </c>
      <c r="L1487" s="20">
        <f>VLOOKUP(A1487,Metrik!$C$2:$Y$959,12,0)</f>
        <v>0.82</v>
      </c>
      <c r="M1487" s="20">
        <f>VLOOKUP(A1487,Metrik!$C$2:$Y$959,19,0)</f>
        <v>4.2</v>
      </c>
      <c r="N1487" s="21"/>
      <c r="O1487" s="21"/>
      <c r="P1487" s="21"/>
      <c r="Q1487" s="21"/>
      <c r="R1487" s="21"/>
      <c r="S1487" s="21"/>
      <c r="T1487" s="21"/>
      <c r="U1487" s="22">
        <f>IFERROR(__xludf.DUMMYFUNCTION("IFERROR(GOOGLEFINANCE(A1487,""closeyest""),"""")"),32.34)</f>
        <v>32.34</v>
      </c>
      <c r="V1487" s="23">
        <f>IFERROR(__xludf.DUMMYFUNCTION("IFERROR(GOOGLEFINANCE(A1487,""changepct""),"""")"),0.8)</f>
        <v>0.8</v>
      </c>
      <c r="W1487" s="22">
        <f>IFERROR(__xludf.DUMMYFUNCTION("IFERROR(GOOGLEFINANCE(A1487,""priceopen""),"""")"),32.34)</f>
        <v>32.34</v>
      </c>
      <c r="X1487" s="22">
        <f>IFERROR(__xludf.DUMMYFUNCTION("IFERROR(GOOGLEFINANCE(A1487,""high""),"""")"),33.28)</f>
        <v>33.28</v>
      </c>
      <c r="Y1487" s="22">
        <f>IFERROR(__xludf.DUMMYFUNCTION("IFERROR(GOOGLEFINANCE(A1487,""low""),"""")"),32.12)</f>
        <v>32.12</v>
      </c>
      <c r="Z1487" s="22">
        <f>IFERROR(__xludf.DUMMYFUNCTION("IFERROR(GOOGLEFINANCE(A1487,""volume""),"""")"),827490.0)</f>
        <v>827490</v>
      </c>
      <c r="AA1487" s="24" t="str">
        <f>VLOOKUP(A1487,Metrik!$C$2:$Y$959,5,0)</f>
        <v>Tourism &amp; Recreation</v>
      </c>
      <c r="AB1487" s="24" t="str">
        <f>VLOOKUP(A1487,Metrik!$C$2:$Y$959,3,0)</f>
        <v>Consumer Cyclicals</v>
      </c>
    </row>
    <row r="1488">
      <c r="A1488" s="14" t="s">
        <v>801</v>
      </c>
      <c r="B1488" s="14" t="str">
        <f t="array" ref="B1488">VLOOKUP(A1488,{Metrik!$C$2:$C$998,Metrik!$B$2:$B$998},2,0)</f>
        <v>PT Tripar Multivision Plus Tbk.</v>
      </c>
      <c r="C1488" s="15">
        <f>IFERROR(__xludf.DUMMYFUNCTION("GOOGLEFINANCE(""IDX:""&amp;A1488,""price"")"),208.0)</f>
        <v>208</v>
      </c>
      <c r="D1488" s="16" t="str">
        <f>IFERROR(__xludf.DUMMYFUNCTION("IF(A1488="""","""",
SPARKLINE(
INDEX(
GOOGLEFINANCE(""IDX:""&amp;A1488,""close"",TODAY()-365,TODAY()),
,2
),
{""linewidth"",1}
))
"),"#N/A")</f>
        <v>#N/A</v>
      </c>
      <c r="E1488" s="26"/>
      <c r="F1488" s="26"/>
      <c r="G1488" s="24">
        <f t="shared" si="9"/>
        <v>0</v>
      </c>
      <c r="H1488" s="19">
        <f>VLOOKUP(A1488,Metrik!$C$2:$Y$959,8,0)</f>
        <v>-19</v>
      </c>
      <c r="I1488" s="20">
        <f>VLOOKUP(A1488,Metrik!$C$2:$Y$959,9,0)</f>
        <v>1</v>
      </c>
      <c r="J1488" s="20">
        <f>VLOOKUP(A1488,Metrik!$C$2:$Y$959,10,0)</f>
        <v>-5.4</v>
      </c>
      <c r="K1488" s="20">
        <f>VLOOKUP(A1488,Metrik!$C$2:$Y$959,11,0)</f>
        <v>-4.1</v>
      </c>
      <c r="L1488" s="20">
        <f>VLOOKUP(A1488,Metrik!$C$2:$Y$959,12,0)</f>
        <v>0.32</v>
      </c>
      <c r="M1488" s="20">
        <f>VLOOKUP(A1488,Metrik!$C$2:$Y$959,19,0)</f>
        <v>-150</v>
      </c>
      <c r="N1488" s="21"/>
      <c r="O1488" s="21"/>
      <c r="P1488" s="21"/>
      <c r="Q1488" s="21"/>
      <c r="R1488" s="21"/>
      <c r="S1488" s="21"/>
      <c r="T1488" s="21"/>
      <c r="U1488" s="22">
        <f>IFERROR(__xludf.DUMMYFUNCTION("IFERROR(GOOGLEFINANCE(A1488,""closeyest""),"""")"),214.0)</f>
        <v>214</v>
      </c>
      <c r="V1488" s="23">
        <f>IFERROR(__xludf.DUMMYFUNCTION("IFERROR(GOOGLEFINANCE(A1488,""changepct""),"""")"),-2.8)</f>
        <v>-2.8</v>
      </c>
      <c r="W1488" s="22">
        <f>IFERROR(__xludf.DUMMYFUNCTION("IFERROR(GOOGLEFINANCE(A1488,""priceopen""),"""")"),214.0)</f>
        <v>214</v>
      </c>
      <c r="X1488" s="22">
        <f>IFERROR(__xludf.DUMMYFUNCTION("IFERROR(GOOGLEFINANCE(A1488,""high""),"""")"),220.0)</f>
        <v>220</v>
      </c>
      <c r="Y1488" s="22">
        <f>IFERROR(__xludf.DUMMYFUNCTION("IFERROR(GOOGLEFINANCE(A1488,""low""),"""")"),206.0)</f>
        <v>206</v>
      </c>
      <c r="Z1488" s="22">
        <f>IFERROR(__xludf.DUMMYFUNCTION("IFERROR(GOOGLEFINANCE(A1488,""volume""),"""")"),862400.0)</f>
        <v>862400</v>
      </c>
      <c r="AA1488" s="24" t="str">
        <f>VLOOKUP(A1488,Metrik!$C$2:$Y$959,5,0)</f>
        <v>Entertainment &amp; Movie Production</v>
      </c>
      <c r="AB1488" s="24" t="str">
        <f>VLOOKUP(A1488,Metrik!$C$2:$Y$959,3,0)</f>
        <v>Consumer Cyclicals</v>
      </c>
    </row>
    <row r="1489">
      <c r="A1489" s="14" t="s">
        <v>802</v>
      </c>
      <c r="B1489" s="14" t="str">
        <f t="array" ref="B1489">VLOOKUP(A1489,{Metrik!$C$2:$C$998,Metrik!$B$2:$B$998},2,0)</f>
        <v>Sari Kreasi Boga Tbk.</v>
      </c>
      <c r="C1489" s="15">
        <f>IFERROR(__xludf.DUMMYFUNCTION("GOOGLEFINANCE(""IDX:""&amp;A1489,""price"")"),36.0)</f>
        <v>36</v>
      </c>
      <c r="D1489" s="16" t="str">
        <f>IFERROR(__xludf.DUMMYFUNCTION("IF(A1489="""","""",
SPARKLINE(
INDEX(
GOOGLEFINANCE(""IDX:""&amp;A1489,""close"",TODAY()-365,TODAY()),
,2
),
{""linewidth"",1}
))
"),"#N/A")</f>
        <v>#N/A</v>
      </c>
      <c r="E1489" s="26"/>
      <c r="F1489" s="26"/>
      <c r="G1489" s="24">
        <f t="shared" si="9"/>
        <v>0</v>
      </c>
      <c r="H1489" s="19">
        <f>VLOOKUP(A1489,Metrik!$C$2:$Y$959,8,0)</f>
        <v>-2.1</v>
      </c>
      <c r="I1489" s="20">
        <f>VLOOKUP(A1489,Metrik!$C$2:$Y$959,9,0)</f>
        <v>0.39</v>
      </c>
      <c r="J1489" s="20">
        <f>VLOOKUP(A1489,Metrik!$C$2:$Y$959,10,0)</f>
        <v>-18.6</v>
      </c>
      <c r="K1489" s="20">
        <f>VLOOKUP(A1489,Metrik!$C$2:$Y$959,11,0)</f>
        <v>-12.2</v>
      </c>
      <c r="L1489" s="20">
        <f>VLOOKUP(A1489,Metrik!$C$2:$Y$959,12,0)</f>
        <v>0.52</v>
      </c>
      <c r="M1489" s="20">
        <f>VLOOKUP(A1489,Metrik!$C$2:$Y$959,19,0)</f>
        <v>-39.9</v>
      </c>
      <c r="N1489" s="21"/>
      <c r="O1489" s="21"/>
      <c r="P1489" s="21"/>
      <c r="Q1489" s="21"/>
      <c r="R1489" s="21"/>
      <c r="S1489" s="21"/>
      <c r="T1489" s="21"/>
      <c r="U1489" s="22">
        <f>IFERROR(__xludf.DUMMYFUNCTION("IFERROR(GOOGLEFINANCE(A1489,""closeyest""),"""")"),4.16)</f>
        <v>4.16</v>
      </c>
      <c r="V1489" s="23">
        <f>IFERROR(__xludf.DUMMYFUNCTION("IFERROR(GOOGLEFINANCE(A1489,""changepct""),"""")"),-0.48)</f>
        <v>-0.48</v>
      </c>
      <c r="W1489" s="22">
        <f>IFERROR(__xludf.DUMMYFUNCTION("IFERROR(GOOGLEFINANCE(A1489,""priceopen""),"""")"),4.26)</f>
        <v>4.26</v>
      </c>
      <c r="X1489" s="22">
        <f>IFERROR(__xludf.DUMMYFUNCTION("IFERROR(GOOGLEFINANCE(A1489,""high""),"""")"),4.26)</f>
        <v>4.26</v>
      </c>
      <c r="Y1489" s="22">
        <f>IFERROR(__xludf.DUMMYFUNCTION("IFERROR(GOOGLEFINANCE(A1489,""low""),"""")"),4.14)</f>
        <v>4.14</v>
      </c>
      <c r="Z1489" s="22">
        <f>IFERROR(__xludf.DUMMYFUNCTION("IFERROR(GOOGLEFINANCE(A1489,""volume""),"""")"),2000.0)</f>
        <v>2000</v>
      </c>
      <c r="AA1489" s="24" t="str">
        <f>VLOOKUP(A1489,Metrik!$C$2:$Y$959,5,0)</f>
        <v>Tourism &amp; Recreation</v>
      </c>
      <c r="AB1489" s="24" t="str">
        <f>VLOOKUP(A1489,Metrik!$C$2:$Y$959,3,0)</f>
        <v>Consumer Cyclicals</v>
      </c>
    </row>
    <row r="1490">
      <c r="A1490" s="17" t="s">
        <v>803</v>
      </c>
      <c r="B1490" s="14" t="str">
        <f t="array" ref="B1490">VLOOKUP(A1490,{Metrik!$C$2:$C$998,Metrik!$B$2:$B$998},2,0)</f>
        <v>Rukun Raharja Tbk.</v>
      </c>
      <c r="C1490" s="15">
        <f>IFERROR(__xludf.DUMMYFUNCTION("GOOGLEFINANCE(""IDX:""&amp;A1490,""price"")"),3750.0)</f>
        <v>3750</v>
      </c>
      <c r="D1490" s="16" t="str">
        <f>IFERROR(__xludf.DUMMYFUNCTION("IF(A1490="""","""",
SPARKLINE(
INDEX(
GOOGLEFINANCE(""IDX:""&amp;A1490,""close"",TODAY()-365,TODAY()),
,2
),
{""linewidth"",1}
))
"),"#N/A")</f>
        <v>#N/A</v>
      </c>
      <c r="E1490" s="14" t="s">
        <v>38</v>
      </c>
      <c r="F1490" s="25">
        <v>46356.0</v>
      </c>
      <c r="G1490" s="18">
        <f t="shared" si="9"/>
        <v>6</v>
      </c>
      <c r="H1490" s="19">
        <f>VLOOKUP(A1490,Metrik!$C$2:$Y$959,8,0)</f>
        <v>32.1</v>
      </c>
      <c r="I1490" s="20">
        <f>VLOOKUP(A1490,Metrik!$C$2:$Y$959,9,0)</f>
        <v>3.6</v>
      </c>
      <c r="J1490" s="20">
        <f>VLOOKUP(A1490,Metrik!$C$2:$Y$959,10,0)</f>
        <v>11.2</v>
      </c>
      <c r="K1490" s="20">
        <f>VLOOKUP(A1490,Metrik!$C$2:$Y$959,11,0)</f>
        <v>5.6</v>
      </c>
      <c r="L1490" s="20">
        <f>VLOOKUP(A1490,Metrik!$C$2:$Y$959,12,0)</f>
        <v>0.99</v>
      </c>
      <c r="M1490" s="20">
        <f>VLOOKUP(A1490,Metrik!$C$2:$Y$959,19,0)</f>
        <v>52.4</v>
      </c>
      <c r="N1490" s="21"/>
      <c r="O1490" s="21"/>
      <c r="P1490" s="21"/>
      <c r="Q1490" s="21"/>
      <c r="R1490" s="21"/>
      <c r="S1490" s="21"/>
      <c r="T1490" s="21"/>
      <c r="U1490" s="22">
        <f>IFERROR(__xludf.DUMMYFUNCTION("IFERROR(GOOGLEFINANCE(A1490,""closeyest""),"""")"),3600.0)</f>
        <v>3600</v>
      </c>
      <c r="V1490" s="23">
        <f>IFERROR(__xludf.DUMMYFUNCTION("IFERROR(GOOGLEFINANCE(A1490,""changepct""),"""")"),4.17)</f>
        <v>4.17</v>
      </c>
      <c r="W1490" s="22">
        <f>IFERROR(__xludf.DUMMYFUNCTION("IFERROR(GOOGLEFINANCE(A1490,""priceopen""),"""")"),3670.0)</f>
        <v>3670</v>
      </c>
      <c r="X1490" s="22" t="str">
        <f>IFERROR(__xludf.DUMMYFUNCTION("IFERROR(GOOGLEFINANCE(A1490,""high""),"""")"),"")</f>
        <v/>
      </c>
      <c r="Y1490" s="22">
        <f>IFERROR(__xludf.DUMMYFUNCTION("IFERROR(GOOGLEFINANCE(A1490,""low""),"""")"),3660.0)</f>
        <v>3660</v>
      </c>
      <c r="Z1490" s="22">
        <f>IFERROR(__xludf.DUMMYFUNCTION("IFERROR(GOOGLEFINANCE(A1490,""volume""),"""")"),3.83466E7)</f>
        <v>38346600</v>
      </c>
      <c r="AA1490" s="24" t="str">
        <f>VLOOKUP(A1490,Metrik!$C$2:$Y$959,5,0)</f>
        <v>Oil &amp; Gas</v>
      </c>
      <c r="AB1490" s="24" t="str">
        <f>VLOOKUP(A1490,Metrik!$C$2:$Y$959,3,0)</f>
        <v>Energy</v>
      </c>
    </row>
    <row r="1491">
      <c r="A1491" s="17" t="s">
        <v>803</v>
      </c>
      <c r="B1491" s="14" t="str">
        <f t="array" ref="B1491">VLOOKUP(A1491,{Metrik!$C$2:$C$998,Metrik!$B$2:$B$998},2,0)</f>
        <v>Rukun Raharja Tbk.</v>
      </c>
      <c r="C1491" s="15">
        <f>IFERROR(__xludf.DUMMYFUNCTION("GOOGLEFINANCE(""IDX:""&amp;A1491,""price"")"),3750.0)</f>
        <v>3750</v>
      </c>
      <c r="D1491" s="16" t="str">
        <f>IFERROR(__xludf.DUMMYFUNCTION("IF(A1491="""","""",
SPARKLINE(
INDEX(
GOOGLEFINANCE(""IDX:""&amp;A1491,""close"",TODAY()-365,TODAY()),
,2
),
{""linewidth"",1}
))
"),"#N/A")</f>
        <v>#N/A</v>
      </c>
      <c r="E1491" s="14" t="s">
        <v>39</v>
      </c>
      <c r="F1491" s="25">
        <v>46356.0</v>
      </c>
      <c r="G1491" s="18">
        <f t="shared" si="9"/>
        <v>6</v>
      </c>
      <c r="H1491" s="19">
        <f>VLOOKUP(A1491,Metrik!$C$2:$Y$959,8,0)</f>
        <v>32.1</v>
      </c>
      <c r="I1491" s="20">
        <f>VLOOKUP(A1491,Metrik!$C$2:$Y$959,9,0)</f>
        <v>3.6</v>
      </c>
      <c r="J1491" s="20">
        <f>VLOOKUP(A1491,Metrik!$C$2:$Y$959,10,0)</f>
        <v>11.2</v>
      </c>
      <c r="K1491" s="20">
        <f>VLOOKUP(A1491,Metrik!$C$2:$Y$959,11,0)</f>
        <v>5.6</v>
      </c>
      <c r="L1491" s="20">
        <f>VLOOKUP(A1491,Metrik!$C$2:$Y$959,12,0)</f>
        <v>0.99</v>
      </c>
      <c r="M1491" s="20">
        <f>VLOOKUP(A1491,Metrik!$C$2:$Y$959,19,0)</f>
        <v>52.4</v>
      </c>
      <c r="N1491" s="21"/>
      <c r="O1491" s="21"/>
      <c r="P1491" s="21"/>
      <c r="Q1491" s="21"/>
      <c r="R1491" s="21"/>
      <c r="S1491" s="21"/>
      <c r="T1491" s="21"/>
      <c r="U1491" s="22">
        <f>IFERROR(__xludf.DUMMYFUNCTION("IFERROR(GOOGLEFINANCE(A1491,""closeyest""),"""")"),3600.0)</f>
        <v>3600</v>
      </c>
      <c r="V1491" s="23">
        <f>IFERROR(__xludf.DUMMYFUNCTION("IFERROR(GOOGLEFINANCE(A1491,""changepct""),"""")"),4.17)</f>
        <v>4.17</v>
      </c>
      <c r="W1491" s="22">
        <f>IFERROR(__xludf.DUMMYFUNCTION("IFERROR(GOOGLEFINANCE(A1491,""priceopen""),"""")"),3670.0)</f>
        <v>3670</v>
      </c>
      <c r="X1491" s="22" t="str">
        <f>IFERROR(__xludf.DUMMYFUNCTION("IFERROR(GOOGLEFINANCE(A1491,""high""),"""")"),"")</f>
        <v/>
      </c>
      <c r="Y1491" s="22">
        <f>IFERROR(__xludf.DUMMYFUNCTION("IFERROR(GOOGLEFINANCE(A1491,""low""),"""")"),3660.0)</f>
        <v>3660</v>
      </c>
      <c r="Z1491" s="22">
        <f>IFERROR(__xludf.DUMMYFUNCTION("IFERROR(GOOGLEFINANCE(A1491,""volume""),"""")"),3.83466E7)</f>
        <v>38346600</v>
      </c>
      <c r="AA1491" s="24" t="str">
        <f>VLOOKUP(A1491,Metrik!$C$2:$Y$959,5,0)</f>
        <v>Oil &amp; Gas</v>
      </c>
      <c r="AB1491" s="24" t="str">
        <f>VLOOKUP(A1491,Metrik!$C$2:$Y$959,3,0)</f>
        <v>Energy</v>
      </c>
    </row>
    <row r="1492">
      <c r="A1492" s="14" t="s">
        <v>803</v>
      </c>
      <c r="B1492" s="14" t="str">
        <f t="array" ref="B1492">VLOOKUP(A1492,{Metrik!$C$2:$C$998,Metrik!$B$2:$B$998},2,0)</f>
        <v>Rukun Raharja Tbk.</v>
      </c>
      <c r="C1492" s="15">
        <f>IFERROR(__xludf.DUMMYFUNCTION("GOOGLEFINANCE(""IDX:""&amp;A1492,""price"")"),3750.0)</f>
        <v>3750</v>
      </c>
      <c r="D1492" s="16" t="str">
        <f>IFERROR(__xludf.DUMMYFUNCTION("IF(A1492="""","""",
SPARKLINE(
INDEX(
GOOGLEFINANCE(""IDX:""&amp;A1492,""close"",TODAY()-365,TODAY()),
,2
),
{""linewidth"",1}
))
"),"#N/A")</f>
        <v>#N/A</v>
      </c>
      <c r="E1492" s="14" t="s">
        <v>68</v>
      </c>
      <c r="F1492" s="14" t="s">
        <v>34</v>
      </c>
      <c r="G1492" s="24">
        <f t="shared" si="9"/>
        <v>6</v>
      </c>
      <c r="H1492" s="19">
        <f>VLOOKUP(A1492,Metrik!$C$2:$Y$959,8,0)</f>
        <v>32.1</v>
      </c>
      <c r="I1492" s="20">
        <f>VLOOKUP(A1492,Metrik!$C$2:$Y$959,9,0)</f>
        <v>3.6</v>
      </c>
      <c r="J1492" s="20">
        <f>VLOOKUP(A1492,Metrik!$C$2:$Y$959,10,0)</f>
        <v>11.2</v>
      </c>
      <c r="K1492" s="20">
        <f>VLOOKUP(A1492,Metrik!$C$2:$Y$959,11,0)</f>
        <v>5.6</v>
      </c>
      <c r="L1492" s="20">
        <f>VLOOKUP(A1492,Metrik!$C$2:$Y$959,12,0)</f>
        <v>0.99</v>
      </c>
      <c r="M1492" s="20">
        <f>VLOOKUP(A1492,Metrik!$C$2:$Y$959,19,0)</f>
        <v>52.4</v>
      </c>
      <c r="N1492" s="21"/>
      <c r="O1492" s="21"/>
      <c r="P1492" s="21"/>
      <c r="Q1492" s="21"/>
      <c r="R1492" s="21"/>
      <c r="S1492" s="21"/>
      <c r="T1492" s="21"/>
      <c r="U1492" s="22">
        <f>IFERROR(__xludf.DUMMYFUNCTION("IFERROR(GOOGLEFINANCE(A1492,""closeyest""),"""")"),3600.0)</f>
        <v>3600</v>
      </c>
      <c r="V1492" s="23">
        <f>IFERROR(__xludf.DUMMYFUNCTION("IFERROR(GOOGLEFINANCE(A1492,""changepct""),"""")"),4.17)</f>
        <v>4.17</v>
      </c>
      <c r="W1492" s="22">
        <f>IFERROR(__xludf.DUMMYFUNCTION("IFERROR(GOOGLEFINANCE(A1492,""priceopen""),"""")"),3670.0)</f>
        <v>3670</v>
      </c>
      <c r="X1492" s="22" t="str">
        <f>IFERROR(__xludf.DUMMYFUNCTION("IFERROR(GOOGLEFINANCE(A1492,""high""),"""")"),"")</f>
        <v/>
      </c>
      <c r="Y1492" s="22">
        <f>IFERROR(__xludf.DUMMYFUNCTION("IFERROR(GOOGLEFINANCE(A1492,""low""),"""")"),3660.0)</f>
        <v>3660</v>
      </c>
      <c r="Z1492" s="22">
        <f>IFERROR(__xludf.DUMMYFUNCTION("IFERROR(GOOGLEFINANCE(A1492,""volume""),"""")"),3.83466E7)</f>
        <v>38346600</v>
      </c>
      <c r="AA1492" s="24" t="str">
        <f>VLOOKUP(A1492,Metrik!$C$2:$Y$959,5,0)</f>
        <v>Oil &amp; Gas</v>
      </c>
      <c r="AB1492" s="24" t="str">
        <f>VLOOKUP(A1492,Metrik!$C$2:$Y$959,3,0)</f>
        <v>Energy</v>
      </c>
    </row>
    <row r="1493">
      <c r="A1493" s="14" t="s">
        <v>803</v>
      </c>
      <c r="B1493" s="14" t="str">
        <f t="array" ref="B1493">VLOOKUP(A1493,{Metrik!$C$2:$C$998,Metrik!$B$2:$B$998},2,0)</f>
        <v>Rukun Raharja Tbk.</v>
      </c>
      <c r="C1493" s="15">
        <f>IFERROR(__xludf.DUMMYFUNCTION("GOOGLEFINANCE(""IDX:""&amp;A1493,""price"")"),3750.0)</f>
        <v>3750</v>
      </c>
      <c r="D1493" s="16" t="str">
        <f>IFERROR(__xludf.DUMMYFUNCTION("IF(A1493="""","""",
SPARKLINE(
INDEX(
GOOGLEFINANCE(""IDX:""&amp;A1493,""close"",TODAY()-365,TODAY()),
,2
),
{""linewidth"",1}
))
"),"#N/A")</f>
        <v>#N/A</v>
      </c>
      <c r="E1493" s="14" t="s">
        <v>32</v>
      </c>
      <c r="F1493" s="14" t="s">
        <v>29</v>
      </c>
      <c r="G1493" s="24">
        <f t="shared" si="9"/>
        <v>6</v>
      </c>
      <c r="H1493" s="19">
        <f>VLOOKUP(A1493,Metrik!$C$2:$Y$959,8,0)</f>
        <v>32.1</v>
      </c>
      <c r="I1493" s="20">
        <f>VLOOKUP(A1493,Metrik!$C$2:$Y$959,9,0)</f>
        <v>3.6</v>
      </c>
      <c r="J1493" s="20">
        <f>VLOOKUP(A1493,Metrik!$C$2:$Y$959,10,0)</f>
        <v>11.2</v>
      </c>
      <c r="K1493" s="20">
        <f>VLOOKUP(A1493,Metrik!$C$2:$Y$959,11,0)</f>
        <v>5.6</v>
      </c>
      <c r="L1493" s="20">
        <f>VLOOKUP(A1493,Metrik!$C$2:$Y$959,12,0)</f>
        <v>0.99</v>
      </c>
      <c r="M1493" s="20">
        <f>VLOOKUP(A1493,Metrik!$C$2:$Y$959,19,0)</f>
        <v>52.4</v>
      </c>
      <c r="N1493" s="21"/>
      <c r="O1493" s="21"/>
      <c r="P1493" s="21"/>
      <c r="Q1493" s="21"/>
      <c r="R1493" s="21"/>
      <c r="S1493" s="21"/>
      <c r="T1493" s="21"/>
      <c r="U1493" s="22">
        <f>IFERROR(__xludf.DUMMYFUNCTION("IFERROR(GOOGLEFINANCE(A1493,""closeyest""),"""")"),3600.0)</f>
        <v>3600</v>
      </c>
      <c r="V1493" s="23">
        <f>IFERROR(__xludf.DUMMYFUNCTION("IFERROR(GOOGLEFINANCE(A1493,""changepct""),"""")"),4.17)</f>
        <v>4.17</v>
      </c>
      <c r="W1493" s="22">
        <f>IFERROR(__xludf.DUMMYFUNCTION("IFERROR(GOOGLEFINANCE(A1493,""priceopen""),"""")"),3670.0)</f>
        <v>3670</v>
      </c>
      <c r="X1493" s="22" t="str">
        <f>IFERROR(__xludf.DUMMYFUNCTION("IFERROR(GOOGLEFINANCE(A1493,""high""),"""")"),"")</f>
        <v/>
      </c>
      <c r="Y1493" s="22">
        <f>IFERROR(__xludf.DUMMYFUNCTION("IFERROR(GOOGLEFINANCE(A1493,""low""),"""")"),3660.0)</f>
        <v>3660</v>
      </c>
      <c r="Z1493" s="22">
        <f>IFERROR(__xludf.DUMMYFUNCTION("IFERROR(GOOGLEFINANCE(A1493,""volume""),"""")"),3.83466E7)</f>
        <v>38346600</v>
      </c>
      <c r="AA1493" s="24" t="str">
        <f>VLOOKUP(A1493,Metrik!$C$2:$Y$959,5,0)</f>
        <v>Oil &amp; Gas</v>
      </c>
      <c r="AB1493" s="24" t="str">
        <f>VLOOKUP(A1493,Metrik!$C$2:$Y$959,3,0)</f>
        <v>Energy</v>
      </c>
    </row>
    <row r="1494">
      <c r="A1494" s="14" t="s">
        <v>803</v>
      </c>
      <c r="B1494" s="14" t="str">
        <f t="array" ref="B1494">VLOOKUP(A1494,{Metrik!$C$2:$C$998,Metrik!$B$2:$B$998},2,0)</f>
        <v>Rukun Raharja Tbk.</v>
      </c>
      <c r="C1494" s="15">
        <f>IFERROR(__xludf.DUMMYFUNCTION("GOOGLEFINANCE(""IDX:""&amp;A1494,""price"")"),3750.0)</f>
        <v>3750</v>
      </c>
      <c r="D1494" s="16" t="str">
        <f>IFERROR(__xludf.DUMMYFUNCTION("IF(A1494="""","""",
SPARKLINE(
INDEX(
GOOGLEFINANCE(""IDX:""&amp;A1494,""close"",TODAY()-365,TODAY()),
,2
),
{""linewidth"",1}
))
"),"#N/A")</f>
        <v>#N/A</v>
      </c>
      <c r="E1494" s="14" t="s">
        <v>28</v>
      </c>
      <c r="F1494" s="17" t="s">
        <v>29</v>
      </c>
      <c r="G1494" s="24">
        <f t="shared" si="9"/>
        <v>6</v>
      </c>
      <c r="H1494" s="19">
        <f>VLOOKUP(A1494,Metrik!$C$2:$Y$959,8,0)</f>
        <v>32.1</v>
      </c>
      <c r="I1494" s="20">
        <f>VLOOKUP(A1494,Metrik!$C$2:$Y$959,9,0)</f>
        <v>3.6</v>
      </c>
      <c r="J1494" s="20">
        <f>VLOOKUP(A1494,Metrik!$C$2:$Y$959,10,0)</f>
        <v>11.2</v>
      </c>
      <c r="K1494" s="20">
        <f>VLOOKUP(A1494,Metrik!$C$2:$Y$959,11,0)</f>
        <v>5.6</v>
      </c>
      <c r="L1494" s="20">
        <f>VLOOKUP(A1494,Metrik!$C$2:$Y$959,12,0)</f>
        <v>0.99</v>
      </c>
      <c r="M1494" s="20">
        <f>VLOOKUP(A1494,Metrik!$C$2:$Y$959,19,0)</f>
        <v>52.4</v>
      </c>
      <c r="N1494" s="21"/>
      <c r="O1494" s="21"/>
      <c r="P1494" s="21"/>
      <c r="Q1494" s="21"/>
      <c r="R1494" s="21"/>
      <c r="S1494" s="21"/>
      <c r="T1494" s="21"/>
      <c r="U1494" s="22">
        <f>IFERROR(__xludf.DUMMYFUNCTION("IFERROR(GOOGLEFINANCE(A1494,""closeyest""),"""")"),3600.0)</f>
        <v>3600</v>
      </c>
      <c r="V1494" s="23">
        <f>IFERROR(__xludf.DUMMYFUNCTION("IFERROR(GOOGLEFINANCE(A1494,""changepct""),"""")"),4.17)</f>
        <v>4.17</v>
      </c>
      <c r="W1494" s="22">
        <f>IFERROR(__xludf.DUMMYFUNCTION("IFERROR(GOOGLEFINANCE(A1494,""priceopen""),"""")"),3670.0)</f>
        <v>3670</v>
      </c>
      <c r="X1494" s="22" t="str">
        <f>IFERROR(__xludf.DUMMYFUNCTION("IFERROR(GOOGLEFINANCE(A1494,""high""),"""")"),"")</f>
        <v/>
      </c>
      <c r="Y1494" s="22">
        <f>IFERROR(__xludf.DUMMYFUNCTION("IFERROR(GOOGLEFINANCE(A1494,""low""),"""")"),3660.0)</f>
        <v>3660</v>
      </c>
      <c r="Z1494" s="22">
        <f>IFERROR(__xludf.DUMMYFUNCTION("IFERROR(GOOGLEFINANCE(A1494,""volume""),"""")"),3.83466E7)</f>
        <v>38346600</v>
      </c>
      <c r="AA1494" s="24" t="str">
        <f>VLOOKUP(A1494,Metrik!$C$2:$Y$959,5,0)</f>
        <v>Oil &amp; Gas</v>
      </c>
      <c r="AB1494" s="24" t="str">
        <f>VLOOKUP(A1494,Metrik!$C$2:$Y$959,3,0)</f>
        <v>Energy</v>
      </c>
    </row>
    <row r="1495">
      <c r="A1495" s="17" t="s">
        <v>803</v>
      </c>
      <c r="B1495" s="14" t="str">
        <f t="array" ref="B1495">VLOOKUP(A1495,{Metrik!$C$2:$C$998,Metrik!$B$2:$B$998},2,0)</f>
        <v>Rukun Raharja Tbk.</v>
      </c>
      <c r="C1495" s="15">
        <f>IFERROR(__xludf.DUMMYFUNCTION("GOOGLEFINANCE(""IDX:""&amp;A1495,""price"")"),3750.0)</f>
        <v>3750</v>
      </c>
      <c r="D1495" s="16" t="str">
        <f>IFERROR(__xludf.DUMMYFUNCTION("IF(A1495="""","""",
SPARKLINE(
INDEX(
GOOGLEFINANCE(""IDX:""&amp;A1495,""close"",TODAY()-365,TODAY()),
,2
),
{""linewidth"",1}
))
"),"#N/A")</f>
        <v>#N/A</v>
      </c>
      <c r="E1495" s="14" t="s">
        <v>35</v>
      </c>
      <c r="F1495" s="17" t="s">
        <v>36</v>
      </c>
      <c r="G1495" s="33">
        <f t="shared" si="9"/>
        <v>6</v>
      </c>
      <c r="H1495" s="34">
        <f>VLOOKUP(A1495,Metrik!$C$2:$Y$959,8,0)</f>
        <v>32.1</v>
      </c>
      <c r="I1495" s="34">
        <f>VLOOKUP(A1495,Metrik!$C$2:$Y$959,9,0)</f>
        <v>3.6</v>
      </c>
      <c r="J1495" s="34">
        <f>VLOOKUP(A1495,Metrik!$C$2:$Y$959,10,0)</f>
        <v>11.2</v>
      </c>
      <c r="K1495" s="34">
        <f>VLOOKUP(A1495,Metrik!$C$2:$Y$959,11,0)</f>
        <v>5.6</v>
      </c>
      <c r="L1495" s="34">
        <f>VLOOKUP(A1495,Metrik!$C$2:$Y$959,12,0)</f>
        <v>0.99</v>
      </c>
      <c r="M1495" s="34">
        <f>VLOOKUP(A1495,Metrik!$C$2:$Y$959,19,0)</f>
        <v>52.4</v>
      </c>
      <c r="N1495" s="26"/>
      <c r="O1495" s="26"/>
      <c r="P1495" s="26"/>
      <c r="Q1495" s="26"/>
      <c r="R1495" s="26"/>
      <c r="S1495" s="26"/>
      <c r="T1495" s="26"/>
      <c r="U1495" s="35">
        <f>IFERROR(__xludf.DUMMYFUNCTION("IFERROR(GOOGLEFINANCE(A1495,""closeyest""),"""")"),3600.0)</f>
        <v>3600</v>
      </c>
      <c r="V1495" s="36">
        <f>IFERROR(__xludf.DUMMYFUNCTION("IFERROR(GOOGLEFINANCE(A1495,""changepct""),"""")"),4.17)</f>
        <v>4.17</v>
      </c>
      <c r="W1495" s="35">
        <f>IFERROR(__xludf.DUMMYFUNCTION("IFERROR(GOOGLEFINANCE(A1495,""priceopen""),"""")"),3670.0)</f>
        <v>3670</v>
      </c>
      <c r="X1495" s="49" t="str">
        <f>IFERROR(__xludf.DUMMYFUNCTION("IFERROR(GOOGLEFINANCE(A1495,""high""),"""")"),"")</f>
        <v/>
      </c>
      <c r="Y1495" s="35">
        <f>IFERROR(__xludf.DUMMYFUNCTION("IFERROR(GOOGLEFINANCE(A1495,""low""),"""")"),3660.0)</f>
        <v>3660</v>
      </c>
      <c r="Z1495" s="35">
        <f>IFERROR(__xludf.DUMMYFUNCTION("IFERROR(GOOGLEFINANCE(A1495,""volume""),"""")"),3.83466E7)</f>
        <v>38346600</v>
      </c>
      <c r="AA1495" s="14" t="str">
        <f>VLOOKUP(A1495,Metrik!$C$2:$Y$959,5,0)</f>
        <v>Oil &amp; Gas</v>
      </c>
      <c r="AB1495" s="14" t="str">
        <f>VLOOKUP(A1495,Metrik!$C$2:$Y$959,3,0)</f>
        <v>Energy</v>
      </c>
    </row>
    <row r="1496">
      <c r="A1496" s="14" t="s">
        <v>804</v>
      </c>
      <c r="B1496" s="14" t="str">
        <f t="array" ref="B1496">VLOOKUP(A1496,{Metrik!$C$2:$C$998,Metrik!$B$2:$B$998},2,0)</f>
        <v>Ramayana Lestari Sentosa Tbk.</v>
      </c>
      <c r="C1496" s="15">
        <f>IFERROR(__xludf.DUMMYFUNCTION("GOOGLEFINANCE(""IDX:""&amp;A1496,""price"")"),382.0)</f>
        <v>382</v>
      </c>
      <c r="D1496" s="16" t="str">
        <f>IFERROR(__xludf.DUMMYFUNCTION("IF(A1496="""","""",
SPARKLINE(
INDEX(
GOOGLEFINANCE(""IDX:""&amp;A1496,""close"",TODAY()-365,TODAY()),
,2
),
{""linewidth"",1}
))
"),"#N/A")</f>
        <v>#N/A</v>
      </c>
      <c r="E1496" s="26"/>
      <c r="F1496" s="26"/>
      <c r="G1496" s="24">
        <f t="shared" si="9"/>
        <v>0</v>
      </c>
      <c r="H1496" s="19">
        <f>VLOOKUP(A1496,Metrik!$C$2:$Y$959,8,0)</f>
        <v>11.2</v>
      </c>
      <c r="I1496" s="20">
        <f>VLOOKUP(A1496,Metrik!$C$2:$Y$959,9,0)</f>
        <v>0.71</v>
      </c>
      <c r="J1496" s="20">
        <f>VLOOKUP(A1496,Metrik!$C$2:$Y$959,10,0)</f>
        <v>6.4</v>
      </c>
      <c r="K1496" s="20">
        <f>VLOOKUP(A1496,Metrik!$C$2:$Y$959,11,0)</f>
        <v>4.4</v>
      </c>
      <c r="L1496" s="20">
        <f>VLOOKUP(A1496,Metrik!$C$2:$Y$959,12,0)</f>
        <v>0.47</v>
      </c>
      <c r="M1496" s="20">
        <f>VLOOKUP(A1496,Metrik!$C$2:$Y$959,19,0)</f>
        <v>24.4</v>
      </c>
      <c r="N1496" s="21"/>
      <c r="O1496" s="21"/>
      <c r="P1496" s="21"/>
      <c r="Q1496" s="21"/>
      <c r="R1496" s="21"/>
      <c r="S1496" s="21"/>
      <c r="T1496" s="21"/>
      <c r="U1496" s="22">
        <f>IFERROR(__xludf.DUMMYFUNCTION("IFERROR(GOOGLEFINANCE(A1496,""closeyest""),"""")"),378.0)</f>
        <v>378</v>
      </c>
      <c r="V1496" s="23">
        <f>IFERROR(__xludf.DUMMYFUNCTION("IFERROR(GOOGLEFINANCE(A1496,""changepct""),"""")"),1.06)</f>
        <v>1.06</v>
      </c>
      <c r="W1496" s="22">
        <f>IFERROR(__xludf.DUMMYFUNCTION("IFERROR(GOOGLEFINANCE(A1496,""priceopen""),"""")"),378.0)</f>
        <v>378</v>
      </c>
      <c r="X1496" s="22">
        <f>IFERROR(__xludf.DUMMYFUNCTION("IFERROR(GOOGLEFINANCE(A1496,""high""),"""")"),388.0)</f>
        <v>388</v>
      </c>
      <c r="Y1496" s="22">
        <f>IFERROR(__xludf.DUMMYFUNCTION("IFERROR(GOOGLEFINANCE(A1496,""low""),"""")"),378.0)</f>
        <v>378</v>
      </c>
      <c r="Z1496" s="22">
        <f>IFERROR(__xludf.DUMMYFUNCTION("IFERROR(GOOGLEFINANCE(A1496,""volume""),"""")"),4739200.0)</f>
        <v>4739200</v>
      </c>
      <c r="AA1496" s="24" t="str">
        <f>VLOOKUP(A1496,Metrik!$C$2:$Y$959,5,0)</f>
        <v>Department Stores</v>
      </c>
      <c r="AB1496" s="24" t="str">
        <f>VLOOKUP(A1496,Metrik!$C$2:$Y$959,3,0)</f>
        <v>Consumer Cyclicals</v>
      </c>
    </row>
    <row r="1497">
      <c r="A1497" s="14" t="s">
        <v>805</v>
      </c>
      <c r="B1497" s="14" t="str">
        <f t="array" ref="B1497">VLOOKUP(A1497,{Metrik!$C$2:$C$998,Metrik!$B$2:$B$998},2,0)</f>
        <v>Supra Boga Lestari Tbk</v>
      </c>
      <c r="C1497" s="15">
        <f>IFERROR(__xludf.DUMMYFUNCTION("GOOGLEFINANCE(""IDX:""&amp;A1497,""price"")"),535.0)</f>
        <v>535</v>
      </c>
      <c r="D1497" s="16" t="str">
        <f>IFERROR(__xludf.DUMMYFUNCTION("IF(A1497="""","""",
SPARKLINE(
INDEX(
GOOGLEFINANCE(""IDX:""&amp;A1497,""close"",TODAY()-365,TODAY()),
,2
),
{""linewidth"",1}
))
"),"#N/A")</f>
        <v>#N/A</v>
      </c>
      <c r="E1497" s="26"/>
      <c r="F1497" s="26"/>
      <c r="G1497" s="24">
        <f t="shared" si="9"/>
        <v>0</v>
      </c>
      <c r="H1497" s="19">
        <f>VLOOKUP(A1497,Metrik!$C$2:$Y$959,8,0)</f>
        <v>-20.2</v>
      </c>
      <c r="I1497" s="20">
        <f>VLOOKUP(A1497,Metrik!$C$2:$Y$959,9,0)</f>
        <v>3</v>
      </c>
      <c r="J1497" s="20">
        <f>VLOOKUP(A1497,Metrik!$C$2:$Y$959,10,0)</f>
        <v>-14.9</v>
      </c>
      <c r="K1497" s="20">
        <f>VLOOKUP(A1497,Metrik!$C$2:$Y$959,11,0)</f>
        <v>-3.4</v>
      </c>
      <c r="L1497" s="20">
        <f>VLOOKUP(A1497,Metrik!$C$2:$Y$959,12,0)</f>
        <v>3.3</v>
      </c>
      <c r="M1497" s="20">
        <f>VLOOKUP(A1497,Metrik!$C$2:$Y$959,19,0)</f>
        <v>-4.9</v>
      </c>
      <c r="N1497" s="21"/>
      <c r="O1497" s="21"/>
      <c r="P1497" s="21"/>
      <c r="Q1497" s="21"/>
      <c r="R1497" s="21"/>
      <c r="S1497" s="21"/>
      <c r="T1497" s="21"/>
      <c r="U1497" s="22">
        <f>IFERROR(__xludf.DUMMYFUNCTION("IFERROR(GOOGLEFINANCE(A1497,""closeyest""),"""")"),510.0)</f>
        <v>510</v>
      </c>
      <c r="V1497" s="23">
        <f>IFERROR(__xludf.DUMMYFUNCTION("IFERROR(GOOGLEFINANCE(A1497,""changepct""),"""")"),4.9)</f>
        <v>4.9</v>
      </c>
      <c r="W1497" s="22">
        <f>IFERROR(__xludf.DUMMYFUNCTION("IFERROR(GOOGLEFINANCE(A1497,""priceopen""),"""")"),490.0)</f>
        <v>490</v>
      </c>
      <c r="X1497" s="22">
        <f>IFERROR(__xludf.DUMMYFUNCTION("IFERROR(GOOGLEFINANCE(A1497,""high""),"""")"),585.0)</f>
        <v>585</v>
      </c>
      <c r="Y1497" s="22">
        <f>IFERROR(__xludf.DUMMYFUNCTION("IFERROR(GOOGLEFINANCE(A1497,""low""),"""")"),490.0)</f>
        <v>490</v>
      </c>
      <c r="Z1497" s="22">
        <f>IFERROR(__xludf.DUMMYFUNCTION("IFERROR(GOOGLEFINANCE(A1497,""volume""),"""")"),21200.0)</f>
        <v>21200</v>
      </c>
      <c r="AA1497" s="24" t="str">
        <f>VLOOKUP(A1497,Metrik!$C$2:$Y$959,5,0)</f>
        <v>Food &amp; Staples Retailing</v>
      </c>
      <c r="AB1497" s="24" t="str">
        <f>VLOOKUP(A1497,Metrik!$C$2:$Y$959,3,0)</f>
        <v>Consumer Non-Cyclicals</v>
      </c>
    </row>
    <row r="1498">
      <c r="A1498" s="17" t="s">
        <v>806</v>
      </c>
      <c r="B1498" s="14" t="str">
        <f t="array" ref="B1498">VLOOKUP(A1498,{Metrik!$C$2:$C$998,Metrik!$B$2:$B$998},2,0)</f>
        <v>Raharja Energi Cepu Tbk.</v>
      </c>
      <c r="C1498" s="15">
        <f>IFERROR(__xludf.DUMMYFUNCTION("GOOGLEFINANCE(""IDX:""&amp;A1498,""price"")"),4710.0)</f>
        <v>4710</v>
      </c>
      <c r="D1498" s="16" t="str">
        <f>IFERROR(__xludf.DUMMYFUNCTION("IF(A1498="""","""",
SPARKLINE(
INDEX(
GOOGLEFINANCE(""IDX:""&amp;A1498,""close"",TODAY()-365,TODAY()),
,2
),
{""linewidth"",1}
))
"),"#N/A")</f>
        <v>#N/A</v>
      </c>
      <c r="E1498" s="14" t="s">
        <v>65</v>
      </c>
      <c r="F1498" s="37">
        <v>46356.0</v>
      </c>
      <c r="G1498" s="38">
        <f t="shared" si="9"/>
        <v>6</v>
      </c>
      <c r="H1498" s="34">
        <f>VLOOKUP(A1498,Metrik!$C$2:$Y$959,8,0)</f>
        <v>63.4</v>
      </c>
      <c r="I1498" s="34">
        <f>VLOOKUP(A1498,Metrik!$C$2:$Y$959,9,0)</f>
        <v>14</v>
      </c>
      <c r="J1498" s="34">
        <f>VLOOKUP(A1498,Metrik!$C$2:$Y$959,10,0)</f>
        <v>22</v>
      </c>
      <c r="K1498" s="34">
        <f>VLOOKUP(A1498,Metrik!$C$2:$Y$959,11,0)</f>
        <v>10.2</v>
      </c>
      <c r="L1498" s="34">
        <f>VLOOKUP(A1498,Metrik!$C$2:$Y$959,12,0)</f>
        <v>1.2</v>
      </c>
      <c r="M1498" s="34">
        <f>VLOOKUP(A1498,Metrik!$C$2:$Y$959,19,0)</f>
        <v>120</v>
      </c>
      <c r="N1498" s="26"/>
      <c r="O1498" s="26"/>
      <c r="P1498" s="26"/>
      <c r="Q1498" s="26"/>
      <c r="R1498" s="26"/>
      <c r="S1498" s="26"/>
      <c r="T1498" s="26"/>
      <c r="U1498" s="35">
        <f>IFERROR(__xludf.DUMMYFUNCTION("IFERROR(GOOGLEFINANCE(A1498,""closeyest""),"""")"),4540.0)</f>
        <v>4540</v>
      </c>
      <c r="V1498" s="36">
        <f>IFERROR(__xludf.DUMMYFUNCTION("IFERROR(GOOGLEFINANCE(A1498,""changepct""),"""")"),3.74)</f>
        <v>3.74</v>
      </c>
      <c r="W1498" s="35">
        <f>IFERROR(__xludf.DUMMYFUNCTION("IFERROR(GOOGLEFINANCE(A1498,""priceopen""),"""")"),4620.0)</f>
        <v>4620</v>
      </c>
      <c r="X1498" s="35">
        <f>IFERROR(__xludf.DUMMYFUNCTION("IFERROR(GOOGLEFINANCE(A1498,""high""),"""")"),4850.0)</f>
        <v>4850</v>
      </c>
      <c r="Y1498" s="35">
        <f>IFERROR(__xludf.DUMMYFUNCTION("IFERROR(GOOGLEFINANCE(A1498,""low""),"""")"),4620.0)</f>
        <v>4620</v>
      </c>
      <c r="Z1498" s="35">
        <f>IFERROR(__xludf.DUMMYFUNCTION("IFERROR(GOOGLEFINANCE(A1498,""volume""),"""")"),6294000.0)</f>
        <v>6294000</v>
      </c>
      <c r="AA1498" s="14" t="str">
        <f>VLOOKUP(A1498,Metrik!$C$2:$Y$959,5,0)</f>
        <v>Oil &amp; Gas</v>
      </c>
      <c r="AB1498" s="14" t="str">
        <f>VLOOKUP(A1498,Metrik!$C$2:$Y$959,3,0)</f>
        <v>Energy</v>
      </c>
    </row>
    <row r="1499">
      <c r="A1499" s="14" t="s">
        <v>806</v>
      </c>
      <c r="B1499" s="14" t="str">
        <f t="array" ref="B1499">VLOOKUP(A1499,{Metrik!$C$2:$C$998,Metrik!$B$2:$B$998},2,0)</f>
        <v>Raharja Energi Cepu Tbk.</v>
      </c>
      <c r="C1499" s="15">
        <f>IFERROR(__xludf.DUMMYFUNCTION("GOOGLEFINANCE(""IDX:""&amp;A1499,""price"")"),4710.0)</f>
        <v>4710</v>
      </c>
      <c r="D1499" s="16" t="str">
        <f>IFERROR(__xludf.DUMMYFUNCTION("IF(A1499="""","""",
SPARKLINE(
INDEX(
GOOGLEFINANCE(""IDX:""&amp;A1499,""close"",TODAY()-365,TODAY()),
,2
),
{""linewidth"",1}
))
"),"#N/A")</f>
        <v>#N/A</v>
      </c>
      <c r="E1499" s="14" t="s">
        <v>38</v>
      </c>
      <c r="F1499" s="25">
        <v>46356.0</v>
      </c>
      <c r="G1499" s="24">
        <f t="shared" si="9"/>
        <v>6</v>
      </c>
      <c r="H1499" s="19">
        <f>VLOOKUP(A1499,Metrik!$C$2:$Y$959,8,0)</f>
        <v>63.4</v>
      </c>
      <c r="I1499" s="20">
        <f>VLOOKUP(A1499,Metrik!$C$2:$Y$959,9,0)</f>
        <v>14</v>
      </c>
      <c r="J1499" s="20">
        <f>VLOOKUP(A1499,Metrik!$C$2:$Y$959,10,0)</f>
        <v>22</v>
      </c>
      <c r="K1499" s="20">
        <f>VLOOKUP(A1499,Metrik!$C$2:$Y$959,11,0)</f>
        <v>10.2</v>
      </c>
      <c r="L1499" s="20">
        <f>VLOOKUP(A1499,Metrik!$C$2:$Y$959,12,0)</f>
        <v>1.2</v>
      </c>
      <c r="M1499" s="20">
        <f>VLOOKUP(A1499,Metrik!$C$2:$Y$959,19,0)</f>
        <v>120</v>
      </c>
      <c r="N1499" s="21"/>
      <c r="O1499" s="21"/>
      <c r="P1499" s="21"/>
      <c r="Q1499" s="21"/>
      <c r="R1499" s="21"/>
      <c r="S1499" s="21"/>
      <c r="T1499" s="21"/>
      <c r="U1499" s="22">
        <f>IFERROR(__xludf.DUMMYFUNCTION("IFERROR(GOOGLEFINANCE(A1499,""closeyest""),"""")"),4540.0)</f>
        <v>4540</v>
      </c>
      <c r="V1499" s="23">
        <f>IFERROR(__xludf.DUMMYFUNCTION("IFERROR(GOOGLEFINANCE(A1499,""changepct""),"""")"),3.74)</f>
        <v>3.74</v>
      </c>
      <c r="W1499" s="22">
        <f>IFERROR(__xludf.DUMMYFUNCTION("IFERROR(GOOGLEFINANCE(A1499,""priceopen""),"""")"),4620.0)</f>
        <v>4620</v>
      </c>
      <c r="X1499" s="22">
        <f>IFERROR(__xludf.DUMMYFUNCTION("IFERROR(GOOGLEFINANCE(A1499,""high""),"""")"),4850.0)</f>
        <v>4850</v>
      </c>
      <c r="Y1499" s="22">
        <f>IFERROR(__xludf.DUMMYFUNCTION("IFERROR(GOOGLEFINANCE(A1499,""low""),"""")"),4620.0)</f>
        <v>4620</v>
      </c>
      <c r="Z1499" s="22">
        <f>IFERROR(__xludf.DUMMYFUNCTION("IFERROR(GOOGLEFINANCE(A1499,""volume""),"""")"),6294000.0)</f>
        <v>6294000</v>
      </c>
      <c r="AA1499" s="24" t="str">
        <f>VLOOKUP(A1499,Metrik!$C$2:$Y$959,5,0)</f>
        <v>Oil &amp; Gas</v>
      </c>
      <c r="AB1499" s="24" t="str">
        <f>VLOOKUP(A1499,Metrik!$C$2:$Y$959,3,0)</f>
        <v>Energy</v>
      </c>
    </row>
    <row r="1500">
      <c r="A1500" s="14" t="s">
        <v>806</v>
      </c>
      <c r="B1500" s="14" t="str">
        <f t="array" ref="B1500">VLOOKUP(A1500,{Metrik!$C$2:$C$998,Metrik!$B$2:$B$998},2,0)</f>
        <v>Raharja Energi Cepu Tbk.</v>
      </c>
      <c r="C1500" s="15">
        <f>IFERROR(__xludf.DUMMYFUNCTION("GOOGLEFINANCE(""IDX:""&amp;A1500,""price"")"),4710.0)</f>
        <v>4710</v>
      </c>
      <c r="D1500" s="16" t="str">
        <f>IFERROR(__xludf.DUMMYFUNCTION("IF(A1500="""","""",
SPARKLINE(
INDEX(
GOOGLEFINANCE(""IDX:""&amp;A1500,""close"",TODAY()-365,TODAY()),
,2
),
{""linewidth"",1}
))
"),"#N/A")</f>
        <v>#N/A</v>
      </c>
      <c r="E1500" s="14" t="s">
        <v>28</v>
      </c>
      <c r="F1500" s="17" t="s">
        <v>29</v>
      </c>
      <c r="G1500" s="24">
        <f t="shared" si="9"/>
        <v>6</v>
      </c>
      <c r="H1500" s="19">
        <f>VLOOKUP(A1500,Metrik!$C$2:$Y$959,8,0)</f>
        <v>63.4</v>
      </c>
      <c r="I1500" s="20">
        <f>VLOOKUP(A1500,Metrik!$C$2:$Y$959,9,0)</f>
        <v>14</v>
      </c>
      <c r="J1500" s="20">
        <f>VLOOKUP(A1500,Metrik!$C$2:$Y$959,10,0)</f>
        <v>22</v>
      </c>
      <c r="K1500" s="20">
        <f>VLOOKUP(A1500,Metrik!$C$2:$Y$959,11,0)</f>
        <v>10.2</v>
      </c>
      <c r="L1500" s="20">
        <f>VLOOKUP(A1500,Metrik!$C$2:$Y$959,12,0)</f>
        <v>1.2</v>
      </c>
      <c r="M1500" s="20">
        <f>VLOOKUP(A1500,Metrik!$C$2:$Y$959,19,0)</f>
        <v>120</v>
      </c>
      <c r="N1500" s="21"/>
      <c r="O1500" s="21"/>
      <c r="P1500" s="21"/>
      <c r="Q1500" s="21"/>
      <c r="R1500" s="21"/>
      <c r="S1500" s="21"/>
      <c r="T1500" s="21"/>
      <c r="U1500" s="22">
        <f>IFERROR(__xludf.DUMMYFUNCTION("IFERROR(GOOGLEFINANCE(A1500,""closeyest""),"""")"),4540.0)</f>
        <v>4540</v>
      </c>
      <c r="V1500" s="23">
        <f>IFERROR(__xludf.DUMMYFUNCTION("IFERROR(GOOGLEFINANCE(A1500,""changepct""),"""")"),3.74)</f>
        <v>3.74</v>
      </c>
      <c r="W1500" s="22">
        <f>IFERROR(__xludf.DUMMYFUNCTION("IFERROR(GOOGLEFINANCE(A1500,""priceopen""),"""")"),4620.0)</f>
        <v>4620</v>
      </c>
      <c r="X1500" s="22">
        <f>IFERROR(__xludf.DUMMYFUNCTION("IFERROR(GOOGLEFINANCE(A1500,""high""),"""")"),4850.0)</f>
        <v>4850</v>
      </c>
      <c r="Y1500" s="22">
        <f>IFERROR(__xludf.DUMMYFUNCTION("IFERROR(GOOGLEFINANCE(A1500,""low""),"""")"),4620.0)</f>
        <v>4620</v>
      </c>
      <c r="Z1500" s="22">
        <f>IFERROR(__xludf.DUMMYFUNCTION("IFERROR(GOOGLEFINANCE(A1500,""volume""),"""")"),6294000.0)</f>
        <v>6294000</v>
      </c>
      <c r="AA1500" s="24" t="str">
        <f>VLOOKUP(A1500,Metrik!$C$2:$Y$959,5,0)</f>
        <v>Oil &amp; Gas</v>
      </c>
      <c r="AB1500" s="24" t="str">
        <f>VLOOKUP(A1500,Metrik!$C$2:$Y$959,3,0)</f>
        <v>Energy</v>
      </c>
    </row>
    <row r="1501">
      <c r="A1501" s="14" t="s">
        <v>806</v>
      </c>
      <c r="B1501" s="14" t="str">
        <f t="array" ref="B1501">VLOOKUP(A1501,{Metrik!$C$2:$C$998,Metrik!$B$2:$B$998},2,0)</f>
        <v>Raharja Energi Cepu Tbk.</v>
      </c>
      <c r="C1501" s="15">
        <f>IFERROR(__xludf.DUMMYFUNCTION("GOOGLEFINANCE(""IDX:""&amp;A1501,""price"")"),4710.0)</f>
        <v>4710</v>
      </c>
      <c r="D1501" s="16" t="str">
        <f>IFERROR(__xludf.DUMMYFUNCTION("IF(A1501="""","""",
SPARKLINE(
INDEX(
GOOGLEFINANCE(""IDX:""&amp;A1501,""close"",TODAY()-365,TODAY()),
,2
),
{""linewidth"",1}
))
"),"#N/A")</f>
        <v>#N/A</v>
      </c>
      <c r="E1501" s="14" t="s">
        <v>32</v>
      </c>
      <c r="F1501" s="14" t="s">
        <v>29</v>
      </c>
      <c r="G1501" s="24">
        <f t="shared" si="9"/>
        <v>6</v>
      </c>
      <c r="H1501" s="19">
        <f>VLOOKUP(A1501,Metrik!$C$2:$Y$959,8,0)</f>
        <v>63.4</v>
      </c>
      <c r="I1501" s="20">
        <f>VLOOKUP(A1501,Metrik!$C$2:$Y$959,9,0)</f>
        <v>14</v>
      </c>
      <c r="J1501" s="20">
        <f>VLOOKUP(A1501,Metrik!$C$2:$Y$959,10,0)</f>
        <v>22</v>
      </c>
      <c r="K1501" s="20">
        <f>VLOOKUP(A1501,Metrik!$C$2:$Y$959,11,0)</f>
        <v>10.2</v>
      </c>
      <c r="L1501" s="20">
        <f>VLOOKUP(A1501,Metrik!$C$2:$Y$959,12,0)</f>
        <v>1.2</v>
      </c>
      <c r="M1501" s="20">
        <f>VLOOKUP(A1501,Metrik!$C$2:$Y$959,19,0)</f>
        <v>120</v>
      </c>
      <c r="N1501" s="21"/>
      <c r="O1501" s="21"/>
      <c r="P1501" s="21"/>
      <c r="Q1501" s="21"/>
      <c r="R1501" s="21"/>
      <c r="S1501" s="21"/>
      <c r="T1501" s="21"/>
      <c r="U1501" s="22">
        <f>IFERROR(__xludf.DUMMYFUNCTION("IFERROR(GOOGLEFINANCE(A1501,""closeyest""),"""")"),4540.0)</f>
        <v>4540</v>
      </c>
      <c r="V1501" s="23">
        <f>IFERROR(__xludf.DUMMYFUNCTION("IFERROR(GOOGLEFINANCE(A1501,""changepct""),"""")"),3.74)</f>
        <v>3.74</v>
      </c>
      <c r="W1501" s="22">
        <f>IFERROR(__xludf.DUMMYFUNCTION("IFERROR(GOOGLEFINANCE(A1501,""priceopen""),"""")"),4620.0)</f>
        <v>4620</v>
      </c>
      <c r="X1501" s="22">
        <f>IFERROR(__xludf.DUMMYFUNCTION("IFERROR(GOOGLEFINANCE(A1501,""high""),"""")"),4850.0)</f>
        <v>4850</v>
      </c>
      <c r="Y1501" s="22">
        <f>IFERROR(__xludf.DUMMYFUNCTION("IFERROR(GOOGLEFINANCE(A1501,""low""),"""")"),4620.0)</f>
        <v>4620</v>
      </c>
      <c r="Z1501" s="22">
        <f>IFERROR(__xludf.DUMMYFUNCTION("IFERROR(GOOGLEFINANCE(A1501,""volume""),"""")"),6294000.0)</f>
        <v>6294000</v>
      </c>
      <c r="AA1501" s="24" t="str">
        <f>VLOOKUP(A1501,Metrik!$C$2:$Y$959,5,0)</f>
        <v>Oil &amp; Gas</v>
      </c>
      <c r="AB1501" s="24" t="str">
        <f>VLOOKUP(A1501,Metrik!$C$2:$Y$959,3,0)</f>
        <v>Energy</v>
      </c>
    </row>
    <row r="1502">
      <c r="A1502" s="17" t="s">
        <v>806</v>
      </c>
      <c r="B1502" s="14" t="str">
        <f t="array" ref="B1502">VLOOKUP(A1502,{Metrik!$C$2:$C$998,Metrik!$B$2:$B$998},2,0)</f>
        <v>Raharja Energi Cepu Tbk.</v>
      </c>
      <c r="C1502" s="15">
        <f>IFERROR(__xludf.DUMMYFUNCTION("GOOGLEFINANCE(""IDX:""&amp;A1502,""price"")"),4710.0)</f>
        <v>4710</v>
      </c>
      <c r="D1502" s="16" t="str">
        <f>IFERROR(__xludf.DUMMYFUNCTION("IF(A1502="""","""",
SPARKLINE(
INDEX(
GOOGLEFINANCE(""IDX:""&amp;A1502,""close"",TODAY()-365,TODAY()),
,2
),
{""linewidth"",1}
))
"),"#N/A")</f>
        <v>#N/A</v>
      </c>
      <c r="E1502" s="14" t="s">
        <v>35</v>
      </c>
      <c r="F1502" s="17" t="s">
        <v>36</v>
      </c>
      <c r="G1502" s="33">
        <f t="shared" si="9"/>
        <v>6</v>
      </c>
      <c r="H1502" s="34">
        <f>VLOOKUP(A1502,Metrik!$C$2:$Y$959,8,0)</f>
        <v>63.4</v>
      </c>
      <c r="I1502" s="34">
        <f>VLOOKUP(A1502,Metrik!$C$2:$Y$959,9,0)</f>
        <v>14</v>
      </c>
      <c r="J1502" s="34">
        <f>VLOOKUP(A1502,Metrik!$C$2:$Y$959,10,0)</f>
        <v>22</v>
      </c>
      <c r="K1502" s="34">
        <f>VLOOKUP(A1502,Metrik!$C$2:$Y$959,11,0)</f>
        <v>10.2</v>
      </c>
      <c r="L1502" s="34">
        <f>VLOOKUP(A1502,Metrik!$C$2:$Y$959,12,0)</f>
        <v>1.2</v>
      </c>
      <c r="M1502" s="34">
        <f>VLOOKUP(A1502,Metrik!$C$2:$Y$959,19,0)</f>
        <v>120</v>
      </c>
      <c r="N1502" s="26"/>
      <c r="O1502" s="26"/>
      <c r="P1502" s="26"/>
      <c r="Q1502" s="26"/>
      <c r="R1502" s="26"/>
      <c r="S1502" s="26"/>
      <c r="T1502" s="26"/>
      <c r="U1502" s="35">
        <f>IFERROR(__xludf.DUMMYFUNCTION("IFERROR(GOOGLEFINANCE(A1502,""closeyest""),"""")"),4540.0)</f>
        <v>4540</v>
      </c>
      <c r="V1502" s="36">
        <f>IFERROR(__xludf.DUMMYFUNCTION("IFERROR(GOOGLEFINANCE(A1502,""changepct""),"""")"),3.74)</f>
        <v>3.74</v>
      </c>
      <c r="W1502" s="35">
        <f>IFERROR(__xludf.DUMMYFUNCTION("IFERROR(GOOGLEFINANCE(A1502,""priceopen""),"""")"),4620.0)</f>
        <v>4620</v>
      </c>
      <c r="X1502" s="35">
        <f>IFERROR(__xludf.DUMMYFUNCTION("IFERROR(GOOGLEFINANCE(A1502,""high""),"""")"),4850.0)</f>
        <v>4850</v>
      </c>
      <c r="Y1502" s="35">
        <f>IFERROR(__xludf.DUMMYFUNCTION("IFERROR(GOOGLEFINANCE(A1502,""low""),"""")"),4620.0)</f>
        <v>4620</v>
      </c>
      <c r="Z1502" s="35">
        <f>IFERROR(__xludf.DUMMYFUNCTION("IFERROR(GOOGLEFINANCE(A1502,""volume""),"""")"),6294000.0)</f>
        <v>6294000</v>
      </c>
      <c r="AA1502" s="14" t="str">
        <f>VLOOKUP(A1502,Metrik!$C$2:$Y$959,5,0)</f>
        <v>Oil &amp; Gas</v>
      </c>
      <c r="AB1502" s="14" t="str">
        <f>VLOOKUP(A1502,Metrik!$C$2:$Y$959,3,0)</f>
        <v>Energy</v>
      </c>
    </row>
    <row r="1503">
      <c r="A1503" s="14" t="s">
        <v>806</v>
      </c>
      <c r="B1503" s="14" t="str">
        <f t="array" ref="B1503">VLOOKUP(A1503,{Metrik!$C$2:$C$998,Metrik!$B$2:$B$998},2,0)</f>
        <v>Raharja Energi Cepu Tbk.</v>
      </c>
      <c r="C1503" s="15">
        <f>IFERROR(__xludf.DUMMYFUNCTION("GOOGLEFINANCE(""IDX:""&amp;A1503,""price"")"),4710.0)</f>
        <v>4710</v>
      </c>
      <c r="D1503" s="16" t="str">
        <f>IFERROR(__xludf.DUMMYFUNCTION("IF(A1503="""","""",
SPARKLINE(
INDEX(
GOOGLEFINANCE(""IDX:""&amp;A1503,""close"",TODAY()-365,TODAY()),
,2
),
{""linewidth"",1}
))
"),"#N/A")</f>
        <v>#N/A</v>
      </c>
      <c r="E1503" s="14" t="s">
        <v>39</v>
      </c>
      <c r="F1503" s="25">
        <v>46356.0</v>
      </c>
      <c r="G1503" s="24">
        <f t="shared" si="9"/>
        <v>6</v>
      </c>
      <c r="H1503" s="19">
        <f>VLOOKUP(A1503,Metrik!$C$2:$Y$959,8,0)</f>
        <v>63.4</v>
      </c>
      <c r="I1503" s="20">
        <f>VLOOKUP(A1503,Metrik!$C$2:$Y$959,9,0)</f>
        <v>14</v>
      </c>
      <c r="J1503" s="20">
        <f>VLOOKUP(A1503,Metrik!$C$2:$Y$959,10,0)</f>
        <v>22</v>
      </c>
      <c r="K1503" s="20">
        <f>VLOOKUP(A1503,Metrik!$C$2:$Y$959,11,0)</f>
        <v>10.2</v>
      </c>
      <c r="L1503" s="20">
        <f>VLOOKUP(A1503,Metrik!$C$2:$Y$959,12,0)</f>
        <v>1.2</v>
      </c>
      <c r="M1503" s="20">
        <f>VLOOKUP(A1503,Metrik!$C$2:$Y$959,19,0)</f>
        <v>120</v>
      </c>
      <c r="N1503" s="21"/>
      <c r="O1503" s="21"/>
      <c r="P1503" s="21"/>
      <c r="Q1503" s="21"/>
      <c r="R1503" s="21"/>
      <c r="S1503" s="21"/>
      <c r="T1503" s="21"/>
      <c r="U1503" s="22">
        <f>IFERROR(__xludf.DUMMYFUNCTION("IFERROR(GOOGLEFINANCE(A1503,""closeyest""),"""")"),4540.0)</f>
        <v>4540</v>
      </c>
      <c r="V1503" s="23">
        <f>IFERROR(__xludf.DUMMYFUNCTION("IFERROR(GOOGLEFINANCE(A1503,""changepct""),"""")"),3.74)</f>
        <v>3.74</v>
      </c>
      <c r="W1503" s="22">
        <f>IFERROR(__xludf.DUMMYFUNCTION("IFERROR(GOOGLEFINANCE(A1503,""priceopen""),"""")"),4620.0)</f>
        <v>4620</v>
      </c>
      <c r="X1503" s="22">
        <f>IFERROR(__xludf.DUMMYFUNCTION("IFERROR(GOOGLEFINANCE(A1503,""high""),"""")"),4850.0)</f>
        <v>4850</v>
      </c>
      <c r="Y1503" s="22">
        <f>IFERROR(__xludf.DUMMYFUNCTION("IFERROR(GOOGLEFINANCE(A1503,""low""),"""")"),4620.0)</f>
        <v>4620</v>
      </c>
      <c r="Z1503" s="22">
        <f>IFERROR(__xludf.DUMMYFUNCTION("IFERROR(GOOGLEFINANCE(A1503,""volume""),"""")"),6294000.0)</f>
        <v>6294000</v>
      </c>
      <c r="AA1503" s="24" t="str">
        <f>VLOOKUP(A1503,Metrik!$C$2:$Y$959,5,0)</f>
        <v>Oil &amp; Gas</v>
      </c>
      <c r="AB1503" s="24" t="str">
        <f>VLOOKUP(A1503,Metrik!$C$2:$Y$959,3,0)</f>
        <v>Energy</v>
      </c>
    </row>
    <row r="1504">
      <c r="A1504" s="14" t="s">
        <v>807</v>
      </c>
      <c r="B1504" s="14" t="str">
        <f t="array" ref="B1504">VLOOKUP(A1504,{Metrik!$C$2:$C$998,Metrik!$B$2:$B$998},2,0)</f>
        <v>Ristia Bintang Mahkotasejati Tbk.</v>
      </c>
      <c r="C1504" s="15">
        <f>IFERROR(__xludf.DUMMYFUNCTION("GOOGLEFINANCE(""IDX:""&amp;A1504,""price"")"),54.0)</f>
        <v>54</v>
      </c>
      <c r="D1504" s="16" t="str">
        <f>IFERROR(__xludf.DUMMYFUNCTION("IF(A1504="""","""",
SPARKLINE(
INDEX(
GOOGLEFINANCE(""IDX:""&amp;A1504,""close"",TODAY()-365,TODAY()),
,2
),
{""linewidth"",1}
))
"),"#N/A")</f>
        <v>#N/A</v>
      </c>
      <c r="E1504" s="26"/>
      <c r="F1504" s="26"/>
      <c r="G1504" s="24">
        <f t="shared" si="9"/>
        <v>0</v>
      </c>
      <c r="H1504" s="19">
        <f>VLOOKUP(A1504,Metrik!$C$2:$Y$959,8,0)</f>
        <v>33.2</v>
      </c>
      <c r="I1504" s="20">
        <f>VLOOKUP(A1504,Metrik!$C$2:$Y$959,9,0)</f>
        <v>0.34</v>
      </c>
      <c r="J1504" s="20">
        <f>VLOOKUP(A1504,Metrik!$C$2:$Y$959,10,0)</f>
        <v>1</v>
      </c>
      <c r="K1504" s="20">
        <f>VLOOKUP(A1504,Metrik!$C$2:$Y$959,11,0)</f>
        <v>0.66</v>
      </c>
      <c r="L1504" s="20">
        <f>VLOOKUP(A1504,Metrik!$C$2:$Y$959,12,0)</f>
        <v>0.56</v>
      </c>
      <c r="M1504" s="20">
        <f>VLOOKUP(A1504,Metrik!$C$2:$Y$959,19,0)</f>
        <v>12.4</v>
      </c>
      <c r="N1504" s="21"/>
      <c r="O1504" s="21"/>
      <c r="P1504" s="21"/>
      <c r="Q1504" s="21"/>
      <c r="R1504" s="21"/>
      <c r="S1504" s="21"/>
      <c r="T1504" s="21"/>
      <c r="U1504" s="22">
        <f>IFERROR(__xludf.DUMMYFUNCTION("IFERROR(GOOGLEFINANCE(A1504,""closeyest""),"""")"),53.0)</f>
        <v>53</v>
      </c>
      <c r="V1504" s="23">
        <f>IFERROR(__xludf.DUMMYFUNCTION("IFERROR(GOOGLEFINANCE(A1504,""changepct""),"""")"),1.89)</f>
        <v>1.89</v>
      </c>
      <c r="W1504" s="22">
        <f>IFERROR(__xludf.DUMMYFUNCTION("IFERROR(GOOGLEFINANCE(A1504,""priceopen""),"""")"),53.0)</f>
        <v>53</v>
      </c>
      <c r="X1504" s="22" t="str">
        <f>IFERROR(__xludf.DUMMYFUNCTION("IFERROR(GOOGLEFINANCE(A1504,""high""),"""")"),"")</f>
        <v/>
      </c>
      <c r="Y1504" s="22">
        <f>IFERROR(__xludf.DUMMYFUNCTION("IFERROR(GOOGLEFINANCE(A1504,""low""),"""")"),52.0)</f>
        <v>52</v>
      </c>
      <c r="Z1504" s="22">
        <f>IFERROR(__xludf.DUMMYFUNCTION("IFERROR(GOOGLEFINANCE(A1504,""volume""),"""")"),1.970338E8)</f>
        <v>197033800</v>
      </c>
      <c r="AA1504" s="24" t="str">
        <f>VLOOKUP(A1504,Metrik!$C$2:$Y$959,5,0)</f>
        <v>Real Estate Management &amp; Development</v>
      </c>
      <c r="AB1504" s="24" t="str">
        <f>VLOOKUP(A1504,Metrik!$C$2:$Y$959,3,0)</f>
        <v>Properties &amp; Real Estate</v>
      </c>
    </row>
    <row r="1505">
      <c r="A1505" s="14" t="s">
        <v>808</v>
      </c>
      <c r="B1505" s="14" t="str">
        <f t="array" ref="B1505">VLOOKUP(A1505,{Metrik!$C$2:$C$998,Metrik!$B$2:$B$998},2,0)</f>
        <v>Utama Radar Cahaya Tbk.</v>
      </c>
      <c r="C1505" s="15">
        <f>IFERROR(__xludf.DUMMYFUNCTION("GOOGLEFINANCE(""IDX:""&amp;A1505,""price"")"),80.0)</f>
        <v>80</v>
      </c>
      <c r="D1505" s="16" t="str">
        <f>IFERROR(__xludf.DUMMYFUNCTION("IF(A1505="""","""",
SPARKLINE(
INDEX(
GOOGLEFINANCE(""IDX:""&amp;A1505,""close"",TODAY()-365,TODAY()),
,2
),
{""linewidth"",1}
))
"),"#N/A")</f>
        <v>#N/A</v>
      </c>
      <c r="E1505" s="26"/>
      <c r="F1505" s="26"/>
      <c r="G1505" s="24">
        <f t="shared" si="9"/>
        <v>0</v>
      </c>
      <c r="H1505" s="19">
        <f>VLOOKUP(A1505,Metrik!$C$2:$Y$959,8,0)</f>
        <v>16.2</v>
      </c>
      <c r="I1505" s="20">
        <f>VLOOKUP(A1505,Metrik!$C$2:$Y$959,9,0)</f>
        <v>1.5</v>
      </c>
      <c r="J1505" s="20">
        <f>VLOOKUP(A1505,Metrik!$C$2:$Y$959,10,0)</f>
        <v>9.4</v>
      </c>
      <c r="K1505" s="20">
        <f>VLOOKUP(A1505,Metrik!$C$2:$Y$959,11,0)</f>
        <v>4.8</v>
      </c>
      <c r="L1505" s="20">
        <f>VLOOKUP(A1505,Metrik!$C$2:$Y$959,12,0)</f>
        <v>0.96</v>
      </c>
      <c r="M1505" s="20">
        <f>VLOOKUP(A1505,Metrik!$C$2:$Y$959,19,0)</f>
        <v>20.4</v>
      </c>
      <c r="N1505" s="21"/>
      <c r="O1505" s="21"/>
      <c r="P1505" s="21"/>
      <c r="Q1505" s="21"/>
      <c r="R1505" s="21"/>
      <c r="S1505" s="21"/>
      <c r="T1505" s="21"/>
      <c r="U1505" s="22">
        <f>IFERROR(__xludf.DUMMYFUNCTION("IFERROR(GOOGLEFINANCE(A1505,""closeyest""),"""")"),81.0)</f>
        <v>81</v>
      </c>
      <c r="V1505" s="23">
        <f>IFERROR(__xludf.DUMMYFUNCTION("IFERROR(GOOGLEFINANCE(A1505,""changepct""),"""")"),-1.23)</f>
        <v>-1.23</v>
      </c>
      <c r="W1505" s="22">
        <f>IFERROR(__xludf.DUMMYFUNCTION("IFERROR(GOOGLEFINANCE(A1505,""priceopen""),"""")"),81.0)</f>
        <v>81</v>
      </c>
      <c r="X1505" s="22">
        <f>IFERROR(__xludf.DUMMYFUNCTION("IFERROR(GOOGLEFINANCE(A1505,""high""),"""")"),82.0)</f>
        <v>82</v>
      </c>
      <c r="Y1505" s="22">
        <f>IFERROR(__xludf.DUMMYFUNCTION("IFERROR(GOOGLEFINANCE(A1505,""low""),"""")"),79.0)</f>
        <v>79</v>
      </c>
      <c r="Z1505" s="22">
        <f>IFERROR(__xludf.DUMMYFUNCTION("IFERROR(GOOGLEFINANCE(A1505,""volume""),"""")"),823200.0)</f>
        <v>823200</v>
      </c>
      <c r="AA1505" s="24" t="str">
        <f>VLOOKUP(A1505,Metrik!$C$2:$Y$959,5,0)</f>
        <v>Logistics &amp; Deliveries</v>
      </c>
      <c r="AB1505" s="24" t="str">
        <f>VLOOKUP(A1505,Metrik!$C$2:$Y$959,3,0)</f>
        <v>Transportation &amp; Logistic</v>
      </c>
    </row>
    <row r="1506">
      <c r="A1506" s="14" t="s">
        <v>809</v>
      </c>
      <c r="B1506" s="14" t="str">
        <f t="array" ref="B1506">VLOOKUP(A1506,{Metrik!$C$2:$C$998,Metrik!$B$2:$B$998},2,0)</f>
        <v>Roda Vivatex Tbk</v>
      </c>
      <c r="C1506" s="15">
        <f>IFERROR(__xludf.DUMMYFUNCTION("GOOGLEFINANCE(""IDX:""&amp;A1506,""price"")"),14300.0)</f>
        <v>14300</v>
      </c>
      <c r="D1506" s="16" t="str">
        <f>IFERROR(__xludf.DUMMYFUNCTION("IF(A1506="""","""",
SPARKLINE(
INDEX(
GOOGLEFINANCE(""IDX:""&amp;A1506,""close"",TODAY()-365,TODAY()),
,2
),
{""linewidth"",1}
))
"),"#N/A")</f>
        <v>#N/A</v>
      </c>
      <c r="E1506" s="26"/>
      <c r="F1506" s="26"/>
      <c r="G1506" s="24">
        <f t="shared" si="9"/>
        <v>0</v>
      </c>
      <c r="H1506" s="19">
        <f>VLOOKUP(A1506,Metrik!$C$2:$Y$959,8,0)</f>
        <v>12.1</v>
      </c>
      <c r="I1506" s="20">
        <f>VLOOKUP(A1506,Metrik!$C$2:$Y$959,9,0)</f>
        <v>1.4</v>
      </c>
      <c r="J1506" s="20">
        <f>VLOOKUP(A1506,Metrik!$C$2:$Y$959,10,0)</f>
        <v>11.1</v>
      </c>
      <c r="K1506" s="20">
        <f>VLOOKUP(A1506,Metrik!$C$2:$Y$959,11,0)</f>
        <v>9.9</v>
      </c>
      <c r="L1506" s="20">
        <f>VLOOKUP(A1506,Metrik!$C$2:$Y$959,12,0)</f>
        <v>0.12</v>
      </c>
      <c r="M1506" s="20">
        <f>VLOOKUP(A1506,Metrik!$C$2:$Y$959,19,0)</f>
        <v>260</v>
      </c>
      <c r="N1506" s="21"/>
      <c r="O1506" s="21"/>
      <c r="P1506" s="21"/>
      <c r="Q1506" s="21"/>
      <c r="R1506" s="21"/>
      <c r="S1506" s="21"/>
      <c r="T1506" s="21"/>
      <c r="U1506" s="22">
        <f>IFERROR(__xludf.DUMMYFUNCTION("IFERROR(GOOGLEFINANCE(A1506,""closeyest""),"""")"),14475.0)</f>
        <v>14475</v>
      </c>
      <c r="V1506" s="23">
        <f>IFERROR(__xludf.DUMMYFUNCTION("IFERROR(GOOGLEFINANCE(A1506,""changepct""),"""")"),-1.21)</f>
        <v>-1.21</v>
      </c>
      <c r="W1506" s="22">
        <f>IFERROR(__xludf.DUMMYFUNCTION("IFERROR(GOOGLEFINANCE(A1506,""priceopen""),"""")"),14300.0)</f>
        <v>14300</v>
      </c>
      <c r="X1506" s="22">
        <f>IFERROR(__xludf.DUMMYFUNCTION("IFERROR(GOOGLEFINANCE(A1506,""high""),"""")"),14300.0)</f>
        <v>14300</v>
      </c>
      <c r="Y1506" s="22">
        <f>IFERROR(__xludf.DUMMYFUNCTION("IFERROR(GOOGLEFINANCE(A1506,""low""),"""")"),14300.0)</f>
        <v>14300</v>
      </c>
      <c r="Z1506" s="22">
        <f>IFERROR(__xludf.DUMMYFUNCTION("IFERROR(GOOGLEFINANCE(A1506,""volume""),"""")"),3100.0)</f>
        <v>3100</v>
      </c>
      <c r="AA1506" s="24" t="str">
        <f>VLOOKUP(A1506,Metrik!$C$2:$Y$959,5,0)</f>
        <v>Real Estate Management &amp; Development</v>
      </c>
      <c r="AB1506" s="24" t="str">
        <f>VLOOKUP(A1506,Metrik!$C$2:$Y$959,3,0)</f>
        <v>Properties &amp; Real Estate</v>
      </c>
    </row>
    <row r="1507">
      <c r="A1507" s="14" t="s">
        <v>810</v>
      </c>
      <c r="B1507" s="14" t="str">
        <f t="array" ref="B1507">VLOOKUP(A1507,{Metrik!$C$2:$C$998,Metrik!$B$2:$B$998},2,0)</f>
        <v>Repower Asia Indonesia Tbk.</v>
      </c>
      <c r="C1507" s="15">
        <f>IFERROR(__xludf.DUMMYFUNCTION("GOOGLEFINANCE(""IDX:""&amp;A1507,""price"")"),50.0)</f>
        <v>50</v>
      </c>
      <c r="D1507" s="16" t="str">
        <f>IFERROR(__xludf.DUMMYFUNCTION("IF(A1507="""","""",
SPARKLINE(
INDEX(
GOOGLEFINANCE(""IDX:""&amp;A1507,""close"",TODAY()-365,TODAY()),
,2
),
{""linewidth"",1}
))
"),"#N/A")</f>
        <v>#N/A</v>
      </c>
      <c r="E1507" s="26"/>
      <c r="F1507" s="26"/>
      <c r="G1507" s="24">
        <f t="shared" si="9"/>
        <v>0</v>
      </c>
      <c r="H1507" s="19">
        <f>VLOOKUP(A1507,Metrik!$C$2:$Y$959,8,0)</f>
        <v>-130</v>
      </c>
      <c r="I1507" s="20">
        <f>VLOOKUP(A1507,Metrik!$C$2:$Y$959,9,0)</f>
        <v>0.91</v>
      </c>
      <c r="J1507" s="20">
        <f>VLOOKUP(A1507,Metrik!$C$2:$Y$959,10,0)</f>
        <v>-0.72</v>
      </c>
      <c r="K1507" s="20">
        <f>VLOOKUP(A1507,Metrik!$C$2:$Y$959,11,0)</f>
        <v>-0.71</v>
      </c>
      <c r="L1507" s="20">
        <f>VLOOKUP(A1507,Metrik!$C$2:$Y$959,12,0)</f>
        <v>0.01</v>
      </c>
      <c r="M1507" s="20">
        <f>VLOOKUP(A1507,Metrik!$C$2:$Y$959,19,0)</f>
        <v>-180</v>
      </c>
      <c r="N1507" s="21"/>
      <c r="O1507" s="21"/>
      <c r="P1507" s="21"/>
      <c r="Q1507" s="21"/>
      <c r="R1507" s="21"/>
      <c r="S1507" s="21"/>
      <c r="T1507" s="21"/>
      <c r="U1507" s="22">
        <f>IFERROR(__xludf.DUMMYFUNCTION("IFERROR(GOOGLEFINANCE(A1507,""closeyest""),"""")"),9.84)</f>
        <v>9.84</v>
      </c>
      <c r="V1507" s="23">
        <f>IFERROR(__xludf.DUMMYFUNCTION("IFERROR(GOOGLEFINANCE(A1507,""changepct""),"""")"),4.47)</f>
        <v>4.47</v>
      </c>
      <c r="W1507" s="22">
        <f>IFERROR(__xludf.DUMMYFUNCTION("IFERROR(GOOGLEFINANCE(A1507,""priceopen""),"""")"),9.95)</f>
        <v>9.95</v>
      </c>
      <c r="X1507" s="22">
        <f>IFERROR(__xludf.DUMMYFUNCTION("IFERROR(GOOGLEFINANCE(A1507,""high""),"""")"),10.3)</f>
        <v>10.3</v>
      </c>
      <c r="Y1507" s="22">
        <f>IFERROR(__xludf.DUMMYFUNCTION("IFERROR(GOOGLEFINANCE(A1507,""low""),"""")"),9.77)</f>
        <v>9.77</v>
      </c>
      <c r="Z1507" s="22">
        <f>IFERROR(__xludf.DUMMYFUNCTION("IFERROR(GOOGLEFINANCE(A1507,""volume""),"""")"),2233652.0)</f>
        <v>2233652</v>
      </c>
      <c r="AA1507" s="24" t="str">
        <f>VLOOKUP(A1507,Metrik!$C$2:$Y$959,5,0)</f>
        <v>Real Estate Management &amp; Development</v>
      </c>
      <c r="AB1507" s="24" t="str">
        <f>VLOOKUP(A1507,Metrik!$C$2:$Y$959,3,0)</f>
        <v>Properties &amp; Real Estate</v>
      </c>
    </row>
    <row r="1508">
      <c r="A1508" s="14" t="s">
        <v>811</v>
      </c>
      <c r="B1508" s="14" t="str">
        <f t="array" ref="B1508">VLOOKUP(A1508,{Metrik!$C$2:$C$998,Metrik!$B$2:$B$998},2,0)</f>
        <v>PT Graha Mitra Asia Tbk.</v>
      </c>
      <c r="C1508" s="15">
        <f>IFERROR(__xludf.DUMMYFUNCTION("GOOGLEFINANCE(""IDX:""&amp;A1508,""price"")"),34.0)</f>
        <v>34</v>
      </c>
      <c r="D1508" s="16" t="str">
        <f>IFERROR(__xludf.DUMMYFUNCTION("IF(A1508="""","""",
SPARKLINE(
INDEX(
GOOGLEFINANCE(""IDX:""&amp;A1508,""close"",TODAY()-365,TODAY()),
,2
),
{""linewidth"",1}
))
"),"#N/A")</f>
        <v>#N/A</v>
      </c>
      <c r="E1508" s="26"/>
      <c r="F1508" s="26"/>
      <c r="G1508" s="24">
        <f t="shared" si="9"/>
        <v>0</v>
      </c>
      <c r="H1508" s="19">
        <f>VLOOKUP(A1508,Metrik!$C$2:$Y$959,8,0)</f>
        <v>24.8</v>
      </c>
      <c r="I1508" s="20">
        <f>VLOOKUP(A1508,Metrik!$C$2:$Y$959,9,0)</f>
        <v>0.87</v>
      </c>
      <c r="J1508" s="20">
        <f>VLOOKUP(A1508,Metrik!$C$2:$Y$959,10,0)</f>
        <v>3.5</v>
      </c>
      <c r="K1508" s="20">
        <f>VLOOKUP(A1508,Metrik!$C$2:$Y$959,11,0)</f>
        <v>3</v>
      </c>
      <c r="L1508" s="20">
        <f>VLOOKUP(A1508,Metrik!$C$2:$Y$959,12,0)</f>
        <v>0.18</v>
      </c>
      <c r="M1508" s="20">
        <f>VLOOKUP(A1508,Metrik!$C$2:$Y$959,19,0)</f>
        <v>21.6</v>
      </c>
      <c r="N1508" s="21"/>
      <c r="O1508" s="21"/>
      <c r="P1508" s="21"/>
      <c r="Q1508" s="21"/>
      <c r="R1508" s="21"/>
      <c r="S1508" s="21"/>
      <c r="T1508" s="21"/>
      <c r="U1508" s="22">
        <f>IFERROR(__xludf.DUMMYFUNCTION("IFERROR(GOOGLEFINANCE(A1508,""closeyest""),"""")"),34.0)</f>
        <v>34</v>
      </c>
      <c r="V1508" s="23">
        <f>IFERROR(__xludf.DUMMYFUNCTION("IFERROR(GOOGLEFINANCE(A1508,""changepct""),"""")"),0.0)</f>
        <v>0</v>
      </c>
      <c r="W1508" s="22">
        <f>IFERROR(__xludf.DUMMYFUNCTION("IFERROR(GOOGLEFINANCE(A1508,""priceopen""),"""")"),33.0)</f>
        <v>33</v>
      </c>
      <c r="X1508" s="22">
        <f>IFERROR(__xludf.DUMMYFUNCTION("IFERROR(GOOGLEFINANCE(A1508,""high""),"""")"),34.0)</f>
        <v>34</v>
      </c>
      <c r="Y1508" s="22">
        <f>IFERROR(__xludf.DUMMYFUNCTION("IFERROR(GOOGLEFINANCE(A1508,""low""),"""")"),32.0)</f>
        <v>32</v>
      </c>
      <c r="Z1508" s="22">
        <f>IFERROR(__xludf.DUMMYFUNCTION("IFERROR(GOOGLEFINANCE(A1508,""volume""),"""")"),3292100.0)</f>
        <v>3292100</v>
      </c>
      <c r="AA1508" s="24" t="str">
        <f>VLOOKUP(A1508,Metrik!$C$2:$Y$959,5,0)</f>
        <v>Real Estate Management &amp; Development</v>
      </c>
      <c r="AB1508" s="24" t="str">
        <f>VLOOKUP(A1508,Metrik!$C$2:$Y$959,3,0)</f>
        <v>Properties &amp; Real Estate</v>
      </c>
    </row>
    <row r="1509">
      <c r="A1509" s="14" t="s">
        <v>812</v>
      </c>
      <c r="B1509" s="14" t="str">
        <f t="array" ref="B1509">VLOOKUP(A1509,{Metrik!$C$2:$C$998,Metrik!$B$2:$B$998},2,0)</f>
        <v>Reliance Sekuritas Indonesia Tbk.</v>
      </c>
      <c r="C1509" s="15">
        <f>IFERROR(__xludf.DUMMYFUNCTION("GOOGLEFINANCE(""IDX:""&amp;A1509,""price"")"),484.0)</f>
        <v>484</v>
      </c>
      <c r="D1509" s="16" t="str">
        <f>IFERROR(__xludf.DUMMYFUNCTION("IF(A1509="""","""",
SPARKLINE(
INDEX(
GOOGLEFINANCE(""IDX:""&amp;A1509,""close"",TODAY()-365,TODAY()),
,2
),
{""linewidth"",1}
))
"),"#N/A")</f>
        <v>#N/A</v>
      </c>
      <c r="E1509" s="26"/>
      <c r="F1509" s="26"/>
      <c r="G1509" s="24">
        <f t="shared" si="9"/>
        <v>0</v>
      </c>
      <c r="H1509" s="19">
        <f>VLOOKUP(A1509,Metrik!$C$2:$Y$959,8,0)</f>
        <v>74.4</v>
      </c>
      <c r="I1509" s="20">
        <f>VLOOKUP(A1509,Metrik!$C$2:$Y$959,9,0)</f>
        <v>1.7</v>
      </c>
      <c r="J1509" s="20">
        <f>VLOOKUP(A1509,Metrik!$C$2:$Y$959,10,0)</f>
        <v>2.3</v>
      </c>
      <c r="K1509" s="20">
        <f>VLOOKUP(A1509,Metrik!$C$2:$Y$959,11,0)</f>
        <v>1.7</v>
      </c>
      <c r="L1509" s="20">
        <f>VLOOKUP(A1509,Metrik!$C$2:$Y$959,12,0)</f>
        <v>0.33</v>
      </c>
      <c r="M1509" s="20">
        <f>VLOOKUP(A1509,Metrik!$C$2:$Y$959,19,0)</f>
        <v>210</v>
      </c>
      <c r="N1509" s="21"/>
      <c r="O1509" s="21"/>
      <c r="P1509" s="21"/>
      <c r="Q1509" s="21"/>
      <c r="R1509" s="21"/>
      <c r="S1509" s="21"/>
      <c r="T1509" s="21"/>
      <c r="U1509" s="22">
        <f>IFERROR(__xludf.DUMMYFUNCTION("IFERROR(GOOGLEFINANCE(A1509,""closeyest""),"""")"),486.0)</f>
        <v>486</v>
      </c>
      <c r="V1509" s="23">
        <f>IFERROR(__xludf.DUMMYFUNCTION("IFERROR(GOOGLEFINANCE(A1509,""changepct""),"""")"),-0.41)</f>
        <v>-0.41</v>
      </c>
      <c r="W1509" s="22">
        <f>IFERROR(__xludf.DUMMYFUNCTION("IFERROR(GOOGLEFINANCE(A1509,""priceopen""),"""")"),486.0)</f>
        <v>486</v>
      </c>
      <c r="X1509" s="22">
        <f>IFERROR(__xludf.DUMMYFUNCTION("IFERROR(GOOGLEFINANCE(A1509,""high""),"""")"),488.0)</f>
        <v>488</v>
      </c>
      <c r="Y1509" s="22">
        <f>IFERROR(__xludf.DUMMYFUNCTION("IFERROR(GOOGLEFINANCE(A1509,""low""),"""")"),472.0)</f>
        <v>472</v>
      </c>
      <c r="Z1509" s="22">
        <f>IFERROR(__xludf.DUMMYFUNCTION("IFERROR(GOOGLEFINANCE(A1509,""volume""),"""")"),3700.0)</f>
        <v>3700</v>
      </c>
      <c r="AA1509" s="24" t="str">
        <f>VLOOKUP(A1509,Metrik!$C$2:$Y$959,5,0)</f>
        <v>Investment Services</v>
      </c>
      <c r="AB1509" s="24" t="str">
        <f>VLOOKUP(A1509,Metrik!$C$2:$Y$959,3,0)</f>
        <v>Financials</v>
      </c>
    </row>
    <row r="1510">
      <c r="A1510" s="14" t="s">
        <v>813</v>
      </c>
      <c r="B1510" s="14" t="str">
        <f t="array" ref="B1510">VLOOKUP(A1510,{Metrik!$C$2:$C$998,Metrik!$B$2:$B$998},2,0)</f>
        <v>Kian Santang Muliatama Tbk.</v>
      </c>
      <c r="C1510" s="15">
        <f>IFERROR(__xludf.DUMMYFUNCTION("GOOGLEFINANCE(""IDX:""&amp;A1510,""price"")"),149.0)</f>
        <v>149</v>
      </c>
      <c r="D1510" s="16" t="str">
        <f>IFERROR(__xludf.DUMMYFUNCTION("IF(A1510="""","""",
SPARKLINE(
INDEX(
GOOGLEFINANCE(""IDX:""&amp;A1510,""close"",TODAY()-365,TODAY()),
,2
),
{""linewidth"",1}
))
"),"#N/A")</f>
        <v>#N/A</v>
      </c>
      <c r="E1510" s="26"/>
      <c r="F1510" s="26"/>
      <c r="G1510" s="24">
        <f t="shared" si="9"/>
        <v>0</v>
      </c>
      <c r="H1510" s="19">
        <f>VLOOKUP(A1510,Metrik!$C$2:$Y$959,8,0)</f>
        <v>9.7</v>
      </c>
      <c r="I1510" s="20">
        <f>VLOOKUP(A1510,Metrik!$C$2:$Y$959,9,0)</f>
        <v>1.4</v>
      </c>
      <c r="J1510" s="20">
        <f>VLOOKUP(A1510,Metrik!$C$2:$Y$959,10,0)</f>
        <v>14.7</v>
      </c>
      <c r="K1510" s="20">
        <f>VLOOKUP(A1510,Metrik!$C$2:$Y$959,11,0)</f>
        <v>12.2</v>
      </c>
      <c r="L1510" s="20">
        <f>VLOOKUP(A1510,Metrik!$C$2:$Y$959,12,0)</f>
        <v>0.2</v>
      </c>
      <c r="M1510" s="20">
        <f>VLOOKUP(A1510,Metrik!$C$2:$Y$959,19,0)</f>
        <v>51.7</v>
      </c>
      <c r="N1510" s="21"/>
      <c r="O1510" s="21"/>
      <c r="P1510" s="21"/>
      <c r="Q1510" s="21"/>
      <c r="R1510" s="21"/>
      <c r="S1510" s="21"/>
      <c r="T1510" s="21"/>
      <c r="U1510" s="22">
        <f>IFERROR(__xludf.DUMMYFUNCTION("IFERROR(GOOGLEFINANCE(A1510,""closeyest""),"""")"),150.0)</f>
        <v>150</v>
      </c>
      <c r="V1510" s="23">
        <f>IFERROR(__xludf.DUMMYFUNCTION("IFERROR(GOOGLEFINANCE(A1510,""changepct""),"""")"),-0.67)</f>
        <v>-0.67</v>
      </c>
      <c r="W1510" s="22">
        <f>IFERROR(__xludf.DUMMYFUNCTION("IFERROR(GOOGLEFINANCE(A1510,""priceopen""),"""")"),154.0)</f>
        <v>154</v>
      </c>
      <c r="X1510" s="22">
        <f>IFERROR(__xludf.DUMMYFUNCTION("IFERROR(GOOGLEFINANCE(A1510,""high""),"""")"),165.0)</f>
        <v>165</v>
      </c>
      <c r="Y1510" s="22">
        <f>IFERROR(__xludf.DUMMYFUNCTION("IFERROR(GOOGLEFINANCE(A1510,""low""),"""")"),144.0)</f>
        <v>144</v>
      </c>
      <c r="Z1510" s="22">
        <f>IFERROR(__xludf.DUMMYFUNCTION("IFERROR(GOOGLEFINANCE(A1510,""volume""),"""")"),1.120467E8)</f>
        <v>112046700</v>
      </c>
      <c r="AA1510" s="24" t="str">
        <f>VLOOKUP(A1510,Metrik!$C$2:$Y$959,5,0)</f>
        <v>Oil, Gas &amp; Coal Supports</v>
      </c>
      <c r="AB1510" s="24" t="str">
        <f>VLOOKUP(A1510,Metrik!$C$2:$Y$959,3,0)</f>
        <v>Energy</v>
      </c>
    </row>
    <row r="1511">
      <c r="A1511" s="14" t="s">
        <v>814</v>
      </c>
      <c r="B1511" s="14" t="str">
        <f t="array" ref="B1511">VLOOKUP(A1511,{Metrik!$C$2:$C$998,Metrik!$B$2:$B$998},2,0)</f>
        <v>Ricky Putra Globalindo Tbk</v>
      </c>
      <c r="C1511" s="15">
        <f>IFERROR(__xludf.DUMMYFUNCTION("GOOGLEFINANCE(""IDX:""&amp;A1511,""price"")"),72.0)</f>
        <v>72</v>
      </c>
      <c r="D1511" s="16" t="str">
        <f>IFERROR(__xludf.DUMMYFUNCTION("IF(A1511="""","""",
SPARKLINE(
INDEX(
GOOGLEFINANCE(""IDX:""&amp;A1511,""close"",TODAY()-365,TODAY()),
,2
),
{""linewidth"",1}
))
"),"#N/A")</f>
        <v>#N/A</v>
      </c>
      <c r="E1511" s="26"/>
      <c r="F1511" s="26"/>
      <c r="G1511" s="24">
        <f t="shared" si="9"/>
        <v>0</v>
      </c>
      <c r="H1511" s="19">
        <f>VLOOKUP(A1511,Metrik!$C$2:$Y$959,8,0)</f>
        <v>-0.16</v>
      </c>
      <c r="I1511" s="20">
        <f>VLOOKUP(A1511,Metrik!$C$2:$Y$959,9,0)</f>
        <v>0.19</v>
      </c>
      <c r="J1511" s="20">
        <f>VLOOKUP(A1511,Metrik!$C$2:$Y$959,10,0)</f>
        <v>-120</v>
      </c>
      <c r="K1511" s="20">
        <f>VLOOKUP(A1511,Metrik!$C$2:$Y$959,11,0)</f>
        <v>-17.3</v>
      </c>
      <c r="L1511" s="20">
        <f>VLOOKUP(A1511,Metrik!$C$2:$Y$959,12,0)</f>
        <v>6.2</v>
      </c>
      <c r="M1511" s="20">
        <f>VLOOKUP(A1511,Metrik!$C$2:$Y$959,19,0)</f>
        <v>-270</v>
      </c>
      <c r="N1511" s="21"/>
      <c r="O1511" s="21"/>
      <c r="P1511" s="21"/>
      <c r="Q1511" s="21"/>
      <c r="R1511" s="21"/>
      <c r="S1511" s="21"/>
      <c r="T1511" s="21"/>
      <c r="U1511" s="22">
        <f>IFERROR(__xludf.DUMMYFUNCTION("IFERROR(GOOGLEFINANCE(A1511,""closeyest""),"""")"),69.0)</f>
        <v>69</v>
      </c>
      <c r="V1511" s="23" t="str">
        <f>IFERROR(__xludf.DUMMYFUNCTION("IFERROR(GOOGLEFINANCE(A1511,""changepct""),"""")"),"")</f>
        <v/>
      </c>
      <c r="W1511" s="22">
        <f>IFERROR(__xludf.DUMMYFUNCTION("IFERROR(GOOGLEFINANCE(A1511,""priceopen""),"""")"),73.0)</f>
        <v>73</v>
      </c>
      <c r="X1511" s="22">
        <f>IFERROR(__xludf.DUMMYFUNCTION("IFERROR(GOOGLEFINANCE(A1511,""high""),"""")"),73.0)</f>
        <v>73</v>
      </c>
      <c r="Y1511" s="22">
        <f>IFERROR(__xludf.DUMMYFUNCTION("IFERROR(GOOGLEFINANCE(A1511,""low""),"""")"),70.0)</f>
        <v>70</v>
      </c>
      <c r="Z1511" s="22">
        <f>IFERROR(__xludf.DUMMYFUNCTION("IFERROR(GOOGLEFINANCE(A1511,""volume""),"""")"),449100.0)</f>
        <v>449100</v>
      </c>
      <c r="AA1511" s="24" t="str">
        <f>VLOOKUP(A1511,Metrik!$C$2:$Y$959,5,0)</f>
        <v>Apparel &amp; Luxury Goods</v>
      </c>
      <c r="AB1511" s="24" t="str">
        <f>VLOOKUP(A1511,Metrik!$C$2:$Y$959,3,0)</f>
        <v>Consumer Cyclicals</v>
      </c>
    </row>
    <row r="1512">
      <c r="A1512" s="14" t="s">
        <v>815</v>
      </c>
      <c r="B1512" s="14" t="str">
        <f t="array" ref="B1512">VLOOKUP(A1512,{Metrik!$C$2:$C$998,Metrik!$B$2:$B$998},2,0)</f>
        <v>Rig Tenders Indonesia Tbk.</v>
      </c>
      <c r="C1512" s="15">
        <f>IFERROR(__xludf.DUMMYFUNCTION("GOOGLEFINANCE(""IDX:""&amp;A1512,""price"")"),680.0)</f>
        <v>680</v>
      </c>
      <c r="D1512" s="16" t="str">
        <f>IFERROR(__xludf.DUMMYFUNCTION("IF(A1512="""","""",
SPARKLINE(
INDEX(
GOOGLEFINANCE(""IDX:""&amp;A1512,""close"",TODAY()-365,TODAY()),
,2
),
{""linewidth"",1}
))
"),"#N/A")</f>
        <v>#N/A</v>
      </c>
      <c r="E1512" s="26"/>
      <c r="F1512" s="26"/>
      <c r="G1512" s="24">
        <f t="shared" si="9"/>
        <v>0</v>
      </c>
      <c r="H1512" s="19">
        <f>VLOOKUP(A1512,Metrik!$C$2:$Y$959,8,0)</f>
        <v>4.7</v>
      </c>
      <c r="I1512" s="20">
        <f>VLOOKUP(A1512,Metrik!$C$2:$Y$959,9,0)</f>
        <v>0.44</v>
      </c>
      <c r="J1512" s="20">
        <f>VLOOKUP(A1512,Metrik!$C$2:$Y$959,10,0)</f>
        <v>9.5</v>
      </c>
      <c r="K1512" s="20">
        <f>VLOOKUP(A1512,Metrik!$C$2:$Y$959,11,0)</f>
        <v>9.4</v>
      </c>
      <c r="L1512" s="20">
        <f>VLOOKUP(A1512,Metrik!$C$2:$Y$959,12,0)</f>
        <v>0.01</v>
      </c>
      <c r="M1512" s="20">
        <f>VLOOKUP(A1512,Metrik!$C$2:$Y$959,19,0)</f>
        <v>37.7</v>
      </c>
      <c r="N1512" s="21"/>
      <c r="O1512" s="21"/>
      <c r="P1512" s="21"/>
      <c r="Q1512" s="21"/>
      <c r="R1512" s="21"/>
      <c r="S1512" s="21"/>
      <c r="T1512" s="21"/>
      <c r="U1512" s="22">
        <f>IFERROR(__xludf.DUMMYFUNCTION("IFERROR(GOOGLEFINANCE(A1512,""closeyest""),"""")"),22.87)</f>
        <v>22.87</v>
      </c>
      <c r="V1512" s="23">
        <f>IFERROR(__xludf.DUMMYFUNCTION("IFERROR(GOOGLEFINANCE(A1512,""changepct""),"""")"),-0.11)</f>
        <v>-0.11</v>
      </c>
      <c r="W1512" s="22">
        <f>IFERROR(__xludf.DUMMYFUNCTION("IFERROR(GOOGLEFINANCE(A1512,""priceopen""),"""")"),22.8)</f>
        <v>22.8</v>
      </c>
      <c r="X1512" s="22">
        <f>IFERROR(__xludf.DUMMYFUNCTION("IFERROR(GOOGLEFINANCE(A1512,""high""),"""")"),22.84)</f>
        <v>22.84</v>
      </c>
      <c r="Y1512" s="22">
        <f>IFERROR(__xludf.DUMMYFUNCTION("IFERROR(GOOGLEFINANCE(A1512,""low""),"""")"),22.8)</f>
        <v>22.8</v>
      </c>
      <c r="Z1512" s="22">
        <f>IFERROR(__xludf.DUMMYFUNCTION("IFERROR(GOOGLEFINANCE(A1512,""volume""),"""")"),3.0)</f>
        <v>3</v>
      </c>
      <c r="AA1512" s="24" t="str">
        <f>VLOOKUP(A1512,Metrik!$C$2:$Y$959,5,0)</f>
        <v>Coal</v>
      </c>
      <c r="AB1512" s="24" t="str">
        <f>VLOOKUP(A1512,Metrik!$C$2:$Y$959,3,0)</f>
        <v>Energy</v>
      </c>
    </row>
    <row r="1513">
      <c r="A1513" s="14" t="s">
        <v>816</v>
      </c>
      <c r="B1513" s="14" t="str">
        <f t="array" ref="B1513">VLOOKUP(A1513,{Metrik!$C$2:$C$998,Metrik!$B$2:$B$998},2,0)</f>
        <v>Rimo International Lestari Tbk</v>
      </c>
      <c r="C1513" s="15">
        <f>IFERROR(__xludf.DUMMYFUNCTION("GOOGLEFINANCE(""IDX:""&amp;A1513,""price"")"),50.0)</f>
        <v>50</v>
      </c>
      <c r="D1513" s="16" t="str">
        <f>IFERROR(__xludf.DUMMYFUNCTION("IF(A1513="""","""",
SPARKLINE(
INDEX(
GOOGLEFINANCE(""IDX:""&amp;A1513,""close"",TODAY()-365,TODAY()),
,2
),
{""linewidth"",1}
))
"),"#N/A")</f>
        <v>#N/A</v>
      </c>
      <c r="E1513" s="26"/>
      <c r="F1513" s="26"/>
      <c r="G1513" s="24">
        <f t="shared" si="9"/>
        <v>0</v>
      </c>
      <c r="H1513" s="19">
        <f>VLOOKUP(A1513,Metrik!$C$2:$Y$959,8,0)</f>
        <v>0</v>
      </c>
      <c r="I1513" s="20">
        <f>VLOOKUP(A1513,Metrik!$C$2:$Y$959,9,0)</f>
        <v>0.37</v>
      </c>
      <c r="J1513" s="20">
        <f>VLOOKUP(A1513,Metrik!$C$2:$Y$959,10,0)</f>
        <v>1.2</v>
      </c>
      <c r="K1513" s="20">
        <f>VLOOKUP(A1513,Metrik!$C$2:$Y$959,11,0)</f>
        <v>1.1</v>
      </c>
      <c r="L1513" s="20">
        <f>VLOOKUP(A1513,Metrik!$C$2:$Y$959,12,0)</f>
        <v>0.09</v>
      </c>
      <c r="M1513" s="20">
        <f>VLOOKUP(A1513,Metrik!$C$2:$Y$959,19,0)</f>
        <v>14.2</v>
      </c>
      <c r="N1513" s="21"/>
      <c r="O1513" s="21"/>
      <c r="P1513" s="21"/>
      <c r="Q1513" s="21"/>
      <c r="R1513" s="21"/>
      <c r="S1513" s="21"/>
      <c r="T1513" s="21"/>
      <c r="U1513" s="22">
        <f>IFERROR(__xludf.DUMMYFUNCTION("IFERROR(GOOGLEFINANCE(A1513,""closeyest""),"""")"),50.0)</f>
        <v>50</v>
      </c>
      <c r="V1513" s="23">
        <f>IFERROR(__xludf.DUMMYFUNCTION("IFERROR(GOOGLEFINANCE(A1513,""changepct""),"""")"),0.0)</f>
        <v>0</v>
      </c>
      <c r="W1513" s="22" t="str">
        <f>IFERROR(__xludf.DUMMYFUNCTION("IFERROR(GOOGLEFINANCE(A1513,""priceopen""),"""")"),"")</f>
        <v/>
      </c>
      <c r="X1513" s="22" t="str">
        <f>IFERROR(__xludf.DUMMYFUNCTION("IFERROR(GOOGLEFINANCE(A1513,""high""),"""")"),"")</f>
        <v/>
      </c>
      <c r="Y1513" s="22" t="str">
        <f>IFERROR(__xludf.DUMMYFUNCTION("IFERROR(GOOGLEFINANCE(A1513,""low""),"""")"),"")</f>
        <v/>
      </c>
      <c r="Z1513" s="22">
        <f>IFERROR(__xludf.DUMMYFUNCTION("IFERROR(GOOGLEFINANCE(A1513,""volume""),"""")"),0.0)</f>
        <v>0</v>
      </c>
      <c r="AA1513" s="24" t="str">
        <f>VLOOKUP(A1513,Metrik!$C$2:$Y$959,5,0)</f>
        <v>Real Estate Management &amp; Development</v>
      </c>
      <c r="AB1513" s="24" t="str">
        <f>VLOOKUP(A1513,Metrik!$C$2:$Y$959,3,0)</f>
        <v>Properties &amp; Real Estate</v>
      </c>
    </row>
    <row r="1514">
      <c r="A1514" s="14" t="s">
        <v>817</v>
      </c>
      <c r="B1514" s="14" t="str">
        <f t="array" ref="B1514">VLOOKUP(A1514,{Metrik!$C$2:$C$998,Metrik!$B$2:$B$998},2,0)</f>
        <v>Jaya Sukses Makmur Sentosa Tbk.</v>
      </c>
      <c r="C1514" s="15">
        <f>IFERROR(__xludf.DUMMYFUNCTION("GOOGLEFINANCE(""IDX:""&amp;A1514,""price"")"),1190.0)</f>
        <v>1190</v>
      </c>
      <c r="D1514" s="16" t="str">
        <f>IFERROR(__xludf.DUMMYFUNCTION("IF(A1514="""","""",
SPARKLINE(
INDEX(
GOOGLEFINANCE(""IDX:""&amp;A1514,""close"",TODAY()-365,TODAY()),
,2
),
{""linewidth"",1}
))
"),"#N/A")</f>
        <v>#N/A</v>
      </c>
      <c r="E1514" s="26"/>
      <c r="F1514" s="26"/>
      <c r="G1514" s="24">
        <f t="shared" si="9"/>
        <v>0</v>
      </c>
      <c r="H1514" s="19">
        <f>VLOOKUP(A1514,Metrik!$C$2:$Y$959,8,0)</f>
        <v>110</v>
      </c>
      <c r="I1514" s="20">
        <f>VLOOKUP(A1514,Metrik!$C$2:$Y$959,9,0)</f>
        <v>5.4</v>
      </c>
      <c r="J1514" s="20">
        <f>VLOOKUP(A1514,Metrik!$C$2:$Y$959,10,0)</f>
        <v>5</v>
      </c>
      <c r="K1514" s="20">
        <f>VLOOKUP(A1514,Metrik!$C$2:$Y$959,11,0)</f>
        <v>4</v>
      </c>
      <c r="L1514" s="20">
        <f>VLOOKUP(A1514,Metrik!$C$2:$Y$959,12,0)</f>
        <v>0.23</v>
      </c>
      <c r="M1514" s="20">
        <f>VLOOKUP(A1514,Metrik!$C$2:$Y$959,19,0)</f>
        <v>97.1</v>
      </c>
      <c r="N1514" s="21"/>
      <c r="O1514" s="21"/>
      <c r="P1514" s="21"/>
      <c r="Q1514" s="21"/>
      <c r="R1514" s="21"/>
      <c r="S1514" s="21"/>
      <c r="T1514" s="21"/>
      <c r="U1514" s="22">
        <f>IFERROR(__xludf.DUMMYFUNCTION("IFERROR(GOOGLEFINANCE(A1514,""closeyest""),"""")"),18.29)</f>
        <v>18.29</v>
      </c>
      <c r="V1514" s="23">
        <f>IFERROR(__xludf.DUMMYFUNCTION("IFERROR(GOOGLEFINANCE(A1514,""changepct""),"""")"),0.96)</f>
        <v>0.96</v>
      </c>
      <c r="W1514" s="22">
        <f>IFERROR(__xludf.DUMMYFUNCTION("IFERROR(GOOGLEFINANCE(A1514,""priceopen""),"""")"),18.46)</f>
        <v>18.46</v>
      </c>
      <c r="X1514" s="22">
        <f>IFERROR(__xludf.DUMMYFUNCTION("IFERROR(GOOGLEFINANCE(A1514,""high""),"""")"),18.46)</f>
        <v>18.46</v>
      </c>
      <c r="Y1514" s="22">
        <f>IFERROR(__xludf.DUMMYFUNCTION("IFERROR(GOOGLEFINANCE(A1514,""low""),"""")"),18.46)</f>
        <v>18.46</v>
      </c>
      <c r="Z1514" s="22">
        <f>IFERROR(__xludf.DUMMYFUNCTION("IFERROR(GOOGLEFINANCE(A1514,""volume""),"""")"),72.0)</f>
        <v>72</v>
      </c>
      <c r="AA1514" s="24" t="str">
        <f>VLOOKUP(A1514,Metrik!$C$2:$Y$959,5,0)</f>
        <v>Real Estate Management &amp; Development</v>
      </c>
      <c r="AB1514" s="24" t="str">
        <f>VLOOKUP(A1514,Metrik!$C$2:$Y$959,3,0)</f>
        <v>Properties &amp; Real Estate</v>
      </c>
    </row>
    <row r="1515">
      <c r="A1515" s="14" t="s">
        <v>818</v>
      </c>
      <c r="B1515" s="14" t="str">
        <f t="array" ref="B1515">VLOOKUP(A1515,{Metrik!$C$2:$C$998,Metrik!$B$2:$B$998},2,0)</f>
        <v>Abadi Lestari Indonesia Tbk.</v>
      </c>
      <c r="C1515" s="15">
        <f>IFERROR(__xludf.DUMMYFUNCTION("GOOGLEFINANCE(""IDX:""&amp;A1515,""price"")"),3020.0)</f>
        <v>3020</v>
      </c>
      <c r="D1515" s="16" t="str">
        <f>IFERROR(__xludf.DUMMYFUNCTION("IF(A1515="""","""",
SPARKLINE(
INDEX(
GOOGLEFINANCE(""IDX:""&amp;A1515,""close"",TODAY()-365,TODAY()),
,2
),
{""linewidth"",1}
))
"),"#N/A")</f>
        <v>#N/A</v>
      </c>
      <c r="E1515" s="26"/>
      <c r="F1515" s="26"/>
      <c r="G1515" s="24">
        <f t="shared" si="9"/>
        <v>0</v>
      </c>
      <c r="H1515" s="19">
        <f>VLOOKUP(A1515,Metrik!$C$2:$Y$959,8,0)</f>
        <v>210</v>
      </c>
      <c r="I1515" s="20">
        <f>VLOOKUP(A1515,Metrik!$C$2:$Y$959,9,0)</f>
        <v>28.6</v>
      </c>
      <c r="J1515" s="20">
        <f>VLOOKUP(A1515,Metrik!$C$2:$Y$959,10,0)</f>
        <v>13.9</v>
      </c>
      <c r="K1515" s="20">
        <f>VLOOKUP(A1515,Metrik!$C$2:$Y$959,11,0)</f>
        <v>5.3</v>
      </c>
      <c r="L1515" s="20">
        <f>VLOOKUP(A1515,Metrik!$C$2:$Y$959,12,0)</f>
        <v>1.6</v>
      </c>
      <c r="M1515" s="20">
        <f>VLOOKUP(A1515,Metrik!$C$2:$Y$959,19,0)</f>
        <v>46.4</v>
      </c>
      <c r="N1515" s="21"/>
      <c r="O1515" s="21"/>
      <c r="P1515" s="21"/>
      <c r="Q1515" s="21"/>
      <c r="R1515" s="21"/>
      <c r="S1515" s="21"/>
      <c r="T1515" s="21"/>
      <c r="U1515" s="22">
        <f>IFERROR(__xludf.DUMMYFUNCTION("IFERROR(GOOGLEFINANCE(A1515,""closeyest""),"""")"),2420.0)</f>
        <v>2420</v>
      </c>
      <c r="V1515" s="23">
        <f>IFERROR(__xludf.DUMMYFUNCTION("IFERROR(GOOGLEFINANCE(A1515,""changepct""),"""")"),24.79)</f>
        <v>24.79</v>
      </c>
      <c r="W1515" s="22">
        <f>IFERROR(__xludf.DUMMYFUNCTION("IFERROR(GOOGLEFINANCE(A1515,""priceopen""),"""")"),2420.0)</f>
        <v>2420</v>
      </c>
      <c r="X1515" s="22">
        <f>IFERROR(__xludf.DUMMYFUNCTION("IFERROR(GOOGLEFINANCE(A1515,""high""),"""")"),3020.0)</f>
        <v>3020</v>
      </c>
      <c r="Y1515" s="22">
        <f>IFERROR(__xludf.DUMMYFUNCTION("IFERROR(GOOGLEFINANCE(A1515,""low""),"""")"),2420.0)</f>
        <v>2420</v>
      </c>
      <c r="Z1515" s="22">
        <f>IFERROR(__xludf.DUMMYFUNCTION("IFERROR(GOOGLEFINANCE(A1515,""volume""),"""")"),4123100.0)</f>
        <v>4123100</v>
      </c>
      <c r="AA1515" s="24" t="str">
        <f>VLOOKUP(A1515,Metrik!$C$2:$Y$959,5,0)</f>
        <v>Agricultural Products</v>
      </c>
      <c r="AB1515" s="24" t="str">
        <f>VLOOKUP(A1515,Metrik!$C$2:$Y$959,3,0)</f>
        <v>Consumer Non-Cyclicals</v>
      </c>
    </row>
    <row r="1516">
      <c r="A1516" s="14" t="s">
        <v>819</v>
      </c>
      <c r="B1516" s="14" t="str">
        <f t="array" ref="B1516">VLOOKUP(A1516,{Metrik!$C$2:$C$998,Metrik!$B$2:$B$998},2,0)</f>
        <v>RMK Energy Tbk.</v>
      </c>
      <c r="C1516" s="15">
        <f>IFERROR(__xludf.DUMMYFUNCTION("GOOGLEFINANCE(""IDX:""&amp;A1516,""price"")"),2250.0)</f>
        <v>2250</v>
      </c>
      <c r="D1516" s="16" t="str">
        <f>IFERROR(__xludf.DUMMYFUNCTION("IF(A1516="""","""",
SPARKLINE(
INDEX(
GOOGLEFINANCE(""IDX:""&amp;A1516,""close"",TODAY()-365,TODAY()),
,2
),
{""linewidth"",1}
))
"),"#N/A")</f>
        <v>#N/A</v>
      </c>
      <c r="E1516" s="14" t="s">
        <v>41</v>
      </c>
      <c r="F1516" s="14" t="s">
        <v>34</v>
      </c>
      <c r="G1516" s="24">
        <f t="shared" si="9"/>
        <v>1</v>
      </c>
      <c r="H1516" s="19">
        <f>VLOOKUP(A1516,Metrik!$C$2:$Y$959,8,0)</f>
        <v>53.6</v>
      </c>
      <c r="I1516" s="20">
        <f>VLOOKUP(A1516,Metrik!$C$2:$Y$959,9,0)</f>
        <v>6.7</v>
      </c>
      <c r="J1516" s="20">
        <f>VLOOKUP(A1516,Metrik!$C$2:$Y$959,10,0)</f>
        <v>12.4</v>
      </c>
      <c r="K1516" s="20">
        <f>VLOOKUP(A1516,Metrik!$C$2:$Y$959,11,0)</f>
        <v>7.2</v>
      </c>
      <c r="L1516" s="20">
        <f>VLOOKUP(A1516,Metrik!$C$2:$Y$959,12,0)</f>
        <v>0.73</v>
      </c>
      <c r="M1516" s="20">
        <f>VLOOKUP(A1516,Metrik!$C$2:$Y$959,19,0)</f>
        <v>30</v>
      </c>
      <c r="N1516" s="21"/>
      <c r="O1516" s="21"/>
      <c r="P1516" s="21"/>
      <c r="Q1516" s="21"/>
      <c r="R1516" s="21"/>
      <c r="S1516" s="21"/>
      <c r="T1516" s="21"/>
      <c r="U1516" s="22">
        <f>IFERROR(__xludf.DUMMYFUNCTION("IFERROR(GOOGLEFINANCE(A1516,""closeyest""),"""")"),2060.0)</f>
        <v>2060</v>
      </c>
      <c r="V1516" s="23">
        <f>IFERROR(__xludf.DUMMYFUNCTION("IFERROR(GOOGLEFINANCE(A1516,""changepct""),"""")"),9.22)</f>
        <v>9.22</v>
      </c>
      <c r="W1516" s="22">
        <f>IFERROR(__xludf.DUMMYFUNCTION("IFERROR(GOOGLEFINANCE(A1516,""priceopen""),"""")"),2040.0)</f>
        <v>2040</v>
      </c>
      <c r="X1516" s="22">
        <f>IFERROR(__xludf.DUMMYFUNCTION("IFERROR(GOOGLEFINANCE(A1516,""high""),"""")"),2400.0)</f>
        <v>2400</v>
      </c>
      <c r="Y1516" s="22">
        <f>IFERROR(__xludf.DUMMYFUNCTION("IFERROR(GOOGLEFINANCE(A1516,""low""),"""")"),2040.0)</f>
        <v>2040</v>
      </c>
      <c r="Z1516" s="22">
        <f>IFERROR(__xludf.DUMMYFUNCTION("IFERROR(GOOGLEFINANCE(A1516,""volume""),"""")"),1.61752E7)</f>
        <v>16175200</v>
      </c>
      <c r="AA1516" s="24" t="str">
        <f>VLOOKUP(A1516,Metrik!$C$2:$Y$959,5,0)</f>
        <v>Coal</v>
      </c>
      <c r="AB1516" s="24" t="str">
        <f>VLOOKUP(A1516,Metrik!$C$2:$Y$959,3,0)</f>
        <v>Energy</v>
      </c>
    </row>
    <row r="1517">
      <c r="A1517" s="14" t="s">
        <v>820</v>
      </c>
      <c r="B1517" s="14" t="str">
        <f t="array" ref="B1517">VLOOKUP(A1517,{Metrik!$C$2:$C$998,Metrik!$B$2:$B$998},2,0)</f>
        <v>PT Royaltama Mulia Kontraktorindo Tbk.</v>
      </c>
      <c r="C1517" s="15">
        <f>IFERROR(__xludf.DUMMYFUNCTION("GOOGLEFINANCE(""IDX:""&amp;A1517,""price"")"),328.0)</f>
        <v>328</v>
      </c>
      <c r="D1517" s="16" t="str">
        <f>IFERROR(__xludf.DUMMYFUNCTION("IF(A1517="""","""",
SPARKLINE(
INDEX(
GOOGLEFINANCE(""IDX:""&amp;A1517,""close"",TODAY()-365,TODAY()),
,2
),
{""linewidth"",1}
))
"),"#N/A")</f>
        <v>#N/A</v>
      </c>
      <c r="E1517" s="26"/>
      <c r="F1517" s="26"/>
      <c r="G1517" s="24">
        <f t="shared" si="9"/>
        <v>0</v>
      </c>
      <c r="H1517" s="19">
        <f>VLOOKUP(A1517,Metrik!$C$2:$Y$959,8,0)</f>
        <v>-10</v>
      </c>
      <c r="I1517" s="20">
        <f>VLOOKUP(A1517,Metrik!$C$2:$Y$959,9,0)</f>
        <v>2.8</v>
      </c>
      <c r="J1517" s="20">
        <f>VLOOKUP(A1517,Metrik!$C$2:$Y$959,10,0)</f>
        <v>-27.7</v>
      </c>
      <c r="K1517" s="20">
        <f>VLOOKUP(A1517,Metrik!$C$2:$Y$959,11,0)</f>
        <v>-7.1</v>
      </c>
      <c r="L1517" s="20">
        <f>VLOOKUP(A1517,Metrik!$C$2:$Y$959,12,0)</f>
        <v>2.9</v>
      </c>
      <c r="M1517" s="20">
        <f>VLOOKUP(A1517,Metrik!$C$2:$Y$959,19,0)</f>
        <v>-62.7</v>
      </c>
      <c r="N1517" s="21"/>
      <c r="O1517" s="21"/>
      <c r="P1517" s="21"/>
      <c r="Q1517" s="21"/>
      <c r="R1517" s="21"/>
      <c r="S1517" s="21"/>
      <c r="T1517" s="21"/>
      <c r="U1517" s="22">
        <f>IFERROR(__xludf.DUMMYFUNCTION("IFERROR(GOOGLEFINANCE(A1517,""closeyest""),"""")"),320.0)</f>
        <v>320</v>
      </c>
      <c r="V1517" s="23">
        <f>IFERROR(__xludf.DUMMYFUNCTION("IFERROR(GOOGLEFINANCE(A1517,""changepct""),"""")"),2.5)</f>
        <v>2.5</v>
      </c>
      <c r="W1517" s="22">
        <f>IFERROR(__xludf.DUMMYFUNCTION("IFERROR(GOOGLEFINANCE(A1517,""priceopen""),"""")"),324.0)</f>
        <v>324</v>
      </c>
      <c r="X1517" s="22">
        <f>IFERROR(__xludf.DUMMYFUNCTION("IFERROR(GOOGLEFINANCE(A1517,""high""),"""")"),344.0)</f>
        <v>344</v>
      </c>
      <c r="Y1517" s="22">
        <f>IFERROR(__xludf.DUMMYFUNCTION("IFERROR(GOOGLEFINANCE(A1517,""low""),"""")"),318.0)</f>
        <v>318</v>
      </c>
      <c r="Z1517" s="22">
        <f>IFERROR(__xludf.DUMMYFUNCTION("IFERROR(GOOGLEFINANCE(A1517,""volume""),"""")"),9570100.0)</f>
        <v>9570100</v>
      </c>
      <c r="AA1517" s="24" t="str">
        <f>VLOOKUP(A1517,Metrik!$C$2:$Y$959,5,0)</f>
        <v>Oil, Gas &amp; Coal Supports</v>
      </c>
      <c r="AB1517" s="24" t="str">
        <f>VLOOKUP(A1517,Metrik!$C$2:$Y$959,3,0)</f>
        <v>Energy</v>
      </c>
    </row>
    <row r="1518">
      <c r="A1518" s="14" t="s">
        <v>821</v>
      </c>
      <c r="B1518" s="14" t="str">
        <f t="array" ref="B1518">VLOOKUP(A1518,{Metrik!$C$2:$C$998,Metrik!$B$2:$B$998},2,0)</f>
        <v>Rockfields Properti Indonesia Tbk.</v>
      </c>
      <c r="C1518" s="15">
        <f>IFERROR(__xludf.DUMMYFUNCTION("GOOGLEFINANCE(""IDX:""&amp;A1518,""price"")"),1490.0)</f>
        <v>1490</v>
      </c>
      <c r="D1518" s="16" t="str">
        <f>IFERROR(__xludf.DUMMYFUNCTION("IF(A1518="""","""",
SPARKLINE(
INDEX(
GOOGLEFINANCE(""IDX:""&amp;A1518,""close"",TODAY()-365,TODAY()),
,2
),
{""linewidth"",1}
))
"),"#N/A")</f>
        <v>#N/A</v>
      </c>
      <c r="E1518" s="26"/>
      <c r="F1518" s="26"/>
      <c r="G1518" s="24">
        <f t="shared" si="9"/>
        <v>0</v>
      </c>
      <c r="H1518" s="19">
        <f>VLOOKUP(A1518,Metrik!$C$2:$Y$959,8,0)</f>
        <v>78.5</v>
      </c>
      <c r="I1518" s="20">
        <f>VLOOKUP(A1518,Metrik!$C$2:$Y$959,9,0)</f>
        <v>3</v>
      </c>
      <c r="J1518" s="20">
        <f>VLOOKUP(A1518,Metrik!$C$2:$Y$959,10,0)</f>
        <v>3.8</v>
      </c>
      <c r="K1518" s="20">
        <f>VLOOKUP(A1518,Metrik!$C$2:$Y$959,11,0)</f>
        <v>3.4</v>
      </c>
      <c r="L1518" s="20">
        <f>VLOOKUP(A1518,Metrik!$C$2:$Y$959,12,0)</f>
        <v>0.14</v>
      </c>
      <c r="M1518" s="20">
        <f>VLOOKUP(A1518,Metrik!$C$2:$Y$959,19,0)</f>
        <v>91.7</v>
      </c>
      <c r="N1518" s="21"/>
      <c r="O1518" s="21"/>
      <c r="P1518" s="21"/>
      <c r="Q1518" s="21"/>
      <c r="R1518" s="21"/>
      <c r="S1518" s="21"/>
      <c r="T1518" s="21"/>
      <c r="U1518" s="22">
        <f>IFERROR(__xludf.DUMMYFUNCTION("IFERROR(GOOGLEFINANCE(A1518,""closeyest""),"""")"),39.41)</f>
        <v>39.41</v>
      </c>
      <c r="V1518" s="23">
        <f>IFERROR(__xludf.DUMMYFUNCTION("IFERROR(GOOGLEFINANCE(A1518,""changepct""),"""")"),2.26)</f>
        <v>2.26</v>
      </c>
      <c r="W1518" s="22">
        <f>IFERROR(__xludf.DUMMYFUNCTION("IFERROR(GOOGLEFINANCE(A1518,""priceopen""),"""")"),39.66)</f>
        <v>39.66</v>
      </c>
      <c r="X1518" s="22">
        <f>IFERROR(__xludf.DUMMYFUNCTION("IFERROR(GOOGLEFINANCE(A1518,""high""),"""")"),41.25)</f>
        <v>41.25</v>
      </c>
      <c r="Y1518" s="22">
        <f>IFERROR(__xludf.DUMMYFUNCTION("IFERROR(GOOGLEFINANCE(A1518,""low""),"""")"),39.33)</f>
        <v>39.33</v>
      </c>
      <c r="Z1518" s="22">
        <f>IFERROR(__xludf.DUMMYFUNCTION("IFERROR(GOOGLEFINANCE(A1518,""volume""),"""")"),321469.0)</f>
        <v>321469</v>
      </c>
      <c r="AA1518" s="24" t="str">
        <f>VLOOKUP(A1518,Metrik!$C$2:$Y$959,5,0)</f>
        <v>Real Estate Management &amp; Development</v>
      </c>
      <c r="AB1518" s="24" t="str">
        <f>VLOOKUP(A1518,Metrik!$C$2:$Y$959,3,0)</f>
        <v>Properties &amp; Real Estate</v>
      </c>
    </row>
    <row r="1519">
      <c r="A1519" s="14" t="s">
        <v>822</v>
      </c>
      <c r="B1519" s="14" t="str">
        <f t="array" ref="B1519">VLOOKUP(A1519,{Metrik!$C$2:$C$998,Metrik!$B$2:$B$998},2,0)</f>
        <v>Pikko Land Development Tbk.</v>
      </c>
      <c r="C1519" s="15">
        <f>IFERROR(__xludf.DUMMYFUNCTION("GOOGLEFINANCE(""IDX:""&amp;A1519,""price"")"),56.0)</f>
        <v>56</v>
      </c>
      <c r="D1519" s="16" t="str">
        <f>IFERROR(__xludf.DUMMYFUNCTION("IF(A1519="""","""",
SPARKLINE(
INDEX(
GOOGLEFINANCE(""IDX:""&amp;A1519,""close"",TODAY()-365,TODAY()),
,2
),
{""linewidth"",1}
))
"),"#N/A")</f>
        <v>#N/A</v>
      </c>
      <c r="E1519" s="26"/>
      <c r="F1519" s="26"/>
      <c r="G1519" s="24">
        <f t="shared" si="9"/>
        <v>0</v>
      </c>
      <c r="H1519" s="19">
        <f>VLOOKUP(A1519,Metrik!$C$2:$Y$959,8,0)</f>
        <v>-12</v>
      </c>
      <c r="I1519" s="20">
        <f>VLOOKUP(A1519,Metrik!$C$2:$Y$959,9,0)</f>
        <v>0.41</v>
      </c>
      <c r="J1519" s="20">
        <f>VLOOKUP(A1519,Metrik!$C$2:$Y$959,10,0)</f>
        <v>-3.4</v>
      </c>
      <c r="K1519" s="20">
        <f>VLOOKUP(A1519,Metrik!$C$2:$Y$959,11,0)</f>
        <v>-2.2</v>
      </c>
      <c r="L1519" s="20">
        <f>VLOOKUP(A1519,Metrik!$C$2:$Y$959,12,0)</f>
        <v>0.57</v>
      </c>
      <c r="M1519" s="20">
        <f>VLOOKUP(A1519,Metrik!$C$2:$Y$959,19,0)</f>
        <v>-610</v>
      </c>
      <c r="N1519" s="21"/>
      <c r="O1519" s="21"/>
      <c r="P1519" s="21"/>
      <c r="Q1519" s="21"/>
      <c r="R1519" s="21"/>
      <c r="S1519" s="21"/>
      <c r="T1519" s="21"/>
      <c r="U1519" s="22">
        <f>IFERROR(__xludf.DUMMYFUNCTION("IFERROR(GOOGLEFINANCE(A1519,""closeyest""),"""")"),54.0)</f>
        <v>54</v>
      </c>
      <c r="V1519" s="23">
        <f>IFERROR(__xludf.DUMMYFUNCTION("IFERROR(GOOGLEFINANCE(A1519,""changepct""),"""")"),3.7)</f>
        <v>3.7</v>
      </c>
      <c r="W1519" s="22">
        <f>IFERROR(__xludf.DUMMYFUNCTION("IFERROR(GOOGLEFINANCE(A1519,""priceopen""),"""")"),55.0)</f>
        <v>55</v>
      </c>
      <c r="X1519" s="22">
        <f>IFERROR(__xludf.DUMMYFUNCTION("IFERROR(GOOGLEFINANCE(A1519,""high""),"""")"),58.0)</f>
        <v>58</v>
      </c>
      <c r="Y1519" s="22">
        <f>IFERROR(__xludf.DUMMYFUNCTION("IFERROR(GOOGLEFINANCE(A1519,""low""),"""")"),54.0)</f>
        <v>54</v>
      </c>
      <c r="Z1519" s="22">
        <f>IFERROR(__xludf.DUMMYFUNCTION("IFERROR(GOOGLEFINANCE(A1519,""volume""),"""")"),1.00921E7)</f>
        <v>10092100</v>
      </c>
      <c r="AA1519" s="24" t="str">
        <f>VLOOKUP(A1519,Metrik!$C$2:$Y$959,5,0)</f>
        <v>Real Estate Management &amp; Development</v>
      </c>
      <c r="AB1519" s="24" t="str">
        <f>VLOOKUP(A1519,Metrik!$C$2:$Y$959,3,0)</f>
        <v>Properties &amp; Real Estate</v>
      </c>
    </row>
    <row r="1520">
      <c r="A1520" s="14" t="s">
        <v>823</v>
      </c>
      <c r="B1520" s="14" t="str">
        <f t="array" ref="B1520">VLOOKUP(A1520,{Metrik!$C$2:$C$998,Metrik!$B$2:$B$998},2,0)</f>
        <v>Aracord Nusantara Group Tbk.</v>
      </c>
      <c r="C1520" s="15">
        <f>IFERROR(__xludf.DUMMYFUNCTION("GOOGLEFINANCE(""IDX:""&amp;A1520,""price"")"),825.0)</f>
        <v>825</v>
      </c>
      <c r="D1520" s="16" t="str">
        <f>IFERROR(__xludf.DUMMYFUNCTION("IF(A1520="""","""",
SPARKLINE(
INDEX(
GOOGLEFINANCE(""IDX:""&amp;A1520,""close"",TODAY()-365,TODAY()),
,2
),
{""linewidth"",1}
))
"),"#N/A")</f>
        <v>#N/A</v>
      </c>
      <c r="E1520" s="26"/>
      <c r="F1520" s="26"/>
      <c r="G1520" s="24">
        <f t="shared" si="9"/>
        <v>0</v>
      </c>
      <c r="H1520" s="19">
        <f>VLOOKUP(A1520,Metrik!$C$2:$Y$959,8,0)</f>
        <v>-3300</v>
      </c>
      <c r="I1520" s="20">
        <f>VLOOKUP(A1520,Metrik!$C$2:$Y$959,9,0)</f>
        <v>300</v>
      </c>
      <c r="J1520" s="20">
        <f>VLOOKUP(A1520,Metrik!$C$2:$Y$959,10,0)</f>
        <v>-9</v>
      </c>
      <c r="K1520" s="20">
        <f>VLOOKUP(A1520,Metrik!$C$2:$Y$959,11,0)</f>
        <v>-0.77</v>
      </c>
      <c r="L1520" s="20">
        <f>VLOOKUP(A1520,Metrik!$C$2:$Y$959,12,0)</f>
        <v>10.8</v>
      </c>
      <c r="M1520" s="20">
        <f>VLOOKUP(A1520,Metrik!$C$2:$Y$959,19,0)</f>
        <v>-5.3</v>
      </c>
      <c r="N1520" s="21"/>
      <c r="O1520" s="21"/>
      <c r="P1520" s="21"/>
      <c r="Q1520" s="21"/>
      <c r="R1520" s="21"/>
      <c r="S1520" s="21"/>
      <c r="T1520" s="21"/>
      <c r="U1520" s="22">
        <f>IFERROR(__xludf.DUMMYFUNCTION("IFERROR(GOOGLEFINANCE(A1520,""closeyest""),"""")"),775.0)</f>
        <v>775</v>
      </c>
      <c r="V1520" s="23">
        <f>IFERROR(__xludf.DUMMYFUNCTION("IFERROR(GOOGLEFINANCE(A1520,""changepct""),"""")"),6.45)</f>
        <v>6.45</v>
      </c>
      <c r="W1520" s="22" t="str">
        <f>IFERROR(__xludf.DUMMYFUNCTION("IFERROR(GOOGLEFINANCE(A1520,""priceopen""),"""")"),"")</f>
        <v/>
      </c>
      <c r="X1520" s="22">
        <f>IFERROR(__xludf.DUMMYFUNCTION("IFERROR(GOOGLEFINANCE(A1520,""high""),"""")"),890.0)</f>
        <v>890</v>
      </c>
      <c r="Y1520" s="22">
        <f>IFERROR(__xludf.DUMMYFUNCTION("IFERROR(GOOGLEFINANCE(A1520,""low""),"""")"),800.0)</f>
        <v>800</v>
      </c>
      <c r="Z1520" s="22">
        <f>IFERROR(__xludf.DUMMYFUNCTION("IFERROR(GOOGLEFINANCE(A1520,""volume""),"""")"),68100.0)</f>
        <v>68100</v>
      </c>
      <c r="AA1520" s="24" t="str">
        <f>VLOOKUP(A1520,Metrik!$C$2:$Y$959,5,0)</f>
        <v>Heavy Constructions &amp; Civil Engineering</v>
      </c>
      <c r="AB1520" s="24" t="str">
        <f>VLOOKUP(A1520,Metrik!$C$2:$Y$959,3,0)</f>
        <v>Infrastructures</v>
      </c>
    </row>
    <row r="1521">
      <c r="A1521" s="14" t="s">
        <v>824</v>
      </c>
      <c r="B1521" s="14" t="str">
        <f t="array" ref="B1521">VLOOKUP(A1521,{Metrik!$C$2:$C$998,Metrik!$B$2:$B$998},2,0)</f>
        <v>Nippon Indosari Corpindo Tbk.</v>
      </c>
      <c r="C1521" s="15">
        <f>IFERROR(__xludf.DUMMYFUNCTION("GOOGLEFINANCE(""IDX:""&amp;A1521,""price"")"),575.0)</f>
        <v>575</v>
      </c>
      <c r="D1521" s="16" t="str">
        <f>IFERROR(__xludf.DUMMYFUNCTION("IF(A1521="""","""",
SPARKLINE(
INDEX(
GOOGLEFINANCE(""IDX:""&amp;A1521,""close"",TODAY()-365,TODAY()),
,2
),
{""linewidth"",1}
))
"),"#N/A")</f>
        <v>#N/A</v>
      </c>
      <c r="E1521" s="26"/>
      <c r="F1521" s="26"/>
      <c r="G1521" s="24">
        <f t="shared" si="9"/>
        <v>0</v>
      </c>
      <c r="H1521" s="19">
        <f>VLOOKUP(A1521,Metrik!$C$2:$Y$959,8,0)</f>
        <v>13.8</v>
      </c>
      <c r="I1521" s="20">
        <f>VLOOKUP(A1521,Metrik!$C$2:$Y$959,9,0)</f>
        <v>1.6</v>
      </c>
      <c r="J1521" s="20">
        <f>VLOOKUP(A1521,Metrik!$C$2:$Y$959,10,0)</f>
        <v>11.6</v>
      </c>
      <c r="K1521" s="20">
        <f>VLOOKUP(A1521,Metrik!$C$2:$Y$959,11,0)</f>
        <v>6.5</v>
      </c>
      <c r="L1521" s="20">
        <f>VLOOKUP(A1521,Metrik!$C$2:$Y$959,12,0)</f>
        <v>0.78</v>
      </c>
      <c r="M1521" s="20">
        <f>VLOOKUP(A1521,Metrik!$C$2:$Y$959,19,0)</f>
        <v>27.3</v>
      </c>
      <c r="N1521" s="21"/>
      <c r="O1521" s="21"/>
      <c r="P1521" s="21"/>
      <c r="Q1521" s="21"/>
      <c r="R1521" s="21"/>
      <c r="S1521" s="21"/>
      <c r="T1521" s="21"/>
      <c r="U1521" s="22">
        <f>IFERROR(__xludf.DUMMYFUNCTION("IFERROR(GOOGLEFINANCE(A1521,""closeyest""),"""")"),570.0)</f>
        <v>570</v>
      </c>
      <c r="V1521" s="23">
        <f>IFERROR(__xludf.DUMMYFUNCTION("IFERROR(GOOGLEFINANCE(A1521,""changepct""),"""")"),0.88)</f>
        <v>0.88</v>
      </c>
      <c r="W1521" s="22">
        <f>IFERROR(__xludf.DUMMYFUNCTION("IFERROR(GOOGLEFINANCE(A1521,""priceopen""),"""")"),570.0)</f>
        <v>570</v>
      </c>
      <c r="X1521" s="22">
        <f>IFERROR(__xludf.DUMMYFUNCTION("IFERROR(GOOGLEFINANCE(A1521,""high""),"""")"),590.0)</f>
        <v>590</v>
      </c>
      <c r="Y1521" s="22">
        <f>IFERROR(__xludf.DUMMYFUNCTION("IFERROR(GOOGLEFINANCE(A1521,""low""),"""")"),560.0)</f>
        <v>560</v>
      </c>
      <c r="Z1521" s="22">
        <f>IFERROR(__xludf.DUMMYFUNCTION("IFERROR(GOOGLEFINANCE(A1521,""volume""),"""")"),1880300.0)</f>
        <v>1880300</v>
      </c>
      <c r="AA1521" s="24" t="str">
        <f>VLOOKUP(A1521,Metrik!$C$2:$Y$959,5,0)</f>
        <v>Processed Foods</v>
      </c>
      <c r="AB1521" s="24" t="str">
        <f>VLOOKUP(A1521,Metrik!$C$2:$Y$959,3,0)</f>
        <v>Consumer Non-Cyclicals</v>
      </c>
    </row>
    <row r="1522">
      <c r="A1522" s="14" t="s">
        <v>825</v>
      </c>
      <c r="B1522" s="14" t="str">
        <f t="array" ref="B1522">VLOOKUP(A1522,{Metrik!$C$2:$C$998,Metrik!$B$2:$B$998},2,0)</f>
        <v>PT Charlie Hospital Semarang Tbk.</v>
      </c>
      <c r="C1522" s="15">
        <f>IFERROR(__xludf.DUMMYFUNCTION("GOOGLEFINANCE(""IDX:""&amp;A1522,""price"")"),316.0)</f>
        <v>316</v>
      </c>
      <c r="D1522" s="16" t="str">
        <f>IFERROR(__xludf.DUMMYFUNCTION("IF(A1522="""","""",
SPARKLINE(
INDEX(
GOOGLEFINANCE(""IDX:""&amp;A1522,""close"",TODAY()-365,TODAY()),
,2
),
{""linewidth"",1}
))
"),"#N/A")</f>
        <v>#N/A</v>
      </c>
      <c r="E1522" s="26"/>
      <c r="F1522" s="26"/>
      <c r="G1522" s="24">
        <f t="shared" si="9"/>
        <v>0</v>
      </c>
      <c r="H1522" s="19">
        <f>VLOOKUP(A1522,Metrik!$C$2:$Y$959,8,0)</f>
        <v>-48.8</v>
      </c>
      <c r="I1522" s="20">
        <f>VLOOKUP(A1522,Metrik!$C$2:$Y$959,9,0)</f>
        <v>5.6</v>
      </c>
      <c r="J1522" s="20">
        <f>VLOOKUP(A1522,Metrik!$C$2:$Y$959,10,0)</f>
        <v>-11.4</v>
      </c>
      <c r="K1522" s="20">
        <f>VLOOKUP(A1522,Metrik!$C$2:$Y$959,11,0)</f>
        <v>-7.3</v>
      </c>
      <c r="L1522" s="20">
        <f>VLOOKUP(A1522,Metrik!$C$2:$Y$959,12,0)</f>
        <v>0.57</v>
      </c>
      <c r="M1522" s="20">
        <f>VLOOKUP(A1522,Metrik!$C$2:$Y$959,19,0)</f>
        <v>-93.7</v>
      </c>
      <c r="N1522" s="21"/>
      <c r="O1522" s="21"/>
      <c r="P1522" s="21"/>
      <c r="Q1522" s="21"/>
      <c r="R1522" s="21"/>
      <c r="S1522" s="21"/>
      <c r="T1522" s="21"/>
      <c r="U1522" s="22">
        <f>IFERROR(__xludf.DUMMYFUNCTION("IFERROR(GOOGLEFINANCE(A1522,""closeyest""),"""")"),318.0)</f>
        <v>318</v>
      </c>
      <c r="V1522" s="23">
        <f>IFERROR(__xludf.DUMMYFUNCTION("IFERROR(GOOGLEFINANCE(A1522,""changepct""),"""")"),-0.63)</f>
        <v>-0.63</v>
      </c>
      <c r="W1522" s="22">
        <f>IFERROR(__xludf.DUMMYFUNCTION("IFERROR(GOOGLEFINANCE(A1522,""priceopen""),"""")"),320.0)</f>
        <v>320</v>
      </c>
      <c r="X1522" s="22">
        <f>IFERROR(__xludf.DUMMYFUNCTION("IFERROR(GOOGLEFINANCE(A1522,""high""),"""")"),320.0)</f>
        <v>320</v>
      </c>
      <c r="Y1522" s="22">
        <f>IFERROR(__xludf.DUMMYFUNCTION("IFERROR(GOOGLEFINANCE(A1522,""low""),"""")"),314.0)</f>
        <v>314</v>
      </c>
      <c r="Z1522" s="22">
        <f>IFERROR(__xludf.DUMMYFUNCTION("IFERROR(GOOGLEFINANCE(A1522,""volume""),"""")"),1.97441E7)</f>
        <v>19744100</v>
      </c>
      <c r="AA1522" s="24" t="str">
        <f>VLOOKUP(A1522,Metrik!$C$2:$Y$959,5,0)</f>
        <v>Healthcare Providers</v>
      </c>
      <c r="AB1522" s="24" t="str">
        <f>VLOOKUP(A1522,Metrik!$C$2:$Y$959,3,0)</f>
        <v>Healthcare</v>
      </c>
    </row>
    <row r="1523">
      <c r="A1523" s="14" t="s">
        <v>826</v>
      </c>
      <c r="B1523" s="14" t="str">
        <f t="array" ref="B1523">VLOOKUP(A1523,{Metrik!$C$2:$C$998,Metrik!$B$2:$B$998},2,0)</f>
        <v>Kedoya Adyaraya Tbk.</v>
      </c>
      <c r="C1523" s="15">
        <f>IFERROR(__xludf.DUMMYFUNCTION("GOOGLEFINANCE(""IDX:""&amp;A1523,""price"")"),735.0)</f>
        <v>735</v>
      </c>
      <c r="D1523" s="16" t="str">
        <f>IFERROR(__xludf.DUMMYFUNCTION("IF(A1523="""","""",
SPARKLINE(
INDEX(
GOOGLEFINANCE(""IDX:""&amp;A1523,""close"",TODAY()-365,TODAY()),
,2
),
{""linewidth"",1}
))
"),"#N/A")</f>
        <v>#N/A</v>
      </c>
      <c r="E1523" s="26"/>
      <c r="F1523" s="26"/>
      <c r="G1523" s="24">
        <f t="shared" si="9"/>
        <v>0</v>
      </c>
      <c r="H1523" s="19">
        <f>VLOOKUP(A1523,Metrik!$C$2:$Y$959,8,0)</f>
        <v>25.6</v>
      </c>
      <c r="I1523" s="20">
        <f>VLOOKUP(A1523,Metrik!$C$2:$Y$959,9,0)</f>
        <v>1.1</v>
      </c>
      <c r="J1523" s="20">
        <f>VLOOKUP(A1523,Metrik!$C$2:$Y$959,10,0)</f>
        <v>4.2</v>
      </c>
      <c r="K1523" s="20">
        <f>VLOOKUP(A1523,Metrik!$C$2:$Y$959,11,0)</f>
        <v>3.3</v>
      </c>
      <c r="L1523" s="20">
        <f>VLOOKUP(A1523,Metrik!$C$2:$Y$959,12,0)</f>
        <v>0.28</v>
      </c>
      <c r="M1523" s="20">
        <f>VLOOKUP(A1523,Metrik!$C$2:$Y$959,19,0)</f>
        <v>27.9</v>
      </c>
      <c r="N1523" s="21"/>
      <c r="O1523" s="21"/>
      <c r="P1523" s="21"/>
      <c r="Q1523" s="21"/>
      <c r="R1523" s="21"/>
      <c r="S1523" s="21"/>
      <c r="T1523" s="21"/>
      <c r="U1523" s="22">
        <f>IFERROR(__xludf.DUMMYFUNCTION("IFERROR(GOOGLEFINANCE(A1523,""closeyest""),"""")"),725.0)</f>
        <v>725</v>
      </c>
      <c r="V1523" s="23">
        <f>IFERROR(__xludf.DUMMYFUNCTION("IFERROR(GOOGLEFINANCE(A1523,""changepct""),"""")"),1.38)</f>
        <v>1.38</v>
      </c>
      <c r="W1523" s="22">
        <f>IFERROR(__xludf.DUMMYFUNCTION("IFERROR(GOOGLEFINANCE(A1523,""priceopen""),"""")"),715.0)</f>
        <v>715</v>
      </c>
      <c r="X1523" s="22">
        <f>IFERROR(__xludf.DUMMYFUNCTION("IFERROR(GOOGLEFINANCE(A1523,""high""),"""")"),775.0)</f>
        <v>775</v>
      </c>
      <c r="Y1523" s="22">
        <f>IFERROR(__xludf.DUMMYFUNCTION("IFERROR(GOOGLEFINANCE(A1523,""low""),"""")"),700.0)</f>
        <v>700</v>
      </c>
      <c r="Z1523" s="22">
        <f>IFERROR(__xludf.DUMMYFUNCTION("IFERROR(GOOGLEFINANCE(A1523,""volume""),"""")"),52100.0)</f>
        <v>52100</v>
      </c>
      <c r="AA1523" s="24" t="str">
        <f>VLOOKUP(A1523,Metrik!$C$2:$Y$959,5,0)</f>
        <v>Healthcare Providers</v>
      </c>
      <c r="AB1523" s="24" t="str">
        <f>VLOOKUP(A1523,Metrik!$C$2:$Y$959,3,0)</f>
        <v>Healthcare</v>
      </c>
    </row>
    <row r="1524">
      <c r="A1524" s="14" t="s">
        <v>827</v>
      </c>
      <c r="B1524" s="14" t="str">
        <f t="array" ref="B1524">VLOOKUP(A1524,{Metrik!$C$2:$C$998,Metrik!$B$2:$B$998},2,0)</f>
        <v>Radiant Utama Interinsco Tbk</v>
      </c>
      <c r="C1524" s="15">
        <f>IFERROR(__xludf.DUMMYFUNCTION("GOOGLEFINANCE(""IDX:""&amp;A1524,""price"")"),186.0)</f>
        <v>186</v>
      </c>
      <c r="D1524" s="16" t="str">
        <f>IFERROR(__xludf.DUMMYFUNCTION("IF(A1524="""","""",
SPARKLINE(
INDEX(
GOOGLEFINANCE(""IDX:""&amp;A1524,""close"",TODAY()-365,TODAY()),
,2
),
{""linewidth"",1}
))
"),"#N/A")</f>
        <v>#N/A</v>
      </c>
      <c r="E1524" s="26"/>
      <c r="F1524" s="26"/>
      <c r="G1524" s="24">
        <f t="shared" si="9"/>
        <v>0</v>
      </c>
      <c r="H1524" s="19">
        <f>VLOOKUP(A1524,Metrik!$C$2:$Y$959,8,0)</f>
        <v>10.9</v>
      </c>
      <c r="I1524" s="20">
        <f>VLOOKUP(A1524,Metrik!$C$2:$Y$959,9,0)</f>
        <v>0.25</v>
      </c>
      <c r="J1524" s="20">
        <f>VLOOKUP(A1524,Metrik!$C$2:$Y$959,10,0)</f>
        <v>2.3</v>
      </c>
      <c r="K1524" s="20">
        <f>VLOOKUP(A1524,Metrik!$C$2:$Y$959,11,0)</f>
        <v>0.96</v>
      </c>
      <c r="L1524" s="20">
        <f>VLOOKUP(A1524,Metrik!$C$2:$Y$959,12,0)</f>
        <v>1.4</v>
      </c>
      <c r="M1524" s="20">
        <f>VLOOKUP(A1524,Metrik!$C$2:$Y$959,19,0)</f>
        <v>2.6</v>
      </c>
      <c r="N1524" s="21"/>
      <c r="O1524" s="21"/>
      <c r="P1524" s="21"/>
      <c r="Q1524" s="21"/>
      <c r="R1524" s="21"/>
      <c r="S1524" s="21"/>
      <c r="T1524" s="21"/>
      <c r="U1524" s="22">
        <f>IFERROR(__xludf.DUMMYFUNCTION("IFERROR(GOOGLEFINANCE(A1524,""closeyest""),"""")"),186.0)</f>
        <v>186</v>
      </c>
      <c r="V1524" s="23">
        <f>IFERROR(__xludf.DUMMYFUNCTION("IFERROR(GOOGLEFINANCE(A1524,""changepct""),"""")"),0.0)</f>
        <v>0</v>
      </c>
      <c r="W1524" s="22" t="str">
        <f>IFERROR(__xludf.DUMMYFUNCTION("IFERROR(GOOGLEFINANCE(A1524,""priceopen""),"""")"),"")</f>
        <v/>
      </c>
      <c r="X1524" s="22">
        <f>IFERROR(__xludf.DUMMYFUNCTION("IFERROR(GOOGLEFINANCE(A1524,""high""),"""")"),190.0)</f>
        <v>190</v>
      </c>
      <c r="Y1524" s="22">
        <f>IFERROR(__xludf.DUMMYFUNCTION("IFERROR(GOOGLEFINANCE(A1524,""low""),"""")"),182.0)</f>
        <v>182</v>
      </c>
      <c r="Z1524" s="22">
        <f>IFERROR(__xludf.DUMMYFUNCTION("IFERROR(GOOGLEFINANCE(A1524,""volume""),"""")"),1105200.0)</f>
        <v>1105200</v>
      </c>
      <c r="AA1524" s="24" t="str">
        <f>VLOOKUP(A1524,Metrik!$C$2:$Y$959,5,0)</f>
        <v>Oil, Gas &amp; Coal Supports</v>
      </c>
      <c r="AB1524" s="24" t="str">
        <f>VLOOKUP(A1524,Metrik!$C$2:$Y$959,3,0)</f>
        <v>Energy</v>
      </c>
    </row>
    <row r="1525">
      <c r="A1525" s="14" t="s">
        <v>828</v>
      </c>
      <c r="B1525" s="14" t="str">
        <f t="array" ref="B1525">VLOOKUP(A1525,{Metrik!$C$2:$C$998,Metrik!$B$2:$B$998},2,0)</f>
        <v>Global Sukses Solusi Tbk.</v>
      </c>
      <c r="C1525" s="15">
        <f>IFERROR(__xludf.DUMMYFUNCTION("GOOGLEFINANCE(""IDX:""&amp;A1525,""price"")"),74.0)</f>
        <v>74</v>
      </c>
      <c r="D1525" s="16" t="str">
        <f>IFERROR(__xludf.DUMMYFUNCTION("IF(A1525="""","""",
SPARKLINE(
INDEX(
GOOGLEFINANCE(""IDX:""&amp;A1525,""close"",TODAY()-365,TODAY()),
,2
),
{""linewidth"",1}
))
"),"#N/A")</f>
        <v>#N/A</v>
      </c>
      <c r="E1525" s="26"/>
      <c r="F1525" s="26"/>
      <c r="G1525" s="24">
        <f t="shared" si="9"/>
        <v>0</v>
      </c>
      <c r="H1525" s="19">
        <f>VLOOKUP(A1525,Metrik!$C$2:$Y$959,8,0)</f>
        <v>-10.6</v>
      </c>
      <c r="I1525" s="20">
        <f>VLOOKUP(A1525,Metrik!$C$2:$Y$959,9,0)</f>
        <v>1.4</v>
      </c>
      <c r="J1525" s="20">
        <f>VLOOKUP(A1525,Metrik!$C$2:$Y$959,10,0)</f>
        <v>-12.9</v>
      </c>
      <c r="K1525" s="20">
        <f>VLOOKUP(A1525,Metrik!$C$2:$Y$959,11,0)</f>
        <v>-9.1</v>
      </c>
      <c r="L1525" s="20">
        <f>VLOOKUP(A1525,Metrik!$C$2:$Y$959,12,0)</f>
        <v>0.41</v>
      </c>
      <c r="M1525" s="20">
        <f>VLOOKUP(A1525,Metrik!$C$2:$Y$959,19,0)</f>
        <v>-44.3</v>
      </c>
      <c r="N1525" s="21"/>
      <c r="O1525" s="21"/>
      <c r="P1525" s="21"/>
      <c r="Q1525" s="21"/>
      <c r="R1525" s="21"/>
      <c r="S1525" s="21"/>
      <c r="T1525" s="21"/>
      <c r="U1525" s="22">
        <f>IFERROR(__xludf.DUMMYFUNCTION("IFERROR(GOOGLEFINANCE(A1525,""closeyest""),"""")"),69.0)</f>
        <v>69</v>
      </c>
      <c r="V1525" s="23">
        <f>IFERROR(__xludf.DUMMYFUNCTION("IFERROR(GOOGLEFINANCE(A1525,""changepct""),"""")"),7.25)</f>
        <v>7.25</v>
      </c>
      <c r="W1525" s="22">
        <f>IFERROR(__xludf.DUMMYFUNCTION("IFERROR(GOOGLEFINANCE(A1525,""priceopen""),"""")"),75.0)</f>
        <v>75</v>
      </c>
      <c r="X1525" s="22">
        <f>IFERROR(__xludf.DUMMYFUNCTION("IFERROR(GOOGLEFINANCE(A1525,""high""),"""")"),75.0)</f>
        <v>75</v>
      </c>
      <c r="Y1525" s="22">
        <f>IFERROR(__xludf.DUMMYFUNCTION("IFERROR(GOOGLEFINANCE(A1525,""low""),"""")"),69.0)</f>
        <v>69</v>
      </c>
      <c r="Z1525" s="22">
        <f>IFERROR(__xludf.DUMMYFUNCTION("IFERROR(GOOGLEFINANCE(A1525,""volume""),"""")"),451400.0)</f>
        <v>451400</v>
      </c>
      <c r="AA1525" s="24" t="str">
        <f>VLOOKUP(A1525,Metrik!$C$2:$Y$959,5,0)</f>
        <v>Software</v>
      </c>
      <c r="AB1525" s="24" t="str">
        <f>VLOOKUP(A1525,Metrik!$C$2:$Y$959,3,0)</f>
        <v>Technology</v>
      </c>
    </row>
    <row r="1526">
      <c r="A1526" s="14" t="s">
        <v>829</v>
      </c>
      <c r="B1526" s="14" t="str">
        <f t="array" ref="B1526">VLOOKUP(A1526,{Metrik!$C$2:$C$998,Metrik!$B$2:$B$998},2,0)</f>
        <v>Steady Safe Tbk</v>
      </c>
      <c r="C1526" s="15">
        <f>IFERROR(__xludf.DUMMYFUNCTION("GOOGLEFINANCE(""IDX:""&amp;A1526,""price"")"),324.0)</f>
        <v>324</v>
      </c>
      <c r="D1526" s="16" t="str">
        <f>IFERROR(__xludf.DUMMYFUNCTION("IF(A1526="""","""",
SPARKLINE(
INDEX(
GOOGLEFINANCE(""IDX:""&amp;A1526,""close"",TODAY()-365,TODAY()),
,2
),
{""linewidth"",1}
))
"),"#N/A")</f>
        <v>#N/A</v>
      </c>
      <c r="E1526" s="26"/>
      <c r="F1526" s="26"/>
      <c r="G1526" s="24">
        <f t="shared" si="9"/>
        <v>0</v>
      </c>
      <c r="H1526" s="19">
        <f>VLOOKUP(A1526,Metrik!$C$2:$Y$959,8,0)</f>
        <v>7.9</v>
      </c>
      <c r="I1526" s="20">
        <f>VLOOKUP(A1526,Metrik!$C$2:$Y$959,9,0)</f>
        <v>3.9</v>
      </c>
      <c r="J1526" s="20">
        <f>VLOOKUP(A1526,Metrik!$C$2:$Y$959,10,0)</f>
        <v>49.4</v>
      </c>
      <c r="K1526" s="20">
        <f>VLOOKUP(A1526,Metrik!$C$2:$Y$959,11,0)</f>
        <v>17.2</v>
      </c>
      <c r="L1526" s="20">
        <f>VLOOKUP(A1526,Metrik!$C$2:$Y$959,12,0)</f>
        <v>1.9</v>
      </c>
      <c r="M1526" s="20">
        <f>VLOOKUP(A1526,Metrik!$C$2:$Y$959,19,0)</f>
        <v>67.6</v>
      </c>
      <c r="N1526" s="21"/>
      <c r="O1526" s="21"/>
      <c r="P1526" s="21"/>
      <c r="Q1526" s="21"/>
      <c r="R1526" s="21"/>
      <c r="S1526" s="21"/>
      <c r="T1526" s="21"/>
      <c r="U1526" s="22">
        <f>IFERROR(__xludf.DUMMYFUNCTION("IFERROR(GOOGLEFINANCE(A1526,""closeyest""),"""")"),16.09)</f>
        <v>16.09</v>
      </c>
      <c r="V1526" s="23">
        <f>IFERROR(__xludf.DUMMYFUNCTION("IFERROR(GOOGLEFINANCE(A1526,""changepct""),"""")"),-1.74)</f>
        <v>-1.74</v>
      </c>
      <c r="W1526" s="22">
        <f>IFERROR(__xludf.DUMMYFUNCTION("IFERROR(GOOGLEFINANCE(A1526,""priceopen""),"""")"),16.11)</f>
        <v>16.11</v>
      </c>
      <c r="X1526" s="22">
        <f>IFERROR(__xludf.DUMMYFUNCTION("IFERROR(GOOGLEFINANCE(A1526,""high""),"""")"),16.29)</f>
        <v>16.29</v>
      </c>
      <c r="Y1526" s="22">
        <f>IFERROR(__xludf.DUMMYFUNCTION("IFERROR(GOOGLEFINANCE(A1526,""low""),"""")"),15.78)</f>
        <v>15.78</v>
      </c>
      <c r="Z1526" s="22">
        <f>IFERROR(__xludf.DUMMYFUNCTION("IFERROR(GOOGLEFINANCE(A1526,""volume""),"""")"),375755.0)</f>
        <v>375755</v>
      </c>
      <c r="AA1526" s="24" t="str">
        <f>VLOOKUP(A1526,Metrik!$C$2:$Y$959,5,0)</f>
        <v>Passenger Land Transportation</v>
      </c>
      <c r="AB1526" s="24" t="str">
        <f>VLOOKUP(A1526,Metrik!$C$2:$Y$959,3,0)</f>
        <v>Transportation &amp; Logistic</v>
      </c>
    </row>
    <row r="1527">
      <c r="A1527" s="14" t="s">
        <v>830</v>
      </c>
      <c r="B1527" s="14" t="str">
        <f t="array" ref="B1527">VLOOKUP(A1527,{Metrik!$C$2:$C$998,Metrik!$B$2:$B$998},2,0)</f>
        <v>PT Saptausaha Gemilangindah Tbk</v>
      </c>
      <c r="C1527" s="15">
        <f>IFERROR(__xludf.DUMMYFUNCTION("GOOGLEFINANCE(""IDX:""&amp;A1527,""price"")"),26.0)</f>
        <v>26</v>
      </c>
      <c r="D1527" s="16" t="str">
        <f>IFERROR(__xludf.DUMMYFUNCTION("IF(A1527="""","""",
SPARKLINE(
INDEX(
GOOGLEFINANCE(""IDX:""&amp;A1527,""close"",TODAY()-365,TODAY()),
,2
),
{""linewidth"",1}
))
"),"#N/A")</f>
        <v>#N/A</v>
      </c>
      <c r="E1527" s="26"/>
      <c r="F1527" s="26"/>
      <c r="G1527" s="24">
        <f t="shared" si="9"/>
        <v>0</v>
      </c>
      <c r="H1527" s="19">
        <f>VLOOKUP(A1527,Metrik!$C$2:$Y$959,8,0)</f>
        <v>-76.4</v>
      </c>
      <c r="I1527" s="20">
        <f>VLOOKUP(A1527,Metrik!$C$2:$Y$959,9,0)</f>
        <v>0.96</v>
      </c>
      <c r="J1527" s="20">
        <f>VLOOKUP(A1527,Metrik!$C$2:$Y$959,10,0)</f>
        <v>-1.3</v>
      </c>
      <c r="K1527" s="20">
        <f>VLOOKUP(A1527,Metrik!$C$2:$Y$959,11,0)</f>
        <v>-1.1</v>
      </c>
      <c r="L1527" s="20">
        <f>VLOOKUP(A1527,Metrik!$C$2:$Y$959,12,0)</f>
        <v>0.13</v>
      </c>
      <c r="M1527" s="20">
        <f>VLOOKUP(A1527,Metrik!$C$2:$Y$959,19,0)</f>
        <v>-180</v>
      </c>
      <c r="N1527" s="21"/>
      <c r="O1527" s="21"/>
      <c r="P1527" s="21"/>
      <c r="Q1527" s="21"/>
      <c r="R1527" s="21"/>
      <c r="S1527" s="21"/>
      <c r="T1527" s="21"/>
      <c r="U1527" s="22">
        <f>IFERROR(__xludf.DUMMYFUNCTION("IFERROR(GOOGLEFINANCE(A1527,""closeyest""),"""")"),0.12)</f>
        <v>0.12</v>
      </c>
      <c r="V1527" s="23">
        <f>IFERROR(__xludf.DUMMYFUNCTION("IFERROR(GOOGLEFINANCE(A1527,""changepct""),"""")"),8.33)</f>
        <v>8.33</v>
      </c>
      <c r="W1527" s="22">
        <f>IFERROR(__xludf.DUMMYFUNCTION("IFERROR(GOOGLEFINANCE(A1527,""priceopen""),"""")"),0.13)</f>
        <v>0.13</v>
      </c>
      <c r="X1527" s="22">
        <f>IFERROR(__xludf.DUMMYFUNCTION("IFERROR(GOOGLEFINANCE(A1527,""high""),"""")"),0.13)</f>
        <v>0.13</v>
      </c>
      <c r="Y1527" s="22">
        <f>IFERROR(__xludf.DUMMYFUNCTION("IFERROR(GOOGLEFINANCE(A1527,""low""),"""")"),0.13)</f>
        <v>0.13</v>
      </c>
      <c r="Z1527" s="22">
        <f>IFERROR(__xludf.DUMMYFUNCTION("IFERROR(GOOGLEFINANCE(A1527,""volume""),"""")"),29206.0)</f>
        <v>29206</v>
      </c>
      <c r="AA1527" s="24" t="str">
        <f>VLOOKUP(A1527,Metrik!$C$2:$Y$959,5,0)</f>
        <v>Real Estate Management &amp; Development</v>
      </c>
      <c r="AB1527" s="24" t="str">
        <f>VLOOKUP(A1527,Metrik!$C$2:$Y$959,3,0)</f>
        <v>Properties &amp; Real Estate</v>
      </c>
    </row>
    <row r="1528">
      <c r="A1528" s="14" t="s">
        <v>831</v>
      </c>
      <c r="B1528" s="14" t="str">
        <f t="array" ref="B1528">VLOOKUP(A1528,{Metrik!$C$2:$C$998,Metrik!$B$2:$B$998},2,0)</f>
        <v>Sarana Meditama Metropolitan Tbk</v>
      </c>
      <c r="C1528" s="15">
        <f>IFERROR(__xludf.DUMMYFUNCTION("GOOGLEFINANCE(""IDX:""&amp;A1528,""price"")"),300.0)</f>
        <v>300</v>
      </c>
      <c r="D1528" s="16" t="str">
        <f>IFERROR(__xludf.DUMMYFUNCTION("IF(A1528="""","""",
SPARKLINE(
INDEX(
GOOGLEFINANCE(""IDX:""&amp;A1528,""close"",TODAY()-365,TODAY()),
,2
),
{""linewidth"",1}
))
"),"#N/A")</f>
        <v>#N/A</v>
      </c>
      <c r="E1528" s="26"/>
      <c r="F1528" s="26"/>
      <c r="G1528" s="24">
        <f t="shared" si="9"/>
        <v>0</v>
      </c>
      <c r="H1528" s="19">
        <f>VLOOKUP(A1528,Metrik!$C$2:$Y$959,8,0)</f>
        <v>290</v>
      </c>
      <c r="I1528" s="20">
        <f>VLOOKUP(A1528,Metrik!$C$2:$Y$959,9,0)</f>
        <v>1.3</v>
      </c>
      <c r="J1528" s="20">
        <f>VLOOKUP(A1528,Metrik!$C$2:$Y$959,10,0)</f>
        <v>0.47</v>
      </c>
      <c r="K1528" s="20">
        <f>VLOOKUP(A1528,Metrik!$C$2:$Y$959,11,0)</f>
        <v>0.34</v>
      </c>
      <c r="L1528" s="20">
        <f>VLOOKUP(A1528,Metrik!$C$2:$Y$959,12,0)</f>
        <v>0.38</v>
      </c>
      <c r="M1528" s="20">
        <f>VLOOKUP(A1528,Metrik!$C$2:$Y$959,19,0)</f>
        <v>4.1</v>
      </c>
      <c r="N1528" s="21"/>
      <c r="O1528" s="21"/>
      <c r="P1528" s="21"/>
      <c r="Q1528" s="21"/>
      <c r="R1528" s="21"/>
      <c r="S1528" s="21"/>
      <c r="T1528" s="21"/>
      <c r="U1528" s="22">
        <f>IFERROR(__xludf.DUMMYFUNCTION("IFERROR(GOOGLEFINANCE(A1528,""closeyest""),"""")"),298.0)</f>
        <v>298</v>
      </c>
      <c r="V1528" s="23">
        <f>IFERROR(__xludf.DUMMYFUNCTION("IFERROR(GOOGLEFINANCE(A1528,""changepct""),"""")"),0.67)</f>
        <v>0.67</v>
      </c>
      <c r="W1528" s="22">
        <f>IFERROR(__xludf.DUMMYFUNCTION("IFERROR(GOOGLEFINANCE(A1528,""priceopen""),"""")"),298.0)</f>
        <v>298</v>
      </c>
      <c r="X1528" s="22">
        <f>IFERROR(__xludf.DUMMYFUNCTION("IFERROR(GOOGLEFINANCE(A1528,""high""),"""")"),314.0)</f>
        <v>314</v>
      </c>
      <c r="Y1528" s="22">
        <f>IFERROR(__xludf.DUMMYFUNCTION("IFERROR(GOOGLEFINANCE(A1528,""low""),"""")"),298.0)</f>
        <v>298</v>
      </c>
      <c r="Z1528" s="22">
        <f>IFERROR(__xludf.DUMMYFUNCTION("IFERROR(GOOGLEFINANCE(A1528,""volume""),"""")"),940300.0)</f>
        <v>940300</v>
      </c>
      <c r="AA1528" s="24" t="str">
        <f>VLOOKUP(A1528,Metrik!$C$2:$Y$959,5,0)</f>
        <v>Healthcare Providers</v>
      </c>
      <c r="AB1528" s="24" t="str">
        <f>VLOOKUP(A1528,Metrik!$C$2:$Y$959,3,0)</f>
        <v>Healthcare</v>
      </c>
    </row>
    <row r="1529">
      <c r="A1529" s="14" t="s">
        <v>832</v>
      </c>
      <c r="B1529" s="14" t="str">
        <f t="array" ref="B1529">VLOOKUP(A1529,{Metrik!$C$2:$C$998,Metrik!$B$2:$B$998},2,0)</f>
        <v>Saraswanti Anugerah Makmur Tbk.</v>
      </c>
      <c r="C1529" s="15">
        <f>IFERROR(__xludf.DUMMYFUNCTION("GOOGLEFINANCE(""IDX:""&amp;A1529,""price"")"),272.0)</f>
        <v>272</v>
      </c>
      <c r="D1529" s="16" t="str">
        <f>IFERROR(__xludf.DUMMYFUNCTION("IF(A1529="""","""",
SPARKLINE(
INDEX(
GOOGLEFINANCE(""IDX:""&amp;A1529,""close"",TODAY()-365,TODAY()),
,2
),
{""linewidth"",1}
))
"),"#N/A")</f>
        <v>#N/A</v>
      </c>
      <c r="E1529" s="26"/>
      <c r="F1529" s="26"/>
      <c r="G1529" s="18">
        <f t="shared" si="9"/>
        <v>0</v>
      </c>
      <c r="H1529" s="19">
        <f>VLOOKUP(A1529,Metrik!$C$2:$Y$959,8,0)</f>
        <v>11.9</v>
      </c>
      <c r="I1529" s="20">
        <f>VLOOKUP(A1529,Metrik!$C$2:$Y$959,9,0)</f>
        <v>1.5</v>
      </c>
      <c r="J1529" s="20">
        <f>VLOOKUP(A1529,Metrik!$C$2:$Y$959,10,0)</f>
        <v>12.9</v>
      </c>
      <c r="K1529" s="20">
        <f>VLOOKUP(A1529,Metrik!$C$2:$Y$959,11,0)</f>
        <v>7.1</v>
      </c>
      <c r="L1529" s="20">
        <f>VLOOKUP(A1529,Metrik!$C$2:$Y$959,12,0)</f>
        <v>0.82</v>
      </c>
      <c r="M1529" s="20">
        <f>VLOOKUP(A1529,Metrik!$C$2:$Y$959,19,0)</f>
        <v>41.4</v>
      </c>
      <c r="N1529" s="21"/>
      <c r="O1529" s="21"/>
      <c r="P1529" s="21"/>
      <c r="Q1529" s="21"/>
      <c r="R1529" s="21"/>
      <c r="S1529" s="21"/>
      <c r="T1529" s="21"/>
      <c r="U1529" s="22">
        <f>IFERROR(__xludf.DUMMYFUNCTION("IFERROR(GOOGLEFINANCE(A1529,""closeyest""),"""")"),266.0)</f>
        <v>266</v>
      </c>
      <c r="V1529" s="23">
        <f>IFERROR(__xludf.DUMMYFUNCTION("IFERROR(GOOGLEFINANCE(A1529,""changepct""),"""")"),2.26)</f>
        <v>2.26</v>
      </c>
      <c r="W1529" s="22">
        <f>IFERROR(__xludf.DUMMYFUNCTION("IFERROR(GOOGLEFINANCE(A1529,""priceopen""),"""")"),264.0)</f>
        <v>264</v>
      </c>
      <c r="X1529" s="22">
        <f>IFERROR(__xludf.DUMMYFUNCTION("IFERROR(GOOGLEFINANCE(A1529,""high""),"""")"),278.0)</f>
        <v>278</v>
      </c>
      <c r="Y1529" s="22">
        <f>IFERROR(__xludf.DUMMYFUNCTION("IFERROR(GOOGLEFINANCE(A1529,""low""),"""")"),262.0)</f>
        <v>262</v>
      </c>
      <c r="Z1529" s="22" t="str">
        <f>IFERROR(__xludf.DUMMYFUNCTION("IFERROR(GOOGLEFINANCE(A1529,""volume""),"""")"),"")</f>
        <v/>
      </c>
      <c r="AA1529" s="24" t="str">
        <f>VLOOKUP(A1529,Metrik!$C$2:$Y$959,5,0)</f>
        <v>Chemicals</v>
      </c>
      <c r="AB1529" s="24" t="str">
        <f>VLOOKUP(A1529,Metrik!$C$2:$Y$959,3,0)</f>
        <v>Basic Materials</v>
      </c>
    </row>
    <row r="1530">
      <c r="A1530" s="14" t="s">
        <v>833</v>
      </c>
      <c r="B1530" s="14" t="str">
        <f t="array" ref="B1530">VLOOKUP(A1530,{Metrik!$C$2:$C$998,Metrik!$B$2:$B$998},2,0)</f>
        <v>Satria Antaran Prima Tbk.</v>
      </c>
      <c r="C1530" s="15">
        <f>IFERROR(__xludf.DUMMYFUNCTION("GOOGLEFINANCE(""IDX:""&amp;A1530,""price"")"),216.0)</f>
        <v>216</v>
      </c>
      <c r="D1530" s="16" t="str">
        <f>IFERROR(__xludf.DUMMYFUNCTION("IF(A1530="""","""",
SPARKLINE(
INDEX(
GOOGLEFINANCE(""IDX:""&amp;A1530,""close"",TODAY()-365,TODAY()),
,2
),
{""linewidth"",1}
))
"),"#N/A")</f>
        <v>#N/A</v>
      </c>
      <c r="E1530" s="26"/>
      <c r="F1530" s="26"/>
      <c r="G1530" s="24">
        <f t="shared" si="9"/>
        <v>0</v>
      </c>
      <c r="H1530" s="19">
        <f>VLOOKUP(A1530,Metrik!$C$2:$Y$959,8,0)</f>
        <v>150</v>
      </c>
      <c r="I1530" s="20">
        <f>VLOOKUP(A1530,Metrik!$C$2:$Y$959,9,0)</f>
        <v>0.79</v>
      </c>
      <c r="J1530" s="20">
        <f>VLOOKUP(A1530,Metrik!$C$2:$Y$959,10,0)</f>
        <v>0.53</v>
      </c>
      <c r="K1530" s="20">
        <f>VLOOKUP(A1530,Metrik!$C$2:$Y$959,11,0)</f>
        <v>0.26</v>
      </c>
      <c r="L1530" s="20">
        <f>VLOOKUP(A1530,Metrik!$C$2:$Y$959,12,0)</f>
        <v>1</v>
      </c>
      <c r="M1530" s="20">
        <f>VLOOKUP(A1530,Metrik!$C$2:$Y$959,19,0)</f>
        <v>0.99</v>
      </c>
      <c r="N1530" s="21"/>
      <c r="O1530" s="21"/>
      <c r="P1530" s="21"/>
      <c r="Q1530" s="21"/>
      <c r="R1530" s="21"/>
      <c r="S1530" s="21"/>
      <c r="T1530" s="21"/>
      <c r="U1530" s="22">
        <f>IFERROR(__xludf.DUMMYFUNCTION("IFERROR(GOOGLEFINANCE(A1530,""closeyest""),"""")"),0.0)</f>
        <v>0</v>
      </c>
      <c r="V1530" s="23">
        <f>IFERROR(__xludf.DUMMYFUNCTION("IFERROR(GOOGLEFINANCE(A1530,""changepct""),"""")"),0.0)</f>
        <v>0</v>
      </c>
      <c r="W1530" s="22" t="str">
        <f>IFERROR(__xludf.DUMMYFUNCTION("IFERROR(GOOGLEFINANCE(A1530,""priceopen""),"""")"),"")</f>
        <v/>
      </c>
      <c r="X1530" s="22" t="str">
        <f>IFERROR(__xludf.DUMMYFUNCTION("IFERROR(GOOGLEFINANCE(A1530,""high""),"""")"),"")</f>
        <v/>
      </c>
      <c r="Y1530" s="22" t="str">
        <f>IFERROR(__xludf.DUMMYFUNCTION("IFERROR(GOOGLEFINANCE(A1530,""low""),"""")"),"")</f>
        <v/>
      </c>
      <c r="Z1530" s="22">
        <f>IFERROR(__xludf.DUMMYFUNCTION("IFERROR(GOOGLEFINANCE(A1530,""volume""),"""")"),0.0)</f>
        <v>0</v>
      </c>
      <c r="AA1530" s="24" t="str">
        <f>VLOOKUP(A1530,Metrik!$C$2:$Y$959,5,0)</f>
        <v>Logistics &amp; Deliveries</v>
      </c>
      <c r="AB1530" s="24" t="str">
        <f>VLOOKUP(A1530,Metrik!$C$2:$Y$959,3,0)</f>
        <v>Transportation &amp; Logistic</v>
      </c>
    </row>
    <row r="1531">
      <c r="A1531" s="14" t="s">
        <v>834</v>
      </c>
      <c r="B1531" s="14" t="str">
        <f t="array" ref="B1531">VLOOKUP(A1531,{Metrik!$C$2:$C$998,Metrik!$B$2:$B$998},2,0)</f>
        <v>Kota Satu Properti Tbk.</v>
      </c>
      <c r="C1531" s="15">
        <f>IFERROR(__xludf.DUMMYFUNCTION("GOOGLEFINANCE(""IDX:""&amp;A1531,""price"")"),272.0)</f>
        <v>272</v>
      </c>
      <c r="D1531" s="16" t="str">
        <f>IFERROR(__xludf.DUMMYFUNCTION("IF(A1531="""","""",
SPARKLINE(
INDEX(
GOOGLEFINANCE(""IDX:""&amp;A1531,""close"",TODAY()-365,TODAY()),
,2
),
{""linewidth"",1}
))
"),"#N/A")</f>
        <v>#N/A</v>
      </c>
      <c r="E1531" s="26"/>
      <c r="F1531" s="26"/>
      <c r="G1531" s="24">
        <f t="shared" si="9"/>
        <v>0</v>
      </c>
      <c r="H1531" s="19">
        <f>VLOOKUP(A1531,Metrik!$C$2:$Y$959,8,0)</f>
        <v>-130</v>
      </c>
      <c r="I1531" s="20">
        <f>VLOOKUP(A1531,Metrik!$C$2:$Y$959,9,0)</f>
        <v>7.9</v>
      </c>
      <c r="J1531" s="20">
        <f>VLOOKUP(A1531,Metrik!$C$2:$Y$959,10,0)</f>
        <v>-6</v>
      </c>
      <c r="K1531" s="20">
        <f>VLOOKUP(A1531,Metrik!$C$2:$Y$959,11,0)</f>
        <v>-1.3</v>
      </c>
      <c r="L1531" s="20">
        <f>VLOOKUP(A1531,Metrik!$C$2:$Y$959,12,0)</f>
        <v>3.7</v>
      </c>
      <c r="M1531" s="20">
        <f>VLOOKUP(A1531,Metrik!$C$2:$Y$959,19,0)</f>
        <v>-37</v>
      </c>
      <c r="N1531" s="21"/>
      <c r="O1531" s="21"/>
      <c r="P1531" s="21"/>
      <c r="Q1531" s="21"/>
      <c r="R1531" s="21"/>
      <c r="S1531" s="21"/>
      <c r="T1531" s="21"/>
      <c r="U1531" s="22">
        <f>IFERROR(__xludf.DUMMYFUNCTION("IFERROR(GOOGLEFINANCE(A1531,""closeyest""),"""")"),270.0)</f>
        <v>270</v>
      </c>
      <c r="V1531" s="23">
        <f>IFERROR(__xludf.DUMMYFUNCTION("IFERROR(GOOGLEFINANCE(A1531,""changepct""),"""")"),0.74)</f>
        <v>0.74</v>
      </c>
      <c r="W1531" s="22">
        <f>IFERROR(__xludf.DUMMYFUNCTION("IFERROR(GOOGLEFINANCE(A1531,""priceopen""),"""")"),270.0)</f>
        <v>270</v>
      </c>
      <c r="X1531" s="22">
        <f>IFERROR(__xludf.DUMMYFUNCTION("IFERROR(GOOGLEFINANCE(A1531,""high""),"""")"),272.0)</f>
        <v>272</v>
      </c>
      <c r="Y1531" s="22">
        <f>IFERROR(__xludf.DUMMYFUNCTION("IFERROR(GOOGLEFINANCE(A1531,""low""),"""")"),268.0)</f>
        <v>268</v>
      </c>
      <c r="Z1531" s="22">
        <f>IFERROR(__xludf.DUMMYFUNCTION("IFERROR(GOOGLEFINANCE(A1531,""volume""),"""")"),939800.0)</f>
        <v>939800</v>
      </c>
      <c r="AA1531" s="24" t="str">
        <f>VLOOKUP(A1531,Metrik!$C$2:$Y$959,5,0)</f>
        <v>Real Estate Management &amp; Development</v>
      </c>
      <c r="AB1531" s="24" t="str">
        <f>VLOOKUP(A1531,Metrik!$C$2:$Y$959,3,0)</f>
        <v>Properties &amp; Real Estate</v>
      </c>
    </row>
    <row r="1532">
      <c r="A1532" s="14" t="s">
        <v>835</v>
      </c>
      <c r="B1532" s="14" t="str">
        <f t="array" ref="B1532">VLOOKUP(A1532,{Metrik!$C$2:$C$998,Metrik!$B$2:$B$998},2,0)</f>
        <v>Sejahtera Bintang Abadi Textile Tbk.</v>
      </c>
      <c r="C1532" s="15">
        <f>IFERROR(__xludf.DUMMYFUNCTION("GOOGLEFINANCE(""IDX:""&amp;A1532,""price"")"),1.0)</f>
        <v>1</v>
      </c>
      <c r="D1532" s="16" t="str">
        <f>IFERROR(__xludf.DUMMYFUNCTION("IF(A1532="""","""",
SPARKLINE(
INDEX(
GOOGLEFINANCE(""IDX:""&amp;A1532,""close"",TODAY()-365,TODAY()),
,2
),
{""linewidth"",1}
))
"),"#N/A")</f>
        <v>#N/A</v>
      </c>
      <c r="E1532" s="26"/>
      <c r="F1532" s="26"/>
      <c r="G1532" s="24">
        <f t="shared" si="9"/>
        <v>0</v>
      </c>
      <c r="H1532" s="19">
        <f>VLOOKUP(A1532,Metrik!$C$2:$Y$959,8,0)</f>
        <v>0</v>
      </c>
      <c r="I1532" s="20">
        <f>VLOOKUP(A1532,Metrik!$C$2:$Y$959,9,0)</f>
        <v>0.03</v>
      </c>
      <c r="J1532" s="20">
        <f>VLOOKUP(A1532,Metrik!$C$2:$Y$959,10,0)</f>
        <v>-49.5</v>
      </c>
      <c r="K1532" s="20">
        <f>VLOOKUP(A1532,Metrik!$C$2:$Y$959,11,0)</f>
        <v>-11.4</v>
      </c>
      <c r="L1532" s="20">
        <f>VLOOKUP(A1532,Metrik!$C$2:$Y$959,12,0)</f>
        <v>3.4</v>
      </c>
      <c r="M1532" s="20">
        <f>VLOOKUP(A1532,Metrik!$C$2:$Y$959,19,0)</f>
        <v>-660</v>
      </c>
      <c r="N1532" s="21"/>
      <c r="O1532" s="21"/>
      <c r="P1532" s="21"/>
      <c r="Q1532" s="21"/>
      <c r="R1532" s="21"/>
      <c r="S1532" s="21"/>
      <c r="T1532" s="21"/>
      <c r="U1532" s="22">
        <f>IFERROR(__xludf.DUMMYFUNCTION("IFERROR(GOOGLEFINANCE(A1532,""closeyest""),"""")"),1.0)</f>
        <v>1</v>
      </c>
      <c r="V1532" s="23">
        <f>IFERROR(__xludf.DUMMYFUNCTION("IFERROR(GOOGLEFINANCE(A1532,""changepct""),"""")"),0.0)</f>
        <v>0</v>
      </c>
      <c r="W1532" s="22" t="str">
        <f>IFERROR(__xludf.DUMMYFUNCTION("IFERROR(GOOGLEFINANCE(A1532,""priceopen""),"""")"),"")</f>
        <v/>
      </c>
      <c r="X1532" s="22" t="str">
        <f>IFERROR(__xludf.DUMMYFUNCTION("IFERROR(GOOGLEFINANCE(A1532,""high""),"""")"),"")</f>
        <v/>
      </c>
      <c r="Y1532" s="22" t="str">
        <f>IFERROR(__xludf.DUMMYFUNCTION("IFERROR(GOOGLEFINANCE(A1532,""low""),"""")"),"")</f>
        <v/>
      </c>
      <c r="Z1532" s="22">
        <f>IFERROR(__xludf.DUMMYFUNCTION("IFERROR(GOOGLEFINANCE(A1532,""volume""),"""")"),0.0)</f>
        <v>0</v>
      </c>
      <c r="AA1532" s="24" t="str">
        <f>VLOOKUP(A1532,Metrik!$C$2:$Y$959,5,0)</f>
        <v>Apparel &amp; Luxury Goods</v>
      </c>
      <c r="AB1532" s="24" t="str">
        <f>VLOOKUP(A1532,Metrik!$C$2:$Y$959,3,0)</f>
        <v>Consumer Cyclicals</v>
      </c>
    </row>
    <row r="1533">
      <c r="A1533" s="14" t="s">
        <v>836</v>
      </c>
      <c r="B1533" s="14" t="str">
        <f t="array" ref="B1533">VLOOKUP(A1533,{Metrik!$C$2:$C$998,Metrik!$B$2:$B$998},2,0)</f>
        <v>Surya Biru Murni Acetylene Tbk.</v>
      </c>
      <c r="C1533" s="15">
        <f>IFERROR(__xludf.DUMMYFUNCTION("GOOGLEFINANCE(""IDX:""&amp;A1533,""price"")"),105.0)</f>
        <v>105</v>
      </c>
      <c r="D1533" s="16" t="str">
        <f>IFERROR(__xludf.DUMMYFUNCTION("IF(A1533="""","""",
SPARKLINE(
INDEX(
GOOGLEFINANCE(""IDX:""&amp;A1533,""close"",TODAY()-365,TODAY()),
,2
),
{""linewidth"",1}
))
"),"#N/A")</f>
        <v>#N/A</v>
      </c>
      <c r="E1533" s="26"/>
      <c r="F1533" s="26"/>
      <c r="G1533" s="24">
        <f t="shared" si="9"/>
        <v>0</v>
      </c>
      <c r="H1533" s="19">
        <f>VLOOKUP(A1533,Metrik!$C$2:$Y$959,8,0)</f>
        <v>10.3</v>
      </c>
      <c r="I1533" s="20">
        <f>VLOOKUP(A1533,Metrik!$C$2:$Y$959,9,0)</f>
        <v>0.43</v>
      </c>
      <c r="J1533" s="20">
        <f>VLOOKUP(A1533,Metrik!$C$2:$Y$959,10,0)</f>
        <v>4.2</v>
      </c>
      <c r="K1533" s="20">
        <f>VLOOKUP(A1533,Metrik!$C$2:$Y$959,11,0)</f>
        <v>3.5</v>
      </c>
      <c r="L1533" s="20">
        <f>VLOOKUP(A1533,Metrik!$C$2:$Y$959,12,0)</f>
        <v>0.21</v>
      </c>
      <c r="M1533" s="20">
        <f>VLOOKUP(A1533,Metrik!$C$2:$Y$959,19,0)</f>
        <v>32</v>
      </c>
      <c r="N1533" s="21"/>
      <c r="O1533" s="21"/>
      <c r="P1533" s="21"/>
      <c r="Q1533" s="21"/>
      <c r="R1533" s="21"/>
      <c r="S1533" s="21"/>
      <c r="T1533" s="21"/>
      <c r="U1533" s="22">
        <f>IFERROR(__xludf.DUMMYFUNCTION("IFERROR(GOOGLEFINANCE(A1533,""closeyest""),"""")"),104.0)</f>
        <v>104</v>
      </c>
      <c r="V1533" s="23">
        <f>IFERROR(__xludf.DUMMYFUNCTION("IFERROR(GOOGLEFINANCE(A1533,""changepct""),"""")"),0.96)</f>
        <v>0.96</v>
      </c>
      <c r="W1533" s="22">
        <f>IFERROR(__xludf.DUMMYFUNCTION("IFERROR(GOOGLEFINANCE(A1533,""priceopen""),"""")"),105.0)</f>
        <v>105</v>
      </c>
      <c r="X1533" s="22">
        <f>IFERROR(__xludf.DUMMYFUNCTION("IFERROR(GOOGLEFINANCE(A1533,""high""),"""")"),106.0)</f>
        <v>106</v>
      </c>
      <c r="Y1533" s="22">
        <f>IFERROR(__xludf.DUMMYFUNCTION("IFERROR(GOOGLEFINANCE(A1533,""low""),"""")"),101.0)</f>
        <v>101</v>
      </c>
      <c r="Z1533" s="22">
        <f>IFERROR(__xludf.DUMMYFUNCTION("IFERROR(GOOGLEFINANCE(A1533,""volume""),"""")"),1017400.0)</f>
        <v>1017400</v>
      </c>
      <c r="AA1533" s="24" t="str">
        <f>VLOOKUP(A1533,Metrik!$C$2:$Y$959,5,0)</f>
        <v>Chemicals</v>
      </c>
      <c r="AB1533" s="24" t="str">
        <f>VLOOKUP(A1533,Metrik!$C$2:$Y$959,3,0)</f>
        <v>Basic Materials</v>
      </c>
    </row>
    <row r="1534">
      <c r="A1534" s="14" t="s">
        <v>837</v>
      </c>
      <c r="B1534" s="14" t="str">
        <f t="array" ref="B1534">VLOOKUP(A1534,{Metrik!$C$2:$C$998,Metrik!$B$2:$B$998},2,0)</f>
        <v>Supreme Cable Manufacturing &amp; Commerce Tbk.</v>
      </c>
      <c r="C1534" s="15">
        <f>IFERROR(__xludf.DUMMYFUNCTION("GOOGLEFINANCE(""IDX:""&amp;A1534,""price"")"),2270.0)</f>
        <v>2270</v>
      </c>
      <c r="D1534" s="16" t="str">
        <f>IFERROR(__xludf.DUMMYFUNCTION("IF(A1534="""","""",
SPARKLINE(
INDEX(
GOOGLEFINANCE(""IDX:""&amp;A1534,""close"",TODAY()-365,TODAY()),
,2
),
{""linewidth"",1}
))
"),"#N/A")</f>
        <v>#N/A</v>
      </c>
      <c r="E1534" s="26"/>
      <c r="F1534" s="26"/>
      <c r="G1534" s="24">
        <f t="shared" si="9"/>
        <v>0</v>
      </c>
      <c r="H1534" s="19">
        <f>VLOOKUP(A1534,Metrik!$C$2:$Y$959,8,0)</f>
        <v>6.3</v>
      </c>
      <c r="I1534" s="20">
        <f>VLOOKUP(A1534,Metrik!$C$2:$Y$959,9,0)</f>
        <v>0.35</v>
      </c>
      <c r="J1534" s="20">
        <f>VLOOKUP(A1534,Metrik!$C$2:$Y$959,10,0)</f>
        <v>5.5</v>
      </c>
      <c r="K1534" s="20">
        <f>VLOOKUP(A1534,Metrik!$C$2:$Y$959,11,0)</f>
        <v>5.2</v>
      </c>
      <c r="L1534" s="20">
        <f>VLOOKUP(A1534,Metrik!$C$2:$Y$959,12,0)</f>
        <v>0.06</v>
      </c>
      <c r="M1534" s="20">
        <f>VLOOKUP(A1534,Metrik!$C$2:$Y$959,19,0)</f>
        <v>16</v>
      </c>
      <c r="N1534" s="21"/>
      <c r="O1534" s="21"/>
      <c r="P1534" s="21"/>
      <c r="Q1534" s="21"/>
      <c r="R1534" s="21"/>
      <c r="S1534" s="21"/>
      <c r="T1534" s="21"/>
      <c r="U1534" s="22">
        <f>IFERROR(__xludf.DUMMYFUNCTION("IFERROR(GOOGLEFINANCE(A1534,""closeyest""),"""")"),182.16)</f>
        <v>182.16</v>
      </c>
      <c r="V1534" s="23" t="str">
        <f>IFERROR(__xludf.DUMMYFUNCTION("IFERROR(GOOGLEFINANCE(A1534,""changepct""),"""")"),"")</f>
        <v/>
      </c>
      <c r="W1534" s="22">
        <f>IFERROR(__xludf.DUMMYFUNCTION("IFERROR(GOOGLEFINANCE(A1534,""priceopen""),"""")"),185.49)</f>
        <v>185.49</v>
      </c>
      <c r="X1534" s="22">
        <f>IFERROR(__xludf.DUMMYFUNCTION("IFERROR(GOOGLEFINANCE(A1534,""high""),"""")"),190.47)</f>
        <v>190.47</v>
      </c>
      <c r="Y1534" s="22">
        <f>IFERROR(__xludf.DUMMYFUNCTION("IFERROR(GOOGLEFINANCE(A1534,""low""),"""")"),184.69)</f>
        <v>184.69</v>
      </c>
      <c r="Z1534" s="22">
        <f>IFERROR(__xludf.DUMMYFUNCTION("IFERROR(GOOGLEFINANCE(A1534,""volume""),"""")"),1119421.0)</f>
        <v>1119421</v>
      </c>
      <c r="AA1534" s="24" t="str">
        <f>VLOOKUP(A1534,Metrik!$C$2:$Y$959,5,0)</f>
        <v>Electrical</v>
      </c>
      <c r="AB1534" s="24" t="str">
        <f>VLOOKUP(A1534,Metrik!$C$2:$Y$959,3,0)</f>
        <v>Industrials</v>
      </c>
    </row>
    <row r="1535">
      <c r="A1535" s="14" t="s">
        <v>838</v>
      </c>
      <c r="B1535" s="14" t="str">
        <f t="array" ref="B1535">VLOOKUP(A1535,{Metrik!$C$2:$C$998,Metrik!$B$2:$B$998},2,0)</f>
        <v>Surya Citra Media Tbk.</v>
      </c>
      <c r="C1535" s="15">
        <f>IFERROR(__xludf.DUMMYFUNCTION("GOOGLEFINANCE(""IDX:""&amp;A1535,""price"")"),200.0)</f>
        <v>200</v>
      </c>
      <c r="D1535" s="16" t="str">
        <f>IFERROR(__xludf.DUMMYFUNCTION("IF(A1535="""","""",
SPARKLINE(
INDEX(
GOOGLEFINANCE(""IDX:""&amp;A1535,""close"",TODAY()-365,TODAY()),
,2
),
{""linewidth"",1}
))
"),"#N/A")</f>
        <v>#N/A</v>
      </c>
      <c r="E1535" s="14" t="s">
        <v>47</v>
      </c>
      <c r="F1535" s="25">
        <v>46356.0</v>
      </c>
      <c r="G1535" s="24">
        <f t="shared" si="9"/>
        <v>11</v>
      </c>
      <c r="H1535" s="19">
        <f>VLOOKUP(A1535,Metrik!$C$2:$Y$959,8,0)</f>
        <v>18.1</v>
      </c>
      <c r="I1535" s="20">
        <f>VLOOKUP(A1535,Metrik!$C$2:$Y$959,9,0)</f>
        <v>2.1</v>
      </c>
      <c r="J1535" s="20">
        <f>VLOOKUP(A1535,Metrik!$C$2:$Y$959,10,0)</f>
        <v>11.7</v>
      </c>
      <c r="K1535" s="20">
        <f>VLOOKUP(A1535,Metrik!$C$2:$Y$959,11,0)</f>
        <v>9</v>
      </c>
      <c r="L1535" s="20">
        <f>VLOOKUP(A1535,Metrik!$C$2:$Y$959,12,0)</f>
        <v>0.3</v>
      </c>
      <c r="M1535" s="20">
        <f>VLOOKUP(A1535,Metrik!$C$2:$Y$959,19,0)</f>
        <v>49.6</v>
      </c>
      <c r="N1535" s="21"/>
      <c r="O1535" s="21"/>
      <c r="P1535" s="21"/>
      <c r="Q1535" s="21"/>
      <c r="R1535" s="21"/>
      <c r="S1535" s="21"/>
      <c r="T1535" s="21"/>
      <c r="U1535" s="22">
        <f>IFERROR(__xludf.DUMMYFUNCTION("IFERROR(GOOGLEFINANCE(A1535,""closeyest""),"""")"),194.0)</f>
        <v>194</v>
      </c>
      <c r="V1535" s="23">
        <f>IFERROR(__xludf.DUMMYFUNCTION("IFERROR(GOOGLEFINANCE(A1535,""changepct""),"""")"),3.09)</f>
        <v>3.09</v>
      </c>
      <c r="W1535" s="22">
        <f>IFERROR(__xludf.DUMMYFUNCTION("IFERROR(GOOGLEFINANCE(A1535,""priceopen""),"""")"),198.0)</f>
        <v>198</v>
      </c>
      <c r="X1535" s="22">
        <f>IFERROR(__xludf.DUMMYFUNCTION("IFERROR(GOOGLEFINANCE(A1535,""high""),"""")"),206.0)</f>
        <v>206</v>
      </c>
      <c r="Y1535" s="22">
        <f>IFERROR(__xludf.DUMMYFUNCTION("IFERROR(GOOGLEFINANCE(A1535,""low""),"""")"),196.0)</f>
        <v>196</v>
      </c>
      <c r="Z1535" s="22">
        <f>IFERROR(__xludf.DUMMYFUNCTION("IFERROR(GOOGLEFINANCE(A1535,""volume""),"""")"),3.526E7)</f>
        <v>35260000</v>
      </c>
      <c r="AA1535" s="24" t="str">
        <f>VLOOKUP(A1535,Metrik!$C$2:$Y$959,5,0)</f>
        <v>Media</v>
      </c>
      <c r="AB1535" s="24" t="str">
        <f>VLOOKUP(A1535,Metrik!$C$2:$Y$959,3,0)</f>
        <v>Consumer Cyclicals</v>
      </c>
    </row>
    <row r="1536">
      <c r="A1536" s="14" t="s">
        <v>838</v>
      </c>
      <c r="B1536" s="14" t="str">
        <f t="array" ref="B1536">VLOOKUP(A1536,{Metrik!$C$2:$C$998,Metrik!$B$2:$B$998},2,0)</f>
        <v>Surya Citra Media Tbk.</v>
      </c>
      <c r="C1536" s="15">
        <f>IFERROR(__xludf.DUMMYFUNCTION("GOOGLEFINANCE(""IDX:""&amp;A1536,""price"")"),200.0)</f>
        <v>200</v>
      </c>
      <c r="D1536" s="16" t="str">
        <f>IFERROR(__xludf.DUMMYFUNCTION("IF(A1536="""","""",
SPARKLINE(
INDEX(
GOOGLEFINANCE(""IDX:""&amp;A1536,""close"",TODAY()-365,TODAY()),
,2
),
{""linewidth"",1}
))
"),"#N/A")</f>
        <v>#N/A</v>
      </c>
      <c r="E1536" s="14" t="s">
        <v>55</v>
      </c>
      <c r="F1536" s="25">
        <v>46356.0</v>
      </c>
      <c r="G1536" s="24">
        <f t="shared" si="9"/>
        <v>11</v>
      </c>
      <c r="H1536" s="19">
        <f>VLOOKUP(A1536,Metrik!$C$2:$Y$959,8,0)</f>
        <v>18.1</v>
      </c>
      <c r="I1536" s="20">
        <f>VLOOKUP(A1536,Metrik!$C$2:$Y$959,9,0)</f>
        <v>2.1</v>
      </c>
      <c r="J1536" s="20">
        <f>VLOOKUP(A1536,Metrik!$C$2:$Y$959,10,0)</f>
        <v>11.7</v>
      </c>
      <c r="K1536" s="20">
        <f>VLOOKUP(A1536,Metrik!$C$2:$Y$959,11,0)</f>
        <v>9</v>
      </c>
      <c r="L1536" s="20">
        <f>VLOOKUP(A1536,Metrik!$C$2:$Y$959,12,0)</f>
        <v>0.3</v>
      </c>
      <c r="M1536" s="20">
        <f>VLOOKUP(A1536,Metrik!$C$2:$Y$959,19,0)</f>
        <v>49.6</v>
      </c>
      <c r="N1536" s="21"/>
      <c r="O1536" s="21"/>
      <c r="P1536" s="21"/>
      <c r="Q1536" s="21"/>
      <c r="R1536" s="21"/>
      <c r="S1536" s="21"/>
      <c r="T1536" s="21"/>
      <c r="U1536" s="22">
        <f>IFERROR(__xludf.DUMMYFUNCTION("IFERROR(GOOGLEFINANCE(A1536,""closeyest""),"""")"),194.0)</f>
        <v>194</v>
      </c>
      <c r="V1536" s="23">
        <f>IFERROR(__xludf.DUMMYFUNCTION("IFERROR(GOOGLEFINANCE(A1536,""changepct""),"""")"),3.09)</f>
        <v>3.09</v>
      </c>
      <c r="W1536" s="22">
        <f>IFERROR(__xludf.DUMMYFUNCTION("IFERROR(GOOGLEFINANCE(A1536,""priceopen""),"""")"),198.0)</f>
        <v>198</v>
      </c>
      <c r="X1536" s="22">
        <f>IFERROR(__xludf.DUMMYFUNCTION("IFERROR(GOOGLEFINANCE(A1536,""high""),"""")"),206.0)</f>
        <v>206</v>
      </c>
      <c r="Y1536" s="22">
        <f>IFERROR(__xludf.DUMMYFUNCTION("IFERROR(GOOGLEFINANCE(A1536,""low""),"""")"),196.0)</f>
        <v>196</v>
      </c>
      <c r="Z1536" s="22">
        <f>IFERROR(__xludf.DUMMYFUNCTION("IFERROR(GOOGLEFINANCE(A1536,""volume""),"""")"),3.526E7)</f>
        <v>35260000</v>
      </c>
      <c r="AA1536" s="24" t="str">
        <f>VLOOKUP(A1536,Metrik!$C$2:$Y$959,5,0)</f>
        <v>Media</v>
      </c>
      <c r="AB1536" s="24" t="str">
        <f>VLOOKUP(A1536,Metrik!$C$2:$Y$959,3,0)</f>
        <v>Consumer Cyclicals</v>
      </c>
    </row>
    <row r="1537">
      <c r="A1537" s="14" t="s">
        <v>838</v>
      </c>
      <c r="B1537" s="14" t="str">
        <f t="array" ref="B1537">VLOOKUP(A1537,{Metrik!$C$2:$C$998,Metrik!$B$2:$B$998},2,0)</f>
        <v>Surya Citra Media Tbk.</v>
      </c>
      <c r="C1537" s="15">
        <f>IFERROR(__xludf.DUMMYFUNCTION("GOOGLEFINANCE(""IDX:""&amp;A1537,""price"")"),200.0)</f>
        <v>200</v>
      </c>
      <c r="D1537" s="16" t="str">
        <f>IFERROR(__xludf.DUMMYFUNCTION("IF(A1537="""","""",
SPARKLINE(
INDEX(
GOOGLEFINANCE(""IDX:""&amp;A1537,""close"",TODAY()-365,TODAY()),
,2
),
{""linewidth"",1}
))
"),"#N/A")</f>
        <v>#N/A</v>
      </c>
      <c r="E1537" s="14" t="s">
        <v>54</v>
      </c>
      <c r="F1537" s="14" t="s">
        <v>34</v>
      </c>
      <c r="G1537" s="24">
        <f t="shared" si="9"/>
        <v>11</v>
      </c>
      <c r="H1537" s="19">
        <f>VLOOKUP(A1537,Metrik!$C$2:$Y$959,8,0)</f>
        <v>18.1</v>
      </c>
      <c r="I1537" s="20">
        <f>VLOOKUP(A1537,Metrik!$C$2:$Y$959,9,0)</f>
        <v>2.1</v>
      </c>
      <c r="J1537" s="20">
        <f>VLOOKUP(A1537,Metrik!$C$2:$Y$959,10,0)</f>
        <v>11.7</v>
      </c>
      <c r="K1537" s="20">
        <f>VLOOKUP(A1537,Metrik!$C$2:$Y$959,11,0)</f>
        <v>9</v>
      </c>
      <c r="L1537" s="20">
        <f>VLOOKUP(A1537,Metrik!$C$2:$Y$959,12,0)</f>
        <v>0.3</v>
      </c>
      <c r="M1537" s="20">
        <f>VLOOKUP(A1537,Metrik!$C$2:$Y$959,19,0)</f>
        <v>49.6</v>
      </c>
      <c r="N1537" s="21"/>
      <c r="O1537" s="21"/>
      <c r="P1537" s="21"/>
      <c r="Q1537" s="21"/>
      <c r="R1537" s="21"/>
      <c r="S1537" s="21"/>
      <c r="T1537" s="21"/>
      <c r="U1537" s="22">
        <f>IFERROR(__xludf.DUMMYFUNCTION("IFERROR(GOOGLEFINANCE(A1537,""closeyest""),"""")"),194.0)</f>
        <v>194</v>
      </c>
      <c r="V1537" s="23">
        <f>IFERROR(__xludf.DUMMYFUNCTION("IFERROR(GOOGLEFINANCE(A1537,""changepct""),"""")"),3.09)</f>
        <v>3.09</v>
      </c>
      <c r="W1537" s="22">
        <f>IFERROR(__xludf.DUMMYFUNCTION("IFERROR(GOOGLEFINANCE(A1537,""priceopen""),"""")"),198.0)</f>
        <v>198</v>
      </c>
      <c r="X1537" s="22">
        <f>IFERROR(__xludf.DUMMYFUNCTION("IFERROR(GOOGLEFINANCE(A1537,""high""),"""")"),206.0)</f>
        <v>206</v>
      </c>
      <c r="Y1537" s="22">
        <f>IFERROR(__xludf.DUMMYFUNCTION("IFERROR(GOOGLEFINANCE(A1537,""low""),"""")"),196.0)</f>
        <v>196</v>
      </c>
      <c r="Z1537" s="22">
        <f>IFERROR(__xludf.DUMMYFUNCTION("IFERROR(GOOGLEFINANCE(A1537,""volume""),"""")"),3.526E7)</f>
        <v>35260000</v>
      </c>
      <c r="AA1537" s="24" t="str">
        <f>VLOOKUP(A1537,Metrik!$C$2:$Y$959,5,0)</f>
        <v>Media</v>
      </c>
      <c r="AB1537" s="24" t="str">
        <f>VLOOKUP(A1537,Metrik!$C$2:$Y$959,3,0)</f>
        <v>Consumer Cyclicals</v>
      </c>
    </row>
    <row r="1538">
      <c r="A1538" s="14" t="s">
        <v>838</v>
      </c>
      <c r="B1538" s="14" t="str">
        <f t="array" ref="B1538">VLOOKUP(A1538,{Metrik!$C$2:$C$998,Metrik!$B$2:$B$998},2,0)</f>
        <v>Surya Citra Media Tbk.</v>
      </c>
      <c r="C1538" s="15">
        <f>IFERROR(__xludf.DUMMYFUNCTION("GOOGLEFINANCE(""IDX:""&amp;A1538,""price"")"),200.0)</f>
        <v>200</v>
      </c>
      <c r="D1538" s="16" t="str">
        <f>IFERROR(__xludf.DUMMYFUNCTION("IF(A1538="""","""",
SPARKLINE(
INDEX(
GOOGLEFINANCE(""IDX:""&amp;A1538,""close"",TODAY()-365,TODAY()),
,2
),
{""linewidth"",1}
))
"),"#N/A")</f>
        <v>#N/A</v>
      </c>
      <c r="E1538" s="14" t="s">
        <v>48</v>
      </c>
      <c r="F1538" s="14" t="s">
        <v>49</v>
      </c>
      <c r="G1538" s="24">
        <f t="shared" si="9"/>
        <v>11</v>
      </c>
      <c r="H1538" s="19">
        <f>VLOOKUP(A1538,Metrik!$C$2:$Y$959,8,0)</f>
        <v>18.1</v>
      </c>
      <c r="I1538" s="20">
        <f>VLOOKUP(A1538,Metrik!$C$2:$Y$959,9,0)</f>
        <v>2.1</v>
      </c>
      <c r="J1538" s="20">
        <f>VLOOKUP(A1538,Metrik!$C$2:$Y$959,10,0)</f>
        <v>11.7</v>
      </c>
      <c r="K1538" s="20">
        <f>VLOOKUP(A1538,Metrik!$C$2:$Y$959,11,0)</f>
        <v>9</v>
      </c>
      <c r="L1538" s="20">
        <f>VLOOKUP(A1538,Metrik!$C$2:$Y$959,12,0)</f>
        <v>0.3</v>
      </c>
      <c r="M1538" s="20">
        <f>VLOOKUP(A1538,Metrik!$C$2:$Y$959,19,0)</f>
        <v>49.6</v>
      </c>
      <c r="N1538" s="21"/>
      <c r="O1538" s="21"/>
      <c r="P1538" s="21"/>
      <c r="Q1538" s="21"/>
      <c r="R1538" s="21"/>
      <c r="S1538" s="21"/>
      <c r="T1538" s="21"/>
      <c r="U1538" s="22">
        <f>IFERROR(__xludf.DUMMYFUNCTION("IFERROR(GOOGLEFINANCE(A1538,""closeyest""),"""")"),194.0)</f>
        <v>194</v>
      </c>
      <c r="V1538" s="23">
        <f>IFERROR(__xludf.DUMMYFUNCTION("IFERROR(GOOGLEFINANCE(A1538,""changepct""),"""")"),3.09)</f>
        <v>3.09</v>
      </c>
      <c r="W1538" s="22">
        <f>IFERROR(__xludf.DUMMYFUNCTION("IFERROR(GOOGLEFINANCE(A1538,""priceopen""),"""")"),198.0)</f>
        <v>198</v>
      </c>
      <c r="X1538" s="22">
        <f>IFERROR(__xludf.DUMMYFUNCTION("IFERROR(GOOGLEFINANCE(A1538,""high""),"""")"),206.0)</f>
        <v>206</v>
      </c>
      <c r="Y1538" s="22">
        <f>IFERROR(__xludf.DUMMYFUNCTION("IFERROR(GOOGLEFINANCE(A1538,""low""),"""")"),196.0)</f>
        <v>196</v>
      </c>
      <c r="Z1538" s="22">
        <f>IFERROR(__xludf.DUMMYFUNCTION("IFERROR(GOOGLEFINANCE(A1538,""volume""),"""")"),3.526E7)</f>
        <v>35260000</v>
      </c>
      <c r="AA1538" s="24" t="str">
        <f>VLOOKUP(A1538,Metrik!$C$2:$Y$959,5,0)</f>
        <v>Media</v>
      </c>
      <c r="AB1538" s="24" t="str">
        <f>VLOOKUP(A1538,Metrik!$C$2:$Y$959,3,0)</f>
        <v>Consumer Cyclicals</v>
      </c>
    </row>
    <row r="1539">
      <c r="A1539" s="14" t="s">
        <v>838</v>
      </c>
      <c r="B1539" s="14" t="str">
        <f t="array" ref="B1539">VLOOKUP(A1539,{Metrik!$C$2:$C$998,Metrik!$B$2:$B$998},2,0)</f>
        <v>Surya Citra Media Tbk.</v>
      </c>
      <c r="C1539" s="15">
        <f>IFERROR(__xludf.DUMMYFUNCTION("GOOGLEFINANCE(""IDX:""&amp;A1539,""price"")"),200.0)</f>
        <v>200</v>
      </c>
      <c r="D1539" s="16" t="str">
        <f>IFERROR(__xludf.DUMMYFUNCTION("IF(A1539="""","""",
SPARKLINE(
INDEX(
GOOGLEFINANCE(""IDX:""&amp;A1539,""close"",TODAY()-365,TODAY()),
,2
),
{""linewidth"",1}
))
"),"#N/A")</f>
        <v>#N/A</v>
      </c>
      <c r="E1539" s="14" t="s">
        <v>68</v>
      </c>
      <c r="F1539" s="14" t="s">
        <v>34</v>
      </c>
      <c r="G1539" s="24">
        <f t="shared" si="9"/>
        <v>11</v>
      </c>
      <c r="H1539" s="19">
        <f>VLOOKUP(A1539,Metrik!$C$2:$Y$959,8,0)</f>
        <v>18.1</v>
      </c>
      <c r="I1539" s="20">
        <f>VLOOKUP(A1539,Metrik!$C$2:$Y$959,9,0)</f>
        <v>2.1</v>
      </c>
      <c r="J1539" s="20">
        <f>VLOOKUP(A1539,Metrik!$C$2:$Y$959,10,0)</f>
        <v>11.7</v>
      </c>
      <c r="K1539" s="20">
        <f>VLOOKUP(A1539,Metrik!$C$2:$Y$959,11,0)</f>
        <v>9</v>
      </c>
      <c r="L1539" s="20">
        <f>VLOOKUP(A1539,Metrik!$C$2:$Y$959,12,0)</f>
        <v>0.3</v>
      </c>
      <c r="M1539" s="20">
        <f>VLOOKUP(A1539,Metrik!$C$2:$Y$959,19,0)</f>
        <v>49.6</v>
      </c>
      <c r="N1539" s="21"/>
      <c r="O1539" s="21"/>
      <c r="P1539" s="21"/>
      <c r="Q1539" s="21"/>
      <c r="R1539" s="21"/>
      <c r="S1539" s="21"/>
      <c r="T1539" s="21"/>
      <c r="U1539" s="22">
        <f>IFERROR(__xludf.DUMMYFUNCTION("IFERROR(GOOGLEFINANCE(A1539,""closeyest""),"""")"),194.0)</f>
        <v>194</v>
      </c>
      <c r="V1539" s="23">
        <f>IFERROR(__xludf.DUMMYFUNCTION("IFERROR(GOOGLEFINANCE(A1539,""changepct""),"""")"),3.09)</f>
        <v>3.09</v>
      </c>
      <c r="W1539" s="22">
        <f>IFERROR(__xludf.DUMMYFUNCTION("IFERROR(GOOGLEFINANCE(A1539,""priceopen""),"""")"),198.0)</f>
        <v>198</v>
      </c>
      <c r="X1539" s="22">
        <f>IFERROR(__xludf.DUMMYFUNCTION("IFERROR(GOOGLEFINANCE(A1539,""high""),"""")"),206.0)</f>
        <v>206</v>
      </c>
      <c r="Y1539" s="22">
        <f>IFERROR(__xludf.DUMMYFUNCTION("IFERROR(GOOGLEFINANCE(A1539,""low""),"""")"),196.0)</f>
        <v>196</v>
      </c>
      <c r="Z1539" s="22">
        <f>IFERROR(__xludf.DUMMYFUNCTION("IFERROR(GOOGLEFINANCE(A1539,""volume""),"""")"),3.526E7)</f>
        <v>35260000</v>
      </c>
      <c r="AA1539" s="24" t="str">
        <f>VLOOKUP(A1539,Metrik!$C$2:$Y$959,5,0)</f>
        <v>Media</v>
      </c>
      <c r="AB1539" s="24" t="str">
        <f>VLOOKUP(A1539,Metrik!$C$2:$Y$959,3,0)</f>
        <v>Consumer Cyclicals</v>
      </c>
    </row>
    <row r="1540">
      <c r="A1540" s="14" t="s">
        <v>838</v>
      </c>
      <c r="B1540" s="14" t="str">
        <f t="array" ref="B1540">VLOOKUP(A1540,{Metrik!$C$2:$C$998,Metrik!$B$2:$B$998},2,0)</f>
        <v>Surya Citra Media Tbk.</v>
      </c>
      <c r="C1540" s="15">
        <f>IFERROR(__xludf.DUMMYFUNCTION("GOOGLEFINANCE(""IDX:""&amp;A1540,""price"")"),200.0)</f>
        <v>200</v>
      </c>
      <c r="D1540" s="16" t="str">
        <f>IFERROR(__xludf.DUMMYFUNCTION("IF(A1540="""","""",
SPARKLINE(
INDEX(
GOOGLEFINANCE(""IDX:""&amp;A1540,""close"",TODAY()-365,TODAY()),
,2
),
{""linewidth"",1}
))
"),"#N/A")</f>
        <v>#N/A</v>
      </c>
      <c r="E1540" s="14" t="s">
        <v>52</v>
      </c>
      <c r="F1540" s="27" t="s">
        <v>53</v>
      </c>
      <c r="G1540" s="24">
        <f t="shared" si="9"/>
        <v>11</v>
      </c>
      <c r="H1540" s="19">
        <f>VLOOKUP(A1540,Metrik!$C$2:$Y$959,8,0)</f>
        <v>18.1</v>
      </c>
      <c r="I1540" s="20">
        <f>VLOOKUP(A1540,Metrik!$C$2:$Y$959,9,0)</f>
        <v>2.1</v>
      </c>
      <c r="J1540" s="20">
        <f>VLOOKUP(A1540,Metrik!$C$2:$Y$959,10,0)</f>
        <v>11.7</v>
      </c>
      <c r="K1540" s="20">
        <f>VLOOKUP(A1540,Metrik!$C$2:$Y$959,11,0)</f>
        <v>9</v>
      </c>
      <c r="L1540" s="20">
        <f>VLOOKUP(A1540,Metrik!$C$2:$Y$959,12,0)</f>
        <v>0.3</v>
      </c>
      <c r="M1540" s="20">
        <f>VLOOKUP(A1540,Metrik!$C$2:$Y$959,19,0)</f>
        <v>49.6</v>
      </c>
      <c r="N1540" s="21"/>
      <c r="O1540" s="21"/>
      <c r="P1540" s="21"/>
      <c r="Q1540" s="21"/>
      <c r="R1540" s="21"/>
      <c r="S1540" s="21"/>
      <c r="T1540" s="21"/>
      <c r="U1540" s="22">
        <f>IFERROR(__xludf.DUMMYFUNCTION("IFERROR(GOOGLEFINANCE(A1540,""closeyest""),"""")"),194.0)</f>
        <v>194</v>
      </c>
      <c r="V1540" s="23">
        <f>IFERROR(__xludf.DUMMYFUNCTION("IFERROR(GOOGLEFINANCE(A1540,""changepct""),"""")"),3.09)</f>
        <v>3.09</v>
      </c>
      <c r="W1540" s="22">
        <f>IFERROR(__xludf.DUMMYFUNCTION("IFERROR(GOOGLEFINANCE(A1540,""priceopen""),"""")"),198.0)</f>
        <v>198</v>
      </c>
      <c r="X1540" s="22">
        <f>IFERROR(__xludf.DUMMYFUNCTION("IFERROR(GOOGLEFINANCE(A1540,""high""),"""")"),206.0)</f>
        <v>206</v>
      </c>
      <c r="Y1540" s="22">
        <f>IFERROR(__xludf.DUMMYFUNCTION("IFERROR(GOOGLEFINANCE(A1540,""low""),"""")"),196.0)</f>
        <v>196</v>
      </c>
      <c r="Z1540" s="22">
        <f>IFERROR(__xludf.DUMMYFUNCTION("IFERROR(GOOGLEFINANCE(A1540,""volume""),"""")"),3.526E7)</f>
        <v>35260000</v>
      </c>
      <c r="AA1540" s="24" t="str">
        <f>VLOOKUP(A1540,Metrik!$C$2:$Y$959,5,0)</f>
        <v>Media</v>
      </c>
      <c r="AB1540" s="24" t="str">
        <f>VLOOKUP(A1540,Metrik!$C$2:$Y$959,3,0)</f>
        <v>Consumer Cyclicals</v>
      </c>
    </row>
    <row r="1541">
      <c r="A1541" s="14" t="s">
        <v>838</v>
      </c>
      <c r="B1541" s="14" t="str">
        <f t="array" ref="B1541">VLOOKUP(A1541,{Metrik!$C$2:$C$998,Metrik!$B$2:$B$998},2,0)</f>
        <v>Surya Citra Media Tbk.</v>
      </c>
      <c r="C1541" s="15">
        <f>IFERROR(__xludf.DUMMYFUNCTION("GOOGLEFINANCE(""IDX:""&amp;A1541,""price"")"),200.0)</f>
        <v>200</v>
      </c>
      <c r="D1541" s="16" t="str">
        <f>IFERROR(__xludf.DUMMYFUNCTION("IF(A1541="""","""",
SPARKLINE(
INDEX(
GOOGLEFINANCE(""IDX:""&amp;A1541,""close"",TODAY()-365,TODAY()),
,2
),
{""linewidth"",1}
))
"),"#N/A")</f>
        <v>#N/A</v>
      </c>
      <c r="E1541" s="14" t="s">
        <v>28</v>
      </c>
      <c r="F1541" s="17" t="s">
        <v>29</v>
      </c>
      <c r="G1541" s="24">
        <f t="shared" si="9"/>
        <v>11</v>
      </c>
      <c r="H1541" s="19">
        <f>VLOOKUP(A1541,Metrik!$C$2:$Y$959,8,0)</f>
        <v>18.1</v>
      </c>
      <c r="I1541" s="20">
        <f>VLOOKUP(A1541,Metrik!$C$2:$Y$959,9,0)</f>
        <v>2.1</v>
      </c>
      <c r="J1541" s="20">
        <f>VLOOKUP(A1541,Metrik!$C$2:$Y$959,10,0)</f>
        <v>11.7</v>
      </c>
      <c r="K1541" s="20">
        <f>VLOOKUP(A1541,Metrik!$C$2:$Y$959,11,0)</f>
        <v>9</v>
      </c>
      <c r="L1541" s="20">
        <f>VLOOKUP(A1541,Metrik!$C$2:$Y$959,12,0)</f>
        <v>0.3</v>
      </c>
      <c r="M1541" s="20">
        <f>VLOOKUP(A1541,Metrik!$C$2:$Y$959,19,0)</f>
        <v>49.6</v>
      </c>
      <c r="N1541" s="21"/>
      <c r="O1541" s="21"/>
      <c r="P1541" s="21"/>
      <c r="Q1541" s="21"/>
      <c r="R1541" s="21"/>
      <c r="S1541" s="21"/>
      <c r="T1541" s="21"/>
      <c r="U1541" s="22">
        <f>IFERROR(__xludf.DUMMYFUNCTION("IFERROR(GOOGLEFINANCE(A1541,""closeyest""),"""")"),194.0)</f>
        <v>194</v>
      </c>
      <c r="V1541" s="23">
        <f>IFERROR(__xludf.DUMMYFUNCTION("IFERROR(GOOGLEFINANCE(A1541,""changepct""),"""")"),3.09)</f>
        <v>3.09</v>
      </c>
      <c r="W1541" s="22">
        <f>IFERROR(__xludf.DUMMYFUNCTION("IFERROR(GOOGLEFINANCE(A1541,""priceopen""),"""")"),198.0)</f>
        <v>198</v>
      </c>
      <c r="X1541" s="22">
        <f>IFERROR(__xludf.DUMMYFUNCTION("IFERROR(GOOGLEFINANCE(A1541,""high""),"""")"),206.0)</f>
        <v>206</v>
      </c>
      <c r="Y1541" s="22">
        <f>IFERROR(__xludf.DUMMYFUNCTION("IFERROR(GOOGLEFINANCE(A1541,""low""),"""")"),196.0)</f>
        <v>196</v>
      </c>
      <c r="Z1541" s="22">
        <f>IFERROR(__xludf.DUMMYFUNCTION("IFERROR(GOOGLEFINANCE(A1541,""volume""),"""")"),3.526E7)</f>
        <v>35260000</v>
      </c>
      <c r="AA1541" s="24" t="str">
        <f>VLOOKUP(A1541,Metrik!$C$2:$Y$959,5,0)</f>
        <v>Media</v>
      </c>
      <c r="AB1541" s="24" t="str">
        <f>VLOOKUP(A1541,Metrik!$C$2:$Y$959,3,0)</f>
        <v>Consumer Cyclicals</v>
      </c>
    </row>
    <row r="1542">
      <c r="A1542" s="14" t="s">
        <v>838</v>
      </c>
      <c r="B1542" s="14" t="str">
        <f t="array" ref="B1542">VLOOKUP(A1542,{Metrik!$C$2:$C$998,Metrik!$B$2:$B$998},2,0)</f>
        <v>Surya Citra Media Tbk.</v>
      </c>
      <c r="C1542" s="15">
        <f>IFERROR(__xludf.DUMMYFUNCTION("GOOGLEFINANCE(""IDX:""&amp;A1542,""price"")"),200.0)</f>
        <v>200</v>
      </c>
      <c r="D1542" s="16" t="str">
        <f>IFERROR(__xludf.DUMMYFUNCTION("IF(A1542="""","""",
SPARKLINE(
INDEX(
GOOGLEFINANCE(""IDX:""&amp;A1542,""close"",TODAY()-365,TODAY()),
,2
),
{""linewidth"",1}
))
"),"#N/A")</f>
        <v>#N/A</v>
      </c>
      <c r="E1542" s="14" t="s">
        <v>32</v>
      </c>
      <c r="F1542" s="14" t="s">
        <v>29</v>
      </c>
      <c r="G1542" s="24">
        <f t="shared" si="9"/>
        <v>11</v>
      </c>
      <c r="H1542" s="19">
        <f>VLOOKUP(A1542,Metrik!$C$2:$Y$959,8,0)</f>
        <v>18.1</v>
      </c>
      <c r="I1542" s="20">
        <f>VLOOKUP(A1542,Metrik!$C$2:$Y$959,9,0)</f>
        <v>2.1</v>
      </c>
      <c r="J1542" s="20">
        <f>VLOOKUP(A1542,Metrik!$C$2:$Y$959,10,0)</f>
        <v>11.7</v>
      </c>
      <c r="K1542" s="20">
        <f>VLOOKUP(A1542,Metrik!$C$2:$Y$959,11,0)</f>
        <v>9</v>
      </c>
      <c r="L1542" s="20">
        <f>VLOOKUP(A1542,Metrik!$C$2:$Y$959,12,0)</f>
        <v>0.3</v>
      </c>
      <c r="M1542" s="20">
        <f>VLOOKUP(A1542,Metrik!$C$2:$Y$959,19,0)</f>
        <v>49.6</v>
      </c>
      <c r="N1542" s="21"/>
      <c r="O1542" s="21"/>
      <c r="P1542" s="21"/>
      <c r="Q1542" s="21"/>
      <c r="R1542" s="21"/>
      <c r="S1542" s="21"/>
      <c r="T1542" s="21"/>
      <c r="U1542" s="22">
        <f>IFERROR(__xludf.DUMMYFUNCTION("IFERROR(GOOGLEFINANCE(A1542,""closeyest""),"""")"),194.0)</f>
        <v>194</v>
      </c>
      <c r="V1542" s="23">
        <f>IFERROR(__xludf.DUMMYFUNCTION("IFERROR(GOOGLEFINANCE(A1542,""changepct""),"""")"),3.09)</f>
        <v>3.09</v>
      </c>
      <c r="W1542" s="22">
        <f>IFERROR(__xludf.DUMMYFUNCTION("IFERROR(GOOGLEFINANCE(A1542,""priceopen""),"""")"),198.0)</f>
        <v>198</v>
      </c>
      <c r="X1542" s="22">
        <f>IFERROR(__xludf.DUMMYFUNCTION("IFERROR(GOOGLEFINANCE(A1542,""high""),"""")"),206.0)</f>
        <v>206</v>
      </c>
      <c r="Y1542" s="22">
        <f>IFERROR(__xludf.DUMMYFUNCTION("IFERROR(GOOGLEFINANCE(A1542,""low""),"""")"),196.0)</f>
        <v>196</v>
      </c>
      <c r="Z1542" s="22">
        <f>IFERROR(__xludf.DUMMYFUNCTION("IFERROR(GOOGLEFINANCE(A1542,""volume""),"""")"),3.526E7)</f>
        <v>35260000</v>
      </c>
      <c r="AA1542" s="24" t="str">
        <f>VLOOKUP(A1542,Metrik!$C$2:$Y$959,5,0)</f>
        <v>Media</v>
      </c>
      <c r="AB1542" s="24" t="str">
        <f>VLOOKUP(A1542,Metrik!$C$2:$Y$959,3,0)</f>
        <v>Consumer Cyclicals</v>
      </c>
    </row>
    <row r="1543">
      <c r="A1543" s="14" t="s">
        <v>838</v>
      </c>
      <c r="B1543" s="14" t="str">
        <f t="array" ref="B1543">VLOOKUP(A1543,{Metrik!$C$2:$C$998,Metrik!$B$2:$B$998},2,0)</f>
        <v>Surya Citra Media Tbk.</v>
      </c>
      <c r="C1543" s="15">
        <f>IFERROR(__xludf.DUMMYFUNCTION("GOOGLEFINANCE(""IDX:""&amp;A1543,""price"")"),200.0)</f>
        <v>200</v>
      </c>
      <c r="D1543" s="16" t="str">
        <f>IFERROR(__xludf.DUMMYFUNCTION("IF(A1543="""","""",
SPARKLINE(
INDEX(
GOOGLEFINANCE(""IDX:""&amp;A1543,""close"",TODAY()-365,TODAY()),
,2
),
{""linewidth"",1}
))
"),"#N/A")</f>
        <v>#N/A</v>
      </c>
      <c r="E1543" s="14" t="s">
        <v>31</v>
      </c>
      <c r="F1543" s="17" t="s">
        <v>29</v>
      </c>
      <c r="G1543" s="24">
        <f t="shared" si="9"/>
        <v>11</v>
      </c>
      <c r="H1543" s="19">
        <f>VLOOKUP(A1543,Metrik!$C$2:$Y$959,8,0)</f>
        <v>18.1</v>
      </c>
      <c r="I1543" s="20">
        <f>VLOOKUP(A1543,Metrik!$C$2:$Y$959,9,0)</f>
        <v>2.1</v>
      </c>
      <c r="J1543" s="20">
        <f>VLOOKUP(A1543,Metrik!$C$2:$Y$959,10,0)</f>
        <v>11.7</v>
      </c>
      <c r="K1543" s="20">
        <f>VLOOKUP(A1543,Metrik!$C$2:$Y$959,11,0)</f>
        <v>9</v>
      </c>
      <c r="L1543" s="20">
        <f>VLOOKUP(A1543,Metrik!$C$2:$Y$959,12,0)</f>
        <v>0.3</v>
      </c>
      <c r="M1543" s="20">
        <f>VLOOKUP(A1543,Metrik!$C$2:$Y$959,19,0)</f>
        <v>49.6</v>
      </c>
      <c r="N1543" s="21"/>
      <c r="O1543" s="21"/>
      <c r="P1543" s="21"/>
      <c r="Q1543" s="21"/>
      <c r="R1543" s="21"/>
      <c r="S1543" s="21"/>
      <c r="T1543" s="21"/>
      <c r="U1543" s="22">
        <f>IFERROR(__xludf.DUMMYFUNCTION("IFERROR(GOOGLEFINANCE(A1543,""closeyest""),"""")"),194.0)</f>
        <v>194</v>
      </c>
      <c r="V1543" s="23">
        <f>IFERROR(__xludf.DUMMYFUNCTION("IFERROR(GOOGLEFINANCE(A1543,""changepct""),"""")"),3.09)</f>
        <v>3.09</v>
      </c>
      <c r="W1543" s="22">
        <f>IFERROR(__xludf.DUMMYFUNCTION("IFERROR(GOOGLEFINANCE(A1543,""priceopen""),"""")"),198.0)</f>
        <v>198</v>
      </c>
      <c r="X1543" s="22">
        <f>IFERROR(__xludf.DUMMYFUNCTION("IFERROR(GOOGLEFINANCE(A1543,""high""),"""")"),206.0)</f>
        <v>206</v>
      </c>
      <c r="Y1543" s="22">
        <f>IFERROR(__xludf.DUMMYFUNCTION("IFERROR(GOOGLEFINANCE(A1543,""low""),"""")"),196.0)</f>
        <v>196</v>
      </c>
      <c r="Z1543" s="22">
        <f>IFERROR(__xludf.DUMMYFUNCTION("IFERROR(GOOGLEFINANCE(A1543,""volume""),"""")"),3.526E7)</f>
        <v>35260000</v>
      </c>
      <c r="AA1543" s="24" t="str">
        <f>VLOOKUP(A1543,Metrik!$C$2:$Y$959,5,0)</f>
        <v>Media</v>
      </c>
      <c r="AB1543" s="24" t="str">
        <f>VLOOKUP(A1543,Metrik!$C$2:$Y$959,3,0)</f>
        <v>Consumer Cyclicals</v>
      </c>
    </row>
    <row r="1544">
      <c r="A1544" s="14" t="s">
        <v>838</v>
      </c>
      <c r="B1544" s="14" t="str">
        <f t="array" ref="B1544">VLOOKUP(A1544,{Metrik!$C$2:$C$998,Metrik!$B$2:$B$998},2,0)</f>
        <v>Surya Citra Media Tbk.</v>
      </c>
      <c r="C1544" s="15">
        <f>IFERROR(__xludf.DUMMYFUNCTION("GOOGLEFINANCE(""IDX:""&amp;A1544,""price"")"),200.0)</f>
        <v>200</v>
      </c>
      <c r="D1544" s="16" t="str">
        <f>IFERROR(__xludf.DUMMYFUNCTION("IF(A1544="""","""",
SPARKLINE(
INDEX(
GOOGLEFINANCE(""IDX:""&amp;A1544,""close"",TODAY()-365,TODAY()),
,2
),
{""linewidth"",1}
))
"),"#N/A")</f>
        <v>#N/A</v>
      </c>
      <c r="E1544" s="14" t="s">
        <v>50</v>
      </c>
      <c r="F1544" s="17" t="s">
        <v>51</v>
      </c>
      <c r="G1544" s="24">
        <f t="shared" si="9"/>
        <v>11</v>
      </c>
      <c r="H1544" s="19">
        <f>VLOOKUP(A1544,Metrik!$C$2:$Y$959,8,0)</f>
        <v>18.1</v>
      </c>
      <c r="I1544" s="20">
        <f>VLOOKUP(A1544,Metrik!$C$2:$Y$959,9,0)</f>
        <v>2.1</v>
      </c>
      <c r="J1544" s="20">
        <f>VLOOKUP(A1544,Metrik!$C$2:$Y$959,10,0)</f>
        <v>11.7</v>
      </c>
      <c r="K1544" s="20">
        <f>VLOOKUP(A1544,Metrik!$C$2:$Y$959,11,0)</f>
        <v>9</v>
      </c>
      <c r="L1544" s="20">
        <f>VLOOKUP(A1544,Metrik!$C$2:$Y$959,12,0)</f>
        <v>0.3</v>
      </c>
      <c r="M1544" s="20">
        <f>VLOOKUP(A1544,Metrik!$C$2:$Y$959,19,0)</f>
        <v>49.6</v>
      </c>
      <c r="N1544" s="21"/>
      <c r="O1544" s="21"/>
      <c r="P1544" s="21"/>
      <c r="Q1544" s="21"/>
      <c r="R1544" s="21"/>
      <c r="S1544" s="21"/>
      <c r="T1544" s="21"/>
      <c r="U1544" s="22">
        <f>IFERROR(__xludf.DUMMYFUNCTION("IFERROR(GOOGLEFINANCE(A1544,""closeyest""),"""")"),194.0)</f>
        <v>194</v>
      </c>
      <c r="V1544" s="23">
        <f>IFERROR(__xludf.DUMMYFUNCTION("IFERROR(GOOGLEFINANCE(A1544,""changepct""),"""")"),3.09)</f>
        <v>3.09</v>
      </c>
      <c r="W1544" s="22">
        <f>IFERROR(__xludf.DUMMYFUNCTION("IFERROR(GOOGLEFINANCE(A1544,""priceopen""),"""")"),198.0)</f>
        <v>198</v>
      </c>
      <c r="X1544" s="22">
        <f>IFERROR(__xludf.DUMMYFUNCTION("IFERROR(GOOGLEFINANCE(A1544,""high""),"""")"),206.0)</f>
        <v>206</v>
      </c>
      <c r="Y1544" s="22">
        <f>IFERROR(__xludf.DUMMYFUNCTION("IFERROR(GOOGLEFINANCE(A1544,""low""),"""")"),196.0)</f>
        <v>196</v>
      </c>
      <c r="Z1544" s="22">
        <f>IFERROR(__xludf.DUMMYFUNCTION("IFERROR(GOOGLEFINANCE(A1544,""volume""),"""")"),3.526E7)</f>
        <v>35260000</v>
      </c>
      <c r="AA1544" s="24" t="str">
        <f>VLOOKUP(A1544,Metrik!$C$2:$Y$959,5,0)</f>
        <v>Media</v>
      </c>
      <c r="AB1544" s="24" t="str">
        <f>VLOOKUP(A1544,Metrik!$C$2:$Y$959,3,0)</f>
        <v>Consumer Cyclicals</v>
      </c>
    </row>
    <row r="1545">
      <c r="A1545" s="14" t="s">
        <v>838</v>
      </c>
      <c r="B1545" s="14" t="str">
        <f t="array" ref="B1545">VLOOKUP(A1545,{Metrik!$C$2:$C$998,Metrik!$B$2:$B$998},2,0)</f>
        <v>Surya Citra Media Tbk.</v>
      </c>
      <c r="C1545" s="15">
        <f>IFERROR(__xludf.DUMMYFUNCTION("GOOGLEFINANCE(""IDX:""&amp;A1545,""price"")"),200.0)</f>
        <v>200</v>
      </c>
      <c r="D1545" s="16" t="str">
        <f>IFERROR(__xludf.DUMMYFUNCTION("IF(A1545="""","""",
SPARKLINE(
INDEX(
GOOGLEFINANCE(""IDX:""&amp;A1545,""close"",TODAY()-365,TODAY()),
,2
),
{""linewidth"",1}
))
"),"#N/A")</f>
        <v>#N/A</v>
      </c>
      <c r="E1545" s="14" t="s">
        <v>41</v>
      </c>
      <c r="F1545" s="14" t="s">
        <v>34</v>
      </c>
      <c r="G1545" s="24">
        <f t="shared" si="9"/>
        <v>11</v>
      </c>
      <c r="H1545" s="19">
        <f>VLOOKUP(A1545,Metrik!$C$2:$Y$959,8,0)</f>
        <v>18.1</v>
      </c>
      <c r="I1545" s="20">
        <f>VLOOKUP(A1545,Metrik!$C$2:$Y$959,9,0)</f>
        <v>2.1</v>
      </c>
      <c r="J1545" s="20">
        <f>VLOOKUP(A1545,Metrik!$C$2:$Y$959,10,0)</f>
        <v>11.7</v>
      </c>
      <c r="K1545" s="20">
        <f>VLOOKUP(A1545,Metrik!$C$2:$Y$959,11,0)</f>
        <v>9</v>
      </c>
      <c r="L1545" s="20">
        <f>VLOOKUP(A1545,Metrik!$C$2:$Y$959,12,0)</f>
        <v>0.3</v>
      </c>
      <c r="M1545" s="20">
        <f>VLOOKUP(A1545,Metrik!$C$2:$Y$959,19,0)</f>
        <v>49.6</v>
      </c>
      <c r="N1545" s="21"/>
      <c r="O1545" s="21"/>
      <c r="P1545" s="21"/>
      <c r="Q1545" s="21"/>
      <c r="R1545" s="21"/>
      <c r="S1545" s="21"/>
      <c r="T1545" s="21"/>
      <c r="U1545" s="22">
        <f>IFERROR(__xludf.DUMMYFUNCTION("IFERROR(GOOGLEFINANCE(A1545,""closeyest""),"""")"),194.0)</f>
        <v>194</v>
      </c>
      <c r="V1545" s="23">
        <f>IFERROR(__xludf.DUMMYFUNCTION("IFERROR(GOOGLEFINANCE(A1545,""changepct""),"""")"),3.09)</f>
        <v>3.09</v>
      </c>
      <c r="W1545" s="22">
        <f>IFERROR(__xludf.DUMMYFUNCTION("IFERROR(GOOGLEFINANCE(A1545,""priceopen""),"""")"),198.0)</f>
        <v>198</v>
      </c>
      <c r="X1545" s="22">
        <f>IFERROR(__xludf.DUMMYFUNCTION("IFERROR(GOOGLEFINANCE(A1545,""high""),"""")"),206.0)</f>
        <v>206</v>
      </c>
      <c r="Y1545" s="22">
        <f>IFERROR(__xludf.DUMMYFUNCTION("IFERROR(GOOGLEFINANCE(A1545,""low""),"""")"),196.0)</f>
        <v>196</v>
      </c>
      <c r="Z1545" s="22">
        <f>IFERROR(__xludf.DUMMYFUNCTION("IFERROR(GOOGLEFINANCE(A1545,""volume""),"""")"),3.526E7)</f>
        <v>35260000</v>
      </c>
      <c r="AA1545" s="24" t="str">
        <f>VLOOKUP(A1545,Metrik!$C$2:$Y$959,5,0)</f>
        <v>Media</v>
      </c>
      <c r="AB1545" s="24" t="str">
        <f>VLOOKUP(A1545,Metrik!$C$2:$Y$959,3,0)</f>
        <v>Consumer Cyclicals</v>
      </c>
    </row>
    <row r="1546">
      <c r="A1546" s="14" t="s">
        <v>839</v>
      </c>
      <c r="B1546" s="14" t="str">
        <f t="array" ref="B1546">VLOOKUP(A1546,{Metrik!$C$2:$C$998,Metrik!$B$2:$B$998},2,0)</f>
        <v>Selaras Citra Nusantara Perkasa Tbk.</v>
      </c>
      <c r="C1546" s="15">
        <f>IFERROR(__xludf.DUMMYFUNCTION("GOOGLEFINANCE(""IDX:""&amp;A1546,""price"")"),142.0)</f>
        <v>142</v>
      </c>
      <c r="D1546" s="16" t="str">
        <f>IFERROR(__xludf.DUMMYFUNCTION("IF(A1546="""","""",
SPARKLINE(
INDEX(
GOOGLEFINANCE(""IDX:""&amp;A1546,""close"",TODAY()-365,TODAY()),
,2
),
{""linewidth"",1}
))
"),"#N/A")</f>
        <v>#N/A</v>
      </c>
      <c r="E1546" s="26"/>
      <c r="F1546" s="26"/>
      <c r="G1546" s="24">
        <f t="shared" si="9"/>
        <v>0</v>
      </c>
      <c r="H1546" s="19">
        <f>VLOOKUP(A1546,Metrik!$C$2:$Y$959,8,0)</f>
        <v>27.6</v>
      </c>
      <c r="I1546" s="20">
        <f>VLOOKUP(A1546,Metrik!$C$2:$Y$959,9,0)</f>
        <v>1.1</v>
      </c>
      <c r="J1546" s="20">
        <f>VLOOKUP(A1546,Metrik!$C$2:$Y$959,10,0)</f>
        <v>4</v>
      </c>
      <c r="K1546" s="20">
        <f>VLOOKUP(A1546,Metrik!$C$2:$Y$959,11,0)</f>
        <v>3.2</v>
      </c>
      <c r="L1546" s="20">
        <f>VLOOKUP(A1546,Metrik!$C$2:$Y$959,12,0)</f>
        <v>0.26</v>
      </c>
      <c r="M1546" s="20">
        <f>VLOOKUP(A1546,Metrik!$C$2:$Y$959,19,0)</f>
        <v>20.1</v>
      </c>
      <c r="N1546" s="21"/>
      <c r="O1546" s="21"/>
      <c r="P1546" s="21"/>
      <c r="Q1546" s="21"/>
      <c r="R1546" s="21"/>
      <c r="S1546" s="21"/>
      <c r="T1546" s="21"/>
      <c r="U1546" s="22">
        <f>IFERROR(__xludf.DUMMYFUNCTION("IFERROR(GOOGLEFINANCE(A1546,""closeyest""),"""")"),140.0)</f>
        <v>140</v>
      </c>
      <c r="V1546" s="23">
        <f>IFERROR(__xludf.DUMMYFUNCTION("IFERROR(GOOGLEFINANCE(A1546,""changepct""),"""")"),1.43)</f>
        <v>1.43</v>
      </c>
      <c r="W1546" s="22">
        <f>IFERROR(__xludf.DUMMYFUNCTION("IFERROR(GOOGLEFINANCE(A1546,""priceopen""),"""")"),140.0)</f>
        <v>140</v>
      </c>
      <c r="X1546" s="22" t="str">
        <f>IFERROR(__xludf.DUMMYFUNCTION("IFERROR(GOOGLEFINANCE(A1546,""high""),"""")"),"")</f>
        <v/>
      </c>
      <c r="Y1546" s="22">
        <f>IFERROR(__xludf.DUMMYFUNCTION("IFERROR(GOOGLEFINANCE(A1546,""low""),"""")"),139.0)</f>
        <v>139</v>
      </c>
      <c r="Z1546" s="22">
        <f>IFERROR(__xludf.DUMMYFUNCTION("IFERROR(GOOGLEFINANCE(A1546,""volume""),"""")"),279600.0)</f>
        <v>279600</v>
      </c>
      <c r="AA1546" s="24" t="str">
        <f>VLOOKUP(A1546,Metrik!$C$2:$Y$959,5,0)</f>
        <v>Household Goods</v>
      </c>
      <c r="AB1546" s="24" t="str">
        <f>VLOOKUP(A1546,Metrik!$C$2:$Y$959,3,0)</f>
        <v>Consumer Cyclicals</v>
      </c>
    </row>
    <row r="1547">
      <c r="A1547" s="14" t="s">
        <v>840</v>
      </c>
      <c r="B1547" s="14" t="str">
        <f t="array" ref="B1547">VLOOKUP(A1547,{Metrik!$C$2:$C$998,Metrik!$B$2:$B$998},2,0)</f>
        <v>Organon Pharma Indonesia Tbk.</v>
      </c>
      <c r="C1547" s="15">
        <f>IFERROR(__xludf.DUMMYFUNCTION("GOOGLEFINANCE(""IDX:""&amp;A1547,""price"")"),0.0)</f>
        <v>0</v>
      </c>
      <c r="D1547" s="16" t="str">
        <f>IFERROR(__xludf.DUMMYFUNCTION("IF(A1547="""","""",
SPARKLINE(
INDEX(
GOOGLEFINANCE(""IDX:""&amp;A1547,""close"",TODAY()-365,TODAY()),
,2
),
{""linewidth"",1}
))
"),"#N/A")</f>
        <v>#N/A</v>
      </c>
      <c r="E1547" s="26"/>
      <c r="F1547" s="26"/>
      <c r="G1547" s="18">
        <f t="shared" si="9"/>
        <v>0</v>
      </c>
      <c r="H1547" s="19">
        <f>VLOOKUP(A1547,Metrik!$C$2:$Y$959,8,0)</f>
        <v>0.35</v>
      </c>
      <c r="I1547" s="20">
        <f>VLOOKUP(A1547,Metrik!$C$2:$Y$959,9,0)</f>
        <v>0.07</v>
      </c>
      <c r="J1547" s="20">
        <f>VLOOKUP(A1547,Metrik!$C$2:$Y$959,10,0)</f>
        <v>20.9</v>
      </c>
      <c r="K1547" s="20">
        <f>VLOOKUP(A1547,Metrik!$C$2:$Y$959,11,0)</f>
        <v>13.2</v>
      </c>
      <c r="L1547" s="20">
        <f>VLOOKUP(A1547,Metrik!$C$2:$Y$959,12,0)</f>
        <v>0.58</v>
      </c>
      <c r="M1547" s="20">
        <f>VLOOKUP(A1547,Metrik!$C$2:$Y$959,19,0)</f>
        <v>34.2</v>
      </c>
      <c r="N1547" s="21"/>
      <c r="O1547" s="21"/>
      <c r="P1547" s="21"/>
      <c r="Q1547" s="21"/>
      <c r="R1547" s="21"/>
      <c r="S1547" s="21"/>
      <c r="T1547" s="21"/>
      <c r="U1547" s="22">
        <f>IFERROR(__xludf.DUMMYFUNCTION("IFERROR(GOOGLEFINANCE(A1547,""closeyest""),"""")"),29000.0)</f>
        <v>29000</v>
      </c>
      <c r="V1547" s="23">
        <f>IFERROR(__xludf.DUMMYFUNCTION("IFERROR(GOOGLEFINANCE(A1547,""changepct""),"""")"),-100.0)</f>
        <v>-100</v>
      </c>
      <c r="W1547" s="22" t="str">
        <f>IFERROR(__xludf.DUMMYFUNCTION("IFERROR(GOOGLEFINANCE(A1547,""priceopen""),"""")"),"")</f>
        <v/>
      </c>
      <c r="X1547" s="22" t="str">
        <f>IFERROR(__xludf.DUMMYFUNCTION("IFERROR(GOOGLEFINANCE(A1547,""high""),"""")"),"")</f>
        <v/>
      </c>
      <c r="Y1547" s="22" t="str">
        <f>IFERROR(__xludf.DUMMYFUNCTION("IFERROR(GOOGLEFINANCE(A1547,""low""),"""")"),"")</f>
        <v/>
      </c>
      <c r="Z1547" s="22">
        <f>IFERROR(__xludf.DUMMYFUNCTION("IFERROR(GOOGLEFINANCE(A1547,""volume""),"""")"),0.0)</f>
        <v>0</v>
      </c>
      <c r="AA1547" s="24" t="str">
        <f>VLOOKUP(A1547,Metrik!$C$2:$Y$959,5,0)</f>
        <v>Pharmaceuticals</v>
      </c>
      <c r="AB1547" s="24" t="str">
        <f>VLOOKUP(A1547,Metrik!$C$2:$Y$959,3,0)</f>
        <v>Healthcare</v>
      </c>
    </row>
    <row r="1548">
      <c r="A1548" s="14" t="s">
        <v>841</v>
      </c>
      <c r="B1548" s="14" t="str">
        <f t="array" ref="B1548">VLOOKUP(A1548,{Metrik!$C$2:$C$998,Metrik!$B$2:$B$998},2,0)</f>
        <v>Sidomulyo Selaras Tbk</v>
      </c>
      <c r="C1548" s="15">
        <f>IFERROR(__xludf.DUMMYFUNCTION("GOOGLEFINANCE(""IDX:""&amp;A1548,""price"")"),64.0)</f>
        <v>64</v>
      </c>
      <c r="D1548" s="16" t="str">
        <f>IFERROR(__xludf.DUMMYFUNCTION("IF(A1548="""","""",
SPARKLINE(
INDEX(
GOOGLEFINANCE(""IDX:""&amp;A1548,""close"",TODAY()-365,TODAY()),
,2
),
{""linewidth"",1}
))
"),"#N/A")</f>
        <v>#N/A</v>
      </c>
      <c r="E1548" s="26"/>
      <c r="F1548" s="26"/>
      <c r="G1548" s="24">
        <f t="shared" si="9"/>
        <v>0</v>
      </c>
      <c r="H1548" s="19">
        <f>VLOOKUP(A1548,Metrik!$C$2:$Y$959,8,0)</f>
        <v>-13.8</v>
      </c>
      <c r="I1548" s="20">
        <f>VLOOKUP(A1548,Metrik!$C$2:$Y$959,9,0)</f>
        <v>2.2</v>
      </c>
      <c r="J1548" s="20">
        <f>VLOOKUP(A1548,Metrik!$C$2:$Y$959,10,0)</f>
        <v>-16</v>
      </c>
      <c r="K1548" s="20">
        <f>VLOOKUP(A1548,Metrik!$C$2:$Y$959,11,0)</f>
        <v>-9.6</v>
      </c>
      <c r="L1548" s="20">
        <f>VLOOKUP(A1548,Metrik!$C$2:$Y$959,12,0)</f>
        <v>0.66</v>
      </c>
      <c r="M1548" s="20">
        <f>VLOOKUP(A1548,Metrik!$C$2:$Y$959,19,0)</f>
        <v>-67.8</v>
      </c>
      <c r="N1548" s="21"/>
      <c r="O1548" s="21"/>
      <c r="P1548" s="21"/>
      <c r="Q1548" s="21"/>
      <c r="R1548" s="21"/>
      <c r="S1548" s="21"/>
      <c r="T1548" s="21"/>
      <c r="U1548" s="22">
        <f>IFERROR(__xludf.DUMMYFUNCTION("IFERROR(GOOGLEFINANCE(A1548,""closeyest""),"""")"),63.0)</f>
        <v>63</v>
      </c>
      <c r="V1548" s="23">
        <f>IFERROR(__xludf.DUMMYFUNCTION("IFERROR(GOOGLEFINANCE(A1548,""changepct""),"""")"),1.59)</f>
        <v>1.59</v>
      </c>
      <c r="W1548" s="22">
        <f>IFERROR(__xludf.DUMMYFUNCTION("IFERROR(GOOGLEFINANCE(A1548,""priceopen""),"""")"),63.0)</f>
        <v>63</v>
      </c>
      <c r="X1548" s="22">
        <f>IFERROR(__xludf.DUMMYFUNCTION("IFERROR(GOOGLEFINANCE(A1548,""high""),"""")"),69.0)</f>
        <v>69</v>
      </c>
      <c r="Y1548" s="22">
        <f>IFERROR(__xludf.DUMMYFUNCTION("IFERROR(GOOGLEFINANCE(A1548,""low""),"""")"),63.0)</f>
        <v>63</v>
      </c>
      <c r="Z1548" s="22">
        <f>IFERROR(__xludf.DUMMYFUNCTION("IFERROR(GOOGLEFINANCE(A1548,""volume""),"""")"),1.00208E7)</f>
        <v>10020800</v>
      </c>
      <c r="AA1548" s="24" t="str">
        <f>VLOOKUP(A1548,Metrik!$C$2:$Y$959,5,0)</f>
        <v>Logistics &amp; Deliveries</v>
      </c>
      <c r="AB1548" s="24" t="str">
        <f>VLOOKUP(A1548,Metrik!$C$2:$Y$959,3,0)</f>
        <v>Transportation &amp; Logistic</v>
      </c>
    </row>
    <row r="1549">
      <c r="A1549" s="14" t="s">
        <v>842</v>
      </c>
      <c r="B1549" s="14" t="str">
        <f t="array" ref="B1549">VLOOKUP(A1549,{Metrik!$C$2:$C$998,Metrik!$B$2:$B$998},2,0)</f>
        <v>Millennium Pharmacon International Tbk.</v>
      </c>
      <c r="C1549" s="15">
        <f>IFERROR(__xludf.DUMMYFUNCTION("GOOGLEFINANCE(""IDX:""&amp;A1549,""price"")"),170.0)</f>
        <v>170</v>
      </c>
      <c r="D1549" s="16" t="str">
        <f>IFERROR(__xludf.DUMMYFUNCTION("IF(A1549="""","""",
SPARKLINE(
INDEX(
GOOGLEFINANCE(""IDX:""&amp;A1549,""close"",TODAY()-365,TODAY()),
,2
),
{""linewidth"",1}
))
"),"#N/A")</f>
        <v>#N/A</v>
      </c>
      <c r="E1549" s="26"/>
      <c r="F1549" s="26"/>
      <c r="G1549" s="24">
        <f t="shared" si="9"/>
        <v>0</v>
      </c>
      <c r="H1549" s="19">
        <f>VLOOKUP(A1549,Metrik!$C$2:$Y$959,8,0)</f>
        <v>6.3</v>
      </c>
      <c r="I1549" s="20">
        <f>VLOOKUP(A1549,Metrik!$C$2:$Y$959,9,0)</f>
        <v>0.74</v>
      </c>
      <c r="J1549" s="20">
        <f>VLOOKUP(A1549,Metrik!$C$2:$Y$959,10,0)</f>
        <v>11.8</v>
      </c>
      <c r="K1549" s="20">
        <f>VLOOKUP(A1549,Metrik!$C$2:$Y$959,11,0)</f>
        <v>1.9</v>
      </c>
      <c r="L1549" s="20">
        <f>VLOOKUP(A1549,Metrik!$C$2:$Y$959,12,0)</f>
        <v>5.2</v>
      </c>
      <c r="M1549" s="20">
        <f>VLOOKUP(A1549,Metrik!$C$2:$Y$959,19,0)</f>
        <v>3.8</v>
      </c>
      <c r="N1549" s="21"/>
      <c r="O1549" s="21"/>
      <c r="P1549" s="21"/>
      <c r="Q1549" s="21"/>
      <c r="R1549" s="21"/>
      <c r="S1549" s="21"/>
      <c r="T1549" s="21"/>
      <c r="U1549" s="22">
        <f>IFERROR(__xludf.DUMMYFUNCTION("IFERROR(GOOGLEFINANCE(A1549,""closeyest""),"""")"),174.0)</f>
        <v>174</v>
      </c>
      <c r="V1549" s="23">
        <f>IFERROR(__xludf.DUMMYFUNCTION("IFERROR(GOOGLEFINANCE(A1549,""changepct""),"""")"),-2.3)</f>
        <v>-2.3</v>
      </c>
      <c r="W1549" s="22">
        <f>IFERROR(__xludf.DUMMYFUNCTION("IFERROR(GOOGLEFINANCE(A1549,""priceopen""),"""")"),174.0)</f>
        <v>174</v>
      </c>
      <c r="X1549" s="22">
        <f>IFERROR(__xludf.DUMMYFUNCTION("IFERROR(GOOGLEFINANCE(A1549,""high""),"""")"),178.0)</f>
        <v>178</v>
      </c>
      <c r="Y1549" s="22">
        <f>IFERROR(__xludf.DUMMYFUNCTION("IFERROR(GOOGLEFINANCE(A1549,""low""),"""")"),170.0)</f>
        <v>170</v>
      </c>
      <c r="Z1549" s="22">
        <f>IFERROR(__xludf.DUMMYFUNCTION("IFERROR(GOOGLEFINANCE(A1549,""volume""),"""")"),69700.0)</f>
        <v>69700</v>
      </c>
      <c r="AA1549" s="24" t="str">
        <f>VLOOKUP(A1549,Metrik!$C$2:$Y$959,5,0)</f>
        <v>Food &amp; Staples Retailing</v>
      </c>
      <c r="AB1549" s="24" t="str">
        <f>VLOOKUP(A1549,Metrik!$C$2:$Y$959,3,0)</f>
        <v>Consumer Non-Cyclicals</v>
      </c>
    </row>
    <row r="1550">
      <c r="A1550" s="14" t="s">
        <v>843</v>
      </c>
      <c r="B1550" s="14" t="str">
        <f t="array" ref="B1550">VLOOKUP(A1550,{Metrik!$C$2:$C$998,Metrik!$B$2:$B$998},2,0)</f>
        <v>PT Bank Woori Saudara Indonesia 1906 Tbk</v>
      </c>
      <c r="C1550" s="15">
        <f>IFERROR(__xludf.DUMMYFUNCTION("GOOGLEFINANCE(""IDX:""&amp;A1550,""price"")"),208.0)</f>
        <v>208</v>
      </c>
      <c r="D1550" s="16" t="str">
        <f>IFERROR(__xludf.DUMMYFUNCTION("IF(A1550="""","""",
SPARKLINE(
INDEX(
GOOGLEFINANCE(""IDX:""&amp;A1550,""close"",TODAY()-365,TODAY()),
,2
),
{""linewidth"",1}
))
"),"#N/A")</f>
        <v>#N/A</v>
      </c>
      <c r="E1550" s="26"/>
      <c r="F1550" s="26"/>
      <c r="G1550" s="24">
        <f t="shared" si="9"/>
        <v>0</v>
      </c>
      <c r="H1550" s="19">
        <f>VLOOKUP(A1550,Metrik!$C$2:$Y$959,8,0)</f>
        <v>-3.1</v>
      </c>
      <c r="I1550" s="20">
        <f>VLOOKUP(A1550,Metrik!$C$2:$Y$959,9,0)</f>
        <v>0.27</v>
      </c>
      <c r="J1550" s="20">
        <f>VLOOKUP(A1550,Metrik!$C$2:$Y$959,10,0)</f>
        <v>-8.6</v>
      </c>
      <c r="K1550" s="20">
        <f>VLOOKUP(A1550,Metrik!$C$2:$Y$959,11,0)</f>
        <v>-2.1</v>
      </c>
      <c r="L1550" s="20">
        <f>VLOOKUP(A1550,Metrik!$C$2:$Y$959,12,0)</f>
        <v>3.2</v>
      </c>
      <c r="M1550" s="20">
        <f>VLOOKUP(A1550,Metrik!$C$2:$Y$959,19,0)</f>
        <v>-120</v>
      </c>
      <c r="N1550" s="32">
        <v>3.3</v>
      </c>
      <c r="O1550" s="32">
        <v>31.09</v>
      </c>
      <c r="P1550" s="41"/>
      <c r="Q1550" s="32">
        <v>1.85</v>
      </c>
      <c r="R1550" s="41"/>
      <c r="S1550" s="41"/>
      <c r="T1550" s="41"/>
      <c r="U1550" s="22">
        <f>IFERROR(__xludf.DUMMYFUNCTION("IFERROR(GOOGLEFINANCE(A1550,""closeyest""),"""")"),200.0)</f>
        <v>200</v>
      </c>
      <c r="V1550" s="23">
        <f>IFERROR(__xludf.DUMMYFUNCTION("IFERROR(GOOGLEFINANCE(A1550,""changepct""),"""")"),4.0)</f>
        <v>4</v>
      </c>
      <c r="W1550" s="22">
        <f>IFERROR(__xludf.DUMMYFUNCTION("IFERROR(GOOGLEFINANCE(A1550,""priceopen""),"""")"),200.0)</f>
        <v>200</v>
      </c>
      <c r="X1550" s="22">
        <f>IFERROR(__xludf.DUMMYFUNCTION("IFERROR(GOOGLEFINANCE(A1550,""high""),"""")"),210.0)</f>
        <v>210</v>
      </c>
      <c r="Y1550" s="22">
        <f>IFERROR(__xludf.DUMMYFUNCTION("IFERROR(GOOGLEFINANCE(A1550,""low""),"""")"),200.0)</f>
        <v>200</v>
      </c>
      <c r="Z1550" s="22">
        <f>IFERROR(__xludf.DUMMYFUNCTION("IFERROR(GOOGLEFINANCE(A1550,""volume""),"""")"),729400.0)</f>
        <v>729400</v>
      </c>
      <c r="AA1550" s="24" t="str">
        <f>VLOOKUP(A1550,Metrik!$C$2:$Y$959,5,0)</f>
        <v>Banks</v>
      </c>
      <c r="AB1550" s="24" t="str">
        <f>VLOOKUP(A1550,Metrik!$C$2:$Y$959,3,0)</f>
        <v>Financials</v>
      </c>
    </row>
    <row r="1551">
      <c r="A1551" s="14" t="s">
        <v>844</v>
      </c>
      <c r="B1551" s="14" t="str">
        <f t="array" ref="B1551">VLOOKUP(A1551,{Metrik!$C$2:$C$998,Metrik!$B$2:$B$998},2,0)</f>
        <v>Semacom Integrated Tbk.</v>
      </c>
      <c r="C1551" s="15">
        <f>IFERROR(__xludf.DUMMYFUNCTION("GOOGLEFINANCE(""IDX:""&amp;A1551,""price"")"),93.0)</f>
        <v>93</v>
      </c>
      <c r="D1551" s="16" t="str">
        <f>IFERROR(__xludf.DUMMYFUNCTION("IF(A1551="""","""",
SPARKLINE(
INDEX(
GOOGLEFINANCE(""IDX:""&amp;A1551,""close"",TODAY()-365,TODAY()),
,2
),
{""linewidth"",1}
))
"),"#N/A")</f>
        <v>#N/A</v>
      </c>
      <c r="E1551" s="26"/>
      <c r="F1551" s="26"/>
      <c r="G1551" s="24">
        <f t="shared" si="9"/>
        <v>0</v>
      </c>
      <c r="H1551" s="19">
        <f>VLOOKUP(A1551,Metrik!$C$2:$Y$959,8,0)</f>
        <v>15.1</v>
      </c>
      <c r="I1551" s="20">
        <f>VLOOKUP(A1551,Metrik!$C$2:$Y$959,9,0)</f>
        <v>0.8</v>
      </c>
      <c r="J1551" s="20">
        <f>VLOOKUP(A1551,Metrik!$C$2:$Y$959,10,0)</f>
        <v>5.3</v>
      </c>
      <c r="K1551" s="20">
        <f>VLOOKUP(A1551,Metrik!$C$2:$Y$959,11,0)</f>
        <v>3.7</v>
      </c>
      <c r="L1551" s="20">
        <f>VLOOKUP(A1551,Metrik!$C$2:$Y$959,12,0)</f>
        <v>0.42</v>
      </c>
      <c r="M1551" s="20">
        <f>VLOOKUP(A1551,Metrik!$C$2:$Y$959,19,0)</f>
        <v>28.7</v>
      </c>
      <c r="N1551" s="21"/>
      <c r="O1551" s="21"/>
      <c r="P1551" s="21"/>
      <c r="Q1551" s="21"/>
      <c r="R1551" s="21"/>
      <c r="S1551" s="21"/>
      <c r="T1551" s="21"/>
      <c r="U1551" s="22">
        <f>IFERROR(__xludf.DUMMYFUNCTION("IFERROR(GOOGLEFINANCE(A1551,""closeyest""),"""")"),4706.0)</f>
        <v>4706</v>
      </c>
      <c r="V1551" s="23">
        <f>IFERROR(__xludf.DUMMYFUNCTION("IFERROR(GOOGLEFINANCE(A1551,""changepct""),"""")"),3.06)</f>
        <v>3.06</v>
      </c>
      <c r="W1551" s="22">
        <f>IFERROR(__xludf.DUMMYFUNCTION("IFERROR(GOOGLEFINANCE(A1551,""priceopen""),"""")"),4770.2)</f>
        <v>4770.2</v>
      </c>
      <c r="X1551" s="22">
        <f>IFERROR(__xludf.DUMMYFUNCTION("IFERROR(GOOGLEFINANCE(A1551,""high""),"""")"),4850.0)</f>
        <v>4850</v>
      </c>
      <c r="Y1551" s="22">
        <f>IFERROR(__xludf.DUMMYFUNCTION("IFERROR(GOOGLEFINANCE(A1551,""low""),"""")"),4762.0)</f>
        <v>4762</v>
      </c>
      <c r="Z1551" s="22">
        <f>IFERROR(__xludf.DUMMYFUNCTION("IFERROR(GOOGLEFINANCE(A1551,""volume""),"""")"),14981.0)</f>
        <v>14981</v>
      </c>
      <c r="AA1551" s="24" t="str">
        <f>VLOOKUP(A1551,Metrik!$C$2:$Y$959,5,0)</f>
        <v>Alternative Energy Equipment</v>
      </c>
      <c r="AB1551" s="24" t="str">
        <f>VLOOKUP(A1551,Metrik!$C$2:$Y$959,3,0)</f>
        <v>Energy</v>
      </c>
    </row>
    <row r="1552">
      <c r="A1552" s="14" t="s">
        <v>845</v>
      </c>
      <c r="B1552" s="14" t="str">
        <f t="array" ref="B1552">VLOOKUP(A1552,{Metrik!$C$2:$C$998,Metrik!$B$2:$B$998},2,0)</f>
        <v>Surya Fajar Capital Tbk.</v>
      </c>
      <c r="C1552" s="15">
        <f>IFERROR(__xludf.DUMMYFUNCTION("GOOGLEFINANCE(""IDX:""&amp;A1552,""price"")"),1970.0)</f>
        <v>1970</v>
      </c>
      <c r="D1552" s="16" t="str">
        <f>IFERROR(__xludf.DUMMYFUNCTION("IF(A1552="""","""",
SPARKLINE(
INDEX(
GOOGLEFINANCE(""IDX:""&amp;A1552,""close"",TODAY()-365,TODAY()),
,2
),
{""linewidth"",1}
))
"),"#N/A")</f>
        <v>#N/A</v>
      </c>
      <c r="E1552" s="26"/>
      <c r="F1552" s="26"/>
      <c r="G1552" s="24">
        <f t="shared" si="9"/>
        <v>0</v>
      </c>
      <c r="H1552" s="19">
        <f>VLOOKUP(A1552,Metrik!$C$2:$Y$959,8,0)</f>
        <v>-170</v>
      </c>
      <c r="I1552" s="20">
        <f>VLOOKUP(A1552,Metrik!$C$2:$Y$959,9,0)</f>
        <v>21.2</v>
      </c>
      <c r="J1552" s="20">
        <f>VLOOKUP(A1552,Metrik!$C$2:$Y$959,10,0)</f>
        <v>-12.7</v>
      </c>
      <c r="K1552" s="20">
        <f>VLOOKUP(A1552,Metrik!$C$2:$Y$959,11,0)</f>
        <v>-10.9</v>
      </c>
      <c r="L1552" s="20">
        <f>VLOOKUP(A1552,Metrik!$C$2:$Y$959,12,0)</f>
        <v>0.17</v>
      </c>
      <c r="M1552" s="20">
        <f>VLOOKUP(A1552,Metrik!$C$2:$Y$959,19,0)</f>
        <v>0</v>
      </c>
      <c r="N1552" s="21"/>
      <c r="O1552" s="21"/>
      <c r="P1552" s="21"/>
      <c r="Q1552" s="21"/>
      <c r="R1552" s="21"/>
      <c r="S1552" s="21"/>
      <c r="T1552" s="21"/>
      <c r="U1552" s="22">
        <f>IFERROR(__xludf.DUMMYFUNCTION("IFERROR(GOOGLEFINANCE(A1552,""closeyest""),"""")"),1960.0)</f>
        <v>1960</v>
      </c>
      <c r="V1552" s="23">
        <f>IFERROR(__xludf.DUMMYFUNCTION("IFERROR(GOOGLEFINANCE(A1552,""changepct""),"""")"),0.51)</f>
        <v>0.51</v>
      </c>
      <c r="W1552" s="22">
        <f>IFERROR(__xludf.DUMMYFUNCTION("IFERROR(GOOGLEFINANCE(A1552,""priceopen""),"""")"),1960.0)</f>
        <v>1960</v>
      </c>
      <c r="X1552" s="22">
        <f>IFERROR(__xludf.DUMMYFUNCTION("IFERROR(GOOGLEFINANCE(A1552,""high""),"""")"),1975.0)</f>
        <v>1975</v>
      </c>
      <c r="Y1552" s="22">
        <f>IFERROR(__xludf.DUMMYFUNCTION("IFERROR(GOOGLEFINANCE(A1552,""low""),"""")"),1960.0)</f>
        <v>1960</v>
      </c>
      <c r="Z1552" s="22">
        <f>IFERROR(__xludf.DUMMYFUNCTION("IFERROR(GOOGLEFINANCE(A1552,""volume""),"""")"),48600.0)</f>
        <v>48600</v>
      </c>
      <c r="AA1552" s="24" t="str">
        <f>VLOOKUP(A1552,Metrik!$C$2:$Y$959,5,0)</f>
        <v>Holding &amp; Investment Companies</v>
      </c>
      <c r="AB1552" s="24" t="str">
        <f>VLOOKUP(A1552,Metrik!$C$2:$Y$959,3,0)</f>
        <v>Financials</v>
      </c>
    </row>
    <row r="1553">
      <c r="A1553" s="14" t="s">
        <v>846</v>
      </c>
      <c r="B1553" s="14" t="str">
        <f t="array" ref="B1553">VLOOKUP(A1553,{Metrik!$C$2:$C$998,Metrik!$B$2:$B$998},2,0)</f>
        <v>Sumber Global Energy Tbk.</v>
      </c>
      <c r="C1553" s="15">
        <f>IFERROR(__xludf.DUMMYFUNCTION("GOOGLEFINANCE(""IDX:""&amp;A1553,""price"")"),406.0)</f>
        <v>406</v>
      </c>
      <c r="D1553" s="16" t="str">
        <f>IFERROR(__xludf.DUMMYFUNCTION("IF(A1553="""","""",
SPARKLINE(
INDEX(
GOOGLEFINANCE(""IDX:""&amp;A1553,""close"",TODAY()-365,TODAY()),
,2
),
{""linewidth"",1}
))
"),"#N/A")</f>
        <v>#N/A</v>
      </c>
      <c r="E1553" s="14" t="s">
        <v>161</v>
      </c>
      <c r="F1553" s="14" t="s">
        <v>76</v>
      </c>
      <c r="G1553" s="24">
        <f t="shared" si="9"/>
        <v>2</v>
      </c>
      <c r="H1553" s="19">
        <f>VLOOKUP(A1553,Metrik!$C$2:$Y$959,8,0)</f>
        <v>22.3</v>
      </c>
      <c r="I1553" s="20">
        <f>VLOOKUP(A1553,Metrik!$C$2:$Y$959,9,0)</f>
        <v>1.9</v>
      </c>
      <c r="J1553" s="20">
        <f>VLOOKUP(A1553,Metrik!$C$2:$Y$959,10,0)</f>
        <v>8.6</v>
      </c>
      <c r="K1553" s="20">
        <f>VLOOKUP(A1553,Metrik!$C$2:$Y$959,11,0)</f>
        <v>3.4</v>
      </c>
      <c r="L1553" s="20">
        <f>VLOOKUP(A1553,Metrik!$C$2:$Y$959,12,0)</f>
        <v>1.5</v>
      </c>
      <c r="M1553" s="20">
        <f>VLOOKUP(A1553,Metrik!$C$2:$Y$959,19,0)</f>
        <v>8.4</v>
      </c>
      <c r="N1553" s="21"/>
      <c r="O1553" s="21"/>
      <c r="P1553" s="21"/>
      <c r="Q1553" s="21"/>
      <c r="R1553" s="21"/>
      <c r="S1553" s="21"/>
      <c r="T1553" s="21"/>
      <c r="U1553" s="22">
        <f>IFERROR(__xludf.DUMMYFUNCTION("IFERROR(GOOGLEFINANCE(A1553,""closeyest""),"""")"),0.0)</f>
        <v>0</v>
      </c>
      <c r="V1553" s="23">
        <f>IFERROR(__xludf.DUMMYFUNCTION("IFERROR(GOOGLEFINANCE(A1553,""changepct""),"""")"),0.0)</f>
        <v>0</v>
      </c>
      <c r="W1553" s="22" t="str">
        <f>IFERROR(__xludf.DUMMYFUNCTION("IFERROR(GOOGLEFINANCE(A1553,""priceopen""),"""")"),"")</f>
        <v/>
      </c>
      <c r="X1553" s="22" t="str">
        <f>IFERROR(__xludf.DUMMYFUNCTION("IFERROR(GOOGLEFINANCE(A1553,""high""),"""")"),"")</f>
        <v/>
      </c>
      <c r="Y1553" s="22" t="str">
        <f>IFERROR(__xludf.DUMMYFUNCTION("IFERROR(GOOGLEFINANCE(A1553,""low""),"""")"),"")</f>
        <v/>
      </c>
      <c r="Z1553" s="22">
        <f>IFERROR(__xludf.DUMMYFUNCTION("IFERROR(GOOGLEFINANCE(A1553,""volume""),"""")"),0.0)</f>
        <v>0</v>
      </c>
      <c r="AA1553" s="24" t="str">
        <f>VLOOKUP(A1553,Metrik!$C$2:$Y$959,5,0)</f>
        <v>Coal</v>
      </c>
      <c r="AB1553" s="24" t="str">
        <f>VLOOKUP(A1553,Metrik!$C$2:$Y$959,3,0)</f>
        <v>Energy</v>
      </c>
    </row>
    <row r="1554">
      <c r="A1554" s="14" t="s">
        <v>846</v>
      </c>
      <c r="B1554" s="14" t="str">
        <f t="array" ref="B1554">VLOOKUP(A1554,{Metrik!$C$2:$C$998,Metrik!$B$2:$B$998},2,0)</f>
        <v>Sumber Global Energy Tbk.</v>
      </c>
      <c r="C1554" s="15">
        <f>IFERROR(__xludf.DUMMYFUNCTION("GOOGLEFINANCE(""IDX:""&amp;A1554,""price"")"),406.0)</f>
        <v>406</v>
      </c>
      <c r="D1554" s="16" t="str">
        <f>IFERROR(__xludf.DUMMYFUNCTION("IF(A1554="""","""",
SPARKLINE(
INDEX(
GOOGLEFINANCE(""IDX:""&amp;A1554,""close"",TODAY()-365,TODAY()),
,2
),
{""linewidth"",1}
))
"),"#N/A")</f>
        <v>#N/A</v>
      </c>
      <c r="E1554" s="14" t="s">
        <v>32</v>
      </c>
      <c r="F1554" s="14" t="s">
        <v>29</v>
      </c>
      <c r="G1554" s="24">
        <f t="shared" si="9"/>
        <v>2</v>
      </c>
      <c r="H1554" s="19">
        <f>VLOOKUP(A1554,Metrik!$C$2:$Y$959,8,0)</f>
        <v>22.3</v>
      </c>
      <c r="I1554" s="20">
        <f>VLOOKUP(A1554,Metrik!$C$2:$Y$959,9,0)</f>
        <v>1.9</v>
      </c>
      <c r="J1554" s="20">
        <f>VLOOKUP(A1554,Metrik!$C$2:$Y$959,10,0)</f>
        <v>8.6</v>
      </c>
      <c r="K1554" s="20">
        <f>VLOOKUP(A1554,Metrik!$C$2:$Y$959,11,0)</f>
        <v>3.4</v>
      </c>
      <c r="L1554" s="20">
        <f>VLOOKUP(A1554,Metrik!$C$2:$Y$959,12,0)</f>
        <v>1.5</v>
      </c>
      <c r="M1554" s="20">
        <f>VLOOKUP(A1554,Metrik!$C$2:$Y$959,19,0)</f>
        <v>8.4</v>
      </c>
      <c r="N1554" s="21"/>
      <c r="O1554" s="21"/>
      <c r="P1554" s="21"/>
      <c r="Q1554" s="21"/>
      <c r="R1554" s="21"/>
      <c r="S1554" s="21"/>
      <c r="T1554" s="21"/>
      <c r="U1554" s="22">
        <f>IFERROR(__xludf.DUMMYFUNCTION("IFERROR(GOOGLEFINANCE(A1554,""closeyest""),"""")"),0.0)</f>
        <v>0</v>
      </c>
      <c r="V1554" s="23">
        <f>IFERROR(__xludf.DUMMYFUNCTION("IFERROR(GOOGLEFINANCE(A1554,""changepct""),"""")"),0.0)</f>
        <v>0</v>
      </c>
      <c r="W1554" s="22" t="str">
        <f>IFERROR(__xludf.DUMMYFUNCTION("IFERROR(GOOGLEFINANCE(A1554,""priceopen""),"""")"),"")</f>
        <v/>
      </c>
      <c r="X1554" s="22" t="str">
        <f>IFERROR(__xludf.DUMMYFUNCTION("IFERROR(GOOGLEFINANCE(A1554,""high""),"""")"),"")</f>
        <v/>
      </c>
      <c r="Y1554" s="22" t="str">
        <f>IFERROR(__xludf.DUMMYFUNCTION("IFERROR(GOOGLEFINANCE(A1554,""low""),"""")"),"")</f>
        <v/>
      </c>
      <c r="Z1554" s="22">
        <f>IFERROR(__xludf.DUMMYFUNCTION("IFERROR(GOOGLEFINANCE(A1554,""volume""),"""")"),0.0)</f>
        <v>0</v>
      </c>
      <c r="AA1554" s="24" t="str">
        <f>VLOOKUP(A1554,Metrik!$C$2:$Y$959,5,0)</f>
        <v>Coal</v>
      </c>
      <c r="AB1554" s="24" t="str">
        <f>VLOOKUP(A1554,Metrik!$C$2:$Y$959,3,0)</f>
        <v>Energy</v>
      </c>
    </row>
    <row r="1555">
      <c r="A1555" s="14" t="s">
        <v>847</v>
      </c>
      <c r="B1555" s="14" t="str">
        <f t="array" ref="B1555">VLOOKUP(A1555,{Metrik!$C$2:$C$998,Metrik!$B$2:$B$998},2,0)</f>
        <v>Prime Agri Resources Tbk.</v>
      </c>
      <c r="C1555" s="15">
        <f>IFERROR(__xludf.DUMMYFUNCTION("GOOGLEFINANCE(""IDX:""&amp;A1555,""price"")"),2840.0)</f>
        <v>2840</v>
      </c>
      <c r="D1555" s="16" t="str">
        <f>IFERROR(__xludf.DUMMYFUNCTION("IF(A1555="""","""",
SPARKLINE(
INDEX(
GOOGLEFINANCE(""IDX:""&amp;A1555,""close"",TODAY()-365,TODAY()),
,2
),
{""linewidth"",1}
))
"),"#N/A")</f>
        <v>#N/A</v>
      </c>
      <c r="E1555" s="14" t="s">
        <v>161</v>
      </c>
      <c r="F1555" s="14" t="s">
        <v>76</v>
      </c>
      <c r="G1555" s="18">
        <f t="shared" si="9"/>
        <v>1</v>
      </c>
      <c r="H1555" s="19">
        <f>VLOOKUP(A1555,Metrik!$C$2:$Y$959,8,0)</f>
        <v>28.4</v>
      </c>
      <c r="I1555" s="20">
        <f>VLOOKUP(A1555,Metrik!$C$2:$Y$959,9,0)</f>
        <v>0.99</v>
      </c>
      <c r="J1555" s="20">
        <f>VLOOKUP(A1555,Metrik!$C$2:$Y$959,10,0)</f>
        <v>3.5</v>
      </c>
      <c r="K1555" s="20">
        <f>VLOOKUP(A1555,Metrik!$C$2:$Y$959,11,0)</f>
        <v>2.1</v>
      </c>
      <c r="L1555" s="20">
        <f>VLOOKUP(A1555,Metrik!$C$2:$Y$959,12,0)</f>
        <v>0.69</v>
      </c>
      <c r="M1555" s="20">
        <f>VLOOKUP(A1555,Metrik!$C$2:$Y$959,19,0)</f>
        <v>14.3</v>
      </c>
      <c r="N1555" s="21"/>
      <c r="O1555" s="21"/>
      <c r="P1555" s="21"/>
      <c r="Q1555" s="21"/>
      <c r="R1555" s="21"/>
      <c r="S1555" s="21"/>
      <c r="T1555" s="21"/>
      <c r="U1555" s="22">
        <f>IFERROR(__xludf.DUMMYFUNCTION("IFERROR(GOOGLEFINANCE(A1555,""closeyest""),"""")"),0.06)</f>
        <v>0.06</v>
      </c>
      <c r="V1555" s="23">
        <f>IFERROR(__xludf.DUMMYFUNCTION("IFERROR(GOOGLEFINANCE(A1555,""changepct""),"""")"),-25.0)</f>
        <v>-25</v>
      </c>
      <c r="W1555" s="22">
        <f>IFERROR(__xludf.DUMMYFUNCTION("IFERROR(GOOGLEFINANCE(A1555,""priceopen""),"""")"),0.05)</f>
        <v>0.05</v>
      </c>
      <c r="X1555" s="22">
        <f>IFERROR(__xludf.DUMMYFUNCTION("IFERROR(GOOGLEFINANCE(A1555,""high""),"""")"),0.05)</f>
        <v>0.05</v>
      </c>
      <c r="Y1555" s="22">
        <f>IFERROR(__xludf.DUMMYFUNCTION("IFERROR(GOOGLEFINANCE(A1555,""low""),"""")"),0.05)</f>
        <v>0.05</v>
      </c>
      <c r="Z1555" s="22">
        <f>IFERROR(__xludf.DUMMYFUNCTION("IFERROR(GOOGLEFINANCE(A1555,""volume""),"""")"),4000.0)</f>
        <v>4000</v>
      </c>
      <c r="AA1555" s="24" t="str">
        <f>VLOOKUP(A1555,Metrik!$C$2:$Y$959,5,0)</f>
        <v>Agricultural Products</v>
      </c>
      <c r="AB1555" s="24" t="str">
        <f>VLOOKUP(A1555,Metrik!$C$2:$Y$959,3,0)</f>
        <v>Consumer Non-Cyclicals</v>
      </c>
    </row>
    <row r="1556">
      <c r="A1556" s="14" t="s">
        <v>848</v>
      </c>
      <c r="B1556" s="14" t="str">
        <f t="array" ref="B1556">VLOOKUP(A1556,{Metrik!$C$2:$C$998,Metrik!$B$2:$B$998},2,0)</f>
        <v>Hotel Sahid Jaya International Tbk.</v>
      </c>
      <c r="C1556" s="15">
        <f>IFERROR(__xludf.DUMMYFUNCTION("GOOGLEFINANCE(""IDX:""&amp;A1556,""price"")"),675.0)</f>
        <v>675</v>
      </c>
      <c r="D1556" s="16" t="str">
        <f>IFERROR(__xludf.DUMMYFUNCTION("IF(A1556="""","""",
SPARKLINE(
INDEX(
GOOGLEFINANCE(""IDX:""&amp;A1556,""close"",TODAY()-365,TODAY()),
,2
),
{""linewidth"",1}
))
"),"#N/A")</f>
        <v>#N/A</v>
      </c>
      <c r="E1556" s="26"/>
      <c r="F1556" s="26"/>
      <c r="G1556" s="24">
        <f t="shared" si="9"/>
        <v>0</v>
      </c>
      <c r="H1556" s="19">
        <f>VLOOKUP(A1556,Metrik!$C$2:$Y$959,8,0)</f>
        <v>-31.8</v>
      </c>
      <c r="I1556" s="20">
        <f>VLOOKUP(A1556,Metrik!$C$2:$Y$959,9,0)</f>
        <v>1.1</v>
      </c>
      <c r="J1556" s="20">
        <f>VLOOKUP(A1556,Metrik!$C$2:$Y$959,10,0)</f>
        <v>-3.5</v>
      </c>
      <c r="K1556" s="20">
        <f>VLOOKUP(A1556,Metrik!$C$2:$Y$959,11,0)</f>
        <v>-2</v>
      </c>
      <c r="L1556" s="20">
        <f>VLOOKUP(A1556,Metrik!$C$2:$Y$959,12,0)</f>
        <v>0.78</v>
      </c>
      <c r="M1556" s="20">
        <f>VLOOKUP(A1556,Metrik!$C$2:$Y$959,19,0)</f>
        <v>-140</v>
      </c>
      <c r="N1556" s="21"/>
      <c r="O1556" s="21"/>
      <c r="P1556" s="21"/>
      <c r="Q1556" s="21"/>
      <c r="R1556" s="21"/>
      <c r="S1556" s="21"/>
      <c r="T1556" s="21"/>
      <c r="U1556" s="22">
        <f>IFERROR(__xludf.DUMMYFUNCTION("IFERROR(GOOGLEFINANCE(A1556,""closeyest""),"""")"),675.0)</f>
        <v>675</v>
      </c>
      <c r="V1556" s="23">
        <f>IFERROR(__xludf.DUMMYFUNCTION("IFERROR(GOOGLEFINANCE(A1556,""changepct""),"""")"),0.0)</f>
        <v>0</v>
      </c>
      <c r="W1556" s="22">
        <f>IFERROR(__xludf.DUMMYFUNCTION("IFERROR(GOOGLEFINANCE(A1556,""priceopen""),"""")"),665.0)</f>
        <v>665</v>
      </c>
      <c r="X1556" s="22">
        <f>IFERROR(__xludf.DUMMYFUNCTION("IFERROR(GOOGLEFINANCE(A1556,""high""),"""")"),675.0)</f>
        <v>675</v>
      </c>
      <c r="Y1556" s="22">
        <f>IFERROR(__xludf.DUMMYFUNCTION("IFERROR(GOOGLEFINANCE(A1556,""low""),"""")"),660.0)</f>
        <v>660</v>
      </c>
      <c r="Z1556" s="22">
        <f>IFERROR(__xludf.DUMMYFUNCTION("IFERROR(GOOGLEFINANCE(A1556,""volume""),"""")"),14700.0)</f>
        <v>14700</v>
      </c>
      <c r="AA1556" s="24" t="str">
        <f>VLOOKUP(A1556,Metrik!$C$2:$Y$959,5,0)</f>
        <v>Tourism &amp; Recreation</v>
      </c>
      <c r="AB1556" s="24" t="str">
        <f>VLOOKUP(A1556,Metrik!$C$2:$Y$959,3,0)</f>
        <v>Consumer Cyclicals</v>
      </c>
    </row>
    <row r="1557">
      <c r="A1557" s="14" t="s">
        <v>849</v>
      </c>
      <c r="B1557" s="14" t="str">
        <f t="array" ref="B1557">VLOOKUP(A1557,{Metrik!$C$2:$C$998,Metrik!$B$2:$B$998},2,0)</f>
        <v>Sillo Maritime Perdana Tbk.</v>
      </c>
      <c r="C1557" s="15">
        <f>IFERROR(__xludf.DUMMYFUNCTION("GOOGLEFINANCE(""IDX:""&amp;A1557,""price"")"),1395.0)</f>
        <v>1395</v>
      </c>
      <c r="D1557" s="16" t="str">
        <f>IFERROR(__xludf.DUMMYFUNCTION("IF(A1557="""","""",
SPARKLINE(
INDEX(
GOOGLEFINANCE(""IDX:""&amp;A1557,""close"",TODAY()-365,TODAY()),
,2
),
{""linewidth"",1}
))
"),"#N/A")</f>
        <v>#N/A</v>
      </c>
      <c r="E1557" s="26"/>
      <c r="F1557" s="26"/>
      <c r="G1557" s="24">
        <f t="shared" si="9"/>
        <v>0</v>
      </c>
      <c r="H1557" s="19">
        <f>VLOOKUP(A1557,Metrik!$C$2:$Y$959,8,0)</f>
        <v>14.7</v>
      </c>
      <c r="I1557" s="20">
        <f>VLOOKUP(A1557,Metrik!$C$2:$Y$959,9,0)</f>
        <v>1.2</v>
      </c>
      <c r="J1557" s="20">
        <f>VLOOKUP(A1557,Metrik!$C$2:$Y$959,10,0)</f>
        <v>8.1</v>
      </c>
      <c r="K1557" s="20">
        <f>VLOOKUP(A1557,Metrik!$C$2:$Y$959,11,0)</f>
        <v>3.5</v>
      </c>
      <c r="L1557" s="20">
        <f>VLOOKUP(A1557,Metrik!$C$2:$Y$959,12,0)</f>
        <v>1.3</v>
      </c>
      <c r="M1557" s="20">
        <f>VLOOKUP(A1557,Metrik!$C$2:$Y$959,19,0)</f>
        <v>31.6</v>
      </c>
      <c r="N1557" s="21"/>
      <c r="O1557" s="21"/>
      <c r="P1557" s="21"/>
      <c r="Q1557" s="21"/>
      <c r="R1557" s="21"/>
      <c r="S1557" s="21"/>
      <c r="T1557" s="21"/>
      <c r="U1557" s="22">
        <f>IFERROR(__xludf.DUMMYFUNCTION("IFERROR(GOOGLEFINANCE(A1557,""closeyest""),"""")"),15.6)</f>
        <v>15.6</v>
      </c>
      <c r="V1557" s="23">
        <f>IFERROR(__xludf.DUMMYFUNCTION("IFERROR(GOOGLEFINANCE(A1557,""changepct""),"""")"),6.03)</f>
        <v>6.03</v>
      </c>
      <c r="W1557" s="22">
        <f>IFERROR(__xludf.DUMMYFUNCTION("IFERROR(GOOGLEFINANCE(A1557,""priceopen""),"""")"),15.64)</f>
        <v>15.64</v>
      </c>
      <c r="X1557" s="22">
        <f>IFERROR(__xludf.DUMMYFUNCTION("IFERROR(GOOGLEFINANCE(A1557,""high""),"""")"),16.66)</f>
        <v>16.66</v>
      </c>
      <c r="Y1557" s="22">
        <f>IFERROR(__xludf.DUMMYFUNCTION("IFERROR(GOOGLEFINANCE(A1557,""low""),"""")"),15.61)</f>
        <v>15.61</v>
      </c>
      <c r="Z1557" s="22">
        <f>IFERROR(__xludf.DUMMYFUNCTION("IFERROR(GOOGLEFINANCE(A1557,""volume""),"""")"),253413.0)</f>
        <v>253413</v>
      </c>
      <c r="AA1557" s="24" t="str">
        <f>VLOOKUP(A1557,Metrik!$C$2:$Y$959,5,0)</f>
        <v>Oil &amp; Gas</v>
      </c>
      <c r="AB1557" s="24" t="str">
        <f>VLOOKUP(A1557,Metrik!$C$2:$Y$959,3,0)</f>
        <v>Energy</v>
      </c>
    </row>
    <row r="1558">
      <c r="A1558" s="14" t="s">
        <v>850</v>
      </c>
      <c r="B1558" s="14" t="str">
        <f t="array" ref="B1558">VLOOKUP(A1558,{Metrik!$C$2:$C$998,Metrik!$B$2:$B$998},2,0)</f>
        <v>Sigma Energy Compressindo Tbk.</v>
      </c>
      <c r="C1558" s="15">
        <f>IFERROR(__xludf.DUMMYFUNCTION("GOOGLEFINANCE(""IDX:""&amp;A1558,""price"")"),103.0)</f>
        <v>103</v>
      </c>
      <c r="D1558" s="16" t="str">
        <f>IFERROR(__xludf.DUMMYFUNCTION("IF(A1558="""","""",
SPARKLINE(
INDEX(
GOOGLEFINANCE(""IDX:""&amp;A1558,""close"",TODAY()-365,TODAY()),
,2
),
{""linewidth"",1}
))
"),"#N/A")</f>
        <v>#N/A</v>
      </c>
      <c r="E1558" s="26"/>
      <c r="F1558" s="26"/>
      <c r="G1558" s="24">
        <f t="shared" si="9"/>
        <v>0</v>
      </c>
      <c r="H1558" s="19">
        <f>VLOOKUP(A1558,Metrik!$C$2:$Y$959,8,0)</f>
        <v>7.3</v>
      </c>
      <c r="I1558" s="20">
        <f>VLOOKUP(A1558,Metrik!$C$2:$Y$959,9,0)</f>
        <v>0.72</v>
      </c>
      <c r="J1558" s="20">
        <f>VLOOKUP(A1558,Metrik!$C$2:$Y$959,10,0)</f>
        <v>9.9</v>
      </c>
      <c r="K1558" s="20">
        <f>VLOOKUP(A1558,Metrik!$C$2:$Y$959,11,0)</f>
        <v>7.6</v>
      </c>
      <c r="L1558" s="20">
        <f>VLOOKUP(A1558,Metrik!$C$2:$Y$959,12,0)</f>
        <v>0.3</v>
      </c>
      <c r="M1558" s="20">
        <f>VLOOKUP(A1558,Metrik!$C$2:$Y$959,19,0)</f>
        <v>35.6</v>
      </c>
      <c r="N1558" s="21"/>
      <c r="O1558" s="21"/>
      <c r="P1558" s="21"/>
      <c r="Q1558" s="21"/>
      <c r="R1558" s="21"/>
      <c r="S1558" s="21"/>
      <c r="T1558" s="21"/>
      <c r="U1558" s="22">
        <f>IFERROR(__xludf.DUMMYFUNCTION("IFERROR(GOOGLEFINANCE(A1558,""closeyest""),"""")"),7.8)</f>
        <v>7.8</v>
      </c>
      <c r="V1558" s="23">
        <f>IFERROR(__xludf.DUMMYFUNCTION("IFERROR(GOOGLEFINANCE(A1558,""changepct""),"""")"),1.92)</f>
        <v>1.92</v>
      </c>
      <c r="W1558" s="22">
        <f>IFERROR(__xludf.DUMMYFUNCTION("IFERROR(GOOGLEFINANCE(A1558,""priceopen""),"""")"),7.86)</f>
        <v>7.86</v>
      </c>
      <c r="X1558" s="22">
        <f>IFERROR(__xludf.DUMMYFUNCTION("IFERROR(GOOGLEFINANCE(A1558,""high""),"""")"),8.2)</f>
        <v>8.2</v>
      </c>
      <c r="Y1558" s="22">
        <f>IFERROR(__xludf.DUMMYFUNCTION("IFERROR(GOOGLEFINANCE(A1558,""low""),"""")"),7.29)</f>
        <v>7.29</v>
      </c>
      <c r="Z1558" s="22">
        <f>IFERROR(__xludf.DUMMYFUNCTION("IFERROR(GOOGLEFINANCE(A1558,""volume""),"""")"),242722.0)</f>
        <v>242722</v>
      </c>
      <c r="AA1558" s="24" t="str">
        <f>VLOOKUP(A1558,Metrik!$C$2:$Y$959,5,0)</f>
        <v>Oil, Gas &amp; Coal Supports</v>
      </c>
      <c r="AB1558" s="24" t="str">
        <f>VLOOKUP(A1558,Metrik!$C$2:$Y$959,3,0)</f>
        <v>Energy</v>
      </c>
    </row>
    <row r="1559">
      <c r="A1559" s="14" t="s">
        <v>851</v>
      </c>
      <c r="B1559" s="14" t="str">
        <f t="array" ref="B1559">VLOOKUP(A1559,{Metrik!$C$2:$C$998,Metrik!$B$2:$B$998},2,0)</f>
        <v>Industri Jamu dan Farmasi Sido Muncul Tbk.</v>
      </c>
      <c r="C1559" s="15">
        <f>IFERROR(__xludf.DUMMYFUNCTION("GOOGLEFINANCE(""IDX:""&amp;A1559,""price"")"),368.0)</f>
        <v>368</v>
      </c>
      <c r="D1559" s="16" t="str">
        <f>IFERROR(__xludf.DUMMYFUNCTION("IF(A1559="""","""",
SPARKLINE(
INDEX(
GOOGLEFINANCE(""IDX:""&amp;A1559,""close"",TODAY()-365,TODAY()),
,2
),
{""linewidth"",1}
))
"),"#N/A")</f>
        <v>#N/A</v>
      </c>
      <c r="E1559" s="14" t="s">
        <v>47</v>
      </c>
      <c r="F1559" s="25">
        <v>46356.0</v>
      </c>
      <c r="G1559" s="24">
        <f t="shared" si="9"/>
        <v>11</v>
      </c>
      <c r="H1559" s="19">
        <f>VLOOKUP(A1559,Metrik!$C$2:$Y$959,8,0)</f>
        <v>10.1</v>
      </c>
      <c r="I1559" s="20">
        <f>VLOOKUP(A1559,Metrik!$C$2:$Y$959,9,0)</f>
        <v>3.5</v>
      </c>
      <c r="J1559" s="20">
        <f>VLOOKUP(A1559,Metrik!$C$2:$Y$959,10,0)</f>
        <v>35.1</v>
      </c>
      <c r="K1559" s="20">
        <f>VLOOKUP(A1559,Metrik!$C$2:$Y$959,11,0)</f>
        <v>31.4</v>
      </c>
      <c r="L1559" s="20">
        <f>VLOOKUP(A1559,Metrik!$C$2:$Y$959,12,0)</f>
        <v>0.12</v>
      </c>
      <c r="M1559" s="20">
        <f>VLOOKUP(A1559,Metrik!$C$2:$Y$959,19,0)</f>
        <v>180</v>
      </c>
      <c r="N1559" s="21"/>
      <c r="O1559" s="21"/>
      <c r="P1559" s="21"/>
      <c r="Q1559" s="21"/>
      <c r="R1559" s="21"/>
      <c r="S1559" s="21"/>
      <c r="T1559" s="21"/>
      <c r="U1559" s="22">
        <f>IFERROR(__xludf.DUMMYFUNCTION("IFERROR(GOOGLEFINANCE(A1559,""closeyest""),"""")"),370.0)</f>
        <v>370</v>
      </c>
      <c r="V1559" s="23" t="str">
        <f>IFERROR(__xludf.DUMMYFUNCTION("IFERROR(GOOGLEFINANCE(A1559,""changepct""),"""")"),"")</f>
        <v/>
      </c>
      <c r="W1559" s="22">
        <f>IFERROR(__xludf.DUMMYFUNCTION("IFERROR(GOOGLEFINANCE(A1559,""priceopen""),"""")"),370.0)</f>
        <v>370</v>
      </c>
      <c r="X1559" s="22">
        <f>IFERROR(__xludf.DUMMYFUNCTION("IFERROR(GOOGLEFINANCE(A1559,""high""),"""")"),378.0)</f>
        <v>378</v>
      </c>
      <c r="Y1559" s="22">
        <f>IFERROR(__xludf.DUMMYFUNCTION("IFERROR(GOOGLEFINANCE(A1559,""low""),"""")"),368.0)</f>
        <v>368</v>
      </c>
      <c r="Z1559" s="22">
        <f>IFERROR(__xludf.DUMMYFUNCTION("IFERROR(GOOGLEFINANCE(A1559,""volume""),"""")"),2.17427E7)</f>
        <v>21742700</v>
      </c>
      <c r="AA1559" s="24" t="str">
        <f>VLOOKUP(A1559,Metrik!$C$2:$Y$959,5,0)</f>
        <v>Pharmaceuticals</v>
      </c>
      <c r="AB1559" s="24" t="str">
        <f>VLOOKUP(A1559,Metrik!$C$2:$Y$959,3,0)</f>
        <v>Healthcare</v>
      </c>
    </row>
    <row r="1560">
      <c r="A1560" s="14" t="s">
        <v>851</v>
      </c>
      <c r="B1560" s="14" t="str">
        <f t="array" ref="B1560">VLOOKUP(A1560,{Metrik!$C$2:$C$998,Metrik!$B$2:$B$998},2,0)</f>
        <v>Industri Jamu dan Farmasi Sido Muncul Tbk.</v>
      </c>
      <c r="C1560" s="15">
        <f>IFERROR(__xludf.DUMMYFUNCTION("GOOGLEFINANCE(""IDX:""&amp;A1560,""price"")"),368.0)</f>
        <v>368</v>
      </c>
      <c r="D1560" s="16" t="str">
        <f>IFERROR(__xludf.DUMMYFUNCTION("IF(A1560="""","""",
SPARKLINE(
INDEX(
GOOGLEFINANCE(""IDX:""&amp;A1560,""close"",TODAY()-365,TODAY()),
,2
),
{""linewidth"",1}
))
"),"#N/A")</f>
        <v>#N/A</v>
      </c>
      <c r="E1560" s="14" t="s">
        <v>42</v>
      </c>
      <c r="F1560" s="25">
        <v>46356.0</v>
      </c>
      <c r="G1560" s="24">
        <f t="shared" si="9"/>
        <v>11</v>
      </c>
      <c r="H1560" s="19">
        <f>VLOOKUP(A1560,Metrik!$C$2:$Y$959,8,0)</f>
        <v>10.1</v>
      </c>
      <c r="I1560" s="20">
        <f>VLOOKUP(A1560,Metrik!$C$2:$Y$959,9,0)</f>
        <v>3.5</v>
      </c>
      <c r="J1560" s="20">
        <f>VLOOKUP(A1560,Metrik!$C$2:$Y$959,10,0)</f>
        <v>35.1</v>
      </c>
      <c r="K1560" s="20">
        <f>VLOOKUP(A1560,Metrik!$C$2:$Y$959,11,0)</f>
        <v>31.4</v>
      </c>
      <c r="L1560" s="20">
        <f>VLOOKUP(A1560,Metrik!$C$2:$Y$959,12,0)</f>
        <v>0.12</v>
      </c>
      <c r="M1560" s="20">
        <f>VLOOKUP(A1560,Metrik!$C$2:$Y$959,19,0)</f>
        <v>180</v>
      </c>
      <c r="N1560" s="21"/>
      <c r="O1560" s="21"/>
      <c r="P1560" s="21"/>
      <c r="Q1560" s="21"/>
      <c r="R1560" s="21"/>
      <c r="S1560" s="21"/>
      <c r="T1560" s="21"/>
      <c r="U1560" s="22">
        <f>IFERROR(__xludf.DUMMYFUNCTION("IFERROR(GOOGLEFINANCE(A1560,""closeyest""),"""")"),370.0)</f>
        <v>370</v>
      </c>
      <c r="V1560" s="23" t="str">
        <f>IFERROR(__xludf.DUMMYFUNCTION("IFERROR(GOOGLEFINANCE(A1560,""changepct""),"""")"),"")</f>
        <v/>
      </c>
      <c r="W1560" s="22">
        <f>IFERROR(__xludf.DUMMYFUNCTION("IFERROR(GOOGLEFINANCE(A1560,""priceopen""),"""")"),370.0)</f>
        <v>370</v>
      </c>
      <c r="X1560" s="22">
        <f>IFERROR(__xludf.DUMMYFUNCTION("IFERROR(GOOGLEFINANCE(A1560,""high""),"""")"),378.0)</f>
        <v>378</v>
      </c>
      <c r="Y1560" s="22">
        <f>IFERROR(__xludf.DUMMYFUNCTION("IFERROR(GOOGLEFINANCE(A1560,""low""),"""")"),368.0)</f>
        <v>368</v>
      </c>
      <c r="Z1560" s="22">
        <f>IFERROR(__xludf.DUMMYFUNCTION("IFERROR(GOOGLEFINANCE(A1560,""volume""),"""")"),2.17427E7)</f>
        <v>21742700</v>
      </c>
      <c r="AA1560" s="24" t="str">
        <f>VLOOKUP(A1560,Metrik!$C$2:$Y$959,5,0)</f>
        <v>Pharmaceuticals</v>
      </c>
      <c r="AB1560" s="24" t="str">
        <f>VLOOKUP(A1560,Metrik!$C$2:$Y$959,3,0)</f>
        <v>Healthcare</v>
      </c>
    </row>
    <row r="1561">
      <c r="A1561" s="14" t="s">
        <v>851</v>
      </c>
      <c r="B1561" s="14" t="str">
        <f t="array" ref="B1561">VLOOKUP(A1561,{Metrik!$C$2:$C$998,Metrik!$B$2:$B$998},2,0)</f>
        <v>Industri Jamu dan Farmasi Sido Muncul Tbk.</v>
      </c>
      <c r="C1561" s="15">
        <f>IFERROR(__xludf.DUMMYFUNCTION("GOOGLEFINANCE(""IDX:""&amp;A1561,""price"")"),368.0)</f>
        <v>368</v>
      </c>
      <c r="D1561" s="16" t="str">
        <f>IFERROR(__xludf.DUMMYFUNCTION("IF(A1561="""","""",
SPARKLINE(
INDEX(
GOOGLEFINANCE(""IDX:""&amp;A1561,""close"",TODAY()-365,TODAY()),
,2
),
{""linewidth"",1}
))
"),"#N/A")</f>
        <v>#N/A</v>
      </c>
      <c r="E1561" s="14" t="s">
        <v>55</v>
      </c>
      <c r="F1561" s="25">
        <v>46356.0</v>
      </c>
      <c r="G1561" s="24">
        <f t="shared" si="9"/>
        <v>11</v>
      </c>
      <c r="H1561" s="19">
        <f>VLOOKUP(A1561,Metrik!$C$2:$Y$959,8,0)</f>
        <v>10.1</v>
      </c>
      <c r="I1561" s="20">
        <f>VLOOKUP(A1561,Metrik!$C$2:$Y$959,9,0)</f>
        <v>3.5</v>
      </c>
      <c r="J1561" s="20">
        <f>VLOOKUP(A1561,Metrik!$C$2:$Y$959,10,0)</f>
        <v>35.1</v>
      </c>
      <c r="K1561" s="20">
        <f>VLOOKUP(A1561,Metrik!$C$2:$Y$959,11,0)</f>
        <v>31.4</v>
      </c>
      <c r="L1561" s="20">
        <f>VLOOKUP(A1561,Metrik!$C$2:$Y$959,12,0)</f>
        <v>0.12</v>
      </c>
      <c r="M1561" s="20">
        <f>VLOOKUP(A1561,Metrik!$C$2:$Y$959,19,0)</f>
        <v>180</v>
      </c>
      <c r="N1561" s="21"/>
      <c r="O1561" s="21"/>
      <c r="P1561" s="21"/>
      <c r="Q1561" s="21"/>
      <c r="R1561" s="21"/>
      <c r="S1561" s="21"/>
      <c r="T1561" s="21"/>
      <c r="U1561" s="22">
        <f>IFERROR(__xludf.DUMMYFUNCTION("IFERROR(GOOGLEFINANCE(A1561,""closeyest""),"""")"),370.0)</f>
        <v>370</v>
      </c>
      <c r="V1561" s="23" t="str">
        <f>IFERROR(__xludf.DUMMYFUNCTION("IFERROR(GOOGLEFINANCE(A1561,""changepct""),"""")"),"")</f>
        <v/>
      </c>
      <c r="W1561" s="22">
        <f>IFERROR(__xludf.DUMMYFUNCTION("IFERROR(GOOGLEFINANCE(A1561,""priceopen""),"""")"),370.0)</f>
        <v>370</v>
      </c>
      <c r="X1561" s="22">
        <f>IFERROR(__xludf.DUMMYFUNCTION("IFERROR(GOOGLEFINANCE(A1561,""high""),"""")"),378.0)</f>
        <v>378</v>
      </c>
      <c r="Y1561" s="22">
        <f>IFERROR(__xludf.DUMMYFUNCTION("IFERROR(GOOGLEFINANCE(A1561,""low""),"""")"),368.0)</f>
        <v>368</v>
      </c>
      <c r="Z1561" s="22">
        <f>IFERROR(__xludf.DUMMYFUNCTION("IFERROR(GOOGLEFINANCE(A1561,""volume""),"""")"),2.17427E7)</f>
        <v>21742700</v>
      </c>
      <c r="AA1561" s="24" t="str">
        <f>VLOOKUP(A1561,Metrik!$C$2:$Y$959,5,0)</f>
        <v>Pharmaceuticals</v>
      </c>
      <c r="AB1561" s="24" t="str">
        <f>VLOOKUP(A1561,Metrik!$C$2:$Y$959,3,0)</f>
        <v>Healthcare</v>
      </c>
    </row>
    <row r="1562">
      <c r="A1562" s="14" t="s">
        <v>851</v>
      </c>
      <c r="B1562" s="14" t="str">
        <f t="array" ref="B1562">VLOOKUP(A1562,{Metrik!$C$2:$C$998,Metrik!$B$2:$B$998},2,0)</f>
        <v>Industri Jamu dan Farmasi Sido Muncul Tbk.</v>
      </c>
      <c r="C1562" s="15">
        <f>IFERROR(__xludf.DUMMYFUNCTION("GOOGLEFINANCE(""IDX:""&amp;A1562,""price"")"),368.0)</f>
        <v>368</v>
      </c>
      <c r="D1562" s="16" t="str">
        <f>IFERROR(__xludf.DUMMYFUNCTION("IF(A1562="""","""",
SPARKLINE(
INDEX(
GOOGLEFINANCE(""IDX:""&amp;A1562,""close"",TODAY()-365,TODAY()),
,2
),
{""linewidth"",1}
))
"),"#N/A")</f>
        <v>#N/A</v>
      </c>
      <c r="E1562" s="14" t="s">
        <v>54</v>
      </c>
      <c r="F1562" s="14" t="s">
        <v>34</v>
      </c>
      <c r="G1562" s="24">
        <f t="shared" si="9"/>
        <v>11</v>
      </c>
      <c r="H1562" s="19">
        <f>VLOOKUP(A1562,Metrik!$C$2:$Y$959,8,0)</f>
        <v>10.1</v>
      </c>
      <c r="I1562" s="20">
        <f>VLOOKUP(A1562,Metrik!$C$2:$Y$959,9,0)</f>
        <v>3.5</v>
      </c>
      <c r="J1562" s="20">
        <f>VLOOKUP(A1562,Metrik!$C$2:$Y$959,10,0)</f>
        <v>35.1</v>
      </c>
      <c r="K1562" s="20">
        <f>VLOOKUP(A1562,Metrik!$C$2:$Y$959,11,0)</f>
        <v>31.4</v>
      </c>
      <c r="L1562" s="20">
        <f>VLOOKUP(A1562,Metrik!$C$2:$Y$959,12,0)</f>
        <v>0.12</v>
      </c>
      <c r="M1562" s="20">
        <f>VLOOKUP(A1562,Metrik!$C$2:$Y$959,19,0)</f>
        <v>180</v>
      </c>
      <c r="N1562" s="21"/>
      <c r="O1562" s="21"/>
      <c r="P1562" s="21"/>
      <c r="Q1562" s="21"/>
      <c r="R1562" s="21"/>
      <c r="S1562" s="21"/>
      <c r="T1562" s="21"/>
      <c r="U1562" s="22">
        <f>IFERROR(__xludf.DUMMYFUNCTION("IFERROR(GOOGLEFINANCE(A1562,""closeyest""),"""")"),370.0)</f>
        <v>370</v>
      </c>
      <c r="V1562" s="23" t="str">
        <f>IFERROR(__xludf.DUMMYFUNCTION("IFERROR(GOOGLEFINANCE(A1562,""changepct""),"""")"),"")</f>
        <v/>
      </c>
      <c r="W1562" s="22">
        <f>IFERROR(__xludf.DUMMYFUNCTION("IFERROR(GOOGLEFINANCE(A1562,""priceopen""),"""")"),370.0)</f>
        <v>370</v>
      </c>
      <c r="X1562" s="22">
        <f>IFERROR(__xludf.DUMMYFUNCTION("IFERROR(GOOGLEFINANCE(A1562,""high""),"""")"),378.0)</f>
        <v>378</v>
      </c>
      <c r="Y1562" s="22">
        <f>IFERROR(__xludf.DUMMYFUNCTION("IFERROR(GOOGLEFINANCE(A1562,""low""),"""")"),368.0)</f>
        <v>368</v>
      </c>
      <c r="Z1562" s="22">
        <f>IFERROR(__xludf.DUMMYFUNCTION("IFERROR(GOOGLEFINANCE(A1562,""volume""),"""")"),2.17427E7)</f>
        <v>21742700</v>
      </c>
      <c r="AA1562" s="24" t="str">
        <f>VLOOKUP(A1562,Metrik!$C$2:$Y$959,5,0)</f>
        <v>Pharmaceuticals</v>
      </c>
      <c r="AB1562" s="24" t="str">
        <f>VLOOKUP(A1562,Metrik!$C$2:$Y$959,3,0)</f>
        <v>Healthcare</v>
      </c>
    </row>
    <row r="1563">
      <c r="A1563" s="14" t="s">
        <v>851</v>
      </c>
      <c r="B1563" s="14" t="str">
        <f t="array" ref="B1563">VLOOKUP(A1563,{Metrik!$C$2:$C$998,Metrik!$B$2:$B$998},2,0)</f>
        <v>Industri Jamu dan Farmasi Sido Muncul Tbk.</v>
      </c>
      <c r="C1563" s="15">
        <f>IFERROR(__xludf.DUMMYFUNCTION("GOOGLEFINANCE(""IDX:""&amp;A1563,""price"")"),368.0)</f>
        <v>368</v>
      </c>
      <c r="D1563" s="16" t="str">
        <f>IFERROR(__xludf.DUMMYFUNCTION("IF(A1563="""","""",
SPARKLINE(
INDEX(
GOOGLEFINANCE(""IDX:""&amp;A1563,""close"",TODAY()-365,TODAY()),
,2
),
{""linewidth"",1}
))
"),"#N/A")</f>
        <v>#N/A</v>
      </c>
      <c r="E1563" s="14" t="s">
        <v>102</v>
      </c>
      <c r="F1563" s="27" t="s">
        <v>53</v>
      </c>
      <c r="G1563" s="24">
        <f t="shared" si="9"/>
        <v>11</v>
      </c>
      <c r="H1563" s="19">
        <f>VLOOKUP(A1563,Metrik!$C$2:$Y$959,8,0)</f>
        <v>10.1</v>
      </c>
      <c r="I1563" s="20">
        <f>VLOOKUP(A1563,Metrik!$C$2:$Y$959,9,0)</f>
        <v>3.5</v>
      </c>
      <c r="J1563" s="20">
        <f>VLOOKUP(A1563,Metrik!$C$2:$Y$959,10,0)</f>
        <v>35.1</v>
      </c>
      <c r="K1563" s="20">
        <f>VLOOKUP(A1563,Metrik!$C$2:$Y$959,11,0)</f>
        <v>31.4</v>
      </c>
      <c r="L1563" s="20">
        <f>VLOOKUP(A1563,Metrik!$C$2:$Y$959,12,0)</f>
        <v>0.12</v>
      </c>
      <c r="M1563" s="20">
        <f>VLOOKUP(A1563,Metrik!$C$2:$Y$959,19,0)</f>
        <v>180</v>
      </c>
      <c r="N1563" s="21"/>
      <c r="O1563" s="21"/>
      <c r="P1563" s="21"/>
      <c r="Q1563" s="21"/>
      <c r="R1563" s="21"/>
      <c r="S1563" s="21"/>
      <c r="T1563" s="21"/>
      <c r="U1563" s="22">
        <f>IFERROR(__xludf.DUMMYFUNCTION("IFERROR(GOOGLEFINANCE(A1563,""closeyest""),"""")"),370.0)</f>
        <v>370</v>
      </c>
      <c r="V1563" s="23" t="str">
        <f>IFERROR(__xludf.DUMMYFUNCTION("IFERROR(GOOGLEFINANCE(A1563,""changepct""),"""")"),"")</f>
        <v/>
      </c>
      <c r="W1563" s="22">
        <f>IFERROR(__xludf.DUMMYFUNCTION("IFERROR(GOOGLEFINANCE(A1563,""priceopen""),"""")"),370.0)</f>
        <v>370</v>
      </c>
      <c r="X1563" s="22">
        <f>IFERROR(__xludf.DUMMYFUNCTION("IFERROR(GOOGLEFINANCE(A1563,""high""),"""")"),378.0)</f>
        <v>378</v>
      </c>
      <c r="Y1563" s="22">
        <f>IFERROR(__xludf.DUMMYFUNCTION("IFERROR(GOOGLEFINANCE(A1563,""low""),"""")"),368.0)</f>
        <v>368</v>
      </c>
      <c r="Z1563" s="22">
        <f>IFERROR(__xludf.DUMMYFUNCTION("IFERROR(GOOGLEFINANCE(A1563,""volume""),"""")"),2.17427E7)</f>
        <v>21742700</v>
      </c>
      <c r="AA1563" s="24" t="str">
        <f>VLOOKUP(A1563,Metrik!$C$2:$Y$959,5,0)</f>
        <v>Pharmaceuticals</v>
      </c>
      <c r="AB1563" s="24" t="str">
        <f>VLOOKUP(A1563,Metrik!$C$2:$Y$959,3,0)</f>
        <v>Healthcare</v>
      </c>
    </row>
    <row r="1564">
      <c r="A1564" s="14" t="s">
        <v>851</v>
      </c>
      <c r="B1564" s="14" t="str">
        <f t="array" ref="B1564">VLOOKUP(A1564,{Metrik!$C$2:$C$998,Metrik!$B$2:$B$998},2,0)</f>
        <v>Industri Jamu dan Farmasi Sido Muncul Tbk.</v>
      </c>
      <c r="C1564" s="15">
        <f>IFERROR(__xludf.DUMMYFUNCTION("GOOGLEFINANCE(""IDX:""&amp;A1564,""price"")"),368.0)</f>
        <v>368</v>
      </c>
      <c r="D1564" s="16" t="str">
        <f>IFERROR(__xludf.DUMMYFUNCTION("IF(A1564="""","""",
SPARKLINE(
INDEX(
GOOGLEFINANCE(""IDX:""&amp;A1564,""close"",TODAY()-365,TODAY()),
,2
),
{""linewidth"",1}
))
"),"#N/A")</f>
        <v>#N/A</v>
      </c>
      <c r="E1564" s="14" t="s">
        <v>32</v>
      </c>
      <c r="F1564" s="14" t="s">
        <v>29</v>
      </c>
      <c r="G1564" s="24">
        <f t="shared" si="9"/>
        <v>11</v>
      </c>
      <c r="H1564" s="19">
        <f>VLOOKUP(A1564,Metrik!$C$2:$Y$959,8,0)</f>
        <v>10.1</v>
      </c>
      <c r="I1564" s="20">
        <f>VLOOKUP(A1564,Metrik!$C$2:$Y$959,9,0)</f>
        <v>3.5</v>
      </c>
      <c r="J1564" s="20">
        <f>VLOOKUP(A1564,Metrik!$C$2:$Y$959,10,0)</f>
        <v>35.1</v>
      </c>
      <c r="K1564" s="20">
        <f>VLOOKUP(A1564,Metrik!$C$2:$Y$959,11,0)</f>
        <v>31.4</v>
      </c>
      <c r="L1564" s="20">
        <f>VLOOKUP(A1564,Metrik!$C$2:$Y$959,12,0)</f>
        <v>0.12</v>
      </c>
      <c r="M1564" s="20">
        <f>VLOOKUP(A1564,Metrik!$C$2:$Y$959,19,0)</f>
        <v>180</v>
      </c>
      <c r="N1564" s="21"/>
      <c r="O1564" s="21"/>
      <c r="P1564" s="21"/>
      <c r="Q1564" s="21"/>
      <c r="R1564" s="21"/>
      <c r="S1564" s="21"/>
      <c r="T1564" s="21"/>
      <c r="U1564" s="22">
        <f>IFERROR(__xludf.DUMMYFUNCTION("IFERROR(GOOGLEFINANCE(A1564,""closeyest""),"""")"),370.0)</f>
        <v>370</v>
      </c>
      <c r="V1564" s="23" t="str">
        <f>IFERROR(__xludf.DUMMYFUNCTION("IFERROR(GOOGLEFINANCE(A1564,""changepct""),"""")"),"")</f>
        <v/>
      </c>
      <c r="W1564" s="22">
        <f>IFERROR(__xludf.DUMMYFUNCTION("IFERROR(GOOGLEFINANCE(A1564,""priceopen""),"""")"),370.0)</f>
        <v>370</v>
      </c>
      <c r="X1564" s="22">
        <f>IFERROR(__xludf.DUMMYFUNCTION("IFERROR(GOOGLEFINANCE(A1564,""high""),"""")"),378.0)</f>
        <v>378</v>
      </c>
      <c r="Y1564" s="22">
        <f>IFERROR(__xludf.DUMMYFUNCTION("IFERROR(GOOGLEFINANCE(A1564,""low""),"""")"),368.0)</f>
        <v>368</v>
      </c>
      <c r="Z1564" s="22">
        <f>IFERROR(__xludf.DUMMYFUNCTION("IFERROR(GOOGLEFINANCE(A1564,""volume""),"""")"),2.17427E7)</f>
        <v>21742700</v>
      </c>
      <c r="AA1564" s="24" t="str">
        <f>VLOOKUP(A1564,Metrik!$C$2:$Y$959,5,0)</f>
        <v>Pharmaceuticals</v>
      </c>
      <c r="AB1564" s="24" t="str">
        <f>VLOOKUP(A1564,Metrik!$C$2:$Y$959,3,0)</f>
        <v>Healthcare</v>
      </c>
    </row>
    <row r="1565">
      <c r="A1565" s="14" t="s">
        <v>851</v>
      </c>
      <c r="B1565" s="14" t="str">
        <f t="array" ref="B1565">VLOOKUP(A1565,{Metrik!$C$2:$C$998,Metrik!$B$2:$B$998},2,0)</f>
        <v>Industri Jamu dan Farmasi Sido Muncul Tbk.</v>
      </c>
      <c r="C1565" s="15">
        <f>IFERROR(__xludf.DUMMYFUNCTION("GOOGLEFINANCE(""IDX:""&amp;A1565,""price"")"),368.0)</f>
        <v>368</v>
      </c>
      <c r="D1565" s="16" t="str">
        <f>IFERROR(__xludf.DUMMYFUNCTION("IF(A1565="""","""",
SPARKLINE(
INDEX(
GOOGLEFINANCE(""IDX:""&amp;A1565,""close"",TODAY()-365,TODAY()),
,2
),
{""linewidth"",1}
))
"),"#N/A")</f>
        <v>#N/A</v>
      </c>
      <c r="E1565" s="14" t="s">
        <v>50</v>
      </c>
      <c r="F1565" s="17" t="s">
        <v>51</v>
      </c>
      <c r="G1565" s="24">
        <f t="shared" si="9"/>
        <v>11</v>
      </c>
      <c r="H1565" s="19">
        <f>VLOOKUP(A1565,Metrik!$C$2:$Y$959,8,0)</f>
        <v>10.1</v>
      </c>
      <c r="I1565" s="20">
        <f>VLOOKUP(A1565,Metrik!$C$2:$Y$959,9,0)</f>
        <v>3.5</v>
      </c>
      <c r="J1565" s="20">
        <f>VLOOKUP(A1565,Metrik!$C$2:$Y$959,10,0)</f>
        <v>35.1</v>
      </c>
      <c r="K1565" s="20">
        <f>VLOOKUP(A1565,Metrik!$C$2:$Y$959,11,0)</f>
        <v>31.4</v>
      </c>
      <c r="L1565" s="20">
        <f>VLOOKUP(A1565,Metrik!$C$2:$Y$959,12,0)</f>
        <v>0.12</v>
      </c>
      <c r="M1565" s="20">
        <f>VLOOKUP(A1565,Metrik!$C$2:$Y$959,19,0)</f>
        <v>180</v>
      </c>
      <c r="N1565" s="21"/>
      <c r="O1565" s="21"/>
      <c r="P1565" s="21"/>
      <c r="Q1565" s="21"/>
      <c r="R1565" s="21"/>
      <c r="S1565" s="21"/>
      <c r="T1565" s="21"/>
      <c r="U1565" s="22">
        <f>IFERROR(__xludf.DUMMYFUNCTION("IFERROR(GOOGLEFINANCE(A1565,""closeyest""),"""")"),370.0)</f>
        <v>370</v>
      </c>
      <c r="V1565" s="23" t="str">
        <f>IFERROR(__xludf.DUMMYFUNCTION("IFERROR(GOOGLEFINANCE(A1565,""changepct""),"""")"),"")</f>
        <v/>
      </c>
      <c r="W1565" s="22">
        <f>IFERROR(__xludf.DUMMYFUNCTION("IFERROR(GOOGLEFINANCE(A1565,""priceopen""),"""")"),370.0)</f>
        <v>370</v>
      </c>
      <c r="X1565" s="22">
        <f>IFERROR(__xludf.DUMMYFUNCTION("IFERROR(GOOGLEFINANCE(A1565,""high""),"""")"),378.0)</f>
        <v>378</v>
      </c>
      <c r="Y1565" s="22">
        <f>IFERROR(__xludf.DUMMYFUNCTION("IFERROR(GOOGLEFINANCE(A1565,""low""),"""")"),368.0)</f>
        <v>368</v>
      </c>
      <c r="Z1565" s="22">
        <f>IFERROR(__xludf.DUMMYFUNCTION("IFERROR(GOOGLEFINANCE(A1565,""volume""),"""")"),2.17427E7)</f>
        <v>21742700</v>
      </c>
      <c r="AA1565" s="24" t="str">
        <f>VLOOKUP(A1565,Metrik!$C$2:$Y$959,5,0)</f>
        <v>Pharmaceuticals</v>
      </c>
      <c r="AB1565" s="24" t="str">
        <f>VLOOKUP(A1565,Metrik!$C$2:$Y$959,3,0)</f>
        <v>Healthcare</v>
      </c>
    </row>
    <row r="1566">
      <c r="A1566" s="14" t="s">
        <v>851</v>
      </c>
      <c r="B1566" s="14" t="str">
        <f t="array" ref="B1566">VLOOKUP(A1566,{Metrik!$C$2:$C$998,Metrik!$B$2:$B$998},2,0)</f>
        <v>Industri Jamu dan Farmasi Sido Muncul Tbk.</v>
      </c>
      <c r="C1566" s="15">
        <f>IFERROR(__xludf.DUMMYFUNCTION("GOOGLEFINANCE(""IDX:""&amp;A1566,""price"")"),368.0)</f>
        <v>368</v>
      </c>
      <c r="D1566" s="16" t="str">
        <f>IFERROR(__xludf.DUMMYFUNCTION("IF(A1566="""","""",
SPARKLINE(
INDEX(
GOOGLEFINANCE(""IDX:""&amp;A1566,""close"",TODAY()-365,TODAY()),
,2
),
{""linewidth"",1}
))
"),"#N/A")</f>
        <v>#N/A</v>
      </c>
      <c r="E1566" s="14" t="s">
        <v>28</v>
      </c>
      <c r="F1566" s="17" t="s">
        <v>29</v>
      </c>
      <c r="G1566" s="24">
        <f t="shared" si="9"/>
        <v>11</v>
      </c>
      <c r="H1566" s="19">
        <f>VLOOKUP(A1566,Metrik!$C$2:$Y$959,8,0)</f>
        <v>10.1</v>
      </c>
      <c r="I1566" s="20">
        <f>VLOOKUP(A1566,Metrik!$C$2:$Y$959,9,0)</f>
        <v>3.5</v>
      </c>
      <c r="J1566" s="20">
        <f>VLOOKUP(A1566,Metrik!$C$2:$Y$959,10,0)</f>
        <v>35.1</v>
      </c>
      <c r="K1566" s="20">
        <f>VLOOKUP(A1566,Metrik!$C$2:$Y$959,11,0)</f>
        <v>31.4</v>
      </c>
      <c r="L1566" s="20">
        <f>VLOOKUP(A1566,Metrik!$C$2:$Y$959,12,0)</f>
        <v>0.12</v>
      </c>
      <c r="M1566" s="20">
        <f>VLOOKUP(A1566,Metrik!$C$2:$Y$959,19,0)</f>
        <v>180</v>
      </c>
      <c r="N1566" s="21"/>
      <c r="O1566" s="21"/>
      <c r="P1566" s="21"/>
      <c r="Q1566" s="21"/>
      <c r="R1566" s="21"/>
      <c r="S1566" s="21"/>
      <c r="T1566" s="21"/>
      <c r="U1566" s="22">
        <f>IFERROR(__xludf.DUMMYFUNCTION("IFERROR(GOOGLEFINANCE(A1566,""closeyest""),"""")"),370.0)</f>
        <v>370</v>
      </c>
      <c r="V1566" s="23" t="str">
        <f>IFERROR(__xludf.DUMMYFUNCTION("IFERROR(GOOGLEFINANCE(A1566,""changepct""),"""")"),"")</f>
        <v/>
      </c>
      <c r="W1566" s="22">
        <f>IFERROR(__xludf.DUMMYFUNCTION("IFERROR(GOOGLEFINANCE(A1566,""priceopen""),"""")"),370.0)</f>
        <v>370</v>
      </c>
      <c r="X1566" s="22">
        <f>IFERROR(__xludf.DUMMYFUNCTION("IFERROR(GOOGLEFINANCE(A1566,""high""),"""")"),378.0)</f>
        <v>378</v>
      </c>
      <c r="Y1566" s="22">
        <f>IFERROR(__xludf.DUMMYFUNCTION("IFERROR(GOOGLEFINANCE(A1566,""low""),"""")"),368.0)</f>
        <v>368</v>
      </c>
      <c r="Z1566" s="22">
        <f>IFERROR(__xludf.DUMMYFUNCTION("IFERROR(GOOGLEFINANCE(A1566,""volume""),"""")"),2.17427E7)</f>
        <v>21742700</v>
      </c>
      <c r="AA1566" s="24" t="str">
        <f>VLOOKUP(A1566,Metrik!$C$2:$Y$959,5,0)</f>
        <v>Pharmaceuticals</v>
      </c>
      <c r="AB1566" s="24" t="str">
        <f>VLOOKUP(A1566,Metrik!$C$2:$Y$959,3,0)</f>
        <v>Healthcare</v>
      </c>
    </row>
    <row r="1567">
      <c r="A1567" s="14" t="s">
        <v>851</v>
      </c>
      <c r="B1567" s="14" t="str">
        <f t="array" ref="B1567">VLOOKUP(A1567,{Metrik!$C$2:$C$998,Metrik!$B$2:$B$998},2,0)</f>
        <v>Industri Jamu dan Farmasi Sido Muncul Tbk.</v>
      </c>
      <c r="C1567" s="15">
        <f>IFERROR(__xludf.DUMMYFUNCTION("GOOGLEFINANCE(""IDX:""&amp;A1567,""price"")"),368.0)</f>
        <v>368</v>
      </c>
      <c r="D1567" s="16" t="str">
        <f>IFERROR(__xludf.DUMMYFUNCTION("IF(A1567="""","""",
SPARKLINE(
INDEX(
GOOGLEFINANCE(""IDX:""&amp;A1567,""close"",TODAY()-365,TODAY()),
,2
),
{""linewidth"",1}
))
"),"#N/A")</f>
        <v>#N/A</v>
      </c>
      <c r="E1567" s="14" t="s">
        <v>41</v>
      </c>
      <c r="F1567" s="14" t="s">
        <v>34</v>
      </c>
      <c r="G1567" s="24">
        <f t="shared" si="9"/>
        <v>11</v>
      </c>
      <c r="H1567" s="19">
        <f>VLOOKUP(A1567,Metrik!$C$2:$Y$959,8,0)</f>
        <v>10.1</v>
      </c>
      <c r="I1567" s="20">
        <f>VLOOKUP(A1567,Metrik!$C$2:$Y$959,9,0)</f>
        <v>3.5</v>
      </c>
      <c r="J1567" s="20">
        <f>VLOOKUP(A1567,Metrik!$C$2:$Y$959,10,0)</f>
        <v>35.1</v>
      </c>
      <c r="K1567" s="20">
        <f>VLOOKUP(A1567,Metrik!$C$2:$Y$959,11,0)</f>
        <v>31.4</v>
      </c>
      <c r="L1567" s="20">
        <f>VLOOKUP(A1567,Metrik!$C$2:$Y$959,12,0)</f>
        <v>0.12</v>
      </c>
      <c r="M1567" s="20">
        <f>VLOOKUP(A1567,Metrik!$C$2:$Y$959,19,0)</f>
        <v>180</v>
      </c>
      <c r="N1567" s="21"/>
      <c r="O1567" s="21"/>
      <c r="P1567" s="21"/>
      <c r="Q1567" s="21"/>
      <c r="R1567" s="21"/>
      <c r="S1567" s="21"/>
      <c r="T1567" s="21"/>
      <c r="U1567" s="22">
        <f>IFERROR(__xludf.DUMMYFUNCTION("IFERROR(GOOGLEFINANCE(A1567,""closeyest""),"""")"),370.0)</f>
        <v>370</v>
      </c>
      <c r="V1567" s="23" t="str">
        <f>IFERROR(__xludf.DUMMYFUNCTION("IFERROR(GOOGLEFINANCE(A1567,""changepct""),"""")"),"")</f>
        <v/>
      </c>
      <c r="W1567" s="22">
        <f>IFERROR(__xludf.DUMMYFUNCTION("IFERROR(GOOGLEFINANCE(A1567,""priceopen""),"""")"),370.0)</f>
        <v>370</v>
      </c>
      <c r="X1567" s="22">
        <f>IFERROR(__xludf.DUMMYFUNCTION("IFERROR(GOOGLEFINANCE(A1567,""high""),"""")"),378.0)</f>
        <v>378</v>
      </c>
      <c r="Y1567" s="22">
        <f>IFERROR(__xludf.DUMMYFUNCTION("IFERROR(GOOGLEFINANCE(A1567,""low""),"""")"),368.0)</f>
        <v>368</v>
      </c>
      <c r="Z1567" s="22">
        <f>IFERROR(__xludf.DUMMYFUNCTION("IFERROR(GOOGLEFINANCE(A1567,""volume""),"""")"),2.17427E7)</f>
        <v>21742700</v>
      </c>
      <c r="AA1567" s="24" t="str">
        <f>VLOOKUP(A1567,Metrik!$C$2:$Y$959,5,0)</f>
        <v>Pharmaceuticals</v>
      </c>
      <c r="AB1567" s="24" t="str">
        <f>VLOOKUP(A1567,Metrik!$C$2:$Y$959,3,0)</f>
        <v>Healthcare</v>
      </c>
    </row>
    <row r="1568">
      <c r="A1568" s="14" t="s">
        <v>851</v>
      </c>
      <c r="B1568" s="14" t="str">
        <f t="array" ref="B1568">VLOOKUP(A1568,{Metrik!$C$2:$C$998,Metrik!$B$2:$B$998},2,0)</f>
        <v>Industri Jamu dan Farmasi Sido Muncul Tbk.</v>
      </c>
      <c r="C1568" s="15">
        <f>IFERROR(__xludf.DUMMYFUNCTION("GOOGLEFINANCE(""IDX:""&amp;A1568,""price"")"),368.0)</f>
        <v>368</v>
      </c>
      <c r="D1568" s="16" t="str">
        <f>IFERROR(__xludf.DUMMYFUNCTION("IF(A1568="""","""",
SPARKLINE(
INDEX(
GOOGLEFINANCE(""IDX:""&amp;A1568,""close"",TODAY()-365,TODAY()),
,2
),
{""linewidth"",1}
))
"),"#N/A")</f>
        <v>#N/A</v>
      </c>
      <c r="E1568" s="14" t="s">
        <v>86</v>
      </c>
      <c r="F1568" s="25">
        <v>46356.0</v>
      </c>
      <c r="G1568" s="24">
        <f t="shared" si="9"/>
        <v>11</v>
      </c>
      <c r="H1568" s="19">
        <f>VLOOKUP(A1568,Metrik!$C$2:$Y$959,8,0)</f>
        <v>10.1</v>
      </c>
      <c r="I1568" s="20">
        <f>VLOOKUP(A1568,Metrik!$C$2:$Y$959,9,0)</f>
        <v>3.5</v>
      </c>
      <c r="J1568" s="20">
        <f>VLOOKUP(A1568,Metrik!$C$2:$Y$959,10,0)</f>
        <v>35.1</v>
      </c>
      <c r="K1568" s="20">
        <f>VLOOKUP(A1568,Metrik!$C$2:$Y$959,11,0)</f>
        <v>31.4</v>
      </c>
      <c r="L1568" s="20">
        <f>VLOOKUP(A1568,Metrik!$C$2:$Y$959,12,0)</f>
        <v>0.12</v>
      </c>
      <c r="M1568" s="20">
        <f>VLOOKUP(A1568,Metrik!$C$2:$Y$959,19,0)</f>
        <v>180</v>
      </c>
      <c r="N1568" s="21"/>
      <c r="O1568" s="21"/>
      <c r="P1568" s="21"/>
      <c r="Q1568" s="21"/>
      <c r="R1568" s="21"/>
      <c r="S1568" s="21"/>
      <c r="T1568" s="21"/>
      <c r="U1568" s="22">
        <f>IFERROR(__xludf.DUMMYFUNCTION("IFERROR(GOOGLEFINANCE(A1568,""closeyest""),"""")"),370.0)</f>
        <v>370</v>
      </c>
      <c r="V1568" s="23" t="str">
        <f>IFERROR(__xludf.DUMMYFUNCTION("IFERROR(GOOGLEFINANCE(A1568,""changepct""),"""")"),"")</f>
        <v/>
      </c>
      <c r="W1568" s="22">
        <f>IFERROR(__xludf.DUMMYFUNCTION("IFERROR(GOOGLEFINANCE(A1568,""priceopen""),"""")"),370.0)</f>
        <v>370</v>
      </c>
      <c r="X1568" s="22">
        <f>IFERROR(__xludf.DUMMYFUNCTION("IFERROR(GOOGLEFINANCE(A1568,""high""),"""")"),378.0)</f>
        <v>378</v>
      </c>
      <c r="Y1568" s="22">
        <f>IFERROR(__xludf.DUMMYFUNCTION("IFERROR(GOOGLEFINANCE(A1568,""low""),"""")"),368.0)</f>
        <v>368</v>
      </c>
      <c r="Z1568" s="22">
        <f>IFERROR(__xludf.DUMMYFUNCTION("IFERROR(GOOGLEFINANCE(A1568,""volume""),"""")"),2.17427E7)</f>
        <v>21742700</v>
      </c>
      <c r="AA1568" s="24" t="str">
        <f>VLOOKUP(A1568,Metrik!$C$2:$Y$959,5,0)</f>
        <v>Pharmaceuticals</v>
      </c>
      <c r="AB1568" s="24" t="str">
        <f>VLOOKUP(A1568,Metrik!$C$2:$Y$959,3,0)</f>
        <v>Healthcare</v>
      </c>
    </row>
    <row r="1569">
      <c r="A1569" s="14" t="s">
        <v>851</v>
      </c>
      <c r="B1569" s="14" t="str">
        <f t="array" ref="B1569">VLOOKUP(A1569,{Metrik!$C$2:$C$998,Metrik!$B$2:$B$998},2,0)</f>
        <v>Industri Jamu dan Farmasi Sido Muncul Tbk.</v>
      </c>
      <c r="C1569" s="15">
        <f>IFERROR(__xludf.DUMMYFUNCTION("GOOGLEFINANCE(""IDX:""&amp;A1569,""price"")"),368.0)</f>
        <v>368</v>
      </c>
      <c r="D1569" s="16" t="str">
        <f>IFERROR(__xludf.DUMMYFUNCTION("IF(A1569="""","""",
SPARKLINE(
INDEX(
GOOGLEFINANCE(""IDX:""&amp;A1569,""close"",TODAY()-365,TODAY()),
,2
),
{""linewidth"",1}
))
"),"#N/A")</f>
        <v>#N/A</v>
      </c>
      <c r="E1569" s="14" t="s">
        <v>39</v>
      </c>
      <c r="F1569" s="25">
        <v>46356.0</v>
      </c>
      <c r="G1569" s="24">
        <f t="shared" si="9"/>
        <v>11</v>
      </c>
      <c r="H1569" s="19">
        <f>VLOOKUP(A1569,Metrik!$C$2:$Y$959,8,0)</f>
        <v>10.1</v>
      </c>
      <c r="I1569" s="20">
        <f>VLOOKUP(A1569,Metrik!$C$2:$Y$959,9,0)</f>
        <v>3.5</v>
      </c>
      <c r="J1569" s="20">
        <f>VLOOKUP(A1569,Metrik!$C$2:$Y$959,10,0)</f>
        <v>35.1</v>
      </c>
      <c r="K1569" s="20">
        <f>VLOOKUP(A1569,Metrik!$C$2:$Y$959,11,0)</f>
        <v>31.4</v>
      </c>
      <c r="L1569" s="20">
        <f>VLOOKUP(A1569,Metrik!$C$2:$Y$959,12,0)</f>
        <v>0.12</v>
      </c>
      <c r="M1569" s="20">
        <f>VLOOKUP(A1569,Metrik!$C$2:$Y$959,19,0)</f>
        <v>180</v>
      </c>
      <c r="N1569" s="21"/>
      <c r="O1569" s="21"/>
      <c r="P1569" s="21"/>
      <c r="Q1569" s="21"/>
      <c r="R1569" s="21"/>
      <c r="S1569" s="21"/>
      <c r="T1569" s="21"/>
      <c r="U1569" s="22">
        <f>IFERROR(__xludf.DUMMYFUNCTION("IFERROR(GOOGLEFINANCE(A1569,""closeyest""),"""")"),370.0)</f>
        <v>370</v>
      </c>
      <c r="V1569" s="23" t="str">
        <f>IFERROR(__xludf.DUMMYFUNCTION("IFERROR(GOOGLEFINANCE(A1569,""changepct""),"""")"),"")</f>
        <v/>
      </c>
      <c r="W1569" s="22">
        <f>IFERROR(__xludf.DUMMYFUNCTION("IFERROR(GOOGLEFINANCE(A1569,""priceopen""),"""")"),370.0)</f>
        <v>370</v>
      </c>
      <c r="X1569" s="22">
        <f>IFERROR(__xludf.DUMMYFUNCTION("IFERROR(GOOGLEFINANCE(A1569,""high""),"""")"),378.0)</f>
        <v>378</v>
      </c>
      <c r="Y1569" s="22">
        <f>IFERROR(__xludf.DUMMYFUNCTION("IFERROR(GOOGLEFINANCE(A1569,""low""),"""")"),368.0)</f>
        <v>368</v>
      </c>
      <c r="Z1569" s="22">
        <f>IFERROR(__xludf.DUMMYFUNCTION("IFERROR(GOOGLEFINANCE(A1569,""volume""),"""")"),2.17427E7)</f>
        <v>21742700</v>
      </c>
      <c r="AA1569" s="24" t="str">
        <f>VLOOKUP(A1569,Metrik!$C$2:$Y$959,5,0)</f>
        <v>Pharmaceuticals</v>
      </c>
      <c r="AB1569" s="24" t="str">
        <f>VLOOKUP(A1569,Metrik!$C$2:$Y$959,3,0)</f>
        <v>Healthcare</v>
      </c>
    </row>
    <row r="1570">
      <c r="A1570" s="17" t="s">
        <v>852</v>
      </c>
      <c r="B1570" s="14" t="str">
        <f t="array" ref="B1570">VLOOKUP(A1570,{Metrik!$C$2:$C$998,Metrik!$B$2:$B$998},2,0)</f>
        <v>PT Siloam International Hospitals Tbk.</v>
      </c>
      <c r="C1570" s="15">
        <f>IFERROR(__xludf.DUMMYFUNCTION("GOOGLEFINANCE(""IDX:""&amp;A1570,""price"")"),2330.0)</f>
        <v>2330</v>
      </c>
      <c r="D1570" s="16" t="str">
        <f>IFERROR(__xludf.DUMMYFUNCTION("IF(A1570="""","""",
SPARKLINE(
INDEX(
GOOGLEFINANCE(""IDX:""&amp;A1570,""close"",TODAY()-365,TODAY()),
,2
),
{""linewidth"",1}
))
"),"#N/A")</f>
        <v>#N/A</v>
      </c>
      <c r="E1570" s="14" t="s">
        <v>84</v>
      </c>
      <c r="F1570" s="17" t="s">
        <v>51</v>
      </c>
      <c r="G1570" s="24">
        <f t="shared" si="9"/>
        <v>1</v>
      </c>
      <c r="H1570" s="19">
        <f>VLOOKUP(A1570,Metrik!$C$2:$Y$959,8,0)</f>
        <v>26.8</v>
      </c>
      <c r="I1570" s="20">
        <f>VLOOKUP(A1570,Metrik!$C$2:$Y$959,9,0)</f>
        <v>3</v>
      </c>
      <c r="J1570" s="20">
        <f>VLOOKUP(A1570,Metrik!$C$2:$Y$959,10,0)</f>
        <v>11.2</v>
      </c>
      <c r="K1570" s="20">
        <f>VLOOKUP(A1570,Metrik!$C$2:$Y$959,11,0)</f>
        <v>7.5</v>
      </c>
      <c r="L1570" s="20">
        <f>VLOOKUP(A1570,Metrik!$C$2:$Y$959,12,0)</f>
        <v>0.5</v>
      </c>
      <c r="M1570" s="20">
        <f>VLOOKUP(A1570,Metrik!$C$2:$Y$959,19,0)</f>
        <v>35</v>
      </c>
      <c r="N1570" s="21"/>
      <c r="O1570" s="21"/>
      <c r="P1570" s="21"/>
      <c r="Q1570" s="21"/>
      <c r="R1570" s="21"/>
      <c r="S1570" s="21"/>
      <c r="T1570" s="21"/>
      <c r="U1570" s="22">
        <f>IFERROR(__xludf.DUMMYFUNCTION("IFERROR(GOOGLEFINANCE(A1570,""closeyest""),"""")"),6.44)</f>
        <v>6.44</v>
      </c>
      <c r="V1570" s="23">
        <f>IFERROR(__xludf.DUMMYFUNCTION("IFERROR(GOOGLEFINANCE(A1570,""changepct""),"""")"),2.95)</f>
        <v>2.95</v>
      </c>
      <c r="W1570" s="22">
        <f>IFERROR(__xludf.DUMMYFUNCTION("IFERROR(GOOGLEFINANCE(A1570,""priceopen""),"""")"),6.53)</f>
        <v>6.53</v>
      </c>
      <c r="X1570" s="22">
        <f>IFERROR(__xludf.DUMMYFUNCTION("IFERROR(GOOGLEFINANCE(A1570,""high""),"""")"),6.75)</f>
        <v>6.75</v>
      </c>
      <c r="Y1570" s="22">
        <f>IFERROR(__xludf.DUMMYFUNCTION("IFERROR(GOOGLEFINANCE(A1570,""low""),"""")"),6.49)</f>
        <v>6.49</v>
      </c>
      <c r="Z1570" s="22">
        <f>IFERROR(__xludf.DUMMYFUNCTION("IFERROR(GOOGLEFINANCE(A1570,""volume""),"""")"),19702.0)</f>
        <v>19702</v>
      </c>
      <c r="AA1570" s="24" t="str">
        <f>VLOOKUP(A1570,Metrik!$C$2:$Y$959,5,0)</f>
        <v>Healthcare Providers</v>
      </c>
      <c r="AB1570" s="24" t="str">
        <f>VLOOKUP(A1570,Metrik!$C$2:$Y$959,3,0)</f>
        <v>Healthcare</v>
      </c>
    </row>
    <row r="1571">
      <c r="A1571" s="14" t="s">
        <v>853</v>
      </c>
      <c r="B1571" s="14" t="str">
        <f t="array" ref="B1571">VLOOKUP(A1571,{Metrik!$C$2:$C$998,Metrik!$B$2:$B$998},2,0)</f>
        <v>Siwani Makmur Tbk</v>
      </c>
      <c r="C1571" s="15">
        <f>IFERROR(__xludf.DUMMYFUNCTION("GOOGLEFINANCE(""IDX:""&amp;A1571,""price"")"),50.0)</f>
        <v>50</v>
      </c>
      <c r="D1571" s="16" t="str">
        <f>IFERROR(__xludf.DUMMYFUNCTION("IF(A1571="""","""",
SPARKLINE(
INDEX(
GOOGLEFINANCE(""IDX:""&amp;A1571,""close"",TODAY()-365,TODAY()),
,2
),
{""linewidth"",1}
))
"),"#N/A")</f>
        <v>#N/A</v>
      </c>
      <c r="E1571" s="26"/>
      <c r="F1571" s="26"/>
      <c r="G1571" s="24">
        <f t="shared" si="9"/>
        <v>0</v>
      </c>
      <c r="H1571" s="19" t="str">
        <f>VLOOKUP(A1571,Metrik!$C$2:$Y$959,8,0)</f>
        <v/>
      </c>
      <c r="I1571" s="20">
        <f>VLOOKUP(A1571,Metrik!$C$2:$Y$959,9,0)</f>
        <v>-11</v>
      </c>
      <c r="J1571" s="20" t="str">
        <f>VLOOKUP(A1571,Metrik!$C$2:$Y$959,10,0)</f>
        <v/>
      </c>
      <c r="K1571" s="20">
        <f>VLOOKUP(A1571,Metrik!$C$2:$Y$959,11,0)</f>
        <v>-0.01</v>
      </c>
      <c r="L1571" s="20">
        <f>VLOOKUP(A1571,Metrik!$C$2:$Y$959,12,0)</f>
        <v>-130</v>
      </c>
      <c r="M1571" s="20">
        <f>VLOOKUP(A1571,Metrik!$C$2:$Y$959,19,0)</f>
        <v>-970</v>
      </c>
      <c r="N1571" s="21"/>
      <c r="O1571" s="21"/>
      <c r="P1571" s="21"/>
      <c r="Q1571" s="21"/>
      <c r="R1571" s="21"/>
      <c r="S1571" s="21"/>
      <c r="T1571" s="21"/>
      <c r="U1571" s="22">
        <f>IFERROR(__xludf.DUMMYFUNCTION("IFERROR(GOOGLEFINANCE(A1571,""closeyest""),"""")"),10.89)</f>
        <v>10.89</v>
      </c>
      <c r="V1571" s="23">
        <f>IFERROR(__xludf.DUMMYFUNCTION("IFERROR(GOOGLEFINANCE(A1571,""changepct""),"""")"),0.0)</f>
        <v>0</v>
      </c>
      <c r="W1571" s="22">
        <f>IFERROR(__xludf.DUMMYFUNCTION("IFERROR(GOOGLEFINANCE(A1571,""priceopen""),"""")"),10.89)</f>
        <v>10.89</v>
      </c>
      <c r="X1571" s="22" t="str">
        <f>IFERROR(__xludf.DUMMYFUNCTION("IFERROR(GOOGLEFINANCE(A1571,""high""),"""")"),"")</f>
        <v/>
      </c>
      <c r="Y1571" s="22">
        <f>IFERROR(__xludf.DUMMYFUNCTION("IFERROR(GOOGLEFINANCE(A1571,""low""),"""")"),10.85)</f>
        <v>10.85</v>
      </c>
      <c r="Z1571" s="22">
        <f>IFERROR(__xludf.DUMMYFUNCTION("IFERROR(GOOGLEFINANCE(A1571,""volume""),"""")"),6200.0)</f>
        <v>6200</v>
      </c>
      <c r="AA1571" s="24" t="str">
        <f>VLOOKUP(A1571,Metrik!$C$2:$Y$959,5,0)</f>
        <v>Containers &amp; Packaging</v>
      </c>
      <c r="AB1571" s="24" t="str">
        <f>VLOOKUP(A1571,Metrik!$C$2:$Y$959,3,0)</f>
        <v>Basic Materials</v>
      </c>
    </row>
    <row r="1572">
      <c r="A1572" s="14" t="s">
        <v>854</v>
      </c>
      <c r="B1572" s="14" t="str">
        <f t="array" ref="B1572">VLOOKUP(A1572,{Metrik!$C$2:$C$998,Metrik!$B$2:$B$998},2,0)</f>
        <v>Salim Ivomas Pratama Tbk</v>
      </c>
      <c r="C1572" s="15">
        <f>IFERROR(__xludf.DUMMYFUNCTION("GOOGLEFINANCE(""IDX:""&amp;A1572,""price"")"),535.0)</f>
        <v>535</v>
      </c>
      <c r="D1572" s="16" t="str">
        <f>IFERROR(__xludf.DUMMYFUNCTION("IF(A1572="""","""",
SPARKLINE(
INDEX(
GOOGLEFINANCE(""IDX:""&amp;A1572,""close"",TODAY()-365,TODAY()),
,2
),
{""linewidth"",1}
))
"),"#N/A")</f>
        <v>#N/A</v>
      </c>
      <c r="E1572" s="14" t="s">
        <v>55</v>
      </c>
      <c r="F1572" s="25">
        <v>46356.0</v>
      </c>
      <c r="G1572" s="24">
        <f t="shared" si="9"/>
        <v>1</v>
      </c>
      <c r="H1572" s="19">
        <f>VLOOKUP(A1572,Metrik!$C$2:$Y$959,8,0)</f>
        <v>4.2</v>
      </c>
      <c r="I1572" s="20">
        <f>VLOOKUP(A1572,Metrik!$C$2:$Y$959,9,0)</f>
        <v>0.32</v>
      </c>
      <c r="J1572" s="20">
        <f>VLOOKUP(A1572,Metrik!$C$2:$Y$959,10,0)</f>
        <v>7.6</v>
      </c>
      <c r="K1572" s="20">
        <f>VLOOKUP(A1572,Metrik!$C$2:$Y$959,11,0)</f>
        <v>4.9</v>
      </c>
      <c r="L1572" s="20">
        <f>VLOOKUP(A1572,Metrik!$C$2:$Y$959,12,0)</f>
        <v>0.54</v>
      </c>
      <c r="M1572" s="20">
        <f>VLOOKUP(A1572,Metrik!$C$2:$Y$959,19,0)</f>
        <v>42.2</v>
      </c>
      <c r="N1572" s="21"/>
      <c r="O1572" s="21"/>
      <c r="P1572" s="21"/>
      <c r="Q1572" s="21"/>
      <c r="R1572" s="21"/>
      <c r="S1572" s="21"/>
      <c r="T1572" s="21"/>
      <c r="U1572" s="22">
        <f>IFERROR(__xludf.DUMMYFUNCTION("IFERROR(GOOGLEFINANCE(A1572,""closeyest""),"""")"),510.0)</f>
        <v>510</v>
      </c>
      <c r="V1572" s="23">
        <f>IFERROR(__xludf.DUMMYFUNCTION("IFERROR(GOOGLEFINANCE(A1572,""changepct""),"""")"),4.9)</f>
        <v>4.9</v>
      </c>
      <c r="W1572" s="22">
        <f>IFERROR(__xludf.DUMMYFUNCTION("IFERROR(GOOGLEFINANCE(A1572,""priceopen""),"""")"),510.0)</f>
        <v>510</v>
      </c>
      <c r="X1572" s="22">
        <f>IFERROR(__xludf.DUMMYFUNCTION("IFERROR(GOOGLEFINANCE(A1572,""high""),"""")"),545.0)</f>
        <v>545</v>
      </c>
      <c r="Y1572" s="22">
        <f>IFERROR(__xludf.DUMMYFUNCTION("IFERROR(GOOGLEFINANCE(A1572,""low""),"""")"),510.0)</f>
        <v>510</v>
      </c>
      <c r="Z1572" s="22">
        <f>IFERROR(__xludf.DUMMYFUNCTION("IFERROR(GOOGLEFINANCE(A1572,""volume""),"""")"),1.53656E7)</f>
        <v>15365600</v>
      </c>
      <c r="AA1572" s="24" t="str">
        <f>VLOOKUP(A1572,Metrik!$C$2:$Y$959,5,0)</f>
        <v>Agricultural Products</v>
      </c>
      <c r="AB1572" s="24" t="str">
        <f>VLOOKUP(A1572,Metrik!$C$2:$Y$959,3,0)</f>
        <v>Consumer Non-Cyclicals</v>
      </c>
    </row>
    <row r="1573">
      <c r="A1573" s="14" t="s">
        <v>855</v>
      </c>
      <c r="B1573" s="14" t="str">
        <f t="array" ref="B1573">VLOOKUP(A1573,{Metrik!$C$2:$C$998,Metrik!$B$2:$B$998},2,0)</f>
        <v>Singaraja Putra Tbk.</v>
      </c>
      <c r="C1573" s="15">
        <f>IFERROR(__xludf.DUMMYFUNCTION("GOOGLEFINANCE(""IDX:""&amp;A1573,""price"")"),9725.0)</f>
        <v>9725</v>
      </c>
      <c r="D1573" s="16" t="str">
        <f>IFERROR(__xludf.DUMMYFUNCTION("IF(A1573="""","""",
SPARKLINE(
INDEX(
GOOGLEFINANCE(""IDX:""&amp;A1573,""close"",TODAY()-365,TODAY()),
,2
),
{""linewidth"",1}
))
"),"#N/A")</f>
        <v>#N/A</v>
      </c>
      <c r="E1573" s="26"/>
      <c r="F1573" s="26"/>
      <c r="G1573" s="24">
        <f t="shared" si="9"/>
        <v>0</v>
      </c>
      <c r="H1573" s="19">
        <f>VLOOKUP(A1573,Metrik!$C$2:$Y$959,8,0)</f>
        <v>-78.9</v>
      </c>
      <c r="I1573" s="20">
        <f>VLOOKUP(A1573,Metrik!$C$2:$Y$959,9,0)</f>
        <v>-8.8</v>
      </c>
      <c r="J1573" s="20" t="str">
        <f>VLOOKUP(A1573,Metrik!$C$2:$Y$959,10,0)</f>
        <v/>
      </c>
      <c r="K1573" s="20">
        <f>VLOOKUP(A1573,Metrik!$C$2:$Y$959,11,0)</f>
        <v>-2.8</v>
      </c>
      <c r="L1573" s="20">
        <f>VLOOKUP(A1573,Metrik!$C$2:$Y$959,12,0)</f>
        <v>-3.4</v>
      </c>
      <c r="M1573" s="20">
        <f>VLOOKUP(A1573,Metrik!$C$2:$Y$959,19,0)</f>
        <v>-14.1</v>
      </c>
      <c r="N1573" s="21"/>
      <c r="O1573" s="21"/>
      <c r="P1573" s="21"/>
      <c r="Q1573" s="21"/>
      <c r="R1573" s="21"/>
      <c r="S1573" s="21"/>
      <c r="T1573" s="21"/>
      <c r="U1573" s="22">
        <f>IFERROR(__xludf.DUMMYFUNCTION("IFERROR(GOOGLEFINANCE(A1573,""closeyest""),"""")"),9000.0)</f>
        <v>9000</v>
      </c>
      <c r="V1573" s="23">
        <f>IFERROR(__xludf.DUMMYFUNCTION("IFERROR(GOOGLEFINANCE(A1573,""changepct""),"""")"),8.06)</f>
        <v>8.06</v>
      </c>
      <c r="W1573" s="22">
        <f>IFERROR(__xludf.DUMMYFUNCTION("IFERROR(GOOGLEFINANCE(A1573,""priceopen""),"""")"),9250.0)</f>
        <v>9250</v>
      </c>
      <c r="X1573" s="22">
        <f>IFERROR(__xludf.DUMMYFUNCTION("IFERROR(GOOGLEFINANCE(A1573,""high""),"""")"),9900.0)</f>
        <v>9900</v>
      </c>
      <c r="Y1573" s="22">
        <f>IFERROR(__xludf.DUMMYFUNCTION("IFERROR(GOOGLEFINANCE(A1573,""low""),"""")"),9250.0)</f>
        <v>9250</v>
      </c>
      <c r="Z1573" s="22">
        <f>IFERROR(__xludf.DUMMYFUNCTION("IFERROR(GOOGLEFINANCE(A1573,""volume""),"""")"),521200.0)</f>
        <v>521200</v>
      </c>
      <c r="AA1573" s="24" t="str">
        <f>VLOOKUP(A1573,Metrik!$C$2:$Y$959,5,0)</f>
        <v>Building Products &amp; Fixtures</v>
      </c>
      <c r="AB1573" s="24" t="str">
        <f>VLOOKUP(A1573,Metrik!$C$2:$Y$959,3,0)</f>
        <v>Industrials</v>
      </c>
    </row>
    <row r="1574">
      <c r="A1574" s="14" t="s">
        <v>856</v>
      </c>
      <c r="B1574" s="14" t="str">
        <f t="array" ref="B1574">VLOOKUP(A1574,{Metrik!$C$2:$C$998,Metrik!$B$2:$B$998},2,0)</f>
        <v>Sreeya Sewu Indonesia Tbk.</v>
      </c>
      <c r="C1574" s="15">
        <f>IFERROR(__xludf.DUMMYFUNCTION("GOOGLEFINANCE(""IDX:""&amp;A1574,""price"")"),725.0)</f>
        <v>725</v>
      </c>
      <c r="D1574" s="16" t="str">
        <f>IFERROR(__xludf.DUMMYFUNCTION("IF(A1574="""","""",
SPARKLINE(
INDEX(
GOOGLEFINANCE(""IDX:""&amp;A1574,""close"",TODAY()-365,TODAY()),
,2
),
{""linewidth"",1}
))
"),"#N/A")</f>
        <v>#N/A</v>
      </c>
      <c r="E1574" s="26"/>
      <c r="F1574" s="26"/>
      <c r="G1574" s="24">
        <f t="shared" si="9"/>
        <v>0</v>
      </c>
      <c r="H1574" s="19">
        <f>VLOOKUP(A1574,Metrik!$C$2:$Y$959,8,0)</f>
        <v>44.9</v>
      </c>
      <c r="I1574" s="20">
        <f>VLOOKUP(A1574,Metrik!$C$2:$Y$959,9,0)</f>
        <v>1.2</v>
      </c>
      <c r="J1574" s="20">
        <f>VLOOKUP(A1574,Metrik!$C$2:$Y$959,10,0)</f>
        <v>2.8</v>
      </c>
      <c r="K1574" s="20">
        <f>VLOOKUP(A1574,Metrik!$C$2:$Y$959,11,0)</f>
        <v>1.1</v>
      </c>
      <c r="L1574" s="20">
        <f>VLOOKUP(A1574,Metrik!$C$2:$Y$959,12,0)</f>
        <v>1.4</v>
      </c>
      <c r="M1574" s="20">
        <f>VLOOKUP(A1574,Metrik!$C$2:$Y$959,19,0)</f>
        <v>2.4</v>
      </c>
      <c r="N1574" s="21"/>
      <c r="O1574" s="21"/>
      <c r="P1574" s="21"/>
      <c r="Q1574" s="21"/>
      <c r="R1574" s="21"/>
      <c r="S1574" s="21"/>
      <c r="T1574" s="21"/>
      <c r="U1574" s="22">
        <f>IFERROR(__xludf.DUMMYFUNCTION("IFERROR(GOOGLEFINANCE(A1574,""closeyest""),"""")"),710.0)</f>
        <v>710</v>
      </c>
      <c r="V1574" s="23">
        <f>IFERROR(__xludf.DUMMYFUNCTION("IFERROR(GOOGLEFINANCE(A1574,""changepct""),"""")"),2.11)</f>
        <v>2.11</v>
      </c>
      <c r="W1574" s="22">
        <f>IFERROR(__xludf.DUMMYFUNCTION("IFERROR(GOOGLEFINANCE(A1574,""priceopen""),"""")"),710.0)</f>
        <v>710</v>
      </c>
      <c r="X1574" s="22">
        <f>IFERROR(__xludf.DUMMYFUNCTION("IFERROR(GOOGLEFINANCE(A1574,""high""),"""")"),730.0)</f>
        <v>730</v>
      </c>
      <c r="Y1574" s="22">
        <f>IFERROR(__xludf.DUMMYFUNCTION("IFERROR(GOOGLEFINANCE(A1574,""low""),"""")"),670.0)</f>
        <v>670</v>
      </c>
      <c r="Z1574" s="22" t="str">
        <f>IFERROR(__xludf.DUMMYFUNCTION("IFERROR(GOOGLEFINANCE(A1574,""volume""),"""")"),"")</f>
        <v/>
      </c>
      <c r="AA1574" s="24" t="str">
        <f>VLOOKUP(A1574,Metrik!$C$2:$Y$959,5,0)</f>
        <v>Agricultural Products</v>
      </c>
      <c r="AB1574" s="24" t="str">
        <f>VLOOKUP(A1574,Metrik!$C$2:$Y$959,3,0)</f>
        <v>Consumer Non-Cyclicals</v>
      </c>
    </row>
    <row r="1575">
      <c r="A1575" s="14" t="s">
        <v>857</v>
      </c>
      <c r="B1575" s="14" t="str">
        <f t="array" ref="B1575">VLOOKUP(A1575,{Metrik!$C$2:$C$998,Metrik!$B$2:$B$998},2,0)</f>
        <v>Sekar Bumi Tbk.</v>
      </c>
      <c r="C1575" s="15">
        <f>IFERROR(__xludf.DUMMYFUNCTION("GOOGLEFINANCE(""IDX:""&amp;A1575,""price"")"),530.0)</f>
        <v>530</v>
      </c>
      <c r="D1575" s="16" t="str">
        <f>IFERROR(__xludf.DUMMYFUNCTION("IF(A1575="""","""",
SPARKLINE(
INDEX(
GOOGLEFINANCE(""IDX:""&amp;A1575,""close"",TODAY()-365,TODAY()),
,2
),
{""linewidth"",1}
))
"),"#N/A")</f>
        <v>#N/A</v>
      </c>
      <c r="E1575" s="26"/>
      <c r="F1575" s="26"/>
      <c r="G1575" s="24">
        <f t="shared" si="9"/>
        <v>0</v>
      </c>
      <c r="H1575" s="19">
        <f>VLOOKUP(A1575,Metrik!$C$2:$Y$959,8,0)</f>
        <v>7.7</v>
      </c>
      <c r="I1575" s="20">
        <f>VLOOKUP(A1575,Metrik!$C$2:$Y$959,9,0)</f>
        <v>0.8</v>
      </c>
      <c r="J1575" s="20">
        <f>VLOOKUP(A1575,Metrik!$C$2:$Y$959,10,0)</f>
        <v>10.5</v>
      </c>
      <c r="K1575" s="20">
        <f>VLOOKUP(A1575,Metrik!$C$2:$Y$959,11,0)</f>
        <v>5.4</v>
      </c>
      <c r="L1575" s="20">
        <f>VLOOKUP(A1575,Metrik!$C$2:$Y$959,12,0)</f>
        <v>0.95</v>
      </c>
      <c r="M1575" s="20">
        <f>VLOOKUP(A1575,Metrik!$C$2:$Y$959,19,0)</f>
        <v>11.6</v>
      </c>
      <c r="N1575" s="21"/>
      <c r="O1575" s="21"/>
      <c r="P1575" s="21"/>
      <c r="Q1575" s="21"/>
      <c r="R1575" s="21"/>
      <c r="S1575" s="21"/>
      <c r="T1575" s="21"/>
      <c r="U1575" s="22">
        <f>IFERROR(__xludf.DUMMYFUNCTION("IFERROR(GOOGLEFINANCE(A1575,""closeyest""),"""")"),530.0)</f>
        <v>530</v>
      </c>
      <c r="V1575" s="23">
        <f>IFERROR(__xludf.DUMMYFUNCTION("IFERROR(GOOGLEFINANCE(A1575,""changepct""),"""")"),0.0)</f>
        <v>0</v>
      </c>
      <c r="W1575" s="22" t="str">
        <f>IFERROR(__xludf.DUMMYFUNCTION("IFERROR(GOOGLEFINANCE(A1575,""priceopen""),"""")"),"")</f>
        <v/>
      </c>
      <c r="X1575" s="22">
        <f>IFERROR(__xludf.DUMMYFUNCTION("IFERROR(GOOGLEFINANCE(A1575,""high""),"""")"),545.0)</f>
        <v>545</v>
      </c>
      <c r="Y1575" s="22">
        <f>IFERROR(__xludf.DUMMYFUNCTION("IFERROR(GOOGLEFINANCE(A1575,""low""),"""")"),520.0)</f>
        <v>520</v>
      </c>
      <c r="Z1575" s="22">
        <f>IFERROR(__xludf.DUMMYFUNCTION("IFERROR(GOOGLEFINANCE(A1575,""volume""),"""")"),176500.0)</f>
        <v>176500</v>
      </c>
      <c r="AA1575" s="24" t="str">
        <f>VLOOKUP(A1575,Metrik!$C$2:$Y$959,5,0)</f>
        <v>Processed Foods</v>
      </c>
      <c r="AB1575" s="24" t="str">
        <f>VLOOKUP(A1575,Metrik!$C$2:$Y$959,3,0)</f>
        <v>Consumer Non-Cyclicals</v>
      </c>
    </row>
    <row r="1576">
      <c r="A1576" s="14" t="s">
        <v>858</v>
      </c>
      <c r="B1576" s="14" t="str">
        <f t="array" ref="B1576">VLOOKUP(A1576,{Metrik!$C$2:$C$998,Metrik!$B$2:$B$998},2,0)</f>
        <v>Sekar Laut Tbk.</v>
      </c>
      <c r="C1576" s="15">
        <f>IFERROR(__xludf.DUMMYFUNCTION("GOOGLEFINANCE(""IDX:""&amp;A1576,""price"")"),178.0)</f>
        <v>178</v>
      </c>
      <c r="D1576" s="16" t="str">
        <f>IFERROR(__xludf.DUMMYFUNCTION("IF(A1576="""","""",
SPARKLINE(
INDEX(
GOOGLEFINANCE(""IDX:""&amp;A1576,""close"",TODAY()-365,TODAY()),
,2
),
{""linewidth"",1}
))
"),"#N/A")</f>
        <v>#N/A</v>
      </c>
      <c r="E1576" s="26"/>
      <c r="F1576" s="26"/>
      <c r="G1576" s="24">
        <f t="shared" si="9"/>
        <v>0</v>
      </c>
      <c r="H1576" s="19">
        <f>VLOOKUP(A1576,Metrik!$C$2:$Y$959,8,0)</f>
        <v>13.3</v>
      </c>
      <c r="I1576" s="20">
        <f>VLOOKUP(A1576,Metrik!$C$2:$Y$959,9,0)</f>
        <v>1.4</v>
      </c>
      <c r="J1576" s="20">
        <f>VLOOKUP(A1576,Metrik!$C$2:$Y$959,10,0)</f>
        <v>10.3</v>
      </c>
      <c r="K1576" s="20">
        <f>VLOOKUP(A1576,Metrik!$C$2:$Y$959,11,0)</f>
        <v>5.7</v>
      </c>
      <c r="L1576" s="20">
        <f>VLOOKUP(A1576,Metrik!$C$2:$Y$959,12,0)</f>
        <v>0.8</v>
      </c>
      <c r="M1576" s="20">
        <f>VLOOKUP(A1576,Metrik!$C$2:$Y$959,19,0)</f>
        <v>14.2</v>
      </c>
      <c r="N1576" s="21"/>
      <c r="O1576" s="21"/>
      <c r="P1576" s="21"/>
      <c r="Q1576" s="21"/>
      <c r="R1576" s="21"/>
      <c r="S1576" s="21"/>
      <c r="T1576" s="21"/>
      <c r="U1576" s="22">
        <f>IFERROR(__xludf.DUMMYFUNCTION("IFERROR(GOOGLEFINANCE(A1576,""closeyest""),"""")"),177.0)</f>
        <v>177</v>
      </c>
      <c r="V1576" s="23">
        <f>IFERROR(__xludf.DUMMYFUNCTION("IFERROR(GOOGLEFINANCE(A1576,""changepct""),"""")"),0.56)</f>
        <v>0.56</v>
      </c>
      <c r="W1576" s="22">
        <f>IFERROR(__xludf.DUMMYFUNCTION("IFERROR(GOOGLEFINANCE(A1576,""priceopen""),"""")"),180.0)</f>
        <v>180</v>
      </c>
      <c r="X1576" s="22">
        <f>IFERROR(__xludf.DUMMYFUNCTION("IFERROR(GOOGLEFINANCE(A1576,""high""),"""")"),182.0)</f>
        <v>182</v>
      </c>
      <c r="Y1576" s="22">
        <f>IFERROR(__xludf.DUMMYFUNCTION("IFERROR(GOOGLEFINANCE(A1576,""low""),"""")"),176.0)</f>
        <v>176</v>
      </c>
      <c r="Z1576" s="22">
        <f>IFERROR(__xludf.DUMMYFUNCTION("IFERROR(GOOGLEFINANCE(A1576,""volume""),"""")"),29200.0)</f>
        <v>29200</v>
      </c>
      <c r="AA1576" s="24" t="str">
        <f>VLOOKUP(A1576,Metrik!$C$2:$Y$959,5,0)</f>
        <v>Processed Foods</v>
      </c>
      <c r="AB1576" s="24" t="str">
        <f>VLOOKUP(A1576,Metrik!$C$2:$Y$959,3,0)</f>
        <v>Consumer Non-Cyclicals</v>
      </c>
    </row>
    <row r="1577">
      <c r="A1577" s="14" t="s">
        <v>859</v>
      </c>
      <c r="B1577" s="14" t="str">
        <f t="array" ref="B1577">VLOOKUP(A1577,{Metrik!$C$2:$C$998,Metrik!$B$2:$B$998},2,0)</f>
        <v>Superkrane Mitra Utama Tbk.</v>
      </c>
      <c r="C1577" s="15">
        <f>IFERROR(__xludf.DUMMYFUNCTION("GOOGLEFINANCE(""IDX:""&amp;A1577,""price"")"),330.0)</f>
        <v>330</v>
      </c>
      <c r="D1577" s="16" t="str">
        <f>IFERROR(__xludf.DUMMYFUNCTION("IF(A1577="""","""",
SPARKLINE(
INDEX(
GOOGLEFINANCE(""IDX:""&amp;A1577,""close"",TODAY()-365,TODAY()),
,2
),
{""linewidth"",1}
))
"),"#N/A")</f>
        <v>#N/A</v>
      </c>
      <c r="E1577" s="26"/>
      <c r="F1577" s="26"/>
      <c r="G1577" s="24">
        <f t="shared" si="9"/>
        <v>0</v>
      </c>
      <c r="H1577" s="19">
        <f>VLOOKUP(A1577,Metrik!$C$2:$Y$959,8,0)</f>
        <v>17.3</v>
      </c>
      <c r="I1577" s="20">
        <f>VLOOKUP(A1577,Metrik!$C$2:$Y$959,9,0)</f>
        <v>4.5</v>
      </c>
      <c r="J1577" s="20">
        <f>VLOOKUP(A1577,Metrik!$C$2:$Y$959,10,0)</f>
        <v>26.1</v>
      </c>
      <c r="K1577" s="20">
        <f>VLOOKUP(A1577,Metrik!$C$2:$Y$959,11,0)</f>
        <v>12.2</v>
      </c>
      <c r="L1577" s="20">
        <f>VLOOKUP(A1577,Metrik!$C$2:$Y$959,12,0)</f>
        <v>1.1</v>
      </c>
      <c r="M1577" s="20">
        <f>VLOOKUP(A1577,Metrik!$C$2:$Y$959,19,0)</f>
        <v>81.5</v>
      </c>
      <c r="N1577" s="21"/>
      <c r="O1577" s="21"/>
      <c r="P1577" s="21"/>
      <c r="Q1577" s="21"/>
      <c r="R1577" s="21"/>
      <c r="S1577" s="21"/>
      <c r="T1577" s="21"/>
      <c r="U1577" s="22">
        <f>IFERROR(__xludf.DUMMYFUNCTION("IFERROR(GOOGLEFINANCE(A1577,""closeyest""),"""")"),326.0)</f>
        <v>326</v>
      </c>
      <c r="V1577" s="23">
        <f>IFERROR(__xludf.DUMMYFUNCTION("IFERROR(GOOGLEFINANCE(A1577,""changepct""),"""")"),1.23)</f>
        <v>1.23</v>
      </c>
      <c r="W1577" s="22">
        <f>IFERROR(__xludf.DUMMYFUNCTION("IFERROR(GOOGLEFINANCE(A1577,""priceopen""),"""")"),320.0)</f>
        <v>320</v>
      </c>
      <c r="X1577" s="22">
        <f>IFERROR(__xludf.DUMMYFUNCTION("IFERROR(GOOGLEFINANCE(A1577,""high""),"""")"),350.0)</f>
        <v>350</v>
      </c>
      <c r="Y1577" s="22">
        <f>IFERROR(__xludf.DUMMYFUNCTION("IFERROR(GOOGLEFINANCE(A1577,""low""),"""")"),320.0)</f>
        <v>320</v>
      </c>
      <c r="Z1577" s="22">
        <f>IFERROR(__xludf.DUMMYFUNCTION("IFERROR(GOOGLEFINANCE(A1577,""volume""),"""")"),187900.0)</f>
        <v>187900</v>
      </c>
      <c r="AA1577" s="24" t="str">
        <f>VLOOKUP(A1577,Metrik!$C$2:$Y$959,5,0)</f>
        <v>Machinery</v>
      </c>
      <c r="AB1577" s="24" t="str">
        <f>VLOOKUP(A1577,Metrik!$C$2:$Y$959,3,0)</f>
        <v>Industrials</v>
      </c>
    </row>
    <row r="1578">
      <c r="A1578" s="14" t="s">
        <v>860</v>
      </c>
      <c r="B1578" s="14" t="str">
        <f t="array" ref="B1578">VLOOKUP(A1578,{Metrik!$C$2:$C$998,Metrik!$B$2:$B$998},2,0)</f>
        <v>PT Northcliff Citranusa Indonesia Tbk.</v>
      </c>
      <c r="C1578" s="15">
        <f>IFERROR(__xludf.DUMMYFUNCTION("GOOGLEFINANCE(""IDX:""&amp;A1578,""price"")"),51.0)</f>
        <v>51</v>
      </c>
      <c r="D1578" s="16" t="str">
        <f>IFERROR(__xludf.DUMMYFUNCTION("IF(A1578="""","""",
SPARKLINE(
INDEX(
GOOGLEFINANCE(""IDX:""&amp;A1578,""close"",TODAY()-365,TODAY()),
,2
),
{""linewidth"",1}
))
"),"#N/A")</f>
        <v>#N/A</v>
      </c>
      <c r="E1578" s="26"/>
      <c r="F1578" s="26"/>
      <c r="G1578" s="24">
        <f t="shared" si="9"/>
        <v>0</v>
      </c>
      <c r="H1578" s="19">
        <f>VLOOKUP(A1578,Metrik!$C$2:$Y$959,8,0)</f>
        <v>0</v>
      </c>
      <c r="I1578" s="20">
        <f>VLOOKUP(A1578,Metrik!$C$2:$Y$959,9,0)</f>
        <v>0.99</v>
      </c>
      <c r="J1578" s="20">
        <f>VLOOKUP(A1578,Metrik!$C$2:$Y$959,10,0)</f>
        <v>-2.8</v>
      </c>
      <c r="K1578" s="20">
        <f>VLOOKUP(A1578,Metrik!$C$2:$Y$959,11,0)</f>
        <v>-2.2</v>
      </c>
      <c r="L1578" s="20">
        <f>VLOOKUP(A1578,Metrik!$C$2:$Y$959,12,0)</f>
        <v>0.26</v>
      </c>
      <c r="M1578" s="20">
        <f>VLOOKUP(A1578,Metrik!$C$2:$Y$959,19,0)</f>
        <v>-23.4</v>
      </c>
      <c r="N1578" s="21"/>
      <c r="O1578" s="21"/>
      <c r="P1578" s="21"/>
      <c r="Q1578" s="21"/>
      <c r="R1578" s="21"/>
      <c r="S1578" s="21"/>
      <c r="T1578" s="21"/>
      <c r="U1578" s="22">
        <f>IFERROR(__xludf.DUMMYFUNCTION("IFERROR(GOOGLEFINANCE(A1578,""closeyest""),"""")"),51.0)</f>
        <v>51</v>
      </c>
      <c r="V1578" s="23">
        <f>IFERROR(__xludf.DUMMYFUNCTION("IFERROR(GOOGLEFINANCE(A1578,""changepct""),"""")"),0.0)</f>
        <v>0</v>
      </c>
      <c r="W1578" s="22" t="str">
        <f>IFERROR(__xludf.DUMMYFUNCTION("IFERROR(GOOGLEFINANCE(A1578,""priceopen""),"""")"),"")</f>
        <v/>
      </c>
      <c r="X1578" s="22" t="str">
        <f>IFERROR(__xludf.DUMMYFUNCTION("IFERROR(GOOGLEFINANCE(A1578,""high""),"""")"),"")</f>
        <v/>
      </c>
      <c r="Y1578" s="22" t="str">
        <f>IFERROR(__xludf.DUMMYFUNCTION("IFERROR(GOOGLEFINANCE(A1578,""low""),"""")"),"")</f>
        <v/>
      </c>
      <c r="Z1578" s="22">
        <f>IFERROR(__xludf.DUMMYFUNCTION("IFERROR(GOOGLEFINANCE(A1578,""volume""),"""")"),0.0)</f>
        <v>0</v>
      </c>
      <c r="AA1578" s="24" t="str">
        <f>VLOOKUP(A1578,Metrik!$C$2:$Y$959,5,0)</f>
        <v>Software</v>
      </c>
      <c r="AB1578" s="24" t="str">
        <f>VLOOKUP(A1578,Metrik!$C$2:$Y$959,3,0)</f>
        <v>Technology</v>
      </c>
    </row>
    <row r="1579">
      <c r="A1579" s="14" t="s">
        <v>861</v>
      </c>
      <c r="B1579" s="14" t="str">
        <f t="array" ref="B1579">VLOOKUP(A1579,{Metrik!$C$2:$C$998,Metrik!$B$2:$B$998},2,0)</f>
        <v>Gaya Abadi Sempurna Tbk.</v>
      </c>
      <c r="C1579" s="15">
        <f>IFERROR(__xludf.DUMMYFUNCTION("GOOGLEFINANCE(""IDX:""&amp;A1579,""price"")"),59.0)</f>
        <v>59</v>
      </c>
      <c r="D1579" s="16" t="str">
        <f>IFERROR(__xludf.DUMMYFUNCTION("IF(A1579="""","""",
SPARKLINE(
INDEX(
GOOGLEFINANCE(""IDX:""&amp;A1579,""close"",TODAY()-365,TODAY()),
,2
),
{""linewidth"",1}
))
"),"#N/A")</f>
        <v>#N/A</v>
      </c>
      <c r="E1579" s="26"/>
      <c r="F1579" s="26"/>
      <c r="G1579" s="24">
        <f t="shared" si="9"/>
        <v>0</v>
      </c>
      <c r="H1579" s="19">
        <f>VLOOKUP(A1579,Metrik!$C$2:$Y$959,8,0)</f>
        <v>-6.6</v>
      </c>
      <c r="I1579" s="20">
        <f>VLOOKUP(A1579,Metrik!$C$2:$Y$959,9,0)</f>
        <v>0.57</v>
      </c>
      <c r="J1579" s="20">
        <f>VLOOKUP(A1579,Metrik!$C$2:$Y$959,10,0)</f>
        <v>-8.7</v>
      </c>
      <c r="K1579" s="20">
        <f>VLOOKUP(A1579,Metrik!$C$2:$Y$959,11,0)</f>
        <v>-6.8</v>
      </c>
      <c r="L1579" s="20">
        <f>VLOOKUP(A1579,Metrik!$C$2:$Y$959,12,0)</f>
        <v>0.29</v>
      </c>
      <c r="M1579" s="20">
        <f>VLOOKUP(A1579,Metrik!$C$2:$Y$959,19,0)</f>
        <v>-57.9</v>
      </c>
      <c r="N1579" s="21"/>
      <c r="O1579" s="21"/>
      <c r="P1579" s="21"/>
      <c r="Q1579" s="21"/>
      <c r="R1579" s="21"/>
      <c r="S1579" s="21"/>
      <c r="T1579" s="21"/>
      <c r="U1579" s="22">
        <f>IFERROR(__xludf.DUMMYFUNCTION("IFERROR(GOOGLEFINANCE(A1579,""closeyest""),"""")"),55.0)</f>
        <v>55</v>
      </c>
      <c r="V1579" s="23">
        <f>IFERROR(__xludf.DUMMYFUNCTION("IFERROR(GOOGLEFINANCE(A1579,""changepct""),"""")"),7.27)</f>
        <v>7.27</v>
      </c>
      <c r="W1579" s="22">
        <f>IFERROR(__xludf.DUMMYFUNCTION("IFERROR(GOOGLEFINANCE(A1579,""priceopen""),"""")"),56.0)</f>
        <v>56</v>
      </c>
      <c r="X1579" s="22">
        <f>IFERROR(__xludf.DUMMYFUNCTION("IFERROR(GOOGLEFINANCE(A1579,""high""),"""")"),60.0)</f>
        <v>60</v>
      </c>
      <c r="Y1579" s="22">
        <f>IFERROR(__xludf.DUMMYFUNCTION("IFERROR(GOOGLEFINANCE(A1579,""low""),"""")"),55.0)</f>
        <v>55</v>
      </c>
      <c r="Z1579" s="22">
        <f>IFERROR(__xludf.DUMMYFUNCTION("IFERROR(GOOGLEFINANCE(A1579,""volume""),"""")"),1.54731E7)</f>
        <v>15473100</v>
      </c>
      <c r="AA1579" s="24" t="str">
        <f>VLOOKUP(A1579,Metrik!$C$2:$Y$959,5,0)</f>
        <v>Specialty Retail</v>
      </c>
      <c r="AB1579" s="24" t="str">
        <f>VLOOKUP(A1579,Metrik!$C$2:$Y$959,3,0)</f>
        <v>Consumer Cyclicals</v>
      </c>
    </row>
    <row r="1580">
      <c r="A1580" s="14" t="s">
        <v>862</v>
      </c>
      <c r="B1580" s="14" t="str">
        <f t="array" ref="B1580">VLOOKUP(A1580,{Metrik!$C$2:$C$998,Metrik!$B$2:$B$998},2,0)</f>
        <v>Sinar Mas Agro Resources and Technology Tbk.</v>
      </c>
      <c r="C1580" s="15">
        <f>IFERROR(__xludf.DUMMYFUNCTION("GOOGLEFINANCE(""IDX:""&amp;A1580,""price"")"),4590.0)</f>
        <v>4590</v>
      </c>
      <c r="D1580" s="16" t="str">
        <f>IFERROR(__xludf.DUMMYFUNCTION("IF(A1580="""","""",
SPARKLINE(
INDEX(
GOOGLEFINANCE(""IDX:""&amp;A1580,""close"",TODAY()-365,TODAY()),
,2
),
{""linewidth"",1}
))
"),"#N/A")</f>
        <v>#N/A</v>
      </c>
      <c r="E1580" s="26"/>
      <c r="F1580" s="26"/>
      <c r="G1580" s="24">
        <f t="shared" si="9"/>
        <v>0</v>
      </c>
      <c r="H1580" s="19">
        <f>VLOOKUP(A1580,Metrik!$C$2:$Y$959,8,0)</f>
        <v>4.3</v>
      </c>
      <c r="I1580" s="20">
        <f>VLOOKUP(A1580,Metrik!$C$2:$Y$959,9,0)</f>
        <v>0.61</v>
      </c>
      <c r="J1580" s="20">
        <f>VLOOKUP(A1580,Metrik!$C$2:$Y$959,10,0)</f>
        <v>14.1</v>
      </c>
      <c r="K1580" s="20">
        <f>VLOOKUP(A1580,Metrik!$C$2:$Y$959,11,0)</f>
        <v>7.2</v>
      </c>
      <c r="L1580" s="20">
        <f>VLOOKUP(A1580,Metrik!$C$2:$Y$959,12,0)</f>
        <v>0.97</v>
      </c>
      <c r="M1580" s="20">
        <f>VLOOKUP(A1580,Metrik!$C$2:$Y$959,19,0)</f>
        <v>15.8</v>
      </c>
      <c r="N1580" s="21"/>
      <c r="O1580" s="21"/>
      <c r="P1580" s="21"/>
      <c r="Q1580" s="21"/>
      <c r="R1580" s="21"/>
      <c r="S1580" s="21"/>
      <c r="T1580" s="21"/>
      <c r="U1580" s="22">
        <f>IFERROR(__xludf.DUMMYFUNCTION("IFERROR(GOOGLEFINANCE(A1580,""closeyest""),"""")"),4440.0)</f>
        <v>4440</v>
      </c>
      <c r="V1580" s="23">
        <f>IFERROR(__xludf.DUMMYFUNCTION("IFERROR(GOOGLEFINANCE(A1580,""changepct""),"""")"),3.38)</f>
        <v>3.38</v>
      </c>
      <c r="W1580" s="22">
        <f>IFERROR(__xludf.DUMMYFUNCTION("IFERROR(GOOGLEFINANCE(A1580,""priceopen""),"""")"),4440.0)</f>
        <v>4440</v>
      </c>
      <c r="X1580" s="22">
        <f>IFERROR(__xludf.DUMMYFUNCTION("IFERROR(GOOGLEFINANCE(A1580,""high""),"""")"),4700.0)</f>
        <v>4700</v>
      </c>
      <c r="Y1580" s="22">
        <f>IFERROR(__xludf.DUMMYFUNCTION("IFERROR(GOOGLEFINANCE(A1580,""low""),"""")"),4440.0)</f>
        <v>4440</v>
      </c>
      <c r="Z1580" s="22">
        <f>IFERROR(__xludf.DUMMYFUNCTION("IFERROR(GOOGLEFINANCE(A1580,""volume""),"""")"),58100.0)</f>
        <v>58100</v>
      </c>
      <c r="AA1580" s="24" t="str">
        <f>VLOOKUP(A1580,Metrik!$C$2:$Y$959,5,0)</f>
        <v>Agricultural Products</v>
      </c>
      <c r="AB1580" s="24" t="str">
        <f>VLOOKUP(A1580,Metrik!$C$2:$Y$959,3,0)</f>
        <v>Consumer Non-Cyclicals</v>
      </c>
    </row>
    <row r="1581">
      <c r="A1581" s="14" t="s">
        <v>863</v>
      </c>
      <c r="B1581" s="14" t="str">
        <f t="array" ref="B1581">VLOOKUP(A1581,{Metrik!$C$2:$C$998,Metrik!$B$2:$B$998},2,0)</f>
        <v>Semen Baturaja (Persero) Tbk.</v>
      </c>
      <c r="C1581" s="15">
        <f>IFERROR(__xludf.DUMMYFUNCTION("GOOGLEFINANCE(""IDX:""&amp;A1581,""price"")"),146.0)</f>
        <v>146</v>
      </c>
      <c r="D1581" s="16" t="str">
        <f>IFERROR(__xludf.DUMMYFUNCTION("IF(A1581="""","""",
SPARKLINE(
INDEX(
GOOGLEFINANCE(""IDX:""&amp;A1581,""close"",TODAY()-365,TODAY()),
,2
),
{""linewidth"",1}
))
"),"#N/A")</f>
        <v>#N/A</v>
      </c>
      <c r="E1581" s="14" t="s">
        <v>106</v>
      </c>
      <c r="F1581" s="25">
        <v>46356.0</v>
      </c>
      <c r="G1581" s="24">
        <f t="shared" si="9"/>
        <v>2</v>
      </c>
      <c r="H1581" s="19">
        <f>VLOOKUP(A1581,Metrik!$C$2:$Y$959,8,0)</f>
        <v>11.8</v>
      </c>
      <c r="I1581" s="20">
        <f>VLOOKUP(A1581,Metrik!$C$2:$Y$959,9,0)</f>
        <v>0.48</v>
      </c>
      <c r="J1581" s="20">
        <f>VLOOKUP(A1581,Metrik!$C$2:$Y$959,10,0)</f>
        <v>4.1</v>
      </c>
      <c r="K1581" s="20">
        <f>VLOOKUP(A1581,Metrik!$C$2:$Y$959,11,0)</f>
        <v>3</v>
      </c>
      <c r="L1581" s="20">
        <f>VLOOKUP(A1581,Metrik!$C$2:$Y$959,12,0)</f>
        <v>0.38</v>
      </c>
      <c r="M1581" s="20">
        <f>VLOOKUP(A1581,Metrik!$C$2:$Y$959,19,0)</f>
        <v>31.9</v>
      </c>
      <c r="N1581" s="21"/>
      <c r="O1581" s="21"/>
      <c r="P1581" s="21"/>
      <c r="Q1581" s="21"/>
      <c r="R1581" s="21"/>
      <c r="S1581" s="21"/>
      <c r="T1581" s="21"/>
      <c r="U1581" s="22">
        <f>IFERROR(__xludf.DUMMYFUNCTION("IFERROR(GOOGLEFINANCE(A1581,""closeyest""),"""")"),143.0)</f>
        <v>143</v>
      </c>
      <c r="V1581" s="23">
        <f>IFERROR(__xludf.DUMMYFUNCTION("IFERROR(GOOGLEFINANCE(A1581,""changepct""),"""")"),2.1)</f>
        <v>2.1</v>
      </c>
      <c r="W1581" s="22">
        <f>IFERROR(__xludf.DUMMYFUNCTION("IFERROR(GOOGLEFINANCE(A1581,""priceopen""),"""")"),143.0)</f>
        <v>143</v>
      </c>
      <c r="X1581" s="22">
        <f>IFERROR(__xludf.DUMMYFUNCTION("IFERROR(GOOGLEFINANCE(A1581,""high""),"""")"),148.0)</f>
        <v>148</v>
      </c>
      <c r="Y1581" s="22">
        <f>IFERROR(__xludf.DUMMYFUNCTION("IFERROR(GOOGLEFINANCE(A1581,""low""),"""")"),141.0)</f>
        <v>141</v>
      </c>
      <c r="Z1581" s="22">
        <f>IFERROR(__xludf.DUMMYFUNCTION("IFERROR(GOOGLEFINANCE(A1581,""volume""),"""")"),5707200.0)</f>
        <v>5707200</v>
      </c>
      <c r="AA1581" s="24" t="str">
        <f>VLOOKUP(A1581,Metrik!$C$2:$Y$959,5,0)</f>
        <v>Construction Materials</v>
      </c>
      <c r="AB1581" s="24" t="str">
        <f>VLOOKUP(A1581,Metrik!$C$2:$Y$959,3,0)</f>
        <v>Basic Materials</v>
      </c>
    </row>
    <row r="1582">
      <c r="A1582" s="14" t="s">
        <v>863</v>
      </c>
      <c r="B1582" s="14" t="str">
        <f t="array" ref="B1582">VLOOKUP(A1582,{Metrik!$C$2:$C$998,Metrik!$B$2:$B$998},2,0)</f>
        <v>Semen Baturaja (Persero) Tbk.</v>
      </c>
      <c r="C1582" s="15">
        <f>IFERROR(__xludf.DUMMYFUNCTION("GOOGLEFINANCE(""IDX:""&amp;A1582,""price"")"),146.0)</f>
        <v>146</v>
      </c>
      <c r="D1582" s="16" t="str">
        <f>IFERROR(__xludf.DUMMYFUNCTION("IF(A1582="""","""",
SPARKLINE(
INDEX(
GOOGLEFINANCE(""IDX:""&amp;A1582,""close"",TODAY()-365,TODAY()),
,2
),
{""linewidth"",1}
))
"),"#N/A")</f>
        <v>#N/A</v>
      </c>
      <c r="E1582" s="14" t="s">
        <v>61</v>
      </c>
      <c r="F1582" s="14" t="s">
        <v>34</v>
      </c>
      <c r="G1582" s="24">
        <f t="shared" si="9"/>
        <v>2</v>
      </c>
      <c r="H1582" s="19">
        <f>VLOOKUP(A1582,Metrik!$C$2:$Y$959,8,0)</f>
        <v>11.8</v>
      </c>
      <c r="I1582" s="20">
        <f>VLOOKUP(A1582,Metrik!$C$2:$Y$959,9,0)</f>
        <v>0.48</v>
      </c>
      <c r="J1582" s="20">
        <f>VLOOKUP(A1582,Metrik!$C$2:$Y$959,10,0)</f>
        <v>4.1</v>
      </c>
      <c r="K1582" s="20">
        <f>VLOOKUP(A1582,Metrik!$C$2:$Y$959,11,0)</f>
        <v>3</v>
      </c>
      <c r="L1582" s="20">
        <f>VLOOKUP(A1582,Metrik!$C$2:$Y$959,12,0)</f>
        <v>0.38</v>
      </c>
      <c r="M1582" s="20">
        <f>VLOOKUP(A1582,Metrik!$C$2:$Y$959,19,0)</f>
        <v>31.9</v>
      </c>
      <c r="N1582" s="21"/>
      <c r="O1582" s="21"/>
      <c r="P1582" s="21"/>
      <c r="Q1582" s="21"/>
      <c r="R1582" s="21"/>
      <c r="S1582" s="21"/>
      <c r="T1582" s="21"/>
      <c r="U1582" s="22">
        <f>IFERROR(__xludf.DUMMYFUNCTION("IFERROR(GOOGLEFINANCE(A1582,""closeyest""),"""")"),143.0)</f>
        <v>143</v>
      </c>
      <c r="V1582" s="23">
        <f>IFERROR(__xludf.DUMMYFUNCTION("IFERROR(GOOGLEFINANCE(A1582,""changepct""),"""")"),2.1)</f>
        <v>2.1</v>
      </c>
      <c r="W1582" s="22">
        <f>IFERROR(__xludf.DUMMYFUNCTION("IFERROR(GOOGLEFINANCE(A1582,""priceopen""),"""")"),143.0)</f>
        <v>143</v>
      </c>
      <c r="X1582" s="22">
        <f>IFERROR(__xludf.DUMMYFUNCTION("IFERROR(GOOGLEFINANCE(A1582,""high""),"""")"),148.0)</f>
        <v>148</v>
      </c>
      <c r="Y1582" s="22">
        <f>IFERROR(__xludf.DUMMYFUNCTION("IFERROR(GOOGLEFINANCE(A1582,""low""),"""")"),141.0)</f>
        <v>141</v>
      </c>
      <c r="Z1582" s="22">
        <f>IFERROR(__xludf.DUMMYFUNCTION("IFERROR(GOOGLEFINANCE(A1582,""volume""),"""")"),5707200.0)</f>
        <v>5707200</v>
      </c>
      <c r="AA1582" s="24" t="str">
        <f>VLOOKUP(A1582,Metrik!$C$2:$Y$959,5,0)</f>
        <v>Construction Materials</v>
      </c>
      <c r="AB1582" s="24" t="str">
        <f>VLOOKUP(A1582,Metrik!$C$2:$Y$959,3,0)</f>
        <v>Basic Materials</v>
      </c>
    </row>
    <row r="1583">
      <c r="A1583" s="14" t="s">
        <v>864</v>
      </c>
      <c r="B1583" s="14" t="str">
        <f t="array" ref="B1583">VLOOKUP(A1583,{Metrik!$C$2:$C$998,Metrik!$B$2:$B$998},2,0)</f>
        <v>Solusi Bangun Indonesia Tbk.</v>
      </c>
      <c r="C1583" s="15">
        <f>IFERROR(__xludf.DUMMYFUNCTION("GOOGLEFINANCE(""IDX:""&amp;A1583,""price"")"),775.0)</f>
        <v>775</v>
      </c>
      <c r="D1583" s="16" t="str">
        <f>IFERROR(__xludf.DUMMYFUNCTION("IF(A1583="""","""",
SPARKLINE(
INDEX(
GOOGLEFINANCE(""IDX:""&amp;A1583,""close"",TODAY()-365,TODAY()),
,2
),
{""linewidth"",1}
))
"),"#N/A")</f>
        <v>#N/A</v>
      </c>
      <c r="E1583" s="26"/>
      <c r="F1583" s="26"/>
      <c r="G1583" s="24">
        <f t="shared" si="9"/>
        <v>0</v>
      </c>
      <c r="H1583" s="19">
        <f>VLOOKUP(A1583,Metrik!$C$2:$Y$959,8,0)</f>
        <v>9.8</v>
      </c>
      <c r="I1583" s="20">
        <f>VLOOKUP(A1583,Metrik!$C$2:$Y$959,9,0)</f>
        <v>0.53</v>
      </c>
      <c r="J1583" s="20">
        <f>VLOOKUP(A1583,Metrik!$C$2:$Y$959,10,0)</f>
        <v>5.4</v>
      </c>
      <c r="K1583" s="20">
        <f>VLOOKUP(A1583,Metrik!$C$2:$Y$959,11,0)</f>
        <v>3.5</v>
      </c>
      <c r="L1583" s="20">
        <f>VLOOKUP(A1583,Metrik!$C$2:$Y$959,12,0)</f>
        <v>0.53</v>
      </c>
      <c r="M1583" s="20">
        <f>VLOOKUP(A1583,Metrik!$C$2:$Y$959,19,0)</f>
        <v>27.9</v>
      </c>
      <c r="N1583" s="21"/>
      <c r="O1583" s="21"/>
      <c r="P1583" s="21"/>
      <c r="Q1583" s="21"/>
      <c r="R1583" s="21"/>
      <c r="S1583" s="21"/>
      <c r="T1583" s="21"/>
      <c r="U1583" s="22">
        <f>IFERROR(__xludf.DUMMYFUNCTION("IFERROR(GOOGLEFINANCE(A1583,""closeyest""),"""")"),775.0)</f>
        <v>775</v>
      </c>
      <c r="V1583" s="23">
        <f>IFERROR(__xludf.DUMMYFUNCTION("IFERROR(GOOGLEFINANCE(A1583,""changepct""),"""")"),0.0)</f>
        <v>0</v>
      </c>
      <c r="W1583" s="22" t="str">
        <f>IFERROR(__xludf.DUMMYFUNCTION("IFERROR(GOOGLEFINANCE(A1583,""priceopen""),"""")"),"")</f>
        <v/>
      </c>
      <c r="X1583" s="22" t="str">
        <f>IFERROR(__xludf.DUMMYFUNCTION("IFERROR(GOOGLEFINANCE(A1583,""high""),"""")"),"")</f>
        <v/>
      </c>
      <c r="Y1583" s="22" t="str">
        <f>IFERROR(__xludf.DUMMYFUNCTION("IFERROR(GOOGLEFINANCE(A1583,""low""),"""")"),"")</f>
        <v/>
      </c>
      <c r="Z1583" s="22">
        <f>IFERROR(__xludf.DUMMYFUNCTION("IFERROR(GOOGLEFINANCE(A1583,""volume""),"""")"),0.0)</f>
        <v>0</v>
      </c>
      <c r="AA1583" s="24" t="str">
        <f>VLOOKUP(A1583,Metrik!$C$2:$Y$959,5,0)</f>
        <v>Construction Materials</v>
      </c>
      <c r="AB1583" s="24" t="str">
        <f>VLOOKUP(A1583,Metrik!$C$2:$Y$959,3,0)</f>
        <v>Basic Materials</v>
      </c>
    </row>
    <row r="1584">
      <c r="A1584" s="14" t="s">
        <v>865</v>
      </c>
      <c r="B1584" s="14" t="str">
        <f t="array" ref="B1584">VLOOKUP(A1584,{Metrik!$C$2:$C$998,Metrik!$B$2:$B$998},2,0)</f>
        <v>Suryamas Dutamakmur Tbk.</v>
      </c>
      <c r="C1584" s="15">
        <f>IFERROR(__xludf.DUMMYFUNCTION("GOOGLEFINANCE(""IDX:""&amp;A1584,""price"")"),505.0)</f>
        <v>505</v>
      </c>
      <c r="D1584" s="16" t="str">
        <f>IFERROR(__xludf.DUMMYFUNCTION("IF(A1584="""","""",
SPARKLINE(
INDEX(
GOOGLEFINANCE(""IDX:""&amp;A1584,""close"",TODAY()-365,TODAY()),
,2
),
{""linewidth"",1}
))
"),"#N/A")</f>
        <v>#N/A</v>
      </c>
      <c r="E1584" s="26"/>
      <c r="F1584" s="26"/>
      <c r="G1584" s="24">
        <f t="shared" si="9"/>
        <v>0</v>
      </c>
      <c r="H1584" s="19">
        <f>VLOOKUP(A1584,Metrik!$C$2:$Y$959,8,0)</f>
        <v>110</v>
      </c>
      <c r="I1584" s="20">
        <f>VLOOKUP(A1584,Metrik!$C$2:$Y$959,9,0)</f>
        <v>0.75</v>
      </c>
      <c r="J1584" s="20">
        <f>VLOOKUP(A1584,Metrik!$C$2:$Y$959,10,0)</f>
        <v>0.68</v>
      </c>
      <c r="K1584" s="20">
        <f>VLOOKUP(A1584,Metrik!$C$2:$Y$959,11,0)</f>
        <v>0.63</v>
      </c>
      <c r="L1584" s="20">
        <f>VLOOKUP(A1584,Metrik!$C$2:$Y$959,12,0)</f>
        <v>0.08</v>
      </c>
      <c r="M1584" s="20">
        <f>VLOOKUP(A1584,Metrik!$C$2:$Y$959,19,0)</f>
        <v>5.7</v>
      </c>
      <c r="N1584" s="21"/>
      <c r="O1584" s="21"/>
      <c r="P1584" s="21"/>
      <c r="Q1584" s="21"/>
      <c r="R1584" s="21"/>
      <c r="S1584" s="21"/>
      <c r="T1584" s="21"/>
      <c r="U1584" s="22" t="str">
        <f>IFERROR(__xludf.DUMMYFUNCTION("IFERROR(GOOGLEFINANCE(A1584,""closeyest""),"""")"),"")</f>
        <v/>
      </c>
      <c r="V1584" s="23">
        <f>IFERROR(__xludf.DUMMYFUNCTION("IFERROR(GOOGLEFINANCE(A1584,""changepct""),"""")"),4.34)</f>
        <v>4.34</v>
      </c>
      <c r="W1584" s="22">
        <f>IFERROR(__xludf.DUMMYFUNCTION("IFERROR(GOOGLEFINANCE(A1584,""priceopen""),"""")"),484.0)</f>
        <v>484</v>
      </c>
      <c r="X1584" s="22">
        <f>IFERROR(__xludf.DUMMYFUNCTION("IFERROR(GOOGLEFINANCE(A1584,""high""),"""")"),505.0)</f>
        <v>505</v>
      </c>
      <c r="Y1584" s="22">
        <f>IFERROR(__xludf.DUMMYFUNCTION("IFERROR(GOOGLEFINANCE(A1584,""low""),"""")"),480.0)</f>
        <v>480</v>
      </c>
      <c r="Z1584" s="22">
        <f>IFERROR(__xludf.DUMMYFUNCTION("IFERROR(GOOGLEFINANCE(A1584,""volume""),"""")"),35500.0)</f>
        <v>35500</v>
      </c>
      <c r="AA1584" s="24" t="str">
        <f>VLOOKUP(A1584,Metrik!$C$2:$Y$959,5,0)</f>
        <v>Real Estate Management &amp; Development</v>
      </c>
      <c r="AB1584" s="24" t="str">
        <f>VLOOKUP(A1584,Metrik!$C$2:$Y$959,3,0)</f>
        <v>Properties &amp; Real Estate</v>
      </c>
    </row>
    <row r="1585">
      <c r="A1585" s="14" t="s">
        <v>866</v>
      </c>
      <c r="B1585" s="14" t="str">
        <f t="array" ref="B1585">VLOOKUP(A1585,{Metrik!$C$2:$C$998,Metrik!$B$2:$B$998},2,0)</f>
        <v>Samudera Indonesia Tbk.</v>
      </c>
      <c r="C1585" s="15">
        <f>IFERROR(__xludf.DUMMYFUNCTION("GOOGLEFINANCE(""IDX:""&amp;A1585,""price"")"),286.0)</f>
        <v>286</v>
      </c>
      <c r="D1585" s="16" t="str">
        <f>IFERROR(__xludf.DUMMYFUNCTION("IF(A1585="""","""",
SPARKLINE(
INDEX(
GOOGLEFINANCE(""IDX:""&amp;A1585,""close"",TODAY()-365,TODAY()),
,2
),
{""linewidth"",1}
))
"),"#N/A")</f>
        <v>#N/A</v>
      </c>
      <c r="E1585" s="14" t="s">
        <v>102</v>
      </c>
      <c r="F1585" s="27" t="s">
        <v>53</v>
      </c>
      <c r="G1585" s="24">
        <f t="shared" si="9"/>
        <v>2</v>
      </c>
      <c r="H1585" s="19">
        <f>VLOOKUP(A1585,Metrik!$C$2:$Y$959,8,0)</f>
        <v>6.2</v>
      </c>
      <c r="I1585" s="20">
        <f>VLOOKUP(A1585,Metrik!$C$2:$Y$959,9,0)</f>
        <v>0.37</v>
      </c>
      <c r="J1585" s="20">
        <f>VLOOKUP(A1585,Metrik!$C$2:$Y$959,10,0)</f>
        <v>5.9</v>
      </c>
      <c r="K1585" s="20">
        <f>VLOOKUP(A1585,Metrik!$C$2:$Y$959,11,0)</f>
        <v>3.2</v>
      </c>
      <c r="L1585" s="20">
        <f>VLOOKUP(A1585,Metrik!$C$2:$Y$959,12,0)</f>
        <v>0.86</v>
      </c>
      <c r="M1585" s="20">
        <f>VLOOKUP(A1585,Metrik!$C$2:$Y$959,19,0)</f>
        <v>25.2</v>
      </c>
      <c r="N1585" s="21"/>
      <c r="O1585" s="21"/>
      <c r="P1585" s="21"/>
      <c r="Q1585" s="21"/>
      <c r="R1585" s="21"/>
      <c r="S1585" s="21"/>
      <c r="T1585" s="21"/>
      <c r="U1585" s="22">
        <f>IFERROR(__xludf.DUMMYFUNCTION("IFERROR(GOOGLEFINANCE(A1585,""closeyest""),"""")"),274.0)</f>
        <v>274</v>
      </c>
      <c r="V1585" s="23">
        <f>IFERROR(__xludf.DUMMYFUNCTION("IFERROR(GOOGLEFINANCE(A1585,""changepct""),"""")"),4.38)</f>
        <v>4.38</v>
      </c>
      <c r="W1585" s="22">
        <f>IFERROR(__xludf.DUMMYFUNCTION("IFERROR(GOOGLEFINANCE(A1585,""priceopen""),"""")"),274.0)</f>
        <v>274</v>
      </c>
      <c r="X1585" s="22">
        <f>IFERROR(__xludf.DUMMYFUNCTION("IFERROR(GOOGLEFINANCE(A1585,""high""),"""")"),290.0)</f>
        <v>290</v>
      </c>
      <c r="Y1585" s="22">
        <f>IFERROR(__xludf.DUMMYFUNCTION("IFERROR(GOOGLEFINANCE(A1585,""low""),"""")"),274.0)</f>
        <v>274</v>
      </c>
      <c r="Z1585" s="22">
        <f>IFERROR(__xludf.DUMMYFUNCTION("IFERROR(GOOGLEFINANCE(A1585,""volume""),"""")"),1.05219E7)</f>
        <v>10521900</v>
      </c>
      <c r="AA1585" s="24" t="str">
        <f>VLOOKUP(A1585,Metrik!$C$2:$Y$959,5,0)</f>
        <v>Logistics &amp; Deliveries</v>
      </c>
      <c r="AB1585" s="24" t="str">
        <f>VLOOKUP(A1585,Metrik!$C$2:$Y$959,3,0)</f>
        <v>Transportation &amp; Logistic</v>
      </c>
    </row>
    <row r="1586">
      <c r="A1586" s="14" t="s">
        <v>866</v>
      </c>
      <c r="B1586" s="14" t="str">
        <f t="array" ref="B1586">VLOOKUP(A1586,{Metrik!$C$2:$C$998,Metrik!$B$2:$B$998},2,0)</f>
        <v>Samudera Indonesia Tbk.</v>
      </c>
      <c r="C1586" s="15">
        <f>IFERROR(__xludf.DUMMYFUNCTION("GOOGLEFINANCE(""IDX:""&amp;A1586,""price"")"),286.0)</f>
        <v>286</v>
      </c>
      <c r="D1586" s="16" t="str">
        <f>IFERROR(__xludf.DUMMYFUNCTION("IF(A1586="""","""",
SPARKLINE(
INDEX(
GOOGLEFINANCE(""IDX:""&amp;A1586,""close"",TODAY()-365,TODAY()),
,2
),
{""linewidth"",1}
))
"),"#N/A")</f>
        <v>#N/A</v>
      </c>
      <c r="E1586" s="14" t="s">
        <v>161</v>
      </c>
      <c r="F1586" s="14" t="s">
        <v>76</v>
      </c>
      <c r="G1586" s="24">
        <f t="shared" si="9"/>
        <v>2</v>
      </c>
      <c r="H1586" s="19">
        <f>VLOOKUP(A1586,Metrik!$C$2:$Y$959,8,0)</f>
        <v>6.2</v>
      </c>
      <c r="I1586" s="20">
        <f>VLOOKUP(A1586,Metrik!$C$2:$Y$959,9,0)</f>
        <v>0.37</v>
      </c>
      <c r="J1586" s="20">
        <f>VLOOKUP(A1586,Metrik!$C$2:$Y$959,10,0)</f>
        <v>5.9</v>
      </c>
      <c r="K1586" s="20">
        <f>VLOOKUP(A1586,Metrik!$C$2:$Y$959,11,0)</f>
        <v>3.2</v>
      </c>
      <c r="L1586" s="20">
        <f>VLOOKUP(A1586,Metrik!$C$2:$Y$959,12,0)</f>
        <v>0.86</v>
      </c>
      <c r="M1586" s="20">
        <f>VLOOKUP(A1586,Metrik!$C$2:$Y$959,19,0)</f>
        <v>25.2</v>
      </c>
      <c r="N1586" s="21"/>
      <c r="O1586" s="21"/>
      <c r="P1586" s="21"/>
      <c r="Q1586" s="21"/>
      <c r="R1586" s="21"/>
      <c r="S1586" s="21"/>
      <c r="T1586" s="21"/>
      <c r="U1586" s="22">
        <f>IFERROR(__xludf.DUMMYFUNCTION("IFERROR(GOOGLEFINANCE(A1586,""closeyest""),"""")"),274.0)</f>
        <v>274</v>
      </c>
      <c r="V1586" s="23">
        <f>IFERROR(__xludf.DUMMYFUNCTION("IFERROR(GOOGLEFINANCE(A1586,""changepct""),"""")"),4.38)</f>
        <v>4.38</v>
      </c>
      <c r="W1586" s="22">
        <f>IFERROR(__xludf.DUMMYFUNCTION("IFERROR(GOOGLEFINANCE(A1586,""priceopen""),"""")"),274.0)</f>
        <v>274</v>
      </c>
      <c r="X1586" s="22">
        <f>IFERROR(__xludf.DUMMYFUNCTION("IFERROR(GOOGLEFINANCE(A1586,""high""),"""")"),290.0)</f>
        <v>290</v>
      </c>
      <c r="Y1586" s="22">
        <f>IFERROR(__xludf.DUMMYFUNCTION("IFERROR(GOOGLEFINANCE(A1586,""low""),"""")"),274.0)</f>
        <v>274</v>
      </c>
      <c r="Z1586" s="22">
        <f>IFERROR(__xludf.DUMMYFUNCTION("IFERROR(GOOGLEFINANCE(A1586,""volume""),"""")"),1.05219E7)</f>
        <v>10521900</v>
      </c>
      <c r="AA1586" s="24" t="str">
        <f>VLOOKUP(A1586,Metrik!$C$2:$Y$959,5,0)</f>
        <v>Logistics &amp; Deliveries</v>
      </c>
      <c r="AB1586" s="24" t="str">
        <f>VLOOKUP(A1586,Metrik!$C$2:$Y$959,3,0)</f>
        <v>Transportation &amp; Logistic</v>
      </c>
    </row>
    <row r="1587">
      <c r="A1587" s="14" t="s">
        <v>867</v>
      </c>
      <c r="B1587" s="14" t="str">
        <f t="array" ref="B1587">VLOOKUP(A1587,{Metrik!$C$2:$C$998,Metrik!$B$2:$B$998},2,0)</f>
        <v>Sumber Mineral Global Abadi Tbk.</v>
      </c>
      <c r="C1587" s="15">
        <f>IFERROR(__xludf.DUMMYFUNCTION("GOOGLEFINANCE(""IDX:""&amp;A1587,""price"")"),67.0)</f>
        <v>67</v>
      </c>
      <c r="D1587" s="16" t="str">
        <f>IFERROR(__xludf.DUMMYFUNCTION("IF(A1587="""","""",
SPARKLINE(
INDEX(
GOOGLEFINANCE(""IDX:""&amp;A1587,""close"",TODAY()-365,TODAY()),
,2
),
{""linewidth"",1}
))
"),"#N/A")</f>
        <v>#N/A</v>
      </c>
      <c r="E1587" s="26"/>
      <c r="F1587" s="26"/>
      <c r="G1587" s="24">
        <f t="shared" si="9"/>
        <v>0</v>
      </c>
      <c r="H1587" s="19">
        <f>VLOOKUP(A1587,Metrik!$C$2:$Y$959,8,0)</f>
        <v>11.7</v>
      </c>
      <c r="I1587" s="20">
        <f>VLOOKUP(A1587,Metrik!$C$2:$Y$959,9,0)</f>
        <v>1.5</v>
      </c>
      <c r="J1587" s="20">
        <f>VLOOKUP(A1587,Metrik!$C$2:$Y$959,10,0)</f>
        <v>13.1</v>
      </c>
      <c r="K1587" s="20">
        <f>VLOOKUP(A1587,Metrik!$C$2:$Y$959,11,0)</f>
        <v>4.4</v>
      </c>
      <c r="L1587" s="20">
        <f>VLOOKUP(A1587,Metrik!$C$2:$Y$959,12,0)</f>
        <v>2</v>
      </c>
      <c r="M1587" s="20">
        <f>VLOOKUP(A1587,Metrik!$C$2:$Y$959,19,0)</f>
        <v>7.6</v>
      </c>
      <c r="N1587" s="21"/>
      <c r="O1587" s="21"/>
      <c r="P1587" s="21"/>
      <c r="Q1587" s="21"/>
      <c r="R1587" s="21"/>
      <c r="S1587" s="21"/>
      <c r="T1587" s="21"/>
      <c r="U1587" s="22">
        <f>IFERROR(__xludf.DUMMYFUNCTION("IFERROR(GOOGLEFINANCE(A1587,""closeyest""),"""")"),60.0)</f>
        <v>60</v>
      </c>
      <c r="V1587" s="23">
        <f>IFERROR(__xludf.DUMMYFUNCTION("IFERROR(GOOGLEFINANCE(A1587,""changepct""),"""")"),11.67)</f>
        <v>11.67</v>
      </c>
      <c r="W1587" s="22">
        <f>IFERROR(__xludf.DUMMYFUNCTION("IFERROR(GOOGLEFINANCE(A1587,""priceopen""),"""")"),61.0)</f>
        <v>61</v>
      </c>
      <c r="X1587" s="22">
        <f>IFERROR(__xludf.DUMMYFUNCTION("IFERROR(GOOGLEFINANCE(A1587,""high""),"""")"),73.0)</f>
        <v>73</v>
      </c>
      <c r="Y1587" s="22">
        <f>IFERROR(__xludf.DUMMYFUNCTION("IFERROR(GOOGLEFINANCE(A1587,""low""),"""")"),61.0)</f>
        <v>61</v>
      </c>
      <c r="Z1587" s="22">
        <f>IFERROR(__xludf.DUMMYFUNCTION("IFERROR(GOOGLEFINANCE(A1587,""volume""),"""")"),1.45084E7)</f>
        <v>14508400</v>
      </c>
      <c r="AA1587" s="24" t="str">
        <f>VLOOKUP(A1587,Metrik!$C$2:$Y$959,5,0)</f>
        <v>Metals &amp; Minerals</v>
      </c>
      <c r="AB1587" s="24" t="str">
        <f>VLOOKUP(A1587,Metrik!$C$2:$Y$959,3,0)</f>
        <v>Basic Materials</v>
      </c>
    </row>
    <row r="1588">
      <c r="A1588" s="14" t="s">
        <v>868</v>
      </c>
      <c r="B1588" s="14" t="str">
        <f t="array" ref="B1588">VLOOKUP(A1588,{Metrik!$C$2:$C$998,Metrik!$B$2:$B$998},2,0)</f>
        <v>Semen Indonesia (Persero) Tbk.</v>
      </c>
      <c r="C1588" s="15">
        <f>IFERROR(__xludf.DUMMYFUNCTION("GOOGLEFINANCE(""IDX:""&amp;A1588,""price"")"),1530.0)</f>
        <v>1530</v>
      </c>
      <c r="D1588" s="16" t="str">
        <f>IFERROR(__xludf.DUMMYFUNCTION("IF(A1588="""","""",
SPARKLINE(
INDEX(
GOOGLEFINANCE(""IDX:""&amp;A1588,""close"",TODAY()-365,TODAY()),
,2
),
{""linewidth"",1}
))
"),"#N/A")</f>
        <v>#N/A</v>
      </c>
      <c r="E1588" s="14" t="s">
        <v>47</v>
      </c>
      <c r="F1588" s="25">
        <v>46356.0</v>
      </c>
      <c r="G1588" s="24">
        <f t="shared" si="9"/>
        <v>17</v>
      </c>
      <c r="H1588" s="19">
        <f>VLOOKUP(A1588,Metrik!$C$2:$Y$959,8,0)</f>
        <v>49.9</v>
      </c>
      <c r="I1588" s="20">
        <f>VLOOKUP(A1588,Metrik!$C$2:$Y$959,9,0)</f>
        <v>0.24</v>
      </c>
      <c r="J1588" s="20">
        <f>VLOOKUP(A1588,Metrik!$C$2:$Y$959,10,0)</f>
        <v>0.48</v>
      </c>
      <c r="K1588" s="20">
        <f>VLOOKUP(A1588,Metrik!$C$2:$Y$959,11,0)</f>
        <v>0.3</v>
      </c>
      <c r="L1588" s="20">
        <f>VLOOKUP(A1588,Metrik!$C$2:$Y$959,12,0)</f>
        <v>0.58</v>
      </c>
      <c r="M1588" s="20">
        <f>VLOOKUP(A1588,Metrik!$C$2:$Y$959,19,0)</f>
        <v>2.8</v>
      </c>
      <c r="N1588" s="21"/>
      <c r="O1588" s="21"/>
      <c r="P1588" s="21"/>
      <c r="Q1588" s="21"/>
      <c r="R1588" s="21"/>
      <c r="S1588" s="21"/>
      <c r="T1588" s="21"/>
      <c r="U1588" s="22">
        <f>IFERROR(__xludf.DUMMYFUNCTION("IFERROR(GOOGLEFINANCE(A1588,""closeyest""),"""")"),1550.0)</f>
        <v>1550</v>
      </c>
      <c r="V1588" s="23">
        <f>IFERROR(__xludf.DUMMYFUNCTION("IFERROR(GOOGLEFINANCE(A1588,""changepct""),"""")"),-1.29)</f>
        <v>-1.29</v>
      </c>
      <c r="W1588" s="22">
        <f>IFERROR(__xludf.DUMMYFUNCTION("IFERROR(GOOGLEFINANCE(A1588,""priceopen""),"""")"),1550.0)</f>
        <v>1550</v>
      </c>
      <c r="X1588" s="22">
        <f>IFERROR(__xludf.DUMMYFUNCTION("IFERROR(GOOGLEFINANCE(A1588,""high""),"""")"),1585.0)</f>
        <v>1585</v>
      </c>
      <c r="Y1588" s="22">
        <f>IFERROR(__xludf.DUMMYFUNCTION("IFERROR(GOOGLEFINANCE(A1588,""low""),"""")"),1525.0)</f>
        <v>1525</v>
      </c>
      <c r="Z1588" s="22">
        <f>IFERROR(__xludf.DUMMYFUNCTION("IFERROR(GOOGLEFINANCE(A1588,""volume""),"""")"),1.54673E7)</f>
        <v>15467300</v>
      </c>
      <c r="AA1588" s="24" t="str">
        <f>VLOOKUP(A1588,Metrik!$C$2:$Y$959,5,0)</f>
        <v>Construction Materials</v>
      </c>
      <c r="AB1588" s="24" t="str">
        <f>VLOOKUP(A1588,Metrik!$C$2:$Y$959,3,0)</f>
        <v>Basic Materials</v>
      </c>
    </row>
    <row r="1589">
      <c r="A1589" s="14" t="s">
        <v>868</v>
      </c>
      <c r="B1589" s="14" t="str">
        <f t="array" ref="B1589">VLOOKUP(A1589,{Metrik!$C$2:$C$998,Metrik!$B$2:$B$998},2,0)</f>
        <v>Semen Indonesia (Persero) Tbk.</v>
      </c>
      <c r="C1589" s="15">
        <f>IFERROR(__xludf.DUMMYFUNCTION("GOOGLEFINANCE(""IDX:""&amp;A1589,""price"")"),1530.0)</f>
        <v>1530</v>
      </c>
      <c r="D1589" s="16" t="str">
        <f>IFERROR(__xludf.DUMMYFUNCTION("IF(A1589="""","""",
SPARKLINE(
INDEX(
GOOGLEFINANCE(""IDX:""&amp;A1589,""close"",TODAY()-365,TODAY()),
,2
),
{""linewidth"",1}
))
"),"#N/A")</f>
        <v>#N/A</v>
      </c>
      <c r="E1589" s="14" t="s">
        <v>106</v>
      </c>
      <c r="F1589" s="25">
        <v>46356.0</v>
      </c>
      <c r="G1589" s="24">
        <f t="shared" si="9"/>
        <v>17</v>
      </c>
      <c r="H1589" s="19">
        <f>VLOOKUP(A1589,Metrik!$C$2:$Y$959,8,0)</f>
        <v>49.9</v>
      </c>
      <c r="I1589" s="20">
        <f>VLOOKUP(A1589,Metrik!$C$2:$Y$959,9,0)</f>
        <v>0.24</v>
      </c>
      <c r="J1589" s="20">
        <f>VLOOKUP(A1589,Metrik!$C$2:$Y$959,10,0)</f>
        <v>0.48</v>
      </c>
      <c r="K1589" s="20">
        <f>VLOOKUP(A1589,Metrik!$C$2:$Y$959,11,0)</f>
        <v>0.3</v>
      </c>
      <c r="L1589" s="20">
        <f>VLOOKUP(A1589,Metrik!$C$2:$Y$959,12,0)</f>
        <v>0.58</v>
      </c>
      <c r="M1589" s="20">
        <f>VLOOKUP(A1589,Metrik!$C$2:$Y$959,19,0)</f>
        <v>2.8</v>
      </c>
      <c r="N1589" s="21"/>
      <c r="O1589" s="21"/>
      <c r="P1589" s="21"/>
      <c r="Q1589" s="21"/>
      <c r="R1589" s="21"/>
      <c r="S1589" s="21"/>
      <c r="T1589" s="21"/>
      <c r="U1589" s="22">
        <f>IFERROR(__xludf.DUMMYFUNCTION("IFERROR(GOOGLEFINANCE(A1589,""closeyest""),"""")"),1550.0)</f>
        <v>1550</v>
      </c>
      <c r="V1589" s="23">
        <f>IFERROR(__xludf.DUMMYFUNCTION("IFERROR(GOOGLEFINANCE(A1589,""changepct""),"""")"),-1.29)</f>
        <v>-1.29</v>
      </c>
      <c r="W1589" s="22">
        <f>IFERROR(__xludf.DUMMYFUNCTION("IFERROR(GOOGLEFINANCE(A1589,""priceopen""),"""")"),1550.0)</f>
        <v>1550</v>
      </c>
      <c r="X1589" s="22">
        <f>IFERROR(__xludf.DUMMYFUNCTION("IFERROR(GOOGLEFINANCE(A1589,""high""),"""")"),1585.0)</f>
        <v>1585</v>
      </c>
      <c r="Y1589" s="22">
        <f>IFERROR(__xludf.DUMMYFUNCTION("IFERROR(GOOGLEFINANCE(A1589,""low""),"""")"),1525.0)</f>
        <v>1525</v>
      </c>
      <c r="Z1589" s="22">
        <f>IFERROR(__xludf.DUMMYFUNCTION("IFERROR(GOOGLEFINANCE(A1589,""volume""),"""")"),1.54673E7)</f>
        <v>15467300</v>
      </c>
      <c r="AA1589" s="24" t="str">
        <f>VLOOKUP(A1589,Metrik!$C$2:$Y$959,5,0)</f>
        <v>Construction Materials</v>
      </c>
      <c r="AB1589" s="24" t="str">
        <f>VLOOKUP(A1589,Metrik!$C$2:$Y$959,3,0)</f>
        <v>Basic Materials</v>
      </c>
    </row>
    <row r="1590">
      <c r="A1590" s="14" t="s">
        <v>868</v>
      </c>
      <c r="B1590" s="14" t="str">
        <f t="array" ref="B1590">VLOOKUP(A1590,{Metrik!$C$2:$C$998,Metrik!$B$2:$B$998},2,0)</f>
        <v>Semen Indonesia (Persero) Tbk.</v>
      </c>
      <c r="C1590" s="15">
        <f>IFERROR(__xludf.DUMMYFUNCTION("GOOGLEFINANCE(""IDX:""&amp;A1590,""price"")"),1530.0)</f>
        <v>1530</v>
      </c>
      <c r="D1590" s="16" t="str">
        <f>IFERROR(__xludf.DUMMYFUNCTION("IF(A1590="""","""",
SPARKLINE(
INDEX(
GOOGLEFINANCE(""IDX:""&amp;A1590,""close"",TODAY()-365,TODAY()),
,2
),
{""linewidth"",1}
))
"),"#N/A")</f>
        <v>#N/A</v>
      </c>
      <c r="E1590" s="14" t="s">
        <v>42</v>
      </c>
      <c r="F1590" s="25">
        <v>46356.0</v>
      </c>
      <c r="G1590" s="24">
        <f t="shared" si="9"/>
        <v>17</v>
      </c>
      <c r="H1590" s="19">
        <f>VLOOKUP(A1590,Metrik!$C$2:$Y$959,8,0)</f>
        <v>49.9</v>
      </c>
      <c r="I1590" s="20">
        <f>VLOOKUP(A1590,Metrik!$C$2:$Y$959,9,0)</f>
        <v>0.24</v>
      </c>
      <c r="J1590" s="20">
        <f>VLOOKUP(A1590,Metrik!$C$2:$Y$959,10,0)</f>
        <v>0.48</v>
      </c>
      <c r="K1590" s="20">
        <f>VLOOKUP(A1590,Metrik!$C$2:$Y$959,11,0)</f>
        <v>0.3</v>
      </c>
      <c r="L1590" s="20">
        <f>VLOOKUP(A1590,Metrik!$C$2:$Y$959,12,0)</f>
        <v>0.58</v>
      </c>
      <c r="M1590" s="20">
        <f>VLOOKUP(A1590,Metrik!$C$2:$Y$959,19,0)</f>
        <v>2.8</v>
      </c>
      <c r="N1590" s="21"/>
      <c r="O1590" s="21"/>
      <c r="P1590" s="21"/>
      <c r="Q1590" s="21"/>
      <c r="R1590" s="21"/>
      <c r="S1590" s="21"/>
      <c r="T1590" s="21"/>
      <c r="U1590" s="22">
        <f>IFERROR(__xludf.DUMMYFUNCTION("IFERROR(GOOGLEFINANCE(A1590,""closeyest""),"""")"),1550.0)</f>
        <v>1550</v>
      </c>
      <c r="V1590" s="23">
        <f>IFERROR(__xludf.DUMMYFUNCTION("IFERROR(GOOGLEFINANCE(A1590,""changepct""),"""")"),-1.29)</f>
        <v>-1.29</v>
      </c>
      <c r="W1590" s="22">
        <f>IFERROR(__xludf.DUMMYFUNCTION("IFERROR(GOOGLEFINANCE(A1590,""priceopen""),"""")"),1550.0)</f>
        <v>1550</v>
      </c>
      <c r="X1590" s="22">
        <f>IFERROR(__xludf.DUMMYFUNCTION("IFERROR(GOOGLEFINANCE(A1590,""high""),"""")"),1585.0)</f>
        <v>1585</v>
      </c>
      <c r="Y1590" s="22">
        <f>IFERROR(__xludf.DUMMYFUNCTION("IFERROR(GOOGLEFINANCE(A1590,""low""),"""")"),1525.0)</f>
        <v>1525</v>
      </c>
      <c r="Z1590" s="22">
        <f>IFERROR(__xludf.DUMMYFUNCTION("IFERROR(GOOGLEFINANCE(A1590,""volume""),"""")"),1.54673E7)</f>
        <v>15467300</v>
      </c>
      <c r="AA1590" s="24" t="str">
        <f>VLOOKUP(A1590,Metrik!$C$2:$Y$959,5,0)</f>
        <v>Construction Materials</v>
      </c>
      <c r="AB1590" s="24" t="str">
        <f>VLOOKUP(A1590,Metrik!$C$2:$Y$959,3,0)</f>
        <v>Basic Materials</v>
      </c>
    </row>
    <row r="1591">
      <c r="A1591" s="14" t="s">
        <v>868</v>
      </c>
      <c r="B1591" s="14" t="str">
        <f t="array" ref="B1591">VLOOKUP(A1591,{Metrik!$C$2:$C$998,Metrik!$B$2:$B$998},2,0)</f>
        <v>Semen Indonesia (Persero) Tbk.</v>
      </c>
      <c r="C1591" s="15">
        <f>IFERROR(__xludf.DUMMYFUNCTION("GOOGLEFINANCE(""IDX:""&amp;A1591,""price"")"),1530.0)</f>
        <v>1530</v>
      </c>
      <c r="D1591" s="16" t="str">
        <f>IFERROR(__xludf.DUMMYFUNCTION("IF(A1591="""","""",
SPARKLINE(
INDEX(
GOOGLEFINANCE(""IDX:""&amp;A1591,""close"",TODAY()-365,TODAY()),
,2
),
{""linewidth"",1}
))
"),"#N/A")</f>
        <v>#N/A</v>
      </c>
      <c r="E1591" s="14" t="s">
        <v>55</v>
      </c>
      <c r="F1591" s="25">
        <v>46356.0</v>
      </c>
      <c r="G1591" s="24">
        <f t="shared" si="9"/>
        <v>17</v>
      </c>
      <c r="H1591" s="19">
        <f>VLOOKUP(A1591,Metrik!$C$2:$Y$959,8,0)</f>
        <v>49.9</v>
      </c>
      <c r="I1591" s="20">
        <f>VLOOKUP(A1591,Metrik!$C$2:$Y$959,9,0)</f>
        <v>0.24</v>
      </c>
      <c r="J1591" s="20">
        <f>VLOOKUP(A1591,Metrik!$C$2:$Y$959,10,0)</f>
        <v>0.48</v>
      </c>
      <c r="K1591" s="20">
        <f>VLOOKUP(A1591,Metrik!$C$2:$Y$959,11,0)</f>
        <v>0.3</v>
      </c>
      <c r="L1591" s="20">
        <f>VLOOKUP(A1591,Metrik!$C$2:$Y$959,12,0)</f>
        <v>0.58</v>
      </c>
      <c r="M1591" s="20">
        <f>VLOOKUP(A1591,Metrik!$C$2:$Y$959,19,0)</f>
        <v>2.8</v>
      </c>
      <c r="N1591" s="21"/>
      <c r="O1591" s="21"/>
      <c r="P1591" s="21"/>
      <c r="Q1591" s="21"/>
      <c r="R1591" s="21"/>
      <c r="S1591" s="21"/>
      <c r="T1591" s="21"/>
      <c r="U1591" s="22">
        <f>IFERROR(__xludf.DUMMYFUNCTION("IFERROR(GOOGLEFINANCE(A1591,""closeyest""),"""")"),1550.0)</f>
        <v>1550</v>
      </c>
      <c r="V1591" s="23">
        <f>IFERROR(__xludf.DUMMYFUNCTION("IFERROR(GOOGLEFINANCE(A1591,""changepct""),"""")"),-1.29)</f>
        <v>-1.29</v>
      </c>
      <c r="W1591" s="22">
        <f>IFERROR(__xludf.DUMMYFUNCTION("IFERROR(GOOGLEFINANCE(A1591,""priceopen""),"""")"),1550.0)</f>
        <v>1550</v>
      </c>
      <c r="X1591" s="22">
        <f>IFERROR(__xludf.DUMMYFUNCTION("IFERROR(GOOGLEFINANCE(A1591,""high""),"""")"),1585.0)</f>
        <v>1585</v>
      </c>
      <c r="Y1591" s="22">
        <f>IFERROR(__xludf.DUMMYFUNCTION("IFERROR(GOOGLEFINANCE(A1591,""low""),"""")"),1525.0)</f>
        <v>1525</v>
      </c>
      <c r="Z1591" s="22">
        <f>IFERROR(__xludf.DUMMYFUNCTION("IFERROR(GOOGLEFINANCE(A1591,""volume""),"""")"),1.54673E7)</f>
        <v>15467300</v>
      </c>
      <c r="AA1591" s="24" t="str">
        <f>VLOOKUP(A1591,Metrik!$C$2:$Y$959,5,0)</f>
        <v>Construction Materials</v>
      </c>
      <c r="AB1591" s="24" t="str">
        <f>VLOOKUP(A1591,Metrik!$C$2:$Y$959,3,0)</f>
        <v>Basic Materials</v>
      </c>
    </row>
    <row r="1592">
      <c r="A1592" s="14" t="s">
        <v>868</v>
      </c>
      <c r="B1592" s="14" t="str">
        <f t="array" ref="B1592">VLOOKUP(A1592,{Metrik!$C$2:$C$998,Metrik!$B$2:$B$998},2,0)</f>
        <v>Semen Indonesia (Persero) Tbk.</v>
      </c>
      <c r="C1592" s="15">
        <f>IFERROR(__xludf.DUMMYFUNCTION("GOOGLEFINANCE(""IDX:""&amp;A1592,""price"")"),1530.0)</f>
        <v>1530</v>
      </c>
      <c r="D1592" s="16" t="str">
        <f>IFERROR(__xludf.DUMMYFUNCTION("IF(A1592="""","""",
SPARKLINE(
INDEX(
GOOGLEFINANCE(""IDX:""&amp;A1592,""close"",TODAY()-365,TODAY()),
,2
),
{""linewidth"",1}
))
"),"#N/A")</f>
        <v>#N/A</v>
      </c>
      <c r="E1592" s="14" t="s">
        <v>161</v>
      </c>
      <c r="F1592" s="14" t="s">
        <v>76</v>
      </c>
      <c r="G1592" s="24">
        <f t="shared" si="9"/>
        <v>17</v>
      </c>
      <c r="H1592" s="19">
        <f>VLOOKUP(A1592,Metrik!$C$2:$Y$959,8,0)</f>
        <v>49.9</v>
      </c>
      <c r="I1592" s="20">
        <f>VLOOKUP(A1592,Metrik!$C$2:$Y$959,9,0)</f>
        <v>0.24</v>
      </c>
      <c r="J1592" s="20">
        <f>VLOOKUP(A1592,Metrik!$C$2:$Y$959,10,0)</f>
        <v>0.48</v>
      </c>
      <c r="K1592" s="20">
        <f>VLOOKUP(A1592,Metrik!$C$2:$Y$959,11,0)</f>
        <v>0.3</v>
      </c>
      <c r="L1592" s="20">
        <f>VLOOKUP(A1592,Metrik!$C$2:$Y$959,12,0)</f>
        <v>0.58</v>
      </c>
      <c r="M1592" s="20">
        <f>VLOOKUP(A1592,Metrik!$C$2:$Y$959,19,0)</f>
        <v>2.8</v>
      </c>
      <c r="N1592" s="21"/>
      <c r="O1592" s="21"/>
      <c r="P1592" s="21"/>
      <c r="Q1592" s="21"/>
      <c r="R1592" s="21"/>
      <c r="S1592" s="21"/>
      <c r="T1592" s="21"/>
      <c r="U1592" s="22">
        <f>IFERROR(__xludf.DUMMYFUNCTION("IFERROR(GOOGLEFINANCE(A1592,""closeyest""),"""")"),1550.0)</f>
        <v>1550</v>
      </c>
      <c r="V1592" s="23">
        <f>IFERROR(__xludf.DUMMYFUNCTION("IFERROR(GOOGLEFINANCE(A1592,""changepct""),"""")"),-1.29)</f>
        <v>-1.29</v>
      </c>
      <c r="W1592" s="22">
        <f>IFERROR(__xludf.DUMMYFUNCTION("IFERROR(GOOGLEFINANCE(A1592,""priceopen""),"""")"),1550.0)</f>
        <v>1550</v>
      </c>
      <c r="X1592" s="22">
        <f>IFERROR(__xludf.DUMMYFUNCTION("IFERROR(GOOGLEFINANCE(A1592,""high""),"""")"),1585.0)</f>
        <v>1585</v>
      </c>
      <c r="Y1592" s="22">
        <f>IFERROR(__xludf.DUMMYFUNCTION("IFERROR(GOOGLEFINANCE(A1592,""low""),"""")"),1525.0)</f>
        <v>1525</v>
      </c>
      <c r="Z1592" s="22">
        <f>IFERROR(__xludf.DUMMYFUNCTION("IFERROR(GOOGLEFINANCE(A1592,""volume""),"""")"),1.54673E7)</f>
        <v>15467300</v>
      </c>
      <c r="AA1592" s="24" t="str">
        <f>VLOOKUP(A1592,Metrik!$C$2:$Y$959,5,0)</f>
        <v>Construction Materials</v>
      </c>
      <c r="AB1592" s="24" t="str">
        <f>VLOOKUP(A1592,Metrik!$C$2:$Y$959,3,0)</f>
        <v>Basic Materials</v>
      </c>
    </row>
    <row r="1593">
      <c r="A1593" s="14" t="s">
        <v>868</v>
      </c>
      <c r="B1593" s="14" t="str">
        <f t="array" ref="B1593">VLOOKUP(A1593,{Metrik!$C$2:$C$998,Metrik!$B$2:$B$998},2,0)</f>
        <v>Semen Indonesia (Persero) Tbk.</v>
      </c>
      <c r="C1593" s="15">
        <f>IFERROR(__xludf.DUMMYFUNCTION("GOOGLEFINANCE(""IDX:""&amp;A1593,""price"")"),1530.0)</f>
        <v>1530</v>
      </c>
      <c r="D1593" s="16" t="str">
        <f>IFERROR(__xludf.DUMMYFUNCTION("IF(A1593="""","""",
SPARKLINE(
INDEX(
GOOGLEFINANCE(""IDX:""&amp;A1593,""close"",TODAY()-365,TODAY()),
,2
),
{""linewidth"",1}
))
"),"#N/A")</f>
        <v>#N/A</v>
      </c>
      <c r="E1593" s="14" t="s">
        <v>32</v>
      </c>
      <c r="F1593" s="14" t="s">
        <v>29</v>
      </c>
      <c r="G1593" s="24">
        <f t="shared" si="9"/>
        <v>17</v>
      </c>
      <c r="H1593" s="19">
        <f>VLOOKUP(A1593,Metrik!$C$2:$Y$959,8,0)</f>
        <v>49.9</v>
      </c>
      <c r="I1593" s="20">
        <f>VLOOKUP(A1593,Metrik!$C$2:$Y$959,9,0)</f>
        <v>0.24</v>
      </c>
      <c r="J1593" s="20">
        <f>VLOOKUP(A1593,Metrik!$C$2:$Y$959,10,0)</f>
        <v>0.48</v>
      </c>
      <c r="K1593" s="20">
        <f>VLOOKUP(A1593,Metrik!$C$2:$Y$959,11,0)</f>
        <v>0.3</v>
      </c>
      <c r="L1593" s="20">
        <f>VLOOKUP(A1593,Metrik!$C$2:$Y$959,12,0)</f>
        <v>0.58</v>
      </c>
      <c r="M1593" s="20">
        <f>VLOOKUP(A1593,Metrik!$C$2:$Y$959,19,0)</f>
        <v>2.8</v>
      </c>
      <c r="N1593" s="21"/>
      <c r="O1593" s="21"/>
      <c r="P1593" s="21"/>
      <c r="Q1593" s="21"/>
      <c r="R1593" s="21"/>
      <c r="S1593" s="21"/>
      <c r="T1593" s="21"/>
      <c r="U1593" s="22">
        <f>IFERROR(__xludf.DUMMYFUNCTION("IFERROR(GOOGLEFINANCE(A1593,""closeyest""),"""")"),1550.0)</f>
        <v>1550</v>
      </c>
      <c r="V1593" s="23">
        <f>IFERROR(__xludf.DUMMYFUNCTION("IFERROR(GOOGLEFINANCE(A1593,""changepct""),"""")"),-1.29)</f>
        <v>-1.29</v>
      </c>
      <c r="W1593" s="22">
        <f>IFERROR(__xludf.DUMMYFUNCTION("IFERROR(GOOGLEFINANCE(A1593,""priceopen""),"""")"),1550.0)</f>
        <v>1550</v>
      </c>
      <c r="X1593" s="22">
        <f>IFERROR(__xludf.DUMMYFUNCTION("IFERROR(GOOGLEFINANCE(A1593,""high""),"""")"),1585.0)</f>
        <v>1585</v>
      </c>
      <c r="Y1593" s="22">
        <f>IFERROR(__xludf.DUMMYFUNCTION("IFERROR(GOOGLEFINANCE(A1593,""low""),"""")"),1525.0)</f>
        <v>1525</v>
      </c>
      <c r="Z1593" s="22">
        <f>IFERROR(__xludf.DUMMYFUNCTION("IFERROR(GOOGLEFINANCE(A1593,""volume""),"""")"),1.54673E7)</f>
        <v>15467300</v>
      </c>
      <c r="AA1593" s="24" t="str">
        <f>VLOOKUP(A1593,Metrik!$C$2:$Y$959,5,0)</f>
        <v>Construction Materials</v>
      </c>
      <c r="AB1593" s="24" t="str">
        <f>VLOOKUP(A1593,Metrik!$C$2:$Y$959,3,0)</f>
        <v>Basic Materials</v>
      </c>
    </row>
    <row r="1594">
      <c r="A1594" s="14" t="s">
        <v>868</v>
      </c>
      <c r="B1594" s="14" t="str">
        <f t="array" ref="B1594">VLOOKUP(A1594,{Metrik!$C$2:$C$998,Metrik!$B$2:$B$998},2,0)</f>
        <v>Semen Indonesia (Persero) Tbk.</v>
      </c>
      <c r="C1594" s="15">
        <f>IFERROR(__xludf.DUMMYFUNCTION("GOOGLEFINANCE(""IDX:""&amp;A1594,""price"")"),1530.0)</f>
        <v>1530</v>
      </c>
      <c r="D1594" s="16" t="str">
        <f>IFERROR(__xludf.DUMMYFUNCTION("IF(A1594="""","""",
SPARKLINE(
INDEX(
GOOGLEFINANCE(""IDX:""&amp;A1594,""close"",TODAY()-365,TODAY()),
,2
),
{""linewidth"",1}
))
"),"#N/A")</f>
        <v>#N/A</v>
      </c>
      <c r="E1594" s="14" t="s">
        <v>52</v>
      </c>
      <c r="F1594" s="27" t="s">
        <v>53</v>
      </c>
      <c r="G1594" s="24">
        <f t="shared" si="9"/>
        <v>17</v>
      </c>
      <c r="H1594" s="19">
        <f>VLOOKUP(A1594,Metrik!$C$2:$Y$959,8,0)</f>
        <v>49.9</v>
      </c>
      <c r="I1594" s="20">
        <f>VLOOKUP(A1594,Metrik!$C$2:$Y$959,9,0)</f>
        <v>0.24</v>
      </c>
      <c r="J1594" s="20">
        <f>VLOOKUP(A1594,Metrik!$C$2:$Y$959,10,0)</f>
        <v>0.48</v>
      </c>
      <c r="K1594" s="20">
        <f>VLOOKUP(A1594,Metrik!$C$2:$Y$959,11,0)</f>
        <v>0.3</v>
      </c>
      <c r="L1594" s="20">
        <f>VLOOKUP(A1594,Metrik!$C$2:$Y$959,12,0)</f>
        <v>0.58</v>
      </c>
      <c r="M1594" s="20">
        <f>VLOOKUP(A1594,Metrik!$C$2:$Y$959,19,0)</f>
        <v>2.8</v>
      </c>
      <c r="N1594" s="21"/>
      <c r="O1594" s="21"/>
      <c r="P1594" s="21"/>
      <c r="Q1594" s="21"/>
      <c r="R1594" s="21"/>
      <c r="S1594" s="21"/>
      <c r="T1594" s="21"/>
      <c r="U1594" s="22">
        <f>IFERROR(__xludf.DUMMYFUNCTION("IFERROR(GOOGLEFINANCE(A1594,""closeyest""),"""")"),1550.0)</f>
        <v>1550</v>
      </c>
      <c r="V1594" s="23">
        <f>IFERROR(__xludf.DUMMYFUNCTION("IFERROR(GOOGLEFINANCE(A1594,""changepct""),"""")"),-1.29)</f>
        <v>-1.29</v>
      </c>
      <c r="W1594" s="22">
        <f>IFERROR(__xludf.DUMMYFUNCTION("IFERROR(GOOGLEFINANCE(A1594,""priceopen""),"""")"),1550.0)</f>
        <v>1550</v>
      </c>
      <c r="X1594" s="22">
        <f>IFERROR(__xludf.DUMMYFUNCTION("IFERROR(GOOGLEFINANCE(A1594,""high""),"""")"),1585.0)</f>
        <v>1585</v>
      </c>
      <c r="Y1594" s="22">
        <f>IFERROR(__xludf.DUMMYFUNCTION("IFERROR(GOOGLEFINANCE(A1594,""low""),"""")"),1525.0)</f>
        <v>1525</v>
      </c>
      <c r="Z1594" s="22">
        <f>IFERROR(__xludf.DUMMYFUNCTION("IFERROR(GOOGLEFINANCE(A1594,""volume""),"""")"),1.54673E7)</f>
        <v>15467300</v>
      </c>
      <c r="AA1594" s="24" t="str">
        <f>VLOOKUP(A1594,Metrik!$C$2:$Y$959,5,0)</f>
        <v>Construction Materials</v>
      </c>
      <c r="AB1594" s="24" t="str">
        <f>VLOOKUP(A1594,Metrik!$C$2:$Y$959,3,0)</f>
        <v>Basic Materials</v>
      </c>
    </row>
    <row r="1595">
      <c r="A1595" s="14" t="s">
        <v>868</v>
      </c>
      <c r="B1595" s="14" t="str">
        <f t="array" ref="B1595">VLOOKUP(A1595,{Metrik!$C$2:$C$998,Metrik!$B$2:$B$998},2,0)</f>
        <v>Semen Indonesia (Persero) Tbk.</v>
      </c>
      <c r="C1595" s="15">
        <f>IFERROR(__xludf.DUMMYFUNCTION("GOOGLEFINANCE(""IDX:""&amp;A1595,""price"")"),1530.0)</f>
        <v>1530</v>
      </c>
      <c r="D1595" s="16" t="str">
        <f>IFERROR(__xludf.DUMMYFUNCTION("IF(A1595="""","""",
SPARKLINE(
INDEX(
GOOGLEFINANCE(""IDX:""&amp;A1595,""close"",TODAY()-365,TODAY()),
,2
),
{""linewidth"",1}
))
"),"#N/A")</f>
        <v>#N/A</v>
      </c>
      <c r="E1595" s="14" t="s">
        <v>28</v>
      </c>
      <c r="F1595" s="17" t="s">
        <v>29</v>
      </c>
      <c r="G1595" s="24">
        <f t="shared" si="9"/>
        <v>17</v>
      </c>
      <c r="H1595" s="19">
        <f>VLOOKUP(A1595,Metrik!$C$2:$Y$959,8,0)</f>
        <v>49.9</v>
      </c>
      <c r="I1595" s="20">
        <f>VLOOKUP(A1595,Metrik!$C$2:$Y$959,9,0)</f>
        <v>0.24</v>
      </c>
      <c r="J1595" s="20">
        <f>VLOOKUP(A1595,Metrik!$C$2:$Y$959,10,0)</f>
        <v>0.48</v>
      </c>
      <c r="K1595" s="20">
        <f>VLOOKUP(A1595,Metrik!$C$2:$Y$959,11,0)</f>
        <v>0.3</v>
      </c>
      <c r="L1595" s="20">
        <f>VLOOKUP(A1595,Metrik!$C$2:$Y$959,12,0)</f>
        <v>0.58</v>
      </c>
      <c r="M1595" s="20">
        <f>VLOOKUP(A1595,Metrik!$C$2:$Y$959,19,0)</f>
        <v>2.8</v>
      </c>
      <c r="N1595" s="21"/>
      <c r="O1595" s="21"/>
      <c r="P1595" s="21"/>
      <c r="Q1595" s="21"/>
      <c r="R1595" s="21"/>
      <c r="S1595" s="21"/>
      <c r="T1595" s="21"/>
      <c r="U1595" s="22">
        <f>IFERROR(__xludf.DUMMYFUNCTION("IFERROR(GOOGLEFINANCE(A1595,""closeyest""),"""")"),1550.0)</f>
        <v>1550</v>
      </c>
      <c r="V1595" s="23">
        <f>IFERROR(__xludf.DUMMYFUNCTION("IFERROR(GOOGLEFINANCE(A1595,""changepct""),"""")"),-1.29)</f>
        <v>-1.29</v>
      </c>
      <c r="W1595" s="22">
        <f>IFERROR(__xludf.DUMMYFUNCTION("IFERROR(GOOGLEFINANCE(A1595,""priceopen""),"""")"),1550.0)</f>
        <v>1550</v>
      </c>
      <c r="X1595" s="22">
        <f>IFERROR(__xludf.DUMMYFUNCTION("IFERROR(GOOGLEFINANCE(A1595,""high""),"""")"),1585.0)</f>
        <v>1585</v>
      </c>
      <c r="Y1595" s="22">
        <f>IFERROR(__xludf.DUMMYFUNCTION("IFERROR(GOOGLEFINANCE(A1595,""low""),"""")"),1525.0)</f>
        <v>1525</v>
      </c>
      <c r="Z1595" s="22">
        <f>IFERROR(__xludf.DUMMYFUNCTION("IFERROR(GOOGLEFINANCE(A1595,""volume""),"""")"),1.54673E7)</f>
        <v>15467300</v>
      </c>
      <c r="AA1595" s="24" t="str">
        <f>VLOOKUP(A1595,Metrik!$C$2:$Y$959,5,0)</f>
        <v>Construction Materials</v>
      </c>
      <c r="AB1595" s="24" t="str">
        <f>VLOOKUP(A1595,Metrik!$C$2:$Y$959,3,0)</f>
        <v>Basic Materials</v>
      </c>
    </row>
    <row r="1596">
      <c r="A1596" s="14" t="s">
        <v>868</v>
      </c>
      <c r="B1596" s="14" t="str">
        <f t="array" ref="B1596">VLOOKUP(A1596,{Metrik!$C$2:$C$998,Metrik!$B$2:$B$998},2,0)</f>
        <v>Semen Indonesia (Persero) Tbk.</v>
      </c>
      <c r="C1596" s="15">
        <f>IFERROR(__xludf.DUMMYFUNCTION("GOOGLEFINANCE(""IDX:""&amp;A1596,""price"")"),1530.0)</f>
        <v>1530</v>
      </c>
      <c r="D1596" s="16" t="str">
        <f>IFERROR(__xludf.DUMMYFUNCTION("IF(A1596="""","""",
SPARKLINE(
INDEX(
GOOGLEFINANCE(""IDX:""&amp;A1596,""close"",TODAY()-365,TODAY()),
,2
),
{""linewidth"",1}
))
"),"#N/A")</f>
        <v>#N/A</v>
      </c>
      <c r="E1596" s="14" t="s">
        <v>85</v>
      </c>
      <c r="F1596" s="17" t="s">
        <v>51</v>
      </c>
      <c r="G1596" s="24">
        <f t="shared" si="9"/>
        <v>17</v>
      </c>
      <c r="H1596" s="19">
        <f>VLOOKUP(A1596,Metrik!$C$2:$Y$959,8,0)</f>
        <v>49.9</v>
      </c>
      <c r="I1596" s="20">
        <f>VLOOKUP(A1596,Metrik!$C$2:$Y$959,9,0)</f>
        <v>0.24</v>
      </c>
      <c r="J1596" s="20">
        <f>VLOOKUP(A1596,Metrik!$C$2:$Y$959,10,0)</f>
        <v>0.48</v>
      </c>
      <c r="K1596" s="20">
        <f>VLOOKUP(A1596,Metrik!$C$2:$Y$959,11,0)</f>
        <v>0.3</v>
      </c>
      <c r="L1596" s="20">
        <f>VLOOKUP(A1596,Metrik!$C$2:$Y$959,12,0)</f>
        <v>0.58</v>
      </c>
      <c r="M1596" s="20">
        <f>VLOOKUP(A1596,Metrik!$C$2:$Y$959,19,0)</f>
        <v>2.8</v>
      </c>
      <c r="N1596" s="21"/>
      <c r="O1596" s="21"/>
      <c r="P1596" s="21"/>
      <c r="Q1596" s="21"/>
      <c r="R1596" s="21"/>
      <c r="S1596" s="21"/>
      <c r="T1596" s="21"/>
      <c r="U1596" s="22">
        <f>IFERROR(__xludf.DUMMYFUNCTION("IFERROR(GOOGLEFINANCE(A1596,""closeyest""),"""")"),1550.0)</f>
        <v>1550</v>
      </c>
      <c r="V1596" s="23">
        <f>IFERROR(__xludf.DUMMYFUNCTION("IFERROR(GOOGLEFINANCE(A1596,""changepct""),"""")"),-1.29)</f>
        <v>-1.29</v>
      </c>
      <c r="W1596" s="22">
        <f>IFERROR(__xludf.DUMMYFUNCTION("IFERROR(GOOGLEFINANCE(A1596,""priceopen""),"""")"),1550.0)</f>
        <v>1550</v>
      </c>
      <c r="X1596" s="22">
        <f>IFERROR(__xludf.DUMMYFUNCTION("IFERROR(GOOGLEFINANCE(A1596,""high""),"""")"),1585.0)</f>
        <v>1585</v>
      </c>
      <c r="Y1596" s="22">
        <f>IFERROR(__xludf.DUMMYFUNCTION("IFERROR(GOOGLEFINANCE(A1596,""low""),"""")"),1525.0)</f>
        <v>1525</v>
      </c>
      <c r="Z1596" s="22">
        <f>IFERROR(__xludf.DUMMYFUNCTION("IFERROR(GOOGLEFINANCE(A1596,""volume""),"""")"),1.54673E7)</f>
        <v>15467300</v>
      </c>
      <c r="AA1596" s="24" t="str">
        <f>VLOOKUP(A1596,Metrik!$C$2:$Y$959,5,0)</f>
        <v>Construction Materials</v>
      </c>
      <c r="AB1596" s="24" t="str">
        <f>VLOOKUP(A1596,Metrik!$C$2:$Y$959,3,0)</f>
        <v>Basic Materials</v>
      </c>
    </row>
    <row r="1597">
      <c r="A1597" s="14" t="s">
        <v>868</v>
      </c>
      <c r="B1597" s="14" t="str">
        <f t="array" ref="B1597">VLOOKUP(A1597,{Metrik!$C$2:$C$998,Metrik!$B$2:$B$998},2,0)</f>
        <v>Semen Indonesia (Persero) Tbk.</v>
      </c>
      <c r="C1597" s="15">
        <f>IFERROR(__xludf.DUMMYFUNCTION("GOOGLEFINANCE(""IDX:""&amp;A1597,""price"")"),1530.0)</f>
        <v>1530</v>
      </c>
      <c r="D1597" s="16" t="str">
        <f>IFERROR(__xludf.DUMMYFUNCTION("IF(A1597="""","""",
SPARKLINE(
INDEX(
GOOGLEFINANCE(""IDX:""&amp;A1597,""close"",TODAY()-365,TODAY()),
,2
),
{""linewidth"",1}
))
"),"#N/A")</f>
        <v>#N/A</v>
      </c>
      <c r="E1597" s="14" t="s">
        <v>31</v>
      </c>
      <c r="F1597" s="17" t="s">
        <v>29</v>
      </c>
      <c r="G1597" s="24">
        <f t="shared" si="9"/>
        <v>17</v>
      </c>
      <c r="H1597" s="19">
        <f>VLOOKUP(A1597,Metrik!$C$2:$Y$959,8,0)</f>
        <v>49.9</v>
      </c>
      <c r="I1597" s="20">
        <f>VLOOKUP(A1597,Metrik!$C$2:$Y$959,9,0)</f>
        <v>0.24</v>
      </c>
      <c r="J1597" s="20">
        <f>VLOOKUP(A1597,Metrik!$C$2:$Y$959,10,0)</f>
        <v>0.48</v>
      </c>
      <c r="K1597" s="20">
        <f>VLOOKUP(A1597,Metrik!$C$2:$Y$959,11,0)</f>
        <v>0.3</v>
      </c>
      <c r="L1597" s="20">
        <f>VLOOKUP(A1597,Metrik!$C$2:$Y$959,12,0)</f>
        <v>0.58</v>
      </c>
      <c r="M1597" s="20">
        <f>VLOOKUP(A1597,Metrik!$C$2:$Y$959,19,0)</f>
        <v>2.8</v>
      </c>
      <c r="N1597" s="21"/>
      <c r="O1597" s="21"/>
      <c r="P1597" s="21"/>
      <c r="Q1597" s="21"/>
      <c r="R1597" s="21"/>
      <c r="S1597" s="21"/>
      <c r="T1597" s="21"/>
      <c r="U1597" s="22">
        <f>IFERROR(__xludf.DUMMYFUNCTION("IFERROR(GOOGLEFINANCE(A1597,""closeyest""),"""")"),1550.0)</f>
        <v>1550</v>
      </c>
      <c r="V1597" s="23">
        <f>IFERROR(__xludf.DUMMYFUNCTION("IFERROR(GOOGLEFINANCE(A1597,""changepct""),"""")"),-1.29)</f>
        <v>-1.29</v>
      </c>
      <c r="W1597" s="22">
        <f>IFERROR(__xludf.DUMMYFUNCTION("IFERROR(GOOGLEFINANCE(A1597,""priceopen""),"""")"),1550.0)</f>
        <v>1550</v>
      </c>
      <c r="X1597" s="22">
        <f>IFERROR(__xludf.DUMMYFUNCTION("IFERROR(GOOGLEFINANCE(A1597,""high""),"""")"),1585.0)</f>
        <v>1585</v>
      </c>
      <c r="Y1597" s="22">
        <f>IFERROR(__xludf.DUMMYFUNCTION("IFERROR(GOOGLEFINANCE(A1597,""low""),"""")"),1525.0)</f>
        <v>1525</v>
      </c>
      <c r="Z1597" s="22">
        <f>IFERROR(__xludf.DUMMYFUNCTION("IFERROR(GOOGLEFINANCE(A1597,""volume""),"""")"),1.54673E7)</f>
        <v>15467300</v>
      </c>
      <c r="AA1597" s="24" t="str">
        <f>VLOOKUP(A1597,Metrik!$C$2:$Y$959,5,0)</f>
        <v>Construction Materials</v>
      </c>
      <c r="AB1597" s="24" t="str">
        <f>VLOOKUP(A1597,Metrik!$C$2:$Y$959,3,0)</f>
        <v>Basic Materials</v>
      </c>
    </row>
    <row r="1598">
      <c r="A1598" s="14" t="s">
        <v>868</v>
      </c>
      <c r="B1598" s="14" t="str">
        <f t="array" ref="B1598">VLOOKUP(A1598,{Metrik!$C$2:$C$998,Metrik!$B$2:$B$998},2,0)</f>
        <v>Semen Indonesia (Persero) Tbk.</v>
      </c>
      <c r="C1598" s="15">
        <f>IFERROR(__xludf.DUMMYFUNCTION("GOOGLEFINANCE(""IDX:""&amp;A1598,""price"")"),1530.0)</f>
        <v>1530</v>
      </c>
      <c r="D1598" s="16" t="str">
        <f>IFERROR(__xludf.DUMMYFUNCTION("IF(A1598="""","""",
SPARKLINE(
INDEX(
GOOGLEFINANCE(""IDX:""&amp;A1598,""close"",TODAY()-365,TODAY()),
,2
),
{""linewidth"",1}
))
"),"#N/A")</f>
        <v>#N/A</v>
      </c>
      <c r="E1598" s="14" t="s">
        <v>50</v>
      </c>
      <c r="F1598" s="17" t="s">
        <v>51</v>
      </c>
      <c r="G1598" s="24">
        <f t="shared" si="9"/>
        <v>17</v>
      </c>
      <c r="H1598" s="19">
        <f>VLOOKUP(A1598,Metrik!$C$2:$Y$959,8,0)</f>
        <v>49.9</v>
      </c>
      <c r="I1598" s="20">
        <f>VLOOKUP(A1598,Metrik!$C$2:$Y$959,9,0)</f>
        <v>0.24</v>
      </c>
      <c r="J1598" s="20">
        <f>VLOOKUP(A1598,Metrik!$C$2:$Y$959,10,0)</f>
        <v>0.48</v>
      </c>
      <c r="K1598" s="20">
        <f>VLOOKUP(A1598,Metrik!$C$2:$Y$959,11,0)</f>
        <v>0.3</v>
      </c>
      <c r="L1598" s="20">
        <f>VLOOKUP(A1598,Metrik!$C$2:$Y$959,12,0)</f>
        <v>0.58</v>
      </c>
      <c r="M1598" s="20">
        <f>VLOOKUP(A1598,Metrik!$C$2:$Y$959,19,0)</f>
        <v>2.8</v>
      </c>
      <c r="N1598" s="21"/>
      <c r="O1598" s="21"/>
      <c r="P1598" s="21"/>
      <c r="Q1598" s="21"/>
      <c r="R1598" s="21"/>
      <c r="S1598" s="21"/>
      <c r="T1598" s="21"/>
      <c r="U1598" s="22">
        <f>IFERROR(__xludf.DUMMYFUNCTION("IFERROR(GOOGLEFINANCE(A1598,""closeyest""),"""")"),1550.0)</f>
        <v>1550</v>
      </c>
      <c r="V1598" s="23">
        <f>IFERROR(__xludf.DUMMYFUNCTION("IFERROR(GOOGLEFINANCE(A1598,""changepct""),"""")"),-1.29)</f>
        <v>-1.29</v>
      </c>
      <c r="W1598" s="22">
        <f>IFERROR(__xludf.DUMMYFUNCTION("IFERROR(GOOGLEFINANCE(A1598,""priceopen""),"""")"),1550.0)</f>
        <v>1550</v>
      </c>
      <c r="X1598" s="22">
        <f>IFERROR(__xludf.DUMMYFUNCTION("IFERROR(GOOGLEFINANCE(A1598,""high""),"""")"),1585.0)</f>
        <v>1585</v>
      </c>
      <c r="Y1598" s="22">
        <f>IFERROR(__xludf.DUMMYFUNCTION("IFERROR(GOOGLEFINANCE(A1598,""low""),"""")"),1525.0)</f>
        <v>1525</v>
      </c>
      <c r="Z1598" s="22">
        <f>IFERROR(__xludf.DUMMYFUNCTION("IFERROR(GOOGLEFINANCE(A1598,""volume""),"""")"),1.54673E7)</f>
        <v>15467300</v>
      </c>
      <c r="AA1598" s="24" t="str">
        <f>VLOOKUP(A1598,Metrik!$C$2:$Y$959,5,0)</f>
        <v>Construction Materials</v>
      </c>
      <c r="AB1598" s="24" t="str">
        <f>VLOOKUP(A1598,Metrik!$C$2:$Y$959,3,0)</f>
        <v>Basic Materials</v>
      </c>
    </row>
    <row r="1599">
      <c r="A1599" s="14" t="s">
        <v>868</v>
      </c>
      <c r="B1599" s="14" t="str">
        <f t="array" ref="B1599">VLOOKUP(A1599,{Metrik!$C$2:$C$998,Metrik!$B$2:$B$998},2,0)</f>
        <v>Semen Indonesia (Persero) Tbk.</v>
      </c>
      <c r="C1599" s="15">
        <f>IFERROR(__xludf.DUMMYFUNCTION("GOOGLEFINANCE(""IDX:""&amp;A1599,""price"")"),1530.0)</f>
        <v>1530</v>
      </c>
      <c r="D1599" s="16" t="str">
        <f>IFERROR(__xludf.DUMMYFUNCTION("IF(A1599="""","""",
SPARKLINE(
INDEX(
GOOGLEFINANCE(""IDX:""&amp;A1599,""close"",TODAY()-365,TODAY()),
,2
),
{""linewidth"",1}
))
"),"#N/A")</f>
        <v>#N/A</v>
      </c>
      <c r="E1599" s="14" t="s">
        <v>41</v>
      </c>
      <c r="F1599" s="14" t="s">
        <v>34</v>
      </c>
      <c r="G1599" s="24">
        <f t="shared" si="9"/>
        <v>17</v>
      </c>
      <c r="H1599" s="19">
        <f>VLOOKUP(A1599,Metrik!$C$2:$Y$959,8,0)</f>
        <v>49.9</v>
      </c>
      <c r="I1599" s="20">
        <f>VLOOKUP(A1599,Metrik!$C$2:$Y$959,9,0)</f>
        <v>0.24</v>
      </c>
      <c r="J1599" s="20">
        <f>VLOOKUP(A1599,Metrik!$C$2:$Y$959,10,0)</f>
        <v>0.48</v>
      </c>
      <c r="K1599" s="20">
        <f>VLOOKUP(A1599,Metrik!$C$2:$Y$959,11,0)</f>
        <v>0.3</v>
      </c>
      <c r="L1599" s="20">
        <f>VLOOKUP(A1599,Metrik!$C$2:$Y$959,12,0)</f>
        <v>0.58</v>
      </c>
      <c r="M1599" s="20">
        <f>VLOOKUP(A1599,Metrik!$C$2:$Y$959,19,0)</f>
        <v>2.8</v>
      </c>
      <c r="N1599" s="21"/>
      <c r="O1599" s="21"/>
      <c r="P1599" s="21"/>
      <c r="Q1599" s="21"/>
      <c r="R1599" s="21"/>
      <c r="S1599" s="21"/>
      <c r="T1599" s="21"/>
      <c r="U1599" s="22">
        <f>IFERROR(__xludf.DUMMYFUNCTION("IFERROR(GOOGLEFINANCE(A1599,""closeyest""),"""")"),1550.0)</f>
        <v>1550</v>
      </c>
      <c r="V1599" s="23">
        <f>IFERROR(__xludf.DUMMYFUNCTION("IFERROR(GOOGLEFINANCE(A1599,""changepct""),"""")"),-1.29)</f>
        <v>-1.29</v>
      </c>
      <c r="W1599" s="22">
        <f>IFERROR(__xludf.DUMMYFUNCTION("IFERROR(GOOGLEFINANCE(A1599,""priceopen""),"""")"),1550.0)</f>
        <v>1550</v>
      </c>
      <c r="X1599" s="22">
        <f>IFERROR(__xludf.DUMMYFUNCTION("IFERROR(GOOGLEFINANCE(A1599,""high""),"""")"),1585.0)</f>
        <v>1585</v>
      </c>
      <c r="Y1599" s="22">
        <f>IFERROR(__xludf.DUMMYFUNCTION("IFERROR(GOOGLEFINANCE(A1599,""low""),"""")"),1525.0)</f>
        <v>1525</v>
      </c>
      <c r="Z1599" s="22">
        <f>IFERROR(__xludf.DUMMYFUNCTION("IFERROR(GOOGLEFINANCE(A1599,""volume""),"""")"),1.54673E7)</f>
        <v>15467300</v>
      </c>
      <c r="AA1599" s="24" t="str">
        <f>VLOOKUP(A1599,Metrik!$C$2:$Y$959,5,0)</f>
        <v>Construction Materials</v>
      </c>
      <c r="AB1599" s="24" t="str">
        <f>VLOOKUP(A1599,Metrik!$C$2:$Y$959,3,0)</f>
        <v>Basic Materials</v>
      </c>
    </row>
    <row r="1600">
      <c r="A1600" s="14" t="s">
        <v>868</v>
      </c>
      <c r="B1600" s="14" t="str">
        <f t="array" ref="B1600">VLOOKUP(A1600,{Metrik!$C$2:$C$998,Metrik!$B$2:$B$998},2,0)</f>
        <v>Semen Indonesia (Persero) Tbk.</v>
      </c>
      <c r="C1600" s="15">
        <f>IFERROR(__xludf.DUMMYFUNCTION("GOOGLEFINANCE(""IDX:""&amp;A1600,""price"")"),1530.0)</f>
        <v>1530</v>
      </c>
      <c r="D1600" s="16" t="str">
        <f>IFERROR(__xludf.DUMMYFUNCTION("IF(A1600="""","""",
SPARKLINE(
INDEX(
GOOGLEFINANCE(""IDX:""&amp;A1600,""close"",TODAY()-365,TODAY()),
,2
),
{""linewidth"",1}
))
"),"#N/A")</f>
        <v>#N/A</v>
      </c>
      <c r="E1600" s="14" t="s">
        <v>61</v>
      </c>
      <c r="F1600" s="14" t="s">
        <v>34</v>
      </c>
      <c r="G1600" s="24">
        <f t="shared" si="9"/>
        <v>17</v>
      </c>
      <c r="H1600" s="19">
        <f>VLOOKUP(A1600,Metrik!$C$2:$Y$959,8,0)</f>
        <v>49.9</v>
      </c>
      <c r="I1600" s="20">
        <f>VLOOKUP(A1600,Metrik!$C$2:$Y$959,9,0)</f>
        <v>0.24</v>
      </c>
      <c r="J1600" s="20">
        <f>VLOOKUP(A1600,Metrik!$C$2:$Y$959,10,0)</f>
        <v>0.48</v>
      </c>
      <c r="K1600" s="20">
        <f>VLOOKUP(A1600,Metrik!$C$2:$Y$959,11,0)</f>
        <v>0.3</v>
      </c>
      <c r="L1600" s="20">
        <f>VLOOKUP(A1600,Metrik!$C$2:$Y$959,12,0)</f>
        <v>0.58</v>
      </c>
      <c r="M1600" s="20">
        <f>VLOOKUP(A1600,Metrik!$C$2:$Y$959,19,0)</f>
        <v>2.8</v>
      </c>
      <c r="N1600" s="21"/>
      <c r="O1600" s="21"/>
      <c r="P1600" s="21"/>
      <c r="Q1600" s="21"/>
      <c r="R1600" s="21"/>
      <c r="S1600" s="21"/>
      <c r="T1600" s="21"/>
      <c r="U1600" s="22">
        <f>IFERROR(__xludf.DUMMYFUNCTION("IFERROR(GOOGLEFINANCE(A1600,""closeyest""),"""")"),1550.0)</f>
        <v>1550</v>
      </c>
      <c r="V1600" s="23">
        <f>IFERROR(__xludf.DUMMYFUNCTION("IFERROR(GOOGLEFINANCE(A1600,""changepct""),"""")"),-1.29)</f>
        <v>-1.29</v>
      </c>
      <c r="W1600" s="22">
        <f>IFERROR(__xludf.DUMMYFUNCTION("IFERROR(GOOGLEFINANCE(A1600,""priceopen""),"""")"),1550.0)</f>
        <v>1550</v>
      </c>
      <c r="X1600" s="22">
        <f>IFERROR(__xludf.DUMMYFUNCTION("IFERROR(GOOGLEFINANCE(A1600,""high""),"""")"),1585.0)</f>
        <v>1585</v>
      </c>
      <c r="Y1600" s="22">
        <f>IFERROR(__xludf.DUMMYFUNCTION("IFERROR(GOOGLEFINANCE(A1600,""low""),"""")"),1525.0)</f>
        <v>1525</v>
      </c>
      <c r="Z1600" s="22">
        <f>IFERROR(__xludf.DUMMYFUNCTION("IFERROR(GOOGLEFINANCE(A1600,""volume""),"""")"),1.54673E7)</f>
        <v>15467300</v>
      </c>
      <c r="AA1600" s="24" t="str">
        <f>VLOOKUP(A1600,Metrik!$C$2:$Y$959,5,0)</f>
        <v>Construction Materials</v>
      </c>
      <c r="AB1600" s="24" t="str">
        <f>VLOOKUP(A1600,Metrik!$C$2:$Y$959,3,0)</f>
        <v>Basic Materials</v>
      </c>
    </row>
    <row r="1601">
      <c r="A1601" s="48" t="s">
        <v>868</v>
      </c>
      <c r="B1601" s="14" t="str">
        <f t="array" ref="B1601">VLOOKUP(A1601,{Metrik!$C$2:$C$998,Metrik!$B$2:$B$998},2,0)</f>
        <v>Semen Indonesia (Persero) Tbk.</v>
      </c>
      <c r="C1601" s="15">
        <f>IFERROR(__xludf.DUMMYFUNCTION("GOOGLEFINANCE(""IDX:""&amp;A1601,""price"")"),1530.0)</f>
        <v>1530</v>
      </c>
      <c r="D1601" s="16" t="str">
        <f>IFERROR(__xludf.DUMMYFUNCTION("IF(A1601="""","""",
SPARKLINE(
INDEX(
GOOGLEFINANCE(""IDX:""&amp;A1601,""close"",TODAY()-365,TODAY()),
,2
),
{""linewidth"",1}
))
"),"#N/A")</f>
        <v>#N/A</v>
      </c>
      <c r="E1601" s="17" t="s">
        <v>69</v>
      </c>
      <c r="F1601" s="17" t="s">
        <v>70</v>
      </c>
      <c r="G1601" s="24">
        <f t="shared" si="9"/>
        <v>17</v>
      </c>
      <c r="H1601" s="19">
        <f>VLOOKUP(A1601,Metrik!$C$2:$Y$959,8,0)</f>
        <v>49.9</v>
      </c>
      <c r="I1601" s="20">
        <f>VLOOKUP(A1601,Metrik!$C$2:$Y$959,9,0)</f>
        <v>0.24</v>
      </c>
      <c r="J1601" s="20">
        <f>VLOOKUP(A1601,Metrik!$C$2:$Y$959,10,0)</f>
        <v>0.48</v>
      </c>
      <c r="K1601" s="20">
        <f>VLOOKUP(A1601,Metrik!$C$2:$Y$959,11,0)</f>
        <v>0.3</v>
      </c>
      <c r="L1601" s="20">
        <f>VLOOKUP(A1601,Metrik!$C$2:$Y$959,12,0)</f>
        <v>0.58</v>
      </c>
      <c r="M1601" s="20">
        <f>VLOOKUP(A1601,Metrik!$C$2:$Y$959,19,0)</f>
        <v>2.8</v>
      </c>
      <c r="N1601" s="21"/>
      <c r="O1601" s="21"/>
      <c r="P1601" s="21"/>
      <c r="Q1601" s="21"/>
      <c r="R1601" s="21"/>
      <c r="S1601" s="21"/>
      <c r="T1601" s="21"/>
      <c r="U1601" s="22">
        <f>IFERROR(__xludf.DUMMYFUNCTION("IFERROR(GOOGLEFINANCE(A1601,""closeyest""),"""")"),1550.0)</f>
        <v>1550</v>
      </c>
      <c r="V1601" s="23">
        <f>IFERROR(__xludf.DUMMYFUNCTION("IFERROR(GOOGLEFINANCE(A1601,""changepct""),"""")"),-1.29)</f>
        <v>-1.29</v>
      </c>
      <c r="W1601" s="22">
        <f>IFERROR(__xludf.DUMMYFUNCTION("IFERROR(GOOGLEFINANCE(A1601,""priceopen""),"""")"),1550.0)</f>
        <v>1550</v>
      </c>
      <c r="X1601" s="22">
        <f>IFERROR(__xludf.DUMMYFUNCTION("IFERROR(GOOGLEFINANCE(A1601,""high""),"""")"),1585.0)</f>
        <v>1585</v>
      </c>
      <c r="Y1601" s="22">
        <f>IFERROR(__xludf.DUMMYFUNCTION("IFERROR(GOOGLEFINANCE(A1601,""low""),"""")"),1525.0)</f>
        <v>1525</v>
      </c>
      <c r="Z1601" s="22">
        <f>IFERROR(__xludf.DUMMYFUNCTION("IFERROR(GOOGLEFINANCE(A1601,""volume""),"""")"),1.54673E7)</f>
        <v>15467300</v>
      </c>
      <c r="AA1601" s="24" t="str">
        <f>VLOOKUP(A1601,Metrik!$C$2:$Y$959,5,0)</f>
        <v>Construction Materials</v>
      </c>
      <c r="AB1601" s="24" t="str">
        <f>VLOOKUP(A1601,Metrik!$C$2:$Y$959,3,0)</f>
        <v>Basic Materials</v>
      </c>
    </row>
    <row r="1602">
      <c r="A1602" s="17" t="s">
        <v>868</v>
      </c>
      <c r="B1602" s="14" t="str">
        <f t="array" ref="B1602">VLOOKUP(A1602,{Metrik!$C$2:$C$998,Metrik!$B$2:$B$998},2,0)</f>
        <v>Semen Indonesia (Persero) Tbk.</v>
      </c>
      <c r="C1602" s="15">
        <f>IFERROR(__xludf.DUMMYFUNCTION("GOOGLEFINANCE(""IDX:""&amp;A1602,""price"")"),1530.0)</f>
        <v>1530</v>
      </c>
      <c r="D1602" s="16" t="str">
        <f>IFERROR(__xludf.DUMMYFUNCTION("IF(A1602="""","""",
SPARKLINE(
INDEX(
GOOGLEFINANCE(""IDX:""&amp;A1602,""close"",TODAY()-365,TODAY()),
,2
),
{""linewidth"",1}
))
"),"#N/A")</f>
        <v>#N/A</v>
      </c>
      <c r="E1602" s="14" t="s">
        <v>35</v>
      </c>
      <c r="F1602" s="17" t="s">
        <v>36</v>
      </c>
      <c r="G1602" s="33">
        <f t="shared" si="9"/>
        <v>17</v>
      </c>
      <c r="H1602" s="34">
        <f>VLOOKUP(A1602,Metrik!$C$2:$Y$959,8,0)</f>
        <v>49.9</v>
      </c>
      <c r="I1602" s="34">
        <f>VLOOKUP(A1602,Metrik!$C$2:$Y$959,9,0)</f>
        <v>0.24</v>
      </c>
      <c r="J1602" s="34">
        <f>VLOOKUP(A1602,Metrik!$C$2:$Y$959,10,0)</f>
        <v>0.48</v>
      </c>
      <c r="K1602" s="34">
        <f>VLOOKUP(A1602,Metrik!$C$2:$Y$959,11,0)</f>
        <v>0.3</v>
      </c>
      <c r="L1602" s="34">
        <f>VLOOKUP(A1602,Metrik!$C$2:$Y$959,12,0)</f>
        <v>0.58</v>
      </c>
      <c r="M1602" s="34">
        <f>VLOOKUP(A1602,Metrik!$C$2:$Y$959,19,0)</f>
        <v>2.8</v>
      </c>
      <c r="N1602" s="26"/>
      <c r="O1602" s="26"/>
      <c r="P1602" s="26"/>
      <c r="Q1602" s="26"/>
      <c r="R1602" s="26"/>
      <c r="S1602" s="26"/>
      <c r="T1602" s="26"/>
      <c r="U1602" s="35">
        <f>IFERROR(__xludf.DUMMYFUNCTION("IFERROR(GOOGLEFINANCE(A1602,""closeyest""),"""")"),1550.0)</f>
        <v>1550</v>
      </c>
      <c r="V1602" s="36">
        <f>IFERROR(__xludf.DUMMYFUNCTION("IFERROR(GOOGLEFINANCE(A1602,""changepct""),"""")"),-1.29)</f>
        <v>-1.29</v>
      </c>
      <c r="W1602" s="35">
        <f>IFERROR(__xludf.DUMMYFUNCTION("IFERROR(GOOGLEFINANCE(A1602,""priceopen""),"""")"),1550.0)</f>
        <v>1550</v>
      </c>
      <c r="X1602" s="49">
        <f>IFERROR(__xludf.DUMMYFUNCTION("IFERROR(GOOGLEFINANCE(A1602,""high""),"""")"),1585.0)</f>
        <v>1585</v>
      </c>
      <c r="Y1602" s="35">
        <f>IFERROR(__xludf.DUMMYFUNCTION("IFERROR(GOOGLEFINANCE(A1602,""low""),"""")"),1525.0)</f>
        <v>1525</v>
      </c>
      <c r="Z1602" s="35">
        <f>IFERROR(__xludf.DUMMYFUNCTION("IFERROR(GOOGLEFINANCE(A1602,""volume""),"""")"),1.54673E7)</f>
        <v>15467300</v>
      </c>
      <c r="AA1602" s="14" t="str">
        <f>VLOOKUP(A1602,Metrik!$C$2:$Y$959,5,0)</f>
        <v>Construction Materials</v>
      </c>
      <c r="AB1602" s="14" t="str">
        <f>VLOOKUP(A1602,Metrik!$C$2:$Y$959,3,0)</f>
        <v>Basic Materials</v>
      </c>
    </row>
    <row r="1603">
      <c r="A1603" s="14" t="s">
        <v>868</v>
      </c>
      <c r="B1603" s="14" t="str">
        <f t="array" ref="B1603">VLOOKUP(A1603,{Metrik!$C$2:$C$998,Metrik!$B$2:$B$998},2,0)</f>
        <v>Semen Indonesia (Persero) Tbk.</v>
      </c>
      <c r="C1603" s="15">
        <f>IFERROR(__xludf.DUMMYFUNCTION("GOOGLEFINANCE(""IDX:""&amp;A1603,""price"")"),1530.0)</f>
        <v>1530</v>
      </c>
      <c r="D1603" s="16" t="str">
        <f>IFERROR(__xludf.DUMMYFUNCTION("IF(A1603="""","""",
SPARKLINE(
INDEX(
GOOGLEFINANCE(""IDX:""&amp;A1603,""close"",TODAY()-365,TODAY()),
,2
),
{""linewidth"",1}
))
"),"#N/A")</f>
        <v>#N/A</v>
      </c>
      <c r="E1603" s="14" t="s">
        <v>86</v>
      </c>
      <c r="F1603" s="25">
        <v>46356.0</v>
      </c>
      <c r="G1603" s="24">
        <f t="shared" si="9"/>
        <v>17</v>
      </c>
      <c r="H1603" s="19">
        <f>VLOOKUP(A1603,Metrik!$C$2:$Y$959,8,0)</f>
        <v>49.9</v>
      </c>
      <c r="I1603" s="20">
        <f>VLOOKUP(A1603,Metrik!$C$2:$Y$959,9,0)</f>
        <v>0.24</v>
      </c>
      <c r="J1603" s="20">
        <f>VLOOKUP(A1603,Metrik!$C$2:$Y$959,10,0)</f>
        <v>0.48</v>
      </c>
      <c r="K1603" s="20">
        <f>VLOOKUP(A1603,Metrik!$C$2:$Y$959,11,0)</f>
        <v>0.3</v>
      </c>
      <c r="L1603" s="20">
        <f>VLOOKUP(A1603,Metrik!$C$2:$Y$959,12,0)</f>
        <v>0.58</v>
      </c>
      <c r="M1603" s="20">
        <f>VLOOKUP(A1603,Metrik!$C$2:$Y$959,19,0)</f>
        <v>2.8</v>
      </c>
      <c r="N1603" s="21"/>
      <c r="O1603" s="21"/>
      <c r="P1603" s="21"/>
      <c r="Q1603" s="21"/>
      <c r="R1603" s="21"/>
      <c r="S1603" s="21"/>
      <c r="T1603" s="21"/>
      <c r="U1603" s="22">
        <f>IFERROR(__xludf.DUMMYFUNCTION("IFERROR(GOOGLEFINANCE(A1603,""closeyest""),"""")"),1550.0)</f>
        <v>1550</v>
      </c>
      <c r="V1603" s="23">
        <f>IFERROR(__xludf.DUMMYFUNCTION("IFERROR(GOOGLEFINANCE(A1603,""changepct""),"""")"),-1.29)</f>
        <v>-1.29</v>
      </c>
      <c r="W1603" s="22">
        <f>IFERROR(__xludf.DUMMYFUNCTION("IFERROR(GOOGLEFINANCE(A1603,""priceopen""),"""")"),1550.0)</f>
        <v>1550</v>
      </c>
      <c r="X1603" s="22">
        <f>IFERROR(__xludf.DUMMYFUNCTION("IFERROR(GOOGLEFINANCE(A1603,""high""),"""")"),1585.0)</f>
        <v>1585</v>
      </c>
      <c r="Y1603" s="22">
        <f>IFERROR(__xludf.DUMMYFUNCTION("IFERROR(GOOGLEFINANCE(A1603,""low""),"""")"),1525.0)</f>
        <v>1525</v>
      </c>
      <c r="Z1603" s="22">
        <f>IFERROR(__xludf.DUMMYFUNCTION("IFERROR(GOOGLEFINANCE(A1603,""volume""),"""")"),1.54673E7)</f>
        <v>15467300</v>
      </c>
      <c r="AA1603" s="24" t="str">
        <f>VLOOKUP(A1603,Metrik!$C$2:$Y$959,5,0)</f>
        <v>Construction Materials</v>
      </c>
      <c r="AB1603" s="24" t="str">
        <f>VLOOKUP(A1603,Metrik!$C$2:$Y$959,3,0)</f>
        <v>Basic Materials</v>
      </c>
    </row>
    <row r="1604">
      <c r="A1604" s="14" t="s">
        <v>868</v>
      </c>
      <c r="B1604" s="14" t="str">
        <f t="array" ref="B1604">VLOOKUP(A1604,{Metrik!$C$2:$C$998,Metrik!$B$2:$B$998},2,0)</f>
        <v>Semen Indonesia (Persero) Tbk.</v>
      </c>
      <c r="C1604" s="15">
        <f>IFERROR(__xludf.DUMMYFUNCTION("GOOGLEFINANCE(""IDX:""&amp;A1604,""price"")"),1530.0)</f>
        <v>1530</v>
      </c>
      <c r="D1604" s="16" t="str">
        <f>IFERROR(__xludf.DUMMYFUNCTION("IF(A1604="""","""",
SPARKLINE(
INDEX(
GOOGLEFINANCE(""IDX:""&amp;A1604,""close"",TODAY()-365,TODAY()),
,2
),
{""linewidth"",1}
))
"),"#N/A")</f>
        <v>#N/A</v>
      </c>
      <c r="E1604" s="14" t="s">
        <v>39</v>
      </c>
      <c r="F1604" s="25">
        <v>46356.0</v>
      </c>
      <c r="G1604" s="24">
        <f t="shared" si="9"/>
        <v>17</v>
      </c>
      <c r="H1604" s="19">
        <f>VLOOKUP(A1604,Metrik!$C$2:$Y$959,8,0)</f>
        <v>49.9</v>
      </c>
      <c r="I1604" s="20">
        <f>VLOOKUP(A1604,Metrik!$C$2:$Y$959,9,0)</f>
        <v>0.24</v>
      </c>
      <c r="J1604" s="20">
        <f>VLOOKUP(A1604,Metrik!$C$2:$Y$959,10,0)</f>
        <v>0.48</v>
      </c>
      <c r="K1604" s="20">
        <f>VLOOKUP(A1604,Metrik!$C$2:$Y$959,11,0)</f>
        <v>0.3</v>
      </c>
      <c r="L1604" s="20">
        <f>VLOOKUP(A1604,Metrik!$C$2:$Y$959,12,0)</f>
        <v>0.58</v>
      </c>
      <c r="M1604" s="20">
        <f>VLOOKUP(A1604,Metrik!$C$2:$Y$959,19,0)</f>
        <v>2.8</v>
      </c>
      <c r="N1604" s="21"/>
      <c r="O1604" s="21"/>
      <c r="P1604" s="21"/>
      <c r="Q1604" s="21"/>
      <c r="R1604" s="21"/>
      <c r="S1604" s="21"/>
      <c r="T1604" s="21"/>
      <c r="U1604" s="22">
        <f>IFERROR(__xludf.DUMMYFUNCTION("IFERROR(GOOGLEFINANCE(A1604,""closeyest""),"""")"),1550.0)</f>
        <v>1550</v>
      </c>
      <c r="V1604" s="23">
        <f>IFERROR(__xludf.DUMMYFUNCTION("IFERROR(GOOGLEFINANCE(A1604,""changepct""),"""")"),-1.29)</f>
        <v>-1.29</v>
      </c>
      <c r="W1604" s="22">
        <f>IFERROR(__xludf.DUMMYFUNCTION("IFERROR(GOOGLEFINANCE(A1604,""priceopen""),"""")"),1550.0)</f>
        <v>1550</v>
      </c>
      <c r="X1604" s="22">
        <f>IFERROR(__xludf.DUMMYFUNCTION("IFERROR(GOOGLEFINANCE(A1604,""high""),"""")"),1585.0)</f>
        <v>1585</v>
      </c>
      <c r="Y1604" s="22">
        <f>IFERROR(__xludf.DUMMYFUNCTION("IFERROR(GOOGLEFINANCE(A1604,""low""),"""")"),1525.0)</f>
        <v>1525</v>
      </c>
      <c r="Z1604" s="22">
        <f>IFERROR(__xludf.DUMMYFUNCTION("IFERROR(GOOGLEFINANCE(A1604,""volume""),"""")"),1.54673E7)</f>
        <v>15467300</v>
      </c>
      <c r="AA1604" s="24" t="str">
        <f>VLOOKUP(A1604,Metrik!$C$2:$Y$959,5,0)</f>
        <v>Construction Materials</v>
      </c>
      <c r="AB1604" s="24" t="str">
        <f>VLOOKUP(A1604,Metrik!$C$2:$Y$959,3,0)</f>
        <v>Basic Materials</v>
      </c>
    </row>
    <row r="1605">
      <c r="A1605" s="14" t="s">
        <v>869</v>
      </c>
      <c r="B1605" s="14" t="str">
        <f t="array" ref="B1605">VLOOKUP(A1605,{Metrik!$C$2:$C$998,Metrik!$B$2:$B$998},2,0)</f>
        <v>PT Sarana Mitra Luas Tbk</v>
      </c>
      <c r="C1605" s="15">
        <f>IFERROR(__xludf.DUMMYFUNCTION("GOOGLEFINANCE(""IDX:""&amp;A1605,""price"")"),242.0)</f>
        <v>242</v>
      </c>
      <c r="D1605" s="16" t="str">
        <f>IFERROR(__xludf.DUMMYFUNCTION("IF(A1605="""","""",
SPARKLINE(
INDEX(
GOOGLEFINANCE(""IDX:""&amp;A1605,""close"",TODAY()-365,TODAY()),
,2
),
{""linewidth"",1}
))
"),"#N/A")</f>
        <v>#N/A</v>
      </c>
      <c r="E1605" s="14" t="s">
        <v>32</v>
      </c>
      <c r="F1605" s="14" t="s">
        <v>29</v>
      </c>
      <c r="G1605" s="24">
        <f t="shared" si="9"/>
        <v>1</v>
      </c>
      <c r="H1605" s="19">
        <f>VLOOKUP(A1605,Metrik!$C$2:$Y$959,8,0)</f>
        <v>32.4</v>
      </c>
      <c r="I1605" s="20">
        <f>VLOOKUP(A1605,Metrik!$C$2:$Y$959,9,0)</f>
        <v>2.9</v>
      </c>
      <c r="J1605" s="20">
        <f>VLOOKUP(A1605,Metrik!$C$2:$Y$959,10,0)</f>
        <v>9.1</v>
      </c>
      <c r="K1605" s="20">
        <f>VLOOKUP(A1605,Metrik!$C$2:$Y$959,11,0)</f>
        <v>5.9</v>
      </c>
      <c r="L1605" s="20">
        <f>VLOOKUP(A1605,Metrik!$C$2:$Y$959,12,0)</f>
        <v>0.54</v>
      </c>
      <c r="M1605" s="20">
        <f>VLOOKUP(A1605,Metrik!$C$2:$Y$959,19,0)</f>
        <v>54.1</v>
      </c>
      <c r="N1605" s="21"/>
      <c r="O1605" s="21"/>
      <c r="P1605" s="21"/>
      <c r="Q1605" s="21"/>
      <c r="R1605" s="21"/>
      <c r="S1605" s="21"/>
      <c r="T1605" s="21"/>
      <c r="U1605" s="22">
        <f>IFERROR(__xludf.DUMMYFUNCTION("IFERROR(GOOGLEFINANCE(A1605,""closeyest""),"""")"),240.0)</f>
        <v>240</v>
      </c>
      <c r="V1605" s="23">
        <f>IFERROR(__xludf.DUMMYFUNCTION("IFERROR(GOOGLEFINANCE(A1605,""changepct""),"""")"),0.83)</f>
        <v>0.83</v>
      </c>
      <c r="W1605" s="22">
        <f>IFERROR(__xludf.DUMMYFUNCTION("IFERROR(GOOGLEFINANCE(A1605,""priceopen""),"""")"),240.0)</f>
        <v>240</v>
      </c>
      <c r="X1605" s="22">
        <f>IFERROR(__xludf.DUMMYFUNCTION("IFERROR(GOOGLEFINANCE(A1605,""high""),"""")"),244.0)</f>
        <v>244</v>
      </c>
      <c r="Y1605" s="22">
        <f>IFERROR(__xludf.DUMMYFUNCTION("IFERROR(GOOGLEFINANCE(A1605,""low""),"""")"),238.0)</f>
        <v>238</v>
      </c>
      <c r="Z1605" s="22">
        <f>IFERROR(__xludf.DUMMYFUNCTION("IFERROR(GOOGLEFINANCE(A1605,""volume""),"""")"),3369900.0)</f>
        <v>3369900</v>
      </c>
      <c r="AA1605" s="24" t="str">
        <f>VLOOKUP(A1605,Metrik!$C$2:$Y$959,5,0)</f>
        <v>Machinery</v>
      </c>
      <c r="AB1605" s="24" t="str">
        <f>VLOOKUP(A1605,Metrik!$C$2:$Y$959,3,0)</f>
        <v>Industrials</v>
      </c>
    </row>
    <row r="1606">
      <c r="A1606" s="14" t="s">
        <v>870</v>
      </c>
      <c r="B1606" s="14" t="str">
        <f t="array" ref="B1606">VLOOKUP(A1606,{Metrik!$C$2:$C$998,Metrik!$B$2:$B$998},2,0)</f>
        <v>Satyamitra Kemas Lestari Tbk.</v>
      </c>
      <c r="C1606" s="15">
        <f>IFERROR(__xludf.DUMMYFUNCTION("GOOGLEFINANCE(""IDX:""&amp;A1606,""price"")"),120.0)</f>
        <v>120</v>
      </c>
      <c r="D1606" s="16" t="str">
        <f>IFERROR(__xludf.DUMMYFUNCTION("IF(A1606="""","""",
SPARKLINE(
INDEX(
GOOGLEFINANCE(""IDX:""&amp;A1606,""close"",TODAY()-365,TODAY()),
,2
),
{""linewidth"",1}
))
"),"#N/A")</f>
        <v>#N/A</v>
      </c>
      <c r="E1606" s="26"/>
      <c r="F1606" s="26"/>
      <c r="G1606" s="24">
        <f t="shared" si="9"/>
        <v>0</v>
      </c>
      <c r="H1606" s="19">
        <f>VLOOKUP(A1606,Metrik!$C$2:$Y$959,8,0)</f>
        <v>13.6</v>
      </c>
      <c r="I1606" s="20">
        <f>VLOOKUP(A1606,Metrik!$C$2:$Y$959,9,0)</f>
        <v>0.48</v>
      </c>
      <c r="J1606" s="20">
        <f>VLOOKUP(A1606,Metrik!$C$2:$Y$959,10,0)</f>
        <v>3.5</v>
      </c>
      <c r="K1606" s="20">
        <f>VLOOKUP(A1606,Metrik!$C$2:$Y$959,11,0)</f>
        <v>1.3</v>
      </c>
      <c r="L1606" s="20">
        <f>VLOOKUP(A1606,Metrik!$C$2:$Y$959,12,0)</f>
        <v>1.6</v>
      </c>
      <c r="M1606" s="20">
        <f>VLOOKUP(A1606,Metrik!$C$2:$Y$959,19,0)</f>
        <v>8.6</v>
      </c>
      <c r="N1606" s="21"/>
      <c r="O1606" s="21"/>
      <c r="P1606" s="21"/>
      <c r="Q1606" s="21"/>
      <c r="R1606" s="21"/>
      <c r="S1606" s="21"/>
      <c r="T1606" s="21"/>
      <c r="U1606" s="22">
        <f>IFERROR(__xludf.DUMMYFUNCTION("IFERROR(GOOGLEFINANCE(A1606,""closeyest""),"""")"),116.0)</f>
        <v>116</v>
      </c>
      <c r="V1606" s="23">
        <f>IFERROR(__xludf.DUMMYFUNCTION("IFERROR(GOOGLEFINANCE(A1606,""changepct""),"""")"),3.45)</f>
        <v>3.45</v>
      </c>
      <c r="W1606" s="22">
        <f>IFERROR(__xludf.DUMMYFUNCTION("IFERROR(GOOGLEFINANCE(A1606,""priceopen""),"""")"),120.0)</f>
        <v>120</v>
      </c>
      <c r="X1606" s="22">
        <f>IFERROR(__xludf.DUMMYFUNCTION("IFERROR(GOOGLEFINANCE(A1606,""high""),"""")"),122.0)</f>
        <v>122</v>
      </c>
      <c r="Y1606" s="22">
        <f>IFERROR(__xludf.DUMMYFUNCTION("IFERROR(GOOGLEFINANCE(A1606,""low""),"""")"),116.0)</f>
        <v>116</v>
      </c>
      <c r="Z1606" s="22">
        <f>IFERROR(__xludf.DUMMYFUNCTION("IFERROR(GOOGLEFINANCE(A1606,""volume""),"""")"),147700.0)</f>
        <v>147700</v>
      </c>
      <c r="AA1606" s="24" t="str">
        <f>VLOOKUP(A1606,Metrik!$C$2:$Y$959,5,0)</f>
        <v>Containers &amp; Packaging</v>
      </c>
      <c r="AB1606" s="24" t="str">
        <f>VLOOKUP(A1606,Metrik!$C$2:$Y$959,3,0)</f>
        <v>Basic Materials</v>
      </c>
    </row>
    <row r="1607">
      <c r="A1607" s="14" t="s">
        <v>871</v>
      </c>
      <c r="B1607" s="14" t="str">
        <f t="array" ref="B1607">VLOOKUP(A1607,{Metrik!$C$2:$C$998,Metrik!$B$2:$B$998},2,0)</f>
        <v>Sumber Mas Konstruksi Tbk.</v>
      </c>
      <c r="C1607" s="15">
        <f>IFERROR(__xludf.DUMMYFUNCTION("GOOGLEFINANCE(""IDX:""&amp;A1607,""price"")"),61.0)</f>
        <v>61</v>
      </c>
      <c r="D1607" s="16" t="str">
        <f>IFERROR(__xludf.DUMMYFUNCTION("IF(A1607="""","""",
SPARKLINE(
INDEX(
GOOGLEFINANCE(""IDX:""&amp;A1607,""close"",TODAY()-365,TODAY()),
,2
),
{""linewidth"",1}
))
"),"#N/A")</f>
        <v>#N/A</v>
      </c>
      <c r="E1607" s="26"/>
      <c r="F1607" s="26"/>
      <c r="G1607" s="24">
        <f t="shared" si="9"/>
        <v>0</v>
      </c>
      <c r="H1607" s="19">
        <f>VLOOKUP(A1607,Metrik!$C$2:$Y$959,8,0)</f>
        <v>-8970</v>
      </c>
      <c r="I1607" s="20">
        <f>VLOOKUP(A1607,Metrik!$C$2:$Y$959,9,0)</f>
        <v>0.48</v>
      </c>
      <c r="J1607" s="20">
        <f>VLOOKUP(A1607,Metrik!$C$2:$Y$959,10,0)</f>
        <v>-0.01</v>
      </c>
      <c r="K1607" s="20">
        <f>VLOOKUP(A1607,Metrik!$C$2:$Y$959,11,0)</f>
        <v>-0.01</v>
      </c>
      <c r="L1607" s="20">
        <f>VLOOKUP(A1607,Metrik!$C$2:$Y$959,12,0)</f>
        <v>0.02</v>
      </c>
      <c r="M1607" s="20">
        <f>VLOOKUP(A1607,Metrik!$C$2:$Y$959,19,0)</f>
        <v>-0.02</v>
      </c>
      <c r="N1607" s="21"/>
      <c r="O1607" s="21"/>
      <c r="P1607" s="21"/>
      <c r="Q1607" s="21"/>
      <c r="R1607" s="21"/>
      <c r="S1607" s="21"/>
      <c r="T1607" s="21"/>
      <c r="U1607" s="22">
        <f>IFERROR(__xludf.DUMMYFUNCTION("IFERROR(GOOGLEFINANCE(A1607,""closeyest""),"""")"),59.0)</f>
        <v>59</v>
      </c>
      <c r="V1607" s="23">
        <f>IFERROR(__xludf.DUMMYFUNCTION("IFERROR(GOOGLEFINANCE(A1607,""changepct""),"""")"),3.39)</f>
        <v>3.39</v>
      </c>
      <c r="W1607" s="22">
        <f>IFERROR(__xludf.DUMMYFUNCTION("IFERROR(GOOGLEFINANCE(A1607,""priceopen""),"""")"),59.0)</f>
        <v>59</v>
      </c>
      <c r="X1607" s="22">
        <f>IFERROR(__xludf.DUMMYFUNCTION("IFERROR(GOOGLEFINANCE(A1607,""high""),"""")"),64.0)</f>
        <v>64</v>
      </c>
      <c r="Y1607" s="22">
        <f>IFERROR(__xludf.DUMMYFUNCTION("IFERROR(GOOGLEFINANCE(A1607,""low""),"""")"),57.0)</f>
        <v>57</v>
      </c>
      <c r="Z1607" s="22">
        <f>IFERROR(__xludf.DUMMYFUNCTION("IFERROR(GOOGLEFINANCE(A1607,""volume""),"""")"),1.30573E7)</f>
        <v>13057300</v>
      </c>
      <c r="AA1607" s="24" t="str">
        <f>VLOOKUP(A1607,Metrik!$C$2:$Y$959,5,0)</f>
        <v>Heavy Constructions &amp; Civil Engineering</v>
      </c>
      <c r="AB1607" s="24" t="str">
        <f>VLOOKUP(A1607,Metrik!$C$2:$Y$959,3,0)</f>
        <v>Infrastructures</v>
      </c>
    </row>
    <row r="1608">
      <c r="A1608" s="14" t="s">
        <v>872</v>
      </c>
      <c r="B1608" s="14" t="str">
        <f t="array" ref="B1608">VLOOKUP(A1608,{Metrik!$C$2:$C$998,Metrik!$B$2:$B$998},2,0)</f>
        <v>Sinergi Multi Lestarindo Tbk.</v>
      </c>
      <c r="C1608" s="15">
        <f>IFERROR(__xludf.DUMMYFUNCTION("GOOGLEFINANCE(""IDX:""&amp;A1608,""price"")"),92.0)</f>
        <v>92</v>
      </c>
      <c r="D1608" s="16" t="str">
        <f>IFERROR(__xludf.DUMMYFUNCTION("IF(A1608="""","""",
SPARKLINE(
INDEX(
GOOGLEFINANCE(""IDX:""&amp;A1608,""close"",TODAY()-365,TODAY()),
,2
),
{""linewidth"",1}
))
"),"#N/A")</f>
        <v>#N/A</v>
      </c>
      <c r="E1608" s="26"/>
      <c r="F1608" s="26"/>
      <c r="G1608" s="24">
        <f t="shared" si="9"/>
        <v>0</v>
      </c>
      <c r="H1608" s="19">
        <f>VLOOKUP(A1608,Metrik!$C$2:$Y$959,8,0)</f>
        <v>-66.1</v>
      </c>
      <c r="I1608" s="20">
        <f>VLOOKUP(A1608,Metrik!$C$2:$Y$959,9,0)</f>
        <v>2.3</v>
      </c>
      <c r="J1608" s="20">
        <f>VLOOKUP(A1608,Metrik!$C$2:$Y$959,10,0)</f>
        <v>-3.4</v>
      </c>
      <c r="K1608" s="20">
        <f>VLOOKUP(A1608,Metrik!$C$2:$Y$959,11,0)</f>
        <v>-1.7</v>
      </c>
      <c r="L1608" s="20">
        <f>VLOOKUP(A1608,Metrik!$C$2:$Y$959,12,0)</f>
        <v>0.97</v>
      </c>
      <c r="M1608" s="20">
        <f>VLOOKUP(A1608,Metrik!$C$2:$Y$959,19,0)</f>
        <v>-8.1</v>
      </c>
      <c r="N1608" s="21"/>
      <c r="O1608" s="21"/>
      <c r="P1608" s="21"/>
      <c r="Q1608" s="21"/>
      <c r="R1608" s="21"/>
      <c r="S1608" s="21"/>
      <c r="T1608" s="21"/>
      <c r="U1608" s="22">
        <f>IFERROR(__xludf.DUMMYFUNCTION("IFERROR(GOOGLEFINANCE(A1608,""closeyest""),"""")"),91.0)</f>
        <v>91</v>
      </c>
      <c r="V1608" s="23">
        <f>IFERROR(__xludf.DUMMYFUNCTION("IFERROR(GOOGLEFINANCE(A1608,""changepct""),"""")"),1.1)</f>
        <v>1.1</v>
      </c>
      <c r="W1608" s="22">
        <f>IFERROR(__xludf.DUMMYFUNCTION("IFERROR(GOOGLEFINANCE(A1608,""priceopen""),"""")"),90.0)</f>
        <v>90</v>
      </c>
      <c r="X1608" s="22">
        <f>IFERROR(__xludf.DUMMYFUNCTION("IFERROR(GOOGLEFINANCE(A1608,""high""),"""")"),93.0)</f>
        <v>93</v>
      </c>
      <c r="Y1608" s="22">
        <f>IFERROR(__xludf.DUMMYFUNCTION("IFERROR(GOOGLEFINANCE(A1608,""low""),"""")"),88.0)</f>
        <v>88</v>
      </c>
      <c r="Z1608" s="22">
        <f>IFERROR(__xludf.DUMMYFUNCTION("IFERROR(GOOGLEFINANCE(A1608,""volume""),"""")"),1802700.0)</f>
        <v>1802700</v>
      </c>
      <c r="AA1608" s="24" t="str">
        <f>VLOOKUP(A1608,Metrik!$C$2:$Y$959,5,0)</f>
        <v>Chemicals</v>
      </c>
      <c r="AB1608" s="24" t="str">
        <f>VLOOKUP(A1608,Metrik!$C$2:$Y$959,3,0)</f>
        <v>Basic Materials</v>
      </c>
    </row>
    <row r="1609">
      <c r="A1609" s="14" t="s">
        <v>873</v>
      </c>
      <c r="B1609" s="14" t="str">
        <f t="array" ref="B1609">VLOOKUP(A1609,{Metrik!$C$2:$C$998,Metrik!$B$2:$B$998},2,0)</f>
        <v>Sinarmas Multiartha Tbk.</v>
      </c>
      <c r="C1609" s="15">
        <f>IFERROR(__xludf.DUMMYFUNCTION("GOOGLEFINANCE(""IDX:""&amp;A1609,""price"")"),23500.0)</f>
        <v>23500</v>
      </c>
      <c r="D1609" s="16" t="str">
        <f>IFERROR(__xludf.DUMMYFUNCTION("IF(A1609="""","""",
SPARKLINE(
INDEX(
GOOGLEFINANCE(""IDX:""&amp;A1609,""close"",TODAY()-365,TODAY()),
,2
),
{""linewidth"",1}
))
"),"#N/A")</f>
        <v>#N/A</v>
      </c>
      <c r="E1609" s="26"/>
      <c r="F1609" s="26"/>
      <c r="G1609" s="24">
        <f t="shared" si="9"/>
        <v>0</v>
      </c>
      <c r="H1609" s="19">
        <f>VLOOKUP(A1609,Metrik!$C$2:$Y$959,8,0)</f>
        <v>38.2</v>
      </c>
      <c r="I1609" s="20">
        <f>VLOOKUP(A1609,Metrik!$C$2:$Y$959,9,0)</f>
        <v>4</v>
      </c>
      <c r="J1609" s="20">
        <f>VLOOKUP(A1609,Metrik!$C$2:$Y$959,10,0)</f>
        <v>10.5</v>
      </c>
      <c r="K1609" s="20">
        <f>VLOOKUP(A1609,Metrik!$C$2:$Y$959,11,0)</f>
        <v>2.5</v>
      </c>
      <c r="L1609" s="20">
        <f>VLOOKUP(A1609,Metrik!$C$2:$Y$959,12,0)</f>
        <v>3.3</v>
      </c>
      <c r="M1609" s="20">
        <f>VLOOKUP(A1609,Metrik!$C$2:$Y$959,19,0)</f>
        <v>19.4</v>
      </c>
      <c r="N1609" s="21"/>
      <c r="O1609" s="21"/>
      <c r="P1609" s="21"/>
      <c r="Q1609" s="21"/>
      <c r="R1609" s="21"/>
      <c r="S1609" s="21"/>
      <c r="T1609" s="21"/>
      <c r="U1609" s="22">
        <f>IFERROR(__xludf.DUMMYFUNCTION("IFERROR(GOOGLEFINANCE(A1609,""closeyest""),"""")"),23500.0)</f>
        <v>23500</v>
      </c>
      <c r="V1609" s="23">
        <f>IFERROR(__xludf.DUMMYFUNCTION("IFERROR(GOOGLEFINANCE(A1609,""changepct""),"""")"),0.0)</f>
        <v>0</v>
      </c>
      <c r="W1609" s="22">
        <f>IFERROR(__xludf.DUMMYFUNCTION("IFERROR(GOOGLEFINANCE(A1609,""priceopen""),"""")"),23500.0)</f>
        <v>23500</v>
      </c>
      <c r="X1609" s="22">
        <f>IFERROR(__xludf.DUMMYFUNCTION("IFERROR(GOOGLEFINANCE(A1609,""high""),"""")"),23500.0)</f>
        <v>23500</v>
      </c>
      <c r="Y1609" s="22">
        <f>IFERROR(__xludf.DUMMYFUNCTION("IFERROR(GOOGLEFINANCE(A1609,""low""),"""")"),21500.0)</f>
        <v>21500</v>
      </c>
      <c r="Z1609" s="22">
        <f>IFERROR(__xludf.DUMMYFUNCTION("IFERROR(GOOGLEFINANCE(A1609,""volume""),"""")"),15300.0)</f>
        <v>15300</v>
      </c>
      <c r="AA1609" s="24" t="str">
        <f>VLOOKUP(A1609,Metrik!$C$2:$Y$959,5,0)</f>
        <v>Holding &amp; Investment Companies</v>
      </c>
      <c r="AB1609" s="24" t="str">
        <f>VLOOKUP(A1609,Metrik!$C$2:$Y$959,3,0)</f>
        <v>Financials</v>
      </c>
    </row>
    <row r="1610">
      <c r="A1610" s="14" t="s">
        <v>874</v>
      </c>
      <c r="B1610" s="14" t="str">
        <f t="array" ref="B1610">VLOOKUP(A1610,{Metrik!$C$2:$C$998,Metrik!$B$2:$B$998},2,0)</f>
        <v>Golden Eagle Energy Tbk.</v>
      </c>
      <c r="C1610" s="15">
        <f>IFERROR(__xludf.DUMMYFUNCTION("GOOGLEFINANCE(""IDX:""&amp;A1610,""price"")"),1730.0)</f>
        <v>1730</v>
      </c>
      <c r="D1610" s="16" t="str">
        <f>IFERROR(__xludf.DUMMYFUNCTION("IF(A1610="""","""",
SPARKLINE(
INDEX(
GOOGLEFINANCE(""IDX:""&amp;A1610,""close"",TODAY()-365,TODAY()),
,2
),
{""linewidth"",1}
))
"),"#N/A")</f>
        <v>#N/A</v>
      </c>
      <c r="E1610" s="26"/>
      <c r="F1610" s="26"/>
      <c r="G1610" s="24">
        <f t="shared" si="9"/>
        <v>0</v>
      </c>
      <c r="H1610" s="19">
        <f>VLOOKUP(A1610,Metrik!$C$2:$Y$959,8,0)</f>
        <v>140</v>
      </c>
      <c r="I1610" s="20">
        <f>VLOOKUP(A1610,Metrik!$C$2:$Y$959,9,0)</f>
        <v>11.6</v>
      </c>
      <c r="J1610" s="20">
        <f>VLOOKUP(A1610,Metrik!$C$2:$Y$959,10,0)</f>
        <v>8.6</v>
      </c>
      <c r="K1610" s="20">
        <f>VLOOKUP(A1610,Metrik!$C$2:$Y$959,11,0)</f>
        <v>2.4</v>
      </c>
      <c r="L1610" s="20">
        <f>VLOOKUP(A1610,Metrik!$C$2:$Y$959,12,0)</f>
        <v>2.7</v>
      </c>
      <c r="M1610" s="20">
        <f>VLOOKUP(A1610,Metrik!$C$2:$Y$959,19,0)</f>
        <v>12.3</v>
      </c>
      <c r="N1610" s="21"/>
      <c r="O1610" s="21"/>
      <c r="P1610" s="21"/>
      <c r="Q1610" s="21"/>
      <c r="R1610" s="21"/>
      <c r="S1610" s="21"/>
      <c r="T1610" s="21"/>
      <c r="U1610" s="22">
        <f>IFERROR(__xludf.DUMMYFUNCTION("IFERROR(GOOGLEFINANCE(A1610,""closeyest""),"""")"),13.08)</f>
        <v>13.08</v>
      </c>
      <c r="V1610" s="23">
        <f>IFERROR(__xludf.DUMMYFUNCTION("IFERROR(GOOGLEFINANCE(A1610,""changepct""),"""")"),7.11)</f>
        <v>7.11</v>
      </c>
      <c r="W1610" s="22">
        <f>IFERROR(__xludf.DUMMYFUNCTION("IFERROR(GOOGLEFINANCE(A1610,""priceopen""),"""")"),13.0)</f>
        <v>13</v>
      </c>
      <c r="X1610" s="22">
        <f>IFERROR(__xludf.DUMMYFUNCTION("IFERROR(GOOGLEFINANCE(A1610,""high""),"""")"),14.18)</f>
        <v>14.18</v>
      </c>
      <c r="Y1610" s="22">
        <f>IFERROR(__xludf.DUMMYFUNCTION("IFERROR(GOOGLEFINANCE(A1610,""low""),"""")"),12.92)</f>
        <v>12.92</v>
      </c>
      <c r="Z1610" s="22">
        <f>IFERROR(__xludf.DUMMYFUNCTION("IFERROR(GOOGLEFINANCE(A1610,""volume""),"""")"),9878229.0)</f>
        <v>9878229</v>
      </c>
      <c r="AA1610" s="24" t="str">
        <f>VLOOKUP(A1610,Metrik!$C$2:$Y$959,5,0)</f>
        <v>Coal</v>
      </c>
      <c r="AB1610" s="24" t="str">
        <f>VLOOKUP(A1610,Metrik!$C$2:$Y$959,3,0)</f>
        <v>Energy</v>
      </c>
    </row>
    <row r="1611">
      <c r="A1611" s="17" t="s">
        <v>875</v>
      </c>
      <c r="B1611" s="14" t="str">
        <f t="array" ref="B1611">VLOOKUP(A1611,{Metrik!$C$2:$C$998,Metrik!$B$2:$B$998},2,0)</f>
        <v>Summarecon Agung Tbk.</v>
      </c>
      <c r="C1611" s="15">
        <f>IFERROR(__xludf.DUMMYFUNCTION("GOOGLEFINANCE(""IDX:""&amp;A1611,""price"")"),302.0)</f>
        <v>302</v>
      </c>
      <c r="D1611" s="16" t="str">
        <f>IFERROR(__xludf.DUMMYFUNCTION("IF(A1611="""","""",
SPARKLINE(
INDEX(
GOOGLEFINANCE(""IDX:""&amp;A1611,""close"",TODAY()-365,TODAY()),
,2
),
{""linewidth"",1}
))
"),"#N/A")</f>
        <v>#N/A</v>
      </c>
      <c r="E1611" s="14" t="s">
        <v>55</v>
      </c>
      <c r="F1611" s="25">
        <v>46356.0</v>
      </c>
      <c r="G1611" s="18">
        <f t="shared" si="9"/>
        <v>8</v>
      </c>
      <c r="H1611" s="19">
        <f>VLOOKUP(A1611,Metrik!$C$2:$Y$959,8,0)</f>
        <v>6.6</v>
      </c>
      <c r="I1611" s="20">
        <f>VLOOKUP(A1611,Metrik!$C$2:$Y$959,9,0)</f>
        <v>0.29</v>
      </c>
      <c r="J1611" s="20">
        <f>VLOOKUP(A1611,Metrik!$C$2:$Y$959,10,0)</f>
        <v>4.4</v>
      </c>
      <c r="K1611" s="20">
        <f>VLOOKUP(A1611,Metrik!$C$2:$Y$959,11,0)</f>
        <v>1.8</v>
      </c>
      <c r="L1611" s="20">
        <f>VLOOKUP(A1611,Metrik!$C$2:$Y$959,12,0)</f>
        <v>1.4</v>
      </c>
      <c r="M1611" s="20">
        <f>VLOOKUP(A1611,Metrik!$C$2:$Y$959,19,0)</f>
        <v>32.2</v>
      </c>
      <c r="N1611" s="21"/>
      <c r="O1611" s="21"/>
      <c r="P1611" s="21"/>
      <c r="Q1611" s="21"/>
      <c r="R1611" s="21"/>
      <c r="S1611" s="21"/>
      <c r="T1611" s="21"/>
      <c r="U1611" s="22" t="str">
        <f>IFERROR(__xludf.DUMMYFUNCTION("IFERROR(GOOGLEFINANCE(A1611,""closeyest""),"""")"),"")</f>
        <v/>
      </c>
      <c r="V1611" s="23">
        <f>IFERROR(__xludf.DUMMYFUNCTION("IFERROR(GOOGLEFINANCE(A1611,""changepct""),"""")"),4.14)</f>
        <v>4.14</v>
      </c>
      <c r="W1611" s="22">
        <f>IFERROR(__xludf.DUMMYFUNCTION("IFERROR(GOOGLEFINANCE(A1611,""priceopen""),"""")"),296.0)</f>
        <v>296</v>
      </c>
      <c r="X1611" s="22">
        <f>IFERROR(__xludf.DUMMYFUNCTION("IFERROR(GOOGLEFINANCE(A1611,""high""),"""")"),304.0)</f>
        <v>304</v>
      </c>
      <c r="Y1611" s="22">
        <f>IFERROR(__xludf.DUMMYFUNCTION("IFERROR(GOOGLEFINANCE(A1611,""low""),"""")"),292.0)</f>
        <v>292</v>
      </c>
      <c r="Z1611" s="22">
        <f>IFERROR(__xludf.DUMMYFUNCTION("IFERROR(GOOGLEFINANCE(A1611,""volume""),"""")"),2.97757E7)</f>
        <v>29775700</v>
      </c>
      <c r="AA1611" s="24" t="str">
        <f>VLOOKUP(A1611,Metrik!$C$2:$Y$959,5,0)</f>
        <v>Real Estate Management &amp; Development</v>
      </c>
      <c r="AB1611" s="24" t="str">
        <f>VLOOKUP(A1611,Metrik!$C$2:$Y$959,3,0)</f>
        <v>Properties &amp; Real Estate</v>
      </c>
    </row>
    <row r="1612">
      <c r="A1612" s="14" t="s">
        <v>875</v>
      </c>
      <c r="B1612" s="14" t="str">
        <f t="array" ref="B1612">VLOOKUP(A1612,{Metrik!$C$2:$C$998,Metrik!$B$2:$B$998},2,0)</f>
        <v>Summarecon Agung Tbk.</v>
      </c>
      <c r="C1612" s="15">
        <f>IFERROR(__xludf.DUMMYFUNCTION("GOOGLEFINANCE(""IDX:""&amp;A1612,""price"")"),302.0)</f>
        <v>302</v>
      </c>
      <c r="D1612" s="16" t="str">
        <f>IFERROR(__xludf.DUMMYFUNCTION("IF(A1612="""","""",
SPARKLINE(
INDEX(
GOOGLEFINANCE(""IDX:""&amp;A1612,""close"",TODAY()-365,TODAY()),
,2
),
{""linewidth"",1}
))
"),"#N/A")</f>
        <v>#N/A</v>
      </c>
      <c r="E1612" s="14" t="s">
        <v>52</v>
      </c>
      <c r="F1612" s="27" t="s">
        <v>53</v>
      </c>
      <c r="G1612" s="24">
        <f t="shared" si="9"/>
        <v>8</v>
      </c>
      <c r="H1612" s="19">
        <f>VLOOKUP(A1612,Metrik!$C$2:$Y$959,8,0)</f>
        <v>6.6</v>
      </c>
      <c r="I1612" s="20">
        <f>VLOOKUP(A1612,Metrik!$C$2:$Y$959,9,0)</f>
        <v>0.29</v>
      </c>
      <c r="J1612" s="20">
        <f>VLOOKUP(A1612,Metrik!$C$2:$Y$959,10,0)</f>
        <v>4.4</v>
      </c>
      <c r="K1612" s="20">
        <f>VLOOKUP(A1612,Metrik!$C$2:$Y$959,11,0)</f>
        <v>1.8</v>
      </c>
      <c r="L1612" s="20">
        <f>VLOOKUP(A1612,Metrik!$C$2:$Y$959,12,0)</f>
        <v>1.4</v>
      </c>
      <c r="M1612" s="20">
        <f>VLOOKUP(A1612,Metrik!$C$2:$Y$959,19,0)</f>
        <v>32.2</v>
      </c>
      <c r="N1612" s="21"/>
      <c r="O1612" s="21"/>
      <c r="P1612" s="21"/>
      <c r="Q1612" s="21"/>
      <c r="R1612" s="21"/>
      <c r="S1612" s="21"/>
      <c r="T1612" s="21"/>
      <c r="U1612" s="22" t="str">
        <f>IFERROR(__xludf.DUMMYFUNCTION("IFERROR(GOOGLEFINANCE(A1612,""closeyest""),"""")"),"")</f>
        <v/>
      </c>
      <c r="V1612" s="23">
        <f>IFERROR(__xludf.DUMMYFUNCTION("IFERROR(GOOGLEFINANCE(A1612,""changepct""),"""")"),4.14)</f>
        <v>4.14</v>
      </c>
      <c r="W1612" s="22">
        <f>IFERROR(__xludf.DUMMYFUNCTION("IFERROR(GOOGLEFINANCE(A1612,""priceopen""),"""")"),296.0)</f>
        <v>296</v>
      </c>
      <c r="X1612" s="22">
        <f>IFERROR(__xludf.DUMMYFUNCTION("IFERROR(GOOGLEFINANCE(A1612,""high""),"""")"),304.0)</f>
        <v>304</v>
      </c>
      <c r="Y1612" s="22">
        <f>IFERROR(__xludf.DUMMYFUNCTION("IFERROR(GOOGLEFINANCE(A1612,""low""),"""")"),292.0)</f>
        <v>292</v>
      </c>
      <c r="Z1612" s="22">
        <f>IFERROR(__xludf.DUMMYFUNCTION("IFERROR(GOOGLEFINANCE(A1612,""volume""),"""")"),2.97757E7)</f>
        <v>29775700</v>
      </c>
      <c r="AA1612" s="24" t="str">
        <f>VLOOKUP(A1612,Metrik!$C$2:$Y$959,5,0)</f>
        <v>Real Estate Management &amp; Development</v>
      </c>
      <c r="AB1612" s="24" t="str">
        <f>VLOOKUP(A1612,Metrik!$C$2:$Y$959,3,0)</f>
        <v>Properties &amp; Real Estate</v>
      </c>
    </row>
    <row r="1613">
      <c r="A1613" s="14" t="s">
        <v>875</v>
      </c>
      <c r="B1613" s="14" t="str">
        <f t="array" ref="B1613">VLOOKUP(A1613,{Metrik!$C$2:$C$998,Metrik!$B$2:$B$998},2,0)</f>
        <v>Summarecon Agung Tbk.</v>
      </c>
      <c r="C1613" s="15">
        <f>IFERROR(__xludf.DUMMYFUNCTION("GOOGLEFINANCE(""IDX:""&amp;A1613,""price"")"),302.0)</f>
        <v>302</v>
      </c>
      <c r="D1613" s="16" t="str">
        <f>IFERROR(__xludf.DUMMYFUNCTION("IF(A1613="""","""",
SPARKLINE(
INDEX(
GOOGLEFINANCE(""IDX:""&amp;A1613,""close"",TODAY()-365,TODAY()),
,2
),
{""linewidth"",1}
))
"),"#N/A")</f>
        <v>#N/A</v>
      </c>
      <c r="E1613" s="14" t="s">
        <v>161</v>
      </c>
      <c r="F1613" s="14" t="s">
        <v>76</v>
      </c>
      <c r="G1613" s="24">
        <f t="shared" si="9"/>
        <v>8</v>
      </c>
      <c r="H1613" s="19">
        <f>VLOOKUP(A1613,Metrik!$C$2:$Y$959,8,0)</f>
        <v>6.6</v>
      </c>
      <c r="I1613" s="20">
        <f>VLOOKUP(A1613,Metrik!$C$2:$Y$959,9,0)</f>
        <v>0.29</v>
      </c>
      <c r="J1613" s="20">
        <f>VLOOKUP(A1613,Metrik!$C$2:$Y$959,10,0)</f>
        <v>4.4</v>
      </c>
      <c r="K1613" s="20">
        <f>VLOOKUP(A1613,Metrik!$C$2:$Y$959,11,0)</f>
        <v>1.8</v>
      </c>
      <c r="L1613" s="20">
        <f>VLOOKUP(A1613,Metrik!$C$2:$Y$959,12,0)</f>
        <v>1.4</v>
      </c>
      <c r="M1613" s="20">
        <f>VLOOKUP(A1613,Metrik!$C$2:$Y$959,19,0)</f>
        <v>32.2</v>
      </c>
      <c r="N1613" s="21"/>
      <c r="O1613" s="21"/>
      <c r="P1613" s="21"/>
      <c r="Q1613" s="21"/>
      <c r="R1613" s="21"/>
      <c r="S1613" s="21"/>
      <c r="T1613" s="21"/>
      <c r="U1613" s="22" t="str">
        <f>IFERROR(__xludf.DUMMYFUNCTION("IFERROR(GOOGLEFINANCE(A1613,""closeyest""),"""")"),"")</f>
        <v/>
      </c>
      <c r="V1613" s="23">
        <f>IFERROR(__xludf.DUMMYFUNCTION("IFERROR(GOOGLEFINANCE(A1613,""changepct""),"""")"),4.14)</f>
        <v>4.14</v>
      </c>
      <c r="W1613" s="22">
        <f>IFERROR(__xludf.DUMMYFUNCTION("IFERROR(GOOGLEFINANCE(A1613,""priceopen""),"""")"),296.0)</f>
        <v>296</v>
      </c>
      <c r="X1613" s="22">
        <f>IFERROR(__xludf.DUMMYFUNCTION("IFERROR(GOOGLEFINANCE(A1613,""high""),"""")"),304.0)</f>
        <v>304</v>
      </c>
      <c r="Y1613" s="22">
        <f>IFERROR(__xludf.DUMMYFUNCTION("IFERROR(GOOGLEFINANCE(A1613,""low""),"""")"),292.0)</f>
        <v>292</v>
      </c>
      <c r="Z1613" s="22">
        <f>IFERROR(__xludf.DUMMYFUNCTION("IFERROR(GOOGLEFINANCE(A1613,""volume""),"""")"),2.97757E7)</f>
        <v>29775700</v>
      </c>
      <c r="AA1613" s="24" t="str">
        <f>VLOOKUP(A1613,Metrik!$C$2:$Y$959,5,0)</f>
        <v>Real Estate Management &amp; Development</v>
      </c>
      <c r="AB1613" s="24" t="str">
        <f>VLOOKUP(A1613,Metrik!$C$2:$Y$959,3,0)</f>
        <v>Properties &amp; Real Estate</v>
      </c>
    </row>
    <row r="1614">
      <c r="A1614" s="14" t="s">
        <v>875</v>
      </c>
      <c r="B1614" s="14" t="str">
        <f t="array" ref="B1614">VLOOKUP(A1614,{Metrik!$C$2:$C$998,Metrik!$B$2:$B$998},2,0)</f>
        <v>Summarecon Agung Tbk.</v>
      </c>
      <c r="C1614" s="15">
        <f>IFERROR(__xludf.DUMMYFUNCTION("GOOGLEFINANCE(""IDX:""&amp;A1614,""price"")"),302.0)</f>
        <v>302</v>
      </c>
      <c r="D1614" s="16" t="str">
        <f>IFERROR(__xludf.DUMMYFUNCTION("IF(A1614="""","""",
SPARKLINE(
INDEX(
GOOGLEFINANCE(""IDX:""&amp;A1614,""close"",TODAY()-365,TODAY()),
,2
),
{""linewidth"",1}
))
"),"#N/A")</f>
        <v>#N/A</v>
      </c>
      <c r="E1614" s="14" t="s">
        <v>33</v>
      </c>
      <c r="F1614" s="14" t="s">
        <v>34</v>
      </c>
      <c r="G1614" s="24">
        <f t="shared" si="9"/>
        <v>8</v>
      </c>
      <c r="H1614" s="19">
        <f>VLOOKUP(A1614,Metrik!$C$2:$Y$959,8,0)</f>
        <v>6.6</v>
      </c>
      <c r="I1614" s="20">
        <f>VLOOKUP(A1614,Metrik!$C$2:$Y$959,9,0)</f>
        <v>0.29</v>
      </c>
      <c r="J1614" s="20">
        <f>VLOOKUP(A1614,Metrik!$C$2:$Y$959,10,0)</f>
        <v>4.4</v>
      </c>
      <c r="K1614" s="20">
        <f>VLOOKUP(A1614,Metrik!$C$2:$Y$959,11,0)</f>
        <v>1.8</v>
      </c>
      <c r="L1614" s="20">
        <f>VLOOKUP(A1614,Metrik!$C$2:$Y$959,12,0)</f>
        <v>1.4</v>
      </c>
      <c r="M1614" s="20">
        <f>VLOOKUP(A1614,Metrik!$C$2:$Y$959,19,0)</f>
        <v>32.2</v>
      </c>
      <c r="N1614" s="21"/>
      <c r="O1614" s="21"/>
      <c r="P1614" s="21"/>
      <c r="Q1614" s="21"/>
      <c r="R1614" s="21"/>
      <c r="S1614" s="21"/>
      <c r="T1614" s="21"/>
      <c r="U1614" s="22" t="str">
        <f>IFERROR(__xludf.DUMMYFUNCTION("IFERROR(GOOGLEFINANCE(A1614,""closeyest""),"""")"),"")</f>
        <v/>
      </c>
      <c r="V1614" s="23">
        <f>IFERROR(__xludf.DUMMYFUNCTION("IFERROR(GOOGLEFINANCE(A1614,""changepct""),"""")"),4.14)</f>
        <v>4.14</v>
      </c>
      <c r="W1614" s="22">
        <f>IFERROR(__xludf.DUMMYFUNCTION("IFERROR(GOOGLEFINANCE(A1614,""priceopen""),"""")"),296.0)</f>
        <v>296</v>
      </c>
      <c r="X1614" s="22">
        <f>IFERROR(__xludf.DUMMYFUNCTION("IFERROR(GOOGLEFINANCE(A1614,""high""),"""")"),304.0)</f>
        <v>304</v>
      </c>
      <c r="Y1614" s="22">
        <f>IFERROR(__xludf.DUMMYFUNCTION("IFERROR(GOOGLEFINANCE(A1614,""low""),"""")"),292.0)</f>
        <v>292</v>
      </c>
      <c r="Z1614" s="22">
        <f>IFERROR(__xludf.DUMMYFUNCTION("IFERROR(GOOGLEFINANCE(A1614,""volume""),"""")"),2.97757E7)</f>
        <v>29775700</v>
      </c>
      <c r="AA1614" s="24" t="str">
        <f>VLOOKUP(A1614,Metrik!$C$2:$Y$959,5,0)</f>
        <v>Real Estate Management &amp; Development</v>
      </c>
      <c r="AB1614" s="24" t="str">
        <f>VLOOKUP(A1614,Metrik!$C$2:$Y$959,3,0)</f>
        <v>Properties &amp; Real Estate</v>
      </c>
    </row>
    <row r="1615">
      <c r="A1615" s="14" t="s">
        <v>875</v>
      </c>
      <c r="B1615" s="14" t="str">
        <f t="array" ref="B1615">VLOOKUP(A1615,{Metrik!$C$2:$C$998,Metrik!$B$2:$B$998},2,0)</f>
        <v>Summarecon Agung Tbk.</v>
      </c>
      <c r="C1615" s="15">
        <f>IFERROR(__xludf.DUMMYFUNCTION("GOOGLEFINANCE(""IDX:""&amp;A1615,""price"")"),302.0)</f>
        <v>302</v>
      </c>
      <c r="D1615" s="16" t="str">
        <f>IFERROR(__xludf.DUMMYFUNCTION("IF(A1615="""","""",
SPARKLINE(
INDEX(
GOOGLEFINANCE(""IDX:""&amp;A1615,""close"",TODAY()-365,TODAY()),
,2
),
{""linewidth"",1}
))
"),"#N/A")</f>
        <v>#N/A</v>
      </c>
      <c r="E1615" s="14" t="s">
        <v>28</v>
      </c>
      <c r="F1615" s="17" t="s">
        <v>29</v>
      </c>
      <c r="G1615" s="24">
        <f t="shared" si="9"/>
        <v>8</v>
      </c>
      <c r="H1615" s="19">
        <f>VLOOKUP(A1615,Metrik!$C$2:$Y$959,8,0)</f>
        <v>6.6</v>
      </c>
      <c r="I1615" s="20">
        <f>VLOOKUP(A1615,Metrik!$C$2:$Y$959,9,0)</f>
        <v>0.29</v>
      </c>
      <c r="J1615" s="20">
        <f>VLOOKUP(A1615,Metrik!$C$2:$Y$959,10,0)</f>
        <v>4.4</v>
      </c>
      <c r="K1615" s="20">
        <f>VLOOKUP(A1615,Metrik!$C$2:$Y$959,11,0)</f>
        <v>1.8</v>
      </c>
      <c r="L1615" s="20">
        <f>VLOOKUP(A1615,Metrik!$C$2:$Y$959,12,0)</f>
        <v>1.4</v>
      </c>
      <c r="M1615" s="20">
        <f>VLOOKUP(A1615,Metrik!$C$2:$Y$959,19,0)</f>
        <v>32.2</v>
      </c>
      <c r="N1615" s="21"/>
      <c r="O1615" s="21"/>
      <c r="P1615" s="21"/>
      <c r="Q1615" s="21"/>
      <c r="R1615" s="21"/>
      <c r="S1615" s="21"/>
      <c r="T1615" s="21"/>
      <c r="U1615" s="22" t="str">
        <f>IFERROR(__xludf.DUMMYFUNCTION("IFERROR(GOOGLEFINANCE(A1615,""closeyest""),"""")"),"")</f>
        <v/>
      </c>
      <c r="V1615" s="23">
        <f>IFERROR(__xludf.DUMMYFUNCTION("IFERROR(GOOGLEFINANCE(A1615,""changepct""),"""")"),4.14)</f>
        <v>4.14</v>
      </c>
      <c r="W1615" s="22">
        <f>IFERROR(__xludf.DUMMYFUNCTION("IFERROR(GOOGLEFINANCE(A1615,""priceopen""),"""")"),296.0)</f>
        <v>296</v>
      </c>
      <c r="X1615" s="22">
        <f>IFERROR(__xludf.DUMMYFUNCTION("IFERROR(GOOGLEFINANCE(A1615,""high""),"""")"),304.0)</f>
        <v>304</v>
      </c>
      <c r="Y1615" s="22">
        <f>IFERROR(__xludf.DUMMYFUNCTION("IFERROR(GOOGLEFINANCE(A1615,""low""),"""")"),292.0)</f>
        <v>292</v>
      </c>
      <c r="Z1615" s="22">
        <f>IFERROR(__xludf.DUMMYFUNCTION("IFERROR(GOOGLEFINANCE(A1615,""volume""),"""")"),2.97757E7)</f>
        <v>29775700</v>
      </c>
      <c r="AA1615" s="24" t="str">
        <f>VLOOKUP(A1615,Metrik!$C$2:$Y$959,5,0)</f>
        <v>Real Estate Management &amp; Development</v>
      </c>
      <c r="AB1615" s="24" t="str">
        <f>VLOOKUP(A1615,Metrik!$C$2:$Y$959,3,0)</f>
        <v>Properties &amp; Real Estate</v>
      </c>
    </row>
    <row r="1616">
      <c r="A1616" s="14" t="s">
        <v>875</v>
      </c>
      <c r="B1616" s="14" t="str">
        <f t="array" ref="B1616">VLOOKUP(A1616,{Metrik!$C$2:$C$998,Metrik!$B$2:$B$998},2,0)</f>
        <v>Summarecon Agung Tbk.</v>
      </c>
      <c r="C1616" s="15">
        <f>IFERROR(__xludf.DUMMYFUNCTION("GOOGLEFINANCE(""IDX:""&amp;A1616,""price"")"),302.0)</f>
        <v>302</v>
      </c>
      <c r="D1616" s="16" t="str">
        <f>IFERROR(__xludf.DUMMYFUNCTION("IF(A1616="""","""",
SPARKLINE(
INDEX(
GOOGLEFINANCE(""IDX:""&amp;A1616,""close"",TODAY()-365,TODAY()),
,2
),
{""linewidth"",1}
))
"),"#N/A")</f>
        <v>#N/A</v>
      </c>
      <c r="E1616" s="14" t="s">
        <v>32</v>
      </c>
      <c r="F1616" s="14" t="s">
        <v>29</v>
      </c>
      <c r="G1616" s="24">
        <f t="shared" si="9"/>
        <v>8</v>
      </c>
      <c r="H1616" s="19">
        <f>VLOOKUP(A1616,Metrik!$C$2:$Y$959,8,0)</f>
        <v>6.6</v>
      </c>
      <c r="I1616" s="20">
        <f>VLOOKUP(A1616,Metrik!$C$2:$Y$959,9,0)</f>
        <v>0.29</v>
      </c>
      <c r="J1616" s="20">
        <f>VLOOKUP(A1616,Metrik!$C$2:$Y$959,10,0)</f>
        <v>4.4</v>
      </c>
      <c r="K1616" s="20">
        <f>VLOOKUP(A1616,Metrik!$C$2:$Y$959,11,0)</f>
        <v>1.8</v>
      </c>
      <c r="L1616" s="20">
        <f>VLOOKUP(A1616,Metrik!$C$2:$Y$959,12,0)</f>
        <v>1.4</v>
      </c>
      <c r="M1616" s="20">
        <f>VLOOKUP(A1616,Metrik!$C$2:$Y$959,19,0)</f>
        <v>32.2</v>
      </c>
      <c r="N1616" s="21"/>
      <c r="O1616" s="21"/>
      <c r="P1616" s="21"/>
      <c r="Q1616" s="21"/>
      <c r="R1616" s="21"/>
      <c r="S1616" s="21"/>
      <c r="T1616" s="21"/>
      <c r="U1616" s="22" t="str">
        <f>IFERROR(__xludf.DUMMYFUNCTION("IFERROR(GOOGLEFINANCE(A1616,""closeyest""),"""")"),"")</f>
        <v/>
      </c>
      <c r="V1616" s="23">
        <f>IFERROR(__xludf.DUMMYFUNCTION("IFERROR(GOOGLEFINANCE(A1616,""changepct""),"""")"),4.14)</f>
        <v>4.14</v>
      </c>
      <c r="W1616" s="22">
        <f>IFERROR(__xludf.DUMMYFUNCTION("IFERROR(GOOGLEFINANCE(A1616,""priceopen""),"""")"),296.0)</f>
        <v>296</v>
      </c>
      <c r="X1616" s="22">
        <f>IFERROR(__xludf.DUMMYFUNCTION("IFERROR(GOOGLEFINANCE(A1616,""high""),"""")"),304.0)</f>
        <v>304</v>
      </c>
      <c r="Y1616" s="22">
        <f>IFERROR(__xludf.DUMMYFUNCTION("IFERROR(GOOGLEFINANCE(A1616,""low""),"""")"),292.0)</f>
        <v>292</v>
      </c>
      <c r="Z1616" s="22">
        <f>IFERROR(__xludf.DUMMYFUNCTION("IFERROR(GOOGLEFINANCE(A1616,""volume""),"""")"),2.97757E7)</f>
        <v>29775700</v>
      </c>
      <c r="AA1616" s="24" t="str">
        <f>VLOOKUP(A1616,Metrik!$C$2:$Y$959,5,0)</f>
        <v>Real Estate Management &amp; Development</v>
      </c>
      <c r="AB1616" s="24" t="str">
        <f>VLOOKUP(A1616,Metrik!$C$2:$Y$959,3,0)</f>
        <v>Properties &amp; Real Estate</v>
      </c>
    </row>
    <row r="1617">
      <c r="A1617" s="14" t="s">
        <v>875</v>
      </c>
      <c r="B1617" s="14" t="str">
        <f t="array" ref="B1617">VLOOKUP(A1617,{Metrik!$C$2:$C$998,Metrik!$B$2:$B$998},2,0)</f>
        <v>Summarecon Agung Tbk.</v>
      </c>
      <c r="C1617" s="15">
        <f>IFERROR(__xludf.DUMMYFUNCTION("GOOGLEFINANCE(""IDX:""&amp;A1617,""price"")"),302.0)</f>
        <v>302</v>
      </c>
      <c r="D1617" s="16" t="str">
        <f>IFERROR(__xludf.DUMMYFUNCTION("IF(A1617="""","""",
SPARKLINE(
INDEX(
GOOGLEFINANCE(""IDX:""&amp;A1617,""close"",TODAY()-365,TODAY()),
,2
),
{""linewidth"",1}
))
"),"#N/A")</f>
        <v>#N/A</v>
      </c>
      <c r="E1617" s="14" t="s">
        <v>41</v>
      </c>
      <c r="F1617" s="14" t="s">
        <v>34</v>
      </c>
      <c r="G1617" s="24">
        <f t="shared" si="9"/>
        <v>8</v>
      </c>
      <c r="H1617" s="19">
        <f>VLOOKUP(A1617,Metrik!$C$2:$Y$959,8,0)</f>
        <v>6.6</v>
      </c>
      <c r="I1617" s="20">
        <f>VLOOKUP(A1617,Metrik!$C$2:$Y$959,9,0)</f>
        <v>0.29</v>
      </c>
      <c r="J1617" s="20">
        <f>VLOOKUP(A1617,Metrik!$C$2:$Y$959,10,0)</f>
        <v>4.4</v>
      </c>
      <c r="K1617" s="20">
        <f>VLOOKUP(A1617,Metrik!$C$2:$Y$959,11,0)</f>
        <v>1.8</v>
      </c>
      <c r="L1617" s="20">
        <f>VLOOKUP(A1617,Metrik!$C$2:$Y$959,12,0)</f>
        <v>1.4</v>
      </c>
      <c r="M1617" s="20">
        <f>VLOOKUP(A1617,Metrik!$C$2:$Y$959,19,0)</f>
        <v>32.2</v>
      </c>
      <c r="N1617" s="21"/>
      <c r="O1617" s="21"/>
      <c r="P1617" s="21"/>
      <c r="Q1617" s="21"/>
      <c r="R1617" s="21"/>
      <c r="S1617" s="21"/>
      <c r="T1617" s="21"/>
      <c r="U1617" s="22" t="str">
        <f>IFERROR(__xludf.DUMMYFUNCTION("IFERROR(GOOGLEFINANCE(A1617,""closeyest""),"""")"),"")</f>
        <v/>
      </c>
      <c r="V1617" s="23">
        <f>IFERROR(__xludf.DUMMYFUNCTION("IFERROR(GOOGLEFINANCE(A1617,""changepct""),"""")"),4.14)</f>
        <v>4.14</v>
      </c>
      <c r="W1617" s="22">
        <f>IFERROR(__xludf.DUMMYFUNCTION("IFERROR(GOOGLEFINANCE(A1617,""priceopen""),"""")"),296.0)</f>
        <v>296</v>
      </c>
      <c r="X1617" s="22">
        <f>IFERROR(__xludf.DUMMYFUNCTION("IFERROR(GOOGLEFINANCE(A1617,""high""),"""")"),304.0)</f>
        <v>304</v>
      </c>
      <c r="Y1617" s="22">
        <f>IFERROR(__xludf.DUMMYFUNCTION("IFERROR(GOOGLEFINANCE(A1617,""low""),"""")"),292.0)</f>
        <v>292</v>
      </c>
      <c r="Z1617" s="22">
        <f>IFERROR(__xludf.DUMMYFUNCTION("IFERROR(GOOGLEFINANCE(A1617,""volume""),"""")"),2.97757E7)</f>
        <v>29775700</v>
      </c>
      <c r="AA1617" s="24" t="str">
        <f>VLOOKUP(A1617,Metrik!$C$2:$Y$959,5,0)</f>
        <v>Real Estate Management &amp; Development</v>
      </c>
      <c r="AB1617" s="24" t="str">
        <f>VLOOKUP(A1617,Metrik!$C$2:$Y$959,3,0)</f>
        <v>Properties &amp; Real Estate</v>
      </c>
    </row>
    <row r="1618">
      <c r="A1618" s="14" t="s">
        <v>875</v>
      </c>
      <c r="B1618" s="14" t="str">
        <f t="array" ref="B1618">VLOOKUP(A1618,{Metrik!$C$2:$C$998,Metrik!$B$2:$B$998},2,0)</f>
        <v>Summarecon Agung Tbk.</v>
      </c>
      <c r="C1618" s="15">
        <f>IFERROR(__xludf.DUMMYFUNCTION("GOOGLEFINANCE(""IDX:""&amp;A1618,""price"")"),302.0)</f>
        <v>302</v>
      </c>
      <c r="D1618" s="16" t="str">
        <f>IFERROR(__xludf.DUMMYFUNCTION("IF(A1618="""","""",
SPARKLINE(
INDEX(
GOOGLEFINANCE(""IDX:""&amp;A1618,""close"",TODAY()-365,TODAY()),
,2
),
{""linewidth"",1}
))
"),"#N/A")</f>
        <v>#N/A</v>
      </c>
      <c r="E1618" s="14" t="s">
        <v>39</v>
      </c>
      <c r="F1618" s="25">
        <v>46356.0</v>
      </c>
      <c r="G1618" s="24">
        <f t="shared" si="9"/>
        <v>8</v>
      </c>
      <c r="H1618" s="19">
        <f>VLOOKUP(A1618,Metrik!$C$2:$Y$959,8,0)</f>
        <v>6.6</v>
      </c>
      <c r="I1618" s="20">
        <f>VLOOKUP(A1618,Metrik!$C$2:$Y$959,9,0)</f>
        <v>0.29</v>
      </c>
      <c r="J1618" s="20">
        <f>VLOOKUP(A1618,Metrik!$C$2:$Y$959,10,0)</f>
        <v>4.4</v>
      </c>
      <c r="K1618" s="20">
        <f>VLOOKUP(A1618,Metrik!$C$2:$Y$959,11,0)</f>
        <v>1.8</v>
      </c>
      <c r="L1618" s="20">
        <f>VLOOKUP(A1618,Metrik!$C$2:$Y$959,12,0)</f>
        <v>1.4</v>
      </c>
      <c r="M1618" s="20">
        <f>VLOOKUP(A1618,Metrik!$C$2:$Y$959,19,0)</f>
        <v>32.2</v>
      </c>
      <c r="N1618" s="21"/>
      <c r="O1618" s="21"/>
      <c r="P1618" s="21"/>
      <c r="Q1618" s="21"/>
      <c r="R1618" s="21"/>
      <c r="S1618" s="21"/>
      <c r="T1618" s="21"/>
      <c r="U1618" s="22" t="str">
        <f>IFERROR(__xludf.DUMMYFUNCTION("IFERROR(GOOGLEFINANCE(A1618,""closeyest""),"""")"),"")</f>
        <v/>
      </c>
      <c r="V1618" s="23">
        <f>IFERROR(__xludf.DUMMYFUNCTION("IFERROR(GOOGLEFINANCE(A1618,""changepct""),"""")"),4.14)</f>
        <v>4.14</v>
      </c>
      <c r="W1618" s="22">
        <f>IFERROR(__xludf.DUMMYFUNCTION("IFERROR(GOOGLEFINANCE(A1618,""priceopen""),"""")"),296.0)</f>
        <v>296</v>
      </c>
      <c r="X1618" s="22">
        <f>IFERROR(__xludf.DUMMYFUNCTION("IFERROR(GOOGLEFINANCE(A1618,""high""),"""")"),304.0)</f>
        <v>304</v>
      </c>
      <c r="Y1618" s="22">
        <f>IFERROR(__xludf.DUMMYFUNCTION("IFERROR(GOOGLEFINANCE(A1618,""low""),"""")"),292.0)</f>
        <v>292</v>
      </c>
      <c r="Z1618" s="22">
        <f>IFERROR(__xludf.DUMMYFUNCTION("IFERROR(GOOGLEFINANCE(A1618,""volume""),"""")"),2.97757E7)</f>
        <v>29775700</v>
      </c>
      <c r="AA1618" s="24" t="str">
        <f>VLOOKUP(A1618,Metrik!$C$2:$Y$959,5,0)</f>
        <v>Real Estate Management &amp; Development</v>
      </c>
      <c r="AB1618" s="24" t="str">
        <f>VLOOKUP(A1618,Metrik!$C$2:$Y$959,3,0)</f>
        <v>Properties &amp; Real Estate</v>
      </c>
    </row>
    <row r="1619">
      <c r="A1619" s="14" t="s">
        <v>876</v>
      </c>
      <c r="B1619" s="14" t="str">
        <f t="array" ref="B1619">VLOOKUP(A1619,{Metrik!$C$2:$C$998,Metrik!$B$2:$B$998},2,0)</f>
        <v>SMR Utama Tbk</v>
      </c>
      <c r="C1619" s="15">
        <f>IFERROR(__xludf.DUMMYFUNCTION("GOOGLEFINANCE(""IDX:""&amp;A1619,""price"")"),50.0)</f>
        <v>50</v>
      </c>
      <c r="D1619" s="16" t="str">
        <f>IFERROR(__xludf.DUMMYFUNCTION("IF(A1619="""","""",
SPARKLINE(
INDEX(
GOOGLEFINANCE(""IDX:""&amp;A1619,""close"",TODAY()-365,TODAY()),
,2
),
{""linewidth"",1}
))
"),"#N/A")</f>
        <v>#N/A</v>
      </c>
      <c r="E1619" s="26"/>
      <c r="F1619" s="26"/>
      <c r="G1619" s="24">
        <f t="shared" si="9"/>
        <v>0</v>
      </c>
      <c r="H1619" s="19">
        <f>VLOOKUP(A1619,Metrik!$C$2:$Y$959,8,0)</f>
        <v>-29.8</v>
      </c>
      <c r="I1619" s="20">
        <f>VLOOKUP(A1619,Metrik!$C$2:$Y$959,9,0)</f>
        <v>700</v>
      </c>
      <c r="J1619" s="20">
        <f>VLOOKUP(A1619,Metrik!$C$2:$Y$959,10,0)</f>
        <v>-2360</v>
      </c>
      <c r="K1619" s="20">
        <f>VLOOKUP(A1619,Metrik!$C$2:$Y$959,11,0)</f>
        <v>-3.2</v>
      </c>
      <c r="L1619" s="20">
        <f>VLOOKUP(A1619,Metrik!$C$2:$Y$959,12,0)</f>
        <v>730</v>
      </c>
      <c r="M1619" s="20">
        <f>VLOOKUP(A1619,Metrik!$C$2:$Y$959,19,0)</f>
        <v>-35.1</v>
      </c>
      <c r="N1619" s="21"/>
      <c r="O1619" s="21"/>
      <c r="P1619" s="21"/>
      <c r="Q1619" s="21"/>
      <c r="R1619" s="21"/>
      <c r="S1619" s="21"/>
      <c r="T1619" s="21"/>
      <c r="U1619" s="22">
        <f>IFERROR(__xludf.DUMMYFUNCTION("IFERROR(GOOGLEFINANCE(A1619,""closeyest""),"""")"),50.0)</f>
        <v>50</v>
      </c>
      <c r="V1619" s="23">
        <f>IFERROR(__xludf.DUMMYFUNCTION("IFERROR(GOOGLEFINANCE(A1619,""changepct""),"""")"),0.0)</f>
        <v>0</v>
      </c>
      <c r="W1619" s="22" t="str">
        <f>IFERROR(__xludf.DUMMYFUNCTION("IFERROR(GOOGLEFINANCE(A1619,""priceopen""),"""")"),"")</f>
        <v/>
      </c>
      <c r="X1619" s="22" t="str">
        <f>IFERROR(__xludf.DUMMYFUNCTION("IFERROR(GOOGLEFINANCE(A1619,""high""),"""")"),"")</f>
        <v/>
      </c>
      <c r="Y1619" s="22" t="str">
        <f>IFERROR(__xludf.DUMMYFUNCTION("IFERROR(GOOGLEFINANCE(A1619,""low""),"""")"),"")</f>
        <v/>
      </c>
      <c r="Z1619" s="22">
        <f>IFERROR(__xludf.DUMMYFUNCTION("IFERROR(GOOGLEFINANCE(A1619,""volume""),"""")"),0.0)</f>
        <v>0</v>
      </c>
      <c r="AA1619" s="24" t="str">
        <f>VLOOKUP(A1619,Metrik!$C$2:$Y$959,5,0)</f>
        <v>Oil, Gas &amp; Coal Supports</v>
      </c>
      <c r="AB1619" s="24" t="str">
        <f>VLOOKUP(A1619,Metrik!$C$2:$Y$959,3,0)</f>
        <v>Energy</v>
      </c>
    </row>
    <row r="1620">
      <c r="A1620" s="14" t="s">
        <v>877</v>
      </c>
      <c r="B1620" s="14" t="str">
        <f t="array" ref="B1620">VLOOKUP(A1620,{Metrik!$C$2:$C$998,Metrik!$B$2:$B$998},2,0)</f>
        <v>Selamat Sempurna Tbk.</v>
      </c>
      <c r="C1620" s="15">
        <f>IFERROR(__xludf.DUMMYFUNCTION("GOOGLEFINANCE(""IDX:""&amp;A1620,""price"")"),1640.0)</f>
        <v>1640</v>
      </c>
      <c r="D1620" s="16" t="str">
        <f>IFERROR(__xludf.DUMMYFUNCTION("IF(A1620="""","""",
SPARKLINE(
INDEX(
GOOGLEFINANCE(""IDX:""&amp;A1620,""close"",TODAY()-365,TODAY()),
,2
),
{""linewidth"",1}
))
"),"#N/A")</f>
        <v>#N/A</v>
      </c>
      <c r="E1620" s="14" t="s">
        <v>47</v>
      </c>
      <c r="F1620" s="25">
        <v>46356.0</v>
      </c>
      <c r="G1620" s="18">
        <f t="shared" si="9"/>
        <v>2</v>
      </c>
      <c r="H1620" s="19">
        <f>VLOOKUP(A1620,Metrik!$C$2:$Y$959,8,0)</f>
        <v>8.9</v>
      </c>
      <c r="I1620" s="20">
        <f>VLOOKUP(A1620,Metrik!$C$2:$Y$959,9,0)</f>
        <v>2.1</v>
      </c>
      <c r="J1620" s="20">
        <f>VLOOKUP(A1620,Metrik!$C$2:$Y$959,10,0)</f>
        <v>24.2</v>
      </c>
      <c r="K1620" s="20">
        <f>VLOOKUP(A1620,Metrik!$C$2:$Y$959,11,0)</f>
        <v>20.2</v>
      </c>
      <c r="L1620" s="20">
        <f>VLOOKUP(A1620,Metrik!$C$2:$Y$959,12,0)</f>
        <v>0.2</v>
      </c>
      <c r="M1620" s="20">
        <f>VLOOKUP(A1620,Metrik!$C$2:$Y$959,19,0)</f>
        <v>90</v>
      </c>
      <c r="N1620" s="21"/>
      <c r="O1620" s="21"/>
      <c r="P1620" s="21"/>
      <c r="Q1620" s="21"/>
      <c r="R1620" s="21"/>
      <c r="S1620" s="21"/>
      <c r="T1620" s="21"/>
      <c r="U1620" s="22">
        <f>IFERROR(__xludf.DUMMYFUNCTION("IFERROR(GOOGLEFINANCE(A1620,""closeyest""),"""")"),1615.0)</f>
        <v>1615</v>
      </c>
      <c r="V1620" s="23">
        <f>IFERROR(__xludf.DUMMYFUNCTION("IFERROR(GOOGLEFINANCE(A1620,""changepct""),"""")"),1.55)</f>
        <v>1.55</v>
      </c>
      <c r="W1620" s="22">
        <f>IFERROR(__xludf.DUMMYFUNCTION("IFERROR(GOOGLEFINANCE(A1620,""priceopen""),"""")"),1615.0)</f>
        <v>1615</v>
      </c>
      <c r="X1620" s="22">
        <f>IFERROR(__xludf.DUMMYFUNCTION("IFERROR(GOOGLEFINANCE(A1620,""high""),"""")"),1655.0)</f>
        <v>1655</v>
      </c>
      <c r="Y1620" s="22">
        <f>IFERROR(__xludf.DUMMYFUNCTION("IFERROR(GOOGLEFINANCE(A1620,""low""),"""")"),1615.0)</f>
        <v>1615</v>
      </c>
      <c r="Z1620" s="22">
        <f>IFERROR(__xludf.DUMMYFUNCTION("IFERROR(GOOGLEFINANCE(A1620,""volume""),"""")"),1756300.0)</f>
        <v>1756300</v>
      </c>
      <c r="AA1620" s="24" t="str">
        <f>VLOOKUP(A1620,Metrik!$C$2:$Y$959,5,0)</f>
        <v>Auto Components</v>
      </c>
      <c r="AB1620" s="24" t="str">
        <f>VLOOKUP(A1620,Metrik!$C$2:$Y$959,3,0)</f>
        <v>Consumer Cyclicals</v>
      </c>
    </row>
    <row r="1621">
      <c r="A1621" s="14" t="s">
        <v>877</v>
      </c>
      <c r="B1621" s="14" t="str">
        <f t="array" ref="B1621">VLOOKUP(A1621,{Metrik!$C$2:$C$998,Metrik!$B$2:$B$998},2,0)</f>
        <v>Selamat Sempurna Tbk.</v>
      </c>
      <c r="C1621" s="15">
        <f>IFERROR(__xludf.DUMMYFUNCTION("GOOGLEFINANCE(""IDX:""&amp;A1621,""price"")"),1640.0)</f>
        <v>1640</v>
      </c>
      <c r="D1621" s="16" t="str">
        <f>IFERROR(__xludf.DUMMYFUNCTION("IF(A1621="""","""",
SPARKLINE(
INDEX(
GOOGLEFINANCE(""IDX:""&amp;A1621,""close"",TODAY()-365,TODAY()),
,2
),
{""linewidth"",1}
))
"),"#N/A")</f>
        <v>#N/A</v>
      </c>
      <c r="E1621" s="14" t="s">
        <v>55</v>
      </c>
      <c r="F1621" s="25">
        <v>46356.0</v>
      </c>
      <c r="G1621" s="18">
        <f t="shared" si="9"/>
        <v>2</v>
      </c>
      <c r="H1621" s="19">
        <f>VLOOKUP(A1621,Metrik!$C$2:$Y$959,8,0)</f>
        <v>8.9</v>
      </c>
      <c r="I1621" s="20">
        <f>VLOOKUP(A1621,Metrik!$C$2:$Y$959,9,0)</f>
        <v>2.1</v>
      </c>
      <c r="J1621" s="20">
        <f>VLOOKUP(A1621,Metrik!$C$2:$Y$959,10,0)</f>
        <v>24.2</v>
      </c>
      <c r="K1621" s="20">
        <f>VLOOKUP(A1621,Metrik!$C$2:$Y$959,11,0)</f>
        <v>20.2</v>
      </c>
      <c r="L1621" s="20">
        <f>VLOOKUP(A1621,Metrik!$C$2:$Y$959,12,0)</f>
        <v>0.2</v>
      </c>
      <c r="M1621" s="20">
        <f>VLOOKUP(A1621,Metrik!$C$2:$Y$959,19,0)</f>
        <v>90</v>
      </c>
      <c r="N1621" s="21"/>
      <c r="O1621" s="21"/>
      <c r="P1621" s="21"/>
      <c r="Q1621" s="21"/>
      <c r="R1621" s="21"/>
      <c r="S1621" s="21"/>
      <c r="T1621" s="21"/>
      <c r="U1621" s="22">
        <f>IFERROR(__xludf.DUMMYFUNCTION("IFERROR(GOOGLEFINANCE(A1621,""closeyest""),"""")"),1615.0)</f>
        <v>1615</v>
      </c>
      <c r="V1621" s="23">
        <f>IFERROR(__xludf.DUMMYFUNCTION("IFERROR(GOOGLEFINANCE(A1621,""changepct""),"""")"),1.55)</f>
        <v>1.55</v>
      </c>
      <c r="W1621" s="22">
        <f>IFERROR(__xludf.DUMMYFUNCTION("IFERROR(GOOGLEFINANCE(A1621,""priceopen""),"""")"),1615.0)</f>
        <v>1615</v>
      </c>
      <c r="X1621" s="22">
        <f>IFERROR(__xludf.DUMMYFUNCTION("IFERROR(GOOGLEFINANCE(A1621,""high""),"""")"),1655.0)</f>
        <v>1655</v>
      </c>
      <c r="Y1621" s="22">
        <f>IFERROR(__xludf.DUMMYFUNCTION("IFERROR(GOOGLEFINANCE(A1621,""low""),"""")"),1615.0)</f>
        <v>1615</v>
      </c>
      <c r="Z1621" s="22">
        <f>IFERROR(__xludf.DUMMYFUNCTION("IFERROR(GOOGLEFINANCE(A1621,""volume""),"""")"),1756300.0)</f>
        <v>1756300</v>
      </c>
      <c r="AA1621" s="24" t="str">
        <f>VLOOKUP(A1621,Metrik!$C$2:$Y$959,5,0)</f>
        <v>Auto Components</v>
      </c>
      <c r="AB1621" s="24" t="str">
        <f>VLOOKUP(A1621,Metrik!$C$2:$Y$959,3,0)</f>
        <v>Consumer Cyclicals</v>
      </c>
    </row>
    <row r="1622">
      <c r="A1622" s="14" t="s">
        <v>878</v>
      </c>
      <c r="B1622" s="14" t="str">
        <f t="array" ref="B1622">VLOOKUP(A1622,{Metrik!$C$2:$C$998,Metrik!$B$2:$B$998},2,0)</f>
        <v>Sunter Lakeside Hotel Tbk.</v>
      </c>
      <c r="C1622" s="15">
        <f>IFERROR(__xludf.DUMMYFUNCTION("GOOGLEFINANCE(""IDX:""&amp;A1622,""price"")"),234.0)</f>
        <v>234</v>
      </c>
      <c r="D1622" s="16" t="str">
        <f>IFERROR(__xludf.DUMMYFUNCTION("IF(A1622="""","""",
SPARKLINE(
INDEX(
GOOGLEFINANCE(""IDX:""&amp;A1622,""close"",TODAY()-365,TODAY()),
,2
),
{""linewidth"",1}
))
"),"#N/A")</f>
        <v>#N/A</v>
      </c>
      <c r="E1622" s="26"/>
      <c r="F1622" s="26"/>
      <c r="G1622" s="24">
        <f t="shared" si="9"/>
        <v>0</v>
      </c>
      <c r="H1622" s="19">
        <f>VLOOKUP(A1622,Metrik!$C$2:$Y$959,8,0)</f>
        <v>-29.6</v>
      </c>
      <c r="I1622" s="20">
        <f>VLOOKUP(A1622,Metrik!$C$2:$Y$959,9,0)</f>
        <v>0.68</v>
      </c>
      <c r="J1622" s="20">
        <f>VLOOKUP(A1622,Metrik!$C$2:$Y$959,10,0)</f>
        <v>-2.3</v>
      </c>
      <c r="K1622" s="20">
        <f>VLOOKUP(A1622,Metrik!$C$2:$Y$959,11,0)</f>
        <v>-1.8</v>
      </c>
      <c r="L1622" s="20">
        <f>VLOOKUP(A1622,Metrik!$C$2:$Y$959,12,0)</f>
        <v>0.27</v>
      </c>
      <c r="M1622" s="20">
        <f>VLOOKUP(A1622,Metrik!$C$2:$Y$959,19,0)</f>
        <v>-40.5</v>
      </c>
      <c r="N1622" s="21"/>
      <c r="O1622" s="21"/>
      <c r="P1622" s="21"/>
      <c r="Q1622" s="21"/>
      <c r="R1622" s="21"/>
      <c r="S1622" s="21"/>
      <c r="T1622" s="21"/>
      <c r="U1622" s="22">
        <f>IFERROR(__xludf.DUMMYFUNCTION("IFERROR(GOOGLEFINANCE(A1622,""closeyest""),"""")"),234.0)</f>
        <v>234</v>
      </c>
      <c r="V1622" s="23">
        <f>IFERROR(__xludf.DUMMYFUNCTION("IFERROR(GOOGLEFINANCE(A1622,""changepct""),"""")"),0.0)</f>
        <v>0</v>
      </c>
      <c r="W1622" s="22">
        <f>IFERROR(__xludf.DUMMYFUNCTION("IFERROR(GOOGLEFINANCE(A1622,""priceopen""),"""")"),234.0)</f>
        <v>234</v>
      </c>
      <c r="X1622" s="22">
        <f>IFERROR(__xludf.DUMMYFUNCTION("IFERROR(GOOGLEFINANCE(A1622,""high""),"""")"),240.0)</f>
        <v>240</v>
      </c>
      <c r="Y1622" s="22">
        <f>IFERROR(__xludf.DUMMYFUNCTION("IFERROR(GOOGLEFINANCE(A1622,""low""),"""")"),228.0)</f>
        <v>228</v>
      </c>
      <c r="Z1622" s="22">
        <f>IFERROR(__xludf.DUMMYFUNCTION("IFERROR(GOOGLEFINANCE(A1622,""volume""),"""")"),6689100.0)</f>
        <v>6689100</v>
      </c>
      <c r="AA1622" s="24" t="str">
        <f>VLOOKUP(A1622,Metrik!$C$2:$Y$959,5,0)</f>
        <v>Tourism &amp; Recreation</v>
      </c>
      <c r="AB1622" s="24" t="str">
        <f>VLOOKUP(A1622,Metrik!$C$2:$Y$959,3,0)</f>
        <v>Consumer Cyclicals</v>
      </c>
    </row>
    <row r="1623">
      <c r="A1623" s="14" t="s">
        <v>879</v>
      </c>
      <c r="B1623" s="14" t="str">
        <f t="array" ref="B1623">VLOOKUP(A1623,{Metrik!$C$2:$C$998,Metrik!$B$2:$B$998},2,0)</f>
        <v>Soechi Lines Tbk.</v>
      </c>
      <c r="C1623" s="15">
        <f>IFERROR(__xludf.DUMMYFUNCTION("GOOGLEFINANCE(""IDX:""&amp;A1623,""price"")"),322.0)</f>
        <v>322</v>
      </c>
      <c r="D1623" s="16" t="str">
        <f>IFERROR(__xludf.DUMMYFUNCTION("IF(A1623="""","""",
SPARKLINE(
INDEX(
GOOGLEFINANCE(""IDX:""&amp;A1623,""close"",TODAY()-365,TODAY()),
,2
),
{""linewidth"",1}
))
"),"#N/A")</f>
        <v>#N/A</v>
      </c>
      <c r="E1623" s="26"/>
      <c r="F1623" s="26"/>
      <c r="G1623" s="24">
        <f t="shared" si="9"/>
        <v>0</v>
      </c>
      <c r="H1623" s="19">
        <f>VLOOKUP(A1623,Metrik!$C$2:$Y$959,8,0)</f>
        <v>16.5</v>
      </c>
      <c r="I1623" s="20">
        <f>VLOOKUP(A1623,Metrik!$C$2:$Y$959,9,0)</f>
        <v>0.4</v>
      </c>
      <c r="J1623" s="20">
        <f>VLOOKUP(A1623,Metrik!$C$2:$Y$959,10,0)</f>
        <v>2.4</v>
      </c>
      <c r="K1623" s="20">
        <f>VLOOKUP(A1623,Metrik!$C$2:$Y$959,11,0)</f>
        <v>1.7</v>
      </c>
      <c r="L1623" s="20">
        <f>VLOOKUP(A1623,Metrik!$C$2:$Y$959,12,0)</f>
        <v>0.45</v>
      </c>
      <c r="M1623" s="20">
        <f>VLOOKUP(A1623,Metrik!$C$2:$Y$959,19,0)</f>
        <v>28.4</v>
      </c>
      <c r="N1623" s="21"/>
      <c r="O1623" s="21"/>
      <c r="P1623" s="21"/>
      <c r="Q1623" s="21"/>
      <c r="R1623" s="21"/>
      <c r="S1623" s="21"/>
      <c r="T1623" s="21"/>
      <c r="U1623" s="22">
        <f>IFERROR(__xludf.DUMMYFUNCTION("IFERROR(GOOGLEFINANCE(A1623,""closeyest""),"""")"),300.0)</f>
        <v>300</v>
      </c>
      <c r="V1623" s="23">
        <f>IFERROR(__xludf.DUMMYFUNCTION("IFERROR(GOOGLEFINANCE(A1623,""changepct""),"""")"),7.33)</f>
        <v>7.33</v>
      </c>
      <c r="W1623" s="22">
        <f>IFERROR(__xludf.DUMMYFUNCTION("IFERROR(GOOGLEFINANCE(A1623,""priceopen""),"""")"),310.0)</f>
        <v>310</v>
      </c>
      <c r="X1623" s="22">
        <f>IFERROR(__xludf.DUMMYFUNCTION("IFERROR(GOOGLEFINANCE(A1623,""high""),"""")"),348.0)</f>
        <v>348</v>
      </c>
      <c r="Y1623" s="22">
        <f>IFERROR(__xludf.DUMMYFUNCTION("IFERROR(GOOGLEFINANCE(A1623,""low""),"""")"),308.0)</f>
        <v>308</v>
      </c>
      <c r="Z1623" s="22">
        <f>IFERROR(__xludf.DUMMYFUNCTION("IFERROR(GOOGLEFINANCE(A1623,""volume""),"""")"),2.01022E7)</f>
        <v>20102200</v>
      </c>
      <c r="AA1623" s="24" t="str">
        <f>VLOOKUP(A1623,Metrik!$C$2:$Y$959,5,0)</f>
        <v>Oil &amp; Gas</v>
      </c>
      <c r="AB1623" s="24" t="str">
        <f>VLOOKUP(A1623,Metrik!$C$2:$Y$959,3,0)</f>
        <v>Energy</v>
      </c>
    </row>
    <row r="1624">
      <c r="A1624" s="14" t="s">
        <v>880</v>
      </c>
      <c r="B1624" s="14" t="str">
        <f t="array" ref="B1624">VLOOKUP(A1624,{Metrik!$C$2:$C$998,Metrik!$B$2:$B$998},2,0)</f>
        <v>Solusi Environment Asia Tbk.</v>
      </c>
      <c r="C1624" s="15">
        <f>IFERROR(__xludf.DUMMYFUNCTION("GOOGLEFINANCE(""IDX:""&amp;A1624,""price"")"),252.0)</f>
        <v>252</v>
      </c>
      <c r="D1624" s="16" t="str">
        <f>IFERROR(__xludf.DUMMYFUNCTION("IF(A1624="""","""",
SPARKLINE(
INDEX(
GOOGLEFINANCE(""IDX:""&amp;A1624,""close"",TODAY()-365,TODAY()),
,2
),
{""linewidth"",1}
))
"),"#N/A")</f>
        <v>#N/A</v>
      </c>
      <c r="E1624" s="26"/>
      <c r="F1624" s="26"/>
      <c r="G1624" s="24">
        <f t="shared" si="9"/>
        <v>0</v>
      </c>
      <c r="H1624" s="19">
        <f>VLOOKUP(A1624,Metrik!$C$2:$Y$959,8,0)</f>
        <v>-130</v>
      </c>
      <c r="I1624" s="20">
        <f>VLOOKUP(A1624,Metrik!$C$2:$Y$959,9,0)</f>
        <v>16.9</v>
      </c>
      <c r="J1624" s="20">
        <f>VLOOKUP(A1624,Metrik!$C$2:$Y$959,10,0)</f>
        <v>-13.3</v>
      </c>
      <c r="K1624" s="20">
        <f>VLOOKUP(A1624,Metrik!$C$2:$Y$959,11,0)</f>
        <v>-10</v>
      </c>
      <c r="L1624" s="20">
        <f>VLOOKUP(A1624,Metrik!$C$2:$Y$959,12,0)</f>
        <v>0.33</v>
      </c>
      <c r="M1624" s="20">
        <f>VLOOKUP(A1624,Metrik!$C$2:$Y$959,19,0)</f>
        <v>-11.5</v>
      </c>
      <c r="N1624" s="21"/>
      <c r="O1624" s="21"/>
      <c r="P1624" s="21"/>
      <c r="Q1624" s="21"/>
      <c r="R1624" s="21"/>
      <c r="S1624" s="21"/>
      <c r="T1624" s="21"/>
      <c r="U1624" s="22">
        <f>IFERROR(__xludf.DUMMYFUNCTION("IFERROR(GOOGLEFINANCE(A1624,""closeyest""),"""")"),13.18)</f>
        <v>13.18</v>
      </c>
      <c r="V1624" s="23">
        <f>IFERROR(__xludf.DUMMYFUNCTION("IFERROR(GOOGLEFINANCE(A1624,""changepct""),"""")"),-1.21)</f>
        <v>-1.21</v>
      </c>
      <c r="W1624" s="22">
        <f>IFERROR(__xludf.DUMMYFUNCTION("IFERROR(GOOGLEFINANCE(A1624,""priceopen""),"""")"),13.59)</f>
        <v>13.59</v>
      </c>
      <c r="X1624" s="22">
        <f>IFERROR(__xludf.DUMMYFUNCTION("IFERROR(GOOGLEFINANCE(A1624,""high""),"""")"),13.59)</f>
        <v>13.59</v>
      </c>
      <c r="Y1624" s="22">
        <f>IFERROR(__xludf.DUMMYFUNCTION("IFERROR(GOOGLEFINANCE(A1624,""low""),"""")"),12.62)</f>
        <v>12.62</v>
      </c>
      <c r="Z1624" s="22">
        <f>IFERROR(__xludf.DUMMYFUNCTION("IFERROR(GOOGLEFINANCE(A1624,""volume""),"""")"),105285.0)</f>
        <v>105285</v>
      </c>
      <c r="AA1624" s="24" t="str">
        <f>VLOOKUP(A1624,Metrik!$C$2:$Y$959,5,0)</f>
        <v>Household Goods</v>
      </c>
      <c r="AB1624" s="24" t="str">
        <f>VLOOKUP(A1624,Metrik!$C$2:$Y$959,3,0)</f>
        <v>Consumer Cyclicals</v>
      </c>
    </row>
    <row r="1625">
      <c r="A1625" s="14" t="s">
        <v>881</v>
      </c>
      <c r="B1625" s="14" t="str">
        <f t="array" ref="B1625">VLOOKUP(A1625,{Metrik!$C$2:$C$998,Metrik!$B$2:$B$998},2,0)</f>
        <v>Soho Global Health Tbk.</v>
      </c>
      <c r="C1625" s="15">
        <f>IFERROR(__xludf.DUMMYFUNCTION("GOOGLEFINANCE(""IDX:""&amp;A1625,""price"")"),1170.0)</f>
        <v>1170</v>
      </c>
      <c r="D1625" s="16" t="str">
        <f>IFERROR(__xludf.DUMMYFUNCTION("IF(A1625="""","""",
SPARKLINE(
INDEX(
GOOGLEFINANCE(""IDX:""&amp;A1625,""close"",TODAY()-365,TODAY()),
,2
),
{""linewidth"",1}
))
"),"#N/A")</f>
        <v>#N/A</v>
      </c>
      <c r="E1625" s="26"/>
      <c r="F1625" s="26"/>
      <c r="G1625" s="24">
        <f t="shared" si="9"/>
        <v>0</v>
      </c>
      <c r="H1625" s="19">
        <f>VLOOKUP(A1625,Metrik!$C$2:$Y$959,8,0)</f>
        <v>29</v>
      </c>
      <c r="I1625" s="20">
        <f>VLOOKUP(A1625,Metrik!$C$2:$Y$959,9,0)</f>
        <v>6.9</v>
      </c>
      <c r="J1625" s="20">
        <f>VLOOKUP(A1625,Metrik!$C$2:$Y$959,10,0)</f>
        <v>23.7</v>
      </c>
      <c r="K1625" s="20">
        <f>VLOOKUP(A1625,Metrik!$C$2:$Y$959,11,0)</f>
        <v>11.3</v>
      </c>
      <c r="L1625" s="20">
        <f>VLOOKUP(A1625,Metrik!$C$2:$Y$959,12,0)</f>
        <v>1.1</v>
      </c>
      <c r="M1625" s="20">
        <f>VLOOKUP(A1625,Metrik!$C$2:$Y$959,19,0)</f>
        <v>24.9</v>
      </c>
      <c r="N1625" s="21"/>
      <c r="O1625" s="21"/>
      <c r="P1625" s="21"/>
      <c r="Q1625" s="21"/>
      <c r="R1625" s="21"/>
      <c r="S1625" s="21"/>
      <c r="T1625" s="21"/>
      <c r="U1625" s="22">
        <f>IFERROR(__xludf.DUMMYFUNCTION("IFERROR(GOOGLEFINANCE(A1625,""closeyest""),"""")"),70.8)</f>
        <v>70.8</v>
      </c>
      <c r="V1625" s="23">
        <f>IFERROR(__xludf.DUMMYFUNCTION("IFERROR(GOOGLEFINANCE(A1625,""changepct""),"""")"),0.14)</f>
        <v>0.14</v>
      </c>
      <c r="W1625" s="22">
        <f>IFERROR(__xludf.DUMMYFUNCTION("IFERROR(GOOGLEFINANCE(A1625,""priceopen""),"""")"),70.94)</f>
        <v>70.94</v>
      </c>
      <c r="X1625" s="22">
        <f>IFERROR(__xludf.DUMMYFUNCTION("IFERROR(GOOGLEFINANCE(A1625,""high""),"""")"),73.0)</f>
        <v>73</v>
      </c>
      <c r="Y1625" s="22">
        <f>IFERROR(__xludf.DUMMYFUNCTION("IFERROR(GOOGLEFINANCE(A1625,""low""),"""")"),70.6)</f>
        <v>70.6</v>
      </c>
      <c r="Z1625" s="22">
        <f>IFERROR(__xludf.DUMMYFUNCTION("IFERROR(GOOGLEFINANCE(A1625,""volume""),"""")"),3694020.0)</f>
        <v>3694020</v>
      </c>
      <c r="AA1625" s="24" t="str">
        <f>VLOOKUP(A1625,Metrik!$C$2:$Y$959,5,0)</f>
        <v>Pharmaceuticals</v>
      </c>
      <c r="AB1625" s="24" t="str">
        <f>VLOOKUP(A1625,Metrik!$C$2:$Y$959,3,0)</f>
        <v>Healthcare</v>
      </c>
    </row>
    <row r="1626">
      <c r="A1626" s="14" t="s">
        <v>882</v>
      </c>
      <c r="B1626" s="14" t="str">
        <f t="array" ref="B1626">VLOOKUP(A1626,{Metrik!$C$2:$C$998,Metrik!$B$2:$B$998},2,0)</f>
        <v>Xolare RCR Energy Tbk.</v>
      </c>
      <c r="C1626" s="15">
        <f>IFERROR(__xludf.DUMMYFUNCTION("GOOGLEFINANCE(""IDX:""&amp;A1626,""price"")"),91.0)</f>
        <v>91</v>
      </c>
      <c r="D1626" s="16" t="str">
        <f>IFERROR(__xludf.DUMMYFUNCTION("IF(A1626="""","""",
SPARKLINE(
INDEX(
GOOGLEFINANCE(""IDX:""&amp;A1626,""close"",TODAY()-365,TODAY()),
,2
),
{""linewidth"",1}
))
"),"#N/A")</f>
        <v>#N/A</v>
      </c>
      <c r="E1626" s="26"/>
      <c r="F1626" s="26"/>
      <c r="G1626" s="24">
        <f t="shared" si="9"/>
        <v>0</v>
      </c>
      <c r="H1626" s="19">
        <f>VLOOKUP(A1626,Metrik!$C$2:$Y$959,8,0)</f>
        <v>6.8</v>
      </c>
      <c r="I1626" s="20">
        <f>VLOOKUP(A1626,Metrik!$C$2:$Y$959,9,0)</f>
        <v>1.8</v>
      </c>
      <c r="J1626" s="20">
        <f>VLOOKUP(A1626,Metrik!$C$2:$Y$959,10,0)</f>
        <v>27.2</v>
      </c>
      <c r="K1626" s="20">
        <f>VLOOKUP(A1626,Metrik!$C$2:$Y$959,11,0)</f>
        <v>16.4</v>
      </c>
      <c r="L1626" s="20">
        <f>VLOOKUP(A1626,Metrik!$C$2:$Y$959,12,0)</f>
        <v>0.66</v>
      </c>
      <c r="M1626" s="20">
        <f>VLOOKUP(A1626,Metrik!$C$2:$Y$959,19,0)</f>
        <v>73.7</v>
      </c>
      <c r="N1626" s="21"/>
      <c r="O1626" s="21"/>
      <c r="P1626" s="21"/>
      <c r="Q1626" s="21"/>
      <c r="R1626" s="21"/>
      <c r="S1626" s="21"/>
      <c r="T1626" s="21"/>
      <c r="U1626" s="22">
        <f>IFERROR(__xludf.DUMMYFUNCTION("IFERROR(GOOGLEFINANCE(A1626,""closeyest""),"""")"),4.91)</f>
        <v>4.91</v>
      </c>
      <c r="V1626" s="23">
        <f>IFERROR(__xludf.DUMMYFUNCTION("IFERROR(GOOGLEFINANCE(A1626,""changepct""),"""")"),0.41)</f>
        <v>0.41</v>
      </c>
      <c r="W1626" s="22">
        <f>IFERROR(__xludf.DUMMYFUNCTION("IFERROR(GOOGLEFINANCE(A1626,""priceopen""),"""")"),4.92)</f>
        <v>4.92</v>
      </c>
      <c r="X1626" s="22">
        <f>IFERROR(__xludf.DUMMYFUNCTION("IFERROR(GOOGLEFINANCE(A1626,""high""),"""")"),5.04)</f>
        <v>5.04</v>
      </c>
      <c r="Y1626" s="22">
        <f>IFERROR(__xludf.DUMMYFUNCTION("IFERROR(GOOGLEFINANCE(A1626,""low""),"""")"),4.92)</f>
        <v>4.92</v>
      </c>
      <c r="Z1626" s="22">
        <f>IFERROR(__xludf.DUMMYFUNCTION("IFERROR(GOOGLEFINANCE(A1626,""volume""),"""")"),3781.0)</f>
        <v>3781</v>
      </c>
      <c r="AA1626" s="24" t="str">
        <f>VLOOKUP(A1626,Metrik!$C$2:$Y$959,5,0)</f>
        <v>Construction Materials</v>
      </c>
      <c r="AB1626" s="24" t="str">
        <f>VLOOKUP(A1626,Metrik!$C$2:$Y$959,3,0)</f>
        <v>Basic Materials</v>
      </c>
    </row>
    <row r="1627">
      <c r="A1627" s="14" t="s">
        <v>883</v>
      </c>
      <c r="B1627" s="14" t="str">
        <f t="array" ref="B1627">VLOOKUP(A1627,{Metrik!$C$2:$C$998,Metrik!$B$2:$B$998},2,0)</f>
        <v>Sona Topas Tourism Industry Tbk.</v>
      </c>
      <c r="C1627" s="15">
        <f>IFERROR(__xludf.DUMMYFUNCTION("GOOGLEFINANCE(""IDX:""&amp;A1627,""price"")"),2060.0)</f>
        <v>2060</v>
      </c>
      <c r="D1627" s="16" t="str">
        <f>IFERROR(__xludf.DUMMYFUNCTION("IF(A1627="""","""",
SPARKLINE(
INDEX(
GOOGLEFINANCE(""IDX:""&amp;A1627,""close"",TODAY()-365,TODAY()),
,2
),
{""linewidth"",1}
))
"),"#N/A")</f>
        <v>#N/A</v>
      </c>
      <c r="E1627" s="26"/>
      <c r="F1627" s="26"/>
      <c r="G1627" s="24">
        <f t="shared" si="9"/>
        <v>0</v>
      </c>
      <c r="H1627" s="19">
        <f>VLOOKUP(A1627,Metrik!$C$2:$Y$959,8,0)</f>
        <v>16.5</v>
      </c>
      <c r="I1627" s="20">
        <f>VLOOKUP(A1627,Metrik!$C$2:$Y$959,9,0)</f>
        <v>1.9</v>
      </c>
      <c r="J1627" s="20">
        <f>VLOOKUP(A1627,Metrik!$C$2:$Y$959,10,0)</f>
        <v>11.7</v>
      </c>
      <c r="K1627" s="20">
        <f>VLOOKUP(A1627,Metrik!$C$2:$Y$959,11,0)</f>
        <v>8.8</v>
      </c>
      <c r="L1627" s="20">
        <f>VLOOKUP(A1627,Metrik!$C$2:$Y$959,12,0)</f>
        <v>0.33</v>
      </c>
      <c r="M1627" s="20">
        <f>VLOOKUP(A1627,Metrik!$C$2:$Y$959,19,0)</f>
        <v>43.2</v>
      </c>
      <c r="N1627" s="21"/>
      <c r="O1627" s="21"/>
      <c r="P1627" s="21"/>
      <c r="Q1627" s="21"/>
      <c r="R1627" s="21"/>
      <c r="S1627" s="21"/>
      <c r="T1627" s="21"/>
      <c r="U1627" s="22">
        <f>IFERROR(__xludf.DUMMYFUNCTION("IFERROR(GOOGLEFINANCE(A1627,""closeyest""),"""")"),0.28)</f>
        <v>0.28</v>
      </c>
      <c r="V1627" s="23">
        <f>IFERROR(__xludf.DUMMYFUNCTION("IFERROR(GOOGLEFINANCE(A1627,""changepct""),"""")"),0.0)</f>
        <v>0</v>
      </c>
      <c r="W1627" s="22">
        <f>IFERROR(__xludf.DUMMYFUNCTION("IFERROR(GOOGLEFINANCE(A1627,""priceopen""),"""")"),0.29)</f>
        <v>0.29</v>
      </c>
      <c r="X1627" s="22">
        <f>IFERROR(__xludf.DUMMYFUNCTION("IFERROR(GOOGLEFINANCE(A1627,""high""),"""")"),0.29)</f>
        <v>0.29</v>
      </c>
      <c r="Y1627" s="22">
        <f>IFERROR(__xludf.DUMMYFUNCTION("IFERROR(GOOGLEFINANCE(A1627,""low""),"""")"),0.26)</f>
        <v>0.26</v>
      </c>
      <c r="Z1627" s="22">
        <f>IFERROR(__xludf.DUMMYFUNCTION("IFERROR(GOOGLEFINANCE(A1627,""volume""),"""")"),73781.0)</f>
        <v>73781</v>
      </c>
      <c r="AA1627" s="24" t="str">
        <f>VLOOKUP(A1627,Metrik!$C$2:$Y$959,5,0)</f>
        <v>Department Stores</v>
      </c>
      <c r="AB1627" s="24" t="str">
        <f>VLOOKUP(A1627,Metrik!$C$2:$Y$959,3,0)</f>
        <v>Consumer Cyclicals</v>
      </c>
    </row>
    <row r="1628">
      <c r="A1628" s="14" t="s">
        <v>884</v>
      </c>
      <c r="B1628" s="14" t="str">
        <f t="array" ref="B1628">VLOOKUP(A1628,{Metrik!$C$2:$C$998,Metrik!$B$2:$B$998},2,0)</f>
        <v>Shield On Service Tbk.</v>
      </c>
      <c r="C1628" s="15">
        <f>IFERROR(__xludf.DUMMYFUNCTION("GOOGLEFINANCE(""IDX:""&amp;A1628,""price"")"),775.0)</f>
        <v>775</v>
      </c>
      <c r="D1628" s="16" t="str">
        <f>IFERROR(__xludf.DUMMYFUNCTION("IF(A1628="""","""",
SPARKLINE(
INDEX(
GOOGLEFINANCE(""IDX:""&amp;A1628,""close"",TODAY()-365,TODAY()),
,2
),
{""linewidth"",1}
))
"),"#N/A")</f>
        <v>#N/A</v>
      </c>
      <c r="E1628" s="26"/>
      <c r="F1628" s="26"/>
      <c r="G1628" s="24">
        <f t="shared" si="9"/>
        <v>0</v>
      </c>
      <c r="H1628" s="19">
        <f>VLOOKUP(A1628,Metrik!$C$2:$Y$959,8,0)</f>
        <v>-42.9</v>
      </c>
      <c r="I1628" s="20">
        <f>VLOOKUP(A1628,Metrik!$C$2:$Y$959,9,0)</f>
        <v>2.9</v>
      </c>
      <c r="J1628" s="20">
        <f>VLOOKUP(A1628,Metrik!$C$2:$Y$959,10,0)</f>
        <v>-6.8</v>
      </c>
      <c r="K1628" s="20">
        <f>VLOOKUP(A1628,Metrik!$C$2:$Y$959,11,0)</f>
        <v>-3.1</v>
      </c>
      <c r="L1628" s="20">
        <f>VLOOKUP(A1628,Metrik!$C$2:$Y$959,12,0)</f>
        <v>1.2</v>
      </c>
      <c r="M1628" s="20">
        <f>VLOOKUP(A1628,Metrik!$C$2:$Y$959,19,0)</f>
        <v>-3.4</v>
      </c>
      <c r="N1628" s="21"/>
      <c r="O1628" s="21"/>
      <c r="P1628" s="21"/>
      <c r="Q1628" s="21"/>
      <c r="R1628" s="21"/>
      <c r="S1628" s="21"/>
      <c r="T1628" s="21"/>
      <c r="U1628" s="22">
        <f>IFERROR(__xludf.DUMMYFUNCTION("IFERROR(GOOGLEFINANCE(A1628,""closeyest""),"""")"),775.0)</f>
        <v>775</v>
      </c>
      <c r="V1628" s="23">
        <f>IFERROR(__xludf.DUMMYFUNCTION("IFERROR(GOOGLEFINANCE(A1628,""changepct""),"""")"),0.0)</f>
        <v>0</v>
      </c>
      <c r="W1628" s="22">
        <f>IFERROR(__xludf.DUMMYFUNCTION("IFERROR(GOOGLEFINANCE(A1628,""priceopen""),"""")"),775.0)</f>
        <v>775</v>
      </c>
      <c r="X1628" s="22">
        <f>IFERROR(__xludf.DUMMYFUNCTION("IFERROR(GOOGLEFINANCE(A1628,""high""),"""")"),775.0)</f>
        <v>775</v>
      </c>
      <c r="Y1628" s="22">
        <f>IFERROR(__xludf.DUMMYFUNCTION("IFERROR(GOOGLEFINANCE(A1628,""low""),"""")"),775.0)</f>
        <v>775</v>
      </c>
      <c r="Z1628" s="22">
        <f>IFERROR(__xludf.DUMMYFUNCTION("IFERROR(GOOGLEFINANCE(A1628,""volume""),"""")"),200.0)</f>
        <v>200</v>
      </c>
      <c r="AA1628" s="24" t="str">
        <f>VLOOKUP(A1628,Metrik!$C$2:$Y$959,5,0)</f>
        <v>Professional Services</v>
      </c>
      <c r="AB1628" s="24" t="str">
        <f>VLOOKUP(A1628,Metrik!$C$2:$Y$959,3,0)</f>
        <v>Industrials</v>
      </c>
    </row>
    <row r="1629">
      <c r="A1629" s="14" t="s">
        <v>885</v>
      </c>
      <c r="B1629" s="14" t="str">
        <f t="array" ref="B1629">VLOOKUP(A1629,{Metrik!$C$2:$C$998,Metrik!$B$2:$B$998},2,0)</f>
        <v>Satria Mega Kencana Tbk.</v>
      </c>
      <c r="C1629" s="15">
        <f>IFERROR(__xludf.DUMMYFUNCTION("GOOGLEFINANCE(""IDX:""&amp;A1629,""price"")"),670.0)</f>
        <v>670</v>
      </c>
      <c r="D1629" s="16" t="str">
        <f>IFERROR(__xludf.DUMMYFUNCTION("IF(A1629="""","""",
SPARKLINE(
INDEX(
GOOGLEFINANCE(""IDX:""&amp;A1629,""close"",TODAY()-365,TODAY()),
,2
),
{""linewidth"",1}
))
"),"#N/A")</f>
        <v>#N/A</v>
      </c>
      <c r="E1629" s="26"/>
      <c r="F1629" s="26"/>
      <c r="G1629" s="24">
        <f t="shared" si="9"/>
        <v>0</v>
      </c>
      <c r="H1629" s="19">
        <f>VLOOKUP(A1629,Metrik!$C$2:$Y$959,8,0)</f>
        <v>-67.7</v>
      </c>
      <c r="I1629" s="20">
        <f>VLOOKUP(A1629,Metrik!$C$2:$Y$959,9,0)</f>
        <v>4</v>
      </c>
      <c r="J1629" s="20">
        <f>VLOOKUP(A1629,Metrik!$C$2:$Y$959,10,0)</f>
        <v>-5.9</v>
      </c>
      <c r="K1629" s="20">
        <f>VLOOKUP(A1629,Metrik!$C$2:$Y$959,11,0)</f>
        <v>-2.6</v>
      </c>
      <c r="L1629" s="20">
        <f>VLOOKUP(A1629,Metrik!$C$2:$Y$959,12,0)</f>
        <v>1.3</v>
      </c>
      <c r="M1629" s="20">
        <f>VLOOKUP(A1629,Metrik!$C$2:$Y$959,19,0)</f>
        <v>-220</v>
      </c>
      <c r="N1629" s="21"/>
      <c r="O1629" s="21"/>
      <c r="P1629" s="21"/>
      <c r="Q1629" s="21"/>
      <c r="R1629" s="21"/>
      <c r="S1629" s="21"/>
      <c r="T1629" s="21"/>
      <c r="U1629" s="22">
        <f>IFERROR(__xludf.DUMMYFUNCTION("IFERROR(GOOGLEFINANCE(A1629,""closeyest""),"""")"),630.0)</f>
        <v>630</v>
      </c>
      <c r="V1629" s="23">
        <f>IFERROR(__xludf.DUMMYFUNCTION("IFERROR(GOOGLEFINANCE(A1629,""changepct""),"""")"),6.35)</f>
        <v>6.35</v>
      </c>
      <c r="W1629" s="22">
        <f>IFERROR(__xludf.DUMMYFUNCTION("IFERROR(GOOGLEFINANCE(A1629,""priceopen""),"""")"),615.0)</f>
        <v>615</v>
      </c>
      <c r="X1629" s="22">
        <f>IFERROR(__xludf.DUMMYFUNCTION("IFERROR(GOOGLEFINANCE(A1629,""high""),"""")"),700.0)</f>
        <v>700</v>
      </c>
      <c r="Y1629" s="22">
        <f>IFERROR(__xludf.DUMMYFUNCTION("IFERROR(GOOGLEFINANCE(A1629,""low""),"""")"),615.0)</f>
        <v>615</v>
      </c>
      <c r="Z1629" s="22">
        <f>IFERROR(__xludf.DUMMYFUNCTION("IFERROR(GOOGLEFINANCE(A1629,""volume""),"""")"),542300.0)</f>
        <v>542300</v>
      </c>
      <c r="AA1629" s="24" t="str">
        <f>VLOOKUP(A1629,Metrik!$C$2:$Y$959,5,0)</f>
        <v>Tourism &amp; Recreation</v>
      </c>
      <c r="AB1629" s="24" t="str">
        <f>VLOOKUP(A1629,Metrik!$C$2:$Y$959,3,0)</f>
        <v>Consumer Cyclicals</v>
      </c>
    </row>
    <row r="1630">
      <c r="A1630" s="14" t="s">
        <v>886</v>
      </c>
      <c r="B1630" s="14" t="str">
        <f t="array" ref="B1630">VLOOKUP(A1630,{Metrik!$C$2:$C$998,Metrik!$B$2:$B$998},2,0)</f>
        <v>PT Mitra Tirta Buwana Tbk</v>
      </c>
      <c r="C1630" s="15">
        <f>IFERROR(__xludf.DUMMYFUNCTION("GOOGLEFINANCE(""IDX:""&amp;A1630,""price"")"),35.0)</f>
        <v>35</v>
      </c>
      <c r="D1630" s="16" t="str">
        <f>IFERROR(__xludf.DUMMYFUNCTION("IF(A1630="""","""",
SPARKLINE(
INDEX(
GOOGLEFINANCE(""IDX:""&amp;A1630,""close"",TODAY()-365,TODAY()),
,2
),
{""linewidth"",1}
))
"),"#N/A")</f>
        <v>#N/A</v>
      </c>
      <c r="E1630" s="26"/>
      <c r="F1630" s="26"/>
      <c r="G1630" s="24">
        <f t="shared" si="9"/>
        <v>0</v>
      </c>
      <c r="H1630" s="19">
        <f>VLOOKUP(A1630,Metrik!$C$2:$Y$959,8,0)</f>
        <v>-11</v>
      </c>
      <c r="I1630" s="20">
        <f>VLOOKUP(A1630,Metrik!$C$2:$Y$959,9,0)</f>
        <v>1.2</v>
      </c>
      <c r="J1630" s="20">
        <f>VLOOKUP(A1630,Metrik!$C$2:$Y$959,10,0)</f>
        <v>-10.9</v>
      </c>
      <c r="K1630" s="20">
        <f>VLOOKUP(A1630,Metrik!$C$2:$Y$959,11,0)</f>
        <v>-10</v>
      </c>
      <c r="L1630" s="20">
        <f>VLOOKUP(A1630,Metrik!$C$2:$Y$959,12,0)</f>
        <v>0.08</v>
      </c>
      <c r="M1630" s="20">
        <f>VLOOKUP(A1630,Metrik!$C$2:$Y$959,19,0)</f>
        <v>-280</v>
      </c>
      <c r="N1630" s="21"/>
      <c r="O1630" s="21"/>
      <c r="P1630" s="21"/>
      <c r="Q1630" s="21"/>
      <c r="R1630" s="21"/>
      <c r="S1630" s="21"/>
      <c r="T1630" s="21"/>
      <c r="U1630" s="22">
        <f>IFERROR(__xludf.DUMMYFUNCTION("IFERROR(GOOGLEFINANCE(A1630,""closeyest""),"""")"),10.35)</f>
        <v>10.35</v>
      </c>
      <c r="V1630" s="23">
        <f>IFERROR(__xludf.DUMMYFUNCTION("IFERROR(GOOGLEFINANCE(A1630,""changepct""),"""")"),0.0)</f>
        <v>0</v>
      </c>
      <c r="W1630" s="22">
        <f>IFERROR(__xludf.DUMMYFUNCTION("IFERROR(GOOGLEFINANCE(A1630,""priceopen""),"""")"),10.35)</f>
        <v>10.35</v>
      </c>
      <c r="X1630" s="22">
        <f>IFERROR(__xludf.DUMMYFUNCTION("IFERROR(GOOGLEFINANCE(A1630,""high""),"""")"),10.35)</f>
        <v>10.35</v>
      </c>
      <c r="Y1630" s="22">
        <f>IFERROR(__xludf.DUMMYFUNCTION("IFERROR(GOOGLEFINANCE(A1630,""low""),"""")"),10.35)</f>
        <v>10.35</v>
      </c>
      <c r="Z1630" s="22">
        <f>IFERROR(__xludf.DUMMYFUNCTION("IFERROR(GOOGLEFINANCE(A1630,""volume""),"""")"),50342.0)</f>
        <v>50342</v>
      </c>
      <c r="AA1630" s="24" t="str">
        <f>VLOOKUP(A1630,Metrik!$C$2:$Y$959,5,0)</f>
        <v>Beverages</v>
      </c>
      <c r="AB1630" s="24" t="str">
        <f>VLOOKUP(A1630,Metrik!$C$2:$Y$959,3,0)</f>
        <v>Consumer Non-Cyclicals</v>
      </c>
    </row>
    <row r="1631">
      <c r="A1631" s="14" t="s">
        <v>887</v>
      </c>
      <c r="B1631" s="14" t="str">
        <f t="array" ref="B1631">VLOOKUP(A1631,{Metrik!$C$2:$C$998,Metrik!$B$2:$B$998},2,0)</f>
        <v>Suparma Tbk.</v>
      </c>
      <c r="C1631" s="15">
        <f>IFERROR(__xludf.DUMMYFUNCTION("GOOGLEFINANCE(""IDX:""&amp;A1631,""price"")"),206.0)</f>
        <v>206</v>
      </c>
      <c r="D1631" s="16" t="str">
        <f>IFERROR(__xludf.DUMMYFUNCTION("IF(A1631="""","""",
SPARKLINE(
INDEX(
GOOGLEFINANCE(""IDX:""&amp;A1631,""close"",TODAY()-365,TODAY()),
,2
),
{""linewidth"",1}
))
"),"#N/A")</f>
        <v>#N/A</v>
      </c>
      <c r="E1631" s="26"/>
      <c r="F1631" s="26"/>
      <c r="G1631" s="24">
        <f t="shared" si="9"/>
        <v>0</v>
      </c>
      <c r="H1631" s="19">
        <f>VLOOKUP(A1631,Metrik!$C$2:$Y$959,8,0)</f>
        <v>8.3</v>
      </c>
      <c r="I1631" s="20">
        <f>VLOOKUP(A1631,Metrik!$C$2:$Y$959,9,0)</f>
        <v>0.34</v>
      </c>
      <c r="J1631" s="20">
        <f>VLOOKUP(A1631,Metrik!$C$2:$Y$959,10,0)</f>
        <v>4.1</v>
      </c>
      <c r="K1631" s="20">
        <f>VLOOKUP(A1631,Metrik!$C$2:$Y$959,11,0)</f>
        <v>2.8</v>
      </c>
      <c r="L1631" s="20">
        <f>VLOOKUP(A1631,Metrik!$C$2:$Y$959,12,0)</f>
        <v>0.5</v>
      </c>
      <c r="M1631" s="20">
        <f>VLOOKUP(A1631,Metrik!$C$2:$Y$959,19,0)</f>
        <v>15.8</v>
      </c>
      <c r="N1631" s="21"/>
      <c r="O1631" s="21"/>
      <c r="P1631" s="21"/>
      <c r="Q1631" s="21"/>
      <c r="R1631" s="21"/>
      <c r="S1631" s="21"/>
      <c r="T1631" s="21"/>
      <c r="U1631" s="22">
        <f>IFERROR(__xludf.DUMMYFUNCTION("IFERROR(GOOGLEFINANCE(A1631,""closeyest""),"""")"),25.13)</f>
        <v>25.13</v>
      </c>
      <c r="V1631" s="23">
        <f>IFERROR(__xludf.DUMMYFUNCTION("IFERROR(GOOGLEFINANCE(A1631,""changepct""),"""")"),-0.36)</f>
        <v>-0.36</v>
      </c>
      <c r="W1631" s="22">
        <f>IFERROR(__xludf.DUMMYFUNCTION("IFERROR(GOOGLEFINANCE(A1631,""priceopen""),"""")"),25.03)</f>
        <v>25.03</v>
      </c>
      <c r="X1631" s="22">
        <f>IFERROR(__xludf.DUMMYFUNCTION("IFERROR(GOOGLEFINANCE(A1631,""high""),"""")"),25.05)</f>
        <v>25.05</v>
      </c>
      <c r="Y1631" s="22">
        <f>IFERROR(__xludf.DUMMYFUNCTION("IFERROR(GOOGLEFINANCE(A1631,""low""),"""")"),25.02)</f>
        <v>25.02</v>
      </c>
      <c r="Z1631" s="22">
        <f>IFERROR(__xludf.DUMMYFUNCTION("IFERROR(GOOGLEFINANCE(A1631,""volume""),"""")"),10411.0)</f>
        <v>10411</v>
      </c>
      <c r="AA1631" s="24" t="str">
        <f>VLOOKUP(A1631,Metrik!$C$2:$Y$959,5,0)</f>
        <v>Containers &amp; Packaging</v>
      </c>
      <c r="AB1631" s="24" t="str">
        <f>VLOOKUP(A1631,Metrik!$C$2:$Y$959,3,0)</f>
        <v>Basic Materials</v>
      </c>
    </row>
    <row r="1632">
      <c r="A1632" s="14" t="s">
        <v>888</v>
      </c>
      <c r="B1632" s="14" t="str">
        <f t="array" ref="B1632">VLOOKUP(A1632,{Metrik!$C$2:$C$998,Metrik!$B$2:$B$998},2,0)</f>
        <v>Soraya Berjaya Indonesia Tbk.</v>
      </c>
      <c r="C1632" s="15">
        <f>IFERROR(__xludf.DUMMYFUNCTION("GOOGLEFINANCE(""IDX:""&amp;A1632,""price"")"),73.0)</f>
        <v>73</v>
      </c>
      <c r="D1632" s="16" t="str">
        <f>IFERROR(__xludf.DUMMYFUNCTION("IF(A1632="""","""",
SPARKLINE(
INDEX(
GOOGLEFINANCE(""IDX:""&amp;A1632,""close"",TODAY()-365,TODAY()),
,2
),
{""linewidth"",1}
))
"),"#N/A")</f>
        <v>#N/A</v>
      </c>
      <c r="E1632" s="26"/>
      <c r="F1632" s="26"/>
      <c r="G1632" s="24">
        <f t="shared" si="9"/>
        <v>0</v>
      </c>
      <c r="H1632" s="19">
        <f>VLOOKUP(A1632,Metrik!$C$2:$Y$959,8,0)</f>
        <v>39.7</v>
      </c>
      <c r="I1632" s="20">
        <f>VLOOKUP(A1632,Metrik!$C$2:$Y$959,9,0)</f>
        <v>1.2</v>
      </c>
      <c r="J1632" s="20">
        <f>VLOOKUP(A1632,Metrik!$C$2:$Y$959,10,0)</f>
        <v>3</v>
      </c>
      <c r="K1632" s="20">
        <f>VLOOKUP(A1632,Metrik!$C$2:$Y$959,11,0)</f>
        <v>2.7</v>
      </c>
      <c r="L1632" s="20">
        <f>VLOOKUP(A1632,Metrik!$C$2:$Y$959,12,0)</f>
        <v>0.12</v>
      </c>
      <c r="M1632" s="20">
        <f>VLOOKUP(A1632,Metrik!$C$2:$Y$959,19,0)</f>
        <v>13.8</v>
      </c>
      <c r="N1632" s="21"/>
      <c r="O1632" s="21"/>
      <c r="P1632" s="21"/>
      <c r="Q1632" s="21"/>
      <c r="R1632" s="21"/>
      <c r="S1632" s="21"/>
      <c r="T1632" s="21"/>
      <c r="U1632" s="22">
        <f>IFERROR(__xludf.DUMMYFUNCTION("IFERROR(GOOGLEFINANCE(A1632,""closeyest""),"""")"),21.24)</f>
        <v>21.24</v>
      </c>
      <c r="V1632" s="23">
        <f>IFERROR(__xludf.DUMMYFUNCTION("IFERROR(GOOGLEFINANCE(A1632,""changepct""),"""")"),1.22)</f>
        <v>1.22</v>
      </c>
      <c r="W1632" s="22">
        <f>IFERROR(__xludf.DUMMYFUNCTION("IFERROR(GOOGLEFINANCE(A1632,""priceopen""),"""")"),21.33)</f>
        <v>21.33</v>
      </c>
      <c r="X1632" s="22">
        <f>IFERROR(__xludf.DUMMYFUNCTION("IFERROR(GOOGLEFINANCE(A1632,""high""),"""")"),21.57)</f>
        <v>21.57</v>
      </c>
      <c r="Y1632" s="22">
        <f>IFERROR(__xludf.DUMMYFUNCTION("IFERROR(GOOGLEFINANCE(A1632,""low""),"""")"),21.33)</f>
        <v>21.33</v>
      </c>
      <c r="Z1632" s="22">
        <f>IFERROR(__xludf.DUMMYFUNCTION("IFERROR(GOOGLEFINANCE(A1632,""volume""),"""")"),6386.0)</f>
        <v>6386</v>
      </c>
      <c r="AA1632" s="24" t="str">
        <f>VLOOKUP(A1632,Metrik!$C$2:$Y$959,5,0)</f>
        <v>Apparel &amp; Luxury Goods</v>
      </c>
      <c r="AB1632" s="24" t="str">
        <f>VLOOKUP(A1632,Metrik!$C$2:$Y$959,3,0)</f>
        <v>Consumer Cyclicals</v>
      </c>
    </row>
    <row r="1633">
      <c r="A1633" s="14" t="s">
        <v>889</v>
      </c>
      <c r="B1633" s="14" t="str">
        <f t="array" ref="B1633">VLOOKUP(A1633,{Metrik!$C$2:$C$998,Metrik!$B$2:$B$998},2,0)</f>
        <v>Surya Pertiwi Tbk.</v>
      </c>
      <c r="C1633" s="15">
        <f>IFERROR(__xludf.DUMMYFUNCTION("GOOGLEFINANCE(""IDX:""&amp;A1633,""price"")"),540.0)</f>
        <v>540</v>
      </c>
      <c r="D1633" s="16" t="str">
        <f>IFERROR(__xludf.DUMMYFUNCTION("IF(A1633="""","""",
SPARKLINE(
INDEX(
GOOGLEFINANCE(""IDX:""&amp;A1633,""close"",TODAY()-365,TODAY()),
,2
),
{""linewidth"",1}
))
"),"#N/A")</f>
        <v>#N/A</v>
      </c>
      <c r="E1633" s="26"/>
      <c r="F1633" s="26"/>
      <c r="G1633" s="24">
        <f t="shared" si="9"/>
        <v>0</v>
      </c>
      <c r="H1633" s="19">
        <f>VLOOKUP(A1633,Metrik!$C$2:$Y$959,8,0)</f>
        <v>6.3</v>
      </c>
      <c r="I1633" s="20">
        <f>VLOOKUP(A1633,Metrik!$C$2:$Y$959,9,0)</f>
        <v>0.62</v>
      </c>
      <c r="J1633" s="20">
        <f>VLOOKUP(A1633,Metrik!$C$2:$Y$959,10,0)</f>
        <v>9.7</v>
      </c>
      <c r="K1633" s="20">
        <f>VLOOKUP(A1633,Metrik!$C$2:$Y$959,11,0)</f>
        <v>7.3</v>
      </c>
      <c r="L1633" s="20">
        <f>VLOOKUP(A1633,Metrik!$C$2:$Y$959,12,0)</f>
        <v>0.33</v>
      </c>
      <c r="M1633" s="20">
        <f>VLOOKUP(A1633,Metrik!$C$2:$Y$959,19,0)</f>
        <v>38.6</v>
      </c>
      <c r="N1633" s="21"/>
      <c r="O1633" s="21"/>
      <c r="P1633" s="21"/>
      <c r="Q1633" s="21"/>
      <c r="R1633" s="21"/>
      <c r="S1633" s="21"/>
      <c r="T1633" s="21"/>
      <c r="U1633" s="22">
        <f>IFERROR(__xludf.DUMMYFUNCTION("IFERROR(GOOGLEFINANCE(A1633,""closeyest""),"""")"),535.0)</f>
        <v>535</v>
      </c>
      <c r="V1633" s="23">
        <f>IFERROR(__xludf.DUMMYFUNCTION("IFERROR(GOOGLEFINANCE(A1633,""changepct""),"""")"),0.93)</f>
        <v>0.93</v>
      </c>
      <c r="W1633" s="22">
        <f>IFERROR(__xludf.DUMMYFUNCTION("IFERROR(GOOGLEFINANCE(A1633,""priceopen""),"""")"),535.0)</f>
        <v>535</v>
      </c>
      <c r="X1633" s="22">
        <f>IFERROR(__xludf.DUMMYFUNCTION("IFERROR(GOOGLEFINANCE(A1633,""high""),"""")"),540.0)</f>
        <v>540</v>
      </c>
      <c r="Y1633" s="22">
        <f>IFERROR(__xludf.DUMMYFUNCTION("IFERROR(GOOGLEFINANCE(A1633,""low""),"""")"),525.0)</f>
        <v>525</v>
      </c>
      <c r="Z1633" s="22">
        <f>IFERROR(__xludf.DUMMYFUNCTION("IFERROR(GOOGLEFINANCE(A1633,""volume""),"""")"),1037900.0)</f>
        <v>1037900</v>
      </c>
      <c r="AA1633" s="24" t="str">
        <f>VLOOKUP(A1633,Metrik!$C$2:$Y$959,5,0)</f>
        <v>Building Products &amp; Fixtures</v>
      </c>
      <c r="AB1633" s="24" t="str">
        <f>VLOOKUP(A1633,Metrik!$C$2:$Y$959,3,0)</f>
        <v>Industrials</v>
      </c>
    </row>
    <row r="1634">
      <c r="A1634" s="14" t="s">
        <v>890</v>
      </c>
      <c r="B1634" s="14" t="str">
        <f t="array" ref="B1634">VLOOKUP(A1634,{Metrik!$C$2:$C$998,Metrik!$B$2:$B$998},2,0)</f>
        <v>Wilton Makmur Indonesia Tbk.</v>
      </c>
      <c r="C1634" s="15">
        <f>IFERROR(__xludf.DUMMYFUNCTION("GOOGLEFINANCE(""IDX:""&amp;A1634,""price"")"),44.0)</f>
        <v>44</v>
      </c>
      <c r="D1634" s="16" t="str">
        <f>IFERROR(__xludf.DUMMYFUNCTION("IF(A1634="""","""",
SPARKLINE(
INDEX(
GOOGLEFINANCE(""IDX:""&amp;A1634,""close"",TODAY()-365,TODAY()),
,2
),
{""linewidth"",1}
))
"),"#N/A")</f>
        <v>#N/A</v>
      </c>
      <c r="E1634" s="26"/>
      <c r="F1634" s="26"/>
      <c r="G1634" s="24">
        <f t="shared" si="9"/>
        <v>0</v>
      </c>
      <c r="H1634" s="19">
        <f>VLOOKUP(A1634,Metrik!$C$2:$Y$959,8,0)</f>
        <v>-8.1</v>
      </c>
      <c r="I1634" s="20">
        <f>VLOOKUP(A1634,Metrik!$C$2:$Y$959,9,0)</f>
        <v>-24.1</v>
      </c>
      <c r="J1634" s="20">
        <f>VLOOKUP(A1634,Metrik!$C$2:$Y$959,10,0)</f>
        <v>0</v>
      </c>
      <c r="K1634" s="20">
        <f>VLOOKUP(A1634,Metrik!$C$2:$Y$959,11,0)</f>
        <v>-16.5</v>
      </c>
      <c r="L1634" s="20">
        <f>VLOOKUP(A1634,Metrik!$C$2:$Y$959,12,0)</f>
        <v>-19</v>
      </c>
      <c r="M1634" s="20">
        <f>VLOOKUP(A1634,Metrik!$C$2:$Y$959,19,0)</f>
        <v>-5970</v>
      </c>
      <c r="N1634" s="21"/>
      <c r="O1634" s="21"/>
      <c r="P1634" s="21"/>
      <c r="Q1634" s="21"/>
      <c r="R1634" s="21"/>
      <c r="S1634" s="21"/>
      <c r="T1634" s="21"/>
      <c r="U1634" s="22">
        <f>IFERROR(__xludf.DUMMYFUNCTION("IFERROR(GOOGLEFINANCE(A1634,""closeyest""),"""")"),43.0)</f>
        <v>43</v>
      </c>
      <c r="V1634" s="23">
        <f>IFERROR(__xludf.DUMMYFUNCTION("IFERROR(GOOGLEFINANCE(A1634,""changepct""),"""")"),2.33)</f>
        <v>2.33</v>
      </c>
      <c r="W1634" s="22">
        <f>IFERROR(__xludf.DUMMYFUNCTION("IFERROR(GOOGLEFINANCE(A1634,""priceopen""),"""")"),44.0)</f>
        <v>44</v>
      </c>
      <c r="X1634" s="22">
        <f>IFERROR(__xludf.DUMMYFUNCTION("IFERROR(GOOGLEFINANCE(A1634,""high""),"""")"),44.0)</f>
        <v>44</v>
      </c>
      <c r="Y1634" s="22">
        <f>IFERROR(__xludf.DUMMYFUNCTION("IFERROR(GOOGLEFINANCE(A1634,""low""),"""")"),44.0)</f>
        <v>44</v>
      </c>
      <c r="Z1634" s="22">
        <f>IFERROR(__xludf.DUMMYFUNCTION("IFERROR(GOOGLEFINANCE(A1634,""volume""),"""")"),4322400.0)</f>
        <v>4322400</v>
      </c>
      <c r="AA1634" s="24" t="str">
        <f>VLOOKUP(A1634,Metrik!$C$2:$Y$959,5,0)</f>
        <v>Metals &amp; Minerals</v>
      </c>
      <c r="AB1634" s="24" t="str">
        <f>VLOOKUP(A1634,Metrik!$C$2:$Y$959,3,0)</f>
        <v>Basic Materials</v>
      </c>
    </row>
    <row r="1635">
      <c r="A1635" s="14" t="s">
        <v>891</v>
      </c>
      <c r="B1635" s="14" t="str">
        <f t="array" ref="B1635">VLOOKUP(A1635,{Metrik!$C$2:$C$998,Metrik!$B$2:$B$998},2,0)</f>
        <v>Sejahteraraya Anugrahjaya Tbk</v>
      </c>
      <c r="C1635" s="15">
        <f>IFERROR(__xludf.DUMMYFUNCTION("GOOGLEFINANCE(""IDX:""&amp;A1635,""price"")"),11000.0)</f>
        <v>11000</v>
      </c>
      <c r="D1635" s="16" t="str">
        <f>IFERROR(__xludf.DUMMYFUNCTION("IF(A1635="""","""",
SPARKLINE(
INDEX(
GOOGLEFINANCE(""IDX:""&amp;A1635,""close"",TODAY()-365,TODAY()),
,2
),
{""linewidth"",1}
))
"),"#N/A")</f>
        <v>#N/A</v>
      </c>
      <c r="E1635" s="26"/>
      <c r="F1635" s="26"/>
      <c r="G1635" s="24">
        <f t="shared" si="9"/>
        <v>0</v>
      </c>
      <c r="H1635" s="19">
        <f>VLOOKUP(A1635,Metrik!$C$2:$Y$959,8,0)</f>
        <v>-650</v>
      </c>
      <c r="I1635" s="20">
        <f>VLOOKUP(A1635,Metrik!$C$2:$Y$959,9,0)</f>
        <v>140</v>
      </c>
      <c r="J1635" s="20">
        <f>VLOOKUP(A1635,Metrik!$C$2:$Y$959,10,0)</f>
        <v>-21</v>
      </c>
      <c r="K1635" s="20">
        <f>VLOOKUP(A1635,Metrik!$C$2:$Y$959,11,0)</f>
        <v>-3.5</v>
      </c>
      <c r="L1635" s="20">
        <f>VLOOKUP(A1635,Metrik!$C$2:$Y$959,12,0)</f>
        <v>5.1</v>
      </c>
      <c r="M1635" s="20">
        <f>VLOOKUP(A1635,Metrik!$C$2:$Y$959,19,0)</f>
        <v>-40.5</v>
      </c>
      <c r="N1635" s="21"/>
      <c r="O1635" s="21"/>
      <c r="P1635" s="21"/>
      <c r="Q1635" s="21"/>
      <c r="R1635" s="21"/>
      <c r="S1635" s="21"/>
      <c r="T1635" s="21"/>
      <c r="U1635" s="22">
        <f>IFERROR(__xludf.DUMMYFUNCTION("IFERROR(GOOGLEFINANCE(A1635,""closeyest""),"""")"),11675.0)</f>
        <v>11675</v>
      </c>
      <c r="V1635" s="23">
        <f>IFERROR(__xludf.DUMMYFUNCTION("IFERROR(GOOGLEFINANCE(A1635,""changepct""),"""")"),-5.78)</f>
        <v>-5.78</v>
      </c>
      <c r="W1635" s="22">
        <f>IFERROR(__xludf.DUMMYFUNCTION("IFERROR(GOOGLEFINANCE(A1635,""priceopen""),"""")"),11675.0)</f>
        <v>11675</v>
      </c>
      <c r="X1635" s="22">
        <f>IFERROR(__xludf.DUMMYFUNCTION("IFERROR(GOOGLEFINANCE(A1635,""high""),"""")"),11675.0)</f>
        <v>11675</v>
      </c>
      <c r="Y1635" s="22">
        <f>IFERROR(__xludf.DUMMYFUNCTION("IFERROR(GOOGLEFINANCE(A1635,""low""),"""")"),9925.0)</f>
        <v>9925</v>
      </c>
      <c r="Z1635" s="22">
        <f>IFERROR(__xludf.DUMMYFUNCTION("IFERROR(GOOGLEFINANCE(A1635,""volume""),"""")"),613400.0)</f>
        <v>613400</v>
      </c>
      <c r="AA1635" s="24" t="str">
        <f>VLOOKUP(A1635,Metrik!$C$2:$Y$959,5,0)</f>
        <v>Healthcare Providers</v>
      </c>
      <c r="AB1635" s="24" t="str">
        <f>VLOOKUP(A1635,Metrik!$C$2:$Y$959,3,0)</f>
        <v>Healthcare</v>
      </c>
    </row>
    <row r="1636">
      <c r="A1636" s="14" t="s">
        <v>892</v>
      </c>
      <c r="B1636" s="14" t="str">
        <f t="array" ref="B1636">VLOOKUP(A1636,{Metrik!$C$2:$C$998,Metrik!$B$2:$B$998},2,0)</f>
        <v>PT Sri Rejeki Isman Tbk</v>
      </c>
      <c r="C1636" s="15">
        <f>IFERROR(__xludf.DUMMYFUNCTION("GOOGLEFINANCE(""IDX:""&amp;A1636,""price"")"),146.0)</f>
        <v>146</v>
      </c>
      <c r="D1636" s="16" t="str">
        <f>IFERROR(__xludf.DUMMYFUNCTION("IF(A1636="""","""",
SPARKLINE(
INDEX(
GOOGLEFINANCE(""IDX:""&amp;A1636,""close"",TODAY()-365,TODAY()),
,2
),
{""linewidth"",1}
))
"),"#N/A")</f>
        <v>#N/A</v>
      </c>
      <c r="E1636" s="26"/>
      <c r="F1636" s="26"/>
      <c r="G1636" s="24">
        <f t="shared" si="9"/>
        <v>0</v>
      </c>
      <c r="H1636" s="19">
        <f>VLOOKUP(A1636,Metrik!$C$2:$Y$959,8,0)</f>
        <v>0</v>
      </c>
      <c r="I1636" s="20">
        <f>VLOOKUP(A1636,Metrik!$C$2:$Y$959,9,0)</f>
        <v>-0.19</v>
      </c>
      <c r="J1636" s="20">
        <f>VLOOKUP(A1636,Metrik!$C$2:$Y$959,10,0)</f>
        <v>0</v>
      </c>
      <c r="K1636" s="20">
        <f>VLOOKUP(A1636,Metrik!$C$2:$Y$959,11,0)</f>
        <v>-21.3</v>
      </c>
      <c r="L1636" s="20">
        <f>VLOOKUP(A1636,Metrik!$C$2:$Y$959,12,0)</f>
        <v>-1.6</v>
      </c>
      <c r="M1636" s="20">
        <f>VLOOKUP(A1636,Metrik!$C$2:$Y$959,19,0)</f>
        <v>-63</v>
      </c>
      <c r="N1636" s="21"/>
      <c r="O1636" s="21"/>
      <c r="P1636" s="21"/>
      <c r="Q1636" s="21"/>
      <c r="R1636" s="21"/>
      <c r="S1636" s="21"/>
      <c r="T1636" s="21"/>
      <c r="U1636" s="22" t="str">
        <f>IFERROR(__xludf.DUMMYFUNCTION("IFERROR(GOOGLEFINANCE(A1636,""closeyest""),"""")"),"")</f>
        <v/>
      </c>
      <c r="V1636" s="23">
        <f>IFERROR(__xludf.DUMMYFUNCTION("IFERROR(GOOGLEFINANCE(A1636,""changepct""),"""")"),1.6)</f>
        <v>1.6</v>
      </c>
      <c r="W1636" s="22">
        <f>IFERROR(__xludf.DUMMYFUNCTION("IFERROR(GOOGLEFINANCE(A1636,""priceopen""),"""")"),13.41)</f>
        <v>13.41</v>
      </c>
      <c r="X1636" s="22">
        <f>IFERROR(__xludf.DUMMYFUNCTION("IFERROR(GOOGLEFINANCE(A1636,""high""),"""")"),13.53)</f>
        <v>13.53</v>
      </c>
      <c r="Y1636" s="22">
        <f>IFERROR(__xludf.DUMMYFUNCTION("IFERROR(GOOGLEFINANCE(A1636,""low""),"""")"),13.41)</f>
        <v>13.41</v>
      </c>
      <c r="Z1636" s="22">
        <f>IFERROR(__xludf.DUMMYFUNCTION("IFERROR(GOOGLEFINANCE(A1636,""volume""),"""")"),3669.0)</f>
        <v>3669</v>
      </c>
      <c r="AA1636" s="24" t="str">
        <f>VLOOKUP(A1636,Metrik!$C$2:$Y$959,5,0)</f>
        <v>Apparel &amp; Luxury Goods</v>
      </c>
      <c r="AB1636" s="24" t="str">
        <f>VLOOKUP(A1636,Metrik!$C$2:$Y$959,3,0)</f>
        <v>Consumer Cyclicals</v>
      </c>
    </row>
    <row r="1637">
      <c r="A1637" s="14" t="s">
        <v>893</v>
      </c>
      <c r="B1637" s="14" t="str">
        <f t="array" ref="B1637">VLOOKUP(A1637,{Metrik!$C$2:$C$998,Metrik!$B$2:$B$998},2,0)</f>
        <v>Indo Acidatama Tbk</v>
      </c>
      <c r="C1637" s="15">
        <f>IFERROR(__xludf.DUMMYFUNCTION("GOOGLEFINANCE(""IDX:""&amp;A1637,""price"")"),66.0)</f>
        <v>66</v>
      </c>
      <c r="D1637" s="16" t="str">
        <f>IFERROR(__xludf.DUMMYFUNCTION("IF(A1637="""","""",
SPARKLINE(
INDEX(
GOOGLEFINANCE(""IDX:""&amp;A1637,""close"",TODAY()-365,TODAY()),
,2
),
{""linewidth"",1}
))
"),"#N/A")</f>
        <v>#N/A</v>
      </c>
      <c r="E1637" s="26"/>
      <c r="F1637" s="26"/>
      <c r="G1637" s="24">
        <f t="shared" si="9"/>
        <v>0</v>
      </c>
      <c r="H1637" s="19">
        <f>VLOOKUP(A1637,Metrik!$C$2:$Y$959,8,0)</f>
        <v>4.1</v>
      </c>
      <c r="I1637" s="20">
        <f>VLOOKUP(A1637,Metrik!$C$2:$Y$959,9,0)</f>
        <v>0.47</v>
      </c>
      <c r="J1637" s="20">
        <f>VLOOKUP(A1637,Metrik!$C$2:$Y$959,10,0)</f>
        <v>11.5</v>
      </c>
      <c r="K1637" s="20">
        <f>VLOOKUP(A1637,Metrik!$C$2:$Y$959,11,0)</f>
        <v>9.5</v>
      </c>
      <c r="L1637" s="20">
        <f>VLOOKUP(A1637,Metrik!$C$2:$Y$959,12,0)</f>
        <v>0.21</v>
      </c>
      <c r="M1637" s="20">
        <f>VLOOKUP(A1637,Metrik!$C$2:$Y$959,19,0)</f>
        <v>40.3</v>
      </c>
      <c r="N1637" s="21"/>
      <c r="O1637" s="21"/>
      <c r="P1637" s="21"/>
      <c r="Q1637" s="21"/>
      <c r="R1637" s="21"/>
      <c r="S1637" s="21"/>
      <c r="T1637" s="21"/>
      <c r="U1637" s="22">
        <f>IFERROR(__xludf.DUMMYFUNCTION("IFERROR(GOOGLEFINANCE(A1637,""closeyest""),"""")"),0.0)</f>
        <v>0</v>
      </c>
      <c r="V1637" s="23">
        <f>IFERROR(__xludf.DUMMYFUNCTION("IFERROR(GOOGLEFINANCE(A1637,""changepct""),"""")"),0.0)</f>
        <v>0</v>
      </c>
      <c r="W1637" s="22" t="str">
        <f>IFERROR(__xludf.DUMMYFUNCTION("IFERROR(GOOGLEFINANCE(A1637,""priceopen""),"""")"),"")</f>
        <v/>
      </c>
      <c r="X1637" s="22" t="str">
        <f>IFERROR(__xludf.DUMMYFUNCTION("IFERROR(GOOGLEFINANCE(A1637,""high""),"""")"),"")</f>
        <v/>
      </c>
      <c r="Y1637" s="22" t="str">
        <f>IFERROR(__xludf.DUMMYFUNCTION("IFERROR(GOOGLEFINANCE(A1637,""low""),"""")"),"")</f>
        <v/>
      </c>
      <c r="Z1637" s="22">
        <f>IFERROR(__xludf.DUMMYFUNCTION("IFERROR(GOOGLEFINANCE(A1637,""volume""),"""")"),0.0)</f>
        <v>0</v>
      </c>
      <c r="AA1637" s="24" t="str">
        <f>VLOOKUP(A1637,Metrik!$C$2:$Y$959,5,0)</f>
        <v>Chemicals</v>
      </c>
      <c r="AB1637" s="24" t="str">
        <f>VLOOKUP(A1637,Metrik!$C$2:$Y$959,3,0)</f>
        <v>Basic Materials</v>
      </c>
    </row>
    <row r="1638">
      <c r="A1638" s="14" t="s">
        <v>894</v>
      </c>
      <c r="B1638" s="14" t="str">
        <f t="array" ref="B1638">VLOOKUP(A1638,{Metrik!$C$2:$C$998,Metrik!$B$2:$B$998},2,0)</f>
        <v>PT Saratoga Investama Sedaya Tbk.</v>
      </c>
      <c r="C1638" s="15">
        <f>IFERROR(__xludf.DUMMYFUNCTION("GOOGLEFINANCE(""IDX:""&amp;A1638,""price"")"),1435.0)</f>
        <v>1435</v>
      </c>
      <c r="D1638" s="16" t="str">
        <f>IFERROR(__xludf.DUMMYFUNCTION("IF(A1638="""","""",
SPARKLINE(
INDEX(
GOOGLEFINANCE(""IDX:""&amp;A1638,""close"",TODAY()-365,TODAY()),
,2
),
{""linewidth"",1}
))
"),"#N/A")</f>
        <v>#N/A</v>
      </c>
      <c r="E1638" s="14" t="s">
        <v>52</v>
      </c>
      <c r="F1638" s="27" t="s">
        <v>53</v>
      </c>
      <c r="G1638" s="24">
        <f t="shared" si="9"/>
        <v>3</v>
      </c>
      <c r="H1638" s="19">
        <f>VLOOKUP(A1638,Metrik!$C$2:$Y$959,8,0)</f>
        <v>2.9</v>
      </c>
      <c r="I1638" s="20">
        <f>VLOOKUP(A1638,Metrik!$C$2:$Y$959,9,0)</f>
        <v>0.36</v>
      </c>
      <c r="J1638" s="20">
        <f>VLOOKUP(A1638,Metrik!$C$2:$Y$959,10,0)</f>
        <v>12.4</v>
      </c>
      <c r="K1638" s="20">
        <f>VLOOKUP(A1638,Metrik!$C$2:$Y$959,11,0)</f>
        <v>11.7</v>
      </c>
      <c r="L1638" s="20">
        <f>VLOOKUP(A1638,Metrik!$C$2:$Y$959,12,0)</f>
        <v>0.06</v>
      </c>
      <c r="M1638" s="20">
        <f>VLOOKUP(A1638,Metrik!$C$2:$Y$959,19,0)</f>
        <v>260</v>
      </c>
      <c r="N1638" s="21"/>
      <c r="O1638" s="21"/>
      <c r="P1638" s="21"/>
      <c r="Q1638" s="21"/>
      <c r="R1638" s="21"/>
      <c r="S1638" s="21"/>
      <c r="T1638" s="21"/>
      <c r="U1638" s="22">
        <f>IFERROR(__xludf.DUMMYFUNCTION("IFERROR(GOOGLEFINANCE(A1638,""closeyest""),"""")"),1390.0)</f>
        <v>1390</v>
      </c>
      <c r="V1638" s="23">
        <f>IFERROR(__xludf.DUMMYFUNCTION("IFERROR(GOOGLEFINANCE(A1638,""changepct""),"""")"),3.24)</f>
        <v>3.24</v>
      </c>
      <c r="W1638" s="22">
        <f>IFERROR(__xludf.DUMMYFUNCTION("IFERROR(GOOGLEFINANCE(A1638,""priceopen""),"""")"),1400.0)</f>
        <v>1400</v>
      </c>
      <c r="X1638" s="22">
        <f>IFERROR(__xludf.DUMMYFUNCTION("IFERROR(GOOGLEFINANCE(A1638,""high""),"""")"),1465.0)</f>
        <v>1465</v>
      </c>
      <c r="Y1638" s="22">
        <f>IFERROR(__xludf.DUMMYFUNCTION("IFERROR(GOOGLEFINANCE(A1638,""low""),"""")"),1400.0)</f>
        <v>1400</v>
      </c>
      <c r="Z1638" s="22">
        <f>IFERROR(__xludf.DUMMYFUNCTION("IFERROR(GOOGLEFINANCE(A1638,""volume""),"""")"),5120600.0)</f>
        <v>5120600</v>
      </c>
      <c r="AA1638" s="24" t="str">
        <f>VLOOKUP(A1638,Metrik!$C$2:$Y$959,5,0)</f>
        <v>Holding &amp; Investment Companies</v>
      </c>
      <c r="AB1638" s="24" t="str">
        <f>VLOOKUP(A1638,Metrik!$C$2:$Y$959,3,0)</f>
        <v>Financials</v>
      </c>
    </row>
    <row r="1639">
      <c r="A1639" s="14" t="s">
        <v>894</v>
      </c>
      <c r="B1639" s="14" t="str">
        <f t="array" ref="B1639">VLOOKUP(A1639,{Metrik!$C$2:$C$998,Metrik!$B$2:$B$998},2,0)</f>
        <v>PT Saratoga Investama Sedaya Tbk.</v>
      </c>
      <c r="C1639" s="15">
        <f>IFERROR(__xludf.DUMMYFUNCTION("GOOGLEFINANCE(""IDX:""&amp;A1639,""price"")"),1435.0)</f>
        <v>1435</v>
      </c>
      <c r="D1639" s="16" t="str">
        <f>IFERROR(__xludf.DUMMYFUNCTION("IF(A1639="""","""",
SPARKLINE(
INDEX(
GOOGLEFINANCE(""IDX:""&amp;A1639,""close"",TODAY()-365,TODAY()),
,2
),
{""linewidth"",1}
))
"),"#N/A")</f>
        <v>#N/A</v>
      </c>
      <c r="E1639" s="14" t="s">
        <v>41</v>
      </c>
      <c r="F1639" s="14" t="s">
        <v>34</v>
      </c>
      <c r="G1639" s="24">
        <f t="shared" si="9"/>
        <v>3</v>
      </c>
      <c r="H1639" s="19">
        <f>VLOOKUP(A1639,Metrik!$C$2:$Y$959,8,0)</f>
        <v>2.9</v>
      </c>
      <c r="I1639" s="20">
        <f>VLOOKUP(A1639,Metrik!$C$2:$Y$959,9,0)</f>
        <v>0.36</v>
      </c>
      <c r="J1639" s="20">
        <f>VLOOKUP(A1639,Metrik!$C$2:$Y$959,10,0)</f>
        <v>12.4</v>
      </c>
      <c r="K1639" s="20">
        <f>VLOOKUP(A1639,Metrik!$C$2:$Y$959,11,0)</f>
        <v>11.7</v>
      </c>
      <c r="L1639" s="20">
        <f>VLOOKUP(A1639,Metrik!$C$2:$Y$959,12,0)</f>
        <v>0.06</v>
      </c>
      <c r="M1639" s="20">
        <f>VLOOKUP(A1639,Metrik!$C$2:$Y$959,19,0)</f>
        <v>260</v>
      </c>
      <c r="N1639" s="21"/>
      <c r="O1639" s="21"/>
      <c r="P1639" s="21"/>
      <c r="Q1639" s="21"/>
      <c r="R1639" s="21"/>
      <c r="S1639" s="21"/>
      <c r="T1639" s="21"/>
      <c r="U1639" s="22">
        <f>IFERROR(__xludf.DUMMYFUNCTION("IFERROR(GOOGLEFINANCE(A1639,""closeyest""),"""")"),1390.0)</f>
        <v>1390</v>
      </c>
      <c r="V1639" s="23">
        <f>IFERROR(__xludf.DUMMYFUNCTION("IFERROR(GOOGLEFINANCE(A1639,""changepct""),"""")"),3.24)</f>
        <v>3.24</v>
      </c>
      <c r="W1639" s="22">
        <f>IFERROR(__xludf.DUMMYFUNCTION("IFERROR(GOOGLEFINANCE(A1639,""priceopen""),"""")"),1400.0)</f>
        <v>1400</v>
      </c>
      <c r="X1639" s="22">
        <f>IFERROR(__xludf.DUMMYFUNCTION("IFERROR(GOOGLEFINANCE(A1639,""high""),"""")"),1465.0)</f>
        <v>1465</v>
      </c>
      <c r="Y1639" s="22">
        <f>IFERROR(__xludf.DUMMYFUNCTION("IFERROR(GOOGLEFINANCE(A1639,""low""),"""")"),1400.0)</f>
        <v>1400</v>
      </c>
      <c r="Z1639" s="22">
        <f>IFERROR(__xludf.DUMMYFUNCTION("IFERROR(GOOGLEFINANCE(A1639,""volume""),"""")"),5120600.0)</f>
        <v>5120600</v>
      </c>
      <c r="AA1639" s="24" t="str">
        <f>VLOOKUP(A1639,Metrik!$C$2:$Y$959,5,0)</f>
        <v>Holding &amp; Investment Companies</v>
      </c>
      <c r="AB1639" s="24" t="str">
        <f>VLOOKUP(A1639,Metrik!$C$2:$Y$959,3,0)</f>
        <v>Financials</v>
      </c>
    </row>
    <row r="1640">
      <c r="A1640" s="14" t="s">
        <v>894</v>
      </c>
      <c r="B1640" s="14" t="str">
        <f t="array" ref="B1640">VLOOKUP(A1640,{Metrik!$C$2:$C$998,Metrik!$B$2:$B$998},2,0)</f>
        <v>PT Saratoga Investama Sedaya Tbk.</v>
      </c>
      <c r="C1640" s="15">
        <f>IFERROR(__xludf.DUMMYFUNCTION("GOOGLEFINANCE(""IDX:""&amp;A1640,""price"")"),1435.0)</f>
        <v>1435</v>
      </c>
      <c r="D1640" s="16" t="str">
        <f>IFERROR(__xludf.DUMMYFUNCTION("IF(A1640="""","""",
SPARKLINE(
INDEX(
GOOGLEFINANCE(""IDX:""&amp;A1640,""close"",TODAY()-365,TODAY()),
,2
),
{""linewidth"",1}
))
"),"#N/A")</f>
        <v>#N/A</v>
      </c>
      <c r="E1640" s="14" t="s">
        <v>39</v>
      </c>
      <c r="F1640" s="25">
        <v>46356.0</v>
      </c>
      <c r="G1640" s="24">
        <f t="shared" si="9"/>
        <v>3</v>
      </c>
      <c r="H1640" s="19">
        <f>VLOOKUP(A1640,Metrik!$C$2:$Y$959,8,0)</f>
        <v>2.9</v>
      </c>
      <c r="I1640" s="20">
        <f>VLOOKUP(A1640,Metrik!$C$2:$Y$959,9,0)</f>
        <v>0.36</v>
      </c>
      <c r="J1640" s="20">
        <f>VLOOKUP(A1640,Metrik!$C$2:$Y$959,10,0)</f>
        <v>12.4</v>
      </c>
      <c r="K1640" s="20">
        <f>VLOOKUP(A1640,Metrik!$C$2:$Y$959,11,0)</f>
        <v>11.7</v>
      </c>
      <c r="L1640" s="20">
        <f>VLOOKUP(A1640,Metrik!$C$2:$Y$959,12,0)</f>
        <v>0.06</v>
      </c>
      <c r="M1640" s="20">
        <f>VLOOKUP(A1640,Metrik!$C$2:$Y$959,19,0)</f>
        <v>260</v>
      </c>
      <c r="N1640" s="21"/>
      <c r="O1640" s="21"/>
      <c r="P1640" s="21"/>
      <c r="Q1640" s="21"/>
      <c r="R1640" s="21"/>
      <c r="S1640" s="21"/>
      <c r="T1640" s="21"/>
      <c r="U1640" s="22">
        <f>IFERROR(__xludf.DUMMYFUNCTION("IFERROR(GOOGLEFINANCE(A1640,""closeyest""),"""")"),1390.0)</f>
        <v>1390</v>
      </c>
      <c r="V1640" s="23">
        <f>IFERROR(__xludf.DUMMYFUNCTION("IFERROR(GOOGLEFINANCE(A1640,""changepct""),"""")"),3.24)</f>
        <v>3.24</v>
      </c>
      <c r="W1640" s="22">
        <f>IFERROR(__xludf.DUMMYFUNCTION("IFERROR(GOOGLEFINANCE(A1640,""priceopen""),"""")"),1400.0)</f>
        <v>1400</v>
      </c>
      <c r="X1640" s="22">
        <f>IFERROR(__xludf.DUMMYFUNCTION("IFERROR(GOOGLEFINANCE(A1640,""high""),"""")"),1465.0)</f>
        <v>1465</v>
      </c>
      <c r="Y1640" s="22">
        <f>IFERROR(__xludf.DUMMYFUNCTION("IFERROR(GOOGLEFINANCE(A1640,""low""),"""")"),1400.0)</f>
        <v>1400</v>
      </c>
      <c r="Z1640" s="22">
        <f>IFERROR(__xludf.DUMMYFUNCTION("IFERROR(GOOGLEFINANCE(A1640,""volume""),"""")"),5120600.0)</f>
        <v>5120600</v>
      </c>
      <c r="AA1640" s="24" t="str">
        <f>VLOOKUP(A1640,Metrik!$C$2:$Y$959,5,0)</f>
        <v>Holding &amp; Investment Companies</v>
      </c>
      <c r="AB1640" s="24" t="str">
        <f>VLOOKUP(A1640,Metrik!$C$2:$Y$959,3,0)</f>
        <v>Financials</v>
      </c>
    </row>
    <row r="1641">
      <c r="A1641" s="14" t="s">
        <v>895</v>
      </c>
      <c r="B1641" s="14" t="str">
        <f t="array" ref="B1641">VLOOKUP(A1641,{Metrik!$C$2:$C$998,Metrik!$B$2:$B$998},2,0)</f>
        <v>PT Surya Semesta Internusa Tbk</v>
      </c>
      <c r="C1641" s="15">
        <f>IFERROR(__xludf.DUMMYFUNCTION("GOOGLEFINANCE(""IDX:""&amp;A1641,""price"")"),1560.0)</f>
        <v>1560</v>
      </c>
      <c r="D1641" s="16" t="str">
        <f>IFERROR(__xludf.DUMMYFUNCTION("IF(A1641="""","""",
SPARKLINE(
INDEX(
GOOGLEFINANCE(""IDX:""&amp;A1641,""close"",TODAY()-365,TODAY()),
,2
),
{""linewidth"",1}
))
"),"#N/A")</f>
        <v>#N/A</v>
      </c>
      <c r="E1641" s="14" t="s">
        <v>32</v>
      </c>
      <c r="F1641" s="14" t="s">
        <v>29</v>
      </c>
      <c r="G1641" s="24">
        <f t="shared" si="9"/>
        <v>5</v>
      </c>
      <c r="H1641" s="19">
        <f>VLOOKUP(A1641,Metrik!$C$2:$Y$959,8,0)</f>
        <v>370</v>
      </c>
      <c r="I1641" s="20">
        <f>VLOOKUP(A1641,Metrik!$C$2:$Y$959,9,0)</f>
        <v>0.95</v>
      </c>
      <c r="J1641" s="20">
        <f>VLOOKUP(A1641,Metrik!$C$2:$Y$959,10,0)</f>
        <v>0.26</v>
      </c>
      <c r="K1641" s="20">
        <f>VLOOKUP(A1641,Metrik!$C$2:$Y$959,11,0)</f>
        <v>0.17</v>
      </c>
      <c r="L1641" s="20">
        <f>VLOOKUP(A1641,Metrik!$C$2:$Y$959,12,0)</f>
        <v>0.56</v>
      </c>
      <c r="M1641" s="20">
        <f>VLOOKUP(A1641,Metrik!$C$2:$Y$959,19,0)</f>
        <v>1.5</v>
      </c>
      <c r="N1641" s="21"/>
      <c r="O1641" s="21"/>
      <c r="P1641" s="21"/>
      <c r="Q1641" s="21"/>
      <c r="R1641" s="21"/>
      <c r="S1641" s="21"/>
      <c r="T1641" s="21"/>
      <c r="U1641" s="22">
        <f>IFERROR(__xludf.DUMMYFUNCTION("IFERROR(GOOGLEFINANCE(A1641,""closeyest""),"""")"),1515.0)</f>
        <v>1515</v>
      </c>
      <c r="V1641" s="23">
        <f>IFERROR(__xludf.DUMMYFUNCTION("IFERROR(GOOGLEFINANCE(A1641,""changepct""),"""")"),2.97)</f>
        <v>2.97</v>
      </c>
      <c r="W1641" s="22">
        <f>IFERROR(__xludf.DUMMYFUNCTION("IFERROR(GOOGLEFINANCE(A1641,""priceopen""),"""")"),1530.0)</f>
        <v>1530</v>
      </c>
      <c r="X1641" s="22">
        <f>IFERROR(__xludf.DUMMYFUNCTION("IFERROR(GOOGLEFINANCE(A1641,""high""),"""")"),1625.0)</f>
        <v>1625</v>
      </c>
      <c r="Y1641" s="22">
        <f>IFERROR(__xludf.DUMMYFUNCTION("IFERROR(GOOGLEFINANCE(A1641,""low""),"""")"),1515.0)</f>
        <v>1515</v>
      </c>
      <c r="Z1641" s="22">
        <f>IFERROR(__xludf.DUMMYFUNCTION("IFERROR(GOOGLEFINANCE(A1641,""volume""),"""")"),1.8815E7)</f>
        <v>18815000</v>
      </c>
      <c r="AA1641" s="24" t="str">
        <f>VLOOKUP(A1641,Metrik!$C$2:$Y$959,5,0)</f>
        <v>Heavy Constructions &amp; Civil Engineering</v>
      </c>
      <c r="AB1641" s="24" t="str">
        <f>VLOOKUP(A1641,Metrik!$C$2:$Y$959,3,0)</f>
        <v>Infrastructures</v>
      </c>
    </row>
    <row r="1642">
      <c r="A1642" s="14" t="s">
        <v>895</v>
      </c>
      <c r="B1642" s="14" t="str">
        <f t="array" ref="B1642">VLOOKUP(A1642,{Metrik!$C$2:$C$998,Metrik!$B$2:$B$998},2,0)</f>
        <v>PT Surya Semesta Internusa Tbk</v>
      </c>
      <c r="C1642" s="15">
        <f>IFERROR(__xludf.DUMMYFUNCTION("GOOGLEFINANCE(""IDX:""&amp;A1642,""price"")"),1560.0)</f>
        <v>1560</v>
      </c>
      <c r="D1642" s="16" t="str">
        <f>IFERROR(__xludf.DUMMYFUNCTION("IF(A1642="""","""",
SPARKLINE(
INDEX(
GOOGLEFINANCE(""IDX:""&amp;A1642,""close"",TODAY()-365,TODAY()),
,2
),
{""linewidth"",1}
))
"),"#N/A")</f>
        <v>#N/A</v>
      </c>
      <c r="E1642" s="14" t="s">
        <v>28</v>
      </c>
      <c r="F1642" s="17" t="s">
        <v>29</v>
      </c>
      <c r="G1642" s="24">
        <f t="shared" si="9"/>
        <v>5</v>
      </c>
      <c r="H1642" s="19">
        <f>VLOOKUP(A1642,Metrik!$C$2:$Y$959,8,0)</f>
        <v>370</v>
      </c>
      <c r="I1642" s="20">
        <f>VLOOKUP(A1642,Metrik!$C$2:$Y$959,9,0)</f>
        <v>0.95</v>
      </c>
      <c r="J1642" s="20">
        <f>VLOOKUP(A1642,Metrik!$C$2:$Y$959,10,0)</f>
        <v>0.26</v>
      </c>
      <c r="K1642" s="20">
        <f>VLOOKUP(A1642,Metrik!$C$2:$Y$959,11,0)</f>
        <v>0.17</v>
      </c>
      <c r="L1642" s="20">
        <f>VLOOKUP(A1642,Metrik!$C$2:$Y$959,12,0)</f>
        <v>0.56</v>
      </c>
      <c r="M1642" s="20">
        <f>VLOOKUP(A1642,Metrik!$C$2:$Y$959,19,0)</f>
        <v>1.5</v>
      </c>
      <c r="N1642" s="21"/>
      <c r="O1642" s="21"/>
      <c r="P1642" s="21"/>
      <c r="Q1642" s="21"/>
      <c r="R1642" s="21"/>
      <c r="S1642" s="21"/>
      <c r="T1642" s="21"/>
      <c r="U1642" s="22">
        <f>IFERROR(__xludf.DUMMYFUNCTION("IFERROR(GOOGLEFINANCE(A1642,""closeyest""),"""")"),1515.0)</f>
        <v>1515</v>
      </c>
      <c r="V1642" s="23">
        <f>IFERROR(__xludf.DUMMYFUNCTION("IFERROR(GOOGLEFINANCE(A1642,""changepct""),"""")"),2.97)</f>
        <v>2.97</v>
      </c>
      <c r="W1642" s="22">
        <f>IFERROR(__xludf.DUMMYFUNCTION("IFERROR(GOOGLEFINANCE(A1642,""priceopen""),"""")"),1530.0)</f>
        <v>1530</v>
      </c>
      <c r="X1642" s="22">
        <f>IFERROR(__xludf.DUMMYFUNCTION("IFERROR(GOOGLEFINANCE(A1642,""high""),"""")"),1625.0)</f>
        <v>1625</v>
      </c>
      <c r="Y1642" s="22">
        <f>IFERROR(__xludf.DUMMYFUNCTION("IFERROR(GOOGLEFINANCE(A1642,""low""),"""")"),1515.0)</f>
        <v>1515</v>
      </c>
      <c r="Z1642" s="22">
        <f>IFERROR(__xludf.DUMMYFUNCTION("IFERROR(GOOGLEFINANCE(A1642,""volume""),"""")"),1.8815E7)</f>
        <v>18815000</v>
      </c>
      <c r="AA1642" s="24" t="str">
        <f>VLOOKUP(A1642,Metrik!$C$2:$Y$959,5,0)</f>
        <v>Heavy Constructions &amp; Civil Engineering</v>
      </c>
      <c r="AB1642" s="24" t="str">
        <f>VLOOKUP(A1642,Metrik!$C$2:$Y$959,3,0)</f>
        <v>Infrastructures</v>
      </c>
    </row>
    <row r="1643">
      <c r="A1643" s="14" t="s">
        <v>895</v>
      </c>
      <c r="B1643" s="14" t="str">
        <f t="array" ref="B1643">VLOOKUP(A1643,{Metrik!$C$2:$C$998,Metrik!$B$2:$B$998},2,0)</f>
        <v>PT Surya Semesta Internusa Tbk</v>
      </c>
      <c r="C1643" s="15">
        <f>IFERROR(__xludf.DUMMYFUNCTION("GOOGLEFINANCE(""IDX:""&amp;A1643,""price"")"),1560.0)</f>
        <v>1560</v>
      </c>
      <c r="D1643" s="16" t="str">
        <f>IFERROR(__xludf.DUMMYFUNCTION("IF(A1643="""","""",
SPARKLINE(
INDEX(
GOOGLEFINANCE(""IDX:""&amp;A1643,""close"",TODAY()-365,TODAY()),
,2
),
{""linewidth"",1}
))
"),"#N/A")</f>
        <v>#N/A</v>
      </c>
      <c r="E1643" s="14" t="s">
        <v>85</v>
      </c>
      <c r="F1643" s="17" t="s">
        <v>51</v>
      </c>
      <c r="G1643" s="24">
        <f t="shared" si="9"/>
        <v>5</v>
      </c>
      <c r="H1643" s="19">
        <f>VLOOKUP(A1643,Metrik!$C$2:$Y$959,8,0)</f>
        <v>370</v>
      </c>
      <c r="I1643" s="20">
        <f>VLOOKUP(A1643,Metrik!$C$2:$Y$959,9,0)</f>
        <v>0.95</v>
      </c>
      <c r="J1643" s="20">
        <f>VLOOKUP(A1643,Metrik!$C$2:$Y$959,10,0)</f>
        <v>0.26</v>
      </c>
      <c r="K1643" s="20">
        <f>VLOOKUP(A1643,Metrik!$C$2:$Y$959,11,0)</f>
        <v>0.17</v>
      </c>
      <c r="L1643" s="20">
        <f>VLOOKUP(A1643,Metrik!$C$2:$Y$959,12,0)</f>
        <v>0.56</v>
      </c>
      <c r="M1643" s="20">
        <f>VLOOKUP(A1643,Metrik!$C$2:$Y$959,19,0)</f>
        <v>1.5</v>
      </c>
      <c r="N1643" s="21"/>
      <c r="O1643" s="21"/>
      <c r="P1643" s="21"/>
      <c r="Q1643" s="21"/>
      <c r="R1643" s="21"/>
      <c r="S1643" s="21"/>
      <c r="T1643" s="21"/>
      <c r="U1643" s="22">
        <f>IFERROR(__xludf.DUMMYFUNCTION("IFERROR(GOOGLEFINANCE(A1643,""closeyest""),"""")"),1515.0)</f>
        <v>1515</v>
      </c>
      <c r="V1643" s="23">
        <f>IFERROR(__xludf.DUMMYFUNCTION("IFERROR(GOOGLEFINANCE(A1643,""changepct""),"""")"),2.97)</f>
        <v>2.97</v>
      </c>
      <c r="W1643" s="22">
        <f>IFERROR(__xludf.DUMMYFUNCTION("IFERROR(GOOGLEFINANCE(A1643,""priceopen""),"""")"),1530.0)</f>
        <v>1530</v>
      </c>
      <c r="X1643" s="22">
        <f>IFERROR(__xludf.DUMMYFUNCTION("IFERROR(GOOGLEFINANCE(A1643,""high""),"""")"),1625.0)</f>
        <v>1625</v>
      </c>
      <c r="Y1643" s="22">
        <f>IFERROR(__xludf.DUMMYFUNCTION("IFERROR(GOOGLEFINANCE(A1643,""low""),"""")"),1515.0)</f>
        <v>1515</v>
      </c>
      <c r="Z1643" s="22">
        <f>IFERROR(__xludf.DUMMYFUNCTION("IFERROR(GOOGLEFINANCE(A1643,""volume""),"""")"),1.8815E7)</f>
        <v>18815000</v>
      </c>
      <c r="AA1643" s="24" t="str">
        <f>VLOOKUP(A1643,Metrik!$C$2:$Y$959,5,0)</f>
        <v>Heavy Constructions &amp; Civil Engineering</v>
      </c>
      <c r="AB1643" s="24" t="str">
        <f>VLOOKUP(A1643,Metrik!$C$2:$Y$959,3,0)</f>
        <v>Infrastructures</v>
      </c>
    </row>
    <row r="1644">
      <c r="A1644" s="14" t="s">
        <v>895</v>
      </c>
      <c r="B1644" s="14" t="str">
        <f t="array" ref="B1644">VLOOKUP(A1644,{Metrik!$C$2:$C$998,Metrik!$B$2:$B$998},2,0)</f>
        <v>PT Surya Semesta Internusa Tbk</v>
      </c>
      <c r="C1644" s="15">
        <f>IFERROR(__xludf.DUMMYFUNCTION("GOOGLEFINANCE(""IDX:""&amp;A1644,""price"")"),1560.0)</f>
        <v>1560</v>
      </c>
      <c r="D1644" s="16" t="str">
        <f>IFERROR(__xludf.DUMMYFUNCTION("IF(A1644="""","""",
SPARKLINE(
INDEX(
GOOGLEFINANCE(""IDX:""&amp;A1644,""close"",TODAY()-365,TODAY()),
,2
),
{""linewidth"",1}
))
"),"#N/A")</f>
        <v>#N/A</v>
      </c>
      <c r="E1644" s="14" t="s">
        <v>41</v>
      </c>
      <c r="F1644" s="14" t="s">
        <v>34</v>
      </c>
      <c r="G1644" s="24">
        <f t="shared" si="9"/>
        <v>5</v>
      </c>
      <c r="H1644" s="19">
        <f>VLOOKUP(A1644,Metrik!$C$2:$Y$959,8,0)</f>
        <v>370</v>
      </c>
      <c r="I1644" s="20">
        <f>VLOOKUP(A1644,Metrik!$C$2:$Y$959,9,0)</f>
        <v>0.95</v>
      </c>
      <c r="J1644" s="20">
        <f>VLOOKUP(A1644,Metrik!$C$2:$Y$959,10,0)</f>
        <v>0.26</v>
      </c>
      <c r="K1644" s="20">
        <f>VLOOKUP(A1644,Metrik!$C$2:$Y$959,11,0)</f>
        <v>0.17</v>
      </c>
      <c r="L1644" s="20">
        <f>VLOOKUP(A1644,Metrik!$C$2:$Y$959,12,0)</f>
        <v>0.56</v>
      </c>
      <c r="M1644" s="20">
        <f>VLOOKUP(A1644,Metrik!$C$2:$Y$959,19,0)</f>
        <v>1.5</v>
      </c>
      <c r="N1644" s="21"/>
      <c r="O1644" s="21"/>
      <c r="P1644" s="21"/>
      <c r="Q1644" s="21"/>
      <c r="R1644" s="21"/>
      <c r="S1644" s="21"/>
      <c r="T1644" s="21"/>
      <c r="U1644" s="22">
        <f>IFERROR(__xludf.DUMMYFUNCTION("IFERROR(GOOGLEFINANCE(A1644,""closeyest""),"""")"),1515.0)</f>
        <v>1515</v>
      </c>
      <c r="V1644" s="23">
        <f>IFERROR(__xludf.DUMMYFUNCTION("IFERROR(GOOGLEFINANCE(A1644,""changepct""),"""")"),2.97)</f>
        <v>2.97</v>
      </c>
      <c r="W1644" s="22">
        <f>IFERROR(__xludf.DUMMYFUNCTION("IFERROR(GOOGLEFINANCE(A1644,""priceopen""),"""")"),1530.0)</f>
        <v>1530</v>
      </c>
      <c r="X1644" s="22">
        <f>IFERROR(__xludf.DUMMYFUNCTION("IFERROR(GOOGLEFINANCE(A1644,""high""),"""")"),1625.0)</f>
        <v>1625</v>
      </c>
      <c r="Y1644" s="22">
        <f>IFERROR(__xludf.DUMMYFUNCTION("IFERROR(GOOGLEFINANCE(A1644,""low""),"""")"),1515.0)</f>
        <v>1515</v>
      </c>
      <c r="Z1644" s="22">
        <f>IFERROR(__xludf.DUMMYFUNCTION("IFERROR(GOOGLEFINANCE(A1644,""volume""),"""")"),1.8815E7)</f>
        <v>18815000</v>
      </c>
      <c r="AA1644" s="24" t="str">
        <f>VLOOKUP(A1644,Metrik!$C$2:$Y$959,5,0)</f>
        <v>Heavy Constructions &amp; Civil Engineering</v>
      </c>
      <c r="AB1644" s="24" t="str">
        <f>VLOOKUP(A1644,Metrik!$C$2:$Y$959,3,0)</f>
        <v>Infrastructures</v>
      </c>
    </row>
    <row r="1645">
      <c r="A1645" s="14" t="s">
        <v>895</v>
      </c>
      <c r="B1645" s="14" t="str">
        <f t="array" ref="B1645">VLOOKUP(A1645,{Metrik!$C$2:$C$998,Metrik!$B$2:$B$998},2,0)</f>
        <v>PT Surya Semesta Internusa Tbk</v>
      </c>
      <c r="C1645" s="15">
        <f>IFERROR(__xludf.DUMMYFUNCTION("GOOGLEFINANCE(""IDX:""&amp;A1645,""price"")"),1560.0)</f>
        <v>1560</v>
      </c>
      <c r="D1645" s="16" t="str">
        <f>IFERROR(__xludf.DUMMYFUNCTION("IF(A1645="""","""",
SPARKLINE(
INDEX(
GOOGLEFINANCE(""IDX:""&amp;A1645,""close"",TODAY()-365,TODAY()),
,2
),
{""linewidth"",1}
))
"),"#N/A")</f>
        <v>#N/A</v>
      </c>
      <c r="E1645" s="14" t="s">
        <v>39</v>
      </c>
      <c r="F1645" s="25">
        <v>46356.0</v>
      </c>
      <c r="G1645" s="24">
        <f t="shared" si="9"/>
        <v>5</v>
      </c>
      <c r="H1645" s="19">
        <f>VLOOKUP(A1645,Metrik!$C$2:$Y$959,8,0)</f>
        <v>370</v>
      </c>
      <c r="I1645" s="20">
        <f>VLOOKUP(A1645,Metrik!$C$2:$Y$959,9,0)</f>
        <v>0.95</v>
      </c>
      <c r="J1645" s="20">
        <f>VLOOKUP(A1645,Metrik!$C$2:$Y$959,10,0)</f>
        <v>0.26</v>
      </c>
      <c r="K1645" s="20">
        <f>VLOOKUP(A1645,Metrik!$C$2:$Y$959,11,0)</f>
        <v>0.17</v>
      </c>
      <c r="L1645" s="20">
        <f>VLOOKUP(A1645,Metrik!$C$2:$Y$959,12,0)</f>
        <v>0.56</v>
      </c>
      <c r="M1645" s="20">
        <f>VLOOKUP(A1645,Metrik!$C$2:$Y$959,19,0)</f>
        <v>1.5</v>
      </c>
      <c r="N1645" s="21"/>
      <c r="O1645" s="21"/>
      <c r="P1645" s="21"/>
      <c r="Q1645" s="21"/>
      <c r="R1645" s="21"/>
      <c r="S1645" s="21"/>
      <c r="T1645" s="21"/>
      <c r="U1645" s="22">
        <f>IFERROR(__xludf.DUMMYFUNCTION("IFERROR(GOOGLEFINANCE(A1645,""closeyest""),"""")"),1515.0)</f>
        <v>1515</v>
      </c>
      <c r="V1645" s="23">
        <f>IFERROR(__xludf.DUMMYFUNCTION("IFERROR(GOOGLEFINANCE(A1645,""changepct""),"""")"),2.97)</f>
        <v>2.97</v>
      </c>
      <c r="W1645" s="22">
        <f>IFERROR(__xludf.DUMMYFUNCTION("IFERROR(GOOGLEFINANCE(A1645,""priceopen""),"""")"),1530.0)</f>
        <v>1530</v>
      </c>
      <c r="X1645" s="22">
        <f>IFERROR(__xludf.DUMMYFUNCTION("IFERROR(GOOGLEFINANCE(A1645,""high""),"""")"),1625.0)</f>
        <v>1625</v>
      </c>
      <c r="Y1645" s="22">
        <f>IFERROR(__xludf.DUMMYFUNCTION("IFERROR(GOOGLEFINANCE(A1645,""low""),"""")"),1515.0)</f>
        <v>1515</v>
      </c>
      <c r="Z1645" s="22">
        <f>IFERROR(__xludf.DUMMYFUNCTION("IFERROR(GOOGLEFINANCE(A1645,""volume""),"""")"),1.8815E7)</f>
        <v>18815000</v>
      </c>
      <c r="AA1645" s="24" t="str">
        <f>VLOOKUP(A1645,Metrik!$C$2:$Y$959,5,0)</f>
        <v>Heavy Constructions &amp; Civil Engineering</v>
      </c>
      <c r="AB1645" s="24" t="str">
        <f>VLOOKUP(A1645,Metrik!$C$2:$Y$959,3,0)</f>
        <v>Infrastructures</v>
      </c>
    </row>
    <row r="1646">
      <c r="A1646" s="14" t="s">
        <v>896</v>
      </c>
      <c r="B1646" s="14" t="str">
        <f t="array" ref="B1646">VLOOKUP(A1646,{Metrik!$C$2:$C$998,Metrik!$B$2:$B$998},2,0)</f>
        <v>PT Sawit Sumbermas Sarana Tbk.</v>
      </c>
      <c r="C1646" s="15">
        <f>IFERROR(__xludf.DUMMYFUNCTION("GOOGLEFINANCE(""IDX:""&amp;A1646,""price"")"),745.0)</f>
        <v>745</v>
      </c>
      <c r="D1646" s="16" t="str">
        <f>IFERROR(__xludf.DUMMYFUNCTION("IF(A1646="""","""",
SPARKLINE(
INDEX(
GOOGLEFINANCE(""IDX:""&amp;A1646,""close"",TODAY()-365,TODAY()),
,2
),
{""linewidth"",1}
))
"),"#N/A")</f>
        <v>#N/A</v>
      </c>
      <c r="E1646" s="14" t="s">
        <v>41</v>
      </c>
      <c r="F1646" s="14" t="s">
        <v>34</v>
      </c>
      <c r="G1646" s="24">
        <f t="shared" si="9"/>
        <v>1</v>
      </c>
      <c r="H1646" s="19">
        <f>VLOOKUP(A1646,Metrik!$C$2:$Y$959,8,0)</f>
        <v>5.9</v>
      </c>
      <c r="I1646" s="20">
        <f>VLOOKUP(A1646,Metrik!$C$2:$Y$959,9,0)</f>
        <v>2</v>
      </c>
      <c r="J1646" s="20">
        <f>VLOOKUP(A1646,Metrik!$C$2:$Y$959,10,0)</f>
        <v>34.3</v>
      </c>
      <c r="K1646" s="20">
        <f>VLOOKUP(A1646,Metrik!$C$2:$Y$959,11,0)</f>
        <v>8.3</v>
      </c>
      <c r="L1646" s="20">
        <f>VLOOKUP(A1646,Metrik!$C$2:$Y$959,12,0)</f>
        <v>3.2</v>
      </c>
      <c r="M1646" s="20">
        <f>VLOOKUP(A1646,Metrik!$C$2:$Y$959,19,0)</f>
        <v>32.3</v>
      </c>
      <c r="N1646" s="21"/>
      <c r="O1646" s="21"/>
      <c r="P1646" s="21"/>
      <c r="Q1646" s="21"/>
      <c r="R1646" s="21"/>
      <c r="S1646" s="21"/>
      <c r="T1646" s="21"/>
      <c r="U1646" s="22">
        <f>IFERROR(__xludf.DUMMYFUNCTION("IFERROR(GOOGLEFINANCE(A1646,""closeyest""),"""")"),730.0)</f>
        <v>730</v>
      </c>
      <c r="V1646" s="23">
        <f>IFERROR(__xludf.DUMMYFUNCTION("IFERROR(GOOGLEFINANCE(A1646,""changepct""),"""")"),2.05)</f>
        <v>2.05</v>
      </c>
      <c r="W1646" s="22">
        <f>IFERROR(__xludf.DUMMYFUNCTION("IFERROR(GOOGLEFINANCE(A1646,""priceopen""),"""")"),730.0)</f>
        <v>730</v>
      </c>
      <c r="X1646" s="22">
        <f>IFERROR(__xludf.DUMMYFUNCTION("IFERROR(GOOGLEFINANCE(A1646,""high""),"""")"),775.0)</f>
        <v>775</v>
      </c>
      <c r="Y1646" s="22">
        <f>IFERROR(__xludf.DUMMYFUNCTION("IFERROR(GOOGLEFINANCE(A1646,""low""),"""")"),720.0)</f>
        <v>720</v>
      </c>
      <c r="Z1646" s="22">
        <f>IFERROR(__xludf.DUMMYFUNCTION("IFERROR(GOOGLEFINANCE(A1646,""volume""),"""")"),1.49825E7)</f>
        <v>14982500</v>
      </c>
      <c r="AA1646" s="24" t="str">
        <f>VLOOKUP(A1646,Metrik!$C$2:$Y$959,5,0)</f>
        <v>Agricultural Products</v>
      </c>
      <c r="AB1646" s="24" t="str">
        <f>VLOOKUP(A1646,Metrik!$C$2:$Y$959,3,0)</f>
        <v>Consumer Non-Cyclicals</v>
      </c>
    </row>
    <row r="1647">
      <c r="A1647" s="14" t="s">
        <v>897</v>
      </c>
      <c r="B1647" s="14" t="str">
        <f t="array" ref="B1647">VLOOKUP(A1647,{Metrik!$C$2:$C$998,Metrik!$B$2:$B$998},2,0)</f>
        <v>Sunson Textile Manufacturer Tbk</v>
      </c>
      <c r="C1647" s="15">
        <f>IFERROR(__xludf.DUMMYFUNCTION("GOOGLEFINANCE(""IDX:""&amp;A1647,""price"")"),400.0)</f>
        <v>400</v>
      </c>
      <c r="D1647" s="16" t="str">
        <f>IFERROR(__xludf.DUMMYFUNCTION("IF(A1647="""","""",
SPARKLINE(
INDEX(
GOOGLEFINANCE(""IDX:""&amp;A1647,""close"",TODAY()-365,TODAY()),
,2
),
{""linewidth"",1}
))
"),"#N/A")</f>
        <v>#N/A</v>
      </c>
      <c r="E1647" s="26"/>
      <c r="F1647" s="26"/>
      <c r="G1647" s="24">
        <f t="shared" si="9"/>
        <v>0</v>
      </c>
      <c r="H1647" s="19">
        <f>VLOOKUP(A1647,Metrik!$C$2:$Y$959,8,0)</f>
        <v>-36.1</v>
      </c>
      <c r="I1647" s="20">
        <f>VLOOKUP(A1647,Metrik!$C$2:$Y$959,9,0)</f>
        <v>2.8</v>
      </c>
      <c r="J1647" s="20">
        <f>VLOOKUP(A1647,Metrik!$C$2:$Y$959,10,0)</f>
        <v>-7.7</v>
      </c>
      <c r="K1647" s="20">
        <f>VLOOKUP(A1647,Metrik!$C$2:$Y$959,11,0)</f>
        <v>-4.5</v>
      </c>
      <c r="L1647" s="20">
        <f>VLOOKUP(A1647,Metrik!$C$2:$Y$959,12,0)</f>
        <v>0.72</v>
      </c>
      <c r="M1647" s="20">
        <f>VLOOKUP(A1647,Metrik!$C$2:$Y$959,19,0)</f>
        <v>-23.6</v>
      </c>
      <c r="N1647" s="21"/>
      <c r="O1647" s="21"/>
      <c r="P1647" s="21"/>
      <c r="Q1647" s="21"/>
      <c r="R1647" s="21"/>
      <c r="S1647" s="21"/>
      <c r="T1647" s="21"/>
      <c r="U1647" s="22">
        <f>IFERROR(__xludf.DUMMYFUNCTION("IFERROR(GOOGLEFINANCE(A1647,""closeyest""),"""")"),406.0)</f>
        <v>406</v>
      </c>
      <c r="V1647" s="23">
        <f>IFERROR(__xludf.DUMMYFUNCTION("IFERROR(GOOGLEFINANCE(A1647,""changepct""),"""")"),-1.48)</f>
        <v>-1.48</v>
      </c>
      <c r="W1647" s="22">
        <f>IFERROR(__xludf.DUMMYFUNCTION("IFERROR(GOOGLEFINANCE(A1647,""priceopen""),"""")"),406.0)</f>
        <v>406</v>
      </c>
      <c r="X1647" s="22">
        <f>IFERROR(__xludf.DUMMYFUNCTION("IFERROR(GOOGLEFINANCE(A1647,""high""),"""")"),440.0)</f>
        <v>440</v>
      </c>
      <c r="Y1647" s="22">
        <f>IFERROR(__xludf.DUMMYFUNCTION("IFERROR(GOOGLEFINANCE(A1647,""low""),"""")"),382.0)</f>
        <v>382</v>
      </c>
      <c r="Z1647" s="22">
        <f>IFERROR(__xludf.DUMMYFUNCTION("IFERROR(GOOGLEFINANCE(A1647,""volume""),"""")"),1263400.0)</f>
        <v>1263400</v>
      </c>
      <c r="AA1647" s="24" t="str">
        <f>VLOOKUP(A1647,Metrik!$C$2:$Y$959,5,0)</f>
        <v>Apparel &amp; Luxury Goods</v>
      </c>
      <c r="AB1647" s="24" t="str">
        <f>VLOOKUP(A1647,Metrik!$C$2:$Y$959,3,0)</f>
        <v>Consumer Cyclicals</v>
      </c>
    </row>
    <row r="1648">
      <c r="A1648" s="14" t="s">
        <v>898</v>
      </c>
      <c r="B1648" s="14" t="str">
        <f t="array" ref="B1648">VLOOKUP(A1648,{Metrik!$C$2:$C$998,Metrik!$B$2:$B$998},2,0)</f>
        <v>Sumber Tani Agung Resources Tbk.</v>
      </c>
      <c r="C1648" s="15">
        <f>IFERROR(__xludf.DUMMYFUNCTION("GOOGLEFINANCE(""IDX:""&amp;A1648,""price"")"),975.0)</f>
        <v>975</v>
      </c>
      <c r="D1648" s="16" t="str">
        <f>IFERROR(__xludf.DUMMYFUNCTION("IF(A1648="""","""",
SPARKLINE(
INDEX(
GOOGLEFINANCE(""IDX:""&amp;A1648,""close"",TODAY()-365,TODAY()),
,2
),
{""linewidth"",1}
))
"),"#N/A")</f>
        <v>#N/A</v>
      </c>
      <c r="E1648" s="14" t="s">
        <v>41</v>
      </c>
      <c r="F1648" s="14" t="s">
        <v>34</v>
      </c>
      <c r="G1648" s="18">
        <f t="shared" si="9"/>
        <v>1</v>
      </c>
      <c r="H1648" s="19">
        <f>VLOOKUP(A1648,Metrik!$C$2:$Y$959,8,0)</f>
        <v>6.8</v>
      </c>
      <c r="I1648" s="20">
        <f>VLOOKUP(A1648,Metrik!$C$2:$Y$959,9,0)</f>
        <v>1.5</v>
      </c>
      <c r="J1648" s="20">
        <f>VLOOKUP(A1648,Metrik!$C$2:$Y$959,10,0)</f>
        <v>21.7</v>
      </c>
      <c r="K1648" s="20">
        <f>VLOOKUP(A1648,Metrik!$C$2:$Y$959,11,0)</f>
        <v>15.8</v>
      </c>
      <c r="L1648" s="20">
        <f>VLOOKUP(A1648,Metrik!$C$2:$Y$959,12,0)</f>
        <v>0.37</v>
      </c>
      <c r="M1648" s="20">
        <f>VLOOKUP(A1648,Metrik!$C$2:$Y$959,19,0)</f>
        <v>64.2</v>
      </c>
      <c r="N1648" s="21"/>
      <c r="O1648" s="21"/>
      <c r="P1648" s="21"/>
      <c r="Q1648" s="21"/>
      <c r="R1648" s="21"/>
      <c r="S1648" s="21"/>
      <c r="T1648" s="21"/>
      <c r="U1648" s="22">
        <f>IFERROR(__xludf.DUMMYFUNCTION("IFERROR(GOOGLEFINANCE(A1648,""closeyest""),"""")"),28.9)</f>
        <v>28.9</v>
      </c>
      <c r="V1648" s="23">
        <f>IFERROR(__xludf.DUMMYFUNCTION("IFERROR(GOOGLEFINANCE(A1648,""changepct""),"""")"),-1.83)</f>
        <v>-1.83</v>
      </c>
      <c r="W1648" s="22">
        <f>IFERROR(__xludf.DUMMYFUNCTION("IFERROR(GOOGLEFINANCE(A1648,""priceopen""),"""")"),28.84)</f>
        <v>28.84</v>
      </c>
      <c r="X1648" s="22">
        <f>IFERROR(__xludf.DUMMYFUNCTION("IFERROR(GOOGLEFINANCE(A1648,""high""),"""")"),28.98)</f>
        <v>28.98</v>
      </c>
      <c r="Y1648" s="22">
        <f>IFERROR(__xludf.DUMMYFUNCTION("IFERROR(GOOGLEFINANCE(A1648,""low""),"""")"),28.17)</f>
        <v>28.17</v>
      </c>
      <c r="Z1648" s="22">
        <f>IFERROR(__xludf.DUMMYFUNCTION("IFERROR(GOOGLEFINANCE(A1648,""volume""),"""")"),384636.0)</f>
        <v>384636</v>
      </c>
      <c r="AA1648" s="24" t="str">
        <f>VLOOKUP(A1648,Metrik!$C$2:$Y$959,5,0)</f>
        <v>Agricultural Products</v>
      </c>
      <c r="AB1648" s="24" t="str">
        <f>VLOOKUP(A1648,Metrik!$C$2:$Y$959,3,0)</f>
        <v>Consumer Non-Cyclicals</v>
      </c>
    </row>
    <row r="1649">
      <c r="A1649" s="14" t="s">
        <v>899</v>
      </c>
      <c r="B1649" s="14" t="str">
        <f t="array" ref="B1649">VLOOKUP(A1649,{Metrik!$C$2:$C$998,Metrik!$B$2:$B$998},2,0)</f>
        <v>Calculus Global Ventures Tbk.</v>
      </c>
      <c r="C1649" s="15">
        <f>IFERROR(__xludf.DUMMYFUNCTION("GOOGLEFINANCE(""IDX:""&amp;A1649,""price"")"),308.0)</f>
        <v>308</v>
      </c>
      <c r="D1649" s="16" t="str">
        <f>IFERROR(__xludf.DUMMYFUNCTION("IF(A1649="""","""",
SPARKLINE(
INDEX(
GOOGLEFINANCE(""IDX:""&amp;A1649,""close"",TODAY()-365,TODAY()),
,2
),
{""linewidth"",1}
))
"),"#N/A")</f>
        <v>#N/A</v>
      </c>
      <c r="E1649" s="26"/>
      <c r="F1649" s="26"/>
      <c r="G1649" s="24">
        <f t="shared" si="9"/>
        <v>0</v>
      </c>
      <c r="H1649" s="19">
        <f>VLOOKUP(A1649,Metrik!$C$2:$Y$959,8,0)</f>
        <v>86.6</v>
      </c>
      <c r="I1649" s="20">
        <f>VLOOKUP(A1649,Metrik!$C$2:$Y$959,9,0)</f>
        <v>3.9</v>
      </c>
      <c r="J1649" s="20">
        <f>VLOOKUP(A1649,Metrik!$C$2:$Y$959,10,0)</f>
        <v>4.5</v>
      </c>
      <c r="K1649" s="20">
        <f>VLOOKUP(A1649,Metrik!$C$2:$Y$959,11,0)</f>
        <v>4.5</v>
      </c>
      <c r="L1649" s="20">
        <f>VLOOKUP(A1649,Metrik!$C$2:$Y$959,12,0)</f>
        <v>0.01</v>
      </c>
      <c r="M1649" s="20">
        <f>VLOOKUP(A1649,Metrik!$C$2:$Y$959,19,0)</f>
        <v>970</v>
      </c>
      <c r="N1649" s="21"/>
      <c r="O1649" s="21"/>
      <c r="P1649" s="21"/>
      <c r="Q1649" s="21"/>
      <c r="R1649" s="21"/>
      <c r="S1649" s="21"/>
      <c r="T1649" s="21"/>
      <c r="U1649" s="22" t="str">
        <f>IFERROR(__xludf.DUMMYFUNCTION("IFERROR(GOOGLEFINANCE(A1649,""closeyest""),"""")"),"")</f>
        <v/>
      </c>
      <c r="V1649" s="23">
        <f>IFERROR(__xludf.DUMMYFUNCTION("IFERROR(GOOGLEFINANCE(A1649,""changepct""),"""")"),0.0)</f>
        <v>0</v>
      </c>
      <c r="W1649" s="22" t="str">
        <f>IFERROR(__xludf.DUMMYFUNCTION("IFERROR(GOOGLEFINANCE(A1649,""priceopen""),"""")"),"")</f>
        <v/>
      </c>
      <c r="X1649" s="22" t="str">
        <f>IFERROR(__xludf.DUMMYFUNCTION("IFERROR(GOOGLEFINANCE(A1649,""high""),"""")"),"")</f>
        <v/>
      </c>
      <c r="Y1649" s="22" t="str">
        <f>IFERROR(__xludf.DUMMYFUNCTION("IFERROR(GOOGLEFINANCE(A1649,""low""),"""")"),"")</f>
        <v/>
      </c>
      <c r="Z1649" s="22">
        <f>IFERROR(__xludf.DUMMYFUNCTION("IFERROR(GOOGLEFINANCE(A1649,""volume""),"""")"),0.0)</f>
        <v>0</v>
      </c>
      <c r="AA1649" s="24" t="str">
        <f>VLOOKUP(A1649,Metrik!$C$2:$Y$959,5,0)</f>
        <v>Holding &amp; Investment Companies</v>
      </c>
      <c r="AB1649" s="24" t="str">
        <f>VLOOKUP(A1649,Metrik!$C$2:$Y$959,3,0)</f>
        <v>Financials</v>
      </c>
    </row>
    <row r="1650">
      <c r="A1650" s="14" t="s">
        <v>900</v>
      </c>
      <c r="B1650" s="14" t="str">
        <f t="array" ref="B1650">VLOOKUP(A1650,{Metrik!$C$2:$C$998,Metrik!$B$2:$B$998},2,0)</f>
        <v>PT Lovina Beach Brewery Tbk.</v>
      </c>
      <c r="C1650" s="15">
        <f>IFERROR(__xludf.DUMMYFUNCTION("GOOGLEFINANCE(""IDX:""&amp;A1650,""price"")"),69.0)</f>
        <v>69</v>
      </c>
      <c r="D1650" s="16" t="str">
        <f>IFERROR(__xludf.DUMMYFUNCTION("IF(A1650="""","""",
SPARKLINE(
INDEX(
GOOGLEFINANCE(""IDX:""&amp;A1650,""close"",TODAY()-365,TODAY()),
,2
),
{""linewidth"",1}
))
"),"#N/A")</f>
        <v>#N/A</v>
      </c>
      <c r="E1650" s="26"/>
      <c r="F1650" s="26"/>
      <c r="G1650" s="24">
        <f t="shared" si="9"/>
        <v>0</v>
      </c>
      <c r="H1650" s="19">
        <f>VLOOKUP(A1650,Metrik!$C$2:$Y$959,8,0)</f>
        <v>-51.9</v>
      </c>
      <c r="I1650" s="20">
        <f>VLOOKUP(A1650,Metrik!$C$2:$Y$959,9,0)</f>
        <v>8.1</v>
      </c>
      <c r="J1650" s="20">
        <f>VLOOKUP(A1650,Metrik!$C$2:$Y$959,10,0)</f>
        <v>-15.6</v>
      </c>
      <c r="K1650" s="20">
        <f>VLOOKUP(A1650,Metrik!$C$2:$Y$959,11,0)</f>
        <v>-13.8</v>
      </c>
      <c r="L1650" s="20">
        <f>VLOOKUP(A1650,Metrik!$C$2:$Y$959,12,0)</f>
        <v>0.13</v>
      </c>
      <c r="M1650" s="20">
        <f>VLOOKUP(A1650,Metrik!$C$2:$Y$959,19,0)</f>
        <v>-220</v>
      </c>
      <c r="N1650" s="21"/>
      <c r="O1650" s="21"/>
      <c r="P1650" s="21"/>
      <c r="Q1650" s="21"/>
      <c r="R1650" s="21"/>
      <c r="S1650" s="21"/>
      <c r="T1650" s="21"/>
      <c r="U1650" s="22">
        <f>IFERROR(__xludf.DUMMYFUNCTION("IFERROR(GOOGLEFINANCE(A1650,""closeyest""),"""")"),68.2)</f>
        <v>68.2</v>
      </c>
      <c r="V1650" s="23">
        <f>IFERROR(__xludf.DUMMYFUNCTION("IFERROR(GOOGLEFINANCE(A1650,""changepct""),"""")"),2.02)</f>
        <v>2.02</v>
      </c>
      <c r="W1650" s="22">
        <f>IFERROR(__xludf.DUMMYFUNCTION("IFERROR(GOOGLEFINANCE(A1650,""priceopen""),"""")"),68.97)</f>
        <v>68.97</v>
      </c>
      <c r="X1650" s="22">
        <f>IFERROR(__xludf.DUMMYFUNCTION("IFERROR(GOOGLEFINANCE(A1650,""high""),"""")"),69.8)</f>
        <v>69.8</v>
      </c>
      <c r="Y1650" s="22">
        <f>IFERROR(__xludf.DUMMYFUNCTION("IFERROR(GOOGLEFINANCE(A1650,""low""),"""")"),68.5)</f>
        <v>68.5</v>
      </c>
      <c r="Z1650" s="22">
        <f>IFERROR(__xludf.DUMMYFUNCTION("IFERROR(GOOGLEFINANCE(A1650,""volume""),"""")"),114851.0)</f>
        <v>114851</v>
      </c>
      <c r="AA1650" s="24" t="str">
        <f>VLOOKUP(A1650,Metrik!$C$2:$Y$959,5,0)</f>
        <v>Beverages</v>
      </c>
      <c r="AB1650" s="24" t="str">
        <f>VLOOKUP(A1650,Metrik!$C$2:$Y$959,3,0)</f>
        <v>Consumer Non-Cyclicals</v>
      </c>
    </row>
    <row r="1651">
      <c r="A1651" s="14" t="s">
        <v>901</v>
      </c>
      <c r="B1651" s="14" t="str">
        <f t="array" ref="B1651">VLOOKUP(A1651,{Metrik!$C$2:$C$998,Metrik!$B$2:$B$998},2,0)</f>
        <v>Siantar Top Tbk.</v>
      </c>
      <c r="C1651" s="15">
        <f>IFERROR(__xludf.DUMMYFUNCTION("GOOGLEFINANCE(""IDX:""&amp;A1651,""price"")"),9425.0)</f>
        <v>9425</v>
      </c>
      <c r="D1651" s="16" t="str">
        <f>IFERROR(__xludf.DUMMYFUNCTION("IF(A1651="""","""",
SPARKLINE(
INDEX(
GOOGLEFINANCE(""IDX:""&amp;A1651,""close"",TODAY()-365,TODAY()),
,2
),
{""linewidth"",1}
))
"),"#N/A")</f>
        <v>#N/A</v>
      </c>
      <c r="E1651" s="26"/>
      <c r="F1651" s="26"/>
      <c r="G1651" s="18">
        <f t="shared" si="9"/>
        <v>0</v>
      </c>
      <c r="H1651" s="19">
        <f>VLOOKUP(A1651,Metrik!$C$2:$Y$959,8,0)</f>
        <v>11.9</v>
      </c>
      <c r="I1651" s="20">
        <f>VLOOKUP(A1651,Metrik!$C$2:$Y$959,9,0)</f>
        <v>1.8</v>
      </c>
      <c r="J1651" s="20">
        <f>VLOOKUP(A1651,Metrik!$C$2:$Y$959,10,0)</f>
        <v>14.8</v>
      </c>
      <c r="K1651" s="20">
        <f>VLOOKUP(A1651,Metrik!$C$2:$Y$959,11,0)</f>
        <v>13.7</v>
      </c>
      <c r="L1651" s="20">
        <f>VLOOKUP(A1651,Metrik!$C$2:$Y$959,12,0)</f>
        <v>0.08</v>
      </c>
      <c r="M1651" s="20">
        <f>VLOOKUP(A1651,Metrik!$C$2:$Y$959,19,0)</f>
        <v>92.2</v>
      </c>
      <c r="N1651" s="21"/>
      <c r="O1651" s="21"/>
      <c r="P1651" s="21"/>
      <c r="Q1651" s="21"/>
      <c r="R1651" s="21"/>
      <c r="S1651" s="21"/>
      <c r="T1651" s="21"/>
      <c r="U1651" s="22">
        <f>IFERROR(__xludf.DUMMYFUNCTION("IFERROR(GOOGLEFINANCE(A1651,""closeyest""),"""")"),9500.0)</f>
        <v>9500</v>
      </c>
      <c r="V1651" s="23">
        <f>IFERROR(__xludf.DUMMYFUNCTION("IFERROR(GOOGLEFINANCE(A1651,""changepct""),"""")"),-0.79)</f>
        <v>-0.79</v>
      </c>
      <c r="W1651" s="22">
        <f>IFERROR(__xludf.DUMMYFUNCTION("IFERROR(GOOGLEFINANCE(A1651,""priceopen""),"""")"),9575.0)</f>
        <v>9575</v>
      </c>
      <c r="X1651" s="22">
        <f>IFERROR(__xludf.DUMMYFUNCTION("IFERROR(GOOGLEFINANCE(A1651,""high""),"""")"),9575.0)</f>
        <v>9575</v>
      </c>
      <c r="Y1651" s="22">
        <f>IFERROR(__xludf.DUMMYFUNCTION("IFERROR(GOOGLEFINANCE(A1651,""low""),"""")"),9375.0)</f>
        <v>9375</v>
      </c>
      <c r="Z1651" s="22">
        <f>IFERROR(__xludf.DUMMYFUNCTION("IFERROR(GOOGLEFINANCE(A1651,""volume""),"""")"),300.0)</f>
        <v>300</v>
      </c>
      <c r="AA1651" s="24" t="str">
        <f>VLOOKUP(A1651,Metrik!$C$2:$Y$959,5,0)</f>
        <v>Processed Foods</v>
      </c>
      <c r="AB1651" s="24" t="str">
        <f>VLOOKUP(A1651,Metrik!$C$2:$Y$959,3,0)</f>
        <v>Consumer Non-Cyclicals</v>
      </c>
    </row>
    <row r="1652">
      <c r="A1652" s="14" t="s">
        <v>902</v>
      </c>
      <c r="B1652" s="14" t="str">
        <f t="array" ref="B1652">VLOOKUP(A1652,{Metrik!$C$2:$C$998,Metrik!$B$2:$B$998},2,0)</f>
        <v>Sugih Energy Tbk.</v>
      </c>
      <c r="C1652" s="15">
        <f>IFERROR(__xludf.DUMMYFUNCTION("GOOGLEFINANCE(""IDX:""&amp;A1652,""price"")"),50.0)</f>
        <v>50</v>
      </c>
      <c r="D1652" s="16" t="str">
        <f>IFERROR(__xludf.DUMMYFUNCTION("IF(A1652="""","""",
SPARKLINE(
INDEX(
GOOGLEFINANCE(""IDX:""&amp;A1652,""close"",TODAY()-365,TODAY()),
,2
),
{""linewidth"",1}
))
"),"#N/A")</f>
        <v>#N/A</v>
      </c>
      <c r="E1652" s="26"/>
      <c r="F1652" s="26"/>
      <c r="G1652" s="24">
        <f t="shared" si="9"/>
        <v>0</v>
      </c>
      <c r="H1652" s="19" t="str">
        <f>VLOOKUP(A1652,Metrik!$C$2:$Y$959,8,0)</f>
        <v/>
      </c>
      <c r="I1652" s="20">
        <f>VLOOKUP(A1652,Metrik!$C$2:$Y$959,9,0)</f>
        <v>0.54</v>
      </c>
      <c r="J1652" s="20">
        <f>VLOOKUP(A1652,Metrik!$C$2:$Y$959,10,0)</f>
        <v>-1.1</v>
      </c>
      <c r="K1652" s="20">
        <f>VLOOKUP(A1652,Metrik!$C$2:$Y$959,11,0)</f>
        <v>0</v>
      </c>
      <c r="L1652" s="20">
        <f>VLOOKUP(A1652,Metrik!$C$2:$Y$959,12,0)</f>
        <v>2.1</v>
      </c>
      <c r="M1652" s="20">
        <f>VLOOKUP(A1652,Metrik!$C$2:$Y$959,19,0)</f>
        <v>-210</v>
      </c>
      <c r="N1652" s="21"/>
      <c r="O1652" s="21"/>
      <c r="P1652" s="21"/>
      <c r="Q1652" s="21"/>
      <c r="R1652" s="21"/>
      <c r="S1652" s="21"/>
      <c r="T1652" s="21"/>
      <c r="U1652" s="22">
        <f>IFERROR(__xludf.DUMMYFUNCTION("IFERROR(GOOGLEFINANCE(A1652,""closeyest""),"""")"),50.0)</f>
        <v>50</v>
      </c>
      <c r="V1652" s="23">
        <f>IFERROR(__xludf.DUMMYFUNCTION("IFERROR(GOOGLEFINANCE(A1652,""changepct""),"""")"),0.0)</f>
        <v>0</v>
      </c>
      <c r="W1652" s="22" t="str">
        <f>IFERROR(__xludf.DUMMYFUNCTION("IFERROR(GOOGLEFINANCE(A1652,""priceopen""),"""")"),"")</f>
        <v/>
      </c>
      <c r="X1652" s="22" t="str">
        <f>IFERROR(__xludf.DUMMYFUNCTION("IFERROR(GOOGLEFINANCE(A1652,""high""),"""")"),"")</f>
        <v/>
      </c>
      <c r="Y1652" s="22" t="str">
        <f>IFERROR(__xludf.DUMMYFUNCTION("IFERROR(GOOGLEFINANCE(A1652,""low""),"""")"),"")</f>
        <v/>
      </c>
      <c r="Z1652" s="22">
        <f>IFERROR(__xludf.DUMMYFUNCTION("IFERROR(GOOGLEFINANCE(A1652,""volume""),"""")"),0.0)</f>
        <v>0</v>
      </c>
      <c r="AA1652" s="24" t="str">
        <f>VLOOKUP(A1652,Metrik!$C$2:$Y$959,5,0)</f>
        <v>Oil &amp; Gas</v>
      </c>
      <c r="AB1652" s="24" t="str">
        <f>VLOOKUP(A1652,Metrik!$C$2:$Y$959,3,0)</f>
        <v>Energy</v>
      </c>
    </row>
    <row r="1653">
      <c r="A1653" s="14" t="s">
        <v>903</v>
      </c>
      <c r="B1653" s="14" t="str">
        <f t="array" ref="B1653">VLOOKUP(A1653,{Metrik!$C$2:$C$998,Metrik!$B$2:$B$998},2,0)</f>
        <v>SLJ Global Tbk.</v>
      </c>
      <c r="C1653" s="15">
        <f>IFERROR(__xludf.DUMMYFUNCTION("GOOGLEFINANCE(""IDX:""&amp;A1653,""price"")"),77.0)</f>
        <v>77</v>
      </c>
      <c r="D1653" s="16" t="str">
        <f>IFERROR(__xludf.DUMMYFUNCTION("IF(A1653="""","""",
SPARKLINE(
INDEX(
GOOGLEFINANCE(""IDX:""&amp;A1653,""close"",TODAY()-365,TODAY()),
,2
),
{""linewidth"",1}
))
"),"#N/A")</f>
        <v>#N/A</v>
      </c>
      <c r="E1653" s="26"/>
      <c r="F1653" s="26"/>
      <c r="G1653" s="24">
        <f t="shared" si="9"/>
        <v>0</v>
      </c>
      <c r="H1653" s="19">
        <f>VLOOKUP(A1653,Metrik!$C$2:$Y$959,8,0)</f>
        <v>-7.7</v>
      </c>
      <c r="I1653" s="20">
        <f>VLOOKUP(A1653,Metrik!$C$2:$Y$959,9,0)</f>
        <v>2.4</v>
      </c>
      <c r="J1653" s="20">
        <f>VLOOKUP(A1653,Metrik!$C$2:$Y$959,10,0)</f>
        <v>-31</v>
      </c>
      <c r="K1653" s="20">
        <f>VLOOKUP(A1653,Metrik!$C$2:$Y$959,11,0)</f>
        <v>-9.7</v>
      </c>
      <c r="L1653" s="20">
        <f>VLOOKUP(A1653,Metrik!$C$2:$Y$959,12,0)</f>
        <v>2.2</v>
      </c>
      <c r="M1653" s="20">
        <f>VLOOKUP(A1653,Metrik!$C$2:$Y$959,19,0)</f>
        <v>-130</v>
      </c>
      <c r="N1653" s="21"/>
      <c r="O1653" s="21"/>
      <c r="P1653" s="21"/>
      <c r="Q1653" s="21"/>
      <c r="R1653" s="21"/>
      <c r="S1653" s="21"/>
      <c r="T1653" s="21"/>
      <c r="U1653" s="22">
        <f>IFERROR(__xludf.DUMMYFUNCTION("IFERROR(GOOGLEFINANCE(A1653,""closeyest""),"""")"),73.0)</f>
        <v>73</v>
      </c>
      <c r="V1653" s="23">
        <f>IFERROR(__xludf.DUMMYFUNCTION("IFERROR(GOOGLEFINANCE(A1653,""changepct""),"""")"),5.48)</f>
        <v>5.48</v>
      </c>
      <c r="W1653" s="22">
        <f>IFERROR(__xludf.DUMMYFUNCTION("IFERROR(GOOGLEFINANCE(A1653,""priceopen""),"""")"),74.0)</f>
        <v>74</v>
      </c>
      <c r="X1653" s="22">
        <f>IFERROR(__xludf.DUMMYFUNCTION("IFERROR(GOOGLEFINANCE(A1653,""high""),"""")"),80.0)</f>
        <v>80</v>
      </c>
      <c r="Y1653" s="22">
        <f>IFERROR(__xludf.DUMMYFUNCTION("IFERROR(GOOGLEFINANCE(A1653,""low""),"""")"),72.0)</f>
        <v>72</v>
      </c>
      <c r="Z1653" s="22">
        <f>IFERROR(__xludf.DUMMYFUNCTION("IFERROR(GOOGLEFINANCE(A1653,""volume""),"""")"),2488300.0)</f>
        <v>2488300</v>
      </c>
      <c r="AA1653" s="24" t="str">
        <f>VLOOKUP(A1653,Metrik!$C$2:$Y$959,5,0)</f>
        <v>Forestry &amp; Paper</v>
      </c>
      <c r="AB1653" s="24" t="str">
        <f>VLOOKUP(A1653,Metrik!$C$2:$Y$959,3,0)</f>
        <v>Basic Materials</v>
      </c>
    </row>
    <row r="1654">
      <c r="A1654" s="14" t="s">
        <v>904</v>
      </c>
      <c r="B1654" s="14" t="str">
        <f t="array" ref="B1654">VLOOKUP(A1654,{Metrik!$C$2:$C$998,Metrik!$B$2:$B$998},2,0)</f>
        <v>PT Sunindo Pratama Tbk</v>
      </c>
      <c r="C1654" s="15">
        <f>IFERROR(__xludf.DUMMYFUNCTION("GOOGLEFINANCE(""IDX:""&amp;A1654,""price"")"),665.0)</f>
        <v>665</v>
      </c>
      <c r="D1654" s="16" t="str">
        <f>IFERROR(__xludf.DUMMYFUNCTION("IF(A1654="""","""",
SPARKLINE(
INDEX(
GOOGLEFINANCE(""IDX:""&amp;A1654,""close"",TODAY()-365,TODAY()),
,2
),
{""linewidth"",1}
))
"),"#N/A")</f>
        <v>#N/A</v>
      </c>
      <c r="E1654" s="26"/>
      <c r="F1654" s="26"/>
      <c r="G1654" s="18">
        <f t="shared" si="9"/>
        <v>0</v>
      </c>
      <c r="H1654" s="19">
        <f>VLOOKUP(A1654,Metrik!$C$2:$Y$959,8,0)</f>
        <v>11.8</v>
      </c>
      <c r="I1654" s="20">
        <f>VLOOKUP(A1654,Metrik!$C$2:$Y$959,9,0)</f>
        <v>1.9</v>
      </c>
      <c r="J1654" s="20">
        <f>VLOOKUP(A1654,Metrik!$C$2:$Y$959,10,0)</f>
        <v>16.5</v>
      </c>
      <c r="K1654" s="20">
        <f>VLOOKUP(A1654,Metrik!$C$2:$Y$959,11,0)</f>
        <v>12.9</v>
      </c>
      <c r="L1654" s="20">
        <f>VLOOKUP(A1654,Metrik!$C$2:$Y$959,12,0)</f>
        <v>0.28</v>
      </c>
      <c r="M1654" s="20">
        <f>VLOOKUP(A1654,Metrik!$C$2:$Y$959,19,0)</f>
        <v>93.9</v>
      </c>
      <c r="N1654" s="21"/>
      <c r="O1654" s="21"/>
      <c r="P1654" s="21"/>
      <c r="Q1654" s="21"/>
      <c r="R1654" s="21"/>
      <c r="S1654" s="21"/>
      <c r="T1654" s="21"/>
      <c r="U1654" s="22">
        <f>IFERROR(__xludf.DUMMYFUNCTION("IFERROR(GOOGLEFINANCE(A1654,""closeyest""),"""")"),660.0)</f>
        <v>660</v>
      </c>
      <c r="V1654" s="23">
        <f>IFERROR(__xludf.DUMMYFUNCTION("IFERROR(GOOGLEFINANCE(A1654,""changepct""),"""")"),0.76)</f>
        <v>0.76</v>
      </c>
      <c r="W1654" s="22">
        <f>IFERROR(__xludf.DUMMYFUNCTION("IFERROR(GOOGLEFINANCE(A1654,""priceopen""),"""")"),660.0)</f>
        <v>660</v>
      </c>
      <c r="X1654" s="22">
        <f>IFERROR(__xludf.DUMMYFUNCTION("IFERROR(GOOGLEFINANCE(A1654,""high""),"""")"),670.0)</f>
        <v>670</v>
      </c>
      <c r="Y1654" s="22">
        <f>IFERROR(__xludf.DUMMYFUNCTION("IFERROR(GOOGLEFINANCE(A1654,""low""),"""")"),650.0)</f>
        <v>650</v>
      </c>
      <c r="Z1654" s="22">
        <f>IFERROR(__xludf.DUMMYFUNCTION("IFERROR(GOOGLEFINANCE(A1654,""volume""),"""")"),161500.0)</f>
        <v>161500</v>
      </c>
      <c r="AA1654" s="24" t="str">
        <f>VLOOKUP(A1654,Metrik!$C$2:$Y$959,5,0)</f>
        <v>Oil, Gas &amp; Coal Supports</v>
      </c>
      <c r="AB1654" s="24" t="str">
        <f>VLOOKUP(A1654,Metrik!$C$2:$Y$959,3,0)</f>
        <v>Energy</v>
      </c>
    </row>
    <row r="1655">
      <c r="A1655" s="14" t="s">
        <v>905</v>
      </c>
      <c r="B1655" s="14" t="str">
        <f t="array" ref="B1655">VLOOKUP(A1655,{Metrik!$C$2:$C$998,Metrik!$B$2:$B$998},2,0)</f>
        <v>Super Bank Indonesia Tbk.</v>
      </c>
      <c r="C1655" s="15" t="str">
        <f>IFERROR(__xludf.DUMMYFUNCTION("GOOGLEFINANCE(""IDX:""&amp;A1655,""price"")"),"#N/A")</f>
        <v>#N/A</v>
      </c>
      <c r="D1655" s="16" t="str">
        <f>IFERROR(__xludf.DUMMYFUNCTION("IF(A1655="""","""",
SPARKLINE(
INDEX(
GOOGLEFINANCE(""IDX:""&amp;A1655,""close"",TODAY()-365,TODAY()),
,2
),
{""linewidth"",1}
))
"),"#N/A")</f>
        <v>#N/A</v>
      </c>
      <c r="E1655" s="26"/>
      <c r="F1655" s="26"/>
      <c r="G1655" s="24">
        <f t="shared" si="9"/>
        <v>0</v>
      </c>
      <c r="H1655" s="19">
        <f>VLOOKUP(A1655,Metrik!$C$2:$Y$959,8,0)</f>
        <v>160</v>
      </c>
      <c r="I1655" s="20">
        <f>VLOOKUP(A1655,Metrik!$C$2:$Y$959,9,0)</f>
        <v>3.5</v>
      </c>
      <c r="J1655" s="20">
        <f>VLOOKUP(A1655,Metrik!$C$2:$Y$959,10,0)</f>
        <v>2.2</v>
      </c>
      <c r="K1655" s="20">
        <f>VLOOKUP(A1655,Metrik!$C$2:$Y$959,11,0)</f>
        <v>0.74</v>
      </c>
      <c r="L1655" s="20">
        <f>VLOOKUP(A1655,Metrik!$C$2:$Y$959,12,0)</f>
        <v>2</v>
      </c>
      <c r="M1655" s="20">
        <f>VLOOKUP(A1655,Metrik!$C$2:$Y$959,19,0)</f>
        <v>24.4</v>
      </c>
      <c r="N1655" s="32">
        <v>4.85</v>
      </c>
      <c r="O1655" s="32">
        <v>92.15</v>
      </c>
      <c r="P1655" s="32">
        <v>62.4</v>
      </c>
      <c r="Q1655" s="32">
        <v>0.85</v>
      </c>
      <c r="R1655" s="32">
        <v>112.4</v>
      </c>
      <c r="S1655" s="32">
        <v>98.15</v>
      </c>
      <c r="T1655" s="32">
        <v>2.45</v>
      </c>
      <c r="U1655" s="22">
        <f>IFERROR(__xludf.DUMMYFUNCTION("IFERROR(GOOGLEFINANCE(A1655,""closeyest""),"""")"),615.0)</f>
        <v>615</v>
      </c>
      <c r="V1655" s="23">
        <f>IFERROR(__xludf.DUMMYFUNCTION("IFERROR(GOOGLEFINANCE(A1655,""changepct""),"""")"),0.0)</f>
        <v>0</v>
      </c>
      <c r="W1655" s="22">
        <f>IFERROR(__xludf.DUMMYFUNCTION("IFERROR(GOOGLEFINANCE(A1655,""priceopen""),"""")"),615.0)</f>
        <v>615</v>
      </c>
      <c r="X1655" s="22">
        <f>IFERROR(__xludf.DUMMYFUNCTION("IFERROR(GOOGLEFINANCE(A1655,""high""),"""")"),645.0)</f>
        <v>645</v>
      </c>
      <c r="Y1655" s="22">
        <f>IFERROR(__xludf.DUMMYFUNCTION("IFERROR(GOOGLEFINANCE(A1655,""low""),"""")"),605.0)</f>
        <v>605</v>
      </c>
      <c r="Z1655" s="22">
        <f>IFERROR(__xludf.DUMMYFUNCTION("IFERROR(GOOGLEFINANCE(A1655,""volume""),"""")"),7.34449E7)</f>
        <v>73444900</v>
      </c>
      <c r="AA1655" s="24" t="str">
        <f>VLOOKUP(A1655,Metrik!$C$2:$Y$959,5,0)</f>
        <v>Banks</v>
      </c>
      <c r="AB1655" s="24" t="str">
        <f>VLOOKUP(A1655,Metrik!$C$2:$Y$959,3,0)</f>
        <v>Financials</v>
      </c>
    </row>
    <row r="1656">
      <c r="A1656" s="14" t="s">
        <v>906</v>
      </c>
      <c r="B1656" s="14" t="str">
        <f t="array" ref="B1656">VLOOKUP(A1656,{Metrik!$C$2:$C$998,Metrik!$B$2:$B$998},2,0)</f>
        <v>Solusi Tunas Pratama Tbk</v>
      </c>
      <c r="C1656" s="15">
        <f>IFERROR(__xludf.DUMMYFUNCTION("GOOGLEFINANCE(""IDX:""&amp;A1656,""price"")"),43850.0)</f>
        <v>43850</v>
      </c>
      <c r="D1656" s="16" t="str">
        <f>IFERROR(__xludf.DUMMYFUNCTION("IF(A1656="""","""",
SPARKLINE(
INDEX(
GOOGLEFINANCE(""IDX:""&amp;A1656,""close"",TODAY()-365,TODAY()),
,2
),
{""linewidth"",1}
))
"),"#N/A")</f>
        <v>#N/A</v>
      </c>
      <c r="E1656" s="26"/>
      <c r="F1656" s="26"/>
      <c r="G1656" s="24">
        <f t="shared" si="9"/>
        <v>0</v>
      </c>
      <c r="H1656" s="19">
        <f>VLOOKUP(A1656,Metrik!$C$2:$Y$959,8,0)</f>
        <v>21.4</v>
      </c>
      <c r="I1656" s="20">
        <f>VLOOKUP(A1656,Metrik!$C$2:$Y$959,9,0)</f>
        <v>6</v>
      </c>
      <c r="J1656" s="20">
        <f>VLOOKUP(A1656,Metrik!$C$2:$Y$959,10,0)</f>
        <v>28.2</v>
      </c>
      <c r="K1656" s="20">
        <f>VLOOKUP(A1656,Metrik!$C$2:$Y$959,11,0)</f>
        <v>10.3</v>
      </c>
      <c r="L1656" s="20">
        <f>VLOOKUP(A1656,Metrik!$C$2:$Y$959,12,0)</f>
        <v>0.26</v>
      </c>
      <c r="M1656" s="20">
        <f>VLOOKUP(A1656,Metrik!$C$2:$Y$959,19,0)</f>
        <v>120</v>
      </c>
      <c r="N1656" s="21"/>
      <c r="O1656" s="21"/>
      <c r="P1656" s="21"/>
      <c r="Q1656" s="21"/>
      <c r="R1656" s="21"/>
      <c r="S1656" s="21"/>
      <c r="T1656" s="21"/>
      <c r="U1656" s="22">
        <f>IFERROR(__xludf.DUMMYFUNCTION("IFERROR(GOOGLEFINANCE(A1656,""closeyest""),"""")"),84.9)</f>
        <v>84.9</v>
      </c>
      <c r="V1656" s="23">
        <f>IFERROR(__xludf.DUMMYFUNCTION("IFERROR(GOOGLEFINANCE(A1656,""changepct""),"""")"),0.47)</f>
        <v>0.47</v>
      </c>
      <c r="W1656" s="22">
        <f>IFERROR(__xludf.DUMMYFUNCTION("IFERROR(GOOGLEFINANCE(A1656,""priceopen""),"""")"),85.7)</f>
        <v>85.7</v>
      </c>
      <c r="X1656" s="22">
        <f>IFERROR(__xludf.DUMMYFUNCTION("IFERROR(GOOGLEFINANCE(A1656,""high""),"""")"),85.95)</f>
        <v>85.95</v>
      </c>
      <c r="Y1656" s="22">
        <f>IFERROR(__xludf.DUMMYFUNCTION("IFERROR(GOOGLEFINANCE(A1656,""low""),"""")"),84.7)</f>
        <v>84.7</v>
      </c>
      <c r="Z1656" s="22">
        <f>IFERROR(__xludf.DUMMYFUNCTION("IFERROR(GOOGLEFINANCE(A1656,""volume""),"""")"),3936769.0)</f>
        <v>3936769</v>
      </c>
      <c r="AA1656" s="24" t="str">
        <f>VLOOKUP(A1656,Metrik!$C$2:$Y$959,5,0)</f>
        <v>Wireless Telecommunication Services</v>
      </c>
      <c r="AB1656" s="24" t="str">
        <f>VLOOKUP(A1656,Metrik!$C$2:$Y$959,3,0)</f>
        <v>Infrastructures</v>
      </c>
    </row>
    <row r="1657">
      <c r="A1657" s="14" t="s">
        <v>907</v>
      </c>
      <c r="B1657" s="14" t="str">
        <f t="array" ref="B1657">VLOOKUP(A1657,{Metrik!$C$2:$C$998,Metrik!$B$2:$B$998},2,0)</f>
        <v>Super Energy Tbk.</v>
      </c>
      <c r="C1657" s="15">
        <f>IFERROR(__xludf.DUMMYFUNCTION("GOOGLEFINANCE(""IDX:""&amp;A1657,""price"")"),3090.0)</f>
        <v>3090</v>
      </c>
      <c r="D1657" s="16" t="str">
        <f>IFERROR(__xludf.DUMMYFUNCTION("IF(A1657="""","""",
SPARKLINE(
INDEX(
GOOGLEFINANCE(""IDX:""&amp;A1657,""close"",TODAY()-365,TODAY()),
,2
),
{""linewidth"",1}
))
"),"#N/A")</f>
        <v>#N/A</v>
      </c>
      <c r="E1657" s="26"/>
      <c r="F1657" s="26"/>
      <c r="G1657" s="24">
        <f t="shared" si="9"/>
        <v>0</v>
      </c>
      <c r="H1657" s="19">
        <f>VLOOKUP(A1657,Metrik!$C$2:$Y$959,8,0)</f>
        <v>-200</v>
      </c>
      <c r="I1657" s="20">
        <f>VLOOKUP(A1657,Metrik!$C$2:$Y$959,9,0)</f>
        <v>17.2</v>
      </c>
      <c r="J1657" s="20">
        <f>VLOOKUP(A1657,Metrik!$C$2:$Y$959,10,0)</f>
        <v>-8.6</v>
      </c>
      <c r="K1657" s="20">
        <f>VLOOKUP(A1657,Metrik!$C$2:$Y$959,11,0)</f>
        <v>-1.2</v>
      </c>
      <c r="L1657" s="20">
        <f>VLOOKUP(A1657,Metrik!$C$2:$Y$959,12,0)</f>
        <v>6.2</v>
      </c>
      <c r="M1657" s="20">
        <f>VLOOKUP(A1657,Metrik!$C$2:$Y$959,19,0)</f>
        <v>-11.2</v>
      </c>
      <c r="N1657" s="21"/>
      <c r="O1657" s="21"/>
      <c r="P1657" s="21"/>
      <c r="Q1657" s="21"/>
      <c r="R1657" s="21"/>
      <c r="S1657" s="21"/>
      <c r="T1657" s="21"/>
      <c r="U1657" s="22">
        <f>IFERROR(__xludf.DUMMYFUNCTION("IFERROR(GOOGLEFINANCE(A1657,""closeyest""),"""")"),144.15)</f>
        <v>144.15</v>
      </c>
      <c r="V1657" s="23">
        <f>IFERROR(__xludf.DUMMYFUNCTION("IFERROR(GOOGLEFINANCE(A1657,""changepct""),"""")"),0.42)</f>
        <v>0.42</v>
      </c>
      <c r="W1657" s="22" t="str">
        <f>IFERROR(__xludf.DUMMYFUNCTION("IFERROR(GOOGLEFINANCE(A1657,""priceopen""),"""")"),"")</f>
        <v/>
      </c>
      <c r="X1657" s="22">
        <f>IFERROR(__xludf.DUMMYFUNCTION("IFERROR(GOOGLEFINANCE(A1657,""high""),"""")"),144.75)</f>
        <v>144.75</v>
      </c>
      <c r="Y1657" s="22">
        <f>IFERROR(__xludf.DUMMYFUNCTION("IFERROR(GOOGLEFINANCE(A1657,""low""),"""")"),144.36)</f>
        <v>144.36</v>
      </c>
      <c r="Z1657" s="22">
        <f>IFERROR(__xludf.DUMMYFUNCTION("IFERROR(GOOGLEFINANCE(A1657,""volume""),"""")"),1.0)</f>
        <v>1</v>
      </c>
      <c r="AA1657" s="24" t="str">
        <f>VLOOKUP(A1657,Metrik!$C$2:$Y$959,5,0)</f>
        <v>Oil &amp; Gas</v>
      </c>
      <c r="AB1657" s="24" t="str">
        <f>VLOOKUP(A1657,Metrik!$C$2:$Y$959,3,0)</f>
        <v>Energy</v>
      </c>
    </row>
    <row r="1658">
      <c r="A1658" s="17" t="s">
        <v>908</v>
      </c>
      <c r="B1658" s="14" t="str">
        <f t="array" ref="B1658">VLOOKUP(A1658,{Metrik!$C$2:$C$998,Metrik!$B$2:$B$998},2,0)</f>
        <v>PT Maja Agung Latexindo Tbk.</v>
      </c>
      <c r="C1658" s="15">
        <f>IFERROR(__xludf.DUMMYFUNCTION("GOOGLEFINANCE(""IDX:""&amp;A1658,""price"")"),59.0)</f>
        <v>59</v>
      </c>
      <c r="D1658" s="16" t="str">
        <f>IFERROR(__xludf.DUMMYFUNCTION("IF(A1658="""","""",
SPARKLINE(
INDEX(
GOOGLEFINANCE(""IDX:""&amp;A1658,""close"",TODAY()-365,TODAY()),
,2
),
{""linewidth"",1}
))
"),"#N/A")</f>
        <v>#N/A</v>
      </c>
      <c r="E1658" s="14"/>
      <c r="F1658" s="17"/>
      <c r="G1658" s="18">
        <f t="shared" si="9"/>
        <v>0</v>
      </c>
      <c r="H1658" s="19">
        <f>VLOOKUP(A1658,Metrik!$C$2:$Y$959,8,0)</f>
        <v>-2430</v>
      </c>
      <c r="I1658" s="20">
        <f>VLOOKUP(A1658,Metrik!$C$2:$Y$959,9,0)</f>
        <v>1.3</v>
      </c>
      <c r="J1658" s="20">
        <f>VLOOKUP(A1658,Metrik!$C$2:$Y$959,10,0)</f>
        <v>-0.05</v>
      </c>
      <c r="K1658" s="20">
        <f>VLOOKUP(A1658,Metrik!$C$2:$Y$959,11,0)</f>
        <v>-0.05</v>
      </c>
      <c r="L1658" s="20">
        <f>VLOOKUP(A1658,Metrik!$C$2:$Y$959,12,0)</f>
        <v>0.13</v>
      </c>
      <c r="M1658" s="20">
        <f>VLOOKUP(A1658,Metrik!$C$2:$Y$959,19,0)</f>
        <v>-0.5</v>
      </c>
      <c r="N1658" s="21"/>
      <c r="O1658" s="21"/>
      <c r="P1658" s="21"/>
      <c r="Q1658" s="21"/>
      <c r="R1658" s="21"/>
      <c r="S1658" s="21"/>
      <c r="T1658" s="21"/>
      <c r="U1658" s="22">
        <f>IFERROR(__xludf.DUMMYFUNCTION("IFERROR(GOOGLEFINANCE(A1658,""closeyest""),"""")"),17.59)</f>
        <v>17.59</v>
      </c>
      <c r="V1658" s="23">
        <f>IFERROR(__xludf.DUMMYFUNCTION("IFERROR(GOOGLEFINANCE(A1658,""changepct""),"""")"),-0.32)</f>
        <v>-0.32</v>
      </c>
      <c r="W1658" s="22">
        <f>IFERROR(__xludf.DUMMYFUNCTION("IFERROR(GOOGLEFINANCE(A1658,""priceopen""),"""")"),17.5)</f>
        <v>17.5</v>
      </c>
      <c r="X1658" s="22" t="str">
        <f>IFERROR(__xludf.DUMMYFUNCTION("IFERROR(GOOGLEFINANCE(A1658,""high""),"""")"),"")</f>
        <v/>
      </c>
      <c r="Y1658" s="22">
        <f>IFERROR(__xludf.DUMMYFUNCTION("IFERROR(GOOGLEFINANCE(A1658,""low""),"""")"),17.5)</f>
        <v>17.5</v>
      </c>
      <c r="Z1658" s="22">
        <f>IFERROR(__xludf.DUMMYFUNCTION("IFERROR(GOOGLEFINANCE(A1658,""volume""),"""")"),354.0)</f>
        <v>354</v>
      </c>
      <c r="AA1658" s="24" t="str">
        <f>VLOOKUP(A1658,Metrik!$C$2:$Y$959,5,0)</f>
        <v>Healthcare Equipment &amp; Supplies</v>
      </c>
      <c r="AB1658" s="24" t="str">
        <f>VLOOKUP(A1658,Metrik!$C$2:$Y$959,3,0)</f>
        <v>Healthcare</v>
      </c>
    </row>
    <row r="1659">
      <c r="A1659" s="14" t="s">
        <v>909</v>
      </c>
      <c r="B1659" s="14" t="str">
        <f t="array" ref="B1659">VLOOKUP(A1659,{Metrik!$C$2:$C$998,Metrik!$B$2:$B$998},2,0)</f>
        <v>Sriwahana Adityakarta Tbk.</v>
      </c>
      <c r="C1659" s="15">
        <f>IFERROR(__xludf.DUMMYFUNCTION("GOOGLEFINANCE(""IDX:""&amp;A1659,""price"")"),16.0)</f>
        <v>16</v>
      </c>
      <c r="D1659" s="16" t="str">
        <f>IFERROR(__xludf.DUMMYFUNCTION("IF(A1659="""","""",
SPARKLINE(
INDEX(
GOOGLEFINANCE(""IDX:""&amp;A1659,""close"",TODAY()-365,TODAY()),
,2
),
{""linewidth"",1}
))
"),"#N/A")</f>
        <v>#N/A</v>
      </c>
      <c r="E1659" s="26"/>
      <c r="F1659" s="26"/>
      <c r="G1659" s="24">
        <f t="shared" si="9"/>
        <v>0</v>
      </c>
      <c r="H1659" s="19">
        <f>VLOOKUP(A1659,Metrik!$C$2:$Y$959,8,0)</f>
        <v>0</v>
      </c>
      <c r="I1659" s="20">
        <f>VLOOKUP(A1659,Metrik!$C$2:$Y$959,9,0)</f>
        <v>0.79</v>
      </c>
      <c r="J1659" s="20">
        <f>VLOOKUP(A1659,Metrik!$C$2:$Y$959,10,0)</f>
        <v>-230</v>
      </c>
      <c r="K1659" s="20">
        <f>VLOOKUP(A1659,Metrik!$C$2:$Y$959,11,0)</f>
        <v>-29.6</v>
      </c>
      <c r="L1659" s="20">
        <f>VLOOKUP(A1659,Metrik!$C$2:$Y$959,12,0)</f>
        <v>6.9</v>
      </c>
      <c r="M1659" s="20">
        <f>VLOOKUP(A1659,Metrik!$C$2:$Y$959,19,0)</f>
        <v>-80.8</v>
      </c>
      <c r="N1659" s="21"/>
      <c r="O1659" s="21"/>
      <c r="P1659" s="21"/>
      <c r="Q1659" s="21"/>
      <c r="R1659" s="21"/>
      <c r="S1659" s="21"/>
      <c r="T1659" s="21"/>
      <c r="U1659" s="22">
        <f>IFERROR(__xludf.DUMMYFUNCTION("IFERROR(GOOGLEFINANCE(A1659,""closeyest""),"""")"),16.0)</f>
        <v>16</v>
      </c>
      <c r="V1659" s="23">
        <f>IFERROR(__xludf.DUMMYFUNCTION("IFERROR(GOOGLEFINANCE(A1659,""changepct""),"""")"),0.0)</f>
        <v>0</v>
      </c>
      <c r="W1659" s="22" t="str">
        <f>IFERROR(__xludf.DUMMYFUNCTION("IFERROR(GOOGLEFINANCE(A1659,""priceopen""),"""")"),"")</f>
        <v/>
      </c>
      <c r="X1659" s="22" t="str">
        <f>IFERROR(__xludf.DUMMYFUNCTION("IFERROR(GOOGLEFINANCE(A1659,""high""),"""")"),"")</f>
        <v/>
      </c>
      <c r="Y1659" s="22" t="str">
        <f>IFERROR(__xludf.DUMMYFUNCTION("IFERROR(GOOGLEFINANCE(A1659,""low""),"""")"),"")</f>
        <v/>
      </c>
      <c r="Z1659" s="22">
        <f>IFERROR(__xludf.DUMMYFUNCTION("IFERROR(GOOGLEFINANCE(A1659,""volume""),"""")"),0.0)</f>
        <v>0</v>
      </c>
      <c r="AA1659" s="24" t="str">
        <f>VLOOKUP(A1659,Metrik!$C$2:$Y$959,5,0)</f>
        <v>Forestry &amp; Paper</v>
      </c>
      <c r="AB1659" s="24" t="str">
        <f>VLOOKUP(A1659,Metrik!$C$2:$Y$959,3,0)</f>
        <v>Basic Materials</v>
      </c>
    </row>
    <row r="1660">
      <c r="A1660" s="14" t="s">
        <v>910</v>
      </c>
      <c r="B1660" s="14" t="str">
        <f t="array" ref="B1660">VLOOKUP(A1660,{Metrik!$C$2:$C$998,Metrik!$B$2:$B$998},2,0)</f>
        <v>Saraswanti Indoland Development Tbk.</v>
      </c>
      <c r="C1660" s="15">
        <f>IFERROR(__xludf.DUMMYFUNCTION("GOOGLEFINANCE(""IDX:""&amp;A1660,""price"")"),88.0)</f>
        <v>88</v>
      </c>
      <c r="D1660" s="16" t="str">
        <f>IFERROR(__xludf.DUMMYFUNCTION("IF(A1660="""","""",
SPARKLINE(
INDEX(
GOOGLEFINANCE(""IDX:""&amp;A1660,""close"",TODAY()-365,TODAY()),
,2
),
{""linewidth"",1}
))
"),"#N/A")</f>
        <v>#N/A</v>
      </c>
      <c r="E1660" s="26"/>
      <c r="F1660" s="26"/>
      <c r="G1660" s="24">
        <f t="shared" si="9"/>
        <v>0</v>
      </c>
      <c r="H1660" s="19">
        <f>VLOOKUP(A1660,Metrik!$C$2:$Y$959,8,0)</f>
        <v>11.2</v>
      </c>
      <c r="I1660" s="20">
        <f>VLOOKUP(A1660,Metrik!$C$2:$Y$959,9,0)</f>
        <v>1.8</v>
      </c>
      <c r="J1660" s="20">
        <f>VLOOKUP(A1660,Metrik!$C$2:$Y$959,10,0)</f>
        <v>15.9</v>
      </c>
      <c r="K1660" s="20">
        <f>VLOOKUP(A1660,Metrik!$C$2:$Y$959,11,0)</f>
        <v>8.6</v>
      </c>
      <c r="L1660" s="20">
        <f>VLOOKUP(A1660,Metrik!$C$2:$Y$959,12,0)</f>
        <v>0.84</v>
      </c>
      <c r="M1660" s="20">
        <f>VLOOKUP(A1660,Metrik!$C$2:$Y$959,19,0)</f>
        <v>150</v>
      </c>
      <c r="N1660" s="21"/>
      <c r="O1660" s="21"/>
      <c r="P1660" s="21"/>
      <c r="Q1660" s="21"/>
      <c r="R1660" s="21"/>
      <c r="S1660" s="21"/>
      <c r="T1660" s="21"/>
      <c r="U1660" s="22" t="str">
        <f>IFERROR(__xludf.DUMMYFUNCTION("IFERROR(GOOGLEFINANCE(A1660,""closeyest""),"""")"),"")</f>
        <v/>
      </c>
      <c r="V1660" s="23">
        <f>IFERROR(__xludf.DUMMYFUNCTION("IFERROR(GOOGLEFINANCE(A1660,""changepct""),"""")"),2.33)</f>
        <v>2.33</v>
      </c>
      <c r="W1660" s="22">
        <f>IFERROR(__xludf.DUMMYFUNCTION("IFERROR(GOOGLEFINANCE(A1660,""priceopen""),"""")"),86.0)</f>
        <v>86</v>
      </c>
      <c r="X1660" s="22">
        <f>IFERROR(__xludf.DUMMYFUNCTION("IFERROR(GOOGLEFINANCE(A1660,""high""),"""")"),88.0)</f>
        <v>88</v>
      </c>
      <c r="Y1660" s="22">
        <f>IFERROR(__xludf.DUMMYFUNCTION("IFERROR(GOOGLEFINANCE(A1660,""low""),"""")"),85.0)</f>
        <v>85</v>
      </c>
      <c r="Z1660" s="22">
        <f>IFERROR(__xludf.DUMMYFUNCTION("IFERROR(GOOGLEFINANCE(A1660,""volume""),"""")"),3671800.0)</f>
        <v>3671800</v>
      </c>
      <c r="AA1660" s="24" t="str">
        <f>VLOOKUP(A1660,Metrik!$C$2:$Y$959,5,0)</f>
        <v>Tourism &amp; Recreation</v>
      </c>
      <c r="AB1660" s="24" t="str">
        <f>VLOOKUP(A1660,Metrik!$C$2:$Y$959,3,0)</f>
        <v>Consumer Cyclicals</v>
      </c>
    </row>
    <row r="1661">
      <c r="A1661" s="14" t="s">
        <v>911</v>
      </c>
      <c r="B1661" s="14" t="str">
        <f t="array" ref="B1661">VLOOKUP(A1661,{Metrik!$C$2:$C$998,Metrik!$B$2:$B$998},2,0)</f>
        <v>Tunas Alfin Tbk.</v>
      </c>
      <c r="C1661" s="15">
        <f>IFERROR(__xludf.DUMMYFUNCTION("GOOGLEFINANCE(""IDX:""&amp;A1661,""price"")"),685.0)</f>
        <v>685</v>
      </c>
      <c r="D1661" s="16" t="str">
        <f>IFERROR(__xludf.DUMMYFUNCTION("IF(A1661="""","""",
SPARKLINE(
INDEX(
GOOGLEFINANCE(""IDX:""&amp;A1661,""close"",TODAY()-365,TODAY()),
,2
),
{""linewidth"",1}
))
"),"#N/A")</f>
        <v>#N/A</v>
      </c>
      <c r="E1661" s="26"/>
      <c r="F1661" s="26"/>
      <c r="G1661" s="24">
        <f t="shared" si="9"/>
        <v>0</v>
      </c>
      <c r="H1661" s="19">
        <f>VLOOKUP(A1661,Metrik!$C$2:$Y$959,8,0)</f>
        <v>23.9</v>
      </c>
      <c r="I1661" s="20">
        <f>VLOOKUP(A1661,Metrik!$C$2:$Y$959,9,0)</f>
        <v>0.72</v>
      </c>
      <c r="J1661" s="20">
        <f>VLOOKUP(A1661,Metrik!$C$2:$Y$959,10,0)</f>
        <v>3</v>
      </c>
      <c r="K1661" s="20">
        <f>VLOOKUP(A1661,Metrik!$C$2:$Y$959,11,0)</f>
        <v>2.2</v>
      </c>
      <c r="L1661" s="20">
        <f>VLOOKUP(A1661,Metrik!$C$2:$Y$959,12,0)</f>
        <v>0.38</v>
      </c>
      <c r="M1661" s="20">
        <f>VLOOKUP(A1661,Metrik!$C$2:$Y$959,19,0)</f>
        <v>13.7</v>
      </c>
      <c r="N1661" s="21"/>
      <c r="O1661" s="21"/>
      <c r="P1661" s="21"/>
      <c r="Q1661" s="21"/>
      <c r="R1661" s="21"/>
      <c r="S1661" s="21"/>
      <c r="T1661" s="21"/>
      <c r="U1661" s="22">
        <f>IFERROR(__xludf.DUMMYFUNCTION("IFERROR(GOOGLEFINANCE(A1661,""closeyest""),"""")"),660.0)</f>
        <v>660</v>
      </c>
      <c r="V1661" s="23">
        <f>IFERROR(__xludf.DUMMYFUNCTION("IFERROR(GOOGLEFINANCE(A1661,""changepct""),"""")"),3.79)</f>
        <v>3.79</v>
      </c>
      <c r="W1661" s="22">
        <f>IFERROR(__xludf.DUMMYFUNCTION("IFERROR(GOOGLEFINANCE(A1661,""priceopen""),"""")"),690.0)</f>
        <v>690</v>
      </c>
      <c r="X1661" s="22">
        <f>IFERROR(__xludf.DUMMYFUNCTION("IFERROR(GOOGLEFINANCE(A1661,""high""),"""")"),690.0)</f>
        <v>690</v>
      </c>
      <c r="Y1661" s="22">
        <f>IFERROR(__xludf.DUMMYFUNCTION("IFERROR(GOOGLEFINANCE(A1661,""low""),"""")"),660.0)</f>
        <v>660</v>
      </c>
      <c r="Z1661" s="22">
        <f>IFERROR(__xludf.DUMMYFUNCTION("IFERROR(GOOGLEFINANCE(A1661,""volume""),"""")"),236300.0)</f>
        <v>236300</v>
      </c>
      <c r="AA1661" s="24" t="str">
        <f>VLOOKUP(A1661,Metrik!$C$2:$Y$959,5,0)</f>
        <v>Containers &amp; Packaging</v>
      </c>
      <c r="AB1661" s="24" t="str">
        <f>VLOOKUP(A1661,Metrik!$C$2:$Y$959,3,0)</f>
        <v>Basic Materials</v>
      </c>
    </row>
    <row r="1662">
      <c r="A1662" s="14" t="s">
        <v>912</v>
      </c>
      <c r="B1662" s="14" t="str">
        <f t="array" ref="B1662">VLOOKUP(A1662,{Metrik!$C$2:$C$998,Metrik!$B$2:$B$998},2,0)</f>
        <v>Lancartama Sejati Tbk.</v>
      </c>
      <c r="C1662" s="15">
        <f>IFERROR(__xludf.DUMMYFUNCTION("GOOGLEFINANCE(""IDX:""&amp;A1662,""price"")"),145.0)</f>
        <v>145</v>
      </c>
      <c r="D1662" s="16" t="str">
        <f>IFERROR(__xludf.DUMMYFUNCTION("IF(A1662="""","""",
SPARKLINE(
INDEX(
GOOGLEFINANCE(""IDX:""&amp;A1662,""close"",TODAY()-365,TODAY()),
,2
),
{""linewidth"",1}
))
"),"#N/A")</f>
        <v>#N/A</v>
      </c>
      <c r="E1662" s="26"/>
      <c r="F1662" s="26"/>
      <c r="G1662" s="24">
        <f t="shared" si="9"/>
        <v>0</v>
      </c>
      <c r="H1662" s="19">
        <f>VLOOKUP(A1662,Metrik!$C$2:$Y$959,8,0)</f>
        <v>-13.3</v>
      </c>
      <c r="I1662" s="20">
        <f>VLOOKUP(A1662,Metrik!$C$2:$Y$959,9,0)</f>
        <v>7.5</v>
      </c>
      <c r="J1662" s="20">
        <f>VLOOKUP(A1662,Metrik!$C$2:$Y$959,10,0)</f>
        <v>-56.3</v>
      </c>
      <c r="K1662" s="20">
        <f>VLOOKUP(A1662,Metrik!$C$2:$Y$959,11,0)</f>
        <v>-3.9</v>
      </c>
      <c r="L1662" s="20">
        <f>VLOOKUP(A1662,Metrik!$C$2:$Y$959,12,0)</f>
        <v>4.6</v>
      </c>
      <c r="M1662" s="20">
        <f>VLOOKUP(A1662,Metrik!$C$2:$Y$959,19,0)</f>
        <v>-89.6</v>
      </c>
      <c r="N1662" s="21"/>
      <c r="O1662" s="21"/>
      <c r="P1662" s="21"/>
      <c r="Q1662" s="21"/>
      <c r="R1662" s="21"/>
      <c r="S1662" s="21"/>
      <c r="T1662" s="21"/>
      <c r="U1662" s="22">
        <f>IFERROR(__xludf.DUMMYFUNCTION("IFERROR(GOOGLEFINANCE(A1662,""closeyest""),"""")"),138.0)</f>
        <v>138</v>
      </c>
      <c r="V1662" s="23">
        <f>IFERROR(__xludf.DUMMYFUNCTION("IFERROR(GOOGLEFINANCE(A1662,""changepct""),"""")"),5.07)</f>
        <v>5.07</v>
      </c>
      <c r="W1662" s="22">
        <f>IFERROR(__xludf.DUMMYFUNCTION("IFERROR(GOOGLEFINANCE(A1662,""priceopen""),"""")"),153.0)</f>
        <v>153</v>
      </c>
      <c r="X1662" s="22">
        <f>IFERROR(__xludf.DUMMYFUNCTION("IFERROR(GOOGLEFINANCE(A1662,""high""),"""")"),153.0)</f>
        <v>153</v>
      </c>
      <c r="Y1662" s="22">
        <f>IFERROR(__xludf.DUMMYFUNCTION("IFERROR(GOOGLEFINANCE(A1662,""low""),"""")"),139.0)</f>
        <v>139</v>
      </c>
      <c r="Z1662" s="22">
        <f>IFERROR(__xludf.DUMMYFUNCTION("IFERROR(GOOGLEFINANCE(A1662,""volume""),"""")"),3187200.0)</f>
        <v>3187200</v>
      </c>
      <c r="AA1662" s="24" t="str">
        <f>VLOOKUP(A1662,Metrik!$C$2:$Y$959,5,0)</f>
        <v>Heavy Constructions &amp; Civil Engineering</v>
      </c>
      <c r="AB1662" s="24" t="str">
        <f>VLOOKUP(A1662,Metrik!$C$2:$Y$959,3,0)</f>
        <v>Infrastructures</v>
      </c>
    </row>
    <row r="1663">
      <c r="A1663" s="14" t="s">
        <v>913</v>
      </c>
      <c r="B1663" s="14" t="str">
        <f t="array" ref="B1663">VLOOKUP(A1663,{Metrik!$C$2:$C$998,Metrik!$B$2:$B$998},2,0)</f>
        <v>PT Pelayaran Tamarin Samudra Tbk.</v>
      </c>
      <c r="C1663" s="15">
        <f>IFERROR(__xludf.DUMMYFUNCTION("GOOGLEFINANCE(""IDX:""&amp;A1663,""price"")"),20.0)</f>
        <v>20</v>
      </c>
      <c r="D1663" s="16" t="str">
        <f>IFERROR(__xludf.DUMMYFUNCTION("IF(A1663="""","""",
SPARKLINE(
INDEX(
GOOGLEFINANCE(""IDX:""&amp;A1663,""close"",TODAY()-365,TODAY()),
,2
),
{""linewidth"",1}
))
"),"#N/A")</f>
        <v>#N/A</v>
      </c>
      <c r="E1663" s="26"/>
      <c r="F1663" s="26"/>
      <c r="G1663" s="24">
        <f t="shared" si="9"/>
        <v>0</v>
      </c>
      <c r="H1663" s="19">
        <f>VLOOKUP(A1663,Metrik!$C$2:$Y$959,8,0)</f>
        <v>-3.7</v>
      </c>
      <c r="I1663" s="20">
        <f>VLOOKUP(A1663,Metrik!$C$2:$Y$959,9,0)</f>
        <v>2.5</v>
      </c>
      <c r="J1663" s="20">
        <f>VLOOKUP(A1663,Metrik!$C$2:$Y$959,10,0)</f>
        <v>-67</v>
      </c>
      <c r="K1663" s="20">
        <f>VLOOKUP(A1663,Metrik!$C$2:$Y$959,11,0)</f>
        <v>-38.1</v>
      </c>
      <c r="L1663" s="20">
        <f>VLOOKUP(A1663,Metrik!$C$2:$Y$959,12,0)</f>
        <v>0.76</v>
      </c>
      <c r="M1663" s="20">
        <f>VLOOKUP(A1663,Metrik!$C$2:$Y$959,19,0)</f>
        <v>-400</v>
      </c>
      <c r="N1663" s="21"/>
      <c r="O1663" s="21"/>
      <c r="P1663" s="21"/>
      <c r="Q1663" s="21"/>
      <c r="R1663" s="21"/>
      <c r="S1663" s="21"/>
      <c r="T1663" s="21"/>
      <c r="U1663" s="22">
        <f>IFERROR(__xludf.DUMMYFUNCTION("IFERROR(GOOGLEFINANCE(A1663,""closeyest""),"""")"),19.0)</f>
        <v>19</v>
      </c>
      <c r="V1663" s="23">
        <f>IFERROR(__xludf.DUMMYFUNCTION("IFERROR(GOOGLEFINANCE(A1663,""changepct""),"""")"),5.26)</f>
        <v>5.26</v>
      </c>
      <c r="W1663" s="22">
        <f>IFERROR(__xludf.DUMMYFUNCTION("IFERROR(GOOGLEFINANCE(A1663,""priceopen""),"""")"),20.0)</f>
        <v>20</v>
      </c>
      <c r="X1663" s="22">
        <f>IFERROR(__xludf.DUMMYFUNCTION("IFERROR(GOOGLEFINANCE(A1663,""high""),"""")"),20.0)</f>
        <v>20</v>
      </c>
      <c r="Y1663" s="22">
        <f>IFERROR(__xludf.DUMMYFUNCTION("IFERROR(GOOGLEFINANCE(A1663,""low""),"""")"),20.0)</f>
        <v>20</v>
      </c>
      <c r="Z1663" s="22">
        <f>IFERROR(__xludf.DUMMYFUNCTION("IFERROR(GOOGLEFINANCE(A1663,""volume""),"""")"),3240000.0)</f>
        <v>3240000</v>
      </c>
      <c r="AA1663" s="24" t="str">
        <f>VLOOKUP(A1663,Metrik!$C$2:$Y$959,5,0)</f>
        <v>Oil, Gas &amp; Coal Supports</v>
      </c>
      <c r="AB1663" s="24" t="str">
        <f>VLOOKUP(A1663,Metrik!$C$2:$Y$959,3,0)</f>
        <v>Energy</v>
      </c>
    </row>
    <row r="1664">
      <c r="A1664" s="14" t="s">
        <v>914</v>
      </c>
      <c r="B1664" s="14" t="str">
        <f t="array" ref="B1664">VLOOKUP(A1664,{Metrik!$C$2:$C$998,Metrik!$B$2:$B$998},2,0)</f>
        <v>Triputra Agro Persada Tbk.</v>
      </c>
      <c r="C1664" s="15">
        <f>IFERROR(__xludf.DUMMYFUNCTION("GOOGLEFINANCE(""IDX:""&amp;A1664,""price"")"),1490.0)</f>
        <v>1490</v>
      </c>
      <c r="D1664" s="16" t="str">
        <f>IFERROR(__xludf.DUMMYFUNCTION("IF(A1664="""","""",
SPARKLINE(
INDEX(
GOOGLEFINANCE(""IDX:""&amp;A1664,""close"",TODAY()-365,TODAY()),
,2
),
{""linewidth"",1}
))
"),"#N/A")</f>
        <v>#N/A</v>
      </c>
      <c r="E1664" s="14" t="s">
        <v>47</v>
      </c>
      <c r="F1664" s="25">
        <v>46356.0</v>
      </c>
      <c r="G1664" s="18">
        <f t="shared" si="9"/>
        <v>12</v>
      </c>
      <c r="H1664" s="19">
        <f>VLOOKUP(A1664,Metrik!$C$2:$Y$959,8,0)</f>
        <v>8.3</v>
      </c>
      <c r="I1664" s="20">
        <f>VLOOKUP(A1664,Metrik!$C$2:$Y$959,9,0)</f>
        <v>2.4</v>
      </c>
      <c r="J1664" s="20">
        <f>VLOOKUP(A1664,Metrik!$C$2:$Y$959,10,0)</f>
        <v>29.2</v>
      </c>
      <c r="K1664" s="20">
        <f>VLOOKUP(A1664,Metrik!$C$2:$Y$959,11,0)</f>
        <v>23.6</v>
      </c>
      <c r="L1664" s="20">
        <f>VLOOKUP(A1664,Metrik!$C$2:$Y$959,12,0)</f>
        <v>0.24</v>
      </c>
      <c r="M1664" s="20">
        <f>VLOOKUP(A1664,Metrik!$C$2:$Y$959,19,0)</f>
        <v>150</v>
      </c>
      <c r="N1664" s="21"/>
      <c r="O1664" s="21"/>
      <c r="P1664" s="21"/>
      <c r="Q1664" s="21"/>
      <c r="R1664" s="21"/>
      <c r="S1664" s="21"/>
      <c r="T1664" s="21"/>
      <c r="U1664" s="22">
        <f>IFERROR(__xludf.DUMMYFUNCTION("IFERROR(GOOGLEFINANCE(A1664,""closeyest""),"""")"),1370.0)</f>
        <v>1370</v>
      </c>
      <c r="V1664" s="23">
        <f>IFERROR(__xludf.DUMMYFUNCTION("IFERROR(GOOGLEFINANCE(A1664,""changepct""),"""")"),8.76)</f>
        <v>8.76</v>
      </c>
      <c r="W1664" s="22">
        <f>IFERROR(__xludf.DUMMYFUNCTION("IFERROR(GOOGLEFINANCE(A1664,""priceopen""),"""")"),1380.0)</f>
        <v>1380</v>
      </c>
      <c r="X1664" s="22">
        <f>IFERROR(__xludf.DUMMYFUNCTION("IFERROR(GOOGLEFINANCE(A1664,""high""),"""")"),1550.0)</f>
        <v>1550</v>
      </c>
      <c r="Y1664" s="22">
        <f>IFERROR(__xludf.DUMMYFUNCTION("IFERROR(GOOGLEFINANCE(A1664,""low""),"""")"),1380.0)</f>
        <v>1380</v>
      </c>
      <c r="Z1664" s="22">
        <f>IFERROR(__xludf.DUMMYFUNCTION("IFERROR(GOOGLEFINANCE(A1664,""volume""),"""")"),2.37826E7)</f>
        <v>23782600</v>
      </c>
      <c r="AA1664" s="24" t="str">
        <f>VLOOKUP(A1664,Metrik!$C$2:$Y$959,5,0)</f>
        <v>Agricultural Products</v>
      </c>
      <c r="AB1664" s="24" t="str">
        <f>VLOOKUP(A1664,Metrik!$C$2:$Y$959,3,0)</f>
        <v>Consumer Non-Cyclicals</v>
      </c>
    </row>
    <row r="1665">
      <c r="A1665" s="14" t="s">
        <v>914</v>
      </c>
      <c r="B1665" s="14" t="str">
        <f t="array" ref="B1665">VLOOKUP(A1665,{Metrik!$C$2:$C$998,Metrik!$B$2:$B$998},2,0)</f>
        <v>Triputra Agro Persada Tbk.</v>
      </c>
      <c r="C1665" s="15">
        <f>IFERROR(__xludf.DUMMYFUNCTION("GOOGLEFINANCE(""IDX:""&amp;A1665,""price"")"),1490.0)</f>
        <v>1490</v>
      </c>
      <c r="D1665" s="16" t="str">
        <f>IFERROR(__xludf.DUMMYFUNCTION("IF(A1665="""","""",
SPARKLINE(
INDEX(
GOOGLEFINANCE(""IDX:""&amp;A1665,""close"",TODAY()-365,TODAY()),
,2
),
{""linewidth"",1}
))
"),"#N/A")</f>
        <v>#N/A</v>
      </c>
      <c r="E1665" s="14" t="s">
        <v>65</v>
      </c>
      <c r="F1665" s="25">
        <v>46356.0</v>
      </c>
      <c r="G1665" s="18">
        <f t="shared" si="9"/>
        <v>12</v>
      </c>
      <c r="H1665" s="19">
        <f>VLOOKUP(A1665,Metrik!$C$2:$Y$959,8,0)</f>
        <v>8.3</v>
      </c>
      <c r="I1665" s="20">
        <f>VLOOKUP(A1665,Metrik!$C$2:$Y$959,9,0)</f>
        <v>2.4</v>
      </c>
      <c r="J1665" s="20">
        <f>VLOOKUP(A1665,Metrik!$C$2:$Y$959,10,0)</f>
        <v>29.2</v>
      </c>
      <c r="K1665" s="20">
        <f>VLOOKUP(A1665,Metrik!$C$2:$Y$959,11,0)</f>
        <v>23.6</v>
      </c>
      <c r="L1665" s="20">
        <f>VLOOKUP(A1665,Metrik!$C$2:$Y$959,12,0)</f>
        <v>0.24</v>
      </c>
      <c r="M1665" s="20">
        <f>VLOOKUP(A1665,Metrik!$C$2:$Y$959,19,0)</f>
        <v>150</v>
      </c>
      <c r="N1665" s="21"/>
      <c r="O1665" s="21"/>
      <c r="P1665" s="21"/>
      <c r="Q1665" s="21"/>
      <c r="R1665" s="21"/>
      <c r="S1665" s="21"/>
      <c r="T1665" s="21"/>
      <c r="U1665" s="22">
        <f>IFERROR(__xludf.DUMMYFUNCTION("IFERROR(GOOGLEFINANCE(A1665,""closeyest""),"""")"),1370.0)</f>
        <v>1370</v>
      </c>
      <c r="V1665" s="23">
        <f>IFERROR(__xludf.DUMMYFUNCTION("IFERROR(GOOGLEFINANCE(A1665,""changepct""),"""")"),8.76)</f>
        <v>8.76</v>
      </c>
      <c r="W1665" s="22">
        <f>IFERROR(__xludf.DUMMYFUNCTION("IFERROR(GOOGLEFINANCE(A1665,""priceopen""),"""")"),1380.0)</f>
        <v>1380</v>
      </c>
      <c r="X1665" s="22">
        <f>IFERROR(__xludf.DUMMYFUNCTION("IFERROR(GOOGLEFINANCE(A1665,""high""),"""")"),1550.0)</f>
        <v>1550</v>
      </c>
      <c r="Y1665" s="22">
        <f>IFERROR(__xludf.DUMMYFUNCTION("IFERROR(GOOGLEFINANCE(A1665,""low""),"""")"),1380.0)</f>
        <v>1380</v>
      </c>
      <c r="Z1665" s="22">
        <f>IFERROR(__xludf.DUMMYFUNCTION("IFERROR(GOOGLEFINANCE(A1665,""volume""),"""")"),2.37826E7)</f>
        <v>23782600</v>
      </c>
      <c r="AA1665" s="24" t="str">
        <f>VLOOKUP(A1665,Metrik!$C$2:$Y$959,5,0)</f>
        <v>Agricultural Products</v>
      </c>
      <c r="AB1665" s="24" t="str">
        <f>VLOOKUP(A1665,Metrik!$C$2:$Y$959,3,0)</f>
        <v>Consumer Non-Cyclicals</v>
      </c>
    </row>
    <row r="1666">
      <c r="A1666" s="14" t="s">
        <v>914</v>
      </c>
      <c r="B1666" s="14" t="str">
        <f t="array" ref="B1666">VLOOKUP(A1666,{Metrik!$C$2:$C$998,Metrik!$B$2:$B$998},2,0)</f>
        <v>Triputra Agro Persada Tbk.</v>
      </c>
      <c r="C1666" s="15">
        <f>IFERROR(__xludf.DUMMYFUNCTION("GOOGLEFINANCE(""IDX:""&amp;A1666,""price"")"),1490.0)</f>
        <v>1490</v>
      </c>
      <c r="D1666" s="16" t="str">
        <f>IFERROR(__xludf.DUMMYFUNCTION("IF(A1666="""","""",
SPARKLINE(
INDEX(
GOOGLEFINANCE(""IDX:""&amp;A1666,""close"",TODAY()-365,TODAY()),
,2
),
{""linewidth"",1}
))
"),"#N/A")</f>
        <v>#N/A</v>
      </c>
      <c r="E1666" s="14" t="s">
        <v>55</v>
      </c>
      <c r="F1666" s="25">
        <v>46356.0</v>
      </c>
      <c r="G1666" s="18">
        <f t="shared" si="9"/>
        <v>12</v>
      </c>
      <c r="H1666" s="19">
        <f>VLOOKUP(A1666,Metrik!$C$2:$Y$959,8,0)</f>
        <v>8.3</v>
      </c>
      <c r="I1666" s="20">
        <f>VLOOKUP(A1666,Metrik!$C$2:$Y$959,9,0)</f>
        <v>2.4</v>
      </c>
      <c r="J1666" s="20">
        <f>VLOOKUP(A1666,Metrik!$C$2:$Y$959,10,0)</f>
        <v>29.2</v>
      </c>
      <c r="K1666" s="20">
        <f>VLOOKUP(A1666,Metrik!$C$2:$Y$959,11,0)</f>
        <v>23.6</v>
      </c>
      <c r="L1666" s="20">
        <f>VLOOKUP(A1666,Metrik!$C$2:$Y$959,12,0)</f>
        <v>0.24</v>
      </c>
      <c r="M1666" s="20">
        <f>VLOOKUP(A1666,Metrik!$C$2:$Y$959,19,0)</f>
        <v>150</v>
      </c>
      <c r="N1666" s="21"/>
      <c r="O1666" s="21"/>
      <c r="P1666" s="21"/>
      <c r="Q1666" s="21"/>
      <c r="R1666" s="21"/>
      <c r="S1666" s="21"/>
      <c r="T1666" s="21"/>
      <c r="U1666" s="22">
        <f>IFERROR(__xludf.DUMMYFUNCTION("IFERROR(GOOGLEFINANCE(A1666,""closeyest""),"""")"),1370.0)</f>
        <v>1370</v>
      </c>
      <c r="V1666" s="23">
        <f>IFERROR(__xludf.DUMMYFUNCTION("IFERROR(GOOGLEFINANCE(A1666,""changepct""),"""")"),8.76)</f>
        <v>8.76</v>
      </c>
      <c r="W1666" s="22">
        <f>IFERROR(__xludf.DUMMYFUNCTION("IFERROR(GOOGLEFINANCE(A1666,""priceopen""),"""")"),1380.0)</f>
        <v>1380</v>
      </c>
      <c r="X1666" s="22">
        <f>IFERROR(__xludf.DUMMYFUNCTION("IFERROR(GOOGLEFINANCE(A1666,""high""),"""")"),1550.0)</f>
        <v>1550</v>
      </c>
      <c r="Y1666" s="22">
        <f>IFERROR(__xludf.DUMMYFUNCTION("IFERROR(GOOGLEFINANCE(A1666,""low""),"""")"),1380.0)</f>
        <v>1380</v>
      </c>
      <c r="Z1666" s="22">
        <f>IFERROR(__xludf.DUMMYFUNCTION("IFERROR(GOOGLEFINANCE(A1666,""volume""),"""")"),2.37826E7)</f>
        <v>23782600</v>
      </c>
      <c r="AA1666" s="24" t="str">
        <f>VLOOKUP(A1666,Metrik!$C$2:$Y$959,5,0)</f>
        <v>Agricultural Products</v>
      </c>
      <c r="AB1666" s="24" t="str">
        <f>VLOOKUP(A1666,Metrik!$C$2:$Y$959,3,0)</f>
        <v>Consumer Non-Cyclicals</v>
      </c>
    </row>
    <row r="1667">
      <c r="A1667" s="14" t="s">
        <v>914</v>
      </c>
      <c r="B1667" s="14" t="str">
        <f t="array" ref="B1667">VLOOKUP(A1667,{Metrik!$C$2:$C$998,Metrik!$B$2:$B$998},2,0)</f>
        <v>Triputra Agro Persada Tbk.</v>
      </c>
      <c r="C1667" s="15">
        <f>IFERROR(__xludf.DUMMYFUNCTION("GOOGLEFINANCE(""IDX:""&amp;A1667,""price"")"),1490.0)</f>
        <v>1490</v>
      </c>
      <c r="D1667" s="16" t="str">
        <f>IFERROR(__xludf.DUMMYFUNCTION("IF(A1667="""","""",
SPARKLINE(
INDEX(
GOOGLEFINANCE(""IDX:""&amp;A1667,""close"",TODAY()-365,TODAY()),
,2
),
{""linewidth"",1}
))
"),"#N/A")</f>
        <v>#N/A</v>
      </c>
      <c r="E1667" s="14" t="s">
        <v>48</v>
      </c>
      <c r="F1667" s="14" t="s">
        <v>49</v>
      </c>
      <c r="G1667" s="18">
        <f t="shared" si="9"/>
        <v>12</v>
      </c>
      <c r="H1667" s="19">
        <f>VLOOKUP(A1667,Metrik!$C$2:$Y$959,8,0)</f>
        <v>8.3</v>
      </c>
      <c r="I1667" s="20">
        <f>VLOOKUP(A1667,Metrik!$C$2:$Y$959,9,0)</f>
        <v>2.4</v>
      </c>
      <c r="J1667" s="20">
        <f>VLOOKUP(A1667,Metrik!$C$2:$Y$959,10,0)</f>
        <v>29.2</v>
      </c>
      <c r="K1667" s="20">
        <f>VLOOKUP(A1667,Metrik!$C$2:$Y$959,11,0)</f>
        <v>23.6</v>
      </c>
      <c r="L1667" s="20">
        <f>VLOOKUP(A1667,Metrik!$C$2:$Y$959,12,0)</f>
        <v>0.24</v>
      </c>
      <c r="M1667" s="20">
        <f>VLOOKUP(A1667,Metrik!$C$2:$Y$959,19,0)</f>
        <v>150</v>
      </c>
      <c r="N1667" s="21"/>
      <c r="O1667" s="21"/>
      <c r="P1667" s="21"/>
      <c r="Q1667" s="21"/>
      <c r="R1667" s="21"/>
      <c r="S1667" s="21"/>
      <c r="T1667" s="21"/>
      <c r="U1667" s="22">
        <f>IFERROR(__xludf.DUMMYFUNCTION("IFERROR(GOOGLEFINANCE(A1667,""closeyest""),"""")"),1370.0)</f>
        <v>1370</v>
      </c>
      <c r="V1667" s="23">
        <f>IFERROR(__xludf.DUMMYFUNCTION("IFERROR(GOOGLEFINANCE(A1667,""changepct""),"""")"),8.76)</f>
        <v>8.76</v>
      </c>
      <c r="W1667" s="22">
        <f>IFERROR(__xludf.DUMMYFUNCTION("IFERROR(GOOGLEFINANCE(A1667,""priceopen""),"""")"),1380.0)</f>
        <v>1380</v>
      </c>
      <c r="X1667" s="22">
        <f>IFERROR(__xludf.DUMMYFUNCTION("IFERROR(GOOGLEFINANCE(A1667,""high""),"""")"),1550.0)</f>
        <v>1550</v>
      </c>
      <c r="Y1667" s="22">
        <f>IFERROR(__xludf.DUMMYFUNCTION("IFERROR(GOOGLEFINANCE(A1667,""low""),"""")"),1380.0)</f>
        <v>1380</v>
      </c>
      <c r="Z1667" s="22">
        <f>IFERROR(__xludf.DUMMYFUNCTION("IFERROR(GOOGLEFINANCE(A1667,""volume""),"""")"),2.37826E7)</f>
        <v>23782600</v>
      </c>
      <c r="AA1667" s="24" t="str">
        <f>VLOOKUP(A1667,Metrik!$C$2:$Y$959,5,0)</f>
        <v>Agricultural Products</v>
      </c>
      <c r="AB1667" s="24" t="str">
        <f>VLOOKUP(A1667,Metrik!$C$2:$Y$959,3,0)</f>
        <v>Consumer Non-Cyclicals</v>
      </c>
    </row>
    <row r="1668">
      <c r="A1668" s="14" t="s">
        <v>914</v>
      </c>
      <c r="B1668" s="14" t="str">
        <f t="array" ref="B1668">VLOOKUP(A1668,{Metrik!$C$2:$C$998,Metrik!$B$2:$B$998},2,0)</f>
        <v>Triputra Agro Persada Tbk.</v>
      </c>
      <c r="C1668" s="15">
        <f>IFERROR(__xludf.DUMMYFUNCTION("GOOGLEFINANCE(""IDX:""&amp;A1668,""price"")"),1490.0)</f>
        <v>1490</v>
      </c>
      <c r="D1668" s="16" t="str">
        <f>IFERROR(__xludf.DUMMYFUNCTION("IF(A1668="""","""",
SPARKLINE(
INDEX(
GOOGLEFINANCE(""IDX:""&amp;A1668,""close"",TODAY()-365,TODAY()),
,2
),
{""linewidth"",1}
))
"),"#N/A")</f>
        <v>#N/A</v>
      </c>
      <c r="E1668" s="14" t="s">
        <v>28</v>
      </c>
      <c r="F1668" s="17" t="s">
        <v>29</v>
      </c>
      <c r="G1668" s="18">
        <f t="shared" si="9"/>
        <v>12</v>
      </c>
      <c r="H1668" s="19">
        <f>VLOOKUP(A1668,Metrik!$C$2:$Y$959,8,0)</f>
        <v>8.3</v>
      </c>
      <c r="I1668" s="20">
        <f>VLOOKUP(A1668,Metrik!$C$2:$Y$959,9,0)</f>
        <v>2.4</v>
      </c>
      <c r="J1668" s="20">
        <f>VLOOKUP(A1668,Metrik!$C$2:$Y$959,10,0)</f>
        <v>29.2</v>
      </c>
      <c r="K1668" s="20">
        <f>VLOOKUP(A1668,Metrik!$C$2:$Y$959,11,0)</f>
        <v>23.6</v>
      </c>
      <c r="L1668" s="20">
        <f>VLOOKUP(A1668,Metrik!$C$2:$Y$959,12,0)</f>
        <v>0.24</v>
      </c>
      <c r="M1668" s="20">
        <f>VLOOKUP(A1668,Metrik!$C$2:$Y$959,19,0)</f>
        <v>150</v>
      </c>
      <c r="N1668" s="21"/>
      <c r="O1668" s="21"/>
      <c r="P1668" s="21"/>
      <c r="Q1668" s="21"/>
      <c r="R1668" s="21"/>
      <c r="S1668" s="21"/>
      <c r="T1668" s="21"/>
      <c r="U1668" s="22">
        <f>IFERROR(__xludf.DUMMYFUNCTION("IFERROR(GOOGLEFINANCE(A1668,""closeyest""),"""")"),1370.0)</f>
        <v>1370</v>
      </c>
      <c r="V1668" s="23">
        <f>IFERROR(__xludf.DUMMYFUNCTION("IFERROR(GOOGLEFINANCE(A1668,""changepct""),"""")"),8.76)</f>
        <v>8.76</v>
      </c>
      <c r="W1668" s="22">
        <f>IFERROR(__xludf.DUMMYFUNCTION("IFERROR(GOOGLEFINANCE(A1668,""priceopen""),"""")"),1380.0)</f>
        <v>1380</v>
      </c>
      <c r="X1668" s="22">
        <f>IFERROR(__xludf.DUMMYFUNCTION("IFERROR(GOOGLEFINANCE(A1668,""high""),"""")"),1550.0)</f>
        <v>1550</v>
      </c>
      <c r="Y1668" s="22">
        <f>IFERROR(__xludf.DUMMYFUNCTION("IFERROR(GOOGLEFINANCE(A1668,""low""),"""")"),1380.0)</f>
        <v>1380</v>
      </c>
      <c r="Z1668" s="22">
        <f>IFERROR(__xludf.DUMMYFUNCTION("IFERROR(GOOGLEFINANCE(A1668,""volume""),"""")"),2.37826E7)</f>
        <v>23782600</v>
      </c>
      <c r="AA1668" s="24" t="str">
        <f>VLOOKUP(A1668,Metrik!$C$2:$Y$959,5,0)</f>
        <v>Agricultural Products</v>
      </c>
      <c r="AB1668" s="24" t="str">
        <f>VLOOKUP(A1668,Metrik!$C$2:$Y$959,3,0)</f>
        <v>Consumer Non-Cyclicals</v>
      </c>
    </row>
    <row r="1669">
      <c r="A1669" s="14" t="s">
        <v>914</v>
      </c>
      <c r="B1669" s="14" t="str">
        <f t="array" ref="B1669">VLOOKUP(A1669,{Metrik!$C$2:$C$998,Metrik!$B$2:$B$998},2,0)</f>
        <v>Triputra Agro Persada Tbk.</v>
      </c>
      <c r="C1669" s="15">
        <f>IFERROR(__xludf.DUMMYFUNCTION("GOOGLEFINANCE(""IDX:""&amp;A1669,""price"")"),1490.0)</f>
        <v>1490</v>
      </c>
      <c r="D1669" s="16" t="str">
        <f>IFERROR(__xludf.DUMMYFUNCTION("IF(A1669="""","""",
SPARKLINE(
INDEX(
GOOGLEFINANCE(""IDX:""&amp;A1669,""close"",TODAY()-365,TODAY()),
,2
),
{""linewidth"",1}
))
"),"#N/A")</f>
        <v>#N/A</v>
      </c>
      <c r="E1669" s="14" t="s">
        <v>84</v>
      </c>
      <c r="F1669" s="17" t="s">
        <v>51</v>
      </c>
      <c r="G1669" s="18">
        <f t="shared" si="9"/>
        <v>12</v>
      </c>
      <c r="H1669" s="19">
        <f>VLOOKUP(A1669,Metrik!$C$2:$Y$959,8,0)</f>
        <v>8.3</v>
      </c>
      <c r="I1669" s="20">
        <f>VLOOKUP(A1669,Metrik!$C$2:$Y$959,9,0)</f>
        <v>2.4</v>
      </c>
      <c r="J1669" s="20">
        <f>VLOOKUP(A1669,Metrik!$C$2:$Y$959,10,0)</f>
        <v>29.2</v>
      </c>
      <c r="K1669" s="20">
        <f>VLOOKUP(A1669,Metrik!$C$2:$Y$959,11,0)</f>
        <v>23.6</v>
      </c>
      <c r="L1669" s="20">
        <f>VLOOKUP(A1669,Metrik!$C$2:$Y$959,12,0)</f>
        <v>0.24</v>
      </c>
      <c r="M1669" s="20">
        <f>VLOOKUP(A1669,Metrik!$C$2:$Y$959,19,0)</f>
        <v>150</v>
      </c>
      <c r="N1669" s="21"/>
      <c r="O1669" s="21"/>
      <c r="P1669" s="21"/>
      <c r="Q1669" s="21"/>
      <c r="R1669" s="21"/>
      <c r="S1669" s="21"/>
      <c r="T1669" s="21"/>
      <c r="U1669" s="22">
        <f>IFERROR(__xludf.DUMMYFUNCTION("IFERROR(GOOGLEFINANCE(A1669,""closeyest""),"""")"),1370.0)</f>
        <v>1370</v>
      </c>
      <c r="V1669" s="23">
        <f>IFERROR(__xludf.DUMMYFUNCTION("IFERROR(GOOGLEFINANCE(A1669,""changepct""),"""")"),8.76)</f>
        <v>8.76</v>
      </c>
      <c r="W1669" s="22">
        <f>IFERROR(__xludf.DUMMYFUNCTION("IFERROR(GOOGLEFINANCE(A1669,""priceopen""),"""")"),1380.0)</f>
        <v>1380</v>
      </c>
      <c r="X1669" s="22">
        <f>IFERROR(__xludf.DUMMYFUNCTION("IFERROR(GOOGLEFINANCE(A1669,""high""),"""")"),1550.0)</f>
        <v>1550</v>
      </c>
      <c r="Y1669" s="22">
        <f>IFERROR(__xludf.DUMMYFUNCTION("IFERROR(GOOGLEFINANCE(A1669,""low""),"""")"),1380.0)</f>
        <v>1380</v>
      </c>
      <c r="Z1669" s="22">
        <f>IFERROR(__xludf.DUMMYFUNCTION("IFERROR(GOOGLEFINANCE(A1669,""volume""),"""")"),2.37826E7)</f>
        <v>23782600</v>
      </c>
      <c r="AA1669" s="24" t="str">
        <f>VLOOKUP(A1669,Metrik!$C$2:$Y$959,5,0)</f>
        <v>Agricultural Products</v>
      </c>
      <c r="AB1669" s="24" t="str">
        <f>VLOOKUP(A1669,Metrik!$C$2:$Y$959,3,0)</f>
        <v>Consumer Non-Cyclicals</v>
      </c>
    </row>
    <row r="1670">
      <c r="A1670" s="14" t="s">
        <v>914</v>
      </c>
      <c r="B1670" s="14" t="str">
        <f t="array" ref="B1670">VLOOKUP(A1670,{Metrik!$C$2:$C$998,Metrik!$B$2:$B$998},2,0)</f>
        <v>Triputra Agro Persada Tbk.</v>
      </c>
      <c r="C1670" s="15">
        <f>IFERROR(__xludf.DUMMYFUNCTION("GOOGLEFINANCE(""IDX:""&amp;A1670,""price"")"),1490.0)</f>
        <v>1490</v>
      </c>
      <c r="D1670" s="16" t="str">
        <f>IFERROR(__xludf.DUMMYFUNCTION("IF(A1670="""","""",
SPARKLINE(
INDEX(
GOOGLEFINANCE(""IDX:""&amp;A1670,""close"",TODAY()-365,TODAY()),
,2
),
{""linewidth"",1}
))
"),"#N/A")</f>
        <v>#N/A</v>
      </c>
      <c r="E1670" s="14" t="s">
        <v>32</v>
      </c>
      <c r="F1670" s="14" t="s">
        <v>29</v>
      </c>
      <c r="G1670" s="18">
        <f t="shared" si="9"/>
        <v>12</v>
      </c>
      <c r="H1670" s="19">
        <f>VLOOKUP(A1670,Metrik!$C$2:$Y$959,8,0)</f>
        <v>8.3</v>
      </c>
      <c r="I1670" s="20">
        <f>VLOOKUP(A1670,Metrik!$C$2:$Y$959,9,0)</f>
        <v>2.4</v>
      </c>
      <c r="J1670" s="20">
        <f>VLOOKUP(A1670,Metrik!$C$2:$Y$959,10,0)</f>
        <v>29.2</v>
      </c>
      <c r="K1670" s="20">
        <f>VLOOKUP(A1670,Metrik!$C$2:$Y$959,11,0)</f>
        <v>23.6</v>
      </c>
      <c r="L1670" s="20">
        <f>VLOOKUP(A1670,Metrik!$C$2:$Y$959,12,0)</f>
        <v>0.24</v>
      </c>
      <c r="M1670" s="20">
        <f>VLOOKUP(A1670,Metrik!$C$2:$Y$959,19,0)</f>
        <v>150</v>
      </c>
      <c r="N1670" s="21"/>
      <c r="O1670" s="21"/>
      <c r="P1670" s="21"/>
      <c r="Q1670" s="21"/>
      <c r="R1670" s="21"/>
      <c r="S1670" s="21"/>
      <c r="T1670" s="21"/>
      <c r="U1670" s="22">
        <f>IFERROR(__xludf.DUMMYFUNCTION("IFERROR(GOOGLEFINANCE(A1670,""closeyest""),"""")"),1370.0)</f>
        <v>1370</v>
      </c>
      <c r="V1670" s="23">
        <f>IFERROR(__xludf.DUMMYFUNCTION("IFERROR(GOOGLEFINANCE(A1670,""changepct""),"""")"),8.76)</f>
        <v>8.76</v>
      </c>
      <c r="W1670" s="22">
        <f>IFERROR(__xludf.DUMMYFUNCTION("IFERROR(GOOGLEFINANCE(A1670,""priceopen""),"""")"),1380.0)</f>
        <v>1380</v>
      </c>
      <c r="X1670" s="22">
        <f>IFERROR(__xludf.DUMMYFUNCTION("IFERROR(GOOGLEFINANCE(A1670,""high""),"""")"),1550.0)</f>
        <v>1550</v>
      </c>
      <c r="Y1670" s="22">
        <f>IFERROR(__xludf.DUMMYFUNCTION("IFERROR(GOOGLEFINANCE(A1670,""low""),"""")"),1380.0)</f>
        <v>1380</v>
      </c>
      <c r="Z1670" s="22">
        <f>IFERROR(__xludf.DUMMYFUNCTION("IFERROR(GOOGLEFINANCE(A1670,""volume""),"""")"),2.37826E7)</f>
        <v>23782600</v>
      </c>
      <c r="AA1670" s="24" t="str">
        <f>VLOOKUP(A1670,Metrik!$C$2:$Y$959,5,0)</f>
        <v>Agricultural Products</v>
      </c>
      <c r="AB1670" s="24" t="str">
        <f>VLOOKUP(A1670,Metrik!$C$2:$Y$959,3,0)</f>
        <v>Consumer Non-Cyclicals</v>
      </c>
    </row>
    <row r="1671">
      <c r="A1671" s="14" t="s">
        <v>914</v>
      </c>
      <c r="B1671" s="14" t="str">
        <f t="array" ref="B1671">VLOOKUP(A1671,{Metrik!$C$2:$C$998,Metrik!$B$2:$B$998},2,0)</f>
        <v>Triputra Agro Persada Tbk.</v>
      </c>
      <c r="C1671" s="15">
        <f>IFERROR(__xludf.DUMMYFUNCTION("GOOGLEFINANCE(""IDX:""&amp;A1671,""price"")"),1490.0)</f>
        <v>1490</v>
      </c>
      <c r="D1671" s="16" t="str">
        <f>IFERROR(__xludf.DUMMYFUNCTION("IF(A1671="""","""",
SPARKLINE(
INDEX(
GOOGLEFINANCE(""IDX:""&amp;A1671,""close"",TODAY()-365,TODAY()),
,2
),
{""linewidth"",1}
))
"),"#N/A")</f>
        <v>#N/A</v>
      </c>
      <c r="E1671" s="14" t="s">
        <v>54</v>
      </c>
      <c r="F1671" s="14" t="s">
        <v>34</v>
      </c>
      <c r="G1671" s="18">
        <f t="shared" si="9"/>
        <v>12</v>
      </c>
      <c r="H1671" s="19">
        <f>VLOOKUP(A1671,Metrik!$C$2:$Y$959,8,0)</f>
        <v>8.3</v>
      </c>
      <c r="I1671" s="20">
        <f>VLOOKUP(A1671,Metrik!$C$2:$Y$959,9,0)</f>
        <v>2.4</v>
      </c>
      <c r="J1671" s="20">
        <f>VLOOKUP(A1671,Metrik!$C$2:$Y$959,10,0)</f>
        <v>29.2</v>
      </c>
      <c r="K1671" s="20">
        <f>VLOOKUP(A1671,Metrik!$C$2:$Y$959,11,0)</f>
        <v>23.6</v>
      </c>
      <c r="L1671" s="20">
        <f>VLOOKUP(A1671,Metrik!$C$2:$Y$959,12,0)</f>
        <v>0.24</v>
      </c>
      <c r="M1671" s="20">
        <f>VLOOKUP(A1671,Metrik!$C$2:$Y$959,19,0)</f>
        <v>150</v>
      </c>
      <c r="N1671" s="21"/>
      <c r="O1671" s="21"/>
      <c r="P1671" s="21"/>
      <c r="Q1671" s="21"/>
      <c r="R1671" s="21"/>
      <c r="S1671" s="21"/>
      <c r="T1671" s="21"/>
      <c r="U1671" s="22">
        <f>IFERROR(__xludf.DUMMYFUNCTION("IFERROR(GOOGLEFINANCE(A1671,""closeyest""),"""")"),1370.0)</f>
        <v>1370</v>
      </c>
      <c r="V1671" s="23">
        <f>IFERROR(__xludf.DUMMYFUNCTION("IFERROR(GOOGLEFINANCE(A1671,""changepct""),"""")"),8.76)</f>
        <v>8.76</v>
      </c>
      <c r="W1671" s="22">
        <f>IFERROR(__xludf.DUMMYFUNCTION("IFERROR(GOOGLEFINANCE(A1671,""priceopen""),"""")"),1380.0)</f>
        <v>1380</v>
      </c>
      <c r="X1671" s="22">
        <f>IFERROR(__xludf.DUMMYFUNCTION("IFERROR(GOOGLEFINANCE(A1671,""high""),"""")"),1550.0)</f>
        <v>1550</v>
      </c>
      <c r="Y1671" s="22">
        <f>IFERROR(__xludf.DUMMYFUNCTION("IFERROR(GOOGLEFINANCE(A1671,""low""),"""")"),1380.0)</f>
        <v>1380</v>
      </c>
      <c r="Z1671" s="22">
        <f>IFERROR(__xludf.DUMMYFUNCTION("IFERROR(GOOGLEFINANCE(A1671,""volume""),"""")"),2.37826E7)</f>
        <v>23782600</v>
      </c>
      <c r="AA1671" s="24" t="str">
        <f>VLOOKUP(A1671,Metrik!$C$2:$Y$959,5,0)</f>
        <v>Agricultural Products</v>
      </c>
      <c r="AB1671" s="24" t="str">
        <f>VLOOKUP(A1671,Metrik!$C$2:$Y$959,3,0)</f>
        <v>Consumer Non-Cyclicals</v>
      </c>
    </row>
    <row r="1672">
      <c r="A1672" s="14" t="s">
        <v>914</v>
      </c>
      <c r="B1672" s="14" t="str">
        <f t="array" ref="B1672">VLOOKUP(A1672,{Metrik!$C$2:$C$998,Metrik!$B$2:$B$998},2,0)</f>
        <v>Triputra Agro Persada Tbk.</v>
      </c>
      <c r="C1672" s="15">
        <f>IFERROR(__xludf.DUMMYFUNCTION("GOOGLEFINANCE(""IDX:""&amp;A1672,""price"")"),1490.0)</f>
        <v>1490</v>
      </c>
      <c r="D1672" s="16" t="str">
        <f>IFERROR(__xludf.DUMMYFUNCTION("IF(A1672="""","""",
SPARKLINE(
INDEX(
GOOGLEFINANCE(""IDX:""&amp;A1672,""close"",TODAY()-365,TODAY()),
,2
),
{""linewidth"",1}
))
"),"#N/A")</f>
        <v>#N/A</v>
      </c>
      <c r="E1672" s="14" t="s">
        <v>68</v>
      </c>
      <c r="F1672" s="14" t="s">
        <v>34</v>
      </c>
      <c r="G1672" s="18">
        <f t="shared" si="9"/>
        <v>12</v>
      </c>
      <c r="H1672" s="19">
        <f>VLOOKUP(A1672,Metrik!$C$2:$Y$959,8,0)</f>
        <v>8.3</v>
      </c>
      <c r="I1672" s="20">
        <f>VLOOKUP(A1672,Metrik!$C$2:$Y$959,9,0)</f>
        <v>2.4</v>
      </c>
      <c r="J1672" s="20">
        <f>VLOOKUP(A1672,Metrik!$C$2:$Y$959,10,0)</f>
        <v>29.2</v>
      </c>
      <c r="K1672" s="20">
        <f>VLOOKUP(A1672,Metrik!$C$2:$Y$959,11,0)</f>
        <v>23.6</v>
      </c>
      <c r="L1672" s="20">
        <f>VLOOKUP(A1672,Metrik!$C$2:$Y$959,12,0)</f>
        <v>0.24</v>
      </c>
      <c r="M1672" s="20">
        <f>VLOOKUP(A1672,Metrik!$C$2:$Y$959,19,0)</f>
        <v>150</v>
      </c>
      <c r="N1672" s="21"/>
      <c r="O1672" s="21"/>
      <c r="P1672" s="21"/>
      <c r="Q1672" s="21"/>
      <c r="R1672" s="21"/>
      <c r="S1672" s="21"/>
      <c r="T1672" s="21"/>
      <c r="U1672" s="22">
        <f>IFERROR(__xludf.DUMMYFUNCTION("IFERROR(GOOGLEFINANCE(A1672,""closeyest""),"""")"),1370.0)</f>
        <v>1370</v>
      </c>
      <c r="V1672" s="23">
        <f>IFERROR(__xludf.DUMMYFUNCTION("IFERROR(GOOGLEFINANCE(A1672,""changepct""),"""")"),8.76)</f>
        <v>8.76</v>
      </c>
      <c r="W1672" s="22">
        <f>IFERROR(__xludf.DUMMYFUNCTION("IFERROR(GOOGLEFINANCE(A1672,""priceopen""),"""")"),1380.0)</f>
        <v>1380</v>
      </c>
      <c r="X1672" s="22">
        <f>IFERROR(__xludf.DUMMYFUNCTION("IFERROR(GOOGLEFINANCE(A1672,""high""),"""")"),1550.0)</f>
        <v>1550</v>
      </c>
      <c r="Y1672" s="22">
        <f>IFERROR(__xludf.DUMMYFUNCTION("IFERROR(GOOGLEFINANCE(A1672,""low""),"""")"),1380.0)</f>
        <v>1380</v>
      </c>
      <c r="Z1672" s="22">
        <f>IFERROR(__xludf.DUMMYFUNCTION("IFERROR(GOOGLEFINANCE(A1672,""volume""),"""")"),2.37826E7)</f>
        <v>23782600</v>
      </c>
      <c r="AA1672" s="24" t="str">
        <f>VLOOKUP(A1672,Metrik!$C$2:$Y$959,5,0)</f>
        <v>Agricultural Products</v>
      </c>
      <c r="AB1672" s="24" t="str">
        <f>VLOOKUP(A1672,Metrik!$C$2:$Y$959,3,0)</f>
        <v>Consumer Non-Cyclicals</v>
      </c>
    </row>
    <row r="1673">
      <c r="A1673" s="14" t="s">
        <v>914</v>
      </c>
      <c r="B1673" s="14" t="str">
        <f t="array" ref="B1673">VLOOKUP(A1673,{Metrik!$C$2:$C$998,Metrik!$B$2:$B$998},2,0)</f>
        <v>Triputra Agro Persada Tbk.</v>
      </c>
      <c r="C1673" s="15">
        <f>IFERROR(__xludf.DUMMYFUNCTION("GOOGLEFINANCE(""IDX:""&amp;A1673,""price"")"),1490.0)</f>
        <v>1490</v>
      </c>
      <c r="D1673" s="16" t="str">
        <f>IFERROR(__xludf.DUMMYFUNCTION("IF(A1673="""","""",
SPARKLINE(
INDEX(
GOOGLEFINANCE(""IDX:""&amp;A1673,""close"",TODAY()-365,TODAY()),
,2
),
{""linewidth"",1}
))
"),"#N/A")</f>
        <v>#N/A</v>
      </c>
      <c r="E1673" s="14" t="s">
        <v>41</v>
      </c>
      <c r="F1673" s="14" t="s">
        <v>34</v>
      </c>
      <c r="G1673" s="18">
        <f t="shared" si="9"/>
        <v>12</v>
      </c>
      <c r="H1673" s="19">
        <f>VLOOKUP(A1673,Metrik!$C$2:$Y$959,8,0)</f>
        <v>8.3</v>
      </c>
      <c r="I1673" s="20">
        <f>VLOOKUP(A1673,Metrik!$C$2:$Y$959,9,0)</f>
        <v>2.4</v>
      </c>
      <c r="J1673" s="20">
        <f>VLOOKUP(A1673,Metrik!$C$2:$Y$959,10,0)</f>
        <v>29.2</v>
      </c>
      <c r="K1673" s="20">
        <f>VLOOKUP(A1673,Metrik!$C$2:$Y$959,11,0)</f>
        <v>23.6</v>
      </c>
      <c r="L1673" s="20">
        <f>VLOOKUP(A1673,Metrik!$C$2:$Y$959,12,0)</f>
        <v>0.24</v>
      </c>
      <c r="M1673" s="20">
        <f>VLOOKUP(A1673,Metrik!$C$2:$Y$959,19,0)</f>
        <v>150</v>
      </c>
      <c r="N1673" s="21"/>
      <c r="O1673" s="21"/>
      <c r="P1673" s="21"/>
      <c r="Q1673" s="21"/>
      <c r="R1673" s="21"/>
      <c r="S1673" s="21"/>
      <c r="T1673" s="21"/>
      <c r="U1673" s="22">
        <f>IFERROR(__xludf.DUMMYFUNCTION("IFERROR(GOOGLEFINANCE(A1673,""closeyest""),"""")"),1370.0)</f>
        <v>1370</v>
      </c>
      <c r="V1673" s="23">
        <f>IFERROR(__xludf.DUMMYFUNCTION("IFERROR(GOOGLEFINANCE(A1673,""changepct""),"""")"),8.76)</f>
        <v>8.76</v>
      </c>
      <c r="W1673" s="22">
        <f>IFERROR(__xludf.DUMMYFUNCTION("IFERROR(GOOGLEFINANCE(A1673,""priceopen""),"""")"),1380.0)</f>
        <v>1380</v>
      </c>
      <c r="X1673" s="22">
        <f>IFERROR(__xludf.DUMMYFUNCTION("IFERROR(GOOGLEFINANCE(A1673,""high""),"""")"),1550.0)</f>
        <v>1550</v>
      </c>
      <c r="Y1673" s="22">
        <f>IFERROR(__xludf.DUMMYFUNCTION("IFERROR(GOOGLEFINANCE(A1673,""low""),"""")"),1380.0)</f>
        <v>1380</v>
      </c>
      <c r="Z1673" s="22">
        <f>IFERROR(__xludf.DUMMYFUNCTION("IFERROR(GOOGLEFINANCE(A1673,""volume""),"""")"),2.37826E7)</f>
        <v>23782600</v>
      </c>
      <c r="AA1673" s="24" t="str">
        <f>VLOOKUP(A1673,Metrik!$C$2:$Y$959,5,0)</f>
        <v>Agricultural Products</v>
      </c>
      <c r="AB1673" s="24" t="str">
        <f>VLOOKUP(A1673,Metrik!$C$2:$Y$959,3,0)</f>
        <v>Consumer Non-Cyclicals</v>
      </c>
    </row>
    <row r="1674">
      <c r="A1674" s="17" t="s">
        <v>914</v>
      </c>
      <c r="B1674" s="14" t="str">
        <f t="array" ref="B1674">VLOOKUP(A1674,{Metrik!$C$2:$C$998,Metrik!$B$2:$B$998},2,0)</f>
        <v>Triputra Agro Persada Tbk.</v>
      </c>
      <c r="C1674" s="15">
        <f>IFERROR(__xludf.DUMMYFUNCTION("GOOGLEFINANCE(""IDX:""&amp;A1674,""price"")"),1490.0)</f>
        <v>1490</v>
      </c>
      <c r="D1674" s="16" t="str">
        <f>IFERROR(__xludf.DUMMYFUNCTION("IF(A1674="""","""",
SPARKLINE(
INDEX(
GOOGLEFINANCE(""IDX:""&amp;A1674,""close"",TODAY()-365,TODAY()),
,2
),
{""linewidth"",1}
))
"),"#N/A")</f>
        <v>#N/A</v>
      </c>
      <c r="E1674" s="14" t="s">
        <v>67</v>
      </c>
      <c r="F1674" s="17" t="s">
        <v>51</v>
      </c>
      <c r="G1674" s="38">
        <f>COUNTIFS($B$2:$B$1930,B1674,$E$2:$E$1930,"&lt;&gt;")</f>
        <v>12</v>
      </c>
      <c r="H1674" s="19">
        <f>VLOOKUP(A1674,Metrik!$C$2:$Y$959,8,0)</f>
        <v>8.3</v>
      </c>
      <c r="I1674" s="20">
        <f>VLOOKUP(A1674,Metrik!$C$2:$Y$959,9,0)</f>
        <v>2.4</v>
      </c>
      <c r="J1674" s="20">
        <f>VLOOKUP(A1674,Metrik!$C$2:$Y$959,10,0)</f>
        <v>29.2</v>
      </c>
      <c r="K1674" s="20">
        <f>VLOOKUP(A1674,Metrik!$C$2:$Y$959,11,0)</f>
        <v>23.6</v>
      </c>
      <c r="L1674" s="20">
        <f>VLOOKUP(A1674,Metrik!$C$2:$Y$959,12,0)</f>
        <v>0.24</v>
      </c>
      <c r="M1674" s="20">
        <f>VLOOKUP(A1674,Metrik!$C$2:$Y$959,19,0)</f>
        <v>150</v>
      </c>
      <c r="N1674" s="46"/>
      <c r="O1674" s="46"/>
      <c r="P1674" s="46"/>
      <c r="Q1674" s="46"/>
      <c r="R1674" s="46"/>
      <c r="S1674" s="46"/>
      <c r="T1674" s="46"/>
      <c r="U1674" s="22">
        <f>IFERROR(__xludf.DUMMYFUNCTION("IFERROR(GOOGLEFINANCE(A1674,""closeyest""),"""")"),1370.0)</f>
        <v>1370</v>
      </c>
      <c r="V1674" s="23">
        <f>IFERROR(__xludf.DUMMYFUNCTION("IFERROR(GOOGLEFINANCE(A1674,""changepct""),"""")"),8.76)</f>
        <v>8.76</v>
      </c>
      <c r="W1674" s="22">
        <f>IFERROR(__xludf.DUMMYFUNCTION("IFERROR(GOOGLEFINANCE(A1674,""priceopen""),"""")"),1380.0)</f>
        <v>1380</v>
      </c>
      <c r="X1674" s="22">
        <f>IFERROR(__xludf.DUMMYFUNCTION("IFERROR(GOOGLEFINANCE(A1674,""high""),"""")"),1550.0)</f>
        <v>1550</v>
      </c>
      <c r="Y1674" s="22">
        <f>IFERROR(__xludf.DUMMYFUNCTION("IFERROR(GOOGLEFINANCE(A1674,""low""),"""")"),1380.0)</f>
        <v>1380</v>
      </c>
      <c r="Z1674" s="22">
        <f>IFERROR(__xludf.DUMMYFUNCTION("IFERROR(GOOGLEFINANCE(A1674,""volume""),"""")"),2.37826E7)</f>
        <v>23782600</v>
      </c>
      <c r="AA1674" s="24" t="str">
        <f>VLOOKUP(A1674,Metrik!$C$2:$Y$959,5,0)</f>
        <v>Agricultural Products</v>
      </c>
      <c r="AB1674" s="24" t="str">
        <f>VLOOKUP(A1674,Metrik!$C$2:$Y$959,3,0)</f>
        <v>Consumer Non-Cyclicals</v>
      </c>
    </row>
    <row r="1675">
      <c r="A1675" s="14" t="s">
        <v>914</v>
      </c>
      <c r="B1675" s="14" t="str">
        <f t="array" ref="B1675">VLOOKUP(A1675,{Metrik!$C$2:$C$998,Metrik!$B$2:$B$998},2,0)</f>
        <v>Triputra Agro Persada Tbk.</v>
      </c>
      <c r="C1675" s="15">
        <f>IFERROR(__xludf.DUMMYFUNCTION("GOOGLEFINANCE(""IDX:""&amp;A1675,""price"")"),1490.0)</f>
        <v>1490</v>
      </c>
      <c r="D1675" s="16" t="str">
        <f>IFERROR(__xludf.DUMMYFUNCTION("IF(A1675="""","""",
SPARKLINE(
INDEX(
GOOGLEFINANCE(""IDX:""&amp;A1675,""close"",TODAY()-365,TODAY()),
,2
),
{""linewidth"",1}
))
"),"#N/A")</f>
        <v>#N/A</v>
      </c>
      <c r="E1675" s="14" t="s">
        <v>39</v>
      </c>
      <c r="F1675" s="25">
        <v>46356.0</v>
      </c>
      <c r="G1675" s="18">
        <f t="shared" ref="G1675:G1753" si="10">COUNTIFS($B$2:$B$1937,B1675,$E$2:$E$1937,"&lt;&gt;")</f>
        <v>12</v>
      </c>
      <c r="H1675" s="19">
        <f>VLOOKUP(A1675,Metrik!$C$2:$Y$959,8,0)</f>
        <v>8.3</v>
      </c>
      <c r="I1675" s="20">
        <f>VLOOKUP(A1675,Metrik!$C$2:$Y$959,9,0)</f>
        <v>2.4</v>
      </c>
      <c r="J1675" s="20">
        <f>VLOOKUP(A1675,Metrik!$C$2:$Y$959,10,0)</f>
        <v>29.2</v>
      </c>
      <c r="K1675" s="20">
        <f>VLOOKUP(A1675,Metrik!$C$2:$Y$959,11,0)</f>
        <v>23.6</v>
      </c>
      <c r="L1675" s="20">
        <f>VLOOKUP(A1675,Metrik!$C$2:$Y$959,12,0)</f>
        <v>0.24</v>
      </c>
      <c r="M1675" s="20">
        <f>VLOOKUP(A1675,Metrik!$C$2:$Y$959,19,0)</f>
        <v>150</v>
      </c>
      <c r="N1675" s="21"/>
      <c r="O1675" s="21"/>
      <c r="P1675" s="21"/>
      <c r="Q1675" s="21"/>
      <c r="R1675" s="21"/>
      <c r="S1675" s="21"/>
      <c r="T1675" s="21"/>
      <c r="U1675" s="22">
        <f>IFERROR(__xludf.DUMMYFUNCTION("IFERROR(GOOGLEFINANCE(A1675,""closeyest""),"""")"),1370.0)</f>
        <v>1370</v>
      </c>
      <c r="V1675" s="23">
        <f>IFERROR(__xludf.DUMMYFUNCTION("IFERROR(GOOGLEFINANCE(A1675,""changepct""),"""")"),8.76)</f>
        <v>8.76</v>
      </c>
      <c r="W1675" s="22">
        <f>IFERROR(__xludf.DUMMYFUNCTION("IFERROR(GOOGLEFINANCE(A1675,""priceopen""),"""")"),1380.0)</f>
        <v>1380</v>
      </c>
      <c r="X1675" s="22">
        <f>IFERROR(__xludf.DUMMYFUNCTION("IFERROR(GOOGLEFINANCE(A1675,""high""),"""")"),1550.0)</f>
        <v>1550</v>
      </c>
      <c r="Y1675" s="22">
        <f>IFERROR(__xludf.DUMMYFUNCTION("IFERROR(GOOGLEFINANCE(A1675,""low""),"""")"),1380.0)</f>
        <v>1380</v>
      </c>
      <c r="Z1675" s="22">
        <f>IFERROR(__xludf.DUMMYFUNCTION("IFERROR(GOOGLEFINANCE(A1675,""volume""),"""")"),2.37826E7)</f>
        <v>23782600</v>
      </c>
      <c r="AA1675" s="24" t="str">
        <f>VLOOKUP(A1675,Metrik!$C$2:$Y$959,5,0)</f>
        <v>Agricultural Products</v>
      </c>
      <c r="AB1675" s="24" t="str">
        <f>VLOOKUP(A1675,Metrik!$C$2:$Y$959,3,0)</f>
        <v>Consumer Non-Cyclicals</v>
      </c>
    </row>
    <row r="1676">
      <c r="A1676" s="14" t="s">
        <v>915</v>
      </c>
      <c r="B1676" s="14" t="str">
        <f t="array" ref="B1676">VLOOKUP(A1676,{Metrik!$C$2:$C$998,Metrik!$B$2:$B$998},2,0)</f>
        <v>Agung Semesta Sejahtera Tbk.</v>
      </c>
      <c r="C1676" s="15">
        <f>IFERROR(__xludf.DUMMYFUNCTION("GOOGLEFINANCE(""IDX:""&amp;A1676,""price"")"),29.0)</f>
        <v>29</v>
      </c>
      <c r="D1676" s="16" t="str">
        <f>IFERROR(__xludf.DUMMYFUNCTION("IF(A1676="""","""",
SPARKLINE(
INDEX(
GOOGLEFINANCE(""IDX:""&amp;A1676,""close"",TODAY()-365,TODAY()),
,2
),
{""linewidth"",1}
))
"),"#N/A")</f>
        <v>#N/A</v>
      </c>
      <c r="E1676" s="26"/>
      <c r="F1676" s="26"/>
      <c r="G1676" s="24">
        <f t="shared" si="10"/>
        <v>0</v>
      </c>
      <c r="H1676" s="19">
        <f>VLOOKUP(A1676,Metrik!$C$2:$Y$959,8,0)</f>
        <v>-64.8</v>
      </c>
      <c r="I1676" s="20">
        <f>VLOOKUP(A1676,Metrik!$C$2:$Y$959,9,0)</f>
        <v>0.29</v>
      </c>
      <c r="J1676" s="20">
        <f>VLOOKUP(A1676,Metrik!$C$2:$Y$959,10,0)</f>
        <v>-0.44</v>
      </c>
      <c r="K1676" s="20">
        <f>VLOOKUP(A1676,Metrik!$C$2:$Y$959,11,0)</f>
        <v>-0.43</v>
      </c>
      <c r="L1676" s="20">
        <f>VLOOKUP(A1676,Metrik!$C$2:$Y$959,12,0)</f>
        <v>0.04</v>
      </c>
      <c r="M1676" s="20">
        <f>VLOOKUP(A1676,Metrik!$C$2:$Y$959,19,0)</f>
        <v>-230</v>
      </c>
      <c r="N1676" s="21"/>
      <c r="O1676" s="21"/>
      <c r="P1676" s="21"/>
      <c r="Q1676" s="21"/>
      <c r="R1676" s="21"/>
      <c r="S1676" s="21"/>
      <c r="T1676" s="21"/>
      <c r="U1676" s="22">
        <f>IFERROR(__xludf.DUMMYFUNCTION("IFERROR(GOOGLEFINANCE(A1676,""closeyest""),"""")"),3.65)</f>
        <v>3.65</v>
      </c>
      <c r="V1676" s="23">
        <f>IFERROR(__xludf.DUMMYFUNCTION("IFERROR(GOOGLEFINANCE(A1676,""changepct""),"""")"),6.85)</f>
        <v>6.85</v>
      </c>
      <c r="W1676" s="22">
        <f>IFERROR(__xludf.DUMMYFUNCTION("IFERROR(GOOGLEFINANCE(A1676,""priceopen""),"""")"),3.66)</f>
        <v>3.66</v>
      </c>
      <c r="X1676" s="22">
        <f>IFERROR(__xludf.DUMMYFUNCTION("IFERROR(GOOGLEFINANCE(A1676,""high""),"""")"),3.94)</f>
        <v>3.94</v>
      </c>
      <c r="Y1676" s="22">
        <f>IFERROR(__xludf.DUMMYFUNCTION("IFERROR(GOOGLEFINANCE(A1676,""low""),"""")"),3.65)</f>
        <v>3.65</v>
      </c>
      <c r="Z1676" s="22">
        <f>IFERROR(__xludf.DUMMYFUNCTION("IFERROR(GOOGLEFINANCE(A1676,""volume""),"""")"),524547.0)</f>
        <v>524547</v>
      </c>
      <c r="AA1676" s="24" t="str">
        <f>VLOOKUP(A1676,Metrik!$C$2:$Y$959,5,0)</f>
        <v>Real Estate Management &amp; Development</v>
      </c>
      <c r="AB1676" s="24" t="str">
        <f>VLOOKUP(A1676,Metrik!$C$2:$Y$959,3,0)</f>
        <v>Properties &amp; Real Estate</v>
      </c>
    </row>
    <row r="1677">
      <c r="A1677" s="14" t="s">
        <v>916</v>
      </c>
      <c r="B1677" s="14" t="str">
        <f t="array" ref="B1677">VLOOKUP(A1677,{Metrik!$C$2:$C$998,Metrik!$B$2:$B$998},2,0)</f>
        <v>Express Transindo Utama Tbk</v>
      </c>
      <c r="C1677" s="15">
        <f>IFERROR(__xludf.DUMMYFUNCTION("GOOGLEFINANCE(""IDX:""&amp;A1677,""price"")"),14.0)</f>
        <v>14</v>
      </c>
      <c r="D1677" s="16" t="str">
        <f>IFERROR(__xludf.DUMMYFUNCTION("IF(A1677="""","""",
SPARKLINE(
INDEX(
GOOGLEFINANCE(""IDX:""&amp;A1677,""close"",TODAY()-365,TODAY()),
,2
),
{""linewidth"",1}
))
"),"#N/A")</f>
        <v>#N/A</v>
      </c>
      <c r="E1677" s="26"/>
      <c r="F1677" s="26"/>
      <c r="G1677" s="24">
        <f t="shared" si="10"/>
        <v>0</v>
      </c>
      <c r="H1677" s="19">
        <f>VLOOKUP(A1677,Metrik!$C$2:$Y$959,8,0)</f>
        <v>-7.5</v>
      </c>
      <c r="I1677" s="20">
        <f>VLOOKUP(A1677,Metrik!$C$2:$Y$959,9,0)</f>
        <v>4.6</v>
      </c>
      <c r="J1677" s="20">
        <f>VLOOKUP(A1677,Metrik!$C$2:$Y$959,10,0)</f>
        <v>-61.9</v>
      </c>
      <c r="K1677" s="20">
        <f>VLOOKUP(A1677,Metrik!$C$2:$Y$959,11,0)</f>
        <v>-10.1</v>
      </c>
      <c r="L1677" s="20">
        <f>VLOOKUP(A1677,Metrik!$C$2:$Y$959,12,0)</f>
        <v>0.1</v>
      </c>
      <c r="M1677" s="20">
        <f>VLOOKUP(A1677,Metrik!$C$2:$Y$959,19,0)</f>
        <v>-1000</v>
      </c>
      <c r="N1677" s="21"/>
      <c r="O1677" s="21"/>
      <c r="P1677" s="21"/>
      <c r="Q1677" s="21"/>
      <c r="R1677" s="21"/>
      <c r="S1677" s="21"/>
      <c r="T1677" s="21"/>
      <c r="U1677" s="22">
        <f>IFERROR(__xludf.DUMMYFUNCTION("IFERROR(GOOGLEFINANCE(A1677,""closeyest""),"""")"),51.21)</f>
        <v>51.21</v>
      </c>
      <c r="V1677" s="23">
        <f>IFERROR(__xludf.DUMMYFUNCTION("IFERROR(GOOGLEFINANCE(A1677,""changepct""),"""")"),-0.12)</f>
        <v>-0.12</v>
      </c>
      <c r="W1677" s="22">
        <f>IFERROR(__xludf.DUMMYFUNCTION("IFERROR(GOOGLEFINANCE(A1677,""priceopen""),"""")"),51.13)</f>
        <v>51.13</v>
      </c>
      <c r="X1677" s="22">
        <f>IFERROR(__xludf.DUMMYFUNCTION("IFERROR(GOOGLEFINANCE(A1677,""high""),"""")"),51.16)</f>
        <v>51.16</v>
      </c>
      <c r="Y1677" s="22">
        <f>IFERROR(__xludf.DUMMYFUNCTION("IFERROR(GOOGLEFINANCE(A1677,""low""),"""")"),51.12)</f>
        <v>51.12</v>
      </c>
      <c r="Z1677" s="22">
        <f>IFERROR(__xludf.DUMMYFUNCTION("IFERROR(GOOGLEFINANCE(A1677,""volume""),"""")"),381.0)</f>
        <v>381</v>
      </c>
      <c r="AA1677" s="24" t="str">
        <f>VLOOKUP(A1677,Metrik!$C$2:$Y$959,5,0)</f>
        <v>Passenger Land Transportation</v>
      </c>
      <c r="AB1677" s="24" t="str">
        <f>VLOOKUP(A1677,Metrik!$C$2:$Y$959,3,0)</f>
        <v>Transportation &amp; Logistic</v>
      </c>
    </row>
    <row r="1678">
      <c r="A1678" s="14" t="s">
        <v>917</v>
      </c>
      <c r="B1678" s="14" t="str">
        <f t="array" ref="B1678">VLOOKUP(A1678,{Metrik!$C$2:$C$998,Metrik!$B$2:$B$998},2,0)</f>
        <v>Jaya Swarasa Agung Tbk.</v>
      </c>
      <c r="C1678" s="15">
        <f>IFERROR(__xludf.DUMMYFUNCTION("GOOGLEFINANCE(""IDX:""&amp;A1678,""price"")"),50.0)</f>
        <v>50</v>
      </c>
      <c r="D1678" s="16" t="str">
        <f>IFERROR(__xludf.DUMMYFUNCTION("IF(A1678="""","""",
SPARKLINE(
INDEX(
GOOGLEFINANCE(""IDX:""&amp;A1678,""close"",TODAY()-365,TODAY()),
,2
),
{""linewidth"",1}
))
"),"#N/A")</f>
        <v>#N/A</v>
      </c>
      <c r="E1678" s="26"/>
      <c r="F1678" s="26"/>
      <c r="G1678" s="24">
        <f t="shared" si="10"/>
        <v>0</v>
      </c>
      <c r="H1678" s="19">
        <f>VLOOKUP(A1678,Metrik!$C$2:$Y$959,8,0)</f>
        <v>-0.93</v>
      </c>
      <c r="I1678" s="20">
        <f>VLOOKUP(A1678,Metrik!$C$2:$Y$959,9,0)</f>
        <v>1.3</v>
      </c>
      <c r="J1678" s="20">
        <f>VLOOKUP(A1678,Metrik!$C$2:$Y$959,10,0)</f>
        <v>-140</v>
      </c>
      <c r="K1678" s="20">
        <f>VLOOKUP(A1678,Metrik!$C$2:$Y$959,11,0)</f>
        <v>-16.6</v>
      </c>
      <c r="L1678" s="20">
        <f>VLOOKUP(A1678,Metrik!$C$2:$Y$959,12,0)</f>
        <v>7.2</v>
      </c>
      <c r="M1678" s="20">
        <f>VLOOKUP(A1678,Metrik!$C$2:$Y$959,19,0)</f>
        <v>-77.8</v>
      </c>
      <c r="N1678" s="21"/>
      <c r="O1678" s="21"/>
      <c r="P1678" s="21"/>
      <c r="Q1678" s="21"/>
      <c r="R1678" s="21"/>
      <c r="S1678" s="21"/>
      <c r="T1678" s="21"/>
      <c r="U1678" s="22">
        <f>IFERROR(__xludf.DUMMYFUNCTION("IFERROR(GOOGLEFINANCE(A1678,""closeyest""),"""")"),50.0)</f>
        <v>50</v>
      </c>
      <c r="V1678" s="23">
        <f>IFERROR(__xludf.DUMMYFUNCTION("IFERROR(GOOGLEFINANCE(A1678,""changepct""),"""")"),0.0)</f>
        <v>0</v>
      </c>
      <c r="W1678" s="22">
        <f>IFERROR(__xludf.DUMMYFUNCTION("IFERROR(GOOGLEFINANCE(A1678,""priceopen""),"""")"),50.0)</f>
        <v>50</v>
      </c>
      <c r="X1678" s="22">
        <f>IFERROR(__xludf.DUMMYFUNCTION("IFERROR(GOOGLEFINANCE(A1678,""high""),"""")"),50.0)</f>
        <v>50</v>
      </c>
      <c r="Y1678" s="22">
        <f>IFERROR(__xludf.DUMMYFUNCTION("IFERROR(GOOGLEFINANCE(A1678,""low""),"""")"),50.0)</f>
        <v>50</v>
      </c>
      <c r="Z1678" s="22">
        <f>IFERROR(__xludf.DUMMYFUNCTION("IFERROR(GOOGLEFINANCE(A1678,""volume""),"""")"),366000.0)</f>
        <v>366000</v>
      </c>
      <c r="AA1678" s="24" t="str">
        <f>VLOOKUP(A1678,Metrik!$C$2:$Y$959,5,0)</f>
        <v>Processed Foods</v>
      </c>
      <c r="AB1678" s="24" t="str">
        <f>VLOOKUP(A1678,Metrik!$C$2:$Y$959,3,0)</f>
        <v>Consumer Non-Cyclicals</v>
      </c>
    </row>
    <row r="1679">
      <c r="A1679" s="14" t="s">
        <v>918</v>
      </c>
      <c r="B1679" s="14" t="str">
        <f t="array" ref="B1679">VLOOKUP(A1679,{Metrik!$C$2:$C$998,Metrik!$B$2:$B$998},2,0)</f>
        <v>PT Tower Bersama Infrastructure Tbk</v>
      </c>
      <c r="C1679" s="15">
        <f>IFERROR(__xludf.DUMMYFUNCTION("GOOGLEFINANCE(""IDX:""&amp;A1679,""price"")"),1445.0)</f>
        <v>1445</v>
      </c>
      <c r="D1679" s="16" t="str">
        <f>IFERROR(__xludf.DUMMYFUNCTION("IF(A1679="""","""",
SPARKLINE(
INDEX(
GOOGLEFINANCE(""IDX:""&amp;A1679,""close"",TODAY()-365,TODAY()),
,2
),
{""linewidth"",1}
))
"),"#N/A")</f>
        <v>#N/A</v>
      </c>
      <c r="E1679" s="14" t="s">
        <v>42</v>
      </c>
      <c r="F1679" s="25">
        <v>46356.0</v>
      </c>
      <c r="G1679" s="24">
        <f t="shared" si="10"/>
        <v>2</v>
      </c>
      <c r="H1679" s="19">
        <f>VLOOKUP(A1679,Metrik!$C$2:$Y$959,8,0)</f>
        <v>24.6</v>
      </c>
      <c r="I1679" s="20">
        <f>VLOOKUP(A1679,Metrik!$C$2:$Y$959,9,0)</f>
        <v>2.6</v>
      </c>
      <c r="J1679" s="20">
        <f>VLOOKUP(A1679,Metrik!$C$2:$Y$959,10,0)</f>
        <v>10.6</v>
      </c>
      <c r="K1679" s="20">
        <f>VLOOKUP(A1679,Metrik!$C$2:$Y$959,11,0)</f>
        <v>3</v>
      </c>
      <c r="L1679" s="20">
        <f>VLOOKUP(A1679,Metrik!$C$2:$Y$959,12,0)</f>
        <v>2.5</v>
      </c>
      <c r="M1679" s="20">
        <f>VLOOKUP(A1679,Metrik!$C$2:$Y$959,19,0)</f>
        <v>81.7</v>
      </c>
      <c r="N1679" s="21"/>
      <c r="O1679" s="21"/>
      <c r="P1679" s="21"/>
      <c r="Q1679" s="21"/>
      <c r="R1679" s="21"/>
      <c r="S1679" s="21"/>
      <c r="T1679" s="21"/>
      <c r="U1679" s="22">
        <f>IFERROR(__xludf.DUMMYFUNCTION("IFERROR(GOOGLEFINANCE(A1679,""closeyest""),"""")"),1470.0)</f>
        <v>1470</v>
      </c>
      <c r="V1679" s="23">
        <f>IFERROR(__xludf.DUMMYFUNCTION("IFERROR(GOOGLEFINANCE(A1679,""changepct""),"""")"),-1.7)</f>
        <v>-1.7</v>
      </c>
      <c r="W1679" s="22">
        <f>IFERROR(__xludf.DUMMYFUNCTION("IFERROR(GOOGLEFINANCE(A1679,""priceopen""),"""")"),1470.0)</f>
        <v>1470</v>
      </c>
      <c r="X1679" s="22">
        <f>IFERROR(__xludf.DUMMYFUNCTION("IFERROR(GOOGLEFINANCE(A1679,""high""),"""")"),1480.0)</f>
        <v>1480</v>
      </c>
      <c r="Y1679" s="22">
        <f>IFERROR(__xludf.DUMMYFUNCTION("IFERROR(GOOGLEFINANCE(A1679,""low""),"""")"),1425.0)</f>
        <v>1425</v>
      </c>
      <c r="Z1679" s="22">
        <f>IFERROR(__xludf.DUMMYFUNCTION("IFERROR(GOOGLEFINANCE(A1679,""volume""),"""")"),3024900.0)</f>
        <v>3024900</v>
      </c>
      <c r="AA1679" s="24" t="str">
        <f>VLOOKUP(A1679,Metrik!$C$2:$Y$959,5,0)</f>
        <v>Wireless Telecommunication Services</v>
      </c>
      <c r="AB1679" s="24" t="str">
        <f>VLOOKUP(A1679,Metrik!$C$2:$Y$959,3,0)</f>
        <v>Infrastructures</v>
      </c>
    </row>
    <row r="1680">
      <c r="A1680" s="48" t="s">
        <v>918</v>
      </c>
      <c r="B1680" s="14" t="str">
        <f t="array" ref="B1680">VLOOKUP(A1680,{Metrik!$C$2:$C$998,Metrik!$B$2:$B$998},2,0)</f>
        <v>PT Tower Bersama Infrastructure Tbk</v>
      </c>
      <c r="C1680" s="15">
        <f>IFERROR(__xludf.DUMMYFUNCTION("GOOGLEFINANCE(""IDX:""&amp;A1680,""price"")"),1445.0)</f>
        <v>1445</v>
      </c>
      <c r="D1680" s="16" t="str">
        <f>IFERROR(__xludf.DUMMYFUNCTION("IF(A1680="""","""",
SPARKLINE(
INDEX(
GOOGLEFINANCE(""IDX:""&amp;A1680,""close"",TODAY()-365,TODAY()),
,2
),
{""linewidth"",1}
))
"),"#N/A")</f>
        <v>#N/A</v>
      </c>
      <c r="E1680" s="17" t="s">
        <v>69</v>
      </c>
      <c r="F1680" s="17" t="s">
        <v>70</v>
      </c>
      <c r="G1680" s="24">
        <f t="shared" si="10"/>
        <v>2</v>
      </c>
      <c r="H1680" s="19">
        <f>VLOOKUP(A1680,Metrik!$C$2:$Y$959,8,0)</f>
        <v>24.6</v>
      </c>
      <c r="I1680" s="20">
        <f>VLOOKUP(A1680,Metrik!$C$2:$Y$959,9,0)</f>
        <v>2.6</v>
      </c>
      <c r="J1680" s="20">
        <f>VLOOKUP(A1680,Metrik!$C$2:$Y$959,10,0)</f>
        <v>10.6</v>
      </c>
      <c r="K1680" s="20">
        <f>VLOOKUP(A1680,Metrik!$C$2:$Y$959,11,0)</f>
        <v>3</v>
      </c>
      <c r="L1680" s="20">
        <f>VLOOKUP(A1680,Metrik!$C$2:$Y$959,12,0)</f>
        <v>2.5</v>
      </c>
      <c r="M1680" s="20">
        <f>VLOOKUP(A1680,Metrik!$C$2:$Y$959,19,0)</f>
        <v>81.7</v>
      </c>
      <c r="N1680" s="21"/>
      <c r="O1680" s="21"/>
      <c r="P1680" s="21"/>
      <c r="Q1680" s="21"/>
      <c r="R1680" s="21"/>
      <c r="S1680" s="21"/>
      <c r="T1680" s="21"/>
      <c r="U1680" s="22">
        <f>IFERROR(__xludf.DUMMYFUNCTION("IFERROR(GOOGLEFINANCE(A1680,""closeyest""),"""")"),1470.0)</f>
        <v>1470</v>
      </c>
      <c r="V1680" s="23">
        <f>IFERROR(__xludf.DUMMYFUNCTION("IFERROR(GOOGLEFINANCE(A1680,""changepct""),"""")"),-1.7)</f>
        <v>-1.7</v>
      </c>
      <c r="W1680" s="22">
        <f>IFERROR(__xludf.DUMMYFUNCTION("IFERROR(GOOGLEFINANCE(A1680,""priceopen""),"""")"),1470.0)</f>
        <v>1470</v>
      </c>
      <c r="X1680" s="22">
        <f>IFERROR(__xludf.DUMMYFUNCTION("IFERROR(GOOGLEFINANCE(A1680,""high""),"""")"),1480.0)</f>
        <v>1480</v>
      </c>
      <c r="Y1680" s="22">
        <f>IFERROR(__xludf.DUMMYFUNCTION("IFERROR(GOOGLEFINANCE(A1680,""low""),"""")"),1425.0)</f>
        <v>1425</v>
      </c>
      <c r="Z1680" s="22">
        <f>IFERROR(__xludf.DUMMYFUNCTION("IFERROR(GOOGLEFINANCE(A1680,""volume""),"""")"),3024900.0)</f>
        <v>3024900</v>
      </c>
      <c r="AA1680" s="24" t="str">
        <f>VLOOKUP(A1680,Metrik!$C$2:$Y$959,5,0)</f>
        <v>Wireless Telecommunication Services</v>
      </c>
      <c r="AB1680" s="24" t="str">
        <f>VLOOKUP(A1680,Metrik!$C$2:$Y$959,3,0)</f>
        <v>Infrastructures</v>
      </c>
    </row>
    <row r="1681">
      <c r="A1681" s="14" t="s">
        <v>919</v>
      </c>
      <c r="B1681" s="14" t="str">
        <f t="array" ref="B1681">VLOOKUP(A1681,{Metrik!$C$2:$C$998,Metrik!$B$2:$B$998},2,0)</f>
        <v>Tunas Baru Lampung Tbk.</v>
      </c>
      <c r="C1681" s="15">
        <f>IFERROR(__xludf.DUMMYFUNCTION("GOOGLEFINANCE(""IDX:""&amp;A1681,""price"")"),605.0)</f>
        <v>605</v>
      </c>
      <c r="D1681" s="16" t="str">
        <f>IFERROR(__xludf.DUMMYFUNCTION("IF(A1681="""","""",
SPARKLINE(
INDEX(
GOOGLEFINANCE(""IDX:""&amp;A1681,""close"",TODAY()-365,TODAY()),
,2
),
{""linewidth"",1}
))
"),"#N/A")</f>
        <v>#N/A</v>
      </c>
      <c r="E1681" s="26"/>
      <c r="F1681" s="26"/>
      <c r="G1681" s="24">
        <f t="shared" si="10"/>
        <v>0</v>
      </c>
      <c r="H1681" s="19">
        <f>VLOOKUP(A1681,Metrik!$C$2:$Y$959,8,0)</f>
        <v>4.2</v>
      </c>
      <c r="I1681" s="20">
        <f>VLOOKUP(A1681,Metrik!$C$2:$Y$959,9,0)</f>
        <v>0.4</v>
      </c>
      <c r="J1681" s="20">
        <f>VLOOKUP(A1681,Metrik!$C$2:$Y$959,10,0)</f>
        <v>9.5</v>
      </c>
      <c r="K1681" s="20">
        <f>VLOOKUP(A1681,Metrik!$C$2:$Y$959,11,0)</f>
        <v>2.9</v>
      </c>
      <c r="L1681" s="20">
        <f>VLOOKUP(A1681,Metrik!$C$2:$Y$959,12,0)</f>
        <v>2.2</v>
      </c>
      <c r="M1681" s="20">
        <f>VLOOKUP(A1681,Metrik!$C$2:$Y$959,19,0)</f>
        <v>14.8</v>
      </c>
      <c r="N1681" s="21"/>
      <c r="O1681" s="21"/>
      <c r="P1681" s="21"/>
      <c r="Q1681" s="21"/>
      <c r="R1681" s="21"/>
      <c r="S1681" s="21"/>
      <c r="T1681" s="21"/>
      <c r="U1681" s="22">
        <f>IFERROR(__xludf.DUMMYFUNCTION("IFERROR(GOOGLEFINANCE(A1681,""closeyest""),"""")"),4.73)</f>
        <v>4.73</v>
      </c>
      <c r="V1681" s="23">
        <f>IFERROR(__xludf.DUMMYFUNCTION("IFERROR(GOOGLEFINANCE(A1681,""changepct""),"""")"),0.21)</f>
        <v>0.21</v>
      </c>
      <c r="W1681" s="22">
        <f>IFERROR(__xludf.DUMMYFUNCTION("IFERROR(GOOGLEFINANCE(A1681,""priceopen""),"""")"),4.73)</f>
        <v>4.73</v>
      </c>
      <c r="X1681" s="22">
        <f>IFERROR(__xludf.DUMMYFUNCTION("IFERROR(GOOGLEFINANCE(A1681,""high""),"""")"),4.8)</f>
        <v>4.8</v>
      </c>
      <c r="Y1681" s="22">
        <f>IFERROR(__xludf.DUMMYFUNCTION("IFERROR(GOOGLEFINANCE(A1681,""low""),"""")"),4.72)</f>
        <v>4.72</v>
      </c>
      <c r="Z1681" s="22">
        <f>IFERROR(__xludf.DUMMYFUNCTION("IFERROR(GOOGLEFINANCE(A1681,""volume""),"""")"),2917619.0)</f>
        <v>2917619</v>
      </c>
      <c r="AA1681" s="24" t="str">
        <f>VLOOKUP(A1681,Metrik!$C$2:$Y$959,5,0)</f>
        <v>Processed Foods</v>
      </c>
      <c r="AB1681" s="24" t="str">
        <f>VLOOKUP(A1681,Metrik!$C$2:$Y$959,3,0)</f>
        <v>Consumer Non-Cyclicals</v>
      </c>
    </row>
    <row r="1682">
      <c r="A1682" s="14" t="s">
        <v>920</v>
      </c>
      <c r="B1682" s="14" t="str">
        <f t="array" ref="B1682">VLOOKUP(A1682,{Metrik!$C$2:$C$998,Metrik!$B$2:$B$998},2,0)</f>
        <v>Tembaga Mulia Semanan Tbk.</v>
      </c>
      <c r="C1682" s="15">
        <f>IFERROR(__xludf.DUMMYFUNCTION("GOOGLEFINANCE(""IDX:""&amp;A1682,""price"")"),1255.0)</f>
        <v>1255</v>
      </c>
      <c r="D1682" s="16" t="str">
        <f>IFERROR(__xludf.DUMMYFUNCTION("IF(A1682="""","""",
SPARKLINE(
INDEX(
GOOGLEFINANCE(""IDX:""&amp;A1682,""close"",TODAY()-365,TODAY()),
,2
),
{""linewidth"",1}
))
"),"#N/A")</f>
        <v>#N/A</v>
      </c>
      <c r="E1682" s="26"/>
      <c r="F1682" s="26"/>
      <c r="G1682" s="24">
        <f t="shared" si="10"/>
        <v>0</v>
      </c>
      <c r="H1682" s="19">
        <f>VLOOKUP(A1682,Metrik!$C$2:$Y$959,8,0)</f>
        <v>8.3</v>
      </c>
      <c r="I1682" s="20">
        <f>VLOOKUP(A1682,Metrik!$C$2:$Y$959,9,0)</f>
        <v>0.73</v>
      </c>
      <c r="J1682" s="20">
        <f>VLOOKUP(A1682,Metrik!$C$2:$Y$959,10,0)</f>
        <v>8.8</v>
      </c>
      <c r="K1682" s="20">
        <f>VLOOKUP(A1682,Metrik!$C$2:$Y$959,11,0)</f>
        <v>3.2</v>
      </c>
      <c r="L1682" s="20">
        <f>VLOOKUP(A1682,Metrik!$C$2:$Y$959,12,0)</f>
        <v>1.8</v>
      </c>
      <c r="M1682" s="20">
        <f>VLOOKUP(A1682,Metrik!$C$2:$Y$959,19,0)</f>
        <v>2.6</v>
      </c>
      <c r="N1682" s="21"/>
      <c r="O1682" s="21"/>
      <c r="P1682" s="21"/>
      <c r="Q1682" s="21"/>
      <c r="R1682" s="21"/>
      <c r="S1682" s="21"/>
      <c r="T1682" s="21"/>
      <c r="U1682" s="22">
        <f>IFERROR(__xludf.DUMMYFUNCTION("IFERROR(GOOGLEFINANCE(A1682,""closeyest""),"""")"),1260.0)</f>
        <v>1260</v>
      </c>
      <c r="V1682" s="23">
        <f>IFERROR(__xludf.DUMMYFUNCTION("IFERROR(GOOGLEFINANCE(A1682,""changepct""),"""")"),-0.4)</f>
        <v>-0.4</v>
      </c>
      <c r="W1682" s="22">
        <f>IFERROR(__xludf.DUMMYFUNCTION("IFERROR(GOOGLEFINANCE(A1682,""priceopen""),"""")"),1260.0)</f>
        <v>1260</v>
      </c>
      <c r="X1682" s="22">
        <f>IFERROR(__xludf.DUMMYFUNCTION("IFERROR(GOOGLEFINANCE(A1682,""high""),"""")"),1305.0)</f>
        <v>1305</v>
      </c>
      <c r="Y1682" s="22">
        <f>IFERROR(__xludf.DUMMYFUNCTION("IFERROR(GOOGLEFINANCE(A1682,""low""),"""")"),1210.0)</f>
        <v>1210</v>
      </c>
      <c r="Z1682" s="22">
        <f>IFERROR(__xludf.DUMMYFUNCTION("IFERROR(GOOGLEFINANCE(A1682,""volume""),"""")"),18400.0)</f>
        <v>18400</v>
      </c>
      <c r="AA1682" s="24" t="str">
        <f>VLOOKUP(A1682,Metrik!$C$2:$Y$959,5,0)</f>
        <v>Metals &amp; Minerals</v>
      </c>
      <c r="AB1682" s="24" t="str">
        <f>VLOOKUP(A1682,Metrik!$C$2:$Y$959,3,0)</f>
        <v>Basic Materials</v>
      </c>
    </row>
    <row r="1683">
      <c r="A1683" s="14" t="s">
        <v>921</v>
      </c>
      <c r="B1683" s="14" t="str">
        <f t="array" ref="B1683">VLOOKUP(A1683,{Metrik!$C$2:$C$998,Metrik!$B$2:$B$998},2,0)</f>
        <v>Mandom Indonesia Tbk</v>
      </c>
      <c r="C1683" s="15">
        <f>IFERROR(__xludf.DUMMYFUNCTION("GOOGLEFINANCE(""IDX:""&amp;A1683,""price"")"),2850.0)</f>
        <v>2850</v>
      </c>
      <c r="D1683" s="16" t="str">
        <f>IFERROR(__xludf.DUMMYFUNCTION("IF(A1683="""","""",
SPARKLINE(
INDEX(
GOOGLEFINANCE(""IDX:""&amp;A1683,""close"",TODAY()-365,TODAY()),
,2
),
{""linewidth"",1}
))
"),"#N/A")</f>
        <v>#N/A</v>
      </c>
      <c r="E1683" s="26"/>
      <c r="F1683" s="26"/>
      <c r="G1683" s="24">
        <f t="shared" si="10"/>
        <v>0</v>
      </c>
      <c r="H1683" s="19">
        <f>VLOOKUP(A1683,Metrik!$C$2:$Y$959,8,0)</f>
        <v>99.4</v>
      </c>
      <c r="I1683" s="20">
        <f>VLOOKUP(A1683,Metrik!$C$2:$Y$959,9,0)</f>
        <v>0.61</v>
      </c>
      <c r="J1683" s="20">
        <f>VLOOKUP(A1683,Metrik!$C$2:$Y$959,10,0)</f>
        <v>0.61</v>
      </c>
      <c r="K1683" s="20">
        <f>VLOOKUP(A1683,Metrik!$C$2:$Y$959,11,0)</f>
        <v>0.49</v>
      </c>
      <c r="L1683" s="20">
        <f>VLOOKUP(A1683,Metrik!$C$2:$Y$959,12,0)</f>
        <v>0.25</v>
      </c>
      <c r="M1683" s="20">
        <f>VLOOKUP(A1683,Metrik!$C$2:$Y$959,19,0)</f>
        <v>2.2</v>
      </c>
      <c r="N1683" s="21"/>
      <c r="O1683" s="21"/>
      <c r="P1683" s="21"/>
      <c r="Q1683" s="21"/>
      <c r="R1683" s="21"/>
      <c r="S1683" s="21"/>
      <c r="T1683" s="21"/>
      <c r="U1683" s="22">
        <f>IFERROR(__xludf.DUMMYFUNCTION("IFERROR(GOOGLEFINANCE(A1683,""closeyest""),"""")"),0.13)</f>
        <v>0.13</v>
      </c>
      <c r="V1683" s="23" t="str">
        <f>IFERROR(__xludf.DUMMYFUNCTION("IFERROR(GOOGLEFINANCE(A1683,""changepct""),"""")"),"")</f>
        <v/>
      </c>
      <c r="W1683" s="22">
        <f>IFERROR(__xludf.DUMMYFUNCTION("IFERROR(GOOGLEFINANCE(A1683,""priceopen""),"""")"),0.13)</f>
        <v>0.13</v>
      </c>
      <c r="X1683" s="22">
        <f>IFERROR(__xludf.DUMMYFUNCTION("IFERROR(GOOGLEFINANCE(A1683,""high""),"""")"),0.13)</f>
        <v>0.13</v>
      </c>
      <c r="Y1683" s="22">
        <f>IFERROR(__xludf.DUMMYFUNCTION("IFERROR(GOOGLEFINANCE(A1683,""low""),"""")"),0.13)</f>
        <v>0.13</v>
      </c>
      <c r="Z1683" s="22">
        <f>IFERROR(__xludf.DUMMYFUNCTION("IFERROR(GOOGLEFINANCE(A1683,""volume""),"""")"),0.0)</f>
        <v>0</v>
      </c>
      <c r="AA1683" s="24" t="str">
        <f>VLOOKUP(A1683,Metrik!$C$2:$Y$959,5,0)</f>
        <v>Personal Care Products</v>
      </c>
      <c r="AB1683" s="24" t="str">
        <f>VLOOKUP(A1683,Metrik!$C$2:$Y$959,3,0)</f>
        <v>Consumer Non-Cyclicals</v>
      </c>
    </row>
    <row r="1684">
      <c r="A1684" s="14" t="s">
        <v>922</v>
      </c>
      <c r="B1684" s="14" t="str">
        <f t="array" ref="B1684">VLOOKUP(A1684,{Metrik!$C$2:$C$998,Metrik!$B$2:$B$998},2,0)</f>
        <v>Transcoal Pacific Tbk.</v>
      </c>
      <c r="C1684" s="15">
        <f>IFERROR(__xludf.DUMMYFUNCTION("GOOGLEFINANCE(""IDX:""&amp;A1684,""price"")"),9300.0)</f>
        <v>9300</v>
      </c>
      <c r="D1684" s="16" t="str">
        <f>IFERROR(__xludf.DUMMYFUNCTION("IF(A1684="""","""",
SPARKLINE(
INDEX(
GOOGLEFINANCE(""IDX:""&amp;A1684,""close"",TODAY()-365,TODAY()),
,2
),
{""linewidth"",1}
))
"),"#N/A")</f>
        <v>#N/A</v>
      </c>
      <c r="E1684" s="14" t="s">
        <v>32</v>
      </c>
      <c r="F1684" s="14" t="s">
        <v>29</v>
      </c>
      <c r="G1684" s="24">
        <f t="shared" si="10"/>
        <v>3</v>
      </c>
      <c r="H1684" s="19">
        <f>VLOOKUP(A1684,Metrik!$C$2:$Y$959,8,0)</f>
        <v>410</v>
      </c>
      <c r="I1684" s="20">
        <f>VLOOKUP(A1684,Metrik!$C$2:$Y$959,9,0)</f>
        <v>23.8</v>
      </c>
      <c r="J1684" s="20">
        <f>VLOOKUP(A1684,Metrik!$C$2:$Y$959,10,0)</f>
        <v>5.8</v>
      </c>
      <c r="K1684" s="20">
        <f>VLOOKUP(A1684,Metrik!$C$2:$Y$959,11,0)</f>
        <v>3.3</v>
      </c>
      <c r="L1684" s="20">
        <f>VLOOKUP(A1684,Metrik!$C$2:$Y$959,12,0)</f>
        <v>0.76</v>
      </c>
      <c r="M1684" s="20">
        <f>VLOOKUP(A1684,Metrik!$C$2:$Y$959,19,0)</f>
        <v>25.7</v>
      </c>
      <c r="N1684" s="21"/>
      <c r="O1684" s="21"/>
      <c r="P1684" s="21"/>
      <c r="Q1684" s="21"/>
      <c r="R1684" s="21"/>
      <c r="S1684" s="21"/>
      <c r="T1684" s="21"/>
      <c r="U1684" s="22">
        <f>IFERROR(__xludf.DUMMYFUNCTION("IFERROR(GOOGLEFINANCE(A1684,""closeyest""),"""")"),9600.0)</f>
        <v>9600</v>
      </c>
      <c r="V1684" s="23">
        <f>IFERROR(__xludf.DUMMYFUNCTION("IFERROR(GOOGLEFINANCE(A1684,""changepct""),"""")"),-3.12)</f>
        <v>-3.12</v>
      </c>
      <c r="W1684" s="22" t="str">
        <f>IFERROR(__xludf.DUMMYFUNCTION("IFERROR(GOOGLEFINANCE(A1684,""priceopen""),"""")"),"")</f>
        <v/>
      </c>
      <c r="X1684" s="22">
        <f>IFERROR(__xludf.DUMMYFUNCTION("IFERROR(GOOGLEFINANCE(A1684,""high""),"""")"),9700.0)</f>
        <v>9700</v>
      </c>
      <c r="Y1684" s="22">
        <f>IFERROR(__xludf.DUMMYFUNCTION("IFERROR(GOOGLEFINANCE(A1684,""low""),"""")"),9300.0)</f>
        <v>9300</v>
      </c>
      <c r="Z1684" s="22">
        <f>IFERROR(__xludf.DUMMYFUNCTION("IFERROR(GOOGLEFINANCE(A1684,""volume""),"""")"),5005100.0)</f>
        <v>5005100</v>
      </c>
      <c r="AA1684" s="24" t="str">
        <f>VLOOKUP(A1684,Metrik!$C$2:$Y$959,5,0)</f>
        <v>Coal</v>
      </c>
      <c r="AB1684" s="24" t="str">
        <f>VLOOKUP(A1684,Metrik!$C$2:$Y$959,3,0)</f>
        <v>Energy</v>
      </c>
    </row>
    <row r="1685">
      <c r="A1685" s="17" t="s">
        <v>922</v>
      </c>
      <c r="B1685" s="14" t="str">
        <f t="array" ref="B1685">VLOOKUP(A1685,{Metrik!$C$2:$C$998,Metrik!$B$2:$B$998},2,0)</f>
        <v>Transcoal Pacific Tbk.</v>
      </c>
      <c r="C1685" s="15">
        <f>IFERROR(__xludf.DUMMYFUNCTION("GOOGLEFINANCE(""IDX:""&amp;A1685,""price"")"),9300.0)</f>
        <v>9300</v>
      </c>
      <c r="D1685" s="16" t="str">
        <f>IFERROR(__xludf.DUMMYFUNCTION("IF(A1685="""","""",
SPARKLINE(
INDEX(
GOOGLEFINANCE(""IDX:""&amp;A1685,""close"",TODAY()-365,TODAY()),
,2
),
{""linewidth"",1}
))
"),"#N/A")</f>
        <v>#N/A</v>
      </c>
      <c r="E1685" s="14" t="s">
        <v>35</v>
      </c>
      <c r="F1685" s="17" t="s">
        <v>36</v>
      </c>
      <c r="G1685" s="24">
        <f t="shared" si="10"/>
        <v>3</v>
      </c>
      <c r="H1685" s="19">
        <f>VLOOKUP(A1685,Metrik!$C$2:$Y$959,8,0)</f>
        <v>410</v>
      </c>
      <c r="I1685" s="20">
        <f>VLOOKUP(A1685,Metrik!$C$2:$Y$959,9,0)</f>
        <v>23.8</v>
      </c>
      <c r="J1685" s="20">
        <f>VLOOKUP(A1685,Metrik!$C$2:$Y$959,10,0)</f>
        <v>5.8</v>
      </c>
      <c r="K1685" s="20">
        <f>VLOOKUP(A1685,Metrik!$C$2:$Y$959,11,0)</f>
        <v>3.3</v>
      </c>
      <c r="L1685" s="20">
        <f>VLOOKUP(A1685,Metrik!$C$2:$Y$959,12,0)</f>
        <v>0.76</v>
      </c>
      <c r="M1685" s="20">
        <f>VLOOKUP(A1685,Metrik!$C$2:$Y$959,19,0)</f>
        <v>25.7</v>
      </c>
      <c r="N1685" s="29"/>
      <c r="O1685" s="29"/>
      <c r="P1685" s="29"/>
      <c r="Q1685" s="29"/>
      <c r="R1685" s="29"/>
      <c r="S1685" s="29"/>
      <c r="T1685" s="29"/>
      <c r="U1685" s="22">
        <f>IFERROR(__xludf.DUMMYFUNCTION("IFERROR(GOOGLEFINANCE(A1685,""closeyest""),"""")"),9600.0)</f>
        <v>9600</v>
      </c>
      <c r="V1685" s="23">
        <f>IFERROR(__xludf.DUMMYFUNCTION("IFERROR(GOOGLEFINANCE(A1685,""changepct""),"""")"),-3.12)</f>
        <v>-3.12</v>
      </c>
      <c r="W1685" s="22" t="str">
        <f>IFERROR(__xludf.DUMMYFUNCTION("IFERROR(GOOGLEFINANCE(A1685,""priceopen""),"""")"),"")</f>
        <v/>
      </c>
      <c r="X1685" s="22">
        <f>IFERROR(__xludf.DUMMYFUNCTION("IFERROR(GOOGLEFINANCE(A1685,""high""),"""")"),9700.0)</f>
        <v>9700</v>
      </c>
      <c r="Y1685" s="22">
        <f>IFERROR(__xludf.DUMMYFUNCTION("IFERROR(GOOGLEFINANCE(A1685,""low""),"""")"),9300.0)</f>
        <v>9300</v>
      </c>
      <c r="Z1685" s="22">
        <f>IFERROR(__xludf.DUMMYFUNCTION("IFERROR(GOOGLEFINANCE(A1685,""volume""),"""")"),5005100.0)</f>
        <v>5005100</v>
      </c>
      <c r="AA1685" s="24" t="str">
        <f>VLOOKUP(A1685,Metrik!$C$2:$Y$959,5,0)</f>
        <v>Coal</v>
      </c>
      <c r="AB1685" s="24" t="str">
        <f>VLOOKUP(A1685,Metrik!$C$2:$Y$959,3,0)</f>
        <v>Energy</v>
      </c>
    </row>
    <row r="1686">
      <c r="A1686" s="14" t="s">
        <v>922</v>
      </c>
      <c r="B1686" s="14" t="str">
        <f t="array" ref="B1686">VLOOKUP(A1686,{Metrik!$C$2:$C$998,Metrik!$B$2:$B$998},2,0)</f>
        <v>Transcoal Pacific Tbk.</v>
      </c>
      <c r="C1686" s="15">
        <f>IFERROR(__xludf.DUMMYFUNCTION("GOOGLEFINANCE(""IDX:""&amp;A1686,""price"")"),9300.0)</f>
        <v>9300</v>
      </c>
      <c r="D1686" s="16" t="str">
        <f>IFERROR(__xludf.DUMMYFUNCTION("IF(A1686="""","""",
SPARKLINE(
INDEX(
GOOGLEFINANCE(""IDX:""&amp;A1686,""close"",TODAY()-365,TODAY()),
,2
),
{""linewidth"",1}
))
"),"#N/A")</f>
        <v>#N/A</v>
      </c>
      <c r="E1686" s="14" t="s">
        <v>39</v>
      </c>
      <c r="F1686" s="25">
        <v>46356.0</v>
      </c>
      <c r="G1686" s="24">
        <f t="shared" si="10"/>
        <v>3</v>
      </c>
      <c r="H1686" s="19">
        <f>VLOOKUP(A1686,Metrik!$C$2:$Y$959,8,0)</f>
        <v>410</v>
      </c>
      <c r="I1686" s="20">
        <f>VLOOKUP(A1686,Metrik!$C$2:$Y$959,9,0)</f>
        <v>23.8</v>
      </c>
      <c r="J1686" s="20">
        <f>VLOOKUP(A1686,Metrik!$C$2:$Y$959,10,0)</f>
        <v>5.8</v>
      </c>
      <c r="K1686" s="20">
        <f>VLOOKUP(A1686,Metrik!$C$2:$Y$959,11,0)</f>
        <v>3.3</v>
      </c>
      <c r="L1686" s="20">
        <f>VLOOKUP(A1686,Metrik!$C$2:$Y$959,12,0)</f>
        <v>0.76</v>
      </c>
      <c r="M1686" s="20">
        <f>VLOOKUP(A1686,Metrik!$C$2:$Y$959,19,0)</f>
        <v>25.7</v>
      </c>
      <c r="N1686" s="21"/>
      <c r="O1686" s="21"/>
      <c r="P1686" s="21"/>
      <c r="Q1686" s="21"/>
      <c r="R1686" s="21"/>
      <c r="S1686" s="21"/>
      <c r="T1686" s="21"/>
      <c r="U1686" s="22">
        <f>IFERROR(__xludf.DUMMYFUNCTION("IFERROR(GOOGLEFINANCE(A1686,""closeyest""),"""")"),9600.0)</f>
        <v>9600</v>
      </c>
      <c r="V1686" s="23">
        <f>IFERROR(__xludf.DUMMYFUNCTION("IFERROR(GOOGLEFINANCE(A1686,""changepct""),"""")"),-3.12)</f>
        <v>-3.12</v>
      </c>
      <c r="W1686" s="22" t="str">
        <f>IFERROR(__xludf.DUMMYFUNCTION("IFERROR(GOOGLEFINANCE(A1686,""priceopen""),"""")"),"")</f>
        <v/>
      </c>
      <c r="X1686" s="22">
        <f>IFERROR(__xludf.DUMMYFUNCTION("IFERROR(GOOGLEFINANCE(A1686,""high""),"""")"),9700.0)</f>
        <v>9700</v>
      </c>
      <c r="Y1686" s="22">
        <f>IFERROR(__xludf.DUMMYFUNCTION("IFERROR(GOOGLEFINANCE(A1686,""low""),"""")"),9300.0)</f>
        <v>9300</v>
      </c>
      <c r="Z1686" s="22">
        <f>IFERROR(__xludf.DUMMYFUNCTION("IFERROR(GOOGLEFINANCE(A1686,""volume""),"""")"),5005100.0)</f>
        <v>5005100</v>
      </c>
      <c r="AA1686" s="24" t="str">
        <f>VLOOKUP(A1686,Metrik!$C$2:$Y$959,5,0)</f>
        <v>Coal</v>
      </c>
      <c r="AB1686" s="24" t="str">
        <f>VLOOKUP(A1686,Metrik!$C$2:$Y$959,3,0)</f>
        <v>Energy</v>
      </c>
    </row>
    <row r="1687">
      <c r="A1687" s="14" t="s">
        <v>923</v>
      </c>
      <c r="B1687" s="14" t="str">
        <f t="array" ref="B1687">VLOOKUP(A1687,{Metrik!$C$2:$C$998,Metrik!$B$2:$B$998},2,0)</f>
        <v>Tianrong Chemicals Industry Tbk.</v>
      </c>
      <c r="C1687" s="15">
        <f>IFERROR(__xludf.DUMMYFUNCTION("GOOGLEFINANCE(""IDX:""&amp;A1687,""price"")"),119.0)</f>
        <v>119</v>
      </c>
      <c r="D1687" s="16" t="str">
        <f>IFERROR(__xludf.DUMMYFUNCTION("IF(A1687="""","""",
SPARKLINE(
INDEX(
GOOGLEFINANCE(""IDX:""&amp;A1687,""close"",TODAY()-365,TODAY()),
,2
),
{""linewidth"",1}
))
"),"#N/A")</f>
        <v>#N/A</v>
      </c>
      <c r="E1687" s="26"/>
      <c r="F1687" s="26"/>
      <c r="G1687" s="24">
        <f t="shared" si="10"/>
        <v>0</v>
      </c>
      <c r="H1687" s="19">
        <f>VLOOKUP(A1687,Metrik!$C$2:$Y$959,8,0)</f>
        <v>0</v>
      </c>
      <c r="I1687" s="20">
        <f>VLOOKUP(A1687,Metrik!$C$2:$Y$959,9,0)</f>
        <v>5.4</v>
      </c>
      <c r="J1687" s="20">
        <f>VLOOKUP(A1687,Metrik!$C$2:$Y$959,10,0)</f>
        <v>-380</v>
      </c>
      <c r="K1687" s="20">
        <f>VLOOKUP(A1687,Metrik!$C$2:$Y$959,11,0)</f>
        <v>-39</v>
      </c>
      <c r="L1687" s="20">
        <f>VLOOKUP(A1687,Metrik!$C$2:$Y$959,12,0)</f>
        <v>8.6</v>
      </c>
      <c r="M1687" s="20">
        <f>VLOOKUP(A1687,Metrik!$C$2:$Y$959,19,0)</f>
        <v>-160</v>
      </c>
      <c r="N1687" s="21"/>
      <c r="O1687" s="21"/>
      <c r="P1687" s="21"/>
      <c r="Q1687" s="21"/>
      <c r="R1687" s="21"/>
      <c r="S1687" s="21"/>
      <c r="T1687" s="21"/>
      <c r="U1687" s="22">
        <f>IFERROR(__xludf.DUMMYFUNCTION("IFERROR(GOOGLEFINANCE(A1687,""closeyest""),"""")"),119.0)</f>
        <v>119</v>
      </c>
      <c r="V1687" s="23">
        <f>IFERROR(__xludf.DUMMYFUNCTION("IFERROR(GOOGLEFINANCE(A1687,""changepct""),"""")"),0.0)</f>
        <v>0</v>
      </c>
      <c r="W1687" s="22" t="str">
        <f>IFERROR(__xludf.DUMMYFUNCTION("IFERROR(GOOGLEFINANCE(A1687,""priceopen""),"""")"),"")</f>
        <v/>
      </c>
      <c r="X1687" s="22" t="str">
        <f>IFERROR(__xludf.DUMMYFUNCTION("IFERROR(GOOGLEFINANCE(A1687,""high""),"""")"),"")</f>
        <v/>
      </c>
      <c r="Y1687" s="22" t="str">
        <f>IFERROR(__xludf.DUMMYFUNCTION("IFERROR(GOOGLEFINANCE(A1687,""low""),"""")"),"")</f>
        <v/>
      </c>
      <c r="Z1687" s="22">
        <f>IFERROR(__xludf.DUMMYFUNCTION("IFERROR(GOOGLEFINANCE(A1687,""volume""),"""")"),0.0)</f>
        <v>0</v>
      </c>
      <c r="AA1687" s="24" t="str">
        <f>VLOOKUP(A1687,Metrik!$C$2:$Y$959,5,0)</f>
        <v>Chemicals</v>
      </c>
      <c r="AB1687" s="24" t="str">
        <f>VLOOKUP(A1687,Metrik!$C$2:$Y$959,3,0)</f>
        <v>Basic Materials</v>
      </c>
    </row>
    <row r="1688">
      <c r="A1688" s="14" t="s">
        <v>924</v>
      </c>
      <c r="B1688" s="14" t="str">
        <f t="array" ref="B1688">VLOOKUP(A1688,{Metrik!$C$2:$C$998,Metrik!$B$2:$B$998},2,0)</f>
        <v>Dana Brata Luhur Tbk.</v>
      </c>
      <c r="C1688" s="15">
        <f>IFERROR(__xludf.DUMMYFUNCTION("GOOGLEFINANCE(""IDX:""&amp;A1688,""price"")"),1045.0)</f>
        <v>1045</v>
      </c>
      <c r="D1688" s="16" t="str">
        <f>IFERROR(__xludf.DUMMYFUNCTION("IF(A1688="""","""",
SPARKLINE(
INDEX(
GOOGLEFINANCE(""IDX:""&amp;A1688,""close"",TODAY()-365,TODAY()),
,2
),
{""linewidth"",1}
))
"),"#N/A")</f>
        <v>#N/A</v>
      </c>
      <c r="E1688" s="26"/>
      <c r="F1688" s="26"/>
      <c r="G1688" s="24">
        <f t="shared" si="10"/>
        <v>0</v>
      </c>
      <c r="H1688" s="19">
        <f>VLOOKUP(A1688,Metrik!$C$2:$Y$959,8,0)</f>
        <v>9</v>
      </c>
      <c r="I1688" s="20">
        <f>VLOOKUP(A1688,Metrik!$C$2:$Y$959,9,0)</f>
        <v>1</v>
      </c>
      <c r="J1688" s="20">
        <f>VLOOKUP(A1688,Metrik!$C$2:$Y$959,10,0)</f>
        <v>11.7</v>
      </c>
      <c r="K1688" s="20">
        <f>VLOOKUP(A1688,Metrik!$C$2:$Y$959,11,0)</f>
        <v>11.2</v>
      </c>
      <c r="L1688" s="20">
        <f>VLOOKUP(A1688,Metrik!$C$2:$Y$959,12,0)</f>
        <v>0.04</v>
      </c>
      <c r="M1688" s="20">
        <f>VLOOKUP(A1688,Metrik!$C$2:$Y$959,19,0)</f>
        <v>170</v>
      </c>
      <c r="N1688" s="21"/>
      <c r="O1688" s="21"/>
      <c r="P1688" s="21"/>
      <c r="Q1688" s="21"/>
      <c r="R1688" s="21"/>
      <c r="S1688" s="21"/>
      <c r="T1688" s="21"/>
      <c r="U1688" s="22">
        <f>IFERROR(__xludf.DUMMYFUNCTION("IFERROR(GOOGLEFINANCE(A1688,""closeyest""),"""")"),970.0)</f>
        <v>970</v>
      </c>
      <c r="V1688" s="23">
        <f>IFERROR(__xludf.DUMMYFUNCTION("IFERROR(GOOGLEFINANCE(A1688,""changepct""),"""")"),7.73)</f>
        <v>7.73</v>
      </c>
      <c r="W1688" s="22">
        <f>IFERROR(__xludf.DUMMYFUNCTION("IFERROR(GOOGLEFINANCE(A1688,""priceopen""),"""")"),975.0)</f>
        <v>975</v>
      </c>
      <c r="X1688" s="22" t="str">
        <f>IFERROR(__xludf.DUMMYFUNCTION("IFERROR(GOOGLEFINANCE(A1688,""high""),"""")"),"")</f>
        <v/>
      </c>
      <c r="Y1688" s="22">
        <f>IFERROR(__xludf.DUMMYFUNCTION("IFERROR(GOOGLEFINANCE(A1688,""low""),"""")"),975.0)</f>
        <v>975</v>
      </c>
      <c r="Z1688" s="22">
        <f>IFERROR(__xludf.DUMMYFUNCTION("IFERROR(GOOGLEFINANCE(A1688,""volume""),"""")"),655800.0)</f>
        <v>655800</v>
      </c>
      <c r="AA1688" s="24" t="str">
        <f>VLOOKUP(A1688,Metrik!$C$2:$Y$959,5,0)</f>
        <v>Coal</v>
      </c>
      <c r="AB1688" s="24" t="str">
        <f>VLOOKUP(A1688,Metrik!$C$2:$Y$959,3,0)</f>
        <v>Energy</v>
      </c>
    </row>
    <row r="1689">
      <c r="A1689" s="14" t="s">
        <v>925</v>
      </c>
      <c r="B1689" s="14" t="str">
        <f t="array" ref="B1689">VLOOKUP(A1689,{Metrik!$C$2:$C$998,Metrik!$B$2:$B$998},2,0)</f>
        <v>Indosterling Technomedia Tbk.</v>
      </c>
      <c r="C1689" s="15">
        <f>IFERROR(__xludf.DUMMYFUNCTION("GOOGLEFINANCE(""IDX:""&amp;A1689,""price"")"),50.0)</f>
        <v>50</v>
      </c>
      <c r="D1689" s="16" t="str">
        <f>IFERROR(__xludf.DUMMYFUNCTION("IF(A1689="""","""",
SPARKLINE(
INDEX(
GOOGLEFINANCE(""IDX:""&amp;A1689,""close"",TODAY()-365,TODAY()),
,2
),
{""linewidth"",1}
))
"),"#N/A")</f>
        <v>#N/A</v>
      </c>
      <c r="E1689" s="26"/>
      <c r="F1689" s="26"/>
      <c r="G1689" s="24">
        <f t="shared" si="10"/>
        <v>0</v>
      </c>
      <c r="H1689" s="19">
        <f>VLOOKUP(A1689,Metrik!$C$2:$Y$959,8,0)</f>
        <v>0</v>
      </c>
      <c r="I1689" s="20">
        <f>VLOOKUP(A1689,Metrik!$C$2:$Y$959,9,0)</f>
        <v>0.97</v>
      </c>
      <c r="J1689" s="20">
        <f>VLOOKUP(A1689,Metrik!$C$2:$Y$959,10,0)</f>
        <v>2</v>
      </c>
      <c r="K1689" s="20">
        <f>VLOOKUP(A1689,Metrik!$C$2:$Y$959,11,0)</f>
        <v>1.7</v>
      </c>
      <c r="L1689" s="20">
        <f>VLOOKUP(A1689,Metrik!$C$2:$Y$959,12,0)</f>
        <v>0.15</v>
      </c>
      <c r="M1689" s="20">
        <f>VLOOKUP(A1689,Metrik!$C$2:$Y$959,19,0)</f>
        <v>350</v>
      </c>
      <c r="N1689" s="21"/>
      <c r="O1689" s="21"/>
      <c r="P1689" s="21"/>
      <c r="Q1689" s="21"/>
      <c r="R1689" s="21"/>
      <c r="S1689" s="21"/>
      <c r="T1689" s="21"/>
      <c r="U1689" s="22">
        <f>IFERROR(__xludf.DUMMYFUNCTION("IFERROR(GOOGLEFINANCE(A1689,""closeyest""),"""")"),54.02)</f>
        <v>54.02</v>
      </c>
      <c r="V1689" s="23">
        <f>IFERROR(__xludf.DUMMYFUNCTION("IFERROR(GOOGLEFINANCE(A1689,""changepct""),"""")"),-0.04)</f>
        <v>-0.04</v>
      </c>
      <c r="W1689" s="22">
        <f>IFERROR(__xludf.DUMMYFUNCTION("IFERROR(GOOGLEFINANCE(A1689,""priceopen""),"""")"),54.06)</f>
        <v>54.06</v>
      </c>
      <c r="X1689" s="22">
        <f>IFERROR(__xludf.DUMMYFUNCTION("IFERROR(GOOGLEFINANCE(A1689,""high""),"""")"),54.62)</f>
        <v>54.62</v>
      </c>
      <c r="Y1689" s="22">
        <f>IFERROR(__xludf.DUMMYFUNCTION("IFERROR(GOOGLEFINANCE(A1689,""low""),"""")"),53.29)</f>
        <v>53.29</v>
      </c>
      <c r="Z1689" s="22">
        <f>IFERROR(__xludf.DUMMYFUNCTION("IFERROR(GOOGLEFINANCE(A1689,""volume""),"""")"),2558198.0)</f>
        <v>2558198</v>
      </c>
      <c r="AA1689" s="24" t="str">
        <f>VLOOKUP(A1689,Metrik!$C$2:$Y$959,5,0)</f>
        <v>IT Services &amp; Consulting</v>
      </c>
      <c r="AB1689" s="24" t="str">
        <f>VLOOKUP(A1689,Metrik!$C$2:$Y$959,3,0)</f>
        <v>Technology</v>
      </c>
    </row>
    <row r="1690">
      <c r="A1690" s="14" t="s">
        <v>926</v>
      </c>
      <c r="B1690" s="14" t="str">
        <f t="array" ref="B1690">VLOOKUP(A1690,{Metrik!$C$2:$C$998,Metrik!$B$2:$B$998},2,0)</f>
        <v>Omni Inovasi Indonesia Tbk.</v>
      </c>
      <c r="C1690" s="15">
        <f>IFERROR(__xludf.DUMMYFUNCTION("GOOGLEFINANCE(""IDX:""&amp;A1690,""price"")"),9.0)</f>
        <v>9</v>
      </c>
      <c r="D1690" s="16" t="str">
        <f>IFERROR(__xludf.DUMMYFUNCTION("IF(A1690="""","""",
SPARKLINE(
INDEX(
GOOGLEFINANCE(""IDX:""&amp;A1690,""close"",TODAY()-365,TODAY()),
,2
),
{""linewidth"",1}
))
"),"#N/A")</f>
        <v>#N/A</v>
      </c>
      <c r="E1690" s="26"/>
      <c r="F1690" s="26"/>
      <c r="G1690" s="24">
        <f t="shared" si="10"/>
        <v>0</v>
      </c>
      <c r="H1690" s="19">
        <f>VLOOKUP(A1690,Metrik!$C$2:$Y$959,8,0)</f>
        <v>-2.1</v>
      </c>
      <c r="I1690" s="20">
        <f>VLOOKUP(A1690,Metrik!$C$2:$Y$959,9,0)</f>
        <v>-0.01</v>
      </c>
      <c r="J1690" s="20">
        <f>VLOOKUP(A1690,Metrik!$C$2:$Y$959,10,0)</f>
        <v>0</v>
      </c>
      <c r="K1690" s="20">
        <f>VLOOKUP(A1690,Metrik!$C$2:$Y$959,11,0)</f>
        <v>-32.8</v>
      </c>
      <c r="L1690" s="20">
        <f>VLOOKUP(A1690,Metrik!$C$2:$Y$959,12,0)</f>
        <v>-1</v>
      </c>
      <c r="M1690" s="20">
        <f>VLOOKUP(A1690,Metrik!$C$2:$Y$959,19,0)</f>
        <v>-10.4</v>
      </c>
      <c r="N1690" s="21"/>
      <c r="O1690" s="21"/>
      <c r="P1690" s="21"/>
      <c r="Q1690" s="21"/>
      <c r="R1690" s="21"/>
      <c r="S1690" s="21"/>
      <c r="T1690" s="21"/>
      <c r="U1690" s="22">
        <f>IFERROR(__xludf.DUMMYFUNCTION("IFERROR(GOOGLEFINANCE(A1690,""closeyest""),"""")"),75.63)</f>
        <v>75.63</v>
      </c>
      <c r="V1690" s="23">
        <f>IFERROR(__xludf.DUMMYFUNCTION("IFERROR(GOOGLEFINANCE(A1690,""changepct""),"""")"),0.07)</f>
        <v>0.07</v>
      </c>
      <c r="W1690" s="22" t="str">
        <f>IFERROR(__xludf.DUMMYFUNCTION("IFERROR(GOOGLEFINANCE(A1690,""priceopen""),"""")"),"")</f>
        <v/>
      </c>
      <c r="X1690" s="22" t="str">
        <f>IFERROR(__xludf.DUMMYFUNCTION("IFERROR(GOOGLEFINANCE(A1690,""high""),"""")"),"")</f>
        <v/>
      </c>
      <c r="Y1690" s="22" t="str">
        <f>IFERROR(__xludf.DUMMYFUNCTION("IFERROR(GOOGLEFINANCE(A1690,""low""),"""")"),"")</f>
        <v/>
      </c>
      <c r="Z1690" s="22">
        <f>IFERROR(__xludf.DUMMYFUNCTION("IFERROR(GOOGLEFINANCE(A1690,""volume""),"""")"),0.0)</f>
        <v>0</v>
      </c>
      <c r="AA1690" s="24" t="str">
        <f>VLOOKUP(A1690,Metrik!$C$2:$Y$959,5,0)</f>
        <v>Consumer Distributors</v>
      </c>
      <c r="AB1690" s="24" t="str">
        <f>VLOOKUP(A1690,Metrik!$C$2:$Y$959,3,0)</f>
        <v>Consumer Cyclicals</v>
      </c>
    </row>
    <row r="1691">
      <c r="A1691" s="14" t="s">
        <v>927</v>
      </c>
      <c r="B1691" s="14" t="str">
        <f t="array" ref="B1691">VLOOKUP(A1691,{Metrik!$C$2:$C$998,Metrik!$B$2:$B$998},2,0)</f>
        <v>Telefast Indonesia Tbk.</v>
      </c>
      <c r="C1691" s="15">
        <f>IFERROR(__xludf.DUMMYFUNCTION("GOOGLEFINANCE(""IDX:""&amp;A1691,""price"")"),204.0)</f>
        <v>204</v>
      </c>
      <c r="D1691" s="16" t="str">
        <f>IFERROR(__xludf.DUMMYFUNCTION("IF(A1691="""","""",
SPARKLINE(
INDEX(
GOOGLEFINANCE(""IDX:""&amp;A1691,""close"",TODAY()-365,TODAY()),
,2
),
{""linewidth"",1}
))
"),"#N/A")</f>
        <v>#N/A</v>
      </c>
      <c r="E1691" s="26"/>
      <c r="F1691" s="26"/>
      <c r="G1691" s="24">
        <f t="shared" si="10"/>
        <v>0</v>
      </c>
      <c r="H1691" s="19">
        <f>VLOOKUP(A1691,Metrik!$C$2:$Y$959,8,0)</f>
        <v>-16.6</v>
      </c>
      <c r="I1691" s="20">
        <f>VLOOKUP(A1691,Metrik!$C$2:$Y$959,9,0)</f>
        <v>2.1</v>
      </c>
      <c r="J1691" s="20">
        <f>VLOOKUP(A1691,Metrik!$C$2:$Y$959,10,0)</f>
        <v>-12.7</v>
      </c>
      <c r="K1691" s="20">
        <f>VLOOKUP(A1691,Metrik!$C$2:$Y$959,11,0)</f>
        <v>-9.9</v>
      </c>
      <c r="L1691" s="20">
        <f>VLOOKUP(A1691,Metrik!$C$2:$Y$959,12,0)</f>
        <v>0.28</v>
      </c>
      <c r="M1691" s="20">
        <f>VLOOKUP(A1691,Metrik!$C$2:$Y$959,19,0)</f>
        <v>-19.6</v>
      </c>
      <c r="N1691" s="21"/>
      <c r="O1691" s="21"/>
      <c r="P1691" s="21"/>
      <c r="Q1691" s="21"/>
      <c r="R1691" s="21"/>
      <c r="S1691" s="21"/>
      <c r="T1691" s="21"/>
      <c r="U1691" s="22">
        <f>IFERROR(__xludf.DUMMYFUNCTION("IFERROR(GOOGLEFINANCE(A1691,""closeyest""),"""")"),198.0)</f>
        <v>198</v>
      </c>
      <c r="V1691" s="23">
        <f>IFERROR(__xludf.DUMMYFUNCTION("IFERROR(GOOGLEFINANCE(A1691,""changepct""),"""")"),3.03)</f>
        <v>3.03</v>
      </c>
      <c r="W1691" s="22">
        <f>IFERROR(__xludf.DUMMYFUNCTION("IFERROR(GOOGLEFINANCE(A1691,""priceopen""),"""")"),198.0)</f>
        <v>198</v>
      </c>
      <c r="X1691" s="22">
        <f>IFERROR(__xludf.DUMMYFUNCTION("IFERROR(GOOGLEFINANCE(A1691,""high""),"""")"),210.0)</f>
        <v>210</v>
      </c>
      <c r="Y1691" s="22" t="str">
        <f>IFERROR(__xludf.DUMMYFUNCTION("IFERROR(GOOGLEFINANCE(A1691,""low""),"""")"),"")</f>
        <v/>
      </c>
      <c r="Z1691" s="22" t="str">
        <f>IFERROR(__xludf.DUMMYFUNCTION("IFERROR(GOOGLEFINANCE(A1691,""volume""),"""")"),"")</f>
        <v/>
      </c>
      <c r="AA1691" s="24" t="str">
        <f>VLOOKUP(A1691,Metrik!$C$2:$Y$959,5,0)</f>
        <v>Online Applications &amp; Services</v>
      </c>
      <c r="AB1691" s="24" t="str">
        <f>VLOOKUP(A1691,Metrik!$C$2:$Y$959,3,0)</f>
        <v>Technology</v>
      </c>
    </row>
    <row r="1692">
      <c r="A1692" s="14" t="s">
        <v>928</v>
      </c>
      <c r="B1692" s="14" t="str">
        <f t="array" ref="B1692">VLOOKUP(A1692,{Metrik!$C$2:$C$998,Metrik!$B$2:$B$998},2,0)</f>
        <v>Tifico Fiber Indonesia Tbk</v>
      </c>
      <c r="C1692" s="15">
        <f>IFERROR(__xludf.DUMMYFUNCTION("GOOGLEFINANCE(""IDX:""&amp;A1692,""price"")"),595.0)</f>
        <v>595</v>
      </c>
      <c r="D1692" s="16" t="str">
        <f>IFERROR(__xludf.DUMMYFUNCTION("IF(A1692="""","""",
SPARKLINE(
INDEX(
GOOGLEFINANCE(""IDX:""&amp;A1692,""close"",TODAY()-365,TODAY()),
,2
),
{""linewidth"",1}
))
"),"#N/A")</f>
        <v>#N/A</v>
      </c>
      <c r="E1692" s="26"/>
      <c r="F1692" s="26"/>
      <c r="G1692" s="24">
        <f t="shared" si="10"/>
        <v>0</v>
      </c>
      <c r="H1692" s="19">
        <f>VLOOKUP(A1692,Metrik!$C$2:$Y$959,8,0)</f>
        <v>-33.5</v>
      </c>
      <c r="I1692" s="20">
        <f>VLOOKUP(A1692,Metrik!$C$2:$Y$959,9,0)</f>
        <v>0.55</v>
      </c>
      <c r="J1692" s="20">
        <f>VLOOKUP(A1692,Metrik!$C$2:$Y$959,10,0)</f>
        <v>-1.6</v>
      </c>
      <c r="K1692" s="20">
        <f>VLOOKUP(A1692,Metrik!$C$2:$Y$959,11,0)</f>
        <v>-1.5</v>
      </c>
      <c r="L1692" s="20">
        <f>VLOOKUP(A1692,Metrik!$C$2:$Y$959,12,0)</f>
        <v>0.1</v>
      </c>
      <c r="M1692" s="20">
        <f>VLOOKUP(A1692,Metrik!$C$2:$Y$959,19,0)</f>
        <v>-10.4</v>
      </c>
      <c r="N1692" s="21"/>
      <c r="O1692" s="21"/>
      <c r="P1692" s="21"/>
      <c r="Q1692" s="21"/>
      <c r="R1692" s="21"/>
      <c r="S1692" s="21"/>
      <c r="T1692" s="21"/>
      <c r="U1692" s="22">
        <f>IFERROR(__xludf.DUMMYFUNCTION("IFERROR(GOOGLEFINANCE(A1692,""closeyest""),"""")"),605.0)</f>
        <v>605</v>
      </c>
      <c r="V1692" s="23">
        <f>IFERROR(__xludf.DUMMYFUNCTION("IFERROR(GOOGLEFINANCE(A1692,""changepct""),"""")"),-1.65)</f>
        <v>-1.65</v>
      </c>
      <c r="W1692" s="22">
        <f>IFERROR(__xludf.DUMMYFUNCTION("IFERROR(GOOGLEFINANCE(A1692,""priceopen""),"""")"),595.0)</f>
        <v>595</v>
      </c>
      <c r="X1692" s="22">
        <f>IFERROR(__xludf.DUMMYFUNCTION("IFERROR(GOOGLEFINANCE(A1692,""high""),"""")"),595.0)</f>
        <v>595</v>
      </c>
      <c r="Y1692" s="22">
        <f>IFERROR(__xludf.DUMMYFUNCTION("IFERROR(GOOGLEFINANCE(A1692,""low""),"""")"),595.0)</f>
        <v>595</v>
      </c>
      <c r="Z1692" s="22">
        <f>IFERROR(__xludf.DUMMYFUNCTION("IFERROR(GOOGLEFINANCE(A1692,""volume""),"""")"),100.0)</f>
        <v>100</v>
      </c>
      <c r="AA1692" s="24" t="str">
        <f>VLOOKUP(A1692,Metrik!$C$2:$Y$959,5,0)</f>
        <v>Apparel &amp; Luxury Goods</v>
      </c>
      <c r="AB1692" s="24" t="str">
        <f>VLOOKUP(A1692,Metrik!$C$2:$Y$959,3,0)</f>
        <v>Consumer Cyclicals</v>
      </c>
    </row>
    <row r="1693">
      <c r="A1693" s="14" t="s">
        <v>929</v>
      </c>
      <c r="B1693" s="14" t="str">
        <f t="array" ref="B1693">VLOOKUP(A1693,{Metrik!$C$2:$C$998,Metrik!$B$2:$B$998},2,0)</f>
        <v>Tigaraksa Satria Tbk.</v>
      </c>
      <c r="C1693" s="15">
        <f>IFERROR(__xludf.DUMMYFUNCTION("GOOGLEFINANCE(""IDX:""&amp;A1693,""price"")"),4580.0)</f>
        <v>4580</v>
      </c>
      <c r="D1693" s="16" t="str">
        <f>IFERROR(__xludf.DUMMYFUNCTION("IF(A1693="""","""",
SPARKLINE(
INDEX(
GOOGLEFINANCE(""IDX:""&amp;A1693,""close"",TODAY()-365,TODAY()),
,2
),
{""linewidth"",1}
))
"),"#N/A")</f>
        <v>#N/A</v>
      </c>
      <c r="E1693" s="26"/>
      <c r="F1693" s="26"/>
      <c r="G1693" s="24">
        <f t="shared" si="10"/>
        <v>0</v>
      </c>
      <c r="H1693" s="19">
        <f>VLOOKUP(A1693,Metrik!$C$2:$Y$959,8,0)</f>
        <v>10.3</v>
      </c>
      <c r="I1693" s="20">
        <f>VLOOKUP(A1693,Metrik!$C$2:$Y$959,9,0)</f>
        <v>1.7</v>
      </c>
      <c r="J1693" s="20">
        <f>VLOOKUP(A1693,Metrik!$C$2:$Y$959,10,0)</f>
        <v>16.5</v>
      </c>
      <c r="K1693" s="20">
        <f>VLOOKUP(A1693,Metrik!$C$2:$Y$959,11,0)</f>
        <v>8.1</v>
      </c>
      <c r="L1693" s="20">
        <f>VLOOKUP(A1693,Metrik!$C$2:$Y$959,12,0)</f>
        <v>1</v>
      </c>
      <c r="M1693" s="20">
        <f>VLOOKUP(A1693,Metrik!$C$2:$Y$959,19,0)</f>
        <v>11.6</v>
      </c>
      <c r="N1693" s="21"/>
      <c r="O1693" s="21"/>
      <c r="P1693" s="21"/>
      <c r="Q1693" s="21"/>
      <c r="R1693" s="21"/>
      <c r="S1693" s="21"/>
      <c r="T1693" s="21"/>
      <c r="U1693" s="22">
        <f>IFERROR(__xludf.DUMMYFUNCTION("IFERROR(GOOGLEFINANCE(A1693,""closeyest""),"""")"),4490.0)</f>
        <v>4490</v>
      </c>
      <c r="V1693" s="23">
        <f>IFERROR(__xludf.DUMMYFUNCTION("IFERROR(GOOGLEFINANCE(A1693,""changepct""),"""")"),2.0)</f>
        <v>2</v>
      </c>
      <c r="W1693" s="22">
        <f>IFERROR(__xludf.DUMMYFUNCTION("IFERROR(GOOGLEFINANCE(A1693,""priceopen""),"""")"),4470.0)</f>
        <v>4470</v>
      </c>
      <c r="X1693" s="22">
        <f>IFERROR(__xludf.DUMMYFUNCTION("IFERROR(GOOGLEFINANCE(A1693,""high""),"""")"),4580.0)</f>
        <v>4580</v>
      </c>
      <c r="Y1693" s="22">
        <f>IFERROR(__xludf.DUMMYFUNCTION("IFERROR(GOOGLEFINANCE(A1693,""low""),"""")"),4460.0)</f>
        <v>4460</v>
      </c>
      <c r="Z1693" s="22">
        <f>IFERROR(__xludf.DUMMYFUNCTION("IFERROR(GOOGLEFINANCE(A1693,""volume""),"""")"),800.0)</f>
        <v>800</v>
      </c>
      <c r="AA1693" s="24" t="str">
        <f>VLOOKUP(A1693,Metrik!$C$2:$Y$959,5,0)</f>
        <v>Processed Foods</v>
      </c>
      <c r="AB1693" s="24" t="str">
        <f>VLOOKUP(A1693,Metrik!$C$2:$Y$959,3,0)</f>
        <v>Consumer Non-Cyclicals</v>
      </c>
    </row>
    <row r="1694">
      <c r="A1694" s="14" t="s">
        <v>930</v>
      </c>
      <c r="B1694" s="14" t="str">
        <f t="array" ref="B1694">VLOOKUP(A1694,{Metrik!$C$2:$C$998,Metrik!$B$2:$B$998},2,0)</f>
        <v>Terregra Asia Energy Tbk.</v>
      </c>
      <c r="C1694" s="15">
        <f>IFERROR(__xludf.DUMMYFUNCTION("GOOGLEFINANCE(""IDX:""&amp;A1694,""price"")"),27.0)</f>
        <v>27</v>
      </c>
      <c r="D1694" s="16" t="str">
        <f>IFERROR(__xludf.DUMMYFUNCTION("IF(A1694="""","""",
SPARKLINE(
INDEX(
GOOGLEFINANCE(""IDX:""&amp;A1694,""close"",TODAY()-365,TODAY()),
,2
),
{""linewidth"",1}
))
"),"#N/A")</f>
        <v>#N/A</v>
      </c>
      <c r="E1694" s="26"/>
      <c r="F1694" s="26"/>
      <c r="G1694" s="24">
        <f t="shared" si="10"/>
        <v>0</v>
      </c>
      <c r="H1694" s="19">
        <f>VLOOKUP(A1694,Metrik!$C$2:$Y$959,8,0)</f>
        <v>-2.8</v>
      </c>
      <c r="I1694" s="20">
        <f>VLOOKUP(A1694,Metrik!$C$2:$Y$959,9,0)</f>
        <v>0.25</v>
      </c>
      <c r="J1694" s="20">
        <f>VLOOKUP(A1694,Metrik!$C$2:$Y$959,10,0)</f>
        <v>-8.8</v>
      </c>
      <c r="K1694" s="20">
        <f>VLOOKUP(A1694,Metrik!$C$2:$Y$959,11,0)</f>
        <v>-5.8</v>
      </c>
      <c r="L1694" s="20">
        <f>VLOOKUP(A1694,Metrik!$C$2:$Y$959,12,0)</f>
        <v>0.52</v>
      </c>
      <c r="M1694" s="20">
        <f>VLOOKUP(A1694,Metrik!$C$2:$Y$959,19,0)</f>
        <v>0</v>
      </c>
      <c r="N1694" s="21"/>
      <c r="O1694" s="21"/>
      <c r="P1694" s="21"/>
      <c r="Q1694" s="21"/>
      <c r="R1694" s="21"/>
      <c r="S1694" s="21"/>
      <c r="T1694" s="21"/>
      <c r="U1694" s="22">
        <f>IFERROR(__xludf.DUMMYFUNCTION("IFERROR(GOOGLEFINANCE(A1694,""closeyest""),"""")"),27.0)</f>
        <v>27</v>
      </c>
      <c r="V1694" s="23">
        <f>IFERROR(__xludf.DUMMYFUNCTION("IFERROR(GOOGLEFINANCE(A1694,""changepct""),"""")"),0.0)</f>
        <v>0</v>
      </c>
      <c r="W1694" s="22" t="str">
        <f>IFERROR(__xludf.DUMMYFUNCTION("IFERROR(GOOGLEFINANCE(A1694,""priceopen""),"""")"),"")</f>
        <v/>
      </c>
      <c r="X1694" s="22" t="str">
        <f>IFERROR(__xludf.DUMMYFUNCTION("IFERROR(GOOGLEFINANCE(A1694,""high""),"""")"),"")</f>
        <v/>
      </c>
      <c r="Y1694" s="22" t="str">
        <f>IFERROR(__xludf.DUMMYFUNCTION("IFERROR(GOOGLEFINANCE(A1694,""low""),"""")"),"")</f>
        <v/>
      </c>
      <c r="Z1694" s="22">
        <f>IFERROR(__xludf.DUMMYFUNCTION("IFERROR(GOOGLEFINANCE(A1694,""volume""),"""")"),0.0)</f>
        <v>0</v>
      </c>
      <c r="AA1694" s="24" t="str">
        <f>VLOOKUP(A1694,Metrik!$C$2:$Y$959,5,0)</f>
        <v>Electric Utilities</v>
      </c>
      <c r="AB1694" s="24" t="str">
        <f>VLOOKUP(A1694,Metrik!$C$2:$Y$959,3,0)</f>
        <v>Infrastructures</v>
      </c>
    </row>
    <row r="1695">
      <c r="A1695" s="14" t="s">
        <v>931</v>
      </c>
      <c r="B1695" s="14" t="str">
        <f t="array" ref="B1695">VLOOKUP(A1695,{Metrik!$C$2:$C$998,Metrik!$B$2:$B$998},2,0)</f>
        <v>PT Platinum Wahab Nusantara Tbk.</v>
      </c>
      <c r="C1695" s="15">
        <f>IFERROR(__xludf.DUMMYFUNCTION("GOOGLEFINANCE(""IDX:""&amp;A1695,""price"")"),137.0)</f>
        <v>137</v>
      </c>
      <c r="D1695" s="16" t="str">
        <f>IFERROR(__xludf.DUMMYFUNCTION("IF(A1695="""","""",
SPARKLINE(
INDEX(
GOOGLEFINANCE(""IDX:""&amp;A1695,""close"",TODAY()-365,TODAY()),
,2
),
{""linewidth"",1}
))
"),"#N/A")</f>
        <v>#N/A</v>
      </c>
      <c r="E1695" s="26"/>
      <c r="F1695" s="26"/>
      <c r="G1695" s="24">
        <f t="shared" si="10"/>
        <v>0</v>
      </c>
      <c r="H1695" s="19">
        <f>VLOOKUP(A1695,Metrik!$C$2:$Y$959,8,0)</f>
        <v>-32.4</v>
      </c>
      <c r="I1695" s="20">
        <f>VLOOKUP(A1695,Metrik!$C$2:$Y$959,9,0)</f>
        <v>6.4</v>
      </c>
      <c r="J1695" s="20">
        <f>VLOOKUP(A1695,Metrik!$C$2:$Y$959,10,0)</f>
        <v>-19.8</v>
      </c>
      <c r="K1695" s="20">
        <f>VLOOKUP(A1695,Metrik!$C$2:$Y$959,11,0)</f>
        <v>-5.4</v>
      </c>
      <c r="L1695" s="20">
        <f>VLOOKUP(A1695,Metrik!$C$2:$Y$959,12,0)</f>
        <v>2.7</v>
      </c>
      <c r="M1695" s="20">
        <f>VLOOKUP(A1695,Metrik!$C$2:$Y$959,19,0)</f>
        <v>-7.5</v>
      </c>
      <c r="N1695" s="21"/>
      <c r="O1695" s="21"/>
      <c r="P1695" s="21"/>
      <c r="Q1695" s="21"/>
      <c r="R1695" s="21"/>
      <c r="S1695" s="21"/>
      <c r="T1695" s="21"/>
      <c r="U1695" s="22">
        <f>IFERROR(__xludf.DUMMYFUNCTION("IFERROR(GOOGLEFINANCE(A1695,""closeyest""),"""")"),137.0)</f>
        <v>137</v>
      </c>
      <c r="V1695" s="23">
        <f>IFERROR(__xludf.DUMMYFUNCTION("IFERROR(GOOGLEFINANCE(A1695,""changepct""),"""")"),0.0)</f>
        <v>0</v>
      </c>
      <c r="W1695" s="22" t="str">
        <f>IFERROR(__xludf.DUMMYFUNCTION("IFERROR(GOOGLEFINANCE(A1695,""priceopen""),"""")"),"")</f>
        <v/>
      </c>
      <c r="X1695" s="22" t="str">
        <f>IFERROR(__xludf.DUMMYFUNCTION("IFERROR(GOOGLEFINANCE(A1695,""high""),"""")"),"")</f>
        <v/>
      </c>
      <c r="Y1695" s="22" t="str">
        <f>IFERROR(__xludf.DUMMYFUNCTION("IFERROR(GOOGLEFINANCE(A1695,""low""),"""")"),"")</f>
        <v/>
      </c>
      <c r="Z1695" s="22">
        <f>IFERROR(__xludf.DUMMYFUNCTION("IFERROR(GOOGLEFINANCE(A1695,""volume""),"""")"),0.0)</f>
        <v>0</v>
      </c>
      <c r="AA1695" s="24" t="str">
        <f>VLOOKUP(A1695,Metrik!$C$2:$Y$959,5,0)</f>
        <v>Processed Foods</v>
      </c>
      <c r="AB1695" s="24" t="str">
        <f>VLOOKUP(A1695,Metrik!$C$2:$Y$959,3,0)</f>
        <v>Consumer Non-Cyclicals</v>
      </c>
    </row>
    <row r="1696">
      <c r="A1696" s="14" t="s">
        <v>932</v>
      </c>
      <c r="B1696" s="14" t="str">
        <f t="array" ref="B1696">VLOOKUP(A1696,{Metrik!$C$2:$C$998,Metrik!$B$2:$B$998},2,0)</f>
        <v>KDB Tifa Finance Tbk.</v>
      </c>
      <c r="C1696" s="15">
        <f>IFERROR(__xludf.DUMMYFUNCTION("GOOGLEFINANCE(""IDX:""&amp;A1696,""price"")"),274.0)</f>
        <v>274</v>
      </c>
      <c r="D1696" s="16" t="str">
        <f>IFERROR(__xludf.DUMMYFUNCTION("IF(A1696="""","""",
SPARKLINE(
INDEX(
GOOGLEFINANCE(""IDX:""&amp;A1696,""close"",TODAY()-365,TODAY()),
,2
),
{""linewidth"",1}
))
"),"#N/A")</f>
        <v>#N/A</v>
      </c>
      <c r="E1696" s="26"/>
      <c r="F1696" s="26"/>
      <c r="G1696" s="24">
        <f t="shared" si="10"/>
        <v>0</v>
      </c>
      <c r="H1696" s="19">
        <f>VLOOKUP(A1696,Metrik!$C$2:$Y$959,8,0)</f>
        <v>18.4</v>
      </c>
      <c r="I1696" s="20">
        <f>VLOOKUP(A1696,Metrik!$C$2:$Y$959,9,0)</f>
        <v>0.93</v>
      </c>
      <c r="J1696" s="20">
        <f>VLOOKUP(A1696,Metrik!$C$2:$Y$959,10,0)</f>
        <v>5.1</v>
      </c>
      <c r="K1696" s="20">
        <f>VLOOKUP(A1696,Metrik!$C$2:$Y$959,11,0)</f>
        <v>3.4</v>
      </c>
      <c r="L1696" s="20">
        <f>VLOOKUP(A1696,Metrik!$C$2:$Y$959,12,0)</f>
        <v>0.48</v>
      </c>
      <c r="M1696" s="20">
        <f>VLOOKUP(A1696,Metrik!$C$2:$Y$959,19,0)</f>
        <v>150</v>
      </c>
      <c r="N1696" s="21"/>
      <c r="O1696" s="21"/>
      <c r="P1696" s="21"/>
      <c r="Q1696" s="21"/>
      <c r="R1696" s="21"/>
      <c r="S1696" s="21"/>
      <c r="T1696" s="21"/>
      <c r="U1696" s="22">
        <f>IFERROR(__xludf.DUMMYFUNCTION("IFERROR(GOOGLEFINANCE(A1696,""closeyest""),"""")"),278.0)</f>
        <v>278</v>
      </c>
      <c r="V1696" s="23">
        <f>IFERROR(__xludf.DUMMYFUNCTION("IFERROR(GOOGLEFINANCE(A1696,""changepct""),"""")"),-1.44)</f>
        <v>-1.44</v>
      </c>
      <c r="W1696" s="22">
        <f>IFERROR(__xludf.DUMMYFUNCTION("IFERROR(GOOGLEFINANCE(A1696,""priceopen""),"""")"),278.0)</f>
        <v>278</v>
      </c>
      <c r="X1696" s="22">
        <f>IFERROR(__xludf.DUMMYFUNCTION("IFERROR(GOOGLEFINANCE(A1696,""high""),"""")"),280.0)</f>
        <v>280</v>
      </c>
      <c r="Y1696" s="22">
        <f>IFERROR(__xludf.DUMMYFUNCTION("IFERROR(GOOGLEFINANCE(A1696,""low""),"""")"),256.0)</f>
        <v>256</v>
      </c>
      <c r="Z1696" s="22">
        <f>IFERROR(__xludf.DUMMYFUNCTION("IFERROR(GOOGLEFINANCE(A1696,""volume""),"""")"),524300.0)</f>
        <v>524300</v>
      </c>
      <c r="AA1696" s="24" t="str">
        <f>VLOOKUP(A1696,Metrik!$C$2:$Y$959,5,0)</f>
        <v>Consumer Financing</v>
      </c>
      <c r="AB1696" s="24" t="str">
        <f>VLOOKUP(A1696,Metrik!$C$2:$Y$959,3,0)</f>
        <v>Financials</v>
      </c>
    </row>
    <row r="1697">
      <c r="A1697" s="17" t="s">
        <v>933</v>
      </c>
      <c r="B1697" s="14" t="str">
        <f t="array" ref="B1697">VLOOKUP(A1697,{Metrik!$C$2:$C$998,Metrik!$B$2:$B$998},2,0)</f>
        <v>Timah Tbk.</v>
      </c>
      <c r="C1697" s="15">
        <f>IFERROR(__xludf.DUMMYFUNCTION("GOOGLEFINANCE(""IDX:""&amp;A1697,""price"")"),3300.0)</f>
        <v>3300</v>
      </c>
      <c r="D1697" s="16" t="str">
        <f>IFERROR(__xludf.DUMMYFUNCTION("IF(A1697="""","""",
SPARKLINE(
INDEX(
GOOGLEFINANCE(""IDX:""&amp;A1697,""close"",TODAY()-365,TODAY()),
,2
),
{""linewidth"",1}
))
"),"#N/A")</f>
        <v>#N/A</v>
      </c>
      <c r="E1697" s="14" t="s">
        <v>106</v>
      </c>
      <c r="F1697" s="25">
        <v>46356.0</v>
      </c>
      <c r="G1697" s="24">
        <f t="shared" si="10"/>
        <v>5</v>
      </c>
      <c r="H1697" s="19">
        <f>VLOOKUP(A1697,Metrik!$C$2:$Y$959,8,0)</f>
        <v>8.9</v>
      </c>
      <c r="I1697" s="20">
        <f>VLOOKUP(A1697,Metrik!$C$2:$Y$959,9,0)</f>
        <v>2.4</v>
      </c>
      <c r="J1697" s="20">
        <f>VLOOKUP(A1697,Metrik!$C$2:$Y$959,10,0)</f>
        <v>27.1</v>
      </c>
      <c r="K1697" s="20">
        <f>VLOOKUP(A1697,Metrik!$C$2:$Y$959,11,0)</f>
        <v>17.7</v>
      </c>
      <c r="L1697" s="20">
        <f>VLOOKUP(A1697,Metrik!$C$2:$Y$959,12,0)</f>
        <v>0.53</v>
      </c>
      <c r="M1697" s="20">
        <f>VLOOKUP(A1697,Metrik!$C$2:$Y$959,19,0)</f>
        <v>49.4</v>
      </c>
      <c r="N1697" s="21"/>
      <c r="O1697" s="21"/>
      <c r="P1697" s="21"/>
      <c r="Q1697" s="21"/>
      <c r="R1697" s="21"/>
      <c r="S1697" s="21"/>
      <c r="T1697" s="21"/>
      <c r="U1697" s="22">
        <f>IFERROR(__xludf.DUMMYFUNCTION("IFERROR(GOOGLEFINANCE(A1697,""closeyest""),"""")"),26.65)</f>
        <v>26.65</v>
      </c>
      <c r="V1697" s="23">
        <f>IFERROR(__xludf.DUMMYFUNCTION("IFERROR(GOOGLEFINANCE(A1697,""changepct""),"""")"),10.23)</f>
        <v>10.23</v>
      </c>
      <c r="W1697" s="22" t="str">
        <f>IFERROR(__xludf.DUMMYFUNCTION("IFERROR(GOOGLEFINANCE(A1697,""priceopen""),"""")"),"")</f>
        <v/>
      </c>
      <c r="X1697" s="22">
        <f>IFERROR(__xludf.DUMMYFUNCTION("IFERROR(GOOGLEFINANCE(A1697,""high""),"""")"),29.38)</f>
        <v>29.38</v>
      </c>
      <c r="Y1697" s="22">
        <f>IFERROR(__xludf.DUMMYFUNCTION("IFERROR(GOOGLEFINANCE(A1697,""low""),"""")"),29.38)</f>
        <v>29.38</v>
      </c>
      <c r="Z1697" s="22">
        <f>IFERROR(__xludf.DUMMYFUNCTION("IFERROR(GOOGLEFINANCE(A1697,""volume""),"""")"),0.0)</f>
        <v>0</v>
      </c>
      <c r="AA1697" s="24" t="str">
        <f>VLOOKUP(A1697,Metrik!$C$2:$Y$959,5,0)</f>
        <v>Metals &amp; Minerals</v>
      </c>
      <c r="AB1697" s="24" t="str">
        <f>VLOOKUP(A1697,Metrik!$C$2:$Y$959,3,0)</f>
        <v>Basic Materials</v>
      </c>
    </row>
    <row r="1698">
      <c r="A1698" s="17" t="s">
        <v>933</v>
      </c>
      <c r="B1698" s="14" t="str">
        <f t="array" ref="B1698">VLOOKUP(A1698,{Metrik!$C$2:$C$998,Metrik!$B$2:$B$998},2,0)</f>
        <v>Timah Tbk.</v>
      </c>
      <c r="C1698" s="15">
        <f>IFERROR(__xludf.DUMMYFUNCTION("GOOGLEFINANCE(""IDX:""&amp;A1698,""price"")"),3300.0)</f>
        <v>3300</v>
      </c>
      <c r="D1698" s="16" t="str">
        <f>IFERROR(__xludf.DUMMYFUNCTION("IF(A1698="""","""",
SPARKLINE(
INDEX(
GOOGLEFINANCE(""IDX:""&amp;A1698,""close"",TODAY()-365,TODAY()),
,2
),
{""linewidth"",1}
))
"),"#N/A")</f>
        <v>#N/A</v>
      </c>
      <c r="E1698" s="14" t="s">
        <v>65</v>
      </c>
      <c r="F1698" s="37">
        <v>46356.0</v>
      </c>
      <c r="G1698" s="38">
        <f t="shared" si="10"/>
        <v>5</v>
      </c>
      <c r="H1698" s="34">
        <f>VLOOKUP(A1698,Metrik!$C$2:$Y$959,8,0)</f>
        <v>8.9</v>
      </c>
      <c r="I1698" s="34">
        <f>VLOOKUP(A1698,Metrik!$C$2:$Y$959,9,0)</f>
        <v>2.4</v>
      </c>
      <c r="J1698" s="34">
        <f>VLOOKUP(A1698,Metrik!$C$2:$Y$959,10,0)</f>
        <v>27.1</v>
      </c>
      <c r="K1698" s="34">
        <f>VLOOKUP(A1698,Metrik!$C$2:$Y$959,11,0)</f>
        <v>17.7</v>
      </c>
      <c r="L1698" s="34">
        <f>VLOOKUP(A1698,Metrik!$C$2:$Y$959,12,0)</f>
        <v>0.53</v>
      </c>
      <c r="M1698" s="34">
        <f>VLOOKUP(A1698,Metrik!$C$2:$Y$959,19,0)</f>
        <v>49.4</v>
      </c>
      <c r="N1698" s="26"/>
      <c r="O1698" s="26"/>
      <c r="P1698" s="26"/>
      <c r="Q1698" s="26"/>
      <c r="R1698" s="26"/>
      <c r="S1698" s="26"/>
      <c r="T1698" s="26"/>
      <c r="U1698" s="35">
        <f>IFERROR(__xludf.DUMMYFUNCTION("IFERROR(GOOGLEFINANCE(A1698,""closeyest""),"""")"),26.65)</f>
        <v>26.65</v>
      </c>
      <c r="V1698" s="36">
        <f>IFERROR(__xludf.DUMMYFUNCTION("IFERROR(GOOGLEFINANCE(A1698,""changepct""),"""")"),10.23)</f>
        <v>10.23</v>
      </c>
      <c r="W1698" s="35" t="str">
        <f>IFERROR(__xludf.DUMMYFUNCTION("IFERROR(GOOGLEFINANCE(A1698,""priceopen""),"""")"),"")</f>
        <v/>
      </c>
      <c r="X1698" s="35">
        <f>IFERROR(__xludf.DUMMYFUNCTION("IFERROR(GOOGLEFINANCE(A1698,""high""),"""")"),29.38)</f>
        <v>29.38</v>
      </c>
      <c r="Y1698" s="35">
        <f>IFERROR(__xludf.DUMMYFUNCTION("IFERROR(GOOGLEFINANCE(A1698,""low""),"""")"),29.38)</f>
        <v>29.38</v>
      </c>
      <c r="Z1698" s="35">
        <f>IFERROR(__xludf.DUMMYFUNCTION("IFERROR(GOOGLEFINANCE(A1698,""volume""),"""")"),0.0)</f>
        <v>0</v>
      </c>
      <c r="AA1698" s="14" t="str">
        <f>VLOOKUP(A1698,Metrik!$C$2:$Y$959,5,0)</f>
        <v>Metals &amp; Minerals</v>
      </c>
      <c r="AB1698" s="14" t="str">
        <f>VLOOKUP(A1698,Metrik!$C$2:$Y$959,3,0)</f>
        <v>Basic Materials</v>
      </c>
    </row>
    <row r="1699">
      <c r="A1699" s="17" t="s">
        <v>933</v>
      </c>
      <c r="B1699" s="14" t="str">
        <f t="array" ref="B1699">VLOOKUP(A1699,{Metrik!$C$2:$C$998,Metrik!$B$2:$B$998},2,0)</f>
        <v>Timah Tbk.</v>
      </c>
      <c r="C1699" s="15">
        <f>IFERROR(__xludf.DUMMYFUNCTION("GOOGLEFINANCE(""IDX:""&amp;A1699,""price"")"),3300.0)</f>
        <v>3300</v>
      </c>
      <c r="D1699" s="16" t="str">
        <f>IFERROR(__xludf.DUMMYFUNCTION("IF(A1699="""","""",
SPARKLINE(
INDEX(
GOOGLEFINANCE(""IDX:""&amp;A1699,""close"",TODAY()-365,TODAY()),
,2
),
{""linewidth"",1}
))
"),"#N/A")</f>
        <v>#N/A</v>
      </c>
      <c r="E1699" s="14" t="s">
        <v>39</v>
      </c>
      <c r="F1699" s="25">
        <v>46356.0</v>
      </c>
      <c r="G1699" s="18">
        <f t="shared" si="10"/>
        <v>5</v>
      </c>
      <c r="H1699" s="19">
        <f>VLOOKUP(A1699,Metrik!$C$2:$Y$959,8,0)</f>
        <v>8.9</v>
      </c>
      <c r="I1699" s="20">
        <f>VLOOKUP(A1699,Metrik!$C$2:$Y$959,9,0)</f>
        <v>2.4</v>
      </c>
      <c r="J1699" s="20">
        <f>VLOOKUP(A1699,Metrik!$C$2:$Y$959,10,0)</f>
        <v>27.1</v>
      </c>
      <c r="K1699" s="20">
        <f>VLOOKUP(A1699,Metrik!$C$2:$Y$959,11,0)</f>
        <v>17.7</v>
      </c>
      <c r="L1699" s="20">
        <f>VLOOKUP(A1699,Metrik!$C$2:$Y$959,12,0)</f>
        <v>0.53</v>
      </c>
      <c r="M1699" s="20">
        <f>VLOOKUP(A1699,Metrik!$C$2:$Y$959,19,0)</f>
        <v>49.4</v>
      </c>
      <c r="N1699" s="21"/>
      <c r="O1699" s="21"/>
      <c r="P1699" s="21"/>
      <c r="Q1699" s="21"/>
      <c r="R1699" s="21"/>
      <c r="S1699" s="21"/>
      <c r="T1699" s="21"/>
      <c r="U1699" s="22">
        <f>IFERROR(__xludf.DUMMYFUNCTION("IFERROR(GOOGLEFINANCE(A1699,""closeyest""),"""")"),26.65)</f>
        <v>26.65</v>
      </c>
      <c r="V1699" s="23">
        <f>IFERROR(__xludf.DUMMYFUNCTION("IFERROR(GOOGLEFINANCE(A1699,""changepct""),"""")"),10.23)</f>
        <v>10.23</v>
      </c>
      <c r="W1699" s="22" t="str">
        <f>IFERROR(__xludf.DUMMYFUNCTION("IFERROR(GOOGLEFINANCE(A1699,""priceopen""),"""")"),"")</f>
        <v/>
      </c>
      <c r="X1699" s="22">
        <f>IFERROR(__xludf.DUMMYFUNCTION("IFERROR(GOOGLEFINANCE(A1699,""high""),"""")"),29.38)</f>
        <v>29.38</v>
      </c>
      <c r="Y1699" s="22">
        <f>IFERROR(__xludf.DUMMYFUNCTION("IFERROR(GOOGLEFINANCE(A1699,""low""),"""")"),29.38)</f>
        <v>29.38</v>
      </c>
      <c r="Z1699" s="22">
        <f>IFERROR(__xludf.DUMMYFUNCTION("IFERROR(GOOGLEFINANCE(A1699,""volume""),"""")"),0.0)</f>
        <v>0</v>
      </c>
      <c r="AA1699" s="24" t="str">
        <f>VLOOKUP(A1699,Metrik!$C$2:$Y$959,5,0)</f>
        <v>Metals &amp; Minerals</v>
      </c>
      <c r="AB1699" s="24" t="str">
        <f>VLOOKUP(A1699,Metrik!$C$2:$Y$959,3,0)</f>
        <v>Basic Materials</v>
      </c>
    </row>
    <row r="1700">
      <c r="A1700" s="14" t="s">
        <v>933</v>
      </c>
      <c r="B1700" s="14" t="str">
        <f t="array" ref="B1700">VLOOKUP(A1700,{Metrik!$C$2:$C$998,Metrik!$B$2:$B$998},2,0)</f>
        <v>Timah Tbk.</v>
      </c>
      <c r="C1700" s="15">
        <f>IFERROR(__xludf.DUMMYFUNCTION("GOOGLEFINANCE(""IDX:""&amp;A1700,""price"")"),3300.0)</f>
        <v>3300</v>
      </c>
      <c r="D1700" s="16" t="str">
        <f>IFERROR(__xludf.DUMMYFUNCTION("IF(A1700="""","""",
SPARKLINE(
INDEX(
GOOGLEFINANCE(""IDX:""&amp;A1700,""close"",TODAY()-365,TODAY()),
,2
),
{""linewidth"",1}
))
"),"#N/A")</f>
        <v>#N/A</v>
      </c>
      <c r="E1700" s="14" t="s">
        <v>32</v>
      </c>
      <c r="F1700" s="14" t="s">
        <v>29</v>
      </c>
      <c r="G1700" s="24">
        <f t="shared" si="10"/>
        <v>5</v>
      </c>
      <c r="H1700" s="19">
        <f>VLOOKUP(A1700,Metrik!$C$2:$Y$959,8,0)</f>
        <v>8.9</v>
      </c>
      <c r="I1700" s="20">
        <f>VLOOKUP(A1700,Metrik!$C$2:$Y$959,9,0)</f>
        <v>2.4</v>
      </c>
      <c r="J1700" s="20">
        <f>VLOOKUP(A1700,Metrik!$C$2:$Y$959,10,0)</f>
        <v>27.1</v>
      </c>
      <c r="K1700" s="20">
        <f>VLOOKUP(A1700,Metrik!$C$2:$Y$959,11,0)</f>
        <v>17.7</v>
      </c>
      <c r="L1700" s="20">
        <f>VLOOKUP(A1700,Metrik!$C$2:$Y$959,12,0)</f>
        <v>0.53</v>
      </c>
      <c r="M1700" s="20">
        <f>VLOOKUP(A1700,Metrik!$C$2:$Y$959,19,0)</f>
        <v>49.4</v>
      </c>
      <c r="N1700" s="21"/>
      <c r="O1700" s="21"/>
      <c r="P1700" s="21"/>
      <c r="Q1700" s="21"/>
      <c r="R1700" s="21"/>
      <c r="S1700" s="21"/>
      <c r="T1700" s="21"/>
      <c r="U1700" s="22">
        <f>IFERROR(__xludf.DUMMYFUNCTION("IFERROR(GOOGLEFINANCE(A1700,""closeyest""),"""")"),26.65)</f>
        <v>26.65</v>
      </c>
      <c r="V1700" s="23">
        <f>IFERROR(__xludf.DUMMYFUNCTION("IFERROR(GOOGLEFINANCE(A1700,""changepct""),"""")"),10.23)</f>
        <v>10.23</v>
      </c>
      <c r="W1700" s="22" t="str">
        <f>IFERROR(__xludf.DUMMYFUNCTION("IFERROR(GOOGLEFINANCE(A1700,""priceopen""),"""")"),"")</f>
        <v/>
      </c>
      <c r="X1700" s="22">
        <f>IFERROR(__xludf.DUMMYFUNCTION("IFERROR(GOOGLEFINANCE(A1700,""high""),"""")"),29.38)</f>
        <v>29.38</v>
      </c>
      <c r="Y1700" s="22">
        <f>IFERROR(__xludf.DUMMYFUNCTION("IFERROR(GOOGLEFINANCE(A1700,""low""),"""")"),29.38)</f>
        <v>29.38</v>
      </c>
      <c r="Z1700" s="22">
        <f>IFERROR(__xludf.DUMMYFUNCTION("IFERROR(GOOGLEFINANCE(A1700,""volume""),"""")"),0.0)</f>
        <v>0</v>
      </c>
      <c r="AA1700" s="24" t="str">
        <f>VLOOKUP(A1700,Metrik!$C$2:$Y$959,5,0)</f>
        <v>Metals &amp; Minerals</v>
      </c>
      <c r="AB1700" s="24" t="str">
        <f>VLOOKUP(A1700,Metrik!$C$2:$Y$959,3,0)</f>
        <v>Basic Materials</v>
      </c>
    </row>
    <row r="1701">
      <c r="A1701" s="14" t="s">
        <v>933</v>
      </c>
      <c r="B1701" s="14" t="str">
        <f t="array" ref="B1701">VLOOKUP(A1701,{Metrik!$C$2:$C$998,Metrik!$B$2:$B$998},2,0)</f>
        <v>Timah Tbk.</v>
      </c>
      <c r="C1701" s="15">
        <f>IFERROR(__xludf.DUMMYFUNCTION("GOOGLEFINANCE(""IDX:""&amp;A1701,""price"")"),3300.0)</f>
        <v>3300</v>
      </c>
      <c r="D1701" s="16" t="str">
        <f>IFERROR(__xludf.DUMMYFUNCTION("IF(A1701="""","""",
SPARKLINE(
INDEX(
GOOGLEFINANCE(""IDX:""&amp;A1701,""close"",TODAY()-365,TODAY()),
,2
),
{""linewidth"",1}
))
"),"#N/A")</f>
        <v>#N/A</v>
      </c>
      <c r="E1701" s="14" t="s">
        <v>41</v>
      </c>
      <c r="F1701" s="14" t="s">
        <v>34</v>
      </c>
      <c r="G1701" s="24">
        <f t="shared" si="10"/>
        <v>5</v>
      </c>
      <c r="H1701" s="19">
        <f>VLOOKUP(A1701,Metrik!$C$2:$Y$959,8,0)</f>
        <v>8.9</v>
      </c>
      <c r="I1701" s="20">
        <f>VLOOKUP(A1701,Metrik!$C$2:$Y$959,9,0)</f>
        <v>2.4</v>
      </c>
      <c r="J1701" s="20">
        <f>VLOOKUP(A1701,Metrik!$C$2:$Y$959,10,0)</f>
        <v>27.1</v>
      </c>
      <c r="K1701" s="20">
        <f>VLOOKUP(A1701,Metrik!$C$2:$Y$959,11,0)</f>
        <v>17.7</v>
      </c>
      <c r="L1701" s="20">
        <f>VLOOKUP(A1701,Metrik!$C$2:$Y$959,12,0)</f>
        <v>0.53</v>
      </c>
      <c r="M1701" s="20">
        <f>VLOOKUP(A1701,Metrik!$C$2:$Y$959,19,0)</f>
        <v>49.4</v>
      </c>
      <c r="N1701" s="21"/>
      <c r="O1701" s="21"/>
      <c r="P1701" s="21"/>
      <c r="Q1701" s="21"/>
      <c r="R1701" s="21"/>
      <c r="S1701" s="21"/>
      <c r="T1701" s="21"/>
      <c r="U1701" s="22">
        <f>IFERROR(__xludf.DUMMYFUNCTION("IFERROR(GOOGLEFINANCE(A1701,""closeyest""),"""")"),26.65)</f>
        <v>26.65</v>
      </c>
      <c r="V1701" s="23">
        <f>IFERROR(__xludf.DUMMYFUNCTION("IFERROR(GOOGLEFINANCE(A1701,""changepct""),"""")"),10.23)</f>
        <v>10.23</v>
      </c>
      <c r="W1701" s="22" t="str">
        <f>IFERROR(__xludf.DUMMYFUNCTION("IFERROR(GOOGLEFINANCE(A1701,""priceopen""),"""")"),"")</f>
        <v/>
      </c>
      <c r="X1701" s="22">
        <f>IFERROR(__xludf.DUMMYFUNCTION("IFERROR(GOOGLEFINANCE(A1701,""high""),"""")"),29.38)</f>
        <v>29.38</v>
      </c>
      <c r="Y1701" s="22">
        <f>IFERROR(__xludf.DUMMYFUNCTION("IFERROR(GOOGLEFINANCE(A1701,""low""),"""")"),29.38)</f>
        <v>29.38</v>
      </c>
      <c r="Z1701" s="22">
        <f>IFERROR(__xludf.DUMMYFUNCTION("IFERROR(GOOGLEFINANCE(A1701,""volume""),"""")"),0.0)</f>
        <v>0</v>
      </c>
      <c r="AA1701" s="24" t="str">
        <f>VLOOKUP(A1701,Metrik!$C$2:$Y$959,5,0)</f>
        <v>Metals &amp; Minerals</v>
      </c>
      <c r="AB1701" s="24" t="str">
        <f>VLOOKUP(A1701,Metrik!$C$2:$Y$959,3,0)</f>
        <v>Basic Materials</v>
      </c>
    </row>
    <row r="1702">
      <c r="A1702" s="14" t="s">
        <v>934</v>
      </c>
      <c r="B1702" s="14" t="str">
        <f t="array" ref="B1702">VLOOKUP(A1702,{Metrik!$C$2:$C$998,Metrik!$B$2:$B$998},2,0)</f>
        <v>Tira Austenite Tbk</v>
      </c>
      <c r="C1702" s="15">
        <f>IFERROR(__xludf.DUMMYFUNCTION("GOOGLEFINANCE(""IDX:""&amp;A1702,""price"")"),665.0)</f>
        <v>665</v>
      </c>
      <c r="D1702" s="16" t="str">
        <f>IFERROR(__xludf.DUMMYFUNCTION("IF(A1702="""","""",
SPARKLINE(
INDEX(
GOOGLEFINANCE(""IDX:""&amp;A1702,""close"",TODAY()-365,TODAY()),
,2
),
{""linewidth"",1}
))
"),"#N/A")</f>
        <v>#N/A</v>
      </c>
      <c r="E1702" s="26"/>
      <c r="F1702" s="26"/>
      <c r="G1702" s="24">
        <f t="shared" si="10"/>
        <v>0</v>
      </c>
      <c r="H1702" s="19">
        <f>VLOOKUP(A1702,Metrik!$C$2:$Y$959,8,0)</f>
        <v>42.7</v>
      </c>
      <c r="I1702" s="20">
        <f>VLOOKUP(A1702,Metrik!$C$2:$Y$959,9,0)</f>
        <v>2</v>
      </c>
      <c r="J1702" s="20">
        <f>VLOOKUP(A1702,Metrik!$C$2:$Y$959,10,0)</f>
        <v>4.8</v>
      </c>
      <c r="K1702" s="20">
        <f>VLOOKUP(A1702,Metrik!$C$2:$Y$959,11,0)</f>
        <v>2</v>
      </c>
      <c r="L1702" s="20">
        <f>VLOOKUP(A1702,Metrik!$C$2:$Y$959,12,0)</f>
        <v>1.4</v>
      </c>
      <c r="M1702" s="20">
        <f>VLOOKUP(A1702,Metrik!$C$2:$Y$959,19,0)</f>
        <v>12.3</v>
      </c>
      <c r="N1702" s="21"/>
      <c r="O1702" s="21"/>
      <c r="P1702" s="21"/>
      <c r="Q1702" s="21"/>
      <c r="R1702" s="21"/>
      <c r="S1702" s="21"/>
      <c r="T1702" s="21"/>
      <c r="U1702" s="22">
        <f>IFERROR(__xludf.DUMMYFUNCTION("IFERROR(GOOGLEFINANCE(A1702,""closeyest""),"""")"),640.0)</f>
        <v>640</v>
      </c>
      <c r="V1702" s="23">
        <f>IFERROR(__xludf.DUMMYFUNCTION("IFERROR(GOOGLEFINANCE(A1702,""changepct""),"""")"),3.91)</f>
        <v>3.91</v>
      </c>
      <c r="W1702" s="22">
        <f>IFERROR(__xludf.DUMMYFUNCTION("IFERROR(GOOGLEFINANCE(A1702,""priceopen""),"""")"),645.0)</f>
        <v>645</v>
      </c>
      <c r="X1702" s="22">
        <f>IFERROR(__xludf.DUMMYFUNCTION("IFERROR(GOOGLEFINANCE(A1702,""high""),"""")"),680.0)</f>
        <v>680</v>
      </c>
      <c r="Y1702" s="22">
        <f>IFERROR(__xludf.DUMMYFUNCTION("IFERROR(GOOGLEFINANCE(A1702,""low""),"""")"),620.0)</f>
        <v>620</v>
      </c>
      <c r="Z1702" s="22">
        <f>IFERROR(__xludf.DUMMYFUNCTION("IFERROR(GOOGLEFINANCE(A1702,""volume""),"""")"),819400.0)</f>
        <v>819400</v>
      </c>
      <c r="AA1702" s="24" t="str">
        <f>VLOOKUP(A1702,Metrik!$C$2:$Y$959,5,0)</f>
        <v>Diversified Industrial Trading</v>
      </c>
      <c r="AB1702" s="24" t="str">
        <f>VLOOKUP(A1702,Metrik!$C$2:$Y$959,3,0)</f>
        <v>Industrials</v>
      </c>
    </row>
    <row r="1703">
      <c r="A1703" s="14" t="s">
        <v>935</v>
      </c>
      <c r="B1703" s="14" t="str">
        <f t="array" ref="B1703">VLOOKUP(A1703,{Metrik!$C$2:$C$998,Metrik!$B$2:$B$998},2,0)</f>
        <v>Tirta Mahakam Resources Tbk</v>
      </c>
      <c r="C1703" s="15">
        <f>IFERROR(__xludf.DUMMYFUNCTION("GOOGLEFINANCE(""IDX:""&amp;A1703,""price"")"),525.0)</f>
        <v>525</v>
      </c>
      <c r="D1703" s="16" t="str">
        <f>IFERROR(__xludf.DUMMYFUNCTION("IF(A1703="""","""",
SPARKLINE(
INDEX(
GOOGLEFINANCE(""IDX:""&amp;A1703,""close"",TODAY()-365,TODAY()),
,2
),
{""linewidth"",1}
))
"),"#N/A")</f>
        <v>#N/A</v>
      </c>
      <c r="E1703" s="26"/>
      <c r="F1703" s="26"/>
      <c r="G1703" s="24">
        <f t="shared" si="10"/>
        <v>0</v>
      </c>
      <c r="H1703" s="19">
        <f>VLOOKUP(A1703,Metrik!$C$2:$Y$959,8,0)</f>
        <v>-16.9</v>
      </c>
      <c r="I1703" s="20">
        <f>VLOOKUP(A1703,Metrik!$C$2:$Y$959,9,0)</f>
        <v>-0.77</v>
      </c>
      <c r="J1703" s="20">
        <f>VLOOKUP(A1703,Metrik!$C$2:$Y$959,10,0)</f>
        <v>0</v>
      </c>
      <c r="K1703" s="20">
        <f>VLOOKUP(A1703,Metrik!$C$2:$Y$959,11,0)</f>
        <v>-7.3</v>
      </c>
      <c r="L1703" s="20">
        <f>VLOOKUP(A1703,Metrik!$C$2:$Y$959,12,0)</f>
        <v>-1.6</v>
      </c>
      <c r="M1703" s="20">
        <f>VLOOKUP(A1703,Metrik!$C$2:$Y$959,19,0)</f>
        <v>-100</v>
      </c>
      <c r="N1703" s="21"/>
      <c r="O1703" s="21"/>
      <c r="P1703" s="21"/>
      <c r="Q1703" s="21"/>
      <c r="R1703" s="21"/>
      <c r="S1703" s="21"/>
      <c r="T1703" s="21"/>
      <c r="U1703" s="22">
        <f>IFERROR(__xludf.DUMMYFUNCTION("IFERROR(GOOGLEFINANCE(A1703,""closeyest""),"""")"),478.0)</f>
        <v>478</v>
      </c>
      <c r="V1703" s="23">
        <f>IFERROR(__xludf.DUMMYFUNCTION("IFERROR(GOOGLEFINANCE(A1703,""changepct""),"""")"),9.83)</f>
        <v>9.83</v>
      </c>
      <c r="W1703" s="22">
        <f>IFERROR(__xludf.DUMMYFUNCTION("IFERROR(GOOGLEFINANCE(A1703,""priceopen""),"""")"),484.0)</f>
        <v>484</v>
      </c>
      <c r="X1703" s="22">
        <f>IFERROR(__xludf.DUMMYFUNCTION("IFERROR(GOOGLEFINANCE(A1703,""high""),"""")"),525.0)</f>
        <v>525</v>
      </c>
      <c r="Y1703" s="22">
        <f>IFERROR(__xludf.DUMMYFUNCTION("IFERROR(GOOGLEFINANCE(A1703,""low""),"""")"),484.0)</f>
        <v>484</v>
      </c>
      <c r="Z1703" s="22">
        <f>IFERROR(__xludf.DUMMYFUNCTION("IFERROR(GOOGLEFINANCE(A1703,""volume""),"""")"),784400.0)</f>
        <v>784400</v>
      </c>
      <c r="AA1703" s="24" t="str">
        <f>VLOOKUP(A1703,Metrik!$C$2:$Y$959,5,0)</f>
        <v>Forestry &amp; Paper</v>
      </c>
      <c r="AB1703" s="24" t="str">
        <f>VLOOKUP(A1703,Metrik!$C$2:$Y$959,3,0)</f>
        <v>Basic Materials</v>
      </c>
    </row>
    <row r="1704">
      <c r="A1704" s="17" t="s">
        <v>936</v>
      </c>
      <c r="B1704" s="14" t="str">
        <f t="array" ref="B1704">VLOOKUP(A1704,{Metrik!$C$2:$C$998,Metrik!$B$2:$B$998},2,0)</f>
        <v>Pabrik Kertas Tjiwi Kimia Tbk.</v>
      </c>
      <c r="C1704" s="15">
        <f>IFERROR(__xludf.DUMMYFUNCTION("GOOGLEFINANCE(""IDX:""&amp;A1704,""price"")"),5650.0)</f>
        <v>5650</v>
      </c>
      <c r="D1704" s="16" t="str">
        <f>IFERROR(__xludf.DUMMYFUNCTION("IF(A1704="""","""",
SPARKLINE(
INDEX(
GOOGLEFINANCE(""IDX:""&amp;A1704,""close"",TODAY()-365,TODAY()),
,2
),
{""linewidth"",1}
))
"),"#N/A")</f>
        <v>#N/A</v>
      </c>
      <c r="E1704" s="14" t="s">
        <v>47</v>
      </c>
      <c r="F1704" s="25">
        <v>46356.0</v>
      </c>
      <c r="G1704" s="18">
        <f t="shared" si="10"/>
        <v>4</v>
      </c>
      <c r="H1704" s="19">
        <f>VLOOKUP(A1704,Metrik!$C$2:$Y$959,8,0)</f>
        <v>4</v>
      </c>
      <c r="I1704" s="20">
        <f>VLOOKUP(A1704,Metrik!$C$2:$Y$959,9,0)</f>
        <v>0.34</v>
      </c>
      <c r="J1704" s="20">
        <f>VLOOKUP(A1704,Metrik!$C$2:$Y$959,10,0)</f>
        <v>8.5</v>
      </c>
      <c r="K1704" s="20">
        <f>VLOOKUP(A1704,Metrik!$C$2:$Y$959,11,0)</f>
        <v>6.4</v>
      </c>
      <c r="L1704" s="20">
        <f>VLOOKUP(A1704,Metrik!$C$2:$Y$959,12,0)</f>
        <v>0.33</v>
      </c>
      <c r="M1704" s="20">
        <f>VLOOKUP(A1704,Metrik!$C$2:$Y$959,19,0)</f>
        <v>98.6</v>
      </c>
      <c r="N1704" s="21"/>
      <c r="O1704" s="21"/>
      <c r="P1704" s="21"/>
      <c r="Q1704" s="21"/>
      <c r="R1704" s="21"/>
      <c r="S1704" s="21"/>
      <c r="T1704" s="21"/>
      <c r="U1704" s="22">
        <f>IFERROR(__xludf.DUMMYFUNCTION("IFERROR(GOOGLEFINANCE(A1704,""closeyest""),"""")"),5600.0)</f>
        <v>5600</v>
      </c>
      <c r="V1704" s="23">
        <f>IFERROR(__xludf.DUMMYFUNCTION("IFERROR(GOOGLEFINANCE(A1704,""changepct""),"""")"),0.89)</f>
        <v>0.89</v>
      </c>
      <c r="W1704" s="22">
        <f>IFERROR(__xludf.DUMMYFUNCTION("IFERROR(GOOGLEFINANCE(A1704,""priceopen""),"""")"),5650.0)</f>
        <v>5650</v>
      </c>
      <c r="X1704" s="22">
        <f>IFERROR(__xludf.DUMMYFUNCTION("IFERROR(GOOGLEFINANCE(A1704,""high""),"""")"),5775.0)</f>
        <v>5775</v>
      </c>
      <c r="Y1704" s="22">
        <f>IFERROR(__xludf.DUMMYFUNCTION("IFERROR(GOOGLEFINANCE(A1704,""low""),"""")"),5600.0)</f>
        <v>5600</v>
      </c>
      <c r="Z1704" s="22">
        <f>IFERROR(__xludf.DUMMYFUNCTION("IFERROR(GOOGLEFINANCE(A1704,""volume""),"""")"),2269800.0)</f>
        <v>2269800</v>
      </c>
      <c r="AA1704" s="24" t="str">
        <f>VLOOKUP(A1704,Metrik!$C$2:$Y$959,5,0)</f>
        <v>Forestry &amp; Paper</v>
      </c>
      <c r="AB1704" s="24" t="str">
        <f>VLOOKUP(A1704,Metrik!$C$2:$Y$959,3,0)</f>
        <v>Basic Materials</v>
      </c>
    </row>
    <row r="1705">
      <c r="A1705" s="14" t="s">
        <v>936</v>
      </c>
      <c r="B1705" s="14" t="str">
        <f t="array" ref="B1705">VLOOKUP(A1705,{Metrik!$C$2:$C$998,Metrik!$B$2:$B$998},2,0)</f>
        <v>Pabrik Kertas Tjiwi Kimia Tbk.</v>
      </c>
      <c r="C1705" s="15">
        <f>IFERROR(__xludf.DUMMYFUNCTION("GOOGLEFINANCE(""IDX:""&amp;A1705,""price"")"),5650.0)</f>
        <v>5650</v>
      </c>
      <c r="D1705" s="16" t="str">
        <f>IFERROR(__xludf.DUMMYFUNCTION("IF(A1705="""","""",
SPARKLINE(
INDEX(
GOOGLEFINANCE(""IDX:""&amp;A1705,""close"",TODAY()-365,TODAY()),
,2
),
{""linewidth"",1}
))
"),"#N/A")</f>
        <v>#N/A</v>
      </c>
      <c r="E1705" s="14" t="s">
        <v>65</v>
      </c>
      <c r="F1705" s="25">
        <v>46356.0</v>
      </c>
      <c r="G1705" s="18">
        <f t="shared" si="10"/>
        <v>4</v>
      </c>
      <c r="H1705" s="19">
        <f>VLOOKUP(A1705,Metrik!$C$2:$Y$959,8,0)</f>
        <v>4</v>
      </c>
      <c r="I1705" s="20">
        <f>VLOOKUP(A1705,Metrik!$C$2:$Y$959,9,0)</f>
        <v>0.34</v>
      </c>
      <c r="J1705" s="20">
        <f>VLOOKUP(A1705,Metrik!$C$2:$Y$959,10,0)</f>
        <v>8.5</v>
      </c>
      <c r="K1705" s="20">
        <f>VLOOKUP(A1705,Metrik!$C$2:$Y$959,11,0)</f>
        <v>6.4</v>
      </c>
      <c r="L1705" s="20">
        <f>VLOOKUP(A1705,Metrik!$C$2:$Y$959,12,0)</f>
        <v>0.33</v>
      </c>
      <c r="M1705" s="20">
        <f>VLOOKUP(A1705,Metrik!$C$2:$Y$959,19,0)</f>
        <v>98.6</v>
      </c>
      <c r="N1705" s="21"/>
      <c r="O1705" s="21"/>
      <c r="P1705" s="21"/>
      <c r="Q1705" s="21"/>
      <c r="R1705" s="21"/>
      <c r="S1705" s="21"/>
      <c r="T1705" s="21"/>
      <c r="U1705" s="22">
        <f>IFERROR(__xludf.DUMMYFUNCTION("IFERROR(GOOGLEFINANCE(A1705,""closeyest""),"""")"),5600.0)</f>
        <v>5600</v>
      </c>
      <c r="V1705" s="23">
        <f>IFERROR(__xludf.DUMMYFUNCTION("IFERROR(GOOGLEFINANCE(A1705,""changepct""),"""")"),0.89)</f>
        <v>0.89</v>
      </c>
      <c r="W1705" s="22">
        <f>IFERROR(__xludf.DUMMYFUNCTION("IFERROR(GOOGLEFINANCE(A1705,""priceopen""),"""")"),5650.0)</f>
        <v>5650</v>
      </c>
      <c r="X1705" s="22">
        <f>IFERROR(__xludf.DUMMYFUNCTION("IFERROR(GOOGLEFINANCE(A1705,""high""),"""")"),5775.0)</f>
        <v>5775</v>
      </c>
      <c r="Y1705" s="22">
        <f>IFERROR(__xludf.DUMMYFUNCTION("IFERROR(GOOGLEFINANCE(A1705,""low""),"""")"),5600.0)</f>
        <v>5600</v>
      </c>
      <c r="Z1705" s="22">
        <f>IFERROR(__xludf.DUMMYFUNCTION("IFERROR(GOOGLEFINANCE(A1705,""volume""),"""")"),2269800.0)</f>
        <v>2269800</v>
      </c>
      <c r="AA1705" s="24" t="str">
        <f>VLOOKUP(A1705,Metrik!$C$2:$Y$959,5,0)</f>
        <v>Forestry &amp; Paper</v>
      </c>
      <c r="AB1705" s="24" t="str">
        <f>VLOOKUP(A1705,Metrik!$C$2:$Y$959,3,0)</f>
        <v>Basic Materials</v>
      </c>
    </row>
    <row r="1706">
      <c r="A1706" s="17" t="s">
        <v>936</v>
      </c>
      <c r="B1706" s="14" t="str">
        <f t="array" ref="B1706">VLOOKUP(A1706,{Metrik!$C$2:$C$998,Metrik!$B$2:$B$998},2,0)</f>
        <v>Pabrik Kertas Tjiwi Kimia Tbk.</v>
      </c>
      <c r="C1706" s="15">
        <f>IFERROR(__xludf.DUMMYFUNCTION("GOOGLEFINANCE(""IDX:""&amp;A1706,""price"")"),5650.0)</f>
        <v>5650</v>
      </c>
      <c r="D1706" s="16" t="str">
        <f>IFERROR(__xludf.DUMMYFUNCTION("IF(A1706="""","""",
SPARKLINE(
INDEX(
GOOGLEFINANCE(""IDX:""&amp;A1706,""close"",TODAY()-365,TODAY()),
,2
),
{""linewidth"",1}
))
"),"#N/A")</f>
        <v>#N/A</v>
      </c>
      <c r="E1706" s="14" t="s">
        <v>55</v>
      </c>
      <c r="F1706" s="25">
        <v>46356.0</v>
      </c>
      <c r="G1706" s="18">
        <f t="shared" si="10"/>
        <v>4</v>
      </c>
      <c r="H1706" s="19">
        <f>VLOOKUP(A1706,Metrik!$C$2:$Y$959,8,0)</f>
        <v>4</v>
      </c>
      <c r="I1706" s="20">
        <f>VLOOKUP(A1706,Metrik!$C$2:$Y$959,9,0)</f>
        <v>0.34</v>
      </c>
      <c r="J1706" s="20">
        <f>VLOOKUP(A1706,Metrik!$C$2:$Y$959,10,0)</f>
        <v>8.5</v>
      </c>
      <c r="K1706" s="20">
        <f>VLOOKUP(A1706,Metrik!$C$2:$Y$959,11,0)</f>
        <v>6.4</v>
      </c>
      <c r="L1706" s="20">
        <f>VLOOKUP(A1706,Metrik!$C$2:$Y$959,12,0)</f>
        <v>0.33</v>
      </c>
      <c r="M1706" s="20">
        <f>VLOOKUP(A1706,Metrik!$C$2:$Y$959,19,0)</f>
        <v>98.6</v>
      </c>
      <c r="N1706" s="21"/>
      <c r="O1706" s="21"/>
      <c r="P1706" s="21"/>
      <c r="Q1706" s="21"/>
      <c r="R1706" s="21"/>
      <c r="S1706" s="21"/>
      <c r="T1706" s="21"/>
      <c r="U1706" s="22">
        <f>IFERROR(__xludf.DUMMYFUNCTION("IFERROR(GOOGLEFINANCE(A1706,""closeyest""),"""")"),5600.0)</f>
        <v>5600</v>
      </c>
      <c r="V1706" s="23">
        <f>IFERROR(__xludf.DUMMYFUNCTION("IFERROR(GOOGLEFINANCE(A1706,""changepct""),"""")"),0.89)</f>
        <v>0.89</v>
      </c>
      <c r="W1706" s="22">
        <f>IFERROR(__xludf.DUMMYFUNCTION("IFERROR(GOOGLEFINANCE(A1706,""priceopen""),"""")"),5650.0)</f>
        <v>5650</v>
      </c>
      <c r="X1706" s="22">
        <f>IFERROR(__xludf.DUMMYFUNCTION("IFERROR(GOOGLEFINANCE(A1706,""high""),"""")"),5775.0)</f>
        <v>5775</v>
      </c>
      <c r="Y1706" s="22">
        <f>IFERROR(__xludf.DUMMYFUNCTION("IFERROR(GOOGLEFINANCE(A1706,""low""),"""")"),5600.0)</f>
        <v>5600</v>
      </c>
      <c r="Z1706" s="22">
        <f>IFERROR(__xludf.DUMMYFUNCTION("IFERROR(GOOGLEFINANCE(A1706,""volume""),"""")"),2269800.0)</f>
        <v>2269800</v>
      </c>
      <c r="AA1706" s="24" t="str">
        <f>VLOOKUP(A1706,Metrik!$C$2:$Y$959,5,0)</f>
        <v>Forestry &amp; Paper</v>
      </c>
      <c r="AB1706" s="24" t="str">
        <f>VLOOKUP(A1706,Metrik!$C$2:$Y$959,3,0)</f>
        <v>Basic Materials</v>
      </c>
    </row>
    <row r="1707">
      <c r="A1707" s="14" t="s">
        <v>936</v>
      </c>
      <c r="B1707" s="14" t="str">
        <f t="array" ref="B1707">VLOOKUP(A1707,{Metrik!$C$2:$C$998,Metrik!$B$2:$B$998},2,0)</f>
        <v>Pabrik Kertas Tjiwi Kimia Tbk.</v>
      </c>
      <c r="C1707" s="15">
        <f>IFERROR(__xludf.DUMMYFUNCTION("GOOGLEFINANCE(""IDX:""&amp;A1707,""price"")"),5650.0)</f>
        <v>5650</v>
      </c>
      <c r="D1707" s="16" t="str">
        <f>IFERROR(__xludf.DUMMYFUNCTION("IF(A1707="""","""",
SPARKLINE(
INDEX(
GOOGLEFINANCE(""IDX:""&amp;A1707,""close"",TODAY()-365,TODAY()),
,2
),
{""linewidth"",1}
))
"),"#N/A")</f>
        <v>#N/A</v>
      </c>
      <c r="E1707" s="14" t="s">
        <v>39</v>
      </c>
      <c r="F1707" s="25">
        <v>46356.0</v>
      </c>
      <c r="G1707" s="18">
        <f t="shared" si="10"/>
        <v>4</v>
      </c>
      <c r="H1707" s="19">
        <f>VLOOKUP(A1707,Metrik!$C$2:$Y$959,8,0)</f>
        <v>4</v>
      </c>
      <c r="I1707" s="20">
        <f>VLOOKUP(A1707,Metrik!$C$2:$Y$959,9,0)</f>
        <v>0.34</v>
      </c>
      <c r="J1707" s="20">
        <f>VLOOKUP(A1707,Metrik!$C$2:$Y$959,10,0)</f>
        <v>8.5</v>
      </c>
      <c r="K1707" s="20">
        <f>VLOOKUP(A1707,Metrik!$C$2:$Y$959,11,0)</f>
        <v>6.4</v>
      </c>
      <c r="L1707" s="20">
        <f>VLOOKUP(A1707,Metrik!$C$2:$Y$959,12,0)</f>
        <v>0.33</v>
      </c>
      <c r="M1707" s="20">
        <f>VLOOKUP(A1707,Metrik!$C$2:$Y$959,19,0)</f>
        <v>98.6</v>
      </c>
      <c r="N1707" s="21"/>
      <c r="O1707" s="21"/>
      <c r="P1707" s="21"/>
      <c r="Q1707" s="21"/>
      <c r="R1707" s="21"/>
      <c r="S1707" s="21"/>
      <c r="T1707" s="21"/>
      <c r="U1707" s="22">
        <f>IFERROR(__xludf.DUMMYFUNCTION("IFERROR(GOOGLEFINANCE(A1707,""closeyest""),"""")"),5600.0)</f>
        <v>5600</v>
      </c>
      <c r="V1707" s="23">
        <f>IFERROR(__xludf.DUMMYFUNCTION("IFERROR(GOOGLEFINANCE(A1707,""changepct""),"""")"),0.89)</f>
        <v>0.89</v>
      </c>
      <c r="W1707" s="22">
        <f>IFERROR(__xludf.DUMMYFUNCTION("IFERROR(GOOGLEFINANCE(A1707,""priceopen""),"""")"),5650.0)</f>
        <v>5650</v>
      </c>
      <c r="X1707" s="22">
        <f>IFERROR(__xludf.DUMMYFUNCTION("IFERROR(GOOGLEFINANCE(A1707,""high""),"""")"),5775.0)</f>
        <v>5775</v>
      </c>
      <c r="Y1707" s="22">
        <f>IFERROR(__xludf.DUMMYFUNCTION("IFERROR(GOOGLEFINANCE(A1707,""low""),"""")"),5600.0)</f>
        <v>5600</v>
      </c>
      <c r="Z1707" s="22">
        <f>IFERROR(__xludf.DUMMYFUNCTION("IFERROR(GOOGLEFINANCE(A1707,""volume""),"""")"),2269800.0)</f>
        <v>2269800</v>
      </c>
      <c r="AA1707" s="24" t="str">
        <f>VLOOKUP(A1707,Metrik!$C$2:$Y$959,5,0)</f>
        <v>Forestry &amp; Paper</v>
      </c>
      <c r="AB1707" s="24" t="str">
        <f>VLOOKUP(A1707,Metrik!$C$2:$Y$959,3,0)</f>
        <v>Basic Materials</v>
      </c>
    </row>
    <row r="1708">
      <c r="A1708" s="14" t="s">
        <v>937</v>
      </c>
      <c r="B1708" s="14" t="str">
        <f t="array" ref="B1708">VLOOKUP(A1708,{Metrik!$C$2:$C$998,Metrik!$B$2:$B$998},2,0)</f>
        <v>Teladan Prima Agro Tbk.</v>
      </c>
      <c r="C1708" s="15">
        <f>IFERROR(__xludf.DUMMYFUNCTION("GOOGLEFINANCE(""IDX:""&amp;A1708,""price"")"),496.0)</f>
        <v>496</v>
      </c>
      <c r="D1708" s="16" t="str">
        <f>IFERROR(__xludf.DUMMYFUNCTION("IF(A1708="""","""",
SPARKLINE(
INDEX(
GOOGLEFINANCE(""IDX:""&amp;A1708,""close"",TODAY()-365,TODAY()),
,2
),
{""linewidth"",1}
))
"),"#N/A")</f>
        <v>#N/A</v>
      </c>
      <c r="E1708" s="26"/>
      <c r="F1708" s="26"/>
      <c r="G1708" s="18">
        <f t="shared" si="10"/>
        <v>0</v>
      </c>
      <c r="H1708" s="19">
        <f>VLOOKUP(A1708,Metrik!$C$2:$Y$959,8,0)</f>
        <v>6.5</v>
      </c>
      <c r="I1708" s="20">
        <f>VLOOKUP(A1708,Metrik!$C$2:$Y$959,9,0)</f>
        <v>1.8</v>
      </c>
      <c r="J1708" s="20">
        <f>VLOOKUP(A1708,Metrik!$C$2:$Y$959,10,0)</f>
        <v>28</v>
      </c>
      <c r="K1708" s="20">
        <f>VLOOKUP(A1708,Metrik!$C$2:$Y$959,11,0)</f>
        <v>17</v>
      </c>
      <c r="L1708" s="20">
        <f>VLOOKUP(A1708,Metrik!$C$2:$Y$959,12,0)</f>
        <v>0.64</v>
      </c>
      <c r="M1708" s="20">
        <f>VLOOKUP(A1708,Metrik!$C$2:$Y$959,19,0)</f>
        <v>78.2</v>
      </c>
      <c r="N1708" s="21"/>
      <c r="O1708" s="21"/>
      <c r="P1708" s="21"/>
      <c r="Q1708" s="21"/>
      <c r="R1708" s="21"/>
      <c r="S1708" s="21"/>
      <c r="T1708" s="21"/>
      <c r="U1708" s="22">
        <f>IFERROR(__xludf.DUMMYFUNCTION("IFERROR(GOOGLEFINANCE(A1708,""closeyest""),"""")"),0.0)</f>
        <v>0</v>
      </c>
      <c r="V1708" s="23">
        <f>IFERROR(__xludf.DUMMYFUNCTION("IFERROR(GOOGLEFINANCE(A1708,""changepct""),"""")"),0.0)</f>
        <v>0</v>
      </c>
      <c r="W1708" s="22" t="str">
        <f>IFERROR(__xludf.DUMMYFUNCTION("IFERROR(GOOGLEFINANCE(A1708,""priceopen""),"""")"),"")</f>
        <v/>
      </c>
      <c r="X1708" s="22" t="str">
        <f>IFERROR(__xludf.DUMMYFUNCTION("IFERROR(GOOGLEFINANCE(A1708,""high""),"""")"),"")</f>
        <v/>
      </c>
      <c r="Y1708" s="22" t="str">
        <f>IFERROR(__xludf.DUMMYFUNCTION("IFERROR(GOOGLEFINANCE(A1708,""low""),"""")"),"")</f>
        <v/>
      </c>
      <c r="Z1708" s="22">
        <f>IFERROR(__xludf.DUMMYFUNCTION("IFERROR(GOOGLEFINANCE(A1708,""volume""),"""")"),0.0)</f>
        <v>0</v>
      </c>
      <c r="AA1708" s="24" t="str">
        <f>VLOOKUP(A1708,Metrik!$C$2:$Y$959,5,0)</f>
        <v>Agricultural Products</v>
      </c>
      <c r="AB1708" s="24" t="str">
        <f>VLOOKUP(A1708,Metrik!$C$2:$Y$959,3,0)</f>
        <v>Consumer Non-Cyclicals</v>
      </c>
    </row>
    <row r="1709">
      <c r="A1709" s="14" t="s">
        <v>938</v>
      </c>
      <c r="B1709" s="14" t="str">
        <f t="array" ref="B1709">VLOOKUP(A1709,{Metrik!$C$2:$C$998,Metrik!$B$2:$B$998},2,0)</f>
        <v>Telkom Indonesia (Persero) Tbk.</v>
      </c>
      <c r="C1709" s="15">
        <f>IFERROR(__xludf.DUMMYFUNCTION("GOOGLEFINANCE(""IDX:""&amp;A1709,""price"")"),2860.0)</f>
        <v>2860</v>
      </c>
      <c r="D1709" s="16" t="str">
        <f>IFERROR(__xludf.DUMMYFUNCTION("IF(A1709="""","""",
SPARKLINE(
INDEX(
GOOGLEFINANCE(""IDX:""&amp;A1709,""close"",TODAY()-365,TODAY()),
,2
),
{""linewidth"",1}
))
"),"#N/A")</f>
        <v>#N/A</v>
      </c>
      <c r="E1709" s="14" t="s">
        <v>106</v>
      </c>
      <c r="F1709" s="25">
        <v>46356.0</v>
      </c>
      <c r="G1709" s="24">
        <f t="shared" si="10"/>
        <v>19</v>
      </c>
      <c r="H1709" s="19">
        <f>VLOOKUP(A1709,Metrik!$C$2:$Y$959,8,0)</f>
        <v>10.1</v>
      </c>
      <c r="I1709" s="20">
        <f>VLOOKUP(A1709,Metrik!$C$2:$Y$959,9,0)</f>
        <v>1.9</v>
      </c>
      <c r="J1709" s="20">
        <f>VLOOKUP(A1709,Metrik!$C$2:$Y$959,10,0)</f>
        <v>19.1</v>
      </c>
      <c r="K1709" s="20">
        <f>VLOOKUP(A1709,Metrik!$C$2:$Y$959,11,0)</f>
        <v>4.7</v>
      </c>
      <c r="L1709" s="20">
        <f>VLOOKUP(A1709,Metrik!$C$2:$Y$959,12,0)</f>
        <v>0.86</v>
      </c>
      <c r="M1709" s="20">
        <f>VLOOKUP(A1709,Metrik!$C$2:$Y$959,19,0)</f>
        <v>20.3</v>
      </c>
      <c r="N1709" s="21"/>
      <c r="O1709" s="21"/>
      <c r="P1709" s="21"/>
      <c r="Q1709" s="21"/>
      <c r="R1709" s="21"/>
      <c r="S1709" s="21"/>
      <c r="T1709" s="21"/>
      <c r="U1709" s="22">
        <f>IFERROR(__xludf.DUMMYFUNCTION("IFERROR(GOOGLEFINANCE(A1709,""closeyest""),"""")"),2870.0)</f>
        <v>2870</v>
      </c>
      <c r="V1709" s="23">
        <f>IFERROR(__xludf.DUMMYFUNCTION("IFERROR(GOOGLEFINANCE(A1709,""changepct""),"""")"),-0.35)</f>
        <v>-0.35</v>
      </c>
      <c r="W1709" s="22">
        <f>IFERROR(__xludf.DUMMYFUNCTION("IFERROR(GOOGLEFINANCE(A1709,""priceopen""),"""")"),2910.0)</f>
        <v>2910</v>
      </c>
      <c r="X1709" s="22">
        <f>IFERROR(__xludf.DUMMYFUNCTION("IFERROR(GOOGLEFINANCE(A1709,""high""),"""")"),2980.0)</f>
        <v>2980</v>
      </c>
      <c r="Y1709" s="22">
        <f>IFERROR(__xludf.DUMMYFUNCTION("IFERROR(GOOGLEFINANCE(A1709,""low""),"""")"),2860.0)</f>
        <v>2860</v>
      </c>
      <c r="Z1709" s="22">
        <f>IFERROR(__xludf.DUMMYFUNCTION("IFERROR(GOOGLEFINANCE(A1709,""volume""),"""")"),1.815319E8)</f>
        <v>181531900</v>
      </c>
      <c r="AA1709" s="24" t="str">
        <f>VLOOKUP(A1709,Metrik!$C$2:$Y$959,5,0)</f>
        <v>Telecommunication Service</v>
      </c>
      <c r="AB1709" s="24" t="str">
        <f>VLOOKUP(A1709,Metrik!$C$2:$Y$959,3,0)</f>
        <v>Infrastructures</v>
      </c>
    </row>
    <row r="1710">
      <c r="A1710" s="14" t="s">
        <v>938</v>
      </c>
      <c r="B1710" s="14" t="str">
        <f t="array" ref="B1710">VLOOKUP(A1710,{Metrik!$C$2:$C$998,Metrik!$B$2:$B$998},2,0)</f>
        <v>Telkom Indonesia (Persero) Tbk.</v>
      </c>
      <c r="C1710" s="15">
        <f>IFERROR(__xludf.DUMMYFUNCTION("GOOGLEFINANCE(""IDX:""&amp;A1710,""price"")"),2860.0)</f>
        <v>2860</v>
      </c>
      <c r="D1710" s="16" t="str">
        <f>IFERROR(__xludf.DUMMYFUNCTION("IF(A1710="""","""",
SPARKLINE(
INDEX(
GOOGLEFINANCE(""IDX:""&amp;A1710,""close"",TODAY()-365,TODAY()),
,2
),
{""linewidth"",1}
))
"),"#N/A")</f>
        <v>#N/A</v>
      </c>
      <c r="E1710" s="14" t="s">
        <v>42</v>
      </c>
      <c r="F1710" s="25">
        <v>46356.0</v>
      </c>
      <c r="G1710" s="24">
        <f t="shared" si="10"/>
        <v>19</v>
      </c>
      <c r="H1710" s="19">
        <f>VLOOKUP(A1710,Metrik!$C$2:$Y$959,8,0)</f>
        <v>10.1</v>
      </c>
      <c r="I1710" s="20">
        <f>VLOOKUP(A1710,Metrik!$C$2:$Y$959,9,0)</f>
        <v>1.9</v>
      </c>
      <c r="J1710" s="20">
        <f>VLOOKUP(A1710,Metrik!$C$2:$Y$959,10,0)</f>
        <v>19.1</v>
      </c>
      <c r="K1710" s="20">
        <f>VLOOKUP(A1710,Metrik!$C$2:$Y$959,11,0)</f>
        <v>4.7</v>
      </c>
      <c r="L1710" s="20">
        <f>VLOOKUP(A1710,Metrik!$C$2:$Y$959,12,0)</f>
        <v>0.86</v>
      </c>
      <c r="M1710" s="20">
        <f>VLOOKUP(A1710,Metrik!$C$2:$Y$959,19,0)</f>
        <v>20.3</v>
      </c>
      <c r="N1710" s="21"/>
      <c r="O1710" s="21"/>
      <c r="P1710" s="21"/>
      <c r="Q1710" s="21"/>
      <c r="R1710" s="21"/>
      <c r="S1710" s="21"/>
      <c r="T1710" s="21"/>
      <c r="U1710" s="22">
        <f>IFERROR(__xludf.DUMMYFUNCTION("IFERROR(GOOGLEFINANCE(A1710,""closeyest""),"""")"),2870.0)</f>
        <v>2870</v>
      </c>
      <c r="V1710" s="23">
        <f>IFERROR(__xludf.DUMMYFUNCTION("IFERROR(GOOGLEFINANCE(A1710,""changepct""),"""")"),-0.35)</f>
        <v>-0.35</v>
      </c>
      <c r="W1710" s="22">
        <f>IFERROR(__xludf.DUMMYFUNCTION("IFERROR(GOOGLEFINANCE(A1710,""priceopen""),"""")"),2910.0)</f>
        <v>2910</v>
      </c>
      <c r="X1710" s="22">
        <f>IFERROR(__xludf.DUMMYFUNCTION("IFERROR(GOOGLEFINANCE(A1710,""high""),"""")"),2980.0)</f>
        <v>2980</v>
      </c>
      <c r="Y1710" s="22">
        <f>IFERROR(__xludf.DUMMYFUNCTION("IFERROR(GOOGLEFINANCE(A1710,""low""),"""")"),2860.0)</f>
        <v>2860</v>
      </c>
      <c r="Z1710" s="22">
        <f>IFERROR(__xludf.DUMMYFUNCTION("IFERROR(GOOGLEFINANCE(A1710,""volume""),"""")"),1.815319E8)</f>
        <v>181531900</v>
      </c>
      <c r="AA1710" s="24" t="str">
        <f>VLOOKUP(A1710,Metrik!$C$2:$Y$959,5,0)</f>
        <v>Telecommunication Service</v>
      </c>
      <c r="AB1710" s="24" t="str">
        <f>VLOOKUP(A1710,Metrik!$C$2:$Y$959,3,0)</f>
        <v>Infrastructures</v>
      </c>
    </row>
    <row r="1711">
      <c r="A1711" s="14" t="s">
        <v>938</v>
      </c>
      <c r="B1711" s="14" t="str">
        <f t="array" ref="B1711">VLOOKUP(A1711,{Metrik!$C$2:$C$998,Metrik!$B$2:$B$998},2,0)</f>
        <v>Telkom Indonesia (Persero) Tbk.</v>
      </c>
      <c r="C1711" s="15">
        <f>IFERROR(__xludf.DUMMYFUNCTION("GOOGLEFINANCE(""IDX:""&amp;A1711,""price"")"),2860.0)</f>
        <v>2860</v>
      </c>
      <c r="D1711" s="16" t="str">
        <f>IFERROR(__xludf.DUMMYFUNCTION("IF(A1711="""","""",
SPARKLINE(
INDEX(
GOOGLEFINANCE(""IDX:""&amp;A1711,""close"",TODAY()-365,TODAY()),
,2
),
{""linewidth"",1}
))
"),"#N/A")</f>
        <v>#N/A</v>
      </c>
      <c r="E1711" s="14" t="s">
        <v>38</v>
      </c>
      <c r="F1711" s="25">
        <v>46356.0</v>
      </c>
      <c r="G1711" s="24">
        <f t="shared" si="10"/>
        <v>19</v>
      </c>
      <c r="H1711" s="19">
        <f>VLOOKUP(A1711,Metrik!$C$2:$Y$959,8,0)</f>
        <v>10.1</v>
      </c>
      <c r="I1711" s="20">
        <f>VLOOKUP(A1711,Metrik!$C$2:$Y$959,9,0)</f>
        <v>1.9</v>
      </c>
      <c r="J1711" s="20">
        <f>VLOOKUP(A1711,Metrik!$C$2:$Y$959,10,0)</f>
        <v>19.1</v>
      </c>
      <c r="K1711" s="20">
        <f>VLOOKUP(A1711,Metrik!$C$2:$Y$959,11,0)</f>
        <v>4.7</v>
      </c>
      <c r="L1711" s="20">
        <f>VLOOKUP(A1711,Metrik!$C$2:$Y$959,12,0)</f>
        <v>0.86</v>
      </c>
      <c r="M1711" s="20">
        <f>VLOOKUP(A1711,Metrik!$C$2:$Y$959,19,0)</f>
        <v>20.3</v>
      </c>
      <c r="N1711" s="21"/>
      <c r="O1711" s="21"/>
      <c r="P1711" s="21"/>
      <c r="Q1711" s="21"/>
      <c r="R1711" s="21"/>
      <c r="S1711" s="21"/>
      <c r="T1711" s="21"/>
      <c r="U1711" s="22">
        <f>IFERROR(__xludf.DUMMYFUNCTION("IFERROR(GOOGLEFINANCE(A1711,""closeyest""),"""")"),2870.0)</f>
        <v>2870</v>
      </c>
      <c r="V1711" s="23">
        <f>IFERROR(__xludf.DUMMYFUNCTION("IFERROR(GOOGLEFINANCE(A1711,""changepct""),"""")"),-0.35)</f>
        <v>-0.35</v>
      </c>
      <c r="W1711" s="22">
        <f>IFERROR(__xludf.DUMMYFUNCTION("IFERROR(GOOGLEFINANCE(A1711,""priceopen""),"""")"),2910.0)</f>
        <v>2910</v>
      </c>
      <c r="X1711" s="22">
        <f>IFERROR(__xludf.DUMMYFUNCTION("IFERROR(GOOGLEFINANCE(A1711,""high""),"""")"),2980.0)</f>
        <v>2980</v>
      </c>
      <c r="Y1711" s="22">
        <f>IFERROR(__xludf.DUMMYFUNCTION("IFERROR(GOOGLEFINANCE(A1711,""low""),"""")"),2860.0)</f>
        <v>2860</v>
      </c>
      <c r="Z1711" s="22">
        <f>IFERROR(__xludf.DUMMYFUNCTION("IFERROR(GOOGLEFINANCE(A1711,""volume""),"""")"),1.815319E8)</f>
        <v>181531900</v>
      </c>
      <c r="AA1711" s="24" t="str">
        <f>VLOOKUP(A1711,Metrik!$C$2:$Y$959,5,0)</f>
        <v>Telecommunication Service</v>
      </c>
      <c r="AB1711" s="24" t="str">
        <f>VLOOKUP(A1711,Metrik!$C$2:$Y$959,3,0)</f>
        <v>Infrastructures</v>
      </c>
    </row>
    <row r="1712">
      <c r="A1712" s="17" t="s">
        <v>938</v>
      </c>
      <c r="B1712" s="14" t="str">
        <f t="array" ref="B1712">VLOOKUP(A1712,{Metrik!$C$2:$C$998,Metrik!$B$2:$B$998},2,0)</f>
        <v>Telkom Indonesia (Persero) Tbk.</v>
      </c>
      <c r="C1712" s="15">
        <f>IFERROR(__xludf.DUMMYFUNCTION("GOOGLEFINANCE(""IDX:""&amp;A1712,""price"")"),2860.0)</f>
        <v>2860</v>
      </c>
      <c r="D1712" s="16" t="str">
        <f>IFERROR(__xludf.DUMMYFUNCTION("IF(A1712="""","""",
SPARKLINE(
INDEX(
GOOGLEFINANCE(""IDX:""&amp;A1712,""close"",TODAY()-365,TODAY()),
,2
),
{""linewidth"",1}
))
"),"#N/A")</f>
        <v>#N/A</v>
      </c>
      <c r="E1712" s="17" t="s">
        <v>69</v>
      </c>
      <c r="F1712" s="27" t="s">
        <v>70</v>
      </c>
      <c r="G1712" s="38">
        <f t="shared" si="10"/>
        <v>19</v>
      </c>
      <c r="H1712" s="34">
        <f>VLOOKUP(A1712,Metrik!$C$2:$Y$959,8,0)</f>
        <v>10.1</v>
      </c>
      <c r="I1712" s="34">
        <f>VLOOKUP(A1712,Metrik!$C$2:$Y$959,9,0)</f>
        <v>1.9</v>
      </c>
      <c r="J1712" s="34">
        <f>VLOOKUP(A1712,Metrik!$C$2:$Y$959,10,0)</f>
        <v>19.1</v>
      </c>
      <c r="K1712" s="34">
        <f>VLOOKUP(A1712,Metrik!$C$2:$Y$959,11,0)</f>
        <v>4.7</v>
      </c>
      <c r="L1712" s="34">
        <f>VLOOKUP(A1712,Metrik!$C$2:$Y$959,12,0)</f>
        <v>0.86</v>
      </c>
      <c r="M1712" s="34">
        <f>VLOOKUP(A1712,Metrik!$C$2:$Y$959,19,0)</f>
        <v>20.3</v>
      </c>
      <c r="N1712" s="50"/>
      <c r="O1712" s="50"/>
      <c r="P1712" s="50"/>
      <c r="Q1712" s="50"/>
      <c r="R1712" s="50"/>
      <c r="S1712" s="50"/>
      <c r="T1712" s="50"/>
      <c r="U1712" s="35">
        <f>IFERROR(__xludf.DUMMYFUNCTION("IFERROR(GOOGLEFINANCE(A1712,""closeyest""),"""")"),2870.0)</f>
        <v>2870</v>
      </c>
      <c r="V1712" s="36">
        <f>IFERROR(__xludf.DUMMYFUNCTION("IFERROR(GOOGLEFINANCE(A1712,""changepct""),"""")"),-0.35)</f>
        <v>-0.35</v>
      </c>
      <c r="W1712" s="35">
        <f>IFERROR(__xludf.DUMMYFUNCTION("IFERROR(GOOGLEFINANCE(A1712,""priceopen""),"""")"),2910.0)</f>
        <v>2910</v>
      </c>
      <c r="X1712" s="35">
        <f>IFERROR(__xludf.DUMMYFUNCTION("IFERROR(GOOGLEFINANCE(A1712,""high""),"""")"),2980.0)</f>
        <v>2980</v>
      </c>
      <c r="Y1712" s="35">
        <f>IFERROR(__xludf.DUMMYFUNCTION("IFERROR(GOOGLEFINANCE(A1712,""low""),"""")"),2860.0)</f>
        <v>2860</v>
      </c>
      <c r="Z1712" s="35">
        <f>IFERROR(__xludf.DUMMYFUNCTION("IFERROR(GOOGLEFINANCE(A1712,""volume""),"""")"),1.815319E8)</f>
        <v>181531900</v>
      </c>
      <c r="AA1712" s="14" t="str">
        <f>VLOOKUP(A1712,Metrik!$C$2:$Y$959,5,0)</f>
        <v>Telecommunication Service</v>
      </c>
      <c r="AB1712" s="14" t="str">
        <f>VLOOKUP(A1712,Metrik!$C$2:$Y$959,3,0)</f>
        <v>Infrastructures</v>
      </c>
    </row>
    <row r="1713">
      <c r="A1713" s="17" t="s">
        <v>938</v>
      </c>
      <c r="B1713" s="14" t="str">
        <f t="array" ref="B1713">VLOOKUP(A1713,{Metrik!$C$2:$C$998,Metrik!$B$2:$B$998},2,0)</f>
        <v>Telkom Indonesia (Persero) Tbk.</v>
      </c>
      <c r="C1713" s="15">
        <f>IFERROR(__xludf.DUMMYFUNCTION("GOOGLEFINANCE(""IDX:""&amp;A1713,""price"")"),2860.0)</f>
        <v>2860</v>
      </c>
      <c r="D1713" s="16" t="str">
        <f>IFERROR(__xludf.DUMMYFUNCTION("IF(A1713="""","""",
SPARKLINE(
INDEX(
GOOGLEFINANCE(""IDX:""&amp;A1713,""close"",TODAY()-365,TODAY()),
,2
),
{""linewidth"",1}
))
"),"#N/A")</f>
        <v>#N/A</v>
      </c>
      <c r="E1713" s="14" t="s">
        <v>128</v>
      </c>
      <c r="F1713" s="17" t="s">
        <v>36</v>
      </c>
      <c r="G1713" s="24">
        <f t="shared" si="10"/>
        <v>19</v>
      </c>
      <c r="H1713" s="19">
        <f>VLOOKUP(A1713,Metrik!$C$2:$Y$959,8,0)</f>
        <v>10.1</v>
      </c>
      <c r="I1713" s="20">
        <f>VLOOKUP(A1713,Metrik!$C$2:$Y$959,9,0)</f>
        <v>1.9</v>
      </c>
      <c r="J1713" s="20">
        <f>VLOOKUP(A1713,Metrik!$C$2:$Y$959,10,0)</f>
        <v>19.1</v>
      </c>
      <c r="K1713" s="20">
        <f>VLOOKUP(A1713,Metrik!$C$2:$Y$959,11,0)</f>
        <v>4.7</v>
      </c>
      <c r="L1713" s="20">
        <f>VLOOKUP(A1713,Metrik!$C$2:$Y$959,12,0)</f>
        <v>0.86</v>
      </c>
      <c r="M1713" s="20">
        <f>VLOOKUP(A1713,Metrik!$C$2:$Y$959,19,0)</f>
        <v>20.3</v>
      </c>
      <c r="N1713" s="21"/>
      <c r="O1713" s="21"/>
      <c r="P1713" s="21"/>
      <c r="Q1713" s="21"/>
      <c r="R1713" s="21"/>
      <c r="S1713" s="21"/>
      <c r="T1713" s="21"/>
      <c r="U1713" s="22">
        <f>IFERROR(__xludf.DUMMYFUNCTION("IFERROR(GOOGLEFINANCE(A1713,""closeyest""),"""")"),2870.0)</f>
        <v>2870</v>
      </c>
      <c r="V1713" s="23">
        <f>IFERROR(__xludf.DUMMYFUNCTION("IFERROR(GOOGLEFINANCE(A1713,""changepct""),"""")"),-0.35)</f>
        <v>-0.35</v>
      </c>
      <c r="W1713" s="22">
        <f>IFERROR(__xludf.DUMMYFUNCTION("IFERROR(GOOGLEFINANCE(A1713,""priceopen""),"""")"),2910.0)</f>
        <v>2910</v>
      </c>
      <c r="X1713" s="22">
        <f>IFERROR(__xludf.DUMMYFUNCTION("IFERROR(GOOGLEFINANCE(A1713,""high""),"""")"),2980.0)</f>
        <v>2980</v>
      </c>
      <c r="Y1713" s="22">
        <f>IFERROR(__xludf.DUMMYFUNCTION("IFERROR(GOOGLEFINANCE(A1713,""low""),"""")"),2860.0)</f>
        <v>2860</v>
      </c>
      <c r="Z1713" s="22">
        <f>IFERROR(__xludf.DUMMYFUNCTION("IFERROR(GOOGLEFINANCE(A1713,""volume""),"""")"),1.815319E8)</f>
        <v>181531900</v>
      </c>
      <c r="AA1713" s="24" t="str">
        <f>VLOOKUP(A1713,Metrik!$C$2:$Y$959,5,0)</f>
        <v>Telecommunication Service</v>
      </c>
      <c r="AB1713" s="24" t="str">
        <f>VLOOKUP(A1713,Metrik!$C$2:$Y$959,3,0)</f>
        <v>Infrastructures</v>
      </c>
    </row>
    <row r="1714">
      <c r="A1714" s="14" t="s">
        <v>938</v>
      </c>
      <c r="B1714" s="14" t="str">
        <f t="array" ref="B1714">VLOOKUP(A1714,{Metrik!$C$2:$C$998,Metrik!$B$2:$B$998},2,0)</f>
        <v>Telkom Indonesia (Persero) Tbk.</v>
      </c>
      <c r="C1714" s="15">
        <f>IFERROR(__xludf.DUMMYFUNCTION("GOOGLEFINANCE(""IDX:""&amp;A1714,""price"")"),2860.0)</f>
        <v>2860</v>
      </c>
      <c r="D1714" s="16" t="str">
        <f>IFERROR(__xludf.DUMMYFUNCTION("IF(A1714="""","""",
SPARKLINE(
INDEX(
GOOGLEFINANCE(""IDX:""&amp;A1714,""close"",TODAY()-365,TODAY()),
,2
),
{""linewidth"",1}
))
"),"#N/A")</f>
        <v>#N/A</v>
      </c>
      <c r="E1714" s="14" t="s">
        <v>54</v>
      </c>
      <c r="F1714" s="14" t="s">
        <v>34</v>
      </c>
      <c r="G1714" s="24">
        <f t="shared" si="10"/>
        <v>19</v>
      </c>
      <c r="H1714" s="19">
        <f>VLOOKUP(A1714,Metrik!$C$2:$Y$959,8,0)</f>
        <v>10.1</v>
      </c>
      <c r="I1714" s="20">
        <f>VLOOKUP(A1714,Metrik!$C$2:$Y$959,9,0)</f>
        <v>1.9</v>
      </c>
      <c r="J1714" s="20">
        <f>VLOOKUP(A1714,Metrik!$C$2:$Y$959,10,0)</f>
        <v>19.1</v>
      </c>
      <c r="K1714" s="20">
        <f>VLOOKUP(A1714,Metrik!$C$2:$Y$959,11,0)</f>
        <v>4.7</v>
      </c>
      <c r="L1714" s="20">
        <f>VLOOKUP(A1714,Metrik!$C$2:$Y$959,12,0)</f>
        <v>0.86</v>
      </c>
      <c r="M1714" s="20">
        <f>VLOOKUP(A1714,Metrik!$C$2:$Y$959,19,0)</f>
        <v>20.3</v>
      </c>
      <c r="N1714" s="21"/>
      <c r="O1714" s="21"/>
      <c r="P1714" s="21"/>
      <c r="Q1714" s="21"/>
      <c r="R1714" s="21"/>
      <c r="S1714" s="21"/>
      <c r="T1714" s="21"/>
      <c r="U1714" s="22">
        <f>IFERROR(__xludf.DUMMYFUNCTION("IFERROR(GOOGLEFINANCE(A1714,""closeyest""),"""")"),2870.0)</f>
        <v>2870</v>
      </c>
      <c r="V1714" s="23">
        <f>IFERROR(__xludf.DUMMYFUNCTION("IFERROR(GOOGLEFINANCE(A1714,""changepct""),"""")"),-0.35)</f>
        <v>-0.35</v>
      </c>
      <c r="W1714" s="22">
        <f>IFERROR(__xludf.DUMMYFUNCTION("IFERROR(GOOGLEFINANCE(A1714,""priceopen""),"""")"),2910.0)</f>
        <v>2910</v>
      </c>
      <c r="X1714" s="22">
        <f>IFERROR(__xludf.DUMMYFUNCTION("IFERROR(GOOGLEFINANCE(A1714,""high""),"""")"),2980.0)</f>
        <v>2980</v>
      </c>
      <c r="Y1714" s="22">
        <f>IFERROR(__xludf.DUMMYFUNCTION("IFERROR(GOOGLEFINANCE(A1714,""low""),"""")"),2860.0)</f>
        <v>2860</v>
      </c>
      <c r="Z1714" s="22">
        <f>IFERROR(__xludf.DUMMYFUNCTION("IFERROR(GOOGLEFINANCE(A1714,""volume""),"""")"),1.815319E8)</f>
        <v>181531900</v>
      </c>
      <c r="AA1714" s="24" t="str">
        <f>VLOOKUP(A1714,Metrik!$C$2:$Y$959,5,0)</f>
        <v>Telecommunication Service</v>
      </c>
      <c r="AB1714" s="24" t="str">
        <f>VLOOKUP(A1714,Metrik!$C$2:$Y$959,3,0)</f>
        <v>Infrastructures</v>
      </c>
    </row>
    <row r="1715">
      <c r="A1715" s="14" t="s">
        <v>938</v>
      </c>
      <c r="B1715" s="14" t="str">
        <f t="array" ref="B1715">VLOOKUP(A1715,{Metrik!$C$2:$C$998,Metrik!$B$2:$B$998},2,0)</f>
        <v>Telkom Indonesia (Persero) Tbk.</v>
      </c>
      <c r="C1715" s="15">
        <f>IFERROR(__xludf.DUMMYFUNCTION("GOOGLEFINANCE(""IDX:""&amp;A1715,""price"")"),2860.0)</f>
        <v>2860</v>
      </c>
      <c r="D1715" s="16" t="str">
        <f>IFERROR(__xludf.DUMMYFUNCTION("IF(A1715="""","""",
SPARKLINE(
INDEX(
GOOGLEFINANCE(""IDX:""&amp;A1715,""close"",TODAY()-365,TODAY()),
,2
),
{""linewidth"",1}
))
"),"#N/A")</f>
        <v>#N/A</v>
      </c>
      <c r="E1715" s="14" t="s">
        <v>68</v>
      </c>
      <c r="F1715" s="14" t="s">
        <v>34</v>
      </c>
      <c r="G1715" s="24">
        <f t="shared" si="10"/>
        <v>19</v>
      </c>
      <c r="H1715" s="19">
        <f>VLOOKUP(A1715,Metrik!$C$2:$Y$959,8,0)</f>
        <v>10.1</v>
      </c>
      <c r="I1715" s="20">
        <f>VLOOKUP(A1715,Metrik!$C$2:$Y$959,9,0)</f>
        <v>1.9</v>
      </c>
      <c r="J1715" s="20">
        <f>VLOOKUP(A1715,Metrik!$C$2:$Y$959,10,0)</f>
        <v>19.1</v>
      </c>
      <c r="K1715" s="20">
        <f>VLOOKUP(A1715,Metrik!$C$2:$Y$959,11,0)</f>
        <v>4.7</v>
      </c>
      <c r="L1715" s="20">
        <f>VLOOKUP(A1715,Metrik!$C$2:$Y$959,12,0)</f>
        <v>0.86</v>
      </c>
      <c r="M1715" s="20">
        <f>VLOOKUP(A1715,Metrik!$C$2:$Y$959,19,0)</f>
        <v>20.3</v>
      </c>
      <c r="N1715" s="21"/>
      <c r="O1715" s="21"/>
      <c r="P1715" s="21"/>
      <c r="Q1715" s="21"/>
      <c r="R1715" s="21"/>
      <c r="S1715" s="21"/>
      <c r="T1715" s="21"/>
      <c r="U1715" s="22">
        <f>IFERROR(__xludf.DUMMYFUNCTION("IFERROR(GOOGLEFINANCE(A1715,""closeyest""),"""")"),2870.0)</f>
        <v>2870</v>
      </c>
      <c r="V1715" s="23">
        <f>IFERROR(__xludf.DUMMYFUNCTION("IFERROR(GOOGLEFINANCE(A1715,""changepct""),"""")"),-0.35)</f>
        <v>-0.35</v>
      </c>
      <c r="W1715" s="22">
        <f>IFERROR(__xludf.DUMMYFUNCTION("IFERROR(GOOGLEFINANCE(A1715,""priceopen""),"""")"),2910.0)</f>
        <v>2910</v>
      </c>
      <c r="X1715" s="22">
        <f>IFERROR(__xludf.DUMMYFUNCTION("IFERROR(GOOGLEFINANCE(A1715,""high""),"""")"),2980.0)</f>
        <v>2980</v>
      </c>
      <c r="Y1715" s="22">
        <f>IFERROR(__xludf.DUMMYFUNCTION("IFERROR(GOOGLEFINANCE(A1715,""low""),"""")"),2860.0)</f>
        <v>2860</v>
      </c>
      <c r="Z1715" s="22">
        <f>IFERROR(__xludf.DUMMYFUNCTION("IFERROR(GOOGLEFINANCE(A1715,""volume""),"""")"),1.815319E8)</f>
        <v>181531900</v>
      </c>
      <c r="AA1715" s="24" t="str">
        <f>VLOOKUP(A1715,Metrik!$C$2:$Y$959,5,0)</f>
        <v>Telecommunication Service</v>
      </c>
      <c r="AB1715" s="24" t="str">
        <f>VLOOKUP(A1715,Metrik!$C$2:$Y$959,3,0)</f>
        <v>Infrastructures</v>
      </c>
    </row>
    <row r="1716">
      <c r="A1716" s="14" t="s">
        <v>938</v>
      </c>
      <c r="B1716" s="14" t="str">
        <f t="array" ref="B1716">VLOOKUP(A1716,{Metrik!$C$2:$C$998,Metrik!$B$2:$B$998},2,0)</f>
        <v>Telkom Indonesia (Persero) Tbk.</v>
      </c>
      <c r="C1716" s="15">
        <f>IFERROR(__xludf.DUMMYFUNCTION("GOOGLEFINANCE(""IDX:""&amp;A1716,""price"")"),2860.0)</f>
        <v>2860</v>
      </c>
      <c r="D1716" s="16" t="str">
        <f>IFERROR(__xludf.DUMMYFUNCTION("IF(A1716="""","""",
SPARKLINE(
INDEX(
GOOGLEFINANCE(""IDX:""&amp;A1716,""close"",TODAY()-365,TODAY()),
,2
),
{""linewidth"",1}
))
"),"#N/A")</f>
        <v>#N/A</v>
      </c>
      <c r="E1716" s="14" t="s">
        <v>161</v>
      </c>
      <c r="F1716" s="14" t="s">
        <v>76</v>
      </c>
      <c r="G1716" s="24">
        <f t="shared" si="10"/>
        <v>19</v>
      </c>
      <c r="H1716" s="19">
        <f>VLOOKUP(A1716,Metrik!$C$2:$Y$959,8,0)</f>
        <v>10.1</v>
      </c>
      <c r="I1716" s="20">
        <f>VLOOKUP(A1716,Metrik!$C$2:$Y$959,9,0)</f>
        <v>1.9</v>
      </c>
      <c r="J1716" s="20">
        <f>VLOOKUP(A1716,Metrik!$C$2:$Y$959,10,0)</f>
        <v>19.1</v>
      </c>
      <c r="K1716" s="20">
        <f>VLOOKUP(A1716,Metrik!$C$2:$Y$959,11,0)</f>
        <v>4.7</v>
      </c>
      <c r="L1716" s="20">
        <f>VLOOKUP(A1716,Metrik!$C$2:$Y$959,12,0)</f>
        <v>0.86</v>
      </c>
      <c r="M1716" s="20">
        <f>VLOOKUP(A1716,Metrik!$C$2:$Y$959,19,0)</f>
        <v>20.3</v>
      </c>
      <c r="N1716" s="21"/>
      <c r="O1716" s="21"/>
      <c r="P1716" s="21"/>
      <c r="Q1716" s="21"/>
      <c r="R1716" s="21"/>
      <c r="S1716" s="21"/>
      <c r="T1716" s="21"/>
      <c r="U1716" s="22">
        <f>IFERROR(__xludf.DUMMYFUNCTION("IFERROR(GOOGLEFINANCE(A1716,""closeyest""),"""")"),2870.0)</f>
        <v>2870</v>
      </c>
      <c r="V1716" s="23">
        <f>IFERROR(__xludf.DUMMYFUNCTION("IFERROR(GOOGLEFINANCE(A1716,""changepct""),"""")"),-0.35)</f>
        <v>-0.35</v>
      </c>
      <c r="W1716" s="22">
        <f>IFERROR(__xludf.DUMMYFUNCTION("IFERROR(GOOGLEFINANCE(A1716,""priceopen""),"""")"),2910.0)</f>
        <v>2910</v>
      </c>
      <c r="X1716" s="22">
        <f>IFERROR(__xludf.DUMMYFUNCTION("IFERROR(GOOGLEFINANCE(A1716,""high""),"""")"),2980.0)</f>
        <v>2980</v>
      </c>
      <c r="Y1716" s="22">
        <f>IFERROR(__xludf.DUMMYFUNCTION("IFERROR(GOOGLEFINANCE(A1716,""low""),"""")"),2860.0)</f>
        <v>2860</v>
      </c>
      <c r="Z1716" s="22">
        <f>IFERROR(__xludf.DUMMYFUNCTION("IFERROR(GOOGLEFINANCE(A1716,""volume""),"""")"),1.815319E8)</f>
        <v>181531900</v>
      </c>
      <c r="AA1716" s="24" t="str">
        <f>VLOOKUP(A1716,Metrik!$C$2:$Y$959,5,0)</f>
        <v>Telecommunication Service</v>
      </c>
      <c r="AB1716" s="24" t="str">
        <f>VLOOKUP(A1716,Metrik!$C$2:$Y$959,3,0)</f>
        <v>Infrastructures</v>
      </c>
    </row>
    <row r="1717">
      <c r="A1717" s="14" t="s">
        <v>938</v>
      </c>
      <c r="B1717" s="14" t="str">
        <f t="array" ref="B1717">VLOOKUP(A1717,{Metrik!$C$2:$C$998,Metrik!$B$2:$B$998},2,0)</f>
        <v>Telkom Indonesia (Persero) Tbk.</v>
      </c>
      <c r="C1717" s="15">
        <f>IFERROR(__xludf.DUMMYFUNCTION("GOOGLEFINANCE(""IDX:""&amp;A1717,""price"")"),2860.0)</f>
        <v>2860</v>
      </c>
      <c r="D1717" s="16" t="str">
        <f>IFERROR(__xludf.DUMMYFUNCTION("IF(A1717="""","""",
SPARKLINE(
INDEX(
GOOGLEFINANCE(""IDX:""&amp;A1717,""close"",TODAY()-365,TODAY()),
,2
),
{""linewidth"",1}
))
"),"#N/A")</f>
        <v>#N/A</v>
      </c>
      <c r="E1717" s="14" t="s">
        <v>31</v>
      </c>
      <c r="F1717" s="17" t="s">
        <v>29</v>
      </c>
      <c r="G1717" s="24">
        <f t="shared" si="10"/>
        <v>19</v>
      </c>
      <c r="H1717" s="19">
        <f>VLOOKUP(A1717,Metrik!$C$2:$Y$959,8,0)</f>
        <v>10.1</v>
      </c>
      <c r="I1717" s="20">
        <f>VLOOKUP(A1717,Metrik!$C$2:$Y$959,9,0)</f>
        <v>1.9</v>
      </c>
      <c r="J1717" s="20">
        <f>VLOOKUP(A1717,Metrik!$C$2:$Y$959,10,0)</f>
        <v>19.1</v>
      </c>
      <c r="K1717" s="20">
        <f>VLOOKUP(A1717,Metrik!$C$2:$Y$959,11,0)</f>
        <v>4.7</v>
      </c>
      <c r="L1717" s="20">
        <f>VLOOKUP(A1717,Metrik!$C$2:$Y$959,12,0)</f>
        <v>0.86</v>
      </c>
      <c r="M1717" s="20">
        <f>VLOOKUP(A1717,Metrik!$C$2:$Y$959,19,0)</f>
        <v>20.3</v>
      </c>
      <c r="N1717" s="21"/>
      <c r="O1717" s="21"/>
      <c r="P1717" s="21"/>
      <c r="Q1717" s="21"/>
      <c r="R1717" s="21"/>
      <c r="S1717" s="21"/>
      <c r="T1717" s="21"/>
      <c r="U1717" s="22">
        <f>IFERROR(__xludf.DUMMYFUNCTION("IFERROR(GOOGLEFINANCE(A1717,""closeyest""),"""")"),2870.0)</f>
        <v>2870</v>
      </c>
      <c r="V1717" s="23">
        <f>IFERROR(__xludf.DUMMYFUNCTION("IFERROR(GOOGLEFINANCE(A1717,""changepct""),"""")"),-0.35)</f>
        <v>-0.35</v>
      </c>
      <c r="W1717" s="22">
        <f>IFERROR(__xludf.DUMMYFUNCTION("IFERROR(GOOGLEFINANCE(A1717,""priceopen""),"""")"),2910.0)</f>
        <v>2910</v>
      </c>
      <c r="X1717" s="22">
        <f>IFERROR(__xludf.DUMMYFUNCTION("IFERROR(GOOGLEFINANCE(A1717,""high""),"""")"),2980.0)</f>
        <v>2980</v>
      </c>
      <c r="Y1717" s="22">
        <f>IFERROR(__xludf.DUMMYFUNCTION("IFERROR(GOOGLEFINANCE(A1717,""low""),"""")"),2860.0)</f>
        <v>2860</v>
      </c>
      <c r="Z1717" s="22">
        <f>IFERROR(__xludf.DUMMYFUNCTION("IFERROR(GOOGLEFINANCE(A1717,""volume""),"""")"),1.815319E8)</f>
        <v>181531900</v>
      </c>
      <c r="AA1717" s="24" t="str">
        <f>VLOOKUP(A1717,Metrik!$C$2:$Y$959,5,0)</f>
        <v>Telecommunication Service</v>
      </c>
      <c r="AB1717" s="24" t="str">
        <f>VLOOKUP(A1717,Metrik!$C$2:$Y$959,3,0)</f>
        <v>Infrastructures</v>
      </c>
    </row>
    <row r="1718">
      <c r="A1718" s="14" t="s">
        <v>938</v>
      </c>
      <c r="B1718" s="14" t="str">
        <f t="array" ref="B1718">VLOOKUP(A1718,{Metrik!$C$2:$C$998,Metrik!$B$2:$B$998},2,0)</f>
        <v>Telkom Indonesia (Persero) Tbk.</v>
      </c>
      <c r="C1718" s="15">
        <f>IFERROR(__xludf.DUMMYFUNCTION("GOOGLEFINANCE(""IDX:""&amp;A1718,""price"")"),2860.0)</f>
        <v>2860</v>
      </c>
      <c r="D1718" s="16" t="str">
        <f>IFERROR(__xludf.DUMMYFUNCTION("IF(A1718="""","""",
SPARKLINE(
INDEX(
GOOGLEFINANCE(""IDX:""&amp;A1718,""close"",TODAY()-365,TODAY()),
,2
),
{""linewidth"",1}
))
"),"#N/A")</f>
        <v>#N/A</v>
      </c>
      <c r="E1718" s="14" t="s">
        <v>84</v>
      </c>
      <c r="F1718" s="17" t="s">
        <v>51</v>
      </c>
      <c r="G1718" s="24">
        <f t="shared" si="10"/>
        <v>19</v>
      </c>
      <c r="H1718" s="19">
        <f>VLOOKUP(A1718,Metrik!$C$2:$Y$959,8,0)</f>
        <v>10.1</v>
      </c>
      <c r="I1718" s="20">
        <f>VLOOKUP(A1718,Metrik!$C$2:$Y$959,9,0)</f>
        <v>1.9</v>
      </c>
      <c r="J1718" s="20">
        <f>VLOOKUP(A1718,Metrik!$C$2:$Y$959,10,0)</f>
        <v>19.1</v>
      </c>
      <c r="K1718" s="20">
        <f>VLOOKUP(A1718,Metrik!$C$2:$Y$959,11,0)</f>
        <v>4.7</v>
      </c>
      <c r="L1718" s="20">
        <f>VLOOKUP(A1718,Metrik!$C$2:$Y$959,12,0)</f>
        <v>0.86</v>
      </c>
      <c r="M1718" s="20">
        <f>VLOOKUP(A1718,Metrik!$C$2:$Y$959,19,0)</f>
        <v>20.3</v>
      </c>
      <c r="N1718" s="21"/>
      <c r="O1718" s="21"/>
      <c r="P1718" s="21"/>
      <c r="Q1718" s="21"/>
      <c r="R1718" s="21"/>
      <c r="S1718" s="21"/>
      <c r="T1718" s="21"/>
      <c r="U1718" s="22">
        <f>IFERROR(__xludf.DUMMYFUNCTION("IFERROR(GOOGLEFINANCE(A1718,""closeyest""),"""")"),2870.0)</f>
        <v>2870</v>
      </c>
      <c r="V1718" s="23">
        <f>IFERROR(__xludf.DUMMYFUNCTION("IFERROR(GOOGLEFINANCE(A1718,""changepct""),"""")"),-0.35)</f>
        <v>-0.35</v>
      </c>
      <c r="W1718" s="22">
        <f>IFERROR(__xludf.DUMMYFUNCTION("IFERROR(GOOGLEFINANCE(A1718,""priceopen""),"""")"),2910.0)</f>
        <v>2910</v>
      </c>
      <c r="X1718" s="22">
        <f>IFERROR(__xludf.DUMMYFUNCTION("IFERROR(GOOGLEFINANCE(A1718,""high""),"""")"),2980.0)</f>
        <v>2980</v>
      </c>
      <c r="Y1718" s="22">
        <f>IFERROR(__xludf.DUMMYFUNCTION("IFERROR(GOOGLEFINANCE(A1718,""low""),"""")"),2860.0)</f>
        <v>2860</v>
      </c>
      <c r="Z1718" s="22">
        <f>IFERROR(__xludf.DUMMYFUNCTION("IFERROR(GOOGLEFINANCE(A1718,""volume""),"""")"),1.815319E8)</f>
        <v>181531900</v>
      </c>
      <c r="AA1718" s="24" t="str">
        <f>VLOOKUP(A1718,Metrik!$C$2:$Y$959,5,0)</f>
        <v>Telecommunication Service</v>
      </c>
      <c r="AB1718" s="24" t="str">
        <f>VLOOKUP(A1718,Metrik!$C$2:$Y$959,3,0)</f>
        <v>Infrastructures</v>
      </c>
    </row>
    <row r="1719">
      <c r="A1719" s="14" t="s">
        <v>938</v>
      </c>
      <c r="B1719" s="14" t="str">
        <f t="array" ref="B1719">VLOOKUP(A1719,{Metrik!$C$2:$C$998,Metrik!$B$2:$B$998},2,0)</f>
        <v>Telkom Indonesia (Persero) Tbk.</v>
      </c>
      <c r="C1719" s="15">
        <f>IFERROR(__xludf.DUMMYFUNCTION("GOOGLEFINANCE(""IDX:""&amp;A1719,""price"")"),2860.0)</f>
        <v>2860</v>
      </c>
      <c r="D1719" s="16" t="str">
        <f>IFERROR(__xludf.DUMMYFUNCTION("IF(A1719="""","""",
SPARKLINE(
INDEX(
GOOGLEFINANCE(""IDX:""&amp;A1719,""close"",TODAY()-365,TODAY()),
,2
),
{""linewidth"",1}
))
"),"#N/A")</f>
        <v>#N/A</v>
      </c>
      <c r="E1719" s="14" t="s">
        <v>32</v>
      </c>
      <c r="F1719" s="14" t="s">
        <v>29</v>
      </c>
      <c r="G1719" s="24">
        <f t="shared" si="10"/>
        <v>19</v>
      </c>
      <c r="H1719" s="19">
        <f>VLOOKUP(A1719,Metrik!$C$2:$Y$959,8,0)</f>
        <v>10.1</v>
      </c>
      <c r="I1719" s="20">
        <f>VLOOKUP(A1719,Metrik!$C$2:$Y$959,9,0)</f>
        <v>1.9</v>
      </c>
      <c r="J1719" s="20">
        <f>VLOOKUP(A1719,Metrik!$C$2:$Y$959,10,0)</f>
        <v>19.1</v>
      </c>
      <c r="K1719" s="20">
        <f>VLOOKUP(A1719,Metrik!$C$2:$Y$959,11,0)</f>
        <v>4.7</v>
      </c>
      <c r="L1719" s="20">
        <f>VLOOKUP(A1719,Metrik!$C$2:$Y$959,12,0)</f>
        <v>0.86</v>
      </c>
      <c r="M1719" s="20">
        <f>VLOOKUP(A1719,Metrik!$C$2:$Y$959,19,0)</f>
        <v>20.3</v>
      </c>
      <c r="N1719" s="21"/>
      <c r="O1719" s="21"/>
      <c r="P1719" s="21"/>
      <c r="Q1719" s="21"/>
      <c r="R1719" s="21"/>
      <c r="S1719" s="21"/>
      <c r="T1719" s="21"/>
      <c r="U1719" s="22">
        <f>IFERROR(__xludf.DUMMYFUNCTION("IFERROR(GOOGLEFINANCE(A1719,""closeyest""),"""")"),2870.0)</f>
        <v>2870</v>
      </c>
      <c r="V1719" s="23">
        <f>IFERROR(__xludf.DUMMYFUNCTION("IFERROR(GOOGLEFINANCE(A1719,""changepct""),"""")"),-0.35)</f>
        <v>-0.35</v>
      </c>
      <c r="W1719" s="22">
        <f>IFERROR(__xludf.DUMMYFUNCTION("IFERROR(GOOGLEFINANCE(A1719,""priceopen""),"""")"),2910.0)</f>
        <v>2910</v>
      </c>
      <c r="X1719" s="22">
        <f>IFERROR(__xludf.DUMMYFUNCTION("IFERROR(GOOGLEFINANCE(A1719,""high""),"""")"),2980.0)</f>
        <v>2980</v>
      </c>
      <c r="Y1719" s="22">
        <f>IFERROR(__xludf.DUMMYFUNCTION("IFERROR(GOOGLEFINANCE(A1719,""low""),"""")"),2860.0)</f>
        <v>2860</v>
      </c>
      <c r="Z1719" s="22">
        <f>IFERROR(__xludf.DUMMYFUNCTION("IFERROR(GOOGLEFINANCE(A1719,""volume""),"""")"),1.815319E8)</f>
        <v>181531900</v>
      </c>
      <c r="AA1719" s="24" t="str">
        <f>VLOOKUP(A1719,Metrik!$C$2:$Y$959,5,0)</f>
        <v>Telecommunication Service</v>
      </c>
      <c r="AB1719" s="24" t="str">
        <f>VLOOKUP(A1719,Metrik!$C$2:$Y$959,3,0)</f>
        <v>Infrastructures</v>
      </c>
    </row>
    <row r="1720">
      <c r="A1720" s="14" t="s">
        <v>938</v>
      </c>
      <c r="B1720" s="14" t="str">
        <f t="array" ref="B1720">VLOOKUP(A1720,{Metrik!$C$2:$C$998,Metrik!$B$2:$B$998},2,0)</f>
        <v>Telkom Indonesia (Persero) Tbk.</v>
      </c>
      <c r="C1720" s="15">
        <f>IFERROR(__xludf.DUMMYFUNCTION("GOOGLEFINANCE(""IDX:""&amp;A1720,""price"")"),2860.0)</f>
        <v>2860</v>
      </c>
      <c r="D1720" s="16" t="str">
        <f>IFERROR(__xludf.DUMMYFUNCTION("IF(A1720="""","""",
SPARKLINE(
INDEX(
GOOGLEFINANCE(""IDX:""&amp;A1720,""close"",TODAY()-365,TODAY()),
,2
),
{""linewidth"",1}
))
"),"#N/A")</f>
        <v>#N/A</v>
      </c>
      <c r="E1720" s="14" t="s">
        <v>28</v>
      </c>
      <c r="F1720" s="17" t="s">
        <v>29</v>
      </c>
      <c r="G1720" s="24">
        <f t="shared" si="10"/>
        <v>19</v>
      </c>
      <c r="H1720" s="19">
        <f>VLOOKUP(A1720,Metrik!$C$2:$Y$959,8,0)</f>
        <v>10.1</v>
      </c>
      <c r="I1720" s="20">
        <f>VLOOKUP(A1720,Metrik!$C$2:$Y$959,9,0)</f>
        <v>1.9</v>
      </c>
      <c r="J1720" s="20">
        <f>VLOOKUP(A1720,Metrik!$C$2:$Y$959,10,0)</f>
        <v>19.1</v>
      </c>
      <c r="K1720" s="20">
        <f>VLOOKUP(A1720,Metrik!$C$2:$Y$959,11,0)</f>
        <v>4.7</v>
      </c>
      <c r="L1720" s="20">
        <f>VLOOKUP(A1720,Metrik!$C$2:$Y$959,12,0)</f>
        <v>0.86</v>
      </c>
      <c r="M1720" s="20">
        <f>VLOOKUP(A1720,Metrik!$C$2:$Y$959,19,0)</f>
        <v>20.3</v>
      </c>
      <c r="N1720" s="21"/>
      <c r="O1720" s="21"/>
      <c r="P1720" s="21"/>
      <c r="Q1720" s="21"/>
      <c r="R1720" s="21"/>
      <c r="S1720" s="21"/>
      <c r="T1720" s="21"/>
      <c r="U1720" s="22">
        <f>IFERROR(__xludf.DUMMYFUNCTION("IFERROR(GOOGLEFINANCE(A1720,""closeyest""),"""")"),2870.0)</f>
        <v>2870</v>
      </c>
      <c r="V1720" s="23">
        <f>IFERROR(__xludf.DUMMYFUNCTION("IFERROR(GOOGLEFINANCE(A1720,""changepct""),"""")"),-0.35)</f>
        <v>-0.35</v>
      </c>
      <c r="W1720" s="22">
        <f>IFERROR(__xludf.DUMMYFUNCTION("IFERROR(GOOGLEFINANCE(A1720,""priceopen""),"""")"),2910.0)</f>
        <v>2910</v>
      </c>
      <c r="X1720" s="22">
        <f>IFERROR(__xludf.DUMMYFUNCTION("IFERROR(GOOGLEFINANCE(A1720,""high""),"""")"),2980.0)</f>
        <v>2980</v>
      </c>
      <c r="Y1720" s="22">
        <f>IFERROR(__xludf.DUMMYFUNCTION("IFERROR(GOOGLEFINANCE(A1720,""low""),"""")"),2860.0)</f>
        <v>2860</v>
      </c>
      <c r="Z1720" s="22">
        <f>IFERROR(__xludf.DUMMYFUNCTION("IFERROR(GOOGLEFINANCE(A1720,""volume""),"""")"),1.815319E8)</f>
        <v>181531900</v>
      </c>
      <c r="AA1720" s="24" t="str">
        <f>VLOOKUP(A1720,Metrik!$C$2:$Y$959,5,0)</f>
        <v>Telecommunication Service</v>
      </c>
      <c r="AB1720" s="24" t="str">
        <f>VLOOKUP(A1720,Metrik!$C$2:$Y$959,3,0)</f>
        <v>Infrastructures</v>
      </c>
    </row>
    <row r="1721">
      <c r="A1721" s="14" t="s">
        <v>938</v>
      </c>
      <c r="B1721" s="14" t="str">
        <f t="array" ref="B1721">VLOOKUP(A1721,{Metrik!$C$2:$C$998,Metrik!$B$2:$B$998},2,0)</f>
        <v>Telkom Indonesia (Persero) Tbk.</v>
      </c>
      <c r="C1721" s="15">
        <f>IFERROR(__xludf.DUMMYFUNCTION("GOOGLEFINANCE(""IDX:""&amp;A1721,""price"")"),2860.0)</f>
        <v>2860</v>
      </c>
      <c r="D1721" s="16" t="str">
        <f>IFERROR(__xludf.DUMMYFUNCTION("IF(A1721="""","""",
SPARKLINE(
INDEX(
GOOGLEFINANCE(""IDX:""&amp;A1721,""close"",TODAY()-365,TODAY()),
,2
),
{""linewidth"",1}
))
"),"#N/A")</f>
        <v>#N/A</v>
      </c>
      <c r="E1721" s="14" t="s">
        <v>61</v>
      </c>
      <c r="F1721" s="14" t="s">
        <v>34</v>
      </c>
      <c r="G1721" s="24">
        <f t="shared" si="10"/>
        <v>19</v>
      </c>
      <c r="H1721" s="19">
        <f>VLOOKUP(A1721,Metrik!$C$2:$Y$959,8,0)</f>
        <v>10.1</v>
      </c>
      <c r="I1721" s="20">
        <f>VLOOKUP(A1721,Metrik!$C$2:$Y$959,9,0)</f>
        <v>1.9</v>
      </c>
      <c r="J1721" s="20">
        <f>VLOOKUP(A1721,Metrik!$C$2:$Y$959,10,0)</f>
        <v>19.1</v>
      </c>
      <c r="K1721" s="20">
        <f>VLOOKUP(A1721,Metrik!$C$2:$Y$959,11,0)</f>
        <v>4.7</v>
      </c>
      <c r="L1721" s="20">
        <f>VLOOKUP(A1721,Metrik!$C$2:$Y$959,12,0)</f>
        <v>0.86</v>
      </c>
      <c r="M1721" s="20">
        <f>VLOOKUP(A1721,Metrik!$C$2:$Y$959,19,0)</f>
        <v>20.3</v>
      </c>
      <c r="N1721" s="21"/>
      <c r="O1721" s="21"/>
      <c r="P1721" s="21"/>
      <c r="Q1721" s="21"/>
      <c r="R1721" s="21"/>
      <c r="S1721" s="21"/>
      <c r="T1721" s="21"/>
      <c r="U1721" s="22">
        <f>IFERROR(__xludf.DUMMYFUNCTION("IFERROR(GOOGLEFINANCE(A1721,""closeyest""),"""")"),2870.0)</f>
        <v>2870</v>
      </c>
      <c r="V1721" s="23">
        <f>IFERROR(__xludf.DUMMYFUNCTION("IFERROR(GOOGLEFINANCE(A1721,""changepct""),"""")"),-0.35)</f>
        <v>-0.35</v>
      </c>
      <c r="W1721" s="22">
        <f>IFERROR(__xludf.DUMMYFUNCTION("IFERROR(GOOGLEFINANCE(A1721,""priceopen""),"""")"),2910.0)</f>
        <v>2910</v>
      </c>
      <c r="X1721" s="22">
        <f>IFERROR(__xludf.DUMMYFUNCTION("IFERROR(GOOGLEFINANCE(A1721,""high""),"""")"),2980.0)</f>
        <v>2980</v>
      </c>
      <c r="Y1721" s="22">
        <f>IFERROR(__xludf.DUMMYFUNCTION("IFERROR(GOOGLEFINANCE(A1721,""low""),"""")"),2860.0)</f>
        <v>2860</v>
      </c>
      <c r="Z1721" s="22">
        <f>IFERROR(__xludf.DUMMYFUNCTION("IFERROR(GOOGLEFINANCE(A1721,""volume""),"""")"),1.815319E8)</f>
        <v>181531900</v>
      </c>
      <c r="AA1721" s="24" t="str">
        <f>VLOOKUP(A1721,Metrik!$C$2:$Y$959,5,0)</f>
        <v>Telecommunication Service</v>
      </c>
      <c r="AB1721" s="24" t="str">
        <f>VLOOKUP(A1721,Metrik!$C$2:$Y$959,3,0)</f>
        <v>Infrastructures</v>
      </c>
    </row>
    <row r="1722">
      <c r="A1722" s="14" t="s">
        <v>938</v>
      </c>
      <c r="B1722" s="14" t="str">
        <f t="array" ref="B1722">VLOOKUP(A1722,{Metrik!$C$2:$C$998,Metrik!$B$2:$B$998},2,0)</f>
        <v>Telkom Indonesia (Persero) Tbk.</v>
      </c>
      <c r="C1722" s="15">
        <f>IFERROR(__xludf.DUMMYFUNCTION("GOOGLEFINANCE(""IDX:""&amp;A1722,""price"")"),2860.0)</f>
        <v>2860</v>
      </c>
      <c r="D1722" s="16" t="str">
        <f>IFERROR(__xludf.DUMMYFUNCTION("IF(A1722="""","""",
SPARKLINE(
INDEX(
GOOGLEFINANCE(""IDX:""&amp;A1722,""close"",TODAY()-365,TODAY()),
,2
),
{""linewidth"",1}
))
"),"#N/A")</f>
        <v>#N/A</v>
      </c>
      <c r="E1722" s="14" t="s">
        <v>48</v>
      </c>
      <c r="F1722" s="14" t="s">
        <v>49</v>
      </c>
      <c r="G1722" s="24">
        <f t="shared" si="10"/>
        <v>19</v>
      </c>
      <c r="H1722" s="19">
        <f>VLOOKUP(A1722,Metrik!$C$2:$Y$959,8,0)</f>
        <v>10.1</v>
      </c>
      <c r="I1722" s="20">
        <f>VLOOKUP(A1722,Metrik!$C$2:$Y$959,9,0)</f>
        <v>1.9</v>
      </c>
      <c r="J1722" s="20">
        <f>VLOOKUP(A1722,Metrik!$C$2:$Y$959,10,0)</f>
        <v>19.1</v>
      </c>
      <c r="K1722" s="20">
        <f>VLOOKUP(A1722,Metrik!$C$2:$Y$959,11,0)</f>
        <v>4.7</v>
      </c>
      <c r="L1722" s="20">
        <f>VLOOKUP(A1722,Metrik!$C$2:$Y$959,12,0)</f>
        <v>0.86</v>
      </c>
      <c r="M1722" s="20">
        <f>VLOOKUP(A1722,Metrik!$C$2:$Y$959,19,0)</f>
        <v>20.3</v>
      </c>
      <c r="N1722" s="21"/>
      <c r="O1722" s="21"/>
      <c r="P1722" s="21"/>
      <c r="Q1722" s="21"/>
      <c r="R1722" s="21"/>
      <c r="S1722" s="21"/>
      <c r="T1722" s="21"/>
      <c r="U1722" s="22">
        <f>IFERROR(__xludf.DUMMYFUNCTION("IFERROR(GOOGLEFINANCE(A1722,""closeyest""),"""")"),2870.0)</f>
        <v>2870</v>
      </c>
      <c r="V1722" s="23">
        <f>IFERROR(__xludf.DUMMYFUNCTION("IFERROR(GOOGLEFINANCE(A1722,""changepct""),"""")"),-0.35)</f>
        <v>-0.35</v>
      </c>
      <c r="W1722" s="22">
        <f>IFERROR(__xludf.DUMMYFUNCTION("IFERROR(GOOGLEFINANCE(A1722,""priceopen""),"""")"),2910.0)</f>
        <v>2910</v>
      </c>
      <c r="X1722" s="22">
        <f>IFERROR(__xludf.DUMMYFUNCTION("IFERROR(GOOGLEFINANCE(A1722,""high""),"""")"),2980.0)</f>
        <v>2980</v>
      </c>
      <c r="Y1722" s="22">
        <f>IFERROR(__xludf.DUMMYFUNCTION("IFERROR(GOOGLEFINANCE(A1722,""low""),"""")"),2860.0)</f>
        <v>2860</v>
      </c>
      <c r="Z1722" s="22">
        <f>IFERROR(__xludf.DUMMYFUNCTION("IFERROR(GOOGLEFINANCE(A1722,""volume""),"""")"),1.815319E8)</f>
        <v>181531900</v>
      </c>
      <c r="AA1722" s="24" t="str">
        <f>VLOOKUP(A1722,Metrik!$C$2:$Y$959,5,0)</f>
        <v>Telecommunication Service</v>
      </c>
      <c r="AB1722" s="24" t="str">
        <f>VLOOKUP(A1722,Metrik!$C$2:$Y$959,3,0)</f>
        <v>Infrastructures</v>
      </c>
    </row>
    <row r="1723">
      <c r="A1723" s="14" t="s">
        <v>938</v>
      </c>
      <c r="B1723" s="14" t="str">
        <f t="array" ref="B1723">VLOOKUP(A1723,{Metrik!$C$2:$C$998,Metrik!$B$2:$B$998},2,0)</f>
        <v>Telkom Indonesia (Persero) Tbk.</v>
      </c>
      <c r="C1723" s="15">
        <f>IFERROR(__xludf.DUMMYFUNCTION("GOOGLEFINANCE(""IDX:""&amp;A1723,""price"")"),2860.0)</f>
        <v>2860</v>
      </c>
      <c r="D1723" s="16" t="str">
        <f>IFERROR(__xludf.DUMMYFUNCTION("IF(A1723="""","""",
SPARKLINE(
INDEX(
GOOGLEFINANCE(""IDX:""&amp;A1723,""close"",TODAY()-365,TODAY()),
,2
),
{""linewidth"",1}
))
"),"#N/A")</f>
        <v>#N/A</v>
      </c>
      <c r="E1723" s="14" t="s">
        <v>30</v>
      </c>
      <c r="F1723" s="17" t="s">
        <v>29</v>
      </c>
      <c r="G1723" s="24">
        <f t="shared" si="10"/>
        <v>19</v>
      </c>
      <c r="H1723" s="19">
        <f>VLOOKUP(A1723,Metrik!$C$2:$Y$959,8,0)</f>
        <v>10.1</v>
      </c>
      <c r="I1723" s="20">
        <f>VLOOKUP(A1723,Metrik!$C$2:$Y$959,9,0)</f>
        <v>1.9</v>
      </c>
      <c r="J1723" s="20">
        <f>VLOOKUP(A1723,Metrik!$C$2:$Y$959,10,0)</f>
        <v>19.1</v>
      </c>
      <c r="K1723" s="20">
        <f>VLOOKUP(A1723,Metrik!$C$2:$Y$959,11,0)</f>
        <v>4.7</v>
      </c>
      <c r="L1723" s="20">
        <f>VLOOKUP(A1723,Metrik!$C$2:$Y$959,12,0)</f>
        <v>0.86</v>
      </c>
      <c r="M1723" s="20">
        <f>VLOOKUP(A1723,Metrik!$C$2:$Y$959,19,0)</f>
        <v>20.3</v>
      </c>
      <c r="N1723" s="21"/>
      <c r="O1723" s="21"/>
      <c r="P1723" s="21"/>
      <c r="Q1723" s="21"/>
      <c r="R1723" s="21"/>
      <c r="S1723" s="21"/>
      <c r="T1723" s="21"/>
      <c r="U1723" s="22">
        <f>IFERROR(__xludf.DUMMYFUNCTION("IFERROR(GOOGLEFINANCE(A1723,""closeyest""),"""")"),2870.0)</f>
        <v>2870</v>
      </c>
      <c r="V1723" s="23">
        <f>IFERROR(__xludf.DUMMYFUNCTION("IFERROR(GOOGLEFINANCE(A1723,""changepct""),"""")"),-0.35)</f>
        <v>-0.35</v>
      </c>
      <c r="W1723" s="22">
        <f>IFERROR(__xludf.DUMMYFUNCTION("IFERROR(GOOGLEFINANCE(A1723,""priceopen""),"""")"),2910.0)</f>
        <v>2910</v>
      </c>
      <c r="X1723" s="22">
        <f>IFERROR(__xludf.DUMMYFUNCTION("IFERROR(GOOGLEFINANCE(A1723,""high""),"""")"),2980.0)</f>
        <v>2980</v>
      </c>
      <c r="Y1723" s="22">
        <f>IFERROR(__xludf.DUMMYFUNCTION("IFERROR(GOOGLEFINANCE(A1723,""low""),"""")"),2860.0)</f>
        <v>2860</v>
      </c>
      <c r="Z1723" s="22">
        <f>IFERROR(__xludf.DUMMYFUNCTION("IFERROR(GOOGLEFINANCE(A1723,""volume""),"""")"),1.815319E8)</f>
        <v>181531900</v>
      </c>
      <c r="AA1723" s="24" t="str">
        <f>VLOOKUP(A1723,Metrik!$C$2:$Y$959,5,0)</f>
        <v>Telecommunication Service</v>
      </c>
      <c r="AB1723" s="24" t="str">
        <f>VLOOKUP(A1723,Metrik!$C$2:$Y$959,3,0)</f>
        <v>Infrastructures</v>
      </c>
    </row>
    <row r="1724">
      <c r="A1724" s="14" t="s">
        <v>938</v>
      </c>
      <c r="B1724" s="14" t="str">
        <f t="array" ref="B1724">VLOOKUP(A1724,{Metrik!$C$2:$C$998,Metrik!$B$2:$B$998},2,0)</f>
        <v>Telkom Indonesia (Persero) Tbk.</v>
      </c>
      <c r="C1724" s="15">
        <f>IFERROR(__xludf.DUMMYFUNCTION("GOOGLEFINANCE(""IDX:""&amp;A1724,""price"")"),2860.0)</f>
        <v>2860</v>
      </c>
      <c r="D1724" s="16" t="str">
        <f>IFERROR(__xludf.DUMMYFUNCTION("IF(A1724="""","""",
SPARKLINE(
INDEX(
GOOGLEFINANCE(""IDX:""&amp;A1724,""close"",TODAY()-365,TODAY()),
,2
),
{""linewidth"",1}
))
"),"#N/A")</f>
        <v>#N/A</v>
      </c>
      <c r="E1724" s="14" t="s">
        <v>67</v>
      </c>
      <c r="F1724" s="17" t="s">
        <v>51</v>
      </c>
      <c r="G1724" s="24">
        <f t="shared" si="10"/>
        <v>19</v>
      </c>
      <c r="H1724" s="19">
        <f>VLOOKUP(A1724,Metrik!$C$2:$Y$959,8,0)</f>
        <v>10.1</v>
      </c>
      <c r="I1724" s="20">
        <f>VLOOKUP(A1724,Metrik!$C$2:$Y$959,9,0)</f>
        <v>1.9</v>
      </c>
      <c r="J1724" s="20">
        <f>VLOOKUP(A1724,Metrik!$C$2:$Y$959,10,0)</f>
        <v>19.1</v>
      </c>
      <c r="K1724" s="20">
        <f>VLOOKUP(A1724,Metrik!$C$2:$Y$959,11,0)</f>
        <v>4.7</v>
      </c>
      <c r="L1724" s="20">
        <f>VLOOKUP(A1724,Metrik!$C$2:$Y$959,12,0)</f>
        <v>0.86</v>
      </c>
      <c r="M1724" s="20">
        <f>VLOOKUP(A1724,Metrik!$C$2:$Y$959,19,0)</f>
        <v>20.3</v>
      </c>
      <c r="N1724" s="21"/>
      <c r="O1724" s="21"/>
      <c r="P1724" s="21"/>
      <c r="Q1724" s="21"/>
      <c r="R1724" s="21"/>
      <c r="S1724" s="21"/>
      <c r="T1724" s="21"/>
      <c r="U1724" s="22">
        <f>IFERROR(__xludf.DUMMYFUNCTION("IFERROR(GOOGLEFINANCE(A1724,""closeyest""),"""")"),2870.0)</f>
        <v>2870</v>
      </c>
      <c r="V1724" s="23">
        <f>IFERROR(__xludf.DUMMYFUNCTION("IFERROR(GOOGLEFINANCE(A1724,""changepct""),"""")"),-0.35)</f>
        <v>-0.35</v>
      </c>
      <c r="W1724" s="22">
        <f>IFERROR(__xludf.DUMMYFUNCTION("IFERROR(GOOGLEFINANCE(A1724,""priceopen""),"""")"),2910.0)</f>
        <v>2910</v>
      </c>
      <c r="X1724" s="22">
        <f>IFERROR(__xludf.DUMMYFUNCTION("IFERROR(GOOGLEFINANCE(A1724,""high""),"""")"),2980.0)</f>
        <v>2980</v>
      </c>
      <c r="Y1724" s="22">
        <f>IFERROR(__xludf.DUMMYFUNCTION("IFERROR(GOOGLEFINANCE(A1724,""low""),"""")"),2860.0)</f>
        <v>2860</v>
      </c>
      <c r="Z1724" s="22">
        <f>IFERROR(__xludf.DUMMYFUNCTION("IFERROR(GOOGLEFINANCE(A1724,""volume""),"""")"),1.815319E8)</f>
        <v>181531900</v>
      </c>
      <c r="AA1724" s="24" t="str">
        <f>VLOOKUP(A1724,Metrik!$C$2:$Y$959,5,0)</f>
        <v>Telecommunication Service</v>
      </c>
      <c r="AB1724" s="24" t="str">
        <f>VLOOKUP(A1724,Metrik!$C$2:$Y$959,3,0)</f>
        <v>Infrastructures</v>
      </c>
    </row>
    <row r="1725">
      <c r="A1725" s="14" t="s">
        <v>938</v>
      </c>
      <c r="B1725" s="14" t="str">
        <f t="array" ref="B1725">VLOOKUP(A1725,{Metrik!$C$2:$C$998,Metrik!$B$2:$B$998},2,0)</f>
        <v>Telkom Indonesia (Persero) Tbk.</v>
      </c>
      <c r="C1725" s="15">
        <f>IFERROR(__xludf.DUMMYFUNCTION("GOOGLEFINANCE(""IDX:""&amp;A1725,""price"")"),2860.0)</f>
        <v>2860</v>
      </c>
      <c r="D1725" s="16" t="str">
        <f>IFERROR(__xludf.DUMMYFUNCTION("IF(A1725="""","""",
SPARKLINE(
INDEX(
GOOGLEFINANCE(""IDX:""&amp;A1725,""close"",TODAY()-365,TODAY()),
,2
),
{""linewidth"",1}
))
"),"#N/A")</f>
        <v>#N/A</v>
      </c>
      <c r="E1725" s="14" t="s">
        <v>85</v>
      </c>
      <c r="F1725" s="17" t="s">
        <v>51</v>
      </c>
      <c r="G1725" s="24">
        <f t="shared" si="10"/>
        <v>19</v>
      </c>
      <c r="H1725" s="19">
        <f>VLOOKUP(A1725,Metrik!$C$2:$Y$959,8,0)</f>
        <v>10.1</v>
      </c>
      <c r="I1725" s="20">
        <f>VLOOKUP(A1725,Metrik!$C$2:$Y$959,9,0)</f>
        <v>1.9</v>
      </c>
      <c r="J1725" s="20">
        <f>VLOOKUP(A1725,Metrik!$C$2:$Y$959,10,0)</f>
        <v>19.1</v>
      </c>
      <c r="K1725" s="20">
        <f>VLOOKUP(A1725,Metrik!$C$2:$Y$959,11,0)</f>
        <v>4.7</v>
      </c>
      <c r="L1725" s="20">
        <f>VLOOKUP(A1725,Metrik!$C$2:$Y$959,12,0)</f>
        <v>0.86</v>
      </c>
      <c r="M1725" s="20">
        <f>VLOOKUP(A1725,Metrik!$C$2:$Y$959,19,0)</f>
        <v>20.3</v>
      </c>
      <c r="N1725" s="21"/>
      <c r="O1725" s="21"/>
      <c r="P1725" s="21"/>
      <c r="Q1725" s="21"/>
      <c r="R1725" s="21"/>
      <c r="S1725" s="21"/>
      <c r="T1725" s="21"/>
      <c r="U1725" s="22">
        <f>IFERROR(__xludf.DUMMYFUNCTION("IFERROR(GOOGLEFINANCE(A1725,""closeyest""),"""")"),2870.0)</f>
        <v>2870</v>
      </c>
      <c r="V1725" s="23">
        <f>IFERROR(__xludf.DUMMYFUNCTION("IFERROR(GOOGLEFINANCE(A1725,""changepct""),"""")"),-0.35)</f>
        <v>-0.35</v>
      </c>
      <c r="W1725" s="22">
        <f>IFERROR(__xludf.DUMMYFUNCTION("IFERROR(GOOGLEFINANCE(A1725,""priceopen""),"""")"),2910.0)</f>
        <v>2910</v>
      </c>
      <c r="X1725" s="22">
        <f>IFERROR(__xludf.DUMMYFUNCTION("IFERROR(GOOGLEFINANCE(A1725,""high""),"""")"),2980.0)</f>
        <v>2980</v>
      </c>
      <c r="Y1725" s="22">
        <f>IFERROR(__xludf.DUMMYFUNCTION("IFERROR(GOOGLEFINANCE(A1725,""low""),"""")"),2860.0)</f>
        <v>2860</v>
      </c>
      <c r="Z1725" s="22">
        <f>IFERROR(__xludf.DUMMYFUNCTION("IFERROR(GOOGLEFINANCE(A1725,""volume""),"""")"),1.815319E8)</f>
        <v>181531900</v>
      </c>
      <c r="AA1725" s="24" t="str">
        <f>VLOOKUP(A1725,Metrik!$C$2:$Y$959,5,0)</f>
        <v>Telecommunication Service</v>
      </c>
      <c r="AB1725" s="24" t="str">
        <f>VLOOKUP(A1725,Metrik!$C$2:$Y$959,3,0)</f>
        <v>Infrastructures</v>
      </c>
    </row>
    <row r="1726">
      <c r="A1726" s="14" t="s">
        <v>938</v>
      </c>
      <c r="B1726" s="14" t="str">
        <f t="array" ref="B1726">VLOOKUP(A1726,{Metrik!$C$2:$C$998,Metrik!$B$2:$B$998},2,0)</f>
        <v>Telkom Indonesia (Persero) Tbk.</v>
      </c>
      <c r="C1726" s="15">
        <f>IFERROR(__xludf.DUMMYFUNCTION("GOOGLEFINANCE(""IDX:""&amp;A1726,""price"")"),2860.0)</f>
        <v>2860</v>
      </c>
      <c r="D1726" s="16" t="str">
        <f>IFERROR(__xludf.DUMMYFUNCTION("IF(A1726="""","""",
SPARKLINE(
INDEX(
GOOGLEFINANCE(""IDX:""&amp;A1726,""close"",TODAY()-365,TODAY()),
,2
),
{""linewidth"",1}
))
"),"#N/A")</f>
        <v>#N/A</v>
      </c>
      <c r="E1726" s="14" t="s">
        <v>50</v>
      </c>
      <c r="F1726" s="17" t="s">
        <v>51</v>
      </c>
      <c r="G1726" s="24">
        <f t="shared" si="10"/>
        <v>19</v>
      </c>
      <c r="H1726" s="19">
        <f>VLOOKUP(A1726,Metrik!$C$2:$Y$959,8,0)</f>
        <v>10.1</v>
      </c>
      <c r="I1726" s="20">
        <f>VLOOKUP(A1726,Metrik!$C$2:$Y$959,9,0)</f>
        <v>1.9</v>
      </c>
      <c r="J1726" s="20">
        <f>VLOOKUP(A1726,Metrik!$C$2:$Y$959,10,0)</f>
        <v>19.1</v>
      </c>
      <c r="K1726" s="20">
        <f>VLOOKUP(A1726,Metrik!$C$2:$Y$959,11,0)</f>
        <v>4.7</v>
      </c>
      <c r="L1726" s="20">
        <f>VLOOKUP(A1726,Metrik!$C$2:$Y$959,12,0)</f>
        <v>0.86</v>
      </c>
      <c r="M1726" s="20">
        <f>VLOOKUP(A1726,Metrik!$C$2:$Y$959,19,0)</f>
        <v>20.3</v>
      </c>
      <c r="N1726" s="21"/>
      <c r="O1726" s="21"/>
      <c r="P1726" s="21"/>
      <c r="Q1726" s="21"/>
      <c r="R1726" s="21"/>
      <c r="S1726" s="21"/>
      <c r="T1726" s="21"/>
      <c r="U1726" s="22">
        <f>IFERROR(__xludf.DUMMYFUNCTION("IFERROR(GOOGLEFINANCE(A1726,""closeyest""),"""")"),2870.0)</f>
        <v>2870</v>
      </c>
      <c r="V1726" s="23">
        <f>IFERROR(__xludf.DUMMYFUNCTION("IFERROR(GOOGLEFINANCE(A1726,""changepct""),"""")"),-0.35)</f>
        <v>-0.35</v>
      </c>
      <c r="W1726" s="22">
        <f>IFERROR(__xludf.DUMMYFUNCTION("IFERROR(GOOGLEFINANCE(A1726,""priceopen""),"""")"),2910.0)</f>
        <v>2910</v>
      </c>
      <c r="X1726" s="22">
        <f>IFERROR(__xludf.DUMMYFUNCTION("IFERROR(GOOGLEFINANCE(A1726,""high""),"""")"),2980.0)</f>
        <v>2980</v>
      </c>
      <c r="Y1726" s="22">
        <f>IFERROR(__xludf.DUMMYFUNCTION("IFERROR(GOOGLEFINANCE(A1726,""low""),"""")"),2860.0)</f>
        <v>2860</v>
      </c>
      <c r="Z1726" s="22">
        <f>IFERROR(__xludf.DUMMYFUNCTION("IFERROR(GOOGLEFINANCE(A1726,""volume""),"""")"),1.815319E8)</f>
        <v>181531900</v>
      </c>
      <c r="AA1726" s="24" t="str">
        <f>VLOOKUP(A1726,Metrik!$C$2:$Y$959,5,0)</f>
        <v>Telecommunication Service</v>
      </c>
      <c r="AB1726" s="24" t="str">
        <f>VLOOKUP(A1726,Metrik!$C$2:$Y$959,3,0)</f>
        <v>Infrastructures</v>
      </c>
    </row>
    <row r="1727">
      <c r="A1727" s="14" t="s">
        <v>938</v>
      </c>
      <c r="B1727" s="14" t="str">
        <f t="array" ref="B1727">VLOOKUP(A1727,{Metrik!$C$2:$C$998,Metrik!$B$2:$B$998},2,0)</f>
        <v>Telkom Indonesia (Persero) Tbk.</v>
      </c>
      <c r="C1727" s="15">
        <f>IFERROR(__xludf.DUMMYFUNCTION("GOOGLEFINANCE(""IDX:""&amp;A1727,""price"")"),2860.0)</f>
        <v>2860</v>
      </c>
      <c r="D1727" s="16" t="str">
        <f>IFERROR(__xludf.DUMMYFUNCTION("IF(A1727="""","""",
SPARKLINE(
INDEX(
GOOGLEFINANCE(""IDX:""&amp;A1727,""close"",TODAY()-365,TODAY()),
,2
),
{""linewidth"",1}
))
"),"#N/A")</f>
        <v>#N/A</v>
      </c>
      <c r="E1727" s="14" t="s">
        <v>39</v>
      </c>
      <c r="F1727" s="25">
        <v>46356.0</v>
      </c>
      <c r="G1727" s="24">
        <f t="shared" si="10"/>
        <v>19</v>
      </c>
      <c r="H1727" s="19">
        <f>VLOOKUP(A1727,Metrik!$C$2:$Y$959,8,0)</f>
        <v>10.1</v>
      </c>
      <c r="I1727" s="20">
        <f>VLOOKUP(A1727,Metrik!$C$2:$Y$959,9,0)</f>
        <v>1.9</v>
      </c>
      <c r="J1727" s="20">
        <f>VLOOKUP(A1727,Metrik!$C$2:$Y$959,10,0)</f>
        <v>19.1</v>
      </c>
      <c r="K1727" s="20">
        <f>VLOOKUP(A1727,Metrik!$C$2:$Y$959,11,0)</f>
        <v>4.7</v>
      </c>
      <c r="L1727" s="20">
        <f>VLOOKUP(A1727,Metrik!$C$2:$Y$959,12,0)</f>
        <v>0.86</v>
      </c>
      <c r="M1727" s="20">
        <f>VLOOKUP(A1727,Metrik!$C$2:$Y$959,19,0)</f>
        <v>20.3</v>
      </c>
      <c r="N1727" s="21"/>
      <c r="O1727" s="21"/>
      <c r="P1727" s="21"/>
      <c r="Q1727" s="21"/>
      <c r="R1727" s="21"/>
      <c r="S1727" s="21"/>
      <c r="T1727" s="21"/>
      <c r="U1727" s="22">
        <f>IFERROR(__xludf.DUMMYFUNCTION("IFERROR(GOOGLEFINANCE(A1727,""closeyest""),"""")"),2870.0)</f>
        <v>2870</v>
      </c>
      <c r="V1727" s="23">
        <f>IFERROR(__xludf.DUMMYFUNCTION("IFERROR(GOOGLEFINANCE(A1727,""changepct""),"""")"),-0.35)</f>
        <v>-0.35</v>
      </c>
      <c r="W1727" s="22">
        <f>IFERROR(__xludf.DUMMYFUNCTION("IFERROR(GOOGLEFINANCE(A1727,""priceopen""),"""")"),2910.0)</f>
        <v>2910</v>
      </c>
      <c r="X1727" s="22">
        <f>IFERROR(__xludf.DUMMYFUNCTION("IFERROR(GOOGLEFINANCE(A1727,""high""),"""")"),2980.0)</f>
        <v>2980</v>
      </c>
      <c r="Y1727" s="22">
        <f>IFERROR(__xludf.DUMMYFUNCTION("IFERROR(GOOGLEFINANCE(A1727,""low""),"""")"),2860.0)</f>
        <v>2860</v>
      </c>
      <c r="Z1727" s="22">
        <f>IFERROR(__xludf.DUMMYFUNCTION("IFERROR(GOOGLEFINANCE(A1727,""volume""),"""")"),1.815319E8)</f>
        <v>181531900</v>
      </c>
      <c r="AA1727" s="24" t="str">
        <f>VLOOKUP(A1727,Metrik!$C$2:$Y$959,5,0)</f>
        <v>Telecommunication Service</v>
      </c>
      <c r="AB1727" s="24" t="str">
        <f>VLOOKUP(A1727,Metrik!$C$2:$Y$959,3,0)</f>
        <v>Infrastructures</v>
      </c>
    </row>
    <row r="1728">
      <c r="A1728" s="14" t="s">
        <v>939</v>
      </c>
      <c r="B1728" s="14" t="str">
        <f t="array" ref="B1728">VLOOKUP(A1728,{Metrik!$C$2:$C$998,Metrik!$B$2:$B$998},2,0)</f>
        <v>PT Temas Tbk.</v>
      </c>
      <c r="C1728" s="15">
        <f>IFERROR(__xludf.DUMMYFUNCTION("GOOGLEFINANCE(""IDX:""&amp;A1728,""price"")"),117.0)</f>
        <v>117</v>
      </c>
      <c r="D1728" s="16" t="str">
        <f>IFERROR(__xludf.DUMMYFUNCTION("IF(A1728="""","""",
SPARKLINE(
INDEX(
GOOGLEFINANCE(""IDX:""&amp;A1728,""close"",TODAY()-365,TODAY()),
,2
),
{""linewidth"",1}
))
"),"#N/A")</f>
        <v>#N/A</v>
      </c>
      <c r="E1728" s="26"/>
      <c r="F1728" s="26"/>
      <c r="G1728" s="18">
        <f t="shared" si="10"/>
        <v>0</v>
      </c>
      <c r="H1728" s="19">
        <f>VLOOKUP(A1728,Metrik!$C$2:$Y$959,8,0)</f>
        <v>12.9</v>
      </c>
      <c r="I1728" s="20">
        <f>VLOOKUP(A1728,Metrik!$C$2:$Y$959,9,0)</f>
        <v>2.1</v>
      </c>
      <c r="J1728" s="20">
        <f>VLOOKUP(A1728,Metrik!$C$2:$Y$959,10,0)</f>
        <v>15.9</v>
      </c>
      <c r="K1728" s="20">
        <f>VLOOKUP(A1728,Metrik!$C$2:$Y$959,11,0)</f>
        <v>9.3</v>
      </c>
      <c r="L1728" s="20">
        <f>VLOOKUP(A1728,Metrik!$C$2:$Y$959,12,0)</f>
        <v>0.7</v>
      </c>
      <c r="M1728" s="20">
        <f>VLOOKUP(A1728,Metrik!$C$2:$Y$959,19,0)</f>
        <v>45.7</v>
      </c>
      <c r="N1728" s="21"/>
      <c r="O1728" s="21"/>
      <c r="P1728" s="21"/>
      <c r="Q1728" s="21"/>
      <c r="R1728" s="21"/>
      <c r="S1728" s="21"/>
      <c r="T1728" s="21"/>
      <c r="U1728" s="22">
        <f>IFERROR(__xludf.DUMMYFUNCTION("IFERROR(GOOGLEFINANCE(A1728,""closeyest""),"""")"),0.11)</f>
        <v>0.11</v>
      </c>
      <c r="V1728" s="23">
        <f>IFERROR(__xludf.DUMMYFUNCTION("IFERROR(GOOGLEFINANCE(A1728,""changepct""),"""")"),0.0)</f>
        <v>0</v>
      </c>
      <c r="W1728" s="22">
        <f>IFERROR(__xludf.DUMMYFUNCTION("IFERROR(GOOGLEFINANCE(A1728,""priceopen""),"""")"),0.11)</f>
        <v>0.11</v>
      </c>
      <c r="X1728" s="22">
        <f>IFERROR(__xludf.DUMMYFUNCTION("IFERROR(GOOGLEFINANCE(A1728,""high""),"""")"),0.11)</f>
        <v>0.11</v>
      </c>
      <c r="Y1728" s="22">
        <f>IFERROR(__xludf.DUMMYFUNCTION("IFERROR(GOOGLEFINANCE(A1728,""low""),"""")"),0.1)</f>
        <v>0.1</v>
      </c>
      <c r="Z1728" s="22">
        <f>IFERROR(__xludf.DUMMYFUNCTION("IFERROR(GOOGLEFINANCE(A1728,""volume""),"""")"),121768.0)</f>
        <v>121768</v>
      </c>
      <c r="AA1728" s="24" t="str">
        <f>VLOOKUP(A1728,Metrik!$C$2:$Y$959,5,0)</f>
        <v>Logistics &amp; Deliveries</v>
      </c>
      <c r="AB1728" s="24" t="str">
        <f>VLOOKUP(A1728,Metrik!$C$2:$Y$959,3,0)</f>
        <v>Transportation &amp; Logistic</v>
      </c>
    </row>
    <row r="1729">
      <c r="A1729" s="14" t="s">
        <v>940</v>
      </c>
      <c r="B1729" s="14" t="str">
        <f t="array" ref="B1729">VLOOKUP(A1729,{Metrik!$C$2:$C$998,Metrik!$B$2:$B$998},2,0)</f>
        <v>Tempo Intimedia Tbk.</v>
      </c>
      <c r="C1729" s="15" t="str">
        <f>IFERROR(__xludf.DUMMYFUNCTION("GOOGLEFINANCE(""IDX:""&amp;A1729,""price"")"),"#N/A")</f>
        <v>#N/A</v>
      </c>
      <c r="D1729" s="16" t="str">
        <f>IFERROR(__xludf.DUMMYFUNCTION("IF(A1729="""","""",
SPARKLINE(
INDEX(
GOOGLEFINANCE(""IDX:""&amp;A1729,""close"",TODAY()-365,TODAY()),
,2
),
{""linewidth"",1}
))
"),"#N/A")</f>
        <v>#N/A</v>
      </c>
      <c r="E1729" s="26"/>
      <c r="F1729" s="26"/>
      <c r="G1729" s="24">
        <f t="shared" si="10"/>
        <v>0</v>
      </c>
      <c r="H1729" s="19">
        <f>VLOOKUP(A1729,Metrik!$C$2:$Y$959,8,0)</f>
        <v>46.1</v>
      </c>
      <c r="I1729" s="20">
        <f>VLOOKUP(A1729,Metrik!$C$2:$Y$959,9,0)</f>
        <v>0.45</v>
      </c>
      <c r="J1729" s="20">
        <f>VLOOKUP(A1729,Metrik!$C$2:$Y$959,10,0)</f>
        <v>0.98</v>
      </c>
      <c r="K1729" s="20">
        <f>VLOOKUP(A1729,Metrik!$C$2:$Y$959,11,0)</f>
        <v>0.57</v>
      </c>
      <c r="L1729" s="20">
        <f>VLOOKUP(A1729,Metrik!$C$2:$Y$959,12,0)</f>
        <v>0.72</v>
      </c>
      <c r="M1729" s="20">
        <f>VLOOKUP(A1729,Metrik!$C$2:$Y$959,19,0)</f>
        <v>6.7</v>
      </c>
      <c r="N1729" s="21"/>
      <c r="O1729" s="21"/>
      <c r="P1729" s="21"/>
      <c r="Q1729" s="21"/>
      <c r="R1729" s="21"/>
      <c r="S1729" s="21"/>
      <c r="T1729" s="21"/>
      <c r="U1729" s="22">
        <f>IFERROR(__xludf.DUMMYFUNCTION("IFERROR(GOOGLEFINANCE(A1729,""closeyest""),"""")"),126.0)</f>
        <v>126</v>
      </c>
      <c r="V1729" s="23">
        <f>IFERROR(__xludf.DUMMYFUNCTION("IFERROR(GOOGLEFINANCE(A1729,""changepct""),"""")"),3.17)</f>
        <v>3.17</v>
      </c>
      <c r="W1729" s="22">
        <f>IFERROR(__xludf.DUMMYFUNCTION("IFERROR(GOOGLEFINANCE(A1729,""priceopen""),"""")"),141.0)</f>
        <v>141</v>
      </c>
      <c r="X1729" s="22">
        <f>IFERROR(__xludf.DUMMYFUNCTION("IFERROR(GOOGLEFINANCE(A1729,""high""),"""")"),165.0)</f>
        <v>165</v>
      </c>
      <c r="Y1729" s="22">
        <f>IFERROR(__xludf.DUMMYFUNCTION("IFERROR(GOOGLEFINANCE(A1729,""low""),"""")"),126.0)</f>
        <v>126</v>
      </c>
      <c r="Z1729" s="22">
        <f>IFERROR(__xludf.DUMMYFUNCTION("IFERROR(GOOGLEFINANCE(A1729,""volume""),"""")"),1.209063E8)</f>
        <v>120906300</v>
      </c>
      <c r="AA1729" s="24" t="str">
        <f>VLOOKUP(A1729,Metrik!$C$2:$Y$959,5,0)</f>
        <v>Media</v>
      </c>
      <c r="AB1729" s="24" t="str">
        <f>VLOOKUP(A1729,Metrik!$C$2:$Y$959,3,0)</f>
        <v>Consumer Cyclicals</v>
      </c>
    </row>
    <row r="1730">
      <c r="A1730" s="14" t="s">
        <v>941</v>
      </c>
      <c r="B1730" s="14" t="str">
        <f t="array" ref="B1730">VLOOKUP(A1730,{Metrik!$C$2:$C$998,Metrik!$B$2:$B$998},2,0)</f>
        <v>Trimuda Nuansa Citra Tbk.</v>
      </c>
      <c r="C1730" s="15">
        <f>IFERROR(__xludf.DUMMYFUNCTION("GOOGLEFINANCE(""IDX:""&amp;A1730,""price"")"),145.0)</f>
        <v>145</v>
      </c>
      <c r="D1730" s="16" t="str">
        <f>IFERROR(__xludf.DUMMYFUNCTION("IF(A1730="""","""",
SPARKLINE(
INDEX(
GOOGLEFINANCE(""IDX:""&amp;A1730,""close"",TODAY()-365,TODAY()),
,2
),
{""linewidth"",1}
))
"),"#N/A")</f>
        <v>#N/A</v>
      </c>
      <c r="E1730" s="26"/>
      <c r="F1730" s="26"/>
      <c r="G1730" s="24">
        <f t="shared" si="10"/>
        <v>0</v>
      </c>
      <c r="H1730" s="19">
        <f>VLOOKUP(A1730,Metrik!$C$2:$Y$959,8,0)</f>
        <v>-18.5</v>
      </c>
      <c r="I1730" s="20">
        <f>VLOOKUP(A1730,Metrik!$C$2:$Y$959,9,0)</f>
        <v>1.7</v>
      </c>
      <c r="J1730" s="20">
        <f>VLOOKUP(A1730,Metrik!$C$2:$Y$959,10,0)</f>
        <v>-9.4</v>
      </c>
      <c r="K1730" s="20">
        <f>VLOOKUP(A1730,Metrik!$C$2:$Y$959,11,0)</f>
        <v>-7</v>
      </c>
      <c r="L1730" s="20">
        <f>VLOOKUP(A1730,Metrik!$C$2:$Y$959,12,0)</f>
        <v>0.35</v>
      </c>
      <c r="M1730" s="20">
        <f>VLOOKUP(A1730,Metrik!$C$2:$Y$959,19,0)</f>
        <v>-20.7</v>
      </c>
      <c r="N1730" s="21"/>
      <c r="O1730" s="21"/>
      <c r="P1730" s="21"/>
      <c r="Q1730" s="21"/>
      <c r="R1730" s="21"/>
      <c r="S1730" s="21"/>
      <c r="T1730" s="21"/>
      <c r="U1730" s="22">
        <f>IFERROR(__xludf.DUMMYFUNCTION("IFERROR(GOOGLEFINANCE(A1730,""closeyest""),"""")"),137.0)</f>
        <v>137</v>
      </c>
      <c r="V1730" s="23">
        <f>IFERROR(__xludf.DUMMYFUNCTION("IFERROR(GOOGLEFINANCE(A1730,""changepct""),"""")"),5.84)</f>
        <v>5.84</v>
      </c>
      <c r="W1730" s="22">
        <f>IFERROR(__xludf.DUMMYFUNCTION("IFERROR(GOOGLEFINANCE(A1730,""priceopen""),"""")"),138.0)</f>
        <v>138</v>
      </c>
      <c r="X1730" s="22">
        <f>IFERROR(__xludf.DUMMYFUNCTION("IFERROR(GOOGLEFINANCE(A1730,""high""),"""")"),149.0)</f>
        <v>149</v>
      </c>
      <c r="Y1730" s="22">
        <f>IFERROR(__xludf.DUMMYFUNCTION("IFERROR(GOOGLEFINANCE(A1730,""low""),"""")"),138.0)</f>
        <v>138</v>
      </c>
      <c r="Z1730" s="22">
        <f>IFERROR(__xludf.DUMMYFUNCTION("IFERROR(GOOGLEFINANCE(A1730,""volume""),"""")"),52100.0)</f>
        <v>52100</v>
      </c>
      <c r="AA1730" s="24" t="str">
        <f>VLOOKUP(A1730,Metrik!$C$2:$Y$959,5,0)</f>
        <v>Logistics &amp; Deliveries</v>
      </c>
      <c r="AB1730" s="24" t="str">
        <f>VLOOKUP(A1730,Metrik!$C$2:$Y$959,3,0)</f>
        <v>Transportation &amp; Logistic</v>
      </c>
    </row>
    <row r="1731">
      <c r="A1731" s="17" t="s">
        <v>942</v>
      </c>
      <c r="B1731" s="14" t="str">
        <f t="array" ref="B1731">VLOOKUP(A1731,{Metrik!$C$2:$C$998,Metrik!$B$2:$B$998},2,0)</f>
        <v>TBS Energi Utama Tbk.</v>
      </c>
      <c r="C1731" s="15">
        <f>IFERROR(__xludf.DUMMYFUNCTION("GOOGLEFINANCE(""IDX:""&amp;A1731,""price"")"),402.0)</f>
        <v>402</v>
      </c>
      <c r="D1731" s="16" t="str">
        <f>IFERROR(__xludf.DUMMYFUNCTION("IF(A1731="""","""",
SPARKLINE(
INDEX(
GOOGLEFINANCE(""IDX:""&amp;A1731,""close"",TODAY()-365,TODAY()),
,2
),
{""linewidth"",1}
))
"),"#N/A")</f>
        <v>#N/A</v>
      </c>
      <c r="E1731" s="14" t="s">
        <v>39</v>
      </c>
      <c r="F1731" s="25">
        <v>46356.0</v>
      </c>
      <c r="G1731" s="18">
        <f t="shared" si="10"/>
        <v>3</v>
      </c>
      <c r="H1731" s="19">
        <f>VLOOKUP(A1731,Metrik!$C$2:$Y$959,8,0)</f>
        <v>-1.9</v>
      </c>
      <c r="I1731" s="20">
        <f>VLOOKUP(A1731,Metrik!$C$2:$Y$959,9,0)</f>
        <v>1</v>
      </c>
      <c r="J1731" s="20">
        <f>VLOOKUP(A1731,Metrik!$C$2:$Y$959,10,0)</f>
        <v>-53.6</v>
      </c>
      <c r="K1731" s="20">
        <f>VLOOKUP(A1731,Metrik!$C$2:$Y$959,11,0)</f>
        <v>-14</v>
      </c>
      <c r="L1731" s="20">
        <f>VLOOKUP(A1731,Metrik!$C$2:$Y$959,12,0)</f>
        <v>2.8</v>
      </c>
      <c r="M1731" s="20">
        <f>VLOOKUP(A1731,Metrik!$C$2:$Y$959,19,0)</f>
        <v>-130</v>
      </c>
      <c r="N1731" s="21"/>
      <c r="O1731" s="21"/>
      <c r="P1731" s="21"/>
      <c r="Q1731" s="21"/>
      <c r="R1731" s="21"/>
      <c r="S1731" s="21"/>
      <c r="T1731" s="21"/>
      <c r="U1731" s="22">
        <f>IFERROR(__xludf.DUMMYFUNCTION("IFERROR(GOOGLEFINANCE(A1731,""closeyest""),"""")"),378.0)</f>
        <v>378</v>
      </c>
      <c r="V1731" s="23">
        <f>IFERROR(__xludf.DUMMYFUNCTION("IFERROR(GOOGLEFINANCE(A1731,""changepct""),"""")"),6.35)</f>
        <v>6.35</v>
      </c>
      <c r="W1731" s="22">
        <f>IFERROR(__xludf.DUMMYFUNCTION("IFERROR(GOOGLEFINANCE(A1731,""priceopen""),"""")"),378.0)</f>
        <v>378</v>
      </c>
      <c r="X1731" s="22">
        <f>IFERROR(__xludf.DUMMYFUNCTION("IFERROR(GOOGLEFINANCE(A1731,""high""),"""")"),408.0)</f>
        <v>408</v>
      </c>
      <c r="Y1731" s="22">
        <f>IFERROR(__xludf.DUMMYFUNCTION("IFERROR(GOOGLEFINANCE(A1731,""low""),"""")"),378.0)</f>
        <v>378</v>
      </c>
      <c r="Z1731" s="22">
        <f>IFERROR(__xludf.DUMMYFUNCTION("IFERROR(GOOGLEFINANCE(A1731,""volume""),"""")"),1.08241E7)</f>
        <v>10824100</v>
      </c>
      <c r="AA1731" s="24" t="str">
        <f>VLOOKUP(A1731,Metrik!$C$2:$Y$959,5,0)</f>
        <v>Coal</v>
      </c>
      <c r="AB1731" s="24" t="str">
        <f>VLOOKUP(A1731,Metrik!$C$2:$Y$959,3,0)</f>
        <v>Energy</v>
      </c>
    </row>
    <row r="1732">
      <c r="A1732" s="14" t="s">
        <v>942</v>
      </c>
      <c r="B1732" s="14" t="str">
        <f t="array" ref="B1732">VLOOKUP(A1732,{Metrik!$C$2:$C$998,Metrik!$B$2:$B$998},2,0)</f>
        <v>TBS Energi Utama Tbk.</v>
      </c>
      <c r="C1732" s="15">
        <f>IFERROR(__xludf.DUMMYFUNCTION("GOOGLEFINANCE(""IDX:""&amp;A1732,""price"")"),402.0)</f>
        <v>402</v>
      </c>
      <c r="D1732" s="16" t="str">
        <f>IFERROR(__xludf.DUMMYFUNCTION("IF(A1732="""","""",
SPARKLINE(
INDEX(
GOOGLEFINANCE(""IDX:""&amp;A1732,""close"",TODAY()-365,TODAY()),
,2
),
{""linewidth"",1}
))
"),"#N/A")</f>
        <v>#N/A</v>
      </c>
      <c r="E1732" s="14" t="s">
        <v>161</v>
      </c>
      <c r="F1732" s="14" t="s">
        <v>76</v>
      </c>
      <c r="G1732" s="24">
        <f t="shared" si="10"/>
        <v>3</v>
      </c>
      <c r="H1732" s="19">
        <f>VLOOKUP(A1732,Metrik!$C$2:$Y$959,8,0)</f>
        <v>-1.9</v>
      </c>
      <c r="I1732" s="20">
        <f>VLOOKUP(A1732,Metrik!$C$2:$Y$959,9,0)</f>
        <v>1</v>
      </c>
      <c r="J1732" s="20">
        <f>VLOOKUP(A1732,Metrik!$C$2:$Y$959,10,0)</f>
        <v>-53.6</v>
      </c>
      <c r="K1732" s="20">
        <f>VLOOKUP(A1732,Metrik!$C$2:$Y$959,11,0)</f>
        <v>-14</v>
      </c>
      <c r="L1732" s="20">
        <f>VLOOKUP(A1732,Metrik!$C$2:$Y$959,12,0)</f>
        <v>2.8</v>
      </c>
      <c r="M1732" s="20">
        <f>VLOOKUP(A1732,Metrik!$C$2:$Y$959,19,0)</f>
        <v>-130</v>
      </c>
      <c r="N1732" s="21"/>
      <c r="O1732" s="21"/>
      <c r="P1732" s="21"/>
      <c r="Q1732" s="21"/>
      <c r="R1732" s="21"/>
      <c r="S1732" s="21"/>
      <c r="T1732" s="21"/>
      <c r="U1732" s="22">
        <f>IFERROR(__xludf.DUMMYFUNCTION("IFERROR(GOOGLEFINANCE(A1732,""closeyest""),"""")"),378.0)</f>
        <v>378</v>
      </c>
      <c r="V1732" s="23">
        <f>IFERROR(__xludf.DUMMYFUNCTION("IFERROR(GOOGLEFINANCE(A1732,""changepct""),"""")"),6.35)</f>
        <v>6.35</v>
      </c>
      <c r="W1732" s="22">
        <f>IFERROR(__xludf.DUMMYFUNCTION("IFERROR(GOOGLEFINANCE(A1732,""priceopen""),"""")"),378.0)</f>
        <v>378</v>
      </c>
      <c r="X1732" s="22">
        <f>IFERROR(__xludf.DUMMYFUNCTION("IFERROR(GOOGLEFINANCE(A1732,""high""),"""")"),408.0)</f>
        <v>408</v>
      </c>
      <c r="Y1732" s="22">
        <f>IFERROR(__xludf.DUMMYFUNCTION("IFERROR(GOOGLEFINANCE(A1732,""low""),"""")"),378.0)</f>
        <v>378</v>
      </c>
      <c r="Z1732" s="22">
        <f>IFERROR(__xludf.DUMMYFUNCTION("IFERROR(GOOGLEFINANCE(A1732,""volume""),"""")"),1.08241E7)</f>
        <v>10824100</v>
      </c>
      <c r="AA1732" s="24" t="str">
        <f>VLOOKUP(A1732,Metrik!$C$2:$Y$959,5,0)</f>
        <v>Coal</v>
      </c>
      <c r="AB1732" s="24" t="str">
        <f>VLOOKUP(A1732,Metrik!$C$2:$Y$959,3,0)</f>
        <v>Energy</v>
      </c>
    </row>
    <row r="1733">
      <c r="A1733" s="14" t="s">
        <v>942</v>
      </c>
      <c r="B1733" s="14" t="str">
        <f t="array" ref="B1733">VLOOKUP(A1733,{Metrik!$C$2:$C$998,Metrik!$B$2:$B$998},2,0)</f>
        <v>TBS Energi Utama Tbk.</v>
      </c>
      <c r="C1733" s="15">
        <f>IFERROR(__xludf.DUMMYFUNCTION("GOOGLEFINANCE(""IDX:""&amp;A1733,""price"")"),402.0)</f>
        <v>402</v>
      </c>
      <c r="D1733" s="16" t="str">
        <f>IFERROR(__xludf.DUMMYFUNCTION("IF(A1733="""","""",
SPARKLINE(
INDEX(
GOOGLEFINANCE(""IDX:""&amp;A1733,""close"",TODAY()-365,TODAY()),
,2
),
{""linewidth"",1}
))
"),"#N/A")</f>
        <v>#N/A</v>
      </c>
      <c r="E1733" s="14" t="s">
        <v>32</v>
      </c>
      <c r="F1733" s="14" t="s">
        <v>29</v>
      </c>
      <c r="G1733" s="24">
        <f t="shared" si="10"/>
        <v>3</v>
      </c>
      <c r="H1733" s="19">
        <f>VLOOKUP(A1733,Metrik!$C$2:$Y$959,8,0)</f>
        <v>-1.9</v>
      </c>
      <c r="I1733" s="20">
        <f>VLOOKUP(A1733,Metrik!$C$2:$Y$959,9,0)</f>
        <v>1</v>
      </c>
      <c r="J1733" s="20">
        <f>VLOOKUP(A1733,Metrik!$C$2:$Y$959,10,0)</f>
        <v>-53.6</v>
      </c>
      <c r="K1733" s="20">
        <f>VLOOKUP(A1733,Metrik!$C$2:$Y$959,11,0)</f>
        <v>-14</v>
      </c>
      <c r="L1733" s="20">
        <f>VLOOKUP(A1733,Metrik!$C$2:$Y$959,12,0)</f>
        <v>2.8</v>
      </c>
      <c r="M1733" s="20">
        <f>VLOOKUP(A1733,Metrik!$C$2:$Y$959,19,0)</f>
        <v>-130</v>
      </c>
      <c r="N1733" s="21"/>
      <c r="O1733" s="21"/>
      <c r="P1733" s="21"/>
      <c r="Q1733" s="21"/>
      <c r="R1733" s="21"/>
      <c r="S1733" s="21"/>
      <c r="T1733" s="21"/>
      <c r="U1733" s="22">
        <f>IFERROR(__xludf.DUMMYFUNCTION("IFERROR(GOOGLEFINANCE(A1733,""closeyest""),"""")"),378.0)</f>
        <v>378</v>
      </c>
      <c r="V1733" s="23">
        <f>IFERROR(__xludf.DUMMYFUNCTION("IFERROR(GOOGLEFINANCE(A1733,""changepct""),"""")"),6.35)</f>
        <v>6.35</v>
      </c>
      <c r="W1733" s="22">
        <f>IFERROR(__xludf.DUMMYFUNCTION("IFERROR(GOOGLEFINANCE(A1733,""priceopen""),"""")"),378.0)</f>
        <v>378</v>
      </c>
      <c r="X1733" s="22">
        <f>IFERROR(__xludf.DUMMYFUNCTION("IFERROR(GOOGLEFINANCE(A1733,""high""),"""")"),408.0)</f>
        <v>408</v>
      </c>
      <c r="Y1733" s="22">
        <f>IFERROR(__xludf.DUMMYFUNCTION("IFERROR(GOOGLEFINANCE(A1733,""low""),"""")"),378.0)</f>
        <v>378</v>
      </c>
      <c r="Z1733" s="22">
        <f>IFERROR(__xludf.DUMMYFUNCTION("IFERROR(GOOGLEFINANCE(A1733,""volume""),"""")"),1.08241E7)</f>
        <v>10824100</v>
      </c>
      <c r="AA1733" s="24" t="str">
        <f>VLOOKUP(A1733,Metrik!$C$2:$Y$959,5,0)</f>
        <v>Coal</v>
      </c>
      <c r="AB1733" s="24" t="str">
        <f>VLOOKUP(A1733,Metrik!$C$2:$Y$959,3,0)</f>
        <v>Energy</v>
      </c>
    </row>
    <row r="1734">
      <c r="A1734" s="14" t="s">
        <v>943</v>
      </c>
      <c r="B1734" s="14" t="str">
        <f t="array" ref="B1734">VLOOKUP(A1734,{Metrik!$C$2:$C$998,Metrik!$B$2:$B$998},2,0)</f>
        <v>Rohartindo Nusantara Luas Tbk.</v>
      </c>
      <c r="C1734" s="15">
        <f>IFERROR(__xludf.DUMMYFUNCTION("GOOGLEFINANCE(""IDX:""&amp;A1734,""price"")"),57.0)</f>
        <v>57</v>
      </c>
      <c r="D1734" s="16" t="str">
        <f>IFERROR(__xludf.DUMMYFUNCTION("IF(A1734="""","""",
SPARKLINE(
INDEX(
GOOGLEFINANCE(""IDX:""&amp;A1734,""close"",TODAY()-365,TODAY()),
,2
),
{""linewidth"",1}
))
"),"#N/A")</f>
        <v>#N/A</v>
      </c>
      <c r="E1734" s="26"/>
      <c r="F1734" s="26"/>
      <c r="G1734" s="24">
        <f t="shared" si="10"/>
        <v>0</v>
      </c>
      <c r="H1734" s="19">
        <f>VLOOKUP(A1734,Metrik!$C$2:$Y$959,8,0)</f>
        <v>-15.8</v>
      </c>
      <c r="I1734" s="20">
        <f>VLOOKUP(A1734,Metrik!$C$2:$Y$959,9,0)</f>
        <v>0.8</v>
      </c>
      <c r="J1734" s="20">
        <f>VLOOKUP(A1734,Metrik!$C$2:$Y$959,10,0)</f>
        <v>-5.1</v>
      </c>
      <c r="K1734" s="20">
        <f>VLOOKUP(A1734,Metrik!$C$2:$Y$959,11,0)</f>
        <v>-4.6</v>
      </c>
      <c r="L1734" s="20">
        <f>VLOOKUP(A1734,Metrik!$C$2:$Y$959,12,0)</f>
        <v>0.11</v>
      </c>
      <c r="M1734" s="20">
        <f>VLOOKUP(A1734,Metrik!$C$2:$Y$959,19,0)</f>
        <v>-90.8</v>
      </c>
      <c r="N1734" s="21"/>
      <c r="O1734" s="21"/>
      <c r="P1734" s="21"/>
      <c r="Q1734" s="21"/>
      <c r="R1734" s="21"/>
      <c r="S1734" s="21"/>
      <c r="T1734" s="21"/>
      <c r="U1734" s="22">
        <f>IFERROR(__xludf.DUMMYFUNCTION("IFERROR(GOOGLEFINANCE(A1734,""closeyest""),"""")"),54.0)</f>
        <v>54</v>
      </c>
      <c r="V1734" s="23">
        <f>IFERROR(__xludf.DUMMYFUNCTION("IFERROR(GOOGLEFINANCE(A1734,""changepct""),"""")"),5.56)</f>
        <v>5.56</v>
      </c>
      <c r="W1734" s="22">
        <f>IFERROR(__xludf.DUMMYFUNCTION("IFERROR(GOOGLEFINANCE(A1734,""priceopen""),"""")"),55.0)</f>
        <v>55</v>
      </c>
      <c r="X1734" s="22">
        <f>IFERROR(__xludf.DUMMYFUNCTION("IFERROR(GOOGLEFINANCE(A1734,""high""),"""")"),66.0)</f>
        <v>66</v>
      </c>
      <c r="Y1734" s="22">
        <f>IFERROR(__xludf.DUMMYFUNCTION("IFERROR(GOOGLEFINANCE(A1734,""low""),"""")"),55.0)</f>
        <v>55</v>
      </c>
      <c r="Z1734" s="22">
        <f>IFERROR(__xludf.DUMMYFUNCTION("IFERROR(GOOGLEFINANCE(A1734,""volume""),"""")"),2.383709E8)</f>
        <v>238370900</v>
      </c>
      <c r="AA1734" s="24" t="str">
        <f>VLOOKUP(A1734,Metrik!$C$2:$Y$959,5,0)</f>
        <v>Specialty Retail</v>
      </c>
      <c r="AB1734" s="24" t="str">
        <f>VLOOKUP(A1734,Metrik!$C$2:$Y$959,3,0)</f>
        <v>Consumer Cyclicals</v>
      </c>
    </row>
    <row r="1735">
      <c r="A1735" s="14" t="s">
        <v>944</v>
      </c>
      <c r="B1735" s="14" t="str">
        <f t="array" ref="B1735">VLOOKUP(A1735,{Metrik!$C$2:$C$998,Metrik!$B$2:$B$998},2,0)</f>
        <v>PT Totalindo Eka Persada Tbk.</v>
      </c>
      <c r="C1735" s="15">
        <f>IFERROR(__xludf.DUMMYFUNCTION("GOOGLEFINANCE(""IDX:""&amp;A1735,""price"")"),1.0)</f>
        <v>1</v>
      </c>
      <c r="D1735" s="16" t="str">
        <f>IFERROR(__xludf.DUMMYFUNCTION("IF(A1735="""","""",
SPARKLINE(
INDEX(
GOOGLEFINANCE(""IDX:""&amp;A1735,""close"",TODAY()-365,TODAY()),
,2
),
{""linewidth"",1}
))
"),"#N/A")</f>
        <v>#N/A</v>
      </c>
      <c r="E1735" s="26"/>
      <c r="F1735" s="26"/>
      <c r="G1735" s="24">
        <f t="shared" si="10"/>
        <v>0</v>
      </c>
      <c r="H1735" s="19">
        <f>VLOOKUP(A1735,Metrik!$C$2:$Y$959,8,0)</f>
        <v>0</v>
      </c>
      <c r="I1735" s="20">
        <f>VLOOKUP(A1735,Metrik!$C$2:$Y$959,9,0)</f>
        <v>0.08</v>
      </c>
      <c r="J1735" s="20">
        <f>VLOOKUP(A1735,Metrik!$C$2:$Y$959,10,0)</f>
        <v>-68.6</v>
      </c>
      <c r="K1735" s="20">
        <f>VLOOKUP(A1735,Metrik!$C$2:$Y$959,11,0)</f>
        <v>-17.6</v>
      </c>
      <c r="L1735" s="20">
        <f>VLOOKUP(A1735,Metrik!$C$2:$Y$959,12,0)</f>
        <v>2.9</v>
      </c>
      <c r="M1735" s="20">
        <f>VLOOKUP(A1735,Metrik!$C$2:$Y$959,19,0)</f>
        <v>-680</v>
      </c>
      <c r="N1735" s="21"/>
      <c r="O1735" s="21"/>
      <c r="P1735" s="21"/>
      <c r="Q1735" s="21"/>
      <c r="R1735" s="21"/>
      <c r="S1735" s="21"/>
      <c r="T1735" s="21"/>
      <c r="U1735" s="22">
        <f>IFERROR(__xludf.DUMMYFUNCTION("IFERROR(GOOGLEFINANCE(A1735,""closeyest""),"""")"),0.95)</f>
        <v>0.95</v>
      </c>
      <c r="V1735" s="23">
        <f>IFERROR(__xludf.DUMMYFUNCTION("IFERROR(GOOGLEFINANCE(A1735,""changepct""),"""")"),-1.68)</f>
        <v>-1.68</v>
      </c>
      <c r="W1735" s="22">
        <f>IFERROR(__xludf.DUMMYFUNCTION("IFERROR(GOOGLEFINANCE(A1735,""priceopen""),"""")"),0.95)</f>
        <v>0.95</v>
      </c>
      <c r="X1735" s="22">
        <f>IFERROR(__xludf.DUMMYFUNCTION("IFERROR(GOOGLEFINANCE(A1735,""high""),"""")"),0.97)</f>
        <v>0.97</v>
      </c>
      <c r="Y1735" s="22">
        <f>IFERROR(__xludf.DUMMYFUNCTION("IFERROR(GOOGLEFINANCE(A1735,""low""),"""")"),0.91)</f>
        <v>0.91</v>
      </c>
      <c r="Z1735" s="22">
        <f>IFERROR(__xludf.DUMMYFUNCTION("IFERROR(GOOGLEFINANCE(A1735,""volume""),"""")"),251878.0)</f>
        <v>251878</v>
      </c>
      <c r="AA1735" s="24" t="str">
        <f>VLOOKUP(A1735,Metrik!$C$2:$Y$959,5,0)</f>
        <v>Heavy Constructions &amp; Civil Engineering</v>
      </c>
      <c r="AB1735" s="24" t="str">
        <f>VLOOKUP(A1735,Metrik!$C$2:$Y$959,3,0)</f>
        <v>Infrastructures</v>
      </c>
    </row>
    <row r="1736">
      <c r="A1736" s="14" t="s">
        <v>945</v>
      </c>
      <c r="B1736" s="14" t="str">
        <f t="array" ref="B1736">VLOOKUP(A1736,{Metrik!$C$2:$C$998,Metrik!$B$2:$B$998},2,0)</f>
        <v>Topindo Solusi Komunika Tbk.</v>
      </c>
      <c r="C1736" s="15">
        <f>IFERROR(__xludf.DUMMYFUNCTION("GOOGLEFINANCE(""IDX:""&amp;A1736,""price"")"),56.0)</f>
        <v>56</v>
      </c>
      <c r="D1736" s="16" t="str">
        <f>IFERROR(__xludf.DUMMYFUNCTION("IF(A1736="""","""",
SPARKLINE(
INDEX(
GOOGLEFINANCE(""IDX:""&amp;A1736,""close"",TODAY()-365,TODAY()),
,2
),
{""linewidth"",1}
))
"),"#N/A")</f>
        <v>#N/A</v>
      </c>
      <c r="E1736" s="26"/>
      <c r="F1736" s="26"/>
      <c r="G1736" s="24">
        <f t="shared" si="10"/>
        <v>0</v>
      </c>
      <c r="H1736" s="19">
        <f>VLOOKUP(A1736,Metrik!$C$2:$Y$959,8,0)</f>
        <v>53.8</v>
      </c>
      <c r="I1736" s="20">
        <f>VLOOKUP(A1736,Metrik!$C$2:$Y$959,9,0)</f>
        <v>1.5</v>
      </c>
      <c r="J1736" s="20">
        <f>VLOOKUP(A1736,Metrik!$C$2:$Y$959,10,0)</f>
        <v>2.8</v>
      </c>
      <c r="K1736" s="20">
        <f>VLOOKUP(A1736,Metrik!$C$2:$Y$959,11,0)</f>
        <v>2.2</v>
      </c>
      <c r="L1736" s="20">
        <f>VLOOKUP(A1736,Metrik!$C$2:$Y$959,12,0)</f>
        <v>0.27</v>
      </c>
      <c r="M1736" s="20">
        <f>VLOOKUP(A1736,Metrik!$C$2:$Y$959,19,0)</f>
        <v>1.1</v>
      </c>
      <c r="N1736" s="21"/>
      <c r="O1736" s="21"/>
      <c r="P1736" s="21"/>
      <c r="Q1736" s="21"/>
      <c r="R1736" s="21"/>
      <c r="S1736" s="21"/>
      <c r="T1736" s="21"/>
      <c r="U1736" s="22">
        <f>IFERROR(__xludf.DUMMYFUNCTION("IFERROR(GOOGLEFINANCE(A1736,""closeyest""),"""")"),54.0)</f>
        <v>54</v>
      </c>
      <c r="V1736" s="23">
        <f>IFERROR(__xludf.DUMMYFUNCTION("IFERROR(GOOGLEFINANCE(A1736,""changepct""),"""")"),3.7)</f>
        <v>3.7</v>
      </c>
      <c r="W1736" s="22">
        <f>IFERROR(__xludf.DUMMYFUNCTION("IFERROR(GOOGLEFINANCE(A1736,""priceopen""),"""")"),54.0)</f>
        <v>54</v>
      </c>
      <c r="X1736" s="22">
        <f>IFERROR(__xludf.DUMMYFUNCTION("IFERROR(GOOGLEFINANCE(A1736,""high""),"""")"),57.0)</f>
        <v>57</v>
      </c>
      <c r="Y1736" s="22">
        <f>IFERROR(__xludf.DUMMYFUNCTION("IFERROR(GOOGLEFINANCE(A1736,""low""),"""")"),54.0)</f>
        <v>54</v>
      </c>
      <c r="Z1736" s="22">
        <f>IFERROR(__xludf.DUMMYFUNCTION("IFERROR(GOOGLEFINANCE(A1736,""volume""),"""")"),5857500.0)</f>
        <v>5857500</v>
      </c>
      <c r="AA1736" s="24" t="str">
        <f>VLOOKUP(A1736,Metrik!$C$2:$Y$959,5,0)</f>
        <v>Online Applications &amp; Services</v>
      </c>
      <c r="AB1736" s="24" t="str">
        <f>VLOOKUP(A1736,Metrik!$C$2:$Y$959,3,0)</f>
        <v>Technology</v>
      </c>
    </row>
    <row r="1737">
      <c r="A1737" s="17" t="s">
        <v>946</v>
      </c>
      <c r="B1737" s="14" t="str">
        <f t="array" ref="B1737">VLOOKUP(A1737,{Metrik!$C$2:$C$998,Metrik!$B$2:$B$998},2,0)</f>
        <v>Total Bangun Persada Tbk</v>
      </c>
      <c r="C1737" s="15">
        <f>IFERROR(__xludf.DUMMYFUNCTION("GOOGLEFINANCE(""IDX:""&amp;A1737,""price"")"),1065.0)</f>
        <v>1065</v>
      </c>
      <c r="D1737" s="16" t="str">
        <f>IFERROR(__xludf.DUMMYFUNCTION("IF(A1737="""","""",
SPARKLINE(
INDEX(
GOOGLEFINANCE(""IDX:""&amp;A1737,""close"",TODAY()-365,TODAY()),
,2
),
{""linewidth"",1}
))
"),"#N/A")</f>
        <v>#N/A</v>
      </c>
      <c r="E1737" s="14"/>
      <c r="F1737" s="17"/>
      <c r="G1737" s="18">
        <f t="shared" si="10"/>
        <v>0</v>
      </c>
      <c r="H1737" s="19">
        <f>VLOOKUP(A1737,Metrik!$C$2:$Y$959,8,0)</f>
        <v>8</v>
      </c>
      <c r="I1737" s="20">
        <f>VLOOKUP(A1737,Metrik!$C$2:$Y$959,9,0)</f>
        <v>2.5</v>
      </c>
      <c r="J1737" s="20">
        <f>VLOOKUP(A1737,Metrik!$C$2:$Y$959,10,0)</f>
        <v>30.9</v>
      </c>
      <c r="K1737" s="20">
        <f>VLOOKUP(A1737,Metrik!$C$2:$Y$959,11,0)</f>
        <v>10.2</v>
      </c>
      <c r="L1737" s="20">
        <f>VLOOKUP(A1737,Metrik!$C$2:$Y$959,12,0)</f>
        <v>2</v>
      </c>
      <c r="M1737" s="20">
        <f>VLOOKUP(A1737,Metrik!$C$2:$Y$959,19,0)</f>
        <v>52.8</v>
      </c>
      <c r="N1737" s="21"/>
      <c r="O1737" s="21"/>
      <c r="P1737" s="21"/>
      <c r="Q1737" s="21"/>
      <c r="R1737" s="21"/>
      <c r="S1737" s="21"/>
      <c r="T1737" s="21"/>
      <c r="U1737" s="22">
        <f>IFERROR(__xludf.DUMMYFUNCTION("IFERROR(GOOGLEFINANCE(A1737,""closeyest""),"""")"),39.32)</f>
        <v>39.32</v>
      </c>
      <c r="V1737" s="23">
        <f>IFERROR(__xludf.DUMMYFUNCTION("IFERROR(GOOGLEFINANCE(A1737,""changepct""),"""")"),0.18)</f>
        <v>0.18</v>
      </c>
      <c r="W1737" s="22">
        <f>IFERROR(__xludf.DUMMYFUNCTION("IFERROR(GOOGLEFINANCE(A1737,""priceopen""),"""")"),39.35)</f>
        <v>39.35</v>
      </c>
      <c r="X1737" s="22">
        <f>IFERROR(__xludf.DUMMYFUNCTION("IFERROR(GOOGLEFINANCE(A1737,""high""),"""")"),39.39)</f>
        <v>39.39</v>
      </c>
      <c r="Y1737" s="22">
        <f>IFERROR(__xludf.DUMMYFUNCTION("IFERROR(GOOGLEFINANCE(A1737,""low""),"""")"),39.29)</f>
        <v>39.29</v>
      </c>
      <c r="Z1737" s="22">
        <f>IFERROR(__xludf.DUMMYFUNCTION("IFERROR(GOOGLEFINANCE(A1737,""volume""),"""")"),38237.0)</f>
        <v>38237</v>
      </c>
      <c r="AA1737" s="24" t="str">
        <f>VLOOKUP(A1737,Metrik!$C$2:$Y$959,5,0)</f>
        <v>Heavy Constructions &amp; Civil Engineering</v>
      </c>
      <c r="AB1737" s="24" t="str">
        <f>VLOOKUP(A1737,Metrik!$C$2:$Y$959,3,0)</f>
        <v>Infrastructures</v>
      </c>
    </row>
    <row r="1738">
      <c r="A1738" s="14" t="s">
        <v>947</v>
      </c>
      <c r="B1738" s="14" t="str">
        <f t="array" ref="B1738">VLOOKUP(A1738,{Metrik!$C$2:$C$998,Metrik!$B$2:$B$998},2,0)</f>
        <v>Surya Toto Indonesia Tbk.</v>
      </c>
      <c r="C1738" s="15">
        <f>IFERROR(__xludf.DUMMYFUNCTION("GOOGLEFINANCE(""IDX:""&amp;A1738,""price"")"),232.0)</f>
        <v>232</v>
      </c>
      <c r="D1738" s="16" t="str">
        <f>IFERROR(__xludf.DUMMYFUNCTION("IF(A1738="""","""",
SPARKLINE(
INDEX(
GOOGLEFINANCE(""IDX:""&amp;A1738,""close"",TODAY()-365,TODAY()),
,2
),
{""linewidth"",1}
))
"),"#N/A")</f>
        <v>#N/A</v>
      </c>
      <c r="E1738" s="26"/>
      <c r="F1738" s="26"/>
      <c r="G1738" s="18">
        <f t="shared" si="10"/>
        <v>0</v>
      </c>
      <c r="H1738" s="19">
        <f>VLOOKUP(A1738,Metrik!$C$2:$Y$959,8,0)</f>
        <v>8.2</v>
      </c>
      <c r="I1738" s="20">
        <f>VLOOKUP(A1738,Metrik!$C$2:$Y$959,9,0)</f>
        <v>0.97</v>
      </c>
      <c r="J1738" s="20">
        <f>VLOOKUP(A1738,Metrik!$C$2:$Y$959,10,0)</f>
        <v>11.9</v>
      </c>
      <c r="K1738" s="20">
        <f>VLOOKUP(A1738,Metrik!$C$2:$Y$959,11,0)</f>
        <v>9.1</v>
      </c>
      <c r="L1738" s="20">
        <f>VLOOKUP(A1738,Metrik!$C$2:$Y$959,12,0)</f>
        <v>0.31</v>
      </c>
      <c r="M1738" s="20">
        <f>VLOOKUP(A1738,Metrik!$C$2:$Y$959,19,0)</f>
        <v>64.1</v>
      </c>
      <c r="N1738" s="21"/>
      <c r="O1738" s="21"/>
      <c r="P1738" s="21"/>
      <c r="Q1738" s="21"/>
      <c r="R1738" s="21"/>
      <c r="S1738" s="21"/>
      <c r="T1738" s="21"/>
      <c r="U1738" s="22">
        <f>IFERROR(__xludf.DUMMYFUNCTION("IFERROR(GOOGLEFINANCE(A1738,""closeyest""),"""")"),223.0)</f>
        <v>223</v>
      </c>
      <c r="V1738" s="23">
        <f>IFERROR(__xludf.DUMMYFUNCTION("IFERROR(GOOGLEFINANCE(A1738,""changepct""),"""")"),4.04)</f>
        <v>4.04</v>
      </c>
      <c r="W1738" s="22">
        <f>IFERROR(__xludf.DUMMYFUNCTION("IFERROR(GOOGLEFINANCE(A1738,""priceopen""),"""")"),226.0)</f>
        <v>226</v>
      </c>
      <c r="X1738" s="22">
        <f>IFERROR(__xludf.DUMMYFUNCTION("IFERROR(GOOGLEFINANCE(A1738,""high""),"""")"),234.0)</f>
        <v>234</v>
      </c>
      <c r="Y1738" s="22">
        <f>IFERROR(__xludf.DUMMYFUNCTION("IFERROR(GOOGLEFINANCE(A1738,""low""),"""")"),202.0)</f>
        <v>202</v>
      </c>
      <c r="Z1738" s="22">
        <f>IFERROR(__xludf.DUMMYFUNCTION("IFERROR(GOOGLEFINANCE(A1738,""volume""),"""")"),2068600.0)</f>
        <v>2068600</v>
      </c>
      <c r="AA1738" s="24" t="str">
        <f>VLOOKUP(A1738,Metrik!$C$2:$Y$959,5,0)</f>
        <v>Building Products &amp; Fixtures</v>
      </c>
      <c r="AB1738" s="24" t="str">
        <f>VLOOKUP(A1738,Metrik!$C$2:$Y$959,3,0)</f>
        <v>Industrials</v>
      </c>
    </row>
    <row r="1739">
      <c r="A1739" s="14" t="s">
        <v>948</v>
      </c>
      <c r="B1739" s="14" t="str">
        <f t="array" ref="B1739">VLOOKUP(A1739,{Metrik!$C$2:$C$998,Metrik!$B$2:$B$998},2,0)</f>
        <v>Sarana Menara Nusantara Tbk</v>
      </c>
      <c r="C1739" s="15">
        <f>IFERROR(__xludf.DUMMYFUNCTION("GOOGLEFINANCE(""IDX:""&amp;A1739,""price"")"),344.0)</f>
        <v>344</v>
      </c>
      <c r="D1739" s="16" t="str">
        <f>IFERROR(__xludf.DUMMYFUNCTION("IF(A1739="""","""",
SPARKLINE(
INDEX(
GOOGLEFINANCE(""IDX:""&amp;A1739,""close"",TODAY()-365,TODAY()),
,2
),
{""linewidth"",1}
))
"),"#N/A")</f>
        <v>#N/A</v>
      </c>
      <c r="E1739" s="14" t="s">
        <v>47</v>
      </c>
      <c r="F1739" s="25">
        <v>46356.0</v>
      </c>
      <c r="G1739" s="24">
        <f t="shared" si="10"/>
        <v>11</v>
      </c>
      <c r="H1739" s="19">
        <f>VLOOKUP(A1739,Metrik!$C$2:$Y$959,8,0)</f>
        <v>6.1</v>
      </c>
      <c r="I1739" s="20">
        <f>VLOOKUP(A1739,Metrik!$C$2:$Y$959,9,0)</f>
        <v>0.83</v>
      </c>
      <c r="J1739" s="20">
        <f>VLOOKUP(A1739,Metrik!$C$2:$Y$959,10,0)</f>
        <v>13.6</v>
      </c>
      <c r="K1739" s="20">
        <f>VLOOKUP(A1739,Metrik!$C$2:$Y$959,11,0)</f>
        <v>4.8</v>
      </c>
      <c r="L1739" s="20">
        <f>VLOOKUP(A1739,Metrik!$C$2:$Y$959,12,0)</f>
        <v>1.9</v>
      </c>
      <c r="M1739" s="20">
        <f>VLOOKUP(A1739,Metrik!$C$2:$Y$959,19,0)</f>
        <v>27.6</v>
      </c>
      <c r="N1739" s="21"/>
      <c r="O1739" s="21"/>
      <c r="P1739" s="21"/>
      <c r="Q1739" s="21"/>
      <c r="R1739" s="21"/>
      <c r="S1739" s="21"/>
      <c r="T1739" s="21"/>
      <c r="U1739" s="22">
        <f>IFERROR(__xludf.DUMMYFUNCTION("IFERROR(GOOGLEFINANCE(A1739,""closeyest""),"""")"),332.0)</f>
        <v>332</v>
      </c>
      <c r="V1739" s="23">
        <f>IFERROR(__xludf.DUMMYFUNCTION("IFERROR(GOOGLEFINANCE(A1739,""changepct""),"""")"),3.61)</f>
        <v>3.61</v>
      </c>
      <c r="W1739" s="22">
        <f>IFERROR(__xludf.DUMMYFUNCTION("IFERROR(GOOGLEFINANCE(A1739,""priceopen""),"""")"),334.0)</f>
        <v>334</v>
      </c>
      <c r="X1739" s="22">
        <f>IFERROR(__xludf.DUMMYFUNCTION("IFERROR(GOOGLEFINANCE(A1739,""high""),"""")"),354.0)</f>
        <v>354</v>
      </c>
      <c r="Y1739" s="22">
        <f>IFERROR(__xludf.DUMMYFUNCTION("IFERROR(GOOGLEFINANCE(A1739,""low""),"""")"),332.0)</f>
        <v>332</v>
      </c>
      <c r="Z1739" s="22">
        <f>IFERROR(__xludf.DUMMYFUNCTION("IFERROR(GOOGLEFINANCE(A1739,""volume""),"""")"),2.291744E8)</f>
        <v>229174400</v>
      </c>
      <c r="AA1739" s="24" t="str">
        <f>VLOOKUP(A1739,Metrik!$C$2:$Y$959,5,0)</f>
        <v>Wireless Telecommunication Services</v>
      </c>
      <c r="AB1739" s="24" t="str">
        <f>VLOOKUP(A1739,Metrik!$C$2:$Y$959,3,0)</f>
        <v>Infrastructures</v>
      </c>
    </row>
    <row r="1740">
      <c r="A1740" s="14" t="s">
        <v>948</v>
      </c>
      <c r="B1740" s="14" t="str">
        <f t="array" ref="B1740">VLOOKUP(A1740,{Metrik!$C$2:$C$998,Metrik!$B$2:$B$998},2,0)</f>
        <v>Sarana Menara Nusantara Tbk</v>
      </c>
      <c r="C1740" s="15">
        <f>IFERROR(__xludf.DUMMYFUNCTION("GOOGLEFINANCE(""IDX:""&amp;A1740,""price"")"),344.0)</f>
        <v>344</v>
      </c>
      <c r="D1740" s="16" t="str">
        <f>IFERROR(__xludf.DUMMYFUNCTION("IF(A1740="""","""",
SPARKLINE(
INDEX(
GOOGLEFINANCE(""IDX:""&amp;A1740,""close"",TODAY()-365,TODAY()),
,2
),
{""linewidth"",1}
))
"),"#N/A")</f>
        <v>#N/A</v>
      </c>
      <c r="E1740" s="14" t="s">
        <v>42</v>
      </c>
      <c r="F1740" s="25">
        <v>46356.0</v>
      </c>
      <c r="G1740" s="24">
        <f t="shared" si="10"/>
        <v>11</v>
      </c>
      <c r="H1740" s="19">
        <f>VLOOKUP(A1740,Metrik!$C$2:$Y$959,8,0)</f>
        <v>6.1</v>
      </c>
      <c r="I1740" s="20">
        <f>VLOOKUP(A1740,Metrik!$C$2:$Y$959,9,0)</f>
        <v>0.83</v>
      </c>
      <c r="J1740" s="20">
        <f>VLOOKUP(A1740,Metrik!$C$2:$Y$959,10,0)</f>
        <v>13.6</v>
      </c>
      <c r="K1740" s="20">
        <f>VLOOKUP(A1740,Metrik!$C$2:$Y$959,11,0)</f>
        <v>4.8</v>
      </c>
      <c r="L1740" s="20">
        <f>VLOOKUP(A1740,Metrik!$C$2:$Y$959,12,0)</f>
        <v>1.9</v>
      </c>
      <c r="M1740" s="20">
        <f>VLOOKUP(A1740,Metrik!$C$2:$Y$959,19,0)</f>
        <v>27.6</v>
      </c>
      <c r="N1740" s="21"/>
      <c r="O1740" s="21"/>
      <c r="P1740" s="21"/>
      <c r="Q1740" s="21"/>
      <c r="R1740" s="21"/>
      <c r="S1740" s="21"/>
      <c r="T1740" s="21"/>
      <c r="U1740" s="22">
        <f>IFERROR(__xludf.DUMMYFUNCTION("IFERROR(GOOGLEFINANCE(A1740,""closeyest""),"""")"),332.0)</f>
        <v>332</v>
      </c>
      <c r="V1740" s="23">
        <f>IFERROR(__xludf.DUMMYFUNCTION("IFERROR(GOOGLEFINANCE(A1740,""changepct""),"""")"),3.61)</f>
        <v>3.61</v>
      </c>
      <c r="W1740" s="22">
        <f>IFERROR(__xludf.DUMMYFUNCTION("IFERROR(GOOGLEFINANCE(A1740,""priceopen""),"""")"),334.0)</f>
        <v>334</v>
      </c>
      <c r="X1740" s="22">
        <f>IFERROR(__xludf.DUMMYFUNCTION("IFERROR(GOOGLEFINANCE(A1740,""high""),"""")"),354.0)</f>
        <v>354</v>
      </c>
      <c r="Y1740" s="22">
        <f>IFERROR(__xludf.DUMMYFUNCTION("IFERROR(GOOGLEFINANCE(A1740,""low""),"""")"),332.0)</f>
        <v>332</v>
      </c>
      <c r="Z1740" s="22">
        <f>IFERROR(__xludf.DUMMYFUNCTION("IFERROR(GOOGLEFINANCE(A1740,""volume""),"""")"),2.291744E8)</f>
        <v>229174400</v>
      </c>
      <c r="AA1740" s="24" t="str">
        <f>VLOOKUP(A1740,Metrik!$C$2:$Y$959,5,0)</f>
        <v>Wireless Telecommunication Services</v>
      </c>
      <c r="AB1740" s="24" t="str">
        <f>VLOOKUP(A1740,Metrik!$C$2:$Y$959,3,0)</f>
        <v>Infrastructures</v>
      </c>
    </row>
    <row r="1741">
      <c r="A1741" s="14" t="s">
        <v>948</v>
      </c>
      <c r="B1741" s="14" t="str">
        <f t="array" ref="B1741">VLOOKUP(A1741,{Metrik!$C$2:$C$998,Metrik!$B$2:$B$998},2,0)</f>
        <v>Sarana Menara Nusantara Tbk</v>
      </c>
      <c r="C1741" s="15">
        <f>IFERROR(__xludf.DUMMYFUNCTION("GOOGLEFINANCE(""IDX:""&amp;A1741,""price"")"),344.0)</f>
        <v>344</v>
      </c>
      <c r="D1741" s="16" t="str">
        <f>IFERROR(__xludf.DUMMYFUNCTION("IF(A1741="""","""",
SPARKLINE(
INDEX(
GOOGLEFINANCE(""IDX:""&amp;A1741,""close"",TODAY()-365,TODAY()),
,2
),
{""linewidth"",1}
))
"),"#N/A")</f>
        <v>#N/A</v>
      </c>
      <c r="E1741" s="14" t="s">
        <v>33</v>
      </c>
      <c r="F1741" s="14" t="s">
        <v>34</v>
      </c>
      <c r="G1741" s="24">
        <f t="shared" si="10"/>
        <v>11</v>
      </c>
      <c r="H1741" s="19">
        <f>VLOOKUP(A1741,Metrik!$C$2:$Y$959,8,0)</f>
        <v>6.1</v>
      </c>
      <c r="I1741" s="20">
        <f>VLOOKUP(A1741,Metrik!$C$2:$Y$959,9,0)</f>
        <v>0.83</v>
      </c>
      <c r="J1741" s="20">
        <f>VLOOKUP(A1741,Metrik!$C$2:$Y$959,10,0)</f>
        <v>13.6</v>
      </c>
      <c r="K1741" s="20">
        <f>VLOOKUP(A1741,Metrik!$C$2:$Y$959,11,0)</f>
        <v>4.8</v>
      </c>
      <c r="L1741" s="20">
        <f>VLOOKUP(A1741,Metrik!$C$2:$Y$959,12,0)</f>
        <v>1.9</v>
      </c>
      <c r="M1741" s="20">
        <f>VLOOKUP(A1741,Metrik!$C$2:$Y$959,19,0)</f>
        <v>27.6</v>
      </c>
      <c r="N1741" s="21"/>
      <c r="O1741" s="21"/>
      <c r="P1741" s="21"/>
      <c r="Q1741" s="21"/>
      <c r="R1741" s="21"/>
      <c r="S1741" s="21"/>
      <c r="T1741" s="21"/>
      <c r="U1741" s="22">
        <f>IFERROR(__xludf.DUMMYFUNCTION("IFERROR(GOOGLEFINANCE(A1741,""closeyest""),"""")"),332.0)</f>
        <v>332</v>
      </c>
      <c r="V1741" s="23">
        <f>IFERROR(__xludf.DUMMYFUNCTION("IFERROR(GOOGLEFINANCE(A1741,""changepct""),"""")"),3.61)</f>
        <v>3.61</v>
      </c>
      <c r="W1741" s="22">
        <f>IFERROR(__xludf.DUMMYFUNCTION("IFERROR(GOOGLEFINANCE(A1741,""priceopen""),"""")"),334.0)</f>
        <v>334</v>
      </c>
      <c r="X1741" s="22">
        <f>IFERROR(__xludf.DUMMYFUNCTION("IFERROR(GOOGLEFINANCE(A1741,""high""),"""")"),354.0)</f>
        <v>354</v>
      </c>
      <c r="Y1741" s="22">
        <f>IFERROR(__xludf.DUMMYFUNCTION("IFERROR(GOOGLEFINANCE(A1741,""low""),"""")"),332.0)</f>
        <v>332</v>
      </c>
      <c r="Z1741" s="22">
        <f>IFERROR(__xludf.DUMMYFUNCTION("IFERROR(GOOGLEFINANCE(A1741,""volume""),"""")"),2.291744E8)</f>
        <v>229174400</v>
      </c>
      <c r="AA1741" s="24" t="str">
        <f>VLOOKUP(A1741,Metrik!$C$2:$Y$959,5,0)</f>
        <v>Wireless Telecommunication Services</v>
      </c>
      <c r="AB1741" s="24" t="str">
        <f>VLOOKUP(A1741,Metrik!$C$2:$Y$959,3,0)</f>
        <v>Infrastructures</v>
      </c>
    </row>
    <row r="1742">
      <c r="A1742" s="14" t="s">
        <v>948</v>
      </c>
      <c r="B1742" s="14" t="str">
        <f t="array" ref="B1742">VLOOKUP(A1742,{Metrik!$C$2:$C$998,Metrik!$B$2:$B$998},2,0)</f>
        <v>Sarana Menara Nusantara Tbk</v>
      </c>
      <c r="C1742" s="15">
        <f>IFERROR(__xludf.DUMMYFUNCTION("GOOGLEFINANCE(""IDX:""&amp;A1742,""price"")"),344.0)</f>
        <v>344</v>
      </c>
      <c r="D1742" s="16" t="str">
        <f>IFERROR(__xludf.DUMMYFUNCTION("IF(A1742="""","""",
SPARKLINE(
INDEX(
GOOGLEFINANCE(""IDX:""&amp;A1742,""close"",TODAY()-365,TODAY()),
,2
),
{""linewidth"",1}
))
"),"#N/A")</f>
        <v>#N/A</v>
      </c>
      <c r="E1742" s="14" t="s">
        <v>32</v>
      </c>
      <c r="F1742" s="14" t="s">
        <v>29</v>
      </c>
      <c r="G1742" s="24">
        <f t="shared" si="10"/>
        <v>11</v>
      </c>
      <c r="H1742" s="19">
        <f>VLOOKUP(A1742,Metrik!$C$2:$Y$959,8,0)</f>
        <v>6.1</v>
      </c>
      <c r="I1742" s="20">
        <f>VLOOKUP(A1742,Metrik!$C$2:$Y$959,9,0)</f>
        <v>0.83</v>
      </c>
      <c r="J1742" s="20">
        <f>VLOOKUP(A1742,Metrik!$C$2:$Y$959,10,0)</f>
        <v>13.6</v>
      </c>
      <c r="K1742" s="20">
        <f>VLOOKUP(A1742,Metrik!$C$2:$Y$959,11,0)</f>
        <v>4.8</v>
      </c>
      <c r="L1742" s="20">
        <f>VLOOKUP(A1742,Metrik!$C$2:$Y$959,12,0)</f>
        <v>1.9</v>
      </c>
      <c r="M1742" s="20">
        <f>VLOOKUP(A1742,Metrik!$C$2:$Y$959,19,0)</f>
        <v>27.6</v>
      </c>
      <c r="N1742" s="21"/>
      <c r="O1742" s="21"/>
      <c r="P1742" s="21"/>
      <c r="Q1742" s="21"/>
      <c r="R1742" s="21"/>
      <c r="S1742" s="21"/>
      <c r="T1742" s="21"/>
      <c r="U1742" s="22">
        <f>IFERROR(__xludf.DUMMYFUNCTION("IFERROR(GOOGLEFINANCE(A1742,""closeyest""),"""")"),332.0)</f>
        <v>332</v>
      </c>
      <c r="V1742" s="23">
        <f>IFERROR(__xludf.DUMMYFUNCTION("IFERROR(GOOGLEFINANCE(A1742,""changepct""),"""")"),3.61)</f>
        <v>3.61</v>
      </c>
      <c r="W1742" s="22">
        <f>IFERROR(__xludf.DUMMYFUNCTION("IFERROR(GOOGLEFINANCE(A1742,""priceopen""),"""")"),334.0)</f>
        <v>334</v>
      </c>
      <c r="X1742" s="22">
        <f>IFERROR(__xludf.DUMMYFUNCTION("IFERROR(GOOGLEFINANCE(A1742,""high""),"""")"),354.0)</f>
        <v>354</v>
      </c>
      <c r="Y1742" s="22">
        <f>IFERROR(__xludf.DUMMYFUNCTION("IFERROR(GOOGLEFINANCE(A1742,""low""),"""")"),332.0)</f>
        <v>332</v>
      </c>
      <c r="Z1742" s="22">
        <f>IFERROR(__xludf.DUMMYFUNCTION("IFERROR(GOOGLEFINANCE(A1742,""volume""),"""")"),2.291744E8)</f>
        <v>229174400</v>
      </c>
      <c r="AA1742" s="24" t="str">
        <f>VLOOKUP(A1742,Metrik!$C$2:$Y$959,5,0)</f>
        <v>Wireless Telecommunication Services</v>
      </c>
      <c r="AB1742" s="24" t="str">
        <f>VLOOKUP(A1742,Metrik!$C$2:$Y$959,3,0)</f>
        <v>Infrastructures</v>
      </c>
    </row>
    <row r="1743">
      <c r="A1743" s="14" t="s">
        <v>948</v>
      </c>
      <c r="B1743" s="14" t="str">
        <f t="array" ref="B1743">VLOOKUP(A1743,{Metrik!$C$2:$C$998,Metrik!$B$2:$B$998},2,0)</f>
        <v>Sarana Menara Nusantara Tbk</v>
      </c>
      <c r="C1743" s="15">
        <f>IFERROR(__xludf.DUMMYFUNCTION("GOOGLEFINANCE(""IDX:""&amp;A1743,""price"")"),344.0)</f>
        <v>344</v>
      </c>
      <c r="D1743" s="16" t="str">
        <f>IFERROR(__xludf.DUMMYFUNCTION("IF(A1743="""","""",
SPARKLINE(
INDEX(
GOOGLEFINANCE(""IDX:""&amp;A1743,""close"",TODAY()-365,TODAY()),
,2
),
{""linewidth"",1}
))
"),"#N/A")</f>
        <v>#N/A</v>
      </c>
      <c r="E1743" s="14" t="s">
        <v>28</v>
      </c>
      <c r="F1743" s="17" t="s">
        <v>29</v>
      </c>
      <c r="G1743" s="24">
        <f t="shared" si="10"/>
        <v>11</v>
      </c>
      <c r="H1743" s="19">
        <f>VLOOKUP(A1743,Metrik!$C$2:$Y$959,8,0)</f>
        <v>6.1</v>
      </c>
      <c r="I1743" s="20">
        <f>VLOOKUP(A1743,Metrik!$C$2:$Y$959,9,0)</f>
        <v>0.83</v>
      </c>
      <c r="J1743" s="20">
        <f>VLOOKUP(A1743,Metrik!$C$2:$Y$959,10,0)</f>
        <v>13.6</v>
      </c>
      <c r="K1743" s="20">
        <f>VLOOKUP(A1743,Metrik!$C$2:$Y$959,11,0)</f>
        <v>4.8</v>
      </c>
      <c r="L1743" s="20">
        <f>VLOOKUP(A1743,Metrik!$C$2:$Y$959,12,0)</f>
        <v>1.9</v>
      </c>
      <c r="M1743" s="20">
        <f>VLOOKUP(A1743,Metrik!$C$2:$Y$959,19,0)</f>
        <v>27.6</v>
      </c>
      <c r="N1743" s="21"/>
      <c r="O1743" s="21"/>
      <c r="P1743" s="21"/>
      <c r="Q1743" s="21"/>
      <c r="R1743" s="21"/>
      <c r="S1743" s="21"/>
      <c r="T1743" s="21"/>
      <c r="U1743" s="22">
        <f>IFERROR(__xludf.DUMMYFUNCTION("IFERROR(GOOGLEFINANCE(A1743,""closeyest""),"""")"),332.0)</f>
        <v>332</v>
      </c>
      <c r="V1743" s="23">
        <f>IFERROR(__xludf.DUMMYFUNCTION("IFERROR(GOOGLEFINANCE(A1743,""changepct""),"""")"),3.61)</f>
        <v>3.61</v>
      </c>
      <c r="W1743" s="22">
        <f>IFERROR(__xludf.DUMMYFUNCTION("IFERROR(GOOGLEFINANCE(A1743,""priceopen""),"""")"),334.0)</f>
        <v>334</v>
      </c>
      <c r="X1743" s="22">
        <f>IFERROR(__xludf.DUMMYFUNCTION("IFERROR(GOOGLEFINANCE(A1743,""high""),"""")"),354.0)</f>
        <v>354</v>
      </c>
      <c r="Y1743" s="22">
        <f>IFERROR(__xludf.DUMMYFUNCTION("IFERROR(GOOGLEFINANCE(A1743,""low""),"""")"),332.0)</f>
        <v>332</v>
      </c>
      <c r="Z1743" s="22">
        <f>IFERROR(__xludf.DUMMYFUNCTION("IFERROR(GOOGLEFINANCE(A1743,""volume""),"""")"),2.291744E8)</f>
        <v>229174400</v>
      </c>
      <c r="AA1743" s="24" t="str">
        <f>VLOOKUP(A1743,Metrik!$C$2:$Y$959,5,0)</f>
        <v>Wireless Telecommunication Services</v>
      </c>
      <c r="AB1743" s="24" t="str">
        <f>VLOOKUP(A1743,Metrik!$C$2:$Y$959,3,0)</f>
        <v>Infrastructures</v>
      </c>
    </row>
    <row r="1744">
      <c r="A1744" s="14" t="s">
        <v>948</v>
      </c>
      <c r="B1744" s="14" t="str">
        <f t="array" ref="B1744">VLOOKUP(A1744,{Metrik!$C$2:$C$998,Metrik!$B$2:$B$998},2,0)</f>
        <v>Sarana Menara Nusantara Tbk</v>
      </c>
      <c r="C1744" s="15">
        <f>IFERROR(__xludf.DUMMYFUNCTION("GOOGLEFINANCE(""IDX:""&amp;A1744,""price"")"),344.0)</f>
        <v>344</v>
      </c>
      <c r="D1744" s="16" t="str">
        <f>IFERROR(__xludf.DUMMYFUNCTION("IF(A1744="""","""",
SPARKLINE(
INDEX(
GOOGLEFINANCE(""IDX:""&amp;A1744,""close"",TODAY()-365,TODAY()),
,2
),
{""linewidth"",1}
))
"),"#N/A")</f>
        <v>#N/A</v>
      </c>
      <c r="E1744" s="14" t="s">
        <v>85</v>
      </c>
      <c r="F1744" s="17" t="s">
        <v>51</v>
      </c>
      <c r="G1744" s="24">
        <f t="shared" si="10"/>
        <v>11</v>
      </c>
      <c r="H1744" s="19">
        <f>VLOOKUP(A1744,Metrik!$C$2:$Y$959,8,0)</f>
        <v>6.1</v>
      </c>
      <c r="I1744" s="20">
        <f>VLOOKUP(A1744,Metrik!$C$2:$Y$959,9,0)</f>
        <v>0.83</v>
      </c>
      <c r="J1744" s="20">
        <f>VLOOKUP(A1744,Metrik!$C$2:$Y$959,10,0)</f>
        <v>13.6</v>
      </c>
      <c r="K1744" s="20">
        <f>VLOOKUP(A1744,Metrik!$C$2:$Y$959,11,0)</f>
        <v>4.8</v>
      </c>
      <c r="L1744" s="20">
        <f>VLOOKUP(A1744,Metrik!$C$2:$Y$959,12,0)</f>
        <v>1.9</v>
      </c>
      <c r="M1744" s="20">
        <f>VLOOKUP(A1744,Metrik!$C$2:$Y$959,19,0)</f>
        <v>27.6</v>
      </c>
      <c r="N1744" s="21"/>
      <c r="O1744" s="21"/>
      <c r="P1744" s="21"/>
      <c r="Q1744" s="21"/>
      <c r="R1744" s="21"/>
      <c r="S1744" s="21"/>
      <c r="T1744" s="21"/>
      <c r="U1744" s="22">
        <f>IFERROR(__xludf.DUMMYFUNCTION("IFERROR(GOOGLEFINANCE(A1744,""closeyest""),"""")"),332.0)</f>
        <v>332</v>
      </c>
      <c r="V1744" s="23">
        <f>IFERROR(__xludf.DUMMYFUNCTION("IFERROR(GOOGLEFINANCE(A1744,""changepct""),"""")"),3.61)</f>
        <v>3.61</v>
      </c>
      <c r="W1744" s="22">
        <f>IFERROR(__xludf.DUMMYFUNCTION("IFERROR(GOOGLEFINANCE(A1744,""priceopen""),"""")"),334.0)</f>
        <v>334</v>
      </c>
      <c r="X1744" s="22">
        <f>IFERROR(__xludf.DUMMYFUNCTION("IFERROR(GOOGLEFINANCE(A1744,""high""),"""")"),354.0)</f>
        <v>354</v>
      </c>
      <c r="Y1744" s="22">
        <f>IFERROR(__xludf.DUMMYFUNCTION("IFERROR(GOOGLEFINANCE(A1744,""low""),"""")"),332.0)</f>
        <v>332</v>
      </c>
      <c r="Z1744" s="22">
        <f>IFERROR(__xludf.DUMMYFUNCTION("IFERROR(GOOGLEFINANCE(A1744,""volume""),"""")"),2.291744E8)</f>
        <v>229174400</v>
      </c>
      <c r="AA1744" s="24" t="str">
        <f>VLOOKUP(A1744,Metrik!$C$2:$Y$959,5,0)</f>
        <v>Wireless Telecommunication Services</v>
      </c>
      <c r="AB1744" s="24" t="str">
        <f>VLOOKUP(A1744,Metrik!$C$2:$Y$959,3,0)</f>
        <v>Infrastructures</v>
      </c>
    </row>
    <row r="1745">
      <c r="A1745" s="14" t="s">
        <v>948</v>
      </c>
      <c r="B1745" s="14" t="str">
        <f t="array" ref="B1745">VLOOKUP(A1745,{Metrik!$C$2:$C$998,Metrik!$B$2:$B$998},2,0)</f>
        <v>Sarana Menara Nusantara Tbk</v>
      </c>
      <c r="C1745" s="15">
        <f>IFERROR(__xludf.DUMMYFUNCTION("GOOGLEFINANCE(""IDX:""&amp;A1745,""price"")"),344.0)</f>
        <v>344</v>
      </c>
      <c r="D1745" s="16" t="str">
        <f>IFERROR(__xludf.DUMMYFUNCTION("IF(A1745="""","""",
SPARKLINE(
INDEX(
GOOGLEFINANCE(""IDX:""&amp;A1745,""close"",TODAY()-365,TODAY()),
,2
),
{""linewidth"",1}
))
"),"#N/A")</f>
        <v>#N/A</v>
      </c>
      <c r="E1745" s="14" t="s">
        <v>31</v>
      </c>
      <c r="F1745" s="17" t="s">
        <v>29</v>
      </c>
      <c r="G1745" s="24">
        <f t="shared" si="10"/>
        <v>11</v>
      </c>
      <c r="H1745" s="19">
        <f>VLOOKUP(A1745,Metrik!$C$2:$Y$959,8,0)</f>
        <v>6.1</v>
      </c>
      <c r="I1745" s="20">
        <f>VLOOKUP(A1745,Metrik!$C$2:$Y$959,9,0)</f>
        <v>0.83</v>
      </c>
      <c r="J1745" s="20">
        <f>VLOOKUP(A1745,Metrik!$C$2:$Y$959,10,0)</f>
        <v>13.6</v>
      </c>
      <c r="K1745" s="20">
        <f>VLOOKUP(A1745,Metrik!$C$2:$Y$959,11,0)</f>
        <v>4.8</v>
      </c>
      <c r="L1745" s="20">
        <f>VLOOKUP(A1745,Metrik!$C$2:$Y$959,12,0)</f>
        <v>1.9</v>
      </c>
      <c r="M1745" s="20">
        <f>VLOOKUP(A1745,Metrik!$C$2:$Y$959,19,0)</f>
        <v>27.6</v>
      </c>
      <c r="N1745" s="21"/>
      <c r="O1745" s="21"/>
      <c r="P1745" s="21"/>
      <c r="Q1745" s="21"/>
      <c r="R1745" s="21"/>
      <c r="S1745" s="21"/>
      <c r="T1745" s="21"/>
      <c r="U1745" s="22">
        <f>IFERROR(__xludf.DUMMYFUNCTION("IFERROR(GOOGLEFINANCE(A1745,""closeyest""),"""")"),332.0)</f>
        <v>332</v>
      </c>
      <c r="V1745" s="23">
        <f>IFERROR(__xludf.DUMMYFUNCTION("IFERROR(GOOGLEFINANCE(A1745,""changepct""),"""")"),3.61)</f>
        <v>3.61</v>
      </c>
      <c r="W1745" s="22">
        <f>IFERROR(__xludf.DUMMYFUNCTION("IFERROR(GOOGLEFINANCE(A1745,""priceopen""),"""")"),334.0)</f>
        <v>334</v>
      </c>
      <c r="X1745" s="22">
        <f>IFERROR(__xludf.DUMMYFUNCTION("IFERROR(GOOGLEFINANCE(A1745,""high""),"""")"),354.0)</f>
        <v>354</v>
      </c>
      <c r="Y1745" s="22">
        <f>IFERROR(__xludf.DUMMYFUNCTION("IFERROR(GOOGLEFINANCE(A1745,""low""),"""")"),332.0)</f>
        <v>332</v>
      </c>
      <c r="Z1745" s="22">
        <f>IFERROR(__xludf.DUMMYFUNCTION("IFERROR(GOOGLEFINANCE(A1745,""volume""),"""")"),2.291744E8)</f>
        <v>229174400</v>
      </c>
      <c r="AA1745" s="24" t="str">
        <f>VLOOKUP(A1745,Metrik!$C$2:$Y$959,5,0)</f>
        <v>Wireless Telecommunication Services</v>
      </c>
      <c r="AB1745" s="24" t="str">
        <f>VLOOKUP(A1745,Metrik!$C$2:$Y$959,3,0)</f>
        <v>Infrastructures</v>
      </c>
    </row>
    <row r="1746">
      <c r="A1746" s="14" t="s">
        <v>948</v>
      </c>
      <c r="B1746" s="14" t="str">
        <f t="array" ref="B1746">VLOOKUP(A1746,{Metrik!$C$2:$C$998,Metrik!$B$2:$B$998},2,0)</f>
        <v>Sarana Menara Nusantara Tbk</v>
      </c>
      <c r="C1746" s="15">
        <f>IFERROR(__xludf.DUMMYFUNCTION("GOOGLEFINANCE(""IDX:""&amp;A1746,""price"")"),344.0)</f>
        <v>344</v>
      </c>
      <c r="D1746" s="16" t="str">
        <f>IFERROR(__xludf.DUMMYFUNCTION("IF(A1746="""","""",
SPARKLINE(
INDEX(
GOOGLEFINANCE(""IDX:""&amp;A1746,""close"",TODAY()-365,TODAY()),
,2
),
{""linewidth"",1}
))
"),"#N/A")</f>
        <v>#N/A</v>
      </c>
      <c r="E1746" s="14" t="s">
        <v>50</v>
      </c>
      <c r="F1746" s="17" t="s">
        <v>51</v>
      </c>
      <c r="G1746" s="24">
        <f t="shared" si="10"/>
        <v>11</v>
      </c>
      <c r="H1746" s="19">
        <f>VLOOKUP(A1746,Metrik!$C$2:$Y$959,8,0)</f>
        <v>6.1</v>
      </c>
      <c r="I1746" s="20">
        <f>VLOOKUP(A1746,Metrik!$C$2:$Y$959,9,0)</f>
        <v>0.83</v>
      </c>
      <c r="J1746" s="20">
        <f>VLOOKUP(A1746,Metrik!$C$2:$Y$959,10,0)</f>
        <v>13.6</v>
      </c>
      <c r="K1746" s="20">
        <f>VLOOKUP(A1746,Metrik!$C$2:$Y$959,11,0)</f>
        <v>4.8</v>
      </c>
      <c r="L1746" s="20">
        <f>VLOOKUP(A1746,Metrik!$C$2:$Y$959,12,0)</f>
        <v>1.9</v>
      </c>
      <c r="M1746" s="20">
        <f>VLOOKUP(A1746,Metrik!$C$2:$Y$959,19,0)</f>
        <v>27.6</v>
      </c>
      <c r="N1746" s="21"/>
      <c r="O1746" s="21"/>
      <c r="P1746" s="21"/>
      <c r="Q1746" s="21"/>
      <c r="R1746" s="21"/>
      <c r="S1746" s="21"/>
      <c r="T1746" s="21"/>
      <c r="U1746" s="22">
        <f>IFERROR(__xludf.DUMMYFUNCTION("IFERROR(GOOGLEFINANCE(A1746,""closeyest""),"""")"),332.0)</f>
        <v>332</v>
      </c>
      <c r="V1746" s="23">
        <f>IFERROR(__xludf.DUMMYFUNCTION("IFERROR(GOOGLEFINANCE(A1746,""changepct""),"""")"),3.61)</f>
        <v>3.61</v>
      </c>
      <c r="W1746" s="22">
        <f>IFERROR(__xludf.DUMMYFUNCTION("IFERROR(GOOGLEFINANCE(A1746,""priceopen""),"""")"),334.0)</f>
        <v>334</v>
      </c>
      <c r="X1746" s="22">
        <f>IFERROR(__xludf.DUMMYFUNCTION("IFERROR(GOOGLEFINANCE(A1746,""high""),"""")"),354.0)</f>
        <v>354</v>
      </c>
      <c r="Y1746" s="22">
        <f>IFERROR(__xludf.DUMMYFUNCTION("IFERROR(GOOGLEFINANCE(A1746,""low""),"""")"),332.0)</f>
        <v>332</v>
      </c>
      <c r="Z1746" s="22">
        <f>IFERROR(__xludf.DUMMYFUNCTION("IFERROR(GOOGLEFINANCE(A1746,""volume""),"""")"),2.291744E8)</f>
        <v>229174400</v>
      </c>
      <c r="AA1746" s="24" t="str">
        <f>VLOOKUP(A1746,Metrik!$C$2:$Y$959,5,0)</f>
        <v>Wireless Telecommunication Services</v>
      </c>
      <c r="AB1746" s="24" t="str">
        <f>VLOOKUP(A1746,Metrik!$C$2:$Y$959,3,0)</f>
        <v>Infrastructures</v>
      </c>
    </row>
    <row r="1747">
      <c r="A1747" s="14" t="s">
        <v>948</v>
      </c>
      <c r="B1747" s="14" t="str">
        <f t="array" ref="B1747">VLOOKUP(A1747,{Metrik!$C$2:$C$998,Metrik!$B$2:$B$998},2,0)</f>
        <v>Sarana Menara Nusantara Tbk</v>
      </c>
      <c r="C1747" s="15">
        <f>IFERROR(__xludf.DUMMYFUNCTION("GOOGLEFINANCE(""IDX:""&amp;A1747,""price"")"),344.0)</f>
        <v>344</v>
      </c>
      <c r="D1747" s="16" t="str">
        <f>IFERROR(__xludf.DUMMYFUNCTION("IF(A1747="""","""",
SPARKLINE(
INDEX(
GOOGLEFINANCE(""IDX:""&amp;A1747,""close"",TODAY()-365,TODAY()),
,2
),
{""linewidth"",1}
))
"),"#N/A")</f>
        <v>#N/A</v>
      </c>
      <c r="E1747" s="14" t="s">
        <v>41</v>
      </c>
      <c r="F1747" s="14" t="s">
        <v>34</v>
      </c>
      <c r="G1747" s="24">
        <f t="shared" si="10"/>
        <v>11</v>
      </c>
      <c r="H1747" s="19">
        <f>VLOOKUP(A1747,Metrik!$C$2:$Y$959,8,0)</f>
        <v>6.1</v>
      </c>
      <c r="I1747" s="20">
        <f>VLOOKUP(A1747,Metrik!$C$2:$Y$959,9,0)</f>
        <v>0.83</v>
      </c>
      <c r="J1747" s="20">
        <f>VLOOKUP(A1747,Metrik!$C$2:$Y$959,10,0)</f>
        <v>13.6</v>
      </c>
      <c r="K1747" s="20">
        <f>VLOOKUP(A1747,Metrik!$C$2:$Y$959,11,0)</f>
        <v>4.8</v>
      </c>
      <c r="L1747" s="20">
        <f>VLOOKUP(A1747,Metrik!$C$2:$Y$959,12,0)</f>
        <v>1.9</v>
      </c>
      <c r="M1747" s="20">
        <f>VLOOKUP(A1747,Metrik!$C$2:$Y$959,19,0)</f>
        <v>27.6</v>
      </c>
      <c r="N1747" s="21"/>
      <c r="O1747" s="21"/>
      <c r="P1747" s="21"/>
      <c r="Q1747" s="21"/>
      <c r="R1747" s="21"/>
      <c r="S1747" s="21"/>
      <c r="T1747" s="21"/>
      <c r="U1747" s="22">
        <f>IFERROR(__xludf.DUMMYFUNCTION("IFERROR(GOOGLEFINANCE(A1747,""closeyest""),"""")"),332.0)</f>
        <v>332</v>
      </c>
      <c r="V1747" s="23">
        <f>IFERROR(__xludf.DUMMYFUNCTION("IFERROR(GOOGLEFINANCE(A1747,""changepct""),"""")"),3.61)</f>
        <v>3.61</v>
      </c>
      <c r="W1747" s="22">
        <f>IFERROR(__xludf.DUMMYFUNCTION("IFERROR(GOOGLEFINANCE(A1747,""priceopen""),"""")"),334.0)</f>
        <v>334</v>
      </c>
      <c r="X1747" s="22">
        <f>IFERROR(__xludf.DUMMYFUNCTION("IFERROR(GOOGLEFINANCE(A1747,""high""),"""")"),354.0)</f>
        <v>354</v>
      </c>
      <c r="Y1747" s="22">
        <f>IFERROR(__xludf.DUMMYFUNCTION("IFERROR(GOOGLEFINANCE(A1747,""low""),"""")"),332.0)</f>
        <v>332</v>
      </c>
      <c r="Z1747" s="22">
        <f>IFERROR(__xludf.DUMMYFUNCTION("IFERROR(GOOGLEFINANCE(A1747,""volume""),"""")"),2.291744E8)</f>
        <v>229174400</v>
      </c>
      <c r="AA1747" s="24" t="str">
        <f>VLOOKUP(A1747,Metrik!$C$2:$Y$959,5,0)</f>
        <v>Wireless Telecommunication Services</v>
      </c>
      <c r="AB1747" s="24" t="str">
        <f>VLOOKUP(A1747,Metrik!$C$2:$Y$959,3,0)</f>
        <v>Infrastructures</v>
      </c>
    </row>
    <row r="1748">
      <c r="A1748" s="48" t="s">
        <v>948</v>
      </c>
      <c r="B1748" s="14" t="str">
        <f t="array" ref="B1748">VLOOKUP(A1748,{Metrik!$C$2:$C$998,Metrik!$B$2:$B$998},2,0)</f>
        <v>Sarana Menara Nusantara Tbk</v>
      </c>
      <c r="C1748" s="15">
        <f>IFERROR(__xludf.DUMMYFUNCTION("GOOGLEFINANCE(""IDX:""&amp;A1748,""price"")"),344.0)</f>
        <v>344</v>
      </c>
      <c r="D1748" s="16" t="str">
        <f>IFERROR(__xludf.DUMMYFUNCTION("IF(A1748="""","""",
SPARKLINE(
INDEX(
GOOGLEFINANCE(""IDX:""&amp;A1748,""close"",TODAY()-365,TODAY()),
,2
),
{""linewidth"",1}
))
"),"#N/A")</f>
        <v>#N/A</v>
      </c>
      <c r="E1748" s="17" t="s">
        <v>69</v>
      </c>
      <c r="F1748" s="17" t="s">
        <v>70</v>
      </c>
      <c r="G1748" s="24">
        <f t="shared" si="10"/>
        <v>11</v>
      </c>
      <c r="H1748" s="19">
        <f>VLOOKUP(A1748,Metrik!$C$2:$Y$959,8,0)</f>
        <v>6.1</v>
      </c>
      <c r="I1748" s="20">
        <f>VLOOKUP(A1748,Metrik!$C$2:$Y$959,9,0)</f>
        <v>0.83</v>
      </c>
      <c r="J1748" s="20">
        <f>VLOOKUP(A1748,Metrik!$C$2:$Y$959,10,0)</f>
        <v>13.6</v>
      </c>
      <c r="K1748" s="20">
        <f>VLOOKUP(A1748,Metrik!$C$2:$Y$959,11,0)</f>
        <v>4.8</v>
      </c>
      <c r="L1748" s="20">
        <f>VLOOKUP(A1748,Metrik!$C$2:$Y$959,12,0)</f>
        <v>1.9</v>
      </c>
      <c r="M1748" s="20">
        <f>VLOOKUP(A1748,Metrik!$C$2:$Y$959,19,0)</f>
        <v>27.6</v>
      </c>
      <c r="N1748" s="21"/>
      <c r="O1748" s="21"/>
      <c r="P1748" s="21"/>
      <c r="Q1748" s="21"/>
      <c r="R1748" s="21"/>
      <c r="S1748" s="21"/>
      <c r="T1748" s="21"/>
      <c r="U1748" s="22">
        <f>IFERROR(__xludf.DUMMYFUNCTION("IFERROR(GOOGLEFINANCE(A1748,""closeyest""),"""")"),332.0)</f>
        <v>332</v>
      </c>
      <c r="V1748" s="23">
        <f>IFERROR(__xludf.DUMMYFUNCTION("IFERROR(GOOGLEFINANCE(A1748,""changepct""),"""")"),3.61)</f>
        <v>3.61</v>
      </c>
      <c r="W1748" s="22">
        <f>IFERROR(__xludf.DUMMYFUNCTION("IFERROR(GOOGLEFINANCE(A1748,""priceopen""),"""")"),334.0)</f>
        <v>334</v>
      </c>
      <c r="X1748" s="22">
        <f>IFERROR(__xludf.DUMMYFUNCTION("IFERROR(GOOGLEFINANCE(A1748,""high""),"""")"),354.0)</f>
        <v>354</v>
      </c>
      <c r="Y1748" s="22">
        <f>IFERROR(__xludf.DUMMYFUNCTION("IFERROR(GOOGLEFINANCE(A1748,""low""),"""")"),332.0)</f>
        <v>332</v>
      </c>
      <c r="Z1748" s="22">
        <f>IFERROR(__xludf.DUMMYFUNCTION("IFERROR(GOOGLEFINANCE(A1748,""volume""),"""")"),2.291744E8)</f>
        <v>229174400</v>
      </c>
      <c r="AA1748" s="24" t="str">
        <f>VLOOKUP(A1748,Metrik!$C$2:$Y$959,5,0)</f>
        <v>Wireless Telecommunication Services</v>
      </c>
      <c r="AB1748" s="24" t="str">
        <f>VLOOKUP(A1748,Metrik!$C$2:$Y$959,3,0)</f>
        <v>Infrastructures</v>
      </c>
    </row>
    <row r="1749">
      <c r="A1749" s="17" t="s">
        <v>948</v>
      </c>
      <c r="B1749" s="14" t="str">
        <f t="array" ref="B1749">VLOOKUP(A1749,{Metrik!$C$2:$C$998,Metrik!$B$2:$B$998},2,0)</f>
        <v>Sarana Menara Nusantara Tbk</v>
      </c>
      <c r="C1749" s="15">
        <f>IFERROR(__xludf.DUMMYFUNCTION("GOOGLEFINANCE(""IDX:""&amp;A1749,""price"")"),344.0)</f>
        <v>344</v>
      </c>
      <c r="D1749" s="16" t="str">
        <f>IFERROR(__xludf.DUMMYFUNCTION("IF(A1749="""","""",
SPARKLINE(
INDEX(
GOOGLEFINANCE(""IDX:""&amp;A1749,""close"",TODAY()-365,TODAY()),
,2
),
{""linewidth"",1}
))
"),"#N/A")</f>
        <v>#N/A</v>
      </c>
      <c r="E1749" s="14" t="s">
        <v>35</v>
      </c>
      <c r="F1749" s="17" t="s">
        <v>36</v>
      </c>
      <c r="G1749" s="24">
        <f t="shared" si="10"/>
        <v>11</v>
      </c>
      <c r="H1749" s="19">
        <f>VLOOKUP(A1749,Metrik!$C$2:$Y$959,8,0)</f>
        <v>6.1</v>
      </c>
      <c r="I1749" s="20">
        <f>VLOOKUP(A1749,Metrik!$C$2:$Y$959,9,0)</f>
        <v>0.83</v>
      </c>
      <c r="J1749" s="20">
        <f>VLOOKUP(A1749,Metrik!$C$2:$Y$959,10,0)</f>
        <v>13.6</v>
      </c>
      <c r="K1749" s="20">
        <f>VLOOKUP(A1749,Metrik!$C$2:$Y$959,11,0)</f>
        <v>4.8</v>
      </c>
      <c r="L1749" s="20">
        <f>VLOOKUP(A1749,Metrik!$C$2:$Y$959,12,0)</f>
        <v>1.9</v>
      </c>
      <c r="M1749" s="20">
        <f>VLOOKUP(A1749,Metrik!$C$2:$Y$959,19,0)</f>
        <v>27.6</v>
      </c>
      <c r="N1749" s="21"/>
      <c r="O1749" s="21"/>
      <c r="P1749" s="21"/>
      <c r="Q1749" s="21"/>
      <c r="R1749" s="21"/>
      <c r="S1749" s="21"/>
      <c r="T1749" s="21"/>
      <c r="U1749" s="22">
        <f>IFERROR(__xludf.DUMMYFUNCTION("IFERROR(GOOGLEFINANCE(A1749,""closeyest""),"""")"),332.0)</f>
        <v>332</v>
      </c>
      <c r="V1749" s="23">
        <f>IFERROR(__xludf.DUMMYFUNCTION("IFERROR(GOOGLEFINANCE(A1749,""changepct""),"""")"),3.61)</f>
        <v>3.61</v>
      </c>
      <c r="W1749" s="22">
        <f>IFERROR(__xludf.DUMMYFUNCTION("IFERROR(GOOGLEFINANCE(A1749,""priceopen""),"""")"),334.0)</f>
        <v>334</v>
      </c>
      <c r="X1749" s="22">
        <f>IFERROR(__xludf.DUMMYFUNCTION("IFERROR(GOOGLEFINANCE(A1749,""high""),"""")"),354.0)</f>
        <v>354</v>
      </c>
      <c r="Y1749" s="22">
        <f>IFERROR(__xludf.DUMMYFUNCTION("IFERROR(GOOGLEFINANCE(A1749,""low""),"""")"),332.0)</f>
        <v>332</v>
      </c>
      <c r="Z1749" s="22">
        <f>IFERROR(__xludf.DUMMYFUNCTION("IFERROR(GOOGLEFINANCE(A1749,""volume""),"""")"),2.291744E8)</f>
        <v>229174400</v>
      </c>
      <c r="AA1749" s="24" t="str">
        <f>VLOOKUP(A1749,Metrik!$C$2:$Y$959,5,0)</f>
        <v>Wireless Telecommunication Services</v>
      </c>
      <c r="AB1749" s="24" t="str">
        <f>VLOOKUP(A1749,Metrik!$C$2:$Y$959,3,0)</f>
        <v>Infrastructures</v>
      </c>
    </row>
    <row r="1750">
      <c r="A1750" s="14" t="s">
        <v>949</v>
      </c>
      <c r="B1750" s="14" t="str">
        <f t="array" ref="B1750">VLOOKUP(A1750,{Metrik!$C$2:$C$998,Metrik!$B$2:$B$998},2,0)</f>
        <v>Sunindo Adipersada Tbk.</v>
      </c>
      <c r="C1750" s="15">
        <f>IFERROR(__xludf.DUMMYFUNCTION("GOOGLEFINANCE(""IDX:""&amp;A1750,""price"")"),8.0)</f>
        <v>8</v>
      </c>
      <c r="D1750" s="16" t="str">
        <f>IFERROR(__xludf.DUMMYFUNCTION("IF(A1750="""","""",
SPARKLINE(
INDEX(
GOOGLEFINANCE(""IDX:""&amp;A1750,""close"",TODAY()-365,TODAY()),
,2
),
{""linewidth"",1}
))
"),"#N/A")</f>
        <v>#N/A</v>
      </c>
      <c r="E1750" s="26"/>
      <c r="F1750" s="26"/>
      <c r="G1750" s="24">
        <f t="shared" si="10"/>
        <v>0</v>
      </c>
      <c r="H1750" s="19">
        <f>VLOOKUP(A1750,Metrik!$C$2:$Y$959,8,0)</f>
        <v>0</v>
      </c>
      <c r="I1750" s="20">
        <f>VLOOKUP(A1750,Metrik!$C$2:$Y$959,9,0)</f>
        <v>0.05</v>
      </c>
      <c r="J1750" s="20">
        <f>VLOOKUP(A1750,Metrik!$C$2:$Y$959,10,0)</f>
        <v>-5.5</v>
      </c>
      <c r="K1750" s="20">
        <f>VLOOKUP(A1750,Metrik!$C$2:$Y$959,11,0)</f>
        <v>-3.8</v>
      </c>
      <c r="L1750" s="20">
        <f>VLOOKUP(A1750,Metrik!$C$2:$Y$959,12,0)</f>
        <v>0.44</v>
      </c>
      <c r="M1750" s="20">
        <f>VLOOKUP(A1750,Metrik!$C$2:$Y$959,19,0)</f>
        <v>-22.5</v>
      </c>
      <c r="N1750" s="21"/>
      <c r="O1750" s="21"/>
      <c r="P1750" s="21"/>
      <c r="Q1750" s="21"/>
      <c r="R1750" s="21"/>
      <c r="S1750" s="21"/>
      <c r="T1750" s="21"/>
      <c r="U1750" s="22">
        <f>IFERROR(__xludf.DUMMYFUNCTION("IFERROR(GOOGLEFINANCE(A1750,""closeyest""),"""")"),8.0)</f>
        <v>8</v>
      </c>
      <c r="V1750" s="23">
        <f>IFERROR(__xludf.DUMMYFUNCTION("IFERROR(GOOGLEFINANCE(A1750,""changepct""),"""")"),0.0)</f>
        <v>0</v>
      </c>
      <c r="W1750" s="22" t="str">
        <f>IFERROR(__xludf.DUMMYFUNCTION("IFERROR(GOOGLEFINANCE(A1750,""priceopen""),"""")"),"")</f>
        <v/>
      </c>
      <c r="X1750" s="22" t="str">
        <f>IFERROR(__xludf.DUMMYFUNCTION("IFERROR(GOOGLEFINANCE(A1750,""high""),"""")"),"")</f>
        <v/>
      </c>
      <c r="Y1750" s="22" t="str">
        <f>IFERROR(__xludf.DUMMYFUNCTION("IFERROR(GOOGLEFINANCE(A1750,""low""),"""")"),"")</f>
        <v/>
      </c>
      <c r="Z1750" s="22">
        <f>IFERROR(__xludf.DUMMYFUNCTION("IFERROR(GOOGLEFINANCE(A1750,""volume""),"""")"),0.0)</f>
        <v>0</v>
      </c>
      <c r="AA1750" s="24" t="str">
        <f>VLOOKUP(A1750,Metrik!$C$2:$Y$959,5,0)</f>
        <v>Sport Equipment &amp; Hobbies Goods</v>
      </c>
      <c r="AB1750" s="24" t="str">
        <f>VLOOKUP(A1750,Metrik!$C$2:$Y$959,3,0)</f>
        <v>Consumer Cyclicals</v>
      </c>
    </row>
    <row r="1751">
      <c r="A1751" s="14" t="s">
        <v>950</v>
      </c>
      <c r="B1751" s="14" t="str">
        <f t="array" ref="B1751">VLOOKUP(A1751,{Metrik!$C$2:$C$998,Metrik!$B$2:$B$998},2,0)</f>
        <v>Chandra Asri Pacific Tbk.</v>
      </c>
      <c r="C1751" s="15">
        <f>IFERROR(__xludf.DUMMYFUNCTION("GOOGLEFINANCE(""IDX:""&amp;A1751,""price"")"),1850.0)</f>
        <v>1850</v>
      </c>
      <c r="D1751" s="16" t="str">
        <f>IFERROR(__xludf.DUMMYFUNCTION("IF(A1751="""","""",
SPARKLINE(
INDEX(
GOOGLEFINANCE(""IDX:""&amp;A1751,""close"",TODAY()-365,TODAY()),
,2
),
{""linewidth"",1}
))
"),"#N/A")</f>
        <v>#N/A</v>
      </c>
      <c r="E1751" s="14" t="s">
        <v>65</v>
      </c>
      <c r="F1751" s="25">
        <v>46356.0</v>
      </c>
      <c r="G1751" s="24">
        <f t="shared" si="10"/>
        <v>8</v>
      </c>
      <c r="H1751" s="19">
        <f>VLOOKUP(A1751,Metrik!$C$2:$Y$959,8,0)</f>
        <v>7.3</v>
      </c>
      <c r="I1751" s="20">
        <f>VLOOKUP(A1751,Metrik!$C$2:$Y$959,9,0)</f>
        <v>1.9</v>
      </c>
      <c r="J1751" s="20">
        <f>VLOOKUP(A1751,Metrik!$C$2:$Y$959,10,0)</f>
        <v>25.7</v>
      </c>
      <c r="K1751" s="20">
        <f>VLOOKUP(A1751,Metrik!$C$2:$Y$959,11,0)</f>
        <v>10</v>
      </c>
      <c r="L1751" s="20">
        <f>VLOOKUP(A1751,Metrik!$C$2:$Y$959,12,0)</f>
        <v>1.6</v>
      </c>
      <c r="M1751" s="20">
        <f>VLOOKUP(A1751,Metrik!$C$2:$Y$959,19,0)</f>
        <v>51.9</v>
      </c>
      <c r="N1751" s="21"/>
      <c r="O1751" s="21"/>
      <c r="P1751" s="21"/>
      <c r="Q1751" s="21"/>
      <c r="R1751" s="21"/>
      <c r="S1751" s="21"/>
      <c r="T1751" s="21"/>
      <c r="U1751" s="22">
        <f>IFERROR(__xludf.DUMMYFUNCTION("IFERROR(GOOGLEFINANCE(A1751,""closeyest""),"""")"),1785.0)</f>
        <v>1785</v>
      </c>
      <c r="V1751" s="23" t="str">
        <f>IFERROR(__xludf.DUMMYFUNCTION("IFERROR(GOOGLEFINANCE(A1751,""changepct""),"""")"),"")</f>
        <v/>
      </c>
      <c r="W1751" s="22">
        <f>IFERROR(__xludf.DUMMYFUNCTION("IFERROR(GOOGLEFINANCE(A1751,""priceopen""),"""")"),1835.0)</f>
        <v>1835</v>
      </c>
      <c r="X1751" s="22" t="str">
        <f>IFERROR(__xludf.DUMMYFUNCTION("IFERROR(GOOGLEFINANCE(A1751,""high""),"""")"),"")</f>
        <v/>
      </c>
      <c r="Y1751" s="22">
        <f>IFERROR(__xludf.DUMMYFUNCTION("IFERROR(GOOGLEFINANCE(A1751,""low""),"""")"),1820.0)</f>
        <v>1820</v>
      </c>
      <c r="Z1751" s="22">
        <f>IFERROR(__xludf.DUMMYFUNCTION("IFERROR(GOOGLEFINANCE(A1751,""volume""),"""")"),1.3054295E9)</f>
        <v>1305429500</v>
      </c>
      <c r="AA1751" s="24" t="str">
        <f>VLOOKUP(A1751,Metrik!$C$2:$Y$959,5,0)</f>
        <v>Chemicals</v>
      </c>
      <c r="AB1751" s="24" t="str">
        <f>VLOOKUP(A1751,Metrik!$C$2:$Y$959,3,0)</f>
        <v>Basic Materials</v>
      </c>
    </row>
    <row r="1752">
      <c r="A1752" s="14" t="s">
        <v>950</v>
      </c>
      <c r="B1752" s="14" t="str">
        <f t="array" ref="B1752">VLOOKUP(A1752,{Metrik!$C$2:$C$998,Metrik!$B$2:$B$998},2,0)</f>
        <v>Chandra Asri Pacific Tbk.</v>
      </c>
      <c r="C1752" s="15">
        <f>IFERROR(__xludf.DUMMYFUNCTION("GOOGLEFINANCE(""IDX:""&amp;A1752,""price"")"),1850.0)</f>
        <v>1850</v>
      </c>
      <c r="D1752" s="16" t="str">
        <f>IFERROR(__xludf.DUMMYFUNCTION("IF(A1752="""","""",
SPARKLINE(
INDEX(
GOOGLEFINANCE(""IDX:""&amp;A1752,""close"",TODAY()-365,TODAY()),
,2
),
{""linewidth"",1}
))
"),"#N/A")</f>
        <v>#N/A</v>
      </c>
      <c r="E1752" s="14" t="s">
        <v>38</v>
      </c>
      <c r="F1752" s="25">
        <v>46356.0</v>
      </c>
      <c r="G1752" s="24">
        <f t="shared" si="10"/>
        <v>8</v>
      </c>
      <c r="H1752" s="19">
        <f>VLOOKUP(A1752,Metrik!$C$2:$Y$959,8,0)</f>
        <v>7.3</v>
      </c>
      <c r="I1752" s="20">
        <f>VLOOKUP(A1752,Metrik!$C$2:$Y$959,9,0)</f>
        <v>1.9</v>
      </c>
      <c r="J1752" s="20">
        <f>VLOOKUP(A1752,Metrik!$C$2:$Y$959,10,0)</f>
        <v>25.7</v>
      </c>
      <c r="K1752" s="20">
        <f>VLOOKUP(A1752,Metrik!$C$2:$Y$959,11,0)</f>
        <v>10</v>
      </c>
      <c r="L1752" s="20">
        <f>VLOOKUP(A1752,Metrik!$C$2:$Y$959,12,0)</f>
        <v>1.6</v>
      </c>
      <c r="M1752" s="20">
        <f>VLOOKUP(A1752,Metrik!$C$2:$Y$959,19,0)</f>
        <v>51.9</v>
      </c>
      <c r="N1752" s="21"/>
      <c r="O1752" s="21"/>
      <c r="P1752" s="21"/>
      <c r="Q1752" s="21"/>
      <c r="R1752" s="21"/>
      <c r="S1752" s="21"/>
      <c r="T1752" s="21"/>
      <c r="U1752" s="22">
        <f>IFERROR(__xludf.DUMMYFUNCTION("IFERROR(GOOGLEFINANCE(A1752,""closeyest""),"""")"),1785.0)</f>
        <v>1785</v>
      </c>
      <c r="V1752" s="23" t="str">
        <f>IFERROR(__xludf.DUMMYFUNCTION("IFERROR(GOOGLEFINANCE(A1752,""changepct""),"""")"),"")</f>
        <v/>
      </c>
      <c r="W1752" s="22">
        <f>IFERROR(__xludf.DUMMYFUNCTION("IFERROR(GOOGLEFINANCE(A1752,""priceopen""),"""")"),1835.0)</f>
        <v>1835</v>
      </c>
      <c r="X1752" s="22" t="str">
        <f>IFERROR(__xludf.DUMMYFUNCTION("IFERROR(GOOGLEFINANCE(A1752,""high""),"""")"),"")</f>
        <v/>
      </c>
      <c r="Y1752" s="22">
        <f>IFERROR(__xludf.DUMMYFUNCTION("IFERROR(GOOGLEFINANCE(A1752,""low""),"""")"),1820.0)</f>
        <v>1820</v>
      </c>
      <c r="Z1752" s="22">
        <f>IFERROR(__xludf.DUMMYFUNCTION("IFERROR(GOOGLEFINANCE(A1752,""volume""),"""")"),1.3054295E9)</f>
        <v>1305429500</v>
      </c>
      <c r="AA1752" s="24" t="str">
        <f>VLOOKUP(A1752,Metrik!$C$2:$Y$959,5,0)</f>
        <v>Chemicals</v>
      </c>
      <c r="AB1752" s="24" t="str">
        <f>VLOOKUP(A1752,Metrik!$C$2:$Y$959,3,0)</f>
        <v>Basic Materials</v>
      </c>
    </row>
    <row r="1753">
      <c r="A1753" s="17" t="s">
        <v>950</v>
      </c>
      <c r="B1753" s="14" t="str">
        <f t="array" ref="B1753">VLOOKUP(A1753,{Metrik!$C$2:$C$998,Metrik!$B$2:$B$998},2,0)</f>
        <v>Chandra Asri Pacific Tbk.</v>
      </c>
      <c r="C1753" s="15">
        <f>IFERROR(__xludf.DUMMYFUNCTION("GOOGLEFINANCE(""IDX:""&amp;A1753,""price"")"),1850.0)</f>
        <v>1850</v>
      </c>
      <c r="D1753" s="16" t="str">
        <f>IFERROR(__xludf.DUMMYFUNCTION("IF(A1753="""","""",
SPARKLINE(
INDEX(
GOOGLEFINANCE(""IDX:""&amp;A1753,""close"",TODAY()-365,TODAY()),
,2
),
{""linewidth"",1}
))
"),"#N/A")</f>
        <v>#N/A</v>
      </c>
      <c r="E1753" s="14" t="s">
        <v>50</v>
      </c>
      <c r="F1753" s="17" t="s">
        <v>51</v>
      </c>
      <c r="G1753" s="24">
        <f t="shared" si="10"/>
        <v>8</v>
      </c>
      <c r="H1753" s="19">
        <f>VLOOKUP(A1753,Metrik!$C$2:$Y$959,8,0)</f>
        <v>7.3</v>
      </c>
      <c r="I1753" s="20">
        <f>VLOOKUP(A1753,Metrik!$C$2:$Y$959,9,0)</f>
        <v>1.9</v>
      </c>
      <c r="J1753" s="20">
        <f>VLOOKUP(A1753,Metrik!$C$2:$Y$959,10,0)</f>
        <v>25.7</v>
      </c>
      <c r="K1753" s="20">
        <f>VLOOKUP(A1753,Metrik!$C$2:$Y$959,11,0)</f>
        <v>10</v>
      </c>
      <c r="L1753" s="20">
        <f>VLOOKUP(A1753,Metrik!$C$2:$Y$959,12,0)</f>
        <v>1.6</v>
      </c>
      <c r="M1753" s="20">
        <f>VLOOKUP(A1753,Metrik!$C$2:$Y$959,19,0)</f>
        <v>51.9</v>
      </c>
      <c r="N1753" s="21"/>
      <c r="O1753" s="21"/>
      <c r="P1753" s="21"/>
      <c r="Q1753" s="21"/>
      <c r="R1753" s="21"/>
      <c r="S1753" s="21"/>
      <c r="T1753" s="21"/>
      <c r="U1753" s="22">
        <f>IFERROR(__xludf.DUMMYFUNCTION("IFERROR(GOOGLEFINANCE(A1753,""closeyest""),"""")"),1785.0)</f>
        <v>1785</v>
      </c>
      <c r="V1753" s="23" t="str">
        <f>IFERROR(__xludf.DUMMYFUNCTION("IFERROR(GOOGLEFINANCE(A1753,""changepct""),"""")"),"")</f>
        <v/>
      </c>
      <c r="W1753" s="22">
        <f>IFERROR(__xludf.DUMMYFUNCTION("IFERROR(GOOGLEFINANCE(A1753,""priceopen""),"""")"),1835.0)</f>
        <v>1835</v>
      </c>
      <c r="X1753" s="22" t="str">
        <f>IFERROR(__xludf.DUMMYFUNCTION("IFERROR(GOOGLEFINANCE(A1753,""high""),"""")"),"")</f>
        <v/>
      </c>
      <c r="Y1753" s="22">
        <f>IFERROR(__xludf.DUMMYFUNCTION("IFERROR(GOOGLEFINANCE(A1753,""low""),"""")"),1820.0)</f>
        <v>1820</v>
      </c>
      <c r="Z1753" s="22">
        <f>IFERROR(__xludf.DUMMYFUNCTION("IFERROR(GOOGLEFINANCE(A1753,""volume""),"""")"),1.3054295E9)</f>
        <v>1305429500</v>
      </c>
      <c r="AA1753" s="24" t="str">
        <f>VLOOKUP(A1753,Metrik!$C$2:$Y$959,5,0)</f>
        <v>Chemicals</v>
      </c>
      <c r="AB1753" s="24" t="str">
        <f>VLOOKUP(A1753,Metrik!$C$2:$Y$959,3,0)</f>
        <v>Basic Materials</v>
      </c>
    </row>
    <row r="1754">
      <c r="A1754" s="17" t="s">
        <v>950</v>
      </c>
      <c r="B1754" s="14" t="str">
        <f t="array" ref="B1754">VLOOKUP(A1754,{Metrik!$C$2:$C$998,Metrik!$B$2:$B$998},2,0)</f>
        <v>Chandra Asri Pacific Tbk.</v>
      </c>
      <c r="C1754" s="15">
        <f>IFERROR(__xludf.DUMMYFUNCTION("GOOGLEFINANCE(""IDX:""&amp;A1754,""price"")"),1850.0)</f>
        <v>1850</v>
      </c>
      <c r="D1754" s="16" t="str">
        <f>IFERROR(__xludf.DUMMYFUNCTION("IF(A1754="""","""",
SPARKLINE(
INDEX(
GOOGLEFINANCE(""IDX:""&amp;A1754,""close"",TODAY()-365,TODAY()),
,2
),
{""linewidth"",1}
))
"),"#N/A")</f>
        <v>#N/A</v>
      </c>
      <c r="E1754" s="14" t="s">
        <v>28</v>
      </c>
      <c r="F1754" s="17" t="s">
        <v>29</v>
      </c>
      <c r="G1754" s="38">
        <f>COUNTIFS($B$2:$B$1933,B1754,$E$2:$E$1933,"&lt;&gt;")</f>
        <v>8</v>
      </c>
      <c r="H1754" s="19">
        <f>VLOOKUP(A1754,Metrik!$C$2:$Y$959,8,0)</f>
        <v>7.3</v>
      </c>
      <c r="I1754" s="20">
        <f>VLOOKUP(A1754,Metrik!$C$2:$Y$959,9,0)</f>
        <v>1.9</v>
      </c>
      <c r="J1754" s="20">
        <f>VLOOKUP(A1754,Metrik!$C$2:$Y$959,10,0)</f>
        <v>25.7</v>
      </c>
      <c r="K1754" s="20">
        <f>VLOOKUP(A1754,Metrik!$C$2:$Y$959,11,0)</f>
        <v>10</v>
      </c>
      <c r="L1754" s="20">
        <f>VLOOKUP(A1754,Metrik!$C$2:$Y$959,12,0)</f>
        <v>1.6</v>
      </c>
      <c r="M1754" s="20">
        <f>VLOOKUP(A1754,Metrik!$C$2:$Y$959,19,0)</f>
        <v>51.9</v>
      </c>
      <c r="N1754" s="21"/>
      <c r="O1754" s="21"/>
      <c r="P1754" s="21"/>
      <c r="Q1754" s="21"/>
      <c r="R1754" s="21"/>
      <c r="S1754" s="21"/>
      <c r="T1754" s="21"/>
      <c r="U1754" s="22">
        <f>IFERROR(__xludf.DUMMYFUNCTION("IFERROR(GOOGLEFINANCE(A1754,""closeyest""),"""")"),1785.0)</f>
        <v>1785</v>
      </c>
      <c r="V1754" s="23" t="str">
        <f>IFERROR(__xludf.DUMMYFUNCTION("IFERROR(GOOGLEFINANCE(A1754,""changepct""),"""")"),"")</f>
        <v/>
      </c>
      <c r="W1754" s="22">
        <f>IFERROR(__xludf.DUMMYFUNCTION("IFERROR(GOOGLEFINANCE(A1754,""priceopen""),"""")"),1835.0)</f>
        <v>1835</v>
      </c>
      <c r="X1754" s="22" t="str">
        <f>IFERROR(__xludf.DUMMYFUNCTION("IFERROR(GOOGLEFINANCE(A1754,""high""),"""")"),"")</f>
        <v/>
      </c>
      <c r="Y1754" s="22">
        <f>IFERROR(__xludf.DUMMYFUNCTION("IFERROR(GOOGLEFINANCE(A1754,""low""),"""")"),1820.0)</f>
        <v>1820</v>
      </c>
      <c r="Z1754" s="22">
        <f>IFERROR(__xludf.DUMMYFUNCTION("IFERROR(GOOGLEFINANCE(A1754,""volume""),"""")"),1.3054295E9)</f>
        <v>1305429500</v>
      </c>
      <c r="AA1754" s="24" t="str">
        <f>VLOOKUP(A1754,Metrik!$C$2:$Y$959,5,0)</f>
        <v>Chemicals</v>
      </c>
      <c r="AB1754" s="24" t="str">
        <f>VLOOKUP(A1754,Metrik!$C$2:$Y$959,3,0)</f>
        <v>Basic Materials</v>
      </c>
    </row>
    <row r="1755">
      <c r="A1755" s="14" t="s">
        <v>950</v>
      </c>
      <c r="B1755" s="14" t="str">
        <f t="array" ref="B1755">VLOOKUP(A1755,{Metrik!$C$2:$C$998,Metrik!$B$2:$B$998},2,0)</f>
        <v>Chandra Asri Pacific Tbk.</v>
      </c>
      <c r="C1755" s="15">
        <f>IFERROR(__xludf.DUMMYFUNCTION("GOOGLEFINANCE(""IDX:""&amp;A1755,""price"")"),1850.0)</f>
        <v>1850</v>
      </c>
      <c r="D1755" s="16" t="str">
        <f>IFERROR(__xludf.DUMMYFUNCTION("IF(A1755="""","""",
SPARKLINE(
INDEX(
GOOGLEFINANCE(""IDX:""&amp;A1755,""close"",TODAY()-365,TODAY()),
,2
),
{""linewidth"",1}
))
"),"#N/A")</f>
        <v>#N/A</v>
      </c>
      <c r="E1755" s="14" t="s">
        <v>52</v>
      </c>
      <c r="F1755" s="27" t="s">
        <v>53</v>
      </c>
      <c r="G1755" s="24">
        <f t="shared" ref="G1755:G1875" si="11">COUNTIFS($B$2:$B$1937,B1755,$E$2:$E$1937,"&lt;&gt;")</f>
        <v>8</v>
      </c>
      <c r="H1755" s="19">
        <f>VLOOKUP(A1755,Metrik!$C$2:$Y$959,8,0)</f>
        <v>7.3</v>
      </c>
      <c r="I1755" s="20">
        <f>VLOOKUP(A1755,Metrik!$C$2:$Y$959,9,0)</f>
        <v>1.9</v>
      </c>
      <c r="J1755" s="20">
        <f>VLOOKUP(A1755,Metrik!$C$2:$Y$959,10,0)</f>
        <v>25.7</v>
      </c>
      <c r="K1755" s="20">
        <f>VLOOKUP(A1755,Metrik!$C$2:$Y$959,11,0)</f>
        <v>10</v>
      </c>
      <c r="L1755" s="20">
        <f>VLOOKUP(A1755,Metrik!$C$2:$Y$959,12,0)</f>
        <v>1.6</v>
      </c>
      <c r="M1755" s="20">
        <f>VLOOKUP(A1755,Metrik!$C$2:$Y$959,19,0)</f>
        <v>51.9</v>
      </c>
      <c r="N1755" s="21"/>
      <c r="O1755" s="21"/>
      <c r="P1755" s="21"/>
      <c r="Q1755" s="21"/>
      <c r="R1755" s="21"/>
      <c r="S1755" s="21"/>
      <c r="T1755" s="21"/>
      <c r="U1755" s="22">
        <f>IFERROR(__xludf.DUMMYFUNCTION("IFERROR(GOOGLEFINANCE(A1755,""closeyest""),"""")"),1785.0)</f>
        <v>1785</v>
      </c>
      <c r="V1755" s="23" t="str">
        <f>IFERROR(__xludf.DUMMYFUNCTION("IFERROR(GOOGLEFINANCE(A1755,""changepct""),"""")"),"")</f>
        <v/>
      </c>
      <c r="W1755" s="22">
        <f>IFERROR(__xludf.DUMMYFUNCTION("IFERROR(GOOGLEFINANCE(A1755,""priceopen""),"""")"),1835.0)</f>
        <v>1835</v>
      </c>
      <c r="X1755" s="22" t="str">
        <f>IFERROR(__xludf.DUMMYFUNCTION("IFERROR(GOOGLEFINANCE(A1755,""high""),"""")"),"")</f>
        <v/>
      </c>
      <c r="Y1755" s="22">
        <f>IFERROR(__xludf.DUMMYFUNCTION("IFERROR(GOOGLEFINANCE(A1755,""low""),"""")"),1820.0)</f>
        <v>1820</v>
      </c>
      <c r="Z1755" s="22">
        <f>IFERROR(__xludf.DUMMYFUNCTION("IFERROR(GOOGLEFINANCE(A1755,""volume""),"""")"),1.3054295E9)</f>
        <v>1305429500</v>
      </c>
      <c r="AA1755" s="24" t="str">
        <f>VLOOKUP(A1755,Metrik!$C$2:$Y$959,5,0)</f>
        <v>Chemicals</v>
      </c>
      <c r="AB1755" s="24" t="str">
        <f>VLOOKUP(A1755,Metrik!$C$2:$Y$959,3,0)</f>
        <v>Basic Materials</v>
      </c>
    </row>
    <row r="1756">
      <c r="A1756" s="14" t="s">
        <v>950</v>
      </c>
      <c r="B1756" s="14" t="str">
        <f t="array" ref="B1756">VLOOKUP(A1756,{Metrik!$C$2:$C$998,Metrik!$B$2:$B$998},2,0)</f>
        <v>Chandra Asri Pacific Tbk.</v>
      </c>
      <c r="C1756" s="15">
        <f>IFERROR(__xludf.DUMMYFUNCTION("GOOGLEFINANCE(""IDX:""&amp;A1756,""price"")"),1850.0)</f>
        <v>1850</v>
      </c>
      <c r="D1756" s="16" t="str">
        <f>IFERROR(__xludf.DUMMYFUNCTION("IF(A1756="""","""",
SPARKLINE(
INDEX(
GOOGLEFINANCE(""IDX:""&amp;A1756,""close"",TODAY()-365,TODAY()),
,2
),
{""linewidth"",1}
))
"),"#N/A")</f>
        <v>#N/A</v>
      </c>
      <c r="E1756" s="14" t="s">
        <v>32</v>
      </c>
      <c r="F1756" s="14" t="s">
        <v>29</v>
      </c>
      <c r="G1756" s="24">
        <f t="shared" si="11"/>
        <v>8</v>
      </c>
      <c r="H1756" s="19">
        <f>VLOOKUP(A1756,Metrik!$C$2:$Y$959,8,0)</f>
        <v>7.3</v>
      </c>
      <c r="I1756" s="20">
        <f>VLOOKUP(A1756,Metrik!$C$2:$Y$959,9,0)</f>
        <v>1.9</v>
      </c>
      <c r="J1756" s="20">
        <f>VLOOKUP(A1756,Metrik!$C$2:$Y$959,10,0)</f>
        <v>25.7</v>
      </c>
      <c r="K1756" s="20">
        <f>VLOOKUP(A1756,Metrik!$C$2:$Y$959,11,0)</f>
        <v>10</v>
      </c>
      <c r="L1756" s="20">
        <f>VLOOKUP(A1756,Metrik!$C$2:$Y$959,12,0)</f>
        <v>1.6</v>
      </c>
      <c r="M1756" s="20">
        <f>VLOOKUP(A1756,Metrik!$C$2:$Y$959,19,0)</f>
        <v>51.9</v>
      </c>
      <c r="N1756" s="21"/>
      <c r="O1756" s="21"/>
      <c r="P1756" s="21"/>
      <c r="Q1756" s="21"/>
      <c r="R1756" s="21"/>
      <c r="S1756" s="21"/>
      <c r="T1756" s="21"/>
      <c r="U1756" s="22">
        <f>IFERROR(__xludf.DUMMYFUNCTION("IFERROR(GOOGLEFINANCE(A1756,""closeyest""),"""")"),1785.0)</f>
        <v>1785</v>
      </c>
      <c r="V1756" s="23" t="str">
        <f>IFERROR(__xludf.DUMMYFUNCTION("IFERROR(GOOGLEFINANCE(A1756,""changepct""),"""")"),"")</f>
        <v/>
      </c>
      <c r="W1756" s="22">
        <f>IFERROR(__xludf.DUMMYFUNCTION("IFERROR(GOOGLEFINANCE(A1756,""priceopen""),"""")"),1835.0)</f>
        <v>1835</v>
      </c>
      <c r="X1756" s="22" t="str">
        <f>IFERROR(__xludf.DUMMYFUNCTION("IFERROR(GOOGLEFINANCE(A1756,""high""),"""")"),"")</f>
        <v/>
      </c>
      <c r="Y1756" s="22">
        <f>IFERROR(__xludf.DUMMYFUNCTION("IFERROR(GOOGLEFINANCE(A1756,""low""),"""")"),1820.0)</f>
        <v>1820</v>
      </c>
      <c r="Z1756" s="22">
        <f>IFERROR(__xludf.DUMMYFUNCTION("IFERROR(GOOGLEFINANCE(A1756,""volume""),"""")"),1.3054295E9)</f>
        <v>1305429500</v>
      </c>
      <c r="AA1756" s="24" t="str">
        <f>VLOOKUP(A1756,Metrik!$C$2:$Y$959,5,0)</f>
        <v>Chemicals</v>
      </c>
      <c r="AB1756" s="24" t="str">
        <f>VLOOKUP(A1756,Metrik!$C$2:$Y$959,3,0)</f>
        <v>Basic Materials</v>
      </c>
    </row>
    <row r="1757">
      <c r="A1757" s="14" t="s">
        <v>950</v>
      </c>
      <c r="B1757" s="14" t="str">
        <f t="array" ref="B1757">VLOOKUP(A1757,{Metrik!$C$2:$C$998,Metrik!$B$2:$B$998},2,0)</f>
        <v>Chandra Asri Pacific Tbk.</v>
      </c>
      <c r="C1757" s="15">
        <f>IFERROR(__xludf.DUMMYFUNCTION("GOOGLEFINANCE(""IDX:""&amp;A1757,""price"")"),1850.0)</f>
        <v>1850</v>
      </c>
      <c r="D1757" s="16" t="str">
        <f>IFERROR(__xludf.DUMMYFUNCTION("IF(A1757="""","""",
SPARKLINE(
INDEX(
GOOGLEFINANCE(""IDX:""&amp;A1757,""close"",TODAY()-365,TODAY()),
,2
),
{""linewidth"",1}
))
"),"#N/A")</f>
        <v>#N/A</v>
      </c>
      <c r="E1757" s="14" t="s">
        <v>161</v>
      </c>
      <c r="F1757" s="14" t="s">
        <v>76</v>
      </c>
      <c r="G1757" s="24">
        <f t="shared" si="11"/>
        <v>8</v>
      </c>
      <c r="H1757" s="19">
        <f>VLOOKUP(A1757,Metrik!$C$2:$Y$959,8,0)</f>
        <v>7.3</v>
      </c>
      <c r="I1757" s="20">
        <f>VLOOKUP(A1757,Metrik!$C$2:$Y$959,9,0)</f>
        <v>1.9</v>
      </c>
      <c r="J1757" s="20">
        <f>VLOOKUP(A1757,Metrik!$C$2:$Y$959,10,0)</f>
        <v>25.7</v>
      </c>
      <c r="K1757" s="20">
        <f>VLOOKUP(A1757,Metrik!$C$2:$Y$959,11,0)</f>
        <v>10</v>
      </c>
      <c r="L1757" s="20">
        <f>VLOOKUP(A1757,Metrik!$C$2:$Y$959,12,0)</f>
        <v>1.6</v>
      </c>
      <c r="M1757" s="20">
        <f>VLOOKUP(A1757,Metrik!$C$2:$Y$959,19,0)</f>
        <v>51.9</v>
      </c>
      <c r="N1757" s="21"/>
      <c r="O1757" s="21"/>
      <c r="P1757" s="21"/>
      <c r="Q1757" s="21"/>
      <c r="R1757" s="21"/>
      <c r="S1757" s="21"/>
      <c r="T1757" s="21"/>
      <c r="U1757" s="22">
        <f>IFERROR(__xludf.DUMMYFUNCTION("IFERROR(GOOGLEFINANCE(A1757,""closeyest""),"""")"),1785.0)</f>
        <v>1785</v>
      </c>
      <c r="V1757" s="23" t="str">
        <f>IFERROR(__xludf.DUMMYFUNCTION("IFERROR(GOOGLEFINANCE(A1757,""changepct""),"""")"),"")</f>
        <v/>
      </c>
      <c r="W1757" s="22">
        <f>IFERROR(__xludf.DUMMYFUNCTION("IFERROR(GOOGLEFINANCE(A1757,""priceopen""),"""")"),1835.0)</f>
        <v>1835</v>
      </c>
      <c r="X1757" s="22" t="str">
        <f>IFERROR(__xludf.DUMMYFUNCTION("IFERROR(GOOGLEFINANCE(A1757,""high""),"""")"),"")</f>
        <v/>
      </c>
      <c r="Y1757" s="22">
        <f>IFERROR(__xludf.DUMMYFUNCTION("IFERROR(GOOGLEFINANCE(A1757,""low""),"""")"),1820.0)</f>
        <v>1820</v>
      </c>
      <c r="Z1757" s="22">
        <f>IFERROR(__xludf.DUMMYFUNCTION("IFERROR(GOOGLEFINANCE(A1757,""volume""),"""")"),1.3054295E9)</f>
        <v>1305429500</v>
      </c>
      <c r="AA1757" s="24" t="str">
        <f>VLOOKUP(A1757,Metrik!$C$2:$Y$959,5,0)</f>
        <v>Chemicals</v>
      </c>
      <c r="AB1757" s="24" t="str">
        <f>VLOOKUP(A1757,Metrik!$C$2:$Y$959,3,0)</f>
        <v>Basic Materials</v>
      </c>
    </row>
    <row r="1758">
      <c r="A1758" s="14" t="s">
        <v>950</v>
      </c>
      <c r="B1758" s="14" t="str">
        <f t="array" ref="B1758">VLOOKUP(A1758,{Metrik!$C$2:$C$998,Metrik!$B$2:$B$998},2,0)</f>
        <v>Chandra Asri Pacific Tbk.</v>
      </c>
      <c r="C1758" s="15">
        <f>IFERROR(__xludf.DUMMYFUNCTION("GOOGLEFINANCE(""IDX:""&amp;A1758,""price"")"),1850.0)</f>
        <v>1850</v>
      </c>
      <c r="D1758" s="16" t="str">
        <f>IFERROR(__xludf.DUMMYFUNCTION("IF(A1758="""","""",
SPARKLINE(
INDEX(
GOOGLEFINANCE(""IDX:""&amp;A1758,""close"",TODAY()-365,TODAY()),
,2
),
{""linewidth"",1}
))
"),"#N/A")</f>
        <v>#N/A</v>
      </c>
      <c r="E1758" s="14" t="s">
        <v>39</v>
      </c>
      <c r="F1758" s="25">
        <v>46356.0</v>
      </c>
      <c r="G1758" s="24">
        <f t="shared" si="11"/>
        <v>8</v>
      </c>
      <c r="H1758" s="19">
        <f>VLOOKUP(A1758,Metrik!$C$2:$Y$959,8,0)</f>
        <v>7.3</v>
      </c>
      <c r="I1758" s="20">
        <f>VLOOKUP(A1758,Metrik!$C$2:$Y$959,9,0)</f>
        <v>1.9</v>
      </c>
      <c r="J1758" s="20">
        <f>VLOOKUP(A1758,Metrik!$C$2:$Y$959,10,0)</f>
        <v>25.7</v>
      </c>
      <c r="K1758" s="20">
        <f>VLOOKUP(A1758,Metrik!$C$2:$Y$959,11,0)</f>
        <v>10</v>
      </c>
      <c r="L1758" s="20">
        <f>VLOOKUP(A1758,Metrik!$C$2:$Y$959,12,0)</f>
        <v>1.6</v>
      </c>
      <c r="M1758" s="20">
        <f>VLOOKUP(A1758,Metrik!$C$2:$Y$959,19,0)</f>
        <v>51.9</v>
      </c>
      <c r="N1758" s="21"/>
      <c r="O1758" s="21"/>
      <c r="P1758" s="21"/>
      <c r="Q1758" s="21"/>
      <c r="R1758" s="21"/>
      <c r="S1758" s="21"/>
      <c r="T1758" s="21"/>
      <c r="U1758" s="22">
        <f>IFERROR(__xludf.DUMMYFUNCTION("IFERROR(GOOGLEFINANCE(A1758,""closeyest""),"""")"),1785.0)</f>
        <v>1785</v>
      </c>
      <c r="V1758" s="23" t="str">
        <f>IFERROR(__xludf.DUMMYFUNCTION("IFERROR(GOOGLEFINANCE(A1758,""changepct""),"""")"),"")</f>
        <v/>
      </c>
      <c r="W1758" s="22">
        <f>IFERROR(__xludf.DUMMYFUNCTION("IFERROR(GOOGLEFINANCE(A1758,""priceopen""),"""")"),1835.0)</f>
        <v>1835</v>
      </c>
      <c r="X1758" s="22" t="str">
        <f>IFERROR(__xludf.DUMMYFUNCTION("IFERROR(GOOGLEFINANCE(A1758,""high""),"""")"),"")</f>
        <v/>
      </c>
      <c r="Y1758" s="22">
        <f>IFERROR(__xludf.DUMMYFUNCTION("IFERROR(GOOGLEFINANCE(A1758,""low""),"""")"),1820.0)</f>
        <v>1820</v>
      </c>
      <c r="Z1758" s="22">
        <f>IFERROR(__xludf.DUMMYFUNCTION("IFERROR(GOOGLEFINANCE(A1758,""volume""),"""")"),1.3054295E9)</f>
        <v>1305429500</v>
      </c>
      <c r="AA1758" s="24" t="str">
        <f>VLOOKUP(A1758,Metrik!$C$2:$Y$959,5,0)</f>
        <v>Chemicals</v>
      </c>
      <c r="AB1758" s="24" t="str">
        <f>VLOOKUP(A1758,Metrik!$C$2:$Y$959,3,0)</f>
        <v>Basic Materials</v>
      </c>
    </row>
    <row r="1759">
      <c r="A1759" s="14" t="s">
        <v>951</v>
      </c>
      <c r="B1759" s="14" t="str">
        <f t="array" ref="B1759">VLOOKUP(A1759,{Metrik!$C$2:$C$998,Metrik!$B$2:$B$998},2,0)</f>
        <v>Trans Power Marine Tbk.</v>
      </c>
      <c r="C1759" s="15">
        <f>IFERROR(__xludf.DUMMYFUNCTION("GOOGLEFINANCE(""IDX:""&amp;A1759,""price"")"),382.0)</f>
        <v>382</v>
      </c>
      <c r="D1759" s="16" t="str">
        <f>IFERROR(__xludf.DUMMYFUNCTION("IF(A1759="""","""",
SPARKLINE(
INDEX(
GOOGLEFINANCE(""IDX:""&amp;A1759,""close"",TODAY()-365,TODAY()),
,2
),
{""linewidth"",1}
))
"),"#N/A")</f>
        <v>#N/A</v>
      </c>
      <c r="E1759" s="26"/>
      <c r="F1759" s="26"/>
      <c r="G1759" s="18">
        <f t="shared" si="11"/>
        <v>0</v>
      </c>
      <c r="H1759" s="19">
        <f>VLOOKUP(A1759,Metrik!$C$2:$Y$959,8,0)</f>
        <v>7.9</v>
      </c>
      <c r="I1759" s="20">
        <f>VLOOKUP(A1759,Metrik!$C$2:$Y$959,9,0)</f>
        <v>0.67</v>
      </c>
      <c r="J1759" s="20">
        <f>VLOOKUP(A1759,Metrik!$C$2:$Y$959,10,0)</f>
        <v>8.5</v>
      </c>
      <c r="K1759" s="20">
        <f>VLOOKUP(A1759,Metrik!$C$2:$Y$959,11,0)</f>
        <v>4.5</v>
      </c>
      <c r="L1759" s="20">
        <f>VLOOKUP(A1759,Metrik!$C$2:$Y$959,12,0)</f>
        <v>0.89</v>
      </c>
      <c r="M1759" s="20">
        <f>VLOOKUP(A1759,Metrik!$C$2:$Y$959,19,0)</f>
        <v>48.4</v>
      </c>
      <c r="N1759" s="21"/>
      <c r="O1759" s="21"/>
      <c r="P1759" s="21"/>
      <c r="Q1759" s="21"/>
      <c r="R1759" s="21"/>
      <c r="S1759" s="21"/>
      <c r="T1759" s="21"/>
      <c r="U1759" s="22">
        <f>IFERROR(__xludf.DUMMYFUNCTION("IFERROR(GOOGLEFINANCE(A1759,""closeyest""),"""")"),362.0)</f>
        <v>362</v>
      </c>
      <c r="V1759" s="23">
        <f>IFERROR(__xludf.DUMMYFUNCTION("IFERROR(GOOGLEFINANCE(A1759,""changepct""),"""")"),5.52)</f>
        <v>5.52</v>
      </c>
      <c r="W1759" s="22">
        <f>IFERROR(__xludf.DUMMYFUNCTION("IFERROR(GOOGLEFINANCE(A1759,""priceopen""),"""")"),364.0)</f>
        <v>364</v>
      </c>
      <c r="X1759" s="22">
        <f>IFERROR(__xludf.DUMMYFUNCTION("IFERROR(GOOGLEFINANCE(A1759,""high""),"""")"),386.0)</f>
        <v>386</v>
      </c>
      <c r="Y1759" s="22">
        <f>IFERROR(__xludf.DUMMYFUNCTION("IFERROR(GOOGLEFINANCE(A1759,""low""),"""")"),364.0)</f>
        <v>364</v>
      </c>
      <c r="Z1759" s="22">
        <f>IFERROR(__xludf.DUMMYFUNCTION("IFERROR(GOOGLEFINANCE(A1759,""volume""),"""")"),3914600.0)</f>
        <v>3914600</v>
      </c>
      <c r="AA1759" s="24" t="str">
        <f>VLOOKUP(A1759,Metrik!$C$2:$Y$959,5,0)</f>
        <v>Coal</v>
      </c>
      <c r="AB1759" s="24" t="str">
        <f>VLOOKUP(A1759,Metrik!$C$2:$Y$959,3,0)</f>
        <v>Energy</v>
      </c>
    </row>
    <row r="1760">
      <c r="A1760" s="14" t="s">
        <v>952</v>
      </c>
      <c r="B1760" s="14" t="str">
        <f t="array" ref="B1760">VLOOKUP(A1760,{Metrik!$C$2:$C$998,Metrik!$B$2:$B$998},2,0)</f>
        <v>Trada Alam Minera Tbk.</v>
      </c>
      <c r="C1760" s="15">
        <f>IFERROR(__xludf.DUMMYFUNCTION("GOOGLEFINANCE(""IDX:""&amp;A1760,""price"")"),50.0)</f>
        <v>50</v>
      </c>
      <c r="D1760" s="16" t="str">
        <f>IFERROR(__xludf.DUMMYFUNCTION("IF(A1760="""","""",
SPARKLINE(
INDEX(
GOOGLEFINANCE(""IDX:""&amp;A1760,""close"",TODAY()-365,TODAY()),
,2
),
{""linewidth"",1}
))
"),"#N/A")</f>
        <v>#N/A</v>
      </c>
      <c r="E1760" s="26"/>
      <c r="F1760" s="26"/>
      <c r="G1760" s="24">
        <f t="shared" si="11"/>
        <v>0</v>
      </c>
      <c r="H1760" s="19">
        <f>VLOOKUP(A1760,Metrik!$C$2:$Y$959,8,0)</f>
        <v>0</v>
      </c>
      <c r="I1760" s="20">
        <f>VLOOKUP(A1760,Metrik!$C$2:$Y$959,9,0)</f>
        <v>1.9</v>
      </c>
      <c r="J1760" s="20">
        <f>VLOOKUP(A1760,Metrik!$C$2:$Y$959,10,0)</f>
        <v>-62</v>
      </c>
      <c r="K1760" s="20">
        <f>VLOOKUP(A1760,Metrik!$C$2:$Y$959,11,0)</f>
        <v>-15.2</v>
      </c>
      <c r="L1760" s="20">
        <f>VLOOKUP(A1760,Metrik!$C$2:$Y$959,12,0)</f>
        <v>3.1</v>
      </c>
      <c r="M1760" s="20">
        <f>VLOOKUP(A1760,Metrik!$C$2:$Y$959,19,0)</f>
        <v>-23.1</v>
      </c>
      <c r="N1760" s="21"/>
      <c r="O1760" s="21"/>
      <c r="P1760" s="21"/>
      <c r="Q1760" s="21"/>
      <c r="R1760" s="21"/>
      <c r="S1760" s="21"/>
      <c r="T1760" s="21"/>
      <c r="U1760" s="22">
        <f>IFERROR(__xludf.DUMMYFUNCTION("IFERROR(GOOGLEFINANCE(A1760,""closeyest""),"""")"),50.0)</f>
        <v>50</v>
      </c>
      <c r="V1760" s="23">
        <f>IFERROR(__xludf.DUMMYFUNCTION("IFERROR(GOOGLEFINANCE(A1760,""changepct""),"""")"),0.0)</f>
        <v>0</v>
      </c>
      <c r="W1760" s="22" t="str">
        <f>IFERROR(__xludf.DUMMYFUNCTION("IFERROR(GOOGLEFINANCE(A1760,""priceopen""),"""")"),"")</f>
        <v/>
      </c>
      <c r="X1760" s="22" t="str">
        <f>IFERROR(__xludf.DUMMYFUNCTION("IFERROR(GOOGLEFINANCE(A1760,""high""),"""")"),"")</f>
        <v/>
      </c>
      <c r="Y1760" s="22" t="str">
        <f>IFERROR(__xludf.DUMMYFUNCTION("IFERROR(GOOGLEFINANCE(A1760,""low""),"""")"),"")</f>
        <v/>
      </c>
      <c r="Z1760" s="22">
        <f>IFERROR(__xludf.DUMMYFUNCTION("IFERROR(GOOGLEFINANCE(A1760,""volume""),"""")"),0.0)</f>
        <v>0</v>
      </c>
      <c r="AA1760" s="24" t="str">
        <f>VLOOKUP(A1760,Metrik!$C$2:$Y$959,5,0)</f>
        <v>Coal</v>
      </c>
      <c r="AB1760" s="24" t="str">
        <f>VLOOKUP(A1760,Metrik!$C$2:$Y$959,3,0)</f>
        <v>Energy</v>
      </c>
    </row>
    <row r="1761">
      <c r="A1761" s="14" t="s">
        <v>953</v>
      </c>
      <c r="B1761" s="14" t="str">
        <f t="array" ref="B1761">VLOOKUP(A1761,{Metrik!$C$2:$C$998,Metrik!$B$2:$B$998},2,0)</f>
        <v>Cerestar Indonesia Tbk.</v>
      </c>
      <c r="C1761" s="15">
        <f>IFERROR(__xludf.DUMMYFUNCTION("GOOGLEFINANCE(""IDX:""&amp;A1761,""price"")"),173.0)</f>
        <v>173</v>
      </c>
      <c r="D1761" s="16" t="str">
        <f>IFERROR(__xludf.DUMMYFUNCTION("IF(A1761="""","""",
SPARKLINE(
INDEX(
GOOGLEFINANCE(""IDX:""&amp;A1761,""close"",TODAY()-365,TODAY()),
,2
),
{""linewidth"",1}
))
"),"#N/A")</f>
        <v>#N/A</v>
      </c>
      <c r="E1761" s="26"/>
      <c r="F1761" s="26"/>
      <c r="G1761" s="24">
        <f t="shared" si="11"/>
        <v>0</v>
      </c>
      <c r="H1761" s="19">
        <f>VLOOKUP(A1761,Metrik!$C$2:$Y$959,8,0)</f>
        <v>42.3</v>
      </c>
      <c r="I1761" s="20">
        <f>VLOOKUP(A1761,Metrik!$C$2:$Y$959,9,0)</f>
        <v>1.5</v>
      </c>
      <c r="J1761" s="20">
        <f>VLOOKUP(A1761,Metrik!$C$2:$Y$959,10,0)</f>
        <v>3.5</v>
      </c>
      <c r="K1761" s="20">
        <f>VLOOKUP(A1761,Metrik!$C$2:$Y$959,11,0)</f>
        <v>0.94</v>
      </c>
      <c r="L1761" s="20">
        <f>VLOOKUP(A1761,Metrik!$C$2:$Y$959,12,0)</f>
        <v>2.7</v>
      </c>
      <c r="M1761" s="20">
        <f>VLOOKUP(A1761,Metrik!$C$2:$Y$959,19,0)</f>
        <v>3.9</v>
      </c>
      <c r="N1761" s="21"/>
      <c r="O1761" s="21"/>
      <c r="P1761" s="21"/>
      <c r="Q1761" s="21"/>
      <c r="R1761" s="21"/>
      <c r="S1761" s="21"/>
      <c r="T1761" s="21"/>
      <c r="U1761" s="22">
        <f>IFERROR(__xludf.DUMMYFUNCTION("IFERROR(GOOGLEFINANCE(A1761,""closeyest""),"""")"),179.0)</f>
        <v>179</v>
      </c>
      <c r="V1761" s="23">
        <f>IFERROR(__xludf.DUMMYFUNCTION("IFERROR(GOOGLEFINANCE(A1761,""changepct""),"""")"),-3.35)</f>
        <v>-3.35</v>
      </c>
      <c r="W1761" s="22" t="str">
        <f>IFERROR(__xludf.DUMMYFUNCTION("IFERROR(GOOGLEFINANCE(A1761,""priceopen""),"""")"),"")</f>
        <v/>
      </c>
      <c r="X1761" s="22">
        <f>IFERROR(__xludf.DUMMYFUNCTION("IFERROR(GOOGLEFINANCE(A1761,""high""),"""")"),174.0)</f>
        <v>174</v>
      </c>
      <c r="Y1761" s="22">
        <f>IFERROR(__xludf.DUMMYFUNCTION("IFERROR(GOOGLEFINANCE(A1761,""low""),"""")"),170.0)</f>
        <v>170</v>
      </c>
      <c r="Z1761" s="22">
        <f>IFERROR(__xludf.DUMMYFUNCTION("IFERROR(GOOGLEFINANCE(A1761,""volume""),"""")"),190900.0)</f>
        <v>190900</v>
      </c>
      <c r="AA1761" s="24" t="str">
        <f>VLOOKUP(A1761,Metrik!$C$2:$Y$959,5,0)</f>
        <v>Processed Foods</v>
      </c>
      <c r="AB1761" s="24" t="str">
        <f>VLOOKUP(A1761,Metrik!$C$2:$Y$959,3,0)</f>
        <v>Consumer Non-Cyclicals</v>
      </c>
    </row>
    <row r="1762">
      <c r="A1762" s="14" t="s">
        <v>954</v>
      </c>
      <c r="B1762" s="14" t="str">
        <f t="array" ref="B1762">VLOOKUP(A1762,{Metrik!$C$2:$C$998,Metrik!$B$2:$B$998},2,0)</f>
        <v>Triwira Insanlestari Tbk.</v>
      </c>
      <c r="C1762" s="15">
        <f>IFERROR(__xludf.DUMMYFUNCTION("GOOGLEFINANCE(""IDX:""&amp;A1762,""price"")"),50.0)</f>
        <v>50</v>
      </c>
      <c r="D1762" s="16" t="str">
        <f>IFERROR(__xludf.DUMMYFUNCTION("IF(A1762="""","""",
SPARKLINE(
INDEX(
GOOGLEFINANCE(""IDX:""&amp;A1762,""close"",TODAY()-365,TODAY()),
,2
),
{""linewidth"",1}
))
"),"#N/A")</f>
        <v>#N/A</v>
      </c>
      <c r="E1762" s="26"/>
      <c r="F1762" s="26"/>
      <c r="G1762" s="24">
        <f t="shared" si="11"/>
        <v>0</v>
      </c>
      <c r="H1762" s="19">
        <f>VLOOKUP(A1762,Metrik!$C$2:$Y$959,8,0)</f>
        <v>0</v>
      </c>
      <c r="I1762" s="20">
        <f>VLOOKUP(A1762,Metrik!$C$2:$Y$959,9,0)</f>
        <v>0.56</v>
      </c>
      <c r="J1762" s="20">
        <f>VLOOKUP(A1762,Metrik!$C$2:$Y$959,10,0)</f>
        <v>-3.1</v>
      </c>
      <c r="K1762" s="20">
        <f>VLOOKUP(A1762,Metrik!$C$2:$Y$959,11,0)</f>
        <v>-2.7</v>
      </c>
      <c r="L1762" s="20">
        <f>VLOOKUP(A1762,Metrik!$C$2:$Y$959,12,0)</f>
        <v>0.17</v>
      </c>
      <c r="M1762" s="20">
        <f>VLOOKUP(A1762,Metrik!$C$2:$Y$959,19,0)</f>
        <v>-16.9</v>
      </c>
      <c r="N1762" s="21"/>
      <c r="O1762" s="21"/>
      <c r="P1762" s="21"/>
      <c r="Q1762" s="21"/>
      <c r="R1762" s="21"/>
      <c r="S1762" s="21"/>
      <c r="T1762" s="21"/>
      <c r="U1762" s="22">
        <f>IFERROR(__xludf.DUMMYFUNCTION("IFERROR(GOOGLEFINANCE(A1762,""closeyest""),"""")"),50.0)</f>
        <v>50</v>
      </c>
      <c r="V1762" s="23">
        <f>IFERROR(__xludf.DUMMYFUNCTION("IFERROR(GOOGLEFINANCE(A1762,""changepct""),"""")"),0.0)</f>
        <v>0</v>
      </c>
      <c r="W1762" s="22" t="str">
        <f>IFERROR(__xludf.DUMMYFUNCTION("IFERROR(GOOGLEFINANCE(A1762,""priceopen""),"""")"),"")</f>
        <v/>
      </c>
      <c r="X1762" s="22" t="str">
        <f>IFERROR(__xludf.DUMMYFUNCTION("IFERROR(GOOGLEFINANCE(A1762,""high""),"""")"),"")</f>
        <v/>
      </c>
      <c r="Y1762" s="22" t="str">
        <f>IFERROR(__xludf.DUMMYFUNCTION("IFERROR(GOOGLEFINANCE(A1762,""low""),"""")"),"")</f>
        <v/>
      </c>
      <c r="Z1762" s="22">
        <f>IFERROR(__xludf.DUMMYFUNCTION("IFERROR(GOOGLEFINANCE(A1762,""volume""),"""")"),0.0)</f>
        <v>0</v>
      </c>
      <c r="AA1762" s="24" t="str">
        <f>VLOOKUP(A1762,Metrik!$C$2:$Y$959,5,0)</f>
        <v>Diversified Industrial Trading</v>
      </c>
      <c r="AB1762" s="24" t="str">
        <f>VLOOKUP(A1762,Metrik!$C$2:$Y$959,3,0)</f>
        <v>Industrials</v>
      </c>
    </row>
    <row r="1763">
      <c r="A1763" s="14" t="s">
        <v>955</v>
      </c>
      <c r="B1763" s="14" t="str">
        <f t="array" ref="B1763">VLOOKUP(A1763,{Metrik!$C$2:$C$998,Metrik!$B$2:$B$998},2,0)</f>
        <v>Trimegah Sekuritas Indonesia Tbk.</v>
      </c>
      <c r="C1763" s="15">
        <f>IFERROR(__xludf.DUMMYFUNCTION("GOOGLEFINANCE(""IDX:""&amp;A1763,""price"")"),515.0)</f>
        <v>515</v>
      </c>
      <c r="D1763" s="16" t="str">
        <f>IFERROR(__xludf.DUMMYFUNCTION("IF(A1763="""","""",
SPARKLINE(
INDEX(
GOOGLEFINANCE(""IDX:""&amp;A1763,""close"",TODAY()-365,TODAY()),
,2
),
{""linewidth"",1}
))
"),"#N/A")</f>
        <v>#N/A</v>
      </c>
      <c r="E1763" s="26"/>
      <c r="F1763" s="26"/>
      <c r="G1763" s="24">
        <f t="shared" si="11"/>
        <v>0</v>
      </c>
      <c r="H1763" s="19">
        <f>VLOOKUP(A1763,Metrik!$C$2:$Y$959,8,0)</f>
        <v>5.8</v>
      </c>
      <c r="I1763" s="20">
        <f>VLOOKUP(A1763,Metrik!$C$2:$Y$959,9,0)</f>
        <v>1.6</v>
      </c>
      <c r="J1763" s="20">
        <f>VLOOKUP(A1763,Metrik!$C$2:$Y$959,10,0)</f>
        <v>27.6</v>
      </c>
      <c r="K1763" s="20">
        <f>VLOOKUP(A1763,Metrik!$C$2:$Y$959,11,0)</f>
        <v>7</v>
      </c>
      <c r="L1763" s="20">
        <f>VLOOKUP(A1763,Metrik!$C$2:$Y$959,12,0)</f>
        <v>3</v>
      </c>
      <c r="M1763" s="20">
        <f>VLOOKUP(A1763,Metrik!$C$2:$Y$959,19,0)</f>
        <v>130</v>
      </c>
      <c r="N1763" s="21"/>
      <c r="O1763" s="21"/>
      <c r="P1763" s="21"/>
      <c r="Q1763" s="21"/>
      <c r="R1763" s="21"/>
      <c r="S1763" s="21"/>
      <c r="T1763" s="21"/>
      <c r="U1763" s="22">
        <f>IFERROR(__xludf.DUMMYFUNCTION("IFERROR(GOOGLEFINANCE(A1763,""closeyest""),"""")"),505.0)</f>
        <v>505</v>
      </c>
      <c r="V1763" s="23">
        <f>IFERROR(__xludf.DUMMYFUNCTION("IFERROR(GOOGLEFINANCE(A1763,""changepct""),"""")"),1.98)</f>
        <v>1.98</v>
      </c>
      <c r="W1763" s="22">
        <f>IFERROR(__xludf.DUMMYFUNCTION("IFERROR(GOOGLEFINANCE(A1763,""priceopen""),"""")"),515.0)</f>
        <v>515</v>
      </c>
      <c r="X1763" s="22">
        <f>IFERROR(__xludf.DUMMYFUNCTION("IFERROR(GOOGLEFINANCE(A1763,""high""),"""")"),530.0)</f>
        <v>530</v>
      </c>
      <c r="Y1763" s="22">
        <f>IFERROR(__xludf.DUMMYFUNCTION("IFERROR(GOOGLEFINANCE(A1763,""low""),"""")"),498.0)</f>
        <v>498</v>
      </c>
      <c r="Z1763" s="22">
        <f>IFERROR(__xludf.DUMMYFUNCTION("IFERROR(GOOGLEFINANCE(A1763,""volume""),"""")"),55000.0)</f>
        <v>55000</v>
      </c>
      <c r="AA1763" s="24" t="str">
        <f>VLOOKUP(A1763,Metrik!$C$2:$Y$959,5,0)</f>
        <v>Investment Services</v>
      </c>
      <c r="AB1763" s="24" t="str">
        <f>VLOOKUP(A1763,Metrik!$C$2:$Y$959,3,0)</f>
        <v>Financials</v>
      </c>
    </row>
    <row r="1764">
      <c r="A1764" s="14" t="s">
        <v>956</v>
      </c>
      <c r="B1764" s="14" t="str">
        <f t="array" ref="B1764">VLOOKUP(A1764,{Metrik!$C$2:$C$998,Metrik!$B$2:$B$998},2,0)</f>
        <v>Perintis Triniti Properti Tbk.</v>
      </c>
      <c r="C1764" s="15">
        <f>IFERROR(__xludf.DUMMYFUNCTION("GOOGLEFINANCE(""IDX:""&amp;A1764,""price"")"),456.0)</f>
        <v>456</v>
      </c>
      <c r="D1764" s="16" t="str">
        <f>IFERROR(__xludf.DUMMYFUNCTION("IF(A1764="""","""",
SPARKLINE(
INDEX(
GOOGLEFINANCE(""IDX:""&amp;A1764,""close"",TODAY()-365,TODAY()),
,2
),
{""linewidth"",1}
))
"),"#N/A")</f>
        <v>#N/A</v>
      </c>
      <c r="E1764" s="26"/>
      <c r="F1764" s="26"/>
      <c r="G1764" s="24">
        <f t="shared" si="11"/>
        <v>0</v>
      </c>
      <c r="H1764" s="19">
        <f>VLOOKUP(A1764,Metrik!$C$2:$Y$959,8,0)</f>
        <v>160</v>
      </c>
      <c r="I1764" s="20">
        <f>VLOOKUP(A1764,Metrik!$C$2:$Y$959,9,0)</f>
        <v>4.1</v>
      </c>
      <c r="J1764" s="20">
        <f>VLOOKUP(A1764,Metrik!$C$2:$Y$959,10,0)</f>
        <v>2.5</v>
      </c>
      <c r="K1764" s="20">
        <f>VLOOKUP(A1764,Metrik!$C$2:$Y$959,11,0)</f>
        <v>0.61</v>
      </c>
      <c r="L1764" s="20">
        <f>VLOOKUP(A1764,Metrik!$C$2:$Y$959,12,0)</f>
        <v>3</v>
      </c>
      <c r="M1764" s="20">
        <f>VLOOKUP(A1764,Metrik!$C$2:$Y$959,19,0)</f>
        <v>240</v>
      </c>
      <c r="N1764" s="21"/>
      <c r="O1764" s="21"/>
      <c r="P1764" s="21"/>
      <c r="Q1764" s="21"/>
      <c r="R1764" s="21"/>
      <c r="S1764" s="21"/>
      <c r="T1764" s="21"/>
      <c r="U1764" s="22">
        <f>IFERROR(__xludf.DUMMYFUNCTION("IFERROR(GOOGLEFINANCE(A1764,""closeyest""),"""")"),16.9)</f>
        <v>16.9</v>
      </c>
      <c r="V1764" s="23">
        <f>IFERROR(__xludf.DUMMYFUNCTION("IFERROR(GOOGLEFINANCE(A1764,""changepct""),"""")"),-0.06)</f>
        <v>-0.06</v>
      </c>
      <c r="W1764" s="22">
        <f>IFERROR(__xludf.DUMMYFUNCTION("IFERROR(GOOGLEFINANCE(A1764,""priceopen""),"""")"),16.96)</f>
        <v>16.96</v>
      </c>
      <c r="X1764" s="22">
        <f>IFERROR(__xludf.DUMMYFUNCTION("IFERROR(GOOGLEFINANCE(A1764,""high""),"""")"),16.96)</f>
        <v>16.96</v>
      </c>
      <c r="Y1764" s="22">
        <f>IFERROR(__xludf.DUMMYFUNCTION("IFERROR(GOOGLEFINANCE(A1764,""low""),"""")"),16.72)</f>
        <v>16.72</v>
      </c>
      <c r="Z1764" s="22">
        <f>IFERROR(__xludf.DUMMYFUNCTION("IFERROR(GOOGLEFINANCE(A1764,""volume""),"""")"),741265.0)</f>
        <v>741265</v>
      </c>
      <c r="AA1764" s="24" t="str">
        <f>VLOOKUP(A1764,Metrik!$C$2:$Y$959,5,0)</f>
        <v>Real Estate Management &amp; Development</v>
      </c>
      <c r="AB1764" s="24" t="str">
        <f>VLOOKUP(A1764,Metrik!$C$2:$Y$959,3,0)</f>
        <v>Properties &amp; Real Estate</v>
      </c>
    </row>
    <row r="1765">
      <c r="A1765" s="14" t="s">
        <v>957</v>
      </c>
      <c r="B1765" s="14" t="str">
        <f t="array" ref="B1765">VLOOKUP(A1765,{Metrik!$C$2:$C$998,Metrik!$B$2:$B$998},2,0)</f>
        <v>Trikomsel Oke Tbk.</v>
      </c>
      <c r="C1765" s="15">
        <f>IFERROR(__xludf.DUMMYFUNCTION("GOOGLEFINANCE(""IDX:""&amp;A1765,""price"")"),426.0)</f>
        <v>426</v>
      </c>
      <c r="D1765" s="16" t="str">
        <f>IFERROR(__xludf.DUMMYFUNCTION("IF(A1765="""","""",
SPARKLINE(
INDEX(
GOOGLEFINANCE(""IDX:""&amp;A1765,""close"",TODAY()-365,TODAY()),
,2
),
{""linewidth"",1}
))
"),"#N/A")</f>
        <v>#N/A</v>
      </c>
      <c r="E1765" s="26"/>
      <c r="F1765" s="26"/>
      <c r="G1765" s="24">
        <f t="shared" si="11"/>
        <v>0</v>
      </c>
      <c r="H1765" s="19">
        <f>VLOOKUP(A1765,Metrik!$C$2:$Y$959,8,0)</f>
        <v>-74.4</v>
      </c>
      <c r="I1765" s="20">
        <f>VLOOKUP(A1765,Metrik!$C$2:$Y$959,9,0)</f>
        <v>-2.7</v>
      </c>
      <c r="J1765" s="20">
        <f>VLOOKUP(A1765,Metrik!$C$2:$Y$959,10,0)</f>
        <v>0</v>
      </c>
      <c r="K1765" s="20">
        <f>VLOOKUP(A1765,Metrik!$C$2:$Y$959,11,0)</f>
        <v>-190</v>
      </c>
      <c r="L1765" s="20">
        <f>VLOOKUP(A1765,Metrik!$C$2:$Y$959,12,0)</f>
        <v>-1</v>
      </c>
      <c r="M1765" s="20">
        <f>VLOOKUP(A1765,Metrik!$C$2:$Y$959,19,0)</f>
        <v>-220</v>
      </c>
      <c r="N1765" s="21"/>
      <c r="O1765" s="21"/>
      <c r="P1765" s="21"/>
      <c r="Q1765" s="21"/>
      <c r="R1765" s="21"/>
      <c r="S1765" s="21"/>
      <c r="T1765" s="21"/>
      <c r="U1765" s="22">
        <f>IFERROR(__xludf.DUMMYFUNCTION("IFERROR(GOOGLEFINANCE(A1765,""closeyest""),"""")"),28.1)</f>
        <v>28.1</v>
      </c>
      <c r="V1765" s="23" t="str">
        <f>IFERROR(__xludf.DUMMYFUNCTION("IFERROR(GOOGLEFINANCE(A1765,""changepct""),"""")"),"")</f>
        <v/>
      </c>
      <c r="W1765" s="22">
        <f>IFERROR(__xludf.DUMMYFUNCTION("IFERROR(GOOGLEFINANCE(A1765,""priceopen""),"""")"),27.9)</f>
        <v>27.9</v>
      </c>
      <c r="X1765" s="22">
        <f>IFERROR(__xludf.DUMMYFUNCTION("IFERROR(GOOGLEFINANCE(A1765,""high""),"""")"),28.25)</f>
        <v>28.25</v>
      </c>
      <c r="Y1765" s="22">
        <f>IFERROR(__xludf.DUMMYFUNCTION("IFERROR(GOOGLEFINANCE(A1765,""low""),"""")"),27.9)</f>
        <v>27.9</v>
      </c>
      <c r="Z1765" s="22">
        <f>IFERROR(__xludf.DUMMYFUNCTION("IFERROR(GOOGLEFINANCE(A1765,""volume""),"""")"),10574.0)</f>
        <v>10574</v>
      </c>
      <c r="AA1765" s="24" t="str">
        <f>VLOOKUP(A1765,Metrik!$C$2:$Y$959,5,0)</f>
        <v>Specialty Retail</v>
      </c>
      <c r="AB1765" s="24" t="str">
        <f>VLOOKUP(A1765,Metrik!$C$2:$Y$959,3,0)</f>
        <v>Consumer Cyclicals</v>
      </c>
    </row>
    <row r="1766">
      <c r="A1766" s="14" t="s">
        <v>958</v>
      </c>
      <c r="B1766" s="14" t="str">
        <f t="array" ref="B1766">VLOOKUP(A1766,{Metrik!$C$2:$C$998,Metrik!$B$2:$B$998},2,0)</f>
        <v>Trisula International Tbk.</v>
      </c>
      <c r="C1766" s="15">
        <f>IFERROR(__xludf.DUMMYFUNCTION("GOOGLEFINANCE(""IDX:""&amp;A1766,""price"")"),156.0)</f>
        <v>156</v>
      </c>
      <c r="D1766" s="16" t="str">
        <f>IFERROR(__xludf.DUMMYFUNCTION("IF(A1766="""","""",
SPARKLINE(
INDEX(
GOOGLEFINANCE(""IDX:""&amp;A1766,""close"",TODAY()-365,TODAY()),
,2
),
{""linewidth"",1}
))
"),"#N/A")</f>
        <v>#N/A</v>
      </c>
      <c r="E1766" s="26"/>
      <c r="F1766" s="26"/>
      <c r="G1766" s="24">
        <f t="shared" si="11"/>
        <v>0</v>
      </c>
      <c r="H1766" s="19">
        <f>VLOOKUP(A1766,Metrik!$C$2:$Y$959,8,0)</f>
        <v>8.7</v>
      </c>
      <c r="I1766" s="20">
        <f>VLOOKUP(A1766,Metrik!$C$2:$Y$959,9,0)</f>
        <v>0.61</v>
      </c>
      <c r="J1766" s="20">
        <f>VLOOKUP(A1766,Metrik!$C$2:$Y$959,10,0)</f>
        <v>7</v>
      </c>
      <c r="K1766" s="20">
        <f>VLOOKUP(A1766,Metrik!$C$2:$Y$959,11,0)</f>
        <v>4.4</v>
      </c>
      <c r="L1766" s="20">
        <f>VLOOKUP(A1766,Metrik!$C$2:$Y$959,12,0)</f>
        <v>0.61</v>
      </c>
      <c r="M1766" s="20">
        <f>VLOOKUP(A1766,Metrik!$C$2:$Y$959,19,0)</f>
        <v>13.6</v>
      </c>
      <c r="N1766" s="21"/>
      <c r="O1766" s="21"/>
      <c r="P1766" s="21"/>
      <c r="Q1766" s="21"/>
      <c r="R1766" s="21"/>
      <c r="S1766" s="21"/>
      <c r="T1766" s="21"/>
      <c r="U1766" s="22">
        <f>IFERROR(__xludf.DUMMYFUNCTION("IFERROR(GOOGLEFINANCE(A1766,""closeyest""),"""")"),3032.75)</f>
        <v>3032.75</v>
      </c>
      <c r="V1766" s="23">
        <f>IFERROR(__xludf.DUMMYFUNCTION("IFERROR(GOOGLEFINANCE(A1766,""changepct""),"""")"),-0.44)</f>
        <v>-0.44</v>
      </c>
      <c r="W1766" s="22">
        <f>IFERROR(__xludf.DUMMYFUNCTION("IFERROR(GOOGLEFINANCE(A1766,""priceopen""),"""")"),3021.0)</f>
        <v>3021</v>
      </c>
      <c r="X1766" s="22">
        <f>IFERROR(__xludf.DUMMYFUNCTION("IFERROR(GOOGLEFINANCE(A1766,""high""),"""")"),3021.0)</f>
        <v>3021</v>
      </c>
      <c r="Y1766" s="22">
        <f>IFERROR(__xludf.DUMMYFUNCTION("IFERROR(GOOGLEFINANCE(A1766,""low""),"""")"),3015.5)</f>
        <v>3015.5</v>
      </c>
      <c r="Z1766" s="22">
        <f>IFERROR(__xludf.DUMMYFUNCTION("IFERROR(GOOGLEFINANCE(A1766,""volume""),"""")"),104.0)</f>
        <v>104</v>
      </c>
      <c r="AA1766" s="24" t="str">
        <f>VLOOKUP(A1766,Metrik!$C$2:$Y$959,5,0)</f>
        <v>Apparel &amp; Luxury Goods</v>
      </c>
      <c r="AB1766" s="24" t="str">
        <f>VLOOKUP(A1766,Metrik!$C$2:$Y$959,3,0)</f>
        <v>Consumer Cyclicals</v>
      </c>
    </row>
    <row r="1767">
      <c r="A1767" s="14" t="s">
        <v>959</v>
      </c>
      <c r="B1767" s="14" t="str">
        <f t="array" ref="B1767">VLOOKUP(A1767,{Metrik!$C$2:$C$998,Metrik!$B$2:$B$998},2,0)</f>
        <v>Transkon Jaya Tbk.</v>
      </c>
      <c r="C1767" s="15">
        <f>IFERROR(__xludf.DUMMYFUNCTION("GOOGLEFINANCE(""IDX:""&amp;A1767,""price"")"),111.0)</f>
        <v>111</v>
      </c>
      <c r="D1767" s="16" t="str">
        <f>IFERROR(__xludf.DUMMYFUNCTION("IF(A1767="""","""",
SPARKLINE(
INDEX(
GOOGLEFINANCE(""IDX:""&amp;A1767,""close"",TODAY()-365,TODAY()),
,2
),
{""linewidth"",1}
))
"),"#N/A")</f>
        <v>#N/A</v>
      </c>
      <c r="E1767" s="26"/>
      <c r="F1767" s="26"/>
      <c r="G1767" s="24">
        <f t="shared" si="11"/>
        <v>0</v>
      </c>
      <c r="H1767" s="19">
        <f>VLOOKUP(A1767,Metrik!$C$2:$Y$959,8,0)</f>
        <v>-500</v>
      </c>
      <c r="I1767" s="20">
        <f>VLOOKUP(A1767,Metrik!$C$2:$Y$959,9,0)</f>
        <v>0.47</v>
      </c>
      <c r="J1767" s="20">
        <f>VLOOKUP(A1767,Metrik!$C$2:$Y$959,10,0)</f>
        <v>-0.09</v>
      </c>
      <c r="K1767" s="20">
        <f>VLOOKUP(A1767,Metrik!$C$2:$Y$959,11,0)</f>
        <v>-0.05</v>
      </c>
      <c r="L1767" s="20">
        <f>VLOOKUP(A1767,Metrik!$C$2:$Y$959,12,0)</f>
        <v>0.92</v>
      </c>
      <c r="M1767" s="20">
        <f>VLOOKUP(A1767,Metrik!$C$2:$Y$959,19,0)</f>
        <v>-0.33</v>
      </c>
      <c r="N1767" s="21"/>
      <c r="O1767" s="21"/>
      <c r="P1767" s="21"/>
      <c r="Q1767" s="21"/>
      <c r="R1767" s="21"/>
      <c r="S1767" s="21"/>
      <c r="T1767" s="21"/>
      <c r="U1767" s="22">
        <f>IFERROR(__xludf.DUMMYFUNCTION("IFERROR(GOOGLEFINANCE(A1767,""closeyest""),"""")"),115.0)</f>
        <v>115</v>
      </c>
      <c r="V1767" s="23">
        <f>IFERROR(__xludf.DUMMYFUNCTION("IFERROR(GOOGLEFINANCE(A1767,""changepct""),"""")"),-3.48)</f>
        <v>-3.48</v>
      </c>
      <c r="W1767" s="22">
        <f>IFERROR(__xludf.DUMMYFUNCTION("IFERROR(GOOGLEFINANCE(A1767,""priceopen""),"""")"),115.0)</f>
        <v>115</v>
      </c>
      <c r="X1767" s="22">
        <f>IFERROR(__xludf.DUMMYFUNCTION("IFERROR(GOOGLEFINANCE(A1767,""high""),"""")"),115.0)</f>
        <v>115</v>
      </c>
      <c r="Y1767" s="22">
        <f>IFERROR(__xludf.DUMMYFUNCTION("IFERROR(GOOGLEFINANCE(A1767,""low""),"""")"),110.0)</f>
        <v>110</v>
      </c>
      <c r="Z1767" s="22">
        <f>IFERROR(__xludf.DUMMYFUNCTION("IFERROR(GOOGLEFINANCE(A1767,""volume""),"""")"),177700.0)</f>
        <v>177700</v>
      </c>
      <c r="AA1767" s="24" t="str">
        <f>VLOOKUP(A1767,Metrik!$C$2:$Y$959,5,0)</f>
        <v>Passenger Land Transportation</v>
      </c>
      <c r="AB1767" s="24" t="str">
        <f>VLOOKUP(A1767,Metrik!$C$2:$Y$959,3,0)</f>
        <v>Transportation &amp; Logistic</v>
      </c>
    </row>
    <row r="1768">
      <c r="A1768" s="14" t="s">
        <v>960</v>
      </c>
      <c r="B1768" s="14" t="str">
        <f t="array" ref="B1768">VLOOKUP(A1768,{Metrik!$C$2:$C$998,Metrik!$B$2:$B$998},2,0)</f>
        <v>PT Teknologi Karya Digital Nusa Tbk.</v>
      </c>
      <c r="C1768" s="15">
        <f>IFERROR(__xludf.DUMMYFUNCTION("GOOGLEFINANCE(""IDX:""&amp;A1768,""price"")"),74.0)</f>
        <v>74</v>
      </c>
      <c r="D1768" s="16" t="str">
        <f>IFERROR(__xludf.DUMMYFUNCTION("IF(A1768="""","""",
SPARKLINE(
INDEX(
GOOGLEFINANCE(""IDX:""&amp;A1768,""close"",TODAY()-365,TODAY()),
,2
),
{""linewidth"",1}
))
"),"#N/A")</f>
        <v>#N/A</v>
      </c>
      <c r="E1768" s="26"/>
      <c r="F1768" s="26"/>
      <c r="G1768" s="24">
        <f t="shared" si="11"/>
        <v>0</v>
      </c>
      <c r="H1768" s="19">
        <f>VLOOKUP(A1768,Metrik!$C$2:$Y$959,8,0)</f>
        <v>-7.5</v>
      </c>
      <c r="I1768" s="20">
        <f>VLOOKUP(A1768,Metrik!$C$2:$Y$959,9,0)</f>
        <v>1.6</v>
      </c>
      <c r="J1768" s="20">
        <f>VLOOKUP(A1768,Metrik!$C$2:$Y$959,10,0)</f>
        <v>-21.4</v>
      </c>
      <c r="K1768" s="20">
        <f>VLOOKUP(A1768,Metrik!$C$2:$Y$959,11,0)</f>
        <v>-15.6</v>
      </c>
      <c r="L1768" s="20">
        <f>VLOOKUP(A1768,Metrik!$C$2:$Y$959,12,0)</f>
        <v>0.37</v>
      </c>
      <c r="M1768" s="20">
        <f>VLOOKUP(A1768,Metrik!$C$2:$Y$959,19,0)</f>
        <v>-200</v>
      </c>
      <c r="N1768" s="21"/>
      <c r="O1768" s="21"/>
      <c r="P1768" s="21"/>
      <c r="Q1768" s="21"/>
      <c r="R1768" s="21"/>
      <c r="S1768" s="21"/>
      <c r="T1768" s="21"/>
      <c r="U1768" s="22" t="str">
        <f>IFERROR(__xludf.DUMMYFUNCTION("IFERROR(GOOGLEFINANCE(A1768,""closeyest""),"""")"),"")</f>
        <v/>
      </c>
      <c r="V1768" s="23">
        <f>IFERROR(__xludf.DUMMYFUNCTION("IFERROR(GOOGLEFINANCE(A1768,""changepct""),"""")"),-1.68)</f>
        <v>-1.68</v>
      </c>
      <c r="W1768" s="22">
        <f>IFERROR(__xludf.DUMMYFUNCTION("IFERROR(GOOGLEFINANCE(A1768,""priceopen""),"""")"),1.79)</f>
        <v>1.79</v>
      </c>
      <c r="X1768" s="22">
        <f>IFERROR(__xludf.DUMMYFUNCTION("IFERROR(GOOGLEFINANCE(A1768,""high""),"""")"),1.85)</f>
        <v>1.85</v>
      </c>
      <c r="Y1768" s="22">
        <f>IFERROR(__xludf.DUMMYFUNCTION("IFERROR(GOOGLEFINANCE(A1768,""low""),"""")"),1.74)</f>
        <v>1.74</v>
      </c>
      <c r="Z1768" s="22">
        <f>IFERROR(__xludf.DUMMYFUNCTION("IFERROR(GOOGLEFINANCE(A1768,""volume""),"""")"),481139.0)</f>
        <v>481139</v>
      </c>
      <c r="AA1768" s="24" t="str">
        <f>VLOOKUP(A1768,Metrik!$C$2:$Y$959,5,0)</f>
        <v>Software</v>
      </c>
      <c r="AB1768" s="24" t="str">
        <f>VLOOKUP(A1768,Metrik!$C$2:$Y$959,3,0)</f>
        <v>Technology</v>
      </c>
    </row>
    <row r="1769">
      <c r="A1769" s="14" t="s">
        <v>961</v>
      </c>
      <c r="B1769" s="14" t="str">
        <f t="array" ref="B1769">VLOOKUP(A1769,{Metrik!$C$2:$C$998,Metrik!$B$2:$B$998},2,0)</f>
        <v>Trias Sentosa Tbk.</v>
      </c>
      <c r="C1769" s="15">
        <f>IFERROR(__xludf.DUMMYFUNCTION("GOOGLEFINANCE(""IDX:""&amp;A1769,""price"")"),490.0)</f>
        <v>490</v>
      </c>
      <c r="D1769" s="16" t="str">
        <f>IFERROR(__xludf.DUMMYFUNCTION("IF(A1769="""","""",
SPARKLINE(
INDEX(
GOOGLEFINANCE(""IDX:""&amp;A1769,""close"",TODAY()-365,TODAY()),
,2
),
{""linewidth"",1}
))
"),"#N/A")</f>
        <v>#N/A</v>
      </c>
      <c r="E1769" s="26"/>
      <c r="F1769" s="26"/>
      <c r="G1769" s="24">
        <f t="shared" si="11"/>
        <v>0</v>
      </c>
      <c r="H1769" s="19">
        <f>VLOOKUP(A1769,Metrik!$C$2:$Y$959,8,0)</f>
        <v>210</v>
      </c>
      <c r="I1769" s="20">
        <f>VLOOKUP(A1769,Metrik!$C$2:$Y$959,9,0)</f>
        <v>0.46</v>
      </c>
      <c r="J1769" s="20">
        <f>VLOOKUP(A1769,Metrik!$C$2:$Y$959,10,0)</f>
        <v>0.22</v>
      </c>
      <c r="K1769" s="20">
        <f>VLOOKUP(A1769,Metrik!$C$2:$Y$959,11,0)</f>
        <v>0.12</v>
      </c>
      <c r="L1769" s="20">
        <f>VLOOKUP(A1769,Metrik!$C$2:$Y$959,12,0)</f>
        <v>0.94</v>
      </c>
      <c r="M1769" s="20">
        <f>VLOOKUP(A1769,Metrik!$C$2:$Y$959,19,0)</f>
        <v>0.64</v>
      </c>
      <c r="N1769" s="21"/>
      <c r="O1769" s="21"/>
      <c r="P1769" s="21"/>
      <c r="Q1769" s="21"/>
      <c r="R1769" s="21"/>
      <c r="S1769" s="21"/>
      <c r="T1769" s="21"/>
      <c r="U1769" s="22">
        <f>IFERROR(__xludf.DUMMYFUNCTION("IFERROR(GOOGLEFINANCE(A1769,""closeyest""),"""")"),54.89)</f>
        <v>54.89</v>
      </c>
      <c r="V1769" s="23">
        <f>IFERROR(__xludf.DUMMYFUNCTION("IFERROR(GOOGLEFINANCE(A1769,""changepct""),"""")"),0.66)</f>
        <v>0.66</v>
      </c>
      <c r="W1769" s="22">
        <f>IFERROR(__xludf.DUMMYFUNCTION("IFERROR(GOOGLEFINANCE(A1769,""priceopen""),"""")"),55.19)</f>
        <v>55.19</v>
      </c>
      <c r="X1769" s="22">
        <f>IFERROR(__xludf.DUMMYFUNCTION("IFERROR(GOOGLEFINANCE(A1769,""high""),"""")"),55.6)</f>
        <v>55.6</v>
      </c>
      <c r="Y1769" s="22">
        <f>IFERROR(__xludf.DUMMYFUNCTION("IFERROR(GOOGLEFINANCE(A1769,""low""),"""")"),55.1)</f>
        <v>55.1</v>
      </c>
      <c r="Z1769" s="22" t="str">
        <f>IFERROR(__xludf.DUMMYFUNCTION("IFERROR(GOOGLEFINANCE(A1769,""volume""),"""")"),"")</f>
        <v/>
      </c>
      <c r="AA1769" s="24" t="str">
        <f>VLOOKUP(A1769,Metrik!$C$2:$Y$959,5,0)</f>
        <v>Containers &amp; Packaging</v>
      </c>
      <c r="AB1769" s="24" t="str">
        <f>VLOOKUP(A1769,Metrik!$C$2:$Y$959,3,0)</f>
        <v>Basic Materials</v>
      </c>
    </row>
    <row r="1770">
      <c r="A1770" s="14" t="s">
        <v>962</v>
      </c>
      <c r="B1770" s="14" t="str">
        <f t="array" ref="B1770">VLOOKUP(A1770,{Metrik!$C$2:$C$998,Metrik!$B$2:$B$998},2,0)</f>
        <v>#N/A</v>
      </c>
      <c r="C1770" s="15">
        <f>IFERROR(__xludf.DUMMYFUNCTION("GOOGLEFINANCE(""IDX:""&amp;A1770,""price"")"),65.0)</f>
        <v>65</v>
      </c>
      <c r="D1770" s="16" t="str">
        <f>IFERROR(__xludf.DUMMYFUNCTION("IF(A1770="""","""",
SPARKLINE(
INDEX(
GOOGLEFINANCE(""IDX:""&amp;A1770,""close"",TODAY()-365,TODAY()),
,2
),
{""linewidth"",1}
))
"),"#N/A")</f>
        <v>#N/A</v>
      </c>
      <c r="E1770" s="26"/>
      <c r="F1770" s="26"/>
      <c r="G1770" s="24">
        <f t="shared" si="11"/>
        <v>0</v>
      </c>
      <c r="H1770" s="19" t="str">
        <f>VLOOKUP(A1770,Metrik!$C$2:$Y$959,8,0)</f>
        <v>#N/A</v>
      </c>
      <c r="I1770" s="20" t="str">
        <f>VLOOKUP(A1770,Metrik!$C$2:$Y$959,9,0)</f>
        <v>#N/A</v>
      </c>
      <c r="J1770" s="20" t="str">
        <f>VLOOKUP(A1770,Metrik!$C$2:$Y$959,10,0)</f>
        <v>#N/A</v>
      </c>
      <c r="K1770" s="20" t="str">
        <f>VLOOKUP(A1770,Metrik!$C$2:$Y$959,11,0)</f>
        <v>#N/A</v>
      </c>
      <c r="L1770" s="20" t="str">
        <f>VLOOKUP(A1770,Metrik!$C$2:$Y$959,12,0)</f>
        <v>#N/A</v>
      </c>
      <c r="M1770" s="20" t="str">
        <f>VLOOKUP(A1770,Metrik!$C$2:$Y$959,19,0)</f>
        <v>#N/A</v>
      </c>
      <c r="N1770" s="21"/>
      <c r="O1770" s="21"/>
      <c r="P1770" s="21"/>
      <c r="Q1770" s="21"/>
      <c r="R1770" s="21"/>
      <c r="S1770" s="21"/>
      <c r="T1770" s="21"/>
      <c r="U1770" s="22">
        <f>IFERROR(__xludf.DUMMYFUNCTION("IFERROR(GOOGLEFINANCE(A1770,""closeyest""),"""")"),3.1)</f>
        <v>3.1</v>
      </c>
      <c r="V1770" s="23">
        <f>IFERROR(__xludf.DUMMYFUNCTION("IFERROR(GOOGLEFINANCE(A1770,""changepct""),"""")"),-3.23)</f>
        <v>-3.23</v>
      </c>
      <c r="W1770" s="22">
        <f>IFERROR(__xludf.DUMMYFUNCTION("IFERROR(GOOGLEFINANCE(A1770,""priceopen""),"""")"),3.13)</f>
        <v>3.13</v>
      </c>
      <c r="X1770" s="22">
        <f>IFERROR(__xludf.DUMMYFUNCTION("IFERROR(GOOGLEFINANCE(A1770,""high""),"""")"),3.13)</f>
        <v>3.13</v>
      </c>
      <c r="Y1770" s="22">
        <f>IFERROR(__xludf.DUMMYFUNCTION("IFERROR(GOOGLEFINANCE(A1770,""low""),"""")"),3.0)</f>
        <v>3</v>
      </c>
      <c r="Z1770" s="22">
        <f>IFERROR(__xludf.DUMMYFUNCTION("IFERROR(GOOGLEFINANCE(A1770,""volume""),"""")"),105809.0)</f>
        <v>105809</v>
      </c>
      <c r="AA1770" s="24" t="str">
        <f>VLOOKUP(A1770,Metrik!$C$2:$Y$959,5,0)</f>
        <v>#N/A</v>
      </c>
      <c r="AB1770" s="24" t="str">
        <f>VLOOKUP(A1770,Metrik!$C$2:$Y$959,3,0)</f>
        <v>#N/A</v>
      </c>
    </row>
    <row r="1771">
      <c r="A1771" s="14" t="s">
        <v>963</v>
      </c>
      <c r="B1771" s="14" t="str">
        <f t="array" ref="B1771">VLOOKUP(A1771,{Metrik!$C$2:$C$998,Metrik!$B$2:$B$998},2,0)</f>
        <v>Guna Timur Raya Tbk.</v>
      </c>
      <c r="C1771" s="15">
        <f>IFERROR(__xludf.DUMMYFUNCTION("GOOGLEFINANCE(""IDX:""&amp;A1771,""price"")"),362.0)</f>
        <v>362</v>
      </c>
      <c r="D1771" s="16" t="str">
        <f>IFERROR(__xludf.DUMMYFUNCTION("IF(A1771="""","""",
SPARKLINE(
INDEX(
GOOGLEFINANCE(""IDX:""&amp;A1771,""close"",TODAY()-365,TODAY()),
,2
),
{""linewidth"",1}
))
"),"#N/A")</f>
        <v>#N/A</v>
      </c>
      <c r="E1771" s="26"/>
      <c r="F1771" s="26"/>
      <c r="G1771" s="24">
        <f t="shared" si="11"/>
        <v>0</v>
      </c>
      <c r="H1771" s="19">
        <f>VLOOKUP(A1771,Metrik!$C$2:$Y$959,8,0)</f>
        <v>-29.7</v>
      </c>
      <c r="I1771" s="20">
        <f>VLOOKUP(A1771,Metrik!$C$2:$Y$959,9,0)</f>
        <v>4.9</v>
      </c>
      <c r="J1771" s="20">
        <f>VLOOKUP(A1771,Metrik!$C$2:$Y$959,10,0)</f>
        <v>-16.3</v>
      </c>
      <c r="K1771" s="20">
        <f>VLOOKUP(A1771,Metrik!$C$2:$Y$959,11,0)</f>
        <v>-11.7</v>
      </c>
      <c r="L1771" s="20">
        <f>VLOOKUP(A1771,Metrik!$C$2:$Y$959,12,0)</f>
        <v>0.4</v>
      </c>
      <c r="M1771" s="20">
        <f>VLOOKUP(A1771,Metrik!$C$2:$Y$959,19,0)</f>
        <v>-63.7</v>
      </c>
      <c r="N1771" s="21"/>
      <c r="O1771" s="21"/>
      <c r="P1771" s="21"/>
      <c r="Q1771" s="21"/>
      <c r="R1771" s="21"/>
      <c r="S1771" s="21"/>
      <c r="T1771" s="21"/>
      <c r="U1771" s="22">
        <f>IFERROR(__xludf.DUMMYFUNCTION("IFERROR(GOOGLEFINANCE(A1771,""closeyest""),"""")"),322.0)</f>
        <v>322</v>
      </c>
      <c r="V1771" s="23">
        <f>IFERROR(__xludf.DUMMYFUNCTION("IFERROR(GOOGLEFINANCE(A1771,""changepct""),"""")"),12.42)</f>
        <v>12.42</v>
      </c>
      <c r="W1771" s="22">
        <f>IFERROR(__xludf.DUMMYFUNCTION("IFERROR(GOOGLEFINANCE(A1771,""priceopen""),"""")"),340.0)</f>
        <v>340</v>
      </c>
      <c r="X1771" s="22">
        <f>IFERROR(__xludf.DUMMYFUNCTION("IFERROR(GOOGLEFINANCE(A1771,""high""),"""")"),380.0)</f>
        <v>380</v>
      </c>
      <c r="Y1771" s="22">
        <f>IFERROR(__xludf.DUMMYFUNCTION("IFERROR(GOOGLEFINANCE(A1771,""low""),"""")"),316.0)</f>
        <v>316</v>
      </c>
      <c r="Z1771" s="22">
        <f>IFERROR(__xludf.DUMMYFUNCTION("IFERROR(GOOGLEFINANCE(A1771,""volume""),"""")"),390200.0)</f>
        <v>390200</v>
      </c>
      <c r="AA1771" s="24" t="str">
        <f>VLOOKUP(A1771,Metrik!$C$2:$Y$959,5,0)</f>
        <v>Logistics &amp; Deliveries</v>
      </c>
      <c r="AB1771" s="24" t="str">
        <f>VLOOKUP(A1771,Metrik!$C$2:$Y$959,3,0)</f>
        <v>Transportation &amp; Logistic</v>
      </c>
    </row>
    <row r="1772">
      <c r="A1772" s="14" t="s">
        <v>964</v>
      </c>
      <c r="B1772" s="14" t="str">
        <f t="array" ref="B1772">VLOOKUP(A1772,{Metrik!$C$2:$C$998,Metrik!$B$2:$B$998},2,0)</f>
        <v>Trust Finance Indonesia Tbk</v>
      </c>
      <c r="C1772" s="15">
        <f>IFERROR(__xludf.DUMMYFUNCTION("GOOGLEFINANCE(""IDX:""&amp;A1772,""price"")"),266.0)</f>
        <v>266</v>
      </c>
      <c r="D1772" s="16" t="str">
        <f>IFERROR(__xludf.DUMMYFUNCTION("IF(A1772="""","""",
SPARKLINE(
INDEX(
GOOGLEFINANCE(""IDX:""&amp;A1772,""close"",TODAY()-365,TODAY()),
,2
),
{""linewidth"",1}
))
"),"#N/A")</f>
        <v>#N/A</v>
      </c>
      <c r="E1772" s="26"/>
      <c r="F1772" s="26"/>
      <c r="G1772" s="24">
        <f t="shared" si="11"/>
        <v>0</v>
      </c>
      <c r="H1772" s="19">
        <f>VLOOKUP(A1772,Metrik!$C$2:$Y$959,8,0)</f>
        <v>13.8</v>
      </c>
      <c r="I1772" s="20">
        <f>VLOOKUP(A1772,Metrik!$C$2:$Y$959,9,0)</f>
        <v>0.54</v>
      </c>
      <c r="J1772" s="20">
        <f>VLOOKUP(A1772,Metrik!$C$2:$Y$959,10,0)</f>
        <v>3.9</v>
      </c>
      <c r="K1772" s="20">
        <f>VLOOKUP(A1772,Metrik!$C$2:$Y$959,11,0)</f>
        <v>3.8</v>
      </c>
      <c r="L1772" s="20">
        <f>VLOOKUP(A1772,Metrik!$C$2:$Y$959,12,0)</f>
        <v>0.04</v>
      </c>
      <c r="M1772" s="20">
        <f>VLOOKUP(A1772,Metrik!$C$2:$Y$959,19,0)</f>
        <v>230</v>
      </c>
      <c r="N1772" s="21"/>
      <c r="O1772" s="21"/>
      <c r="P1772" s="21"/>
      <c r="Q1772" s="21"/>
      <c r="R1772" s="21"/>
      <c r="S1772" s="21"/>
      <c r="T1772" s="21"/>
      <c r="U1772" s="22">
        <f>IFERROR(__xludf.DUMMYFUNCTION("IFERROR(GOOGLEFINANCE(A1772,""closeyest""),"""")"),264.0)</f>
        <v>264</v>
      </c>
      <c r="V1772" s="23">
        <f>IFERROR(__xludf.DUMMYFUNCTION("IFERROR(GOOGLEFINANCE(A1772,""changepct""),"""")"),0.76)</f>
        <v>0.76</v>
      </c>
      <c r="W1772" s="22">
        <f>IFERROR(__xludf.DUMMYFUNCTION("IFERROR(GOOGLEFINANCE(A1772,""priceopen""),"""")"),264.0)</f>
        <v>264</v>
      </c>
      <c r="X1772" s="22">
        <f>IFERROR(__xludf.DUMMYFUNCTION("IFERROR(GOOGLEFINANCE(A1772,""high""),"""")"),276.0)</f>
        <v>276</v>
      </c>
      <c r="Y1772" s="22">
        <f>IFERROR(__xludf.DUMMYFUNCTION("IFERROR(GOOGLEFINANCE(A1772,""low""),"""")"),264.0)</f>
        <v>264</v>
      </c>
      <c r="Z1772" s="22">
        <f>IFERROR(__xludf.DUMMYFUNCTION("IFERROR(GOOGLEFINANCE(A1772,""volume""),"""")"),28000.0)</f>
        <v>28000</v>
      </c>
      <c r="AA1772" s="24" t="str">
        <f>VLOOKUP(A1772,Metrik!$C$2:$Y$959,5,0)</f>
        <v>Consumer Financing</v>
      </c>
      <c r="AB1772" s="24" t="str">
        <f>VLOOKUP(A1772,Metrik!$C$2:$Y$959,3,0)</f>
        <v>Financials</v>
      </c>
    </row>
    <row r="1773">
      <c r="A1773" s="14" t="s">
        <v>965</v>
      </c>
      <c r="B1773" s="14" t="str">
        <f t="array" ref="B1773">VLOOKUP(A1773,{Metrik!$C$2:$C$998,Metrik!$B$2:$B$998},2,0)</f>
        <v>Tempo Scan Pacific Tbk.</v>
      </c>
      <c r="C1773" s="15">
        <f>IFERROR(__xludf.DUMMYFUNCTION("GOOGLEFINANCE(""IDX:""&amp;A1773,""price"")"),2440.0)</f>
        <v>2440</v>
      </c>
      <c r="D1773" s="16" t="str">
        <f>IFERROR(__xludf.DUMMYFUNCTION("IF(A1773="""","""",
SPARKLINE(
INDEX(
GOOGLEFINANCE(""IDX:""&amp;A1773,""close"",TODAY()-365,TODAY()),
,2
),
{""linewidth"",1}
))
"),"#N/A")</f>
        <v>#N/A</v>
      </c>
      <c r="E1773" s="26"/>
      <c r="F1773" s="26"/>
      <c r="G1773" s="18">
        <f t="shared" si="11"/>
        <v>0</v>
      </c>
      <c r="H1773" s="19">
        <f>VLOOKUP(A1773,Metrik!$C$2:$Y$959,8,0)</f>
        <v>7.9</v>
      </c>
      <c r="I1773" s="20">
        <f>VLOOKUP(A1773,Metrik!$C$2:$Y$959,9,0)</f>
        <v>1.1</v>
      </c>
      <c r="J1773" s="20">
        <f>VLOOKUP(A1773,Metrik!$C$2:$Y$959,10,0)</f>
        <v>13.5</v>
      </c>
      <c r="K1773" s="20">
        <f>VLOOKUP(A1773,Metrik!$C$2:$Y$959,11,0)</f>
        <v>10.1</v>
      </c>
      <c r="L1773" s="20">
        <f>VLOOKUP(A1773,Metrik!$C$2:$Y$959,12,0)</f>
        <v>0.33</v>
      </c>
      <c r="M1773" s="20">
        <f>VLOOKUP(A1773,Metrik!$C$2:$Y$959,19,0)</f>
        <v>39.5</v>
      </c>
      <c r="N1773" s="21"/>
      <c r="O1773" s="21"/>
      <c r="P1773" s="21"/>
      <c r="Q1773" s="21"/>
      <c r="R1773" s="21"/>
      <c r="S1773" s="21"/>
      <c r="T1773" s="21"/>
      <c r="U1773" s="22">
        <f>IFERROR(__xludf.DUMMYFUNCTION("IFERROR(GOOGLEFINANCE(A1773,""closeyest""),"""")"),2400.0)</f>
        <v>2400</v>
      </c>
      <c r="V1773" s="23" t="str">
        <f>IFERROR(__xludf.DUMMYFUNCTION("IFERROR(GOOGLEFINANCE(A1773,""changepct""),"""")"),"")</f>
        <v/>
      </c>
      <c r="W1773" s="22">
        <f>IFERROR(__xludf.DUMMYFUNCTION("IFERROR(GOOGLEFINANCE(A1773,""priceopen""),"""")"),2410.0)</f>
        <v>2410</v>
      </c>
      <c r="X1773" s="22">
        <f>IFERROR(__xludf.DUMMYFUNCTION("IFERROR(GOOGLEFINANCE(A1773,""high""),"""")"),2460.0)</f>
        <v>2460</v>
      </c>
      <c r="Y1773" s="22">
        <f>IFERROR(__xludf.DUMMYFUNCTION("IFERROR(GOOGLEFINANCE(A1773,""low""),"""")"),2400.0)</f>
        <v>2400</v>
      </c>
      <c r="Z1773" s="22">
        <f>IFERROR(__xludf.DUMMYFUNCTION("IFERROR(GOOGLEFINANCE(A1773,""volume""),"""")"),1201100.0)</f>
        <v>1201100</v>
      </c>
      <c r="AA1773" s="24" t="str">
        <f>VLOOKUP(A1773,Metrik!$C$2:$Y$959,5,0)</f>
        <v>Pharmaceuticals</v>
      </c>
      <c r="AB1773" s="24" t="str">
        <f>VLOOKUP(A1773,Metrik!$C$2:$Y$959,3,0)</f>
        <v>Healthcare</v>
      </c>
    </row>
    <row r="1774">
      <c r="A1774" s="14" t="s">
        <v>966</v>
      </c>
      <c r="B1774" s="14" t="str">
        <f t="array" ref="B1774">VLOOKUP(A1774,{Metrik!$C$2:$C$998,Metrik!$B$2:$B$998},2,0)</f>
        <v>Asuransi Tugu Pratama Indonesia Tbk.</v>
      </c>
      <c r="C1774" s="15">
        <f>IFERROR(__xludf.DUMMYFUNCTION("GOOGLEFINANCE(""IDX:""&amp;A1774,""price"")"),1090.0)</f>
        <v>1090</v>
      </c>
      <c r="D1774" s="16" t="str">
        <f>IFERROR(__xludf.DUMMYFUNCTION("IF(A1774="""","""",
SPARKLINE(
INDEX(
GOOGLEFINANCE(""IDX:""&amp;A1774,""close"",TODAY()-365,TODAY()),
,2
),
{""linewidth"",1}
))
"),"#N/A")</f>
        <v>#N/A</v>
      </c>
      <c r="E1774" s="26"/>
      <c r="F1774" s="26"/>
      <c r="G1774" s="24">
        <f t="shared" si="11"/>
        <v>0</v>
      </c>
      <c r="H1774" s="19">
        <f>VLOOKUP(A1774,Metrik!$C$2:$Y$959,8,0)</f>
        <v>5.5</v>
      </c>
      <c r="I1774" s="20">
        <f>VLOOKUP(A1774,Metrik!$C$2:$Y$959,9,0)</f>
        <v>0.39</v>
      </c>
      <c r="J1774" s="20">
        <f>VLOOKUP(A1774,Metrik!$C$2:$Y$959,10,0)</f>
        <v>7.2</v>
      </c>
      <c r="K1774" s="20">
        <f>VLOOKUP(A1774,Metrik!$C$2:$Y$959,11,0)</f>
        <v>2.5</v>
      </c>
      <c r="L1774" s="20">
        <f>VLOOKUP(A1774,Metrik!$C$2:$Y$959,12,0)</f>
        <v>1.9</v>
      </c>
      <c r="M1774" s="20">
        <f>VLOOKUP(A1774,Metrik!$C$2:$Y$959,19,0)</f>
        <v>25.9</v>
      </c>
      <c r="N1774" s="21"/>
      <c r="O1774" s="21"/>
      <c r="P1774" s="21"/>
      <c r="Q1774" s="21"/>
      <c r="R1774" s="21"/>
      <c r="S1774" s="21"/>
      <c r="T1774" s="21"/>
      <c r="U1774" s="22">
        <f>IFERROR(__xludf.DUMMYFUNCTION("IFERROR(GOOGLEFINANCE(A1774,""closeyest""),"""")"),1095.0)</f>
        <v>1095</v>
      </c>
      <c r="V1774" s="23">
        <f>IFERROR(__xludf.DUMMYFUNCTION("IFERROR(GOOGLEFINANCE(A1774,""changepct""),"""")"),-0.46)</f>
        <v>-0.46</v>
      </c>
      <c r="W1774" s="22">
        <f>IFERROR(__xludf.DUMMYFUNCTION("IFERROR(GOOGLEFINANCE(A1774,""priceopen""),"""")"),1090.0)</f>
        <v>1090</v>
      </c>
      <c r="X1774" s="22">
        <f>IFERROR(__xludf.DUMMYFUNCTION("IFERROR(GOOGLEFINANCE(A1774,""high""),"""")"),1105.0)</f>
        <v>1105</v>
      </c>
      <c r="Y1774" s="22">
        <f>IFERROR(__xludf.DUMMYFUNCTION("IFERROR(GOOGLEFINANCE(A1774,""low""),"""")"),1075.0)</f>
        <v>1075</v>
      </c>
      <c r="Z1774" s="22">
        <f>IFERROR(__xludf.DUMMYFUNCTION("IFERROR(GOOGLEFINANCE(A1774,""volume""),"""")"),2245200.0)</f>
        <v>2245200</v>
      </c>
      <c r="AA1774" s="24" t="str">
        <f>VLOOKUP(A1774,Metrik!$C$2:$Y$959,5,0)</f>
        <v>Insurance</v>
      </c>
      <c r="AB1774" s="24" t="str">
        <f>VLOOKUP(A1774,Metrik!$C$2:$Y$959,3,0)</f>
        <v>Financials</v>
      </c>
    </row>
    <row r="1775">
      <c r="A1775" s="14" t="s">
        <v>967</v>
      </c>
      <c r="B1775" s="14" t="str">
        <f t="array" ref="B1775">VLOOKUP(A1775,{Metrik!$C$2:$C$998,Metrik!$B$2:$B$998},2,0)</f>
        <v>PT King Tire Indonesia Tbk.</v>
      </c>
      <c r="C1775" s="15">
        <f>IFERROR(__xludf.DUMMYFUNCTION("GOOGLEFINANCE(""IDX:""&amp;A1775,""price"")"),103.0)</f>
        <v>103</v>
      </c>
      <c r="D1775" s="16" t="str">
        <f>IFERROR(__xludf.DUMMYFUNCTION("IF(A1775="""","""",
SPARKLINE(
INDEX(
GOOGLEFINANCE(""IDX:""&amp;A1775,""close"",TODAY()-365,TODAY()),
,2
),
{""linewidth"",1}
))
"),"#N/A")</f>
        <v>#N/A</v>
      </c>
      <c r="E1775" s="26"/>
      <c r="F1775" s="26"/>
      <c r="G1775" s="24">
        <f t="shared" si="11"/>
        <v>0</v>
      </c>
      <c r="H1775" s="19">
        <f>VLOOKUP(A1775,Metrik!$C$2:$Y$959,8,0)</f>
        <v>18.7</v>
      </c>
      <c r="I1775" s="20">
        <f>VLOOKUP(A1775,Metrik!$C$2:$Y$959,9,0)</f>
        <v>1.1</v>
      </c>
      <c r="J1775" s="20">
        <f>VLOOKUP(A1775,Metrik!$C$2:$Y$959,10,0)</f>
        <v>5.8</v>
      </c>
      <c r="K1775" s="20">
        <f>VLOOKUP(A1775,Metrik!$C$2:$Y$959,11,0)</f>
        <v>3.3</v>
      </c>
      <c r="L1775" s="20">
        <f>VLOOKUP(A1775,Metrik!$C$2:$Y$959,12,0)</f>
        <v>0.77</v>
      </c>
      <c r="M1775" s="20">
        <f>VLOOKUP(A1775,Metrik!$C$2:$Y$959,19,0)</f>
        <v>15.4</v>
      </c>
      <c r="N1775" s="21"/>
      <c r="O1775" s="21"/>
      <c r="P1775" s="21"/>
      <c r="Q1775" s="21"/>
      <c r="R1775" s="21"/>
      <c r="S1775" s="21"/>
      <c r="T1775" s="21"/>
      <c r="U1775" s="22">
        <f>IFERROR(__xludf.DUMMYFUNCTION("IFERROR(GOOGLEFINANCE(A1775,""closeyest""),"""")"),104.0)</f>
        <v>104</v>
      </c>
      <c r="V1775" s="23">
        <f>IFERROR(__xludf.DUMMYFUNCTION("IFERROR(GOOGLEFINANCE(A1775,""changepct""),"""")"),-0.96)</f>
        <v>-0.96</v>
      </c>
      <c r="W1775" s="22">
        <f>IFERROR(__xludf.DUMMYFUNCTION("IFERROR(GOOGLEFINANCE(A1775,""priceopen""),"""")"),102.0)</f>
        <v>102</v>
      </c>
      <c r="X1775" s="22">
        <f>IFERROR(__xludf.DUMMYFUNCTION("IFERROR(GOOGLEFINANCE(A1775,""high""),"""")"),104.0)</f>
        <v>104</v>
      </c>
      <c r="Y1775" s="22">
        <f>IFERROR(__xludf.DUMMYFUNCTION("IFERROR(GOOGLEFINANCE(A1775,""low""),"""")"),100.0)</f>
        <v>100</v>
      </c>
      <c r="Z1775" s="22">
        <f>IFERROR(__xludf.DUMMYFUNCTION("IFERROR(GOOGLEFINANCE(A1775,""volume""),"""")"),130800.0)</f>
        <v>130800</v>
      </c>
      <c r="AA1775" s="24" t="str">
        <f>VLOOKUP(A1775,Metrik!$C$2:$Y$959,5,0)</f>
        <v>Auto Components</v>
      </c>
      <c r="AB1775" s="24" t="str">
        <f>VLOOKUP(A1775,Metrik!$C$2:$Y$959,3,0)</f>
        <v>Consumer Cyclicals</v>
      </c>
    </row>
    <row r="1776">
      <c r="A1776" s="14" t="s">
        <v>968</v>
      </c>
      <c r="B1776" s="14" t="str">
        <f t="array" ref="B1776">VLOOKUP(A1776,{Metrik!$C$2:$C$998,Metrik!$B$2:$B$998},2,0)</f>
        <v>Pakuan Tbk.</v>
      </c>
      <c r="C1776" s="15">
        <f>IFERROR(__xludf.DUMMYFUNCTION("GOOGLEFINANCE(""IDX:""&amp;A1776,""price"")"),2210.0)</f>
        <v>2210</v>
      </c>
      <c r="D1776" s="16" t="str">
        <f>IFERROR(__xludf.DUMMYFUNCTION("IF(A1776="""","""",
SPARKLINE(
INDEX(
GOOGLEFINANCE(""IDX:""&amp;A1776,""close"",TODAY()-365,TODAY()),
,2
),
{""linewidth"",1}
))
"),"#N/A")</f>
        <v>#N/A</v>
      </c>
      <c r="E1776" s="26"/>
      <c r="F1776" s="26"/>
      <c r="G1776" s="24">
        <f t="shared" si="11"/>
        <v>0</v>
      </c>
      <c r="H1776" s="19">
        <f>VLOOKUP(A1776,Metrik!$C$2:$Y$959,8,0)</f>
        <v>38.6</v>
      </c>
      <c r="I1776" s="20">
        <f>VLOOKUP(A1776,Metrik!$C$2:$Y$959,9,0)</f>
        <v>5.3</v>
      </c>
      <c r="J1776" s="20">
        <f>VLOOKUP(A1776,Metrik!$C$2:$Y$959,10,0)</f>
        <v>13.8</v>
      </c>
      <c r="K1776" s="20">
        <f>VLOOKUP(A1776,Metrik!$C$2:$Y$959,11,0)</f>
        <v>4.6</v>
      </c>
      <c r="L1776" s="20">
        <f>VLOOKUP(A1776,Metrik!$C$2:$Y$959,12,0)</f>
        <v>2</v>
      </c>
      <c r="M1776" s="20">
        <f>VLOOKUP(A1776,Metrik!$C$2:$Y$959,19,0)</f>
        <v>24.2</v>
      </c>
      <c r="N1776" s="21"/>
      <c r="O1776" s="21"/>
      <c r="P1776" s="21"/>
      <c r="Q1776" s="21"/>
      <c r="R1776" s="21"/>
      <c r="S1776" s="21"/>
      <c r="T1776" s="21"/>
      <c r="U1776" s="22">
        <f>IFERROR(__xludf.DUMMYFUNCTION("IFERROR(GOOGLEFINANCE(A1776,""closeyest""),"""")"),2150.0)</f>
        <v>2150</v>
      </c>
      <c r="V1776" s="23">
        <f>IFERROR(__xludf.DUMMYFUNCTION("IFERROR(GOOGLEFINANCE(A1776,""changepct""),"""")"),2.79)</f>
        <v>2.79</v>
      </c>
      <c r="W1776" s="22">
        <f>IFERROR(__xludf.DUMMYFUNCTION("IFERROR(GOOGLEFINANCE(A1776,""priceopen""),"""")"),2070.0)</f>
        <v>2070</v>
      </c>
      <c r="X1776" s="22">
        <f>IFERROR(__xludf.DUMMYFUNCTION("IFERROR(GOOGLEFINANCE(A1776,""high""),"""")"),2310.0)</f>
        <v>2310</v>
      </c>
      <c r="Y1776" s="22">
        <f>IFERROR(__xludf.DUMMYFUNCTION("IFERROR(GOOGLEFINANCE(A1776,""low""),"""")"),2070.0)</f>
        <v>2070</v>
      </c>
      <c r="Z1776" s="22">
        <f>IFERROR(__xludf.DUMMYFUNCTION("IFERROR(GOOGLEFINANCE(A1776,""volume""),"""")"),134400.0)</f>
        <v>134400</v>
      </c>
      <c r="AA1776" s="24" t="str">
        <f>VLOOKUP(A1776,Metrik!$C$2:$Y$959,5,0)</f>
        <v>Real Estate Management &amp; Development</v>
      </c>
      <c r="AB1776" s="24" t="str">
        <f>VLOOKUP(A1776,Metrik!$C$2:$Y$959,3,0)</f>
        <v>Properties &amp; Real Estate</v>
      </c>
    </row>
    <row r="1777">
      <c r="A1777" s="14" t="s">
        <v>969</v>
      </c>
      <c r="B1777" s="14" t="str">
        <f t="array" ref="B1777">VLOOKUP(A1777,{Metrik!$C$2:$C$998,Metrik!$B$2:$B$998},2,0)</f>
        <v>Uni-Charm Indonesia Tbk.</v>
      </c>
      <c r="C1777" s="15">
        <f>IFERROR(__xludf.DUMMYFUNCTION("GOOGLEFINANCE(""IDX:""&amp;A1777,""price"")"),384.0)</f>
        <v>384</v>
      </c>
      <c r="D1777" s="16" t="str">
        <f>IFERROR(__xludf.DUMMYFUNCTION("IF(A1777="""","""",
SPARKLINE(
INDEX(
GOOGLEFINANCE(""IDX:""&amp;A1777,""close"",TODAY()-365,TODAY()),
,2
),
{""linewidth"",1}
))
"),"#N/A")</f>
        <v>#N/A</v>
      </c>
      <c r="E1777" s="26"/>
      <c r="F1777" s="26"/>
      <c r="G1777" s="24">
        <f t="shared" si="11"/>
        <v>0</v>
      </c>
      <c r="H1777" s="19">
        <f>VLOOKUP(A1777,Metrik!$C$2:$Y$959,8,0)</f>
        <v>-1.4</v>
      </c>
      <c r="I1777" s="20">
        <f>VLOOKUP(A1777,Metrik!$C$2:$Y$959,9,0)</f>
        <v>0.35</v>
      </c>
      <c r="J1777" s="20">
        <f>VLOOKUP(A1777,Metrik!$C$2:$Y$959,10,0)</f>
        <v>-24.9</v>
      </c>
      <c r="K1777" s="20">
        <f>VLOOKUP(A1777,Metrik!$C$2:$Y$959,11,0)</f>
        <v>-16.5</v>
      </c>
      <c r="L1777" s="20">
        <f>VLOOKUP(A1777,Metrik!$C$2:$Y$959,12,0)</f>
        <v>0.51</v>
      </c>
      <c r="M1777" s="20">
        <f>VLOOKUP(A1777,Metrik!$C$2:$Y$959,19,0)</f>
        <v>-57.4</v>
      </c>
      <c r="N1777" s="21"/>
      <c r="O1777" s="21"/>
      <c r="P1777" s="21"/>
      <c r="Q1777" s="21"/>
      <c r="R1777" s="21"/>
      <c r="S1777" s="21"/>
      <c r="T1777" s="21"/>
      <c r="U1777" s="22">
        <f>IFERROR(__xludf.DUMMYFUNCTION("IFERROR(GOOGLEFINANCE(A1777,""closeyest""),"""")"),372.0)</f>
        <v>372</v>
      </c>
      <c r="V1777" s="23">
        <f>IFERROR(__xludf.DUMMYFUNCTION("IFERROR(GOOGLEFINANCE(A1777,""changepct""),"""")"),3.23)</f>
        <v>3.23</v>
      </c>
      <c r="W1777" s="22">
        <f>IFERROR(__xludf.DUMMYFUNCTION("IFERROR(GOOGLEFINANCE(A1777,""priceopen""),"""")"),374.0)</f>
        <v>374</v>
      </c>
      <c r="X1777" s="22">
        <f>IFERROR(__xludf.DUMMYFUNCTION("IFERROR(GOOGLEFINANCE(A1777,""high""),"""")"),388.0)</f>
        <v>388</v>
      </c>
      <c r="Y1777" s="22">
        <f>IFERROR(__xludf.DUMMYFUNCTION("IFERROR(GOOGLEFINANCE(A1777,""low""),"""")"),368.0)</f>
        <v>368</v>
      </c>
      <c r="Z1777" s="22">
        <f>IFERROR(__xludf.DUMMYFUNCTION("IFERROR(GOOGLEFINANCE(A1777,""volume""),"""")"),1366500.0)</f>
        <v>1366500</v>
      </c>
      <c r="AA1777" s="24" t="str">
        <f>VLOOKUP(A1777,Metrik!$C$2:$Y$959,5,0)</f>
        <v>Personal Care Products</v>
      </c>
      <c r="AB1777" s="24" t="str">
        <f>VLOOKUP(A1777,Metrik!$C$2:$Y$959,3,0)</f>
        <v>Consumer Non-Cyclicals</v>
      </c>
    </row>
    <row r="1778">
      <c r="A1778" s="14" t="s">
        <v>970</v>
      </c>
      <c r="B1778" s="14" t="str">
        <f t="array" ref="B1778">VLOOKUP(A1778,{Metrik!$C$2:$C$998,Metrik!$B$2:$B$998},2,0)</f>
        <v>Agro Bahari Nusantara Tbk.</v>
      </c>
      <c r="C1778" s="15">
        <f>IFERROR(__xludf.DUMMYFUNCTION("GOOGLEFINANCE(""IDX:""&amp;A1778,""price"")"),1400.0)</f>
        <v>1400</v>
      </c>
      <c r="D1778" s="16" t="str">
        <f>IFERROR(__xludf.DUMMYFUNCTION("IF(A1778="""","""",
SPARKLINE(
INDEX(
GOOGLEFINANCE(""IDX:""&amp;A1778,""close"",TODAY()-365,TODAY()),
,2
),
{""linewidth"",1}
))
"),"#N/A")</f>
        <v>#N/A</v>
      </c>
      <c r="E1778" s="26"/>
      <c r="F1778" s="26"/>
      <c r="G1778" s="24">
        <f t="shared" si="11"/>
        <v>0</v>
      </c>
      <c r="H1778" s="19">
        <f>VLOOKUP(A1778,Metrik!$C$2:$Y$959,8,0)</f>
        <v>-670</v>
      </c>
      <c r="I1778" s="20">
        <f>VLOOKUP(A1778,Metrik!$C$2:$Y$959,9,0)</f>
        <v>44.3</v>
      </c>
      <c r="J1778" s="20">
        <f>VLOOKUP(A1778,Metrik!$C$2:$Y$959,10,0)</f>
        <v>-6.6</v>
      </c>
      <c r="K1778" s="20">
        <f>VLOOKUP(A1778,Metrik!$C$2:$Y$959,11,0)</f>
        <v>-6.1</v>
      </c>
      <c r="L1778" s="20">
        <f>VLOOKUP(A1778,Metrik!$C$2:$Y$959,12,0)</f>
        <v>0.08</v>
      </c>
      <c r="M1778" s="20">
        <f>VLOOKUP(A1778,Metrik!$C$2:$Y$959,19,0)</f>
        <v>-15.9</v>
      </c>
      <c r="N1778" s="21"/>
      <c r="O1778" s="21"/>
      <c r="P1778" s="21"/>
      <c r="Q1778" s="21"/>
      <c r="R1778" s="21"/>
      <c r="S1778" s="21"/>
      <c r="T1778" s="21"/>
      <c r="U1778" s="22" t="str">
        <f>IFERROR(__xludf.DUMMYFUNCTION("IFERROR(GOOGLEFINANCE(A1778,""closeyest""),"""")"),"")</f>
        <v/>
      </c>
      <c r="V1778" s="23">
        <f>IFERROR(__xludf.DUMMYFUNCTION("IFERROR(GOOGLEFINANCE(A1778,""changepct""),"""")"),6.46)</f>
        <v>6.46</v>
      </c>
      <c r="W1778" s="22">
        <f>IFERROR(__xludf.DUMMYFUNCTION("IFERROR(GOOGLEFINANCE(A1778,""priceopen""),"""")"),1315.0)</f>
        <v>1315</v>
      </c>
      <c r="X1778" s="22">
        <f>IFERROR(__xludf.DUMMYFUNCTION("IFERROR(GOOGLEFINANCE(A1778,""high""),"""")"),1435.0)</f>
        <v>1435</v>
      </c>
      <c r="Y1778" s="22">
        <f>IFERROR(__xludf.DUMMYFUNCTION("IFERROR(GOOGLEFINANCE(A1778,""low""),"""")"),1315.0)</f>
        <v>1315</v>
      </c>
      <c r="Z1778" s="22">
        <f>IFERROR(__xludf.DUMMYFUNCTION("IFERROR(GOOGLEFINANCE(A1778,""volume""),"""")"),1364000.0)</f>
        <v>1364000</v>
      </c>
      <c r="AA1778" s="24" t="str">
        <f>VLOOKUP(A1778,Metrik!$C$2:$Y$959,5,0)</f>
        <v>Agricultural Products</v>
      </c>
      <c r="AB1778" s="24" t="str">
        <f>VLOOKUP(A1778,Metrik!$C$2:$Y$959,3,0)</f>
        <v>Consumer Non-Cyclicals</v>
      </c>
    </row>
    <row r="1779">
      <c r="A1779" s="14" t="s">
        <v>971</v>
      </c>
      <c r="B1779" s="14" t="str">
        <f t="array" ref="B1779">VLOOKUP(A1779,{Metrik!$C$2:$C$998,Metrik!$B$2:$B$998},2,0)</f>
        <v>Damai Sejahtera Abadi Tbk.</v>
      </c>
      <c r="C1779" s="15">
        <f>IFERROR(__xludf.DUMMYFUNCTION("GOOGLEFINANCE(""IDX:""&amp;A1779,""price"")"),135.0)</f>
        <v>135</v>
      </c>
      <c r="D1779" s="16" t="str">
        <f>IFERROR(__xludf.DUMMYFUNCTION("IF(A1779="""","""",
SPARKLINE(
INDEX(
GOOGLEFINANCE(""IDX:""&amp;A1779,""close"",TODAY()-365,TODAY()),
,2
),
{""linewidth"",1}
))
"),"#N/A")</f>
        <v>#N/A</v>
      </c>
      <c r="E1779" s="26"/>
      <c r="F1779" s="26"/>
      <c r="G1779" s="24">
        <f t="shared" si="11"/>
        <v>0</v>
      </c>
      <c r="H1779" s="19">
        <f>VLOOKUP(A1779,Metrik!$C$2:$Y$959,8,0)</f>
        <v>21</v>
      </c>
      <c r="I1779" s="20">
        <f>VLOOKUP(A1779,Metrik!$C$2:$Y$959,9,0)</f>
        <v>1.7</v>
      </c>
      <c r="J1779" s="20">
        <f>VLOOKUP(A1779,Metrik!$C$2:$Y$959,10,0)</f>
        <v>8</v>
      </c>
      <c r="K1779" s="20">
        <f>VLOOKUP(A1779,Metrik!$C$2:$Y$959,11,0)</f>
        <v>3.5</v>
      </c>
      <c r="L1779" s="20">
        <f>VLOOKUP(A1779,Metrik!$C$2:$Y$959,12,0)</f>
        <v>1.3</v>
      </c>
      <c r="M1779" s="20">
        <f>VLOOKUP(A1779,Metrik!$C$2:$Y$959,19,0)</f>
        <v>6.2</v>
      </c>
      <c r="N1779" s="21"/>
      <c r="O1779" s="21"/>
      <c r="P1779" s="21"/>
      <c r="Q1779" s="21"/>
      <c r="R1779" s="21"/>
      <c r="S1779" s="21"/>
      <c r="T1779" s="21"/>
      <c r="U1779" s="22">
        <f>IFERROR(__xludf.DUMMYFUNCTION("IFERROR(GOOGLEFINANCE(A1779,""closeyest""),"""")"),133.0)</f>
        <v>133</v>
      </c>
      <c r="V1779" s="23">
        <f>IFERROR(__xludf.DUMMYFUNCTION("IFERROR(GOOGLEFINANCE(A1779,""changepct""),"""")"),1.5)</f>
        <v>1.5</v>
      </c>
      <c r="W1779" s="22">
        <f>IFERROR(__xludf.DUMMYFUNCTION("IFERROR(GOOGLEFINANCE(A1779,""priceopen""),"""")"),129.0)</f>
        <v>129</v>
      </c>
      <c r="X1779" s="22">
        <f>IFERROR(__xludf.DUMMYFUNCTION("IFERROR(GOOGLEFINANCE(A1779,""high""),"""")"),138.0)</f>
        <v>138</v>
      </c>
      <c r="Y1779" s="22" t="str">
        <f>IFERROR(__xludf.DUMMYFUNCTION("IFERROR(GOOGLEFINANCE(A1779,""low""),"""")"),"")</f>
        <v/>
      </c>
      <c r="Z1779" s="22">
        <f>IFERROR(__xludf.DUMMYFUNCTION("IFERROR(GOOGLEFINANCE(A1779,""volume""),"""")"),191800.0)</f>
        <v>191800</v>
      </c>
      <c r="AA1779" s="24" t="str">
        <f>VLOOKUP(A1779,Metrik!$C$2:$Y$959,5,0)</f>
        <v>Specialty Retail</v>
      </c>
      <c r="AB1779" s="24" t="str">
        <f>VLOOKUP(A1779,Metrik!$C$2:$Y$959,3,0)</f>
        <v>Consumer Cyclicals</v>
      </c>
    </row>
    <row r="1780">
      <c r="A1780" s="14" t="s">
        <v>972</v>
      </c>
      <c r="B1780" s="14" t="str">
        <f t="array" ref="B1780">VLOOKUP(A1780,{Metrik!$C$2:$C$998,Metrik!$B$2:$B$998},2,0)</f>
        <v>Ultrajaya Milk Industry &amp; Trading Company Tbk.</v>
      </c>
      <c r="C1780" s="15">
        <f>IFERROR(__xludf.DUMMYFUNCTION("GOOGLEFINANCE(""IDX:""&amp;A1780,""price"")"),1325.0)</f>
        <v>1325</v>
      </c>
      <c r="D1780" s="16" t="str">
        <f>IFERROR(__xludf.DUMMYFUNCTION("IF(A1780="""","""",
SPARKLINE(
INDEX(
GOOGLEFINANCE(""IDX:""&amp;A1780,""close"",TODAY()-365,TODAY()),
,2
),
{""linewidth"",1}
))
"),"#N/A")</f>
        <v>#N/A</v>
      </c>
      <c r="E1780" s="14" t="s">
        <v>47</v>
      </c>
      <c r="F1780" s="25">
        <v>46356.0</v>
      </c>
      <c r="G1780" s="18">
        <f t="shared" si="11"/>
        <v>3</v>
      </c>
      <c r="H1780" s="19">
        <f>VLOOKUP(A1780,Metrik!$C$2:$Y$959,8,0)</f>
        <v>10.7</v>
      </c>
      <c r="I1780" s="20">
        <f>VLOOKUP(A1780,Metrik!$C$2:$Y$959,9,0)</f>
        <v>1.8</v>
      </c>
      <c r="J1780" s="20">
        <f>VLOOKUP(A1780,Metrik!$C$2:$Y$959,10,0)</f>
        <v>16.8</v>
      </c>
      <c r="K1780" s="20">
        <f>VLOOKUP(A1780,Metrik!$C$2:$Y$959,11,0)</f>
        <v>14.8</v>
      </c>
      <c r="L1780" s="20">
        <f>VLOOKUP(A1780,Metrik!$C$2:$Y$959,12,0)</f>
        <v>0.13</v>
      </c>
      <c r="M1780" s="20">
        <f>VLOOKUP(A1780,Metrik!$C$2:$Y$959,19,0)</f>
        <v>53.3</v>
      </c>
      <c r="N1780" s="21"/>
      <c r="O1780" s="21"/>
      <c r="P1780" s="21"/>
      <c r="Q1780" s="21"/>
      <c r="R1780" s="21"/>
      <c r="S1780" s="21"/>
      <c r="T1780" s="21"/>
      <c r="U1780" s="22">
        <f>IFERROR(__xludf.DUMMYFUNCTION("IFERROR(GOOGLEFINANCE(A1780,""closeyest""),"""")"),1320.0)</f>
        <v>1320</v>
      </c>
      <c r="V1780" s="23">
        <f>IFERROR(__xludf.DUMMYFUNCTION("IFERROR(GOOGLEFINANCE(A1780,""changepct""),"""")"),0.38)</f>
        <v>0.38</v>
      </c>
      <c r="W1780" s="22">
        <f>IFERROR(__xludf.DUMMYFUNCTION("IFERROR(GOOGLEFINANCE(A1780,""priceopen""),"""")"),1320.0)</f>
        <v>1320</v>
      </c>
      <c r="X1780" s="22">
        <f>IFERROR(__xludf.DUMMYFUNCTION("IFERROR(GOOGLEFINANCE(A1780,""high""),"""")"),1345.0)</f>
        <v>1345</v>
      </c>
      <c r="Y1780" s="22">
        <f>IFERROR(__xludf.DUMMYFUNCTION("IFERROR(GOOGLEFINANCE(A1780,""low""),"""")"),1315.0)</f>
        <v>1315</v>
      </c>
      <c r="Z1780" s="22">
        <f>IFERROR(__xludf.DUMMYFUNCTION("IFERROR(GOOGLEFINANCE(A1780,""volume""),"""")"),2093400.0)</f>
        <v>2093400</v>
      </c>
      <c r="AA1780" s="24" t="str">
        <f>VLOOKUP(A1780,Metrik!$C$2:$Y$959,5,0)</f>
        <v>Processed Foods</v>
      </c>
      <c r="AB1780" s="24" t="str">
        <f>VLOOKUP(A1780,Metrik!$C$2:$Y$959,3,0)</f>
        <v>Consumer Non-Cyclicals</v>
      </c>
    </row>
    <row r="1781">
      <c r="A1781" s="17" t="s">
        <v>972</v>
      </c>
      <c r="B1781" s="14" t="str">
        <f t="array" ref="B1781">VLOOKUP(A1781,{Metrik!$C$2:$C$998,Metrik!$B$2:$B$998},2,0)</f>
        <v>Ultrajaya Milk Industry &amp; Trading Company Tbk.</v>
      </c>
      <c r="C1781" s="15">
        <f>IFERROR(__xludf.DUMMYFUNCTION("GOOGLEFINANCE(""IDX:""&amp;A1781,""price"")"),1325.0)</f>
        <v>1325</v>
      </c>
      <c r="D1781" s="16" t="str">
        <f>IFERROR(__xludf.DUMMYFUNCTION("IF(A1781="""","""",
SPARKLINE(
INDEX(
GOOGLEFINANCE(""IDX:""&amp;A1781,""close"",TODAY()-365,TODAY()),
,2
),
{""linewidth"",1}
))
"),"#N/A")</f>
        <v>#N/A</v>
      </c>
      <c r="E1781" s="17" t="s">
        <v>175</v>
      </c>
      <c r="F1781" s="14" t="s">
        <v>34</v>
      </c>
      <c r="G1781" s="18">
        <f t="shared" si="11"/>
        <v>3</v>
      </c>
      <c r="H1781" s="19">
        <f>VLOOKUP(A1781,Metrik!$C$2:$Y$959,8,0)</f>
        <v>10.7</v>
      </c>
      <c r="I1781" s="20">
        <f>VLOOKUP(A1781,Metrik!$C$2:$Y$959,9,0)</f>
        <v>1.8</v>
      </c>
      <c r="J1781" s="20">
        <f>VLOOKUP(A1781,Metrik!$C$2:$Y$959,10,0)</f>
        <v>16.8</v>
      </c>
      <c r="K1781" s="20">
        <f>VLOOKUP(A1781,Metrik!$C$2:$Y$959,11,0)</f>
        <v>14.8</v>
      </c>
      <c r="L1781" s="20">
        <f>VLOOKUP(A1781,Metrik!$C$2:$Y$959,12,0)</f>
        <v>0.13</v>
      </c>
      <c r="M1781" s="20">
        <f>VLOOKUP(A1781,Metrik!$C$2:$Y$959,19,0)</f>
        <v>53.3</v>
      </c>
      <c r="N1781" s="21"/>
      <c r="O1781" s="21"/>
      <c r="P1781" s="21"/>
      <c r="Q1781" s="21"/>
      <c r="R1781" s="21"/>
      <c r="S1781" s="21"/>
      <c r="T1781" s="21"/>
      <c r="U1781" s="22">
        <f>IFERROR(__xludf.DUMMYFUNCTION("IFERROR(GOOGLEFINANCE(A1781,""closeyest""),"""")"),1320.0)</f>
        <v>1320</v>
      </c>
      <c r="V1781" s="23">
        <f>IFERROR(__xludf.DUMMYFUNCTION("IFERROR(GOOGLEFINANCE(A1781,""changepct""),"""")"),0.38)</f>
        <v>0.38</v>
      </c>
      <c r="W1781" s="22">
        <f>IFERROR(__xludf.DUMMYFUNCTION("IFERROR(GOOGLEFINANCE(A1781,""priceopen""),"""")"),1320.0)</f>
        <v>1320</v>
      </c>
      <c r="X1781" s="22">
        <f>IFERROR(__xludf.DUMMYFUNCTION("IFERROR(GOOGLEFINANCE(A1781,""high""),"""")"),1345.0)</f>
        <v>1345</v>
      </c>
      <c r="Y1781" s="22">
        <f>IFERROR(__xludf.DUMMYFUNCTION("IFERROR(GOOGLEFINANCE(A1781,""low""),"""")"),1315.0)</f>
        <v>1315</v>
      </c>
      <c r="Z1781" s="22">
        <f>IFERROR(__xludf.DUMMYFUNCTION("IFERROR(GOOGLEFINANCE(A1781,""volume""),"""")"),2093400.0)</f>
        <v>2093400</v>
      </c>
      <c r="AA1781" s="24" t="str">
        <f>VLOOKUP(A1781,Metrik!$C$2:$Y$959,5,0)</f>
        <v>Processed Foods</v>
      </c>
      <c r="AB1781" s="24" t="str">
        <f>VLOOKUP(A1781,Metrik!$C$2:$Y$959,3,0)</f>
        <v>Consumer Non-Cyclicals</v>
      </c>
    </row>
    <row r="1782">
      <c r="A1782" s="14" t="s">
        <v>972</v>
      </c>
      <c r="B1782" s="14" t="str">
        <f t="array" ref="B1782">VLOOKUP(A1782,{Metrik!$C$2:$C$998,Metrik!$B$2:$B$998},2,0)</f>
        <v>Ultrajaya Milk Industry &amp; Trading Company Tbk.</v>
      </c>
      <c r="C1782" s="15">
        <f>IFERROR(__xludf.DUMMYFUNCTION("GOOGLEFINANCE(""IDX:""&amp;A1782,""price"")"),1325.0)</f>
        <v>1325</v>
      </c>
      <c r="D1782" s="16" t="str">
        <f>IFERROR(__xludf.DUMMYFUNCTION("IF(A1782="""","""",
SPARKLINE(
INDEX(
GOOGLEFINANCE(""IDX:""&amp;A1782,""close"",TODAY()-365,TODAY()),
,2
),
{""linewidth"",1}
))
"),"#N/A")</f>
        <v>#N/A</v>
      </c>
      <c r="E1782" s="14" t="s">
        <v>84</v>
      </c>
      <c r="F1782" s="17" t="s">
        <v>51</v>
      </c>
      <c r="G1782" s="18">
        <f t="shared" si="11"/>
        <v>3</v>
      </c>
      <c r="H1782" s="19">
        <f>VLOOKUP(A1782,Metrik!$C$2:$Y$959,8,0)</f>
        <v>10.7</v>
      </c>
      <c r="I1782" s="20">
        <f>VLOOKUP(A1782,Metrik!$C$2:$Y$959,9,0)</f>
        <v>1.8</v>
      </c>
      <c r="J1782" s="20">
        <f>VLOOKUP(A1782,Metrik!$C$2:$Y$959,10,0)</f>
        <v>16.8</v>
      </c>
      <c r="K1782" s="20">
        <f>VLOOKUP(A1782,Metrik!$C$2:$Y$959,11,0)</f>
        <v>14.8</v>
      </c>
      <c r="L1782" s="20">
        <f>VLOOKUP(A1782,Metrik!$C$2:$Y$959,12,0)</f>
        <v>0.13</v>
      </c>
      <c r="M1782" s="20">
        <f>VLOOKUP(A1782,Metrik!$C$2:$Y$959,19,0)</f>
        <v>53.3</v>
      </c>
      <c r="N1782" s="21"/>
      <c r="O1782" s="21"/>
      <c r="P1782" s="21"/>
      <c r="Q1782" s="21"/>
      <c r="R1782" s="21"/>
      <c r="S1782" s="21"/>
      <c r="T1782" s="21"/>
      <c r="U1782" s="22">
        <f>IFERROR(__xludf.DUMMYFUNCTION("IFERROR(GOOGLEFINANCE(A1782,""closeyest""),"""")"),1320.0)</f>
        <v>1320</v>
      </c>
      <c r="V1782" s="23">
        <f>IFERROR(__xludf.DUMMYFUNCTION("IFERROR(GOOGLEFINANCE(A1782,""changepct""),"""")"),0.38)</f>
        <v>0.38</v>
      </c>
      <c r="W1782" s="22">
        <f>IFERROR(__xludf.DUMMYFUNCTION("IFERROR(GOOGLEFINANCE(A1782,""priceopen""),"""")"),1320.0)</f>
        <v>1320</v>
      </c>
      <c r="X1782" s="22">
        <f>IFERROR(__xludf.DUMMYFUNCTION("IFERROR(GOOGLEFINANCE(A1782,""high""),"""")"),1345.0)</f>
        <v>1345</v>
      </c>
      <c r="Y1782" s="22">
        <f>IFERROR(__xludf.DUMMYFUNCTION("IFERROR(GOOGLEFINANCE(A1782,""low""),"""")"),1315.0)</f>
        <v>1315</v>
      </c>
      <c r="Z1782" s="22">
        <f>IFERROR(__xludf.DUMMYFUNCTION("IFERROR(GOOGLEFINANCE(A1782,""volume""),"""")"),2093400.0)</f>
        <v>2093400</v>
      </c>
      <c r="AA1782" s="24" t="str">
        <f>VLOOKUP(A1782,Metrik!$C$2:$Y$959,5,0)</f>
        <v>Processed Foods</v>
      </c>
      <c r="AB1782" s="24" t="str">
        <f>VLOOKUP(A1782,Metrik!$C$2:$Y$959,3,0)</f>
        <v>Consumer Non-Cyclicals</v>
      </c>
    </row>
    <row r="1783">
      <c r="A1783" s="14" t="s">
        <v>973</v>
      </c>
      <c r="B1783" s="14" t="str">
        <f t="array" ref="B1783">VLOOKUP(A1783,{Metrik!$C$2:$C$998,Metrik!$B$2:$B$998},2,0)</f>
        <v>Unggul Indah Cahaya Tbk.</v>
      </c>
      <c r="C1783" s="15">
        <f>IFERROR(__xludf.DUMMYFUNCTION("GOOGLEFINANCE(""IDX:""&amp;A1783,""price"")"),12450.0)</f>
        <v>12450</v>
      </c>
      <c r="D1783" s="16" t="str">
        <f>IFERROR(__xludf.DUMMYFUNCTION("IF(A1783="""","""",
SPARKLINE(
INDEX(
GOOGLEFINANCE(""IDX:""&amp;A1783,""close"",TODAY()-365,TODAY()),
,2
),
{""linewidth"",1}
))
"),"#N/A")</f>
        <v>#N/A</v>
      </c>
      <c r="E1783" s="26"/>
      <c r="F1783" s="26"/>
      <c r="G1783" s="24">
        <f t="shared" si="11"/>
        <v>0</v>
      </c>
      <c r="H1783" s="19">
        <f>VLOOKUP(A1783,Metrik!$C$2:$Y$959,8,0)</f>
        <v>7.3</v>
      </c>
      <c r="I1783" s="20">
        <f>VLOOKUP(A1783,Metrik!$C$2:$Y$959,9,0)</f>
        <v>0.91</v>
      </c>
      <c r="J1783" s="20">
        <f>VLOOKUP(A1783,Metrik!$C$2:$Y$959,10,0)</f>
        <v>12.6</v>
      </c>
      <c r="K1783" s="20">
        <f>VLOOKUP(A1783,Metrik!$C$2:$Y$959,11,0)</f>
        <v>10.9</v>
      </c>
      <c r="L1783" s="20">
        <f>VLOOKUP(A1783,Metrik!$C$2:$Y$959,12,0)</f>
        <v>0.15</v>
      </c>
      <c r="M1783" s="20">
        <f>VLOOKUP(A1783,Metrik!$C$2:$Y$959,19,0)</f>
        <v>42.1</v>
      </c>
      <c r="N1783" s="21"/>
      <c r="O1783" s="21"/>
      <c r="P1783" s="21"/>
      <c r="Q1783" s="21"/>
      <c r="R1783" s="21"/>
      <c r="S1783" s="21"/>
      <c r="T1783" s="21"/>
      <c r="U1783" s="22">
        <f>IFERROR(__xludf.DUMMYFUNCTION("IFERROR(GOOGLEFINANCE(A1783,""closeyest""),"""")"),21.26)</f>
        <v>21.26</v>
      </c>
      <c r="V1783" s="23">
        <f>IFERROR(__xludf.DUMMYFUNCTION("IFERROR(GOOGLEFINANCE(A1783,""changepct""),"""")"),2.05)</f>
        <v>2.05</v>
      </c>
      <c r="W1783" s="22">
        <f>IFERROR(__xludf.DUMMYFUNCTION("IFERROR(GOOGLEFINANCE(A1783,""priceopen""),"""")"),21.69)</f>
        <v>21.69</v>
      </c>
      <c r="X1783" s="22">
        <f>IFERROR(__xludf.DUMMYFUNCTION("IFERROR(GOOGLEFINANCE(A1783,""high""),"""")"),21.69)</f>
        <v>21.69</v>
      </c>
      <c r="Y1783" s="22">
        <f>IFERROR(__xludf.DUMMYFUNCTION("IFERROR(GOOGLEFINANCE(A1783,""low""),"""")"),21.69)</f>
        <v>21.69</v>
      </c>
      <c r="Z1783" s="22">
        <f>IFERROR(__xludf.DUMMYFUNCTION("IFERROR(GOOGLEFINANCE(A1783,""volume""),"""")"),77.0)</f>
        <v>77</v>
      </c>
      <c r="AA1783" s="24" t="str">
        <f>VLOOKUP(A1783,Metrik!$C$2:$Y$959,5,0)</f>
        <v>Chemicals</v>
      </c>
      <c r="AB1783" s="24" t="str">
        <f>VLOOKUP(A1783,Metrik!$C$2:$Y$959,3,0)</f>
        <v>Basic Materials</v>
      </c>
    </row>
    <row r="1784">
      <c r="A1784" s="14" t="s">
        <v>974</v>
      </c>
      <c r="B1784" s="14" t="str">
        <f t="array" ref="B1784">VLOOKUP(A1784,{Metrik!$C$2:$C$998,Metrik!$B$2:$B$998},2,0)</f>
        <v>Ulima Nitra Tbk.</v>
      </c>
      <c r="C1784" s="15">
        <f>IFERROR(__xludf.DUMMYFUNCTION("GOOGLEFINANCE(""IDX:""&amp;A1784,""price"")"),100.0)</f>
        <v>100</v>
      </c>
      <c r="D1784" s="16" t="str">
        <f>IFERROR(__xludf.DUMMYFUNCTION("IF(A1784="""","""",
SPARKLINE(
INDEX(
GOOGLEFINANCE(""IDX:""&amp;A1784,""close"",TODAY()-365,TODAY()),
,2
),
{""linewidth"",1}
))
"),"#N/A")</f>
        <v>#N/A</v>
      </c>
      <c r="E1784" s="26"/>
      <c r="F1784" s="26"/>
      <c r="G1784" s="24">
        <f t="shared" si="11"/>
        <v>0</v>
      </c>
      <c r="H1784" s="19">
        <f>VLOOKUP(A1784,Metrik!$C$2:$Y$959,8,0)</f>
        <v>45.6</v>
      </c>
      <c r="I1784" s="20">
        <f>VLOOKUP(A1784,Metrik!$C$2:$Y$959,9,0)</f>
        <v>0.73</v>
      </c>
      <c r="J1784" s="20">
        <f>VLOOKUP(A1784,Metrik!$C$2:$Y$959,10,0)</f>
        <v>1.6</v>
      </c>
      <c r="K1784" s="20">
        <f>VLOOKUP(A1784,Metrik!$C$2:$Y$959,11,0)</f>
        <v>1</v>
      </c>
      <c r="L1784" s="20">
        <f>VLOOKUP(A1784,Metrik!$C$2:$Y$959,12,0)</f>
        <v>0.6</v>
      </c>
      <c r="M1784" s="20">
        <f>VLOOKUP(A1784,Metrik!$C$2:$Y$959,19,0)</f>
        <v>12.7</v>
      </c>
      <c r="N1784" s="21"/>
      <c r="O1784" s="21"/>
      <c r="P1784" s="21"/>
      <c r="Q1784" s="21"/>
      <c r="R1784" s="21"/>
      <c r="S1784" s="21"/>
      <c r="T1784" s="21"/>
      <c r="U1784" s="22" t="str">
        <f>IFERROR(__xludf.DUMMYFUNCTION("IFERROR(GOOGLEFINANCE(A1784,""closeyest""),"""")"),"")</f>
        <v/>
      </c>
      <c r="V1784" s="23" t="str">
        <f>IFERROR(__xludf.DUMMYFUNCTION("IFERROR(GOOGLEFINANCE(A1784,""changepct""),"""")"),"")</f>
        <v/>
      </c>
      <c r="W1784" s="22" t="str">
        <f>IFERROR(__xludf.DUMMYFUNCTION("IFERROR(GOOGLEFINANCE(A1784,""priceopen""),"""")"),"")</f>
        <v/>
      </c>
      <c r="X1784" s="22" t="str">
        <f>IFERROR(__xludf.DUMMYFUNCTION("IFERROR(GOOGLEFINANCE(A1784,""high""),"""")"),"")</f>
        <v/>
      </c>
      <c r="Y1784" s="22" t="str">
        <f>IFERROR(__xludf.DUMMYFUNCTION("IFERROR(GOOGLEFINANCE(A1784,""low""),"""")"),"")</f>
        <v/>
      </c>
      <c r="Z1784" s="22" t="str">
        <f>IFERROR(__xludf.DUMMYFUNCTION("IFERROR(GOOGLEFINANCE(A1784,""volume""),"""")"),"")</f>
        <v/>
      </c>
      <c r="AA1784" s="24" t="str">
        <f>VLOOKUP(A1784,Metrik!$C$2:$Y$959,5,0)</f>
        <v>Oil, Gas &amp; Coal Supports</v>
      </c>
      <c r="AB1784" s="24" t="str">
        <f>VLOOKUP(A1784,Metrik!$C$2:$Y$959,3,0)</f>
        <v>Energy</v>
      </c>
    </row>
    <row r="1785">
      <c r="A1785" s="14" t="s">
        <v>975</v>
      </c>
      <c r="B1785" s="14" t="str">
        <f t="array" ref="B1785">VLOOKUP(A1785,{Metrik!$C$2:$C$998,Metrik!$B$2:$B$998},2,0)</f>
        <v>Nusantara Inti Corpora Tbk</v>
      </c>
      <c r="C1785" s="15">
        <f>IFERROR(__xludf.DUMMYFUNCTION("GOOGLEFINANCE(""IDX:""&amp;A1785,""price"")"),316.0)</f>
        <v>316</v>
      </c>
      <c r="D1785" s="16" t="str">
        <f>IFERROR(__xludf.DUMMYFUNCTION("IF(A1785="""","""",
SPARKLINE(
INDEX(
GOOGLEFINANCE(""IDX:""&amp;A1785,""close"",TODAY()-365,TODAY()),
,2
),
{""linewidth"",1}
))
"),"#N/A")</f>
        <v>#N/A</v>
      </c>
      <c r="E1785" s="26"/>
      <c r="F1785" s="26"/>
      <c r="G1785" s="24">
        <f t="shared" si="11"/>
        <v>0</v>
      </c>
      <c r="H1785" s="19">
        <f>VLOOKUP(A1785,Metrik!$C$2:$Y$959,8,0)</f>
        <v>0</v>
      </c>
      <c r="I1785" s="20">
        <f>VLOOKUP(A1785,Metrik!$C$2:$Y$959,9,0)</f>
        <v>0.1</v>
      </c>
      <c r="J1785" s="20">
        <f>VLOOKUP(A1785,Metrik!$C$2:$Y$959,10,0)</f>
        <v>0.14</v>
      </c>
      <c r="K1785" s="20">
        <f>VLOOKUP(A1785,Metrik!$C$2:$Y$959,11,0)</f>
        <v>0.09</v>
      </c>
      <c r="L1785" s="20">
        <f>VLOOKUP(A1785,Metrik!$C$2:$Y$959,12,0)</f>
        <v>0.47</v>
      </c>
      <c r="M1785" s="20">
        <f>VLOOKUP(A1785,Metrik!$C$2:$Y$959,19,0)</f>
        <v>0.65</v>
      </c>
      <c r="N1785" s="21"/>
      <c r="O1785" s="21"/>
      <c r="P1785" s="21"/>
      <c r="Q1785" s="21"/>
      <c r="R1785" s="21"/>
      <c r="S1785" s="21"/>
      <c r="T1785" s="21"/>
      <c r="U1785" s="22">
        <f>IFERROR(__xludf.DUMMYFUNCTION("IFERROR(GOOGLEFINANCE(A1785,""closeyest""),"""")"),12.52)</f>
        <v>12.52</v>
      </c>
      <c r="V1785" s="23">
        <f>IFERROR(__xludf.DUMMYFUNCTION("IFERROR(GOOGLEFINANCE(A1785,""changepct""),"""")"),1.84)</f>
        <v>1.84</v>
      </c>
      <c r="W1785" s="22">
        <f>IFERROR(__xludf.DUMMYFUNCTION("IFERROR(GOOGLEFINANCE(A1785,""priceopen""),"""")"),12.63)</f>
        <v>12.63</v>
      </c>
      <c r="X1785" s="22">
        <f>IFERROR(__xludf.DUMMYFUNCTION("IFERROR(GOOGLEFINANCE(A1785,""high""),"""")"),12.77)</f>
        <v>12.77</v>
      </c>
      <c r="Y1785" s="22">
        <f>IFERROR(__xludf.DUMMYFUNCTION("IFERROR(GOOGLEFINANCE(A1785,""low""),"""")"),12.35)</f>
        <v>12.35</v>
      </c>
      <c r="Z1785" s="22">
        <f>IFERROR(__xludf.DUMMYFUNCTION("IFERROR(GOOGLEFINANCE(A1785,""volume""),"""")"),2328750.0)</f>
        <v>2328750</v>
      </c>
      <c r="AA1785" s="24" t="str">
        <f>VLOOKUP(A1785,Metrik!$C$2:$Y$959,5,0)</f>
        <v>Apparel &amp; Luxury Goods</v>
      </c>
      <c r="AB1785" s="24" t="str">
        <f>VLOOKUP(A1785,Metrik!$C$2:$Y$959,3,0)</f>
        <v>Consumer Cyclicals</v>
      </c>
    </row>
    <row r="1786">
      <c r="A1786" s="14" t="s">
        <v>976</v>
      </c>
      <c r="B1786" s="14" t="str">
        <f t="array" ref="B1786">VLOOKUP(A1786,{Metrik!$C$2:$C$998,Metrik!$B$2:$B$998},2,0)</f>
        <v>Bakrie Sumatera Plantations Tbk</v>
      </c>
      <c r="C1786" s="15">
        <f>IFERROR(__xludf.DUMMYFUNCTION("GOOGLEFINANCE(""IDX:""&amp;A1786,""price"")"),200.0)</f>
        <v>200</v>
      </c>
      <c r="D1786" s="16" t="str">
        <f>IFERROR(__xludf.DUMMYFUNCTION("IF(A1786="""","""",
SPARKLINE(
INDEX(
GOOGLEFINANCE(""IDX:""&amp;A1786,""close"",TODAY()-365,TODAY()),
,2
),
{""linewidth"",1}
))
"),"#N/A")</f>
        <v>#N/A</v>
      </c>
      <c r="E1786" s="26"/>
      <c r="F1786" s="26"/>
      <c r="G1786" s="24">
        <f t="shared" si="11"/>
        <v>0</v>
      </c>
      <c r="H1786" s="19">
        <f>VLOOKUP(A1786,Metrik!$C$2:$Y$959,8,0)</f>
        <v>3.3</v>
      </c>
      <c r="I1786" s="20">
        <f>VLOOKUP(A1786,Metrik!$C$2:$Y$959,9,0)</f>
        <v>-0.15</v>
      </c>
      <c r="J1786" s="20">
        <f>VLOOKUP(A1786,Metrik!$C$2:$Y$959,10,0)</f>
        <v>0</v>
      </c>
      <c r="K1786" s="20">
        <f>VLOOKUP(A1786,Metrik!$C$2:$Y$959,11,0)</f>
        <v>6.8</v>
      </c>
      <c r="L1786" s="20">
        <f>VLOOKUP(A1786,Metrik!$C$2:$Y$959,12,0)</f>
        <v>-1.7</v>
      </c>
      <c r="M1786" s="20">
        <f>VLOOKUP(A1786,Metrik!$C$2:$Y$959,19,0)</f>
        <v>43.3</v>
      </c>
      <c r="N1786" s="21"/>
      <c r="O1786" s="21"/>
      <c r="P1786" s="21"/>
      <c r="Q1786" s="21"/>
      <c r="R1786" s="21"/>
      <c r="S1786" s="21"/>
      <c r="T1786" s="21"/>
      <c r="U1786" s="22">
        <f>IFERROR(__xludf.DUMMYFUNCTION("IFERROR(GOOGLEFINANCE(A1786,""closeyest""),"""")"),195.0)</f>
        <v>195</v>
      </c>
      <c r="V1786" s="23">
        <f>IFERROR(__xludf.DUMMYFUNCTION("IFERROR(GOOGLEFINANCE(A1786,""changepct""),"""")"),2.56)</f>
        <v>2.56</v>
      </c>
      <c r="W1786" s="22">
        <f>IFERROR(__xludf.DUMMYFUNCTION("IFERROR(GOOGLEFINANCE(A1786,""priceopen""),"""")"),200.0)</f>
        <v>200</v>
      </c>
      <c r="X1786" s="22">
        <f>IFERROR(__xludf.DUMMYFUNCTION("IFERROR(GOOGLEFINANCE(A1786,""high""),"""")"),202.0)</f>
        <v>202</v>
      </c>
      <c r="Y1786" s="22">
        <f>IFERROR(__xludf.DUMMYFUNCTION("IFERROR(GOOGLEFINANCE(A1786,""low""),"""")"),200.0)</f>
        <v>200</v>
      </c>
      <c r="Z1786" s="22">
        <f>IFERROR(__xludf.DUMMYFUNCTION("IFERROR(GOOGLEFINANCE(A1786,""volume""),"""")"),6680300.0)</f>
        <v>6680300</v>
      </c>
      <c r="AA1786" s="24" t="str">
        <f>VLOOKUP(A1786,Metrik!$C$2:$Y$959,5,0)</f>
        <v>Agricultural Products</v>
      </c>
      <c r="AB1786" s="24" t="str">
        <f>VLOOKUP(A1786,Metrik!$C$2:$Y$959,3,0)</f>
        <v>Consumer Non-Cyclicals</v>
      </c>
    </row>
    <row r="1787">
      <c r="A1787" s="14" t="s">
        <v>977</v>
      </c>
      <c r="B1787" s="14" t="str">
        <f t="array" ref="B1787">VLOOKUP(A1787,{Metrik!$C$2:$C$998,Metrik!$B$2:$B$998},2,0)</f>
        <v>Terang Dunia Internusa Tbk.</v>
      </c>
      <c r="C1787" s="15">
        <f>IFERROR(__xludf.DUMMYFUNCTION("GOOGLEFINANCE(""IDX:""&amp;A1787,""price"")"),71.0)</f>
        <v>71</v>
      </c>
      <c r="D1787" s="16" t="str">
        <f>IFERROR(__xludf.DUMMYFUNCTION("IF(A1787="""","""",
SPARKLINE(
INDEX(
GOOGLEFINANCE(""IDX:""&amp;A1787,""close"",TODAY()-365,TODAY()),
,2
),
{""linewidth"",1}
))
"),"#N/A")</f>
        <v>#N/A</v>
      </c>
      <c r="E1787" s="26"/>
      <c r="F1787" s="26"/>
      <c r="G1787" s="24">
        <f t="shared" si="11"/>
        <v>0</v>
      </c>
      <c r="H1787" s="19">
        <f>VLOOKUP(A1787,Metrik!$C$2:$Y$959,8,0)</f>
        <v>-10.9</v>
      </c>
      <c r="I1787" s="20">
        <f>VLOOKUP(A1787,Metrik!$C$2:$Y$959,9,0)</f>
        <v>0.92</v>
      </c>
      <c r="J1787" s="20">
        <f>VLOOKUP(A1787,Metrik!$C$2:$Y$959,10,0)</f>
        <v>-8.5</v>
      </c>
      <c r="K1787" s="20">
        <f>VLOOKUP(A1787,Metrik!$C$2:$Y$959,11,0)</f>
        <v>-3.9</v>
      </c>
      <c r="L1787" s="20">
        <f>VLOOKUP(A1787,Metrik!$C$2:$Y$959,12,0)</f>
        <v>1.2</v>
      </c>
      <c r="M1787" s="20">
        <f>VLOOKUP(A1787,Metrik!$C$2:$Y$959,19,0)</f>
        <v>-45.6</v>
      </c>
      <c r="N1787" s="21"/>
      <c r="O1787" s="21"/>
      <c r="P1787" s="21"/>
      <c r="Q1787" s="21"/>
      <c r="R1787" s="21"/>
      <c r="S1787" s="21"/>
      <c r="T1787" s="21"/>
      <c r="U1787" s="22">
        <f>IFERROR(__xludf.DUMMYFUNCTION("IFERROR(GOOGLEFINANCE(A1787,""closeyest""),"""")"),67.0)</f>
        <v>67</v>
      </c>
      <c r="V1787" s="23">
        <f>IFERROR(__xludf.DUMMYFUNCTION("IFERROR(GOOGLEFINANCE(A1787,""changepct""),"""")"),5.97)</f>
        <v>5.97</v>
      </c>
      <c r="W1787" s="22">
        <f>IFERROR(__xludf.DUMMYFUNCTION("IFERROR(GOOGLEFINANCE(A1787,""priceopen""),"""")"),68.0)</f>
        <v>68</v>
      </c>
      <c r="X1787" s="22">
        <f>IFERROR(__xludf.DUMMYFUNCTION("IFERROR(GOOGLEFINANCE(A1787,""high""),"""")"),77.0)</f>
        <v>77</v>
      </c>
      <c r="Y1787" s="22">
        <f>IFERROR(__xludf.DUMMYFUNCTION("IFERROR(GOOGLEFINANCE(A1787,""low""),"""")"),67.0)</f>
        <v>67</v>
      </c>
      <c r="Z1787" s="22">
        <f>IFERROR(__xludf.DUMMYFUNCTION("IFERROR(GOOGLEFINANCE(A1787,""volume""),"""")"),1.81769E7)</f>
        <v>18176900</v>
      </c>
      <c r="AA1787" s="24" t="str">
        <f>VLOOKUP(A1787,Metrik!$C$2:$Y$959,5,0)</f>
        <v>Sport Equipment &amp; Hobbies Goods</v>
      </c>
      <c r="AB1787" s="24" t="str">
        <f>VLOOKUP(A1787,Metrik!$C$2:$Y$959,3,0)</f>
        <v>Consumer Cyclicals</v>
      </c>
    </row>
    <row r="1788">
      <c r="A1788" s="14" t="s">
        <v>978</v>
      </c>
      <c r="B1788" s="14" t="str">
        <f t="array" ref="B1788">VLOOKUP(A1788,{Metrik!$C$2:$C$998,Metrik!$B$2:$B$998},2,0)</f>
        <v>United Tractors Tbk.</v>
      </c>
      <c r="C1788" s="15">
        <f>IFERROR(__xludf.DUMMYFUNCTION("GOOGLEFINANCE(""IDX:""&amp;A1788,""price"")"),22500.0)</f>
        <v>22500</v>
      </c>
      <c r="D1788" s="16" t="str">
        <f>IFERROR(__xludf.DUMMYFUNCTION("IF(A1788="""","""",
SPARKLINE(
INDEX(
GOOGLEFINANCE(""IDX:""&amp;A1788,""close"",TODAY()-365,TODAY()),
,2
),
{""linewidth"",1}
))
"),"#N/A")</f>
        <v>#N/A</v>
      </c>
      <c r="E1788" s="14" t="s">
        <v>47</v>
      </c>
      <c r="F1788" s="25">
        <v>46356.0</v>
      </c>
      <c r="G1788" s="18">
        <f t="shared" si="11"/>
        <v>20</v>
      </c>
      <c r="H1788" s="19">
        <f>VLOOKUP(A1788,Metrik!$C$2:$Y$959,8,0)</f>
        <v>7</v>
      </c>
      <c r="I1788" s="20">
        <f>VLOOKUP(A1788,Metrik!$C$2:$Y$959,9,0)</f>
        <v>0.84</v>
      </c>
      <c r="J1788" s="20">
        <f>VLOOKUP(A1788,Metrik!$C$2:$Y$959,10,0)</f>
        <v>12.1</v>
      </c>
      <c r="K1788" s="20">
        <f>VLOOKUP(A1788,Metrik!$C$2:$Y$959,11,0)</f>
        <v>6.7</v>
      </c>
      <c r="L1788" s="20">
        <f>VLOOKUP(A1788,Metrik!$C$2:$Y$959,12,0)</f>
        <v>0.8</v>
      </c>
      <c r="M1788" s="20">
        <f>VLOOKUP(A1788,Metrik!$C$2:$Y$959,19,0)</f>
        <v>43</v>
      </c>
      <c r="N1788" s="21"/>
      <c r="O1788" s="21"/>
      <c r="P1788" s="21"/>
      <c r="Q1788" s="21"/>
      <c r="R1788" s="21"/>
      <c r="S1788" s="21"/>
      <c r="T1788" s="21"/>
      <c r="U1788" s="22">
        <f>IFERROR(__xludf.DUMMYFUNCTION("IFERROR(GOOGLEFINANCE(A1788,""closeyest""),"""")"),21750.0)</f>
        <v>21750</v>
      </c>
      <c r="V1788" s="23">
        <f>IFERROR(__xludf.DUMMYFUNCTION("IFERROR(GOOGLEFINANCE(A1788,""changepct""),"""")"),3.45)</f>
        <v>3.45</v>
      </c>
      <c r="W1788" s="22">
        <f>IFERROR(__xludf.DUMMYFUNCTION("IFERROR(GOOGLEFINANCE(A1788,""priceopen""),"""")"),21900.0)</f>
        <v>21900</v>
      </c>
      <c r="X1788" s="22">
        <f>IFERROR(__xludf.DUMMYFUNCTION("IFERROR(GOOGLEFINANCE(A1788,""high""),"""")"),22825.0)</f>
        <v>22825</v>
      </c>
      <c r="Y1788" s="22">
        <f>IFERROR(__xludf.DUMMYFUNCTION("IFERROR(GOOGLEFINANCE(A1788,""low""),"""")"),21900.0)</f>
        <v>21900</v>
      </c>
      <c r="Z1788" s="22">
        <f>IFERROR(__xludf.DUMMYFUNCTION("IFERROR(GOOGLEFINANCE(A1788,""volume""),"""")"),5608900.0)</f>
        <v>5608900</v>
      </c>
      <c r="AA1788" s="24" t="str">
        <f>VLOOKUP(A1788,Metrik!$C$2:$Y$959,5,0)</f>
        <v>Machinery</v>
      </c>
      <c r="AB1788" s="24" t="str">
        <f>VLOOKUP(A1788,Metrik!$C$2:$Y$959,3,0)</f>
        <v>Industrials</v>
      </c>
    </row>
    <row r="1789">
      <c r="A1789" s="14" t="s">
        <v>978</v>
      </c>
      <c r="B1789" s="14" t="str">
        <f t="array" ref="B1789">VLOOKUP(A1789,{Metrik!$C$2:$C$998,Metrik!$B$2:$B$998},2,0)</f>
        <v>United Tractors Tbk.</v>
      </c>
      <c r="C1789" s="15">
        <f>IFERROR(__xludf.DUMMYFUNCTION("GOOGLEFINANCE(""IDX:""&amp;A1789,""price"")"),22500.0)</f>
        <v>22500</v>
      </c>
      <c r="D1789" s="16" t="str">
        <f>IFERROR(__xludf.DUMMYFUNCTION("IF(A1789="""","""",
SPARKLINE(
INDEX(
GOOGLEFINANCE(""IDX:""&amp;A1789,""close"",TODAY()-365,TODAY()),
,2
),
{""linewidth"",1}
))
"),"#N/A")</f>
        <v>#N/A</v>
      </c>
      <c r="E1789" s="14" t="s">
        <v>65</v>
      </c>
      <c r="F1789" s="25">
        <v>46356.0</v>
      </c>
      <c r="G1789" s="18">
        <f t="shared" si="11"/>
        <v>20</v>
      </c>
      <c r="H1789" s="19">
        <f>VLOOKUP(A1789,Metrik!$C$2:$Y$959,8,0)</f>
        <v>7</v>
      </c>
      <c r="I1789" s="20">
        <f>VLOOKUP(A1789,Metrik!$C$2:$Y$959,9,0)</f>
        <v>0.84</v>
      </c>
      <c r="J1789" s="20">
        <f>VLOOKUP(A1789,Metrik!$C$2:$Y$959,10,0)</f>
        <v>12.1</v>
      </c>
      <c r="K1789" s="20">
        <f>VLOOKUP(A1789,Metrik!$C$2:$Y$959,11,0)</f>
        <v>6.7</v>
      </c>
      <c r="L1789" s="20">
        <f>VLOOKUP(A1789,Metrik!$C$2:$Y$959,12,0)</f>
        <v>0.8</v>
      </c>
      <c r="M1789" s="20">
        <f>VLOOKUP(A1789,Metrik!$C$2:$Y$959,19,0)</f>
        <v>43</v>
      </c>
      <c r="N1789" s="21"/>
      <c r="O1789" s="21"/>
      <c r="P1789" s="21"/>
      <c r="Q1789" s="21"/>
      <c r="R1789" s="21"/>
      <c r="S1789" s="21"/>
      <c r="T1789" s="21"/>
      <c r="U1789" s="22">
        <f>IFERROR(__xludf.DUMMYFUNCTION("IFERROR(GOOGLEFINANCE(A1789,""closeyest""),"""")"),21750.0)</f>
        <v>21750</v>
      </c>
      <c r="V1789" s="23">
        <f>IFERROR(__xludf.DUMMYFUNCTION("IFERROR(GOOGLEFINANCE(A1789,""changepct""),"""")"),3.45)</f>
        <v>3.45</v>
      </c>
      <c r="W1789" s="22">
        <f>IFERROR(__xludf.DUMMYFUNCTION("IFERROR(GOOGLEFINANCE(A1789,""priceopen""),"""")"),21900.0)</f>
        <v>21900</v>
      </c>
      <c r="X1789" s="22">
        <f>IFERROR(__xludf.DUMMYFUNCTION("IFERROR(GOOGLEFINANCE(A1789,""high""),"""")"),22825.0)</f>
        <v>22825</v>
      </c>
      <c r="Y1789" s="22">
        <f>IFERROR(__xludf.DUMMYFUNCTION("IFERROR(GOOGLEFINANCE(A1789,""low""),"""")"),21900.0)</f>
        <v>21900</v>
      </c>
      <c r="Z1789" s="22">
        <f>IFERROR(__xludf.DUMMYFUNCTION("IFERROR(GOOGLEFINANCE(A1789,""volume""),"""")"),5608900.0)</f>
        <v>5608900</v>
      </c>
      <c r="AA1789" s="24" t="str">
        <f>VLOOKUP(A1789,Metrik!$C$2:$Y$959,5,0)</f>
        <v>Machinery</v>
      </c>
      <c r="AB1789" s="24" t="str">
        <f>VLOOKUP(A1789,Metrik!$C$2:$Y$959,3,0)</f>
        <v>Industrials</v>
      </c>
    </row>
    <row r="1790">
      <c r="A1790" s="14" t="s">
        <v>978</v>
      </c>
      <c r="B1790" s="14" t="str">
        <f t="array" ref="B1790">VLOOKUP(A1790,{Metrik!$C$2:$C$998,Metrik!$B$2:$B$998},2,0)</f>
        <v>United Tractors Tbk.</v>
      </c>
      <c r="C1790" s="15">
        <f>IFERROR(__xludf.DUMMYFUNCTION("GOOGLEFINANCE(""IDX:""&amp;A1790,""price"")"),22500.0)</f>
        <v>22500</v>
      </c>
      <c r="D1790" s="16" t="str">
        <f>IFERROR(__xludf.DUMMYFUNCTION("IF(A1790="""","""",
SPARKLINE(
INDEX(
GOOGLEFINANCE(""IDX:""&amp;A1790,""close"",TODAY()-365,TODAY()),
,2
),
{""linewidth"",1}
))
"),"#N/A")</f>
        <v>#N/A</v>
      </c>
      <c r="E1790" s="14" t="s">
        <v>42</v>
      </c>
      <c r="F1790" s="25">
        <v>46356.0</v>
      </c>
      <c r="G1790" s="18">
        <f t="shared" si="11"/>
        <v>20</v>
      </c>
      <c r="H1790" s="19">
        <f>VLOOKUP(A1790,Metrik!$C$2:$Y$959,8,0)</f>
        <v>7</v>
      </c>
      <c r="I1790" s="20">
        <f>VLOOKUP(A1790,Metrik!$C$2:$Y$959,9,0)</f>
        <v>0.84</v>
      </c>
      <c r="J1790" s="20">
        <f>VLOOKUP(A1790,Metrik!$C$2:$Y$959,10,0)</f>
        <v>12.1</v>
      </c>
      <c r="K1790" s="20">
        <f>VLOOKUP(A1790,Metrik!$C$2:$Y$959,11,0)</f>
        <v>6.7</v>
      </c>
      <c r="L1790" s="20">
        <f>VLOOKUP(A1790,Metrik!$C$2:$Y$959,12,0)</f>
        <v>0.8</v>
      </c>
      <c r="M1790" s="20">
        <f>VLOOKUP(A1790,Metrik!$C$2:$Y$959,19,0)</f>
        <v>43</v>
      </c>
      <c r="N1790" s="21"/>
      <c r="O1790" s="21"/>
      <c r="P1790" s="21"/>
      <c r="Q1790" s="21"/>
      <c r="R1790" s="21"/>
      <c r="S1790" s="21"/>
      <c r="T1790" s="21"/>
      <c r="U1790" s="22">
        <f>IFERROR(__xludf.DUMMYFUNCTION("IFERROR(GOOGLEFINANCE(A1790,""closeyest""),"""")"),21750.0)</f>
        <v>21750</v>
      </c>
      <c r="V1790" s="23">
        <f>IFERROR(__xludf.DUMMYFUNCTION("IFERROR(GOOGLEFINANCE(A1790,""changepct""),"""")"),3.45)</f>
        <v>3.45</v>
      </c>
      <c r="W1790" s="22">
        <f>IFERROR(__xludf.DUMMYFUNCTION("IFERROR(GOOGLEFINANCE(A1790,""priceopen""),"""")"),21900.0)</f>
        <v>21900</v>
      </c>
      <c r="X1790" s="22">
        <f>IFERROR(__xludf.DUMMYFUNCTION("IFERROR(GOOGLEFINANCE(A1790,""high""),"""")"),22825.0)</f>
        <v>22825</v>
      </c>
      <c r="Y1790" s="22">
        <f>IFERROR(__xludf.DUMMYFUNCTION("IFERROR(GOOGLEFINANCE(A1790,""low""),"""")"),21900.0)</f>
        <v>21900</v>
      </c>
      <c r="Z1790" s="22">
        <f>IFERROR(__xludf.DUMMYFUNCTION("IFERROR(GOOGLEFINANCE(A1790,""volume""),"""")"),5608900.0)</f>
        <v>5608900</v>
      </c>
      <c r="AA1790" s="24" t="str">
        <f>VLOOKUP(A1790,Metrik!$C$2:$Y$959,5,0)</f>
        <v>Machinery</v>
      </c>
      <c r="AB1790" s="24" t="str">
        <f>VLOOKUP(A1790,Metrik!$C$2:$Y$959,3,0)</f>
        <v>Industrials</v>
      </c>
    </row>
    <row r="1791">
      <c r="A1791" s="14" t="s">
        <v>978</v>
      </c>
      <c r="B1791" s="14" t="str">
        <f t="array" ref="B1791">VLOOKUP(A1791,{Metrik!$C$2:$C$998,Metrik!$B$2:$B$998},2,0)</f>
        <v>United Tractors Tbk.</v>
      </c>
      <c r="C1791" s="15">
        <f>IFERROR(__xludf.DUMMYFUNCTION("GOOGLEFINANCE(""IDX:""&amp;A1791,""price"")"),22500.0)</f>
        <v>22500</v>
      </c>
      <c r="D1791" s="16" t="str">
        <f>IFERROR(__xludf.DUMMYFUNCTION("IF(A1791="""","""",
SPARKLINE(
INDEX(
GOOGLEFINANCE(""IDX:""&amp;A1791,""close"",TODAY()-365,TODAY()),
,2
),
{""linewidth"",1}
))
"),"#N/A")</f>
        <v>#N/A</v>
      </c>
      <c r="E1791" s="14" t="s">
        <v>38</v>
      </c>
      <c r="F1791" s="25">
        <v>46356.0</v>
      </c>
      <c r="G1791" s="18">
        <f t="shared" si="11"/>
        <v>20</v>
      </c>
      <c r="H1791" s="19">
        <f>VLOOKUP(A1791,Metrik!$C$2:$Y$959,8,0)</f>
        <v>7</v>
      </c>
      <c r="I1791" s="20">
        <f>VLOOKUP(A1791,Metrik!$C$2:$Y$959,9,0)</f>
        <v>0.84</v>
      </c>
      <c r="J1791" s="20">
        <f>VLOOKUP(A1791,Metrik!$C$2:$Y$959,10,0)</f>
        <v>12.1</v>
      </c>
      <c r="K1791" s="20">
        <f>VLOOKUP(A1791,Metrik!$C$2:$Y$959,11,0)</f>
        <v>6.7</v>
      </c>
      <c r="L1791" s="20">
        <f>VLOOKUP(A1791,Metrik!$C$2:$Y$959,12,0)</f>
        <v>0.8</v>
      </c>
      <c r="M1791" s="20">
        <f>VLOOKUP(A1791,Metrik!$C$2:$Y$959,19,0)</f>
        <v>43</v>
      </c>
      <c r="N1791" s="21"/>
      <c r="O1791" s="21"/>
      <c r="P1791" s="21"/>
      <c r="Q1791" s="21"/>
      <c r="R1791" s="21"/>
      <c r="S1791" s="21"/>
      <c r="T1791" s="21"/>
      <c r="U1791" s="22">
        <f>IFERROR(__xludf.DUMMYFUNCTION("IFERROR(GOOGLEFINANCE(A1791,""closeyest""),"""")"),21750.0)</f>
        <v>21750</v>
      </c>
      <c r="V1791" s="23">
        <f>IFERROR(__xludf.DUMMYFUNCTION("IFERROR(GOOGLEFINANCE(A1791,""changepct""),"""")"),3.45)</f>
        <v>3.45</v>
      </c>
      <c r="W1791" s="22">
        <f>IFERROR(__xludf.DUMMYFUNCTION("IFERROR(GOOGLEFINANCE(A1791,""priceopen""),"""")"),21900.0)</f>
        <v>21900</v>
      </c>
      <c r="X1791" s="22">
        <f>IFERROR(__xludf.DUMMYFUNCTION("IFERROR(GOOGLEFINANCE(A1791,""high""),"""")"),22825.0)</f>
        <v>22825</v>
      </c>
      <c r="Y1791" s="22">
        <f>IFERROR(__xludf.DUMMYFUNCTION("IFERROR(GOOGLEFINANCE(A1791,""low""),"""")"),21900.0)</f>
        <v>21900</v>
      </c>
      <c r="Z1791" s="22">
        <f>IFERROR(__xludf.DUMMYFUNCTION("IFERROR(GOOGLEFINANCE(A1791,""volume""),"""")"),5608900.0)</f>
        <v>5608900</v>
      </c>
      <c r="AA1791" s="24" t="str">
        <f>VLOOKUP(A1791,Metrik!$C$2:$Y$959,5,0)</f>
        <v>Machinery</v>
      </c>
      <c r="AB1791" s="24" t="str">
        <f>VLOOKUP(A1791,Metrik!$C$2:$Y$959,3,0)</f>
        <v>Industrials</v>
      </c>
    </row>
    <row r="1792">
      <c r="A1792" s="14" t="s">
        <v>978</v>
      </c>
      <c r="B1792" s="14" t="str">
        <f t="array" ref="B1792">VLOOKUP(A1792,{Metrik!$C$2:$C$998,Metrik!$B$2:$B$998},2,0)</f>
        <v>United Tractors Tbk.</v>
      </c>
      <c r="C1792" s="15">
        <f>IFERROR(__xludf.DUMMYFUNCTION("GOOGLEFINANCE(""IDX:""&amp;A1792,""price"")"),22500.0)</f>
        <v>22500</v>
      </c>
      <c r="D1792" s="16" t="str">
        <f>IFERROR(__xludf.DUMMYFUNCTION("IF(A1792="""","""",
SPARKLINE(
INDEX(
GOOGLEFINANCE(""IDX:""&amp;A1792,""close"",TODAY()-365,TODAY()),
,2
),
{""linewidth"",1}
))
"),"#N/A")</f>
        <v>#N/A</v>
      </c>
      <c r="E1792" s="14" t="s">
        <v>55</v>
      </c>
      <c r="F1792" s="25">
        <v>46356.0</v>
      </c>
      <c r="G1792" s="18">
        <f t="shared" si="11"/>
        <v>20</v>
      </c>
      <c r="H1792" s="19">
        <f>VLOOKUP(A1792,Metrik!$C$2:$Y$959,8,0)</f>
        <v>7</v>
      </c>
      <c r="I1792" s="20">
        <f>VLOOKUP(A1792,Metrik!$C$2:$Y$959,9,0)</f>
        <v>0.84</v>
      </c>
      <c r="J1792" s="20">
        <f>VLOOKUP(A1792,Metrik!$C$2:$Y$959,10,0)</f>
        <v>12.1</v>
      </c>
      <c r="K1792" s="20">
        <f>VLOOKUP(A1792,Metrik!$C$2:$Y$959,11,0)</f>
        <v>6.7</v>
      </c>
      <c r="L1792" s="20">
        <f>VLOOKUP(A1792,Metrik!$C$2:$Y$959,12,0)</f>
        <v>0.8</v>
      </c>
      <c r="M1792" s="20">
        <f>VLOOKUP(A1792,Metrik!$C$2:$Y$959,19,0)</f>
        <v>43</v>
      </c>
      <c r="N1792" s="21"/>
      <c r="O1792" s="21"/>
      <c r="P1792" s="21"/>
      <c r="Q1792" s="21"/>
      <c r="R1792" s="21"/>
      <c r="S1792" s="21"/>
      <c r="T1792" s="21"/>
      <c r="U1792" s="22">
        <f>IFERROR(__xludf.DUMMYFUNCTION("IFERROR(GOOGLEFINANCE(A1792,""closeyest""),"""")"),21750.0)</f>
        <v>21750</v>
      </c>
      <c r="V1792" s="23">
        <f>IFERROR(__xludf.DUMMYFUNCTION("IFERROR(GOOGLEFINANCE(A1792,""changepct""),"""")"),3.45)</f>
        <v>3.45</v>
      </c>
      <c r="W1792" s="22">
        <f>IFERROR(__xludf.DUMMYFUNCTION("IFERROR(GOOGLEFINANCE(A1792,""priceopen""),"""")"),21900.0)</f>
        <v>21900</v>
      </c>
      <c r="X1792" s="22">
        <f>IFERROR(__xludf.DUMMYFUNCTION("IFERROR(GOOGLEFINANCE(A1792,""high""),"""")"),22825.0)</f>
        <v>22825</v>
      </c>
      <c r="Y1792" s="22">
        <f>IFERROR(__xludf.DUMMYFUNCTION("IFERROR(GOOGLEFINANCE(A1792,""low""),"""")"),21900.0)</f>
        <v>21900</v>
      </c>
      <c r="Z1792" s="22">
        <f>IFERROR(__xludf.DUMMYFUNCTION("IFERROR(GOOGLEFINANCE(A1792,""volume""),"""")"),5608900.0)</f>
        <v>5608900</v>
      </c>
      <c r="AA1792" s="24" t="str">
        <f>VLOOKUP(A1792,Metrik!$C$2:$Y$959,5,0)</f>
        <v>Machinery</v>
      </c>
      <c r="AB1792" s="24" t="str">
        <f>VLOOKUP(A1792,Metrik!$C$2:$Y$959,3,0)</f>
        <v>Industrials</v>
      </c>
    </row>
    <row r="1793">
      <c r="A1793" s="17" t="s">
        <v>978</v>
      </c>
      <c r="B1793" s="14" t="str">
        <f t="array" ref="B1793">VLOOKUP(A1793,{Metrik!$C$2:$C$998,Metrik!$B$2:$B$998},2,0)</f>
        <v>United Tractors Tbk.</v>
      </c>
      <c r="C1793" s="15">
        <f>IFERROR(__xludf.DUMMYFUNCTION("GOOGLEFINANCE(""IDX:""&amp;A1793,""price"")"),22500.0)</f>
        <v>22500</v>
      </c>
      <c r="D1793" s="16" t="str">
        <f>IFERROR(__xludf.DUMMYFUNCTION("IF(A1793="""","""",
SPARKLINE(
INDEX(
GOOGLEFINANCE(""IDX:""&amp;A1793,""close"",TODAY()-365,TODAY()),
,2
),
{""linewidth"",1}
))
"),"#N/A")</f>
        <v>#N/A</v>
      </c>
      <c r="E1793" s="14" t="s">
        <v>128</v>
      </c>
      <c r="F1793" s="17" t="s">
        <v>36</v>
      </c>
      <c r="G1793" s="18">
        <f t="shared" si="11"/>
        <v>20</v>
      </c>
      <c r="H1793" s="19">
        <f>VLOOKUP(A1793,Metrik!$C$2:$Y$959,8,0)</f>
        <v>7</v>
      </c>
      <c r="I1793" s="20">
        <f>VLOOKUP(A1793,Metrik!$C$2:$Y$959,9,0)</f>
        <v>0.84</v>
      </c>
      <c r="J1793" s="20">
        <f>VLOOKUP(A1793,Metrik!$C$2:$Y$959,10,0)</f>
        <v>12.1</v>
      </c>
      <c r="K1793" s="20">
        <f>VLOOKUP(A1793,Metrik!$C$2:$Y$959,11,0)</f>
        <v>6.7</v>
      </c>
      <c r="L1793" s="20">
        <f>VLOOKUP(A1793,Metrik!$C$2:$Y$959,12,0)</f>
        <v>0.8</v>
      </c>
      <c r="M1793" s="20">
        <f>VLOOKUP(A1793,Metrik!$C$2:$Y$959,19,0)</f>
        <v>43</v>
      </c>
      <c r="N1793" s="21"/>
      <c r="O1793" s="21"/>
      <c r="P1793" s="21"/>
      <c r="Q1793" s="21"/>
      <c r="R1793" s="21"/>
      <c r="S1793" s="21"/>
      <c r="T1793" s="21"/>
      <c r="U1793" s="22">
        <f>IFERROR(__xludf.DUMMYFUNCTION("IFERROR(GOOGLEFINANCE(A1793,""closeyest""),"""")"),21750.0)</f>
        <v>21750</v>
      </c>
      <c r="V1793" s="23">
        <f>IFERROR(__xludf.DUMMYFUNCTION("IFERROR(GOOGLEFINANCE(A1793,""changepct""),"""")"),3.45)</f>
        <v>3.45</v>
      </c>
      <c r="W1793" s="22">
        <f>IFERROR(__xludf.DUMMYFUNCTION("IFERROR(GOOGLEFINANCE(A1793,""priceopen""),"""")"),21900.0)</f>
        <v>21900</v>
      </c>
      <c r="X1793" s="22">
        <f>IFERROR(__xludf.DUMMYFUNCTION("IFERROR(GOOGLEFINANCE(A1793,""high""),"""")"),22825.0)</f>
        <v>22825</v>
      </c>
      <c r="Y1793" s="22">
        <f>IFERROR(__xludf.DUMMYFUNCTION("IFERROR(GOOGLEFINANCE(A1793,""low""),"""")"),21900.0)</f>
        <v>21900</v>
      </c>
      <c r="Z1793" s="22">
        <f>IFERROR(__xludf.DUMMYFUNCTION("IFERROR(GOOGLEFINANCE(A1793,""volume""),"""")"),5608900.0)</f>
        <v>5608900</v>
      </c>
      <c r="AA1793" s="24" t="str">
        <f>VLOOKUP(A1793,Metrik!$C$2:$Y$959,5,0)</f>
        <v>Machinery</v>
      </c>
      <c r="AB1793" s="24" t="str">
        <f>VLOOKUP(A1793,Metrik!$C$2:$Y$959,3,0)</f>
        <v>Industrials</v>
      </c>
    </row>
    <row r="1794">
      <c r="A1794" s="14" t="s">
        <v>978</v>
      </c>
      <c r="B1794" s="14" t="str">
        <f t="array" ref="B1794">VLOOKUP(A1794,{Metrik!$C$2:$C$998,Metrik!$B$2:$B$998},2,0)</f>
        <v>United Tractors Tbk.</v>
      </c>
      <c r="C1794" s="15">
        <f>IFERROR(__xludf.DUMMYFUNCTION("GOOGLEFINANCE(""IDX:""&amp;A1794,""price"")"),22500.0)</f>
        <v>22500</v>
      </c>
      <c r="D1794" s="16" t="str">
        <f>IFERROR(__xludf.DUMMYFUNCTION("IF(A1794="""","""",
SPARKLINE(
INDEX(
GOOGLEFINANCE(""IDX:""&amp;A1794,""close"",TODAY()-365,TODAY()),
,2
),
{""linewidth"",1}
))
"),"#N/A")</f>
        <v>#N/A</v>
      </c>
      <c r="E1794" s="14" t="s">
        <v>48</v>
      </c>
      <c r="F1794" s="14" t="s">
        <v>49</v>
      </c>
      <c r="G1794" s="18">
        <f t="shared" si="11"/>
        <v>20</v>
      </c>
      <c r="H1794" s="19">
        <f>VLOOKUP(A1794,Metrik!$C$2:$Y$959,8,0)</f>
        <v>7</v>
      </c>
      <c r="I1794" s="20">
        <f>VLOOKUP(A1794,Metrik!$C$2:$Y$959,9,0)</f>
        <v>0.84</v>
      </c>
      <c r="J1794" s="20">
        <f>VLOOKUP(A1794,Metrik!$C$2:$Y$959,10,0)</f>
        <v>12.1</v>
      </c>
      <c r="K1794" s="20">
        <f>VLOOKUP(A1794,Metrik!$C$2:$Y$959,11,0)</f>
        <v>6.7</v>
      </c>
      <c r="L1794" s="20">
        <f>VLOOKUP(A1794,Metrik!$C$2:$Y$959,12,0)</f>
        <v>0.8</v>
      </c>
      <c r="M1794" s="20">
        <f>VLOOKUP(A1794,Metrik!$C$2:$Y$959,19,0)</f>
        <v>43</v>
      </c>
      <c r="N1794" s="21"/>
      <c r="O1794" s="21"/>
      <c r="P1794" s="21"/>
      <c r="Q1794" s="21"/>
      <c r="R1794" s="21"/>
      <c r="S1794" s="21"/>
      <c r="T1794" s="21"/>
      <c r="U1794" s="22">
        <f>IFERROR(__xludf.DUMMYFUNCTION("IFERROR(GOOGLEFINANCE(A1794,""closeyest""),"""")"),21750.0)</f>
        <v>21750</v>
      </c>
      <c r="V1794" s="23">
        <f>IFERROR(__xludf.DUMMYFUNCTION("IFERROR(GOOGLEFINANCE(A1794,""changepct""),"""")"),3.45)</f>
        <v>3.45</v>
      </c>
      <c r="W1794" s="22">
        <f>IFERROR(__xludf.DUMMYFUNCTION("IFERROR(GOOGLEFINANCE(A1794,""priceopen""),"""")"),21900.0)</f>
        <v>21900</v>
      </c>
      <c r="X1794" s="22">
        <f>IFERROR(__xludf.DUMMYFUNCTION("IFERROR(GOOGLEFINANCE(A1794,""high""),"""")"),22825.0)</f>
        <v>22825</v>
      </c>
      <c r="Y1794" s="22">
        <f>IFERROR(__xludf.DUMMYFUNCTION("IFERROR(GOOGLEFINANCE(A1794,""low""),"""")"),21900.0)</f>
        <v>21900</v>
      </c>
      <c r="Z1794" s="22">
        <f>IFERROR(__xludf.DUMMYFUNCTION("IFERROR(GOOGLEFINANCE(A1794,""volume""),"""")"),5608900.0)</f>
        <v>5608900</v>
      </c>
      <c r="AA1794" s="24" t="str">
        <f>VLOOKUP(A1794,Metrik!$C$2:$Y$959,5,0)</f>
        <v>Machinery</v>
      </c>
      <c r="AB1794" s="24" t="str">
        <f>VLOOKUP(A1794,Metrik!$C$2:$Y$959,3,0)</f>
        <v>Industrials</v>
      </c>
    </row>
    <row r="1795">
      <c r="A1795" s="14" t="s">
        <v>978</v>
      </c>
      <c r="B1795" s="14" t="str">
        <f t="array" ref="B1795">VLOOKUP(A1795,{Metrik!$C$2:$C$998,Metrik!$B$2:$B$998},2,0)</f>
        <v>United Tractors Tbk.</v>
      </c>
      <c r="C1795" s="15">
        <f>IFERROR(__xludf.DUMMYFUNCTION("GOOGLEFINANCE(""IDX:""&amp;A1795,""price"")"),22500.0)</f>
        <v>22500</v>
      </c>
      <c r="D1795" s="16" t="str">
        <f>IFERROR(__xludf.DUMMYFUNCTION("IF(A1795="""","""",
SPARKLINE(
INDEX(
GOOGLEFINANCE(""IDX:""&amp;A1795,""close"",TODAY()-365,TODAY()),
,2
),
{""linewidth"",1}
))
"),"#N/A")</f>
        <v>#N/A</v>
      </c>
      <c r="E1795" s="14" t="s">
        <v>67</v>
      </c>
      <c r="F1795" s="17" t="s">
        <v>51</v>
      </c>
      <c r="G1795" s="18">
        <f t="shared" si="11"/>
        <v>20</v>
      </c>
      <c r="H1795" s="19">
        <f>VLOOKUP(A1795,Metrik!$C$2:$Y$959,8,0)</f>
        <v>7</v>
      </c>
      <c r="I1795" s="20">
        <f>VLOOKUP(A1795,Metrik!$C$2:$Y$959,9,0)</f>
        <v>0.84</v>
      </c>
      <c r="J1795" s="20">
        <f>VLOOKUP(A1795,Metrik!$C$2:$Y$959,10,0)</f>
        <v>12.1</v>
      </c>
      <c r="K1795" s="20">
        <f>VLOOKUP(A1795,Metrik!$C$2:$Y$959,11,0)</f>
        <v>6.7</v>
      </c>
      <c r="L1795" s="20">
        <f>VLOOKUP(A1795,Metrik!$C$2:$Y$959,12,0)</f>
        <v>0.8</v>
      </c>
      <c r="M1795" s="20">
        <f>VLOOKUP(A1795,Metrik!$C$2:$Y$959,19,0)</f>
        <v>43</v>
      </c>
      <c r="N1795" s="21"/>
      <c r="O1795" s="21"/>
      <c r="P1795" s="21"/>
      <c r="Q1795" s="21"/>
      <c r="R1795" s="21"/>
      <c r="S1795" s="21"/>
      <c r="T1795" s="21"/>
      <c r="U1795" s="22">
        <f>IFERROR(__xludf.DUMMYFUNCTION("IFERROR(GOOGLEFINANCE(A1795,""closeyest""),"""")"),21750.0)</f>
        <v>21750</v>
      </c>
      <c r="V1795" s="23">
        <f>IFERROR(__xludf.DUMMYFUNCTION("IFERROR(GOOGLEFINANCE(A1795,""changepct""),"""")"),3.45)</f>
        <v>3.45</v>
      </c>
      <c r="W1795" s="22">
        <f>IFERROR(__xludf.DUMMYFUNCTION("IFERROR(GOOGLEFINANCE(A1795,""priceopen""),"""")"),21900.0)</f>
        <v>21900</v>
      </c>
      <c r="X1795" s="22">
        <f>IFERROR(__xludf.DUMMYFUNCTION("IFERROR(GOOGLEFINANCE(A1795,""high""),"""")"),22825.0)</f>
        <v>22825</v>
      </c>
      <c r="Y1795" s="22">
        <f>IFERROR(__xludf.DUMMYFUNCTION("IFERROR(GOOGLEFINANCE(A1795,""low""),"""")"),21900.0)</f>
        <v>21900</v>
      </c>
      <c r="Z1795" s="22">
        <f>IFERROR(__xludf.DUMMYFUNCTION("IFERROR(GOOGLEFINANCE(A1795,""volume""),"""")"),5608900.0)</f>
        <v>5608900</v>
      </c>
      <c r="AA1795" s="24" t="str">
        <f>VLOOKUP(A1795,Metrik!$C$2:$Y$959,5,0)</f>
        <v>Machinery</v>
      </c>
      <c r="AB1795" s="24" t="str">
        <f>VLOOKUP(A1795,Metrik!$C$2:$Y$959,3,0)</f>
        <v>Industrials</v>
      </c>
    </row>
    <row r="1796">
      <c r="A1796" s="14" t="s">
        <v>978</v>
      </c>
      <c r="B1796" s="14" t="str">
        <f t="array" ref="B1796">VLOOKUP(A1796,{Metrik!$C$2:$C$998,Metrik!$B$2:$B$998},2,0)</f>
        <v>United Tractors Tbk.</v>
      </c>
      <c r="C1796" s="15">
        <f>IFERROR(__xludf.DUMMYFUNCTION("GOOGLEFINANCE(""IDX:""&amp;A1796,""price"")"),22500.0)</f>
        <v>22500</v>
      </c>
      <c r="D1796" s="16" t="str">
        <f>IFERROR(__xludf.DUMMYFUNCTION("IF(A1796="""","""",
SPARKLINE(
INDEX(
GOOGLEFINANCE(""IDX:""&amp;A1796,""close"",TODAY()-365,TODAY()),
,2
),
{""linewidth"",1}
))
"),"#N/A")</f>
        <v>#N/A</v>
      </c>
      <c r="E1796" s="14" t="s">
        <v>31</v>
      </c>
      <c r="F1796" s="17" t="s">
        <v>29</v>
      </c>
      <c r="G1796" s="18">
        <f t="shared" si="11"/>
        <v>20</v>
      </c>
      <c r="H1796" s="19">
        <f>VLOOKUP(A1796,Metrik!$C$2:$Y$959,8,0)</f>
        <v>7</v>
      </c>
      <c r="I1796" s="20">
        <f>VLOOKUP(A1796,Metrik!$C$2:$Y$959,9,0)</f>
        <v>0.84</v>
      </c>
      <c r="J1796" s="20">
        <f>VLOOKUP(A1796,Metrik!$C$2:$Y$959,10,0)</f>
        <v>12.1</v>
      </c>
      <c r="K1796" s="20">
        <f>VLOOKUP(A1796,Metrik!$C$2:$Y$959,11,0)</f>
        <v>6.7</v>
      </c>
      <c r="L1796" s="20">
        <f>VLOOKUP(A1796,Metrik!$C$2:$Y$959,12,0)</f>
        <v>0.8</v>
      </c>
      <c r="M1796" s="20">
        <f>VLOOKUP(A1796,Metrik!$C$2:$Y$959,19,0)</f>
        <v>43</v>
      </c>
      <c r="N1796" s="21"/>
      <c r="O1796" s="21"/>
      <c r="P1796" s="21"/>
      <c r="Q1796" s="21"/>
      <c r="R1796" s="21"/>
      <c r="S1796" s="21"/>
      <c r="T1796" s="21"/>
      <c r="U1796" s="22">
        <f>IFERROR(__xludf.DUMMYFUNCTION("IFERROR(GOOGLEFINANCE(A1796,""closeyest""),"""")"),21750.0)</f>
        <v>21750</v>
      </c>
      <c r="V1796" s="23">
        <f>IFERROR(__xludf.DUMMYFUNCTION("IFERROR(GOOGLEFINANCE(A1796,""changepct""),"""")"),3.45)</f>
        <v>3.45</v>
      </c>
      <c r="W1796" s="22">
        <f>IFERROR(__xludf.DUMMYFUNCTION("IFERROR(GOOGLEFINANCE(A1796,""priceopen""),"""")"),21900.0)</f>
        <v>21900</v>
      </c>
      <c r="X1796" s="22">
        <f>IFERROR(__xludf.DUMMYFUNCTION("IFERROR(GOOGLEFINANCE(A1796,""high""),"""")"),22825.0)</f>
        <v>22825</v>
      </c>
      <c r="Y1796" s="22">
        <f>IFERROR(__xludf.DUMMYFUNCTION("IFERROR(GOOGLEFINANCE(A1796,""low""),"""")"),21900.0)</f>
        <v>21900</v>
      </c>
      <c r="Z1796" s="22">
        <f>IFERROR(__xludf.DUMMYFUNCTION("IFERROR(GOOGLEFINANCE(A1796,""volume""),"""")"),5608900.0)</f>
        <v>5608900</v>
      </c>
      <c r="AA1796" s="24" t="str">
        <f>VLOOKUP(A1796,Metrik!$C$2:$Y$959,5,0)</f>
        <v>Machinery</v>
      </c>
      <c r="AB1796" s="24" t="str">
        <f>VLOOKUP(A1796,Metrik!$C$2:$Y$959,3,0)</f>
        <v>Industrials</v>
      </c>
    </row>
    <row r="1797">
      <c r="A1797" s="14" t="s">
        <v>978</v>
      </c>
      <c r="B1797" s="14" t="str">
        <f t="array" ref="B1797">VLOOKUP(A1797,{Metrik!$C$2:$C$998,Metrik!$B$2:$B$998},2,0)</f>
        <v>United Tractors Tbk.</v>
      </c>
      <c r="C1797" s="15">
        <f>IFERROR(__xludf.DUMMYFUNCTION("GOOGLEFINANCE(""IDX:""&amp;A1797,""price"")"),22500.0)</f>
        <v>22500</v>
      </c>
      <c r="D1797" s="16" t="str">
        <f>IFERROR(__xludf.DUMMYFUNCTION("IF(A1797="""","""",
SPARKLINE(
INDEX(
GOOGLEFINANCE(""IDX:""&amp;A1797,""close"",TODAY()-365,TODAY()),
,2
),
{""linewidth"",1}
))
"),"#N/A")</f>
        <v>#N/A</v>
      </c>
      <c r="E1797" s="14" t="s">
        <v>28</v>
      </c>
      <c r="F1797" s="17" t="s">
        <v>29</v>
      </c>
      <c r="G1797" s="18">
        <f t="shared" si="11"/>
        <v>20</v>
      </c>
      <c r="H1797" s="19">
        <f>VLOOKUP(A1797,Metrik!$C$2:$Y$959,8,0)</f>
        <v>7</v>
      </c>
      <c r="I1797" s="20">
        <f>VLOOKUP(A1797,Metrik!$C$2:$Y$959,9,0)</f>
        <v>0.84</v>
      </c>
      <c r="J1797" s="20">
        <f>VLOOKUP(A1797,Metrik!$C$2:$Y$959,10,0)</f>
        <v>12.1</v>
      </c>
      <c r="K1797" s="20">
        <f>VLOOKUP(A1797,Metrik!$C$2:$Y$959,11,0)</f>
        <v>6.7</v>
      </c>
      <c r="L1797" s="20">
        <f>VLOOKUP(A1797,Metrik!$C$2:$Y$959,12,0)</f>
        <v>0.8</v>
      </c>
      <c r="M1797" s="20">
        <f>VLOOKUP(A1797,Metrik!$C$2:$Y$959,19,0)</f>
        <v>43</v>
      </c>
      <c r="N1797" s="21"/>
      <c r="O1797" s="21"/>
      <c r="P1797" s="21"/>
      <c r="Q1797" s="21"/>
      <c r="R1797" s="21"/>
      <c r="S1797" s="21"/>
      <c r="T1797" s="21"/>
      <c r="U1797" s="22">
        <f>IFERROR(__xludf.DUMMYFUNCTION("IFERROR(GOOGLEFINANCE(A1797,""closeyest""),"""")"),21750.0)</f>
        <v>21750</v>
      </c>
      <c r="V1797" s="23">
        <f>IFERROR(__xludf.DUMMYFUNCTION("IFERROR(GOOGLEFINANCE(A1797,""changepct""),"""")"),3.45)</f>
        <v>3.45</v>
      </c>
      <c r="W1797" s="22">
        <f>IFERROR(__xludf.DUMMYFUNCTION("IFERROR(GOOGLEFINANCE(A1797,""priceopen""),"""")"),21900.0)</f>
        <v>21900</v>
      </c>
      <c r="X1797" s="22">
        <f>IFERROR(__xludf.DUMMYFUNCTION("IFERROR(GOOGLEFINANCE(A1797,""high""),"""")"),22825.0)</f>
        <v>22825</v>
      </c>
      <c r="Y1797" s="22">
        <f>IFERROR(__xludf.DUMMYFUNCTION("IFERROR(GOOGLEFINANCE(A1797,""low""),"""")"),21900.0)</f>
        <v>21900</v>
      </c>
      <c r="Z1797" s="22">
        <f>IFERROR(__xludf.DUMMYFUNCTION("IFERROR(GOOGLEFINANCE(A1797,""volume""),"""")"),5608900.0)</f>
        <v>5608900</v>
      </c>
      <c r="AA1797" s="24" t="str">
        <f>VLOOKUP(A1797,Metrik!$C$2:$Y$959,5,0)</f>
        <v>Machinery</v>
      </c>
      <c r="AB1797" s="24" t="str">
        <f>VLOOKUP(A1797,Metrik!$C$2:$Y$959,3,0)</f>
        <v>Industrials</v>
      </c>
    </row>
    <row r="1798">
      <c r="A1798" s="14" t="s">
        <v>978</v>
      </c>
      <c r="B1798" s="14" t="str">
        <f t="array" ref="B1798">VLOOKUP(A1798,{Metrik!$C$2:$C$998,Metrik!$B$2:$B$998},2,0)</f>
        <v>United Tractors Tbk.</v>
      </c>
      <c r="C1798" s="15">
        <f>IFERROR(__xludf.DUMMYFUNCTION("GOOGLEFINANCE(""IDX:""&amp;A1798,""price"")"),22500.0)</f>
        <v>22500</v>
      </c>
      <c r="D1798" s="16" t="str">
        <f>IFERROR(__xludf.DUMMYFUNCTION("IF(A1798="""","""",
SPARKLINE(
INDEX(
GOOGLEFINANCE(""IDX:""&amp;A1798,""close"",TODAY()-365,TODAY()),
,2
),
{""linewidth"",1}
))
"),"#N/A")</f>
        <v>#N/A</v>
      </c>
      <c r="E1798" s="14" t="s">
        <v>85</v>
      </c>
      <c r="F1798" s="17" t="s">
        <v>51</v>
      </c>
      <c r="G1798" s="18">
        <f t="shared" si="11"/>
        <v>20</v>
      </c>
      <c r="H1798" s="19">
        <f>VLOOKUP(A1798,Metrik!$C$2:$Y$959,8,0)</f>
        <v>7</v>
      </c>
      <c r="I1798" s="20">
        <f>VLOOKUP(A1798,Metrik!$C$2:$Y$959,9,0)</f>
        <v>0.84</v>
      </c>
      <c r="J1798" s="20">
        <f>VLOOKUP(A1798,Metrik!$C$2:$Y$959,10,0)</f>
        <v>12.1</v>
      </c>
      <c r="K1798" s="20">
        <f>VLOOKUP(A1798,Metrik!$C$2:$Y$959,11,0)</f>
        <v>6.7</v>
      </c>
      <c r="L1798" s="20">
        <f>VLOOKUP(A1798,Metrik!$C$2:$Y$959,12,0)</f>
        <v>0.8</v>
      </c>
      <c r="M1798" s="20">
        <f>VLOOKUP(A1798,Metrik!$C$2:$Y$959,19,0)</f>
        <v>43</v>
      </c>
      <c r="N1798" s="21"/>
      <c r="O1798" s="21"/>
      <c r="P1798" s="21"/>
      <c r="Q1798" s="21"/>
      <c r="R1798" s="21"/>
      <c r="S1798" s="21"/>
      <c r="T1798" s="21"/>
      <c r="U1798" s="22">
        <f>IFERROR(__xludf.DUMMYFUNCTION("IFERROR(GOOGLEFINANCE(A1798,""closeyest""),"""")"),21750.0)</f>
        <v>21750</v>
      </c>
      <c r="V1798" s="23">
        <f>IFERROR(__xludf.DUMMYFUNCTION("IFERROR(GOOGLEFINANCE(A1798,""changepct""),"""")"),3.45)</f>
        <v>3.45</v>
      </c>
      <c r="W1798" s="22">
        <f>IFERROR(__xludf.DUMMYFUNCTION("IFERROR(GOOGLEFINANCE(A1798,""priceopen""),"""")"),21900.0)</f>
        <v>21900</v>
      </c>
      <c r="X1798" s="22">
        <f>IFERROR(__xludf.DUMMYFUNCTION("IFERROR(GOOGLEFINANCE(A1798,""high""),"""")"),22825.0)</f>
        <v>22825</v>
      </c>
      <c r="Y1798" s="22">
        <f>IFERROR(__xludf.DUMMYFUNCTION("IFERROR(GOOGLEFINANCE(A1798,""low""),"""")"),21900.0)</f>
        <v>21900</v>
      </c>
      <c r="Z1798" s="22">
        <f>IFERROR(__xludf.DUMMYFUNCTION("IFERROR(GOOGLEFINANCE(A1798,""volume""),"""")"),5608900.0)</f>
        <v>5608900</v>
      </c>
      <c r="AA1798" s="24" t="str">
        <f>VLOOKUP(A1798,Metrik!$C$2:$Y$959,5,0)</f>
        <v>Machinery</v>
      </c>
      <c r="AB1798" s="24" t="str">
        <f>VLOOKUP(A1798,Metrik!$C$2:$Y$959,3,0)</f>
        <v>Industrials</v>
      </c>
    </row>
    <row r="1799">
      <c r="A1799" s="14" t="s">
        <v>978</v>
      </c>
      <c r="B1799" s="14" t="str">
        <f t="array" ref="B1799">VLOOKUP(A1799,{Metrik!$C$2:$C$998,Metrik!$B$2:$B$998},2,0)</f>
        <v>United Tractors Tbk.</v>
      </c>
      <c r="C1799" s="15">
        <f>IFERROR(__xludf.DUMMYFUNCTION("GOOGLEFINANCE(""IDX:""&amp;A1799,""price"")"),22500.0)</f>
        <v>22500</v>
      </c>
      <c r="D1799" s="16" t="str">
        <f>IFERROR(__xludf.DUMMYFUNCTION("IF(A1799="""","""",
SPARKLINE(
INDEX(
GOOGLEFINANCE(""IDX:""&amp;A1799,""close"",TODAY()-365,TODAY()),
,2
),
{""linewidth"",1}
))
"),"#N/A")</f>
        <v>#N/A</v>
      </c>
      <c r="E1799" s="14" t="s">
        <v>30</v>
      </c>
      <c r="F1799" s="17" t="s">
        <v>29</v>
      </c>
      <c r="G1799" s="18">
        <f t="shared" si="11"/>
        <v>20</v>
      </c>
      <c r="H1799" s="19">
        <f>VLOOKUP(A1799,Metrik!$C$2:$Y$959,8,0)</f>
        <v>7</v>
      </c>
      <c r="I1799" s="20">
        <f>VLOOKUP(A1799,Metrik!$C$2:$Y$959,9,0)</f>
        <v>0.84</v>
      </c>
      <c r="J1799" s="20">
        <f>VLOOKUP(A1799,Metrik!$C$2:$Y$959,10,0)</f>
        <v>12.1</v>
      </c>
      <c r="K1799" s="20">
        <f>VLOOKUP(A1799,Metrik!$C$2:$Y$959,11,0)</f>
        <v>6.7</v>
      </c>
      <c r="L1799" s="20">
        <f>VLOOKUP(A1799,Metrik!$C$2:$Y$959,12,0)</f>
        <v>0.8</v>
      </c>
      <c r="M1799" s="20">
        <f>VLOOKUP(A1799,Metrik!$C$2:$Y$959,19,0)</f>
        <v>43</v>
      </c>
      <c r="N1799" s="21"/>
      <c r="O1799" s="21"/>
      <c r="P1799" s="21"/>
      <c r="Q1799" s="21"/>
      <c r="R1799" s="21"/>
      <c r="S1799" s="21"/>
      <c r="T1799" s="21"/>
      <c r="U1799" s="22">
        <f>IFERROR(__xludf.DUMMYFUNCTION("IFERROR(GOOGLEFINANCE(A1799,""closeyest""),"""")"),21750.0)</f>
        <v>21750</v>
      </c>
      <c r="V1799" s="23">
        <f>IFERROR(__xludf.DUMMYFUNCTION("IFERROR(GOOGLEFINANCE(A1799,""changepct""),"""")"),3.45)</f>
        <v>3.45</v>
      </c>
      <c r="W1799" s="22">
        <f>IFERROR(__xludf.DUMMYFUNCTION("IFERROR(GOOGLEFINANCE(A1799,""priceopen""),"""")"),21900.0)</f>
        <v>21900</v>
      </c>
      <c r="X1799" s="22">
        <f>IFERROR(__xludf.DUMMYFUNCTION("IFERROR(GOOGLEFINANCE(A1799,""high""),"""")"),22825.0)</f>
        <v>22825</v>
      </c>
      <c r="Y1799" s="22">
        <f>IFERROR(__xludf.DUMMYFUNCTION("IFERROR(GOOGLEFINANCE(A1799,""low""),"""")"),21900.0)</f>
        <v>21900</v>
      </c>
      <c r="Z1799" s="22">
        <f>IFERROR(__xludf.DUMMYFUNCTION("IFERROR(GOOGLEFINANCE(A1799,""volume""),"""")"),5608900.0)</f>
        <v>5608900</v>
      </c>
      <c r="AA1799" s="24" t="str">
        <f>VLOOKUP(A1799,Metrik!$C$2:$Y$959,5,0)</f>
        <v>Machinery</v>
      </c>
      <c r="AB1799" s="24" t="str">
        <f>VLOOKUP(A1799,Metrik!$C$2:$Y$959,3,0)</f>
        <v>Industrials</v>
      </c>
    </row>
    <row r="1800">
      <c r="A1800" s="14" t="s">
        <v>978</v>
      </c>
      <c r="B1800" s="14" t="str">
        <f t="array" ref="B1800">VLOOKUP(A1800,{Metrik!$C$2:$C$998,Metrik!$B$2:$B$998},2,0)</f>
        <v>United Tractors Tbk.</v>
      </c>
      <c r="C1800" s="15">
        <f>IFERROR(__xludf.DUMMYFUNCTION("GOOGLEFINANCE(""IDX:""&amp;A1800,""price"")"),22500.0)</f>
        <v>22500</v>
      </c>
      <c r="D1800" s="16" t="str">
        <f>IFERROR(__xludf.DUMMYFUNCTION("IF(A1800="""","""",
SPARKLINE(
INDEX(
GOOGLEFINANCE(""IDX:""&amp;A1800,""close"",TODAY()-365,TODAY()),
,2
),
{""linewidth"",1}
))
"),"#N/A")</f>
        <v>#N/A</v>
      </c>
      <c r="E1800" s="14" t="s">
        <v>84</v>
      </c>
      <c r="F1800" s="17" t="s">
        <v>51</v>
      </c>
      <c r="G1800" s="18">
        <f t="shared" si="11"/>
        <v>20</v>
      </c>
      <c r="H1800" s="19">
        <f>VLOOKUP(A1800,Metrik!$C$2:$Y$959,8,0)</f>
        <v>7</v>
      </c>
      <c r="I1800" s="20">
        <f>VLOOKUP(A1800,Metrik!$C$2:$Y$959,9,0)</f>
        <v>0.84</v>
      </c>
      <c r="J1800" s="20">
        <f>VLOOKUP(A1800,Metrik!$C$2:$Y$959,10,0)</f>
        <v>12.1</v>
      </c>
      <c r="K1800" s="20">
        <f>VLOOKUP(A1800,Metrik!$C$2:$Y$959,11,0)</f>
        <v>6.7</v>
      </c>
      <c r="L1800" s="20">
        <f>VLOOKUP(A1800,Metrik!$C$2:$Y$959,12,0)</f>
        <v>0.8</v>
      </c>
      <c r="M1800" s="20">
        <f>VLOOKUP(A1800,Metrik!$C$2:$Y$959,19,0)</f>
        <v>43</v>
      </c>
      <c r="N1800" s="21"/>
      <c r="O1800" s="21"/>
      <c r="P1800" s="21"/>
      <c r="Q1800" s="21"/>
      <c r="R1800" s="21"/>
      <c r="S1800" s="21"/>
      <c r="T1800" s="21"/>
      <c r="U1800" s="22">
        <f>IFERROR(__xludf.DUMMYFUNCTION("IFERROR(GOOGLEFINANCE(A1800,""closeyest""),"""")"),21750.0)</f>
        <v>21750</v>
      </c>
      <c r="V1800" s="23">
        <f>IFERROR(__xludf.DUMMYFUNCTION("IFERROR(GOOGLEFINANCE(A1800,""changepct""),"""")"),3.45)</f>
        <v>3.45</v>
      </c>
      <c r="W1800" s="22">
        <f>IFERROR(__xludf.DUMMYFUNCTION("IFERROR(GOOGLEFINANCE(A1800,""priceopen""),"""")"),21900.0)</f>
        <v>21900</v>
      </c>
      <c r="X1800" s="22">
        <f>IFERROR(__xludf.DUMMYFUNCTION("IFERROR(GOOGLEFINANCE(A1800,""high""),"""")"),22825.0)</f>
        <v>22825</v>
      </c>
      <c r="Y1800" s="22">
        <f>IFERROR(__xludf.DUMMYFUNCTION("IFERROR(GOOGLEFINANCE(A1800,""low""),"""")"),21900.0)</f>
        <v>21900</v>
      </c>
      <c r="Z1800" s="22">
        <f>IFERROR(__xludf.DUMMYFUNCTION("IFERROR(GOOGLEFINANCE(A1800,""volume""),"""")"),5608900.0)</f>
        <v>5608900</v>
      </c>
      <c r="AA1800" s="24" t="str">
        <f>VLOOKUP(A1800,Metrik!$C$2:$Y$959,5,0)</f>
        <v>Machinery</v>
      </c>
      <c r="AB1800" s="24" t="str">
        <f>VLOOKUP(A1800,Metrik!$C$2:$Y$959,3,0)</f>
        <v>Industrials</v>
      </c>
    </row>
    <row r="1801">
      <c r="A1801" s="14" t="s">
        <v>978</v>
      </c>
      <c r="B1801" s="14" t="str">
        <f t="array" ref="B1801">VLOOKUP(A1801,{Metrik!$C$2:$C$998,Metrik!$B$2:$B$998},2,0)</f>
        <v>United Tractors Tbk.</v>
      </c>
      <c r="C1801" s="15">
        <f>IFERROR(__xludf.DUMMYFUNCTION("GOOGLEFINANCE(""IDX:""&amp;A1801,""price"")"),22500.0)</f>
        <v>22500</v>
      </c>
      <c r="D1801" s="16" t="str">
        <f>IFERROR(__xludf.DUMMYFUNCTION("IF(A1801="""","""",
SPARKLINE(
INDEX(
GOOGLEFINANCE(""IDX:""&amp;A1801,""close"",TODAY()-365,TODAY()),
,2
),
{""linewidth"",1}
))
"),"#N/A")</f>
        <v>#N/A</v>
      </c>
      <c r="E1801" s="14" t="s">
        <v>102</v>
      </c>
      <c r="F1801" s="27" t="s">
        <v>53</v>
      </c>
      <c r="G1801" s="18">
        <f t="shared" si="11"/>
        <v>20</v>
      </c>
      <c r="H1801" s="19">
        <f>VLOOKUP(A1801,Metrik!$C$2:$Y$959,8,0)</f>
        <v>7</v>
      </c>
      <c r="I1801" s="20">
        <f>VLOOKUP(A1801,Metrik!$C$2:$Y$959,9,0)</f>
        <v>0.84</v>
      </c>
      <c r="J1801" s="20">
        <f>VLOOKUP(A1801,Metrik!$C$2:$Y$959,10,0)</f>
        <v>12.1</v>
      </c>
      <c r="K1801" s="20">
        <f>VLOOKUP(A1801,Metrik!$C$2:$Y$959,11,0)</f>
        <v>6.7</v>
      </c>
      <c r="L1801" s="20">
        <f>VLOOKUP(A1801,Metrik!$C$2:$Y$959,12,0)</f>
        <v>0.8</v>
      </c>
      <c r="M1801" s="20">
        <f>VLOOKUP(A1801,Metrik!$C$2:$Y$959,19,0)</f>
        <v>43</v>
      </c>
      <c r="N1801" s="21"/>
      <c r="O1801" s="21"/>
      <c r="P1801" s="21"/>
      <c r="Q1801" s="21"/>
      <c r="R1801" s="21"/>
      <c r="S1801" s="21"/>
      <c r="T1801" s="21"/>
      <c r="U1801" s="22">
        <f>IFERROR(__xludf.DUMMYFUNCTION("IFERROR(GOOGLEFINANCE(A1801,""closeyest""),"""")"),21750.0)</f>
        <v>21750</v>
      </c>
      <c r="V1801" s="23">
        <f>IFERROR(__xludf.DUMMYFUNCTION("IFERROR(GOOGLEFINANCE(A1801,""changepct""),"""")"),3.45)</f>
        <v>3.45</v>
      </c>
      <c r="W1801" s="22">
        <f>IFERROR(__xludf.DUMMYFUNCTION("IFERROR(GOOGLEFINANCE(A1801,""priceopen""),"""")"),21900.0)</f>
        <v>21900</v>
      </c>
      <c r="X1801" s="22">
        <f>IFERROR(__xludf.DUMMYFUNCTION("IFERROR(GOOGLEFINANCE(A1801,""high""),"""")"),22825.0)</f>
        <v>22825</v>
      </c>
      <c r="Y1801" s="22">
        <f>IFERROR(__xludf.DUMMYFUNCTION("IFERROR(GOOGLEFINANCE(A1801,""low""),"""")"),21900.0)</f>
        <v>21900</v>
      </c>
      <c r="Z1801" s="22">
        <f>IFERROR(__xludf.DUMMYFUNCTION("IFERROR(GOOGLEFINANCE(A1801,""volume""),"""")"),5608900.0)</f>
        <v>5608900</v>
      </c>
      <c r="AA1801" s="24" t="str">
        <f>VLOOKUP(A1801,Metrik!$C$2:$Y$959,5,0)</f>
        <v>Machinery</v>
      </c>
      <c r="AB1801" s="24" t="str">
        <f>VLOOKUP(A1801,Metrik!$C$2:$Y$959,3,0)</f>
        <v>Industrials</v>
      </c>
    </row>
    <row r="1802">
      <c r="A1802" s="14" t="s">
        <v>978</v>
      </c>
      <c r="B1802" s="14" t="str">
        <f t="array" ref="B1802">VLOOKUP(A1802,{Metrik!$C$2:$C$998,Metrik!$B$2:$B$998},2,0)</f>
        <v>United Tractors Tbk.</v>
      </c>
      <c r="C1802" s="15">
        <f>IFERROR(__xludf.DUMMYFUNCTION("GOOGLEFINANCE(""IDX:""&amp;A1802,""price"")"),22500.0)</f>
        <v>22500</v>
      </c>
      <c r="D1802" s="16" t="str">
        <f>IFERROR(__xludf.DUMMYFUNCTION("IF(A1802="""","""",
SPARKLINE(
INDEX(
GOOGLEFINANCE(""IDX:""&amp;A1802,""close"",TODAY()-365,TODAY()),
,2
),
{""linewidth"",1}
))
"),"#N/A")</f>
        <v>#N/A</v>
      </c>
      <c r="E1802" s="14" t="s">
        <v>32</v>
      </c>
      <c r="F1802" s="14" t="s">
        <v>29</v>
      </c>
      <c r="G1802" s="18">
        <f t="shared" si="11"/>
        <v>20</v>
      </c>
      <c r="H1802" s="19">
        <f>VLOOKUP(A1802,Metrik!$C$2:$Y$959,8,0)</f>
        <v>7</v>
      </c>
      <c r="I1802" s="20">
        <f>VLOOKUP(A1802,Metrik!$C$2:$Y$959,9,0)</f>
        <v>0.84</v>
      </c>
      <c r="J1802" s="20">
        <f>VLOOKUP(A1802,Metrik!$C$2:$Y$959,10,0)</f>
        <v>12.1</v>
      </c>
      <c r="K1802" s="20">
        <f>VLOOKUP(A1802,Metrik!$C$2:$Y$959,11,0)</f>
        <v>6.7</v>
      </c>
      <c r="L1802" s="20">
        <f>VLOOKUP(A1802,Metrik!$C$2:$Y$959,12,0)</f>
        <v>0.8</v>
      </c>
      <c r="M1802" s="20">
        <f>VLOOKUP(A1802,Metrik!$C$2:$Y$959,19,0)</f>
        <v>43</v>
      </c>
      <c r="N1802" s="21"/>
      <c r="O1802" s="21"/>
      <c r="P1802" s="21"/>
      <c r="Q1802" s="21"/>
      <c r="R1802" s="21"/>
      <c r="S1802" s="21"/>
      <c r="T1802" s="21"/>
      <c r="U1802" s="22">
        <f>IFERROR(__xludf.DUMMYFUNCTION("IFERROR(GOOGLEFINANCE(A1802,""closeyest""),"""")"),21750.0)</f>
        <v>21750</v>
      </c>
      <c r="V1802" s="23">
        <f>IFERROR(__xludf.DUMMYFUNCTION("IFERROR(GOOGLEFINANCE(A1802,""changepct""),"""")"),3.45)</f>
        <v>3.45</v>
      </c>
      <c r="W1802" s="22">
        <f>IFERROR(__xludf.DUMMYFUNCTION("IFERROR(GOOGLEFINANCE(A1802,""priceopen""),"""")"),21900.0)</f>
        <v>21900</v>
      </c>
      <c r="X1802" s="22">
        <f>IFERROR(__xludf.DUMMYFUNCTION("IFERROR(GOOGLEFINANCE(A1802,""high""),"""")"),22825.0)</f>
        <v>22825</v>
      </c>
      <c r="Y1802" s="22">
        <f>IFERROR(__xludf.DUMMYFUNCTION("IFERROR(GOOGLEFINANCE(A1802,""low""),"""")"),21900.0)</f>
        <v>21900</v>
      </c>
      <c r="Z1802" s="22">
        <f>IFERROR(__xludf.DUMMYFUNCTION("IFERROR(GOOGLEFINANCE(A1802,""volume""),"""")"),5608900.0)</f>
        <v>5608900</v>
      </c>
      <c r="AA1802" s="24" t="str">
        <f>VLOOKUP(A1802,Metrik!$C$2:$Y$959,5,0)</f>
        <v>Machinery</v>
      </c>
      <c r="AB1802" s="24" t="str">
        <f>VLOOKUP(A1802,Metrik!$C$2:$Y$959,3,0)</f>
        <v>Industrials</v>
      </c>
    </row>
    <row r="1803">
      <c r="A1803" s="14" t="s">
        <v>978</v>
      </c>
      <c r="B1803" s="14" t="str">
        <f t="array" ref="B1803">VLOOKUP(A1803,{Metrik!$C$2:$C$998,Metrik!$B$2:$B$998},2,0)</f>
        <v>United Tractors Tbk.</v>
      </c>
      <c r="C1803" s="15">
        <f>IFERROR(__xludf.DUMMYFUNCTION("GOOGLEFINANCE(""IDX:""&amp;A1803,""price"")"),22500.0)</f>
        <v>22500</v>
      </c>
      <c r="D1803" s="16" t="str">
        <f>IFERROR(__xludf.DUMMYFUNCTION("IF(A1803="""","""",
SPARKLINE(
INDEX(
GOOGLEFINANCE(""IDX:""&amp;A1803,""close"",TODAY()-365,TODAY()),
,2
),
{""linewidth"",1}
))
"),"#N/A")</f>
        <v>#N/A</v>
      </c>
      <c r="E1803" s="14" t="s">
        <v>68</v>
      </c>
      <c r="F1803" s="14" t="s">
        <v>34</v>
      </c>
      <c r="G1803" s="18">
        <f t="shared" si="11"/>
        <v>20</v>
      </c>
      <c r="H1803" s="19">
        <f>VLOOKUP(A1803,Metrik!$C$2:$Y$959,8,0)</f>
        <v>7</v>
      </c>
      <c r="I1803" s="20">
        <f>VLOOKUP(A1803,Metrik!$C$2:$Y$959,9,0)</f>
        <v>0.84</v>
      </c>
      <c r="J1803" s="20">
        <f>VLOOKUP(A1803,Metrik!$C$2:$Y$959,10,0)</f>
        <v>12.1</v>
      </c>
      <c r="K1803" s="20">
        <f>VLOOKUP(A1803,Metrik!$C$2:$Y$959,11,0)</f>
        <v>6.7</v>
      </c>
      <c r="L1803" s="20">
        <f>VLOOKUP(A1803,Metrik!$C$2:$Y$959,12,0)</f>
        <v>0.8</v>
      </c>
      <c r="M1803" s="20">
        <f>VLOOKUP(A1803,Metrik!$C$2:$Y$959,19,0)</f>
        <v>43</v>
      </c>
      <c r="N1803" s="21"/>
      <c r="O1803" s="21"/>
      <c r="P1803" s="21"/>
      <c r="Q1803" s="21"/>
      <c r="R1803" s="21"/>
      <c r="S1803" s="21"/>
      <c r="T1803" s="21"/>
      <c r="U1803" s="22">
        <f>IFERROR(__xludf.DUMMYFUNCTION("IFERROR(GOOGLEFINANCE(A1803,""closeyest""),"""")"),21750.0)</f>
        <v>21750</v>
      </c>
      <c r="V1803" s="23">
        <f>IFERROR(__xludf.DUMMYFUNCTION("IFERROR(GOOGLEFINANCE(A1803,""changepct""),"""")"),3.45)</f>
        <v>3.45</v>
      </c>
      <c r="W1803" s="22">
        <f>IFERROR(__xludf.DUMMYFUNCTION("IFERROR(GOOGLEFINANCE(A1803,""priceopen""),"""")"),21900.0)</f>
        <v>21900</v>
      </c>
      <c r="X1803" s="22">
        <f>IFERROR(__xludf.DUMMYFUNCTION("IFERROR(GOOGLEFINANCE(A1803,""high""),"""")"),22825.0)</f>
        <v>22825</v>
      </c>
      <c r="Y1803" s="22">
        <f>IFERROR(__xludf.DUMMYFUNCTION("IFERROR(GOOGLEFINANCE(A1803,""low""),"""")"),21900.0)</f>
        <v>21900</v>
      </c>
      <c r="Z1803" s="22">
        <f>IFERROR(__xludf.DUMMYFUNCTION("IFERROR(GOOGLEFINANCE(A1803,""volume""),"""")"),5608900.0)</f>
        <v>5608900</v>
      </c>
      <c r="AA1803" s="24" t="str">
        <f>VLOOKUP(A1803,Metrik!$C$2:$Y$959,5,0)</f>
        <v>Machinery</v>
      </c>
      <c r="AB1803" s="24" t="str">
        <f>VLOOKUP(A1803,Metrik!$C$2:$Y$959,3,0)</f>
        <v>Industrials</v>
      </c>
    </row>
    <row r="1804">
      <c r="A1804" s="14" t="s">
        <v>978</v>
      </c>
      <c r="B1804" s="14" t="str">
        <f t="array" ref="B1804">VLOOKUP(A1804,{Metrik!$C$2:$C$998,Metrik!$B$2:$B$998},2,0)</f>
        <v>United Tractors Tbk.</v>
      </c>
      <c r="C1804" s="15">
        <f>IFERROR(__xludf.DUMMYFUNCTION("GOOGLEFINANCE(""IDX:""&amp;A1804,""price"")"),22500.0)</f>
        <v>22500</v>
      </c>
      <c r="D1804" s="16" t="str">
        <f>IFERROR(__xludf.DUMMYFUNCTION("IF(A1804="""","""",
SPARKLINE(
INDEX(
GOOGLEFINANCE(""IDX:""&amp;A1804,""close"",TODAY()-365,TODAY()),
,2
),
{""linewidth"",1}
))
"),"#N/A")</f>
        <v>#N/A</v>
      </c>
      <c r="E1804" s="14" t="s">
        <v>54</v>
      </c>
      <c r="F1804" s="14" t="s">
        <v>34</v>
      </c>
      <c r="G1804" s="18">
        <f t="shared" si="11"/>
        <v>20</v>
      </c>
      <c r="H1804" s="19">
        <f>VLOOKUP(A1804,Metrik!$C$2:$Y$959,8,0)</f>
        <v>7</v>
      </c>
      <c r="I1804" s="20">
        <f>VLOOKUP(A1804,Metrik!$C$2:$Y$959,9,0)</f>
        <v>0.84</v>
      </c>
      <c r="J1804" s="20">
        <f>VLOOKUP(A1804,Metrik!$C$2:$Y$959,10,0)</f>
        <v>12.1</v>
      </c>
      <c r="K1804" s="20">
        <f>VLOOKUP(A1804,Metrik!$C$2:$Y$959,11,0)</f>
        <v>6.7</v>
      </c>
      <c r="L1804" s="20">
        <f>VLOOKUP(A1804,Metrik!$C$2:$Y$959,12,0)</f>
        <v>0.8</v>
      </c>
      <c r="M1804" s="20">
        <f>VLOOKUP(A1804,Metrik!$C$2:$Y$959,19,0)</f>
        <v>43</v>
      </c>
      <c r="N1804" s="21"/>
      <c r="O1804" s="21"/>
      <c r="P1804" s="21"/>
      <c r="Q1804" s="21"/>
      <c r="R1804" s="21"/>
      <c r="S1804" s="21"/>
      <c r="T1804" s="21"/>
      <c r="U1804" s="22">
        <f>IFERROR(__xludf.DUMMYFUNCTION("IFERROR(GOOGLEFINANCE(A1804,""closeyest""),"""")"),21750.0)</f>
        <v>21750</v>
      </c>
      <c r="V1804" s="23">
        <f>IFERROR(__xludf.DUMMYFUNCTION("IFERROR(GOOGLEFINANCE(A1804,""changepct""),"""")"),3.45)</f>
        <v>3.45</v>
      </c>
      <c r="W1804" s="22">
        <f>IFERROR(__xludf.DUMMYFUNCTION("IFERROR(GOOGLEFINANCE(A1804,""priceopen""),"""")"),21900.0)</f>
        <v>21900</v>
      </c>
      <c r="X1804" s="22">
        <f>IFERROR(__xludf.DUMMYFUNCTION("IFERROR(GOOGLEFINANCE(A1804,""high""),"""")"),22825.0)</f>
        <v>22825</v>
      </c>
      <c r="Y1804" s="22">
        <f>IFERROR(__xludf.DUMMYFUNCTION("IFERROR(GOOGLEFINANCE(A1804,""low""),"""")"),21900.0)</f>
        <v>21900</v>
      </c>
      <c r="Z1804" s="22">
        <f>IFERROR(__xludf.DUMMYFUNCTION("IFERROR(GOOGLEFINANCE(A1804,""volume""),"""")"),5608900.0)</f>
        <v>5608900</v>
      </c>
      <c r="AA1804" s="24" t="str">
        <f>VLOOKUP(A1804,Metrik!$C$2:$Y$959,5,0)</f>
        <v>Machinery</v>
      </c>
      <c r="AB1804" s="24" t="str">
        <f>VLOOKUP(A1804,Metrik!$C$2:$Y$959,3,0)</f>
        <v>Industrials</v>
      </c>
    </row>
    <row r="1805">
      <c r="A1805" s="14" t="s">
        <v>978</v>
      </c>
      <c r="B1805" s="14" t="str">
        <f t="array" ref="B1805">VLOOKUP(A1805,{Metrik!$C$2:$C$998,Metrik!$B$2:$B$998},2,0)</f>
        <v>United Tractors Tbk.</v>
      </c>
      <c r="C1805" s="15">
        <f>IFERROR(__xludf.DUMMYFUNCTION("GOOGLEFINANCE(""IDX:""&amp;A1805,""price"")"),22500.0)</f>
        <v>22500</v>
      </c>
      <c r="D1805" s="16" t="str">
        <f>IFERROR(__xludf.DUMMYFUNCTION("IF(A1805="""","""",
SPARKLINE(
INDEX(
GOOGLEFINANCE(""IDX:""&amp;A1805,""close"",TODAY()-365,TODAY()),
,2
),
{""linewidth"",1}
))
"),"#N/A")</f>
        <v>#N/A</v>
      </c>
      <c r="E1805" s="14" t="s">
        <v>33</v>
      </c>
      <c r="F1805" s="14" t="s">
        <v>34</v>
      </c>
      <c r="G1805" s="18">
        <f t="shared" si="11"/>
        <v>20</v>
      </c>
      <c r="H1805" s="19">
        <f>VLOOKUP(A1805,Metrik!$C$2:$Y$959,8,0)</f>
        <v>7</v>
      </c>
      <c r="I1805" s="20">
        <f>VLOOKUP(A1805,Metrik!$C$2:$Y$959,9,0)</f>
        <v>0.84</v>
      </c>
      <c r="J1805" s="20">
        <f>VLOOKUP(A1805,Metrik!$C$2:$Y$959,10,0)</f>
        <v>12.1</v>
      </c>
      <c r="K1805" s="20">
        <f>VLOOKUP(A1805,Metrik!$C$2:$Y$959,11,0)</f>
        <v>6.7</v>
      </c>
      <c r="L1805" s="20">
        <f>VLOOKUP(A1805,Metrik!$C$2:$Y$959,12,0)</f>
        <v>0.8</v>
      </c>
      <c r="M1805" s="20">
        <f>VLOOKUP(A1805,Metrik!$C$2:$Y$959,19,0)</f>
        <v>43</v>
      </c>
      <c r="N1805" s="21"/>
      <c r="O1805" s="21"/>
      <c r="P1805" s="21"/>
      <c r="Q1805" s="21"/>
      <c r="R1805" s="21"/>
      <c r="S1805" s="21"/>
      <c r="T1805" s="21"/>
      <c r="U1805" s="22">
        <f>IFERROR(__xludf.DUMMYFUNCTION("IFERROR(GOOGLEFINANCE(A1805,""closeyest""),"""")"),21750.0)</f>
        <v>21750</v>
      </c>
      <c r="V1805" s="23">
        <f>IFERROR(__xludf.DUMMYFUNCTION("IFERROR(GOOGLEFINANCE(A1805,""changepct""),"""")"),3.45)</f>
        <v>3.45</v>
      </c>
      <c r="W1805" s="22">
        <f>IFERROR(__xludf.DUMMYFUNCTION("IFERROR(GOOGLEFINANCE(A1805,""priceopen""),"""")"),21900.0)</f>
        <v>21900</v>
      </c>
      <c r="X1805" s="22">
        <f>IFERROR(__xludf.DUMMYFUNCTION("IFERROR(GOOGLEFINANCE(A1805,""high""),"""")"),22825.0)</f>
        <v>22825</v>
      </c>
      <c r="Y1805" s="22">
        <f>IFERROR(__xludf.DUMMYFUNCTION("IFERROR(GOOGLEFINANCE(A1805,""low""),"""")"),21900.0)</f>
        <v>21900</v>
      </c>
      <c r="Z1805" s="22">
        <f>IFERROR(__xludf.DUMMYFUNCTION("IFERROR(GOOGLEFINANCE(A1805,""volume""),"""")"),5608900.0)</f>
        <v>5608900</v>
      </c>
      <c r="AA1805" s="24" t="str">
        <f>VLOOKUP(A1805,Metrik!$C$2:$Y$959,5,0)</f>
        <v>Machinery</v>
      </c>
      <c r="AB1805" s="24" t="str">
        <f>VLOOKUP(A1805,Metrik!$C$2:$Y$959,3,0)</f>
        <v>Industrials</v>
      </c>
    </row>
    <row r="1806">
      <c r="A1806" s="48" t="s">
        <v>978</v>
      </c>
      <c r="B1806" s="14" t="str">
        <f t="array" ref="B1806">VLOOKUP(A1806,{Metrik!$C$2:$C$998,Metrik!$B$2:$B$998},2,0)</f>
        <v>United Tractors Tbk.</v>
      </c>
      <c r="C1806" s="15">
        <f>IFERROR(__xludf.DUMMYFUNCTION("GOOGLEFINANCE(""IDX:""&amp;A1806,""price"")"),22500.0)</f>
        <v>22500</v>
      </c>
      <c r="D1806" s="16" t="str">
        <f>IFERROR(__xludf.DUMMYFUNCTION("IF(A1806="""","""",
SPARKLINE(
INDEX(
GOOGLEFINANCE(""IDX:""&amp;A1806,""close"",TODAY()-365,TODAY()),
,2
),
{""linewidth"",1}
))
"),"#N/A")</f>
        <v>#N/A</v>
      </c>
      <c r="E1806" s="17" t="s">
        <v>69</v>
      </c>
      <c r="F1806" s="17" t="s">
        <v>70</v>
      </c>
      <c r="G1806" s="24">
        <f t="shared" si="11"/>
        <v>20</v>
      </c>
      <c r="H1806" s="19">
        <f>VLOOKUP(A1806,Metrik!$C$2:$Y$959,8,0)</f>
        <v>7</v>
      </c>
      <c r="I1806" s="20">
        <f>VLOOKUP(A1806,Metrik!$C$2:$Y$959,9,0)</f>
        <v>0.84</v>
      </c>
      <c r="J1806" s="20">
        <f>VLOOKUP(A1806,Metrik!$C$2:$Y$959,10,0)</f>
        <v>12.1</v>
      </c>
      <c r="K1806" s="20">
        <f>VLOOKUP(A1806,Metrik!$C$2:$Y$959,11,0)</f>
        <v>6.7</v>
      </c>
      <c r="L1806" s="20">
        <f>VLOOKUP(A1806,Metrik!$C$2:$Y$959,12,0)</f>
        <v>0.8</v>
      </c>
      <c r="M1806" s="20">
        <f>VLOOKUP(A1806,Metrik!$C$2:$Y$959,19,0)</f>
        <v>43</v>
      </c>
      <c r="N1806" s="21"/>
      <c r="O1806" s="21"/>
      <c r="P1806" s="21"/>
      <c r="Q1806" s="21"/>
      <c r="R1806" s="21"/>
      <c r="S1806" s="21"/>
      <c r="T1806" s="21"/>
      <c r="U1806" s="22">
        <f>IFERROR(__xludf.DUMMYFUNCTION("IFERROR(GOOGLEFINANCE(A1806,""closeyest""),"""")"),21750.0)</f>
        <v>21750</v>
      </c>
      <c r="V1806" s="23">
        <f>IFERROR(__xludf.DUMMYFUNCTION("IFERROR(GOOGLEFINANCE(A1806,""changepct""),"""")"),3.45)</f>
        <v>3.45</v>
      </c>
      <c r="W1806" s="22">
        <f>IFERROR(__xludf.DUMMYFUNCTION("IFERROR(GOOGLEFINANCE(A1806,""priceopen""),"""")"),21900.0)</f>
        <v>21900</v>
      </c>
      <c r="X1806" s="22">
        <f>IFERROR(__xludf.DUMMYFUNCTION("IFERROR(GOOGLEFINANCE(A1806,""high""),"""")"),22825.0)</f>
        <v>22825</v>
      </c>
      <c r="Y1806" s="22">
        <f>IFERROR(__xludf.DUMMYFUNCTION("IFERROR(GOOGLEFINANCE(A1806,""low""),"""")"),21900.0)</f>
        <v>21900</v>
      </c>
      <c r="Z1806" s="22">
        <f>IFERROR(__xludf.DUMMYFUNCTION("IFERROR(GOOGLEFINANCE(A1806,""volume""),"""")"),5608900.0)</f>
        <v>5608900</v>
      </c>
      <c r="AA1806" s="24" t="str">
        <f>VLOOKUP(A1806,Metrik!$C$2:$Y$959,5,0)</f>
        <v>Machinery</v>
      </c>
      <c r="AB1806" s="24" t="str">
        <f>VLOOKUP(A1806,Metrik!$C$2:$Y$959,3,0)</f>
        <v>Industrials</v>
      </c>
    </row>
    <row r="1807">
      <c r="A1807" s="14" t="s">
        <v>978</v>
      </c>
      <c r="B1807" s="14" t="str">
        <f t="array" ref="B1807">VLOOKUP(A1807,{Metrik!$C$2:$C$998,Metrik!$B$2:$B$998},2,0)</f>
        <v>United Tractors Tbk.</v>
      </c>
      <c r="C1807" s="15">
        <f>IFERROR(__xludf.DUMMYFUNCTION("GOOGLEFINANCE(""IDX:""&amp;A1807,""price"")"),22500.0)</f>
        <v>22500</v>
      </c>
      <c r="D1807" s="16" t="str">
        <f>IFERROR(__xludf.DUMMYFUNCTION("IF(A1807="""","""",
SPARKLINE(
INDEX(
GOOGLEFINANCE(""IDX:""&amp;A1807,""close"",TODAY()-365,TODAY()),
,2
),
{""linewidth"",1}
))
"),"#N/A")</f>
        <v>#N/A</v>
      </c>
      <c r="E1807" s="14" t="s">
        <v>39</v>
      </c>
      <c r="F1807" s="25">
        <v>46356.0</v>
      </c>
      <c r="G1807" s="18">
        <f t="shared" si="11"/>
        <v>20</v>
      </c>
      <c r="H1807" s="19">
        <f>VLOOKUP(A1807,Metrik!$C$2:$Y$959,8,0)</f>
        <v>7</v>
      </c>
      <c r="I1807" s="20">
        <f>VLOOKUP(A1807,Metrik!$C$2:$Y$959,9,0)</f>
        <v>0.84</v>
      </c>
      <c r="J1807" s="20">
        <f>VLOOKUP(A1807,Metrik!$C$2:$Y$959,10,0)</f>
        <v>12.1</v>
      </c>
      <c r="K1807" s="20">
        <f>VLOOKUP(A1807,Metrik!$C$2:$Y$959,11,0)</f>
        <v>6.7</v>
      </c>
      <c r="L1807" s="20">
        <f>VLOOKUP(A1807,Metrik!$C$2:$Y$959,12,0)</f>
        <v>0.8</v>
      </c>
      <c r="M1807" s="20">
        <f>VLOOKUP(A1807,Metrik!$C$2:$Y$959,19,0)</f>
        <v>43</v>
      </c>
      <c r="N1807" s="21"/>
      <c r="O1807" s="21"/>
      <c r="P1807" s="21"/>
      <c r="Q1807" s="21"/>
      <c r="R1807" s="21"/>
      <c r="S1807" s="21"/>
      <c r="T1807" s="21"/>
      <c r="U1807" s="22">
        <f>IFERROR(__xludf.DUMMYFUNCTION("IFERROR(GOOGLEFINANCE(A1807,""closeyest""),"""")"),21750.0)</f>
        <v>21750</v>
      </c>
      <c r="V1807" s="23">
        <f>IFERROR(__xludf.DUMMYFUNCTION("IFERROR(GOOGLEFINANCE(A1807,""changepct""),"""")"),3.45)</f>
        <v>3.45</v>
      </c>
      <c r="W1807" s="22">
        <f>IFERROR(__xludf.DUMMYFUNCTION("IFERROR(GOOGLEFINANCE(A1807,""priceopen""),"""")"),21900.0)</f>
        <v>21900</v>
      </c>
      <c r="X1807" s="22">
        <f>IFERROR(__xludf.DUMMYFUNCTION("IFERROR(GOOGLEFINANCE(A1807,""high""),"""")"),22825.0)</f>
        <v>22825</v>
      </c>
      <c r="Y1807" s="22">
        <f>IFERROR(__xludf.DUMMYFUNCTION("IFERROR(GOOGLEFINANCE(A1807,""low""),"""")"),21900.0)</f>
        <v>21900</v>
      </c>
      <c r="Z1807" s="22">
        <f>IFERROR(__xludf.DUMMYFUNCTION("IFERROR(GOOGLEFINANCE(A1807,""volume""),"""")"),5608900.0)</f>
        <v>5608900</v>
      </c>
      <c r="AA1807" s="24" t="str">
        <f>VLOOKUP(A1807,Metrik!$C$2:$Y$959,5,0)</f>
        <v>Machinery</v>
      </c>
      <c r="AB1807" s="24" t="str">
        <f>VLOOKUP(A1807,Metrik!$C$2:$Y$959,3,0)</f>
        <v>Industrials</v>
      </c>
    </row>
    <row r="1808">
      <c r="A1808" s="14" t="s">
        <v>979</v>
      </c>
      <c r="B1808" s="14" t="str">
        <f t="array" ref="B1808">VLOOKUP(A1808,{Metrik!$C$2:$C$998,Metrik!$B$2:$B$998},2,0)</f>
        <v>Unilever Indonesia Tbk.</v>
      </c>
      <c r="C1808" s="15">
        <f>IFERROR(__xludf.DUMMYFUNCTION("GOOGLEFINANCE(""IDX:""&amp;A1808,""price"")"),1665.0)</f>
        <v>1665</v>
      </c>
      <c r="D1808" s="16" t="str">
        <f>IFERROR(__xludf.DUMMYFUNCTION("IF(A1808="""","""",
SPARKLINE(
INDEX(
GOOGLEFINANCE(""IDX:""&amp;A1808,""close"",TODAY()-365,TODAY()),
,2
),
{""linewidth"",1}
))
"),"#N/A")</f>
        <v>#N/A</v>
      </c>
      <c r="E1808" s="14" t="s">
        <v>47</v>
      </c>
      <c r="F1808" s="25">
        <v>46356.0</v>
      </c>
      <c r="G1808" s="24">
        <f t="shared" si="11"/>
        <v>14</v>
      </c>
      <c r="H1808" s="19">
        <f>VLOOKUP(A1808,Metrik!$C$2:$Y$959,8,0)</f>
        <v>7.6</v>
      </c>
      <c r="I1808" s="20">
        <f>VLOOKUP(A1808,Metrik!$C$2:$Y$959,9,0)</f>
        <v>9.9</v>
      </c>
      <c r="J1808" s="20">
        <f>VLOOKUP(A1808,Metrik!$C$2:$Y$959,10,0)</f>
        <v>130</v>
      </c>
      <c r="K1808" s="20">
        <f>VLOOKUP(A1808,Metrik!$C$2:$Y$959,11,0)</f>
        <v>42.7</v>
      </c>
      <c r="L1808" s="20">
        <f>VLOOKUP(A1808,Metrik!$C$2:$Y$959,12,0)</f>
        <v>2.1</v>
      </c>
      <c r="M1808" s="20">
        <f>VLOOKUP(A1808,Metrik!$C$2:$Y$959,19,0)</f>
        <v>100</v>
      </c>
      <c r="N1808" s="21"/>
      <c r="O1808" s="21"/>
      <c r="P1808" s="21"/>
      <c r="Q1808" s="21"/>
      <c r="R1808" s="21"/>
      <c r="S1808" s="21"/>
      <c r="T1808" s="21"/>
      <c r="U1808" s="22">
        <f>IFERROR(__xludf.DUMMYFUNCTION("IFERROR(GOOGLEFINANCE(A1808,""closeyest""),"""")"),1635.0)</f>
        <v>1635</v>
      </c>
      <c r="V1808" s="23">
        <f>IFERROR(__xludf.DUMMYFUNCTION("IFERROR(GOOGLEFINANCE(A1808,""changepct""),"""")"),1.83)</f>
        <v>1.83</v>
      </c>
      <c r="W1808" s="22">
        <f>IFERROR(__xludf.DUMMYFUNCTION("IFERROR(GOOGLEFINANCE(A1808,""priceopen""),"""")"),1640.0)</f>
        <v>1640</v>
      </c>
      <c r="X1808" s="22">
        <f>IFERROR(__xludf.DUMMYFUNCTION("IFERROR(GOOGLEFINANCE(A1808,""high""),"""")"),1670.0)</f>
        <v>1670</v>
      </c>
      <c r="Y1808" s="22" t="str">
        <f>IFERROR(__xludf.DUMMYFUNCTION("IFERROR(GOOGLEFINANCE(A1808,""low""),"""")"),"")</f>
        <v/>
      </c>
      <c r="Z1808" s="22">
        <f>IFERROR(__xludf.DUMMYFUNCTION("IFERROR(GOOGLEFINANCE(A1808,""volume""),"""")"),2.83459E7)</f>
        <v>28345900</v>
      </c>
      <c r="AA1808" s="24" t="str">
        <f>VLOOKUP(A1808,Metrik!$C$2:$Y$959,5,0)</f>
        <v>Personal Care Products</v>
      </c>
      <c r="AB1808" s="24" t="str">
        <f>VLOOKUP(A1808,Metrik!$C$2:$Y$959,3,0)</f>
        <v>Consumer Non-Cyclicals</v>
      </c>
    </row>
    <row r="1809">
      <c r="A1809" s="14" t="s">
        <v>979</v>
      </c>
      <c r="B1809" s="14" t="str">
        <f t="array" ref="B1809">VLOOKUP(A1809,{Metrik!$C$2:$C$998,Metrik!$B$2:$B$998},2,0)</f>
        <v>Unilever Indonesia Tbk.</v>
      </c>
      <c r="C1809" s="15">
        <f>IFERROR(__xludf.DUMMYFUNCTION("GOOGLEFINANCE(""IDX:""&amp;A1809,""price"")"),1665.0)</f>
        <v>1665</v>
      </c>
      <c r="D1809" s="16" t="str">
        <f>IFERROR(__xludf.DUMMYFUNCTION("IF(A1809="""","""",
SPARKLINE(
INDEX(
GOOGLEFINANCE(""IDX:""&amp;A1809,""close"",TODAY()-365,TODAY()),
,2
),
{""linewidth"",1}
))
"),"#N/A")</f>
        <v>#N/A</v>
      </c>
      <c r="E1809" s="14" t="s">
        <v>42</v>
      </c>
      <c r="F1809" s="25">
        <v>46356.0</v>
      </c>
      <c r="G1809" s="24">
        <f t="shared" si="11"/>
        <v>14</v>
      </c>
      <c r="H1809" s="19">
        <f>VLOOKUP(A1809,Metrik!$C$2:$Y$959,8,0)</f>
        <v>7.6</v>
      </c>
      <c r="I1809" s="20">
        <f>VLOOKUP(A1809,Metrik!$C$2:$Y$959,9,0)</f>
        <v>9.9</v>
      </c>
      <c r="J1809" s="20">
        <f>VLOOKUP(A1809,Metrik!$C$2:$Y$959,10,0)</f>
        <v>130</v>
      </c>
      <c r="K1809" s="20">
        <f>VLOOKUP(A1809,Metrik!$C$2:$Y$959,11,0)</f>
        <v>42.7</v>
      </c>
      <c r="L1809" s="20">
        <f>VLOOKUP(A1809,Metrik!$C$2:$Y$959,12,0)</f>
        <v>2.1</v>
      </c>
      <c r="M1809" s="20">
        <f>VLOOKUP(A1809,Metrik!$C$2:$Y$959,19,0)</f>
        <v>100</v>
      </c>
      <c r="N1809" s="21"/>
      <c r="O1809" s="21"/>
      <c r="P1809" s="21"/>
      <c r="Q1809" s="21"/>
      <c r="R1809" s="21"/>
      <c r="S1809" s="21"/>
      <c r="T1809" s="21"/>
      <c r="U1809" s="22">
        <f>IFERROR(__xludf.DUMMYFUNCTION("IFERROR(GOOGLEFINANCE(A1809,""closeyest""),"""")"),1635.0)</f>
        <v>1635</v>
      </c>
      <c r="V1809" s="23">
        <f>IFERROR(__xludf.DUMMYFUNCTION("IFERROR(GOOGLEFINANCE(A1809,""changepct""),"""")"),1.83)</f>
        <v>1.83</v>
      </c>
      <c r="W1809" s="22">
        <f>IFERROR(__xludf.DUMMYFUNCTION("IFERROR(GOOGLEFINANCE(A1809,""priceopen""),"""")"),1640.0)</f>
        <v>1640</v>
      </c>
      <c r="X1809" s="22">
        <f>IFERROR(__xludf.DUMMYFUNCTION("IFERROR(GOOGLEFINANCE(A1809,""high""),"""")"),1670.0)</f>
        <v>1670</v>
      </c>
      <c r="Y1809" s="22" t="str">
        <f>IFERROR(__xludf.DUMMYFUNCTION("IFERROR(GOOGLEFINANCE(A1809,""low""),"""")"),"")</f>
        <v/>
      </c>
      <c r="Z1809" s="22">
        <f>IFERROR(__xludf.DUMMYFUNCTION("IFERROR(GOOGLEFINANCE(A1809,""volume""),"""")"),2.83459E7)</f>
        <v>28345900</v>
      </c>
      <c r="AA1809" s="24" t="str">
        <f>VLOOKUP(A1809,Metrik!$C$2:$Y$959,5,0)</f>
        <v>Personal Care Products</v>
      </c>
      <c r="AB1809" s="24" t="str">
        <f>VLOOKUP(A1809,Metrik!$C$2:$Y$959,3,0)</f>
        <v>Consumer Non-Cyclicals</v>
      </c>
    </row>
    <row r="1810">
      <c r="A1810" s="14" t="s">
        <v>979</v>
      </c>
      <c r="B1810" s="14" t="str">
        <f t="array" ref="B1810">VLOOKUP(A1810,{Metrik!$C$2:$C$998,Metrik!$B$2:$B$998},2,0)</f>
        <v>Unilever Indonesia Tbk.</v>
      </c>
      <c r="C1810" s="15">
        <f>IFERROR(__xludf.DUMMYFUNCTION("GOOGLEFINANCE(""IDX:""&amp;A1810,""price"")"),1665.0)</f>
        <v>1665</v>
      </c>
      <c r="D1810" s="16" t="str">
        <f>IFERROR(__xludf.DUMMYFUNCTION("IF(A1810="""","""",
SPARKLINE(
INDEX(
GOOGLEFINANCE(""IDX:""&amp;A1810,""close"",TODAY()-365,TODAY()),
,2
),
{""linewidth"",1}
))
"),"#N/A")</f>
        <v>#N/A</v>
      </c>
      <c r="E1810" s="14" t="s">
        <v>38</v>
      </c>
      <c r="F1810" s="25">
        <v>46356.0</v>
      </c>
      <c r="G1810" s="24">
        <f t="shared" si="11"/>
        <v>14</v>
      </c>
      <c r="H1810" s="19">
        <f>VLOOKUP(A1810,Metrik!$C$2:$Y$959,8,0)</f>
        <v>7.6</v>
      </c>
      <c r="I1810" s="20">
        <f>VLOOKUP(A1810,Metrik!$C$2:$Y$959,9,0)</f>
        <v>9.9</v>
      </c>
      <c r="J1810" s="20">
        <f>VLOOKUP(A1810,Metrik!$C$2:$Y$959,10,0)</f>
        <v>130</v>
      </c>
      <c r="K1810" s="20">
        <f>VLOOKUP(A1810,Metrik!$C$2:$Y$959,11,0)</f>
        <v>42.7</v>
      </c>
      <c r="L1810" s="20">
        <f>VLOOKUP(A1810,Metrik!$C$2:$Y$959,12,0)</f>
        <v>2.1</v>
      </c>
      <c r="M1810" s="20">
        <f>VLOOKUP(A1810,Metrik!$C$2:$Y$959,19,0)</f>
        <v>100</v>
      </c>
      <c r="N1810" s="21"/>
      <c r="O1810" s="21"/>
      <c r="P1810" s="21"/>
      <c r="Q1810" s="21"/>
      <c r="R1810" s="21"/>
      <c r="S1810" s="21"/>
      <c r="T1810" s="21"/>
      <c r="U1810" s="22">
        <f>IFERROR(__xludf.DUMMYFUNCTION("IFERROR(GOOGLEFINANCE(A1810,""closeyest""),"""")"),1635.0)</f>
        <v>1635</v>
      </c>
      <c r="V1810" s="23">
        <f>IFERROR(__xludf.DUMMYFUNCTION("IFERROR(GOOGLEFINANCE(A1810,""changepct""),"""")"),1.83)</f>
        <v>1.83</v>
      </c>
      <c r="W1810" s="22">
        <f>IFERROR(__xludf.DUMMYFUNCTION("IFERROR(GOOGLEFINANCE(A1810,""priceopen""),"""")"),1640.0)</f>
        <v>1640</v>
      </c>
      <c r="X1810" s="22">
        <f>IFERROR(__xludf.DUMMYFUNCTION("IFERROR(GOOGLEFINANCE(A1810,""high""),"""")"),1670.0)</f>
        <v>1670</v>
      </c>
      <c r="Y1810" s="22" t="str">
        <f>IFERROR(__xludf.DUMMYFUNCTION("IFERROR(GOOGLEFINANCE(A1810,""low""),"""")"),"")</f>
        <v/>
      </c>
      <c r="Z1810" s="22">
        <f>IFERROR(__xludf.DUMMYFUNCTION("IFERROR(GOOGLEFINANCE(A1810,""volume""),"""")"),2.83459E7)</f>
        <v>28345900</v>
      </c>
      <c r="AA1810" s="24" t="str">
        <f>VLOOKUP(A1810,Metrik!$C$2:$Y$959,5,0)</f>
        <v>Personal Care Products</v>
      </c>
      <c r="AB1810" s="24" t="str">
        <f>VLOOKUP(A1810,Metrik!$C$2:$Y$959,3,0)</f>
        <v>Consumer Non-Cyclicals</v>
      </c>
    </row>
    <row r="1811">
      <c r="A1811" s="14" t="s">
        <v>979</v>
      </c>
      <c r="B1811" s="14" t="str">
        <f t="array" ref="B1811">VLOOKUP(A1811,{Metrik!$C$2:$C$998,Metrik!$B$2:$B$998},2,0)</f>
        <v>Unilever Indonesia Tbk.</v>
      </c>
      <c r="C1811" s="15">
        <f>IFERROR(__xludf.DUMMYFUNCTION("GOOGLEFINANCE(""IDX:""&amp;A1811,""price"")"),1665.0)</f>
        <v>1665</v>
      </c>
      <c r="D1811" s="16" t="str">
        <f>IFERROR(__xludf.DUMMYFUNCTION("IF(A1811="""","""",
SPARKLINE(
INDEX(
GOOGLEFINANCE(""IDX:""&amp;A1811,""close"",TODAY()-365,TODAY()),
,2
),
{""linewidth"",1}
))
"),"#N/A")</f>
        <v>#N/A</v>
      </c>
      <c r="E1811" s="14" t="s">
        <v>55</v>
      </c>
      <c r="F1811" s="25">
        <v>46356.0</v>
      </c>
      <c r="G1811" s="24">
        <f t="shared" si="11"/>
        <v>14</v>
      </c>
      <c r="H1811" s="19">
        <f>VLOOKUP(A1811,Metrik!$C$2:$Y$959,8,0)</f>
        <v>7.6</v>
      </c>
      <c r="I1811" s="20">
        <f>VLOOKUP(A1811,Metrik!$C$2:$Y$959,9,0)</f>
        <v>9.9</v>
      </c>
      <c r="J1811" s="20">
        <f>VLOOKUP(A1811,Metrik!$C$2:$Y$959,10,0)</f>
        <v>130</v>
      </c>
      <c r="K1811" s="20">
        <f>VLOOKUP(A1811,Metrik!$C$2:$Y$959,11,0)</f>
        <v>42.7</v>
      </c>
      <c r="L1811" s="20">
        <f>VLOOKUP(A1811,Metrik!$C$2:$Y$959,12,0)</f>
        <v>2.1</v>
      </c>
      <c r="M1811" s="20">
        <f>VLOOKUP(A1811,Metrik!$C$2:$Y$959,19,0)</f>
        <v>100</v>
      </c>
      <c r="N1811" s="21"/>
      <c r="O1811" s="21"/>
      <c r="P1811" s="21"/>
      <c r="Q1811" s="21"/>
      <c r="R1811" s="21"/>
      <c r="S1811" s="21"/>
      <c r="T1811" s="21"/>
      <c r="U1811" s="22">
        <f>IFERROR(__xludf.DUMMYFUNCTION("IFERROR(GOOGLEFINANCE(A1811,""closeyest""),"""")"),1635.0)</f>
        <v>1635</v>
      </c>
      <c r="V1811" s="23">
        <f>IFERROR(__xludf.DUMMYFUNCTION("IFERROR(GOOGLEFINANCE(A1811,""changepct""),"""")"),1.83)</f>
        <v>1.83</v>
      </c>
      <c r="W1811" s="22">
        <f>IFERROR(__xludf.DUMMYFUNCTION("IFERROR(GOOGLEFINANCE(A1811,""priceopen""),"""")"),1640.0)</f>
        <v>1640</v>
      </c>
      <c r="X1811" s="22">
        <f>IFERROR(__xludf.DUMMYFUNCTION("IFERROR(GOOGLEFINANCE(A1811,""high""),"""")"),1670.0)</f>
        <v>1670</v>
      </c>
      <c r="Y1811" s="22" t="str">
        <f>IFERROR(__xludf.DUMMYFUNCTION("IFERROR(GOOGLEFINANCE(A1811,""low""),"""")"),"")</f>
        <v/>
      </c>
      <c r="Z1811" s="22">
        <f>IFERROR(__xludf.DUMMYFUNCTION("IFERROR(GOOGLEFINANCE(A1811,""volume""),"""")"),2.83459E7)</f>
        <v>28345900</v>
      </c>
      <c r="AA1811" s="24" t="str">
        <f>VLOOKUP(A1811,Metrik!$C$2:$Y$959,5,0)</f>
        <v>Personal Care Products</v>
      </c>
      <c r="AB1811" s="24" t="str">
        <f>VLOOKUP(A1811,Metrik!$C$2:$Y$959,3,0)</f>
        <v>Consumer Non-Cyclicals</v>
      </c>
    </row>
    <row r="1812">
      <c r="A1812" s="14" t="s">
        <v>979</v>
      </c>
      <c r="B1812" s="14" t="str">
        <f t="array" ref="B1812">VLOOKUP(A1812,{Metrik!$C$2:$C$998,Metrik!$B$2:$B$998},2,0)</f>
        <v>Unilever Indonesia Tbk.</v>
      </c>
      <c r="C1812" s="15">
        <f>IFERROR(__xludf.DUMMYFUNCTION("GOOGLEFINANCE(""IDX:""&amp;A1812,""price"")"),1665.0)</f>
        <v>1665</v>
      </c>
      <c r="D1812" s="16" t="str">
        <f>IFERROR(__xludf.DUMMYFUNCTION("IF(A1812="""","""",
SPARKLINE(
INDEX(
GOOGLEFINANCE(""IDX:""&amp;A1812,""close"",TODAY()-365,TODAY()),
,2
),
{""linewidth"",1}
))
"),"#N/A")</f>
        <v>#N/A</v>
      </c>
      <c r="E1812" s="14" t="s">
        <v>54</v>
      </c>
      <c r="F1812" s="14" t="s">
        <v>34</v>
      </c>
      <c r="G1812" s="24">
        <f t="shared" si="11"/>
        <v>14</v>
      </c>
      <c r="H1812" s="19">
        <f>VLOOKUP(A1812,Metrik!$C$2:$Y$959,8,0)</f>
        <v>7.6</v>
      </c>
      <c r="I1812" s="20">
        <f>VLOOKUP(A1812,Metrik!$C$2:$Y$959,9,0)</f>
        <v>9.9</v>
      </c>
      <c r="J1812" s="20">
        <f>VLOOKUP(A1812,Metrik!$C$2:$Y$959,10,0)</f>
        <v>130</v>
      </c>
      <c r="K1812" s="20">
        <f>VLOOKUP(A1812,Metrik!$C$2:$Y$959,11,0)</f>
        <v>42.7</v>
      </c>
      <c r="L1812" s="20">
        <f>VLOOKUP(A1812,Metrik!$C$2:$Y$959,12,0)</f>
        <v>2.1</v>
      </c>
      <c r="M1812" s="20">
        <f>VLOOKUP(A1812,Metrik!$C$2:$Y$959,19,0)</f>
        <v>100</v>
      </c>
      <c r="N1812" s="21"/>
      <c r="O1812" s="21"/>
      <c r="P1812" s="21"/>
      <c r="Q1812" s="21"/>
      <c r="R1812" s="21"/>
      <c r="S1812" s="21"/>
      <c r="T1812" s="21"/>
      <c r="U1812" s="22">
        <f>IFERROR(__xludf.DUMMYFUNCTION("IFERROR(GOOGLEFINANCE(A1812,""closeyest""),"""")"),1635.0)</f>
        <v>1635</v>
      </c>
      <c r="V1812" s="23">
        <f>IFERROR(__xludf.DUMMYFUNCTION("IFERROR(GOOGLEFINANCE(A1812,""changepct""),"""")"),1.83)</f>
        <v>1.83</v>
      </c>
      <c r="W1812" s="22">
        <f>IFERROR(__xludf.DUMMYFUNCTION("IFERROR(GOOGLEFINANCE(A1812,""priceopen""),"""")"),1640.0)</f>
        <v>1640</v>
      </c>
      <c r="X1812" s="22">
        <f>IFERROR(__xludf.DUMMYFUNCTION("IFERROR(GOOGLEFINANCE(A1812,""high""),"""")"),1670.0)</f>
        <v>1670</v>
      </c>
      <c r="Y1812" s="22" t="str">
        <f>IFERROR(__xludf.DUMMYFUNCTION("IFERROR(GOOGLEFINANCE(A1812,""low""),"""")"),"")</f>
        <v/>
      </c>
      <c r="Z1812" s="22">
        <f>IFERROR(__xludf.DUMMYFUNCTION("IFERROR(GOOGLEFINANCE(A1812,""volume""),"""")"),2.83459E7)</f>
        <v>28345900</v>
      </c>
      <c r="AA1812" s="24" t="str">
        <f>VLOOKUP(A1812,Metrik!$C$2:$Y$959,5,0)</f>
        <v>Personal Care Products</v>
      </c>
      <c r="AB1812" s="24" t="str">
        <f>VLOOKUP(A1812,Metrik!$C$2:$Y$959,3,0)</f>
        <v>Consumer Non-Cyclicals</v>
      </c>
    </row>
    <row r="1813">
      <c r="A1813" s="14" t="s">
        <v>979</v>
      </c>
      <c r="B1813" s="14" t="str">
        <f t="array" ref="B1813">VLOOKUP(A1813,{Metrik!$C$2:$C$998,Metrik!$B$2:$B$998},2,0)</f>
        <v>Unilever Indonesia Tbk.</v>
      </c>
      <c r="C1813" s="15">
        <f>IFERROR(__xludf.DUMMYFUNCTION("GOOGLEFINANCE(""IDX:""&amp;A1813,""price"")"),1665.0)</f>
        <v>1665</v>
      </c>
      <c r="D1813" s="16" t="str">
        <f>IFERROR(__xludf.DUMMYFUNCTION("IF(A1813="""","""",
SPARKLINE(
INDEX(
GOOGLEFINANCE(""IDX:""&amp;A1813,""close"",TODAY()-365,TODAY()),
,2
),
{""linewidth"",1}
))
"),"#N/A")</f>
        <v>#N/A</v>
      </c>
      <c r="E1813" s="14" t="s">
        <v>48</v>
      </c>
      <c r="F1813" s="14" t="s">
        <v>49</v>
      </c>
      <c r="G1813" s="24">
        <f t="shared" si="11"/>
        <v>14</v>
      </c>
      <c r="H1813" s="19">
        <f>VLOOKUP(A1813,Metrik!$C$2:$Y$959,8,0)</f>
        <v>7.6</v>
      </c>
      <c r="I1813" s="20">
        <f>VLOOKUP(A1813,Metrik!$C$2:$Y$959,9,0)</f>
        <v>9.9</v>
      </c>
      <c r="J1813" s="20">
        <f>VLOOKUP(A1813,Metrik!$C$2:$Y$959,10,0)</f>
        <v>130</v>
      </c>
      <c r="K1813" s="20">
        <f>VLOOKUP(A1813,Metrik!$C$2:$Y$959,11,0)</f>
        <v>42.7</v>
      </c>
      <c r="L1813" s="20">
        <f>VLOOKUP(A1813,Metrik!$C$2:$Y$959,12,0)</f>
        <v>2.1</v>
      </c>
      <c r="M1813" s="20">
        <f>VLOOKUP(A1813,Metrik!$C$2:$Y$959,19,0)</f>
        <v>100</v>
      </c>
      <c r="N1813" s="21"/>
      <c r="O1813" s="21"/>
      <c r="P1813" s="21"/>
      <c r="Q1813" s="21"/>
      <c r="R1813" s="21"/>
      <c r="S1813" s="21"/>
      <c r="T1813" s="21"/>
      <c r="U1813" s="22">
        <f>IFERROR(__xludf.DUMMYFUNCTION("IFERROR(GOOGLEFINANCE(A1813,""closeyest""),"""")"),1635.0)</f>
        <v>1635</v>
      </c>
      <c r="V1813" s="23">
        <f>IFERROR(__xludf.DUMMYFUNCTION("IFERROR(GOOGLEFINANCE(A1813,""changepct""),"""")"),1.83)</f>
        <v>1.83</v>
      </c>
      <c r="W1813" s="22">
        <f>IFERROR(__xludf.DUMMYFUNCTION("IFERROR(GOOGLEFINANCE(A1813,""priceopen""),"""")"),1640.0)</f>
        <v>1640</v>
      </c>
      <c r="X1813" s="22">
        <f>IFERROR(__xludf.DUMMYFUNCTION("IFERROR(GOOGLEFINANCE(A1813,""high""),"""")"),1670.0)</f>
        <v>1670</v>
      </c>
      <c r="Y1813" s="22" t="str">
        <f>IFERROR(__xludf.DUMMYFUNCTION("IFERROR(GOOGLEFINANCE(A1813,""low""),"""")"),"")</f>
        <v/>
      </c>
      <c r="Z1813" s="22">
        <f>IFERROR(__xludf.DUMMYFUNCTION("IFERROR(GOOGLEFINANCE(A1813,""volume""),"""")"),2.83459E7)</f>
        <v>28345900</v>
      </c>
      <c r="AA1813" s="24" t="str">
        <f>VLOOKUP(A1813,Metrik!$C$2:$Y$959,5,0)</f>
        <v>Personal Care Products</v>
      </c>
      <c r="AB1813" s="24" t="str">
        <f>VLOOKUP(A1813,Metrik!$C$2:$Y$959,3,0)</f>
        <v>Consumer Non-Cyclicals</v>
      </c>
    </row>
    <row r="1814">
      <c r="A1814" s="14" t="s">
        <v>979</v>
      </c>
      <c r="B1814" s="14" t="str">
        <f t="array" ref="B1814">VLOOKUP(A1814,{Metrik!$C$2:$C$998,Metrik!$B$2:$B$998},2,0)</f>
        <v>Unilever Indonesia Tbk.</v>
      </c>
      <c r="C1814" s="15">
        <f>IFERROR(__xludf.DUMMYFUNCTION("GOOGLEFINANCE(""IDX:""&amp;A1814,""price"")"),1665.0)</f>
        <v>1665</v>
      </c>
      <c r="D1814" s="16" t="str">
        <f>IFERROR(__xludf.DUMMYFUNCTION("IF(A1814="""","""",
SPARKLINE(
INDEX(
GOOGLEFINANCE(""IDX:""&amp;A1814,""close"",TODAY()-365,TODAY()),
,2
),
{""linewidth"",1}
))
"),"#N/A")</f>
        <v>#N/A</v>
      </c>
      <c r="E1814" s="14" t="s">
        <v>32</v>
      </c>
      <c r="F1814" s="14" t="s">
        <v>29</v>
      </c>
      <c r="G1814" s="24">
        <f t="shared" si="11"/>
        <v>14</v>
      </c>
      <c r="H1814" s="19">
        <f>VLOOKUP(A1814,Metrik!$C$2:$Y$959,8,0)</f>
        <v>7.6</v>
      </c>
      <c r="I1814" s="20">
        <f>VLOOKUP(A1814,Metrik!$C$2:$Y$959,9,0)</f>
        <v>9.9</v>
      </c>
      <c r="J1814" s="20">
        <f>VLOOKUP(A1814,Metrik!$C$2:$Y$959,10,0)</f>
        <v>130</v>
      </c>
      <c r="K1814" s="20">
        <f>VLOOKUP(A1814,Metrik!$C$2:$Y$959,11,0)</f>
        <v>42.7</v>
      </c>
      <c r="L1814" s="20">
        <f>VLOOKUP(A1814,Metrik!$C$2:$Y$959,12,0)</f>
        <v>2.1</v>
      </c>
      <c r="M1814" s="20">
        <f>VLOOKUP(A1814,Metrik!$C$2:$Y$959,19,0)</f>
        <v>100</v>
      </c>
      <c r="N1814" s="21"/>
      <c r="O1814" s="21"/>
      <c r="P1814" s="21"/>
      <c r="Q1814" s="21"/>
      <c r="R1814" s="21"/>
      <c r="S1814" s="21"/>
      <c r="T1814" s="21"/>
      <c r="U1814" s="22">
        <f>IFERROR(__xludf.DUMMYFUNCTION("IFERROR(GOOGLEFINANCE(A1814,""closeyest""),"""")"),1635.0)</f>
        <v>1635</v>
      </c>
      <c r="V1814" s="23">
        <f>IFERROR(__xludf.DUMMYFUNCTION("IFERROR(GOOGLEFINANCE(A1814,""changepct""),"""")"),1.83)</f>
        <v>1.83</v>
      </c>
      <c r="W1814" s="22">
        <f>IFERROR(__xludf.DUMMYFUNCTION("IFERROR(GOOGLEFINANCE(A1814,""priceopen""),"""")"),1640.0)</f>
        <v>1640</v>
      </c>
      <c r="X1814" s="22">
        <f>IFERROR(__xludf.DUMMYFUNCTION("IFERROR(GOOGLEFINANCE(A1814,""high""),"""")"),1670.0)</f>
        <v>1670</v>
      </c>
      <c r="Y1814" s="22" t="str">
        <f>IFERROR(__xludf.DUMMYFUNCTION("IFERROR(GOOGLEFINANCE(A1814,""low""),"""")"),"")</f>
        <v/>
      </c>
      <c r="Z1814" s="22">
        <f>IFERROR(__xludf.DUMMYFUNCTION("IFERROR(GOOGLEFINANCE(A1814,""volume""),"""")"),2.83459E7)</f>
        <v>28345900</v>
      </c>
      <c r="AA1814" s="24" t="str">
        <f>VLOOKUP(A1814,Metrik!$C$2:$Y$959,5,0)</f>
        <v>Personal Care Products</v>
      </c>
      <c r="AB1814" s="24" t="str">
        <f>VLOOKUP(A1814,Metrik!$C$2:$Y$959,3,0)</f>
        <v>Consumer Non-Cyclicals</v>
      </c>
    </row>
    <row r="1815">
      <c r="A1815" s="14" t="s">
        <v>979</v>
      </c>
      <c r="B1815" s="14" t="str">
        <f t="array" ref="B1815">VLOOKUP(A1815,{Metrik!$C$2:$C$998,Metrik!$B$2:$B$998},2,0)</f>
        <v>Unilever Indonesia Tbk.</v>
      </c>
      <c r="C1815" s="15">
        <f>IFERROR(__xludf.DUMMYFUNCTION("GOOGLEFINANCE(""IDX:""&amp;A1815,""price"")"),1665.0)</f>
        <v>1665</v>
      </c>
      <c r="D1815" s="16" t="str">
        <f>IFERROR(__xludf.DUMMYFUNCTION("IF(A1815="""","""",
SPARKLINE(
INDEX(
GOOGLEFINANCE(""IDX:""&amp;A1815,""close"",TODAY()-365,TODAY()),
,2
),
{""linewidth"",1}
))
"),"#N/A")</f>
        <v>#N/A</v>
      </c>
      <c r="E1815" s="14" t="s">
        <v>30</v>
      </c>
      <c r="F1815" s="17" t="s">
        <v>29</v>
      </c>
      <c r="G1815" s="24">
        <f t="shared" si="11"/>
        <v>14</v>
      </c>
      <c r="H1815" s="19">
        <f>VLOOKUP(A1815,Metrik!$C$2:$Y$959,8,0)</f>
        <v>7.6</v>
      </c>
      <c r="I1815" s="20">
        <f>VLOOKUP(A1815,Metrik!$C$2:$Y$959,9,0)</f>
        <v>9.9</v>
      </c>
      <c r="J1815" s="20">
        <f>VLOOKUP(A1815,Metrik!$C$2:$Y$959,10,0)</f>
        <v>130</v>
      </c>
      <c r="K1815" s="20">
        <f>VLOOKUP(A1815,Metrik!$C$2:$Y$959,11,0)</f>
        <v>42.7</v>
      </c>
      <c r="L1815" s="20">
        <f>VLOOKUP(A1815,Metrik!$C$2:$Y$959,12,0)</f>
        <v>2.1</v>
      </c>
      <c r="M1815" s="20">
        <f>VLOOKUP(A1815,Metrik!$C$2:$Y$959,19,0)</f>
        <v>100</v>
      </c>
      <c r="N1815" s="21"/>
      <c r="O1815" s="21"/>
      <c r="P1815" s="21"/>
      <c r="Q1815" s="21"/>
      <c r="R1815" s="21"/>
      <c r="S1815" s="21"/>
      <c r="T1815" s="21"/>
      <c r="U1815" s="22">
        <f>IFERROR(__xludf.DUMMYFUNCTION("IFERROR(GOOGLEFINANCE(A1815,""closeyest""),"""")"),1635.0)</f>
        <v>1635</v>
      </c>
      <c r="V1815" s="23">
        <f>IFERROR(__xludf.DUMMYFUNCTION("IFERROR(GOOGLEFINANCE(A1815,""changepct""),"""")"),1.83)</f>
        <v>1.83</v>
      </c>
      <c r="W1815" s="22">
        <f>IFERROR(__xludf.DUMMYFUNCTION("IFERROR(GOOGLEFINANCE(A1815,""priceopen""),"""")"),1640.0)</f>
        <v>1640</v>
      </c>
      <c r="X1815" s="22">
        <f>IFERROR(__xludf.DUMMYFUNCTION("IFERROR(GOOGLEFINANCE(A1815,""high""),"""")"),1670.0)</f>
        <v>1670</v>
      </c>
      <c r="Y1815" s="22" t="str">
        <f>IFERROR(__xludf.DUMMYFUNCTION("IFERROR(GOOGLEFINANCE(A1815,""low""),"""")"),"")</f>
        <v/>
      </c>
      <c r="Z1815" s="22">
        <f>IFERROR(__xludf.DUMMYFUNCTION("IFERROR(GOOGLEFINANCE(A1815,""volume""),"""")"),2.83459E7)</f>
        <v>28345900</v>
      </c>
      <c r="AA1815" s="24" t="str">
        <f>VLOOKUP(A1815,Metrik!$C$2:$Y$959,5,0)</f>
        <v>Personal Care Products</v>
      </c>
      <c r="AB1815" s="24" t="str">
        <f>VLOOKUP(A1815,Metrik!$C$2:$Y$959,3,0)</f>
        <v>Consumer Non-Cyclicals</v>
      </c>
    </row>
    <row r="1816">
      <c r="A1816" s="14" t="s">
        <v>979</v>
      </c>
      <c r="B1816" s="14" t="str">
        <f t="array" ref="B1816">VLOOKUP(A1816,{Metrik!$C$2:$C$998,Metrik!$B$2:$B$998},2,0)</f>
        <v>Unilever Indonesia Tbk.</v>
      </c>
      <c r="C1816" s="15">
        <f>IFERROR(__xludf.DUMMYFUNCTION("GOOGLEFINANCE(""IDX:""&amp;A1816,""price"")"),1665.0)</f>
        <v>1665</v>
      </c>
      <c r="D1816" s="16" t="str">
        <f>IFERROR(__xludf.DUMMYFUNCTION("IF(A1816="""","""",
SPARKLINE(
INDEX(
GOOGLEFINANCE(""IDX:""&amp;A1816,""close"",TODAY()-365,TODAY()),
,2
),
{""linewidth"",1}
))
"),"#N/A")</f>
        <v>#N/A</v>
      </c>
      <c r="E1816" s="14" t="s">
        <v>28</v>
      </c>
      <c r="F1816" s="17" t="s">
        <v>29</v>
      </c>
      <c r="G1816" s="24">
        <f t="shared" si="11"/>
        <v>14</v>
      </c>
      <c r="H1816" s="19">
        <f>VLOOKUP(A1816,Metrik!$C$2:$Y$959,8,0)</f>
        <v>7.6</v>
      </c>
      <c r="I1816" s="20">
        <f>VLOOKUP(A1816,Metrik!$C$2:$Y$959,9,0)</f>
        <v>9.9</v>
      </c>
      <c r="J1816" s="20">
        <f>VLOOKUP(A1816,Metrik!$C$2:$Y$959,10,0)</f>
        <v>130</v>
      </c>
      <c r="K1816" s="20">
        <f>VLOOKUP(A1816,Metrik!$C$2:$Y$959,11,0)</f>
        <v>42.7</v>
      </c>
      <c r="L1816" s="20">
        <f>VLOOKUP(A1816,Metrik!$C$2:$Y$959,12,0)</f>
        <v>2.1</v>
      </c>
      <c r="M1816" s="20">
        <f>VLOOKUP(A1816,Metrik!$C$2:$Y$959,19,0)</f>
        <v>100</v>
      </c>
      <c r="N1816" s="21"/>
      <c r="O1816" s="21"/>
      <c r="P1816" s="21"/>
      <c r="Q1816" s="21"/>
      <c r="R1816" s="21"/>
      <c r="S1816" s="21"/>
      <c r="T1816" s="21"/>
      <c r="U1816" s="22">
        <f>IFERROR(__xludf.DUMMYFUNCTION("IFERROR(GOOGLEFINANCE(A1816,""closeyest""),"""")"),1635.0)</f>
        <v>1635</v>
      </c>
      <c r="V1816" s="23">
        <f>IFERROR(__xludf.DUMMYFUNCTION("IFERROR(GOOGLEFINANCE(A1816,""changepct""),"""")"),1.83)</f>
        <v>1.83</v>
      </c>
      <c r="W1816" s="22">
        <f>IFERROR(__xludf.DUMMYFUNCTION("IFERROR(GOOGLEFINANCE(A1816,""priceopen""),"""")"),1640.0)</f>
        <v>1640</v>
      </c>
      <c r="X1816" s="22">
        <f>IFERROR(__xludf.DUMMYFUNCTION("IFERROR(GOOGLEFINANCE(A1816,""high""),"""")"),1670.0)</f>
        <v>1670</v>
      </c>
      <c r="Y1816" s="22" t="str">
        <f>IFERROR(__xludf.DUMMYFUNCTION("IFERROR(GOOGLEFINANCE(A1816,""low""),"""")"),"")</f>
        <v/>
      </c>
      <c r="Z1816" s="22">
        <f>IFERROR(__xludf.DUMMYFUNCTION("IFERROR(GOOGLEFINANCE(A1816,""volume""),"""")"),2.83459E7)</f>
        <v>28345900</v>
      </c>
      <c r="AA1816" s="24" t="str">
        <f>VLOOKUP(A1816,Metrik!$C$2:$Y$959,5,0)</f>
        <v>Personal Care Products</v>
      </c>
      <c r="AB1816" s="24" t="str">
        <f>VLOOKUP(A1816,Metrik!$C$2:$Y$959,3,0)</f>
        <v>Consumer Non-Cyclicals</v>
      </c>
    </row>
    <row r="1817">
      <c r="A1817" s="14" t="s">
        <v>979</v>
      </c>
      <c r="B1817" s="14" t="str">
        <f t="array" ref="B1817">VLOOKUP(A1817,{Metrik!$C$2:$C$998,Metrik!$B$2:$B$998},2,0)</f>
        <v>Unilever Indonesia Tbk.</v>
      </c>
      <c r="C1817" s="15">
        <f>IFERROR(__xludf.DUMMYFUNCTION("GOOGLEFINANCE(""IDX:""&amp;A1817,""price"")"),1665.0)</f>
        <v>1665</v>
      </c>
      <c r="D1817" s="16" t="str">
        <f>IFERROR(__xludf.DUMMYFUNCTION("IF(A1817="""","""",
SPARKLINE(
INDEX(
GOOGLEFINANCE(""IDX:""&amp;A1817,""close"",TODAY()-365,TODAY()),
,2
),
{""linewidth"",1}
))
"),"#N/A")</f>
        <v>#N/A</v>
      </c>
      <c r="E1817" s="14" t="s">
        <v>31</v>
      </c>
      <c r="F1817" s="17" t="s">
        <v>29</v>
      </c>
      <c r="G1817" s="24">
        <f t="shared" si="11"/>
        <v>14</v>
      </c>
      <c r="H1817" s="19">
        <f>VLOOKUP(A1817,Metrik!$C$2:$Y$959,8,0)</f>
        <v>7.6</v>
      </c>
      <c r="I1817" s="20">
        <f>VLOOKUP(A1817,Metrik!$C$2:$Y$959,9,0)</f>
        <v>9.9</v>
      </c>
      <c r="J1817" s="20">
        <f>VLOOKUP(A1817,Metrik!$C$2:$Y$959,10,0)</f>
        <v>130</v>
      </c>
      <c r="K1817" s="20">
        <f>VLOOKUP(A1817,Metrik!$C$2:$Y$959,11,0)</f>
        <v>42.7</v>
      </c>
      <c r="L1817" s="20">
        <f>VLOOKUP(A1817,Metrik!$C$2:$Y$959,12,0)</f>
        <v>2.1</v>
      </c>
      <c r="M1817" s="20">
        <f>VLOOKUP(A1817,Metrik!$C$2:$Y$959,19,0)</f>
        <v>100</v>
      </c>
      <c r="N1817" s="21"/>
      <c r="O1817" s="21"/>
      <c r="P1817" s="21"/>
      <c r="Q1817" s="21"/>
      <c r="R1817" s="21"/>
      <c r="S1817" s="21"/>
      <c r="T1817" s="21"/>
      <c r="U1817" s="22">
        <f>IFERROR(__xludf.DUMMYFUNCTION("IFERROR(GOOGLEFINANCE(A1817,""closeyest""),"""")"),1635.0)</f>
        <v>1635</v>
      </c>
      <c r="V1817" s="23">
        <f>IFERROR(__xludf.DUMMYFUNCTION("IFERROR(GOOGLEFINANCE(A1817,""changepct""),"""")"),1.83)</f>
        <v>1.83</v>
      </c>
      <c r="W1817" s="22">
        <f>IFERROR(__xludf.DUMMYFUNCTION("IFERROR(GOOGLEFINANCE(A1817,""priceopen""),"""")"),1640.0)</f>
        <v>1640</v>
      </c>
      <c r="X1817" s="22">
        <f>IFERROR(__xludf.DUMMYFUNCTION("IFERROR(GOOGLEFINANCE(A1817,""high""),"""")"),1670.0)</f>
        <v>1670</v>
      </c>
      <c r="Y1817" s="22" t="str">
        <f>IFERROR(__xludf.DUMMYFUNCTION("IFERROR(GOOGLEFINANCE(A1817,""low""),"""")"),"")</f>
        <v/>
      </c>
      <c r="Z1817" s="22">
        <f>IFERROR(__xludf.DUMMYFUNCTION("IFERROR(GOOGLEFINANCE(A1817,""volume""),"""")"),2.83459E7)</f>
        <v>28345900</v>
      </c>
      <c r="AA1817" s="24" t="str">
        <f>VLOOKUP(A1817,Metrik!$C$2:$Y$959,5,0)</f>
        <v>Personal Care Products</v>
      </c>
      <c r="AB1817" s="24" t="str">
        <f>VLOOKUP(A1817,Metrik!$C$2:$Y$959,3,0)</f>
        <v>Consumer Non-Cyclicals</v>
      </c>
    </row>
    <row r="1818">
      <c r="A1818" s="14" t="s">
        <v>979</v>
      </c>
      <c r="B1818" s="14" t="str">
        <f t="array" ref="B1818">VLOOKUP(A1818,{Metrik!$C$2:$C$998,Metrik!$B$2:$B$998},2,0)</f>
        <v>Unilever Indonesia Tbk.</v>
      </c>
      <c r="C1818" s="15">
        <f>IFERROR(__xludf.DUMMYFUNCTION("GOOGLEFINANCE(""IDX:""&amp;A1818,""price"")"),1665.0)</f>
        <v>1665</v>
      </c>
      <c r="D1818" s="16" t="str">
        <f>IFERROR(__xludf.DUMMYFUNCTION("IF(A1818="""","""",
SPARKLINE(
INDEX(
GOOGLEFINANCE(""IDX:""&amp;A1818,""close"",TODAY()-365,TODAY()),
,2
),
{""linewidth"",1}
))
"),"#N/A")</f>
        <v>#N/A</v>
      </c>
      <c r="E1818" s="14" t="s">
        <v>50</v>
      </c>
      <c r="F1818" s="17" t="s">
        <v>51</v>
      </c>
      <c r="G1818" s="24">
        <f t="shared" si="11"/>
        <v>14</v>
      </c>
      <c r="H1818" s="19">
        <f>VLOOKUP(A1818,Metrik!$C$2:$Y$959,8,0)</f>
        <v>7.6</v>
      </c>
      <c r="I1818" s="20">
        <f>VLOOKUP(A1818,Metrik!$C$2:$Y$959,9,0)</f>
        <v>9.9</v>
      </c>
      <c r="J1818" s="20">
        <f>VLOOKUP(A1818,Metrik!$C$2:$Y$959,10,0)</f>
        <v>130</v>
      </c>
      <c r="K1818" s="20">
        <f>VLOOKUP(A1818,Metrik!$C$2:$Y$959,11,0)</f>
        <v>42.7</v>
      </c>
      <c r="L1818" s="20">
        <f>VLOOKUP(A1818,Metrik!$C$2:$Y$959,12,0)</f>
        <v>2.1</v>
      </c>
      <c r="M1818" s="20">
        <f>VLOOKUP(A1818,Metrik!$C$2:$Y$959,19,0)</f>
        <v>100</v>
      </c>
      <c r="N1818" s="21"/>
      <c r="O1818" s="21"/>
      <c r="P1818" s="21"/>
      <c r="Q1818" s="21"/>
      <c r="R1818" s="21"/>
      <c r="S1818" s="21"/>
      <c r="T1818" s="21"/>
      <c r="U1818" s="22">
        <f>IFERROR(__xludf.DUMMYFUNCTION("IFERROR(GOOGLEFINANCE(A1818,""closeyest""),"""")"),1635.0)</f>
        <v>1635</v>
      </c>
      <c r="V1818" s="23">
        <f>IFERROR(__xludf.DUMMYFUNCTION("IFERROR(GOOGLEFINANCE(A1818,""changepct""),"""")"),1.83)</f>
        <v>1.83</v>
      </c>
      <c r="W1818" s="22">
        <f>IFERROR(__xludf.DUMMYFUNCTION("IFERROR(GOOGLEFINANCE(A1818,""priceopen""),"""")"),1640.0)</f>
        <v>1640</v>
      </c>
      <c r="X1818" s="22">
        <f>IFERROR(__xludf.DUMMYFUNCTION("IFERROR(GOOGLEFINANCE(A1818,""high""),"""")"),1670.0)</f>
        <v>1670</v>
      </c>
      <c r="Y1818" s="22" t="str">
        <f>IFERROR(__xludf.DUMMYFUNCTION("IFERROR(GOOGLEFINANCE(A1818,""low""),"""")"),"")</f>
        <v/>
      </c>
      <c r="Z1818" s="22">
        <f>IFERROR(__xludf.DUMMYFUNCTION("IFERROR(GOOGLEFINANCE(A1818,""volume""),"""")"),2.83459E7)</f>
        <v>28345900</v>
      </c>
      <c r="AA1818" s="24" t="str">
        <f>VLOOKUP(A1818,Metrik!$C$2:$Y$959,5,0)</f>
        <v>Personal Care Products</v>
      </c>
      <c r="AB1818" s="24" t="str">
        <f>VLOOKUP(A1818,Metrik!$C$2:$Y$959,3,0)</f>
        <v>Consumer Non-Cyclicals</v>
      </c>
    </row>
    <row r="1819">
      <c r="A1819" s="48" t="s">
        <v>979</v>
      </c>
      <c r="B1819" s="14" t="str">
        <f t="array" ref="B1819">VLOOKUP(A1819,{Metrik!$C$2:$C$998,Metrik!$B$2:$B$998},2,0)</f>
        <v>Unilever Indonesia Tbk.</v>
      </c>
      <c r="C1819" s="15">
        <f>IFERROR(__xludf.DUMMYFUNCTION("GOOGLEFINANCE(""IDX:""&amp;A1819,""price"")"),1665.0)</f>
        <v>1665</v>
      </c>
      <c r="D1819" s="16" t="str">
        <f>IFERROR(__xludf.DUMMYFUNCTION("IF(A1819="""","""",
SPARKLINE(
INDEX(
GOOGLEFINANCE(""IDX:""&amp;A1819,""close"",TODAY()-365,TODAY()),
,2
),
{""linewidth"",1}
))
"),"#N/A")</f>
        <v>#N/A</v>
      </c>
      <c r="E1819" s="17" t="s">
        <v>69</v>
      </c>
      <c r="F1819" s="17" t="s">
        <v>70</v>
      </c>
      <c r="G1819" s="24">
        <f t="shared" si="11"/>
        <v>14</v>
      </c>
      <c r="H1819" s="19">
        <f>VLOOKUP(A1819,Metrik!$C$2:$Y$959,8,0)</f>
        <v>7.6</v>
      </c>
      <c r="I1819" s="20">
        <f>VLOOKUP(A1819,Metrik!$C$2:$Y$959,9,0)</f>
        <v>9.9</v>
      </c>
      <c r="J1819" s="20">
        <f>VLOOKUP(A1819,Metrik!$C$2:$Y$959,10,0)</f>
        <v>130</v>
      </c>
      <c r="K1819" s="20">
        <f>VLOOKUP(A1819,Metrik!$C$2:$Y$959,11,0)</f>
        <v>42.7</v>
      </c>
      <c r="L1819" s="20">
        <f>VLOOKUP(A1819,Metrik!$C$2:$Y$959,12,0)</f>
        <v>2.1</v>
      </c>
      <c r="M1819" s="20">
        <f>VLOOKUP(A1819,Metrik!$C$2:$Y$959,19,0)</f>
        <v>100</v>
      </c>
      <c r="N1819" s="21"/>
      <c r="O1819" s="21"/>
      <c r="P1819" s="21"/>
      <c r="Q1819" s="21"/>
      <c r="R1819" s="21"/>
      <c r="S1819" s="21"/>
      <c r="T1819" s="21"/>
      <c r="U1819" s="22">
        <f>IFERROR(__xludf.DUMMYFUNCTION("IFERROR(GOOGLEFINANCE(A1819,""closeyest""),"""")"),1635.0)</f>
        <v>1635</v>
      </c>
      <c r="V1819" s="23">
        <f>IFERROR(__xludf.DUMMYFUNCTION("IFERROR(GOOGLEFINANCE(A1819,""changepct""),"""")"),1.83)</f>
        <v>1.83</v>
      </c>
      <c r="W1819" s="22">
        <f>IFERROR(__xludf.DUMMYFUNCTION("IFERROR(GOOGLEFINANCE(A1819,""priceopen""),"""")"),1640.0)</f>
        <v>1640</v>
      </c>
      <c r="X1819" s="22">
        <f>IFERROR(__xludf.DUMMYFUNCTION("IFERROR(GOOGLEFINANCE(A1819,""high""),"""")"),1670.0)</f>
        <v>1670</v>
      </c>
      <c r="Y1819" s="22" t="str">
        <f>IFERROR(__xludf.DUMMYFUNCTION("IFERROR(GOOGLEFINANCE(A1819,""low""),"""")"),"")</f>
        <v/>
      </c>
      <c r="Z1819" s="22">
        <f>IFERROR(__xludf.DUMMYFUNCTION("IFERROR(GOOGLEFINANCE(A1819,""volume""),"""")"),2.83459E7)</f>
        <v>28345900</v>
      </c>
      <c r="AA1819" s="24" t="str">
        <f>VLOOKUP(A1819,Metrik!$C$2:$Y$959,5,0)</f>
        <v>Personal Care Products</v>
      </c>
      <c r="AB1819" s="24" t="str">
        <f>VLOOKUP(A1819,Metrik!$C$2:$Y$959,3,0)</f>
        <v>Consumer Non-Cyclicals</v>
      </c>
    </row>
    <row r="1820">
      <c r="A1820" s="14" t="s">
        <v>979</v>
      </c>
      <c r="B1820" s="14" t="str">
        <f t="array" ref="B1820">VLOOKUP(A1820,{Metrik!$C$2:$C$998,Metrik!$B$2:$B$998},2,0)</f>
        <v>Unilever Indonesia Tbk.</v>
      </c>
      <c r="C1820" s="15">
        <f>IFERROR(__xludf.DUMMYFUNCTION("GOOGLEFINANCE(""IDX:""&amp;A1820,""price"")"),1665.0)</f>
        <v>1665</v>
      </c>
      <c r="D1820" s="16" t="str">
        <f>IFERROR(__xludf.DUMMYFUNCTION("IF(A1820="""","""",
SPARKLINE(
INDEX(
GOOGLEFINANCE(""IDX:""&amp;A1820,""close"",TODAY()-365,TODAY()),
,2
),
{""linewidth"",1}
))
"),"#N/A")</f>
        <v>#N/A</v>
      </c>
      <c r="E1820" s="14" t="s">
        <v>86</v>
      </c>
      <c r="F1820" s="25">
        <v>46356.0</v>
      </c>
      <c r="G1820" s="24">
        <f t="shared" si="11"/>
        <v>14</v>
      </c>
      <c r="H1820" s="19">
        <f>VLOOKUP(A1820,Metrik!$C$2:$Y$959,8,0)</f>
        <v>7.6</v>
      </c>
      <c r="I1820" s="20">
        <f>VLOOKUP(A1820,Metrik!$C$2:$Y$959,9,0)</f>
        <v>9.9</v>
      </c>
      <c r="J1820" s="20">
        <f>VLOOKUP(A1820,Metrik!$C$2:$Y$959,10,0)</f>
        <v>130</v>
      </c>
      <c r="K1820" s="20">
        <f>VLOOKUP(A1820,Metrik!$C$2:$Y$959,11,0)</f>
        <v>42.7</v>
      </c>
      <c r="L1820" s="20">
        <f>VLOOKUP(A1820,Metrik!$C$2:$Y$959,12,0)</f>
        <v>2.1</v>
      </c>
      <c r="M1820" s="20">
        <f>VLOOKUP(A1820,Metrik!$C$2:$Y$959,19,0)</f>
        <v>100</v>
      </c>
      <c r="N1820" s="21"/>
      <c r="O1820" s="21"/>
      <c r="P1820" s="21"/>
      <c r="Q1820" s="21"/>
      <c r="R1820" s="21"/>
      <c r="S1820" s="21"/>
      <c r="T1820" s="21"/>
      <c r="U1820" s="22">
        <f>IFERROR(__xludf.DUMMYFUNCTION("IFERROR(GOOGLEFINANCE(A1820,""closeyest""),"""")"),1635.0)</f>
        <v>1635</v>
      </c>
      <c r="V1820" s="23">
        <f>IFERROR(__xludf.DUMMYFUNCTION("IFERROR(GOOGLEFINANCE(A1820,""changepct""),"""")"),1.83)</f>
        <v>1.83</v>
      </c>
      <c r="W1820" s="22">
        <f>IFERROR(__xludf.DUMMYFUNCTION("IFERROR(GOOGLEFINANCE(A1820,""priceopen""),"""")"),1640.0)</f>
        <v>1640</v>
      </c>
      <c r="X1820" s="22">
        <f>IFERROR(__xludf.DUMMYFUNCTION("IFERROR(GOOGLEFINANCE(A1820,""high""),"""")"),1670.0)</f>
        <v>1670</v>
      </c>
      <c r="Y1820" s="22" t="str">
        <f>IFERROR(__xludf.DUMMYFUNCTION("IFERROR(GOOGLEFINANCE(A1820,""low""),"""")"),"")</f>
        <v/>
      </c>
      <c r="Z1820" s="22">
        <f>IFERROR(__xludf.DUMMYFUNCTION("IFERROR(GOOGLEFINANCE(A1820,""volume""),"""")"),2.83459E7)</f>
        <v>28345900</v>
      </c>
      <c r="AA1820" s="24" t="str">
        <f>VLOOKUP(A1820,Metrik!$C$2:$Y$959,5,0)</f>
        <v>Personal Care Products</v>
      </c>
      <c r="AB1820" s="24" t="str">
        <f>VLOOKUP(A1820,Metrik!$C$2:$Y$959,3,0)</f>
        <v>Consumer Non-Cyclicals</v>
      </c>
    </row>
    <row r="1821">
      <c r="A1821" s="14" t="s">
        <v>979</v>
      </c>
      <c r="B1821" s="14" t="str">
        <f t="array" ref="B1821">VLOOKUP(A1821,{Metrik!$C$2:$C$998,Metrik!$B$2:$B$998},2,0)</f>
        <v>Unilever Indonesia Tbk.</v>
      </c>
      <c r="C1821" s="15">
        <f>IFERROR(__xludf.DUMMYFUNCTION("GOOGLEFINANCE(""IDX:""&amp;A1821,""price"")"),1665.0)</f>
        <v>1665</v>
      </c>
      <c r="D1821" s="16" t="str">
        <f>IFERROR(__xludf.DUMMYFUNCTION("IF(A1821="""","""",
SPARKLINE(
INDEX(
GOOGLEFINANCE(""IDX:""&amp;A1821,""close"",TODAY()-365,TODAY()),
,2
),
{""linewidth"",1}
))
"),"#N/A")</f>
        <v>#N/A</v>
      </c>
      <c r="E1821" s="14" t="s">
        <v>39</v>
      </c>
      <c r="F1821" s="25">
        <v>46356.0</v>
      </c>
      <c r="G1821" s="24">
        <f t="shared" si="11"/>
        <v>14</v>
      </c>
      <c r="H1821" s="19">
        <f>VLOOKUP(A1821,Metrik!$C$2:$Y$959,8,0)</f>
        <v>7.6</v>
      </c>
      <c r="I1821" s="20">
        <f>VLOOKUP(A1821,Metrik!$C$2:$Y$959,9,0)</f>
        <v>9.9</v>
      </c>
      <c r="J1821" s="20">
        <f>VLOOKUP(A1821,Metrik!$C$2:$Y$959,10,0)</f>
        <v>130</v>
      </c>
      <c r="K1821" s="20">
        <f>VLOOKUP(A1821,Metrik!$C$2:$Y$959,11,0)</f>
        <v>42.7</v>
      </c>
      <c r="L1821" s="20">
        <f>VLOOKUP(A1821,Metrik!$C$2:$Y$959,12,0)</f>
        <v>2.1</v>
      </c>
      <c r="M1821" s="20">
        <f>VLOOKUP(A1821,Metrik!$C$2:$Y$959,19,0)</f>
        <v>100</v>
      </c>
      <c r="N1821" s="21"/>
      <c r="O1821" s="21"/>
      <c r="P1821" s="21"/>
      <c r="Q1821" s="21"/>
      <c r="R1821" s="21"/>
      <c r="S1821" s="21"/>
      <c r="T1821" s="21"/>
      <c r="U1821" s="22">
        <f>IFERROR(__xludf.DUMMYFUNCTION("IFERROR(GOOGLEFINANCE(A1821,""closeyest""),"""")"),1635.0)</f>
        <v>1635</v>
      </c>
      <c r="V1821" s="23">
        <f>IFERROR(__xludf.DUMMYFUNCTION("IFERROR(GOOGLEFINANCE(A1821,""changepct""),"""")"),1.83)</f>
        <v>1.83</v>
      </c>
      <c r="W1821" s="22">
        <f>IFERROR(__xludf.DUMMYFUNCTION("IFERROR(GOOGLEFINANCE(A1821,""priceopen""),"""")"),1640.0)</f>
        <v>1640</v>
      </c>
      <c r="X1821" s="22">
        <f>IFERROR(__xludf.DUMMYFUNCTION("IFERROR(GOOGLEFINANCE(A1821,""high""),"""")"),1670.0)</f>
        <v>1670</v>
      </c>
      <c r="Y1821" s="22" t="str">
        <f>IFERROR(__xludf.DUMMYFUNCTION("IFERROR(GOOGLEFINANCE(A1821,""low""),"""")"),"")</f>
        <v/>
      </c>
      <c r="Z1821" s="22">
        <f>IFERROR(__xludf.DUMMYFUNCTION("IFERROR(GOOGLEFINANCE(A1821,""volume""),"""")"),2.83459E7)</f>
        <v>28345900</v>
      </c>
      <c r="AA1821" s="24" t="str">
        <f>VLOOKUP(A1821,Metrik!$C$2:$Y$959,5,0)</f>
        <v>Personal Care Products</v>
      </c>
      <c r="AB1821" s="24" t="str">
        <f>VLOOKUP(A1821,Metrik!$C$2:$Y$959,3,0)</f>
        <v>Consumer Non-Cyclicals</v>
      </c>
    </row>
    <row r="1822">
      <c r="A1822" s="14" t="s">
        <v>980</v>
      </c>
      <c r="B1822" s="14" t="str">
        <f t="array" ref="B1822">VLOOKUP(A1822,{Metrik!$C$2:$C$998,Metrik!$B$2:$B$998},2,0)</f>
        <v>Urban Jakarta Propertindo Tbk.</v>
      </c>
      <c r="C1822" s="15">
        <f>IFERROR(__xludf.DUMMYFUNCTION("GOOGLEFINANCE(""IDX:""&amp;A1822,""price"")"),202.0)</f>
        <v>202</v>
      </c>
      <c r="D1822" s="16" t="str">
        <f>IFERROR(__xludf.DUMMYFUNCTION("IF(A1822="""","""",
SPARKLINE(
INDEX(
GOOGLEFINANCE(""IDX:""&amp;A1822,""close"",TODAY()-365,TODAY()),
,2
),
{""linewidth"",1}
))
"),"#N/A")</f>
        <v>#N/A</v>
      </c>
      <c r="E1822" s="26"/>
      <c r="F1822" s="26"/>
      <c r="G1822" s="24">
        <f t="shared" si="11"/>
        <v>0</v>
      </c>
      <c r="H1822" s="19">
        <f>VLOOKUP(A1822,Metrik!$C$2:$Y$959,8,0)</f>
        <v>-1.9</v>
      </c>
      <c r="I1822" s="20">
        <f>VLOOKUP(A1822,Metrik!$C$2:$Y$959,9,0)</f>
        <v>0.35</v>
      </c>
      <c r="J1822" s="20">
        <f>VLOOKUP(A1822,Metrik!$C$2:$Y$959,10,0)</f>
        <v>-19</v>
      </c>
      <c r="K1822" s="20">
        <f>VLOOKUP(A1822,Metrik!$C$2:$Y$959,11,0)</f>
        <v>-4.1</v>
      </c>
      <c r="L1822" s="20">
        <f>VLOOKUP(A1822,Metrik!$C$2:$Y$959,12,0)</f>
        <v>1.3</v>
      </c>
      <c r="M1822" s="20">
        <f>VLOOKUP(A1822,Metrik!$C$2:$Y$959,19,0)</f>
        <v>-4750</v>
      </c>
      <c r="N1822" s="21"/>
      <c r="O1822" s="21"/>
      <c r="P1822" s="21"/>
      <c r="Q1822" s="21"/>
      <c r="R1822" s="21"/>
      <c r="S1822" s="21"/>
      <c r="T1822" s="21"/>
      <c r="U1822" s="22">
        <f>IFERROR(__xludf.DUMMYFUNCTION("IFERROR(GOOGLEFINANCE(A1822,""closeyest""),"""")"),77.38)</f>
        <v>77.38</v>
      </c>
      <c r="V1822" s="23">
        <f>IFERROR(__xludf.DUMMYFUNCTION("IFERROR(GOOGLEFINANCE(A1822,""changepct""),"""")"),-0.49)</f>
        <v>-0.49</v>
      </c>
      <c r="W1822" s="22">
        <f>IFERROR(__xludf.DUMMYFUNCTION("IFERROR(GOOGLEFINANCE(A1822,""priceopen""),"""")"),78.09)</f>
        <v>78.09</v>
      </c>
      <c r="X1822" s="22">
        <f>IFERROR(__xludf.DUMMYFUNCTION("IFERROR(GOOGLEFINANCE(A1822,""high""),"""")"),79.42)</f>
        <v>79.42</v>
      </c>
      <c r="Y1822" s="22">
        <f>IFERROR(__xludf.DUMMYFUNCTION("IFERROR(GOOGLEFINANCE(A1822,""low""),"""")"),76.35)</f>
        <v>76.35</v>
      </c>
      <c r="Z1822" s="22">
        <f>IFERROR(__xludf.DUMMYFUNCTION("IFERROR(GOOGLEFINANCE(A1822,""volume""),"""")"),1310253.0)</f>
        <v>1310253</v>
      </c>
      <c r="AA1822" s="24" t="str">
        <f>VLOOKUP(A1822,Metrik!$C$2:$Y$959,5,0)</f>
        <v>Real Estate Management &amp; Development</v>
      </c>
      <c r="AB1822" s="24" t="str">
        <f>VLOOKUP(A1822,Metrik!$C$2:$Y$959,3,0)</f>
        <v>Properties &amp; Real Estate</v>
      </c>
    </row>
    <row r="1823">
      <c r="A1823" s="14" t="s">
        <v>981</v>
      </c>
      <c r="B1823" s="14" t="str">
        <f t="array" ref="B1823">VLOOKUP(A1823,{Metrik!$C$2:$C$998,Metrik!$B$2:$B$998},2,0)</f>
        <v>Trimegah Karya Pratama Tbk.</v>
      </c>
      <c r="C1823" s="15">
        <f>IFERROR(__xludf.DUMMYFUNCTION("GOOGLEFINANCE(""IDX:""&amp;A1823,""price"")"),175.0)</f>
        <v>175</v>
      </c>
      <c r="D1823" s="16" t="str">
        <f>IFERROR(__xludf.DUMMYFUNCTION("IF(A1823="""","""",
SPARKLINE(
INDEX(
GOOGLEFINANCE(""IDX:""&amp;A1823,""close"",TODAY()-365,TODAY()),
,2
),
{""linewidth"",1}
))
"),"#N/A")</f>
        <v>#N/A</v>
      </c>
      <c r="E1823" s="26"/>
      <c r="F1823" s="26"/>
      <c r="G1823" s="24">
        <f t="shared" si="11"/>
        <v>0</v>
      </c>
      <c r="H1823" s="19">
        <f>VLOOKUP(A1823,Metrik!$C$2:$Y$959,8,0)</f>
        <v>43.8</v>
      </c>
      <c r="I1823" s="20">
        <f>VLOOKUP(A1823,Metrik!$C$2:$Y$959,9,0)</f>
        <v>4.4</v>
      </c>
      <c r="J1823" s="20">
        <f>VLOOKUP(A1823,Metrik!$C$2:$Y$959,10,0)</f>
        <v>10.1</v>
      </c>
      <c r="K1823" s="20">
        <f>VLOOKUP(A1823,Metrik!$C$2:$Y$959,11,0)</f>
        <v>4</v>
      </c>
      <c r="L1823" s="20">
        <f>VLOOKUP(A1823,Metrik!$C$2:$Y$959,12,0)</f>
        <v>1.5</v>
      </c>
      <c r="M1823" s="20">
        <f>VLOOKUP(A1823,Metrik!$C$2:$Y$959,19,0)</f>
        <v>3.3</v>
      </c>
      <c r="N1823" s="21"/>
      <c r="O1823" s="21"/>
      <c r="P1823" s="21"/>
      <c r="Q1823" s="21"/>
      <c r="R1823" s="21"/>
      <c r="S1823" s="21"/>
      <c r="T1823" s="21"/>
      <c r="U1823" s="22">
        <f>IFERROR(__xludf.DUMMYFUNCTION("IFERROR(GOOGLEFINANCE(A1823,""closeyest""),"""")"),180.0)</f>
        <v>180</v>
      </c>
      <c r="V1823" s="23">
        <f>IFERROR(__xludf.DUMMYFUNCTION("IFERROR(GOOGLEFINANCE(A1823,""changepct""),"""")"),-2.78)</f>
        <v>-2.78</v>
      </c>
      <c r="W1823" s="22">
        <f>IFERROR(__xludf.DUMMYFUNCTION("IFERROR(GOOGLEFINANCE(A1823,""priceopen""),"""")"),190.0)</f>
        <v>190</v>
      </c>
      <c r="X1823" s="22">
        <f>IFERROR(__xludf.DUMMYFUNCTION("IFERROR(GOOGLEFINANCE(A1823,""high""),"""")"),193.0)</f>
        <v>193</v>
      </c>
      <c r="Y1823" s="22">
        <f>IFERROR(__xludf.DUMMYFUNCTION("IFERROR(GOOGLEFINANCE(A1823,""low""),"""")"),168.0)</f>
        <v>168</v>
      </c>
      <c r="Z1823" s="22">
        <f>IFERROR(__xludf.DUMMYFUNCTION("IFERROR(GOOGLEFINANCE(A1823,""volume""),"""")"),2.01727E8)</f>
        <v>201727000</v>
      </c>
      <c r="AA1823" s="24" t="str">
        <f>VLOOKUP(A1823,Metrik!$C$2:$Y$959,5,0)</f>
        <v>Online Applications &amp; Services</v>
      </c>
      <c r="AB1823" s="24" t="str">
        <f>VLOOKUP(A1823,Metrik!$C$2:$Y$959,3,0)</f>
        <v>Technology</v>
      </c>
    </row>
    <row r="1824">
      <c r="A1824" s="14" t="s">
        <v>982</v>
      </c>
      <c r="B1824" s="14" t="str">
        <f t="array" ref="B1824">VLOOKUP(A1824,{Metrik!$C$2:$C$998,Metrik!$B$2:$B$998},2,0)</f>
        <v>PT Vastland Indonesia Tbk</v>
      </c>
      <c r="C1824" s="15">
        <f>IFERROR(__xludf.DUMMYFUNCTION("GOOGLEFINANCE(""IDX:""&amp;A1824,""price"")"),119.0)</f>
        <v>119</v>
      </c>
      <c r="D1824" s="16" t="str">
        <f>IFERROR(__xludf.DUMMYFUNCTION("IF(A1824="""","""",
SPARKLINE(
INDEX(
GOOGLEFINANCE(""IDX:""&amp;A1824,""close"",TODAY()-365,TODAY()),
,2
),
{""linewidth"",1}
))
"),"#N/A")</f>
        <v>#N/A</v>
      </c>
      <c r="E1824" s="26"/>
      <c r="F1824" s="26"/>
      <c r="G1824" s="24">
        <f t="shared" si="11"/>
        <v>0</v>
      </c>
      <c r="H1824" s="19">
        <f>VLOOKUP(A1824,Metrik!$C$2:$Y$959,8,0)</f>
        <v>21.1</v>
      </c>
      <c r="I1824" s="20">
        <f>VLOOKUP(A1824,Metrik!$C$2:$Y$959,9,0)</f>
        <v>0.92</v>
      </c>
      <c r="J1824" s="20">
        <f>VLOOKUP(A1824,Metrik!$C$2:$Y$959,10,0)</f>
        <v>4.4</v>
      </c>
      <c r="K1824" s="20">
        <f>VLOOKUP(A1824,Metrik!$C$2:$Y$959,11,0)</f>
        <v>3.4</v>
      </c>
      <c r="L1824" s="20">
        <f>VLOOKUP(A1824,Metrik!$C$2:$Y$959,12,0)</f>
        <v>0.27</v>
      </c>
      <c r="M1824" s="20">
        <f>VLOOKUP(A1824,Metrik!$C$2:$Y$959,19,0)</f>
        <v>170</v>
      </c>
      <c r="N1824" s="21"/>
      <c r="O1824" s="21"/>
      <c r="P1824" s="21"/>
      <c r="Q1824" s="21"/>
      <c r="R1824" s="21"/>
      <c r="S1824" s="21"/>
      <c r="T1824" s="21"/>
      <c r="U1824" s="22">
        <f>IFERROR(__xludf.DUMMYFUNCTION("IFERROR(GOOGLEFINANCE(A1824,""closeyest""),"""")"),0.12)</f>
        <v>0.12</v>
      </c>
      <c r="V1824" s="23">
        <f>IFERROR(__xludf.DUMMYFUNCTION("IFERROR(GOOGLEFINANCE(A1824,""changepct""),"""")"),0.0)</f>
        <v>0</v>
      </c>
      <c r="W1824" s="22" t="str">
        <f>IFERROR(__xludf.DUMMYFUNCTION("IFERROR(GOOGLEFINANCE(A1824,""priceopen""),"""")"),"")</f>
        <v/>
      </c>
      <c r="X1824" s="22" t="str">
        <f>IFERROR(__xludf.DUMMYFUNCTION("IFERROR(GOOGLEFINANCE(A1824,""high""),"""")"),"")</f>
        <v/>
      </c>
      <c r="Y1824" s="22" t="str">
        <f>IFERROR(__xludf.DUMMYFUNCTION("IFERROR(GOOGLEFINANCE(A1824,""low""),"""")"),"")</f>
        <v/>
      </c>
      <c r="Z1824" s="22">
        <f>IFERROR(__xludf.DUMMYFUNCTION("IFERROR(GOOGLEFINANCE(A1824,""volume""),"""")"),0.0)</f>
        <v>0</v>
      </c>
      <c r="AA1824" s="24" t="str">
        <f>VLOOKUP(A1824,Metrik!$C$2:$Y$959,5,0)</f>
        <v>Real Estate Management &amp; Development</v>
      </c>
      <c r="AB1824" s="24" t="str">
        <f>VLOOKUP(A1824,Metrik!$C$2:$Y$959,3,0)</f>
        <v>Properties &amp; Real Estate</v>
      </c>
    </row>
    <row r="1825">
      <c r="A1825" s="14" t="s">
        <v>983</v>
      </c>
      <c r="B1825" s="14" t="str">
        <f t="array" ref="B1825">VLOOKUP(A1825,{Metrik!$C$2:$C$998,Metrik!$B$2:$B$998},2,0)</f>
        <v>Verona Indah Pictures Tbk.</v>
      </c>
      <c r="C1825" s="15">
        <f>IFERROR(__xludf.DUMMYFUNCTION("GOOGLEFINANCE(""IDX:""&amp;A1825,""price"")"),120.0)</f>
        <v>120</v>
      </c>
      <c r="D1825" s="16" t="str">
        <f>IFERROR(__xludf.DUMMYFUNCTION("IF(A1825="""","""",
SPARKLINE(
INDEX(
GOOGLEFINANCE(""IDX:""&amp;A1825,""close"",TODAY()-365,TODAY()),
,2
),
{""linewidth"",1}
))
"),"#N/A")</f>
        <v>#N/A</v>
      </c>
      <c r="E1825" s="26"/>
      <c r="F1825" s="26"/>
      <c r="G1825" s="24">
        <f t="shared" si="11"/>
        <v>0</v>
      </c>
      <c r="H1825" s="19">
        <f>VLOOKUP(A1825,Metrik!$C$2:$Y$959,8,0)</f>
        <v>150</v>
      </c>
      <c r="I1825" s="20">
        <f>VLOOKUP(A1825,Metrik!$C$2:$Y$959,9,0)</f>
        <v>1.1</v>
      </c>
      <c r="J1825" s="20">
        <f>VLOOKUP(A1825,Metrik!$C$2:$Y$959,10,0)</f>
        <v>0.75</v>
      </c>
      <c r="K1825" s="20">
        <f>VLOOKUP(A1825,Metrik!$C$2:$Y$959,11,0)</f>
        <v>0.72</v>
      </c>
      <c r="L1825" s="20">
        <f>VLOOKUP(A1825,Metrik!$C$2:$Y$959,12,0)</f>
        <v>0.04</v>
      </c>
      <c r="M1825" s="20">
        <f>VLOOKUP(A1825,Metrik!$C$2:$Y$959,19,0)</f>
        <v>54.8</v>
      </c>
      <c r="N1825" s="21"/>
      <c r="O1825" s="21"/>
      <c r="P1825" s="21"/>
      <c r="Q1825" s="21"/>
      <c r="R1825" s="21"/>
      <c r="S1825" s="21"/>
      <c r="T1825" s="21"/>
      <c r="U1825" s="22">
        <f>IFERROR(__xludf.DUMMYFUNCTION("IFERROR(GOOGLEFINANCE(A1825,""closeyest""),"""")"),1173.88)</f>
        <v>1173.88</v>
      </c>
      <c r="V1825" s="23">
        <f>IFERROR(__xludf.DUMMYFUNCTION("IFERROR(GOOGLEFINANCE(A1825,""changepct""),"""")"),32.66)</f>
        <v>32.66</v>
      </c>
      <c r="W1825" s="22" t="str">
        <f>IFERROR(__xludf.DUMMYFUNCTION("IFERROR(GOOGLEFINANCE(A1825,""priceopen""),"""")"),"")</f>
        <v/>
      </c>
      <c r="X1825" s="22" t="str">
        <f>IFERROR(__xludf.DUMMYFUNCTION("IFERROR(GOOGLEFINANCE(A1825,""high""),"""")"),"")</f>
        <v/>
      </c>
      <c r="Y1825" s="22" t="str">
        <f>IFERROR(__xludf.DUMMYFUNCTION("IFERROR(GOOGLEFINANCE(A1825,""low""),"""")"),"")</f>
        <v/>
      </c>
      <c r="Z1825" s="22">
        <f>IFERROR(__xludf.DUMMYFUNCTION("IFERROR(GOOGLEFINANCE(A1825,""volume""),"""")"),0.0)</f>
        <v>0</v>
      </c>
      <c r="AA1825" s="24" t="str">
        <f>VLOOKUP(A1825,Metrik!$C$2:$Y$959,5,0)</f>
        <v>Entertainment &amp; Movie Production</v>
      </c>
      <c r="AB1825" s="24" t="str">
        <f>VLOOKUP(A1825,Metrik!$C$2:$Y$959,3,0)</f>
        <v>Consumer Cyclicals</v>
      </c>
    </row>
    <row r="1826">
      <c r="A1826" s="14" t="s">
        <v>984</v>
      </c>
      <c r="B1826" s="14" t="str">
        <f t="array" ref="B1826">VLOOKUP(A1826,{Metrik!$C$2:$C$998,Metrik!$B$2:$B$998},2,0)</f>
        <v>Victoria Care Indonesia Tbk.</v>
      </c>
      <c r="C1826" s="15">
        <f>IFERROR(__xludf.DUMMYFUNCTION("GOOGLEFINANCE(""IDX:""&amp;A1826,""price"")"),640.0)</f>
        <v>640</v>
      </c>
      <c r="D1826" s="16" t="str">
        <f>IFERROR(__xludf.DUMMYFUNCTION("IF(A1826="""","""",
SPARKLINE(
INDEX(
GOOGLEFINANCE(""IDX:""&amp;A1826,""close"",TODAY()-365,TODAY()),
,2
),
{""linewidth"",1}
))
"),"#N/A")</f>
        <v>#N/A</v>
      </c>
      <c r="E1826" s="26"/>
      <c r="F1826" s="26"/>
      <c r="G1826" s="24">
        <f t="shared" si="11"/>
        <v>0</v>
      </c>
      <c r="H1826" s="19">
        <f>VLOOKUP(A1826,Metrik!$C$2:$Y$959,8,0)</f>
        <v>29.3</v>
      </c>
      <c r="I1826" s="20">
        <f>VLOOKUP(A1826,Metrik!$C$2:$Y$959,9,0)</f>
        <v>3.3</v>
      </c>
      <c r="J1826" s="20">
        <f>VLOOKUP(A1826,Metrik!$C$2:$Y$959,10,0)</f>
        <v>11.2</v>
      </c>
      <c r="K1826" s="20">
        <f>VLOOKUP(A1826,Metrik!$C$2:$Y$959,11,0)</f>
        <v>9.2</v>
      </c>
      <c r="L1826" s="20">
        <f>VLOOKUP(A1826,Metrik!$C$2:$Y$959,12,0)</f>
        <v>0.21</v>
      </c>
      <c r="M1826" s="20">
        <f>VLOOKUP(A1826,Metrik!$C$2:$Y$959,19,0)</f>
        <v>34.4</v>
      </c>
      <c r="N1826" s="21"/>
      <c r="O1826" s="21"/>
      <c r="P1826" s="21"/>
      <c r="Q1826" s="21"/>
      <c r="R1826" s="21"/>
      <c r="S1826" s="21"/>
      <c r="T1826" s="21"/>
      <c r="U1826" s="22">
        <f>IFERROR(__xludf.DUMMYFUNCTION("IFERROR(GOOGLEFINANCE(A1826,""closeyest""),"""")"),28.09)</f>
        <v>28.09</v>
      </c>
      <c r="V1826" s="23">
        <f>IFERROR(__xludf.DUMMYFUNCTION("IFERROR(GOOGLEFINANCE(A1826,""changepct""),"""")"),1.53)</f>
        <v>1.53</v>
      </c>
      <c r="W1826" s="22">
        <f>IFERROR(__xludf.DUMMYFUNCTION("IFERROR(GOOGLEFINANCE(A1826,""priceopen""),"""")"),28.15)</f>
        <v>28.15</v>
      </c>
      <c r="X1826" s="22">
        <f>IFERROR(__xludf.DUMMYFUNCTION("IFERROR(GOOGLEFINANCE(A1826,""high""),"""")"),28.53)</f>
        <v>28.53</v>
      </c>
      <c r="Y1826" s="22">
        <f>IFERROR(__xludf.DUMMYFUNCTION("IFERROR(GOOGLEFINANCE(A1826,""low""),"""")"),28.12)</f>
        <v>28.12</v>
      </c>
      <c r="Z1826" s="22">
        <f>IFERROR(__xludf.DUMMYFUNCTION("IFERROR(GOOGLEFINANCE(A1826,""volume""),"""")"),1.0888237E7)</f>
        <v>10888237</v>
      </c>
      <c r="AA1826" s="24" t="str">
        <f>VLOOKUP(A1826,Metrik!$C$2:$Y$959,5,0)</f>
        <v>Body Care Products</v>
      </c>
      <c r="AB1826" s="24" t="str">
        <f>VLOOKUP(A1826,Metrik!$C$2:$Y$959,3,0)</f>
        <v>CONSUMER GOODS INDUSTRY</v>
      </c>
    </row>
    <row r="1827">
      <c r="A1827" s="14" t="s">
        <v>985</v>
      </c>
      <c r="B1827" s="14" t="str">
        <f t="array" ref="B1827">VLOOKUP(A1827,{Metrik!$C$2:$C$998,Metrik!$B$2:$B$998},2,0)</f>
        <v>Victoria Investama Tbk.</v>
      </c>
      <c r="C1827" s="15">
        <f>IFERROR(__xludf.DUMMYFUNCTION("GOOGLEFINANCE(""IDX:""&amp;A1827,""price"")"),142.0)</f>
        <v>142</v>
      </c>
      <c r="D1827" s="16" t="str">
        <f>IFERROR(__xludf.DUMMYFUNCTION("IF(A1827="""","""",
SPARKLINE(
INDEX(
GOOGLEFINANCE(""IDX:""&amp;A1827,""close"",TODAY()-365,TODAY()),
,2
),
{""linewidth"",1}
))
"),"#N/A")</f>
        <v>#N/A</v>
      </c>
      <c r="E1827" s="26"/>
      <c r="F1827" s="26"/>
      <c r="G1827" s="24">
        <f t="shared" si="11"/>
        <v>0</v>
      </c>
      <c r="H1827" s="19">
        <f>VLOOKUP(A1827,Metrik!$C$2:$Y$959,8,0)</f>
        <v>4.5</v>
      </c>
      <c r="I1827" s="20">
        <f>VLOOKUP(A1827,Metrik!$C$2:$Y$959,9,0)</f>
        <v>0.39</v>
      </c>
      <c r="J1827" s="20">
        <f>VLOOKUP(A1827,Metrik!$C$2:$Y$959,10,0)</f>
        <v>8.6</v>
      </c>
      <c r="K1827" s="20">
        <f>VLOOKUP(A1827,Metrik!$C$2:$Y$959,11,0)</f>
        <v>1.4</v>
      </c>
      <c r="L1827" s="20">
        <f>VLOOKUP(A1827,Metrik!$C$2:$Y$959,12,0)</f>
        <v>5.3</v>
      </c>
      <c r="M1827" s="20">
        <f>VLOOKUP(A1827,Metrik!$C$2:$Y$959,19,0)</f>
        <v>260</v>
      </c>
      <c r="N1827" s="21"/>
      <c r="O1827" s="21"/>
      <c r="P1827" s="21"/>
      <c r="Q1827" s="21"/>
      <c r="R1827" s="21"/>
      <c r="S1827" s="21"/>
      <c r="T1827" s="21"/>
      <c r="U1827" s="22">
        <f>IFERROR(__xludf.DUMMYFUNCTION("IFERROR(GOOGLEFINANCE(A1827,""closeyest""),"""")"),135.0)</f>
        <v>135</v>
      </c>
      <c r="V1827" s="23">
        <f>IFERROR(__xludf.DUMMYFUNCTION("IFERROR(GOOGLEFINANCE(A1827,""changepct""),"""")"),5.19)</f>
        <v>5.19</v>
      </c>
      <c r="W1827" s="22">
        <f>IFERROR(__xludf.DUMMYFUNCTION("IFERROR(GOOGLEFINANCE(A1827,""priceopen""),"""")"),133.0)</f>
        <v>133</v>
      </c>
      <c r="X1827" s="22">
        <f>IFERROR(__xludf.DUMMYFUNCTION("IFERROR(GOOGLEFINANCE(A1827,""high""),"""")"),144.0)</f>
        <v>144</v>
      </c>
      <c r="Y1827" s="22">
        <f>IFERROR(__xludf.DUMMYFUNCTION("IFERROR(GOOGLEFINANCE(A1827,""low""),"""")"),132.0)</f>
        <v>132</v>
      </c>
      <c r="Z1827" s="22">
        <f>IFERROR(__xludf.DUMMYFUNCTION("IFERROR(GOOGLEFINANCE(A1827,""volume""),"""")"),40000.0)</f>
        <v>40000</v>
      </c>
      <c r="AA1827" s="24" t="str">
        <f>VLOOKUP(A1827,Metrik!$C$2:$Y$959,5,0)</f>
        <v>Holding &amp; Investment Companies</v>
      </c>
      <c r="AB1827" s="24" t="str">
        <f>VLOOKUP(A1827,Metrik!$C$2:$Y$959,3,0)</f>
        <v>Financials</v>
      </c>
    </row>
    <row r="1828">
      <c r="A1828" s="14" t="s">
        <v>986</v>
      </c>
      <c r="B1828" s="14" t="str">
        <f t="array" ref="B1828">VLOOKUP(A1828,{Metrik!$C$2:$C$998,Metrik!$B$2:$B$998},2,0)</f>
        <v>Victoria Insurance Tbk.</v>
      </c>
      <c r="C1828" s="15">
        <f>IFERROR(__xludf.DUMMYFUNCTION("GOOGLEFINANCE(""IDX:""&amp;A1828,""price"")"),139.0)</f>
        <v>139</v>
      </c>
      <c r="D1828" s="16" t="str">
        <f>IFERROR(__xludf.DUMMYFUNCTION("IF(A1828="""","""",
SPARKLINE(
INDEX(
GOOGLEFINANCE(""IDX:""&amp;A1828,""close"",TODAY()-365,TODAY()),
,2
),
{""linewidth"",1}
))
"),"#N/A")</f>
        <v>#N/A</v>
      </c>
      <c r="E1828" s="26"/>
      <c r="F1828" s="26"/>
      <c r="G1828" s="24">
        <f t="shared" si="11"/>
        <v>0</v>
      </c>
      <c r="H1828" s="19">
        <f>VLOOKUP(A1828,Metrik!$C$2:$Y$959,8,0)</f>
        <v>13.3</v>
      </c>
      <c r="I1828" s="20">
        <f>VLOOKUP(A1828,Metrik!$C$2:$Y$959,9,0)</f>
        <v>0.99</v>
      </c>
      <c r="J1828" s="20">
        <f>VLOOKUP(A1828,Metrik!$C$2:$Y$959,10,0)</f>
        <v>7.5</v>
      </c>
      <c r="K1828" s="20">
        <f>VLOOKUP(A1828,Metrik!$C$2:$Y$959,11,0)</f>
        <v>5.5</v>
      </c>
      <c r="L1828" s="20">
        <f>VLOOKUP(A1828,Metrik!$C$2:$Y$959,12,0)</f>
        <v>0.37</v>
      </c>
      <c r="M1828" s="20">
        <f>VLOOKUP(A1828,Metrik!$C$2:$Y$959,19,0)</f>
        <v>46.3</v>
      </c>
      <c r="N1828" s="21"/>
      <c r="O1828" s="21"/>
      <c r="P1828" s="21"/>
      <c r="Q1828" s="21"/>
      <c r="R1828" s="21"/>
      <c r="S1828" s="21"/>
      <c r="T1828" s="21"/>
      <c r="U1828" s="22">
        <f>IFERROR(__xludf.DUMMYFUNCTION("IFERROR(GOOGLEFINANCE(A1828,""closeyest""),"""")"),0.04)</f>
        <v>0.04</v>
      </c>
      <c r="V1828" s="23">
        <f>IFERROR(__xludf.DUMMYFUNCTION("IFERROR(GOOGLEFINANCE(A1828,""changepct""),"""")"),0.0)</f>
        <v>0</v>
      </c>
      <c r="W1828" s="22" t="str">
        <f>IFERROR(__xludf.DUMMYFUNCTION("IFERROR(GOOGLEFINANCE(A1828,""priceopen""),"""")"),"")</f>
        <v/>
      </c>
      <c r="X1828" s="22" t="str">
        <f>IFERROR(__xludf.DUMMYFUNCTION("IFERROR(GOOGLEFINANCE(A1828,""high""),"""")"),"")</f>
        <v/>
      </c>
      <c r="Y1828" s="22" t="str">
        <f>IFERROR(__xludf.DUMMYFUNCTION("IFERROR(GOOGLEFINANCE(A1828,""low""),"""")"),"")</f>
        <v/>
      </c>
      <c r="Z1828" s="22">
        <f>IFERROR(__xludf.DUMMYFUNCTION("IFERROR(GOOGLEFINANCE(A1828,""volume""),"""")"),0.0)</f>
        <v>0</v>
      </c>
      <c r="AA1828" s="24" t="str">
        <f>VLOOKUP(A1828,Metrik!$C$2:$Y$959,5,0)</f>
        <v>Insurance</v>
      </c>
      <c r="AB1828" s="24" t="str">
        <f>VLOOKUP(A1828,Metrik!$C$2:$Y$959,3,0)</f>
        <v>Financials</v>
      </c>
    </row>
    <row r="1829">
      <c r="A1829" s="14" t="s">
        <v>987</v>
      </c>
      <c r="B1829" s="14" t="str">
        <f t="array" ref="B1829">VLOOKUP(A1829,{Metrik!$C$2:$C$998,Metrik!$B$2:$B$998},2,0)</f>
        <v>Satu Visi Putra Tbk.</v>
      </c>
      <c r="C1829" s="15">
        <f>IFERROR(__xludf.DUMMYFUNCTION("GOOGLEFINANCE(""IDX:""&amp;A1829,""price"")"),1180.0)</f>
        <v>1180</v>
      </c>
      <c r="D1829" s="16" t="str">
        <f>IFERROR(__xludf.DUMMYFUNCTION("IF(A1829="""","""",
SPARKLINE(
INDEX(
GOOGLEFINANCE(""IDX:""&amp;A1829,""close"",TODAY()-365,TODAY()),
,2
),
{""linewidth"",1}
))
"),"#N/A")</f>
        <v>#N/A</v>
      </c>
      <c r="E1829" s="26"/>
      <c r="F1829" s="26"/>
      <c r="G1829" s="24">
        <f t="shared" si="11"/>
        <v>0</v>
      </c>
      <c r="H1829" s="19">
        <f>VLOOKUP(A1829,Metrik!$C$2:$Y$959,8,0)</f>
        <v>-650</v>
      </c>
      <c r="I1829" s="20">
        <f>VLOOKUP(A1829,Metrik!$C$2:$Y$959,9,0)</f>
        <v>12.8</v>
      </c>
      <c r="J1829" s="20">
        <f>VLOOKUP(A1829,Metrik!$C$2:$Y$959,10,0)</f>
        <v>-2</v>
      </c>
      <c r="K1829" s="20">
        <f>VLOOKUP(A1829,Metrik!$C$2:$Y$959,11,0)</f>
        <v>-1.3</v>
      </c>
      <c r="L1829" s="20">
        <f>VLOOKUP(A1829,Metrik!$C$2:$Y$959,12,0)</f>
        <v>0.56</v>
      </c>
      <c r="M1829" s="20">
        <f>VLOOKUP(A1829,Metrik!$C$2:$Y$959,19,0)</f>
        <v>-4.9</v>
      </c>
      <c r="N1829" s="21"/>
      <c r="O1829" s="21"/>
      <c r="P1829" s="21"/>
      <c r="Q1829" s="21"/>
      <c r="R1829" s="21"/>
      <c r="S1829" s="21"/>
      <c r="T1829" s="21"/>
      <c r="U1829" s="22">
        <f>IFERROR(__xludf.DUMMYFUNCTION("IFERROR(GOOGLEFINANCE(A1829,""closeyest""),"""")"),1200.0)</f>
        <v>1200</v>
      </c>
      <c r="V1829" s="23" t="str">
        <f>IFERROR(__xludf.DUMMYFUNCTION("IFERROR(GOOGLEFINANCE(A1829,""changepct""),"""")"),"")</f>
        <v/>
      </c>
      <c r="W1829" s="22">
        <f>IFERROR(__xludf.DUMMYFUNCTION("IFERROR(GOOGLEFINANCE(A1829,""priceopen""),"""")"),1215.0)</f>
        <v>1215</v>
      </c>
      <c r="X1829" s="22">
        <f>IFERROR(__xludf.DUMMYFUNCTION("IFERROR(GOOGLEFINANCE(A1829,""high""),"""")"),1235.0)</f>
        <v>1235</v>
      </c>
      <c r="Y1829" s="22">
        <f>IFERROR(__xludf.DUMMYFUNCTION("IFERROR(GOOGLEFINANCE(A1829,""low""),"""")"),1100.0)</f>
        <v>1100</v>
      </c>
      <c r="Z1829" s="22">
        <f>IFERROR(__xludf.DUMMYFUNCTION("IFERROR(GOOGLEFINANCE(A1829,""volume""),"""")"),5798900.0)</f>
        <v>5798900</v>
      </c>
      <c r="AA1829" s="24" t="str">
        <f>VLOOKUP(A1829,Metrik!$C$2:$Y$959,5,0)</f>
        <v>Commercial Services</v>
      </c>
      <c r="AB1829" s="24" t="str">
        <f>VLOOKUP(A1829,Metrik!$C$2:$Y$959,3,0)</f>
        <v>Industrials</v>
      </c>
    </row>
    <row r="1830">
      <c r="A1830" s="14" t="s">
        <v>988</v>
      </c>
      <c r="B1830" s="14" t="str">
        <f t="array" ref="B1830">VLOOKUP(A1830,{Metrik!$C$2:$C$998,Metrik!$B$2:$B$998},2,0)</f>
        <v>Visi Media Asia Tbk.</v>
      </c>
      <c r="C1830" s="15">
        <f>IFERROR(__xludf.DUMMYFUNCTION("GOOGLEFINANCE(""IDX:""&amp;A1830,""price"")"),33.0)</f>
        <v>33</v>
      </c>
      <c r="D1830" s="16" t="str">
        <f>IFERROR(__xludf.DUMMYFUNCTION("IF(A1830="""","""",
SPARKLINE(
INDEX(
GOOGLEFINANCE(""IDX:""&amp;A1830,""close"",TODAY()-365,TODAY()),
,2
),
{""linewidth"",1}
))
"),"#N/A")</f>
        <v>#N/A</v>
      </c>
      <c r="E1830" s="26"/>
      <c r="F1830" s="26"/>
      <c r="G1830" s="24">
        <f t="shared" si="11"/>
        <v>0</v>
      </c>
      <c r="H1830" s="19">
        <f>VLOOKUP(A1830,Metrik!$C$2:$Y$959,8,0)</f>
        <v>0.58</v>
      </c>
      <c r="I1830" s="20">
        <f>VLOOKUP(A1830,Metrik!$C$2:$Y$959,9,0)</f>
        <v>1.8</v>
      </c>
      <c r="J1830" s="20">
        <f>VLOOKUP(A1830,Metrik!$C$2:$Y$959,10,0)</f>
        <v>310</v>
      </c>
      <c r="K1830" s="20">
        <f>VLOOKUP(A1830,Metrik!$C$2:$Y$959,11,0)</f>
        <v>17.7</v>
      </c>
      <c r="L1830" s="20">
        <f>VLOOKUP(A1830,Metrik!$C$2:$Y$959,12,0)</f>
        <v>16.7</v>
      </c>
      <c r="M1830" s="20">
        <f>VLOOKUP(A1830,Metrik!$C$2:$Y$959,19,0)</f>
        <v>120</v>
      </c>
      <c r="N1830" s="21"/>
      <c r="O1830" s="21"/>
      <c r="P1830" s="21"/>
      <c r="Q1830" s="21"/>
      <c r="R1830" s="21"/>
      <c r="S1830" s="21"/>
      <c r="T1830" s="21"/>
      <c r="U1830" s="22">
        <f>IFERROR(__xludf.DUMMYFUNCTION("IFERROR(GOOGLEFINANCE(A1830,""closeyest""),"""")"),30.0)</f>
        <v>30</v>
      </c>
      <c r="V1830" s="23">
        <f>IFERROR(__xludf.DUMMYFUNCTION("IFERROR(GOOGLEFINANCE(A1830,""changepct""),"""")"),10.0)</f>
        <v>10</v>
      </c>
      <c r="W1830" s="22">
        <f>IFERROR(__xludf.DUMMYFUNCTION("IFERROR(GOOGLEFINANCE(A1830,""priceopen""),"""")"),31.0)</f>
        <v>31</v>
      </c>
      <c r="X1830" s="22">
        <f>IFERROR(__xludf.DUMMYFUNCTION("IFERROR(GOOGLEFINANCE(A1830,""high""),"""")"),33.0)</f>
        <v>33</v>
      </c>
      <c r="Y1830" s="22">
        <f>IFERROR(__xludf.DUMMYFUNCTION("IFERROR(GOOGLEFINANCE(A1830,""low""),"""")"),31.0)</f>
        <v>31</v>
      </c>
      <c r="Z1830" s="22">
        <f>IFERROR(__xludf.DUMMYFUNCTION("IFERROR(GOOGLEFINANCE(A1830,""volume""),"""")"),1.36499E7)</f>
        <v>13649900</v>
      </c>
      <c r="AA1830" s="24" t="str">
        <f>VLOOKUP(A1830,Metrik!$C$2:$Y$959,5,0)</f>
        <v>Media</v>
      </c>
      <c r="AB1830" s="24" t="str">
        <f>VLOOKUP(A1830,Metrik!$C$2:$Y$959,3,0)</f>
        <v>Consumer Cyclicals</v>
      </c>
    </row>
    <row r="1831">
      <c r="A1831" s="14" t="s">
        <v>989</v>
      </c>
      <c r="B1831" s="14" t="str">
        <f t="array" ref="B1831">VLOOKUP(A1831,{Metrik!$C$2:$C$998,Metrik!$B$2:$B$998},2,0)</f>
        <v>PT VKTR Teknologi Mobilitas Tbk</v>
      </c>
      <c r="C1831" s="15">
        <f>IFERROR(__xludf.DUMMYFUNCTION("GOOGLEFINANCE(""IDX:""&amp;A1831,""price"")"),625.0)</f>
        <v>625</v>
      </c>
      <c r="D1831" s="16" t="str">
        <f>IFERROR(__xludf.DUMMYFUNCTION("IF(A1831="""","""",
SPARKLINE(
INDEX(
GOOGLEFINANCE(""IDX:""&amp;A1831,""close"",TODAY()-365,TODAY()),
,2
),
{""linewidth"",1}
))
"),"#N/A")</f>
        <v>#N/A</v>
      </c>
      <c r="E1831" s="26"/>
      <c r="F1831" s="26"/>
      <c r="G1831" s="24">
        <f t="shared" si="11"/>
        <v>0</v>
      </c>
      <c r="H1831" s="19">
        <f>VLOOKUP(A1831,Metrik!$C$2:$Y$959,8,0)</f>
        <v>-1200</v>
      </c>
      <c r="I1831" s="20">
        <f>VLOOKUP(A1831,Metrik!$C$2:$Y$959,9,0)</f>
        <v>24.8</v>
      </c>
      <c r="J1831" s="20">
        <f>VLOOKUP(A1831,Metrik!$C$2:$Y$959,10,0)</f>
        <v>-2.1</v>
      </c>
      <c r="K1831" s="20">
        <f>VLOOKUP(A1831,Metrik!$C$2:$Y$959,11,0)</f>
        <v>-0.81</v>
      </c>
      <c r="L1831" s="20">
        <f>VLOOKUP(A1831,Metrik!$C$2:$Y$959,12,0)</f>
        <v>0.45</v>
      </c>
      <c r="M1831" s="20">
        <f>VLOOKUP(A1831,Metrik!$C$2:$Y$959,19,0)</f>
        <v>-2.4</v>
      </c>
      <c r="N1831" s="21"/>
      <c r="O1831" s="21"/>
      <c r="P1831" s="21"/>
      <c r="Q1831" s="21"/>
      <c r="R1831" s="21"/>
      <c r="S1831" s="21"/>
      <c r="T1831" s="21"/>
      <c r="U1831" s="22">
        <f>IFERROR(__xludf.DUMMYFUNCTION("IFERROR(GOOGLEFINANCE(A1831,""closeyest""),"""")"),600.0)</f>
        <v>600</v>
      </c>
      <c r="V1831" s="23">
        <f>IFERROR(__xludf.DUMMYFUNCTION("IFERROR(GOOGLEFINANCE(A1831,""changepct""),"""")"),4.17)</f>
        <v>4.17</v>
      </c>
      <c r="W1831" s="22">
        <f>IFERROR(__xludf.DUMMYFUNCTION("IFERROR(GOOGLEFINANCE(A1831,""priceopen""),"""")"),610.0)</f>
        <v>610</v>
      </c>
      <c r="X1831" s="22">
        <f>IFERROR(__xludf.DUMMYFUNCTION("IFERROR(GOOGLEFINANCE(A1831,""high""),"""")"),650.0)</f>
        <v>650</v>
      </c>
      <c r="Y1831" s="22">
        <f>IFERROR(__xludf.DUMMYFUNCTION("IFERROR(GOOGLEFINANCE(A1831,""low""),"""")"),605.0)</f>
        <v>605</v>
      </c>
      <c r="Z1831" s="22">
        <f>IFERROR(__xludf.DUMMYFUNCTION("IFERROR(GOOGLEFINANCE(A1831,""volume""),"""")"),3.91716E7)</f>
        <v>39171600</v>
      </c>
      <c r="AA1831" s="24" t="str">
        <f>VLOOKUP(A1831,Metrik!$C$2:$Y$959,5,0)</f>
        <v>Auto Components</v>
      </c>
      <c r="AB1831" s="24" t="str">
        <f>VLOOKUP(A1831,Metrik!$C$2:$Y$959,3,0)</f>
        <v>Consumer Cyclicals</v>
      </c>
    </row>
    <row r="1832">
      <c r="A1832" s="14" t="s">
        <v>990</v>
      </c>
      <c r="B1832" s="14" t="str">
        <f t="array" ref="B1832">VLOOKUP(A1832,{Metrik!$C$2:$C$998,Metrik!$B$2:$B$998},2,0)</f>
        <v>Voksel Electric Tbk.</v>
      </c>
      <c r="C1832" s="15">
        <f>IFERROR(__xludf.DUMMYFUNCTION("GOOGLEFINANCE(""IDX:""&amp;A1832,""price"")"),198.0)</f>
        <v>198</v>
      </c>
      <c r="D1832" s="16" t="str">
        <f>IFERROR(__xludf.DUMMYFUNCTION("IF(A1832="""","""",
SPARKLINE(
INDEX(
GOOGLEFINANCE(""IDX:""&amp;A1832,""close"",TODAY()-365,TODAY()),
,2
),
{""linewidth"",1}
))
"),"#N/A")</f>
        <v>#N/A</v>
      </c>
      <c r="E1832" s="26"/>
      <c r="F1832" s="26"/>
      <c r="G1832" s="24">
        <f t="shared" si="11"/>
        <v>0</v>
      </c>
      <c r="H1832" s="19">
        <f>VLOOKUP(A1832,Metrik!$C$2:$Y$959,8,0)</f>
        <v>-15.4</v>
      </c>
      <c r="I1832" s="20">
        <f>VLOOKUP(A1832,Metrik!$C$2:$Y$959,9,0)</f>
        <v>1.6</v>
      </c>
      <c r="J1832" s="20">
        <f>VLOOKUP(A1832,Metrik!$C$2:$Y$959,10,0)</f>
        <v>-10.3</v>
      </c>
      <c r="K1832" s="20">
        <f>VLOOKUP(A1832,Metrik!$C$2:$Y$959,11,0)</f>
        <v>-2.8</v>
      </c>
      <c r="L1832" s="20">
        <f>VLOOKUP(A1832,Metrik!$C$2:$Y$959,12,0)</f>
        <v>2.7</v>
      </c>
      <c r="M1832" s="20">
        <f>VLOOKUP(A1832,Metrik!$C$2:$Y$959,19,0)</f>
        <v>-10.8</v>
      </c>
      <c r="N1832" s="21"/>
      <c r="O1832" s="21"/>
      <c r="P1832" s="21"/>
      <c r="Q1832" s="21"/>
      <c r="R1832" s="21"/>
      <c r="S1832" s="21"/>
      <c r="T1832" s="21"/>
      <c r="U1832" s="22">
        <f>IFERROR(__xludf.DUMMYFUNCTION("IFERROR(GOOGLEFINANCE(A1832,""closeyest""),"""")"),197.0)</f>
        <v>197</v>
      </c>
      <c r="V1832" s="23">
        <f>IFERROR(__xludf.DUMMYFUNCTION("IFERROR(GOOGLEFINANCE(A1832,""changepct""),"""")"),0.51)</f>
        <v>0.51</v>
      </c>
      <c r="W1832" s="22" t="str">
        <f>IFERROR(__xludf.DUMMYFUNCTION("IFERROR(GOOGLEFINANCE(A1832,""priceopen""),"""")"),"")</f>
        <v/>
      </c>
      <c r="X1832" s="22">
        <f>IFERROR(__xludf.DUMMYFUNCTION("IFERROR(GOOGLEFINANCE(A1832,""high""),"""")"),198.0)</f>
        <v>198</v>
      </c>
      <c r="Y1832" s="22">
        <f>IFERROR(__xludf.DUMMYFUNCTION("IFERROR(GOOGLEFINANCE(A1832,""low""),"""")"),196.0)</f>
        <v>196</v>
      </c>
      <c r="Z1832" s="22">
        <f>IFERROR(__xludf.DUMMYFUNCTION("IFERROR(GOOGLEFINANCE(A1832,""volume""),"""")"),21800.0)</f>
        <v>21800</v>
      </c>
      <c r="AA1832" s="24" t="str">
        <f>VLOOKUP(A1832,Metrik!$C$2:$Y$959,5,0)</f>
        <v>Electrical</v>
      </c>
      <c r="AB1832" s="24" t="str">
        <f>VLOOKUP(A1832,Metrik!$C$2:$Y$959,3,0)</f>
        <v>Industrials</v>
      </c>
    </row>
    <row r="1833">
      <c r="A1833" s="14" t="s">
        <v>991</v>
      </c>
      <c r="B1833" s="14" t="str">
        <f t="array" ref="B1833">VLOOKUP(A1833,{Metrik!$C$2:$C$998,Metrik!$B$2:$B$998},2,0)</f>
        <v>Mizuho Leasing Indonesia Tbk.</v>
      </c>
      <c r="C1833" s="15">
        <f>IFERROR(__xludf.DUMMYFUNCTION("GOOGLEFINANCE(""IDX:""&amp;A1833,""price"")"),74.0)</f>
        <v>74</v>
      </c>
      <c r="D1833" s="16" t="str">
        <f>IFERROR(__xludf.DUMMYFUNCTION("IF(A1833="""","""",
SPARKLINE(
INDEX(
GOOGLEFINANCE(""IDX:""&amp;A1833,""close"",TODAY()-365,TODAY()),
,2
),
{""linewidth"",1}
))
"),"#N/A")</f>
        <v>#N/A</v>
      </c>
      <c r="E1833" s="26"/>
      <c r="F1833" s="26"/>
      <c r="G1833" s="24">
        <f t="shared" si="11"/>
        <v>0</v>
      </c>
      <c r="H1833" s="19">
        <f>VLOOKUP(A1833,Metrik!$C$2:$Y$959,8,0)</f>
        <v>270</v>
      </c>
      <c r="I1833" s="20">
        <f>VLOOKUP(A1833,Metrik!$C$2:$Y$959,9,0)</f>
        <v>0.63</v>
      </c>
      <c r="J1833" s="20">
        <f>VLOOKUP(A1833,Metrik!$C$2:$Y$959,10,0)</f>
        <v>0.24</v>
      </c>
      <c r="K1833" s="20">
        <f>VLOOKUP(A1833,Metrik!$C$2:$Y$959,11,0)</f>
        <v>0.06</v>
      </c>
      <c r="L1833" s="20">
        <f>VLOOKUP(A1833,Metrik!$C$2:$Y$959,12,0)</f>
        <v>3.2</v>
      </c>
      <c r="M1833" s="20">
        <f>VLOOKUP(A1833,Metrik!$C$2:$Y$959,19,0)</f>
        <v>1.9</v>
      </c>
      <c r="N1833" s="21"/>
      <c r="O1833" s="21"/>
      <c r="P1833" s="21"/>
      <c r="Q1833" s="21"/>
      <c r="R1833" s="21"/>
      <c r="S1833" s="21"/>
      <c r="T1833" s="21"/>
      <c r="U1833" s="22">
        <f>IFERROR(__xludf.DUMMYFUNCTION("IFERROR(GOOGLEFINANCE(A1833,""closeyest""),"""")"),73.0)</f>
        <v>73</v>
      </c>
      <c r="V1833" s="23">
        <f>IFERROR(__xludf.DUMMYFUNCTION("IFERROR(GOOGLEFINANCE(A1833,""changepct""),"""")"),1.37)</f>
        <v>1.37</v>
      </c>
      <c r="W1833" s="22">
        <f>IFERROR(__xludf.DUMMYFUNCTION("IFERROR(GOOGLEFINANCE(A1833,""priceopen""),"""")"),73.0)</f>
        <v>73</v>
      </c>
      <c r="X1833" s="22">
        <f>IFERROR(__xludf.DUMMYFUNCTION("IFERROR(GOOGLEFINANCE(A1833,""high""),"""")"),75.0)</f>
        <v>75</v>
      </c>
      <c r="Y1833" s="22">
        <f>IFERROR(__xludf.DUMMYFUNCTION("IFERROR(GOOGLEFINANCE(A1833,""low""),"""")"),71.0)</f>
        <v>71</v>
      </c>
      <c r="Z1833" s="22">
        <f>IFERROR(__xludf.DUMMYFUNCTION("IFERROR(GOOGLEFINANCE(A1833,""volume""),"""")"),116000.0)</f>
        <v>116000</v>
      </c>
      <c r="AA1833" s="24" t="str">
        <f>VLOOKUP(A1833,Metrik!$C$2:$Y$959,5,0)</f>
        <v>Consumer Financing</v>
      </c>
      <c r="AB1833" s="24" t="str">
        <f>VLOOKUP(A1833,Metrik!$C$2:$Y$959,3,0)</f>
        <v>Financials</v>
      </c>
    </row>
    <row r="1834">
      <c r="A1834" s="14" t="s">
        <v>992</v>
      </c>
      <c r="B1834" s="14" t="str">
        <f t="array" ref="B1834">VLOOKUP(A1834,{Metrik!$C$2:$C$998,Metrik!$B$2:$B$998},2,0)</f>
        <v>PT Venteny Fortuna International Tbk</v>
      </c>
      <c r="C1834" s="15">
        <f>IFERROR(__xludf.DUMMYFUNCTION("GOOGLEFINANCE(""IDX:""&amp;A1834,""price"")"),62.0)</f>
        <v>62</v>
      </c>
      <c r="D1834" s="16" t="str">
        <f>IFERROR(__xludf.DUMMYFUNCTION("IF(A1834="""","""",
SPARKLINE(
INDEX(
GOOGLEFINANCE(""IDX:""&amp;A1834,""close"",TODAY()-365,TODAY()),
,2
),
{""linewidth"",1}
))
"),"#N/A")</f>
        <v>#N/A</v>
      </c>
      <c r="E1834" s="26"/>
      <c r="F1834" s="26"/>
      <c r="G1834" s="24">
        <f t="shared" si="11"/>
        <v>0</v>
      </c>
      <c r="H1834" s="19">
        <f>VLOOKUP(A1834,Metrik!$C$2:$Y$959,8,0)</f>
        <v>51.9</v>
      </c>
      <c r="I1834" s="20">
        <f>VLOOKUP(A1834,Metrik!$C$2:$Y$959,9,0)</f>
        <v>0.93</v>
      </c>
      <c r="J1834" s="20">
        <f>VLOOKUP(A1834,Metrik!$C$2:$Y$959,10,0)</f>
        <v>1.8</v>
      </c>
      <c r="K1834" s="20">
        <f>VLOOKUP(A1834,Metrik!$C$2:$Y$959,11,0)</f>
        <v>0.23</v>
      </c>
      <c r="L1834" s="20">
        <f>VLOOKUP(A1834,Metrik!$C$2:$Y$959,12,0)</f>
        <v>3.2</v>
      </c>
      <c r="M1834" s="20">
        <f>VLOOKUP(A1834,Metrik!$C$2:$Y$959,19,0)</f>
        <v>2.3</v>
      </c>
      <c r="N1834" s="21"/>
      <c r="O1834" s="21"/>
      <c r="P1834" s="21"/>
      <c r="Q1834" s="21"/>
      <c r="R1834" s="21"/>
      <c r="S1834" s="21"/>
      <c r="T1834" s="21"/>
      <c r="U1834" s="22">
        <f>IFERROR(__xludf.DUMMYFUNCTION("IFERROR(GOOGLEFINANCE(A1834,""closeyest""),"""")"),58.0)</f>
        <v>58</v>
      </c>
      <c r="V1834" s="23">
        <f>IFERROR(__xludf.DUMMYFUNCTION("IFERROR(GOOGLEFINANCE(A1834,""changepct""),"""")"),6.9)</f>
        <v>6.9</v>
      </c>
      <c r="W1834" s="22">
        <f>IFERROR(__xludf.DUMMYFUNCTION("IFERROR(GOOGLEFINANCE(A1834,""priceopen""),"""")"),59.0)</f>
        <v>59</v>
      </c>
      <c r="X1834" s="22" t="str">
        <f>IFERROR(__xludf.DUMMYFUNCTION("IFERROR(GOOGLEFINANCE(A1834,""high""),"""")"),"")</f>
        <v/>
      </c>
      <c r="Y1834" s="22">
        <f>IFERROR(__xludf.DUMMYFUNCTION("IFERROR(GOOGLEFINANCE(A1834,""low""),"""")"),57.0)</f>
        <v>57</v>
      </c>
      <c r="Z1834" s="22">
        <f>IFERROR(__xludf.DUMMYFUNCTION("IFERROR(GOOGLEFINANCE(A1834,""volume""),"""")"),8659500.0)</f>
        <v>8659500</v>
      </c>
      <c r="AA1834" s="24" t="str">
        <f>VLOOKUP(A1834,Metrik!$C$2:$Y$959,5,0)</f>
        <v>Consumer Financing</v>
      </c>
      <c r="AB1834" s="24" t="str">
        <f>VLOOKUP(A1834,Metrik!$C$2:$Y$959,3,0)</f>
        <v>Financials</v>
      </c>
    </row>
    <row r="1835">
      <c r="A1835" s="14" t="s">
        <v>993</v>
      </c>
      <c r="B1835" s="14" t="str">
        <f t="array" ref="B1835">VLOOKUP(A1835,{Metrik!$C$2:$C$998,Metrik!$B$2:$B$998},2,0)</f>
        <v>Wahana Pronatural Tbk</v>
      </c>
      <c r="C1835" s="15">
        <f>IFERROR(__xludf.DUMMYFUNCTION("GOOGLEFINANCE(""IDX:""&amp;A1835,""price"")"),111.0)</f>
        <v>111</v>
      </c>
      <c r="D1835" s="16" t="str">
        <f>IFERROR(__xludf.DUMMYFUNCTION("IF(A1835="""","""",
SPARKLINE(
INDEX(
GOOGLEFINANCE(""IDX:""&amp;A1835,""close"",TODAY()-365,TODAY()),
,2
),
{""linewidth"",1}
))
"),"#N/A")</f>
        <v>#N/A</v>
      </c>
      <c r="E1835" s="26"/>
      <c r="F1835" s="26"/>
      <c r="G1835" s="24">
        <f t="shared" si="11"/>
        <v>0</v>
      </c>
      <c r="H1835" s="19">
        <f>VLOOKUP(A1835,Metrik!$C$2:$Y$959,8,0)</f>
        <v>-15.3</v>
      </c>
      <c r="I1835" s="20">
        <f>VLOOKUP(A1835,Metrik!$C$2:$Y$959,9,0)</f>
        <v>2.5</v>
      </c>
      <c r="J1835" s="20">
        <f>VLOOKUP(A1835,Metrik!$C$2:$Y$959,10,0)</f>
        <v>-16.3</v>
      </c>
      <c r="K1835" s="20">
        <f>VLOOKUP(A1835,Metrik!$C$2:$Y$959,11,0)</f>
        <v>-6.9</v>
      </c>
      <c r="L1835" s="20">
        <f>VLOOKUP(A1835,Metrik!$C$2:$Y$959,12,0)</f>
        <v>1.4</v>
      </c>
      <c r="M1835" s="20">
        <f>VLOOKUP(A1835,Metrik!$C$2:$Y$959,19,0)</f>
        <v>-4.8</v>
      </c>
      <c r="N1835" s="21"/>
      <c r="O1835" s="21"/>
      <c r="P1835" s="21"/>
      <c r="Q1835" s="21"/>
      <c r="R1835" s="21"/>
      <c r="S1835" s="21"/>
      <c r="T1835" s="21"/>
      <c r="U1835" s="22">
        <f>IFERROR(__xludf.DUMMYFUNCTION("IFERROR(GOOGLEFINANCE(A1835,""closeyest""),"""")"),109.0)</f>
        <v>109</v>
      </c>
      <c r="V1835" s="23">
        <f>IFERROR(__xludf.DUMMYFUNCTION("IFERROR(GOOGLEFINANCE(A1835,""changepct""),"""")"),1.83)</f>
        <v>1.83</v>
      </c>
      <c r="W1835" s="22">
        <f>IFERROR(__xludf.DUMMYFUNCTION("IFERROR(GOOGLEFINANCE(A1835,""priceopen""),"""")"),109.0)</f>
        <v>109</v>
      </c>
      <c r="X1835" s="22">
        <f>IFERROR(__xludf.DUMMYFUNCTION("IFERROR(GOOGLEFINANCE(A1835,""high""),"""")"),114.0)</f>
        <v>114</v>
      </c>
      <c r="Y1835" s="22">
        <f>IFERROR(__xludf.DUMMYFUNCTION("IFERROR(GOOGLEFINANCE(A1835,""low""),"""")"),109.0)</f>
        <v>109</v>
      </c>
      <c r="Z1835" s="22">
        <f>IFERROR(__xludf.DUMMYFUNCTION("IFERROR(GOOGLEFINANCE(A1835,""volume""),"""")"),767300.0)</f>
        <v>767300</v>
      </c>
      <c r="AA1835" s="24" t="str">
        <f>VLOOKUP(A1835,Metrik!$C$2:$Y$959,5,0)</f>
        <v>Agricultural Products</v>
      </c>
      <c r="AB1835" s="24" t="str">
        <f>VLOOKUP(A1835,Metrik!$C$2:$Y$959,3,0)</f>
        <v>Consumer Non-Cyclicals</v>
      </c>
    </row>
    <row r="1836">
      <c r="A1836" s="17" t="s">
        <v>994</v>
      </c>
      <c r="B1836" s="14" t="str">
        <f t="array" ref="B1836">VLOOKUP(A1836,{Metrik!$C$2:$C$998,Metrik!$B$2:$B$998},2,0)</f>
        <v>BSA Logistics Indonesia Tbk.</v>
      </c>
      <c r="C1836" s="15">
        <f>IFERROR(__xludf.DUMMYFUNCTION("GOOGLEFINANCE(""IDX:""&amp;A1836,""price"")"),765.0)</f>
        <v>765</v>
      </c>
      <c r="D1836" s="16" t="str">
        <f>IFERROR(__xludf.DUMMYFUNCTION("IF(A1836="""","""",
SPARKLINE(
INDEX(
GOOGLEFINANCE(""IDX:""&amp;A1836,""close"",TODAY()-365,TODAY()),
,2
),
{""linewidth"",1}
))
"),"#N/A")</f>
        <v>#N/A</v>
      </c>
      <c r="E1836" s="14"/>
      <c r="F1836" s="17"/>
      <c r="G1836" s="18">
        <f t="shared" si="11"/>
        <v>0</v>
      </c>
      <c r="H1836" s="19">
        <f>VLOOKUP(A1836,Metrik!$C$2:$Y$959,8,0)</f>
        <v>180</v>
      </c>
      <c r="I1836" s="20">
        <f>VLOOKUP(A1836,Metrik!$C$2:$Y$959,9,0)</f>
        <v>17.7</v>
      </c>
      <c r="J1836" s="20">
        <f>VLOOKUP(A1836,Metrik!$C$2:$Y$959,10,0)</f>
        <v>10</v>
      </c>
      <c r="K1836" s="20">
        <f>VLOOKUP(A1836,Metrik!$C$2:$Y$959,11,0)</f>
        <v>2.9</v>
      </c>
      <c r="L1836" s="20">
        <f>VLOOKUP(A1836,Metrik!$C$2:$Y$959,12,0)</f>
        <v>2.5</v>
      </c>
      <c r="M1836" s="20">
        <f>VLOOKUP(A1836,Metrik!$C$2:$Y$959,19,0)</f>
        <v>2.1</v>
      </c>
      <c r="N1836" s="21"/>
      <c r="O1836" s="21"/>
      <c r="P1836" s="21"/>
      <c r="Q1836" s="21"/>
      <c r="R1836" s="21"/>
      <c r="S1836" s="21"/>
      <c r="T1836" s="21"/>
      <c r="U1836" s="22">
        <f>IFERROR(__xludf.DUMMYFUNCTION("IFERROR(GOOGLEFINANCE(A1836,""closeyest""),"""")"),715.0)</f>
        <v>715</v>
      </c>
      <c r="V1836" s="23">
        <f>IFERROR(__xludf.DUMMYFUNCTION("IFERROR(GOOGLEFINANCE(A1836,""changepct""),"""")"),6.99)</f>
        <v>6.99</v>
      </c>
      <c r="W1836" s="22">
        <f>IFERROR(__xludf.DUMMYFUNCTION("IFERROR(GOOGLEFINANCE(A1836,""priceopen""),"""")"),720.0)</f>
        <v>720</v>
      </c>
      <c r="X1836" s="22">
        <f>IFERROR(__xludf.DUMMYFUNCTION("IFERROR(GOOGLEFINANCE(A1836,""high""),"""")"),775.0)</f>
        <v>775</v>
      </c>
      <c r="Y1836" s="22">
        <f>IFERROR(__xludf.DUMMYFUNCTION("IFERROR(GOOGLEFINANCE(A1836,""low""),"""")"),720.0)</f>
        <v>720</v>
      </c>
      <c r="Z1836" s="22">
        <f>IFERROR(__xludf.DUMMYFUNCTION("IFERROR(GOOGLEFINANCE(A1836,""volume""),"""")"),3.88817E7)</f>
        <v>38881700</v>
      </c>
      <c r="AA1836" s="24" t="str">
        <f>VLOOKUP(A1836,Metrik!$C$2:$Y$959,5,0)</f>
        <v>Logistics &amp; Deliveries</v>
      </c>
      <c r="AB1836" s="24" t="str">
        <f>VLOOKUP(A1836,Metrik!$C$2:$Y$959,3,0)</f>
        <v>Transportation &amp; Logistic</v>
      </c>
    </row>
    <row r="1837">
      <c r="A1837" s="14" t="s">
        <v>995</v>
      </c>
      <c r="B1837" s="14" t="str">
        <f t="array" ref="B1837">VLOOKUP(A1837,{Metrik!$C$2:$C$998,Metrik!$B$2:$B$998},2,0)</f>
        <v>PT Wijaya Karya Bangunan Gedung Tbk.</v>
      </c>
      <c r="C1837" s="15">
        <f>IFERROR(__xludf.DUMMYFUNCTION("GOOGLEFINANCE(""IDX:""&amp;A1837,""price"")"),51.0)</f>
        <v>51</v>
      </c>
      <c r="D1837" s="16" t="str">
        <f>IFERROR(__xludf.DUMMYFUNCTION("IF(A1837="""","""",
SPARKLINE(
INDEX(
GOOGLEFINANCE(""IDX:""&amp;A1837,""close"",TODAY()-365,TODAY()),
,2
),
{""linewidth"",1}
))
"),"#N/A")</f>
        <v>#N/A</v>
      </c>
      <c r="E1837" s="26"/>
      <c r="F1837" s="26"/>
      <c r="G1837" s="24">
        <f t="shared" si="11"/>
        <v>0</v>
      </c>
      <c r="H1837" s="19">
        <f>VLOOKUP(A1837,Metrik!$C$2:$Y$959,8,0)</f>
        <v>-0.72</v>
      </c>
      <c r="I1837" s="20">
        <f>VLOOKUP(A1837,Metrik!$C$2:$Y$959,9,0)</f>
        <v>0.25</v>
      </c>
      <c r="J1837" s="20">
        <f>VLOOKUP(A1837,Metrik!$C$2:$Y$959,10,0)</f>
        <v>-34.4</v>
      </c>
      <c r="K1837" s="20">
        <f>VLOOKUP(A1837,Metrik!$C$2:$Y$959,11,0)</f>
        <v>-17.3</v>
      </c>
      <c r="L1837" s="20">
        <f>VLOOKUP(A1837,Metrik!$C$2:$Y$959,12,0)</f>
        <v>0.99</v>
      </c>
      <c r="M1837" s="20">
        <f>VLOOKUP(A1837,Metrik!$C$2:$Y$959,19,0)</f>
        <v>-310</v>
      </c>
      <c r="N1837" s="21"/>
      <c r="O1837" s="21"/>
      <c r="P1837" s="21"/>
      <c r="Q1837" s="21"/>
      <c r="R1837" s="21"/>
      <c r="S1837" s="21"/>
      <c r="T1837" s="21"/>
      <c r="U1837" s="22">
        <f>IFERROR(__xludf.DUMMYFUNCTION("IFERROR(GOOGLEFINANCE(A1837,""closeyest""),"""")"),50.0)</f>
        <v>50</v>
      </c>
      <c r="V1837" s="23">
        <f>IFERROR(__xludf.DUMMYFUNCTION("IFERROR(GOOGLEFINANCE(A1837,""changepct""),"""")"),2.0)</f>
        <v>2</v>
      </c>
      <c r="W1837" s="22">
        <f>IFERROR(__xludf.DUMMYFUNCTION("IFERROR(GOOGLEFINANCE(A1837,""priceopen""),"""")"),50.0)</f>
        <v>50</v>
      </c>
      <c r="X1837" s="22">
        <f>IFERROR(__xludf.DUMMYFUNCTION("IFERROR(GOOGLEFINANCE(A1837,""high""),"""")"),52.0)</f>
        <v>52</v>
      </c>
      <c r="Y1837" s="22">
        <f>IFERROR(__xludf.DUMMYFUNCTION("IFERROR(GOOGLEFINANCE(A1837,""low""),"""")"),50.0)</f>
        <v>50</v>
      </c>
      <c r="Z1837" s="22">
        <f>IFERROR(__xludf.DUMMYFUNCTION("IFERROR(GOOGLEFINANCE(A1837,""volume""),"""")"),1.76539E7)</f>
        <v>17653900</v>
      </c>
      <c r="AA1837" s="24" t="str">
        <f>VLOOKUP(A1837,Metrik!$C$2:$Y$959,5,0)</f>
        <v>Heavy Constructions &amp; Civil Engineering</v>
      </c>
      <c r="AB1837" s="24" t="str">
        <f>VLOOKUP(A1837,Metrik!$C$2:$Y$959,3,0)</f>
        <v>Infrastructures</v>
      </c>
    </row>
    <row r="1838">
      <c r="A1838" s="14" t="s">
        <v>996</v>
      </c>
      <c r="B1838" s="14" t="str">
        <f t="array" ref="B1838">VLOOKUP(A1838,{Metrik!$C$2:$C$998,Metrik!$B$2:$B$998},2,0)</f>
        <v>PT WEHA Transportasi Indonesia Tbk</v>
      </c>
      <c r="C1838" s="15">
        <f>IFERROR(__xludf.DUMMYFUNCTION("GOOGLEFINANCE(""IDX:""&amp;A1838,""price"")"),97.0)</f>
        <v>97</v>
      </c>
      <c r="D1838" s="16" t="str">
        <f>IFERROR(__xludf.DUMMYFUNCTION("IF(A1838="""","""",
SPARKLINE(
INDEX(
GOOGLEFINANCE(""IDX:""&amp;A1838,""close"",TODAY()-365,TODAY()),
,2
),
{""linewidth"",1}
))
"),"#N/A")</f>
        <v>#N/A</v>
      </c>
      <c r="E1838" s="26"/>
      <c r="F1838" s="26"/>
      <c r="G1838" s="24">
        <f t="shared" si="11"/>
        <v>0</v>
      </c>
      <c r="H1838" s="19">
        <f>VLOOKUP(A1838,Metrik!$C$2:$Y$959,8,0)</f>
        <v>7.4</v>
      </c>
      <c r="I1838" s="20">
        <f>VLOOKUP(A1838,Metrik!$C$2:$Y$959,9,0)</f>
        <v>0.68</v>
      </c>
      <c r="J1838" s="20">
        <f>VLOOKUP(A1838,Metrik!$C$2:$Y$959,10,0)</f>
        <v>9.2</v>
      </c>
      <c r="K1838" s="20">
        <f>VLOOKUP(A1838,Metrik!$C$2:$Y$959,11,0)</f>
        <v>5.8</v>
      </c>
      <c r="L1838" s="20">
        <f>VLOOKUP(A1838,Metrik!$C$2:$Y$959,12,0)</f>
        <v>0.58</v>
      </c>
      <c r="M1838" s="20">
        <f>VLOOKUP(A1838,Metrik!$C$2:$Y$959,19,0)</f>
        <v>29.6</v>
      </c>
      <c r="N1838" s="21"/>
      <c r="O1838" s="21"/>
      <c r="P1838" s="21"/>
      <c r="Q1838" s="21"/>
      <c r="R1838" s="21"/>
      <c r="S1838" s="21"/>
      <c r="T1838" s="21"/>
      <c r="U1838" s="22">
        <f>IFERROR(__xludf.DUMMYFUNCTION("IFERROR(GOOGLEFINANCE(A1838,""closeyest""),"""")"),95.0)</f>
        <v>95</v>
      </c>
      <c r="V1838" s="23">
        <f>IFERROR(__xludf.DUMMYFUNCTION("IFERROR(GOOGLEFINANCE(A1838,""changepct""),"""")"),2.11)</f>
        <v>2.11</v>
      </c>
      <c r="W1838" s="22">
        <f>IFERROR(__xludf.DUMMYFUNCTION("IFERROR(GOOGLEFINANCE(A1838,""priceopen""),"""")"),95.0)</f>
        <v>95</v>
      </c>
      <c r="X1838" s="22">
        <f>IFERROR(__xludf.DUMMYFUNCTION("IFERROR(GOOGLEFINANCE(A1838,""high""),"""")"),98.0)</f>
        <v>98</v>
      </c>
      <c r="Y1838" s="22">
        <f>IFERROR(__xludf.DUMMYFUNCTION("IFERROR(GOOGLEFINANCE(A1838,""low""),"""")"),94.0)</f>
        <v>94</v>
      </c>
      <c r="Z1838" s="22">
        <f>IFERROR(__xludf.DUMMYFUNCTION("IFERROR(GOOGLEFINANCE(A1838,""volume""),"""")"),1.5532E7)</f>
        <v>15532000</v>
      </c>
      <c r="AA1838" s="24" t="str">
        <f>VLOOKUP(A1838,Metrik!$C$2:$Y$959,5,0)</f>
        <v>Passenger Land Transportation</v>
      </c>
      <c r="AB1838" s="24" t="str">
        <f>VLOOKUP(A1838,Metrik!$C$2:$Y$959,3,0)</f>
        <v>Transportation &amp; Logistic</v>
      </c>
    </row>
    <row r="1839">
      <c r="A1839" s="14" t="s">
        <v>997</v>
      </c>
      <c r="B1839" s="14" t="str">
        <f t="array" ref="B1839">VLOOKUP(A1839,{Metrik!$C$2:$C$998,Metrik!$B$2:$B$998},2,0)</f>
        <v>Wira Global Solusi Tbk.</v>
      </c>
      <c r="C1839" s="15">
        <f>IFERROR(__xludf.DUMMYFUNCTION("GOOGLEFINANCE(""IDX:""&amp;A1839,""price"")"),113.0)</f>
        <v>113</v>
      </c>
      <c r="D1839" s="16" t="str">
        <f>IFERROR(__xludf.DUMMYFUNCTION("IF(A1839="""","""",
SPARKLINE(
INDEX(
GOOGLEFINANCE(""IDX:""&amp;A1839,""close"",TODAY()-365,TODAY()),
,2
),
{""linewidth"",1}
))
"),"#N/A")</f>
        <v>#N/A</v>
      </c>
      <c r="E1839" s="26"/>
      <c r="F1839" s="26"/>
      <c r="G1839" s="24">
        <f t="shared" si="11"/>
        <v>0</v>
      </c>
      <c r="H1839" s="19">
        <f>VLOOKUP(A1839,Metrik!$C$2:$Y$959,8,0)</f>
        <v>81.6</v>
      </c>
      <c r="I1839" s="20">
        <f>VLOOKUP(A1839,Metrik!$C$2:$Y$959,9,0)</f>
        <v>4</v>
      </c>
      <c r="J1839" s="20">
        <f>VLOOKUP(A1839,Metrik!$C$2:$Y$959,10,0)</f>
        <v>4.9</v>
      </c>
      <c r="K1839" s="20">
        <f>VLOOKUP(A1839,Metrik!$C$2:$Y$959,11,0)</f>
        <v>4.3</v>
      </c>
      <c r="L1839" s="20">
        <f>VLOOKUP(A1839,Metrik!$C$2:$Y$959,12,0)</f>
        <v>0.16</v>
      </c>
      <c r="M1839" s="20">
        <f>VLOOKUP(A1839,Metrik!$C$2:$Y$959,19,0)</f>
        <v>6.4</v>
      </c>
      <c r="N1839" s="21"/>
      <c r="O1839" s="21"/>
      <c r="P1839" s="21"/>
      <c r="Q1839" s="21"/>
      <c r="R1839" s="21"/>
      <c r="S1839" s="21"/>
      <c r="T1839" s="21"/>
      <c r="U1839" s="22">
        <f>IFERROR(__xludf.DUMMYFUNCTION("IFERROR(GOOGLEFINANCE(A1839,""closeyest""),"""")"),114.0)</f>
        <v>114</v>
      </c>
      <c r="V1839" s="23">
        <f>IFERROR(__xludf.DUMMYFUNCTION("IFERROR(GOOGLEFINANCE(A1839,""changepct""),"""")"),-0.88)</f>
        <v>-0.88</v>
      </c>
      <c r="W1839" s="22">
        <f>IFERROR(__xludf.DUMMYFUNCTION("IFERROR(GOOGLEFINANCE(A1839,""priceopen""),"""")"),115.0)</f>
        <v>115</v>
      </c>
      <c r="X1839" s="22">
        <f>IFERROR(__xludf.DUMMYFUNCTION("IFERROR(GOOGLEFINANCE(A1839,""high""),"""")"),115.0)</f>
        <v>115</v>
      </c>
      <c r="Y1839" s="22">
        <f>IFERROR(__xludf.DUMMYFUNCTION("IFERROR(GOOGLEFINANCE(A1839,""low""),"""")"),103.0)</f>
        <v>103</v>
      </c>
      <c r="Z1839" s="22">
        <f>IFERROR(__xludf.DUMMYFUNCTION("IFERROR(GOOGLEFINANCE(A1839,""volume""),"""")"),1.7704E7)</f>
        <v>17704000</v>
      </c>
      <c r="AA1839" s="24" t="str">
        <f>VLOOKUP(A1839,Metrik!$C$2:$Y$959,5,0)</f>
        <v>Software</v>
      </c>
      <c r="AB1839" s="24" t="str">
        <f>VLOOKUP(A1839,Metrik!$C$2:$Y$959,3,0)</f>
        <v>Technology</v>
      </c>
    </row>
    <row r="1840">
      <c r="A1840" s="14" t="s">
        <v>998</v>
      </c>
      <c r="B1840" s="14" t="str">
        <f t="array" ref="B1840">VLOOKUP(A1840,{Metrik!$C$2:$C$998,Metrik!$B$2:$B$998},2,0)</f>
        <v>Wicaksana Overseas International Tbk.</v>
      </c>
      <c r="C1840" s="15">
        <f>IFERROR(__xludf.DUMMYFUNCTION("GOOGLEFINANCE(""IDX:""&amp;A1840,""price"")"),123.0)</f>
        <v>123</v>
      </c>
      <c r="D1840" s="16" t="str">
        <f>IFERROR(__xludf.DUMMYFUNCTION("IF(A1840="""","""",
SPARKLINE(
INDEX(
GOOGLEFINANCE(""IDX:""&amp;A1840,""close"",TODAY()-365,TODAY()),
,2
),
{""linewidth"",1}
))
"),"#N/A")</f>
        <v>#N/A</v>
      </c>
      <c r="E1840" s="26"/>
      <c r="F1840" s="26"/>
      <c r="G1840" s="24">
        <f t="shared" si="11"/>
        <v>0</v>
      </c>
      <c r="H1840" s="19">
        <f>VLOOKUP(A1840,Metrik!$C$2:$Y$959,8,0)</f>
        <v>-2.3</v>
      </c>
      <c r="I1840" s="20">
        <f>VLOOKUP(A1840,Metrik!$C$2:$Y$959,9,0)</f>
        <v>-1.3</v>
      </c>
      <c r="J1840" s="20" t="str">
        <f>VLOOKUP(A1840,Metrik!$C$2:$Y$959,10,0)</f>
        <v/>
      </c>
      <c r="K1840" s="20">
        <f>VLOOKUP(A1840,Metrik!$C$2:$Y$959,11,0)</f>
        <v>-67.1</v>
      </c>
      <c r="L1840" s="20">
        <f>VLOOKUP(A1840,Metrik!$C$2:$Y$959,12,0)</f>
        <v>-1.7</v>
      </c>
      <c r="M1840" s="20">
        <f>VLOOKUP(A1840,Metrik!$C$2:$Y$959,19,0)</f>
        <v>-24.2</v>
      </c>
      <c r="N1840" s="21"/>
      <c r="O1840" s="21"/>
      <c r="P1840" s="21"/>
      <c r="Q1840" s="21"/>
      <c r="R1840" s="21"/>
      <c r="S1840" s="21"/>
      <c r="T1840" s="21"/>
      <c r="U1840" s="22">
        <f>IFERROR(__xludf.DUMMYFUNCTION("IFERROR(GOOGLEFINANCE(A1840,""closeyest""),"""")"),123.0)</f>
        <v>123</v>
      </c>
      <c r="V1840" s="23">
        <f>IFERROR(__xludf.DUMMYFUNCTION("IFERROR(GOOGLEFINANCE(A1840,""changepct""),"""")"),0.0)</f>
        <v>0</v>
      </c>
      <c r="W1840" s="22" t="str">
        <f>IFERROR(__xludf.DUMMYFUNCTION("IFERROR(GOOGLEFINANCE(A1840,""priceopen""),"""")"),"")</f>
        <v/>
      </c>
      <c r="X1840" s="22" t="str">
        <f>IFERROR(__xludf.DUMMYFUNCTION("IFERROR(GOOGLEFINANCE(A1840,""high""),"""")"),"")</f>
        <v/>
      </c>
      <c r="Y1840" s="22" t="str">
        <f>IFERROR(__xludf.DUMMYFUNCTION("IFERROR(GOOGLEFINANCE(A1840,""low""),"""")"),"")</f>
        <v/>
      </c>
      <c r="Z1840" s="22">
        <f>IFERROR(__xludf.DUMMYFUNCTION("IFERROR(GOOGLEFINANCE(A1840,""volume""),"""")"),0.0)</f>
        <v>0</v>
      </c>
      <c r="AA1840" s="24" t="str">
        <f>VLOOKUP(A1840,Metrik!$C$2:$Y$959,5,0)</f>
        <v>Food &amp; Staples Retailing</v>
      </c>
      <c r="AB1840" s="24" t="str">
        <f>VLOOKUP(A1840,Metrik!$C$2:$Y$959,3,0)</f>
        <v>Consumer Non-Cyclicals</v>
      </c>
    </row>
    <row r="1841">
      <c r="A1841" s="14" t="s">
        <v>999</v>
      </c>
      <c r="B1841" s="14" t="str">
        <f t="array" ref="B1841">VLOOKUP(A1841,{Metrik!$C$2:$C$998,Metrik!$B$2:$B$998},2,0)</f>
        <v>PT Widiant Jaya Krenindo Tbk.</v>
      </c>
      <c r="C1841" s="15">
        <f>IFERROR(__xludf.DUMMYFUNCTION("GOOGLEFINANCE(""IDX:""&amp;A1841,""price"")"),23.0)</f>
        <v>23</v>
      </c>
      <c r="D1841" s="16" t="str">
        <f>IFERROR(__xludf.DUMMYFUNCTION("IF(A1841="""","""",
SPARKLINE(
INDEX(
GOOGLEFINANCE(""IDX:""&amp;A1841,""close"",TODAY()-365,TODAY()),
,2
),
{""linewidth"",1}
))
"),"#N/A")</f>
        <v>#N/A</v>
      </c>
      <c r="E1841" s="26"/>
      <c r="F1841" s="26"/>
      <c r="G1841" s="24">
        <f t="shared" si="11"/>
        <v>0</v>
      </c>
      <c r="H1841" s="19">
        <f>VLOOKUP(A1841,Metrik!$C$2:$Y$959,8,0)</f>
        <v>-32.5</v>
      </c>
      <c r="I1841" s="20">
        <f>VLOOKUP(A1841,Metrik!$C$2:$Y$959,9,0)</f>
        <v>0.97</v>
      </c>
      <c r="J1841" s="20">
        <f>VLOOKUP(A1841,Metrik!$C$2:$Y$959,10,0)</f>
        <v>-3</v>
      </c>
      <c r="K1841" s="20">
        <f>VLOOKUP(A1841,Metrik!$C$2:$Y$959,11,0)</f>
        <v>-2.9</v>
      </c>
      <c r="L1841" s="20">
        <f>VLOOKUP(A1841,Metrik!$C$2:$Y$959,12,0)</f>
        <v>0.04</v>
      </c>
      <c r="M1841" s="20">
        <f>VLOOKUP(A1841,Metrik!$C$2:$Y$959,19,0)</f>
        <v>-8.6</v>
      </c>
      <c r="N1841" s="21"/>
      <c r="O1841" s="21"/>
      <c r="P1841" s="21"/>
      <c r="Q1841" s="21"/>
      <c r="R1841" s="21"/>
      <c r="S1841" s="21"/>
      <c r="T1841" s="21"/>
      <c r="U1841" s="22">
        <f>IFERROR(__xludf.DUMMYFUNCTION("IFERROR(GOOGLEFINANCE(A1841,""closeyest""),"""")"),23.0)</f>
        <v>23</v>
      </c>
      <c r="V1841" s="23">
        <f>IFERROR(__xludf.DUMMYFUNCTION("IFERROR(GOOGLEFINANCE(A1841,""changepct""),"""")"),0.0)</f>
        <v>0</v>
      </c>
      <c r="W1841" s="22">
        <f>IFERROR(__xludf.DUMMYFUNCTION("IFERROR(GOOGLEFINANCE(A1841,""priceopen""),"""")"),23.0)</f>
        <v>23</v>
      </c>
      <c r="X1841" s="22">
        <f>IFERROR(__xludf.DUMMYFUNCTION("IFERROR(GOOGLEFINANCE(A1841,""high""),"""")"),25.0)</f>
        <v>25</v>
      </c>
      <c r="Y1841" s="22">
        <f>IFERROR(__xludf.DUMMYFUNCTION("IFERROR(GOOGLEFINANCE(A1841,""low""),"""")"),22.0)</f>
        <v>22</v>
      </c>
      <c r="Z1841" s="22">
        <f>IFERROR(__xludf.DUMMYFUNCTION("IFERROR(GOOGLEFINANCE(A1841,""volume""),"""")"),5182600.0)</f>
        <v>5182600</v>
      </c>
      <c r="AA1841" s="24" t="str">
        <f>VLOOKUP(A1841,Metrik!$C$2:$Y$959,5,0)</f>
        <v>Machinery</v>
      </c>
      <c r="AB1841" s="24" t="str">
        <f>VLOOKUP(A1841,Metrik!$C$2:$Y$959,3,0)</f>
        <v>Industrials</v>
      </c>
    </row>
    <row r="1842">
      <c r="A1842" s="17" t="s">
        <v>1000</v>
      </c>
      <c r="B1842" s="14" t="str">
        <f t="array" ref="B1842">VLOOKUP(A1842,{Metrik!$C$2:$C$998,Metrik!$B$2:$B$998},2,0)</f>
        <v>Solusi Sinergi Digital Tbk.</v>
      </c>
      <c r="C1842" s="15">
        <f>IFERROR(__xludf.DUMMYFUNCTION("GOOGLEFINANCE(""IDX:""&amp;A1842,""price"")"),1595.0)</f>
        <v>1595</v>
      </c>
      <c r="D1842" s="16" t="str">
        <f>IFERROR(__xludf.DUMMYFUNCTION("IF(A1842="""","""",
SPARKLINE(
INDEX(
GOOGLEFINANCE(""IDX:""&amp;A1842,""close"",TODAY()-365,TODAY()),
,2
),
{""linewidth"",1}
))
"),"#N/A")</f>
        <v>#N/A</v>
      </c>
      <c r="E1842" s="14" t="s">
        <v>65</v>
      </c>
      <c r="F1842" s="37">
        <v>46356.0</v>
      </c>
      <c r="G1842" s="38">
        <f t="shared" si="11"/>
        <v>10</v>
      </c>
      <c r="H1842" s="34">
        <f>VLOOKUP(A1842,Metrik!$C$2:$Y$959,8,0)</f>
        <v>22.2</v>
      </c>
      <c r="I1842" s="34">
        <f>VLOOKUP(A1842,Metrik!$C$2:$Y$959,9,0)</f>
        <v>1.2</v>
      </c>
      <c r="J1842" s="34">
        <f>VLOOKUP(A1842,Metrik!$C$2:$Y$959,10,0)</f>
        <v>5.6</v>
      </c>
      <c r="K1842" s="34">
        <f>VLOOKUP(A1842,Metrik!$C$2:$Y$959,11,0)</f>
        <v>3</v>
      </c>
      <c r="L1842" s="34">
        <f>VLOOKUP(A1842,Metrik!$C$2:$Y$959,12,0)</f>
        <v>0.85</v>
      </c>
      <c r="M1842" s="34">
        <f>VLOOKUP(A1842,Metrik!$C$2:$Y$959,19,0)</f>
        <v>62.6</v>
      </c>
      <c r="N1842" s="26"/>
      <c r="O1842" s="26"/>
      <c r="P1842" s="26"/>
      <c r="Q1842" s="26"/>
      <c r="R1842" s="26"/>
      <c r="S1842" s="26"/>
      <c r="T1842" s="26"/>
      <c r="U1842" s="35">
        <f>IFERROR(__xludf.DUMMYFUNCTION("IFERROR(GOOGLEFINANCE(A1842,""closeyest""),"""")"),0.03)</f>
        <v>0.03</v>
      </c>
      <c r="V1842" s="36">
        <f>IFERROR(__xludf.DUMMYFUNCTION("IFERROR(GOOGLEFINANCE(A1842,""changepct""),"""")"),0.0)</f>
        <v>0</v>
      </c>
      <c r="W1842" s="35" t="str">
        <f>IFERROR(__xludf.DUMMYFUNCTION("IFERROR(GOOGLEFINANCE(A1842,""priceopen""),"""")"),"")</f>
        <v/>
      </c>
      <c r="X1842" s="35" t="str">
        <f>IFERROR(__xludf.DUMMYFUNCTION("IFERROR(GOOGLEFINANCE(A1842,""high""),"""")"),"")</f>
        <v/>
      </c>
      <c r="Y1842" s="35" t="str">
        <f>IFERROR(__xludf.DUMMYFUNCTION("IFERROR(GOOGLEFINANCE(A1842,""low""),"""")"),"")</f>
        <v/>
      </c>
      <c r="Z1842" s="35">
        <f>IFERROR(__xludf.DUMMYFUNCTION("IFERROR(GOOGLEFINANCE(A1842,""volume""),"""")"),0.0)</f>
        <v>0</v>
      </c>
      <c r="AA1842" s="14" t="str">
        <f>VLOOKUP(A1842,Metrik!$C$2:$Y$959,5,0)</f>
        <v>Online Applications &amp; Services</v>
      </c>
      <c r="AB1842" s="14" t="str">
        <f>VLOOKUP(A1842,Metrik!$C$2:$Y$959,3,0)</f>
        <v>Technology</v>
      </c>
    </row>
    <row r="1843">
      <c r="A1843" s="17" t="s">
        <v>1000</v>
      </c>
      <c r="B1843" s="14" t="str">
        <f t="array" ref="B1843">VLOOKUP(A1843,{Metrik!$C$2:$C$998,Metrik!$B$2:$B$998},2,0)</f>
        <v>Solusi Sinergi Digital Tbk.</v>
      </c>
      <c r="C1843" s="15">
        <f>IFERROR(__xludf.DUMMYFUNCTION("GOOGLEFINANCE(""IDX:""&amp;A1843,""price"")"),1595.0)</f>
        <v>1595</v>
      </c>
      <c r="D1843" s="16" t="str">
        <f>IFERROR(__xludf.DUMMYFUNCTION("IF(A1843="""","""",
SPARKLINE(
INDEX(
GOOGLEFINANCE(""IDX:""&amp;A1843,""close"",TODAY()-365,TODAY()),
,2
),
{""linewidth"",1}
))
"),"#N/A")</f>
        <v>#N/A</v>
      </c>
      <c r="E1843" s="14" t="s">
        <v>38</v>
      </c>
      <c r="F1843" s="25">
        <v>46356.0</v>
      </c>
      <c r="G1843" s="18">
        <f t="shared" si="11"/>
        <v>10</v>
      </c>
      <c r="H1843" s="19">
        <f>VLOOKUP(A1843,Metrik!$C$2:$Y$959,8,0)</f>
        <v>22.2</v>
      </c>
      <c r="I1843" s="20">
        <f>VLOOKUP(A1843,Metrik!$C$2:$Y$959,9,0)</f>
        <v>1.2</v>
      </c>
      <c r="J1843" s="20">
        <f>VLOOKUP(A1843,Metrik!$C$2:$Y$959,10,0)</f>
        <v>5.6</v>
      </c>
      <c r="K1843" s="20">
        <f>VLOOKUP(A1843,Metrik!$C$2:$Y$959,11,0)</f>
        <v>3</v>
      </c>
      <c r="L1843" s="20">
        <f>VLOOKUP(A1843,Metrik!$C$2:$Y$959,12,0)</f>
        <v>0.85</v>
      </c>
      <c r="M1843" s="20">
        <f>VLOOKUP(A1843,Metrik!$C$2:$Y$959,19,0)</f>
        <v>62.6</v>
      </c>
      <c r="N1843" s="21"/>
      <c r="O1843" s="21"/>
      <c r="P1843" s="21"/>
      <c r="Q1843" s="21"/>
      <c r="R1843" s="21"/>
      <c r="S1843" s="21"/>
      <c r="T1843" s="21"/>
      <c r="U1843" s="22">
        <f>IFERROR(__xludf.DUMMYFUNCTION("IFERROR(GOOGLEFINANCE(A1843,""closeyest""),"""")"),0.03)</f>
        <v>0.03</v>
      </c>
      <c r="V1843" s="23">
        <f>IFERROR(__xludf.DUMMYFUNCTION("IFERROR(GOOGLEFINANCE(A1843,""changepct""),"""")"),0.0)</f>
        <v>0</v>
      </c>
      <c r="W1843" s="22" t="str">
        <f>IFERROR(__xludf.DUMMYFUNCTION("IFERROR(GOOGLEFINANCE(A1843,""priceopen""),"""")"),"")</f>
        <v/>
      </c>
      <c r="X1843" s="22" t="str">
        <f>IFERROR(__xludf.DUMMYFUNCTION("IFERROR(GOOGLEFINANCE(A1843,""high""),"""")"),"")</f>
        <v/>
      </c>
      <c r="Y1843" s="22" t="str">
        <f>IFERROR(__xludf.DUMMYFUNCTION("IFERROR(GOOGLEFINANCE(A1843,""low""),"""")"),"")</f>
        <v/>
      </c>
      <c r="Z1843" s="22">
        <f>IFERROR(__xludf.DUMMYFUNCTION("IFERROR(GOOGLEFINANCE(A1843,""volume""),"""")"),0.0)</f>
        <v>0</v>
      </c>
      <c r="AA1843" s="24" t="str">
        <f>VLOOKUP(A1843,Metrik!$C$2:$Y$959,5,0)</f>
        <v>Online Applications &amp; Services</v>
      </c>
      <c r="AB1843" s="24" t="str">
        <f>VLOOKUP(A1843,Metrik!$C$2:$Y$959,3,0)</f>
        <v>Technology</v>
      </c>
    </row>
    <row r="1844">
      <c r="A1844" s="17" t="s">
        <v>1000</v>
      </c>
      <c r="B1844" s="14" t="str">
        <f t="array" ref="B1844">VLOOKUP(A1844,{Metrik!$C$2:$C$998,Metrik!$B$2:$B$998},2,0)</f>
        <v>Solusi Sinergi Digital Tbk.</v>
      </c>
      <c r="C1844" s="15">
        <f>IFERROR(__xludf.DUMMYFUNCTION("GOOGLEFINANCE(""IDX:""&amp;A1844,""price"")"),1595.0)</f>
        <v>1595</v>
      </c>
      <c r="D1844" s="16" t="str">
        <f>IFERROR(__xludf.DUMMYFUNCTION("IF(A1844="""","""",
SPARKLINE(
INDEX(
GOOGLEFINANCE(""IDX:""&amp;A1844,""close"",TODAY()-365,TODAY()),
,2
),
{""linewidth"",1}
))
"),"#N/A")</f>
        <v>#N/A</v>
      </c>
      <c r="E1844" s="14" t="s">
        <v>39</v>
      </c>
      <c r="F1844" s="25">
        <v>46356.0</v>
      </c>
      <c r="G1844" s="18">
        <f t="shared" si="11"/>
        <v>10</v>
      </c>
      <c r="H1844" s="19">
        <f>VLOOKUP(A1844,Metrik!$C$2:$Y$959,8,0)</f>
        <v>22.2</v>
      </c>
      <c r="I1844" s="20">
        <f>VLOOKUP(A1844,Metrik!$C$2:$Y$959,9,0)</f>
        <v>1.2</v>
      </c>
      <c r="J1844" s="20">
        <f>VLOOKUP(A1844,Metrik!$C$2:$Y$959,10,0)</f>
        <v>5.6</v>
      </c>
      <c r="K1844" s="20">
        <f>VLOOKUP(A1844,Metrik!$C$2:$Y$959,11,0)</f>
        <v>3</v>
      </c>
      <c r="L1844" s="20">
        <f>VLOOKUP(A1844,Metrik!$C$2:$Y$959,12,0)</f>
        <v>0.85</v>
      </c>
      <c r="M1844" s="20">
        <f>VLOOKUP(A1844,Metrik!$C$2:$Y$959,19,0)</f>
        <v>62.6</v>
      </c>
      <c r="N1844" s="21"/>
      <c r="O1844" s="21"/>
      <c r="P1844" s="21"/>
      <c r="Q1844" s="21"/>
      <c r="R1844" s="21"/>
      <c r="S1844" s="21"/>
      <c r="T1844" s="21"/>
      <c r="U1844" s="22">
        <f>IFERROR(__xludf.DUMMYFUNCTION("IFERROR(GOOGLEFINANCE(A1844,""closeyest""),"""")"),0.03)</f>
        <v>0.03</v>
      </c>
      <c r="V1844" s="23">
        <f>IFERROR(__xludf.DUMMYFUNCTION("IFERROR(GOOGLEFINANCE(A1844,""changepct""),"""")"),0.0)</f>
        <v>0</v>
      </c>
      <c r="W1844" s="22" t="str">
        <f>IFERROR(__xludf.DUMMYFUNCTION("IFERROR(GOOGLEFINANCE(A1844,""priceopen""),"""")"),"")</f>
        <v/>
      </c>
      <c r="X1844" s="22" t="str">
        <f>IFERROR(__xludf.DUMMYFUNCTION("IFERROR(GOOGLEFINANCE(A1844,""high""),"""")"),"")</f>
        <v/>
      </c>
      <c r="Y1844" s="22" t="str">
        <f>IFERROR(__xludf.DUMMYFUNCTION("IFERROR(GOOGLEFINANCE(A1844,""low""),"""")"),"")</f>
        <v/>
      </c>
      <c r="Z1844" s="22">
        <f>IFERROR(__xludf.DUMMYFUNCTION("IFERROR(GOOGLEFINANCE(A1844,""volume""),"""")"),0.0)</f>
        <v>0</v>
      </c>
      <c r="AA1844" s="24" t="str">
        <f>VLOOKUP(A1844,Metrik!$C$2:$Y$959,5,0)</f>
        <v>Online Applications &amp; Services</v>
      </c>
      <c r="AB1844" s="24" t="str">
        <f>VLOOKUP(A1844,Metrik!$C$2:$Y$959,3,0)</f>
        <v>Technology</v>
      </c>
    </row>
    <row r="1845">
      <c r="A1845" s="17" t="s">
        <v>1000</v>
      </c>
      <c r="B1845" s="14" t="str">
        <f t="array" ref="B1845">VLOOKUP(A1845,{Metrik!$C$2:$C$998,Metrik!$B$2:$B$998},2,0)</f>
        <v>Solusi Sinergi Digital Tbk.</v>
      </c>
      <c r="C1845" s="15">
        <f>IFERROR(__xludf.DUMMYFUNCTION("GOOGLEFINANCE(""IDX:""&amp;A1845,""price"")"),1595.0)</f>
        <v>1595</v>
      </c>
      <c r="D1845" s="16" t="str">
        <f>IFERROR(__xludf.DUMMYFUNCTION("IF(A1845="""","""",
SPARKLINE(
INDEX(
GOOGLEFINANCE(""IDX:""&amp;A1845,""close"",TODAY()-365,TODAY()),
,2
),
{""linewidth"",1}
))
"),"#N/A")</f>
        <v>#N/A</v>
      </c>
      <c r="E1845" s="14" t="s">
        <v>35</v>
      </c>
      <c r="F1845" s="17" t="s">
        <v>36</v>
      </c>
      <c r="G1845" s="24">
        <f t="shared" si="11"/>
        <v>10</v>
      </c>
      <c r="H1845" s="19">
        <f>VLOOKUP(A1845,Metrik!$C$2:$Y$959,8,0)</f>
        <v>22.2</v>
      </c>
      <c r="I1845" s="20">
        <f>VLOOKUP(A1845,Metrik!$C$2:$Y$959,9,0)</f>
        <v>1.2</v>
      </c>
      <c r="J1845" s="20">
        <f>VLOOKUP(A1845,Metrik!$C$2:$Y$959,10,0)</f>
        <v>5.6</v>
      </c>
      <c r="K1845" s="20">
        <f>VLOOKUP(A1845,Metrik!$C$2:$Y$959,11,0)</f>
        <v>3</v>
      </c>
      <c r="L1845" s="20">
        <f>VLOOKUP(A1845,Metrik!$C$2:$Y$959,12,0)</f>
        <v>0.85</v>
      </c>
      <c r="M1845" s="20">
        <f>VLOOKUP(A1845,Metrik!$C$2:$Y$959,19,0)</f>
        <v>62.6</v>
      </c>
      <c r="N1845" s="21"/>
      <c r="O1845" s="21"/>
      <c r="P1845" s="21"/>
      <c r="Q1845" s="21"/>
      <c r="R1845" s="21"/>
      <c r="S1845" s="21"/>
      <c r="T1845" s="21"/>
      <c r="U1845" s="22">
        <f>IFERROR(__xludf.DUMMYFUNCTION("IFERROR(GOOGLEFINANCE(A1845,""closeyest""),"""")"),0.03)</f>
        <v>0.03</v>
      </c>
      <c r="V1845" s="23">
        <f>IFERROR(__xludf.DUMMYFUNCTION("IFERROR(GOOGLEFINANCE(A1845,""changepct""),"""")"),0.0)</f>
        <v>0</v>
      </c>
      <c r="W1845" s="22" t="str">
        <f>IFERROR(__xludf.DUMMYFUNCTION("IFERROR(GOOGLEFINANCE(A1845,""priceopen""),"""")"),"")</f>
        <v/>
      </c>
      <c r="X1845" s="22" t="str">
        <f>IFERROR(__xludf.DUMMYFUNCTION("IFERROR(GOOGLEFINANCE(A1845,""high""),"""")"),"")</f>
        <v/>
      </c>
      <c r="Y1845" s="22" t="str">
        <f>IFERROR(__xludf.DUMMYFUNCTION("IFERROR(GOOGLEFINANCE(A1845,""low""),"""")"),"")</f>
        <v/>
      </c>
      <c r="Z1845" s="22">
        <f>IFERROR(__xludf.DUMMYFUNCTION("IFERROR(GOOGLEFINANCE(A1845,""volume""),"""")"),0.0)</f>
        <v>0</v>
      </c>
      <c r="AA1845" s="24" t="str">
        <f>VLOOKUP(A1845,Metrik!$C$2:$Y$959,5,0)</f>
        <v>Online Applications &amp; Services</v>
      </c>
      <c r="AB1845" s="24" t="str">
        <f>VLOOKUP(A1845,Metrik!$C$2:$Y$959,3,0)</f>
        <v>Technology</v>
      </c>
    </row>
    <row r="1846">
      <c r="A1846" s="17" t="s">
        <v>1000</v>
      </c>
      <c r="B1846" s="14" t="str">
        <f t="array" ref="B1846">VLOOKUP(A1846,{Metrik!$C$2:$C$998,Metrik!$B$2:$B$998},2,0)</f>
        <v>Solusi Sinergi Digital Tbk.</v>
      </c>
      <c r="C1846" s="15">
        <f>IFERROR(__xludf.DUMMYFUNCTION("GOOGLEFINANCE(""IDX:""&amp;A1846,""price"")"),1595.0)</f>
        <v>1595</v>
      </c>
      <c r="D1846" s="16" t="str">
        <f>IFERROR(__xludf.DUMMYFUNCTION("IF(A1846="""","""",
SPARKLINE(
INDEX(
GOOGLEFINANCE(""IDX:""&amp;A1846,""close"",TODAY()-365,TODAY()),
,2
),
{""linewidth"",1}
))
"),"#N/A")</f>
        <v>#N/A</v>
      </c>
      <c r="E1846" s="14" t="s">
        <v>31</v>
      </c>
      <c r="F1846" s="17" t="s">
        <v>29</v>
      </c>
      <c r="G1846" s="18">
        <f t="shared" si="11"/>
        <v>10</v>
      </c>
      <c r="H1846" s="19">
        <f>VLOOKUP(A1846,Metrik!$C$2:$Y$959,8,0)</f>
        <v>22.2</v>
      </c>
      <c r="I1846" s="20">
        <f>VLOOKUP(A1846,Metrik!$C$2:$Y$959,9,0)</f>
        <v>1.2</v>
      </c>
      <c r="J1846" s="20">
        <f>VLOOKUP(A1846,Metrik!$C$2:$Y$959,10,0)</f>
        <v>5.6</v>
      </c>
      <c r="K1846" s="20">
        <f>VLOOKUP(A1846,Metrik!$C$2:$Y$959,11,0)</f>
        <v>3</v>
      </c>
      <c r="L1846" s="20">
        <f>VLOOKUP(A1846,Metrik!$C$2:$Y$959,12,0)</f>
        <v>0.85</v>
      </c>
      <c r="M1846" s="20">
        <f>VLOOKUP(A1846,Metrik!$C$2:$Y$959,19,0)</f>
        <v>62.6</v>
      </c>
      <c r="N1846" s="21"/>
      <c r="O1846" s="21"/>
      <c r="P1846" s="21"/>
      <c r="Q1846" s="21"/>
      <c r="R1846" s="21"/>
      <c r="S1846" s="21"/>
      <c r="T1846" s="21"/>
      <c r="U1846" s="22">
        <f>IFERROR(__xludf.DUMMYFUNCTION("IFERROR(GOOGLEFINANCE(A1846,""closeyest""),"""")"),0.03)</f>
        <v>0.03</v>
      </c>
      <c r="V1846" s="23">
        <f>IFERROR(__xludf.DUMMYFUNCTION("IFERROR(GOOGLEFINANCE(A1846,""changepct""),"""")"),0.0)</f>
        <v>0</v>
      </c>
      <c r="W1846" s="22" t="str">
        <f>IFERROR(__xludf.DUMMYFUNCTION("IFERROR(GOOGLEFINANCE(A1846,""priceopen""),"""")"),"")</f>
        <v/>
      </c>
      <c r="X1846" s="22" t="str">
        <f>IFERROR(__xludf.DUMMYFUNCTION("IFERROR(GOOGLEFINANCE(A1846,""high""),"""")"),"")</f>
        <v/>
      </c>
      <c r="Y1846" s="22" t="str">
        <f>IFERROR(__xludf.DUMMYFUNCTION("IFERROR(GOOGLEFINANCE(A1846,""low""),"""")"),"")</f>
        <v/>
      </c>
      <c r="Z1846" s="22">
        <f>IFERROR(__xludf.DUMMYFUNCTION("IFERROR(GOOGLEFINANCE(A1846,""volume""),"""")"),0.0)</f>
        <v>0</v>
      </c>
      <c r="AA1846" s="24" t="str">
        <f>VLOOKUP(A1846,Metrik!$C$2:$Y$959,5,0)</f>
        <v>Online Applications &amp; Services</v>
      </c>
      <c r="AB1846" s="24" t="str">
        <f>VLOOKUP(A1846,Metrik!$C$2:$Y$959,3,0)</f>
        <v>Technology</v>
      </c>
    </row>
    <row r="1847">
      <c r="A1847" s="17" t="s">
        <v>1000</v>
      </c>
      <c r="B1847" s="14" t="str">
        <f t="array" ref="B1847">VLOOKUP(A1847,{Metrik!$C$2:$C$998,Metrik!$B$2:$B$998},2,0)</f>
        <v>Solusi Sinergi Digital Tbk.</v>
      </c>
      <c r="C1847" s="15">
        <f>IFERROR(__xludf.DUMMYFUNCTION("GOOGLEFINANCE(""IDX:""&amp;A1847,""price"")"),1595.0)</f>
        <v>1595</v>
      </c>
      <c r="D1847" s="16" t="str">
        <f>IFERROR(__xludf.DUMMYFUNCTION("IF(A1847="""","""",
SPARKLINE(
INDEX(
GOOGLEFINANCE(""IDX:""&amp;A1847,""close"",TODAY()-365,TODAY()),
,2
),
{""linewidth"",1}
))
"),"#N/A")</f>
        <v>#N/A</v>
      </c>
      <c r="E1847" s="14" t="s">
        <v>85</v>
      </c>
      <c r="F1847" s="17" t="s">
        <v>51</v>
      </c>
      <c r="G1847" s="24">
        <f t="shared" si="11"/>
        <v>10</v>
      </c>
      <c r="H1847" s="19">
        <f>VLOOKUP(A1847,Metrik!$C$2:$Y$959,8,0)</f>
        <v>22.2</v>
      </c>
      <c r="I1847" s="20">
        <f>VLOOKUP(A1847,Metrik!$C$2:$Y$959,9,0)</f>
        <v>1.2</v>
      </c>
      <c r="J1847" s="20">
        <f>VLOOKUP(A1847,Metrik!$C$2:$Y$959,10,0)</f>
        <v>5.6</v>
      </c>
      <c r="K1847" s="20">
        <f>VLOOKUP(A1847,Metrik!$C$2:$Y$959,11,0)</f>
        <v>3</v>
      </c>
      <c r="L1847" s="20">
        <f>VLOOKUP(A1847,Metrik!$C$2:$Y$959,12,0)</f>
        <v>0.85</v>
      </c>
      <c r="M1847" s="20">
        <f>VLOOKUP(A1847,Metrik!$C$2:$Y$959,19,0)</f>
        <v>62.6</v>
      </c>
      <c r="N1847" s="21"/>
      <c r="O1847" s="21"/>
      <c r="P1847" s="21"/>
      <c r="Q1847" s="21"/>
      <c r="R1847" s="21"/>
      <c r="S1847" s="21"/>
      <c r="T1847" s="21"/>
      <c r="U1847" s="22">
        <f>IFERROR(__xludf.DUMMYFUNCTION("IFERROR(GOOGLEFINANCE(A1847,""closeyest""),"""")"),0.03)</f>
        <v>0.03</v>
      </c>
      <c r="V1847" s="23">
        <f>IFERROR(__xludf.DUMMYFUNCTION("IFERROR(GOOGLEFINANCE(A1847,""changepct""),"""")"),0.0)</f>
        <v>0</v>
      </c>
      <c r="W1847" s="22" t="str">
        <f>IFERROR(__xludf.DUMMYFUNCTION("IFERROR(GOOGLEFINANCE(A1847,""priceopen""),"""")"),"")</f>
        <v/>
      </c>
      <c r="X1847" s="22" t="str">
        <f>IFERROR(__xludf.DUMMYFUNCTION("IFERROR(GOOGLEFINANCE(A1847,""high""),"""")"),"")</f>
        <v/>
      </c>
      <c r="Y1847" s="22" t="str">
        <f>IFERROR(__xludf.DUMMYFUNCTION("IFERROR(GOOGLEFINANCE(A1847,""low""),"""")"),"")</f>
        <v/>
      </c>
      <c r="Z1847" s="22">
        <f>IFERROR(__xludf.DUMMYFUNCTION("IFERROR(GOOGLEFINANCE(A1847,""volume""),"""")"),0.0)</f>
        <v>0</v>
      </c>
      <c r="AA1847" s="24" t="str">
        <f>VLOOKUP(A1847,Metrik!$C$2:$Y$959,5,0)</f>
        <v>Online Applications &amp; Services</v>
      </c>
      <c r="AB1847" s="24" t="str">
        <f>VLOOKUP(A1847,Metrik!$C$2:$Y$959,3,0)</f>
        <v>Technology</v>
      </c>
    </row>
    <row r="1848">
      <c r="A1848" s="14" t="s">
        <v>1000</v>
      </c>
      <c r="B1848" s="14" t="str">
        <f t="array" ref="B1848">VLOOKUP(A1848,{Metrik!$C$2:$C$998,Metrik!$B$2:$B$998},2,0)</f>
        <v>Solusi Sinergi Digital Tbk.</v>
      </c>
      <c r="C1848" s="15">
        <f>IFERROR(__xludf.DUMMYFUNCTION("GOOGLEFINANCE(""IDX:""&amp;A1848,""price"")"),1595.0)</f>
        <v>1595</v>
      </c>
      <c r="D1848" s="16" t="str">
        <f>IFERROR(__xludf.DUMMYFUNCTION("IF(A1848="""","""",
SPARKLINE(
INDEX(
GOOGLEFINANCE(""IDX:""&amp;A1848,""close"",TODAY()-365,TODAY()),
,2
),
{""linewidth"",1}
))
"),"#N/A")</f>
        <v>#N/A</v>
      </c>
      <c r="E1848" s="14" t="s">
        <v>68</v>
      </c>
      <c r="F1848" s="14" t="s">
        <v>34</v>
      </c>
      <c r="G1848" s="24">
        <f t="shared" si="11"/>
        <v>10</v>
      </c>
      <c r="H1848" s="19">
        <f>VLOOKUP(A1848,Metrik!$C$2:$Y$959,8,0)</f>
        <v>22.2</v>
      </c>
      <c r="I1848" s="20">
        <f>VLOOKUP(A1848,Metrik!$C$2:$Y$959,9,0)</f>
        <v>1.2</v>
      </c>
      <c r="J1848" s="20">
        <f>VLOOKUP(A1848,Metrik!$C$2:$Y$959,10,0)</f>
        <v>5.6</v>
      </c>
      <c r="K1848" s="20">
        <f>VLOOKUP(A1848,Metrik!$C$2:$Y$959,11,0)</f>
        <v>3</v>
      </c>
      <c r="L1848" s="20">
        <f>VLOOKUP(A1848,Metrik!$C$2:$Y$959,12,0)</f>
        <v>0.85</v>
      </c>
      <c r="M1848" s="20">
        <f>VLOOKUP(A1848,Metrik!$C$2:$Y$959,19,0)</f>
        <v>62.6</v>
      </c>
      <c r="N1848" s="21"/>
      <c r="O1848" s="21"/>
      <c r="P1848" s="21"/>
      <c r="Q1848" s="21"/>
      <c r="R1848" s="21"/>
      <c r="S1848" s="21"/>
      <c r="T1848" s="21"/>
      <c r="U1848" s="22">
        <f>IFERROR(__xludf.DUMMYFUNCTION("IFERROR(GOOGLEFINANCE(A1848,""closeyest""),"""")"),0.03)</f>
        <v>0.03</v>
      </c>
      <c r="V1848" s="23">
        <f>IFERROR(__xludf.DUMMYFUNCTION("IFERROR(GOOGLEFINANCE(A1848,""changepct""),"""")"),0.0)</f>
        <v>0</v>
      </c>
      <c r="W1848" s="22" t="str">
        <f>IFERROR(__xludf.DUMMYFUNCTION("IFERROR(GOOGLEFINANCE(A1848,""priceopen""),"""")"),"")</f>
        <v/>
      </c>
      <c r="X1848" s="22" t="str">
        <f>IFERROR(__xludf.DUMMYFUNCTION("IFERROR(GOOGLEFINANCE(A1848,""high""),"""")"),"")</f>
        <v/>
      </c>
      <c r="Y1848" s="22" t="str">
        <f>IFERROR(__xludf.DUMMYFUNCTION("IFERROR(GOOGLEFINANCE(A1848,""low""),"""")"),"")</f>
        <v/>
      </c>
      <c r="Z1848" s="22">
        <f>IFERROR(__xludf.DUMMYFUNCTION("IFERROR(GOOGLEFINANCE(A1848,""volume""),"""")"),0.0)</f>
        <v>0</v>
      </c>
      <c r="AA1848" s="24" t="str">
        <f>VLOOKUP(A1848,Metrik!$C$2:$Y$959,5,0)</f>
        <v>Online Applications &amp; Services</v>
      </c>
      <c r="AB1848" s="24" t="str">
        <f>VLOOKUP(A1848,Metrik!$C$2:$Y$959,3,0)</f>
        <v>Technology</v>
      </c>
    </row>
    <row r="1849">
      <c r="A1849" s="14" t="s">
        <v>1000</v>
      </c>
      <c r="B1849" s="14" t="str">
        <f t="array" ref="B1849">VLOOKUP(A1849,{Metrik!$C$2:$C$998,Metrik!$B$2:$B$998},2,0)</f>
        <v>Solusi Sinergi Digital Tbk.</v>
      </c>
      <c r="C1849" s="15">
        <f>IFERROR(__xludf.DUMMYFUNCTION("GOOGLEFINANCE(""IDX:""&amp;A1849,""price"")"),1595.0)</f>
        <v>1595</v>
      </c>
      <c r="D1849" s="16" t="str">
        <f>IFERROR(__xludf.DUMMYFUNCTION("IF(A1849="""","""",
SPARKLINE(
INDEX(
GOOGLEFINANCE(""IDX:""&amp;A1849,""close"",TODAY()-365,TODAY()),
,2
),
{""linewidth"",1}
))
"),"#N/A")</f>
        <v>#N/A</v>
      </c>
      <c r="E1849" s="14" t="s">
        <v>28</v>
      </c>
      <c r="F1849" s="17" t="s">
        <v>29</v>
      </c>
      <c r="G1849" s="24">
        <f t="shared" si="11"/>
        <v>10</v>
      </c>
      <c r="H1849" s="19">
        <f>VLOOKUP(A1849,Metrik!$C$2:$Y$959,8,0)</f>
        <v>22.2</v>
      </c>
      <c r="I1849" s="20">
        <f>VLOOKUP(A1849,Metrik!$C$2:$Y$959,9,0)</f>
        <v>1.2</v>
      </c>
      <c r="J1849" s="20">
        <f>VLOOKUP(A1849,Metrik!$C$2:$Y$959,10,0)</f>
        <v>5.6</v>
      </c>
      <c r="K1849" s="20">
        <f>VLOOKUP(A1849,Metrik!$C$2:$Y$959,11,0)</f>
        <v>3</v>
      </c>
      <c r="L1849" s="20">
        <f>VLOOKUP(A1849,Metrik!$C$2:$Y$959,12,0)</f>
        <v>0.85</v>
      </c>
      <c r="M1849" s="20">
        <f>VLOOKUP(A1849,Metrik!$C$2:$Y$959,19,0)</f>
        <v>62.6</v>
      </c>
      <c r="N1849" s="21"/>
      <c r="O1849" s="21"/>
      <c r="P1849" s="21"/>
      <c r="Q1849" s="21"/>
      <c r="R1849" s="21"/>
      <c r="S1849" s="21"/>
      <c r="T1849" s="21"/>
      <c r="U1849" s="22">
        <f>IFERROR(__xludf.DUMMYFUNCTION("IFERROR(GOOGLEFINANCE(A1849,""closeyest""),"""")"),0.03)</f>
        <v>0.03</v>
      </c>
      <c r="V1849" s="23">
        <f>IFERROR(__xludf.DUMMYFUNCTION("IFERROR(GOOGLEFINANCE(A1849,""changepct""),"""")"),0.0)</f>
        <v>0</v>
      </c>
      <c r="W1849" s="22" t="str">
        <f>IFERROR(__xludf.DUMMYFUNCTION("IFERROR(GOOGLEFINANCE(A1849,""priceopen""),"""")"),"")</f>
        <v/>
      </c>
      <c r="X1849" s="22" t="str">
        <f>IFERROR(__xludf.DUMMYFUNCTION("IFERROR(GOOGLEFINANCE(A1849,""high""),"""")"),"")</f>
        <v/>
      </c>
      <c r="Y1849" s="22" t="str">
        <f>IFERROR(__xludf.DUMMYFUNCTION("IFERROR(GOOGLEFINANCE(A1849,""low""),"""")"),"")</f>
        <v/>
      </c>
      <c r="Z1849" s="22">
        <f>IFERROR(__xludf.DUMMYFUNCTION("IFERROR(GOOGLEFINANCE(A1849,""volume""),"""")"),0.0)</f>
        <v>0</v>
      </c>
      <c r="AA1849" s="24" t="str">
        <f>VLOOKUP(A1849,Metrik!$C$2:$Y$959,5,0)</f>
        <v>Online Applications &amp; Services</v>
      </c>
      <c r="AB1849" s="24" t="str">
        <f>VLOOKUP(A1849,Metrik!$C$2:$Y$959,3,0)</f>
        <v>Technology</v>
      </c>
    </row>
    <row r="1850">
      <c r="A1850" s="14" t="s">
        <v>1000</v>
      </c>
      <c r="B1850" s="14" t="str">
        <f t="array" ref="B1850">VLOOKUP(A1850,{Metrik!$C$2:$C$998,Metrik!$B$2:$B$998},2,0)</f>
        <v>Solusi Sinergi Digital Tbk.</v>
      </c>
      <c r="C1850" s="15">
        <f>IFERROR(__xludf.DUMMYFUNCTION("GOOGLEFINANCE(""IDX:""&amp;A1850,""price"")"),1595.0)</f>
        <v>1595</v>
      </c>
      <c r="D1850" s="16" t="str">
        <f>IFERROR(__xludf.DUMMYFUNCTION("IF(A1850="""","""",
SPARKLINE(
INDEX(
GOOGLEFINANCE(""IDX:""&amp;A1850,""close"",TODAY()-365,TODAY()),
,2
),
{""linewidth"",1}
))
"),"#N/A")</f>
        <v>#N/A</v>
      </c>
      <c r="E1850" s="14" t="s">
        <v>32</v>
      </c>
      <c r="F1850" s="14" t="s">
        <v>29</v>
      </c>
      <c r="G1850" s="24">
        <f t="shared" si="11"/>
        <v>10</v>
      </c>
      <c r="H1850" s="19">
        <f>VLOOKUP(A1850,Metrik!$C$2:$Y$959,8,0)</f>
        <v>22.2</v>
      </c>
      <c r="I1850" s="20">
        <f>VLOOKUP(A1850,Metrik!$C$2:$Y$959,9,0)</f>
        <v>1.2</v>
      </c>
      <c r="J1850" s="20">
        <f>VLOOKUP(A1850,Metrik!$C$2:$Y$959,10,0)</f>
        <v>5.6</v>
      </c>
      <c r="K1850" s="20">
        <f>VLOOKUP(A1850,Metrik!$C$2:$Y$959,11,0)</f>
        <v>3</v>
      </c>
      <c r="L1850" s="20">
        <f>VLOOKUP(A1850,Metrik!$C$2:$Y$959,12,0)</f>
        <v>0.85</v>
      </c>
      <c r="M1850" s="20">
        <f>VLOOKUP(A1850,Metrik!$C$2:$Y$959,19,0)</f>
        <v>62.6</v>
      </c>
      <c r="N1850" s="21"/>
      <c r="O1850" s="21"/>
      <c r="P1850" s="21"/>
      <c r="Q1850" s="21"/>
      <c r="R1850" s="21"/>
      <c r="S1850" s="21"/>
      <c r="T1850" s="21"/>
      <c r="U1850" s="22">
        <f>IFERROR(__xludf.DUMMYFUNCTION("IFERROR(GOOGLEFINANCE(A1850,""closeyest""),"""")"),0.03)</f>
        <v>0.03</v>
      </c>
      <c r="V1850" s="23">
        <f>IFERROR(__xludf.DUMMYFUNCTION("IFERROR(GOOGLEFINANCE(A1850,""changepct""),"""")"),0.0)</f>
        <v>0</v>
      </c>
      <c r="W1850" s="22" t="str">
        <f>IFERROR(__xludf.DUMMYFUNCTION("IFERROR(GOOGLEFINANCE(A1850,""priceopen""),"""")"),"")</f>
        <v/>
      </c>
      <c r="X1850" s="22" t="str">
        <f>IFERROR(__xludf.DUMMYFUNCTION("IFERROR(GOOGLEFINANCE(A1850,""high""),"""")"),"")</f>
        <v/>
      </c>
      <c r="Y1850" s="22" t="str">
        <f>IFERROR(__xludf.DUMMYFUNCTION("IFERROR(GOOGLEFINANCE(A1850,""low""),"""")"),"")</f>
        <v/>
      </c>
      <c r="Z1850" s="22">
        <f>IFERROR(__xludf.DUMMYFUNCTION("IFERROR(GOOGLEFINANCE(A1850,""volume""),"""")"),0.0)</f>
        <v>0</v>
      </c>
      <c r="AA1850" s="24" t="str">
        <f>VLOOKUP(A1850,Metrik!$C$2:$Y$959,5,0)</f>
        <v>Online Applications &amp; Services</v>
      </c>
      <c r="AB1850" s="24" t="str">
        <f>VLOOKUP(A1850,Metrik!$C$2:$Y$959,3,0)</f>
        <v>Technology</v>
      </c>
    </row>
    <row r="1851">
      <c r="A1851" s="14" t="s">
        <v>1000</v>
      </c>
      <c r="B1851" s="14" t="str">
        <f t="array" ref="B1851">VLOOKUP(A1851,{Metrik!$C$2:$C$998,Metrik!$B$2:$B$998},2,0)</f>
        <v>Solusi Sinergi Digital Tbk.</v>
      </c>
      <c r="C1851" s="15">
        <f>IFERROR(__xludf.DUMMYFUNCTION("GOOGLEFINANCE(""IDX:""&amp;A1851,""price"")"),1595.0)</f>
        <v>1595</v>
      </c>
      <c r="D1851" s="16" t="str">
        <f>IFERROR(__xludf.DUMMYFUNCTION("IF(A1851="""","""",
SPARKLINE(
INDEX(
GOOGLEFINANCE(""IDX:""&amp;A1851,""close"",TODAY()-365,TODAY()),
,2
),
{""linewidth"",1}
))
"),"#N/A")</f>
        <v>#N/A</v>
      </c>
      <c r="E1851" s="14" t="s">
        <v>41</v>
      </c>
      <c r="F1851" s="14" t="s">
        <v>34</v>
      </c>
      <c r="G1851" s="24">
        <f t="shared" si="11"/>
        <v>10</v>
      </c>
      <c r="H1851" s="19">
        <f>VLOOKUP(A1851,Metrik!$C$2:$Y$959,8,0)</f>
        <v>22.2</v>
      </c>
      <c r="I1851" s="20">
        <f>VLOOKUP(A1851,Metrik!$C$2:$Y$959,9,0)</f>
        <v>1.2</v>
      </c>
      <c r="J1851" s="20">
        <f>VLOOKUP(A1851,Metrik!$C$2:$Y$959,10,0)</f>
        <v>5.6</v>
      </c>
      <c r="K1851" s="20">
        <f>VLOOKUP(A1851,Metrik!$C$2:$Y$959,11,0)</f>
        <v>3</v>
      </c>
      <c r="L1851" s="20">
        <f>VLOOKUP(A1851,Metrik!$C$2:$Y$959,12,0)</f>
        <v>0.85</v>
      </c>
      <c r="M1851" s="20">
        <f>VLOOKUP(A1851,Metrik!$C$2:$Y$959,19,0)</f>
        <v>62.6</v>
      </c>
      <c r="N1851" s="21"/>
      <c r="O1851" s="21"/>
      <c r="P1851" s="21"/>
      <c r="Q1851" s="21"/>
      <c r="R1851" s="21"/>
      <c r="S1851" s="21"/>
      <c r="T1851" s="21"/>
      <c r="U1851" s="22">
        <f>IFERROR(__xludf.DUMMYFUNCTION("IFERROR(GOOGLEFINANCE(A1851,""closeyest""),"""")"),0.03)</f>
        <v>0.03</v>
      </c>
      <c r="V1851" s="23">
        <f>IFERROR(__xludf.DUMMYFUNCTION("IFERROR(GOOGLEFINANCE(A1851,""changepct""),"""")"),0.0)</f>
        <v>0</v>
      </c>
      <c r="W1851" s="22" t="str">
        <f>IFERROR(__xludf.DUMMYFUNCTION("IFERROR(GOOGLEFINANCE(A1851,""priceopen""),"""")"),"")</f>
        <v/>
      </c>
      <c r="X1851" s="22" t="str">
        <f>IFERROR(__xludf.DUMMYFUNCTION("IFERROR(GOOGLEFINANCE(A1851,""high""),"""")"),"")</f>
        <v/>
      </c>
      <c r="Y1851" s="22" t="str">
        <f>IFERROR(__xludf.DUMMYFUNCTION("IFERROR(GOOGLEFINANCE(A1851,""low""),"""")"),"")</f>
        <v/>
      </c>
      <c r="Z1851" s="22">
        <f>IFERROR(__xludf.DUMMYFUNCTION("IFERROR(GOOGLEFINANCE(A1851,""volume""),"""")"),0.0)</f>
        <v>0</v>
      </c>
      <c r="AA1851" s="24" t="str">
        <f>VLOOKUP(A1851,Metrik!$C$2:$Y$959,5,0)</f>
        <v>Online Applications &amp; Services</v>
      </c>
      <c r="AB1851" s="24" t="str">
        <f>VLOOKUP(A1851,Metrik!$C$2:$Y$959,3,0)</f>
        <v>Technology</v>
      </c>
    </row>
    <row r="1852">
      <c r="A1852" s="14" t="s">
        <v>1001</v>
      </c>
      <c r="B1852" s="14" t="str">
        <f t="array" ref="B1852">VLOOKUP(A1852,{Metrik!$C$2:$C$998,Metrik!$B$2:$B$998},2,0)</f>
        <v>Wismilak Inti Makmur Tbk</v>
      </c>
      <c r="C1852" s="15">
        <f>IFERROR(__xludf.DUMMYFUNCTION("GOOGLEFINANCE(""IDX:""&amp;A1852,""price"")"),1545.0)</f>
        <v>1545</v>
      </c>
      <c r="D1852" s="16" t="str">
        <f>IFERROR(__xludf.DUMMYFUNCTION("IF(A1852="""","""",
SPARKLINE(
INDEX(
GOOGLEFINANCE(""IDX:""&amp;A1852,""close"",TODAY()-365,TODAY()),
,2
),
{""linewidth"",1}
))
"),"#N/A")</f>
        <v>#N/A</v>
      </c>
      <c r="E1852" s="26"/>
      <c r="F1852" s="26"/>
      <c r="G1852" s="18">
        <f t="shared" si="11"/>
        <v>0</v>
      </c>
      <c r="H1852" s="19">
        <f>VLOOKUP(A1852,Metrik!$C$2:$Y$959,8,0)</f>
        <v>6.9</v>
      </c>
      <c r="I1852" s="20">
        <f>VLOOKUP(A1852,Metrik!$C$2:$Y$959,9,0)</f>
        <v>1.5</v>
      </c>
      <c r="J1852" s="20">
        <f>VLOOKUP(A1852,Metrik!$C$2:$Y$959,10,0)</f>
        <v>20.9</v>
      </c>
      <c r="K1852" s="20">
        <f>VLOOKUP(A1852,Metrik!$C$2:$Y$959,11,0)</f>
        <v>14.2</v>
      </c>
      <c r="L1852" s="20">
        <f>VLOOKUP(A1852,Metrik!$C$2:$Y$959,12,0)</f>
        <v>0.48</v>
      </c>
      <c r="M1852" s="20">
        <f>VLOOKUP(A1852,Metrik!$C$2:$Y$959,19,0)</f>
        <v>30.7</v>
      </c>
      <c r="N1852" s="21"/>
      <c r="O1852" s="21"/>
      <c r="P1852" s="21"/>
      <c r="Q1852" s="21"/>
      <c r="R1852" s="21"/>
      <c r="S1852" s="21"/>
      <c r="T1852" s="21"/>
      <c r="U1852" s="22">
        <f>IFERROR(__xludf.DUMMYFUNCTION("IFERROR(GOOGLEFINANCE(A1852,""closeyest""),"""")"),1485.0)</f>
        <v>1485</v>
      </c>
      <c r="V1852" s="23">
        <f>IFERROR(__xludf.DUMMYFUNCTION("IFERROR(GOOGLEFINANCE(A1852,""changepct""),"""")"),4.04)</f>
        <v>4.04</v>
      </c>
      <c r="W1852" s="22">
        <f>IFERROR(__xludf.DUMMYFUNCTION("IFERROR(GOOGLEFINANCE(A1852,""priceopen""),"""")"),1500.0)</f>
        <v>1500</v>
      </c>
      <c r="X1852" s="22">
        <f>IFERROR(__xludf.DUMMYFUNCTION("IFERROR(GOOGLEFINANCE(A1852,""high""),"""")"),1580.0)</f>
        <v>1580</v>
      </c>
      <c r="Y1852" s="22">
        <f>IFERROR(__xludf.DUMMYFUNCTION("IFERROR(GOOGLEFINANCE(A1852,""low""),"""")"),1490.0)</f>
        <v>1490</v>
      </c>
      <c r="Z1852" s="22">
        <f>IFERROR(__xludf.DUMMYFUNCTION("IFERROR(GOOGLEFINANCE(A1852,""volume""),"""")"),1415600.0)</f>
        <v>1415600</v>
      </c>
      <c r="AA1852" s="24" t="str">
        <f>VLOOKUP(A1852,Metrik!$C$2:$Y$959,5,0)</f>
        <v>Tobacco</v>
      </c>
      <c r="AB1852" s="24" t="str">
        <f>VLOOKUP(A1852,Metrik!$C$2:$Y$959,3,0)</f>
        <v>Consumer Non-Cyclicals</v>
      </c>
    </row>
    <row r="1853">
      <c r="A1853" s="14" t="s">
        <v>1002</v>
      </c>
      <c r="B1853" s="14" t="str">
        <f t="array" ref="B1853">VLOOKUP(A1853,{Metrik!$C$2:$C$998,Metrik!$B$2:$B$998},2,0)</f>
        <v>PT Wijaya Karya (Persero) Tbk</v>
      </c>
      <c r="C1853" s="15">
        <f>IFERROR(__xludf.DUMMYFUNCTION("GOOGLEFINANCE(""IDX:""&amp;A1853,""price"")"),204.0)</f>
        <v>204</v>
      </c>
      <c r="D1853" s="16" t="str">
        <f>IFERROR(__xludf.DUMMYFUNCTION("IF(A1853="""","""",
SPARKLINE(
INDEX(
GOOGLEFINANCE(""IDX:""&amp;A1853,""close"",TODAY()-365,TODAY()),
,2
),
{""linewidth"",1}
))
"),"#N/A")</f>
        <v>#N/A</v>
      </c>
      <c r="E1853" s="26"/>
      <c r="F1853" s="26"/>
      <c r="G1853" s="24">
        <f t="shared" si="11"/>
        <v>0</v>
      </c>
      <c r="H1853" s="19">
        <f>VLOOKUP(A1853,Metrik!$C$2:$Y$959,8,0)</f>
        <v>-0.81</v>
      </c>
      <c r="I1853" s="20">
        <f>VLOOKUP(A1853,Metrik!$C$2:$Y$959,9,0)</f>
        <v>15.8</v>
      </c>
      <c r="J1853" s="20">
        <f>VLOOKUP(A1853,Metrik!$C$2:$Y$959,10,0)</f>
        <v>-1950</v>
      </c>
      <c r="K1853" s="20">
        <f>VLOOKUP(A1853,Metrik!$C$2:$Y$959,11,0)</f>
        <v>-20.7</v>
      </c>
      <c r="L1853" s="20">
        <f>VLOOKUP(A1853,Metrik!$C$2:$Y$959,12,0)</f>
        <v>93.3</v>
      </c>
      <c r="M1853" s="20">
        <f>VLOOKUP(A1853,Metrik!$C$2:$Y$959,19,0)</f>
        <v>-390</v>
      </c>
      <c r="N1853" s="21"/>
      <c r="O1853" s="21"/>
      <c r="P1853" s="21"/>
      <c r="Q1853" s="21"/>
      <c r="R1853" s="21"/>
      <c r="S1853" s="21"/>
      <c r="T1853" s="21"/>
      <c r="U1853" s="22">
        <f>IFERROR(__xludf.DUMMYFUNCTION("IFERROR(GOOGLEFINANCE(A1853,""closeyest""),"""")"),204.0)</f>
        <v>204</v>
      </c>
      <c r="V1853" s="23">
        <f>IFERROR(__xludf.DUMMYFUNCTION("IFERROR(GOOGLEFINANCE(A1853,""changepct""),"""")"),0.0)</f>
        <v>0</v>
      </c>
      <c r="W1853" s="22" t="str">
        <f>IFERROR(__xludf.DUMMYFUNCTION("IFERROR(GOOGLEFINANCE(A1853,""priceopen""),"""")"),"")</f>
        <v/>
      </c>
      <c r="X1853" s="22" t="str">
        <f>IFERROR(__xludf.DUMMYFUNCTION("IFERROR(GOOGLEFINANCE(A1853,""high""),"""")"),"")</f>
        <v/>
      </c>
      <c r="Y1853" s="22" t="str">
        <f>IFERROR(__xludf.DUMMYFUNCTION("IFERROR(GOOGLEFINANCE(A1853,""low""),"""")"),"")</f>
        <v/>
      </c>
      <c r="Z1853" s="22">
        <f>IFERROR(__xludf.DUMMYFUNCTION("IFERROR(GOOGLEFINANCE(A1853,""volume""),"""")"),0.0)</f>
        <v>0</v>
      </c>
      <c r="AA1853" s="24" t="str">
        <f>VLOOKUP(A1853,Metrik!$C$2:$Y$959,5,0)</f>
        <v>Heavy Constructions &amp; Civil Engineering</v>
      </c>
      <c r="AB1853" s="24" t="str">
        <f>VLOOKUP(A1853,Metrik!$C$2:$Y$959,3,0)</f>
        <v>Infrastructures</v>
      </c>
    </row>
    <row r="1854">
      <c r="A1854" s="14" t="s">
        <v>1003</v>
      </c>
      <c r="B1854" s="14" t="str">
        <f t="array" ref="B1854">VLOOKUP(A1854,{Metrik!$C$2:$C$998,Metrik!$B$2:$B$998},2,0)</f>
        <v>PT Hatten Bali Tbk</v>
      </c>
      <c r="C1854" s="15">
        <f>IFERROR(__xludf.DUMMYFUNCTION("GOOGLEFINANCE(""IDX:""&amp;A1854,""price"")"),172.0)</f>
        <v>172</v>
      </c>
      <c r="D1854" s="16" t="str">
        <f>IFERROR(__xludf.DUMMYFUNCTION("IF(A1854="""","""",
SPARKLINE(
INDEX(
GOOGLEFINANCE(""IDX:""&amp;A1854,""close"",TODAY()-365,TODAY()),
,2
),
{""linewidth"",1}
))
"),"#N/A")</f>
        <v>#N/A</v>
      </c>
      <c r="E1854" s="26"/>
      <c r="F1854" s="26"/>
      <c r="G1854" s="18">
        <f t="shared" si="11"/>
        <v>0</v>
      </c>
      <c r="H1854" s="19">
        <f>VLOOKUP(A1854,Metrik!$C$2:$Y$959,8,0)</f>
        <v>11.5</v>
      </c>
      <c r="I1854" s="20">
        <f>VLOOKUP(A1854,Metrik!$C$2:$Y$959,9,0)</f>
        <v>1.2</v>
      </c>
      <c r="J1854" s="20">
        <f>VLOOKUP(A1854,Metrik!$C$2:$Y$959,10,0)</f>
        <v>10.7</v>
      </c>
      <c r="K1854" s="20">
        <f>VLOOKUP(A1854,Metrik!$C$2:$Y$959,11,0)</f>
        <v>8.2</v>
      </c>
      <c r="L1854" s="20">
        <f>VLOOKUP(A1854,Metrik!$C$2:$Y$959,12,0)</f>
        <v>0.3</v>
      </c>
      <c r="M1854" s="20">
        <f>VLOOKUP(A1854,Metrik!$C$2:$Y$959,19,0)</f>
        <v>63.2</v>
      </c>
      <c r="N1854" s="21"/>
      <c r="O1854" s="21"/>
      <c r="P1854" s="21"/>
      <c r="Q1854" s="21"/>
      <c r="R1854" s="21"/>
      <c r="S1854" s="21"/>
      <c r="T1854" s="21"/>
      <c r="U1854" s="22">
        <f>IFERROR(__xludf.DUMMYFUNCTION("IFERROR(GOOGLEFINANCE(A1854,""closeyest""),"""")"),74.0)</f>
        <v>74</v>
      </c>
      <c r="V1854" s="23">
        <f>IFERROR(__xludf.DUMMYFUNCTION("IFERROR(GOOGLEFINANCE(A1854,""changepct""),"""")"),0.0)</f>
        <v>0</v>
      </c>
      <c r="W1854" s="22">
        <f>IFERROR(__xludf.DUMMYFUNCTION("IFERROR(GOOGLEFINANCE(A1854,""priceopen""),"""")"),74.0)</f>
        <v>74</v>
      </c>
      <c r="X1854" s="22">
        <f>IFERROR(__xludf.DUMMYFUNCTION("IFERROR(GOOGLEFINANCE(A1854,""high""),"""")"),74.0)</f>
        <v>74</v>
      </c>
      <c r="Y1854" s="22">
        <f>IFERROR(__xludf.DUMMYFUNCTION("IFERROR(GOOGLEFINANCE(A1854,""low""),"""")"),73.0)</f>
        <v>73</v>
      </c>
      <c r="Z1854" s="22">
        <f>IFERROR(__xludf.DUMMYFUNCTION("IFERROR(GOOGLEFINANCE(A1854,""volume""),"""")"),23246.0)</f>
        <v>23246</v>
      </c>
      <c r="AA1854" s="24" t="str">
        <f>VLOOKUP(A1854,Metrik!$C$2:$Y$959,5,0)</f>
        <v>Beverages</v>
      </c>
      <c r="AB1854" s="24" t="str">
        <f>VLOOKUP(A1854,Metrik!$C$2:$Y$959,3,0)</f>
        <v>Consumer Non-Cyclicals</v>
      </c>
    </row>
    <row r="1855">
      <c r="A1855" s="14" t="s">
        <v>1004</v>
      </c>
      <c r="B1855" s="14" t="str">
        <f t="array" ref="B1855">VLOOKUP(A1855,{Metrik!$C$2:$C$998,Metrik!$B$2:$B$998},2,0)</f>
        <v>Winner Nusantara Jaya Tbk.</v>
      </c>
      <c r="C1855" s="15">
        <f>IFERROR(__xludf.DUMMYFUNCTION("GOOGLEFINANCE(""IDX:""&amp;A1855,""price"")"),24.0)</f>
        <v>24</v>
      </c>
      <c r="D1855" s="16" t="str">
        <f>IFERROR(__xludf.DUMMYFUNCTION("IF(A1855="""","""",
SPARKLINE(
INDEX(
GOOGLEFINANCE(""IDX:""&amp;A1855,""close"",TODAY()-365,TODAY()),
,2
),
{""linewidth"",1}
))
"),"#N/A")</f>
        <v>#N/A</v>
      </c>
      <c r="E1855" s="26"/>
      <c r="F1855" s="26"/>
      <c r="G1855" s="24">
        <f t="shared" si="11"/>
        <v>0</v>
      </c>
      <c r="H1855" s="19">
        <f>VLOOKUP(A1855,Metrik!$C$2:$Y$959,8,0)</f>
        <v>7.5</v>
      </c>
      <c r="I1855" s="20">
        <f>VLOOKUP(A1855,Metrik!$C$2:$Y$959,9,0)</f>
        <v>0.35</v>
      </c>
      <c r="J1855" s="20">
        <f>VLOOKUP(A1855,Metrik!$C$2:$Y$959,10,0)</f>
        <v>4.7</v>
      </c>
      <c r="K1855" s="20">
        <f>VLOOKUP(A1855,Metrik!$C$2:$Y$959,11,0)</f>
        <v>3.6</v>
      </c>
      <c r="L1855" s="20">
        <f>VLOOKUP(A1855,Metrik!$C$2:$Y$959,12,0)</f>
        <v>0.31</v>
      </c>
      <c r="M1855" s="20">
        <f>VLOOKUP(A1855,Metrik!$C$2:$Y$959,19,0)</f>
        <v>170</v>
      </c>
      <c r="N1855" s="21"/>
      <c r="O1855" s="21"/>
      <c r="P1855" s="21"/>
      <c r="Q1855" s="21"/>
      <c r="R1855" s="21"/>
      <c r="S1855" s="21"/>
      <c r="T1855" s="21"/>
      <c r="U1855" s="22">
        <f>IFERROR(__xludf.DUMMYFUNCTION("IFERROR(GOOGLEFINANCE(A1855,""closeyest""),"""")"),0.0)</f>
        <v>0</v>
      </c>
      <c r="V1855" s="23">
        <f>IFERROR(__xludf.DUMMYFUNCTION("IFERROR(GOOGLEFINANCE(A1855,""changepct""),"""")"),9900.0)</f>
        <v>9900</v>
      </c>
      <c r="W1855" s="22">
        <f>IFERROR(__xludf.DUMMYFUNCTION("IFERROR(GOOGLEFINANCE(A1855,""priceopen""),"""")"),0.0)</f>
        <v>0</v>
      </c>
      <c r="X1855" s="22">
        <f>IFERROR(__xludf.DUMMYFUNCTION("IFERROR(GOOGLEFINANCE(A1855,""high""),"""")"),0.0)</f>
        <v>0</v>
      </c>
      <c r="Y1855" s="22">
        <f>IFERROR(__xludf.DUMMYFUNCTION("IFERROR(GOOGLEFINANCE(A1855,""low""),"""")"),0.0)</f>
        <v>0</v>
      </c>
      <c r="Z1855" s="22">
        <f>IFERROR(__xludf.DUMMYFUNCTION("IFERROR(GOOGLEFINANCE(A1855,""volume""),"""")"),140000.0)</f>
        <v>140000</v>
      </c>
      <c r="AA1855" s="24" t="str">
        <f>VLOOKUP(A1855,Metrik!$C$2:$Y$959,5,0)</f>
        <v>Real Estate Management &amp; Development</v>
      </c>
      <c r="AB1855" s="24" t="str">
        <f>VLOOKUP(A1855,Metrik!$C$2:$Y$959,3,0)</f>
        <v>Properties &amp; Real Estate</v>
      </c>
    </row>
    <row r="1856">
      <c r="A1856" s="14" t="s">
        <v>1005</v>
      </c>
      <c r="B1856" s="14" t="str">
        <f t="array" ref="B1856">VLOOKUP(A1856,{Metrik!$C$2:$C$998,Metrik!$B$2:$B$998},2,0)</f>
        <v>Wintermar Offshore Marine Tbk</v>
      </c>
      <c r="C1856" s="15">
        <f>IFERROR(__xludf.DUMMYFUNCTION("GOOGLEFINANCE(""IDX:""&amp;A1856,""price"")"),496.0)</f>
        <v>496</v>
      </c>
      <c r="D1856" s="16" t="str">
        <f>IFERROR(__xludf.DUMMYFUNCTION("IF(A1856="""","""",
SPARKLINE(
INDEX(
GOOGLEFINANCE(""IDX:""&amp;A1856,""close"",TODAY()-365,TODAY()),
,2
),
{""linewidth"",1}
))
"),"#N/A")</f>
        <v>#N/A</v>
      </c>
      <c r="E1856" s="26"/>
      <c r="F1856" s="26"/>
      <c r="G1856" s="24">
        <f t="shared" si="11"/>
        <v>0</v>
      </c>
      <c r="H1856" s="19">
        <f>VLOOKUP(A1856,Metrik!$C$2:$Y$959,8,0)</f>
        <v>5.8</v>
      </c>
      <c r="I1856" s="20">
        <f>VLOOKUP(A1856,Metrik!$C$2:$Y$959,9,0)</f>
        <v>0.57</v>
      </c>
      <c r="J1856" s="20">
        <f>VLOOKUP(A1856,Metrik!$C$2:$Y$959,10,0)</f>
        <v>9.8</v>
      </c>
      <c r="K1856" s="20">
        <f>VLOOKUP(A1856,Metrik!$C$2:$Y$959,11,0)</f>
        <v>8.1</v>
      </c>
      <c r="L1856" s="20">
        <f>VLOOKUP(A1856,Metrik!$C$2:$Y$959,12,0)</f>
        <v>0.22</v>
      </c>
      <c r="M1856" s="20">
        <f>VLOOKUP(A1856,Metrik!$C$2:$Y$959,19,0)</f>
        <v>93</v>
      </c>
      <c r="N1856" s="21"/>
      <c r="O1856" s="21"/>
      <c r="P1856" s="21"/>
      <c r="Q1856" s="21"/>
      <c r="R1856" s="21"/>
      <c r="S1856" s="21"/>
      <c r="T1856" s="21"/>
      <c r="U1856" s="22">
        <f>IFERROR(__xludf.DUMMYFUNCTION("IFERROR(GOOGLEFINANCE(A1856,""closeyest""),"""")"),0.12)</f>
        <v>0.12</v>
      </c>
      <c r="V1856" s="23">
        <f>IFERROR(__xludf.DUMMYFUNCTION("IFERROR(GOOGLEFINANCE(A1856,""changepct""),"""")"),0.0)</f>
        <v>0</v>
      </c>
      <c r="W1856" s="22">
        <f>IFERROR(__xludf.DUMMYFUNCTION("IFERROR(GOOGLEFINANCE(A1856,""priceopen""),"""")"),0.12)</f>
        <v>0.12</v>
      </c>
      <c r="X1856" s="22">
        <f>IFERROR(__xludf.DUMMYFUNCTION("IFERROR(GOOGLEFINANCE(A1856,""high""),"""")"),0.12)</f>
        <v>0.12</v>
      </c>
      <c r="Y1856" s="22">
        <f>IFERROR(__xludf.DUMMYFUNCTION("IFERROR(GOOGLEFINANCE(A1856,""low""),"""")"),0.12)</f>
        <v>0.12</v>
      </c>
      <c r="Z1856" s="22">
        <f>IFERROR(__xludf.DUMMYFUNCTION("IFERROR(GOOGLEFINANCE(A1856,""volume""),"""")"),1700.0)</f>
        <v>1700</v>
      </c>
      <c r="AA1856" s="24" t="str">
        <f>VLOOKUP(A1856,Metrik!$C$2:$Y$959,5,0)</f>
        <v>Oil, Gas &amp; Coal Supports</v>
      </c>
      <c r="AB1856" s="24" t="str">
        <f>VLOOKUP(A1856,Metrik!$C$2:$Y$959,3,0)</f>
        <v>Energy</v>
      </c>
    </row>
    <row r="1857">
      <c r="A1857" s="14" t="s">
        <v>1006</v>
      </c>
      <c r="B1857" s="14" t="str">
        <f t="array" ref="B1857">VLOOKUP(A1857,{Metrik!$C$2:$C$998,Metrik!$B$2:$B$998},2,0)</f>
        <v>WIR ASIA Tbk.</v>
      </c>
      <c r="C1857" s="15">
        <f>IFERROR(__xludf.DUMMYFUNCTION("GOOGLEFINANCE(""IDX:""&amp;A1857,""price"")"),58.0)</f>
        <v>58</v>
      </c>
      <c r="D1857" s="16" t="str">
        <f>IFERROR(__xludf.DUMMYFUNCTION("IF(A1857="""","""",
SPARKLINE(
INDEX(
GOOGLEFINANCE(""IDX:""&amp;A1857,""close"",TODAY()-365,TODAY()),
,2
),
{""linewidth"",1}
))
"),"#N/A")</f>
        <v>#N/A</v>
      </c>
      <c r="E1857" s="14" t="s">
        <v>32</v>
      </c>
      <c r="F1857" s="14" t="s">
        <v>29</v>
      </c>
      <c r="G1857" s="24">
        <f t="shared" si="11"/>
        <v>1</v>
      </c>
      <c r="H1857" s="19">
        <f>VLOOKUP(A1857,Metrik!$C$2:$Y$959,8,0)</f>
        <v>9.6</v>
      </c>
      <c r="I1857" s="20">
        <f>VLOOKUP(A1857,Metrik!$C$2:$Y$959,9,0)</f>
        <v>0.79</v>
      </c>
      <c r="J1857" s="20">
        <f>VLOOKUP(A1857,Metrik!$C$2:$Y$959,10,0)</f>
        <v>8.3</v>
      </c>
      <c r="K1857" s="20">
        <f>VLOOKUP(A1857,Metrik!$C$2:$Y$959,11,0)</f>
        <v>5.2</v>
      </c>
      <c r="L1857" s="20">
        <f>VLOOKUP(A1857,Metrik!$C$2:$Y$959,12,0)</f>
        <v>0.62</v>
      </c>
      <c r="M1857" s="20">
        <f>VLOOKUP(A1857,Metrik!$C$2:$Y$959,19,0)</f>
        <v>15</v>
      </c>
      <c r="N1857" s="21"/>
      <c r="O1857" s="21"/>
      <c r="P1857" s="21"/>
      <c r="Q1857" s="21"/>
      <c r="R1857" s="21"/>
      <c r="S1857" s="21"/>
      <c r="T1857" s="21"/>
      <c r="U1857" s="22">
        <f>IFERROR(__xludf.DUMMYFUNCTION("IFERROR(GOOGLEFINANCE(A1857,""closeyest""),"""")"),27.95)</f>
        <v>27.95</v>
      </c>
      <c r="V1857" s="23">
        <f>IFERROR(__xludf.DUMMYFUNCTION("IFERROR(GOOGLEFINANCE(A1857,""changepct""),"""")"),4.22)</f>
        <v>4.22</v>
      </c>
      <c r="W1857" s="22">
        <f>IFERROR(__xludf.DUMMYFUNCTION("IFERROR(GOOGLEFINANCE(A1857,""priceopen""),"""")"),29.01)</f>
        <v>29.01</v>
      </c>
      <c r="X1857" s="22">
        <f>IFERROR(__xludf.DUMMYFUNCTION("IFERROR(GOOGLEFINANCE(A1857,""high""),"""")"),29.14)</f>
        <v>29.14</v>
      </c>
      <c r="Y1857" s="22">
        <f>IFERROR(__xludf.DUMMYFUNCTION("IFERROR(GOOGLEFINANCE(A1857,""low""),"""")"),28.35)</f>
        <v>28.35</v>
      </c>
      <c r="Z1857" s="22">
        <f>IFERROR(__xludf.DUMMYFUNCTION("IFERROR(GOOGLEFINANCE(A1857,""volume""),"""")"),626.0)</f>
        <v>626</v>
      </c>
      <c r="AA1857" s="24" t="str">
        <f>VLOOKUP(A1857,Metrik!$C$2:$Y$959,5,0)</f>
        <v>Software</v>
      </c>
      <c r="AB1857" s="24" t="str">
        <f>VLOOKUP(A1857,Metrik!$C$2:$Y$959,3,0)</f>
        <v>Technology</v>
      </c>
    </row>
    <row r="1858">
      <c r="A1858" s="14" t="s">
        <v>1007</v>
      </c>
      <c r="B1858" s="14" t="str">
        <f t="array" ref="B1858">VLOOKUP(A1858,{Metrik!$C$2:$C$998,Metrik!$B$2:$B$998},2,0)</f>
        <v>Widodo Makmur Perkasa Tbk.</v>
      </c>
      <c r="C1858" s="15">
        <f>IFERROR(__xludf.DUMMYFUNCTION("GOOGLEFINANCE(""IDX:""&amp;A1858,""price"")"),23.0)</f>
        <v>23</v>
      </c>
      <c r="D1858" s="16" t="str">
        <f>IFERROR(__xludf.DUMMYFUNCTION("IF(A1858="""","""",
SPARKLINE(
INDEX(
GOOGLEFINANCE(""IDX:""&amp;A1858,""close"",TODAY()-365,TODAY()),
,2
),
{""linewidth"",1}
))
"),"#N/A")</f>
        <v>#N/A</v>
      </c>
      <c r="E1858" s="26"/>
      <c r="F1858" s="26"/>
      <c r="G1858" s="24">
        <f t="shared" si="11"/>
        <v>0</v>
      </c>
      <c r="H1858" s="19">
        <f>VLOOKUP(A1858,Metrik!$C$2:$Y$959,8,0)</f>
        <v>-5</v>
      </c>
      <c r="I1858" s="20">
        <f>VLOOKUP(A1858,Metrik!$C$2:$Y$959,9,0)</f>
        <v>2.1</v>
      </c>
      <c r="J1858" s="20">
        <f>VLOOKUP(A1858,Metrik!$C$2:$Y$959,10,0)</f>
        <v>-42.3</v>
      </c>
      <c r="K1858" s="20">
        <f>VLOOKUP(A1858,Metrik!$C$2:$Y$959,11,0)</f>
        <v>-4.7</v>
      </c>
      <c r="L1858" s="20">
        <f>VLOOKUP(A1858,Metrik!$C$2:$Y$959,12,0)</f>
        <v>8</v>
      </c>
      <c r="M1858" s="20">
        <f>VLOOKUP(A1858,Metrik!$C$2:$Y$959,19,0)</f>
        <v>-21</v>
      </c>
      <c r="N1858" s="21"/>
      <c r="O1858" s="21"/>
      <c r="P1858" s="21"/>
      <c r="Q1858" s="21"/>
      <c r="R1858" s="21"/>
      <c r="S1858" s="21"/>
      <c r="T1858" s="21"/>
      <c r="U1858" s="22">
        <f>IFERROR(__xludf.DUMMYFUNCTION("IFERROR(GOOGLEFINANCE(A1858,""closeyest""),"""")"),21.0)</f>
        <v>21</v>
      </c>
      <c r="V1858" s="23">
        <f>IFERROR(__xludf.DUMMYFUNCTION("IFERROR(GOOGLEFINANCE(A1858,""changepct""),"""")"),9.52)</f>
        <v>9.52</v>
      </c>
      <c r="W1858" s="22">
        <f>IFERROR(__xludf.DUMMYFUNCTION("IFERROR(GOOGLEFINANCE(A1858,""priceopen""),"""")"),21.0)</f>
        <v>21</v>
      </c>
      <c r="X1858" s="22">
        <f>IFERROR(__xludf.DUMMYFUNCTION("IFERROR(GOOGLEFINANCE(A1858,""high""),"""")"),23.0)</f>
        <v>23</v>
      </c>
      <c r="Y1858" s="22">
        <f>IFERROR(__xludf.DUMMYFUNCTION("IFERROR(GOOGLEFINANCE(A1858,""low""),"""")"),21.0)</f>
        <v>21</v>
      </c>
      <c r="Z1858" s="22">
        <f>IFERROR(__xludf.DUMMYFUNCTION("IFERROR(GOOGLEFINANCE(A1858,""volume""),"""")"),2.71272E7)</f>
        <v>27127200</v>
      </c>
      <c r="AA1858" s="24" t="str">
        <f>VLOOKUP(A1858,Metrik!$C$2:$Y$959,5,0)</f>
        <v>Agricultural Products</v>
      </c>
      <c r="AB1858" s="24" t="str">
        <f>VLOOKUP(A1858,Metrik!$C$2:$Y$959,3,0)</f>
        <v>Consumer Non-Cyclicals</v>
      </c>
    </row>
    <row r="1859">
      <c r="A1859" s="14" t="s">
        <v>1008</v>
      </c>
      <c r="B1859" s="14" t="str">
        <f t="array" ref="B1859">VLOOKUP(A1859,{Metrik!$C$2:$C$998,Metrik!$B$2:$B$998},2,0)</f>
        <v>Widodo Makmur Unggas Tbk.</v>
      </c>
      <c r="C1859" s="15">
        <f>IFERROR(__xludf.DUMMYFUNCTION("GOOGLEFINANCE(""IDX:""&amp;A1859,""price"")"),52.0)</f>
        <v>52</v>
      </c>
      <c r="D1859" s="16" t="str">
        <f>IFERROR(__xludf.DUMMYFUNCTION("IF(A1859="""","""",
SPARKLINE(
INDEX(
GOOGLEFINANCE(""IDX:""&amp;A1859,""close"",TODAY()-365,TODAY()),
,2
),
{""linewidth"",1}
))
"),"#N/A")</f>
        <v>#N/A</v>
      </c>
      <c r="E1859" s="26"/>
      <c r="F1859" s="26"/>
      <c r="G1859" s="24">
        <f t="shared" si="11"/>
        <v>0</v>
      </c>
      <c r="H1859" s="19">
        <f>VLOOKUP(A1859,Metrik!$C$2:$Y$959,8,0)</f>
        <v>-10</v>
      </c>
      <c r="I1859" s="20">
        <f>VLOOKUP(A1859,Metrik!$C$2:$Y$959,9,0)</f>
        <v>0.93</v>
      </c>
      <c r="J1859" s="20">
        <f>VLOOKUP(A1859,Metrik!$C$2:$Y$959,10,0)</f>
        <v>-9.4</v>
      </c>
      <c r="K1859" s="20">
        <f>VLOOKUP(A1859,Metrik!$C$2:$Y$959,11,0)</f>
        <v>-3.1</v>
      </c>
      <c r="L1859" s="20">
        <f>VLOOKUP(A1859,Metrik!$C$2:$Y$959,12,0)</f>
        <v>2.1</v>
      </c>
      <c r="M1859" s="20">
        <f>VLOOKUP(A1859,Metrik!$C$2:$Y$959,19,0)</f>
        <v>-29</v>
      </c>
      <c r="N1859" s="21"/>
      <c r="O1859" s="21"/>
      <c r="P1859" s="21"/>
      <c r="Q1859" s="21"/>
      <c r="R1859" s="21"/>
      <c r="S1859" s="21"/>
      <c r="T1859" s="21"/>
      <c r="U1859" s="22">
        <f>IFERROR(__xludf.DUMMYFUNCTION("IFERROR(GOOGLEFINANCE(A1859,""closeyest""),"""")"),50.0)</f>
        <v>50</v>
      </c>
      <c r="V1859" s="23">
        <f>IFERROR(__xludf.DUMMYFUNCTION("IFERROR(GOOGLEFINANCE(A1859,""changepct""),"""")"),4.0)</f>
        <v>4</v>
      </c>
      <c r="W1859" s="22">
        <f>IFERROR(__xludf.DUMMYFUNCTION("IFERROR(GOOGLEFINANCE(A1859,""priceopen""),"""")"),50.0)</f>
        <v>50</v>
      </c>
      <c r="X1859" s="22">
        <f>IFERROR(__xludf.DUMMYFUNCTION("IFERROR(GOOGLEFINANCE(A1859,""high""),"""")"),57.0)</f>
        <v>57</v>
      </c>
      <c r="Y1859" s="22">
        <f>IFERROR(__xludf.DUMMYFUNCTION("IFERROR(GOOGLEFINANCE(A1859,""low""),"""")"),50.0)</f>
        <v>50</v>
      </c>
      <c r="Z1859" s="22">
        <f>IFERROR(__xludf.DUMMYFUNCTION("IFERROR(GOOGLEFINANCE(A1859,""volume""),"""")"),3.982069E8)</f>
        <v>398206900</v>
      </c>
      <c r="AA1859" s="24" t="str">
        <f>VLOOKUP(A1859,Metrik!$C$2:$Y$959,5,0)</f>
        <v>Agricultural Products</v>
      </c>
      <c r="AB1859" s="24" t="str">
        <f>VLOOKUP(A1859,Metrik!$C$2:$Y$959,3,0)</f>
        <v>Consumer Non-Cyclicals</v>
      </c>
    </row>
    <row r="1860">
      <c r="A1860" s="14" t="s">
        <v>1009</v>
      </c>
      <c r="B1860" s="14" t="str">
        <f t="array" ref="B1860">VLOOKUP(A1860,{Metrik!$C$2:$C$998,Metrik!$B$2:$B$998},2,0)</f>
        <v>Wahana Ottomitra Multiartha Tbk.</v>
      </c>
      <c r="C1860" s="15">
        <f>IFERROR(__xludf.DUMMYFUNCTION("GOOGLEFINANCE(""IDX:""&amp;A1860,""price"")"),250.0)</f>
        <v>250</v>
      </c>
      <c r="D1860" s="16" t="str">
        <f>IFERROR(__xludf.DUMMYFUNCTION("IF(A1860="""","""",
SPARKLINE(
INDEX(
GOOGLEFINANCE(""IDX:""&amp;A1860,""close"",TODAY()-365,TODAY()),
,2
),
{""linewidth"",1}
))
"),"#N/A")</f>
        <v>#N/A</v>
      </c>
      <c r="E1860" s="26"/>
      <c r="F1860" s="26"/>
      <c r="G1860" s="24">
        <f t="shared" si="11"/>
        <v>0</v>
      </c>
      <c r="H1860" s="19">
        <f>VLOOKUP(A1860,Metrik!$C$2:$Y$959,8,0)</f>
        <v>4.5</v>
      </c>
      <c r="I1860" s="20">
        <f>VLOOKUP(A1860,Metrik!$C$2:$Y$959,9,0)</f>
        <v>0.5</v>
      </c>
      <c r="J1860" s="20">
        <f>VLOOKUP(A1860,Metrik!$C$2:$Y$959,10,0)</f>
        <v>11.3</v>
      </c>
      <c r="K1860" s="20">
        <f>VLOOKUP(A1860,Metrik!$C$2:$Y$959,11,0)</f>
        <v>1.3</v>
      </c>
      <c r="L1860" s="20">
        <f>VLOOKUP(A1860,Metrik!$C$2:$Y$959,12,0)</f>
        <v>3.5</v>
      </c>
      <c r="M1860" s="20">
        <f>VLOOKUP(A1860,Metrik!$C$2:$Y$959,19,0)</f>
        <v>12.2</v>
      </c>
      <c r="N1860" s="21"/>
      <c r="O1860" s="21"/>
      <c r="P1860" s="21"/>
      <c r="Q1860" s="21"/>
      <c r="R1860" s="21"/>
      <c r="S1860" s="21"/>
      <c r="T1860" s="21"/>
      <c r="U1860" s="22">
        <f>IFERROR(__xludf.DUMMYFUNCTION("IFERROR(GOOGLEFINANCE(A1860,""closeyest""),"""")"),244.0)</f>
        <v>244</v>
      </c>
      <c r="V1860" s="23">
        <f>IFERROR(__xludf.DUMMYFUNCTION("IFERROR(GOOGLEFINANCE(A1860,""changepct""),"""")"),2.46)</f>
        <v>2.46</v>
      </c>
      <c r="W1860" s="22">
        <f>IFERROR(__xludf.DUMMYFUNCTION("IFERROR(GOOGLEFINANCE(A1860,""priceopen""),"""")"),242.0)</f>
        <v>242</v>
      </c>
      <c r="X1860" s="22">
        <f>IFERROR(__xludf.DUMMYFUNCTION("IFERROR(GOOGLEFINANCE(A1860,""high""),"""")"),250.0)</f>
        <v>250</v>
      </c>
      <c r="Y1860" s="22">
        <f>IFERROR(__xludf.DUMMYFUNCTION("IFERROR(GOOGLEFINANCE(A1860,""low""),"""")"),230.0)</f>
        <v>230</v>
      </c>
      <c r="Z1860" s="22">
        <f>IFERROR(__xludf.DUMMYFUNCTION("IFERROR(GOOGLEFINANCE(A1860,""volume""),"""")"),16100.0)</f>
        <v>16100</v>
      </c>
      <c r="AA1860" s="24" t="str">
        <f>VLOOKUP(A1860,Metrik!$C$2:$Y$959,5,0)</f>
        <v>Consumer Financing</v>
      </c>
      <c r="AB1860" s="24" t="str">
        <f>VLOOKUP(A1860,Metrik!$C$2:$Y$959,3,0)</f>
        <v>Financials</v>
      </c>
    </row>
    <row r="1861">
      <c r="A1861" s="14" t="s">
        <v>1010</v>
      </c>
      <c r="B1861" s="14" t="str">
        <f t="array" ref="B1861">VLOOKUP(A1861,{Metrik!$C$2:$C$998,Metrik!$B$2:$B$998},2,0)</f>
        <v>Integra Indocabinet Tbk.</v>
      </c>
      <c r="C1861" s="15">
        <f>IFERROR(__xludf.DUMMYFUNCTION("GOOGLEFINANCE(""IDX:""&amp;A1861,""price"")"),230.0)</f>
        <v>230</v>
      </c>
      <c r="D1861" s="16" t="str">
        <f>IFERROR(__xludf.DUMMYFUNCTION("IF(A1861="""","""",
SPARKLINE(
INDEX(
GOOGLEFINANCE(""IDX:""&amp;A1861,""close"",TODAY()-365,TODAY()),
,2
),
{""linewidth"",1}
))
"),"#N/A")</f>
        <v>#N/A</v>
      </c>
      <c r="E1861" s="26"/>
      <c r="F1861" s="26"/>
      <c r="G1861" s="24">
        <f t="shared" si="11"/>
        <v>0</v>
      </c>
      <c r="H1861" s="19">
        <f>VLOOKUP(A1861,Metrik!$C$2:$Y$959,8,0)</f>
        <v>30.2</v>
      </c>
      <c r="I1861" s="20">
        <f>VLOOKUP(A1861,Metrik!$C$2:$Y$959,9,0)</f>
        <v>0.37</v>
      </c>
      <c r="J1861" s="20">
        <f>VLOOKUP(A1861,Metrik!$C$2:$Y$959,10,0)</f>
        <v>1.2</v>
      </c>
      <c r="K1861" s="20">
        <f>VLOOKUP(A1861,Metrik!$C$2:$Y$959,11,0)</f>
        <v>0.72</v>
      </c>
      <c r="L1861" s="20">
        <f>VLOOKUP(A1861,Metrik!$C$2:$Y$959,12,0)</f>
        <v>0.73</v>
      </c>
      <c r="M1861" s="20">
        <f>VLOOKUP(A1861,Metrik!$C$2:$Y$959,19,0)</f>
        <v>7.9</v>
      </c>
      <c r="N1861" s="21"/>
      <c r="O1861" s="21"/>
      <c r="P1861" s="21"/>
      <c r="Q1861" s="21"/>
      <c r="R1861" s="21"/>
      <c r="S1861" s="21"/>
      <c r="T1861" s="21"/>
      <c r="U1861" s="22">
        <f>IFERROR(__xludf.DUMMYFUNCTION("IFERROR(GOOGLEFINANCE(A1861,""closeyest""),"""")"),67.22)</f>
        <v>67.22</v>
      </c>
      <c r="V1861" s="23">
        <f>IFERROR(__xludf.DUMMYFUNCTION("IFERROR(GOOGLEFINANCE(A1861,""changepct""),"""")"),1.43)</f>
        <v>1.43</v>
      </c>
      <c r="W1861" s="22">
        <f>IFERROR(__xludf.DUMMYFUNCTION("IFERROR(GOOGLEFINANCE(A1861,""priceopen""),"""")"),67.45)</f>
        <v>67.45</v>
      </c>
      <c r="X1861" s="22">
        <f>IFERROR(__xludf.DUMMYFUNCTION("IFERROR(GOOGLEFINANCE(A1861,""high""),"""")"),68.18)</f>
        <v>68.18</v>
      </c>
      <c r="Y1861" s="22">
        <f>IFERROR(__xludf.DUMMYFUNCTION("IFERROR(GOOGLEFINANCE(A1861,""low""),"""")"),67.45)</f>
        <v>67.45</v>
      </c>
      <c r="Z1861" s="22">
        <f>IFERROR(__xludf.DUMMYFUNCTION("IFERROR(GOOGLEFINANCE(A1861,""volume""),"""")"),4672.0)</f>
        <v>4672</v>
      </c>
      <c r="AA1861" s="24" t="str">
        <f>VLOOKUP(A1861,Metrik!$C$2:$Y$959,5,0)</f>
        <v>Household Goods</v>
      </c>
      <c r="AB1861" s="24" t="str">
        <f>VLOOKUP(A1861,Metrik!$C$2:$Y$959,3,0)</f>
        <v>Consumer Cyclicals</v>
      </c>
    </row>
    <row r="1862">
      <c r="A1862" s="14" t="s">
        <v>1011</v>
      </c>
      <c r="B1862" s="14" t="str">
        <f t="array" ref="B1862">VLOOKUP(A1862,{Metrik!$C$2:$C$998,Metrik!$B$2:$B$998},2,0)</f>
        <v>Ginting Jaya Energi Tbk.</v>
      </c>
      <c r="C1862" s="15">
        <f>IFERROR(__xludf.DUMMYFUNCTION("GOOGLEFINANCE(""IDX:""&amp;A1862,""price"")"),58.0)</f>
        <v>58</v>
      </c>
      <c r="D1862" s="16" t="str">
        <f>IFERROR(__xludf.DUMMYFUNCTION("IF(A1862="""","""",
SPARKLINE(
INDEX(
GOOGLEFINANCE(""IDX:""&amp;A1862,""close"",TODAY()-365,TODAY()),
,2
),
{""linewidth"",1}
))
"),"#N/A")</f>
        <v>#N/A</v>
      </c>
      <c r="E1862" s="26"/>
      <c r="F1862" s="26"/>
      <c r="G1862" s="24">
        <f t="shared" si="11"/>
        <v>0</v>
      </c>
      <c r="H1862" s="19">
        <f>VLOOKUP(A1862,Metrik!$C$2:$Y$959,8,0)</f>
        <v>9.5</v>
      </c>
      <c r="I1862" s="20">
        <f>VLOOKUP(A1862,Metrik!$C$2:$Y$959,9,0)</f>
        <v>0.28</v>
      </c>
      <c r="J1862" s="20">
        <f>VLOOKUP(A1862,Metrik!$C$2:$Y$959,10,0)</f>
        <v>3</v>
      </c>
      <c r="K1862" s="20">
        <f>VLOOKUP(A1862,Metrik!$C$2:$Y$959,11,0)</f>
        <v>2.5</v>
      </c>
      <c r="L1862" s="20">
        <f>VLOOKUP(A1862,Metrik!$C$2:$Y$959,12,0)</f>
        <v>0.2</v>
      </c>
      <c r="M1862" s="20">
        <f>VLOOKUP(A1862,Metrik!$C$2:$Y$959,19,0)</f>
        <v>25.4</v>
      </c>
      <c r="N1862" s="21"/>
      <c r="O1862" s="21"/>
      <c r="P1862" s="21"/>
      <c r="Q1862" s="21"/>
      <c r="R1862" s="21"/>
      <c r="S1862" s="21"/>
      <c r="T1862" s="21"/>
      <c r="U1862" s="22">
        <f>IFERROR(__xludf.DUMMYFUNCTION("IFERROR(GOOGLEFINANCE(A1862,""closeyest""),"""")"),56.0)</f>
        <v>56</v>
      </c>
      <c r="V1862" s="23" t="str">
        <f>IFERROR(__xludf.DUMMYFUNCTION("IFERROR(GOOGLEFINANCE(A1862,""changepct""),"""")"),"")</f>
        <v/>
      </c>
      <c r="W1862" s="22">
        <f>IFERROR(__xludf.DUMMYFUNCTION("IFERROR(GOOGLEFINANCE(A1862,""priceopen""),"""")"),56.0)</f>
        <v>56</v>
      </c>
      <c r="X1862" s="22">
        <f>IFERROR(__xludf.DUMMYFUNCTION("IFERROR(GOOGLEFINANCE(A1862,""high""),"""")"),60.0)</f>
        <v>60</v>
      </c>
      <c r="Y1862" s="22">
        <f>IFERROR(__xludf.DUMMYFUNCTION("IFERROR(GOOGLEFINANCE(A1862,""low""),"""")"),55.0)</f>
        <v>55</v>
      </c>
      <c r="Z1862" s="22">
        <f>IFERROR(__xludf.DUMMYFUNCTION("IFERROR(GOOGLEFINANCE(A1862,""volume""),"""")"),1.44441E7)</f>
        <v>14444100</v>
      </c>
      <c r="AA1862" s="24" t="str">
        <f>VLOOKUP(A1862,Metrik!$C$2:$Y$959,5,0)</f>
        <v>Oil, Gas &amp; Coal Supports</v>
      </c>
      <c r="AB1862" s="24" t="str">
        <f>VLOOKUP(A1862,Metrik!$C$2:$Y$959,3,0)</f>
        <v>Energy</v>
      </c>
    </row>
    <row r="1863">
      <c r="A1863" s="14" t="s">
        <v>1012</v>
      </c>
      <c r="B1863" s="14" t="str">
        <f t="array" ref="B1863">VLOOKUP(A1863,{Metrik!$C$2:$C$998,Metrik!$B$2:$B$998},2,0)</f>
        <v>Waskita Beton Precast Tbk.</v>
      </c>
      <c r="C1863" s="15">
        <f>IFERROR(__xludf.DUMMYFUNCTION("GOOGLEFINANCE(""IDX:""&amp;A1863,""price"")"),15.0)</f>
        <v>15</v>
      </c>
      <c r="D1863" s="16" t="str">
        <f>IFERROR(__xludf.DUMMYFUNCTION("IF(A1863="""","""",
SPARKLINE(
INDEX(
GOOGLEFINANCE(""IDX:""&amp;A1863,""close"",TODAY()-365,TODAY()),
,2
),
{""linewidth"",1}
))
"),"#N/A")</f>
        <v>#N/A</v>
      </c>
      <c r="E1863" s="26"/>
      <c r="F1863" s="26"/>
      <c r="G1863" s="24">
        <f t="shared" si="11"/>
        <v>0</v>
      </c>
      <c r="H1863" s="19">
        <f>VLOOKUP(A1863,Metrik!$C$2:$Y$959,8,0)</f>
        <v>-1.4</v>
      </c>
      <c r="I1863" s="20">
        <f>VLOOKUP(A1863,Metrik!$C$2:$Y$959,9,0)</f>
        <v>-0.4</v>
      </c>
      <c r="J1863" s="20">
        <f>VLOOKUP(A1863,Metrik!$C$2:$Y$959,10,0)</f>
        <v>0</v>
      </c>
      <c r="K1863" s="20">
        <f>VLOOKUP(A1863,Metrik!$C$2:$Y$959,11,0)</f>
        <v>-20.2</v>
      </c>
      <c r="L1863" s="20">
        <f>VLOOKUP(A1863,Metrik!$C$2:$Y$959,12,0)</f>
        <v>-2.4</v>
      </c>
      <c r="M1863" s="20">
        <f>VLOOKUP(A1863,Metrik!$C$2:$Y$959,19,0)</f>
        <v>-150</v>
      </c>
      <c r="N1863" s="21"/>
      <c r="O1863" s="21"/>
      <c r="P1863" s="21"/>
      <c r="Q1863" s="21"/>
      <c r="R1863" s="21"/>
      <c r="S1863" s="21"/>
      <c r="T1863" s="21"/>
      <c r="U1863" s="22">
        <f>IFERROR(__xludf.DUMMYFUNCTION("IFERROR(GOOGLEFINANCE(A1863,""closeyest""),"""")"),14.0)</f>
        <v>14</v>
      </c>
      <c r="V1863" s="23">
        <f>IFERROR(__xludf.DUMMYFUNCTION("IFERROR(GOOGLEFINANCE(A1863,""changepct""),"""")"),7.14)</f>
        <v>7.14</v>
      </c>
      <c r="W1863" s="22">
        <f>IFERROR(__xludf.DUMMYFUNCTION("IFERROR(GOOGLEFINANCE(A1863,""priceopen""),"""")"),14.0)</f>
        <v>14</v>
      </c>
      <c r="X1863" s="22">
        <f>IFERROR(__xludf.DUMMYFUNCTION("IFERROR(GOOGLEFINANCE(A1863,""high""),"""")"),15.0)</f>
        <v>15</v>
      </c>
      <c r="Y1863" s="22">
        <f>IFERROR(__xludf.DUMMYFUNCTION("IFERROR(GOOGLEFINANCE(A1863,""low""),"""")"),14.0)</f>
        <v>14</v>
      </c>
      <c r="Z1863" s="22">
        <f>IFERROR(__xludf.DUMMYFUNCTION("IFERROR(GOOGLEFINANCE(A1863,""volume""),"""")"),1.9057E7)</f>
        <v>19057000</v>
      </c>
      <c r="AA1863" s="24" t="str">
        <f>VLOOKUP(A1863,Metrik!$C$2:$Y$959,5,0)</f>
        <v>Construction Materials</v>
      </c>
      <c r="AB1863" s="24" t="str">
        <f>VLOOKUP(A1863,Metrik!$C$2:$Y$959,3,0)</f>
        <v>Basic Materials</v>
      </c>
    </row>
    <row r="1864">
      <c r="A1864" s="14" t="s">
        <v>1013</v>
      </c>
      <c r="B1864" s="14" t="str">
        <f t="array" ref="B1864">VLOOKUP(A1864,{Metrik!$C$2:$C$998,Metrik!$B$2:$B$998},2,0)</f>
        <v>PT Waskita Karya (Persero) Tbk</v>
      </c>
      <c r="C1864" s="15">
        <f>IFERROR(__xludf.DUMMYFUNCTION("GOOGLEFINANCE(""IDX:""&amp;A1864,""price"")"),202.0)</f>
        <v>202</v>
      </c>
      <c r="D1864" s="16" t="str">
        <f>IFERROR(__xludf.DUMMYFUNCTION("IF(A1864="""","""",
SPARKLINE(
INDEX(
GOOGLEFINANCE(""IDX:""&amp;A1864,""close"",TODAY()-365,TODAY()),
,2
),
{""linewidth"",1}
))
"),"#N/A")</f>
        <v>#N/A</v>
      </c>
      <c r="E1864" s="26"/>
      <c r="F1864" s="26"/>
      <c r="G1864" s="24">
        <f t="shared" si="11"/>
        <v>0</v>
      </c>
      <c r="H1864" s="19">
        <f>VLOOKUP(A1864,Metrik!$C$2:$Y$959,8,0)</f>
        <v>-1.7</v>
      </c>
      <c r="I1864" s="20">
        <f>VLOOKUP(A1864,Metrik!$C$2:$Y$959,9,0)</f>
        <v>2</v>
      </c>
      <c r="J1864" s="20">
        <f>VLOOKUP(A1864,Metrik!$C$2:$Y$959,10,0)</f>
        <v>-110</v>
      </c>
      <c r="K1864" s="20">
        <f>VLOOKUP(A1864,Metrik!$C$2:$Y$959,11,0)</f>
        <v>-4.9</v>
      </c>
      <c r="L1864" s="20">
        <f>VLOOKUP(A1864,Metrik!$C$2:$Y$959,12,0)</f>
        <v>22.4</v>
      </c>
      <c r="M1864" s="20">
        <f>VLOOKUP(A1864,Metrik!$C$2:$Y$959,19,0)</f>
        <v>-160</v>
      </c>
      <c r="N1864" s="21"/>
      <c r="O1864" s="21"/>
      <c r="P1864" s="21"/>
      <c r="Q1864" s="21"/>
      <c r="R1864" s="21"/>
      <c r="S1864" s="21"/>
      <c r="T1864" s="21"/>
      <c r="U1864" s="22">
        <f>IFERROR(__xludf.DUMMYFUNCTION("IFERROR(GOOGLEFINANCE(A1864,""closeyest""),"""")"),202.0)</f>
        <v>202</v>
      </c>
      <c r="V1864" s="23">
        <f>IFERROR(__xludf.DUMMYFUNCTION("IFERROR(GOOGLEFINANCE(A1864,""changepct""),"""")"),0.0)</f>
        <v>0</v>
      </c>
      <c r="W1864" s="22" t="str">
        <f>IFERROR(__xludf.DUMMYFUNCTION("IFERROR(GOOGLEFINANCE(A1864,""priceopen""),"""")"),"")</f>
        <v/>
      </c>
      <c r="X1864" s="22" t="str">
        <f>IFERROR(__xludf.DUMMYFUNCTION("IFERROR(GOOGLEFINANCE(A1864,""high""),"""")"),"")</f>
        <v/>
      </c>
      <c r="Y1864" s="22" t="str">
        <f>IFERROR(__xludf.DUMMYFUNCTION("IFERROR(GOOGLEFINANCE(A1864,""low""),"""")"),"")</f>
        <v/>
      </c>
      <c r="Z1864" s="22">
        <f>IFERROR(__xludf.DUMMYFUNCTION("IFERROR(GOOGLEFINANCE(A1864,""volume""),"""")"),0.0)</f>
        <v>0</v>
      </c>
      <c r="AA1864" s="24" t="str">
        <f>VLOOKUP(A1864,Metrik!$C$2:$Y$959,5,0)</f>
        <v>Heavy Constructions &amp; Civil Engineering</v>
      </c>
      <c r="AB1864" s="24" t="str">
        <f>VLOOKUP(A1864,Metrik!$C$2:$Y$959,3,0)</f>
        <v>Infrastructures</v>
      </c>
    </row>
    <row r="1865">
      <c r="A1865" s="14" t="s">
        <v>1014</v>
      </c>
      <c r="B1865" s="14" t="str">
        <f t="array" ref="B1865">VLOOKUP(A1865,{Metrik!$C$2:$C$998,Metrik!$B$2:$B$998},2,0)</f>
        <v>Wijaya Karya Beton Tbk.</v>
      </c>
      <c r="C1865" s="15">
        <f>IFERROR(__xludf.DUMMYFUNCTION("GOOGLEFINANCE(""IDX:""&amp;A1865,""price"")"),78.0)</f>
        <v>78</v>
      </c>
      <c r="D1865" s="16" t="str">
        <f>IFERROR(__xludf.DUMMYFUNCTION("IF(A1865="""","""",
SPARKLINE(
INDEX(
GOOGLEFINANCE(""IDX:""&amp;A1865,""close"",TODAY()-365,TODAY()),
,2
),
{""linewidth"",1}
))
"),"#N/A")</f>
        <v>#N/A</v>
      </c>
      <c r="E1865" s="14" t="s">
        <v>106</v>
      </c>
      <c r="F1865" s="25">
        <v>46356.0</v>
      </c>
      <c r="G1865" s="24">
        <f t="shared" si="11"/>
        <v>1</v>
      </c>
      <c r="H1865" s="19">
        <f>VLOOKUP(A1865,Metrik!$C$2:$Y$959,8,0)</f>
        <v>17.7</v>
      </c>
      <c r="I1865" s="20">
        <f>VLOOKUP(A1865,Metrik!$C$2:$Y$959,9,0)</f>
        <v>0.19</v>
      </c>
      <c r="J1865" s="20">
        <f>VLOOKUP(A1865,Metrik!$C$2:$Y$959,10,0)</f>
        <v>1.1</v>
      </c>
      <c r="K1865" s="20">
        <f>VLOOKUP(A1865,Metrik!$C$2:$Y$959,11,0)</f>
        <v>0.63</v>
      </c>
      <c r="L1865" s="20">
        <f>VLOOKUP(A1865,Metrik!$C$2:$Y$959,12,0)</f>
        <v>0.71</v>
      </c>
      <c r="M1865" s="20">
        <f>VLOOKUP(A1865,Metrik!$C$2:$Y$959,19,0)</f>
        <v>5.9</v>
      </c>
      <c r="N1865" s="21"/>
      <c r="O1865" s="21"/>
      <c r="P1865" s="21"/>
      <c r="Q1865" s="21"/>
      <c r="R1865" s="21"/>
      <c r="S1865" s="21"/>
      <c r="T1865" s="21"/>
      <c r="U1865" s="22">
        <f>IFERROR(__xludf.DUMMYFUNCTION("IFERROR(GOOGLEFINANCE(A1865,""closeyest""),"""")"),76.0)</f>
        <v>76</v>
      </c>
      <c r="V1865" s="23">
        <f>IFERROR(__xludf.DUMMYFUNCTION("IFERROR(GOOGLEFINANCE(A1865,""changepct""),"""")"),2.63)</f>
        <v>2.63</v>
      </c>
      <c r="W1865" s="22">
        <f>IFERROR(__xludf.DUMMYFUNCTION("IFERROR(GOOGLEFINANCE(A1865,""priceopen""),"""")"),78.0)</f>
        <v>78</v>
      </c>
      <c r="X1865" s="22">
        <f>IFERROR(__xludf.DUMMYFUNCTION("IFERROR(GOOGLEFINANCE(A1865,""high""),"""")"),81.0)</f>
        <v>81</v>
      </c>
      <c r="Y1865" s="22">
        <f>IFERROR(__xludf.DUMMYFUNCTION("IFERROR(GOOGLEFINANCE(A1865,""low""),"""")"),76.0)</f>
        <v>76</v>
      </c>
      <c r="Z1865" s="22">
        <f>IFERROR(__xludf.DUMMYFUNCTION("IFERROR(GOOGLEFINANCE(A1865,""volume""),"""")"),1.63752E7)</f>
        <v>16375200</v>
      </c>
      <c r="AA1865" s="24" t="str">
        <f>VLOOKUP(A1865,Metrik!$C$2:$Y$959,5,0)</f>
        <v>Construction Materials</v>
      </c>
      <c r="AB1865" s="24" t="str">
        <f>VLOOKUP(A1865,Metrik!$C$2:$Y$959,3,0)</f>
        <v>Basic Materials</v>
      </c>
    </row>
    <row r="1866">
      <c r="A1866" s="14" t="s">
        <v>1015</v>
      </c>
      <c r="B1866" s="14" t="str">
        <f t="array" ref="B1866">VLOOKUP(A1866,{Metrik!$C$2:$C$998,Metrik!$B$2:$B$998},2,0)</f>
        <v>Yelooo Integra Datanet Tbk.</v>
      </c>
      <c r="C1866" s="15">
        <f>IFERROR(__xludf.DUMMYFUNCTION("GOOGLEFINANCE(""IDX:""&amp;A1866,""price"")"),73.0)</f>
        <v>73</v>
      </c>
      <c r="D1866" s="16" t="str">
        <f>IFERROR(__xludf.DUMMYFUNCTION("IF(A1866="""","""",
SPARKLINE(
INDEX(
GOOGLEFINANCE(""IDX:""&amp;A1866,""close"",TODAY()-365,TODAY()),
,2
),
{""linewidth"",1}
))
"),"#N/A")</f>
        <v>#N/A</v>
      </c>
      <c r="E1866" s="26"/>
      <c r="F1866" s="26"/>
      <c r="G1866" s="24">
        <f t="shared" si="11"/>
        <v>0</v>
      </c>
      <c r="H1866" s="19">
        <f>VLOOKUP(A1866,Metrik!$C$2:$Y$959,8,0)</f>
        <v>-7.1</v>
      </c>
      <c r="I1866" s="20">
        <f>VLOOKUP(A1866,Metrik!$C$2:$Y$959,9,0)</f>
        <v>0.56</v>
      </c>
      <c r="J1866" s="20">
        <f>VLOOKUP(A1866,Metrik!$C$2:$Y$959,10,0)</f>
        <v>-8</v>
      </c>
      <c r="K1866" s="20">
        <f>VLOOKUP(A1866,Metrik!$C$2:$Y$959,11,0)</f>
        <v>-7.8</v>
      </c>
      <c r="L1866" s="20">
        <f>VLOOKUP(A1866,Metrik!$C$2:$Y$959,12,0)</f>
        <v>0.03</v>
      </c>
      <c r="M1866" s="20">
        <f>VLOOKUP(A1866,Metrik!$C$2:$Y$959,19,0)</f>
        <v>-190</v>
      </c>
      <c r="N1866" s="21"/>
      <c r="O1866" s="21"/>
      <c r="P1866" s="21"/>
      <c r="Q1866" s="21"/>
      <c r="R1866" s="21"/>
      <c r="S1866" s="21"/>
      <c r="T1866" s="21"/>
      <c r="U1866" s="22" t="str">
        <f>IFERROR(__xludf.DUMMYFUNCTION("IFERROR(GOOGLEFINANCE(A1866,""closeyest""),"""")"),"")</f>
        <v/>
      </c>
      <c r="V1866" s="23">
        <f>IFERROR(__xludf.DUMMYFUNCTION("IFERROR(GOOGLEFINANCE(A1866,""changepct""),"""")"),8.96)</f>
        <v>8.96</v>
      </c>
      <c r="W1866" s="22">
        <f>IFERROR(__xludf.DUMMYFUNCTION("IFERROR(GOOGLEFINANCE(A1866,""priceopen""),"""")"),67.0)</f>
        <v>67</v>
      </c>
      <c r="X1866" s="22">
        <f>IFERROR(__xludf.DUMMYFUNCTION("IFERROR(GOOGLEFINANCE(A1866,""high""),"""")"),81.0)</f>
        <v>81</v>
      </c>
      <c r="Y1866" s="22">
        <f>IFERROR(__xludf.DUMMYFUNCTION("IFERROR(GOOGLEFINANCE(A1866,""low""),"""")"),67.0)</f>
        <v>67</v>
      </c>
      <c r="Z1866" s="22">
        <f>IFERROR(__xludf.DUMMYFUNCTION("IFERROR(GOOGLEFINANCE(A1866,""volume""),"""")"),2.060807E8)</f>
        <v>206080700</v>
      </c>
      <c r="AA1866" s="24" t="str">
        <f>VLOOKUP(A1866,Metrik!$C$2:$Y$959,5,0)</f>
        <v>Education &amp; Support Services</v>
      </c>
      <c r="AB1866" s="24" t="str">
        <f>VLOOKUP(A1866,Metrik!$C$2:$Y$959,3,0)</f>
        <v>Consumer Cyclicals</v>
      </c>
    </row>
    <row r="1867">
      <c r="A1867" s="14" t="s">
        <v>1016</v>
      </c>
      <c r="B1867" s="14" t="str">
        <f t="array" ref="B1867">VLOOKUP(A1867,{Metrik!$C$2:$C$998,Metrik!$B$2:$B$998},2,0)</f>
        <v>Asuransi Digital Bersama Tbk.</v>
      </c>
      <c r="C1867" s="15">
        <f>IFERROR(__xludf.DUMMYFUNCTION("GOOGLEFINANCE(""IDX:""&amp;A1867,""price"")"),90.0)</f>
        <v>90</v>
      </c>
      <c r="D1867" s="16" t="str">
        <f>IFERROR(__xludf.DUMMYFUNCTION("IF(A1867="""","""",
SPARKLINE(
INDEX(
GOOGLEFINANCE(""IDX:""&amp;A1867,""close"",TODAY()-365,TODAY()),
,2
),
{""linewidth"",1}
))
"),"#N/A")</f>
        <v>#N/A</v>
      </c>
      <c r="E1867" s="26"/>
      <c r="F1867" s="26"/>
      <c r="G1867" s="24">
        <f t="shared" si="11"/>
        <v>0</v>
      </c>
      <c r="H1867" s="19">
        <f>VLOOKUP(A1867,Metrik!$C$2:$Y$959,8,0)</f>
        <v>13.7</v>
      </c>
      <c r="I1867" s="20">
        <f>VLOOKUP(A1867,Metrik!$C$2:$Y$959,9,0)</f>
        <v>1.2</v>
      </c>
      <c r="J1867" s="20">
        <f>VLOOKUP(A1867,Metrik!$C$2:$Y$959,10,0)</f>
        <v>8.4</v>
      </c>
      <c r="K1867" s="20">
        <f>VLOOKUP(A1867,Metrik!$C$2:$Y$959,11,0)</f>
        <v>5.9</v>
      </c>
      <c r="L1867" s="20">
        <f>VLOOKUP(A1867,Metrik!$C$2:$Y$959,12,0)</f>
        <v>0.43</v>
      </c>
      <c r="M1867" s="20">
        <f>VLOOKUP(A1867,Metrik!$C$2:$Y$959,19,0)</f>
        <v>10.9</v>
      </c>
      <c r="N1867" s="21"/>
      <c r="O1867" s="21"/>
      <c r="P1867" s="21"/>
      <c r="Q1867" s="21"/>
      <c r="R1867" s="21"/>
      <c r="S1867" s="21"/>
      <c r="T1867" s="21"/>
      <c r="U1867" s="22">
        <f>IFERROR(__xludf.DUMMYFUNCTION("IFERROR(GOOGLEFINANCE(A1867,""closeyest""),"""")"),86.0)</f>
        <v>86</v>
      </c>
      <c r="V1867" s="23">
        <f>IFERROR(__xludf.DUMMYFUNCTION("IFERROR(GOOGLEFINANCE(A1867,""changepct""),"""")"),4.65)</f>
        <v>4.65</v>
      </c>
      <c r="W1867" s="22">
        <f>IFERROR(__xludf.DUMMYFUNCTION("IFERROR(GOOGLEFINANCE(A1867,""priceopen""),"""")"),87.0)</f>
        <v>87</v>
      </c>
      <c r="X1867" s="22">
        <f>IFERROR(__xludf.DUMMYFUNCTION("IFERROR(GOOGLEFINANCE(A1867,""high""),"""")"),96.0)</f>
        <v>96</v>
      </c>
      <c r="Y1867" s="22">
        <f>IFERROR(__xludf.DUMMYFUNCTION("IFERROR(GOOGLEFINANCE(A1867,""low""),"""")"),87.0)</f>
        <v>87</v>
      </c>
      <c r="Z1867" s="22">
        <f>IFERROR(__xludf.DUMMYFUNCTION("IFERROR(GOOGLEFINANCE(A1867,""volume""),"""")"),1.86648E7)</f>
        <v>18664800</v>
      </c>
      <c r="AA1867" s="24" t="str">
        <f>VLOOKUP(A1867,Metrik!$C$2:$Y$959,5,0)</f>
        <v>Insurance</v>
      </c>
      <c r="AB1867" s="24" t="str">
        <f>VLOOKUP(A1867,Metrik!$C$2:$Y$959,3,0)</f>
        <v>Financials</v>
      </c>
    </row>
    <row r="1868">
      <c r="A1868" s="14" t="s">
        <v>1017</v>
      </c>
      <c r="B1868" s="14" t="str">
        <f t="array" ref="B1868">VLOOKUP(A1868,{Metrik!$C$2:$C$998,Metrik!$B$2:$B$998},2,0)</f>
        <v>Yanaprima Hastapersada Tbk</v>
      </c>
      <c r="C1868" s="15">
        <f>IFERROR(__xludf.DUMMYFUNCTION("GOOGLEFINANCE(""IDX:""&amp;A1868,""price"")"),630.0)</f>
        <v>630</v>
      </c>
      <c r="D1868" s="16" t="str">
        <f>IFERROR(__xludf.DUMMYFUNCTION("IF(A1868="""","""",
SPARKLINE(
INDEX(
GOOGLEFINANCE(""IDX:""&amp;A1868,""close"",TODAY()-365,TODAY()),
,2
),
{""linewidth"",1}
))
"),"#N/A")</f>
        <v>#N/A</v>
      </c>
      <c r="E1868" s="26"/>
      <c r="F1868" s="26"/>
      <c r="G1868" s="24">
        <f t="shared" si="11"/>
        <v>0</v>
      </c>
      <c r="H1868" s="19">
        <f>VLOOKUP(A1868,Metrik!$C$2:$Y$959,8,0)</f>
        <v>50.1</v>
      </c>
      <c r="I1868" s="20">
        <f>VLOOKUP(A1868,Metrik!$C$2:$Y$959,9,0)</f>
        <v>3.5</v>
      </c>
      <c r="J1868" s="20">
        <f>VLOOKUP(A1868,Metrik!$C$2:$Y$959,10,0)</f>
        <v>7.1</v>
      </c>
      <c r="K1868" s="20">
        <f>VLOOKUP(A1868,Metrik!$C$2:$Y$959,11,0)</f>
        <v>3.4</v>
      </c>
      <c r="L1868" s="20">
        <f>VLOOKUP(A1868,Metrik!$C$2:$Y$959,12,0)</f>
        <v>1.1</v>
      </c>
      <c r="M1868" s="20">
        <f>VLOOKUP(A1868,Metrik!$C$2:$Y$959,19,0)</f>
        <v>10.6</v>
      </c>
      <c r="N1868" s="21"/>
      <c r="O1868" s="21"/>
      <c r="P1868" s="21"/>
      <c r="Q1868" s="21"/>
      <c r="R1868" s="21"/>
      <c r="S1868" s="21"/>
      <c r="T1868" s="21"/>
      <c r="U1868" s="22">
        <f>IFERROR(__xludf.DUMMYFUNCTION("IFERROR(GOOGLEFINANCE(A1868,""closeyest""),"""")"),595.0)</f>
        <v>595</v>
      </c>
      <c r="V1868" s="23">
        <f>IFERROR(__xludf.DUMMYFUNCTION("IFERROR(GOOGLEFINANCE(A1868,""changepct""),"""")"),5.88)</f>
        <v>5.88</v>
      </c>
      <c r="W1868" s="22">
        <f>IFERROR(__xludf.DUMMYFUNCTION("IFERROR(GOOGLEFINANCE(A1868,""priceopen""),"""")"),610.0)</f>
        <v>610</v>
      </c>
      <c r="X1868" s="22">
        <f>IFERROR(__xludf.DUMMYFUNCTION("IFERROR(GOOGLEFINANCE(A1868,""high""),"""")"),645.0)</f>
        <v>645</v>
      </c>
      <c r="Y1868" s="22">
        <f>IFERROR(__xludf.DUMMYFUNCTION("IFERROR(GOOGLEFINANCE(A1868,""low""),"""")"),600.0)</f>
        <v>600</v>
      </c>
      <c r="Z1868" s="22">
        <f>IFERROR(__xludf.DUMMYFUNCTION("IFERROR(GOOGLEFINANCE(A1868,""volume""),"""")"),50100.0)</f>
        <v>50100</v>
      </c>
      <c r="AA1868" s="24" t="str">
        <f>VLOOKUP(A1868,Metrik!$C$2:$Y$959,5,0)</f>
        <v>Containers &amp; Packaging</v>
      </c>
      <c r="AB1868" s="24" t="str">
        <f>VLOOKUP(A1868,Metrik!$C$2:$Y$959,3,0)</f>
        <v>Basic Materials</v>
      </c>
    </row>
    <row r="1869">
      <c r="A1869" s="14" t="s">
        <v>1018</v>
      </c>
      <c r="B1869" s="14" t="str">
        <f t="array" ref="B1869">VLOOKUP(A1869,{Metrik!$C$2:$C$998,Metrik!$B$2:$B$998},2,0)</f>
        <v>Yulie Sekuritas Indonesia Tbk.</v>
      </c>
      <c r="C1869" s="15">
        <f>IFERROR(__xludf.DUMMYFUNCTION("GOOGLEFINANCE(""IDX:""&amp;A1869,""price"")"),3540.0)</f>
        <v>3540</v>
      </c>
      <c r="D1869" s="16" t="str">
        <f>IFERROR(__xludf.DUMMYFUNCTION("IF(A1869="""","""",
SPARKLINE(
INDEX(
GOOGLEFINANCE(""IDX:""&amp;A1869,""close"",TODAY()-365,TODAY()),
,2
),
{""linewidth"",1}
))
"),"#N/A")</f>
        <v>#N/A</v>
      </c>
      <c r="E1869" s="26"/>
      <c r="F1869" s="26"/>
      <c r="G1869" s="24">
        <f t="shared" si="11"/>
        <v>0</v>
      </c>
      <c r="H1869" s="19">
        <f>VLOOKUP(A1869,Metrik!$C$2:$Y$959,8,0)</f>
        <v>44.8</v>
      </c>
      <c r="I1869" s="20">
        <f>VLOOKUP(A1869,Metrik!$C$2:$Y$959,9,0)</f>
        <v>8.7</v>
      </c>
      <c r="J1869" s="20">
        <f>VLOOKUP(A1869,Metrik!$C$2:$Y$959,10,0)</f>
        <v>19.3</v>
      </c>
      <c r="K1869" s="20">
        <f>VLOOKUP(A1869,Metrik!$C$2:$Y$959,11,0)</f>
        <v>17.3</v>
      </c>
      <c r="L1869" s="20">
        <f>VLOOKUP(A1869,Metrik!$C$2:$Y$959,12,0)</f>
        <v>0.12</v>
      </c>
      <c r="M1869" s="20">
        <f>VLOOKUP(A1869,Metrik!$C$2:$Y$959,19,0)</f>
        <v>0</v>
      </c>
      <c r="N1869" s="21"/>
      <c r="O1869" s="21"/>
      <c r="P1869" s="21"/>
      <c r="Q1869" s="21"/>
      <c r="R1869" s="21"/>
      <c r="S1869" s="21"/>
      <c r="T1869" s="21"/>
      <c r="U1869" s="22">
        <f>IFERROR(__xludf.DUMMYFUNCTION("IFERROR(GOOGLEFINANCE(A1869,""closeyest""),"""")"),3600.0)</f>
        <v>3600</v>
      </c>
      <c r="V1869" s="23">
        <f>IFERROR(__xludf.DUMMYFUNCTION("IFERROR(GOOGLEFINANCE(A1869,""changepct""),"""")"),-1.67)</f>
        <v>-1.67</v>
      </c>
      <c r="W1869" s="22">
        <f>IFERROR(__xludf.DUMMYFUNCTION("IFERROR(GOOGLEFINANCE(A1869,""priceopen""),"""")"),3700.0)</f>
        <v>3700</v>
      </c>
      <c r="X1869" s="22">
        <f>IFERROR(__xludf.DUMMYFUNCTION("IFERROR(GOOGLEFINANCE(A1869,""high""),"""")"),3700.0)</f>
        <v>3700</v>
      </c>
      <c r="Y1869" s="22">
        <f>IFERROR(__xludf.DUMMYFUNCTION("IFERROR(GOOGLEFINANCE(A1869,""low""),"""")"),3540.0)</f>
        <v>3540</v>
      </c>
      <c r="Z1869" s="22">
        <f>IFERROR(__xludf.DUMMYFUNCTION("IFERROR(GOOGLEFINANCE(A1869,""volume""),"""")"),14000.0)</f>
        <v>14000</v>
      </c>
      <c r="AA1869" s="24" t="str">
        <f>VLOOKUP(A1869,Metrik!$C$2:$Y$959,5,0)</f>
        <v>Investment Services</v>
      </c>
      <c r="AB1869" s="24" t="str">
        <f>VLOOKUP(A1869,Metrik!$C$2:$Y$959,3,0)</f>
        <v>Financials</v>
      </c>
    </row>
    <row r="1870">
      <c r="A1870" s="14" t="s">
        <v>1019</v>
      </c>
      <c r="B1870" s="14" t="str">
        <f t="array" ref="B1870">VLOOKUP(A1870,{Metrik!$C$2:$C$998,Metrik!$B$2:$B$998},2,0)</f>
        <v>Yupi Indo Jelly Gum Tbk.</v>
      </c>
      <c r="C1870" s="15">
        <f>IFERROR(__xludf.DUMMYFUNCTION("GOOGLEFINANCE(""IDX:""&amp;A1870,""price"")"),1435.0)</f>
        <v>1435</v>
      </c>
      <c r="D1870" s="16" t="str">
        <f>IFERROR(__xludf.DUMMYFUNCTION("IF(A1870="""","""",
SPARKLINE(
INDEX(
GOOGLEFINANCE(""IDX:""&amp;A1870,""close"",TODAY()-365,TODAY()),
,2
),
{""linewidth"",1}
))
"),"#N/A")</f>
        <v>#N/A</v>
      </c>
      <c r="E1870" s="26"/>
      <c r="F1870" s="26"/>
      <c r="G1870" s="24">
        <f t="shared" si="11"/>
        <v>0</v>
      </c>
      <c r="H1870" s="19">
        <f>VLOOKUP(A1870,Metrik!$C$2:$Y$959,8,0)</f>
        <v>19.6</v>
      </c>
      <c r="I1870" s="20">
        <f>VLOOKUP(A1870,Metrik!$C$2:$Y$959,9,0)</f>
        <v>7</v>
      </c>
      <c r="J1870" s="20">
        <f>VLOOKUP(A1870,Metrik!$C$2:$Y$959,10,0)</f>
        <v>35.9</v>
      </c>
      <c r="K1870" s="20">
        <f>VLOOKUP(A1870,Metrik!$C$2:$Y$959,11,0)</f>
        <v>19.7</v>
      </c>
      <c r="L1870" s="20">
        <f>VLOOKUP(A1870,Metrik!$C$2:$Y$959,12,0)</f>
        <v>0.82</v>
      </c>
      <c r="M1870" s="20">
        <f>VLOOKUP(A1870,Metrik!$C$2:$Y$959,19,0)</f>
        <v>81.6</v>
      </c>
      <c r="N1870" s="21"/>
      <c r="O1870" s="21"/>
      <c r="P1870" s="21"/>
      <c r="Q1870" s="21"/>
      <c r="R1870" s="21"/>
      <c r="S1870" s="21"/>
      <c r="T1870" s="21"/>
      <c r="U1870" s="22" t="str">
        <f>IFERROR(__xludf.DUMMYFUNCTION("IFERROR(GOOGLEFINANCE(A1870,""closeyest""),"""")"),"")</f>
        <v/>
      </c>
      <c r="V1870" s="23">
        <f>IFERROR(__xludf.DUMMYFUNCTION("IFERROR(GOOGLEFINANCE(A1870,""changepct""),"""")"),-4.01)</f>
        <v>-4.01</v>
      </c>
      <c r="W1870" s="22">
        <f>IFERROR(__xludf.DUMMYFUNCTION("IFERROR(GOOGLEFINANCE(A1870,""priceopen""),"""")"),1520.0)</f>
        <v>1520</v>
      </c>
      <c r="X1870" s="22">
        <f>IFERROR(__xludf.DUMMYFUNCTION("IFERROR(GOOGLEFINANCE(A1870,""high""),"""")"),1570.0)</f>
        <v>1570</v>
      </c>
      <c r="Y1870" s="22">
        <f>IFERROR(__xludf.DUMMYFUNCTION("IFERROR(GOOGLEFINANCE(A1870,""low""),"""")"),1395.0)</f>
        <v>1395</v>
      </c>
      <c r="Z1870" s="22">
        <f>IFERROR(__xludf.DUMMYFUNCTION("IFERROR(GOOGLEFINANCE(A1870,""volume""),"""")"),111300.0)</f>
        <v>111300</v>
      </c>
      <c r="AA1870" s="24" t="str">
        <f>VLOOKUP(A1870,Metrik!$C$2:$Y$959,5,0)</f>
        <v>Processed Foods</v>
      </c>
      <c r="AB1870" s="24" t="str">
        <f>VLOOKUP(A1870,Metrik!$C$2:$Y$959,3,0)</f>
        <v>Consumer Non-Cyclicals</v>
      </c>
    </row>
    <row r="1871">
      <c r="A1871" s="14" t="s">
        <v>1020</v>
      </c>
      <c r="B1871" s="14" t="str">
        <f t="array" ref="B1871">VLOOKUP(A1871,{Metrik!$C$2:$C$998,Metrik!$B$2:$B$998},2,0)</f>
        <v>Bersama Zatta Jaya Tbk.</v>
      </c>
      <c r="C1871" s="15">
        <f>IFERROR(__xludf.DUMMYFUNCTION("GOOGLEFINANCE(""IDX:""&amp;A1871,""price"")"),58.0)</f>
        <v>58</v>
      </c>
      <c r="D1871" s="16" t="str">
        <f>IFERROR(__xludf.DUMMYFUNCTION("IF(A1871="""","""",
SPARKLINE(
INDEX(
GOOGLEFINANCE(""IDX:""&amp;A1871,""close"",TODAY()-365,TODAY()),
,2
),
{""linewidth"",1}
))
"),"#N/A")</f>
        <v>#N/A</v>
      </c>
      <c r="E1871" s="26"/>
      <c r="F1871" s="26"/>
      <c r="G1871" s="24">
        <f t="shared" si="11"/>
        <v>0</v>
      </c>
      <c r="H1871" s="19">
        <f>VLOOKUP(A1871,Metrik!$C$2:$Y$959,8,0)</f>
        <v>320</v>
      </c>
      <c r="I1871" s="20">
        <f>VLOOKUP(A1871,Metrik!$C$2:$Y$959,9,0)</f>
        <v>1.1</v>
      </c>
      <c r="J1871" s="20">
        <f>VLOOKUP(A1871,Metrik!$C$2:$Y$959,10,0)</f>
        <v>0.34</v>
      </c>
      <c r="K1871" s="20">
        <f>VLOOKUP(A1871,Metrik!$C$2:$Y$959,11,0)</f>
        <v>0.26</v>
      </c>
      <c r="L1871" s="20">
        <f>VLOOKUP(A1871,Metrik!$C$2:$Y$959,12,0)</f>
        <v>0.3</v>
      </c>
      <c r="M1871" s="20">
        <f>VLOOKUP(A1871,Metrik!$C$2:$Y$959,19,0)</f>
        <v>1.1</v>
      </c>
      <c r="N1871" s="21"/>
      <c r="O1871" s="21"/>
      <c r="P1871" s="21"/>
      <c r="Q1871" s="21"/>
      <c r="R1871" s="21"/>
      <c r="S1871" s="21"/>
      <c r="T1871" s="21"/>
      <c r="U1871" s="22">
        <f>IFERROR(__xludf.DUMMYFUNCTION("IFERROR(GOOGLEFINANCE(A1871,""closeyest""),"""")"),54.0)</f>
        <v>54</v>
      </c>
      <c r="V1871" s="23">
        <f>IFERROR(__xludf.DUMMYFUNCTION("IFERROR(GOOGLEFINANCE(A1871,""changepct""),"""")"),7.41)</f>
        <v>7.41</v>
      </c>
      <c r="W1871" s="22">
        <f>IFERROR(__xludf.DUMMYFUNCTION("IFERROR(GOOGLEFINANCE(A1871,""priceopen""),"""")"),55.0)</f>
        <v>55</v>
      </c>
      <c r="X1871" s="22">
        <f>IFERROR(__xludf.DUMMYFUNCTION("IFERROR(GOOGLEFINANCE(A1871,""high""),"""")"),60.0)</f>
        <v>60</v>
      </c>
      <c r="Y1871" s="22">
        <f>IFERROR(__xludf.DUMMYFUNCTION("IFERROR(GOOGLEFINANCE(A1871,""low""),"""")"),55.0)</f>
        <v>55</v>
      </c>
      <c r="Z1871" s="22">
        <f>IFERROR(__xludf.DUMMYFUNCTION("IFERROR(GOOGLEFINANCE(A1871,""volume""),"""")"),1.236444E8)</f>
        <v>123644400</v>
      </c>
      <c r="AA1871" s="24" t="str">
        <f>VLOOKUP(A1871,Metrik!$C$2:$Y$959,5,0)</f>
        <v>Specialty Retail</v>
      </c>
      <c r="AB1871" s="24" t="str">
        <f>VLOOKUP(A1871,Metrik!$C$2:$Y$959,3,0)</f>
        <v>Consumer Cyclicals</v>
      </c>
    </row>
    <row r="1872">
      <c r="A1872" s="14" t="s">
        <v>1021</v>
      </c>
      <c r="B1872" s="14" t="str">
        <f t="array" ref="B1872">VLOOKUP(A1872,{Metrik!$C$2:$C$998,Metrik!$B$2:$B$998},2,0)</f>
        <v>Dosni Roha Indonesia Tbk.</v>
      </c>
      <c r="C1872" s="15">
        <f>IFERROR(__xludf.DUMMYFUNCTION("GOOGLEFINANCE(""IDX:""&amp;A1872,""price"")"),50.0)</f>
        <v>50</v>
      </c>
      <c r="D1872" s="16" t="str">
        <f>IFERROR(__xludf.DUMMYFUNCTION("IF(A1872="""","""",
SPARKLINE(
INDEX(
GOOGLEFINANCE(""IDX:""&amp;A1872,""close"",TODAY()-365,TODAY()),
,2
),
{""linewidth"",1}
))
"),"#N/A")</f>
        <v>#N/A</v>
      </c>
      <c r="E1872" s="26"/>
      <c r="F1872" s="26"/>
      <c r="G1872" s="24">
        <f t="shared" si="11"/>
        <v>0</v>
      </c>
      <c r="H1872" s="19">
        <f>VLOOKUP(A1872,Metrik!$C$2:$Y$959,8,0)</f>
        <v>0</v>
      </c>
      <c r="I1872" s="20">
        <f>VLOOKUP(A1872,Metrik!$C$2:$Y$959,9,0)</f>
        <v>0.11</v>
      </c>
      <c r="J1872" s="20">
        <f>VLOOKUP(A1872,Metrik!$C$2:$Y$959,10,0)</f>
        <v>-11.8</v>
      </c>
      <c r="K1872" s="20">
        <f>VLOOKUP(A1872,Metrik!$C$2:$Y$959,11,0)</f>
        <v>-4.2</v>
      </c>
      <c r="L1872" s="20">
        <f>VLOOKUP(A1872,Metrik!$C$2:$Y$959,12,0)</f>
        <v>1.8</v>
      </c>
      <c r="M1872" s="20">
        <f>VLOOKUP(A1872,Metrik!$C$2:$Y$959,19,0)</f>
        <v>-12</v>
      </c>
      <c r="N1872" s="21"/>
      <c r="O1872" s="21"/>
      <c r="P1872" s="21"/>
      <c r="Q1872" s="21"/>
      <c r="R1872" s="21"/>
      <c r="S1872" s="21"/>
      <c r="T1872" s="21"/>
      <c r="U1872" s="22">
        <f>IFERROR(__xludf.DUMMYFUNCTION("IFERROR(GOOGLEFINANCE(A1872,""closeyest""),"""")"),222.44)</f>
        <v>222.44</v>
      </c>
      <c r="V1872" s="23">
        <f>IFERROR(__xludf.DUMMYFUNCTION("IFERROR(GOOGLEFINANCE(A1872,""changepct""),"""")"),2.69)</f>
        <v>2.69</v>
      </c>
      <c r="W1872" s="22">
        <f>IFERROR(__xludf.DUMMYFUNCTION("IFERROR(GOOGLEFINANCE(A1872,""priceopen""),"""")"),222.75)</f>
        <v>222.75</v>
      </c>
      <c r="X1872" s="22">
        <f>IFERROR(__xludf.DUMMYFUNCTION("IFERROR(GOOGLEFINANCE(A1872,""high""),"""")"),228.77)</f>
        <v>228.77</v>
      </c>
      <c r="Y1872" s="22">
        <f>IFERROR(__xludf.DUMMYFUNCTION("IFERROR(GOOGLEFINANCE(A1872,""low""),"""")"),220.71)</f>
        <v>220.71</v>
      </c>
      <c r="Z1872" s="22">
        <f>IFERROR(__xludf.DUMMYFUNCTION("IFERROR(GOOGLEFINANCE(A1872,""volume""),"""")"),584226.0)</f>
        <v>584226</v>
      </c>
      <c r="AA1872" s="24" t="str">
        <f>VLOOKUP(A1872,Metrik!$C$2:$Y$959,5,0)</f>
        <v>Multi-sector Holdings</v>
      </c>
      <c r="AB1872" s="24" t="str">
        <f>VLOOKUP(A1872,Metrik!$C$2:$Y$959,3,0)</f>
        <v>Industrials</v>
      </c>
    </row>
    <row r="1873">
      <c r="A1873" s="14" t="s">
        <v>1022</v>
      </c>
      <c r="B1873" s="14" t="str">
        <f t="array" ref="B1873">VLOOKUP(A1873,{Metrik!$C$2:$C$998,Metrik!$B$2:$B$998},2,0)</f>
        <v>Kapuas Prima Coal Tbk.</v>
      </c>
      <c r="C1873" s="15">
        <f>IFERROR(__xludf.DUMMYFUNCTION("GOOGLEFINANCE(""IDX:""&amp;A1873,""price"")"),30.0)</f>
        <v>30</v>
      </c>
      <c r="D1873" s="16" t="str">
        <f>IFERROR(__xludf.DUMMYFUNCTION("IF(A1873="""","""",
SPARKLINE(
INDEX(
GOOGLEFINANCE(""IDX:""&amp;A1873,""close"",TODAY()-365,TODAY()),
,2
),
{""linewidth"",1}
))
"),"#N/A")</f>
        <v>#N/A</v>
      </c>
      <c r="E1873" s="26"/>
      <c r="F1873" s="26"/>
      <c r="G1873" s="24">
        <f t="shared" si="11"/>
        <v>0</v>
      </c>
      <c r="H1873" s="19">
        <f>VLOOKUP(A1873,Metrik!$C$2:$Y$959,8,0)</f>
        <v>-3.5</v>
      </c>
      <c r="I1873" s="20">
        <f>VLOOKUP(A1873,Metrik!$C$2:$Y$959,9,0)</f>
        <v>2.2</v>
      </c>
      <c r="J1873" s="20">
        <f>VLOOKUP(A1873,Metrik!$C$2:$Y$959,10,0)</f>
        <v>-63.4</v>
      </c>
      <c r="K1873" s="20">
        <f>VLOOKUP(A1873,Metrik!$C$2:$Y$959,11,0)</f>
        <v>-9.3</v>
      </c>
      <c r="L1873" s="20">
        <f>VLOOKUP(A1873,Metrik!$C$2:$Y$959,12,0)</f>
        <v>5.8</v>
      </c>
      <c r="M1873" s="20">
        <f>VLOOKUP(A1873,Metrik!$C$2:$Y$959,19,0)</f>
        <v>-410</v>
      </c>
      <c r="N1873" s="21"/>
      <c r="O1873" s="21"/>
      <c r="P1873" s="21"/>
      <c r="Q1873" s="21"/>
      <c r="R1873" s="21"/>
      <c r="S1873" s="21"/>
      <c r="T1873" s="21"/>
      <c r="U1873" s="22">
        <f>IFERROR(__xludf.DUMMYFUNCTION("IFERROR(GOOGLEFINANCE(A1873,""closeyest""),"""")"),25.32)</f>
        <v>25.32</v>
      </c>
      <c r="V1873" s="23">
        <f>IFERROR(__xludf.DUMMYFUNCTION("IFERROR(GOOGLEFINANCE(A1873,""changepct""),"""")"),1.93)</f>
        <v>1.93</v>
      </c>
      <c r="W1873" s="22">
        <f>IFERROR(__xludf.DUMMYFUNCTION("IFERROR(GOOGLEFINANCE(A1873,""priceopen""),"""")"),25.47)</f>
        <v>25.47</v>
      </c>
      <c r="X1873" s="22">
        <f>IFERROR(__xludf.DUMMYFUNCTION("IFERROR(GOOGLEFINANCE(A1873,""high""),"""")"),25.81)</f>
        <v>25.81</v>
      </c>
      <c r="Y1873" s="22">
        <f>IFERROR(__xludf.DUMMYFUNCTION("IFERROR(GOOGLEFINANCE(A1873,""low""),"""")"),25.47)</f>
        <v>25.47</v>
      </c>
      <c r="Z1873" s="22">
        <f>IFERROR(__xludf.DUMMYFUNCTION("IFERROR(GOOGLEFINANCE(A1873,""volume""),"""")"),83.0)</f>
        <v>83</v>
      </c>
      <c r="AA1873" s="24" t="str">
        <f>VLOOKUP(A1873,Metrik!$C$2:$Y$959,5,0)</f>
        <v>Metals &amp; Minerals</v>
      </c>
      <c r="AB1873" s="24" t="str">
        <f>VLOOKUP(A1873,Metrik!$C$2:$Y$959,3,0)</f>
        <v>Basic Materials</v>
      </c>
    </row>
    <row r="1874">
      <c r="A1874" s="14" t="s">
        <v>1023</v>
      </c>
      <c r="B1874" s="14" t="str">
        <f t="array" ref="B1874">VLOOKUP(A1874,{Metrik!$C$2:$C$998,Metrik!$B$2:$B$998},2,0)</f>
        <v>Mega Perintis Tbk.</v>
      </c>
      <c r="C1874" s="15">
        <f>IFERROR(__xludf.DUMMYFUNCTION("GOOGLEFINANCE(""IDX:""&amp;A1874,""price"")"),340.0)</f>
        <v>340</v>
      </c>
      <c r="D1874" s="16" t="str">
        <f>IFERROR(__xludf.DUMMYFUNCTION("IF(A1874="""","""",
SPARKLINE(
INDEX(
GOOGLEFINANCE(""IDX:""&amp;A1874,""close"",TODAY()-365,TODAY()),
,2
),
{""linewidth"",1}
))
"),"#N/A")</f>
        <v>#N/A</v>
      </c>
      <c r="E1874" s="26"/>
      <c r="F1874" s="26"/>
      <c r="G1874" s="24">
        <f t="shared" si="11"/>
        <v>0</v>
      </c>
      <c r="H1874" s="19">
        <f>VLOOKUP(A1874,Metrik!$C$2:$Y$959,8,0)</f>
        <v>14.8</v>
      </c>
      <c r="I1874" s="20">
        <f>VLOOKUP(A1874,Metrik!$C$2:$Y$959,9,0)</f>
        <v>0.72</v>
      </c>
      <c r="J1874" s="20">
        <f>VLOOKUP(A1874,Metrik!$C$2:$Y$959,10,0)</f>
        <v>4.9</v>
      </c>
      <c r="K1874" s="20">
        <f>VLOOKUP(A1874,Metrik!$C$2:$Y$959,11,0)</f>
        <v>3.1</v>
      </c>
      <c r="L1874" s="20">
        <f>VLOOKUP(A1874,Metrik!$C$2:$Y$959,12,0)</f>
        <v>0.58</v>
      </c>
      <c r="M1874" s="20">
        <f>VLOOKUP(A1874,Metrik!$C$2:$Y$959,19,0)</f>
        <v>5.1</v>
      </c>
      <c r="N1874" s="21"/>
      <c r="O1874" s="21"/>
      <c r="P1874" s="21"/>
      <c r="Q1874" s="21"/>
      <c r="R1874" s="21"/>
      <c r="S1874" s="21"/>
      <c r="T1874" s="21"/>
      <c r="U1874" s="22">
        <f>IFERROR(__xludf.DUMMYFUNCTION("IFERROR(GOOGLEFINANCE(A1874,""closeyest""),"""")"),0.7)</f>
        <v>0.7</v>
      </c>
      <c r="V1874" s="23">
        <f>IFERROR(__xludf.DUMMYFUNCTION("IFERROR(GOOGLEFINANCE(A1874,""changepct""),"""")"),15.55)</f>
        <v>15.55</v>
      </c>
      <c r="W1874" s="22">
        <f>IFERROR(__xludf.DUMMYFUNCTION("IFERROR(GOOGLEFINANCE(A1874,""priceopen""),"""")"),0.7)</f>
        <v>0.7</v>
      </c>
      <c r="X1874" s="22">
        <f>IFERROR(__xludf.DUMMYFUNCTION("IFERROR(GOOGLEFINANCE(A1874,""high""),"""")"),0.83)</f>
        <v>0.83</v>
      </c>
      <c r="Y1874" s="22">
        <f>IFERROR(__xludf.DUMMYFUNCTION("IFERROR(GOOGLEFINANCE(A1874,""low""),"""")"),0.7)</f>
        <v>0.7</v>
      </c>
      <c r="Z1874" s="22">
        <f>IFERROR(__xludf.DUMMYFUNCTION("IFERROR(GOOGLEFINANCE(A1874,""volume""),"""")"),5051565.0)</f>
        <v>5051565</v>
      </c>
      <c r="AA1874" s="24" t="str">
        <f>VLOOKUP(A1874,Metrik!$C$2:$Y$959,5,0)</f>
        <v>Specialty Retail</v>
      </c>
      <c r="AB1874" s="24" t="str">
        <f>VLOOKUP(A1874,Metrik!$C$2:$Y$959,3,0)</f>
        <v>Consumer Cyclicals</v>
      </c>
    </row>
    <row r="1875">
      <c r="A1875" s="14" t="s">
        <v>1024</v>
      </c>
      <c r="B1875" s="14" t="str">
        <f t="array" ref="B1875">VLOOKUP(A1875,{Metrik!$C$2:$C$998,Metrik!$B$2:$B$998},2,0)</f>
        <v>Zyrexindo Mandiri Buana Tbk.</v>
      </c>
      <c r="C1875" s="15">
        <f>IFERROR(__xludf.DUMMYFUNCTION("GOOGLEFINANCE(""IDX:""&amp;A1875,""price"")"),126.0)</f>
        <v>126</v>
      </c>
      <c r="D1875" s="16" t="str">
        <f>IFERROR(__xludf.DUMMYFUNCTION("IF(A1875="""","""",
SPARKLINE(
INDEX(
GOOGLEFINANCE(""IDX:""&amp;A1875,""close"",TODAY()-365,TODAY()),
,2
),
{""linewidth"",1}
))
"),"#N/A")</f>
        <v>#N/A</v>
      </c>
      <c r="E1875" s="26"/>
      <c r="F1875" s="26"/>
      <c r="G1875" s="24">
        <f t="shared" si="11"/>
        <v>0</v>
      </c>
      <c r="H1875" s="19">
        <f>VLOOKUP(A1875,Metrik!$C$2:$Y$959,8,0)</f>
        <v>4.7</v>
      </c>
      <c r="I1875" s="20">
        <f>VLOOKUP(A1875,Metrik!$C$2:$Y$959,9,0)</f>
        <v>0.54</v>
      </c>
      <c r="J1875" s="20">
        <f>VLOOKUP(A1875,Metrik!$C$2:$Y$959,10,0)</f>
        <v>11.6</v>
      </c>
      <c r="K1875" s="20">
        <f>VLOOKUP(A1875,Metrik!$C$2:$Y$959,11,0)</f>
        <v>3.9</v>
      </c>
      <c r="L1875" s="20">
        <f>VLOOKUP(A1875,Metrik!$C$2:$Y$959,12,0)</f>
        <v>2</v>
      </c>
      <c r="M1875" s="20">
        <f>VLOOKUP(A1875,Metrik!$C$2:$Y$959,19,0)</f>
        <v>70</v>
      </c>
      <c r="N1875" s="21"/>
      <c r="O1875" s="21"/>
      <c r="P1875" s="21"/>
      <c r="Q1875" s="21"/>
      <c r="R1875" s="21"/>
      <c r="S1875" s="21"/>
      <c r="T1875" s="21"/>
      <c r="U1875" s="22">
        <f>IFERROR(__xludf.DUMMYFUNCTION("IFERROR(GOOGLEFINANCE(A1875,""closeyest""),"""")"),122.0)</f>
        <v>122</v>
      </c>
      <c r="V1875" s="23">
        <f>IFERROR(__xludf.DUMMYFUNCTION("IFERROR(GOOGLEFINANCE(A1875,""changepct""),"""")"),3.28)</f>
        <v>3.28</v>
      </c>
      <c r="W1875" s="22">
        <f>IFERROR(__xludf.DUMMYFUNCTION("IFERROR(GOOGLEFINANCE(A1875,""priceopen""),"""")"),124.0)</f>
        <v>124</v>
      </c>
      <c r="X1875" s="22">
        <f>IFERROR(__xludf.DUMMYFUNCTION("IFERROR(GOOGLEFINANCE(A1875,""high""),"""")"),128.0)</f>
        <v>128</v>
      </c>
      <c r="Y1875" s="22">
        <f>IFERROR(__xludf.DUMMYFUNCTION("IFERROR(GOOGLEFINANCE(A1875,""low""),"""")"),115.0)</f>
        <v>115</v>
      </c>
      <c r="Z1875" s="22">
        <f>IFERROR(__xludf.DUMMYFUNCTION("IFERROR(GOOGLEFINANCE(A1875,""volume""),"""")"),344700.0)</f>
        <v>344700</v>
      </c>
      <c r="AA1875" s="24" t="str">
        <f>VLOOKUP(A1875,Metrik!$C$2:$Y$959,5,0)</f>
        <v>Computer Hardware</v>
      </c>
      <c r="AB1875" s="24" t="str">
        <f>VLOOKUP(A1875,Metrik!$C$2:$Y$959,3,0)</f>
        <v>Technology</v>
      </c>
    </row>
  </sheetData>
  <autoFilter ref="$A$1:$AB$1875">
    <sortState ref="A1:AB1875">
      <sortCondition ref="A1:A1875"/>
      <sortCondition ref="E1:E1875"/>
    </sortState>
  </autoFilter>
  <conditionalFormatting sqref="V1 T199:T203">
    <cfRule type="notContainsBlanks" dxfId="0" priority="1">
      <formula>LEN(TRIM(V1))&gt;0</formula>
    </cfRule>
  </conditionalFormatting>
  <printOptions/>
  <pageMargins bottom="0.75" footer="0.0" header="0.0" left="0.7" right="0.7" top="0.75"/>
  <pageSetup orientation="landscape"/>
  <drawing r:id="rId1"/>
</worksheet>
</file>